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CD61" lockStructure="1"/>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This Week" sheetId="3" state="visible" r:id="rId3"/>
    <sheet name="Budget" sheetId="4" state="visible" r:id="rId4"/>
    <sheet name="Quotes" sheetId="5" state="visible" r:id="rId5"/>
    <sheet name="Contractors" sheetId="6" state="visible" r:id="rId6"/>
    <sheet name="Payments" sheetId="7" state="visible" r:id="rId7"/>
    <sheet name="Change Orders" sheetId="8" state="visible" r:id="rId8"/>
    <sheet name="Timeline" sheetId="9" state="visible" r:id="rId9"/>
    <sheet name="Rooms" sheetId="10" state="visible" r:id="rId10"/>
    <sheet name="Selections &amp; Orders" sheetId="11" state="visible" r:id="rId11"/>
    <sheet name="Issues &amp; Punch List" sheetId="12" state="visible" r:id="rId12"/>
    <sheet name="Vault" sheetId="13" state="visible" r:id="rId13"/>
    <sheet name="Warranty &amp; Maintenance" sheetId="14" state="visible" r:id="rId14"/>
    <sheet name="Engine" sheetId="15" state="hidden" r:id="rId15"/>
    <sheet name="Lists" sheetId="16" state="hidden" r:id="rId16"/>
  </sheets>
  <definedNames>
    <definedName name="ProjName">'Start Here'!$C$5</definedName>
    <definedName name="Address">'Start Here'!$C$6</definedName>
    <definedName name="ProjStart">'Start Here'!$C$7</definedName>
    <definedName name="TargetEnd">'Start Here'!$C$8</definedName>
    <definedName name="TotalBudget">'Start Here'!$C$9</definedName>
    <definedName name="TotalArea">'Start Here'!$C$10</definedName>
    <definedName name="AsOfOverride">'Start Here'!$C$11</definedName>
    <definedName name="Currency">'Start Here'!$C$14</definedName>
    <definedName name="CustomSym">'Start Here'!$C$15</definedName>
    <definedName name="TaxName">'Start Here'!$C$16</definedName>
    <definedName name="VatRate">'Start Here'!$C$17</definedName>
    <definedName name="DefInclTax">'Start Here'!$C$18</definedName>
    <definedName name="AreaUnit">'Start Here'!$C$19</definedName>
    <definedName name="WeekStart">'Start Here'!$C$20</definedName>
    <definedName name="BudgetWarnPct">'Start Here'!$C$21</definedName>
    <definedName name="ContPct">'Start Here'!$C$24</definedName>
    <definedName name="AlertDays">'Start Here'!$C$25</definedName>
    <definedName name="DecideBuf">'Start Here'!$C$26</definedName>
    <definedName name="OrderBuf">'Start Here'!$C$27</definedName>
    <definedName name="OverpayTol">'Start Here'!$C$28</definedName>
    <definedName name="ContAmt">'Start Here'!$C$31</definedName>
    <definedName name="WorkBudget">'Start Here'!$C$32</definedName>
    <definedName name="CurSym">'Start Here'!$C$33</definedName>
    <definedName name="AsOf">'Start Here'!$C$34</definedName>
    <definedName name="TaxWord">'Start Here'!$C$35</definedName>
    <definedName name="BudgetSum">'Budget'!$C$58</definedName>
    <definedName name="CommittedTotal">'Budget'!$I$58</definedName>
    <definedName name="InvoicedTotal">'Budget'!$J$58</definedName>
    <definedName name="PaidTotal">'Budget'!$K$58</definedName>
    <definedName name="ForecastTotal">'Budget'!$L$58</definedName>
    <definedName name="PendingCO">'Budget'!$L$60</definedName>
    <definedName name="IssuesOpenCost">'Budget'!$L$61</definedName>
    <definedName name="RiskTotal">'Budget'!$L$62</definedName>
    <definedName name="ForecastRisk">'Budget'!$L$63</definedName>
    <definedName name="ContUsed">'Budget'!$L$64</definedName>
    <definedName name="WPrice">'Quotes'!$C$6</definedName>
    <definedName name="WTime">'Quotes'!$D$6</definedName>
    <definedName name="WWar">'Quotes'!$E$6</definedName>
    <definedName name="WComp">'Quotes'!$F$6</definedName>
    <definedName name="WGut">'Quotes'!$G$6</definedName>
    <definedName name="QBlockCat">'Quotes'!$M$9:$M$18</definedName>
    <definedName name="QBlockInv">'Quotes'!$O$9:$O$18</definedName>
    <definedName name="Cash30">'Payments'!$AK$5</definedName>
    <definedName name="CashMonths">'Payments'!$AH$8:$AH$19</definedName>
    <definedName name="ForecastEnd">'Timeline'!$D$4</definedName>
    <definedName name="DecisionsWaiting">'Selections &amp; Orders'!$B$5</definedName>
    <definedName name="OrdersDue">'Selections &amp; Orders'!$E$5</definedName>
    <definedName name="OrdersLate">'Selections &amp; Orders'!$J$5</definedName>
    <definedName name="DeliveriesLate">'Selections &amp; Orders'!$P$5</definedName>
    <definedName name="OpenHigh">'Issues &amp; Punch List'!$B$5</definedName>
    <definedName name="OpenIssues">'Issues &amp; Punch List'!$O$8:$O$1007</definedName>
    <definedName name="DocsMissing">'Vault'!$R$6:$R$1005</definedName>
    <definedName name="AlertCount">'Engine'!$Y$2</definedName>
    <definedName name="OverdueCount">'Engine'!$Y$3</definedName>
    <definedName name="UrgentCount">'Engine'!$Y$4</definedName>
    <definedName name="WeekAlertCount">'Engine'!$Y$5</definedName>
    <definedName name="WeekStartDate">'This Week'!$C$4</definedName>
    <definedName name="WeekEndDate">'This Week'!$C$5</definedName>
  </definedNames>
  <calcPr calcId="124519" fullCalcOnLoad="1"/>
</workbook>
</file>

<file path=xl/styles.xml><?xml version="1.0" encoding="utf-8"?>
<styleSheet xmlns="http://schemas.openxmlformats.org/spreadsheetml/2006/main">
  <numFmts count="9">
    <numFmt numFmtId="164" formatCode="yyyy-mm-dd"/>
    <numFmt numFmtId="165" formatCode="dd mmm yyyy"/>
    <numFmt numFmtId="166" formatCode="#,##0;[Red]-#,##0;&quot;–&quot;"/>
    <numFmt numFmtId="167" formatCode="0.#"/>
    <numFmt numFmtId="168" formatCode="0.0"/>
    <numFmt numFmtId="169" formatCode="mmm yyyy"/>
    <numFmt numFmtId="170" formatCode="+0%;-0%;0%"/>
    <numFmt numFmtId="171" formatCode="dd mmm"/>
    <numFmt numFmtId="172" formatCode="+#,##0;-#,##0;0"/>
  </numFmts>
  <fonts count="30">
    <font>
      <name val="Calibri"/>
      <family val="2"/>
      <color theme="1"/>
      <sz val="11"/>
      <scheme val="minor"/>
    </font>
    <font>
      <name val="Arial"/>
      <sz val="10"/>
    </font>
    <font>
      <name val="Arial"/>
      <b val="1"/>
      <color rgb="000F5E5E"/>
      <sz val="18"/>
    </font>
    <font>
      <name val="Arial"/>
      <i val="1"/>
      <color rgb="006B7280"/>
      <sz val="10"/>
    </font>
    <font>
      <name val="Arial"/>
      <b val="1"/>
      <color rgb="000F5E5E"/>
      <sz val="11"/>
    </font>
    <font>
      <name val="Arial"/>
      <b val="1"/>
      <color rgb="001F2937"/>
      <sz val="10"/>
    </font>
    <font>
      <name val="Arial"/>
      <color rgb="001F2937"/>
      <sz val="10"/>
    </font>
    <font>
      <name val="Arial"/>
      <i val="1"/>
      <color rgb="006B7280"/>
      <sz val="9"/>
    </font>
    <font>
      <name val="Arial"/>
      <b val="1"/>
      <i val="1"/>
      <color rgb="00991B1B"/>
      <sz val="9"/>
    </font>
    <font>
      <name val="Arial"/>
      <b val="1"/>
      <color rgb="00FFFFFF"/>
      <sz val="16"/>
    </font>
    <font>
      <name val="Arial"/>
      <color rgb="006B7280"/>
      <sz val="10"/>
    </font>
    <font>
      <name val="Arial"/>
      <b val="1"/>
      <color rgb="000F5E5E"/>
      <sz val="10"/>
    </font>
    <font>
      <name val="Arial"/>
      <b val="1"/>
      <color rgb="000F5E5E"/>
      <sz val="10"/>
      <u val="single"/>
    </font>
    <font>
      <name val="Arial"/>
      <b val="1"/>
      <color rgb="00FFFFFF"/>
      <sz val="10"/>
    </font>
    <font>
      <name val="Arial"/>
      <color rgb="006B7280"/>
      <sz val="9"/>
    </font>
    <font>
      <name val="Arial"/>
      <color rgb="000F5E5E"/>
      <sz val="10"/>
    </font>
    <font>
      <name val="Arial"/>
      <b val="1"/>
      <color rgb="000F5E5E"/>
      <sz val="12"/>
    </font>
    <font>
      <name val="Arial"/>
      <b val="1"/>
      <color rgb="001F2937"/>
      <sz val="11"/>
    </font>
    <font>
      <name val="Arial"/>
      <b val="1"/>
      <color rgb="00991B1B"/>
      <sz val="11"/>
    </font>
    <font>
      <name val="Arial"/>
      <b val="1"/>
      <color rgb="001F2937"/>
      <sz val="13"/>
    </font>
    <font>
      <name val="Arial"/>
      <color rgb="000F5E5E"/>
      <sz val="11"/>
    </font>
    <font>
      <name val="Arial"/>
      <color rgb="0014B8A6"/>
      <sz val="11"/>
    </font>
    <font>
      <name val="Arial"/>
      <color rgb="001F2937"/>
      <sz val="9"/>
    </font>
    <font>
      <name val="Arial"/>
      <b val="1"/>
      <color rgb="000F5E5E"/>
      <sz val="16"/>
    </font>
    <font>
      <name val="Arial"/>
      <b val="1"/>
      <color rgb="006B7280"/>
      <sz val="9"/>
    </font>
    <font>
      <name val="Arial"/>
      <color rgb="006B7280"/>
      <sz val="8.5"/>
    </font>
    <font>
      <name val="Arial"/>
      <b val="1"/>
      <color rgb="001F2937"/>
      <sz val="16"/>
    </font>
    <font>
      <name val="Arial"/>
      <color rgb="001F2937"/>
      <sz val="12"/>
    </font>
    <font>
      <name val="Arial"/>
      <b val="1"/>
      <color rgb="001F2937"/>
      <sz val="14"/>
    </font>
    <font>
      <name val="Arial"/>
      <i val="1"/>
      <color rgb="006B7280"/>
      <sz val="8"/>
    </font>
  </fonts>
  <fills count="11">
    <fill>
      <patternFill/>
    </fill>
    <fill>
      <patternFill patternType="gray125"/>
    </fill>
    <fill>
      <patternFill patternType="solid">
        <fgColor rgb="00FFF7CC"/>
        <bgColor rgb="00FFF7CC"/>
      </patternFill>
    </fill>
    <fill>
      <patternFill patternType="solid">
        <fgColor rgb="00F3F4F6"/>
        <bgColor rgb="00F3F4F6"/>
      </patternFill>
    </fill>
    <fill>
      <patternFill patternType="solid">
        <fgColor rgb="000F5E5E"/>
        <bgColor rgb="000F5E5E"/>
      </patternFill>
    </fill>
    <fill>
      <patternFill patternType="solid">
        <fgColor rgb="00E3F1F1"/>
        <bgColor rgb="00E3F1F1"/>
      </patternFill>
    </fill>
    <fill>
      <patternFill patternType="solid">
        <fgColor rgb="00FFFFFF"/>
        <bgColor rgb="00FFFFFF"/>
      </patternFill>
    </fill>
    <fill>
      <patternFill patternType="solid">
        <fgColor rgb="00D1FAE5"/>
        <bgColor rgb="00D1FAE5"/>
      </patternFill>
    </fill>
    <fill>
      <patternFill patternType="solid">
        <fgColor rgb="00FFEDD5"/>
        <bgColor rgb="00FFEDD5"/>
      </patternFill>
    </fill>
    <fill>
      <patternFill patternType="solid">
        <fgColor rgb="00FEE2E2"/>
        <bgColor rgb="00FEE2E2"/>
      </patternFill>
    </fill>
    <fill>
      <patternFill patternType="solid">
        <fgColor rgb="00FAFAFA"/>
        <bgColor rgb="00FAFAFA"/>
      </patternFill>
    </fill>
  </fills>
  <borders count="10">
    <border>
      <left/>
      <right/>
      <top/>
      <bottom/>
      <diagonal/>
    </border>
    <border>
      <bottom style="medium">
        <color rgb="000F5E5E"/>
      </bottom>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top style="thick">
        <color rgb="000F5E5E"/>
      </top>
    </border>
    <border>
      <bottom style="thin">
        <color rgb="00D1D5DB"/>
      </bottom>
    </border>
    <border>
      <left/>
      <right/>
      <top style="thick">
        <color rgb="000F5E5E"/>
      </top>
      <bottom/>
      <diagonal/>
    </border>
  </borders>
  <cellStyleXfs count="1">
    <xf numFmtId="0" fontId="1" fillId="0" borderId="0"/>
  </cellStyleXfs>
  <cellXfs count="149">
    <xf numFmtId="0" fontId="0" fillId="0" borderId="0" pivotButton="0" quotePrefix="0" xfId="0"/>
    <xf numFmtId="0" fontId="2" fillId="0" borderId="0" applyAlignment="1" pivotButton="0" quotePrefix="0" xfId="0">
      <alignment vertical="center"/>
    </xf>
    <xf numFmtId="0" fontId="3" fillId="0" borderId="0" pivotButton="0" quotePrefix="0" xfId="0"/>
    <xf numFmtId="0" fontId="29" fillId="0" borderId="0" pivotButton="0" quotePrefix="0" xfId="0"/>
    <xf numFmtId="0" fontId="4" fillId="0" borderId="1" applyAlignment="1" pivotButton="0" quotePrefix="0" xfId="0">
      <alignment vertical="center"/>
    </xf>
    <xf numFmtId="0" fontId="0" fillId="0" borderId="1" pivotButton="0" quotePrefix="0" xfId="0"/>
    <xf numFmtId="0" fontId="5" fillId="0" borderId="0" applyAlignment="1" pivotButton="0" quotePrefix="0" xfId="0">
      <alignment vertical="center"/>
    </xf>
    <xf numFmtId="0" fontId="6" fillId="2" borderId="2" applyAlignment="1" applyProtection="1" pivotButton="0" quotePrefix="0" xfId="0">
      <alignment horizontal="left" vertical="center"/>
      <protection locked="0" hidden="0"/>
    </xf>
    <xf numFmtId="0" fontId="7" fillId="0" borderId="0" applyAlignment="1" pivotButton="0" quotePrefix="0" xfId="0">
      <alignment vertical="center"/>
    </xf>
    <xf numFmtId="0" fontId="9" fillId="4" borderId="0" applyAlignment="1" pivotButton="0" quotePrefix="0" xfId="0">
      <alignment horizontal="center" vertical="center"/>
    </xf>
    <xf numFmtId="0" fontId="4" fillId="5" borderId="0" applyAlignment="1" pivotButton="0" quotePrefix="0" xfId="0">
      <alignment vertical="center"/>
    </xf>
    <xf numFmtId="0" fontId="10" fillId="0" borderId="0" applyAlignment="1" pivotButton="0" quotePrefix="0" xfId="0">
      <alignment vertical="center" wrapText="1"/>
    </xf>
    <xf numFmtId="165" fontId="6" fillId="2" borderId="2" applyAlignment="1" applyProtection="1" pivotButton="0" quotePrefix="0" xfId="0">
      <alignment horizontal="left" vertical="center"/>
      <protection locked="0" hidden="0"/>
    </xf>
    <xf numFmtId="0" fontId="5" fillId="0" borderId="0" applyAlignment="1" applyProtection="1" pivotButton="0" quotePrefix="0" xfId="0">
      <alignment vertical="center"/>
      <protection locked="1" hidden="1"/>
    </xf>
    <xf numFmtId="166" fontId="6" fillId="2" borderId="2" applyAlignment="1" applyProtection="1" pivotButton="0" quotePrefix="0" xfId="0">
      <alignment horizontal="left" vertical="center"/>
      <protection locked="0" hidden="0"/>
    </xf>
    <xf numFmtId="3" fontId="6" fillId="2" borderId="2" applyAlignment="1" applyProtection="1" pivotButton="0" quotePrefix="0" xfId="0">
      <alignment horizontal="left" vertical="center"/>
      <protection locked="0" hidden="0"/>
    </xf>
    <xf numFmtId="0" fontId="8" fillId="0" borderId="0" applyAlignment="1" pivotButton="0" quotePrefix="0" xfId="0">
      <alignment vertical="center"/>
    </xf>
    <xf numFmtId="9" fontId="6" fillId="2" borderId="2" applyAlignment="1" applyProtection="1" pivotButton="0" quotePrefix="0" xfId="0">
      <alignment horizontal="left" vertical="center"/>
      <protection locked="0" hidden="0"/>
    </xf>
    <xf numFmtId="0" fontId="0" fillId="2" borderId="2" applyAlignment="1" pivotButton="0" quotePrefix="0" xfId="0">
      <alignment horizontal="center" vertical="center"/>
    </xf>
    <xf numFmtId="0" fontId="6" fillId="0" borderId="0" applyAlignment="1" pivotButton="0" quotePrefix="0" xfId="0">
      <alignment vertical="center"/>
    </xf>
    <xf numFmtId="0" fontId="0" fillId="6" borderId="2" applyAlignment="1" pivotButton="0" quotePrefix="0" xfId="0">
      <alignment horizontal="center" vertical="center"/>
    </xf>
    <xf numFmtId="0" fontId="0" fillId="7" borderId="2" applyAlignment="1" pivotButton="0" quotePrefix="0" xfId="0">
      <alignment horizontal="center" vertical="center"/>
    </xf>
    <xf numFmtId="0" fontId="0" fillId="8" borderId="2" applyAlignment="1" pivotButton="0" quotePrefix="0" xfId="0">
      <alignment horizontal="center" vertical="center"/>
    </xf>
    <xf numFmtId="0" fontId="0" fillId="9" borderId="2" applyAlignment="1" pivotButton="0" quotePrefix="0" xfId="0">
      <alignment horizontal="center" vertical="center"/>
    </xf>
    <xf numFmtId="1" fontId="6" fillId="2" borderId="2" applyAlignment="1" applyProtection="1" pivotButton="0" quotePrefix="0" xfId="0">
      <alignment horizontal="left" vertical="center"/>
      <protection locked="0" hidden="0"/>
    </xf>
    <xf numFmtId="0" fontId="11" fillId="0" borderId="0" pivotButton="0" quotePrefix="0" xfId="0"/>
    <xf numFmtId="0" fontId="12" fillId="0" borderId="0" applyProtection="1" pivotButton="0" quotePrefix="0" xfId="0">
      <protection locked="0" hidden="0"/>
    </xf>
    <xf numFmtId="0" fontId="10" fillId="0" borderId="0" applyAlignment="1" pivotButton="0" quotePrefix="0" xfId="0">
      <alignment vertical="center"/>
    </xf>
    <xf numFmtId="166" fontId="5" fillId="3" borderId="2" applyAlignment="1" applyProtection="1" pivotButton="0" quotePrefix="0" xfId="0">
      <alignment horizontal="left" vertical="center"/>
      <protection locked="1" hidden="1"/>
    </xf>
    <xf numFmtId="0" fontId="5" fillId="3" borderId="2" applyAlignment="1" applyProtection="1" pivotButton="0" quotePrefix="0" xfId="0">
      <alignment horizontal="left" vertical="center"/>
      <protection locked="1" hidden="1"/>
    </xf>
    <xf numFmtId="165" fontId="5" fillId="3" borderId="2" applyAlignment="1" applyProtection="1" pivotButton="0" quotePrefix="0" xfId="0">
      <alignment horizontal="left" vertical="center"/>
      <protection locked="1" hidden="1"/>
    </xf>
    <xf numFmtId="0" fontId="5" fillId="0" borderId="0" applyAlignment="1" pivotButton="0" quotePrefix="0" xfId="0">
      <alignment vertical="center" wrapText="1"/>
    </xf>
    <xf numFmtId="0" fontId="2" fillId="0" borderId="0" applyAlignment="1" applyProtection="1" pivotButton="0" quotePrefix="0" xfId="0">
      <alignment vertical="center"/>
      <protection locked="1" hidden="1"/>
    </xf>
    <xf numFmtId="0" fontId="10" fillId="0" borderId="0" applyAlignment="1" pivotButton="0" quotePrefix="0" xfId="0">
      <alignment horizontal="right" vertical="center"/>
    </xf>
    <xf numFmtId="165" fontId="11" fillId="0" borderId="0" applyAlignment="1" applyProtection="1" pivotButton="0" quotePrefix="0" xfId="0">
      <alignment vertical="center"/>
      <protection locked="1" hidden="1"/>
    </xf>
    <xf numFmtId="0" fontId="24" fillId="5" borderId="0" applyAlignment="1" applyProtection="1" pivotButton="0" quotePrefix="0" xfId="0">
      <alignment horizontal="left" vertical="bottom" indent="1"/>
      <protection locked="1" hidden="1"/>
    </xf>
    <xf numFmtId="0" fontId="0" fillId="5" borderId="0" pivotButton="0" quotePrefix="0" xfId="0"/>
    <xf numFmtId="166" fontId="2" fillId="5" borderId="0" applyAlignment="1" applyProtection="1" pivotButton="0" quotePrefix="0" xfId="0">
      <alignment horizontal="left" vertical="center" indent="1"/>
      <protection locked="1" hidden="1"/>
    </xf>
    <xf numFmtId="0" fontId="25" fillId="5" borderId="0" applyAlignment="1" applyProtection="1" pivotButton="0" quotePrefix="0" xfId="0">
      <alignment horizontal="left" vertical="top" indent="1"/>
      <protection locked="1" hidden="1"/>
    </xf>
    <xf numFmtId="0" fontId="24" fillId="5" borderId="0" applyAlignment="1" pivotButton="0" quotePrefix="0" xfId="0">
      <alignment horizontal="left" vertical="bottom" indent="1"/>
    </xf>
    <xf numFmtId="172" fontId="2" fillId="5" borderId="0" applyAlignment="1" applyProtection="1" pivotButton="0" quotePrefix="0" xfId="0">
      <alignment horizontal="left" vertical="center" indent="1"/>
      <protection locked="1" hidden="1"/>
    </xf>
    <xf numFmtId="9" fontId="2" fillId="5" borderId="0" applyAlignment="1" applyProtection="1" pivotButton="0" quotePrefix="0" xfId="0">
      <alignment horizontal="left" vertical="center" indent="1"/>
      <protection locked="1" hidden="1"/>
    </xf>
    <xf numFmtId="0" fontId="2" fillId="5" borderId="0" applyAlignment="1" applyProtection="1" pivotButton="0" quotePrefix="0" xfId="0">
      <alignment horizontal="left" vertical="center" indent="1"/>
      <protection locked="1" hidden="1"/>
    </xf>
    <xf numFmtId="165" fontId="2" fillId="5" borderId="0" applyAlignment="1" applyProtection="1" pivotButton="0" quotePrefix="0" xfId="0">
      <alignment horizontal="left" vertical="center" indent="1"/>
      <protection locked="1" hidden="1"/>
    </xf>
    <xf numFmtId="1" fontId="2" fillId="5" borderId="0" applyAlignment="1" applyProtection="1" pivotButton="0" quotePrefix="0" xfId="0">
      <alignment horizontal="left" vertical="center" indent="1"/>
      <protection locked="1" hidden="1"/>
    </xf>
    <xf numFmtId="0" fontId="26" fillId="6" borderId="2" applyAlignment="1" applyProtection="1" pivotButton="0" quotePrefix="0" xfId="0">
      <alignment horizontal="center" vertical="center"/>
      <protection locked="1" hidden="1"/>
    </xf>
    <xf numFmtId="0" fontId="0" fillId="0" borderId="0" applyProtection="1" pivotButton="0" quotePrefix="0" xfId="0">
      <protection locked="1" hidden="1"/>
    </xf>
    <xf numFmtId="0" fontId="5" fillId="0" borderId="8" applyAlignment="1" pivotButton="0" quotePrefix="0" xfId="0">
      <alignment vertical="center"/>
    </xf>
    <xf numFmtId="0" fontId="0" fillId="0" borderId="8" pivotButton="0" quotePrefix="0" xfId="0"/>
    <xf numFmtId="0" fontId="27" fillId="6" borderId="8" applyAlignment="1" applyProtection="1" pivotButton="0" quotePrefix="0" xfId="0">
      <alignment horizontal="center" vertical="center"/>
      <protection locked="1" hidden="1"/>
    </xf>
    <xf numFmtId="0" fontId="6" fillId="0" borderId="8" applyAlignment="1" applyProtection="1" pivotButton="0" quotePrefix="0" xfId="0">
      <alignment vertical="center"/>
      <protection locked="1" hidden="1"/>
    </xf>
    <xf numFmtId="0" fontId="28" fillId="6" borderId="2" applyAlignment="1" applyProtection="1" pivotButton="0" quotePrefix="0" xfId="0">
      <alignment horizontal="center" vertical="center"/>
      <protection locked="1" hidden="1"/>
    </xf>
    <xf numFmtId="0" fontId="13" fillId="4" borderId="2" applyAlignment="1" pivotButton="0" quotePrefix="0" xfId="0">
      <alignment horizontal="center" vertical="center" wrapText="1"/>
    </xf>
    <xf numFmtId="1" fontId="10" fillId="6" borderId="2" applyAlignment="1" applyProtection="1" pivotButton="0" quotePrefix="0" xfId="0">
      <alignment horizontal="center" vertical="center"/>
      <protection locked="1" hidden="1"/>
    </xf>
    <xf numFmtId="0" fontId="22" fillId="6" borderId="2" applyAlignment="1" applyProtection="1" pivotButton="0" quotePrefix="0" xfId="0">
      <alignment horizontal="center" vertical="center"/>
      <protection locked="1" hidden="1"/>
    </xf>
    <xf numFmtId="0" fontId="22" fillId="6" borderId="2" applyAlignment="1" applyProtection="1" pivotButton="0" quotePrefix="0" xfId="0">
      <alignment vertical="center" wrapText="1"/>
      <protection locked="1" hidden="1"/>
    </xf>
    <xf numFmtId="0" fontId="10" fillId="6" borderId="2" applyAlignment="1" applyProtection="1" pivotButton="0" quotePrefix="0" xfId="0">
      <alignment vertical="center"/>
      <protection locked="1" hidden="1"/>
    </xf>
    <xf numFmtId="165" fontId="6" fillId="6" borderId="2" applyAlignment="1" applyProtection="1" pivotButton="0" quotePrefix="0" xfId="0">
      <alignment horizontal="center" vertical="center"/>
      <protection locked="1" hidden="1"/>
    </xf>
    <xf numFmtId="0" fontId="7" fillId="0" borderId="0" applyAlignment="1" applyProtection="1" pivotButton="0" quotePrefix="0" xfId="0">
      <alignment vertical="center"/>
      <protection locked="1" hidden="1"/>
    </xf>
    <xf numFmtId="0" fontId="17" fillId="0" borderId="0" applyAlignment="1" pivotButton="0" quotePrefix="0" xfId="0">
      <alignment vertical="center"/>
    </xf>
    <xf numFmtId="165" fontId="5" fillId="2" borderId="2" applyAlignment="1" applyProtection="1" pivotButton="0" quotePrefix="0" xfId="0">
      <alignment horizontal="center" vertical="center"/>
      <protection locked="0" hidden="0"/>
    </xf>
    <xf numFmtId="165" fontId="6" fillId="3" borderId="2" applyAlignment="1" applyProtection="1" pivotButton="0" quotePrefix="0" xfId="0">
      <alignment horizontal="center" vertical="center"/>
      <protection locked="1" hidden="1"/>
    </xf>
    <xf numFmtId="1" fontId="16" fillId="5" borderId="2" applyAlignment="1" applyProtection="1" pivotButton="0" quotePrefix="0" xfId="0">
      <alignment horizontal="center" vertical="center"/>
      <protection locked="1" hidden="1"/>
    </xf>
    <xf numFmtId="0" fontId="0" fillId="0" borderId="6" pivotButton="0" quotePrefix="0" xfId="0"/>
    <xf numFmtId="166" fontId="16" fillId="5" borderId="2" applyAlignment="1" applyProtection="1" pivotButton="0" quotePrefix="0" xfId="0">
      <alignment horizontal="center" vertical="center"/>
      <protection locked="1" hidden="1"/>
    </xf>
    <xf numFmtId="0" fontId="4" fillId="0" borderId="0" applyAlignment="1" pivotButton="0" quotePrefix="0" xfId="0">
      <alignment vertical="center"/>
    </xf>
    <xf numFmtId="0" fontId="6" fillId="2" borderId="2" applyAlignment="1" applyProtection="1" pivotButton="0" quotePrefix="0" xfId="0">
      <alignment vertical="top" wrapText="1"/>
      <protection locked="0" hidden="0"/>
    </xf>
    <xf numFmtId="0" fontId="0" fillId="2" borderId="0" applyProtection="1" pivotButton="0" quotePrefix="0" xfId="0">
      <protection locked="0" hidden="0"/>
    </xf>
    <xf numFmtId="166" fontId="5" fillId="3" borderId="2" applyAlignment="1" applyProtection="1" pivotButton="0" quotePrefix="0" xfId="0">
      <alignment vertical="center"/>
      <protection locked="1" hidden="1"/>
    </xf>
    <xf numFmtId="0" fontId="10" fillId="0" borderId="0" applyAlignment="1" applyProtection="1" pivotButton="0" quotePrefix="0" xfId="0">
      <alignment vertical="center"/>
      <protection locked="1" hidden="1"/>
    </xf>
    <xf numFmtId="0" fontId="13" fillId="4" borderId="2" applyAlignment="1" applyProtection="1" pivotButton="0" quotePrefix="0" xfId="0">
      <alignment horizontal="center" vertical="center" wrapText="1"/>
      <protection locked="1" hidden="1"/>
    </xf>
    <xf numFmtId="0" fontId="14" fillId="0" borderId="0" applyAlignment="1" pivotButton="0" quotePrefix="0" xfId="0">
      <alignment vertical="center"/>
    </xf>
    <xf numFmtId="0" fontId="6" fillId="2" borderId="2" applyAlignment="1" applyProtection="1" pivotButton="0" quotePrefix="0" xfId="0">
      <alignment vertical="center"/>
      <protection locked="0" hidden="0"/>
    </xf>
    <xf numFmtId="166" fontId="6" fillId="2" borderId="2" applyAlignment="1" applyProtection="1" pivotButton="0" quotePrefix="0" xfId="0">
      <alignment vertical="center"/>
      <protection locked="0" hidden="0"/>
    </xf>
    <xf numFmtId="0" fontId="6" fillId="2" borderId="2" applyAlignment="1" applyProtection="1" pivotButton="0" quotePrefix="0" xfId="0">
      <alignment horizontal="center" vertical="center"/>
      <protection locked="0" hidden="0"/>
    </xf>
    <xf numFmtId="166" fontId="6" fillId="3" borderId="2" applyAlignment="1" applyProtection="1" pivotButton="0" quotePrefix="0" xfId="0">
      <alignment vertical="center"/>
      <protection locked="1" hidden="1"/>
    </xf>
    <xf numFmtId="166" fontId="5" fillId="6" borderId="2" applyAlignment="1" applyProtection="1" pivotButton="0" quotePrefix="0" xfId="0">
      <alignment vertical="center"/>
      <protection locked="1" hidden="1"/>
    </xf>
    <xf numFmtId="166" fontId="6" fillId="6" borderId="2" applyAlignment="1" applyProtection="1" pivotButton="0" quotePrefix="0" xfId="0">
      <alignment vertical="center"/>
      <protection locked="1" hidden="1"/>
    </xf>
    <xf numFmtId="0" fontId="6" fillId="6" borderId="2" applyAlignment="1" applyProtection="1" pivotButton="0" quotePrefix="0" xfId="0">
      <alignment horizontal="center" vertical="center"/>
      <protection locked="1" hidden="1"/>
    </xf>
    <xf numFmtId="0" fontId="14" fillId="0" borderId="0" applyAlignment="1" applyProtection="1" pivotButton="0" quotePrefix="0" xfId="0">
      <alignment vertical="center"/>
      <protection locked="1" hidden="1"/>
    </xf>
    <xf numFmtId="0" fontId="11" fillId="5" borderId="2" applyAlignment="1" pivotButton="0" quotePrefix="0" xfId="0">
      <alignment vertical="center"/>
    </xf>
    <xf numFmtId="166" fontId="11" fillId="5" borderId="2" applyAlignment="1" applyProtection="1" pivotButton="0" quotePrefix="0" xfId="0">
      <alignment vertical="center"/>
      <protection locked="1" hidden="1"/>
    </xf>
    <xf numFmtId="0" fontId="11" fillId="5" borderId="2" applyAlignment="1" applyProtection="1" pivotButton="0" quotePrefix="0" xfId="0">
      <alignment horizontal="center" vertical="center"/>
      <protection locked="1" hidden="1"/>
    </xf>
    <xf numFmtId="0" fontId="6" fillId="0" borderId="0" applyAlignment="1" pivotButton="0" quotePrefix="0" xfId="0">
      <alignment horizontal="right" vertical="center"/>
    </xf>
    <xf numFmtId="165" fontId="0" fillId="0" borderId="0" applyProtection="1" pivotButton="0" quotePrefix="0" xfId="0">
      <protection locked="1" hidden="1"/>
    </xf>
    <xf numFmtId="0" fontId="5" fillId="0" borderId="0" applyAlignment="1" pivotButton="0" quotePrefix="0" xfId="0">
      <alignment horizontal="right" vertical="center"/>
    </xf>
    <xf numFmtId="9" fontId="11" fillId="5" borderId="2" applyAlignment="1" applyProtection="1" pivotButton="0" quotePrefix="0" xfId="0">
      <alignment vertical="center"/>
      <protection locked="1" hidden="1"/>
    </xf>
    <xf numFmtId="0" fontId="15" fillId="0" borderId="0" applyAlignment="1" applyProtection="1" pivotButton="0" quotePrefix="0" xfId="0">
      <alignment vertical="center"/>
      <protection locked="1" hidden="1"/>
    </xf>
    <xf numFmtId="0" fontId="7" fillId="0" borderId="0" applyAlignment="1" pivotButton="0" quotePrefix="0" xfId="0">
      <alignment vertical="center" wrapText="1"/>
    </xf>
    <xf numFmtId="1" fontId="6" fillId="2" borderId="2" applyAlignment="1" applyProtection="1" pivotButton="0" quotePrefix="0" xfId="0">
      <alignment horizontal="center" vertical="center"/>
      <protection locked="0" hidden="0"/>
    </xf>
    <xf numFmtId="1" fontId="5" fillId="3" borderId="2" applyAlignment="1" applyProtection="1" pivotButton="0" quotePrefix="0" xfId="0">
      <alignment horizontal="center" vertical="center"/>
      <protection locked="1" hidden="1"/>
    </xf>
    <xf numFmtId="0" fontId="13" fillId="4" borderId="2" applyAlignment="1" pivotButton="0" quotePrefix="0" xfId="0">
      <alignment horizontal="left" vertical="center" wrapText="1"/>
    </xf>
    <xf numFmtId="0" fontId="5" fillId="2" borderId="2" applyAlignment="1" applyProtection="1" pivotButton="0" quotePrefix="0" xfId="0">
      <alignment vertical="center"/>
      <protection locked="0" hidden="0"/>
    </xf>
    <xf numFmtId="0" fontId="13" fillId="4" borderId="2" applyAlignment="1" applyProtection="1" pivotButton="0" quotePrefix="0" xfId="0">
      <alignment horizontal="left" vertical="center" wrapText="1"/>
      <protection locked="1" hidden="1"/>
    </xf>
    <xf numFmtId="0" fontId="0" fillId="0" borderId="5" pivotButton="0" quotePrefix="0" xfId="0"/>
    <xf numFmtId="0" fontId="11" fillId="5" borderId="2" applyAlignment="1" pivotButton="0" quotePrefix="0" xfId="0">
      <alignment horizontal="center" vertical="center"/>
    </xf>
    <xf numFmtId="0" fontId="0" fillId="0" borderId="6" applyProtection="1" pivotButton="0" quotePrefix="0" xfId="0">
      <protection locked="0" hidden="0"/>
    </xf>
    <xf numFmtId="0" fontId="6" fillId="0" borderId="0" applyAlignment="1" applyProtection="1" pivotButton="0" quotePrefix="0" xfId="0">
      <alignment vertical="center"/>
      <protection locked="1" hidden="1"/>
    </xf>
    <xf numFmtId="166" fontId="6" fillId="2" borderId="2" applyAlignment="1" applyProtection="1" pivotButton="0" quotePrefix="0" xfId="0">
      <alignment horizontal="center" vertical="center"/>
      <protection locked="0" hidden="0"/>
    </xf>
    <xf numFmtId="166" fontId="6" fillId="3" borderId="2" applyAlignment="1" applyProtection="1" pivotButton="0" quotePrefix="0" xfId="0">
      <alignment horizontal="center" vertical="center"/>
      <protection locked="1" hidden="1"/>
    </xf>
    <xf numFmtId="167" fontId="6" fillId="2" borderId="2" applyAlignment="1" applyProtection="1" pivotButton="0" quotePrefix="0" xfId="0">
      <alignment horizontal="center" vertical="center"/>
      <protection locked="0" hidden="0"/>
    </xf>
    <xf numFmtId="165" fontId="6" fillId="2" borderId="2" applyAlignment="1" applyProtection="1" pivotButton="0" quotePrefix="0" xfId="0">
      <alignment horizontal="center" vertical="center"/>
      <protection locked="0" hidden="0"/>
    </xf>
    <xf numFmtId="166" fontId="11" fillId="5" borderId="2" applyAlignment="1" applyProtection="1" pivotButton="0" quotePrefix="0" xfId="0">
      <alignment horizontal="center" vertical="center"/>
      <protection locked="1" hidden="1"/>
    </xf>
    <xf numFmtId="9" fontId="6" fillId="3" borderId="2" applyAlignment="1" applyProtection="1" pivotButton="0" quotePrefix="0" xfId="0">
      <alignment horizontal="center" vertical="center"/>
      <protection locked="1" hidden="1"/>
    </xf>
    <xf numFmtId="168" fontId="6" fillId="3" borderId="2" applyAlignment="1" applyProtection="1" pivotButton="0" quotePrefix="0" xfId="0">
      <alignment horizontal="center" vertical="center"/>
      <protection locked="1" hidden="1"/>
    </xf>
    <xf numFmtId="168" fontId="11" fillId="5" borderId="2" applyAlignment="1" applyProtection="1" pivotButton="0" quotePrefix="0" xfId="0">
      <alignment horizontal="center" vertical="center"/>
      <protection locked="1" hidden="1"/>
    </xf>
    <xf numFmtId="0" fontId="5" fillId="3" borderId="2" applyAlignment="1" applyProtection="1" pivotButton="0" quotePrefix="0" xfId="0">
      <alignment horizontal="center" vertical="center"/>
      <protection locked="1" hidden="1"/>
    </xf>
    <xf numFmtId="0" fontId="5" fillId="6" borderId="2" applyAlignment="1" applyProtection="1" pivotButton="0" quotePrefix="0" xfId="0">
      <alignment horizontal="center" vertical="center"/>
      <protection locked="1" hidden="1"/>
    </xf>
    <xf numFmtId="0" fontId="11" fillId="0" borderId="0" applyAlignment="1" applyProtection="1" pivotButton="0" quotePrefix="0" xfId="0">
      <alignment vertical="center"/>
      <protection locked="0" hidden="0"/>
    </xf>
    <xf numFmtId="165" fontId="6" fillId="2" borderId="2" applyAlignment="1" applyProtection="1" pivotButton="0" quotePrefix="0" xfId="0">
      <alignment vertical="center"/>
      <protection locked="0" hidden="0"/>
    </xf>
    <xf numFmtId="9" fontId="6" fillId="2" borderId="2" applyAlignment="1" applyProtection="1" pivotButton="0" quotePrefix="0" xfId="0">
      <alignment horizontal="center" vertical="center"/>
      <protection locked="0" hidden="0"/>
    </xf>
    <xf numFmtId="9" fontId="6" fillId="6" borderId="2" applyAlignment="1" applyProtection="1" pivotButton="0" quotePrefix="0" xfId="0">
      <alignment horizontal="center" vertical="center"/>
      <protection locked="1" hidden="1"/>
    </xf>
    <xf numFmtId="165" fontId="14" fillId="0" borderId="0" applyAlignment="1" applyProtection="1" pivotButton="0" quotePrefix="0" xfId="0">
      <alignment vertical="center"/>
      <protection locked="1" hidden="1"/>
    </xf>
    <xf numFmtId="0" fontId="6" fillId="2" borderId="2" applyAlignment="1" applyProtection="1" pivotButton="0" quotePrefix="0" xfId="0">
      <alignment vertical="center" wrapText="1"/>
      <protection locked="0" hidden="0"/>
    </xf>
    <xf numFmtId="166" fontId="16" fillId="5" borderId="2" applyAlignment="1" applyProtection="1" pivotButton="0" quotePrefix="0" xfId="0">
      <alignment vertical="center"/>
      <protection locked="1" hidden="1"/>
    </xf>
    <xf numFmtId="0" fontId="6" fillId="3" borderId="2" applyAlignment="1" applyProtection="1" pivotButton="0" quotePrefix="0" xfId="0">
      <alignment vertical="center"/>
      <protection locked="1" hidden="1"/>
    </xf>
    <xf numFmtId="0" fontId="5" fillId="6" borderId="2" applyAlignment="1" applyProtection="1" pivotButton="0" quotePrefix="0" xfId="0">
      <alignment vertical="center"/>
      <protection locked="1" hidden="1"/>
    </xf>
    <xf numFmtId="165" fontId="6" fillId="6" borderId="2" applyAlignment="1" applyProtection="1" pivotButton="0" quotePrefix="0" xfId="0">
      <alignment vertical="center"/>
      <protection locked="1" hidden="1"/>
    </xf>
    <xf numFmtId="169" fontId="5" fillId="6" borderId="2" applyAlignment="1" applyProtection="1" pivotButton="0" quotePrefix="0" xfId="0">
      <alignment vertical="center"/>
      <protection locked="1" hidden="1"/>
    </xf>
    <xf numFmtId="0" fontId="18" fillId="9" borderId="2" applyAlignment="1" pivotButton="0" quotePrefix="0" xfId="0">
      <alignment horizontal="center" vertical="center"/>
    </xf>
    <xf numFmtId="165" fontId="6" fillId="3" borderId="2" applyAlignment="1" applyProtection="1" pivotButton="0" quotePrefix="0" xfId="0">
      <alignment vertical="center"/>
      <protection locked="1" hidden="1"/>
    </xf>
    <xf numFmtId="170" fontId="6" fillId="3" borderId="2" applyAlignment="1" applyProtection="1" pivotButton="0" quotePrefix="0" xfId="0">
      <alignment horizontal="center" vertical="center"/>
      <protection locked="1" hidden="1"/>
    </xf>
    <xf numFmtId="165" fontId="16" fillId="5" borderId="2" applyAlignment="1" applyProtection="1" pivotButton="0" quotePrefix="0" xfId="0">
      <alignment horizontal="center" vertical="center"/>
      <protection locked="1" hidden="1"/>
    </xf>
    <xf numFmtId="165" fontId="5" fillId="3" borderId="2" applyAlignment="1" applyProtection="1" pivotButton="0" quotePrefix="0" xfId="0">
      <alignment vertical="center"/>
      <protection locked="1" hidden="1"/>
    </xf>
    <xf numFmtId="171" fontId="13" fillId="4" borderId="2" applyAlignment="1" applyProtection="1" pivotButton="0" quotePrefix="0" xfId="0">
      <alignment horizontal="center" vertical="center" textRotation="90"/>
      <protection locked="1" hidden="1"/>
    </xf>
    <xf numFmtId="1" fontId="10" fillId="3" borderId="2" applyAlignment="1" pivotButton="0" quotePrefix="0" xfId="0">
      <alignment horizontal="center" vertical="center"/>
    </xf>
    <xf numFmtId="165" fontId="5" fillId="6" borderId="2" applyAlignment="1" applyProtection="1" pivotButton="0" quotePrefix="0" xfId="0">
      <alignment vertical="center"/>
      <protection locked="1" hidden="1"/>
    </xf>
    <xf numFmtId="0" fontId="6" fillId="3" borderId="2" applyAlignment="1" applyProtection="1" pivotButton="0" quotePrefix="0" xfId="0">
      <alignment horizontal="center" vertical="center"/>
      <protection locked="1" hidden="1"/>
    </xf>
    <xf numFmtId="0" fontId="19" fillId="2" borderId="7" applyAlignment="1" applyProtection="1" pivotButton="0" quotePrefix="0" xfId="0">
      <alignment vertical="center"/>
      <protection locked="0" hidden="0"/>
    </xf>
    <xf numFmtId="0" fontId="0" fillId="0" borderId="9" pivotButton="0" quotePrefix="0" xfId="0"/>
    <xf numFmtId="0" fontId="14" fillId="10" borderId="0" applyAlignment="1" applyProtection="1" pivotButton="0" quotePrefix="0" xfId="0">
      <alignment vertical="center" indent="1"/>
      <protection locked="1" hidden="1"/>
    </xf>
    <xf numFmtId="0" fontId="0" fillId="10" borderId="0" pivotButton="0" quotePrefix="0" xfId="0"/>
    <xf numFmtId="3" fontId="6" fillId="2" borderId="2" applyAlignment="1" applyProtection="1" pivotButton="0" quotePrefix="0" xfId="0">
      <alignment vertical="center"/>
      <protection locked="0" hidden="0"/>
    </xf>
    <xf numFmtId="166" fontId="17" fillId="10" borderId="0" applyAlignment="1" applyProtection="1" pivotButton="0" quotePrefix="0" xfId="0">
      <alignment horizontal="right" vertical="center"/>
      <protection locked="1" hidden="1"/>
    </xf>
    <xf numFmtId="0" fontId="14" fillId="10" borderId="0" applyAlignment="1" pivotButton="0" quotePrefix="0" xfId="0">
      <alignment vertical="center" indent="1"/>
    </xf>
    <xf numFmtId="0" fontId="20" fillId="10" borderId="0" applyProtection="1" pivotButton="0" quotePrefix="0" xfId="0">
      <protection locked="1" hidden="1"/>
    </xf>
    <xf numFmtId="9" fontId="17" fillId="10" borderId="0" applyAlignment="1" applyProtection="1" pivotButton="0" quotePrefix="0" xfId="0">
      <alignment horizontal="right" vertical="center"/>
      <protection locked="1" hidden="1"/>
    </xf>
    <xf numFmtId="0" fontId="21" fillId="10" borderId="0" applyProtection="1" pivotButton="0" quotePrefix="0" xfId="0">
      <protection locked="1" hidden="1"/>
    </xf>
    <xf numFmtId="0" fontId="17" fillId="10" borderId="0" applyAlignment="1" applyProtection="1" pivotButton="0" quotePrefix="0" xfId="0">
      <alignment horizontal="right" vertical="center"/>
      <protection locked="1" hidden="1"/>
    </xf>
    <xf numFmtId="1" fontId="17" fillId="10" borderId="0" applyAlignment="1" applyProtection="1" pivotButton="0" quotePrefix="0" xfId="0">
      <alignment horizontal="right" vertical="center"/>
      <protection locked="1" hidden="1"/>
    </xf>
    <xf numFmtId="0" fontId="22" fillId="10" borderId="0" applyAlignment="1" applyProtection="1" pivotButton="0" quotePrefix="0" xfId="0">
      <alignment horizontal="right" vertical="center" shrinkToFit="1"/>
      <protection locked="1" hidden="1"/>
    </xf>
    <xf numFmtId="0" fontId="0" fillId="10" borderId="8" pivotButton="0" quotePrefix="0" xfId="0"/>
    <xf numFmtId="1" fontId="23" fillId="5" borderId="2" applyAlignment="1" applyProtection="1" pivotButton="0" quotePrefix="0" xfId="0">
      <alignment horizontal="left" vertical="center"/>
      <protection locked="1" hidden="1"/>
    </xf>
    <xf numFmtId="166" fontId="23" fillId="5" borderId="2" applyAlignment="1" applyProtection="1" pivotButton="0" quotePrefix="0" xfId="0">
      <alignment horizontal="left" vertical="center"/>
      <protection locked="1" hidden="1"/>
    </xf>
    <xf numFmtId="1" fontId="6" fillId="6" borderId="2" applyAlignment="1" applyProtection="1" pivotButton="0" quotePrefix="0" xfId="0">
      <alignment horizontal="center" vertical="center"/>
      <protection locked="1" hidden="1"/>
    </xf>
    <xf numFmtId="0" fontId="5" fillId="0" borderId="0" pivotButton="0" quotePrefix="0" xfId="0"/>
    <xf numFmtId="0" fontId="6" fillId="0" borderId="0" pivotButton="0" quotePrefix="0" xfId="0"/>
    <xf numFmtId="9" fontId="6" fillId="0" borderId="0" pivotButton="0" quotePrefix="0" xfId="0"/>
    <xf numFmtId="0" fontId="6" fillId="0" borderId="0" applyProtection="1" pivotButton="0" quotePrefix="0" xfId="0">
      <protection locked="1" hidden="1"/>
    </xf>
  </cellXfs>
  <cellStyles count="1">
    <cellStyle name="Normal" xfId="0" builtinId="0" hidden="0"/>
  </cellStyles>
  <dxfs count="13">
    <dxf>
      <font>
        <name val="Arial"/>
        <b val="1"/>
        <color rgb="00991B1B"/>
      </font>
      <fill>
        <patternFill patternType="solid">
          <fgColor rgb="00FEE2E2"/>
          <bgColor rgb="00FEE2E2"/>
        </patternFill>
      </fill>
    </dxf>
    <dxf>
      <font>
        <name val="Arial"/>
        <b val="1"/>
        <color rgb="00065F46"/>
      </font>
      <fill>
        <patternFill patternType="solid">
          <fgColor rgb="00D1FAE5"/>
          <bgColor rgb="00D1FAE5"/>
        </patternFill>
      </fill>
    </dxf>
    <dxf>
      <font>
        <name val="Arial"/>
        <b val="1"/>
        <color rgb="009A3412"/>
      </font>
      <fill>
        <patternFill patternType="solid">
          <fgColor rgb="00FFEDD5"/>
          <bgColor rgb="00FFEDD5"/>
        </patternFill>
      </fill>
    </dxf>
    <dxf>
      <font>
        <name val="Arial"/>
        <color rgb="00065F46"/>
      </font>
      <fill>
        <patternFill patternType="solid">
          <fgColor rgb="00D1FAE5"/>
          <bgColor rgb="00D1FAE5"/>
        </patternFill>
      </fill>
    </dxf>
    <dxf>
      <font>
        <name val="Arial"/>
        <color rgb="001E3A8A"/>
      </font>
      <fill>
        <patternFill patternType="solid">
          <fgColor rgb="00DBEAFE"/>
          <bgColor rgb="00DBEAFE"/>
        </patternFill>
      </fill>
    </dxf>
    <dxf>
      <font>
        <name val="Arial"/>
        <color rgb="00991B1B"/>
      </font>
      <fill>
        <patternFill patternType="solid">
          <fgColor rgb="00FEE2E2"/>
          <bgColor rgb="00FEE2E2"/>
        </patternFill>
      </fill>
    </dxf>
    <dxf>
      <font>
        <name val="Arial"/>
        <color rgb="009A3412"/>
      </font>
      <fill>
        <patternFill patternType="solid">
          <fgColor rgb="00FFEDD5"/>
          <bgColor rgb="00FFEDD5"/>
        </patternFill>
      </fill>
    </dxf>
    <dxf>
      <font>
        <name val="Arial"/>
        <color rgb="006B7280"/>
      </font>
      <fill>
        <patternFill patternType="solid">
          <fgColor rgb="00F3F4F6"/>
          <bgColor rgb="00F3F4F6"/>
        </patternFill>
      </fill>
    </dxf>
    <dxf>
      <fill>
        <patternFill patternType="solid">
          <fgColor rgb="00DC2626"/>
          <bgColor rgb="00DC2626"/>
        </patternFill>
      </fill>
    </dxf>
    <dxf>
      <fill>
        <patternFill patternType="solid">
          <fgColor rgb="009CA3AF"/>
          <bgColor rgb="009CA3AF"/>
        </patternFill>
      </fill>
    </dxf>
    <dxf>
      <fill>
        <patternFill patternType="solid">
          <fgColor rgb="0014B8A6"/>
          <bgColor rgb="0014B8A6"/>
        </patternFill>
      </fill>
    </dxf>
    <dxf>
      <fill>
        <patternFill patternType="solid">
          <fgColor rgb="00DBEAFE"/>
          <bgColor rgb="00DBEAFE"/>
        </patternFill>
      </fill>
    </dxf>
    <dxf>
      <font>
        <name val="Arial"/>
        <color rgb="00FFFFFF"/>
      </font>
      <fill>
        <patternFill patternType="solid">
          <fgColor rgb="002563EB"/>
          <bgColor rgb="002563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sz="1100" b="1">
                <a:solidFill>
                  <a:srgbClr val="0F5E5E"/>
                </a:solidFill>
              </a:defRPr>
            </a:pPr>
            <a:r>
              <a:rPr sz="1100" b="1">
                <a:solidFill>
                  <a:srgbClr val="0F5E5E"/>
                </a:solidFill>
              </a:rPr>
              <a:t>Budget vs forecast (top 12 categories)</a:t>
            </a:r>
          </a:p>
        </rich>
      </tx>
      <overlay val="0"/>
    </title>
    <plotArea>
      <barChart>
        <barDir val="bar"/>
        <grouping val="clustered"/>
        <ser>
          <idx val="0"/>
          <order val="0"/>
          <tx>
            <strRef>
              <f>'Engine'!AC1</f>
            </strRef>
          </tx>
          <spPr>
            <a:solidFill>
              <a:srgbClr val="CBD5E1"/>
            </a:solidFill>
            <a:ln>
              <a:prstDash val="solid"/>
            </a:ln>
          </spPr>
          <cat>
            <numRef>
              <f>'Engine'!$AB$2:$AB$13</f>
            </numRef>
          </cat>
          <val>
            <numRef>
              <f>'Engine'!$AC$2:$AC$13</f>
            </numRef>
          </val>
        </ser>
        <ser>
          <idx val="1"/>
          <order val="1"/>
          <tx>
            <strRef>
              <f>'Engine'!AD1</f>
            </strRef>
          </tx>
          <spPr>
            <a:solidFill>
              <a:srgbClr val="0F5E5E"/>
            </a:solidFill>
            <a:ln>
              <a:prstDash val="solid"/>
            </a:ln>
          </spPr>
          <cat>
            <numRef>
              <f>'Engine'!$AB$2:$AB$13</f>
            </numRef>
          </cat>
          <val>
            <numRef>
              <f>'Engine'!$AD$2:$AD$13</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solidFill>
                  <a:srgbClr val="0F5E5E"/>
                </a:solidFill>
              </a:defRPr>
            </a:pPr>
            <a:r>
              <a:rPr sz="1100" b="1">
                <a:solidFill>
                  <a:srgbClr val="0F5E5E"/>
                </a:solidFill>
              </a:rPr>
              <a:t>Cash flow per month</a:t>
            </a:r>
          </a:p>
        </rich>
      </tx>
      <overlay val="0"/>
    </title>
    <plotArea>
      <barChart>
        <barDir val="col"/>
        <grouping val="stacked"/>
        <ser>
          <idx val="0"/>
          <order val="0"/>
          <tx>
            <strRef>
              <f>'Payments'!AI7</f>
            </strRef>
          </tx>
          <spPr>
            <a:solidFill>
              <a:srgbClr val="0F5E5E"/>
            </a:solidFill>
            <a:ln>
              <a:prstDash val="solid"/>
            </a:ln>
          </spPr>
          <cat>
            <numRef>
              <f>'Payments'!$AH$8:$AH$19</f>
            </numRef>
          </cat>
          <val>
            <numRef>
              <f>'Payments'!$AI$8:$AI$19</f>
            </numRef>
          </val>
        </ser>
        <ser>
          <idx val="1"/>
          <order val="1"/>
          <tx>
            <strRef>
              <f>'Payments'!AJ7</f>
            </strRef>
          </tx>
          <spPr>
            <a:solidFill>
              <a:srgbClr val="F59E0B"/>
            </a:solidFill>
            <a:ln>
              <a:prstDash val="solid"/>
            </a:ln>
          </spPr>
          <cat>
            <numRef>
              <f>'Payments'!$AH$8:$AH$19</f>
            </numRef>
          </cat>
          <val>
            <numRef>
              <f>'Payments'!$AJ$8:$AJ$19</f>
            </numRef>
          </val>
        </ser>
        <gapWidth val="60"/>
        <overlap val="100"/>
        <axId val="10"/>
        <axId val="100"/>
      </barChart>
      <catAx>
        <axId val="10"/>
        <scaling>
          <orientation val="minMax"/>
        </scaling>
        <delete val="0"/>
        <axPos val="l"/>
        <numFmt formatCode="mmm yy" sourceLinked="0"/>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Renovation OS</author>
  </authors>
  <commentList>
    <comment ref="B9" authorId="0" shapeId="0">
      <text>
        <t>Your total renovation budget including tax. Renovation OS keeps the contingency % aside as a safety buffer, the rest is your working budget.</t>
      </text>
    </comment>
    <comment ref="B11" authorId="0" shapeId="0">
      <text>
        <t>Normally empty. Type a date here to see the workbook as it was/will be on that date. The demo file is frozen on a date so every feature shows data.</t>
      </text>
    </comment>
    <comment ref="B17" authorId="0" shapeId="0">
      <text>
        <t>When a quote says prices exclude tax, Quotes adds this rate so all quotes are compared like-for-like.</t>
      </text>
    </comment>
    <comment ref="B24" authorId="0" shapeId="0">
      <text>
        <t>Money you keep aside for surprises. Working budget = total budget − contingency.</t>
      </text>
    </comment>
    <comment ref="B26" authorId="0" shapeId="0">
      <text>
        <t>Time you want between making a decision (e.g. choosing tiles) and placing the order.</t>
      </text>
    </comment>
    <comment ref="B27" authorId="0" shapeId="0">
      <text>
        <t>Order-by = needed-on date − supplier lead time − this buffer.</t>
      </text>
    </comment>
    <comment ref="B28" authorId="0" shapeId="0">
      <text>
        <t>Protects you from paying ahead of progress. Example: 10% means paying 50% for 35% of the work triggers a warning.</t>
      </text>
    </comment>
  </commentList>
</comments>
</file>

<file path=xl/comments/comment2.xml><?xml version="1.0" encoding="utf-8"?>
<comments xmlns="http://schemas.openxmlformats.org/spreadsheetml/2006/main">
  <authors>
    <author>Renovation OS</author>
  </authors>
  <commentList>
    <comment ref="C4" authorId="0" shapeId="0">
      <text>
        <t>Shows the current week automatically. Type any date to plan another week (to go back, type  =AsOf  or re-download the formula from the guide).</t>
      </text>
    </comment>
  </commentList>
</comments>
</file>

<file path=xl/comments/comment3.xml><?xml version="1.0" encoding="utf-8"?>
<comments xmlns="http://schemas.openxmlformats.org/spreadsheetml/2006/main">
  <authors>
    <author>Renovation OS</author>
  </authors>
  <commentList>
    <comment ref="B7" authorId="0" shapeId="0">
      <text>
        <t>Rename, add or clear categories (up to 30). They feed every Category dropdown in the workbook.</t>
      </text>
    </comment>
    <comment ref="D7" authorId="0" shapeId="0">
      <text>
        <t>Estimating = still collecting quotes. Contracted = contract signed. Complete = work finished and final invoice received.</t>
      </text>
    </comment>
    <comment ref="E7" authorId="0" shapeId="0">
      <text>
        <t>Lowest TRUE cost (incl. hidden costs) from the Quotes tab for this category.</t>
      </text>
    </comment>
    <comment ref="F7" authorId="0" shapeId="0">
      <text>
        <t>Sum of SIGNED contracts on the Contractors tab with this category.</t>
      </text>
    </comment>
    <comment ref="G7" authorId="0" shapeId="0">
      <text>
        <t>Materials you buy yourself: selected option prices on Selections &amp; Orders.</t>
      </text>
    </comment>
    <comment ref="H7" authorId="0" shapeId="0">
      <text>
        <t>Approved change orders for this category.</t>
      </text>
    </comment>
    <comment ref="I7" authorId="0" shapeId="0">
      <text>
        <t>Contracted + materials + approved changes: money you have promised to spend.</t>
      </text>
    </comment>
    <comment ref="L7" authorId="0" shapeId="0">
      <text>
        <t>Estimating: the highest of budget, best quote, committed and invoiced (be pessimistic until signed). Contracted/Complete: committed (or invoiced if higher).</t>
      </text>
    </comment>
    <comment ref="M7" authorId="0" shapeId="0">
      <text>
        <t>Budget − forecast. Negative (red) = over budget.</t>
      </text>
    </comment>
  </commentList>
</comments>
</file>

<file path=xl/comments/comment4.xml><?xml version="1.0" encoding="utf-8"?>
<comments xmlns="http://schemas.openxmlformats.org/spreadsheetml/2006/main">
  <authors>
    <author>Renovation OS</author>
  </authors>
  <commentList>
    <comment ref="B13" authorId="0" shapeId="0">
      <text>
        <t>Yes = the price already includes tax. No = Renovation OS adds your default tax rate (Start Here) so quotes compare like-for-like.</t>
      </text>
    </comment>
    <comment ref="B18" authorId="0" shapeId="0">
      <text>
        <t>1 = bad feeling, 5 = great. Trust matters on a 6-month job.</t>
      </text>
    </comment>
    <comment ref="B19" authorId="0" shapeId="0">
      <text>
        <t>Expiry date written on the quote. You get an alert before it expires (unless the category is already Contracted).</t>
      </text>
    </comment>
    <comment ref="B35" authorId="0" shapeId="0">
      <text>
        <t>Price incl. tax + all estimated hidden extras. This is what the job will really cost you.</t>
      </text>
    </comment>
    <comment ref="B36" authorId="0" shapeId="0">
      <text>
        <t>Share of the 13 checklist items marked Included.</t>
      </text>
    </comment>
    <comment ref="B52" authorId="0" shapeId="0">
      <text>
        <t>Yes = the price already includes tax. No = Renovation OS adds your default tax rate (Start Here) so quotes compare like-for-like.</t>
      </text>
    </comment>
    <comment ref="B57" authorId="0" shapeId="0">
      <text>
        <t>1 = bad feeling, 5 = great. Trust matters on a 6-month job.</t>
      </text>
    </comment>
    <comment ref="B58" authorId="0" shapeId="0">
      <text>
        <t>Expiry date written on the quote. You get an alert before it expires (unless the category is already Contracted).</t>
      </text>
    </comment>
    <comment ref="B74" authorId="0" shapeId="0">
      <text>
        <t>Price incl. tax + all estimated hidden extras. This is what the job will really cost you.</t>
      </text>
    </comment>
    <comment ref="B75" authorId="0" shapeId="0">
      <text>
        <t>Share of the 13 checklist items marked Included.</t>
      </text>
    </comment>
    <comment ref="B91" authorId="0" shapeId="0">
      <text>
        <t>Yes = the price already includes tax. No = Renovation OS adds your default tax rate (Start Here) so quotes compare like-for-like.</t>
      </text>
    </comment>
    <comment ref="B96" authorId="0" shapeId="0">
      <text>
        <t>1 = bad feeling, 5 = great. Trust matters on a 6-month job.</t>
      </text>
    </comment>
    <comment ref="B97" authorId="0" shapeId="0">
      <text>
        <t>Expiry date written on the quote. You get an alert before it expires (unless the category is already Contracted).</t>
      </text>
    </comment>
    <comment ref="B113" authorId="0" shapeId="0">
      <text>
        <t>Price incl. tax + all estimated hidden extras. This is what the job will really cost you.</t>
      </text>
    </comment>
    <comment ref="B114" authorId="0" shapeId="0">
      <text>
        <t>Share of the 13 checklist items marked Included.</t>
      </text>
    </comment>
    <comment ref="B130" authorId="0" shapeId="0">
      <text>
        <t>Yes = the price already includes tax. No = Renovation OS adds your default tax rate (Start Here) so quotes compare like-for-like.</t>
      </text>
    </comment>
    <comment ref="B135" authorId="0" shapeId="0">
      <text>
        <t>1 = bad feeling, 5 = great. Trust matters on a 6-month job.</t>
      </text>
    </comment>
    <comment ref="B136" authorId="0" shapeId="0">
      <text>
        <t>Expiry date written on the quote. You get an alert before it expires (unless the category is already Contracted).</t>
      </text>
    </comment>
    <comment ref="B152" authorId="0" shapeId="0">
      <text>
        <t>Price incl. tax + all estimated hidden extras. This is what the job will really cost you.</t>
      </text>
    </comment>
    <comment ref="B153" authorId="0" shapeId="0">
      <text>
        <t>Share of the 13 checklist items marked Included.</t>
      </text>
    </comment>
    <comment ref="B169" authorId="0" shapeId="0">
      <text>
        <t>Yes = the price already includes tax. No = Renovation OS adds your default tax rate (Start Here) so quotes compare like-for-like.</t>
      </text>
    </comment>
    <comment ref="B174" authorId="0" shapeId="0">
      <text>
        <t>1 = bad feeling, 5 = great. Trust matters on a 6-month job.</t>
      </text>
    </comment>
    <comment ref="B175" authorId="0" shapeId="0">
      <text>
        <t>Expiry date written on the quote. You get an alert before it expires (unless the category is already Contracted).</t>
      </text>
    </comment>
    <comment ref="B191" authorId="0" shapeId="0">
      <text>
        <t>Price incl. tax + all estimated hidden extras. This is what the job will really cost you.</t>
      </text>
    </comment>
    <comment ref="B192" authorId="0" shapeId="0">
      <text>
        <t>Share of the 13 checklist items marked Included.</t>
      </text>
    </comment>
    <comment ref="B208" authorId="0" shapeId="0">
      <text>
        <t>Yes = the price already includes tax. No = Renovation OS adds your default tax rate (Start Here) so quotes compare like-for-like.</t>
      </text>
    </comment>
    <comment ref="B213" authorId="0" shapeId="0">
      <text>
        <t>1 = bad feeling, 5 = great. Trust matters on a 6-month job.</t>
      </text>
    </comment>
    <comment ref="B214" authorId="0" shapeId="0">
      <text>
        <t>Expiry date written on the quote. You get an alert before it expires (unless the category is already Contracted).</t>
      </text>
    </comment>
    <comment ref="B230" authorId="0" shapeId="0">
      <text>
        <t>Price incl. tax + all estimated hidden extras. This is what the job will really cost you.</t>
      </text>
    </comment>
    <comment ref="B231" authorId="0" shapeId="0">
      <text>
        <t>Share of the 13 checklist items marked Included.</t>
      </text>
    </comment>
    <comment ref="B247" authorId="0" shapeId="0">
      <text>
        <t>Yes = the price already includes tax. No = Renovation OS adds your default tax rate (Start Here) so quotes compare like-for-like.</t>
      </text>
    </comment>
    <comment ref="B252" authorId="0" shapeId="0">
      <text>
        <t>1 = bad feeling, 5 = great. Trust matters on a 6-month job.</t>
      </text>
    </comment>
    <comment ref="B253" authorId="0" shapeId="0">
      <text>
        <t>Expiry date written on the quote. You get an alert before it expires (unless the category is already Contracted).</t>
      </text>
    </comment>
    <comment ref="B269" authorId="0" shapeId="0">
      <text>
        <t>Price incl. tax + all estimated hidden extras. This is what the job will really cost you.</t>
      </text>
    </comment>
    <comment ref="B270" authorId="0" shapeId="0">
      <text>
        <t>Share of the 13 checklist items marked Included.</t>
      </text>
    </comment>
    <comment ref="B286" authorId="0" shapeId="0">
      <text>
        <t>Yes = the price already includes tax. No = Renovation OS adds your default tax rate (Start Here) so quotes compare like-for-like.</t>
      </text>
    </comment>
    <comment ref="B291" authorId="0" shapeId="0">
      <text>
        <t>1 = bad feeling, 5 = great. Trust matters on a 6-month job.</t>
      </text>
    </comment>
    <comment ref="B292" authorId="0" shapeId="0">
      <text>
        <t>Expiry date written on the quote. You get an alert before it expires (unless the category is already Contracted).</t>
      </text>
    </comment>
    <comment ref="B308" authorId="0" shapeId="0">
      <text>
        <t>Price incl. tax + all estimated hidden extras. This is what the job will really cost you.</t>
      </text>
    </comment>
    <comment ref="B309" authorId="0" shapeId="0">
      <text>
        <t>Share of the 13 checklist items marked Included.</t>
      </text>
    </comment>
    <comment ref="B325" authorId="0" shapeId="0">
      <text>
        <t>Yes = the price already includes tax. No = Renovation OS adds your default tax rate (Start Here) so quotes compare like-for-like.</t>
      </text>
    </comment>
    <comment ref="B330" authorId="0" shapeId="0">
      <text>
        <t>1 = bad feeling, 5 = great. Trust matters on a 6-month job.</t>
      </text>
    </comment>
    <comment ref="B331" authorId="0" shapeId="0">
      <text>
        <t>Expiry date written on the quote. You get an alert before it expires (unless the category is already Contracted).</t>
      </text>
    </comment>
    <comment ref="B347" authorId="0" shapeId="0">
      <text>
        <t>Price incl. tax + all estimated hidden extras. This is what the job will really cost you.</t>
      </text>
    </comment>
    <comment ref="B348" authorId="0" shapeId="0">
      <text>
        <t>Share of the 13 checklist items marked Included.</t>
      </text>
    </comment>
    <comment ref="B364" authorId="0" shapeId="0">
      <text>
        <t>Yes = the price already includes tax. No = Renovation OS adds your default tax rate (Start Here) so quotes compare like-for-like.</t>
      </text>
    </comment>
    <comment ref="B369" authorId="0" shapeId="0">
      <text>
        <t>1 = bad feeling, 5 = great. Trust matters on a 6-month job.</t>
      </text>
    </comment>
    <comment ref="B370" authorId="0" shapeId="0">
      <text>
        <t>Expiry date written on the quote. You get an alert before it expires (unless the category is already Contracted).</t>
      </text>
    </comment>
    <comment ref="B386" authorId="0" shapeId="0">
      <text>
        <t>Price incl. tax + all estimated hidden extras. This is what the job will really cost you.</t>
      </text>
    </comment>
    <comment ref="B387" authorId="0" shapeId="0">
      <text>
        <t>Share of the 13 checklist items marked Included.</t>
      </text>
    </comment>
  </commentList>
</comments>
</file>

<file path=xl/comments/comment5.xml><?xml version="1.0" encoding="utf-8"?>
<comments xmlns="http://schemas.openxmlformats.org/spreadsheetml/2006/main">
  <authors>
    <author>Renovation OS</author>
  </authors>
  <commentList>
    <comment ref="D5" authorId="0" shapeId="0">
      <text>
        <t>Links this contract to a Budget line.</t>
      </text>
    </comment>
    <comment ref="E5" authorId="0" shapeId="0">
      <text>
        <t>Where most of their work happens (or Whole house). Used by the Rooms tab.</t>
      </text>
    </comment>
    <comment ref="I5" authorId="0" shapeId="0">
      <text>
        <t>Signed contract amount incl. tax (without later change orders).</t>
      </text>
    </comment>
    <comment ref="L5" authorId="0" shapeId="0">
      <text>
        <t>Only signed contracts count as Committed on the Budget.</t>
      </text>
    </comment>
    <comment ref="O5" authorId="0" shapeId="0">
      <text>
        <t>Have you seen a valid liability insurance certificate?</t>
      </text>
    </comment>
    <comment ref="P5" authorId="0" shapeId="0">
      <text>
        <t>Registered / licensed for this trade where required?</t>
      </text>
    </comment>
    <comment ref="R5" authorId="0" shapeId="0">
      <text>
        <t>YOUR estimate of how much of their work is done. Update weekly — it drives the overpayment check.</t>
      </text>
    </comment>
    <comment ref="U5" authorId="0" shapeId="0">
      <text>
        <t>⚠️ appears when paid % is ahead of work complete % by more than your tolerance (Start Here).</t>
      </text>
    </comment>
  </commentList>
</comments>
</file>

<file path=xl/comments/comment6.xml><?xml version="1.0" encoding="utf-8"?>
<comments xmlns="http://schemas.openxmlformats.org/spreadsheetml/2006/main">
  <authors>
    <author>Renovation OS</author>
  </authors>
  <commentList>
    <comment ref="B5" authorId="0" shapeId="0">
      <text>
        <t>Pick a contractor, or type any supplier name (you'll get a warning you can accept).</t>
      </text>
    </comment>
    <comment ref="D5" authorId="0" shapeId="0">
      <text>
        <t>Leave empty to use the contractor's main room.</t>
      </text>
    </comment>
    <comment ref="E5" authorId="0" shapeId="0">
      <text>
        <t>Only needed for suppliers that are not on the Contractors tab, so the payment lands on the right Budget line.</t>
      </text>
    </comment>
    <comment ref="F5" authorId="0" shapeId="0">
      <text>
        <t>Milestone as % of the contract value…</t>
      </text>
    </comment>
    <comment ref="G5" authorId="0" shapeId="0">
      <text>
        <t>…or a fixed amount (wins over %).</t>
      </text>
    </comment>
    <comment ref="M5" authorId="0" shapeId="0">
      <text>
        <t>Enter the date you paid — this marks the row as Paid.</t>
      </text>
    </comment>
    <comment ref="AK5" authorId="0" shapeId="0">
      <text>
        <t>All unpaid amounts due in the next 30 days, including anything overdue.</t>
      </text>
    </comment>
  </commentList>
</comments>
</file>

<file path=xl/comments/comment7.xml><?xml version="1.0" encoding="utf-8"?>
<comments xmlns="http://schemas.openxmlformats.org/spreadsheetml/2006/main">
  <authors>
    <author>Renovation OS</author>
  </authors>
  <commentList>
    <comment ref="J6" authorId="0" shapeId="0">
      <text>
        <t>Extra cost incl. tax. Use a negative number for savings.</t>
      </text>
    </comment>
    <comment ref="K6" authorId="0" shapeId="0">
      <text>
        <t>How many days this adds. After approving, also add these days as Delay on the affected Timeline task.</t>
      </text>
    </comment>
    <comment ref="N6" authorId="0" shapeId="0">
      <text>
        <t>Budget forecast total including this change (already included if Approved).</t>
      </text>
    </comment>
  </commentList>
</comments>
</file>

<file path=xl/comments/comment8.xml><?xml version="1.0" encoding="utf-8"?>
<comments xmlns="http://schemas.openxmlformats.org/spreadsheetml/2006/main">
  <authors>
    <author>Renovation OS</author>
  </authors>
  <commentList>
    <comment ref="B6" authorId="0" shapeId="0">
      <text>
        <t>Fixed task number. Use it in the Predecessor column of later tasks.</t>
      </text>
    </comment>
    <comment ref="G6" authorId="0" shapeId="0">
      <text>
        <t>Calendar days the task takes.</t>
      </text>
    </comment>
    <comment ref="H6" authorId="0" shapeId="0">
      <text>
        <t>ID of the task that must finish first. It must be a LOWER ID (a task listed above this one). Leave empty if none.</t>
      </text>
    </comment>
    <comment ref="I6" authorId="0" shapeId="0">
      <text>
        <t>Optional: the task cannot start before this date (e.g. contractor availability).</t>
      </text>
    </comment>
    <comment ref="J6" authorId="0" shapeId="0">
      <text>
        <t>Latest of: project start, your earliest start, predecessor end + 1.</t>
      </text>
    </comment>
    <comment ref="K6" authorId="0" shapeId="0">
      <text>
        <t>Days this task slipped. Everything that depends on it moves too.</t>
      </text>
    </comment>
    <comment ref="O6" authorId="0" shapeId="0">
      <text>
        <t>How many tasks list this one as predecessor. &gt;0 = on the critical path: a delay here pushes them.</t>
      </text>
    </comment>
  </commentList>
</comments>
</file>

<file path=xl/comments/comment9.xml><?xml version="1.0" encoding="utf-8"?>
<comments xmlns="http://schemas.openxmlformats.org/spreadsheetml/2006/main">
  <authors>
    <author>Renovation OS</author>
  </authors>
  <commentList>
    <comment ref="K7" authorId="0" shapeId="0">
      <text>
        <t>Pick A, B or C once decided. Empty = decision still open.</t>
      </text>
    </comment>
    <comment ref="L7" authorId="0" shapeId="0">
      <text>
        <t>Counts as Materials on the Budget tab.</t>
      </text>
    </comment>
    <comment ref="O7" authorId="0" shapeId="0">
      <text>
        <t>Days between ordering and delivery (ask the supplier).</t>
      </text>
    </comment>
    <comment ref="P7" authorId="0" shapeId="0">
      <text>
        <t>ID of the Timeline task that installs this item. Its start date becomes the needed-on date.</t>
      </text>
    </comment>
    <comment ref="Q7" authorId="0" shapeId="0">
      <text>
        <t>Optional: type a date to override the Timeline date.</t>
      </text>
    </comment>
    <comment ref="S7" authorId="0" shapeId="0">
      <text>
        <t>Needed-on − lead time − order safety buffer (Start Here).</t>
      </text>
    </comment>
    <comment ref="T7" authorId="0" shapeId="0">
      <text>
        <t>Order-by − decide-before-order buffer (Start Here).</t>
      </text>
    </comment>
  </commentList>
</comments>
</file>

<file path=xl/comments/comment10.xml><?xml version="1.0" encoding="utf-8"?>
<comments xmlns="http://schemas.openxmlformats.org/spreadsheetml/2006/main">
  <authors>
    <author>Renovation OS</author>
  </authors>
  <commentList>
    <comment ref="H7" authorId="0" shapeId="0">
      <text>
        <t>High = safety, structure, water, or blocks other work. Always shows as 🔴.</t>
      </text>
    </comment>
    <comment ref="I7" authorId="0" shapeId="0">
      <text>
        <t>What it may cost YOU (0 if the contractor pays). Open issue costs are shown as risk on the Budget tab.</t>
      </text>
    </comment>
    <comment ref="N7" authorId="0" shapeId="0">
      <text>
        <t>Paste a Google Photos / Drive / OneDrive link.</t>
      </text>
    </comment>
  </commentList>
</comments>
</file>

<file path=xl/comments/comment11.xml><?xml version="1.0" encoding="utf-8"?>
<comments xmlns="http://schemas.openxmlformats.org/spreadsheetml/2006/main">
  <authors>
    <author>Renovation OS</author>
  </authors>
  <commentList>
    <comment ref="F5" authorId="0" shapeId="0">
      <text>
        <t>For photos: which stage of the work (feeds the photo tracker).</t>
      </text>
    </comment>
    <comment ref="H5" authorId="0" shapeId="0">
      <text>
        <t>Paste the share link of the file or folder.</t>
      </text>
    </comment>
  </commentList>
</comments>
</file>

<file path=xl/comments/comment12.xml><?xml version="1.0" encoding="utf-8"?>
<comments xmlns="http://schemas.openxmlformats.org/spreadsheetml/2006/main">
  <authors>
    <author>Renovation OS</author>
  </authors>
  <commentList>
    <comment ref="I6" authorId="0" shapeId="0">
      <text>
        <t>Expires soon = within 90 days: inspect and report defects now.</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40</row>
      <rowOff>0</rowOff>
    </from>
    <ext cx="4536000" cy="360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40</row>
      <rowOff>0</rowOff>
    </from>
    <ext cx="4536000" cy="36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A1" TargetMode="External" Id="rId1" /><Relationship Type="http://schemas.openxmlformats.org/officeDocument/2006/relationships/hyperlink" Target="#'This Week'!A1" TargetMode="External" Id="rId2" /><Relationship Type="http://schemas.openxmlformats.org/officeDocument/2006/relationships/hyperlink" Target="#'Budget'!A1" TargetMode="External" Id="rId3" /><Relationship Type="http://schemas.openxmlformats.org/officeDocument/2006/relationships/hyperlink" Target="#'Quotes'!A1" TargetMode="External" Id="rId4" /><Relationship Type="http://schemas.openxmlformats.org/officeDocument/2006/relationships/hyperlink" Target="#'Contractors'!A1" TargetMode="External" Id="rId5" /><Relationship Type="http://schemas.openxmlformats.org/officeDocument/2006/relationships/hyperlink" Target="#'Payments'!A1" TargetMode="External" Id="rId6" /><Relationship Type="http://schemas.openxmlformats.org/officeDocument/2006/relationships/hyperlink" Target="#'Change Orders'!A1" TargetMode="External" Id="rId7" /><Relationship Type="http://schemas.openxmlformats.org/officeDocument/2006/relationships/hyperlink" Target="#'Timeline'!A1" TargetMode="External" Id="rId8" /><Relationship Type="http://schemas.openxmlformats.org/officeDocument/2006/relationships/hyperlink" Target="#'Rooms'!A1" TargetMode="External" Id="rId9" /><Relationship Type="http://schemas.openxmlformats.org/officeDocument/2006/relationships/hyperlink" Target="#'Selections &amp; Orders'!A1" TargetMode="External" Id="rId10" /><Relationship Type="http://schemas.openxmlformats.org/officeDocument/2006/relationships/hyperlink" Target="#'Issues &amp; Punch List'!A1" TargetMode="External" Id="rId11" /><Relationship Type="http://schemas.openxmlformats.org/officeDocument/2006/relationships/hyperlink" Target="#'Vault'!A1" TargetMode="External" Id="rId12" /><Relationship Type="http://schemas.openxmlformats.org/officeDocument/2006/relationships/hyperlink" Target="#'Warranty &amp; Maintenance'!A1" TargetMode="External" Id="rId1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hyperlink" Target="#'Contractors'!AA5" TargetMode="Externa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tabColor rgb="000F5E5E"/>
    <outlinePr summaryBelow="1" summaryRight="1"/>
    <pageSetUpPr/>
  </sheetPr>
  <dimension ref="A1:K47"/>
  <sheetViews>
    <sheetView showGridLines="0" workbookViewId="0">
      <pane ySplit="2" topLeftCell="A3" activePane="bottomLeft" state="frozen"/>
      <selection pane="bottomLeft" activeCell="A1" sqref="A1"/>
    </sheetView>
  </sheetViews>
  <sheetFormatPr baseColWidth="8" defaultRowHeight="15"/>
  <cols>
    <col width="2.5" customWidth="1" min="1" max="1"/>
    <col width="34" customWidth="1" min="2" max="2"/>
    <col width="22" customWidth="1" min="3" max="3"/>
    <col width="50" customWidth="1" min="4" max="4"/>
    <col width="3" customWidth="1" min="5" max="5"/>
    <col width="5" customWidth="1" min="6" max="6"/>
    <col width="16" customWidth="1" min="7" max="7"/>
    <col width="16" customWidth="1" min="8" max="8"/>
    <col width="16" customWidth="1" min="9" max="9"/>
    <col width="16" customWidth="1" min="10" max="10"/>
    <col width="16" customWidth="1" min="11" max="11"/>
    <col width="6" customWidth="1" min="12" max="12"/>
  </cols>
  <sheetData>
    <row r="1" ht="36" customHeight="1">
      <c r="B1" s="1" t="inlineStr">
        <is>
          <t>🏠 Renovation OS — Start Here</t>
        </is>
      </c>
    </row>
    <row r="2" ht="20" customHeight="1">
      <c r="B2" s="2" t="inlineStr">
        <is>
          <t>What this tab does: set up your project once (yellow cells), then follow the 5 steps on the right.</t>
        </is>
      </c>
    </row>
    <row r="3">
      <c r="B3" s="3" t="inlineStr">
        <is>
          <t>© 2026 Hang Nguyen — Renovation OS. Licensed to the original purchaser for personal use only. Do not share, copy, resell or redistribute.</t>
        </is>
      </c>
    </row>
    <row r="4">
      <c r="B4" s="4" t="inlineStr">
        <is>
          <t>YOUR PROJECT</t>
        </is>
      </c>
      <c r="C4" s="5" t="n"/>
      <c r="D4" s="5" t="n"/>
      <c r="F4" s="4" t="inlineStr">
        <is>
          <t>GET STARTED IN 10 MINUTES</t>
        </is>
      </c>
      <c r="G4" s="5" t="n"/>
      <c r="H4" s="5" t="n"/>
      <c r="I4" s="5" t="n"/>
      <c r="J4" s="5" t="n"/>
      <c r="K4" s="5" t="n"/>
    </row>
    <row r="5" ht="22" customHeight="1">
      <c r="B5" s="6" t="inlineStr">
        <is>
          <t>Project name</t>
        </is>
      </c>
      <c r="C5" s="7" t="inlineStr">
        <is>
          <t>Maple Lane Renovation</t>
        </is>
      </c>
      <c r="D5" s="8" t="inlineStr">
        <is>
          <t>Shown as the Dashboard title.</t>
        </is>
      </c>
      <c r="F5" s="9" t="n">
        <v>1</v>
      </c>
      <c r="G5" s="10" t="inlineStr">
        <is>
          <t>Fill in the yellow cells on the left</t>
        </is>
      </c>
    </row>
    <row r="6" ht="30" customHeight="1">
      <c r="B6" s="6" t="inlineStr">
        <is>
          <t>Property address</t>
        </is>
      </c>
      <c r="C6" s="7" t="inlineStr">
        <is>
          <t>12 Maple Lane</t>
        </is>
      </c>
      <c r="D6" s="8" t="inlineStr">
        <is>
          <t>For your own reference.</t>
        </is>
      </c>
      <c r="G6" s="11" t="inlineStr">
        <is>
          <t>Project dates, total budget, currency, tax. Everything else calculates itself.</t>
        </is>
      </c>
    </row>
    <row r="7" ht="22" customHeight="1">
      <c r="B7" s="6" t="inlineStr">
        <is>
          <t>Project start date</t>
        </is>
      </c>
      <c r="C7" s="12" t="n">
        <v>46083</v>
      </c>
      <c r="D7" s="8" t="inlineStr">
        <is>
          <t>First day of the project (design counts!). The Timeline starts here.</t>
        </is>
      </c>
      <c r="F7" s="9" t="n">
        <v>2</v>
      </c>
      <c r="G7" s="10" t="inlineStr">
        <is>
          <t>Budget tab: set a budget per category</t>
        </is>
      </c>
    </row>
    <row r="8" ht="30" customHeight="1">
      <c r="B8" s="6" t="inlineStr">
        <is>
          <t>Target move-in date</t>
        </is>
      </c>
      <c r="C8" s="12" t="n">
        <v>46255</v>
      </c>
      <c r="D8" s="8" t="inlineStr">
        <is>
          <t>The date you want to live in the house again.</t>
        </is>
      </c>
      <c r="G8" s="11" t="inlineStr">
        <is>
          <t>Rename categories if you like. Aim for the total to match your working budget.</t>
        </is>
      </c>
    </row>
    <row r="9" ht="22" customHeight="1">
      <c r="B9" s="13">
        <f>"Total budget incl. "&amp;TaxWord&amp;" ("&amp;CurSym&amp;")"</f>
        <v/>
      </c>
      <c r="C9" s="14" t="n">
        <v>135000</v>
      </c>
      <c r="D9" s="8" t="inlineStr">
        <is>
          <t>Everything you can spend, including tax and your safety buffer.</t>
        </is>
      </c>
      <c r="F9" s="9" t="n">
        <v>3</v>
      </c>
      <c r="G9" s="10" t="inlineStr">
        <is>
          <t>Contractors + Quotes: add who you work with</t>
        </is>
      </c>
    </row>
    <row r="10" ht="30" customHeight="1">
      <c r="B10" s="13">
        <f>"Total floor area ("&amp;AreaUnit&amp;")"</f>
        <v/>
      </c>
      <c r="C10" s="15" t="n">
        <v>142</v>
      </c>
      <c r="D10" s="8" t="inlineStr">
        <is>
          <t>Optional — used for cost per m² / ft².</t>
        </is>
      </c>
      <c r="G10" s="11" t="inlineStr">
        <is>
          <t>Compare quotes side by side — the hidden-cost checklist shows the TRUE price.</t>
        </is>
      </c>
    </row>
    <row r="11" ht="22" customHeight="1">
      <c r="B11" s="6" t="inlineStr">
        <is>
          <t>“Today” override (optional)</t>
        </is>
      </c>
      <c r="C11" s="12" t="n">
        <v>46188</v>
      </c>
      <c r="D11" s="16" t="inlineStr">
        <is>
          <t>DEMO is frozen on this date so every feature shows data — clear this cell to use today's date.</t>
        </is>
      </c>
      <c r="F11" s="9" t="n">
        <v>4</v>
      </c>
      <c r="G11" s="10" t="inlineStr">
        <is>
          <t>Timeline: set durations and dependencies</t>
        </is>
      </c>
    </row>
    <row r="12" ht="30" customHeight="1">
      <c r="G12" s="11" t="inlineStr">
        <is>
          <t>Dates, Gantt chart and order-by dates for your materials follow automatically.</t>
        </is>
      </c>
    </row>
    <row r="13">
      <c r="B13" s="4" t="inlineStr">
        <is>
          <t>PREFERENCES</t>
        </is>
      </c>
      <c r="C13" s="5" t="n"/>
      <c r="D13" s="5" t="n"/>
      <c r="F13" s="9" t="n">
        <v>5</v>
      </c>
      <c r="G13" s="10" t="inlineStr">
        <is>
          <t>Every Monday open Dashboard + This Week</t>
        </is>
      </c>
    </row>
    <row r="14" ht="30" customHeight="1">
      <c r="B14" s="6" t="inlineStr">
        <is>
          <t>Currency</t>
        </is>
      </c>
      <c r="C14" s="7" t="inlineStr">
        <is>
          <t>EUR €</t>
        </is>
      </c>
      <c r="D14" s="8" t="inlineStr">
        <is>
          <t>Shown next to every amount header. Pick ‘Other’ to type your own symbol.</t>
        </is>
      </c>
      <c r="G14" s="11" t="inlineStr">
        <is>
          <t>Do the ranked actions. On Friday fill the Friday Review. That's the whole routine.</t>
        </is>
      </c>
    </row>
    <row r="15" ht="22" customHeight="1">
      <c r="B15" s="6" t="inlineStr">
        <is>
          <t>Custom currency symbol</t>
        </is>
      </c>
      <c r="C15" s="7" t="n"/>
      <c r="D15" s="8" t="inlineStr">
        <is>
          <t>Only used when Currency = Other.</t>
        </is>
      </c>
    </row>
    <row r="16" ht="22" customHeight="1">
      <c r="B16" s="6" t="inlineStr">
        <is>
          <t>Tax name</t>
        </is>
      </c>
      <c r="C16" s="7" t="inlineStr">
        <is>
          <t>VAT</t>
        </is>
      </c>
      <c r="D16" s="8" t="inlineStr">
        <is>
          <t>VAT, Sales tax, GST… used in labels.</t>
        </is>
      </c>
    </row>
    <row r="17" ht="22" customHeight="1">
      <c r="B17" s="6" t="inlineStr">
        <is>
          <t>Default tax rate</t>
        </is>
      </c>
      <c r="C17" s="17" t="n">
        <v>0.21</v>
      </c>
      <c r="D17" s="8" t="inlineStr">
        <is>
          <t>Used to add tax to quotes entered WITHOUT tax.</t>
        </is>
      </c>
      <c r="F17" s="4" t="inlineStr">
        <is>
          <t>COLOUR LEGEND</t>
        </is>
      </c>
      <c r="G17" s="5" t="n"/>
      <c r="H17" s="5" t="n"/>
      <c r="I17" s="5" t="n"/>
      <c r="J17" s="5" t="n"/>
      <c r="K17" s="5" t="n"/>
    </row>
    <row r="18" ht="22" customHeight="1">
      <c r="B18" s="6" t="inlineStr">
        <is>
          <t>Prices usually quoted incl. tax?</t>
        </is>
      </c>
      <c r="C18" s="7" t="inlineStr">
        <is>
          <t>Yes</t>
        </is>
      </c>
      <c r="D18" s="8" t="inlineStr">
        <is>
          <t>Pre-fills each quote; you can still change it per quote.</t>
        </is>
      </c>
      <c r="F18" s="18" t="inlineStr"/>
      <c r="G18" s="19" t="inlineStr">
        <is>
          <t>Light-yellow cell = YOU TYPE HERE (or pick from the dropdown).</t>
        </is>
      </c>
    </row>
    <row r="19" ht="22" customHeight="1">
      <c r="B19" s="6" t="inlineStr">
        <is>
          <t>Area unit</t>
        </is>
      </c>
      <c r="C19" s="7" t="inlineStr">
        <is>
          <t>m²</t>
        </is>
      </c>
      <c r="D19" s="8" t="inlineStr">
        <is>
          <t>m² or ft² for room sizes.</t>
        </is>
      </c>
      <c r="F19" s="20" t="inlineStr"/>
      <c r="G19" s="19" t="inlineStr">
        <is>
          <t>White / grey cell = automatic. Protected so you can't break a formula.</t>
        </is>
      </c>
    </row>
    <row r="20" ht="22" customHeight="1">
      <c r="B20" s="6" t="inlineStr">
        <is>
          <t>Week starts on</t>
        </is>
      </c>
      <c r="C20" s="7" t="inlineStr">
        <is>
          <t>Monday</t>
        </is>
      </c>
      <c r="D20" s="8" t="inlineStr">
        <is>
          <t>Used by This Week and the Gantt chart.</t>
        </is>
      </c>
      <c r="F20" s="21" t="inlineStr">
        <is>
          <t>🟢</t>
        </is>
      </c>
      <c r="G20" s="19" t="inlineStr">
        <is>
          <t>On track — nothing to do.</t>
        </is>
      </c>
    </row>
    <row r="21" ht="22" customHeight="1">
      <c r="B21" s="6" t="inlineStr">
        <is>
          <t>Budget ‘attention’ band</t>
        </is>
      </c>
      <c r="C21" s="17" t="n">
        <v>0.05</v>
      </c>
      <c r="D21" s="8" t="inlineStr">
        <is>
          <t>A budget line turns 🟡 when forecast is over budget by up to this %, 🔴 above.</t>
        </is>
      </c>
      <c r="F21" s="22" t="inlineStr">
        <is>
          <t>🟡</t>
        </is>
      </c>
      <c r="G21" s="19" t="inlineStr">
        <is>
          <t>Needs attention soon (within your alert window).</t>
        </is>
      </c>
    </row>
    <row r="22" ht="22" customHeight="1">
      <c r="F22" s="23" t="inlineStr">
        <is>
          <t>🔴</t>
        </is>
      </c>
      <c r="G22" s="19" t="inlineStr">
        <is>
          <t>Urgent — overdue, over budget or at risk.</t>
        </is>
      </c>
    </row>
    <row r="23">
      <c r="B23" s="4" t="inlineStr">
        <is>
          <t>ALERT SETTINGS</t>
        </is>
      </c>
      <c r="C23" s="5" t="n"/>
      <c r="D23" s="5" t="n"/>
      <c r="G23" s="8" t="inlineStr">
        <is>
          <t>White cells are locked and protected, so a formula can never be broken by accident. Type only in the yellow cells.</t>
        </is>
      </c>
    </row>
    <row r="24" ht="22" customHeight="1">
      <c r="B24" s="6" t="inlineStr">
        <is>
          <t>Contingency (safety buffer) %</t>
        </is>
      </c>
      <c r="C24" s="17" t="n">
        <v>0.1</v>
      </c>
      <c r="D24" s="8" t="inlineStr">
        <is>
          <t>10–15% is typical. Kept aside from your total budget.</t>
        </is>
      </c>
    </row>
    <row r="25" ht="22" customHeight="1">
      <c r="B25" s="6" t="inlineStr">
        <is>
          <t>Alert window (days)</t>
        </is>
      </c>
      <c r="C25" s="24" t="n">
        <v>7</v>
      </c>
      <c r="D25" s="8" t="inlineStr">
        <is>
          <t>Things due within this many days show as 🟡 ‘this week’.</t>
        </is>
      </c>
      <c r="F25" s="4" t="inlineStr">
        <is>
          <t>YOUR TABS</t>
        </is>
      </c>
      <c r="G25" s="5" t="n"/>
      <c r="H25" s="5" t="n"/>
      <c r="I25" s="5" t="n"/>
      <c r="J25" s="5" t="n"/>
      <c r="K25" s="5" t="n"/>
    </row>
    <row r="26" ht="22" customHeight="1">
      <c r="B26" s="6" t="inlineStr">
        <is>
          <t>Decide-before-order buffer (days)</t>
        </is>
      </c>
      <c r="C26" s="24" t="n">
        <v>7</v>
      </c>
      <c r="D26" s="8" t="inlineStr">
        <is>
          <t>Decide this many days before the order-by date.</t>
        </is>
      </c>
      <c r="F26" s="25" t="inlineStr">
        <is>
          <t>▸</t>
        </is>
      </c>
      <c r="G26" s="26" t="inlineStr">
        <is>
          <t>Dashboard</t>
        </is>
      </c>
      <c r="I26" s="27" t="inlineStr">
        <is>
          <t>Your renovation at a glance + ranked next actions.</t>
        </is>
      </c>
    </row>
    <row r="27" ht="22" customHeight="1">
      <c r="B27" s="6" t="inlineStr">
        <is>
          <t>Order safety buffer (days)</t>
        </is>
      </c>
      <c r="C27" s="24" t="n">
        <v>5</v>
      </c>
      <c r="D27" s="8" t="inlineStr">
        <is>
          <t>Extra days between delivery and installation.</t>
        </is>
      </c>
      <c r="F27" s="25" t="inlineStr">
        <is>
          <t>▸</t>
        </is>
      </c>
      <c r="G27" s="26" t="inlineStr">
        <is>
          <t>This Week</t>
        </is>
      </c>
      <c r="I27" s="27" t="inlineStr">
        <is>
          <t>Monday plan and Friday review.</t>
        </is>
      </c>
    </row>
    <row r="28" ht="22" customHeight="1">
      <c r="B28" s="6" t="inlineStr">
        <is>
          <t>Overpayment tolerance %</t>
        </is>
      </c>
      <c r="C28" s="17" t="n">
        <v>0.1</v>
      </c>
      <c r="D28" s="8" t="inlineStr">
        <is>
          <t>Warn when paid % is more than this ahead of work done %.</t>
        </is>
      </c>
      <c r="F28" s="25" t="inlineStr">
        <is>
          <t>▸</t>
        </is>
      </c>
      <c r="G28" s="26" t="inlineStr">
        <is>
          <t>Budget</t>
        </is>
      </c>
      <c r="I28" s="27" t="inlineStr">
        <is>
          <t>Budget vs committed vs forecast per category.</t>
        </is>
      </c>
    </row>
    <row r="29">
      <c r="F29" s="25" t="inlineStr">
        <is>
          <t>▸</t>
        </is>
      </c>
      <c r="G29" s="26" t="inlineStr">
        <is>
          <t>Quotes</t>
        </is>
      </c>
      <c r="I29" s="27" t="inlineStr">
        <is>
          <t>Compare up to 4 quotes per trade, incl. hidden costs.</t>
        </is>
      </c>
    </row>
    <row r="30">
      <c r="B30" s="4" t="inlineStr">
        <is>
          <t>CALCULATED FOR YOU</t>
        </is>
      </c>
      <c r="C30" s="5" t="n"/>
      <c r="D30" s="5" t="n"/>
      <c r="F30" s="25" t="inlineStr">
        <is>
          <t>▸</t>
        </is>
      </c>
      <c r="G30" s="26" t="inlineStr">
        <is>
          <t>Contractors</t>
        </is>
      </c>
      <c r="I30" s="27" t="inlineStr">
        <is>
          <t>Contractors, overpayment check and communication log.</t>
        </is>
      </c>
    </row>
    <row r="31" ht="22" customHeight="1">
      <c r="B31" s="13">
        <f>"Contingency amount ("&amp;CurSym&amp;")"</f>
        <v/>
      </c>
      <c r="C31" s="28">
        <f>IF(TotalBudget="",0,TotalBudget*ContPct)</f>
        <v/>
      </c>
      <c r="D31" s="8" t="inlineStr">
        <is>
          <t>Kept aside for surprises — not part of your working budget.</t>
        </is>
      </c>
      <c r="F31" s="25" t="inlineStr">
        <is>
          <t>▸</t>
        </is>
      </c>
      <c r="G31" s="26" t="inlineStr">
        <is>
          <t>Payments</t>
        </is>
      </c>
      <c r="I31" s="27" t="inlineStr">
        <is>
          <t>Payment schedule, invoices and 12-month cash flow.</t>
        </is>
      </c>
    </row>
    <row r="32" ht="22" customHeight="1">
      <c r="B32" s="13">
        <f>"Working budget ("&amp;CurSym&amp;")"</f>
        <v/>
      </c>
      <c r="C32" s="28">
        <f>IF(TotalBudget="",0,TotalBudget-ContAmt)</f>
        <v/>
      </c>
      <c r="D32" s="8" t="inlineStr">
        <is>
          <t>What you plan to spend. Budget lines should add up to this.</t>
        </is>
      </c>
      <c r="F32" s="25" t="inlineStr">
        <is>
          <t>▸</t>
        </is>
      </c>
      <c r="G32" s="26" t="inlineStr">
        <is>
          <t>Change Orders</t>
        </is>
      </c>
      <c r="I32" s="27" t="inlineStr">
        <is>
          <t>Change orders with impact preview before you approve.</t>
        </is>
      </c>
    </row>
    <row r="33" ht="22" customHeight="1">
      <c r="B33" s="6" t="inlineStr">
        <is>
          <t>Currency symbol in use</t>
        </is>
      </c>
      <c r="C33" s="29">
        <f>IF(Currency="Other",IF(CustomSym="","¤",CustomSym),IFERROR(INDEX('Lists'!$Q$2:$Q$14,MATCH(Currency,'Lists'!$P$2:$P$14,0)),"¤"))</f>
        <v/>
      </c>
      <c r="F33" s="25" t="inlineStr">
        <is>
          <t>▸</t>
        </is>
      </c>
      <c r="G33" s="26" t="inlineStr">
        <is>
          <t>Timeline</t>
        </is>
      </c>
      <c r="I33" s="27" t="inlineStr">
        <is>
          <t>Tasks, dependencies and Gantt chart.</t>
        </is>
      </c>
    </row>
    <row r="34" ht="22" customHeight="1">
      <c r="B34" s="6" t="inlineStr">
        <is>
          <t>Today (as used by all tabs)</t>
        </is>
      </c>
      <c r="C34" s="30">
        <f>IF(AsOfOverride="",TODAY(),AsOfOverride)</f>
        <v/>
      </c>
      <c r="F34" s="25" t="inlineStr">
        <is>
          <t>▸</t>
        </is>
      </c>
      <c r="G34" s="26" t="inlineStr">
        <is>
          <t>Rooms</t>
        </is>
      </c>
      <c r="I34" s="27" t="inlineStr">
        <is>
          <t>One card per room: money, progress, problems.</t>
        </is>
      </c>
    </row>
    <row r="35" ht="22" customHeight="1">
      <c r="B35" s="6" t="inlineStr">
        <is>
          <t>Tax word used in labels</t>
        </is>
      </c>
      <c r="C35" s="29">
        <f>IF(OR(TaxName="None",TaxName=""),"tax",TaxName)</f>
        <v/>
      </c>
      <c r="F35" s="25" t="inlineStr">
        <is>
          <t>▸</t>
        </is>
      </c>
      <c r="G35" s="26" t="inlineStr">
        <is>
          <t>Selections &amp; Orders</t>
        </is>
      </c>
      <c r="I35" s="27" t="inlineStr">
        <is>
          <t>Decisions and orders — with decide-by and order-by dates.</t>
        </is>
      </c>
    </row>
    <row r="36">
      <c r="F36" s="25" t="inlineStr">
        <is>
          <t>▸</t>
        </is>
      </c>
      <c r="G36" s="26" t="inlineStr">
        <is>
          <t>Issues &amp; Punch List</t>
        </is>
      </c>
      <c r="I36" s="27" t="inlineStr">
        <is>
          <t>Problems found on site and the final punch list.</t>
        </is>
      </c>
    </row>
    <row r="37">
      <c r="F37" s="25" t="inlineStr">
        <is>
          <t>▸</t>
        </is>
      </c>
      <c r="G37" s="26" t="inlineStr">
        <is>
          <t>Vault</t>
        </is>
      </c>
      <c r="I37" s="27" t="inlineStr">
        <is>
          <t>Links to every document and photo + what is missing.</t>
        </is>
      </c>
    </row>
    <row r="38">
      <c r="F38" s="25" t="inlineStr">
        <is>
          <t>▸</t>
        </is>
      </c>
      <c r="G38" s="26" t="inlineStr">
        <is>
          <t>Warranty &amp; Maintenance</t>
        </is>
      </c>
      <c r="I38" s="27" t="inlineStr">
        <is>
          <t>Warranties and home maintenance after the renovation.</t>
        </is>
      </c>
    </row>
    <row r="39"/>
    <row r="40"/>
    <row r="41">
      <c r="B41" s="4" t="inlineStr">
        <is>
          <t>LICENCE &amp; TERMS OF USE</t>
        </is>
      </c>
      <c r="C41" s="5" t="n"/>
      <c r="D41" s="5" t="n"/>
      <c r="E41" s="5" t="n"/>
      <c r="F41" s="5" t="n"/>
      <c r="G41" s="5" t="n"/>
      <c r="H41" s="5" t="n"/>
      <c r="I41" s="5" t="n"/>
      <c r="J41" s="5" t="n"/>
      <c r="K41" s="5" t="n"/>
    </row>
    <row r="42" ht="18" customHeight="1">
      <c r="B42" s="31" t="inlineStr">
        <is>
          <t>Renovation OS © 2026 Hang Nguyen. All rights reserved.</t>
        </is>
      </c>
    </row>
    <row r="43" ht="28" customHeight="1">
      <c r="B43" s="11" t="inlineStr">
        <is>
          <t>• This file is licensed, not sold, to the original purchaser for personal, non-commercial use on their own home renovation.</t>
        </is>
      </c>
    </row>
    <row r="44" ht="28" customHeight="1">
      <c r="B44" s="11" t="inlineStr">
        <is>
          <t>• You may NOT share, copy, resell, redistribute, sublicense, give away or upload this file (or any modified version or part of it) to any website, marketplace, group or other person.</t>
        </is>
      </c>
    </row>
    <row r="45" ht="28" customHeight="1">
      <c r="B45" s="11" t="inlineStr">
        <is>
          <t>• The formulas, structure, layout and design are the intellectual property of Hang Nguyen. Removing this notice or the sheet protection is not permitted.</t>
        </is>
      </c>
    </row>
    <row r="46" ht="28" customHeight="1">
      <c r="B46" s="11" t="inlineStr">
        <is>
          <t>• Digital product: all sales are final. No refunds once the file has been delivered.</t>
        </is>
      </c>
    </row>
    <row r="47" ht="28" customHeight="1">
      <c r="B47" s="11" t="inlineStr">
        <is>
          <t>• Provided “as is” as a planning aid, without warranty. It is not financial, legal or construction advice — always check figures before you act on them.</t>
        </is>
      </c>
    </row>
  </sheetData>
  <sheetProtection selectLockedCells="1" selectUnlockedCells="0" sheet="1" objects="0" insertRows="1" insertHyperlinks="1" autoFilter="1" scenarios="0" formatColumns="0" deleteColumns="1" insertColumns="1" pivotTables="1" deleteRows="1" formatCells="1" formatRows="0" sort="1" password="CD61"/>
  <mergeCells count="52">
    <mergeCell ref="I32:K32"/>
    <mergeCell ref="G21:K21"/>
    <mergeCell ref="G12:K12"/>
    <mergeCell ref="I28:K28"/>
    <mergeCell ref="I37:K37"/>
    <mergeCell ref="G27:H27"/>
    <mergeCell ref="G11:K11"/>
    <mergeCell ref="G36:H36"/>
    <mergeCell ref="F5:F6"/>
    <mergeCell ref="G8:K8"/>
    <mergeCell ref="I33:K33"/>
    <mergeCell ref="B45:K45"/>
    <mergeCell ref="G7:K7"/>
    <mergeCell ref="G38:H38"/>
    <mergeCell ref="G10:K10"/>
    <mergeCell ref="G37:H37"/>
    <mergeCell ref="G13:K13"/>
    <mergeCell ref="G19:K19"/>
    <mergeCell ref="G28:H28"/>
    <mergeCell ref="I35:K35"/>
    <mergeCell ref="B47:K47"/>
    <mergeCell ref="G6:K6"/>
    <mergeCell ref="I29:K29"/>
    <mergeCell ref="G18:K18"/>
    <mergeCell ref="I38:K38"/>
    <mergeCell ref="F13:F14"/>
    <mergeCell ref="G34:H34"/>
    <mergeCell ref="B46:K46"/>
    <mergeCell ref="F9:F10"/>
    <mergeCell ref="G30:H30"/>
    <mergeCell ref="G33:H33"/>
    <mergeCell ref="I31:K31"/>
    <mergeCell ref="G14:K14"/>
    <mergeCell ref="B43:K43"/>
    <mergeCell ref="G5:K5"/>
    <mergeCell ref="I34:K34"/>
    <mergeCell ref="I30:K30"/>
    <mergeCell ref="F11:F12"/>
    <mergeCell ref="G26:H26"/>
    <mergeCell ref="B42:K42"/>
    <mergeCell ref="G29:H29"/>
    <mergeCell ref="G35:H35"/>
    <mergeCell ref="G20:K20"/>
    <mergeCell ref="I36:K36"/>
    <mergeCell ref="I27:K27"/>
    <mergeCell ref="G32:H32"/>
    <mergeCell ref="B44:K44"/>
    <mergeCell ref="I26:K26"/>
    <mergeCell ref="G31:H31"/>
    <mergeCell ref="F7:F8"/>
    <mergeCell ref="G22:K22"/>
    <mergeCell ref="G9:K9"/>
  </mergeCells>
  <dataValidations count="6">
    <dataValidation sqref="C14" showDropDown="0" showInputMessage="0" showErrorMessage="1" allowBlank="1" errorTitle="Renovation OS" error="Please pick a value from the dropdown list." type="list">
      <formula1>='Lists'!$P$2:$P$14</formula1>
    </dataValidation>
    <dataValidation sqref="C16" showDropDown="0" showInputMessage="0" showErrorMessage="1" allowBlank="1" errorTitle="Renovation OS" error="Please pick a value from the dropdown list." type="list">
      <formula1>='Lists'!$R$2:$R$10</formula1>
    </dataValidation>
    <dataValidation sqref="C18" showDropDown="0" showInputMessage="0" showErrorMessage="1" allowBlank="1" errorTitle="Renovation OS" error="Please pick a value from the dropdown list." type="list">
      <formula1>='Lists'!$A$2:$A$3</formula1>
    </dataValidation>
    <dataValidation sqref="C19" showDropDown="0" showInputMessage="0" showErrorMessage="1" allowBlank="1" errorTitle="Renovation OS" error="Please pick a value from the dropdown list." type="list">
      <formula1>='Lists'!$S$2:$S$3</formula1>
    </dataValidation>
    <dataValidation sqref="C20" showDropDown="0" showInputMessage="0" showErrorMessage="1" allowBlank="1" errorTitle="Renovation OS" error="Please pick a value from the dropdown list." type="list">
      <formula1>='Lists'!$T$2:$T$3</formula1>
    </dataValidation>
    <dataValidation sqref="C21" showDropDown="0" showInputMessage="0" showErrorMessage="1" allowBlank="1" errorTitle="Renovation OS" error="Please pick a value from the dropdown list." type="list">
      <formula1>='Lists'!$U$2:$U$4</formula1>
    </dataValidation>
  </dataValidations>
  <hyperlinks>
    <hyperlink xmlns:r="http://schemas.openxmlformats.org/officeDocument/2006/relationships" ref="G26" r:id="rId1"/>
    <hyperlink xmlns:r="http://schemas.openxmlformats.org/officeDocument/2006/relationships" ref="G27" r:id="rId2"/>
    <hyperlink xmlns:r="http://schemas.openxmlformats.org/officeDocument/2006/relationships" ref="G28" r:id="rId3"/>
    <hyperlink xmlns:r="http://schemas.openxmlformats.org/officeDocument/2006/relationships" ref="G29" r:id="rId4"/>
    <hyperlink xmlns:r="http://schemas.openxmlformats.org/officeDocument/2006/relationships" ref="G30" r:id="rId5"/>
    <hyperlink xmlns:r="http://schemas.openxmlformats.org/officeDocument/2006/relationships" ref="G31" r:id="rId6"/>
    <hyperlink xmlns:r="http://schemas.openxmlformats.org/officeDocument/2006/relationships" ref="G32" r:id="rId7"/>
    <hyperlink xmlns:r="http://schemas.openxmlformats.org/officeDocument/2006/relationships" ref="G33" r:id="rId8"/>
    <hyperlink xmlns:r="http://schemas.openxmlformats.org/officeDocument/2006/relationships" ref="G34" r:id="rId9"/>
    <hyperlink xmlns:r="http://schemas.openxmlformats.org/officeDocument/2006/relationships" ref="G35" r:id="rId10"/>
    <hyperlink xmlns:r="http://schemas.openxmlformats.org/officeDocument/2006/relationships" ref="G36" r:id="rId11"/>
    <hyperlink xmlns:r="http://schemas.openxmlformats.org/officeDocument/2006/relationships" ref="G37" r:id="rId12"/>
    <hyperlink xmlns:r="http://schemas.openxmlformats.org/officeDocument/2006/relationships" ref="G38" r:id="rId13"/>
  </hyperlink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0F5E5E"/>
    <outlinePr summaryBelow="1" summaryRight="1"/>
    <pageSetUpPr/>
  </sheetPr>
  <dimension ref="A1:Q40"/>
  <sheetViews>
    <sheetView showGridLines="0" workbookViewId="0">
      <selection activeCell="A1" sqref="A1"/>
    </sheetView>
  </sheetViews>
  <sheetFormatPr baseColWidth="8" defaultRowHeight="15"/>
  <cols>
    <col width="2.5"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3" customWidth="1" min="12" max="12"/>
    <col width="3" customWidth="1" min="13" max="13"/>
    <col hidden="1" width="13" customWidth="1" min="14" max="14"/>
    <col hidden="1" width="13" customWidth="1" min="15" max="15"/>
    <col hidden="1" width="13" customWidth="1" min="16" max="16"/>
    <col hidden="1" width="13" customWidth="1" min="17" max="17"/>
  </cols>
  <sheetData>
    <row r="1" ht="36" customHeight="1">
      <c r="B1" s="32">
        <f>"🏠 "&amp;IF(ProjName="","My renovation",ProjName)</f>
        <v/>
      </c>
    </row>
    <row r="2" ht="20" customHeight="1">
      <c r="B2" s="2" t="inlineStr">
        <is>
          <t>What this tab does: your renovation at a glance — updated automatically. Nothing to type here.</t>
        </is>
      </c>
      <c r="I2" s="33" t="inlineStr">
        <is>
          <t>As of</t>
        </is>
      </c>
      <c r="J2" s="34">
        <f>AsOf</f>
        <v/>
      </c>
    </row>
    <row r="3">
      <c r="B3" s="3" t="inlineStr">
        <is>
          <t>© 2026 Hang Nguyen — Renovation OS. Licensed to the original purchaser for personal use only. Do not share, copy, resell or redistribute.</t>
        </is>
      </c>
    </row>
    <row r="4" ht="18" customHeight="1">
      <c r="B4" s="35">
        <f>"Working budget ("&amp;CurSym&amp;")"</f>
        <v/>
      </c>
      <c r="C4" s="36" t="n"/>
      <c r="D4" s="35">
        <f>"Committed ("&amp;CurSym&amp;")"</f>
        <v/>
      </c>
      <c r="E4" s="36" t="n"/>
      <c r="F4" s="35">
        <f>"Invoiced ("&amp;CurSym&amp;")"</f>
        <v/>
      </c>
      <c r="G4" s="36" t="n"/>
      <c r="H4" s="35">
        <f>"Paid ("&amp;CurSym&amp;")"</f>
        <v/>
      </c>
      <c r="I4" s="36" t="n"/>
      <c r="J4" s="35">
        <f>"Remaining to commit ("&amp;CurSym&amp;")"</f>
        <v/>
      </c>
      <c r="K4" s="36" t="n"/>
    </row>
    <row r="5" ht="30" customHeight="1">
      <c r="B5" s="37">
        <f>WorkBudget</f>
        <v/>
      </c>
      <c r="C5" s="36" t="n"/>
      <c r="D5" s="37">
        <f>CommittedTotal</f>
        <v/>
      </c>
      <c r="E5" s="36" t="n"/>
      <c r="F5" s="37">
        <f>InvoicedTotal</f>
        <v/>
      </c>
      <c r="G5" s="36" t="n"/>
      <c r="H5" s="37">
        <f>PaidTotal</f>
        <v/>
      </c>
      <c r="I5" s="36" t="n"/>
      <c r="J5" s="37">
        <f>WorkBudget-CommittedTotal</f>
        <v/>
      </c>
      <c r="K5" s="36" t="n"/>
    </row>
    <row r="6" ht="18" customHeight="1">
      <c r="B6" s="38">
        <f>"of "&amp;FIXED(TotalBudget,0)&amp;" total budget"</f>
        <v/>
      </c>
      <c r="C6" s="36" t="n"/>
      <c r="D6" s="38">
        <f>IF(WorkBudget=0,"",ROUND(CommittedTotal/WorkBudget*100,0)&amp;"% of working budget")</f>
        <v/>
      </c>
      <c r="E6" s="36" t="n"/>
      <c r="F6" s="38">
        <f>IF(CommittedTotal=0,"",ROUND(InvoicedTotal/CommittedTotal*100,0)&amp;"% of committed")</f>
        <v/>
      </c>
      <c r="G6" s="36" t="n"/>
      <c r="H6" s="38">
        <f>"Cash needed next 30 days: "&amp;FIXED(Cash30,0)</f>
        <v/>
      </c>
      <c r="I6" s="36" t="n"/>
      <c r="J6" s="38">
        <f>"working budget − committed"</f>
        <v/>
      </c>
      <c r="K6" s="36" t="n"/>
    </row>
    <row r="7" ht="8" customHeight="1"/>
    <row r="8" ht="18" customHeight="1">
      <c r="B8" s="35">
        <f>"Forecast final cost ("&amp;CurSym&amp;")"</f>
        <v/>
      </c>
      <c r="C8" s="36" t="n"/>
      <c r="D8" s="35">
        <f>"Over / under budget ("&amp;CurSym&amp;")"</f>
        <v/>
      </c>
      <c r="E8" s="36" t="n"/>
      <c r="F8" s="39" t="inlineStr">
        <is>
          <t>Contingency used</t>
        </is>
      </c>
      <c r="G8" s="36" t="n"/>
      <c r="H8" s="39" t="inlineStr">
        <is>
          <t>Project day</t>
        </is>
      </c>
      <c r="I8" s="36" t="n"/>
      <c r="J8" s="39" t="inlineStr">
        <is>
          <t>Time elapsed</t>
        </is>
      </c>
      <c r="K8" s="36" t="n"/>
    </row>
    <row r="9" ht="30" customHeight="1">
      <c r="B9" s="37">
        <f>ForecastTotal</f>
        <v/>
      </c>
      <c r="C9" s="36" t="n"/>
      <c r="D9" s="40">
        <f>ForecastTotal-WorkBudget</f>
        <v/>
      </c>
      <c r="E9" s="36" t="n"/>
      <c r="F9" s="41">
        <f>ContUsed</f>
        <v/>
      </c>
      <c r="G9" s="36" t="n"/>
      <c r="H9" s="42">
        <f>IF(OR(ProjStart="",TargetEnd=""),"–","Day "&amp;MAX(0,AsOf-ProjStart+1)&amp;" of "&amp;(TargetEnd-ProjStart+1))</f>
        <v/>
      </c>
      <c r="I9" s="36" t="n"/>
      <c r="J9" s="41">
        <f>IF(OR(ProjStart="",TargetEnd=""),"–",IF(TargetEnd&lt;=ProjStart,"–",MAX(0,MIN(1,(AsOf-ProjStart)/(TargetEnd-ProjStart)))))</f>
        <v/>
      </c>
      <c r="K9" s="36" t="n"/>
    </row>
    <row r="10" ht="18" customHeight="1">
      <c r="B10" s="38">
        <f>"incl. risk: "&amp;FIXED(ForecastRisk,0)</f>
        <v/>
      </c>
      <c r="C10" s="36" t="n"/>
      <c r="D10" s="38">
        <f>IF(ForecastTotal&gt;WorkBudget,"▲ over working budget",IF(ForecastTotal&lt;WorkBudget,"▼ under working budget","exactly on budget"))</f>
        <v/>
      </c>
      <c r="E10" s="36" t="n"/>
      <c r="F10" s="38">
        <f>REPT("█",ROUND(MIN(1,MAX(0,ContUsed))*10,0))&amp;REPT("░",10-ROUND(MIN(1,MAX(0,ContUsed))*10,0))</f>
        <v/>
      </c>
      <c r="G10" s="36" t="n"/>
      <c r="H10" s="38">
        <f>IF(TargetEnd="","set dates on Start Here",IF(TargetEnd&gt;=AsOf,(TargetEnd-AsOf)&amp;" days to target move-in","target date has passed"))</f>
        <v/>
      </c>
      <c r="I10" s="36" t="n"/>
      <c r="J10" s="38">
        <f>IF(J9="–","",REPT("█",ROUND(J9*10,0))&amp;REPT("░",10-ROUND(J9*10,0)))</f>
        <v/>
      </c>
      <c r="K10" s="36" t="n"/>
    </row>
    <row r="11" ht="8" customHeight="1"/>
    <row r="12" ht="18" customHeight="1">
      <c r="B12" s="39" t="inlineStr">
        <is>
          <t>Forecast move-in</t>
        </is>
      </c>
      <c r="C12" s="36" t="n"/>
      <c r="D12" s="39" t="inlineStr">
        <is>
          <t>Open issues</t>
        </is>
      </c>
      <c r="E12" s="36" t="n"/>
      <c r="F12" s="39" t="inlineStr">
        <is>
          <t>Overdue items</t>
        </is>
      </c>
      <c r="G12" s="36" t="n"/>
      <c r="H12" s="39" t="inlineStr">
        <is>
          <t>Decisions waiting</t>
        </is>
      </c>
      <c r="I12" s="36" t="n"/>
      <c r="J12" s="39" t="inlineStr">
        <is>
          <t>Orders due</t>
        </is>
      </c>
      <c r="K12" s="36" t="n"/>
    </row>
    <row r="13" ht="30" customHeight="1">
      <c r="B13" s="43">
        <f>IF(ForecastEnd="","–",ForecastEnd)</f>
        <v/>
      </c>
      <c r="C13" s="36" t="n"/>
      <c r="D13" s="44">
        <f>SUM(OpenIssues)</f>
        <v/>
      </c>
      <c r="E13" s="36" t="n"/>
      <c r="F13" s="44">
        <f>OverdueCount</f>
        <v/>
      </c>
      <c r="G13" s="36" t="n"/>
      <c r="H13" s="44">
        <f>DecisionsWaiting</f>
        <v/>
      </c>
      <c r="I13" s="36" t="n"/>
      <c r="J13" s="44">
        <f>OrdersDue+OrdersLate</f>
        <v/>
      </c>
      <c r="K13" s="36" t="n"/>
    </row>
    <row r="14" ht="18" customHeight="1">
      <c r="B14" s="38">
        <f>IF(OR(ForecastEnd="",TargetEnd=""),"",IF(ForecastEnd&gt;TargetEnd,(ForecastEnd-TargetEnd)&amp;" days after target",IF(ForecastEnd&lt;TargetEnd,(TargetEnd-ForecastEnd)&amp;" days before target","on target")))</f>
        <v/>
      </c>
      <c r="C14" s="36" t="n"/>
      <c r="D14" s="38">
        <f>OpenHigh&amp;" high severity"</f>
        <v/>
      </c>
      <c r="E14" s="36" t="n"/>
      <c r="F14" s="38">
        <f>"of "&amp;AlertCount&amp;" alerts in total"</f>
        <v/>
      </c>
      <c r="G14" s="36" t="n"/>
      <c r="H14" s="38">
        <f>"see Selections &amp; Orders"</f>
        <v/>
      </c>
      <c r="I14" s="36" t="n"/>
      <c r="J14" s="38">
        <f>OrdersLate&amp;" already late"</f>
        <v/>
      </c>
      <c r="K14" s="36" t="n"/>
    </row>
    <row r="15" ht="8" customHeight="1"/>
    <row r="16">
      <c r="B16" s="4" t="inlineStr">
        <is>
          <t>RENOVATION HEALTH</t>
        </is>
      </c>
      <c r="C16" s="5" t="n"/>
      <c r="D16" s="5" t="n"/>
      <c r="E16" s="5" t="n"/>
      <c r="F16" s="5" t="n"/>
      <c r="G16" s="5" t="n"/>
      <c r="H16" s="5" t="n"/>
      <c r="I16" s="5" t="n"/>
      <c r="J16" s="5" t="n"/>
      <c r="K16" s="5" t="n"/>
    </row>
    <row r="17" ht="36" customHeight="1">
      <c r="B17" s="45">
        <f>IF(N17=0,"🟢  ON TRACK",IF(N17=1,"🟡  NEEDS ATTENTION","🔴  ACTION REQUIRED"))</f>
        <v/>
      </c>
      <c r="N17" s="46">
        <f>MAX(N18:N23)</f>
        <v/>
      </c>
    </row>
    <row r="18" ht="24" customHeight="1">
      <c r="B18" s="47" t="inlineStr">
        <is>
          <t>Budget</t>
        </is>
      </c>
      <c r="C18" s="48" t="n"/>
      <c r="D18" s="49">
        <f>IF(N18=0,"🟢",IF(N18=1,"🟡","🔴"))</f>
        <v/>
      </c>
      <c r="E18" s="50">
        <f>"Forecast "&amp;CurSym&amp;" "&amp;FIXED(ForecastTotal,0)&amp;" vs working budget "&amp;CurSym&amp;" "&amp;FIXED(WorkBudget,0)&amp;IF(N18=0,"  — within budget",IF(N18=1,"  — eating into contingency","  — above your TOTAL budget!"))</f>
        <v/>
      </c>
      <c r="F18" s="48" t="n"/>
      <c r="G18" s="48" t="n"/>
      <c r="H18" s="48" t="n"/>
      <c r="I18" s="48" t="n"/>
      <c r="J18" s="48" t="n"/>
      <c r="K18" s="48" t="n"/>
      <c r="N18" s="46">
        <f>IF(ForecastTotal&lt;=WorkBudget,0,IF(ForecastTotal&lt;=TotalBudget,1,2))</f>
        <v/>
      </c>
    </row>
    <row r="19" ht="24" customHeight="1">
      <c r="B19" s="47" t="inlineStr">
        <is>
          <t>Timeline</t>
        </is>
      </c>
      <c r="C19" s="48" t="n"/>
      <c r="D19" s="49">
        <f>IF(N19=0,"🟢",IF(N19=1,"🟡","🔴"))</f>
        <v/>
      </c>
      <c r="E19" s="50">
        <f>IF(ForecastEnd="","Add a project start date and tasks",IF(O19&gt;0,O19&amp;" late task(s) that other tasks depend on · ","")&amp;"forecast move-in "&amp;IF(TargetEnd="","",IF(ForecastEnd&gt;TargetEnd,(ForecastEnd-TargetEnd)&amp;" days after target","on or before target")))</f>
        <v/>
      </c>
      <c r="F19" s="48" t="n"/>
      <c r="G19" s="48" t="n"/>
      <c r="H19" s="48" t="n"/>
      <c r="I19" s="48" t="n"/>
      <c r="J19" s="48" t="n"/>
      <c r="K19" s="48" t="n"/>
      <c r="N19" s="46">
        <f>IF(O19&gt;0,2,IF(OR(ForecastEnd="",TargetEnd=""),0,IF(ForecastEnd&gt;TargetEnd+14,2,IF(ForecastEnd&gt;TargetEnd,1,0))))</f>
        <v/>
      </c>
      <c r="O19" s="46">
        <f>COUNTIFS('Timeline'!$Q$7:$Q$1006,3,'Timeline'!$O$7:$O$1006,"&gt;=1")</f>
        <v/>
      </c>
    </row>
    <row r="20" ht="24" customHeight="1">
      <c r="B20" s="47" t="inlineStr">
        <is>
          <t>Contractors &amp; payments</t>
        </is>
      </c>
      <c r="C20" s="48" t="n"/>
      <c r="D20" s="49">
        <f>IF(N20=0,"🟢",IF(N20=1,"🟡","🔴"))</f>
        <v/>
      </c>
      <c r="E20" s="50">
        <f>O20&amp;" overdue payment(s) · "&amp;P20&amp;" paying-ahead warning(s) · "&amp;Q20&amp;" payment(s) due within "&amp;AlertDays&amp;" days"</f>
        <v/>
      </c>
      <c r="F20" s="48" t="n"/>
      <c r="G20" s="48" t="n"/>
      <c r="H20" s="48" t="n"/>
      <c r="I20" s="48" t="n"/>
      <c r="J20" s="48" t="n"/>
      <c r="K20" s="48" t="n"/>
      <c r="N20" s="46">
        <f>IF(OR(O20&gt;0,P20&gt;0),2,IF(Q20&gt;0,1,0))</f>
        <v/>
      </c>
      <c r="O20" s="46">
        <f>COUNTIF('Payments'!$O$6:$O$1005,"OVERDUE")</f>
        <v/>
      </c>
      <c r="P20" s="46">
        <f>COUNTIF('Contractors'!$V$6:$V$1005,2)</f>
        <v/>
      </c>
      <c r="Q20" s="46">
        <f>COUNTIF('Payments'!$R$6:$R$1005,1)</f>
        <v/>
      </c>
    </row>
    <row r="21" ht="24" customHeight="1">
      <c r="B21" s="47" t="inlineStr">
        <is>
          <t>Materials</t>
        </is>
      </c>
      <c r="C21" s="48" t="n"/>
      <c r="D21" s="49">
        <f>IF(N21=0,"🟢",IF(N21=1,"🟡","🔴"))</f>
        <v/>
      </c>
      <c r="E21" s="50">
        <f>OrdersLate&amp;" late order(s) · "&amp;DeliveriesLate&amp;" delivery after install date · "&amp;OrdersDue&amp;" order(s) due within "&amp;AlertDays&amp;" days"</f>
        <v/>
      </c>
      <c r="F21" s="48" t="n"/>
      <c r="G21" s="48" t="n"/>
      <c r="H21" s="48" t="n"/>
      <c r="I21" s="48" t="n"/>
      <c r="J21" s="48" t="n"/>
      <c r="K21" s="48" t="n"/>
      <c r="N21" s="46">
        <f>IF(OrdersLate+DeliveriesLate&gt;0,2,IF(OrdersDue&gt;0,1,0))</f>
        <v/>
      </c>
    </row>
    <row r="22" ht="24" customHeight="1">
      <c r="B22" s="47" t="inlineStr">
        <is>
          <t>Decisions</t>
        </is>
      </c>
      <c r="C22" s="48" t="n"/>
      <c r="D22" s="49">
        <f>IF(N22=0,"🟢",IF(N22=1,"🟡","🔴"))</f>
        <v/>
      </c>
      <c r="E22" s="50">
        <f>O22&amp;" decision(s) past decide-by date · "&amp;P22&amp;" due within "&amp;AlertDays&amp;" days"</f>
        <v/>
      </c>
      <c r="F22" s="48" t="n"/>
      <c r="G22" s="48" t="n"/>
      <c r="H22" s="48" t="n"/>
      <c r="I22" s="48" t="n"/>
      <c r="J22" s="48" t="n"/>
      <c r="K22" s="48" t="n"/>
      <c r="N22" s="46">
        <f>IF(O22&gt;0,2,IF(P22&gt;0,1,0))</f>
        <v/>
      </c>
      <c r="O22" s="46">
        <f>SUM('Selections &amp; Orders'!$AE$8:$AE$1007)</f>
        <v/>
      </c>
      <c r="P22" s="46">
        <f>SUM('Selections &amp; Orders'!$AF$8:$AF$1007)</f>
        <v/>
      </c>
    </row>
    <row r="23" ht="24" customHeight="1">
      <c r="B23" s="47" t="inlineStr">
        <is>
          <t>Issues</t>
        </is>
      </c>
      <c r="C23" s="48" t="n"/>
      <c r="D23" s="49">
        <f>IF(N23=0,"🟢",IF(N23=1,"🟡","🔴"))</f>
        <v/>
      </c>
      <c r="E23" s="50">
        <f>OpenHigh&amp;" open high-severity · "&amp;SUM(OpenIssues)&amp;" open in total"</f>
        <v/>
      </c>
      <c r="F23" s="48" t="n"/>
      <c r="G23" s="48" t="n"/>
      <c r="H23" s="48" t="n"/>
      <c r="I23" s="48" t="n"/>
      <c r="J23" s="48" t="n"/>
      <c r="K23" s="48" t="n"/>
      <c r="N23" s="46">
        <f>IF(OpenHigh&gt;0,2,IF(SUM(OpenIssues)&gt;0,1,0))</f>
        <v/>
      </c>
    </row>
    <row r="24"/>
    <row r="25">
      <c r="B25" s="4" t="inlineStr">
        <is>
          <t>YOUR NEXT ACTIONS — ranked by urgency</t>
        </is>
      </c>
      <c r="C25" s="5" t="n"/>
      <c r="D25" s="5" t="n"/>
      <c r="E25" s="5" t="n"/>
      <c r="F25" s="5" t="n"/>
      <c r="G25" s="5" t="n"/>
      <c r="H25" s="5" t="n"/>
      <c r="I25" s="5" t="n"/>
      <c r="J25" s="5" t="n"/>
      <c r="K25" s="5" t="n"/>
    </row>
    <row r="26" ht="32" customHeight="1">
      <c r="B26" s="51">
        <f>IF(AlertCount=0,"🟢  Nothing needs your attention right now",IF(UrgentCount&gt;0,"🔴  ","🟡  ")&amp;AlertCount&amp;IF(AlertCount=1," ACTION NEEDS"," ACTIONS NEED")&amp;" YOUR ATTENTION")</f>
        <v/>
      </c>
      <c r="N26" s="46">
        <f>IF(AlertCount=0,0,IF(UrgentCount&gt;0,2,1))</f>
        <v/>
      </c>
    </row>
    <row r="27">
      <c r="B27" s="52" t="inlineStr">
        <is>
          <t>#</t>
        </is>
      </c>
      <c r="C27" s="52" t="inlineStr">
        <is>
          <t>Priority</t>
        </is>
      </c>
      <c r="D27" s="52" t="inlineStr">
        <is>
          <t>What to do</t>
        </is>
      </c>
      <c r="H27" s="52" t="inlineStr">
        <is>
          <t>Where</t>
        </is>
      </c>
      <c r="J27" s="52" t="inlineStr">
        <is>
          <t>Due</t>
        </is>
      </c>
      <c r="K27" s="52" t="inlineStr">
        <is>
          <t>When</t>
        </is>
      </c>
    </row>
    <row r="28" ht="30" customHeight="1">
      <c r="B28" s="53">
        <f>IF('Engine'!L2="","",1)</f>
        <v/>
      </c>
      <c r="C28" s="54">
        <f>IF(O28="","",IF(O28=1,"🔴 Urgent",IF(O28=2,"🟡 This week","🔵 Upcoming")))</f>
        <v/>
      </c>
      <c r="D28" s="55">
        <f>IF('Engine'!L2="","",'Engine'!L2)</f>
        <v/>
      </c>
      <c r="H28" s="56">
        <f>IF('Engine'!K2="","",'Engine'!K2)</f>
        <v/>
      </c>
      <c r="J28" s="57">
        <f>IF('Engine'!M2="","",'Engine'!M2)</f>
        <v/>
      </c>
      <c r="K28" s="54">
        <f>IF(J28="","",IF(J28&lt;AsOf,(AsOf-J28)&amp;IF(AsOf-J28=1," day"," days")&amp;" overdue",IF(J28=AsOf,"today","in "&amp;(J28-AsOf)&amp;IF(J28-AsOf=1," day"," days"))))</f>
        <v/>
      </c>
      <c r="O28" s="46">
        <f>'Engine'!N2</f>
        <v/>
      </c>
    </row>
    <row r="29" ht="30" customHeight="1">
      <c r="B29" s="53">
        <f>IF('Engine'!L3="","",2)</f>
        <v/>
      </c>
      <c r="C29" s="54">
        <f>IF(O29="","",IF(O29=1,"🔴 Urgent",IF(O29=2,"🟡 This week","🔵 Upcoming")))</f>
        <v/>
      </c>
      <c r="D29" s="55">
        <f>IF('Engine'!L3="","",'Engine'!L3)</f>
        <v/>
      </c>
      <c r="H29" s="56">
        <f>IF('Engine'!K3="","",'Engine'!K3)</f>
        <v/>
      </c>
      <c r="J29" s="57">
        <f>IF('Engine'!M3="","",'Engine'!M3)</f>
        <v/>
      </c>
      <c r="K29" s="54">
        <f>IF(J29="","",IF(J29&lt;AsOf,(AsOf-J29)&amp;IF(AsOf-J29=1," day"," days")&amp;" overdue",IF(J29=AsOf,"today","in "&amp;(J29-AsOf)&amp;IF(J29-AsOf=1," day"," days"))))</f>
        <v/>
      </c>
      <c r="O29" s="46">
        <f>'Engine'!N3</f>
        <v/>
      </c>
    </row>
    <row r="30" ht="30" customHeight="1">
      <c r="B30" s="53">
        <f>IF('Engine'!L4="","",3)</f>
        <v/>
      </c>
      <c r="C30" s="54">
        <f>IF(O30="","",IF(O30=1,"🔴 Urgent",IF(O30=2,"🟡 This week","🔵 Upcoming")))</f>
        <v/>
      </c>
      <c r="D30" s="55">
        <f>IF('Engine'!L4="","",'Engine'!L4)</f>
        <v/>
      </c>
      <c r="H30" s="56">
        <f>IF('Engine'!K4="","",'Engine'!K4)</f>
        <v/>
      </c>
      <c r="J30" s="57">
        <f>IF('Engine'!M4="","",'Engine'!M4)</f>
        <v/>
      </c>
      <c r="K30" s="54">
        <f>IF(J30="","",IF(J30&lt;AsOf,(AsOf-J30)&amp;IF(AsOf-J30=1," day"," days")&amp;" overdue",IF(J30=AsOf,"today","in "&amp;(J30-AsOf)&amp;IF(J30-AsOf=1," day"," days"))))</f>
        <v/>
      </c>
      <c r="O30" s="46">
        <f>'Engine'!N4</f>
        <v/>
      </c>
    </row>
    <row r="31" ht="30" customHeight="1">
      <c r="B31" s="53">
        <f>IF('Engine'!L5="","",4)</f>
        <v/>
      </c>
      <c r="C31" s="54">
        <f>IF(O31="","",IF(O31=1,"🔴 Urgent",IF(O31=2,"🟡 This week","🔵 Upcoming")))</f>
        <v/>
      </c>
      <c r="D31" s="55">
        <f>IF('Engine'!L5="","",'Engine'!L5)</f>
        <v/>
      </c>
      <c r="H31" s="56">
        <f>IF('Engine'!K5="","",'Engine'!K5)</f>
        <v/>
      </c>
      <c r="J31" s="57">
        <f>IF('Engine'!M5="","",'Engine'!M5)</f>
        <v/>
      </c>
      <c r="K31" s="54">
        <f>IF(J31="","",IF(J31&lt;AsOf,(AsOf-J31)&amp;IF(AsOf-J31=1," day"," days")&amp;" overdue",IF(J31=AsOf,"today","in "&amp;(J31-AsOf)&amp;IF(J31-AsOf=1," day"," days"))))</f>
        <v/>
      </c>
      <c r="O31" s="46">
        <f>'Engine'!N5</f>
        <v/>
      </c>
    </row>
    <row r="32" ht="30" customHeight="1">
      <c r="B32" s="53">
        <f>IF('Engine'!L6="","",5)</f>
        <v/>
      </c>
      <c r="C32" s="54">
        <f>IF(O32="","",IF(O32=1,"🔴 Urgent",IF(O32=2,"🟡 This week","🔵 Upcoming")))</f>
        <v/>
      </c>
      <c r="D32" s="55">
        <f>IF('Engine'!L6="","",'Engine'!L6)</f>
        <v/>
      </c>
      <c r="H32" s="56">
        <f>IF('Engine'!K6="","",'Engine'!K6)</f>
        <v/>
      </c>
      <c r="J32" s="57">
        <f>IF('Engine'!M6="","",'Engine'!M6)</f>
        <v/>
      </c>
      <c r="K32" s="54">
        <f>IF(J32="","",IF(J32&lt;AsOf,(AsOf-J32)&amp;IF(AsOf-J32=1," day"," days")&amp;" overdue",IF(J32=AsOf,"today","in "&amp;(J32-AsOf)&amp;IF(J32-AsOf=1," day"," days"))))</f>
        <v/>
      </c>
      <c r="O32" s="46">
        <f>'Engine'!N6</f>
        <v/>
      </c>
    </row>
    <row r="33" ht="30" customHeight="1">
      <c r="B33" s="53">
        <f>IF('Engine'!L7="","",6)</f>
        <v/>
      </c>
      <c r="C33" s="54">
        <f>IF(O33="","",IF(O33=1,"🔴 Urgent",IF(O33=2,"🟡 This week","🔵 Upcoming")))</f>
        <v/>
      </c>
      <c r="D33" s="55">
        <f>IF('Engine'!L7="","",'Engine'!L7)</f>
        <v/>
      </c>
      <c r="H33" s="56">
        <f>IF('Engine'!K7="","",'Engine'!K7)</f>
        <v/>
      </c>
      <c r="J33" s="57">
        <f>IF('Engine'!M7="","",'Engine'!M7)</f>
        <v/>
      </c>
      <c r="K33" s="54">
        <f>IF(J33="","",IF(J33&lt;AsOf,(AsOf-J33)&amp;IF(AsOf-J33=1," day"," days")&amp;" overdue",IF(J33=AsOf,"today","in "&amp;(J33-AsOf)&amp;IF(J33-AsOf=1," day"," days"))))</f>
        <v/>
      </c>
      <c r="O33" s="46">
        <f>'Engine'!N7</f>
        <v/>
      </c>
    </row>
    <row r="34" ht="30" customHeight="1">
      <c r="B34" s="53">
        <f>IF('Engine'!L8="","",7)</f>
        <v/>
      </c>
      <c r="C34" s="54">
        <f>IF(O34="","",IF(O34=1,"🔴 Urgent",IF(O34=2,"🟡 This week","🔵 Upcoming")))</f>
        <v/>
      </c>
      <c r="D34" s="55">
        <f>IF('Engine'!L8="","",'Engine'!L8)</f>
        <v/>
      </c>
      <c r="H34" s="56">
        <f>IF('Engine'!K8="","",'Engine'!K8)</f>
        <v/>
      </c>
      <c r="J34" s="57">
        <f>IF('Engine'!M8="","",'Engine'!M8)</f>
        <v/>
      </c>
      <c r="K34" s="54">
        <f>IF(J34="","",IF(J34&lt;AsOf,(AsOf-J34)&amp;IF(AsOf-J34=1," day"," days")&amp;" overdue",IF(J34=AsOf,"today","in "&amp;(J34-AsOf)&amp;IF(J34-AsOf=1," day"," days"))))</f>
        <v/>
      </c>
      <c r="O34" s="46">
        <f>'Engine'!N8</f>
        <v/>
      </c>
    </row>
    <row r="35" ht="30" customHeight="1">
      <c r="B35" s="53">
        <f>IF('Engine'!L9="","",8)</f>
        <v/>
      </c>
      <c r="C35" s="54">
        <f>IF(O35="","",IF(O35=1,"🔴 Urgent",IF(O35=2,"🟡 This week","🔵 Upcoming")))</f>
        <v/>
      </c>
      <c r="D35" s="55">
        <f>IF('Engine'!L9="","",'Engine'!L9)</f>
        <v/>
      </c>
      <c r="H35" s="56">
        <f>IF('Engine'!K9="","",'Engine'!K9)</f>
        <v/>
      </c>
      <c r="J35" s="57">
        <f>IF('Engine'!M9="","",'Engine'!M9)</f>
        <v/>
      </c>
      <c r="K35" s="54">
        <f>IF(J35="","",IF(J35&lt;AsOf,(AsOf-J35)&amp;IF(AsOf-J35=1," day"," days")&amp;" overdue",IF(J35=AsOf,"today","in "&amp;(J35-AsOf)&amp;IF(J35-AsOf=1," day"," days"))))</f>
        <v/>
      </c>
      <c r="O35" s="46">
        <f>'Engine'!N9</f>
        <v/>
      </c>
    </row>
    <row r="36" ht="30" customHeight="1">
      <c r="B36" s="53">
        <f>IF('Engine'!L10="","",9)</f>
        <v/>
      </c>
      <c r="C36" s="54">
        <f>IF(O36="","",IF(O36=1,"🔴 Urgent",IF(O36=2,"🟡 This week","🔵 Upcoming")))</f>
        <v/>
      </c>
      <c r="D36" s="55">
        <f>IF('Engine'!L10="","",'Engine'!L10)</f>
        <v/>
      </c>
      <c r="H36" s="56">
        <f>IF('Engine'!K10="","",'Engine'!K10)</f>
        <v/>
      </c>
      <c r="J36" s="57">
        <f>IF('Engine'!M10="","",'Engine'!M10)</f>
        <v/>
      </c>
      <c r="K36" s="54">
        <f>IF(J36="","",IF(J36&lt;AsOf,(AsOf-J36)&amp;IF(AsOf-J36=1," day"," days")&amp;" overdue",IF(J36=AsOf,"today","in "&amp;(J36-AsOf)&amp;IF(J36-AsOf=1," day"," days"))))</f>
        <v/>
      </c>
      <c r="O36" s="46">
        <f>'Engine'!N10</f>
        <v/>
      </c>
    </row>
    <row r="37" ht="30" customHeight="1">
      <c r="B37" s="53">
        <f>IF('Engine'!L11="","",10)</f>
        <v/>
      </c>
      <c r="C37" s="54">
        <f>IF(O37="","",IF(O37=1,"🔴 Urgent",IF(O37=2,"🟡 This week","🔵 Upcoming")))</f>
        <v/>
      </c>
      <c r="D37" s="55">
        <f>IF('Engine'!L11="","",'Engine'!L11)</f>
        <v/>
      </c>
      <c r="H37" s="56">
        <f>IF('Engine'!K11="","",'Engine'!K11)</f>
        <v/>
      </c>
      <c r="J37" s="57">
        <f>IF('Engine'!M11="","",'Engine'!M11)</f>
        <v/>
      </c>
      <c r="K37" s="54">
        <f>IF(J37="","",IF(J37&lt;AsOf,(AsOf-J37)&amp;IF(AsOf-J37=1," day"," days")&amp;" overdue",IF(J37=AsOf,"today","in "&amp;(J37-AsOf)&amp;IF(J37-AsOf=1," day"," days"))))</f>
        <v/>
      </c>
      <c r="O37" s="46">
        <f>'Engine'!N11</f>
        <v/>
      </c>
    </row>
    <row r="38">
      <c r="B38" s="58">
        <f>IF(AlertCount&gt;10,"+ "&amp;(AlertCount-10)&amp;" more — see This Week and in each tab.","")</f>
        <v/>
      </c>
    </row>
    <row r="39"/>
    <row r="40">
      <c r="B40" s="4" t="inlineStr">
        <is>
          <t>CHARTS</t>
        </is>
      </c>
      <c r="C40" s="5" t="n"/>
      <c r="D40" s="5" t="n"/>
      <c r="E40" s="5" t="n"/>
      <c r="F40" s="5" t="n"/>
      <c r="G40" s="5" t="n"/>
      <c r="H40" s="5" t="n"/>
      <c r="I40" s="5" t="n"/>
      <c r="J40" s="5" t="n"/>
      <c r="K40" s="5" t="n"/>
    </row>
  </sheetData>
  <sheetProtection selectLockedCells="1" selectUnlockedCells="0" sheet="1" objects="0" insertRows="1" insertHyperlinks="1" autoFilter="1" scenarios="0" formatColumns="0" deleteColumns="1" insertColumns="1" pivotTables="1" deleteRows="1" formatCells="1" formatRows="0" sort="1" password="CD61"/>
  <mergeCells count="81">
    <mergeCell ref="H35:I35"/>
    <mergeCell ref="H10:I10"/>
    <mergeCell ref="J10:K10"/>
    <mergeCell ref="B22:C22"/>
    <mergeCell ref="H9:I9"/>
    <mergeCell ref="J9:K9"/>
    <mergeCell ref="B12:C12"/>
    <mergeCell ref="D6:E6"/>
    <mergeCell ref="B21:C21"/>
    <mergeCell ref="E22:K22"/>
    <mergeCell ref="D13:E13"/>
    <mergeCell ref="B14:C14"/>
    <mergeCell ref="B13:C13"/>
    <mergeCell ref="J4:K4"/>
    <mergeCell ref="D31:G31"/>
    <mergeCell ref="D4:E4"/>
    <mergeCell ref="H37:I37"/>
    <mergeCell ref="F13:G13"/>
    <mergeCell ref="H13:I13"/>
    <mergeCell ref="B17:K17"/>
    <mergeCell ref="D10:E10"/>
    <mergeCell ref="F10:G10"/>
    <mergeCell ref="F6:G6"/>
    <mergeCell ref="D33:G33"/>
    <mergeCell ref="B18:C18"/>
    <mergeCell ref="H34:I34"/>
    <mergeCell ref="E18:K18"/>
    <mergeCell ref="D35:G35"/>
    <mergeCell ref="F5:G5"/>
    <mergeCell ref="D34:G34"/>
    <mergeCell ref="H36:I36"/>
    <mergeCell ref="D36:G36"/>
    <mergeCell ref="E20:K20"/>
    <mergeCell ref="H28:I28"/>
    <mergeCell ref="D9:E9"/>
    <mergeCell ref="F9:G9"/>
    <mergeCell ref="B6:C6"/>
    <mergeCell ref="H12:I12"/>
    <mergeCell ref="J12:K12"/>
    <mergeCell ref="H5:I5"/>
    <mergeCell ref="H14:I14"/>
    <mergeCell ref="D37:G37"/>
    <mergeCell ref="F4:G4"/>
    <mergeCell ref="D29:G29"/>
    <mergeCell ref="H31:I31"/>
    <mergeCell ref="F8:G8"/>
    <mergeCell ref="B19:C19"/>
    <mergeCell ref="B9:C9"/>
    <mergeCell ref="D27:G27"/>
    <mergeCell ref="E19:K19"/>
    <mergeCell ref="D12:E12"/>
    <mergeCell ref="B5:C5"/>
    <mergeCell ref="B20:C20"/>
    <mergeCell ref="D5:E5"/>
    <mergeCell ref="D14:E14"/>
    <mergeCell ref="F14:G14"/>
    <mergeCell ref="B4:C4"/>
    <mergeCell ref="H30:I30"/>
    <mergeCell ref="D28:G28"/>
    <mergeCell ref="J5:K5"/>
    <mergeCell ref="H29:I29"/>
    <mergeCell ref="J14:K14"/>
    <mergeCell ref="D30:G30"/>
    <mergeCell ref="H4:I4"/>
    <mergeCell ref="J13:K13"/>
    <mergeCell ref="F12:G12"/>
    <mergeCell ref="H6:I6"/>
    <mergeCell ref="J6:K6"/>
    <mergeCell ref="B26:K26"/>
    <mergeCell ref="E21:K21"/>
    <mergeCell ref="B23:C23"/>
    <mergeCell ref="B8:C8"/>
    <mergeCell ref="E23:K23"/>
    <mergeCell ref="H32:I32"/>
    <mergeCell ref="B10:C10"/>
    <mergeCell ref="H27:I27"/>
    <mergeCell ref="D32:G32"/>
    <mergeCell ref="D8:E8"/>
    <mergeCell ref="H33:I33"/>
    <mergeCell ref="H8:I8"/>
    <mergeCell ref="J8:K8"/>
  </mergeCells>
  <conditionalFormatting sqref="D9">
    <cfRule type="expression" priority="1" dxfId="0" stopIfTrue="0">
      <formula>D9&gt;0</formula>
    </cfRule>
    <cfRule type="expression" priority="2" dxfId="1" stopIfTrue="0">
      <formula>D9&lt;=0</formula>
    </cfRule>
  </conditionalFormatting>
  <conditionalFormatting sqref="F9">
    <cfRule type="expression" priority="3" dxfId="0" stopIfTrue="0">
      <formula>F9&gt;0.75</formula>
    </cfRule>
    <cfRule type="expression" priority="4" dxfId="2" stopIfTrue="0">
      <formula>AND(F9&gt;0.5,F9&lt;=0.75)</formula>
    </cfRule>
  </conditionalFormatting>
  <conditionalFormatting sqref="B13">
    <cfRule type="expression" priority="5" dxfId="0" stopIfTrue="0">
      <formula>AND(B13&lt;&gt;"–",TargetEnd&lt;&gt;"",B13&gt;TargetEnd)</formula>
    </cfRule>
  </conditionalFormatting>
  <conditionalFormatting sqref="F13">
    <cfRule type="expression" priority="6" dxfId="0" stopIfTrue="0">
      <formula>F13&gt;0</formula>
    </cfRule>
  </conditionalFormatting>
  <conditionalFormatting sqref="D13">
    <cfRule type="expression" priority="7" dxfId="0" stopIfTrue="0">
      <formula>OpenHigh&gt;0</formula>
    </cfRule>
  </conditionalFormatting>
  <conditionalFormatting sqref="H13">
    <cfRule type="expression" priority="8" dxfId="2" stopIfTrue="0">
      <formula>H13&gt;0</formula>
    </cfRule>
  </conditionalFormatting>
  <conditionalFormatting sqref="J13">
    <cfRule type="expression" priority="9" dxfId="0" stopIfTrue="0">
      <formula>OrdersLate&gt;0</formula>
    </cfRule>
    <cfRule type="expression" priority="10" dxfId="2" stopIfTrue="0">
      <formula>J13&gt;0</formula>
    </cfRule>
  </conditionalFormatting>
  <conditionalFormatting sqref="B17">
    <cfRule type="expression" priority="11" dxfId="0" stopIfTrue="0">
      <formula>$N$17=2</formula>
    </cfRule>
    <cfRule type="expression" priority="12" dxfId="2" stopIfTrue="0">
      <formula>$N$17=1</formula>
    </cfRule>
    <cfRule type="expression" priority="13" dxfId="3" stopIfTrue="0">
      <formula>$N$17=0</formula>
    </cfRule>
  </conditionalFormatting>
  <conditionalFormatting sqref="D18">
    <cfRule type="expression" priority="14" dxfId="0" stopIfTrue="0">
      <formula>$N$18=2</formula>
    </cfRule>
    <cfRule type="expression" priority="15" dxfId="2" stopIfTrue="0">
      <formula>$N$18=1</formula>
    </cfRule>
    <cfRule type="expression" priority="16" dxfId="3" stopIfTrue="0">
      <formula>$N$18=0</formula>
    </cfRule>
  </conditionalFormatting>
  <conditionalFormatting sqref="D19">
    <cfRule type="expression" priority="17" dxfId="0" stopIfTrue="0">
      <formula>$N$19=2</formula>
    </cfRule>
    <cfRule type="expression" priority="18" dxfId="2" stopIfTrue="0">
      <formula>$N$19=1</formula>
    </cfRule>
    <cfRule type="expression" priority="19" dxfId="3" stopIfTrue="0">
      <formula>$N$19=0</formula>
    </cfRule>
  </conditionalFormatting>
  <conditionalFormatting sqref="D20">
    <cfRule type="expression" priority="20" dxfId="0" stopIfTrue="0">
      <formula>$N$20=2</formula>
    </cfRule>
    <cfRule type="expression" priority="21" dxfId="2" stopIfTrue="0">
      <formula>$N$20=1</formula>
    </cfRule>
    <cfRule type="expression" priority="22" dxfId="3" stopIfTrue="0">
      <formula>$N$20=0</formula>
    </cfRule>
  </conditionalFormatting>
  <conditionalFormatting sqref="D21">
    <cfRule type="expression" priority="23" dxfId="0" stopIfTrue="0">
      <formula>$N$21=2</formula>
    </cfRule>
    <cfRule type="expression" priority="24" dxfId="2" stopIfTrue="0">
      <formula>$N$21=1</formula>
    </cfRule>
    <cfRule type="expression" priority="25" dxfId="3" stopIfTrue="0">
      <formula>$N$21=0</formula>
    </cfRule>
  </conditionalFormatting>
  <conditionalFormatting sqref="D22">
    <cfRule type="expression" priority="26" dxfId="0" stopIfTrue="0">
      <formula>$N$22=2</formula>
    </cfRule>
    <cfRule type="expression" priority="27" dxfId="2" stopIfTrue="0">
      <formula>$N$22=1</formula>
    </cfRule>
    <cfRule type="expression" priority="28" dxfId="3" stopIfTrue="0">
      <formula>$N$22=0</formula>
    </cfRule>
  </conditionalFormatting>
  <conditionalFormatting sqref="D23">
    <cfRule type="expression" priority="29" dxfId="0" stopIfTrue="0">
      <formula>$N$23=2</formula>
    </cfRule>
    <cfRule type="expression" priority="30" dxfId="2" stopIfTrue="0">
      <formula>$N$23=1</formula>
    </cfRule>
    <cfRule type="expression" priority="31" dxfId="3" stopIfTrue="0">
      <formula>$N$23=0</formula>
    </cfRule>
  </conditionalFormatting>
  <conditionalFormatting sqref="B26">
    <cfRule type="expression" priority="32" dxfId="0" stopIfTrue="0">
      <formula>$N$26=2</formula>
    </cfRule>
    <cfRule type="expression" priority="33" dxfId="2" stopIfTrue="0">
      <formula>$N$26=1</formula>
    </cfRule>
    <cfRule type="expression" priority="34" dxfId="3" stopIfTrue="0">
      <formula>$N$26=0</formula>
    </cfRule>
  </conditionalFormatting>
  <conditionalFormatting sqref="C28:C37">
    <cfRule type="expression" priority="35" dxfId="0" stopIfTrue="0">
      <formula>$O28=1</formula>
    </cfRule>
    <cfRule type="expression" priority="36" dxfId="2" stopIfTrue="0">
      <formula>$O28=2</formula>
    </cfRule>
    <cfRule type="expression" priority="37" dxfId="4" stopIfTrue="0">
      <formula>$O28=3</formula>
    </cfRule>
  </conditionalFormatting>
  <conditionalFormatting sqref="K28:K37">
    <cfRule type="expression" priority="38" dxfId="0" stopIfTrue="0">
      <formula>$O28=1</formula>
    </cfRule>
  </conditionalFormatting>
  <pageMargins left="0.75" right="0.75" top="1" bottom="1" header="0.5" footer="0.5"/>
  <headerFooter>
    <oddHeader/>
    <oddFooter>&amp;L&amp;8 © 2026 Hang Nguyen · Renovation OS&amp;R&amp;8 Personal licence — do not share or resell</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F5E5E"/>
    <outlinePr summaryBelow="1" summaryRight="1"/>
    <pageSetUpPr/>
  </sheetPr>
  <dimension ref="A1:I62"/>
  <sheetViews>
    <sheetView showGridLines="0" workbookViewId="0">
      <selection activeCell="A1" sqref="A1"/>
    </sheetView>
  </sheetViews>
  <sheetFormatPr baseColWidth="8" defaultRowHeight="15"/>
  <cols>
    <col width="2.5" customWidth="1" min="1" max="1"/>
    <col width="30" customWidth="1" min="2" max="2"/>
    <col width="14" customWidth="1" min="3" max="3"/>
    <col width="46" customWidth="1" min="4" max="4"/>
    <col width="22" customWidth="1" min="5" max="5"/>
    <col width="14" customWidth="1" min="6" max="6"/>
    <col width="16" customWidth="1" min="7" max="7"/>
    <col width="3" customWidth="1" min="8" max="8"/>
    <col hidden="1" width="13" customWidth="1" min="9" max="9"/>
  </cols>
  <sheetData>
    <row r="1" ht="36" customHeight="1">
      <c r="B1" s="1" t="inlineStr">
        <is>
          <t>🗓️ This Week</t>
        </is>
      </c>
    </row>
    <row r="2" ht="20" customHeight="1">
      <c r="B2" s="2" t="inlineStr">
        <is>
          <t>What this tab does: Monday — see everything that falls in this week. Friday — review what happened and write down next week's top 3.</t>
        </is>
      </c>
    </row>
    <row r="3">
      <c r="B3" s="3" t="inlineStr">
        <is>
          <t>© 2026 Hang Nguyen — Renovation OS. Licensed to the original purchaser for personal use only. Do not share, copy, resell or redistribute.</t>
        </is>
      </c>
    </row>
    <row r="4">
      <c r="B4" s="59" t="inlineStr">
        <is>
          <t>Week starting</t>
        </is>
      </c>
      <c r="C4" s="60">
        <f>AsOf-IF(WeekStart="Sunday",WEEKDAY(AsOf,1)-1,WEEKDAY(AsOf,3))</f>
        <v/>
      </c>
      <c r="D4" s="8" t="inlineStr">
        <is>
          <t>Tip: overwrite the yellow date to look at another week.</t>
        </is>
      </c>
    </row>
    <row r="5">
      <c r="B5" s="27" t="inlineStr">
        <is>
          <t>Week ending</t>
        </is>
      </c>
      <c r="C5" s="61">
        <f>C4+6</f>
        <v/>
      </c>
    </row>
    <row r="6"/>
    <row r="7">
      <c r="B7" s="4" t="inlineStr">
        <is>
          <t>📋 MONDAY PLAN — what falls in this week</t>
        </is>
      </c>
      <c r="C7" s="5" t="n"/>
      <c r="D7" s="5" t="n"/>
      <c r="E7" s="5" t="n"/>
      <c r="F7" s="5" t="n"/>
      <c r="G7" s="5" t="n"/>
    </row>
    <row r="8" ht="22" customHeight="1">
      <c r="B8" s="6" t="inlineStr">
        <is>
          <t>Decisions to make</t>
        </is>
      </c>
      <c r="C8" s="62">
        <f>COUNTIFS('Selections &amp; Orders'!$T$8:$T$1007,"&gt;="&amp;WeekStartDate,'Selections &amp; Orders'!$T$8:$T$1007,"&lt;="&amp;WeekEndDate,'Selections &amp; Orders'!$AD$8:$AD$1007,1)</f>
        <v/>
      </c>
      <c r="D8" s="8" t="inlineStr">
        <is>
          <t>Selections with a decide-by date this week</t>
        </is>
      </c>
    </row>
    <row r="9" ht="22" customHeight="1">
      <c r="B9" s="6" t="inlineStr">
        <is>
          <t>Orders to place</t>
        </is>
      </c>
      <c r="C9" s="62">
        <f>COUNTIFS('Selections &amp; Orders'!$S$8:$S$1007,"&gt;="&amp;WeekStartDate,'Selections &amp; Orders'!$S$8:$S$1007,"&lt;="&amp;WeekEndDate,'Selections &amp; Orders'!$AI$8:$AI$1007,1)</f>
        <v/>
      </c>
      <c r="D9" s="8" t="inlineStr">
        <is>
          <t>Chosen items with an order-by date this week</t>
        </is>
      </c>
    </row>
    <row r="10" ht="22" customHeight="1">
      <c r="B10" s="6" t="inlineStr">
        <is>
          <t>Payments due</t>
        </is>
      </c>
      <c r="C10" s="62">
        <f>COUNTIFS('Payments'!$I$6:$I$1005,"&gt;="&amp;WeekStartDate,'Payments'!$I$6:$I$1005,"&lt;="&amp;WeekEndDate,'Payments'!$S$6:$S$1005,"&gt;0")</f>
        <v/>
      </c>
      <c r="D10" s="8" t="inlineStr">
        <is>
          <t>Unpaid payments with a due date this week</t>
        </is>
      </c>
    </row>
    <row r="11" ht="22" customHeight="1">
      <c r="B11" s="6" t="inlineStr">
        <is>
          <t>Deliveries expected</t>
        </is>
      </c>
      <c r="C11" s="62">
        <f>COUNTIFS('Selections &amp; Orders'!$W$8:$W$1007,"&gt;="&amp;WeekStartDate,'Selections &amp; Orders'!$W$8:$W$1007,"&lt;="&amp;WeekEndDate,'Selections &amp; Orders'!$X$8:$X$1007,"&lt;&gt;Yes")</f>
        <v/>
      </c>
      <c r="D11" s="8" t="inlineStr">
        <is>
          <t>Orders arriving this week — someone must be on site</t>
        </is>
      </c>
    </row>
    <row r="12" ht="22" customHeight="1">
      <c r="B12" s="6" t="inlineStr">
        <is>
          <t>Tasks starting</t>
        </is>
      </c>
      <c r="C12" s="62">
        <f>COUNTIFS('Timeline'!$J$7:$J$1006,"&gt;="&amp;WeekStartDate,'Timeline'!$J$7:$J$1006,"&lt;="&amp;WeekEndDate)</f>
        <v/>
      </c>
      <c r="D12" s="8" t="inlineStr">
        <is>
          <t>Timeline tasks starting</t>
        </is>
      </c>
    </row>
    <row r="13" ht="22" customHeight="1">
      <c r="B13" s="6" t="inlineStr">
        <is>
          <t>Tasks finishing</t>
        </is>
      </c>
      <c r="C13" s="62">
        <f>COUNTIFS('Timeline'!$L$7:$L$1006,"&gt;="&amp;WeekStartDate,'Timeline'!$L$7:$L$1006,"&lt;="&amp;WeekEndDate)</f>
        <v/>
      </c>
      <c r="D13" s="8" t="inlineStr">
        <is>
          <t>Timeline tasks due to finish</t>
        </is>
      </c>
    </row>
    <row r="14" ht="22" customHeight="1">
      <c r="B14" s="6" t="inlineStr">
        <is>
          <t>Issues with an action this week</t>
        </is>
      </c>
      <c r="C14" s="62">
        <f>COUNTIFS('Issues &amp; Punch List'!$K$8:$K$1007,"&gt;="&amp;WeekStartDate,'Issues &amp; Punch List'!$K$8:$K$1007,"&lt;="&amp;WeekEndDate,'Issues &amp; Punch List'!$O$8:$O$1007,1)</f>
        <v/>
      </c>
      <c r="D14" s="58">
        <f>"Open issues in total: "&amp;SUM(OpenIssues)</f>
        <v/>
      </c>
    </row>
    <row r="15"/>
    <row r="16">
      <c r="B16" s="4" t="inlineStr">
        <is>
          <t>🔴 TOP 10 ALERTS DUE BY THE END OF THIS WEEK (incl. overdue)</t>
        </is>
      </c>
      <c r="C16" s="5" t="n"/>
      <c r="D16" s="5" t="n"/>
      <c r="E16" s="5" t="n"/>
      <c r="F16" s="5" t="n"/>
      <c r="G16" s="5" t="n"/>
    </row>
    <row r="17">
      <c r="B17" s="52" t="inlineStr">
        <is>
          <t>Priority</t>
        </is>
      </c>
      <c r="C17" s="52" t="inlineStr">
        <is>
          <t>Due</t>
        </is>
      </c>
      <c r="D17" s="52" t="inlineStr">
        <is>
          <t>What to do</t>
        </is>
      </c>
      <c r="E17" s="52" t="inlineStr">
        <is>
          <t>Where</t>
        </is>
      </c>
      <c r="F17" s="52" t="inlineStr">
        <is>
          <t>When</t>
        </is>
      </c>
      <c r="G17" s="63" t="n"/>
    </row>
    <row r="18" ht="30" customHeight="1">
      <c r="B18" s="54">
        <f>IF(I18="","",IF(I18=1,"🔴 Urgent",IF(I18=2,"🟡 This week","🔵 Upcoming")))</f>
        <v/>
      </c>
      <c r="C18" s="57">
        <f>IF('Engine'!U2="","",'Engine'!U2)</f>
        <v/>
      </c>
      <c r="D18" s="55">
        <f>IF('Engine'!T2="","",'Engine'!T2)</f>
        <v/>
      </c>
      <c r="E18" s="56">
        <f>IF('Engine'!S2="","",'Engine'!S2)</f>
        <v/>
      </c>
      <c r="F18" s="54">
        <f>IF(C18="","",IF(C18&lt;AsOf,(AsOf-C18)&amp;IF(AsOf-C18=1," day"," days")&amp;" overdue",IF(C18=AsOf,"today","in "&amp;(C18-AsOf)&amp;IF(C18-AsOf=1," day"," days"))))</f>
        <v/>
      </c>
      <c r="I18" s="46">
        <f>'Engine'!V2</f>
        <v/>
      </c>
    </row>
    <row r="19" ht="30" customHeight="1">
      <c r="B19" s="54">
        <f>IF(I19="","",IF(I19=1,"🔴 Urgent",IF(I19=2,"🟡 This week","🔵 Upcoming")))</f>
        <v/>
      </c>
      <c r="C19" s="57">
        <f>IF('Engine'!U3="","",'Engine'!U3)</f>
        <v/>
      </c>
      <c r="D19" s="55">
        <f>IF('Engine'!T3="","",'Engine'!T3)</f>
        <v/>
      </c>
      <c r="E19" s="56">
        <f>IF('Engine'!S3="","",'Engine'!S3)</f>
        <v/>
      </c>
      <c r="F19" s="54">
        <f>IF(C19="","",IF(C19&lt;AsOf,(AsOf-C19)&amp;IF(AsOf-C19=1," day"," days")&amp;" overdue",IF(C19=AsOf,"today","in "&amp;(C19-AsOf)&amp;IF(C19-AsOf=1," day"," days"))))</f>
        <v/>
      </c>
      <c r="I19" s="46">
        <f>'Engine'!V3</f>
        <v/>
      </c>
    </row>
    <row r="20" ht="30" customHeight="1">
      <c r="B20" s="54">
        <f>IF(I20="","",IF(I20=1,"🔴 Urgent",IF(I20=2,"🟡 This week","🔵 Upcoming")))</f>
        <v/>
      </c>
      <c r="C20" s="57">
        <f>IF('Engine'!U4="","",'Engine'!U4)</f>
        <v/>
      </c>
      <c r="D20" s="55">
        <f>IF('Engine'!T4="","",'Engine'!T4)</f>
        <v/>
      </c>
      <c r="E20" s="56">
        <f>IF('Engine'!S4="","",'Engine'!S4)</f>
        <v/>
      </c>
      <c r="F20" s="54">
        <f>IF(C20="","",IF(C20&lt;AsOf,(AsOf-C20)&amp;IF(AsOf-C20=1," day"," days")&amp;" overdue",IF(C20=AsOf,"today","in "&amp;(C20-AsOf)&amp;IF(C20-AsOf=1," day"," days"))))</f>
        <v/>
      </c>
      <c r="I20" s="46">
        <f>'Engine'!V4</f>
        <v/>
      </c>
    </row>
    <row r="21" ht="30" customHeight="1">
      <c r="B21" s="54">
        <f>IF(I21="","",IF(I21=1,"🔴 Urgent",IF(I21=2,"🟡 This week","🔵 Upcoming")))</f>
        <v/>
      </c>
      <c r="C21" s="57">
        <f>IF('Engine'!U5="","",'Engine'!U5)</f>
        <v/>
      </c>
      <c r="D21" s="55">
        <f>IF('Engine'!T5="","",'Engine'!T5)</f>
        <v/>
      </c>
      <c r="E21" s="56">
        <f>IF('Engine'!S5="","",'Engine'!S5)</f>
        <v/>
      </c>
      <c r="F21" s="54">
        <f>IF(C21="","",IF(C21&lt;AsOf,(AsOf-C21)&amp;IF(AsOf-C21=1," day"," days")&amp;" overdue",IF(C21=AsOf,"today","in "&amp;(C21-AsOf)&amp;IF(C21-AsOf=1," day"," days"))))</f>
        <v/>
      </c>
      <c r="I21" s="46">
        <f>'Engine'!V5</f>
        <v/>
      </c>
    </row>
    <row r="22" ht="30" customHeight="1">
      <c r="B22" s="54">
        <f>IF(I22="","",IF(I22=1,"🔴 Urgent",IF(I22=2,"🟡 This week","🔵 Upcoming")))</f>
        <v/>
      </c>
      <c r="C22" s="57">
        <f>IF('Engine'!U6="","",'Engine'!U6)</f>
        <v/>
      </c>
      <c r="D22" s="55">
        <f>IF('Engine'!T6="","",'Engine'!T6)</f>
        <v/>
      </c>
      <c r="E22" s="56">
        <f>IF('Engine'!S6="","",'Engine'!S6)</f>
        <v/>
      </c>
      <c r="F22" s="54">
        <f>IF(C22="","",IF(C22&lt;AsOf,(AsOf-C22)&amp;IF(AsOf-C22=1," day"," days")&amp;" overdue",IF(C22=AsOf,"today","in "&amp;(C22-AsOf)&amp;IF(C22-AsOf=1," day"," days"))))</f>
        <v/>
      </c>
      <c r="I22" s="46">
        <f>'Engine'!V6</f>
        <v/>
      </c>
    </row>
    <row r="23" ht="30" customHeight="1">
      <c r="B23" s="54">
        <f>IF(I23="","",IF(I23=1,"🔴 Urgent",IF(I23=2,"🟡 This week","🔵 Upcoming")))</f>
        <v/>
      </c>
      <c r="C23" s="57">
        <f>IF('Engine'!U7="","",'Engine'!U7)</f>
        <v/>
      </c>
      <c r="D23" s="55">
        <f>IF('Engine'!T7="","",'Engine'!T7)</f>
        <v/>
      </c>
      <c r="E23" s="56">
        <f>IF('Engine'!S7="","",'Engine'!S7)</f>
        <v/>
      </c>
      <c r="F23" s="54">
        <f>IF(C23="","",IF(C23&lt;AsOf,(AsOf-C23)&amp;IF(AsOf-C23=1," day"," days")&amp;" overdue",IF(C23=AsOf,"today","in "&amp;(C23-AsOf)&amp;IF(C23-AsOf=1," day"," days"))))</f>
        <v/>
      </c>
      <c r="I23" s="46">
        <f>'Engine'!V7</f>
        <v/>
      </c>
    </row>
    <row r="24" ht="30" customHeight="1">
      <c r="B24" s="54">
        <f>IF(I24="","",IF(I24=1,"🔴 Urgent",IF(I24=2,"🟡 This week","🔵 Upcoming")))</f>
        <v/>
      </c>
      <c r="C24" s="57">
        <f>IF('Engine'!U8="","",'Engine'!U8)</f>
        <v/>
      </c>
      <c r="D24" s="55">
        <f>IF('Engine'!T8="","",'Engine'!T8)</f>
        <v/>
      </c>
      <c r="E24" s="56">
        <f>IF('Engine'!S8="","",'Engine'!S8)</f>
        <v/>
      </c>
      <c r="F24" s="54">
        <f>IF(C24="","",IF(C24&lt;AsOf,(AsOf-C24)&amp;IF(AsOf-C24=1," day"," days")&amp;" overdue",IF(C24=AsOf,"today","in "&amp;(C24-AsOf)&amp;IF(C24-AsOf=1," day"," days"))))</f>
        <v/>
      </c>
      <c r="I24" s="46">
        <f>'Engine'!V8</f>
        <v/>
      </c>
    </row>
    <row r="25" ht="30" customHeight="1">
      <c r="B25" s="54">
        <f>IF(I25="","",IF(I25=1,"🔴 Urgent",IF(I25=2,"🟡 This week","🔵 Upcoming")))</f>
        <v/>
      </c>
      <c r="C25" s="57">
        <f>IF('Engine'!U9="","",'Engine'!U9)</f>
        <v/>
      </c>
      <c r="D25" s="55">
        <f>IF('Engine'!T9="","",'Engine'!T9)</f>
        <v/>
      </c>
      <c r="E25" s="56">
        <f>IF('Engine'!S9="","",'Engine'!S9)</f>
        <v/>
      </c>
      <c r="F25" s="54">
        <f>IF(C25="","",IF(C25&lt;AsOf,(AsOf-C25)&amp;IF(AsOf-C25=1," day"," days")&amp;" overdue",IF(C25=AsOf,"today","in "&amp;(C25-AsOf)&amp;IF(C25-AsOf=1," day"," days"))))</f>
        <v/>
      </c>
      <c r="I25" s="46">
        <f>'Engine'!V9</f>
        <v/>
      </c>
    </row>
    <row r="26" ht="30" customHeight="1">
      <c r="B26" s="54">
        <f>IF(I26="","",IF(I26=1,"🔴 Urgent",IF(I26=2,"🟡 This week","🔵 Upcoming")))</f>
        <v/>
      </c>
      <c r="C26" s="57">
        <f>IF('Engine'!U10="","",'Engine'!U10)</f>
        <v/>
      </c>
      <c r="D26" s="55">
        <f>IF('Engine'!T10="","",'Engine'!T10)</f>
        <v/>
      </c>
      <c r="E26" s="56">
        <f>IF('Engine'!S10="","",'Engine'!S10)</f>
        <v/>
      </c>
      <c r="F26" s="54">
        <f>IF(C26="","",IF(C26&lt;AsOf,(AsOf-C26)&amp;IF(AsOf-C26=1," day"," days")&amp;" overdue",IF(C26=AsOf,"today","in "&amp;(C26-AsOf)&amp;IF(C26-AsOf=1," day"," days"))))</f>
        <v/>
      </c>
      <c r="I26" s="46">
        <f>'Engine'!V10</f>
        <v/>
      </c>
    </row>
    <row r="27" ht="30" customHeight="1">
      <c r="B27" s="54">
        <f>IF(I27="","",IF(I27=1,"🔴 Urgent",IF(I27=2,"🟡 This week","🔵 Upcoming")))</f>
        <v/>
      </c>
      <c r="C27" s="57">
        <f>IF('Engine'!U11="","",'Engine'!U11)</f>
        <v/>
      </c>
      <c r="D27" s="55">
        <f>IF('Engine'!T11="","",'Engine'!T11)</f>
        <v/>
      </c>
      <c r="E27" s="56">
        <f>IF('Engine'!S11="","",'Engine'!S11)</f>
        <v/>
      </c>
      <c r="F27" s="54">
        <f>IF(C27="","",IF(C27&lt;AsOf,(AsOf-C27)&amp;IF(AsOf-C27=1," day"," days")&amp;" overdue",IF(C27=AsOf,"today","in "&amp;(C27-AsOf)&amp;IF(C27-AsOf=1," day"," days"))))</f>
        <v/>
      </c>
      <c r="I27" s="46">
        <f>'Engine'!V11</f>
        <v/>
      </c>
    </row>
    <row r="28">
      <c r="B28" s="58">
        <f>IF(WeekAlertCount=0,"🟢 Nothing due this week.",IF(WeekAlertCount&gt;10,"+ "&amp;(WeekAlertCount-10)&amp;" more due this week","All "&amp;WeekAlertCount&amp;" shown."))</f>
        <v/>
      </c>
    </row>
    <row r="29"/>
    <row r="30">
      <c r="B30" s="4" t="inlineStr">
        <is>
          <t>📝 FRIDAY REVIEW — the numbers (automatic)</t>
        </is>
      </c>
      <c r="C30" s="5" t="n"/>
      <c r="D30" s="5" t="n"/>
      <c r="E30" s="5" t="n"/>
      <c r="F30" s="5" t="n"/>
      <c r="G30" s="5" t="n"/>
    </row>
    <row r="31" ht="22" customHeight="1">
      <c r="B31" s="13">
        <f>"Paid this week ("&amp;CurSym&amp;")"</f>
        <v/>
      </c>
      <c r="C31" s="64">
        <f>SUMIFS('Payments'!$N$6:$N$1005,'Payments'!$M$6:$M$1005,"&gt;="&amp;WeekStartDate,'Payments'!$M$6:$M$1005,"&lt;="&amp;WeekEndDate)</f>
        <v/>
      </c>
    </row>
    <row r="32" ht="22" customHeight="1">
      <c r="B32" s="6" t="inlineStr">
        <is>
          <t>Change orders approved this week</t>
        </is>
      </c>
      <c r="C32" s="62">
        <f>COUNTIFS('Change Orders'!$L$7:$L$1006,"Approved",'Change Orders'!$M$7:$M$1006,"&gt;="&amp;WeekStartDate,'Change Orders'!$M$7:$M$1006,"&lt;="&amp;WeekEndDate)</f>
        <v/>
      </c>
    </row>
    <row r="33" ht="22" customHeight="1">
      <c r="B33" s="13">
        <f>"…their extra cost ("&amp;CurSym&amp;")"</f>
        <v/>
      </c>
      <c r="C33" s="64">
        <f>SUMIFS('Change Orders'!$J$7:$J$1006,'Change Orders'!$L$7:$L$1006,"Approved",'Change Orders'!$M$7:$M$1006,"&gt;="&amp;WeekStartDate,'Change Orders'!$M$7:$M$1006,"&lt;="&amp;WeekEndDate)</f>
        <v/>
      </c>
    </row>
    <row r="34" ht="22" customHeight="1">
      <c r="B34" s="6" t="inlineStr">
        <is>
          <t>Tasks completed this week</t>
        </is>
      </c>
      <c r="C34" s="62">
        <f>COUNTIFS('Timeline'!$M$7:$M$1006,"Done",'Timeline'!$N$7:$N$1006,"&gt;="&amp;WeekStartDate,'Timeline'!$N$7:$N$1006,"&lt;="&amp;WeekEndDate)</f>
        <v/>
      </c>
    </row>
    <row r="35" ht="22" customHeight="1">
      <c r="B35" s="6" t="inlineStr">
        <is>
          <t>Issues opened this week</t>
        </is>
      </c>
      <c r="C35" s="62">
        <f>COUNTIFS('Issues &amp; Punch List'!$D$8:$D$1007,"&gt;="&amp;WeekStartDate,'Issues &amp; Punch List'!$D$8:$D$1007,"&lt;="&amp;WeekEndDate)</f>
        <v/>
      </c>
    </row>
    <row r="36" ht="22" customHeight="1">
      <c r="B36" s="6" t="inlineStr">
        <is>
          <t>Issues closed this week</t>
        </is>
      </c>
      <c r="C36" s="62">
        <f>COUNTIFS('Issues &amp; Punch List'!$M$8:$M$1007,"&gt;="&amp;WeekStartDate,'Issues &amp; Punch List'!$M$8:$M$1007,"&lt;="&amp;WeekEndDate)</f>
        <v/>
      </c>
    </row>
    <row r="37"/>
    <row r="38">
      <c r="B38" s="4" t="inlineStr">
        <is>
          <t>📝 FRIDAY REVIEW — your notes (type in the yellow boxes)</t>
        </is>
      </c>
      <c r="C38" s="5" t="n"/>
      <c r="D38" s="5" t="n"/>
      <c r="E38" s="5" t="n"/>
      <c r="F38" s="5" t="n"/>
      <c r="G38" s="5" t="n"/>
    </row>
    <row r="39">
      <c r="B39" s="65" t="inlineStr">
        <is>
          <t>What was completed?</t>
        </is>
      </c>
    </row>
    <row r="40">
      <c r="B40" s="66" t="inlineStr">
        <is>
          <t>Electrical first fix 90% done; shower enclosure delivered.</t>
        </is>
      </c>
      <c r="C40" s="67" t="n"/>
      <c r="D40" s="67" t="n"/>
      <c r="E40" s="67" t="n"/>
      <c r="F40" s="67" t="n"/>
      <c r="G40" s="67" t="n"/>
    </row>
    <row r="41">
      <c r="B41" s="67" t="n"/>
      <c r="C41" s="67" t="n"/>
      <c r="D41" s="67" t="n"/>
      <c r="E41" s="67" t="n"/>
      <c r="F41" s="67" t="n"/>
      <c r="G41" s="67" t="n"/>
    </row>
    <row r="42">
      <c r="B42" s="67" t="n"/>
      <c r="C42" s="67" t="n"/>
      <c r="D42" s="67" t="n"/>
      <c r="E42" s="67" t="n"/>
      <c r="F42" s="67" t="n"/>
      <c r="G42" s="67" t="n"/>
    </row>
    <row r="43"/>
    <row r="44">
      <c r="B44" s="65" t="inlineStr">
        <is>
          <t>What was delayed?</t>
        </is>
      </c>
    </row>
    <row r="45">
      <c r="B45" s="66" t="inlineStr">
        <is>
          <t>Plumbing rough-in (pipe re-route) — now 10 days late.</t>
        </is>
      </c>
      <c r="C45" s="67" t="n"/>
      <c r="D45" s="67" t="n"/>
      <c r="E45" s="67" t="n"/>
      <c r="F45" s="67" t="n"/>
      <c r="G45" s="67" t="n"/>
    </row>
    <row r="46">
      <c r="B46" s="67" t="n"/>
      <c r="C46" s="67" t="n"/>
      <c r="D46" s="67" t="n"/>
      <c r="E46" s="67" t="n"/>
      <c r="F46" s="67" t="n"/>
      <c r="G46" s="67" t="n"/>
    </row>
    <row r="47">
      <c r="B47" s="67" t="n"/>
      <c r="C47" s="67" t="n"/>
      <c r="D47" s="67" t="n"/>
      <c r="E47" s="67" t="n"/>
      <c r="F47" s="67" t="n"/>
      <c r="G47" s="67" t="n"/>
    </row>
    <row r="48"/>
    <row r="49">
      <c r="B49" s="65" t="inlineStr">
        <is>
          <t>What changed?</t>
        </is>
      </c>
    </row>
    <row r="50">
      <c r="B50" s="66" t="inlineStr">
        <is>
          <t>EV charger change order requested by electrician (pending).</t>
        </is>
      </c>
      <c r="C50" s="67" t="n"/>
      <c r="D50" s="67" t="n"/>
      <c r="E50" s="67" t="n"/>
      <c r="F50" s="67" t="n"/>
      <c r="G50" s="67" t="n"/>
    </row>
    <row r="51">
      <c r="B51" s="67" t="n"/>
      <c r="C51" s="67" t="n"/>
      <c r="D51" s="67" t="n"/>
      <c r="E51" s="67" t="n"/>
      <c r="F51" s="67" t="n"/>
      <c r="G51" s="67" t="n"/>
    </row>
    <row r="52">
      <c r="B52" s="67" t="n"/>
      <c r="C52" s="67" t="n"/>
      <c r="D52" s="67" t="n"/>
      <c r="E52" s="67" t="n"/>
      <c r="F52" s="67" t="n"/>
      <c r="G52" s="67" t="n"/>
    </row>
    <row r="53"/>
    <row r="54">
      <c r="B54" s="65" t="inlineStr">
        <is>
          <t>What is now at risk?</t>
        </is>
      </c>
    </row>
    <row r="55">
      <c r="B55" s="66" t="inlineStr">
        <is>
          <t>Kitchen install on 2 Jul depends on drywall — tight.</t>
        </is>
      </c>
      <c r="C55" s="67" t="n"/>
      <c r="D55" s="67" t="n"/>
      <c r="E55" s="67" t="n"/>
      <c r="F55" s="67" t="n"/>
      <c r="G55" s="67" t="n"/>
    </row>
    <row r="56">
      <c r="B56" s="67" t="n"/>
      <c r="C56" s="67" t="n"/>
      <c r="D56" s="67" t="n"/>
      <c r="E56" s="67" t="n"/>
      <c r="F56" s="67" t="n"/>
      <c r="G56" s="67" t="n"/>
    </row>
    <row r="57">
      <c r="B57" s="67" t="n"/>
      <c r="C57" s="67" t="n"/>
      <c r="D57" s="67" t="n"/>
      <c r="E57" s="67" t="n"/>
      <c r="F57" s="67" t="n"/>
      <c r="G57" s="67" t="n"/>
    </row>
    <row r="58"/>
    <row r="59">
      <c r="B59" s="65" t="inlineStr">
        <is>
          <t>Top 3 for next week</t>
        </is>
      </c>
    </row>
    <row r="60">
      <c r="B60" s="66" t="inlineStr">
        <is>
          <t>1) Decide bathroom 2 tiles  2) Pay FlowRight after re-route fixed  3) Chase electrician insurance</t>
        </is>
      </c>
      <c r="C60" s="67" t="n"/>
      <c r="D60" s="67" t="n"/>
      <c r="E60" s="67" t="n"/>
      <c r="F60" s="67" t="n"/>
      <c r="G60" s="67" t="n"/>
    </row>
    <row r="61">
      <c r="B61" s="67" t="n"/>
      <c r="C61" s="67" t="n"/>
      <c r="D61" s="67" t="n"/>
      <c r="E61" s="67" t="n"/>
      <c r="F61" s="67" t="n"/>
      <c r="G61" s="67" t="n"/>
    </row>
    <row r="62">
      <c r="B62" s="67" t="n"/>
      <c r="C62" s="67" t="n"/>
      <c r="D62" s="67" t="n"/>
      <c r="E62" s="67" t="n"/>
      <c r="F62" s="67" t="n"/>
      <c r="G62" s="67" t="n"/>
    </row>
  </sheetData>
  <sheetProtection selectLockedCells="1" selectUnlockedCells="0" sheet="1" objects="0" insertRows="1" insertHyperlinks="1" autoFilter="1" scenarios="0" formatColumns="0" deleteColumns="1" insertColumns="1" pivotTables="1" deleteRows="1" formatCells="1" formatRows="0" sort="1" password="CD61"/>
  <mergeCells count="16">
    <mergeCell ref="B60:G62"/>
    <mergeCell ref="F21:G21"/>
    <mergeCell ref="B55:G57"/>
    <mergeCell ref="F24:G24"/>
    <mergeCell ref="B50:G52"/>
    <mergeCell ref="F19:G19"/>
    <mergeCell ref="F20:G20"/>
    <mergeCell ref="F18:G18"/>
    <mergeCell ref="F23:G23"/>
    <mergeCell ref="F25:G25"/>
    <mergeCell ref="B40:G42"/>
    <mergeCell ref="B45:G47"/>
    <mergeCell ref="F22:G22"/>
    <mergeCell ref="F26:G26"/>
    <mergeCell ref="F27:G27"/>
    <mergeCell ref="F17:G17"/>
  </mergeCells>
  <conditionalFormatting sqref="C8">
    <cfRule type="expression" priority="1" dxfId="2" stopIfTrue="0">
      <formula>C8&gt;0</formula>
    </cfRule>
  </conditionalFormatting>
  <conditionalFormatting sqref="C9">
    <cfRule type="expression" priority="2" dxfId="2" stopIfTrue="0">
      <formula>C9&gt;0</formula>
    </cfRule>
  </conditionalFormatting>
  <conditionalFormatting sqref="C10">
    <cfRule type="expression" priority="3" dxfId="2" stopIfTrue="0">
      <formula>C10&gt;0</formula>
    </cfRule>
  </conditionalFormatting>
  <conditionalFormatting sqref="C11">
    <cfRule type="expression" priority="4" dxfId="2" stopIfTrue="0">
      <formula>C11&gt;0</formula>
    </cfRule>
  </conditionalFormatting>
  <conditionalFormatting sqref="C12">
    <cfRule type="expression" priority="5" dxfId="2" stopIfTrue="0">
      <formula>C12&gt;0</formula>
    </cfRule>
  </conditionalFormatting>
  <conditionalFormatting sqref="C13">
    <cfRule type="expression" priority="6" dxfId="2" stopIfTrue="0">
      <formula>C13&gt;0</formula>
    </cfRule>
  </conditionalFormatting>
  <conditionalFormatting sqref="C14">
    <cfRule type="expression" priority="7" dxfId="2" stopIfTrue="0">
      <formula>C14&gt;0</formula>
    </cfRule>
  </conditionalFormatting>
  <conditionalFormatting sqref="B18:B27">
    <cfRule type="expression" priority="8" dxfId="0" stopIfTrue="0">
      <formula>$I18=1</formula>
    </cfRule>
    <cfRule type="expression" priority="9" dxfId="2" stopIfTrue="0">
      <formula>$I18=2</formula>
    </cfRule>
    <cfRule type="expression" priority="10" dxfId="4" stopIfTrue="0">
      <formula>$I18=3</formula>
    </cfRule>
  </conditionalFormatting>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2E7D32"/>
    <outlinePr summaryBelow="1" summaryRight="1"/>
    <pageSetUpPr/>
  </sheetPr>
  <dimension ref="A1:S64"/>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hidden="1" width="13" customWidth="1" min="15" max="15"/>
    <col hidden="1" width="13" customWidth="1" min="16" max="16"/>
    <col hidden="1" width="13" customWidth="1" min="17" max="17"/>
    <col hidden="1" width="13" customWidth="1" min="18" max="18"/>
    <col hidden="1" width="13" customWidth="1" min="19" max="19"/>
  </cols>
  <sheetData>
    <row r="1" ht="36" customHeight="1">
      <c r="B1" s="1" t="inlineStr">
        <is>
          <t>💶 Budget</t>
        </is>
      </c>
    </row>
    <row r="2" ht="20" customHeight="1">
      <c r="B2" s="2" t="inlineStr">
        <is>
          <t>What this tab does: compares your budget per category with what you have committed, invoiced and paid, and forecasts the final cost.</t>
        </is>
      </c>
    </row>
    <row r="3">
      <c r="B3" s="3" t="inlineStr">
        <is>
          <t>© 2026 Hang Nguyen — Renovation OS. Licensed to the original purchaser for personal use only. Do not share, copy, resell or redistribute.</t>
        </is>
      </c>
    </row>
    <row r="4">
      <c r="B4" s="13">
        <f>"Working budget ("&amp;CurSym&amp;")"</f>
        <v/>
      </c>
      <c r="C4" s="68">
        <f>WorkBudget</f>
        <v/>
      </c>
      <c r="E4" s="6" t="inlineStr">
        <is>
          <t>Sum of category budgets</t>
        </is>
      </c>
      <c r="G4" s="68">
        <f>BudgetSum</f>
        <v/>
      </c>
      <c r="H4" s="69">
        <f>IF(WorkBudget=0,"",IF(ABS(BudgetSum-WorkBudget)&lt;1,"✓ matches",IF(BudgetSum&gt;WorkBudget,"▲ "&amp;FIXED(BudgetSum-WorkBudget,0)&amp;" more than working budget","▼ "&amp;FIXED(WorkBudget-BudgetSum,0)&amp;" not yet allocated")))</f>
        <v/>
      </c>
    </row>
    <row r="5"/>
    <row r="6"/>
    <row r="7" ht="32" customHeight="1">
      <c r="B7" s="52" t="inlineStr">
        <is>
          <t>Category</t>
        </is>
      </c>
      <c r="C7" s="70">
        <f>"Budget ("&amp;CurSym&amp;")"</f>
        <v/>
      </c>
      <c r="D7" s="52" t="inlineStr">
        <is>
          <t>Stage</t>
        </is>
      </c>
      <c r="E7" s="70">
        <f>"Best quote ("&amp;CurSym&amp;")"</f>
        <v/>
      </c>
      <c r="F7" s="70">
        <f>"Contracted ("&amp;CurSym&amp;")"</f>
        <v/>
      </c>
      <c r="G7" s="70">
        <f>"Materials ("&amp;CurSym&amp;")"</f>
        <v/>
      </c>
      <c r="H7" s="70">
        <f>"Approved changes ("&amp;CurSym&amp;")"</f>
        <v/>
      </c>
      <c r="I7" s="70">
        <f>"Committed ("&amp;CurSym&amp;")"</f>
        <v/>
      </c>
      <c r="J7" s="70">
        <f>"Invoiced ("&amp;CurSym&amp;")"</f>
        <v/>
      </c>
      <c r="K7" s="70">
        <f>"Paid ("&amp;CurSym&amp;")"</f>
        <v/>
      </c>
      <c r="L7" s="70">
        <f>"Forecast ("&amp;CurSym&amp;")"</f>
        <v/>
      </c>
      <c r="M7" s="70">
        <f>"Variance ("&amp;CurSym&amp;")"</f>
        <v/>
      </c>
      <c r="N7" s="52" t="inlineStr">
        <is>
          <t>Status</t>
        </is>
      </c>
      <c r="O7" s="71" t="inlineStr">
        <is>
          <t>lvl</t>
        </is>
      </c>
      <c r="P7" s="71" t="inlineStr">
        <is>
          <t>chart key</t>
        </is>
      </c>
    </row>
    <row r="8" ht="20" customHeight="1">
      <c r="B8" s="72" t="inlineStr">
        <is>
          <t>Demolition</t>
        </is>
      </c>
      <c r="C8" s="73" t="n">
        <v>4000</v>
      </c>
      <c r="D8" s="74" t="inlineStr">
        <is>
          <t>Complete</t>
        </is>
      </c>
      <c r="E8" s="75">
        <f>IF(B8="","",IFERROR(1/SUMPRODUCT(MAX((QBlockCat=B8)*QBlockInv)),""))</f>
        <v/>
      </c>
      <c r="F8" s="75">
        <f>IF(B8="","",SUMIFS('Contractors'!$I$6:$I$1005,'Contractors'!$D$6:$D$1005,B8,'Contractors'!$L$6:$L$1005,"Yes"))</f>
        <v/>
      </c>
      <c r="G8" s="75">
        <f>IF(B8="","",SUMIFS('Selections &amp; Orders'!$L$8:$L$1007,'Selections &amp; Orders'!$D$8:$D$1007,B8))</f>
        <v/>
      </c>
      <c r="H8" s="75">
        <f>IF(B8="","",SUMIFS('Change Orders'!$J$7:$J$1006,'Change Orders'!$F$7:$F$1006,B8,'Change Orders'!$L$7:$L$1006,"Approved"))</f>
        <v/>
      </c>
      <c r="I8" s="76">
        <f>IF(B8="","",F8+G8+H8)</f>
        <v/>
      </c>
      <c r="J8" s="75">
        <f>IF(B8="","",SUMIFS('Payments'!$L$6:$L$1005,'Payments'!$P$6:$P$1005,B8))</f>
        <v/>
      </c>
      <c r="K8" s="75">
        <f>IF(B8="","",SUMIFS('Payments'!$N$6:$N$1005,'Payments'!$P$6:$P$1005,B8))</f>
        <v/>
      </c>
      <c r="L8" s="76">
        <f>IF(B8="","",IF(OR(D8="Estimating",D8=""),MAX(C8,E8,I8,J8),MAX(I8,J8)))</f>
        <v/>
      </c>
      <c r="M8" s="77">
        <f>IF(B8="","",C8-L8)</f>
        <v/>
      </c>
      <c r="N8" s="78">
        <f>IF(O8="","",IF(O8=0,"🟢 On track",IF(O8=1,"🟡 Watch","🔴 Over")))</f>
        <v/>
      </c>
      <c r="O8" s="79">
        <f>IF(B8="","",IF(L8&lt;=C8,0,IF(L8&lt;=C8*(1+BudgetWarnPct),1,2)))</f>
        <v/>
      </c>
      <c r="P8" s="79">
        <f>IF(B8="","",IF(MAX(C8,L8)&gt;0,MAX(C8,L8)+ROW()/100000,""))</f>
        <v/>
      </c>
    </row>
    <row r="9" ht="20" customHeight="1">
      <c r="B9" s="72" t="inlineStr">
        <is>
          <t>Structural</t>
        </is>
      </c>
      <c r="C9" s="73" t="n">
        <v>9000</v>
      </c>
      <c r="D9" s="74" t="inlineStr">
        <is>
          <t>Complete</t>
        </is>
      </c>
      <c r="E9" s="75">
        <f>IF(B9="","",IFERROR(1/SUMPRODUCT(MAX((QBlockCat=B9)*QBlockInv)),""))</f>
        <v/>
      </c>
      <c r="F9" s="75">
        <f>IF(B9="","",SUMIFS('Contractors'!$I$6:$I$1005,'Contractors'!$D$6:$D$1005,B9,'Contractors'!$L$6:$L$1005,"Yes"))</f>
        <v/>
      </c>
      <c r="G9" s="75">
        <f>IF(B9="","",SUMIFS('Selections &amp; Orders'!$L$8:$L$1007,'Selections &amp; Orders'!$D$8:$D$1007,B9))</f>
        <v/>
      </c>
      <c r="H9" s="75">
        <f>IF(B9="","",SUMIFS('Change Orders'!$J$7:$J$1006,'Change Orders'!$F$7:$F$1006,B9,'Change Orders'!$L$7:$L$1006,"Approved"))</f>
        <v/>
      </c>
      <c r="I9" s="76">
        <f>IF(B9="","",F9+G9+H9)</f>
        <v/>
      </c>
      <c r="J9" s="75">
        <f>IF(B9="","",SUMIFS('Payments'!$L$6:$L$1005,'Payments'!$P$6:$P$1005,B9))</f>
        <v/>
      </c>
      <c r="K9" s="75">
        <f>IF(B9="","",SUMIFS('Payments'!$N$6:$N$1005,'Payments'!$P$6:$P$1005,B9))</f>
        <v/>
      </c>
      <c r="L9" s="76">
        <f>IF(B9="","",IF(OR(D9="Estimating",D9=""),MAX(C9,E9,I9,J9),MAX(I9,J9)))</f>
        <v/>
      </c>
      <c r="M9" s="77">
        <f>IF(B9="","",C9-L9)</f>
        <v/>
      </c>
      <c r="N9" s="78">
        <f>IF(O9="","",IF(O9=0,"🟢 On track",IF(O9=1,"🟡 Watch","🔴 Over")))</f>
        <v/>
      </c>
      <c r="O9" s="79">
        <f>IF(B9="","",IF(L9&lt;=C9,0,IF(L9&lt;=C9*(1+BudgetWarnPct),1,2)))</f>
        <v/>
      </c>
      <c r="P9" s="79">
        <f>IF(B9="","",IF(MAX(C9,L9)&gt;0,MAX(C9,L9)+ROW()/100000,""))</f>
        <v/>
      </c>
    </row>
    <row r="10" ht="20" customHeight="1">
      <c r="B10" s="72" t="inlineStr">
        <is>
          <t>Plumbing</t>
        </is>
      </c>
      <c r="C10" s="73" t="n">
        <v>9500</v>
      </c>
      <c r="D10" s="74" t="inlineStr">
        <is>
          <t>Contracted</t>
        </is>
      </c>
      <c r="E10" s="75">
        <f>IF(B10="","",IFERROR(1/SUMPRODUCT(MAX((QBlockCat=B10)*QBlockInv)),""))</f>
        <v/>
      </c>
      <c r="F10" s="75">
        <f>IF(B10="","",SUMIFS('Contractors'!$I$6:$I$1005,'Contractors'!$D$6:$D$1005,B10,'Contractors'!$L$6:$L$1005,"Yes"))</f>
        <v/>
      </c>
      <c r="G10" s="75">
        <f>IF(B10="","",SUMIFS('Selections &amp; Orders'!$L$8:$L$1007,'Selections &amp; Orders'!$D$8:$D$1007,B10))</f>
        <v/>
      </c>
      <c r="H10" s="75">
        <f>IF(B10="","",SUMIFS('Change Orders'!$J$7:$J$1006,'Change Orders'!$F$7:$F$1006,B10,'Change Orders'!$L$7:$L$1006,"Approved"))</f>
        <v/>
      </c>
      <c r="I10" s="76">
        <f>IF(B10="","",F10+G10+H10)</f>
        <v/>
      </c>
      <c r="J10" s="75">
        <f>IF(B10="","",SUMIFS('Payments'!$L$6:$L$1005,'Payments'!$P$6:$P$1005,B10))</f>
        <v/>
      </c>
      <c r="K10" s="75">
        <f>IF(B10="","",SUMIFS('Payments'!$N$6:$N$1005,'Payments'!$P$6:$P$1005,B10))</f>
        <v/>
      </c>
      <c r="L10" s="76">
        <f>IF(B10="","",IF(OR(D10="Estimating",D10=""),MAX(C10,E10,I10,J10),MAX(I10,J10)))</f>
        <v/>
      </c>
      <c r="M10" s="77">
        <f>IF(B10="","",C10-L10)</f>
        <v/>
      </c>
      <c r="N10" s="78">
        <f>IF(O10="","",IF(O10=0,"🟢 On track",IF(O10=1,"🟡 Watch","🔴 Over")))</f>
        <v/>
      </c>
      <c r="O10" s="79">
        <f>IF(B10="","",IF(L10&lt;=C10,0,IF(L10&lt;=C10*(1+BudgetWarnPct),1,2)))</f>
        <v/>
      </c>
      <c r="P10" s="79">
        <f>IF(B10="","",IF(MAX(C10,L10)&gt;0,MAX(C10,L10)+ROW()/100000,""))</f>
        <v/>
      </c>
    </row>
    <row r="11" ht="20" customHeight="1">
      <c r="B11" s="72" t="inlineStr">
        <is>
          <t>Electrical</t>
        </is>
      </c>
      <c r="C11" s="73" t="n">
        <v>10000</v>
      </c>
      <c r="D11" s="74" t="inlineStr">
        <is>
          <t>Contracted</t>
        </is>
      </c>
      <c r="E11" s="75">
        <f>IF(B11="","",IFERROR(1/SUMPRODUCT(MAX((QBlockCat=B11)*QBlockInv)),""))</f>
        <v/>
      </c>
      <c r="F11" s="75">
        <f>IF(B11="","",SUMIFS('Contractors'!$I$6:$I$1005,'Contractors'!$D$6:$D$1005,B11,'Contractors'!$L$6:$L$1005,"Yes"))</f>
        <v/>
      </c>
      <c r="G11" s="75">
        <f>IF(B11="","",SUMIFS('Selections &amp; Orders'!$L$8:$L$1007,'Selections &amp; Orders'!$D$8:$D$1007,B11))</f>
        <v/>
      </c>
      <c r="H11" s="75">
        <f>IF(B11="","",SUMIFS('Change Orders'!$J$7:$J$1006,'Change Orders'!$F$7:$F$1006,B11,'Change Orders'!$L$7:$L$1006,"Approved"))</f>
        <v/>
      </c>
      <c r="I11" s="76">
        <f>IF(B11="","",F11+G11+H11)</f>
        <v/>
      </c>
      <c r="J11" s="75">
        <f>IF(B11="","",SUMIFS('Payments'!$L$6:$L$1005,'Payments'!$P$6:$P$1005,B11))</f>
        <v/>
      </c>
      <c r="K11" s="75">
        <f>IF(B11="","",SUMIFS('Payments'!$N$6:$N$1005,'Payments'!$P$6:$P$1005,B11))</f>
        <v/>
      </c>
      <c r="L11" s="76">
        <f>IF(B11="","",IF(OR(D11="Estimating",D11=""),MAX(C11,E11,I11,J11),MAX(I11,J11)))</f>
        <v/>
      </c>
      <c r="M11" s="77">
        <f>IF(B11="","",C11-L11)</f>
        <v/>
      </c>
      <c r="N11" s="78">
        <f>IF(O11="","",IF(O11=0,"🟢 On track",IF(O11=1,"🟡 Watch","🔴 Over")))</f>
        <v/>
      </c>
      <c r="O11" s="79">
        <f>IF(B11="","",IF(L11&lt;=C11,0,IF(L11&lt;=C11*(1+BudgetWarnPct),1,2)))</f>
        <v/>
      </c>
      <c r="P11" s="79">
        <f>IF(B11="","",IF(MAX(C11,L11)&gt;0,MAX(C11,L11)+ROW()/100000,""))</f>
        <v/>
      </c>
    </row>
    <row r="12" ht="20" customHeight="1">
      <c r="B12" s="72" t="inlineStr">
        <is>
          <t>HVAC</t>
        </is>
      </c>
      <c r="C12" s="73" t="n">
        <v>9000</v>
      </c>
      <c r="D12" s="74" t="inlineStr">
        <is>
          <t>Contracted</t>
        </is>
      </c>
      <c r="E12" s="75">
        <f>IF(B12="","",IFERROR(1/SUMPRODUCT(MAX((QBlockCat=B12)*QBlockInv)),""))</f>
        <v/>
      </c>
      <c r="F12" s="75">
        <f>IF(B12="","",SUMIFS('Contractors'!$I$6:$I$1005,'Contractors'!$D$6:$D$1005,B12,'Contractors'!$L$6:$L$1005,"Yes"))</f>
        <v/>
      </c>
      <c r="G12" s="75">
        <f>IF(B12="","",SUMIFS('Selections &amp; Orders'!$L$8:$L$1007,'Selections &amp; Orders'!$D$8:$D$1007,B12))</f>
        <v/>
      </c>
      <c r="H12" s="75">
        <f>IF(B12="","",SUMIFS('Change Orders'!$J$7:$J$1006,'Change Orders'!$F$7:$F$1006,B12,'Change Orders'!$L$7:$L$1006,"Approved"))</f>
        <v/>
      </c>
      <c r="I12" s="76">
        <f>IF(B12="","",F12+G12+H12)</f>
        <v/>
      </c>
      <c r="J12" s="75">
        <f>IF(B12="","",SUMIFS('Payments'!$L$6:$L$1005,'Payments'!$P$6:$P$1005,B12))</f>
        <v/>
      </c>
      <c r="K12" s="75">
        <f>IF(B12="","",SUMIFS('Payments'!$N$6:$N$1005,'Payments'!$P$6:$P$1005,B12))</f>
        <v/>
      </c>
      <c r="L12" s="76">
        <f>IF(B12="","",IF(OR(D12="Estimating",D12=""),MAX(C12,E12,I12,J12),MAX(I12,J12)))</f>
        <v/>
      </c>
      <c r="M12" s="77">
        <f>IF(B12="","",C12-L12)</f>
        <v/>
      </c>
      <c r="N12" s="78">
        <f>IF(O12="","",IF(O12=0,"🟢 On track",IF(O12=1,"🟡 Watch","🔴 Over")))</f>
        <v/>
      </c>
      <c r="O12" s="79">
        <f>IF(B12="","",IF(L12&lt;=C12,0,IF(L12&lt;=C12*(1+BudgetWarnPct),1,2)))</f>
        <v/>
      </c>
      <c r="P12" s="79">
        <f>IF(B12="","",IF(MAX(C12,L12)&gt;0,MAX(C12,L12)+ROW()/100000,""))</f>
        <v/>
      </c>
    </row>
    <row r="13" ht="20" customHeight="1">
      <c r="B13" s="72" t="inlineStr">
        <is>
          <t>Windows &amp; doors</t>
        </is>
      </c>
      <c r="C13" s="73" t="n">
        <v>12000</v>
      </c>
      <c r="D13" s="74" t="inlineStr">
        <is>
          <t>Contracted</t>
        </is>
      </c>
      <c r="E13" s="75">
        <f>IF(B13="","",IFERROR(1/SUMPRODUCT(MAX((QBlockCat=B13)*QBlockInv)),""))</f>
        <v/>
      </c>
      <c r="F13" s="75">
        <f>IF(B13="","",SUMIFS('Contractors'!$I$6:$I$1005,'Contractors'!$D$6:$D$1005,B13,'Contractors'!$L$6:$L$1005,"Yes"))</f>
        <v/>
      </c>
      <c r="G13" s="75">
        <f>IF(B13="","",SUMIFS('Selections &amp; Orders'!$L$8:$L$1007,'Selections &amp; Orders'!$D$8:$D$1007,B13))</f>
        <v/>
      </c>
      <c r="H13" s="75">
        <f>IF(B13="","",SUMIFS('Change Orders'!$J$7:$J$1006,'Change Orders'!$F$7:$F$1006,B13,'Change Orders'!$L$7:$L$1006,"Approved"))</f>
        <v/>
      </c>
      <c r="I13" s="76">
        <f>IF(B13="","",F13+G13+H13)</f>
        <v/>
      </c>
      <c r="J13" s="75">
        <f>IF(B13="","",SUMIFS('Payments'!$L$6:$L$1005,'Payments'!$P$6:$P$1005,B13))</f>
        <v/>
      </c>
      <c r="K13" s="75">
        <f>IF(B13="","",SUMIFS('Payments'!$N$6:$N$1005,'Payments'!$P$6:$P$1005,B13))</f>
        <v/>
      </c>
      <c r="L13" s="76">
        <f>IF(B13="","",IF(OR(D13="Estimating",D13=""),MAX(C13,E13,I13,J13),MAX(I13,J13)))</f>
        <v/>
      </c>
      <c r="M13" s="77">
        <f>IF(B13="","",C13-L13)</f>
        <v/>
      </c>
      <c r="N13" s="78">
        <f>IF(O13="","",IF(O13=0,"🟢 On track",IF(O13=1,"🟡 Watch","🔴 Over")))</f>
        <v/>
      </c>
      <c r="O13" s="79">
        <f>IF(B13="","",IF(L13&lt;=C13,0,IF(L13&lt;=C13*(1+BudgetWarnPct),1,2)))</f>
        <v/>
      </c>
      <c r="P13" s="79">
        <f>IF(B13="","",IF(MAX(C13,L13)&gt;0,MAX(C13,L13)+ROW()/100000,""))</f>
        <v/>
      </c>
    </row>
    <row r="14" ht="20" customHeight="1">
      <c r="B14" s="72" t="inlineStr">
        <is>
          <t>Roofing</t>
        </is>
      </c>
      <c r="C14" s="73" t="n">
        <v>3000</v>
      </c>
      <c r="D14" s="74" t="inlineStr">
        <is>
          <t>Estimating</t>
        </is>
      </c>
      <c r="E14" s="75">
        <f>IF(B14="","",IFERROR(1/SUMPRODUCT(MAX((QBlockCat=B14)*QBlockInv)),""))</f>
        <v/>
      </c>
      <c r="F14" s="75">
        <f>IF(B14="","",SUMIFS('Contractors'!$I$6:$I$1005,'Contractors'!$D$6:$D$1005,B14,'Contractors'!$L$6:$L$1005,"Yes"))</f>
        <v/>
      </c>
      <c r="G14" s="75">
        <f>IF(B14="","",SUMIFS('Selections &amp; Orders'!$L$8:$L$1007,'Selections &amp; Orders'!$D$8:$D$1007,B14))</f>
        <v/>
      </c>
      <c r="H14" s="75">
        <f>IF(B14="","",SUMIFS('Change Orders'!$J$7:$J$1006,'Change Orders'!$F$7:$F$1006,B14,'Change Orders'!$L$7:$L$1006,"Approved"))</f>
        <v/>
      </c>
      <c r="I14" s="76">
        <f>IF(B14="","",F14+G14+H14)</f>
        <v/>
      </c>
      <c r="J14" s="75">
        <f>IF(B14="","",SUMIFS('Payments'!$L$6:$L$1005,'Payments'!$P$6:$P$1005,B14))</f>
        <v/>
      </c>
      <c r="K14" s="75">
        <f>IF(B14="","",SUMIFS('Payments'!$N$6:$N$1005,'Payments'!$P$6:$P$1005,B14))</f>
        <v/>
      </c>
      <c r="L14" s="76">
        <f>IF(B14="","",IF(OR(D14="Estimating",D14=""),MAX(C14,E14,I14,J14),MAX(I14,J14)))</f>
        <v/>
      </c>
      <c r="M14" s="77">
        <f>IF(B14="","",C14-L14)</f>
        <v/>
      </c>
      <c r="N14" s="78">
        <f>IF(O14="","",IF(O14=0,"🟢 On track",IF(O14=1,"🟡 Watch","🔴 Over")))</f>
        <v/>
      </c>
      <c r="O14" s="79">
        <f>IF(B14="","",IF(L14&lt;=C14,0,IF(L14&lt;=C14*(1+BudgetWarnPct),1,2)))</f>
        <v/>
      </c>
      <c r="P14" s="79">
        <f>IF(B14="","",IF(MAX(C14,L14)&gt;0,MAX(C14,L14)+ROW()/100000,""))</f>
        <v/>
      </c>
    </row>
    <row r="15" ht="20" customHeight="1">
      <c r="B15" s="72" t="inlineStr">
        <is>
          <t>Kitchen</t>
        </is>
      </c>
      <c r="C15" s="73" t="n">
        <v>20000</v>
      </c>
      <c r="D15" s="74" t="inlineStr">
        <is>
          <t>Contracted</t>
        </is>
      </c>
      <c r="E15" s="75">
        <f>IF(B15="","",IFERROR(1/SUMPRODUCT(MAX((QBlockCat=B15)*QBlockInv)),""))</f>
        <v/>
      </c>
      <c r="F15" s="75">
        <f>IF(B15="","",SUMIFS('Contractors'!$I$6:$I$1005,'Contractors'!$D$6:$D$1005,B15,'Contractors'!$L$6:$L$1005,"Yes"))</f>
        <v/>
      </c>
      <c r="G15" s="75">
        <f>IF(B15="","",SUMIFS('Selections &amp; Orders'!$L$8:$L$1007,'Selections &amp; Orders'!$D$8:$D$1007,B15))</f>
        <v/>
      </c>
      <c r="H15" s="75">
        <f>IF(B15="","",SUMIFS('Change Orders'!$J$7:$J$1006,'Change Orders'!$F$7:$F$1006,B15,'Change Orders'!$L$7:$L$1006,"Approved"))</f>
        <v/>
      </c>
      <c r="I15" s="76">
        <f>IF(B15="","",F15+G15+H15)</f>
        <v/>
      </c>
      <c r="J15" s="75">
        <f>IF(B15="","",SUMIFS('Payments'!$L$6:$L$1005,'Payments'!$P$6:$P$1005,B15))</f>
        <v/>
      </c>
      <c r="K15" s="75">
        <f>IF(B15="","",SUMIFS('Payments'!$N$6:$N$1005,'Payments'!$P$6:$P$1005,B15))</f>
        <v/>
      </c>
      <c r="L15" s="76">
        <f>IF(B15="","",IF(OR(D15="Estimating",D15=""),MAX(C15,E15,I15,J15),MAX(I15,J15)))</f>
        <v/>
      </c>
      <c r="M15" s="77">
        <f>IF(B15="","",C15-L15)</f>
        <v/>
      </c>
      <c r="N15" s="78">
        <f>IF(O15="","",IF(O15=0,"🟢 On track",IF(O15=1,"🟡 Watch","🔴 Over")))</f>
        <v/>
      </c>
      <c r="O15" s="79">
        <f>IF(B15="","",IF(L15&lt;=C15,0,IF(L15&lt;=C15*(1+BudgetWarnPct),1,2)))</f>
        <v/>
      </c>
      <c r="P15" s="79">
        <f>IF(B15="","",IF(MAX(C15,L15)&gt;0,MAX(C15,L15)+ROW()/100000,""))</f>
        <v/>
      </c>
    </row>
    <row r="16" ht="20" customHeight="1">
      <c r="B16" s="72" t="inlineStr">
        <is>
          <t>Bathrooms</t>
        </is>
      </c>
      <c r="C16" s="73" t="n">
        <v>15000</v>
      </c>
      <c r="D16" s="74" t="inlineStr">
        <is>
          <t>Contracted</t>
        </is>
      </c>
      <c r="E16" s="75">
        <f>IF(B16="","",IFERROR(1/SUMPRODUCT(MAX((QBlockCat=B16)*QBlockInv)),""))</f>
        <v/>
      </c>
      <c r="F16" s="75">
        <f>IF(B16="","",SUMIFS('Contractors'!$I$6:$I$1005,'Contractors'!$D$6:$D$1005,B16,'Contractors'!$L$6:$L$1005,"Yes"))</f>
        <v/>
      </c>
      <c r="G16" s="75">
        <f>IF(B16="","",SUMIFS('Selections &amp; Orders'!$L$8:$L$1007,'Selections &amp; Orders'!$D$8:$D$1007,B16))</f>
        <v/>
      </c>
      <c r="H16" s="75">
        <f>IF(B16="","",SUMIFS('Change Orders'!$J$7:$J$1006,'Change Orders'!$F$7:$F$1006,B16,'Change Orders'!$L$7:$L$1006,"Approved"))</f>
        <v/>
      </c>
      <c r="I16" s="76">
        <f>IF(B16="","",F16+G16+H16)</f>
        <v/>
      </c>
      <c r="J16" s="75">
        <f>IF(B16="","",SUMIFS('Payments'!$L$6:$L$1005,'Payments'!$P$6:$P$1005,B16))</f>
        <v/>
      </c>
      <c r="K16" s="75">
        <f>IF(B16="","",SUMIFS('Payments'!$N$6:$N$1005,'Payments'!$P$6:$P$1005,B16))</f>
        <v/>
      </c>
      <c r="L16" s="76">
        <f>IF(B16="","",IF(OR(D16="Estimating",D16=""),MAX(C16,E16,I16,J16),MAX(I16,J16)))</f>
        <v/>
      </c>
      <c r="M16" s="77">
        <f>IF(B16="","",C16-L16)</f>
        <v/>
      </c>
      <c r="N16" s="78">
        <f>IF(O16="","",IF(O16=0,"🟢 On track",IF(O16=1,"🟡 Watch","🔴 Over")))</f>
        <v/>
      </c>
      <c r="O16" s="79">
        <f>IF(B16="","",IF(L16&lt;=C16,0,IF(L16&lt;=C16*(1+BudgetWarnPct),1,2)))</f>
        <v/>
      </c>
      <c r="P16" s="79">
        <f>IF(B16="","",IF(MAX(C16,L16)&gt;0,MAX(C16,L16)+ROW()/100000,""))</f>
        <v/>
      </c>
    </row>
    <row r="17" ht="20" customHeight="1">
      <c r="B17" s="72" t="inlineStr">
        <is>
          <t>Flooring</t>
        </is>
      </c>
      <c r="C17" s="73" t="n">
        <v>8500</v>
      </c>
      <c r="D17" s="74" t="inlineStr">
        <is>
          <t>Estimating</t>
        </is>
      </c>
      <c r="E17" s="75">
        <f>IF(B17="","",IFERROR(1/SUMPRODUCT(MAX((QBlockCat=B17)*QBlockInv)),""))</f>
        <v/>
      </c>
      <c r="F17" s="75">
        <f>IF(B17="","",SUMIFS('Contractors'!$I$6:$I$1005,'Contractors'!$D$6:$D$1005,B17,'Contractors'!$L$6:$L$1005,"Yes"))</f>
        <v/>
      </c>
      <c r="G17" s="75">
        <f>IF(B17="","",SUMIFS('Selections &amp; Orders'!$L$8:$L$1007,'Selections &amp; Orders'!$D$8:$D$1007,B17))</f>
        <v/>
      </c>
      <c r="H17" s="75">
        <f>IF(B17="","",SUMIFS('Change Orders'!$J$7:$J$1006,'Change Orders'!$F$7:$F$1006,B17,'Change Orders'!$L$7:$L$1006,"Approved"))</f>
        <v/>
      </c>
      <c r="I17" s="76">
        <f>IF(B17="","",F17+G17+H17)</f>
        <v/>
      </c>
      <c r="J17" s="75">
        <f>IF(B17="","",SUMIFS('Payments'!$L$6:$L$1005,'Payments'!$P$6:$P$1005,B17))</f>
        <v/>
      </c>
      <c r="K17" s="75">
        <f>IF(B17="","",SUMIFS('Payments'!$N$6:$N$1005,'Payments'!$P$6:$P$1005,B17))</f>
        <v/>
      </c>
      <c r="L17" s="76">
        <f>IF(B17="","",IF(OR(D17="Estimating",D17=""),MAX(C17,E17,I17,J17),MAX(I17,J17)))</f>
        <v/>
      </c>
      <c r="M17" s="77">
        <f>IF(B17="","",C17-L17)</f>
        <v/>
      </c>
      <c r="N17" s="78">
        <f>IF(O17="","",IF(O17=0,"🟢 On track",IF(O17=1,"🟡 Watch","🔴 Over")))</f>
        <v/>
      </c>
      <c r="O17" s="79">
        <f>IF(B17="","",IF(L17&lt;=C17,0,IF(L17&lt;=C17*(1+BudgetWarnPct),1,2)))</f>
        <v/>
      </c>
      <c r="P17" s="79">
        <f>IF(B17="","",IF(MAX(C17,L17)&gt;0,MAX(C17,L17)+ROW()/100000,""))</f>
        <v/>
      </c>
    </row>
    <row r="18" ht="20" customHeight="1">
      <c r="B18" s="72" t="inlineStr">
        <is>
          <t>Painting</t>
        </is>
      </c>
      <c r="C18" s="73" t="n">
        <v>4500</v>
      </c>
      <c r="D18" s="74" t="inlineStr">
        <is>
          <t>Estimating</t>
        </is>
      </c>
      <c r="E18" s="75">
        <f>IF(B18="","",IFERROR(1/SUMPRODUCT(MAX((QBlockCat=B18)*QBlockInv)),""))</f>
        <v/>
      </c>
      <c r="F18" s="75">
        <f>IF(B18="","",SUMIFS('Contractors'!$I$6:$I$1005,'Contractors'!$D$6:$D$1005,B18,'Contractors'!$L$6:$L$1005,"Yes"))</f>
        <v/>
      </c>
      <c r="G18" s="75">
        <f>IF(B18="","",SUMIFS('Selections &amp; Orders'!$L$8:$L$1007,'Selections &amp; Orders'!$D$8:$D$1007,B18))</f>
        <v/>
      </c>
      <c r="H18" s="75">
        <f>IF(B18="","",SUMIFS('Change Orders'!$J$7:$J$1006,'Change Orders'!$F$7:$F$1006,B18,'Change Orders'!$L$7:$L$1006,"Approved"))</f>
        <v/>
      </c>
      <c r="I18" s="76">
        <f>IF(B18="","",F18+G18+H18)</f>
        <v/>
      </c>
      <c r="J18" s="75">
        <f>IF(B18="","",SUMIFS('Payments'!$L$6:$L$1005,'Payments'!$P$6:$P$1005,B18))</f>
        <v/>
      </c>
      <c r="K18" s="75">
        <f>IF(B18="","",SUMIFS('Payments'!$N$6:$N$1005,'Payments'!$P$6:$P$1005,B18))</f>
        <v/>
      </c>
      <c r="L18" s="76">
        <f>IF(B18="","",IF(OR(D18="Estimating",D18=""),MAX(C18,E18,I18,J18),MAX(I18,J18)))</f>
        <v/>
      </c>
      <c r="M18" s="77">
        <f>IF(B18="","",C18-L18)</f>
        <v/>
      </c>
      <c r="N18" s="78">
        <f>IF(O18="","",IF(O18=0,"🟢 On track",IF(O18=1,"🟡 Watch","🔴 Over")))</f>
        <v/>
      </c>
      <c r="O18" s="79">
        <f>IF(B18="","",IF(L18&lt;=C18,0,IF(L18&lt;=C18*(1+BudgetWarnPct),1,2)))</f>
        <v/>
      </c>
      <c r="P18" s="79">
        <f>IF(B18="","",IF(MAX(C18,L18)&gt;0,MAX(C18,L18)+ROW()/100000,""))</f>
        <v/>
      </c>
    </row>
    <row r="19" ht="20" customHeight="1">
      <c r="B19" s="72" t="inlineStr">
        <is>
          <t>Landscaping</t>
        </is>
      </c>
      <c r="C19" s="73" t="n">
        <v>2000</v>
      </c>
      <c r="D19" s="74" t="inlineStr">
        <is>
          <t>Estimating</t>
        </is>
      </c>
      <c r="E19" s="75">
        <f>IF(B19="","",IFERROR(1/SUMPRODUCT(MAX((QBlockCat=B19)*QBlockInv)),""))</f>
        <v/>
      </c>
      <c r="F19" s="75">
        <f>IF(B19="","",SUMIFS('Contractors'!$I$6:$I$1005,'Contractors'!$D$6:$D$1005,B19,'Contractors'!$L$6:$L$1005,"Yes"))</f>
        <v/>
      </c>
      <c r="G19" s="75">
        <f>IF(B19="","",SUMIFS('Selections &amp; Orders'!$L$8:$L$1007,'Selections &amp; Orders'!$D$8:$D$1007,B19))</f>
        <v/>
      </c>
      <c r="H19" s="75">
        <f>IF(B19="","",SUMIFS('Change Orders'!$J$7:$J$1006,'Change Orders'!$F$7:$F$1006,B19,'Change Orders'!$L$7:$L$1006,"Approved"))</f>
        <v/>
      </c>
      <c r="I19" s="76">
        <f>IF(B19="","",F19+G19+H19)</f>
        <v/>
      </c>
      <c r="J19" s="75">
        <f>IF(B19="","",SUMIFS('Payments'!$L$6:$L$1005,'Payments'!$P$6:$P$1005,B19))</f>
        <v/>
      </c>
      <c r="K19" s="75">
        <f>IF(B19="","",SUMIFS('Payments'!$N$6:$N$1005,'Payments'!$P$6:$P$1005,B19))</f>
        <v/>
      </c>
      <c r="L19" s="76">
        <f>IF(B19="","",IF(OR(D19="Estimating",D19=""),MAX(C19,E19,I19,J19),MAX(I19,J19)))</f>
        <v/>
      </c>
      <c r="M19" s="77">
        <f>IF(B19="","",C19-L19)</f>
        <v/>
      </c>
      <c r="N19" s="78">
        <f>IF(O19="","",IF(O19=0,"🟢 On track",IF(O19=1,"🟡 Watch","🔴 Over")))</f>
        <v/>
      </c>
      <c r="O19" s="79">
        <f>IF(B19="","",IF(L19&lt;=C19,0,IF(L19&lt;=C19*(1+BudgetWarnPct),1,2)))</f>
        <v/>
      </c>
      <c r="P19" s="79">
        <f>IF(B19="","",IF(MAX(C19,L19)&gt;0,MAX(C19,L19)+ROW()/100000,""))</f>
        <v/>
      </c>
    </row>
    <row r="20" ht="20" customHeight="1">
      <c r="B20" s="72" t="inlineStr">
        <is>
          <t>Furniture</t>
        </is>
      </c>
      <c r="C20" s="73" t="n">
        <v>3000</v>
      </c>
      <c r="D20" s="74" t="inlineStr">
        <is>
          <t>Estimating</t>
        </is>
      </c>
      <c r="E20" s="75">
        <f>IF(B20="","",IFERROR(1/SUMPRODUCT(MAX((QBlockCat=B20)*QBlockInv)),""))</f>
        <v/>
      </c>
      <c r="F20" s="75">
        <f>IF(B20="","",SUMIFS('Contractors'!$I$6:$I$1005,'Contractors'!$D$6:$D$1005,B20,'Contractors'!$L$6:$L$1005,"Yes"))</f>
        <v/>
      </c>
      <c r="G20" s="75">
        <f>IF(B20="","",SUMIFS('Selections &amp; Orders'!$L$8:$L$1007,'Selections &amp; Orders'!$D$8:$D$1007,B20))</f>
        <v/>
      </c>
      <c r="H20" s="75">
        <f>IF(B20="","",SUMIFS('Change Orders'!$J$7:$J$1006,'Change Orders'!$F$7:$F$1006,B20,'Change Orders'!$L$7:$L$1006,"Approved"))</f>
        <v/>
      </c>
      <c r="I20" s="76">
        <f>IF(B20="","",F20+G20+H20)</f>
        <v/>
      </c>
      <c r="J20" s="75">
        <f>IF(B20="","",SUMIFS('Payments'!$L$6:$L$1005,'Payments'!$P$6:$P$1005,B20))</f>
        <v/>
      </c>
      <c r="K20" s="75">
        <f>IF(B20="","",SUMIFS('Payments'!$N$6:$N$1005,'Payments'!$P$6:$P$1005,B20))</f>
        <v/>
      </c>
      <c r="L20" s="76">
        <f>IF(B20="","",IF(OR(D20="Estimating",D20=""),MAX(C20,E20,I20,J20),MAX(I20,J20)))</f>
        <v/>
      </c>
      <c r="M20" s="77">
        <f>IF(B20="","",C20-L20)</f>
        <v/>
      </c>
      <c r="N20" s="78">
        <f>IF(O20="","",IF(O20=0,"🟢 On track",IF(O20=1,"🟡 Watch","🔴 Over")))</f>
        <v/>
      </c>
      <c r="O20" s="79">
        <f>IF(B20="","",IF(L20&lt;=C20,0,IF(L20&lt;=C20*(1+BudgetWarnPct),1,2)))</f>
        <v/>
      </c>
      <c r="P20" s="79">
        <f>IF(B20="","",IF(MAX(C20,L20)&gt;0,MAX(C20,L20)+ROW()/100000,""))</f>
        <v/>
      </c>
    </row>
    <row r="21" ht="20" customHeight="1">
      <c r="B21" s="72" t="inlineStr">
        <is>
          <t>Appliances</t>
        </is>
      </c>
      <c r="C21" s="73" t="n">
        <v>3500</v>
      </c>
      <c r="D21" s="74" t="inlineStr">
        <is>
          <t>Estimating</t>
        </is>
      </c>
      <c r="E21" s="75">
        <f>IF(B21="","",IFERROR(1/SUMPRODUCT(MAX((QBlockCat=B21)*QBlockInv)),""))</f>
        <v/>
      </c>
      <c r="F21" s="75">
        <f>IF(B21="","",SUMIFS('Contractors'!$I$6:$I$1005,'Contractors'!$D$6:$D$1005,B21,'Contractors'!$L$6:$L$1005,"Yes"))</f>
        <v/>
      </c>
      <c r="G21" s="75">
        <f>IF(B21="","",SUMIFS('Selections &amp; Orders'!$L$8:$L$1007,'Selections &amp; Orders'!$D$8:$D$1007,B21))</f>
        <v/>
      </c>
      <c r="H21" s="75">
        <f>IF(B21="","",SUMIFS('Change Orders'!$J$7:$J$1006,'Change Orders'!$F$7:$F$1006,B21,'Change Orders'!$L$7:$L$1006,"Approved"))</f>
        <v/>
      </c>
      <c r="I21" s="76">
        <f>IF(B21="","",F21+G21+H21)</f>
        <v/>
      </c>
      <c r="J21" s="75">
        <f>IF(B21="","",SUMIFS('Payments'!$L$6:$L$1005,'Payments'!$P$6:$P$1005,B21))</f>
        <v/>
      </c>
      <c r="K21" s="75">
        <f>IF(B21="","",SUMIFS('Payments'!$N$6:$N$1005,'Payments'!$P$6:$P$1005,B21))</f>
        <v/>
      </c>
      <c r="L21" s="76">
        <f>IF(B21="","",IF(OR(D21="Estimating",D21=""),MAX(C21,E21,I21,J21),MAX(I21,J21)))</f>
        <v/>
      </c>
      <c r="M21" s="77">
        <f>IF(B21="","",C21-L21)</f>
        <v/>
      </c>
      <c r="N21" s="78">
        <f>IF(O21="","",IF(O21=0,"🟢 On track",IF(O21=1,"🟡 Watch","🔴 Over")))</f>
        <v/>
      </c>
      <c r="O21" s="79">
        <f>IF(B21="","",IF(L21&lt;=C21,0,IF(L21&lt;=C21*(1+BudgetWarnPct),1,2)))</f>
        <v/>
      </c>
      <c r="P21" s="79">
        <f>IF(B21="","",IF(MAX(C21,L21)&gt;0,MAX(C21,L21)+ROW()/100000,""))</f>
        <v/>
      </c>
    </row>
    <row r="22" ht="20" customHeight="1">
      <c r="B22" s="72" t="inlineStr">
        <is>
          <t>Permits</t>
        </is>
      </c>
      <c r="C22" s="73" t="n">
        <v>1500</v>
      </c>
      <c r="D22" s="74" t="inlineStr">
        <is>
          <t>Complete</t>
        </is>
      </c>
      <c r="E22" s="75">
        <f>IF(B22="","",IFERROR(1/SUMPRODUCT(MAX((QBlockCat=B22)*QBlockInv)),""))</f>
        <v/>
      </c>
      <c r="F22" s="75">
        <f>IF(B22="","",SUMIFS('Contractors'!$I$6:$I$1005,'Contractors'!$D$6:$D$1005,B22,'Contractors'!$L$6:$L$1005,"Yes"))</f>
        <v/>
      </c>
      <c r="G22" s="75">
        <f>IF(B22="","",SUMIFS('Selections &amp; Orders'!$L$8:$L$1007,'Selections &amp; Orders'!$D$8:$D$1007,B22))</f>
        <v/>
      </c>
      <c r="H22" s="75">
        <f>IF(B22="","",SUMIFS('Change Orders'!$J$7:$J$1006,'Change Orders'!$F$7:$F$1006,B22,'Change Orders'!$L$7:$L$1006,"Approved"))</f>
        <v/>
      </c>
      <c r="I22" s="76">
        <f>IF(B22="","",F22+G22+H22)</f>
        <v/>
      </c>
      <c r="J22" s="75">
        <f>IF(B22="","",SUMIFS('Payments'!$L$6:$L$1005,'Payments'!$P$6:$P$1005,B22))</f>
        <v/>
      </c>
      <c r="K22" s="75">
        <f>IF(B22="","",SUMIFS('Payments'!$N$6:$N$1005,'Payments'!$P$6:$P$1005,B22))</f>
        <v/>
      </c>
      <c r="L22" s="76">
        <f>IF(B22="","",IF(OR(D22="Estimating",D22=""),MAX(C22,E22,I22,J22),MAX(I22,J22)))</f>
        <v/>
      </c>
      <c r="M22" s="77">
        <f>IF(B22="","",C22-L22)</f>
        <v/>
      </c>
      <c r="N22" s="78">
        <f>IF(O22="","",IF(O22=0,"🟢 On track",IF(O22=1,"🟡 Watch","🔴 Over")))</f>
        <v/>
      </c>
      <c r="O22" s="79">
        <f>IF(B22="","",IF(L22&lt;=C22,0,IF(L22&lt;=C22*(1+BudgetWarnPct),1,2)))</f>
        <v/>
      </c>
      <c r="P22" s="79">
        <f>IF(B22="","",IF(MAX(C22,L22)&gt;0,MAX(C22,L22)+ROW()/100000,""))</f>
        <v/>
      </c>
    </row>
    <row r="23" ht="20" customHeight="1">
      <c r="B23" s="72" t="inlineStr">
        <is>
          <t>Professional fees</t>
        </is>
      </c>
      <c r="C23" s="73" t="n">
        <v>5000</v>
      </c>
      <c r="D23" s="74" t="inlineStr">
        <is>
          <t>Contracted</t>
        </is>
      </c>
      <c r="E23" s="75">
        <f>IF(B23="","",IFERROR(1/SUMPRODUCT(MAX((QBlockCat=B23)*QBlockInv)),""))</f>
        <v/>
      </c>
      <c r="F23" s="75">
        <f>IF(B23="","",SUMIFS('Contractors'!$I$6:$I$1005,'Contractors'!$D$6:$D$1005,B23,'Contractors'!$L$6:$L$1005,"Yes"))</f>
        <v/>
      </c>
      <c r="G23" s="75">
        <f>IF(B23="","",SUMIFS('Selections &amp; Orders'!$L$8:$L$1007,'Selections &amp; Orders'!$D$8:$D$1007,B23))</f>
        <v/>
      </c>
      <c r="H23" s="75">
        <f>IF(B23="","",SUMIFS('Change Orders'!$J$7:$J$1006,'Change Orders'!$F$7:$F$1006,B23,'Change Orders'!$L$7:$L$1006,"Approved"))</f>
        <v/>
      </c>
      <c r="I23" s="76">
        <f>IF(B23="","",F23+G23+H23)</f>
        <v/>
      </c>
      <c r="J23" s="75">
        <f>IF(B23="","",SUMIFS('Payments'!$L$6:$L$1005,'Payments'!$P$6:$P$1005,B23))</f>
        <v/>
      </c>
      <c r="K23" s="75">
        <f>IF(B23="","",SUMIFS('Payments'!$N$6:$N$1005,'Payments'!$P$6:$P$1005,B23))</f>
        <v/>
      </c>
      <c r="L23" s="76">
        <f>IF(B23="","",IF(OR(D23="Estimating",D23=""),MAX(C23,E23,I23,J23),MAX(I23,J23)))</f>
        <v/>
      </c>
      <c r="M23" s="77">
        <f>IF(B23="","",C23-L23)</f>
        <v/>
      </c>
      <c r="N23" s="78">
        <f>IF(O23="","",IF(O23=0,"🟢 On track",IF(O23=1,"🟡 Watch","🔴 Over")))</f>
        <v/>
      </c>
      <c r="O23" s="79">
        <f>IF(B23="","",IF(L23&lt;=C23,0,IF(L23&lt;=C23*(1+BudgetWarnPct),1,2)))</f>
        <v/>
      </c>
      <c r="P23" s="79">
        <f>IF(B23="","",IF(MAX(C23,L23)&gt;0,MAX(C23,L23)+ROW()/100000,""))</f>
        <v/>
      </c>
    </row>
    <row r="24" ht="20" customHeight="1">
      <c r="B24" s="72" t="inlineStr">
        <is>
          <t>Waste removal</t>
        </is>
      </c>
      <c r="C24" s="73" t="n">
        <v>1500</v>
      </c>
      <c r="D24" s="74" t="inlineStr">
        <is>
          <t>Estimating</t>
        </is>
      </c>
      <c r="E24" s="75">
        <f>IF(B24="","",IFERROR(1/SUMPRODUCT(MAX((QBlockCat=B24)*QBlockInv)),""))</f>
        <v/>
      </c>
      <c r="F24" s="75">
        <f>IF(B24="","",SUMIFS('Contractors'!$I$6:$I$1005,'Contractors'!$D$6:$D$1005,B24,'Contractors'!$L$6:$L$1005,"Yes"))</f>
        <v/>
      </c>
      <c r="G24" s="75">
        <f>IF(B24="","",SUMIFS('Selections &amp; Orders'!$L$8:$L$1007,'Selections &amp; Orders'!$D$8:$D$1007,B24))</f>
        <v/>
      </c>
      <c r="H24" s="75">
        <f>IF(B24="","",SUMIFS('Change Orders'!$J$7:$J$1006,'Change Orders'!$F$7:$F$1006,B24,'Change Orders'!$L$7:$L$1006,"Approved"))</f>
        <v/>
      </c>
      <c r="I24" s="76">
        <f>IF(B24="","",F24+G24+H24)</f>
        <v/>
      </c>
      <c r="J24" s="75">
        <f>IF(B24="","",SUMIFS('Payments'!$L$6:$L$1005,'Payments'!$P$6:$P$1005,B24))</f>
        <v/>
      </c>
      <c r="K24" s="75">
        <f>IF(B24="","",SUMIFS('Payments'!$N$6:$N$1005,'Payments'!$P$6:$P$1005,B24))</f>
        <v/>
      </c>
      <c r="L24" s="76">
        <f>IF(B24="","",IF(OR(D24="Estimating",D24=""),MAX(C24,E24,I24,J24),MAX(I24,J24)))</f>
        <v/>
      </c>
      <c r="M24" s="77">
        <f>IF(B24="","",C24-L24)</f>
        <v/>
      </c>
      <c r="N24" s="78">
        <f>IF(O24="","",IF(O24=0,"🟢 On track",IF(O24=1,"🟡 Watch","🔴 Over")))</f>
        <v/>
      </c>
      <c r="O24" s="79">
        <f>IF(B24="","",IF(L24&lt;=C24,0,IF(L24&lt;=C24*(1+BudgetWarnPct),1,2)))</f>
        <v/>
      </c>
      <c r="P24" s="79">
        <f>IF(B24="","",IF(MAX(C24,L24)&gt;0,MAX(C24,L24)+ROW()/100000,""))</f>
        <v/>
      </c>
    </row>
    <row r="25" ht="20" customHeight="1">
      <c r="B25" s="72" t="inlineStr">
        <is>
          <t>Other</t>
        </is>
      </c>
      <c r="C25" s="73" t="n">
        <v>500</v>
      </c>
      <c r="D25" s="74" t="inlineStr">
        <is>
          <t>Estimating</t>
        </is>
      </c>
      <c r="E25" s="75">
        <f>IF(B25="","",IFERROR(1/SUMPRODUCT(MAX((QBlockCat=B25)*QBlockInv)),""))</f>
        <v/>
      </c>
      <c r="F25" s="75">
        <f>IF(B25="","",SUMIFS('Contractors'!$I$6:$I$1005,'Contractors'!$D$6:$D$1005,B25,'Contractors'!$L$6:$L$1005,"Yes"))</f>
        <v/>
      </c>
      <c r="G25" s="75">
        <f>IF(B25="","",SUMIFS('Selections &amp; Orders'!$L$8:$L$1007,'Selections &amp; Orders'!$D$8:$D$1007,B25))</f>
        <v/>
      </c>
      <c r="H25" s="75">
        <f>IF(B25="","",SUMIFS('Change Orders'!$J$7:$J$1006,'Change Orders'!$F$7:$F$1006,B25,'Change Orders'!$L$7:$L$1006,"Approved"))</f>
        <v/>
      </c>
      <c r="I25" s="76">
        <f>IF(B25="","",F25+G25+H25)</f>
        <v/>
      </c>
      <c r="J25" s="75">
        <f>IF(B25="","",SUMIFS('Payments'!$L$6:$L$1005,'Payments'!$P$6:$P$1005,B25))</f>
        <v/>
      </c>
      <c r="K25" s="75">
        <f>IF(B25="","",SUMIFS('Payments'!$N$6:$N$1005,'Payments'!$P$6:$P$1005,B25))</f>
        <v/>
      </c>
      <c r="L25" s="76">
        <f>IF(B25="","",IF(OR(D25="Estimating",D25=""),MAX(C25,E25,I25,J25),MAX(I25,J25)))</f>
        <v/>
      </c>
      <c r="M25" s="77">
        <f>IF(B25="","",C25-L25)</f>
        <v/>
      </c>
      <c r="N25" s="78">
        <f>IF(O25="","",IF(O25=0,"🟢 On track",IF(O25=1,"🟡 Watch","🔴 Over")))</f>
        <v/>
      </c>
      <c r="O25" s="79">
        <f>IF(B25="","",IF(L25&lt;=C25,0,IF(L25&lt;=C25*(1+BudgetWarnPct),1,2)))</f>
        <v/>
      </c>
      <c r="P25" s="79">
        <f>IF(B25="","",IF(MAX(C25,L25)&gt;0,MAX(C25,L25)+ROW()/100000,""))</f>
        <v/>
      </c>
    </row>
    <row r="26" ht="20" customHeight="1">
      <c r="B26" s="72" t="n"/>
      <c r="C26" s="73" t="n"/>
      <c r="D26" s="74" t="n"/>
      <c r="E26" s="75">
        <f>IF(B26="","",IFERROR(1/SUMPRODUCT(MAX((QBlockCat=B26)*QBlockInv)),""))</f>
        <v/>
      </c>
      <c r="F26" s="75">
        <f>IF(B26="","",SUMIFS('Contractors'!$I$6:$I$1005,'Contractors'!$D$6:$D$1005,B26,'Contractors'!$L$6:$L$1005,"Yes"))</f>
        <v/>
      </c>
      <c r="G26" s="75">
        <f>IF(B26="","",SUMIFS('Selections &amp; Orders'!$L$8:$L$1007,'Selections &amp; Orders'!$D$8:$D$1007,B26))</f>
        <v/>
      </c>
      <c r="H26" s="75">
        <f>IF(B26="","",SUMIFS('Change Orders'!$J$7:$J$1006,'Change Orders'!$F$7:$F$1006,B26,'Change Orders'!$L$7:$L$1006,"Approved"))</f>
        <v/>
      </c>
      <c r="I26" s="76">
        <f>IF(B26="","",F26+G26+H26)</f>
        <v/>
      </c>
      <c r="J26" s="75">
        <f>IF(B26="","",SUMIFS('Payments'!$L$6:$L$1005,'Payments'!$P$6:$P$1005,B26))</f>
        <v/>
      </c>
      <c r="K26" s="75">
        <f>IF(B26="","",SUMIFS('Payments'!$N$6:$N$1005,'Payments'!$P$6:$P$1005,B26))</f>
        <v/>
      </c>
      <c r="L26" s="76">
        <f>IF(B26="","",IF(OR(D26="Estimating",D26=""),MAX(C26,E26,I26,J26),MAX(I26,J26)))</f>
        <v/>
      </c>
      <c r="M26" s="77">
        <f>IF(B26="","",C26-L26)</f>
        <v/>
      </c>
      <c r="N26" s="78">
        <f>IF(O26="","",IF(O26=0,"🟢 On track",IF(O26=1,"🟡 Watch","🔴 Over")))</f>
        <v/>
      </c>
      <c r="O26" s="79">
        <f>IF(B26="","",IF(L26&lt;=C26,0,IF(L26&lt;=C26*(1+BudgetWarnPct),1,2)))</f>
        <v/>
      </c>
      <c r="P26" s="79">
        <f>IF(B26="","",IF(MAX(C26,L26)&gt;0,MAX(C26,L26)+ROW()/100000,""))</f>
        <v/>
      </c>
    </row>
    <row r="27" ht="20" customHeight="1">
      <c r="B27" s="72" t="n"/>
      <c r="C27" s="73" t="n"/>
      <c r="D27" s="74" t="n"/>
      <c r="E27" s="75">
        <f>IF(B27="","",IFERROR(1/SUMPRODUCT(MAX((QBlockCat=B27)*QBlockInv)),""))</f>
        <v/>
      </c>
      <c r="F27" s="75">
        <f>IF(B27="","",SUMIFS('Contractors'!$I$6:$I$1005,'Contractors'!$D$6:$D$1005,B27,'Contractors'!$L$6:$L$1005,"Yes"))</f>
        <v/>
      </c>
      <c r="G27" s="75">
        <f>IF(B27="","",SUMIFS('Selections &amp; Orders'!$L$8:$L$1007,'Selections &amp; Orders'!$D$8:$D$1007,B27))</f>
        <v/>
      </c>
      <c r="H27" s="75">
        <f>IF(B27="","",SUMIFS('Change Orders'!$J$7:$J$1006,'Change Orders'!$F$7:$F$1006,B27,'Change Orders'!$L$7:$L$1006,"Approved"))</f>
        <v/>
      </c>
      <c r="I27" s="76">
        <f>IF(B27="","",F27+G27+H27)</f>
        <v/>
      </c>
      <c r="J27" s="75">
        <f>IF(B27="","",SUMIFS('Payments'!$L$6:$L$1005,'Payments'!$P$6:$P$1005,B27))</f>
        <v/>
      </c>
      <c r="K27" s="75">
        <f>IF(B27="","",SUMIFS('Payments'!$N$6:$N$1005,'Payments'!$P$6:$P$1005,B27))</f>
        <v/>
      </c>
      <c r="L27" s="76">
        <f>IF(B27="","",IF(OR(D27="Estimating",D27=""),MAX(C27,E27,I27,J27),MAX(I27,J27)))</f>
        <v/>
      </c>
      <c r="M27" s="77">
        <f>IF(B27="","",C27-L27)</f>
        <v/>
      </c>
      <c r="N27" s="78">
        <f>IF(O27="","",IF(O27=0,"🟢 On track",IF(O27=1,"🟡 Watch","🔴 Over")))</f>
        <v/>
      </c>
      <c r="O27" s="79">
        <f>IF(B27="","",IF(L27&lt;=C27,0,IF(L27&lt;=C27*(1+BudgetWarnPct),1,2)))</f>
        <v/>
      </c>
      <c r="P27" s="79">
        <f>IF(B27="","",IF(MAX(C27,L27)&gt;0,MAX(C27,L27)+ROW()/100000,""))</f>
        <v/>
      </c>
    </row>
    <row r="28" ht="20" customHeight="1">
      <c r="B28" s="72" t="n"/>
      <c r="C28" s="73" t="n"/>
      <c r="D28" s="74" t="n"/>
      <c r="E28" s="75">
        <f>IF(B28="","",IFERROR(1/SUMPRODUCT(MAX((QBlockCat=B28)*QBlockInv)),""))</f>
        <v/>
      </c>
      <c r="F28" s="75">
        <f>IF(B28="","",SUMIFS('Contractors'!$I$6:$I$1005,'Contractors'!$D$6:$D$1005,B28,'Contractors'!$L$6:$L$1005,"Yes"))</f>
        <v/>
      </c>
      <c r="G28" s="75">
        <f>IF(B28="","",SUMIFS('Selections &amp; Orders'!$L$8:$L$1007,'Selections &amp; Orders'!$D$8:$D$1007,B28))</f>
        <v/>
      </c>
      <c r="H28" s="75">
        <f>IF(B28="","",SUMIFS('Change Orders'!$J$7:$J$1006,'Change Orders'!$F$7:$F$1006,B28,'Change Orders'!$L$7:$L$1006,"Approved"))</f>
        <v/>
      </c>
      <c r="I28" s="76">
        <f>IF(B28="","",F28+G28+H28)</f>
        <v/>
      </c>
      <c r="J28" s="75">
        <f>IF(B28="","",SUMIFS('Payments'!$L$6:$L$1005,'Payments'!$P$6:$P$1005,B28))</f>
        <v/>
      </c>
      <c r="K28" s="75">
        <f>IF(B28="","",SUMIFS('Payments'!$N$6:$N$1005,'Payments'!$P$6:$P$1005,B28))</f>
        <v/>
      </c>
      <c r="L28" s="76">
        <f>IF(B28="","",IF(OR(D28="Estimating",D28=""),MAX(C28,E28,I28,J28),MAX(I28,J28)))</f>
        <v/>
      </c>
      <c r="M28" s="77">
        <f>IF(B28="","",C28-L28)</f>
        <v/>
      </c>
      <c r="N28" s="78">
        <f>IF(O28="","",IF(O28=0,"🟢 On track",IF(O28=1,"🟡 Watch","🔴 Over")))</f>
        <v/>
      </c>
      <c r="O28" s="79">
        <f>IF(B28="","",IF(L28&lt;=C28,0,IF(L28&lt;=C28*(1+BudgetWarnPct),1,2)))</f>
        <v/>
      </c>
      <c r="P28" s="79">
        <f>IF(B28="","",IF(MAX(C28,L28)&gt;0,MAX(C28,L28)+ROW()/100000,""))</f>
        <v/>
      </c>
    </row>
    <row r="29" ht="20" customHeight="1">
      <c r="B29" s="72" t="n"/>
      <c r="C29" s="73" t="n"/>
      <c r="D29" s="74" t="n"/>
      <c r="E29" s="75">
        <f>IF(B29="","",IFERROR(1/SUMPRODUCT(MAX((QBlockCat=B29)*QBlockInv)),""))</f>
        <v/>
      </c>
      <c r="F29" s="75">
        <f>IF(B29="","",SUMIFS('Contractors'!$I$6:$I$1005,'Contractors'!$D$6:$D$1005,B29,'Contractors'!$L$6:$L$1005,"Yes"))</f>
        <v/>
      </c>
      <c r="G29" s="75">
        <f>IF(B29="","",SUMIFS('Selections &amp; Orders'!$L$8:$L$1007,'Selections &amp; Orders'!$D$8:$D$1007,B29))</f>
        <v/>
      </c>
      <c r="H29" s="75">
        <f>IF(B29="","",SUMIFS('Change Orders'!$J$7:$J$1006,'Change Orders'!$F$7:$F$1006,B29,'Change Orders'!$L$7:$L$1006,"Approved"))</f>
        <v/>
      </c>
      <c r="I29" s="76">
        <f>IF(B29="","",F29+G29+H29)</f>
        <v/>
      </c>
      <c r="J29" s="75">
        <f>IF(B29="","",SUMIFS('Payments'!$L$6:$L$1005,'Payments'!$P$6:$P$1005,B29))</f>
        <v/>
      </c>
      <c r="K29" s="75">
        <f>IF(B29="","",SUMIFS('Payments'!$N$6:$N$1005,'Payments'!$P$6:$P$1005,B29))</f>
        <v/>
      </c>
      <c r="L29" s="76">
        <f>IF(B29="","",IF(OR(D29="Estimating",D29=""),MAX(C29,E29,I29,J29),MAX(I29,J29)))</f>
        <v/>
      </c>
      <c r="M29" s="77">
        <f>IF(B29="","",C29-L29)</f>
        <v/>
      </c>
      <c r="N29" s="78">
        <f>IF(O29="","",IF(O29=0,"🟢 On track",IF(O29=1,"🟡 Watch","🔴 Over")))</f>
        <v/>
      </c>
      <c r="O29" s="79">
        <f>IF(B29="","",IF(L29&lt;=C29,0,IF(L29&lt;=C29*(1+BudgetWarnPct),1,2)))</f>
        <v/>
      </c>
      <c r="P29" s="79">
        <f>IF(B29="","",IF(MAX(C29,L29)&gt;0,MAX(C29,L29)+ROW()/100000,""))</f>
        <v/>
      </c>
    </row>
    <row r="30" ht="20" customHeight="1">
      <c r="B30" s="72" t="n"/>
      <c r="C30" s="73" t="n"/>
      <c r="D30" s="74" t="n"/>
      <c r="E30" s="75">
        <f>IF(B30="","",IFERROR(1/SUMPRODUCT(MAX((QBlockCat=B30)*QBlockInv)),""))</f>
        <v/>
      </c>
      <c r="F30" s="75">
        <f>IF(B30="","",SUMIFS('Contractors'!$I$6:$I$1005,'Contractors'!$D$6:$D$1005,B30,'Contractors'!$L$6:$L$1005,"Yes"))</f>
        <v/>
      </c>
      <c r="G30" s="75">
        <f>IF(B30="","",SUMIFS('Selections &amp; Orders'!$L$8:$L$1007,'Selections &amp; Orders'!$D$8:$D$1007,B30))</f>
        <v/>
      </c>
      <c r="H30" s="75">
        <f>IF(B30="","",SUMIFS('Change Orders'!$J$7:$J$1006,'Change Orders'!$F$7:$F$1006,B30,'Change Orders'!$L$7:$L$1006,"Approved"))</f>
        <v/>
      </c>
      <c r="I30" s="76">
        <f>IF(B30="","",F30+G30+H30)</f>
        <v/>
      </c>
      <c r="J30" s="75">
        <f>IF(B30="","",SUMIFS('Payments'!$L$6:$L$1005,'Payments'!$P$6:$P$1005,B30))</f>
        <v/>
      </c>
      <c r="K30" s="75">
        <f>IF(B30="","",SUMIFS('Payments'!$N$6:$N$1005,'Payments'!$P$6:$P$1005,B30))</f>
        <v/>
      </c>
      <c r="L30" s="76">
        <f>IF(B30="","",IF(OR(D30="Estimating",D30=""),MAX(C30,E30,I30,J30),MAX(I30,J30)))</f>
        <v/>
      </c>
      <c r="M30" s="77">
        <f>IF(B30="","",C30-L30)</f>
        <v/>
      </c>
      <c r="N30" s="78">
        <f>IF(O30="","",IF(O30=0,"🟢 On track",IF(O30=1,"🟡 Watch","🔴 Over")))</f>
        <v/>
      </c>
      <c r="O30" s="79">
        <f>IF(B30="","",IF(L30&lt;=C30,0,IF(L30&lt;=C30*(1+BudgetWarnPct),1,2)))</f>
        <v/>
      </c>
      <c r="P30" s="79">
        <f>IF(B30="","",IF(MAX(C30,L30)&gt;0,MAX(C30,L30)+ROW()/100000,""))</f>
        <v/>
      </c>
    </row>
    <row r="31" ht="20" customHeight="1">
      <c r="B31" s="72" t="n"/>
      <c r="C31" s="73" t="n"/>
      <c r="D31" s="74" t="n"/>
      <c r="E31" s="75">
        <f>IF(B31="","",IFERROR(1/SUMPRODUCT(MAX((QBlockCat=B31)*QBlockInv)),""))</f>
        <v/>
      </c>
      <c r="F31" s="75">
        <f>IF(B31="","",SUMIFS('Contractors'!$I$6:$I$1005,'Contractors'!$D$6:$D$1005,B31,'Contractors'!$L$6:$L$1005,"Yes"))</f>
        <v/>
      </c>
      <c r="G31" s="75">
        <f>IF(B31="","",SUMIFS('Selections &amp; Orders'!$L$8:$L$1007,'Selections &amp; Orders'!$D$8:$D$1007,B31))</f>
        <v/>
      </c>
      <c r="H31" s="75">
        <f>IF(B31="","",SUMIFS('Change Orders'!$J$7:$J$1006,'Change Orders'!$F$7:$F$1006,B31,'Change Orders'!$L$7:$L$1006,"Approved"))</f>
        <v/>
      </c>
      <c r="I31" s="76">
        <f>IF(B31="","",F31+G31+H31)</f>
        <v/>
      </c>
      <c r="J31" s="75">
        <f>IF(B31="","",SUMIFS('Payments'!$L$6:$L$1005,'Payments'!$P$6:$P$1005,B31))</f>
        <v/>
      </c>
      <c r="K31" s="75">
        <f>IF(B31="","",SUMIFS('Payments'!$N$6:$N$1005,'Payments'!$P$6:$P$1005,B31))</f>
        <v/>
      </c>
      <c r="L31" s="76">
        <f>IF(B31="","",IF(OR(D31="Estimating",D31=""),MAX(C31,E31,I31,J31),MAX(I31,J31)))</f>
        <v/>
      </c>
      <c r="M31" s="77">
        <f>IF(B31="","",C31-L31)</f>
        <v/>
      </c>
      <c r="N31" s="78">
        <f>IF(O31="","",IF(O31=0,"🟢 On track",IF(O31=1,"🟡 Watch","🔴 Over")))</f>
        <v/>
      </c>
      <c r="O31" s="79">
        <f>IF(B31="","",IF(L31&lt;=C31,0,IF(L31&lt;=C31*(1+BudgetWarnPct),1,2)))</f>
        <v/>
      </c>
      <c r="P31" s="79">
        <f>IF(B31="","",IF(MAX(C31,L31)&gt;0,MAX(C31,L31)+ROW()/100000,""))</f>
        <v/>
      </c>
    </row>
    <row r="32" ht="20" customHeight="1">
      <c r="B32" s="72" t="n"/>
      <c r="C32" s="73" t="n"/>
      <c r="D32" s="74" t="n"/>
      <c r="E32" s="75">
        <f>IF(B32="","",IFERROR(1/SUMPRODUCT(MAX((QBlockCat=B32)*QBlockInv)),""))</f>
        <v/>
      </c>
      <c r="F32" s="75">
        <f>IF(B32="","",SUMIFS('Contractors'!$I$6:$I$1005,'Contractors'!$D$6:$D$1005,B32,'Contractors'!$L$6:$L$1005,"Yes"))</f>
        <v/>
      </c>
      <c r="G32" s="75">
        <f>IF(B32="","",SUMIFS('Selections &amp; Orders'!$L$8:$L$1007,'Selections &amp; Orders'!$D$8:$D$1007,B32))</f>
        <v/>
      </c>
      <c r="H32" s="75">
        <f>IF(B32="","",SUMIFS('Change Orders'!$J$7:$J$1006,'Change Orders'!$F$7:$F$1006,B32,'Change Orders'!$L$7:$L$1006,"Approved"))</f>
        <v/>
      </c>
      <c r="I32" s="76">
        <f>IF(B32="","",F32+G32+H32)</f>
        <v/>
      </c>
      <c r="J32" s="75">
        <f>IF(B32="","",SUMIFS('Payments'!$L$6:$L$1005,'Payments'!$P$6:$P$1005,B32))</f>
        <v/>
      </c>
      <c r="K32" s="75">
        <f>IF(B32="","",SUMIFS('Payments'!$N$6:$N$1005,'Payments'!$P$6:$P$1005,B32))</f>
        <v/>
      </c>
      <c r="L32" s="76">
        <f>IF(B32="","",IF(OR(D32="Estimating",D32=""),MAX(C32,E32,I32,J32),MAX(I32,J32)))</f>
        <v/>
      </c>
      <c r="M32" s="77">
        <f>IF(B32="","",C32-L32)</f>
        <v/>
      </c>
      <c r="N32" s="78">
        <f>IF(O32="","",IF(O32=0,"🟢 On track",IF(O32=1,"🟡 Watch","🔴 Over")))</f>
        <v/>
      </c>
      <c r="O32" s="79">
        <f>IF(B32="","",IF(L32&lt;=C32,0,IF(L32&lt;=C32*(1+BudgetWarnPct),1,2)))</f>
        <v/>
      </c>
      <c r="P32" s="79">
        <f>IF(B32="","",IF(MAX(C32,L32)&gt;0,MAX(C32,L32)+ROW()/100000,""))</f>
        <v/>
      </c>
    </row>
    <row r="33" ht="20" customHeight="1">
      <c r="B33" s="72" t="n"/>
      <c r="C33" s="73" t="n"/>
      <c r="D33" s="74" t="n"/>
      <c r="E33" s="75">
        <f>IF(B33="","",IFERROR(1/SUMPRODUCT(MAX((QBlockCat=B33)*QBlockInv)),""))</f>
        <v/>
      </c>
      <c r="F33" s="75">
        <f>IF(B33="","",SUMIFS('Contractors'!$I$6:$I$1005,'Contractors'!$D$6:$D$1005,B33,'Contractors'!$L$6:$L$1005,"Yes"))</f>
        <v/>
      </c>
      <c r="G33" s="75">
        <f>IF(B33="","",SUMIFS('Selections &amp; Orders'!$L$8:$L$1007,'Selections &amp; Orders'!$D$8:$D$1007,B33))</f>
        <v/>
      </c>
      <c r="H33" s="75">
        <f>IF(B33="","",SUMIFS('Change Orders'!$J$7:$J$1006,'Change Orders'!$F$7:$F$1006,B33,'Change Orders'!$L$7:$L$1006,"Approved"))</f>
        <v/>
      </c>
      <c r="I33" s="76">
        <f>IF(B33="","",F33+G33+H33)</f>
        <v/>
      </c>
      <c r="J33" s="75">
        <f>IF(B33="","",SUMIFS('Payments'!$L$6:$L$1005,'Payments'!$P$6:$P$1005,B33))</f>
        <v/>
      </c>
      <c r="K33" s="75">
        <f>IF(B33="","",SUMIFS('Payments'!$N$6:$N$1005,'Payments'!$P$6:$P$1005,B33))</f>
        <v/>
      </c>
      <c r="L33" s="76">
        <f>IF(B33="","",IF(OR(D33="Estimating",D33=""),MAX(C33,E33,I33,J33),MAX(I33,J33)))</f>
        <v/>
      </c>
      <c r="M33" s="77">
        <f>IF(B33="","",C33-L33)</f>
        <v/>
      </c>
      <c r="N33" s="78">
        <f>IF(O33="","",IF(O33=0,"🟢 On track",IF(O33=1,"🟡 Watch","🔴 Over")))</f>
        <v/>
      </c>
      <c r="O33" s="79">
        <f>IF(B33="","",IF(L33&lt;=C33,0,IF(L33&lt;=C33*(1+BudgetWarnPct),1,2)))</f>
        <v/>
      </c>
      <c r="P33" s="79">
        <f>IF(B33="","",IF(MAX(C33,L33)&gt;0,MAX(C33,L33)+ROW()/100000,""))</f>
        <v/>
      </c>
    </row>
    <row r="34" ht="20" customHeight="1">
      <c r="B34" s="72" t="n"/>
      <c r="C34" s="73" t="n"/>
      <c r="D34" s="74" t="n"/>
      <c r="E34" s="75">
        <f>IF(B34="","",IFERROR(1/SUMPRODUCT(MAX((QBlockCat=B34)*QBlockInv)),""))</f>
        <v/>
      </c>
      <c r="F34" s="75">
        <f>IF(B34="","",SUMIFS('Contractors'!$I$6:$I$1005,'Contractors'!$D$6:$D$1005,B34,'Contractors'!$L$6:$L$1005,"Yes"))</f>
        <v/>
      </c>
      <c r="G34" s="75">
        <f>IF(B34="","",SUMIFS('Selections &amp; Orders'!$L$8:$L$1007,'Selections &amp; Orders'!$D$8:$D$1007,B34))</f>
        <v/>
      </c>
      <c r="H34" s="75">
        <f>IF(B34="","",SUMIFS('Change Orders'!$J$7:$J$1006,'Change Orders'!$F$7:$F$1006,B34,'Change Orders'!$L$7:$L$1006,"Approved"))</f>
        <v/>
      </c>
      <c r="I34" s="76">
        <f>IF(B34="","",F34+G34+H34)</f>
        <v/>
      </c>
      <c r="J34" s="75">
        <f>IF(B34="","",SUMIFS('Payments'!$L$6:$L$1005,'Payments'!$P$6:$P$1005,B34))</f>
        <v/>
      </c>
      <c r="K34" s="75">
        <f>IF(B34="","",SUMIFS('Payments'!$N$6:$N$1005,'Payments'!$P$6:$P$1005,B34))</f>
        <v/>
      </c>
      <c r="L34" s="76">
        <f>IF(B34="","",IF(OR(D34="Estimating",D34=""),MAX(C34,E34,I34,J34),MAX(I34,J34)))</f>
        <v/>
      </c>
      <c r="M34" s="77">
        <f>IF(B34="","",C34-L34)</f>
        <v/>
      </c>
      <c r="N34" s="78">
        <f>IF(O34="","",IF(O34=0,"🟢 On track",IF(O34=1,"🟡 Watch","🔴 Over")))</f>
        <v/>
      </c>
      <c r="O34" s="79">
        <f>IF(B34="","",IF(L34&lt;=C34,0,IF(L34&lt;=C34*(1+BudgetWarnPct),1,2)))</f>
        <v/>
      </c>
      <c r="P34" s="79">
        <f>IF(B34="","",IF(MAX(C34,L34)&gt;0,MAX(C34,L34)+ROW()/100000,""))</f>
        <v/>
      </c>
    </row>
    <row r="35" ht="20" customHeight="1">
      <c r="B35" s="72" t="n"/>
      <c r="C35" s="73" t="n"/>
      <c r="D35" s="74" t="n"/>
      <c r="E35" s="75">
        <f>IF(B35="","",IFERROR(1/SUMPRODUCT(MAX((QBlockCat=B35)*QBlockInv)),""))</f>
        <v/>
      </c>
      <c r="F35" s="75">
        <f>IF(B35="","",SUMIFS('Contractors'!$I$6:$I$1005,'Contractors'!$D$6:$D$1005,B35,'Contractors'!$L$6:$L$1005,"Yes"))</f>
        <v/>
      </c>
      <c r="G35" s="75">
        <f>IF(B35="","",SUMIFS('Selections &amp; Orders'!$L$8:$L$1007,'Selections &amp; Orders'!$D$8:$D$1007,B35))</f>
        <v/>
      </c>
      <c r="H35" s="75">
        <f>IF(B35="","",SUMIFS('Change Orders'!$J$7:$J$1006,'Change Orders'!$F$7:$F$1006,B35,'Change Orders'!$L$7:$L$1006,"Approved"))</f>
        <v/>
      </c>
      <c r="I35" s="76">
        <f>IF(B35="","",F35+G35+H35)</f>
        <v/>
      </c>
      <c r="J35" s="75">
        <f>IF(B35="","",SUMIFS('Payments'!$L$6:$L$1005,'Payments'!$P$6:$P$1005,B35))</f>
        <v/>
      </c>
      <c r="K35" s="75">
        <f>IF(B35="","",SUMIFS('Payments'!$N$6:$N$1005,'Payments'!$P$6:$P$1005,B35))</f>
        <v/>
      </c>
      <c r="L35" s="76">
        <f>IF(B35="","",IF(OR(D35="Estimating",D35=""),MAX(C35,E35,I35,J35),MAX(I35,J35)))</f>
        <v/>
      </c>
      <c r="M35" s="77">
        <f>IF(B35="","",C35-L35)</f>
        <v/>
      </c>
      <c r="N35" s="78">
        <f>IF(O35="","",IF(O35=0,"🟢 On track",IF(O35=1,"🟡 Watch","🔴 Over")))</f>
        <v/>
      </c>
      <c r="O35" s="79">
        <f>IF(B35="","",IF(L35&lt;=C35,0,IF(L35&lt;=C35*(1+BudgetWarnPct),1,2)))</f>
        <v/>
      </c>
      <c r="P35" s="79">
        <f>IF(B35="","",IF(MAX(C35,L35)&gt;0,MAX(C35,L35)+ROW()/100000,""))</f>
        <v/>
      </c>
    </row>
    <row r="36" ht="20" customHeight="1">
      <c r="B36" s="72" t="n"/>
      <c r="C36" s="73" t="n"/>
      <c r="D36" s="74" t="n"/>
      <c r="E36" s="75">
        <f>IF(B36="","",IFERROR(1/SUMPRODUCT(MAX((QBlockCat=B36)*QBlockInv)),""))</f>
        <v/>
      </c>
      <c r="F36" s="75">
        <f>IF(B36="","",SUMIFS('Contractors'!$I$6:$I$1005,'Contractors'!$D$6:$D$1005,B36,'Contractors'!$L$6:$L$1005,"Yes"))</f>
        <v/>
      </c>
      <c r="G36" s="75">
        <f>IF(B36="","",SUMIFS('Selections &amp; Orders'!$L$8:$L$1007,'Selections &amp; Orders'!$D$8:$D$1007,B36))</f>
        <v/>
      </c>
      <c r="H36" s="75">
        <f>IF(B36="","",SUMIFS('Change Orders'!$J$7:$J$1006,'Change Orders'!$F$7:$F$1006,B36,'Change Orders'!$L$7:$L$1006,"Approved"))</f>
        <v/>
      </c>
      <c r="I36" s="76">
        <f>IF(B36="","",F36+G36+H36)</f>
        <v/>
      </c>
      <c r="J36" s="75">
        <f>IF(B36="","",SUMIFS('Payments'!$L$6:$L$1005,'Payments'!$P$6:$P$1005,B36))</f>
        <v/>
      </c>
      <c r="K36" s="75">
        <f>IF(B36="","",SUMIFS('Payments'!$N$6:$N$1005,'Payments'!$P$6:$P$1005,B36))</f>
        <v/>
      </c>
      <c r="L36" s="76">
        <f>IF(B36="","",IF(OR(D36="Estimating",D36=""),MAX(C36,E36,I36,J36),MAX(I36,J36)))</f>
        <v/>
      </c>
      <c r="M36" s="77">
        <f>IF(B36="","",C36-L36)</f>
        <v/>
      </c>
      <c r="N36" s="78">
        <f>IF(O36="","",IF(O36=0,"🟢 On track",IF(O36=1,"🟡 Watch","🔴 Over")))</f>
        <v/>
      </c>
      <c r="O36" s="79">
        <f>IF(B36="","",IF(L36&lt;=C36,0,IF(L36&lt;=C36*(1+BudgetWarnPct),1,2)))</f>
        <v/>
      </c>
      <c r="P36" s="79">
        <f>IF(B36="","",IF(MAX(C36,L36)&gt;0,MAX(C36,L36)+ROW()/100000,""))</f>
        <v/>
      </c>
    </row>
    <row r="37" ht="20" customHeight="1">
      <c r="B37" s="72" t="n"/>
      <c r="C37" s="73" t="n"/>
      <c r="D37" s="74" t="n"/>
      <c r="E37" s="75">
        <f>IF(B37="","",IFERROR(1/SUMPRODUCT(MAX((QBlockCat=B37)*QBlockInv)),""))</f>
        <v/>
      </c>
      <c r="F37" s="75">
        <f>IF(B37="","",SUMIFS('Contractors'!$I$6:$I$1005,'Contractors'!$D$6:$D$1005,B37,'Contractors'!$L$6:$L$1005,"Yes"))</f>
        <v/>
      </c>
      <c r="G37" s="75">
        <f>IF(B37="","",SUMIFS('Selections &amp; Orders'!$L$8:$L$1007,'Selections &amp; Orders'!$D$8:$D$1007,B37))</f>
        <v/>
      </c>
      <c r="H37" s="75">
        <f>IF(B37="","",SUMIFS('Change Orders'!$J$7:$J$1006,'Change Orders'!$F$7:$F$1006,B37,'Change Orders'!$L$7:$L$1006,"Approved"))</f>
        <v/>
      </c>
      <c r="I37" s="76">
        <f>IF(B37="","",F37+G37+H37)</f>
        <v/>
      </c>
      <c r="J37" s="75">
        <f>IF(B37="","",SUMIFS('Payments'!$L$6:$L$1005,'Payments'!$P$6:$P$1005,B37))</f>
        <v/>
      </c>
      <c r="K37" s="75">
        <f>IF(B37="","",SUMIFS('Payments'!$N$6:$N$1005,'Payments'!$P$6:$P$1005,B37))</f>
        <v/>
      </c>
      <c r="L37" s="76">
        <f>IF(B37="","",IF(OR(D37="Estimating",D37=""),MAX(C37,E37,I37,J37),MAX(I37,J37)))</f>
        <v/>
      </c>
      <c r="M37" s="77">
        <f>IF(B37="","",C37-L37)</f>
        <v/>
      </c>
      <c r="N37" s="78">
        <f>IF(O37="","",IF(O37=0,"🟢 On track",IF(O37=1,"🟡 Watch","🔴 Over")))</f>
        <v/>
      </c>
      <c r="O37" s="79">
        <f>IF(B37="","",IF(L37&lt;=C37,0,IF(L37&lt;=C37*(1+BudgetWarnPct),1,2)))</f>
        <v/>
      </c>
      <c r="P37" s="79">
        <f>IF(B37="","",IF(MAX(C37,L37)&gt;0,MAX(C37,L37)+ROW()/100000,""))</f>
        <v/>
      </c>
    </row>
    <row r="38" ht="20" customHeight="1">
      <c r="B38" s="72" t="n"/>
      <c r="C38" s="73" t="n"/>
      <c r="D38" s="74" t="n"/>
      <c r="E38" s="75">
        <f>IF(B38="","",IFERROR(1/SUMPRODUCT(MAX((QBlockCat=B38)*QBlockInv)),""))</f>
        <v/>
      </c>
      <c r="F38" s="75">
        <f>IF(B38="","",SUMIFS('Contractors'!$I$6:$I$1005,'Contractors'!$D$6:$D$1005,B38,'Contractors'!$L$6:$L$1005,"Yes"))</f>
        <v/>
      </c>
      <c r="G38" s="75">
        <f>IF(B38="","",SUMIFS('Selections &amp; Orders'!$L$8:$L$1007,'Selections &amp; Orders'!$D$8:$D$1007,B38))</f>
        <v/>
      </c>
      <c r="H38" s="75">
        <f>IF(B38="","",SUMIFS('Change Orders'!$J$7:$J$1006,'Change Orders'!$F$7:$F$1006,B38,'Change Orders'!$L$7:$L$1006,"Approved"))</f>
        <v/>
      </c>
      <c r="I38" s="76">
        <f>IF(B38="","",F38+G38+H38)</f>
        <v/>
      </c>
      <c r="J38" s="75">
        <f>IF(B38="","",SUMIFS('Payments'!$L$6:$L$1005,'Payments'!$P$6:$P$1005,B38))</f>
        <v/>
      </c>
      <c r="K38" s="75">
        <f>IF(B38="","",SUMIFS('Payments'!$N$6:$N$1005,'Payments'!$P$6:$P$1005,B38))</f>
        <v/>
      </c>
      <c r="L38" s="76">
        <f>IF(B38="","",IF(OR(D38="Estimating",D38=""),MAX(C38,E38,I38,J38),MAX(I38,J38)))</f>
        <v/>
      </c>
      <c r="M38" s="77">
        <f>IF(B38="","",C38-L38)</f>
        <v/>
      </c>
      <c r="N38" s="78">
        <f>IF(O38="","",IF(O38=0,"🟢 On track",IF(O38=1,"🟡 Watch","🔴 Over")))</f>
        <v/>
      </c>
      <c r="O38" s="79">
        <f>IF(B38="","",IF(L38&lt;=C38,0,IF(L38&lt;=C38*(1+BudgetWarnPct),1,2)))</f>
        <v/>
      </c>
      <c r="P38" s="79">
        <f>IF(B38="","",IF(MAX(C38,L38)&gt;0,MAX(C38,L38)+ROW()/100000,""))</f>
        <v/>
      </c>
    </row>
    <row r="39" ht="20" customHeight="1">
      <c r="B39" s="72" t="n"/>
      <c r="C39" s="73" t="n"/>
      <c r="D39" s="74" t="n"/>
      <c r="E39" s="75">
        <f>IF(B39="","",IFERROR(1/SUMPRODUCT(MAX((QBlockCat=B39)*QBlockInv)),""))</f>
        <v/>
      </c>
      <c r="F39" s="75">
        <f>IF(B39="","",SUMIFS('Contractors'!$I$6:$I$1005,'Contractors'!$D$6:$D$1005,B39,'Contractors'!$L$6:$L$1005,"Yes"))</f>
        <v/>
      </c>
      <c r="G39" s="75">
        <f>IF(B39="","",SUMIFS('Selections &amp; Orders'!$L$8:$L$1007,'Selections &amp; Orders'!$D$8:$D$1007,B39))</f>
        <v/>
      </c>
      <c r="H39" s="75">
        <f>IF(B39="","",SUMIFS('Change Orders'!$J$7:$J$1006,'Change Orders'!$F$7:$F$1006,B39,'Change Orders'!$L$7:$L$1006,"Approved"))</f>
        <v/>
      </c>
      <c r="I39" s="76">
        <f>IF(B39="","",F39+G39+H39)</f>
        <v/>
      </c>
      <c r="J39" s="75">
        <f>IF(B39="","",SUMIFS('Payments'!$L$6:$L$1005,'Payments'!$P$6:$P$1005,B39))</f>
        <v/>
      </c>
      <c r="K39" s="75">
        <f>IF(B39="","",SUMIFS('Payments'!$N$6:$N$1005,'Payments'!$P$6:$P$1005,B39))</f>
        <v/>
      </c>
      <c r="L39" s="76">
        <f>IF(B39="","",IF(OR(D39="Estimating",D39=""),MAX(C39,E39,I39,J39),MAX(I39,J39)))</f>
        <v/>
      </c>
      <c r="M39" s="77">
        <f>IF(B39="","",C39-L39)</f>
        <v/>
      </c>
      <c r="N39" s="78">
        <f>IF(O39="","",IF(O39=0,"🟢 On track",IF(O39=1,"🟡 Watch","🔴 Over")))</f>
        <v/>
      </c>
      <c r="O39" s="79">
        <f>IF(B39="","",IF(L39&lt;=C39,0,IF(L39&lt;=C39*(1+BudgetWarnPct),1,2)))</f>
        <v/>
      </c>
      <c r="P39" s="79">
        <f>IF(B39="","",IF(MAX(C39,L39)&gt;0,MAX(C39,L39)+ROW()/100000,""))</f>
        <v/>
      </c>
    </row>
    <row r="40" ht="20" customHeight="1">
      <c r="B40" s="72" t="n"/>
      <c r="C40" s="73" t="n"/>
      <c r="D40" s="74" t="n"/>
      <c r="E40" s="75">
        <f>IF(B40="","",IFERROR(1/SUMPRODUCT(MAX((QBlockCat=B40)*QBlockInv)),""))</f>
        <v/>
      </c>
      <c r="F40" s="75">
        <f>IF(B40="","",SUMIFS('Contractors'!$I$6:$I$1005,'Contractors'!$D$6:$D$1005,B40,'Contractors'!$L$6:$L$1005,"Yes"))</f>
        <v/>
      </c>
      <c r="G40" s="75">
        <f>IF(B40="","",SUMIFS('Selections &amp; Orders'!$L$8:$L$1007,'Selections &amp; Orders'!$D$8:$D$1007,B40))</f>
        <v/>
      </c>
      <c r="H40" s="75">
        <f>IF(B40="","",SUMIFS('Change Orders'!$J$7:$J$1006,'Change Orders'!$F$7:$F$1006,B40,'Change Orders'!$L$7:$L$1006,"Approved"))</f>
        <v/>
      </c>
      <c r="I40" s="76">
        <f>IF(B40="","",F40+G40+H40)</f>
        <v/>
      </c>
      <c r="J40" s="75">
        <f>IF(B40="","",SUMIFS('Payments'!$L$6:$L$1005,'Payments'!$P$6:$P$1005,B40))</f>
        <v/>
      </c>
      <c r="K40" s="75">
        <f>IF(B40="","",SUMIFS('Payments'!$N$6:$N$1005,'Payments'!$P$6:$P$1005,B40))</f>
        <v/>
      </c>
      <c r="L40" s="76">
        <f>IF(B40="","",IF(OR(D40="Estimating",D40=""),MAX(C40,E40,I40,J40),MAX(I40,J40)))</f>
        <v/>
      </c>
      <c r="M40" s="77">
        <f>IF(B40="","",C40-L40)</f>
        <v/>
      </c>
      <c r="N40" s="78">
        <f>IF(O40="","",IF(O40=0,"🟢 On track",IF(O40=1,"🟡 Watch","🔴 Over")))</f>
        <v/>
      </c>
      <c r="O40" s="79">
        <f>IF(B40="","",IF(L40&lt;=C40,0,IF(L40&lt;=C40*(1+BudgetWarnPct),1,2)))</f>
        <v/>
      </c>
      <c r="P40" s="79">
        <f>IF(B40="","",IF(MAX(C40,L40)&gt;0,MAX(C40,L40)+ROW()/100000,""))</f>
        <v/>
      </c>
    </row>
    <row r="41" ht="20" customHeight="1">
      <c r="B41" s="72" t="n"/>
      <c r="C41" s="73" t="n"/>
      <c r="D41" s="74" t="n"/>
      <c r="E41" s="75">
        <f>IF(B41="","",IFERROR(1/SUMPRODUCT(MAX((QBlockCat=B41)*QBlockInv)),""))</f>
        <v/>
      </c>
      <c r="F41" s="75">
        <f>IF(B41="","",SUMIFS('Contractors'!$I$6:$I$1005,'Contractors'!$D$6:$D$1005,B41,'Contractors'!$L$6:$L$1005,"Yes"))</f>
        <v/>
      </c>
      <c r="G41" s="75">
        <f>IF(B41="","",SUMIFS('Selections &amp; Orders'!$L$8:$L$1007,'Selections &amp; Orders'!$D$8:$D$1007,B41))</f>
        <v/>
      </c>
      <c r="H41" s="75">
        <f>IF(B41="","",SUMIFS('Change Orders'!$J$7:$J$1006,'Change Orders'!$F$7:$F$1006,B41,'Change Orders'!$L$7:$L$1006,"Approved"))</f>
        <v/>
      </c>
      <c r="I41" s="76">
        <f>IF(B41="","",F41+G41+H41)</f>
        <v/>
      </c>
      <c r="J41" s="75">
        <f>IF(B41="","",SUMIFS('Payments'!$L$6:$L$1005,'Payments'!$P$6:$P$1005,B41))</f>
        <v/>
      </c>
      <c r="K41" s="75">
        <f>IF(B41="","",SUMIFS('Payments'!$N$6:$N$1005,'Payments'!$P$6:$P$1005,B41))</f>
        <v/>
      </c>
      <c r="L41" s="76">
        <f>IF(B41="","",IF(OR(D41="Estimating",D41=""),MAX(C41,E41,I41,J41),MAX(I41,J41)))</f>
        <v/>
      </c>
      <c r="M41" s="77">
        <f>IF(B41="","",C41-L41)</f>
        <v/>
      </c>
      <c r="N41" s="78">
        <f>IF(O41="","",IF(O41=0,"🟢 On track",IF(O41=1,"🟡 Watch","🔴 Over")))</f>
        <v/>
      </c>
      <c r="O41" s="79">
        <f>IF(B41="","",IF(L41&lt;=C41,0,IF(L41&lt;=C41*(1+BudgetWarnPct),1,2)))</f>
        <v/>
      </c>
      <c r="P41" s="79">
        <f>IF(B41="","",IF(MAX(C41,L41)&gt;0,MAX(C41,L41)+ROW()/100000,""))</f>
        <v/>
      </c>
    </row>
    <row r="42" ht="20" customHeight="1">
      <c r="B42" s="72" t="n"/>
      <c r="C42" s="73" t="n"/>
      <c r="D42" s="74" t="n"/>
      <c r="E42" s="75">
        <f>IF(B42="","",IFERROR(1/SUMPRODUCT(MAX((QBlockCat=B42)*QBlockInv)),""))</f>
        <v/>
      </c>
      <c r="F42" s="75">
        <f>IF(B42="","",SUMIFS('Contractors'!$I$6:$I$1005,'Contractors'!$D$6:$D$1005,B42,'Contractors'!$L$6:$L$1005,"Yes"))</f>
        <v/>
      </c>
      <c r="G42" s="75">
        <f>IF(B42="","",SUMIFS('Selections &amp; Orders'!$L$8:$L$1007,'Selections &amp; Orders'!$D$8:$D$1007,B42))</f>
        <v/>
      </c>
      <c r="H42" s="75">
        <f>IF(B42="","",SUMIFS('Change Orders'!$J$7:$J$1006,'Change Orders'!$F$7:$F$1006,B42,'Change Orders'!$L$7:$L$1006,"Approved"))</f>
        <v/>
      </c>
      <c r="I42" s="76">
        <f>IF(B42="","",F42+G42+H42)</f>
        <v/>
      </c>
      <c r="J42" s="75">
        <f>IF(B42="","",SUMIFS('Payments'!$L$6:$L$1005,'Payments'!$P$6:$P$1005,B42))</f>
        <v/>
      </c>
      <c r="K42" s="75">
        <f>IF(B42="","",SUMIFS('Payments'!$N$6:$N$1005,'Payments'!$P$6:$P$1005,B42))</f>
        <v/>
      </c>
      <c r="L42" s="76">
        <f>IF(B42="","",IF(OR(D42="Estimating",D42=""),MAX(C42,E42,I42,J42),MAX(I42,J42)))</f>
        <v/>
      </c>
      <c r="M42" s="77">
        <f>IF(B42="","",C42-L42)</f>
        <v/>
      </c>
      <c r="N42" s="78">
        <f>IF(O42="","",IF(O42=0,"🟢 On track",IF(O42=1,"🟡 Watch","🔴 Over")))</f>
        <v/>
      </c>
      <c r="O42" s="79">
        <f>IF(B42="","",IF(L42&lt;=C42,0,IF(L42&lt;=C42*(1+BudgetWarnPct),1,2)))</f>
        <v/>
      </c>
      <c r="P42" s="79">
        <f>IF(B42="","",IF(MAX(C42,L42)&gt;0,MAX(C42,L42)+ROW()/100000,""))</f>
        <v/>
      </c>
    </row>
    <row r="43" ht="20" customHeight="1">
      <c r="B43" s="72" t="n"/>
      <c r="C43" s="73" t="n"/>
      <c r="D43" s="74" t="n"/>
      <c r="E43" s="75">
        <f>IF(B43="","",IFERROR(1/SUMPRODUCT(MAX((QBlockCat=B43)*QBlockInv)),""))</f>
        <v/>
      </c>
      <c r="F43" s="75">
        <f>IF(B43="","",SUMIFS('Contractors'!$I$6:$I$1005,'Contractors'!$D$6:$D$1005,B43,'Contractors'!$L$6:$L$1005,"Yes"))</f>
        <v/>
      </c>
      <c r="G43" s="75">
        <f>IF(B43="","",SUMIFS('Selections &amp; Orders'!$L$8:$L$1007,'Selections &amp; Orders'!$D$8:$D$1007,B43))</f>
        <v/>
      </c>
      <c r="H43" s="75">
        <f>IF(B43="","",SUMIFS('Change Orders'!$J$7:$J$1006,'Change Orders'!$F$7:$F$1006,B43,'Change Orders'!$L$7:$L$1006,"Approved"))</f>
        <v/>
      </c>
      <c r="I43" s="76">
        <f>IF(B43="","",F43+G43+H43)</f>
        <v/>
      </c>
      <c r="J43" s="75">
        <f>IF(B43="","",SUMIFS('Payments'!$L$6:$L$1005,'Payments'!$P$6:$P$1005,B43))</f>
        <v/>
      </c>
      <c r="K43" s="75">
        <f>IF(B43="","",SUMIFS('Payments'!$N$6:$N$1005,'Payments'!$P$6:$P$1005,B43))</f>
        <v/>
      </c>
      <c r="L43" s="76">
        <f>IF(B43="","",IF(OR(D43="Estimating",D43=""),MAX(C43,E43,I43,J43),MAX(I43,J43)))</f>
        <v/>
      </c>
      <c r="M43" s="77">
        <f>IF(B43="","",C43-L43)</f>
        <v/>
      </c>
      <c r="N43" s="78">
        <f>IF(O43="","",IF(O43=0,"🟢 On track",IF(O43=1,"🟡 Watch","🔴 Over")))</f>
        <v/>
      </c>
      <c r="O43" s="79">
        <f>IF(B43="","",IF(L43&lt;=C43,0,IF(L43&lt;=C43*(1+BudgetWarnPct),1,2)))</f>
        <v/>
      </c>
      <c r="P43" s="79">
        <f>IF(B43="","",IF(MAX(C43,L43)&gt;0,MAX(C43,L43)+ROW()/100000,""))</f>
        <v/>
      </c>
    </row>
    <row r="44" ht="20" customHeight="1">
      <c r="B44" s="72" t="n"/>
      <c r="C44" s="73" t="n"/>
      <c r="D44" s="74" t="n"/>
      <c r="E44" s="75">
        <f>IF(B44="","",IFERROR(1/SUMPRODUCT(MAX((QBlockCat=B44)*QBlockInv)),""))</f>
        <v/>
      </c>
      <c r="F44" s="75">
        <f>IF(B44="","",SUMIFS('Contractors'!$I$6:$I$1005,'Contractors'!$D$6:$D$1005,B44,'Contractors'!$L$6:$L$1005,"Yes"))</f>
        <v/>
      </c>
      <c r="G44" s="75">
        <f>IF(B44="","",SUMIFS('Selections &amp; Orders'!$L$8:$L$1007,'Selections &amp; Orders'!$D$8:$D$1007,B44))</f>
        <v/>
      </c>
      <c r="H44" s="75">
        <f>IF(B44="","",SUMIFS('Change Orders'!$J$7:$J$1006,'Change Orders'!$F$7:$F$1006,B44,'Change Orders'!$L$7:$L$1006,"Approved"))</f>
        <v/>
      </c>
      <c r="I44" s="76">
        <f>IF(B44="","",F44+G44+H44)</f>
        <v/>
      </c>
      <c r="J44" s="75">
        <f>IF(B44="","",SUMIFS('Payments'!$L$6:$L$1005,'Payments'!$P$6:$P$1005,B44))</f>
        <v/>
      </c>
      <c r="K44" s="75">
        <f>IF(B44="","",SUMIFS('Payments'!$N$6:$N$1005,'Payments'!$P$6:$P$1005,B44))</f>
        <v/>
      </c>
      <c r="L44" s="76">
        <f>IF(B44="","",IF(OR(D44="Estimating",D44=""),MAX(C44,E44,I44,J44),MAX(I44,J44)))</f>
        <v/>
      </c>
      <c r="M44" s="77">
        <f>IF(B44="","",C44-L44)</f>
        <v/>
      </c>
      <c r="N44" s="78">
        <f>IF(O44="","",IF(O44=0,"🟢 On track",IF(O44=1,"🟡 Watch","🔴 Over")))</f>
        <v/>
      </c>
      <c r="O44" s="79">
        <f>IF(B44="","",IF(L44&lt;=C44,0,IF(L44&lt;=C44*(1+BudgetWarnPct),1,2)))</f>
        <v/>
      </c>
      <c r="P44" s="79">
        <f>IF(B44="","",IF(MAX(C44,L44)&gt;0,MAX(C44,L44)+ROW()/100000,""))</f>
        <v/>
      </c>
    </row>
    <row r="45" ht="20" customHeight="1">
      <c r="B45" s="72" t="n"/>
      <c r="C45" s="73" t="n"/>
      <c r="D45" s="74" t="n"/>
      <c r="E45" s="75">
        <f>IF(B45="","",IFERROR(1/SUMPRODUCT(MAX((QBlockCat=B45)*QBlockInv)),""))</f>
        <v/>
      </c>
      <c r="F45" s="75">
        <f>IF(B45="","",SUMIFS('Contractors'!$I$6:$I$1005,'Contractors'!$D$6:$D$1005,B45,'Contractors'!$L$6:$L$1005,"Yes"))</f>
        <v/>
      </c>
      <c r="G45" s="75">
        <f>IF(B45="","",SUMIFS('Selections &amp; Orders'!$L$8:$L$1007,'Selections &amp; Orders'!$D$8:$D$1007,B45))</f>
        <v/>
      </c>
      <c r="H45" s="75">
        <f>IF(B45="","",SUMIFS('Change Orders'!$J$7:$J$1006,'Change Orders'!$F$7:$F$1006,B45,'Change Orders'!$L$7:$L$1006,"Approved"))</f>
        <v/>
      </c>
      <c r="I45" s="76">
        <f>IF(B45="","",F45+G45+H45)</f>
        <v/>
      </c>
      <c r="J45" s="75">
        <f>IF(B45="","",SUMIFS('Payments'!$L$6:$L$1005,'Payments'!$P$6:$P$1005,B45))</f>
        <v/>
      </c>
      <c r="K45" s="75">
        <f>IF(B45="","",SUMIFS('Payments'!$N$6:$N$1005,'Payments'!$P$6:$P$1005,B45))</f>
        <v/>
      </c>
      <c r="L45" s="76">
        <f>IF(B45="","",IF(OR(D45="Estimating",D45=""),MAX(C45,E45,I45,J45),MAX(I45,J45)))</f>
        <v/>
      </c>
      <c r="M45" s="77">
        <f>IF(B45="","",C45-L45)</f>
        <v/>
      </c>
      <c r="N45" s="78">
        <f>IF(O45="","",IF(O45=0,"🟢 On track",IF(O45=1,"🟡 Watch","🔴 Over")))</f>
        <v/>
      </c>
      <c r="O45" s="79">
        <f>IF(B45="","",IF(L45&lt;=C45,0,IF(L45&lt;=C45*(1+BudgetWarnPct),1,2)))</f>
        <v/>
      </c>
      <c r="P45" s="79">
        <f>IF(B45="","",IF(MAX(C45,L45)&gt;0,MAX(C45,L45)+ROW()/100000,""))</f>
        <v/>
      </c>
    </row>
    <row r="46" ht="20" customHeight="1">
      <c r="B46" s="72" t="n"/>
      <c r="C46" s="73" t="n"/>
      <c r="D46" s="74" t="n"/>
      <c r="E46" s="75">
        <f>IF(B46="","",IFERROR(1/SUMPRODUCT(MAX((QBlockCat=B46)*QBlockInv)),""))</f>
        <v/>
      </c>
      <c r="F46" s="75">
        <f>IF(B46="","",SUMIFS('Contractors'!$I$6:$I$1005,'Contractors'!$D$6:$D$1005,B46,'Contractors'!$L$6:$L$1005,"Yes"))</f>
        <v/>
      </c>
      <c r="G46" s="75">
        <f>IF(B46="","",SUMIFS('Selections &amp; Orders'!$L$8:$L$1007,'Selections &amp; Orders'!$D$8:$D$1007,B46))</f>
        <v/>
      </c>
      <c r="H46" s="75">
        <f>IF(B46="","",SUMIFS('Change Orders'!$J$7:$J$1006,'Change Orders'!$F$7:$F$1006,B46,'Change Orders'!$L$7:$L$1006,"Approved"))</f>
        <v/>
      </c>
      <c r="I46" s="76">
        <f>IF(B46="","",F46+G46+H46)</f>
        <v/>
      </c>
      <c r="J46" s="75">
        <f>IF(B46="","",SUMIFS('Payments'!$L$6:$L$1005,'Payments'!$P$6:$P$1005,B46))</f>
        <v/>
      </c>
      <c r="K46" s="75">
        <f>IF(B46="","",SUMIFS('Payments'!$N$6:$N$1005,'Payments'!$P$6:$P$1005,B46))</f>
        <v/>
      </c>
      <c r="L46" s="76">
        <f>IF(B46="","",IF(OR(D46="Estimating",D46=""),MAX(C46,E46,I46,J46),MAX(I46,J46)))</f>
        <v/>
      </c>
      <c r="M46" s="77">
        <f>IF(B46="","",C46-L46)</f>
        <v/>
      </c>
      <c r="N46" s="78">
        <f>IF(O46="","",IF(O46=0,"🟢 On track",IF(O46=1,"🟡 Watch","🔴 Over")))</f>
        <v/>
      </c>
      <c r="O46" s="79">
        <f>IF(B46="","",IF(L46&lt;=C46,0,IF(L46&lt;=C46*(1+BudgetWarnPct),1,2)))</f>
        <v/>
      </c>
      <c r="P46" s="79">
        <f>IF(B46="","",IF(MAX(C46,L46)&gt;0,MAX(C46,L46)+ROW()/100000,""))</f>
        <v/>
      </c>
    </row>
    <row r="47" ht="20" customHeight="1">
      <c r="B47" s="72" t="n"/>
      <c r="C47" s="73" t="n"/>
      <c r="D47" s="74" t="n"/>
      <c r="E47" s="75">
        <f>IF(B47="","",IFERROR(1/SUMPRODUCT(MAX((QBlockCat=B47)*QBlockInv)),""))</f>
        <v/>
      </c>
      <c r="F47" s="75">
        <f>IF(B47="","",SUMIFS('Contractors'!$I$6:$I$1005,'Contractors'!$D$6:$D$1005,B47,'Contractors'!$L$6:$L$1005,"Yes"))</f>
        <v/>
      </c>
      <c r="G47" s="75">
        <f>IF(B47="","",SUMIFS('Selections &amp; Orders'!$L$8:$L$1007,'Selections &amp; Orders'!$D$8:$D$1007,B47))</f>
        <v/>
      </c>
      <c r="H47" s="75">
        <f>IF(B47="","",SUMIFS('Change Orders'!$J$7:$J$1006,'Change Orders'!$F$7:$F$1006,B47,'Change Orders'!$L$7:$L$1006,"Approved"))</f>
        <v/>
      </c>
      <c r="I47" s="76">
        <f>IF(B47="","",F47+G47+H47)</f>
        <v/>
      </c>
      <c r="J47" s="75">
        <f>IF(B47="","",SUMIFS('Payments'!$L$6:$L$1005,'Payments'!$P$6:$P$1005,B47))</f>
        <v/>
      </c>
      <c r="K47" s="75">
        <f>IF(B47="","",SUMIFS('Payments'!$N$6:$N$1005,'Payments'!$P$6:$P$1005,B47))</f>
        <v/>
      </c>
      <c r="L47" s="76">
        <f>IF(B47="","",IF(OR(D47="Estimating",D47=""),MAX(C47,E47,I47,J47),MAX(I47,J47)))</f>
        <v/>
      </c>
      <c r="M47" s="77">
        <f>IF(B47="","",C47-L47)</f>
        <v/>
      </c>
      <c r="N47" s="78">
        <f>IF(O47="","",IF(O47=0,"🟢 On track",IF(O47=1,"🟡 Watch","🔴 Over")))</f>
        <v/>
      </c>
      <c r="O47" s="79">
        <f>IF(B47="","",IF(L47&lt;=C47,0,IF(L47&lt;=C47*(1+BudgetWarnPct),1,2)))</f>
        <v/>
      </c>
      <c r="P47" s="79">
        <f>IF(B47="","",IF(MAX(C47,L47)&gt;0,MAX(C47,L47)+ROW()/100000,""))</f>
        <v/>
      </c>
    </row>
    <row r="48" ht="20" customHeight="1">
      <c r="B48" s="72" t="n"/>
      <c r="C48" s="73" t="n"/>
      <c r="D48" s="74" t="n"/>
      <c r="E48" s="75">
        <f>IF(B48="","",IFERROR(1/SUMPRODUCT(MAX((QBlockCat=B48)*QBlockInv)),""))</f>
        <v/>
      </c>
      <c r="F48" s="75">
        <f>IF(B48="","",SUMIFS('Contractors'!$I$6:$I$1005,'Contractors'!$D$6:$D$1005,B48,'Contractors'!$L$6:$L$1005,"Yes"))</f>
        <v/>
      </c>
      <c r="G48" s="75">
        <f>IF(B48="","",SUMIFS('Selections &amp; Orders'!$L$8:$L$1007,'Selections &amp; Orders'!$D$8:$D$1007,B48))</f>
        <v/>
      </c>
      <c r="H48" s="75">
        <f>IF(B48="","",SUMIFS('Change Orders'!$J$7:$J$1006,'Change Orders'!$F$7:$F$1006,B48,'Change Orders'!$L$7:$L$1006,"Approved"))</f>
        <v/>
      </c>
      <c r="I48" s="76">
        <f>IF(B48="","",F48+G48+H48)</f>
        <v/>
      </c>
      <c r="J48" s="75">
        <f>IF(B48="","",SUMIFS('Payments'!$L$6:$L$1005,'Payments'!$P$6:$P$1005,B48))</f>
        <v/>
      </c>
      <c r="K48" s="75">
        <f>IF(B48="","",SUMIFS('Payments'!$N$6:$N$1005,'Payments'!$P$6:$P$1005,B48))</f>
        <v/>
      </c>
      <c r="L48" s="76">
        <f>IF(B48="","",IF(OR(D48="Estimating",D48=""),MAX(C48,E48,I48,J48),MAX(I48,J48)))</f>
        <v/>
      </c>
      <c r="M48" s="77">
        <f>IF(B48="","",C48-L48)</f>
        <v/>
      </c>
      <c r="N48" s="78">
        <f>IF(O48="","",IF(O48=0,"🟢 On track",IF(O48=1,"🟡 Watch","🔴 Over")))</f>
        <v/>
      </c>
      <c r="O48" s="79">
        <f>IF(B48="","",IF(L48&lt;=C48,0,IF(L48&lt;=C48*(1+BudgetWarnPct),1,2)))</f>
        <v/>
      </c>
      <c r="P48" s="79">
        <f>IF(B48="","",IF(MAX(C48,L48)&gt;0,MAX(C48,L48)+ROW()/100000,""))</f>
        <v/>
      </c>
    </row>
    <row r="49" ht="20" customHeight="1">
      <c r="B49" s="72" t="n"/>
      <c r="C49" s="73" t="n"/>
      <c r="D49" s="74" t="n"/>
      <c r="E49" s="75">
        <f>IF(B49="","",IFERROR(1/SUMPRODUCT(MAX((QBlockCat=B49)*QBlockInv)),""))</f>
        <v/>
      </c>
      <c r="F49" s="75">
        <f>IF(B49="","",SUMIFS('Contractors'!$I$6:$I$1005,'Contractors'!$D$6:$D$1005,B49,'Contractors'!$L$6:$L$1005,"Yes"))</f>
        <v/>
      </c>
      <c r="G49" s="75">
        <f>IF(B49="","",SUMIFS('Selections &amp; Orders'!$L$8:$L$1007,'Selections &amp; Orders'!$D$8:$D$1007,B49))</f>
        <v/>
      </c>
      <c r="H49" s="75">
        <f>IF(B49="","",SUMIFS('Change Orders'!$J$7:$J$1006,'Change Orders'!$F$7:$F$1006,B49,'Change Orders'!$L$7:$L$1006,"Approved"))</f>
        <v/>
      </c>
      <c r="I49" s="76">
        <f>IF(B49="","",F49+G49+H49)</f>
        <v/>
      </c>
      <c r="J49" s="75">
        <f>IF(B49="","",SUMIFS('Payments'!$L$6:$L$1005,'Payments'!$P$6:$P$1005,B49))</f>
        <v/>
      </c>
      <c r="K49" s="75">
        <f>IF(B49="","",SUMIFS('Payments'!$N$6:$N$1005,'Payments'!$P$6:$P$1005,B49))</f>
        <v/>
      </c>
      <c r="L49" s="76">
        <f>IF(B49="","",IF(OR(D49="Estimating",D49=""),MAX(C49,E49,I49,J49),MAX(I49,J49)))</f>
        <v/>
      </c>
      <c r="M49" s="77">
        <f>IF(B49="","",C49-L49)</f>
        <v/>
      </c>
      <c r="N49" s="78">
        <f>IF(O49="","",IF(O49=0,"🟢 On track",IF(O49=1,"🟡 Watch","🔴 Over")))</f>
        <v/>
      </c>
      <c r="O49" s="79">
        <f>IF(B49="","",IF(L49&lt;=C49,0,IF(L49&lt;=C49*(1+BudgetWarnPct),1,2)))</f>
        <v/>
      </c>
      <c r="P49" s="79">
        <f>IF(B49="","",IF(MAX(C49,L49)&gt;0,MAX(C49,L49)+ROW()/100000,""))</f>
        <v/>
      </c>
    </row>
    <row r="50" ht="20" customHeight="1">
      <c r="B50" s="72" t="n"/>
      <c r="C50" s="73" t="n"/>
      <c r="D50" s="74" t="n"/>
      <c r="E50" s="75">
        <f>IF(B50="","",IFERROR(1/SUMPRODUCT(MAX((QBlockCat=B50)*QBlockInv)),""))</f>
        <v/>
      </c>
      <c r="F50" s="75">
        <f>IF(B50="","",SUMIFS('Contractors'!$I$6:$I$1005,'Contractors'!$D$6:$D$1005,B50,'Contractors'!$L$6:$L$1005,"Yes"))</f>
        <v/>
      </c>
      <c r="G50" s="75">
        <f>IF(B50="","",SUMIFS('Selections &amp; Orders'!$L$8:$L$1007,'Selections &amp; Orders'!$D$8:$D$1007,B50))</f>
        <v/>
      </c>
      <c r="H50" s="75">
        <f>IF(B50="","",SUMIFS('Change Orders'!$J$7:$J$1006,'Change Orders'!$F$7:$F$1006,B50,'Change Orders'!$L$7:$L$1006,"Approved"))</f>
        <v/>
      </c>
      <c r="I50" s="76">
        <f>IF(B50="","",F50+G50+H50)</f>
        <v/>
      </c>
      <c r="J50" s="75">
        <f>IF(B50="","",SUMIFS('Payments'!$L$6:$L$1005,'Payments'!$P$6:$P$1005,B50))</f>
        <v/>
      </c>
      <c r="K50" s="75">
        <f>IF(B50="","",SUMIFS('Payments'!$N$6:$N$1005,'Payments'!$P$6:$P$1005,B50))</f>
        <v/>
      </c>
      <c r="L50" s="76">
        <f>IF(B50="","",IF(OR(D50="Estimating",D50=""),MAX(C50,E50,I50,J50),MAX(I50,J50)))</f>
        <v/>
      </c>
      <c r="M50" s="77">
        <f>IF(B50="","",C50-L50)</f>
        <v/>
      </c>
      <c r="N50" s="78">
        <f>IF(O50="","",IF(O50=0,"🟢 On track",IF(O50=1,"🟡 Watch","🔴 Over")))</f>
        <v/>
      </c>
      <c r="O50" s="79">
        <f>IF(B50="","",IF(L50&lt;=C50,0,IF(L50&lt;=C50*(1+BudgetWarnPct),1,2)))</f>
        <v/>
      </c>
      <c r="P50" s="79">
        <f>IF(B50="","",IF(MAX(C50,L50)&gt;0,MAX(C50,L50)+ROW()/100000,""))</f>
        <v/>
      </c>
    </row>
    <row r="51" ht="20" customHeight="1">
      <c r="B51" s="72" t="n"/>
      <c r="C51" s="73" t="n"/>
      <c r="D51" s="74" t="n"/>
      <c r="E51" s="75">
        <f>IF(B51="","",IFERROR(1/SUMPRODUCT(MAX((QBlockCat=B51)*QBlockInv)),""))</f>
        <v/>
      </c>
      <c r="F51" s="75">
        <f>IF(B51="","",SUMIFS('Contractors'!$I$6:$I$1005,'Contractors'!$D$6:$D$1005,B51,'Contractors'!$L$6:$L$1005,"Yes"))</f>
        <v/>
      </c>
      <c r="G51" s="75">
        <f>IF(B51="","",SUMIFS('Selections &amp; Orders'!$L$8:$L$1007,'Selections &amp; Orders'!$D$8:$D$1007,B51))</f>
        <v/>
      </c>
      <c r="H51" s="75">
        <f>IF(B51="","",SUMIFS('Change Orders'!$J$7:$J$1006,'Change Orders'!$F$7:$F$1006,B51,'Change Orders'!$L$7:$L$1006,"Approved"))</f>
        <v/>
      </c>
      <c r="I51" s="76">
        <f>IF(B51="","",F51+G51+H51)</f>
        <v/>
      </c>
      <c r="J51" s="75">
        <f>IF(B51="","",SUMIFS('Payments'!$L$6:$L$1005,'Payments'!$P$6:$P$1005,B51))</f>
        <v/>
      </c>
      <c r="K51" s="75">
        <f>IF(B51="","",SUMIFS('Payments'!$N$6:$N$1005,'Payments'!$P$6:$P$1005,B51))</f>
        <v/>
      </c>
      <c r="L51" s="76">
        <f>IF(B51="","",IF(OR(D51="Estimating",D51=""),MAX(C51,E51,I51,J51),MAX(I51,J51)))</f>
        <v/>
      </c>
      <c r="M51" s="77">
        <f>IF(B51="","",C51-L51)</f>
        <v/>
      </c>
      <c r="N51" s="78">
        <f>IF(O51="","",IF(O51=0,"🟢 On track",IF(O51=1,"🟡 Watch","🔴 Over")))</f>
        <v/>
      </c>
      <c r="O51" s="79">
        <f>IF(B51="","",IF(L51&lt;=C51,0,IF(L51&lt;=C51*(1+BudgetWarnPct),1,2)))</f>
        <v/>
      </c>
      <c r="P51" s="79">
        <f>IF(B51="","",IF(MAX(C51,L51)&gt;0,MAX(C51,L51)+ROW()/100000,""))</f>
        <v/>
      </c>
    </row>
    <row r="52" ht="20" customHeight="1">
      <c r="B52" s="72" t="n"/>
      <c r="C52" s="73" t="n"/>
      <c r="D52" s="74" t="n"/>
      <c r="E52" s="75">
        <f>IF(B52="","",IFERROR(1/SUMPRODUCT(MAX((QBlockCat=B52)*QBlockInv)),""))</f>
        <v/>
      </c>
      <c r="F52" s="75">
        <f>IF(B52="","",SUMIFS('Contractors'!$I$6:$I$1005,'Contractors'!$D$6:$D$1005,B52,'Contractors'!$L$6:$L$1005,"Yes"))</f>
        <v/>
      </c>
      <c r="G52" s="75">
        <f>IF(B52="","",SUMIFS('Selections &amp; Orders'!$L$8:$L$1007,'Selections &amp; Orders'!$D$8:$D$1007,B52))</f>
        <v/>
      </c>
      <c r="H52" s="75">
        <f>IF(B52="","",SUMIFS('Change Orders'!$J$7:$J$1006,'Change Orders'!$F$7:$F$1006,B52,'Change Orders'!$L$7:$L$1006,"Approved"))</f>
        <v/>
      </c>
      <c r="I52" s="76">
        <f>IF(B52="","",F52+G52+H52)</f>
        <v/>
      </c>
      <c r="J52" s="75">
        <f>IF(B52="","",SUMIFS('Payments'!$L$6:$L$1005,'Payments'!$P$6:$P$1005,B52))</f>
        <v/>
      </c>
      <c r="K52" s="75">
        <f>IF(B52="","",SUMIFS('Payments'!$N$6:$N$1005,'Payments'!$P$6:$P$1005,B52))</f>
        <v/>
      </c>
      <c r="L52" s="76">
        <f>IF(B52="","",IF(OR(D52="Estimating",D52=""),MAX(C52,E52,I52,J52),MAX(I52,J52)))</f>
        <v/>
      </c>
      <c r="M52" s="77">
        <f>IF(B52="","",C52-L52)</f>
        <v/>
      </c>
      <c r="N52" s="78">
        <f>IF(O52="","",IF(O52=0,"🟢 On track",IF(O52=1,"🟡 Watch","🔴 Over")))</f>
        <v/>
      </c>
      <c r="O52" s="79">
        <f>IF(B52="","",IF(L52&lt;=C52,0,IF(L52&lt;=C52*(1+BudgetWarnPct),1,2)))</f>
        <v/>
      </c>
      <c r="P52" s="79">
        <f>IF(B52="","",IF(MAX(C52,L52)&gt;0,MAX(C52,L52)+ROW()/100000,""))</f>
        <v/>
      </c>
    </row>
    <row r="53" ht="20" customHeight="1">
      <c r="B53" s="72" t="n"/>
      <c r="C53" s="73" t="n"/>
      <c r="D53" s="74" t="n"/>
      <c r="E53" s="75">
        <f>IF(B53="","",IFERROR(1/SUMPRODUCT(MAX((QBlockCat=B53)*QBlockInv)),""))</f>
        <v/>
      </c>
      <c r="F53" s="75">
        <f>IF(B53="","",SUMIFS('Contractors'!$I$6:$I$1005,'Contractors'!$D$6:$D$1005,B53,'Contractors'!$L$6:$L$1005,"Yes"))</f>
        <v/>
      </c>
      <c r="G53" s="75">
        <f>IF(B53="","",SUMIFS('Selections &amp; Orders'!$L$8:$L$1007,'Selections &amp; Orders'!$D$8:$D$1007,B53))</f>
        <v/>
      </c>
      <c r="H53" s="75">
        <f>IF(B53="","",SUMIFS('Change Orders'!$J$7:$J$1006,'Change Orders'!$F$7:$F$1006,B53,'Change Orders'!$L$7:$L$1006,"Approved"))</f>
        <v/>
      </c>
      <c r="I53" s="76">
        <f>IF(B53="","",F53+G53+H53)</f>
        <v/>
      </c>
      <c r="J53" s="75">
        <f>IF(B53="","",SUMIFS('Payments'!$L$6:$L$1005,'Payments'!$P$6:$P$1005,B53))</f>
        <v/>
      </c>
      <c r="K53" s="75">
        <f>IF(B53="","",SUMIFS('Payments'!$N$6:$N$1005,'Payments'!$P$6:$P$1005,B53))</f>
        <v/>
      </c>
      <c r="L53" s="76">
        <f>IF(B53="","",IF(OR(D53="Estimating",D53=""),MAX(C53,E53,I53,J53),MAX(I53,J53)))</f>
        <v/>
      </c>
      <c r="M53" s="77">
        <f>IF(B53="","",C53-L53)</f>
        <v/>
      </c>
      <c r="N53" s="78">
        <f>IF(O53="","",IF(O53=0,"🟢 On track",IF(O53=1,"🟡 Watch","🔴 Over")))</f>
        <v/>
      </c>
      <c r="O53" s="79">
        <f>IF(B53="","",IF(L53&lt;=C53,0,IF(L53&lt;=C53*(1+BudgetWarnPct),1,2)))</f>
        <v/>
      </c>
      <c r="P53" s="79">
        <f>IF(B53="","",IF(MAX(C53,L53)&gt;0,MAX(C53,L53)+ROW()/100000,""))</f>
        <v/>
      </c>
    </row>
    <row r="54" ht="20" customHeight="1">
      <c r="B54" s="72" t="n"/>
      <c r="C54" s="73" t="n"/>
      <c r="D54" s="74" t="n"/>
      <c r="E54" s="75">
        <f>IF(B54="","",IFERROR(1/SUMPRODUCT(MAX((QBlockCat=B54)*QBlockInv)),""))</f>
        <v/>
      </c>
      <c r="F54" s="75">
        <f>IF(B54="","",SUMIFS('Contractors'!$I$6:$I$1005,'Contractors'!$D$6:$D$1005,B54,'Contractors'!$L$6:$L$1005,"Yes"))</f>
        <v/>
      </c>
      <c r="G54" s="75">
        <f>IF(B54="","",SUMIFS('Selections &amp; Orders'!$L$8:$L$1007,'Selections &amp; Orders'!$D$8:$D$1007,B54))</f>
        <v/>
      </c>
      <c r="H54" s="75">
        <f>IF(B54="","",SUMIFS('Change Orders'!$J$7:$J$1006,'Change Orders'!$F$7:$F$1006,B54,'Change Orders'!$L$7:$L$1006,"Approved"))</f>
        <v/>
      </c>
      <c r="I54" s="76">
        <f>IF(B54="","",F54+G54+H54)</f>
        <v/>
      </c>
      <c r="J54" s="75">
        <f>IF(B54="","",SUMIFS('Payments'!$L$6:$L$1005,'Payments'!$P$6:$P$1005,B54))</f>
        <v/>
      </c>
      <c r="K54" s="75">
        <f>IF(B54="","",SUMIFS('Payments'!$N$6:$N$1005,'Payments'!$P$6:$P$1005,B54))</f>
        <v/>
      </c>
      <c r="L54" s="76">
        <f>IF(B54="","",IF(OR(D54="Estimating",D54=""),MAX(C54,E54,I54,J54),MAX(I54,J54)))</f>
        <v/>
      </c>
      <c r="M54" s="77">
        <f>IF(B54="","",C54-L54)</f>
        <v/>
      </c>
      <c r="N54" s="78">
        <f>IF(O54="","",IF(O54=0,"🟢 On track",IF(O54=1,"🟡 Watch","🔴 Over")))</f>
        <v/>
      </c>
      <c r="O54" s="79">
        <f>IF(B54="","",IF(L54&lt;=C54,0,IF(L54&lt;=C54*(1+BudgetWarnPct),1,2)))</f>
        <v/>
      </c>
      <c r="P54" s="79">
        <f>IF(B54="","",IF(MAX(C54,L54)&gt;0,MAX(C54,L54)+ROW()/100000,""))</f>
        <v/>
      </c>
    </row>
    <row r="55" ht="20" customHeight="1">
      <c r="B55" s="72" t="n"/>
      <c r="C55" s="73" t="n"/>
      <c r="D55" s="74" t="n"/>
      <c r="E55" s="75">
        <f>IF(B55="","",IFERROR(1/SUMPRODUCT(MAX((QBlockCat=B55)*QBlockInv)),""))</f>
        <v/>
      </c>
      <c r="F55" s="75">
        <f>IF(B55="","",SUMIFS('Contractors'!$I$6:$I$1005,'Contractors'!$D$6:$D$1005,B55,'Contractors'!$L$6:$L$1005,"Yes"))</f>
        <v/>
      </c>
      <c r="G55" s="75">
        <f>IF(B55="","",SUMIFS('Selections &amp; Orders'!$L$8:$L$1007,'Selections &amp; Orders'!$D$8:$D$1007,B55))</f>
        <v/>
      </c>
      <c r="H55" s="75">
        <f>IF(B55="","",SUMIFS('Change Orders'!$J$7:$J$1006,'Change Orders'!$F$7:$F$1006,B55,'Change Orders'!$L$7:$L$1006,"Approved"))</f>
        <v/>
      </c>
      <c r="I55" s="76">
        <f>IF(B55="","",F55+G55+H55)</f>
        <v/>
      </c>
      <c r="J55" s="75">
        <f>IF(B55="","",SUMIFS('Payments'!$L$6:$L$1005,'Payments'!$P$6:$P$1005,B55))</f>
        <v/>
      </c>
      <c r="K55" s="75">
        <f>IF(B55="","",SUMIFS('Payments'!$N$6:$N$1005,'Payments'!$P$6:$P$1005,B55))</f>
        <v/>
      </c>
      <c r="L55" s="76">
        <f>IF(B55="","",IF(OR(D55="Estimating",D55=""),MAX(C55,E55,I55,J55),MAX(I55,J55)))</f>
        <v/>
      </c>
      <c r="M55" s="77">
        <f>IF(B55="","",C55-L55)</f>
        <v/>
      </c>
      <c r="N55" s="78">
        <f>IF(O55="","",IF(O55=0,"🟢 On track",IF(O55=1,"🟡 Watch","🔴 Over")))</f>
        <v/>
      </c>
      <c r="O55" s="79">
        <f>IF(B55="","",IF(L55&lt;=C55,0,IF(L55&lt;=C55*(1+BudgetWarnPct),1,2)))</f>
        <v/>
      </c>
      <c r="P55" s="79">
        <f>IF(B55="","",IF(MAX(C55,L55)&gt;0,MAX(C55,L55)+ROW()/100000,""))</f>
        <v/>
      </c>
    </row>
    <row r="56" ht="20" customHeight="1">
      <c r="B56" s="72" t="n"/>
      <c r="C56" s="73" t="n"/>
      <c r="D56" s="74" t="n"/>
      <c r="E56" s="75">
        <f>IF(B56="","",IFERROR(1/SUMPRODUCT(MAX((QBlockCat=B56)*QBlockInv)),""))</f>
        <v/>
      </c>
      <c r="F56" s="75">
        <f>IF(B56="","",SUMIFS('Contractors'!$I$6:$I$1005,'Contractors'!$D$6:$D$1005,B56,'Contractors'!$L$6:$L$1005,"Yes"))</f>
        <v/>
      </c>
      <c r="G56" s="75">
        <f>IF(B56="","",SUMIFS('Selections &amp; Orders'!$L$8:$L$1007,'Selections &amp; Orders'!$D$8:$D$1007,B56))</f>
        <v/>
      </c>
      <c r="H56" s="75">
        <f>IF(B56="","",SUMIFS('Change Orders'!$J$7:$J$1006,'Change Orders'!$F$7:$F$1006,B56,'Change Orders'!$L$7:$L$1006,"Approved"))</f>
        <v/>
      </c>
      <c r="I56" s="76">
        <f>IF(B56="","",F56+G56+H56)</f>
        <v/>
      </c>
      <c r="J56" s="75">
        <f>IF(B56="","",SUMIFS('Payments'!$L$6:$L$1005,'Payments'!$P$6:$P$1005,B56))</f>
        <v/>
      </c>
      <c r="K56" s="75">
        <f>IF(B56="","",SUMIFS('Payments'!$N$6:$N$1005,'Payments'!$P$6:$P$1005,B56))</f>
        <v/>
      </c>
      <c r="L56" s="76">
        <f>IF(B56="","",IF(OR(D56="Estimating",D56=""),MAX(C56,E56,I56,J56),MAX(I56,J56)))</f>
        <v/>
      </c>
      <c r="M56" s="77">
        <f>IF(B56="","",C56-L56)</f>
        <v/>
      </c>
      <c r="N56" s="78">
        <f>IF(O56="","",IF(O56=0,"🟢 On track",IF(O56=1,"🟡 Watch","🔴 Over")))</f>
        <v/>
      </c>
      <c r="O56" s="79">
        <f>IF(B56="","",IF(L56&lt;=C56,0,IF(L56&lt;=C56*(1+BudgetWarnPct),1,2)))</f>
        <v/>
      </c>
      <c r="P56" s="79">
        <f>IF(B56="","",IF(MAX(C56,L56)&gt;0,MAX(C56,L56)+ROW()/100000,""))</f>
        <v/>
      </c>
    </row>
    <row r="57" ht="20" customHeight="1">
      <c r="B57" s="72" t="n"/>
      <c r="C57" s="73" t="n"/>
      <c r="D57" s="74" t="n"/>
      <c r="E57" s="75">
        <f>IF(B57="","",IFERROR(1/SUMPRODUCT(MAX((QBlockCat=B57)*QBlockInv)),""))</f>
        <v/>
      </c>
      <c r="F57" s="75">
        <f>IF(B57="","",SUMIFS('Contractors'!$I$6:$I$1005,'Contractors'!$D$6:$D$1005,B57,'Contractors'!$L$6:$L$1005,"Yes"))</f>
        <v/>
      </c>
      <c r="G57" s="75">
        <f>IF(B57="","",SUMIFS('Selections &amp; Orders'!$L$8:$L$1007,'Selections &amp; Orders'!$D$8:$D$1007,B57))</f>
        <v/>
      </c>
      <c r="H57" s="75">
        <f>IF(B57="","",SUMIFS('Change Orders'!$J$7:$J$1006,'Change Orders'!$F$7:$F$1006,B57,'Change Orders'!$L$7:$L$1006,"Approved"))</f>
        <v/>
      </c>
      <c r="I57" s="76">
        <f>IF(B57="","",F57+G57+H57)</f>
        <v/>
      </c>
      <c r="J57" s="75">
        <f>IF(B57="","",SUMIFS('Payments'!$L$6:$L$1005,'Payments'!$P$6:$P$1005,B57))</f>
        <v/>
      </c>
      <c r="K57" s="75">
        <f>IF(B57="","",SUMIFS('Payments'!$N$6:$N$1005,'Payments'!$P$6:$P$1005,B57))</f>
        <v/>
      </c>
      <c r="L57" s="76">
        <f>IF(B57="","",IF(OR(D57="Estimating",D57=""),MAX(C57,E57,I57,J57),MAX(I57,J57)))</f>
        <v/>
      </c>
      <c r="M57" s="77">
        <f>IF(B57="","",C57-L57)</f>
        <v/>
      </c>
      <c r="N57" s="78">
        <f>IF(O57="","",IF(O57=0,"🟢 On track",IF(O57=1,"🟡 Watch","🔴 Over")))</f>
        <v/>
      </c>
      <c r="O57" s="79">
        <f>IF(B57="","",IF(L57&lt;=C57,0,IF(L57&lt;=C57*(1+BudgetWarnPct),1,2)))</f>
        <v/>
      </c>
      <c r="P57" s="79">
        <f>IF(B57="","",IF(MAX(C57,L57)&gt;0,MAX(C57,L57)+ROW()/100000,""))</f>
        <v/>
      </c>
    </row>
    <row r="58" ht="26" customHeight="1">
      <c r="B58" s="80" t="inlineStr">
        <is>
          <t>TOTAL</t>
        </is>
      </c>
      <c r="C58" s="81">
        <f>SUM(C8:C57)</f>
        <v/>
      </c>
      <c r="D58" s="80" t="n"/>
      <c r="E58" s="80" t="n"/>
      <c r="F58" s="81">
        <f>SUM(F8:F57)</f>
        <v/>
      </c>
      <c r="G58" s="81">
        <f>SUM(G8:G57)</f>
        <v/>
      </c>
      <c r="H58" s="81">
        <f>SUM(H8:H57)</f>
        <v/>
      </c>
      <c r="I58" s="81">
        <f>SUM(I8:I57)</f>
        <v/>
      </c>
      <c r="J58" s="81">
        <f>SUM(J8:J57)</f>
        <v/>
      </c>
      <c r="K58" s="81">
        <f>SUM(K8:K57)</f>
        <v/>
      </c>
      <c r="L58" s="81">
        <f>SUM(L8:L57)</f>
        <v/>
      </c>
      <c r="M58" s="81">
        <f>SUM(M8:M57)</f>
        <v/>
      </c>
      <c r="N58" s="82">
        <f>IF(O58=0,"🟢 On track",IF(O58=1,"🟡 Watch","🔴 Over"))</f>
        <v/>
      </c>
      <c r="O58" s="79">
        <f>IF(L58&lt;=C58,0,IF(L58&lt;=C58*(1+BudgetWarnPct),1,2))</f>
        <v/>
      </c>
    </row>
    <row r="59">
      <c r="B59" s="4" t="inlineStr">
        <is>
          <t>RISK — what could still come on top of the forecast</t>
        </is>
      </c>
      <c r="C59" s="5" t="n"/>
      <c r="D59" s="5" t="n"/>
      <c r="E59" s="5" t="n"/>
      <c r="F59" s="5" t="n"/>
      <c r="G59" s="5" t="n"/>
      <c r="H59" s="5" t="n"/>
      <c r="I59" s="5" t="n"/>
      <c r="J59" s="5" t="n"/>
      <c r="K59" s="5" t="n"/>
      <c r="L59" s="5" t="n"/>
      <c r="M59" s="5" t="n"/>
      <c r="N59" s="5" t="n"/>
    </row>
    <row r="60" ht="22" customHeight="1">
      <c r="B60" s="83" t="inlineStr">
        <is>
          <t>Pending change orders (not approved yet)</t>
        </is>
      </c>
      <c r="L60" s="68">
        <f>SUMIFS('Change Orders'!$J$7:$J$1006,'Change Orders'!$L$7:$L$1006,"Pending")</f>
        <v/>
      </c>
      <c r="Q60" s="84">
        <f>IF(AND(WorkBudget&gt;0,ForecastTotal&gt;WorkBudget),AsOf,"")</f>
        <v/>
      </c>
      <c r="R60" s="46">
        <f>IF(Q60="","",1)</f>
        <v/>
      </c>
      <c r="S60" s="46">
        <f>IF(R60="","","Forecast is over your working budget by "&amp;CurSym&amp;" "&amp;FIXED(ForecastTotal-WorkBudget,0)&amp;" — review Budget")</f>
        <v/>
      </c>
    </row>
    <row r="61" ht="22" customHeight="1">
      <c r="B61" s="83" t="inlineStr">
        <is>
          <t>Estimated cost of open issues</t>
        </is>
      </c>
      <c r="L61" s="68">
        <f>SUM('Issues &amp; Punch List'!$T$8:$T$1007)</f>
        <v/>
      </c>
      <c r="Q61" s="84">
        <f>IF(ContUsed&gt;0.75,AsOf,"")</f>
        <v/>
      </c>
      <c r="R61" s="46">
        <f>IF(Q61="","",1)</f>
        <v/>
      </c>
      <c r="S61" s="46">
        <f>IF(R61="","","Contingency "&amp;ROUND(ContUsed*100,0)&amp;"% used — pause optional changes")</f>
        <v/>
      </c>
    </row>
    <row r="62" ht="22" customHeight="1">
      <c r="B62" s="85" t="inlineStr">
        <is>
          <t>RISK (could still be added)</t>
        </is>
      </c>
      <c r="L62" s="81">
        <f>L60+L61</f>
        <v/>
      </c>
    </row>
    <row r="63" ht="22" customHeight="1">
      <c r="B63" s="85" t="inlineStr">
        <is>
          <t>FORECAST INCL. RISK</t>
        </is>
      </c>
      <c r="L63" s="81">
        <f>ForecastTotal+L62</f>
        <v/>
      </c>
    </row>
    <row r="64" ht="22" customHeight="1">
      <c r="B64" s="83" t="inlineStr">
        <is>
          <t>Contingency used by forecast</t>
        </is>
      </c>
      <c r="L64" s="86">
        <f>IF(ContAmt&gt;0,MAX(0,ForecastTotal-WorkBudget)/ContAmt,0)</f>
        <v/>
      </c>
      <c r="M64" s="87">
        <f>REPT("█",ROUND(MIN(1,ContUsed)*10,0))&amp;REPT("░",10-ROUND(MIN(1,ContUsed)*10,0))</f>
        <v/>
      </c>
    </row>
  </sheetData>
  <sheetProtection selectLockedCells="1" selectUnlockedCells="0" sheet="1" objects="0" insertRows="1" insertHyperlinks="1" autoFilter="1" scenarios="0" formatColumns="0" deleteColumns="1" insertColumns="1" pivotTables="1" deleteRows="1" formatCells="1" formatRows="0" sort="1" password="CD61"/>
  <mergeCells count="7">
    <mergeCell ref="B63:K63"/>
    <mergeCell ref="B61:K61"/>
    <mergeCell ref="E4:F4"/>
    <mergeCell ref="B62:K62"/>
    <mergeCell ref="B64:K64"/>
    <mergeCell ref="H4:L4"/>
    <mergeCell ref="B60:K60"/>
  </mergeCells>
  <conditionalFormatting sqref="L64">
    <cfRule type="expression" priority="1" dxfId="0" stopIfTrue="0">
      <formula>L64&gt;0.75</formula>
    </cfRule>
  </conditionalFormatting>
  <conditionalFormatting sqref="N8:N58">
    <cfRule type="expression" priority="2" dxfId="0" stopIfTrue="0">
      <formula>$O8=2</formula>
    </cfRule>
    <cfRule type="expression" priority="3" dxfId="2" stopIfTrue="0">
      <formula>$O8=1</formula>
    </cfRule>
    <cfRule type="expression" priority="4" dxfId="3" stopIfTrue="0">
      <formula>$O8=0</formula>
    </cfRule>
  </conditionalFormatting>
  <dataValidations count="1">
    <dataValidation sqref="D8:D57" showDropDown="0" showInputMessage="0" showErrorMessage="1" allowBlank="1" errorTitle="Renovation OS" error="Please pick a value from the dropdown list." type="list">
      <formula1>='Lists'!$B$2:$B$4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2E7D32"/>
    <outlinePr summaryBelow="1" summaryRight="1"/>
    <pageSetUpPr/>
  </sheetPr>
  <dimension ref="A1:V396"/>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7" customWidth="1" min="3" max="3"/>
    <col width="12" customWidth="1" min="4" max="4"/>
    <col width="17" customWidth="1" min="5" max="5"/>
    <col width="12" customWidth="1" min="6" max="6"/>
    <col width="17" customWidth="1" min="7" max="7"/>
    <col width="12" customWidth="1" min="8" max="8"/>
    <col width="17" customWidth="1" min="9" max="9"/>
    <col width="12" customWidth="1" min="10" max="10"/>
    <col width="3" customWidth="1" min="11" max="11"/>
    <col width="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s>
  <sheetData>
    <row r="1" ht="36" customHeight="1">
      <c r="B1" s="1" t="inlineStr">
        <is>
          <t>⚖️ Quotes</t>
        </is>
      </c>
    </row>
    <row r="2" ht="20" customHeight="1">
      <c r="B2" s="2" t="inlineStr">
        <is>
          <t>What this tab does: compares up to 4 contractors per trade side by side and reveals the TRUE cost once hidden extras are added.</t>
        </is>
      </c>
    </row>
    <row r="3">
      <c r="B3" s="3" t="inlineStr">
        <is>
          <t>© 2026 Hang Nguyen — Renovation OS. Licensed to the original purchaser for personal use only. Do not share, copy, resell or redistribute.</t>
        </is>
      </c>
    </row>
    <row r="4">
      <c r="B4" s="4" t="inlineStr">
        <is>
          <t>SCORING WEIGHTS (points, should total 100)</t>
        </is>
      </c>
      <c r="C4" s="5" t="n"/>
      <c r="D4" s="5" t="n"/>
      <c r="E4" s="5" t="n"/>
      <c r="F4" s="5" t="n"/>
      <c r="G4" s="5" t="n"/>
      <c r="H4" s="5" t="n"/>
    </row>
    <row r="5">
      <c r="C5" s="52" t="inlineStr">
        <is>
          <t>Price</t>
        </is>
      </c>
      <c r="D5" s="52" t="inlineStr">
        <is>
          <t>Timeline</t>
        </is>
      </c>
      <c r="E5" s="52" t="inlineStr">
        <is>
          <t>Warranty</t>
        </is>
      </c>
      <c r="F5" s="52" t="inlineStr">
        <is>
          <t>Checklist</t>
        </is>
      </c>
      <c r="G5" s="52" t="inlineStr">
        <is>
          <t>Gut &amp; refs</t>
        </is>
      </c>
      <c r="H5" s="52" t="inlineStr">
        <is>
          <t>Total</t>
        </is>
      </c>
    </row>
    <row r="6" ht="30" customHeight="1">
      <c r="B6" s="88" t="inlineStr">
        <is>
          <t>Cheapest TRUE cost, shortest timeline and longest warranty get full points; others get proportional points.</t>
        </is>
      </c>
      <c r="C6" s="89" t="n">
        <v>40</v>
      </c>
      <c r="D6" s="89" t="n">
        <v>20</v>
      </c>
      <c r="E6" s="89" t="n">
        <v>15</v>
      </c>
      <c r="F6" s="89" t="n">
        <v>15</v>
      </c>
      <c r="G6" s="89" t="n">
        <v>10</v>
      </c>
      <c r="H6" s="90">
        <f>SUM(C6:G6)</f>
        <v/>
      </c>
    </row>
    <row r="7">
      <c r="B7" s="8" t="inlineStr">
        <is>
          <t>Tip: type prices exactly as quoted. Yellow checklist cells: estimate what a missing item will cost you — it is added to the TRUE COST.</t>
        </is>
      </c>
    </row>
    <row r="8">
      <c r="M8" t="inlineStr">
        <is>
          <t>block cat</t>
        </is>
      </c>
      <c r="N8" t="inlineStr">
        <is>
          <t>best true</t>
        </is>
      </c>
      <c r="O8" t="inlineStr">
        <is>
          <t>1/best</t>
        </is>
      </c>
      <c r="P8" t="inlineStr">
        <is>
          <t>warn</t>
        </is>
      </c>
      <c r="T8" t="inlineStr">
        <is>
          <t>expiry due</t>
        </is>
      </c>
      <c r="U8" t="inlineStr">
        <is>
          <t>pri</t>
        </is>
      </c>
      <c r="V8" t="inlineStr">
        <is>
          <t>text</t>
        </is>
      </c>
    </row>
    <row r="9" ht="28" customHeight="1">
      <c r="B9" s="91" t="inlineStr">
        <is>
          <t>COMPARISON 1  ▸  trade:</t>
        </is>
      </c>
      <c r="C9" s="92" t="inlineStr">
        <is>
          <t>Kitchen</t>
        </is>
      </c>
      <c r="D9" s="91" t="n"/>
      <c r="E9" s="93">
        <f>IF(COUNT($C$43:$J$43)=0,"Enter up to 4 quotes below","🏆 Best overall: "&amp;INDEX($C$11:$J$11,MATCH(MAX($C$43:$J$43),$C$43:$J$43,0))&amp;"  —  true cost "&amp;CurSym&amp;" "&amp;FIXED(INDEX($C$35:$J$35,MATCH(MAX($C$43:$J$43),$C$43:$J$43,0)),0))</f>
        <v/>
      </c>
      <c r="F9" s="94" t="n"/>
      <c r="G9" s="94" t="n"/>
      <c r="H9" s="94" t="n"/>
      <c r="I9" s="94" t="n"/>
      <c r="J9" s="63" t="n"/>
      <c r="M9" s="46">
        <f>IF(C9="","",C9)</f>
        <v/>
      </c>
      <c r="N9" s="46">
        <f>IF(OR(M9="",COUNT($C35:$J35)=0),"",MIN($C35:$J35))</f>
        <v/>
      </c>
      <c r="O9" s="46">
        <f>IF(N9="",0,IF(N9&gt;0,1/N9,0))</f>
        <v/>
      </c>
      <c r="T9" s="84">
        <f>IF(OR(C11="",C19=""),"",IF(OR(IFERROR(INDEX('Budget'!$D$8:$D$57,MATCH($C$9,'Budget'!$B$8:$B$57,0)),"")="Contracted",IFERROR(INDEX('Budget'!$D$8:$D$57,MATCH($C$9,'Budget'!$B$8:$B$57,0)),"")="Complete"),"",IF(C19&lt;AsOf,"",C19)))</f>
        <v/>
      </c>
      <c r="U9" s="46">
        <f>IF(T9="","",IF(T9&lt;AsOf,1,IF(T9&lt;=AsOf+AlertDays,2,IF(T9&lt;=AsOf+2*AlertDays,3,""))))</f>
        <v/>
      </c>
      <c r="V9" s="46">
        <f>IF(U9="","","Quote expires: "&amp;C11&amp;IF($C$9="",""," ("&amp;$C$9&amp;")")&amp;" — decide or ask for an extension")</f>
        <v/>
      </c>
    </row>
    <row r="10">
      <c r="C10" s="95" t="inlineStr">
        <is>
          <t>Contractor 1</t>
        </is>
      </c>
      <c r="D10" s="63" t="n"/>
      <c r="E10" s="95" t="inlineStr">
        <is>
          <t>Contractor 2</t>
        </is>
      </c>
      <c r="F10" s="63" t="n"/>
      <c r="G10" s="95" t="inlineStr">
        <is>
          <t>Contractor 3</t>
        </is>
      </c>
      <c r="H10" s="63" t="n"/>
      <c r="I10" s="95" t="inlineStr">
        <is>
          <t>Contractor 4</t>
        </is>
      </c>
      <c r="J10" s="63" t="n"/>
      <c r="M10" s="46">
        <f>IF(C48="","",C48)</f>
        <v/>
      </c>
      <c r="N10" s="46">
        <f>IF(OR(M10="",COUNT($C74:$J74)=0),"",MIN($C74:$J74))</f>
        <v/>
      </c>
      <c r="O10" s="46">
        <f>IF(N10="",0,IF(N10&gt;0,1/N10,0))</f>
        <v/>
      </c>
      <c r="T10" s="84">
        <f>IF(OR(E11="",E19=""),"",IF(OR(IFERROR(INDEX('Budget'!$D$8:$D$57,MATCH($C$9,'Budget'!$B$8:$B$57,0)),"")="Contracted",IFERROR(INDEX('Budget'!$D$8:$D$57,MATCH($C$9,'Budget'!$B$8:$B$57,0)),"")="Complete"),"",IF(E19&lt;AsOf,"",E19)))</f>
        <v/>
      </c>
      <c r="U10" s="46">
        <f>IF(T10="","",IF(T10&lt;AsOf,1,IF(T10&lt;=AsOf+AlertDays,2,IF(T10&lt;=AsOf+2*AlertDays,3,""))))</f>
        <v/>
      </c>
      <c r="V10" s="46">
        <f>IF(U10="","","Quote expires: "&amp;E11&amp;IF($C$9="",""," ("&amp;$C$9&amp;")")&amp;" — decide or ask for an extension")</f>
        <v/>
      </c>
    </row>
    <row r="11">
      <c r="B11" s="6" t="inlineStr">
        <is>
          <t>Contractor / company</t>
        </is>
      </c>
      <c r="C11" s="74" t="inlineStr">
        <is>
          <t>BudgetKitchen Co</t>
        </is>
      </c>
      <c r="D11" s="96" t="n"/>
      <c r="E11" s="74" t="inlineStr">
        <is>
          <t>Nordic Kitchens</t>
        </is>
      </c>
      <c r="F11" s="96" t="n"/>
      <c r="G11" s="74" t="inlineStr">
        <is>
          <t>Kitchen World</t>
        </is>
      </c>
      <c r="H11" s="96" t="n"/>
      <c r="I11" s="74" t="n"/>
      <c r="J11" s="96" t="n"/>
      <c r="M11" s="46">
        <f>IF(C87="","",C87)</f>
        <v/>
      </c>
      <c r="N11" s="46">
        <f>IF(OR(M11="",COUNT($C113:$J113)=0),"",MIN($C113:$J113))</f>
        <v/>
      </c>
      <c r="O11" s="46">
        <f>IF(N11="",0,IF(N11&gt;0,1/N11,0))</f>
        <v/>
      </c>
      <c r="T11" s="84">
        <f>IF(OR(G11="",G19=""),"",IF(OR(IFERROR(INDEX('Budget'!$D$8:$D$57,MATCH($C$9,'Budget'!$B$8:$B$57,0)),"")="Contracted",IFERROR(INDEX('Budget'!$D$8:$D$57,MATCH($C$9,'Budget'!$B$8:$B$57,0)),"")="Complete"),"",IF(G19&lt;AsOf,"",G19)))</f>
        <v/>
      </c>
      <c r="U11" s="46">
        <f>IF(T11="","",IF(T11&lt;AsOf,1,IF(T11&lt;=AsOf+AlertDays,2,IF(T11&lt;=AsOf+2*AlertDays,3,""))))</f>
        <v/>
      </c>
      <c r="V11" s="46">
        <f>IF(U11="","","Quote expires: "&amp;G11&amp;IF($C$9="",""," ("&amp;$C$9&amp;")")&amp;" — decide or ask for an extension")</f>
        <v/>
      </c>
    </row>
    <row r="12">
      <c r="B12" s="97">
        <f>"Quoted price ("&amp;CurSym&amp;")"</f>
        <v/>
      </c>
      <c r="C12" s="98" t="n">
        <v>16900</v>
      </c>
      <c r="D12" s="96" t="n"/>
      <c r="E12" s="98" t="n">
        <v>19400</v>
      </c>
      <c r="F12" s="96" t="n"/>
      <c r="G12" s="98" t="n">
        <v>18200</v>
      </c>
      <c r="H12" s="96" t="n"/>
      <c r="I12" s="98" t="n"/>
      <c r="J12" s="96" t="n"/>
      <c r="M12" s="46">
        <f>IF(C126="","",C126)</f>
        <v/>
      </c>
      <c r="N12" s="46">
        <f>IF(OR(M12="",COUNT($C152:$J152)=0),"",MIN($C152:$J152))</f>
        <v/>
      </c>
      <c r="O12" s="46">
        <f>IF(N12="",0,IF(N12&gt;0,1/N12,0))</f>
        <v/>
      </c>
      <c r="T12" s="84">
        <f>IF(OR(I11="",I19=""),"",IF(OR(IFERROR(INDEX('Budget'!$D$8:$D$57,MATCH($C$9,'Budget'!$B$8:$B$57,0)),"")="Contracted",IFERROR(INDEX('Budget'!$D$8:$D$57,MATCH($C$9,'Budget'!$B$8:$B$57,0)),"")="Complete"),"",IF(I19&lt;AsOf,"",I19)))</f>
        <v/>
      </c>
      <c r="U12" s="46">
        <f>IF(T12="","",IF(T12&lt;AsOf,1,IF(T12&lt;=AsOf+AlertDays,2,IF(T12&lt;=AsOf+2*AlertDays,3,""))))</f>
        <v/>
      </c>
      <c r="V12" s="46">
        <f>IF(U12="","","Quote expires: "&amp;I11&amp;IF($C$9="",""," ("&amp;$C$9&amp;")")&amp;" — decide or ask for an extension")</f>
        <v/>
      </c>
    </row>
    <row r="13">
      <c r="B13" s="97">
        <f>"Price includes "&amp;TaxWord&amp;"?"</f>
        <v/>
      </c>
      <c r="C13" s="74" t="inlineStr">
        <is>
          <t>Yes</t>
        </is>
      </c>
      <c r="D13" s="96" t="n"/>
      <c r="E13" s="74" t="inlineStr">
        <is>
          <t>Yes</t>
        </is>
      </c>
      <c r="F13" s="96" t="n"/>
      <c r="G13" s="74" t="inlineStr">
        <is>
          <t>No</t>
        </is>
      </c>
      <c r="H13" s="96" t="n"/>
      <c r="I13" s="74">
        <f>DefInclTax</f>
        <v/>
      </c>
      <c r="J13" s="96" t="n"/>
      <c r="M13" s="46">
        <f>IF(C165="","",C165)</f>
        <v/>
      </c>
      <c r="N13" s="46">
        <f>IF(OR(M13="",COUNT($C191:$J191)=0),"",MIN($C191:$J191))</f>
        <v/>
      </c>
      <c r="O13" s="46">
        <f>IF(N13="",0,IF(N13&gt;0,1/N13,0))</f>
        <v/>
      </c>
      <c r="T13" s="84">
        <f>IF(OR(C50="",C58=""),"",IF(OR(IFERROR(INDEX('Budget'!$D$8:$D$57,MATCH($C$48,'Budget'!$B$8:$B$57,0)),"")="Contracted",IFERROR(INDEX('Budget'!$D$8:$D$57,MATCH($C$48,'Budget'!$B$8:$B$57,0)),"")="Complete"),"",IF(C58&lt;AsOf,"",C58)))</f>
        <v/>
      </c>
      <c r="U13" s="46">
        <f>IF(T13="","",IF(T13&lt;AsOf,1,IF(T13&lt;=AsOf+AlertDays,2,IF(T13&lt;=AsOf+2*AlertDays,3,""))))</f>
        <v/>
      </c>
      <c r="V13" s="46">
        <f>IF(U13="","","Quote expires: "&amp;C50&amp;IF($C$48="",""," ("&amp;$C$48&amp;")")&amp;" — decide or ask for an extension")</f>
        <v/>
      </c>
    </row>
    <row r="14">
      <c r="B14" s="97">
        <f>"Price incl. "&amp;TaxWord&amp;" ("&amp;CurSym&amp;")"</f>
        <v/>
      </c>
      <c r="C14" s="99">
        <f>IF(C12="","",IF(C13="No",C12*(1+VatRate),C12))</f>
        <v/>
      </c>
      <c r="D14" s="63" t="n"/>
      <c r="E14" s="99">
        <f>IF(E12="","",IF(E13="No",E12*(1+VatRate),E12))</f>
        <v/>
      </c>
      <c r="F14" s="63" t="n"/>
      <c r="G14" s="99">
        <f>IF(G12="","",IF(G13="No",G12*(1+VatRate),G12))</f>
        <v/>
      </c>
      <c r="H14" s="63" t="n"/>
      <c r="I14" s="99">
        <f>IF(I12="","",IF(I13="No",I12*(1+VatRate),I12))</f>
        <v/>
      </c>
      <c r="J14" s="63" t="n"/>
      <c r="M14" s="46">
        <f>IF(C204="","",C204)</f>
        <v/>
      </c>
      <c r="N14" s="46">
        <f>IF(OR(M14="",COUNT($C230:$J230)=0),"",MIN($C230:$J230))</f>
        <v/>
      </c>
      <c r="O14" s="46">
        <f>IF(N14="",0,IF(N14&gt;0,1/N14,0))</f>
        <v/>
      </c>
      <c r="T14" s="84">
        <f>IF(OR(E50="",E58=""),"",IF(OR(IFERROR(INDEX('Budget'!$D$8:$D$57,MATCH($C$48,'Budget'!$B$8:$B$57,0)),"")="Contracted",IFERROR(INDEX('Budget'!$D$8:$D$57,MATCH($C$48,'Budget'!$B$8:$B$57,0)),"")="Complete"),"",IF(E58&lt;AsOf,"",E58)))</f>
        <v/>
      </c>
      <c r="U14" s="46">
        <f>IF(T14="","",IF(T14&lt;AsOf,1,IF(T14&lt;=AsOf+AlertDays,2,IF(T14&lt;=AsOf+2*AlertDays,3,""))))</f>
        <v/>
      </c>
      <c r="V14" s="46">
        <f>IF(U14="","","Quote expires: "&amp;E50&amp;IF($C$48="",""," ("&amp;$C$48&amp;")")&amp;" — decide or ask for an extension")</f>
        <v/>
      </c>
    </row>
    <row r="15">
      <c r="B15" s="19" t="inlineStr">
        <is>
          <t>Timeline (weeks)</t>
        </is>
      </c>
      <c r="C15" s="100" t="n">
        <v>3</v>
      </c>
      <c r="D15" s="96" t="n"/>
      <c r="E15" s="100" t="n">
        <v>2</v>
      </c>
      <c r="F15" s="96" t="n"/>
      <c r="G15" s="100" t="n">
        <v>4</v>
      </c>
      <c r="H15" s="96" t="n"/>
      <c r="I15" s="100" t="n"/>
      <c r="J15" s="96" t="n"/>
      <c r="M15" s="46">
        <f>IF(C243="","",C243)</f>
        <v/>
      </c>
      <c r="N15" s="46">
        <f>IF(OR(M15="",COUNT($C269:$J269)=0),"",MIN($C269:$J269))</f>
        <v/>
      </c>
      <c r="O15" s="46">
        <f>IF(N15="",0,IF(N15&gt;0,1/N15,0))</f>
        <v/>
      </c>
      <c r="T15" s="84">
        <f>IF(OR(G50="",G58=""),"",IF(OR(IFERROR(INDEX('Budget'!$D$8:$D$57,MATCH($C$48,'Budget'!$B$8:$B$57,0)),"")="Contracted",IFERROR(INDEX('Budget'!$D$8:$D$57,MATCH($C$48,'Budget'!$B$8:$B$57,0)),"")="Complete"),"",IF(G58&lt;AsOf,"",G58)))</f>
        <v/>
      </c>
      <c r="U15" s="46">
        <f>IF(T15="","",IF(T15&lt;AsOf,1,IF(T15&lt;=AsOf+AlertDays,2,IF(T15&lt;=AsOf+2*AlertDays,3,""))))</f>
        <v/>
      </c>
      <c r="V15" s="46">
        <f>IF(U15="","","Quote expires: "&amp;G50&amp;IF($C$48="",""," ("&amp;$C$48&amp;")")&amp;" — decide or ask for an extension")</f>
        <v/>
      </c>
    </row>
    <row r="16">
      <c r="B16" s="19" t="inlineStr">
        <is>
          <t>Warranty (years)</t>
        </is>
      </c>
      <c r="C16" s="100" t="n">
        <v>2</v>
      </c>
      <c r="D16" s="96" t="n"/>
      <c r="E16" s="100" t="n">
        <v>5</v>
      </c>
      <c r="F16" s="96" t="n"/>
      <c r="G16" s="100" t="n">
        <v>3</v>
      </c>
      <c r="H16" s="96" t="n"/>
      <c r="I16" s="100" t="n"/>
      <c r="J16" s="96" t="n"/>
      <c r="M16" s="46">
        <f>IF(C282="","",C282)</f>
        <v/>
      </c>
      <c r="N16" s="46">
        <f>IF(OR(M16="",COUNT($C308:$J308)=0),"",MIN($C308:$J308))</f>
        <v/>
      </c>
      <c r="O16" s="46">
        <f>IF(N16="",0,IF(N16&gt;0,1/N16,0))</f>
        <v/>
      </c>
      <c r="T16" s="84">
        <f>IF(OR(I50="",I58=""),"",IF(OR(IFERROR(INDEX('Budget'!$D$8:$D$57,MATCH($C$48,'Budget'!$B$8:$B$57,0)),"")="Contracted",IFERROR(INDEX('Budget'!$D$8:$D$57,MATCH($C$48,'Budget'!$B$8:$B$57,0)),"")="Complete"),"",IF(I58&lt;AsOf,"",I58)))</f>
        <v/>
      </c>
      <c r="U16" s="46">
        <f>IF(T16="","",IF(T16&lt;AsOf,1,IF(T16&lt;=AsOf+AlertDays,2,IF(T16&lt;=AsOf+2*AlertDays,3,""))))</f>
        <v/>
      </c>
      <c r="V16" s="46">
        <f>IF(U16="","","Quote expires: "&amp;I50&amp;IF($C$48="",""," ("&amp;$C$48&amp;")")&amp;" — decide or ask for an extension")</f>
        <v/>
      </c>
    </row>
    <row r="17">
      <c r="B17" s="19" t="inlineStr">
        <is>
          <t>References checked?</t>
        </is>
      </c>
      <c r="C17" s="74" t="inlineStr">
        <is>
          <t>No</t>
        </is>
      </c>
      <c r="D17" s="96" t="n"/>
      <c r="E17" s="74" t="inlineStr">
        <is>
          <t>Yes</t>
        </is>
      </c>
      <c r="F17" s="96" t="n"/>
      <c r="G17" s="74" t="inlineStr">
        <is>
          <t>Yes</t>
        </is>
      </c>
      <c r="H17" s="96" t="n"/>
      <c r="I17" s="74" t="n"/>
      <c r="J17" s="96" t="n"/>
      <c r="M17" s="46">
        <f>IF(C321="","",C321)</f>
        <v/>
      </c>
      <c r="N17" s="46">
        <f>IF(OR(M17="",COUNT($C347:$J347)=0),"",MIN($C347:$J347))</f>
        <v/>
      </c>
      <c r="O17" s="46">
        <f>IF(N17="",0,IF(N17&gt;0,1/N17,0))</f>
        <v/>
      </c>
      <c r="T17" s="84">
        <f>IF(OR(C89="",C97=""),"",IF(OR(IFERROR(INDEX('Budget'!$D$8:$D$57,MATCH($C$87,'Budget'!$B$8:$B$57,0)),"")="Contracted",IFERROR(INDEX('Budget'!$D$8:$D$57,MATCH($C$87,'Budget'!$B$8:$B$57,0)),"")="Complete"),"",IF(C97&lt;AsOf,"",C97)))</f>
        <v/>
      </c>
      <c r="U17" s="46">
        <f>IF(T17="","",IF(T17&lt;AsOf,1,IF(T17&lt;=AsOf+AlertDays,2,IF(T17&lt;=AsOf+2*AlertDays,3,""))))</f>
        <v/>
      </c>
      <c r="V17" s="46">
        <f>IF(U17="","","Quote expires: "&amp;C89&amp;IF($C$87="",""," ("&amp;$C$87&amp;")")&amp;" — decide or ask for an extension")</f>
        <v/>
      </c>
    </row>
    <row r="18">
      <c r="B18" s="19" t="inlineStr">
        <is>
          <t>Gut feeling (1–5)</t>
        </is>
      </c>
      <c r="C18" s="89" t="n">
        <v>2</v>
      </c>
      <c r="D18" s="96" t="n"/>
      <c r="E18" s="89" t="n">
        <v>5</v>
      </c>
      <c r="F18" s="96" t="n"/>
      <c r="G18" s="89" t="n">
        <v>3</v>
      </c>
      <c r="H18" s="96" t="n"/>
      <c r="I18" s="89" t="n"/>
      <c r="J18" s="96" t="n"/>
      <c r="M18" s="46">
        <f>IF(C360="","",C360)</f>
        <v/>
      </c>
      <c r="N18" s="46">
        <f>IF(OR(M18="",COUNT($C386:$J386)=0),"",MIN($C386:$J386))</f>
        <v/>
      </c>
      <c r="O18" s="46">
        <f>IF(N18="",0,IF(N18&gt;0,1/N18,0))</f>
        <v/>
      </c>
      <c r="T18" s="84">
        <f>IF(OR(E89="",E97=""),"",IF(OR(IFERROR(INDEX('Budget'!$D$8:$D$57,MATCH($C$87,'Budget'!$B$8:$B$57,0)),"")="Contracted",IFERROR(INDEX('Budget'!$D$8:$D$57,MATCH($C$87,'Budget'!$B$8:$B$57,0)),"")="Complete"),"",IF(E97&lt;AsOf,"",E97)))</f>
        <v/>
      </c>
      <c r="U18" s="46">
        <f>IF(T18="","",IF(T18&lt;AsOf,1,IF(T18&lt;=AsOf+AlertDays,2,IF(T18&lt;=AsOf+2*AlertDays,3,""))))</f>
        <v/>
      </c>
      <c r="V18" s="46">
        <f>IF(U18="","","Quote expires: "&amp;E89&amp;IF($C$87="",""," ("&amp;$C$87&amp;")")&amp;" — decide or ask for an extension")</f>
        <v/>
      </c>
    </row>
    <row r="19">
      <c r="B19" s="19" t="inlineStr">
        <is>
          <t>Quote valid until</t>
        </is>
      </c>
      <c r="C19" s="101" t="n">
        <v>46157</v>
      </c>
      <c r="D19" s="96" t="n"/>
      <c r="E19" s="101" t="n">
        <v>46162</v>
      </c>
      <c r="F19" s="96" t="n"/>
      <c r="G19" s="101" t="n">
        <v>46172</v>
      </c>
      <c r="H19" s="96" t="n"/>
      <c r="I19" s="101" t="n"/>
      <c r="J19" s="96" t="n"/>
      <c r="T19" s="84">
        <f>IF(OR(G89="",G97=""),"",IF(OR(IFERROR(INDEX('Budget'!$D$8:$D$57,MATCH($C$87,'Budget'!$B$8:$B$57,0)),"")="Contracted",IFERROR(INDEX('Budget'!$D$8:$D$57,MATCH($C$87,'Budget'!$B$8:$B$57,0)),"")="Complete"),"",IF(G97&lt;AsOf,"",G97)))</f>
        <v/>
      </c>
      <c r="U19" s="46">
        <f>IF(T19="","",IF(T19&lt;AsOf,1,IF(T19&lt;=AsOf+AlertDays,2,IF(T19&lt;=AsOf+2*AlertDays,3,""))))</f>
        <v/>
      </c>
      <c r="V19" s="46">
        <f>IF(U19="","","Quote expires: "&amp;G89&amp;IF($C$87="",""," ("&amp;$C$87&amp;")")&amp;" — decide or ask for an extension")</f>
        <v/>
      </c>
    </row>
    <row r="20">
      <c r="B20" s="80" t="inlineStr">
        <is>
          <t>HIDDEN-COST CHECKLIST</t>
        </is>
      </c>
      <c r="C20" s="95" t="inlineStr">
        <is>
          <t>Included?</t>
        </is>
      </c>
      <c r="D20" s="82">
        <f>"Extra "&amp;CurSym</f>
        <v/>
      </c>
      <c r="E20" s="95" t="inlineStr">
        <is>
          <t>Included?</t>
        </is>
      </c>
      <c r="F20" s="82">
        <f>"Extra "&amp;CurSym</f>
        <v/>
      </c>
      <c r="G20" s="95" t="inlineStr">
        <is>
          <t>Included?</t>
        </is>
      </c>
      <c r="H20" s="82">
        <f>"Extra "&amp;CurSym</f>
        <v/>
      </c>
      <c r="I20" s="95" t="inlineStr">
        <is>
          <t>Included?</t>
        </is>
      </c>
      <c r="J20" s="82">
        <f>"Extra "&amp;CurSym</f>
        <v/>
      </c>
      <c r="T20" s="84">
        <f>IF(OR(I89="",I97=""),"",IF(OR(IFERROR(INDEX('Budget'!$D$8:$D$57,MATCH($C$87,'Budget'!$B$8:$B$57,0)),"")="Contracted",IFERROR(INDEX('Budget'!$D$8:$D$57,MATCH($C$87,'Budget'!$B$8:$B$57,0)),"")="Complete"),"",IF(I97&lt;AsOf,"",I97)))</f>
        <v/>
      </c>
      <c r="U20" s="46">
        <f>IF(T20="","",IF(T20&lt;AsOf,1,IF(T20&lt;=AsOf+AlertDays,2,IF(T20&lt;=AsOf+2*AlertDays,3,""))))</f>
        <v/>
      </c>
      <c r="V20" s="46">
        <f>IF(U20="","","Quote expires: "&amp;I89&amp;IF($C$87="",""," ("&amp;$C$87&amp;")")&amp;" — decide or ask for an extension")</f>
        <v/>
      </c>
    </row>
    <row r="21">
      <c r="B21" s="19" t="inlineStr">
        <is>
          <t>Demolition</t>
        </is>
      </c>
      <c r="C21" s="74" t="inlineStr">
        <is>
          <t>Not included</t>
        </is>
      </c>
      <c r="D21" s="73" t="n">
        <v>600</v>
      </c>
      <c r="E21" s="74" t="inlineStr">
        <is>
          <t>Included</t>
        </is>
      </c>
      <c r="F21" s="73" t="n"/>
      <c r="G21" s="74" t="inlineStr">
        <is>
          <t>Included</t>
        </is>
      </c>
      <c r="H21" s="73" t="n"/>
      <c r="I21" s="74" t="n"/>
      <c r="J21" s="73" t="n"/>
      <c r="T21" s="84">
        <f>IF(OR(C128="",C136=""),"",IF(OR(IFERROR(INDEX('Budget'!$D$8:$D$57,MATCH($C$126,'Budget'!$B$8:$B$57,0)),"")="Contracted",IFERROR(INDEX('Budget'!$D$8:$D$57,MATCH($C$126,'Budget'!$B$8:$B$57,0)),"")="Complete"),"",IF(C136&lt;AsOf,"",C136)))</f>
        <v/>
      </c>
      <c r="U21" s="46">
        <f>IF(T21="","",IF(T21&lt;AsOf,1,IF(T21&lt;=AsOf+AlertDays,2,IF(T21&lt;=AsOf+2*AlertDays,3,""))))</f>
        <v/>
      </c>
      <c r="V21" s="46">
        <f>IF(U21="","","Quote expires: "&amp;C128&amp;IF($C$126="",""," ("&amp;$C$126&amp;")")&amp;" — decide or ask for an extension")</f>
        <v/>
      </c>
    </row>
    <row r="22">
      <c r="B22" s="19" t="inlineStr">
        <is>
          <t>Waste disposal</t>
        </is>
      </c>
      <c r="C22" s="74" t="inlineStr">
        <is>
          <t>Not included</t>
        </is>
      </c>
      <c r="D22" s="73" t="n">
        <v>350</v>
      </c>
      <c r="E22" s="74" t="inlineStr">
        <is>
          <t>Included</t>
        </is>
      </c>
      <c r="F22" s="73" t="n"/>
      <c r="G22" s="74" t="inlineStr">
        <is>
          <t>Included</t>
        </is>
      </c>
      <c r="H22" s="73" t="n"/>
      <c r="I22" s="74" t="n"/>
      <c r="J22" s="73" t="n"/>
      <c r="T22" s="84">
        <f>IF(OR(E128="",E136=""),"",IF(OR(IFERROR(INDEX('Budget'!$D$8:$D$57,MATCH($C$126,'Budget'!$B$8:$B$57,0)),"")="Contracted",IFERROR(INDEX('Budget'!$D$8:$D$57,MATCH($C$126,'Budget'!$B$8:$B$57,0)),"")="Complete"),"",IF(E136&lt;AsOf,"",E136)))</f>
        <v/>
      </c>
      <c r="U22" s="46">
        <f>IF(T22="","",IF(T22&lt;AsOf,1,IF(T22&lt;=AsOf+AlertDays,2,IF(T22&lt;=AsOf+2*AlertDays,3,""))))</f>
        <v/>
      </c>
      <c r="V22" s="46">
        <f>IF(U22="","","Quote expires: "&amp;E128&amp;IF($C$126="",""," ("&amp;$C$126&amp;")")&amp;" — decide or ask for an extension")</f>
        <v/>
      </c>
    </row>
    <row r="23">
      <c r="B23" s="19" t="inlineStr">
        <is>
          <t>Delivery</t>
        </is>
      </c>
      <c r="C23" s="74" t="inlineStr">
        <is>
          <t>Not included</t>
        </is>
      </c>
      <c r="D23" s="73" t="n">
        <v>450</v>
      </c>
      <c r="E23" s="74" t="inlineStr">
        <is>
          <t>Included</t>
        </is>
      </c>
      <c r="F23" s="73" t="n"/>
      <c r="G23" s="74" t="inlineStr">
        <is>
          <t>Included</t>
        </is>
      </c>
      <c r="H23" s="73" t="n"/>
      <c r="I23" s="74" t="n"/>
      <c r="J23" s="73" t="n"/>
      <c r="T23" s="84">
        <f>IF(OR(G128="",G136=""),"",IF(OR(IFERROR(INDEX('Budget'!$D$8:$D$57,MATCH($C$126,'Budget'!$B$8:$B$57,0)),"")="Contracted",IFERROR(INDEX('Budget'!$D$8:$D$57,MATCH($C$126,'Budget'!$B$8:$B$57,0)),"")="Complete"),"",IF(G136&lt;AsOf,"",G136)))</f>
        <v/>
      </c>
      <c r="U23" s="46">
        <f>IF(T23="","",IF(T23&lt;AsOf,1,IF(T23&lt;=AsOf+AlertDays,2,IF(T23&lt;=AsOf+2*AlertDays,3,""))))</f>
        <v/>
      </c>
      <c r="V23" s="46">
        <f>IF(U23="","","Quote expires: "&amp;G128&amp;IF($C$126="",""," ("&amp;$C$126&amp;")")&amp;" — decide or ask for an extension")</f>
        <v/>
      </c>
    </row>
    <row r="24">
      <c r="B24" s="19" t="inlineStr">
        <is>
          <t>Permits</t>
        </is>
      </c>
      <c r="C24" s="74" t="inlineStr">
        <is>
          <t>Included</t>
        </is>
      </c>
      <c r="D24" s="73" t="n"/>
      <c r="E24" s="74" t="inlineStr">
        <is>
          <t>Included</t>
        </is>
      </c>
      <c r="F24" s="73" t="n"/>
      <c r="G24" s="74" t="inlineStr">
        <is>
          <t>Included</t>
        </is>
      </c>
      <c r="H24" s="73" t="n"/>
      <c r="I24" s="74" t="n"/>
      <c r="J24" s="73" t="n"/>
      <c r="T24" s="84">
        <f>IF(OR(I128="",I136=""),"",IF(OR(IFERROR(INDEX('Budget'!$D$8:$D$57,MATCH($C$126,'Budget'!$B$8:$B$57,0)),"")="Contracted",IFERROR(INDEX('Budget'!$D$8:$D$57,MATCH($C$126,'Budget'!$B$8:$B$57,0)),"")="Complete"),"",IF(I136&lt;AsOf,"",I136)))</f>
        <v/>
      </c>
      <c r="U24" s="46">
        <f>IF(T24="","",IF(T24&lt;AsOf,1,IF(T24&lt;=AsOf+AlertDays,2,IF(T24&lt;=AsOf+2*AlertDays,3,""))))</f>
        <v/>
      </c>
      <c r="V24" s="46">
        <f>IF(U24="","","Quote expires: "&amp;I128&amp;IF($C$126="",""," ("&amp;$C$126&amp;")")&amp;" — decide or ask for an extension")</f>
        <v/>
      </c>
    </row>
    <row r="25">
      <c r="B25" s="19" t="inlineStr">
        <is>
          <t>Materials specified</t>
        </is>
      </c>
      <c r="C25" s="74" t="inlineStr">
        <is>
          <t>Included</t>
        </is>
      </c>
      <c r="D25" s="73" t="n"/>
      <c r="E25" s="74" t="inlineStr">
        <is>
          <t>Included</t>
        </is>
      </c>
      <c r="F25" s="73" t="n"/>
      <c r="G25" s="74" t="inlineStr">
        <is>
          <t>Included</t>
        </is>
      </c>
      <c r="H25" s="73" t="n"/>
      <c r="I25" s="74" t="n"/>
      <c r="J25" s="73" t="n"/>
      <c r="T25" s="84">
        <f>IF(OR(C167="",C175=""),"",IF(OR(IFERROR(INDEX('Budget'!$D$8:$D$57,MATCH($C$165,'Budget'!$B$8:$B$57,0)),"")="Contracted",IFERROR(INDEX('Budget'!$D$8:$D$57,MATCH($C$165,'Budget'!$B$8:$B$57,0)),"")="Complete"),"",IF(C175&lt;AsOf,"",C175)))</f>
        <v/>
      </c>
      <c r="U25" s="46">
        <f>IF(T25="","",IF(T25&lt;AsOf,1,IF(T25&lt;=AsOf+AlertDays,2,IF(T25&lt;=AsOf+2*AlertDays,3,""))))</f>
        <v/>
      </c>
      <c r="V25" s="46">
        <f>IF(U25="","","Quote expires: "&amp;C167&amp;IF($C$165="",""," ("&amp;$C$165&amp;")")&amp;" — decide or ask for an extension")</f>
        <v/>
      </c>
    </row>
    <row r="26">
      <c r="B26" s="19" t="inlineStr">
        <is>
          <t>Labor specified</t>
        </is>
      </c>
      <c r="C26" s="74" t="inlineStr">
        <is>
          <t>Included</t>
        </is>
      </c>
      <c r="D26" s="73" t="n"/>
      <c r="E26" s="74" t="inlineStr">
        <is>
          <t>Included</t>
        </is>
      </c>
      <c r="F26" s="73" t="n"/>
      <c r="G26" s="74" t="inlineStr">
        <is>
          <t>Included</t>
        </is>
      </c>
      <c r="H26" s="73" t="n"/>
      <c r="I26" s="74" t="n"/>
      <c r="J26" s="73" t="n"/>
      <c r="T26" s="84">
        <f>IF(OR(E167="",E175=""),"",IF(OR(IFERROR(INDEX('Budget'!$D$8:$D$57,MATCH($C$165,'Budget'!$B$8:$B$57,0)),"")="Contracted",IFERROR(INDEX('Budget'!$D$8:$D$57,MATCH($C$165,'Budget'!$B$8:$B$57,0)),"")="Complete"),"",IF(E175&lt;AsOf,"",E175)))</f>
        <v/>
      </c>
      <c r="U26" s="46">
        <f>IF(T26="","",IF(T26&lt;AsOf,1,IF(T26&lt;=AsOf+AlertDays,2,IF(T26&lt;=AsOf+2*AlertDays,3,""))))</f>
        <v/>
      </c>
      <c r="V26" s="46">
        <f>IF(U26="","","Quote expires: "&amp;E167&amp;IF($C$165="",""," ("&amp;$C$165&amp;")")&amp;" — decide or ask for an extension")</f>
        <v/>
      </c>
    </row>
    <row r="27">
      <c r="B27" s="19" t="inlineStr">
        <is>
          <t>Finishing</t>
        </is>
      </c>
      <c r="C27" s="74" t="inlineStr">
        <is>
          <t>Unclear</t>
        </is>
      </c>
      <c r="D27" s="73" t="n">
        <v>800</v>
      </c>
      <c r="E27" s="74" t="inlineStr">
        <is>
          <t>Included</t>
        </is>
      </c>
      <c r="F27" s="73" t="n"/>
      <c r="G27" s="74" t="inlineStr">
        <is>
          <t>Included</t>
        </is>
      </c>
      <c r="H27" s="73" t="n"/>
      <c r="I27" s="74" t="n"/>
      <c r="J27" s="73" t="n"/>
      <c r="T27" s="84">
        <f>IF(OR(G167="",G175=""),"",IF(OR(IFERROR(INDEX('Budget'!$D$8:$D$57,MATCH($C$165,'Budget'!$B$8:$B$57,0)),"")="Contracted",IFERROR(INDEX('Budget'!$D$8:$D$57,MATCH($C$165,'Budget'!$B$8:$B$57,0)),"")="Complete"),"",IF(G175&lt;AsOf,"",G175)))</f>
        <v/>
      </c>
      <c r="U27" s="46">
        <f>IF(T27="","",IF(T27&lt;AsOf,1,IF(T27&lt;=AsOf+AlertDays,2,IF(T27&lt;=AsOf+2*AlertDays,3,""))))</f>
        <v/>
      </c>
      <c r="V27" s="46">
        <f>IF(U27="","","Quote expires: "&amp;G167&amp;IF($C$165="",""," ("&amp;$C$165&amp;")")&amp;" — decide or ask for an extension")</f>
        <v/>
      </c>
    </row>
    <row r="28">
      <c r="B28" s="19" t="inlineStr">
        <is>
          <t>Cleanup</t>
        </is>
      </c>
      <c r="C28" s="74" t="inlineStr">
        <is>
          <t>Not included</t>
        </is>
      </c>
      <c r="D28" s="73" t="n">
        <v>200</v>
      </c>
      <c r="E28" s="74" t="inlineStr">
        <is>
          <t>Included</t>
        </is>
      </c>
      <c r="F28" s="73" t="n"/>
      <c r="G28" s="74" t="inlineStr">
        <is>
          <t>Unclear</t>
        </is>
      </c>
      <c r="H28" s="73" t="n">
        <v>150</v>
      </c>
      <c r="I28" s="74" t="n"/>
      <c r="J28" s="73" t="n"/>
      <c r="T28" s="84">
        <f>IF(OR(I167="",I175=""),"",IF(OR(IFERROR(INDEX('Budget'!$D$8:$D$57,MATCH($C$165,'Budget'!$B$8:$B$57,0)),"")="Contracted",IFERROR(INDEX('Budget'!$D$8:$D$57,MATCH($C$165,'Budget'!$B$8:$B$57,0)),"")="Complete"),"",IF(I175&lt;AsOf,"",I175)))</f>
        <v/>
      </c>
      <c r="U28" s="46">
        <f>IF(T28="","",IF(T28&lt;AsOf,1,IF(T28&lt;=AsOf+AlertDays,2,IF(T28&lt;=AsOf+2*AlertDays,3,""))))</f>
        <v/>
      </c>
      <c r="V28" s="46">
        <f>IF(U28="","","Quote expires: "&amp;I167&amp;IF($C$165="",""," ("&amp;$C$165&amp;")")&amp;" — decide or ask for an extension")</f>
        <v/>
      </c>
    </row>
    <row r="29">
      <c r="B29" s="97">
        <f>TaxWord&amp;" shown in price"</f>
        <v/>
      </c>
      <c r="C29" s="74" t="inlineStr">
        <is>
          <t>Included</t>
        </is>
      </c>
      <c r="D29" s="73" t="n"/>
      <c r="E29" s="74" t="inlineStr">
        <is>
          <t>Included</t>
        </is>
      </c>
      <c r="F29" s="73" t="n"/>
      <c r="G29" s="74" t="inlineStr">
        <is>
          <t>Included</t>
        </is>
      </c>
      <c r="H29" s="73" t="n"/>
      <c r="I29" s="74" t="n"/>
      <c r="J29" s="73" t="n"/>
      <c r="T29" s="84">
        <f>IF(OR(C206="",C214=""),"",IF(OR(IFERROR(INDEX('Budget'!$D$8:$D$57,MATCH($C$204,'Budget'!$B$8:$B$57,0)),"")="Contracted",IFERROR(INDEX('Budget'!$D$8:$D$57,MATCH($C$204,'Budget'!$B$8:$B$57,0)),"")="Complete"),"",IF(C214&lt;AsOf,"",C214)))</f>
        <v/>
      </c>
      <c r="U29" s="46">
        <f>IF(T29="","",IF(T29&lt;AsOf,1,IF(T29&lt;=AsOf+AlertDays,2,IF(T29&lt;=AsOf+2*AlertDays,3,""))))</f>
        <v/>
      </c>
      <c r="V29" s="46">
        <f>IF(U29="","","Quote expires: "&amp;C206&amp;IF($C$204="",""," ("&amp;$C$204&amp;")")&amp;" — decide or ask for an extension")</f>
        <v/>
      </c>
    </row>
    <row r="30">
      <c r="B30" s="19" t="inlineStr">
        <is>
          <t>Electrical upgrades</t>
        </is>
      </c>
      <c r="C30" s="74" t="inlineStr">
        <is>
          <t>Not included</t>
        </is>
      </c>
      <c r="D30" s="73" t="n">
        <v>900</v>
      </c>
      <c r="E30" s="74" t="inlineStr">
        <is>
          <t>Included</t>
        </is>
      </c>
      <c r="F30" s="73" t="n"/>
      <c r="G30" s="74" t="inlineStr">
        <is>
          <t>Unclear</t>
        </is>
      </c>
      <c r="H30" s="73" t="n">
        <v>400</v>
      </c>
      <c r="I30" s="74" t="n"/>
      <c r="J30" s="73" t="n"/>
      <c r="T30" s="84">
        <f>IF(OR(E206="",E214=""),"",IF(OR(IFERROR(INDEX('Budget'!$D$8:$D$57,MATCH($C$204,'Budget'!$B$8:$B$57,0)),"")="Contracted",IFERROR(INDEX('Budget'!$D$8:$D$57,MATCH($C$204,'Budget'!$B$8:$B$57,0)),"")="Complete"),"",IF(E214&lt;AsOf,"",E214)))</f>
        <v/>
      </c>
      <c r="U30" s="46">
        <f>IF(T30="","",IF(T30&lt;AsOf,1,IF(T30&lt;=AsOf+AlertDays,2,IF(T30&lt;=AsOf+2*AlertDays,3,""))))</f>
        <v/>
      </c>
      <c r="V30" s="46">
        <f>IF(U30="","","Quote expires: "&amp;E206&amp;IF($C$204="",""," ("&amp;$C$204&amp;")")&amp;" — decide or ask for an extension")</f>
        <v/>
      </c>
    </row>
    <row r="31">
      <c r="B31" s="19" t="inlineStr">
        <is>
          <t>Plumbing modifications</t>
        </is>
      </c>
      <c r="C31" s="74" t="inlineStr">
        <is>
          <t>Not included</t>
        </is>
      </c>
      <c r="D31" s="73" t="n">
        <v>700</v>
      </c>
      <c r="E31" s="74" t="inlineStr">
        <is>
          <t>Included</t>
        </is>
      </c>
      <c r="F31" s="73" t="n"/>
      <c r="G31" s="74" t="inlineStr">
        <is>
          <t>Included</t>
        </is>
      </c>
      <c r="H31" s="73" t="n"/>
      <c r="I31" s="74" t="n"/>
      <c r="J31" s="73" t="n"/>
      <c r="T31" s="84">
        <f>IF(OR(G206="",G214=""),"",IF(OR(IFERROR(INDEX('Budget'!$D$8:$D$57,MATCH($C$204,'Budget'!$B$8:$B$57,0)),"")="Contracted",IFERROR(INDEX('Budget'!$D$8:$D$57,MATCH($C$204,'Budget'!$B$8:$B$57,0)),"")="Complete"),"",IF(G214&lt;AsOf,"",G214)))</f>
        <v/>
      </c>
      <c r="U31" s="46">
        <f>IF(T31="","",IF(T31&lt;AsOf,1,IF(T31&lt;=AsOf+AlertDays,2,IF(T31&lt;=AsOf+2*AlertDays,3,""))))</f>
        <v/>
      </c>
      <c r="V31" s="46">
        <f>IF(U31="","","Quote expires: "&amp;G206&amp;IF($C$204="",""," ("&amp;$C$204&amp;")")&amp;" — decide or ask for an extension")</f>
        <v/>
      </c>
    </row>
    <row r="32">
      <c r="B32" s="19" t="inlineStr">
        <is>
          <t>Payment schedule defined</t>
        </is>
      </c>
      <c r="C32" s="74" t="inlineStr">
        <is>
          <t>Unclear</t>
        </is>
      </c>
      <c r="D32" s="73" t="n">
        <v>0</v>
      </c>
      <c r="E32" s="74" t="inlineStr">
        <is>
          <t>Included</t>
        </is>
      </c>
      <c r="F32" s="73" t="n"/>
      <c r="G32" s="74" t="inlineStr">
        <is>
          <t>Included</t>
        </is>
      </c>
      <c r="H32" s="73" t="n"/>
      <c r="I32" s="74" t="n"/>
      <c r="J32" s="73" t="n"/>
      <c r="T32" s="84">
        <f>IF(OR(I206="",I214=""),"",IF(OR(IFERROR(INDEX('Budget'!$D$8:$D$57,MATCH($C$204,'Budget'!$B$8:$B$57,0)),"")="Contracted",IFERROR(INDEX('Budget'!$D$8:$D$57,MATCH($C$204,'Budget'!$B$8:$B$57,0)),"")="Complete"),"",IF(I214&lt;AsOf,"",I214)))</f>
        <v/>
      </c>
      <c r="U32" s="46">
        <f>IF(T32="","",IF(T32&lt;AsOf,1,IF(T32&lt;=AsOf+AlertDays,2,IF(T32&lt;=AsOf+2*AlertDays,3,""))))</f>
        <v/>
      </c>
      <c r="V32" s="46">
        <f>IF(U32="","","Quote expires: "&amp;I206&amp;IF($C$204="",""," ("&amp;$C$204&amp;")")&amp;" — decide or ask for an extension")</f>
        <v/>
      </c>
    </row>
    <row r="33">
      <c r="B33" s="19" t="inlineStr">
        <is>
          <t>Warranty in writing</t>
        </is>
      </c>
      <c r="C33" s="74" t="inlineStr">
        <is>
          <t>Included</t>
        </is>
      </c>
      <c r="D33" s="73" t="n"/>
      <c r="E33" s="74" t="inlineStr">
        <is>
          <t>Included</t>
        </is>
      </c>
      <c r="F33" s="73" t="n"/>
      <c r="G33" s="74" t="inlineStr">
        <is>
          <t>Included</t>
        </is>
      </c>
      <c r="H33" s="73" t="n"/>
      <c r="I33" s="74" t="n"/>
      <c r="J33" s="73" t="n"/>
      <c r="T33" s="84">
        <f>IF(OR(C245="",C253=""),"",IF(OR(IFERROR(INDEX('Budget'!$D$8:$D$57,MATCH($C$243,'Budget'!$B$8:$B$57,0)),"")="Contracted",IFERROR(INDEX('Budget'!$D$8:$D$57,MATCH($C$243,'Budget'!$B$8:$B$57,0)),"")="Complete"),"",IF(C253&lt;AsOf,"",C253)))</f>
        <v/>
      </c>
      <c r="U33" s="46">
        <f>IF(T33="","",IF(T33&lt;AsOf,1,IF(T33&lt;=AsOf+AlertDays,2,IF(T33&lt;=AsOf+2*AlertDays,3,""))))</f>
        <v/>
      </c>
      <c r="V33" s="46">
        <f>IF(U33="","","Quote expires: "&amp;C245&amp;IF($C$243="",""," ("&amp;$C$243&amp;")")&amp;" — decide or ask for an extension")</f>
        <v/>
      </c>
    </row>
    <row r="34">
      <c r="B34" s="97">
        <f>"Hidden extras ("&amp;CurSym&amp;")"</f>
        <v/>
      </c>
      <c r="C34" s="99">
        <f>IF(C11="","",SUMPRODUCT((C21:C33&lt;&gt;"Included")*D21:D33))</f>
        <v/>
      </c>
      <c r="D34" s="63" t="n"/>
      <c r="E34" s="99">
        <f>IF(E11="","",SUMPRODUCT((E21:E33&lt;&gt;"Included")*F21:F33))</f>
        <v/>
      </c>
      <c r="F34" s="63" t="n"/>
      <c r="G34" s="99">
        <f>IF(G11="","",SUMPRODUCT((G21:G33&lt;&gt;"Included")*H21:H33))</f>
        <v/>
      </c>
      <c r="H34" s="63" t="n"/>
      <c r="I34" s="99">
        <f>IF(I11="","",SUMPRODUCT((I21:I33&lt;&gt;"Included")*J21:J33))</f>
        <v/>
      </c>
      <c r="J34" s="63" t="n"/>
      <c r="T34" s="84">
        <f>IF(OR(E245="",E253=""),"",IF(OR(IFERROR(INDEX('Budget'!$D$8:$D$57,MATCH($C$243,'Budget'!$B$8:$B$57,0)),"")="Contracted",IFERROR(INDEX('Budget'!$D$8:$D$57,MATCH($C$243,'Budget'!$B$8:$B$57,0)),"")="Complete"),"",IF(E253&lt;AsOf,"",E253)))</f>
        <v/>
      </c>
      <c r="U34" s="46">
        <f>IF(T34="","",IF(T34&lt;AsOf,1,IF(T34&lt;=AsOf+AlertDays,2,IF(T34&lt;=AsOf+2*AlertDays,3,""))))</f>
        <v/>
      </c>
      <c r="V34" s="46">
        <f>IF(U34="","","Quote expires: "&amp;E245&amp;IF($C$243="",""," ("&amp;$C$243&amp;")")&amp;" — decide or ask for an extension")</f>
        <v/>
      </c>
    </row>
    <row r="35">
      <c r="B35" s="13">
        <f>"TRUE COST ("&amp;CurSym&amp;")"</f>
        <v/>
      </c>
      <c r="C35" s="102">
        <f>IF(OR(C11="",C14=""),"",C14+C34)</f>
        <v/>
      </c>
      <c r="D35" s="63" t="n"/>
      <c r="E35" s="102">
        <f>IF(OR(E11="",E14=""),"",E14+E34)</f>
        <v/>
      </c>
      <c r="F35" s="63" t="n"/>
      <c r="G35" s="102">
        <f>IF(OR(G11="",G14=""),"",G14+G34)</f>
        <v/>
      </c>
      <c r="H35" s="63" t="n"/>
      <c r="I35" s="102">
        <f>IF(OR(I11="",I14=""),"",I14+I34)</f>
        <v/>
      </c>
      <c r="J35" s="63" t="n"/>
      <c r="T35" s="84">
        <f>IF(OR(G245="",G253=""),"",IF(OR(IFERROR(INDEX('Budget'!$D$8:$D$57,MATCH($C$243,'Budget'!$B$8:$B$57,0)),"")="Contracted",IFERROR(INDEX('Budget'!$D$8:$D$57,MATCH($C$243,'Budget'!$B$8:$B$57,0)),"")="Complete"),"",IF(G253&lt;AsOf,"",G253)))</f>
        <v/>
      </c>
      <c r="U35" s="46">
        <f>IF(T35="","",IF(T35&lt;AsOf,1,IF(T35&lt;=AsOf+AlertDays,2,IF(T35&lt;=AsOf+2*AlertDays,3,""))))</f>
        <v/>
      </c>
      <c r="V35" s="46">
        <f>IF(U35="","","Quote expires: "&amp;G245&amp;IF($C$243="",""," ("&amp;$C$243&amp;")")&amp;" — decide or ask for an extension")</f>
        <v/>
      </c>
    </row>
    <row r="36">
      <c r="B36" s="19" t="inlineStr">
        <is>
          <t>Completeness</t>
        </is>
      </c>
      <c r="C36" s="103">
        <f>IF(C11="","",COUNTIF(C21:C33,"Included")/13)</f>
        <v/>
      </c>
      <c r="D36" s="63" t="n"/>
      <c r="E36" s="103">
        <f>IF(E11="","",COUNTIF(E21:E33,"Included")/13)</f>
        <v/>
      </c>
      <c r="F36" s="63" t="n"/>
      <c r="G36" s="103">
        <f>IF(G11="","",COUNTIF(G21:G33,"Included")/13)</f>
        <v/>
      </c>
      <c r="H36" s="63" t="n"/>
      <c r="I36" s="103">
        <f>IF(I11="","",COUNTIF(I21:I33,"Included")/13)</f>
        <v/>
      </c>
      <c r="J36" s="63" t="n"/>
      <c r="T36" s="84">
        <f>IF(OR(I245="",I253=""),"",IF(OR(IFERROR(INDEX('Budget'!$D$8:$D$57,MATCH($C$243,'Budget'!$B$8:$B$57,0)),"")="Contracted",IFERROR(INDEX('Budget'!$D$8:$D$57,MATCH($C$243,'Budget'!$B$8:$B$57,0)),"")="Complete"),"",IF(I253&lt;AsOf,"",I253)))</f>
        <v/>
      </c>
      <c r="U36" s="46">
        <f>IF(T36="","",IF(T36&lt;AsOf,1,IF(T36&lt;=AsOf+AlertDays,2,IF(T36&lt;=AsOf+2*AlertDays,3,""))))</f>
        <v/>
      </c>
      <c r="V36" s="46">
        <f>IF(U36="","","Quote expires: "&amp;I245&amp;IF($C$243="",""," ("&amp;$C$243&amp;")")&amp;" — decide or ask for an extension")</f>
        <v/>
      </c>
    </row>
    <row r="37">
      <c r="B37" s="80" t="inlineStr">
        <is>
          <t>SCORE</t>
        </is>
      </c>
      <c r="T37" s="84">
        <f>IF(OR(C284="",C292=""),"",IF(OR(IFERROR(INDEX('Budget'!$D$8:$D$57,MATCH($C$282,'Budget'!$B$8:$B$57,0)),"")="Contracted",IFERROR(INDEX('Budget'!$D$8:$D$57,MATCH($C$282,'Budget'!$B$8:$B$57,0)),"")="Complete"),"",IF(C292&lt;AsOf,"",C292)))</f>
        <v/>
      </c>
      <c r="U37" s="46">
        <f>IF(T37="","",IF(T37&lt;AsOf,1,IF(T37&lt;=AsOf+AlertDays,2,IF(T37&lt;=AsOf+2*AlertDays,3,""))))</f>
        <v/>
      </c>
      <c r="V37" s="46">
        <f>IF(U37="","","Quote expires: "&amp;C284&amp;IF($C$282="",""," ("&amp;$C$282&amp;")")&amp;" — decide or ask for an extension")</f>
        <v/>
      </c>
    </row>
    <row r="38">
      <c r="B38" s="19" t="inlineStr">
        <is>
          <t>Price points</t>
        </is>
      </c>
      <c r="C38" s="104">
        <f>IF(C35="","",IF(C35&gt;0,MIN($C35:$J35)/C35,0)*WPrice)</f>
        <v/>
      </c>
      <c r="D38" s="63" t="n"/>
      <c r="E38" s="104">
        <f>IF(E35="","",IF(E35&gt;0,MIN($C35:$J35)/E35,0)*WPrice)</f>
        <v/>
      </c>
      <c r="F38" s="63" t="n"/>
      <c r="G38" s="104">
        <f>IF(G35="","",IF(G35&gt;0,MIN($C35:$J35)/G35,0)*WPrice)</f>
        <v/>
      </c>
      <c r="H38" s="63" t="n"/>
      <c r="I38" s="104">
        <f>IF(I35="","",IF(I35&gt;0,MIN($C35:$J35)/I35,0)*WPrice)</f>
        <v/>
      </c>
      <c r="J38" s="63" t="n"/>
      <c r="T38" s="84">
        <f>IF(OR(E284="",E292=""),"",IF(OR(IFERROR(INDEX('Budget'!$D$8:$D$57,MATCH($C$282,'Budget'!$B$8:$B$57,0)),"")="Contracted",IFERROR(INDEX('Budget'!$D$8:$D$57,MATCH($C$282,'Budget'!$B$8:$B$57,0)),"")="Complete"),"",IF(E292&lt;AsOf,"",E292)))</f>
        <v/>
      </c>
      <c r="U38" s="46">
        <f>IF(T38="","",IF(T38&lt;AsOf,1,IF(T38&lt;=AsOf+AlertDays,2,IF(T38&lt;=AsOf+2*AlertDays,3,""))))</f>
        <v/>
      </c>
      <c r="V38" s="46">
        <f>IF(U38="","","Quote expires: "&amp;E284&amp;IF($C$282="",""," ("&amp;$C$282&amp;")")&amp;" — decide or ask for an extension")</f>
        <v/>
      </c>
    </row>
    <row r="39">
      <c r="B39" s="19" t="inlineStr">
        <is>
          <t>Timeline points</t>
        </is>
      </c>
      <c r="C39" s="104">
        <f>IF(C35="","",IF(C15&gt;0,MIN($C15:$J15)/C15,0)*WTime)</f>
        <v/>
      </c>
      <c r="D39" s="63" t="n"/>
      <c r="E39" s="104">
        <f>IF(E35="","",IF(E15&gt;0,MIN($C15:$J15)/E15,0)*WTime)</f>
        <v/>
      </c>
      <c r="F39" s="63" t="n"/>
      <c r="G39" s="104">
        <f>IF(G35="","",IF(G15&gt;0,MIN($C15:$J15)/G15,0)*WTime)</f>
        <v/>
      </c>
      <c r="H39" s="63" t="n"/>
      <c r="I39" s="104">
        <f>IF(I35="","",IF(I15&gt;0,MIN($C15:$J15)/I15,0)*WTime)</f>
        <v/>
      </c>
      <c r="J39" s="63" t="n"/>
      <c r="T39" s="84">
        <f>IF(OR(G284="",G292=""),"",IF(OR(IFERROR(INDEX('Budget'!$D$8:$D$57,MATCH($C$282,'Budget'!$B$8:$B$57,0)),"")="Contracted",IFERROR(INDEX('Budget'!$D$8:$D$57,MATCH($C$282,'Budget'!$B$8:$B$57,0)),"")="Complete"),"",IF(G292&lt;AsOf,"",G292)))</f>
        <v/>
      </c>
      <c r="U39" s="46">
        <f>IF(T39="","",IF(T39&lt;AsOf,1,IF(T39&lt;=AsOf+AlertDays,2,IF(T39&lt;=AsOf+2*AlertDays,3,""))))</f>
        <v/>
      </c>
      <c r="V39" s="46">
        <f>IF(U39="","","Quote expires: "&amp;G284&amp;IF($C$282="",""," ("&amp;$C$282&amp;")")&amp;" — decide or ask for an extension")</f>
        <v/>
      </c>
    </row>
    <row r="40">
      <c r="B40" s="19" t="inlineStr">
        <is>
          <t>Warranty points</t>
        </is>
      </c>
      <c r="C40" s="104">
        <f>IF(C35="","",IF(MAX($C16:$J16)&gt;0,C16/MAX($C16:$J16),0)*WWar)</f>
        <v/>
      </c>
      <c r="D40" s="63" t="n"/>
      <c r="E40" s="104">
        <f>IF(E35="","",IF(MAX($C16:$J16)&gt;0,E16/MAX($C16:$J16),0)*WWar)</f>
        <v/>
      </c>
      <c r="F40" s="63" t="n"/>
      <c r="G40" s="104">
        <f>IF(G35="","",IF(MAX($C16:$J16)&gt;0,G16/MAX($C16:$J16),0)*WWar)</f>
        <v/>
      </c>
      <c r="H40" s="63" t="n"/>
      <c r="I40" s="104">
        <f>IF(I35="","",IF(MAX($C16:$J16)&gt;0,I16/MAX($C16:$J16),0)*WWar)</f>
        <v/>
      </c>
      <c r="J40" s="63" t="n"/>
      <c r="T40" s="84">
        <f>IF(OR(I284="",I292=""),"",IF(OR(IFERROR(INDEX('Budget'!$D$8:$D$57,MATCH($C$282,'Budget'!$B$8:$B$57,0)),"")="Contracted",IFERROR(INDEX('Budget'!$D$8:$D$57,MATCH($C$282,'Budget'!$B$8:$B$57,0)),"")="Complete"),"",IF(I292&lt;AsOf,"",I292)))</f>
        <v/>
      </c>
      <c r="U40" s="46">
        <f>IF(T40="","",IF(T40&lt;AsOf,1,IF(T40&lt;=AsOf+AlertDays,2,IF(T40&lt;=AsOf+2*AlertDays,3,""))))</f>
        <v/>
      </c>
      <c r="V40" s="46">
        <f>IF(U40="","","Quote expires: "&amp;I284&amp;IF($C$282="",""," ("&amp;$C$282&amp;")")&amp;" — decide or ask for an extension")</f>
        <v/>
      </c>
    </row>
    <row r="41">
      <c r="B41" s="19" t="inlineStr">
        <is>
          <t>Completeness points</t>
        </is>
      </c>
      <c r="C41" s="104">
        <f>IF(C35="","",C36*WComp)</f>
        <v/>
      </c>
      <c r="D41" s="63" t="n"/>
      <c r="E41" s="104">
        <f>IF(E35="","",E36*WComp)</f>
        <v/>
      </c>
      <c r="F41" s="63" t="n"/>
      <c r="G41" s="104">
        <f>IF(G35="","",G36*WComp)</f>
        <v/>
      </c>
      <c r="H41" s="63" t="n"/>
      <c r="I41" s="104">
        <f>IF(I35="","",I36*WComp)</f>
        <v/>
      </c>
      <c r="J41" s="63" t="n"/>
      <c r="T41" s="84">
        <f>IF(OR(C323="",C331=""),"",IF(OR(IFERROR(INDEX('Budget'!$D$8:$D$57,MATCH($C$321,'Budget'!$B$8:$B$57,0)),"")="Contracted",IFERROR(INDEX('Budget'!$D$8:$D$57,MATCH($C$321,'Budget'!$B$8:$B$57,0)),"")="Complete"),"",IF(C331&lt;AsOf,"",C331)))</f>
        <v/>
      </c>
      <c r="U41" s="46">
        <f>IF(T41="","",IF(T41&lt;AsOf,1,IF(T41&lt;=AsOf+AlertDays,2,IF(T41&lt;=AsOf+2*AlertDays,3,""))))</f>
        <v/>
      </c>
      <c r="V41" s="46">
        <f>IF(U41="","","Quote expires: "&amp;C323&amp;IF($C$321="",""," ("&amp;$C$321&amp;")")&amp;" — decide or ask for an extension")</f>
        <v/>
      </c>
    </row>
    <row r="42">
      <c r="B42" s="19" t="inlineStr">
        <is>
          <t>Gut &amp; references points</t>
        </is>
      </c>
      <c r="C42" s="104">
        <f>IF(C35="","",(IF(C18="",0,C18/5)*0.7+IF(C17="Yes",0.3,0))*WGut)</f>
        <v/>
      </c>
      <c r="D42" s="63" t="n"/>
      <c r="E42" s="104">
        <f>IF(E35="","",(IF(E18="",0,E18/5)*0.7+IF(E17="Yes",0.3,0))*WGut)</f>
        <v/>
      </c>
      <c r="F42" s="63" t="n"/>
      <c r="G42" s="104">
        <f>IF(G35="","",(IF(G18="",0,G18/5)*0.7+IF(G17="Yes",0.3,0))*WGut)</f>
        <v/>
      </c>
      <c r="H42" s="63" t="n"/>
      <c r="I42" s="104">
        <f>IF(I35="","",(IF(I18="",0,I18/5)*0.7+IF(I17="Yes",0.3,0))*WGut)</f>
        <v/>
      </c>
      <c r="J42" s="63" t="n"/>
      <c r="T42" s="84">
        <f>IF(OR(E323="",E331=""),"",IF(OR(IFERROR(INDEX('Budget'!$D$8:$D$57,MATCH($C$321,'Budget'!$B$8:$B$57,0)),"")="Contracted",IFERROR(INDEX('Budget'!$D$8:$D$57,MATCH($C$321,'Budget'!$B$8:$B$57,0)),"")="Complete"),"",IF(E331&lt;AsOf,"",E331)))</f>
        <v/>
      </c>
      <c r="U42" s="46">
        <f>IF(T42="","",IF(T42&lt;AsOf,1,IF(T42&lt;=AsOf+AlertDays,2,IF(T42&lt;=AsOf+2*AlertDays,3,""))))</f>
        <v/>
      </c>
      <c r="V42" s="46">
        <f>IF(U42="","","Quote expires: "&amp;E323&amp;IF($C$321="",""," ("&amp;$C$321&amp;")")&amp;" — decide or ask for an extension")</f>
        <v/>
      </c>
    </row>
    <row r="43">
      <c r="B43" s="6" t="inlineStr">
        <is>
          <t>TOTAL SCORE</t>
        </is>
      </c>
      <c r="C43" s="105">
        <f>IF(C35="","",ROUND(SUM(C38:C42),1))</f>
        <v/>
      </c>
      <c r="D43" s="63" t="n"/>
      <c r="E43" s="105">
        <f>IF(E35="","",ROUND(SUM(E38:E42),1))</f>
        <v/>
      </c>
      <c r="F43" s="63" t="n"/>
      <c r="G43" s="105">
        <f>IF(G35="","",ROUND(SUM(G38:G42),1))</f>
        <v/>
      </c>
      <c r="H43" s="63" t="n"/>
      <c r="I43" s="105">
        <f>IF(I35="","",ROUND(SUM(I38:I42),1))</f>
        <v/>
      </c>
      <c r="J43" s="63" t="n"/>
      <c r="T43" s="84">
        <f>IF(OR(G323="",G331=""),"",IF(OR(IFERROR(INDEX('Budget'!$D$8:$D$57,MATCH($C$321,'Budget'!$B$8:$B$57,0)),"")="Contracted",IFERROR(INDEX('Budget'!$D$8:$D$57,MATCH($C$321,'Budget'!$B$8:$B$57,0)),"")="Complete"),"",IF(G331&lt;AsOf,"",G331)))</f>
        <v/>
      </c>
      <c r="U43" s="46">
        <f>IF(T43="","",IF(T43&lt;AsOf,1,IF(T43&lt;=AsOf+AlertDays,2,IF(T43&lt;=AsOf+2*AlertDays,3,""))))</f>
        <v/>
      </c>
      <c r="V43" s="46">
        <f>IF(U43="","","Quote expires: "&amp;G323&amp;IF($C$321="",""," ("&amp;$C$321&amp;")")&amp;" — decide or ask for an extension")</f>
        <v/>
      </c>
    </row>
    <row r="44">
      <c r="B44" s="6" t="inlineStr">
        <is>
          <t>Ranking</t>
        </is>
      </c>
      <c r="C44" s="106">
        <f>IF(C43="","",IF(C43=MAX($C43:$J43),"🏆 WINNER","#"&amp;(1+COUNTIF($C43:$J43,"&gt;"&amp;C43))))</f>
        <v/>
      </c>
      <c r="D44" s="63" t="n"/>
      <c r="E44" s="106">
        <f>IF(E43="","",IF(E43=MAX($C43:$J43),"🏆 WINNER","#"&amp;(1+COUNTIF($C43:$J43,"&gt;"&amp;E43))))</f>
        <v/>
      </c>
      <c r="F44" s="63" t="n"/>
      <c r="G44" s="106">
        <f>IF(G43="","",IF(G43=MAX($C43:$J43),"🏆 WINNER","#"&amp;(1+COUNTIF($C43:$J43,"&gt;"&amp;G43))))</f>
        <v/>
      </c>
      <c r="H44" s="63" t="n"/>
      <c r="I44" s="106">
        <f>IF(I43="","",IF(I43=MAX($C43:$J43),"🏆 WINNER","#"&amp;(1+COUNTIF($C43:$J43,"&gt;"&amp;I43))))</f>
        <v/>
      </c>
      <c r="J44" s="63" t="n"/>
      <c r="T44" s="84">
        <f>IF(OR(I323="",I331=""),"",IF(OR(IFERROR(INDEX('Budget'!$D$8:$D$57,MATCH($C$321,'Budget'!$B$8:$B$57,0)),"")="Contracted",IFERROR(INDEX('Budget'!$D$8:$D$57,MATCH($C$321,'Budget'!$B$8:$B$57,0)),"")="Complete"),"",IF(I331&lt;AsOf,"",I331)))</f>
        <v/>
      </c>
      <c r="U44" s="46">
        <f>IF(T44="","",IF(T44&lt;AsOf,1,IF(T44&lt;=AsOf+AlertDays,2,IF(T44&lt;=AsOf+2*AlertDays,3,""))))</f>
        <v/>
      </c>
      <c r="V44" s="46">
        <f>IF(U44="","","Quote expires: "&amp;I323&amp;IF($C$321="",""," ("&amp;$C$321&amp;")")&amp;" — decide or ask for an extension")</f>
        <v/>
      </c>
    </row>
    <row r="45" ht="26" customHeight="1">
      <c r="B45" s="107">
        <f>IF(COUNT($C35:$J35)&lt;2,"",IF(INDEX($C11:$J11,MATCH(MIN($C14:$J14),$C14:$J14,0))&lt;&gt;INDEX($C11:$J11,MATCH(MIN($C35:$J35),$C35:$J35,0)),"⚠️ Hidden costs change the ranking! Cheapest quoted price: "&amp;INDEX($C11:$J11,MATCH(MIN($C14:$J14),$C14:$J14,0))&amp;"  →  cheapest TRUE cost: "&amp;INDEX($C11:$J11,MATCH(MIN($C35:$J35),$C35:$J35,0)),"✓ The cheapest quote is also the cheapest true cost."))</f>
        <v/>
      </c>
      <c r="P45" s="46">
        <f>IF(B45="",0,IF(LEFT(B45,1)="✓",0,1))</f>
        <v/>
      </c>
      <c r="T45" s="84">
        <f>IF(OR(C362="",C370=""),"",IF(OR(IFERROR(INDEX('Budget'!$D$8:$D$57,MATCH($C$360,'Budget'!$B$8:$B$57,0)),"")="Contracted",IFERROR(INDEX('Budget'!$D$8:$D$57,MATCH($C$360,'Budget'!$B$8:$B$57,0)),"")="Complete"),"",IF(C370&lt;AsOf,"",C370)))</f>
        <v/>
      </c>
      <c r="U45" s="46">
        <f>IF(T45="","",IF(T45&lt;AsOf,1,IF(T45&lt;=AsOf+AlertDays,2,IF(T45&lt;=AsOf+2*AlertDays,3,""))))</f>
        <v/>
      </c>
      <c r="V45" s="46">
        <f>IF(U45="","","Quote expires: "&amp;C362&amp;IF($C$360="",""," ("&amp;$C$360&amp;")")&amp;" — decide or ask for an extension")</f>
        <v/>
      </c>
    </row>
    <row r="46">
      <c r="T46" s="84">
        <f>IF(OR(E362="",E370=""),"",IF(OR(IFERROR(INDEX('Budget'!$D$8:$D$57,MATCH($C$360,'Budget'!$B$8:$B$57,0)),"")="Contracted",IFERROR(INDEX('Budget'!$D$8:$D$57,MATCH($C$360,'Budget'!$B$8:$B$57,0)),"")="Complete"),"",IF(E370&lt;AsOf,"",E370)))</f>
        <v/>
      </c>
      <c r="U46" s="46">
        <f>IF(T46="","",IF(T46&lt;AsOf,1,IF(T46&lt;=AsOf+AlertDays,2,IF(T46&lt;=AsOf+2*AlertDays,3,""))))</f>
        <v/>
      </c>
      <c r="V46" s="46">
        <f>IF(U46="","","Quote expires: "&amp;E362&amp;IF($C$360="",""," ("&amp;$C$360&amp;")")&amp;" — decide or ask for an extension")</f>
        <v/>
      </c>
    </row>
    <row r="47">
      <c r="T47" s="84">
        <f>IF(OR(G362="",G370=""),"",IF(OR(IFERROR(INDEX('Budget'!$D$8:$D$57,MATCH($C$360,'Budget'!$B$8:$B$57,0)),"")="Contracted",IFERROR(INDEX('Budget'!$D$8:$D$57,MATCH($C$360,'Budget'!$B$8:$B$57,0)),"")="Complete"),"",IF(G370&lt;AsOf,"",G370)))</f>
        <v/>
      </c>
      <c r="U47" s="46">
        <f>IF(T47="","",IF(T47&lt;AsOf,1,IF(T47&lt;=AsOf+AlertDays,2,IF(T47&lt;=AsOf+2*AlertDays,3,""))))</f>
        <v/>
      </c>
      <c r="V47" s="46">
        <f>IF(U47="","","Quote expires: "&amp;G362&amp;IF($C$360="",""," ("&amp;$C$360&amp;")")&amp;" — decide or ask for an extension")</f>
        <v/>
      </c>
    </row>
    <row r="48" ht="28" customHeight="1">
      <c r="B48" s="91" t="inlineStr">
        <is>
          <t>COMPARISON 2  ▸  trade:</t>
        </is>
      </c>
      <c r="C48" s="92" t="inlineStr">
        <is>
          <t>Flooring</t>
        </is>
      </c>
      <c r="D48" s="91" t="n"/>
      <c r="E48" s="93">
        <f>IF(COUNT($C$82:$J$82)=0,"Enter up to 4 quotes below","🏆 Best overall: "&amp;INDEX($C$50:$J$50,MATCH(MAX($C$82:$J$82),$C$82:$J$82,0))&amp;"  —  true cost "&amp;CurSym&amp;" "&amp;FIXED(INDEX($C$74:$J$74,MATCH(MAX($C$82:$J$82),$C$82:$J$82,0)),0))</f>
        <v/>
      </c>
      <c r="F48" s="94" t="n"/>
      <c r="G48" s="94" t="n"/>
      <c r="H48" s="94" t="n"/>
      <c r="I48" s="94" t="n"/>
      <c r="J48" s="63" t="n"/>
      <c r="T48" s="84">
        <f>IF(OR(I362="",I370=""),"",IF(OR(IFERROR(INDEX('Budget'!$D$8:$D$57,MATCH($C$360,'Budget'!$B$8:$B$57,0)),"")="Contracted",IFERROR(INDEX('Budget'!$D$8:$D$57,MATCH($C$360,'Budget'!$B$8:$B$57,0)),"")="Complete"),"",IF(I370&lt;AsOf,"",I370)))</f>
        <v/>
      </c>
      <c r="U48" s="46">
        <f>IF(T48="","",IF(T48&lt;AsOf,1,IF(T48&lt;=AsOf+AlertDays,2,IF(T48&lt;=AsOf+2*AlertDays,3,""))))</f>
        <v/>
      </c>
      <c r="V48" s="46">
        <f>IF(U48="","","Quote expires: "&amp;I362&amp;IF($C$360="",""," ("&amp;$C$360&amp;")")&amp;" — decide or ask for an extension")</f>
        <v/>
      </c>
    </row>
    <row r="49">
      <c r="C49" s="95" t="inlineStr">
        <is>
          <t>Contractor 1</t>
        </is>
      </c>
      <c r="D49" s="63" t="n"/>
      <c r="E49" s="95" t="inlineStr">
        <is>
          <t>Contractor 2</t>
        </is>
      </c>
      <c r="F49" s="63" t="n"/>
      <c r="G49" s="95" t="inlineStr">
        <is>
          <t>Contractor 3</t>
        </is>
      </c>
      <c r="H49" s="63" t="n"/>
      <c r="I49" s="95" t="inlineStr">
        <is>
          <t>Contractor 4</t>
        </is>
      </c>
      <c r="J49" s="63" t="n"/>
    </row>
    <row r="50">
      <c r="B50" s="6" t="inlineStr">
        <is>
          <t>Contractor / company</t>
        </is>
      </c>
      <c r="C50" s="74" t="inlineStr">
        <is>
          <t>Oak &amp; Plank Flooring</t>
        </is>
      </c>
      <c r="D50" s="96" t="n"/>
      <c r="E50" s="74" t="inlineStr">
        <is>
          <t>FloorMasters</t>
        </is>
      </c>
      <c r="F50" s="96" t="n"/>
      <c r="G50" s="74" t="n"/>
      <c r="H50" s="96" t="n"/>
      <c r="I50" s="74" t="n"/>
      <c r="J50" s="96" t="n"/>
    </row>
    <row r="51">
      <c r="B51" s="97">
        <f>"Quoted price ("&amp;CurSym&amp;")"</f>
        <v/>
      </c>
      <c r="C51" s="98" t="n">
        <v>8900</v>
      </c>
      <c r="D51" s="96" t="n"/>
      <c r="E51" s="98" t="n">
        <v>8200</v>
      </c>
      <c r="F51" s="96" t="n"/>
      <c r="G51" s="98" t="n"/>
      <c r="H51" s="96" t="n"/>
      <c r="I51" s="98" t="n"/>
      <c r="J51" s="96" t="n"/>
    </row>
    <row r="52">
      <c r="B52" s="97">
        <f>"Price includes "&amp;TaxWord&amp;"?"</f>
        <v/>
      </c>
      <c r="C52" s="74" t="inlineStr">
        <is>
          <t>Yes</t>
        </is>
      </c>
      <c r="D52" s="96" t="n"/>
      <c r="E52" s="74" t="inlineStr">
        <is>
          <t>Yes</t>
        </is>
      </c>
      <c r="F52" s="96" t="n"/>
      <c r="G52" s="74">
        <f>DefInclTax</f>
        <v/>
      </c>
      <c r="H52" s="96" t="n"/>
      <c r="I52" s="74">
        <f>DefInclTax</f>
        <v/>
      </c>
      <c r="J52" s="96" t="n"/>
    </row>
    <row r="53">
      <c r="B53" s="97">
        <f>"Price incl. "&amp;TaxWord&amp;" ("&amp;CurSym&amp;")"</f>
        <v/>
      </c>
      <c r="C53" s="99">
        <f>IF(C51="","",IF(C52="No",C51*(1+VatRate),C51))</f>
        <v/>
      </c>
      <c r="D53" s="63" t="n"/>
      <c r="E53" s="99">
        <f>IF(E51="","",IF(E52="No",E51*(1+VatRate),E51))</f>
        <v/>
      </c>
      <c r="F53" s="63" t="n"/>
      <c r="G53" s="99">
        <f>IF(G51="","",IF(G52="No",G51*(1+VatRate),G51))</f>
        <v/>
      </c>
      <c r="H53" s="63" t="n"/>
      <c r="I53" s="99">
        <f>IF(I51="","",IF(I52="No",I51*(1+VatRate),I51))</f>
        <v/>
      </c>
      <c r="J53" s="63" t="n"/>
    </row>
    <row r="54">
      <c r="B54" s="19" t="inlineStr">
        <is>
          <t>Timeline (weeks)</t>
        </is>
      </c>
      <c r="C54" s="100" t="n">
        <v>2</v>
      </c>
      <c r="D54" s="96" t="n"/>
      <c r="E54" s="100" t="n">
        <v>3</v>
      </c>
      <c r="F54" s="96" t="n"/>
      <c r="G54" s="100" t="n"/>
      <c r="H54" s="96" t="n"/>
      <c r="I54" s="100" t="n"/>
      <c r="J54" s="96" t="n"/>
    </row>
    <row r="55">
      <c r="B55" s="19" t="inlineStr">
        <is>
          <t>Warranty (years)</t>
        </is>
      </c>
      <c r="C55" s="100" t="n">
        <v>10</v>
      </c>
      <c r="D55" s="96" t="n"/>
      <c r="E55" s="100" t="n">
        <v>5</v>
      </c>
      <c r="F55" s="96" t="n"/>
      <c r="G55" s="100" t="n"/>
      <c r="H55" s="96" t="n"/>
      <c r="I55" s="100" t="n"/>
      <c r="J55" s="96" t="n"/>
    </row>
    <row r="56">
      <c r="B56" s="19" t="inlineStr">
        <is>
          <t>References checked?</t>
        </is>
      </c>
      <c r="C56" s="74" t="inlineStr">
        <is>
          <t>Yes</t>
        </is>
      </c>
      <c r="D56" s="96" t="n"/>
      <c r="E56" s="74" t="inlineStr">
        <is>
          <t>No</t>
        </is>
      </c>
      <c r="F56" s="96" t="n"/>
      <c r="G56" s="74" t="n"/>
      <c r="H56" s="96" t="n"/>
      <c r="I56" s="74" t="n"/>
      <c r="J56" s="96" t="n"/>
    </row>
    <row r="57">
      <c r="B57" s="19" t="inlineStr">
        <is>
          <t>Gut feeling (1–5)</t>
        </is>
      </c>
      <c r="C57" s="89" t="n">
        <v>4</v>
      </c>
      <c r="D57" s="96" t="n"/>
      <c r="E57" s="89" t="n">
        <v>3</v>
      </c>
      <c r="F57" s="96" t="n"/>
      <c r="G57" s="89" t="n"/>
      <c r="H57" s="96" t="n"/>
      <c r="I57" s="89" t="n"/>
      <c r="J57" s="96" t="n"/>
    </row>
    <row r="58">
      <c r="B58" s="19" t="inlineStr">
        <is>
          <t>Quote valid until</t>
        </is>
      </c>
      <c r="C58" s="101" t="n">
        <v>46192</v>
      </c>
      <c r="D58" s="96" t="n"/>
      <c r="E58" s="101" t="n">
        <v>46218</v>
      </c>
      <c r="F58" s="96" t="n"/>
      <c r="G58" s="101" t="n"/>
      <c r="H58" s="96" t="n"/>
      <c r="I58" s="101" t="n"/>
      <c r="J58" s="96" t="n"/>
    </row>
    <row r="59">
      <c r="B59" s="80" t="inlineStr">
        <is>
          <t>HIDDEN-COST CHECKLIST</t>
        </is>
      </c>
      <c r="C59" s="95" t="inlineStr">
        <is>
          <t>Included?</t>
        </is>
      </c>
      <c r="D59" s="82">
        <f>"Extra "&amp;CurSym</f>
        <v/>
      </c>
      <c r="E59" s="95" t="inlineStr">
        <is>
          <t>Included?</t>
        </is>
      </c>
      <c r="F59" s="82">
        <f>"Extra "&amp;CurSym</f>
        <v/>
      </c>
      <c r="G59" s="95" t="inlineStr">
        <is>
          <t>Included?</t>
        </is>
      </c>
      <c r="H59" s="82">
        <f>"Extra "&amp;CurSym</f>
        <v/>
      </c>
      <c r="I59" s="95" t="inlineStr">
        <is>
          <t>Included?</t>
        </is>
      </c>
      <c r="J59" s="82">
        <f>"Extra "&amp;CurSym</f>
        <v/>
      </c>
    </row>
    <row r="60">
      <c r="B60" s="19" t="inlineStr">
        <is>
          <t>Demolition</t>
        </is>
      </c>
      <c r="C60" s="74" t="inlineStr">
        <is>
          <t>Included</t>
        </is>
      </c>
      <c r="D60" s="73" t="n"/>
      <c r="E60" s="74" t="inlineStr">
        <is>
          <t>Included</t>
        </is>
      </c>
      <c r="F60" s="73" t="n"/>
      <c r="G60" s="74" t="n"/>
      <c r="H60" s="73" t="n"/>
      <c r="I60" s="74" t="n"/>
      <c r="J60" s="73" t="n"/>
    </row>
    <row r="61">
      <c r="B61" s="19" t="inlineStr">
        <is>
          <t>Waste disposal</t>
        </is>
      </c>
      <c r="C61" s="74" t="inlineStr">
        <is>
          <t>Included</t>
        </is>
      </c>
      <c r="D61" s="73" t="n"/>
      <c r="E61" s="74" t="inlineStr">
        <is>
          <t>Not included</t>
        </is>
      </c>
      <c r="F61" s="73" t="n">
        <v>250</v>
      </c>
      <c r="G61" s="74" t="n"/>
      <c r="H61" s="73" t="n"/>
      <c r="I61" s="74" t="n"/>
      <c r="J61" s="73" t="n"/>
    </row>
    <row r="62">
      <c r="B62" s="19" t="inlineStr">
        <is>
          <t>Delivery</t>
        </is>
      </c>
      <c r="C62" s="74" t="inlineStr">
        <is>
          <t>Unclear</t>
        </is>
      </c>
      <c r="D62" s="73" t="n">
        <v>150</v>
      </c>
      <c r="E62" s="74" t="inlineStr">
        <is>
          <t>Not included</t>
        </is>
      </c>
      <c r="F62" s="73" t="n">
        <v>200</v>
      </c>
      <c r="G62" s="74" t="n"/>
      <c r="H62" s="73" t="n"/>
      <c r="I62" s="74" t="n"/>
      <c r="J62" s="73" t="n"/>
    </row>
    <row r="63">
      <c r="B63" s="19" t="inlineStr">
        <is>
          <t>Permits</t>
        </is>
      </c>
      <c r="C63" s="74" t="inlineStr">
        <is>
          <t>Included</t>
        </is>
      </c>
      <c r="D63" s="73" t="n"/>
      <c r="E63" s="74" t="inlineStr">
        <is>
          <t>Included</t>
        </is>
      </c>
      <c r="F63" s="73" t="n"/>
      <c r="G63" s="74" t="n"/>
      <c r="H63" s="73" t="n"/>
      <c r="I63" s="74" t="n"/>
      <c r="J63" s="73" t="n"/>
    </row>
    <row r="64">
      <c r="B64" s="19" t="inlineStr">
        <is>
          <t>Materials specified</t>
        </is>
      </c>
      <c r="C64" s="74" t="inlineStr">
        <is>
          <t>Included</t>
        </is>
      </c>
      <c r="D64" s="73" t="n"/>
      <c r="E64" s="74" t="inlineStr">
        <is>
          <t>Included</t>
        </is>
      </c>
      <c r="F64" s="73" t="n"/>
      <c r="G64" s="74" t="n"/>
      <c r="H64" s="73" t="n"/>
      <c r="I64" s="74" t="n"/>
      <c r="J64" s="73" t="n"/>
    </row>
    <row r="65">
      <c r="B65" s="19" t="inlineStr">
        <is>
          <t>Labor specified</t>
        </is>
      </c>
      <c r="C65" s="74" t="inlineStr">
        <is>
          <t>Included</t>
        </is>
      </c>
      <c r="D65" s="73" t="n"/>
      <c r="E65" s="74" t="inlineStr">
        <is>
          <t>Included</t>
        </is>
      </c>
      <c r="F65" s="73" t="n"/>
      <c r="G65" s="74" t="n"/>
      <c r="H65" s="73" t="n"/>
      <c r="I65" s="74" t="n"/>
      <c r="J65" s="73" t="n"/>
    </row>
    <row r="66">
      <c r="B66" s="19" t="inlineStr">
        <is>
          <t>Finishing</t>
        </is>
      </c>
      <c r="C66" s="74" t="inlineStr">
        <is>
          <t>Not included</t>
        </is>
      </c>
      <c r="D66" s="73" t="n">
        <v>600</v>
      </c>
      <c r="E66" s="74" t="inlineStr">
        <is>
          <t>Not included</t>
        </is>
      </c>
      <c r="F66" s="73" t="n">
        <v>900</v>
      </c>
      <c r="G66" s="74" t="n"/>
      <c r="H66" s="73" t="n"/>
      <c r="I66" s="74" t="n"/>
      <c r="J66" s="73" t="n"/>
    </row>
    <row r="67">
      <c r="B67" s="19" t="inlineStr">
        <is>
          <t>Cleanup</t>
        </is>
      </c>
      <c r="C67" s="74" t="inlineStr">
        <is>
          <t>Included</t>
        </is>
      </c>
      <c r="D67" s="73" t="n"/>
      <c r="E67" s="74" t="inlineStr">
        <is>
          <t>Not included</t>
        </is>
      </c>
      <c r="F67" s="73" t="n">
        <v>150</v>
      </c>
      <c r="G67" s="74" t="n"/>
      <c r="H67" s="73" t="n"/>
      <c r="I67" s="74" t="n"/>
      <c r="J67" s="73" t="n"/>
    </row>
    <row r="68">
      <c r="B68" s="97">
        <f>TaxWord&amp;" shown in price"</f>
        <v/>
      </c>
      <c r="C68" s="74" t="inlineStr">
        <is>
          <t>Included</t>
        </is>
      </c>
      <c r="D68" s="73" t="n"/>
      <c r="E68" s="74" t="inlineStr">
        <is>
          <t>Included</t>
        </is>
      </c>
      <c r="F68" s="73" t="n"/>
      <c r="G68" s="74" t="n"/>
      <c r="H68" s="73" t="n"/>
      <c r="I68" s="74" t="n"/>
      <c r="J68" s="73" t="n"/>
    </row>
    <row r="69">
      <c r="B69" s="19" t="inlineStr">
        <is>
          <t>Electrical upgrades</t>
        </is>
      </c>
      <c r="C69" s="74" t="inlineStr">
        <is>
          <t>Included</t>
        </is>
      </c>
      <c r="D69" s="73" t="n"/>
      <c r="E69" s="74" t="inlineStr">
        <is>
          <t>Included</t>
        </is>
      </c>
      <c r="F69" s="73" t="n"/>
      <c r="G69" s="74" t="n"/>
      <c r="H69" s="73" t="n"/>
      <c r="I69" s="74" t="n"/>
      <c r="J69" s="73" t="n"/>
    </row>
    <row r="70">
      <c r="B70" s="19" t="inlineStr">
        <is>
          <t>Plumbing modifications</t>
        </is>
      </c>
      <c r="C70" s="74" t="inlineStr">
        <is>
          <t>Included</t>
        </is>
      </c>
      <c r="D70" s="73" t="n"/>
      <c r="E70" s="74" t="inlineStr">
        <is>
          <t>Included</t>
        </is>
      </c>
      <c r="F70" s="73" t="n"/>
      <c r="G70" s="74" t="n"/>
      <c r="H70" s="73" t="n"/>
      <c r="I70" s="74" t="n"/>
      <c r="J70" s="73" t="n"/>
    </row>
    <row r="71">
      <c r="B71" s="19" t="inlineStr">
        <is>
          <t>Payment schedule defined</t>
        </is>
      </c>
      <c r="C71" s="74" t="inlineStr">
        <is>
          <t>Included</t>
        </is>
      </c>
      <c r="D71" s="73" t="n"/>
      <c r="E71" s="74" t="inlineStr">
        <is>
          <t>Unclear</t>
        </is>
      </c>
      <c r="F71" s="73" t="n">
        <v>0</v>
      </c>
      <c r="G71" s="74" t="n"/>
      <c r="H71" s="73" t="n"/>
      <c r="I71" s="74" t="n"/>
      <c r="J71" s="73" t="n"/>
    </row>
    <row r="72">
      <c r="B72" s="19" t="inlineStr">
        <is>
          <t>Warranty in writing</t>
        </is>
      </c>
      <c r="C72" s="74" t="inlineStr">
        <is>
          <t>Included</t>
        </is>
      </c>
      <c r="D72" s="73" t="n"/>
      <c r="E72" s="74" t="inlineStr">
        <is>
          <t>Included</t>
        </is>
      </c>
      <c r="F72" s="73" t="n"/>
      <c r="G72" s="74" t="n"/>
      <c r="H72" s="73" t="n"/>
      <c r="I72" s="74" t="n"/>
      <c r="J72" s="73" t="n"/>
    </row>
    <row r="73">
      <c r="B73" s="97">
        <f>"Hidden extras ("&amp;CurSym&amp;")"</f>
        <v/>
      </c>
      <c r="C73" s="99">
        <f>IF(C50="","",SUMPRODUCT((C60:C72&lt;&gt;"Included")*D60:D72))</f>
        <v/>
      </c>
      <c r="D73" s="63" t="n"/>
      <c r="E73" s="99">
        <f>IF(E50="","",SUMPRODUCT((E60:E72&lt;&gt;"Included")*F60:F72))</f>
        <v/>
      </c>
      <c r="F73" s="63" t="n"/>
      <c r="G73" s="99">
        <f>IF(G50="","",SUMPRODUCT((G60:G72&lt;&gt;"Included")*H60:H72))</f>
        <v/>
      </c>
      <c r="H73" s="63" t="n"/>
      <c r="I73" s="99">
        <f>IF(I50="","",SUMPRODUCT((I60:I72&lt;&gt;"Included")*J60:J72))</f>
        <v/>
      </c>
      <c r="J73" s="63" t="n"/>
    </row>
    <row r="74">
      <c r="B74" s="13">
        <f>"TRUE COST ("&amp;CurSym&amp;")"</f>
        <v/>
      </c>
      <c r="C74" s="102">
        <f>IF(OR(C50="",C53=""),"",C53+C73)</f>
        <v/>
      </c>
      <c r="D74" s="63" t="n"/>
      <c r="E74" s="102">
        <f>IF(OR(E50="",E53=""),"",E53+E73)</f>
        <v/>
      </c>
      <c r="F74" s="63" t="n"/>
      <c r="G74" s="102">
        <f>IF(OR(G50="",G53=""),"",G53+G73)</f>
        <v/>
      </c>
      <c r="H74" s="63" t="n"/>
      <c r="I74" s="102">
        <f>IF(OR(I50="",I53=""),"",I53+I73)</f>
        <v/>
      </c>
      <c r="J74" s="63" t="n"/>
    </row>
    <row r="75">
      <c r="B75" s="19" t="inlineStr">
        <is>
          <t>Completeness</t>
        </is>
      </c>
      <c r="C75" s="103">
        <f>IF(C50="","",COUNTIF(C60:C72,"Included")/13)</f>
        <v/>
      </c>
      <c r="D75" s="63" t="n"/>
      <c r="E75" s="103">
        <f>IF(E50="","",COUNTIF(E60:E72,"Included")/13)</f>
        <v/>
      </c>
      <c r="F75" s="63" t="n"/>
      <c r="G75" s="103">
        <f>IF(G50="","",COUNTIF(G60:G72,"Included")/13)</f>
        <v/>
      </c>
      <c r="H75" s="63" t="n"/>
      <c r="I75" s="103">
        <f>IF(I50="","",COUNTIF(I60:I72,"Included")/13)</f>
        <v/>
      </c>
      <c r="J75" s="63" t="n"/>
    </row>
    <row r="76">
      <c r="B76" s="80" t="inlineStr">
        <is>
          <t>SCORE</t>
        </is>
      </c>
    </row>
    <row r="77">
      <c r="B77" s="19" t="inlineStr">
        <is>
          <t>Price points</t>
        </is>
      </c>
      <c r="C77" s="104">
        <f>IF(C74="","",IF(C74&gt;0,MIN($C74:$J74)/C74,0)*WPrice)</f>
        <v/>
      </c>
      <c r="D77" s="63" t="n"/>
      <c r="E77" s="104">
        <f>IF(E74="","",IF(E74&gt;0,MIN($C74:$J74)/E74,0)*WPrice)</f>
        <v/>
      </c>
      <c r="F77" s="63" t="n"/>
      <c r="G77" s="104">
        <f>IF(G74="","",IF(G74&gt;0,MIN($C74:$J74)/G74,0)*WPrice)</f>
        <v/>
      </c>
      <c r="H77" s="63" t="n"/>
      <c r="I77" s="104">
        <f>IF(I74="","",IF(I74&gt;0,MIN($C74:$J74)/I74,0)*WPrice)</f>
        <v/>
      </c>
      <c r="J77" s="63" t="n"/>
    </row>
    <row r="78">
      <c r="B78" s="19" t="inlineStr">
        <is>
          <t>Timeline points</t>
        </is>
      </c>
      <c r="C78" s="104">
        <f>IF(C74="","",IF(C54&gt;0,MIN($C54:$J54)/C54,0)*WTime)</f>
        <v/>
      </c>
      <c r="D78" s="63" t="n"/>
      <c r="E78" s="104">
        <f>IF(E74="","",IF(E54&gt;0,MIN($C54:$J54)/E54,0)*WTime)</f>
        <v/>
      </c>
      <c r="F78" s="63" t="n"/>
      <c r="G78" s="104">
        <f>IF(G74="","",IF(G54&gt;0,MIN($C54:$J54)/G54,0)*WTime)</f>
        <v/>
      </c>
      <c r="H78" s="63" t="n"/>
      <c r="I78" s="104">
        <f>IF(I74="","",IF(I54&gt;0,MIN($C54:$J54)/I54,0)*WTime)</f>
        <v/>
      </c>
      <c r="J78" s="63" t="n"/>
    </row>
    <row r="79">
      <c r="B79" s="19" t="inlineStr">
        <is>
          <t>Warranty points</t>
        </is>
      </c>
      <c r="C79" s="104">
        <f>IF(C74="","",IF(MAX($C55:$J55)&gt;0,C55/MAX($C55:$J55),0)*WWar)</f>
        <v/>
      </c>
      <c r="D79" s="63" t="n"/>
      <c r="E79" s="104">
        <f>IF(E74="","",IF(MAX($C55:$J55)&gt;0,E55/MAX($C55:$J55),0)*WWar)</f>
        <v/>
      </c>
      <c r="F79" s="63" t="n"/>
      <c r="G79" s="104">
        <f>IF(G74="","",IF(MAX($C55:$J55)&gt;0,G55/MAX($C55:$J55),0)*WWar)</f>
        <v/>
      </c>
      <c r="H79" s="63" t="n"/>
      <c r="I79" s="104">
        <f>IF(I74="","",IF(MAX($C55:$J55)&gt;0,I55/MAX($C55:$J55),0)*WWar)</f>
        <v/>
      </c>
      <c r="J79" s="63" t="n"/>
    </row>
    <row r="80">
      <c r="B80" s="19" t="inlineStr">
        <is>
          <t>Completeness points</t>
        </is>
      </c>
      <c r="C80" s="104">
        <f>IF(C74="","",C75*WComp)</f>
        <v/>
      </c>
      <c r="D80" s="63" t="n"/>
      <c r="E80" s="104">
        <f>IF(E74="","",E75*WComp)</f>
        <v/>
      </c>
      <c r="F80" s="63" t="n"/>
      <c r="G80" s="104">
        <f>IF(G74="","",G75*WComp)</f>
        <v/>
      </c>
      <c r="H80" s="63" t="n"/>
      <c r="I80" s="104">
        <f>IF(I74="","",I75*WComp)</f>
        <v/>
      </c>
      <c r="J80" s="63" t="n"/>
    </row>
    <row r="81">
      <c r="B81" s="19" t="inlineStr">
        <is>
          <t>Gut &amp; references points</t>
        </is>
      </c>
      <c r="C81" s="104">
        <f>IF(C74="","",(IF(C57="",0,C57/5)*0.7+IF(C56="Yes",0.3,0))*WGut)</f>
        <v/>
      </c>
      <c r="D81" s="63" t="n"/>
      <c r="E81" s="104">
        <f>IF(E74="","",(IF(E57="",0,E57/5)*0.7+IF(E56="Yes",0.3,0))*WGut)</f>
        <v/>
      </c>
      <c r="F81" s="63" t="n"/>
      <c r="G81" s="104">
        <f>IF(G74="","",(IF(G57="",0,G57/5)*0.7+IF(G56="Yes",0.3,0))*WGut)</f>
        <v/>
      </c>
      <c r="H81" s="63" t="n"/>
      <c r="I81" s="104">
        <f>IF(I74="","",(IF(I57="",0,I57/5)*0.7+IF(I56="Yes",0.3,0))*WGut)</f>
        <v/>
      </c>
      <c r="J81" s="63" t="n"/>
    </row>
    <row r="82">
      <c r="B82" s="6" t="inlineStr">
        <is>
          <t>TOTAL SCORE</t>
        </is>
      </c>
      <c r="C82" s="105">
        <f>IF(C74="","",ROUND(SUM(C77:C81),1))</f>
        <v/>
      </c>
      <c r="D82" s="63" t="n"/>
      <c r="E82" s="105">
        <f>IF(E74="","",ROUND(SUM(E77:E81),1))</f>
        <v/>
      </c>
      <c r="F82" s="63" t="n"/>
      <c r="G82" s="105">
        <f>IF(G74="","",ROUND(SUM(G77:G81),1))</f>
        <v/>
      </c>
      <c r="H82" s="63" t="n"/>
      <c r="I82" s="105">
        <f>IF(I74="","",ROUND(SUM(I77:I81),1))</f>
        <v/>
      </c>
      <c r="J82" s="63" t="n"/>
    </row>
    <row r="83">
      <c r="B83" s="6" t="inlineStr">
        <is>
          <t>Ranking</t>
        </is>
      </c>
      <c r="C83" s="106">
        <f>IF(C82="","",IF(C82=MAX($C82:$J82),"🏆 WINNER","#"&amp;(1+COUNTIF($C82:$J82,"&gt;"&amp;C82))))</f>
        <v/>
      </c>
      <c r="D83" s="63" t="n"/>
      <c r="E83" s="106">
        <f>IF(E82="","",IF(E82=MAX($C82:$J82),"🏆 WINNER","#"&amp;(1+COUNTIF($C82:$J82,"&gt;"&amp;E82))))</f>
        <v/>
      </c>
      <c r="F83" s="63" t="n"/>
      <c r="G83" s="106">
        <f>IF(G82="","",IF(G82=MAX($C82:$J82),"🏆 WINNER","#"&amp;(1+COUNTIF($C82:$J82,"&gt;"&amp;G82))))</f>
        <v/>
      </c>
      <c r="H83" s="63" t="n"/>
      <c r="I83" s="106">
        <f>IF(I82="","",IF(I82=MAX($C82:$J82),"🏆 WINNER","#"&amp;(1+COUNTIF($C82:$J82,"&gt;"&amp;I82))))</f>
        <v/>
      </c>
      <c r="J83" s="63" t="n"/>
    </row>
    <row r="84" ht="26" customHeight="1">
      <c r="B84" s="107">
        <f>IF(COUNT($C74:$J74)&lt;2,"",IF(INDEX($C50:$J50,MATCH(MIN($C53:$J53),$C53:$J53,0))&lt;&gt;INDEX($C50:$J50,MATCH(MIN($C74:$J74),$C74:$J74,0)),"⚠️ Hidden costs change the ranking! Cheapest quoted price: "&amp;INDEX($C50:$J50,MATCH(MIN($C53:$J53),$C53:$J53,0))&amp;"  →  cheapest TRUE cost: "&amp;INDEX($C50:$J50,MATCH(MIN($C74:$J74),$C74:$J74,0)),"✓ The cheapest quote is also the cheapest true cost."))</f>
        <v/>
      </c>
      <c r="P84" s="46">
        <f>IF(B84="",0,IF(LEFT(B84,1)="✓",0,1))</f>
        <v/>
      </c>
    </row>
    <row r="85"/>
    <row r="86"/>
    <row r="87" ht="28" customHeight="1">
      <c r="B87" s="91" t="inlineStr">
        <is>
          <t>COMPARISON 3  ▸  trade:</t>
        </is>
      </c>
      <c r="C87" s="92" t="inlineStr">
        <is>
          <t>Painting</t>
        </is>
      </c>
      <c r="D87" s="91" t="n"/>
      <c r="E87" s="93">
        <f>IF(COUNT($C$121:$J$121)=0,"Enter up to 4 quotes below","🏆 Best overall: "&amp;INDEX($C$89:$J$89,MATCH(MAX($C$121:$J$121),$C$121:$J$121,0))&amp;"  —  true cost "&amp;CurSym&amp;" "&amp;FIXED(INDEX($C$113:$J$113,MATCH(MAX($C$121:$J$121),$C$121:$J$121,0)),0))</f>
        <v/>
      </c>
      <c r="F87" s="94" t="n"/>
      <c r="G87" s="94" t="n"/>
      <c r="H87" s="94" t="n"/>
      <c r="I87" s="94" t="n"/>
      <c r="J87" s="63" t="n"/>
    </row>
    <row r="88">
      <c r="C88" s="95" t="inlineStr">
        <is>
          <t>Contractor 1</t>
        </is>
      </c>
      <c r="D88" s="63" t="n"/>
      <c r="E88" s="95" t="inlineStr">
        <is>
          <t>Contractor 2</t>
        </is>
      </c>
      <c r="F88" s="63" t="n"/>
      <c r="G88" s="95" t="inlineStr">
        <is>
          <t>Contractor 3</t>
        </is>
      </c>
      <c r="H88" s="63" t="n"/>
      <c r="I88" s="95" t="inlineStr">
        <is>
          <t>Contractor 4</t>
        </is>
      </c>
      <c r="J88" s="63" t="n"/>
    </row>
    <row r="89">
      <c r="B89" s="6" t="inlineStr">
        <is>
          <t>Contractor / company</t>
        </is>
      </c>
      <c r="C89" s="74" t="inlineStr">
        <is>
          <t>Finish Line Painters</t>
        </is>
      </c>
      <c r="D89" s="96" t="n"/>
      <c r="E89" s="74" t="inlineStr">
        <is>
          <t>ColourPro</t>
        </is>
      </c>
      <c r="F89" s="96" t="n"/>
      <c r="G89" s="74" t="n"/>
      <c r="H89" s="96" t="n"/>
      <c r="I89" s="74" t="n"/>
      <c r="J89" s="96" t="n"/>
    </row>
    <row r="90">
      <c r="B90" s="97">
        <f>"Quoted price ("&amp;CurSym&amp;")"</f>
        <v/>
      </c>
      <c r="C90" s="98" t="n">
        <v>4700</v>
      </c>
      <c r="D90" s="96" t="n"/>
      <c r="E90" s="98" t="n">
        <v>5300</v>
      </c>
      <c r="F90" s="96" t="n"/>
      <c r="G90" s="98" t="n"/>
      <c r="H90" s="96" t="n"/>
      <c r="I90" s="98" t="n"/>
      <c r="J90" s="96" t="n"/>
    </row>
    <row r="91">
      <c r="B91" s="97">
        <f>"Price includes "&amp;TaxWord&amp;"?"</f>
        <v/>
      </c>
      <c r="C91" s="74" t="inlineStr">
        <is>
          <t>Yes</t>
        </is>
      </c>
      <c r="D91" s="96" t="n"/>
      <c r="E91" s="74" t="inlineStr">
        <is>
          <t>Yes</t>
        </is>
      </c>
      <c r="F91" s="96" t="n"/>
      <c r="G91" s="74">
        <f>DefInclTax</f>
        <v/>
      </c>
      <c r="H91" s="96" t="n"/>
      <c r="I91" s="74">
        <f>DefInclTax</f>
        <v/>
      </c>
      <c r="J91" s="96" t="n"/>
    </row>
    <row r="92">
      <c r="B92" s="97">
        <f>"Price incl. "&amp;TaxWord&amp;" ("&amp;CurSym&amp;")"</f>
        <v/>
      </c>
      <c r="C92" s="99">
        <f>IF(C90="","",IF(C91="No",C90*(1+VatRate),C90))</f>
        <v/>
      </c>
      <c r="D92" s="63" t="n"/>
      <c r="E92" s="99">
        <f>IF(E90="","",IF(E91="No",E90*(1+VatRate),E90))</f>
        <v/>
      </c>
      <c r="F92" s="63" t="n"/>
      <c r="G92" s="99">
        <f>IF(G90="","",IF(G91="No",G90*(1+VatRate),G90))</f>
        <v/>
      </c>
      <c r="H92" s="63" t="n"/>
      <c r="I92" s="99">
        <f>IF(I90="","",IF(I91="No",I90*(1+VatRate),I90))</f>
        <v/>
      </c>
      <c r="J92" s="63" t="n"/>
    </row>
    <row r="93">
      <c r="B93" s="19" t="inlineStr">
        <is>
          <t>Timeline (weeks)</t>
        </is>
      </c>
      <c r="C93" s="100" t="n">
        <v>2</v>
      </c>
      <c r="D93" s="96" t="n"/>
      <c r="E93" s="100" t="n">
        <v>2</v>
      </c>
      <c r="F93" s="96" t="n"/>
      <c r="G93" s="100" t="n"/>
      <c r="H93" s="96" t="n"/>
      <c r="I93" s="100" t="n"/>
      <c r="J93" s="96" t="n"/>
    </row>
    <row r="94">
      <c r="B94" s="19" t="inlineStr">
        <is>
          <t>Warranty (years)</t>
        </is>
      </c>
      <c r="C94" s="100" t="n">
        <v>2</v>
      </c>
      <c r="D94" s="96" t="n"/>
      <c r="E94" s="100" t="n">
        <v>1</v>
      </c>
      <c r="F94" s="96" t="n"/>
      <c r="G94" s="100" t="n"/>
      <c r="H94" s="96" t="n"/>
      <c r="I94" s="100" t="n"/>
      <c r="J94" s="96" t="n"/>
    </row>
    <row r="95">
      <c r="B95" s="19" t="inlineStr">
        <is>
          <t>References checked?</t>
        </is>
      </c>
      <c r="C95" s="74" t="inlineStr">
        <is>
          <t>Yes</t>
        </is>
      </c>
      <c r="D95" s="96" t="n"/>
      <c r="E95" s="74" t="inlineStr">
        <is>
          <t>No</t>
        </is>
      </c>
      <c r="F95" s="96" t="n"/>
      <c r="G95" s="74" t="n"/>
      <c r="H95" s="96" t="n"/>
      <c r="I95" s="74" t="n"/>
      <c r="J95" s="96" t="n"/>
    </row>
    <row r="96">
      <c r="B96" s="19" t="inlineStr">
        <is>
          <t>Gut feeling (1–5)</t>
        </is>
      </c>
      <c r="C96" s="89" t="n">
        <v>4</v>
      </c>
      <c r="D96" s="96" t="n"/>
      <c r="E96" s="89" t="n">
        <v>3</v>
      </c>
      <c r="F96" s="96" t="n"/>
      <c r="G96" s="89" t="n"/>
      <c r="H96" s="96" t="n"/>
      <c r="I96" s="89" t="n"/>
      <c r="J96" s="96" t="n"/>
    </row>
    <row r="97">
      <c r="B97" s="19" t="inlineStr">
        <is>
          <t>Quote valid until</t>
        </is>
      </c>
      <c r="C97" s="101" t="n">
        <v>46234</v>
      </c>
      <c r="D97" s="96" t="n"/>
      <c r="E97" s="101" t="n">
        <v>46199</v>
      </c>
      <c r="F97" s="96" t="n"/>
      <c r="G97" s="101" t="n"/>
      <c r="H97" s="96" t="n"/>
      <c r="I97" s="101" t="n"/>
      <c r="J97" s="96" t="n"/>
    </row>
    <row r="98">
      <c r="B98" s="80" t="inlineStr">
        <is>
          <t>HIDDEN-COST CHECKLIST</t>
        </is>
      </c>
      <c r="C98" s="95" t="inlineStr">
        <is>
          <t>Included?</t>
        </is>
      </c>
      <c r="D98" s="82">
        <f>"Extra "&amp;CurSym</f>
        <v/>
      </c>
      <c r="E98" s="95" t="inlineStr">
        <is>
          <t>Included?</t>
        </is>
      </c>
      <c r="F98" s="82">
        <f>"Extra "&amp;CurSym</f>
        <v/>
      </c>
      <c r="G98" s="95" t="inlineStr">
        <is>
          <t>Included?</t>
        </is>
      </c>
      <c r="H98" s="82">
        <f>"Extra "&amp;CurSym</f>
        <v/>
      </c>
      <c r="I98" s="95" t="inlineStr">
        <is>
          <t>Included?</t>
        </is>
      </c>
      <c r="J98" s="82">
        <f>"Extra "&amp;CurSym</f>
        <v/>
      </c>
    </row>
    <row r="99">
      <c r="B99" s="19" t="inlineStr">
        <is>
          <t>Demolition</t>
        </is>
      </c>
      <c r="C99" s="74" t="inlineStr">
        <is>
          <t>Included</t>
        </is>
      </c>
      <c r="D99" s="73" t="n"/>
      <c r="E99" s="74" t="inlineStr">
        <is>
          <t>Included</t>
        </is>
      </c>
      <c r="F99" s="73" t="n"/>
      <c r="G99" s="74" t="n"/>
      <c r="H99" s="73" t="n"/>
      <c r="I99" s="74" t="n"/>
      <c r="J99" s="73" t="n"/>
    </row>
    <row r="100">
      <c r="B100" s="19" t="inlineStr">
        <is>
          <t>Waste disposal</t>
        </is>
      </c>
      <c r="C100" s="74" t="inlineStr">
        <is>
          <t>Included</t>
        </is>
      </c>
      <c r="D100" s="73" t="n"/>
      <c r="E100" s="74" t="inlineStr">
        <is>
          <t>Included</t>
        </is>
      </c>
      <c r="F100" s="73" t="n"/>
      <c r="G100" s="74" t="n"/>
      <c r="H100" s="73" t="n"/>
      <c r="I100" s="74" t="n"/>
      <c r="J100" s="73" t="n"/>
    </row>
    <row r="101">
      <c r="B101" s="19" t="inlineStr">
        <is>
          <t>Delivery</t>
        </is>
      </c>
      <c r="C101" s="74" t="inlineStr">
        <is>
          <t>Included</t>
        </is>
      </c>
      <c r="D101" s="73" t="n"/>
      <c r="E101" s="74" t="inlineStr">
        <is>
          <t>Included</t>
        </is>
      </c>
      <c r="F101" s="73" t="n"/>
      <c r="G101" s="74" t="n"/>
      <c r="H101" s="73" t="n"/>
      <c r="I101" s="74" t="n"/>
      <c r="J101" s="73" t="n"/>
    </row>
    <row r="102">
      <c r="B102" s="19" t="inlineStr">
        <is>
          <t>Permits</t>
        </is>
      </c>
      <c r="C102" s="74" t="inlineStr">
        <is>
          <t>Included</t>
        </is>
      </c>
      <c r="D102" s="73" t="n"/>
      <c r="E102" s="74" t="inlineStr">
        <is>
          <t>Included</t>
        </is>
      </c>
      <c r="F102" s="73" t="n"/>
      <c r="G102" s="74" t="n"/>
      <c r="H102" s="73" t="n"/>
      <c r="I102" s="74" t="n"/>
      <c r="J102" s="73" t="n"/>
    </row>
    <row r="103">
      <c r="B103" s="19" t="inlineStr">
        <is>
          <t>Materials specified</t>
        </is>
      </c>
      <c r="C103" s="74" t="inlineStr">
        <is>
          <t>Included</t>
        </is>
      </c>
      <c r="D103" s="73" t="n"/>
      <c r="E103" s="74" t="inlineStr">
        <is>
          <t>Included</t>
        </is>
      </c>
      <c r="F103" s="73" t="n"/>
      <c r="G103" s="74" t="n"/>
      <c r="H103" s="73" t="n"/>
      <c r="I103" s="74" t="n"/>
      <c r="J103" s="73" t="n"/>
    </row>
    <row r="104">
      <c r="B104" s="19" t="inlineStr">
        <is>
          <t>Labor specified</t>
        </is>
      </c>
      <c r="C104" s="74" t="inlineStr">
        <is>
          <t>Included</t>
        </is>
      </c>
      <c r="D104" s="73" t="n"/>
      <c r="E104" s="74" t="inlineStr">
        <is>
          <t>Included</t>
        </is>
      </c>
      <c r="F104" s="73" t="n"/>
      <c r="G104" s="74" t="n"/>
      <c r="H104" s="73" t="n"/>
      <c r="I104" s="74" t="n"/>
      <c r="J104" s="73" t="n"/>
    </row>
    <row r="105">
      <c r="B105" s="19" t="inlineStr">
        <is>
          <t>Finishing</t>
        </is>
      </c>
      <c r="C105" s="74" t="inlineStr">
        <is>
          <t>Included</t>
        </is>
      </c>
      <c r="D105" s="73" t="n"/>
      <c r="E105" s="74" t="inlineStr">
        <is>
          <t>Included</t>
        </is>
      </c>
      <c r="F105" s="73" t="n"/>
      <c r="G105" s="74" t="n"/>
      <c r="H105" s="73" t="n"/>
      <c r="I105" s="74" t="n"/>
      <c r="J105" s="73" t="n"/>
    </row>
    <row r="106">
      <c r="B106" s="19" t="inlineStr">
        <is>
          <t>Cleanup</t>
        </is>
      </c>
      <c r="C106" s="74" t="inlineStr">
        <is>
          <t>Included</t>
        </is>
      </c>
      <c r="D106" s="73" t="n"/>
      <c r="E106" s="74" t="inlineStr">
        <is>
          <t>Unclear</t>
        </is>
      </c>
      <c r="F106" s="73" t="n">
        <v>0</v>
      </c>
      <c r="G106" s="74" t="n"/>
      <c r="H106" s="73" t="n"/>
      <c r="I106" s="74" t="n"/>
      <c r="J106" s="73" t="n"/>
    </row>
    <row r="107">
      <c r="B107" s="97">
        <f>TaxWord&amp;" shown in price"</f>
        <v/>
      </c>
      <c r="C107" s="74" t="inlineStr">
        <is>
          <t>Included</t>
        </is>
      </c>
      <c r="D107" s="73" t="n"/>
      <c r="E107" s="74" t="inlineStr">
        <is>
          <t>Included</t>
        </is>
      </c>
      <c r="F107" s="73" t="n"/>
      <c r="G107" s="74" t="n"/>
      <c r="H107" s="73" t="n"/>
      <c r="I107" s="74" t="n"/>
      <c r="J107" s="73" t="n"/>
    </row>
    <row r="108">
      <c r="B108" s="19" t="inlineStr">
        <is>
          <t>Electrical upgrades</t>
        </is>
      </c>
      <c r="C108" s="74" t="inlineStr">
        <is>
          <t>Included</t>
        </is>
      </c>
      <c r="D108" s="73" t="n"/>
      <c r="E108" s="74" t="inlineStr">
        <is>
          <t>Included</t>
        </is>
      </c>
      <c r="F108" s="73" t="n"/>
      <c r="G108" s="74" t="n"/>
      <c r="H108" s="73" t="n"/>
      <c r="I108" s="74" t="n"/>
      <c r="J108" s="73" t="n"/>
    </row>
    <row r="109">
      <c r="B109" s="19" t="inlineStr">
        <is>
          <t>Plumbing modifications</t>
        </is>
      </c>
      <c r="C109" s="74" t="inlineStr">
        <is>
          <t>Included</t>
        </is>
      </c>
      <c r="D109" s="73" t="n"/>
      <c r="E109" s="74" t="inlineStr">
        <is>
          <t>Included</t>
        </is>
      </c>
      <c r="F109" s="73" t="n"/>
      <c r="G109" s="74" t="n"/>
      <c r="H109" s="73" t="n"/>
      <c r="I109" s="74" t="n"/>
      <c r="J109" s="73" t="n"/>
    </row>
    <row r="110">
      <c r="B110" s="19" t="inlineStr">
        <is>
          <t>Payment schedule defined</t>
        </is>
      </c>
      <c r="C110" s="74" t="inlineStr">
        <is>
          <t>Included</t>
        </is>
      </c>
      <c r="D110" s="73" t="n"/>
      <c r="E110" s="74" t="inlineStr">
        <is>
          <t>Included</t>
        </is>
      </c>
      <c r="F110" s="73" t="n"/>
      <c r="G110" s="74" t="n"/>
      <c r="H110" s="73" t="n"/>
      <c r="I110" s="74" t="n"/>
      <c r="J110" s="73" t="n"/>
    </row>
    <row r="111">
      <c r="B111" s="19" t="inlineStr">
        <is>
          <t>Warranty in writing</t>
        </is>
      </c>
      <c r="C111" s="74" t="inlineStr">
        <is>
          <t>Included</t>
        </is>
      </c>
      <c r="D111" s="73" t="n"/>
      <c r="E111" s="74" t="inlineStr">
        <is>
          <t>Included</t>
        </is>
      </c>
      <c r="F111" s="73" t="n"/>
      <c r="G111" s="74" t="n"/>
      <c r="H111" s="73" t="n"/>
      <c r="I111" s="74" t="n"/>
      <c r="J111" s="73" t="n"/>
    </row>
    <row r="112">
      <c r="B112" s="97">
        <f>"Hidden extras ("&amp;CurSym&amp;")"</f>
        <v/>
      </c>
      <c r="C112" s="99">
        <f>IF(C89="","",SUMPRODUCT((C99:C111&lt;&gt;"Included")*D99:D111))</f>
        <v/>
      </c>
      <c r="D112" s="63" t="n"/>
      <c r="E112" s="99">
        <f>IF(E89="","",SUMPRODUCT((E99:E111&lt;&gt;"Included")*F99:F111))</f>
        <v/>
      </c>
      <c r="F112" s="63" t="n"/>
      <c r="G112" s="99">
        <f>IF(G89="","",SUMPRODUCT((G99:G111&lt;&gt;"Included")*H99:H111))</f>
        <v/>
      </c>
      <c r="H112" s="63" t="n"/>
      <c r="I112" s="99">
        <f>IF(I89="","",SUMPRODUCT((I99:I111&lt;&gt;"Included")*J99:J111))</f>
        <v/>
      </c>
      <c r="J112" s="63" t="n"/>
    </row>
    <row r="113">
      <c r="B113" s="13">
        <f>"TRUE COST ("&amp;CurSym&amp;")"</f>
        <v/>
      </c>
      <c r="C113" s="102">
        <f>IF(OR(C89="",C92=""),"",C92+C112)</f>
        <v/>
      </c>
      <c r="D113" s="63" t="n"/>
      <c r="E113" s="102">
        <f>IF(OR(E89="",E92=""),"",E92+E112)</f>
        <v/>
      </c>
      <c r="F113" s="63" t="n"/>
      <c r="G113" s="102">
        <f>IF(OR(G89="",G92=""),"",G92+G112)</f>
        <v/>
      </c>
      <c r="H113" s="63" t="n"/>
      <c r="I113" s="102">
        <f>IF(OR(I89="",I92=""),"",I92+I112)</f>
        <v/>
      </c>
      <c r="J113" s="63" t="n"/>
    </row>
    <row r="114">
      <c r="B114" s="19" t="inlineStr">
        <is>
          <t>Completeness</t>
        </is>
      </c>
      <c r="C114" s="103">
        <f>IF(C89="","",COUNTIF(C99:C111,"Included")/13)</f>
        <v/>
      </c>
      <c r="D114" s="63" t="n"/>
      <c r="E114" s="103">
        <f>IF(E89="","",COUNTIF(E99:E111,"Included")/13)</f>
        <v/>
      </c>
      <c r="F114" s="63" t="n"/>
      <c r="G114" s="103">
        <f>IF(G89="","",COUNTIF(G99:G111,"Included")/13)</f>
        <v/>
      </c>
      <c r="H114" s="63" t="n"/>
      <c r="I114" s="103">
        <f>IF(I89="","",COUNTIF(I99:I111,"Included")/13)</f>
        <v/>
      </c>
      <c r="J114" s="63" t="n"/>
    </row>
    <row r="115">
      <c r="B115" s="80" t="inlineStr">
        <is>
          <t>SCORE</t>
        </is>
      </c>
    </row>
    <row r="116">
      <c r="B116" s="19" t="inlineStr">
        <is>
          <t>Price points</t>
        </is>
      </c>
      <c r="C116" s="104">
        <f>IF(C113="","",IF(C113&gt;0,MIN($C113:$J113)/C113,0)*WPrice)</f>
        <v/>
      </c>
      <c r="D116" s="63" t="n"/>
      <c r="E116" s="104">
        <f>IF(E113="","",IF(E113&gt;0,MIN($C113:$J113)/E113,0)*WPrice)</f>
        <v/>
      </c>
      <c r="F116" s="63" t="n"/>
      <c r="G116" s="104">
        <f>IF(G113="","",IF(G113&gt;0,MIN($C113:$J113)/G113,0)*WPrice)</f>
        <v/>
      </c>
      <c r="H116" s="63" t="n"/>
      <c r="I116" s="104">
        <f>IF(I113="","",IF(I113&gt;0,MIN($C113:$J113)/I113,0)*WPrice)</f>
        <v/>
      </c>
      <c r="J116" s="63" t="n"/>
    </row>
    <row r="117">
      <c r="B117" s="19" t="inlineStr">
        <is>
          <t>Timeline points</t>
        </is>
      </c>
      <c r="C117" s="104">
        <f>IF(C113="","",IF(C93&gt;0,MIN($C93:$J93)/C93,0)*WTime)</f>
        <v/>
      </c>
      <c r="D117" s="63" t="n"/>
      <c r="E117" s="104">
        <f>IF(E113="","",IF(E93&gt;0,MIN($C93:$J93)/E93,0)*WTime)</f>
        <v/>
      </c>
      <c r="F117" s="63" t="n"/>
      <c r="G117" s="104">
        <f>IF(G113="","",IF(G93&gt;0,MIN($C93:$J93)/G93,0)*WTime)</f>
        <v/>
      </c>
      <c r="H117" s="63" t="n"/>
      <c r="I117" s="104">
        <f>IF(I113="","",IF(I93&gt;0,MIN($C93:$J93)/I93,0)*WTime)</f>
        <v/>
      </c>
      <c r="J117" s="63" t="n"/>
    </row>
    <row r="118">
      <c r="B118" s="19" t="inlineStr">
        <is>
          <t>Warranty points</t>
        </is>
      </c>
      <c r="C118" s="104">
        <f>IF(C113="","",IF(MAX($C94:$J94)&gt;0,C94/MAX($C94:$J94),0)*WWar)</f>
        <v/>
      </c>
      <c r="D118" s="63" t="n"/>
      <c r="E118" s="104">
        <f>IF(E113="","",IF(MAX($C94:$J94)&gt;0,E94/MAX($C94:$J94),0)*WWar)</f>
        <v/>
      </c>
      <c r="F118" s="63" t="n"/>
      <c r="G118" s="104">
        <f>IF(G113="","",IF(MAX($C94:$J94)&gt;0,G94/MAX($C94:$J94),0)*WWar)</f>
        <v/>
      </c>
      <c r="H118" s="63" t="n"/>
      <c r="I118" s="104">
        <f>IF(I113="","",IF(MAX($C94:$J94)&gt;0,I94/MAX($C94:$J94),0)*WWar)</f>
        <v/>
      </c>
      <c r="J118" s="63" t="n"/>
    </row>
    <row r="119">
      <c r="B119" s="19" t="inlineStr">
        <is>
          <t>Completeness points</t>
        </is>
      </c>
      <c r="C119" s="104">
        <f>IF(C113="","",C114*WComp)</f>
        <v/>
      </c>
      <c r="D119" s="63" t="n"/>
      <c r="E119" s="104">
        <f>IF(E113="","",E114*WComp)</f>
        <v/>
      </c>
      <c r="F119" s="63" t="n"/>
      <c r="G119" s="104">
        <f>IF(G113="","",G114*WComp)</f>
        <v/>
      </c>
      <c r="H119" s="63" t="n"/>
      <c r="I119" s="104">
        <f>IF(I113="","",I114*WComp)</f>
        <v/>
      </c>
      <c r="J119" s="63" t="n"/>
    </row>
    <row r="120">
      <c r="B120" s="19" t="inlineStr">
        <is>
          <t>Gut &amp; references points</t>
        </is>
      </c>
      <c r="C120" s="104">
        <f>IF(C113="","",(IF(C96="",0,C96/5)*0.7+IF(C95="Yes",0.3,0))*WGut)</f>
        <v/>
      </c>
      <c r="D120" s="63" t="n"/>
      <c r="E120" s="104">
        <f>IF(E113="","",(IF(E96="",0,E96/5)*0.7+IF(E95="Yes",0.3,0))*WGut)</f>
        <v/>
      </c>
      <c r="F120" s="63" t="n"/>
      <c r="G120" s="104">
        <f>IF(G113="","",(IF(G96="",0,G96/5)*0.7+IF(G95="Yes",0.3,0))*WGut)</f>
        <v/>
      </c>
      <c r="H120" s="63" t="n"/>
      <c r="I120" s="104">
        <f>IF(I113="","",(IF(I96="",0,I96/5)*0.7+IF(I95="Yes",0.3,0))*WGut)</f>
        <v/>
      </c>
      <c r="J120" s="63" t="n"/>
    </row>
    <row r="121">
      <c r="B121" s="6" t="inlineStr">
        <is>
          <t>TOTAL SCORE</t>
        </is>
      </c>
      <c r="C121" s="105">
        <f>IF(C113="","",ROUND(SUM(C116:C120),1))</f>
        <v/>
      </c>
      <c r="D121" s="63" t="n"/>
      <c r="E121" s="105">
        <f>IF(E113="","",ROUND(SUM(E116:E120),1))</f>
        <v/>
      </c>
      <c r="F121" s="63" t="n"/>
      <c r="G121" s="105">
        <f>IF(G113="","",ROUND(SUM(G116:G120),1))</f>
        <v/>
      </c>
      <c r="H121" s="63" t="n"/>
      <c r="I121" s="105">
        <f>IF(I113="","",ROUND(SUM(I116:I120),1))</f>
        <v/>
      </c>
      <c r="J121" s="63" t="n"/>
    </row>
    <row r="122">
      <c r="B122" s="6" t="inlineStr">
        <is>
          <t>Ranking</t>
        </is>
      </c>
      <c r="C122" s="106">
        <f>IF(C121="","",IF(C121=MAX($C121:$J121),"🏆 WINNER","#"&amp;(1+COUNTIF($C121:$J121,"&gt;"&amp;C121))))</f>
        <v/>
      </c>
      <c r="D122" s="63" t="n"/>
      <c r="E122" s="106">
        <f>IF(E121="","",IF(E121=MAX($C121:$J121),"🏆 WINNER","#"&amp;(1+COUNTIF($C121:$J121,"&gt;"&amp;E121))))</f>
        <v/>
      </c>
      <c r="F122" s="63" t="n"/>
      <c r="G122" s="106">
        <f>IF(G121="","",IF(G121=MAX($C121:$J121),"🏆 WINNER","#"&amp;(1+COUNTIF($C121:$J121,"&gt;"&amp;G121))))</f>
        <v/>
      </c>
      <c r="H122" s="63" t="n"/>
      <c r="I122" s="106">
        <f>IF(I121="","",IF(I121=MAX($C121:$J121),"🏆 WINNER","#"&amp;(1+COUNTIF($C121:$J121,"&gt;"&amp;I121))))</f>
        <v/>
      </c>
      <c r="J122" s="63" t="n"/>
    </row>
    <row r="123" ht="26" customHeight="1">
      <c r="B123" s="107">
        <f>IF(COUNT($C113:$J113)&lt;2,"",IF(INDEX($C89:$J89,MATCH(MIN($C92:$J92),$C92:$J92,0))&lt;&gt;INDEX($C89:$J89,MATCH(MIN($C113:$J113),$C113:$J113,0)),"⚠️ Hidden costs change the ranking! Cheapest quoted price: "&amp;INDEX($C89:$J89,MATCH(MIN($C92:$J92),$C92:$J92,0))&amp;"  →  cheapest TRUE cost: "&amp;INDEX($C89:$J89,MATCH(MIN($C113:$J113),$C113:$J113,0)),"✓ The cheapest quote is also the cheapest true cost."))</f>
        <v/>
      </c>
      <c r="P123" s="46">
        <f>IF(B123="",0,IF(LEFT(B123,1)="✓",0,1))</f>
        <v/>
      </c>
    </row>
    <row r="124"/>
    <row r="125"/>
    <row r="126" ht="28" customHeight="1">
      <c r="B126" s="91" t="inlineStr">
        <is>
          <t>COMPARISON 4  ▸  trade:</t>
        </is>
      </c>
      <c r="C126" s="92" t="inlineStr">
        <is>
          <t>Roofing</t>
        </is>
      </c>
      <c r="D126" s="91" t="n"/>
      <c r="E126" s="93">
        <f>IF(COUNT($C$160:$J$160)=0,"Enter up to 4 quotes below","🏆 Best overall: "&amp;INDEX($C$128:$J$128,MATCH(MAX($C$160:$J$160),$C$160:$J$160,0))&amp;"  —  true cost "&amp;CurSym&amp;" "&amp;FIXED(INDEX($C$152:$J$152,MATCH(MAX($C$160:$J$160),$C$160:$J$160,0)),0))</f>
        <v/>
      </c>
      <c r="F126" s="94" t="n"/>
      <c r="G126" s="94" t="n"/>
      <c r="H126" s="94" t="n"/>
      <c r="I126" s="94" t="n"/>
      <c r="J126" s="63" t="n"/>
    </row>
    <row r="127">
      <c r="C127" s="95" t="inlineStr">
        <is>
          <t>Contractor 1</t>
        </is>
      </c>
      <c r="D127" s="63" t="n"/>
      <c r="E127" s="95" t="inlineStr">
        <is>
          <t>Contractor 2</t>
        </is>
      </c>
      <c r="F127" s="63" t="n"/>
      <c r="G127" s="95" t="inlineStr">
        <is>
          <t>Contractor 3</t>
        </is>
      </c>
      <c r="H127" s="63" t="n"/>
      <c r="I127" s="95" t="inlineStr">
        <is>
          <t>Contractor 4</t>
        </is>
      </c>
      <c r="J127" s="63" t="n"/>
    </row>
    <row r="128">
      <c r="B128" s="6" t="inlineStr">
        <is>
          <t>Contractor / company</t>
        </is>
      </c>
      <c r="C128" s="74" t="inlineStr">
        <is>
          <t>TopRoof</t>
        </is>
      </c>
      <c r="D128" s="96" t="n"/>
      <c r="E128" s="74" t="inlineStr">
        <is>
          <t>SkyHigh Roofing</t>
        </is>
      </c>
      <c r="F128" s="96" t="n"/>
      <c r="G128" s="74" t="n"/>
      <c r="H128" s="96" t="n"/>
      <c r="I128" s="74" t="n"/>
      <c r="J128" s="96" t="n"/>
    </row>
    <row r="129">
      <c r="B129" s="97">
        <f>"Quoted price ("&amp;CurSym&amp;")"</f>
        <v/>
      </c>
      <c r="C129" s="98" t="n">
        <v>4950</v>
      </c>
      <c r="D129" s="96" t="n"/>
      <c r="E129" s="98" t="n">
        <v>5400</v>
      </c>
      <c r="F129" s="96" t="n"/>
      <c r="G129" s="98" t="n"/>
      <c r="H129" s="96" t="n"/>
      <c r="I129" s="98" t="n"/>
      <c r="J129" s="96" t="n"/>
    </row>
    <row r="130">
      <c r="B130" s="97">
        <f>"Price includes "&amp;TaxWord&amp;"?"</f>
        <v/>
      </c>
      <c r="C130" s="74" t="inlineStr">
        <is>
          <t>Yes</t>
        </is>
      </c>
      <c r="D130" s="96" t="n"/>
      <c r="E130" s="74" t="inlineStr">
        <is>
          <t>Yes</t>
        </is>
      </c>
      <c r="F130" s="96" t="n"/>
      <c r="G130" s="74">
        <f>DefInclTax</f>
        <v/>
      </c>
      <c r="H130" s="96" t="n"/>
      <c r="I130" s="74">
        <f>DefInclTax</f>
        <v/>
      </c>
      <c r="J130" s="96" t="n"/>
    </row>
    <row r="131">
      <c r="B131" s="97">
        <f>"Price incl. "&amp;TaxWord&amp;" ("&amp;CurSym&amp;")"</f>
        <v/>
      </c>
      <c r="C131" s="99">
        <f>IF(C129="","",IF(C130="No",C129*(1+VatRate),C129))</f>
        <v/>
      </c>
      <c r="D131" s="63" t="n"/>
      <c r="E131" s="99">
        <f>IF(E129="","",IF(E130="No",E129*(1+VatRate),E129))</f>
        <v/>
      </c>
      <c r="F131" s="63" t="n"/>
      <c r="G131" s="99">
        <f>IF(G129="","",IF(G130="No",G129*(1+VatRate),G129))</f>
        <v/>
      </c>
      <c r="H131" s="63" t="n"/>
      <c r="I131" s="99">
        <f>IF(I129="","",IF(I130="No",I129*(1+VatRate),I129))</f>
        <v/>
      </c>
      <c r="J131" s="63" t="n"/>
    </row>
    <row r="132">
      <c r="B132" s="19" t="inlineStr">
        <is>
          <t>Timeline (weeks)</t>
        </is>
      </c>
      <c r="C132" s="100" t="n">
        <v>1</v>
      </c>
      <c r="D132" s="96" t="n"/>
      <c r="E132" s="100" t="n">
        <v>1</v>
      </c>
      <c r="F132" s="96" t="n"/>
      <c r="G132" s="100" t="n"/>
      <c r="H132" s="96" t="n"/>
      <c r="I132" s="100" t="n"/>
      <c r="J132" s="96" t="n"/>
    </row>
    <row r="133">
      <c r="B133" s="19" t="inlineStr">
        <is>
          <t>Warranty (years)</t>
        </is>
      </c>
      <c r="C133" s="100" t="n">
        <v>10</v>
      </c>
      <c r="D133" s="96" t="n"/>
      <c r="E133" s="100" t="n">
        <v>5</v>
      </c>
      <c r="F133" s="96" t="n"/>
      <c r="G133" s="100" t="n"/>
      <c r="H133" s="96" t="n"/>
      <c r="I133" s="100" t="n"/>
      <c r="J133" s="96" t="n"/>
    </row>
    <row r="134">
      <c r="B134" s="19" t="inlineStr">
        <is>
          <t>References checked?</t>
        </is>
      </c>
      <c r="C134" s="74" t="inlineStr">
        <is>
          <t>Yes</t>
        </is>
      </c>
      <c r="D134" s="96" t="n"/>
      <c r="E134" s="74" t="inlineStr">
        <is>
          <t>Yes</t>
        </is>
      </c>
      <c r="F134" s="96" t="n"/>
      <c r="G134" s="74" t="n"/>
      <c r="H134" s="96" t="n"/>
      <c r="I134" s="74" t="n"/>
      <c r="J134" s="96" t="n"/>
    </row>
    <row r="135">
      <c r="B135" s="19" t="inlineStr">
        <is>
          <t>Gut feeling (1–5)</t>
        </is>
      </c>
      <c r="C135" s="89" t="n">
        <v>4</v>
      </c>
      <c r="D135" s="96" t="n"/>
      <c r="E135" s="89" t="n">
        <v>3</v>
      </c>
      <c r="F135" s="96" t="n"/>
      <c r="G135" s="89" t="n"/>
      <c r="H135" s="96" t="n"/>
      <c r="I135" s="89" t="n"/>
      <c r="J135" s="96" t="n"/>
    </row>
    <row r="136">
      <c r="B136" s="19" t="inlineStr">
        <is>
          <t>Quote valid until</t>
        </is>
      </c>
      <c r="C136" s="101" t="n">
        <v>46265</v>
      </c>
      <c r="D136" s="96" t="n"/>
      <c r="E136" s="101" t="n">
        <v>46265</v>
      </c>
      <c r="F136" s="96" t="n"/>
      <c r="G136" s="101" t="n"/>
      <c r="H136" s="96" t="n"/>
      <c r="I136" s="101" t="n"/>
      <c r="J136" s="96" t="n"/>
    </row>
    <row r="137">
      <c r="B137" s="80" t="inlineStr">
        <is>
          <t>HIDDEN-COST CHECKLIST</t>
        </is>
      </c>
      <c r="C137" s="95" t="inlineStr">
        <is>
          <t>Included?</t>
        </is>
      </c>
      <c r="D137" s="82">
        <f>"Extra "&amp;CurSym</f>
        <v/>
      </c>
      <c r="E137" s="95" t="inlineStr">
        <is>
          <t>Included?</t>
        </is>
      </c>
      <c r="F137" s="82">
        <f>"Extra "&amp;CurSym</f>
        <v/>
      </c>
      <c r="G137" s="95" t="inlineStr">
        <is>
          <t>Included?</t>
        </is>
      </c>
      <c r="H137" s="82">
        <f>"Extra "&amp;CurSym</f>
        <v/>
      </c>
      <c r="I137" s="95" t="inlineStr">
        <is>
          <t>Included?</t>
        </is>
      </c>
      <c r="J137" s="82">
        <f>"Extra "&amp;CurSym</f>
        <v/>
      </c>
    </row>
    <row r="138">
      <c r="B138" s="19" t="inlineStr">
        <is>
          <t>Demolition</t>
        </is>
      </c>
      <c r="C138" s="74" t="inlineStr">
        <is>
          <t>Included</t>
        </is>
      </c>
      <c r="D138" s="73" t="n"/>
      <c r="E138" s="74" t="inlineStr">
        <is>
          <t>Included</t>
        </is>
      </c>
      <c r="F138" s="73" t="n"/>
      <c r="G138" s="74" t="n"/>
      <c r="H138" s="73" t="n"/>
      <c r="I138" s="74" t="n"/>
      <c r="J138" s="73" t="n"/>
    </row>
    <row r="139">
      <c r="B139" s="19" t="inlineStr">
        <is>
          <t>Waste disposal</t>
        </is>
      </c>
      <c r="C139" s="74" t="inlineStr">
        <is>
          <t>Included</t>
        </is>
      </c>
      <c r="D139" s="73" t="n"/>
      <c r="E139" s="74" t="inlineStr">
        <is>
          <t>Unclear</t>
        </is>
      </c>
      <c r="F139" s="73" t="n">
        <v>300</v>
      </c>
      <c r="G139" s="74" t="n"/>
      <c r="H139" s="73" t="n"/>
      <c r="I139" s="74" t="n"/>
      <c r="J139" s="73" t="n"/>
    </row>
    <row r="140">
      <c r="B140" s="19" t="inlineStr">
        <is>
          <t>Delivery</t>
        </is>
      </c>
      <c r="C140" s="74" t="inlineStr">
        <is>
          <t>Included</t>
        </is>
      </c>
      <c r="D140" s="73" t="n"/>
      <c r="E140" s="74" t="inlineStr">
        <is>
          <t>Included</t>
        </is>
      </c>
      <c r="F140" s="73" t="n"/>
      <c r="G140" s="74" t="n"/>
      <c r="H140" s="73" t="n"/>
      <c r="I140" s="74" t="n"/>
      <c r="J140" s="73" t="n"/>
    </row>
    <row r="141">
      <c r="B141" s="19" t="inlineStr">
        <is>
          <t>Permits</t>
        </is>
      </c>
      <c r="C141" s="74" t="inlineStr">
        <is>
          <t>Included</t>
        </is>
      </c>
      <c r="D141" s="73" t="n"/>
      <c r="E141" s="74" t="inlineStr">
        <is>
          <t>Included</t>
        </is>
      </c>
      <c r="F141" s="73" t="n"/>
      <c r="G141" s="74" t="n"/>
      <c r="H141" s="73" t="n"/>
      <c r="I141" s="74" t="n"/>
      <c r="J141" s="73" t="n"/>
    </row>
    <row r="142">
      <c r="B142" s="19" t="inlineStr">
        <is>
          <t>Materials specified</t>
        </is>
      </c>
      <c r="C142" s="74" t="inlineStr">
        <is>
          <t>Included</t>
        </is>
      </c>
      <c r="D142" s="73" t="n"/>
      <c r="E142" s="74" t="inlineStr">
        <is>
          <t>Included</t>
        </is>
      </c>
      <c r="F142" s="73" t="n"/>
      <c r="G142" s="74" t="n"/>
      <c r="H142" s="73" t="n"/>
      <c r="I142" s="74" t="n"/>
      <c r="J142" s="73" t="n"/>
    </row>
    <row r="143">
      <c r="B143" s="19" t="inlineStr">
        <is>
          <t>Labor specified</t>
        </is>
      </c>
      <c r="C143" s="74" t="inlineStr">
        <is>
          <t>Included</t>
        </is>
      </c>
      <c r="D143" s="73" t="n"/>
      <c r="E143" s="74" t="inlineStr">
        <is>
          <t>Included</t>
        </is>
      </c>
      <c r="F143" s="73" t="n"/>
      <c r="G143" s="74" t="n"/>
      <c r="H143" s="73" t="n"/>
      <c r="I143" s="74" t="n"/>
      <c r="J143" s="73" t="n"/>
    </row>
    <row r="144">
      <c r="B144" s="19" t="inlineStr">
        <is>
          <t>Finishing</t>
        </is>
      </c>
      <c r="C144" s="74" t="inlineStr">
        <is>
          <t>Included</t>
        </is>
      </c>
      <c r="D144" s="73" t="n"/>
      <c r="E144" s="74" t="inlineStr">
        <is>
          <t>Included</t>
        </is>
      </c>
      <c r="F144" s="73" t="n"/>
      <c r="G144" s="74" t="n"/>
      <c r="H144" s="73" t="n"/>
      <c r="I144" s="74" t="n"/>
      <c r="J144" s="73" t="n"/>
    </row>
    <row r="145">
      <c r="B145" s="19" t="inlineStr">
        <is>
          <t>Cleanup</t>
        </is>
      </c>
      <c r="C145" s="74" t="inlineStr">
        <is>
          <t>Included</t>
        </is>
      </c>
      <c r="D145" s="73" t="n"/>
      <c r="E145" s="74" t="inlineStr">
        <is>
          <t>Included</t>
        </is>
      </c>
      <c r="F145" s="73" t="n"/>
      <c r="G145" s="74" t="n"/>
      <c r="H145" s="73" t="n"/>
      <c r="I145" s="74" t="n"/>
      <c r="J145" s="73" t="n"/>
    </row>
    <row r="146">
      <c r="B146" s="97">
        <f>TaxWord&amp;" shown in price"</f>
        <v/>
      </c>
      <c r="C146" s="74" t="inlineStr">
        <is>
          <t>Included</t>
        </is>
      </c>
      <c r="D146" s="73" t="n"/>
      <c r="E146" s="74" t="inlineStr">
        <is>
          <t>Included</t>
        </is>
      </c>
      <c r="F146" s="73" t="n"/>
      <c r="G146" s="74" t="n"/>
      <c r="H146" s="73" t="n"/>
      <c r="I146" s="74" t="n"/>
      <c r="J146" s="73" t="n"/>
    </row>
    <row r="147">
      <c r="B147" s="19" t="inlineStr">
        <is>
          <t>Electrical upgrades</t>
        </is>
      </c>
      <c r="C147" s="74" t="inlineStr">
        <is>
          <t>Included</t>
        </is>
      </c>
      <c r="D147" s="73" t="n"/>
      <c r="E147" s="74" t="inlineStr">
        <is>
          <t>Included</t>
        </is>
      </c>
      <c r="F147" s="73" t="n"/>
      <c r="G147" s="74" t="n"/>
      <c r="H147" s="73" t="n"/>
      <c r="I147" s="74" t="n"/>
      <c r="J147" s="73" t="n"/>
    </row>
    <row r="148">
      <c r="B148" s="19" t="inlineStr">
        <is>
          <t>Plumbing modifications</t>
        </is>
      </c>
      <c r="C148" s="74" t="inlineStr">
        <is>
          <t>Included</t>
        </is>
      </c>
      <c r="D148" s="73" t="n"/>
      <c r="E148" s="74" t="inlineStr">
        <is>
          <t>Included</t>
        </is>
      </c>
      <c r="F148" s="73" t="n"/>
      <c r="G148" s="74" t="n"/>
      <c r="H148" s="73" t="n"/>
      <c r="I148" s="74" t="n"/>
      <c r="J148" s="73" t="n"/>
    </row>
    <row r="149">
      <c r="B149" s="19" t="inlineStr">
        <is>
          <t>Payment schedule defined</t>
        </is>
      </c>
      <c r="C149" s="74" t="inlineStr">
        <is>
          <t>Included</t>
        </is>
      </c>
      <c r="D149" s="73" t="n"/>
      <c r="E149" s="74" t="inlineStr">
        <is>
          <t>Included</t>
        </is>
      </c>
      <c r="F149" s="73" t="n"/>
      <c r="G149" s="74" t="n"/>
      <c r="H149" s="73" t="n"/>
      <c r="I149" s="74" t="n"/>
      <c r="J149" s="73" t="n"/>
    </row>
    <row r="150">
      <c r="B150" s="19" t="inlineStr">
        <is>
          <t>Warranty in writing</t>
        </is>
      </c>
      <c r="C150" s="74" t="inlineStr">
        <is>
          <t>Included</t>
        </is>
      </c>
      <c r="D150" s="73" t="n"/>
      <c r="E150" s="74" t="inlineStr">
        <is>
          <t>Included</t>
        </is>
      </c>
      <c r="F150" s="73" t="n"/>
      <c r="G150" s="74" t="n"/>
      <c r="H150" s="73" t="n"/>
      <c r="I150" s="74" t="n"/>
      <c r="J150" s="73" t="n"/>
    </row>
    <row r="151">
      <c r="B151" s="97">
        <f>"Hidden extras ("&amp;CurSym&amp;")"</f>
        <v/>
      </c>
      <c r="C151" s="99">
        <f>IF(C128="","",SUMPRODUCT((C138:C150&lt;&gt;"Included")*D138:D150))</f>
        <v/>
      </c>
      <c r="D151" s="63" t="n"/>
      <c r="E151" s="99">
        <f>IF(E128="","",SUMPRODUCT((E138:E150&lt;&gt;"Included")*F138:F150))</f>
        <v/>
      </c>
      <c r="F151" s="63" t="n"/>
      <c r="G151" s="99">
        <f>IF(G128="","",SUMPRODUCT((G138:G150&lt;&gt;"Included")*H138:H150))</f>
        <v/>
      </c>
      <c r="H151" s="63" t="n"/>
      <c r="I151" s="99">
        <f>IF(I128="","",SUMPRODUCT((I138:I150&lt;&gt;"Included")*J138:J150))</f>
        <v/>
      </c>
      <c r="J151" s="63" t="n"/>
    </row>
    <row r="152">
      <c r="B152" s="13">
        <f>"TRUE COST ("&amp;CurSym&amp;")"</f>
        <v/>
      </c>
      <c r="C152" s="102">
        <f>IF(OR(C128="",C131=""),"",C131+C151)</f>
        <v/>
      </c>
      <c r="D152" s="63" t="n"/>
      <c r="E152" s="102">
        <f>IF(OR(E128="",E131=""),"",E131+E151)</f>
        <v/>
      </c>
      <c r="F152" s="63" t="n"/>
      <c r="G152" s="102">
        <f>IF(OR(G128="",G131=""),"",G131+G151)</f>
        <v/>
      </c>
      <c r="H152" s="63" t="n"/>
      <c r="I152" s="102">
        <f>IF(OR(I128="",I131=""),"",I131+I151)</f>
        <v/>
      </c>
      <c r="J152" s="63" t="n"/>
    </row>
    <row r="153">
      <c r="B153" s="19" t="inlineStr">
        <is>
          <t>Completeness</t>
        </is>
      </c>
      <c r="C153" s="103">
        <f>IF(C128="","",COUNTIF(C138:C150,"Included")/13)</f>
        <v/>
      </c>
      <c r="D153" s="63" t="n"/>
      <c r="E153" s="103">
        <f>IF(E128="","",COUNTIF(E138:E150,"Included")/13)</f>
        <v/>
      </c>
      <c r="F153" s="63" t="n"/>
      <c r="G153" s="103">
        <f>IF(G128="","",COUNTIF(G138:G150,"Included")/13)</f>
        <v/>
      </c>
      <c r="H153" s="63" t="n"/>
      <c r="I153" s="103">
        <f>IF(I128="","",COUNTIF(I138:I150,"Included")/13)</f>
        <v/>
      </c>
      <c r="J153" s="63" t="n"/>
    </row>
    <row r="154">
      <c r="B154" s="80" t="inlineStr">
        <is>
          <t>SCORE</t>
        </is>
      </c>
    </row>
    <row r="155">
      <c r="B155" s="19" t="inlineStr">
        <is>
          <t>Price points</t>
        </is>
      </c>
      <c r="C155" s="104">
        <f>IF(C152="","",IF(C152&gt;0,MIN($C152:$J152)/C152,0)*WPrice)</f>
        <v/>
      </c>
      <c r="D155" s="63" t="n"/>
      <c r="E155" s="104">
        <f>IF(E152="","",IF(E152&gt;0,MIN($C152:$J152)/E152,0)*WPrice)</f>
        <v/>
      </c>
      <c r="F155" s="63" t="n"/>
      <c r="G155" s="104">
        <f>IF(G152="","",IF(G152&gt;0,MIN($C152:$J152)/G152,0)*WPrice)</f>
        <v/>
      </c>
      <c r="H155" s="63" t="n"/>
      <c r="I155" s="104">
        <f>IF(I152="","",IF(I152&gt;0,MIN($C152:$J152)/I152,0)*WPrice)</f>
        <v/>
      </c>
      <c r="J155" s="63" t="n"/>
    </row>
    <row r="156">
      <c r="B156" s="19" t="inlineStr">
        <is>
          <t>Timeline points</t>
        </is>
      </c>
      <c r="C156" s="104">
        <f>IF(C152="","",IF(C132&gt;0,MIN($C132:$J132)/C132,0)*WTime)</f>
        <v/>
      </c>
      <c r="D156" s="63" t="n"/>
      <c r="E156" s="104">
        <f>IF(E152="","",IF(E132&gt;0,MIN($C132:$J132)/E132,0)*WTime)</f>
        <v/>
      </c>
      <c r="F156" s="63" t="n"/>
      <c r="G156" s="104">
        <f>IF(G152="","",IF(G132&gt;0,MIN($C132:$J132)/G132,0)*WTime)</f>
        <v/>
      </c>
      <c r="H156" s="63" t="n"/>
      <c r="I156" s="104">
        <f>IF(I152="","",IF(I132&gt;0,MIN($C132:$J132)/I132,0)*WTime)</f>
        <v/>
      </c>
      <c r="J156" s="63" t="n"/>
    </row>
    <row r="157">
      <c r="B157" s="19" t="inlineStr">
        <is>
          <t>Warranty points</t>
        </is>
      </c>
      <c r="C157" s="104">
        <f>IF(C152="","",IF(MAX($C133:$J133)&gt;0,C133/MAX($C133:$J133),0)*WWar)</f>
        <v/>
      </c>
      <c r="D157" s="63" t="n"/>
      <c r="E157" s="104">
        <f>IF(E152="","",IF(MAX($C133:$J133)&gt;0,E133/MAX($C133:$J133),0)*WWar)</f>
        <v/>
      </c>
      <c r="F157" s="63" t="n"/>
      <c r="G157" s="104">
        <f>IF(G152="","",IF(MAX($C133:$J133)&gt;0,G133/MAX($C133:$J133),0)*WWar)</f>
        <v/>
      </c>
      <c r="H157" s="63" t="n"/>
      <c r="I157" s="104">
        <f>IF(I152="","",IF(MAX($C133:$J133)&gt;0,I133/MAX($C133:$J133),0)*WWar)</f>
        <v/>
      </c>
      <c r="J157" s="63" t="n"/>
    </row>
    <row r="158">
      <c r="B158" s="19" t="inlineStr">
        <is>
          <t>Completeness points</t>
        </is>
      </c>
      <c r="C158" s="104">
        <f>IF(C152="","",C153*WComp)</f>
        <v/>
      </c>
      <c r="D158" s="63" t="n"/>
      <c r="E158" s="104">
        <f>IF(E152="","",E153*WComp)</f>
        <v/>
      </c>
      <c r="F158" s="63" t="n"/>
      <c r="G158" s="104">
        <f>IF(G152="","",G153*WComp)</f>
        <v/>
      </c>
      <c r="H158" s="63" t="n"/>
      <c r="I158" s="104">
        <f>IF(I152="","",I153*WComp)</f>
        <v/>
      </c>
      <c r="J158" s="63" t="n"/>
    </row>
    <row r="159">
      <c r="B159" s="19" t="inlineStr">
        <is>
          <t>Gut &amp; references points</t>
        </is>
      </c>
      <c r="C159" s="104">
        <f>IF(C152="","",(IF(C135="",0,C135/5)*0.7+IF(C134="Yes",0.3,0))*WGut)</f>
        <v/>
      </c>
      <c r="D159" s="63" t="n"/>
      <c r="E159" s="104">
        <f>IF(E152="","",(IF(E135="",0,E135/5)*0.7+IF(E134="Yes",0.3,0))*WGut)</f>
        <v/>
      </c>
      <c r="F159" s="63" t="n"/>
      <c r="G159" s="104">
        <f>IF(G152="","",(IF(G135="",0,G135/5)*0.7+IF(G134="Yes",0.3,0))*WGut)</f>
        <v/>
      </c>
      <c r="H159" s="63" t="n"/>
      <c r="I159" s="104">
        <f>IF(I152="","",(IF(I135="",0,I135/5)*0.7+IF(I134="Yes",0.3,0))*WGut)</f>
        <v/>
      </c>
      <c r="J159" s="63" t="n"/>
    </row>
    <row r="160">
      <c r="B160" s="6" t="inlineStr">
        <is>
          <t>TOTAL SCORE</t>
        </is>
      </c>
      <c r="C160" s="105">
        <f>IF(C152="","",ROUND(SUM(C155:C159),1))</f>
        <v/>
      </c>
      <c r="D160" s="63" t="n"/>
      <c r="E160" s="105">
        <f>IF(E152="","",ROUND(SUM(E155:E159),1))</f>
        <v/>
      </c>
      <c r="F160" s="63" t="n"/>
      <c r="G160" s="105">
        <f>IF(G152="","",ROUND(SUM(G155:G159),1))</f>
        <v/>
      </c>
      <c r="H160" s="63" t="n"/>
      <c r="I160" s="105">
        <f>IF(I152="","",ROUND(SUM(I155:I159),1))</f>
        <v/>
      </c>
      <c r="J160" s="63" t="n"/>
    </row>
    <row r="161">
      <c r="B161" s="6" t="inlineStr">
        <is>
          <t>Ranking</t>
        </is>
      </c>
      <c r="C161" s="106">
        <f>IF(C160="","",IF(C160=MAX($C160:$J160),"🏆 WINNER","#"&amp;(1+COUNTIF($C160:$J160,"&gt;"&amp;C160))))</f>
        <v/>
      </c>
      <c r="D161" s="63" t="n"/>
      <c r="E161" s="106">
        <f>IF(E160="","",IF(E160=MAX($C160:$J160),"🏆 WINNER","#"&amp;(1+COUNTIF($C160:$J160,"&gt;"&amp;E160))))</f>
        <v/>
      </c>
      <c r="F161" s="63" t="n"/>
      <c r="G161" s="106">
        <f>IF(G160="","",IF(G160=MAX($C160:$J160),"🏆 WINNER","#"&amp;(1+COUNTIF($C160:$J160,"&gt;"&amp;G160))))</f>
        <v/>
      </c>
      <c r="H161" s="63" t="n"/>
      <c r="I161" s="106">
        <f>IF(I160="","",IF(I160=MAX($C160:$J160),"🏆 WINNER","#"&amp;(1+COUNTIF($C160:$J160,"&gt;"&amp;I160))))</f>
        <v/>
      </c>
      <c r="J161" s="63" t="n"/>
    </row>
    <row r="162" ht="26" customHeight="1">
      <c r="B162" s="107">
        <f>IF(COUNT($C152:$J152)&lt;2,"",IF(INDEX($C128:$J128,MATCH(MIN($C131:$J131),$C131:$J131,0))&lt;&gt;INDEX($C128:$J128,MATCH(MIN($C152:$J152),$C152:$J152,0)),"⚠️ Hidden costs change the ranking! Cheapest quoted price: "&amp;INDEX($C128:$J128,MATCH(MIN($C131:$J131),$C131:$J131,0))&amp;"  →  cheapest TRUE cost: "&amp;INDEX($C128:$J128,MATCH(MIN($C152:$J152),$C152:$J152,0)),"✓ The cheapest quote is also the cheapest true cost."))</f>
        <v/>
      </c>
      <c r="P162" s="46">
        <f>IF(B162="",0,IF(LEFT(B162,1)="✓",0,1))</f>
        <v/>
      </c>
    </row>
    <row r="163"/>
    <row r="164"/>
    <row r="165" ht="28" customHeight="1">
      <c r="B165" s="91" t="inlineStr">
        <is>
          <t>COMPARISON 5  ▸  trade:</t>
        </is>
      </c>
      <c r="C165" s="92" t="n"/>
      <c r="D165" s="91" t="n"/>
      <c r="E165" s="93">
        <f>IF(COUNT($C$199:$J$199)=0,"Enter up to 4 quotes below","🏆 Best overall: "&amp;INDEX($C$167:$J$167,MATCH(MAX($C$199:$J$199),$C$199:$J$199,0))&amp;"  —  true cost "&amp;CurSym&amp;" "&amp;FIXED(INDEX($C$191:$J$191,MATCH(MAX($C$199:$J$199),$C$199:$J$199,0)),0))</f>
        <v/>
      </c>
      <c r="F165" s="94" t="n"/>
      <c r="G165" s="94" t="n"/>
      <c r="H165" s="94" t="n"/>
      <c r="I165" s="94" t="n"/>
      <c r="J165" s="63" t="n"/>
    </row>
    <row r="166">
      <c r="C166" s="95" t="inlineStr">
        <is>
          <t>Contractor 1</t>
        </is>
      </c>
      <c r="D166" s="63" t="n"/>
      <c r="E166" s="95" t="inlineStr">
        <is>
          <t>Contractor 2</t>
        </is>
      </c>
      <c r="F166" s="63" t="n"/>
      <c r="G166" s="95" t="inlineStr">
        <is>
          <t>Contractor 3</t>
        </is>
      </c>
      <c r="H166" s="63" t="n"/>
      <c r="I166" s="95" t="inlineStr">
        <is>
          <t>Contractor 4</t>
        </is>
      </c>
      <c r="J166" s="63" t="n"/>
    </row>
    <row r="167">
      <c r="B167" s="6" t="inlineStr">
        <is>
          <t>Contractor / company</t>
        </is>
      </c>
      <c r="C167" s="74" t="n"/>
      <c r="D167" s="96" t="n"/>
      <c r="E167" s="74" t="n"/>
      <c r="F167" s="96" t="n"/>
      <c r="G167" s="74" t="n"/>
      <c r="H167" s="96" t="n"/>
      <c r="I167" s="74" t="n"/>
      <c r="J167" s="96" t="n"/>
    </row>
    <row r="168">
      <c r="B168" s="97">
        <f>"Quoted price ("&amp;CurSym&amp;")"</f>
        <v/>
      </c>
      <c r="C168" s="98" t="n"/>
      <c r="D168" s="96" t="n"/>
      <c r="E168" s="98" t="n"/>
      <c r="F168" s="96" t="n"/>
      <c r="G168" s="98" t="n"/>
      <c r="H168" s="96" t="n"/>
      <c r="I168" s="98" t="n"/>
      <c r="J168" s="96" t="n"/>
    </row>
    <row r="169">
      <c r="B169" s="97">
        <f>"Price includes "&amp;TaxWord&amp;"?"</f>
        <v/>
      </c>
      <c r="C169" s="74">
        <f>DefInclTax</f>
        <v/>
      </c>
      <c r="D169" s="96" t="n"/>
      <c r="E169" s="74">
        <f>DefInclTax</f>
        <v/>
      </c>
      <c r="F169" s="96" t="n"/>
      <c r="G169" s="74">
        <f>DefInclTax</f>
        <v/>
      </c>
      <c r="H169" s="96" t="n"/>
      <c r="I169" s="74">
        <f>DefInclTax</f>
        <v/>
      </c>
      <c r="J169" s="96" t="n"/>
    </row>
    <row r="170">
      <c r="B170" s="97">
        <f>"Price incl. "&amp;TaxWord&amp;" ("&amp;CurSym&amp;")"</f>
        <v/>
      </c>
      <c r="C170" s="99">
        <f>IF(C168="","",IF(C169="No",C168*(1+VatRate),C168))</f>
        <v/>
      </c>
      <c r="D170" s="63" t="n"/>
      <c r="E170" s="99">
        <f>IF(E168="","",IF(E169="No",E168*(1+VatRate),E168))</f>
        <v/>
      </c>
      <c r="F170" s="63" t="n"/>
      <c r="G170" s="99">
        <f>IF(G168="","",IF(G169="No",G168*(1+VatRate),G168))</f>
        <v/>
      </c>
      <c r="H170" s="63" t="n"/>
      <c r="I170" s="99">
        <f>IF(I168="","",IF(I169="No",I168*(1+VatRate),I168))</f>
        <v/>
      </c>
      <c r="J170" s="63" t="n"/>
    </row>
    <row r="171">
      <c r="B171" s="19" t="inlineStr">
        <is>
          <t>Timeline (weeks)</t>
        </is>
      </c>
      <c r="C171" s="100" t="n"/>
      <c r="D171" s="96" t="n"/>
      <c r="E171" s="100" t="n"/>
      <c r="F171" s="96" t="n"/>
      <c r="G171" s="100" t="n"/>
      <c r="H171" s="96" t="n"/>
      <c r="I171" s="100" t="n"/>
      <c r="J171" s="96" t="n"/>
    </row>
    <row r="172">
      <c r="B172" s="19" t="inlineStr">
        <is>
          <t>Warranty (years)</t>
        </is>
      </c>
      <c r="C172" s="100" t="n"/>
      <c r="D172" s="96" t="n"/>
      <c r="E172" s="100" t="n"/>
      <c r="F172" s="96" t="n"/>
      <c r="G172" s="100" t="n"/>
      <c r="H172" s="96" t="n"/>
      <c r="I172" s="100" t="n"/>
      <c r="J172" s="96" t="n"/>
    </row>
    <row r="173">
      <c r="B173" s="19" t="inlineStr">
        <is>
          <t>References checked?</t>
        </is>
      </c>
      <c r="C173" s="74" t="n"/>
      <c r="D173" s="96" t="n"/>
      <c r="E173" s="74" t="n"/>
      <c r="F173" s="96" t="n"/>
      <c r="G173" s="74" t="n"/>
      <c r="H173" s="96" t="n"/>
      <c r="I173" s="74" t="n"/>
      <c r="J173" s="96" t="n"/>
    </row>
    <row r="174">
      <c r="B174" s="19" t="inlineStr">
        <is>
          <t>Gut feeling (1–5)</t>
        </is>
      </c>
      <c r="C174" s="89" t="n"/>
      <c r="D174" s="96" t="n"/>
      <c r="E174" s="89" t="n"/>
      <c r="F174" s="96" t="n"/>
      <c r="G174" s="89" t="n"/>
      <c r="H174" s="96" t="n"/>
      <c r="I174" s="89" t="n"/>
      <c r="J174" s="96" t="n"/>
    </row>
    <row r="175">
      <c r="B175" s="19" t="inlineStr">
        <is>
          <t>Quote valid until</t>
        </is>
      </c>
      <c r="C175" s="101" t="n"/>
      <c r="D175" s="96" t="n"/>
      <c r="E175" s="101" t="n"/>
      <c r="F175" s="96" t="n"/>
      <c r="G175" s="101" t="n"/>
      <c r="H175" s="96" t="n"/>
      <c r="I175" s="101" t="n"/>
      <c r="J175" s="96" t="n"/>
    </row>
    <row r="176">
      <c r="B176" s="80" t="inlineStr">
        <is>
          <t>HIDDEN-COST CHECKLIST</t>
        </is>
      </c>
      <c r="C176" s="95" t="inlineStr">
        <is>
          <t>Included?</t>
        </is>
      </c>
      <c r="D176" s="82">
        <f>"Extra "&amp;CurSym</f>
        <v/>
      </c>
      <c r="E176" s="95" t="inlineStr">
        <is>
          <t>Included?</t>
        </is>
      </c>
      <c r="F176" s="82">
        <f>"Extra "&amp;CurSym</f>
        <v/>
      </c>
      <c r="G176" s="95" t="inlineStr">
        <is>
          <t>Included?</t>
        </is>
      </c>
      <c r="H176" s="82">
        <f>"Extra "&amp;CurSym</f>
        <v/>
      </c>
      <c r="I176" s="95" t="inlineStr">
        <is>
          <t>Included?</t>
        </is>
      </c>
      <c r="J176" s="82">
        <f>"Extra "&amp;CurSym</f>
        <v/>
      </c>
    </row>
    <row r="177">
      <c r="B177" s="19" t="inlineStr">
        <is>
          <t>Demolition</t>
        </is>
      </c>
      <c r="C177" s="74" t="n"/>
      <c r="D177" s="73" t="n"/>
      <c r="E177" s="74" t="n"/>
      <c r="F177" s="73" t="n"/>
      <c r="G177" s="74" t="n"/>
      <c r="H177" s="73" t="n"/>
      <c r="I177" s="74" t="n"/>
      <c r="J177" s="73" t="n"/>
    </row>
    <row r="178">
      <c r="B178" s="19" t="inlineStr">
        <is>
          <t>Waste disposal</t>
        </is>
      </c>
      <c r="C178" s="74" t="n"/>
      <c r="D178" s="73" t="n"/>
      <c r="E178" s="74" t="n"/>
      <c r="F178" s="73" t="n"/>
      <c r="G178" s="74" t="n"/>
      <c r="H178" s="73" t="n"/>
      <c r="I178" s="74" t="n"/>
      <c r="J178" s="73" t="n"/>
    </row>
    <row r="179">
      <c r="B179" s="19" t="inlineStr">
        <is>
          <t>Delivery</t>
        </is>
      </c>
      <c r="C179" s="74" t="n"/>
      <c r="D179" s="73" t="n"/>
      <c r="E179" s="74" t="n"/>
      <c r="F179" s="73" t="n"/>
      <c r="G179" s="74" t="n"/>
      <c r="H179" s="73" t="n"/>
      <c r="I179" s="74" t="n"/>
      <c r="J179" s="73" t="n"/>
    </row>
    <row r="180">
      <c r="B180" s="19" t="inlineStr">
        <is>
          <t>Permits</t>
        </is>
      </c>
      <c r="C180" s="74" t="n"/>
      <c r="D180" s="73" t="n"/>
      <c r="E180" s="74" t="n"/>
      <c r="F180" s="73" t="n"/>
      <c r="G180" s="74" t="n"/>
      <c r="H180" s="73" t="n"/>
      <c r="I180" s="74" t="n"/>
      <c r="J180" s="73" t="n"/>
    </row>
    <row r="181">
      <c r="B181" s="19" t="inlineStr">
        <is>
          <t>Materials specified</t>
        </is>
      </c>
      <c r="C181" s="74" t="n"/>
      <c r="D181" s="73" t="n"/>
      <c r="E181" s="74" t="n"/>
      <c r="F181" s="73" t="n"/>
      <c r="G181" s="74" t="n"/>
      <c r="H181" s="73" t="n"/>
      <c r="I181" s="74" t="n"/>
      <c r="J181" s="73" t="n"/>
    </row>
    <row r="182">
      <c r="B182" s="19" t="inlineStr">
        <is>
          <t>Labor specified</t>
        </is>
      </c>
      <c r="C182" s="74" t="n"/>
      <c r="D182" s="73" t="n"/>
      <c r="E182" s="74" t="n"/>
      <c r="F182" s="73" t="n"/>
      <c r="G182" s="74" t="n"/>
      <c r="H182" s="73" t="n"/>
      <c r="I182" s="74" t="n"/>
      <c r="J182" s="73" t="n"/>
    </row>
    <row r="183">
      <c r="B183" s="19" t="inlineStr">
        <is>
          <t>Finishing</t>
        </is>
      </c>
      <c r="C183" s="74" t="n"/>
      <c r="D183" s="73" t="n"/>
      <c r="E183" s="74" t="n"/>
      <c r="F183" s="73" t="n"/>
      <c r="G183" s="74" t="n"/>
      <c r="H183" s="73" t="n"/>
      <c r="I183" s="74" t="n"/>
      <c r="J183" s="73" t="n"/>
    </row>
    <row r="184">
      <c r="B184" s="19" t="inlineStr">
        <is>
          <t>Cleanup</t>
        </is>
      </c>
      <c r="C184" s="74" t="n"/>
      <c r="D184" s="73" t="n"/>
      <c r="E184" s="74" t="n"/>
      <c r="F184" s="73" t="n"/>
      <c r="G184" s="74" t="n"/>
      <c r="H184" s="73" t="n"/>
      <c r="I184" s="74" t="n"/>
      <c r="J184" s="73" t="n"/>
    </row>
    <row r="185">
      <c r="B185" s="97">
        <f>TaxWord&amp;" shown in price"</f>
        <v/>
      </c>
      <c r="C185" s="74" t="n"/>
      <c r="D185" s="73" t="n"/>
      <c r="E185" s="74" t="n"/>
      <c r="F185" s="73" t="n"/>
      <c r="G185" s="74" t="n"/>
      <c r="H185" s="73" t="n"/>
      <c r="I185" s="74" t="n"/>
      <c r="J185" s="73" t="n"/>
    </row>
    <row r="186">
      <c r="B186" s="19" t="inlineStr">
        <is>
          <t>Electrical upgrades</t>
        </is>
      </c>
      <c r="C186" s="74" t="n"/>
      <c r="D186" s="73" t="n"/>
      <c r="E186" s="74" t="n"/>
      <c r="F186" s="73" t="n"/>
      <c r="G186" s="74" t="n"/>
      <c r="H186" s="73" t="n"/>
      <c r="I186" s="74" t="n"/>
      <c r="J186" s="73" t="n"/>
    </row>
    <row r="187">
      <c r="B187" s="19" t="inlineStr">
        <is>
          <t>Plumbing modifications</t>
        </is>
      </c>
      <c r="C187" s="74" t="n"/>
      <c r="D187" s="73" t="n"/>
      <c r="E187" s="74" t="n"/>
      <c r="F187" s="73" t="n"/>
      <c r="G187" s="74" t="n"/>
      <c r="H187" s="73" t="n"/>
      <c r="I187" s="74" t="n"/>
      <c r="J187" s="73" t="n"/>
    </row>
    <row r="188">
      <c r="B188" s="19" t="inlineStr">
        <is>
          <t>Payment schedule defined</t>
        </is>
      </c>
      <c r="C188" s="74" t="n"/>
      <c r="D188" s="73" t="n"/>
      <c r="E188" s="74" t="n"/>
      <c r="F188" s="73" t="n"/>
      <c r="G188" s="74" t="n"/>
      <c r="H188" s="73" t="n"/>
      <c r="I188" s="74" t="n"/>
      <c r="J188" s="73" t="n"/>
    </row>
    <row r="189">
      <c r="B189" s="19" t="inlineStr">
        <is>
          <t>Warranty in writing</t>
        </is>
      </c>
      <c r="C189" s="74" t="n"/>
      <c r="D189" s="73" t="n"/>
      <c r="E189" s="74" t="n"/>
      <c r="F189" s="73" t="n"/>
      <c r="G189" s="74" t="n"/>
      <c r="H189" s="73" t="n"/>
      <c r="I189" s="74" t="n"/>
      <c r="J189" s="73" t="n"/>
    </row>
    <row r="190">
      <c r="B190" s="97">
        <f>"Hidden extras ("&amp;CurSym&amp;")"</f>
        <v/>
      </c>
      <c r="C190" s="99">
        <f>IF(C167="","",SUMPRODUCT((C177:C189&lt;&gt;"Included")*D177:D189))</f>
        <v/>
      </c>
      <c r="D190" s="63" t="n"/>
      <c r="E190" s="99">
        <f>IF(E167="","",SUMPRODUCT((E177:E189&lt;&gt;"Included")*F177:F189))</f>
        <v/>
      </c>
      <c r="F190" s="63" t="n"/>
      <c r="G190" s="99">
        <f>IF(G167="","",SUMPRODUCT((G177:G189&lt;&gt;"Included")*H177:H189))</f>
        <v/>
      </c>
      <c r="H190" s="63" t="n"/>
      <c r="I190" s="99">
        <f>IF(I167="","",SUMPRODUCT((I177:I189&lt;&gt;"Included")*J177:J189))</f>
        <v/>
      </c>
      <c r="J190" s="63" t="n"/>
    </row>
    <row r="191">
      <c r="B191" s="13">
        <f>"TRUE COST ("&amp;CurSym&amp;")"</f>
        <v/>
      </c>
      <c r="C191" s="102">
        <f>IF(OR(C167="",C170=""),"",C170+C190)</f>
        <v/>
      </c>
      <c r="D191" s="63" t="n"/>
      <c r="E191" s="102">
        <f>IF(OR(E167="",E170=""),"",E170+E190)</f>
        <v/>
      </c>
      <c r="F191" s="63" t="n"/>
      <c r="G191" s="102">
        <f>IF(OR(G167="",G170=""),"",G170+G190)</f>
        <v/>
      </c>
      <c r="H191" s="63" t="n"/>
      <c r="I191" s="102">
        <f>IF(OR(I167="",I170=""),"",I170+I190)</f>
        <v/>
      </c>
      <c r="J191" s="63" t="n"/>
    </row>
    <row r="192">
      <c r="B192" s="19" t="inlineStr">
        <is>
          <t>Completeness</t>
        </is>
      </c>
      <c r="C192" s="103">
        <f>IF(C167="","",COUNTIF(C177:C189,"Included")/13)</f>
        <v/>
      </c>
      <c r="D192" s="63" t="n"/>
      <c r="E192" s="103">
        <f>IF(E167="","",COUNTIF(E177:E189,"Included")/13)</f>
        <v/>
      </c>
      <c r="F192" s="63" t="n"/>
      <c r="G192" s="103">
        <f>IF(G167="","",COUNTIF(G177:G189,"Included")/13)</f>
        <v/>
      </c>
      <c r="H192" s="63" t="n"/>
      <c r="I192" s="103">
        <f>IF(I167="","",COUNTIF(I177:I189,"Included")/13)</f>
        <v/>
      </c>
      <c r="J192" s="63" t="n"/>
    </row>
    <row r="193">
      <c r="B193" s="80" t="inlineStr">
        <is>
          <t>SCORE</t>
        </is>
      </c>
    </row>
    <row r="194">
      <c r="B194" s="19" t="inlineStr">
        <is>
          <t>Price points</t>
        </is>
      </c>
      <c r="C194" s="104">
        <f>IF(C191="","",IF(C191&gt;0,MIN($C191:$J191)/C191,0)*WPrice)</f>
        <v/>
      </c>
      <c r="D194" s="63" t="n"/>
      <c r="E194" s="104">
        <f>IF(E191="","",IF(E191&gt;0,MIN($C191:$J191)/E191,0)*WPrice)</f>
        <v/>
      </c>
      <c r="F194" s="63" t="n"/>
      <c r="G194" s="104">
        <f>IF(G191="","",IF(G191&gt;0,MIN($C191:$J191)/G191,0)*WPrice)</f>
        <v/>
      </c>
      <c r="H194" s="63" t="n"/>
      <c r="I194" s="104">
        <f>IF(I191="","",IF(I191&gt;0,MIN($C191:$J191)/I191,0)*WPrice)</f>
        <v/>
      </c>
      <c r="J194" s="63" t="n"/>
    </row>
    <row r="195">
      <c r="B195" s="19" t="inlineStr">
        <is>
          <t>Timeline points</t>
        </is>
      </c>
      <c r="C195" s="104">
        <f>IF(C191="","",IF(C171&gt;0,MIN($C171:$J171)/C171,0)*WTime)</f>
        <v/>
      </c>
      <c r="D195" s="63" t="n"/>
      <c r="E195" s="104">
        <f>IF(E191="","",IF(E171&gt;0,MIN($C171:$J171)/E171,0)*WTime)</f>
        <v/>
      </c>
      <c r="F195" s="63" t="n"/>
      <c r="G195" s="104">
        <f>IF(G191="","",IF(G171&gt;0,MIN($C171:$J171)/G171,0)*WTime)</f>
        <v/>
      </c>
      <c r="H195" s="63" t="n"/>
      <c r="I195" s="104">
        <f>IF(I191="","",IF(I171&gt;0,MIN($C171:$J171)/I171,0)*WTime)</f>
        <v/>
      </c>
      <c r="J195" s="63" t="n"/>
    </row>
    <row r="196">
      <c r="B196" s="19" t="inlineStr">
        <is>
          <t>Warranty points</t>
        </is>
      </c>
      <c r="C196" s="104">
        <f>IF(C191="","",IF(MAX($C172:$J172)&gt;0,C172/MAX($C172:$J172),0)*WWar)</f>
        <v/>
      </c>
      <c r="D196" s="63" t="n"/>
      <c r="E196" s="104">
        <f>IF(E191="","",IF(MAX($C172:$J172)&gt;0,E172/MAX($C172:$J172),0)*WWar)</f>
        <v/>
      </c>
      <c r="F196" s="63" t="n"/>
      <c r="G196" s="104">
        <f>IF(G191="","",IF(MAX($C172:$J172)&gt;0,G172/MAX($C172:$J172),0)*WWar)</f>
        <v/>
      </c>
      <c r="H196" s="63" t="n"/>
      <c r="I196" s="104">
        <f>IF(I191="","",IF(MAX($C172:$J172)&gt;0,I172/MAX($C172:$J172),0)*WWar)</f>
        <v/>
      </c>
      <c r="J196" s="63" t="n"/>
    </row>
    <row r="197">
      <c r="B197" s="19" t="inlineStr">
        <is>
          <t>Completeness points</t>
        </is>
      </c>
      <c r="C197" s="104">
        <f>IF(C191="","",C192*WComp)</f>
        <v/>
      </c>
      <c r="D197" s="63" t="n"/>
      <c r="E197" s="104">
        <f>IF(E191="","",E192*WComp)</f>
        <v/>
      </c>
      <c r="F197" s="63" t="n"/>
      <c r="G197" s="104">
        <f>IF(G191="","",G192*WComp)</f>
        <v/>
      </c>
      <c r="H197" s="63" t="n"/>
      <c r="I197" s="104">
        <f>IF(I191="","",I192*WComp)</f>
        <v/>
      </c>
      <c r="J197" s="63" t="n"/>
    </row>
    <row r="198">
      <c r="B198" s="19" t="inlineStr">
        <is>
          <t>Gut &amp; references points</t>
        </is>
      </c>
      <c r="C198" s="104">
        <f>IF(C191="","",(IF(C174="",0,C174/5)*0.7+IF(C173="Yes",0.3,0))*WGut)</f>
        <v/>
      </c>
      <c r="D198" s="63" t="n"/>
      <c r="E198" s="104">
        <f>IF(E191="","",(IF(E174="",0,E174/5)*0.7+IF(E173="Yes",0.3,0))*WGut)</f>
        <v/>
      </c>
      <c r="F198" s="63" t="n"/>
      <c r="G198" s="104">
        <f>IF(G191="","",(IF(G174="",0,G174/5)*0.7+IF(G173="Yes",0.3,0))*WGut)</f>
        <v/>
      </c>
      <c r="H198" s="63" t="n"/>
      <c r="I198" s="104">
        <f>IF(I191="","",(IF(I174="",0,I174/5)*0.7+IF(I173="Yes",0.3,0))*WGut)</f>
        <v/>
      </c>
      <c r="J198" s="63" t="n"/>
    </row>
    <row r="199">
      <c r="B199" s="6" t="inlineStr">
        <is>
          <t>TOTAL SCORE</t>
        </is>
      </c>
      <c r="C199" s="105">
        <f>IF(C191="","",ROUND(SUM(C194:C198),1))</f>
        <v/>
      </c>
      <c r="D199" s="63" t="n"/>
      <c r="E199" s="105">
        <f>IF(E191="","",ROUND(SUM(E194:E198),1))</f>
        <v/>
      </c>
      <c r="F199" s="63" t="n"/>
      <c r="G199" s="105">
        <f>IF(G191="","",ROUND(SUM(G194:G198),1))</f>
        <v/>
      </c>
      <c r="H199" s="63" t="n"/>
      <c r="I199" s="105">
        <f>IF(I191="","",ROUND(SUM(I194:I198),1))</f>
        <v/>
      </c>
      <c r="J199" s="63" t="n"/>
    </row>
    <row r="200">
      <c r="B200" s="6" t="inlineStr">
        <is>
          <t>Ranking</t>
        </is>
      </c>
      <c r="C200" s="106">
        <f>IF(C199="","",IF(C199=MAX($C199:$J199),"🏆 WINNER","#"&amp;(1+COUNTIF($C199:$J199,"&gt;"&amp;C199))))</f>
        <v/>
      </c>
      <c r="D200" s="63" t="n"/>
      <c r="E200" s="106">
        <f>IF(E199="","",IF(E199=MAX($C199:$J199),"🏆 WINNER","#"&amp;(1+COUNTIF($C199:$J199,"&gt;"&amp;E199))))</f>
        <v/>
      </c>
      <c r="F200" s="63" t="n"/>
      <c r="G200" s="106">
        <f>IF(G199="","",IF(G199=MAX($C199:$J199),"🏆 WINNER","#"&amp;(1+COUNTIF($C199:$J199,"&gt;"&amp;G199))))</f>
        <v/>
      </c>
      <c r="H200" s="63" t="n"/>
      <c r="I200" s="106">
        <f>IF(I199="","",IF(I199=MAX($C199:$J199),"🏆 WINNER","#"&amp;(1+COUNTIF($C199:$J199,"&gt;"&amp;I199))))</f>
        <v/>
      </c>
      <c r="J200" s="63" t="n"/>
    </row>
    <row r="201" ht="26" customHeight="1">
      <c r="B201" s="107">
        <f>IF(COUNT($C191:$J191)&lt;2,"",IF(INDEX($C167:$J167,MATCH(MIN($C170:$J170),$C170:$J170,0))&lt;&gt;INDEX($C167:$J167,MATCH(MIN($C191:$J191),$C191:$J191,0)),"⚠️ Hidden costs change the ranking! Cheapest quoted price: "&amp;INDEX($C167:$J167,MATCH(MIN($C170:$J170),$C170:$J170,0))&amp;"  →  cheapest TRUE cost: "&amp;INDEX($C167:$J167,MATCH(MIN($C191:$J191),$C191:$J191,0)),"✓ The cheapest quote is also the cheapest true cost."))</f>
        <v/>
      </c>
      <c r="P201" s="46">
        <f>IF(B201="",0,IF(LEFT(B201,1)="✓",0,1))</f>
        <v/>
      </c>
    </row>
    <row r="202"/>
    <row r="203"/>
    <row r="204" ht="28" customHeight="1">
      <c r="B204" s="91" t="inlineStr">
        <is>
          <t>COMPARISON 6  ▸  trade:</t>
        </is>
      </c>
      <c r="C204" s="92" t="n"/>
      <c r="D204" s="91" t="n"/>
      <c r="E204" s="93">
        <f>IF(COUNT($C$238:$J$238)=0,"Enter up to 4 quotes below","🏆 Best overall: "&amp;INDEX($C$206:$J$206,MATCH(MAX($C$238:$J$238),$C$238:$J$238,0))&amp;"  —  true cost "&amp;CurSym&amp;" "&amp;FIXED(INDEX($C$230:$J$230,MATCH(MAX($C$238:$J$238),$C$238:$J$238,0)),0))</f>
        <v/>
      </c>
      <c r="F204" s="94" t="n"/>
      <c r="G204" s="94" t="n"/>
      <c r="H204" s="94" t="n"/>
      <c r="I204" s="94" t="n"/>
      <c r="J204" s="63" t="n"/>
    </row>
    <row r="205">
      <c r="C205" s="95" t="inlineStr">
        <is>
          <t>Contractor 1</t>
        </is>
      </c>
      <c r="D205" s="63" t="n"/>
      <c r="E205" s="95" t="inlineStr">
        <is>
          <t>Contractor 2</t>
        </is>
      </c>
      <c r="F205" s="63" t="n"/>
      <c r="G205" s="95" t="inlineStr">
        <is>
          <t>Contractor 3</t>
        </is>
      </c>
      <c r="H205" s="63" t="n"/>
      <c r="I205" s="95" t="inlineStr">
        <is>
          <t>Contractor 4</t>
        </is>
      </c>
      <c r="J205" s="63" t="n"/>
    </row>
    <row r="206">
      <c r="B206" s="6" t="inlineStr">
        <is>
          <t>Contractor / company</t>
        </is>
      </c>
      <c r="C206" s="74" t="n"/>
      <c r="D206" s="96" t="n"/>
      <c r="E206" s="74" t="n"/>
      <c r="F206" s="96" t="n"/>
      <c r="G206" s="74" t="n"/>
      <c r="H206" s="96" t="n"/>
      <c r="I206" s="74" t="n"/>
      <c r="J206" s="96" t="n"/>
    </row>
    <row r="207">
      <c r="B207" s="97">
        <f>"Quoted price ("&amp;CurSym&amp;")"</f>
        <v/>
      </c>
      <c r="C207" s="98" t="n"/>
      <c r="D207" s="96" t="n"/>
      <c r="E207" s="98" t="n"/>
      <c r="F207" s="96" t="n"/>
      <c r="G207" s="98" t="n"/>
      <c r="H207" s="96" t="n"/>
      <c r="I207" s="98" t="n"/>
      <c r="J207" s="96" t="n"/>
    </row>
    <row r="208">
      <c r="B208" s="97">
        <f>"Price includes "&amp;TaxWord&amp;"?"</f>
        <v/>
      </c>
      <c r="C208" s="74">
        <f>DefInclTax</f>
        <v/>
      </c>
      <c r="D208" s="96" t="n"/>
      <c r="E208" s="74">
        <f>DefInclTax</f>
        <v/>
      </c>
      <c r="F208" s="96" t="n"/>
      <c r="G208" s="74">
        <f>DefInclTax</f>
        <v/>
      </c>
      <c r="H208" s="96" t="n"/>
      <c r="I208" s="74">
        <f>DefInclTax</f>
        <v/>
      </c>
      <c r="J208" s="96" t="n"/>
    </row>
    <row r="209">
      <c r="B209" s="97">
        <f>"Price incl. "&amp;TaxWord&amp;" ("&amp;CurSym&amp;")"</f>
        <v/>
      </c>
      <c r="C209" s="99">
        <f>IF(C207="","",IF(C208="No",C207*(1+VatRate),C207))</f>
        <v/>
      </c>
      <c r="D209" s="63" t="n"/>
      <c r="E209" s="99">
        <f>IF(E207="","",IF(E208="No",E207*(1+VatRate),E207))</f>
        <v/>
      </c>
      <c r="F209" s="63" t="n"/>
      <c r="G209" s="99">
        <f>IF(G207="","",IF(G208="No",G207*(1+VatRate),G207))</f>
        <v/>
      </c>
      <c r="H209" s="63" t="n"/>
      <c r="I209" s="99">
        <f>IF(I207="","",IF(I208="No",I207*(1+VatRate),I207))</f>
        <v/>
      </c>
      <c r="J209" s="63" t="n"/>
    </row>
    <row r="210">
      <c r="B210" s="19" t="inlineStr">
        <is>
          <t>Timeline (weeks)</t>
        </is>
      </c>
      <c r="C210" s="100" t="n"/>
      <c r="D210" s="96" t="n"/>
      <c r="E210" s="100" t="n"/>
      <c r="F210" s="96" t="n"/>
      <c r="G210" s="100" t="n"/>
      <c r="H210" s="96" t="n"/>
      <c r="I210" s="100" t="n"/>
      <c r="J210" s="96" t="n"/>
    </row>
    <row r="211">
      <c r="B211" s="19" t="inlineStr">
        <is>
          <t>Warranty (years)</t>
        </is>
      </c>
      <c r="C211" s="100" t="n"/>
      <c r="D211" s="96" t="n"/>
      <c r="E211" s="100" t="n"/>
      <c r="F211" s="96" t="n"/>
      <c r="G211" s="100" t="n"/>
      <c r="H211" s="96" t="n"/>
      <c r="I211" s="100" t="n"/>
      <c r="J211" s="96" t="n"/>
    </row>
    <row r="212">
      <c r="B212" s="19" t="inlineStr">
        <is>
          <t>References checked?</t>
        </is>
      </c>
      <c r="C212" s="74" t="n"/>
      <c r="D212" s="96" t="n"/>
      <c r="E212" s="74" t="n"/>
      <c r="F212" s="96" t="n"/>
      <c r="G212" s="74" t="n"/>
      <c r="H212" s="96" t="n"/>
      <c r="I212" s="74" t="n"/>
      <c r="J212" s="96" t="n"/>
    </row>
    <row r="213">
      <c r="B213" s="19" t="inlineStr">
        <is>
          <t>Gut feeling (1–5)</t>
        </is>
      </c>
      <c r="C213" s="89" t="n"/>
      <c r="D213" s="96" t="n"/>
      <c r="E213" s="89" t="n"/>
      <c r="F213" s="96" t="n"/>
      <c r="G213" s="89" t="n"/>
      <c r="H213" s="96" t="n"/>
      <c r="I213" s="89" t="n"/>
      <c r="J213" s="96" t="n"/>
    </row>
    <row r="214">
      <c r="B214" s="19" t="inlineStr">
        <is>
          <t>Quote valid until</t>
        </is>
      </c>
      <c r="C214" s="101" t="n"/>
      <c r="D214" s="96" t="n"/>
      <c r="E214" s="101" t="n"/>
      <c r="F214" s="96" t="n"/>
      <c r="G214" s="101" t="n"/>
      <c r="H214" s="96" t="n"/>
      <c r="I214" s="101" t="n"/>
      <c r="J214" s="96" t="n"/>
    </row>
    <row r="215">
      <c r="B215" s="80" t="inlineStr">
        <is>
          <t>HIDDEN-COST CHECKLIST</t>
        </is>
      </c>
      <c r="C215" s="95" t="inlineStr">
        <is>
          <t>Included?</t>
        </is>
      </c>
      <c r="D215" s="82">
        <f>"Extra "&amp;CurSym</f>
        <v/>
      </c>
      <c r="E215" s="95" t="inlineStr">
        <is>
          <t>Included?</t>
        </is>
      </c>
      <c r="F215" s="82">
        <f>"Extra "&amp;CurSym</f>
        <v/>
      </c>
      <c r="G215" s="95" t="inlineStr">
        <is>
          <t>Included?</t>
        </is>
      </c>
      <c r="H215" s="82">
        <f>"Extra "&amp;CurSym</f>
        <v/>
      </c>
      <c r="I215" s="95" t="inlineStr">
        <is>
          <t>Included?</t>
        </is>
      </c>
      <c r="J215" s="82">
        <f>"Extra "&amp;CurSym</f>
        <v/>
      </c>
    </row>
    <row r="216">
      <c r="B216" s="19" t="inlineStr">
        <is>
          <t>Demolition</t>
        </is>
      </c>
      <c r="C216" s="74" t="n"/>
      <c r="D216" s="73" t="n"/>
      <c r="E216" s="74" t="n"/>
      <c r="F216" s="73" t="n"/>
      <c r="G216" s="74" t="n"/>
      <c r="H216" s="73" t="n"/>
      <c r="I216" s="74" t="n"/>
      <c r="J216" s="73" t="n"/>
    </row>
    <row r="217">
      <c r="B217" s="19" t="inlineStr">
        <is>
          <t>Waste disposal</t>
        </is>
      </c>
      <c r="C217" s="74" t="n"/>
      <c r="D217" s="73" t="n"/>
      <c r="E217" s="74" t="n"/>
      <c r="F217" s="73" t="n"/>
      <c r="G217" s="74" t="n"/>
      <c r="H217" s="73" t="n"/>
      <c r="I217" s="74" t="n"/>
      <c r="J217" s="73" t="n"/>
    </row>
    <row r="218">
      <c r="B218" s="19" t="inlineStr">
        <is>
          <t>Delivery</t>
        </is>
      </c>
      <c r="C218" s="74" t="n"/>
      <c r="D218" s="73" t="n"/>
      <c r="E218" s="74" t="n"/>
      <c r="F218" s="73" t="n"/>
      <c r="G218" s="74" t="n"/>
      <c r="H218" s="73" t="n"/>
      <c r="I218" s="74" t="n"/>
      <c r="J218" s="73" t="n"/>
    </row>
    <row r="219">
      <c r="B219" s="19" t="inlineStr">
        <is>
          <t>Permits</t>
        </is>
      </c>
      <c r="C219" s="74" t="n"/>
      <c r="D219" s="73" t="n"/>
      <c r="E219" s="74" t="n"/>
      <c r="F219" s="73" t="n"/>
      <c r="G219" s="74" t="n"/>
      <c r="H219" s="73" t="n"/>
      <c r="I219" s="74" t="n"/>
      <c r="J219" s="73" t="n"/>
    </row>
    <row r="220">
      <c r="B220" s="19" t="inlineStr">
        <is>
          <t>Materials specified</t>
        </is>
      </c>
      <c r="C220" s="74" t="n"/>
      <c r="D220" s="73" t="n"/>
      <c r="E220" s="74" t="n"/>
      <c r="F220" s="73" t="n"/>
      <c r="G220" s="74" t="n"/>
      <c r="H220" s="73" t="n"/>
      <c r="I220" s="74" t="n"/>
      <c r="J220" s="73" t="n"/>
    </row>
    <row r="221">
      <c r="B221" s="19" t="inlineStr">
        <is>
          <t>Labor specified</t>
        </is>
      </c>
      <c r="C221" s="74" t="n"/>
      <c r="D221" s="73" t="n"/>
      <c r="E221" s="74" t="n"/>
      <c r="F221" s="73" t="n"/>
      <c r="G221" s="74" t="n"/>
      <c r="H221" s="73" t="n"/>
      <c r="I221" s="74" t="n"/>
      <c r="J221" s="73" t="n"/>
    </row>
    <row r="222">
      <c r="B222" s="19" t="inlineStr">
        <is>
          <t>Finishing</t>
        </is>
      </c>
      <c r="C222" s="74" t="n"/>
      <c r="D222" s="73" t="n"/>
      <c r="E222" s="74" t="n"/>
      <c r="F222" s="73" t="n"/>
      <c r="G222" s="74" t="n"/>
      <c r="H222" s="73" t="n"/>
      <c r="I222" s="74" t="n"/>
      <c r="J222" s="73" t="n"/>
    </row>
    <row r="223">
      <c r="B223" s="19" t="inlineStr">
        <is>
          <t>Cleanup</t>
        </is>
      </c>
      <c r="C223" s="74" t="n"/>
      <c r="D223" s="73" t="n"/>
      <c r="E223" s="74" t="n"/>
      <c r="F223" s="73" t="n"/>
      <c r="G223" s="74" t="n"/>
      <c r="H223" s="73" t="n"/>
      <c r="I223" s="74" t="n"/>
      <c r="J223" s="73" t="n"/>
    </row>
    <row r="224">
      <c r="B224" s="97">
        <f>TaxWord&amp;" shown in price"</f>
        <v/>
      </c>
      <c r="C224" s="74" t="n"/>
      <c r="D224" s="73" t="n"/>
      <c r="E224" s="74" t="n"/>
      <c r="F224" s="73" t="n"/>
      <c r="G224" s="74" t="n"/>
      <c r="H224" s="73" t="n"/>
      <c r="I224" s="74" t="n"/>
      <c r="J224" s="73" t="n"/>
    </row>
    <row r="225">
      <c r="B225" s="19" t="inlineStr">
        <is>
          <t>Electrical upgrades</t>
        </is>
      </c>
      <c r="C225" s="74" t="n"/>
      <c r="D225" s="73" t="n"/>
      <c r="E225" s="74" t="n"/>
      <c r="F225" s="73" t="n"/>
      <c r="G225" s="74" t="n"/>
      <c r="H225" s="73" t="n"/>
      <c r="I225" s="74" t="n"/>
      <c r="J225" s="73" t="n"/>
    </row>
    <row r="226">
      <c r="B226" s="19" t="inlineStr">
        <is>
          <t>Plumbing modifications</t>
        </is>
      </c>
      <c r="C226" s="74" t="n"/>
      <c r="D226" s="73" t="n"/>
      <c r="E226" s="74" t="n"/>
      <c r="F226" s="73" t="n"/>
      <c r="G226" s="74" t="n"/>
      <c r="H226" s="73" t="n"/>
      <c r="I226" s="74" t="n"/>
      <c r="J226" s="73" t="n"/>
    </row>
    <row r="227">
      <c r="B227" s="19" t="inlineStr">
        <is>
          <t>Payment schedule defined</t>
        </is>
      </c>
      <c r="C227" s="74" t="n"/>
      <c r="D227" s="73" t="n"/>
      <c r="E227" s="74" t="n"/>
      <c r="F227" s="73" t="n"/>
      <c r="G227" s="74" t="n"/>
      <c r="H227" s="73" t="n"/>
      <c r="I227" s="74" t="n"/>
      <c r="J227" s="73" t="n"/>
    </row>
    <row r="228">
      <c r="B228" s="19" t="inlineStr">
        <is>
          <t>Warranty in writing</t>
        </is>
      </c>
      <c r="C228" s="74" t="n"/>
      <c r="D228" s="73" t="n"/>
      <c r="E228" s="74" t="n"/>
      <c r="F228" s="73" t="n"/>
      <c r="G228" s="74" t="n"/>
      <c r="H228" s="73" t="n"/>
      <c r="I228" s="74" t="n"/>
      <c r="J228" s="73" t="n"/>
    </row>
    <row r="229">
      <c r="B229" s="97">
        <f>"Hidden extras ("&amp;CurSym&amp;")"</f>
        <v/>
      </c>
      <c r="C229" s="99">
        <f>IF(C206="","",SUMPRODUCT((C216:C228&lt;&gt;"Included")*D216:D228))</f>
        <v/>
      </c>
      <c r="D229" s="63" t="n"/>
      <c r="E229" s="99">
        <f>IF(E206="","",SUMPRODUCT((E216:E228&lt;&gt;"Included")*F216:F228))</f>
        <v/>
      </c>
      <c r="F229" s="63" t="n"/>
      <c r="G229" s="99">
        <f>IF(G206="","",SUMPRODUCT((G216:G228&lt;&gt;"Included")*H216:H228))</f>
        <v/>
      </c>
      <c r="H229" s="63" t="n"/>
      <c r="I229" s="99">
        <f>IF(I206="","",SUMPRODUCT((I216:I228&lt;&gt;"Included")*J216:J228))</f>
        <v/>
      </c>
      <c r="J229" s="63" t="n"/>
    </row>
    <row r="230">
      <c r="B230" s="13">
        <f>"TRUE COST ("&amp;CurSym&amp;")"</f>
        <v/>
      </c>
      <c r="C230" s="102">
        <f>IF(OR(C206="",C209=""),"",C209+C229)</f>
        <v/>
      </c>
      <c r="D230" s="63" t="n"/>
      <c r="E230" s="102">
        <f>IF(OR(E206="",E209=""),"",E209+E229)</f>
        <v/>
      </c>
      <c r="F230" s="63" t="n"/>
      <c r="G230" s="102">
        <f>IF(OR(G206="",G209=""),"",G209+G229)</f>
        <v/>
      </c>
      <c r="H230" s="63" t="n"/>
      <c r="I230" s="102">
        <f>IF(OR(I206="",I209=""),"",I209+I229)</f>
        <v/>
      </c>
      <c r="J230" s="63" t="n"/>
    </row>
    <row r="231">
      <c r="B231" s="19" t="inlineStr">
        <is>
          <t>Completeness</t>
        </is>
      </c>
      <c r="C231" s="103">
        <f>IF(C206="","",COUNTIF(C216:C228,"Included")/13)</f>
        <v/>
      </c>
      <c r="D231" s="63" t="n"/>
      <c r="E231" s="103">
        <f>IF(E206="","",COUNTIF(E216:E228,"Included")/13)</f>
        <v/>
      </c>
      <c r="F231" s="63" t="n"/>
      <c r="G231" s="103">
        <f>IF(G206="","",COUNTIF(G216:G228,"Included")/13)</f>
        <v/>
      </c>
      <c r="H231" s="63" t="n"/>
      <c r="I231" s="103">
        <f>IF(I206="","",COUNTIF(I216:I228,"Included")/13)</f>
        <v/>
      </c>
      <c r="J231" s="63" t="n"/>
    </row>
    <row r="232">
      <c r="B232" s="80" t="inlineStr">
        <is>
          <t>SCORE</t>
        </is>
      </c>
    </row>
    <row r="233">
      <c r="B233" s="19" t="inlineStr">
        <is>
          <t>Price points</t>
        </is>
      </c>
      <c r="C233" s="104">
        <f>IF(C230="","",IF(C230&gt;0,MIN($C230:$J230)/C230,0)*WPrice)</f>
        <v/>
      </c>
      <c r="D233" s="63" t="n"/>
      <c r="E233" s="104">
        <f>IF(E230="","",IF(E230&gt;0,MIN($C230:$J230)/E230,0)*WPrice)</f>
        <v/>
      </c>
      <c r="F233" s="63" t="n"/>
      <c r="G233" s="104">
        <f>IF(G230="","",IF(G230&gt;0,MIN($C230:$J230)/G230,0)*WPrice)</f>
        <v/>
      </c>
      <c r="H233" s="63" t="n"/>
      <c r="I233" s="104">
        <f>IF(I230="","",IF(I230&gt;0,MIN($C230:$J230)/I230,0)*WPrice)</f>
        <v/>
      </c>
      <c r="J233" s="63" t="n"/>
    </row>
    <row r="234">
      <c r="B234" s="19" t="inlineStr">
        <is>
          <t>Timeline points</t>
        </is>
      </c>
      <c r="C234" s="104">
        <f>IF(C230="","",IF(C210&gt;0,MIN($C210:$J210)/C210,0)*WTime)</f>
        <v/>
      </c>
      <c r="D234" s="63" t="n"/>
      <c r="E234" s="104">
        <f>IF(E230="","",IF(E210&gt;0,MIN($C210:$J210)/E210,0)*WTime)</f>
        <v/>
      </c>
      <c r="F234" s="63" t="n"/>
      <c r="G234" s="104">
        <f>IF(G230="","",IF(G210&gt;0,MIN($C210:$J210)/G210,0)*WTime)</f>
        <v/>
      </c>
      <c r="H234" s="63" t="n"/>
      <c r="I234" s="104">
        <f>IF(I230="","",IF(I210&gt;0,MIN($C210:$J210)/I210,0)*WTime)</f>
        <v/>
      </c>
      <c r="J234" s="63" t="n"/>
    </row>
    <row r="235">
      <c r="B235" s="19" t="inlineStr">
        <is>
          <t>Warranty points</t>
        </is>
      </c>
      <c r="C235" s="104">
        <f>IF(C230="","",IF(MAX($C211:$J211)&gt;0,C211/MAX($C211:$J211),0)*WWar)</f>
        <v/>
      </c>
      <c r="D235" s="63" t="n"/>
      <c r="E235" s="104">
        <f>IF(E230="","",IF(MAX($C211:$J211)&gt;0,E211/MAX($C211:$J211),0)*WWar)</f>
        <v/>
      </c>
      <c r="F235" s="63" t="n"/>
      <c r="G235" s="104">
        <f>IF(G230="","",IF(MAX($C211:$J211)&gt;0,G211/MAX($C211:$J211),0)*WWar)</f>
        <v/>
      </c>
      <c r="H235" s="63" t="n"/>
      <c r="I235" s="104">
        <f>IF(I230="","",IF(MAX($C211:$J211)&gt;0,I211/MAX($C211:$J211),0)*WWar)</f>
        <v/>
      </c>
      <c r="J235" s="63" t="n"/>
    </row>
    <row r="236">
      <c r="B236" s="19" t="inlineStr">
        <is>
          <t>Completeness points</t>
        </is>
      </c>
      <c r="C236" s="104">
        <f>IF(C230="","",C231*WComp)</f>
        <v/>
      </c>
      <c r="D236" s="63" t="n"/>
      <c r="E236" s="104">
        <f>IF(E230="","",E231*WComp)</f>
        <v/>
      </c>
      <c r="F236" s="63" t="n"/>
      <c r="G236" s="104">
        <f>IF(G230="","",G231*WComp)</f>
        <v/>
      </c>
      <c r="H236" s="63" t="n"/>
      <c r="I236" s="104">
        <f>IF(I230="","",I231*WComp)</f>
        <v/>
      </c>
      <c r="J236" s="63" t="n"/>
    </row>
    <row r="237">
      <c r="B237" s="19" t="inlineStr">
        <is>
          <t>Gut &amp; references points</t>
        </is>
      </c>
      <c r="C237" s="104">
        <f>IF(C230="","",(IF(C213="",0,C213/5)*0.7+IF(C212="Yes",0.3,0))*WGut)</f>
        <v/>
      </c>
      <c r="D237" s="63" t="n"/>
      <c r="E237" s="104">
        <f>IF(E230="","",(IF(E213="",0,E213/5)*0.7+IF(E212="Yes",0.3,0))*WGut)</f>
        <v/>
      </c>
      <c r="F237" s="63" t="n"/>
      <c r="G237" s="104">
        <f>IF(G230="","",(IF(G213="",0,G213/5)*0.7+IF(G212="Yes",0.3,0))*WGut)</f>
        <v/>
      </c>
      <c r="H237" s="63" t="n"/>
      <c r="I237" s="104">
        <f>IF(I230="","",(IF(I213="",0,I213/5)*0.7+IF(I212="Yes",0.3,0))*WGut)</f>
        <v/>
      </c>
      <c r="J237" s="63" t="n"/>
    </row>
    <row r="238">
      <c r="B238" s="6" t="inlineStr">
        <is>
          <t>TOTAL SCORE</t>
        </is>
      </c>
      <c r="C238" s="105">
        <f>IF(C230="","",ROUND(SUM(C233:C237),1))</f>
        <v/>
      </c>
      <c r="D238" s="63" t="n"/>
      <c r="E238" s="105">
        <f>IF(E230="","",ROUND(SUM(E233:E237),1))</f>
        <v/>
      </c>
      <c r="F238" s="63" t="n"/>
      <c r="G238" s="105">
        <f>IF(G230="","",ROUND(SUM(G233:G237),1))</f>
        <v/>
      </c>
      <c r="H238" s="63" t="n"/>
      <c r="I238" s="105">
        <f>IF(I230="","",ROUND(SUM(I233:I237),1))</f>
        <v/>
      </c>
      <c r="J238" s="63" t="n"/>
    </row>
    <row r="239">
      <c r="B239" s="6" t="inlineStr">
        <is>
          <t>Ranking</t>
        </is>
      </c>
      <c r="C239" s="106">
        <f>IF(C238="","",IF(C238=MAX($C238:$J238),"🏆 WINNER","#"&amp;(1+COUNTIF($C238:$J238,"&gt;"&amp;C238))))</f>
        <v/>
      </c>
      <c r="D239" s="63" t="n"/>
      <c r="E239" s="106">
        <f>IF(E238="","",IF(E238=MAX($C238:$J238),"🏆 WINNER","#"&amp;(1+COUNTIF($C238:$J238,"&gt;"&amp;E238))))</f>
        <v/>
      </c>
      <c r="F239" s="63" t="n"/>
      <c r="G239" s="106">
        <f>IF(G238="","",IF(G238=MAX($C238:$J238),"🏆 WINNER","#"&amp;(1+COUNTIF($C238:$J238,"&gt;"&amp;G238))))</f>
        <v/>
      </c>
      <c r="H239" s="63" t="n"/>
      <c r="I239" s="106">
        <f>IF(I238="","",IF(I238=MAX($C238:$J238),"🏆 WINNER","#"&amp;(1+COUNTIF($C238:$J238,"&gt;"&amp;I238))))</f>
        <v/>
      </c>
      <c r="J239" s="63" t="n"/>
    </row>
    <row r="240" ht="26" customHeight="1">
      <c r="B240" s="107">
        <f>IF(COUNT($C230:$J230)&lt;2,"",IF(INDEX($C206:$J206,MATCH(MIN($C209:$J209),$C209:$J209,0))&lt;&gt;INDEX($C206:$J206,MATCH(MIN($C230:$J230),$C230:$J230,0)),"⚠️ Hidden costs change the ranking! Cheapest quoted price: "&amp;INDEX($C206:$J206,MATCH(MIN($C209:$J209),$C209:$J209,0))&amp;"  →  cheapest TRUE cost: "&amp;INDEX($C206:$J206,MATCH(MIN($C230:$J230),$C230:$J230,0)),"✓ The cheapest quote is also the cheapest true cost."))</f>
        <v/>
      </c>
      <c r="P240" s="46">
        <f>IF(B240="",0,IF(LEFT(B240,1)="✓",0,1))</f>
        <v/>
      </c>
    </row>
    <row r="241"/>
    <row r="242"/>
    <row r="243" ht="28" customHeight="1">
      <c r="B243" s="91" t="inlineStr">
        <is>
          <t>COMPARISON 7  ▸  trade:</t>
        </is>
      </c>
      <c r="C243" s="92" t="n"/>
      <c r="D243" s="91" t="n"/>
      <c r="E243" s="93">
        <f>IF(COUNT($C$277:$J$277)=0,"Enter up to 4 quotes below","🏆 Best overall: "&amp;INDEX($C$245:$J$245,MATCH(MAX($C$277:$J$277),$C$277:$J$277,0))&amp;"  —  true cost "&amp;CurSym&amp;" "&amp;FIXED(INDEX($C$269:$J$269,MATCH(MAX($C$277:$J$277),$C$277:$J$277,0)),0))</f>
        <v/>
      </c>
      <c r="F243" s="94" t="n"/>
      <c r="G243" s="94" t="n"/>
      <c r="H243" s="94" t="n"/>
      <c r="I243" s="94" t="n"/>
      <c r="J243" s="63" t="n"/>
    </row>
    <row r="244">
      <c r="C244" s="95" t="inlineStr">
        <is>
          <t>Contractor 1</t>
        </is>
      </c>
      <c r="D244" s="63" t="n"/>
      <c r="E244" s="95" t="inlineStr">
        <is>
          <t>Contractor 2</t>
        </is>
      </c>
      <c r="F244" s="63" t="n"/>
      <c r="G244" s="95" t="inlineStr">
        <is>
          <t>Contractor 3</t>
        </is>
      </c>
      <c r="H244" s="63" t="n"/>
      <c r="I244" s="95" t="inlineStr">
        <is>
          <t>Contractor 4</t>
        </is>
      </c>
      <c r="J244" s="63" t="n"/>
    </row>
    <row r="245">
      <c r="B245" s="6" t="inlineStr">
        <is>
          <t>Contractor / company</t>
        </is>
      </c>
      <c r="C245" s="74" t="n"/>
      <c r="D245" s="96" t="n"/>
      <c r="E245" s="74" t="n"/>
      <c r="F245" s="96" t="n"/>
      <c r="G245" s="74" t="n"/>
      <c r="H245" s="96" t="n"/>
      <c r="I245" s="74" t="n"/>
      <c r="J245" s="96" t="n"/>
    </row>
    <row r="246">
      <c r="B246" s="97">
        <f>"Quoted price ("&amp;CurSym&amp;")"</f>
        <v/>
      </c>
      <c r="C246" s="98" t="n"/>
      <c r="D246" s="96" t="n"/>
      <c r="E246" s="98" t="n"/>
      <c r="F246" s="96" t="n"/>
      <c r="G246" s="98" t="n"/>
      <c r="H246" s="96" t="n"/>
      <c r="I246" s="98" t="n"/>
      <c r="J246" s="96" t="n"/>
    </row>
    <row r="247">
      <c r="B247" s="97">
        <f>"Price includes "&amp;TaxWord&amp;"?"</f>
        <v/>
      </c>
      <c r="C247" s="74">
        <f>DefInclTax</f>
        <v/>
      </c>
      <c r="D247" s="96" t="n"/>
      <c r="E247" s="74">
        <f>DefInclTax</f>
        <v/>
      </c>
      <c r="F247" s="96" t="n"/>
      <c r="G247" s="74">
        <f>DefInclTax</f>
        <v/>
      </c>
      <c r="H247" s="96" t="n"/>
      <c r="I247" s="74">
        <f>DefInclTax</f>
        <v/>
      </c>
      <c r="J247" s="96" t="n"/>
    </row>
    <row r="248">
      <c r="B248" s="97">
        <f>"Price incl. "&amp;TaxWord&amp;" ("&amp;CurSym&amp;")"</f>
        <v/>
      </c>
      <c r="C248" s="99">
        <f>IF(C246="","",IF(C247="No",C246*(1+VatRate),C246))</f>
        <v/>
      </c>
      <c r="D248" s="63" t="n"/>
      <c r="E248" s="99">
        <f>IF(E246="","",IF(E247="No",E246*(1+VatRate),E246))</f>
        <v/>
      </c>
      <c r="F248" s="63" t="n"/>
      <c r="G248" s="99">
        <f>IF(G246="","",IF(G247="No",G246*(1+VatRate),G246))</f>
        <v/>
      </c>
      <c r="H248" s="63" t="n"/>
      <c r="I248" s="99">
        <f>IF(I246="","",IF(I247="No",I246*(1+VatRate),I246))</f>
        <v/>
      </c>
      <c r="J248" s="63" t="n"/>
    </row>
    <row r="249">
      <c r="B249" s="19" t="inlineStr">
        <is>
          <t>Timeline (weeks)</t>
        </is>
      </c>
      <c r="C249" s="100" t="n"/>
      <c r="D249" s="96" t="n"/>
      <c r="E249" s="100" t="n"/>
      <c r="F249" s="96" t="n"/>
      <c r="G249" s="100" t="n"/>
      <c r="H249" s="96" t="n"/>
      <c r="I249" s="100" t="n"/>
      <c r="J249" s="96" t="n"/>
    </row>
    <row r="250">
      <c r="B250" s="19" t="inlineStr">
        <is>
          <t>Warranty (years)</t>
        </is>
      </c>
      <c r="C250" s="100" t="n"/>
      <c r="D250" s="96" t="n"/>
      <c r="E250" s="100" t="n"/>
      <c r="F250" s="96" t="n"/>
      <c r="G250" s="100" t="n"/>
      <c r="H250" s="96" t="n"/>
      <c r="I250" s="100" t="n"/>
      <c r="J250" s="96" t="n"/>
    </row>
    <row r="251">
      <c r="B251" s="19" t="inlineStr">
        <is>
          <t>References checked?</t>
        </is>
      </c>
      <c r="C251" s="74" t="n"/>
      <c r="D251" s="96" t="n"/>
      <c r="E251" s="74" t="n"/>
      <c r="F251" s="96" t="n"/>
      <c r="G251" s="74" t="n"/>
      <c r="H251" s="96" t="n"/>
      <c r="I251" s="74" t="n"/>
      <c r="J251" s="96" t="n"/>
    </row>
    <row r="252">
      <c r="B252" s="19" t="inlineStr">
        <is>
          <t>Gut feeling (1–5)</t>
        </is>
      </c>
      <c r="C252" s="89" t="n"/>
      <c r="D252" s="96" t="n"/>
      <c r="E252" s="89" t="n"/>
      <c r="F252" s="96" t="n"/>
      <c r="G252" s="89" t="n"/>
      <c r="H252" s="96" t="n"/>
      <c r="I252" s="89" t="n"/>
      <c r="J252" s="96" t="n"/>
    </row>
    <row r="253">
      <c r="B253" s="19" t="inlineStr">
        <is>
          <t>Quote valid until</t>
        </is>
      </c>
      <c r="C253" s="101" t="n"/>
      <c r="D253" s="96" t="n"/>
      <c r="E253" s="101" t="n"/>
      <c r="F253" s="96" t="n"/>
      <c r="G253" s="101" t="n"/>
      <c r="H253" s="96" t="n"/>
      <c r="I253" s="101" t="n"/>
      <c r="J253" s="96" t="n"/>
    </row>
    <row r="254">
      <c r="B254" s="80" t="inlineStr">
        <is>
          <t>HIDDEN-COST CHECKLIST</t>
        </is>
      </c>
      <c r="C254" s="95" t="inlineStr">
        <is>
          <t>Included?</t>
        </is>
      </c>
      <c r="D254" s="82">
        <f>"Extra "&amp;CurSym</f>
        <v/>
      </c>
      <c r="E254" s="95" t="inlineStr">
        <is>
          <t>Included?</t>
        </is>
      </c>
      <c r="F254" s="82">
        <f>"Extra "&amp;CurSym</f>
        <v/>
      </c>
      <c r="G254" s="95" t="inlineStr">
        <is>
          <t>Included?</t>
        </is>
      </c>
      <c r="H254" s="82">
        <f>"Extra "&amp;CurSym</f>
        <v/>
      </c>
      <c r="I254" s="95" t="inlineStr">
        <is>
          <t>Included?</t>
        </is>
      </c>
      <c r="J254" s="82">
        <f>"Extra "&amp;CurSym</f>
        <v/>
      </c>
    </row>
    <row r="255">
      <c r="B255" s="19" t="inlineStr">
        <is>
          <t>Demolition</t>
        </is>
      </c>
      <c r="C255" s="74" t="n"/>
      <c r="D255" s="73" t="n"/>
      <c r="E255" s="74" t="n"/>
      <c r="F255" s="73" t="n"/>
      <c r="G255" s="74" t="n"/>
      <c r="H255" s="73" t="n"/>
      <c r="I255" s="74" t="n"/>
      <c r="J255" s="73" t="n"/>
    </row>
    <row r="256">
      <c r="B256" s="19" t="inlineStr">
        <is>
          <t>Waste disposal</t>
        </is>
      </c>
      <c r="C256" s="74" t="n"/>
      <c r="D256" s="73" t="n"/>
      <c r="E256" s="74" t="n"/>
      <c r="F256" s="73" t="n"/>
      <c r="G256" s="74" t="n"/>
      <c r="H256" s="73" t="n"/>
      <c r="I256" s="74" t="n"/>
      <c r="J256" s="73" t="n"/>
    </row>
    <row r="257">
      <c r="B257" s="19" t="inlineStr">
        <is>
          <t>Delivery</t>
        </is>
      </c>
      <c r="C257" s="74" t="n"/>
      <c r="D257" s="73" t="n"/>
      <c r="E257" s="74" t="n"/>
      <c r="F257" s="73" t="n"/>
      <c r="G257" s="74" t="n"/>
      <c r="H257" s="73" t="n"/>
      <c r="I257" s="74" t="n"/>
      <c r="J257" s="73" t="n"/>
    </row>
    <row r="258">
      <c r="B258" s="19" t="inlineStr">
        <is>
          <t>Permits</t>
        </is>
      </c>
      <c r="C258" s="74" t="n"/>
      <c r="D258" s="73" t="n"/>
      <c r="E258" s="74" t="n"/>
      <c r="F258" s="73" t="n"/>
      <c r="G258" s="74" t="n"/>
      <c r="H258" s="73" t="n"/>
      <c r="I258" s="74" t="n"/>
      <c r="J258" s="73" t="n"/>
    </row>
    <row r="259">
      <c r="B259" s="19" t="inlineStr">
        <is>
          <t>Materials specified</t>
        </is>
      </c>
      <c r="C259" s="74" t="n"/>
      <c r="D259" s="73" t="n"/>
      <c r="E259" s="74" t="n"/>
      <c r="F259" s="73" t="n"/>
      <c r="G259" s="74" t="n"/>
      <c r="H259" s="73" t="n"/>
      <c r="I259" s="74" t="n"/>
      <c r="J259" s="73" t="n"/>
    </row>
    <row r="260">
      <c r="B260" s="19" t="inlineStr">
        <is>
          <t>Labor specified</t>
        </is>
      </c>
      <c r="C260" s="74" t="n"/>
      <c r="D260" s="73" t="n"/>
      <c r="E260" s="74" t="n"/>
      <c r="F260" s="73" t="n"/>
      <c r="G260" s="74" t="n"/>
      <c r="H260" s="73" t="n"/>
      <c r="I260" s="74" t="n"/>
      <c r="J260" s="73" t="n"/>
    </row>
    <row r="261">
      <c r="B261" s="19" t="inlineStr">
        <is>
          <t>Finishing</t>
        </is>
      </c>
      <c r="C261" s="74" t="n"/>
      <c r="D261" s="73" t="n"/>
      <c r="E261" s="74" t="n"/>
      <c r="F261" s="73" t="n"/>
      <c r="G261" s="74" t="n"/>
      <c r="H261" s="73" t="n"/>
      <c r="I261" s="74" t="n"/>
      <c r="J261" s="73" t="n"/>
    </row>
    <row r="262">
      <c r="B262" s="19" t="inlineStr">
        <is>
          <t>Cleanup</t>
        </is>
      </c>
      <c r="C262" s="74" t="n"/>
      <c r="D262" s="73" t="n"/>
      <c r="E262" s="74" t="n"/>
      <c r="F262" s="73" t="n"/>
      <c r="G262" s="74" t="n"/>
      <c r="H262" s="73" t="n"/>
      <c r="I262" s="74" t="n"/>
      <c r="J262" s="73" t="n"/>
    </row>
    <row r="263">
      <c r="B263" s="97">
        <f>TaxWord&amp;" shown in price"</f>
        <v/>
      </c>
      <c r="C263" s="74" t="n"/>
      <c r="D263" s="73" t="n"/>
      <c r="E263" s="74" t="n"/>
      <c r="F263" s="73" t="n"/>
      <c r="G263" s="74" t="n"/>
      <c r="H263" s="73" t="n"/>
      <c r="I263" s="74" t="n"/>
      <c r="J263" s="73" t="n"/>
    </row>
    <row r="264">
      <c r="B264" s="19" t="inlineStr">
        <is>
          <t>Electrical upgrades</t>
        </is>
      </c>
      <c r="C264" s="74" t="n"/>
      <c r="D264" s="73" t="n"/>
      <c r="E264" s="74" t="n"/>
      <c r="F264" s="73" t="n"/>
      <c r="G264" s="74" t="n"/>
      <c r="H264" s="73" t="n"/>
      <c r="I264" s="74" t="n"/>
      <c r="J264" s="73" t="n"/>
    </row>
    <row r="265">
      <c r="B265" s="19" t="inlineStr">
        <is>
          <t>Plumbing modifications</t>
        </is>
      </c>
      <c r="C265" s="74" t="n"/>
      <c r="D265" s="73" t="n"/>
      <c r="E265" s="74" t="n"/>
      <c r="F265" s="73" t="n"/>
      <c r="G265" s="74" t="n"/>
      <c r="H265" s="73" t="n"/>
      <c r="I265" s="74" t="n"/>
      <c r="J265" s="73" t="n"/>
    </row>
    <row r="266">
      <c r="B266" s="19" t="inlineStr">
        <is>
          <t>Payment schedule defined</t>
        </is>
      </c>
      <c r="C266" s="74" t="n"/>
      <c r="D266" s="73" t="n"/>
      <c r="E266" s="74" t="n"/>
      <c r="F266" s="73" t="n"/>
      <c r="G266" s="74" t="n"/>
      <c r="H266" s="73" t="n"/>
      <c r="I266" s="74" t="n"/>
      <c r="J266" s="73" t="n"/>
    </row>
    <row r="267">
      <c r="B267" s="19" t="inlineStr">
        <is>
          <t>Warranty in writing</t>
        </is>
      </c>
      <c r="C267" s="74" t="n"/>
      <c r="D267" s="73" t="n"/>
      <c r="E267" s="74" t="n"/>
      <c r="F267" s="73" t="n"/>
      <c r="G267" s="74" t="n"/>
      <c r="H267" s="73" t="n"/>
      <c r="I267" s="74" t="n"/>
      <c r="J267" s="73" t="n"/>
    </row>
    <row r="268">
      <c r="B268" s="97">
        <f>"Hidden extras ("&amp;CurSym&amp;")"</f>
        <v/>
      </c>
      <c r="C268" s="99">
        <f>IF(C245="","",SUMPRODUCT((C255:C267&lt;&gt;"Included")*D255:D267))</f>
        <v/>
      </c>
      <c r="D268" s="63" t="n"/>
      <c r="E268" s="99">
        <f>IF(E245="","",SUMPRODUCT((E255:E267&lt;&gt;"Included")*F255:F267))</f>
        <v/>
      </c>
      <c r="F268" s="63" t="n"/>
      <c r="G268" s="99">
        <f>IF(G245="","",SUMPRODUCT((G255:G267&lt;&gt;"Included")*H255:H267))</f>
        <v/>
      </c>
      <c r="H268" s="63" t="n"/>
      <c r="I268" s="99">
        <f>IF(I245="","",SUMPRODUCT((I255:I267&lt;&gt;"Included")*J255:J267))</f>
        <v/>
      </c>
      <c r="J268" s="63" t="n"/>
    </row>
    <row r="269">
      <c r="B269" s="13">
        <f>"TRUE COST ("&amp;CurSym&amp;")"</f>
        <v/>
      </c>
      <c r="C269" s="102">
        <f>IF(OR(C245="",C248=""),"",C248+C268)</f>
        <v/>
      </c>
      <c r="D269" s="63" t="n"/>
      <c r="E269" s="102">
        <f>IF(OR(E245="",E248=""),"",E248+E268)</f>
        <v/>
      </c>
      <c r="F269" s="63" t="n"/>
      <c r="G269" s="102">
        <f>IF(OR(G245="",G248=""),"",G248+G268)</f>
        <v/>
      </c>
      <c r="H269" s="63" t="n"/>
      <c r="I269" s="102">
        <f>IF(OR(I245="",I248=""),"",I248+I268)</f>
        <v/>
      </c>
      <c r="J269" s="63" t="n"/>
    </row>
    <row r="270">
      <c r="B270" s="19" t="inlineStr">
        <is>
          <t>Completeness</t>
        </is>
      </c>
      <c r="C270" s="103">
        <f>IF(C245="","",COUNTIF(C255:C267,"Included")/13)</f>
        <v/>
      </c>
      <c r="D270" s="63" t="n"/>
      <c r="E270" s="103">
        <f>IF(E245="","",COUNTIF(E255:E267,"Included")/13)</f>
        <v/>
      </c>
      <c r="F270" s="63" t="n"/>
      <c r="G270" s="103">
        <f>IF(G245="","",COUNTIF(G255:G267,"Included")/13)</f>
        <v/>
      </c>
      <c r="H270" s="63" t="n"/>
      <c r="I270" s="103">
        <f>IF(I245="","",COUNTIF(I255:I267,"Included")/13)</f>
        <v/>
      </c>
      <c r="J270" s="63" t="n"/>
    </row>
    <row r="271">
      <c r="B271" s="80" t="inlineStr">
        <is>
          <t>SCORE</t>
        </is>
      </c>
    </row>
    <row r="272">
      <c r="B272" s="19" t="inlineStr">
        <is>
          <t>Price points</t>
        </is>
      </c>
      <c r="C272" s="104">
        <f>IF(C269="","",IF(C269&gt;0,MIN($C269:$J269)/C269,0)*WPrice)</f>
        <v/>
      </c>
      <c r="D272" s="63" t="n"/>
      <c r="E272" s="104">
        <f>IF(E269="","",IF(E269&gt;0,MIN($C269:$J269)/E269,0)*WPrice)</f>
        <v/>
      </c>
      <c r="F272" s="63" t="n"/>
      <c r="G272" s="104">
        <f>IF(G269="","",IF(G269&gt;0,MIN($C269:$J269)/G269,0)*WPrice)</f>
        <v/>
      </c>
      <c r="H272" s="63" t="n"/>
      <c r="I272" s="104">
        <f>IF(I269="","",IF(I269&gt;0,MIN($C269:$J269)/I269,0)*WPrice)</f>
        <v/>
      </c>
      <c r="J272" s="63" t="n"/>
    </row>
    <row r="273">
      <c r="B273" s="19" t="inlineStr">
        <is>
          <t>Timeline points</t>
        </is>
      </c>
      <c r="C273" s="104">
        <f>IF(C269="","",IF(C249&gt;0,MIN($C249:$J249)/C249,0)*WTime)</f>
        <v/>
      </c>
      <c r="D273" s="63" t="n"/>
      <c r="E273" s="104">
        <f>IF(E269="","",IF(E249&gt;0,MIN($C249:$J249)/E249,0)*WTime)</f>
        <v/>
      </c>
      <c r="F273" s="63" t="n"/>
      <c r="G273" s="104">
        <f>IF(G269="","",IF(G249&gt;0,MIN($C249:$J249)/G249,0)*WTime)</f>
        <v/>
      </c>
      <c r="H273" s="63" t="n"/>
      <c r="I273" s="104">
        <f>IF(I269="","",IF(I249&gt;0,MIN($C249:$J249)/I249,0)*WTime)</f>
        <v/>
      </c>
      <c r="J273" s="63" t="n"/>
    </row>
    <row r="274">
      <c r="B274" s="19" t="inlineStr">
        <is>
          <t>Warranty points</t>
        </is>
      </c>
      <c r="C274" s="104">
        <f>IF(C269="","",IF(MAX($C250:$J250)&gt;0,C250/MAX($C250:$J250),0)*WWar)</f>
        <v/>
      </c>
      <c r="D274" s="63" t="n"/>
      <c r="E274" s="104">
        <f>IF(E269="","",IF(MAX($C250:$J250)&gt;0,E250/MAX($C250:$J250),0)*WWar)</f>
        <v/>
      </c>
      <c r="F274" s="63" t="n"/>
      <c r="G274" s="104">
        <f>IF(G269="","",IF(MAX($C250:$J250)&gt;0,G250/MAX($C250:$J250),0)*WWar)</f>
        <v/>
      </c>
      <c r="H274" s="63" t="n"/>
      <c r="I274" s="104">
        <f>IF(I269="","",IF(MAX($C250:$J250)&gt;0,I250/MAX($C250:$J250),0)*WWar)</f>
        <v/>
      </c>
      <c r="J274" s="63" t="n"/>
    </row>
    <row r="275">
      <c r="B275" s="19" t="inlineStr">
        <is>
          <t>Completeness points</t>
        </is>
      </c>
      <c r="C275" s="104">
        <f>IF(C269="","",C270*WComp)</f>
        <v/>
      </c>
      <c r="D275" s="63" t="n"/>
      <c r="E275" s="104">
        <f>IF(E269="","",E270*WComp)</f>
        <v/>
      </c>
      <c r="F275" s="63" t="n"/>
      <c r="G275" s="104">
        <f>IF(G269="","",G270*WComp)</f>
        <v/>
      </c>
      <c r="H275" s="63" t="n"/>
      <c r="I275" s="104">
        <f>IF(I269="","",I270*WComp)</f>
        <v/>
      </c>
      <c r="J275" s="63" t="n"/>
    </row>
    <row r="276">
      <c r="B276" s="19" t="inlineStr">
        <is>
          <t>Gut &amp; references points</t>
        </is>
      </c>
      <c r="C276" s="104">
        <f>IF(C269="","",(IF(C252="",0,C252/5)*0.7+IF(C251="Yes",0.3,0))*WGut)</f>
        <v/>
      </c>
      <c r="D276" s="63" t="n"/>
      <c r="E276" s="104">
        <f>IF(E269="","",(IF(E252="",0,E252/5)*0.7+IF(E251="Yes",0.3,0))*WGut)</f>
        <v/>
      </c>
      <c r="F276" s="63" t="n"/>
      <c r="G276" s="104">
        <f>IF(G269="","",(IF(G252="",0,G252/5)*0.7+IF(G251="Yes",0.3,0))*WGut)</f>
        <v/>
      </c>
      <c r="H276" s="63" t="n"/>
      <c r="I276" s="104">
        <f>IF(I269="","",(IF(I252="",0,I252/5)*0.7+IF(I251="Yes",0.3,0))*WGut)</f>
        <v/>
      </c>
      <c r="J276" s="63" t="n"/>
    </row>
    <row r="277">
      <c r="B277" s="6" t="inlineStr">
        <is>
          <t>TOTAL SCORE</t>
        </is>
      </c>
      <c r="C277" s="105">
        <f>IF(C269="","",ROUND(SUM(C272:C276),1))</f>
        <v/>
      </c>
      <c r="D277" s="63" t="n"/>
      <c r="E277" s="105">
        <f>IF(E269="","",ROUND(SUM(E272:E276),1))</f>
        <v/>
      </c>
      <c r="F277" s="63" t="n"/>
      <c r="G277" s="105">
        <f>IF(G269="","",ROUND(SUM(G272:G276),1))</f>
        <v/>
      </c>
      <c r="H277" s="63" t="n"/>
      <c r="I277" s="105">
        <f>IF(I269="","",ROUND(SUM(I272:I276),1))</f>
        <v/>
      </c>
      <c r="J277" s="63" t="n"/>
    </row>
    <row r="278">
      <c r="B278" s="6" t="inlineStr">
        <is>
          <t>Ranking</t>
        </is>
      </c>
      <c r="C278" s="106">
        <f>IF(C277="","",IF(C277=MAX($C277:$J277),"🏆 WINNER","#"&amp;(1+COUNTIF($C277:$J277,"&gt;"&amp;C277))))</f>
        <v/>
      </c>
      <c r="D278" s="63" t="n"/>
      <c r="E278" s="106">
        <f>IF(E277="","",IF(E277=MAX($C277:$J277),"🏆 WINNER","#"&amp;(1+COUNTIF($C277:$J277,"&gt;"&amp;E277))))</f>
        <v/>
      </c>
      <c r="F278" s="63" t="n"/>
      <c r="G278" s="106">
        <f>IF(G277="","",IF(G277=MAX($C277:$J277),"🏆 WINNER","#"&amp;(1+COUNTIF($C277:$J277,"&gt;"&amp;G277))))</f>
        <v/>
      </c>
      <c r="H278" s="63" t="n"/>
      <c r="I278" s="106">
        <f>IF(I277="","",IF(I277=MAX($C277:$J277),"🏆 WINNER","#"&amp;(1+COUNTIF($C277:$J277,"&gt;"&amp;I277))))</f>
        <v/>
      </c>
      <c r="J278" s="63" t="n"/>
    </row>
    <row r="279" ht="26" customHeight="1">
      <c r="B279" s="107">
        <f>IF(COUNT($C269:$J269)&lt;2,"",IF(INDEX($C245:$J245,MATCH(MIN($C248:$J248),$C248:$J248,0))&lt;&gt;INDEX($C245:$J245,MATCH(MIN($C269:$J269),$C269:$J269,0)),"⚠️ Hidden costs change the ranking! Cheapest quoted price: "&amp;INDEX($C245:$J245,MATCH(MIN($C248:$J248),$C248:$J248,0))&amp;"  →  cheapest TRUE cost: "&amp;INDEX($C245:$J245,MATCH(MIN($C269:$J269),$C269:$J269,0)),"✓ The cheapest quote is also the cheapest true cost."))</f>
        <v/>
      </c>
      <c r="P279" s="46">
        <f>IF(B279="",0,IF(LEFT(B279,1)="✓",0,1))</f>
        <v/>
      </c>
    </row>
    <row r="280"/>
    <row r="281"/>
    <row r="282" ht="28" customHeight="1">
      <c r="B282" s="91" t="inlineStr">
        <is>
          <t>COMPARISON 8  ▸  trade:</t>
        </is>
      </c>
      <c r="C282" s="92" t="n"/>
      <c r="D282" s="91" t="n"/>
      <c r="E282" s="93">
        <f>IF(COUNT($C$316:$J$316)=0,"Enter up to 4 quotes below","🏆 Best overall: "&amp;INDEX($C$284:$J$284,MATCH(MAX($C$316:$J$316),$C$316:$J$316,0))&amp;"  —  true cost "&amp;CurSym&amp;" "&amp;FIXED(INDEX($C$308:$J$308,MATCH(MAX($C$316:$J$316),$C$316:$J$316,0)),0))</f>
        <v/>
      </c>
      <c r="F282" s="94" t="n"/>
      <c r="G282" s="94" t="n"/>
      <c r="H282" s="94" t="n"/>
      <c r="I282" s="94" t="n"/>
      <c r="J282" s="63" t="n"/>
    </row>
    <row r="283">
      <c r="C283" s="95" t="inlineStr">
        <is>
          <t>Contractor 1</t>
        </is>
      </c>
      <c r="D283" s="63" t="n"/>
      <c r="E283" s="95" t="inlineStr">
        <is>
          <t>Contractor 2</t>
        </is>
      </c>
      <c r="F283" s="63" t="n"/>
      <c r="G283" s="95" t="inlineStr">
        <is>
          <t>Contractor 3</t>
        </is>
      </c>
      <c r="H283" s="63" t="n"/>
      <c r="I283" s="95" t="inlineStr">
        <is>
          <t>Contractor 4</t>
        </is>
      </c>
      <c r="J283" s="63" t="n"/>
    </row>
    <row r="284">
      <c r="B284" s="6" t="inlineStr">
        <is>
          <t>Contractor / company</t>
        </is>
      </c>
      <c r="C284" s="74" t="n"/>
      <c r="D284" s="96" t="n"/>
      <c r="E284" s="74" t="n"/>
      <c r="F284" s="96" t="n"/>
      <c r="G284" s="74" t="n"/>
      <c r="H284" s="96" t="n"/>
      <c r="I284" s="74" t="n"/>
      <c r="J284" s="96" t="n"/>
    </row>
    <row r="285">
      <c r="B285" s="97">
        <f>"Quoted price ("&amp;CurSym&amp;")"</f>
        <v/>
      </c>
      <c r="C285" s="98" t="n"/>
      <c r="D285" s="96" t="n"/>
      <c r="E285" s="98" t="n"/>
      <c r="F285" s="96" t="n"/>
      <c r="G285" s="98" t="n"/>
      <c r="H285" s="96" t="n"/>
      <c r="I285" s="98" t="n"/>
      <c r="J285" s="96" t="n"/>
    </row>
    <row r="286">
      <c r="B286" s="97">
        <f>"Price includes "&amp;TaxWord&amp;"?"</f>
        <v/>
      </c>
      <c r="C286" s="74">
        <f>DefInclTax</f>
        <v/>
      </c>
      <c r="D286" s="96" t="n"/>
      <c r="E286" s="74">
        <f>DefInclTax</f>
        <v/>
      </c>
      <c r="F286" s="96" t="n"/>
      <c r="G286" s="74">
        <f>DefInclTax</f>
        <v/>
      </c>
      <c r="H286" s="96" t="n"/>
      <c r="I286" s="74">
        <f>DefInclTax</f>
        <v/>
      </c>
      <c r="J286" s="96" t="n"/>
    </row>
    <row r="287">
      <c r="B287" s="97">
        <f>"Price incl. "&amp;TaxWord&amp;" ("&amp;CurSym&amp;")"</f>
        <v/>
      </c>
      <c r="C287" s="99">
        <f>IF(C285="","",IF(C286="No",C285*(1+VatRate),C285))</f>
        <v/>
      </c>
      <c r="D287" s="63" t="n"/>
      <c r="E287" s="99">
        <f>IF(E285="","",IF(E286="No",E285*(1+VatRate),E285))</f>
        <v/>
      </c>
      <c r="F287" s="63" t="n"/>
      <c r="G287" s="99">
        <f>IF(G285="","",IF(G286="No",G285*(1+VatRate),G285))</f>
        <v/>
      </c>
      <c r="H287" s="63" t="n"/>
      <c r="I287" s="99">
        <f>IF(I285="","",IF(I286="No",I285*(1+VatRate),I285))</f>
        <v/>
      </c>
      <c r="J287" s="63" t="n"/>
    </row>
    <row r="288">
      <c r="B288" s="19" t="inlineStr">
        <is>
          <t>Timeline (weeks)</t>
        </is>
      </c>
      <c r="C288" s="100" t="n"/>
      <c r="D288" s="96" t="n"/>
      <c r="E288" s="100" t="n"/>
      <c r="F288" s="96" t="n"/>
      <c r="G288" s="100" t="n"/>
      <c r="H288" s="96" t="n"/>
      <c r="I288" s="100" t="n"/>
      <c r="J288" s="96" t="n"/>
    </row>
    <row r="289">
      <c r="B289" s="19" t="inlineStr">
        <is>
          <t>Warranty (years)</t>
        </is>
      </c>
      <c r="C289" s="100" t="n"/>
      <c r="D289" s="96" t="n"/>
      <c r="E289" s="100" t="n"/>
      <c r="F289" s="96" t="n"/>
      <c r="G289" s="100" t="n"/>
      <c r="H289" s="96" t="n"/>
      <c r="I289" s="100" t="n"/>
      <c r="J289" s="96" t="n"/>
    </row>
    <row r="290">
      <c r="B290" s="19" t="inlineStr">
        <is>
          <t>References checked?</t>
        </is>
      </c>
      <c r="C290" s="74" t="n"/>
      <c r="D290" s="96" t="n"/>
      <c r="E290" s="74" t="n"/>
      <c r="F290" s="96" t="n"/>
      <c r="G290" s="74" t="n"/>
      <c r="H290" s="96" t="n"/>
      <c r="I290" s="74" t="n"/>
      <c r="J290" s="96" t="n"/>
    </row>
    <row r="291">
      <c r="B291" s="19" t="inlineStr">
        <is>
          <t>Gut feeling (1–5)</t>
        </is>
      </c>
      <c r="C291" s="89" t="n"/>
      <c r="D291" s="96" t="n"/>
      <c r="E291" s="89" t="n"/>
      <c r="F291" s="96" t="n"/>
      <c r="G291" s="89" t="n"/>
      <c r="H291" s="96" t="n"/>
      <c r="I291" s="89" t="n"/>
      <c r="J291" s="96" t="n"/>
    </row>
    <row r="292">
      <c r="B292" s="19" t="inlineStr">
        <is>
          <t>Quote valid until</t>
        </is>
      </c>
      <c r="C292" s="101" t="n"/>
      <c r="D292" s="96" t="n"/>
      <c r="E292" s="101" t="n"/>
      <c r="F292" s="96" t="n"/>
      <c r="G292" s="101" t="n"/>
      <c r="H292" s="96" t="n"/>
      <c r="I292" s="101" t="n"/>
      <c r="J292" s="96" t="n"/>
    </row>
    <row r="293">
      <c r="B293" s="80" t="inlineStr">
        <is>
          <t>HIDDEN-COST CHECKLIST</t>
        </is>
      </c>
      <c r="C293" s="95" t="inlineStr">
        <is>
          <t>Included?</t>
        </is>
      </c>
      <c r="D293" s="82">
        <f>"Extra "&amp;CurSym</f>
        <v/>
      </c>
      <c r="E293" s="95" t="inlineStr">
        <is>
          <t>Included?</t>
        </is>
      </c>
      <c r="F293" s="82">
        <f>"Extra "&amp;CurSym</f>
        <v/>
      </c>
      <c r="G293" s="95" t="inlineStr">
        <is>
          <t>Included?</t>
        </is>
      </c>
      <c r="H293" s="82">
        <f>"Extra "&amp;CurSym</f>
        <v/>
      </c>
      <c r="I293" s="95" t="inlineStr">
        <is>
          <t>Included?</t>
        </is>
      </c>
      <c r="J293" s="82">
        <f>"Extra "&amp;CurSym</f>
        <v/>
      </c>
    </row>
    <row r="294">
      <c r="B294" s="19" t="inlineStr">
        <is>
          <t>Demolition</t>
        </is>
      </c>
      <c r="C294" s="74" t="n"/>
      <c r="D294" s="73" t="n"/>
      <c r="E294" s="74" t="n"/>
      <c r="F294" s="73" t="n"/>
      <c r="G294" s="74" t="n"/>
      <c r="H294" s="73" t="n"/>
      <c r="I294" s="74" t="n"/>
      <c r="J294" s="73" t="n"/>
    </row>
    <row r="295">
      <c r="B295" s="19" t="inlineStr">
        <is>
          <t>Waste disposal</t>
        </is>
      </c>
      <c r="C295" s="74" t="n"/>
      <c r="D295" s="73" t="n"/>
      <c r="E295" s="74" t="n"/>
      <c r="F295" s="73" t="n"/>
      <c r="G295" s="74" t="n"/>
      <c r="H295" s="73" t="n"/>
      <c r="I295" s="74" t="n"/>
      <c r="J295" s="73" t="n"/>
    </row>
    <row r="296">
      <c r="B296" s="19" t="inlineStr">
        <is>
          <t>Delivery</t>
        </is>
      </c>
      <c r="C296" s="74" t="n"/>
      <c r="D296" s="73" t="n"/>
      <c r="E296" s="74" t="n"/>
      <c r="F296" s="73" t="n"/>
      <c r="G296" s="74" t="n"/>
      <c r="H296" s="73" t="n"/>
      <c r="I296" s="74" t="n"/>
      <c r="J296" s="73" t="n"/>
    </row>
    <row r="297">
      <c r="B297" s="19" t="inlineStr">
        <is>
          <t>Permits</t>
        </is>
      </c>
      <c r="C297" s="74" t="n"/>
      <c r="D297" s="73" t="n"/>
      <c r="E297" s="74" t="n"/>
      <c r="F297" s="73" t="n"/>
      <c r="G297" s="74" t="n"/>
      <c r="H297" s="73" t="n"/>
      <c r="I297" s="74" t="n"/>
      <c r="J297" s="73" t="n"/>
    </row>
    <row r="298">
      <c r="B298" s="19" t="inlineStr">
        <is>
          <t>Materials specified</t>
        </is>
      </c>
      <c r="C298" s="74" t="n"/>
      <c r="D298" s="73" t="n"/>
      <c r="E298" s="74" t="n"/>
      <c r="F298" s="73" t="n"/>
      <c r="G298" s="74" t="n"/>
      <c r="H298" s="73" t="n"/>
      <c r="I298" s="74" t="n"/>
      <c r="J298" s="73" t="n"/>
    </row>
    <row r="299">
      <c r="B299" s="19" t="inlineStr">
        <is>
          <t>Labor specified</t>
        </is>
      </c>
      <c r="C299" s="74" t="n"/>
      <c r="D299" s="73" t="n"/>
      <c r="E299" s="74" t="n"/>
      <c r="F299" s="73" t="n"/>
      <c r="G299" s="74" t="n"/>
      <c r="H299" s="73" t="n"/>
      <c r="I299" s="74" t="n"/>
      <c r="J299" s="73" t="n"/>
    </row>
    <row r="300">
      <c r="B300" s="19" t="inlineStr">
        <is>
          <t>Finishing</t>
        </is>
      </c>
      <c r="C300" s="74" t="n"/>
      <c r="D300" s="73" t="n"/>
      <c r="E300" s="74" t="n"/>
      <c r="F300" s="73" t="n"/>
      <c r="G300" s="74" t="n"/>
      <c r="H300" s="73" t="n"/>
      <c r="I300" s="74" t="n"/>
      <c r="J300" s="73" t="n"/>
    </row>
    <row r="301">
      <c r="B301" s="19" t="inlineStr">
        <is>
          <t>Cleanup</t>
        </is>
      </c>
      <c r="C301" s="74" t="n"/>
      <c r="D301" s="73" t="n"/>
      <c r="E301" s="74" t="n"/>
      <c r="F301" s="73" t="n"/>
      <c r="G301" s="74" t="n"/>
      <c r="H301" s="73" t="n"/>
      <c r="I301" s="74" t="n"/>
      <c r="J301" s="73" t="n"/>
    </row>
    <row r="302">
      <c r="B302" s="97">
        <f>TaxWord&amp;" shown in price"</f>
        <v/>
      </c>
      <c r="C302" s="74" t="n"/>
      <c r="D302" s="73" t="n"/>
      <c r="E302" s="74" t="n"/>
      <c r="F302" s="73" t="n"/>
      <c r="G302" s="74" t="n"/>
      <c r="H302" s="73" t="n"/>
      <c r="I302" s="74" t="n"/>
      <c r="J302" s="73" t="n"/>
    </row>
    <row r="303">
      <c r="B303" s="19" t="inlineStr">
        <is>
          <t>Electrical upgrades</t>
        </is>
      </c>
      <c r="C303" s="74" t="n"/>
      <c r="D303" s="73" t="n"/>
      <c r="E303" s="74" t="n"/>
      <c r="F303" s="73" t="n"/>
      <c r="G303" s="74" t="n"/>
      <c r="H303" s="73" t="n"/>
      <c r="I303" s="74" t="n"/>
      <c r="J303" s="73" t="n"/>
    </row>
    <row r="304">
      <c r="B304" s="19" t="inlineStr">
        <is>
          <t>Plumbing modifications</t>
        </is>
      </c>
      <c r="C304" s="74" t="n"/>
      <c r="D304" s="73" t="n"/>
      <c r="E304" s="74" t="n"/>
      <c r="F304" s="73" t="n"/>
      <c r="G304" s="74" t="n"/>
      <c r="H304" s="73" t="n"/>
      <c r="I304" s="74" t="n"/>
      <c r="J304" s="73" t="n"/>
    </row>
    <row r="305">
      <c r="B305" s="19" t="inlineStr">
        <is>
          <t>Payment schedule defined</t>
        </is>
      </c>
      <c r="C305" s="74" t="n"/>
      <c r="D305" s="73" t="n"/>
      <c r="E305" s="74" t="n"/>
      <c r="F305" s="73" t="n"/>
      <c r="G305" s="74" t="n"/>
      <c r="H305" s="73" t="n"/>
      <c r="I305" s="74" t="n"/>
      <c r="J305" s="73" t="n"/>
    </row>
    <row r="306">
      <c r="B306" s="19" t="inlineStr">
        <is>
          <t>Warranty in writing</t>
        </is>
      </c>
      <c r="C306" s="74" t="n"/>
      <c r="D306" s="73" t="n"/>
      <c r="E306" s="74" t="n"/>
      <c r="F306" s="73" t="n"/>
      <c r="G306" s="74" t="n"/>
      <c r="H306" s="73" t="n"/>
      <c r="I306" s="74" t="n"/>
      <c r="J306" s="73" t="n"/>
    </row>
    <row r="307">
      <c r="B307" s="97">
        <f>"Hidden extras ("&amp;CurSym&amp;")"</f>
        <v/>
      </c>
      <c r="C307" s="99">
        <f>IF(C284="","",SUMPRODUCT((C294:C306&lt;&gt;"Included")*D294:D306))</f>
        <v/>
      </c>
      <c r="D307" s="63" t="n"/>
      <c r="E307" s="99">
        <f>IF(E284="","",SUMPRODUCT((E294:E306&lt;&gt;"Included")*F294:F306))</f>
        <v/>
      </c>
      <c r="F307" s="63" t="n"/>
      <c r="G307" s="99">
        <f>IF(G284="","",SUMPRODUCT((G294:G306&lt;&gt;"Included")*H294:H306))</f>
        <v/>
      </c>
      <c r="H307" s="63" t="n"/>
      <c r="I307" s="99">
        <f>IF(I284="","",SUMPRODUCT((I294:I306&lt;&gt;"Included")*J294:J306))</f>
        <v/>
      </c>
      <c r="J307" s="63" t="n"/>
    </row>
    <row r="308">
      <c r="B308" s="13">
        <f>"TRUE COST ("&amp;CurSym&amp;")"</f>
        <v/>
      </c>
      <c r="C308" s="102">
        <f>IF(OR(C284="",C287=""),"",C287+C307)</f>
        <v/>
      </c>
      <c r="D308" s="63" t="n"/>
      <c r="E308" s="102">
        <f>IF(OR(E284="",E287=""),"",E287+E307)</f>
        <v/>
      </c>
      <c r="F308" s="63" t="n"/>
      <c r="G308" s="102">
        <f>IF(OR(G284="",G287=""),"",G287+G307)</f>
        <v/>
      </c>
      <c r="H308" s="63" t="n"/>
      <c r="I308" s="102">
        <f>IF(OR(I284="",I287=""),"",I287+I307)</f>
        <v/>
      </c>
      <c r="J308" s="63" t="n"/>
    </row>
    <row r="309">
      <c r="B309" s="19" t="inlineStr">
        <is>
          <t>Completeness</t>
        </is>
      </c>
      <c r="C309" s="103">
        <f>IF(C284="","",COUNTIF(C294:C306,"Included")/13)</f>
        <v/>
      </c>
      <c r="D309" s="63" t="n"/>
      <c r="E309" s="103">
        <f>IF(E284="","",COUNTIF(E294:E306,"Included")/13)</f>
        <v/>
      </c>
      <c r="F309" s="63" t="n"/>
      <c r="G309" s="103">
        <f>IF(G284="","",COUNTIF(G294:G306,"Included")/13)</f>
        <v/>
      </c>
      <c r="H309" s="63" t="n"/>
      <c r="I309" s="103">
        <f>IF(I284="","",COUNTIF(I294:I306,"Included")/13)</f>
        <v/>
      </c>
      <c r="J309" s="63" t="n"/>
    </row>
    <row r="310">
      <c r="B310" s="80" t="inlineStr">
        <is>
          <t>SCORE</t>
        </is>
      </c>
    </row>
    <row r="311">
      <c r="B311" s="19" t="inlineStr">
        <is>
          <t>Price points</t>
        </is>
      </c>
      <c r="C311" s="104">
        <f>IF(C308="","",IF(C308&gt;0,MIN($C308:$J308)/C308,0)*WPrice)</f>
        <v/>
      </c>
      <c r="D311" s="63" t="n"/>
      <c r="E311" s="104">
        <f>IF(E308="","",IF(E308&gt;0,MIN($C308:$J308)/E308,0)*WPrice)</f>
        <v/>
      </c>
      <c r="F311" s="63" t="n"/>
      <c r="G311" s="104">
        <f>IF(G308="","",IF(G308&gt;0,MIN($C308:$J308)/G308,0)*WPrice)</f>
        <v/>
      </c>
      <c r="H311" s="63" t="n"/>
      <c r="I311" s="104">
        <f>IF(I308="","",IF(I308&gt;0,MIN($C308:$J308)/I308,0)*WPrice)</f>
        <v/>
      </c>
      <c r="J311" s="63" t="n"/>
    </row>
    <row r="312">
      <c r="B312" s="19" t="inlineStr">
        <is>
          <t>Timeline points</t>
        </is>
      </c>
      <c r="C312" s="104">
        <f>IF(C308="","",IF(C288&gt;0,MIN($C288:$J288)/C288,0)*WTime)</f>
        <v/>
      </c>
      <c r="D312" s="63" t="n"/>
      <c r="E312" s="104">
        <f>IF(E308="","",IF(E288&gt;0,MIN($C288:$J288)/E288,0)*WTime)</f>
        <v/>
      </c>
      <c r="F312" s="63" t="n"/>
      <c r="G312" s="104">
        <f>IF(G308="","",IF(G288&gt;0,MIN($C288:$J288)/G288,0)*WTime)</f>
        <v/>
      </c>
      <c r="H312" s="63" t="n"/>
      <c r="I312" s="104">
        <f>IF(I308="","",IF(I288&gt;0,MIN($C288:$J288)/I288,0)*WTime)</f>
        <v/>
      </c>
      <c r="J312" s="63" t="n"/>
    </row>
    <row r="313">
      <c r="B313" s="19" t="inlineStr">
        <is>
          <t>Warranty points</t>
        </is>
      </c>
      <c r="C313" s="104">
        <f>IF(C308="","",IF(MAX($C289:$J289)&gt;0,C289/MAX($C289:$J289),0)*WWar)</f>
        <v/>
      </c>
      <c r="D313" s="63" t="n"/>
      <c r="E313" s="104">
        <f>IF(E308="","",IF(MAX($C289:$J289)&gt;0,E289/MAX($C289:$J289),0)*WWar)</f>
        <v/>
      </c>
      <c r="F313" s="63" t="n"/>
      <c r="G313" s="104">
        <f>IF(G308="","",IF(MAX($C289:$J289)&gt;0,G289/MAX($C289:$J289),0)*WWar)</f>
        <v/>
      </c>
      <c r="H313" s="63" t="n"/>
      <c r="I313" s="104">
        <f>IF(I308="","",IF(MAX($C289:$J289)&gt;0,I289/MAX($C289:$J289),0)*WWar)</f>
        <v/>
      </c>
      <c r="J313" s="63" t="n"/>
    </row>
    <row r="314">
      <c r="B314" s="19" t="inlineStr">
        <is>
          <t>Completeness points</t>
        </is>
      </c>
      <c r="C314" s="104">
        <f>IF(C308="","",C309*WComp)</f>
        <v/>
      </c>
      <c r="D314" s="63" t="n"/>
      <c r="E314" s="104">
        <f>IF(E308="","",E309*WComp)</f>
        <v/>
      </c>
      <c r="F314" s="63" t="n"/>
      <c r="G314" s="104">
        <f>IF(G308="","",G309*WComp)</f>
        <v/>
      </c>
      <c r="H314" s="63" t="n"/>
      <c r="I314" s="104">
        <f>IF(I308="","",I309*WComp)</f>
        <v/>
      </c>
      <c r="J314" s="63" t="n"/>
    </row>
    <row r="315">
      <c r="B315" s="19" t="inlineStr">
        <is>
          <t>Gut &amp; references points</t>
        </is>
      </c>
      <c r="C315" s="104">
        <f>IF(C308="","",(IF(C291="",0,C291/5)*0.7+IF(C290="Yes",0.3,0))*WGut)</f>
        <v/>
      </c>
      <c r="D315" s="63" t="n"/>
      <c r="E315" s="104">
        <f>IF(E308="","",(IF(E291="",0,E291/5)*0.7+IF(E290="Yes",0.3,0))*WGut)</f>
        <v/>
      </c>
      <c r="F315" s="63" t="n"/>
      <c r="G315" s="104">
        <f>IF(G308="","",(IF(G291="",0,G291/5)*0.7+IF(G290="Yes",0.3,0))*WGut)</f>
        <v/>
      </c>
      <c r="H315" s="63" t="n"/>
      <c r="I315" s="104">
        <f>IF(I308="","",(IF(I291="",0,I291/5)*0.7+IF(I290="Yes",0.3,0))*WGut)</f>
        <v/>
      </c>
      <c r="J315" s="63" t="n"/>
    </row>
    <row r="316">
      <c r="B316" s="6" t="inlineStr">
        <is>
          <t>TOTAL SCORE</t>
        </is>
      </c>
      <c r="C316" s="105">
        <f>IF(C308="","",ROUND(SUM(C311:C315),1))</f>
        <v/>
      </c>
      <c r="D316" s="63" t="n"/>
      <c r="E316" s="105">
        <f>IF(E308="","",ROUND(SUM(E311:E315),1))</f>
        <v/>
      </c>
      <c r="F316" s="63" t="n"/>
      <c r="G316" s="105">
        <f>IF(G308="","",ROUND(SUM(G311:G315),1))</f>
        <v/>
      </c>
      <c r="H316" s="63" t="n"/>
      <c r="I316" s="105">
        <f>IF(I308="","",ROUND(SUM(I311:I315),1))</f>
        <v/>
      </c>
      <c r="J316" s="63" t="n"/>
    </row>
    <row r="317">
      <c r="B317" s="6" t="inlineStr">
        <is>
          <t>Ranking</t>
        </is>
      </c>
      <c r="C317" s="106">
        <f>IF(C316="","",IF(C316=MAX($C316:$J316),"🏆 WINNER","#"&amp;(1+COUNTIF($C316:$J316,"&gt;"&amp;C316))))</f>
        <v/>
      </c>
      <c r="D317" s="63" t="n"/>
      <c r="E317" s="106">
        <f>IF(E316="","",IF(E316=MAX($C316:$J316),"🏆 WINNER","#"&amp;(1+COUNTIF($C316:$J316,"&gt;"&amp;E316))))</f>
        <v/>
      </c>
      <c r="F317" s="63" t="n"/>
      <c r="G317" s="106">
        <f>IF(G316="","",IF(G316=MAX($C316:$J316),"🏆 WINNER","#"&amp;(1+COUNTIF($C316:$J316,"&gt;"&amp;G316))))</f>
        <v/>
      </c>
      <c r="H317" s="63" t="n"/>
      <c r="I317" s="106">
        <f>IF(I316="","",IF(I316=MAX($C316:$J316),"🏆 WINNER","#"&amp;(1+COUNTIF($C316:$J316,"&gt;"&amp;I316))))</f>
        <v/>
      </c>
      <c r="J317" s="63" t="n"/>
    </row>
    <row r="318" ht="26" customHeight="1">
      <c r="B318" s="107">
        <f>IF(COUNT($C308:$J308)&lt;2,"",IF(INDEX($C284:$J284,MATCH(MIN($C287:$J287),$C287:$J287,0))&lt;&gt;INDEX($C284:$J284,MATCH(MIN($C308:$J308),$C308:$J308,0)),"⚠️ Hidden costs change the ranking! Cheapest quoted price: "&amp;INDEX($C284:$J284,MATCH(MIN($C287:$J287),$C287:$J287,0))&amp;"  →  cheapest TRUE cost: "&amp;INDEX($C284:$J284,MATCH(MIN($C308:$J308),$C308:$J308,0)),"✓ The cheapest quote is also the cheapest true cost."))</f>
        <v/>
      </c>
      <c r="P318" s="46">
        <f>IF(B318="",0,IF(LEFT(B318,1)="✓",0,1))</f>
        <v/>
      </c>
    </row>
    <row r="319"/>
    <row r="320"/>
    <row r="321" ht="28" customHeight="1">
      <c r="B321" s="91" t="inlineStr">
        <is>
          <t>COMPARISON 9  ▸  trade:</t>
        </is>
      </c>
      <c r="C321" s="92" t="n"/>
      <c r="D321" s="91" t="n"/>
      <c r="E321" s="93">
        <f>IF(COUNT($C$355:$J$355)=0,"Enter up to 4 quotes below","🏆 Best overall: "&amp;INDEX($C$323:$J$323,MATCH(MAX($C$355:$J$355),$C$355:$J$355,0))&amp;"  —  true cost "&amp;CurSym&amp;" "&amp;FIXED(INDEX($C$347:$J$347,MATCH(MAX($C$355:$J$355),$C$355:$J$355,0)),0))</f>
        <v/>
      </c>
      <c r="F321" s="94" t="n"/>
      <c r="G321" s="94" t="n"/>
      <c r="H321" s="94" t="n"/>
      <c r="I321" s="94" t="n"/>
      <c r="J321" s="63" t="n"/>
    </row>
    <row r="322">
      <c r="C322" s="95" t="inlineStr">
        <is>
          <t>Contractor 1</t>
        </is>
      </c>
      <c r="D322" s="63" t="n"/>
      <c r="E322" s="95" t="inlineStr">
        <is>
          <t>Contractor 2</t>
        </is>
      </c>
      <c r="F322" s="63" t="n"/>
      <c r="G322" s="95" t="inlineStr">
        <is>
          <t>Contractor 3</t>
        </is>
      </c>
      <c r="H322" s="63" t="n"/>
      <c r="I322" s="95" t="inlineStr">
        <is>
          <t>Contractor 4</t>
        </is>
      </c>
      <c r="J322" s="63" t="n"/>
    </row>
    <row r="323">
      <c r="B323" s="6" t="inlineStr">
        <is>
          <t>Contractor / company</t>
        </is>
      </c>
      <c r="C323" s="74" t="n"/>
      <c r="D323" s="96" t="n"/>
      <c r="E323" s="74" t="n"/>
      <c r="F323" s="96" t="n"/>
      <c r="G323" s="74" t="n"/>
      <c r="H323" s="96" t="n"/>
      <c r="I323" s="74" t="n"/>
      <c r="J323" s="96" t="n"/>
    </row>
    <row r="324">
      <c r="B324" s="97">
        <f>"Quoted price ("&amp;CurSym&amp;")"</f>
        <v/>
      </c>
      <c r="C324" s="98" t="n"/>
      <c r="D324" s="96" t="n"/>
      <c r="E324" s="98" t="n"/>
      <c r="F324" s="96" t="n"/>
      <c r="G324" s="98" t="n"/>
      <c r="H324" s="96" t="n"/>
      <c r="I324" s="98" t="n"/>
      <c r="J324" s="96" t="n"/>
    </row>
    <row r="325">
      <c r="B325" s="97">
        <f>"Price includes "&amp;TaxWord&amp;"?"</f>
        <v/>
      </c>
      <c r="C325" s="74">
        <f>DefInclTax</f>
        <v/>
      </c>
      <c r="D325" s="96" t="n"/>
      <c r="E325" s="74">
        <f>DefInclTax</f>
        <v/>
      </c>
      <c r="F325" s="96" t="n"/>
      <c r="G325" s="74">
        <f>DefInclTax</f>
        <v/>
      </c>
      <c r="H325" s="96" t="n"/>
      <c r="I325" s="74">
        <f>DefInclTax</f>
        <v/>
      </c>
      <c r="J325" s="96" t="n"/>
    </row>
    <row r="326">
      <c r="B326" s="97">
        <f>"Price incl. "&amp;TaxWord&amp;" ("&amp;CurSym&amp;")"</f>
        <v/>
      </c>
      <c r="C326" s="99">
        <f>IF(C324="","",IF(C325="No",C324*(1+VatRate),C324))</f>
        <v/>
      </c>
      <c r="D326" s="63" t="n"/>
      <c r="E326" s="99">
        <f>IF(E324="","",IF(E325="No",E324*(1+VatRate),E324))</f>
        <v/>
      </c>
      <c r="F326" s="63" t="n"/>
      <c r="G326" s="99">
        <f>IF(G324="","",IF(G325="No",G324*(1+VatRate),G324))</f>
        <v/>
      </c>
      <c r="H326" s="63" t="n"/>
      <c r="I326" s="99">
        <f>IF(I324="","",IF(I325="No",I324*(1+VatRate),I324))</f>
        <v/>
      </c>
      <c r="J326" s="63" t="n"/>
    </row>
    <row r="327">
      <c r="B327" s="19" t="inlineStr">
        <is>
          <t>Timeline (weeks)</t>
        </is>
      </c>
      <c r="C327" s="100" t="n"/>
      <c r="D327" s="96" t="n"/>
      <c r="E327" s="100" t="n"/>
      <c r="F327" s="96" t="n"/>
      <c r="G327" s="100" t="n"/>
      <c r="H327" s="96" t="n"/>
      <c r="I327" s="100" t="n"/>
      <c r="J327" s="96" t="n"/>
    </row>
    <row r="328">
      <c r="B328" s="19" t="inlineStr">
        <is>
          <t>Warranty (years)</t>
        </is>
      </c>
      <c r="C328" s="100" t="n"/>
      <c r="D328" s="96" t="n"/>
      <c r="E328" s="100" t="n"/>
      <c r="F328" s="96" t="n"/>
      <c r="G328" s="100" t="n"/>
      <c r="H328" s="96" t="n"/>
      <c r="I328" s="100" t="n"/>
      <c r="J328" s="96" t="n"/>
    </row>
    <row r="329">
      <c r="B329" s="19" t="inlineStr">
        <is>
          <t>References checked?</t>
        </is>
      </c>
      <c r="C329" s="74" t="n"/>
      <c r="D329" s="96" t="n"/>
      <c r="E329" s="74" t="n"/>
      <c r="F329" s="96" t="n"/>
      <c r="G329" s="74" t="n"/>
      <c r="H329" s="96" t="n"/>
      <c r="I329" s="74" t="n"/>
      <c r="J329" s="96" t="n"/>
    </row>
    <row r="330">
      <c r="B330" s="19" t="inlineStr">
        <is>
          <t>Gut feeling (1–5)</t>
        </is>
      </c>
      <c r="C330" s="89" t="n"/>
      <c r="D330" s="96" t="n"/>
      <c r="E330" s="89" t="n"/>
      <c r="F330" s="96" t="n"/>
      <c r="G330" s="89" t="n"/>
      <c r="H330" s="96" t="n"/>
      <c r="I330" s="89" t="n"/>
      <c r="J330" s="96" t="n"/>
    </row>
    <row r="331">
      <c r="B331" s="19" t="inlineStr">
        <is>
          <t>Quote valid until</t>
        </is>
      </c>
      <c r="C331" s="101" t="n"/>
      <c r="D331" s="96" t="n"/>
      <c r="E331" s="101" t="n"/>
      <c r="F331" s="96" t="n"/>
      <c r="G331" s="101" t="n"/>
      <c r="H331" s="96" t="n"/>
      <c r="I331" s="101" t="n"/>
      <c r="J331" s="96" t="n"/>
    </row>
    <row r="332">
      <c r="B332" s="80" t="inlineStr">
        <is>
          <t>HIDDEN-COST CHECKLIST</t>
        </is>
      </c>
      <c r="C332" s="95" t="inlineStr">
        <is>
          <t>Included?</t>
        </is>
      </c>
      <c r="D332" s="82">
        <f>"Extra "&amp;CurSym</f>
        <v/>
      </c>
      <c r="E332" s="95" t="inlineStr">
        <is>
          <t>Included?</t>
        </is>
      </c>
      <c r="F332" s="82">
        <f>"Extra "&amp;CurSym</f>
        <v/>
      </c>
      <c r="G332" s="95" t="inlineStr">
        <is>
          <t>Included?</t>
        </is>
      </c>
      <c r="H332" s="82">
        <f>"Extra "&amp;CurSym</f>
        <v/>
      </c>
      <c r="I332" s="95" t="inlineStr">
        <is>
          <t>Included?</t>
        </is>
      </c>
      <c r="J332" s="82">
        <f>"Extra "&amp;CurSym</f>
        <v/>
      </c>
    </row>
    <row r="333">
      <c r="B333" s="19" t="inlineStr">
        <is>
          <t>Demolition</t>
        </is>
      </c>
      <c r="C333" s="74" t="n"/>
      <c r="D333" s="73" t="n"/>
      <c r="E333" s="74" t="n"/>
      <c r="F333" s="73" t="n"/>
      <c r="G333" s="74" t="n"/>
      <c r="H333" s="73" t="n"/>
      <c r="I333" s="74" t="n"/>
      <c r="J333" s="73" t="n"/>
    </row>
    <row r="334">
      <c r="B334" s="19" t="inlineStr">
        <is>
          <t>Waste disposal</t>
        </is>
      </c>
      <c r="C334" s="74" t="n"/>
      <c r="D334" s="73" t="n"/>
      <c r="E334" s="74" t="n"/>
      <c r="F334" s="73" t="n"/>
      <c r="G334" s="74" t="n"/>
      <c r="H334" s="73" t="n"/>
      <c r="I334" s="74" t="n"/>
      <c r="J334" s="73" t="n"/>
    </row>
    <row r="335">
      <c r="B335" s="19" t="inlineStr">
        <is>
          <t>Delivery</t>
        </is>
      </c>
      <c r="C335" s="74" t="n"/>
      <c r="D335" s="73" t="n"/>
      <c r="E335" s="74" t="n"/>
      <c r="F335" s="73" t="n"/>
      <c r="G335" s="74" t="n"/>
      <c r="H335" s="73" t="n"/>
      <c r="I335" s="74" t="n"/>
      <c r="J335" s="73" t="n"/>
    </row>
    <row r="336">
      <c r="B336" s="19" t="inlineStr">
        <is>
          <t>Permits</t>
        </is>
      </c>
      <c r="C336" s="74" t="n"/>
      <c r="D336" s="73" t="n"/>
      <c r="E336" s="74" t="n"/>
      <c r="F336" s="73" t="n"/>
      <c r="G336" s="74" t="n"/>
      <c r="H336" s="73" t="n"/>
      <c r="I336" s="74" t="n"/>
      <c r="J336" s="73" t="n"/>
    </row>
    <row r="337">
      <c r="B337" s="19" t="inlineStr">
        <is>
          <t>Materials specified</t>
        </is>
      </c>
      <c r="C337" s="74" t="n"/>
      <c r="D337" s="73" t="n"/>
      <c r="E337" s="74" t="n"/>
      <c r="F337" s="73" t="n"/>
      <c r="G337" s="74" t="n"/>
      <c r="H337" s="73" t="n"/>
      <c r="I337" s="74" t="n"/>
      <c r="J337" s="73" t="n"/>
    </row>
    <row r="338">
      <c r="B338" s="19" t="inlineStr">
        <is>
          <t>Labor specified</t>
        </is>
      </c>
      <c r="C338" s="74" t="n"/>
      <c r="D338" s="73" t="n"/>
      <c r="E338" s="74" t="n"/>
      <c r="F338" s="73" t="n"/>
      <c r="G338" s="74" t="n"/>
      <c r="H338" s="73" t="n"/>
      <c r="I338" s="74" t="n"/>
      <c r="J338" s="73" t="n"/>
    </row>
    <row r="339">
      <c r="B339" s="19" t="inlineStr">
        <is>
          <t>Finishing</t>
        </is>
      </c>
      <c r="C339" s="74" t="n"/>
      <c r="D339" s="73" t="n"/>
      <c r="E339" s="74" t="n"/>
      <c r="F339" s="73" t="n"/>
      <c r="G339" s="74" t="n"/>
      <c r="H339" s="73" t="n"/>
      <c r="I339" s="74" t="n"/>
      <c r="J339" s="73" t="n"/>
    </row>
    <row r="340">
      <c r="B340" s="19" t="inlineStr">
        <is>
          <t>Cleanup</t>
        </is>
      </c>
      <c r="C340" s="74" t="n"/>
      <c r="D340" s="73" t="n"/>
      <c r="E340" s="74" t="n"/>
      <c r="F340" s="73" t="n"/>
      <c r="G340" s="74" t="n"/>
      <c r="H340" s="73" t="n"/>
      <c r="I340" s="74" t="n"/>
      <c r="J340" s="73" t="n"/>
    </row>
    <row r="341">
      <c r="B341" s="97">
        <f>TaxWord&amp;" shown in price"</f>
        <v/>
      </c>
      <c r="C341" s="74" t="n"/>
      <c r="D341" s="73" t="n"/>
      <c r="E341" s="74" t="n"/>
      <c r="F341" s="73" t="n"/>
      <c r="G341" s="74" t="n"/>
      <c r="H341" s="73" t="n"/>
      <c r="I341" s="74" t="n"/>
      <c r="J341" s="73" t="n"/>
    </row>
    <row r="342">
      <c r="B342" s="19" t="inlineStr">
        <is>
          <t>Electrical upgrades</t>
        </is>
      </c>
      <c r="C342" s="74" t="n"/>
      <c r="D342" s="73" t="n"/>
      <c r="E342" s="74" t="n"/>
      <c r="F342" s="73" t="n"/>
      <c r="G342" s="74" t="n"/>
      <c r="H342" s="73" t="n"/>
      <c r="I342" s="74" t="n"/>
      <c r="J342" s="73" t="n"/>
    </row>
    <row r="343">
      <c r="B343" s="19" t="inlineStr">
        <is>
          <t>Plumbing modifications</t>
        </is>
      </c>
      <c r="C343" s="74" t="n"/>
      <c r="D343" s="73" t="n"/>
      <c r="E343" s="74" t="n"/>
      <c r="F343" s="73" t="n"/>
      <c r="G343" s="74" t="n"/>
      <c r="H343" s="73" t="n"/>
      <c r="I343" s="74" t="n"/>
      <c r="J343" s="73" t="n"/>
    </row>
    <row r="344">
      <c r="B344" s="19" t="inlineStr">
        <is>
          <t>Payment schedule defined</t>
        </is>
      </c>
      <c r="C344" s="74" t="n"/>
      <c r="D344" s="73" t="n"/>
      <c r="E344" s="74" t="n"/>
      <c r="F344" s="73" t="n"/>
      <c r="G344" s="74" t="n"/>
      <c r="H344" s="73" t="n"/>
      <c r="I344" s="74" t="n"/>
      <c r="J344" s="73" t="n"/>
    </row>
    <row r="345">
      <c r="B345" s="19" t="inlineStr">
        <is>
          <t>Warranty in writing</t>
        </is>
      </c>
      <c r="C345" s="74" t="n"/>
      <c r="D345" s="73" t="n"/>
      <c r="E345" s="74" t="n"/>
      <c r="F345" s="73" t="n"/>
      <c r="G345" s="74" t="n"/>
      <c r="H345" s="73" t="n"/>
      <c r="I345" s="74" t="n"/>
      <c r="J345" s="73" t="n"/>
    </row>
    <row r="346">
      <c r="B346" s="97">
        <f>"Hidden extras ("&amp;CurSym&amp;")"</f>
        <v/>
      </c>
      <c r="C346" s="99">
        <f>IF(C323="","",SUMPRODUCT((C333:C345&lt;&gt;"Included")*D333:D345))</f>
        <v/>
      </c>
      <c r="D346" s="63" t="n"/>
      <c r="E346" s="99">
        <f>IF(E323="","",SUMPRODUCT((E333:E345&lt;&gt;"Included")*F333:F345))</f>
        <v/>
      </c>
      <c r="F346" s="63" t="n"/>
      <c r="G346" s="99">
        <f>IF(G323="","",SUMPRODUCT((G333:G345&lt;&gt;"Included")*H333:H345))</f>
        <v/>
      </c>
      <c r="H346" s="63" t="n"/>
      <c r="I346" s="99">
        <f>IF(I323="","",SUMPRODUCT((I333:I345&lt;&gt;"Included")*J333:J345))</f>
        <v/>
      </c>
      <c r="J346" s="63" t="n"/>
    </row>
    <row r="347">
      <c r="B347" s="13">
        <f>"TRUE COST ("&amp;CurSym&amp;")"</f>
        <v/>
      </c>
      <c r="C347" s="102">
        <f>IF(OR(C323="",C326=""),"",C326+C346)</f>
        <v/>
      </c>
      <c r="D347" s="63" t="n"/>
      <c r="E347" s="102">
        <f>IF(OR(E323="",E326=""),"",E326+E346)</f>
        <v/>
      </c>
      <c r="F347" s="63" t="n"/>
      <c r="G347" s="102">
        <f>IF(OR(G323="",G326=""),"",G326+G346)</f>
        <v/>
      </c>
      <c r="H347" s="63" t="n"/>
      <c r="I347" s="102">
        <f>IF(OR(I323="",I326=""),"",I326+I346)</f>
        <v/>
      </c>
      <c r="J347" s="63" t="n"/>
    </row>
    <row r="348">
      <c r="B348" s="19" t="inlineStr">
        <is>
          <t>Completeness</t>
        </is>
      </c>
      <c r="C348" s="103">
        <f>IF(C323="","",COUNTIF(C333:C345,"Included")/13)</f>
        <v/>
      </c>
      <c r="D348" s="63" t="n"/>
      <c r="E348" s="103">
        <f>IF(E323="","",COUNTIF(E333:E345,"Included")/13)</f>
        <v/>
      </c>
      <c r="F348" s="63" t="n"/>
      <c r="G348" s="103">
        <f>IF(G323="","",COUNTIF(G333:G345,"Included")/13)</f>
        <v/>
      </c>
      <c r="H348" s="63" t="n"/>
      <c r="I348" s="103">
        <f>IF(I323="","",COUNTIF(I333:I345,"Included")/13)</f>
        <v/>
      </c>
      <c r="J348" s="63" t="n"/>
    </row>
    <row r="349">
      <c r="B349" s="80" t="inlineStr">
        <is>
          <t>SCORE</t>
        </is>
      </c>
    </row>
    <row r="350">
      <c r="B350" s="19" t="inlineStr">
        <is>
          <t>Price points</t>
        </is>
      </c>
      <c r="C350" s="104">
        <f>IF(C347="","",IF(C347&gt;0,MIN($C347:$J347)/C347,0)*WPrice)</f>
        <v/>
      </c>
      <c r="D350" s="63" t="n"/>
      <c r="E350" s="104">
        <f>IF(E347="","",IF(E347&gt;0,MIN($C347:$J347)/E347,0)*WPrice)</f>
        <v/>
      </c>
      <c r="F350" s="63" t="n"/>
      <c r="G350" s="104">
        <f>IF(G347="","",IF(G347&gt;0,MIN($C347:$J347)/G347,0)*WPrice)</f>
        <v/>
      </c>
      <c r="H350" s="63" t="n"/>
      <c r="I350" s="104">
        <f>IF(I347="","",IF(I347&gt;0,MIN($C347:$J347)/I347,0)*WPrice)</f>
        <v/>
      </c>
      <c r="J350" s="63" t="n"/>
    </row>
    <row r="351">
      <c r="B351" s="19" t="inlineStr">
        <is>
          <t>Timeline points</t>
        </is>
      </c>
      <c r="C351" s="104">
        <f>IF(C347="","",IF(C327&gt;0,MIN($C327:$J327)/C327,0)*WTime)</f>
        <v/>
      </c>
      <c r="D351" s="63" t="n"/>
      <c r="E351" s="104">
        <f>IF(E347="","",IF(E327&gt;0,MIN($C327:$J327)/E327,0)*WTime)</f>
        <v/>
      </c>
      <c r="F351" s="63" t="n"/>
      <c r="G351" s="104">
        <f>IF(G347="","",IF(G327&gt;0,MIN($C327:$J327)/G327,0)*WTime)</f>
        <v/>
      </c>
      <c r="H351" s="63" t="n"/>
      <c r="I351" s="104">
        <f>IF(I347="","",IF(I327&gt;0,MIN($C327:$J327)/I327,0)*WTime)</f>
        <v/>
      </c>
      <c r="J351" s="63" t="n"/>
    </row>
    <row r="352">
      <c r="B352" s="19" t="inlineStr">
        <is>
          <t>Warranty points</t>
        </is>
      </c>
      <c r="C352" s="104">
        <f>IF(C347="","",IF(MAX($C328:$J328)&gt;0,C328/MAX($C328:$J328),0)*WWar)</f>
        <v/>
      </c>
      <c r="D352" s="63" t="n"/>
      <c r="E352" s="104">
        <f>IF(E347="","",IF(MAX($C328:$J328)&gt;0,E328/MAX($C328:$J328),0)*WWar)</f>
        <v/>
      </c>
      <c r="F352" s="63" t="n"/>
      <c r="G352" s="104">
        <f>IF(G347="","",IF(MAX($C328:$J328)&gt;0,G328/MAX($C328:$J328),0)*WWar)</f>
        <v/>
      </c>
      <c r="H352" s="63" t="n"/>
      <c r="I352" s="104">
        <f>IF(I347="","",IF(MAX($C328:$J328)&gt;0,I328/MAX($C328:$J328),0)*WWar)</f>
        <v/>
      </c>
      <c r="J352" s="63" t="n"/>
    </row>
    <row r="353">
      <c r="B353" s="19" t="inlineStr">
        <is>
          <t>Completeness points</t>
        </is>
      </c>
      <c r="C353" s="104">
        <f>IF(C347="","",C348*WComp)</f>
        <v/>
      </c>
      <c r="D353" s="63" t="n"/>
      <c r="E353" s="104">
        <f>IF(E347="","",E348*WComp)</f>
        <v/>
      </c>
      <c r="F353" s="63" t="n"/>
      <c r="G353" s="104">
        <f>IF(G347="","",G348*WComp)</f>
        <v/>
      </c>
      <c r="H353" s="63" t="n"/>
      <c r="I353" s="104">
        <f>IF(I347="","",I348*WComp)</f>
        <v/>
      </c>
      <c r="J353" s="63" t="n"/>
    </row>
    <row r="354">
      <c r="B354" s="19" t="inlineStr">
        <is>
          <t>Gut &amp; references points</t>
        </is>
      </c>
      <c r="C354" s="104">
        <f>IF(C347="","",(IF(C330="",0,C330/5)*0.7+IF(C329="Yes",0.3,0))*WGut)</f>
        <v/>
      </c>
      <c r="D354" s="63" t="n"/>
      <c r="E354" s="104">
        <f>IF(E347="","",(IF(E330="",0,E330/5)*0.7+IF(E329="Yes",0.3,0))*WGut)</f>
        <v/>
      </c>
      <c r="F354" s="63" t="n"/>
      <c r="G354" s="104">
        <f>IF(G347="","",(IF(G330="",0,G330/5)*0.7+IF(G329="Yes",0.3,0))*WGut)</f>
        <v/>
      </c>
      <c r="H354" s="63" t="n"/>
      <c r="I354" s="104">
        <f>IF(I347="","",(IF(I330="",0,I330/5)*0.7+IF(I329="Yes",0.3,0))*WGut)</f>
        <v/>
      </c>
      <c r="J354" s="63" t="n"/>
    </row>
    <row r="355">
      <c r="B355" s="6" t="inlineStr">
        <is>
          <t>TOTAL SCORE</t>
        </is>
      </c>
      <c r="C355" s="105">
        <f>IF(C347="","",ROUND(SUM(C350:C354),1))</f>
        <v/>
      </c>
      <c r="D355" s="63" t="n"/>
      <c r="E355" s="105">
        <f>IF(E347="","",ROUND(SUM(E350:E354),1))</f>
        <v/>
      </c>
      <c r="F355" s="63" t="n"/>
      <c r="G355" s="105">
        <f>IF(G347="","",ROUND(SUM(G350:G354),1))</f>
        <v/>
      </c>
      <c r="H355" s="63" t="n"/>
      <c r="I355" s="105">
        <f>IF(I347="","",ROUND(SUM(I350:I354),1))</f>
        <v/>
      </c>
      <c r="J355" s="63" t="n"/>
    </row>
    <row r="356">
      <c r="B356" s="6" t="inlineStr">
        <is>
          <t>Ranking</t>
        </is>
      </c>
      <c r="C356" s="106">
        <f>IF(C355="","",IF(C355=MAX($C355:$J355),"🏆 WINNER","#"&amp;(1+COUNTIF($C355:$J355,"&gt;"&amp;C355))))</f>
        <v/>
      </c>
      <c r="D356" s="63" t="n"/>
      <c r="E356" s="106">
        <f>IF(E355="","",IF(E355=MAX($C355:$J355),"🏆 WINNER","#"&amp;(1+COUNTIF($C355:$J355,"&gt;"&amp;E355))))</f>
        <v/>
      </c>
      <c r="F356" s="63" t="n"/>
      <c r="G356" s="106">
        <f>IF(G355="","",IF(G355=MAX($C355:$J355),"🏆 WINNER","#"&amp;(1+COUNTIF($C355:$J355,"&gt;"&amp;G355))))</f>
        <v/>
      </c>
      <c r="H356" s="63" t="n"/>
      <c r="I356" s="106">
        <f>IF(I355="","",IF(I355=MAX($C355:$J355),"🏆 WINNER","#"&amp;(1+COUNTIF($C355:$J355,"&gt;"&amp;I355))))</f>
        <v/>
      </c>
      <c r="J356" s="63" t="n"/>
    </row>
    <row r="357" ht="26" customHeight="1">
      <c r="B357" s="107">
        <f>IF(COUNT($C347:$J347)&lt;2,"",IF(INDEX($C323:$J323,MATCH(MIN($C326:$J326),$C326:$J326,0))&lt;&gt;INDEX($C323:$J323,MATCH(MIN($C347:$J347),$C347:$J347,0)),"⚠️ Hidden costs change the ranking! Cheapest quoted price: "&amp;INDEX($C323:$J323,MATCH(MIN($C326:$J326),$C326:$J326,0))&amp;"  →  cheapest TRUE cost: "&amp;INDEX($C323:$J323,MATCH(MIN($C347:$J347),$C347:$J347,0)),"✓ The cheapest quote is also the cheapest true cost."))</f>
        <v/>
      </c>
      <c r="P357" s="46">
        <f>IF(B357="",0,IF(LEFT(B357,1)="✓",0,1))</f>
        <v/>
      </c>
    </row>
    <row r="358"/>
    <row r="359"/>
    <row r="360" ht="28" customHeight="1">
      <c r="B360" s="91" t="inlineStr">
        <is>
          <t>COMPARISON 10  ▸  trade:</t>
        </is>
      </c>
      <c r="C360" s="92" t="n"/>
      <c r="D360" s="91" t="n"/>
      <c r="E360" s="93">
        <f>IF(COUNT($C$394:$J$394)=0,"Enter up to 4 quotes below","🏆 Best overall: "&amp;INDEX($C$362:$J$362,MATCH(MAX($C$394:$J$394),$C$394:$J$394,0))&amp;"  —  true cost "&amp;CurSym&amp;" "&amp;FIXED(INDEX($C$386:$J$386,MATCH(MAX($C$394:$J$394),$C$394:$J$394,0)),0))</f>
        <v/>
      </c>
      <c r="F360" s="94" t="n"/>
      <c r="G360" s="94" t="n"/>
      <c r="H360" s="94" t="n"/>
      <c r="I360" s="94" t="n"/>
      <c r="J360" s="63" t="n"/>
    </row>
    <row r="361">
      <c r="C361" s="95" t="inlineStr">
        <is>
          <t>Contractor 1</t>
        </is>
      </c>
      <c r="D361" s="63" t="n"/>
      <c r="E361" s="95" t="inlineStr">
        <is>
          <t>Contractor 2</t>
        </is>
      </c>
      <c r="F361" s="63" t="n"/>
      <c r="G361" s="95" t="inlineStr">
        <is>
          <t>Contractor 3</t>
        </is>
      </c>
      <c r="H361" s="63" t="n"/>
      <c r="I361" s="95" t="inlineStr">
        <is>
          <t>Contractor 4</t>
        </is>
      </c>
      <c r="J361" s="63" t="n"/>
    </row>
    <row r="362">
      <c r="B362" s="6" t="inlineStr">
        <is>
          <t>Contractor / company</t>
        </is>
      </c>
      <c r="C362" s="74" t="n"/>
      <c r="D362" s="96" t="n"/>
      <c r="E362" s="74" t="n"/>
      <c r="F362" s="96" t="n"/>
      <c r="G362" s="74" t="n"/>
      <c r="H362" s="96" t="n"/>
      <c r="I362" s="74" t="n"/>
      <c r="J362" s="96" t="n"/>
    </row>
    <row r="363">
      <c r="B363" s="97">
        <f>"Quoted price ("&amp;CurSym&amp;")"</f>
        <v/>
      </c>
      <c r="C363" s="98" t="n"/>
      <c r="D363" s="96" t="n"/>
      <c r="E363" s="98" t="n"/>
      <c r="F363" s="96" t="n"/>
      <c r="G363" s="98" t="n"/>
      <c r="H363" s="96" t="n"/>
      <c r="I363" s="98" t="n"/>
      <c r="J363" s="96" t="n"/>
    </row>
    <row r="364">
      <c r="B364" s="97">
        <f>"Price includes "&amp;TaxWord&amp;"?"</f>
        <v/>
      </c>
      <c r="C364" s="74">
        <f>DefInclTax</f>
        <v/>
      </c>
      <c r="D364" s="96" t="n"/>
      <c r="E364" s="74">
        <f>DefInclTax</f>
        <v/>
      </c>
      <c r="F364" s="96" t="n"/>
      <c r="G364" s="74">
        <f>DefInclTax</f>
        <v/>
      </c>
      <c r="H364" s="96" t="n"/>
      <c r="I364" s="74">
        <f>DefInclTax</f>
        <v/>
      </c>
      <c r="J364" s="96" t="n"/>
    </row>
    <row r="365">
      <c r="B365" s="97">
        <f>"Price incl. "&amp;TaxWord&amp;" ("&amp;CurSym&amp;")"</f>
        <v/>
      </c>
      <c r="C365" s="99">
        <f>IF(C363="","",IF(C364="No",C363*(1+VatRate),C363))</f>
        <v/>
      </c>
      <c r="D365" s="63" t="n"/>
      <c r="E365" s="99">
        <f>IF(E363="","",IF(E364="No",E363*(1+VatRate),E363))</f>
        <v/>
      </c>
      <c r="F365" s="63" t="n"/>
      <c r="G365" s="99">
        <f>IF(G363="","",IF(G364="No",G363*(1+VatRate),G363))</f>
        <v/>
      </c>
      <c r="H365" s="63" t="n"/>
      <c r="I365" s="99">
        <f>IF(I363="","",IF(I364="No",I363*(1+VatRate),I363))</f>
        <v/>
      </c>
      <c r="J365" s="63" t="n"/>
    </row>
    <row r="366">
      <c r="B366" s="19" t="inlineStr">
        <is>
          <t>Timeline (weeks)</t>
        </is>
      </c>
      <c r="C366" s="100" t="n"/>
      <c r="D366" s="96" t="n"/>
      <c r="E366" s="100" t="n"/>
      <c r="F366" s="96" t="n"/>
      <c r="G366" s="100" t="n"/>
      <c r="H366" s="96" t="n"/>
      <c r="I366" s="100" t="n"/>
      <c r="J366" s="96" t="n"/>
    </row>
    <row r="367">
      <c r="B367" s="19" t="inlineStr">
        <is>
          <t>Warranty (years)</t>
        </is>
      </c>
      <c r="C367" s="100" t="n"/>
      <c r="D367" s="96" t="n"/>
      <c r="E367" s="100" t="n"/>
      <c r="F367" s="96" t="n"/>
      <c r="G367" s="100" t="n"/>
      <c r="H367" s="96" t="n"/>
      <c r="I367" s="100" t="n"/>
      <c r="J367" s="96" t="n"/>
    </row>
    <row r="368">
      <c r="B368" s="19" t="inlineStr">
        <is>
          <t>References checked?</t>
        </is>
      </c>
      <c r="C368" s="74" t="n"/>
      <c r="D368" s="96" t="n"/>
      <c r="E368" s="74" t="n"/>
      <c r="F368" s="96" t="n"/>
      <c r="G368" s="74" t="n"/>
      <c r="H368" s="96" t="n"/>
      <c r="I368" s="74" t="n"/>
      <c r="J368" s="96" t="n"/>
    </row>
    <row r="369">
      <c r="B369" s="19" t="inlineStr">
        <is>
          <t>Gut feeling (1–5)</t>
        </is>
      </c>
      <c r="C369" s="89" t="n"/>
      <c r="D369" s="96" t="n"/>
      <c r="E369" s="89" t="n"/>
      <c r="F369" s="96" t="n"/>
      <c r="G369" s="89" t="n"/>
      <c r="H369" s="96" t="n"/>
      <c r="I369" s="89" t="n"/>
      <c r="J369" s="96" t="n"/>
    </row>
    <row r="370">
      <c r="B370" s="19" t="inlineStr">
        <is>
          <t>Quote valid until</t>
        </is>
      </c>
      <c r="C370" s="101" t="n"/>
      <c r="D370" s="96" t="n"/>
      <c r="E370" s="101" t="n"/>
      <c r="F370" s="96" t="n"/>
      <c r="G370" s="101" t="n"/>
      <c r="H370" s="96" t="n"/>
      <c r="I370" s="101" t="n"/>
      <c r="J370" s="96" t="n"/>
    </row>
    <row r="371">
      <c r="B371" s="80" t="inlineStr">
        <is>
          <t>HIDDEN-COST CHECKLIST</t>
        </is>
      </c>
      <c r="C371" s="95" t="inlineStr">
        <is>
          <t>Included?</t>
        </is>
      </c>
      <c r="D371" s="82">
        <f>"Extra "&amp;CurSym</f>
        <v/>
      </c>
      <c r="E371" s="95" t="inlineStr">
        <is>
          <t>Included?</t>
        </is>
      </c>
      <c r="F371" s="82">
        <f>"Extra "&amp;CurSym</f>
        <v/>
      </c>
      <c r="G371" s="95" t="inlineStr">
        <is>
          <t>Included?</t>
        </is>
      </c>
      <c r="H371" s="82">
        <f>"Extra "&amp;CurSym</f>
        <v/>
      </c>
      <c r="I371" s="95" t="inlineStr">
        <is>
          <t>Included?</t>
        </is>
      </c>
      <c r="J371" s="82">
        <f>"Extra "&amp;CurSym</f>
        <v/>
      </c>
    </row>
    <row r="372">
      <c r="B372" s="19" t="inlineStr">
        <is>
          <t>Demolition</t>
        </is>
      </c>
      <c r="C372" s="74" t="n"/>
      <c r="D372" s="73" t="n"/>
      <c r="E372" s="74" t="n"/>
      <c r="F372" s="73" t="n"/>
      <c r="G372" s="74" t="n"/>
      <c r="H372" s="73" t="n"/>
      <c r="I372" s="74" t="n"/>
      <c r="J372" s="73" t="n"/>
    </row>
    <row r="373">
      <c r="B373" s="19" t="inlineStr">
        <is>
          <t>Waste disposal</t>
        </is>
      </c>
      <c r="C373" s="74" t="n"/>
      <c r="D373" s="73" t="n"/>
      <c r="E373" s="74" t="n"/>
      <c r="F373" s="73" t="n"/>
      <c r="G373" s="74" t="n"/>
      <c r="H373" s="73" t="n"/>
      <c r="I373" s="74" t="n"/>
      <c r="J373" s="73" t="n"/>
    </row>
    <row r="374">
      <c r="B374" s="19" t="inlineStr">
        <is>
          <t>Delivery</t>
        </is>
      </c>
      <c r="C374" s="74" t="n"/>
      <c r="D374" s="73" t="n"/>
      <c r="E374" s="74" t="n"/>
      <c r="F374" s="73" t="n"/>
      <c r="G374" s="74" t="n"/>
      <c r="H374" s="73" t="n"/>
      <c r="I374" s="74" t="n"/>
      <c r="J374" s="73" t="n"/>
    </row>
    <row r="375">
      <c r="B375" s="19" t="inlineStr">
        <is>
          <t>Permits</t>
        </is>
      </c>
      <c r="C375" s="74" t="n"/>
      <c r="D375" s="73" t="n"/>
      <c r="E375" s="74" t="n"/>
      <c r="F375" s="73" t="n"/>
      <c r="G375" s="74" t="n"/>
      <c r="H375" s="73" t="n"/>
      <c r="I375" s="74" t="n"/>
      <c r="J375" s="73" t="n"/>
    </row>
    <row r="376">
      <c r="B376" s="19" t="inlineStr">
        <is>
          <t>Materials specified</t>
        </is>
      </c>
      <c r="C376" s="74" t="n"/>
      <c r="D376" s="73" t="n"/>
      <c r="E376" s="74" t="n"/>
      <c r="F376" s="73" t="n"/>
      <c r="G376" s="74" t="n"/>
      <c r="H376" s="73" t="n"/>
      <c r="I376" s="74" t="n"/>
      <c r="J376" s="73" t="n"/>
    </row>
    <row r="377">
      <c r="B377" s="19" t="inlineStr">
        <is>
          <t>Labor specified</t>
        </is>
      </c>
      <c r="C377" s="74" t="n"/>
      <c r="D377" s="73" t="n"/>
      <c r="E377" s="74" t="n"/>
      <c r="F377" s="73" t="n"/>
      <c r="G377" s="74" t="n"/>
      <c r="H377" s="73" t="n"/>
      <c r="I377" s="74" t="n"/>
      <c r="J377" s="73" t="n"/>
    </row>
    <row r="378">
      <c r="B378" s="19" t="inlineStr">
        <is>
          <t>Finishing</t>
        </is>
      </c>
      <c r="C378" s="74" t="n"/>
      <c r="D378" s="73" t="n"/>
      <c r="E378" s="74" t="n"/>
      <c r="F378" s="73" t="n"/>
      <c r="G378" s="74" t="n"/>
      <c r="H378" s="73" t="n"/>
      <c r="I378" s="74" t="n"/>
      <c r="J378" s="73" t="n"/>
    </row>
    <row r="379">
      <c r="B379" s="19" t="inlineStr">
        <is>
          <t>Cleanup</t>
        </is>
      </c>
      <c r="C379" s="74" t="n"/>
      <c r="D379" s="73" t="n"/>
      <c r="E379" s="74" t="n"/>
      <c r="F379" s="73" t="n"/>
      <c r="G379" s="74" t="n"/>
      <c r="H379" s="73" t="n"/>
      <c r="I379" s="74" t="n"/>
      <c r="J379" s="73" t="n"/>
    </row>
    <row r="380">
      <c r="B380" s="97">
        <f>TaxWord&amp;" shown in price"</f>
        <v/>
      </c>
      <c r="C380" s="74" t="n"/>
      <c r="D380" s="73" t="n"/>
      <c r="E380" s="74" t="n"/>
      <c r="F380" s="73" t="n"/>
      <c r="G380" s="74" t="n"/>
      <c r="H380" s="73" t="n"/>
      <c r="I380" s="74" t="n"/>
      <c r="J380" s="73" t="n"/>
    </row>
    <row r="381">
      <c r="B381" s="19" t="inlineStr">
        <is>
          <t>Electrical upgrades</t>
        </is>
      </c>
      <c r="C381" s="74" t="n"/>
      <c r="D381" s="73" t="n"/>
      <c r="E381" s="74" t="n"/>
      <c r="F381" s="73" t="n"/>
      <c r="G381" s="74" t="n"/>
      <c r="H381" s="73" t="n"/>
      <c r="I381" s="74" t="n"/>
      <c r="J381" s="73" t="n"/>
    </row>
    <row r="382">
      <c r="B382" s="19" t="inlineStr">
        <is>
          <t>Plumbing modifications</t>
        </is>
      </c>
      <c r="C382" s="74" t="n"/>
      <c r="D382" s="73" t="n"/>
      <c r="E382" s="74" t="n"/>
      <c r="F382" s="73" t="n"/>
      <c r="G382" s="74" t="n"/>
      <c r="H382" s="73" t="n"/>
      <c r="I382" s="74" t="n"/>
      <c r="J382" s="73" t="n"/>
    </row>
    <row r="383">
      <c r="B383" s="19" t="inlineStr">
        <is>
          <t>Payment schedule defined</t>
        </is>
      </c>
      <c r="C383" s="74" t="n"/>
      <c r="D383" s="73" t="n"/>
      <c r="E383" s="74" t="n"/>
      <c r="F383" s="73" t="n"/>
      <c r="G383" s="74" t="n"/>
      <c r="H383" s="73" t="n"/>
      <c r="I383" s="74" t="n"/>
      <c r="J383" s="73" t="n"/>
    </row>
    <row r="384">
      <c r="B384" s="19" t="inlineStr">
        <is>
          <t>Warranty in writing</t>
        </is>
      </c>
      <c r="C384" s="74" t="n"/>
      <c r="D384" s="73" t="n"/>
      <c r="E384" s="74" t="n"/>
      <c r="F384" s="73" t="n"/>
      <c r="G384" s="74" t="n"/>
      <c r="H384" s="73" t="n"/>
      <c r="I384" s="74" t="n"/>
      <c r="J384" s="73" t="n"/>
    </row>
    <row r="385">
      <c r="B385" s="97">
        <f>"Hidden extras ("&amp;CurSym&amp;")"</f>
        <v/>
      </c>
      <c r="C385" s="99">
        <f>IF(C362="","",SUMPRODUCT((C372:C384&lt;&gt;"Included")*D372:D384))</f>
        <v/>
      </c>
      <c r="D385" s="63" t="n"/>
      <c r="E385" s="99">
        <f>IF(E362="","",SUMPRODUCT((E372:E384&lt;&gt;"Included")*F372:F384))</f>
        <v/>
      </c>
      <c r="F385" s="63" t="n"/>
      <c r="G385" s="99">
        <f>IF(G362="","",SUMPRODUCT((G372:G384&lt;&gt;"Included")*H372:H384))</f>
        <v/>
      </c>
      <c r="H385" s="63" t="n"/>
      <c r="I385" s="99">
        <f>IF(I362="","",SUMPRODUCT((I372:I384&lt;&gt;"Included")*J372:J384))</f>
        <v/>
      </c>
      <c r="J385" s="63" t="n"/>
    </row>
    <row r="386">
      <c r="B386" s="13">
        <f>"TRUE COST ("&amp;CurSym&amp;")"</f>
        <v/>
      </c>
      <c r="C386" s="102">
        <f>IF(OR(C362="",C365=""),"",C365+C385)</f>
        <v/>
      </c>
      <c r="D386" s="63" t="n"/>
      <c r="E386" s="102">
        <f>IF(OR(E362="",E365=""),"",E365+E385)</f>
        <v/>
      </c>
      <c r="F386" s="63" t="n"/>
      <c r="G386" s="102">
        <f>IF(OR(G362="",G365=""),"",G365+G385)</f>
        <v/>
      </c>
      <c r="H386" s="63" t="n"/>
      <c r="I386" s="102">
        <f>IF(OR(I362="",I365=""),"",I365+I385)</f>
        <v/>
      </c>
      <c r="J386" s="63" t="n"/>
    </row>
    <row r="387">
      <c r="B387" s="19" t="inlineStr">
        <is>
          <t>Completeness</t>
        </is>
      </c>
      <c r="C387" s="103">
        <f>IF(C362="","",COUNTIF(C372:C384,"Included")/13)</f>
        <v/>
      </c>
      <c r="D387" s="63" t="n"/>
      <c r="E387" s="103">
        <f>IF(E362="","",COUNTIF(E372:E384,"Included")/13)</f>
        <v/>
      </c>
      <c r="F387" s="63" t="n"/>
      <c r="G387" s="103">
        <f>IF(G362="","",COUNTIF(G372:G384,"Included")/13)</f>
        <v/>
      </c>
      <c r="H387" s="63" t="n"/>
      <c r="I387" s="103">
        <f>IF(I362="","",COUNTIF(I372:I384,"Included")/13)</f>
        <v/>
      </c>
      <c r="J387" s="63" t="n"/>
    </row>
    <row r="388">
      <c r="B388" s="80" t="inlineStr">
        <is>
          <t>SCORE</t>
        </is>
      </c>
    </row>
    <row r="389">
      <c r="B389" s="19" t="inlineStr">
        <is>
          <t>Price points</t>
        </is>
      </c>
      <c r="C389" s="104">
        <f>IF(C386="","",IF(C386&gt;0,MIN($C386:$J386)/C386,0)*WPrice)</f>
        <v/>
      </c>
      <c r="D389" s="63" t="n"/>
      <c r="E389" s="104">
        <f>IF(E386="","",IF(E386&gt;0,MIN($C386:$J386)/E386,0)*WPrice)</f>
        <v/>
      </c>
      <c r="F389" s="63" t="n"/>
      <c r="G389" s="104">
        <f>IF(G386="","",IF(G386&gt;0,MIN($C386:$J386)/G386,0)*WPrice)</f>
        <v/>
      </c>
      <c r="H389" s="63" t="n"/>
      <c r="I389" s="104">
        <f>IF(I386="","",IF(I386&gt;0,MIN($C386:$J386)/I386,0)*WPrice)</f>
        <v/>
      </c>
      <c r="J389" s="63" t="n"/>
    </row>
    <row r="390">
      <c r="B390" s="19" t="inlineStr">
        <is>
          <t>Timeline points</t>
        </is>
      </c>
      <c r="C390" s="104">
        <f>IF(C386="","",IF(C366&gt;0,MIN($C366:$J366)/C366,0)*WTime)</f>
        <v/>
      </c>
      <c r="D390" s="63" t="n"/>
      <c r="E390" s="104">
        <f>IF(E386="","",IF(E366&gt;0,MIN($C366:$J366)/E366,0)*WTime)</f>
        <v/>
      </c>
      <c r="F390" s="63" t="n"/>
      <c r="G390" s="104">
        <f>IF(G386="","",IF(G366&gt;0,MIN($C366:$J366)/G366,0)*WTime)</f>
        <v/>
      </c>
      <c r="H390" s="63" t="n"/>
      <c r="I390" s="104">
        <f>IF(I386="","",IF(I366&gt;0,MIN($C366:$J366)/I366,0)*WTime)</f>
        <v/>
      </c>
      <c r="J390" s="63" t="n"/>
    </row>
    <row r="391">
      <c r="B391" s="19" t="inlineStr">
        <is>
          <t>Warranty points</t>
        </is>
      </c>
      <c r="C391" s="104">
        <f>IF(C386="","",IF(MAX($C367:$J367)&gt;0,C367/MAX($C367:$J367),0)*WWar)</f>
        <v/>
      </c>
      <c r="D391" s="63" t="n"/>
      <c r="E391" s="104">
        <f>IF(E386="","",IF(MAX($C367:$J367)&gt;0,E367/MAX($C367:$J367),0)*WWar)</f>
        <v/>
      </c>
      <c r="F391" s="63" t="n"/>
      <c r="G391" s="104">
        <f>IF(G386="","",IF(MAX($C367:$J367)&gt;0,G367/MAX($C367:$J367),0)*WWar)</f>
        <v/>
      </c>
      <c r="H391" s="63" t="n"/>
      <c r="I391" s="104">
        <f>IF(I386="","",IF(MAX($C367:$J367)&gt;0,I367/MAX($C367:$J367),0)*WWar)</f>
        <v/>
      </c>
      <c r="J391" s="63" t="n"/>
    </row>
    <row r="392">
      <c r="B392" s="19" t="inlineStr">
        <is>
          <t>Completeness points</t>
        </is>
      </c>
      <c r="C392" s="104">
        <f>IF(C386="","",C387*WComp)</f>
        <v/>
      </c>
      <c r="D392" s="63" t="n"/>
      <c r="E392" s="104">
        <f>IF(E386="","",E387*WComp)</f>
        <v/>
      </c>
      <c r="F392" s="63" t="n"/>
      <c r="G392" s="104">
        <f>IF(G386="","",G387*WComp)</f>
        <v/>
      </c>
      <c r="H392" s="63" t="n"/>
      <c r="I392" s="104">
        <f>IF(I386="","",I387*WComp)</f>
        <v/>
      </c>
      <c r="J392" s="63" t="n"/>
    </row>
    <row r="393">
      <c r="B393" s="19" t="inlineStr">
        <is>
          <t>Gut &amp; references points</t>
        </is>
      </c>
      <c r="C393" s="104">
        <f>IF(C386="","",(IF(C369="",0,C369/5)*0.7+IF(C368="Yes",0.3,0))*WGut)</f>
        <v/>
      </c>
      <c r="D393" s="63" t="n"/>
      <c r="E393" s="104">
        <f>IF(E386="","",(IF(E369="",0,E369/5)*0.7+IF(E368="Yes",0.3,0))*WGut)</f>
        <v/>
      </c>
      <c r="F393" s="63" t="n"/>
      <c r="G393" s="104">
        <f>IF(G386="","",(IF(G369="",0,G369/5)*0.7+IF(G368="Yes",0.3,0))*WGut)</f>
        <v/>
      </c>
      <c r="H393" s="63" t="n"/>
      <c r="I393" s="104">
        <f>IF(I386="","",(IF(I369="",0,I369/5)*0.7+IF(I368="Yes",0.3,0))*WGut)</f>
        <v/>
      </c>
      <c r="J393" s="63" t="n"/>
    </row>
    <row r="394">
      <c r="B394" s="6" t="inlineStr">
        <is>
          <t>TOTAL SCORE</t>
        </is>
      </c>
      <c r="C394" s="105">
        <f>IF(C386="","",ROUND(SUM(C389:C393),1))</f>
        <v/>
      </c>
      <c r="D394" s="63" t="n"/>
      <c r="E394" s="105">
        <f>IF(E386="","",ROUND(SUM(E389:E393),1))</f>
        <v/>
      </c>
      <c r="F394" s="63" t="n"/>
      <c r="G394" s="105">
        <f>IF(G386="","",ROUND(SUM(G389:G393),1))</f>
        <v/>
      </c>
      <c r="H394" s="63" t="n"/>
      <c r="I394" s="105">
        <f>IF(I386="","",ROUND(SUM(I389:I393),1))</f>
        <v/>
      </c>
      <c r="J394" s="63" t="n"/>
    </row>
    <row r="395">
      <c r="B395" s="6" t="inlineStr">
        <is>
          <t>Ranking</t>
        </is>
      </c>
      <c r="C395" s="106">
        <f>IF(C394="","",IF(C394=MAX($C394:$J394),"🏆 WINNER","#"&amp;(1+COUNTIF($C394:$J394,"&gt;"&amp;C394))))</f>
        <v/>
      </c>
      <c r="D395" s="63" t="n"/>
      <c r="E395" s="106">
        <f>IF(E394="","",IF(E394=MAX($C394:$J394),"🏆 WINNER","#"&amp;(1+COUNTIF($C394:$J394,"&gt;"&amp;E394))))</f>
        <v/>
      </c>
      <c r="F395" s="63" t="n"/>
      <c r="G395" s="106">
        <f>IF(G394="","",IF(G394=MAX($C394:$J394),"🏆 WINNER","#"&amp;(1+COUNTIF($C394:$J394,"&gt;"&amp;G394))))</f>
        <v/>
      </c>
      <c r="H395" s="63" t="n"/>
      <c r="I395" s="106">
        <f>IF(I394="","",IF(I394=MAX($C394:$J394),"🏆 WINNER","#"&amp;(1+COUNTIF($C394:$J394,"&gt;"&amp;I394))))</f>
        <v/>
      </c>
      <c r="J395" s="63" t="n"/>
    </row>
    <row r="396" ht="26" customHeight="1">
      <c r="B396" s="107">
        <f>IF(COUNT($C386:$J386)&lt;2,"",IF(INDEX($C362:$J362,MATCH(MIN($C365:$J365),$C365:$J365,0))&lt;&gt;INDEX($C362:$J362,MATCH(MIN($C386:$J386),$C386:$J386,0)),"⚠️ Hidden costs change the ranking! Cheapest quoted price: "&amp;INDEX($C362:$J362,MATCH(MIN($C365:$J365),$C365:$J365,0))&amp;"  →  cheapest TRUE cost: "&amp;INDEX($C362:$J362,MATCH(MIN($C386:$J386),$C386:$J386,0)),"✓ The cheapest quote is also the cheapest true cost."))</f>
        <v/>
      </c>
      <c r="P396" s="46">
        <f>IF(B396="",0,IF(LEFT(B396,1)="✓",0,1))</f>
        <v/>
      </c>
    </row>
  </sheetData>
  <sheetProtection selectLockedCells="1" selectUnlockedCells="0" sheet="1" objects="0" insertRows="1" insertHyperlinks="1" autoFilter="1" scenarios="0" formatColumns="0" deleteColumns="1" insertColumns="1" pivotTables="1" deleteRows="1" formatCells="1" formatRows="0" sort="1" password="CD61"/>
  <mergeCells count="820">
    <mergeCell ref="C363:D363"/>
    <mergeCell ref="C15:D15"/>
    <mergeCell ref="C191:D191"/>
    <mergeCell ref="I275:J275"/>
    <mergeCell ref="C313:D313"/>
    <mergeCell ref="E313:F313"/>
    <mergeCell ref="C234:D234"/>
    <mergeCell ref="C172:D172"/>
    <mergeCell ref="E234:F234"/>
    <mergeCell ref="G307:H307"/>
    <mergeCell ref="C79:D79"/>
    <mergeCell ref="C73:D73"/>
    <mergeCell ref="E79:F79"/>
    <mergeCell ref="C315:D315"/>
    <mergeCell ref="E73:F73"/>
    <mergeCell ref="C171:D171"/>
    <mergeCell ref="E244:F244"/>
    <mergeCell ref="I277:J277"/>
    <mergeCell ref="E171:F171"/>
    <mergeCell ref="E360:J360"/>
    <mergeCell ref="E236:F236"/>
    <mergeCell ref="C121:D121"/>
    <mergeCell ref="E308:F308"/>
    <mergeCell ref="C173:D173"/>
    <mergeCell ref="E173:F173"/>
    <mergeCell ref="E229:F229"/>
    <mergeCell ref="G229:H229"/>
    <mergeCell ref="I155:J155"/>
    <mergeCell ref="E166:F166"/>
    <mergeCell ref="E282:J282"/>
    <mergeCell ref="G114:H114"/>
    <mergeCell ref="I170:J170"/>
    <mergeCell ref="G206:H206"/>
    <mergeCell ref="I157:J157"/>
    <mergeCell ref="E168:F168"/>
    <mergeCell ref="I328:J328"/>
    <mergeCell ref="G168:H168"/>
    <mergeCell ref="G213:H213"/>
    <mergeCell ref="I172:J172"/>
    <mergeCell ref="C237:D237"/>
    <mergeCell ref="G270:H270"/>
    <mergeCell ref="I270:J270"/>
    <mergeCell ref="E53:F53"/>
    <mergeCell ref="C326:D326"/>
    <mergeCell ref="I288:J288"/>
    <mergeCell ref="E326:F326"/>
    <mergeCell ref="E289:F289"/>
    <mergeCell ref="G351:H351"/>
    <mergeCell ref="C239:D239"/>
    <mergeCell ref="E361:F361"/>
    <mergeCell ref="I394:J394"/>
    <mergeCell ref="C92:D92"/>
    <mergeCell ref="E117:F117"/>
    <mergeCell ref="E55:F55"/>
    <mergeCell ref="G117:H117"/>
    <mergeCell ref="B240:J240"/>
    <mergeCell ref="E353:F353"/>
    <mergeCell ref="C97:D97"/>
    <mergeCell ref="C290:D290"/>
    <mergeCell ref="E290:F290"/>
    <mergeCell ref="G346:H346"/>
    <mergeCell ref="I175:J175"/>
    <mergeCell ref="I346:J346"/>
    <mergeCell ref="I54:J54"/>
    <mergeCell ref="E161:F161"/>
    <mergeCell ref="G112:H112"/>
    <mergeCell ref="I41:J41"/>
    <mergeCell ref="I212:J212"/>
    <mergeCell ref="I112:J112"/>
    <mergeCell ref="G283:H283"/>
    <mergeCell ref="I283:J283"/>
    <mergeCell ref="G348:H348"/>
    <mergeCell ref="I348:J348"/>
    <mergeCell ref="G127:H127"/>
    <mergeCell ref="I56:J56"/>
    <mergeCell ref="I127:J127"/>
    <mergeCell ref="C192:D192"/>
    <mergeCell ref="C252:D252"/>
    <mergeCell ref="I43:J43"/>
    <mergeCell ref="G285:H285"/>
    <mergeCell ref="I114:J114"/>
    <mergeCell ref="E252:F252"/>
    <mergeCell ref="I285:J285"/>
    <mergeCell ref="I347:J347"/>
    <mergeCell ref="C244:D244"/>
    <mergeCell ref="E366:F366"/>
    <mergeCell ref="C194:D194"/>
    <mergeCell ref="C316:D316"/>
    <mergeCell ref="E316:F316"/>
    <mergeCell ref="E250:F250"/>
    <mergeCell ref="G250:H250"/>
    <mergeCell ref="E237:F237"/>
    <mergeCell ref="E16:F16"/>
    <mergeCell ref="G16:H16"/>
    <mergeCell ref="C174:D174"/>
    <mergeCell ref="E174:F174"/>
    <mergeCell ref="E48:J48"/>
    <mergeCell ref="G230:H230"/>
    <mergeCell ref="E239:F239"/>
    <mergeCell ref="G361:H361"/>
    <mergeCell ref="C18:D18"/>
    <mergeCell ref="E251:F251"/>
    <mergeCell ref="E18:F18"/>
    <mergeCell ref="E238:F238"/>
    <mergeCell ref="C34:D34"/>
    <mergeCell ref="E87:J87"/>
    <mergeCell ref="I196:J196"/>
    <mergeCell ref="G238:H238"/>
    <mergeCell ref="G11:H11"/>
    <mergeCell ref="I207:J207"/>
    <mergeCell ref="I11:J11"/>
    <mergeCell ref="I198:J198"/>
    <mergeCell ref="E92:F92"/>
    <mergeCell ref="C128:D128"/>
    <mergeCell ref="C309:D309"/>
    <mergeCell ref="C113:D113"/>
    <mergeCell ref="C205:D205"/>
    <mergeCell ref="C94:D94"/>
    <mergeCell ref="E205:F205"/>
    <mergeCell ref="E94:F94"/>
    <mergeCell ref="C44:D44"/>
    <mergeCell ref="C311:D311"/>
    <mergeCell ref="I273:J273"/>
    <mergeCell ref="E311:F311"/>
    <mergeCell ref="C80:D80"/>
    <mergeCell ref="G367:H367"/>
    <mergeCell ref="C329:D329"/>
    <mergeCell ref="C129:D129"/>
    <mergeCell ref="E354:F354"/>
    <mergeCell ref="E158:F158"/>
    <mergeCell ref="E329:F329"/>
    <mergeCell ref="G354:H354"/>
    <mergeCell ref="G329:H329"/>
    <mergeCell ref="C365:D365"/>
    <mergeCell ref="E77:F77"/>
    <mergeCell ref="E133:F133"/>
    <mergeCell ref="G133:H133"/>
    <mergeCell ref="C95:D95"/>
    <mergeCell ref="E369:F369"/>
    <mergeCell ref="E95:F95"/>
    <mergeCell ref="G369:H369"/>
    <mergeCell ref="C331:D331"/>
    <mergeCell ref="E89:F89"/>
    <mergeCell ref="G95:H95"/>
    <mergeCell ref="E331:F331"/>
    <mergeCell ref="G89:H89"/>
    <mergeCell ref="E356:F356"/>
    <mergeCell ref="G356:H356"/>
    <mergeCell ref="E393:F393"/>
    <mergeCell ref="G393:H393"/>
    <mergeCell ref="G368:H368"/>
    <mergeCell ref="G135:H135"/>
    <mergeCell ref="G51:H51"/>
    <mergeCell ref="I191:J191"/>
    <mergeCell ref="I362:J362"/>
    <mergeCell ref="I51:J51"/>
    <mergeCell ref="G153:H153"/>
    <mergeCell ref="I153:J153"/>
    <mergeCell ref="I128:J128"/>
    <mergeCell ref="G364:H364"/>
    <mergeCell ref="C131:D131"/>
    <mergeCell ref="I364:J364"/>
    <mergeCell ref="I291:J291"/>
    <mergeCell ref="C245:D245"/>
    <mergeCell ref="C49:D49"/>
    <mergeCell ref="I192:J192"/>
    <mergeCell ref="I363:J363"/>
    <mergeCell ref="C195:D195"/>
    <mergeCell ref="E195:F195"/>
    <mergeCell ref="C322:D322"/>
    <mergeCell ref="E322:F322"/>
    <mergeCell ref="G251:H251"/>
    <mergeCell ref="C42:D42"/>
    <mergeCell ref="B396:J396"/>
    <mergeCell ref="E42:F42"/>
    <mergeCell ref="E309:F309"/>
    <mergeCell ref="C88:D88"/>
    <mergeCell ref="E17:F17"/>
    <mergeCell ref="C197:D197"/>
    <mergeCell ref="E88:F88"/>
    <mergeCell ref="G17:H17"/>
    <mergeCell ref="C324:D324"/>
    <mergeCell ref="E82:F82"/>
    <mergeCell ref="E253:F253"/>
    <mergeCell ref="I286:J286"/>
    <mergeCell ref="G82:H82"/>
    <mergeCell ref="C249:D249"/>
    <mergeCell ref="G253:H253"/>
    <mergeCell ref="E324:F324"/>
    <mergeCell ref="E19:F19"/>
    <mergeCell ref="C117:D117"/>
    <mergeCell ref="E190:F190"/>
    <mergeCell ref="G19:H19"/>
    <mergeCell ref="C55:D55"/>
    <mergeCell ref="G190:H190"/>
    <mergeCell ref="G317:H317"/>
    <mergeCell ref="I75:J75"/>
    <mergeCell ref="I317:J317"/>
    <mergeCell ref="I206:J206"/>
    <mergeCell ref="G83:H83"/>
    <mergeCell ref="I12:J12"/>
    <mergeCell ref="G248:H248"/>
    <mergeCell ref="I248:J248"/>
    <mergeCell ref="C213:D213"/>
    <mergeCell ref="G235:H235"/>
    <mergeCell ref="C273:D273"/>
    <mergeCell ref="I235:J235"/>
    <mergeCell ref="I368:J368"/>
    <mergeCell ref="G14:H14"/>
    <mergeCell ref="I39:J39"/>
    <mergeCell ref="I14:J14"/>
    <mergeCell ref="C52:D52"/>
    <mergeCell ref="I312:J312"/>
    <mergeCell ref="C39:D39"/>
    <mergeCell ref="I78:J78"/>
    <mergeCell ref="C81:D81"/>
    <mergeCell ref="C352:D352"/>
    <mergeCell ref="I314:J314"/>
    <mergeCell ref="C208:D208"/>
    <mergeCell ref="E126:J126"/>
    <mergeCell ref="E159:F159"/>
    <mergeCell ref="E208:F208"/>
    <mergeCell ref="E97:F97"/>
    <mergeCell ref="G159:H159"/>
    <mergeCell ref="C366:D366"/>
    <mergeCell ref="E395:F395"/>
    <mergeCell ref="G395:H395"/>
    <mergeCell ref="G370:H370"/>
    <mergeCell ref="C210:D210"/>
    <mergeCell ref="E272:F272"/>
    <mergeCell ref="E210:F210"/>
    <mergeCell ref="G161:H161"/>
    <mergeCell ref="G136:H136"/>
    <mergeCell ref="I136:J136"/>
    <mergeCell ref="I129:J129"/>
    <mergeCell ref="I200:J200"/>
    <mergeCell ref="I194:J194"/>
    <mergeCell ref="G292:H292"/>
    <mergeCell ref="I365:J365"/>
    <mergeCell ref="C134:D134"/>
    <mergeCell ref="I292:J292"/>
    <mergeCell ref="C50:D50"/>
    <mergeCell ref="C286:D286"/>
    <mergeCell ref="I131:J131"/>
    <mergeCell ref="I307:J307"/>
    <mergeCell ref="I58:J58"/>
    <mergeCell ref="C350:D350"/>
    <mergeCell ref="E350:F350"/>
    <mergeCell ref="G231:H231"/>
    <mergeCell ref="E325:F325"/>
    <mergeCell ref="C119:D119"/>
    <mergeCell ref="G325:H325"/>
    <mergeCell ref="I83:J83"/>
    <mergeCell ref="E119:F119"/>
    <mergeCell ref="C361:D361"/>
    <mergeCell ref="E116:F116"/>
    <mergeCell ref="E91:F91"/>
    <mergeCell ref="E196:F196"/>
    <mergeCell ref="C327:D327"/>
    <mergeCell ref="G91:H91"/>
    <mergeCell ref="E389:F389"/>
    <mergeCell ref="C158:D158"/>
    <mergeCell ref="E327:F327"/>
    <mergeCell ref="G389:H389"/>
    <mergeCell ref="I370:J370"/>
    <mergeCell ref="I13:J13"/>
    <mergeCell ref="E93:F93"/>
    <mergeCell ref="E198:F198"/>
    <mergeCell ref="E391:F391"/>
    <mergeCell ref="G198:H198"/>
    <mergeCell ref="G247:H247"/>
    <mergeCell ref="G385:H385"/>
    <mergeCell ref="I385:J385"/>
    <mergeCell ref="I15:J15"/>
    <mergeCell ref="E122:F122"/>
    <mergeCell ref="G151:H151"/>
    <mergeCell ref="I80:J80"/>
    <mergeCell ref="I213:J213"/>
    <mergeCell ref="I151:J151"/>
    <mergeCell ref="C387:D387"/>
    <mergeCell ref="G272:H272"/>
    <mergeCell ref="C353:D353"/>
    <mergeCell ref="E38:F38"/>
    <mergeCell ref="E209:F209"/>
    <mergeCell ref="C274:D274"/>
    <mergeCell ref="G38:H38"/>
    <mergeCell ref="G209:H209"/>
    <mergeCell ref="E274:F274"/>
    <mergeCell ref="C40:D40"/>
    <mergeCell ref="G175:H175"/>
    <mergeCell ref="C211:D211"/>
    <mergeCell ref="E40:F40"/>
    <mergeCell ref="E211:F211"/>
    <mergeCell ref="E275:F275"/>
    <mergeCell ref="G275:H275"/>
    <mergeCell ref="G269:H269"/>
    <mergeCell ref="I269:J269"/>
    <mergeCell ref="I244:J244"/>
    <mergeCell ref="G35:H35"/>
    <mergeCell ref="I231:J231"/>
    <mergeCell ref="I35:J35"/>
    <mergeCell ref="G252:H252"/>
    <mergeCell ref="I10:J10"/>
    <mergeCell ref="I308:J308"/>
    <mergeCell ref="G366:H366"/>
    <mergeCell ref="C308:D308"/>
    <mergeCell ref="C53:D53"/>
    <mergeCell ref="C229:D229"/>
    <mergeCell ref="C351:D351"/>
    <mergeCell ref="I74:J74"/>
    <mergeCell ref="E351:F351"/>
    <mergeCell ref="C77:D77"/>
    <mergeCell ref="E130:F130"/>
    <mergeCell ref="G155:H155"/>
    <mergeCell ref="G130:H130"/>
    <mergeCell ref="C166:D166"/>
    <mergeCell ref="C160:D160"/>
    <mergeCell ref="G391:H391"/>
    <mergeCell ref="E160:F160"/>
    <mergeCell ref="E135:F135"/>
    <mergeCell ref="E328:F328"/>
    <mergeCell ref="E132:F132"/>
    <mergeCell ref="I361:J361"/>
    <mergeCell ref="G157:H157"/>
    <mergeCell ref="G132:H132"/>
    <mergeCell ref="G328:H328"/>
    <mergeCell ref="G122:H122"/>
    <mergeCell ref="G172:H172"/>
    <mergeCell ref="G199:H199"/>
    <mergeCell ref="G392:H392"/>
    <mergeCell ref="G386:H386"/>
    <mergeCell ref="I392:J392"/>
    <mergeCell ref="E288:F288"/>
    <mergeCell ref="I386:J386"/>
    <mergeCell ref="G288:H288"/>
    <mergeCell ref="I313:J313"/>
    <mergeCell ref="G152:H152"/>
    <mergeCell ref="G323:H323"/>
    <mergeCell ref="G394:H394"/>
    <mergeCell ref="I152:J152"/>
    <mergeCell ref="I323:J323"/>
    <mergeCell ref="I229:J229"/>
    <mergeCell ref="I387:J387"/>
    <mergeCell ref="C346:D346"/>
    <mergeCell ref="E346:F346"/>
    <mergeCell ref="E54:F54"/>
    <mergeCell ref="G54:H54"/>
    <mergeCell ref="C161:D161"/>
    <mergeCell ref="E41:F41"/>
    <mergeCell ref="E212:F212"/>
    <mergeCell ref="E112:F112"/>
    <mergeCell ref="G41:H41"/>
    <mergeCell ref="G212:H212"/>
    <mergeCell ref="E277:F277"/>
    <mergeCell ref="I245:J245"/>
    <mergeCell ref="C283:D283"/>
    <mergeCell ref="G277:H277"/>
    <mergeCell ref="E283:F283"/>
    <mergeCell ref="C348:D348"/>
    <mergeCell ref="E348:F348"/>
    <mergeCell ref="E56:F56"/>
    <mergeCell ref="G56:H56"/>
    <mergeCell ref="C285:D285"/>
    <mergeCell ref="E43:F43"/>
    <mergeCell ref="E214:F214"/>
    <mergeCell ref="I34:J34"/>
    <mergeCell ref="G43:H43"/>
    <mergeCell ref="G214:H214"/>
    <mergeCell ref="G276:H276"/>
    <mergeCell ref="I276:J276"/>
    <mergeCell ref="E285:F285"/>
    <mergeCell ref="C390:D390"/>
    <mergeCell ref="G120:H120"/>
    <mergeCell ref="I49:J49"/>
    <mergeCell ref="C156:D156"/>
    <mergeCell ref="I120:J120"/>
    <mergeCell ref="G36:H36"/>
    <mergeCell ref="E278:F278"/>
    <mergeCell ref="C74:D74"/>
    <mergeCell ref="I36:J36"/>
    <mergeCell ref="G278:H278"/>
    <mergeCell ref="C250:D250"/>
    <mergeCell ref="I278:J278"/>
    <mergeCell ref="I234:J234"/>
    <mergeCell ref="I113:J113"/>
    <mergeCell ref="C16:D16"/>
    <mergeCell ref="C230:D230"/>
    <mergeCell ref="C168:D168"/>
    <mergeCell ref="E230:F230"/>
    <mergeCell ref="C118:D118"/>
    <mergeCell ref="C167:D167"/>
    <mergeCell ref="C238:D238"/>
    <mergeCell ref="E167:F167"/>
    <mergeCell ref="E367:F367"/>
    <mergeCell ref="G196:H196"/>
    <mergeCell ref="C207:D207"/>
    <mergeCell ref="C11:D11"/>
    <mergeCell ref="B123:J123"/>
    <mergeCell ref="E207:F207"/>
    <mergeCell ref="E11:F11"/>
    <mergeCell ref="G207:H207"/>
    <mergeCell ref="C169:D169"/>
    <mergeCell ref="E169:F169"/>
    <mergeCell ref="I247:J247"/>
    <mergeCell ref="G200:H200"/>
    <mergeCell ref="C233:D233"/>
    <mergeCell ref="I252:J252"/>
    <mergeCell ref="E273:F273"/>
    <mergeCell ref="G273:H273"/>
    <mergeCell ref="C96:D96"/>
    <mergeCell ref="I329:J329"/>
    <mergeCell ref="G291:H291"/>
    <mergeCell ref="C354:D354"/>
    <mergeCell ref="I168:J168"/>
    <mergeCell ref="I95:J95"/>
    <mergeCell ref="G331:H331"/>
    <mergeCell ref="I89:J89"/>
    <mergeCell ref="I393:J393"/>
    <mergeCell ref="I331:J331"/>
    <mergeCell ref="E9:J9"/>
    <mergeCell ref="C89:D89"/>
    <mergeCell ref="E347:F347"/>
    <mergeCell ref="C116:D116"/>
    <mergeCell ref="G347:H347"/>
    <mergeCell ref="G97:H97"/>
    <mergeCell ref="I197:J197"/>
    <mergeCell ref="G268:H268"/>
    <mergeCell ref="C368:D368"/>
    <mergeCell ref="E362:F362"/>
    <mergeCell ref="E51:F51"/>
    <mergeCell ref="E156:F156"/>
    <mergeCell ref="E153:F153"/>
    <mergeCell ref="E128:F128"/>
    <mergeCell ref="G57:H57"/>
    <mergeCell ref="C93:D93"/>
    <mergeCell ref="E155:F155"/>
    <mergeCell ref="G128:H128"/>
    <mergeCell ref="C364:D364"/>
    <mergeCell ref="E364:F364"/>
    <mergeCell ref="G171:H171"/>
    <mergeCell ref="I171:J171"/>
    <mergeCell ref="E363:F363"/>
    <mergeCell ref="G121:H121"/>
    <mergeCell ref="I121:J121"/>
    <mergeCell ref="E157:F157"/>
    <mergeCell ref="E284:F284"/>
    <mergeCell ref="C251:D251"/>
    <mergeCell ref="I42:J42"/>
    <mergeCell ref="G284:H284"/>
    <mergeCell ref="I284:J284"/>
    <mergeCell ref="I173:J173"/>
    <mergeCell ref="G58:H58"/>
    <mergeCell ref="I52:J52"/>
    <mergeCell ref="C17:D17"/>
    <mergeCell ref="I250:J250"/>
    <mergeCell ref="E286:F286"/>
    <mergeCell ref="C253:D253"/>
    <mergeCell ref="I44:J44"/>
    <mergeCell ref="I166:J166"/>
    <mergeCell ref="C19:D19"/>
    <mergeCell ref="C190:D190"/>
    <mergeCell ref="C317:D317"/>
    <mergeCell ref="E75:F75"/>
    <mergeCell ref="E246:F246"/>
    <mergeCell ref="E317:F317"/>
    <mergeCell ref="G75:H75"/>
    <mergeCell ref="E233:F233"/>
    <mergeCell ref="C83:D83"/>
    <mergeCell ref="E12:F12"/>
    <mergeCell ref="C248:D248"/>
    <mergeCell ref="G12:H12"/>
    <mergeCell ref="E248:F248"/>
    <mergeCell ref="C175:D175"/>
    <mergeCell ref="C235:D235"/>
    <mergeCell ref="E175:F175"/>
    <mergeCell ref="I199:J199"/>
    <mergeCell ref="E235:F235"/>
    <mergeCell ref="E368:F368"/>
    <mergeCell ref="C14:D14"/>
    <mergeCell ref="E247:F247"/>
    <mergeCell ref="G362:H362"/>
    <mergeCell ref="E14:F14"/>
    <mergeCell ref="E312:F312"/>
    <mergeCell ref="G312:H312"/>
    <mergeCell ref="I57:J57"/>
    <mergeCell ref="G355:H355"/>
    <mergeCell ref="C393:D393"/>
    <mergeCell ref="I355:J355"/>
    <mergeCell ref="E314:F314"/>
    <mergeCell ref="I330:J330"/>
    <mergeCell ref="B84:J84"/>
    <mergeCell ref="I134:J134"/>
    <mergeCell ref="E170:F170"/>
    <mergeCell ref="I268:J268"/>
    <mergeCell ref="C330:D330"/>
    <mergeCell ref="I96:J96"/>
    <mergeCell ref="E370:F370"/>
    <mergeCell ref="C90:D90"/>
    <mergeCell ref="E90:F90"/>
    <mergeCell ref="C132:D132"/>
    <mergeCell ref="G192:H192"/>
    <mergeCell ref="E390:F390"/>
    <mergeCell ref="G246:H246"/>
    <mergeCell ref="G129:H129"/>
    <mergeCell ref="E172:F172"/>
    <mergeCell ref="E365:F365"/>
    <mergeCell ref="G365:H365"/>
    <mergeCell ref="G131:H131"/>
    <mergeCell ref="E58:F58"/>
    <mergeCell ref="G236:H236"/>
    <mergeCell ref="E394:F394"/>
    <mergeCell ref="I174:J174"/>
    <mergeCell ref="B318:J318"/>
    <mergeCell ref="I251:J251"/>
    <mergeCell ref="G287:H287"/>
    <mergeCell ref="C325:D325"/>
    <mergeCell ref="E83:F83"/>
    <mergeCell ref="I116:J116"/>
    <mergeCell ref="I287:J287"/>
    <mergeCell ref="I352:J352"/>
    <mergeCell ref="G289:H289"/>
    <mergeCell ref="C389:D389"/>
    <mergeCell ref="C112:D112"/>
    <mergeCell ref="C133:D133"/>
    <mergeCell ref="E13:F13"/>
    <mergeCell ref="C127:D127"/>
    <mergeCell ref="G13:H13"/>
    <mergeCell ref="E78:F78"/>
    <mergeCell ref="E249:F249"/>
    <mergeCell ref="G78:H78"/>
    <mergeCell ref="C114:D114"/>
    <mergeCell ref="C247:D247"/>
    <mergeCell ref="E114:F114"/>
    <mergeCell ref="G205:H205"/>
    <mergeCell ref="G249:H249"/>
    <mergeCell ref="I205:J205"/>
    <mergeCell ref="G314:H314"/>
    <mergeCell ref="C356:D356"/>
    <mergeCell ref="E385:F385"/>
    <mergeCell ref="G363:H363"/>
    <mergeCell ref="E15:F15"/>
    <mergeCell ref="G15:H15"/>
    <mergeCell ref="C51:D51"/>
    <mergeCell ref="E80:F80"/>
    <mergeCell ref="E191:F191"/>
    <mergeCell ref="G313:H313"/>
    <mergeCell ref="G80:H80"/>
    <mergeCell ref="G234:H234"/>
    <mergeCell ref="C272:D272"/>
    <mergeCell ref="G79:H79"/>
    <mergeCell ref="E315:F315"/>
    <mergeCell ref="G73:H73"/>
    <mergeCell ref="I79:J79"/>
    <mergeCell ref="G315:H315"/>
    <mergeCell ref="I73:J73"/>
    <mergeCell ref="I315:J315"/>
    <mergeCell ref="C38:D38"/>
    <mergeCell ref="C209:D209"/>
    <mergeCell ref="E81:F81"/>
    <mergeCell ref="G173:H173"/>
    <mergeCell ref="C275:D275"/>
    <mergeCell ref="C269:D269"/>
    <mergeCell ref="E269:F269"/>
    <mergeCell ref="C231:D231"/>
    <mergeCell ref="C35:D35"/>
    <mergeCell ref="G170:H170"/>
    <mergeCell ref="I195:J195"/>
    <mergeCell ref="E35:F35"/>
    <mergeCell ref="C206:D206"/>
    <mergeCell ref="E206:F206"/>
    <mergeCell ref="E231:F231"/>
    <mergeCell ref="C10:D10"/>
    <mergeCell ref="E10:F10"/>
    <mergeCell ref="G10:H10"/>
    <mergeCell ref="G308:H308"/>
    <mergeCell ref="C270:D270"/>
    <mergeCell ref="G53:H53"/>
    <mergeCell ref="I53:J53"/>
    <mergeCell ref="G326:H326"/>
    <mergeCell ref="I351:J351"/>
    <mergeCell ref="I326:J326"/>
    <mergeCell ref="E74:F74"/>
    <mergeCell ref="E245:F245"/>
    <mergeCell ref="I289:J289"/>
    <mergeCell ref="G74:H74"/>
    <mergeCell ref="G239:H239"/>
    <mergeCell ref="I130:J130"/>
    <mergeCell ref="I190:J190"/>
    <mergeCell ref="G92:H92"/>
    <mergeCell ref="I117:J117"/>
    <mergeCell ref="I92:J92"/>
    <mergeCell ref="I55:J55"/>
    <mergeCell ref="C130:D130"/>
    <mergeCell ref="G353:H353"/>
    <mergeCell ref="I353:J353"/>
    <mergeCell ref="I132:J132"/>
    <mergeCell ref="C135:D135"/>
    <mergeCell ref="G290:H290"/>
    <mergeCell ref="C328:D328"/>
    <mergeCell ref="I290:J290"/>
    <mergeCell ref="C159:D159"/>
    <mergeCell ref="C122:D122"/>
    <mergeCell ref="C153:D153"/>
    <mergeCell ref="E204:J204"/>
    <mergeCell ref="C395:D395"/>
    <mergeCell ref="C199:D199"/>
    <mergeCell ref="E199:F199"/>
    <mergeCell ref="I354:J354"/>
    <mergeCell ref="E392:F392"/>
    <mergeCell ref="E386:F386"/>
    <mergeCell ref="C136:D136"/>
    <mergeCell ref="E192:F192"/>
    <mergeCell ref="C323:D323"/>
    <mergeCell ref="E323:F323"/>
    <mergeCell ref="G81:H81"/>
    <mergeCell ref="I81:J81"/>
    <mergeCell ref="G208:H208"/>
    <mergeCell ref="I208:J208"/>
    <mergeCell ref="G244:H244"/>
    <mergeCell ref="E129:F129"/>
    <mergeCell ref="I366:J366"/>
    <mergeCell ref="E194:F194"/>
    <mergeCell ref="E387:F387"/>
    <mergeCell ref="G194:H194"/>
    <mergeCell ref="G316:H316"/>
    <mergeCell ref="G387:H387"/>
    <mergeCell ref="I316:J316"/>
    <mergeCell ref="I272:J272"/>
    <mergeCell ref="G237:H237"/>
    <mergeCell ref="I210:J210"/>
    <mergeCell ref="I237:J237"/>
    <mergeCell ref="E131:F131"/>
    <mergeCell ref="G160:H160"/>
    <mergeCell ref="C54:D54"/>
    <mergeCell ref="I16:J16"/>
    <mergeCell ref="I209:J209"/>
    <mergeCell ref="G174:H174"/>
    <mergeCell ref="C41:D41"/>
    <mergeCell ref="C212:D212"/>
    <mergeCell ref="G245:H245"/>
    <mergeCell ref="C277:D277"/>
    <mergeCell ref="I239:J239"/>
    <mergeCell ref="I122:J122"/>
    <mergeCell ref="G18:H18"/>
    <mergeCell ref="C56:D56"/>
    <mergeCell ref="I18:J18"/>
    <mergeCell ref="I214:J214"/>
    <mergeCell ref="C276:D276"/>
    <mergeCell ref="E34:F34"/>
    <mergeCell ref="C43:D43"/>
    <mergeCell ref="C214:D214"/>
    <mergeCell ref="G34:H34"/>
    <mergeCell ref="I238:J238"/>
    <mergeCell ref="E270:F270"/>
    <mergeCell ref="E276:F276"/>
    <mergeCell ref="E321:J321"/>
    <mergeCell ref="C120:D120"/>
    <mergeCell ref="E49:F49"/>
    <mergeCell ref="C36:D36"/>
    <mergeCell ref="C278:D278"/>
    <mergeCell ref="E36:F36"/>
    <mergeCell ref="I236:J236"/>
    <mergeCell ref="C370:D370"/>
    <mergeCell ref="E113:F113"/>
    <mergeCell ref="G113:H113"/>
    <mergeCell ref="C385:D385"/>
    <mergeCell ref="G94:H94"/>
    <mergeCell ref="E136:F136"/>
    <mergeCell ref="I94:J94"/>
    <mergeCell ref="G44:H44"/>
    <mergeCell ref="G311:H311"/>
    <mergeCell ref="I367:J367"/>
    <mergeCell ref="G158:H158"/>
    <mergeCell ref="C367:D367"/>
    <mergeCell ref="I158:J158"/>
    <mergeCell ref="G77:H77"/>
    <mergeCell ref="C288:D288"/>
    <mergeCell ref="I77:J77"/>
    <mergeCell ref="I133:J133"/>
    <mergeCell ref="G169:H169"/>
    <mergeCell ref="I369:J369"/>
    <mergeCell ref="I356:J356"/>
    <mergeCell ref="E127:F127"/>
    <mergeCell ref="I160:J160"/>
    <mergeCell ref="C369:D369"/>
    <mergeCell ref="I135:J135"/>
    <mergeCell ref="C200:D200"/>
    <mergeCell ref="G233:H233"/>
    <mergeCell ref="E200:F200"/>
    <mergeCell ref="I233:J233"/>
    <mergeCell ref="B279:J279"/>
    <mergeCell ref="G191:H191"/>
    <mergeCell ref="C291:D291"/>
    <mergeCell ref="E291:F291"/>
    <mergeCell ref="G49:H49"/>
    <mergeCell ref="G195:H195"/>
    <mergeCell ref="G322:H322"/>
    <mergeCell ref="I322:J322"/>
    <mergeCell ref="I211:J211"/>
    <mergeCell ref="G309:H309"/>
    <mergeCell ref="C347:D347"/>
    <mergeCell ref="I309:J309"/>
    <mergeCell ref="C268:D268"/>
    <mergeCell ref="E197:F197"/>
    <mergeCell ref="G88:H88"/>
    <mergeCell ref="I17:J17"/>
    <mergeCell ref="G197:H197"/>
    <mergeCell ref="I88:J88"/>
    <mergeCell ref="G324:H324"/>
    <mergeCell ref="I82:J82"/>
    <mergeCell ref="C91:D91"/>
    <mergeCell ref="E120:F120"/>
    <mergeCell ref="I253:J253"/>
    <mergeCell ref="I324:J324"/>
    <mergeCell ref="C362:D362"/>
    <mergeCell ref="C82:D82"/>
    <mergeCell ref="I311:J311"/>
    <mergeCell ref="C57:D57"/>
    <mergeCell ref="I19:J19"/>
    <mergeCell ref="G90:H90"/>
    <mergeCell ref="C355:D355"/>
    <mergeCell ref="C155:D155"/>
    <mergeCell ref="B357:J357"/>
    <mergeCell ref="C391:D391"/>
    <mergeCell ref="E50:F50"/>
    <mergeCell ref="E121:F121"/>
    <mergeCell ref="C157:D157"/>
    <mergeCell ref="C151:D151"/>
    <mergeCell ref="E213:F213"/>
    <mergeCell ref="C284:D284"/>
    <mergeCell ref="E151:F151"/>
    <mergeCell ref="G42:H42"/>
    <mergeCell ref="C58:D58"/>
    <mergeCell ref="E52:F52"/>
    <mergeCell ref="B162:J162"/>
    <mergeCell ref="G211:H211"/>
    <mergeCell ref="E39:F39"/>
    <mergeCell ref="C386:D386"/>
    <mergeCell ref="E44:F44"/>
    <mergeCell ref="G39:H39"/>
    <mergeCell ref="G166:H166"/>
    <mergeCell ref="G116:H116"/>
    <mergeCell ref="C152:D152"/>
    <mergeCell ref="E352:F352"/>
    <mergeCell ref="E152:F152"/>
    <mergeCell ref="G352:H352"/>
    <mergeCell ref="C75:D75"/>
    <mergeCell ref="I159:J159"/>
    <mergeCell ref="I97:J97"/>
    <mergeCell ref="I230:J230"/>
    <mergeCell ref="I395:J395"/>
    <mergeCell ref="E118:F118"/>
    <mergeCell ref="G118:H118"/>
    <mergeCell ref="C12:D12"/>
    <mergeCell ref="G167:H167"/>
    <mergeCell ref="G210:H210"/>
    <mergeCell ref="I161:J161"/>
    <mergeCell ref="B45:J45"/>
    <mergeCell ref="C312:D312"/>
    <mergeCell ref="E57:F57"/>
    <mergeCell ref="I249:J249"/>
    <mergeCell ref="E355:F355"/>
    <mergeCell ref="E330:F330"/>
    <mergeCell ref="E134:F134"/>
    <mergeCell ref="E268:F268"/>
    <mergeCell ref="G330:H330"/>
    <mergeCell ref="G134:H134"/>
    <mergeCell ref="C170:D170"/>
    <mergeCell ref="C292:D292"/>
    <mergeCell ref="E292:F292"/>
    <mergeCell ref="G50:H50"/>
    <mergeCell ref="I50:J50"/>
    <mergeCell ref="G286:H286"/>
    <mergeCell ref="E96:F96"/>
    <mergeCell ref="G96:H96"/>
    <mergeCell ref="C307:D307"/>
    <mergeCell ref="E307:F307"/>
    <mergeCell ref="I90:J90"/>
    <mergeCell ref="G52:H52"/>
    <mergeCell ref="G350:H350"/>
    <mergeCell ref="I350:J350"/>
    <mergeCell ref="I325:J325"/>
    <mergeCell ref="G390:H390"/>
    <mergeCell ref="I390:J390"/>
    <mergeCell ref="C246:D246"/>
    <mergeCell ref="I91:J91"/>
    <mergeCell ref="G156:H156"/>
    <mergeCell ref="G327:H327"/>
    <mergeCell ref="I389:J389"/>
    <mergeCell ref="I156:J156"/>
    <mergeCell ref="I327:J327"/>
    <mergeCell ref="C196:D196"/>
    <mergeCell ref="C392:D392"/>
    <mergeCell ref="G93:H93"/>
    <mergeCell ref="I93:J93"/>
    <mergeCell ref="C236:D236"/>
    <mergeCell ref="I391:J391"/>
    <mergeCell ref="B201:J201"/>
    <mergeCell ref="C394:D394"/>
    <mergeCell ref="C198:D198"/>
    <mergeCell ref="E243:J243"/>
    <mergeCell ref="C287:D287"/>
    <mergeCell ref="I118:J118"/>
    <mergeCell ref="E287:F287"/>
    <mergeCell ref="I167:J167"/>
    <mergeCell ref="G55:H55"/>
    <mergeCell ref="C289:D289"/>
    <mergeCell ref="I38:J38"/>
    <mergeCell ref="G274:H274"/>
    <mergeCell ref="I169:J169"/>
    <mergeCell ref="E165:J165"/>
    <mergeCell ref="I274:J274"/>
    <mergeCell ref="G119:H119"/>
    <mergeCell ref="I119:J119"/>
    <mergeCell ref="C13:D13"/>
    <mergeCell ref="I246:J246"/>
    <mergeCell ref="G40:H40"/>
    <mergeCell ref="C78:D78"/>
    <mergeCell ref="I40:J40"/>
    <mergeCell ref="C314:D314"/>
  </mergeCells>
  <conditionalFormatting sqref="H6">
    <cfRule type="expression" priority="1" dxfId="0" stopIfTrue="0">
      <formula>H6&lt;&gt;100</formula>
    </cfRule>
  </conditionalFormatting>
  <conditionalFormatting sqref="C21:C33 E21:E33 G21:G33 I21:I33">
    <cfRule type="expression" priority="2" dxfId="5" stopIfTrue="0">
      <formula>C21="Not included"</formula>
    </cfRule>
    <cfRule type="expression" priority="3" dxfId="6" stopIfTrue="0">
      <formula>C21="Unclear"</formula>
    </cfRule>
    <cfRule type="expression" priority="4" dxfId="3" stopIfTrue="0">
      <formula>C21="Included"</formula>
    </cfRule>
  </conditionalFormatting>
  <conditionalFormatting sqref="D21:D33 F21:F33 H21:H33 J21:J33">
    <cfRule type="expression" priority="5" dxfId="7" stopIfTrue="0">
      <formula>C21="Included"</formula>
    </cfRule>
  </conditionalFormatting>
  <conditionalFormatting sqref="C44 E44 G44 I44">
    <cfRule type="expression" priority="6" dxfId="1" stopIfTrue="0">
      <formula>AND(C43&lt;&gt;"",C43=MAX($C43:$J43))</formula>
    </cfRule>
  </conditionalFormatting>
  <conditionalFormatting sqref="B45">
    <cfRule type="expression" priority="7" dxfId="0" stopIfTrue="0">
      <formula>$P45=1</formula>
    </cfRule>
    <cfRule type="expression" priority="8" dxfId="3" stopIfTrue="0">
      <formula>AND($P45=0,B45&lt;&gt;"")</formula>
    </cfRule>
  </conditionalFormatting>
  <conditionalFormatting sqref="C60:C72 E60:E72 G60:G72 I60:I72">
    <cfRule type="expression" priority="9" dxfId="5" stopIfTrue="0">
      <formula>C60="Not included"</formula>
    </cfRule>
    <cfRule type="expression" priority="10" dxfId="6" stopIfTrue="0">
      <formula>C60="Unclear"</formula>
    </cfRule>
    <cfRule type="expression" priority="11" dxfId="3" stopIfTrue="0">
      <formula>C60="Included"</formula>
    </cfRule>
  </conditionalFormatting>
  <conditionalFormatting sqref="D60:D72 F60:F72 H60:H72 J60:J72">
    <cfRule type="expression" priority="12" dxfId="7" stopIfTrue="0">
      <formula>C60="Included"</formula>
    </cfRule>
  </conditionalFormatting>
  <conditionalFormatting sqref="C83 E83 G83 I83">
    <cfRule type="expression" priority="13" dxfId="1" stopIfTrue="0">
      <formula>AND(C82&lt;&gt;"",C82=MAX($C82:$J82))</formula>
    </cfRule>
  </conditionalFormatting>
  <conditionalFormatting sqref="B84">
    <cfRule type="expression" priority="14" dxfId="0" stopIfTrue="0">
      <formula>$P84=1</formula>
    </cfRule>
    <cfRule type="expression" priority="15" dxfId="3" stopIfTrue="0">
      <formula>AND($P84=0,B84&lt;&gt;"")</formula>
    </cfRule>
  </conditionalFormatting>
  <conditionalFormatting sqref="C99:C111 E99:E111 G99:G111 I99:I111">
    <cfRule type="expression" priority="16" dxfId="5" stopIfTrue="0">
      <formula>C99="Not included"</formula>
    </cfRule>
    <cfRule type="expression" priority="17" dxfId="6" stopIfTrue="0">
      <formula>C99="Unclear"</formula>
    </cfRule>
    <cfRule type="expression" priority="18" dxfId="3" stopIfTrue="0">
      <formula>C99="Included"</formula>
    </cfRule>
  </conditionalFormatting>
  <conditionalFormatting sqref="D99:D111 F99:F111 H99:H111 J99:J111">
    <cfRule type="expression" priority="19" dxfId="7" stopIfTrue="0">
      <formula>C99="Included"</formula>
    </cfRule>
  </conditionalFormatting>
  <conditionalFormatting sqref="C122 E122 G122 I122">
    <cfRule type="expression" priority="20" dxfId="1" stopIfTrue="0">
      <formula>AND(C121&lt;&gt;"",C121=MAX($C121:$J121))</formula>
    </cfRule>
  </conditionalFormatting>
  <conditionalFormatting sqref="B123">
    <cfRule type="expression" priority="21" dxfId="0" stopIfTrue="0">
      <formula>$P123=1</formula>
    </cfRule>
    <cfRule type="expression" priority="22" dxfId="3" stopIfTrue="0">
      <formula>AND($P123=0,B123&lt;&gt;"")</formula>
    </cfRule>
  </conditionalFormatting>
  <conditionalFormatting sqref="C138:C150 E138:E150 G138:G150 I138:I150">
    <cfRule type="expression" priority="23" dxfId="5" stopIfTrue="0">
      <formula>C138="Not included"</formula>
    </cfRule>
    <cfRule type="expression" priority="24" dxfId="6" stopIfTrue="0">
      <formula>C138="Unclear"</formula>
    </cfRule>
    <cfRule type="expression" priority="25" dxfId="3" stopIfTrue="0">
      <formula>C138="Included"</formula>
    </cfRule>
  </conditionalFormatting>
  <conditionalFormatting sqref="D138:D150 F138:F150 H138:H150 J138:J150">
    <cfRule type="expression" priority="26" dxfId="7" stopIfTrue="0">
      <formula>C138="Included"</formula>
    </cfRule>
  </conditionalFormatting>
  <conditionalFormatting sqref="C161 E161 G161 I161">
    <cfRule type="expression" priority="27" dxfId="1" stopIfTrue="0">
      <formula>AND(C160&lt;&gt;"",C160=MAX($C160:$J160))</formula>
    </cfRule>
  </conditionalFormatting>
  <conditionalFormatting sqref="B162">
    <cfRule type="expression" priority="28" dxfId="0" stopIfTrue="0">
      <formula>$P162=1</formula>
    </cfRule>
    <cfRule type="expression" priority="29" dxfId="3" stopIfTrue="0">
      <formula>AND($P162=0,B162&lt;&gt;"")</formula>
    </cfRule>
  </conditionalFormatting>
  <conditionalFormatting sqref="C177:C189 E177:E189 G177:G189 I177:I189">
    <cfRule type="expression" priority="30" dxfId="5" stopIfTrue="0">
      <formula>C177="Not included"</formula>
    </cfRule>
    <cfRule type="expression" priority="31" dxfId="6" stopIfTrue="0">
      <formula>C177="Unclear"</formula>
    </cfRule>
    <cfRule type="expression" priority="32" dxfId="3" stopIfTrue="0">
      <formula>C177="Included"</formula>
    </cfRule>
  </conditionalFormatting>
  <conditionalFormatting sqref="D177:D189 F177:F189 H177:H189 J177:J189">
    <cfRule type="expression" priority="33" dxfId="7" stopIfTrue="0">
      <formula>C177="Included"</formula>
    </cfRule>
  </conditionalFormatting>
  <conditionalFormatting sqref="C200 E200 G200 I200">
    <cfRule type="expression" priority="34" dxfId="1" stopIfTrue="0">
      <formula>AND(C199&lt;&gt;"",C199=MAX($C199:$J199))</formula>
    </cfRule>
  </conditionalFormatting>
  <conditionalFormatting sqref="B201">
    <cfRule type="expression" priority="35" dxfId="0" stopIfTrue="0">
      <formula>$P201=1</formula>
    </cfRule>
    <cfRule type="expression" priority="36" dxfId="3" stopIfTrue="0">
      <formula>AND($P201=0,B201&lt;&gt;"")</formula>
    </cfRule>
  </conditionalFormatting>
  <conditionalFormatting sqref="C216:C228 E216:E228 G216:G228 I216:I228">
    <cfRule type="expression" priority="37" dxfId="5" stopIfTrue="0">
      <formula>C216="Not included"</formula>
    </cfRule>
    <cfRule type="expression" priority="38" dxfId="6" stopIfTrue="0">
      <formula>C216="Unclear"</formula>
    </cfRule>
    <cfRule type="expression" priority="39" dxfId="3" stopIfTrue="0">
      <formula>C216="Included"</formula>
    </cfRule>
  </conditionalFormatting>
  <conditionalFormatting sqref="D216:D228 F216:F228 H216:H228 J216:J228">
    <cfRule type="expression" priority="40" dxfId="7" stopIfTrue="0">
      <formula>C216="Included"</formula>
    </cfRule>
  </conditionalFormatting>
  <conditionalFormatting sqref="C239 E239 G239 I239">
    <cfRule type="expression" priority="41" dxfId="1" stopIfTrue="0">
      <formula>AND(C238&lt;&gt;"",C238=MAX($C238:$J238))</formula>
    </cfRule>
  </conditionalFormatting>
  <conditionalFormatting sqref="B240">
    <cfRule type="expression" priority="42" dxfId="0" stopIfTrue="0">
      <formula>$P240=1</formula>
    </cfRule>
    <cfRule type="expression" priority="43" dxfId="3" stopIfTrue="0">
      <formula>AND($P240=0,B240&lt;&gt;"")</formula>
    </cfRule>
  </conditionalFormatting>
  <conditionalFormatting sqref="C255:C267 E255:E267 G255:G267 I255:I267">
    <cfRule type="expression" priority="44" dxfId="5" stopIfTrue="0">
      <formula>C255="Not included"</formula>
    </cfRule>
    <cfRule type="expression" priority="45" dxfId="6" stopIfTrue="0">
      <formula>C255="Unclear"</formula>
    </cfRule>
    <cfRule type="expression" priority="46" dxfId="3" stopIfTrue="0">
      <formula>C255="Included"</formula>
    </cfRule>
  </conditionalFormatting>
  <conditionalFormatting sqref="D255:D267 F255:F267 H255:H267 J255:J267">
    <cfRule type="expression" priority="47" dxfId="7" stopIfTrue="0">
      <formula>C255="Included"</formula>
    </cfRule>
  </conditionalFormatting>
  <conditionalFormatting sqref="C278 E278 G278 I278">
    <cfRule type="expression" priority="48" dxfId="1" stopIfTrue="0">
      <formula>AND(C277&lt;&gt;"",C277=MAX($C277:$J277))</formula>
    </cfRule>
  </conditionalFormatting>
  <conditionalFormatting sqref="B279">
    <cfRule type="expression" priority="49" dxfId="0" stopIfTrue="0">
      <formula>$P279=1</formula>
    </cfRule>
    <cfRule type="expression" priority="50" dxfId="3" stopIfTrue="0">
      <formula>AND($P279=0,B279&lt;&gt;"")</formula>
    </cfRule>
  </conditionalFormatting>
  <conditionalFormatting sqref="C294:C306 E294:E306 G294:G306 I294:I306">
    <cfRule type="expression" priority="51" dxfId="5" stopIfTrue="0">
      <formula>C294="Not included"</formula>
    </cfRule>
    <cfRule type="expression" priority="52" dxfId="6" stopIfTrue="0">
      <formula>C294="Unclear"</formula>
    </cfRule>
    <cfRule type="expression" priority="53" dxfId="3" stopIfTrue="0">
      <formula>C294="Included"</formula>
    </cfRule>
  </conditionalFormatting>
  <conditionalFormatting sqref="D294:D306 F294:F306 H294:H306 J294:J306">
    <cfRule type="expression" priority="54" dxfId="7" stopIfTrue="0">
      <formula>C294="Included"</formula>
    </cfRule>
  </conditionalFormatting>
  <conditionalFormatting sqref="C317 E317 G317 I317">
    <cfRule type="expression" priority="55" dxfId="1" stopIfTrue="0">
      <formula>AND(C316&lt;&gt;"",C316=MAX($C316:$J316))</formula>
    </cfRule>
  </conditionalFormatting>
  <conditionalFormatting sqref="B318">
    <cfRule type="expression" priority="56" dxfId="0" stopIfTrue="0">
      <formula>$P318=1</formula>
    </cfRule>
    <cfRule type="expression" priority="57" dxfId="3" stopIfTrue="0">
      <formula>AND($P318=0,B318&lt;&gt;"")</formula>
    </cfRule>
  </conditionalFormatting>
  <conditionalFormatting sqref="C333:C345 E333:E345 G333:G345 I333:I345">
    <cfRule type="expression" priority="58" dxfId="5" stopIfTrue="0">
      <formula>C333="Not included"</formula>
    </cfRule>
    <cfRule type="expression" priority="59" dxfId="6" stopIfTrue="0">
      <formula>C333="Unclear"</formula>
    </cfRule>
    <cfRule type="expression" priority="60" dxfId="3" stopIfTrue="0">
      <formula>C333="Included"</formula>
    </cfRule>
  </conditionalFormatting>
  <conditionalFormatting sqref="D333:D345 F333:F345 H333:H345 J333:J345">
    <cfRule type="expression" priority="61" dxfId="7" stopIfTrue="0">
      <formula>C333="Included"</formula>
    </cfRule>
  </conditionalFormatting>
  <conditionalFormatting sqref="C356 E356 G356 I356">
    <cfRule type="expression" priority="62" dxfId="1" stopIfTrue="0">
      <formula>AND(C355&lt;&gt;"",C355=MAX($C355:$J355))</formula>
    </cfRule>
  </conditionalFormatting>
  <conditionalFormatting sqref="B357">
    <cfRule type="expression" priority="63" dxfId="0" stopIfTrue="0">
      <formula>$P357=1</formula>
    </cfRule>
    <cfRule type="expression" priority="64" dxfId="3" stopIfTrue="0">
      <formula>AND($P357=0,B357&lt;&gt;"")</formula>
    </cfRule>
  </conditionalFormatting>
  <conditionalFormatting sqref="C372:C384 E372:E384 G372:G384 I372:I384">
    <cfRule type="expression" priority="65" dxfId="5" stopIfTrue="0">
      <formula>C372="Not included"</formula>
    </cfRule>
    <cfRule type="expression" priority="66" dxfId="6" stopIfTrue="0">
      <formula>C372="Unclear"</formula>
    </cfRule>
    <cfRule type="expression" priority="67" dxfId="3" stopIfTrue="0">
      <formula>C372="Included"</formula>
    </cfRule>
  </conditionalFormatting>
  <conditionalFormatting sqref="D372:D384 F372:F384 H372:H384 J372:J384">
    <cfRule type="expression" priority="68" dxfId="7" stopIfTrue="0">
      <formula>C372="Included"</formula>
    </cfRule>
  </conditionalFormatting>
  <conditionalFormatting sqref="C395 E395 G395 I395">
    <cfRule type="expression" priority="69" dxfId="1" stopIfTrue="0">
      <formula>AND(C394&lt;&gt;"",C394=MAX($C394:$J394))</formula>
    </cfRule>
  </conditionalFormatting>
  <conditionalFormatting sqref="B396">
    <cfRule type="expression" priority="70" dxfId="0" stopIfTrue="0">
      <formula>$P396=1</formula>
    </cfRule>
    <cfRule type="expression" priority="71" dxfId="3" stopIfTrue="0">
      <formula>AND($P396=0,B396&lt;&gt;"")</formula>
    </cfRule>
  </conditionalFormatting>
  <dataValidations count="4">
    <dataValidation sqref="C9 C48 C87 C126 C165 C204 C243 C282 C321 C360" showDropDown="0" showInputMessage="0" showErrorMessage="1" allowBlank="1" errorTitle="Renovation OS" error="Please pick a value from the dropdown list." type="list">
      <formula1>='Lists'!$V$2:$V$51</formula1>
    </dataValidation>
    <dataValidation sqref="C13 C17 C52 C56 C91 C95 C130 C134 C169 C173 C208 C212 C247 C251 C286 C290 C325 C329 C364 C368 E13 E17 E52 E56 E91 E95 E130 E134 E169 E173 E208 E212 E247 E251 E286 E290 E325 E329 E364 E368 G13 G17 G52 G56 G91 G95 G130 G134 G169 G173 G208 G212 G247 G251 G286 G290 G325 G329 G364 G368 I13 I17 I52 I56 I91 I95 I130 I134 I169 I173 I208 I212 I247 I251 I286 I290 I325 I329 I364 I368" showDropDown="0" showInputMessage="0" showErrorMessage="1" allowBlank="1" errorTitle="Renovation OS" error="Please pick a value from the dropdown list." type="list">
      <formula1>='Lists'!$A$2:$A$3</formula1>
    </dataValidation>
    <dataValidation sqref="C18 C57 C96 C135 C174 C213 C252 C291 C330 C369 E18 E57 E96 E135 E174 E213 E252 E291 E330 E369 G18 G57 G96 G135 G174 G213 G252 G291 G330 G369 I18 I57 I96 I135 I174 I213 I252 I291 I330 I369" showDropDown="0" showInputMessage="0" showErrorMessage="1" allowBlank="1" errorTitle="Renovation OS" error="Please pick a value from the dropdown list." type="list">
      <formula1>='Lists'!$O$2:$O$6</formula1>
    </dataValidation>
    <dataValidation sqref="C21:C33 C60:C72 C99:C111 C138:C150 C177:C189 C216:C228 C255:C267 C294:C306 C333:C345 C372:C384 E21:E33 E60:E72 E99:E111 E138:E150 E177:E189 E216:E228 E255:E267 E294:E306 E333:E345 E372:E384 G21:G33 G60:G72 G99:G111 G138:G150 G177:G189 G216:G228 G255:G267 G294:G306 G333:G345 G372:G384 I21:I33 I60:I72 I99:I111 I138:I150 I177:I189 I216:I228 I255:I267 I294:I306 I333:I345 I372:I384" showDropDown="0" showInputMessage="0" showErrorMessage="1" allowBlank="1" errorTitle="Renovation OS" error="Please pick a value from the dropdown list." type="list">
      <formula1>='Lists'!$C$2:$C$4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2E7D32"/>
    <outlinePr summaryBelow="1" summaryRight="1"/>
    <pageSetUpPr/>
  </sheetPr>
  <dimension ref="A1:AI10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20" customWidth="1" min="3" max="3"/>
    <col width="17" customWidth="1" min="4" max="4"/>
    <col width="15" customWidth="1" min="5" max="5"/>
    <col width="16" customWidth="1" min="6" max="6"/>
    <col width="15" customWidth="1" min="7" max="7"/>
    <col width="24" customWidth="1" min="8" max="8"/>
    <col width="14" customWidth="1" min="9" max="9"/>
    <col width="14" customWidth="1" min="10" max="10"/>
    <col width="14" customWidth="1" min="11" max="11"/>
    <col width="11" customWidth="1" min="12" max="12"/>
    <col width="13" customWidth="1" min="13" max="13"/>
    <col width="13" customWidth="1" min="14" max="14"/>
    <col width="11" customWidth="1" min="15" max="15"/>
    <col width="11" customWidth="1" min="16" max="16"/>
    <col width="10" customWidth="1" min="17" max="17"/>
    <col width="11" customWidth="1" min="18" max="18"/>
    <col width="13" customWidth="1" min="19" max="19"/>
    <col width="9" customWidth="1" min="20" max="20"/>
    <col width="24" customWidth="1" min="21" max="21"/>
    <col hidden="1" width="13" customWidth="1" min="22" max="22"/>
    <col hidden="1" width="13" customWidth="1" min="23" max="23"/>
    <col hidden="1" width="13" customWidth="1" min="24" max="24"/>
    <col hidden="1" width="13" customWidth="1" min="25" max="25"/>
    <col width="3" customWidth="1" min="26" max="26"/>
    <col width="24" customWidth="1" min="27" max="27"/>
    <col width="13" customWidth="1" min="28" max="28"/>
    <col width="55" customWidth="1" min="29" max="29"/>
    <col width="11" customWidth="1" min="30" max="30"/>
    <col width="13" customWidth="1" min="31" max="31"/>
    <col width="11" customWidth="1" min="32" max="32"/>
    <col hidden="1" width="13" customWidth="1" min="33" max="33"/>
    <col hidden="1" width="13" customWidth="1" min="34" max="34"/>
    <col hidden="1" width="13" customWidth="1" min="35" max="35"/>
  </cols>
  <sheetData>
    <row r="1" ht="36" customHeight="1">
      <c r="B1" s="1" t="inlineStr">
        <is>
          <t>👷 Contractors</t>
        </is>
      </c>
    </row>
    <row r="2" ht="20" customHeight="1">
      <c r="B2" s="2" t="inlineStr">
        <is>
          <t>What this tab does: one row per contractor — contract, paperwork, progress and a warning when you pay ahead of the work. Communication log on the right →</t>
        </is>
      </c>
    </row>
    <row r="3">
      <c r="B3" s="3" t="inlineStr">
        <is>
          <t>© 2026 Hang Nguyen — Renovation OS. Licensed to the original purchaser for personal use only. Do not share, copy, resell or redistribute.</t>
        </is>
      </c>
    </row>
    <row r="4">
      <c r="B4" s="108" t="inlineStr">
        <is>
          <t>💬 Communication log → (scroll right, column AA)</t>
        </is>
      </c>
      <c r="AA4" s="4" t="inlineStr">
        <is>
          <t>COMMUNICATION LOG — every call, email and site conversation. Follow-ups turn into alerts.</t>
        </is>
      </c>
      <c r="AB4" s="5" t="n"/>
      <c r="AC4" s="5" t="n"/>
      <c r="AD4" s="5" t="n"/>
      <c r="AE4" s="5" t="n"/>
      <c r="AF4" s="5" t="n"/>
    </row>
    <row r="5" ht="32" customHeight="1">
      <c r="B5" s="52" t="inlineStr">
        <is>
          <t>Company</t>
        </is>
      </c>
      <c r="C5" s="52" t="inlineStr">
        <is>
          <t>Trade</t>
        </is>
      </c>
      <c r="D5" s="52" t="inlineStr">
        <is>
          <t>Budget category</t>
        </is>
      </c>
      <c r="E5" s="52" t="inlineStr">
        <is>
          <t>Main room</t>
        </is>
      </c>
      <c r="F5" s="52" t="inlineStr">
        <is>
          <t>Contact person</t>
        </is>
      </c>
      <c r="G5" s="52" t="inlineStr">
        <is>
          <t>Phone</t>
        </is>
      </c>
      <c r="H5" s="52" t="inlineStr">
        <is>
          <t>Email</t>
        </is>
      </c>
      <c r="I5" s="70">
        <f>"Contract value ("&amp;CurSym&amp;")"</f>
        <v/>
      </c>
      <c r="J5" s="70">
        <f>"Approved changes ("&amp;CurSym&amp;")"</f>
        <v/>
      </c>
      <c r="K5" s="70">
        <f>"Total contract ("&amp;CurSym&amp;")"</f>
        <v/>
      </c>
      <c r="L5" s="52" t="inlineStr">
        <is>
          <t>Contract signed?</t>
        </is>
      </c>
      <c r="M5" s="52" t="inlineStr">
        <is>
          <t>Start</t>
        </is>
      </c>
      <c r="N5" s="52" t="inlineStr">
        <is>
          <t>Expected completion</t>
        </is>
      </c>
      <c r="O5" s="52" t="inlineStr">
        <is>
          <t>Insurance ✓</t>
        </is>
      </c>
      <c r="P5" s="52" t="inlineStr">
        <is>
          <t>License ✓</t>
        </is>
      </c>
      <c r="Q5" s="52" t="inlineStr">
        <is>
          <t>Warranty (years)</t>
        </is>
      </c>
      <c r="R5" s="52" t="inlineStr">
        <is>
          <t>% work complete</t>
        </is>
      </c>
      <c r="S5" s="70">
        <f>"Paid to date ("&amp;CurSym&amp;")"</f>
        <v/>
      </c>
      <c r="T5" s="52" t="inlineStr">
        <is>
          <t>Paid %</t>
        </is>
      </c>
      <c r="U5" s="52" t="inlineStr">
        <is>
          <t>Overpayment check</t>
        </is>
      </c>
      <c r="V5" s="71" t="inlineStr">
        <is>
          <t>lvl</t>
        </is>
      </c>
      <c r="W5" s="71" t="inlineStr">
        <is>
          <t>due</t>
        </is>
      </c>
      <c r="X5" s="71" t="inlineStr">
        <is>
          <t>pri</t>
        </is>
      </c>
      <c r="Y5" s="71" t="inlineStr">
        <is>
          <t>text</t>
        </is>
      </c>
      <c r="AA5" s="52" t="inlineStr">
        <is>
          <t>Contractor</t>
        </is>
      </c>
      <c r="AB5" s="52" t="inlineStr">
        <is>
          <t>Date</t>
        </is>
      </c>
      <c r="AC5" s="52" t="inlineStr">
        <is>
          <t>What was said / agreed</t>
        </is>
      </c>
      <c r="AD5" s="52" t="inlineStr">
        <is>
          <t>Follow-up needed?</t>
        </is>
      </c>
      <c r="AE5" s="52" t="inlineStr">
        <is>
          <t>Follow-up date</t>
        </is>
      </c>
      <c r="AF5" s="52" t="inlineStr">
        <is>
          <t>Follow-up done?</t>
        </is>
      </c>
      <c r="AG5" s="71" t="inlineStr">
        <is>
          <t>due</t>
        </is>
      </c>
      <c r="AH5" s="71" t="inlineStr">
        <is>
          <t>pri</t>
        </is>
      </c>
      <c r="AI5" s="71" t="inlineStr">
        <is>
          <t>text</t>
        </is>
      </c>
    </row>
    <row r="6" ht="20" customHeight="1">
      <c r="B6" s="72" t="inlineStr">
        <is>
          <t>Hansen Demolition</t>
        </is>
      </c>
      <c r="C6" s="72" t="inlineStr">
        <is>
          <t>Demolition &amp; strip-out</t>
        </is>
      </c>
      <c r="D6" s="72" t="inlineStr">
        <is>
          <t>Demolition</t>
        </is>
      </c>
      <c r="E6" s="72" t="inlineStr">
        <is>
          <t>Whole house</t>
        </is>
      </c>
      <c r="F6" s="72" t="inlineStr">
        <is>
          <t>Lars Hansen</t>
        </is>
      </c>
      <c r="G6" s="72" t="inlineStr">
        <is>
          <t>+31 6 1234 5678</t>
        </is>
      </c>
      <c r="H6" s="72" t="inlineStr">
        <is>
          <t>lars@hansen-demo.example</t>
        </is>
      </c>
      <c r="I6" s="73" t="n">
        <v>3800</v>
      </c>
      <c r="J6" s="75">
        <f>IF(B6="","",SUMIFS('Change Orders'!$J$7:$J$1006,'Change Orders'!$E$7:$E$1006,B6,'Change Orders'!$L$7:$L$1006,"Approved"))</f>
        <v/>
      </c>
      <c r="K6" s="76">
        <f>IF(B6="","",I6+J6)</f>
        <v/>
      </c>
      <c r="L6" s="74" t="inlineStr">
        <is>
          <t>Yes</t>
        </is>
      </c>
      <c r="M6" s="109" t="n">
        <v>46132</v>
      </c>
      <c r="N6" s="109" t="n">
        <v>46141</v>
      </c>
      <c r="O6" s="74" t="inlineStr">
        <is>
          <t>Yes</t>
        </is>
      </c>
      <c r="P6" s="74" t="inlineStr">
        <is>
          <t>Yes</t>
        </is>
      </c>
      <c r="Q6" s="100" t="n">
        <v>1</v>
      </c>
      <c r="R6" s="110" t="n">
        <v>1</v>
      </c>
      <c r="S6" s="75">
        <f>IF(B6="","",SUMIFS('Payments'!$N$6:$N$1005,'Payments'!$B$6:$B$1005,B6))</f>
        <v/>
      </c>
      <c r="T6" s="111">
        <f>IF(OR(B6="",K6=0),"",S6/K6)</f>
        <v/>
      </c>
      <c r="U6" s="78">
        <f>IF(V6="","",IF(V6=2,"⚠️ Paying ahead of work","✓ OK"))</f>
        <v/>
      </c>
      <c r="V6" s="79">
        <f>IF(T6="","",IF(T6-R6&gt;OverpayTol,2,0))</f>
        <v/>
      </c>
      <c r="W6" s="112">
        <f>IF(V6=2,AsOf,"")</f>
        <v/>
      </c>
      <c r="X6" s="79">
        <f>IF(W6="","",1)</f>
        <v/>
      </c>
      <c r="Y6" s="79">
        <f>IF(X6="","","Paying ahead of work: "&amp;B6&amp;" — paid "&amp;ROUND(T6*100,0)&amp;"%, work done "&amp;ROUND(R6*100,0)&amp;"%")</f>
        <v/>
      </c>
      <c r="AA6" s="72" t="inlineStr">
        <is>
          <t>Bright Spark Electric</t>
        </is>
      </c>
      <c r="AB6" s="109" t="n">
        <v>46175</v>
      </c>
      <c r="AC6" s="113" t="inlineStr">
        <is>
          <t>Asked for revised schedule after 1-week slip — no reply yet</t>
        </is>
      </c>
      <c r="AD6" s="74" t="inlineStr">
        <is>
          <t>Yes</t>
        </is>
      </c>
      <c r="AE6" s="109" t="n">
        <v>46183</v>
      </c>
      <c r="AF6" s="74" t="inlineStr">
        <is>
          <t>No</t>
        </is>
      </c>
      <c r="AG6" s="112">
        <f>IF(AND(AA6&lt;&gt;"",AD6="Yes",AF6&lt;&gt;"Yes",AE6&lt;&gt;""),AE6,"")</f>
        <v/>
      </c>
      <c r="AH6" s="79">
        <f>IF(AG6="","",IF(AG6&lt;AsOf,1,IF(AG6&lt;=AsOf+AlertDays,2,IF(AG6&lt;=AsOf+2*AlertDays,3,""))))</f>
        <v/>
      </c>
      <c r="AI6" s="79">
        <f>IF(AH6="","","Follow up with "&amp;AA6&amp;": "&amp;AC6)</f>
        <v/>
      </c>
    </row>
    <row r="7" ht="20" customHeight="1">
      <c r="B7" s="72" t="inlineStr">
        <is>
          <t>Solid Structures Ltd</t>
        </is>
      </c>
      <c r="C7" s="72" t="inlineStr">
        <is>
          <t>Builder / structural</t>
        </is>
      </c>
      <c r="D7" s="72" t="inlineStr">
        <is>
          <t>Structural</t>
        </is>
      </c>
      <c r="E7" s="72" t="inlineStr">
        <is>
          <t>Living room</t>
        </is>
      </c>
      <c r="F7" s="72" t="inlineStr">
        <is>
          <t>Maria Costa</t>
        </is>
      </c>
      <c r="G7" s="72" t="inlineStr">
        <is>
          <t>+31 6 2345 6789</t>
        </is>
      </c>
      <c r="H7" s="72" t="inlineStr">
        <is>
          <t>maria@solidstructures.example</t>
        </is>
      </c>
      <c r="I7" s="73" t="n">
        <v>9400</v>
      </c>
      <c r="J7" s="75">
        <f>IF(B7="","",SUMIFS('Change Orders'!$J$7:$J$1006,'Change Orders'!$E$7:$E$1006,B7,'Change Orders'!$L$7:$L$1006,"Approved"))</f>
        <v/>
      </c>
      <c r="K7" s="76">
        <f>IF(B7="","",I7+J7)</f>
        <v/>
      </c>
      <c r="L7" s="74" t="inlineStr">
        <is>
          <t>Yes</t>
        </is>
      </c>
      <c r="M7" s="109" t="n">
        <v>46142</v>
      </c>
      <c r="N7" s="109" t="n">
        <v>46153</v>
      </c>
      <c r="O7" s="74" t="inlineStr">
        <is>
          <t>Yes</t>
        </is>
      </c>
      <c r="P7" s="74" t="inlineStr">
        <is>
          <t>Yes</t>
        </is>
      </c>
      <c r="Q7" s="100" t="n">
        <v>10</v>
      </c>
      <c r="R7" s="110" t="n">
        <v>1</v>
      </c>
      <c r="S7" s="75">
        <f>IF(B7="","",SUMIFS('Payments'!$N$6:$N$1005,'Payments'!$B$6:$B$1005,B7))</f>
        <v/>
      </c>
      <c r="T7" s="111">
        <f>IF(OR(B7="",K7=0),"",S7/K7)</f>
        <v/>
      </c>
      <c r="U7" s="78">
        <f>IF(V7="","",IF(V7=2,"⚠️ Paying ahead of work","✓ OK"))</f>
        <v/>
      </c>
      <c r="V7" s="79">
        <f>IF(T7="","",IF(T7-R7&gt;OverpayTol,2,0))</f>
        <v/>
      </c>
      <c r="W7" s="112">
        <f>IF(V7=2,AsOf,"")</f>
        <v/>
      </c>
      <c r="X7" s="79">
        <f>IF(W7="","",1)</f>
        <v/>
      </c>
      <c r="Y7" s="79">
        <f>IF(X7="","","Paying ahead of work: "&amp;B7&amp;" — paid "&amp;ROUND(T7*100,0)&amp;"%, work done "&amp;ROUND(R7*100,0)&amp;"%")</f>
        <v/>
      </c>
      <c r="AA7" s="72" t="inlineStr">
        <is>
          <t>Oak &amp; Plank Flooring</t>
        </is>
      </c>
      <c r="AB7" s="109" t="n">
        <v>46185</v>
      </c>
      <c r="AC7" s="113" t="inlineStr">
        <is>
          <t>Quote received; asked them to include skirting boards</t>
        </is>
      </c>
      <c r="AD7" s="74" t="inlineStr">
        <is>
          <t>Yes</t>
        </is>
      </c>
      <c r="AE7" s="109" t="n">
        <v>46191</v>
      </c>
      <c r="AF7" s="74" t="inlineStr">
        <is>
          <t>No</t>
        </is>
      </c>
      <c r="AG7" s="112">
        <f>IF(AND(AA7&lt;&gt;"",AD7="Yes",AF7&lt;&gt;"Yes",AE7&lt;&gt;""),AE7,"")</f>
        <v/>
      </c>
      <c r="AH7" s="79">
        <f>IF(AG7="","",IF(AG7&lt;AsOf,1,IF(AG7&lt;=AsOf+AlertDays,2,IF(AG7&lt;=AsOf+2*AlertDays,3,""))))</f>
        <v/>
      </c>
      <c r="AI7" s="79">
        <f>IF(AH7="","","Follow up with "&amp;AA7&amp;": "&amp;AC7)</f>
        <v/>
      </c>
    </row>
    <row r="8" ht="20" customHeight="1">
      <c r="B8" s="72" t="inlineStr">
        <is>
          <t>FlowRight Plumbing</t>
        </is>
      </c>
      <c r="C8" s="72" t="inlineStr">
        <is>
          <t>Plumbing</t>
        </is>
      </c>
      <c r="D8" s="72" t="inlineStr">
        <is>
          <t>Plumbing</t>
        </is>
      </c>
      <c r="E8" s="72" t="inlineStr">
        <is>
          <t>Whole house</t>
        </is>
      </c>
      <c r="F8" s="72" t="inlineStr">
        <is>
          <t>Tom de Vries</t>
        </is>
      </c>
      <c r="G8" s="72" t="inlineStr">
        <is>
          <t>+31 6 3456 7890</t>
        </is>
      </c>
      <c r="H8" s="72" t="inlineStr">
        <is>
          <t>tom@flowright.example</t>
        </is>
      </c>
      <c r="I8" s="73" t="n">
        <v>9200</v>
      </c>
      <c r="J8" s="75">
        <f>IF(B8="","",SUMIFS('Change Orders'!$J$7:$J$1006,'Change Orders'!$E$7:$E$1006,B8,'Change Orders'!$L$7:$L$1006,"Approved"))</f>
        <v/>
      </c>
      <c r="K8" s="76">
        <f>IF(B8="","",I8+J8)</f>
        <v/>
      </c>
      <c r="L8" s="74" t="inlineStr">
        <is>
          <t>Yes</t>
        </is>
      </c>
      <c r="M8" s="109" t="n">
        <v>46154</v>
      </c>
      <c r="N8" s="109" t="n">
        <v>46178</v>
      </c>
      <c r="O8" s="74" t="inlineStr">
        <is>
          <t>Yes</t>
        </is>
      </c>
      <c r="P8" s="74" t="inlineStr">
        <is>
          <t>Yes</t>
        </is>
      </c>
      <c r="Q8" s="100" t="n">
        <v>2</v>
      </c>
      <c r="R8" s="110" t="n">
        <v>0.6</v>
      </c>
      <c r="S8" s="75">
        <f>IF(B8="","",SUMIFS('Payments'!$N$6:$N$1005,'Payments'!$B$6:$B$1005,B8))</f>
        <v/>
      </c>
      <c r="T8" s="111">
        <f>IF(OR(B8="",K8=0),"",S8/K8)</f>
        <v/>
      </c>
      <c r="U8" s="78">
        <f>IF(V8="","",IF(V8=2,"⚠️ Paying ahead of work","✓ OK"))</f>
        <v/>
      </c>
      <c r="V8" s="79">
        <f>IF(T8="","",IF(T8-R8&gt;OverpayTol,2,0))</f>
        <v/>
      </c>
      <c r="W8" s="112">
        <f>IF(V8=2,AsOf,"")</f>
        <v/>
      </c>
      <c r="X8" s="79">
        <f>IF(W8="","",1)</f>
        <v/>
      </c>
      <c r="Y8" s="79">
        <f>IF(X8="","","Paying ahead of work: "&amp;B8&amp;" — paid "&amp;ROUND(T8*100,0)&amp;"%, work done "&amp;ROUND(R8*100,0)&amp;"%")</f>
        <v/>
      </c>
      <c r="AA8" s="72" t="inlineStr">
        <is>
          <t>Nordic Kitchens</t>
        </is>
      </c>
      <c r="AB8" s="109" t="n">
        <v>46170</v>
      </c>
      <c r="AC8" s="113" t="inlineStr">
        <is>
          <t>Confirmed install start 2 July, delivery 1 July</t>
        </is>
      </c>
      <c r="AD8" s="74" t="inlineStr">
        <is>
          <t>No</t>
        </is>
      </c>
      <c r="AE8" s="109" t="n"/>
      <c r="AF8" s="74" t="n"/>
      <c r="AG8" s="112">
        <f>IF(AND(AA8&lt;&gt;"",AD8="Yes",AF8&lt;&gt;"Yes",AE8&lt;&gt;""),AE8,"")</f>
        <v/>
      </c>
      <c r="AH8" s="79">
        <f>IF(AG8="","",IF(AG8&lt;AsOf,1,IF(AG8&lt;=AsOf+AlertDays,2,IF(AG8&lt;=AsOf+2*AlertDays,3,""))))</f>
        <v/>
      </c>
      <c r="AI8" s="79">
        <f>IF(AH8="","","Follow up with "&amp;AA8&amp;": "&amp;AC8)</f>
        <v/>
      </c>
    </row>
    <row r="9" ht="20" customHeight="1">
      <c r="B9" s="72" t="inlineStr">
        <is>
          <t>Bright Spark Electric</t>
        </is>
      </c>
      <c r="C9" s="72" t="inlineStr">
        <is>
          <t>Electrical</t>
        </is>
      </c>
      <c r="D9" s="72" t="inlineStr">
        <is>
          <t>Electrical</t>
        </is>
      </c>
      <c r="E9" s="72" t="inlineStr">
        <is>
          <t>Whole house</t>
        </is>
      </c>
      <c r="F9" s="72" t="inlineStr">
        <is>
          <t>Ahmed Karimi</t>
        </is>
      </c>
      <c r="G9" s="72" t="inlineStr">
        <is>
          <t>+31 6 4567 8901</t>
        </is>
      </c>
      <c r="H9" s="72" t="inlineStr">
        <is>
          <t>ahmed@brightspark.example</t>
        </is>
      </c>
      <c r="I9" s="73" t="n">
        <v>10500</v>
      </c>
      <c r="J9" s="75">
        <f>IF(B9="","",SUMIFS('Change Orders'!$J$7:$J$1006,'Change Orders'!$E$7:$E$1006,B9,'Change Orders'!$L$7:$L$1006,"Approved"))</f>
        <v/>
      </c>
      <c r="K9" s="76">
        <f>IF(B9="","",I9+J9)</f>
        <v/>
      </c>
      <c r="L9" s="74" t="inlineStr">
        <is>
          <t>Yes</t>
        </is>
      </c>
      <c r="M9" s="109" t="n">
        <v>46154</v>
      </c>
      <c r="N9" s="109" t="n">
        <v>46188</v>
      </c>
      <c r="O9" s="74" t="inlineStr">
        <is>
          <t>Yes</t>
        </is>
      </c>
      <c r="P9" s="74" t="inlineStr">
        <is>
          <t>No</t>
        </is>
      </c>
      <c r="Q9" s="100" t="n">
        <v>2</v>
      </c>
      <c r="R9" s="110" t="n">
        <v>0.35</v>
      </c>
      <c r="S9" s="75">
        <f>IF(B9="","",SUMIFS('Payments'!$N$6:$N$1005,'Payments'!$B$6:$B$1005,B9))</f>
        <v/>
      </c>
      <c r="T9" s="111">
        <f>IF(OR(B9="",K9=0),"",S9/K9)</f>
        <v/>
      </c>
      <c r="U9" s="78">
        <f>IF(V9="","",IF(V9=2,"⚠️ Paying ahead of work","✓ OK"))</f>
        <v/>
      </c>
      <c r="V9" s="79">
        <f>IF(T9="","",IF(T9-R9&gt;OverpayTol,2,0))</f>
        <v/>
      </c>
      <c r="W9" s="112">
        <f>IF(V9=2,AsOf,"")</f>
        <v/>
      </c>
      <c r="X9" s="79">
        <f>IF(W9="","",1)</f>
        <v/>
      </c>
      <c r="Y9" s="79">
        <f>IF(X9="","","Paying ahead of work: "&amp;B9&amp;" — paid "&amp;ROUND(T9*100,0)&amp;"%, work done "&amp;ROUND(R9*100,0)&amp;"%")</f>
        <v/>
      </c>
      <c r="AA9" s="72" t="inlineStr">
        <is>
          <t>FlowRight Plumbing</t>
        </is>
      </c>
      <c r="AB9" s="109" t="n">
        <v>46182</v>
      </c>
      <c r="AC9" s="113" t="inlineStr">
        <is>
          <t>Pipe re-routing caused delay; rough-in now late</t>
        </is>
      </c>
      <c r="AD9" s="74" t="inlineStr">
        <is>
          <t>Yes</t>
        </is>
      </c>
      <c r="AE9" s="109" t="n">
        <v>46174</v>
      </c>
      <c r="AF9" s="74" t="inlineStr">
        <is>
          <t>Yes</t>
        </is>
      </c>
      <c r="AG9" s="112">
        <f>IF(AND(AA9&lt;&gt;"",AD9="Yes",AF9&lt;&gt;"Yes",AE9&lt;&gt;""),AE9,"")</f>
        <v/>
      </c>
      <c r="AH9" s="79">
        <f>IF(AG9="","",IF(AG9&lt;AsOf,1,IF(AG9&lt;=AsOf+AlertDays,2,IF(AG9&lt;=AsOf+2*AlertDays,3,""))))</f>
        <v/>
      </c>
      <c r="AI9" s="79">
        <f>IF(AH9="","","Follow up with "&amp;AA9&amp;": "&amp;AC9)</f>
        <v/>
      </c>
    </row>
    <row r="10" ht="20" customHeight="1">
      <c r="B10" s="72" t="inlineStr">
        <is>
          <t>ClimaHeat HVAC</t>
        </is>
      </c>
      <c r="C10" s="72" t="inlineStr">
        <is>
          <t>Heat pump &amp; ventilation</t>
        </is>
      </c>
      <c r="D10" s="72" t="inlineStr">
        <is>
          <t>HVAC</t>
        </is>
      </c>
      <c r="E10" s="72" t="inlineStr">
        <is>
          <t>Whole house</t>
        </is>
      </c>
      <c r="F10" s="72" t="inlineStr">
        <is>
          <t>Eva Jansen</t>
        </is>
      </c>
      <c r="G10" s="72" t="inlineStr">
        <is>
          <t>+31 6 5678 9012</t>
        </is>
      </c>
      <c r="H10" s="72" t="inlineStr">
        <is>
          <t>eva@climaheat.example</t>
        </is>
      </c>
      <c r="I10" s="73" t="n">
        <v>9300</v>
      </c>
      <c r="J10" s="75">
        <f>IF(B10="","",SUMIFS('Change Orders'!$J$7:$J$1006,'Change Orders'!$E$7:$E$1006,B10,'Change Orders'!$L$7:$L$1006,"Approved"))</f>
        <v/>
      </c>
      <c r="K10" s="76">
        <f>IF(B10="","",I10+J10)</f>
        <v/>
      </c>
      <c r="L10" s="74" t="inlineStr">
        <is>
          <t>Yes</t>
        </is>
      </c>
      <c r="M10" s="109" t="n">
        <v>46179</v>
      </c>
      <c r="N10" s="109" t="n">
        <v>46188</v>
      </c>
      <c r="O10" s="74" t="inlineStr">
        <is>
          <t>Yes</t>
        </is>
      </c>
      <c r="P10" s="74" t="inlineStr">
        <is>
          <t>Yes</t>
        </is>
      </c>
      <c r="Q10" s="100" t="n">
        <v>5</v>
      </c>
      <c r="R10" s="110" t="n">
        <v>0.25</v>
      </c>
      <c r="S10" s="75">
        <f>IF(B10="","",SUMIFS('Payments'!$N$6:$N$1005,'Payments'!$B$6:$B$1005,B10))</f>
        <v/>
      </c>
      <c r="T10" s="111">
        <f>IF(OR(B10="",K10=0),"",S10/K10)</f>
        <v/>
      </c>
      <c r="U10" s="78">
        <f>IF(V10="","",IF(V10=2,"⚠️ Paying ahead of work","✓ OK"))</f>
        <v/>
      </c>
      <c r="V10" s="79">
        <f>IF(T10="","",IF(T10-R10&gt;OverpayTol,2,0))</f>
        <v/>
      </c>
      <c r="W10" s="112">
        <f>IF(V10=2,AsOf,"")</f>
        <v/>
      </c>
      <c r="X10" s="79">
        <f>IF(W10="","",1)</f>
        <v/>
      </c>
      <c r="Y10" s="79">
        <f>IF(X10="","","Paying ahead of work: "&amp;B10&amp;" — paid "&amp;ROUND(T10*100,0)&amp;"%, work done "&amp;ROUND(R10*100,0)&amp;"%")</f>
        <v/>
      </c>
      <c r="AA10" s="72" t="n"/>
      <c r="AB10" s="109" t="n"/>
      <c r="AC10" s="113" t="n"/>
      <c r="AD10" s="74" t="n"/>
      <c r="AE10" s="109" t="n"/>
      <c r="AF10" s="74" t="n"/>
      <c r="AG10" s="112">
        <f>IF(AND(AA10&lt;&gt;"",AD10="Yes",AF10&lt;&gt;"Yes",AE10&lt;&gt;""),AE10,"")</f>
        <v/>
      </c>
      <c r="AH10" s="79">
        <f>IF(AG10="","",IF(AG10&lt;AsOf,1,IF(AG10&lt;=AsOf+AlertDays,2,IF(AG10&lt;=AsOf+2*AlertDays,3,""))))</f>
        <v/>
      </c>
      <c r="AI10" s="79">
        <f>IF(AH10="","","Follow up with "&amp;AA10&amp;": "&amp;AC10)</f>
        <v/>
      </c>
    </row>
    <row r="11" ht="20" customHeight="1">
      <c r="B11" s="72" t="inlineStr">
        <is>
          <t>ClearView Windows</t>
        </is>
      </c>
      <c r="C11" s="72" t="inlineStr">
        <is>
          <t>Windows &amp; doors</t>
        </is>
      </c>
      <c r="D11" s="72" t="inlineStr">
        <is>
          <t>Windows &amp; doors</t>
        </is>
      </c>
      <c r="E11" s="72" t="inlineStr">
        <is>
          <t>Whole house</t>
        </is>
      </c>
      <c r="F11" s="72" t="inlineStr">
        <is>
          <t>Pieter Smit</t>
        </is>
      </c>
      <c r="G11" s="72" t="inlineStr">
        <is>
          <t>+31 6 6789 0123</t>
        </is>
      </c>
      <c r="H11" s="72" t="inlineStr">
        <is>
          <t>pieter@clearview.example</t>
        </is>
      </c>
      <c r="I11" s="73" t="n">
        <v>12400</v>
      </c>
      <c r="J11" s="75">
        <f>IF(B11="","",SUMIFS('Change Orders'!$J$7:$J$1006,'Change Orders'!$E$7:$E$1006,B11,'Change Orders'!$L$7:$L$1006,"Approved"))</f>
        <v/>
      </c>
      <c r="K11" s="76">
        <f>IF(B11="","",I11+J11)</f>
        <v/>
      </c>
      <c r="L11" s="74" t="inlineStr">
        <is>
          <t>Yes</t>
        </is>
      </c>
      <c r="M11" s="109" t="n">
        <v>46142</v>
      </c>
      <c r="N11" s="109" t="n">
        <v>46149</v>
      </c>
      <c r="O11" s="74" t="inlineStr">
        <is>
          <t>Yes</t>
        </is>
      </c>
      <c r="P11" s="74" t="inlineStr">
        <is>
          <t>Yes</t>
        </is>
      </c>
      <c r="Q11" s="100" t="n">
        <v>10</v>
      </c>
      <c r="R11" s="110" t="n">
        <v>0.9</v>
      </c>
      <c r="S11" s="75">
        <f>IF(B11="","",SUMIFS('Payments'!$N$6:$N$1005,'Payments'!$B$6:$B$1005,B11))</f>
        <v/>
      </c>
      <c r="T11" s="111">
        <f>IF(OR(B11="",K11=0),"",S11/K11)</f>
        <v/>
      </c>
      <c r="U11" s="78">
        <f>IF(V11="","",IF(V11=2,"⚠️ Paying ahead of work","✓ OK"))</f>
        <v/>
      </c>
      <c r="V11" s="79">
        <f>IF(T11="","",IF(T11-R11&gt;OverpayTol,2,0))</f>
        <v/>
      </c>
      <c r="W11" s="112">
        <f>IF(V11=2,AsOf,"")</f>
        <v/>
      </c>
      <c r="X11" s="79">
        <f>IF(W11="","",1)</f>
        <v/>
      </c>
      <c r="Y11" s="79">
        <f>IF(X11="","","Paying ahead of work: "&amp;B11&amp;" — paid "&amp;ROUND(T11*100,0)&amp;"%, work done "&amp;ROUND(R11*100,0)&amp;"%")</f>
        <v/>
      </c>
      <c r="AA11" s="72" t="n"/>
      <c r="AB11" s="109" t="n"/>
      <c r="AC11" s="113" t="n"/>
      <c r="AD11" s="74" t="n"/>
      <c r="AE11" s="109" t="n"/>
      <c r="AF11" s="74" t="n"/>
      <c r="AG11" s="112">
        <f>IF(AND(AA11&lt;&gt;"",AD11="Yes",AF11&lt;&gt;"Yes",AE11&lt;&gt;""),AE11,"")</f>
        <v/>
      </c>
      <c r="AH11" s="79">
        <f>IF(AG11="","",IF(AG11&lt;AsOf,1,IF(AG11&lt;=AsOf+AlertDays,2,IF(AG11&lt;=AsOf+2*AlertDays,3,""))))</f>
        <v/>
      </c>
      <c r="AI11" s="79">
        <f>IF(AH11="","","Follow up with "&amp;AA11&amp;": "&amp;AC11)</f>
        <v/>
      </c>
    </row>
    <row r="12" ht="20" customHeight="1">
      <c r="B12" s="72" t="inlineStr">
        <is>
          <t>Nordic Kitchens</t>
        </is>
      </c>
      <c r="C12" s="72" t="inlineStr">
        <is>
          <t>Kitchen supply &amp; install</t>
        </is>
      </c>
      <c r="D12" s="72" t="inlineStr">
        <is>
          <t>Kitchen</t>
        </is>
      </c>
      <c r="E12" s="72" t="inlineStr">
        <is>
          <t>Kitchen</t>
        </is>
      </c>
      <c r="F12" s="72" t="inlineStr">
        <is>
          <t>Sofie Berg</t>
        </is>
      </c>
      <c r="G12" s="72" t="inlineStr">
        <is>
          <t>+31 6 7890 1234</t>
        </is>
      </c>
      <c r="H12" s="72" t="inlineStr">
        <is>
          <t>sofie@nordickitchens.example</t>
        </is>
      </c>
      <c r="I12" s="73" t="n">
        <v>19400</v>
      </c>
      <c r="J12" s="75">
        <f>IF(B12="","",SUMIFS('Change Orders'!$J$7:$J$1006,'Change Orders'!$E$7:$E$1006,B12,'Change Orders'!$L$7:$L$1006,"Approved"))</f>
        <v/>
      </c>
      <c r="K12" s="76">
        <f>IF(B12="","",I12+J12)</f>
        <v/>
      </c>
      <c r="L12" s="74" t="inlineStr">
        <is>
          <t>Yes</t>
        </is>
      </c>
      <c r="M12" s="109" t="n">
        <v>46205</v>
      </c>
      <c r="N12" s="109" t="n">
        <v>46216</v>
      </c>
      <c r="O12" s="74" t="inlineStr">
        <is>
          <t>Yes</t>
        </is>
      </c>
      <c r="P12" s="74" t="inlineStr">
        <is>
          <t>Yes</t>
        </is>
      </c>
      <c r="Q12" s="100" t="n">
        <v>5</v>
      </c>
      <c r="R12" s="110" t="n">
        <v>0</v>
      </c>
      <c r="S12" s="75">
        <f>IF(B12="","",SUMIFS('Payments'!$N$6:$N$1005,'Payments'!$B$6:$B$1005,B12))</f>
        <v/>
      </c>
      <c r="T12" s="111">
        <f>IF(OR(B12="",K12=0),"",S12/K12)</f>
        <v/>
      </c>
      <c r="U12" s="78">
        <f>IF(V12="","",IF(V12=2,"⚠️ Paying ahead of work","✓ OK"))</f>
        <v/>
      </c>
      <c r="V12" s="79">
        <f>IF(T12="","",IF(T12-R12&gt;OverpayTol,2,0))</f>
        <v/>
      </c>
      <c r="W12" s="112">
        <f>IF(V12=2,AsOf,"")</f>
        <v/>
      </c>
      <c r="X12" s="79">
        <f>IF(W12="","",1)</f>
        <v/>
      </c>
      <c r="Y12" s="79">
        <f>IF(X12="","","Paying ahead of work: "&amp;B12&amp;" — paid "&amp;ROUND(T12*100,0)&amp;"%, work done "&amp;ROUND(R12*100,0)&amp;"%")</f>
        <v/>
      </c>
      <c r="AA12" s="72" t="n"/>
      <c r="AB12" s="109" t="n"/>
      <c r="AC12" s="113" t="n"/>
      <c r="AD12" s="74" t="n"/>
      <c r="AE12" s="109" t="n"/>
      <c r="AF12" s="74" t="n"/>
      <c r="AG12" s="112">
        <f>IF(AND(AA12&lt;&gt;"",AD12="Yes",AF12&lt;&gt;"Yes",AE12&lt;&gt;""),AE12,"")</f>
        <v/>
      </c>
      <c r="AH12" s="79">
        <f>IF(AG12="","",IF(AG12&lt;AsOf,1,IF(AG12&lt;=AsOf+AlertDays,2,IF(AG12&lt;=AsOf+2*AlertDays,3,""))))</f>
        <v/>
      </c>
      <c r="AI12" s="79">
        <f>IF(AH12="","","Follow up with "&amp;AA12&amp;": "&amp;AC12)</f>
        <v/>
      </c>
    </row>
    <row r="13" ht="20" customHeight="1">
      <c r="B13" s="72" t="inlineStr">
        <is>
          <t>Aqua Bath Studio</t>
        </is>
      </c>
      <c r="C13" s="72" t="inlineStr">
        <is>
          <t>Bathroom fit-out</t>
        </is>
      </c>
      <c r="D13" s="72" t="inlineStr">
        <is>
          <t>Bathrooms</t>
        </is>
      </c>
      <c r="E13" s="72" t="inlineStr">
        <is>
          <t>Bathroom 1</t>
        </is>
      </c>
      <c r="F13" s="72" t="inlineStr">
        <is>
          <t>Luca Romano</t>
        </is>
      </c>
      <c r="G13" s="72" t="inlineStr">
        <is>
          <t>+31 6 8901 2345</t>
        </is>
      </c>
      <c r="H13" s="72" t="inlineStr">
        <is>
          <t>luca@aquabath.example</t>
        </is>
      </c>
      <c r="I13" s="73" t="n">
        <v>11200</v>
      </c>
      <c r="J13" s="75">
        <f>IF(B13="","",SUMIFS('Change Orders'!$J$7:$J$1006,'Change Orders'!$E$7:$E$1006,B13,'Change Orders'!$L$7:$L$1006,"Approved"))</f>
        <v/>
      </c>
      <c r="K13" s="76">
        <f>IF(B13="","",I13+J13)</f>
        <v/>
      </c>
      <c r="L13" s="74" t="inlineStr">
        <is>
          <t>Yes</t>
        </is>
      </c>
      <c r="M13" s="109" t="n">
        <v>46205</v>
      </c>
      <c r="N13" s="109" t="n">
        <v>46229</v>
      </c>
      <c r="O13" s="74" t="inlineStr">
        <is>
          <t>Yes</t>
        </is>
      </c>
      <c r="P13" s="74" t="inlineStr">
        <is>
          <t>Yes</t>
        </is>
      </c>
      <c r="Q13" s="100" t="n">
        <v>5</v>
      </c>
      <c r="R13" s="110" t="n">
        <v>0</v>
      </c>
      <c r="S13" s="75">
        <f>IF(B13="","",SUMIFS('Payments'!$N$6:$N$1005,'Payments'!$B$6:$B$1005,B13))</f>
        <v/>
      </c>
      <c r="T13" s="111">
        <f>IF(OR(B13="",K13=0),"",S13/K13)</f>
        <v/>
      </c>
      <c r="U13" s="78">
        <f>IF(V13="","",IF(V13=2,"⚠️ Paying ahead of work","✓ OK"))</f>
        <v/>
      </c>
      <c r="V13" s="79">
        <f>IF(T13="","",IF(T13-R13&gt;OverpayTol,2,0))</f>
        <v/>
      </c>
      <c r="W13" s="112">
        <f>IF(V13=2,AsOf,"")</f>
        <v/>
      </c>
      <c r="X13" s="79">
        <f>IF(W13="","",1)</f>
        <v/>
      </c>
      <c r="Y13" s="79">
        <f>IF(X13="","","Paying ahead of work: "&amp;B13&amp;" — paid "&amp;ROUND(T13*100,0)&amp;"%, work done "&amp;ROUND(R13*100,0)&amp;"%")</f>
        <v/>
      </c>
      <c r="AA13" s="72" t="n"/>
      <c r="AB13" s="109" t="n"/>
      <c r="AC13" s="113" t="n"/>
      <c r="AD13" s="74" t="n"/>
      <c r="AE13" s="109" t="n"/>
      <c r="AF13" s="74" t="n"/>
      <c r="AG13" s="112">
        <f>IF(AND(AA13&lt;&gt;"",AD13="Yes",AF13&lt;&gt;"Yes",AE13&lt;&gt;""),AE13,"")</f>
        <v/>
      </c>
      <c r="AH13" s="79">
        <f>IF(AG13="","",IF(AG13&lt;AsOf,1,IF(AG13&lt;=AsOf+AlertDays,2,IF(AG13&lt;=AsOf+2*AlertDays,3,""))))</f>
        <v/>
      </c>
      <c r="AI13" s="79">
        <f>IF(AH13="","","Follow up with "&amp;AA13&amp;": "&amp;AC13)</f>
        <v/>
      </c>
    </row>
    <row r="14" ht="20" customHeight="1">
      <c r="B14" s="72" t="inlineStr">
        <is>
          <t>GreenPlan Architects</t>
        </is>
      </c>
      <c r="C14" s="72" t="inlineStr">
        <is>
          <t>Architect &amp; permits</t>
        </is>
      </c>
      <c r="D14" s="72" t="inlineStr">
        <is>
          <t>Professional fees</t>
        </is>
      </c>
      <c r="E14" s="72" t="inlineStr">
        <is>
          <t>Whole house</t>
        </is>
      </c>
      <c r="F14" s="72" t="inlineStr">
        <is>
          <t>Nina Visser</t>
        </is>
      </c>
      <c r="G14" s="72" t="inlineStr">
        <is>
          <t>+31 6 9012 3456</t>
        </is>
      </c>
      <c r="H14" s="72" t="inlineStr">
        <is>
          <t>nina@greenplan.example</t>
        </is>
      </c>
      <c r="I14" s="73" t="n">
        <v>4800</v>
      </c>
      <c r="J14" s="75">
        <f>IF(B14="","",SUMIFS('Change Orders'!$J$7:$J$1006,'Change Orders'!$E$7:$E$1006,B14,'Change Orders'!$L$7:$L$1006,"Approved"))</f>
        <v/>
      </c>
      <c r="K14" s="76">
        <f>IF(B14="","",I14+J14)</f>
        <v/>
      </c>
      <c r="L14" s="74" t="inlineStr">
        <is>
          <t>Yes</t>
        </is>
      </c>
      <c r="M14" s="109" t="n">
        <v>46083</v>
      </c>
      <c r="N14" s="109" t="n">
        <v>46248</v>
      </c>
      <c r="O14" s="74" t="inlineStr">
        <is>
          <t>Yes</t>
        </is>
      </c>
      <c r="P14" s="74" t="inlineStr">
        <is>
          <t>Yes</t>
        </is>
      </c>
      <c r="Q14" s="100" t="n">
        <v>0</v>
      </c>
      <c r="R14" s="110" t="n">
        <v>0.75</v>
      </c>
      <c r="S14" s="75">
        <f>IF(B14="","",SUMIFS('Payments'!$N$6:$N$1005,'Payments'!$B$6:$B$1005,B14))</f>
        <v/>
      </c>
      <c r="T14" s="111">
        <f>IF(OR(B14="",K14=0),"",S14/K14)</f>
        <v/>
      </c>
      <c r="U14" s="78">
        <f>IF(V14="","",IF(V14=2,"⚠️ Paying ahead of work","✓ OK"))</f>
        <v/>
      </c>
      <c r="V14" s="79">
        <f>IF(T14="","",IF(T14-R14&gt;OverpayTol,2,0))</f>
        <v/>
      </c>
      <c r="W14" s="112">
        <f>IF(V14=2,AsOf,"")</f>
        <v/>
      </c>
      <c r="X14" s="79">
        <f>IF(W14="","",1)</f>
        <v/>
      </c>
      <c r="Y14" s="79">
        <f>IF(X14="","","Paying ahead of work: "&amp;B14&amp;" — paid "&amp;ROUND(T14*100,0)&amp;"%, work done "&amp;ROUND(R14*100,0)&amp;"%")</f>
        <v/>
      </c>
      <c r="AA14" s="72" t="n"/>
      <c r="AB14" s="109" t="n"/>
      <c r="AC14" s="113" t="n"/>
      <c r="AD14" s="74" t="n"/>
      <c r="AE14" s="109" t="n"/>
      <c r="AF14" s="74" t="n"/>
      <c r="AG14" s="112">
        <f>IF(AND(AA14&lt;&gt;"",AD14="Yes",AF14&lt;&gt;"Yes",AE14&lt;&gt;""),AE14,"")</f>
        <v/>
      </c>
      <c r="AH14" s="79">
        <f>IF(AG14="","",IF(AG14&lt;AsOf,1,IF(AG14&lt;=AsOf+AlertDays,2,IF(AG14&lt;=AsOf+2*AlertDays,3,""))))</f>
        <v/>
      </c>
      <c r="AI14" s="79">
        <f>IF(AH14="","","Follow up with "&amp;AA14&amp;": "&amp;AC14)</f>
        <v/>
      </c>
    </row>
    <row r="15" ht="20" customHeight="1">
      <c r="B15" s="72" t="inlineStr">
        <is>
          <t>Finish Line Painters</t>
        </is>
      </c>
      <c r="C15" s="72" t="inlineStr">
        <is>
          <t>Painting &amp; decorating</t>
        </is>
      </c>
      <c r="D15" s="72" t="inlineStr">
        <is>
          <t>Painting</t>
        </is>
      </c>
      <c r="E15" s="72" t="inlineStr">
        <is>
          <t>Whole house</t>
        </is>
      </c>
      <c r="F15" s="72" t="inlineStr">
        <is>
          <t>Johan Bakker</t>
        </is>
      </c>
      <c r="G15" s="72" t="inlineStr">
        <is>
          <t>+31 6 0123 4567</t>
        </is>
      </c>
      <c r="H15" s="72" t="inlineStr">
        <is>
          <t>johan@finishline.example</t>
        </is>
      </c>
      <c r="I15" s="73" t="n">
        <v>4700</v>
      </c>
      <c r="J15" s="75">
        <f>IF(B15="","",SUMIFS('Change Orders'!$J$7:$J$1006,'Change Orders'!$E$7:$E$1006,B15,'Change Orders'!$L$7:$L$1006,"Approved"))</f>
        <v/>
      </c>
      <c r="K15" s="76">
        <f>IF(B15="","",I15+J15)</f>
        <v/>
      </c>
      <c r="L15" s="74" t="inlineStr">
        <is>
          <t>No</t>
        </is>
      </c>
      <c r="M15" s="109" t="n"/>
      <c r="N15" s="109" t="n"/>
      <c r="O15" s="74" t="inlineStr">
        <is>
          <t>Yes</t>
        </is>
      </c>
      <c r="P15" s="74" t="inlineStr">
        <is>
          <t>Yes</t>
        </is>
      </c>
      <c r="Q15" s="100" t="n">
        <v>2</v>
      </c>
      <c r="R15" s="110" t="n">
        <v>0</v>
      </c>
      <c r="S15" s="75">
        <f>IF(B15="","",SUMIFS('Payments'!$N$6:$N$1005,'Payments'!$B$6:$B$1005,B15))</f>
        <v/>
      </c>
      <c r="T15" s="111">
        <f>IF(OR(B15="",K15=0),"",S15/K15)</f>
        <v/>
      </c>
      <c r="U15" s="78">
        <f>IF(V15="","",IF(V15=2,"⚠️ Paying ahead of work","✓ OK"))</f>
        <v/>
      </c>
      <c r="V15" s="79">
        <f>IF(T15="","",IF(T15-R15&gt;OverpayTol,2,0))</f>
        <v/>
      </c>
      <c r="W15" s="112">
        <f>IF(V15=2,AsOf,"")</f>
        <v/>
      </c>
      <c r="X15" s="79">
        <f>IF(W15="","",1)</f>
        <v/>
      </c>
      <c r="Y15" s="79">
        <f>IF(X15="","","Paying ahead of work: "&amp;B15&amp;" — paid "&amp;ROUND(T15*100,0)&amp;"%, work done "&amp;ROUND(R15*100,0)&amp;"%")</f>
        <v/>
      </c>
      <c r="AA15" s="72" t="n"/>
      <c r="AB15" s="109" t="n"/>
      <c r="AC15" s="113" t="n"/>
      <c r="AD15" s="74" t="n"/>
      <c r="AE15" s="109" t="n"/>
      <c r="AF15" s="74" t="n"/>
      <c r="AG15" s="112">
        <f>IF(AND(AA15&lt;&gt;"",AD15="Yes",AF15&lt;&gt;"Yes",AE15&lt;&gt;""),AE15,"")</f>
        <v/>
      </c>
      <c r="AH15" s="79">
        <f>IF(AG15="","",IF(AG15&lt;AsOf,1,IF(AG15&lt;=AsOf+AlertDays,2,IF(AG15&lt;=AsOf+2*AlertDays,3,""))))</f>
        <v/>
      </c>
      <c r="AI15" s="79">
        <f>IF(AH15="","","Follow up with "&amp;AA15&amp;": "&amp;AC15)</f>
        <v/>
      </c>
    </row>
    <row r="16" ht="20" customHeight="1">
      <c r="B16" s="72" t="inlineStr">
        <is>
          <t>Oak &amp; Plank Flooring</t>
        </is>
      </c>
      <c r="C16" s="72" t="inlineStr">
        <is>
          <t>Flooring</t>
        </is>
      </c>
      <c r="D16" s="72" t="inlineStr">
        <is>
          <t>Flooring</t>
        </is>
      </c>
      <c r="E16" s="72" t="inlineStr">
        <is>
          <t>Whole house</t>
        </is>
      </c>
      <c r="F16" s="72" t="inlineStr">
        <is>
          <t>Mila Peters</t>
        </is>
      </c>
      <c r="G16" s="72" t="inlineStr">
        <is>
          <t>+31 6 1122 3344</t>
        </is>
      </c>
      <c r="H16" s="72" t="inlineStr">
        <is>
          <t>mila@oakplank.example</t>
        </is>
      </c>
      <c r="I16" s="73" t="n"/>
      <c r="J16" s="75">
        <f>IF(B16="","",SUMIFS('Change Orders'!$J$7:$J$1006,'Change Orders'!$E$7:$E$1006,B16,'Change Orders'!$L$7:$L$1006,"Approved"))</f>
        <v/>
      </c>
      <c r="K16" s="76">
        <f>IF(B16="","",I16+J16)</f>
        <v/>
      </c>
      <c r="L16" s="74" t="inlineStr">
        <is>
          <t>No</t>
        </is>
      </c>
      <c r="M16" s="109" t="n"/>
      <c r="N16" s="109" t="n"/>
      <c r="O16" s="74" t="inlineStr">
        <is>
          <t>Yes</t>
        </is>
      </c>
      <c r="P16" s="74" t="inlineStr">
        <is>
          <t>Yes</t>
        </is>
      </c>
      <c r="Q16" s="100" t="n">
        <v>10</v>
      </c>
      <c r="R16" s="110" t="n"/>
      <c r="S16" s="75">
        <f>IF(B16="","",SUMIFS('Payments'!$N$6:$N$1005,'Payments'!$B$6:$B$1005,B16))</f>
        <v/>
      </c>
      <c r="T16" s="111">
        <f>IF(OR(B16="",K16=0),"",S16/K16)</f>
        <v/>
      </c>
      <c r="U16" s="78">
        <f>IF(V16="","",IF(V16=2,"⚠️ Paying ahead of work","✓ OK"))</f>
        <v/>
      </c>
      <c r="V16" s="79">
        <f>IF(T16="","",IF(T16-R16&gt;OverpayTol,2,0))</f>
        <v/>
      </c>
      <c r="W16" s="112">
        <f>IF(V16=2,AsOf,"")</f>
        <v/>
      </c>
      <c r="X16" s="79">
        <f>IF(W16="","",1)</f>
        <v/>
      </c>
      <c r="Y16" s="79">
        <f>IF(X16="","","Paying ahead of work: "&amp;B16&amp;" — paid "&amp;ROUND(T16*100,0)&amp;"%, work done "&amp;ROUND(R16*100,0)&amp;"%")</f>
        <v/>
      </c>
      <c r="AA16" s="72" t="n"/>
      <c r="AB16" s="109" t="n"/>
      <c r="AC16" s="113" t="n"/>
      <c r="AD16" s="74" t="n"/>
      <c r="AE16" s="109" t="n"/>
      <c r="AF16" s="74" t="n"/>
      <c r="AG16" s="112">
        <f>IF(AND(AA16&lt;&gt;"",AD16="Yes",AF16&lt;&gt;"Yes",AE16&lt;&gt;""),AE16,"")</f>
        <v/>
      </c>
      <c r="AH16" s="79">
        <f>IF(AG16="","",IF(AG16&lt;AsOf,1,IF(AG16&lt;=AsOf+AlertDays,2,IF(AG16&lt;=AsOf+2*AlertDays,3,""))))</f>
        <v/>
      </c>
      <c r="AI16" s="79">
        <f>IF(AH16="","","Follow up with "&amp;AA16&amp;": "&amp;AC16)</f>
        <v/>
      </c>
    </row>
    <row r="17" ht="20" customHeight="1">
      <c r="B17" s="72" t="n"/>
      <c r="C17" s="72" t="n"/>
      <c r="D17" s="72" t="n"/>
      <c r="E17" s="72" t="n"/>
      <c r="F17" s="72" t="n"/>
      <c r="G17" s="72" t="n"/>
      <c r="H17" s="72" t="n"/>
      <c r="I17" s="73" t="n"/>
      <c r="J17" s="75">
        <f>IF(B17="","",SUMIFS('Change Orders'!$J$7:$J$1006,'Change Orders'!$E$7:$E$1006,B17,'Change Orders'!$L$7:$L$1006,"Approved"))</f>
        <v/>
      </c>
      <c r="K17" s="76">
        <f>IF(B17="","",I17+J17)</f>
        <v/>
      </c>
      <c r="L17" s="74" t="n"/>
      <c r="M17" s="109" t="n"/>
      <c r="N17" s="109" t="n"/>
      <c r="O17" s="74" t="n"/>
      <c r="P17" s="74" t="n"/>
      <c r="Q17" s="100" t="n"/>
      <c r="R17" s="110" t="n"/>
      <c r="S17" s="75">
        <f>IF(B17="","",SUMIFS('Payments'!$N$6:$N$1005,'Payments'!$B$6:$B$1005,B17))</f>
        <v/>
      </c>
      <c r="T17" s="111">
        <f>IF(OR(B17="",K17=0),"",S17/K17)</f>
        <v/>
      </c>
      <c r="U17" s="78">
        <f>IF(V17="","",IF(V17=2,"⚠️ Paying ahead of work","✓ OK"))</f>
        <v/>
      </c>
      <c r="V17" s="79">
        <f>IF(T17="","",IF(T17-R17&gt;OverpayTol,2,0))</f>
        <v/>
      </c>
      <c r="W17" s="112">
        <f>IF(V17=2,AsOf,"")</f>
        <v/>
      </c>
      <c r="X17" s="79">
        <f>IF(W17="","",1)</f>
        <v/>
      </c>
      <c r="Y17" s="79">
        <f>IF(X17="","","Paying ahead of work: "&amp;B17&amp;" — paid "&amp;ROUND(T17*100,0)&amp;"%, work done "&amp;ROUND(R17*100,0)&amp;"%")</f>
        <v/>
      </c>
      <c r="AA17" s="72" t="n"/>
      <c r="AB17" s="109" t="n"/>
      <c r="AC17" s="113" t="n"/>
      <c r="AD17" s="74" t="n"/>
      <c r="AE17" s="109" t="n"/>
      <c r="AF17" s="74" t="n"/>
      <c r="AG17" s="112">
        <f>IF(AND(AA17&lt;&gt;"",AD17="Yes",AF17&lt;&gt;"Yes",AE17&lt;&gt;""),AE17,"")</f>
        <v/>
      </c>
      <c r="AH17" s="79">
        <f>IF(AG17="","",IF(AG17&lt;AsOf,1,IF(AG17&lt;=AsOf+AlertDays,2,IF(AG17&lt;=AsOf+2*AlertDays,3,""))))</f>
        <v/>
      </c>
      <c r="AI17" s="79">
        <f>IF(AH17="","","Follow up with "&amp;AA17&amp;": "&amp;AC17)</f>
        <v/>
      </c>
    </row>
    <row r="18" ht="20" customHeight="1">
      <c r="B18" s="72" t="n"/>
      <c r="C18" s="72" t="n"/>
      <c r="D18" s="72" t="n"/>
      <c r="E18" s="72" t="n"/>
      <c r="F18" s="72" t="n"/>
      <c r="G18" s="72" t="n"/>
      <c r="H18" s="72" t="n"/>
      <c r="I18" s="73" t="n"/>
      <c r="J18" s="75">
        <f>IF(B18="","",SUMIFS('Change Orders'!$J$7:$J$1006,'Change Orders'!$E$7:$E$1006,B18,'Change Orders'!$L$7:$L$1006,"Approved"))</f>
        <v/>
      </c>
      <c r="K18" s="76">
        <f>IF(B18="","",I18+J18)</f>
        <v/>
      </c>
      <c r="L18" s="74" t="n"/>
      <c r="M18" s="109" t="n"/>
      <c r="N18" s="109" t="n"/>
      <c r="O18" s="74" t="n"/>
      <c r="P18" s="74" t="n"/>
      <c r="Q18" s="100" t="n"/>
      <c r="R18" s="110" t="n"/>
      <c r="S18" s="75">
        <f>IF(B18="","",SUMIFS('Payments'!$N$6:$N$1005,'Payments'!$B$6:$B$1005,B18))</f>
        <v/>
      </c>
      <c r="T18" s="111">
        <f>IF(OR(B18="",K18=0),"",S18/K18)</f>
        <v/>
      </c>
      <c r="U18" s="78">
        <f>IF(V18="","",IF(V18=2,"⚠️ Paying ahead of work","✓ OK"))</f>
        <v/>
      </c>
      <c r="V18" s="79">
        <f>IF(T18="","",IF(T18-R18&gt;OverpayTol,2,0))</f>
        <v/>
      </c>
      <c r="W18" s="112">
        <f>IF(V18=2,AsOf,"")</f>
        <v/>
      </c>
      <c r="X18" s="79">
        <f>IF(W18="","",1)</f>
        <v/>
      </c>
      <c r="Y18" s="79">
        <f>IF(X18="","","Paying ahead of work: "&amp;B18&amp;" — paid "&amp;ROUND(T18*100,0)&amp;"%, work done "&amp;ROUND(R18*100,0)&amp;"%")</f>
        <v/>
      </c>
      <c r="AA18" s="72" t="n"/>
      <c r="AB18" s="109" t="n"/>
      <c r="AC18" s="113" t="n"/>
      <c r="AD18" s="74" t="n"/>
      <c r="AE18" s="109" t="n"/>
      <c r="AF18" s="74" t="n"/>
      <c r="AG18" s="112">
        <f>IF(AND(AA18&lt;&gt;"",AD18="Yes",AF18&lt;&gt;"Yes",AE18&lt;&gt;""),AE18,"")</f>
        <v/>
      </c>
      <c r="AH18" s="79">
        <f>IF(AG18="","",IF(AG18&lt;AsOf,1,IF(AG18&lt;=AsOf+AlertDays,2,IF(AG18&lt;=AsOf+2*AlertDays,3,""))))</f>
        <v/>
      </c>
      <c r="AI18" s="79">
        <f>IF(AH18="","","Follow up with "&amp;AA18&amp;": "&amp;AC18)</f>
        <v/>
      </c>
    </row>
    <row r="19" ht="20" customHeight="1">
      <c r="B19" s="72" t="n"/>
      <c r="C19" s="72" t="n"/>
      <c r="D19" s="72" t="n"/>
      <c r="E19" s="72" t="n"/>
      <c r="F19" s="72" t="n"/>
      <c r="G19" s="72" t="n"/>
      <c r="H19" s="72" t="n"/>
      <c r="I19" s="73" t="n"/>
      <c r="J19" s="75">
        <f>IF(B19="","",SUMIFS('Change Orders'!$J$7:$J$1006,'Change Orders'!$E$7:$E$1006,B19,'Change Orders'!$L$7:$L$1006,"Approved"))</f>
        <v/>
      </c>
      <c r="K19" s="76">
        <f>IF(B19="","",I19+J19)</f>
        <v/>
      </c>
      <c r="L19" s="74" t="n"/>
      <c r="M19" s="109" t="n"/>
      <c r="N19" s="109" t="n"/>
      <c r="O19" s="74" t="n"/>
      <c r="P19" s="74" t="n"/>
      <c r="Q19" s="100" t="n"/>
      <c r="R19" s="110" t="n"/>
      <c r="S19" s="75">
        <f>IF(B19="","",SUMIFS('Payments'!$N$6:$N$1005,'Payments'!$B$6:$B$1005,B19))</f>
        <v/>
      </c>
      <c r="T19" s="111">
        <f>IF(OR(B19="",K19=0),"",S19/K19)</f>
        <v/>
      </c>
      <c r="U19" s="78">
        <f>IF(V19="","",IF(V19=2,"⚠️ Paying ahead of work","✓ OK"))</f>
        <v/>
      </c>
      <c r="V19" s="79">
        <f>IF(T19="","",IF(T19-R19&gt;OverpayTol,2,0))</f>
        <v/>
      </c>
      <c r="W19" s="112">
        <f>IF(V19=2,AsOf,"")</f>
        <v/>
      </c>
      <c r="X19" s="79">
        <f>IF(W19="","",1)</f>
        <v/>
      </c>
      <c r="Y19" s="79">
        <f>IF(X19="","","Paying ahead of work: "&amp;B19&amp;" — paid "&amp;ROUND(T19*100,0)&amp;"%, work done "&amp;ROUND(R19*100,0)&amp;"%")</f>
        <v/>
      </c>
      <c r="AA19" s="72" t="n"/>
      <c r="AB19" s="109" t="n"/>
      <c r="AC19" s="113" t="n"/>
      <c r="AD19" s="74" t="n"/>
      <c r="AE19" s="109" t="n"/>
      <c r="AF19" s="74" t="n"/>
      <c r="AG19" s="112">
        <f>IF(AND(AA19&lt;&gt;"",AD19="Yes",AF19&lt;&gt;"Yes",AE19&lt;&gt;""),AE19,"")</f>
        <v/>
      </c>
      <c r="AH19" s="79">
        <f>IF(AG19="","",IF(AG19&lt;AsOf,1,IF(AG19&lt;=AsOf+AlertDays,2,IF(AG19&lt;=AsOf+2*AlertDays,3,""))))</f>
        <v/>
      </c>
      <c r="AI19" s="79">
        <f>IF(AH19="","","Follow up with "&amp;AA19&amp;": "&amp;AC19)</f>
        <v/>
      </c>
    </row>
    <row r="20" ht="20" customHeight="1">
      <c r="B20" s="72" t="n"/>
      <c r="C20" s="72" t="n"/>
      <c r="D20" s="72" t="n"/>
      <c r="E20" s="72" t="n"/>
      <c r="F20" s="72" t="n"/>
      <c r="G20" s="72" t="n"/>
      <c r="H20" s="72" t="n"/>
      <c r="I20" s="73" t="n"/>
      <c r="J20" s="75">
        <f>IF(B20="","",SUMIFS('Change Orders'!$J$7:$J$1006,'Change Orders'!$E$7:$E$1006,B20,'Change Orders'!$L$7:$L$1006,"Approved"))</f>
        <v/>
      </c>
      <c r="K20" s="76">
        <f>IF(B20="","",I20+J20)</f>
        <v/>
      </c>
      <c r="L20" s="74" t="n"/>
      <c r="M20" s="109" t="n"/>
      <c r="N20" s="109" t="n"/>
      <c r="O20" s="74" t="n"/>
      <c r="P20" s="74" t="n"/>
      <c r="Q20" s="100" t="n"/>
      <c r="R20" s="110" t="n"/>
      <c r="S20" s="75">
        <f>IF(B20="","",SUMIFS('Payments'!$N$6:$N$1005,'Payments'!$B$6:$B$1005,B20))</f>
        <v/>
      </c>
      <c r="T20" s="111">
        <f>IF(OR(B20="",K20=0),"",S20/K20)</f>
        <v/>
      </c>
      <c r="U20" s="78">
        <f>IF(V20="","",IF(V20=2,"⚠️ Paying ahead of work","✓ OK"))</f>
        <v/>
      </c>
      <c r="V20" s="79">
        <f>IF(T20="","",IF(T20-R20&gt;OverpayTol,2,0))</f>
        <v/>
      </c>
      <c r="W20" s="112">
        <f>IF(V20=2,AsOf,"")</f>
        <v/>
      </c>
      <c r="X20" s="79">
        <f>IF(W20="","",1)</f>
        <v/>
      </c>
      <c r="Y20" s="79">
        <f>IF(X20="","","Paying ahead of work: "&amp;B20&amp;" — paid "&amp;ROUND(T20*100,0)&amp;"%, work done "&amp;ROUND(R20*100,0)&amp;"%")</f>
        <v/>
      </c>
      <c r="AA20" s="72" t="n"/>
      <c r="AB20" s="109" t="n"/>
      <c r="AC20" s="113" t="n"/>
      <c r="AD20" s="74" t="n"/>
      <c r="AE20" s="109" t="n"/>
      <c r="AF20" s="74" t="n"/>
      <c r="AG20" s="112">
        <f>IF(AND(AA20&lt;&gt;"",AD20="Yes",AF20&lt;&gt;"Yes",AE20&lt;&gt;""),AE20,"")</f>
        <v/>
      </c>
      <c r="AH20" s="79">
        <f>IF(AG20="","",IF(AG20&lt;AsOf,1,IF(AG20&lt;=AsOf+AlertDays,2,IF(AG20&lt;=AsOf+2*AlertDays,3,""))))</f>
        <v/>
      </c>
      <c r="AI20" s="79">
        <f>IF(AH20="","","Follow up with "&amp;AA20&amp;": "&amp;AC20)</f>
        <v/>
      </c>
    </row>
    <row r="21" ht="20" customHeight="1">
      <c r="B21" s="72" t="n"/>
      <c r="C21" s="72" t="n"/>
      <c r="D21" s="72" t="n"/>
      <c r="E21" s="72" t="n"/>
      <c r="F21" s="72" t="n"/>
      <c r="G21" s="72" t="n"/>
      <c r="H21" s="72" t="n"/>
      <c r="I21" s="73" t="n"/>
      <c r="J21" s="75">
        <f>IF(B21="","",SUMIFS('Change Orders'!$J$7:$J$1006,'Change Orders'!$E$7:$E$1006,B21,'Change Orders'!$L$7:$L$1006,"Approved"))</f>
        <v/>
      </c>
      <c r="K21" s="76">
        <f>IF(B21="","",I21+J21)</f>
        <v/>
      </c>
      <c r="L21" s="74" t="n"/>
      <c r="M21" s="109" t="n"/>
      <c r="N21" s="109" t="n"/>
      <c r="O21" s="74" t="n"/>
      <c r="P21" s="74" t="n"/>
      <c r="Q21" s="100" t="n"/>
      <c r="R21" s="110" t="n"/>
      <c r="S21" s="75">
        <f>IF(B21="","",SUMIFS('Payments'!$N$6:$N$1005,'Payments'!$B$6:$B$1005,B21))</f>
        <v/>
      </c>
      <c r="T21" s="111">
        <f>IF(OR(B21="",K21=0),"",S21/K21)</f>
        <v/>
      </c>
      <c r="U21" s="78">
        <f>IF(V21="","",IF(V21=2,"⚠️ Paying ahead of work","✓ OK"))</f>
        <v/>
      </c>
      <c r="V21" s="79">
        <f>IF(T21="","",IF(T21-R21&gt;OverpayTol,2,0))</f>
        <v/>
      </c>
      <c r="W21" s="112">
        <f>IF(V21=2,AsOf,"")</f>
        <v/>
      </c>
      <c r="X21" s="79">
        <f>IF(W21="","",1)</f>
        <v/>
      </c>
      <c r="Y21" s="79">
        <f>IF(X21="","","Paying ahead of work: "&amp;B21&amp;" — paid "&amp;ROUND(T21*100,0)&amp;"%, work done "&amp;ROUND(R21*100,0)&amp;"%")</f>
        <v/>
      </c>
      <c r="AA21" s="72" t="n"/>
      <c r="AB21" s="109" t="n"/>
      <c r="AC21" s="113" t="n"/>
      <c r="AD21" s="74" t="n"/>
      <c r="AE21" s="109" t="n"/>
      <c r="AF21" s="74" t="n"/>
      <c r="AG21" s="112">
        <f>IF(AND(AA21&lt;&gt;"",AD21="Yes",AF21&lt;&gt;"Yes",AE21&lt;&gt;""),AE21,"")</f>
        <v/>
      </c>
      <c r="AH21" s="79">
        <f>IF(AG21="","",IF(AG21&lt;AsOf,1,IF(AG21&lt;=AsOf+AlertDays,2,IF(AG21&lt;=AsOf+2*AlertDays,3,""))))</f>
        <v/>
      </c>
      <c r="AI21" s="79">
        <f>IF(AH21="","","Follow up with "&amp;AA21&amp;": "&amp;AC21)</f>
        <v/>
      </c>
    </row>
    <row r="22" ht="20" customHeight="1">
      <c r="B22" s="72" t="n"/>
      <c r="C22" s="72" t="n"/>
      <c r="D22" s="72" t="n"/>
      <c r="E22" s="72" t="n"/>
      <c r="F22" s="72" t="n"/>
      <c r="G22" s="72" t="n"/>
      <c r="H22" s="72" t="n"/>
      <c r="I22" s="73" t="n"/>
      <c r="J22" s="75">
        <f>IF(B22="","",SUMIFS('Change Orders'!$J$7:$J$1006,'Change Orders'!$E$7:$E$1006,B22,'Change Orders'!$L$7:$L$1006,"Approved"))</f>
        <v/>
      </c>
      <c r="K22" s="76">
        <f>IF(B22="","",I22+J22)</f>
        <v/>
      </c>
      <c r="L22" s="74" t="n"/>
      <c r="M22" s="109" t="n"/>
      <c r="N22" s="109" t="n"/>
      <c r="O22" s="74" t="n"/>
      <c r="P22" s="74" t="n"/>
      <c r="Q22" s="100" t="n"/>
      <c r="R22" s="110" t="n"/>
      <c r="S22" s="75">
        <f>IF(B22="","",SUMIFS('Payments'!$N$6:$N$1005,'Payments'!$B$6:$B$1005,B22))</f>
        <v/>
      </c>
      <c r="T22" s="111">
        <f>IF(OR(B22="",K22=0),"",S22/K22)</f>
        <v/>
      </c>
      <c r="U22" s="78">
        <f>IF(V22="","",IF(V22=2,"⚠️ Paying ahead of work","✓ OK"))</f>
        <v/>
      </c>
      <c r="V22" s="79">
        <f>IF(T22="","",IF(T22-R22&gt;OverpayTol,2,0))</f>
        <v/>
      </c>
      <c r="W22" s="112">
        <f>IF(V22=2,AsOf,"")</f>
        <v/>
      </c>
      <c r="X22" s="79">
        <f>IF(W22="","",1)</f>
        <v/>
      </c>
      <c r="Y22" s="79">
        <f>IF(X22="","","Paying ahead of work: "&amp;B22&amp;" — paid "&amp;ROUND(T22*100,0)&amp;"%, work done "&amp;ROUND(R22*100,0)&amp;"%")</f>
        <v/>
      </c>
      <c r="AA22" s="72" t="n"/>
      <c r="AB22" s="109" t="n"/>
      <c r="AC22" s="113" t="n"/>
      <c r="AD22" s="74" t="n"/>
      <c r="AE22" s="109" t="n"/>
      <c r="AF22" s="74" t="n"/>
      <c r="AG22" s="112">
        <f>IF(AND(AA22&lt;&gt;"",AD22="Yes",AF22&lt;&gt;"Yes",AE22&lt;&gt;""),AE22,"")</f>
        <v/>
      </c>
      <c r="AH22" s="79">
        <f>IF(AG22="","",IF(AG22&lt;AsOf,1,IF(AG22&lt;=AsOf+AlertDays,2,IF(AG22&lt;=AsOf+2*AlertDays,3,""))))</f>
        <v/>
      </c>
      <c r="AI22" s="79">
        <f>IF(AH22="","","Follow up with "&amp;AA22&amp;": "&amp;AC22)</f>
        <v/>
      </c>
    </row>
    <row r="23" ht="20" customHeight="1">
      <c r="B23" s="72" t="n"/>
      <c r="C23" s="72" t="n"/>
      <c r="D23" s="72" t="n"/>
      <c r="E23" s="72" t="n"/>
      <c r="F23" s="72" t="n"/>
      <c r="G23" s="72" t="n"/>
      <c r="H23" s="72" t="n"/>
      <c r="I23" s="73" t="n"/>
      <c r="J23" s="75">
        <f>IF(B23="","",SUMIFS('Change Orders'!$J$7:$J$1006,'Change Orders'!$E$7:$E$1006,B23,'Change Orders'!$L$7:$L$1006,"Approved"))</f>
        <v/>
      </c>
      <c r="K23" s="76">
        <f>IF(B23="","",I23+J23)</f>
        <v/>
      </c>
      <c r="L23" s="74" t="n"/>
      <c r="M23" s="109" t="n"/>
      <c r="N23" s="109" t="n"/>
      <c r="O23" s="74" t="n"/>
      <c r="P23" s="74" t="n"/>
      <c r="Q23" s="100" t="n"/>
      <c r="R23" s="110" t="n"/>
      <c r="S23" s="75">
        <f>IF(B23="","",SUMIFS('Payments'!$N$6:$N$1005,'Payments'!$B$6:$B$1005,B23))</f>
        <v/>
      </c>
      <c r="T23" s="111">
        <f>IF(OR(B23="",K23=0),"",S23/K23)</f>
        <v/>
      </c>
      <c r="U23" s="78">
        <f>IF(V23="","",IF(V23=2,"⚠️ Paying ahead of work","✓ OK"))</f>
        <v/>
      </c>
      <c r="V23" s="79">
        <f>IF(T23="","",IF(T23-R23&gt;OverpayTol,2,0))</f>
        <v/>
      </c>
      <c r="W23" s="112">
        <f>IF(V23=2,AsOf,"")</f>
        <v/>
      </c>
      <c r="X23" s="79">
        <f>IF(W23="","",1)</f>
        <v/>
      </c>
      <c r="Y23" s="79">
        <f>IF(X23="","","Paying ahead of work: "&amp;B23&amp;" — paid "&amp;ROUND(T23*100,0)&amp;"%, work done "&amp;ROUND(R23*100,0)&amp;"%")</f>
        <v/>
      </c>
      <c r="AA23" s="72" t="n"/>
      <c r="AB23" s="109" t="n"/>
      <c r="AC23" s="113" t="n"/>
      <c r="AD23" s="74" t="n"/>
      <c r="AE23" s="109" t="n"/>
      <c r="AF23" s="74" t="n"/>
      <c r="AG23" s="112">
        <f>IF(AND(AA23&lt;&gt;"",AD23="Yes",AF23&lt;&gt;"Yes",AE23&lt;&gt;""),AE23,"")</f>
        <v/>
      </c>
      <c r="AH23" s="79">
        <f>IF(AG23="","",IF(AG23&lt;AsOf,1,IF(AG23&lt;=AsOf+AlertDays,2,IF(AG23&lt;=AsOf+2*AlertDays,3,""))))</f>
        <v/>
      </c>
      <c r="AI23" s="79">
        <f>IF(AH23="","","Follow up with "&amp;AA23&amp;": "&amp;AC23)</f>
        <v/>
      </c>
    </row>
    <row r="24" ht="20" customHeight="1">
      <c r="B24" s="72" t="n"/>
      <c r="C24" s="72" t="n"/>
      <c r="D24" s="72" t="n"/>
      <c r="E24" s="72" t="n"/>
      <c r="F24" s="72" t="n"/>
      <c r="G24" s="72" t="n"/>
      <c r="H24" s="72" t="n"/>
      <c r="I24" s="73" t="n"/>
      <c r="J24" s="75">
        <f>IF(B24="","",SUMIFS('Change Orders'!$J$7:$J$1006,'Change Orders'!$E$7:$E$1006,B24,'Change Orders'!$L$7:$L$1006,"Approved"))</f>
        <v/>
      </c>
      <c r="K24" s="76">
        <f>IF(B24="","",I24+J24)</f>
        <v/>
      </c>
      <c r="L24" s="74" t="n"/>
      <c r="M24" s="109" t="n"/>
      <c r="N24" s="109" t="n"/>
      <c r="O24" s="74" t="n"/>
      <c r="P24" s="74" t="n"/>
      <c r="Q24" s="100" t="n"/>
      <c r="R24" s="110" t="n"/>
      <c r="S24" s="75">
        <f>IF(B24="","",SUMIFS('Payments'!$N$6:$N$1005,'Payments'!$B$6:$B$1005,B24))</f>
        <v/>
      </c>
      <c r="T24" s="111">
        <f>IF(OR(B24="",K24=0),"",S24/K24)</f>
        <v/>
      </c>
      <c r="U24" s="78">
        <f>IF(V24="","",IF(V24=2,"⚠️ Paying ahead of work","✓ OK"))</f>
        <v/>
      </c>
      <c r="V24" s="79">
        <f>IF(T24="","",IF(T24-R24&gt;OverpayTol,2,0))</f>
        <v/>
      </c>
      <c r="W24" s="112">
        <f>IF(V24=2,AsOf,"")</f>
        <v/>
      </c>
      <c r="X24" s="79">
        <f>IF(W24="","",1)</f>
        <v/>
      </c>
      <c r="Y24" s="79">
        <f>IF(X24="","","Paying ahead of work: "&amp;B24&amp;" — paid "&amp;ROUND(T24*100,0)&amp;"%, work done "&amp;ROUND(R24*100,0)&amp;"%")</f>
        <v/>
      </c>
      <c r="AA24" s="72" t="n"/>
      <c r="AB24" s="109" t="n"/>
      <c r="AC24" s="113" t="n"/>
      <c r="AD24" s="74" t="n"/>
      <c r="AE24" s="109" t="n"/>
      <c r="AF24" s="74" t="n"/>
      <c r="AG24" s="112">
        <f>IF(AND(AA24&lt;&gt;"",AD24="Yes",AF24&lt;&gt;"Yes",AE24&lt;&gt;""),AE24,"")</f>
        <v/>
      </c>
      <c r="AH24" s="79">
        <f>IF(AG24="","",IF(AG24&lt;AsOf,1,IF(AG24&lt;=AsOf+AlertDays,2,IF(AG24&lt;=AsOf+2*AlertDays,3,""))))</f>
        <v/>
      </c>
      <c r="AI24" s="79">
        <f>IF(AH24="","","Follow up with "&amp;AA24&amp;": "&amp;AC24)</f>
        <v/>
      </c>
    </row>
    <row r="25" ht="20" customHeight="1">
      <c r="B25" s="72" t="n"/>
      <c r="C25" s="72" t="n"/>
      <c r="D25" s="72" t="n"/>
      <c r="E25" s="72" t="n"/>
      <c r="F25" s="72" t="n"/>
      <c r="G25" s="72" t="n"/>
      <c r="H25" s="72" t="n"/>
      <c r="I25" s="73" t="n"/>
      <c r="J25" s="75">
        <f>IF(B25="","",SUMIFS('Change Orders'!$J$7:$J$1006,'Change Orders'!$E$7:$E$1006,B25,'Change Orders'!$L$7:$L$1006,"Approved"))</f>
        <v/>
      </c>
      <c r="K25" s="76">
        <f>IF(B25="","",I25+J25)</f>
        <v/>
      </c>
      <c r="L25" s="74" t="n"/>
      <c r="M25" s="109" t="n"/>
      <c r="N25" s="109" t="n"/>
      <c r="O25" s="74" t="n"/>
      <c r="P25" s="74" t="n"/>
      <c r="Q25" s="100" t="n"/>
      <c r="R25" s="110" t="n"/>
      <c r="S25" s="75">
        <f>IF(B25="","",SUMIFS('Payments'!$N$6:$N$1005,'Payments'!$B$6:$B$1005,B25))</f>
        <v/>
      </c>
      <c r="T25" s="111">
        <f>IF(OR(B25="",K25=0),"",S25/K25)</f>
        <v/>
      </c>
      <c r="U25" s="78">
        <f>IF(V25="","",IF(V25=2,"⚠️ Paying ahead of work","✓ OK"))</f>
        <v/>
      </c>
      <c r="V25" s="79">
        <f>IF(T25="","",IF(T25-R25&gt;OverpayTol,2,0))</f>
        <v/>
      </c>
      <c r="W25" s="112">
        <f>IF(V25=2,AsOf,"")</f>
        <v/>
      </c>
      <c r="X25" s="79">
        <f>IF(W25="","",1)</f>
        <v/>
      </c>
      <c r="Y25" s="79">
        <f>IF(X25="","","Paying ahead of work: "&amp;B25&amp;" — paid "&amp;ROUND(T25*100,0)&amp;"%, work done "&amp;ROUND(R25*100,0)&amp;"%")</f>
        <v/>
      </c>
      <c r="AA25" s="72" t="n"/>
      <c r="AB25" s="109" t="n"/>
      <c r="AC25" s="113" t="n"/>
      <c r="AD25" s="74" t="n"/>
      <c r="AE25" s="109" t="n"/>
      <c r="AF25" s="74" t="n"/>
      <c r="AG25" s="112">
        <f>IF(AND(AA25&lt;&gt;"",AD25="Yes",AF25&lt;&gt;"Yes",AE25&lt;&gt;""),AE25,"")</f>
        <v/>
      </c>
      <c r="AH25" s="79">
        <f>IF(AG25="","",IF(AG25&lt;AsOf,1,IF(AG25&lt;=AsOf+AlertDays,2,IF(AG25&lt;=AsOf+2*AlertDays,3,""))))</f>
        <v/>
      </c>
      <c r="AI25" s="79">
        <f>IF(AH25="","","Follow up with "&amp;AA25&amp;": "&amp;AC25)</f>
        <v/>
      </c>
    </row>
    <row r="26" ht="20" customHeight="1">
      <c r="B26" s="72" t="n"/>
      <c r="C26" s="72" t="n"/>
      <c r="D26" s="72" t="n"/>
      <c r="E26" s="72" t="n"/>
      <c r="F26" s="72" t="n"/>
      <c r="G26" s="72" t="n"/>
      <c r="H26" s="72" t="n"/>
      <c r="I26" s="73" t="n"/>
      <c r="J26" s="75">
        <f>IF(B26="","",SUMIFS('Change Orders'!$J$7:$J$1006,'Change Orders'!$E$7:$E$1006,B26,'Change Orders'!$L$7:$L$1006,"Approved"))</f>
        <v/>
      </c>
      <c r="K26" s="76">
        <f>IF(B26="","",I26+J26)</f>
        <v/>
      </c>
      <c r="L26" s="74" t="n"/>
      <c r="M26" s="109" t="n"/>
      <c r="N26" s="109" t="n"/>
      <c r="O26" s="74" t="n"/>
      <c r="P26" s="74" t="n"/>
      <c r="Q26" s="100" t="n"/>
      <c r="R26" s="110" t="n"/>
      <c r="S26" s="75">
        <f>IF(B26="","",SUMIFS('Payments'!$N$6:$N$1005,'Payments'!$B$6:$B$1005,B26))</f>
        <v/>
      </c>
      <c r="T26" s="111">
        <f>IF(OR(B26="",K26=0),"",S26/K26)</f>
        <v/>
      </c>
      <c r="U26" s="78">
        <f>IF(V26="","",IF(V26=2,"⚠️ Paying ahead of work","✓ OK"))</f>
        <v/>
      </c>
      <c r="V26" s="79">
        <f>IF(T26="","",IF(T26-R26&gt;OverpayTol,2,0))</f>
        <v/>
      </c>
      <c r="W26" s="112">
        <f>IF(V26=2,AsOf,"")</f>
        <v/>
      </c>
      <c r="X26" s="79">
        <f>IF(W26="","",1)</f>
        <v/>
      </c>
      <c r="Y26" s="79">
        <f>IF(X26="","","Paying ahead of work: "&amp;B26&amp;" — paid "&amp;ROUND(T26*100,0)&amp;"%, work done "&amp;ROUND(R26*100,0)&amp;"%")</f>
        <v/>
      </c>
      <c r="AA26" s="72" t="n"/>
      <c r="AB26" s="109" t="n"/>
      <c r="AC26" s="113" t="n"/>
      <c r="AD26" s="74" t="n"/>
      <c r="AE26" s="109" t="n"/>
      <c r="AF26" s="74" t="n"/>
      <c r="AG26" s="112">
        <f>IF(AND(AA26&lt;&gt;"",AD26="Yes",AF26&lt;&gt;"Yes",AE26&lt;&gt;""),AE26,"")</f>
        <v/>
      </c>
      <c r="AH26" s="79">
        <f>IF(AG26="","",IF(AG26&lt;AsOf,1,IF(AG26&lt;=AsOf+AlertDays,2,IF(AG26&lt;=AsOf+2*AlertDays,3,""))))</f>
        <v/>
      </c>
      <c r="AI26" s="79">
        <f>IF(AH26="","","Follow up with "&amp;AA26&amp;": "&amp;AC26)</f>
        <v/>
      </c>
    </row>
    <row r="27" ht="20" customHeight="1">
      <c r="B27" s="72" t="n"/>
      <c r="C27" s="72" t="n"/>
      <c r="D27" s="72" t="n"/>
      <c r="E27" s="72" t="n"/>
      <c r="F27" s="72" t="n"/>
      <c r="G27" s="72" t="n"/>
      <c r="H27" s="72" t="n"/>
      <c r="I27" s="73" t="n"/>
      <c r="J27" s="75">
        <f>IF(B27="","",SUMIFS('Change Orders'!$J$7:$J$1006,'Change Orders'!$E$7:$E$1006,B27,'Change Orders'!$L$7:$L$1006,"Approved"))</f>
        <v/>
      </c>
      <c r="K27" s="76">
        <f>IF(B27="","",I27+J27)</f>
        <v/>
      </c>
      <c r="L27" s="74" t="n"/>
      <c r="M27" s="109" t="n"/>
      <c r="N27" s="109" t="n"/>
      <c r="O27" s="74" t="n"/>
      <c r="P27" s="74" t="n"/>
      <c r="Q27" s="100" t="n"/>
      <c r="R27" s="110" t="n"/>
      <c r="S27" s="75">
        <f>IF(B27="","",SUMIFS('Payments'!$N$6:$N$1005,'Payments'!$B$6:$B$1005,B27))</f>
        <v/>
      </c>
      <c r="T27" s="111">
        <f>IF(OR(B27="",K27=0),"",S27/K27)</f>
        <v/>
      </c>
      <c r="U27" s="78">
        <f>IF(V27="","",IF(V27=2,"⚠️ Paying ahead of work","✓ OK"))</f>
        <v/>
      </c>
      <c r="V27" s="79">
        <f>IF(T27="","",IF(T27-R27&gt;OverpayTol,2,0))</f>
        <v/>
      </c>
      <c r="W27" s="112">
        <f>IF(V27=2,AsOf,"")</f>
        <v/>
      </c>
      <c r="X27" s="79">
        <f>IF(W27="","",1)</f>
        <v/>
      </c>
      <c r="Y27" s="79">
        <f>IF(X27="","","Paying ahead of work: "&amp;B27&amp;" — paid "&amp;ROUND(T27*100,0)&amp;"%, work done "&amp;ROUND(R27*100,0)&amp;"%")</f>
        <v/>
      </c>
      <c r="AA27" s="72" t="n"/>
      <c r="AB27" s="109" t="n"/>
      <c r="AC27" s="113" t="n"/>
      <c r="AD27" s="74" t="n"/>
      <c r="AE27" s="109" t="n"/>
      <c r="AF27" s="74" t="n"/>
      <c r="AG27" s="112">
        <f>IF(AND(AA27&lt;&gt;"",AD27="Yes",AF27&lt;&gt;"Yes",AE27&lt;&gt;""),AE27,"")</f>
        <v/>
      </c>
      <c r="AH27" s="79">
        <f>IF(AG27="","",IF(AG27&lt;AsOf,1,IF(AG27&lt;=AsOf+AlertDays,2,IF(AG27&lt;=AsOf+2*AlertDays,3,""))))</f>
        <v/>
      </c>
      <c r="AI27" s="79">
        <f>IF(AH27="","","Follow up with "&amp;AA27&amp;": "&amp;AC27)</f>
        <v/>
      </c>
    </row>
    <row r="28" ht="20" customHeight="1">
      <c r="B28" s="72" t="n"/>
      <c r="C28" s="72" t="n"/>
      <c r="D28" s="72" t="n"/>
      <c r="E28" s="72" t="n"/>
      <c r="F28" s="72" t="n"/>
      <c r="G28" s="72" t="n"/>
      <c r="H28" s="72" t="n"/>
      <c r="I28" s="73" t="n"/>
      <c r="J28" s="75">
        <f>IF(B28="","",SUMIFS('Change Orders'!$J$7:$J$1006,'Change Orders'!$E$7:$E$1006,B28,'Change Orders'!$L$7:$L$1006,"Approved"))</f>
        <v/>
      </c>
      <c r="K28" s="76">
        <f>IF(B28="","",I28+J28)</f>
        <v/>
      </c>
      <c r="L28" s="74" t="n"/>
      <c r="M28" s="109" t="n"/>
      <c r="N28" s="109" t="n"/>
      <c r="O28" s="74" t="n"/>
      <c r="P28" s="74" t="n"/>
      <c r="Q28" s="100" t="n"/>
      <c r="R28" s="110" t="n"/>
      <c r="S28" s="75">
        <f>IF(B28="","",SUMIFS('Payments'!$N$6:$N$1005,'Payments'!$B$6:$B$1005,B28))</f>
        <v/>
      </c>
      <c r="T28" s="111">
        <f>IF(OR(B28="",K28=0),"",S28/K28)</f>
        <v/>
      </c>
      <c r="U28" s="78">
        <f>IF(V28="","",IF(V28=2,"⚠️ Paying ahead of work","✓ OK"))</f>
        <v/>
      </c>
      <c r="V28" s="79">
        <f>IF(T28="","",IF(T28-R28&gt;OverpayTol,2,0))</f>
        <v/>
      </c>
      <c r="W28" s="112">
        <f>IF(V28=2,AsOf,"")</f>
        <v/>
      </c>
      <c r="X28" s="79">
        <f>IF(W28="","",1)</f>
        <v/>
      </c>
      <c r="Y28" s="79">
        <f>IF(X28="","","Paying ahead of work: "&amp;B28&amp;" — paid "&amp;ROUND(T28*100,0)&amp;"%, work done "&amp;ROUND(R28*100,0)&amp;"%")</f>
        <v/>
      </c>
      <c r="AA28" s="72" t="n"/>
      <c r="AB28" s="109" t="n"/>
      <c r="AC28" s="113" t="n"/>
      <c r="AD28" s="74" t="n"/>
      <c r="AE28" s="109" t="n"/>
      <c r="AF28" s="74" t="n"/>
      <c r="AG28" s="112">
        <f>IF(AND(AA28&lt;&gt;"",AD28="Yes",AF28&lt;&gt;"Yes",AE28&lt;&gt;""),AE28,"")</f>
        <v/>
      </c>
      <c r="AH28" s="79">
        <f>IF(AG28="","",IF(AG28&lt;AsOf,1,IF(AG28&lt;=AsOf+AlertDays,2,IF(AG28&lt;=AsOf+2*AlertDays,3,""))))</f>
        <v/>
      </c>
      <c r="AI28" s="79">
        <f>IF(AH28="","","Follow up with "&amp;AA28&amp;": "&amp;AC28)</f>
        <v/>
      </c>
    </row>
    <row r="29" ht="20" customHeight="1">
      <c r="B29" s="72" t="n"/>
      <c r="C29" s="72" t="n"/>
      <c r="D29" s="72" t="n"/>
      <c r="E29" s="72" t="n"/>
      <c r="F29" s="72" t="n"/>
      <c r="G29" s="72" t="n"/>
      <c r="H29" s="72" t="n"/>
      <c r="I29" s="73" t="n"/>
      <c r="J29" s="75">
        <f>IF(B29="","",SUMIFS('Change Orders'!$J$7:$J$1006,'Change Orders'!$E$7:$E$1006,B29,'Change Orders'!$L$7:$L$1006,"Approved"))</f>
        <v/>
      </c>
      <c r="K29" s="76">
        <f>IF(B29="","",I29+J29)</f>
        <v/>
      </c>
      <c r="L29" s="74" t="n"/>
      <c r="M29" s="109" t="n"/>
      <c r="N29" s="109" t="n"/>
      <c r="O29" s="74" t="n"/>
      <c r="P29" s="74" t="n"/>
      <c r="Q29" s="100" t="n"/>
      <c r="R29" s="110" t="n"/>
      <c r="S29" s="75">
        <f>IF(B29="","",SUMIFS('Payments'!$N$6:$N$1005,'Payments'!$B$6:$B$1005,B29))</f>
        <v/>
      </c>
      <c r="T29" s="111">
        <f>IF(OR(B29="",K29=0),"",S29/K29)</f>
        <v/>
      </c>
      <c r="U29" s="78">
        <f>IF(V29="","",IF(V29=2,"⚠️ Paying ahead of work","✓ OK"))</f>
        <v/>
      </c>
      <c r="V29" s="79">
        <f>IF(T29="","",IF(T29-R29&gt;OverpayTol,2,0))</f>
        <v/>
      </c>
      <c r="W29" s="112">
        <f>IF(V29=2,AsOf,"")</f>
        <v/>
      </c>
      <c r="X29" s="79">
        <f>IF(W29="","",1)</f>
        <v/>
      </c>
      <c r="Y29" s="79">
        <f>IF(X29="","","Paying ahead of work: "&amp;B29&amp;" — paid "&amp;ROUND(T29*100,0)&amp;"%, work done "&amp;ROUND(R29*100,0)&amp;"%")</f>
        <v/>
      </c>
      <c r="AA29" s="72" t="n"/>
      <c r="AB29" s="109" t="n"/>
      <c r="AC29" s="113" t="n"/>
      <c r="AD29" s="74" t="n"/>
      <c r="AE29" s="109" t="n"/>
      <c r="AF29" s="74" t="n"/>
      <c r="AG29" s="112">
        <f>IF(AND(AA29&lt;&gt;"",AD29="Yes",AF29&lt;&gt;"Yes",AE29&lt;&gt;""),AE29,"")</f>
        <v/>
      </c>
      <c r="AH29" s="79">
        <f>IF(AG29="","",IF(AG29&lt;AsOf,1,IF(AG29&lt;=AsOf+AlertDays,2,IF(AG29&lt;=AsOf+2*AlertDays,3,""))))</f>
        <v/>
      </c>
      <c r="AI29" s="79">
        <f>IF(AH29="","","Follow up with "&amp;AA29&amp;": "&amp;AC29)</f>
        <v/>
      </c>
    </row>
    <row r="30" ht="20" customHeight="1">
      <c r="B30" s="72" t="n"/>
      <c r="C30" s="72" t="n"/>
      <c r="D30" s="72" t="n"/>
      <c r="E30" s="72" t="n"/>
      <c r="F30" s="72" t="n"/>
      <c r="G30" s="72" t="n"/>
      <c r="H30" s="72" t="n"/>
      <c r="I30" s="73" t="n"/>
      <c r="J30" s="75">
        <f>IF(B30="","",SUMIFS('Change Orders'!$J$7:$J$1006,'Change Orders'!$E$7:$E$1006,B30,'Change Orders'!$L$7:$L$1006,"Approved"))</f>
        <v/>
      </c>
      <c r="K30" s="76">
        <f>IF(B30="","",I30+J30)</f>
        <v/>
      </c>
      <c r="L30" s="74" t="n"/>
      <c r="M30" s="109" t="n"/>
      <c r="N30" s="109" t="n"/>
      <c r="O30" s="74" t="n"/>
      <c r="P30" s="74" t="n"/>
      <c r="Q30" s="100" t="n"/>
      <c r="R30" s="110" t="n"/>
      <c r="S30" s="75">
        <f>IF(B30="","",SUMIFS('Payments'!$N$6:$N$1005,'Payments'!$B$6:$B$1005,B30))</f>
        <v/>
      </c>
      <c r="T30" s="111">
        <f>IF(OR(B30="",K30=0),"",S30/K30)</f>
        <v/>
      </c>
      <c r="U30" s="78">
        <f>IF(V30="","",IF(V30=2,"⚠️ Paying ahead of work","✓ OK"))</f>
        <v/>
      </c>
      <c r="V30" s="79">
        <f>IF(T30="","",IF(T30-R30&gt;OverpayTol,2,0))</f>
        <v/>
      </c>
      <c r="W30" s="112">
        <f>IF(V30=2,AsOf,"")</f>
        <v/>
      </c>
      <c r="X30" s="79">
        <f>IF(W30="","",1)</f>
        <v/>
      </c>
      <c r="Y30" s="79">
        <f>IF(X30="","","Paying ahead of work: "&amp;B30&amp;" — paid "&amp;ROUND(T30*100,0)&amp;"%, work done "&amp;ROUND(R30*100,0)&amp;"%")</f>
        <v/>
      </c>
      <c r="AA30" s="72" t="n"/>
      <c r="AB30" s="109" t="n"/>
      <c r="AC30" s="113" t="n"/>
      <c r="AD30" s="74" t="n"/>
      <c r="AE30" s="109" t="n"/>
      <c r="AF30" s="74" t="n"/>
      <c r="AG30" s="112">
        <f>IF(AND(AA30&lt;&gt;"",AD30="Yes",AF30&lt;&gt;"Yes",AE30&lt;&gt;""),AE30,"")</f>
        <v/>
      </c>
      <c r="AH30" s="79">
        <f>IF(AG30="","",IF(AG30&lt;AsOf,1,IF(AG30&lt;=AsOf+AlertDays,2,IF(AG30&lt;=AsOf+2*AlertDays,3,""))))</f>
        <v/>
      </c>
      <c r="AI30" s="79">
        <f>IF(AH30="","","Follow up with "&amp;AA30&amp;": "&amp;AC30)</f>
        <v/>
      </c>
    </row>
    <row r="31" ht="20" customHeight="1">
      <c r="B31" s="72" t="n"/>
      <c r="C31" s="72" t="n"/>
      <c r="D31" s="72" t="n"/>
      <c r="E31" s="72" t="n"/>
      <c r="F31" s="72" t="n"/>
      <c r="G31" s="72" t="n"/>
      <c r="H31" s="72" t="n"/>
      <c r="I31" s="73" t="n"/>
      <c r="J31" s="75">
        <f>IF(B31="","",SUMIFS('Change Orders'!$J$7:$J$1006,'Change Orders'!$E$7:$E$1006,B31,'Change Orders'!$L$7:$L$1006,"Approved"))</f>
        <v/>
      </c>
      <c r="K31" s="76">
        <f>IF(B31="","",I31+J31)</f>
        <v/>
      </c>
      <c r="L31" s="74" t="n"/>
      <c r="M31" s="109" t="n"/>
      <c r="N31" s="109" t="n"/>
      <c r="O31" s="74" t="n"/>
      <c r="P31" s="74" t="n"/>
      <c r="Q31" s="100" t="n"/>
      <c r="R31" s="110" t="n"/>
      <c r="S31" s="75">
        <f>IF(B31="","",SUMIFS('Payments'!$N$6:$N$1005,'Payments'!$B$6:$B$1005,B31))</f>
        <v/>
      </c>
      <c r="T31" s="111">
        <f>IF(OR(B31="",K31=0),"",S31/K31)</f>
        <v/>
      </c>
      <c r="U31" s="78">
        <f>IF(V31="","",IF(V31=2,"⚠️ Paying ahead of work","✓ OK"))</f>
        <v/>
      </c>
      <c r="V31" s="79">
        <f>IF(T31="","",IF(T31-R31&gt;OverpayTol,2,0))</f>
        <v/>
      </c>
      <c r="W31" s="112">
        <f>IF(V31=2,AsOf,"")</f>
        <v/>
      </c>
      <c r="X31" s="79">
        <f>IF(W31="","",1)</f>
        <v/>
      </c>
      <c r="Y31" s="79">
        <f>IF(X31="","","Paying ahead of work: "&amp;B31&amp;" — paid "&amp;ROUND(T31*100,0)&amp;"%, work done "&amp;ROUND(R31*100,0)&amp;"%")</f>
        <v/>
      </c>
      <c r="AA31" s="72" t="n"/>
      <c r="AB31" s="109" t="n"/>
      <c r="AC31" s="113" t="n"/>
      <c r="AD31" s="74" t="n"/>
      <c r="AE31" s="109" t="n"/>
      <c r="AF31" s="74" t="n"/>
      <c r="AG31" s="112">
        <f>IF(AND(AA31&lt;&gt;"",AD31="Yes",AF31&lt;&gt;"Yes",AE31&lt;&gt;""),AE31,"")</f>
        <v/>
      </c>
      <c r="AH31" s="79">
        <f>IF(AG31="","",IF(AG31&lt;AsOf,1,IF(AG31&lt;=AsOf+AlertDays,2,IF(AG31&lt;=AsOf+2*AlertDays,3,""))))</f>
        <v/>
      </c>
      <c r="AI31" s="79">
        <f>IF(AH31="","","Follow up with "&amp;AA31&amp;": "&amp;AC31)</f>
        <v/>
      </c>
    </row>
    <row r="32" ht="20" customHeight="1">
      <c r="B32" s="72" t="n"/>
      <c r="C32" s="72" t="n"/>
      <c r="D32" s="72" t="n"/>
      <c r="E32" s="72" t="n"/>
      <c r="F32" s="72" t="n"/>
      <c r="G32" s="72" t="n"/>
      <c r="H32" s="72" t="n"/>
      <c r="I32" s="73" t="n"/>
      <c r="J32" s="75">
        <f>IF(B32="","",SUMIFS('Change Orders'!$J$7:$J$1006,'Change Orders'!$E$7:$E$1006,B32,'Change Orders'!$L$7:$L$1006,"Approved"))</f>
        <v/>
      </c>
      <c r="K32" s="76">
        <f>IF(B32="","",I32+J32)</f>
        <v/>
      </c>
      <c r="L32" s="74" t="n"/>
      <c r="M32" s="109" t="n"/>
      <c r="N32" s="109" t="n"/>
      <c r="O32" s="74" t="n"/>
      <c r="P32" s="74" t="n"/>
      <c r="Q32" s="100" t="n"/>
      <c r="R32" s="110" t="n"/>
      <c r="S32" s="75">
        <f>IF(B32="","",SUMIFS('Payments'!$N$6:$N$1005,'Payments'!$B$6:$B$1005,B32))</f>
        <v/>
      </c>
      <c r="T32" s="111">
        <f>IF(OR(B32="",K32=0),"",S32/K32)</f>
        <v/>
      </c>
      <c r="U32" s="78">
        <f>IF(V32="","",IF(V32=2,"⚠️ Paying ahead of work","✓ OK"))</f>
        <v/>
      </c>
      <c r="V32" s="79">
        <f>IF(T32="","",IF(T32-R32&gt;OverpayTol,2,0))</f>
        <v/>
      </c>
      <c r="W32" s="112">
        <f>IF(V32=2,AsOf,"")</f>
        <v/>
      </c>
      <c r="X32" s="79">
        <f>IF(W32="","",1)</f>
        <v/>
      </c>
      <c r="Y32" s="79">
        <f>IF(X32="","","Paying ahead of work: "&amp;B32&amp;" — paid "&amp;ROUND(T32*100,0)&amp;"%, work done "&amp;ROUND(R32*100,0)&amp;"%")</f>
        <v/>
      </c>
      <c r="AA32" s="72" t="n"/>
      <c r="AB32" s="109" t="n"/>
      <c r="AC32" s="113" t="n"/>
      <c r="AD32" s="74" t="n"/>
      <c r="AE32" s="109" t="n"/>
      <c r="AF32" s="74" t="n"/>
      <c r="AG32" s="112">
        <f>IF(AND(AA32&lt;&gt;"",AD32="Yes",AF32&lt;&gt;"Yes",AE32&lt;&gt;""),AE32,"")</f>
        <v/>
      </c>
      <c r="AH32" s="79">
        <f>IF(AG32="","",IF(AG32&lt;AsOf,1,IF(AG32&lt;=AsOf+AlertDays,2,IF(AG32&lt;=AsOf+2*AlertDays,3,""))))</f>
        <v/>
      </c>
      <c r="AI32" s="79">
        <f>IF(AH32="","","Follow up with "&amp;AA32&amp;": "&amp;AC32)</f>
        <v/>
      </c>
    </row>
    <row r="33" ht="20" customHeight="1">
      <c r="B33" s="72" t="n"/>
      <c r="C33" s="72" t="n"/>
      <c r="D33" s="72" t="n"/>
      <c r="E33" s="72" t="n"/>
      <c r="F33" s="72" t="n"/>
      <c r="G33" s="72" t="n"/>
      <c r="H33" s="72" t="n"/>
      <c r="I33" s="73" t="n"/>
      <c r="J33" s="75">
        <f>IF(B33="","",SUMIFS('Change Orders'!$J$7:$J$1006,'Change Orders'!$E$7:$E$1006,B33,'Change Orders'!$L$7:$L$1006,"Approved"))</f>
        <v/>
      </c>
      <c r="K33" s="76">
        <f>IF(B33="","",I33+J33)</f>
        <v/>
      </c>
      <c r="L33" s="74" t="n"/>
      <c r="M33" s="109" t="n"/>
      <c r="N33" s="109" t="n"/>
      <c r="O33" s="74" t="n"/>
      <c r="P33" s="74" t="n"/>
      <c r="Q33" s="100" t="n"/>
      <c r="R33" s="110" t="n"/>
      <c r="S33" s="75">
        <f>IF(B33="","",SUMIFS('Payments'!$N$6:$N$1005,'Payments'!$B$6:$B$1005,B33))</f>
        <v/>
      </c>
      <c r="T33" s="111">
        <f>IF(OR(B33="",K33=0),"",S33/K33)</f>
        <v/>
      </c>
      <c r="U33" s="78">
        <f>IF(V33="","",IF(V33=2,"⚠️ Paying ahead of work","✓ OK"))</f>
        <v/>
      </c>
      <c r="V33" s="79">
        <f>IF(T33="","",IF(T33-R33&gt;OverpayTol,2,0))</f>
        <v/>
      </c>
      <c r="W33" s="112">
        <f>IF(V33=2,AsOf,"")</f>
        <v/>
      </c>
      <c r="X33" s="79">
        <f>IF(W33="","",1)</f>
        <v/>
      </c>
      <c r="Y33" s="79">
        <f>IF(X33="","","Paying ahead of work: "&amp;B33&amp;" — paid "&amp;ROUND(T33*100,0)&amp;"%, work done "&amp;ROUND(R33*100,0)&amp;"%")</f>
        <v/>
      </c>
      <c r="AA33" s="72" t="n"/>
      <c r="AB33" s="109" t="n"/>
      <c r="AC33" s="113" t="n"/>
      <c r="AD33" s="74" t="n"/>
      <c r="AE33" s="109" t="n"/>
      <c r="AF33" s="74" t="n"/>
      <c r="AG33" s="112">
        <f>IF(AND(AA33&lt;&gt;"",AD33="Yes",AF33&lt;&gt;"Yes",AE33&lt;&gt;""),AE33,"")</f>
        <v/>
      </c>
      <c r="AH33" s="79">
        <f>IF(AG33="","",IF(AG33&lt;AsOf,1,IF(AG33&lt;=AsOf+AlertDays,2,IF(AG33&lt;=AsOf+2*AlertDays,3,""))))</f>
        <v/>
      </c>
      <c r="AI33" s="79">
        <f>IF(AH33="","","Follow up with "&amp;AA33&amp;": "&amp;AC33)</f>
        <v/>
      </c>
    </row>
    <row r="34" ht="20" customHeight="1">
      <c r="B34" s="72" t="n"/>
      <c r="C34" s="72" t="n"/>
      <c r="D34" s="72" t="n"/>
      <c r="E34" s="72" t="n"/>
      <c r="F34" s="72" t="n"/>
      <c r="G34" s="72" t="n"/>
      <c r="H34" s="72" t="n"/>
      <c r="I34" s="73" t="n"/>
      <c r="J34" s="75">
        <f>IF(B34="","",SUMIFS('Change Orders'!$J$7:$J$1006,'Change Orders'!$E$7:$E$1006,B34,'Change Orders'!$L$7:$L$1006,"Approved"))</f>
        <v/>
      </c>
      <c r="K34" s="76">
        <f>IF(B34="","",I34+J34)</f>
        <v/>
      </c>
      <c r="L34" s="74" t="n"/>
      <c r="M34" s="109" t="n"/>
      <c r="N34" s="109" t="n"/>
      <c r="O34" s="74" t="n"/>
      <c r="P34" s="74" t="n"/>
      <c r="Q34" s="100" t="n"/>
      <c r="R34" s="110" t="n"/>
      <c r="S34" s="75">
        <f>IF(B34="","",SUMIFS('Payments'!$N$6:$N$1005,'Payments'!$B$6:$B$1005,B34))</f>
        <v/>
      </c>
      <c r="T34" s="111">
        <f>IF(OR(B34="",K34=0),"",S34/K34)</f>
        <v/>
      </c>
      <c r="U34" s="78">
        <f>IF(V34="","",IF(V34=2,"⚠️ Paying ahead of work","✓ OK"))</f>
        <v/>
      </c>
      <c r="V34" s="79">
        <f>IF(T34="","",IF(T34-R34&gt;OverpayTol,2,0))</f>
        <v/>
      </c>
      <c r="W34" s="112">
        <f>IF(V34=2,AsOf,"")</f>
        <v/>
      </c>
      <c r="X34" s="79">
        <f>IF(W34="","",1)</f>
        <v/>
      </c>
      <c r="Y34" s="79">
        <f>IF(X34="","","Paying ahead of work: "&amp;B34&amp;" — paid "&amp;ROUND(T34*100,0)&amp;"%, work done "&amp;ROUND(R34*100,0)&amp;"%")</f>
        <v/>
      </c>
      <c r="AA34" s="72" t="n"/>
      <c r="AB34" s="109" t="n"/>
      <c r="AC34" s="113" t="n"/>
      <c r="AD34" s="74" t="n"/>
      <c r="AE34" s="109" t="n"/>
      <c r="AF34" s="74" t="n"/>
      <c r="AG34" s="112">
        <f>IF(AND(AA34&lt;&gt;"",AD34="Yes",AF34&lt;&gt;"Yes",AE34&lt;&gt;""),AE34,"")</f>
        <v/>
      </c>
      <c r="AH34" s="79">
        <f>IF(AG34="","",IF(AG34&lt;AsOf,1,IF(AG34&lt;=AsOf+AlertDays,2,IF(AG34&lt;=AsOf+2*AlertDays,3,""))))</f>
        <v/>
      </c>
      <c r="AI34" s="79">
        <f>IF(AH34="","","Follow up with "&amp;AA34&amp;": "&amp;AC34)</f>
        <v/>
      </c>
    </row>
    <row r="35" ht="20" customHeight="1">
      <c r="B35" s="72" t="n"/>
      <c r="C35" s="72" t="n"/>
      <c r="D35" s="72" t="n"/>
      <c r="E35" s="72" t="n"/>
      <c r="F35" s="72" t="n"/>
      <c r="G35" s="72" t="n"/>
      <c r="H35" s="72" t="n"/>
      <c r="I35" s="73" t="n"/>
      <c r="J35" s="75">
        <f>IF(B35="","",SUMIFS('Change Orders'!$J$7:$J$1006,'Change Orders'!$E$7:$E$1006,B35,'Change Orders'!$L$7:$L$1006,"Approved"))</f>
        <v/>
      </c>
      <c r="K35" s="76">
        <f>IF(B35="","",I35+J35)</f>
        <v/>
      </c>
      <c r="L35" s="74" t="n"/>
      <c r="M35" s="109" t="n"/>
      <c r="N35" s="109" t="n"/>
      <c r="O35" s="74" t="n"/>
      <c r="P35" s="74" t="n"/>
      <c r="Q35" s="100" t="n"/>
      <c r="R35" s="110" t="n"/>
      <c r="S35" s="75">
        <f>IF(B35="","",SUMIFS('Payments'!$N$6:$N$1005,'Payments'!$B$6:$B$1005,B35))</f>
        <v/>
      </c>
      <c r="T35" s="111">
        <f>IF(OR(B35="",K35=0),"",S35/K35)</f>
        <v/>
      </c>
      <c r="U35" s="78">
        <f>IF(V35="","",IF(V35=2,"⚠️ Paying ahead of work","✓ OK"))</f>
        <v/>
      </c>
      <c r="V35" s="79">
        <f>IF(T35="","",IF(T35-R35&gt;OverpayTol,2,0))</f>
        <v/>
      </c>
      <c r="W35" s="112">
        <f>IF(V35=2,AsOf,"")</f>
        <v/>
      </c>
      <c r="X35" s="79">
        <f>IF(W35="","",1)</f>
        <v/>
      </c>
      <c r="Y35" s="79">
        <f>IF(X35="","","Paying ahead of work: "&amp;B35&amp;" — paid "&amp;ROUND(T35*100,0)&amp;"%, work done "&amp;ROUND(R35*100,0)&amp;"%")</f>
        <v/>
      </c>
      <c r="AA35" s="72" t="n"/>
      <c r="AB35" s="109" t="n"/>
      <c r="AC35" s="113" t="n"/>
      <c r="AD35" s="74" t="n"/>
      <c r="AE35" s="109" t="n"/>
      <c r="AF35" s="74" t="n"/>
      <c r="AG35" s="112">
        <f>IF(AND(AA35&lt;&gt;"",AD35="Yes",AF35&lt;&gt;"Yes",AE35&lt;&gt;""),AE35,"")</f>
        <v/>
      </c>
      <c r="AH35" s="79">
        <f>IF(AG35="","",IF(AG35&lt;AsOf,1,IF(AG35&lt;=AsOf+AlertDays,2,IF(AG35&lt;=AsOf+2*AlertDays,3,""))))</f>
        <v/>
      </c>
      <c r="AI35" s="79">
        <f>IF(AH35="","","Follow up with "&amp;AA35&amp;": "&amp;AC35)</f>
        <v/>
      </c>
    </row>
    <row r="36" ht="20" customHeight="1">
      <c r="B36" s="72" t="n"/>
      <c r="C36" s="72" t="n"/>
      <c r="D36" s="72" t="n"/>
      <c r="E36" s="72" t="n"/>
      <c r="F36" s="72" t="n"/>
      <c r="G36" s="72" t="n"/>
      <c r="H36" s="72" t="n"/>
      <c r="I36" s="73" t="n"/>
      <c r="J36" s="75">
        <f>IF(B36="","",SUMIFS('Change Orders'!$J$7:$J$1006,'Change Orders'!$E$7:$E$1006,B36,'Change Orders'!$L$7:$L$1006,"Approved"))</f>
        <v/>
      </c>
      <c r="K36" s="76">
        <f>IF(B36="","",I36+J36)</f>
        <v/>
      </c>
      <c r="L36" s="74" t="n"/>
      <c r="M36" s="109" t="n"/>
      <c r="N36" s="109" t="n"/>
      <c r="O36" s="74" t="n"/>
      <c r="P36" s="74" t="n"/>
      <c r="Q36" s="100" t="n"/>
      <c r="R36" s="110" t="n"/>
      <c r="S36" s="75">
        <f>IF(B36="","",SUMIFS('Payments'!$N$6:$N$1005,'Payments'!$B$6:$B$1005,B36))</f>
        <v/>
      </c>
      <c r="T36" s="111">
        <f>IF(OR(B36="",K36=0),"",S36/K36)</f>
        <v/>
      </c>
      <c r="U36" s="78">
        <f>IF(V36="","",IF(V36=2,"⚠️ Paying ahead of work","✓ OK"))</f>
        <v/>
      </c>
      <c r="V36" s="79">
        <f>IF(T36="","",IF(T36-R36&gt;OverpayTol,2,0))</f>
        <v/>
      </c>
      <c r="W36" s="112">
        <f>IF(V36=2,AsOf,"")</f>
        <v/>
      </c>
      <c r="X36" s="79">
        <f>IF(W36="","",1)</f>
        <v/>
      </c>
      <c r="Y36" s="79">
        <f>IF(X36="","","Paying ahead of work: "&amp;B36&amp;" — paid "&amp;ROUND(T36*100,0)&amp;"%, work done "&amp;ROUND(R36*100,0)&amp;"%")</f>
        <v/>
      </c>
      <c r="AA36" s="72" t="n"/>
      <c r="AB36" s="109" t="n"/>
      <c r="AC36" s="113" t="n"/>
      <c r="AD36" s="74" t="n"/>
      <c r="AE36" s="109" t="n"/>
      <c r="AF36" s="74" t="n"/>
      <c r="AG36" s="112">
        <f>IF(AND(AA36&lt;&gt;"",AD36="Yes",AF36&lt;&gt;"Yes",AE36&lt;&gt;""),AE36,"")</f>
        <v/>
      </c>
      <c r="AH36" s="79">
        <f>IF(AG36="","",IF(AG36&lt;AsOf,1,IF(AG36&lt;=AsOf+AlertDays,2,IF(AG36&lt;=AsOf+2*AlertDays,3,""))))</f>
        <v/>
      </c>
      <c r="AI36" s="79">
        <f>IF(AH36="","","Follow up with "&amp;AA36&amp;": "&amp;AC36)</f>
        <v/>
      </c>
    </row>
    <row r="37" ht="20" customHeight="1">
      <c r="B37" s="72" t="n"/>
      <c r="C37" s="72" t="n"/>
      <c r="D37" s="72" t="n"/>
      <c r="E37" s="72" t="n"/>
      <c r="F37" s="72" t="n"/>
      <c r="G37" s="72" t="n"/>
      <c r="H37" s="72" t="n"/>
      <c r="I37" s="73" t="n"/>
      <c r="J37" s="75">
        <f>IF(B37="","",SUMIFS('Change Orders'!$J$7:$J$1006,'Change Orders'!$E$7:$E$1006,B37,'Change Orders'!$L$7:$L$1006,"Approved"))</f>
        <v/>
      </c>
      <c r="K37" s="76">
        <f>IF(B37="","",I37+J37)</f>
        <v/>
      </c>
      <c r="L37" s="74" t="n"/>
      <c r="M37" s="109" t="n"/>
      <c r="N37" s="109" t="n"/>
      <c r="O37" s="74" t="n"/>
      <c r="P37" s="74" t="n"/>
      <c r="Q37" s="100" t="n"/>
      <c r="R37" s="110" t="n"/>
      <c r="S37" s="75">
        <f>IF(B37="","",SUMIFS('Payments'!$N$6:$N$1005,'Payments'!$B$6:$B$1005,B37))</f>
        <v/>
      </c>
      <c r="T37" s="111">
        <f>IF(OR(B37="",K37=0),"",S37/K37)</f>
        <v/>
      </c>
      <c r="U37" s="78">
        <f>IF(V37="","",IF(V37=2,"⚠️ Paying ahead of work","✓ OK"))</f>
        <v/>
      </c>
      <c r="V37" s="79">
        <f>IF(T37="","",IF(T37-R37&gt;OverpayTol,2,0))</f>
        <v/>
      </c>
      <c r="W37" s="112">
        <f>IF(V37=2,AsOf,"")</f>
        <v/>
      </c>
      <c r="X37" s="79">
        <f>IF(W37="","",1)</f>
        <v/>
      </c>
      <c r="Y37" s="79">
        <f>IF(X37="","","Paying ahead of work: "&amp;B37&amp;" — paid "&amp;ROUND(T37*100,0)&amp;"%, work done "&amp;ROUND(R37*100,0)&amp;"%")</f>
        <v/>
      </c>
      <c r="AA37" s="72" t="n"/>
      <c r="AB37" s="109" t="n"/>
      <c r="AC37" s="113" t="n"/>
      <c r="AD37" s="74" t="n"/>
      <c r="AE37" s="109" t="n"/>
      <c r="AF37" s="74" t="n"/>
      <c r="AG37" s="112">
        <f>IF(AND(AA37&lt;&gt;"",AD37="Yes",AF37&lt;&gt;"Yes",AE37&lt;&gt;""),AE37,"")</f>
        <v/>
      </c>
      <c r="AH37" s="79">
        <f>IF(AG37="","",IF(AG37&lt;AsOf,1,IF(AG37&lt;=AsOf+AlertDays,2,IF(AG37&lt;=AsOf+2*AlertDays,3,""))))</f>
        <v/>
      </c>
      <c r="AI37" s="79">
        <f>IF(AH37="","","Follow up with "&amp;AA37&amp;": "&amp;AC37)</f>
        <v/>
      </c>
    </row>
    <row r="38" ht="20" customHeight="1">
      <c r="B38" s="72" t="n"/>
      <c r="C38" s="72" t="n"/>
      <c r="D38" s="72" t="n"/>
      <c r="E38" s="72" t="n"/>
      <c r="F38" s="72" t="n"/>
      <c r="G38" s="72" t="n"/>
      <c r="H38" s="72" t="n"/>
      <c r="I38" s="73" t="n"/>
      <c r="J38" s="75">
        <f>IF(B38="","",SUMIFS('Change Orders'!$J$7:$J$1006,'Change Orders'!$E$7:$E$1006,B38,'Change Orders'!$L$7:$L$1006,"Approved"))</f>
        <v/>
      </c>
      <c r="K38" s="76">
        <f>IF(B38="","",I38+J38)</f>
        <v/>
      </c>
      <c r="L38" s="74" t="n"/>
      <c r="M38" s="109" t="n"/>
      <c r="N38" s="109" t="n"/>
      <c r="O38" s="74" t="n"/>
      <c r="P38" s="74" t="n"/>
      <c r="Q38" s="100" t="n"/>
      <c r="R38" s="110" t="n"/>
      <c r="S38" s="75">
        <f>IF(B38="","",SUMIFS('Payments'!$N$6:$N$1005,'Payments'!$B$6:$B$1005,B38))</f>
        <v/>
      </c>
      <c r="T38" s="111">
        <f>IF(OR(B38="",K38=0),"",S38/K38)</f>
        <v/>
      </c>
      <c r="U38" s="78">
        <f>IF(V38="","",IF(V38=2,"⚠️ Paying ahead of work","✓ OK"))</f>
        <v/>
      </c>
      <c r="V38" s="79">
        <f>IF(T38="","",IF(T38-R38&gt;OverpayTol,2,0))</f>
        <v/>
      </c>
      <c r="W38" s="112">
        <f>IF(V38=2,AsOf,"")</f>
        <v/>
      </c>
      <c r="X38" s="79">
        <f>IF(W38="","",1)</f>
        <v/>
      </c>
      <c r="Y38" s="79">
        <f>IF(X38="","","Paying ahead of work: "&amp;B38&amp;" — paid "&amp;ROUND(T38*100,0)&amp;"%, work done "&amp;ROUND(R38*100,0)&amp;"%")</f>
        <v/>
      </c>
      <c r="AA38" s="72" t="n"/>
      <c r="AB38" s="109" t="n"/>
      <c r="AC38" s="113" t="n"/>
      <c r="AD38" s="74" t="n"/>
      <c r="AE38" s="109" t="n"/>
      <c r="AF38" s="74" t="n"/>
      <c r="AG38" s="112">
        <f>IF(AND(AA38&lt;&gt;"",AD38="Yes",AF38&lt;&gt;"Yes",AE38&lt;&gt;""),AE38,"")</f>
        <v/>
      </c>
      <c r="AH38" s="79">
        <f>IF(AG38="","",IF(AG38&lt;AsOf,1,IF(AG38&lt;=AsOf+AlertDays,2,IF(AG38&lt;=AsOf+2*AlertDays,3,""))))</f>
        <v/>
      </c>
      <c r="AI38" s="79">
        <f>IF(AH38="","","Follow up with "&amp;AA38&amp;": "&amp;AC38)</f>
        <v/>
      </c>
    </row>
    <row r="39" ht="20" customHeight="1">
      <c r="B39" s="72" t="n"/>
      <c r="C39" s="72" t="n"/>
      <c r="D39" s="72" t="n"/>
      <c r="E39" s="72" t="n"/>
      <c r="F39" s="72" t="n"/>
      <c r="G39" s="72" t="n"/>
      <c r="H39" s="72" t="n"/>
      <c r="I39" s="73" t="n"/>
      <c r="J39" s="75">
        <f>IF(B39="","",SUMIFS('Change Orders'!$J$7:$J$1006,'Change Orders'!$E$7:$E$1006,B39,'Change Orders'!$L$7:$L$1006,"Approved"))</f>
        <v/>
      </c>
      <c r="K39" s="76">
        <f>IF(B39="","",I39+J39)</f>
        <v/>
      </c>
      <c r="L39" s="74" t="n"/>
      <c r="M39" s="109" t="n"/>
      <c r="N39" s="109" t="n"/>
      <c r="O39" s="74" t="n"/>
      <c r="P39" s="74" t="n"/>
      <c r="Q39" s="100" t="n"/>
      <c r="R39" s="110" t="n"/>
      <c r="S39" s="75">
        <f>IF(B39="","",SUMIFS('Payments'!$N$6:$N$1005,'Payments'!$B$6:$B$1005,B39))</f>
        <v/>
      </c>
      <c r="T39" s="111">
        <f>IF(OR(B39="",K39=0),"",S39/K39)</f>
        <v/>
      </c>
      <c r="U39" s="78">
        <f>IF(V39="","",IF(V39=2,"⚠️ Paying ahead of work","✓ OK"))</f>
        <v/>
      </c>
      <c r="V39" s="79">
        <f>IF(T39="","",IF(T39-R39&gt;OverpayTol,2,0))</f>
        <v/>
      </c>
      <c r="W39" s="112">
        <f>IF(V39=2,AsOf,"")</f>
        <v/>
      </c>
      <c r="X39" s="79">
        <f>IF(W39="","",1)</f>
        <v/>
      </c>
      <c r="Y39" s="79">
        <f>IF(X39="","","Paying ahead of work: "&amp;B39&amp;" — paid "&amp;ROUND(T39*100,0)&amp;"%, work done "&amp;ROUND(R39*100,0)&amp;"%")</f>
        <v/>
      </c>
      <c r="AA39" s="72" t="n"/>
      <c r="AB39" s="109" t="n"/>
      <c r="AC39" s="113" t="n"/>
      <c r="AD39" s="74" t="n"/>
      <c r="AE39" s="109" t="n"/>
      <c r="AF39" s="74" t="n"/>
      <c r="AG39" s="112">
        <f>IF(AND(AA39&lt;&gt;"",AD39="Yes",AF39&lt;&gt;"Yes",AE39&lt;&gt;""),AE39,"")</f>
        <v/>
      </c>
      <c r="AH39" s="79">
        <f>IF(AG39="","",IF(AG39&lt;AsOf,1,IF(AG39&lt;=AsOf+AlertDays,2,IF(AG39&lt;=AsOf+2*AlertDays,3,""))))</f>
        <v/>
      </c>
      <c r="AI39" s="79">
        <f>IF(AH39="","","Follow up with "&amp;AA39&amp;": "&amp;AC39)</f>
        <v/>
      </c>
    </row>
    <row r="40" ht="20" customHeight="1">
      <c r="B40" s="72" t="n"/>
      <c r="C40" s="72" t="n"/>
      <c r="D40" s="72" t="n"/>
      <c r="E40" s="72" t="n"/>
      <c r="F40" s="72" t="n"/>
      <c r="G40" s="72" t="n"/>
      <c r="H40" s="72" t="n"/>
      <c r="I40" s="73" t="n"/>
      <c r="J40" s="75">
        <f>IF(B40="","",SUMIFS('Change Orders'!$J$7:$J$1006,'Change Orders'!$E$7:$E$1006,B40,'Change Orders'!$L$7:$L$1006,"Approved"))</f>
        <v/>
      </c>
      <c r="K40" s="76">
        <f>IF(B40="","",I40+J40)</f>
        <v/>
      </c>
      <c r="L40" s="74" t="n"/>
      <c r="M40" s="109" t="n"/>
      <c r="N40" s="109" t="n"/>
      <c r="O40" s="74" t="n"/>
      <c r="P40" s="74" t="n"/>
      <c r="Q40" s="100" t="n"/>
      <c r="R40" s="110" t="n"/>
      <c r="S40" s="75">
        <f>IF(B40="","",SUMIFS('Payments'!$N$6:$N$1005,'Payments'!$B$6:$B$1005,B40))</f>
        <v/>
      </c>
      <c r="T40" s="111">
        <f>IF(OR(B40="",K40=0),"",S40/K40)</f>
        <v/>
      </c>
      <c r="U40" s="78">
        <f>IF(V40="","",IF(V40=2,"⚠️ Paying ahead of work","✓ OK"))</f>
        <v/>
      </c>
      <c r="V40" s="79">
        <f>IF(T40="","",IF(T40-R40&gt;OverpayTol,2,0))</f>
        <v/>
      </c>
      <c r="W40" s="112">
        <f>IF(V40=2,AsOf,"")</f>
        <v/>
      </c>
      <c r="X40" s="79">
        <f>IF(W40="","",1)</f>
        <v/>
      </c>
      <c r="Y40" s="79">
        <f>IF(X40="","","Paying ahead of work: "&amp;B40&amp;" — paid "&amp;ROUND(T40*100,0)&amp;"%, work done "&amp;ROUND(R40*100,0)&amp;"%")</f>
        <v/>
      </c>
      <c r="AA40" s="72" t="n"/>
      <c r="AB40" s="109" t="n"/>
      <c r="AC40" s="113" t="n"/>
      <c r="AD40" s="74" t="n"/>
      <c r="AE40" s="109" t="n"/>
      <c r="AF40" s="74" t="n"/>
      <c r="AG40" s="112">
        <f>IF(AND(AA40&lt;&gt;"",AD40="Yes",AF40&lt;&gt;"Yes",AE40&lt;&gt;""),AE40,"")</f>
        <v/>
      </c>
      <c r="AH40" s="79">
        <f>IF(AG40="","",IF(AG40&lt;AsOf,1,IF(AG40&lt;=AsOf+AlertDays,2,IF(AG40&lt;=AsOf+2*AlertDays,3,""))))</f>
        <v/>
      </c>
      <c r="AI40" s="79">
        <f>IF(AH40="","","Follow up with "&amp;AA40&amp;": "&amp;AC40)</f>
        <v/>
      </c>
    </row>
    <row r="41" ht="20" customHeight="1">
      <c r="B41" s="72" t="n"/>
      <c r="C41" s="72" t="n"/>
      <c r="D41" s="72" t="n"/>
      <c r="E41" s="72" t="n"/>
      <c r="F41" s="72" t="n"/>
      <c r="G41" s="72" t="n"/>
      <c r="H41" s="72" t="n"/>
      <c r="I41" s="73" t="n"/>
      <c r="J41" s="75">
        <f>IF(B41="","",SUMIFS('Change Orders'!$J$7:$J$1006,'Change Orders'!$E$7:$E$1006,B41,'Change Orders'!$L$7:$L$1006,"Approved"))</f>
        <v/>
      </c>
      <c r="K41" s="76">
        <f>IF(B41="","",I41+J41)</f>
        <v/>
      </c>
      <c r="L41" s="74" t="n"/>
      <c r="M41" s="109" t="n"/>
      <c r="N41" s="109" t="n"/>
      <c r="O41" s="74" t="n"/>
      <c r="P41" s="74" t="n"/>
      <c r="Q41" s="100" t="n"/>
      <c r="R41" s="110" t="n"/>
      <c r="S41" s="75">
        <f>IF(B41="","",SUMIFS('Payments'!$N$6:$N$1005,'Payments'!$B$6:$B$1005,B41))</f>
        <v/>
      </c>
      <c r="T41" s="111">
        <f>IF(OR(B41="",K41=0),"",S41/K41)</f>
        <v/>
      </c>
      <c r="U41" s="78">
        <f>IF(V41="","",IF(V41=2,"⚠️ Paying ahead of work","✓ OK"))</f>
        <v/>
      </c>
      <c r="V41" s="79">
        <f>IF(T41="","",IF(T41-R41&gt;OverpayTol,2,0))</f>
        <v/>
      </c>
      <c r="W41" s="112">
        <f>IF(V41=2,AsOf,"")</f>
        <v/>
      </c>
      <c r="X41" s="79">
        <f>IF(W41="","",1)</f>
        <v/>
      </c>
      <c r="Y41" s="79">
        <f>IF(X41="","","Paying ahead of work: "&amp;B41&amp;" — paid "&amp;ROUND(T41*100,0)&amp;"%, work done "&amp;ROUND(R41*100,0)&amp;"%")</f>
        <v/>
      </c>
      <c r="AA41" s="72" t="n"/>
      <c r="AB41" s="109" t="n"/>
      <c r="AC41" s="113" t="n"/>
      <c r="AD41" s="74" t="n"/>
      <c r="AE41" s="109" t="n"/>
      <c r="AF41" s="74" t="n"/>
      <c r="AG41" s="112">
        <f>IF(AND(AA41&lt;&gt;"",AD41="Yes",AF41&lt;&gt;"Yes",AE41&lt;&gt;""),AE41,"")</f>
        <v/>
      </c>
      <c r="AH41" s="79">
        <f>IF(AG41="","",IF(AG41&lt;AsOf,1,IF(AG41&lt;=AsOf+AlertDays,2,IF(AG41&lt;=AsOf+2*AlertDays,3,""))))</f>
        <v/>
      </c>
      <c r="AI41" s="79">
        <f>IF(AH41="","","Follow up with "&amp;AA41&amp;": "&amp;AC41)</f>
        <v/>
      </c>
    </row>
    <row r="42" ht="20" customHeight="1">
      <c r="B42" s="72" t="n"/>
      <c r="C42" s="72" t="n"/>
      <c r="D42" s="72" t="n"/>
      <c r="E42" s="72" t="n"/>
      <c r="F42" s="72" t="n"/>
      <c r="G42" s="72" t="n"/>
      <c r="H42" s="72" t="n"/>
      <c r="I42" s="73" t="n"/>
      <c r="J42" s="75">
        <f>IF(B42="","",SUMIFS('Change Orders'!$J$7:$J$1006,'Change Orders'!$E$7:$E$1006,B42,'Change Orders'!$L$7:$L$1006,"Approved"))</f>
        <v/>
      </c>
      <c r="K42" s="76">
        <f>IF(B42="","",I42+J42)</f>
        <v/>
      </c>
      <c r="L42" s="74" t="n"/>
      <c r="M42" s="109" t="n"/>
      <c r="N42" s="109" t="n"/>
      <c r="O42" s="74" t="n"/>
      <c r="P42" s="74" t="n"/>
      <c r="Q42" s="100" t="n"/>
      <c r="R42" s="110" t="n"/>
      <c r="S42" s="75">
        <f>IF(B42="","",SUMIFS('Payments'!$N$6:$N$1005,'Payments'!$B$6:$B$1005,B42))</f>
        <v/>
      </c>
      <c r="T42" s="111">
        <f>IF(OR(B42="",K42=0),"",S42/K42)</f>
        <v/>
      </c>
      <c r="U42" s="78">
        <f>IF(V42="","",IF(V42=2,"⚠️ Paying ahead of work","✓ OK"))</f>
        <v/>
      </c>
      <c r="V42" s="79">
        <f>IF(T42="","",IF(T42-R42&gt;OverpayTol,2,0))</f>
        <v/>
      </c>
      <c r="W42" s="112">
        <f>IF(V42=2,AsOf,"")</f>
        <v/>
      </c>
      <c r="X42" s="79">
        <f>IF(W42="","",1)</f>
        <v/>
      </c>
      <c r="Y42" s="79">
        <f>IF(X42="","","Paying ahead of work: "&amp;B42&amp;" — paid "&amp;ROUND(T42*100,0)&amp;"%, work done "&amp;ROUND(R42*100,0)&amp;"%")</f>
        <v/>
      </c>
      <c r="AA42" s="72" t="n"/>
      <c r="AB42" s="109" t="n"/>
      <c r="AC42" s="113" t="n"/>
      <c r="AD42" s="74" t="n"/>
      <c r="AE42" s="109" t="n"/>
      <c r="AF42" s="74" t="n"/>
      <c r="AG42" s="112">
        <f>IF(AND(AA42&lt;&gt;"",AD42="Yes",AF42&lt;&gt;"Yes",AE42&lt;&gt;""),AE42,"")</f>
        <v/>
      </c>
      <c r="AH42" s="79">
        <f>IF(AG42="","",IF(AG42&lt;AsOf,1,IF(AG42&lt;=AsOf+AlertDays,2,IF(AG42&lt;=AsOf+2*AlertDays,3,""))))</f>
        <v/>
      </c>
      <c r="AI42" s="79">
        <f>IF(AH42="","","Follow up with "&amp;AA42&amp;": "&amp;AC42)</f>
        <v/>
      </c>
    </row>
    <row r="43" ht="20" customHeight="1">
      <c r="B43" s="72" t="n"/>
      <c r="C43" s="72" t="n"/>
      <c r="D43" s="72" t="n"/>
      <c r="E43" s="72" t="n"/>
      <c r="F43" s="72" t="n"/>
      <c r="G43" s="72" t="n"/>
      <c r="H43" s="72" t="n"/>
      <c r="I43" s="73" t="n"/>
      <c r="J43" s="75">
        <f>IF(B43="","",SUMIFS('Change Orders'!$J$7:$J$1006,'Change Orders'!$E$7:$E$1006,B43,'Change Orders'!$L$7:$L$1006,"Approved"))</f>
        <v/>
      </c>
      <c r="K43" s="76">
        <f>IF(B43="","",I43+J43)</f>
        <v/>
      </c>
      <c r="L43" s="74" t="n"/>
      <c r="M43" s="109" t="n"/>
      <c r="N43" s="109" t="n"/>
      <c r="O43" s="74" t="n"/>
      <c r="P43" s="74" t="n"/>
      <c r="Q43" s="100" t="n"/>
      <c r="R43" s="110" t="n"/>
      <c r="S43" s="75">
        <f>IF(B43="","",SUMIFS('Payments'!$N$6:$N$1005,'Payments'!$B$6:$B$1005,B43))</f>
        <v/>
      </c>
      <c r="T43" s="111">
        <f>IF(OR(B43="",K43=0),"",S43/K43)</f>
        <v/>
      </c>
      <c r="U43" s="78">
        <f>IF(V43="","",IF(V43=2,"⚠️ Paying ahead of work","✓ OK"))</f>
        <v/>
      </c>
      <c r="V43" s="79">
        <f>IF(T43="","",IF(T43-R43&gt;OverpayTol,2,0))</f>
        <v/>
      </c>
      <c r="W43" s="112">
        <f>IF(V43=2,AsOf,"")</f>
        <v/>
      </c>
      <c r="X43" s="79">
        <f>IF(W43="","",1)</f>
        <v/>
      </c>
      <c r="Y43" s="79">
        <f>IF(X43="","","Paying ahead of work: "&amp;B43&amp;" — paid "&amp;ROUND(T43*100,0)&amp;"%, work done "&amp;ROUND(R43*100,0)&amp;"%")</f>
        <v/>
      </c>
      <c r="AA43" s="72" t="n"/>
      <c r="AB43" s="109" t="n"/>
      <c r="AC43" s="113" t="n"/>
      <c r="AD43" s="74" t="n"/>
      <c r="AE43" s="109" t="n"/>
      <c r="AF43" s="74" t="n"/>
      <c r="AG43" s="112">
        <f>IF(AND(AA43&lt;&gt;"",AD43="Yes",AF43&lt;&gt;"Yes",AE43&lt;&gt;""),AE43,"")</f>
        <v/>
      </c>
      <c r="AH43" s="79">
        <f>IF(AG43="","",IF(AG43&lt;AsOf,1,IF(AG43&lt;=AsOf+AlertDays,2,IF(AG43&lt;=AsOf+2*AlertDays,3,""))))</f>
        <v/>
      </c>
      <c r="AI43" s="79">
        <f>IF(AH43="","","Follow up with "&amp;AA43&amp;": "&amp;AC43)</f>
        <v/>
      </c>
    </row>
    <row r="44" ht="20" customHeight="1">
      <c r="B44" s="72" t="n"/>
      <c r="C44" s="72" t="n"/>
      <c r="D44" s="72" t="n"/>
      <c r="E44" s="72" t="n"/>
      <c r="F44" s="72" t="n"/>
      <c r="G44" s="72" t="n"/>
      <c r="H44" s="72" t="n"/>
      <c r="I44" s="73" t="n"/>
      <c r="J44" s="75">
        <f>IF(B44="","",SUMIFS('Change Orders'!$J$7:$J$1006,'Change Orders'!$E$7:$E$1006,B44,'Change Orders'!$L$7:$L$1006,"Approved"))</f>
        <v/>
      </c>
      <c r="K44" s="76">
        <f>IF(B44="","",I44+J44)</f>
        <v/>
      </c>
      <c r="L44" s="74" t="n"/>
      <c r="M44" s="109" t="n"/>
      <c r="N44" s="109" t="n"/>
      <c r="O44" s="74" t="n"/>
      <c r="P44" s="74" t="n"/>
      <c r="Q44" s="100" t="n"/>
      <c r="R44" s="110" t="n"/>
      <c r="S44" s="75">
        <f>IF(B44="","",SUMIFS('Payments'!$N$6:$N$1005,'Payments'!$B$6:$B$1005,B44))</f>
        <v/>
      </c>
      <c r="T44" s="111">
        <f>IF(OR(B44="",K44=0),"",S44/K44)</f>
        <v/>
      </c>
      <c r="U44" s="78">
        <f>IF(V44="","",IF(V44=2,"⚠️ Paying ahead of work","✓ OK"))</f>
        <v/>
      </c>
      <c r="V44" s="79">
        <f>IF(T44="","",IF(T44-R44&gt;OverpayTol,2,0))</f>
        <v/>
      </c>
      <c r="W44" s="112">
        <f>IF(V44=2,AsOf,"")</f>
        <v/>
      </c>
      <c r="X44" s="79">
        <f>IF(W44="","",1)</f>
        <v/>
      </c>
      <c r="Y44" s="79">
        <f>IF(X44="","","Paying ahead of work: "&amp;B44&amp;" — paid "&amp;ROUND(T44*100,0)&amp;"%, work done "&amp;ROUND(R44*100,0)&amp;"%")</f>
        <v/>
      </c>
      <c r="AA44" s="72" t="n"/>
      <c r="AB44" s="109" t="n"/>
      <c r="AC44" s="113" t="n"/>
      <c r="AD44" s="74" t="n"/>
      <c r="AE44" s="109" t="n"/>
      <c r="AF44" s="74" t="n"/>
      <c r="AG44" s="112">
        <f>IF(AND(AA44&lt;&gt;"",AD44="Yes",AF44&lt;&gt;"Yes",AE44&lt;&gt;""),AE44,"")</f>
        <v/>
      </c>
      <c r="AH44" s="79">
        <f>IF(AG44="","",IF(AG44&lt;AsOf,1,IF(AG44&lt;=AsOf+AlertDays,2,IF(AG44&lt;=AsOf+2*AlertDays,3,""))))</f>
        <v/>
      </c>
      <c r="AI44" s="79">
        <f>IF(AH44="","","Follow up with "&amp;AA44&amp;": "&amp;AC44)</f>
        <v/>
      </c>
    </row>
    <row r="45" ht="20" customHeight="1">
      <c r="B45" s="72" t="n"/>
      <c r="C45" s="72" t="n"/>
      <c r="D45" s="72" t="n"/>
      <c r="E45" s="72" t="n"/>
      <c r="F45" s="72" t="n"/>
      <c r="G45" s="72" t="n"/>
      <c r="H45" s="72" t="n"/>
      <c r="I45" s="73" t="n"/>
      <c r="J45" s="75">
        <f>IF(B45="","",SUMIFS('Change Orders'!$J$7:$J$1006,'Change Orders'!$E$7:$E$1006,B45,'Change Orders'!$L$7:$L$1006,"Approved"))</f>
        <v/>
      </c>
      <c r="K45" s="76">
        <f>IF(B45="","",I45+J45)</f>
        <v/>
      </c>
      <c r="L45" s="74" t="n"/>
      <c r="M45" s="109" t="n"/>
      <c r="N45" s="109" t="n"/>
      <c r="O45" s="74" t="n"/>
      <c r="P45" s="74" t="n"/>
      <c r="Q45" s="100" t="n"/>
      <c r="R45" s="110" t="n"/>
      <c r="S45" s="75">
        <f>IF(B45="","",SUMIFS('Payments'!$N$6:$N$1005,'Payments'!$B$6:$B$1005,B45))</f>
        <v/>
      </c>
      <c r="T45" s="111">
        <f>IF(OR(B45="",K45=0),"",S45/K45)</f>
        <v/>
      </c>
      <c r="U45" s="78">
        <f>IF(V45="","",IF(V45=2,"⚠️ Paying ahead of work","✓ OK"))</f>
        <v/>
      </c>
      <c r="V45" s="79">
        <f>IF(T45="","",IF(T45-R45&gt;OverpayTol,2,0))</f>
        <v/>
      </c>
      <c r="W45" s="112">
        <f>IF(V45=2,AsOf,"")</f>
        <v/>
      </c>
      <c r="X45" s="79">
        <f>IF(W45="","",1)</f>
        <v/>
      </c>
      <c r="Y45" s="79">
        <f>IF(X45="","","Paying ahead of work: "&amp;B45&amp;" — paid "&amp;ROUND(T45*100,0)&amp;"%, work done "&amp;ROUND(R45*100,0)&amp;"%")</f>
        <v/>
      </c>
      <c r="AA45" s="72" t="n"/>
      <c r="AB45" s="109" t="n"/>
      <c r="AC45" s="113" t="n"/>
      <c r="AD45" s="74" t="n"/>
      <c r="AE45" s="109" t="n"/>
      <c r="AF45" s="74" t="n"/>
      <c r="AG45" s="112">
        <f>IF(AND(AA45&lt;&gt;"",AD45="Yes",AF45&lt;&gt;"Yes",AE45&lt;&gt;""),AE45,"")</f>
        <v/>
      </c>
      <c r="AH45" s="79">
        <f>IF(AG45="","",IF(AG45&lt;AsOf,1,IF(AG45&lt;=AsOf+AlertDays,2,IF(AG45&lt;=AsOf+2*AlertDays,3,""))))</f>
        <v/>
      </c>
      <c r="AI45" s="79">
        <f>IF(AH45="","","Follow up with "&amp;AA45&amp;": "&amp;AC45)</f>
        <v/>
      </c>
    </row>
    <row r="46" ht="20" customHeight="1">
      <c r="B46" s="72" t="n"/>
      <c r="C46" s="72" t="n"/>
      <c r="D46" s="72" t="n"/>
      <c r="E46" s="72" t="n"/>
      <c r="F46" s="72" t="n"/>
      <c r="G46" s="72" t="n"/>
      <c r="H46" s="72" t="n"/>
      <c r="I46" s="73" t="n"/>
      <c r="J46" s="75">
        <f>IF(B46="","",SUMIFS('Change Orders'!$J$7:$J$1006,'Change Orders'!$E$7:$E$1006,B46,'Change Orders'!$L$7:$L$1006,"Approved"))</f>
        <v/>
      </c>
      <c r="K46" s="76">
        <f>IF(B46="","",I46+J46)</f>
        <v/>
      </c>
      <c r="L46" s="74" t="n"/>
      <c r="M46" s="109" t="n"/>
      <c r="N46" s="109" t="n"/>
      <c r="O46" s="74" t="n"/>
      <c r="P46" s="74" t="n"/>
      <c r="Q46" s="100" t="n"/>
      <c r="R46" s="110" t="n"/>
      <c r="S46" s="75">
        <f>IF(B46="","",SUMIFS('Payments'!$N$6:$N$1005,'Payments'!$B$6:$B$1005,B46))</f>
        <v/>
      </c>
      <c r="T46" s="111">
        <f>IF(OR(B46="",K46=0),"",S46/K46)</f>
        <v/>
      </c>
      <c r="U46" s="78">
        <f>IF(V46="","",IF(V46=2,"⚠️ Paying ahead of work","✓ OK"))</f>
        <v/>
      </c>
      <c r="V46" s="79">
        <f>IF(T46="","",IF(T46-R46&gt;OverpayTol,2,0))</f>
        <v/>
      </c>
      <c r="W46" s="112">
        <f>IF(V46=2,AsOf,"")</f>
        <v/>
      </c>
      <c r="X46" s="79">
        <f>IF(W46="","",1)</f>
        <v/>
      </c>
      <c r="Y46" s="79">
        <f>IF(X46="","","Paying ahead of work: "&amp;B46&amp;" — paid "&amp;ROUND(T46*100,0)&amp;"%, work done "&amp;ROUND(R46*100,0)&amp;"%")</f>
        <v/>
      </c>
      <c r="AA46" s="72" t="n"/>
      <c r="AB46" s="109" t="n"/>
      <c r="AC46" s="113" t="n"/>
      <c r="AD46" s="74" t="n"/>
      <c r="AE46" s="109" t="n"/>
      <c r="AF46" s="74" t="n"/>
      <c r="AG46" s="112">
        <f>IF(AND(AA46&lt;&gt;"",AD46="Yes",AF46&lt;&gt;"Yes",AE46&lt;&gt;""),AE46,"")</f>
        <v/>
      </c>
      <c r="AH46" s="79">
        <f>IF(AG46="","",IF(AG46&lt;AsOf,1,IF(AG46&lt;=AsOf+AlertDays,2,IF(AG46&lt;=AsOf+2*AlertDays,3,""))))</f>
        <v/>
      </c>
      <c r="AI46" s="79">
        <f>IF(AH46="","","Follow up with "&amp;AA46&amp;": "&amp;AC46)</f>
        <v/>
      </c>
    </row>
    <row r="47" ht="20" customHeight="1">
      <c r="B47" s="72" t="n"/>
      <c r="C47" s="72" t="n"/>
      <c r="D47" s="72" t="n"/>
      <c r="E47" s="72" t="n"/>
      <c r="F47" s="72" t="n"/>
      <c r="G47" s="72" t="n"/>
      <c r="H47" s="72" t="n"/>
      <c r="I47" s="73" t="n"/>
      <c r="J47" s="75">
        <f>IF(B47="","",SUMIFS('Change Orders'!$J$7:$J$1006,'Change Orders'!$E$7:$E$1006,B47,'Change Orders'!$L$7:$L$1006,"Approved"))</f>
        <v/>
      </c>
      <c r="K47" s="76">
        <f>IF(B47="","",I47+J47)</f>
        <v/>
      </c>
      <c r="L47" s="74" t="n"/>
      <c r="M47" s="109" t="n"/>
      <c r="N47" s="109" t="n"/>
      <c r="O47" s="74" t="n"/>
      <c r="P47" s="74" t="n"/>
      <c r="Q47" s="100" t="n"/>
      <c r="R47" s="110" t="n"/>
      <c r="S47" s="75">
        <f>IF(B47="","",SUMIFS('Payments'!$N$6:$N$1005,'Payments'!$B$6:$B$1005,B47))</f>
        <v/>
      </c>
      <c r="T47" s="111">
        <f>IF(OR(B47="",K47=0),"",S47/K47)</f>
        <v/>
      </c>
      <c r="U47" s="78">
        <f>IF(V47="","",IF(V47=2,"⚠️ Paying ahead of work","✓ OK"))</f>
        <v/>
      </c>
      <c r="V47" s="79">
        <f>IF(T47="","",IF(T47-R47&gt;OverpayTol,2,0))</f>
        <v/>
      </c>
      <c r="W47" s="112">
        <f>IF(V47=2,AsOf,"")</f>
        <v/>
      </c>
      <c r="X47" s="79">
        <f>IF(W47="","",1)</f>
        <v/>
      </c>
      <c r="Y47" s="79">
        <f>IF(X47="","","Paying ahead of work: "&amp;B47&amp;" — paid "&amp;ROUND(T47*100,0)&amp;"%, work done "&amp;ROUND(R47*100,0)&amp;"%")</f>
        <v/>
      </c>
      <c r="AA47" s="72" t="n"/>
      <c r="AB47" s="109" t="n"/>
      <c r="AC47" s="113" t="n"/>
      <c r="AD47" s="74" t="n"/>
      <c r="AE47" s="109" t="n"/>
      <c r="AF47" s="74" t="n"/>
      <c r="AG47" s="112">
        <f>IF(AND(AA47&lt;&gt;"",AD47="Yes",AF47&lt;&gt;"Yes",AE47&lt;&gt;""),AE47,"")</f>
        <v/>
      </c>
      <c r="AH47" s="79">
        <f>IF(AG47="","",IF(AG47&lt;AsOf,1,IF(AG47&lt;=AsOf+AlertDays,2,IF(AG47&lt;=AsOf+2*AlertDays,3,""))))</f>
        <v/>
      </c>
      <c r="AI47" s="79">
        <f>IF(AH47="","","Follow up with "&amp;AA47&amp;": "&amp;AC47)</f>
        <v/>
      </c>
    </row>
    <row r="48" ht="20" customHeight="1">
      <c r="B48" s="72" t="n"/>
      <c r="C48" s="72" t="n"/>
      <c r="D48" s="72" t="n"/>
      <c r="E48" s="72" t="n"/>
      <c r="F48" s="72" t="n"/>
      <c r="G48" s="72" t="n"/>
      <c r="H48" s="72" t="n"/>
      <c r="I48" s="73" t="n"/>
      <c r="J48" s="75">
        <f>IF(B48="","",SUMIFS('Change Orders'!$J$7:$J$1006,'Change Orders'!$E$7:$E$1006,B48,'Change Orders'!$L$7:$L$1006,"Approved"))</f>
        <v/>
      </c>
      <c r="K48" s="76">
        <f>IF(B48="","",I48+J48)</f>
        <v/>
      </c>
      <c r="L48" s="74" t="n"/>
      <c r="M48" s="109" t="n"/>
      <c r="N48" s="109" t="n"/>
      <c r="O48" s="74" t="n"/>
      <c r="P48" s="74" t="n"/>
      <c r="Q48" s="100" t="n"/>
      <c r="R48" s="110" t="n"/>
      <c r="S48" s="75">
        <f>IF(B48="","",SUMIFS('Payments'!$N$6:$N$1005,'Payments'!$B$6:$B$1005,B48))</f>
        <v/>
      </c>
      <c r="T48" s="111">
        <f>IF(OR(B48="",K48=0),"",S48/K48)</f>
        <v/>
      </c>
      <c r="U48" s="78">
        <f>IF(V48="","",IF(V48=2,"⚠️ Paying ahead of work","✓ OK"))</f>
        <v/>
      </c>
      <c r="V48" s="79">
        <f>IF(T48="","",IF(T48-R48&gt;OverpayTol,2,0))</f>
        <v/>
      </c>
      <c r="W48" s="112">
        <f>IF(V48=2,AsOf,"")</f>
        <v/>
      </c>
      <c r="X48" s="79">
        <f>IF(W48="","",1)</f>
        <v/>
      </c>
      <c r="Y48" s="79">
        <f>IF(X48="","","Paying ahead of work: "&amp;B48&amp;" — paid "&amp;ROUND(T48*100,0)&amp;"%, work done "&amp;ROUND(R48*100,0)&amp;"%")</f>
        <v/>
      </c>
      <c r="AA48" s="72" t="n"/>
      <c r="AB48" s="109" t="n"/>
      <c r="AC48" s="113" t="n"/>
      <c r="AD48" s="74" t="n"/>
      <c r="AE48" s="109" t="n"/>
      <c r="AF48" s="74" t="n"/>
      <c r="AG48" s="112">
        <f>IF(AND(AA48&lt;&gt;"",AD48="Yes",AF48&lt;&gt;"Yes",AE48&lt;&gt;""),AE48,"")</f>
        <v/>
      </c>
      <c r="AH48" s="79">
        <f>IF(AG48="","",IF(AG48&lt;AsOf,1,IF(AG48&lt;=AsOf+AlertDays,2,IF(AG48&lt;=AsOf+2*AlertDays,3,""))))</f>
        <v/>
      </c>
      <c r="AI48" s="79">
        <f>IF(AH48="","","Follow up with "&amp;AA48&amp;": "&amp;AC48)</f>
        <v/>
      </c>
    </row>
    <row r="49" ht="20" customHeight="1">
      <c r="B49" s="72" t="n"/>
      <c r="C49" s="72" t="n"/>
      <c r="D49" s="72" t="n"/>
      <c r="E49" s="72" t="n"/>
      <c r="F49" s="72" t="n"/>
      <c r="G49" s="72" t="n"/>
      <c r="H49" s="72" t="n"/>
      <c r="I49" s="73" t="n"/>
      <c r="J49" s="75">
        <f>IF(B49="","",SUMIFS('Change Orders'!$J$7:$J$1006,'Change Orders'!$E$7:$E$1006,B49,'Change Orders'!$L$7:$L$1006,"Approved"))</f>
        <v/>
      </c>
      <c r="K49" s="76">
        <f>IF(B49="","",I49+J49)</f>
        <v/>
      </c>
      <c r="L49" s="74" t="n"/>
      <c r="M49" s="109" t="n"/>
      <c r="N49" s="109" t="n"/>
      <c r="O49" s="74" t="n"/>
      <c r="P49" s="74" t="n"/>
      <c r="Q49" s="100" t="n"/>
      <c r="R49" s="110" t="n"/>
      <c r="S49" s="75">
        <f>IF(B49="","",SUMIFS('Payments'!$N$6:$N$1005,'Payments'!$B$6:$B$1005,B49))</f>
        <v/>
      </c>
      <c r="T49" s="111">
        <f>IF(OR(B49="",K49=0),"",S49/K49)</f>
        <v/>
      </c>
      <c r="U49" s="78">
        <f>IF(V49="","",IF(V49=2,"⚠️ Paying ahead of work","✓ OK"))</f>
        <v/>
      </c>
      <c r="V49" s="79">
        <f>IF(T49="","",IF(T49-R49&gt;OverpayTol,2,0))</f>
        <v/>
      </c>
      <c r="W49" s="112">
        <f>IF(V49=2,AsOf,"")</f>
        <v/>
      </c>
      <c r="X49" s="79">
        <f>IF(W49="","",1)</f>
        <v/>
      </c>
      <c r="Y49" s="79">
        <f>IF(X49="","","Paying ahead of work: "&amp;B49&amp;" — paid "&amp;ROUND(T49*100,0)&amp;"%, work done "&amp;ROUND(R49*100,0)&amp;"%")</f>
        <v/>
      </c>
      <c r="AA49" s="72" t="n"/>
      <c r="AB49" s="109" t="n"/>
      <c r="AC49" s="113" t="n"/>
      <c r="AD49" s="74" t="n"/>
      <c r="AE49" s="109" t="n"/>
      <c r="AF49" s="74" t="n"/>
      <c r="AG49" s="112">
        <f>IF(AND(AA49&lt;&gt;"",AD49="Yes",AF49&lt;&gt;"Yes",AE49&lt;&gt;""),AE49,"")</f>
        <v/>
      </c>
      <c r="AH49" s="79">
        <f>IF(AG49="","",IF(AG49&lt;AsOf,1,IF(AG49&lt;=AsOf+AlertDays,2,IF(AG49&lt;=AsOf+2*AlertDays,3,""))))</f>
        <v/>
      </c>
      <c r="AI49" s="79">
        <f>IF(AH49="","","Follow up with "&amp;AA49&amp;": "&amp;AC49)</f>
        <v/>
      </c>
    </row>
    <row r="50" ht="20" customHeight="1">
      <c r="B50" s="72" t="n"/>
      <c r="C50" s="72" t="n"/>
      <c r="D50" s="72" t="n"/>
      <c r="E50" s="72" t="n"/>
      <c r="F50" s="72" t="n"/>
      <c r="G50" s="72" t="n"/>
      <c r="H50" s="72" t="n"/>
      <c r="I50" s="73" t="n"/>
      <c r="J50" s="75">
        <f>IF(B50="","",SUMIFS('Change Orders'!$J$7:$J$1006,'Change Orders'!$E$7:$E$1006,B50,'Change Orders'!$L$7:$L$1006,"Approved"))</f>
        <v/>
      </c>
      <c r="K50" s="76">
        <f>IF(B50="","",I50+J50)</f>
        <v/>
      </c>
      <c r="L50" s="74" t="n"/>
      <c r="M50" s="109" t="n"/>
      <c r="N50" s="109" t="n"/>
      <c r="O50" s="74" t="n"/>
      <c r="P50" s="74" t="n"/>
      <c r="Q50" s="100" t="n"/>
      <c r="R50" s="110" t="n"/>
      <c r="S50" s="75">
        <f>IF(B50="","",SUMIFS('Payments'!$N$6:$N$1005,'Payments'!$B$6:$B$1005,B50))</f>
        <v/>
      </c>
      <c r="T50" s="111">
        <f>IF(OR(B50="",K50=0),"",S50/K50)</f>
        <v/>
      </c>
      <c r="U50" s="78">
        <f>IF(V50="","",IF(V50=2,"⚠️ Paying ahead of work","✓ OK"))</f>
        <v/>
      </c>
      <c r="V50" s="79">
        <f>IF(T50="","",IF(T50-R50&gt;OverpayTol,2,0))</f>
        <v/>
      </c>
      <c r="W50" s="112">
        <f>IF(V50=2,AsOf,"")</f>
        <v/>
      </c>
      <c r="X50" s="79">
        <f>IF(W50="","",1)</f>
        <v/>
      </c>
      <c r="Y50" s="79">
        <f>IF(X50="","","Paying ahead of work: "&amp;B50&amp;" — paid "&amp;ROUND(T50*100,0)&amp;"%, work done "&amp;ROUND(R50*100,0)&amp;"%")</f>
        <v/>
      </c>
      <c r="AA50" s="72" t="n"/>
      <c r="AB50" s="109" t="n"/>
      <c r="AC50" s="113" t="n"/>
      <c r="AD50" s="74" t="n"/>
      <c r="AE50" s="109" t="n"/>
      <c r="AF50" s="74" t="n"/>
      <c r="AG50" s="112">
        <f>IF(AND(AA50&lt;&gt;"",AD50="Yes",AF50&lt;&gt;"Yes",AE50&lt;&gt;""),AE50,"")</f>
        <v/>
      </c>
      <c r="AH50" s="79">
        <f>IF(AG50="","",IF(AG50&lt;AsOf,1,IF(AG50&lt;=AsOf+AlertDays,2,IF(AG50&lt;=AsOf+2*AlertDays,3,""))))</f>
        <v/>
      </c>
      <c r="AI50" s="79">
        <f>IF(AH50="","","Follow up with "&amp;AA50&amp;": "&amp;AC50)</f>
        <v/>
      </c>
    </row>
    <row r="51" ht="20" customHeight="1">
      <c r="B51" s="72" t="n"/>
      <c r="C51" s="72" t="n"/>
      <c r="D51" s="72" t="n"/>
      <c r="E51" s="72" t="n"/>
      <c r="F51" s="72" t="n"/>
      <c r="G51" s="72" t="n"/>
      <c r="H51" s="72" t="n"/>
      <c r="I51" s="73" t="n"/>
      <c r="J51" s="75">
        <f>IF(B51="","",SUMIFS('Change Orders'!$J$7:$J$1006,'Change Orders'!$E$7:$E$1006,B51,'Change Orders'!$L$7:$L$1006,"Approved"))</f>
        <v/>
      </c>
      <c r="K51" s="76">
        <f>IF(B51="","",I51+J51)</f>
        <v/>
      </c>
      <c r="L51" s="74" t="n"/>
      <c r="M51" s="109" t="n"/>
      <c r="N51" s="109" t="n"/>
      <c r="O51" s="74" t="n"/>
      <c r="P51" s="74" t="n"/>
      <c r="Q51" s="100" t="n"/>
      <c r="R51" s="110" t="n"/>
      <c r="S51" s="75">
        <f>IF(B51="","",SUMIFS('Payments'!$N$6:$N$1005,'Payments'!$B$6:$B$1005,B51))</f>
        <v/>
      </c>
      <c r="T51" s="111">
        <f>IF(OR(B51="",K51=0),"",S51/K51)</f>
        <v/>
      </c>
      <c r="U51" s="78">
        <f>IF(V51="","",IF(V51=2,"⚠️ Paying ahead of work","✓ OK"))</f>
        <v/>
      </c>
      <c r="V51" s="79">
        <f>IF(T51="","",IF(T51-R51&gt;OverpayTol,2,0))</f>
        <v/>
      </c>
      <c r="W51" s="112">
        <f>IF(V51=2,AsOf,"")</f>
        <v/>
      </c>
      <c r="X51" s="79">
        <f>IF(W51="","",1)</f>
        <v/>
      </c>
      <c r="Y51" s="79">
        <f>IF(X51="","","Paying ahead of work: "&amp;B51&amp;" — paid "&amp;ROUND(T51*100,0)&amp;"%, work done "&amp;ROUND(R51*100,0)&amp;"%")</f>
        <v/>
      </c>
      <c r="AA51" s="72" t="n"/>
      <c r="AB51" s="109" t="n"/>
      <c r="AC51" s="113" t="n"/>
      <c r="AD51" s="74" t="n"/>
      <c r="AE51" s="109" t="n"/>
      <c r="AF51" s="74" t="n"/>
      <c r="AG51" s="112">
        <f>IF(AND(AA51&lt;&gt;"",AD51="Yes",AF51&lt;&gt;"Yes",AE51&lt;&gt;""),AE51,"")</f>
        <v/>
      </c>
      <c r="AH51" s="79">
        <f>IF(AG51="","",IF(AG51&lt;AsOf,1,IF(AG51&lt;=AsOf+AlertDays,2,IF(AG51&lt;=AsOf+2*AlertDays,3,""))))</f>
        <v/>
      </c>
      <c r="AI51" s="79">
        <f>IF(AH51="","","Follow up with "&amp;AA51&amp;": "&amp;AC51)</f>
        <v/>
      </c>
    </row>
    <row r="52" ht="20" customHeight="1">
      <c r="B52" s="72" t="n"/>
      <c r="C52" s="72" t="n"/>
      <c r="D52" s="72" t="n"/>
      <c r="E52" s="72" t="n"/>
      <c r="F52" s="72" t="n"/>
      <c r="G52" s="72" t="n"/>
      <c r="H52" s="72" t="n"/>
      <c r="I52" s="73" t="n"/>
      <c r="J52" s="75">
        <f>IF(B52="","",SUMIFS('Change Orders'!$J$7:$J$1006,'Change Orders'!$E$7:$E$1006,B52,'Change Orders'!$L$7:$L$1006,"Approved"))</f>
        <v/>
      </c>
      <c r="K52" s="76">
        <f>IF(B52="","",I52+J52)</f>
        <v/>
      </c>
      <c r="L52" s="74" t="n"/>
      <c r="M52" s="109" t="n"/>
      <c r="N52" s="109" t="n"/>
      <c r="O52" s="74" t="n"/>
      <c r="P52" s="74" t="n"/>
      <c r="Q52" s="100" t="n"/>
      <c r="R52" s="110" t="n"/>
      <c r="S52" s="75">
        <f>IF(B52="","",SUMIFS('Payments'!$N$6:$N$1005,'Payments'!$B$6:$B$1005,B52))</f>
        <v/>
      </c>
      <c r="T52" s="111">
        <f>IF(OR(B52="",K52=0),"",S52/K52)</f>
        <v/>
      </c>
      <c r="U52" s="78">
        <f>IF(V52="","",IF(V52=2,"⚠️ Paying ahead of work","✓ OK"))</f>
        <v/>
      </c>
      <c r="V52" s="79">
        <f>IF(T52="","",IF(T52-R52&gt;OverpayTol,2,0))</f>
        <v/>
      </c>
      <c r="W52" s="112">
        <f>IF(V52=2,AsOf,"")</f>
        <v/>
      </c>
      <c r="X52" s="79">
        <f>IF(W52="","",1)</f>
        <v/>
      </c>
      <c r="Y52" s="79">
        <f>IF(X52="","","Paying ahead of work: "&amp;B52&amp;" — paid "&amp;ROUND(T52*100,0)&amp;"%, work done "&amp;ROUND(R52*100,0)&amp;"%")</f>
        <v/>
      </c>
      <c r="AA52" s="72" t="n"/>
      <c r="AB52" s="109" t="n"/>
      <c r="AC52" s="113" t="n"/>
      <c r="AD52" s="74" t="n"/>
      <c r="AE52" s="109" t="n"/>
      <c r="AF52" s="74" t="n"/>
      <c r="AG52" s="112">
        <f>IF(AND(AA52&lt;&gt;"",AD52="Yes",AF52&lt;&gt;"Yes",AE52&lt;&gt;""),AE52,"")</f>
        <v/>
      </c>
      <c r="AH52" s="79">
        <f>IF(AG52="","",IF(AG52&lt;AsOf,1,IF(AG52&lt;=AsOf+AlertDays,2,IF(AG52&lt;=AsOf+2*AlertDays,3,""))))</f>
        <v/>
      </c>
      <c r="AI52" s="79">
        <f>IF(AH52="","","Follow up with "&amp;AA52&amp;": "&amp;AC52)</f>
        <v/>
      </c>
    </row>
    <row r="53" ht="20" customHeight="1">
      <c r="B53" s="72" t="n"/>
      <c r="C53" s="72" t="n"/>
      <c r="D53" s="72" t="n"/>
      <c r="E53" s="72" t="n"/>
      <c r="F53" s="72" t="n"/>
      <c r="G53" s="72" t="n"/>
      <c r="H53" s="72" t="n"/>
      <c r="I53" s="73" t="n"/>
      <c r="J53" s="75">
        <f>IF(B53="","",SUMIFS('Change Orders'!$J$7:$J$1006,'Change Orders'!$E$7:$E$1006,B53,'Change Orders'!$L$7:$L$1006,"Approved"))</f>
        <v/>
      </c>
      <c r="K53" s="76">
        <f>IF(B53="","",I53+J53)</f>
        <v/>
      </c>
      <c r="L53" s="74" t="n"/>
      <c r="M53" s="109" t="n"/>
      <c r="N53" s="109" t="n"/>
      <c r="O53" s="74" t="n"/>
      <c r="P53" s="74" t="n"/>
      <c r="Q53" s="100" t="n"/>
      <c r="R53" s="110" t="n"/>
      <c r="S53" s="75">
        <f>IF(B53="","",SUMIFS('Payments'!$N$6:$N$1005,'Payments'!$B$6:$B$1005,B53))</f>
        <v/>
      </c>
      <c r="T53" s="111">
        <f>IF(OR(B53="",K53=0),"",S53/K53)</f>
        <v/>
      </c>
      <c r="U53" s="78">
        <f>IF(V53="","",IF(V53=2,"⚠️ Paying ahead of work","✓ OK"))</f>
        <v/>
      </c>
      <c r="V53" s="79">
        <f>IF(T53="","",IF(T53-R53&gt;OverpayTol,2,0))</f>
        <v/>
      </c>
      <c r="W53" s="112">
        <f>IF(V53=2,AsOf,"")</f>
        <v/>
      </c>
      <c r="X53" s="79">
        <f>IF(W53="","",1)</f>
        <v/>
      </c>
      <c r="Y53" s="79">
        <f>IF(X53="","","Paying ahead of work: "&amp;B53&amp;" — paid "&amp;ROUND(T53*100,0)&amp;"%, work done "&amp;ROUND(R53*100,0)&amp;"%")</f>
        <v/>
      </c>
      <c r="AA53" s="72" t="n"/>
      <c r="AB53" s="109" t="n"/>
      <c r="AC53" s="113" t="n"/>
      <c r="AD53" s="74" t="n"/>
      <c r="AE53" s="109" t="n"/>
      <c r="AF53" s="74" t="n"/>
      <c r="AG53" s="112">
        <f>IF(AND(AA53&lt;&gt;"",AD53="Yes",AF53&lt;&gt;"Yes",AE53&lt;&gt;""),AE53,"")</f>
        <v/>
      </c>
      <c r="AH53" s="79">
        <f>IF(AG53="","",IF(AG53&lt;AsOf,1,IF(AG53&lt;=AsOf+AlertDays,2,IF(AG53&lt;=AsOf+2*AlertDays,3,""))))</f>
        <v/>
      </c>
      <c r="AI53" s="79">
        <f>IF(AH53="","","Follow up with "&amp;AA53&amp;": "&amp;AC53)</f>
        <v/>
      </c>
    </row>
    <row r="54" ht="20" customHeight="1">
      <c r="B54" s="72" t="n"/>
      <c r="C54" s="72" t="n"/>
      <c r="D54" s="72" t="n"/>
      <c r="E54" s="72" t="n"/>
      <c r="F54" s="72" t="n"/>
      <c r="G54" s="72" t="n"/>
      <c r="H54" s="72" t="n"/>
      <c r="I54" s="73" t="n"/>
      <c r="J54" s="75">
        <f>IF(B54="","",SUMIFS('Change Orders'!$J$7:$J$1006,'Change Orders'!$E$7:$E$1006,B54,'Change Orders'!$L$7:$L$1006,"Approved"))</f>
        <v/>
      </c>
      <c r="K54" s="76">
        <f>IF(B54="","",I54+J54)</f>
        <v/>
      </c>
      <c r="L54" s="74" t="n"/>
      <c r="M54" s="109" t="n"/>
      <c r="N54" s="109" t="n"/>
      <c r="O54" s="74" t="n"/>
      <c r="P54" s="74" t="n"/>
      <c r="Q54" s="100" t="n"/>
      <c r="R54" s="110" t="n"/>
      <c r="S54" s="75">
        <f>IF(B54="","",SUMIFS('Payments'!$N$6:$N$1005,'Payments'!$B$6:$B$1005,B54))</f>
        <v/>
      </c>
      <c r="T54" s="111">
        <f>IF(OR(B54="",K54=0),"",S54/K54)</f>
        <v/>
      </c>
      <c r="U54" s="78">
        <f>IF(V54="","",IF(V54=2,"⚠️ Paying ahead of work","✓ OK"))</f>
        <v/>
      </c>
      <c r="V54" s="79">
        <f>IF(T54="","",IF(T54-R54&gt;OverpayTol,2,0))</f>
        <v/>
      </c>
      <c r="W54" s="112">
        <f>IF(V54=2,AsOf,"")</f>
        <v/>
      </c>
      <c r="X54" s="79">
        <f>IF(W54="","",1)</f>
        <v/>
      </c>
      <c r="Y54" s="79">
        <f>IF(X54="","","Paying ahead of work: "&amp;B54&amp;" — paid "&amp;ROUND(T54*100,0)&amp;"%, work done "&amp;ROUND(R54*100,0)&amp;"%")</f>
        <v/>
      </c>
      <c r="AA54" s="72" t="n"/>
      <c r="AB54" s="109" t="n"/>
      <c r="AC54" s="113" t="n"/>
      <c r="AD54" s="74" t="n"/>
      <c r="AE54" s="109" t="n"/>
      <c r="AF54" s="74" t="n"/>
      <c r="AG54" s="112">
        <f>IF(AND(AA54&lt;&gt;"",AD54="Yes",AF54&lt;&gt;"Yes",AE54&lt;&gt;""),AE54,"")</f>
        <v/>
      </c>
      <c r="AH54" s="79">
        <f>IF(AG54="","",IF(AG54&lt;AsOf,1,IF(AG54&lt;=AsOf+AlertDays,2,IF(AG54&lt;=AsOf+2*AlertDays,3,""))))</f>
        <v/>
      </c>
      <c r="AI54" s="79">
        <f>IF(AH54="","","Follow up with "&amp;AA54&amp;": "&amp;AC54)</f>
        <v/>
      </c>
    </row>
    <row r="55" ht="20" customHeight="1">
      <c r="B55" s="72" t="n"/>
      <c r="C55" s="72" t="n"/>
      <c r="D55" s="72" t="n"/>
      <c r="E55" s="72" t="n"/>
      <c r="F55" s="72" t="n"/>
      <c r="G55" s="72" t="n"/>
      <c r="H55" s="72" t="n"/>
      <c r="I55" s="73" t="n"/>
      <c r="J55" s="75">
        <f>IF(B55="","",SUMIFS('Change Orders'!$J$7:$J$1006,'Change Orders'!$E$7:$E$1006,B55,'Change Orders'!$L$7:$L$1006,"Approved"))</f>
        <v/>
      </c>
      <c r="K55" s="76">
        <f>IF(B55="","",I55+J55)</f>
        <v/>
      </c>
      <c r="L55" s="74" t="n"/>
      <c r="M55" s="109" t="n"/>
      <c r="N55" s="109" t="n"/>
      <c r="O55" s="74" t="n"/>
      <c r="P55" s="74" t="n"/>
      <c r="Q55" s="100" t="n"/>
      <c r="R55" s="110" t="n"/>
      <c r="S55" s="75">
        <f>IF(B55="","",SUMIFS('Payments'!$N$6:$N$1005,'Payments'!$B$6:$B$1005,B55))</f>
        <v/>
      </c>
      <c r="T55" s="111">
        <f>IF(OR(B55="",K55=0),"",S55/K55)</f>
        <v/>
      </c>
      <c r="U55" s="78">
        <f>IF(V55="","",IF(V55=2,"⚠️ Paying ahead of work","✓ OK"))</f>
        <v/>
      </c>
      <c r="V55" s="79">
        <f>IF(T55="","",IF(T55-R55&gt;OverpayTol,2,0))</f>
        <v/>
      </c>
      <c r="W55" s="112">
        <f>IF(V55=2,AsOf,"")</f>
        <v/>
      </c>
      <c r="X55" s="79">
        <f>IF(W55="","",1)</f>
        <v/>
      </c>
      <c r="Y55" s="79">
        <f>IF(X55="","","Paying ahead of work: "&amp;B55&amp;" — paid "&amp;ROUND(T55*100,0)&amp;"%, work done "&amp;ROUND(R55*100,0)&amp;"%")</f>
        <v/>
      </c>
      <c r="AA55" s="72" t="n"/>
      <c r="AB55" s="109" t="n"/>
      <c r="AC55" s="113" t="n"/>
      <c r="AD55" s="74" t="n"/>
      <c r="AE55" s="109" t="n"/>
      <c r="AF55" s="74" t="n"/>
      <c r="AG55" s="112">
        <f>IF(AND(AA55&lt;&gt;"",AD55="Yes",AF55&lt;&gt;"Yes",AE55&lt;&gt;""),AE55,"")</f>
        <v/>
      </c>
      <c r="AH55" s="79">
        <f>IF(AG55="","",IF(AG55&lt;AsOf,1,IF(AG55&lt;=AsOf+AlertDays,2,IF(AG55&lt;=AsOf+2*AlertDays,3,""))))</f>
        <v/>
      </c>
      <c r="AI55" s="79">
        <f>IF(AH55="","","Follow up with "&amp;AA55&amp;": "&amp;AC55)</f>
        <v/>
      </c>
    </row>
    <row r="56" ht="20" customHeight="1">
      <c r="B56" s="72" t="n"/>
      <c r="C56" s="72" t="n"/>
      <c r="D56" s="72" t="n"/>
      <c r="E56" s="72" t="n"/>
      <c r="F56" s="72" t="n"/>
      <c r="G56" s="72" t="n"/>
      <c r="H56" s="72" t="n"/>
      <c r="I56" s="73" t="n"/>
      <c r="J56" s="75">
        <f>IF(B56="","",SUMIFS('Change Orders'!$J$7:$J$1006,'Change Orders'!$E$7:$E$1006,B56,'Change Orders'!$L$7:$L$1006,"Approved"))</f>
        <v/>
      </c>
      <c r="K56" s="76">
        <f>IF(B56="","",I56+J56)</f>
        <v/>
      </c>
      <c r="L56" s="74" t="n"/>
      <c r="M56" s="109" t="n"/>
      <c r="N56" s="109" t="n"/>
      <c r="O56" s="74" t="n"/>
      <c r="P56" s="74" t="n"/>
      <c r="Q56" s="100" t="n"/>
      <c r="R56" s="110" t="n"/>
      <c r="S56" s="75">
        <f>IF(B56="","",SUMIFS('Payments'!$N$6:$N$1005,'Payments'!$B$6:$B$1005,B56))</f>
        <v/>
      </c>
      <c r="T56" s="111">
        <f>IF(OR(B56="",K56=0),"",S56/K56)</f>
        <v/>
      </c>
      <c r="U56" s="78">
        <f>IF(V56="","",IF(V56=2,"⚠️ Paying ahead of work","✓ OK"))</f>
        <v/>
      </c>
      <c r="V56" s="79">
        <f>IF(T56="","",IF(T56-R56&gt;OverpayTol,2,0))</f>
        <v/>
      </c>
      <c r="W56" s="112">
        <f>IF(V56=2,AsOf,"")</f>
        <v/>
      </c>
      <c r="X56" s="79">
        <f>IF(W56="","",1)</f>
        <v/>
      </c>
      <c r="Y56" s="79">
        <f>IF(X56="","","Paying ahead of work: "&amp;B56&amp;" — paid "&amp;ROUND(T56*100,0)&amp;"%, work done "&amp;ROUND(R56*100,0)&amp;"%")</f>
        <v/>
      </c>
      <c r="AA56" s="72" t="n"/>
      <c r="AB56" s="109" t="n"/>
      <c r="AC56" s="113" t="n"/>
      <c r="AD56" s="74" t="n"/>
      <c r="AE56" s="109" t="n"/>
      <c r="AF56" s="74" t="n"/>
      <c r="AG56" s="112">
        <f>IF(AND(AA56&lt;&gt;"",AD56="Yes",AF56&lt;&gt;"Yes",AE56&lt;&gt;""),AE56,"")</f>
        <v/>
      </c>
      <c r="AH56" s="79">
        <f>IF(AG56="","",IF(AG56&lt;AsOf,1,IF(AG56&lt;=AsOf+AlertDays,2,IF(AG56&lt;=AsOf+2*AlertDays,3,""))))</f>
        <v/>
      </c>
      <c r="AI56" s="79">
        <f>IF(AH56="","","Follow up with "&amp;AA56&amp;": "&amp;AC56)</f>
        <v/>
      </c>
    </row>
    <row r="57" ht="20" customHeight="1">
      <c r="B57" s="72" t="n"/>
      <c r="C57" s="72" t="n"/>
      <c r="D57" s="72" t="n"/>
      <c r="E57" s="72" t="n"/>
      <c r="F57" s="72" t="n"/>
      <c r="G57" s="72" t="n"/>
      <c r="H57" s="72" t="n"/>
      <c r="I57" s="73" t="n"/>
      <c r="J57" s="75">
        <f>IF(B57="","",SUMIFS('Change Orders'!$J$7:$J$1006,'Change Orders'!$E$7:$E$1006,B57,'Change Orders'!$L$7:$L$1006,"Approved"))</f>
        <v/>
      </c>
      <c r="K57" s="76">
        <f>IF(B57="","",I57+J57)</f>
        <v/>
      </c>
      <c r="L57" s="74" t="n"/>
      <c r="M57" s="109" t="n"/>
      <c r="N57" s="109" t="n"/>
      <c r="O57" s="74" t="n"/>
      <c r="P57" s="74" t="n"/>
      <c r="Q57" s="100" t="n"/>
      <c r="R57" s="110" t="n"/>
      <c r="S57" s="75">
        <f>IF(B57="","",SUMIFS('Payments'!$N$6:$N$1005,'Payments'!$B$6:$B$1005,B57))</f>
        <v/>
      </c>
      <c r="T57" s="111">
        <f>IF(OR(B57="",K57=0),"",S57/K57)</f>
        <v/>
      </c>
      <c r="U57" s="78">
        <f>IF(V57="","",IF(V57=2,"⚠️ Paying ahead of work","✓ OK"))</f>
        <v/>
      </c>
      <c r="V57" s="79">
        <f>IF(T57="","",IF(T57-R57&gt;OverpayTol,2,0))</f>
        <v/>
      </c>
      <c r="W57" s="112">
        <f>IF(V57=2,AsOf,"")</f>
        <v/>
      </c>
      <c r="X57" s="79">
        <f>IF(W57="","",1)</f>
        <v/>
      </c>
      <c r="Y57" s="79">
        <f>IF(X57="","","Paying ahead of work: "&amp;B57&amp;" — paid "&amp;ROUND(T57*100,0)&amp;"%, work done "&amp;ROUND(R57*100,0)&amp;"%")</f>
        <v/>
      </c>
      <c r="AA57" s="72" t="n"/>
      <c r="AB57" s="109" t="n"/>
      <c r="AC57" s="113" t="n"/>
      <c r="AD57" s="74" t="n"/>
      <c r="AE57" s="109" t="n"/>
      <c r="AF57" s="74" t="n"/>
      <c r="AG57" s="112">
        <f>IF(AND(AA57&lt;&gt;"",AD57="Yes",AF57&lt;&gt;"Yes",AE57&lt;&gt;""),AE57,"")</f>
        <v/>
      </c>
      <c r="AH57" s="79">
        <f>IF(AG57="","",IF(AG57&lt;AsOf,1,IF(AG57&lt;=AsOf+AlertDays,2,IF(AG57&lt;=AsOf+2*AlertDays,3,""))))</f>
        <v/>
      </c>
      <c r="AI57" s="79">
        <f>IF(AH57="","","Follow up with "&amp;AA57&amp;": "&amp;AC57)</f>
        <v/>
      </c>
    </row>
    <row r="58" ht="20" customHeight="1">
      <c r="B58" s="72" t="n"/>
      <c r="C58" s="72" t="n"/>
      <c r="D58" s="72" t="n"/>
      <c r="E58" s="72" t="n"/>
      <c r="F58" s="72" t="n"/>
      <c r="G58" s="72" t="n"/>
      <c r="H58" s="72" t="n"/>
      <c r="I58" s="73" t="n"/>
      <c r="J58" s="75">
        <f>IF(B58="","",SUMIFS('Change Orders'!$J$7:$J$1006,'Change Orders'!$E$7:$E$1006,B58,'Change Orders'!$L$7:$L$1006,"Approved"))</f>
        <v/>
      </c>
      <c r="K58" s="76">
        <f>IF(B58="","",I58+J58)</f>
        <v/>
      </c>
      <c r="L58" s="74" t="n"/>
      <c r="M58" s="109" t="n"/>
      <c r="N58" s="109" t="n"/>
      <c r="O58" s="74" t="n"/>
      <c r="P58" s="74" t="n"/>
      <c r="Q58" s="100" t="n"/>
      <c r="R58" s="110" t="n"/>
      <c r="S58" s="75">
        <f>IF(B58="","",SUMIFS('Payments'!$N$6:$N$1005,'Payments'!$B$6:$B$1005,B58))</f>
        <v/>
      </c>
      <c r="T58" s="111">
        <f>IF(OR(B58="",K58=0),"",S58/K58)</f>
        <v/>
      </c>
      <c r="U58" s="78">
        <f>IF(V58="","",IF(V58=2,"⚠️ Paying ahead of work","✓ OK"))</f>
        <v/>
      </c>
      <c r="V58" s="79">
        <f>IF(T58="","",IF(T58-R58&gt;OverpayTol,2,0))</f>
        <v/>
      </c>
      <c r="W58" s="112">
        <f>IF(V58=2,AsOf,"")</f>
        <v/>
      </c>
      <c r="X58" s="79">
        <f>IF(W58="","",1)</f>
        <v/>
      </c>
      <c r="Y58" s="79">
        <f>IF(X58="","","Paying ahead of work: "&amp;B58&amp;" — paid "&amp;ROUND(T58*100,0)&amp;"%, work done "&amp;ROUND(R58*100,0)&amp;"%")</f>
        <v/>
      </c>
      <c r="AA58" s="72" t="n"/>
      <c r="AB58" s="109" t="n"/>
      <c r="AC58" s="113" t="n"/>
      <c r="AD58" s="74" t="n"/>
      <c r="AE58" s="109" t="n"/>
      <c r="AF58" s="74" t="n"/>
      <c r="AG58" s="112">
        <f>IF(AND(AA58&lt;&gt;"",AD58="Yes",AF58&lt;&gt;"Yes",AE58&lt;&gt;""),AE58,"")</f>
        <v/>
      </c>
      <c r="AH58" s="79">
        <f>IF(AG58="","",IF(AG58&lt;AsOf,1,IF(AG58&lt;=AsOf+AlertDays,2,IF(AG58&lt;=AsOf+2*AlertDays,3,""))))</f>
        <v/>
      </c>
      <c r="AI58" s="79">
        <f>IF(AH58="","","Follow up with "&amp;AA58&amp;": "&amp;AC58)</f>
        <v/>
      </c>
    </row>
    <row r="59" ht="20" customHeight="1">
      <c r="B59" s="72" t="n"/>
      <c r="C59" s="72" t="n"/>
      <c r="D59" s="72" t="n"/>
      <c r="E59" s="72" t="n"/>
      <c r="F59" s="72" t="n"/>
      <c r="G59" s="72" t="n"/>
      <c r="H59" s="72" t="n"/>
      <c r="I59" s="73" t="n"/>
      <c r="J59" s="75">
        <f>IF(B59="","",SUMIFS('Change Orders'!$J$7:$J$1006,'Change Orders'!$E$7:$E$1006,B59,'Change Orders'!$L$7:$L$1006,"Approved"))</f>
        <v/>
      </c>
      <c r="K59" s="76">
        <f>IF(B59="","",I59+J59)</f>
        <v/>
      </c>
      <c r="L59" s="74" t="n"/>
      <c r="M59" s="109" t="n"/>
      <c r="N59" s="109" t="n"/>
      <c r="O59" s="74" t="n"/>
      <c r="P59" s="74" t="n"/>
      <c r="Q59" s="100" t="n"/>
      <c r="R59" s="110" t="n"/>
      <c r="S59" s="75">
        <f>IF(B59="","",SUMIFS('Payments'!$N$6:$N$1005,'Payments'!$B$6:$B$1005,B59))</f>
        <v/>
      </c>
      <c r="T59" s="111">
        <f>IF(OR(B59="",K59=0),"",S59/K59)</f>
        <v/>
      </c>
      <c r="U59" s="78">
        <f>IF(V59="","",IF(V59=2,"⚠️ Paying ahead of work","✓ OK"))</f>
        <v/>
      </c>
      <c r="V59" s="79">
        <f>IF(T59="","",IF(T59-R59&gt;OverpayTol,2,0))</f>
        <v/>
      </c>
      <c r="W59" s="112">
        <f>IF(V59=2,AsOf,"")</f>
        <v/>
      </c>
      <c r="X59" s="79">
        <f>IF(W59="","",1)</f>
        <v/>
      </c>
      <c r="Y59" s="79">
        <f>IF(X59="","","Paying ahead of work: "&amp;B59&amp;" — paid "&amp;ROUND(T59*100,0)&amp;"%, work done "&amp;ROUND(R59*100,0)&amp;"%")</f>
        <v/>
      </c>
      <c r="AA59" s="72" t="n"/>
      <c r="AB59" s="109" t="n"/>
      <c r="AC59" s="113" t="n"/>
      <c r="AD59" s="74" t="n"/>
      <c r="AE59" s="109" t="n"/>
      <c r="AF59" s="74" t="n"/>
      <c r="AG59" s="112">
        <f>IF(AND(AA59&lt;&gt;"",AD59="Yes",AF59&lt;&gt;"Yes",AE59&lt;&gt;""),AE59,"")</f>
        <v/>
      </c>
      <c r="AH59" s="79">
        <f>IF(AG59="","",IF(AG59&lt;AsOf,1,IF(AG59&lt;=AsOf+AlertDays,2,IF(AG59&lt;=AsOf+2*AlertDays,3,""))))</f>
        <v/>
      </c>
      <c r="AI59" s="79">
        <f>IF(AH59="","","Follow up with "&amp;AA59&amp;": "&amp;AC59)</f>
        <v/>
      </c>
    </row>
    <row r="60" ht="20" customHeight="1">
      <c r="B60" s="72" t="n"/>
      <c r="C60" s="72" t="n"/>
      <c r="D60" s="72" t="n"/>
      <c r="E60" s="72" t="n"/>
      <c r="F60" s="72" t="n"/>
      <c r="G60" s="72" t="n"/>
      <c r="H60" s="72" t="n"/>
      <c r="I60" s="73" t="n"/>
      <c r="J60" s="75">
        <f>IF(B60="","",SUMIFS('Change Orders'!$J$7:$J$1006,'Change Orders'!$E$7:$E$1006,B60,'Change Orders'!$L$7:$L$1006,"Approved"))</f>
        <v/>
      </c>
      <c r="K60" s="76">
        <f>IF(B60="","",I60+J60)</f>
        <v/>
      </c>
      <c r="L60" s="74" t="n"/>
      <c r="M60" s="109" t="n"/>
      <c r="N60" s="109" t="n"/>
      <c r="O60" s="74" t="n"/>
      <c r="P60" s="74" t="n"/>
      <c r="Q60" s="100" t="n"/>
      <c r="R60" s="110" t="n"/>
      <c r="S60" s="75">
        <f>IF(B60="","",SUMIFS('Payments'!$N$6:$N$1005,'Payments'!$B$6:$B$1005,B60))</f>
        <v/>
      </c>
      <c r="T60" s="111">
        <f>IF(OR(B60="",K60=0),"",S60/K60)</f>
        <v/>
      </c>
      <c r="U60" s="78">
        <f>IF(V60="","",IF(V60=2,"⚠️ Paying ahead of work","✓ OK"))</f>
        <v/>
      </c>
      <c r="V60" s="79">
        <f>IF(T60="","",IF(T60-R60&gt;OverpayTol,2,0))</f>
        <v/>
      </c>
      <c r="W60" s="112">
        <f>IF(V60=2,AsOf,"")</f>
        <v/>
      </c>
      <c r="X60" s="79">
        <f>IF(W60="","",1)</f>
        <v/>
      </c>
      <c r="Y60" s="79">
        <f>IF(X60="","","Paying ahead of work: "&amp;B60&amp;" — paid "&amp;ROUND(T60*100,0)&amp;"%, work done "&amp;ROUND(R60*100,0)&amp;"%")</f>
        <v/>
      </c>
      <c r="AA60" s="72" t="n"/>
      <c r="AB60" s="109" t="n"/>
      <c r="AC60" s="113" t="n"/>
      <c r="AD60" s="74" t="n"/>
      <c r="AE60" s="109" t="n"/>
      <c r="AF60" s="74" t="n"/>
      <c r="AG60" s="112">
        <f>IF(AND(AA60&lt;&gt;"",AD60="Yes",AF60&lt;&gt;"Yes",AE60&lt;&gt;""),AE60,"")</f>
        <v/>
      </c>
      <c r="AH60" s="79">
        <f>IF(AG60="","",IF(AG60&lt;AsOf,1,IF(AG60&lt;=AsOf+AlertDays,2,IF(AG60&lt;=AsOf+2*AlertDays,3,""))))</f>
        <v/>
      </c>
      <c r="AI60" s="79">
        <f>IF(AH60="","","Follow up with "&amp;AA60&amp;": "&amp;AC60)</f>
        <v/>
      </c>
    </row>
    <row r="61" ht="20" customHeight="1">
      <c r="B61" s="72" t="n"/>
      <c r="C61" s="72" t="n"/>
      <c r="D61" s="72" t="n"/>
      <c r="E61" s="72" t="n"/>
      <c r="F61" s="72" t="n"/>
      <c r="G61" s="72" t="n"/>
      <c r="H61" s="72" t="n"/>
      <c r="I61" s="73" t="n"/>
      <c r="J61" s="75">
        <f>IF(B61="","",SUMIFS('Change Orders'!$J$7:$J$1006,'Change Orders'!$E$7:$E$1006,B61,'Change Orders'!$L$7:$L$1006,"Approved"))</f>
        <v/>
      </c>
      <c r="K61" s="76">
        <f>IF(B61="","",I61+J61)</f>
        <v/>
      </c>
      <c r="L61" s="74" t="n"/>
      <c r="M61" s="109" t="n"/>
      <c r="N61" s="109" t="n"/>
      <c r="O61" s="74" t="n"/>
      <c r="P61" s="74" t="n"/>
      <c r="Q61" s="100" t="n"/>
      <c r="R61" s="110" t="n"/>
      <c r="S61" s="75">
        <f>IF(B61="","",SUMIFS('Payments'!$N$6:$N$1005,'Payments'!$B$6:$B$1005,B61))</f>
        <v/>
      </c>
      <c r="T61" s="111">
        <f>IF(OR(B61="",K61=0),"",S61/K61)</f>
        <v/>
      </c>
      <c r="U61" s="78">
        <f>IF(V61="","",IF(V61=2,"⚠️ Paying ahead of work","✓ OK"))</f>
        <v/>
      </c>
      <c r="V61" s="79">
        <f>IF(T61="","",IF(T61-R61&gt;OverpayTol,2,0))</f>
        <v/>
      </c>
      <c r="W61" s="112">
        <f>IF(V61=2,AsOf,"")</f>
        <v/>
      </c>
      <c r="X61" s="79">
        <f>IF(W61="","",1)</f>
        <v/>
      </c>
      <c r="Y61" s="79">
        <f>IF(X61="","","Paying ahead of work: "&amp;B61&amp;" — paid "&amp;ROUND(T61*100,0)&amp;"%, work done "&amp;ROUND(R61*100,0)&amp;"%")</f>
        <v/>
      </c>
      <c r="AA61" s="72" t="n"/>
      <c r="AB61" s="109" t="n"/>
      <c r="AC61" s="113" t="n"/>
      <c r="AD61" s="74" t="n"/>
      <c r="AE61" s="109" t="n"/>
      <c r="AF61" s="74" t="n"/>
      <c r="AG61" s="112">
        <f>IF(AND(AA61&lt;&gt;"",AD61="Yes",AF61&lt;&gt;"Yes",AE61&lt;&gt;""),AE61,"")</f>
        <v/>
      </c>
      <c r="AH61" s="79">
        <f>IF(AG61="","",IF(AG61&lt;AsOf,1,IF(AG61&lt;=AsOf+AlertDays,2,IF(AG61&lt;=AsOf+2*AlertDays,3,""))))</f>
        <v/>
      </c>
      <c r="AI61" s="79">
        <f>IF(AH61="","","Follow up with "&amp;AA61&amp;": "&amp;AC61)</f>
        <v/>
      </c>
    </row>
    <row r="62" ht="20" customHeight="1">
      <c r="B62" s="72" t="n"/>
      <c r="C62" s="72" t="n"/>
      <c r="D62" s="72" t="n"/>
      <c r="E62" s="72" t="n"/>
      <c r="F62" s="72" t="n"/>
      <c r="G62" s="72" t="n"/>
      <c r="H62" s="72" t="n"/>
      <c r="I62" s="73" t="n"/>
      <c r="J62" s="75">
        <f>IF(B62="","",SUMIFS('Change Orders'!$J$7:$J$1006,'Change Orders'!$E$7:$E$1006,B62,'Change Orders'!$L$7:$L$1006,"Approved"))</f>
        <v/>
      </c>
      <c r="K62" s="76">
        <f>IF(B62="","",I62+J62)</f>
        <v/>
      </c>
      <c r="L62" s="74" t="n"/>
      <c r="M62" s="109" t="n"/>
      <c r="N62" s="109" t="n"/>
      <c r="O62" s="74" t="n"/>
      <c r="P62" s="74" t="n"/>
      <c r="Q62" s="100" t="n"/>
      <c r="R62" s="110" t="n"/>
      <c r="S62" s="75">
        <f>IF(B62="","",SUMIFS('Payments'!$N$6:$N$1005,'Payments'!$B$6:$B$1005,B62))</f>
        <v/>
      </c>
      <c r="T62" s="111">
        <f>IF(OR(B62="",K62=0),"",S62/K62)</f>
        <v/>
      </c>
      <c r="U62" s="78">
        <f>IF(V62="","",IF(V62=2,"⚠️ Paying ahead of work","✓ OK"))</f>
        <v/>
      </c>
      <c r="V62" s="79">
        <f>IF(T62="","",IF(T62-R62&gt;OverpayTol,2,0))</f>
        <v/>
      </c>
      <c r="W62" s="112">
        <f>IF(V62=2,AsOf,"")</f>
        <v/>
      </c>
      <c r="X62" s="79">
        <f>IF(W62="","",1)</f>
        <v/>
      </c>
      <c r="Y62" s="79">
        <f>IF(X62="","","Paying ahead of work: "&amp;B62&amp;" — paid "&amp;ROUND(T62*100,0)&amp;"%, work done "&amp;ROUND(R62*100,0)&amp;"%")</f>
        <v/>
      </c>
      <c r="AA62" s="72" t="n"/>
      <c r="AB62" s="109" t="n"/>
      <c r="AC62" s="113" t="n"/>
      <c r="AD62" s="74" t="n"/>
      <c r="AE62" s="109" t="n"/>
      <c r="AF62" s="74" t="n"/>
      <c r="AG62" s="112">
        <f>IF(AND(AA62&lt;&gt;"",AD62="Yes",AF62&lt;&gt;"Yes",AE62&lt;&gt;""),AE62,"")</f>
        <v/>
      </c>
      <c r="AH62" s="79">
        <f>IF(AG62="","",IF(AG62&lt;AsOf,1,IF(AG62&lt;=AsOf+AlertDays,2,IF(AG62&lt;=AsOf+2*AlertDays,3,""))))</f>
        <v/>
      </c>
      <c r="AI62" s="79">
        <f>IF(AH62="","","Follow up with "&amp;AA62&amp;": "&amp;AC62)</f>
        <v/>
      </c>
    </row>
    <row r="63" ht="20" customHeight="1">
      <c r="B63" s="72" t="n"/>
      <c r="C63" s="72" t="n"/>
      <c r="D63" s="72" t="n"/>
      <c r="E63" s="72" t="n"/>
      <c r="F63" s="72" t="n"/>
      <c r="G63" s="72" t="n"/>
      <c r="H63" s="72" t="n"/>
      <c r="I63" s="73" t="n"/>
      <c r="J63" s="75">
        <f>IF(B63="","",SUMIFS('Change Orders'!$J$7:$J$1006,'Change Orders'!$E$7:$E$1006,B63,'Change Orders'!$L$7:$L$1006,"Approved"))</f>
        <v/>
      </c>
      <c r="K63" s="76">
        <f>IF(B63="","",I63+J63)</f>
        <v/>
      </c>
      <c r="L63" s="74" t="n"/>
      <c r="M63" s="109" t="n"/>
      <c r="N63" s="109" t="n"/>
      <c r="O63" s="74" t="n"/>
      <c r="P63" s="74" t="n"/>
      <c r="Q63" s="100" t="n"/>
      <c r="R63" s="110" t="n"/>
      <c r="S63" s="75">
        <f>IF(B63="","",SUMIFS('Payments'!$N$6:$N$1005,'Payments'!$B$6:$B$1005,B63))</f>
        <v/>
      </c>
      <c r="T63" s="111">
        <f>IF(OR(B63="",K63=0),"",S63/K63)</f>
        <v/>
      </c>
      <c r="U63" s="78">
        <f>IF(V63="","",IF(V63=2,"⚠️ Paying ahead of work","✓ OK"))</f>
        <v/>
      </c>
      <c r="V63" s="79">
        <f>IF(T63="","",IF(T63-R63&gt;OverpayTol,2,0))</f>
        <v/>
      </c>
      <c r="W63" s="112">
        <f>IF(V63=2,AsOf,"")</f>
        <v/>
      </c>
      <c r="X63" s="79">
        <f>IF(W63="","",1)</f>
        <v/>
      </c>
      <c r="Y63" s="79">
        <f>IF(X63="","","Paying ahead of work: "&amp;B63&amp;" — paid "&amp;ROUND(T63*100,0)&amp;"%, work done "&amp;ROUND(R63*100,0)&amp;"%")</f>
        <v/>
      </c>
      <c r="AA63" s="72" t="n"/>
      <c r="AB63" s="109" t="n"/>
      <c r="AC63" s="113" t="n"/>
      <c r="AD63" s="74" t="n"/>
      <c r="AE63" s="109" t="n"/>
      <c r="AF63" s="74" t="n"/>
      <c r="AG63" s="112">
        <f>IF(AND(AA63&lt;&gt;"",AD63="Yes",AF63&lt;&gt;"Yes",AE63&lt;&gt;""),AE63,"")</f>
        <v/>
      </c>
      <c r="AH63" s="79">
        <f>IF(AG63="","",IF(AG63&lt;AsOf,1,IF(AG63&lt;=AsOf+AlertDays,2,IF(AG63&lt;=AsOf+2*AlertDays,3,""))))</f>
        <v/>
      </c>
      <c r="AI63" s="79">
        <f>IF(AH63="","","Follow up with "&amp;AA63&amp;": "&amp;AC63)</f>
        <v/>
      </c>
    </row>
    <row r="64" ht="20" customHeight="1">
      <c r="B64" s="72" t="n"/>
      <c r="C64" s="72" t="n"/>
      <c r="D64" s="72" t="n"/>
      <c r="E64" s="72" t="n"/>
      <c r="F64" s="72" t="n"/>
      <c r="G64" s="72" t="n"/>
      <c r="H64" s="72" t="n"/>
      <c r="I64" s="73" t="n"/>
      <c r="J64" s="75">
        <f>IF(B64="","",SUMIFS('Change Orders'!$J$7:$J$1006,'Change Orders'!$E$7:$E$1006,B64,'Change Orders'!$L$7:$L$1006,"Approved"))</f>
        <v/>
      </c>
      <c r="K64" s="76">
        <f>IF(B64="","",I64+J64)</f>
        <v/>
      </c>
      <c r="L64" s="74" t="n"/>
      <c r="M64" s="109" t="n"/>
      <c r="N64" s="109" t="n"/>
      <c r="O64" s="74" t="n"/>
      <c r="P64" s="74" t="n"/>
      <c r="Q64" s="100" t="n"/>
      <c r="R64" s="110" t="n"/>
      <c r="S64" s="75">
        <f>IF(B64="","",SUMIFS('Payments'!$N$6:$N$1005,'Payments'!$B$6:$B$1005,B64))</f>
        <v/>
      </c>
      <c r="T64" s="111">
        <f>IF(OR(B64="",K64=0),"",S64/K64)</f>
        <v/>
      </c>
      <c r="U64" s="78">
        <f>IF(V64="","",IF(V64=2,"⚠️ Paying ahead of work","✓ OK"))</f>
        <v/>
      </c>
      <c r="V64" s="79">
        <f>IF(T64="","",IF(T64-R64&gt;OverpayTol,2,0))</f>
        <v/>
      </c>
      <c r="W64" s="112">
        <f>IF(V64=2,AsOf,"")</f>
        <v/>
      </c>
      <c r="X64" s="79">
        <f>IF(W64="","",1)</f>
        <v/>
      </c>
      <c r="Y64" s="79">
        <f>IF(X64="","","Paying ahead of work: "&amp;B64&amp;" — paid "&amp;ROUND(T64*100,0)&amp;"%, work done "&amp;ROUND(R64*100,0)&amp;"%")</f>
        <v/>
      </c>
      <c r="AA64" s="72" t="n"/>
      <c r="AB64" s="109" t="n"/>
      <c r="AC64" s="113" t="n"/>
      <c r="AD64" s="74" t="n"/>
      <c r="AE64" s="109" t="n"/>
      <c r="AF64" s="74" t="n"/>
      <c r="AG64" s="112">
        <f>IF(AND(AA64&lt;&gt;"",AD64="Yes",AF64&lt;&gt;"Yes",AE64&lt;&gt;""),AE64,"")</f>
        <v/>
      </c>
      <c r="AH64" s="79">
        <f>IF(AG64="","",IF(AG64&lt;AsOf,1,IF(AG64&lt;=AsOf+AlertDays,2,IF(AG64&lt;=AsOf+2*AlertDays,3,""))))</f>
        <v/>
      </c>
      <c r="AI64" s="79">
        <f>IF(AH64="","","Follow up with "&amp;AA64&amp;": "&amp;AC64)</f>
        <v/>
      </c>
    </row>
    <row r="65" ht="20" customHeight="1">
      <c r="B65" s="72" t="n"/>
      <c r="C65" s="72" t="n"/>
      <c r="D65" s="72" t="n"/>
      <c r="E65" s="72" t="n"/>
      <c r="F65" s="72" t="n"/>
      <c r="G65" s="72" t="n"/>
      <c r="H65" s="72" t="n"/>
      <c r="I65" s="73" t="n"/>
      <c r="J65" s="75">
        <f>IF(B65="","",SUMIFS('Change Orders'!$J$7:$J$1006,'Change Orders'!$E$7:$E$1006,B65,'Change Orders'!$L$7:$L$1006,"Approved"))</f>
        <v/>
      </c>
      <c r="K65" s="76">
        <f>IF(B65="","",I65+J65)</f>
        <v/>
      </c>
      <c r="L65" s="74" t="n"/>
      <c r="M65" s="109" t="n"/>
      <c r="N65" s="109" t="n"/>
      <c r="O65" s="74" t="n"/>
      <c r="P65" s="74" t="n"/>
      <c r="Q65" s="100" t="n"/>
      <c r="R65" s="110" t="n"/>
      <c r="S65" s="75">
        <f>IF(B65="","",SUMIFS('Payments'!$N$6:$N$1005,'Payments'!$B$6:$B$1005,B65))</f>
        <v/>
      </c>
      <c r="T65" s="111">
        <f>IF(OR(B65="",K65=0),"",S65/K65)</f>
        <v/>
      </c>
      <c r="U65" s="78">
        <f>IF(V65="","",IF(V65=2,"⚠️ Paying ahead of work","✓ OK"))</f>
        <v/>
      </c>
      <c r="V65" s="79">
        <f>IF(T65="","",IF(T65-R65&gt;OverpayTol,2,0))</f>
        <v/>
      </c>
      <c r="W65" s="112">
        <f>IF(V65=2,AsOf,"")</f>
        <v/>
      </c>
      <c r="X65" s="79">
        <f>IF(W65="","",1)</f>
        <v/>
      </c>
      <c r="Y65" s="79">
        <f>IF(X65="","","Paying ahead of work: "&amp;B65&amp;" — paid "&amp;ROUND(T65*100,0)&amp;"%, work done "&amp;ROUND(R65*100,0)&amp;"%")</f>
        <v/>
      </c>
      <c r="AA65" s="72" t="n"/>
      <c r="AB65" s="109" t="n"/>
      <c r="AC65" s="113" t="n"/>
      <c r="AD65" s="74" t="n"/>
      <c r="AE65" s="109" t="n"/>
      <c r="AF65" s="74" t="n"/>
      <c r="AG65" s="112">
        <f>IF(AND(AA65&lt;&gt;"",AD65="Yes",AF65&lt;&gt;"Yes",AE65&lt;&gt;""),AE65,"")</f>
        <v/>
      </c>
      <c r="AH65" s="79">
        <f>IF(AG65="","",IF(AG65&lt;AsOf,1,IF(AG65&lt;=AsOf+AlertDays,2,IF(AG65&lt;=AsOf+2*AlertDays,3,""))))</f>
        <v/>
      </c>
      <c r="AI65" s="79">
        <f>IF(AH65="","","Follow up with "&amp;AA65&amp;": "&amp;AC65)</f>
        <v/>
      </c>
    </row>
    <row r="66" ht="20" customHeight="1">
      <c r="B66" s="72" t="n"/>
      <c r="C66" s="72" t="n"/>
      <c r="D66" s="72" t="n"/>
      <c r="E66" s="72" t="n"/>
      <c r="F66" s="72" t="n"/>
      <c r="G66" s="72" t="n"/>
      <c r="H66" s="72" t="n"/>
      <c r="I66" s="73" t="n"/>
      <c r="J66" s="75">
        <f>IF(B66="","",SUMIFS('Change Orders'!$J$7:$J$1006,'Change Orders'!$E$7:$E$1006,B66,'Change Orders'!$L$7:$L$1006,"Approved"))</f>
        <v/>
      </c>
      <c r="K66" s="76">
        <f>IF(B66="","",I66+J66)</f>
        <v/>
      </c>
      <c r="L66" s="74" t="n"/>
      <c r="M66" s="109" t="n"/>
      <c r="N66" s="109" t="n"/>
      <c r="O66" s="74" t="n"/>
      <c r="P66" s="74" t="n"/>
      <c r="Q66" s="100" t="n"/>
      <c r="R66" s="110" t="n"/>
      <c r="S66" s="75">
        <f>IF(B66="","",SUMIFS('Payments'!$N$6:$N$1005,'Payments'!$B$6:$B$1005,B66))</f>
        <v/>
      </c>
      <c r="T66" s="111">
        <f>IF(OR(B66="",K66=0),"",S66/K66)</f>
        <v/>
      </c>
      <c r="U66" s="78">
        <f>IF(V66="","",IF(V66=2,"⚠️ Paying ahead of work","✓ OK"))</f>
        <v/>
      </c>
      <c r="V66" s="79">
        <f>IF(T66="","",IF(T66-R66&gt;OverpayTol,2,0))</f>
        <v/>
      </c>
      <c r="W66" s="112">
        <f>IF(V66=2,AsOf,"")</f>
        <v/>
      </c>
      <c r="X66" s="79">
        <f>IF(W66="","",1)</f>
        <v/>
      </c>
      <c r="Y66" s="79">
        <f>IF(X66="","","Paying ahead of work: "&amp;B66&amp;" — paid "&amp;ROUND(T66*100,0)&amp;"%, work done "&amp;ROUND(R66*100,0)&amp;"%")</f>
        <v/>
      </c>
      <c r="AA66" s="72" t="n"/>
      <c r="AB66" s="109" t="n"/>
      <c r="AC66" s="113" t="n"/>
      <c r="AD66" s="74" t="n"/>
      <c r="AE66" s="109" t="n"/>
      <c r="AF66" s="74" t="n"/>
      <c r="AG66" s="112">
        <f>IF(AND(AA66&lt;&gt;"",AD66="Yes",AF66&lt;&gt;"Yes",AE66&lt;&gt;""),AE66,"")</f>
        <v/>
      </c>
      <c r="AH66" s="79">
        <f>IF(AG66="","",IF(AG66&lt;AsOf,1,IF(AG66&lt;=AsOf+AlertDays,2,IF(AG66&lt;=AsOf+2*AlertDays,3,""))))</f>
        <v/>
      </c>
      <c r="AI66" s="79">
        <f>IF(AH66="","","Follow up with "&amp;AA66&amp;": "&amp;AC66)</f>
        <v/>
      </c>
    </row>
    <row r="67" ht="20" customHeight="1">
      <c r="B67" s="72" t="n"/>
      <c r="C67" s="72" t="n"/>
      <c r="D67" s="72" t="n"/>
      <c r="E67" s="72" t="n"/>
      <c r="F67" s="72" t="n"/>
      <c r="G67" s="72" t="n"/>
      <c r="H67" s="72" t="n"/>
      <c r="I67" s="73" t="n"/>
      <c r="J67" s="75">
        <f>IF(B67="","",SUMIFS('Change Orders'!$J$7:$J$1006,'Change Orders'!$E$7:$E$1006,B67,'Change Orders'!$L$7:$L$1006,"Approved"))</f>
        <v/>
      </c>
      <c r="K67" s="76">
        <f>IF(B67="","",I67+J67)</f>
        <v/>
      </c>
      <c r="L67" s="74" t="n"/>
      <c r="M67" s="109" t="n"/>
      <c r="N67" s="109" t="n"/>
      <c r="O67" s="74" t="n"/>
      <c r="P67" s="74" t="n"/>
      <c r="Q67" s="100" t="n"/>
      <c r="R67" s="110" t="n"/>
      <c r="S67" s="75">
        <f>IF(B67="","",SUMIFS('Payments'!$N$6:$N$1005,'Payments'!$B$6:$B$1005,B67))</f>
        <v/>
      </c>
      <c r="T67" s="111">
        <f>IF(OR(B67="",K67=0),"",S67/K67)</f>
        <v/>
      </c>
      <c r="U67" s="78">
        <f>IF(V67="","",IF(V67=2,"⚠️ Paying ahead of work","✓ OK"))</f>
        <v/>
      </c>
      <c r="V67" s="79">
        <f>IF(T67="","",IF(T67-R67&gt;OverpayTol,2,0))</f>
        <v/>
      </c>
      <c r="W67" s="112">
        <f>IF(V67=2,AsOf,"")</f>
        <v/>
      </c>
      <c r="X67" s="79">
        <f>IF(W67="","",1)</f>
        <v/>
      </c>
      <c r="Y67" s="79">
        <f>IF(X67="","","Paying ahead of work: "&amp;B67&amp;" — paid "&amp;ROUND(T67*100,0)&amp;"%, work done "&amp;ROUND(R67*100,0)&amp;"%")</f>
        <v/>
      </c>
      <c r="AA67" s="72" t="n"/>
      <c r="AB67" s="109" t="n"/>
      <c r="AC67" s="113" t="n"/>
      <c r="AD67" s="74" t="n"/>
      <c r="AE67" s="109" t="n"/>
      <c r="AF67" s="74" t="n"/>
      <c r="AG67" s="112">
        <f>IF(AND(AA67&lt;&gt;"",AD67="Yes",AF67&lt;&gt;"Yes",AE67&lt;&gt;""),AE67,"")</f>
        <v/>
      </c>
      <c r="AH67" s="79">
        <f>IF(AG67="","",IF(AG67&lt;AsOf,1,IF(AG67&lt;=AsOf+AlertDays,2,IF(AG67&lt;=AsOf+2*AlertDays,3,""))))</f>
        <v/>
      </c>
      <c r="AI67" s="79">
        <f>IF(AH67="","","Follow up with "&amp;AA67&amp;": "&amp;AC67)</f>
        <v/>
      </c>
    </row>
    <row r="68" ht="20" customHeight="1">
      <c r="B68" s="72" t="n"/>
      <c r="C68" s="72" t="n"/>
      <c r="D68" s="72" t="n"/>
      <c r="E68" s="72" t="n"/>
      <c r="F68" s="72" t="n"/>
      <c r="G68" s="72" t="n"/>
      <c r="H68" s="72" t="n"/>
      <c r="I68" s="73" t="n"/>
      <c r="J68" s="75">
        <f>IF(B68="","",SUMIFS('Change Orders'!$J$7:$J$1006,'Change Orders'!$E$7:$E$1006,B68,'Change Orders'!$L$7:$L$1006,"Approved"))</f>
        <v/>
      </c>
      <c r="K68" s="76">
        <f>IF(B68="","",I68+J68)</f>
        <v/>
      </c>
      <c r="L68" s="74" t="n"/>
      <c r="M68" s="109" t="n"/>
      <c r="N68" s="109" t="n"/>
      <c r="O68" s="74" t="n"/>
      <c r="P68" s="74" t="n"/>
      <c r="Q68" s="100" t="n"/>
      <c r="R68" s="110" t="n"/>
      <c r="S68" s="75">
        <f>IF(B68="","",SUMIFS('Payments'!$N$6:$N$1005,'Payments'!$B$6:$B$1005,B68))</f>
        <v/>
      </c>
      <c r="T68" s="111">
        <f>IF(OR(B68="",K68=0),"",S68/K68)</f>
        <v/>
      </c>
      <c r="U68" s="78">
        <f>IF(V68="","",IF(V68=2,"⚠️ Paying ahead of work","✓ OK"))</f>
        <v/>
      </c>
      <c r="V68" s="79">
        <f>IF(T68="","",IF(T68-R68&gt;OverpayTol,2,0))</f>
        <v/>
      </c>
      <c r="W68" s="112">
        <f>IF(V68=2,AsOf,"")</f>
        <v/>
      </c>
      <c r="X68" s="79">
        <f>IF(W68="","",1)</f>
        <v/>
      </c>
      <c r="Y68" s="79">
        <f>IF(X68="","","Paying ahead of work: "&amp;B68&amp;" — paid "&amp;ROUND(T68*100,0)&amp;"%, work done "&amp;ROUND(R68*100,0)&amp;"%")</f>
        <v/>
      </c>
      <c r="AA68" s="72" t="n"/>
      <c r="AB68" s="109" t="n"/>
      <c r="AC68" s="113" t="n"/>
      <c r="AD68" s="74" t="n"/>
      <c r="AE68" s="109" t="n"/>
      <c r="AF68" s="74" t="n"/>
      <c r="AG68" s="112">
        <f>IF(AND(AA68&lt;&gt;"",AD68="Yes",AF68&lt;&gt;"Yes",AE68&lt;&gt;""),AE68,"")</f>
        <v/>
      </c>
      <c r="AH68" s="79">
        <f>IF(AG68="","",IF(AG68&lt;AsOf,1,IF(AG68&lt;=AsOf+AlertDays,2,IF(AG68&lt;=AsOf+2*AlertDays,3,""))))</f>
        <v/>
      </c>
      <c r="AI68" s="79">
        <f>IF(AH68="","","Follow up with "&amp;AA68&amp;": "&amp;AC68)</f>
        <v/>
      </c>
    </row>
    <row r="69" ht="20" customHeight="1">
      <c r="B69" s="72" t="n"/>
      <c r="C69" s="72" t="n"/>
      <c r="D69" s="72" t="n"/>
      <c r="E69" s="72" t="n"/>
      <c r="F69" s="72" t="n"/>
      <c r="G69" s="72" t="n"/>
      <c r="H69" s="72" t="n"/>
      <c r="I69" s="73" t="n"/>
      <c r="J69" s="75">
        <f>IF(B69="","",SUMIFS('Change Orders'!$J$7:$J$1006,'Change Orders'!$E$7:$E$1006,B69,'Change Orders'!$L$7:$L$1006,"Approved"))</f>
        <v/>
      </c>
      <c r="K69" s="76">
        <f>IF(B69="","",I69+J69)</f>
        <v/>
      </c>
      <c r="L69" s="74" t="n"/>
      <c r="M69" s="109" t="n"/>
      <c r="N69" s="109" t="n"/>
      <c r="O69" s="74" t="n"/>
      <c r="P69" s="74" t="n"/>
      <c r="Q69" s="100" t="n"/>
      <c r="R69" s="110" t="n"/>
      <c r="S69" s="75">
        <f>IF(B69="","",SUMIFS('Payments'!$N$6:$N$1005,'Payments'!$B$6:$B$1005,B69))</f>
        <v/>
      </c>
      <c r="T69" s="111">
        <f>IF(OR(B69="",K69=0),"",S69/K69)</f>
        <v/>
      </c>
      <c r="U69" s="78">
        <f>IF(V69="","",IF(V69=2,"⚠️ Paying ahead of work","✓ OK"))</f>
        <v/>
      </c>
      <c r="V69" s="79">
        <f>IF(T69="","",IF(T69-R69&gt;OverpayTol,2,0))</f>
        <v/>
      </c>
      <c r="W69" s="112">
        <f>IF(V69=2,AsOf,"")</f>
        <v/>
      </c>
      <c r="X69" s="79">
        <f>IF(W69="","",1)</f>
        <v/>
      </c>
      <c r="Y69" s="79">
        <f>IF(X69="","","Paying ahead of work: "&amp;B69&amp;" — paid "&amp;ROUND(T69*100,0)&amp;"%, work done "&amp;ROUND(R69*100,0)&amp;"%")</f>
        <v/>
      </c>
      <c r="AA69" s="72" t="n"/>
      <c r="AB69" s="109" t="n"/>
      <c r="AC69" s="113" t="n"/>
      <c r="AD69" s="74" t="n"/>
      <c r="AE69" s="109" t="n"/>
      <c r="AF69" s="74" t="n"/>
      <c r="AG69" s="112">
        <f>IF(AND(AA69&lt;&gt;"",AD69="Yes",AF69&lt;&gt;"Yes",AE69&lt;&gt;""),AE69,"")</f>
        <v/>
      </c>
      <c r="AH69" s="79">
        <f>IF(AG69="","",IF(AG69&lt;AsOf,1,IF(AG69&lt;=AsOf+AlertDays,2,IF(AG69&lt;=AsOf+2*AlertDays,3,""))))</f>
        <v/>
      </c>
      <c r="AI69" s="79">
        <f>IF(AH69="","","Follow up with "&amp;AA69&amp;": "&amp;AC69)</f>
        <v/>
      </c>
    </row>
    <row r="70" ht="20" customHeight="1">
      <c r="B70" s="72" t="n"/>
      <c r="C70" s="72" t="n"/>
      <c r="D70" s="72" t="n"/>
      <c r="E70" s="72" t="n"/>
      <c r="F70" s="72" t="n"/>
      <c r="G70" s="72" t="n"/>
      <c r="H70" s="72" t="n"/>
      <c r="I70" s="73" t="n"/>
      <c r="J70" s="75">
        <f>IF(B70="","",SUMIFS('Change Orders'!$J$7:$J$1006,'Change Orders'!$E$7:$E$1006,B70,'Change Orders'!$L$7:$L$1006,"Approved"))</f>
        <v/>
      </c>
      <c r="K70" s="76">
        <f>IF(B70="","",I70+J70)</f>
        <v/>
      </c>
      <c r="L70" s="74" t="n"/>
      <c r="M70" s="109" t="n"/>
      <c r="N70" s="109" t="n"/>
      <c r="O70" s="74" t="n"/>
      <c r="P70" s="74" t="n"/>
      <c r="Q70" s="100" t="n"/>
      <c r="R70" s="110" t="n"/>
      <c r="S70" s="75">
        <f>IF(B70="","",SUMIFS('Payments'!$N$6:$N$1005,'Payments'!$B$6:$B$1005,B70))</f>
        <v/>
      </c>
      <c r="T70" s="111">
        <f>IF(OR(B70="",K70=0),"",S70/K70)</f>
        <v/>
      </c>
      <c r="U70" s="78">
        <f>IF(V70="","",IF(V70=2,"⚠️ Paying ahead of work","✓ OK"))</f>
        <v/>
      </c>
      <c r="V70" s="79">
        <f>IF(T70="","",IF(T70-R70&gt;OverpayTol,2,0))</f>
        <v/>
      </c>
      <c r="W70" s="112">
        <f>IF(V70=2,AsOf,"")</f>
        <v/>
      </c>
      <c r="X70" s="79">
        <f>IF(W70="","",1)</f>
        <v/>
      </c>
      <c r="Y70" s="79">
        <f>IF(X70="","","Paying ahead of work: "&amp;B70&amp;" — paid "&amp;ROUND(T70*100,0)&amp;"%, work done "&amp;ROUND(R70*100,0)&amp;"%")</f>
        <v/>
      </c>
      <c r="AA70" s="72" t="n"/>
      <c r="AB70" s="109" t="n"/>
      <c r="AC70" s="113" t="n"/>
      <c r="AD70" s="74" t="n"/>
      <c r="AE70" s="109" t="n"/>
      <c r="AF70" s="74" t="n"/>
      <c r="AG70" s="112">
        <f>IF(AND(AA70&lt;&gt;"",AD70="Yes",AF70&lt;&gt;"Yes",AE70&lt;&gt;""),AE70,"")</f>
        <v/>
      </c>
      <c r="AH70" s="79">
        <f>IF(AG70="","",IF(AG70&lt;AsOf,1,IF(AG70&lt;=AsOf+AlertDays,2,IF(AG70&lt;=AsOf+2*AlertDays,3,""))))</f>
        <v/>
      </c>
      <c r="AI70" s="79">
        <f>IF(AH70="","","Follow up with "&amp;AA70&amp;": "&amp;AC70)</f>
        <v/>
      </c>
    </row>
    <row r="71" ht="20" customHeight="1">
      <c r="B71" s="72" t="n"/>
      <c r="C71" s="72" t="n"/>
      <c r="D71" s="72" t="n"/>
      <c r="E71" s="72" t="n"/>
      <c r="F71" s="72" t="n"/>
      <c r="G71" s="72" t="n"/>
      <c r="H71" s="72" t="n"/>
      <c r="I71" s="73" t="n"/>
      <c r="J71" s="75">
        <f>IF(B71="","",SUMIFS('Change Orders'!$J$7:$J$1006,'Change Orders'!$E$7:$E$1006,B71,'Change Orders'!$L$7:$L$1006,"Approved"))</f>
        <v/>
      </c>
      <c r="K71" s="76">
        <f>IF(B71="","",I71+J71)</f>
        <v/>
      </c>
      <c r="L71" s="74" t="n"/>
      <c r="M71" s="109" t="n"/>
      <c r="N71" s="109" t="n"/>
      <c r="O71" s="74" t="n"/>
      <c r="P71" s="74" t="n"/>
      <c r="Q71" s="100" t="n"/>
      <c r="R71" s="110" t="n"/>
      <c r="S71" s="75">
        <f>IF(B71="","",SUMIFS('Payments'!$N$6:$N$1005,'Payments'!$B$6:$B$1005,B71))</f>
        <v/>
      </c>
      <c r="T71" s="111">
        <f>IF(OR(B71="",K71=0),"",S71/K71)</f>
        <v/>
      </c>
      <c r="U71" s="78">
        <f>IF(V71="","",IF(V71=2,"⚠️ Paying ahead of work","✓ OK"))</f>
        <v/>
      </c>
      <c r="V71" s="79">
        <f>IF(T71="","",IF(T71-R71&gt;OverpayTol,2,0))</f>
        <v/>
      </c>
      <c r="W71" s="112">
        <f>IF(V71=2,AsOf,"")</f>
        <v/>
      </c>
      <c r="X71" s="79">
        <f>IF(W71="","",1)</f>
        <v/>
      </c>
      <c r="Y71" s="79">
        <f>IF(X71="","","Paying ahead of work: "&amp;B71&amp;" — paid "&amp;ROUND(T71*100,0)&amp;"%, work done "&amp;ROUND(R71*100,0)&amp;"%")</f>
        <v/>
      </c>
      <c r="AA71" s="72" t="n"/>
      <c r="AB71" s="109" t="n"/>
      <c r="AC71" s="113" t="n"/>
      <c r="AD71" s="74" t="n"/>
      <c r="AE71" s="109" t="n"/>
      <c r="AF71" s="74" t="n"/>
      <c r="AG71" s="112">
        <f>IF(AND(AA71&lt;&gt;"",AD71="Yes",AF71&lt;&gt;"Yes",AE71&lt;&gt;""),AE71,"")</f>
        <v/>
      </c>
      <c r="AH71" s="79">
        <f>IF(AG71="","",IF(AG71&lt;AsOf,1,IF(AG71&lt;=AsOf+AlertDays,2,IF(AG71&lt;=AsOf+2*AlertDays,3,""))))</f>
        <v/>
      </c>
      <c r="AI71" s="79">
        <f>IF(AH71="","","Follow up with "&amp;AA71&amp;": "&amp;AC71)</f>
        <v/>
      </c>
    </row>
    <row r="72" ht="20" customHeight="1">
      <c r="B72" s="72" t="n"/>
      <c r="C72" s="72" t="n"/>
      <c r="D72" s="72" t="n"/>
      <c r="E72" s="72" t="n"/>
      <c r="F72" s="72" t="n"/>
      <c r="G72" s="72" t="n"/>
      <c r="H72" s="72" t="n"/>
      <c r="I72" s="73" t="n"/>
      <c r="J72" s="75">
        <f>IF(B72="","",SUMIFS('Change Orders'!$J$7:$J$1006,'Change Orders'!$E$7:$E$1006,B72,'Change Orders'!$L$7:$L$1006,"Approved"))</f>
        <v/>
      </c>
      <c r="K72" s="76">
        <f>IF(B72="","",I72+J72)</f>
        <v/>
      </c>
      <c r="L72" s="74" t="n"/>
      <c r="M72" s="109" t="n"/>
      <c r="N72" s="109" t="n"/>
      <c r="O72" s="74" t="n"/>
      <c r="P72" s="74" t="n"/>
      <c r="Q72" s="100" t="n"/>
      <c r="R72" s="110" t="n"/>
      <c r="S72" s="75">
        <f>IF(B72="","",SUMIFS('Payments'!$N$6:$N$1005,'Payments'!$B$6:$B$1005,B72))</f>
        <v/>
      </c>
      <c r="T72" s="111">
        <f>IF(OR(B72="",K72=0),"",S72/K72)</f>
        <v/>
      </c>
      <c r="U72" s="78">
        <f>IF(V72="","",IF(V72=2,"⚠️ Paying ahead of work","✓ OK"))</f>
        <v/>
      </c>
      <c r="V72" s="79">
        <f>IF(T72="","",IF(T72-R72&gt;OverpayTol,2,0))</f>
        <v/>
      </c>
      <c r="W72" s="112">
        <f>IF(V72=2,AsOf,"")</f>
        <v/>
      </c>
      <c r="X72" s="79">
        <f>IF(W72="","",1)</f>
        <v/>
      </c>
      <c r="Y72" s="79">
        <f>IF(X72="","","Paying ahead of work: "&amp;B72&amp;" — paid "&amp;ROUND(T72*100,0)&amp;"%, work done "&amp;ROUND(R72*100,0)&amp;"%")</f>
        <v/>
      </c>
      <c r="AA72" s="72" t="n"/>
      <c r="AB72" s="109" t="n"/>
      <c r="AC72" s="113" t="n"/>
      <c r="AD72" s="74" t="n"/>
      <c r="AE72" s="109" t="n"/>
      <c r="AF72" s="74" t="n"/>
      <c r="AG72" s="112">
        <f>IF(AND(AA72&lt;&gt;"",AD72="Yes",AF72&lt;&gt;"Yes",AE72&lt;&gt;""),AE72,"")</f>
        <v/>
      </c>
      <c r="AH72" s="79">
        <f>IF(AG72="","",IF(AG72&lt;AsOf,1,IF(AG72&lt;=AsOf+AlertDays,2,IF(AG72&lt;=AsOf+2*AlertDays,3,""))))</f>
        <v/>
      </c>
      <c r="AI72" s="79">
        <f>IF(AH72="","","Follow up with "&amp;AA72&amp;": "&amp;AC72)</f>
        <v/>
      </c>
    </row>
    <row r="73" ht="20" customHeight="1">
      <c r="B73" s="72" t="n"/>
      <c r="C73" s="72" t="n"/>
      <c r="D73" s="72" t="n"/>
      <c r="E73" s="72" t="n"/>
      <c r="F73" s="72" t="n"/>
      <c r="G73" s="72" t="n"/>
      <c r="H73" s="72" t="n"/>
      <c r="I73" s="73" t="n"/>
      <c r="J73" s="75">
        <f>IF(B73="","",SUMIFS('Change Orders'!$J$7:$J$1006,'Change Orders'!$E$7:$E$1006,B73,'Change Orders'!$L$7:$L$1006,"Approved"))</f>
        <v/>
      </c>
      <c r="K73" s="76">
        <f>IF(B73="","",I73+J73)</f>
        <v/>
      </c>
      <c r="L73" s="74" t="n"/>
      <c r="M73" s="109" t="n"/>
      <c r="N73" s="109" t="n"/>
      <c r="O73" s="74" t="n"/>
      <c r="P73" s="74" t="n"/>
      <c r="Q73" s="100" t="n"/>
      <c r="R73" s="110" t="n"/>
      <c r="S73" s="75">
        <f>IF(B73="","",SUMIFS('Payments'!$N$6:$N$1005,'Payments'!$B$6:$B$1005,B73))</f>
        <v/>
      </c>
      <c r="T73" s="111">
        <f>IF(OR(B73="",K73=0),"",S73/K73)</f>
        <v/>
      </c>
      <c r="U73" s="78">
        <f>IF(V73="","",IF(V73=2,"⚠️ Paying ahead of work","✓ OK"))</f>
        <v/>
      </c>
      <c r="V73" s="79">
        <f>IF(T73="","",IF(T73-R73&gt;OverpayTol,2,0))</f>
        <v/>
      </c>
      <c r="W73" s="112">
        <f>IF(V73=2,AsOf,"")</f>
        <v/>
      </c>
      <c r="X73" s="79">
        <f>IF(W73="","",1)</f>
        <v/>
      </c>
      <c r="Y73" s="79">
        <f>IF(X73="","","Paying ahead of work: "&amp;B73&amp;" — paid "&amp;ROUND(T73*100,0)&amp;"%, work done "&amp;ROUND(R73*100,0)&amp;"%")</f>
        <v/>
      </c>
      <c r="AA73" s="72" t="n"/>
      <c r="AB73" s="109" t="n"/>
      <c r="AC73" s="113" t="n"/>
      <c r="AD73" s="74" t="n"/>
      <c r="AE73" s="109" t="n"/>
      <c r="AF73" s="74" t="n"/>
      <c r="AG73" s="112">
        <f>IF(AND(AA73&lt;&gt;"",AD73="Yes",AF73&lt;&gt;"Yes",AE73&lt;&gt;""),AE73,"")</f>
        <v/>
      </c>
      <c r="AH73" s="79">
        <f>IF(AG73="","",IF(AG73&lt;AsOf,1,IF(AG73&lt;=AsOf+AlertDays,2,IF(AG73&lt;=AsOf+2*AlertDays,3,""))))</f>
        <v/>
      </c>
      <c r="AI73" s="79">
        <f>IF(AH73="","","Follow up with "&amp;AA73&amp;": "&amp;AC73)</f>
        <v/>
      </c>
    </row>
    <row r="74" ht="20" customHeight="1">
      <c r="B74" s="72" t="n"/>
      <c r="C74" s="72" t="n"/>
      <c r="D74" s="72" t="n"/>
      <c r="E74" s="72" t="n"/>
      <c r="F74" s="72" t="n"/>
      <c r="G74" s="72" t="n"/>
      <c r="H74" s="72" t="n"/>
      <c r="I74" s="73" t="n"/>
      <c r="J74" s="75">
        <f>IF(B74="","",SUMIFS('Change Orders'!$J$7:$J$1006,'Change Orders'!$E$7:$E$1006,B74,'Change Orders'!$L$7:$L$1006,"Approved"))</f>
        <v/>
      </c>
      <c r="K74" s="76">
        <f>IF(B74="","",I74+J74)</f>
        <v/>
      </c>
      <c r="L74" s="74" t="n"/>
      <c r="M74" s="109" t="n"/>
      <c r="N74" s="109" t="n"/>
      <c r="O74" s="74" t="n"/>
      <c r="P74" s="74" t="n"/>
      <c r="Q74" s="100" t="n"/>
      <c r="R74" s="110" t="n"/>
      <c r="S74" s="75">
        <f>IF(B74="","",SUMIFS('Payments'!$N$6:$N$1005,'Payments'!$B$6:$B$1005,B74))</f>
        <v/>
      </c>
      <c r="T74" s="111">
        <f>IF(OR(B74="",K74=0),"",S74/K74)</f>
        <v/>
      </c>
      <c r="U74" s="78">
        <f>IF(V74="","",IF(V74=2,"⚠️ Paying ahead of work","✓ OK"))</f>
        <v/>
      </c>
      <c r="V74" s="79">
        <f>IF(T74="","",IF(T74-R74&gt;OverpayTol,2,0))</f>
        <v/>
      </c>
      <c r="W74" s="112">
        <f>IF(V74=2,AsOf,"")</f>
        <v/>
      </c>
      <c r="X74" s="79">
        <f>IF(W74="","",1)</f>
        <v/>
      </c>
      <c r="Y74" s="79">
        <f>IF(X74="","","Paying ahead of work: "&amp;B74&amp;" — paid "&amp;ROUND(T74*100,0)&amp;"%, work done "&amp;ROUND(R74*100,0)&amp;"%")</f>
        <v/>
      </c>
      <c r="AA74" s="72" t="n"/>
      <c r="AB74" s="109" t="n"/>
      <c r="AC74" s="113" t="n"/>
      <c r="AD74" s="74" t="n"/>
      <c r="AE74" s="109" t="n"/>
      <c r="AF74" s="74" t="n"/>
      <c r="AG74" s="112">
        <f>IF(AND(AA74&lt;&gt;"",AD74="Yes",AF74&lt;&gt;"Yes",AE74&lt;&gt;""),AE74,"")</f>
        <v/>
      </c>
      <c r="AH74" s="79">
        <f>IF(AG74="","",IF(AG74&lt;AsOf,1,IF(AG74&lt;=AsOf+AlertDays,2,IF(AG74&lt;=AsOf+2*AlertDays,3,""))))</f>
        <v/>
      </c>
      <c r="AI74" s="79">
        <f>IF(AH74="","","Follow up with "&amp;AA74&amp;": "&amp;AC74)</f>
        <v/>
      </c>
    </row>
    <row r="75" ht="20" customHeight="1">
      <c r="B75" s="72" t="n"/>
      <c r="C75" s="72" t="n"/>
      <c r="D75" s="72" t="n"/>
      <c r="E75" s="72" t="n"/>
      <c r="F75" s="72" t="n"/>
      <c r="G75" s="72" t="n"/>
      <c r="H75" s="72" t="n"/>
      <c r="I75" s="73" t="n"/>
      <c r="J75" s="75">
        <f>IF(B75="","",SUMIFS('Change Orders'!$J$7:$J$1006,'Change Orders'!$E$7:$E$1006,B75,'Change Orders'!$L$7:$L$1006,"Approved"))</f>
        <v/>
      </c>
      <c r="K75" s="76">
        <f>IF(B75="","",I75+J75)</f>
        <v/>
      </c>
      <c r="L75" s="74" t="n"/>
      <c r="M75" s="109" t="n"/>
      <c r="N75" s="109" t="n"/>
      <c r="O75" s="74" t="n"/>
      <c r="P75" s="74" t="n"/>
      <c r="Q75" s="100" t="n"/>
      <c r="R75" s="110" t="n"/>
      <c r="S75" s="75">
        <f>IF(B75="","",SUMIFS('Payments'!$N$6:$N$1005,'Payments'!$B$6:$B$1005,B75))</f>
        <v/>
      </c>
      <c r="T75" s="111">
        <f>IF(OR(B75="",K75=0),"",S75/K75)</f>
        <v/>
      </c>
      <c r="U75" s="78">
        <f>IF(V75="","",IF(V75=2,"⚠️ Paying ahead of work","✓ OK"))</f>
        <v/>
      </c>
      <c r="V75" s="79">
        <f>IF(T75="","",IF(T75-R75&gt;OverpayTol,2,0))</f>
        <v/>
      </c>
      <c r="W75" s="112">
        <f>IF(V75=2,AsOf,"")</f>
        <v/>
      </c>
      <c r="X75" s="79">
        <f>IF(W75="","",1)</f>
        <v/>
      </c>
      <c r="Y75" s="79">
        <f>IF(X75="","","Paying ahead of work: "&amp;B75&amp;" — paid "&amp;ROUND(T75*100,0)&amp;"%, work done "&amp;ROUND(R75*100,0)&amp;"%")</f>
        <v/>
      </c>
      <c r="AA75" s="72" t="n"/>
      <c r="AB75" s="109" t="n"/>
      <c r="AC75" s="113" t="n"/>
      <c r="AD75" s="74" t="n"/>
      <c r="AE75" s="109" t="n"/>
      <c r="AF75" s="74" t="n"/>
      <c r="AG75" s="112">
        <f>IF(AND(AA75&lt;&gt;"",AD75="Yes",AF75&lt;&gt;"Yes",AE75&lt;&gt;""),AE75,"")</f>
        <v/>
      </c>
      <c r="AH75" s="79">
        <f>IF(AG75="","",IF(AG75&lt;AsOf,1,IF(AG75&lt;=AsOf+AlertDays,2,IF(AG75&lt;=AsOf+2*AlertDays,3,""))))</f>
        <v/>
      </c>
      <c r="AI75" s="79">
        <f>IF(AH75="","","Follow up with "&amp;AA75&amp;": "&amp;AC75)</f>
        <v/>
      </c>
    </row>
    <row r="76" ht="20" customHeight="1">
      <c r="B76" s="72" t="n"/>
      <c r="C76" s="72" t="n"/>
      <c r="D76" s="72" t="n"/>
      <c r="E76" s="72" t="n"/>
      <c r="F76" s="72" t="n"/>
      <c r="G76" s="72" t="n"/>
      <c r="H76" s="72" t="n"/>
      <c r="I76" s="73" t="n"/>
      <c r="J76" s="75">
        <f>IF(B76="","",SUMIFS('Change Orders'!$J$7:$J$1006,'Change Orders'!$E$7:$E$1006,B76,'Change Orders'!$L$7:$L$1006,"Approved"))</f>
        <v/>
      </c>
      <c r="K76" s="76">
        <f>IF(B76="","",I76+J76)</f>
        <v/>
      </c>
      <c r="L76" s="74" t="n"/>
      <c r="M76" s="109" t="n"/>
      <c r="N76" s="109" t="n"/>
      <c r="O76" s="74" t="n"/>
      <c r="P76" s="74" t="n"/>
      <c r="Q76" s="100" t="n"/>
      <c r="R76" s="110" t="n"/>
      <c r="S76" s="75">
        <f>IF(B76="","",SUMIFS('Payments'!$N$6:$N$1005,'Payments'!$B$6:$B$1005,B76))</f>
        <v/>
      </c>
      <c r="T76" s="111">
        <f>IF(OR(B76="",K76=0),"",S76/K76)</f>
        <v/>
      </c>
      <c r="U76" s="78">
        <f>IF(V76="","",IF(V76=2,"⚠️ Paying ahead of work","✓ OK"))</f>
        <v/>
      </c>
      <c r="V76" s="79">
        <f>IF(T76="","",IF(T76-R76&gt;OverpayTol,2,0))</f>
        <v/>
      </c>
      <c r="W76" s="112">
        <f>IF(V76=2,AsOf,"")</f>
        <v/>
      </c>
      <c r="X76" s="79">
        <f>IF(W76="","",1)</f>
        <v/>
      </c>
      <c r="Y76" s="79">
        <f>IF(X76="","","Paying ahead of work: "&amp;B76&amp;" — paid "&amp;ROUND(T76*100,0)&amp;"%, work done "&amp;ROUND(R76*100,0)&amp;"%")</f>
        <v/>
      </c>
      <c r="AA76" s="72" t="n"/>
      <c r="AB76" s="109" t="n"/>
      <c r="AC76" s="113" t="n"/>
      <c r="AD76" s="74" t="n"/>
      <c r="AE76" s="109" t="n"/>
      <c r="AF76" s="74" t="n"/>
      <c r="AG76" s="112">
        <f>IF(AND(AA76&lt;&gt;"",AD76="Yes",AF76&lt;&gt;"Yes",AE76&lt;&gt;""),AE76,"")</f>
        <v/>
      </c>
      <c r="AH76" s="79">
        <f>IF(AG76="","",IF(AG76&lt;AsOf,1,IF(AG76&lt;=AsOf+AlertDays,2,IF(AG76&lt;=AsOf+2*AlertDays,3,""))))</f>
        <v/>
      </c>
      <c r="AI76" s="79">
        <f>IF(AH76="","","Follow up with "&amp;AA76&amp;": "&amp;AC76)</f>
        <v/>
      </c>
    </row>
    <row r="77" ht="20" customHeight="1">
      <c r="B77" s="72" t="n"/>
      <c r="C77" s="72" t="n"/>
      <c r="D77" s="72" t="n"/>
      <c r="E77" s="72" t="n"/>
      <c r="F77" s="72" t="n"/>
      <c r="G77" s="72" t="n"/>
      <c r="H77" s="72" t="n"/>
      <c r="I77" s="73" t="n"/>
      <c r="J77" s="75">
        <f>IF(B77="","",SUMIFS('Change Orders'!$J$7:$J$1006,'Change Orders'!$E$7:$E$1006,B77,'Change Orders'!$L$7:$L$1006,"Approved"))</f>
        <v/>
      </c>
      <c r="K77" s="76">
        <f>IF(B77="","",I77+J77)</f>
        <v/>
      </c>
      <c r="L77" s="74" t="n"/>
      <c r="M77" s="109" t="n"/>
      <c r="N77" s="109" t="n"/>
      <c r="O77" s="74" t="n"/>
      <c r="P77" s="74" t="n"/>
      <c r="Q77" s="100" t="n"/>
      <c r="R77" s="110" t="n"/>
      <c r="S77" s="75">
        <f>IF(B77="","",SUMIFS('Payments'!$N$6:$N$1005,'Payments'!$B$6:$B$1005,B77))</f>
        <v/>
      </c>
      <c r="T77" s="111">
        <f>IF(OR(B77="",K77=0),"",S77/K77)</f>
        <v/>
      </c>
      <c r="U77" s="78">
        <f>IF(V77="","",IF(V77=2,"⚠️ Paying ahead of work","✓ OK"))</f>
        <v/>
      </c>
      <c r="V77" s="79">
        <f>IF(T77="","",IF(T77-R77&gt;OverpayTol,2,0))</f>
        <v/>
      </c>
      <c r="W77" s="112">
        <f>IF(V77=2,AsOf,"")</f>
        <v/>
      </c>
      <c r="X77" s="79">
        <f>IF(W77="","",1)</f>
        <v/>
      </c>
      <c r="Y77" s="79">
        <f>IF(X77="","","Paying ahead of work: "&amp;B77&amp;" — paid "&amp;ROUND(T77*100,0)&amp;"%, work done "&amp;ROUND(R77*100,0)&amp;"%")</f>
        <v/>
      </c>
      <c r="AA77" s="72" t="n"/>
      <c r="AB77" s="109" t="n"/>
      <c r="AC77" s="113" t="n"/>
      <c r="AD77" s="74" t="n"/>
      <c r="AE77" s="109" t="n"/>
      <c r="AF77" s="74" t="n"/>
      <c r="AG77" s="112">
        <f>IF(AND(AA77&lt;&gt;"",AD77="Yes",AF77&lt;&gt;"Yes",AE77&lt;&gt;""),AE77,"")</f>
        <v/>
      </c>
      <c r="AH77" s="79">
        <f>IF(AG77="","",IF(AG77&lt;AsOf,1,IF(AG77&lt;=AsOf+AlertDays,2,IF(AG77&lt;=AsOf+2*AlertDays,3,""))))</f>
        <v/>
      </c>
      <c r="AI77" s="79">
        <f>IF(AH77="","","Follow up with "&amp;AA77&amp;": "&amp;AC77)</f>
        <v/>
      </c>
    </row>
    <row r="78" ht="20" customHeight="1">
      <c r="B78" s="72" t="n"/>
      <c r="C78" s="72" t="n"/>
      <c r="D78" s="72" t="n"/>
      <c r="E78" s="72" t="n"/>
      <c r="F78" s="72" t="n"/>
      <c r="G78" s="72" t="n"/>
      <c r="H78" s="72" t="n"/>
      <c r="I78" s="73" t="n"/>
      <c r="J78" s="75">
        <f>IF(B78="","",SUMIFS('Change Orders'!$J$7:$J$1006,'Change Orders'!$E$7:$E$1006,B78,'Change Orders'!$L$7:$L$1006,"Approved"))</f>
        <v/>
      </c>
      <c r="K78" s="76">
        <f>IF(B78="","",I78+J78)</f>
        <v/>
      </c>
      <c r="L78" s="74" t="n"/>
      <c r="M78" s="109" t="n"/>
      <c r="N78" s="109" t="n"/>
      <c r="O78" s="74" t="n"/>
      <c r="P78" s="74" t="n"/>
      <c r="Q78" s="100" t="n"/>
      <c r="R78" s="110" t="n"/>
      <c r="S78" s="75">
        <f>IF(B78="","",SUMIFS('Payments'!$N$6:$N$1005,'Payments'!$B$6:$B$1005,B78))</f>
        <v/>
      </c>
      <c r="T78" s="111">
        <f>IF(OR(B78="",K78=0),"",S78/K78)</f>
        <v/>
      </c>
      <c r="U78" s="78">
        <f>IF(V78="","",IF(V78=2,"⚠️ Paying ahead of work","✓ OK"))</f>
        <v/>
      </c>
      <c r="V78" s="79">
        <f>IF(T78="","",IF(T78-R78&gt;OverpayTol,2,0))</f>
        <v/>
      </c>
      <c r="W78" s="112">
        <f>IF(V78=2,AsOf,"")</f>
        <v/>
      </c>
      <c r="X78" s="79">
        <f>IF(W78="","",1)</f>
        <v/>
      </c>
      <c r="Y78" s="79">
        <f>IF(X78="","","Paying ahead of work: "&amp;B78&amp;" — paid "&amp;ROUND(T78*100,0)&amp;"%, work done "&amp;ROUND(R78*100,0)&amp;"%")</f>
        <v/>
      </c>
      <c r="AA78" s="72" t="n"/>
      <c r="AB78" s="109" t="n"/>
      <c r="AC78" s="113" t="n"/>
      <c r="AD78" s="74" t="n"/>
      <c r="AE78" s="109" t="n"/>
      <c r="AF78" s="74" t="n"/>
      <c r="AG78" s="112">
        <f>IF(AND(AA78&lt;&gt;"",AD78="Yes",AF78&lt;&gt;"Yes",AE78&lt;&gt;""),AE78,"")</f>
        <v/>
      </c>
      <c r="AH78" s="79">
        <f>IF(AG78="","",IF(AG78&lt;AsOf,1,IF(AG78&lt;=AsOf+AlertDays,2,IF(AG78&lt;=AsOf+2*AlertDays,3,""))))</f>
        <v/>
      </c>
      <c r="AI78" s="79">
        <f>IF(AH78="","","Follow up with "&amp;AA78&amp;": "&amp;AC78)</f>
        <v/>
      </c>
    </row>
    <row r="79" ht="20" customHeight="1">
      <c r="B79" s="72" t="n"/>
      <c r="C79" s="72" t="n"/>
      <c r="D79" s="72" t="n"/>
      <c r="E79" s="72" t="n"/>
      <c r="F79" s="72" t="n"/>
      <c r="G79" s="72" t="n"/>
      <c r="H79" s="72" t="n"/>
      <c r="I79" s="73" t="n"/>
      <c r="J79" s="75">
        <f>IF(B79="","",SUMIFS('Change Orders'!$J$7:$J$1006,'Change Orders'!$E$7:$E$1006,B79,'Change Orders'!$L$7:$L$1006,"Approved"))</f>
        <v/>
      </c>
      <c r="K79" s="76">
        <f>IF(B79="","",I79+J79)</f>
        <v/>
      </c>
      <c r="L79" s="74" t="n"/>
      <c r="M79" s="109" t="n"/>
      <c r="N79" s="109" t="n"/>
      <c r="O79" s="74" t="n"/>
      <c r="P79" s="74" t="n"/>
      <c r="Q79" s="100" t="n"/>
      <c r="R79" s="110" t="n"/>
      <c r="S79" s="75">
        <f>IF(B79="","",SUMIFS('Payments'!$N$6:$N$1005,'Payments'!$B$6:$B$1005,B79))</f>
        <v/>
      </c>
      <c r="T79" s="111">
        <f>IF(OR(B79="",K79=0),"",S79/K79)</f>
        <v/>
      </c>
      <c r="U79" s="78">
        <f>IF(V79="","",IF(V79=2,"⚠️ Paying ahead of work","✓ OK"))</f>
        <v/>
      </c>
      <c r="V79" s="79">
        <f>IF(T79="","",IF(T79-R79&gt;OverpayTol,2,0))</f>
        <v/>
      </c>
      <c r="W79" s="112">
        <f>IF(V79=2,AsOf,"")</f>
        <v/>
      </c>
      <c r="X79" s="79">
        <f>IF(W79="","",1)</f>
        <v/>
      </c>
      <c r="Y79" s="79">
        <f>IF(X79="","","Paying ahead of work: "&amp;B79&amp;" — paid "&amp;ROUND(T79*100,0)&amp;"%, work done "&amp;ROUND(R79*100,0)&amp;"%")</f>
        <v/>
      </c>
      <c r="AA79" s="72" t="n"/>
      <c r="AB79" s="109" t="n"/>
      <c r="AC79" s="113" t="n"/>
      <c r="AD79" s="74" t="n"/>
      <c r="AE79" s="109" t="n"/>
      <c r="AF79" s="74" t="n"/>
      <c r="AG79" s="112">
        <f>IF(AND(AA79&lt;&gt;"",AD79="Yes",AF79&lt;&gt;"Yes",AE79&lt;&gt;""),AE79,"")</f>
        <v/>
      </c>
      <c r="AH79" s="79">
        <f>IF(AG79="","",IF(AG79&lt;AsOf,1,IF(AG79&lt;=AsOf+AlertDays,2,IF(AG79&lt;=AsOf+2*AlertDays,3,""))))</f>
        <v/>
      </c>
      <c r="AI79" s="79">
        <f>IF(AH79="","","Follow up with "&amp;AA79&amp;": "&amp;AC79)</f>
        <v/>
      </c>
    </row>
    <row r="80" ht="20" customHeight="1">
      <c r="B80" s="72" t="n"/>
      <c r="C80" s="72" t="n"/>
      <c r="D80" s="72" t="n"/>
      <c r="E80" s="72" t="n"/>
      <c r="F80" s="72" t="n"/>
      <c r="G80" s="72" t="n"/>
      <c r="H80" s="72" t="n"/>
      <c r="I80" s="73" t="n"/>
      <c r="J80" s="75">
        <f>IF(B80="","",SUMIFS('Change Orders'!$J$7:$J$1006,'Change Orders'!$E$7:$E$1006,B80,'Change Orders'!$L$7:$L$1006,"Approved"))</f>
        <v/>
      </c>
      <c r="K80" s="76">
        <f>IF(B80="","",I80+J80)</f>
        <v/>
      </c>
      <c r="L80" s="74" t="n"/>
      <c r="M80" s="109" t="n"/>
      <c r="N80" s="109" t="n"/>
      <c r="O80" s="74" t="n"/>
      <c r="P80" s="74" t="n"/>
      <c r="Q80" s="100" t="n"/>
      <c r="R80" s="110" t="n"/>
      <c r="S80" s="75">
        <f>IF(B80="","",SUMIFS('Payments'!$N$6:$N$1005,'Payments'!$B$6:$B$1005,B80))</f>
        <v/>
      </c>
      <c r="T80" s="111">
        <f>IF(OR(B80="",K80=0),"",S80/K80)</f>
        <v/>
      </c>
      <c r="U80" s="78">
        <f>IF(V80="","",IF(V80=2,"⚠️ Paying ahead of work","✓ OK"))</f>
        <v/>
      </c>
      <c r="V80" s="79">
        <f>IF(T80="","",IF(T80-R80&gt;OverpayTol,2,0))</f>
        <v/>
      </c>
      <c r="W80" s="112">
        <f>IF(V80=2,AsOf,"")</f>
        <v/>
      </c>
      <c r="X80" s="79">
        <f>IF(W80="","",1)</f>
        <v/>
      </c>
      <c r="Y80" s="79">
        <f>IF(X80="","","Paying ahead of work: "&amp;B80&amp;" — paid "&amp;ROUND(T80*100,0)&amp;"%, work done "&amp;ROUND(R80*100,0)&amp;"%")</f>
        <v/>
      </c>
      <c r="AA80" s="72" t="n"/>
      <c r="AB80" s="109" t="n"/>
      <c r="AC80" s="113" t="n"/>
      <c r="AD80" s="74" t="n"/>
      <c r="AE80" s="109" t="n"/>
      <c r="AF80" s="74" t="n"/>
      <c r="AG80" s="112">
        <f>IF(AND(AA80&lt;&gt;"",AD80="Yes",AF80&lt;&gt;"Yes",AE80&lt;&gt;""),AE80,"")</f>
        <v/>
      </c>
      <c r="AH80" s="79">
        <f>IF(AG80="","",IF(AG80&lt;AsOf,1,IF(AG80&lt;=AsOf+AlertDays,2,IF(AG80&lt;=AsOf+2*AlertDays,3,""))))</f>
        <v/>
      </c>
      <c r="AI80" s="79">
        <f>IF(AH80="","","Follow up with "&amp;AA80&amp;": "&amp;AC80)</f>
        <v/>
      </c>
    </row>
    <row r="81" ht="20" customHeight="1">
      <c r="B81" s="72" t="n"/>
      <c r="C81" s="72" t="n"/>
      <c r="D81" s="72" t="n"/>
      <c r="E81" s="72" t="n"/>
      <c r="F81" s="72" t="n"/>
      <c r="G81" s="72" t="n"/>
      <c r="H81" s="72" t="n"/>
      <c r="I81" s="73" t="n"/>
      <c r="J81" s="75">
        <f>IF(B81="","",SUMIFS('Change Orders'!$J$7:$J$1006,'Change Orders'!$E$7:$E$1006,B81,'Change Orders'!$L$7:$L$1006,"Approved"))</f>
        <v/>
      </c>
      <c r="K81" s="76">
        <f>IF(B81="","",I81+J81)</f>
        <v/>
      </c>
      <c r="L81" s="74" t="n"/>
      <c r="M81" s="109" t="n"/>
      <c r="N81" s="109" t="n"/>
      <c r="O81" s="74" t="n"/>
      <c r="P81" s="74" t="n"/>
      <c r="Q81" s="100" t="n"/>
      <c r="R81" s="110" t="n"/>
      <c r="S81" s="75">
        <f>IF(B81="","",SUMIFS('Payments'!$N$6:$N$1005,'Payments'!$B$6:$B$1005,B81))</f>
        <v/>
      </c>
      <c r="T81" s="111">
        <f>IF(OR(B81="",K81=0),"",S81/K81)</f>
        <v/>
      </c>
      <c r="U81" s="78">
        <f>IF(V81="","",IF(V81=2,"⚠️ Paying ahead of work","✓ OK"))</f>
        <v/>
      </c>
      <c r="V81" s="79">
        <f>IF(T81="","",IF(T81-R81&gt;OverpayTol,2,0))</f>
        <v/>
      </c>
      <c r="W81" s="112">
        <f>IF(V81=2,AsOf,"")</f>
        <v/>
      </c>
      <c r="X81" s="79">
        <f>IF(W81="","",1)</f>
        <v/>
      </c>
      <c r="Y81" s="79">
        <f>IF(X81="","","Paying ahead of work: "&amp;B81&amp;" — paid "&amp;ROUND(T81*100,0)&amp;"%, work done "&amp;ROUND(R81*100,0)&amp;"%")</f>
        <v/>
      </c>
      <c r="AA81" s="72" t="n"/>
      <c r="AB81" s="109" t="n"/>
      <c r="AC81" s="113" t="n"/>
      <c r="AD81" s="74" t="n"/>
      <c r="AE81" s="109" t="n"/>
      <c r="AF81" s="74" t="n"/>
      <c r="AG81" s="112">
        <f>IF(AND(AA81&lt;&gt;"",AD81="Yes",AF81&lt;&gt;"Yes",AE81&lt;&gt;""),AE81,"")</f>
        <v/>
      </c>
      <c r="AH81" s="79">
        <f>IF(AG81="","",IF(AG81&lt;AsOf,1,IF(AG81&lt;=AsOf+AlertDays,2,IF(AG81&lt;=AsOf+2*AlertDays,3,""))))</f>
        <v/>
      </c>
      <c r="AI81" s="79">
        <f>IF(AH81="","","Follow up with "&amp;AA81&amp;": "&amp;AC81)</f>
        <v/>
      </c>
    </row>
    <row r="82" ht="20" customHeight="1">
      <c r="B82" s="72" t="n"/>
      <c r="C82" s="72" t="n"/>
      <c r="D82" s="72" t="n"/>
      <c r="E82" s="72" t="n"/>
      <c r="F82" s="72" t="n"/>
      <c r="G82" s="72" t="n"/>
      <c r="H82" s="72" t="n"/>
      <c r="I82" s="73" t="n"/>
      <c r="J82" s="75">
        <f>IF(B82="","",SUMIFS('Change Orders'!$J$7:$J$1006,'Change Orders'!$E$7:$E$1006,B82,'Change Orders'!$L$7:$L$1006,"Approved"))</f>
        <v/>
      </c>
      <c r="K82" s="76">
        <f>IF(B82="","",I82+J82)</f>
        <v/>
      </c>
      <c r="L82" s="74" t="n"/>
      <c r="M82" s="109" t="n"/>
      <c r="N82" s="109" t="n"/>
      <c r="O82" s="74" t="n"/>
      <c r="P82" s="74" t="n"/>
      <c r="Q82" s="100" t="n"/>
      <c r="R82" s="110" t="n"/>
      <c r="S82" s="75">
        <f>IF(B82="","",SUMIFS('Payments'!$N$6:$N$1005,'Payments'!$B$6:$B$1005,B82))</f>
        <v/>
      </c>
      <c r="T82" s="111">
        <f>IF(OR(B82="",K82=0),"",S82/K82)</f>
        <v/>
      </c>
      <c r="U82" s="78">
        <f>IF(V82="","",IF(V82=2,"⚠️ Paying ahead of work","✓ OK"))</f>
        <v/>
      </c>
      <c r="V82" s="79">
        <f>IF(T82="","",IF(T82-R82&gt;OverpayTol,2,0))</f>
        <v/>
      </c>
      <c r="W82" s="112">
        <f>IF(V82=2,AsOf,"")</f>
        <v/>
      </c>
      <c r="X82" s="79">
        <f>IF(W82="","",1)</f>
        <v/>
      </c>
      <c r="Y82" s="79">
        <f>IF(X82="","","Paying ahead of work: "&amp;B82&amp;" — paid "&amp;ROUND(T82*100,0)&amp;"%, work done "&amp;ROUND(R82*100,0)&amp;"%")</f>
        <v/>
      </c>
      <c r="AA82" s="72" t="n"/>
      <c r="AB82" s="109" t="n"/>
      <c r="AC82" s="113" t="n"/>
      <c r="AD82" s="74" t="n"/>
      <c r="AE82" s="109" t="n"/>
      <c r="AF82" s="74" t="n"/>
      <c r="AG82" s="112">
        <f>IF(AND(AA82&lt;&gt;"",AD82="Yes",AF82&lt;&gt;"Yes",AE82&lt;&gt;""),AE82,"")</f>
        <v/>
      </c>
      <c r="AH82" s="79">
        <f>IF(AG82="","",IF(AG82&lt;AsOf,1,IF(AG82&lt;=AsOf+AlertDays,2,IF(AG82&lt;=AsOf+2*AlertDays,3,""))))</f>
        <v/>
      </c>
      <c r="AI82" s="79">
        <f>IF(AH82="","","Follow up with "&amp;AA82&amp;": "&amp;AC82)</f>
        <v/>
      </c>
    </row>
    <row r="83" ht="20" customHeight="1">
      <c r="B83" s="72" t="n"/>
      <c r="C83" s="72" t="n"/>
      <c r="D83" s="72" t="n"/>
      <c r="E83" s="72" t="n"/>
      <c r="F83" s="72" t="n"/>
      <c r="G83" s="72" t="n"/>
      <c r="H83" s="72" t="n"/>
      <c r="I83" s="73" t="n"/>
      <c r="J83" s="75">
        <f>IF(B83="","",SUMIFS('Change Orders'!$J$7:$J$1006,'Change Orders'!$E$7:$E$1006,B83,'Change Orders'!$L$7:$L$1006,"Approved"))</f>
        <v/>
      </c>
      <c r="K83" s="76">
        <f>IF(B83="","",I83+J83)</f>
        <v/>
      </c>
      <c r="L83" s="74" t="n"/>
      <c r="M83" s="109" t="n"/>
      <c r="N83" s="109" t="n"/>
      <c r="O83" s="74" t="n"/>
      <c r="P83" s="74" t="n"/>
      <c r="Q83" s="100" t="n"/>
      <c r="R83" s="110" t="n"/>
      <c r="S83" s="75">
        <f>IF(B83="","",SUMIFS('Payments'!$N$6:$N$1005,'Payments'!$B$6:$B$1005,B83))</f>
        <v/>
      </c>
      <c r="T83" s="111">
        <f>IF(OR(B83="",K83=0),"",S83/K83)</f>
        <v/>
      </c>
      <c r="U83" s="78">
        <f>IF(V83="","",IF(V83=2,"⚠️ Paying ahead of work","✓ OK"))</f>
        <v/>
      </c>
      <c r="V83" s="79">
        <f>IF(T83="","",IF(T83-R83&gt;OverpayTol,2,0))</f>
        <v/>
      </c>
      <c r="W83" s="112">
        <f>IF(V83=2,AsOf,"")</f>
        <v/>
      </c>
      <c r="X83" s="79">
        <f>IF(W83="","",1)</f>
        <v/>
      </c>
      <c r="Y83" s="79">
        <f>IF(X83="","","Paying ahead of work: "&amp;B83&amp;" — paid "&amp;ROUND(T83*100,0)&amp;"%, work done "&amp;ROUND(R83*100,0)&amp;"%")</f>
        <v/>
      </c>
      <c r="AA83" s="72" t="n"/>
      <c r="AB83" s="109" t="n"/>
      <c r="AC83" s="113" t="n"/>
      <c r="AD83" s="74" t="n"/>
      <c r="AE83" s="109" t="n"/>
      <c r="AF83" s="74" t="n"/>
      <c r="AG83" s="112">
        <f>IF(AND(AA83&lt;&gt;"",AD83="Yes",AF83&lt;&gt;"Yes",AE83&lt;&gt;""),AE83,"")</f>
        <v/>
      </c>
      <c r="AH83" s="79">
        <f>IF(AG83="","",IF(AG83&lt;AsOf,1,IF(AG83&lt;=AsOf+AlertDays,2,IF(AG83&lt;=AsOf+2*AlertDays,3,""))))</f>
        <v/>
      </c>
      <c r="AI83" s="79">
        <f>IF(AH83="","","Follow up with "&amp;AA83&amp;": "&amp;AC83)</f>
        <v/>
      </c>
    </row>
    <row r="84" ht="20" customHeight="1">
      <c r="B84" s="72" t="n"/>
      <c r="C84" s="72" t="n"/>
      <c r="D84" s="72" t="n"/>
      <c r="E84" s="72" t="n"/>
      <c r="F84" s="72" t="n"/>
      <c r="G84" s="72" t="n"/>
      <c r="H84" s="72" t="n"/>
      <c r="I84" s="73" t="n"/>
      <c r="J84" s="75">
        <f>IF(B84="","",SUMIFS('Change Orders'!$J$7:$J$1006,'Change Orders'!$E$7:$E$1006,B84,'Change Orders'!$L$7:$L$1006,"Approved"))</f>
        <v/>
      </c>
      <c r="K84" s="76">
        <f>IF(B84="","",I84+J84)</f>
        <v/>
      </c>
      <c r="L84" s="74" t="n"/>
      <c r="M84" s="109" t="n"/>
      <c r="N84" s="109" t="n"/>
      <c r="O84" s="74" t="n"/>
      <c r="P84" s="74" t="n"/>
      <c r="Q84" s="100" t="n"/>
      <c r="R84" s="110" t="n"/>
      <c r="S84" s="75">
        <f>IF(B84="","",SUMIFS('Payments'!$N$6:$N$1005,'Payments'!$B$6:$B$1005,B84))</f>
        <v/>
      </c>
      <c r="T84" s="111">
        <f>IF(OR(B84="",K84=0),"",S84/K84)</f>
        <v/>
      </c>
      <c r="U84" s="78">
        <f>IF(V84="","",IF(V84=2,"⚠️ Paying ahead of work","✓ OK"))</f>
        <v/>
      </c>
      <c r="V84" s="79">
        <f>IF(T84="","",IF(T84-R84&gt;OverpayTol,2,0))</f>
        <v/>
      </c>
      <c r="W84" s="112">
        <f>IF(V84=2,AsOf,"")</f>
        <v/>
      </c>
      <c r="X84" s="79">
        <f>IF(W84="","",1)</f>
        <v/>
      </c>
      <c r="Y84" s="79">
        <f>IF(X84="","","Paying ahead of work: "&amp;B84&amp;" — paid "&amp;ROUND(T84*100,0)&amp;"%, work done "&amp;ROUND(R84*100,0)&amp;"%")</f>
        <v/>
      </c>
      <c r="AA84" s="72" t="n"/>
      <c r="AB84" s="109" t="n"/>
      <c r="AC84" s="113" t="n"/>
      <c r="AD84" s="74" t="n"/>
      <c r="AE84" s="109" t="n"/>
      <c r="AF84" s="74" t="n"/>
      <c r="AG84" s="112">
        <f>IF(AND(AA84&lt;&gt;"",AD84="Yes",AF84&lt;&gt;"Yes",AE84&lt;&gt;""),AE84,"")</f>
        <v/>
      </c>
      <c r="AH84" s="79">
        <f>IF(AG84="","",IF(AG84&lt;AsOf,1,IF(AG84&lt;=AsOf+AlertDays,2,IF(AG84&lt;=AsOf+2*AlertDays,3,""))))</f>
        <v/>
      </c>
      <c r="AI84" s="79">
        <f>IF(AH84="","","Follow up with "&amp;AA84&amp;": "&amp;AC84)</f>
        <v/>
      </c>
    </row>
    <row r="85" ht="20" customHeight="1">
      <c r="B85" s="72" t="n"/>
      <c r="C85" s="72" t="n"/>
      <c r="D85" s="72" t="n"/>
      <c r="E85" s="72" t="n"/>
      <c r="F85" s="72" t="n"/>
      <c r="G85" s="72" t="n"/>
      <c r="H85" s="72" t="n"/>
      <c r="I85" s="73" t="n"/>
      <c r="J85" s="75">
        <f>IF(B85="","",SUMIFS('Change Orders'!$J$7:$J$1006,'Change Orders'!$E$7:$E$1006,B85,'Change Orders'!$L$7:$L$1006,"Approved"))</f>
        <v/>
      </c>
      <c r="K85" s="76">
        <f>IF(B85="","",I85+J85)</f>
        <v/>
      </c>
      <c r="L85" s="74" t="n"/>
      <c r="M85" s="109" t="n"/>
      <c r="N85" s="109" t="n"/>
      <c r="O85" s="74" t="n"/>
      <c r="P85" s="74" t="n"/>
      <c r="Q85" s="100" t="n"/>
      <c r="R85" s="110" t="n"/>
      <c r="S85" s="75">
        <f>IF(B85="","",SUMIFS('Payments'!$N$6:$N$1005,'Payments'!$B$6:$B$1005,B85))</f>
        <v/>
      </c>
      <c r="T85" s="111">
        <f>IF(OR(B85="",K85=0),"",S85/K85)</f>
        <v/>
      </c>
      <c r="U85" s="78">
        <f>IF(V85="","",IF(V85=2,"⚠️ Paying ahead of work","✓ OK"))</f>
        <v/>
      </c>
      <c r="V85" s="79">
        <f>IF(T85="","",IF(T85-R85&gt;OverpayTol,2,0))</f>
        <v/>
      </c>
      <c r="W85" s="112">
        <f>IF(V85=2,AsOf,"")</f>
        <v/>
      </c>
      <c r="X85" s="79">
        <f>IF(W85="","",1)</f>
        <v/>
      </c>
      <c r="Y85" s="79">
        <f>IF(X85="","","Paying ahead of work: "&amp;B85&amp;" — paid "&amp;ROUND(T85*100,0)&amp;"%, work done "&amp;ROUND(R85*100,0)&amp;"%")</f>
        <v/>
      </c>
      <c r="AA85" s="72" t="n"/>
      <c r="AB85" s="109" t="n"/>
      <c r="AC85" s="113" t="n"/>
      <c r="AD85" s="74" t="n"/>
      <c r="AE85" s="109" t="n"/>
      <c r="AF85" s="74" t="n"/>
      <c r="AG85" s="112">
        <f>IF(AND(AA85&lt;&gt;"",AD85="Yes",AF85&lt;&gt;"Yes",AE85&lt;&gt;""),AE85,"")</f>
        <v/>
      </c>
      <c r="AH85" s="79">
        <f>IF(AG85="","",IF(AG85&lt;AsOf,1,IF(AG85&lt;=AsOf+AlertDays,2,IF(AG85&lt;=AsOf+2*AlertDays,3,""))))</f>
        <v/>
      </c>
      <c r="AI85" s="79">
        <f>IF(AH85="","","Follow up with "&amp;AA85&amp;": "&amp;AC85)</f>
        <v/>
      </c>
    </row>
    <row r="86" ht="20" customHeight="1">
      <c r="B86" s="72" t="n"/>
      <c r="C86" s="72" t="n"/>
      <c r="D86" s="72" t="n"/>
      <c r="E86" s="72" t="n"/>
      <c r="F86" s="72" t="n"/>
      <c r="G86" s="72" t="n"/>
      <c r="H86" s="72" t="n"/>
      <c r="I86" s="73" t="n"/>
      <c r="J86" s="75">
        <f>IF(B86="","",SUMIFS('Change Orders'!$J$7:$J$1006,'Change Orders'!$E$7:$E$1006,B86,'Change Orders'!$L$7:$L$1006,"Approved"))</f>
        <v/>
      </c>
      <c r="K86" s="76">
        <f>IF(B86="","",I86+J86)</f>
        <v/>
      </c>
      <c r="L86" s="74" t="n"/>
      <c r="M86" s="109" t="n"/>
      <c r="N86" s="109" t="n"/>
      <c r="O86" s="74" t="n"/>
      <c r="P86" s="74" t="n"/>
      <c r="Q86" s="100" t="n"/>
      <c r="R86" s="110" t="n"/>
      <c r="S86" s="75">
        <f>IF(B86="","",SUMIFS('Payments'!$N$6:$N$1005,'Payments'!$B$6:$B$1005,B86))</f>
        <v/>
      </c>
      <c r="T86" s="111">
        <f>IF(OR(B86="",K86=0),"",S86/K86)</f>
        <v/>
      </c>
      <c r="U86" s="78">
        <f>IF(V86="","",IF(V86=2,"⚠️ Paying ahead of work","✓ OK"))</f>
        <v/>
      </c>
      <c r="V86" s="79">
        <f>IF(T86="","",IF(T86-R86&gt;OverpayTol,2,0))</f>
        <v/>
      </c>
      <c r="W86" s="112">
        <f>IF(V86=2,AsOf,"")</f>
        <v/>
      </c>
      <c r="X86" s="79">
        <f>IF(W86="","",1)</f>
        <v/>
      </c>
      <c r="Y86" s="79">
        <f>IF(X86="","","Paying ahead of work: "&amp;B86&amp;" — paid "&amp;ROUND(T86*100,0)&amp;"%, work done "&amp;ROUND(R86*100,0)&amp;"%")</f>
        <v/>
      </c>
      <c r="AA86" s="72" t="n"/>
      <c r="AB86" s="109" t="n"/>
      <c r="AC86" s="113" t="n"/>
      <c r="AD86" s="74" t="n"/>
      <c r="AE86" s="109" t="n"/>
      <c r="AF86" s="74" t="n"/>
      <c r="AG86" s="112">
        <f>IF(AND(AA86&lt;&gt;"",AD86="Yes",AF86&lt;&gt;"Yes",AE86&lt;&gt;""),AE86,"")</f>
        <v/>
      </c>
      <c r="AH86" s="79">
        <f>IF(AG86="","",IF(AG86&lt;AsOf,1,IF(AG86&lt;=AsOf+AlertDays,2,IF(AG86&lt;=AsOf+2*AlertDays,3,""))))</f>
        <v/>
      </c>
      <c r="AI86" s="79">
        <f>IF(AH86="","","Follow up with "&amp;AA86&amp;": "&amp;AC86)</f>
        <v/>
      </c>
    </row>
    <row r="87" ht="20" customHeight="1">
      <c r="B87" s="72" t="n"/>
      <c r="C87" s="72" t="n"/>
      <c r="D87" s="72" t="n"/>
      <c r="E87" s="72" t="n"/>
      <c r="F87" s="72" t="n"/>
      <c r="G87" s="72" t="n"/>
      <c r="H87" s="72" t="n"/>
      <c r="I87" s="73" t="n"/>
      <c r="J87" s="75">
        <f>IF(B87="","",SUMIFS('Change Orders'!$J$7:$J$1006,'Change Orders'!$E$7:$E$1006,B87,'Change Orders'!$L$7:$L$1006,"Approved"))</f>
        <v/>
      </c>
      <c r="K87" s="76">
        <f>IF(B87="","",I87+J87)</f>
        <v/>
      </c>
      <c r="L87" s="74" t="n"/>
      <c r="M87" s="109" t="n"/>
      <c r="N87" s="109" t="n"/>
      <c r="O87" s="74" t="n"/>
      <c r="P87" s="74" t="n"/>
      <c r="Q87" s="100" t="n"/>
      <c r="R87" s="110" t="n"/>
      <c r="S87" s="75">
        <f>IF(B87="","",SUMIFS('Payments'!$N$6:$N$1005,'Payments'!$B$6:$B$1005,B87))</f>
        <v/>
      </c>
      <c r="T87" s="111">
        <f>IF(OR(B87="",K87=0),"",S87/K87)</f>
        <v/>
      </c>
      <c r="U87" s="78">
        <f>IF(V87="","",IF(V87=2,"⚠️ Paying ahead of work","✓ OK"))</f>
        <v/>
      </c>
      <c r="V87" s="79">
        <f>IF(T87="","",IF(T87-R87&gt;OverpayTol,2,0))</f>
        <v/>
      </c>
      <c r="W87" s="112">
        <f>IF(V87=2,AsOf,"")</f>
        <v/>
      </c>
      <c r="X87" s="79">
        <f>IF(W87="","",1)</f>
        <v/>
      </c>
      <c r="Y87" s="79">
        <f>IF(X87="","","Paying ahead of work: "&amp;B87&amp;" — paid "&amp;ROUND(T87*100,0)&amp;"%, work done "&amp;ROUND(R87*100,0)&amp;"%")</f>
        <v/>
      </c>
      <c r="AA87" s="72" t="n"/>
      <c r="AB87" s="109" t="n"/>
      <c r="AC87" s="113" t="n"/>
      <c r="AD87" s="74" t="n"/>
      <c r="AE87" s="109" t="n"/>
      <c r="AF87" s="74" t="n"/>
      <c r="AG87" s="112">
        <f>IF(AND(AA87&lt;&gt;"",AD87="Yes",AF87&lt;&gt;"Yes",AE87&lt;&gt;""),AE87,"")</f>
        <v/>
      </c>
      <c r="AH87" s="79">
        <f>IF(AG87="","",IF(AG87&lt;AsOf,1,IF(AG87&lt;=AsOf+AlertDays,2,IF(AG87&lt;=AsOf+2*AlertDays,3,""))))</f>
        <v/>
      </c>
      <c r="AI87" s="79">
        <f>IF(AH87="","","Follow up with "&amp;AA87&amp;": "&amp;AC87)</f>
        <v/>
      </c>
    </row>
    <row r="88" ht="20" customHeight="1">
      <c r="B88" s="72" t="n"/>
      <c r="C88" s="72" t="n"/>
      <c r="D88" s="72" t="n"/>
      <c r="E88" s="72" t="n"/>
      <c r="F88" s="72" t="n"/>
      <c r="G88" s="72" t="n"/>
      <c r="H88" s="72" t="n"/>
      <c r="I88" s="73" t="n"/>
      <c r="J88" s="75">
        <f>IF(B88="","",SUMIFS('Change Orders'!$J$7:$J$1006,'Change Orders'!$E$7:$E$1006,B88,'Change Orders'!$L$7:$L$1006,"Approved"))</f>
        <v/>
      </c>
      <c r="K88" s="76">
        <f>IF(B88="","",I88+J88)</f>
        <v/>
      </c>
      <c r="L88" s="74" t="n"/>
      <c r="M88" s="109" t="n"/>
      <c r="N88" s="109" t="n"/>
      <c r="O88" s="74" t="n"/>
      <c r="P88" s="74" t="n"/>
      <c r="Q88" s="100" t="n"/>
      <c r="R88" s="110" t="n"/>
      <c r="S88" s="75">
        <f>IF(B88="","",SUMIFS('Payments'!$N$6:$N$1005,'Payments'!$B$6:$B$1005,B88))</f>
        <v/>
      </c>
      <c r="T88" s="111">
        <f>IF(OR(B88="",K88=0),"",S88/K88)</f>
        <v/>
      </c>
      <c r="U88" s="78">
        <f>IF(V88="","",IF(V88=2,"⚠️ Paying ahead of work","✓ OK"))</f>
        <v/>
      </c>
      <c r="V88" s="79">
        <f>IF(T88="","",IF(T88-R88&gt;OverpayTol,2,0))</f>
        <v/>
      </c>
      <c r="W88" s="112">
        <f>IF(V88=2,AsOf,"")</f>
        <v/>
      </c>
      <c r="X88" s="79">
        <f>IF(W88="","",1)</f>
        <v/>
      </c>
      <c r="Y88" s="79">
        <f>IF(X88="","","Paying ahead of work: "&amp;B88&amp;" — paid "&amp;ROUND(T88*100,0)&amp;"%, work done "&amp;ROUND(R88*100,0)&amp;"%")</f>
        <v/>
      </c>
      <c r="AA88" s="72" t="n"/>
      <c r="AB88" s="109" t="n"/>
      <c r="AC88" s="113" t="n"/>
      <c r="AD88" s="74" t="n"/>
      <c r="AE88" s="109" t="n"/>
      <c r="AF88" s="74" t="n"/>
      <c r="AG88" s="112">
        <f>IF(AND(AA88&lt;&gt;"",AD88="Yes",AF88&lt;&gt;"Yes",AE88&lt;&gt;""),AE88,"")</f>
        <v/>
      </c>
      <c r="AH88" s="79">
        <f>IF(AG88="","",IF(AG88&lt;AsOf,1,IF(AG88&lt;=AsOf+AlertDays,2,IF(AG88&lt;=AsOf+2*AlertDays,3,""))))</f>
        <v/>
      </c>
      <c r="AI88" s="79">
        <f>IF(AH88="","","Follow up with "&amp;AA88&amp;": "&amp;AC88)</f>
        <v/>
      </c>
    </row>
    <row r="89" ht="20" customHeight="1">
      <c r="B89" s="72" t="n"/>
      <c r="C89" s="72" t="n"/>
      <c r="D89" s="72" t="n"/>
      <c r="E89" s="72" t="n"/>
      <c r="F89" s="72" t="n"/>
      <c r="G89" s="72" t="n"/>
      <c r="H89" s="72" t="n"/>
      <c r="I89" s="73" t="n"/>
      <c r="J89" s="75">
        <f>IF(B89="","",SUMIFS('Change Orders'!$J$7:$J$1006,'Change Orders'!$E$7:$E$1006,B89,'Change Orders'!$L$7:$L$1006,"Approved"))</f>
        <v/>
      </c>
      <c r="K89" s="76">
        <f>IF(B89="","",I89+J89)</f>
        <v/>
      </c>
      <c r="L89" s="74" t="n"/>
      <c r="M89" s="109" t="n"/>
      <c r="N89" s="109" t="n"/>
      <c r="O89" s="74" t="n"/>
      <c r="P89" s="74" t="n"/>
      <c r="Q89" s="100" t="n"/>
      <c r="R89" s="110" t="n"/>
      <c r="S89" s="75">
        <f>IF(B89="","",SUMIFS('Payments'!$N$6:$N$1005,'Payments'!$B$6:$B$1005,B89))</f>
        <v/>
      </c>
      <c r="T89" s="111">
        <f>IF(OR(B89="",K89=0),"",S89/K89)</f>
        <v/>
      </c>
      <c r="U89" s="78">
        <f>IF(V89="","",IF(V89=2,"⚠️ Paying ahead of work","✓ OK"))</f>
        <v/>
      </c>
      <c r="V89" s="79">
        <f>IF(T89="","",IF(T89-R89&gt;OverpayTol,2,0))</f>
        <v/>
      </c>
      <c r="W89" s="112">
        <f>IF(V89=2,AsOf,"")</f>
        <v/>
      </c>
      <c r="X89" s="79">
        <f>IF(W89="","",1)</f>
        <v/>
      </c>
      <c r="Y89" s="79">
        <f>IF(X89="","","Paying ahead of work: "&amp;B89&amp;" — paid "&amp;ROUND(T89*100,0)&amp;"%, work done "&amp;ROUND(R89*100,0)&amp;"%")</f>
        <v/>
      </c>
      <c r="AA89" s="72" t="n"/>
      <c r="AB89" s="109" t="n"/>
      <c r="AC89" s="113" t="n"/>
      <c r="AD89" s="74" t="n"/>
      <c r="AE89" s="109" t="n"/>
      <c r="AF89" s="74" t="n"/>
      <c r="AG89" s="112">
        <f>IF(AND(AA89&lt;&gt;"",AD89="Yes",AF89&lt;&gt;"Yes",AE89&lt;&gt;""),AE89,"")</f>
        <v/>
      </c>
      <c r="AH89" s="79">
        <f>IF(AG89="","",IF(AG89&lt;AsOf,1,IF(AG89&lt;=AsOf+AlertDays,2,IF(AG89&lt;=AsOf+2*AlertDays,3,""))))</f>
        <v/>
      </c>
      <c r="AI89" s="79">
        <f>IF(AH89="","","Follow up with "&amp;AA89&amp;": "&amp;AC89)</f>
        <v/>
      </c>
    </row>
    <row r="90" ht="20" customHeight="1">
      <c r="B90" s="72" t="n"/>
      <c r="C90" s="72" t="n"/>
      <c r="D90" s="72" t="n"/>
      <c r="E90" s="72" t="n"/>
      <c r="F90" s="72" t="n"/>
      <c r="G90" s="72" t="n"/>
      <c r="H90" s="72" t="n"/>
      <c r="I90" s="73" t="n"/>
      <c r="J90" s="75">
        <f>IF(B90="","",SUMIFS('Change Orders'!$J$7:$J$1006,'Change Orders'!$E$7:$E$1006,B90,'Change Orders'!$L$7:$L$1006,"Approved"))</f>
        <v/>
      </c>
      <c r="K90" s="76">
        <f>IF(B90="","",I90+J90)</f>
        <v/>
      </c>
      <c r="L90" s="74" t="n"/>
      <c r="M90" s="109" t="n"/>
      <c r="N90" s="109" t="n"/>
      <c r="O90" s="74" t="n"/>
      <c r="P90" s="74" t="n"/>
      <c r="Q90" s="100" t="n"/>
      <c r="R90" s="110" t="n"/>
      <c r="S90" s="75">
        <f>IF(B90="","",SUMIFS('Payments'!$N$6:$N$1005,'Payments'!$B$6:$B$1005,B90))</f>
        <v/>
      </c>
      <c r="T90" s="111">
        <f>IF(OR(B90="",K90=0),"",S90/K90)</f>
        <v/>
      </c>
      <c r="U90" s="78">
        <f>IF(V90="","",IF(V90=2,"⚠️ Paying ahead of work","✓ OK"))</f>
        <v/>
      </c>
      <c r="V90" s="79">
        <f>IF(T90="","",IF(T90-R90&gt;OverpayTol,2,0))</f>
        <v/>
      </c>
      <c r="W90" s="112">
        <f>IF(V90=2,AsOf,"")</f>
        <v/>
      </c>
      <c r="X90" s="79">
        <f>IF(W90="","",1)</f>
        <v/>
      </c>
      <c r="Y90" s="79">
        <f>IF(X90="","","Paying ahead of work: "&amp;B90&amp;" — paid "&amp;ROUND(T90*100,0)&amp;"%, work done "&amp;ROUND(R90*100,0)&amp;"%")</f>
        <v/>
      </c>
      <c r="AA90" s="72" t="n"/>
      <c r="AB90" s="109" t="n"/>
      <c r="AC90" s="113" t="n"/>
      <c r="AD90" s="74" t="n"/>
      <c r="AE90" s="109" t="n"/>
      <c r="AF90" s="74" t="n"/>
      <c r="AG90" s="112">
        <f>IF(AND(AA90&lt;&gt;"",AD90="Yes",AF90&lt;&gt;"Yes",AE90&lt;&gt;""),AE90,"")</f>
        <v/>
      </c>
      <c r="AH90" s="79">
        <f>IF(AG90="","",IF(AG90&lt;AsOf,1,IF(AG90&lt;=AsOf+AlertDays,2,IF(AG90&lt;=AsOf+2*AlertDays,3,""))))</f>
        <v/>
      </c>
      <c r="AI90" s="79">
        <f>IF(AH90="","","Follow up with "&amp;AA90&amp;": "&amp;AC90)</f>
        <v/>
      </c>
    </row>
    <row r="91" ht="20" customHeight="1">
      <c r="B91" s="72" t="n"/>
      <c r="C91" s="72" t="n"/>
      <c r="D91" s="72" t="n"/>
      <c r="E91" s="72" t="n"/>
      <c r="F91" s="72" t="n"/>
      <c r="G91" s="72" t="n"/>
      <c r="H91" s="72" t="n"/>
      <c r="I91" s="73" t="n"/>
      <c r="J91" s="75">
        <f>IF(B91="","",SUMIFS('Change Orders'!$J$7:$J$1006,'Change Orders'!$E$7:$E$1006,B91,'Change Orders'!$L$7:$L$1006,"Approved"))</f>
        <v/>
      </c>
      <c r="K91" s="76">
        <f>IF(B91="","",I91+J91)</f>
        <v/>
      </c>
      <c r="L91" s="74" t="n"/>
      <c r="M91" s="109" t="n"/>
      <c r="N91" s="109" t="n"/>
      <c r="O91" s="74" t="n"/>
      <c r="P91" s="74" t="n"/>
      <c r="Q91" s="100" t="n"/>
      <c r="R91" s="110" t="n"/>
      <c r="S91" s="75">
        <f>IF(B91="","",SUMIFS('Payments'!$N$6:$N$1005,'Payments'!$B$6:$B$1005,B91))</f>
        <v/>
      </c>
      <c r="T91" s="111">
        <f>IF(OR(B91="",K91=0),"",S91/K91)</f>
        <v/>
      </c>
      <c r="U91" s="78">
        <f>IF(V91="","",IF(V91=2,"⚠️ Paying ahead of work","✓ OK"))</f>
        <v/>
      </c>
      <c r="V91" s="79">
        <f>IF(T91="","",IF(T91-R91&gt;OverpayTol,2,0))</f>
        <v/>
      </c>
      <c r="W91" s="112">
        <f>IF(V91=2,AsOf,"")</f>
        <v/>
      </c>
      <c r="X91" s="79">
        <f>IF(W91="","",1)</f>
        <v/>
      </c>
      <c r="Y91" s="79">
        <f>IF(X91="","","Paying ahead of work: "&amp;B91&amp;" — paid "&amp;ROUND(T91*100,0)&amp;"%, work done "&amp;ROUND(R91*100,0)&amp;"%")</f>
        <v/>
      </c>
      <c r="AA91" s="72" t="n"/>
      <c r="AB91" s="109" t="n"/>
      <c r="AC91" s="113" t="n"/>
      <c r="AD91" s="74" t="n"/>
      <c r="AE91" s="109" t="n"/>
      <c r="AF91" s="74" t="n"/>
      <c r="AG91" s="112">
        <f>IF(AND(AA91&lt;&gt;"",AD91="Yes",AF91&lt;&gt;"Yes",AE91&lt;&gt;""),AE91,"")</f>
        <v/>
      </c>
      <c r="AH91" s="79">
        <f>IF(AG91="","",IF(AG91&lt;AsOf,1,IF(AG91&lt;=AsOf+AlertDays,2,IF(AG91&lt;=AsOf+2*AlertDays,3,""))))</f>
        <v/>
      </c>
      <c r="AI91" s="79">
        <f>IF(AH91="","","Follow up with "&amp;AA91&amp;": "&amp;AC91)</f>
        <v/>
      </c>
    </row>
    <row r="92" ht="20" customHeight="1">
      <c r="B92" s="72" t="n"/>
      <c r="C92" s="72" t="n"/>
      <c r="D92" s="72" t="n"/>
      <c r="E92" s="72" t="n"/>
      <c r="F92" s="72" t="n"/>
      <c r="G92" s="72" t="n"/>
      <c r="H92" s="72" t="n"/>
      <c r="I92" s="73" t="n"/>
      <c r="J92" s="75">
        <f>IF(B92="","",SUMIFS('Change Orders'!$J$7:$J$1006,'Change Orders'!$E$7:$E$1006,B92,'Change Orders'!$L$7:$L$1006,"Approved"))</f>
        <v/>
      </c>
      <c r="K92" s="76">
        <f>IF(B92="","",I92+J92)</f>
        <v/>
      </c>
      <c r="L92" s="74" t="n"/>
      <c r="M92" s="109" t="n"/>
      <c r="N92" s="109" t="n"/>
      <c r="O92" s="74" t="n"/>
      <c r="P92" s="74" t="n"/>
      <c r="Q92" s="100" t="n"/>
      <c r="R92" s="110" t="n"/>
      <c r="S92" s="75">
        <f>IF(B92="","",SUMIFS('Payments'!$N$6:$N$1005,'Payments'!$B$6:$B$1005,B92))</f>
        <v/>
      </c>
      <c r="T92" s="111">
        <f>IF(OR(B92="",K92=0),"",S92/K92)</f>
        <v/>
      </c>
      <c r="U92" s="78">
        <f>IF(V92="","",IF(V92=2,"⚠️ Paying ahead of work","✓ OK"))</f>
        <v/>
      </c>
      <c r="V92" s="79">
        <f>IF(T92="","",IF(T92-R92&gt;OverpayTol,2,0))</f>
        <v/>
      </c>
      <c r="W92" s="112">
        <f>IF(V92=2,AsOf,"")</f>
        <v/>
      </c>
      <c r="X92" s="79">
        <f>IF(W92="","",1)</f>
        <v/>
      </c>
      <c r="Y92" s="79">
        <f>IF(X92="","","Paying ahead of work: "&amp;B92&amp;" — paid "&amp;ROUND(T92*100,0)&amp;"%, work done "&amp;ROUND(R92*100,0)&amp;"%")</f>
        <v/>
      </c>
      <c r="AA92" s="72" t="n"/>
      <c r="AB92" s="109" t="n"/>
      <c r="AC92" s="113" t="n"/>
      <c r="AD92" s="74" t="n"/>
      <c r="AE92" s="109" t="n"/>
      <c r="AF92" s="74" t="n"/>
      <c r="AG92" s="112">
        <f>IF(AND(AA92&lt;&gt;"",AD92="Yes",AF92&lt;&gt;"Yes",AE92&lt;&gt;""),AE92,"")</f>
        <v/>
      </c>
      <c r="AH92" s="79">
        <f>IF(AG92="","",IF(AG92&lt;AsOf,1,IF(AG92&lt;=AsOf+AlertDays,2,IF(AG92&lt;=AsOf+2*AlertDays,3,""))))</f>
        <v/>
      </c>
      <c r="AI92" s="79">
        <f>IF(AH92="","","Follow up with "&amp;AA92&amp;": "&amp;AC92)</f>
        <v/>
      </c>
    </row>
    <row r="93" ht="20" customHeight="1">
      <c r="B93" s="72" t="n"/>
      <c r="C93" s="72" t="n"/>
      <c r="D93" s="72" t="n"/>
      <c r="E93" s="72" t="n"/>
      <c r="F93" s="72" t="n"/>
      <c r="G93" s="72" t="n"/>
      <c r="H93" s="72" t="n"/>
      <c r="I93" s="73" t="n"/>
      <c r="J93" s="75">
        <f>IF(B93="","",SUMIFS('Change Orders'!$J$7:$J$1006,'Change Orders'!$E$7:$E$1006,B93,'Change Orders'!$L$7:$L$1006,"Approved"))</f>
        <v/>
      </c>
      <c r="K93" s="76">
        <f>IF(B93="","",I93+J93)</f>
        <v/>
      </c>
      <c r="L93" s="74" t="n"/>
      <c r="M93" s="109" t="n"/>
      <c r="N93" s="109" t="n"/>
      <c r="O93" s="74" t="n"/>
      <c r="P93" s="74" t="n"/>
      <c r="Q93" s="100" t="n"/>
      <c r="R93" s="110" t="n"/>
      <c r="S93" s="75">
        <f>IF(B93="","",SUMIFS('Payments'!$N$6:$N$1005,'Payments'!$B$6:$B$1005,B93))</f>
        <v/>
      </c>
      <c r="T93" s="111">
        <f>IF(OR(B93="",K93=0),"",S93/K93)</f>
        <v/>
      </c>
      <c r="U93" s="78">
        <f>IF(V93="","",IF(V93=2,"⚠️ Paying ahead of work","✓ OK"))</f>
        <v/>
      </c>
      <c r="V93" s="79">
        <f>IF(T93="","",IF(T93-R93&gt;OverpayTol,2,0))</f>
        <v/>
      </c>
      <c r="W93" s="112">
        <f>IF(V93=2,AsOf,"")</f>
        <v/>
      </c>
      <c r="X93" s="79">
        <f>IF(W93="","",1)</f>
        <v/>
      </c>
      <c r="Y93" s="79">
        <f>IF(X93="","","Paying ahead of work: "&amp;B93&amp;" — paid "&amp;ROUND(T93*100,0)&amp;"%, work done "&amp;ROUND(R93*100,0)&amp;"%")</f>
        <v/>
      </c>
      <c r="AA93" s="72" t="n"/>
      <c r="AB93" s="109" t="n"/>
      <c r="AC93" s="113" t="n"/>
      <c r="AD93" s="74" t="n"/>
      <c r="AE93" s="109" t="n"/>
      <c r="AF93" s="74" t="n"/>
      <c r="AG93" s="112">
        <f>IF(AND(AA93&lt;&gt;"",AD93="Yes",AF93&lt;&gt;"Yes",AE93&lt;&gt;""),AE93,"")</f>
        <v/>
      </c>
      <c r="AH93" s="79">
        <f>IF(AG93="","",IF(AG93&lt;AsOf,1,IF(AG93&lt;=AsOf+AlertDays,2,IF(AG93&lt;=AsOf+2*AlertDays,3,""))))</f>
        <v/>
      </c>
      <c r="AI93" s="79">
        <f>IF(AH93="","","Follow up with "&amp;AA93&amp;": "&amp;AC93)</f>
        <v/>
      </c>
    </row>
    <row r="94" ht="20" customHeight="1">
      <c r="B94" s="72" t="n"/>
      <c r="C94" s="72" t="n"/>
      <c r="D94" s="72" t="n"/>
      <c r="E94" s="72" t="n"/>
      <c r="F94" s="72" t="n"/>
      <c r="G94" s="72" t="n"/>
      <c r="H94" s="72" t="n"/>
      <c r="I94" s="73" t="n"/>
      <c r="J94" s="75">
        <f>IF(B94="","",SUMIFS('Change Orders'!$J$7:$J$1006,'Change Orders'!$E$7:$E$1006,B94,'Change Orders'!$L$7:$L$1006,"Approved"))</f>
        <v/>
      </c>
      <c r="K94" s="76">
        <f>IF(B94="","",I94+J94)</f>
        <v/>
      </c>
      <c r="L94" s="74" t="n"/>
      <c r="M94" s="109" t="n"/>
      <c r="N94" s="109" t="n"/>
      <c r="O94" s="74" t="n"/>
      <c r="P94" s="74" t="n"/>
      <c r="Q94" s="100" t="n"/>
      <c r="R94" s="110" t="n"/>
      <c r="S94" s="75">
        <f>IF(B94="","",SUMIFS('Payments'!$N$6:$N$1005,'Payments'!$B$6:$B$1005,B94))</f>
        <v/>
      </c>
      <c r="T94" s="111">
        <f>IF(OR(B94="",K94=0),"",S94/K94)</f>
        <v/>
      </c>
      <c r="U94" s="78">
        <f>IF(V94="","",IF(V94=2,"⚠️ Paying ahead of work","✓ OK"))</f>
        <v/>
      </c>
      <c r="V94" s="79">
        <f>IF(T94="","",IF(T94-R94&gt;OverpayTol,2,0))</f>
        <v/>
      </c>
      <c r="W94" s="112">
        <f>IF(V94=2,AsOf,"")</f>
        <v/>
      </c>
      <c r="X94" s="79">
        <f>IF(W94="","",1)</f>
        <v/>
      </c>
      <c r="Y94" s="79">
        <f>IF(X94="","","Paying ahead of work: "&amp;B94&amp;" — paid "&amp;ROUND(T94*100,0)&amp;"%, work done "&amp;ROUND(R94*100,0)&amp;"%")</f>
        <v/>
      </c>
      <c r="AA94" s="72" t="n"/>
      <c r="AB94" s="109" t="n"/>
      <c r="AC94" s="113" t="n"/>
      <c r="AD94" s="74" t="n"/>
      <c r="AE94" s="109" t="n"/>
      <c r="AF94" s="74" t="n"/>
      <c r="AG94" s="112">
        <f>IF(AND(AA94&lt;&gt;"",AD94="Yes",AF94&lt;&gt;"Yes",AE94&lt;&gt;""),AE94,"")</f>
        <v/>
      </c>
      <c r="AH94" s="79">
        <f>IF(AG94="","",IF(AG94&lt;AsOf,1,IF(AG94&lt;=AsOf+AlertDays,2,IF(AG94&lt;=AsOf+2*AlertDays,3,""))))</f>
        <v/>
      </c>
      <c r="AI94" s="79">
        <f>IF(AH94="","","Follow up with "&amp;AA94&amp;": "&amp;AC94)</f>
        <v/>
      </c>
    </row>
    <row r="95" ht="20" customHeight="1">
      <c r="B95" s="72" t="n"/>
      <c r="C95" s="72" t="n"/>
      <c r="D95" s="72" t="n"/>
      <c r="E95" s="72" t="n"/>
      <c r="F95" s="72" t="n"/>
      <c r="G95" s="72" t="n"/>
      <c r="H95" s="72" t="n"/>
      <c r="I95" s="73" t="n"/>
      <c r="J95" s="75">
        <f>IF(B95="","",SUMIFS('Change Orders'!$J$7:$J$1006,'Change Orders'!$E$7:$E$1006,B95,'Change Orders'!$L$7:$L$1006,"Approved"))</f>
        <v/>
      </c>
      <c r="K95" s="76">
        <f>IF(B95="","",I95+J95)</f>
        <v/>
      </c>
      <c r="L95" s="74" t="n"/>
      <c r="M95" s="109" t="n"/>
      <c r="N95" s="109" t="n"/>
      <c r="O95" s="74" t="n"/>
      <c r="P95" s="74" t="n"/>
      <c r="Q95" s="100" t="n"/>
      <c r="R95" s="110" t="n"/>
      <c r="S95" s="75">
        <f>IF(B95="","",SUMIFS('Payments'!$N$6:$N$1005,'Payments'!$B$6:$B$1005,B95))</f>
        <v/>
      </c>
      <c r="T95" s="111">
        <f>IF(OR(B95="",K95=0),"",S95/K95)</f>
        <v/>
      </c>
      <c r="U95" s="78">
        <f>IF(V95="","",IF(V95=2,"⚠️ Paying ahead of work","✓ OK"))</f>
        <v/>
      </c>
      <c r="V95" s="79">
        <f>IF(T95="","",IF(T95-R95&gt;OverpayTol,2,0))</f>
        <v/>
      </c>
      <c r="W95" s="112">
        <f>IF(V95=2,AsOf,"")</f>
        <v/>
      </c>
      <c r="X95" s="79">
        <f>IF(W95="","",1)</f>
        <v/>
      </c>
      <c r="Y95" s="79">
        <f>IF(X95="","","Paying ahead of work: "&amp;B95&amp;" — paid "&amp;ROUND(T95*100,0)&amp;"%, work done "&amp;ROUND(R95*100,0)&amp;"%")</f>
        <v/>
      </c>
      <c r="AA95" s="72" t="n"/>
      <c r="AB95" s="109" t="n"/>
      <c r="AC95" s="113" t="n"/>
      <c r="AD95" s="74" t="n"/>
      <c r="AE95" s="109" t="n"/>
      <c r="AF95" s="74" t="n"/>
      <c r="AG95" s="112">
        <f>IF(AND(AA95&lt;&gt;"",AD95="Yes",AF95&lt;&gt;"Yes",AE95&lt;&gt;""),AE95,"")</f>
        <v/>
      </c>
      <c r="AH95" s="79">
        <f>IF(AG95="","",IF(AG95&lt;AsOf,1,IF(AG95&lt;=AsOf+AlertDays,2,IF(AG95&lt;=AsOf+2*AlertDays,3,""))))</f>
        <v/>
      </c>
      <c r="AI95" s="79">
        <f>IF(AH95="","","Follow up with "&amp;AA95&amp;": "&amp;AC95)</f>
        <v/>
      </c>
    </row>
    <row r="96" ht="20" customHeight="1">
      <c r="B96" s="72" t="n"/>
      <c r="C96" s="72" t="n"/>
      <c r="D96" s="72" t="n"/>
      <c r="E96" s="72" t="n"/>
      <c r="F96" s="72" t="n"/>
      <c r="G96" s="72" t="n"/>
      <c r="H96" s="72" t="n"/>
      <c r="I96" s="73" t="n"/>
      <c r="J96" s="75">
        <f>IF(B96="","",SUMIFS('Change Orders'!$J$7:$J$1006,'Change Orders'!$E$7:$E$1006,B96,'Change Orders'!$L$7:$L$1006,"Approved"))</f>
        <v/>
      </c>
      <c r="K96" s="76">
        <f>IF(B96="","",I96+J96)</f>
        <v/>
      </c>
      <c r="L96" s="74" t="n"/>
      <c r="M96" s="109" t="n"/>
      <c r="N96" s="109" t="n"/>
      <c r="O96" s="74" t="n"/>
      <c r="P96" s="74" t="n"/>
      <c r="Q96" s="100" t="n"/>
      <c r="R96" s="110" t="n"/>
      <c r="S96" s="75">
        <f>IF(B96="","",SUMIFS('Payments'!$N$6:$N$1005,'Payments'!$B$6:$B$1005,B96))</f>
        <v/>
      </c>
      <c r="T96" s="111">
        <f>IF(OR(B96="",K96=0),"",S96/K96)</f>
        <v/>
      </c>
      <c r="U96" s="78">
        <f>IF(V96="","",IF(V96=2,"⚠️ Paying ahead of work","✓ OK"))</f>
        <v/>
      </c>
      <c r="V96" s="79">
        <f>IF(T96="","",IF(T96-R96&gt;OverpayTol,2,0))</f>
        <v/>
      </c>
      <c r="W96" s="112">
        <f>IF(V96=2,AsOf,"")</f>
        <v/>
      </c>
      <c r="X96" s="79">
        <f>IF(W96="","",1)</f>
        <v/>
      </c>
      <c r="Y96" s="79">
        <f>IF(X96="","","Paying ahead of work: "&amp;B96&amp;" — paid "&amp;ROUND(T96*100,0)&amp;"%, work done "&amp;ROUND(R96*100,0)&amp;"%")</f>
        <v/>
      </c>
      <c r="AA96" s="72" t="n"/>
      <c r="AB96" s="109" t="n"/>
      <c r="AC96" s="113" t="n"/>
      <c r="AD96" s="74" t="n"/>
      <c r="AE96" s="109" t="n"/>
      <c r="AF96" s="74" t="n"/>
      <c r="AG96" s="112">
        <f>IF(AND(AA96&lt;&gt;"",AD96="Yes",AF96&lt;&gt;"Yes",AE96&lt;&gt;""),AE96,"")</f>
        <v/>
      </c>
      <c r="AH96" s="79">
        <f>IF(AG96="","",IF(AG96&lt;AsOf,1,IF(AG96&lt;=AsOf+AlertDays,2,IF(AG96&lt;=AsOf+2*AlertDays,3,""))))</f>
        <v/>
      </c>
      <c r="AI96" s="79">
        <f>IF(AH96="","","Follow up with "&amp;AA96&amp;": "&amp;AC96)</f>
        <v/>
      </c>
    </row>
    <row r="97" ht="20" customHeight="1">
      <c r="B97" s="72" t="n"/>
      <c r="C97" s="72" t="n"/>
      <c r="D97" s="72" t="n"/>
      <c r="E97" s="72" t="n"/>
      <c r="F97" s="72" t="n"/>
      <c r="G97" s="72" t="n"/>
      <c r="H97" s="72" t="n"/>
      <c r="I97" s="73" t="n"/>
      <c r="J97" s="75">
        <f>IF(B97="","",SUMIFS('Change Orders'!$J$7:$J$1006,'Change Orders'!$E$7:$E$1006,B97,'Change Orders'!$L$7:$L$1006,"Approved"))</f>
        <v/>
      </c>
      <c r="K97" s="76">
        <f>IF(B97="","",I97+J97)</f>
        <v/>
      </c>
      <c r="L97" s="74" t="n"/>
      <c r="M97" s="109" t="n"/>
      <c r="N97" s="109" t="n"/>
      <c r="O97" s="74" t="n"/>
      <c r="P97" s="74" t="n"/>
      <c r="Q97" s="100" t="n"/>
      <c r="R97" s="110" t="n"/>
      <c r="S97" s="75">
        <f>IF(B97="","",SUMIFS('Payments'!$N$6:$N$1005,'Payments'!$B$6:$B$1005,B97))</f>
        <v/>
      </c>
      <c r="T97" s="111">
        <f>IF(OR(B97="",K97=0),"",S97/K97)</f>
        <v/>
      </c>
      <c r="U97" s="78">
        <f>IF(V97="","",IF(V97=2,"⚠️ Paying ahead of work","✓ OK"))</f>
        <v/>
      </c>
      <c r="V97" s="79">
        <f>IF(T97="","",IF(T97-R97&gt;OverpayTol,2,0))</f>
        <v/>
      </c>
      <c r="W97" s="112">
        <f>IF(V97=2,AsOf,"")</f>
        <v/>
      </c>
      <c r="X97" s="79">
        <f>IF(W97="","",1)</f>
        <v/>
      </c>
      <c r="Y97" s="79">
        <f>IF(X97="","","Paying ahead of work: "&amp;B97&amp;" — paid "&amp;ROUND(T97*100,0)&amp;"%, work done "&amp;ROUND(R97*100,0)&amp;"%")</f>
        <v/>
      </c>
      <c r="AA97" s="72" t="n"/>
      <c r="AB97" s="109" t="n"/>
      <c r="AC97" s="113" t="n"/>
      <c r="AD97" s="74" t="n"/>
      <c r="AE97" s="109" t="n"/>
      <c r="AF97" s="74" t="n"/>
      <c r="AG97" s="112">
        <f>IF(AND(AA97&lt;&gt;"",AD97="Yes",AF97&lt;&gt;"Yes",AE97&lt;&gt;""),AE97,"")</f>
        <v/>
      </c>
      <c r="AH97" s="79">
        <f>IF(AG97="","",IF(AG97&lt;AsOf,1,IF(AG97&lt;=AsOf+AlertDays,2,IF(AG97&lt;=AsOf+2*AlertDays,3,""))))</f>
        <v/>
      </c>
      <c r="AI97" s="79">
        <f>IF(AH97="","","Follow up with "&amp;AA97&amp;": "&amp;AC97)</f>
        <v/>
      </c>
    </row>
    <row r="98" ht="20" customHeight="1">
      <c r="B98" s="72" t="n"/>
      <c r="C98" s="72" t="n"/>
      <c r="D98" s="72" t="n"/>
      <c r="E98" s="72" t="n"/>
      <c r="F98" s="72" t="n"/>
      <c r="G98" s="72" t="n"/>
      <c r="H98" s="72" t="n"/>
      <c r="I98" s="73" t="n"/>
      <c r="J98" s="75">
        <f>IF(B98="","",SUMIFS('Change Orders'!$J$7:$J$1006,'Change Orders'!$E$7:$E$1006,B98,'Change Orders'!$L$7:$L$1006,"Approved"))</f>
        <v/>
      </c>
      <c r="K98" s="76">
        <f>IF(B98="","",I98+J98)</f>
        <v/>
      </c>
      <c r="L98" s="74" t="n"/>
      <c r="M98" s="109" t="n"/>
      <c r="N98" s="109" t="n"/>
      <c r="O98" s="74" t="n"/>
      <c r="P98" s="74" t="n"/>
      <c r="Q98" s="100" t="n"/>
      <c r="R98" s="110" t="n"/>
      <c r="S98" s="75">
        <f>IF(B98="","",SUMIFS('Payments'!$N$6:$N$1005,'Payments'!$B$6:$B$1005,B98))</f>
        <v/>
      </c>
      <c r="T98" s="111">
        <f>IF(OR(B98="",K98=0),"",S98/K98)</f>
        <v/>
      </c>
      <c r="U98" s="78">
        <f>IF(V98="","",IF(V98=2,"⚠️ Paying ahead of work","✓ OK"))</f>
        <v/>
      </c>
      <c r="V98" s="79">
        <f>IF(T98="","",IF(T98-R98&gt;OverpayTol,2,0))</f>
        <v/>
      </c>
      <c r="W98" s="112">
        <f>IF(V98=2,AsOf,"")</f>
        <v/>
      </c>
      <c r="X98" s="79">
        <f>IF(W98="","",1)</f>
        <v/>
      </c>
      <c r="Y98" s="79">
        <f>IF(X98="","","Paying ahead of work: "&amp;B98&amp;" — paid "&amp;ROUND(T98*100,0)&amp;"%, work done "&amp;ROUND(R98*100,0)&amp;"%")</f>
        <v/>
      </c>
      <c r="AA98" s="72" t="n"/>
      <c r="AB98" s="109" t="n"/>
      <c r="AC98" s="113" t="n"/>
      <c r="AD98" s="74" t="n"/>
      <c r="AE98" s="109" t="n"/>
      <c r="AF98" s="74" t="n"/>
      <c r="AG98" s="112">
        <f>IF(AND(AA98&lt;&gt;"",AD98="Yes",AF98&lt;&gt;"Yes",AE98&lt;&gt;""),AE98,"")</f>
        <v/>
      </c>
      <c r="AH98" s="79">
        <f>IF(AG98="","",IF(AG98&lt;AsOf,1,IF(AG98&lt;=AsOf+AlertDays,2,IF(AG98&lt;=AsOf+2*AlertDays,3,""))))</f>
        <v/>
      </c>
      <c r="AI98" s="79">
        <f>IF(AH98="","","Follow up with "&amp;AA98&amp;": "&amp;AC98)</f>
        <v/>
      </c>
    </row>
    <row r="99" ht="20" customHeight="1">
      <c r="B99" s="72" t="n"/>
      <c r="C99" s="72" t="n"/>
      <c r="D99" s="72" t="n"/>
      <c r="E99" s="72" t="n"/>
      <c r="F99" s="72" t="n"/>
      <c r="G99" s="72" t="n"/>
      <c r="H99" s="72" t="n"/>
      <c r="I99" s="73" t="n"/>
      <c r="J99" s="75">
        <f>IF(B99="","",SUMIFS('Change Orders'!$J$7:$J$1006,'Change Orders'!$E$7:$E$1006,B99,'Change Orders'!$L$7:$L$1006,"Approved"))</f>
        <v/>
      </c>
      <c r="K99" s="76">
        <f>IF(B99="","",I99+J99)</f>
        <v/>
      </c>
      <c r="L99" s="74" t="n"/>
      <c r="M99" s="109" t="n"/>
      <c r="N99" s="109" t="n"/>
      <c r="O99" s="74" t="n"/>
      <c r="P99" s="74" t="n"/>
      <c r="Q99" s="100" t="n"/>
      <c r="R99" s="110" t="n"/>
      <c r="S99" s="75">
        <f>IF(B99="","",SUMIFS('Payments'!$N$6:$N$1005,'Payments'!$B$6:$B$1005,B99))</f>
        <v/>
      </c>
      <c r="T99" s="111">
        <f>IF(OR(B99="",K99=0),"",S99/K99)</f>
        <v/>
      </c>
      <c r="U99" s="78">
        <f>IF(V99="","",IF(V99=2,"⚠️ Paying ahead of work","✓ OK"))</f>
        <v/>
      </c>
      <c r="V99" s="79">
        <f>IF(T99="","",IF(T99-R99&gt;OverpayTol,2,0))</f>
        <v/>
      </c>
      <c r="W99" s="112">
        <f>IF(V99=2,AsOf,"")</f>
        <v/>
      </c>
      <c r="X99" s="79">
        <f>IF(W99="","",1)</f>
        <v/>
      </c>
      <c r="Y99" s="79">
        <f>IF(X99="","","Paying ahead of work: "&amp;B99&amp;" — paid "&amp;ROUND(T99*100,0)&amp;"%, work done "&amp;ROUND(R99*100,0)&amp;"%")</f>
        <v/>
      </c>
      <c r="AA99" s="72" t="n"/>
      <c r="AB99" s="109" t="n"/>
      <c r="AC99" s="113" t="n"/>
      <c r="AD99" s="74" t="n"/>
      <c r="AE99" s="109" t="n"/>
      <c r="AF99" s="74" t="n"/>
      <c r="AG99" s="112">
        <f>IF(AND(AA99&lt;&gt;"",AD99="Yes",AF99&lt;&gt;"Yes",AE99&lt;&gt;""),AE99,"")</f>
        <v/>
      </c>
      <c r="AH99" s="79">
        <f>IF(AG99="","",IF(AG99&lt;AsOf,1,IF(AG99&lt;=AsOf+AlertDays,2,IF(AG99&lt;=AsOf+2*AlertDays,3,""))))</f>
        <v/>
      </c>
      <c r="AI99" s="79">
        <f>IF(AH99="","","Follow up with "&amp;AA99&amp;": "&amp;AC99)</f>
        <v/>
      </c>
    </row>
    <row r="100" ht="20" customHeight="1">
      <c r="B100" s="72" t="n"/>
      <c r="C100" s="72" t="n"/>
      <c r="D100" s="72" t="n"/>
      <c r="E100" s="72" t="n"/>
      <c r="F100" s="72" t="n"/>
      <c r="G100" s="72" t="n"/>
      <c r="H100" s="72" t="n"/>
      <c r="I100" s="73" t="n"/>
      <c r="J100" s="75">
        <f>IF(B100="","",SUMIFS('Change Orders'!$J$7:$J$1006,'Change Orders'!$E$7:$E$1006,B100,'Change Orders'!$L$7:$L$1006,"Approved"))</f>
        <v/>
      </c>
      <c r="K100" s="76">
        <f>IF(B100="","",I100+J100)</f>
        <v/>
      </c>
      <c r="L100" s="74" t="n"/>
      <c r="M100" s="109" t="n"/>
      <c r="N100" s="109" t="n"/>
      <c r="O100" s="74" t="n"/>
      <c r="P100" s="74" t="n"/>
      <c r="Q100" s="100" t="n"/>
      <c r="R100" s="110" t="n"/>
      <c r="S100" s="75">
        <f>IF(B100="","",SUMIFS('Payments'!$N$6:$N$1005,'Payments'!$B$6:$B$1005,B100))</f>
        <v/>
      </c>
      <c r="T100" s="111">
        <f>IF(OR(B100="",K100=0),"",S100/K100)</f>
        <v/>
      </c>
      <c r="U100" s="78">
        <f>IF(V100="","",IF(V100=2,"⚠️ Paying ahead of work","✓ OK"))</f>
        <v/>
      </c>
      <c r="V100" s="79">
        <f>IF(T100="","",IF(T100-R100&gt;OverpayTol,2,0))</f>
        <v/>
      </c>
      <c r="W100" s="112">
        <f>IF(V100=2,AsOf,"")</f>
        <v/>
      </c>
      <c r="X100" s="79">
        <f>IF(W100="","",1)</f>
        <v/>
      </c>
      <c r="Y100" s="79">
        <f>IF(X100="","","Paying ahead of work: "&amp;B100&amp;" — paid "&amp;ROUND(T100*100,0)&amp;"%, work done "&amp;ROUND(R100*100,0)&amp;"%")</f>
        <v/>
      </c>
      <c r="AA100" s="72" t="n"/>
      <c r="AB100" s="109" t="n"/>
      <c r="AC100" s="113" t="n"/>
      <c r="AD100" s="74" t="n"/>
      <c r="AE100" s="109" t="n"/>
      <c r="AF100" s="74" t="n"/>
      <c r="AG100" s="112">
        <f>IF(AND(AA100&lt;&gt;"",AD100="Yes",AF100&lt;&gt;"Yes",AE100&lt;&gt;""),AE100,"")</f>
        <v/>
      </c>
      <c r="AH100" s="79">
        <f>IF(AG100="","",IF(AG100&lt;AsOf,1,IF(AG100&lt;=AsOf+AlertDays,2,IF(AG100&lt;=AsOf+2*AlertDays,3,""))))</f>
        <v/>
      </c>
      <c r="AI100" s="79">
        <f>IF(AH100="","","Follow up with "&amp;AA100&amp;": "&amp;AC100)</f>
        <v/>
      </c>
    </row>
    <row r="101" ht="20" customHeight="1">
      <c r="B101" s="72" t="n"/>
      <c r="C101" s="72" t="n"/>
      <c r="D101" s="72" t="n"/>
      <c r="E101" s="72" t="n"/>
      <c r="F101" s="72" t="n"/>
      <c r="G101" s="72" t="n"/>
      <c r="H101" s="72" t="n"/>
      <c r="I101" s="73" t="n"/>
      <c r="J101" s="75">
        <f>IF(B101="","",SUMIFS('Change Orders'!$J$7:$J$1006,'Change Orders'!$E$7:$E$1006,B101,'Change Orders'!$L$7:$L$1006,"Approved"))</f>
        <v/>
      </c>
      <c r="K101" s="76">
        <f>IF(B101="","",I101+J101)</f>
        <v/>
      </c>
      <c r="L101" s="74" t="n"/>
      <c r="M101" s="109" t="n"/>
      <c r="N101" s="109" t="n"/>
      <c r="O101" s="74" t="n"/>
      <c r="P101" s="74" t="n"/>
      <c r="Q101" s="100" t="n"/>
      <c r="R101" s="110" t="n"/>
      <c r="S101" s="75">
        <f>IF(B101="","",SUMIFS('Payments'!$N$6:$N$1005,'Payments'!$B$6:$B$1005,B101))</f>
        <v/>
      </c>
      <c r="T101" s="111">
        <f>IF(OR(B101="",K101=0),"",S101/K101)</f>
        <v/>
      </c>
      <c r="U101" s="78">
        <f>IF(V101="","",IF(V101=2,"⚠️ Paying ahead of work","✓ OK"))</f>
        <v/>
      </c>
      <c r="V101" s="79">
        <f>IF(T101="","",IF(T101-R101&gt;OverpayTol,2,0))</f>
        <v/>
      </c>
      <c r="W101" s="112">
        <f>IF(V101=2,AsOf,"")</f>
        <v/>
      </c>
      <c r="X101" s="79">
        <f>IF(W101="","",1)</f>
        <v/>
      </c>
      <c r="Y101" s="79">
        <f>IF(X101="","","Paying ahead of work: "&amp;B101&amp;" — paid "&amp;ROUND(T101*100,0)&amp;"%, work done "&amp;ROUND(R101*100,0)&amp;"%")</f>
        <v/>
      </c>
      <c r="AA101" s="72" t="n"/>
      <c r="AB101" s="109" t="n"/>
      <c r="AC101" s="113" t="n"/>
      <c r="AD101" s="74" t="n"/>
      <c r="AE101" s="109" t="n"/>
      <c r="AF101" s="74" t="n"/>
      <c r="AG101" s="112">
        <f>IF(AND(AA101&lt;&gt;"",AD101="Yes",AF101&lt;&gt;"Yes",AE101&lt;&gt;""),AE101,"")</f>
        <v/>
      </c>
      <c r="AH101" s="79">
        <f>IF(AG101="","",IF(AG101&lt;AsOf,1,IF(AG101&lt;=AsOf+AlertDays,2,IF(AG101&lt;=AsOf+2*AlertDays,3,""))))</f>
        <v/>
      </c>
      <c r="AI101" s="79">
        <f>IF(AH101="","","Follow up with "&amp;AA101&amp;": "&amp;AC101)</f>
        <v/>
      </c>
    </row>
    <row r="102" ht="20" customHeight="1">
      <c r="B102" s="72" t="n"/>
      <c r="C102" s="72" t="n"/>
      <c r="D102" s="72" t="n"/>
      <c r="E102" s="72" t="n"/>
      <c r="F102" s="72" t="n"/>
      <c r="G102" s="72" t="n"/>
      <c r="H102" s="72" t="n"/>
      <c r="I102" s="73" t="n"/>
      <c r="J102" s="75">
        <f>IF(B102="","",SUMIFS('Change Orders'!$J$7:$J$1006,'Change Orders'!$E$7:$E$1006,B102,'Change Orders'!$L$7:$L$1006,"Approved"))</f>
        <v/>
      </c>
      <c r="K102" s="76">
        <f>IF(B102="","",I102+J102)</f>
        <v/>
      </c>
      <c r="L102" s="74" t="n"/>
      <c r="M102" s="109" t="n"/>
      <c r="N102" s="109" t="n"/>
      <c r="O102" s="74" t="n"/>
      <c r="P102" s="74" t="n"/>
      <c r="Q102" s="100" t="n"/>
      <c r="R102" s="110" t="n"/>
      <c r="S102" s="75">
        <f>IF(B102="","",SUMIFS('Payments'!$N$6:$N$1005,'Payments'!$B$6:$B$1005,B102))</f>
        <v/>
      </c>
      <c r="T102" s="111">
        <f>IF(OR(B102="",K102=0),"",S102/K102)</f>
        <v/>
      </c>
      <c r="U102" s="78">
        <f>IF(V102="","",IF(V102=2,"⚠️ Paying ahead of work","✓ OK"))</f>
        <v/>
      </c>
      <c r="V102" s="79">
        <f>IF(T102="","",IF(T102-R102&gt;OverpayTol,2,0))</f>
        <v/>
      </c>
      <c r="W102" s="112">
        <f>IF(V102=2,AsOf,"")</f>
        <v/>
      </c>
      <c r="X102" s="79">
        <f>IF(W102="","",1)</f>
        <v/>
      </c>
      <c r="Y102" s="79">
        <f>IF(X102="","","Paying ahead of work: "&amp;B102&amp;" — paid "&amp;ROUND(T102*100,0)&amp;"%, work done "&amp;ROUND(R102*100,0)&amp;"%")</f>
        <v/>
      </c>
      <c r="AA102" s="72" t="n"/>
      <c r="AB102" s="109" t="n"/>
      <c r="AC102" s="113" t="n"/>
      <c r="AD102" s="74" t="n"/>
      <c r="AE102" s="109" t="n"/>
      <c r="AF102" s="74" t="n"/>
      <c r="AG102" s="112">
        <f>IF(AND(AA102&lt;&gt;"",AD102="Yes",AF102&lt;&gt;"Yes",AE102&lt;&gt;""),AE102,"")</f>
        <v/>
      </c>
      <c r="AH102" s="79">
        <f>IF(AG102="","",IF(AG102&lt;AsOf,1,IF(AG102&lt;=AsOf+AlertDays,2,IF(AG102&lt;=AsOf+2*AlertDays,3,""))))</f>
        <v/>
      </c>
      <c r="AI102" s="79">
        <f>IF(AH102="","","Follow up with "&amp;AA102&amp;": "&amp;AC102)</f>
        <v/>
      </c>
    </row>
    <row r="103" ht="20" customHeight="1">
      <c r="B103" s="72" t="n"/>
      <c r="C103" s="72" t="n"/>
      <c r="D103" s="72" t="n"/>
      <c r="E103" s="72" t="n"/>
      <c r="F103" s="72" t="n"/>
      <c r="G103" s="72" t="n"/>
      <c r="H103" s="72" t="n"/>
      <c r="I103" s="73" t="n"/>
      <c r="J103" s="75">
        <f>IF(B103="","",SUMIFS('Change Orders'!$J$7:$J$1006,'Change Orders'!$E$7:$E$1006,B103,'Change Orders'!$L$7:$L$1006,"Approved"))</f>
        <v/>
      </c>
      <c r="K103" s="76">
        <f>IF(B103="","",I103+J103)</f>
        <v/>
      </c>
      <c r="L103" s="74" t="n"/>
      <c r="M103" s="109" t="n"/>
      <c r="N103" s="109" t="n"/>
      <c r="O103" s="74" t="n"/>
      <c r="P103" s="74" t="n"/>
      <c r="Q103" s="100" t="n"/>
      <c r="R103" s="110" t="n"/>
      <c r="S103" s="75">
        <f>IF(B103="","",SUMIFS('Payments'!$N$6:$N$1005,'Payments'!$B$6:$B$1005,B103))</f>
        <v/>
      </c>
      <c r="T103" s="111">
        <f>IF(OR(B103="",K103=0),"",S103/K103)</f>
        <v/>
      </c>
      <c r="U103" s="78">
        <f>IF(V103="","",IF(V103=2,"⚠️ Paying ahead of work","✓ OK"))</f>
        <v/>
      </c>
      <c r="V103" s="79">
        <f>IF(T103="","",IF(T103-R103&gt;OverpayTol,2,0))</f>
        <v/>
      </c>
      <c r="W103" s="112">
        <f>IF(V103=2,AsOf,"")</f>
        <v/>
      </c>
      <c r="X103" s="79">
        <f>IF(W103="","",1)</f>
        <v/>
      </c>
      <c r="Y103" s="79">
        <f>IF(X103="","","Paying ahead of work: "&amp;B103&amp;" — paid "&amp;ROUND(T103*100,0)&amp;"%, work done "&amp;ROUND(R103*100,0)&amp;"%")</f>
        <v/>
      </c>
      <c r="AA103" s="72" t="n"/>
      <c r="AB103" s="109" t="n"/>
      <c r="AC103" s="113" t="n"/>
      <c r="AD103" s="74" t="n"/>
      <c r="AE103" s="109" t="n"/>
      <c r="AF103" s="74" t="n"/>
      <c r="AG103" s="112">
        <f>IF(AND(AA103&lt;&gt;"",AD103="Yes",AF103&lt;&gt;"Yes",AE103&lt;&gt;""),AE103,"")</f>
        <v/>
      </c>
      <c r="AH103" s="79">
        <f>IF(AG103="","",IF(AG103&lt;AsOf,1,IF(AG103&lt;=AsOf+AlertDays,2,IF(AG103&lt;=AsOf+2*AlertDays,3,""))))</f>
        <v/>
      </c>
      <c r="AI103" s="79">
        <f>IF(AH103="","","Follow up with "&amp;AA103&amp;": "&amp;AC103)</f>
        <v/>
      </c>
    </row>
    <row r="104" ht="20" customHeight="1">
      <c r="B104" s="72" t="n"/>
      <c r="C104" s="72" t="n"/>
      <c r="D104" s="72" t="n"/>
      <c r="E104" s="72" t="n"/>
      <c r="F104" s="72" t="n"/>
      <c r="G104" s="72" t="n"/>
      <c r="H104" s="72" t="n"/>
      <c r="I104" s="73" t="n"/>
      <c r="J104" s="75">
        <f>IF(B104="","",SUMIFS('Change Orders'!$J$7:$J$1006,'Change Orders'!$E$7:$E$1006,B104,'Change Orders'!$L$7:$L$1006,"Approved"))</f>
        <v/>
      </c>
      <c r="K104" s="76">
        <f>IF(B104="","",I104+J104)</f>
        <v/>
      </c>
      <c r="L104" s="74" t="n"/>
      <c r="M104" s="109" t="n"/>
      <c r="N104" s="109" t="n"/>
      <c r="O104" s="74" t="n"/>
      <c r="P104" s="74" t="n"/>
      <c r="Q104" s="100" t="n"/>
      <c r="R104" s="110" t="n"/>
      <c r="S104" s="75">
        <f>IF(B104="","",SUMIFS('Payments'!$N$6:$N$1005,'Payments'!$B$6:$B$1005,B104))</f>
        <v/>
      </c>
      <c r="T104" s="111">
        <f>IF(OR(B104="",K104=0),"",S104/K104)</f>
        <v/>
      </c>
      <c r="U104" s="78">
        <f>IF(V104="","",IF(V104=2,"⚠️ Paying ahead of work","✓ OK"))</f>
        <v/>
      </c>
      <c r="V104" s="79">
        <f>IF(T104="","",IF(T104-R104&gt;OverpayTol,2,0))</f>
        <v/>
      </c>
      <c r="W104" s="112">
        <f>IF(V104=2,AsOf,"")</f>
        <v/>
      </c>
      <c r="X104" s="79">
        <f>IF(W104="","",1)</f>
        <v/>
      </c>
      <c r="Y104" s="79">
        <f>IF(X104="","","Paying ahead of work: "&amp;B104&amp;" — paid "&amp;ROUND(T104*100,0)&amp;"%, work done "&amp;ROUND(R104*100,0)&amp;"%")</f>
        <v/>
      </c>
      <c r="AA104" s="72" t="n"/>
      <c r="AB104" s="109" t="n"/>
      <c r="AC104" s="113" t="n"/>
      <c r="AD104" s="74" t="n"/>
      <c r="AE104" s="109" t="n"/>
      <c r="AF104" s="74" t="n"/>
      <c r="AG104" s="112">
        <f>IF(AND(AA104&lt;&gt;"",AD104="Yes",AF104&lt;&gt;"Yes",AE104&lt;&gt;""),AE104,"")</f>
        <v/>
      </c>
      <c r="AH104" s="79">
        <f>IF(AG104="","",IF(AG104&lt;AsOf,1,IF(AG104&lt;=AsOf+AlertDays,2,IF(AG104&lt;=AsOf+2*AlertDays,3,""))))</f>
        <v/>
      </c>
      <c r="AI104" s="79">
        <f>IF(AH104="","","Follow up with "&amp;AA104&amp;": "&amp;AC104)</f>
        <v/>
      </c>
    </row>
    <row r="105" ht="20" customHeight="1">
      <c r="B105" s="72" t="n"/>
      <c r="C105" s="72" t="n"/>
      <c r="D105" s="72" t="n"/>
      <c r="E105" s="72" t="n"/>
      <c r="F105" s="72" t="n"/>
      <c r="G105" s="72" t="n"/>
      <c r="H105" s="72" t="n"/>
      <c r="I105" s="73" t="n"/>
      <c r="J105" s="75">
        <f>IF(B105="","",SUMIFS('Change Orders'!$J$7:$J$1006,'Change Orders'!$E$7:$E$1006,B105,'Change Orders'!$L$7:$L$1006,"Approved"))</f>
        <v/>
      </c>
      <c r="K105" s="76">
        <f>IF(B105="","",I105+J105)</f>
        <v/>
      </c>
      <c r="L105" s="74" t="n"/>
      <c r="M105" s="109" t="n"/>
      <c r="N105" s="109" t="n"/>
      <c r="O105" s="74" t="n"/>
      <c r="P105" s="74" t="n"/>
      <c r="Q105" s="100" t="n"/>
      <c r="R105" s="110" t="n"/>
      <c r="S105" s="75">
        <f>IF(B105="","",SUMIFS('Payments'!$N$6:$N$1005,'Payments'!$B$6:$B$1005,B105))</f>
        <v/>
      </c>
      <c r="T105" s="111">
        <f>IF(OR(B105="",K105=0),"",S105/K105)</f>
        <v/>
      </c>
      <c r="U105" s="78">
        <f>IF(V105="","",IF(V105=2,"⚠️ Paying ahead of work","✓ OK"))</f>
        <v/>
      </c>
      <c r="V105" s="79">
        <f>IF(T105="","",IF(T105-R105&gt;OverpayTol,2,0))</f>
        <v/>
      </c>
      <c r="W105" s="112">
        <f>IF(V105=2,AsOf,"")</f>
        <v/>
      </c>
      <c r="X105" s="79">
        <f>IF(W105="","",1)</f>
        <v/>
      </c>
      <c r="Y105" s="79">
        <f>IF(X105="","","Paying ahead of work: "&amp;B105&amp;" — paid "&amp;ROUND(T105*100,0)&amp;"%, work done "&amp;ROUND(R105*100,0)&amp;"%")</f>
        <v/>
      </c>
      <c r="AA105" s="72" t="n"/>
      <c r="AB105" s="109" t="n"/>
      <c r="AC105" s="113" t="n"/>
      <c r="AD105" s="74" t="n"/>
      <c r="AE105" s="109" t="n"/>
      <c r="AF105" s="74" t="n"/>
      <c r="AG105" s="112">
        <f>IF(AND(AA105&lt;&gt;"",AD105="Yes",AF105&lt;&gt;"Yes",AE105&lt;&gt;""),AE105,"")</f>
        <v/>
      </c>
      <c r="AH105" s="79">
        <f>IF(AG105="","",IF(AG105&lt;AsOf,1,IF(AG105&lt;=AsOf+AlertDays,2,IF(AG105&lt;=AsOf+2*AlertDays,3,""))))</f>
        <v/>
      </c>
      <c r="AI105" s="79">
        <f>IF(AH105="","","Follow up with "&amp;AA105&amp;": "&amp;AC105)</f>
        <v/>
      </c>
    </row>
    <row r="106" ht="20" customHeight="1">
      <c r="B106" s="72" t="n"/>
      <c r="C106" s="72" t="n"/>
      <c r="D106" s="72" t="n"/>
      <c r="E106" s="72" t="n"/>
      <c r="F106" s="72" t="n"/>
      <c r="G106" s="72" t="n"/>
      <c r="H106" s="72" t="n"/>
      <c r="I106" s="73" t="n"/>
      <c r="J106" s="75">
        <f>IF(B106="","",SUMIFS('Change Orders'!$J$7:$J$1006,'Change Orders'!$E$7:$E$1006,B106,'Change Orders'!$L$7:$L$1006,"Approved"))</f>
        <v/>
      </c>
      <c r="K106" s="76">
        <f>IF(B106="","",I106+J106)</f>
        <v/>
      </c>
      <c r="L106" s="74" t="n"/>
      <c r="M106" s="109" t="n"/>
      <c r="N106" s="109" t="n"/>
      <c r="O106" s="74" t="n"/>
      <c r="P106" s="74" t="n"/>
      <c r="Q106" s="100" t="n"/>
      <c r="R106" s="110" t="n"/>
      <c r="S106" s="75">
        <f>IF(B106="","",SUMIFS('Payments'!$N$6:$N$1005,'Payments'!$B$6:$B$1005,B106))</f>
        <v/>
      </c>
      <c r="T106" s="111">
        <f>IF(OR(B106="",K106=0),"",S106/K106)</f>
        <v/>
      </c>
      <c r="U106" s="78">
        <f>IF(V106="","",IF(V106=2,"⚠️ Paying ahead of work","✓ OK"))</f>
        <v/>
      </c>
      <c r="V106" s="79">
        <f>IF(T106="","",IF(T106-R106&gt;OverpayTol,2,0))</f>
        <v/>
      </c>
      <c r="W106" s="112">
        <f>IF(V106=2,AsOf,"")</f>
        <v/>
      </c>
      <c r="X106" s="79">
        <f>IF(W106="","",1)</f>
        <v/>
      </c>
      <c r="Y106" s="79">
        <f>IF(X106="","","Paying ahead of work: "&amp;B106&amp;" — paid "&amp;ROUND(T106*100,0)&amp;"%, work done "&amp;ROUND(R106*100,0)&amp;"%")</f>
        <v/>
      </c>
      <c r="AA106" s="72" t="n"/>
      <c r="AB106" s="109" t="n"/>
      <c r="AC106" s="113" t="n"/>
      <c r="AD106" s="74" t="n"/>
      <c r="AE106" s="109" t="n"/>
      <c r="AF106" s="74" t="n"/>
      <c r="AG106" s="112">
        <f>IF(AND(AA106&lt;&gt;"",AD106="Yes",AF106&lt;&gt;"Yes",AE106&lt;&gt;""),AE106,"")</f>
        <v/>
      </c>
      <c r="AH106" s="79">
        <f>IF(AG106="","",IF(AG106&lt;AsOf,1,IF(AG106&lt;=AsOf+AlertDays,2,IF(AG106&lt;=AsOf+2*AlertDays,3,""))))</f>
        <v/>
      </c>
      <c r="AI106" s="79">
        <f>IF(AH106="","","Follow up with "&amp;AA106&amp;": "&amp;AC106)</f>
        <v/>
      </c>
    </row>
    <row r="107" ht="20" customHeight="1">
      <c r="B107" s="72" t="n"/>
      <c r="C107" s="72" t="n"/>
      <c r="D107" s="72" t="n"/>
      <c r="E107" s="72" t="n"/>
      <c r="F107" s="72" t="n"/>
      <c r="G107" s="72" t="n"/>
      <c r="H107" s="72" t="n"/>
      <c r="I107" s="73" t="n"/>
      <c r="J107" s="75">
        <f>IF(B107="","",SUMIFS('Change Orders'!$J$7:$J$1006,'Change Orders'!$E$7:$E$1006,B107,'Change Orders'!$L$7:$L$1006,"Approved"))</f>
        <v/>
      </c>
      <c r="K107" s="76">
        <f>IF(B107="","",I107+J107)</f>
        <v/>
      </c>
      <c r="L107" s="74" t="n"/>
      <c r="M107" s="109" t="n"/>
      <c r="N107" s="109" t="n"/>
      <c r="O107" s="74" t="n"/>
      <c r="P107" s="74" t="n"/>
      <c r="Q107" s="100" t="n"/>
      <c r="R107" s="110" t="n"/>
      <c r="S107" s="75">
        <f>IF(B107="","",SUMIFS('Payments'!$N$6:$N$1005,'Payments'!$B$6:$B$1005,B107))</f>
        <v/>
      </c>
      <c r="T107" s="111">
        <f>IF(OR(B107="",K107=0),"",S107/K107)</f>
        <v/>
      </c>
      <c r="U107" s="78">
        <f>IF(V107="","",IF(V107=2,"⚠️ Paying ahead of work","✓ OK"))</f>
        <v/>
      </c>
      <c r="V107" s="79">
        <f>IF(T107="","",IF(T107-R107&gt;OverpayTol,2,0))</f>
        <v/>
      </c>
      <c r="W107" s="112">
        <f>IF(V107=2,AsOf,"")</f>
        <v/>
      </c>
      <c r="X107" s="79">
        <f>IF(W107="","",1)</f>
        <v/>
      </c>
      <c r="Y107" s="79">
        <f>IF(X107="","","Paying ahead of work: "&amp;B107&amp;" — paid "&amp;ROUND(T107*100,0)&amp;"%, work done "&amp;ROUND(R107*100,0)&amp;"%")</f>
        <v/>
      </c>
      <c r="AA107" s="72" t="n"/>
      <c r="AB107" s="109" t="n"/>
      <c r="AC107" s="113" t="n"/>
      <c r="AD107" s="74" t="n"/>
      <c r="AE107" s="109" t="n"/>
      <c r="AF107" s="74" t="n"/>
      <c r="AG107" s="112">
        <f>IF(AND(AA107&lt;&gt;"",AD107="Yes",AF107&lt;&gt;"Yes",AE107&lt;&gt;""),AE107,"")</f>
        <v/>
      </c>
      <c r="AH107" s="79">
        <f>IF(AG107="","",IF(AG107&lt;AsOf,1,IF(AG107&lt;=AsOf+AlertDays,2,IF(AG107&lt;=AsOf+2*AlertDays,3,""))))</f>
        <v/>
      </c>
      <c r="AI107" s="79">
        <f>IF(AH107="","","Follow up with "&amp;AA107&amp;": "&amp;AC107)</f>
        <v/>
      </c>
    </row>
    <row r="108" ht="20" customHeight="1">
      <c r="B108" s="72" t="n"/>
      <c r="C108" s="72" t="n"/>
      <c r="D108" s="72" t="n"/>
      <c r="E108" s="72" t="n"/>
      <c r="F108" s="72" t="n"/>
      <c r="G108" s="72" t="n"/>
      <c r="H108" s="72" t="n"/>
      <c r="I108" s="73" t="n"/>
      <c r="J108" s="75">
        <f>IF(B108="","",SUMIFS('Change Orders'!$J$7:$J$1006,'Change Orders'!$E$7:$E$1006,B108,'Change Orders'!$L$7:$L$1006,"Approved"))</f>
        <v/>
      </c>
      <c r="K108" s="76">
        <f>IF(B108="","",I108+J108)</f>
        <v/>
      </c>
      <c r="L108" s="74" t="n"/>
      <c r="M108" s="109" t="n"/>
      <c r="N108" s="109" t="n"/>
      <c r="O108" s="74" t="n"/>
      <c r="P108" s="74" t="n"/>
      <c r="Q108" s="100" t="n"/>
      <c r="R108" s="110" t="n"/>
      <c r="S108" s="75">
        <f>IF(B108="","",SUMIFS('Payments'!$N$6:$N$1005,'Payments'!$B$6:$B$1005,B108))</f>
        <v/>
      </c>
      <c r="T108" s="111">
        <f>IF(OR(B108="",K108=0),"",S108/K108)</f>
        <v/>
      </c>
      <c r="U108" s="78">
        <f>IF(V108="","",IF(V108=2,"⚠️ Paying ahead of work","✓ OK"))</f>
        <v/>
      </c>
      <c r="V108" s="79">
        <f>IF(T108="","",IF(T108-R108&gt;OverpayTol,2,0))</f>
        <v/>
      </c>
      <c r="W108" s="112">
        <f>IF(V108=2,AsOf,"")</f>
        <v/>
      </c>
      <c r="X108" s="79">
        <f>IF(W108="","",1)</f>
        <v/>
      </c>
      <c r="Y108" s="79">
        <f>IF(X108="","","Paying ahead of work: "&amp;B108&amp;" — paid "&amp;ROUND(T108*100,0)&amp;"%, work done "&amp;ROUND(R108*100,0)&amp;"%")</f>
        <v/>
      </c>
      <c r="AA108" s="72" t="n"/>
      <c r="AB108" s="109" t="n"/>
      <c r="AC108" s="113" t="n"/>
      <c r="AD108" s="74" t="n"/>
      <c r="AE108" s="109" t="n"/>
      <c r="AF108" s="74" t="n"/>
      <c r="AG108" s="112">
        <f>IF(AND(AA108&lt;&gt;"",AD108="Yes",AF108&lt;&gt;"Yes",AE108&lt;&gt;""),AE108,"")</f>
        <v/>
      </c>
      <c r="AH108" s="79">
        <f>IF(AG108="","",IF(AG108&lt;AsOf,1,IF(AG108&lt;=AsOf+AlertDays,2,IF(AG108&lt;=AsOf+2*AlertDays,3,""))))</f>
        <v/>
      </c>
      <c r="AI108" s="79">
        <f>IF(AH108="","","Follow up with "&amp;AA108&amp;": "&amp;AC108)</f>
        <v/>
      </c>
    </row>
    <row r="109" ht="20" customHeight="1">
      <c r="B109" s="72" t="n"/>
      <c r="C109" s="72" t="n"/>
      <c r="D109" s="72" t="n"/>
      <c r="E109" s="72" t="n"/>
      <c r="F109" s="72" t="n"/>
      <c r="G109" s="72" t="n"/>
      <c r="H109" s="72" t="n"/>
      <c r="I109" s="73" t="n"/>
      <c r="J109" s="75">
        <f>IF(B109="","",SUMIFS('Change Orders'!$J$7:$J$1006,'Change Orders'!$E$7:$E$1006,B109,'Change Orders'!$L$7:$L$1006,"Approved"))</f>
        <v/>
      </c>
      <c r="K109" s="76">
        <f>IF(B109="","",I109+J109)</f>
        <v/>
      </c>
      <c r="L109" s="74" t="n"/>
      <c r="M109" s="109" t="n"/>
      <c r="N109" s="109" t="n"/>
      <c r="O109" s="74" t="n"/>
      <c r="P109" s="74" t="n"/>
      <c r="Q109" s="100" t="n"/>
      <c r="R109" s="110" t="n"/>
      <c r="S109" s="75">
        <f>IF(B109="","",SUMIFS('Payments'!$N$6:$N$1005,'Payments'!$B$6:$B$1005,B109))</f>
        <v/>
      </c>
      <c r="T109" s="111">
        <f>IF(OR(B109="",K109=0),"",S109/K109)</f>
        <v/>
      </c>
      <c r="U109" s="78">
        <f>IF(V109="","",IF(V109=2,"⚠️ Paying ahead of work","✓ OK"))</f>
        <v/>
      </c>
      <c r="V109" s="79">
        <f>IF(T109="","",IF(T109-R109&gt;OverpayTol,2,0))</f>
        <v/>
      </c>
      <c r="W109" s="112">
        <f>IF(V109=2,AsOf,"")</f>
        <v/>
      </c>
      <c r="X109" s="79">
        <f>IF(W109="","",1)</f>
        <v/>
      </c>
      <c r="Y109" s="79">
        <f>IF(X109="","","Paying ahead of work: "&amp;B109&amp;" — paid "&amp;ROUND(T109*100,0)&amp;"%, work done "&amp;ROUND(R109*100,0)&amp;"%")</f>
        <v/>
      </c>
      <c r="AA109" s="72" t="n"/>
      <c r="AB109" s="109" t="n"/>
      <c r="AC109" s="113" t="n"/>
      <c r="AD109" s="74" t="n"/>
      <c r="AE109" s="109" t="n"/>
      <c r="AF109" s="74" t="n"/>
      <c r="AG109" s="112">
        <f>IF(AND(AA109&lt;&gt;"",AD109="Yes",AF109&lt;&gt;"Yes",AE109&lt;&gt;""),AE109,"")</f>
        <v/>
      </c>
      <c r="AH109" s="79">
        <f>IF(AG109="","",IF(AG109&lt;AsOf,1,IF(AG109&lt;=AsOf+AlertDays,2,IF(AG109&lt;=AsOf+2*AlertDays,3,""))))</f>
        <v/>
      </c>
      <c r="AI109" s="79">
        <f>IF(AH109="","","Follow up with "&amp;AA109&amp;": "&amp;AC109)</f>
        <v/>
      </c>
    </row>
    <row r="110" ht="20" customHeight="1">
      <c r="B110" s="72" t="n"/>
      <c r="C110" s="72" t="n"/>
      <c r="D110" s="72" t="n"/>
      <c r="E110" s="72" t="n"/>
      <c r="F110" s="72" t="n"/>
      <c r="G110" s="72" t="n"/>
      <c r="H110" s="72" t="n"/>
      <c r="I110" s="73" t="n"/>
      <c r="J110" s="75">
        <f>IF(B110="","",SUMIFS('Change Orders'!$J$7:$J$1006,'Change Orders'!$E$7:$E$1006,B110,'Change Orders'!$L$7:$L$1006,"Approved"))</f>
        <v/>
      </c>
      <c r="K110" s="76">
        <f>IF(B110="","",I110+J110)</f>
        <v/>
      </c>
      <c r="L110" s="74" t="n"/>
      <c r="M110" s="109" t="n"/>
      <c r="N110" s="109" t="n"/>
      <c r="O110" s="74" t="n"/>
      <c r="P110" s="74" t="n"/>
      <c r="Q110" s="100" t="n"/>
      <c r="R110" s="110" t="n"/>
      <c r="S110" s="75">
        <f>IF(B110="","",SUMIFS('Payments'!$N$6:$N$1005,'Payments'!$B$6:$B$1005,B110))</f>
        <v/>
      </c>
      <c r="T110" s="111">
        <f>IF(OR(B110="",K110=0),"",S110/K110)</f>
        <v/>
      </c>
      <c r="U110" s="78">
        <f>IF(V110="","",IF(V110=2,"⚠️ Paying ahead of work","✓ OK"))</f>
        <v/>
      </c>
      <c r="V110" s="79">
        <f>IF(T110="","",IF(T110-R110&gt;OverpayTol,2,0))</f>
        <v/>
      </c>
      <c r="W110" s="112">
        <f>IF(V110=2,AsOf,"")</f>
        <v/>
      </c>
      <c r="X110" s="79">
        <f>IF(W110="","",1)</f>
        <v/>
      </c>
      <c r="Y110" s="79">
        <f>IF(X110="","","Paying ahead of work: "&amp;B110&amp;" — paid "&amp;ROUND(T110*100,0)&amp;"%, work done "&amp;ROUND(R110*100,0)&amp;"%")</f>
        <v/>
      </c>
      <c r="AA110" s="72" t="n"/>
      <c r="AB110" s="109" t="n"/>
      <c r="AC110" s="113" t="n"/>
      <c r="AD110" s="74" t="n"/>
      <c r="AE110" s="109" t="n"/>
      <c r="AF110" s="74" t="n"/>
      <c r="AG110" s="112">
        <f>IF(AND(AA110&lt;&gt;"",AD110="Yes",AF110&lt;&gt;"Yes",AE110&lt;&gt;""),AE110,"")</f>
        <v/>
      </c>
      <c r="AH110" s="79">
        <f>IF(AG110="","",IF(AG110&lt;AsOf,1,IF(AG110&lt;=AsOf+AlertDays,2,IF(AG110&lt;=AsOf+2*AlertDays,3,""))))</f>
        <v/>
      </c>
      <c r="AI110" s="79">
        <f>IF(AH110="","","Follow up with "&amp;AA110&amp;": "&amp;AC110)</f>
        <v/>
      </c>
    </row>
    <row r="111" ht="20" customHeight="1">
      <c r="B111" s="72" t="n"/>
      <c r="C111" s="72" t="n"/>
      <c r="D111" s="72" t="n"/>
      <c r="E111" s="72" t="n"/>
      <c r="F111" s="72" t="n"/>
      <c r="G111" s="72" t="n"/>
      <c r="H111" s="72" t="n"/>
      <c r="I111" s="73" t="n"/>
      <c r="J111" s="75">
        <f>IF(B111="","",SUMIFS('Change Orders'!$J$7:$J$1006,'Change Orders'!$E$7:$E$1006,B111,'Change Orders'!$L$7:$L$1006,"Approved"))</f>
        <v/>
      </c>
      <c r="K111" s="76">
        <f>IF(B111="","",I111+J111)</f>
        <v/>
      </c>
      <c r="L111" s="74" t="n"/>
      <c r="M111" s="109" t="n"/>
      <c r="N111" s="109" t="n"/>
      <c r="O111" s="74" t="n"/>
      <c r="P111" s="74" t="n"/>
      <c r="Q111" s="100" t="n"/>
      <c r="R111" s="110" t="n"/>
      <c r="S111" s="75">
        <f>IF(B111="","",SUMIFS('Payments'!$N$6:$N$1005,'Payments'!$B$6:$B$1005,B111))</f>
        <v/>
      </c>
      <c r="T111" s="111">
        <f>IF(OR(B111="",K111=0),"",S111/K111)</f>
        <v/>
      </c>
      <c r="U111" s="78">
        <f>IF(V111="","",IF(V111=2,"⚠️ Paying ahead of work","✓ OK"))</f>
        <v/>
      </c>
      <c r="V111" s="79">
        <f>IF(T111="","",IF(T111-R111&gt;OverpayTol,2,0))</f>
        <v/>
      </c>
      <c r="W111" s="112">
        <f>IF(V111=2,AsOf,"")</f>
        <v/>
      </c>
      <c r="X111" s="79">
        <f>IF(W111="","",1)</f>
        <v/>
      </c>
      <c r="Y111" s="79">
        <f>IF(X111="","","Paying ahead of work: "&amp;B111&amp;" — paid "&amp;ROUND(T111*100,0)&amp;"%, work done "&amp;ROUND(R111*100,0)&amp;"%")</f>
        <v/>
      </c>
      <c r="AA111" s="72" t="n"/>
      <c r="AB111" s="109" t="n"/>
      <c r="AC111" s="113" t="n"/>
      <c r="AD111" s="74" t="n"/>
      <c r="AE111" s="109" t="n"/>
      <c r="AF111" s="74" t="n"/>
      <c r="AG111" s="112">
        <f>IF(AND(AA111&lt;&gt;"",AD111="Yes",AF111&lt;&gt;"Yes",AE111&lt;&gt;""),AE111,"")</f>
        <v/>
      </c>
      <c r="AH111" s="79">
        <f>IF(AG111="","",IF(AG111&lt;AsOf,1,IF(AG111&lt;=AsOf+AlertDays,2,IF(AG111&lt;=AsOf+2*AlertDays,3,""))))</f>
        <v/>
      </c>
      <c r="AI111" s="79">
        <f>IF(AH111="","","Follow up with "&amp;AA111&amp;": "&amp;AC111)</f>
        <v/>
      </c>
    </row>
    <row r="112" ht="20" customHeight="1">
      <c r="B112" s="72" t="n"/>
      <c r="C112" s="72" t="n"/>
      <c r="D112" s="72" t="n"/>
      <c r="E112" s="72" t="n"/>
      <c r="F112" s="72" t="n"/>
      <c r="G112" s="72" t="n"/>
      <c r="H112" s="72" t="n"/>
      <c r="I112" s="73" t="n"/>
      <c r="J112" s="75">
        <f>IF(B112="","",SUMIFS('Change Orders'!$J$7:$J$1006,'Change Orders'!$E$7:$E$1006,B112,'Change Orders'!$L$7:$L$1006,"Approved"))</f>
        <v/>
      </c>
      <c r="K112" s="76">
        <f>IF(B112="","",I112+J112)</f>
        <v/>
      </c>
      <c r="L112" s="74" t="n"/>
      <c r="M112" s="109" t="n"/>
      <c r="N112" s="109" t="n"/>
      <c r="O112" s="74" t="n"/>
      <c r="P112" s="74" t="n"/>
      <c r="Q112" s="100" t="n"/>
      <c r="R112" s="110" t="n"/>
      <c r="S112" s="75">
        <f>IF(B112="","",SUMIFS('Payments'!$N$6:$N$1005,'Payments'!$B$6:$B$1005,B112))</f>
        <v/>
      </c>
      <c r="T112" s="111">
        <f>IF(OR(B112="",K112=0),"",S112/K112)</f>
        <v/>
      </c>
      <c r="U112" s="78">
        <f>IF(V112="","",IF(V112=2,"⚠️ Paying ahead of work","✓ OK"))</f>
        <v/>
      </c>
      <c r="V112" s="79">
        <f>IF(T112="","",IF(T112-R112&gt;OverpayTol,2,0))</f>
        <v/>
      </c>
      <c r="W112" s="112">
        <f>IF(V112=2,AsOf,"")</f>
        <v/>
      </c>
      <c r="X112" s="79">
        <f>IF(W112="","",1)</f>
        <v/>
      </c>
      <c r="Y112" s="79">
        <f>IF(X112="","","Paying ahead of work: "&amp;B112&amp;" — paid "&amp;ROUND(T112*100,0)&amp;"%, work done "&amp;ROUND(R112*100,0)&amp;"%")</f>
        <v/>
      </c>
      <c r="AA112" s="72" t="n"/>
      <c r="AB112" s="109" t="n"/>
      <c r="AC112" s="113" t="n"/>
      <c r="AD112" s="74" t="n"/>
      <c r="AE112" s="109" t="n"/>
      <c r="AF112" s="74" t="n"/>
      <c r="AG112" s="112">
        <f>IF(AND(AA112&lt;&gt;"",AD112="Yes",AF112&lt;&gt;"Yes",AE112&lt;&gt;""),AE112,"")</f>
        <v/>
      </c>
      <c r="AH112" s="79">
        <f>IF(AG112="","",IF(AG112&lt;AsOf,1,IF(AG112&lt;=AsOf+AlertDays,2,IF(AG112&lt;=AsOf+2*AlertDays,3,""))))</f>
        <v/>
      </c>
      <c r="AI112" s="79">
        <f>IF(AH112="","","Follow up with "&amp;AA112&amp;": "&amp;AC112)</f>
        <v/>
      </c>
    </row>
    <row r="113" ht="20" customHeight="1">
      <c r="B113" s="72" t="n"/>
      <c r="C113" s="72" t="n"/>
      <c r="D113" s="72" t="n"/>
      <c r="E113" s="72" t="n"/>
      <c r="F113" s="72" t="n"/>
      <c r="G113" s="72" t="n"/>
      <c r="H113" s="72" t="n"/>
      <c r="I113" s="73" t="n"/>
      <c r="J113" s="75">
        <f>IF(B113="","",SUMIFS('Change Orders'!$J$7:$J$1006,'Change Orders'!$E$7:$E$1006,B113,'Change Orders'!$L$7:$L$1006,"Approved"))</f>
        <v/>
      </c>
      <c r="K113" s="76">
        <f>IF(B113="","",I113+J113)</f>
        <v/>
      </c>
      <c r="L113" s="74" t="n"/>
      <c r="M113" s="109" t="n"/>
      <c r="N113" s="109" t="n"/>
      <c r="O113" s="74" t="n"/>
      <c r="P113" s="74" t="n"/>
      <c r="Q113" s="100" t="n"/>
      <c r="R113" s="110" t="n"/>
      <c r="S113" s="75">
        <f>IF(B113="","",SUMIFS('Payments'!$N$6:$N$1005,'Payments'!$B$6:$B$1005,B113))</f>
        <v/>
      </c>
      <c r="T113" s="111">
        <f>IF(OR(B113="",K113=0),"",S113/K113)</f>
        <v/>
      </c>
      <c r="U113" s="78">
        <f>IF(V113="","",IF(V113=2,"⚠️ Paying ahead of work","✓ OK"))</f>
        <v/>
      </c>
      <c r="V113" s="79">
        <f>IF(T113="","",IF(T113-R113&gt;OverpayTol,2,0))</f>
        <v/>
      </c>
      <c r="W113" s="112">
        <f>IF(V113=2,AsOf,"")</f>
        <v/>
      </c>
      <c r="X113" s="79">
        <f>IF(W113="","",1)</f>
        <v/>
      </c>
      <c r="Y113" s="79">
        <f>IF(X113="","","Paying ahead of work: "&amp;B113&amp;" — paid "&amp;ROUND(T113*100,0)&amp;"%, work done "&amp;ROUND(R113*100,0)&amp;"%")</f>
        <v/>
      </c>
      <c r="AA113" s="72" t="n"/>
      <c r="AB113" s="109" t="n"/>
      <c r="AC113" s="113" t="n"/>
      <c r="AD113" s="74" t="n"/>
      <c r="AE113" s="109" t="n"/>
      <c r="AF113" s="74" t="n"/>
      <c r="AG113" s="112">
        <f>IF(AND(AA113&lt;&gt;"",AD113="Yes",AF113&lt;&gt;"Yes",AE113&lt;&gt;""),AE113,"")</f>
        <v/>
      </c>
      <c r="AH113" s="79">
        <f>IF(AG113="","",IF(AG113&lt;AsOf,1,IF(AG113&lt;=AsOf+AlertDays,2,IF(AG113&lt;=AsOf+2*AlertDays,3,""))))</f>
        <v/>
      </c>
      <c r="AI113" s="79">
        <f>IF(AH113="","","Follow up with "&amp;AA113&amp;": "&amp;AC113)</f>
        <v/>
      </c>
    </row>
    <row r="114" ht="20" customHeight="1">
      <c r="B114" s="72" t="n"/>
      <c r="C114" s="72" t="n"/>
      <c r="D114" s="72" t="n"/>
      <c r="E114" s="72" t="n"/>
      <c r="F114" s="72" t="n"/>
      <c r="G114" s="72" t="n"/>
      <c r="H114" s="72" t="n"/>
      <c r="I114" s="73" t="n"/>
      <c r="J114" s="75">
        <f>IF(B114="","",SUMIFS('Change Orders'!$J$7:$J$1006,'Change Orders'!$E$7:$E$1006,B114,'Change Orders'!$L$7:$L$1006,"Approved"))</f>
        <v/>
      </c>
      <c r="K114" s="76">
        <f>IF(B114="","",I114+J114)</f>
        <v/>
      </c>
      <c r="L114" s="74" t="n"/>
      <c r="M114" s="109" t="n"/>
      <c r="N114" s="109" t="n"/>
      <c r="O114" s="74" t="n"/>
      <c r="P114" s="74" t="n"/>
      <c r="Q114" s="100" t="n"/>
      <c r="R114" s="110" t="n"/>
      <c r="S114" s="75">
        <f>IF(B114="","",SUMIFS('Payments'!$N$6:$N$1005,'Payments'!$B$6:$B$1005,B114))</f>
        <v/>
      </c>
      <c r="T114" s="111">
        <f>IF(OR(B114="",K114=0),"",S114/K114)</f>
        <v/>
      </c>
      <c r="U114" s="78">
        <f>IF(V114="","",IF(V114=2,"⚠️ Paying ahead of work","✓ OK"))</f>
        <v/>
      </c>
      <c r="V114" s="79">
        <f>IF(T114="","",IF(T114-R114&gt;OverpayTol,2,0))</f>
        <v/>
      </c>
      <c r="W114" s="112">
        <f>IF(V114=2,AsOf,"")</f>
        <v/>
      </c>
      <c r="X114" s="79">
        <f>IF(W114="","",1)</f>
        <v/>
      </c>
      <c r="Y114" s="79">
        <f>IF(X114="","","Paying ahead of work: "&amp;B114&amp;" — paid "&amp;ROUND(T114*100,0)&amp;"%, work done "&amp;ROUND(R114*100,0)&amp;"%")</f>
        <v/>
      </c>
      <c r="AA114" s="72" t="n"/>
      <c r="AB114" s="109" t="n"/>
      <c r="AC114" s="113" t="n"/>
      <c r="AD114" s="74" t="n"/>
      <c r="AE114" s="109" t="n"/>
      <c r="AF114" s="74" t="n"/>
      <c r="AG114" s="112">
        <f>IF(AND(AA114&lt;&gt;"",AD114="Yes",AF114&lt;&gt;"Yes",AE114&lt;&gt;""),AE114,"")</f>
        <v/>
      </c>
      <c r="AH114" s="79">
        <f>IF(AG114="","",IF(AG114&lt;AsOf,1,IF(AG114&lt;=AsOf+AlertDays,2,IF(AG114&lt;=AsOf+2*AlertDays,3,""))))</f>
        <v/>
      </c>
      <c r="AI114" s="79">
        <f>IF(AH114="","","Follow up with "&amp;AA114&amp;": "&amp;AC114)</f>
        <v/>
      </c>
    </row>
    <row r="115" ht="20" customHeight="1">
      <c r="B115" s="72" t="n"/>
      <c r="C115" s="72" t="n"/>
      <c r="D115" s="72" t="n"/>
      <c r="E115" s="72" t="n"/>
      <c r="F115" s="72" t="n"/>
      <c r="G115" s="72" t="n"/>
      <c r="H115" s="72" t="n"/>
      <c r="I115" s="73" t="n"/>
      <c r="J115" s="75">
        <f>IF(B115="","",SUMIFS('Change Orders'!$J$7:$J$1006,'Change Orders'!$E$7:$E$1006,B115,'Change Orders'!$L$7:$L$1006,"Approved"))</f>
        <v/>
      </c>
      <c r="K115" s="76">
        <f>IF(B115="","",I115+J115)</f>
        <v/>
      </c>
      <c r="L115" s="74" t="n"/>
      <c r="M115" s="109" t="n"/>
      <c r="N115" s="109" t="n"/>
      <c r="O115" s="74" t="n"/>
      <c r="P115" s="74" t="n"/>
      <c r="Q115" s="100" t="n"/>
      <c r="R115" s="110" t="n"/>
      <c r="S115" s="75">
        <f>IF(B115="","",SUMIFS('Payments'!$N$6:$N$1005,'Payments'!$B$6:$B$1005,B115))</f>
        <v/>
      </c>
      <c r="T115" s="111">
        <f>IF(OR(B115="",K115=0),"",S115/K115)</f>
        <v/>
      </c>
      <c r="U115" s="78">
        <f>IF(V115="","",IF(V115=2,"⚠️ Paying ahead of work","✓ OK"))</f>
        <v/>
      </c>
      <c r="V115" s="79">
        <f>IF(T115="","",IF(T115-R115&gt;OverpayTol,2,0))</f>
        <v/>
      </c>
      <c r="W115" s="112">
        <f>IF(V115=2,AsOf,"")</f>
        <v/>
      </c>
      <c r="X115" s="79">
        <f>IF(W115="","",1)</f>
        <v/>
      </c>
      <c r="Y115" s="79">
        <f>IF(X115="","","Paying ahead of work: "&amp;B115&amp;" — paid "&amp;ROUND(T115*100,0)&amp;"%, work done "&amp;ROUND(R115*100,0)&amp;"%")</f>
        <v/>
      </c>
      <c r="AA115" s="72" t="n"/>
      <c r="AB115" s="109" t="n"/>
      <c r="AC115" s="113" t="n"/>
      <c r="AD115" s="74" t="n"/>
      <c r="AE115" s="109" t="n"/>
      <c r="AF115" s="74" t="n"/>
      <c r="AG115" s="112">
        <f>IF(AND(AA115&lt;&gt;"",AD115="Yes",AF115&lt;&gt;"Yes",AE115&lt;&gt;""),AE115,"")</f>
        <v/>
      </c>
      <c r="AH115" s="79">
        <f>IF(AG115="","",IF(AG115&lt;AsOf,1,IF(AG115&lt;=AsOf+AlertDays,2,IF(AG115&lt;=AsOf+2*AlertDays,3,""))))</f>
        <v/>
      </c>
      <c r="AI115" s="79">
        <f>IF(AH115="","","Follow up with "&amp;AA115&amp;": "&amp;AC115)</f>
        <v/>
      </c>
    </row>
    <row r="116" ht="20" customHeight="1">
      <c r="B116" s="72" t="n"/>
      <c r="C116" s="72" t="n"/>
      <c r="D116" s="72" t="n"/>
      <c r="E116" s="72" t="n"/>
      <c r="F116" s="72" t="n"/>
      <c r="G116" s="72" t="n"/>
      <c r="H116" s="72" t="n"/>
      <c r="I116" s="73" t="n"/>
      <c r="J116" s="75">
        <f>IF(B116="","",SUMIFS('Change Orders'!$J$7:$J$1006,'Change Orders'!$E$7:$E$1006,B116,'Change Orders'!$L$7:$L$1006,"Approved"))</f>
        <v/>
      </c>
      <c r="K116" s="76">
        <f>IF(B116="","",I116+J116)</f>
        <v/>
      </c>
      <c r="L116" s="74" t="n"/>
      <c r="M116" s="109" t="n"/>
      <c r="N116" s="109" t="n"/>
      <c r="O116" s="74" t="n"/>
      <c r="P116" s="74" t="n"/>
      <c r="Q116" s="100" t="n"/>
      <c r="R116" s="110" t="n"/>
      <c r="S116" s="75">
        <f>IF(B116="","",SUMIFS('Payments'!$N$6:$N$1005,'Payments'!$B$6:$B$1005,B116))</f>
        <v/>
      </c>
      <c r="T116" s="111">
        <f>IF(OR(B116="",K116=0),"",S116/K116)</f>
        <v/>
      </c>
      <c r="U116" s="78">
        <f>IF(V116="","",IF(V116=2,"⚠️ Paying ahead of work","✓ OK"))</f>
        <v/>
      </c>
      <c r="V116" s="79">
        <f>IF(T116="","",IF(T116-R116&gt;OverpayTol,2,0))</f>
        <v/>
      </c>
      <c r="W116" s="112">
        <f>IF(V116=2,AsOf,"")</f>
        <v/>
      </c>
      <c r="X116" s="79">
        <f>IF(W116="","",1)</f>
        <v/>
      </c>
      <c r="Y116" s="79">
        <f>IF(X116="","","Paying ahead of work: "&amp;B116&amp;" — paid "&amp;ROUND(T116*100,0)&amp;"%, work done "&amp;ROUND(R116*100,0)&amp;"%")</f>
        <v/>
      </c>
      <c r="AA116" s="72" t="n"/>
      <c r="AB116" s="109" t="n"/>
      <c r="AC116" s="113" t="n"/>
      <c r="AD116" s="74" t="n"/>
      <c r="AE116" s="109" t="n"/>
      <c r="AF116" s="74" t="n"/>
      <c r="AG116" s="112">
        <f>IF(AND(AA116&lt;&gt;"",AD116="Yes",AF116&lt;&gt;"Yes",AE116&lt;&gt;""),AE116,"")</f>
        <v/>
      </c>
      <c r="AH116" s="79">
        <f>IF(AG116="","",IF(AG116&lt;AsOf,1,IF(AG116&lt;=AsOf+AlertDays,2,IF(AG116&lt;=AsOf+2*AlertDays,3,""))))</f>
        <v/>
      </c>
      <c r="AI116" s="79">
        <f>IF(AH116="","","Follow up with "&amp;AA116&amp;": "&amp;AC116)</f>
        <v/>
      </c>
    </row>
    <row r="117" ht="20" customHeight="1">
      <c r="B117" s="72" t="n"/>
      <c r="C117" s="72" t="n"/>
      <c r="D117" s="72" t="n"/>
      <c r="E117" s="72" t="n"/>
      <c r="F117" s="72" t="n"/>
      <c r="G117" s="72" t="n"/>
      <c r="H117" s="72" t="n"/>
      <c r="I117" s="73" t="n"/>
      <c r="J117" s="75">
        <f>IF(B117="","",SUMIFS('Change Orders'!$J$7:$J$1006,'Change Orders'!$E$7:$E$1006,B117,'Change Orders'!$L$7:$L$1006,"Approved"))</f>
        <v/>
      </c>
      <c r="K117" s="76">
        <f>IF(B117="","",I117+J117)</f>
        <v/>
      </c>
      <c r="L117" s="74" t="n"/>
      <c r="M117" s="109" t="n"/>
      <c r="N117" s="109" t="n"/>
      <c r="O117" s="74" t="n"/>
      <c r="P117" s="74" t="n"/>
      <c r="Q117" s="100" t="n"/>
      <c r="R117" s="110" t="n"/>
      <c r="S117" s="75">
        <f>IF(B117="","",SUMIFS('Payments'!$N$6:$N$1005,'Payments'!$B$6:$B$1005,B117))</f>
        <v/>
      </c>
      <c r="T117" s="111">
        <f>IF(OR(B117="",K117=0),"",S117/K117)</f>
        <v/>
      </c>
      <c r="U117" s="78">
        <f>IF(V117="","",IF(V117=2,"⚠️ Paying ahead of work","✓ OK"))</f>
        <v/>
      </c>
      <c r="V117" s="79">
        <f>IF(T117="","",IF(T117-R117&gt;OverpayTol,2,0))</f>
        <v/>
      </c>
      <c r="W117" s="112">
        <f>IF(V117=2,AsOf,"")</f>
        <v/>
      </c>
      <c r="X117" s="79">
        <f>IF(W117="","",1)</f>
        <v/>
      </c>
      <c r="Y117" s="79">
        <f>IF(X117="","","Paying ahead of work: "&amp;B117&amp;" — paid "&amp;ROUND(T117*100,0)&amp;"%, work done "&amp;ROUND(R117*100,0)&amp;"%")</f>
        <v/>
      </c>
      <c r="AA117" s="72" t="n"/>
      <c r="AB117" s="109" t="n"/>
      <c r="AC117" s="113" t="n"/>
      <c r="AD117" s="74" t="n"/>
      <c r="AE117" s="109" t="n"/>
      <c r="AF117" s="74" t="n"/>
      <c r="AG117" s="112">
        <f>IF(AND(AA117&lt;&gt;"",AD117="Yes",AF117&lt;&gt;"Yes",AE117&lt;&gt;""),AE117,"")</f>
        <v/>
      </c>
      <c r="AH117" s="79">
        <f>IF(AG117="","",IF(AG117&lt;AsOf,1,IF(AG117&lt;=AsOf+AlertDays,2,IF(AG117&lt;=AsOf+2*AlertDays,3,""))))</f>
        <v/>
      </c>
      <c r="AI117" s="79">
        <f>IF(AH117="","","Follow up with "&amp;AA117&amp;": "&amp;AC117)</f>
        <v/>
      </c>
    </row>
    <row r="118" ht="20" customHeight="1">
      <c r="B118" s="72" t="n"/>
      <c r="C118" s="72" t="n"/>
      <c r="D118" s="72" t="n"/>
      <c r="E118" s="72" t="n"/>
      <c r="F118" s="72" t="n"/>
      <c r="G118" s="72" t="n"/>
      <c r="H118" s="72" t="n"/>
      <c r="I118" s="73" t="n"/>
      <c r="J118" s="75">
        <f>IF(B118="","",SUMIFS('Change Orders'!$J$7:$J$1006,'Change Orders'!$E$7:$E$1006,B118,'Change Orders'!$L$7:$L$1006,"Approved"))</f>
        <v/>
      </c>
      <c r="K118" s="76">
        <f>IF(B118="","",I118+J118)</f>
        <v/>
      </c>
      <c r="L118" s="74" t="n"/>
      <c r="M118" s="109" t="n"/>
      <c r="N118" s="109" t="n"/>
      <c r="O118" s="74" t="n"/>
      <c r="P118" s="74" t="n"/>
      <c r="Q118" s="100" t="n"/>
      <c r="R118" s="110" t="n"/>
      <c r="S118" s="75">
        <f>IF(B118="","",SUMIFS('Payments'!$N$6:$N$1005,'Payments'!$B$6:$B$1005,B118))</f>
        <v/>
      </c>
      <c r="T118" s="111">
        <f>IF(OR(B118="",K118=0),"",S118/K118)</f>
        <v/>
      </c>
      <c r="U118" s="78">
        <f>IF(V118="","",IF(V118=2,"⚠️ Paying ahead of work","✓ OK"))</f>
        <v/>
      </c>
      <c r="V118" s="79">
        <f>IF(T118="","",IF(T118-R118&gt;OverpayTol,2,0))</f>
        <v/>
      </c>
      <c r="W118" s="112">
        <f>IF(V118=2,AsOf,"")</f>
        <v/>
      </c>
      <c r="X118" s="79">
        <f>IF(W118="","",1)</f>
        <v/>
      </c>
      <c r="Y118" s="79">
        <f>IF(X118="","","Paying ahead of work: "&amp;B118&amp;" — paid "&amp;ROUND(T118*100,0)&amp;"%, work done "&amp;ROUND(R118*100,0)&amp;"%")</f>
        <v/>
      </c>
      <c r="AA118" s="72" t="n"/>
      <c r="AB118" s="109" t="n"/>
      <c r="AC118" s="113" t="n"/>
      <c r="AD118" s="74" t="n"/>
      <c r="AE118" s="109" t="n"/>
      <c r="AF118" s="74" t="n"/>
      <c r="AG118" s="112">
        <f>IF(AND(AA118&lt;&gt;"",AD118="Yes",AF118&lt;&gt;"Yes",AE118&lt;&gt;""),AE118,"")</f>
        <v/>
      </c>
      <c r="AH118" s="79">
        <f>IF(AG118="","",IF(AG118&lt;AsOf,1,IF(AG118&lt;=AsOf+AlertDays,2,IF(AG118&lt;=AsOf+2*AlertDays,3,""))))</f>
        <v/>
      </c>
      <c r="AI118" s="79">
        <f>IF(AH118="","","Follow up with "&amp;AA118&amp;": "&amp;AC118)</f>
        <v/>
      </c>
    </row>
    <row r="119" ht="20" customHeight="1">
      <c r="B119" s="72" t="n"/>
      <c r="C119" s="72" t="n"/>
      <c r="D119" s="72" t="n"/>
      <c r="E119" s="72" t="n"/>
      <c r="F119" s="72" t="n"/>
      <c r="G119" s="72" t="n"/>
      <c r="H119" s="72" t="n"/>
      <c r="I119" s="73" t="n"/>
      <c r="J119" s="75">
        <f>IF(B119="","",SUMIFS('Change Orders'!$J$7:$J$1006,'Change Orders'!$E$7:$E$1006,B119,'Change Orders'!$L$7:$L$1006,"Approved"))</f>
        <v/>
      </c>
      <c r="K119" s="76">
        <f>IF(B119="","",I119+J119)</f>
        <v/>
      </c>
      <c r="L119" s="74" t="n"/>
      <c r="M119" s="109" t="n"/>
      <c r="N119" s="109" t="n"/>
      <c r="O119" s="74" t="n"/>
      <c r="P119" s="74" t="n"/>
      <c r="Q119" s="100" t="n"/>
      <c r="R119" s="110" t="n"/>
      <c r="S119" s="75">
        <f>IF(B119="","",SUMIFS('Payments'!$N$6:$N$1005,'Payments'!$B$6:$B$1005,B119))</f>
        <v/>
      </c>
      <c r="T119" s="111">
        <f>IF(OR(B119="",K119=0),"",S119/K119)</f>
        <v/>
      </c>
      <c r="U119" s="78">
        <f>IF(V119="","",IF(V119=2,"⚠️ Paying ahead of work","✓ OK"))</f>
        <v/>
      </c>
      <c r="V119" s="79">
        <f>IF(T119="","",IF(T119-R119&gt;OverpayTol,2,0))</f>
        <v/>
      </c>
      <c r="W119" s="112">
        <f>IF(V119=2,AsOf,"")</f>
        <v/>
      </c>
      <c r="X119" s="79">
        <f>IF(W119="","",1)</f>
        <v/>
      </c>
      <c r="Y119" s="79">
        <f>IF(X119="","","Paying ahead of work: "&amp;B119&amp;" — paid "&amp;ROUND(T119*100,0)&amp;"%, work done "&amp;ROUND(R119*100,0)&amp;"%")</f>
        <v/>
      </c>
      <c r="AA119" s="72" t="n"/>
      <c r="AB119" s="109" t="n"/>
      <c r="AC119" s="113" t="n"/>
      <c r="AD119" s="74" t="n"/>
      <c r="AE119" s="109" t="n"/>
      <c r="AF119" s="74" t="n"/>
      <c r="AG119" s="112">
        <f>IF(AND(AA119&lt;&gt;"",AD119="Yes",AF119&lt;&gt;"Yes",AE119&lt;&gt;""),AE119,"")</f>
        <v/>
      </c>
      <c r="AH119" s="79">
        <f>IF(AG119="","",IF(AG119&lt;AsOf,1,IF(AG119&lt;=AsOf+AlertDays,2,IF(AG119&lt;=AsOf+2*AlertDays,3,""))))</f>
        <v/>
      </c>
      <c r="AI119" s="79">
        <f>IF(AH119="","","Follow up with "&amp;AA119&amp;": "&amp;AC119)</f>
        <v/>
      </c>
    </row>
    <row r="120" ht="20" customHeight="1">
      <c r="B120" s="72" t="n"/>
      <c r="C120" s="72" t="n"/>
      <c r="D120" s="72" t="n"/>
      <c r="E120" s="72" t="n"/>
      <c r="F120" s="72" t="n"/>
      <c r="G120" s="72" t="n"/>
      <c r="H120" s="72" t="n"/>
      <c r="I120" s="73" t="n"/>
      <c r="J120" s="75">
        <f>IF(B120="","",SUMIFS('Change Orders'!$J$7:$J$1006,'Change Orders'!$E$7:$E$1006,B120,'Change Orders'!$L$7:$L$1006,"Approved"))</f>
        <v/>
      </c>
      <c r="K120" s="76">
        <f>IF(B120="","",I120+J120)</f>
        <v/>
      </c>
      <c r="L120" s="74" t="n"/>
      <c r="M120" s="109" t="n"/>
      <c r="N120" s="109" t="n"/>
      <c r="O120" s="74" t="n"/>
      <c r="P120" s="74" t="n"/>
      <c r="Q120" s="100" t="n"/>
      <c r="R120" s="110" t="n"/>
      <c r="S120" s="75">
        <f>IF(B120="","",SUMIFS('Payments'!$N$6:$N$1005,'Payments'!$B$6:$B$1005,B120))</f>
        <v/>
      </c>
      <c r="T120" s="111">
        <f>IF(OR(B120="",K120=0),"",S120/K120)</f>
        <v/>
      </c>
      <c r="U120" s="78">
        <f>IF(V120="","",IF(V120=2,"⚠️ Paying ahead of work","✓ OK"))</f>
        <v/>
      </c>
      <c r="V120" s="79">
        <f>IF(T120="","",IF(T120-R120&gt;OverpayTol,2,0))</f>
        <v/>
      </c>
      <c r="W120" s="112">
        <f>IF(V120=2,AsOf,"")</f>
        <v/>
      </c>
      <c r="X120" s="79">
        <f>IF(W120="","",1)</f>
        <v/>
      </c>
      <c r="Y120" s="79">
        <f>IF(X120="","","Paying ahead of work: "&amp;B120&amp;" — paid "&amp;ROUND(T120*100,0)&amp;"%, work done "&amp;ROUND(R120*100,0)&amp;"%")</f>
        <v/>
      </c>
      <c r="AA120" s="72" t="n"/>
      <c r="AB120" s="109" t="n"/>
      <c r="AC120" s="113" t="n"/>
      <c r="AD120" s="74" t="n"/>
      <c r="AE120" s="109" t="n"/>
      <c r="AF120" s="74" t="n"/>
      <c r="AG120" s="112">
        <f>IF(AND(AA120&lt;&gt;"",AD120="Yes",AF120&lt;&gt;"Yes",AE120&lt;&gt;""),AE120,"")</f>
        <v/>
      </c>
      <c r="AH120" s="79">
        <f>IF(AG120="","",IF(AG120&lt;AsOf,1,IF(AG120&lt;=AsOf+AlertDays,2,IF(AG120&lt;=AsOf+2*AlertDays,3,""))))</f>
        <v/>
      </c>
      <c r="AI120" s="79">
        <f>IF(AH120="","","Follow up with "&amp;AA120&amp;": "&amp;AC120)</f>
        <v/>
      </c>
    </row>
    <row r="121" ht="20" customHeight="1">
      <c r="B121" s="72" t="n"/>
      <c r="C121" s="72" t="n"/>
      <c r="D121" s="72" t="n"/>
      <c r="E121" s="72" t="n"/>
      <c r="F121" s="72" t="n"/>
      <c r="G121" s="72" t="n"/>
      <c r="H121" s="72" t="n"/>
      <c r="I121" s="73" t="n"/>
      <c r="J121" s="75">
        <f>IF(B121="","",SUMIFS('Change Orders'!$J$7:$J$1006,'Change Orders'!$E$7:$E$1006,B121,'Change Orders'!$L$7:$L$1006,"Approved"))</f>
        <v/>
      </c>
      <c r="K121" s="76">
        <f>IF(B121="","",I121+J121)</f>
        <v/>
      </c>
      <c r="L121" s="74" t="n"/>
      <c r="M121" s="109" t="n"/>
      <c r="N121" s="109" t="n"/>
      <c r="O121" s="74" t="n"/>
      <c r="P121" s="74" t="n"/>
      <c r="Q121" s="100" t="n"/>
      <c r="R121" s="110" t="n"/>
      <c r="S121" s="75">
        <f>IF(B121="","",SUMIFS('Payments'!$N$6:$N$1005,'Payments'!$B$6:$B$1005,B121))</f>
        <v/>
      </c>
      <c r="T121" s="111">
        <f>IF(OR(B121="",K121=0),"",S121/K121)</f>
        <v/>
      </c>
      <c r="U121" s="78">
        <f>IF(V121="","",IF(V121=2,"⚠️ Paying ahead of work","✓ OK"))</f>
        <v/>
      </c>
      <c r="V121" s="79">
        <f>IF(T121="","",IF(T121-R121&gt;OverpayTol,2,0))</f>
        <v/>
      </c>
      <c r="W121" s="112">
        <f>IF(V121=2,AsOf,"")</f>
        <v/>
      </c>
      <c r="X121" s="79">
        <f>IF(W121="","",1)</f>
        <v/>
      </c>
      <c r="Y121" s="79">
        <f>IF(X121="","","Paying ahead of work: "&amp;B121&amp;" — paid "&amp;ROUND(T121*100,0)&amp;"%, work done "&amp;ROUND(R121*100,0)&amp;"%")</f>
        <v/>
      </c>
      <c r="AA121" s="72" t="n"/>
      <c r="AB121" s="109" t="n"/>
      <c r="AC121" s="113" t="n"/>
      <c r="AD121" s="74" t="n"/>
      <c r="AE121" s="109" t="n"/>
      <c r="AF121" s="74" t="n"/>
      <c r="AG121" s="112">
        <f>IF(AND(AA121&lt;&gt;"",AD121="Yes",AF121&lt;&gt;"Yes",AE121&lt;&gt;""),AE121,"")</f>
        <v/>
      </c>
      <c r="AH121" s="79">
        <f>IF(AG121="","",IF(AG121&lt;AsOf,1,IF(AG121&lt;=AsOf+AlertDays,2,IF(AG121&lt;=AsOf+2*AlertDays,3,""))))</f>
        <v/>
      </c>
      <c r="AI121" s="79">
        <f>IF(AH121="","","Follow up with "&amp;AA121&amp;": "&amp;AC121)</f>
        <v/>
      </c>
    </row>
    <row r="122" ht="20" customHeight="1">
      <c r="B122" s="72" t="n"/>
      <c r="C122" s="72" t="n"/>
      <c r="D122" s="72" t="n"/>
      <c r="E122" s="72" t="n"/>
      <c r="F122" s="72" t="n"/>
      <c r="G122" s="72" t="n"/>
      <c r="H122" s="72" t="n"/>
      <c r="I122" s="73" t="n"/>
      <c r="J122" s="75">
        <f>IF(B122="","",SUMIFS('Change Orders'!$J$7:$J$1006,'Change Orders'!$E$7:$E$1006,B122,'Change Orders'!$L$7:$L$1006,"Approved"))</f>
        <v/>
      </c>
      <c r="K122" s="76">
        <f>IF(B122="","",I122+J122)</f>
        <v/>
      </c>
      <c r="L122" s="74" t="n"/>
      <c r="M122" s="109" t="n"/>
      <c r="N122" s="109" t="n"/>
      <c r="O122" s="74" t="n"/>
      <c r="P122" s="74" t="n"/>
      <c r="Q122" s="100" t="n"/>
      <c r="R122" s="110" t="n"/>
      <c r="S122" s="75">
        <f>IF(B122="","",SUMIFS('Payments'!$N$6:$N$1005,'Payments'!$B$6:$B$1005,B122))</f>
        <v/>
      </c>
      <c r="T122" s="111">
        <f>IF(OR(B122="",K122=0),"",S122/K122)</f>
        <v/>
      </c>
      <c r="U122" s="78">
        <f>IF(V122="","",IF(V122=2,"⚠️ Paying ahead of work","✓ OK"))</f>
        <v/>
      </c>
      <c r="V122" s="79">
        <f>IF(T122="","",IF(T122-R122&gt;OverpayTol,2,0))</f>
        <v/>
      </c>
      <c r="W122" s="112">
        <f>IF(V122=2,AsOf,"")</f>
        <v/>
      </c>
      <c r="X122" s="79">
        <f>IF(W122="","",1)</f>
        <v/>
      </c>
      <c r="Y122" s="79">
        <f>IF(X122="","","Paying ahead of work: "&amp;B122&amp;" — paid "&amp;ROUND(T122*100,0)&amp;"%, work done "&amp;ROUND(R122*100,0)&amp;"%")</f>
        <v/>
      </c>
      <c r="AA122" s="72" t="n"/>
      <c r="AB122" s="109" t="n"/>
      <c r="AC122" s="113" t="n"/>
      <c r="AD122" s="74" t="n"/>
      <c r="AE122" s="109" t="n"/>
      <c r="AF122" s="74" t="n"/>
      <c r="AG122" s="112">
        <f>IF(AND(AA122&lt;&gt;"",AD122="Yes",AF122&lt;&gt;"Yes",AE122&lt;&gt;""),AE122,"")</f>
        <v/>
      </c>
      <c r="AH122" s="79">
        <f>IF(AG122="","",IF(AG122&lt;AsOf,1,IF(AG122&lt;=AsOf+AlertDays,2,IF(AG122&lt;=AsOf+2*AlertDays,3,""))))</f>
        <v/>
      </c>
      <c r="AI122" s="79">
        <f>IF(AH122="","","Follow up with "&amp;AA122&amp;": "&amp;AC122)</f>
        <v/>
      </c>
    </row>
    <row r="123" ht="20" customHeight="1">
      <c r="B123" s="72" t="n"/>
      <c r="C123" s="72" t="n"/>
      <c r="D123" s="72" t="n"/>
      <c r="E123" s="72" t="n"/>
      <c r="F123" s="72" t="n"/>
      <c r="G123" s="72" t="n"/>
      <c r="H123" s="72" t="n"/>
      <c r="I123" s="73" t="n"/>
      <c r="J123" s="75">
        <f>IF(B123="","",SUMIFS('Change Orders'!$J$7:$J$1006,'Change Orders'!$E$7:$E$1006,B123,'Change Orders'!$L$7:$L$1006,"Approved"))</f>
        <v/>
      </c>
      <c r="K123" s="76">
        <f>IF(B123="","",I123+J123)</f>
        <v/>
      </c>
      <c r="L123" s="74" t="n"/>
      <c r="M123" s="109" t="n"/>
      <c r="N123" s="109" t="n"/>
      <c r="O123" s="74" t="n"/>
      <c r="P123" s="74" t="n"/>
      <c r="Q123" s="100" t="n"/>
      <c r="R123" s="110" t="n"/>
      <c r="S123" s="75">
        <f>IF(B123="","",SUMIFS('Payments'!$N$6:$N$1005,'Payments'!$B$6:$B$1005,B123))</f>
        <v/>
      </c>
      <c r="T123" s="111">
        <f>IF(OR(B123="",K123=0),"",S123/K123)</f>
        <v/>
      </c>
      <c r="U123" s="78">
        <f>IF(V123="","",IF(V123=2,"⚠️ Paying ahead of work","✓ OK"))</f>
        <v/>
      </c>
      <c r="V123" s="79">
        <f>IF(T123="","",IF(T123-R123&gt;OverpayTol,2,0))</f>
        <v/>
      </c>
      <c r="W123" s="112">
        <f>IF(V123=2,AsOf,"")</f>
        <v/>
      </c>
      <c r="X123" s="79">
        <f>IF(W123="","",1)</f>
        <v/>
      </c>
      <c r="Y123" s="79">
        <f>IF(X123="","","Paying ahead of work: "&amp;B123&amp;" — paid "&amp;ROUND(T123*100,0)&amp;"%, work done "&amp;ROUND(R123*100,0)&amp;"%")</f>
        <v/>
      </c>
      <c r="AA123" s="72" t="n"/>
      <c r="AB123" s="109" t="n"/>
      <c r="AC123" s="113" t="n"/>
      <c r="AD123" s="74" t="n"/>
      <c r="AE123" s="109" t="n"/>
      <c r="AF123" s="74" t="n"/>
      <c r="AG123" s="112">
        <f>IF(AND(AA123&lt;&gt;"",AD123="Yes",AF123&lt;&gt;"Yes",AE123&lt;&gt;""),AE123,"")</f>
        <v/>
      </c>
      <c r="AH123" s="79">
        <f>IF(AG123="","",IF(AG123&lt;AsOf,1,IF(AG123&lt;=AsOf+AlertDays,2,IF(AG123&lt;=AsOf+2*AlertDays,3,""))))</f>
        <v/>
      </c>
      <c r="AI123" s="79">
        <f>IF(AH123="","","Follow up with "&amp;AA123&amp;": "&amp;AC123)</f>
        <v/>
      </c>
    </row>
    <row r="124" ht="20" customHeight="1">
      <c r="B124" s="72" t="n"/>
      <c r="C124" s="72" t="n"/>
      <c r="D124" s="72" t="n"/>
      <c r="E124" s="72" t="n"/>
      <c r="F124" s="72" t="n"/>
      <c r="G124" s="72" t="n"/>
      <c r="H124" s="72" t="n"/>
      <c r="I124" s="73" t="n"/>
      <c r="J124" s="75">
        <f>IF(B124="","",SUMIFS('Change Orders'!$J$7:$J$1006,'Change Orders'!$E$7:$E$1006,B124,'Change Orders'!$L$7:$L$1006,"Approved"))</f>
        <v/>
      </c>
      <c r="K124" s="76">
        <f>IF(B124="","",I124+J124)</f>
        <v/>
      </c>
      <c r="L124" s="74" t="n"/>
      <c r="M124" s="109" t="n"/>
      <c r="N124" s="109" t="n"/>
      <c r="O124" s="74" t="n"/>
      <c r="P124" s="74" t="n"/>
      <c r="Q124" s="100" t="n"/>
      <c r="R124" s="110" t="n"/>
      <c r="S124" s="75">
        <f>IF(B124="","",SUMIFS('Payments'!$N$6:$N$1005,'Payments'!$B$6:$B$1005,B124))</f>
        <v/>
      </c>
      <c r="T124" s="111">
        <f>IF(OR(B124="",K124=0),"",S124/K124)</f>
        <v/>
      </c>
      <c r="U124" s="78">
        <f>IF(V124="","",IF(V124=2,"⚠️ Paying ahead of work","✓ OK"))</f>
        <v/>
      </c>
      <c r="V124" s="79">
        <f>IF(T124="","",IF(T124-R124&gt;OverpayTol,2,0))</f>
        <v/>
      </c>
      <c r="W124" s="112">
        <f>IF(V124=2,AsOf,"")</f>
        <v/>
      </c>
      <c r="X124" s="79">
        <f>IF(W124="","",1)</f>
        <v/>
      </c>
      <c r="Y124" s="79">
        <f>IF(X124="","","Paying ahead of work: "&amp;B124&amp;" — paid "&amp;ROUND(T124*100,0)&amp;"%, work done "&amp;ROUND(R124*100,0)&amp;"%")</f>
        <v/>
      </c>
      <c r="AA124" s="72" t="n"/>
      <c r="AB124" s="109" t="n"/>
      <c r="AC124" s="113" t="n"/>
      <c r="AD124" s="74" t="n"/>
      <c r="AE124" s="109" t="n"/>
      <c r="AF124" s="74" t="n"/>
      <c r="AG124" s="112">
        <f>IF(AND(AA124&lt;&gt;"",AD124="Yes",AF124&lt;&gt;"Yes",AE124&lt;&gt;""),AE124,"")</f>
        <v/>
      </c>
      <c r="AH124" s="79">
        <f>IF(AG124="","",IF(AG124&lt;AsOf,1,IF(AG124&lt;=AsOf+AlertDays,2,IF(AG124&lt;=AsOf+2*AlertDays,3,""))))</f>
        <v/>
      </c>
      <c r="AI124" s="79">
        <f>IF(AH124="","","Follow up with "&amp;AA124&amp;": "&amp;AC124)</f>
        <v/>
      </c>
    </row>
    <row r="125" ht="20" customHeight="1">
      <c r="B125" s="72" t="n"/>
      <c r="C125" s="72" t="n"/>
      <c r="D125" s="72" t="n"/>
      <c r="E125" s="72" t="n"/>
      <c r="F125" s="72" t="n"/>
      <c r="G125" s="72" t="n"/>
      <c r="H125" s="72" t="n"/>
      <c r="I125" s="73" t="n"/>
      <c r="J125" s="75">
        <f>IF(B125="","",SUMIFS('Change Orders'!$J$7:$J$1006,'Change Orders'!$E$7:$E$1006,B125,'Change Orders'!$L$7:$L$1006,"Approved"))</f>
        <v/>
      </c>
      <c r="K125" s="76">
        <f>IF(B125="","",I125+J125)</f>
        <v/>
      </c>
      <c r="L125" s="74" t="n"/>
      <c r="M125" s="109" t="n"/>
      <c r="N125" s="109" t="n"/>
      <c r="O125" s="74" t="n"/>
      <c r="P125" s="74" t="n"/>
      <c r="Q125" s="100" t="n"/>
      <c r="R125" s="110" t="n"/>
      <c r="S125" s="75">
        <f>IF(B125="","",SUMIFS('Payments'!$N$6:$N$1005,'Payments'!$B$6:$B$1005,B125))</f>
        <v/>
      </c>
      <c r="T125" s="111">
        <f>IF(OR(B125="",K125=0),"",S125/K125)</f>
        <v/>
      </c>
      <c r="U125" s="78">
        <f>IF(V125="","",IF(V125=2,"⚠️ Paying ahead of work","✓ OK"))</f>
        <v/>
      </c>
      <c r="V125" s="79">
        <f>IF(T125="","",IF(T125-R125&gt;OverpayTol,2,0))</f>
        <v/>
      </c>
      <c r="W125" s="112">
        <f>IF(V125=2,AsOf,"")</f>
        <v/>
      </c>
      <c r="X125" s="79">
        <f>IF(W125="","",1)</f>
        <v/>
      </c>
      <c r="Y125" s="79">
        <f>IF(X125="","","Paying ahead of work: "&amp;B125&amp;" — paid "&amp;ROUND(T125*100,0)&amp;"%, work done "&amp;ROUND(R125*100,0)&amp;"%")</f>
        <v/>
      </c>
      <c r="AA125" s="72" t="n"/>
      <c r="AB125" s="109" t="n"/>
      <c r="AC125" s="113" t="n"/>
      <c r="AD125" s="74" t="n"/>
      <c r="AE125" s="109" t="n"/>
      <c r="AF125" s="74" t="n"/>
      <c r="AG125" s="112">
        <f>IF(AND(AA125&lt;&gt;"",AD125="Yes",AF125&lt;&gt;"Yes",AE125&lt;&gt;""),AE125,"")</f>
        <v/>
      </c>
      <c r="AH125" s="79">
        <f>IF(AG125="","",IF(AG125&lt;AsOf,1,IF(AG125&lt;=AsOf+AlertDays,2,IF(AG125&lt;=AsOf+2*AlertDays,3,""))))</f>
        <v/>
      </c>
      <c r="AI125" s="79">
        <f>IF(AH125="","","Follow up with "&amp;AA125&amp;": "&amp;AC125)</f>
        <v/>
      </c>
    </row>
    <row r="126" ht="20" customHeight="1">
      <c r="B126" s="72" t="n"/>
      <c r="C126" s="72" t="n"/>
      <c r="D126" s="72" t="n"/>
      <c r="E126" s="72" t="n"/>
      <c r="F126" s="72" t="n"/>
      <c r="G126" s="72" t="n"/>
      <c r="H126" s="72" t="n"/>
      <c r="I126" s="73" t="n"/>
      <c r="J126" s="75">
        <f>IF(B126="","",SUMIFS('Change Orders'!$J$7:$J$1006,'Change Orders'!$E$7:$E$1006,B126,'Change Orders'!$L$7:$L$1006,"Approved"))</f>
        <v/>
      </c>
      <c r="K126" s="76">
        <f>IF(B126="","",I126+J126)</f>
        <v/>
      </c>
      <c r="L126" s="74" t="n"/>
      <c r="M126" s="109" t="n"/>
      <c r="N126" s="109" t="n"/>
      <c r="O126" s="74" t="n"/>
      <c r="P126" s="74" t="n"/>
      <c r="Q126" s="100" t="n"/>
      <c r="R126" s="110" t="n"/>
      <c r="S126" s="75">
        <f>IF(B126="","",SUMIFS('Payments'!$N$6:$N$1005,'Payments'!$B$6:$B$1005,B126))</f>
        <v/>
      </c>
      <c r="T126" s="111">
        <f>IF(OR(B126="",K126=0),"",S126/K126)</f>
        <v/>
      </c>
      <c r="U126" s="78">
        <f>IF(V126="","",IF(V126=2,"⚠️ Paying ahead of work","✓ OK"))</f>
        <v/>
      </c>
      <c r="V126" s="79">
        <f>IF(T126="","",IF(T126-R126&gt;OverpayTol,2,0))</f>
        <v/>
      </c>
      <c r="W126" s="112">
        <f>IF(V126=2,AsOf,"")</f>
        <v/>
      </c>
      <c r="X126" s="79">
        <f>IF(W126="","",1)</f>
        <v/>
      </c>
      <c r="Y126" s="79">
        <f>IF(X126="","","Paying ahead of work: "&amp;B126&amp;" — paid "&amp;ROUND(T126*100,0)&amp;"%, work done "&amp;ROUND(R126*100,0)&amp;"%")</f>
        <v/>
      </c>
      <c r="AA126" s="72" t="n"/>
      <c r="AB126" s="109" t="n"/>
      <c r="AC126" s="113" t="n"/>
      <c r="AD126" s="74" t="n"/>
      <c r="AE126" s="109" t="n"/>
      <c r="AF126" s="74" t="n"/>
      <c r="AG126" s="112">
        <f>IF(AND(AA126&lt;&gt;"",AD126="Yes",AF126&lt;&gt;"Yes",AE126&lt;&gt;""),AE126,"")</f>
        <v/>
      </c>
      <c r="AH126" s="79">
        <f>IF(AG126="","",IF(AG126&lt;AsOf,1,IF(AG126&lt;=AsOf+AlertDays,2,IF(AG126&lt;=AsOf+2*AlertDays,3,""))))</f>
        <v/>
      </c>
      <c r="AI126" s="79">
        <f>IF(AH126="","","Follow up with "&amp;AA126&amp;": "&amp;AC126)</f>
        <v/>
      </c>
    </row>
    <row r="127" ht="20" customHeight="1">
      <c r="B127" s="72" t="n"/>
      <c r="C127" s="72" t="n"/>
      <c r="D127" s="72" t="n"/>
      <c r="E127" s="72" t="n"/>
      <c r="F127" s="72" t="n"/>
      <c r="G127" s="72" t="n"/>
      <c r="H127" s="72" t="n"/>
      <c r="I127" s="73" t="n"/>
      <c r="J127" s="75">
        <f>IF(B127="","",SUMIFS('Change Orders'!$J$7:$J$1006,'Change Orders'!$E$7:$E$1006,B127,'Change Orders'!$L$7:$L$1006,"Approved"))</f>
        <v/>
      </c>
      <c r="K127" s="76">
        <f>IF(B127="","",I127+J127)</f>
        <v/>
      </c>
      <c r="L127" s="74" t="n"/>
      <c r="M127" s="109" t="n"/>
      <c r="N127" s="109" t="n"/>
      <c r="O127" s="74" t="n"/>
      <c r="P127" s="74" t="n"/>
      <c r="Q127" s="100" t="n"/>
      <c r="R127" s="110" t="n"/>
      <c r="S127" s="75">
        <f>IF(B127="","",SUMIFS('Payments'!$N$6:$N$1005,'Payments'!$B$6:$B$1005,B127))</f>
        <v/>
      </c>
      <c r="T127" s="111">
        <f>IF(OR(B127="",K127=0),"",S127/K127)</f>
        <v/>
      </c>
      <c r="U127" s="78">
        <f>IF(V127="","",IF(V127=2,"⚠️ Paying ahead of work","✓ OK"))</f>
        <v/>
      </c>
      <c r="V127" s="79">
        <f>IF(T127="","",IF(T127-R127&gt;OverpayTol,2,0))</f>
        <v/>
      </c>
      <c r="W127" s="112">
        <f>IF(V127=2,AsOf,"")</f>
        <v/>
      </c>
      <c r="X127" s="79">
        <f>IF(W127="","",1)</f>
        <v/>
      </c>
      <c r="Y127" s="79">
        <f>IF(X127="","","Paying ahead of work: "&amp;B127&amp;" — paid "&amp;ROUND(T127*100,0)&amp;"%, work done "&amp;ROUND(R127*100,0)&amp;"%")</f>
        <v/>
      </c>
      <c r="AA127" s="72" t="n"/>
      <c r="AB127" s="109" t="n"/>
      <c r="AC127" s="113" t="n"/>
      <c r="AD127" s="74" t="n"/>
      <c r="AE127" s="109" t="n"/>
      <c r="AF127" s="74" t="n"/>
      <c r="AG127" s="112">
        <f>IF(AND(AA127&lt;&gt;"",AD127="Yes",AF127&lt;&gt;"Yes",AE127&lt;&gt;""),AE127,"")</f>
        <v/>
      </c>
      <c r="AH127" s="79">
        <f>IF(AG127="","",IF(AG127&lt;AsOf,1,IF(AG127&lt;=AsOf+AlertDays,2,IF(AG127&lt;=AsOf+2*AlertDays,3,""))))</f>
        <v/>
      </c>
      <c r="AI127" s="79">
        <f>IF(AH127="","","Follow up with "&amp;AA127&amp;": "&amp;AC127)</f>
        <v/>
      </c>
    </row>
    <row r="128" ht="20" customHeight="1">
      <c r="B128" s="72" t="n"/>
      <c r="C128" s="72" t="n"/>
      <c r="D128" s="72" t="n"/>
      <c r="E128" s="72" t="n"/>
      <c r="F128" s="72" t="n"/>
      <c r="G128" s="72" t="n"/>
      <c r="H128" s="72" t="n"/>
      <c r="I128" s="73" t="n"/>
      <c r="J128" s="75">
        <f>IF(B128="","",SUMIFS('Change Orders'!$J$7:$J$1006,'Change Orders'!$E$7:$E$1006,B128,'Change Orders'!$L$7:$L$1006,"Approved"))</f>
        <v/>
      </c>
      <c r="K128" s="76">
        <f>IF(B128="","",I128+J128)</f>
        <v/>
      </c>
      <c r="L128" s="74" t="n"/>
      <c r="M128" s="109" t="n"/>
      <c r="N128" s="109" t="n"/>
      <c r="O128" s="74" t="n"/>
      <c r="P128" s="74" t="n"/>
      <c r="Q128" s="100" t="n"/>
      <c r="R128" s="110" t="n"/>
      <c r="S128" s="75">
        <f>IF(B128="","",SUMIFS('Payments'!$N$6:$N$1005,'Payments'!$B$6:$B$1005,B128))</f>
        <v/>
      </c>
      <c r="T128" s="111">
        <f>IF(OR(B128="",K128=0),"",S128/K128)</f>
        <v/>
      </c>
      <c r="U128" s="78">
        <f>IF(V128="","",IF(V128=2,"⚠️ Paying ahead of work","✓ OK"))</f>
        <v/>
      </c>
      <c r="V128" s="79">
        <f>IF(T128="","",IF(T128-R128&gt;OverpayTol,2,0))</f>
        <v/>
      </c>
      <c r="W128" s="112">
        <f>IF(V128=2,AsOf,"")</f>
        <v/>
      </c>
      <c r="X128" s="79">
        <f>IF(W128="","",1)</f>
        <v/>
      </c>
      <c r="Y128" s="79">
        <f>IF(X128="","","Paying ahead of work: "&amp;B128&amp;" — paid "&amp;ROUND(T128*100,0)&amp;"%, work done "&amp;ROUND(R128*100,0)&amp;"%")</f>
        <v/>
      </c>
      <c r="AA128" s="72" t="n"/>
      <c r="AB128" s="109" t="n"/>
      <c r="AC128" s="113" t="n"/>
      <c r="AD128" s="74" t="n"/>
      <c r="AE128" s="109" t="n"/>
      <c r="AF128" s="74" t="n"/>
      <c r="AG128" s="112">
        <f>IF(AND(AA128&lt;&gt;"",AD128="Yes",AF128&lt;&gt;"Yes",AE128&lt;&gt;""),AE128,"")</f>
        <v/>
      </c>
      <c r="AH128" s="79">
        <f>IF(AG128="","",IF(AG128&lt;AsOf,1,IF(AG128&lt;=AsOf+AlertDays,2,IF(AG128&lt;=AsOf+2*AlertDays,3,""))))</f>
        <v/>
      </c>
      <c r="AI128" s="79">
        <f>IF(AH128="","","Follow up with "&amp;AA128&amp;": "&amp;AC128)</f>
        <v/>
      </c>
    </row>
    <row r="129" ht="20" customHeight="1">
      <c r="B129" s="72" t="n"/>
      <c r="C129" s="72" t="n"/>
      <c r="D129" s="72" t="n"/>
      <c r="E129" s="72" t="n"/>
      <c r="F129" s="72" t="n"/>
      <c r="G129" s="72" t="n"/>
      <c r="H129" s="72" t="n"/>
      <c r="I129" s="73" t="n"/>
      <c r="J129" s="75">
        <f>IF(B129="","",SUMIFS('Change Orders'!$J$7:$J$1006,'Change Orders'!$E$7:$E$1006,B129,'Change Orders'!$L$7:$L$1006,"Approved"))</f>
        <v/>
      </c>
      <c r="K129" s="76">
        <f>IF(B129="","",I129+J129)</f>
        <v/>
      </c>
      <c r="L129" s="74" t="n"/>
      <c r="M129" s="109" t="n"/>
      <c r="N129" s="109" t="n"/>
      <c r="O129" s="74" t="n"/>
      <c r="P129" s="74" t="n"/>
      <c r="Q129" s="100" t="n"/>
      <c r="R129" s="110" t="n"/>
      <c r="S129" s="75">
        <f>IF(B129="","",SUMIFS('Payments'!$N$6:$N$1005,'Payments'!$B$6:$B$1005,B129))</f>
        <v/>
      </c>
      <c r="T129" s="111">
        <f>IF(OR(B129="",K129=0),"",S129/K129)</f>
        <v/>
      </c>
      <c r="U129" s="78">
        <f>IF(V129="","",IF(V129=2,"⚠️ Paying ahead of work","✓ OK"))</f>
        <v/>
      </c>
      <c r="V129" s="79">
        <f>IF(T129="","",IF(T129-R129&gt;OverpayTol,2,0))</f>
        <v/>
      </c>
      <c r="W129" s="112">
        <f>IF(V129=2,AsOf,"")</f>
        <v/>
      </c>
      <c r="X129" s="79">
        <f>IF(W129="","",1)</f>
        <v/>
      </c>
      <c r="Y129" s="79">
        <f>IF(X129="","","Paying ahead of work: "&amp;B129&amp;" — paid "&amp;ROUND(T129*100,0)&amp;"%, work done "&amp;ROUND(R129*100,0)&amp;"%")</f>
        <v/>
      </c>
      <c r="AA129" s="72" t="n"/>
      <c r="AB129" s="109" t="n"/>
      <c r="AC129" s="113" t="n"/>
      <c r="AD129" s="74" t="n"/>
      <c r="AE129" s="109" t="n"/>
      <c r="AF129" s="74" t="n"/>
      <c r="AG129" s="112">
        <f>IF(AND(AA129&lt;&gt;"",AD129="Yes",AF129&lt;&gt;"Yes",AE129&lt;&gt;""),AE129,"")</f>
        <v/>
      </c>
      <c r="AH129" s="79">
        <f>IF(AG129="","",IF(AG129&lt;AsOf,1,IF(AG129&lt;=AsOf+AlertDays,2,IF(AG129&lt;=AsOf+2*AlertDays,3,""))))</f>
        <v/>
      </c>
      <c r="AI129" s="79">
        <f>IF(AH129="","","Follow up with "&amp;AA129&amp;": "&amp;AC129)</f>
        <v/>
      </c>
    </row>
    <row r="130" ht="20" customHeight="1">
      <c r="B130" s="72" t="n"/>
      <c r="C130" s="72" t="n"/>
      <c r="D130" s="72" t="n"/>
      <c r="E130" s="72" t="n"/>
      <c r="F130" s="72" t="n"/>
      <c r="G130" s="72" t="n"/>
      <c r="H130" s="72" t="n"/>
      <c r="I130" s="73" t="n"/>
      <c r="J130" s="75">
        <f>IF(B130="","",SUMIFS('Change Orders'!$J$7:$J$1006,'Change Orders'!$E$7:$E$1006,B130,'Change Orders'!$L$7:$L$1006,"Approved"))</f>
        <v/>
      </c>
      <c r="K130" s="76">
        <f>IF(B130="","",I130+J130)</f>
        <v/>
      </c>
      <c r="L130" s="74" t="n"/>
      <c r="M130" s="109" t="n"/>
      <c r="N130" s="109" t="n"/>
      <c r="O130" s="74" t="n"/>
      <c r="P130" s="74" t="n"/>
      <c r="Q130" s="100" t="n"/>
      <c r="R130" s="110" t="n"/>
      <c r="S130" s="75">
        <f>IF(B130="","",SUMIFS('Payments'!$N$6:$N$1005,'Payments'!$B$6:$B$1005,B130))</f>
        <v/>
      </c>
      <c r="T130" s="111">
        <f>IF(OR(B130="",K130=0),"",S130/K130)</f>
        <v/>
      </c>
      <c r="U130" s="78">
        <f>IF(V130="","",IF(V130=2,"⚠️ Paying ahead of work","✓ OK"))</f>
        <v/>
      </c>
      <c r="V130" s="79">
        <f>IF(T130="","",IF(T130-R130&gt;OverpayTol,2,0))</f>
        <v/>
      </c>
      <c r="W130" s="112">
        <f>IF(V130=2,AsOf,"")</f>
        <v/>
      </c>
      <c r="X130" s="79">
        <f>IF(W130="","",1)</f>
        <v/>
      </c>
      <c r="Y130" s="79">
        <f>IF(X130="","","Paying ahead of work: "&amp;B130&amp;" — paid "&amp;ROUND(T130*100,0)&amp;"%, work done "&amp;ROUND(R130*100,0)&amp;"%")</f>
        <v/>
      </c>
      <c r="AA130" s="72" t="n"/>
      <c r="AB130" s="109" t="n"/>
      <c r="AC130" s="113" t="n"/>
      <c r="AD130" s="74" t="n"/>
      <c r="AE130" s="109" t="n"/>
      <c r="AF130" s="74" t="n"/>
      <c r="AG130" s="112">
        <f>IF(AND(AA130&lt;&gt;"",AD130="Yes",AF130&lt;&gt;"Yes",AE130&lt;&gt;""),AE130,"")</f>
        <v/>
      </c>
      <c r="AH130" s="79">
        <f>IF(AG130="","",IF(AG130&lt;AsOf,1,IF(AG130&lt;=AsOf+AlertDays,2,IF(AG130&lt;=AsOf+2*AlertDays,3,""))))</f>
        <v/>
      </c>
      <c r="AI130" s="79">
        <f>IF(AH130="","","Follow up with "&amp;AA130&amp;": "&amp;AC130)</f>
        <v/>
      </c>
    </row>
    <row r="131" ht="20" customHeight="1">
      <c r="B131" s="72" t="n"/>
      <c r="C131" s="72" t="n"/>
      <c r="D131" s="72" t="n"/>
      <c r="E131" s="72" t="n"/>
      <c r="F131" s="72" t="n"/>
      <c r="G131" s="72" t="n"/>
      <c r="H131" s="72" t="n"/>
      <c r="I131" s="73" t="n"/>
      <c r="J131" s="75">
        <f>IF(B131="","",SUMIFS('Change Orders'!$J$7:$J$1006,'Change Orders'!$E$7:$E$1006,B131,'Change Orders'!$L$7:$L$1006,"Approved"))</f>
        <v/>
      </c>
      <c r="K131" s="76">
        <f>IF(B131="","",I131+J131)</f>
        <v/>
      </c>
      <c r="L131" s="74" t="n"/>
      <c r="M131" s="109" t="n"/>
      <c r="N131" s="109" t="n"/>
      <c r="O131" s="74" t="n"/>
      <c r="P131" s="74" t="n"/>
      <c r="Q131" s="100" t="n"/>
      <c r="R131" s="110" t="n"/>
      <c r="S131" s="75">
        <f>IF(B131="","",SUMIFS('Payments'!$N$6:$N$1005,'Payments'!$B$6:$B$1005,B131))</f>
        <v/>
      </c>
      <c r="T131" s="111">
        <f>IF(OR(B131="",K131=0),"",S131/K131)</f>
        <v/>
      </c>
      <c r="U131" s="78">
        <f>IF(V131="","",IF(V131=2,"⚠️ Paying ahead of work","✓ OK"))</f>
        <v/>
      </c>
      <c r="V131" s="79">
        <f>IF(T131="","",IF(T131-R131&gt;OverpayTol,2,0))</f>
        <v/>
      </c>
      <c r="W131" s="112">
        <f>IF(V131=2,AsOf,"")</f>
        <v/>
      </c>
      <c r="X131" s="79">
        <f>IF(W131="","",1)</f>
        <v/>
      </c>
      <c r="Y131" s="79">
        <f>IF(X131="","","Paying ahead of work: "&amp;B131&amp;" — paid "&amp;ROUND(T131*100,0)&amp;"%, work done "&amp;ROUND(R131*100,0)&amp;"%")</f>
        <v/>
      </c>
      <c r="AA131" s="72" t="n"/>
      <c r="AB131" s="109" t="n"/>
      <c r="AC131" s="113" t="n"/>
      <c r="AD131" s="74" t="n"/>
      <c r="AE131" s="109" t="n"/>
      <c r="AF131" s="74" t="n"/>
      <c r="AG131" s="112">
        <f>IF(AND(AA131&lt;&gt;"",AD131="Yes",AF131&lt;&gt;"Yes",AE131&lt;&gt;""),AE131,"")</f>
        <v/>
      </c>
      <c r="AH131" s="79">
        <f>IF(AG131="","",IF(AG131&lt;AsOf,1,IF(AG131&lt;=AsOf+AlertDays,2,IF(AG131&lt;=AsOf+2*AlertDays,3,""))))</f>
        <v/>
      </c>
      <c r="AI131" s="79">
        <f>IF(AH131="","","Follow up with "&amp;AA131&amp;": "&amp;AC131)</f>
        <v/>
      </c>
    </row>
    <row r="132" ht="20" customHeight="1">
      <c r="B132" s="72" t="n"/>
      <c r="C132" s="72" t="n"/>
      <c r="D132" s="72" t="n"/>
      <c r="E132" s="72" t="n"/>
      <c r="F132" s="72" t="n"/>
      <c r="G132" s="72" t="n"/>
      <c r="H132" s="72" t="n"/>
      <c r="I132" s="73" t="n"/>
      <c r="J132" s="75">
        <f>IF(B132="","",SUMIFS('Change Orders'!$J$7:$J$1006,'Change Orders'!$E$7:$E$1006,B132,'Change Orders'!$L$7:$L$1006,"Approved"))</f>
        <v/>
      </c>
      <c r="K132" s="76">
        <f>IF(B132="","",I132+J132)</f>
        <v/>
      </c>
      <c r="L132" s="74" t="n"/>
      <c r="M132" s="109" t="n"/>
      <c r="N132" s="109" t="n"/>
      <c r="O132" s="74" t="n"/>
      <c r="P132" s="74" t="n"/>
      <c r="Q132" s="100" t="n"/>
      <c r="R132" s="110" t="n"/>
      <c r="S132" s="75">
        <f>IF(B132="","",SUMIFS('Payments'!$N$6:$N$1005,'Payments'!$B$6:$B$1005,B132))</f>
        <v/>
      </c>
      <c r="T132" s="111">
        <f>IF(OR(B132="",K132=0),"",S132/K132)</f>
        <v/>
      </c>
      <c r="U132" s="78">
        <f>IF(V132="","",IF(V132=2,"⚠️ Paying ahead of work","✓ OK"))</f>
        <v/>
      </c>
      <c r="V132" s="79">
        <f>IF(T132="","",IF(T132-R132&gt;OverpayTol,2,0))</f>
        <v/>
      </c>
      <c r="W132" s="112">
        <f>IF(V132=2,AsOf,"")</f>
        <v/>
      </c>
      <c r="X132" s="79">
        <f>IF(W132="","",1)</f>
        <v/>
      </c>
      <c r="Y132" s="79">
        <f>IF(X132="","","Paying ahead of work: "&amp;B132&amp;" — paid "&amp;ROUND(T132*100,0)&amp;"%, work done "&amp;ROUND(R132*100,0)&amp;"%")</f>
        <v/>
      </c>
      <c r="AA132" s="72" t="n"/>
      <c r="AB132" s="109" t="n"/>
      <c r="AC132" s="113" t="n"/>
      <c r="AD132" s="74" t="n"/>
      <c r="AE132" s="109" t="n"/>
      <c r="AF132" s="74" t="n"/>
      <c r="AG132" s="112">
        <f>IF(AND(AA132&lt;&gt;"",AD132="Yes",AF132&lt;&gt;"Yes",AE132&lt;&gt;""),AE132,"")</f>
        <v/>
      </c>
      <c r="AH132" s="79">
        <f>IF(AG132="","",IF(AG132&lt;AsOf,1,IF(AG132&lt;=AsOf+AlertDays,2,IF(AG132&lt;=AsOf+2*AlertDays,3,""))))</f>
        <v/>
      </c>
      <c r="AI132" s="79">
        <f>IF(AH132="","","Follow up with "&amp;AA132&amp;": "&amp;AC132)</f>
        <v/>
      </c>
    </row>
    <row r="133" ht="20" customHeight="1">
      <c r="B133" s="72" t="n"/>
      <c r="C133" s="72" t="n"/>
      <c r="D133" s="72" t="n"/>
      <c r="E133" s="72" t="n"/>
      <c r="F133" s="72" t="n"/>
      <c r="G133" s="72" t="n"/>
      <c r="H133" s="72" t="n"/>
      <c r="I133" s="73" t="n"/>
      <c r="J133" s="75">
        <f>IF(B133="","",SUMIFS('Change Orders'!$J$7:$J$1006,'Change Orders'!$E$7:$E$1006,B133,'Change Orders'!$L$7:$L$1006,"Approved"))</f>
        <v/>
      </c>
      <c r="K133" s="76">
        <f>IF(B133="","",I133+J133)</f>
        <v/>
      </c>
      <c r="L133" s="74" t="n"/>
      <c r="M133" s="109" t="n"/>
      <c r="N133" s="109" t="n"/>
      <c r="O133" s="74" t="n"/>
      <c r="P133" s="74" t="n"/>
      <c r="Q133" s="100" t="n"/>
      <c r="R133" s="110" t="n"/>
      <c r="S133" s="75">
        <f>IF(B133="","",SUMIFS('Payments'!$N$6:$N$1005,'Payments'!$B$6:$B$1005,B133))</f>
        <v/>
      </c>
      <c r="T133" s="111">
        <f>IF(OR(B133="",K133=0),"",S133/K133)</f>
        <v/>
      </c>
      <c r="U133" s="78">
        <f>IF(V133="","",IF(V133=2,"⚠️ Paying ahead of work","✓ OK"))</f>
        <v/>
      </c>
      <c r="V133" s="79">
        <f>IF(T133="","",IF(T133-R133&gt;OverpayTol,2,0))</f>
        <v/>
      </c>
      <c r="W133" s="112">
        <f>IF(V133=2,AsOf,"")</f>
        <v/>
      </c>
      <c r="X133" s="79">
        <f>IF(W133="","",1)</f>
        <v/>
      </c>
      <c r="Y133" s="79">
        <f>IF(X133="","","Paying ahead of work: "&amp;B133&amp;" — paid "&amp;ROUND(T133*100,0)&amp;"%, work done "&amp;ROUND(R133*100,0)&amp;"%")</f>
        <v/>
      </c>
      <c r="AA133" s="72" t="n"/>
      <c r="AB133" s="109" t="n"/>
      <c r="AC133" s="113" t="n"/>
      <c r="AD133" s="74" t="n"/>
      <c r="AE133" s="109" t="n"/>
      <c r="AF133" s="74" t="n"/>
      <c r="AG133" s="112">
        <f>IF(AND(AA133&lt;&gt;"",AD133="Yes",AF133&lt;&gt;"Yes",AE133&lt;&gt;""),AE133,"")</f>
        <v/>
      </c>
      <c r="AH133" s="79">
        <f>IF(AG133="","",IF(AG133&lt;AsOf,1,IF(AG133&lt;=AsOf+AlertDays,2,IF(AG133&lt;=AsOf+2*AlertDays,3,""))))</f>
        <v/>
      </c>
      <c r="AI133" s="79">
        <f>IF(AH133="","","Follow up with "&amp;AA133&amp;": "&amp;AC133)</f>
        <v/>
      </c>
    </row>
    <row r="134" ht="20" customHeight="1">
      <c r="B134" s="72" t="n"/>
      <c r="C134" s="72" t="n"/>
      <c r="D134" s="72" t="n"/>
      <c r="E134" s="72" t="n"/>
      <c r="F134" s="72" t="n"/>
      <c r="G134" s="72" t="n"/>
      <c r="H134" s="72" t="n"/>
      <c r="I134" s="73" t="n"/>
      <c r="J134" s="75">
        <f>IF(B134="","",SUMIFS('Change Orders'!$J$7:$J$1006,'Change Orders'!$E$7:$E$1006,B134,'Change Orders'!$L$7:$L$1006,"Approved"))</f>
        <v/>
      </c>
      <c r="K134" s="76">
        <f>IF(B134="","",I134+J134)</f>
        <v/>
      </c>
      <c r="L134" s="74" t="n"/>
      <c r="M134" s="109" t="n"/>
      <c r="N134" s="109" t="n"/>
      <c r="O134" s="74" t="n"/>
      <c r="P134" s="74" t="n"/>
      <c r="Q134" s="100" t="n"/>
      <c r="R134" s="110" t="n"/>
      <c r="S134" s="75">
        <f>IF(B134="","",SUMIFS('Payments'!$N$6:$N$1005,'Payments'!$B$6:$B$1005,B134))</f>
        <v/>
      </c>
      <c r="T134" s="111">
        <f>IF(OR(B134="",K134=0),"",S134/K134)</f>
        <v/>
      </c>
      <c r="U134" s="78">
        <f>IF(V134="","",IF(V134=2,"⚠️ Paying ahead of work","✓ OK"))</f>
        <v/>
      </c>
      <c r="V134" s="79">
        <f>IF(T134="","",IF(T134-R134&gt;OverpayTol,2,0))</f>
        <v/>
      </c>
      <c r="W134" s="112">
        <f>IF(V134=2,AsOf,"")</f>
        <v/>
      </c>
      <c r="X134" s="79">
        <f>IF(W134="","",1)</f>
        <v/>
      </c>
      <c r="Y134" s="79">
        <f>IF(X134="","","Paying ahead of work: "&amp;B134&amp;" — paid "&amp;ROUND(T134*100,0)&amp;"%, work done "&amp;ROUND(R134*100,0)&amp;"%")</f>
        <v/>
      </c>
      <c r="AA134" s="72" t="n"/>
      <c r="AB134" s="109" t="n"/>
      <c r="AC134" s="113" t="n"/>
      <c r="AD134" s="74" t="n"/>
      <c r="AE134" s="109" t="n"/>
      <c r="AF134" s="74" t="n"/>
      <c r="AG134" s="112">
        <f>IF(AND(AA134&lt;&gt;"",AD134="Yes",AF134&lt;&gt;"Yes",AE134&lt;&gt;""),AE134,"")</f>
        <v/>
      </c>
      <c r="AH134" s="79">
        <f>IF(AG134="","",IF(AG134&lt;AsOf,1,IF(AG134&lt;=AsOf+AlertDays,2,IF(AG134&lt;=AsOf+2*AlertDays,3,""))))</f>
        <v/>
      </c>
      <c r="AI134" s="79">
        <f>IF(AH134="","","Follow up with "&amp;AA134&amp;": "&amp;AC134)</f>
        <v/>
      </c>
    </row>
    <row r="135" ht="20" customHeight="1">
      <c r="B135" s="72" t="n"/>
      <c r="C135" s="72" t="n"/>
      <c r="D135" s="72" t="n"/>
      <c r="E135" s="72" t="n"/>
      <c r="F135" s="72" t="n"/>
      <c r="G135" s="72" t="n"/>
      <c r="H135" s="72" t="n"/>
      <c r="I135" s="73" t="n"/>
      <c r="J135" s="75">
        <f>IF(B135="","",SUMIFS('Change Orders'!$J$7:$J$1006,'Change Orders'!$E$7:$E$1006,B135,'Change Orders'!$L$7:$L$1006,"Approved"))</f>
        <v/>
      </c>
      <c r="K135" s="76">
        <f>IF(B135="","",I135+J135)</f>
        <v/>
      </c>
      <c r="L135" s="74" t="n"/>
      <c r="M135" s="109" t="n"/>
      <c r="N135" s="109" t="n"/>
      <c r="O135" s="74" t="n"/>
      <c r="P135" s="74" t="n"/>
      <c r="Q135" s="100" t="n"/>
      <c r="R135" s="110" t="n"/>
      <c r="S135" s="75">
        <f>IF(B135="","",SUMIFS('Payments'!$N$6:$N$1005,'Payments'!$B$6:$B$1005,B135))</f>
        <v/>
      </c>
      <c r="T135" s="111">
        <f>IF(OR(B135="",K135=0),"",S135/K135)</f>
        <v/>
      </c>
      <c r="U135" s="78">
        <f>IF(V135="","",IF(V135=2,"⚠️ Paying ahead of work","✓ OK"))</f>
        <v/>
      </c>
      <c r="V135" s="79">
        <f>IF(T135="","",IF(T135-R135&gt;OverpayTol,2,0))</f>
        <v/>
      </c>
      <c r="W135" s="112">
        <f>IF(V135=2,AsOf,"")</f>
        <v/>
      </c>
      <c r="X135" s="79">
        <f>IF(W135="","",1)</f>
        <v/>
      </c>
      <c r="Y135" s="79">
        <f>IF(X135="","","Paying ahead of work: "&amp;B135&amp;" — paid "&amp;ROUND(T135*100,0)&amp;"%, work done "&amp;ROUND(R135*100,0)&amp;"%")</f>
        <v/>
      </c>
      <c r="AA135" s="72" t="n"/>
      <c r="AB135" s="109" t="n"/>
      <c r="AC135" s="113" t="n"/>
      <c r="AD135" s="74" t="n"/>
      <c r="AE135" s="109" t="n"/>
      <c r="AF135" s="74" t="n"/>
      <c r="AG135" s="112">
        <f>IF(AND(AA135&lt;&gt;"",AD135="Yes",AF135&lt;&gt;"Yes",AE135&lt;&gt;""),AE135,"")</f>
        <v/>
      </c>
      <c r="AH135" s="79">
        <f>IF(AG135="","",IF(AG135&lt;AsOf,1,IF(AG135&lt;=AsOf+AlertDays,2,IF(AG135&lt;=AsOf+2*AlertDays,3,""))))</f>
        <v/>
      </c>
      <c r="AI135" s="79">
        <f>IF(AH135="","","Follow up with "&amp;AA135&amp;": "&amp;AC135)</f>
        <v/>
      </c>
    </row>
    <row r="136" ht="20" customHeight="1">
      <c r="B136" s="72" t="n"/>
      <c r="C136" s="72" t="n"/>
      <c r="D136" s="72" t="n"/>
      <c r="E136" s="72" t="n"/>
      <c r="F136" s="72" t="n"/>
      <c r="G136" s="72" t="n"/>
      <c r="H136" s="72" t="n"/>
      <c r="I136" s="73" t="n"/>
      <c r="J136" s="75">
        <f>IF(B136="","",SUMIFS('Change Orders'!$J$7:$J$1006,'Change Orders'!$E$7:$E$1006,B136,'Change Orders'!$L$7:$L$1006,"Approved"))</f>
        <v/>
      </c>
      <c r="K136" s="76">
        <f>IF(B136="","",I136+J136)</f>
        <v/>
      </c>
      <c r="L136" s="74" t="n"/>
      <c r="M136" s="109" t="n"/>
      <c r="N136" s="109" t="n"/>
      <c r="O136" s="74" t="n"/>
      <c r="P136" s="74" t="n"/>
      <c r="Q136" s="100" t="n"/>
      <c r="R136" s="110" t="n"/>
      <c r="S136" s="75">
        <f>IF(B136="","",SUMIFS('Payments'!$N$6:$N$1005,'Payments'!$B$6:$B$1005,B136))</f>
        <v/>
      </c>
      <c r="T136" s="111">
        <f>IF(OR(B136="",K136=0),"",S136/K136)</f>
        <v/>
      </c>
      <c r="U136" s="78">
        <f>IF(V136="","",IF(V136=2,"⚠️ Paying ahead of work","✓ OK"))</f>
        <v/>
      </c>
      <c r="V136" s="79">
        <f>IF(T136="","",IF(T136-R136&gt;OverpayTol,2,0))</f>
        <v/>
      </c>
      <c r="W136" s="112">
        <f>IF(V136=2,AsOf,"")</f>
        <v/>
      </c>
      <c r="X136" s="79">
        <f>IF(W136="","",1)</f>
        <v/>
      </c>
      <c r="Y136" s="79">
        <f>IF(X136="","","Paying ahead of work: "&amp;B136&amp;" — paid "&amp;ROUND(T136*100,0)&amp;"%, work done "&amp;ROUND(R136*100,0)&amp;"%")</f>
        <v/>
      </c>
      <c r="AA136" s="72" t="n"/>
      <c r="AB136" s="109" t="n"/>
      <c r="AC136" s="113" t="n"/>
      <c r="AD136" s="74" t="n"/>
      <c r="AE136" s="109" t="n"/>
      <c r="AF136" s="74" t="n"/>
      <c r="AG136" s="112">
        <f>IF(AND(AA136&lt;&gt;"",AD136="Yes",AF136&lt;&gt;"Yes",AE136&lt;&gt;""),AE136,"")</f>
        <v/>
      </c>
      <c r="AH136" s="79">
        <f>IF(AG136="","",IF(AG136&lt;AsOf,1,IF(AG136&lt;=AsOf+AlertDays,2,IF(AG136&lt;=AsOf+2*AlertDays,3,""))))</f>
        <v/>
      </c>
      <c r="AI136" s="79">
        <f>IF(AH136="","","Follow up with "&amp;AA136&amp;": "&amp;AC136)</f>
        <v/>
      </c>
    </row>
    <row r="137" ht="20" customHeight="1">
      <c r="B137" s="72" t="n"/>
      <c r="C137" s="72" t="n"/>
      <c r="D137" s="72" t="n"/>
      <c r="E137" s="72" t="n"/>
      <c r="F137" s="72" t="n"/>
      <c r="G137" s="72" t="n"/>
      <c r="H137" s="72" t="n"/>
      <c r="I137" s="73" t="n"/>
      <c r="J137" s="75">
        <f>IF(B137="","",SUMIFS('Change Orders'!$J$7:$J$1006,'Change Orders'!$E$7:$E$1006,B137,'Change Orders'!$L$7:$L$1006,"Approved"))</f>
        <v/>
      </c>
      <c r="K137" s="76">
        <f>IF(B137="","",I137+J137)</f>
        <v/>
      </c>
      <c r="L137" s="74" t="n"/>
      <c r="M137" s="109" t="n"/>
      <c r="N137" s="109" t="n"/>
      <c r="O137" s="74" t="n"/>
      <c r="P137" s="74" t="n"/>
      <c r="Q137" s="100" t="n"/>
      <c r="R137" s="110" t="n"/>
      <c r="S137" s="75">
        <f>IF(B137="","",SUMIFS('Payments'!$N$6:$N$1005,'Payments'!$B$6:$B$1005,B137))</f>
        <v/>
      </c>
      <c r="T137" s="111">
        <f>IF(OR(B137="",K137=0),"",S137/K137)</f>
        <v/>
      </c>
      <c r="U137" s="78">
        <f>IF(V137="","",IF(V137=2,"⚠️ Paying ahead of work","✓ OK"))</f>
        <v/>
      </c>
      <c r="V137" s="79">
        <f>IF(T137="","",IF(T137-R137&gt;OverpayTol,2,0))</f>
        <v/>
      </c>
      <c r="W137" s="112">
        <f>IF(V137=2,AsOf,"")</f>
        <v/>
      </c>
      <c r="X137" s="79">
        <f>IF(W137="","",1)</f>
        <v/>
      </c>
      <c r="Y137" s="79">
        <f>IF(X137="","","Paying ahead of work: "&amp;B137&amp;" — paid "&amp;ROUND(T137*100,0)&amp;"%, work done "&amp;ROUND(R137*100,0)&amp;"%")</f>
        <v/>
      </c>
      <c r="AA137" s="72" t="n"/>
      <c r="AB137" s="109" t="n"/>
      <c r="AC137" s="113" t="n"/>
      <c r="AD137" s="74" t="n"/>
      <c r="AE137" s="109" t="n"/>
      <c r="AF137" s="74" t="n"/>
      <c r="AG137" s="112">
        <f>IF(AND(AA137&lt;&gt;"",AD137="Yes",AF137&lt;&gt;"Yes",AE137&lt;&gt;""),AE137,"")</f>
        <v/>
      </c>
      <c r="AH137" s="79">
        <f>IF(AG137="","",IF(AG137&lt;AsOf,1,IF(AG137&lt;=AsOf+AlertDays,2,IF(AG137&lt;=AsOf+2*AlertDays,3,""))))</f>
        <v/>
      </c>
      <c r="AI137" s="79">
        <f>IF(AH137="","","Follow up with "&amp;AA137&amp;": "&amp;AC137)</f>
        <v/>
      </c>
    </row>
    <row r="138" ht="20" customHeight="1">
      <c r="B138" s="72" t="n"/>
      <c r="C138" s="72" t="n"/>
      <c r="D138" s="72" t="n"/>
      <c r="E138" s="72" t="n"/>
      <c r="F138" s="72" t="n"/>
      <c r="G138" s="72" t="n"/>
      <c r="H138" s="72" t="n"/>
      <c r="I138" s="73" t="n"/>
      <c r="J138" s="75">
        <f>IF(B138="","",SUMIFS('Change Orders'!$J$7:$J$1006,'Change Orders'!$E$7:$E$1006,B138,'Change Orders'!$L$7:$L$1006,"Approved"))</f>
        <v/>
      </c>
      <c r="K138" s="76">
        <f>IF(B138="","",I138+J138)</f>
        <v/>
      </c>
      <c r="L138" s="74" t="n"/>
      <c r="M138" s="109" t="n"/>
      <c r="N138" s="109" t="n"/>
      <c r="O138" s="74" t="n"/>
      <c r="P138" s="74" t="n"/>
      <c r="Q138" s="100" t="n"/>
      <c r="R138" s="110" t="n"/>
      <c r="S138" s="75">
        <f>IF(B138="","",SUMIFS('Payments'!$N$6:$N$1005,'Payments'!$B$6:$B$1005,B138))</f>
        <v/>
      </c>
      <c r="T138" s="111">
        <f>IF(OR(B138="",K138=0),"",S138/K138)</f>
        <v/>
      </c>
      <c r="U138" s="78">
        <f>IF(V138="","",IF(V138=2,"⚠️ Paying ahead of work","✓ OK"))</f>
        <v/>
      </c>
      <c r="V138" s="79">
        <f>IF(T138="","",IF(T138-R138&gt;OverpayTol,2,0))</f>
        <v/>
      </c>
      <c r="W138" s="112">
        <f>IF(V138=2,AsOf,"")</f>
        <v/>
      </c>
      <c r="X138" s="79">
        <f>IF(W138="","",1)</f>
        <v/>
      </c>
      <c r="Y138" s="79">
        <f>IF(X138="","","Paying ahead of work: "&amp;B138&amp;" — paid "&amp;ROUND(T138*100,0)&amp;"%, work done "&amp;ROUND(R138*100,0)&amp;"%")</f>
        <v/>
      </c>
      <c r="AA138" s="72" t="n"/>
      <c r="AB138" s="109" t="n"/>
      <c r="AC138" s="113" t="n"/>
      <c r="AD138" s="74" t="n"/>
      <c r="AE138" s="109" t="n"/>
      <c r="AF138" s="74" t="n"/>
      <c r="AG138" s="112">
        <f>IF(AND(AA138&lt;&gt;"",AD138="Yes",AF138&lt;&gt;"Yes",AE138&lt;&gt;""),AE138,"")</f>
        <v/>
      </c>
      <c r="AH138" s="79">
        <f>IF(AG138="","",IF(AG138&lt;AsOf,1,IF(AG138&lt;=AsOf+AlertDays,2,IF(AG138&lt;=AsOf+2*AlertDays,3,""))))</f>
        <v/>
      </c>
      <c r="AI138" s="79">
        <f>IF(AH138="","","Follow up with "&amp;AA138&amp;": "&amp;AC138)</f>
        <v/>
      </c>
    </row>
    <row r="139" ht="20" customHeight="1">
      <c r="B139" s="72" t="n"/>
      <c r="C139" s="72" t="n"/>
      <c r="D139" s="72" t="n"/>
      <c r="E139" s="72" t="n"/>
      <c r="F139" s="72" t="n"/>
      <c r="G139" s="72" t="n"/>
      <c r="H139" s="72" t="n"/>
      <c r="I139" s="73" t="n"/>
      <c r="J139" s="75">
        <f>IF(B139="","",SUMIFS('Change Orders'!$J$7:$J$1006,'Change Orders'!$E$7:$E$1006,B139,'Change Orders'!$L$7:$L$1006,"Approved"))</f>
        <v/>
      </c>
      <c r="K139" s="76">
        <f>IF(B139="","",I139+J139)</f>
        <v/>
      </c>
      <c r="L139" s="74" t="n"/>
      <c r="M139" s="109" t="n"/>
      <c r="N139" s="109" t="n"/>
      <c r="O139" s="74" t="n"/>
      <c r="P139" s="74" t="n"/>
      <c r="Q139" s="100" t="n"/>
      <c r="R139" s="110" t="n"/>
      <c r="S139" s="75">
        <f>IF(B139="","",SUMIFS('Payments'!$N$6:$N$1005,'Payments'!$B$6:$B$1005,B139))</f>
        <v/>
      </c>
      <c r="T139" s="111">
        <f>IF(OR(B139="",K139=0),"",S139/K139)</f>
        <v/>
      </c>
      <c r="U139" s="78">
        <f>IF(V139="","",IF(V139=2,"⚠️ Paying ahead of work","✓ OK"))</f>
        <v/>
      </c>
      <c r="V139" s="79">
        <f>IF(T139="","",IF(T139-R139&gt;OverpayTol,2,0))</f>
        <v/>
      </c>
      <c r="W139" s="112">
        <f>IF(V139=2,AsOf,"")</f>
        <v/>
      </c>
      <c r="X139" s="79">
        <f>IF(W139="","",1)</f>
        <v/>
      </c>
      <c r="Y139" s="79">
        <f>IF(X139="","","Paying ahead of work: "&amp;B139&amp;" — paid "&amp;ROUND(T139*100,0)&amp;"%, work done "&amp;ROUND(R139*100,0)&amp;"%")</f>
        <v/>
      </c>
      <c r="AA139" s="72" t="n"/>
      <c r="AB139" s="109" t="n"/>
      <c r="AC139" s="113" t="n"/>
      <c r="AD139" s="74" t="n"/>
      <c r="AE139" s="109" t="n"/>
      <c r="AF139" s="74" t="n"/>
      <c r="AG139" s="112">
        <f>IF(AND(AA139&lt;&gt;"",AD139="Yes",AF139&lt;&gt;"Yes",AE139&lt;&gt;""),AE139,"")</f>
        <v/>
      </c>
      <c r="AH139" s="79">
        <f>IF(AG139="","",IF(AG139&lt;AsOf,1,IF(AG139&lt;=AsOf+AlertDays,2,IF(AG139&lt;=AsOf+2*AlertDays,3,""))))</f>
        <v/>
      </c>
      <c r="AI139" s="79">
        <f>IF(AH139="","","Follow up with "&amp;AA139&amp;": "&amp;AC139)</f>
        <v/>
      </c>
    </row>
    <row r="140" ht="20" customHeight="1">
      <c r="B140" s="72" t="n"/>
      <c r="C140" s="72" t="n"/>
      <c r="D140" s="72" t="n"/>
      <c r="E140" s="72" t="n"/>
      <c r="F140" s="72" t="n"/>
      <c r="G140" s="72" t="n"/>
      <c r="H140" s="72" t="n"/>
      <c r="I140" s="73" t="n"/>
      <c r="J140" s="75">
        <f>IF(B140="","",SUMIFS('Change Orders'!$J$7:$J$1006,'Change Orders'!$E$7:$E$1006,B140,'Change Orders'!$L$7:$L$1006,"Approved"))</f>
        <v/>
      </c>
      <c r="K140" s="76">
        <f>IF(B140="","",I140+J140)</f>
        <v/>
      </c>
      <c r="L140" s="74" t="n"/>
      <c r="M140" s="109" t="n"/>
      <c r="N140" s="109" t="n"/>
      <c r="O140" s="74" t="n"/>
      <c r="P140" s="74" t="n"/>
      <c r="Q140" s="100" t="n"/>
      <c r="R140" s="110" t="n"/>
      <c r="S140" s="75">
        <f>IF(B140="","",SUMIFS('Payments'!$N$6:$N$1005,'Payments'!$B$6:$B$1005,B140))</f>
        <v/>
      </c>
      <c r="T140" s="111">
        <f>IF(OR(B140="",K140=0),"",S140/K140)</f>
        <v/>
      </c>
      <c r="U140" s="78">
        <f>IF(V140="","",IF(V140=2,"⚠️ Paying ahead of work","✓ OK"))</f>
        <v/>
      </c>
      <c r="V140" s="79">
        <f>IF(T140="","",IF(T140-R140&gt;OverpayTol,2,0))</f>
        <v/>
      </c>
      <c r="W140" s="112">
        <f>IF(V140=2,AsOf,"")</f>
        <v/>
      </c>
      <c r="X140" s="79">
        <f>IF(W140="","",1)</f>
        <v/>
      </c>
      <c r="Y140" s="79">
        <f>IF(X140="","","Paying ahead of work: "&amp;B140&amp;" — paid "&amp;ROUND(T140*100,0)&amp;"%, work done "&amp;ROUND(R140*100,0)&amp;"%")</f>
        <v/>
      </c>
      <c r="AA140" s="72" t="n"/>
      <c r="AB140" s="109" t="n"/>
      <c r="AC140" s="113" t="n"/>
      <c r="AD140" s="74" t="n"/>
      <c r="AE140" s="109" t="n"/>
      <c r="AF140" s="74" t="n"/>
      <c r="AG140" s="112">
        <f>IF(AND(AA140&lt;&gt;"",AD140="Yes",AF140&lt;&gt;"Yes",AE140&lt;&gt;""),AE140,"")</f>
        <v/>
      </c>
      <c r="AH140" s="79">
        <f>IF(AG140="","",IF(AG140&lt;AsOf,1,IF(AG140&lt;=AsOf+AlertDays,2,IF(AG140&lt;=AsOf+2*AlertDays,3,""))))</f>
        <v/>
      </c>
      <c r="AI140" s="79">
        <f>IF(AH140="","","Follow up with "&amp;AA140&amp;": "&amp;AC140)</f>
        <v/>
      </c>
    </row>
    <row r="141" ht="20" customHeight="1">
      <c r="B141" s="72" t="n"/>
      <c r="C141" s="72" t="n"/>
      <c r="D141" s="72" t="n"/>
      <c r="E141" s="72" t="n"/>
      <c r="F141" s="72" t="n"/>
      <c r="G141" s="72" t="n"/>
      <c r="H141" s="72" t="n"/>
      <c r="I141" s="73" t="n"/>
      <c r="J141" s="75">
        <f>IF(B141="","",SUMIFS('Change Orders'!$J$7:$J$1006,'Change Orders'!$E$7:$E$1006,B141,'Change Orders'!$L$7:$L$1006,"Approved"))</f>
        <v/>
      </c>
      <c r="K141" s="76">
        <f>IF(B141="","",I141+J141)</f>
        <v/>
      </c>
      <c r="L141" s="74" t="n"/>
      <c r="M141" s="109" t="n"/>
      <c r="N141" s="109" t="n"/>
      <c r="O141" s="74" t="n"/>
      <c r="P141" s="74" t="n"/>
      <c r="Q141" s="100" t="n"/>
      <c r="R141" s="110" t="n"/>
      <c r="S141" s="75">
        <f>IF(B141="","",SUMIFS('Payments'!$N$6:$N$1005,'Payments'!$B$6:$B$1005,B141))</f>
        <v/>
      </c>
      <c r="T141" s="111">
        <f>IF(OR(B141="",K141=0),"",S141/K141)</f>
        <v/>
      </c>
      <c r="U141" s="78">
        <f>IF(V141="","",IF(V141=2,"⚠️ Paying ahead of work","✓ OK"))</f>
        <v/>
      </c>
      <c r="V141" s="79">
        <f>IF(T141="","",IF(T141-R141&gt;OverpayTol,2,0))</f>
        <v/>
      </c>
      <c r="W141" s="112">
        <f>IF(V141=2,AsOf,"")</f>
        <v/>
      </c>
      <c r="X141" s="79">
        <f>IF(W141="","",1)</f>
        <v/>
      </c>
      <c r="Y141" s="79">
        <f>IF(X141="","","Paying ahead of work: "&amp;B141&amp;" — paid "&amp;ROUND(T141*100,0)&amp;"%, work done "&amp;ROUND(R141*100,0)&amp;"%")</f>
        <v/>
      </c>
      <c r="AA141" s="72" t="n"/>
      <c r="AB141" s="109" t="n"/>
      <c r="AC141" s="113" t="n"/>
      <c r="AD141" s="74" t="n"/>
      <c r="AE141" s="109" t="n"/>
      <c r="AF141" s="74" t="n"/>
      <c r="AG141" s="112">
        <f>IF(AND(AA141&lt;&gt;"",AD141="Yes",AF141&lt;&gt;"Yes",AE141&lt;&gt;""),AE141,"")</f>
        <v/>
      </c>
      <c r="AH141" s="79">
        <f>IF(AG141="","",IF(AG141&lt;AsOf,1,IF(AG141&lt;=AsOf+AlertDays,2,IF(AG141&lt;=AsOf+2*AlertDays,3,""))))</f>
        <v/>
      </c>
      <c r="AI141" s="79">
        <f>IF(AH141="","","Follow up with "&amp;AA141&amp;": "&amp;AC141)</f>
        <v/>
      </c>
    </row>
    <row r="142" ht="20" customHeight="1">
      <c r="B142" s="72" t="n"/>
      <c r="C142" s="72" t="n"/>
      <c r="D142" s="72" t="n"/>
      <c r="E142" s="72" t="n"/>
      <c r="F142" s="72" t="n"/>
      <c r="G142" s="72" t="n"/>
      <c r="H142" s="72" t="n"/>
      <c r="I142" s="73" t="n"/>
      <c r="J142" s="75">
        <f>IF(B142="","",SUMIFS('Change Orders'!$J$7:$J$1006,'Change Orders'!$E$7:$E$1006,B142,'Change Orders'!$L$7:$L$1006,"Approved"))</f>
        <v/>
      </c>
      <c r="K142" s="76">
        <f>IF(B142="","",I142+J142)</f>
        <v/>
      </c>
      <c r="L142" s="74" t="n"/>
      <c r="M142" s="109" t="n"/>
      <c r="N142" s="109" t="n"/>
      <c r="O142" s="74" t="n"/>
      <c r="P142" s="74" t="n"/>
      <c r="Q142" s="100" t="n"/>
      <c r="R142" s="110" t="n"/>
      <c r="S142" s="75">
        <f>IF(B142="","",SUMIFS('Payments'!$N$6:$N$1005,'Payments'!$B$6:$B$1005,B142))</f>
        <v/>
      </c>
      <c r="T142" s="111">
        <f>IF(OR(B142="",K142=0),"",S142/K142)</f>
        <v/>
      </c>
      <c r="U142" s="78">
        <f>IF(V142="","",IF(V142=2,"⚠️ Paying ahead of work","✓ OK"))</f>
        <v/>
      </c>
      <c r="V142" s="79">
        <f>IF(T142="","",IF(T142-R142&gt;OverpayTol,2,0))</f>
        <v/>
      </c>
      <c r="W142" s="112">
        <f>IF(V142=2,AsOf,"")</f>
        <v/>
      </c>
      <c r="X142" s="79">
        <f>IF(W142="","",1)</f>
        <v/>
      </c>
      <c r="Y142" s="79">
        <f>IF(X142="","","Paying ahead of work: "&amp;B142&amp;" — paid "&amp;ROUND(T142*100,0)&amp;"%, work done "&amp;ROUND(R142*100,0)&amp;"%")</f>
        <v/>
      </c>
      <c r="AA142" s="72" t="n"/>
      <c r="AB142" s="109" t="n"/>
      <c r="AC142" s="113" t="n"/>
      <c r="AD142" s="74" t="n"/>
      <c r="AE142" s="109" t="n"/>
      <c r="AF142" s="74" t="n"/>
      <c r="AG142" s="112">
        <f>IF(AND(AA142&lt;&gt;"",AD142="Yes",AF142&lt;&gt;"Yes",AE142&lt;&gt;""),AE142,"")</f>
        <v/>
      </c>
      <c r="AH142" s="79">
        <f>IF(AG142="","",IF(AG142&lt;AsOf,1,IF(AG142&lt;=AsOf+AlertDays,2,IF(AG142&lt;=AsOf+2*AlertDays,3,""))))</f>
        <v/>
      </c>
      <c r="AI142" s="79">
        <f>IF(AH142="","","Follow up with "&amp;AA142&amp;": "&amp;AC142)</f>
        <v/>
      </c>
    </row>
    <row r="143" ht="20" customHeight="1">
      <c r="B143" s="72" t="n"/>
      <c r="C143" s="72" t="n"/>
      <c r="D143" s="72" t="n"/>
      <c r="E143" s="72" t="n"/>
      <c r="F143" s="72" t="n"/>
      <c r="G143" s="72" t="n"/>
      <c r="H143" s="72" t="n"/>
      <c r="I143" s="73" t="n"/>
      <c r="J143" s="75">
        <f>IF(B143="","",SUMIFS('Change Orders'!$J$7:$J$1006,'Change Orders'!$E$7:$E$1006,B143,'Change Orders'!$L$7:$L$1006,"Approved"))</f>
        <v/>
      </c>
      <c r="K143" s="76">
        <f>IF(B143="","",I143+J143)</f>
        <v/>
      </c>
      <c r="L143" s="74" t="n"/>
      <c r="M143" s="109" t="n"/>
      <c r="N143" s="109" t="n"/>
      <c r="O143" s="74" t="n"/>
      <c r="P143" s="74" t="n"/>
      <c r="Q143" s="100" t="n"/>
      <c r="R143" s="110" t="n"/>
      <c r="S143" s="75">
        <f>IF(B143="","",SUMIFS('Payments'!$N$6:$N$1005,'Payments'!$B$6:$B$1005,B143))</f>
        <v/>
      </c>
      <c r="T143" s="111">
        <f>IF(OR(B143="",K143=0),"",S143/K143)</f>
        <v/>
      </c>
      <c r="U143" s="78">
        <f>IF(V143="","",IF(V143=2,"⚠️ Paying ahead of work","✓ OK"))</f>
        <v/>
      </c>
      <c r="V143" s="79">
        <f>IF(T143="","",IF(T143-R143&gt;OverpayTol,2,0))</f>
        <v/>
      </c>
      <c r="W143" s="112">
        <f>IF(V143=2,AsOf,"")</f>
        <v/>
      </c>
      <c r="X143" s="79">
        <f>IF(W143="","",1)</f>
        <v/>
      </c>
      <c r="Y143" s="79">
        <f>IF(X143="","","Paying ahead of work: "&amp;B143&amp;" — paid "&amp;ROUND(T143*100,0)&amp;"%, work done "&amp;ROUND(R143*100,0)&amp;"%")</f>
        <v/>
      </c>
      <c r="AA143" s="72" t="n"/>
      <c r="AB143" s="109" t="n"/>
      <c r="AC143" s="113" t="n"/>
      <c r="AD143" s="74" t="n"/>
      <c r="AE143" s="109" t="n"/>
      <c r="AF143" s="74" t="n"/>
      <c r="AG143" s="112">
        <f>IF(AND(AA143&lt;&gt;"",AD143="Yes",AF143&lt;&gt;"Yes",AE143&lt;&gt;""),AE143,"")</f>
        <v/>
      </c>
      <c r="AH143" s="79">
        <f>IF(AG143="","",IF(AG143&lt;AsOf,1,IF(AG143&lt;=AsOf+AlertDays,2,IF(AG143&lt;=AsOf+2*AlertDays,3,""))))</f>
        <v/>
      </c>
      <c r="AI143" s="79">
        <f>IF(AH143="","","Follow up with "&amp;AA143&amp;": "&amp;AC143)</f>
        <v/>
      </c>
    </row>
    <row r="144" ht="20" customHeight="1">
      <c r="B144" s="72" t="n"/>
      <c r="C144" s="72" t="n"/>
      <c r="D144" s="72" t="n"/>
      <c r="E144" s="72" t="n"/>
      <c r="F144" s="72" t="n"/>
      <c r="G144" s="72" t="n"/>
      <c r="H144" s="72" t="n"/>
      <c r="I144" s="73" t="n"/>
      <c r="J144" s="75">
        <f>IF(B144="","",SUMIFS('Change Orders'!$J$7:$J$1006,'Change Orders'!$E$7:$E$1006,B144,'Change Orders'!$L$7:$L$1006,"Approved"))</f>
        <v/>
      </c>
      <c r="K144" s="76">
        <f>IF(B144="","",I144+J144)</f>
        <v/>
      </c>
      <c r="L144" s="74" t="n"/>
      <c r="M144" s="109" t="n"/>
      <c r="N144" s="109" t="n"/>
      <c r="O144" s="74" t="n"/>
      <c r="P144" s="74" t="n"/>
      <c r="Q144" s="100" t="n"/>
      <c r="R144" s="110" t="n"/>
      <c r="S144" s="75">
        <f>IF(B144="","",SUMIFS('Payments'!$N$6:$N$1005,'Payments'!$B$6:$B$1005,B144))</f>
        <v/>
      </c>
      <c r="T144" s="111">
        <f>IF(OR(B144="",K144=0),"",S144/K144)</f>
        <v/>
      </c>
      <c r="U144" s="78">
        <f>IF(V144="","",IF(V144=2,"⚠️ Paying ahead of work","✓ OK"))</f>
        <v/>
      </c>
      <c r="V144" s="79">
        <f>IF(T144="","",IF(T144-R144&gt;OverpayTol,2,0))</f>
        <v/>
      </c>
      <c r="W144" s="112">
        <f>IF(V144=2,AsOf,"")</f>
        <v/>
      </c>
      <c r="X144" s="79">
        <f>IF(W144="","",1)</f>
        <v/>
      </c>
      <c r="Y144" s="79">
        <f>IF(X144="","","Paying ahead of work: "&amp;B144&amp;" — paid "&amp;ROUND(T144*100,0)&amp;"%, work done "&amp;ROUND(R144*100,0)&amp;"%")</f>
        <v/>
      </c>
      <c r="AA144" s="72" t="n"/>
      <c r="AB144" s="109" t="n"/>
      <c r="AC144" s="113" t="n"/>
      <c r="AD144" s="74" t="n"/>
      <c r="AE144" s="109" t="n"/>
      <c r="AF144" s="74" t="n"/>
      <c r="AG144" s="112">
        <f>IF(AND(AA144&lt;&gt;"",AD144="Yes",AF144&lt;&gt;"Yes",AE144&lt;&gt;""),AE144,"")</f>
        <v/>
      </c>
      <c r="AH144" s="79">
        <f>IF(AG144="","",IF(AG144&lt;AsOf,1,IF(AG144&lt;=AsOf+AlertDays,2,IF(AG144&lt;=AsOf+2*AlertDays,3,""))))</f>
        <v/>
      </c>
      <c r="AI144" s="79">
        <f>IF(AH144="","","Follow up with "&amp;AA144&amp;": "&amp;AC144)</f>
        <v/>
      </c>
    </row>
    <row r="145" ht="20" customHeight="1">
      <c r="B145" s="72" t="n"/>
      <c r="C145" s="72" t="n"/>
      <c r="D145" s="72" t="n"/>
      <c r="E145" s="72" t="n"/>
      <c r="F145" s="72" t="n"/>
      <c r="G145" s="72" t="n"/>
      <c r="H145" s="72" t="n"/>
      <c r="I145" s="73" t="n"/>
      <c r="J145" s="75">
        <f>IF(B145="","",SUMIFS('Change Orders'!$J$7:$J$1006,'Change Orders'!$E$7:$E$1006,B145,'Change Orders'!$L$7:$L$1006,"Approved"))</f>
        <v/>
      </c>
      <c r="K145" s="76">
        <f>IF(B145="","",I145+J145)</f>
        <v/>
      </c>
      <c r="L145" s="74" t="n"/>
      <c r="M145" s="109" t="n"/>
      <c r="N145" s="109" t="n"/>
      <c r="O145" s="74" t="n"/>
      <c r="P145" s="74" t="n"/>
      <c r="Q145" s="100" t="n"/>
      <c r="R145" s="110" t="n"/>
      <c r="S145" s="75">
        <f>IF(B145="","",SUMIFS('Payments'!$N$6:$N$1005,'Payments'!$B$6:$B$1005,B145))</f>
        <v/>
      </c>
      <c r="T145" s="111">
        <f>IF(OR(B145="",K145=0),"",S145/K145)</f>
        <v/>
      </c>
      <c r="U145" s="78">
        <f>IF(V145="","",IF(V145=2,"⚠️ Paying ahead of work","✓ OK"))</f>
        <v/>
      </c>
      <c r="V145" s="79">
        <f>IF(T145="","",IF(T145-R145&gt;OverpayTol,2,0))</f>
        <v/>
      </c>
      <c r="W145" s="112">
        <f>IF(V145=2,AsOf,"")</f>
        <v/>
      </c>
      <c r="X145" s="79">
        <f>IF(W145="","",1)</f>
        <v/>
      </c>
      <c r="Y145" s="79">
        <f>IF(X145="","","Paying ahead of work: "&amp;B145&amp;" — paid "&amp;ROUND(T145*100,0)&amp;"%, work done "&amp;ROUND(R145*100,0)&amp;"%")</f>
        <v/>
      </c>
      <c r="AA145" s="72" t="n"/>
      <c r="AB145" s="109" t="n"/>
      <c r="AC145" s="113" t="n"/>
      <c r="AD145" s="74" t="n"/>
      <c r="AE145" s="109" t="n"/>
      <c r="AF145" s="74" t="n"/>
      <c r="AG145" s="112">
        <f>IF(AND(AA145&lt;&gt;"",AD145="Yes",AF145&lt;&gt;"Yes",AE145&lt;&gt;""),AE145,"")</f>
        <v/>
      </c>
      <c r="AH145" s="79">
        <f>IF(AG145="","",IF(AG145&lt;AsOf,1,IF(AG145&lt;=AsOf+AlertDays,2,IF(AG145&lt;=AsOf+2*AlertDays,3,""))))</f>
        <v/>
      </c>
      <c r="AI145" s="79">
        <f>IF(AH145="","","Follow up with "&amp;AA145&amp;": "&amp;AC145)</f>
        <v/>
      </c>
    </row>
    <row r="146" ht="20" customHeight="1">
      <c r="B146" s="72" t="n"/>
      <c r="C146" s="72" t="n"/>
      <c r="D146" s="72" t="n"/>
      <c r="E146" s="72" t="n"/>
      <c r="F146" s="72" t="n"/>
      <c r="G146" s="72" t="n"/>
      <c r="H146" s="72" t="n"/>
      <c r="I146" s="73" t="n"/>
      <c r="J146" s="75">
        <f>IF(B146="","",SUMIFS('Change Orders'!$J$7:$J$1006,'Change Orders'!$E$7:$E$1006,B146,'Change Orders'!$L$7:$L$1006,"Approved"))</f>
        <v/>
      </c>
      <c r="K146" s="76">
        <f>IF(B146="","",I146+J146)</f>
        <v/>
      </c>
      <c r="L146" s="74" t="n"/>
      <c r="M146" s="109" t="n"/>
      <c r="N146" s="109" t="n"/>
      <c r="O146" s="74" t="n"/>
      <c r="P146" s="74" t="n"/>
      <c r="Q146" s="100" t="n"/>
      <c r="R146" s="110" t="n"/>
      <c r="S146" s="75">
        <f>IF(B146="","",SUMIFS('Payments'!$N$6:$N$1005,'Payments'!$B$6:$B$1005,B146))</f>
        <v/>
      </c>
      <c r="T146" s="111">
        <f>IF(OR(B146="",K146=0),"",S146/K146)</f>
        <v/>
      </c>
      <c r="U146" s="78">
        <f>IF(V146="","",IF(V146=2,"⚠️ Paying ahead of work","✓ OK"))</f>
        <v/>
      </c>
      <c r="V146" s="79">
        <f>IF(T146="","",IF(T146-R146&gt;OverpayTol,2,0))</f>
        <v/>
      </c>
      <c r="W146" s="112">
        <f>IF(V146=2,AsOf,"")</f>
        <v/>
      </c>
      <c r="X146" s="79">
        <f>IF(W146="","",1)</f>
        <v/>
      </c>
      <c r="Y146" s="79">
        <f>IF(X146="","","Paying ahead of work: "&amp;B146&amp;" — paid "&amp;ROUND(T146*100,0)&amp;"%, work done "&amp;ROUND(R146*100,0)&amp;"%")</f>
        <v/>
      </c>
      <c r="AA146" s="72" t="n"/>
      <c r="AB146" s="109" t="n"/>
      <c r="AC146" s="113" t="n"/>
      <c r="AD146" s="74" t="n"/>
      <c r="AE146" s="109" t="n"/>
      <c r="AF146" s="74" t="n"/>
      <c r="AG146" s="112">
        <f>IF(AND(AA146&lt;&gt;"",AD146="Yes",AF146&lt;&gt;"Yes",AE146&lt;&gt;""),AE146,"")</f>
        <v/>
      </c>
      <c r="AH146" s="79">
        <f>IF(AG146="","",IF(AG146&lt;AsOf,1,IF(AG146&lt;=AsOf+AlertDays,2,IF(AG146&lt;=AsOf+2*AlertDays,3,""))))</f>
        <v/>
      </c>
      <c r="AI146" s="79">
        <f>IF(AH146="","","Follow up with "&amp;AA146&amp;": "&amp;AC146)</f>
        <v/>
      </c>
    </row>
    <row r="147" ht="20" customHeight="1">
      <c r="B147" s="72" t="n"/>
      <c r="C147" s="72" t="n"/>
      <c r="D147" s="72" t="n"/>
      <c r="E147" s="72" t="n"/>
      <c r="F147" s="72" t="n"/>
      <c r="G147" s="72" t="n"/>
      <c r="H147" s="72" t="n"/>
      <c r="I147" s="73" t="n"/>
      <c r="J147" s="75">
        <f>IF(B147="","",SUMIFS('Change Orders'!$J$7:$J$1006,'Change Orders'!$E$7:$E$1006,B147,'Change Orders'!$L$7:$L$1006,"Approved"))</f>
        <v/>
      </c>
      <c r="K147" s="76">
        <f>IF(B147="","",I147+J147)</f>
        <v/>
      </c>
      <c r="L147" s="74" t="n"/>
      <c r="M147" s="109" t="n"/>
      <c r="N147" s="109" t="n"/>
      <c r="O147" s="74" t="n"/>
      <c r="P147" s="74" t="n"/>
      <c r="Q147" s="100" t="n"/>
      <c r="R147" s="110" t="n"/>
      <c r="S147" s="75">
        <f>IF(B147="","",SUMIFS('Payments'!$N$6:$N$1005,'Payments'!$B$6:$B$1005,B147))</f>
        <v/>
      </c>
      <c r="T147" s="111">
        <f>IF(OR(B147="",K147=0),"",S147/K147)</f>
        <v/>
      </c>
      <c r="U147" s="78">
        <f>IF(V147="","",IF(V147=2,"⚠️ Paying ahead of work","✓ OK"))</f>
        <v/>
      </c>
      <c r="V147" s="79">
        <f>IF(T147="","",IF(T147-R147&gt;OverpayTol,2,0))</f>
        <v/>
      </c>
      <c r="W147" s="112">
        <f>IF(V147=2,AsOf,"")</f>
        <v/>
      </c>
      <c r="X147" s="79">
        <f>IF(W147="","",1)</f>
        <v/>
      </c>
      <c r="Y147" s="79">
        <f>IF(X147="","","Paying ahead of work: "&amp;B147&amp;" — paid "&amp;ROUND(T147*100,0)&amp;"%, work done "&amp;ROUND(R147*100,0)&amp;"%")</f>
        <v/>
      </c>
      <c r="AA147" s="72" t="n"/>
      <c r="AB147" s="109" t="n"/>
      <c r="AC147" s="113" t="n"/>
      <c r="AD147" s="74" t="n"/>
      <c r="AE147" s="109" t="n"/>
      <c r="AF147" s="74" t="n"/>
      <c r="AG147" s="112">
        <f>IF(AND(AA147&lt;&gt;"",AD147="Yes",AF147&lt;&gt;"Yes",AE147&lt;&gt;""),AE147,"")</f>
        <v/>
      </c>
      <c r="AH147" s="79">
        <f>IF(AG147="","",IF(AG147&lt;AsOf,1,IF(AG147&lt;=AsOf+AlertDays,2,IF(AG147&lt;=AsOf+2*AlertDays,3,""))))</f>
        <v/>
      </c>
      <c r="AI147" s="79">
        <f>IF(AH147="","","Follow up with "&amp;AA147&amp;": "&amp;AC147)</f>
        <v/>
      </c>
    </row>
    <row r="148" ht="20" customHeight="1">
      <c r="B148" s="72" t="n"/>
      <c r="C148" s="72" t="n"/>
      <c r="D148" s="72" t="n"/>
      <c r="E148" s="72" t="n"/>
      <c r="F148" s="72" t="n"/>
      <c r="G148" s="72" t="n"/>
      <c r="H148" s="72" t="n"/>
      <c r="I148" s="73" t="n"/>
      <c r="J148" s="75">
        <f>IF(B148="","",SUMIFS('Change Orders'!$J$7:$J$1006,'Change Orders'!$E$7:$E$1006,B148,'Change Orders'!$L$7:$L$1006,"Approved"))</f>
        <v/>
      </c>
      <c r="K148" s="76">
        <f>IF(B148="","",I148+J148)</f>
        <v/>
      </c>
      <c r="L148" s="74" t="n"/>
      <c r="M148" s="109" t="n"/>
      <c r="N148" s="109" t="n"/>
      <c r="O148" s="74" t="n"/>
      <c r="P148" s="74" t="n"/>
      <c r="Q148" s="100" t="n"/>
      <c r="R148" s="110" t="n"/>
      <c r="S148" s="75">
        <f>IF(B148="","",SUMIFS('Payments'!$N$6:$N$1005,'Payments'!$B$6:$B$1005,B148))</f>
        <v/>
      </c>
      <c r="T148" s="111">
        <f>IF(OR(B148="",K148=0),"",S148/K148)</f>
        <v/>
      </c>
      <c r="U148" s="78">
        <f>IF(V148="","",IF(V148=2,"⚠️ Paying ahead of work","✓ OK"))</f>
        <v/>
      </c>
      <c r="V148" s="79">
        <f>IF(T148="","",IF(T148-R148&gt;OverpayTol,2,0))</f>
        <v/>
      </c>
      <c r="W148" s="112">
        <f>IF(V148=2,AsOf,"")</f>
        <v/>
      </c>
      <c r="X148" s="79">
        <f>IF(W148="","",1)</f>
        <v/>
      </c>
      <c r="Y148" s="79">
        <f>IF(X148="","","Paying ahead of work: "&amp;B148&amp;" — paid "&amp;ROUND(T148*100,0)&amp;"%, work done "&amp;ROUND(R148*100,0)&amp;"%")</f>
        <v/>
      </c>
      <c r="AA148" s="72" t="n"/>
      <c r="AB148" s="109" t="n"/>
      <c r="AC148" s="113" t="n"/>
      <c r="AD148" s="74" t="n"/>
      <c r="AE148" s="109" t="n"/>
      <c r="AF148" s="74" t="n"/>
      <c r="AG148" s="112">
        <f>IF(AND(AA148&lt;&gt;"",AD148="Yes",AF148&lt;&gt;"Yes",AE148&lt;&gt;""),AE148,"")</f>
        <v/>
      </c>
      <c r="AH148" s="79">
        <f>IF(AG148="","",IF(AG148&lt;AsOf,1,IF(AG148&lt;=AsOf+AlertDays,2,IF(AG148&lt;=AsOf+2*AlertDays,3,""))))</f>
        <v/>
      </c>
      <c r="AI148" s="79">
        <f>IF(AH148="","","Follow up with "&amp;AA148&amp;": "&amp;AC148)</f>
        <v/>
      </c>
    </row>
    <row r="149" ht="20" customHeight="1">
      <c r="B149" s="72" t="n"/>
      <c r="C149" s="72" t="n"/>
      <c r="D149" s="72" t="n"/>
      <c r="E149" s="72" t="n"/>
      <c r="F149" s="72" t="n"/>
      <c r="G149" s="72" t="n"/>
      <c r="H149" s="72" t="n"/>
      <c r="I149" s="73" t="n"/>
      <c r="J149" s="75">
        <f>IF(B149="","",SUMIFS('Change Orders'!$J$7:$J$1006,'Change Orders'!$E$7:$E$1006,B149,'Change Orders'!$L$7:$L$1006,"Approved"))</f>
        <v/>
      </c>
      <c r="K149" s="76">
        <f>IF(B149="","",I149+J149)</f>
        <v/>
      </c>
      <c r="L149" s="74" t="n"/>
      <c r="M149" s="109" t="n"/>
      <c r="N149" s="109" t="n"/>
      <c r="O149" s="74" t="n"/>
      <c r="P149" s="74" t="n"/>
      <c r="Q149" s="100" t="n"/>
      <c r="R149" s="110" t="n"/>
      <c r="S149" s="75">
        <f>IF(B149="","",SUMIFS('Payments'!$N$6:$N$1005,'Payments'!$B$6:$B$1005,B149))</f>
        <v/>
      </c>
      <c r="T149" s="111">
        <f>IF(OR(B149="",K149=0),"",S149/K149)</f>
        <v/>
      </c>
      <c r="U149" s="78">
        <f>IF(V149="","",IF(V149=2,"⚠️ Paying ahead of work","✓ OK"))</f>
        <v/>
      </c>
      <c r="V149" s="79">
        <f>IF(T149="","",IF(T149-R149&gt;OverpayTol,2,0))</f>
        <v/>
      </c>
      <c r="W149" s="112">
        <f>IF(V149=2,AsOf,"")</f>
        <v/>
      </c>
      <c r="X149" s="79">
        <f>IF(W149="","",1)</f>
        <v/>
      </c>
      <c r="Y149" s="79">
        <f>IF(X149="","","Paying ahead of work: "&amp;B149&amp;" — paid "&amp;ROUND(T149*100,0)&amp;"%, work done "&amp;ROUND(R149*100,0)&amp;"%")</f>
        <v/>
      </c>
      <c r="AA149" s="72" t="n"/>
      <c r="AB149" s="109" t="n"/>
      <c r="AC149" s="113" t="n"/>
      <c r="AD149" s="74" t="n"/>
      <c r="AE149" s="109" t="n"/>
      <c r="AF149" s="74" t="n"/>
      <c r="AG149" s="112">
        <f>IF(AND(AA149&lt;&gt;"",AD149="Yes",AF149&lt;&gt;"Yes",AE149&lt;&gt;""),AE149,"")</f>
        <v/>
      </c>
      <c r="AH149" s="79">
        <f>IF(AG149="","",IF(AG149&lt;AsOf,1,IF(AG149&lt;=AsOf+AlertDays,2,IF(AG149&lt;=AsOf+2*AlertDays,3,""))))</f>
        <v/>
      </c>
      <c r="AI149" s="79">
        <f>IF(AH149="","","Follow up with "&amp;AA149&amp;": "&amp;AC149)</f>
        <v/>
      </c>
    </row>
    <row r="150" ht="20" customHeight="1">
      <c r="B150" s="72" t="n"/>
      <c r="C150" s="72" t="n"/>
      <c r="D150" s="72" t="n"/>
      <c r="E150" s="72" t="n"/>
      <c r="F150" s="72" t="n"/>
      <c r="G150" s="72" t="n"/>
      <c r="H150" s="72" t="n"/>
      <c r="I150" s="73" t="n"/>
      <c r="J150" s="75">
        <f>IF(B150="","",SUMIFS('Change Orders'!$J$7:$J$1006,'Change Orders'!$E$7:$E$1006,B150,'Change Orders'!$L$7:$L$1006,"Approved"))</f>
        <v/>
      </c>
      <c r="K150" s="76">
        <f>IF(B150="","",I150+J150)</f>
        <v/>
      </c>
      <c r="L150" s="74" t="n"/>
      <c r="M150" s="109" t="n"/>
      <c r="N150" s="109" t="n"/>
      <c r="O150" s="74" t="n"/>
      <c r="P150" s="74" t="n"/>
      <c r="Q150" s="100" t="n"/>
      <c r="R150" s="110" t="n"/>
      <c r="S150" s="75">
        <f>IF(B150="","",SUMIFS('Payments'!$N$6:$N$1005,'Payments'!$B$6:$B$1005,B150))</f>
        <v/>
      </c>
      <c r="T150" s="111">
        <f>IF(OR(B150="",K150=0),"",S150/K150)</f>
        <v/>
      </c>
      <c r="U150" s="78">
        <f>IF(V150="","",IF(V150=2,"⚠️ Paying ahead of work","✓ OK"))</f>
        <v/>
      </c>
      <c r="V150" s="79">
        <f>IF(T150="","",IF(T150-R150&gt;OverpayTol,2,0))</f>
        <v/>
      </c>
      <c r="W150" s="112">
        <f>IF(V150=2,AsOf,"")</f>
        <v/>
      </c>
      <c r="X150" s="79">
        <f>IF(W150="","",1)</f>
        <v/>
      </c>
      <c r="Y150" s="79">
        <f>IF(X150="","","Paying ahead of work: "&amp;B150&amp;" — paid "&amp;ROUND(T150*100,0)&amp;"%, work done "&amp;ROUND(R150*100,0)&amp;"%")</f>
        <v/>
      </c>
      <c r="AA150" s="72" t="n"/>
      <c r="AB150" s="109" t="n"/>
      <c r="AC150" s="113" t="n"/>
      <c r="AD150" s="74" t="n"/>
      <c r="AE150" s="109" t="n"/>
      <c r="AF150" s="74" t="n"/>
      <c r="AG150" s="112">
        <f>IF(AND(AA150&lt;&gt;"",AD150="Yes",AF150&lt;&gt;"Yes",AE150&lt;&gt;""),AE150,"")</f>
        <v/>
      </c>
      <c r="AH150" s="79">
        <f>IF(AG150="","",IF(AG150&lt;AsOf,1,IF(AG150&lt;=AsOf+AlertDays,2,IF(AG150&lt;=AsOf+2*AlertDays,3,""))))</f>
        <v/>
      </c>
      <c r="AI150" s="79">
        <f>IF(AH150="","","Follow up with "&amp;AA150&amp;": "&amp;AC150)</f>
        <v/>
      </c>
    </row>
    <row r="151" ht="20" customHeight="1">
      <c r="B151" s="72" t="n"/>
      <c r="C151" s="72" t="n"/>
      <c r="D151" s="72" t="n"/>
      <c r="E151" s="72" t="n"/>
      <c r="F151" s="72" t="n"/>
      <c r="G151" s="72" t="n"/>
      <c r="H151" s="72" t="n"/>
      <c r="I151" s="73" t="n"/>
      <c r="J151" s="75">
        <f>IF(B151="","",SUMIFS('Change Orders'!$J$7:$J$1006,'Change Orders'!$E$7:$E$1006,B151,'Change Orders'!$L$7:$L$1006,"Approved"))</f>
        <v/>
      </c>
      <c r="K151" s="76">
        <f>IF(B151="","",I151+J151)</f>
        <v/>
      </c>
      <c r="L151" s="74" t="n"/>
      <c r="M151" s="109" t="n"/>
      <c r="N151" s="109" t="n"/>
      <c r="O151" s="74" t="n"/>
      <c r="P151" s="74" t="n"/>
      <c r="Q151" s="100" t="n"/>
      <c r="R151" s="110" t="n"/>
      <c r="S151" s="75">
        <f>IF(B151="","",SUMIFS('Payments'!$N$6:$N$1005,'Payments'!$B$6:$B$1005,B151))</f>
        <v/>
      </c>
      <c r="T151" s="111">
        <f>IF(OR(B151="",K151=0),"",S151/K151)</f>
        <v/>
      </c>
      <c r="U151" s="78">
        <f>IF(V151="","",IF(V151=2,"⚠️ Paying ahead of work","✓ OK"))</f>
        <v/>
      </c>
      <c r="V151" s="79">
        <f>IF(T151="","",IF(T151-R151&gt;OverpayTol,2,0))</f>
        <v/>
      </c>
      <c r="W151" s="112">
        <f>IF(V151=2,AsOf,"")</f>
        <v/>
      </c>
      <c r="X151" s="79">
        <f>IF(W151="","",1)</f>
        <v/>
      </c>
      <c r="Y151" s="79">
        <f>IF(X151="","","Paying ahead of work: "&amp;B151&amp;" — paid "&amp;ROUND(T151*100,0)&amp;"%, work done "&amp;ROUND(R151*100,0)&amp;"%")</f>
        <v/>
      </c>
      <c r="AA151" s="72" t="n"/>
      <c r="AB151" s="109" t="n"/>
      <c r="AC151" s="113" t="n"/>
      <c r="AD151" s="74" t="n"/>
      <c r="AE151" s="109" t="n"/>
      <c r="AF151" s="74" t="n"/>
      <c r="AG151" s="112">
        <f>IF(AND(AA151&lt;&gt;"",AD151="Yes",AF151&lt;&gt;"Yes",AE151&lt;&gt;""),AE151,"")</f>
        <v/>
      </c>
      <c r="AH151" s="79">
        <f>IF(AG151="","",IF(AG151&lt;AsOf,1,IF(AG151&lt;=AsOf+AlertDays,2,IF(AG151&lt;=AsOf+2*AlertDays,3,""))))</f>
        <v/>
      </c>
      <c r="AI151" s="79">
        <f>IF(AH151="","","Follow up with "&amp;AA151&amp;": "&amp;AC151)</f>
        <v/>
      </c>
    </row>
    <row r="152" ht="20" customHeight="1">
      <c r="B152" s="72" t="n"/>
      <c r="C152" s="72" t="n"/>
      <c r="D152" s="72" t="n"/>
      <c r="E152" s="72" t="n"/>
      <c r="F152" s="72" t="n"/>
      <c r="G152" s="72" t="n"/>
      <c r="H152" s="72" t="n"/>
      <c r="I152" s="73" t="n"/>
      <c r="J152" s="75">
        <f>IF(B152="","",SUMIFS('Change Orders'!$J$7:$J$1006,'Change Orders'!$E$7:$E$1006,B152,'Change Orders'!$L$7:$L$1006,"Approved"))</f>
        <v/>
      </c>
      <c r="K152" s="76">
        <f>IF(B152="","",I152+J152)</f>
        <v/>
      </c>
      <c r="L152" s="74" t="n"/>
      <c r="M152" s="109" t="n"/>
      <c r="N152" s="109" t="n"/>
      <c r="O152" s="74" t="n"/>
      <c r="P152" s="74" t="n"/>
      <c r="Q152" s="100" t="n"/>
      <c r="R152" s="110" t="n"/>
      <c r="S152" s="75">
        <f>IF(B152="","",SUMIFS('Payments'!$N$6:$N$1005,'Payments'!$B$6:$B$1005,B152))</f>
        <v/>
      </c>
      <c r="T152" s="111">
        <f>IF(OR(B152="",K152=0),"",S152/K152)</f>
        <v/>
      </c>
      <c r="U152" s="78">
        <f>IF(V152="","",IF(V152=2,"⚠️ Paying ahead of work","✓ OK"))</f>
        <v/>
      </c>
      <c r="V152" s="79">
        <f>IF(T152="","",IF(T152-R152&gt;OverpayTol,2,0))</f>
        <v/>
      </c>
      <c r="W152" s="112">
        <f>IF(V152=2,AsOf,"")</f>
        <v/>
      </c>
      <c r="X152" s="79">
        <f>IF(W152="","",1)</f>
        <v/>
      </c>
      <c r="Y152" s="79">
        <f>IF(X152="","","Paying ahead of work: "&amp;B152&amp;" — paid "&amp;ROUND(T152*100,0)&amp;"%, work done "&amp;ROUND(R152*100,0)&amp;"%")</f>
        <v/>
      </c>
      <c r="AA152" s="72" t="n"/>
      <c r="AB152" s="109" t="n"/>
      <c r="AC152" s="113" t="n"/>
      <c r="AD152" s="74" t="n"/>
      <c r="AE152" s="109" t="n"/>
      <c r="AF152" s="74" t="n"/>
      <c r="AG152" s="112">
        <f>IF(AND(AA152&lt;&gt;"",AD152="Yes",AF152&lt;&gt;"Yes",AE152&lt;&gt;""),AE152,"")</f>
        <v/>
      </c>
      <c r="AH152" s="79">
        <f>IF(AG152="","",IF(AG152&lt;AsOf,1,IF(AG152&lt;=AsOf+AlertDays,2,IF(AG152&lt;=AsOf+2*AlertDays,3,""))))</f>
        <v/>
      </c>
      <c r="AI152" s="79">
        <f>IF(AH152="","","Follow up with "&amp;AA152&amp;": "&amp;AC152)</f>
        <v/>
      </c>
    </row>
    <row r="153" ht="20" customHeight="1">
      <c r="B153" s="72" t="n"/>
      <c r="C153" s="72" t="n"/>
      <c r="D153" s="72" t="n"/>
      <c r="E153" s="72" t="n"/>
      <c r="F153" s="72" t="n"/>
      <c r="G153" s="72" t="n"/>
      <c r="H153" s="72" t="n"/>
      <c r="I153" s="73" t="n"/>
      <c r="J153" s="75">
        <f>IF(B153="","",SUMIFS('Change Orders'!$J$7:$J$1006,'Change Orders'!$E$7:$E$1006,B153,'Change Orders'!$L$7:$L$1006,"Approved"))</f>
        <v/>
      </c>
      <c r="K153" s="76">
        <f>IF(B153="","",I153+J153)</f>
        <v/>
      </c>
      <c r="L153" s="74" t="n"/>
      <c r="M153" s="109" t="n"/>
      <c r="N153" s="109" t="n"/>
      <c r="O153" s="74" t="n"/>
      <c r="P153" s="74" t="n"/>
      <c r="Q153" s="100" t="n"/>
      <c r="R153" s="110" t="n"/>
      <c r="S153" s="75">
        <f>IF(B153="","",SUMIFS('Payments'!$N$6:$N$1005,'Payments'!$B$6:$B$1005,B153))</f>
        <v/>
      </c>
      <c r="T153" s="111">
        <f>IF(OR(B153="",K153=0),"",S153/K153)</f>
        <v/>
      </c>
      <c r="U153" s="78">
        <f>IF(V153="","",IF(V153=2,"⚠️ Paying ahead of work","✓ OK"))</f>
        <v/>
      </c>
      <c r="V153" s="79">
        <f>IF(T153="","",IF(T153-R153&gt;OverpayTol,2,0))</f>
        <v/>
      </c>
      <c r="W153" s="112">
        <f>IF(V153=2,AsOf,"")</f>
        <v/>
      </c>
      <c r="X153" s="79">
        <f>IF(W153="","",1)</f>
        <v/>
      </c>
      <c r="Y153" s="79">
        <f>IF(X153="","","Paying ahead of work: "&amp;B153&amp;" — paid "&amp;ROUND(T153*100,0)&amp;"%, work done "&amp;ROUND(R153*100,0)&amp;"%")</f>
        <v/>
      </c>
      <c r="AA153" s="72" t="n"/>
      <c r="AB153" s="109" t="n"/>
      <c r="AC153" s="113" t="n"/>
      <c r="AD153" s="74" t="n"/>
      <c r="AE153" s="109" t="n"/>
      <c r="AF153" s="74" t="n"/>
      <c r="AG153" s="112">
        <f>IF(AND(AA153&lt;&gt;"",AD153="Yes",AF153&lt;&gt;"Yes",AE153&lt;&gt;""),AE153,"")</f>
        <v/>
      </c>
      <c r="AH153" s="79">
        <f>IF(AG153="","",IF(AG153&lt;AsOf,1,IF(AG153&lt;=AsOf+AlertDays,2,IF(AG153&lt;=AsOf+2*AlertDays,3,""))))</f>
        <v/>
      </c>
      <c r="AI153" s="79">
        <f>IF(AH153="","","Follow up with "&amp;AA153&amp;": "&amp;AC153)</f>
        <v/>
      </c>
    </row>
    <row r="154" ht="20" customHeight="1">
      <c r="B154" s="72" t="n"/>
      <c r="C154" s="72" t="n"/>
      <c r="D154" s="72" t="n"/>
      <c r="E154" s="72" t="n"/>
      <c r="F154" s="72" t="n"/>
      <c r="G154" s="72" t="n"/>
      <c r="H154" s="72" t="n"/>
      <c r="I154" s="73" t="n"/>
      <c r="J154" s="75">
        <f>IF(B154="","",SUMIFS('Change Orders'!$J$7:$J$1006,'Change Orders'!$E$7:$E$1006,B154,'Change Orders'!$L$7:$L$1006,"Approved"))</f>
        <v/>
      </c>
      <c r="K154" s="76">
        <f>IF(B154="","",I154+J154)</f>
        <v/>
      </c>
      <c r="L154" s="74" t="n"/>
      <c r="M154" s="109" t="n"/>
      <c r="N154" s="109" t="n"/>
      <c r="O154" s="74" t="n"/>
      <c r="P154" s="74" t="n"/>
      <c r="Q154" s="100" t="n"/>
      <c r="R154" s="110" t="n"/>
      <c r="S154" s="75">
        <f>IF(B154="","",SUMIFS('Payments'!$N$6:$N$1005,'Payments'!$B$6:$B$1005,B154))</f>
        <v/>
      </c>
      <c r="T154" s="111">
        <f>IF(OR(B154="",K154=0),"",S154/K154)</f>
        <v/>
      </c>
      <c r="U154" s="78">
        <f>IF(V154="","",IF(V154=2,"⚠️ Paying ahead of work","✓ OK"))</f>
        <v/>
      </c>
      <c r="V154" s="79">
        <f>IF(T154="","",IF(T154-R154&gt;OverpayTol,2,0))</f>
        <v/>
      </c>
      <c r="W154" s="112">
        <f>IF(V154=2,AsOf,"")</f>
        <v/>
      </c>
      <c r="X154" s="79">
        <f>IF(W154="","",1)</f>
        <v/>
      </c>
      <c r="Y154" s="79">
        <f>IF(X154="","","Paying ahead of work: "&amp;B154&amp;" — paid "&amp;ROUND(T154*100,0)&amp;"%, work done "&amp;ROUND(R154*100,0)&amp;"%")</f>
        <v/>
      </c>
      <c r="AA154" s="72" t="n"/>
      <c r="AB154" s="109" t="n"/>
      <c r="AC154" s="113" t="n"/>
      <c r="AD154" s="74" t="n"/>
      <c r="AE154" s="109" t="n"/>
      <c r="AF154" s="74" t="n"/>
      <c r="AG154" s="112">
        <f>IF(AND(AA154&lt;&gt;"",AD154="Yes",AF154&lt;&gt;"Yes",AE154&lt;&gt;""),AE154,"")</f>
        <v/>
      </c>
      <c r="AH154" s="79">
        <f>IF(AG154="","",IF(AG154&lt;AsOf,1,IF(AG154&lt;=AsOf+AlertDays,2,IF(AG154&lt;=AsOf+2*AlertDays,3,""))))</f>
        <v/>
      </c>
      <c r="AI154" s="79">
        <f>IF(AH154="","","Follow up with "&amp;AA154&amp;": "&amp;AC154)</f>
        <v/>
      </c>
    </row>
    <row r="155" ht="20" customHeight="1">
      <c r="B155" s="72" t="n"/>
      <c r="C155" s="72" t="n"/>
      <c r="D155" s="72" t="n"/>
      <c r="E155" s="72" t="n"/>
      <c r="F155" s="72" t="n"/>
      <c r="G155" s="72" t="n"/>
      <c r="H155" s="72" t="n"/>
      <c r="I155" s="73" t="n"/>
      <c r="J155" s="75">
        <f>IF(B155="","",SUMIFS('Change Orders'!$J$7:$J$1006,'Change Orders'!$E$7:$E$1006,B155,'Change Orders'!$L$7:$L$1006,"Approved"))</f>
        <v/>
      </c>
      <c r="K155" s="76">
        <f>IF(B155="","",I155+J155)</f>
        <v/>
      </c>
      <c r="L155" s="74" t="n"/>
      <c r="M155" s="109" t="n"/>
      <c r="N155" s="109" t="n"/>
      <c r="O155" s="74" t="n"/>
      <c r="P155" s="74" t="n"/>
      <c r="Q155" s="100" t="n"/>
      <c r="R155" s="110" t="n"/>
      <c r="S155" s="75">
        <f>IF(B155="","",SUMIFS('Payments'!$N$6:$N$1005,'Payments'!$B$6:$B$1005,B155))</f>
        <v/>
      </c>
      <c r="T155" s="111">
        <f>IF(OR(B155="",K155=0),"",S155/K155)</f>
        <v/>
      </c>
      <c r="U155" s="78">
        <f>IF(V155="","",IF(V155=2,"⚠️ Paying ahead of work","✓ OK"))</f>
        <v/>
      </c>
      <c r="V155" s="79">
        <f>IF(T155="","",IF(T155-R155&gt;OverpayTol,2,0))</f>
        <v/>
      </c>
      <c r="W155" s="112">
        <f>IF(V155=2,AsOf,"")</f>
        <v/>
      </c>
      <c r="X155" s="79">
        <f>IF(W155="","",1)</f>
        <v/>
      </c>
      <c r="Y155" s="79">
        <f>IF(X155="","","Paying ahead of work: "&amp;B155&amp;" — paid "&amp;ROUND(T155*100,0)&amp;"%, work done "&amp;ROUND(R155*100,0)&amp;"%")</f>
        <v/>
      </c>
      <c r="AA155" s="72" t="n"/>
      <c r="AB155" s="109" t="n"/>
      <c r="AC155" s="113" t="n"/>
      <c r="AD155" s="74" t="n"/>
      <c r="AE155" s="109" t="n"/>
      <c r="AF155" s="74" t="n"/>
      <c r="AG155" s="112">
        <f>IF(AND(AA155&lt;&gt;"",AD155="Yes",AF155&lt;&gt;"Yes",AE155&lt;&gt;""),AE155,"")</f>
        <v/>
      </c>
      <c r="AH155" s="79">
        <f>IF(AG155="","",IF(AG155&lt;AsOf,1,IF(AG155&lt;=AsOf+AlertDays,2,IF(AG155&lt;=AsOf+2*AlertDays,3,""))))</f>
        <v/>
      </c>
      <c r="AI155" s="79">
        <f>IF(AH155="","","Follow up with "&amp;AA155&amp;": "&amp;AC155)</f>
        <v/>
      </c>
    </row>
    <row r="156" ht="20" customHeight="1">
      <c r="B156" s="72" t="n"/>
      <c r="C156" s="72" t="n"/>
      <c r="D156" s="72" t="n"/>
      <c r="E156" s="72" t="n"/>
      <c r="F156" s="72" t="n"/>
      <c r="G156" s="72" t="n"/>
      <c r="H156" s="72" t="n"/>
      <c r="I156" s="73" t="n"/>
      <c r="J156" s="75">
        <f>IF(B156="","",SUMIFS('Change Orders'!$J$7:$J$1006,'Change Orders'!$E$7:$E$1006,B156,'Change Orders'!$L$7:$L$1006,"Approved"))</f>
        <v/>
      </c>
      <c r="K156" s="76">
        <f>IF(B156="","",I156+J156)</f>
        <v/>
      </c>
      <c r="L156" s="74" t="n"/>
      <c r="M156" s="109" t="n"/>
      <c r="N156" s="109" t="n"/>
      <c r="O156" s="74" t="n"/>
      <c r="P156" s="74" t="n"/>
      <c r="Q156" s="100" t="n"/>
      <c r="R156" s="110" t="n"/>
      <c r="S156" s="75">
        <f>IF(B156="","",SUMIFS('Payments'!$N$6:$N$1005,'Payments'!$B$6:$B$1005,B156))</f>
        <v/>
      </c>
      <c r="T156" s="111">
        <f>IF(OR(B156="",K156=0),"",S156/K156)</f>
        <v/>
      </c>
      <c r="U156" s="78">
        <f>IF(V156="","",IF(V156=2,"⚠️ Paying ahead of work","✓ OK"))</f>
        <v/>
      </c>
      <c r="V156" s="79">
        <f>IF(T156="","",IF(T156-R156&gt;OverpayTol,2,0))</f>
        <v/>
      </c>
      <c r="W156" s="112">
        <f>IF(V156=2,AsOf,"")</f>
        <v/>
      </c>
      <c r="X156" s="79">
        <f>IF(W156="","",1)</f>
        <v/>
      </c>
      <c r="Y156" s="79">
        <f>IF(X156="","","Paying ahead of work: "&amp;B156&amp;" — paid "&amp;ROUND(T156*100,0)&amp;"%, work done "&amp;ROUND(R156*100,0)&amp;"%")</f>
        <v/>
      </c>
      <c r="AA156" s="72" t="n"/>
      <c r="AB156" s="109" t="n"/>
      <c r="AC156" s="113" t="n"/>
      <c r="AD156" s="74" t="n"/>
      <c r="AE156" s="109" t="n"/>
      <c r="AF156" s="74" t="n"/>
      <c r="AG156" s="112">
        <f>IF(AND(AA156&lt;&gt;"",AD156="Yes",AF156&lt;&gt;"Yes",AE156&lt;&gt;""),AE156,"")</f>
        <v/>
      </c>
      <c r="AH156" s="79">
        <f>IF(AG156="","",IF(AG156&lt;AsOf,1,IF(AG156&lt;=AsOf+AlertDays,2,IF(AG156&lt;=AsOf+2*AlertDays,3,""))))</f>
        <v/>
      </c>
      <c r="AI156" s="79">
        <f>IF(AH156="","","Follow up with "&amp;AA156&amp;": "&amp;AC156)</f>
        <v/>
      </c>
    </row>
    <row r="157" ht="20" customHeight="1">
      <c r="B157" s="72" t="n"/>
      <c r="C157" s="72" t="n"/>
      <c r="D157" s="72" t="n"/>
      <c r="E157" s="72" t="n"/>
      <c r="F157" s="72" t="n"/>
      <c r="G157" s="72" t="n"/>
      <c r="H157" s="72" t="n"/>
      <c r="I157" s="73" t="n"/>
      <c r="J157" s="75">
        <f>IF(B157="","",SUMIFS('Change Orders'!$J$7:$J$1006,'Change Orders'!$E$7:$E$1006,B157,'Change Orders'!$L$7:$L$1006,"Approved"))</f>
        <v/>
      </c>
      <c r="K157" s="76">
        <f>IF(B157="","",I157+J157)</f>
        <v/>
      </c>
      <c r="L157" s="74" t="n"/>
      <c r="M157" s="109" t="n"/>
      <c r="N157" s="109" t="n"/>
      <c r="O157" s="74" t="n"/>
      <c r="P157" s="74" t="n"/>
      <c r="Q157" s="100" t="n"/>
      <c r="R157" s="110" t="n"/>
      <c r="S157" s="75">
        <f>IF(B157="","",SUMIFS('Payments'!$N$6:$N$1005,'Payments'!$B$6:$B$1005,B157))</f>
        <v/>
      </c>
      <c r="T157" s="111">
        <f>IF(OR(B157="",K157=0),"",S157/K157)</f>
        <v/>
      </c>
      <c r="U157" s="78">
        <f>IF(V157="","",IF(V157=2,"⚠️ Paying ahead of work","✓ OK"))</f>
        <v/>
      </c>
      <c r="V157" s="79">
        <f>IF(T157="","",IF(T157-R157&gt;OverpayTol,2,0))</f>
        <v/>
      </c>
      <c r="W157" s="112">
        <f>IF(V157=2,AsOf,"")</f>
        <v/>
      </c>
      <c r="X157" s="79">
        <f>IF(W157="","",1)</f>
        <v/>
      </c>
      <c r="Y157" s="79">
        <f>IF(X157="","","Paying ahead of work: "&amp;B157&amp;" — paid "&amp;ROUND(T157*100,0)&amp;"%, work done "&amp;ROUND(R157*100,0)&amp;"%")</f>
        <v/>
      </c>
      <c r="AA157" s="72" t="n"/>
      <c r="AB157" s="109" t="n"/>
      <c r="AC157" s="113" t="n"/>
      <c r="AD157" s="74" t="n"/>
      <c r="AE157" s="109" t="n"/>
      <c r="AF157" s="74" t="n"/>
      <c r="AG157" s="112">
        <f>IF(AND(AA157&lt;&gt;"",AD157="Yes",AF157&lt;&gt;"Yes",AE157&lt;&gt;""),AE157,"")</f>
        <v/>
      </c>
      <c r="AH157" s="79">
        <f>IF(AG157="","",IF(AG157&lt;AsOf,1,IF(AG157&lt;=AsOf+AlertDays,2,IF(AG157&lt;=AsOf+2*AlertDays,3,""))))</f>
        <v/>
      </c>
      <c r="AI157" s="79">
        <f>IF(AH157="","","Follow up with "&amp;AA157&amp;": "&amp;AC157)</f>
        <v/>
      </c>
    </row>
    <row r="158" ht="20" customHeight="1">
      <c r="B158" s="72" t="n"/>
      <c r="C158" s="72" t="n"/>
      <c r="D158" s="72" t="n"/>
      <c r="E158" s="72" t="n"/>
      <c r="F158" s="72" t="n"/>
      <c r="G158" s="72" t="n"/>
      <c r="H158" s="72" t="n"/>
      <c r="I158" s="73" t="n"/>
      <c r="J158" s="75">
        <f>IF(B158="","",SUMIFS('Change Orders'!$J$7:$J$1006,'Change Orders'!$E$7:$E$1006,B158,'Change Orders'!$L$7:$L$1006,"Approved"))</f>
        <v/>
      </c>
      <c r="K158" s="76">
        <f>IF(B158="","",I158+J158)</f>
        <v/>
      </c>
      <c r="L158" s="74" t="n"/>
      <c r="M158" s="109" t="n"/>
      <c r="N158" s="109" t="n"/>
      <c r="O158" s="74" t="n"/>
      <c r="P158" s="74" t="n"/>
      <c r="Q158" s="100" t="n"/>
      <c r="R158" s="110" t="n"/>
      <c r="S158" s="75">
        <f>IF(B158="","",SUMIFS('Payments'!$N$6:$N$1005,'Payments'!$B$6:$B$1005,B158))</f>
        <v/>
      </c>
      <c r="T158" s="111">
        <f>IF(OR(B158="",K158=0),"",S158/K158)</f>
        <v/>
      </c>
      <c r="U158" s="78">
        <f>IF(V158="","",IF(V158=2,"⚠️ Paying ahead of work","✓ OK"))</f>
        <v/>
      </c>
      <c r="V158" s="79">
        <f>IF(T158="","",IF(T158-R158&gt;OverpayTol,2,0))</f>
        <v/>
      </c>
      <c r="W158" s="112">
        <f>IF(V158=2,AsOf,"")</f>
        <v/>
      </c>
      <c r="X158" s="79">
        <f>IF(W158="","",1)</f>
        <v/>
      </c>
      <c r="Y158" s="79">
        <f>IF(X158="","","Paying ahead of work: "&amp;B158&amp;" — paid "&amp;ROUND(T158*100,0)&amp;"%, work done "&amp;ROUND(R158*100,0)&amp;"%")</f>
        <v/>
      </c>
      <c r="AA158" s="72" t="n"/>
      <c r="AB158" s="109" t="n"/>
      <c r="AC158" s="113" t="n"/>
      <c r="AD158" s="74" t="n"/>
      <c r="AE158" s="109" t="n"/>
      <c r="AF158" s="74" t="n"/>
      <c r="AG158" s="112">
        <f>IF(AND(AA158&lt;&gt;"",AD158="Yes",AF158&lt;&gt;"Yes",AE158&lt;&gt;""),AE158,"")</f>
        <v/>
      </c>
      <c r="AH158" s="79">
        <f>IF(AG158="","",IF(AG158&lt;AsOf,1,IF(AG158&lt;=AsOf+AlertDays,2,IF(AG158&lt;=AsOf+2*AlertDays,3,""))))</f>
        <v/>
      </c>
      <c r="AI158" s="79">
        <f>IF(AH158="","","Follow up with "&amp;AA158&amp;": "&amp;AC158)</f>
        <v/>
      </c>
    </row>
    <row r="159" ht="20" customHeight="1">
      <c r="B159" s="72" t="n"/>
      <c r="C159" s="72" t="n"/>
      <c r="D159" s="72" t="n"/>
      <c r="E159" s="72" t="n"/>
      <c r="F159" s="72" t="n"/>
      <c r="G159" s="72" t="n"/>
      <c r="H159" s="72" t="n"/>
      <c r="I159" s="73" t="n"/>
      <c r="J159" s="75">
        <f>IF(B159="","",SUMIFS('Change Orders'!$J$7:$J$1006,'Change Orders'!$E$7:$E$1006,B159,'Change Orders'!$L$7:$L$1006,"Approved"))</f>
        <v/>
      </c>
      <c r="K159" s="76">
        <f>IF(B159="","",I159+J159)</f>
        <v/>
      </c>
      <c r="L159" s="74" t="n"/>
      <c r="M159" s="109" t="n"/>
      <c r="N159" s="109" t="n"/>
      <c r="O159" s="74" t="n"/>
      <c r="P159" s="74" t="n"/>
      <c r="Q159" s="100" t="n"/>
      <c r="R159" s="110" t="n"/>
      <c r="S159" s="75">
        <f>IF(B159="","",SUMIFS('Payments'!$N$6:$N$1005,'Payments'!$B$6:$B$1005,B159))</f>
        <v/>
      </c>
      <c r="T159" s="111">
        <f>IF(OR(B159="",K159=0),"",S159/K159)</f>
        <v/>
      </c>
      <c r="U159" s="78">
        <f>IF(V159="","",IF(V159=2,"⚠️ Paying ahead of work","✓ OK"))</f>
        <v/>
      </c>
      <c r="V159" s="79">
        <f>IF(T159="","",IF(T159-R159&gt;OverpayTol,2,0))</f>
        <v/>
      </c>
      <c r="W159" s="112">
        <f>IF(V159=2,AsOf,"")</f>
        <v/>
      </c>
      <c r="X159" s="79">
        <f>IF(W159="","",1)</f>
        <v/>
      </c>
      <c r="Y159" s="79">
        <f>IF(X159="","","Paying ahead of work: "&amp;B159&amp;" — paid "&amp;ROUND(T159*100,0)&amp;"%, work done "&amp;ROUND(R159*100,0)&amp;"%")</f>
        <v/>
      </c>
      <c r="AA159" s="72" t="n"/>
      <c r="AB159" s="109" t="n"/>
      <c r="AC159" s="113" t="n"/>
      <c r="AD159" s="74" t="n"/>
      <c r="AE159" s="109" t="n"/>
      <c r="AF159" s="74" t="n"/>
      <c r="AG159" s="112">
        <f>IF(AND(AA159&lt;&gt;"",AD159="Yes",AF159&lt;&gt;"Yes",AE159&lt;&gt;""),AE159,"")</f>
        <v/>
      </c>
      <c r="AH159" s="79">
        <f>IF(AG159="","",IF(AG159&lt;AsOf,1,IF(AG159&lt;=AsOf+AlertDays,2,IF(AG159&lt;=AsOf+2*AlertDays,3,""))))</f>
        <v/>
      </c>
      <c r="AI159" s="79">
        <f>IF(AH159="","","Follow up with "&amp;AA159&amp;": "&amp;AC159)</f>
        <v/>
      </c>
    </row>
    <row r="160" ht="20" customHeight="1">
      <c r="B160" s="72" t="n"/>
      <c r="C160" s="72" t="n"/>
      <c r="D160" s="72" t="n"/>
      <c r="E160" s="72" t="n"/>
      <c r="F160" s="72" t="n"/>
      <c r="G160" s="72" t="n"/>
      <c r="H160" s="72" t="n"/>
      <c r="I160" s="73" t="n"/>
      <c r="J160" s="75">
        <f>IF(B160="","",SUMIFS('Change Orders'!$J$7:$J$1006,'Change Orders'!$E$7:$E$1006,B160,'Change Orders'!$L$7:$L$1006,"Approved"))</f>
        <v/>
      </c>
      <c r="K160" s="76">
        <f>IF(B160="","",I160+J160)</f>
        <v/>
      </c>
      <c r="L160" s="74" t="n"/>
      <c r="M160" s="109" t="n"/>
      <c r="N160" s="109" t="n"/>
      <c r="O160" s="74" t="n"/>
      <c r="P160" s="74" t="n"/>
      <c r="Q160" s="100" t="n"/>
      <c r="R160" s="110" t="n"/>
      <c r="S160" s="75">
        <f>IF(B160="","",SUMIFS('Payments'!$N$6:$N$1005,'Payments'!$B$6:$B$1005,B160))</f>
        <v/>
      </c>
      <c r="T160" s="111">
        <f>IF(OR(B160="",K160=0),"",S160/K160)</f>
        <v/>
      </c>
      <c r="U160" s="78">
        <f>IF(V160="","",IF(V160=2,"⚠️ Paying ahead of work","✓ OK"))</f>
        <v/>
      </c>
      <c r="V160" s="79">
        <f>IF(T160="","",IF(T160-R160&gt;OverpayTol,2,0))</f>
        <v/>
      </c>
      <c r="W160" s="112">
        <f>IF(V160=2,AsOf,"")</f>
        <v/>
      </c>
      <c r="X160" s="79">
        <f>IF(W160="","",1)</f>
        <v/>
      </c>
      <c r="Y160" s="79">
        <f>IF(X160="","","Paying ahead of work: "&amp;B160&amp;" — paid "&amp;ROUND(T160*100,0)&amp;"%, work done "&amp;ROUND(R160*100,0)&amp;"%")</f>
        <v/>
      </c>
      <c r="AA160" s="72" t="n"/>
      <c r="AB160" s="109" t="n"/>
      <c r="AC160" s="113" t="n"/>
      <c r="AD160" s="74" t="n"/>
      <c r="AE160" s="109" t="n"/>
      <c r="AF160" s="74" t="n"/>
      <c r="AG160" s="112">
        <f>IF(AND(AA160&lt;&gt;"",AD160="Yes",AF160&lt;&gt;"Yes",AE160&lt;&gt;""),AE160,"")</f>
        <v/>
      </c>
      <c r="AH160" s="79">
        <f>IF(AG160="","",IF(AG160&lt;AsOf,1,IF(AG160&lt;=AsOf+AlertDays,2,IF(AG160&lt;=AsOf+2*AlertDays,3,""))))</f>
        <v/>
      </c>
      <c r="AI160" s="79">
        <f>IF(AH160="","","Follow up with "&amp;AA160&amp;": "&amp;AC160)</f>
        <v/>
      </c>
    </row>
    <row r="161" ht="20" customHeight="1">
      <c r="B161" s="72" t="n"/>
      <c r="C161" s="72" t="n"/>
      <c r="D161" s="72" t="n"/>
      <c r="E161" s="72" t="n"/>
      <c r="F161" s="72" t="n"/>
      <c r="G161" s="72" t="n"/>
      <c r="H161" s="72" t="n"/>
      <c r="I161" s="73" t="n"/>
      <c r="J161" s="75">
        <f>IF(B161="","",SUMIFS('Change Orders'!$J$7:$J$1006,'Change Orders'!$E$7:$E$1006,B161,'Change Orders'!$L$7:$L$1006,"Approved"))</f>
        <v/>
      </c>
      <c r="K161" s="76">
        <f>IF(B161="","",I161+J161)</f>
        <v/>
      </c>
      <c r="L161" s="74" t="n"/>
      <c r="M161" s="109" t="n"/>
      <c r="N161" s="109" t="n"/>
      <c r="O161" s="74" t="n"/>
      <c r="P161" s="74" t="n"/>
      <c r="Q161" s="100" t="n"/>
      <c r="R161" s="110" t="n"/>
      <c r="S161" s="75">
        <f>IF(B161="","",SUMIFS('Payments'!$N$6:$N$1005,'Payments'!$B$6:$B$1005,B161))</f>
        <v/>
      </c>
      <c r="T161" s="111">
        <f>IF(OR(B161="",K161=0),"",S161/K161)</f>
        <v/>
      </c>
      <c r="U161" s="78">
        <f>IF(V161="","",IF(V161=2,"⚠️ Paying ahead of work","✓ OK"))</f>
        <v/>
      </c>
      <c r="V161" s="79">
        <f>IF(T161="","",IF(T161-R161&gt;OverpayTol,2,0))</f>
        <v/>
      </c>
      <c r="W161" s="112">
        <f>IF(V161=2,AsOf,"")</f>
        <v/>
      </c>
      <c r="X161" s="79">
        <f>IF(W161="","",1)</f>
        <v/>
      </c>
      <c r="Y161" s="79">
        <f>IF(X161="","","Paying ahead of work: "&amp;B161&amp;" — paid "&amp;ROUND(T161*100,0)&amp;"%, work done "&amp;ROUND(R161*100,0)&amp;"%")</f>
        <v/>
      </c>
      <c r="AA161" s="72" t="n"/>
      <c r="AB161" s="109" t="n"/>
      <c r="AC161" s="113" t="n"/>
      <c r="AD161" s="74" t="n"/>
      <c r="AE161" s="109" t="n"/>
      <c r="AF161" s="74" t="n"/>
      <c r="AG161" s="112">
        <f>IF(AND(AA161&lt;&gt;"",AD161="Yes",AF161&lt;&gt;"Yes",AE161&lt;&gt;""),AE161,"")</f>
        <v/>
      </c>
      <c r="AH161" s="79">
        <f>IF(AG161="","",IF(AG161&lt;AsOf,1,IF(AG161&lt;=AsOf+AlertDays,2,IF(AG161&lt;=AsOf+2*AlertDays,3,""))))</f>
        <v/>
      </c>
      <c r="AI161" s="79">
        <f>IF(AH161="","","Follow up with "&amp;AA161&amp;": "&amp;AC161)</f>
        <v/>
      </c>
    </row>
    <row r="162" ht="20" customHeight="1">
      <c r="B162" s="72" t="n"/>
      <c r="C162" s="72" t="n"/>
      <c r="D162" s="72" t="n"/>
      <c r="E162" s="72" t="n"/>
      <c r="F162" s="72" t="n"/>
      <c r="G162" s="72" t="n"/>
      <c r="H162" s="72" t="n"/>
      <c r="I162" s="73" t="n"/>
      <c r="J162" s="75">
        <f>IF(B162="","",SUMIFS('Change Orders'!$J$7:$J$1006,'Change Orders'!$E$7:$E$1006,B162,'Change Orders'!$L$7:$L$1006,"Approved"))</f>
        <v/>
      </c>
      <c r="K162" s="76">
        <f>IF(B162="","",I162+J162)</f>
        <v/>
      </c>
      <c r="L162" s="74" t="n"/>
      <c r="M162" s="109" t="n"/>
      <c r="N162" s="109" t="n"/>
      <c r="O162" s="74" t="n"/>
      <c r="P162" s="74" t="n"/>
      <c r="Q162" s="100" t="n"/>
      <c r="R162" s="110" t="n"/>
      <c r="S162" s="75">
        <f>IF(B162="","",SUMIFS('Payments'!$N$6:$N$1005,'Payments'!$B$6:$B$1005,B162))</f>
        <v/>
      </c>
      <c r="T162" s="111">
        <f>IF(OR(B162="",K162=0),"",S162/K162)</f>
        <v/>
      </c>
      <c r="U162" s="78">
        <f>IF(V162="","",IF(V162=2,"⚠️ Paying ahead of work","✓ OK"))</f>
        <v/>
      </c>
      <c r="V162" s="79">
        <f>IF(T162="","",IF(T162-R162&gt;OverpayTol,2,0))</f>
        <v/>
      </c>
      <c r="W162" s="112">
        <f>IF(V162=2,AsOf,"")</f>
        <v/>
      </c>
      <c r="X162" s="79">
        <f>IF(W162="","",1)</f>
        <v/>
      </c>
      <c r="Y162" s="79">
        <f>IF(X162="","","Paying ahead of work: "&amp;B162&amp;" — paid "&amp;ROUND(T162*100,0)&amp;"%, work done "&amp;ROUND(R162*100,0)&amp;"%")</f>
        <v/>
      </c>
      <c r="AA162" s="72" t="n"/>
      <c r="AB162" s="109" t="n"/>
      <c r="AC162" s="113" t="n"/>
      <c r="AD162" s="74" t="n"/>
      <c r="AE162" s="109" t="n"/>
      <c r="AF162" s="74" t="n"/>
      <c r="AG162" s="112">
        <f>IF(AND(AA162&lt;&gt;"",AD162="Yes",AF162&lt;&gt;"Yes",AE162&lt;&gt;""),AE162,"")</f>
        <v/>
      </c>
      <c r="AH162" s="79">
        <f>IF(AG162="","",IF(AG162&lt;AsOf,1,IF(AG162&lt;=AsOf+AlertDays,2,IF(AG162&lt;=AsOf+2*AlertDays,3,""))))</f>
        <v/>
      </c>
      <c r="AI162" s="79">
        <f>IF(AH162="","","Follow up with "&amp;AA162&amp;": "&amp;AC162)</f>
        <v/>
      </c>
    </row>
    <row r="163" ht="20" customHeight="1">
      <c r="B163" s="72" t="n"/>
      <c r="C163" s="72" t="n"/>
      <c r="D163" s="72" t="n"/>
      <c r="E163" s="72" t="n"/>
      <c r="F163" s="72" t="n"/>
      <c r="G163" s="72" t="n"/>
      <c r="H163" s="72" t="n"/>
      <c r="I163" s="73" t="n"/>
      <c r="J163" s="75">
        <f>IF(B163="","",SUMIFS('Change Orders'!$J$7:$J$1006,'Change Orders'!$E$7:$E$1006,B163,'Change Orders'!$L$7:$L$1006,"Approved"))</f>
        <v/>
      </c>
      <c r="K163" s="76">
        <f>IF(B163="","",I163+J163)</f>
        <v/>
      </c>
      <c r="L163" s="74" t="n"/>
      <c r="M163" s="109" t="n"/>
      <c r="N163" s="109" t="n"/>
      <c r="O163" s="74" t="n"/>
      <c r="P163" s="74" t="n"/>
      <c r="Q163" s="100" t="n"/>
      <c r="R163" s="110" t="n"/>
      <c r="S163" s="75">
        <f>IF(B163="","",SUMIFS('Payments'!$N$6:$N$1005,'Payments'!$B$6:$B$1005,B163))</f>
        <v/>
      </c>
      <c r="T163" s="111">
        <f>IF(OR(B163="",K163=0),"",S163/K163)</f>
        <v/>
      </c>
      <c r="U163" s="78">
        <f>IF(V163="","",IF(V163=2,"⚠️ Paying ahead of work","✓ OK"))</f>
        <v/>
      </c>
      <c r="V163" s="79">
        <f>IF(T163="","",IF(T163-R163&gt;OverpayTol,2,0))</f>
        <v/>
      </c>
      <c r="W163" s="112">
        <f>IF(V163=2,AsOf,"")</f>
        <v/>
      </c>
      <c r="X163" s="79">
        <f>IF(W163="","",1)</f>
        <v/>
      </c>
      <c r="Y163" s="79">
        <f>IF(X163="","","Paying ahead of work: "&amp;B163&amp;" — paid "&amp;ROUND(T163*100,0)&amp;"%, work done "&amp;ROUND(R163*100,0)&amp;"%")</f>
        <v/>
      </c>
      <c r="AA163" s="72" t="n"/>
      <c r="AB163" s="109" t="n"/>
      <c r="AC163" s="113" t="n"/>
      <c r="AD163" s="74" t="n"/>
      <c r="AE163" s="109" t="n"/>
      <c r="AF163" s="74" t="n"/>
      <c r="AG163" s="112">
        <f>IF(AND(AA163&lt;&gt;"",AD163="Yes",AF163&lt;&gt;"Yes",AE163&lt;&gt;""),AE163,"")</f>
        <v/>
      </c>
      <c r="AH163" s="79">
        <f>IF(AG163="","",IF(AG163&lt;AsOf,1,IF(AG163&lt;=AsOf+AlertDays,2,IF(AG163&lt;=AsOf+2*AlertDays,3,""))))</f>
        <v/>
      </c>
      <c r="AI163" s="79">
        <f>IF(AH163="","","Follow up with "&amp;AA163&amp;": "&amp;AC163)</f>
        <v/>
      </c>
    </row>
    <row r="164" ht="20" customHeight="1">
      <c r="B164" s="72" t="n"/>
      <c r="C164" s="72" t="n"/>
      <c r="D164" s="72" t="n"/>
      <c r="E164" s="72" t="n"/>
      <c r="F164" s="72" t="n"/>
      <c r="G164" s="72" t="n"/>
      <c r="H164" s="72" t="n"/>
      <c r="I164" s="73" t="n"/>
      <c r="J164" s="75">
        <f>IF(B164="","",SUMIFS('Change Orders'!$J$7:$J$1006,'Change Orders'!$E$7:$E$1006,B164,'Change Orders'!$L$7:$L$1006,"Approved"))</f>
        <v/>
      </c>
      <c r="K164" s="76">
        <f>IF(B164="","",I164+J164)</f>
        <v/>
      </c>
      <c r="L164" s="74" t="n"/>
      <c r="M164" s="109" t="n"/>
      <c r="N164" s="109" t="n"/>
      <c r="O164" s="74" t="n"/>
      <c r="P164" s="74" t="n"/>
      <c r="Q164" s="100" t="n"/>
      <c r="R164" s="110" t="n"/>
      <c r="S164" s="75">
        <f>IF(B164="","",SUMIFS('Payments'!$N$6:$N$1005,'Payments'!$B$6:$B$1005,B164))</f>
        <v/>
      </c>
      <c r="T164" s="111">
        <f>IF(OR(B164="",K164=0),"",S164/K164)</f>
        <v/>
      </c>
      <c r="U164" s="78">
        <f>IF(V164="","",IF(V164=2,"⚠️ Paying ahead of work","✓ OK"))</f>
        <v/>
      </c>
      <c r="V164" s="79">
        <f>IF(T164="","",IF(T164-R164&gt;OverpayTol,2,0))</f>
        <v/>
      </c>
      <c r="W164" s="112">
        <f>IF(V164=2,AsOf,"")</f>
        <v/>
      </c>
      <c r="X164" s="79">
        <f>IF(W164="","",1)</f>
        <v/>
      </c>
      <c r="Y164" s="79">
        <f>IF(X164="","","Paying ahead of work: "&amp;B164&amp;" — paid "&amp;ROUND(T164*100,0)&amp;"%, work done "&amp;ROUND(R164*100,0)&amp;"%")</f>
        <v/>
      </c>
      <c r="AA164" s="72" t="n"/>
      <c r="AB164" s="109" t="n"/>
      <c r="AC164" s="113" t="n"/>
      <c r="AD164" s="74" t="n"/>
      <c r="AE164" s="109" t="n"/>
      <c r="AF164" s="74" t="n"/>
      <c r="AG164" s="112">
        <f>IF(AND(AA164&lt;&gt;"",AD164="Yes",AF164&lt;&gt;"Yes",AE164&lt;&gt;""),AE164,"")</f>
        <v/>
      </c>
      <c r="AH164" s="79">
        <f>IF(AG164="","",IF(AG164&lt;AsOf,1,IF(AG164&lt;=AsOf+AlertDays,2,IF(AG164&lt;=AsOf+2*AlertDays,3,""))))</f>
        <v/>
      </c>
      <c r="AI164" s="79">
        <f>IF(AH164="","","Follow up with "&amp;AA164&amp;": "&amp;AC164)</f>
        <v/>
      </c>
    </row>
    <row r="165" ht="20" customHeight="1">
      <c r="B165" s="72" t="n"/>
      <c r="C165" s="72" t="n"/>
      <c r="D165" s="72" t="n"/>
      <c r="E165" s="72" t="n"/>
      <c r="F165" s="72" t="n"/>
      <c r="G165" s="72" t="n"/>
      <c r="H165" s="72" t="n"/>
      <c r="I165" s="73" t="n"/>
      <c r="J165" s="75">
        <f>IF(B165="","",SUMIFS('Change Orders'!$J$7:$J$1006,'Change Orders'!$E$7:$E$1006,B165,'Change Orders'!$L$7:$L$1006,"Approved"))</f>
        <v/>
      </c>
      <c r="K165" s="76">
        <f>IF(B165="","",I165+J165)</f>
        <v/>
      </c>
      <c r="L165" s="74" t="n"/>
      <c r="M165" s="109" t="n"/>
      <c r="N165" s="109" t="n"/>
      <c r="O165" s="74" t="n"/>
      <c r="P165" s="74" t="n"/>
      <c r="Q165" s="100" t="n"/>
      <c r="R165" s="110" t="n"/>
      <c r="S165" s="75">
        <f>IF(B165="","",SUMIFS('Payments'!$N$6:$N$1005,'Payments'!$B$6:$B$1005,B165))</f>
        <v/>
      </c>
      <c r="T165" s="111">
        <f>IF(OR(B165="",K165=0),"",S165/K165)</f>
        <v/>
      </c>
      <c r="U165" s="78">
        <f>IF(V165="","",IF(V165=2,"⚠️ Paying ahead of work","✓ OK"))</f>
        <v/>
      </c>
      <c r="V165" s="79">
        <f>IF(T165="","",IF(T165-R165&gt;OverpayTol,2,0))</f>
        <v/>
      </c>
      <c r="W165" s="112">
        <f>IF(V165=2,AsOf,"")</f>
        <v/>
      </c>
      <c r="X165" s="79">
        <f>IF(W165="","",1)</f>
        <v/>
      </c>
      <c r="Y165" s="79">
        <f>IF(X165="","","Paying ahead of work: "&amp;B165&amp;" — paid "&amp;ROUND(T165*100,0)&amp;"%, work done "&amp;ROUND(R165*100,0)&amp;"%")</f>
        <v/>
      </c>
      <c r="AA165" s="72" t="n"/>
      <c r="AB165" s="109" t="n"/>
      <c r="AC165" s="113" t="n"/>
      <c r="AD165" s="74" t="n"/>
      <c r="AE165" s="109" t="n"/>
      <c r="AF165" s="74" t="n"/>
      <c r="AG165" s="112">
        <f>IF(AND(AA165&lt;&gt;"",AD165="Yes",AF165&lt;&gt;"Yes",AE165&lt;&gt;""),AE165,"")</f>
        <v/>
      </c>
      <c r="AH165" s="79">
        <f>IF(AG165="","",IF(AG165&lt;AsOf,1,IF(AG165&lt;=AsOf+AlertDays,2,IF(AG165&lt;=AsOf+2*AlertDays,3,""))))</f>
        <v/>
      </c>
      <c r="AI165" s="79">
        <f>IF(AH165="","","Follow up with "&amp;AA165&amp;": "&amp;AC165)</f>
        <v/>
      </c>
    </row>
    <row r="166" ht="20" customHeight="1">
      <c r="B166" s="72" t="n"/>
      <c r="C166" s="72" t="n"/>
      <c r="D166" s="72" t="n"/>
      <c r="E166" s="72" t="n"/>
      <c r="F166" s="72" t="n"/>
      <c r="G166" s="72" t="n"/>
      <c r="H166" s="72" t="n"/>
      <c r="I166" s="73" t="n"/>
      <c r="J166" s="75">
        <f>IF(B166="","",SUMIFS('Change Orders'!$J$7:$J$1006,'Change Orders'!$E$7:$E$1006,B166,'Change Orders'!$L$7:$L$1006,"Approved"))</f>
        <v/>
      </c>
      <c r="K166" s="76">
        <f>IF(B166="","",I166+J166)</f>
        <v/>
      </c>
      <c r="L166" s="74" t="n"/>
      <c r="M166" s="109" t="n"/>
      <c r="N166" s="109" t="n"/>
      <c r="O166" s="74" t="n"/>
      <c r="P166" s="74" t="n"/>
      <c r="Q166" s="100" t="n"/>
      <c r="R166" s="110" t="n"/>
      <c r="S166" s="75">
        <f>IF(B166="","",SUMIFS('Payments'!$N$6:$N$1005,'Payments'!$B$6:$B$1005,B166))</f>
        <v/>
      </c>
      <c r="T166" s="111">
        <f>IF(OR(B166="",K166=0),"",S166/K166)</f>
        <v/>
      </c>
      <c r="U166" s="78">
        <f>IF(V166="","",IF(V166=2,"⚠️ Paying ahead of work","✓ OK"))</f>
        <v/>
      </c>
      <c r="V166" s="79">
        <f>IF(T166="","",IF(T166-R166&gt;OverpayTol,2,0))</f>
        <v/>
      </c>
      <c r="W166" s="112">
        <f>IF(V166=2,AsOf,"")</f>
        <v/>
      </c>
      <c r="X166" s="79">
        <f>IF(W166="","",1)</f>
        <v/>
      </c>
      <c r="Y166" s="79">
        <f>IF(X166="","","Paying ahead of work: "&amp;B166&amp;" — paid "&amp;ROUND(T166*100,0)&amp;"%, work done "&amp;ROUND(R166*100,0)&amp;"%")</f>
        <v/>
      </c>
      <c r="AA166" s="72" t="n"/>
      <c r="AB166" s="109" t="n"/>
      <c r="AC166" s="113" t="n"/>
      <c r="AD166" s="74" t="n"/>
      <c r="AE166" s="109" t="n"/>
      <c r="AF166" s="74" t="n"/>
      <c r="AG166" s="112">
        <f>IF(AND(AA166&lt;&gt;"",AD166="Yes",AF166&lt;&gt;"Yes",AE166&lt;&gt;""),AE166,"")</f>
        <v/>
      </c>
      <c r="AH166" s="79">
        <f>IF(AG166="","",IF(AG166&lt;AsOf,1,IF(AG166&lt;=AsOf+AlertDays,2,IF(AG166&lt;=AsOf+2*AlertDays,3,""))))</f>
        <v/>
      </c>
      <c r="AI166" s="79">
        <f>IF(AH166="","","Follow up with "&amp;AA166&amp;": "&amp;AC166)</f>
        <v/>
      </c>
    </row>
    <row r="167" ht="20" customHeight="1">
      <c r="B167" s="72" t="n"/>
      <c r="C167" s="72" t="n"/>
      <c r="D167" s="72" t="n"/>
      <c r="E167" s="72" t="n"/>
      <c r="F167" s="72" t="n"/>
      <c r="G167" s="72" t="n"/>
      <c r="H167" s="72" t="n"/>
      <c r="I167" s="73" t="n"/>
      <c r="J167" s="75">
        <f>IF(B167="","",SUMIFS('Change Orders'!$J$7:$J$1006,'Change Orders'!$E$7:$E$1006,B167,'Change Orders'!$L$7:$L$1006,"Approved"))</f>
        <v/>
      </c>
      <c r="K167" s="76">
        <f>IF(B167="","",I167+J167)</f>
        <v/>
      </c>
      <c r="L167" s="74" t="n"/>
      <c r="M167" s="109" t="n"/>
      <c r="N167" s="109" t="n"/>
      <c r="O167" s="74" t="n"/>
      <c r="P167" s="74" t="n"/>
      <c r="Q167" s="100" t="n"/>
      <c r="R167" s="110" t="n"/>
      <c r="S167" s="75">
        <f>IF(B167="","",SUMIFS('Payments'!$N$6:$N$1005,'Payments'!$B$6:$B$1005,B167))</f>
        <v/>
      </c>
      <c r="T167" s="111">
        <f>IF(OR(B167="",K167=0),"",S167/K167)</f>
        <v/>
      </c>
      <c r="U167" s="78">
        <f>IF(V167="","",IF(V167=2,"⚠️ Paying ahead of work","✓ OK"))</f>
        <v/>
      </c>
      <c r="V167" s="79">
        <f>IF(T167="","",IF(T167-R167&gt;OverpayTol,2,0))</f>
        <v/>
      </c>
      <c r="W167" s="112">
        <f>IF(V167=2,AsOf,"")</f>
        <v/>
      </c>
      <c r="X167" s="79">
        <f>IF(W167="","",1)</f>
        <v/>
      </c>
      <c r="Y167" s="79">
        <f>IF(X167="","","Paying ahead of work: "&amp;B167&amp;" — paid "&amp;ROUND(T167*100,0)&amp;"%, work done "&amp;ROUND(R167*100,0)&amp;"%")</f>
        <v/>
      </c>
      <c r="AA167" s="72" t="n"/>
      <c r="AB167" s="109" t="n"/>
      <c r="AC167" s="113" t="n"/>
      <c r="AD167" s="74" t="n"/>
      <c r="AE167" s="109" t="n"/>
      <c r="AF167" s="74" t="n"/>
      <c r="AG167" s="112">
        <f>IF(AND(AA167&lt;&gt;"",AD167="Yes",AF167&lt;&gt;"Yes",AE167&lt;&gt;""),AE167,"")</f>
        <v/>
      </c>
      <c r="AH167" s="79">
        <f>IF(AG167="","",IF(AG167&lt;AsOf,1,IF(AG167&lt;=AsOf+AlertDays,2,IF(AG167&lt;=AsOf+2*AlertDays,3,""))))</f>
        <v/>
      </c>
      <c r="AI167" s="79">
        <f>IF(AH167="","","Follow up with "&amp;AA167&amp;": "&amp;AC167)</f>
        <v/>
      </c>
    </row>
    <row r="168" ht="20" customHeight="1">
      <c r="B168" s="72" t="n"/>
      <c r="C168" s="72" t="n"/>
      <c r="D168" s="72" t="n"/>
      <c r="E168" s="72" t="n"/>
      <c r="F168" s="72" t="n"/>
      <c r="G168" s="72" t="n"/>
      <c r="H168" s="72" t="n"/>
      <c r="I168" s="73" t="n"/>
      <c r="J168" s="75">
        <f>IF(B168="","",SUMIFS('Change Orders'!$J$7:$J$1006,'Change Orders'!$E$7:$E$1006,B168,'Change Orders'!$L$7:$L$1006,"Approved"))</f>
        <v/>
      </c>
      <c r="K168" s="76">
        <f>IF(B168="","",I168+J168)</f>
        <v/>
      </c>
      <c r="L168" s="74" t="n"/>
      <c r="M168" s="109" t="n"/>
      <c r="N168" s="109" t="n"/>
      <c r="O168" s="74" t="n"/>
      <c r="P168" s="74" t="n"/>
      <c r="Q168" s="100" t="n"/>
      <c r="R168" s="110" t="n"/>
      <c r="S168" s="75">
        <f>IF(B168="","",SUMIFS('Payments'!$N$6:$N$1005,'Payments'!$B$6:$B$1005,B168))</f>
        <v/>
      </c>
      <c r="T168" s="111">
        <f>IF(OR(B168="",K168=0),"",S168/K168)</f>
        <v/>
      </c>
      <c r="U168" s="78">
        <f>IF(V168="","",IF(V168=2,"⚠️ Paying ahead of work","✓ OK"))</f>
        <v/>
      </c>
      <c r="V168" s="79">
        <f>IF(T168="","",IF(T168-R168&gt;OverpayTol,2,0))</f>
        <v/>
      </c>
      <c r="W168" s="112">
        <f>IF(V168=2,AsOf,"")</f>
        <v/>
      </c>
      <c r="X168" s="79">
        <f>IF(W168="","",1)</f>
        <v/>
      </c>
      <c r="Y168" s="79">
        <f>IF(X168="","","Paying ahead of work: "&amp;B168&amp;" — paid "&amp;ROUND(T168*100,0)&amp;"%, work done "&amp;ROUND(R168*100,0)&amp;"%")</f>
        <v/>
      </c>
      <c r="AA168" s="72" t="n"/>
      <c r="AB168" s="109" t="n"/>
      <c r="AC168" s="113" t="n"/>
      <c r="AD168" s="74" t="n"/>
      <c r="AE168" s="109" t="n"/>
      <c r="AF168" s="74" t="n"/>
      <c r="AG168" s="112">
        <f>IF(AND(AA168&lt;&gt;"",AD168="Yes",AF168&lt;&gt;"Yes",AE168&lt;&gt;""),AE168,"")</f>
        <v/>
      </c>
      <c r="AH168" s="79">
        <f>IF(AG168="","",IF(AG168&lt;AsOf,1,IF(AG168&lt;=AsOf+AlertDays,2,IF(AG168&lt;=AsOf+2*AlertDays,3,""))))</f>
        <v/>
      </c>
      <c r="AI168" s="79">
        <f>IF(AH168="","","Follow up with "&amp;AA168&amp;": "&amp;AC168)</f>
        <v/>
      </c>
    </row>
    <row r="169" ht="20" customHeight="1">
      <c r="B169" s="72" t="n"/>
      <c r="C169" s="72" t="n"/>
      <c r="D169" s="72" t="n"/>
      <c r="E169" s="72" t="n"/>
      <c r="F169" s="72" t="n"/>
      <c r="G169" s="72" t="n"/>
      <c r="H169" s="72" t="n"/>
      <c r="I169" s="73" t="n"/>
      <c r="J169" s="75">
        <f>IF(B169="","",SUMIFS('Change Orders'!$J$7:$J$1006,'Change Orders'!$E$7:$E$1006,B169,'Change Orders'!$L$7:$L$1006,"Approved"))</f>
        <v/>
      </c>
      <c r="K169" s="76">
        <f>IF(B169="","",I169+J169)</f>
        <v/>
      </c>
      <c r="L169" s="74" t="n"/>
      <c r="M169" s="109" t="n"/>
      <c r="N169" s="109" t="n"/>
      <c r="O169" s="74" t="n"/>
      <c r="P169" s="74" t="n"/>
      <c r="Q169" s="100" t="n"/>
      <c r="R169" s="110" t="n"/>
      <c r="S169" s="75">
        <f>IF(B169="","",SUMIFS('Payments'!$N$6:$N$1005,'Payments'!$B$6:$B$1005,B169))</f>
        <v/>
      </c>
      <c r="T169" s="111">
        <f>IF(OR(B169="",K169=0),"",S169/K169)</f>
        <v/>
      </c>
      <c r="U169" s="78">
        <f>IF(V169="","",IF(V169=2,"⚠️ Paying ahead of work","✓ OK"))</f>
        <v/>
      </c>
      <c r="V169" s="79">
        <f>IF(T169="","",IF(T169-R169&gt;OverpayTol,2,0))</f>
        <v/>
      </c>
      <c r="W169" s="112">
        <f>IF(V169=2,AsOf,"")</f>
        <v/>
      </c>
      <c r="X169" s="79">
        <f>IF(W169="","",1)</f>
        <v/>
      </c>
      <c r="Y169" s="79">
        <f>IF(X169="","","Paying ahead of work: "&amp;B169&amp;" — paid "&amp;ROUND(T169*100,0)&amp;"%, work done "&amp;ROUND(R169*100,0)&amp;"%")</f>
        <v/>
      </c>
      <c r="AA169" s="72" t="n"/>
      <c r="AB169" s="109" t="n"/>
      <c r="AC169" s="113" t="n"/>
      <c r="AD169" s="74" t="n"/>
      <c r="AE169" s="109" t="n"/>
      <c r="AF169" s="74" t="n"/>
      <c r="AG169" s="112">
        <f>IF(AND(AA169&lt;&gt;"",AD169="Yes",AF169&lt;&gt;"Yes",AE169&lt;&gt;""),AE169,"")</f>
        <v/>
      </c>
      <c r="AH169" s="79">
        <f>IF(AG169="","",IF(AG169&lt;AsOf,1,IF(AG169&lt;=AsOf+AlertDays,2,IF(AG169&lt;=AsOf+2*AlertDays,3,""))))</f>
        <v/>
      </c>
      <c r="AI169" s="79">
        <f>IF(AH169="","","Follow up with "&amp;AA169&amp;": "&amp;AC169)</f>
        <v/>
      </c>
    </row>
    <row r="170" ht="20" customHeight="1">
      <c r="B170" s="72" t="n"/>
      <c r="C170" s="72" t="n"/>
      <c r="D170" s="72" t="n"/>
      <c r="E170" s="72" t="n"/>
      <c r="F170" s="72" t="n"/>
      <c r="G170" s="72" t="n"/>
      <c r="H170" s="72" t="n"/>
      <c r="I170" s="73" t="n"/>
      <c r="J170" s="75">
        <f>IF(B170="","",SUMIFS('Change Orders'!$J$7:$J$1006,'Change Orders'!$E$7:$E$1006,B170,'Change Orders'!$L$7:$L$1006,"Approved"))</f>
        <v/>
      </c>
      <c r="K170" s="76">
        <f>IF(B170="","",I170+J170)</f>
        <v/>
      </c>
      <c r="L170" s="74" t="n"/>
      <c r="M170" s="109" t="n"/>
      <c r="N170" s="109" t="n"/>
      <c r="O170" s="74" t="n"/>
      <c r="P170" s="74" t="n"/>
      <c r="Q170" s="100" t="n"/>
      <c r="R170" s="110" t="n"/>
      <c r="S170" s="75">
        <f>IF(B170="","",SUMIFS('Payments'!$N$6:$N$1005,'Payments'!$B$6:$B$1005,B170))</f>
        <v/>
      </c>
      <c r="T170" s="111">
        <f>IF(OR(B170="",K170=0),"",S170/K170)</f>
        <v/>
      </c>
      <c r="U170" s="78">
        <f>IF(V170="","",IF(V170=2,"⚠️ Paying ahead of work","✓ OK"))</f>
        <v/>
      </c>
      <c r="V170" s="79">
        <f>IF(T170="","",IF(T170-R170&gt;OverpayTol,2,0))</f>
        <v/>
      </c>
      <c r="W170" s="112">
        <f>IF(V170=2,AsOf,"")</f>
        <v/>
      </c>
      <c r="X170" s="79">
        <f>IF(W170="","",1)</f>
        <v/>
      </c>
      <c r="Y170" s="79">
        <f>IF(X170="","","Paying ahead of work: "&amp;B170&amp;" — paid "&amp;ROUND(T170*100,0)&amp;"%, work done "&amp;ROUND(R170*100,0)&amp;"%")</f>
        <v/>
      </c>
      <c r="AA170" s="72" t="n"/>
      <c r="AB170" s="109" t="n"/>
      <c r="AC170" s="113" t="n"/>
      <c r="AD170" s="74" t="n"/>
      <c r="AE170" s="109" t="n"/>
      <c r="AF170" s="74" t="n"/>
      <c r="AG170" s="112">
        <f>IF(AND(AA170&lt;&gt;"",AD170="Yes",AF170&lt;&gt;"Yes",AE170&lt;&gt;""),AE170,"")</f>
        <v/>
      </c>
      <c r="AH170" s="79">
        <f>IF(AG170="","",IF(AG170&lt;AsOf,1,IF(AG170&lt;=AsOf+AlertDays,2,IF(AG170&lt;=AsOf+2*AlertDays,3,""))))</f>
        <v/>
      </c>
      <c r="AI170" s="79">
        <f>IF(AH170="","","Follow up with "&amp;AA170&amp;": "&amp;AC170)</f>
        <v/>
      </c>
    </row>
    <row r="171" ht="20" customHeight="1">
      <c r="B171" s="72" t="n"/>
      <c r="C171" s="72" t="n"/>
      <c r="D171" s="72" t="n"/>
      <c r="E171" s="72" t="n"/>
      <c r="F171" s="72" t="n"/>
      <c r="G171" s="72" t="n"/>
      <c r="H171" s="72" t="n"/>
      <c r="I171" s="73" t="n"/>
      <c r="J171" s="75">
        <f>IF(B171="","",SUMIFS('Change Orders'!$J$7:$J$1006,'Change Orders'!$E$7:$E$1006,B171,'Change Orders'!$L$7:$L$1006,"Approved"))</f>
        <v/>
      </c>
      <c r="K171" s="76">
        <f>IF(B171="","",I171+J171)</f>
        <v/>
      </c>
      <c r="L171" s="74" t="n"/>
      <c r="M171" s="109" t="n"/>
      <c r="N171" s="109" t="n"/>
      <c r="O171" s="74" t="n"/>
      <c r="P171" s="74" t="n"/>
      <c r="Q171" s="100" t="n"/>
      <c r="R171" s="110" t="n"/>
      <c r="S171" s="75">
        <f>IF(B171="","",SUMIFS('Payments'!$N$6:$N$1005,'Payments'!$B$6:$B$1005,B171))</f>
        <v/>
      </c>
      <c r="T171" s="111">
        <f>IF(OR(B171="",K171=0),"",S171/K171)</f>
        <v/>
      </c>
      <c r="U171" s="78">
        <f>IF(V171="","",IF(V171=2,"⚠️ Paying ahead of work","✓ OK"))</f>
        <v/>
      </c>
      <c r="V171" s="79">
        <f>IF(T171="","",IF(T171-R171&gt;OverpayTol,2,0))</f>
        <v/>
      </c>
      <c r="W171" s="112">
        <f>IF(V171=2,AsOf,"")</f>
        <v/>
      </c>
      <c r="X171" s="79">
        <f>IF(W171="","",1)</f>
        <v/>
      </c>
      <c r="Y171" s="79">
        <f>IF(X171="","","Paying ahead of work: "&amp;B171&amp;" — paid "&amp;ROUND(T171*100,0)&amp;"%, work done "&amp;ROUND(R171*100,0)&amp;"%")</f>
        <v/>
      </c>
      <c r="AA171" s="72" t="n"/>
      <c r="AB171" s="109" t="n"/>
      <c r="AC171" s="113" t="n"/>
      <c r="AD171" s="74" t="n"/>
      <c r="AE171" s="109" t="n"/>
      <c r="AF171" s="74" t="n"/>
      <c r="AG171" s="112">
        <f>IF(AND(AA171&lt;&gt;"",AD171="Yes",AF171&lt;&gt;"Yes",AE171&lt;&gt;""),AE171,"")</f>
        <v/>
      </c>
      <c r="AH171" s="79">
        <f>IF(AG171="","",IF(AG171&lt;AsOf,1,IF(AG171&lt;=AsOf+AlertDays,2,IF(AG171&lt;=AsOf+2*AlertDays,3,""))))</f>
        <v/>
      </c>
      <c r="AI171" s="79">
        <f>IF(AH171="","","Follow up with "&amp;AA171&amp;": "&amp;AC171)</f>
        <v/>
      </c>
    </row>
    <row r="172" ht="20" customHeight="1">
      <c r="B172" s="72" t="n"/>
      <c r="C172" s="72" t="n"/>
      <c r="D172" s="72" t="n"/>
      <c r="E172" s="72" t="n"/>
      <c r="F172" s="72" t="n"/>
      <c r="G172" s="72" t="n"/>
      <c r="H172" s="72" t="n"/>
      <c r="I172" s="73" t="n"/>
      <c r="J172" s="75">
        <f>IF(B172="","",SUMIFS('Change Orders'!$J$7:$J$1006,'Change Orders'!$E$7:$E$1006,B172,'Change Orders'!$L$7:$L$1006,"Approved"))</f>
        <v/>
      </c>
      <c r="K172" s="76">
        <f>IF(B172="","",I172+J172)</f>
        <v/>
      </c>
      <c r="L172" s="74" t="n"/>
      <c r="M172" s="109" t="n"/>
      <c r="N172" s="109" t="n"/>
      <c r="O172" s="74" t="n"/>
      <c r="P172" s="74" t="n"/>
      <c r="Q172" s="100" t="n"/>
      <c r="R172" s="110" t="n"/>
      <c r="S172" s="75">
        <f>IF(B172="","",SUMIFS('Payments'!$N$6:$N$1005,'Payments'!$B$6:$B$1005,B172))</f>
        <v/>
      </c>
      <c r="T172" s="111">
        <f>IF(OR(B172="",K172=0),"",S172/K172)</f>
        <v/>
      </c>
      <c r="U172" s="78">
        <f>IF(V172="","",IF(V172=2,"⚠️ Paying ahead of work","✓ OK"))</f>
        <v/>
      </c>
      <c r="V172" s="79">
        <f>IF(T172="","",IF(T172-R172&gt;OverpayTol,2,0))</f>
        <v/>
      </c>
      <c r="W172" s="112">
        <f>IF(V172=2,AsOf,"")</f>
        <v/>
      </c>
      <c r="X172" s="79">
        <f>IF(W172="","",1)</f>
        <v/>
      </c>
      <c r="Y172" s="79">
        <f>IF(X172="","","Paying ahead of work: "&amp;B172&amp;" — paid "&amp;ROUND(T172*100,0)&amp;"%, work done "&amp;ROUND(R172*100,0)&amp;"%")</f>
        <v/>
      </c>
      <c r="AA172" s="72" t="n"/>
      <c r="AB172" s="109" t="n"/>
      <c r="AC172" s="113" t="n"/>
      <c r="AD172" s="74" t="n"/>
      <c r="AE172" s="109" t="n"/>
      <c r="AF172" s="74" t="n"/>
      <c r="AG172" s="112">
        <f>IF(AND(AA172&lt;&gt;"",AD172="Yes",AF172&lt;&gt;"Yes",AE172&lt;&gt;""),AE172,"")</f>
        <v/>
      </c>
      <c r="AH172" s="79">
        <f>IF(AG172="","",IF(AG172&lt;AsOf,1,IF(AG172&lt;=AsOf+AlertDays,2,IF(AG172&lt;=AsOf+2*AlertDays,3,""))))</f>
        <v/>
      </c>
      <c r="AI172" s="79">
        <f>IF(AH172="","","Follow up with "&amp;AA172&amp;": "&amp;AC172)</f>
        <v/>
      </c>
    </row>
    <row r="173" ht="20" customHeight="1">
      <c r="B173" s="72" t="n"/>
      <c r="C173" s="72" t="n"/>
      <c r="D173" s="72" t="n"/>
      <c r="E173" s="72" t="n"/>
      <c r="F173" s="72" t="n"/>
      <c r="G173" s="72" t="n"/>
      <c r="H173" s="72" t="n"/>
      <c r="I173" s="73" t="n"/>
      <c r="J173" s="75">
        <f>IF(B173="","",SUMIFS('Change Orders'!$J$7:$J$1006,'Change Orders'!$E$7:$E$1006,B173,'Change Orders'!$L$7:$L$1006,"Approved"))</f>
        <v/>
      </c>
      <c r="K173" s="76">
        <f>IF(B173="","",I173+J173)</f>
        <v/>
      </c>
      <c r="L173" s="74" t="n"/>
      <c r="M173" s="109" t="n"/>
      <c r="N173" s="109" t="n"/>
      <c r="O173" s="74" t="n"/>
      <c r="P173" s="74" t="n"/>
      <c r="Q173" s="100" t="n"/>
      <c r="R173" s="110" t="n"/>
      <c r="S173" s="75">
        <f>IF(B173="","",SUMIFS('Payments'!$N$6:$N$1005,'Payments'!$B$6:$B$1005,B173))</f>
        <v/>
      </c>
      <c r="T173" s="111">
        <f>IF(OR(B173="",K173=0),"",S173/K173)</f>
        <v/>
      </c>
      <c r="U173" s="78">
        <f>IF(V173="","",IF(V173=2,"⚠️ Paying ahead of work","✓ OK"))</f>
        <v/>
      </c>
      <c r="V173" s="79">
        <f>IF(T173="","",IF(T173-R173&gt;OverpayTol,2,0))</f>
        <v/>
      </c>
      <c r="W173" s="112">
        <f>IF(V173=2,AsOf,"")</f>
        <v/>
      </c>
      <c r="X173" s="79">
        <f>IF(W173="","",1)</f>
        <v/>
      </c>
      <c r="Y173" s="79">
        <f>IF(X173="","","Paying ahead of work: "&amp;B173&amp;" — paid "&amp;ROUND(T173*100,0)&amp;"%, work done "&amp;ROUND(R173*100,0)&amp;"%")</f>
        <v/>
      </c>
      <c r="AA173" s="72" t="n"/>
      <c r="AB173" s="109" t="n"/>
      <c r="AC173" s="113" t="n"/>
      <c r="AD173" s="74" t="n"/>
      <c r="AE173" s="109" t="n"/>
      <c r="AF173" s="74" t="n"/>
      <c r="AG173" s="112">
        <f>IF(AND(AA173&lt;&gt;"",AD173="Yes",AF173&lt;&gt;"Yes",AE173&lt;&gt;""),AE173,"")</f>
        <v/>
      </c>
      <c r="AH173" s="79">
        <f>IF(AG173="","",IF(AG173&lt;AsOf,1,IF(AG173&lt;=AsOf+AlertDays,2,IF(AG173&lt;=AsOf+2*AlertDays,3,""))))</f>
        <v/>
      </c>
      <c r="AI173" s="79">
        <f>IF(AH173="","","Follow up with "&amp;AA173&amp;": "&amp;AC173)</f>
        <v/>
      </c>
    </row>
    <row r="174" ht="20" customHeight="1">
      <c r="B174" s="72" t="n"/>
      <c r="C174" s="72" t="n"/>
      <c r="D174" s="72" t="n"/>
      <c r="E174" s="72" t="n"/>
      <c r="F174" s="72" t="n"/>
      <c r="G174" s="72" t="n"/>
      <c r="H174" s="72" t="n"/>
      <c r="I174" s="73" t="n"/>
      <c r="J174" s="75">
        <f>IF(B174="","",SUMIFS('Change Orders'!$J$7:$J$1006,'Change Orders'!$E$7:$E$1006,B174,'Change Orders'!$L$7:$L$1006,"Approved"))</f>
        <v/>
      </c>
      <c r="K174" s="76">
        <f>IF(B174="","",I174+J174)</f>
        <v/>
      </c>
      <c r="L174" s="74" t="n"/>
      <c r="M174" s="109" t="n"/>
      <c r="N174" s="109" t="n"/>
      <c r="O174" s="74" t="n"/>
      <c r="P174" s="74" t="n"/>
      <c r="Q174" s="100" t="n"/>
      <c r="R174" s="110" t="n"/>
      <c r="S174" s="75">
        <f>IF(B174="","",SUMIFS('Payments'!$N$6:$N$1005,'Payments'!$B$6:$B$1005,B174))</f>
        <v/>
      </c>
      <c r="T174" s="111">
        <f>IF(OR(B174="",K174=0),"",S174/K174)</f>
        <v/>
      </c>
      <c r="U174" s="78">
        <f>IF(V174="","",IF(V174=2,"⚠️ Paying ahead of work","✓ OK"))</f>
        <v/>
      </c>
      <c r="V174" s="79">
        <f>IF(T174="","",IF(T174-R174&gt;OverpayTol,2,0))</f>
        <v/>
      </c>
      <c r="W174" s="112">
        <f>IF(V174=2,AsOf,"")</f>
        <v/>
      </c>
      <c r="X174" s="79">
        <f>IF(W174="","",1)</f>
        <v/>
      </c>
      <c r="Y174" s="79">
        <f>IF(X174="","","Paying ahead of work: "&amp;B174&amp;" — paid "&amp;ROUND(T174*100,0)&amp;"%, work done "&amp;ROUND(R174*100,0)&amp;"%")</f>
        <v/>
      </c>
      <c r="AA174" s="72" t="n"/>
      <c r="AB174" s="109" t="n"/>
      <c r="AC174" s="113" t="n"/>
      <c r="AD174" s="74" t="n"/>
      <c r="AE174" s="109" t="n"/>
      <c r="AF174" s="74" t="n"/>
      <c r="AG174" s="112">
        <f>IF(AND(AA174&lt;&gt;"",AD174="Yes",AF174&lt;&gt;"Yes",AE174&lt;&gt;""),AE174,"")</f>
        <v/>
      </c>
      <c r="AH174" s="79">
        <f>IF(AG174="","",IF(AG174&lt;AsOf,1,IF(AG174&lt;=AsOf+AlertDays,2,IF(AG174&lt;=AsOf+2*AlertDays,3,""))))</f>
        <v/>
      </c>
      <c r="AI174" s="79">
        <f>IF(AH174="","","Follow up with "&amp;AA174&amp;": "&amp;AC174)</f>
        <v/>
      </c>
    </row>
    <row r="175" ht="20" customHeight="1">
      <c r="B175" s="72" t="n"/>
      <c r="C175" s="72" t="n"/>
      <c r="D175" s="72" t="n"/>
      <c r="E175" s="72" t="n"/>
      <c r="F175" s="72" t="n"/>
      <c r="G175" s="72" t="n"/>
      <c r="H175" s="72" t="n"/>
      <c r="I175" s="73" t="n"/>
      <c r="J175" s="75">
        <f>IF(B175="","",SUMIFS('Change Orders'!$J$7:$J$1006,'Change Orders'!$E$7:$E$1006,B175,'Change Orders'!$L$7:$L$1006,"Approved"))</f>
        <v/>
      </c>
      <c r="K175" s="76">
        <f>IF(B175="","",I175+J175)</f>
        <v/>
      </c>
      <c r="L175" s="74" t="n"/>
      <c r="M175" s="109" t="n"/>
      <c r="N175" s="109" t="n"/>
      <c r="O175" s="74" t="n"/>
      <c r="P175" s="74" t="n"/>
      <c r="Q175" s="100" t="n"/>
      <c r="R175" s="110" t="n"/>
      <c r="S175" s="75">
        <f>IF(B175="","",SUMIFS('Payments'!$N$6:$N$1005,'Payments'!$B$6:$B$1005,B175))</f>
        <v/>
      </c>
      <c r="T175" s="111">
        <f>IF(OR(B175="",K175=0),"",S175/K175)</f>
        <v/>
      </c>
      <c r="U175" s="78">
        <f>IF(V175="","",IF(V175=2,"⚠️ Paying ahead of work","✓ OK"))</f>
        <v/>
      </c>
      <c r="V175" s="79">
        <f>IF(T175="","",IF(T175-R175&gt;OverpayTol,2,0))</f>
        <v/>
      </c>
      <c r="W175" s="112">
        <f>IF(V175=2,AsOf,"")</f>
        <v/>
      </c>
      <c r="X175" s="79">
        <f>IF(W175="","",1)</f>
        <v/>
      </c>
      <c r="Y175" s="79">
        <f>IF(X175="","","Paying ahead of work: "&amp;B175&amp;" — paid "&amp;ROUND(T175*100,0)&amp;"%, work done "&amp;ROUND(R175*100,0)&amp;"%")</f>
        <v/>
      </c>
      <c r="AA175" s="72" t="n"/>
      <c r="AB175" s="109" t="n"/>
      <c r="AC175" s="113" t="n"/>
      <c r="AD175" s="74" t="n"/>
      <c r="AE175" s="109" t="n"/>
      <c r="AF175" s="74" t="n"/>
      <c r="AG175" s="112">
        <f>IF(AND(AA175&lt;&gt;"",AD175="Yes",AF175&lt;&gt;"Yes",AE175&lt;&gt;""),AE175,"")</f>
        <v/>
      </c>
      <c r="AH175" s="79">
        <f>IF(AG175="","",IF(AG175&lt;AsOf,1,IF(AG175&lt;=AsOf+AlertDays,2,IF(AG175&lt;=AsOf+2*AlertDays,3,""))))</f>
        <v/>
      </c>
      <c r="AI175" s="79">
        <f>IF(AH175="","","Follow up with "&amp;AA175&amp;": "&amp;AC175)</f>
        <v/>
      </c>
    </row>
    <row r="176" ht="20" customHeight="1">
      <c r="B176" s="72" t="n"/>
      <c r="C176" s="72" t="n"/>
      <c r="D176" s="72" t="n"/>
      <c r="E176" s="72" t="n"/>
      <c r="F176" s="72" t="n"/>
      <c r="G176" s="72" t="n"/>
      <c r="H176" s="72" t="n"/>
      <c r="I176" s="73" t="n"/>
      <c r="J176" s="75">
        <f>IF(B176="","",SUMIFS('Change Orders'!$J$7:$J$1006,'Change Orders'!$E$7:$E$1006,B176,'Change Orders'!$L$7:$L$1006,"Approved"))</f>
        <v/>
      </c>
      <c r="K176" s="76">
        <f>IF(B176="","",I176+J176)</f>
        <v/>
      </c>
      <c r="L176" s="74" t="n"/>
      <c r="M176" s="109" t="n"/>
      <c r="N176" s="109" t="n"/>
      <c r="O176" s="74" t="n"/>
      <c r="P176" s="74" t="n"/>
      <c r="Q176" s="100" t="n"/>
      <c r="R176" s="110" t="n"/>
      <c r="S176" s="75">
        <f>IF(B176="","",SUMIFS('Payments'!$N$6:$N$1005,'Payments'!$B$6:$B$1005,B176))</f>
        <v/>
      </c>
      <c r="T176" s="111">
        <f>IF(OR(B176="",K176=0),"",S176/K176)</f>
        <v/>
      </c>
      <c r="U176" s="78">
        <f>IF(V176="","",IF(V176=2,"⚠️ Paying ahead of work","✓ OK"))</f>
        <v/>
      </c>
      <c r="V176" s="79">
        <f>IF(T176="","",IF(T176-R176&gt;OverpayTol,2,0))</f>
        <v/>
      </c>
      <c r="W176" s="112">
        <f>IF(V176=2,AsOf,"")</f>
        <v/>
      </c>
      <c r="X176" s="79">
        <f>IF(W176="","",1)</f>
        <v/>
      </c>
      <c r="Y176" s="79">
        <f>IF(X176="","","Paying ahead of work: "&amp;B176&amp;" — paid "&amp;ROUND(T176*100,0)&amp;"%, work done "&amp;ROUND(R176*100,0)&amp;"%")</f>
        <v/>
      </c>
      <c r="AA176" s="72" t="n"/>
      <c r="AB176" s="109" t="n"/>
      <c r="AC176" s="113" t="n"/>
      <c r="AD176" s="74" t="n"/>
      <c r="AE176" s="109" t="n"/>
      <c r="AF176" s="74" t="n"/>
      <c r="AG176" s="112">
        <f>IF(AND(AA176&lt;&gt;"",AD176="Yes",AF176&lt;&gt;"Yes",AE176&lt;&gt;""),AE176,"")</f>
        <v/>
      </c>
      <c r="AH176" s="79">
        <f>IF(AG176="","",IF(AG176&lt;AsOf,1,IF(AG176&lt;=AsOf+AlertDays,2,IF(AG176&lt;=AsOf+2*AlertDays,3,""))))</f>
        <v/>
      </c>
      <c r="AI176" s="79">
        <f>IF(AH176="","","Follow up with "&amp;AA176&amp;": "&amp;AC176)</f>
        <v/>
      </c>
    </row>
    <row r="177" ht="20" customHeight="1">
      <c r="B177" s="72" t="n"/>
      <c r="C177" s="72" t="n"/>
      <c r="D177" s="72" t="n"/>
      <c r="E177" s="72" t="n"/>
      <c r="F177" s="72" t="n"/>
      <c r="G177" s="72" t="n"/>
      <c r="H177" s="72" t="n"/>
      <c r="I177" s="73" t="n"/>
      <c r="J177" s="75">
        <f>IF(B177="","",SUMIFS('Change Orders'!$J$7:$J$1006,'Change Orders'!$E$7:$E$1006,B177,'Change Orders'!$L$7:$L$1006,"Approved"))</f>
        <v/>
      </c>
      <c r="K177" s="76">
        <f>IF(B177="","",I177+J177)</f>
        <v/>
      </c>
      <c r="L177" s="74" t="n"/>
      <c r="M177" s="109" t="n"/>
      <c r="N177" s="109" t="n"/>
      <c r="O177" s="74" t="n"/>
      <c r="P177" s="74" t="n"/>
      <c r="Q177" s="100" t="n"/>
      <c r="R177" s="110" t="n"/>
      <c r="S177" s="75">
        <f>IF(B177="","",SUMIFS('Payments'!$N$6:$N$1005,'Payments'!$B$6:$B$1005,B177))</f>
        <v/>
      </c>
      <c r="T177" s="111">
        <f>IF(OR(B177="",K177=0),"",S177/K177)</f>
        <v/>
      </c>
      <c r="U177" s="78">
        <f>IF(V177="","",IF(V177=2,"⚠️ Paying ahead of work","✓ OK"))</f>
        <v/>
      </c>
      <c r="V177" s="79">
        <f>IF(T177="","",IF(T177-R177&gt;OverpayTol,2,0))</f>
        <v/>
      </c>
      <c r="W177" s="112">
        <f>IF(V177=2,AsOf,"")</f>
        <v/>
      </c>
      <c r="X177" s="79">
        <f>IF(W177="","",1)</f>
        <v/>
      </c>
      <c r="Y177" s="79">
        <f>IF(X177="","","Paying ahead of work: "&amp;B177&amp;" — paid "&amp;ROUND(T177*100,0)&amp;"%, work done "&amp;ROUND(R177*100,0)&amp;"%")</f>
        <v/>
      </c>
      <c r="AA177" s="72" t="n"/>
      <c r="AB177" s="109" t="n"/>
      <c r="AC177" s="113" t="n"/>
      <c r="AD177" s="74" t="n"/>
      <c r="AE177" s="109" t="n"/>
      <c r="AF177" s="74" t="n"/>
      <c r="AG177" s="112">
        <f>IF(AND(AA177&lt;&gt;"",AD177="Yes",AF177&lt;&gt;"Yes",AE177&lt;&gt;""),AE177,"")</f>
        <v/>
      </c>
      <c r="AH177" s="79">
        <f>IF(AG177="","",IF(AG177&lt;AsOf,1,IF(AG177&lt;=AsOf+AlertDays,2,IF(AG177&lt;=AsOf+2*AlertDays,3,""))))</f>
        <v/>
      </c>
      <c r="AI177" s="79">
        <f>IF(AH177="","","Follow up with "&amp;AA177&amp;": "&amp;AC177)</f>
        <v/>
      </c>
    </row>
    <row r="178" ht="20" customHeight="1">
      <c r="B178" s="72" t="n"/>
      <c r="C178" s="72" t="n"/>
      <c r="D178" s="72" t="n"/>
      <c r="E178" s="72" t="n"/>
      <c r="F178" s="72" t="n"/>
      <c r="G178" s="72" t="n"/>
      <c r="H178" s="72" t="n"/>
      <c r="I178" s="73" t="n"/>
      <c r="J178" s="75">
        <f>IF(B178="","",SUMIFS('Change Orders'!$J$7:$J$1006,'Change Orders'!$E$7:$E$1006,B178,'Change Orders'!$L$7:$L$1006,"Approved"))</f>
        <v/>
      </c>
      <c r="K178" s="76">
        <f>IF(B178="","",I178+J178)</f>
        <v/>
      </c>
      <c r="L178" s="74" t="n"/>
      <c r="M178" s="109" t="n"/>
      <c r="N178" s="109" t="n"/>
      <c r="O178" s="74" t="n"/>
      <c r="P178" s="74" t="n"/>
      <c r="Q178" s="100" t="n"/>
      <c r="R178" s="110" t="n"/>
      <c r="S178" s="75">
        <f>IF(B178="","",SUMIFS('Payments'!$N$6:$N$1005,'Payments'!$B$6:$B$1005,B178))</f>
        <v/>
      </c>
      <c r="T178" s="111">
        <f>IF(OR(B178="",K178=0),"",S178/K178)</f>
        <v/>
      </c>
      <c r="U178" s="78">
        <f>IF(V178="","",IF(V178=2,"⚠️ Paying ahead of work","✓ OK"))</f>
        <v/>
      </c>
      <c r="V178" s="79">
        <f>IF(T178="","",IF(T178-R178&gt;OverpayTol,2,0))</f>
        <v/>
      </c>
      <c r="W178" s="112">
        <f>IF(V178=2,AsOf,"")</f>
        <v/>
      </c>
      <c r="X178" s="79">
        <f>IF(W178="","",1)</f>
        <v/>
      </c>
      <c r="Y178" s="79">
        <f>IF(X178="","","Paying ahead of work: "&amp;B178&amp;" — paid "&amp;ROUND(T178*100,0)&amp;"%, work done "&amp;ROUND(R178*100,0)&amp;"%")</f>
        <v/>
      </c>
      <c r="AA178" s="72" t="n"/>
      <c r="AB178" s="109" t="n"/>
      <c r="AC178" s="113" t="n"/>
      <c r="AD178" s="74" t="n"/>
      <c r="AE178" s="109" t="n"/>
      <c r="AF178" s="74" t="n"/>
      <c r="AG178" s="112">
        <f>IF(AND(AA178&lt;&gt;"",AD178="Yes",AF178&lt;&gt;"Yes",AE178&lt;&gt;""),AE178,"")</f>
        <v/>
      </c>
      <c r="AH178" s="79">
        <f>IF(AG178="","",IF(AG178&lt;AsOf,1,IF(AG178&lt;=AsOf+AlertDays,2,IF(AG178&lt;=AsOf+2*AlertDays,3,""))))</f>
        <v/>
      </c>
      <c r="AI178" s="79">
        <f>IF(AH178="","","Follow up with "&amp;AA178&amp;": "&amp;AC178)</f>
        <v/>
      </c>
    </row>
    <row r="179" ht="20" customHeight="1">
      <c r="B179" s="72" t="n"/>
      <c r="C179" s="72" t="n"/>
      <c r="D179" s="72" t="n"/>
      <c r="E179" s="72" t="n"/>
      <c r="F179" s="72" t="n"/>
      <c r="G179" s="72" t="n"/>
      <c r="H179" s="72" t="n"/>
      <c r="I179" s="73" t="n"/>
      <c r="J179" s="75">
        <f>IF(B179="","",SUMIFS('Change Orders'!$J$7:$J$1006,'Change Orders'!$E$7:$E$1006,B179,'Change Orders'!$L$7:$L$1006,"Approved"))</f>
        <v/>
      </c>
      <c r="K179" s="76">
        <f>IF(B179="","",I179+J179)</f>
        <v/>
      </c>
      <c r="L179" s="74" t="n"/>
      <c r="M179" s="109" t="n"/>
      <c r="N179" s="109" t="n"/>
      <c r="O179" s="74" t="n"/>
      <c r="P179" s="74" t="n"/>
      <c r="Q179" s="100" t="n"/>
      <c r="R179" s="110" t="n"/>
      <c r="S179" s="75">
        <f>IF(B179="","",SUMIFS('Payments'!$N$6:$N$1005,'Payments'!$B$6:$B$1005,B179))</f>
        <v/>
      </c>
      <c r="T179" s="111">
        <f>IF(OR(B179="",K179=0),"",S179/K179)</f>
        <v/>
      </c>
      <c r="U179" s="78">
        <f>IF(V179="","",IF(V179=2,"⚠️ Paying ahead of work","✓ OK"))</f>
        <v/>
      </c>
      <c r="V179" s="79">
        <f>IF(T179="","",IF(T179-R179&gt;OverpayTol,2,0))</f>
        <v/>
      </c>
      <c r="W179" s="112">
        <f>IF(V179=2,AsOf,"")</f>
        <v/>
      </c>
      <c r="X179" s="79">
        <f>IF(W179="","",1)</f>
        <v/>
      </c>
      <c r="Y179" s="79">
        <f>IF(X179="","","Paying ahead of work: "&amp;B179&amp;" — paid "&amp;ROUND(T179*100,0)&amp;"%, work done "&amp;ROUND(R179*100,0)&amp;"%")</f>
        <v/>
      </c>
      <c r="AA179" s="72" t="n"/>
      <c r="AB179" s="109" t="n"/>
      <c r="AC179" s="113" t="n"/>
      <c r="AD179" s="74" t="n"/>
      <c r="AE179" s="109" t="n"/>
      <c r="AF179" s="74" t="n"/>
      <c r="AG179" s="112">
        <f>IF(AND(AA179&lt;&gt;"",AD179="Yes",AF179&lt;&gt;"Yes",AE179&lt;&gt;""),AE179,"")</f>
        <v/>
      </c>
      <c r="AH179" s="79">
        <f>IF(AG179="","",IF(AG179&lt;AsOf,1,IF(AG179&lt;=AsOf+AlertDays,2,IF(AG179&lt;=AsOf+2*AlertDays,3,""))))</f>
        <v/>
      </c>
      <c r="AI179" s="79">
        <f>IF(AH179="","","Follow up with "&amp;AA179&amp;": "&amp;AC179)</f>
        <v/>
      </c>
    </row>
    <row r="180" ht="20" customHeight="1">
      <c r="B180" s="72" t="n"/>
      <c r="C180" s="72" t="n"/>
      <c r="D180" s="72" t="n"/>
      <c r="E180" s="72" t="n"/>
      <c r="F180" s="72" t="n"/>
      <c r="G180" s="72" t="n"/>
      <c r="H180" s="72" t="n"/>
      <c r="I180" s="73" t="n"/>
      <c r="J180" s="75">
        <f>IF(B180="","",SUMIFS('Change Orders'!$J$7:$J$1006,'Change Orders'!$E$7:$E$1006,B180,'Change Orders'!$L$7:$L$1006,"Approved"))</f>
        <v/>
      </c>
      <c r="K180" s="76">
        <f>IF(B180="","",I180+J180)</f>
        <v/>
      </c>
      <c r="L180" s="74" t="n"/>
      <c r="M180" s="109" t="n"/>
      <c r="N180" s="109" t="n"/>
      <c r="O180" s="74" t="n"/>
      <c r="P180" s="74" t="n"/>
      <c r="Q180" s="100" t="n"/>
      <c r="R180" s="110" t="n"/>
      <c r="S180" s="75">
        <f>IF(B180="","",SUMIFS('Payments'!$N$6:$N$1005,'Payments'!$B$6:$B$1005,B180))</f>
        <v/>
      </c>
      <c r="T180" s="111">
        <f>IF(OR(B180="",K180=0),"",S180/K180)</f>
        <v/>
      </c>
      <c r="U180" s="78">
        <f>IF(V180="","",IF(V180=2,"⚠️ Paying ahead of work","✓ OK"))</f>
        <v/>
      </c>
      <c r="V180" s="79">
        <f>IF(T180="","",IF(T180-R180&gt;OverpayTol,2,0))</f>
        <v/>
      </c>
      <c r="W180" s="112">
        <f>IF(V180=2,AsOf,"")</f>
        <v/>
      </c>
      <c r="X180" s="79">
        <f>IF(W180="","",1)</f>
        <v/>
      </c>
      <c r="Y180" s="79">
        <f>IF(X180="","","Paying ahead of work: "&amp;B180&amp;" — paid "&amp;ROUND(T180*100,0)&amp;"%, work done "&amp;ROUND(R180*100,0)&amp;"%")</f>
        <v/>
      </c>
      <c r="AA180" s="72" t="n"/>
      <c r="AB180" s="109" t="n"/>
      <c r="AC180" s="113" t="n"/>
      <c r="AD180" s="74" t="n"/>
      <c r="AE180" s="109" t="n"/>
      <c r="AF180" s="74" t="n"/>
      <c r="AG180" s="112">
        <f>IF(AND(AA180&lt;&gt;"",AD180="Yes",AF180&lt;&gt;"Yes",AE180&lt;&gt;""),AE180,"")</f>
        <v/>
      </c>
      <c r="AH180" s="79">
        <f>IF(AG180="","",IF(AG180&lt;AsOf,1,IF(AG180&lt;=AsOf+AlertDays,2,IF(AG180&lt;=AsOf+2*AlertDays,3,""))))</f>
        <v/>
      </c>
      <c r="AI180" s="79">
        <f>IF(AH180="","","Follow up with "&amp;AA180&amp;": "&amp;AC180)</f>
        <v/>
      </c>
    </row>
    <row r="181" ht="20" customHeight="1">
      <c r="B181" s="72" t="n"/>
      <c r="C181" s="72" t="n"/>
      <c r="D181" s="72" t="n"/>
      <c r="E181" s="72" t="n"/>
      <c r="F181" s="72" t="n"/>
      <c r="G181" s="72" t="n"/>
      <c r="H181" s="72" t="n"/>
      <c r="I181" s="73" t="n"/>
      <c r="J181" s="75">
        <f>IF(B181="","",SUMIFS('Change Orders'!$J$7:$J$1006,'Change Orders'!$E$7:$E$1006,B181,'Change Orders'!$L$7:$L$1006,"Approved"))</f>
        <v/>
      </c>
      <c r="K181" s="76">
        <f>IF(B181="","",I181+J181)</f>
        <v/>
      </c>
      <c r="L181" s="74" t="n"/>
      <c r="M181" s="109" t="n"/>
      <c r="N181" s="109" t="n"/>
      <c r="O181" s="74" t="n"/>
      <c r="P181" s="74" t="n"/>
      <c r="Q181" s="100" t="n"/>
      <c r="R181" s="110" t="n"/>
      <c r="S181" s="75">
        <f>IF(B181="","",SUMIFS('Payments'!$N$6:$N$1005,'Payments'!$B$6:$B$1005,B181))</f>
        <v/>
      </c>
      <c r="T181" s="111">
        <f>IF(OR(B181="",K181=0),"",S181/K181)</f>
        <v/>
      </c>
      <c r="U181" s="78">
        <f>IF(V181="","",IF(V181=2,"⚠️ Paying ahead of work","✓ OK"))</f>
        <v/>
      </c>
      <c r="V181" s="79">
        <f>IF(T181="","",IF(T181-R181&gt;OverpayTol,2,0))</f>
        <v/>
      </c>
      <c r="W181" s="112">
        <f>IF(V181=2,AsOf,"")</f>
        <v/>
      </c>
      <c r="X181" s="79">
        <f>IF(W181="","",1)</f>
        <v/>
      </c>
      <c r="Y181" s="79">
        <f>IF(X181="","","Paying ahead of work: "&amp;B181&amp;" — paid "&amp;ROUND(T181*100,0)&amp;"%, work done "&amp;ROUND(R181*100,0)&amp;"%")</f>
        <v/>
      </c>
      <c r="AA181" s="72" t="n"/>
      <c r="AB181" s="109" t="n"/>
      <c r="AC181" s="113" t="n"/>
      <c r="AD181" s="74" t="n"/>
      <c r="AE181" s="109" t="n"/>
      <c r="AF181" s="74" t="n"/>
      <c r="AG181" s="112">
        <f>IF(AND(AA181&lt;&gt;"",AD181="Yes",AF181&lt;&gt;"Yes",AE181&lt;&gt;""),AE181,"")</f>
        <v/>
      </c>
      <c r="AH181" s="79">
        <f>IF(AG181="","",IF(AG181&lt;AsOf,1,IF(AG181&lt;=AsOf+AlertDays,2,IF(AG181&lt;=AsOf+2*AlertDays,3,""))))</f>
        <v/>
      </c>
      <c r="AI181" s="79">
        <f>IF(AH181="","","Follow up with "&amp;AA181&amp;": "&amp;AC181)</f>
        <v/>
      </c>
    </row>
    <row r="182" ht="20" customHeight="1">
      <c r="B182" s="72" t="n"/>
      <c r="C182" s="72" t="n"/>
      <c r="D182" s="72" t="n"/>
      <c r="E182" s="72" t="n"/>
      <c r="F182" s="72" t="n"/>
      <c r="G182" s="72" t="n"/>
      <c r="H182" s="72" t="n"/>
      <c r="I182" s="73" t="n"/>
      <c r="J182" s="75">
        <f>IF(B182="","",SUMIFS('Change Orders'!$J$7:$J$1006,'Change Orders'!$E$7:$E$1006,B182,'Change Orders'!$L$7:$L$1006,"Approved"))</f>
        <v/>
      </c>
      <c r="K182" s="76">
        <f>IF(B182="","",I182+J182)</f>
        <v/>
      </c>
      <c r="L182" s="74" t="n"/>
      <c r="M182" s="109" t="n"/>
      <c r="N182" s="109" t="n"/>
      <c r="O182" s="74" t="n"/>
      <c r="P182" s="74" t="n"/>
      <c r="Q182" s="100" t="n"/>
      <c r="R182" s="110" t="n"/>
      <c r="S182" s="75">
        <f>IF(B182="","",SUMIFS('Payments'!$N$6:$N$1005,'Payments'!$B$6:$B$1005,B182))</f>
        <v/>
      </c>
      <c r="T182" s="111">
        <f>IF(OR(B182="",K182=0),"",S182/K182)</f>
        <v/>
      </c>
      <c r="U182" s="78">
        <f>IF(V182="","",IF(V182=2,"⚠️ Paying ahead of work","✓ OK"))</f>
        <v/>
      </c>
      <c r="V182" s="79">
        <f>IF(T182="","",IF(T182-R182&gt;OverpayTol,2,0))</f>
        <v/>
      </c>
      <c r="W182" s="112">
        <f>IF(V182=2,AsOf,"")</f>
        <v/>
      </c>
      <c r="X182" s="79">
        <f>IF(W182="","",1)</f>
        <v/>
      </c>
      <c r="Y182" s="79">
        <f>IF(X182="","","Paying ahead of work: "&amp;B182&amp;" — paid "&amp;ROUND(T182*100,0)&amp;"%, work done "&amp;ROUND(R182*100,0)&amp;"%")</f>
        <v/>
      </c>
      <c r="AA182" s="72" t="n"/>
      <c r="AB182" s="109" t="n"/>
      <c r="AC182" s="113" t="n"/>
      <c r="AD182" s="74" t="n"/>
      <c r="AE182" s="109" t="n"/>
      <c r="AF182" s="74" t="n"/>
      <c r="AG182" s="112">
        <f>IF(AND(AA182&lt;&gt;"",AD182="Yes",AF182&lt;&gt;"Yes",AE182&lt;&gt;""),AE182,"")</f>
        <v/>
      </c>
      <c r="AH182" s="79">
        <f>IF(AG182="","",IF(AG182&lt;AsOf,1,IF(AG182&lt;=AsOf+AlertDays,2,IF(AG182&lt;=AsOf+2*AlertDays,3,""))))</f>
        <v/>
      </c>
      <c r="AI182" s="79">
        <f>IF(AH182="","","Follow up with "&amp;AA182&amp;": "&amp;AC182)</f>
        <v/>
      </c>
    </row>
    <row r="183" ht="20" customHeight="1">
      <c r="B183" s="72" t="n"/>
      <c r="C183" s="72" t="n"/>
      <c r="D183" s="72" t="n"/>
      <c r="E183" s="72" t="n"/>
      <c r="F183" s="72" t="n"/>
      <c r="G183" s="72" t="n"/>
      <c r="H183" s="72" t="n"/>
      <c r="I183" s="73" t="n"/>
      <c r="J183" s="75">
        <f>IF(B183="","",SUMIFS('Change Orders'!$J$7:$J$1006,'Change Orders'!$E$7:$E$1006,B183,'Change Orders'!$L$7:$L$1006,"Approved"))</f>
        <v/>
      </c>
      <c r="K183" s="76">
        <f>IF(B183="","",I183+J183)</f>
        <v/>
      </c>
      <c r="L183" s="74" t="n"/>
      <c r="M183" s="109" t="n"/>
      <c r="N183" s="109" t="n"/>
      <c r="O183" s="74" t="n"/>
      <c r="P183" s="74" t="n"/>
      <c r="Q183" s="100" t="n"/>
      <c r="R183" s="110" t="n"/>
      <c r="S183" s="75">
        <f>IF(B183="","",SUMIFS('Payments'!$N$6:$N$1005,'Payments'!$B$6:$B$1005,B183))</f>
        <v/>
      </c>
      <c r="T183" s="111">
        <f>IF(OR(B183="",K183=0),"",S183/K183)</f>
        <v/>
      </c>
      <c r="U183" s="78">
        <f>IF(V183="","",IF(V183=2,"⚠️ Paying ahead of work","✓ OK"))</f>
        <v/>
      </c>
      <c r="V183" s="79">
        <f>IF(T183="","",IF(T183-R183&gt;OverpayTol,2,0))</f>
        <v/>
      </c>
      <c r="W183" s="112">
        <f>IF(V183=2,AsOf,"")</f>
        <v/>
      </c>
      <c r="X183" s="79">
        <f>IF(W183="","",1)</f>
        <v/>
      </c>
      <c r="Y183" s="79">
        <f>IF(X183="","","Paying ahead of work: "&amp;B183&amp;" — paid "&amp;ROUND(T183*100,0)&amp;"%, work done "&amp;ROUND(R183*100,0)&amp;"%")</f>
        <v/>
      </c>
      <c r="AA183" s="72" t="n"/>
      <c r="AB183" s="109" t="n"/>
      <c r="AC183" s="113" t="n"/>
      <c r="AD183" s="74" t="n"/>
      <c r="AE183" s="109" t="n"/>
      <c r="AF183" s="74" t="n"/>
      <c r="AG183" s="112">
        <f>IF(AND(AA183&lt;&gt;"",AD183="Yes",AF183&lt;&gt;"Yes",AE183&lt;&gt;""),AE183,"")</f>
        <v/>
      </c>
      <c r="AH183" s="79">
        <f>IF(AG183="","",IF(AG183&lt;AsOf,1,IF(AG183&lt;=AsOf+AlertDays,2,IF(AG183&lt;=AsOf+2*AlertDays,3,""))))</f>
        <v/>
      </c>
      <c r="AI183" s="79">
        <f>IF(AH183="","","Follow up with "&amp;AA183&amp;": "&amp;AC183)</f>
        <v/>
      </c>
    </row>
    <row r="184" ht="20" customHeight="1">
      <c r="B184" s="72" t="n"/>
      <c r="C184" s="72" t="n"/>
      <c r="D184" s="72" t="n"/>
      <c r="E184" s="72" t="n"/>
      <c r="F184" s="72" t="n"/>
      <c r="G184" s="72" t="n"/>
      <c r="H184" s="72" t="n"/>
      <c r="I184" s="73" t="n"/>
      <c r="J184" s="75">
        <f>IF(B184="","",SUMIFS('Change Orders'!$J$7:$J$1006,'Change Orders'!$E$7:$E$1006,B184,'Change Orders'!$L$7:$L$1006,"Approved"))</f>
        <v/>
      </c>
      <c r="K184" s="76">
        <f>IF(B184="","",I184+J184)</f>
        <v/>
      </c>
      <c r="L184" s="74" t="n"/>
      <c r="M184" s="109" t="n"/>
      <c r="N184" s="109" t="n"/>
      <c r="O184" s="74" t="n"/>
      <c r="P184" s="74" t="n"/>
      <c r="Q184" s="100" t="n"/>
      <c r="R184" s="110" t="n"/>
      <c r="S184" s="75">
        <f>IF(B184="","",SUMIFS('Payments'!$N$6:$N$1005,'Payments'!$B$6:$B$1005,B184))</f>
        <v/>
      </c>
      <c r="T184" s="111">
        <f>IF(OR(B184="",K184=0),"",S184/K184)</f>
        <v/>
      </c>
      <c r="U184" s="78">
        <f>IF(V184="","",IF(V184=2,"⚠️ Paying ahead of work","✓ OK"))</f>
        <v/>
      </c>
      <c r="V184" s="79">
        <f>IF(T184="","",IF(T184-R184&gt;OverpayTol,2,0))</f>
        <v/>
      </c>
      <c r="W184" s="112">
        <f>IF(V184=2,AsOf,"")</f>
        <v/>
      </c>
      <c r="X184" s="79">
        <f>IF(W184="","",1)</f>
        <v/>
      </c>
      <c r="Y184" s="79">
        <f>IF(X184="","","Paying ahead of work: "&amp;B184&amp;" — paid "&amp;ROUND(T184*100,0)&amp;"%, work done "&amp;ROUND(R184*100,0)&amp;"%")</f>
        <v/>
      </c>
      <c r="AA184" s="72" t="n"/>
      <c r="AB184" s="109" t="n"/>
      <c r="AC184" s="113" t="n"/>
      <c r="AD184" s="74" t="n"/>
      <c r="AE184" s="109" t="n"/>
      <c r="AF184" s="74" t="n"/>
      <c r="AG184" s="112">
        <f>IF(AND(AA184&lt;&gt;"",AD184="Yes",AF184&lt;&gt;"Yes",AE184&lt;&gt;""),AE184,"")</f>
        <v/>
      </c>
      <c r="AH184" s="79">
        <f>IF(AG184="","",IF(AG184&lt;AsOf,1,IF(AG184&lt;=AsOf+AlertDays,2,IF(AG184&lt;=AsOf+2*AlertDays,3,""))))</f>
        <v/>
      </c>
      <c r="AI184" s="79">
        <f>IF(AH184="","","Follow up with "&amp;AA184&amp;": "&amp;AC184)</f>
        <v/>
      </c>
    </row>
    <row r="185" ht="20" customHeight="1">
      <c r="B185" s="72" t="n"/>
      <c r="C185" s="72" t="n"/>
      <c r="D185" s="72" t="n"/>
      <c r="E185" s="72" t="n"/>
      <c r="F185" s="72" t="n"/>
      <c r="G185" s="72" t="n"/>
      <c r="H185" s="72" t="n"/>
      <c r="I185" s="73" t="n"/>
      <c r="J185" s="75">
        <f>IF(B185="","",SUMIFS('Change Orders'!$J$7:$J$1006,'Change Orders'!$E$7:$E$1006,B185,'Change Orders'!$L$7:$L$1006,"Approved"))</f>
        <v/>
      </c>
      <c r="K185" s="76">
        <f>IF(B185="","",I185+J185)</f>
        <v/>
      </c>
      <c r="L185" s="74" t="n"/>
      <c r="M185" s="109" t="n"/>
      <c r="N185" s="109" t="n"/>
      <c r="O185" s="74" t="n"/>
      <c r="P185" s="74" t="n"/>
      <c r="Q185" s="100" t="n"/>
      <c r="R185" s="110" t="n"/>
      <c r="S185" s="75">
        <f>IF(B185="","",SUMIFS('Payments'!$N$6:$N$1005,'Payments'!$B$6:$B$1005,B185))</f>
        <v/>
      </c>
      <c r="T185" s="111">
        <f>IF(OR(B185="",K185=0),"",S185/K185)</f>
        <v/>
      </c>
      <c r="U185" s="78">
        <f>IF(V185="","",IF(V185=2,"⚠️ Paying ahead of work","✓ OK"))</f>
        <v/>
      </c>
      <c r="V185" s="79">
        <f>IF(T185="","",IF(T185-R185&gt;OverpayTol,2,0))</f>
        <v/>
      </c>
      <c r="W185" s="112">
        <f>IF(V185=2,AsOf,"")</f>
        <v/>
      </c>
      <c r="X185" s="79">
        <f>IF(W185="","",1)</f>
        <v/>
      </c>
      <c r="Y185" s="79">
        <f>IF(X185="","","Paying ahead of work: "&amp;B185&amp;" — paid "&amp;ROUND(T185*100,0)&amp;"%, work done "&amp;ROUND(R185*100,0)&amp;"%")</f>
        <v/>
      </c>
      <c r="AA185" s="72" t="n"/>
      <c r="AB185" s="109" t="n"/>
      <c r="AC185" s="113" t="n"/>
      <c r="AD185" s="74" t="n"/>
      <c r="AE185" s="109" t="n"/>
      <c r="AF185" s="74" t="n"/>
      <c r="AG185" s="112">
        <f>IF(AND(AA185&lt;&gt;"",AD185="Yes",AF185&lt;&gt;"Yes",AE185&lt;&gt;""),AE185,"")</f>
        <v/>
      </c>
      <c r="AH185" s="79">
        <f>IF(AG185="","",IF(AG185&lt;AsOf,1,IF(AG185&lt;=AsOf+AlertDays,2,IF(AG185&lt;=AsOf+2*AlertDays,3,""))))</f>
        <v/>
      </c>
      <c r="AI185" s="79">
        <f>IF(AH185="","","Follow up with "&amp;AA185&amp;": "&amp;AC185)</f>
        <v/>
      </c>
    </row>
    <row r="186" ht="20" customHeight="1">
      <c r="B186" s="72" t="n"/>
      <c r="C186" s="72" t="n"/>
      <c r="D186" s="72" t="n"/>
      <c r="E186" s="72" t="n"/>
      <c r="F186" s="72" t="n"/>
      <c r="G186" s="72" t="n"/>
      <c r="H186" s="72" t="n"/>
      <c r="I186" s="73" t="n"/>
      <c r="J186" s="75">
        <f>IF(B186="","",SUMIFS('Change Orders'!$J$7:$J$1006,'Change Orders'!$E$7:$E$1006,B186,'Change Orders'!$L$7:$L$1006,"Approved"))</f>
        <v/>
      </c>
      <c r="K186" s="76">
        <f>IF(B186="","",I186+J186)</f>
        <v/>
      </c>
      <c r="L186" s="74" t="n"/>
      <c r="M186" s="109" t="n"/>
      <c r="N186" s="109" t="n"/>
      <c r="O186" s="74" t="n"/>
      <c r="P186" s="74" t="n"/>
      <c r="Q186" s="100" t="n"/>
      <c r="R186" s="110" t="n"/>
      <c r="S186" s="75">
        <f>IF(B186="","",SUMIFS('Payments'!$N$6:$N$1005,'Payments'!$B$6:$B$1005,B186))</f>
        <v/>
      </c>
      <c r="T186" s="111">
        <f>IF(OR(B186="",K186=0),"",S186/K186)</f>
        <v/>
      </c>
      <c r="U186" s="78">
        <f>IF(V186="","",IF(V186=2,"⚠️ Paying ahead of work","✓ OK"))</f>
        <v/>
      </c>
      <c r="V186" s="79">
        <f>IF(T186="","",IF(T186-R186&gt;OverpayTol,2,0))</f>
        <v/>
      </c>
      <c r="W186" s="112">
        <f>IF(V186=2,AsOf,"")</f>
        <v/>
      </c>
      <c r="X186" s="79">
        <f>IF(W186="","",1)</f>
        <v/>
      </c>
      <c r="Y186" s="79">
        <f>IF(X186="","","Paying ahead of work: "&amp;B186&amp;" — paid "&amp;ROUND(T186*100,0)&amp;"%, work done "&amp;ROUND(R186*100,0)&amp;"%")</f>
        <v/>
      </c>
      <c r="AA186" s="72" t="n"/>
      <c r="AB186" s="109" t="n"/>
      <c r="AC186" s="113" t="n"/>
      <c r="AD186" s="74" t="n"/>
      <c r="AE186" s="109" t="n"/>
      <c r="AF186" s="74" t="n"/>
      <c r="AG186" s="112">
        <f>IF(AND(AA186&lt;&gt;"",AD186="Yes",AF186&lt;&gt;"Yes",AE186&lt;&gt;""),AE186,"")</f>
        <v/>
      </c>
      <c r="AH186" s="79">
        <f>IF(AG186="","",IF(AG186&lt;AsOf,1,IF(AG186&lt;=AsOf+AlertDays,2,IF(AG186&lt;=AsOf+2*AlertDays,3,""))))</f>
        <v/>
      </c>
      <c r="AI186" s="79">
        <f>IF(AH186="","","Follow up with "&amp;AA186&amp;": "&amp;AC186)</f>
        <v/>
      </c>
    </row>
    <row r="187" ht="20" customHeight="1">
      <c r="B187" s="72" t="n"/>
      <c r="C187" s="72" t="n"/>
      <c r="D187" s="72" t="n"/>
      <c r="E187" s="72" t="n"/>
      <c r="F187" s="72" t="n"/>
      <c r="G187" s="72" t="n"/>
      <c r="H187" s="72" t="n"/>
      <c r="I187" s="73" t="n"/>
      <c r="J187" s="75">
        <f>IF(B187="","",SUMIFS('Change Orders'!$J$7:$J$1006,'Change Orders'!$E$7:$E$1006,B187,'Change Orders'!$L$7:$L$1006,"Approved"))</f>
        <v/>
      </c>
      <c r="K187" s="76">
        <f>IF(B187="","",I187+J187)</f>
        <v/>
      </c>
      <c r="L187" s="74" t="n"/>
      <c r="M187" s="109" t="n"/>
      <c r="N187" s="109" t="n"/>
      <c r="O187" s="74" t="n"/>
      <c r="P187" s="74" t="n"/>
      <c r="Q187" s="100" t="n"/>
      <c r="R187" s="110" t="n"/>
      <c r="S187" s="75">
        <f>IF(B187="","",SUMIFS('Payments'!$N$6:$N$1005,'Payments'!$B$6:$B$1005,B187))</f>
        <v/>
      </c>
      <c r="T187" s="111">
        <f>IF(OR(B187="",K187=0),"",S187/K187)</f>
        <v/>
      </c>
      <c r="U187" s="78">
        <f>IF(V187="","",IF(V187=2,"⚠️ Paying ahead of work","✓ OK"))</f>
        <v/>
      </c>
      <c r="V187" s="79">
        <f>IF(T187="","",IF(T187-R187&gt;OverpayTol,2,0))</f>
        <v/>
      </c>
      <c r="W187" s="112">
        <f>IF(V187=2,AsOf,"")</f>
        <v/>
      </c>
      <c r="X187" s="79">
        <f>IF(W187="","",1)</f>
        <v/>
      </c>
      <c r="Y187" s="79">
        <f>IF(X187="","","Paying ahead of work: "&amp;B187&amp;" — paid "&amp;ROUND(T187*100,0)&amp;"%, work done "&amp;ROUND(R187*100,0)&amp;"%")</f>
        <v/>
      </c>
      <c r="AA187" s="72" t="n"/>
      <c r="AB187" s="109" t="n"/>
      <c r="AC187" s="113" t="n"/>
      <c r="AD187" s="74" t="n"/>
      <c r="AE187" s="109" t="n"/>
      <c r="AF187" s="74" t="n"/>
      <c r="AG187" s="112">
        <f>IF(AND(AA187&lt;&gt;"",AD187="Yes",AF187&lt;&gt;"Yes",AE187&lt;&gt;""),AE187,"")</f>
        <v/>
      </c>
      <c r="AH187" s="79">
        <f>IF(AG187="","",IF(AG187&lt;AsOf,1,IF(AG187&lt;=AsOf+AlertDays,2,IF(AG187&lt;=AsOf+2*AlertDays,3,""))))</f>
        <v/>
      </c>
      <c r="AI187" s="79">
        <f>IF(AH187="","","Follow up with "&amp;AA187&amp;": "&amp;AC187)</f>
        <v/>
      </c>
    </row>
    <row r="188" ht="20" customHeight="1">
      <c r="B188" s="72" t="n"/>
      <c r="C188" s="72" t="n"/>
      <c r="D188" s="72" t="n"/>
      <c r="E188" s="72" t="n"/>
      <c r="F188" s="72" t="n"/>
      <c r="G188" s="72" t="n"/>
      <c r="H188" s="72" t="n"/>
      <c r="I188" s="73" t="n"/>
      <c r="J188" s="75">
        <f>IF(B188="","",SUMIFS('Change Orders'!$J$7:$J$1006,'Change Orders'!$E$7:$E$1006,B188,'Change Orders'!$L$7:$L$1006,"Approved"))</f>
        <v/>
      </c>
      <c r="K188" s="76">
        <f>IF(B188="","",I188+J188)</f>
        <v/>
      </c>
      <c r="L188" s="74" t="n"/>
      <c r="M188" s="109" t="n"/>
      <c r="N188" s="109" t="n"/>
      <c r="O188" s="74" t="n"/>
      <c r="P188" s="74" t="n"/>
      <c r="Q188" s="100" t="n"/>
      <c r="R188" s="110" t="n"/>
      <c r="S188" s="75">
        <f>IF(B188="","",SUMIFS('Payments'!$N$6:$N$1005,'Payments'!$B$6:$B$1005,B188))</f>
        <v/>
      </c>
      <c r="T188" s="111">
        <f>IF(OR(B188="",K188=0),"",S188/K188)</f>
        <v/>
      </c>
      <c r="U188" s="78">
        <f>IF(V188="","",IF(V188=2,"⚠️ Paying ahead of work","✓ OK"))</f>
        <v/>
      </c>
      <c r="V188" s="79">
        <f>IF(T188="","",IF(T188-R188&gt;OverpayTol,2,0))</f>
        <v/>
      </c>
      <c r="W188" s="112">
        <f>IF(V188=2,AsOf,"")</f>
        <v/>
      </c>
      <c r="X188" s="79">
        <f>IF(W188="","",1)</f>
        <v/>
      </c>
      <c r="Y188" s="79">
        <f>IF(X188="","","Paying ahead of work: "&amp;B188&amp;" — paid "&amp;ROUND(T188*100,0)&amp;"%, work done "&amp;ROUND(R188*100,0)&amp;"%")</f>
        <v/>
      </c>
      <c r="AA188" s="72" t="n"/>
      <c r="AB188" s="109" t="n"/>
      <c r="AC188" s="113" t="n"/>
      <c r="AD188" s="74" t="n"/>
      <c r="AE188" s="109" t="n"/>
      <c r="AF188" s="74" t="n"/>
      <c r="AG188" s="112">
        <f>IF(AND(AA188&lt;&gt;"",AD188="Yes",AF188&lt;&gt;"Yes",AE188&lt;&gt;""),AE188,"")</f>
        <v/>
      </c>
      <c r="AH188" s="79">
        <f>IF(AG188="","",IF(AG188&lt;AsOf,1,IF(AG188&lt;=AsOf+AlertDays,2,IF(AG188&lt;=AsOf+2*AlertDays,3,""))))</f>
        <v/>
      </c>
      <c r="AI188" s="79">
        <f>IF(AH188="","","Follow up with "&amp;AA188&amp;": "&amp;AC188)</f>
        <v/>
      </c>
    </row>
    <row r="189" ht="20" customHeight="1">
      <c r="B189" s="72" t="n"/>
      <c r="C189" s="72" t="n"/>
      <c r="D189" s="72" t="n"/>
      <c r="E189" s="72" t="n"/>
      <c r="F189" s="72" t="n"/>
      <c r="G189" s="72" t="n"/>
      <c r="H189" s="72" t="n"/>
      <c r="I189" s="73" t="n"/>
      <c r="J189" s="75">
        <f>IF(B189="","",SUMIFS('Change Orders'!$J$7:$J$1006,'Change Orders'!$E$7:$E$1006,B189,'Change Orders'!$L$7:$L$1006,"Approved"))</f>
        <v/>
      </c>
      <c r="K189" s="76">
        <f>IF(B189="","",I189+J189)</f>
        <v/>
      </c>
      <c r="L189" s="74" t="n"/>
      <c r="M189" s="109" t="n"/>
      <c r="N189" s="109" t="n"/>
      <c r="O189" s="74" t="n"/>
      <c r="P189" s="74" t="n"/>
      <c r="Q189" s="100" t="n"/>
      <c r="R189" s="110" t="n"/>
      <c r="S189" s="75">
        <f>IF(B189="","",SUMIFS('Payments'!$N$6:$N$1005,'Payments'!$B$6:$B$1005,B189))</f>
        <v/>
      </c>
      <c r="T189" s="111">
        <f>IF(OR(B189="",K189=0),"",S189/K189)</f>
        <v/>
      </c>
      <c r="U189" s="78">
        <f>IF(V189="","",IF(V189=2,"⚠️ Paying ahead of work","✓ OK"))</f>
        <v/>
      </c>
      <c r="V189" s="79">
        <f>IF(T189="","",IF(T189-R189&gt;OverpayTol,2,0))</f>
        <v/>
      </c>
      <c r="W189" s="112">
        <f>IF(V189=2,AsOf,"")</f>
        <v/>
      </c>
      <c r="X189" s="79">
        <f>IF(W189="","",1)</f>
        <v/>
      </c>
      <c r="Y189" s="79">
        <f>IF(X189="","","Paying ahead of work: "&amp;B189&amp;" — paid "&amp;ROUND(T189*100,0)&amp;"%, work done "&amp;ROUND(R189*100,0)&amp;"%")</f>
        <v/>
      </c>
      <c r="AA189" s="72" t="n"/>
      <c r="AB189" s="109" t="n"/>
      <c r="AC189" s="113" t="n"/>
      <c r="AD189" s="74" t="n"/>
      <c r="AE189" s="109" t="n"/>
      <c r="AF189" s="74" t="n"/>
      <c r="AG189" s="112">
        <f>IF(AND(AA189&lt;&gt;"",AD189="Yes",AF189&lt;&gt;"Yes",AE189&lt;&gt;""),AE189,"")</f>
        <v/>
      </c>
      <c r="AH189" s="79">
        <f>IF(AG189="","",IF(AG189&lt;AsOf,1,IF(AG189&lt;=AsOf+AlertDays,2,IF(AG189&lt;=AsOf+2*AlertDays,3,""))))</f>
        <v/>
      </c>
      <c r="AI189" s="79">
        <f>IF(AH189="","","Follow up with "&amp;AA189&amp;": "&amp;AC189)</f>
        <v/>
      </c>
    </row>
    <row r="190" ht="20" customHeight="1">
      <c r="B190" s="72" t="n"/>
      <c r="C190" s="72" t="n"/>
      <c r="D190" s="72" t="n"/>
      <c r="E190" s="72" t="n"/>
      <c r="F190" s="72" t="n"/>
      <c r="G190" s="72" t="n"/>
      <c r="H190" s="72" t="n"/>
      <c r="I190" s="73" t="n"/>
      <c r="J190" s="75">
        <f>IF(B190="","",SUMIFS('Change Orders'!$J$7:$J$1006,'Change Orders'!$E$7:$E$1006,B190,'Change Orders'!$L$7:$L$1006,"Approved"))</f>
        <v/>
      </c>
      <c r="K190" s="76">
        <f>IF(B190="","",I190+J190)</f>
        <v/>
      </c>
      <c r="L190" s="74" t="n"/>
      <c r="M190" s="109" t="n"/>
      <c r="N190" s="109" t="n"/>
      <c r="O190" s="74" t="n"/>
      <c r="P190" s="74" t="n"/>
      <c r="Q190" s="100" t="n"/>
      <c r="R190" s="110" t="n"/>
      <c r="S190" s="75">
        <f>IF(B190="","",SUMIFS('Payments'!$N$6:$N$1005,'Payments'!$B$6:$B$1005,B190))</f>
        <v/>
      </c>
      <c r="T190" s="111">
        <f>IF(OR(B190="",K190=0),"",S190/K190)</f>
        <v/>
      </c>
      <c r="U190" s="78">
        <f>IF(V190="","",IF(V190=2,"⚠️ Paying ahead of work","✓ OK"))</f>
        <v/>
      </c>
      <c r="V190" s="79">
        <f>IF(T190="","",IF(T190-R190&gt;OverpayTol,2,0))</f>
        <v/>
      </c>
      <c r="W190" s="112">
        <f>IF(V190=2,AsOf,"")</f>
        <v/>
      </c>
      <c r="X190" s="79">
        <f>IF(W190="","",1)</f>
        <v/>
      </c>
      <c r="Y190" s="79">
        <f>IF(X190="","","Paying ahead of work: "&amp;B190&amp;" — paid "&amp;ROUND(T190*100,0)&amp;"%, work done "&amp;ROUND(R190*100,0)&amp;"%")</f>
        <v/>
      </c>
      <c r="AA190" s="72" t="n"/>
      <c r="AB190" s="109" t="n"/>
      <c r="AC190" s="113" t="n"/>
      <c r="AD190" s="74" t="n"/>
      <c r="AE190" s="109" t="n"/>
      <c r="AF190" s="74" t="n"/>
      <c r="AG190" s="112">
        <f>IF(AND(AA190&lt;&gt;"",AD190="Yes",AF190&lt;&gt;"Yes",AE190&lt;&gt;""),AE190,"")</f>
        <v/>
      </c>
      <c r="AH190" s="79">
        <f>IF(AG190="","",IF(AG190&lt;AsOf,1,IF(AG190&lt;=AsOf+AlertDays,2,IF(AG190&lt;=AsOf+2*AlertDays,3,""))))</f>
        <v/>
      </c>
      <c r="AI190" s="79">
        <f>IF(AH190="","","Follow up with "&amp;AA190&amp;": "&amp;AC190)</f>
        <v/>
      </c>
    </row>
    <row r="191" ht="20" customHeight="1">
      <c r="B191" s="72" t="n"/>
      <c r="C191" s="72" t="n"/>
      <c r="D191" s="72" t="n"/>
      <c r="E191" s="72" t="n"/>
      <c r="F191" s="72" t="n"/>
      <c r="G191" s="72" t="n"/>
      <c r="H191" s="72" t="n"/>
      <c r="I191" s="73" t="n"/>
      <c r="J191" s="75">
        <f>IF(B191="","",SUMIFS('Change Orders'!$J$7:$J$1006,'Change Orders'!$E$7:$E$1006,B191,'Change Orders'!$L$7:$L$1006,"Approved"))</f>
        <v/>
      </c>
      <c r="K191" s="76">
        <f>IF(B191="","",I191+J191)</f>
        <v/>
      </c>
      <c r="L191" s="74" t="n"/>
      <c r="M191" s="109" t="n"/>
      <c r="N191" s="109" t="n"/>
      <c r="O191" s="74" t="n"/>
      <c r="P191" s="74" t="n"/>
      <c r="Q191" s="100" t="n"/>
      <c r="R191" s="110" t="n"/>
      <c r="S191" s="75">
        <f>IF(B191="","",SUMIFS('Payments'!$N$6:$N$1005,'Payments'!$B$6:$B$1005,B191))</f>
        <v/>
      </c>
      <c r="T191" s="111">
        <f>IF(OR(B191="",K191=0),"",S191/K191)</f>
        <v/>
      </c>
      <c r="U191" s="78">
        <f>IF(V191="","",IF(V191=2,"⚠️ Paying ahead of work","✓ OK"))</f>
        <v/>
      </c>
      <c r="V191" s="79">
        <f>IF(T191="","",IF(T191-R191&gt;OverpayTol,2,0))</f>
        <v/>
      </c>
      <c r="W191" s="112">
        <f>IF(V191=2,AsOf,"")</f>
        <v/>
      </c>
      <c r="X191" s="79">
        <f>IF(W191="","",1)</f>
        <v/>
      </c>
      <c r="Y191" s="79">
        <f>IF(X191="","","Paying ahead of work: "&amp;B191&amp;" — paid "&amp;ROUND(T191*100,0)&amp;"%, work done "&amp;ROUND(R191*100,0)&amp;"%")</f>
        <v/>
      </c>
      <c r="AA191" s="72" t="n"/>
      <c r="AB191" s="109" t="n"/>
      <c r="AC191" s="113" t="n"/>
      <c r="AD191" s="74" t="n"/>
      <c r="AE191" s="109" t="n"/>
      <c r="AF191" s="74" t="n"/>
      <c r="AG191" s="112">
        <f>IF(AND(AA191&lt;&gt;"",AD191="Yes",AF191&lt;&gt;"Yes",AE191&lt;&gt;""),AE191,"")</f>
        <v/>
      </c>
      <c r="AH191" s="79">
        <f>IF(AG191="","",IF(AG191&lt;AsOf,1,IF(AG191&lt;=AsOf+AlertDays,2,IF(AG191&lt;=AsOf+2*AlertDays,3,""))))</f>
        <v/>
      </c>
      <c r="AI191" s="79">
        <f>IF(AH191="","","Follow up with "&amp;AA191&amp;": "&amp;AC191)</f>
        <v/>
      </c>
    </row>
    <row r="192" ht="20" customHeight="1">
      <c r="B192" s="72" t="n"/>
      <c r="C192" s="72" t="n"/>
      <c r="D192" s="72" t="n"/>
      <c r="E192" s="72" t="n"/>
      <c r="F192" s="72" t="n"/>
      <c r="G192" s="72" t="n"/>
      <c r="H192" s="72" t="n"/>
      <c r="I192" s="73" t="n"/>
      <c r="J192" s="75">
        <f>IF(B192="","",SUMIFS('Change Orders'!$J$7:$J$1006,'Change Orders'!$E$7:$E$1006,B192,'Change Orders'!$L$7:$L$1006,"Approved"))</f>
        <v/>
      </c>
      <c r="K192" s="76">
        <f>IF(B192="","",I192+J192)</f>
        <v/>
      </c>
      <c r="L192" s="74" t="n"/>
      <c r="M192" s="109" t="n"/>
      <c r="N192" s="109" t="n"/>
      <c r="O192" s="74" t="n"/>
      <c r="P192" s="74" t="n"/>
      <c r="Q192" s="100" t="n"/>
      <c r="R192" s="110" t="n"/>
      <c r="S192" s="75">
        <f>IF(B192="","",SUMIFS('Payments'!$N$6:$N$1005,'Payments'!$B$6:$B$1005,B192))</f>
        <v/>
      </c>
      <c r="T192" s="111">
        <f>IF(OR(B192="",K192=0),"",S192/K192)</f>
        <v/>
      </c>
      <c r="U192" s="78">
        <f>IF(V192="","",IF(V192=2,"⚠️ Paying ahead of work","✓ OK"))</f>
        <v/>
      </c>
      <c r="V192" s="79">
        <f>IF(T192="","",IF(T192-R192&gt;OverpayTol,2,0))</f>
        <v/>
      </c>
      <c r="W192" s="112">
        <f>IF(V192=2,AsOf,"")</f>
        <v/>
      </c>
      <c r="X192" s="79">
        <f>IF(W192="","",1)</f>
        <v/>
      </c>
      <c r="Y192" s="79">
        <f>IF(X192="","","Paying ahead of work: "&amp;B192&amp;" — paid "&amp;ROUND(T192*100,0)&amp;"%, work done "&amp;ROUND(R192*100,0)&amp;"%")</f>
        <v/>
      </c>
      <c r="AA192" s="72" t="n"/>
      <c r="AB192" s="109" t="n"/>
      <c r="AC192" s="113" t="n"/>
      <c r="AD192" s="74" t="n"/>
      <c r="AE192" s="109" t="n"/>
      <c r="AF192" s="74" t="n"/>
      <c r="AG192" s="112">
        <f>IF(AND(AA192&lt;&gt;"",AD192="Yes",AF192&lt;&gt;"Yes",AE192&lt;&gt;""),AE192,"")</f>
        <v/>
      </c>
      <c r="AH192" s="79">
        <f>IF(AG192="","",IF(AG192&lt;AsOf,1,IF(AG192&lt;=AsOf+AlertDays,2,IF(AG192&lt;=AsOf+2*AlertDays,3,""))))</f>
        <v/>
      </c>
      <c r="AI192" s="79">
        <f>IF(AH192="","","Follow up with "&amp;AA192&amp;": "&amp;AC192)</f>
        <v/>
      </c>
    </row>
    <row r="193" ht="20" customHeight="1">
      <c r="B193" s="72" t="n"/>
      <c r="C193" s="72" t="n"/>
      <c r="D193" s="72" t="n"/>
      <c r="E193" s="72" t="n"/>
      <c r="F193" s="72" t="n"/>
      <c r="G193" s="72" t="n"/>
      <c r="H193" s="72" t="n"/>
      <c r="I193" s="73" t="n"/>
      <c r="J193" s="75">
        <f>IF(B193="","",SUMIFS('Change Orders'!$J$7:$J$1006,'Change Orders'!$E$7:$E$1006,B193,'Change Orders'!$L$7:$L$1006,"Approved"))</f>
        <v/>
      </c>
      <c r="K193" s="76">
        <f>IF(B193="","",I193+J193)</f>
        <v/>
      </c>
      <c r="L193" s="74" t="n"/>
      <c r="M193" s="109" t="n"/>
      <c r="N193" s="109" t="n"/>
      <c r="O193" s="74" t="n"/>
      <c r="P193" s="74" t="n"/>
      <c r="Q193" s="100" t="n"/>
      <c r="R193" s="110" t="n"/>
      <c r="S193" s="75">
        <f>IF(B193="","",SUMIFS('Payments'!$N$6:$N$1005,'Payments'!$B$6:$B$1005,B193))</f>
        <v/>
      </c>
      <c r="T193" s="111">
        <f>IF(OR(B193="",K193=0),"",S193/K193)</f>
        <v/>
      </c>
      <c r="U193" s="78">
        <f>IF(V193="","",IF(V193=2,"⚠️ Paying ahead of work","✓ OK"))</f>
        <v/>
      </c>
      <c r="V193" s="79">
        <f>IF(T193="","",IF(T193-R193&gt;OverpayTol,2,0))</f>
        <v/>
      </c>
      <c r="W193" s="112">
        <f>IF(V193=2,AsOf,"")</f>
        <v/>
      </c>
      <c r="X193" s="79">
        <f>IF(W193="","",1)</f>
        <v/>
      </c>
      <c r="Y193" s="79">
        <f>IF(X193="","","Paying ahead of work: "&amp;B193&amp;" — paid "&amp;ROUND(T193*100,0)&amp;"%, work done "&amp;ROUND(R193*100,0)&amp;"%")</f>
        <v/>
      </c>
      <c r="AA193" s="72" t="n"/>
      <c r="AB193" s="109" t="n"/>
      <c r="AC193" s="113" t="n"/>
      <c r="AD193" s="74" t="n"/>
      <c r="AE193" s="109" t="n"/>
      <c r="AF193" s="74" t="n"/>
      <c r="AG193" s="112">
        <f>IF(AND(AA193&lt;&gt;"",AD193="Yes",AF193&lt;&gt;"Yes",AE193&lt;&gt;""),AE193,"")</f>
        <v/>
      </c>
      <c r="AH193" s="79">
        <f>IF(AG193="","",IF(AG193&lt;AsOf,1,IF(AG193&lt;=AsOf+AlertDays,2,IF(AG193&lt;=AsOf+2*AlertDays,3,""))))</f>
        <v/>
      </c>
      <c r="AI193" s="79">
        <f>IF(AH193="","","Follow up with "&amp;AA193&amp;": "&amp;AC193)</f>
        <v/>
      </c>
    </row>
    <row r="194" ht="20" customHeight="1">
      <c r="B194" s="72" t="n"/>
      <c r="C194" s="72" t="n"/>
      <c r="D194" s="72" t="n"/>
      <c r="E194" s="72" t="n"/>
      <c r="F194" s="72" t="n"/>
      <c r="G194" s="72" t="n"/>
      <c r="H194" s="72" t="n"/>
      <c r="I194" s="73" t="n"/>
      <c r="J194" s="75">
        <f>IF(B194="","",SUMIFS('Change Orders'!$J$7:$J$1006,'Change Orders'!$E$7:$E$1006,B194,'Change Orders'!$L$7:$L$1006,"Approved"))</f>
        <v/>
      </c>
      <c r="K194" s="76">
        <f>IF(B194="","",I194+J194)</f>
        <v/>
      </c>
      <c r="L194" s="74" t="n"/>
      <c r="M194" s="109" t="n"/>
      <c r="N194" s="109" t="n"/>
      <c r="O194" s="74" t="n"/>
      <c r="P194" s="74" t="n"/>
      <c r="Q194" s="100" t="n"/>
      <c r="R194" s="110" t="n"/>
      <c r="S194" s="75">
        <f>IF(B194="","",SUMIFS('Payments'!$N$6:$N$1005,'Payments'!$B$6:$B$1005,B194))</f>
        <v/>
      </c>
      <c r="T194" s="111">
        <f>IF(OR(B194="",K194=0),"",S194/K194)</f>
        <v/>
      </c>
      <c r="U194" s="78">
        <f>IF(V194="","",IF(V194=2,"⚠️ Paying ahead of work","✓ OK"))</f>
        <v/>
      </c>
      <c r="V194" s="79">
        <f>IF(T194="","",IF(T194-R194&gt;OverpayTol,2,0))</f>
        <v/>
      </c>
      <c r="W194" s="112">
        <f>IF(V194=2,AsOf,"")</f>
        <v/>
      </c>
      <c r="X194" s="79">
        <f>IF(W194="","",1)</f>
        <v/>
      </c>
      <c r="Y194" s="79">
        <f>IF(X194="","","Paying ahead of work: "&amp;B194&amp;" — paid "&amp;ROUND(T194*100,0)&amp;"%, work done "&amp;ROUND(R194*100,0)&amp;"%")</f>
        <v/>
      </c>
      <c r="AA194" s="72" t="n"/>
      <c r="AB194" s="109" t="n"/>
      <c r="AC194" s="113" t="n"/>
      <c r="AD194" s="74" t="n"/>
      <c r="AE194" s="109" t="n"/>
      <c r="AF194" s="74" t="n"/>
      <c r="AG194" s="112">
        <f>IF(AND(AA194&lt;&gt;"",AD194="Yes",AF194&lt;&gt;"Yes",AE194&lt;&gt;""),AE194,"")</f>
        <v/>
      </c>
      <c r="AH194" s="79">
        <f>IF(AG194="","",IF(AG194&lt;AsOf,1,IF(AG194&lt;=AsOf+AlertDays,2,IF(AG194&lt;=AsOf+2*AlertDays,3,""))))</f>
        <v/>
      </c>
      <c r="AI194" s="79">
        <f>IF(AH194="","","Follow up with "&amp;AA194&amp;": "&amp;AC194)</f>
        <v/>
      </c>
    </row>
    <row r="195" ht="20" customHeight="1">
      <c r="B195" s="72" t="n"/>
      <c r="C195" s="72" t="n"/>
      <c r="D195" s="72" t="n"/>
      <c r="E195" s="72" t="n"/>
      <c r="F195" s="72" t="n"/>
      <c r="G195" s="72" t="n"/>
      <c r="H195" s="72" t="n"/>
      <c r="I195" s="73" t="n"/>
      <c r="J195" s="75">
        <f>IF(B195="","",SUMIFS('Change Orders'!$J$7:$J$1006,'Change Orders'!$E$7:$E$1006,B195,'Change Orders'!$L$7:$L$1006,"Approved"))</f>
        <v/>
      </c>
      <c r="K195" s="76">
        <f>IF(B195="","",I195+J195)</f>
        <v/>
      </c>
      <c r="L195" s="74" t="n"/>
      <c r="M195" s="109" t="n"/>
      <c r="N195" s="109" t="n"/>
      <c r="O195" s="74" t="n"/>
      <c r="P195" s="74" t="n"/>
      <c r="Q195" s="100" t="n"/>
      <c r="R195" s="110" t="n"/>
      <c r="S195" s="75">
        <f>IF(B195="","",SUMIFS('Payments'!$N$6:$N$1005,'Payments'!$B$6:$B$1005,B195))</f>
        <v/>
      </c>
      <c r="T195" s="111">
        <f>IF(OR(B195="",K195=0),"",S195/K195)</f>
        <v/>
      </c>
      <c r="U195" s="78">
        <f>IF(V195="","",IF(V195=2,"⚠️ Paying ahead of work","✓ OK"))</f>
        <v/>
      </c>
      <c r="V195" s="79">
        <f>IF(T195="","",IF(T195-R195&gt;OverpayTol,2,0))</f>
        <v/>
      </c>
      <c r="W195" s="112">
        <f>IF(V195=2,AsOf,"")</f>
        <v/>
      </c>
      <c r="X195" s="79">
        <f>IF(W195="","",1)</f>
        <v/>
      </c>
      <c r="Y195" s="79">
        <f>IF(X195="","","Paying ahead of work: "&amp;B195&amp;" — paid "&amp;ROUND(T195*100,0)&amp;"%, work done "&amp;ROUND(R195*100,0)&amp;"%")</f>
        <v/>
      </c>
      <c r="AA195" s="72" t="n"/>
      <c r="AB195" s="109" t="n"/>
      <c r="AC195" s="113" t="n"/>
      <c r="AD195" s="74" t="n"/>
      <c r="AE195" s="109" t="n"/>
      <c r="AF195" s="74" t="n"/>
      <c r="AG195" s="112">
        <f>IF(AND(AA195&lt;&gt;"",AD195="Yes",AF195&lt;&gt;"Yes",AE195&lt;&gt;""),AE195,"")</f>
        <v/>
      </c>
      <c r="AH195" s="79">
        <f>IF(AG195="","",IF(AG195&lt;AsOf,1,IF(AG195&lt;=AsOf+AlertDays,2,IF(AG195&lt;=AsOf+2*AlertDays,3,""))))</f>
        <v/>
      </c>
      <c r="AI195" s="79">
        <f>IF(AH195="","","Follow up with "&amp;AA195&amp;": "&amp;AC195)</f>
        <v/>
      </c>
    </row>
    <row r="196" ht="20" customHeight="1">
      <c r="B196" s="72" t="n"/>
      <c r="C196" s="72" t="n"/>
      <c r="D196" s="72" t="n"/>
      <c r="E196" s="72" t="n"/>
      <c r="F196" s="72" t="n"/>
      <c r="G196" s="72" t="n"/>
      <c r="H196" s="72" t="n"/>
      <c r="I196" s="73" t="n"/>
      <c r="J196" s="75">
        <f>IF(B196="","",SUMIFS('Change Orders'!$J$7:$J$1006,'Change Orders'!$E$7:$E$1006,B196,'Change Orders'!$L$7:$L$1006,"Approved"))</f>
        <v/>
      </c>
      <c r="K196" s="76">
        <f>IF(B196="","",I196+J196)</f>
        <v/>
      </c>
      <c r="L196" s="74" t="n"/>
      <c r="M196" s="109" t="n"/>
      <c r="N196" s="109" t="n"/>
      <c r="O196" s="74" t="n"/>
      <c r="P196" s="74" t="n"/>
      <c r="Q196" s="100" t="n"/>
      <c r="R196" s="110" t="n"/>
      <c r="S196" s="75">
        <f>IF(B196="","",SUMIFS('Payments'!$N$6:$N$1005,'Payments'!$B$6:$B$1005,B196))</f>
        <v/>
      </c>
      <c r="T196" s="111">
        <f>IF(OR(B196="",K196=0),"",S196/K196)</f>
        <v/>
      </c>
      <c r="U196" s="78">
        <f>IF(V196="","",IF(V196=2,"⚠️ Paying ahead of work","✓ OK"))</f>
        <v/>
      </c>
      <c r="V196" s="79">
        <f>IF(T196="","",IF(T196-R196&gt;OverpayTol,2,0))</f>
        <v/>
      </c>
      <c r="W196" s="112">
        <f>IF(V196=2,AsOf,"")</f>
        <v/>
      </c>
      <c r="X196" s="79">
        <f>IF(W196="","",1)</f>
        <v/>
      </c>
      <c r="Y196" s="79">
        <f>IF(X196="","","Paying ahead of work: "&amp;B196&amp;" — paid "&amp;ROUND(T196*100,0)&amp;"%, work done "&amp;ROUND(R196*100,0)&amp;"%")</f>
        <v/>
      </c>
      <c r="AA196" s="72" t="n"/>
      <c r="AB196" s="109" t="n"/>
      <c r="AC196" s="113" t="n"/>
      <c r="AD196" s="74" t="n"/>
      <c r="AE196" s="109" t="n"/>
      <c r="AF196" s="74" t="n"/>
      <c r="AG196" s="112">
        <f>IF(AND(AA196&lt;&gt;"",AD196="Yes",AF196&lt;&gt;"Yes",AE196&lt;&gt;""),AE196,"")</f>
        <v/>
      </c>
      <c r="AH196" s="79">
        <f>IF(AG196="","",IF(AG196&lt;AsOf,1,IF(AG196&lt;=AsOf+AlertDays,2,IF(AG196&lt;=AsOf+2*AlertDays,3,""))))</f>
        <v/>
      </c>
      <c r="AI196" s="79">
        <f>IF(AH196="","","Follow up with "&amp;AA196&amp;": "&amp;AC196)</f>
        <v/>
      </c>
    </row>
    <row r="197" ht="20" customHeight="1">
      <c r="B197" s="72" t="n"/>
      <c r="C197" s="72" t="n"/>
      <c r="D197" s="72" t="n"/>
      <c r="E197" s="72" t="n"/>
      <c r="F197" s="72" t="n"/>
      <c r="G197" s="72" t="n"/>
      <c r="H197" s="72" t="n"/>
      <c r="I197" s="73" t="n"/>
      <c r="J197" s="75">
        <f>IF(B197="","",SUMIFS('Change Orders'!$J$7:$J$1006,'Change Orders'!$E$7:$E$1006,B197,'Change Orders'!$L$7:$L$1006,"Approved"))</f>
        <v/>
      </c>
      <c r="K197" s="76">
        <f>IF(B197="","",I197+J197)</f>
        <v/>
      </c>
      <c r="L197" s="74" t="n"/>
      <c r="M197" s="109" t="n"/>
      <c r="N197" s="109" t="n"/>
      <c r="O197" s="74" t="n"/>
      <c r="P197" s="74" t="n"/>
      <c r="Q197" s="100" t="n"/>
      <c r="R197" s="110" t="n"/>
      <c r="S197" s="75">
        <f>IF(B197="","",SUMIFS('Payments'!$N$6:$N$1005,'Payments'!$B$6:$B$1005,B197))</f>
        <v/>
      </c>
      <c r="T197" s="111">
        <f>IF(OR(B197="",K197=0),"",S197/K197)</f>
        <v/>
      </c>
      <c r="U197" s="78">
        <f>IF(V197="","",IF(V197=2,"⚠️ Paying ahead of work","✓ OK"))</f>
        <v/>
      </c>
      <c r="V197" s="79">
        <f>IF(T197="","",IF(T197-R197&gt;OverpayTol,2,0))</f>
        <v/>
      </c>
      <c r="W197" s="112">
        <f>IF(V197=2,AsOf,"")</f>
        <v/>
      </c>
      <c r="X197" s="79">
        <f>IF(W197="","",1)</f>
        <v/>
      </c>
      <c r="Y197" s="79">
        <f>IF(X197="","","Paying ahead of work: "&amp;B197&amp;" — paid "&amp;ROUND(T197*100,0)&amp;"%, work done "&amp;ROUND(R197*100,0)&amp;"%")</f>
        <v/>
      </c>
      <c r="AA197" s="72" t="n"/>
      <c r="AB197" s="109" t="n"/>
      <c r="AC197" s="113" t="n"/>
      <c r="AD197" s="74" t="n"/>
      <c r="AE197" s="109" t="n"/>
      <c r="AF197" s="74" t="n"/>
      <c r="AG197" s="112">
        <f>IF(AND(AA197&lt;&gt;"",AD197="Yes",AF197&lt;&gt;"Yes",AE197&lt;&gt;""),AE197,"")</f>
        <v/>
      </c>
      <c r="AH197" s="79">
        <f>IF(AG197="","",IF(AG197&lt;AsOf,1,IF(AG197&lt;=AsOf+AlertDays,2,IF(AG197&lt;=AsOf+2*AlertDays,3,""))))</f>
        <v/>
      </c>
      <c r="AI197" s="79">
        <f>IF(AH197="","","Follow up with "&amp;AA197&amp;": "&amp;AC197)</f>
        <v/>
      </c>
    </row>
    <row r="198" ht="20" customHeight="1">
      <c r="B198" s="72" t="n"/>
      <c r="C198" s="72" t="n"/>
      <c r="D198" s="72" t="n"/>
      <c r="E198" s="72" t="n"/>
      <c r="F198" s="72" t="n"/>
      <c r="G198" s="72" t="n"/>
      <c r="H198" s="72" t="n"/>
      <c r="I198" s="73" t="n"/>
      <c r="J198" s="75">
        <f>IF(B198="","",SUMIFS('Change Orders'!$J$7:$J$1006,'Change Orders'!$E$7:$E$1006,B198,'Change Orders'!$L$7:$L$1006,"Approved"))</f>
        <v/>
      </c>
      <c r="K198" s="76">
        <f>IF(B198="","",I198+J198)</f>
        <v/>
      </c>
      <c r="L198" s="74" t="n"/>
      <c r="M198" s="109" t="n"/>
      <c r="N198" s="109" t="n"/>
      <c r="O198" s="74" t="n"/>
      <c r="P198" s="74" t="n"/>
      <c r="Q198" s="100" t="n"/>
      <c r="R198" s="110" t="n"/>
      <c r="S198" s="75">
        <f>IF(B198="","",SUMIFS('Payments'!$N$6:$N$1005,'Payments'!$B$6:$B$1005,B198))</f>
        <v/>
      </c>
      <c r="T198" s="111">
        <f>IF(OR(B198="",K198=0),"",S198/K198)</f>
        <v/>
      </c>
      <c r="U198" s="78">
        <f>IF(V198="","",IF(V198=2,"⚠️ Paying ahead of work","✓ OK"))</f>
        <v/>
      </c>
      <c r="V198" s="79">
        <f>IF(T198="","",IF(T198-R198&gt;OverpayTol,2,0))</f>
        <v/>
      </c>
      <c r="W198" s="112">
        <f>IF(V198=2,AsOf,"")</f>
        <v/>
      </c>
      <c r="X198" s="79">
        <f>IF(W198="","",1)</f>
        <v/>
      </c>
      <c r="Y198" s="79">
        <f>IF(X198="","","Paying ahead of work: "&amp;B198&amp;" — paid "&amp;ROUND(T198*100,0)&amp;"%, work done "&amp;ROUND(R198*100,0)&amp;"%")</f>
        <v/>
      </c>
      <c r="AA198" s="72" t="n"/>
      <c r="AB198" s="109" t="n"/>
      <c r="AC198" s="113" t="n"/>
      <c r="AD198" s="74" t="n"/>
      <c r="AE198" s="109" t="n"/>
      <c r="AF198" s="74" t="n"/>
      <c r="AG198" s="112">
        <f>IF(AND(AA198&lt;&gt;"",AD198="Yes",AF198&lt;&gt;"Yes",AE198&lt;&gt;""),AE198,"")</f>
        <v/>
      </c>
      <c r="AH198" s="79">
        <f>IF(AG198="","",IF(AG198&lt;AsOf,1,IF(AG198&lt;=AsOf+AlertDays,2,IF(AG198&lt;=AsOf+2*AlertDays,3,""))))</f>
        <v/>
      </c>
      <c r="AI198" s="79">
        <f>IF(AH198="","","Follow up with "&amp;AA198&amp;": "&amp;AC198)</f>
        <v/>
      </c>
    </row>
    <row r="199" ht="20" customHeight="1">
      <c r="B199" s="72" t="n"/>
      <c r="C199" s="72" t="n"/>
      <c r="D199" s="72" t="n"/>
      <c r="E199" s="72" t="n"/>
      <c r="F199" s="72" t="n"/>
      <c r="G199" s="72" t="n"/>
      <c r="H199" s="72" t="n"/>
      <c r="I199" s="73" t="n"/>
      <c r="J199" s="75">
        <f>IF(B199="","",SUMIFS('Change Orders'!$J$7:$J$1006,'Change Orders'!$E$7:$E$1006,B199,'Change Orders'!$L$7:$L$1006,"Approved"))</f>
        <v/>
      </c>
      <c r="K199" s="76">
        <f>IF(B199="","",I199+J199)</f>
        <v/>
      </c>
      <c r="L199" s="74" t="n"/>
      <c r="M199" s="109" t="n"/>
      <c r="N199" s="109" t="n"/>
      <c r="O199" s="74" t="n"/>
      <c r="P199" s="74" t="n"/>
      <c r="Q199" s="100" t="n"/>
      <c r="R199" s="110" t="n"/>
      <c r="S199" s="75">
        <f>IF(B199="","",SUMIFS('Payments'!$N$6:$N$1005,'Payments'!$B$6:$B$1005,B199))</f>
        <v/>
      </c>
      <c r="T199" s="111">
        <f>IF(OR(B199="",K199=0),"",S199/K199)</f>
        <v/>
      </c>
      <c r="U199" s="78">
        <f>IF(V199="","",IF(V199=2,"⚠️ Paying ahead of work","✓ OK"))</f>
        <v/>
      </c>
      <c r="V199" s="79">
        <f>IF(T199="","",IF(T199-R199&gt;OverpayTol,2,0))</f>
        <v/>
      </c>
      <c r="W199" s="112">
        <f>IF(V199=2,AsOf,"")</f>
        <v/>
      </c>
      <c r="X199" s="79">
        <f>IF(W199="","",1)</f>
        <v/>
      </c>
      <c r="Y199" s="79">
        <f>IF(X199="","","Paying ahead of work: "&amp;B199&amp;" — paid "&amp;ROUND(T199*100,0)&amp;"%, work done "&amp;ROUND(R199*100,0)&amp;"%")</f>
        <v/>
      </c>
      <c r="AA199" s="72" t="n"/>
      <c r="AB199" s="109" t="n"/>
      <c r="AC199" s="113" t="n"/>
      <c r="AD199" s="74" t="n"/>
      <c r="AE199" s="109" t="n"/>
      <c r="AF199" s="74" t="n"/>
      <c r="AG199" s="112">
        <f>IF(AND(AA199&lt;&gt;"",AD199="Yes",AF199&lt;&gt;"Yes",AE199&lt;&gt;""),AE199,"")</f>
        <v/>
      </c>
      <c r="AH199" s="79">
        <f>IF(AG199="","",IF(AG199&lt;AsOf,1,IF(AG199&lt;=AsOf+AlertDays,2,IF(AG199&lt;=AsOf+2*AlertDays,3,""))))</f>
        <v/>
      </c>
      <c r="AI199" s="79">
        <f>IF(AH199="","","Follow up with "&amp;AA199&amp;": "&amp;AC199)</f>
        <v/>
      </c>
    </row>
    <row r="200" ht="20" customHeight="1">
      <c r="B200" s="72" t="n"/>
      <c r="C200" s="72" t="n"/>
      <c r="D200" s="72" t="n"/>
      <c r="E200" s="72" t="n"/>
      <c r="F200" s="72" t="n"/>
      <c r="G200" s="72" t="n"/>
      <c r="H200" s="72" t="n"/>
      <c r="I200" s="73" t="n"/>
      <c r="J200" s="75">
        <f>IF(B200="","",SUMIFS('Change Orders'!$J$7:$J$1006,'Change Orders'!$E$7:$E$1006,B200,'Change Orders'!$L$7:$L$1006,"Approved"))</f>
        <v/>
      </c>
      <c r="K200" s="76">
        <f>IF(B200="","",I200+J200)</f>
        <v/>
      </c>
      <c r="L200" s="74" t="n"/>
      <c r="M200" s="109" t="n"/>
      <c r="N200" s="109" t="n"/>
      <c r="O200" s="74" t="n"/>
      <c r="P200" s="74" t="n"/>
      <c r="Q200" s="100" t="n"/>
      <c r="R200" s="110" t="n"/>
      <c r="S200" s="75">
        <f>IF(B200="","",SUMIFS('Payments'!$N$6:$N$1005,'Payments'!$B$6:$B$1005,B200))</f>
        <v/>
      </c>
      <c r="T200" s="111">
        <f>IF(OR(B200="",K200=0),"",S200/K200)</f>
        <v/>
      </c>
      <c r="U200" s="78">
        <f>IF(V200="","",IF(V200=2,"⚠️ Paying ahead of work","✓ OK"))</f>
        <v/>
      </c>
      <c r="V200" s="79">
        <f>IF(T200="","",IF(T200-R200&gt;OverpayTol,2,0))</f>
        <v/>
      </c>
      <c r="W200" s="112">
        <f>IF(V200=2,AsOf,"")</f>
        <v/>
      </c>
      <c r="X200" s="79">
        <f>IF(W200="","",1)</f>
        <v/>
      </c>
      <c r="Y200" s="79">
        <f>IF(X200="","","Paying ahead of work: "&amp;B200&amp;" — paid "&amp;ROUND(T200*100,0)&amp;"%, work done "&amp;ROUND(R200*100,0)&amp;"%")</f>
        <v/>
      </c>
      <c r="AA200" s="72" t="n"/>
      <c r="AB200" s="109" t="n"/>
      <c r="AC200" s="113" t="n"/>
      <c r="AD200" s="74" t="n"/>
      <c r="AE200" s="109" t="n"/>
      <c r="AF200" s="74" t="n"/>
      <c r="AG200" s="112">
        <f>IF(AND(AA200&lt;&gt;"",AD200="Yes",AF200&lt;&gt;"Yes",AE200&lt;&gt;""),AE200,"")</f>
        <v/>
      </c>
      <c r="AH200" s="79">
        <f>IF(AG200="","",IF(AG200&lt;AsOf,1,IF(AG200&lt;=AsOf+AlertDays,2,IF(AG200&lt;=AsOf+2*AlertDays,3,""))))</f>
        <v/>
      </c>
      <c r="AI200" s="79">
        <f>IF(AH200="","","Follow up with "&amp;AA200&amp;": "&amp;AC200)</f>
        <v/>
      </c>
    </row>
    <row r="201" ht="20" customHeight="1">
      <c r="B201" s="72" t="n"/>
      <c r="C201" s="72" t="n"/>
      <c r="D201" s="72" t="n"/>
      <c r="E201" s="72" t="n"/>
      <c r="F201" s="72" t="n"/>
      <c r="G201" s="72" t="n"/>
      <c r="H201" s="72" t="n"/>
      <c r="I201" s="73" t="n"/>
      <c r="J201" s="75">
        <f>IF(B201="","",SUMIFS('Change Orders'!$J$7:$J$1006,'Change Orders'!$E$7:$E$1006,B201,'Change Orders'!$L$7:$L$1006,"Approved"))</f>
        <v/>
      </c>
      <c r="K201" s="76">
        <f>IF(B201="","",I201+J201)</f>
        <v/>
      </c>
      <c r="L201" s="74" t="n"/>
      <c r="M201" s="109" t="n"/>
      <c r="N201" s="109" t="n"/>
      <c r="O201" s="74" t="n"/>
      <c r="P201" s="74" t="n"/>
      <c r="Q201" s="100" t="n"/>
      <c r="R201" s="110" t="n"/>
      <c r="S201" s="75">
        <f>IF(B201="","",SUMIFS('Payments'!$N$6:$N$1005,'Payments'!$B$6:$B$1005,B201))</f>
        <v/>
      </c>
      <c r="T201" s="111">
        <f>IF(OR(B201="",K201=0),"",S201/K201)</f>
        <v/>
      </c>
      <c r="U201" s="78">
        <f>IF(V201="","",IF(V201=2,"⚠️ Paying ahead of work","✓ OK"))</f>
        <v/>
      </c>
      <c r="V201" s="79">
        <f>IF(T201="","",IF(T201-R201&gt;OverpayTol,2,0))</f>
        <v/>
      </c>
      <c r="W201" s="112">
        <f>IF(V201=2,AsOf,"")</f>
        <v/>
      </c>
      <c r="X201" s="79">
        <f>IF(W201="","",1)</f>
        <v/>
      </c>
      <c r="Y201" s="79">
        <f>IF(X201="","","Paying ahead of work: "&amp;B201&amp;" — paid "&amp;ROUND(T201*100,0)&amp;"%, work done "&amp;ROUND(R201*100,0)&amp;"%")</f>
        <v/>
      </c>
      <c r="AA201" s="72" t="n"/>
      <c r="AB201" s="109" t="n"/>
      <c r="AC201" s="113" t="n"/>
      <c r="AD201" s="74" t="n"/>
      <c r="AE201" s="109" t="n"/>
      <c r="AF201" s="74" t="n"/>
      <c r="AG201" s="112">
        <f>IF(AND(AA201&lt;&gt;"",AD201="Yes",AF201&lt;&gt;"Yes",AE201&lt;&gt;""),AE201,"")</f>
        <v/>
      </c>
      <c r="AH201" s="79">
        <f>IF(AG201="","",IF(AG201&lt;AsOf,1,IF(AG201&lt;=AsOf+AlertDays,2,IF(AG201&lt;=AsOf+2*AlertDays,3,""))))</f>
        <v/>
      </c>
      <c r="AI201" s="79">
        <f>IF(AH201="","","Follow up with "&amp;AA201&amp;": "&amp;AC201)</f>
        <v/>
      </c>
    </row>
    <row r="202" ht="20" customHeight="1">
      <c r="B202" s="72" t="n"/>
      <c r="C202" s="72" t="n"/>
      <c r="D202" s="72" t="n"/>
      <c r="E202" s="72" t="n"/>
      <c r="F202" s="72" t="n"/>
      <c r="G202" s="72" t="n"/>
      <c r="H202" s="72" t="n"/>
      <c r="I202" s="73" t="n"/>
      <c r="J202" s="75">
        <f>IF(B202="","",SUMIFS('Change Orders'!$J$7:$J$1006,'Change Orders'!$E$7:$E$1006,B202,'Change Orders'!$L$7:$L$1006,"Approved"))</f>
        <v/>
      </c>
      <c r="K202" s="76">
        <f>IF(B202="","",I202+J202)</f>
        <v/>
      </c>
      <c r="L202" s="74" t="n"/>
      <c r="M202" s="109" t="n"/>
      <c r="N202" s="109" t="n"/>
      <c r="O202" s="74" t="n"/>
      <c r="P202" s="74" t="n"/>
      <c r="Q202" s="100" t="n"/>
      <c r="R202" s="110" t="n"/>
      <c r="S202" s="75">
        <f>IF(B202="","",SUMIFS('Payments'!$N$6:$N$1005,'Payments'!$B$6:$B$1005,B202))</f>
        <v/>
      </c>
      <c r="T202" s="111">
        <f>IF(OR(B202="",K202=0),"",S202/K202)</f>
        <v/>
      </c>
      <c r="U202" s="78">
        <f>IF(V202="","",IF(V202=2,"⚠️ Paying ahead of work","✓ OK"))</f>
        <v/>
      </c>
      <c r="V202" s="79">
        <f>IF(T202="","",IF(T202-R202&gt;OverpayTol,2,0))</f>
        <v/>
      </c>
      <c r="W202" s="112">
        <f>IF(V202=2,AsOf,"")</f>
        <v/>
      </c>
      <c r="X202" s="79">
        <f>IF(W202="","",1)</f>
        <v/>
      </c>
      <c r="Y202" s="79">
        <f>IF(X202="","","Paying ahead of work: "&amp;B202&amp;" — paid "&amp;ROUND(T202*100,0)&amp;"%, work done "&amp;ROUND(R202*100,0)&amp;"%")</f>
        <v/>
      </c>
      <c r="AA202" s="72" t="n"/>
      <c r="AB202" s="109" t="n"/>
      <c r="AC202" s="113" t="n"/>
      <c r="AD202" s="74" t="n"/>
      <c r="AE202" s="109" t="n"/>
      <c r="AF202" s="74" t="n"/>
      <c r="AG202" s="112">
        <f>IF(AND(AA202&lt;&gt;"",AD202="Yes",AF202&lt;&gt;"Yes",AE202&lt;&gt;""),AE202,"")</f>
        <v/>
      </c>
      <c r="AH202" s="79">
        <f>IF(AG202="","",IF(AG202&lt;AsOf,1,IF(AG202&lt;=AsOf+AlertDays,2,IF(AG202&lt;=AsOf+2*AlertDays,3,""))))</f>
        <v/>
      </c>
      <c r="AI202" s="79">
        <f>IF(AH202="","","Follow up with "&amp;AA202&amp;": "&amp;AC202)</f>
        <v/>
      </c>
    </row>
    <row r="203" ht="20" customHeight="1">
      <c r="B203" s="72" t="n"/>
      <c r="C203" s="72" t="n"/>
      <c r="D203" s="72" t="n"/>
      <c r="E203" s="72" t="n"/>
      <c r="F203" s="72" t="n"/>
      <c r="G203" s="72" t="n"/>
      <c r="H203" s="72" t="n"/>
      <c r="I203" s="73" t="n"/>
      <c r="J203" s="75">
        <f>IF(B203="","",SUMIFS('Change Orders'!$J$7:$J$1006,'Change Orders'!$E$7:$E$1006,B203,'Change Orders'!$L$7:$L$1006,"Approved"))</f>
        <v/>
      </c>
      <c r="K203" s="76">
        <f>IF(B203="","",I203+J203)</f>
        <v/>
      </c>
      <c r="L203" s="74" t="n"/>
      <c r="M203" s="109" t="n"/>
      <c r="N203" s="109" t="n"/>
      <c r="O203" s="74" t="n"/>
      <c r="P203" s="74" t="n"/>
      <c r="Q203" s="100" t="n"/>
      <c r="R203" s="110" t="n"/>
      <c r="S203" s="75">
        <f>IF(B203="","",SUMIFS('Payments'!$N$6:$N$1005,'Payments'!$B$6:$B$1005,B203))</f>
        <v/>
      </c>
      <c r="T203" s="111">
        <f>IF(OR(B203="",K203=0),"",S203/K203)</f>
        <v/>
      </c>
      <c r="U203" s="78">
        <f>IF(V203="","",IF(V203=2,"⚠️ Paying ahead of work","✓ OK"))</f>
        <v/>
      </c>
      <c r="V203" s="79">
        <f>IF(T203="","",IF(T203-R203&gt;OverpayTol,2,0))</f>
        <v/>
      </c>
      <c r="W203" s="112">
        <f>IF(V203=2,AsOf,"")</f>
        <v/>
      </c>
      <c r="X203" s="79">
        <f>IF(W203="","",1)</f>
        <v/>
      </c>
      <c r="Y203" s="79">
        <f>IF(X203="","","Paying ahead of work: "&amp;B203&amp;" — paid "&amp;ROUND(T203*100,0)&amp;"%, work done "&amp;ROUND(R203*100,0)&amp;"%")</f>
        <v/>
      </c>
      <c r="AA203" s="72" t="n"/>
      <c r="AB203" s="109" t="n"/>
      <c r="AC203" s="113" t="n"/>
      <c r="AD203" s="74" t="n"/>
      <c r="AE203" s="109" t="n"/>
      <c r="AF203" s="74" t="n"/>
      <c r="AG203" s="112">
        <f>IF(AND(AA203&lt;&gt;"",AD203="Yes",AF203&lt;&gt;"Yes",AE203&lt;&gt;""),AE203,"")</f>
        <v/>
      </c>
      <c r="AH203" s="79">
        <f>IF(AG203="","",IF(AG203&lt;AsOf,1,IF(AG203&lt;=AsOf+AlertDays,2,IF(AG203&lt;=AsOf+2*AlertDays,3,""))))</f>
        <v/>
      </c>
      <c r="AI203" s="79">
        <f>IF(AH203="","","Follow up with "&amp;AA203&amp;": "&amp;AC203)</f>
        <v/>
      </c>
    </row>
    <row r="204" ht="20" customHeight="1">
      <c r="B204" s="72" t="n"/>
      <c r="C204" s="72" t="n"/>
      <c r="D204" s="72" t="n"/>
      <c r="E204" s="72" t="n"/>
      <c r="F204" s="72" t="n"/>
      <c r="G204" s="72" t="n"/>
      <c r="H204" s="72" t="n"/>
      <c r="I204" s="73" t="n"/>
      <c r="J204" s="75">
        <f>IF(B204="","",SUMIFS('Change Orders'!$J$7:$J$1006,'Change Orders'!$E$7:$E$1006,B204,'Change Orders'!$L$7:$L$1006,"Approved"))</f>
        <v/>
      </c>
      <c r="K204" s="76">
        <f>IF(B204="","",I204+J204)</f>
        <v/>
      </c>
      <c r="L204" s="74" t="n"/>
      <c r="M204" s="109" t="n"/>
      <c r="N204" s="109" t="n"/>
      <c r="O204" s="74" t="n"/>
      <c r="P204" s="74" t="n"/>
      <c r="Q204" s="100" t="n"/>
      <c r="R204" s="110" t="n"/>
      <c r="S204" s="75">
        <f>IF(B204="","",SUMIFS('Payments'!$N$6:$N$1005,'Payments'!$B$6:$B$1005,B204))</f>
        <v/>
      </c>
      <c r="T204" s="111">
        <f>IF(OR(B204="",K204=0),"",S204/K204)</f>
        <v/>
      </c>
      <c r="U204" s="78">
        <f>IF(V204="","",IF(V204=2,"⚠️ Paying ahead of work","✓ OK"))</f>
        <v/>
      </c>
      <c r="V204" s="79">
        <f>IF(T204="","",IF(T204-R204&gt;OverpayTol,2,0))</f>
        <v/>
      </c>
      <c r="W204" s="112">
        <f>IF(V204=2,AsOf,"")</f>
        <v/>
      </c>
      <c r="X204" s="79">
        <f>IF(W204="","",1)</f>
        <v/>
      </c>
      <c r="Y204" s="79">
        <f>IF(X204="","","Paying ahead of work: "&amp;B204&amp;" — paid "&amp;ROUND(T204*100,0)&amp;"%, work done "&amp;ROUND(R204*100,0)&amp;"%")</f>
        <v/>
      </c>
      <c r="AA204" s="72" t="n"/>
      <c r="AB204" s="109" t="n"/>
      <c r="AC204" s="113" t="n"/>
      <c r="AD204" s="74" t="n"/>
      <c r="AE204" s="109" t="n"/>
      <c r="AF204" s="74" t="n"/>
      <c r="AG204" s="112">
        <f>IF(AND(AA204&lt;&gt;"",AD204="Yes",AF204&lt;&gt;"Yes",AE204&lt;&gt;""),AE204,"")</f>
        <v/>
      </c>
      <c r="AH204" s="79">
        <f>IF(AG204="","",IF(AG204&lt;AsOf,1,IF(AG204&lt;=AsOf+AlertDays,2,IF(AG204&lt;=AsOf+2*AlertDays,3,""))))</f>
        <v/>
      </c>
      <c r="AI204" s="79">
        <f>IF(AH204="","","Follow up with "&amp;AA204&amp;": "&amp;AC204)</f>
        <v/>
      </c>
    </row>
    <row r="205" ht="20" customHeight="1">
      <c r="B205" s="72" t="n"/>
      <c r="C205" s="72" t="n"/>
      <c r="D205" s="72" t="n"/>
      <c r="E205" s="72" t="n"/>
      <c r="F205" s="72" t="n"/>
      <c r="G205" s="72" t="n"/>
      <c r="H205" s="72" t="n"/>
      <c r="I205" s="73" t="n"/>
      <c r="J205" s="75">
        <f>IF(B205="","",SUMIFS('Change Orders'!$J$7:$J$1006,'Change Orders'!$E$7:$E$1006,B205,'Change Orders'!$L$7:$L$1006,"Approved"))</f>
        <v/>
      </c>
      <c r="K205" s="76">
        <f>IF(B205="","",I205+J205)</f>
        <v/>
      </c>
      <c r="L205" s="74" t="n"/>
      <c r="M205" s="109" t="n"/>
      <c r="N205" s="109" t="n"/>
      <c r="O205" s="74" t="n"/>
      <c r="P205" s="74" t="n"/>
      <c r="Q205" s="100" t="n"/>
      <c r="R205" s="110" t="n"/>
      <c r="S205" s="75">
        <f>IF(B205="","",SUMIFS('Payments'!$N$6:$N$1005,'Payments'!$B$6:$B$1005,B205))</f>
        <v/>
      </c>
      <c r="T205" s="111">
        <f>IF(OR(B205="",K205=0),"",S205/K205)</f>
        <v/>
      </c>
      <c r="U205" s="78">
        <f>IF(V205="","",IF(V205=2,"⚠️ Paying ahead of work","✓ OK"))</f>
        <v/>
      </c>
      <c r="V205" s="79">
        <f>IF(T205="","",IF(T205-R205&gt;OverpayTol,2,0))</f>
        <v/>
      </c>
      <c r="W205" s="112">
        <f>IF(V205=2,AsOf,"")</f>
        <v/>
      </c>
      <c r="X205" s="79">
        <f>IF(W205="","",1)</f>
        <v/>
      </c>
      <c r="Y205" s="79">
        <f>IF(X205="","","Paying ahead of work: "&amp;B205&amp;" — paid "&amp;ROUND(T205*100,0)&amp;"%, work done "&amp;ROUND(R205*100,0)&amp;"%")</f>
        <v/>
      </c>
      <c r="AA205" s="72" t="n"/>
      <c r="AB205" s="109" t="n"/>
      <c r="AC205" s="113" t="n"/>
      <c r="AD205" s="74" t="n"/>
      <c r="AE205" s="109" t="n"/>
      <c r="AF205" s="74" t="n"/>
      <c r="AG205" s="112">
        <f>IF(AND(AA205&lt;&gt;"",AD205="Yes",AF205&lt;&gt;"Yes",AE205&lt;&gt;""),AE205,"")</f>
        <v/>
      </c>
      <c r="AH205" s="79">
        <f>IF(AG205="","",IF(AG205&lt;AsOf,1,IF(AG205&lt;=AsOf+AlertDays,2,IF(AG205&lt;=AsOf+2*AlertDays,3,""))))</f>
        <v/>
      </c>
      <c r="AI205" s="79">
        <f>IF(AH205="","","Follow up with "&amp;AA205&amp;": "&amp;AC205)</f>
        <v/>
      </c>
    </row>
    <row r="206" ht="20" customHeight="1">
      <c r="B206" s="72" t="n"/>
      <c r="C206" s="72" t="n"/>
      <c r="D206" s="72" t="n"/>
      <c r="E206" s="72" t="n"/>
      <c r="F206" s="72" t="n"/>
      <c r="G206" s="72" t="n"/>
      <c r="H206" s="72" t="n"/>
      <c r="I206" s="73" t="n"/>
      <c r="J206" s="75">
        <f>IF(B206="","",SUMIFS('Change Orders'!$J$7:$J$1006,'Change Orders'!$E$7:$E$1006,B206,'Change Orders'!$L$7:$L$1006,"Approved"))</f>
        <v/>
      </c>
      <c r="K206" s="76">
        <f>IF(B206="","",I206+J206)</f>
        <v/>
      </c>
      <c r="L206" s="74" t="n"/>
      <c r="M206" s="109" t="n"/>
      <c r="N206" s="109" t="n"/>
      <c r="O206" s="74" t="n"/>
      <c r="P206" s="74" t="n"/>
      <c r="Q206" s="100" t="n"/>
      <c r="R206" s="110" t="n"/>
      <c r="S206" s="75">
        <f>IF(B206="","",SUMIFS('Payments'!$N$6:$N$1005,'Payments'!$B$6:$B$1005,B206))</f>
        <v/>
      </c>
      <c r="T206" s="111">
        <f>IF(OR(B206="",K206=0),"",S206/K206)</f>
        <v/>
      </c>
      <c r="U206" s="78">
        <f>IF(V206="","",IF(V206=2,"⚠️ Paying ahead of work","✓ OK"))</f>
        <v/>
      </c>
      <c r="V206" s="79">
        <f>IF(T206="","",IF(T206-R206&gt;OverpayTol,2,0))</f>
        <v/>
      </c>
      <c r="W206" s="112">
        <f>IF(V206=2,AsOf,"")</f>
        <v/>
      </c>
      <c r="X206" s="79">
        <f>IF(W206="","",1)</f>
        <v/>
      </c>
      <c r="Y206" s="79">
        <f>IF(X206="","","Paying ahead of work: "&amp;B206&amp;" — paid "&amp;ROUND(T206*100,0)&amp;"%, work done "&amp;ROUND(R206*100,0)&amp;"%")</f>
        <v/>
      </c>
      <c r="AA206" s="72" t="n"/>
      <c r="AB206" s="109" t="n"/>
      <c r="AC206" s="113" t="n"/>
      <c r="AD206" s="74" t="n"/>
      <c r="AE206" s="109" t="n"/>
      <c r="AF206" s="74" t="n"/>
      <c r="AG206" s="112">
        <f>IF(AND(AA206&lt;&gt;"",AD206="Yes",AF206&lt;&gt;"Yes",AE206&lt;&gt;""),AE206,"")</f>
        <v/>
      </c>
      <c r="AH206" s="79">
        <f>IF(AG206="","",IF(AG206&lt;AsOf,1,IF(AG206&lt;=AsOf+AlertDays,2,IF(AG206&lt;=AsOf+2*AlertDays,3,""))))</f>
        <v/>
      </c>
      <c r="AI206" s="79">
        <f>IF(AH206="","","Follow up with "&amp;AA206&amp;": "&amp;AC206)</f>
        <v/>
      </c>
    </row>
    <row r="207" ht="20" customHeight="1">
      <c r="B207" s="72" t="n"/>
      <c r="C207" s="72" t="n"/>
      <c r="D207" s="72" t="n"/>
      <c r="E207" s="72" t="n"/>
      <c r="F207" s="72" t="n"/>
      <c r="G207" s="72" t="n"/>
      <c r="H207" s="72" t="n"/>
      <c r="I207" s="73" t="n"/>
      <c r="J207" s="75">
        <f>IF(B207="","",SUMIFS('Change Orders'!$J$7:$J$1006,'Change Orders'!$E$7:$E$1006,B207,'Change Orders'!$L$7:$L$1006,"Approved"))</f>
        <v/>
      </c>
      <c r="K207" s="76">
        <f>IF(B207="","",I207+J207)</f>
        <v/>
      </c>
      <c r="L207" s="74" t="n"/>
      <c r="M207" s="109" t="n"/>
      <c r="N207" s="109" t="n"/>
      <c r="O207" s="74" t="n"/>
      <c r="P207" s="74" t="n"/>
      <c r="Q207" s="100" t="n"/>
      <c r="R207" s="110" t="n"/>
      <c r="S207" s="75">
        <f>IF(B207="","",SUMIFS('Payments'!$N$6:$N$1005,'Payments'!$B$6:$B$1005,B207))</f>
        <v/>
      </c>
      <c r="T207" s="111">
        <f>IF(OR(B207="",K207=0),"",S207/K207)</f>
        <v/>
      </c>
      <c r="U207" s="78">
        <f>IF(V207="","",IF(V207=2,"⚠️ Paying ahead of work","✓ OK"))</f>
        <v/>
      </c>
      <c r="V207" s="79">
        <f>IF(T207="","",IF(T207-R207&gt;OverpayTol,2,0))</f>
        <v/>
      </c>
      <c r="W207" s="112">
        <f>IF(V207=2,AsOf,"")</f>
        <v/>
      </c>
      <c r="X207" s="79">
        <f>IF(W207="","",1)</f>
        <v/>
      </c>
      <c r="Y207" s="79">
        <f>IF(X207="","","Paying ahead of work: "&amp;B207&amp;" — paid "&amp;ROUND(T207*100,0)&amp;"%, work done "&amp;ROUND(R207*100,0)&amp;"%")</f>
        <v/>
      </c>
      <c r="AA207" s="72" t="n"/>
      <c r="AB207" s="109" t="n"/>
      <c r="AC207" s="113" t="n"/>
      <c r="AD207" s="74" t="n"/>
      <c r="AE207" s="109" t="n"/>
      <c r="AF207" s="74" t="n"/>
      <c r="AG207" s="112">
        <f>IF(AND(AA207&lt;&gt;"",AD207="Yes",AF207&lt;&gt;"Yes",AE207&lt;&gt;""),AE207,"")</f>
        <v/>
      </c>
      <c r="AH207" s="79">
        <f>IF(AG207="","",IF(AG207&lt;AsOf,1,IF(AG207&lt;=AsOf+AlertDays,2,IF(AG207&lt;=AsOf+2*AlertDays,3,""))))</f>
        <v/>
      </c>
      <c r="AI207" s="79">
        <f>IF(AH207="","","Follow up with "&amp;AA207&amp;": "&amp;AC207)</f>
        <v/>
      </c>
    </row>
    <row r="208" ht="20" customHeight="1">
      <c r="B208" s="72" t="n"/>
      <c r="C208" s="72" t="n"/>
      <c r="D208" s="72" t="n"/>
      <c r="E208" s="72" t="n"/>
      <c r="F208" s="72" t="n"/>
      <c r="G208" s="72" t="n"/>
      <c r="H208" s="72" t="n"/>
      <c r="I208" s="73" t="n"/>
      <c r="J208" s="75">
        <f>IF(B208="","",SUMIFS('Change Orders'!$J$7:$J$1006,'Change Orders'!$E$7:$E$1006,B208,'Change Orders'!$L$7:$L$1006,"Approved"))</f>
        <v/>
      </c>
      <c r="K208" s="76">
        <f>IF(B208="","",I208+J208)</f>
        <v/>
      </c>
      <c r="L208" s="74" t="n"/>
      <c r="M208" s="109" t="n"/>
      <c r="N208" s="109" t="n"/>
      <c r="O208" s="74" t="n"/>
      <c r="P208" s="74" t="n"/>
      <c r="Q208" s="100" t="n"/>
      <c r="R208" s="110" t="n"/>
      <c r="S208" s="75">
        <f>IF(B208="","",SUMIFS('Payments'!$N$6:$N$1005,'Payments'!$B$6:$B$1005,B208))</f>
        <v/>
      </c>
      <c r="T208" s="111">
        <f>IF(OR(B208="",K208=0),"",S208/K208)</f>
        <v/>
      </c>
      <c r="U208" s="78">
        <f>IF(V208="","",IF(V208=2,"⚠️ Paying ahead of work","✓ OK"))</f>
        <v/>
      </c>
      <c r="V208" s="79">
        <f>IF(T208="","",IF(T208-R208&gt;OverpayTol,2,0))</f>
        <v/>
      </c>
      <c r="W208" s="112">
        <f>IF(V208=2,AsOf,"")</f>
        <v/>
      </c>
      <c r="X208" s="79">
        <f>IF(W208="","",1)</f>
        <v/>
      </c>
      <c r="Y208" s="79">
        <f>IF(X208="","","Paying ahead of work: "&amp;B208&amp;" — paid "&amp;ROUND(T208*100,0)&amp;"%, work done "&amp;ROUND(R208*100,0)&amp;"%")</f>
        <v/>
      </c>
      <c r="AA208" s="72" t="n"/>
      <c r="AB208" s="109" t="n"/>
      <c r="AC208" s="113" t="n"/>
      <c r="AD208" s="74" t="n"/>
      <c r="AE208" s="109" t="n"/>
      <c r="AF208" s="74" t="n"/>
      <c r="AG208" s="112">
        <f>IF(AND(AA208&lt;&gt;"",AD208="Yes",AF208&lt;&gt;"Yes",AE208&lt;&gt;""),AE208,"")</f>
        <v/>
      </c>
      <c r="AH208" s="79">
        <f>IF(AG208="","",IF(AG208&lt;AsOf,1,IF(AG208&lt;=AsOf+AlertDays,2,IF(AG208&lt;=AsOf+2*AlertDays,3,""))))</f>
        <v/>
      </c>
      <c r="AI208" s="79">
        <f>IF(AH208="","","Follow up with "&amp;AA208&amp;": "&amp;AC208)</f>
        <v/>
      </c>
    </row>
    <row r="209" ht="20" customHeight="1">
      <c r="B209" s="72" t="n"/>
      <c r="C209" s="72" t="n"/>
      <c r="D209" s="72" t="n"/>
      <c r="E209" s="72" t="n"/>
      <c r="F209" s="72" t="n"/>
      <c r="G209" s="72" t="n"/>
      <c r="H209" s="72" t="n"/>
      <c r="I209" s="73" t="n"/>
      <c r="J209" s="75">
        <f>IF(B209="","",SUMIFS('Change Orders'!$J$7:$J$1006,'Change Orders'!$E$7:$E$1006,B209,'Change Orders'!$L$7:$L$1006,"Approved"))</f>
        <v/>
      </c>
      <c r="K209" s="76">
        <f>IF(B209="","",I209+J209)</f>
        <v/>
      </c>
      <c r="L209" s="74" t="n"/>
      <c r="M209" s="109" t="n"/>
      <c r="N209" s="109" t="n"/>
      <c r="O209" s="74" t="n"/>
      <c r="P209" s="74" t="n"/>
      <c r="Q209" s="100" t="n"/>
      <c r="R209" s="110" t="n"/>
      <c r="S209" s="75">
        <f>IF(B209="","",SUMIFS('Payments'!$N$6:$N$1005,'Payments'!$B$6:$B$1005,B209))</f>
        <v/>
      </c>
      <c r="T209" s="111">
        <f>IF(OR(B209="",K209=0),"",S209/K209)</f>
        <v/>
      </c>
      <c r="U209" s="78">
        <f>IF(V209="","",IF(V209=2,"⚠️ Paying ahead of work","✓ OK"))</f>
        <v/>
      </c>
      <c r="V209" s="79">
        <f>IF(T209="","",IF(T209-R209&gt;OverpayTol,2,0))</f>
        <v/>
      </c>
      <c r="W209" s="112">
        <f>IF(V209=2,AsOf,"")</f>
        <v/>
      </c>
      <c r="X209" s="79">
        <f>IF(W209="","",1)</f>
        <v/>
      </c>
      <c r="Y209" s="79">
        <f>IF(X209="","","Paying ahead of work: "&amp;B209&amp;" — paid "&amp;ROUND(T209*100,0)&amp;"%, work done "&amp;ROUND(R209*100,0)&amp;"%")</f>
        <v/>
      </c>
      <c r="AA209" s="72" t="n"/>
      <c r="AB209" s="109" t="n"/>
      <c r="AC209" s="113" t="n"/>
      <c r="AD209" s="74" t="n"/>
      <c r="AE209" s="109" t="n"/>
      <c r="AF209" s="74" t="n"/>
      <c r="AG209" s="112">
        <f>IF(AND(AA209&lt;&gt;"",AD209="Yes",AF209&lt;&gt;"Yes",AE209&lt;&gt;""),AE209,"")</f>
        <v/>
      </c>
      <c r="AH209" s="79">
        <f>IF(AG209="","",IF(AG209&lt;AsOf,1,IF(AG209&lt;=AsOf+AlertDays,2,IF(AG209&lt;=AsOf+2*AlertDays,3,""))))</f>
        <v/>
      </c>
      <c r="AI209" s="79">
        <f>IF(AH209="","","Follow up with "&amp;AA209&amp;": "&amp;AC209)</f>
        <v/>
      </c>
    </row>
    <row r="210" ht="20" customHeight="1">
      <c r="B210" s="72" t="n"/>
      <c r="C210" s="72" t="n"/>
      <c r="D210" s="72" t="n"/>
      <c r="E210" s="72" t="n"/>
      <c r="F210" s="72" t="n"/>
      <c r="G210" s="72" t="n"/>
      <c r="H210" s="72" t="n"/>
      <c r="I210" s="73" t="n"/>
      <c r="J210" s="75">
        <f>IF(B210="","",SUMIFS('Change Orders'!$J$7:$J$1006,'Change Orders'!$E$7:$E$1006,B210,'Change Orders'!$L$7:$L$1006,"Approved"))</f>
        <v/>
      </c>
      <c r="K210" s="76">
        <f>IF(B210="","",I210+J210)</f>
        <v/>
      </c>
      <c r="L210" s="74" t="n"/>
      <c r="M210" s="109" t="n"/>
      <c r="N210" s="109" t="n"/>
      <c r="O210" s="74" t="n"/>
      <c r="P210" s="74" t="n"/>
      <c r="Q210" s="100" t="n"/>
      <c r="R210" s="110" t="n"/>
      <c r="S210" s="75">
        <f>IF(B210="","",SUMIFS('Payments'!$N$6:$N$1005,'Payments'!$B$6:$B$1005,B210))</f>
        <v/>
      </c>
      <c r="T210" s="111">
        <f>IF(OR(B210="",K210=0),"",S210/K210)</f>
        <v/>
      </c>
      <c r="U210" s="78">
        <f>IF(V210="","",IF(V210=2,"⚠️ Paying ahead of work","✓ OK"))</f>
        <v/>
      </c>
      <c r="V210" s="79">
        <f>IF(T210="","",IF(T210-R210&gt;OverpayTol,2,0))</f>
        <v/>
      </c>
      <c r="W210" s="112">
        <f>IF(V210=2,AsOf,"")</f>
        <v/>
      </c>
      <c r="X210" s="79">
        <f>IF(W210="","",1)</f>
        <v/>
      </c>
      <c r="Y210" s="79">
        <f>IF(X210="","","Paying ahead of work: "&amp;B210&amp;" — paid "&amp;ROUND(T210*100,0)&amp;"%, work done "&amp;ROUND(R210*100,0)&amp;"%")</f>
        <v/>
      </c>
      <c r="AA210" s="72" t="n"/>
      <c r="AB210" s="109" t="n"/>
      <c r="AC210" s="113" t="n"/>
      <c r="AD210" s="74" t="n"/>
      <c r="AE210" s="109" t="n"/>
      <c r="AF210" s="74" t="n"/>
      <c r="AG210" s="112">
        <f>IF(AND(AA210&lt;&gt;"",AD210="Yes",AF210&lt;&gt;"Yes",AE210&lt;&gt;""),AE210,"")</f>
        <v/>
      </c>
      <c r="AH210" s="79">
        <f>IF(AG210="","",IF(AG210&lt;AsOf,1,IF(AG210&lt;=AsOf+AlertDays,2,IF(AG210&lt;=AsOf+2*AlertDays,3,""))))</f>
        <v/>
      </c>
      <c r="AI210" s="79">
        <f>IF(AH210="","","Follow up with "&amp;AA210&amp;": "&amp;AC210)</f>
        <v/>
      </c>
    </row>
    <row r="211" ht="20" customHeight="1">
      <c r="B211" s="72" t="n"/>
      <c r="C211" s="72" t="n"/>
      <c r="D211" s="72" t="n"/>
      <c r="E211" s="72" t="n"/>
      <c r="F211" s="72" t="n"/>
      <c r="G211" s="72" t="n"/>
      <c r="H211" s="72" t="n"/>
      <c r="I211" s="73" t="n"/>
      <c r="J211" s="75">
        <f>IF(B211="","",SUMIFS('Change Orders'!$J$7:$J$1006,'Change Orders'!$E$7:$E$1006,B211,'Change Orders'!$L$7:$L$1006,"Approved"))</f>
        <v/>
      </c>
      <c r="K211" s="76">
        <f>IF(B211="","",I211+J211)</f>
        <v/>
      </c>
      <c r="L211" s="74" t="n"/>
      <c r="M211" s="109" t="n"/>
      <c r="N211" s="109" t="n"/>
      <c r="O211" s="74" t="n"/>
      <c r="P211" s="74" t="n"/>
      <c r="Q211" s="100" t="n"/>
      <c r="R211" s="110" t="n"/>
      <c r="S211" s="75">
        <f>IF(B211="","",SUMIFS('Payments'!$N$6:$N$1005,'Payments'!$B$6:$B$1005,B211))</f>
        <v/>
      </c>
      <c r="T211" s="111">
        <f>IF(OR(B211="",K211=0),"",S211/K211)</f>
        <v/>
      </c>
      <c r="U211" s="78">
        <f>IF(V211="","",IF(V211=2,"⚠️ Paying ahead of work","✓ OK"))</f>
        <v/>
      </c>
      <c r="V211" s="79">
        <f>IF(T211="","",IF(T211-R211&gt;OverpayTol,2,0))</f>
        <v/>
      </c>
      <c r="W211" s="112">
        <f>IF(V211=2,AsOf,"")</f>
        <v/>
      </c>
      <c r="X211" s="79">
        <f>IF(W211="","",1)</f>
        <v/>
      </c>
      <c r="Y211" s="79">
        <f>IF(X211="","","Paying ahead of work: "&amp;B211&amp;" — paid "&amp;ROUND(T211*100,0)&amp;"%, work done "&amp;ROUND(R211*100,0)&amp;"%")</f>
        <v/>
      </c>
      <c r="AA211" s="72" t="n"/>
      <c r="AB211" s="109" t="n"/>
      <c r="AC211" s="113" t="n"/>
      <c r="AD211" s="74" t="n"/>
      <c r="AE211" s="109" t="n"/>
      <c r="AF211" s="74" t="n"/>
      <c r="AG211" s="112">
        <f>IF(AND(AA211&lt;&gt;"",AD211="Yes",AF211&lt;&gt;"Yes",AE211&lt;&gt;""),AE211,"")</f>
        <v/>
      </c>
      <c r="AH211" s="79">
        <f>IF(AG211="","",IF(AG211&lt;AsOf,1,IF(AG211&lt;=AsOf+AlertDays,2,IF(AG211&lt;=AsOf+2*AlertDays,3,""))))</f>
        <v/>
      </c>
      <c r="AI211" s="79">
        <f>IF(AH211="","","Follow up with "&amp;AA211&amp;": "&amp;AC211)</f>
        <v/>
      </c>
    </row>
    <row r="212" ht="20" customHeight="1">
      <c r="B212" s="72" t="n"/>
      <c r="C212" s="72" t="n"/>
      <c r="D212" s="72" t="n"/>
      <c r="E212" s="72" t="n"/>
      <c r="F212" s="72" t="n"/>
      <c r="G212" s="72" t="n"/>
      <c r="H212" s="72" t="n"/>
      <c r="I212" s="73" t="n"/>
      <c r="J212" s="75">
        <f>IF(B212="","",SUMIFS('Change Orders'!$J$7:$J$1006,'Change Orders'!$E$7:$E$1006,B212,'Change Orders'!$L$7:$L$1006,"Approved"))</f>
        <v/>
      </c>
      <c r="K212" s="76">
        <f>IF(B212="","",I212+J212)</f>
        <v/>
      </c>
      <c r="L212" s="74" t="n"/>
      <c r="M212" s="109" t="n"/>
      <c r="N212" s="109" t="n"/>
      <c r="O212" s="74" t="n"/>
      <c r="P212" s="74" t="n"/>
      <c r="Q212" s="100" t="n"/>
      <c r="R212" s="110" t="n"/>
      <c r="S212" s="75">
        <f>IF(B212="","",SUMIFS('Payments'!$N$6:$N$1005,'Payments'!$B$6:$B$1005,B212))</f>
        <v/>
      </c>
      <c r="T212" s="111">
        <f>IF(OR(B212="",K212=0),"",S212/K212)</f>
        <v/>
      </c>
      <c r="U212" s="78">
        <f>IF(V212="","",IF(V212=2,"⚠️ Paying ahead of work","✓ OK"))</f>
        <v/>
      </c>
      <c r="V212" s="79">
        <f>IF(T212="","",IF(T212-R212&gt;OverpayTol,2,0))</f>
        <v/>
      </c>
      <c r="W212" s="112">
        <f>IF(V212=2,AsOf,"")</f>
        <v/>
      </c>
      <c r="X212" s="79">
        <f>IF(W212="","",1)</f>
        <v/>
      </c>
      <c r="Y212" s="79">
        <f>IF(X212="","","Paying ahead of work: "&amp;B212&amp;" — paid "&amp;ROUND(T212*100,0)&amp;"%, work done "&amp;ROUND(R212*100,0)&amp;"%")</f>
        <v/>
      </c>
      <c r="AA212" s="72" t="n"/>
      <c r="AB212" s="109" t="n"/>
      <c r="AC212" s="113" t="n"/>
      <c r="AD212" s="74" t="n"/>
      <c r="AE212" s="109" t="n"/>
      <c r="AF212" s="74" t="n"/>
      <c r="AG212" s="112">
        <f>IF(AND(AA212&lt;&gt;"",AD212="Yes",AF212&lt;&gt;"Yes",AE212&lt;&gt;""),AE212,"")</f>
        <v/>
      </c>
      <c r="AH212" s="79">
        <f>IF(AG212="","",IF(AG212&lt;AsOf,1,IF(AG212&lt;=AsOf+AlertDays,2,IF(AG212&lt;=AsOf+2*AlertDays,3,""))))</f>
        <v/>
      </c>
      <c r="AI212" s="79">
        <f>IF(AH212="","","Follow up with "&amp;AA212&amp;": "&amp;AC212)</f>
        <v/>
      </c>
    </row>
    <row r="213" ht="20" customHeight="1">
      <c r="B213" s="72" t="n"/>
      <c r="C213" s="72" t="n"/>
      <c r="D213" s="72" t="n"/>
      <c r="E213" s="72" t="n"/>
      <c r="F213" s="72" t="n"/>
      <c r="G213" s="72" t="n"/>
      <c r="H213" s="72" t="n"/>
      <c r="I213" s="73" t="n"/>
      <c r="J213" s="75">
        <f>IF(B213="","",SUMIFS('Change Orders'!$J$7:$J$1006,'Change Orders'!$E$7:$E$1006,B213,'Change Orders'!$L$7:$L$1006,"Approved"))</f>
        <v/>
      </c>
      <c r="K213" s="76">
        <f>IF(B213="","",I213+J213)</f>
        <v/>
      </c>
      <c r="L213" s="74" t="n"/>
      <c r="M213" s="109" t="n"/>
      <c r="N213" s="109" t="n"/>
      <c r="O213" s="74" t="n"/>
      <c r="P213" s="74" t="n"/>
      <c r="Q213" s="100" t="n"/>
      <c r="R213" s="110" t="n"/>
      <c r="S213" s="75">
        <f>IF(B213="","",SUMIFS('Payments'!$N$6:$N$1005,'Payments'!$B$6:$B$1005,B213))</f>
        <v/>
      </c>
      <c r="T213" s="111">
        <f>IF(OR(B213="",K213=0),"",S213/K213)</f>
        <v/>
      </c>
      <c r="U213" s="78">
        <f>IF(V213="","",IF(V213=2,"⚠️ Paying ahead of work","✓ OK"))</f>
        <v/>
      </c>
      <c r="V213" s="79">
        <f>IF(T213="","",IF(T213-R213&gt;OverpayTol,2,0))</f>
        <v/>
      </c>
      <c r="W213" s="112">
        <f>IF(V213=2,AsOf,"")</f>
        <v/>
      </c>
      <c r="X213" s="79">
        <f>IF(W213="","",1)</f>
        <v/>
      </c>
      <c r="Y213" s="79">
        <f>IF(X213="","","Paying ahead of work: "&amp;B213&amp;" — paid "&amp;ROUND(T213*100,0)&amp;"%, work done "&amp;ROUND(R213*100,0)&amp;"%")</f>
        <v/>
      </c>
      <c r="AA213" s="72" t="n"/>
      <c r="AB213" s="109" t="n"/>
      <c r="AC213" s="113" t="n"/>
      <c r="AD213" s="74" t="n"/>
      <c r="AE213" s="109" t="n"/>
      <c r="AF213" s="74" t="n"/>
      <c r="AG213" s="112">
        <f>IF(AND(AA213&lt;&gt;"",AD213="Yes",AF213&lt;&gt;"Yes",AE213&lt;&gt;""),AE213,"")</f>
        <v/>
      </c>
      <c r="AH213" s="79">
        <f>IF(AG213="","",IF(AG213&lt;AsOf,1,IF(AG213&lt;=AsOf+AlertDays,2,IF(AG213&lt;=AsOf+2*AlertDays,3,""))))</f>
        <v/>
      </c>
      <c r="AI213" s="79">
        <f>IF(AH213="","","Follow up with "&amp;AA213&amp;": "&amp;AC213)</f>
        <v/>
      </c>
    </row>
    <row r="214" ht="20" customHeight="1">
      <c r="B214" s="72" t="n"/>
      <c r="C214" s="72" t="n"/>
      <c r="D214" s="72" t="n"/>
      <c r="E214" s="72" t="n"/>
      <c r="F214" s="72" t="n"/>
      <c r="G214" s="72" t="n"/>
      <c r="H214" s="72" t="n"/>
      <c r="I214" s="73" t="n"/>
      <c r="J214" s="75">
        <f>IF(B214="","",SUMIFS('Change Orders'!$J$7:$J$1006,'Change Orders'!$E$7:$E$1006,B214,'Change Orders'!$L$7:$L$1006,"Approved"))</f>
        <v/>
      </c>
      <c r="K214" s="76">
        <f>IF(B214="","",I214+J214)</f>
        <v/>
      </c>
      <c r="L214" s="74" t="n"/>
      <c r="M214" s="109" t="n"/>
      <c r="N214" s="109" t="n"/>
      <c r="O214" s="74" t="n"/>
      <c r="P214" s="74" t="n"/>
      <c r="Q214" s="100" t="n"/>
      <c r="R214" s="110" t="n"/>
      <c r="S214" s="75">
        <f>IF(B214="","",SUMIFS('Payments'!$N$6:$N$1005,'Payments'!$B$6:$B$1005,B214))</f>
        <v/>
      </c>
      <c r="T214" s="111">
        <f>IF(OR(B214="",K214=0),"",S214/K214)</f>
        <v/>
      </c>
      <c r="U214" s="78">
        <f>IF(V214="","",IF(V214=2,"⚠️ Paying ahead of work","✓ OK"))</f>
        <v/>
      </c>
      <c r="V214" s="79">
        <f>IF(T214="","",IF(T214-R214&gt;OverpayTol,2,0))</f>
        <v/>
      </c>
      <c r="W214" s="112">
        <f>IF(V214=2,AsOf,"")</f>
        <v/>
      </c>
      <c r="X214" s="79">
        <f>IF(W214="","",1)</f>
        <v/>
      </c>
      <c r="Y214" s="79">
        <f>IF(X214="","","Paying ahead of work: "&amp;B214&amp;" — paid "&amp;ROUND(T214*100,0)&amp;"%, work done "&amp;ROUND(R214*100,0)&amp;"%")</f>
        <v/>
      </c>
      <c r="AA214" s="72" t="n"/>
      <c r="AB214" s="109" t="n"/>
      <c r="AC214" s="113" t="n"/>
      <c r="AD214" s="74" t="n"/>
      <c r="AE214" s="109" t="n"/>
      <c r="AF214" s="74" t="n"/>
      <c r="AG214" s="112">
        <f>IF(AND(AA214&lt;&gt;"",AD214="Yes",AF214&lt;&gt;"Yes",AE214&lt;&gt;""),AE214,"")</f>
        <v/>
      </c>
      <c r="AH214" s="79">
        <f>IF(AG214="","",IF(AG214&lt;AsOf,1,IF(AG214&lt;=AsOf+AlertDays,2,IF(AG214&lt;=AsOf+2*AlertDays,3,""))))</f>
        <v/>
      </c>
      <c r="AI214" s="79">
        <f>IF(AH214="","","Follow up with "&amp;AA214&amp;": "&amp;AC214)</f>
        <v/>
      </c>
    </row>
    <row r="215" ht="20" customHeight="1">
      <c r="B215" s="72" t="n"/>
      <c r="C215" s="72" t="n"/>
      <c r="D215" s="72" t="n"/>
      <c r="E215" s="72" t="n"/>
      <c r="F215" s="72" t="n"/>
      <c r="G215" s="72" t="n"/>
      <c r="H215" s="72" t="n"/>
      <c r="I215" s="73" t="n"/>
      <c r="J215" s="75">
        <f>IF(B215="","",SUMIFS('Change Orders'!$J$7:$J$1006,'Change Orders'!$E$7:$E$1006,B215,'Change Orders'!$L$7:$L$1006,"Approved"))</f>
        <v/>
      </c>
      <c r="K215" s="76">
        <f>IF(B215="","",I215+J215)</f>
        <v/>
      </c>
      <c r="L215" s="74" t="n"/>
      <c r="M215" s="109" t="n"/>
      <c r="N215" s="109" t="n"/>
      <c r="O215" s="74" t="n"/>
      <c r="P215" s="74" t="n"/>
      <c r="Q215" s="100" t="n"/>
      <c r="R215" s="110" t="n"/>
      <c r="S215" s="75">
        <f>IF(B215="","",SUMIFS('Payments'!$N$6:$N$1005,'Payments'!$B$6:$B$1005,B215))</f>
        <v/>
      </c>
      <c r="T215" s="111">
        <f>IF(OR(B215="",K215=0),"",S215/K215)</f>
        <v/>
      </c>
      <c r="U215" s="78">
        <f>IF(V215="","",IF(V215=2,"⚠️ Paying ahead of work","✓ OK"))</f>
        <v/>
      </c>
      <c r="V215" s="79">
        <f>IF(T215="","",IF(T215-R215&gt;OverpayTol,2,0))</f>
        <v/>
      </c>
      <c r="W215" s="112">
        <f>IF(V215=2,AsOf,"")</f>
        <v/>
      </c>
      <c r="X215" s="79">
        <f>IF(W215="","",1)</f>
        <v/>
      </c>
      <c r="Y215" s="79">
        <f>IF(X215="","","Paying ahead of work: "&amp;B215&amp;" — paid "&amp;ROUND(T215*100,0)&amp;"%, work done "&amp;ROUND(R215*100,0)&amp;"%")</f>
        <v/>
      </c>
      <c r="AA215" s="72" t="n"/>
      <c r="AB215" s="109" t="n"/>
      <c r="AC215" s="113" t="n"/>
      <c r="AD215" s="74" t="n"/>
      <c r="AE215" s="109" t="n"/>
      <c r="AF215" s="74" t="n"/>
      <c r="AG215" s="112">
        <f>IF(AND(AA215&lt;&gt;"",AD215="Yes",AF215&lt;&gt;"Yes",AE215&lt;&gt;""),AE215,"")</f>
        <v/>
      </c>
      <c r="AH215" s="79">
        <f>IF(AG215="","",IF(AG215&lt;AsOf,1,IF(AG215&lt;=AsOf+AlertDays,2,IF(AG215&lt;=AsOf+2*AlertDays,3,""))))</f>
        <v/>
      </c>
      <c r="AI215" s="79">
        <f>IF(AH215="","","Follow up with "&amp;AA215&amp;": "&amp;AC215)</f>
        <v/>
      </c>
    </row>
    <row r="216" ht="20" customHeight="1">
      <c r="B216" s="72" t="n"/>
      <c r="C216" s="72" t="n"/>
      <c r="D216" s="72" t="n"/>
      <c r="E216" s="72" t="n"/>
      <c r="F216" s="72" t="n"/>
      <c r="G216" s="72" t="n"/>
      <c r="H216" s="72" t="n"/>
      <c r="I216" s="73" t="n"/>
      <c r="J216" s="75">
        <f>IF(B216="","",SUMIFS('Change Orders'!$J$7:$J$1006,'Change Orders'!$E$7:$E$1006,B216,'Change Orders'!$L$7:$L$1006,"Approved"))</f>
        <v/>
      </c>
      <c r="K216" s="76">
        <f>IF(B216="","",I216+J216)</f>
        <v/>
      </c>
      <c r="L216" s="74" t="n"/>
      <c r="M216" s="109" t="n"/>
      <c r="N216" s="109" t="n"/>
      <c r="O216" s="74" t="n"/>
      <c r="P216" s="74" t="n"/>
      <c r="Q216" s="100" t="n"/>
      <c r="R216" s="110" t="n"/>
      <c r="S216" s="75">
        <f>IF(B216="","",SUMIFS('Payments'!$N$6:$N$1005,'Payments'!$B$6:$B$1005,B216))</f>
        <v/>
      </c>
      <c r="T216" s="111">
        <f>IF(OR(B216="",K216=0),"",S216/K216)</f>
        <v/>
      </c>
      <c r="U216" s="78">
        <f>IF(V216="","",IF(V216=2,"⚠️ Paying ahead of work","✓ OK"))</f>
        <v/>
      </c>
      <c r="V216" s="79">
        <f>IF(T216="","",IF(T216-R216&gt;OverpayTol,2,0))</f>
        <v/>
      </c>
      <c r="W216" s="112">
        <f>IF(V216=2,AsOf,"")</f>
        <v/>
      </c>
      <c r="X216" s="79">
        <f>IF(W216="","",1)</f>
        <v/>
      </c>
      <c r="Y216" s="79">
        <f>IF(X216="","","Paying ahead of work: "&amp;B216&amp;" — paid "&amp;ROUND(T216*100,0)&amp;"%, work done "&amp;ROUND(R216*100,0)&amp;"%")</f>
        <v/>
      </c>
      <c r="AA216" s="72" t="n"/>
      <c r="AB216" s="109" t="n"/>
      <c r="AC216" s="113" t="n"/>
      <c r="AD216" s="74" t="n"/>
      <c r="AE216" s="109" t="n"/>
      <c r="AF216" s="74" t="n"/>
      <c r="AG216" s="112">
        <f>IF(AND(AA216&lt;&gt;"",AD216="Yes",AF216&lt;&gt;"Yes",AE216&lt;&gt;""),AE216,"")</f>
        <v/>
      </c>
      <c r="AH216" s="79">
        <f>IF(AG216="","",IF(AG216&lt;AsOf,1,IF(AG216&lt;=AsOf+AlertDays,2,IF(AG216&lt;=AsOf+2*AlertDays,3,""))))</f>
        <v/>
      </c>
      <c r="AI216" s="79">
        <f>IF(AH216="","","Follow up with "&amp;AA216&amp;": "&amp;AC216)</f>
        <v/>
      </c>
    </row>
    <row r="217" ht="20" customHeight="1">
      <c r="B217" s="72" t="n"/>
      <c r="C217" s="72" t="n"/>
      <c r="D217" s="72" t="n"/>
      <c r="E217" s="72" t="n"/>
      <c r="F217" s="72" t="n"/>
      <c r="G217" s="72" t="n"/>
      <c r="H217" s="72" t="n"/>
      <c r="I217" s="73" t="n"/>
      <c r="J217" s="75">
        <f>IF(B217="","",SUMIFS('Change Orders'!$J$7:$J$1006,'Change Orders'!$E$7:$E$1006,B217,'Change Orders'!$L$7:$L$1006,"Approved"))</f>
        <v/>
      </c>
      <c r="K217" s="76">
        <f>IF(B217="","",I217+J217)</f>
        <v/>
      </c>
      <c r="L217" s="74" t="n"/>
      <c r="M217" s="109" t="n"/>
      <c r="N217" s="109" t="n"/>
      <c r="O217" s="74" t="n"/>
      <c r="P217" s="74" t="n"/>
      <c r="Q217" s="100" t="n"/>
      <c r="R217" s="110" t="n"/>
      <c r="S217" s="75">
        <f>IF(B217="","",SUMIFS('Payments'!$N$6:$N$1005,'Payments'!$B$6:$B$1005,B217))</f>
        <v/>
      </c>
      <c r="T217" s="111">
        <f>IF(OR(B217="",K217=0),"",S217/K217)</f>
        <v/>
      </c>
      <c r="U217" s="78">
        <f>IF(V217="","",IF(V217=2,"⚠️ Paying ahead of work","✓ OK"))</f>
        <v/>
      </c>
      <c r="V217" s="79">
        <f>IF(T217="","",IF(T217-R217&gt;OverpayTol,2,0))</f>
        <v/>
      </c>
      <c r="W217" s="112">
        <f>IF(V217=2,AsOf,"")</f>
        <v/>
      </c>
      <c r="X217" s="79">
        <f>IF(W217="","",1)</f>
        <v/>
      </c>
      <c r="Y217" s="79">
        <f>IF(X217="","","Paying ahead of work: "&amp;B217&amp;" — paid "&amp;ROUND(T217*100,0)&amp;"%, work done "&amp;ROUND(R217*100,0)&amp;"%")</f>
        <v/>
      </c>
      <c r="AA217" s="72" t="n"/>
      <c r="AB217" s="109" t="n"/>
      <c r="AC217" s="113" t="n"/>
      <c r="AD217" s="74" t="n"/>
      <c r="AE217" s="109" t="n"/>
      <c r="AF217" s="74" t="n"/>
      <c r="AG217" s="112">
        <f>IF(AND(AA217&lt;&gt;"",AD217="Yes",AF217&lt;&gt;"Yes",AE217&lt;&gt;""),AE217,"")</f>
        <v/>
      </c>
      <c r="AH217" s="79">
        <f>IF(AG217="","",IF(AG217&lt;AsOf,1,IF(AG217&lt;=AsOf+AlertDays,2,IF(AG217&lt;=AsOf+2*AlertDays,3,""))))</f>
        <v/>
      </c>
      <c r="AI217" s="79">
        <f>IF(AH217="","","Follow up with "&amp;AA217&amp;": "&amp;AC217)</f>
        <v/>
      </c>
    </row>
    <row r="218" ht="20" customHeight="1">
      <c r="B218" s="72" t="n"/>
      <c r="C218" s="72" t="n"/>
      <c r="D218" s="72" t="n"/>
      <c r="E218" s="72" t="n"/>
      <c r="F218" s="72" t="n"/>
      <c r="G218" s="72" t="n"/>
      <c r="H218" s="72" t="n"/>
      <c r="I218" s="73" t="n"/>
      <c r="J218" s="75">
        <f>IF(B218="","",SUMIFS('Change Orders'!$J$7:$J$1006,'Change Orders'!$E$7:$E$1006,B218,'Change Orders'!$L$7:$L$1006,"Approved"))</f>
        <v/>
      </c>
      <c r="K218" s="76">
        <f>IF(B218="","",I218+J218)</f>
        <v/>
      </c>
      <c r="L218" s="74" t="n"/>
      <c r="M218" s="109" t="n"/>
      <c r="N218" s="109" t="n"/>
      <c r="O218" s="74" t="n"/>
      <c r="P218" s="74" t="n"/>
      <c r="Q218" s="100" t="n"/>
      <c r="R218" s="110" t="n"/>
      <c r="S218" s="75">
        <f>IF(B218="","",SUMIFS('Payments'!$N$6:$N$1005,'Payments'!$B$6:$B$1005,B218))</f>
        <v/>
      </c>
      <c r="T218" s="111">
        <f>IF(OR(B218="",K218=0),"",S218/K218)</f>
        <v/>
      </c>
      <c r="U218" s="78">
        <f>IF(V218="","",IF(V218=2,"⚠️ Paying ahead of work","✓ OK"))</f>
        <v/>
      </c>
      <c r="V218" s="79">
        <f>IF(T218="","",IF(T218-R218&gt;OverpayTol,2,0))</f>
        <v/>
      </c>
      <c r="W218" s="112">
        <f>IF(V218=2,AsOf,"")</f>
        <v/>
      </c>
      <c r="X218" s="79">
        <f>IF(W218="","",1)</f>
        <v/>
      </c>
      <c r="Y218" s="79">
        <f>IF(X218="","","Paying ahead of work: "&amp;B218&amp;" — paid "&amp;ROUND(T218*100,0)&amp;"%, work done "&amp;ROUND(R218*100,0)&amp;"%")</f>
        <v/>
      </c>
      <c r="AA218" s="72" t="n"/>
      <c r="AB218" s="109" t="n"/>
      <c r="AC218" s="113" t="n"/>
      <c r="AD218" s="74" t="n"/>
      <c r="AE218" s="109" t="n"/>
      <c r="AF218" s="74" t="n"/>
      <c r="AG218" s="112">
        <f>IF(AND(AA218&lt;&gt;"",AD218="Yes",AF218&lt;&gt;"Yes",AE218&lt;&gt;""),AE218,"")</f>
        <v/>
      </c>
      <c r="AH218" s="79">
        <f>IF(AG218="","",IF(AG218&lt;AsOf,1,IF(AG218&lt;=AsOf+AlertDays,2,IF(AG218&lt;=AsOf+2*AlertDays,3,""))))</f>
        <v/>
      </c>
      <c r="AI218" s="79">
        <f>IF(AH218="","","Follow up with "&amp;AA218&amp;": "&amp;AC218)</f>
        <v/>
      </c>
    </row>
    <row r="219" ht="20" customHeight="1">
      <c r="B219" s="72" t="n"/>
      <c r="C219" s="72" t="n"/>
      <c r="D219" s="72" t="n"/>
      <c r="E219" s="72" t="n"/>
      <c r="F219" s="72" t="n"/>
      <c r="G219" s="72" t="n"/>
      <c r="H219" s="72" t="n"/>
      <c r="I219" s="73" t="n"/>
      <c r="J219" s="75">
        <f>IF(B219="","",SUMIFS('Change Orders'!$J$7:$J$1006,'Change Orders'!$E$7:$E$1006,B219,'Change Orders'!$L$7:$L$1006,"Approved"))</f>
        <v/>
      </c>
      <c r="K219" s="76">
        <f>IF(B219="","",I219+J219)</f>
        <v/>
      </c>
      <c r="L219" s="74" t="n"/>
      <c r="M219" s="109" t="n"/>
      <c r="N219" s="109" t="n"/>
      <c r="O219" s="74" t="n"/>
      <c r="P219" s="74" t="n"/>
      <c r="Q219" s="100" t="n"/>
      <c r="R219" s="110" t="n"/>
      <c r="S219" s="75">
        <f>IF(B219="","",SUMIFS('Payments'!$N$6:$N$1005,'Payments'!$B$6:$B$1005,B219))</f>
        <v/>
      </c>
      <c r="T219" s="111">
        <f>IF(OR(B219="",K219=0),"",S219/K219)</f>
        <v/>
      </c>
      <c r="U219" s="78">
        <f>IF(V219="","",IF(V219=2,"⚠️ Paying ahead of work","✓ OK"))</f>
        <v/>
      </c>
      <c r="V219" s="79">
        <f>IF(T219="","",IF(T219-R219&gt;OverpayTol,2,0))</f>
        <v/>
      </c>
      <c r="W219" s="112">
        <f>IF(V219=2,AsOf,"")</f>
        <v/>
      </c>
      <c r="X219" s="79">
        <f>IF(W219="","",1)</f>
        <v/>
      </c>
      <c r="Y219" s="79">
        <f>IF(X219="","","Paying ahead of work: "&amp;B219&amp;" — paid "&amp;ROUND(T219*100,0)&amp;"%, work done "&amp;ROUND(R219*100,0)&amp;"%")</f>
        <v/>
      </c>
      <c r="AA219" s="72" t="n"/>
      <c r="AB219" s="109" t="n"/>
      <c r="AC219" s="113" t="n"/>
      <c r="AD219" s="74" t="n"/>
      <c r="AE219" s="109" t="n"/>
      <c r="AF219" s="74" t="n"/>
      <c r="AG219" s="112">
        <f>IF(AND(AA219&lt;&gt;"",AD219="Yes",AF219&lt;&gt;"Yes",AE219&lt;&gt;""),AE219,"")</f>
        <v/>
      </c>
      <c r="AH219" s="79">
        <f>IF(AG219="","",IF(AG219&lt;AsOf,1,IF(AG219&lt;=AsOf+AlertDays,2,IF(AG219&lt;=AsOf+2*AlertDays,3,""))))</f>
        <v/>
      </c>
      <c r="AI219" s="79">
        <f>IF(AH219="","","Follow up with "&amp;AA219&amp;": "&amp;AC219)</f>
        <v/>
      </c>
    </row>
    <row r="220" ht="20" customHeight="1">
      <c r="B220" s="72" t="n"/>
      <c r="C220" s="72" t="n"/>
      <c r="D220" s="72" t="n"/>
      <c r="E220" s="72" t="n"/>
      <c r="F220" s="72" t="n"/>
      <c r="G220" s="72" t="n"/>
      <c r="H220" s="72" t="n"/>
      <c r="I220" s="73" t="n"/>
      <c r="J220" s="75">
        <f>IF(B220="","",SUMIFS('Change Orders'!$J$7:$J$1006,'Change Orders'!$E$7:$E$1006,B220,'Change Orders'!$L$7:$L$1006,"Approved"))</f>
        <v/>
      </c>
      <c r="K220" s="76">
        <f>IF(B220="","",I220+J220)</f>
        <v/>
      </c>
      <c r="L220" s="74" t="n"/>
      <c r="M220" s="109" t="n"/>
      <c r="N220" s="109" t="n"/>
      <c r="O220" s="74" t="n"/>
      <c r="P220" s="74" t="n"/>
      <c r="Q220" s="100" t="n"/>
      <c r="R220" s="110" t="n"/>
      <c r="S220" s="75">
        <f>IF(B220="","",SUMIFS('Payments'!$N$6:$N$1005,'Payments'!$B$6:$B$1005,B220))</f>
        <v/>
      </c>
      <c r="T220" s="111">
        <f>IF(OR(B220="",K220=0),"",S220/K220)</f>
        <v/>
      </c>
      <c r="U220" s="78">
        <f>IF(V220="","",IF(V220=2,"⚠️ Paying ahead of work","✓ OK"))</f>
        <v/>
      </c>
      <c r="V220" s="79">
        <f>IF(T220="","",IF(T220-R220&gt;OverpayTol,2,0))</f>
        <v/>
      </c>
      <c r="W220" s="112">
        <f>IF(V220=2,AsOf,"")</f>
        <v/>
      </c>
      <c r="X220" s="79">
        <f>IF(W220="","",1)</f>
        <v/>
      </c>
      <c r="Y220" s="79">
        <f>IF(X220="","","Paying ahead of work: "&amp;B220&amp;" — paid "&amp;ROUND(T220*100,0)&amp;"%, work done "&amp;ROUND(R220*100,0)&amp;"%")</f>
        <v/>
      </c>
      <c r="AA220" s="72" t="n"/>
      <c r="AB220" s="109" t="n"/>
      <c r="AC220" s="113" t="n"/>
      <c r="AD220" s="74" t="n"/>
      <c r="AE220" s="109" t="n"/>
      <c r="AF220" s="74" t="n"/>
      <c r="AG220" s="112">
        <f>IF(AND(AA220&lt;&gt;"",AD220="Yes",AF220&lt;&gt;"Yes",AE220&lt;&gt;""),AE220,"")</f>
        <v/>
      </c>
      <c r="AH220" s="79">
        <f>IF(AG220="","",IF(AG220&lt;AsOf,1,IF(AG220&lt;=AsOf+AlertDays,2,IF(AG220&lt;=AsOf+2*AlertDays,3,""))))</f>
        <v/>
      </c>
      <c r="AI220" s="79">
        <f>IF(AH220="","","Follow up with "&amp;AA220&amp;": "&amp;AC220)</f>
        <v/>
      </c>
    </row>
    <row r="221" ht="20" customHeight="1">
      <c r="B221" s="72" t="n"/>
      <c r="C221" s="72" t="n"/>
      <c r="D221" s="72" t="n"/>
      <c r="E221" s="72" t="n"/>
      <c r="F221" s="72" t="n"/>
      <c r="G221" s="72" t="n"/>
      <c r="H221" s="72" t="n"/>
      <c r="I221" s="73" t="n"/>
      <c r="J221" s="75">
        <f>IF(B221="","",SUMIFS('Change Orders'!$J$7:$J$1006,'Change Orders'!$E$7:$E$1006,B221,'Change Orders'!$L$7:$L$1006,"Approved"))</f>
        <v/>
      </c>
      <c r="K221" s="76">
        <f>IF(B221="","",I221+J221)</f>
        <v/>
      </c>
      <c r="L221" s="74" t="n"/>
      <c r="M221" s="109" t="n"/>
      <c r="N221" s="109" t="n"/>
      <c r="O221" s="74" t="n"/>
      <c r="P221" s="74" t="n"/>
      <c r="Q221" s="100" t="n"/>
      <c r="R221" s="110" t="n"/>
      <c r="S221" s="75">
        <f>IF(B221="","",SUMIFS('Payments'!$N$6:$N$1005,'Payments'!$B$6:$B$1005,B221))</f>
        <v/>
      </c>
      <c r="T221" s="111">
        <f>IF(OR(B221="",K221=0),"",S221/K221)</f>
        <v/>
      </c>
      <c r="U221" s="78">
        <f>IF(V221="","",IF(V221=2,"⚠️ Paying ahead of work","✓ OK"))</f>
        <v/>
      </c>
      <c r="V221" s="79">
        <f>IF(T221="","",IF(T221-R221&gt;OverpayTol,2,0))</f>
        <v/>
      </c>
      <c r="W221" s="112">
        <f>IF(V221=2,AsOf,"")</f>
        <v/>
      </c>
      <c r="X221" s="79">
        <f>IF(W221="","",1)</f>
        <v/>
      </c>
      <c r="Y221" s="79">
        <f>IF(X221="","","Paying ahead of work: "&amp;B221&amp;" — paid "&amp;ROUND(T221*100,0)&amp;"%, work done "&amp;ROUND(R221*100,0)&amp;"%")</f>
        <v/>
      </c>
      <c r="AA221" s="72" t="n"/>
      <c r="AB221" s="109" t="n"/>
      <c r="AC221" s="113" t="n"/>
      <c r="AD221" s="74" t="n"/>
      <c r="AE221" s="109" t="n"/>
      <c r="AF221" s="74" t="n"/>
      <c r="AG221" s="112">
        <f>IF(AND(AA221&lt;&gt;"",AD221="Yes",AF221&lt;&gt;"Yes",AE221&lt;&gt;""),AE221,"")</f>
        <v/>
      </c>
      <c r="AH221" s="79">
        <f>IF(AG221="","",IF(AG221&lt;AsOf,1,IF(AG221&lt;=AsOf+AlertDays,2,IF(AG221&lt;=AsOf+2*AlertDays,3,""))))</f>
        <v/>
      </c>
      <c r="AI221" s="79">
        <f>IF(AH221="","","Follow up with "&amp;AA221&amp;": "&amp;AC221)</f>
        <v/>
      </c>
    </row>
    <row r="222" ht="20" customHeight="1">
      <c r="B222" s="72" t="n"/>
      <c r="C222" s="72" t="n"/>
      <c r="D222" s="72" t="n"/>
      <c r="E222" s="72" t="n"/>
      <c r="F222" s="72" t="n"/>
      <c r="G222" s="72" t="n"/>
      <c r="H222" s="72" t="n"/>
      <c r="I222" s="73" t="n"/>
      <c r="J222" s="75">
        <f>IF(B222="","",SUMIFS('Change Orders'!$J$7:$J$1006,'Change Orders'!$E$7:$E$1006,B222,'Change Orders'!$L$7:$L$1006,"Approved"))</f>
        <v/>
      </c>
      <c r="K222" s="76">
        <f>IF(B222="","",I222+J222)</f>
        <v/>
      </c>
      <c r="L222" s="74" t="n"/>
      <c r="M222" s="109" t="n"/>
      <c r="N222" s="109" t="n"/>
      <c r="O222" s="74" t="n"/>
      <c r="P222" s="74" t="n"/>
      <c r="Q222" s="100" t="n"/>
      <c r="R222" s="110" t="n"/>
      <c r="S222" s="75">
        <f>IF(B222="","",SUMIFS('Payments'!$N$6:$N$1005,'Payments'!$B$6:$B$1005,B222))</f>
        <v/>
      </c>
      <c r="T222" s="111">
        <f>IF(OR(B222="",K222=0),"",S222/K222)</f>
        <v/>
      </c>
      <c r="U222" s="78">
        <f>IF(V222="","",IF(V222=2,"⚠️ Paying ahead of work","✓ OK"))</f>
        <v/>
      </c>
      <c r="V222" s="79">
        <f>IF(T222="","",IF(T222-R222&gt;OverpayTol,2,0))</f>
        <v/>
      </c>
      <c r="W222" s="112">
        <f>IF(V222=2,AsOf,"")</f>
        <v/>
      </c>
      <c r="X222" s="79">
        <f>IF(W222="","",1)</f>
        <v/>
      </c>
      <c r="Y222" s="79">
        <f>IF(X222="","","Paying ahead of work: "&amp;B222&amp;" — paid "&amp;ROUND(T222*100,0)&amp;"%, work done "&amp;ROUND(R222*100,0)&amp;"%")</f>
        <v/>
      </c>
      <c r="AA222" s="72" t="n"/>
      <c r="AB222" s="109" t="n"/>
      <c r="AC222" s="113" t="n"/>
      <c r="AD222" s="74" t="n"/>
      <c r="AE222" s="109" t="n"/>
      <c r="AF222" s="74" t="n"/>
      <c r="AG222" s="112">
        <f>IF(AND(AA222&lt;&gt;"",AD222="Yes",AF222&lt;&gt;"Yes",AE222&lt;&gt;""),AE222,"")</f>
        <v/>
      </c>
      <c r="AH222" s="79">
        <f>IF(AG222="","",IF(AG222&lt;AsOf,1,IF(AG222&lt;=AsOf+AlertDays,2,IF(AG222&lt;=AsOf+2*AlertDays,3,""))))</f>
        <v/>
      </c>
      <c r="AI222" s="79">
        <f>IF(AH222="","","Follow up with "&amp;AA222&amp;": "&amp;AC222)</f>
        <v/>
      </c>
    </row>
    <row r="223" ht="20" customHeight="1">
      <c r="B223" s="72" t="n"/>
      <c r="C223" s="72" t="n"/>
      <c r="D223" s="72" t="n"/>
      <c r="E223" s="72" t="n"/>
      <c r="F223" s="72" t="n"/>
      <c r="G223" s="72" t="n"/>
      <c r="H223" s="72" t="n"/>
      <c r="I223" s="73" t="n"/>
      <c r="J223" s="75">
        <f>IF(B223="","",SUMIFS('Change Orders'!$J$7:$J$1006,'Change Orders'!$E$7:$E$1006,B223,'Change Orders'!$L$7:$L$1006,"Approved"))</f>
        <v/>
      </c>
      <c r="K223" s="76">
        <f>IF(B223="","",I223+J223)</f>
        <v/>
      </c>
      <c r="L223" s="74" t="n"/>
      <c r="M223" s="109" t="n"/>
      <c r="N223" s="109" t="n"/>
      <c r="O223" s="74" t="n"/>
      <c r="P223" s="74" t="n"/>
      <c r="Q223" s="100" t="n"/>
      <c r="R223" s="110" t="n"/>
      <c r="S223" s="75">
        <f>IF(B223="","",SUMIFS('Payments'!$N$6:$N$1005,'Payments'!$B$6:$B$1005,B223))</f>
        <v/>
      </c>
      <c r="T223" s="111">
        <f>IF(OR(B223="",K223=0),"",S223/K223)</f>
        <v/>
      </c>
      <c r="U223" s="78">
        <f>IF(V223="","",IF(V223=2,"⚠️ Paying ahead of work","✓ OK"))</f>
        <v/>
      </c>
      <c r="V223" s="79">
        <f>IF(T223="","",IF(T223-R223&gt;OverpayTol,2,0))</f>
        <v/>
      </c>
      <c r="W223" s="112">
        <f>IF(V223=2,AsOf,"")</f>
        <v/>
      </c>
      <c r="X223" s="79">
        <f>IF(W223="","",1)</f>
        <v/>
      </c>
      <c r="Y223" s="79">
        <f>IF(X223="","","Paying ahead of work: "&amp;B223&amp;" — paid "&amp;ROUND(T223*100,0)&amp;"%, work done "&amp;ROUND(R223*100,0)&amp;"%")</f>
        <v/>
      </c>
      <c r="AA223" s="72" t="n"/>
      <c r="AB223" s="109" t="n"/>
      <c r="AC223" s="113" t="n"/>
      <c r="AD223" s="74" t="n"/>
      <c r="AE223" s="109" t="n"/>
      <c r="AF223" s="74" t="n"/>
      <c r="AG223" s="112">
        <f>IF(AND(AA223&lt;&gt;"",AD223="Yes",AF223&lt;&gt;"Yes",AE223&lt;&gt;""),AE223,"")</f>
        <v/>
      </c>
      <c r="AH223" s="79">
        <f>IF(AG223="","",IF(AG223&lt;AsOf,1,IF(AG223&lt;=AsOf+AlertDays,2,IF(AG223&lt;=AsOf+2*AlertDays,3,""))))</f>
        <v/>
      </c>
      <c r="AI223" s="79">
        <f>IF(AH223="","","Follow up with "&amp;AA223&amp;": "&amp;AC223)</f>
        <v/>
      </c>
    </row>
    <row r="224" ht="20" customHeight="1">
      <c r="B224" s="72" t="n"/>
      <c r="C224" s="72" t="n"/>
      <c r="D224" s="72" t="n"/>
      <c r="E224" s="72" t="n"/>
      <c r="F224" s="72" t="n"/>
      <c r="G224" s="72" t="n"/>
      <c r="H224" s="72" t="n"/>
      <c r="I224" s="73" t="n"/>
      <c r="J224" s="75">
        <f>IF(B224="","",SUMIFS('Change Orders'!$J$7:$J$1006,'Change Orders'!$E$7:$E$1006,B224,'Change Orders'!$L$7:$L$1006,"Approved"))</f>
        <v/>
      </c>
      <c r="K224" s="76">
        <f>IF(B224="","",I224+J224)</f>
        <v/>
      </c>
      <c r="L224" s="74" t="n"/>
      <c r="M224" s="109" t="n"/>
      <c r="N224" s="109" t="n"/>
      <c r="O224" s="74" t="n"/>
      <c r="P224" s="74" t="n"/>
      <c r="Q224" s="100" t="n"/>
      <c r="R224" s="110" t="n"/>
      <c r="S224" s="75">
        <f>IF(B224="","",SUMIFS('Payments'!$N$6:$N$1005,'Payments'!$B$6:$B$1005,B224))</f>
        <v/>
      </c>
      <c r="T224" s="111">
        <f>IF(OR(B224="",K224=0),"",S224/K224)</f>
        <v/>
      </c>
      <c r="U224" s="78">
        <f>IF(V224="","",IF(V224=2,"⚠️ Paying ahead of work","✓ OK"))</f>
        <v/>
      </c>
      <c r="V224" s="79">
        <f>IF(T224="","",IF(T224-R224&gt;OverpayTol,2,0))</f>
        <v/>
      </c>
      <c r="W224" s="112">
        <f>IF(V224=2,AsOf,"")</f>
        <v/>
      </c>
      <c r="X224" s="79">
        <f>IF(W224="","",1)</f>
        <v/>
      </c>
      <c r="Y224" s="79">
        <f>IF(X224="","","Paying ahead of work: "&amp;B224&amp;" — paid "&amp;ROUND(T224*100,0)&amp;"%, work done "&amp;ROUND(R224*100,0)&amp;"%")</f>
        <v/>
      </c>
      <c r="AA224" s="72" t="n"/>
      <c r="AB224" s="109" t="n"/>
      <c r="AC224" s="113" t="n"/>
      <c r="AD224" s="74" t="n"/>
      <c r="AE224" s="109" t="n"/>
      <c r="AF224" s="74" t="n"/>
      <c r="AG224" s="112">
        <f>IF(AND(AA224&lt;&gt;"",AD224="Yes",AF224&lt;&gt;"Yes",AE224&lt;&gt;""),AE224,"")</f>
        <v/>
      </c>
      <c r="AH224" s="79">
        <f>IF(AG224="","",IF(AG224&lt;AsOf,1,IF(AG224&lt;=AsOf+AlertDays,2,IF(AG224&lt;=AsOf+2*AlertDays,3,""))))</f>
        <v/>
      </c>
      <c r="AI224" s="79">
        <f>IF(AH224="","","Follow up with "&amp;AA224&amp;": "&amp;AC224)</f>
        <v/>
      </c>
    </row>
    <row r="225" ht="20" customHeight="1">
      <c r="B225" s="72" t="n"/>
      <c r="C225" s="72" t="n"/>
      <c r="D225" s="72" t="n"/>
      <c r="E225" s="72" t="n"/>
      <c r="F225" s="72" t="n"/>
      <c r="G225" s="72" t="n"/>
      <c r="H225" s="72" t="n"/>
      <c r="I225" s="73" t="n"/>
      <c r="J225" s="75">
        <f>IF(B225="","",SUMIFS('Change Orders'!$J$7:$J$1006,'Change Orders'!$E$7:$E$1006,B225,'Change Orders'!$L$7:$L$1006,"Approved"))</f>
        <v/>
      </c>
      <c r="K225" s="76">
        <f>IF(B225="","",I225+J225)</f>
        <v/>
      </c>
      <c r="L225" s="74" t="n"/>
      <c r="M225" s="109" t="n"/>
      <c r="N225" s="109" t="n"/>
      <c r="O225" s="74" t="n"/>
      <c r="P225" s="74" t="n"/>
      <c r="Q225" s="100" t="n"/>
      <c r="R225" s="110" t="n"/>
      <c r="S225" s="75">
        <f>IF(B225="","",SUMIFS('Payments'!$N$6:$N$1005,'Payments'!$B$6:$B$1005,B225))</f>
        <v/>
      </c>
      <c r="T225" s="111">
        <f>IF(OR(B225="",K225=0),"",S225/K225)</f>
        <v/>
      </c>
      <c r="U225" s="78">
        <f>IF(V225="","",IF(V225=2,"⚠️ Paying ahead of work","✓ OK"))</f>
        <v/>
      </c>
      <c r="V225" s="79">
        <f>IF(T225="","",IF(T225-R225&gt;OverpayTol,2,0))</f>
        <v/>
      </c>
      <c r="W225" s="112">
        <f>IF(V225=2,AsOf,"")</f>
        <v/>
      </c>
      <c r="X225" s="79">
        <f>IF(W225="","",1)</f>
        <v/>
      </c>
      <c r="Y225" s="79">
        <f>IF(X225="","","Paying ahead of work: "&amp;B225&amp;" — paid "&amp;ROUND(T225*100,0)&amp;"%, work done "&amp;ROUND(R225*100,0)&amp;"%")</f>
        <v/>
      </c>
      <c r="AA225" s="72" t="n"/>
      <c r="AB225" s="109" t="n"/>
      <c r="AC225" s="113" t="n"/>
      <c r="AD225" s="74" t="n"/>
      <c r="AE225" s="109" t="n"/>
      <c r="AF225" s="74" t="n"/>
      <c r="AG225" s="112">
        <f>IF(AND(AA225&lt;&gt;"",AD225="Yes",AF225&lt;&gt;"Yes",AE225&lt;&gt;""),AE225,"")</f>
        <v/>
      </c>
      <c r="AH225" s="79">
        <f>IF(AG225="","",IF(AG225&lt;AsOf,1,IF(AG225&lt;=AsOf+AlertDays,2,IF(AG225&lt;=AsOf+2*AlertDays,3,""))))</f>
        <v/>
      </c>
      <c r="AI225" s="79">
        <f>IF(AH225="","","Follow up with "&amp;AA225&amp;": "&amp;AC225)</f>
        <v/>
      </c>
    </row>
    <row r="226" ht="20" customHeight="1">
      <c r="B226" s="72" t="n"/>
      <c r="C226" s="72" t="n"/>
      <c r="D226" s="72" t="n"/>
      <c r="E226" s="72" t="n"/>
      <c r="F226" s="72" t="n"/>
      <c r="G226" s="72" t="n"/>
      <c r="H226" s="72" t="n"/>
      <c r="I226" s="73" t="n"/>
      <c r="J226" s="75">
        <f>IF(B226="","",SUMIFS('Change Orders'!$J$7:$J$1006,'Change Orders'!$E$7:$E$1006,B226,'Change Orders'!$L$7:$L$1006,"Approved"))</f>
        <v/>
      </c>
      <c r="K226" s="76">
        <f>IF(B226="","",I226+J226)</f>
        <v/>
      </c>
      <c r="L226" s="74" t="n"/>
      <c r="M226" s="109" t="n"/>
      <c r="N226" s="109" t="n"/>
      <c r="O226" s="74" t="n"/>
      <c r="P226" s="74" t="n"/>
      <c r="Q226" s="100" t="n"/>
      <c r="R226" s="110" t="n"/>
      <c r="S226" s="75">
        <f>IF(B226="","",SUMIFS('Payments'!$N$6:$N$1005,'Payments'!$B$6:$B$1005,B226))</f>
        <v/>
      </c>
      <c r="T226" s="111">
        <f>IF(OR(B226="",K226=0),"",S226/K226)</f>
        <v/>
      </c>
      <c r="U226" s="78">
        <f>IF(V226="","",IF(V226=2,"⚠️ Paying ahead of work","✓ OK"))</f>
        <v/>
      </c>
      <c r="V226" s="79">
        <f>IF(T226="","",IF(T226-R226&gt;OverpayTol,2,0))</f>
        <v/>
      </c>
      <c r="W226" s="112">
        <f>IF(V226=2,AsOf,"")</f>
        <v/>
      </c>
      <c r="X226" s="79">
        <f>IF(W226="","",1)</f>
        <v/>
      </c>
      <c r="Y226" s="79">
        <f>IF(X226="","","Paying ahead of work: "&amp;B226&amp;" — paid "&amp;ROUND(T226*100,0)&amp;"%, work done "&amp;ROUND(R226*100,0)&amp;"%")</f>
        <v/>
      </c>
      <c r="AA226" s="72" t="n"/>
      <c r="AB226" s="109" t="n"/>
      <c r="AC226" s="113" t="n"/>
      <c r="AD226" s="74" t="n"/>
      <c r="AE226" s="109" t="n"/>
      <c r="AF226" s="74" t="n"/>
      <c r="AG226" s="112">
        <f>IF(AND(AA226&lt;&gt;"",AD226="Yes",AF226&lt;&gt;"Yes",AE226&lt;&gt;""),AE226,"")</f>
        <v/>
      </c>
      <c r="AH226" s="79">
        <f>IF(AG226="","",IF(AG226&lt;AsOf,1,IF(AG226&lt;=AsOf+AlertDays,2,IF(AG226&lt;=AsOf+2*AlertDays,3,""))))</f>
        <v/>
      </c>
      <c r="AI226" s="79">
        <f>IF(AH226="","","Follow up with "&amp;AA226&amp;": "&amp;AC226)</f>
        <v/>
      </c>
    </row>
    <row r="227" ht="20" customHeight="1">
      <c r="B227" s="72" t="n"/>
      <c r="C227" s="72" t="n"/>
      <c r="D227" s="72" t="n"/>
      <c r="E227" s="72" t="n"/>
      <c r="F227" s="72" t="n"/>
      <c r="G227" s="72" t="n"/>
      <c r="H227" s="72" t="n"/>
      <c r="I227" s="73" t="n"/>
      <c r="J227" s="75">
        <f>IF(B227="","",SUMIFS('Change Orders'!$J$7:$J$1006,'Change Orders'!$E$7:$E$1006,B227,'Change Orders'!$L$7:$L$1006,"Approved"))</f>
        <v/>
      </c>
      <c r="K227" s="76">
        <f>IF(B227="","",I227+J227)</f>
        <v/>
      </c>
      <c r="L227" s="74" t="n"/>
      <c r="M227" s="109" t="n"/>
      <c r="N227" s="109" t="n"/>
      <c r="O227" s="74" t="n"/>
      <c r="P227" s="74" t="n"/>
      <c r="Q227" s="100" t="n"/>
      <c r="R227" s="110" t="n"/>
      <c r="S227" s="75">
        <f>IF(B227="","",SUMIFS('Payments'!$N$6:$N$1005,'Payments'!$B$6:$B$1005,B227))</f>
        <v/>
      </c>
      <c r="T227" s="111">
        <f>IF(OR(B227="",K227=0),"",S227/K227)</f>
        <v/>
      </c>
      <c r="U227" s="78">
        <f>IF(V227="","",IF(V227=2,"⚠️ Paying ahead of work","✓ OK"))</f>
        <v/>
      </c>
      <c r="V227" s="79">
        <f>IF(T227="","",IF(T227-R227&gt;OverpayTol,2,0))</f>
        <v/>
      </c>
      <c r="W227" s="112">
        <f>IF(V227=2,AsOf,"")</f>
        <v/>
      </c>
      <c r="X227" s="79">
        <f>IF(W227="","",1)</f>
        <v/>
      </c>
      <c r="Y227" s="79">
        <f>IF(X227="","","Paying ahead of work: "&amp;B227&amp;" — paid "&amp;ROUND(T227*100,0)&amp;"%, work done "&amp;ROUND(R227*100,0)&amp;"%")</f>
        <v/>
      </c>
      <c r="AA227" s="72" t="n"/>
      <c r="AB227" s="109" t="n"/>
      <c r="AC227" s="113" t="n"/>
      <c r="AD227" s="74" t="n"/>
      <c r="AE227" s="109" t="n"/>
      <c r="AF227" s="74" t="n"/>
      <c r="AG227" s="112">
        <f>IF(AND(AA227&lt;&gt;"",AD227="Yes",AF227&lt;&gt;"Yes",AE227&lt;&gt;""),AE227,"")</f>
        <v/>
      </c>
      <c r="AH227" s="79">
        <f>IF(AG227="","",IF(AG227&lt;AsOf,1,IF(AG227&lt;=AsOf+AlertDays,2,IF(AG227&lt;=AsOf+2*AlertDays,3,""))))</f>
        <v/>
      </c>
      <c r="AI227" s="79">
        <f>IF(AH227="","","Follow up with "&amp;AA227&amp;": "&amp;AC227)</f>
        <v/>
      </c>
    </row>
    <row r="228" ht="20" customHeight="1">
      <c r="B228" s="72" t="n"/>
      <c r="C228" s="72" t="n"/>
      <c r="D228" s="72" t="n"/>
      <c r="E228" s="72" t="n"/>
      <c r="F228" s="72" t="n"/>
      <c r="G228" s="72" t="n"/>
      <c r="H228" s="72" t="n"/>
      <c r="I228" s="73" t="n"/>
      <c r="J228" s="75">
        <f>IF(B228="","",SUMIFS('Change Orders'!$J$7:$J$1006,'Change Orders'!$E$7:$E$1006,B228,'Change Orders'!$L$7:$L$1006,"Approved"))</f>
        <v/>
      </c>
      <c r="K228" s="76">
        <f>IF(B228="","",I228+J228)</f>
        <v/>
      </c>
      <c r="L228" s="74" t="n"/>
      <c r="M228" s="109" t="n"/>
      <c r="N228" s="109" t="n"/>
      <c r="O228" s="74" t="n"/>
      <c r="P228" s="74" t="n"/>
      <c r="Q228" s="100" t="n"/>
      <c r="R228" s="110" t="n"/>
      <c r="S228" s="75">
        <f>IF(B228="","",SUMIFS('Payments'!$N$6:$N$1005,'Payments'!$B$6:$B$1005,B228))</f>
        <v/>
      </c>
      <c r="T228" s="111">
        <f>IF(OR(B228="",K228=0),"",S228/K228)</f>
        <v/>
      </c>
      <c r="U228" s="78">
        <f>IF(V228="","",IF(V228=2,"⚠️ Paying ahead of work","✓ OK"))</f>
        <v/>
      </c>
      <c r="V228" s="79">
        <f>IF(T228="","",IF(T228-R228&gt;OverpayTol,2,0))</f>
        <v/>
      </c>
      <c r="W228" s="112">
        <f>IF(V228=2,AsOf,"")</f>
        <v/>
      </c>
      <c r="X228" s="79">
        <f>IF(W228="","",1)</f>
        <v/>
      </c>
      <c r="Y228" s="79">
        <f>IF(X228="","","Paying ahead of work: "&amp;B228&amp;" — paid "&amp;ROUND(T228*100,0)&amp;"%, work done "&amp;ROUND(R228*100,0)&amp;"%")</f>
        <v/>
      </c>
      <c r="AA228" s="72" t="n"/>
      <c r="AB228" s="109" t="n"/>
      <c r="AC228" s="113" t="n"/>
      <c r="AD228" s="74" t="n"/>
      <c r="AE228" s="109" t="n"/>
      <c r="AF228" s="74" t="n"/>
      <c r="AG228" s="112">
        <f>IF(AND(AA228&lt;&gt;"",AD228="Yes",AF228&lt;&gt;"Yes",AE228&lt;&gt;""),AE228,"")</f>
        <v/>
      </c>
      <c r="AH228" s="79">
        <f>IF(AG228="","",IF(AG228&lt;AsOf,1,IF(AG228&lt;=AsOf+AlertDays,2,IF(AG228&lt;=AsOf+2*AlertDays,3,""))))</f>
        <v/>
      </c>
      <c r="AI228" s="79">
        <f>IF(AH228="","","Follow up with "&amp;AA228&amp;": "&amp;AC228)</f>
        <v/>
      </c>
    </row>
    <row r="229" ht="20" customHeight="1">
      <c r="B229" s="72" t="n"/>
      <c r="C229" s="72" t="n"/>
      <c r="D229" s="72" t="n"/>
      <c r="E229" s="72" t="n"/>
      <c r="F229" s="72" t="n"/>
      <c r="G229" s="72" t="n"/>
      <c r="H229" s="72" t="n"/>
      <c r="I229" s="73" t="n"/>
      <c r="J229" s="75">
        <f>IF(B229="","",SUMIFS('Change Orders'!$J$7:$J$1006,'Change Orders'!$E$7:$E$1006,B229,'Change Orders'!$L$7:$L$1006,"Approved"))</f>
        <v/>
      </c>
      <c r="K229" s="76">
        <f>IF(B229="","",I229+J229)</f>
        <v/>
      </c>
      <c r="L229" s="74" t="n"/>
      <c r="M229" s="109" t="n"/>
      <c r="N229" s="109" t="n"/>
      <c r="O229" s="74" t="n"/>
      <c r="P229" s="74" t="n"/>
      <c r="Q229" s="100" t="n"/>
      <c r="R229" s="110" t="n"/>
      <c r="S229" s="75">
        <f>IF(B229="","",SUMIFS('Payments'!$N$6:$N$1005,'Payments'!$B$6:$B$1005,B229))</f>
        <v/>
      </c>
      <c r="T229" s="111">
        <f>IF(OR(B229="",K229=0),"",S229/K229)</f>
        <v/>
      </c>
      <c r="U229" s="78">
        <f>IF(V229="","",IF(V229=2,"⚠️ Paying ahead of work","✓ OK"))</f>
        <v/>
      </c>
      <c r="V229" s="79">
        <f>IF(T229="","",IF(T229-R229&gt;OverpayTol,2,0))</f>
        <v/>
      </c>
      <c r="W229" s="112">
        <f>IF(V229=2,AsOf,"")</f>
        <v/>
      </c>
      <c r="X229" s="79">
        <f>IF(W229="","",1)</f>
        <v/>
      </c>
      <c r="Y229" s="79">
        <f>IF(X229="","","Paying ahead of work: "&amp;B229&amp;" — paid "&amp;ROUND(T229*100,0)&amp;"%, work done "&amp;ROUND(R229*100,0)&amp;"%")</f>
        <v/>
      </c>
      <c r="AA229" s="72" t="n"/>
      <c r="AB229" s="109" t="n"/>
      <c r="AC229" s="113" t="n"/>
      <c r="AD229" s="74" t="n"/>
      <c r="AE229" s="109" t="n"/>
      <c r="AF229" s="74" t="n"/>
      <c r="AG229" s="112">
        <f>IF(AND(AA229&lt;&gt;"",AD229="Yes",AF229&lt;&gt;"Yes",AE229&lt;&gt;""),AE229,"")</f>
        <v/>
      </c>
      <c r="AH229" s="79">
        <f>IF(AG229="","",IF(AG229&lt;AsOf,1,IF(AG229&lt;=AsOf+AlertDays,2,IF(AG229&lt;=AsOf+2*AlertDays,3,""))))</f>
        <v/>
      </c>
      <c r="AI229" s="79">
        <f>IF(AH229="","","Follow up with "&amp;AA229&amp;": "&amp;AC229)</f>
        <v/>
      </c>
    </row>
    <row r="230" ht="20" customHeight="1">
      <c r="B230" s="72" t="n"/>
      <c r="C230" s="72" t="n"/>
      <c r="D230" s="72" t="n"/>
      <c r="E230" s="72" t="n"/>
      <c r="F230" s="72" t="n"/>
      <c r="G230" s="72" t="n"/>
      <c r="H230" s="72" t="n"/>
      <c r="I230" s="73" t="n"/>
      <c r="J230" s="75">
        <f>IF(B230="","",SUMIFS('Change Orders'!$J$7:$J$1006,'Change Orders'!$E$7:$E$1006,B230,'Change Orders'!$L$7:$L$1006,"Approved"))</f>
        <v/>
      </c>
      <c r="K230" s="76">
        <f>IF(B230="","",I230+J230)</f>
        <v/>
      </c>
      <c r="L230" s="74" t="n"/>
      <c r="M230" s="109" t="n"/>
      <c r="N230" s="109" t="n"/>
      <c r="O230" s="74" t="n"/>
      <c r="P230" s="74" t="n"/>
      <c r="Q230" s="100" t="n"/>
      <c r="R230" s="110" t="n"/>
      <c r="S230" s="75">
        <f>IF(B230="","",SUMIFS('Payments'!$N$6:$N$1005,'Payments'!$B$6:$B$1005,B230))</f>
        <v/>
      </c>
      <c r="T230" s="111">
        <f>IF(OR(B230="",K230=0),"",S230/K230)</f>
        <v/>
      </c>
      <c r="U230" s="78">
        <f>IF(V230="","",IF(V230=2,"⚠️ Paying ahead of work","✓ OK"))</f>
        <v/>
      </c>
      <c r="V230" s="79">
        <f>IF(T230="","",IF(T230-R230&gt;OverpayTol,2,0))</f>
        <v/>
      </c>
      <c r="W230" s="112">
        <f>IF(V230=2,AsOf,"")</f>
        <v/>
      </c>
      <c r="X230" s="79">
        <f>IF(W230="","",1)</f>
        <v/>
      </c>
      <c r="Y230" s="79">
        <f>IF(X230="","","Paying ahead of work: "&amp;B230&amp;" — paid "&amp;ROUND(T230*100,0)&amp;"%, work done "&amp;ROUND(R230*100,0)&amp;"%")</f>
        <v/>
      </c>
      <c r="AA230" s="72" t="n"/>
      <c r="AB230" s="109" t="n"/>
      <c r="AC230" s="113" t="n"/>
      <c r="AD230" s="74" t="n"/>
      <c r="AE230" s="109" t="n"/>
      <c r="AF230" s="74" t="n"/>
      <c r="AG230" s="112">
        <f>IF(AND(AA230&lt;&gt;"",AD230="Yes",AF230&lt;&gt;"Yes",AE230&lt;&gt;""),AE230,"")</f>
        <v/>
      </c>
      <c r="AH230" s="79">
        <f>IF(AG230="","",IF(AG230&lt;AsOf,1,IF(AG230&lt;=AsOf+AlertDays,2,IF(AG230&lt;=AsOf+2*AlertDays,3,""))))</f>
        <v/>
      </c>
      <c r="AI230" s="79">
        <f>IF(AH230="","","Follow up with "&amp;AA230&amp;": "&amp;AC230)</f>
        <v/>
      </c>
    </row>
    <row r="231" ht="20" customHeight="1">
      <c r="B231" s="72" t="n"/>
      <c r="C231" s="72" t="n"/>
      <c r="D231" s="72" t="n"/>
      <c r="E231" s="72" t="n"/>
      <c r="F231" s="72" t="n"/>
      <c r="G231" s="72" t="n"/>
      <c r="H231" s="72" t="n"/>
      <c r="I231" s="73" t="n"/>
      <c r="J231" s="75">
        <f>IF(B231="","",SUMIFS('Change Orders'!$J$7:$J$1006,'Change Orders'!$E$7:$E$1006,B231,'Change Orders'!$L$7:$L$1006,"Approved"))</f>
        <v/>
      </c>
      <c r="K231" s="76">
        <f>IF(B231="","",I231+J231)</f>
        <v/>
      </c>
      <c r="L231" s="74" t="n"/>
      <c r="M231" s="109" t="n"/>
      <c r="N231" s="109" t="n"/>
      <c r="O231" s="74" t="n"/>
      <c r="P231" s="74" t="n"/>
      <c r="Q231" s="100" t="n"/>
      <c r="R231" s="110" t="n"/>
      <c r="S231" s="75">
        <f>IF(B231="","",SUMIFS('Payments'!$N$6:$N$1005,'Payments'!$B$6:$B$1005,B231))</f>
        <v/>
      </c>
      <c r="T231" s="111">
        <f>IF(OR(B231="",K231=0),"",S231/K231)</f>
        <v/>
      </c>
      <c r="U231" s="78">
        <f>IF(V231="","",IF(V231=2,"⚠️ Paying ahead of work","✓ OK"))</f>
        <v/>
      </c>
      <c r="V231" s="79">
        <f>IF(T231="","",IF(T231-R231&gt;OverpayTol,2,0))</f>
        <v/>
      </c>
      <c r="W231" s="112">
        <f>IF(V231=2,AsOf,"")</f>
        <v/>
      </c>
      <c r="X231" s="79">
        <f>IF(W231="","",1)</f>
        <v/>
      </c>
      <c r="Y231" s="79">
        <f>IF(X231="","","Paying ahead of work: "&amp;B231&amp;" — paid "&amp;ROUND(T231*100,0)&amp;"%, work done "&amp;ROUND(R231*100,0)&amp;"%")</f>
        <v/>
      </c>
      <c r="AA231" s="72" t="n"/>
      <c r="AB231" s="109" t="n"/>
      <c r="AC231" s="113" t="n"/>
      <c r="AD231" s="74" t="n"/>
      <c r="AE231" s="109" t="n"/>
      <c r="AF231" s="74" t="n"/>
      <c r="AG231" s="112">
        <f>IF(AND(AA231&lt;&gt;"",AD231="Yes",AF231&lt;&gt;"Yes",AE231&lt;&gt;""),AE231,"")</f>
        <v/>
      </c>
      <c r="AH231" s="79">
        <f>IF(AG231="","",IF(AG231&lt;AsOf,1,IF(AG231&lt;=AsOf+AlertDays,2,IF(AG231&lt;=AsOf+2*AlertDays,3,""))))</f>
        <v/>
      </c>
      <c r="AI231" s="79">
        <f>IF(AH231="","","Follow up with "&amp;AA231&amp;": "&amp;AC231)</f>
        <v/>
      </c>
    </row>
    <row r="232" ht="20" customHeight="1">
      <c r="B232" s="72" t="n"/>
      <c r="C232" s="72" t="n"/>
      <c r="D232" s="72" t="n"/>
      <c r="E232" s="72" t="n"/>
      <c r="F232" s="72" t="n"/>
      <c r="G232" s="72" t="n"/>
      <c r="H232" s="72" t="n"/>
      <c r="I232" s="73" t="n"/>
      <c r="J232" s="75">
        <f>IF(B232="","",SUMIFS('Change Orders'!$J$7:$J$1006,'Change Orders'!$E$7:$E$1006,B232,'Change Orders'!$L$7:$L$1006,"Approved"))</f>
        <v/>
      </c>
      <c r="K232" s="76">
        <f>IF(B232="","",I232+J232)</f>
        <v/>
      </c>
      <c r="L232" s="74" t="n"/>
      <c r="M232" s="109" t="n"/>
      <c r="N232" s="109" t="n"/>
      <c r="O232" s="74" t="n"/>
      <c r="P232" s="74" t="n"/>
      <c r="Q232" s="100" t="n"/>
      <c r="R232" s="110" t="n"/>
      <c r="S232" s="75">
        <f>IF(B232="","",SUMIFS('Payments'!$N$6:$N$1005,'Payments'!$B$6:$B$1005,B232))</f>
        <v/>
      </c>
      <c r="T232" s="111">
        <f>IF(OR(B232="",K232=0),"",S232/K232)</f>
        <v/>
      </c>
      <c r="U232" s="78">
        <f>IF(V232="","",IF(V232=2,"⚠️ Paying ahead of work","✓ OK"))</f>
        <v/>
      </c>
      <c r="V232" s="79">
        <f>IF(T232="","",IF(T232-R232&gt;OverpayTol,2,0))</f>
        <v/>
      </c>
      <c r="W232" s="112">
        <f>IF(V232=2,AsOf,"")</f>
        <v/>
      </c>
      <c r="X232" s="79">
        <f>IF(W232="","",1)</f>
        <v/>
      </c>
      <c r="Y232" s="79">
        <f>IF(X232="","","Paying ahead of work: "&amp;B232&amp;" — paid "&amp;ROUND(T232*100,0)&amp;"%, work done "&amp;ROUND(R232*100,0)&amp;"%")</f>
        <v/>
      </c>
      <c r="AA232" s="72" t="n"/>
      <c r="AB232" s="109" t="n"/>
      <c r="AC232" s="113" t="n"/>
      <c r="AD232" s="74" t="n"/>
      <c r="AE232" s="109" t="n"/>
      <c r="AF232" s="74" t="n"/>
      <c r="AG232" s="112">
        <f>IF(AND(AA232&lt;&gt;"",AD232="Yes",AF232&lt;&gt;"Yes",AE232&lt;&gt;""),AE232,"")</f>
        <v/>
      </c>
      <c r="AH232" s="79">
        <f>IF(AG232="","",IF(AG232&lt;AsOf,1,IF(AG232&lt;=AsOf+AlertDays,2,IF(AG232&lt;=AsOf+2*AlertDays,3,""))))</f>
        <v/>
      </c>
      <c r="AI232" s="79">
        <f>IF(AH232="","","Follow up with "&amp;AA232&amp;": "&amp;AC232)</f>
        <v/>
      </c>
    </row>
    <row r="233" ht="20" customHeight="1">
      <c r="B233" s="72" t="n"/>
      <c r="C233" s="72" t="n"/>
      <c r="D233" s="72" t="n"/>
      <c r="E233" s="72" t="n"/>
      <c r="F233" s="72" t="n"/>
      <c r="G233" s="72" t="n"/>
      <c r="H233" s="72" t="n"/>
      <c r="I233" s="73" t="n"/>
      <c r="J233" s="75">
        <f>IF(B233="","",SUMIFS('Change Orders'!$J$7:$J$1006,'Change Orders'!$E$7:$E$1006,B233,'Change Orders'!$L$7:$L$1006,"Approved"))</f>
        <v/>
      </c>
      <c r="K233" s="76">
        <f>IF(B233="","",I233+J233)</f>
        <v/>
      </c>
      <c r="L233" s="74" t="n"/>
      <c r="M233" s="109" t="n"/>
      <c r="N233" s="109" t="n"/>
      <c r="O233" s="74" t="n"/>
      <c r="P233" s="74" t="n"/>
      <c r="Q233" s="100" t="n"/>
      <c r="R233" s="110" t="n"/>
      <c r="S233" s="75">
        <f>IF(B233="","",SUMIFS('Payments'!$N$6:$N$1005,'Payments'!$B$6:$B$1005,B233))</f>
        <v/>
      </c>
      <c r="T233" s="111">
        <f>IF(OR(B233="",K233=0),"",S233/K233)</f>
        <v/>
      </c>
      <c r="U233" s="78">
        <f>IF(V233="","",IF(V233=2,"⚠️ Paying ahead of work","✓ OK"))</f>
        <v/>
      </c>
      <c r="V233" s="79">
        <f>IF(T233="","",IF(T233-R233&gt;OverpayTol,2,0))</f>
        <v/>
      </c>
      <c r="W233" s="112">
        <f>IF(V233=2,AsOf,"")</f>
        <v/>
      </c>
      <c r="X233" s="79">
        <f>IF(W233="","",1)</f>
        <v/>
      </c>
      <c r="Y233" s="79">
        <f>IF(X233="","","Paying ahead of work: "&amp;B233&amp;" — paid "&amp;ROUND(T233*100,0)&amp;"%, work done "&amp;ROUND(R233*100,0)&amp;"%")</f>
        <v/>
      </c>
      <c r="AA233" s="72" t="n"/>
      <c r="AB233" s="109" t="n"/>
      <c r="AC233" s="113" t="n"/>
      <c r="AD233" s="74" t="n"/>
      <c r="AE233" s="109" t="n"/>
      <c r="AF233" s="74" t="n"/>
      <c r="AG233" s="112">
        <f>IF(AND(AA233&lt;&gt;"",AD233="Yes",AF233&lt;&gt;"Yes",AE233&lt;&gt;""),AE233,"")</f>
        <v/>
      </c>
      <c r="AH233" s="79">
        <f>IF(AG233="","",IF(AG233&lt;AsOf,1,IF(AG233&lt;=AsOf+AlertDays,2,IF(AG233&lt;=AsOf+2*AlertDays,3,""))))</f>
        <v/>
      </c>
      <c r="AI233" s="79">
        <f>IF(AH233="","","Follow up with "&amp;AA233&amp;": "&amp;AC233)</f>
        <v/>
      </c>
    </row>
    <row r="234" ht="20" customHeight="1">
      <c r="B234" s="72" t="n"/>
      <c r="C234" s="72" t="n"/>
      <c r="D234" s="72" t="n"/>
      <c r="E234" s="72" t="n"/>
      <c r="F234" s="72" t="n"/>
      <c r="G234" s="72" t="n"/>
      <c r="H234" s="72" t="n"/>
      <c r="I234" s="73" t="n"/>
      <c r="J234" s="75">
        <f>IF(B234="","",SUMIFS('Change Orders'!$J$7:$J$1006,'Change Orders'!$E$7:$E$1006,B234,'Change Orders'!$L$7:$L$1006,"Approved"))</f>
        <v/>
      </c>
      <c r="K234" s="76">
        <f>IF(B234="","",I234+J234)</f>
        <v/>
      </c>
      <c r="L234" s="74" t="n"/>
      <c r="M234" s="109" t="n"/>
      <c r="N234" s="109" t="n"/>
      <c r="O234" s="74" t="n"/>
      <c r="P234" s="74" t="n"/>
      <c r="Q234" s="100" t="n"/>
      <c r="R234" s="110" t="n"/>
      <c r="S234" s="75">
        <f>IF(B234="","",SUMIFS('Payments'!$N$6:$N$1005,'Payments'!$B$6:$B$1005,B234))</f>
        <v/>
      </c>
      <c r="T234" s="111">
        <f>IF(OR(B234="",K234=0),"",S234/K234)</f>
        <v/>
      </c>
      <c r="U234" s="78">
        <f>IF(V234="","",IF(V234=2,"⚠️ Paying ahead of work","✓ OK"))</f>
        <v/>
      </c>
      <c r="V234" s="79">
        <f>IF(T234="","",IF(T234-R234&gt;OverpayTol,2,0))</f>
        <v/>
      </c>
      <c r="W234" s="112">
        <f>IF(V234=2,AsOf,"")</f>
        <v/>
      </c>
      <c r="X234" s="79">
        <f>IF(W234="","",1)</f>
        <v/>
      </c>
      <c r="Y234" s="79">
        <f>IF(X234="","","Paying ahead of work: "&amp;B234&amp;" — paid "&amp;ROUND(T234*100,0)&amp;"%, work done "&amp;ROUND(R234*100,0)&amp;"%")</f>
        <v/>
      </c>
      <c r="AA234" s="72" t="n"/>
      <c r="AB234" s="109" t="n"/>
      <c r="AC234" s="113" t="n"/>
      <c r="AD234" s="74" t="n"/>
      <c r="AE234" s="109" t="n"/>
      <c r="AF234" s="74" t="n"/>
      <c r="AG234" s="112">
        <f>IF(AND(AA234&lt;&gt;"",AD234="Yes",AF234&lt;&gt;"Yes",AE234&lt;&gt;""),AE234,"")</f>
        <v/>
      </c>
      <c r="AH234" s="79">
        <f>IF(AG234="","",IF(AG234&lt;AsOf,1,IF(AG234&lt;=AsOf+AlertDays,2,IF(AG234&lt;=AsOf+2*AlertDays,3,""))))</f>
        <v/>
      </c>
      <c r="AI234" s="79">
        <f>IF(AH234="","","Follow up with "&amp;AA234&amp;": "&amp;AC234)</f>
        <v/>
      </c>
    </row>
    <row r="235" ht="20" customHeight="1">
      <c r="B235" s="72" t="n"/>
      <c r="C235" s="72" t="n"/>
      <c r="D235" s="72" t="n"/>
      <c r="E235" s="72" t="n"/>
      <c r="F235" s="72" t="n"/>
      <c r="G235" s="72" t="n"/>
      <c r="H235" s="72" t="n"/>
      <c r="I235" s="73" t="n"/>
      <c r="J235" s="75">
        <f>IF(B235="","",SUMIFS('Change Orders'!$J$7:$J$1006,'Change Orders'!$E$7:$E$1006,B235,'Change Orders'!$L$7:$L$1006,"Approved"))</f>
        <v/>
      </c>
      <c r="K235" s="76">
        <f>IF(B235="","",I235+J235)</f>
        <v/>
      </c>
      <c r="L235" s="74" t="n"/>
      <c r="M235" s="109" t="n"/>
      <c r="N235" s="109" t="n"/>
      <c r="O235" s="74" t="n"/>
      <c r="P235" s="74" t="n"/>
      <c r="Q235" s="100" t="n"/>
      <c r="R235" s="110" t="n"/>
      <c r="S235" s="75">
        <f>IF(B235="","",SUMIFS('Payments'!$N$6:$N$1005,'Payments'!$B$6:$B$1005,B235))</f>
        <v/>
      </c>
      <c r="T235" s="111">
        <f>IF(OR(B235="",K235=0),"",S235/K235)</f>
        <v/>
      </c>
      <c r="U235" s="78">
        <f>IF(V235="","",IF(V235=2,"⚠️ Paying ahead of work","✓ OK"))</f>
        <v/>
      </c>
      <c r="V235" s="79">
        <f>IF(T235="","",IF(T235-R235&gt;OverpayTol,2,0))</f>
        <v/>
      </c>
      <c r="W235" s="112">
        <f>IF(V235=2,AsOf,"")</f>
        <v/>
      </c>
      <c r="X235" s="79">
        <f>IF(W235="","",1)</f>
        <v/>
      </c>
      <c r="Y235" s="79">
        <f>IF(X235="","","Paying ahead of work: "&amp;B235&amp;" — paid "&amp;ROUND(T235*100,0)&amp;"%, work done "&amp;ROUND(R235*100,0)&amp;"%")</f>
        <v/>
      </c>
      <c r="AA235" s="72" t="n"/>
      <c r="AB235" s="109" t="n"/>
      <c r="AC235" s="113" t="n"/>
      <c r="AD235" s="74" t="n"/>
      <c r="AE235" s="109" t="n"/>
      <c r="AF235" s="74" t="n"/>
      <c r="AG235" s="112">
        <f>IF(AND(AA235&lt;&gt;"",AD235="Yes",AF235&lt;&gt;"Yes",AE235&lt;&gt;""),AE235,"")</f>
        <v/>
      </c>
      <c r="AH235" s="79">
        <f>IF(AG235="","",IF(AG235&lt;AsOf,1,IF(AG235&lt;=AsOf+AlertDays,2,IF(AG235&lt;=AsOf+2*AlertDays,3,""))))</f>
        <v/>
      </c>
      <c r="AI235" s="79">
        <f>IF(AH235="","","Follow up with "&amp;AA235&amp;": "&amp;AC235)</f>
        <v/>
      </c>
    </row>
    <row r="236" ht="20" customHeight="1">
      <c r="B236" s="72" t="n"/>
      <c r="C236" s="72" t="n"/>
      <c r="D236" s="72" t="n"/>
      <c r="E236" s="72" t="n"/>
      <c r="F236" s="72" t="n"/>
      <c r="G236" s="72" t="n"/>
      <c r="H236" s="72" t="n"/>
      <c r="I236" s="73" t="n"/>
      <c r="J236" s="75">
        <f>IF(B236="","",SUMIFS('Change Orders'!$J$7:$J$1006,'Change Orders'!$E$7:$E$1006,B236,'Change Orders'!$L$7:$L$1006,"Approved"))</f>
        <v/>
      </c>
      <c r="K236" s="76">
        <f>IF(B236="","",I236+J236)</f>
        <v/>
      </c>
      <c r="L236" s="74" t="n"/>
      <c r="M236" s="109" t="n"/>
      <c r="N236" s="109" t="n"/>
      <c r="O236" s="74" t="n"/>
      <c r="P236" s="74" t="n"/>
      <c r="Q236" s="100" t="n"/>
      <c r="R236" s="110" t="n"/>
      <c r="S236" s="75">
        <f>IF(B236="","",SUMIFS('Payments'!$N$6:$N$1005,'Payments'!$B$6:$B$1005,B236))</f>
        <v/>
      </c>
      <c r="T236" s="111">
        <f>IF(OR(B236="",K236=0),"",S236/K236)</f>
        <v/>
      </c>
      <c r="U236" s="78">
        <f>IF(V236="","",IF(V236=2,"⚠️ Paying ahead of work","✓ OK"))</f>
        <v/>
      </c>
      <c r="V236" s="79">
        <f>IF(T236="","",IF(T236-R236&gt;OverpayTol,2,0))</f>
        <v/>
      </c>
      <c r="W236" s="112">
        <f>IF(V236=2,AsOf,"")</f>
        <v/>
      </c>
      <c r="X236" s="79">
        <f>IF(W236="","",1)</f>
        <v/>
      </c>
      <c r="Y236" s="79">
        <f>IF(X236="","","Paying ahead of work: "&amp;B236&amp;" — paid "&amp;ROUND(T236*100,0)&amp;"%, work done "&amp;ROUND(R236*100,0)&amp;"%")</f>
        <v/>
      </c>
      <c r="AA236" s="72" t="n"/>
      <c r="AB236" s="109" t="n"/>
      <c r="AC236" s="113" t="n"/>
      <c r="AD236" s="74" t="n"/>
      <c r="AE236" s="109" t="n"/>
      <c r="AF236" s="74" t="n"/>
      <c r="AG236" s="112">
        <f>IF(AND(AA236&lt;&gt;"",AD236="Yes",AF236&lt;&gt;"Yes",AE236&lt;&gt;""),AE236,"")</f>
        <v/>
      </c>
      <c r="AH236" s="79">
        <f>IF(AG236="","",IF(AG236&lt;AsOf,1,IF(AG236&lt;=AsOf+AlertDays,2,IF(AG236&lt;=AsOf+2*AlertDays,3,""))))</f>
        <v/>
      </c>
      <c r="AI236" s="79">
        <f>IF(AH236="","","Follow up with "&amp;AA236&amp;": "&amp;AC236)</f>
        <v/>
      </c>
    </row>
    <row r="237" ht="20" customHeight="1">
      <c r="B237" s="72" t="n"/>
      <c r="C237" s="72" t="n"/>
      <c r="D237" s="72" t="n"/>
      <c r="E237" s="72" t="n"/>
      <c r="F237" s="72" t="n"/>
      <c r="G237" s="72" t="n"/>
      <c r="H237" s="72" t="n"/>
      <c r="I237" s="73" t="n"/>
      <c r="J237" s="75">
        <f>IF(B237="","",SUMIFS('Change Orders'!$J$7:$J$1006,'Change Orders'!$E$7:$E$1006,B237,'Change Orders'!$L$7:$L$1006,"Approved"))</f>
        <v/>
      </c>
      <c r="K237" s="76">
        <f>IF(B237="","",I237+J237)</f>
        <v/>
      </c>
      <c r="L237" s="74" t="n"/>
      <c r="M237" s="109" t="n"/>
      <c r="N237" s="109" t="n"/>
      <c r="O237" s="74" t="n"/>
      <c r="P237" s="74" t="n"/>
      <c r="Q237" s="100" t="n"/>
      <c r="R237" s="110" t="n"/>
      <c r="S237" s="75">
        <f>IF(B237="","",SUMIFS('Payments'!$N$6:$N$1005,'Payments'!$B$6:$B$1005,B237))</f>
        <v/>
      </c>
      <c r="T237" s="111">
        <f>IF(OR(B237="",K237=0),"",S237/K237)</f>
        <v/>
      </c>
      <c r="U237" s="78">
        <f>IF(V237="","",IF(V237=2,"⚠️ Paying ahead of work","✓ OK"))</f>
        <v/>
      </c>
      <c r="V237" s="79">
        <f>IF(T237="","",IF(T237-R237&gt;OverpayTol,2,0))</f>
        <v/>
      </c>
      <c r="W237" s="112">
        <f>IF(V237=2,AsOf,"")</f>
        <v/>
      </c>
      <c r="X237" s="79">
        <f>IF(W237="","",1)</f>
        <v/>
      </c>
      <c r="Y237" s="79">
        <f>IF(X237="","","Paying ahead of work: "&amp;B237&amp;" — paid "&amp;ROUND(T237*100,0)&amp;"%, work done "&amp;ROUND(R237*100,0)&amp;"%")</f>
        <v/>
      </c>
      <c r="AA237" s="72" t="n"/>
      <c r="AB237" s="109" t="n"/>
      <c r="AC237" s="113" t="n"/>
      <c r="AD237" s="74" t="n"/>
      <c r="AE237" s="109" t="n"/>
      <c r="AF237" s="74" t="n"/>
      <c r="AG237" s="112">
        <f>IF(AND(AA237&lt;&gt;"",AD237="Yes",AF237&lt;&gt;"Yes",AE237&lt;&gt;""),AE237,"")</f>
        <v/>
      </c>
      <c r="AH237" s="79">
        <f>IF(AG237="","",IF(AG237&lt;AsOf,1,IF(AG237&lt;=AsOf+AlertDays,2,IF(AG237&lt;=AsOf+2*AlertDays,3,""))))</f>
        <v/>
      </c>
      <c r="AI237" s="79">
        <f>IF(AH237="","","Follow up with "&amp;AA237&amp;": "&amp;AC237)</f>
        <v/>
      </c>
    </row>
    <row r="238" ht="20" customHeight="1">
      <c r="B238" s="72" t="n"/>
      <c r="C238" s="72" t="n"/>
      <c r="D238" s="72" t="n"/>
      <c r="E238" s="72" t="n"/>
      <c r="F238" s="72" t="n"/>
      <c r="G238" s="72" t="n"/>
      <c r="H238" s="72" t="n"/>
      <c r="I238" s="73" t="n"/>
      <c r="J238" s="75">
        <f>IF(B238="","",SUMIFS('Change Orders'!$J$7:$J$1006,'Change Orders'!$E$7:$E$1006,B238,'Change Orders'!$L$7:$L$1006,"Approved"))</f>
        <v/>
      </c>
      <c r="K238" s="76">
        <f>IF(B238="","",I238+J238)</f>
        <v/>
      </c>
      <c r="L238" s="74" t="n"/>
      <c r="M238" s="109" t="n"/>
      <c r="N238" s="109" t="n"/>
      <c r="O238" s="74" t="n"/>
      <c r="P238" s="74" t="n"/>
      <c r="Q238" s="100" t="n"/>
      <c r="R238" s="110" t="n"/>
      <c r="S238" s="75">
        <f>IF(B238="","",SUMIFS('Payments'!$N$6:$N$1005,'Payments'!$B$6:$B$1005,B238))</f>
        <v/>
      </c>
      <c r="T238" s="111">
        <f>IF(OR(B238="",K238=0),"",S238/K238)</f>
        <v/>
      </c>
      <c r="U238" s="78">
        <f>IF(V238="","",IF(V238=2,"⚠️ Paying ahead of work","✓ OK"))</f>
        <v/>
      </c>
      <c r="V238" s="79">
        <f>IF(T238="","",IF(T238-R238&gt;OverpayTol,2,0))</f>
        <v/>
      </c>
      <c r="W238" s="112">
        <f>IF(V238=2,AsOf,"")</f>
        <v/>
      </c>
      <c r="X238" s="79">
        <f>IF(W238="","",1)</f>
        <v/>
      </c>
      <c r="Y238" s="79">
        <f>IF(X238="","","Paying ahead of work: "&amp;B238&amp;" — paid "&amp;ROUND(T238*100,0)&amp;"%, work done "&amp;ROUND(R238*100,0)&amp;"%")</f>
        <v/>
      </c>
      <c r="AA238" s="72" t="n"/>
      <c r="AB238" s="109" t="n"/>
      <c r="AC238" s="113" t="n"/>
      <c r="AD238" s="74" t="n"/>
      <c r="AE238" s="109" t="n"/>
      <c r="AF238" s="74" t="n"/>
      <c r="AG238" s="112">
        <f>IF(AND(AA238&lt;&gt;"",AD238="Yes",AF238&lt;&gt;"Yes",AE238&lt;&gt;""),AE238,"")</f>
        <v/>
      </c>
      <c r="AH238" s="79">
        <f>IF(AG238="","",IF(AG238&lt;AsOf,1,IF(AG238&lt;=AsOf+AlertDays,2,IF(AG238&lt;=AsOf+2*AlertDays,3,""))))</f>
        <v/>
      </c>
      <c r="AI238" s="79">
        <f>IF(AH238="","","Follow up with "&amp;AA238&amp;": "&amp;AC238)</f>
        <v/>
      </c>
    </row>
    <row r="239" ht="20" customHeight="1">
      <c r="B239" s="72" t="n"/>
      <c r="C239" s="72" t="n"/>
      <c r="D239" s="72" t="n"/>
      <c r="E239" s="72" t="n"/>
      <c r="F239" s="72" t="n"/>
      <c r="G239" s="72" t="n"/>
      <c r="H239" s="72" t="n"/>
      <c r="I239" s="73" t="n"/>
      <c r="J239" s="75">
        <f>IF(B239="","",SUMIFS('Change Orders'!$J$7:$J$1006,'Change Orders'!$E$7:$E$1006,B239,'Change Orders'!$L$7:$L$1006,"Approved"))</f>
        <v/>
      </c>
      <c r="K239" s="76">
        <f>IF(B239="","",I239+J239)</f>
        <v/>
      </c>
      <c r="L239" s="74" t="n"/>
      <c r="M239" s="109" t="n"/>
      <c r="N239" s="109" t="n"/>
      <c r="O239" s="74" t="n"/>
      <c r="P239" s="74" t="n"/>
      <c r="Q239" s="100" t="n"/>
      <c r="R239" s="110" t="n"/>
      <c r="S239" s="75">
        <f>IF(B239="","",SUMIFS('Payments'!$N$6:$N$1005,'Payments'!$B$6:$B$1005,B239))</f>
        <v/>
      </c>
      <c r="T239" s="111">
        <f>IF(OR(B239="",K239=0),"",S239/K239)</f>
        <v/>
      </c>
      <c r="U239" s="78">
        <f>IF(V239="","",IF(V239=2,"⚠️ Paying ahead of work","✓ OK"))</f>
        <v/>
      </c>
      <c r="V239" s="79">
        <f>IF(T239="","",IF(T239-R239&gt;OverpayTol,2,0))</f>
        <v/>
      </c>
      <c r="W239" s="112">
        <f>IF(V239=2,AsOf,"")</f>
        <v/>
      </c>
      <c r="X239" s="79">
        <f>IF(W239="","",1)</f>
        <v/>
      </c>
      <c r="Y239" s="79">
        <f>IF(X239="","","Paying ahead of work: "&amp;B239&amp;" — paid "&amp;ROUND(T239*100,0)&amp;"%, work done "&amp;ROUND(R239*100,0)&amp;"%")</f>
        <v/>
      </c>
      <c r="AA239" s="72" t="n"/>
      <c r="AB239" s="109" t="n"/>
      <c r="AC239" s="113" t="n"/>
      <c r="AD239" s="74" t="n"/>
      <c r="AE239" s="109" t="n"/>
      <c r="AF239" s="74" t="n"/>
      <c r="AG239" s="112">
        <f>IF(AND(AA239&lt;&gt;"",AD239="Yes",AF239&lt;&gt;"Yes",AE239&lt;&gt;""),AE239,"")</f>
        <v/>
      </c>
      <c r="AH239" s="79">
        <f>IF(AG239="","",IF(AG239&lt;AsOf,1,IF(AG239&lt;=AsOf+AlertDays,2,IF(AG239&lt;=AsOf+2*AlertDays,3,""))))</f>
        <v/>
      </c>
      <c r="AI239" s="79">
        <f>IF(AH239="","","Follow up with "&amp;AA239&amp;": "&amp;AC239)</f>
        <v/>
      </c>
    </row>
    <row r="240" ht="20" customHeight="1">
      <c r="B240" s="72" t="n"/>
      <c r="C240" s="72" t="n"/>
      <c r="D240" s="72" t="n"/>
      <c r="E240" s="72" t="n"/>
      <c r="F240" s="72" t="n"/>
      <c r="G240" s="72" t="n"/>
      <c r="H240" s="72" t="n"/>
      <c r="I240" s="73" t="n"/>
      <c r="J240" s="75">
        <f>IF(B240="","",SUMIFS('Change Orders'!$J$7:$J$1006,'Change Orders'!$E$7:$E$1006,B240,'Change Orders'!$L$7:$L$1006,"Approved"))</f>
        <v/>
      </c>
      <c r="K240" s="76">
        <f>IF(B240="","",I240+J240)</f>
        <v/>
      </c>
      <c r="L240" s="74" t="n"/>
      <c r="M240" s="109" t="n"/>
      <c r="N240" s="109" t="n"/>
      <c r="O240" s="74" t="n"/>
      <c r="P240" s="74" t="n"/>
      <c r="Q240" s="100" t="n"/>
      <c r="R240" s="110" t="n"/>
      <c r="S240" s="75">
        <f>IF(B240="","",SUMIFS('Payments'!$N$6:$N$1005,'Payments'!$B$6:$B$1005,B240))</f>
        <v/>
      </c>
      <c r="T240" s="111">
        <f>IF(OR(B240="",K240=0),"",S240/K240)</f>
        <v/>
      </c>
      <c r="U240" s="78">
        <f>IF(V240="","",IF(V240=2,"⚠️ Paying ahead of work","✓ OK"))</f>
        <v/>
      </c>
      <c r="V240" s="79">
        <f>IF(T240="","",IF(T240-R240&gt;OverpayTol,2,0))</f>
        <v/>
      </c>
      <c r="W240" s="112">
        <f>IF(V240=2,AsOf,"")</f>
        <v/>
      </c>
      <c r="X240" s="79">
        <f>IF(W240="","",1)</f>
        <v/>
      </c>
      <c r="Y240" s="79">
        <f>IF(X240="","","Paying ahead of work: "&amp;B240&amp;" — paid "&amp;ROUND(T240*100,0)&amp;"%, work done "&amp;ROUND(R240*100,0)&amp;"%")</f>
        <v/>
      </c>
      <c r="AA240" s="72" t="n"/>
      <c r="AB240" s="109" t="n"/>
      <c r="AC240" s="113" t="n"/>
      <c r="AD240" s="74" t="n"/>
      <c r="AE240" s="109" t="n"/>
      <c r="AF240" s="74" t="n"/>
      <c r="AG240" s="112">
        <f>IF(AND(AA240&lt;&gt;"",AD240="Yes",AF240&lt;&gt;"Yes",AE240&lt;&gt;""),AE240,"")</f>
        <v/>
      </c>
      <c r="AH240" s="79">
        <f>IF(AG240="","",IF(AG240&lt;AsOf,1,IF(AG240&lt;=AsOf+AlertDays,2,IF(AG240&lt;=AsOf+2*AlertDays,3,""))))</f>
        <v/>
      </c>
      <c r="AI240" s="79">
        <f>IF(AH240="","","Follow up with "&amp;AA240&amp;": "&amp;AC240)</f>
        <v/>
      </c>
    </row>
    <row r="241" ht="20" customHeight="1">
      <c r="B241" s="72" t="n"/>
      <c r="C241" s="72" t="n"/>
      <c r="D241" s="72" t="n"/>
      <c r="E241" s="72" t="n"/>
      <c r="F241" s="72" t="n"/>
      <c r="G241" s="72" t="n"/>
      <c r="H241" s="72" t="n"/>
      <c r="I241" s="73" t="n"/>
      <c r="J241" s="75">
        <f>IF(B241="","",SUMIFS('Change Orders'!$J$7:$J$1006,'Change Orders'!$E$7:$E$1006,B241,'Change Orders'!$L$7:$L$1006,"Approved"))</f>
        <v/>
      </c>
      <c r="K241" s="76">
        <f>IF(B241="","",I241+J241)</f>
        <v/>
      </c>
      <c r="L241" s="74" t="n"/>
      <c r="M241" s="109" t="n"/>
      <c r="N241" s="109" t="n"/>
      <c r="O241" s="74" t="n"/>
      <c r="P241" s="74" t="n"/>
      <c r="Q241" s="100" t="n"/>
      <c r="R241" s="110" t="n"/>
      <c r="S241" s="75">
        <f>IF(B241="","",SUMIFS('Payments'!$N$6:$N$1005,'Payments'!$B$6:$B$1005,B241))</f>
        <v/>
      </c>
      <c r="T241" s="111">
        <f>IF(OR(B241="",K241=0),"",S241/K241)</f>
        <v/>
      </c>
      <c r="U241" s="78">
        <f>IF(V241="","",IF(V241=2,"⚠️ Paying ahead of work","✓ OK"))</f>
        <v/>
      </c>
      <c r="V241" s="79">
        <f>IF(T241="","",IF(T241-R241&gt;OverpayTol,2,0))</f>
        <v/>
      </c>
      <c r="W241" s="112">
        <f>IF(V241=2,AsOf,"")</f>
        <v/>
      </c>
      <c r="X241" s="79">
        <f>IF(W241="","",1)</f>
        <v/>
      </c>
      <c r="Y241" s="79">
        <f>IF(X241="","","Paying ahead of work: "&amp;B241&amp;" — paid "&amp;ROUND(T241*100,0)&amp;"%, work done "&amp;ROUND(R241*100,0)&amp;"%")</f>
        <v/>
      </c>
      <c r="AA241" s="72" t="n"/>
      <c r="AB241" s="109" t="n"/>
      <c r="AC241" s="113" t="n"/>
      <c r="AD241" s="74" t="n"/>
      <c r="AE241" s="109" t="n"/>
      <c r="AF241" s="74" t="n"/>
      <c r="AG241" s="112">
        <f>IF(AND(AA241&lt;&gt;"",AD241="Yes",AF241&lt;&gt;"Yes",AE241&lt;&gt;""),AE241,"")</f>
        <v/>
      </c>
      <c r="AH241" s="79">
        <f>IF(AG241="","",IF(AG241&lt;AsOf,1,IF(AG241&lt;=AsOf+AlertDays,2,IF(AG241&lt;=AsOf+2*AlertDays,3,""))))</f>
        <v/>
      </c>
      <c r="AI241" s="79">
        <f>IF(AH241="","","Follow up with "&amp;AA241&amp;": "&amp;AC241)</f>
        <v/>
      </c>
    </row>
    <row r="242" ht="20" customHeight="1">
      <c r="B242" s="72" t="n"/>
      <c r="C242" s="72" t="n"/>
      <c r="D242" s="72" t="n"/>
      <c r="E242" s="72" t="n"/>
      <c r="F242" s="72" t="n"/>
      <c r="G242" s="72" t="n"/>
      <c r="H242" s="72" t="n"/>
      <c r="I242" s="73" t="n"/>
      <c r="J242" s="75">
        <f>IF(B242="","",SUMIFS('Change Orders'!$J$7:$J$1006,'Change Orders'!$E$7:$E$1006,B242,'Change Orders'!$L$7:$L$1006,"Approved"))</f>
        <v/>
      </c>
      <c r="K242" s="76">
        <f>IF(B242="","",I242+J242)</f>
        <v/>
      </c>
      <c r="L242" s="74" t="n"/>
      <c r="M242" s="109" t="n"/>
      <c r="N242" s="109" t="n"/>
      <c r="O242" s="74" t="n"/>
      <c r="P242" s="74" t="n"/>
      <c r="Q242" s="100" t="n"/>
      <c r="R242" s="110" t="n"/>
      <c r="S242" s="75">
        <f>IF(B242="","",SUMIFS('Payments'!$N$6:$N$1005,'Payments'!$B$6:$B$1005,B242))</f>
        <v/>
      </c>
      <c r="T242" s="111">
        <f>IF(OR(B242="",K242=0),"",S242/K242)</f>
        <v/>
      </c>
      <c r="U242" s="78">
        <f>IF(V242="","",IF(V242=2,"⚠️ Paying ahead of work","✓ OK"))</f>
        <v/>
      </c>
      <c r="V242" s="79">
        <f>IF(T242="","",IF(T242-R242&gt;OverpayTol,2,0))</f>
        <v/>
      </c>
      <c r="W242" s="112">
        <f>IF(V242=2,AsOf,"")</f>
        <v/>
      </c>
      <c r="X242" s="79">
        <f>IF(W242="","",1)</f>
        <v/>
      </c>
      <c r="Y242" s="79">
        <f>IF(X242="","","Paying ahead of work: "&amp;B242&amp;" — paid "&amp;ROUND(T242*100,0)&amp;"%, work done "&amp;ROUND(R242*100,0)&amp;"%")</f>
        <v/>
      </c>
      <c r="AA242" s="72" t="n"/>
      <c r="AB242" s="109" t="n"/>
      <c r="AC242" s="113" t="n"/>
      <c r="AD242" s="74" t="n"/>
      <c r="AE242" s="109" t="n"/>
      <c r="AF242" s="74" t="n"/>
      <c r="AG242" s="112">
        <f>IF(AND(AA242&lt;&gt;"",AD242="Yes",AF242&lt;&gt;"Yes",AE242&lt;&gt;""),AE242,"")</f>
        <v/>
      </c>
      <c r="AH242" s="79">
        <f>IF(AG242="","",IF(AG242&lt;AsOf,1,IF(AG242&lt;=AsOf+AlertDays,2,IF(AG242&lt;=AsOf+2*AlertDays,3,""))))</f>
        <v/>
      </c>
      <c r="AI242" s="79">
        <f>IF(AH242="","","Follow up with "&amp;AA242&amp;": "&amp;AC242)</f>
        <v/>
      </c>
    </row>
    <row r="243" ht="20" customHeight="1">
      <c r="B243" s="72" t="n"/>
      <c r="C243" s="72" t="n"/>
      <c r="D243" s="72" t="n"/>
      <c r="E243" s="72" t="n"/>
      <c r="F243" s="72" t="n"/>
      <c r="G243" s="72" t="n"/>
      <c r="H243" s="72" t="n"/>
      <c r="I243" s="73" t="n"/>
      <c r="J243" s="75">
        <f>IF(B243="","",SUMIFS('Change Orders'!$J$7:$J$1006,'Change Orders'!$E$7:$E$1006,B243,'Change Orders'!$L$7:$L$1006,"Approved"))</f>
        <v/>
      </c>
      <c r="K243" s="76">
        <f>IF(B243="","",I243+J243)</f>
        <v/>
      </c>
      <c r="L243" s="74" t="n"/>
      <c r="M243" s="109" t="n"/>
      <c r="N243" s="109" t="n"/>
      <c r="O243" s="74" t="n"/>
      <c r="P243" s="74" t="n"/>
      <c r="Q243" s="100" t="n"/>
      <c r="R243" s="110" t="n"/>
      <c r="S243" s="75">
        <f>IF(B243="","",SUMIFS('Payments'!$N$6:$N$1005,'Payments'!$B$6:$B$1005,B243))</f>
        <v/>
      </c>
      <c r="T243" s="111">
        <f>IF(OR(B243="",K243=0),"",S243/K243)</f>
        <v/>
      </c>
      <c r="U243" s="78">
        <f>IF(V243="","",IF(V243=2,"⚠️ Paying ahead of work","✓ OK"))</f>
        <v/>
      </c>
      <c r="V243" s="79">
        <f>IF(T243="","",IF(T243-R243&gt;OverpayTol,2,0))</f>
        <v/>
      </c>
      <c r="W243" s="112">
        <f>IF(V243=2,AsOf,"")</f>
        <v/>
      </c>
      <c r="X243" s="79">
        <f>IF(W243="","",1)</f>
        <v/>
      </c>
      <c r="Y243" s="79">
        <f>IF(X243="","","Paying ahead of work: "&amp;B243&amp;" — paid "&amp;ROUND(T243*100,0)&amp;"%, work done "&amp;ROUND(R243*100,0)&amp;"%")</f>
        <v/>
      </c>
      <c r="AA243" s="72" t="n"/>
      <c r="AB243" s="109" t="n"/>
      <c r="AC243" s="113" t="n"/>
      <c r="AD243" s="74" t="n"/>
      <c r="AE243" s="109" t="n"/>
      <c r="AF243" s="74" t="n"/>
      <c r="AG243" s="112">
        <f>IF(AND(AA243&lt;&gt;"",AD243="Yes",AF243&lt;&gt;"Yes",AE243&lt;&gt;""),AE243,"")</f>
        <v/>
      </c>
      <c r="AH243" s="79">
        <f>IF(AG243="","",IF(AG243&lt;AsOf,1,IF(AG243&lt;=AsOf+AlertDays,2,IF(AG243&lt;=AsOf+2*AlertDays,3,""))))</f>
        <v/>
      </c>
      <c r="AI243" s="79">
        <f>IF(AH243="","","Follow up with "&amp;AA243&amp;": "&amp;AC243)</f>
        <v/>
      </c>
    </row>
    <row r="244" ht="20" customHeight="1">
      <c r="B244" s="72" t="n"/>
      <c r="C244" s="72" t="n"/>
      <c r="D244" s="72" t="n"/>
      <c r="E244" s="72" t="n"/>
      <c r="F244" s="72" t="n"/>
      <c r="G244" s="72" t="n"/>
      <c r="H244" s="72" t="n"/>
      <c r="I244" s="73" t="n"/>
      <c r="J244" s="75">
        <f>IF(B244="","",SUMIFS('Change Orders'!$J$7:$J$1006,'Change Orders'!$E$7:$E$1006,B244,'Change Orders'!$L$7:$L$1006,"Approved"))</f>
        <v/>
      </c>
      <c r="K244" s="76">
        <f>IF(B244="","",I244+J244)</f>
        <v/>
      </c>
      <c r="L244" s="74" t="n"/>
      <c r="M244" s="109" t="n"/>
      <c r="N244" s="109" t="n"/>
      <c r="O244" s="74" t="n"/>
      <c r="P244" s="74" t="n"/>
      <c r="Q244" s="100" t="n"/>
      <c r="R244" s="110" t="n"/>
      <c r="S244" s="75">
        <f>IF(B244="","",SUMIFS('Payments'!$N$6:$N$1005,'Payments'!$B$6:$B$1005,B244))</f>
        <v/>
      </c>
      <c r="T244" s="111">
        <f>IF(OR(B244="",K244=0),"",S244/K244)</f>
        <v/>
      </c>
      <c r="U244" s="78">
        <f>IF(V244="","",IF(V244=2,"⚠️ Paying ahead of work","✓ OK"))</f>
        <v/>
      </c>
      <c r="V244" s="79">
        <f>IF(T244="","",IF(T244-R244&gt;OverpayTol,2,0))</f>
        <v/>
      </c>
      <c r="W244" s="112">
        <f>IF(V244=2,AsOf,"")</f>
        <v/>
      </c>
      <c r="X244" s="79">
        <f>IF(W244="","",1)</f>
        <v/>
      </c>
      <c r="Y244" s="79">
        <f>IF(X244="","","Paying ahead of work: "&amp;B244&amp;" — paid "&amp;ROUND(T244*100,0)&amp;"%, work done "&amp;ROUND(R244*100,0)&amp;"%")</f>
        <v/>
      </c>
      <c r="AA244" s="72" t="n"/>
      <c r="AB244" s="109" t="n"/>
      <c r="AC244" s="113" t="n"/>
      <c r="AD244" s="74" t="n"/>
      <c r="AE244" s="109" t="n"/>
      <c r="AF244" s="74" t="n"/>
      <c r="AG244" s="112">
        <f>IF(AND(AA244&lt;&gt;"",AD244="Yes",AF244&lt;&gt;"Yes",AE244&lt;&gt;""),AE244,"")</f>
        <v/>
      </c>
      <c r="AH244" s="79">
        <f>IF(AG244="","",IF(AG244&lt;AsOf,1,IF(AG244&lt;=AsOf+AlertDays,2,IF(AG244&lt;=AsOf+2*AlertDays,3,""))))</f>
        <v/>
      </c>
      <c r="AI244" s="79">
        <f>IF(AH244="","","Follow up with "&amp;AA244&amp;": "&amp;AC244)</f>
        <v/>
      </c>
    </row>
    <row r="245" ht="20" customHeight="1">
      <c r="B245" s="72" t="n"/>
      <c r="C245" s="72" t="n"/>
      <c r="D245" s="72" t="n"/>
      <c r="E245" s="72" t="n"/>
      <c r="F245" s="72" t="n"/>
      <c r="G245" s="72" t="n"/>
      <c r="H245" s="72" t="n"/>
      <c r="I245" s="73" t="n"/>
      <c r="J245" s="75">
        <f>IF(B245="","",SUMIFS('Change Orders'!$J$7:$J$1006,'Change Orders'!$E$7:$E$1006,B245,'Change Orders'!$L$7:$L$1006,"Approved"))</f>
        <v/>
      </c>
      <c r="K245" s="76">
        <f>IF(B245="","",I245+J245)</f>
        <v/>
      </c>
      <c r="L245" s="74" t="n"/>
      <c r="M245" s="109" t="n"/>
      <c r="N245" s="109" t="n"/>
      <c r="O245" s="74" t="n"/>
      <c r="P245" s="74" t="n"/>
      <c r="Q245" s="100" t="n"/>
      <c r="R245" s="110" t="n"/>
      <c r="S245" s="75">
        <f>IF(B245="","",SUMIFS('Payments'!$N$6:$N$1005,'Payments'!$B$6:$B$1005,B245))</f>
        <v/>
      </c>
      <c r="T245" s="111">
        <f>IF(OR(B245="",K245=0),"",S245/K245)</f>
        <v/>
      </c>
      <c r="U245" s="78">
        <f>IF(V245="","",IF(V245=2,"⚠️ Paying ahead of work","✓ OK"))</f>
        <v/>
      </c>
      <c r="V245" s="79">
        <f>IF(T245="","",IF(T245-R245&gt;OverpayTol,2,0))</f>
        <v/>
      </c>
      <c r="W245" s="112">
        <f>IF(V245=2,AsOf,"")</f>
        <v/>
      </c>
      <c r="X245" s="79">
        <f>IF(W245="","",1)</f>
        <v/>
      </c>
      <c r="Y245" s="79">
        <f>IF(X245="","","Paying ahead of work: "&amp;B245&amp;" — paid "&amp;ROUND(T245*100,0)&amp;"%, work done "&amp;ROUND(R245*100,0)&amp;"%")</f>
        <v/>
      </c>
      <c r="AA245" s="72" t="n"/>
      <c r="AB245" s="109" t="n"/>
      <c r="AC245" s="113" t="n"/>
      <c r="AD245" s="74" t="n"/>
      <c r="AE245" s="109" t="n"/>
      <c r="AF245" s="74" t="n"/>
      <c r="AG245" s="112">
        <f>IF(AND(AA245&lt;&gt;"",AD245="Yes",AF245&lt;&gt;"Yes",AE245&lt;&gt;""),AE245,"")</f>
        <v/>
      </c>
      <c r="AH245" s="79">
        <f>IF(AG245="","",IF(AG245&lt;AsOf,1,IF(AG245&lt;=AsOf+AlertDays,2,IF(AG245&lt;=AsOf+2*AlertDays,3,""))))</f>
        <v/>
      </c>
      <c r="AI245" s="79">
        <f>IF(AH245="","","Follow up with "&amp;AA245&amp;": "&amp;AC245)</f>
        <v/>
      </c>
    </row>
    <row r="246" ht="20" customHeight="1">
      <c r="B246" s="72" t="n"/>
      <c r="C246" s="72" t="n"/>
      <c r="D246" s="72" t="n"/>
      <c r="E246" s="72" t="n"/>
      <c r="F246" s="72" t="n"/>
      <c r="G246" s="72" t="n"/>
      <c r="H246" s="72" t="n"/>
      <c r="I246" s="73" t="n"/>
      <c r="J246" s="75">
        <f>IF(B246="","",SUMIFS('Change Orders'!$J$7:$J$1006,'Change Orders'!$E$7:$E$1006,B246,'Change Orders'!$L$7:$L$1006,"Approved"))</f>
        <v/>
      </c>
      <c r="K246" s="76">
        <f>IF(B246="","",I246+J246)</f>
        <v/>
      </c>
      <c r="L246" s="74" t="n"/>
      <c r="M246" s="109" t="n"/>
      <c r="N246" s="109" t="n"/>
      <c r="O246" s="74" t="n"/>
      <c r="P246" s="74" t="n"/>
      <c r="Q246" s="100" t="n"/>
      <c r="R246" s="110" t="n"/>
      <c r="S246" s="75">
        <f>IF(B246="","",SUMIFS('Payments'!$N$6:$N$1005,'Payments'!$B$6:$B$1005,B246))</f>
        <v/>
      </c>
      <c r="T246" s="111">
        <f>IF(OR(B246="",K246=0),"",S246/K246)</f>
        <v/>
      </c>
      <c r="U246" s="78">
        <f>IF(V246="","",IF(V246=2,"⚠️ Paying ahead of work","✓ OK"))</f>
        <v/>
      </c>
      <c r="V246" s="79">
        <f>IF(T246="","",IF(T246-R246&gt;OverpayTol,2,0))</f>
        <v/>
      </c>
      <c r="W246" s="112">
        <f>IF(V246=2,AsOf,"")</f>
        <v/>
      </c>
      <c r="X246" s="79">
        <f>IF(W246="","",1)</f>
        <v/>
      </c>
      <c r="Y246" s="79">
        <f>IF(X246="","","Paying ahead of work: "&amp;B246&amp;" — paid "&amp;ROUND(T246*100,0)&amp;"%, work done "&amp;ROUND(R246*100,0)&amp;"%")</f>
        <v/>
      </c>
      <c r="AA246" s="72" t="n"/>
      <c r="AB246" s="109" t="n"/>
      <c r="AC246" s="113" t="n"/>
      <c r="AD246" s="74" t="n"/>
      <c r="AE246" s="109" t="n"/>
      <c r="AF246" s="74" t="n"/>
      <c r="AG246" s="112">
        <f>IF(AND(AA246&lt;&gt;"",AD246="Yes",AF246&lt;&gt;"Yes",AE246&lt;&gt;""),AE246,"")</f>
        <v/>
      </c>
      <c r="AH246" s="79">
        <f>IF(AG246="","",IF(AG246&lt;AsOf,1,IF(AG246&lt;=AsOf+AlertDays,2,IF(AG246&lt;=AsOf+2*AlertDays,3,""))))</f>
        <v/>
      </c>
      <c r="AI246" s="79">
        <f>IF(AH246="","","Follow up with "&amp;AA246&amp;": "&amp;AC246)</f>
        <v/>
      </c>
    </row>
    <row r="247" ht="20" customHeight="1">
      <c r="B247" s="72" t="n"/>
      <c r="C247" s="72" t="n"/>
      <c r="D247" s="72" t="n"/>
      <c r="E247" s="72" t="n"/>
      <c r="F247" s="72" t="n"/>
      <c r="G247" s="72" t="n"/>
      <c r="H247" s="72" t="n"/>
      <c r="I247" s="73" t="n"/>
      <c r="J247" s="75">
        <f>IF(B247="","",SUMIFS('Change Orders'!$J$7:$J$1006,'Change Orders'!$E$7:$E$1006,B247,'Change Orders'!$L$7:$L$1006,"Approved"))</f>
        <v/>
      </c>
      <c r="K247" s="76">
        <f>IF(B247="","",I247+J247)</f>
        <v/>
      </c>
      <c r="L247" s="74" t="n"/>
      <c r="M247" s="109" t="n"/>
      <c r="N247" s="109" t="n"/>
      <c r="O247" s="74" t="n"/>
      <c r="P247" s="74" t="n"/>
      <c r="Q247" s="100" t="n"/>
      <c r="R247" s="110" t="n"/>
      <c r="S247" s="75">
        <f>IF(B247="","",SUMIFS('Payments'!$N$6:$N$1005,'Payments'!$B$6:$B$1005,B247))</f>
        <v/>
      </c>
      <c r="T247" s="111">
        <f>IF(OR(B247="",K247=0),"",S247/K247)</f>
        <v/>
      </c>
      <c r="U247" s="78">
        <f>IF(V247="","",IF(V247=2,"⚠️ Paying ahead of work","✓ OK"))</f>
        <v/>
      </c>
      <c r="V247" s="79">
        <f>IF(T247="","",IF(T247-R247&gt;OverpayTol,2,0))</f>
        <v/>
      </c>
      <c r="W247" s="112">
        <f>IF(V247=2,AsOf,"")</f>
        <v/>
      </c>
      <c r="X247" s="79">
        <f>IF(W247="","",1)</f>
        <v/>
      </c>
      <c r="Y247" s="79">
        <f>IF(X247="","","Paying ahead of work: "&amp;B247&amp;" — paid "&amp;ROUND(T247*100,0)&amp;"%, work done "&amp;ROUND(R247*100,0)&amp;"%")</f>
        <v/>
      </c>
      <c r="AA247" s="72" t="n"/>
      <c r="AB247" s="109" t="n"/>
      <c r="AC247" s="113" t="n"/>
      <c r="AD247" s="74" t="n"/>
      <c r="AE247" s="109" t="n"/>
      <c r="AF247" s="74" t="n"/>
      <c r="AG247" s="112">
        <f>IF(AND(AA247&lt;&gt;"",AD247="Yes",AF247&lt;&gt;"Yes",AE247&lt;&gt;""),AE247,"")</f>
        <v/>
      </c>
      <c r="AH247" s="79">
        <f>IF(AG247="","",IF(AG247&lt;AsOf,1,IF(AG247&lt;=AsOf+AlertDays,2,IF(AG247&lt;=AsOf+2*AlertDays,3,""))))</f>
        <v/>
      </c>
      <c r="AI247" s="79">
        <f>IF(AH247="","","Follow up with "&amp;AA247&amp;": "&amp;AC247)</f>
        <v/>
      </c>
    </row>
    <row r="248" ht="20" customHeight="1">
      <c r="B248" s="72" t="n"/>
      <c r="C248" s="72" t="n"/>
      <c r="D248" s="72" t="n"/>
      <c r="E248" s="72" t="n"/>
      <c r="F248" s="72" t="n"/>
      <c r="G248" s="72" t="n"/>
      <c r="H248" s="72" t="n"/>
      <c r="I248" s="73" t="n"/>
      <c r="J248" s="75">
        <f>IF(B248="","",SUMIFS('Change Orders'!$J$7:$J$1006,'Change Orders'!$E$7:$E$1006,B248,'Change Orders'!$L$7:$L$1006,"Approved"))</f>
        <v/>
      </c>
      <c r="K248" s="76">
        <f>IF(B248="","",I248+J248)</f>
        <v/>
      </c>
      <c r="L248" s="74" t="n"/>
      <c r="M248" s="109" t="n"/>
      <c r="N248" s="109" t="n"/>
      <c r="O248" s="74" t="n"/>
      <c r="P248" s="74" t="n"/>
      <c r="Q248" s="100" t="n"/>
      <c r="R248" s="110" t="n"/>
      <c r="S248" s="75">
        <f>IF(B248="","",SUMIFS('Payments'!$N$6:$N$1005,'Payments'!$B$6:$B$1005,B248))</f>
        <v/>
      </c>
      <c r="T248" s="111">
        <f>IF(OR(B248="",K248=0),"",S248/K248)</f>
        <v/>
      </c>
      <c r="U248" s="78">
        <f>IF(V248="","",IF(V248=2,"⚠️ Paying ahead of work","✓ OK"))</f>
        <v/>
      </c>
      <c r="V248" s="79">
        <f>IF(T248="","",IF(T248-R248&gt;OverpayTol,2,0))</f>
        <v/>
      </c>
      <c r="W248" s="112">
        <f>IF(V248=2,AsOf,"")</f>
        <v/>
      </c>
      <c r="X248" s="79">
        <f>IF(W248="","",1)</f>
        <v/>
      </c>
      <c r="Y248" s="79">
        <f>IF(X248="","","Paying ahead of work: "&amp;B248&amp;" — paid "&amp;ROUND(T248*100,0)&amp;"%, work done "&amp;ROUND(R248*100,0)&amp;"%")</f>
        <v/>
      </c>
      <c r="AA248" s="72" t="n"/>
      <c r="AB248" s="109" t="n"/>
      <c r="AC248" s="113" t="n"/>
      <c r="AD248" s="74" t="n"/>
      <c r="AE248" s="109" t="n"/>
      <c r="AF248" s="74" t="n"/>
      <c r="AG248" s="112">
        <f>IF(AND(AA248&lt;&gt;"",AD248="Yes",AF248&lt;&gt;"Yes",AE248&lt;&gt;""),AE248,"")</f>
        <v/>
      </c>
      <c r="AH248" s="79">
        <f>IF(AG248="","",IF(AG248&lt;AsOf,1,IF(AG248&lt;=AsOf+AlertDays,2,IF(AG248&lt;=AsOf+2*AlertDays,3,""))))</f>
        <v/>
      </c>
      <c r="AI248" s="79">
        <f>IF(AH248="","","Follow up with "&amp;AA248&amp;": "&amp;AC248)</f>
        <v/>
      </c>
    </row>
    <row r="249" ht="20" customHeight="1">
      <c r="B249" s="72" t="n"/>
      <c r="C249" s="72" t="n"/>
      <c r="D249" s="72" t="n"/>
      <c r="E249" s="72" t="n"/>
      <c r="F249" s="72" t="n"/>
      <c r="G249" s="72" t="n"/>
      <c r="H249" s="72" t="n"/>
      <c r="I249" s="73" t="n"/>
      <c r="J249" s="75">
        <f>IF(B249="","",SUMIFS('Change Orders'!$J$7:$J$1006,'Change Orders'!$E$7:$E$1006,B249,'Change Orders'!$L$7:$L$1006,"Approved"))</f>
        <v/>
      </c>
      <c r="K249" s="76">
        <f>IF(B249="","",I249+J249)</f>
        <v/>
      </c>
      <c r="L249" s="74" t="n"/>
      <c r="M249" s="109" t="n"/>
      <c r="N249" s="109" t="n"/>
      <c r="O249" s="74" t="n"/>
      <c r="P249" s="74" t="n"/>
      <c r="Q249" s="100" t="n"/>
      <c r="R249" s="110" t="n"/>
      <c r="S249" s="75">
        <f>IF(B249="","",SUMIFS('Payments'!$N$6:$N$1005,'Payments'!$B$6:$B$1005,B249))</f>
        <v/>
      </c>
      <c r="T249" s="111">
        <f>IF(OR(B249="",K249=0),"",S249/K249)</f>
        <v/>
      </c>
      <c r="U249" s="78">
        <f>IF(V249="","",IF(V249=2,"⚠️ Paying ahead of work","✓ OK"))</f>
        <v/>
      </c>
      <c r="V249" s="79">
        <f>IF(T249="","",IF(T249-R249&gt;OverpayTol,2,0))</f>
        <v/>
      </c>
      <c r="W249" s="112">
        <f>IF(V249=2,AsOf,"")</f>
        <v/>
      </c>
      <c r="X249" s="79">
        <f>IF(W249="","",1)</f>
        <v/>
      </c>
      <c r="Y249" s="79">
        <f>IF(X249="","","Paying ahead of work: "&amp;B249&amp;" — paid "&amp;ROUND(T249*100,0)&amp;"%, work done "&amp;ROUND(R249*100,0)&amp;"%")</f>
        <v/>
      </c>
      <c r="AA249" s="72" t="n"/>
      <c r="AB249" s="109" t="n"/>
      <c r="AC249" s="113" t="n"/>
      <c r="AD249" s="74" t="n"/>
      <c r="AE249" s="109" t="n"/>
      <c r="AF249" s="74" t="n"/>
      <c r="AG249" s="112">
        <f>IF(AND(AA249&lt;&gt;"",AD249="Yes",AF249&lt;&gt;"Yes",AE249&lt;&gt;""),AE249,"")</f>
        <v/>
      </c>
      <c r="AH249" s="79">
        <f>IF(AG249="","",IF(AG249&lt;AsOf,1,IF(AG249&lt;=AsOf+AlertDays,2,IF(AG249&lt;=AsOf+2*AlertDays,3,""))))</f>
        <v/>
      </c>
      <c r="AI249" s="79">
        <f>IF(AH249="","","Follow up with "&amp;AA249&amp;": "&amp;AC249)</f>
        <v/>
      </c>
    </row>
    <row r="250" ht="20" customHeight="1">
      <c r="B250" s="72" t="n"/>
      <c r="C250" s="72" t="n"/>
      <c r="D250" s="72" t="n"/>
      <c r="E250" s="72" t="n"/>
      <c r="F250" s="72" t="n"/>
      <c r="G250" s="72" t="n"/>
      <c r="H250" s="72" t="n"/>
      <c r="I250" s="73" t="n"/>
      <c r="J250" s="75">
        <f>IF(B250="","",SUMIFS('Change Orders'!$J$7:$J$1006,'Change Orders'!$E$7:$E$1006,B250,'Change Orders'!$L$7:$L$1006,"Approved"))</f>
        <v/>
      </c>
      <c r="K250" s="76">
        <f>IF(B250="","",I250+J250)</f>
        <v/>
      </c>
      <c r="L250" s="74" t="n"/>
      <c r="M250" s="109" t="n"/>
      <c r="N250" s="109" t="n"/>
      <c r="O250" s="74" t="n"/>
      <c r="P250" s="74" t="n"/>
      <c r="Q250" s="100" t="n"/>
      <c r="R250" s="110" t="n"/>
      <c r="S250" s="75">
        <f>IF(B250="","",SUMIFS('Payments'!$N$6:$N$1005,'Payments'!$B$6:$B$1005,B250))</f>
        <v/>
      </c>
      <c r="T250" s="111">
        <f>IF(OR(B250="",K250=0),"",S250/K250)</f>
        <v/>
      </c>
      <c r="U250" s="78">
        <f>IF(V250="","",IF(V250=2,"⚠️ Paying ahead of work","✓ OK"))</f>
        <v/>
      </c>
      <c r="V250" s="79">
        <f>IF(T250="","",IF(T250-R250&gt;OverpayTol,2,0))</f>
        <v/>
      </c>
      <c r="W250" s="112">
        <f>IF(V250=2,AsOf,"")</f>
        <v/>
      </c>
      <c r="X250" s="79">
        <f>IF(W250="","",1)</f>
        <v/>
      </c>
      <c r="Y250" s="79">
        <f>IF(X250="","","Paying ahead of work: "&amp;B250&amp;" — paid "&amp;ROUND(T250*100,0)&amp;"%, work done "&amp;ROUND(R250*100,0)&amp;"%")</f>
        <v/>
      </c>
      <c r="AA250" s="72" t="n"/>
      <c r="AB250" s="109" t="n"/>
      <c r="AC250" s="113" t="n"/>
      <c r="AD250" s="74" t="n"/>
      <c r="AE250" s="109" t="n"/>
      <c r="AF250" s="74" t="n"/>
      <c r="AG250" s="112">
        <f>IF(AND(AA250&lt;&gt;"",AD250="Yes",AF250&lt;&gt;"Yes",AE250&lt;&gt;""),AE250,"")</f>
        <v/>
      </c>
      <c r="AH250" s="79">
        <f>IF(AG250="","",IF(AG250&lt;AsOf,1,IF(AG250&lt;=AsOf+AlertDays,2,IF(AG250&lt;=AsOf+2*AlertDays,3,""))))</f>
        <v/>
      </c>
      <c r="AI250" s="79">
        <f>IF(AH250="","","Follow up with "&amp;AA250&amp;": "&amp;AC250)</f>
        <v/>
      </c>
    </row>
    <row r="251" ht="20" customHeight="1">
      <c r="B251" s="72" t="n"/>
      <c r="C251" s="72" t="n"/>
      <c r="D251" s="72" t="n"/>
      <c r="E251" s="72" t="n"/>
      <c r="F251" s="72" t="n"/>
      <c r="G251" s="72" t="n"/>
      <c r="H251" s="72" t="n"/>
      <c r="I251" s="73" t="n"/>
      <c r="J251" s="75">
        <f>IF(B251="","",SUMIFS('Change Orders'!$J$7:$J$1006,'Change Orders'!$E$7:$E$1006,B251,'Change Orders'!$L$7:$L$1006,"Approved"))</f>
        <v/>
      </c>
      <c r="K251" s="76">
        <f>IF(B251="","",I251+J251)</f>
        <v/>
      </c>
      <c r="L251" s="74" t="n"/>
      <c r="M251" s="109" t="n"/>
      <c r="N251" s="109" t="n"/>
      <c r="O251" s="74" t="n"/>
      <c r="P251" s="74" t="n"/>
      <c r="Q251" s="100" t="n"/>
      <c r="R251" s="110" t="n"/>
      <c r="S251" s="75">
        <f>IF(B251="","",SUMIFS('Payments'!$N$6:$N$1005,'Payments'!$B$6:$B$1005,B251))</f>
        <v/>
      </c>
      <c r="T251" s="111">
        <f>IF(OR(B251="",K251=0),"",S251/K251)</f>
        <v/>
      </c>
      <c r="U251" s="78">
        <f>IF(V251="","",IF(V251=2,"⚠️ Paying ahead of work","✓ OK"))</f>
        <v/>
      </c>
      <c r="V251" s="79">
        <f>IF(T251="","",IF(T251-R251&gt;OverpayTol,2,0))</f>
        <v/>
      </c>
      <c r="W251" s="112">
        <f>IF(V251=2,AsOf,"")</f>
        <v/>
      </c>
      <c r="X251" s="79">
        <f>IF(W251="","",1)</f>
        <v/>
      </c>
      <c r="Y251" s="79">
        <f>IF(X251="","","Paying ahead of work: "&amp;B251&amp;" — paid "&amp;ROUND(T251*100,0)&amp;"%, work done "&amp;ROUND(R251*100,0)&amp;"%")</f>
        <v/>
      </c>
      <c r="AA251" s="72" t="n"/>
      <c r="AB251" s="109" t="n"/>
      <c r="AC251" s="113" t="n"/>
      <c r="AD251" s="74" t="n"/>
      <c r="AE251" s="109" t="n"/>
      <c r="AF251" s="74" t="n"/>
      <c r="AG251" s="112">
        <f>IF(AND(AA251&lt;&gt;"",AD251="Yes",AF251&lt;&gt;"Yes",AE251&lt;&gt;""),AE251,"")</f>
        <v/>
      </c>
      <c r="AH251" s="79">
        <f>IF(AG251="","",IF(AG251&lt;AsOf,1,IF(AG251&lt;=AsOf+AlertDays,2,IF(AG251&lt;=AsOf+2*AlertDays,3,""))))</f>
        <v/>
      </c>
      <c r="AI251" s="79">
        <f>IF(AH251="","","Follow up with "&amp;AA251&amp;": "&amp;AC251)</f>
        <v/>
      </c>
    </row>
    <row r="252" ht="20" customHeight="1">
      <c r="B252" s="72" t="n"/>
      <c r="C252" s="72" t="n"/>
      <c r="D252" s="72" t="n"/>
      <c r="E252" s="72" t="n"/>
      <c r="F252" s="72" t="n"/>
      <c r="G252" s="72" t="n"/>
      <c r="H252" s="72" t="n"/>
      <c r="I252" s="73" t="n"/>
      <c r="J252" s="75">
        <f>IF(B252="","",SUMIFS('Change Orders'!$J$7:$J$1006,'Change Orders'!$E$7:$E$1006,B252,'Change Orders'!$L$7:$L$1006,"Approved"))</f>
        <v/>
      </c>
      <c r="K252" s="76">
        <f>IF(B252="","",I252+J252)</f>
        <v/>
      </c>
      <c r="L252" s="74" t="n"/>
      <c r="M252" s="109" t="n"/>
      <c r="N252" s="109" t="n"/>
      <c r="O252" s="74" t="n"/>
      <c r="P252" s="74" t="n"/>
      <c r="Q252" s="100" t="n"/>
      <c r="R252" s="110" t="n"/>
      <c r="S252" s="75">
        <f>IF(B252="","",SUMIFS('Payments'!$N$6:$N$1005,'Payments'!$B$6:$B$1005,B252))</f>
        <v/>
      </c>
      <c r="T252" s="111">
        <f>IF(OR(B252="",K252=0),"",S252/K252)</f>
        <v/>
      </c>
      <c r="U252" s="78">
        <f>IF(V252="","",IF(V252=2,"⚠️ Paying ahead of work","✓ OK"))</f>
        <v/>
      </c>
      <c r="V252" s="79">
        <f>IF(T252="","",IF(T252-R252&gt;OverpayTol,2,0))</f>
        <v/>
      </c>
      <c r="W252" s="112">
        <f>IF(V252=2,AsOf,"")</f>
        <v/>
      </c>
      <c r="X252" s="79">
        <f>IF(W252="","",1)</f>
        <v/>
      </c>
      <c r="Y252" s="79">
        <f>IF(X252="","","Paying ahead of work: "&amp;B252&amp;" — paid "&amp;ROUND(T252*100,0)&amp;"%, work done "&amp;ROUND(R252*100,0)&amp;"%")</f>
        <v/>
      </c>
      <c r="AA252" s="72" t="n"/>
      <c r="AB252" s="109" t="n"/>
      <c r="AC252" s="113" t="n"/>
      <c r="AD252" s="74" t="n"/>
      <c r="AE252" s="109" t="n"/>
      <c r="AF252" s="74" t="n"/>
      <c r="AG252" s="112">
        <f>IF(AND(AA252&lt;&gt;"",AD252="Yes",AF252&lt;&gt;"Yes",AE252&lt;&gt;""),AE252,"")</f>
        <v/>
      </c>
      <c r="AH252" s="79">
        <f>IF(AG252="","",IF(AG252&lt;AsOf,1,IF(AG252&lt;=AsOf+AlertDays,2,IF(AG252&lt;=AsOf+2*AlertDays,3,""))))</f>
        <v/>
      </c>
      <c r="AI252" s="79">
        <f>IF(AH252="","","Follow up with "&amp;AA252&amp;": "&amp;AC252)</f>
        <v/>
      </c>
    </row>
    <row r="253" ht="20" customHeight="1">
      <c r="B253" s="72" t="n"/>
      <c r="C253" s="72" t="n"/>
      <c r="D253" s="72" t="n"/>
      <c r="E253" s="72" t="n"/>
      <c r="F253" s="72" t="n"/>
      <c r="G253" s="72" t="n"/>
      <c r="H253" s="72" t="n"/>
      <c r="I253" s="73" t="n"/>
      <c r="J253" s="75">
        <f>IF(B253="","",SUMIFS('Change Orders'!$J$7:$J$1006,'Change Orders'!$E$7:$E$1006,B253,'Change Orders'!$L$7:$L$1006,"Approved"))</f>
        <v/>
      </c>
      <c r="K253" s="76">
        <f>IF(B253="","",I253+J253)</f>
        <v/>
      </c>
      <c r="L253" s="74" t="n"/>
      <c r="M253" s="109" t="n"/>
      <c r="N253" s="109" t="n"/>
      <c r="O253" s="74" t="n"/>
      <c r="P253" s="74" t="n"/>
      <c r="Q253" s="100" t="n"/>
      <c r="R253" s="110" t="n"/>
      <c r="S253" s="75">
        <f>IF(B253="","",SUMIFS('Payments'!$N$6:$N$1005,'Payments'!$B$6:$B$1005,B253))</f>
        <v/>
      </c>
      <c r="T253" s="111">
        <f>IF(OR(B253="",K253=0),"",S253/K253)</f>
        <v/>
      </c>
      <c r="U253" s="78">
        <f>IF(V253="","",IF(V253=2,"⚠️ Paying ahead of work","✓ OK"))</f>
        <v/>
      </c>
      <c r="V253" s="79">
        <f>IF(T253="","",IF(T253-R253&gt;OverpayTol,2,0))</f>
        <v/>
      </c>
      <c r="W253" s="112">
        <f>IF(V253=2,AsOf,"")</f>
        <v/>
      </c>
      <c r="X253" s="79">
        <f>IF(W253="","",1)</f>
        <v/>
      </c>
      <c r="Y253" s="79">
        <f>IF(X253="","","Paying ahead of work: "&amp;B253&amp;" — paid "&amp;ROUND(T253*100,0)&amp;"%, work done "&amp;ROUND(R253*100,0)&amp;"%")</f>
        <v/>
      </c>
      <c r="AA253" s="72" t="n"/>
      <c r="AB253" s="109" t="n"/>
      <c r="AC253" s="113" t="n"/>
      <c r="AD253" s="74" t="n"/>
      <c r="AE253" s="109" t="n"/>
      <c r="AF253" s="74" t="n"/>
      <c r="AG253" s="112">
        <f>IF(AND(AA253&lt;&gt;"",AD253="Yes",AF253&lt;&gt;"Yes",AE253&lt;&gt;""),AE253,"")</f>
        <v/>
      </c>
      <c r="AH253" s="79">
        <f>IF(AG253="","",IF(AG253&lt;AsOf,1,IF(AG253&lt;=AsOf+AlertDays,2,IF(AG253&lt;=AsOf+2*AlertDays,3,""))))</f>
        <v/>
      </c>
      <c r="AI253" s="79">
        <f>IF(AH253="","","Follow up with "&amp;AA253&amp;": "&amp;AC253)</f>
        <v/>
      </c>
    </row>
    <row r="254" ht="20" customHeight="1">
      <c r="B254" s="72" t="n"/>
      <c r="C254" s="72" t="n"/>
      <c r="D254" s="72" t="n"/>
      <c r="E254" s="72" t="n"/>
      <c r="F254" s="72" t="n"/>
      <c r="G254" s="72" t="n"/>
      <c r="H254" s="72" t="n"/>
      <c r="I254" s="73" t="n"/>
      <c r="J254" s="75">
        <f>IF(B254="","",SUMIFS('Change Orders'!$J$7:$J$1006,'Change Orders'!$E$7:$E$1006,B254,'Change Orders'!$L$7:$L$1006,"Approved"))</f>
        <v/>
      </c>
      <c r="K254" s="76">
        <f>IF(B254="","",I254+J254)</f>
        <v/>
      </c>
      <c r="L254" s="74" t="n"/>
      <c r="M254" s="109" t="n"/>
      <c r="N254" s="109" t="n"/>
      <c r="O254" s="74" t="n"/>
      <c r="P254" s="74" t="n"/>
      <c r="Q254" s="100" t="n"/>
      <c r="R254" s="110" t="n"/>
      <c r="S254" s="75">
        <f>IF(B254="","",SUMIFS('Payments'!$N$6:$N$1005,'Payments'!$B$6:$B$1005,B254))</f>
        <v/>
      </c>
      <c r="T254" s="111">
        <f>IF(OR(B254="",K254=0),"",S254/K254)</f>
        <v/>
      </c>
      <c r="U254" s="78">
        <f>IF(V254="","",IF(V254=2,"⚠️ Paying ahead of work","✓ OK"))</f>
        <v/>
      </c>
      <c r="V254" s="79">
        <f>IF(T254="","",IF(T254-R254&gt;OverpayTol,2,0))</f>
        <v/>
      </c>
      <c r="W254" s="112">
        <f>IF(V254=2,AsOf,"")</f>
        <v/>
      </c>
      <c r="X254" s="79">
        <f>IF(W254="","",1)</f>
        <v/>
      </c>
      <c r="Y254" s="79">
        <f>IF(X254="","","Paying ahead of work: "&amp;B254&amp;" — paid "&amp;ROUND(T254*100,0)&amp;"%, work done "&amp;ROUND(R254*100,0)&amp;"%")</f>
        <v/>
      </c>
      <c r="AA254" s="72" t="n"/>
      <c r="AB254" s="109" t="n"/>
      <c r="AC254" s="113" t="n"/>
      <c r="AD254" s="74" t="n"/>
      <c r="AE254" s="109" t="n"/>
      <c r="AF254" s="74" t="n"/>
      <c r="AG254" s="112">
        <f>IF(AND(AA254&lt;&gt;"",AD254="Yes",AF254&lt;&gt;"Yes",AE254&lt;&gt;""),AE254,"")</f>
        <v/>
      </c>
      <c r="AH254" s="79">
        <f>IF(AG254="","",IF(AG254&lt;AsOf,1,IF(AG254&lt;=AsOf+AlertDays,2,IF(AG254&lt;=AsOf+2*AlertDays,3,""))))</f>
        <v/>
      </c>
      <c r="AI254" s="79">
        <f>IF(AH254="","","Follow up with "&amp;AA254&amp;": "&amp;AC254)</f>
        <v/>
      </c>
    </row>
    <row r="255" ht="20" customHeight="1">
      <c r="B255" s="72" t="n"/>
      <c r="C255" s="72" t="n"/>
      <c r="D255" s="72" t="n"/>
      <c r="E255" s="72" t="n"/>
      <c r="F255" s="72" t="n"/>
      <c r="G255" s="72" t="n"/>
      <c r="H255" s="72" t="n"/>
      <c r="I255" s="73" t="n"/>
      <c r="J255" s="75">
        <f>IF(B255="","",SUMIFS('Change Orders'!$J$7:$J$1006,'Change Orders'!$E$7:$E$1006,B255,'Change Orders'!$L$7:$L$1006,"Approved"))</f>
        <v/>
      </c>
      <c r="K255" s="76">
        <f>IF(B255="","",I255+J255)</f>
        <v/>
      </c>
      <c r="L255" s="74" t="n"/>
      <c r="M255" s="109" t="n"/>
      <c r="N255" s="109" t="n"/>
      <c r="O255" s="74" t="n"/>
      <c r="P255" s="74" t="n"/>
      <c r="Q255" s="100" t="n"/>
      <c r="R255" s="110" t="n"/>
      <c r="S255" s="75">
        <f>IF(B255="","",SUMIFS('Payments'!$N$6:$N$1005,'Payments'!$B$6:$B$1005,B255))</f>
        <v/>
      </c>
      <c r="T255" s="111">
        <f>IF(OR(B255="",K255=0),"",S255/K255)</f>
        <v/>
      </c>
      <c r="U255" s="78">
        <f>IF(V255="","",IF(V255=2,"⚠️ Paying ahead of work","✓ OK"))</f>
        <v/>
      </c>
      <c r="V255" s="79">
        <f>IF(T255="","",IF(T255-R255&gt;OverpayTol,2,0))</f>
        <v/>
      </c>
      <c r="W255" s="112">
        <f>IF(V255=2,AsOf,"")</f>
        <v/>
      </c>
      <c r="X255" s="79">
        <f>IF(W255="","",1)</f>
        <v/>
      </c>
      <c r="Y255" s="79">
        <f>IF(X255="","","Paying ahead of work: "&amp;B255&amp;" — paid "&amp;ROUND(T255*100,0)&amp;"%, work done "&amp;ROUND(R255*100,0)&amp;"%")</f>
        <v/>
      </c>
      <c r="AA255" s="72" t="n"/>
      <c r="AB255" s="109" t="n"/>
      <c r="AC255" s="113" t="n"/>
      <c r="AD255" s="74" t="n"/>
      <c r="AE255" s="109" t="n"/>
      <c r="AF255" s="74" t="n"/>
      <c r="AG255" s="112">
        <f>IF(AND(AA255&lt;&gt;"",AD255="Yes",AF255&lt;&gt;"Yes",AE255&lt;&gt;""),AE255,"")</f>
        <v/>
      </c>
      <c r="AH255" s="79">
        <f>IF(AG255="","",IF(AG255&lt;AsOf,1,IF(AG255&lt;=AsOf+AlertDays,2,IF(AG255&lt;=AsOf+2*AlertDays,3,""))))</f>
        <v/>
      </c>
      <c r="AI255" s="79">
        <f>IF(AH255="","","Follow up with "&amp;AA255&amp;": "&amp;AC255)</f>
        <v/>
      </c>
    </row>
    <row r="256" ht="20" customHeight="1">
      <c r="B256" s="72" t="n"/>
      <c r="C256" s="72" t="n"/>
      <c r="D256" s="72" t="n"/>
      <c r="E256" s="72" t="n"/>
      <c r="F256" s="72" t="n"/>
      <c r="G256" s="72" t="n"/>
      <c r="H256" s="72" t="n"/>
      <c r="I256" s="73" t="n"/>
      <c r="J256" s="75">
        <f>IF(B256="","",SUMIFS('Change Orders'!$J$7:$J$1006,'Change Orders'!$E$7:$E$1006,B256,'Change Orders'!$L$7:$L$1006,"Approved"))</f>
        <v/>
      </c>
      <c r="K256" s="76">
        <f>IF(B256="","",I256+J256)</f>
        <v/>
      </c>
      <c r="L256" s="74" t="n"/>
      <c r="M256" s="109" t="n"/>
      <c r="N256" s="109" t="n"/>
      <c r="O256" s="74" t="n"/>
      <c r="P256" s="74" t="n"/>
      <c r="Q256" s="100" t="n"/>
      <c r="R256" s="110" t="n"/>
      <c r="S256" s="75">
        <f>IF(B256="","",SUMIFS('Payments'!$N$6:$N$1005,'Payments'!$B$6:$B$1005,B256))</f>
        <v/>
      </c>
      <c r="T256" s="111">
        <f>IF(OR(B256="",K256=0),"",S256/K256)</f>
        <v/>
      </c>
      <c r="U256" s="78">
        <f>IF(V256="","",IF(V256=2,"⚠️ Paying ahead of work","✓ OK"))</f>
        <v/>
      </c>
      <c r="V256" s="79">
        <f>IF(T256="","",IF(T256-R256&gt;OverpayTol,2,0))</f>
        <v/>
      </c>
      <c r="W256" s="112">
        <f>IF(V256=2,AsOf,"")</f>
        <v/>
      </c>
      <c r="X256" s="79">
        <f>IF(W256="","",1)</f>
        <v/>
      </c>
      <c r="Y256" s="79">
        <f>IF(X256="","","Paying ahead of work: "&amp;B256&amp;" — paid "&amp;ROUND(T256*100,0)&amp;"%, work done "&amp;ROUND(R256*100,0)&amp;"%")</f>
        <v/>
      </c>
      <c r="AA256" s="72" t="n"/>
      <c r="AB256" s="109" t="n"/>
      <c r="AC256" s="113" t="n"/>
      <c r="AD256" s="74" t="n"/>
      <c r="AE256" s="109" t="n"/>
      <c r="AF256" s="74" t="n"/>
      <c r="AG256" s="112">
        <f>IF(AND(AA256&lt;&gt;"",AD256="Yes",AF256&lt;&gt;"Yes",AE256&lt;&gt;""),AE256,"")</f>
        <v/>
      </c>
      <c r="AH256" s="79">
        <f>IF(AG256="","",IF(AG256&lt;AsOf,1,IF(AG256&lt;=AsOf+AlertDays,2,IF(AG256&lt;=AsOf+2*AlertDays,3,""))))</f>
        <v/>
      </c>
      <c r="AI256" s="79">
        <f>IF(AH256="","","Follow up with "&amp;AA256&amp;": "&amp;AC256)</f>
        <v/>
      </c>
    </row>
    <row r="257" ht="20" customHeight="1">
      <c r="B257" s="72" t="n"/>
      <c r="C257" s="72" t="n"/>
      <c r="D257" s="72" t="n"/>
      <c r="E257" s="72" t="n"/>
      <c r="F257" s="72" t="n"/>
      <c r="G257" s="72" t="n"/>
      <c r="H257" s="72" t="n"/>
      <c r="I257" s="73" t="n"/>
      <c r="J257" s="75">
        <f>IF(B257="","",SUMIFS('Change Orders'!$J$7:$J$1006,'Change Orders'!$E$7:$E$1006,B257,'Change Orders'!$L$7:$L$1006,"Approved"))</f>
        <v/>
      </c>
      <c r="K257" s="76">
        <f>IF(B257="","",I257+J257)</f>
        <v/>
      </c>
      <c r="L257" s="74" t="n"/>
      <c r="M257" s="109" t="n"/>
      <c r="N257" s="109" t="n"/>
      <c r="O257" s="74" t="n"/>
      <c r="P257" s="74" t="n"/>
      <c r="Q257" s="100" t="n"/>
      <c r="R257" s="110" t="n"/>
      <c r="S257" s="75">
        <f>IF(B257="","",SUMIFS('Payments'!$N$6:$N$1005,'Payments'!$B$6:$B$1005,B257))</f>
        <v/>
      </c>
      <c r="T257" s="111">
        <f>IF(OR(B257="",K257=0),"",S257/K257)</f>
        <v/>
      </c>
      <c r="U257" s="78">
        <f>IF(V257="","",IF(V257=2,"⚠️ Paying ahead of work","✓ OK"))</f>
        <v/>
      </c>
      <c r="V257" s="79">
        <f>IF(T257="","",IF(T257-R257&gt;OverpayTol,2,0))</f>
        <v/>
      </c>
      <c r="W257" s="112">
        <f>IF(V257=2,AsOf,"")</f>
        <v/>
      </c>
      <c r="X257" s="79">
        <f>IF(W257="","",1)</f>
        <v/>
      </c>
      <c r="Y257" s="79">
        <f>IF(X257="","","Paying ahead of work: "&amp;B257&amp;" — paid "&amp;ROUND(T257*100,0)&amp;"%, work done "&amp;ROUND(R257*100,0)&amp;"%")</f>
        <v/>
      </c>
      <c r="AA257" s="72" t="n"/>
      <c r="AB257" s="109" t="n"/>
      <c r="AC257" s="113" t="n"/>
      <c r="AD257" s="74" t="n"/>
      <c r="AE257" s="109" t="n"/>
      <c r="AF257" s="74" t="n"/>
      <c r="AG257" s="112">
        <f>IF(AND(AA257&lt;&gt;"",AD257="Yes",AF257&lt;&gt;"Yes",AE257&lt;&gt;""),AE257,"")</f>
        <v/>
      </c>
      <c r="AH257" s="79">
        <f>IF(AG257="","",IF(AG257&lt;AsOf,1,IF(AG257&lt;=AsOf+AlertDays,2,IF(AG257&lt;=AsOf+2*AlertDays,3,""))))</f>
        <v/>
      </c>
      <c r="AI257" s="79">
        <f>IF(AH257="","","Follow up with "&amp;AA257&amp;": "&amp;AC257)</f>
        <v/>
      </c>
    </row>
    <row r="258" ht="20" customHeight="1">
      <c r="B258" s="72" t="n"/>
      <c r="C258" s="72" t="n"/>
      <c r="D258" s="72" t="n"/>
      <c r="E258" s="72" t="n"/>
      <c r="F258" s="72" t="n"/>
      <c r="G258" s="72" t="n"/>
      <c r="H258" s="72" t="n"/>
      <c r="I258" s="73" t="n"/>
      <c r="J258" s="75">
        <f>IF(B258="","",SUMIFS('Change Orders'!$J$7:$J$1006,'Change Orders'!$E$7:$E$1006,B258,'Change Orders'!$L$7:$L$1006,"Approved"))</f>
        <v/>
      </c>
      <c r="K258" s="76">
        <f>IF(B258="","",I258+J258)</f>
        <v/>
      </c>
      <c r="L258" s="74" t="n"/>
      <c r="M258" s="109" t="n"/>
      <c r="N258" s="109" t="n"/>
      <c r="O258" s="74" t="n"/>
      <c r="P258" s="74" t="n"/>
      <c r="Q258" s="100" t="n"/>
      <c r="R258" s="110" t="n"/>
      <c r="S258" s="75">
        <f>IF(B258="","",SUMIFS('Payments'!$N$6:$N$1005,'Payments'!$B$6:$B$1005,B258))</f>
        <v/>
      </c>
      <c r="T258" s="111">
        <f>IF(OR(B258="",K258=0),"",S258/K258)</f>
        <v/>
      </c>
      <c r="U258" s="78">
        <f>IF(V258="","",IF(V258=2,"⚠️ Paying ahead of work","✓ OK"))</f>
        <v/>
      </c>
      <c r="V258" s="79">
        <f>IF(T258="","",IF(T258-R258&gt;OverpayTol,2,0))</f>
        <v/>
      </c>
      <c r="W258" s="112">
        <f>IF(V258=2,AsOf,"")</f>
        <v/>
      </c>
      <c r="X258" s="79">
        <f>IF(W258="","",1)</f>
        <v/>
      </c>
      <c r="Y258" s="79">
        <f>IF(X258="","","Paying ahead of work: "&amp;B258&amp;" — paid "&amp;ROUND(T258*100,0)&amp;"%, work done "&amp;ROUND(R258*100,0)&amp;"%")</f>
        <v/>
      </c>
      <c r="AA258" s="72" t="n"/>
      <c r="AB258" s="109" t="n"/>
      <c r="AC258" s="113" t="n"/>
      <c r="AD258" s="74" t="n"/>
      <c r="AE258" s="109" t="n"/>
      <c r="AF258" s="74" t="n"/>
      <c r="AG258" s="112">
        <f>IF(AND(AA258&lt;&gt;"",AD258="Yes",AF258&lt;&gt;"Yes",AE258&lt;&gt;""),AE258,"")</f>
        <v/>
      </c>
      <c r="AH258" s="79">
        <f>IF(AG258="","",IF(AG258&lt;AsOf,1,IF(AG258&lt;=AsOf+AlertDays,2,IF(AG258&lt;=AsOf+2*AlertDays,3,""))))</f>
        <v/>
      </c>
      <c r="AI258" s="79">
        <f>IF(AH258="","","Follow up with "&amp;AA258&amp;": "&amp;AC258)</f>
        <v/>
      </c>
    </row>
    <row r="259" ht="20" customHeight="1">
      <c r="B259" s="72" t="n"/>
      <c r="C259" s="72" t="n"/>
      <c r="D259" s="72" t="n"/>
      <c r="E259" s="72" t="n"/>
      <c r="F259" s="72" t="n"/>
      <c r="G259" s="72" t="n"/>
      <c r="H259" s="72" t="n"/>
      <c r="I259" s="73" t="n"/>
      <c r="J259" s="75">
        <f>IF(B259="","",SUMIFS('Change Orders'!$J$7:$J$1006,'Change Orders'!$E$7:$E$1006,B259,'Change Orders'!$L$7:$L$1006,"Approved"))</f>
        <v/>
      </c>
      <c r="K259" s="76">
        <f>IF(B259="","",I259+J259)</f>
        <v/>
      </c>
      <c r="L259" s="74" t="n"/>
      <c r="M259" s="109" t="n"/>
      <c r="N259" s="109" t="n"/>
      <c r="O259" s="74" t="n"/>
      <c r="P259" s="74" t="n"/>
      <c r="Q259" s="100" t="n"/>
      <c r="R259" s="110" t="n"/>
      <c r="S259" s="75">
        <f>IF(B259="","",SUMIFS('Payments'!$N$6:$N$1005,'Payments'!$B$6:$B$1005,B259))</f>
        <v/>
      </c>
      <c r="T259" s="111">
        <f>IF(OR(B259="",K259=0),"",S259/K259)</f>
        <v/>
      </c>
      <c r="U259" s="78">
        <f>IF(V259="","",IF(V259=2,"⚠️ Paying ahead of work","✓ OK"))</f>
        <v/>
      </c>
      <c r="V259" s="79">
        <f>IF(T259="","",IF(T259-R259&gt;OverpayTol,2,0))</f>
        <v/>
      </c>
      <c r="W259" s="112">
        <f>IF(V259=2,AsOf,"")</f>
        <v/>
      </c>
      <c r="X259" s="79">
        <f>IF(W259="","",1)</f>
        <v/>
      </c>
      <c r="Y259" s="79">
        <f>IF(X259="","","Paying ahead of work: "&amp;B259&amp;" — paid "&amp;ROUND(T259*100,0)&amp;"%, work done "&amp;ROUND(R259*100,0)&amp;"%")</f>
        <v/>
      </c>
      <c r="AA259" s="72" t="n"/>
      <c r="AB259" s="109" t="n"/>
      <c r="AC259" s="113" t="n"/>
      <c r="AD259" s="74" t="n"/>
      <c r="AE259" s="109" t="n"/>
      <c r="AF259" s="74" t="n"/>
      <c r="AG259" s="112">
        <f>IF(AND(AA259&lt;&gt;"",AD259="Yes",AF259&lt;&gt;"Yes",AE259&lt;&gt;""),AE259,"")</f>
        <v/>
      </c>
      <c r="AH259" s="79">
        <f>IF(AG259="","",IF(AG259&lt;AsOf,1,IF(AG259&lt;=AsOf+AlertDays,2,IF(AG259&lt;=AsOf+2*AlertDays,3,""))))</f>
        <v/>
      </c>
      <c r="AI259" s="79">
        <f>IF(AH259="","","Follow up with "&amp;AA259&amp;": "&amp;AC259)</f>
        <v/>
      </c>
    </row>
    <row r="260" ht="20" customHeight="1">
      <c r="B260" s="72" t="n"/>
      <c r="C260" s="72" t="n"/>
      <c r="D260" s="72" t="n"/>
      <c r="E260" s="72" t="n"/>
      <c r="F260" s="72" t="n"/>
      <c r="G260" s="72" t="n"/>
      <c r="H260" s="72" t="n"/>
      <c r="I260" s="73" t="n"/>
      <c r="J260" s="75">
        <f>IF(B260="","",SUMIFS('Change Orders'!$J$7:$J$1006,'Change Orders'!$E$7:$E$1006,B260,'Change Orders'!$L$7:$L$1006,"Approved"))</f>
        <v/>
      </c>
      <c r="K260" s="76">
        <f>IF(B260="","",I260+J260)</f>
        <v/>
      </c>
      <c r="L260" s="74" t="n"/>
      <c r="M260" s="109" t="n"/>
      <c r="N260" s="109" t="n"/>
      <c r="O260" s="74" t="n"/>
      <c r="P260" s="74" t="n"/>
      <c r="Q260" s="100" t="n"/>
      <c r="R260" s="110" t="n"/>
      <c r="S260" s="75">
        <f>IF(B260="","",SUMIFS('Payments'!$N$6:$N$1005,'Payments'!$B$6:$B$1005,B260))</f>
        <v/>
      </c>
      <c r="T260" s="111">
        <f>IF(OR(B260="",K260=0),"",S260/K260)</f>
        <v/>
      </c>
      <c r="U260" s="78">
        <f>IF(V260="","",IF(V260=2,"⚠️ Paying ahead of work","✓ OK"))</f>
        <v/>
      </c>
      <c r="V260" s="79">
        <f>IF(T260="","",IF(T260-R260&gt;OverpayTol,2,0))</f>
        <v/>
      </c>
      <c r="W260" s="112">
        <f>IF(V260=2,AsOf,"")</f>
        <v/>
      </c>
      <c r="X260" s="79">
        <f>IF(W260="","",1)</f>
        <v/>
      </c>
      <c r="Y260" s="79">
        <f>IF(X260="","","Paying ahead of work: "&amp;B260&amp;" — paid "&amp;ROUND(T260*100,0)&amp;"%, work done "&amp;ROUND(R260*100,0)&amp;"%")</f>
        <v/>
      </c>
      <c r="AA260" s="72" t="n"/>
      <c r="AB260" s="109" t="n"/>
      <c r="AC260" s="113" t="n"/>
      <c r="AD260" s="74" t="n"/>
      <c r="AE260" s="109" t="n"/>
      <c r="AF260" s="74" t="n"/>
      <c r="AG260" s="112">
        <f>IF(AND(AA260&lt;&gt;"",AD260="Yes",AF260&lt;&gt;"Yes",AE260&lt;&gt;""),AE260,"")</f>
        <v/>
      </c>
      <c r="AH260" s="79">
        <f>IF(AG260="","",IF(AG260&lt;AsOf,1,IF(AG260&lt;=AsOf+AlertDays,2,IF(AG260&lt;=AsOf+2*AlertDays,3,""))))</f>
        <v/>
      </c>
      <c r="AI260" s="79">
        <f>IF(AH260="","","Follow up with "&amp;AA260&amp;": "&amp;AC260)</f>
        <v/>
      </c>
    </row>
    <row r="261" ht="20" customHeight="1">
      <c r="B261" s="72" t="n"/>
      <c r="C261" s="72" t="n"/>
      <c r="D261" s="72" t="n"/>
      <c r="E261" s="72" t="n"/>
      <c r="F261" s="72" t="n"/>
      <c r="G261" s="72" t="n"/>
      <c r="H261" s="72" t="n"/>
      <c r="I261" s="73" t="n"/>
      <c r="J261" s="75">
        <f>IF(B261="","",SUMIFS('Change Orders'!$J$7:$J$1006,'Change Orders'!$E$7:$E$1006,B261,'Change Orders'!$L$7:$L$1006,"Approved"))</f>
        <v/>
      </c>
      <c r="K261" s="76">
        <f>IF(B261="","",I261+J261)</f>
        <v/>
      </c>
      <c r="L261" s="74" t="n"/>
      <c r="M261" s="109" t="n"/>
      <c r="N261" s="109" t="n"/>
      <c r="O261" s="74" t="n"/>
      <c r="P261" s="74" t="n"/>
      <c r="Q261" s="100" t="n"/>
      <c r="R261" s="110" t="n"/>
      <c r="S261" s="75">
        <f>IF(B261="","",SUMIFS('Payments'!$N$6:$N$1005,'Payments'!$B$6:$B$1005,B261))</f>
        <v/>
      </c>
      <c r="T261" s="111">
        <f>IF(OR(B261="",K261=0),"",S261/K261)</f>
        <v/>
      </c>
      <c r="U261" s="78">
        <f>IF(V261="","",IF(V261=2,"⚠️ Paying ahead of work","✓ OK"))</f>
        <v/>
      </c>
      <c r="V261" s="79">
        <f>IF(T261="","",IF(T261-R261&gt;OverpayTol,2,0))</f>
        <v/>
      </c>
      <c r="W261" s="112">
        <f>IF(V261=2,AsOf,"")</f>
        <v/>
      </c>
      <c r="X261" s="79">
        <f>IF(W261="","",1)</f>
        <v/>
      </c>
      <c r="Y261" s="79">
        <f>IF(X261="","","Paying ahead of work: "&amp;B261&amp;" — paid "&amp;ROUND(T261*100,0)&amp;"%, work done "&amp;ROUND(R261*100,0)&amp;"%")</f>
        <v/>
      </c>
      <c r="AA261" s="72" t="n"/>
      <c r="AB261" s="109" t="n"/>
      <c r="AC261" s="113" t="n"/>
      <c r="AD261" s="74" t="n"/>
      <c r="AE261" s="109" t="n"/>
      <c r="AF261" s="74" t="n"/>
      <c r="AG261" s="112">
        <f>IF(AND(AA261&lt;&gt;"",AD261="Yes",AF261&lt;&gt;"Yes",AE261&lt;&gt;""),AE261,"")</f>
        <v/>
      </c>
      <c r="AH261" s="79">
        <f>IF(AG261="","",IF(AG261&lt;AsOf,1,IF(AG261&lt;=AsOf+AlertDays,2,IF(AG261&lt;=AsOf+2*AlertDays,3,""))))</f>
        <v/>
      </c>
      <c r="AI261" s="79">
        <f>IF(AH261="","","Follow up with "&amp;AA261&amp;": "&amp;AC261)</f>
        <v/>
      </c>
    </row>
    <row r="262" ht="20" customHeight="1">
      <c r="B262" s="72" t="n"/>
      <c r="C262" s="72" t="n"/>
      <c r="D262" s="72" t="n"/>
      <c r="E262" s="72" t="n"/>
      <c r="F262" s="72" t="n"/>
      <c r="G262" s="72" t="n"/>
      <c r="H262" s="72" t="n"/>
      <c r="I262" s="73" t="n"/>
      <c r="J262" s="75">
        <f>IF(B262="","",SUMIFS('Change Orders'!$J$7:$J$1006,'Change Orders'!$E$7:$E$1006,B262,'Change Orders'!$L$7:$L$1006,"Approved"))</f>
        <v/>
      </c>
      <c r="K262" s="76">
        <f>IF(B262="","",I262+J262)</f>
        <v/>
      </c>
      <c r="L262" s="74" t="n"/>
      <c r="M262" s="109" t="n"/>
      <c r="N262" s="109" t="n"/>
      <c r="O262" s="74" t="n"/>
      <c r="P262" s="74" t="n"/>
      <c r="Q262" s="100" t="n"/>
      <c r="R262" s="110" t="n"/>
      <c r="S262" s="75">
        <f>IF(B262="","",SUMIFS('Payments'!$N$6:$N$1005,'Payments'!$B$6:$B$1005,B262))</f>
        <v/>
      </c>
      <c r="T262" s="111">
        <f>IF(OR(B262="",K262=0),"",S262/K262)</f>
        <v/>
      </c>
      <c r="U262" s="78">
        <f>IF(V262="","",IF(V262=2,"⚠️ Paying ahead of work","✓ OK"))</f>
        <v/>
      </c>
      <c r="V262" s="79">
        <f>IF(T262="","",IF(T262-R262&gt;OverpayTol,2,0))</f>
        <v/>
      </c>
      <c r="W262" s="112">
        <f>IF(V262=2,AsOf,"")</f>
        <v/>
      </c>
      <c r="X262" s="79">
        <f>IF(W262="","",1)</f>
        <v/>
      </c>
      <c r="Y262" s="79">
        <f>IF(X262="","","Paying ahead of work: "&amp;B262&amp;" — paid "&amp;ROUND(T262*100,0)&amp;"%, work done "&amp;ROUND(R262*100,0)&amp;"%")</f>
        <v/>
      </c>
      <c r="AA262" s="72" t="n"/>
      <c r="AB262" s="109" t="n"/>
      <c r="AC262" s="113" t="n"/>
      <c r="AD262" s="74" t="n"/>
      <c r="AE262" s="109" t="n"/>
      <c r="AF262" s="74" t="n"/>
      <c r="AG262" s="112">
        <f>IF(AND(AA262&lt;&gt;"",AD262="Yes",AF262&lt;&gt;"Yes",AE262&lt;&gt;""),AE262,"")</f>
        <v/>
      </c>
      <c r="AH262" s="79">
        <f>IF(AG262="","",IF(AG262&lt;AsOf,1,IF(AG262&lt;=AsOf+AlertDays,2,IF(AG262&lt;=AsOf+2*AlertDays,3,""))))</f>
        <v/>
      </c>
      <c r="AI262" s="79">
        <f>IF(AH262="","","Follow up with "&amp;AA262&amp;": "&amp;AC262)</f>
        <v/>
      </c>
    </row>
    <row r="263" ht="20" customHeight="1">
      <c r="B263" s="72" t="n"/>
      <c r="C263" s="72" t="n"/>
      <c r="D263" s="72" t="n"/>
      <c r="E263" s="72" t="n"/>
      <c r="F263" s="72" t="n"/>
      <c r="G263" s="72" t="n"/>
      <c r="H263" s="72" t="n"/>
      <c r="I263" s="73" t="n"/>
      <c r="J263" s="75">
        <f>IF(B263="","",SUMIFS('Change Orders'!$J$7:$J$1006,'Change Orders'!$E$7:$E$1006,B263,'Change Orders'!$L$7:$L$1006,"Approved"))</f>
        <v/>
      </c>
      <c r="K263" s="76">
        <f>IF(B263="","",I263+J263)</f>
        <v/>
      </c>
      <c r="L263" s="74" t="n"/>
      <c r="M263" s="109" t="n"/>
      <c r="N263" s="109" t="n"/>
      <c r="O263" s="74" t="n"/>
      <c r="P263" s="74" t="n"/>
      <c r="Q263" s="100" t="n"/>
      <c r="R263" s="110" t="n"/>
      <c r="S263" s="75">
        <f>IF(B263="","",SUMIFS('Payments'!$N$6:$N$1005,'Payments'!$B$6:$B$1005,B263))</f>
        <v/>
      </c>
      <c r="T263" s="111">
        <f>IF(OR(B263="",K263=0),"",S263/K263)</f>
        <v/>
      </c>
      <c r="U263" s="78">
        <f>IF(V263="","",IF(V263=2,"⚠️ Paying ahead of work","✓ OK"))</f>
        <v/>
      </c>
      <c r="V263" s="79">
        <f>IF(T263="","",IF(T263-R263&gt;OverpayTol,2,0))</f>
        <v/>
      </c>
      <c r="W263" s="112">
        <f>IF(V263=2,AsOf,"")</f>
        <v/>
      </c>
      <c r="X263" s="79">
        <f>IF(W263="","",1)</f>
        <v/>
      </c>
      <c r="Y263" s="79">
        <f>IF(X263="","","Paying ahead of work: "&amp;B263&amp;" — paid "&amp;ROUND(T263*100,0)&amp;"%, work done "&amp;ROUND(R263*100,0)&amp;"%")</f>
        <v/>
      </c>
      <c r="AA263" s="72" t="n"/>
      <c r="AB263" s="109" t="n"/>
      <c r="AC263" s="113" t="n"/>
      <c r="AD263" s="74" t="n"/>
      <c r="AE263" s="109" t="n"/>
      <c r="AF263" s="74" t="n"/>
      <c r="AG263" s="112">
        <f>IF(AND(AA263&lt;&gt;"",AD263="Yes",AF263&lt;&gt;"Yes",AE263&lt;&gt;""),AE263,"")</f>
        <v/>
      </c>
      <c r="AH263" s="79">
        <f>IF(AG263="","",IF(AG263&lt;AsOf,1,IF(AG263&lt;=AsOf+AlertDays,2,IF(AG263&lt;=AsOf+2*AlertDays,3,""))))</f>
        <v/>
      </c>
      <c r="AI263" s="79">
        <f>IF(AH263="","","Follow up with "&amp;AA263&amp;": "&amp;AC263)</f>
        <v/>
      </c>
    </row>
    <row r="264" ht="20" customHeight="1">
      <c r="B264" s="72" t="n"/>
      <c r="C264" s="72" t="n"/>
      <c r="D264" s="72" t="n"/>
      <c r="E264" s="72" t="n"/>
      <c r="F264" s="72" t="n"/>
      <c r="G264" s="72" t="n"/>
      <c r="H264" s="72" t="n"/>
      <c r="I264" s="73" t="n"/>
      <c r="J264" s="75">
        <f>IF(B264="","",SUMIFS('Change Orders'!$J$7:$J$1006,'Change Orders'!$E$7:$E$1006,B264,'Change Orders'!$L$7:$L$1006,"Approved"))</f>
        <v/>
      </c>
      <c r="K264" s="76">
        <f>IF(B264="","",I264+J264)</f>
        <v/>
      </c>
      <c r="L264" s="74" t="n"/>
      <c r="M264" s="109" t="n"/>
      <c r="N264" s="109" t="n"/>
      <c r="O264" s="74" t="n"/>
      <c r="P264" s="74" t="n"/>
      <c r="Q264" s="100" t="n"/>
      <c r="R264" s="110" t="n"/>
      <c r="S264" s="75">
        <f>IF(B264="","",SUMIFS('Payments'!$N$6:$N$1005,'Payments'!$B$6:$B$1005,B264))</f>
        <v/>
      </c>
      <c r="T264" s="111">
        <f>IF(OR(B264="",K264=0),"",S264/K264)</f>
        <v/>
      </c>
      <c r="U264" s="78">
        <f>IF(V264="","",IF(V264=2,"⚠️ Paying ahead of work","✓ OK"))</f>
        <v/>
      </c>
      <c r="V264" s="79">
        <f>IF(T264="","",IF(T264-R264&gt;OverpayTol,2,0))</f>
        <v/>
      </c>
      <c r="W264" s="112">
        <f>IF(V264=2,AsOf,"")</f>
        <v/>
      </c>
      <c r="X264" s="79">
        <f>IF(W264="","",1)</f>
        <v/>
      </c>
      <c r="Y264" s="79">
        <f>IF(X264="","","Paying ahead of work: "&amp;B264&amp;" — paid "&amp;ROUND(T264*100,0)&amp;"%, work done "&amp;ROUND(R264*100,0)&amp;"%")</f>
        <v/>
      </c>
      <c r="AA264" s="72" t="n"/>
      <c r="AB264" s="109" t="n"/>
      <c r="AC264" s="113" t="n"/>
      <c r="AD264" s="74" t="n"/>
      <c r="AE264" s="109" t="n"/>
      <c r="AF264" s="74" t="n"/>
      <c r="AG264" s="112">
        <f>IF(AND(AA264&lt;&gt;"",AD264="Yes",AF264&lt;&gt;"Yes",AE264&lt;&gt;""),AE264,"")</f>
        <v/>
      </c>
      <c r="AH264" s="79">
        <f>IF(AG264="","",IF(AG264&lt;AsOf,1,IF(AG264&lt;=AsOf+AlertDays,2,IF(AG264&lt;=AsOf+2*AlertDays,3,""))))</f>
        <v/>
      </c>
      <c r="AI264" s="79">
        <f>IF(AH264="","","Follow up with "&amp;AA264&amp;": "&amp;AC264)</f>
        <v/>
      </c>
    </row>
    <row r="265" ht="20" customHeight="1">
      <c r="B265" s="72" t="n"/>
      <c r="C265" s="72" t="n"/>
      <c r="D265" s="72" t="n"/>
      <c r="E265" s="72" t="n"/>
      <c r="F265" s="72" t="n"/>
      <c r="G265" s="72" t="n"/>
      <c r="H265" s="72" t="n"/>
      <c r="I265" s="73" t="n"/>
      <c r="J265" s="75">
        <f>IF(B265="","",SUMIFS('Change Orders'!$J$7:$J$1006,'Change Orders'!$E$7:$E$1006,B265,'Change Orders'!$L$7:$L$1006,"Approved"))</f>
        <v/>
      </c>
      <c r="K265" s="76">
        <f>IF(B265="","",I265+J265)</f>
        <v/>
      </c>
      <c r="L265" s="74" t="n"/>
      <c r="M265" s="109" t="n"/>
      <c r="N265" s="109" t="n"/>
      <c r="O265" s="74" t="n"/>
      <c r="P265" s="74" t="n"/>
      <c r="Q265" s="100" t="n"/>
      <c r="R265" s="110" t="n"/>
      <c r="S265" s="75">
        <f>IF(B265="","",SUMIFS('Payments'!$N$6:$N$1005,'Payments'!$B$6:$B$1005,B265))</f>
        <v/>
      </c>
      <c r="T265" s="111">
        <f>IF(OR(B265="",K265=0),"",S265/K265)</f>
        <v/>
      </c>
      <c r="U265" s="78">
        <f>IF(V265="","",IF(V265=2,"⚠️ Paying ahead of work","✓ OK"))</f>
        <v/>
      </c>
      <c r="V265" s="79">
        <f>IF(T265="","",IF(T265-R265&gt;OverpayTol,2,0))</f>
        <v/>
      </c>
      <c r="W265" s="112">
        <f>IF(V265=2,AsOf,"")</f>
        <v/>
      </c>
      <c r="X265" s="79">
        <f>IF(W265="","",1)</f>
        <v/>
      </c>
      <c r="Y265" s="79">
        <f>IF(X265="","","Paying ahead of work: "&amp;B265&amp;" — paid "&amp;ROUND(T265*100,0)&amp;"%, work done "&amp;ROUND(R265*100,0)&amp;"%")</f>
        <v/>
      </c>
      <c r="AA265" s="72" t="n"/>
      <c r="AB265" s="109" t="n"/>
      <c r="AC265" s="113" t="n"/>
      <c r="AD265" s="74" t="n"/>
      <c r="AE265" s="109" t="n"/>
      <c r="AF265" s="74" t="n"/>
      <c r="AG265" s="112">
        <f>IF(AND(AA265&lt;&gt;"",AD265="Yes",AF265&lt;&gt;"Yes",AE265&lt;&gt;""),AE265,"")</f>
        <v/>
      </c>
      <c r="AH265" s="79">
        <f>IF(AG265="","",IF(AG265&lt;AsOf,1,IF(AG265&lt;=AsOf+AlertDays,2,IF(AG265&lt;=AsOf+2*AlertDays,3,""))))</f>
        <v/>
      </c>
      <c r="AI265" s="79">
        <f>IF(AH265="","","Follow up with "&amp;AA265&amp;": "&amp;AC265)</f>
        <v/>
      </c>
    </row>
    <row r="266" ht="20" customHeight="1">
      <c r="B266" s="72" t="n"/>
      <c r="C266" s="72" t="n"/>
      <c r="D266" s="72" t="n"/>
      <c r="E266" s="72" t="n"/>
      <c r="F266" s="72" t="n"/>
      <c r="G266" s="72" t="n"/>
      <c r="H266" s="72" t="n"/>
      <c r="I266" s="73" t="n"/>
      <c r="J266" s="75">
        <f>IF(B266="","",SUMIFS('Change Orders'!$J$7:$J$1006,'Change Orders'!$E$7:$E$1006,B266,'Change Orders'!$L$7:$L$1006,"Approved"))</f>
        <v/>
      </c>
      <c r="K266" s="76">
        <f>IF(B266="","",I266+J266)</f>
        <v/>
      </c>
      <c r="L266" s="74" t="n"/>
      <c r="M266" s="109" t="n"/>
      <c r="N266" s="109" t="n"/>
      <c r="O266" s="74" t="n"/>
      <c r="P266" s="74" t="n"/>
      <c r="Q266" s="100" t="n"/>
      <c r="R266" s="110" t="n"/>
      <c r="S266" s="75">
        <f>IF(B266="","",SUMIFS('Payments'!$N$6:$N$1005,'Payments'!$B$6:$B$1005,B266))</f>
        <v/>
      </c>
      <c r="T266" s="111">
        <f>IF(OR(B266="",K266=0),"",S266/K266)</f>
        <v/>
      </c>
      <c r="U266" s="78">
        <f>IF(V266="","",IF(V266=2,"⚠️ Paying ahead of work","✓ OK"))</f>
        <v/>
      </c>
      <c r="V266" s="79">
        <f>IF(T266="","",IF(T266-R266&gt;OverpayTol,2,0))</f>
        <v/>
      </c>
      <c r="W266" s="112">
        <f>IF(V266=2,AsOf,"")</f>
        <v/>
      </c>
      <c r="X266" s="79">
        <f>IF(W266="","",1)</f>
        <v/>
      </c>
      <c r="Y266" s="79">
        <f>IF(X266="","","Paying ahead of work: "&amp;B266&amp;" — paid "&amp;ROUND(T266*100,0)&amp;"%, work done "&amp;ROUND(R266*100,0)&amp;"%")</f>
        <v/>
      </c>
      <c r="AA266" s="72" t="n"/>
      <c r="AB266" s="109" t="n"/>
      <c r="AC266" s="113" t="n"/>
      <c r="AD266" s="74" t="n"/>
      <c r="AE266" s="109" t="n"/>
      <c r="AF266" s="74" t="n"/>
      <c r="AG266" s="112">
        <f>IF(AND(AA266&lt;&gt;"",AD266="Yes",AF266&lt;&gt;"Yes",AE266&lt;&gt;""),AE266,"")</f>
        <v/>
      </c>
      <c r="AH266" s="79">
        <f>IF(AG266="","",IF(AG266&lt;AsOf,1,IF(AG266&lt;=AsOf+AlertDays,2,IF(AG266&lt;=AsOf+2*AlertDays,3,""))))</f>
        <v/>
      </c>
      <c r="AI266" s="79">
        <f>IF(AH266="","","Follow up with "&amp;AA266&amp;": "&amp;AC266)</f>
        <v/>
      </c>
    </row>
    <row r="267" ht="20" customHeight="1">
      <c r="B267" s="72" t="n"/>
      <c r="C267" s="72" t="n"/>
      <c r="D267" s="72" t="n"/>
      <c r="E267" s="72" t="n"/>
      <c r="F267" s="72" t="n"/>
      <c r="G267" s="72" t="n"/>
      <c r="H267" s="72" t="n"/>
      <c r="I267" s="73" t="n"/>
      <c r="J267" s="75">
        <f>IF(B267="","",SUMIFS('Change Orders'!$J$7:$J$1006,'Change Orders'!$E$7:$E$1006,B267,'Change Orders'!$L$7:$L$1006,"Approved"))</f>
        <v/>
      </c>
      <c r="K267" s="76">
        <f>IF(B267="","",I267+J267)</f>
        <v/>
      </c>
      <c r="L267" s="74" t="n"/>
      <c r="M267" s="109" t="n"/>
      <c r="N267" s="109" t="n"/>
      <c r="O267" s="74" t="n"/>
      <c r="P267" s="74" t="n"/>
      <c r="Q267" s="100" t="n"/>
      <c r="R267" s="110" t="n"/>
      <c r="S267" s="75">
        <f>IF(B267="","",SUMIFS('Payments'!$N$6:$N$1005,'Payments'!$B$6:$B$1005,B267))</f>
        <v/>
      </c>
      <c r="T267" s="111">
        <f>IF(OR(B267="",K267=0),"",S267/K267)</f>
        <v/>
      </c>
      <c r="U267" s="78">
        <f>IF(V267="","",IF(V267=2,"⚠️ Paying ahead of work","✓ OK"))</f>
        <v/>
      </c>
      <c r="V267" s="79">
        <f>IF(T267="","",IF(T267-R267&gt;OverpayTol,2,0))</f>
        <v/>
      </c>
      <c r="W267" s="112">
        <f>IF(V267=2,AsOf,"")</f>
        <v/>
      </c>
      <c r="X267" s="79">
        <f>IF(W267="","",1)</f>
        <v/>
      </c>
      <c r="Y267" s="79">
        <f>IF(X267="","","Paying ahead of work: "&amp;B267&amp;" — paid "&amp;ROUND(T267*100,0)&amp;"%, work done "&amp;ROUND(R267*100,0)&amp;"%")</f>
        <v/>
      </c>
      <c r="AA267" s="72" t="n"/>
      <c r="AB267" s="109" t="n"/>
      <c r="AC267" s="113" t="n"/>
      <c r="AD267" s="74" t="n"/>
      <c r="AE267" s="109" t="n"/>
      <c r="AF267" s="74" t="n"/>
      <c r="AG267" s="112">
        <f>IF(AND(AA267&lt;&gt;"",AD267="Yes",AF267&lt;&gt;"Yes",AE267&lt;&gt;""),AE267,"")</f>
        <v/>
      </c>
      <c r="AH267" s="79">
        <f>IF(AG267="","",IF(AG267&lt;AsOf,1,IF(AG267&lt;=AsOf+AlertDays,2,IF(AG267&lt;=AsOf+2*AlertDays,3,""))))</f>
        <v/>
      </c>
      <c r="AI267" s="79">
        <f>IF(AH267="","","Follow up with "&amp;AA267&amp;": "&amp;AC267)</f>
        <v/>
      </c>
    </row>
    <row r="268" ht="20" customHeight="1">
      <c r="B268" s="72" t="n"/>
      <c r="C268" s="72" t="n"/>
      <c r="D268" s="72" t="n"/>
      <c r="E268" s="72" t="n"/>
      <c r="F268" s="72" t="n"/>
      <c r="G268" s="72" t="n"/>
      <c r="H268" s="72" t="n"/>
      <c r="I268" s="73" t="n"/>
      <c r="J268" s="75">
        <f>IF(B268="","",SUMIFS('Change Orders'!$J$7:$J$1006,'Change Orders'!$E$7:$E$1006,B268,'Change Orders'!$L$7:$L$1006,"Approved"))</f>
        <v/>
      </c>
      <c r="K268" s="76">
        <f>IF(B268="","",I268+J268)</f>
        <v/>
      </c>
      <c r="L268" s="74" t="n"/>
      <c r="M268" s="109" t="n"/>
      <c r="N268" s="109" t="n"/>
      <c r="O268" s="74" t="n"/>
      <c r="P268" s="74" t="n"/>
      <c r="Q268" s="100" t="n"/>
      <c r="R268" s="110" t="n"/>
      <c r="S268" s="75">
        <f>IF(B268="","",SUMIFS('Payments'!$N$6:$N$1005,'Payments'!$B$6:$B$1005,B268))</f>
        <v/>
      </c>
      <c r="T268" s="111">
        <f>IF(OR(B268="",K268=0),"",S268/K268)</f>
        <v/>
      </c>
      <c r="U268" s="78">
        <f>IF(V268="","",IF(V268=2,"⚠️ Paying ahead of work","✓ OK"))</f>
        <v/>
      </c>
      <c r="V268" s="79">
        <f>IF(T268="","",IF(T268-R268&gt;OverpayTol,2,0))</f>
        <v/>
      </c>
      <c r="W268" s="112">
        <f>IF(V268=2,AsOf,"")</f>
        <v/>
      </c>
      <c r="X268" s="79">
        <f>IF(W268="","",1)</f>
        <v/>
      </c>
      <c r="Y268" s="79">
        <f>IF(X268="","","Paying ahead of work: "&amp;B268&amp;" — paid "&amp;ROUND(T268*100,0)&amp;"%, work done "&amp;ROUND(R268*100,0)&amp;"%")</f>
        <v/>
      </c>
      <c r="AA268" s="72" t="n"/>
      <c r="AB268" s="109" t="n"/>
      <c r="AC268" s="113" t="n"/>
      <c r="AD268" s="74" t="n"/>
      <c r="AE268" s="109" t="n"/>
      <c r="AF268" s="74" t="n"/>
      <c r="AG268" s="112">
        <f>IF(AND(AA268&lt;&gt;"",AD268="Yes",AF268&lt;&gt;"Yes",AE268&lt;&gt;""),AE268,"")</f>
        <v/>
      </c>
      <c r="AH268" s="79">
        <f>IF(AG268="","",IF(AG268&lt;AsOf,1,IF(AG268&lt;=AsOf+AlertDays,2,IF(AG268&lt;=AsOf+2*AlertDays,3,""))))</f>
        <v/>
      </c>
      <c r="AI268" s="79">
        <f>IF(AH268="","","Follow up with "&amp;AA268&amp;": "&amp;AC268)</f>
        <v/>
      </c>
    </row>
    <row r="269" ht="20" customHeight="1">
      <c r="B269" s="72" t="n"/>
      <c r="C269" s="72" t="n"/>
      <c r="D269" s="72" t="n"/>
      <c r="E269" s="72" t="n"/>
      <c r="F269" s="72" t="n"/>
      <c r="G269" s="72" t="n"/>
      <c r="H269" s="72" t="n"/>
      <c r="I269" s="73" t="n"/>
      <c r="J269" s="75">
        <f>IF(B269="","",SUMIFS('Change Orders'!$J$7:$J$1006,'Change Orders'!$E$7:$E$1006,B269,'Change Orders'!$L$7:$L$1006,"Approved"))</f>
        <v/>
      </c>
      <c r="K269" s="76">
        <f>IF(B269="","",I269+J269)</f>
        <v/>
      </c>
      <c r="L269" s="74" t="n"/>
      <c r="M269" s="109" t="n"/>
      <c r="N269" s="109" t="n"/>
      <c r="O269" s="74" t="n"/>
      <c r="P269" s="74" t="n"/>
      <c r="Q269" s="100" t="n"/>
      <c r="R269" s="110" t="n"/>
      <c r="S269" s="75">
        <f>IF(B269="","",SUMIFS('Payments'!$N$6:$N$1005,'Payments'!$B$6:$B$1005,B269))</f>
        <v/>
      </c>
      <c r="T269" s="111">
        <f>IF(OR(B269="",K269=0),"",S269/K269)</f>
        <v/>
      </c>
      <c r="U269" s="78">
        <f>IF(V269="","",IF(V269=2,"⚠️ Paying ahead of work","✓ OK"))</f>
        <v/>
      </c>
      <c r="V269" s="79">
        <f>IF(T269="","",IF(T269-R269&gt;OverpayTol,2,0))</f>
        <v/>
      </c>
      <c r="W269" s="112">
        <f>IF(V269=2,AsOf,"")</f>
        <v/>
      </c>
      <c r="X269" s="79">
        <f>IF(W269="","",1)</f>
        <v/>
      </c>
      <c r="Y269" s="79">
        <f>IF(X269="","","Paying ahead of work: "&amp;B269&amp;" — paid "&amp;ROUND(T269*100,0)&amp;"%, work done "&amp;ROUND(R269*100,0)&amp;"%")</f>
        <v/>
      </c>
      <c r="AA269" s="72" t="n"/>
      <c r="AB269" s="109" t="n"/>
      <c r="AC269" s="113" t="n"/>
      <c r="AD269" s="74" t="n"/>
      <c r="AE269" s="109" t="n"/>
      <c r="AF269" s="74" t="n"/>
      <c r="AG269" s="112">
        <f>IF(AND(AA269&lt;&gt;"",AD269="Yes",AF269&lt;&gt;"Yes",AE269&lt;&gt;""),AE269,"")</f>
        <v/>
      </c>
      <c r="AH269" s="79">
        <f>IF(AG269="","",IF(AG269&lt;AsOf,1,IF(AG269&lt;=AsOf+AlertDays,2,IF(AG269&lt;=AsOf+2*AlertDays,3,""))))</f>
        <v/>
      </c>
      <c r="AI269" s="79">
        <f>IF(AH269="","","Follow up with "&amp;AA269&amp;": "&amp;AC269)</f>
        <v/>
      </c>
    </row>
    <row r="270" ht="20" customHeight="1">
      <c r="B270" s="72" t="n"/>
      <c r="C270" s="72" t="n"/>
      <c r="D270" s="72" t="n"/>
      <c r="E270" s="72" t="n"/>
      <c r="F270" s="72" t="n"/>
      <c r="G270" s="72" t="n"/>
      <c r="H270" s="72" t="n"/>
      <c r="I270" s="73" t="n"/>
      <c r="J270" s="75">
        <f>IF(B270="","",SUMIFS('Change Orders'!$J$7:$J$1006,'Change Orders'!$E$7:$E$1006,B270,'Change Orders'!$L$7:$L$1006,"Approved"))</f>
        <v/>
      </c>
      <c r="K270" s="76">
        <f>IF(B270="","",I270+J270)</f>
        <v/>
      </c>
      <c r="L270" s="74" t="n"/>
      <c r="M270" s="109" t="n"/>
      <c r="N270" s="109" t="n"/>
      <c r="O270" s="74" t="n"/>
      <c r="P270" s="74" t="n"/>
      <c r="Q270" s="100" t="n"/>
      <c r="R270" s="110" t="n"/>
      <c r="S270" s="75">
        <f>IF(B270="","",SUMIFS('Payments'!$N$6:$N$1005,'Payments'!$B$6:$B$1005,B270))</f>
        <v/>
      </c>
      <c r="T270" s="111">
        <f>IF(OR(B270="",K270=0),"",S270/K270)</f>
        <v/>
      </c>
      <c r="U270" s="78">
        <f>IF(V270="","",IF(V270=2,"⚠️ Paying ahead of work","✓ OK"))</f>
        <v/>
      </c>
      <c r="V270" s="79">
        <f>IF(T270="","",IF(T270-R270&gt;OverpayTol,2,0))</f>
        <v/>
      </c>
      <c r="W270" s="112">
        <f>IF(V270=2,AsOf,"")</f>
        <v/>
      </c>
      <c r="X270" s="79">
        <f>IF(W270="","",1)</f>
        <v/>
      </c>
      <c r="Y270" s="79">
        <f>IF(X270="","","Paying ahead of work: "&amp;B270&amp;" — paid "&amp;ROUND(T270*100,0)&amp;"%, work done "&amp;ROUND(R270*100,0)&amp;"%")</f>
        <v/>
      </c>
      <c r="AA270" s="72" t="n"/>
      <c r="AB270" s="109" t="n"/>
      <c r="AC270" s="113" t="n"/>
      <c r="AD270" s="74" t="n"/>
      <c r="AE270" s="109" t="n"/>
      <c r="AF270" s="74" t="n"/>
      <c r="AG270" s="112">
        <f>IF(AND(AA270&lt;&gt;"",AD270="Yes",AF270&lt;&gt;"Yes",AE270&lt;&gt;""),AE270,"")</f>
        <v/>
      </c>
      <c r="AH270" s="79">
        <f>IF(AG270="","",IF(AG270&lt;AsOf,1,IF(AG270&lt;=AsOf+AlertDays,2,IF(AG270&lt;=AsOf+2*AlertDays,3,""))))</f>
        <v/>
      </c>
      <c r="AI270" s="79">
        <f>IF(AH270="","","Follow up with "&amp;AA270&amp;": "&amp;AC270)</f>
        <v/>
      </c>
    </row>
    <row r="271" ht="20" customHeight="1">
      <c r="B271" s="72" t="n"/>
      <c r="C271" s="72" t="n"/>
      <c r="D271" s="72" t="n"/>
      <c r="E271" s="72" t="n"/>
      <c r="F271" s="72" t="n"/>
      <c r="G271" s="72" t="n"/>
      <c r="H271" s="72" t="n"/>
      <c r="I271" s="73" t="n"/>
      <c r="J271" s="75">
        <f>IF(B271="","",SUMIFS('Change Orders'!$J$7:$J$1006,'Change Orders'!$E$7:$E$1006,B271,'Change Orders'!$L$7:$L$1006,"Approved"))</f>
        <v/>
      </c>
      <c r="K271" s="76">
        <f>IF(B271="","",I271+J271)</f>
        <v/>
      </c>
      <c r="L271" s="74" t="n"/>
      <c r="M271" s="109" t="n"/>
      <c r="N271" s="109" t="n"/>
      <c r="O271" s="74" t="n"/>
      <c r="P271" s="74" t="n"/>
      <c r="Q271" s="100" t="n"/>
      <c r="R271" s="110" t="n"/>
      <c r="S271" s="75">
        <f>IF(B271="","",SUMIFS('Payments'!$N$6:$N$1005,'Payments'!$B$6:$B$1005,B271))</f>
        <v/>
      </c>
      <c r="T271" s="111">
        <f>IF(OR(B271="",K271=0),"",S271/K271)</f>
        <v/>
      </c>
      <c r="U271" s="78">
        <f>IF(V271="","",IF(V271=2,"⚠️ Paying ahead of work","✓ OK"))</f>
        <v/>
      </c>
      <c r="V271" s="79">
        <f>IF(T271="","",IF(T271-R271&gt;OverpayTol,2,0))</f>
        <v/>
      </c>
      <c r="W271" s="112">
        <f>IF(V271=2,AsOf,"")</f>
        <v/>
      </c>
      <c r="X271" s="79">
        <f>IF(W271="","",1)</f>
        <v/>
      </c>
      <c r="Y271" s="79">
        <f>IF(X271="","","Paying ahead of work: "&amp;B271&amp;" — paid "&amp;ROUND(T271*100,0)&amp;"%, work done "&amp;ROUND(R271*100,0)&amp;"%")</f>
        <v/>
      </c>
      <c r="AA271" s="72" t="n"/>
      <c r="AB271" s="109" t="n"/>
      <c r="AC271" s="113" t="n"/>
      <c r="AD271" s="74" t="n"/>
      <c r="AE271" s="109" t="n"/>
      <c r="AF271" s="74" t="n"/>
      <c r="AG271" s="112">
        <f>IF(AND(AA271&lt;&gt;"",AD271="Yes",AF271&lt;&gt;"Yes",AE271&lt;&gt;""),AE271,"")</f>
        <v/>
      </c>
      <c r="AH271" s="79">
        <f>IF(AG271="","",IF(AG271&lt;AsOf,1,IF(AG271&lt;=AsOf+AlertDays,2,IF(AG271&lt;=AsOf+2*AlertDays,3,""))))</f>
        <v/>
      </c>
      <c r="AI271" s="79">
        <f>IF(AH271="","","Follow up with "&amp;AA271&amp;": "&amp;AC271)</f>
        <v/>
      </c>
    </row>
    <row r="272" ht="20" customHeight="1">
      <c r="B272" s="72" t="n"/>
      <c r="C272" s="72" t="n"/>
      <c r="D272" s="72" t="n"/>
      <c r="E272" s="72" t="n"/>
      <c r="F272" s="72" t="n"/>
      <c r="G272" s="72" t="n"/>
      <c r="H272" s="72" t="n"/>
      <c r="I272" s="73" t="n"/>
      <c r="J272" s="75">
        <f>IF(B272="","",SUMIFS('Change Orders'!$J$7:$J$1006,'Change Orders'!$E$7:$E$1006,B272,'Change Orders'!$L$7:$L$1006,"Approved"))</f>
        <v/>
      </c>
      <c r="K272" s="76">
        <f>IF(B272="","",I272+J272)</f>
        <v/>
      </c>
      <c r="L272" s="74" t="n"/>
      <c r="M272" s="109" t="n"/>
      <c r="N272" s="109" t="n"/>
      <c r="O272" s="74" t="n"/>
      <c r="P272" s="74" t="n"/>
      <c r="Q272" s="100" t="n"/>
      <c r="R272" s="110" t="n"/>
      <c r="S272" s="75">
        <f>IF(B272="","",SUMIFS('Payments'!$N$6:$N$1005,'Payments'!$B$6:$B$1005,B272))</f>
        <v/>
      </c>
      <c r="T272" s="111">
        <f>IF(OR(B272="",K272=0),"",S272/K272)</f>
        <v/>
      </c>
      <c r="U272" s="78">
        <f>IF(V272="","",IF(V272=2,"⚠️ Paying ahead of work","✓ OK"))</f>
        <v/>
      </c>
      <c r="V272" s="79">
        <f>IF(T272="","",IF(T272-R272&gt;OverpayTol,2,0))</f>
        <v/>
      </c>
      <c r="W272" s="112">
        <f>IF(V272=2,AsOf,"")</f>
        <v/>
      </c>
      <c r="X272" s="79">
        <f>IF(W272="","",1)</f>
        <v/>
      </c>
      <c r="Y272" s="79">
        <f>IF(X272="","","Paying ahead of work: "&amp;B272&amp;" — paid "&amp;ROUND(T272*100,0)&amp;"%, work done "&amp;ROUND(R272*100,0)&amp;"%")</f>
        <v/>
      </c>
      <c r="AA272" s="72" t="n"/>
      <c r="AB272" s="109" t="n"/>
      <c r="AC272" s="113" t="n"/>
      <c r="AD272" s="74" t="n"/>
      <c r="AE272" s="109" t="n"/>
      <c r="AF272" s="74" t="n"/>
      <c r="AG272" s="112">
        <f>IF(AND(AA272&lt;&gt;"",AD272="Yes",AF272&lt;&gt;"Yes",AE272&lt;&gt;""),AE272,"")</f>
        <v/>
      </c>
      <c r="AH272" s="79">
        <f>IF(AG272="","",IF(AG272&lt;AsOf,1,IF(AG272&lt;=AsOf+AlertDays,2,IF(AG272&lt;=AsOf+2*AlertDays,3,""))))</f>
        <v/>
      </c>
      <c r="AI272" s="79">
        <f>IF(AH272="","","Follow up with "&amp;AA272&amp;": "&amp;AC272)</f>
        <v/>
      </c>
    </row>
    <row r="273" ht="20" customHeight="1">
      <c r="B273" s="72" t="n"/>
      <c r="C273" s="72" t="n"/>
      <c r="D273" s="72" t="n"/>
      <c r="E273" s="72" t="n"/>
      <c r="F273" s="72" t="n"/>
      <c r="G273" s="72" t="n"/>
      <c r="H273" s="72" t="n"/>
      <c r="I273" s="73" t="n"/>
      <c r="J273" s="75">
        <f>IF(B273="","",SUMIFS('Change Orders'!$J$7:$J$1006,'Change Orders'!$E$7:$E$1006,B273,'Change Orders'!$L$7:$L$1006,"Approved"))</f>
        <v/>
      </c>
      <c r="K273" s="76">
        <f>IF(B273="","",I273+J273)</f>
        <v/>
      </c>
      <c r="L273" s="74" t="n"/>
      <c r="M273" s="109" t="n"/>
      <c r="N273" s="109" t="n"/>
      <c r="O273" s="74" t="n"/>
      <c r="P273" s="74" t="n"/>
      <c r="Q273" s="100" t="n"/>
      <c r="R273" s="110" t="n"/>
      <c r="S273" s="75">
        <f>IF(B273="","",SUMIFS('Payments'!$N$6:$N$1005,'Payments'!$B$6:$B$1005,B273))</f>
        <v/>
      </c>
      <c r="T273" s="111">
        <f>IF(OR(B273="",K273=0),"",S273/K273)</f>
        <v/>
      </c>
      <c r="U273" s="78">
        <f>IF(V273="","",IF(V273=2,"⚠️ Paying ahead of work","✓ OK"))</f>
        <v/>
      </c>
      <c r="V273" s="79">
        <f>IF(T273="","",IF(T273-R273&gt;OverpayTol,2,0))</f>
        <v/>
      </c>
      <c r="W273" s="112">
        <f>IF(V273=2,AsOf,"")</f>
        <v/>
      </c>
      <c r="X273" s="79">
        <f>IF(W273="","",1)</f>
        <v/>
      </c>
      <c r="Y273" s="79">
        <f>IF(X273="","","Paying ahead of work: "&amp;B273&amp;" — paid "&amp;ROUND(T273*100,0)&amp;"%, work done "&amp;ROUND(R273*100,0)&amp;"%")</f>
        <v/>
      </c>
      <c r="AA273" s="72" t="n"/>
      <c r="AB273" s="109" t="n"/>
      <c r="AC273" s="113" t="n"/>
      <c r="AD273" s="74" t="n"/>
      <c r="AE273" s="109" t="n"/>
      <c r="AF273" s="74" t="n"/>
      <c r="AG273" s="112">
        <f>IF(AND(AA273&lt;&gt;"",AD273="Yes",AF273&lt;&gt;"Yes",AE273&lt;&gt;""),AE273,"")</f>
        <v/>
      </c>
      <c r="AH273" s="79">
        <f>IF(AG273="","",IF(AG273&lt;AsOf,1,IF(AG273&lt;=AsOf+AlertDays,2,IF(AG273&lt;=AsOf+2*AlertDays,3,""))))</f>
        <v/>
      </c>
      <c r="AI273" s="79">
        <f>IF(AH273="","","Follow up with "&amp;AA273&amp;": "&amp;AC273)</f>
        <v/>
      </c>
    </row>
    <row r="274" ht="20" customHeight="1">
      <c r="B274" s="72" t="n"/>
      <c r="C274" s="72" t="n"/>
      <c r="D274" s="72" t="n"/>
      <c r="E274" s="72" t="n"/>
      <c r="F274" s="72" t="n"/>
      <c r="G274" s="72" t="n"/>
      <c r="H274" s="72" t="n"/>
      <c r="I274" s="73" t="n"/>
      <c r="J274" s="75">
        <f>IF(B274="","",SUMIFS('Change Orders'!$J$7:$J$1006,'Change Orders'!$E$7:$E$1006,B274,'Change Orders'!$L$7:$L$1006,"Approved"))</f>
        <v/>
      </c>
      <c r="K274" s="76">
        <f>IF(B274="","",I274+J274)</f>
        <v/>
      </c>
      <c r="L274" s="74" t="n"/>
      <c r="M274" s="109" t="n"/>
      <c r="N274" s="109" t="n"/>
      <c r="O274" s="74" t="n"/>
      <c r="P274" s="74" t="n"/>
      <c r="Q274" s="100" t="n"/>
      <c r="R274" s="110" t="n"/>
      <c r="S274" s="75">
        <f>IF(B274="","",SUMIFS('Payments'!$N$6:$N$1005,'Payments'!$B$6:$B$1005,B274))</f>
        <v/>
      </c>
      <c r="T274" s="111">
        <f>IF(OR(B274="",K274=0),"",S274/K274)</f>
        <v/>
      </c>
      <c r="U274" s="78">
        <f>IF(V274="","",IF(V274=2,"⚠️ Paying ahead of work","✓ OK"))</f>
        <v/>
      </c>
      <c r="V274" s="79">
        <f>IF(T274="","",IF(T274-R274&gt;OverpayTol,2,0))</f>
        <v/>
      </c>
      <c r="W274" s="112">
        <f>IF(V274=2,AsOf,"")</f>
        <v/>
      </c>
      <c r="X274" s="79">
        <f>IF(W274="","",1)</f>
        <v/>
      </c>
      <c r="Y274" s="79">
        <f>IF(X274="","","Paying ahead of work: "&amp;B274&amp;" — paid "&amp;ROUND(T274*100,0)&amp;"%, work done "&amp;ROUND(R274*100,0)&amp;"%")</f>
        <v/>
      </c>
      <c r="AA274" s="72" t="n"/>
      <c r="AB274" s="109" t="n"/>
      <c r="AC274" s="113" t="n"/>
      <c r="AD274" s="74" t="n"/>
      <c r="AE274" s="109" t="n"/>
      <c r="AF274" s="74" t="n"/>
      <c r="AG274" s="112">
        <f>IF(AND(AA274&lt;&gt;"",AD274="Yes",AF274&lt;&gt;"Yes",AE274&lt;&gt;""),AE274,"")</f>
        <v/>
      </c>
      <c r="AH274" s="79">
        <f>IF(AG274="","",IF(AG274&lt;AsOf,1,IF(AG274&lt;=AsOf+AlertDays,2,IF(AG274&lt;=AsOf+2*AlertDays,3,""))))</f>
        <v/>
      </c>
      <c r="AI274" s="79">
        <f>IF(AH274="","","Follow up with "&amp;AA274&amp;": "&amp;AC274)</f>
        <v/>
      </c>
    </row>
    <row r="275" ht="20" customHeight="1">
      <c r="B275" s="72" t="n"/>
      <c r="C275" s="72" t="n"/>
      <c r="D275" s="72" t="n"/>
      <c r="E275" s="72" t="n"/>
      <c r="F275" s="72" t="n"/>
      <c r="G275" s="72" t="n"/>
      <c r="H275" s="72" t="n"/>
      <c r="I275" s="73" t="n"/>
      <c r="J275" s="75">
        <f>IF(B275="","",SUMIFS('Change Orders'!$J$7:$J$1006,'Change Orders'!$E$7:$E$1006,B275,'Change Orders'!$L$7:$L$1006,"Approved"))</f>
        <v/>
      </c>
      <c r="K275" s="76">
        <f>IF(B275="","",I275+J275)</f>
        <v/>
      </c>
      <c r="L275" s="74" t="n"/>
      <c r="M275" s="109" t="n"/>
      <c r="N275" s="109" t="n"/>
      <c r="O275" s="74" t="n"/>
      <c r="P275" s="74" t="n"/>
      <c r="Q275" s="100" t="n"/>
      <c r="R275" s="110" t="n"/>
      <c r="S275" s="75">
        <f>IF(B275="","",SUMIFS('Payments'!$N$6:$N$1005,'Payments'!$B$6:$B$1005,B275))</f>
        <v/>
      </c>
      <c r="T275" s="111">
        <f>IF(OR(B275="",K275=0),"",S275/K275)</f>
        <v/>
      </c>
      <c r="U275" s="78">
        <f>IF(V275="","",IF(V275=2,"⚠️ Paying ahead of work","✓ OK"))</f>
        <v/>
      </c>
      <c r="V275" s="79">
        <f>IF(T275="","",IF(T275-R275&gt;OverpayTol,2,0))</f>
        <v/>
      </c>
      <c r="W275" s="112">
        <f>IF(V275=2,AsOf,"")</f>
        <v/>
      </c>
      <c r="X275" s="79">
        <f>IF(W275="","",1)</f>
        <v/>
      </c>
      <c r="Y275" s="79">
        <f>IF(X275="","","Paying ahead of work: "&amp;B275&amp;" — paid "&amp;ROUND(T275*100,0)&amp;"%, work done "&amp;ROUND(R275*100,0)&amp;"%")</f>
        <v/>
      </c>
      <c r="AA275" s="72" t="n"/>
      <c r="AB275" s="109" t="n"/>
      <c r="AC275" s="113" t="n"/>
      <c r="AD275" s="74" t="n"/>
      <c r="AE275" s="109" t="n"/>
      <c r="AF275" s="74" t="n"/>
      <c r="AG275" s="112">
        <f>IF(AND(AA275&lt;&gt;"",AD275="Yes",AF275&lt;&gt;"Yes",AE275&lt;&gt;""),AE275,"")</f>
        <v/>
      </c>
      <c r="AH275" s="79">
        <f>IF(AG275="","",IF(AG275&lt;AsOf,1,IF(AG275&lt;=AsOf+AlertDays,2,IF(AG275&lt;=AsOf+2*AlertDays,3,""))))</f>
        <v/>
      </c>
      <c r="AI275" s="79">
        <f>IF(AH275="","","Follow up with "&amp;AA275&amp;": "&amp;AC275)</f>
        <v/>
      </c>
    </row>
    <row r="276" ht="20" customHeight="1">
      <c r="B276" s="72" t="n"/>
      <c r="C276" s="72" t="n"/>
      <c r="D276" s="72" t="n"/>
      <c r="E276" s="72" t="n"/>
      <c r="F276" s="72" t="n"/>
      <c r="G276" s="72" t="n"/>
      <c r="H276" s="72" t="n"/>
      <c r="I276" s="73" t="n"/>
      <c r="J276" s="75">
        <f>IF(B276="","",SUMIFS('Change Orders'!$J$7:$J$1006,'Change Orders'!$E$7:$E$1006,B276,'Change Orders'!$L$7:$L$1006,"Approved"))</f>
        <v/>
      </c>
      <c r="K276" s="76">
        <f>IF(B276="","",I276+J276)</f>
        <v/>
      </c>
      <c r="L276" s="74" t="n"/>
      <c r="M276" s="109" t="n"/>
      <c r="N276" s="109" t="n"/>
      <c r="O276" s="74" t="n"/>
      <c r="P276" s="74" t="n"/>
      <c r="Q276" s="100" t="n"/>
      <c r="R276" s="110" t="n"/>
      <c r="S276" s="75">
        <f>IF(B276="","",SUMIFS('Payments'!$N$6:$N$1005,'Payments'!$B$6:$B$1005,B276))</f>
        <v/>
      </c>
      <c r="T276" s="111">
        <f>IF(OR(B276="",K276=0),"",S276/K276)</f>
        <v/>
      </c>
      <c r="U276" s="78">
        <f>IF(V276="","",IF(V276=2,"⚠️ Paying ahead of work","✓ OK"))</f>
        <v/>
      </c>
      <c r="V276" s="79">
        <f>IF(T276="","",IF(T276-R276&gt;OverpayTol,2,0))</f>
        <v/>
      </c>
      <c r="W276" s="112">
        <f>IF(V276=2,AsOf,"")</f>
        <v/>
      </c>
      <c r="X276" s="79">
        <f>IF(W276="","",1)</f>
        <v/>
      </c>
      <c r="Y276" s="79">
        <f>IF(X276="","","Paying ahead of work: "&amp;B276&amp;" — paid "&amp;ROUND(T276*100,0)&amp;"%, work done "&amp;ROUND(R276*100,0)&amp;"%")</f>
        <v/>
      </c>
      <c r="AA276" s="72" t="n"/>
      <c r="AB276" s="109" t="n"/>
      <c r="AC276" s="113" t="n"/>
      <c r="AD276" s="74" t="n"/>
      <c r="AE276" s="109" t="n"/>
      <c r="AF276" s="74" t="n"/>
      <c r="AG276" s="112">
        <f>IF(AND(AA276&lt;&gt;"",AD276="Yes",AF276&lt;&gt;"Yes",AE276&lt;&gt;""),AE276,"")</f>
        <v/>
      </c>
      <c r="AH276" s="79">
        <f>IF(AG276="","",IF(AG276&lt;AsOf,1,IF(AG276&lt;=AsOf+AlertDays,2,IF(AG276&lt;=AsOf+2*AlertDays,3,""))))</f>
        <v/>
      </c>
      <c r="AI276" s="79">
        <f>IF(AH276="","","Follow up with "&amp;AA276&amp;": "&amp;AC276)</f>
        <v/>
      </c>
    </row>
    <row r="277" ht="20" customHeight="1">
      <c r="B277" s="72" t="n"/>
      <c r="C277" s="72" t="n"/>
      <c r="D277" s="72" t="n"/>
      <c r="E277" s="72" t="n"/>
      <c r="F277" s="72" t="n"/>
      <c r="G277" s="72" t="n"/>
      <c r="H277" s="72" t="n"/>
      <c r="I277" s="73" t="n"/>
      <c r="J277" s="75">
        <f>IF(B277="","",SUMIFS('Change Orders'!$J$7:$J$1006,'Change Orders'!$E$7:$E$1006,B277,'Change Orders'!$L$7:$L$1006,"Approved"))</f>
        <v/>
      </c>
      <c r="K277" s="76">
        <f>IF(B277="","",I277+J277)</f>
        <v/>
      </c>
      <c r="L277" s="74" t="n"/>
      <c r="M277" s="109" t="n"/>
      <c r="N277" s="109" t="n"/>
      <c r="O277" s="74" t="n"/>
      <c r="P277" s="74" t="n"/>
      <c r="Q277" s="100" t="n"/>
      <c r="R277" s="110" t="n"/>
      <c r="S277" s="75">
        <f>IF(B277="","",SUMIFS('Payments'!$N$6:$N$1005,'Payments'!$B$6:$B$1005,B277))</f>
        <v/>
      </c>
      <c r="T277" s="111">
        <f>IF(OR(B277="",K277=0),"",S277/K277)</f>
        <v/>
      </c>
      <c r="U277" s="78">
        <f>IF(V277="","",IF(V277=2,"⚠️ Paying ahead of work","✓ OK"))</f>
        <v/>
      </c>
      <c r="V277" s="79">
        <f>IF(T277="","",IF(T277-R277&gt;OverpayTol,2,0))</f>
        <v/>
      </c>
      <c r="W277" s="112">
        <f>IF(V277=2,AsOf,"")</f>
        <v/>
      </c>
      <c r="X277" s="79">
        <f>IF(W277="","",1)</f>
        <v/>
      </c>
      <c r="Y277" s="79">
        <f>IF(X277="","","Paying ahead of work: "&amp;B277&amp;" — paid "&amp;ROUND(T277*100,0)&amp;"%, work done "&amp;ROUND(R277*100,0)&amp;"%")</f>
        <v/>
      </c>
      <c r="AA277" s="72" t="n"/>
      <c r="AB277" s="109" t="n"/>
      <c r="AC277" s="113" t="n"/>
      <c r="AD277" s="74" t="n"/>
      <c r="AE277" s="109" t="n"/>
      <c r="AF277" s="74" t="n"/>
      <c r="AG277" s="112">
        <f>IF(AND(AA277&lt;&gt;"",AD277="Yes",AF277&lt;&gt;"Yes",AE277&lt;&gt;""),AE277,"")</f>
        <v/>
      </c>
      <c r="AH277" s="79">
        <f>IF(AG277="","",IF(AG277&lt;AsOf,1,IF(AG277&lt;=AsOf+AlertDays,2,IF(AG277&lt;=AsOf+2*AlertDays,3,""))))</f>
        <v/>
      </c>
      <c r="AI277" s="79">
        <f>IF(AH277="","","Follow up with "&amp;AA277&amp;": "&amp;AC277)</f>
        <v/>
      </c>
    </row>
    <row r="278" ht="20" customHeight="1">
      <c r="B278" s="72" t="n"/>
      <c r="C278" s="72" t="n"/>
      <c r="D278" s="72" t="n"/>
      <c r="E278" s="72" t="n"/>
      <c r="F278" s="72" t="n"/>
      <c r="G278" s="72" t="n"/>
      <c r="H278" s="72" t="n"/>
      <c r="I278" s="73" t="n"/>
      <c r="J278" s="75">
        <f>IF(B278="","",SUMIFS('Change Orders'!$J$7:$J$1006,'Change Orders'!$E$7:$E$1006,B278,'Change Orders'!$L$7:$L$1006,"Approved"))</f>
        <v/>
      </c>
      <c r="K278" s="76">
        <f>IF(B278="","",I278+J278)</f>
        <v/>
      </c>
      <c r="L278" s="74" t="n"/>
      <c r="M278" s="109" t="n"/>
      <c r="N278" s="109" t="n"/>
      <c r="O278" s="74" t="n"/>
      <c r="P278" s="74" t="n"/>
      <c r="Q278" s="100" t="n"/>
      <c r="R278" s="110" t="n"/>
      <c r="S278" s="75">
        <f>IF(B278="","",SUMIFS('Payments'!$N$6:$N$1005,'Payments'!$B$6:$B$1005,B278))</f>
        <v/>
      </c>
      <c r="T278" s="111">
        <f>IF(OR(B278="",K278=0),"",S278/K278)</f>
        <v/>
      </c>
      <c r="U278" s="78">
        <f>IF(V278="","",IF(V278=2,"⚠️ Paying ahead of work","✓ OK"))</f>
        <v/>
      </c>
      <c r="V278" s="79">
        <f>IF(T278="","",IF(T278-R278&gt;OverpayTol,2,0))</f>
        <v/>
      </c>
      <c r="W278" s="112">
        <f>IF(V278=2,AsOf,"")</f>
        <v/>
      </c>
      <c r="X278" s="79">
        <f>IF(W278="","",1)</f>
        <v/>
      </c>
      <c r="Y278" s="79">
        <f>IF(X278="","","Paying ahead of work: "&amp;B278&amp;" — paid "&amp;ROUND(T278*100,0)&amp;"%, work done "&amp;ROUND(R278*100,0)&amp;"%")</f>
        <v/>
      </c>
      <c r="AA278" s="72" t="n"/>
      <c r="AB278" s="109" t="n"/>
      <c r="AC278" s="113" t="n"/>
      <c r="AD278" s="74" t="n"/>
      <c r="AE278" s="109" t="n"/>
      <c r="AF278" s="74" t="n"/>
      <c r="AG278" s="112">
        <f>IF(AND(AA278&lt;&gt;"",AD278="Yes",AF278&lt;&gt;"Yes",AE278&lt;&gt;""),AE278,"")</f>
        <v/>
      </c>
      <c r="AH278" s="79">
        <f>IF(AG278="","",IF(AG278&lt;AsOf,1,IF(AG278&lt;=AsOf+AlertDays,2,IF(AG278&lt;=AsOf+2*AlertDays,3,""))))</f>
        <v/>
      </c>
      <c r="AI278" s="79">
        <f>IF(AH278="","","Follow up with "&amp;AA278&amp;": "&amp;AC278)</f>
        <v/>
      </c>
    </row>
    <row r="279" ht="20" customHeight="1">
      <c r="B279" s="72" t="n"/>
      <c r="C279" s="72" t="n"/>
      <c r="D279" s="72" t="n"/>
      <c r="E279" s="72" t="n"/>
      <c r="F279" s="72" t="n"/>
      <c r="G279" s="72" t="n"/>
      <c r="H279" s="72" t="n"/>
      <c r="I279" s="73" t="n"/>
      <c r="J279" s="75">
        <f>IF(B279="","",SUMIFS('Change Orders'!$J$7:$J$1006,'Change Orders'!$E$7:$E$1006,B279,'Change Orders'!$L$7:$L$1006,"Approved"))</f>
        <v/>
      </c>
      <c r="K279" s="76">
        <f>IF(B279="","",I279+J279)</f>
        <v/>
      </c>
      <c r="L279" s="74" t="n"/>
      <c r="M279" s="109" t="n"/>
      <c r="N279" s="109" t="n"/>
      <c r="O279" s="74" t="n"/>
      <c r="P279" s="74" t="n"/>
      <c r="Q279" s="100" t="n"/>
      <c r="R279" s="110" t="n"/>
      <c r="S279" s="75">
        <f>IF(B279="","",SUMIFS('Payments'!$N$6:$N$1005,'Payments'!$B$6:$B$1005,B279))</f>
        <v/>
      </c>
      <c r="T279" s="111">
        <f>IF(OR(B279="",K279=0),"",S279/K279)</f>
        <v/>
      </c>
      <c r="U279" s="78">
        <f>IF(V279="","",IF(V279=2,"⚠️ Paying ahead of work","✓ OK"))</f>
        <v/>
      </c>
      <c r="V279" s="79">
        <f>IF(T279="","",IF(T279-R279&gt;OverpayTol,2,0))</f>
        <v/>
      </c>
      <c r="W279" s="112">
        <f>IF(V279=2,AsOf,"")</f>
        <v/>
      </c>
      <c r="X279" s="79">
        <f>IF(W279="","",1)</f>
        <v/>
      </c>
      <c r="Y279" s="79">
        <f>IF(X279="","","Paying ahead of work: "&amp;B279&amp;" — paid "&amp;ROUND(T279*100,0)&amp;"%, work done "&amp;ROUND(R279*100,0)&amp;"%")</f>
        <v/>
      </c>
      <c r="AA279" s="72" t="n"/>
      <c r="AB279" s="109" t="n"/>
      <c r="AC279" s="113" t="n"/>
      <c r="AD279" s="74" t="n"/>
      <c r="AE279" s="109" t="n"/>
      <c r="AF279" s="74" t="n"/>
      <c r="AG279" s="112">
        <f>IF(AND(AA279&lt;&gt;"",AD279="Yes",AF279&lt;&gt;"Yes",AE279&lt;&gt;""),AE279,"")</f>
        <v/>
      </c>
      <c r="AH279" s="79">
        <f>IF(AG279="","",IF(AG279&lt;AsOf,1,IF(AG279&lt;=AsOf+AlertDays,2,IF(AG279&lt;=AsOf+2*AlertDays,3,""))))</f>
        <v/>
      </c>
      <c r="AI279" s="79">
        <f>IF(AH279="","","Follow up with "&amp;AA279&amp;": "&amp;AC279)</f>
        <v/>
      </c>
    </row>
    <row r="280" ht="20" customHeight="1">
      <c r="B280" s="72" t="n"/>
      <c r="C280" s="72" t="n"/>
      <c r="D280" s="72" t="n"/>
      <c r="E280" s="72" t="n"/>
      <c r="F280" s="72" t="n"/>
      <c r="G280" s="72" t="n"/>
      <c r="H280" s="72" t="n"/>
      <c r="I280" s="73" t="n"/>
      <c r="J280" s="75">
        <f>IF(B280="","",SUMIFS('Change Orders'!$J$7:$J$1006,'Change Orders'!$E$7:$E$1006,B280,'Change Orders'!$L$7:$L$1006,"Approved"))</f>
        <v/>
      </c>
      <c r="K280" s="76">
        <f>IF(B280="","",I280+J280)</f>
        <v/>
      </c>
      <c r="L280" s="74" t="n"/>
      <c r="M280" s="109" t="n"/>
      <c r="N280" s="109" t="n"/>
      <c r="O280" s="74" t="n"/>
      <c r="P280" s="74" t="n"/>
      <c r="Q280" s="100" t="n"/>
      <c r="R280" s="110" t="n"/>
      <c r="S280" s="75">
        <f>IF(B280="","",SUMIFS('Payments'!$N$6:$N$1005,'Payments'!$B$6:$B$1005,B280))</f>
        <v/>
      </c>
      <c r="T280" s="111">
        <f>IF(OR(B280="",K280=0),"",S280/K280)</f>
        <v/>
      </c>
      <c r="U280" s="78">
        <f>IF(V280="","",IF(V280=2,"⚠️ Paying ahead of work","✓ OK"))</f>
        <v/>
      </c>
      <c r="V280" s="79">
        <f>IF(T280="","",IF(T280-R280&gt;OverpayTol,2,0))</f>
        <v/>
      </c>
      <c r="W280" s="112">
        <f>IF(V280=2,AsOf,"")</f>
        <v/>
      </c>
      <c r="X280" s="79">
        <f>IF(W280="","",1)</f>
        <v/>
      </c>
      <c r="Y280" s="79">
        <f>IF(X280="","","Paying ahead of work: "&amp;B280&amp;" — paid "&amp;ROUND(T280*100,0)&amp;"%, work done "&amp;ROUND(R280*100,0)&amp;"%")</f>
        <v/>
      </c>
      <c r="AA280" s="72" t="n"/>
      <c r="AB280" s="109" t="n"/>
      <c r="AC280" s="113" t="n"/>
      <c r="AD280" s="74" t="n"/>
      <c r="AE280" s="109" t="n"/>
      <c r="AF280" s="74" t="n"/>
      <c r="AG280" s="112">
        <f>IF(AND(AA280&lt;&gt;"",AD280="Yes",AF280&lt;&gt;"Yes",AE280&lt;&gt;""),AE280,"")</f>
        <v/>
      </c>
      <c r="AH280" s="79">
        <f>IF(AG280="","",IF(AG280&lt;AsOf,1,IF(AG280&lt;=AsOf+AlertDays,2,IF(AG280&lt;=AsOf+2*AlertDays,3,""))))</f>
        <v/>
      </c>
      <c r="AI280" s="79">
        <f>IF(AH280="","","Follow up with "&amp;AA280&amp;": "&amp;AC280)</f>
        <v/>
      </c>
    </row>
    <row r="281" ht="20" customHeight="1">
      <c r="B281" s="72" t="n"/>
      <c r="C281" s="72" t="n"/>
      <c r="D281" s="72" t="n"/>
      <c r="E281" s="72" t="n"/>
      <c r="F281" s="72" t="n"/>
      <c r="G281" s="72" t="n"/>
      <c r="H281" s="72" t="n"/>
      <c r="I281" s="73" t="n"/>
      <c r="J281" s="75">
        <f>IF(B281="","",SUMIFS('Change Orders'!$J$7:$J$1006,'Change Orders'!$E$7:$E$1006,B281,'Change Orders'!$L$7:$L$1006,"Approved"))</f>
        <v/>
      </c>
      <c r="K281" s="76">
        <f>IF(B281="","",I281+J281)</f>
        <v/>
      </c>
      <c r="L281" s="74" t="n"/>
      <c r="M281" s="109" t="n"/>
      <c r="N281" s="109" t="n"/>
      <c r="O281" s="74" t="n"/>
      <c r="P281" s="74" t="n"/>
      <c r="Q281" s="100" t="n"/>
      <c r="R281" s="110" t="n"/>
      <c r="S281" s="75">
        <f>IF(B281="","",SUMIFS('Payments'!$N$6:$N$1005,'Payments'!$B$6:$B$1005,B281))</f>
        <v/>
      </c>
      <c r="T281" s="111">
        <f>IF(OR(B281="",K281=0),"",S281/K281)</f>
        <v/>
      </c>
      <c r="U281" s="78">
        <f>IF(V281="","",IF(V281=2,"⚠️ Paying ahead of work","✓ OK"))</f>
        <v/>
      </c>
      <c r="V281" s="79">
        <f>IF(T281="","",IF(T281-R281&gt;OverpayTol,2,0))</f>
        <v/>
      </c>
      <c r="W281" s="112">
        <f>IF(V281=2,AsOf,"")</f>
        <v/>
      </c>
      <c r="X281" s="79">
        <f>IF(W281="","",1)</f>
        <v/>
      </c>
      <c r="Y281" s="79">
        <f>IF(X281="","","Paying ahead of work: "&amp;B281&amp;" — paid "&amp;ROUND(T281*100,0)&amp;"%, work done "&amp;ROUND(R281*100,0)&amp;"%")</f>
        <v/>
      </c>
      <c r="AA281" s="72" t="n"/>
      <c r="AB281" s="109" t="n"/>
      <c r="AC281" s="113" t="n"/>
      <c r="AD281" s="74" t="n"/>
      <c r="AE281" s="109" t="n"/>
      <c r="AF281" s="74" t="n"/>
      <c r="AG281" s="112">
        <f>IF(AND(AA281&lt;&gt;"",AD281="Yes",AF281&lt;&gt;"Yes",AE281&lt;&gt;""),AE281,"")</f>
        <v/>
      </c>
      <c r="AH281" s="79">
        <f>IF(AG281="","",IF(AG281&lt;AsOf,1,IF(AG281&lt;=AsOf+AlertDays,2,IF(AG281&lt;=AsOf+2*AlertDays,3,""))))</f>
        <v/>
      </c>
      <c r="AI281" s="79">
        <f>IF(AH281="","","Follow up with "&amp;AA281&amp;": "&amp;AC281)</f>
        <v/>
      </c>
    </row>
    <row r="282" ht="20" customHeight="1">
      <c r="B282" s="72" t="n"/>
      <c r="C282" s="72" t="n"/>
      <c r="D282" s="72" t="n"/>
      <c r="E282" s="72" t="n"/>
      <c r="F282" s="72" t="n"/>
      <c r="G282" s="72" t="n"/>
      <c r="H282" s="72" t="n"/>
      <c r="I282" s="73" t="n"/>
      <c r="J282" s="75">
        <f>IF(B282="","",SUMIFS('Change Orders'!$J$7:$J$1006,'Change Orders'!$E$7:$E$1006,B282,'Change Orders'!$L$7:$L$1006,"Approved"))</f>
        <v/>
      </c>
      <c r="K282" s="76">
        <f>IF(B282="","",I282+J282)</f>
        <v/>
      </c>
      <c r="L282" s="74" t="n"/>
      <c r="M282" s="109" t="n"/>
      <c r="N282" s="109" t="n"/>
      <c r="O282" s="74" t="n"/>
      <c r="P282" s="74" t="n"/>
      <c r="Q282" s="100" t="n"/>
      <c r="R282" s="110" t="n"/>
      <c r="S282" s="75">
        <f>IF(B282="","",SUMIFS('Payments'!$N$6:$N$1005,'Payments'!$B$6:$B$1005,B282))</f>
        <v/>
      </c>
      <c r="T282" s="111">
        <f>IF(OR(B282="",K282=0),"",S282/K282)</f>
        <v/>
      </c>
      <c r="U282" s="78">
        <f>IF(V282="","",IF(V282=2,"⚠️ Paying ahead of work","✓ OK"))</f>
        <v/>
      </c>
      <c r="V282" s="79">
        <f>IF(T282="","",IF(T282-R282&gt;OverpayTol,2,0))</f>
        <v/>
      </c>
      <c r="W282" s="112">
        <f>IF(V282=2,AsOf,"")</f>
        <v/>
      </c>
      <c r="X282" s="79">
        <f>IF(W282="","",1)</f>
        <v/>
      </c>
      <c r="Y282" s="79">
        <f>IF(X282="","","Paying ahead of work: "&amp;B282&amp;" — paid "&amp;ROUND(T282*100,0)&amp;"%, work done "&amp;ROUND(R282*100,0)&amp;"%")</f>
        <v/>
      </c>
      <c r="AA282" s="72" t="n"/>
      <c r="AB282" s="109" t="n"/>
      <c r="AC282" s="113" t="n"/>
      <c r="AD282" s="74" t="n"/>
      <c r="AE282" s="109" t="n"/>
      <c r="AF282" s="74" t="n"/>
      <c r="AG282" s="112">
        <f>IF(AND(AA282&lt;&gt;"",AD282="Yes",AF282&lt;&gt;"Yes",AE282&lt;&gt;""),AE282,"")</f>
        <v/>
      </c>
      <c r="AH282" s="79">
        <f>IF(AG282="","",IF(AG282&lt;AsOf,1,IF(AG282&lt;=AsOf+AlertDays,2,IF(AG282&lt;=AsOf+2*AlertDays,3,""))))</f>
        <v/>
      </c>
      <c r="AI282" s="79">
        <f>IF(AH282="","","Follow up with "&amp;AA282&amp;": "&amp;AC282)</f>
        <v/>
      </c>
    </row>
    <row r="283" ht="20" customHeight="1">
      <c r="B283" s="72" t="n"/>
      <c r="C283" s="72" t="n"/>
      <c r="D283" s="72" t="n"/>
      <c r="E283" s="72" t="n"/>
      <c r="F283" s="72" t="n"/>
      <c r="G283" s="72" t="n"/>
      <c r="H283" s="72" t="n"/>
      <c r="I283" s="73" t="n"/>
      <c r="J283" s="75">
        <f>IF(B283="","",SUMIFS('Change Orders'!$J$7:$J$1006,'Change Orders'!$E$7:$E$1006,B283,'Change Orders'!$L$7:$L$1006,"Approved"))</f>
        <v/>
      </c>
      <c r="K283" s="76">
        <f>IF(B283="","",I283+J283)</f>
        <v/>
      </c>
      <c r="L283" s="74" t="n"/>
      <c r="M283" s="109" t="n"/>
      <c r="N283" s="109" t="n"/>
      <c r="O283" s="74" t="n"/>
      <c r="P283" s="74" t="n"/>
      <c r="Q283" s="100" t="n"/>
      <c r="R283" s="110" t="n"/>
      <c r="S283" s="75">
        <f>IF(B283="","",SUMIFS('Payments'!$N$6:$N$1005,'Payments'!$B$6:$B$1005,B283))</f>
        <v/>
      </c>
      <c r="T283" s="111">
        <f>IF(OR(B283="",K283=0),"",S283/K283)</f>
        <v/>
      </c>
      <c r="U283" s="78">
        <f>IF(V283="","",IF(V283=2,"⚠️ Paying ahead of work","✓ OK"))</f>
        <v/>
      </c>
      <c r="V283" s="79">
        <f>IF(T283="","",IF(T283-R283&gt;OverpayTol,2,0))</f>
        <v/>
      </c>
      <c r="W283" s="112">
        <f>IF(V283=2,AsOf,"")</f>
        <v/>
      </c>
      <c r="X283" s="79">
        <f>IF(W283="","",1)</f>
        <v/>
      </c>
      <c r="Y283" s="79">
        <f>IF(X283="","","Paying ahead of work: "&amp;B283&amp;" — paid "&amp;ROUND(T283*100,0)&amp;"%, work done "&amp;ROUND(R283*100,0)&amp;"%")</f>
        <v/>
      </c>
      <c r="AA283" s="72" t="n"/>
      <c r="AB283" s="109" t="n"/>
      <c r="AC283" s="113" t="n"/>
      <c r="AD283" s="74" t="n"/>
      <c r="AE283" s="109" t="n"/>
      <c r="AF283" s="74" t="n"/>
      <c r="AG283" s="112">
        <f>IF(AND(AA283&lt;&gt;"",AD283="Yes",AF283&lt;&gt;"Yes",AE283&lt;&gt;""),AE283,"")</f>
        <v/>
      </c>
      <c r="AH283" s="79">
        <f>IF(AG283="","",IF(AG283&lt;AsOf,1,IF(AG283&lt;=AsOf+AlertDays,2,IF(AG283&lt;=AsOf+2*AlertDays,3,""))))</f>
        <v/>
      </c>
      <c r="AI283" s="79">
        <f>IF(AH283="","","Follow up with "&amp;AA283&amp;": "&amp;AC283)</f>
        <v/>
      </c>
    </row>
    <row r="284" ht="20" customHeight="1">
      <c r="B284" s="72" t="n"/>
      <c r="C284" s="72" t="n"/>
      <c r="D284" s="72" t="n"/>
      <c r="E284" s="72" t="n"/>
      <c r="F284" s="72" t="n"/>
      <c r="G284" s="72" t="n"/>
      <c r="H284" s="72" t="n"/>
      <c r="I284" s="73" t="n"/>
      <c r="J284" s="75">
        <f>IF(B284="","",SUMIFS('Change Orders'!$J$7:$J$1006,'Change Orders'!$E$7:$E$1006,B284,'Change Orders'!$L$7:$L$1006,"Approved"))</f>
        <v/>
      </c>
      <c r="K284" s="76">
        <f>IF(B284="","",I284+J284)</f>
        <v/>
      </c>
      <c r="L284" s="74" t="n"/>
      <c r="M284" s="109" t="n"/>
      <c r="N284" s="109" t="n"/>
      <c r="O284" s="74" t="n"/>
      <c r="P284" s="74" t="n"/>
      <c r="Q284" s="100" t="n"/>
      <c r="R284" s="110" t="n"/>
      <c r="S284" s="75">
        <f>IF(B284="","",SUMIFS('Payments'!$N$6:$N$1005,'Payments'!$B$6:$B$1005,B284))</f>
        <v/>
      </c>
      <c r="T284" s="111">
        <f>IF(OR(B284="",K284=0),"",S284/K284)</f>
        <v/>
      </c>
      <c r="U284" s="78">
        <f>IF(V284="","",IF(V284=2,"⚠️ Paying ahead of work","✓ OK"))</f>
        <v/>
      </c>
      <c r="V284" s="79">
        <f>IF(T284="","",IF(T284-R284&gt;OverpayTol,2,0))</f>
        <v/>
      </c>
      <c r="W284" s="112">
        <f>IF(V284=2,AsOf,"")</f>
        <v/>
      </c>
      <c r="X284" s="79">
        <f>IF(W284="","",1)</f>
        <v/>
      </c>
      <c r="Y284" s="79">
        <f>IF(X284="","","Paying ahead of work: "&amp;B284&amp;" — paid "&amp;ROUND(T284*100,0)&amp;"%, work done "&amp;ROUND(R284*100,0)&amp;"%")</f>
        <v/>
      </c>
      <c r="AA284" s="72" t="n"/>
      <c r="AB284" s="109" t="n"/>
      <c r="AC284" s="113" t="n"/>
      <c r="AD284" s="74" t="n"/>
      <c r="AE284" s="109" t="n"/>
      <c r="AF284" s="74" t="n"/>
      <c r="AG284" s="112">
        <f>IF(AND(AA284&lt;&gt;"",AD284="Yes",AF284&lt;&gt;"Yes",AE284&lt;&gt;""),AE284,"")</f>
        <v/>
      </c>
      <c r="AH284" s="79">
        <f>IF(AG284="","",IF(AG284&lt;AsOf,1,IF(AG284&lt;=AsOf+AlertDays,2,IF(AG284&lt;=AsOf+2*AlertDays,3,""))))</f>
        <v/>
      </c>
      <c r="AI284" s="79">
        <f>IF(AH284="","","Follow up with "&amp;AA284&amp;": "&amp;AC284)</f>
        <v/>
      </c>
    </row>
    <row r="285" ht="20" customHeight="1">
      <c r="B285" s="72" t="n"/>
      <c r="C285" s="72" t="n"/>
      <c r="D285" s="72" t="n"/>
      <c r="E285" s="72" t="n"/>
      <c r="F285" s="72" t="n"/>
      <c r="G285" s="72" t="n"/>
      <c r="H285" s="72" t="n"/>
      <c r="I285" s="73" t="n"/>
      <c r="J285" s="75">
        <f>IF(B285="","",SUMIFS('Change Orders'!$J$7:$J$1006,'Change Orders'!$E$7:$E$1006,B285,'Change Orders'!$L$7:$L$1006,"Approved"))</f>
        <v/>
      </c>
      <c r="K285" s="76">
        <f>IF(B285="","",I285+J285)</f>
        <v/>
      </c>
      <c r="L285" s="74" t="n"/>
      <c r="M285" s="109" t="n"/>
      <c r="N285" s="109" t="n"/>
      <c r="O285" s="74" t="n"/>
      <c r="P285" s="74" t="n"/>
      <c r="Q285" s="100" t="n"/>
      <c r="R285" s="110" t="n"/>
      <c r="S285" s="75">
        <f>IF(B285="","",SUMIFS('Payments'!$N$6:$N$1005,'Payments'!$B$6:$B$1005,B285))</f>
        <v/>
      </c>
      <c r="T285" s="111">
        <f>IF(OR(B285="",K285=0),"",S285/K285)</f>
        <v/>
      </c>
      <c r="U285" s="78">
        <f>IF(V285="","",IF(V285=2,"⚠️ Paying ahead of work","✓ OK"))</f>
        <v/>
      </c>
      <c r="V285" s="79">
        <f>IF(T285="","",IF(T285-R285&gt;OverpayTol,2,0))</f>
        <v/>
      </c>
      <c r="W285" s="112">
        <f>IF(V285=2,AsOf,"")</f>
        <v/>
      </c>
      <c r="X285" s="79">
        <f>IF(W285="","",1)</f>
        <v/>
      </c>
      <c r="Y285" s="79">
        <f>IF(X285="","","Paying ahead of work: "&amp;B285&amp;" — paid "&amp;ROUND(T285*100,0)&amp;"%, work done "&amp;ROUND(R285*100,0)&amp;"%")</f>
        <v/>
      </c>
      <c r="AA285" s="72" t="n"/>
      <c r="AB285" s="109" t="n"/>
      <c r="AC285" s="113" t="n"/>
      <c r="AD285" s="74" t="n"/>
      <c r="AE285" s="109" t="n"/>
      <c r="AF285" s="74" t="n"/>
      <c r="AG285" s="112">
        <f>IF(AND(AA285&lt;&gt;"",AD285="Yes",AF285&lt;&gt;"Yes",AE285&lt;&gt;""),AE285,"")</f>
        <v/>
      </c>
      <c r="AH285" s="79">
        <f>IF(AG285="","",IF(AG285&lt;AsOf,1,IF(AG285&lt;=AsOf+AlertDays,2,IF(AG285&lt;=AsOf+2*AlertDays,3,""))))</f>
        <v/>
      </c>
      <c r="AI285" s="79">
        <f>IF(AH285="","","Follow up with "&amp;AA285&amp;": "&amp;AC285)</f>
        <v/>
      </c>
    </row>
    <row r="286" ht="20" customHeight="1">
      <c r="B286" s="72" t="n"/>
      <c r="C286" s="72" t="n"/>
      <c r="D286" s="72" t="n"/>
      <c r="E286" s="72" t="n"/>
      <c r="F286" s="72" t="n"/>
      <c r="G286" s="72" t="n"/>
      <c r="H286" s="72" t="n"/>
      <c r="I286" s="73" t="n"/>
      <c r="J286" s="75">
        <f>IF(B286="","",SUMIFS('Change Orders'!$J$7:$J$1006,'Change Orders'!$E$7:$E$1006,B286,'Change Orders'!$L$7:$L$1006,"Approved"))</f>
        <v/>
      </c>
      <c r="K286" s="76">
        <f>IF(B286="","",I286+J286)</f>
        <v/>
      </c>
      <c r="L286" s="74" t="n"/>
      <c r="M286" s="109" t="n"/>
      <c r="N286" s="109" t="n"/>
      <c r="O286" s="74" t="n"/>
      <c r="P286" s="74" t="n"/>
      <c r="Q286" s="100" t="n"/>
      <c r="R286" s="110" t="n"/>
      <c r="S286" s="75">
        <f>IF(B286="","",SUMIFS('Payments'!$N$6:$N$1005,'Payments'!$B$6:$B$1005,B286))</f>
        <v/>
      </c>
      <c r="T286" s="111">
        <f>IF(OR(B286="",K286=0),"",S286/K286)</f>
        <v/>
      </c>
      <c r="U286" s="78">
        <f>IF(V286="","",IF(V286=2,"⚠️ Paying ahead of work","✓ OK"))</f>
        <v/>
      </c>
      <c r="V286" s="79">
        <f>IF(T286="","",IF(T286-R286&gt;OverpayTol,2,0))</f>
        <v/>
      </c>
      <c r="W286" s="112">
        <f>IF(V286=2,AsOf,"")</f>
        <v/>
      </c>
      <c r="X286" s="79">
        <f>IF(W286="","",1)</f>
        <v/>
      </c>
      <c r="Y286" s="79">
        <f>IF(X286="","","Paying ahead of work: "&amp;B286&amp;" — paid "&amp;ROUND(T286*100,0)&amp;"%, work done "&amp;ROUND(R286*100,0)&amp;"%")</f>
        <v/>
      </c>
      <c r="AA286" s="72" t="n"/>
      <c r="AB286" s="109" t="n"/>
      <c r="AC286" s="113" t="n"/>
      <c r="AD286" s="74" t="n"/>
      <c r="AE286" s="109" t="n"/>
      <c r="AF286" s="74" t="n"/>
      <c r="AG286" s="112">
        <f>IF(AND(AA286&lt;&gt;"",AD286="Yes",AF286&lt;&gt;"Yes",AE286&lt;&gt;""),AE286,"")</f>
        <v/>
      </c>
      <c r="AH286" s="79">
        <f>IF(AG286="","",IF(AG286&lt;AsOf,1,IF(AG286&lt;=AsOf+AlertDays,2,IF(AG286&lt;=AsOf+2*AlertDays,3,""))))</f>
        <v/>
      </c>
      <c r="AI286" s="79">
        <f>IF(AH286="","","Follow up with "&amp;AA286&amp;": "&amp;AC286)</f>
        <v/>
      </c>
    </row>
    <row r="287" ht="20" customHeight="1">
      <c r="B287" s="72" t="n"/>
      <c r="C287" s="72" t="n"/>
      <c r="D287" s="72" t="n"/>
      <c r="E287" s="72" t="n"/>
      <c r="F287" s="72" t="n"/>
      <c r="G287" s="72" t="n"/>
      <c r="H287" s="72" t="n"/>
      <c r="I287" s="73" t="n"/>
      <c r="J287" s="75">
        <f>IF(B287="","",SUMIFS('Change Orders'!$J$7:$J$1006,'Change Orders'!$E$7:$E$1006,B287,'Change Orders'!$L$7:$L$1006,"Approved"))</f>
        <v/>
      </c>
      <c r="K287" s="76">
        <f>IF(B287="","",I287+J287)</f>
        <v/>
      </c>
      <c r="L287" s="74" t="n"/>
      <c r="M287" s="109" t="n"/>
      <c r="N287" s="109" t="n"/>
      <c r="O287" s="74" t="n"/>
      <c r="P287" s="74" t="n"/>
      <c r="Q287" s="100" t="n"/>
      <c r="R287" s="110" t="n"/>
      <c r="S287" s="75">
        <f>IF(B287="","",SUMIFS('Payments'!$N$6:$N$1005,'Payments'!$B$6:$B$1005,B287))</f>
        <v/>
      </c>
      <c r="T287" s="111">
        <f>IF(OR(B287="",K287=0),"",S287/K287)</f>
        <v/>
      </c>
      <c r="U287" s="78">
        <f>IF(V287="","",IF(V287=2,"⚠️ Paying ahead of work","✓ OK"))</f>
        <v/>
      </c>
      <c r="V287" s="79">
        <f>IF(T287="","",IF(T287-R287&gt;OverpayTol,2,0))</f>
        <v/>
      </c>
      <c r="W287" s="112">
        <f>IF(V287=2,AsOf,"")</f>
        <v/>
      </c>
      <c r="X287" s="79">
        <f>IF(W287="","",1)</f>
        <v/>
      </c>
      <c r="Y287" s="79">
        <f>IF(X287="","","Paying ahead of work: "&amp;B287&amp;" — paid "&amp;ROUND(T287*100,0)&amp;"%, work done "&amp;ROUND(R287*100,0)&amp;"%")</f>
        <v/>
      </c>
      <c r="AA287" s="72" t="n"/>
      <c r="AB287" s="109" t="n"/>
      <c r="AC287" s="113" t="n"/>
      <c r="AD287" s="74" t="n"/>
      <c r="AE287" s="109" t="n"/>
      <c r="AF287" s="74" t="n"/>
      <c r="AG287" s="112">
        <f>IF(AND(AA287&lt;&gt;"",AD287="Yes",AF287&lt;&gt;"Yes",AE287&lt;&gt;""),AE287,"")</f>
        <v/>
      </c>
      <c r="AH287" s="79">
        <f>IF(AG287="","",IF(AG287&lt;AsOf,1,IF(AG287&lt;=AsOf+AlertDays,2,IF(AG287&lt;=AsOf+2*AlertDays,3,""))))</f>
        <v/>
      </c>
      <c r="AI287" s="79">
        <f>IF(AH287="","","Follow up with "&amp;AA287&amp;": "&amp;AC287)</f>
        <v/>
      </c>
    </row>
    <row r="288" ht="20" customHeight="1">
      <c r="B288" s="72" t="n"/>
      <c r="C288" s="72" t="n"/>
      <c r="D288" s="72" t="n"/>
      <c r="E288" s="72" t="n"/>
      <c r="F288" s="72" t="n"/>
      <c r="G288" s="72" t="n"/>
      <c r="H288" s="72" t="n"/>
      <c r="I288" s="73" t="n"/>
      <c r="J288" s="75">
        <f>IF(B288="","",SUMIFS('Change Orders'!$J$7:$J$1006,'Change Orders'!$E$7:$E$1006,B288,'Change Orders'!$L$7:$L$1006,"Approved"))</f>
        <v/>
      </c>
      <c r="K288" s="76">
        <f>IF(B288="","",I288+J288)</f>
        <v/>
      </c>
      <c r="L288" s="74" t="n"/>
      <c r="M288" s="109" t="n"/>
      <c r="N288" s="109" t="n"/>
      <c r="O288" s="74" t="n"/>
      <c r="P288" s="74" t="n"/>
      <c r="Q288" s="100" t="n"/>
      <c r="R288" s="110" t="n"/>
      <c r="S288" s="75">
        <f>IF(B288="","",SUMIFS('Payments'!$N$6:$N$1005,'Payments'!$B$6:$B$1005,B288))</f>
        <v/>
      </c>
      <c r="T288" s="111">
        <f>IF(OR(B288="",K288=0),"",S288/K288)</f>
        <v/>
      </c>
      <c r="U288" s="78">
        <f>IF(V288="","",IF(V288=2,"⚠️ Paying ahead of work","✓ OK"))</f>
        <v/>
      </c>
      <c r="V288" s="79">
        <f>IF(T288="","",IF(T288-R288&gt;OverpayTol,2,0))</f>
        <v/>
      </c>
      <c r="W288" s="112">
        <f>IF(V288=2,AsOf,"")</f>
        <v/>
      </c>
      <c r="X288" s="79">
        <f>IF(W288="","",1)</f>
        <v/>
      </c>
      <c r="Y288" s="79">
        <f>IF(X288="","","Paying ahead of work: "&amp;B288&amp;" — paid "&amp;ROUND(T288*100,0)&amp;"%, work done "&amp;ROUND(R288*100,0)&amp;"%")</f>
        <v/>
      </c>
      <c r="AA288" s="72" t="n"/>
      <c r="AB288" s="109" t="n"/>
      <c r="AC288" s="113" t="n"/>
      <c r="AD288" s="74" t="n"/>
      <c r="AE288" s="109" t="n"/>
      <c r="AF288" s="74" t="n"/>
      <c r="AG288" s="112">
        <f>IF(AND(AA288&lt;&gt;"",AD288="Yes",AF288&lt;&gt;"Yes",AE288&lt;&gt;""),AE288,"")</f>
        <v/>
      </c>
      <c r="AH288" s="79">
        <f>IF(AG288="","",IF(AG288&lt;AsOf,1,IF(AG288&lt;=AsOf+AlertDays,2,IF(AG288&lt;=AsOf+2*AlertDays,3,""))))</f>
        <v/>
      </c>
      <c r="AI288" s="79">
        <f>IF(AH288="","","Follow up with "&amp;AA288&amp;": "&amp;AC288)</f>
        <v/>
      </c>
    </row>
    <row r="289" ht="20" customHeight="1">
      <c r="B289" s="72" t="n"/>
      <c r="C289" s="72" t="n"/>
      <c r="D289" s="72" t="n"/>
      <c r="E289" s="72" t="n"/>
      <c r="F289" s="72" t="n"/>
      <c r="G289" s="72" t="n"/>
      <c r="H289" s="72" t="n"/>
      <c r="I289" s="73" t="n"/>
      <c r="J289" s="75">
        <f>IF(B289="","",SUMIFS('Change Orders'!$J$7:$J$1006,'Change Orders'!$E$7:$E$1006,B289,'Change Orders'!$L$7:$L$1006,"Approved"))</f>
        <v/>
      </c>
      <c r="K289" s="76">
        <f>IF(B289="","",I289+J289)</f>
        <v/>
      </c>
      <c r="L289" s="74" t="n"/>
      <c r="M289" s="109" t="n"/>
      <c r="N289" s="109" t="n"/>
      <c r="O289" s="74" t="n"/>
      <c r="P289" s="74" t="n"/>
      <c r="Q289" s="100" t="n"/>
      <c r="R289" s="110" t="n"/>
      <c r="S289" s="75">
        <f>IF(B289="","",SUMIFS('Payments'!$N$6:$N$1005,'Payments'!$B$6:$B$1005,B289))</f>
        <v/>
      </c>
      <c r="T289" s="111">
        <f>IF(OR(B289="",K289=0),"",S289/K289)</f>
        <v/>
      </c>
      <c r="U289" s="78">
        <f>IF(V289="","",IF(V289=2,"⚠️ Paying ahead of work","✓ OK"))</f>
        <v/>
      </c>
      <c r="V289" s="79">
        <f>IF(T289="","",IF(T289-R289&gt;OverpayTol,2,0))</f>
        <v/>
      </c>
      <c r="W289" s="112">
        <f>IF(V289=2,AsOf,"")</f>
        <v/>
      </c>
      <c r="X289" s="79">
        <f>IF(W289="","",1)</f>
        <v/>
      </c>
      <c r="Y289" s="79">
        <f>IF(X289="","","Paying ahead of work: "&amp;B289&amp;" — paid "&amp;ROUND(T289*100,0)&amp;"%, work done "&amp;ROUND(R289*100,0)&amp;"%")</f>
        <v/>
      </c>
      <c r="AA289" s="72" t="n"/>
      <c r="AB289" s="109" t="n"/>
      <c r="AC289" s="113" t="n"/>
      <c r="AD289" s="74" t="n"/>
      <c r="AE289" s="109" t="n"/>
      <c r="AF289" s="74" t="n"/>
      <c r="AG289" s="112">
        <f>IF(AND(AA289&lt;&gt;"",AD289="Yes",AF289&lt;&gt;"Yes",AE289&lt;&gt;""),AE289,"")</f>
        <v/>
      </c>
      <c r="AH289" s="79">
        <f>IF(AG289="","",IF(AG289&lt;AsOf,1,IF(AG289&lt;=AsOf+AlertDays,2,IF(AG289&lt;=AsOf+2*AlertDays,3,""))))</f>
        <v/>
      </c>
      <c r="AI289" s="79">
        <f>IF(AH289="","","Follow up with "&amp;AA289&amp;": "&amp;AC289)</f>
        <v/>
      </c>
    </row>
    <row r="290" ht="20" customHeight="1">
      <c r="B290" s="72" t="n"/>
      <c r="C290" s="72" t="n"/>
      <c r="D290" s="72" t="n"/>
      <c r="E290" s="72" t="n"/>
      <c r="F290" s="72" t="n"/>
      <c r="G290" s="72" t="n"/>
      <c r="H290" s="72" t="n"/>
      <c r="I290" s="73" t="n"/>
      <c r="J290" s="75">
        <f>IF(B290="","",SUMIFS('Change Orders'!$J$7:$J$1006,'Change Orders'!$E$7:$E$1006,B290,'Change Orders'!$L$7:$L$1006,"Approved"))</f>
        <v/>
      </c>
      <c r="K290" s="76">
        <f>IF(B290="","",I290+J290)</f>
        <v/>
      </c>
      <c r="L290" s="74" t="n"/>
      <c r="M290" s="109" t="n"/>
      <c r="N290" s="109" t="n"/>
      <c r="O290" s="74" t="n"/>
      <c r="P290" s="74" t="n"/>
      <c r="Q290" s="100" t="n"/>
      <c r="R290" s="110" t="n"/>
      <c r="S290" s="75">
        <f>IF(B290="","",SUMIFS('Payments'!$N$6:$N$1005,'Payments'!$B$6:$B$1005,B290))</f>
        <v/>
      </c>
      <c r="T290" s="111">
        <f>IF(OR(B290="",K290=0),"",S290/K290)</f>
        <v/>
      </c>
      <c r="U290" s="78">
        <f>IF(V290="","",IF(V290=2,"⚠️ Paying ahead of work","✓ OK"))</f>
        <v/>
      </c>
      <c r="V290" s="79">
        <f>IF(T290="","",IF(T290-R290&gt;OverpayTol,2,0))</f>
        <v/>
      </c>
      <c r="W290" s="112">
        <f>IF(V290=2,AsOf,"")</f>
        <v/>
      </c>
      <c r="X290" s="79">
        <f>IF(W290="","",1)</f>
        <v/>
      </c>
      <c r="Y290" s="79">
        <f>IF(X290="","","Paying ahead of work: "&amp;B290&amp;" — paid "&amp;ROUND(T290*100,0)&amp;"%, work done "&amp;ROUND(R290*100,0)&amp;"%")</f>
        <v/>
      </c>
      <c r="AA290" s="72" t="n"/>
      <c r="AB290" s="109" t="n"/>
      <c r="AC290" s="113" t="n"/>
      <c r="AD290" s="74" t="n"/>
      <c r="AE290" s="109" t="n"/>
      <c r="AF290" s="74" t="n"/>
      <c r="AG290" s="112">
        <f>IF(AND(AA290&lt;&gt;"",AD290="Yes",AF290&lt;&gt;"Yes",AE290&lt;&gt;""),AE290,"")</f>
        <v/>
      </c>
      <c r="AH290" s="79">
        <f>IF(AG290="","",IF(AG290&lt;AsOf,1,IF(AG290&lt;=AsOf+AlertDays,2,IF(AG290&lt;=AsOf+2*AlertDays,3,""))))</f>
        <v/>
      </c>
      <c r="AI290" s="79">
        <f>IF(AH290="","","Follow up with "&amp;AA290&amp;": "&amp;AC290)</f>
        <v/>
      </c>
    </row>
    <row r="291" ht="20" customHeight="1">
      <c r="B291" s="72" t="n"/>
      <c r="C291" s="72" t="n"/>
      <c r="D291" s="72" t="n"/>
      <c r="E291" s="72" t="n"/>
      <c r="F291" s="72" t="n"/>
      <c r="G291" s="72" t="n"/>
      <c r="H291" s="72" t="n"/>
      <c r="I291" s="73" t="n"/>
      <c r="J291" s="75">
        <f>IF(B291="","",SUMIFS('Change Orders'!$J$7:$J$1006,'Change Orders'!$E$7:$E$1006,B291,'Change Orders'!$L$7:$L$1006,"Approved"))</f>
        <v/>
      </c>
      <c r="K291" s="76">
        <f>IF(B291="","",I291+J291)</f>
        <v/>
      </c>
      <c r="L291" s="74" t="n"/>
      <c r="M291" s="109" t="n"/>
      <c r="N291" s="109" t="n"/>
      <c r="O291" s="74" t="n"/>
      <c r="P291" s="74" t="n"/>
      <c r="Q291" s="100" t="n"/>
      <c r="R291" s="110" t="n"/>
      <c r="S291" s="75">
        <f>IF(B291="","",SUMIFS('Payments'!$N$6:$N$1005,'Payments'!$B$6:$B$1005,B291))</f>
        <v/>
      </c>
      <c r="T291" s="111">
        <f>IF(OR(B291="",K291=0),"",S291/K291)</f>
        <v/>
      </c>
      <c r="U291" s="78">
        <f>IF(V291="","",IF(V291=2,"⚠️ Paying ahead of work","✓ OK"))</f>
        <v/>
      </c>
      <c r="V291" s="79">
        <f>IF(T291="","",IF(T291-R291&gt;OverpayTol,2,0))</f>
        <v/>
      </c>
      <c r="W291" s="112">
        <f>IF(V291=2,AsOf,"")</f>
        <v/>
      </c>
      <c r="X291" s="79">
        <f>IF(W291="","",1)</f>
        <v/>
      </c>
      <c r="Y291" s="79">
        <f>IF(X291="","","Paying ahead of work: "&amp;B291&amp;" — paid "&amp;ROUND(T291*100,0)&amp;"%, work done "&amp;ROUND(R291*100,0)&amp;"%")</f>
        <v/>
      </c>
      <c r="AA291" s="72" t="n"/>
      <c r="AB291" s="109" t="n"/>
      <c r="AC291" s="113" t="n"/>
      <c r="AD291" s="74" t="n"/>
      <c r="AE291" s="109" t="n"/>
      <c r="AF291" s="74" t="n"/>
      <c r="AG291" s="112">
        <f>IF(AND(AA291&lt;&gt;"",AD291="Yes",AF291&lt;&gt;"Yes",AE291&lt;&gt;""),AE291,"")</f>
        <v/>
      </c>
      <c r="AH291" s="79">
        <f>IF(AG291="","",IF(AG291&lt;AsOf,1,IF(AG291&lt;=AsOf+AlertDays,2,IF(AG291&lt;=AsOf+2*AlertDays,3,""))))</f>
        <v/>
      </c>
      <c r="AI291" s="79">
        <f>IF(AH291="","","Follow up with "&amp;AA291&amp;": "&amp;AC291)</f>
        <v/>
      </c>
    </row>
    <row r="292" ht="20" customHeight="1">
      <c r="B292" s="72" t="n"/>
      <c r="C292" s="72" t="n"/>
      <c r="D292" s="72" t="n"/>
      <c r="E292" s="72" t="n"/>
      <c r="F292" s="72" t="n"/>
      <c r="G292" s="72" t="n"/>
      <c r="H292" s="72" t="n"/>
      <c r="I292" s="73" t="n"/>
      <c r="J292" s="75">
        <f>IF(B292="","",SUMIFS('Change Orders'!$J$7:$J$1006,'Change Orders'!$E$7:$E$1006,B292,'Change Orders'!$L$7:$L$1006,"Approved"))</f>
        <v/>
      </c>
      <c r="K292" s="76">
        <f>IF(B292="","",I292+J292)</f>
        <v/>
      </c>
      <c r="L292" s="74" t="n"/>
      <c r="M292" s="109" t="n"/>
      <c r="N292" s="109" t="n"/>
      <c r="O292" s="74" t="n"/>
      <c r="P292" s="74" t="n"/>
      <c r="Q292" s="100" t="n"/>
      <c r="R292" s="110" t="n"/>
      <c r="S292" s="75">
        <f>IF(B292="","",SUMIFS('Payments'!$N$6:$N$1005,'Payments'!$B$6:$B$1005,B292))</f>
        <v/>
      </c>
      <c r="T292" s="111">
        <f>IF(OR(B292="",K292=0),"",S292/K292)</f>
        <v/>
      </c>
      <c r="U292" s="78">
        <f>IF(V292="","",IF(V292=2,"⚠️ Paying ahead of work","✓ OK"))</f>
        <v/>
      </c>
      <c r="V292" s="79">
        <f>IF(T292="","",IF(T292-R292&gt;OverpayTol,2,0))</f>
        <v/>
      </c>
      <c r="W292" s="112">
        <f>IF(V292=2,AsOf,"")</f>
        <v/>
      </c>
      <c r="X292" s="79">
        <f>IF(W292="","",1)</f>
        <v/>
      </c>
      <c r="Y292" s="79">
        <f>IF(X292="","","Paying ahead of work: "&amp;B292&amp;" — paid "&amp;ROUND(T292*100,0)&amp;"%, work done "&amp;ROUND(R292*100,0)&amp;"%")</f>
        <v/>
      </c>
      <c r="AA292" s="72" t="n"/>
      <c r="AB292" s="109" t="n"/>
      <c r="AC292" s="113" t="n"/>
      <c r="AD292" s="74" t="n"/>
      <c r="AE292" s="109" t="n"/>
      <c r="AF292" s="74" t="n"/>
      <c r="AG292" s="112">
        <f>IF(AND(AA292&lt;&gt;"",AD292="Yes",AF292&lt;&gt;"Yes",AE292&lt;&gt;""),AE292,"")</f>
        <v/>
      </c>
      <c r="AH292" s="79">
        <f>IF(AG292="","",IF(AG292&lt;AsOf,1,IF(AG292&lt;=AsOf+AlertDays,2,IF(AG292&lt;=AsOf+2*AlertDays,3,""))))</f>
        <v/>
      </c>
      <c r="AI292" s="79">
        <f>IF(AH292="","","Follow up with "&amp;AA292&amp;": "&amp;AC292)</f>
        <v/>
      </c>
    </row>
    <row r="293" ht="20" customHeight="1">
      <c r="B293" s="72" t="n"/>
      <c r="C293" s="72" t="n"/>
      <c r="D293" s="72" t="n"/>
      <c r="E293" s="72" t="n"/>
      <c r="F293" s="72" t="n"/>
      <c r="G293" s="72" t="n"/>
      <c r="H293" s="72" t="n"/>
      <c r="I293" s="73" t="n"/>
      <c r="J293" s="75">
        <f>IF(B293="","",SUMIFS('Change Orders'!$J$7:$J$1006,'Change Orders'!$E$7:$E$1006,B293,'Change Orders'!$L$7:$L$1006,"Approved"))</f>
        <v/>
      </c>
      <c r="K293" s="76">
        <f>IF(B293="","",I293+J293)</f>
        <v/>
      </c>
      <c r="L293" s="74" t="n"/>
      <c r="M293" s="109" t="n"/>
      <c r="N293" s="109" t="n"/>
      <c r="O293" s="74" t="n"/>
      <c r="P293" s="74" t="n"/>
      <c r="Q293" s="100" t="n"/>
      <c r="R293" s="110" t="n"/>
      <c r="S293" s="75">
        <f>IF(B293="","",SUMIFS('Payments'!$N$6:$N$1005,'Payments'!$B$6:$B$1005,B293))</f>
        <v/>
      </c>
      <c r="T293" s="111">
        <f>IF(OR(B293="",K293=0),"",S293/K293)</f>
        <v/>
      </c>
      <c r="U293" s="78">
        <f>IF(V293="","",IF(V293=2,"⚠️ Paying ahead of work","✓ OK"))</f>
        <v/>
      </c>
      <c r="V293" s="79">
        <f>IF(T293="","",IF(T293-R293&gt;OverpayTol,2,0))</f>
        <v/>
      </c>
      <c r="W293" s="112">
        <f>IF(V293=2,AsOf,"")</f>
        <v/>
      </c>
      <c r="X293" s="79">
        <f>IF(W293="","",1)</f>
        <v/>
      </c>
      <c r="Y293" s="79">
        <f>IF(X293="","","Paying ahead of work: "&amp;B293&amp;" — paid "&amp;ROUND(T293*100,0)&amp;"%, work done "&amp;ROUND(R293*100,0)&amp;"%")</f>
        <v/>
      </c>
      <c r="AA293" s="72" t="n"/>
      <c r="AB293" s="109" t="n"/>
      <c r="AC293" s="113" t="n"/>
      <c r="AD293" s="74" t="n"/>
      <c r="AE293" s="109" t="n"/>
      <c r="AF293" s="74" t="n"/>
      <c r="AG293" s="112">
        <f>IF(AND(AA293&lt;&gt;"",AD293="Yes",AF293&lt;&gt;"Yes",AE293&lt;&gt;""),AE293,"")</f>
        <v/>
      </c>
      <c r="AH293" s="79">
        <f>IF(AG293="","",IF(AG293&lt;AsOf,1,IF(AG293&lt;=AsOf+AlertDays,2,IF(AG293&lt;=AsOf+2*AlertDays,3,""))))</f>
        <v/>
      </c>
      <c r="AI293" s="79">
        <f>IF(AH293="","","Follow up with "&amp;AA293&amp;": "&amp;AC293)</f>
        <v/>
      </c>
    </row>
    <row r="294" ht="20" customHeight="1">
      <c r="B294" s="72" t="n"/>
      <c r="C294" s="72" t="n"/>
      <c r="D294" s="72" t="n"/>
      <c r="E294" s="72" t="n"/>
      <c r="F294" s="72" t="n"/>
      <c r="G294" s="72" t="n"/>
      <c r="H294" s="72" t="n"/>
      <c r="I294" s="73" t="n"/>
      <c r="J294" s="75">
        <f>IF(B294="","",SUMIFS('Change Orders'!$J$7:$J$1006,'Change Orders'!$E$7:$E$1006,B294,'Change Orders'!$L$7:$L$1006,"Approved"))</f>
        <v/>
      </c>
      <c r="K294" s="76">
        <f>IF(B294="","",I294+J294)</f>
        <v/>
      </c>
      <c r="L294" s="74" t="n"/>
      <c r="M294" s="109" t="n"/>
      <c r="N294" s="109" t="n"/>
      <c r="O294" s="74" t="n"/>
      <c r="P294" s="74" t="n"/>
      <c r="Q294" s="100" t="n"/>
      <c r="R294" s="110" t="n"/>
      <c r="S294" s="75">
        <f>IF(B294="","",SUMIFS('Payments'!$N$6:$N$1005,'Payments'!$B$6:$B$1005,B294))</f>
        <v/>
      </c>
      <c r="T294" s="111">
        <f>IF(OR(B294="",K294=0),"",S294/K294)</f>
        <v/>
      </c>
      <c r="U294" s="78">
        <f>IF(V294="","",IF(V294=2,"⚠️ Paying ahead of work","✓ OK"))</f>
        <v/>
      </c>
      <c r="V294" s="79">
        <f>IF(T294="","",IF(T294-R294&gt;OverpayTol,2,0))</f>
        <v/>
      </c>
      <c r="W294" s="112">
        <f>IF(V294=2,AsOf,"")</f>
        <v/>
      </c>
      <c r="X294" s="79">
        <f>IF(W294="","",1)</f>
        <v/>
      </c>
      <c r="Y294" s="79">
        <f>IF(X294="","","Paying ahead of work: "&amp;B294&amp;" — paid "&amp;ROUND(T294*100,0)&amp;"%, work done "&amp;ROUND(R294*100,0)&amp;"%")</f>
        <v/>
      </c>
      <c r="AA294" s="72" t="n"/>
      <c r="AB294" s="109" t="n"/>
      <c r="AC294" s="113" t="n"/>
      <c r="AD294" s="74" t="n"/>
      <c r="AE294" s="109" t="n"/>
      <c r="AF294" s="74" t="n"/>
      <c r="AG294" s="112">
        <f>IF(AND(AA294&lt;&gt;"",AD294="Yes",AF294&lt;&gt;"Yes",AE294&lt;&gt;""),AE294,"")</f>
        <v/>
      </c>
      <c r="AH294" s="79">
        <f>IF(AG294="","",IF(AG294&lt;AsOf,1,IF(AG294&lt;=AsOf+AlertDays,2,IF(AG294&lt;=AsOf+2*AlertDays,3,""))))</f>
        <v/>
      </c>
      <c r="AI294" s="79">
        <f>IF(AH294="","","Follow up with "&amp;AA294&amp;": "&amp;AC294)</f>
        <v/>
      </c>
    </row>
    <row r="295" ht="20" customHeight="1">
      <c r="B295" s="72" t="n"/>
      <c r="C295" s="72" t="n"/>
      <c r="D295" s="72" t="n"/>
      <c r="E295" s="72" t="n"/>
      <c r="F295" s="72" t="n"/>
      <c r="G295" s="72" t="n"/>
      <c r="H295" s="72" t="n"/>
      <c r="I295" s="73" t="n"/>
      <c r="J295" s="75">
        <f>IF(B295="","",SUMIFS('Change Orders'!$J$7:$J$1006,'Change Orders'!$E$7:$E$1006,B295,'Change Orders'!$L$7:$L$1006,"Approved"))</f>
        <v/>
      </c>
      <c r="K295" s="76">
        <f>IF(B295="","",I295+J295)</f>
        <v/>
      </c>
      <c r="L295" s="74" t="n"/>
      <c r="M295" s="109" t="n"/>
      <c r="N295" s="109" t="n"/>
      <c r="O295" s="74" t="n"/>
      <c r="P295" s="74" t="n"/>
      <c r="Q295" s="100" t="n"/>
      <c r="R295" s="110" t="n"/>
      <c r="S295" s="75">
        <f>IF(B295="","",SUMIFS('Payments'!$N$6:$N$1005,'Payments'!$B$6:$B$1005,B295))</f>
        <v/>
      </c>
      <c r="T295" s="111">
        <f>IF(OR(B295="",K295=0),"",S295/K295)</f>
        <v/>
      </c>
      <c r="U295" s="78">
        <f>IF(V295="","",IF(V295=2,"⚠️ Paying ahead of work","✓ OK"))</f>
        <v/>
      </c>
      <c r="V295" s="79">
        <f>IF(T295="","",IF(T295-R295&gt;OverpayTol,2,0))</f>
        <v/>
      </c>
      <c r="W295" s="112">
        <f>IF(V295=2,AsOf,"")</f>
        <v/>
      </c>
      <c r="X295" s="79">
        <f>IF(W295="","",1)</f>
        <v/>
      </c>
      <c r="Y295" s="79">
        <f>IF(X295="","","Paying ahead of work: "&amp;B295&amp;" — paid "&amp;ROUND(T295*100,0)&amp;"%, work done "&amp;ROUND(R295*100,0)&amp;"%")</f>
        <v/>
      </c>
      <c r="AA295" s="72" t="n"/>
      <c r="AB295" s="109" t="n"/>
      <c r="AC295" s="113" t="n"/>
      <c r="AD295" s="74" t="n"/>
      <c r="AE295" s="109" t="n"/>
      <c r="AF295" s="74" t="n"/>
      <c r="AG295" s="112">
        <f>IF(AND(AA295&lt;&gt;"",AD295="Yes",AF295&lt;&gt;"Yes",AE295&lt;&gt;""),AE295,"")</f>
        <v/>
      </c>
      <c r="AH295" s="79">
        <f>IF(AG295="","",IF(AG295&lt;AsOf,1,IF(AG295&lt;=AsOf+AlertDays,2,IF(AG295&lt;=AsOf+2*AlertDays,3,""))))</f>
        <v/>
      </c>
      <c r="AI295" s="79">
        <f>IF(AH295="","","Follow up with "&amp;AA295&amp;": "&amp;AC295)</f>
        <v/>
      </c>
    </row>
    <row r="296" ht="20" customHeight="1">
      <c r="B296" s="72" t="n"/>
      <c r="C296" s="72" t="n"/>
      <c r="D296" s="72" t="n"/>
      <c r="E296" s="72" t="n"/>
      <c r="F296" s="72" t="n"/>
      <c r="G296" s="72" t="n"/>
      <c r="H296" s="72" t="n"/>
      <c r="I296" s="73" t="n"/>
      <c r="J296" s="75">
        <f>IF(B296="","",SUMIFS('Change Orders'!$J$7:$J$1006,'Change Orders'!$E$7:$E$1006,B296,'Change Orders'!$L$7:$L$1006,"Approved"))</f>
        <v/>
      </c>
      <c r="K296" s="76">
        <f>IF(B296="","",I296+J296)</f>
        <v/>
      </c>
      <c r="L296" s="74" t="n"/>
      <c r="M296" s="109" t="n"/>
      <c r="N296" s="109" t="n"/>
      <c r="O296" s="74" t="n"/>
      <c r="P296" s="74" t="n"/>
      <c r="Q296" s="100" t="n"/>
      <c r="R296" s="110" t="n"/>
      <c r="S296" s="75">
        <f>IF(B296="","",SUMIFS('Payments'!$N$6:$N$1005,'Payments'!$B$6:$B$1005,B296))</f>
        <v/>
      </c>
      <c r="T296" s="111">
        <f>IF(OR(B296="",K296=0),"",S296/K296)</f>
        <v/>
      </c>
      <c r="U296" s="78">
        <f>IF(V296="","",IF(V296=2,"⚠️ Paying ahead of work","✓ OK"))</f>
        <v/>
      </c>
      <c r="V296" s="79">
        <f>IF(T296="","",IF(T296-R296&gt;OverpayTol,2,0))</f>
        <v/>
      </c>
      <c r="W296" s="112">
        <f>IF(V296=2,AsOf,"")</f>
        <v/>
      </c>
      <c r="X296" s="79">
        <f>IF(W296="","",1)</f>
        <v/>
      </c>
      <c r="Y296" s="79">
        <f>IF(X296="","","Paying ahead of work: "&amp;B296&amp;" — paid "&amp;ROUND(T296*100,0)&amp;"%, work done "&amp;ROUND(R296*100,0)&amp;"%")</f>
        <v/>
      </c>
      <c r="AA296" s="72" t="n"/>
      <c r="AB296" s="109" t="n"/>
      <c r="AC296" s="113" t="n"/>
      <c r="AD296" s="74" t="n"/>
      <c r="AE296" s="109" t="n"/>
      <c r="AF296" s="74" t="n"/>
      <c r="AG296" s="112">
        <f>IF(AND(AA296&lt;&gt;"",AD296="Yes",AF296&lt;&gt;"Yes",AE296&lt;&gt;""),AE296,"")</f>
        <v/>
      </c>
      <c r="AH296" s="79">
        <f>IF(AG296="","",IF(AG296&lt;AsOf,1,IF(AG296&lt;=AsOf+AlertDays,2,IF(AG296&lt;=AsOf+2*AlertDays,3,""))))</f>
        <v/>
      </c>
      <c r="AI296" s="79">
        <f>IF(AH296="","","Follow up with "&amp;AA296&amp;": "&amp;AC296)</f>
        <v/>
      </c>
    </row>
    <row r="297" ht="20" customHeight="1">
      <c r="B297" s="72" t="n"/>
      <c r="C297" s="72" t="n"/>
      <c r="D297" s="72" t="n"/>
      <c r="E297" s="72" t="n"/>
      <c r="F297" s="72" t="n"/>
      <c r="G297" s="72" t="n"/>
      <c r="H297" s="72" t="n"/>
      <c r="I297" s="73" t="n"/>
      <c r="J297" s="75">
        <f>IF(B297="","",SUMIFS('Change Orders'!$J$7:$J$1006,'Change Orders'!$E$7:$E$1006,B297,'Change Orders'!$L$7:$L$1006,"Approved"))</f>
        <v/>
      </c>
      <c r="K297" s="76">
        <f>IF(B297="","",I297+J297)</f>
        <v/>
      </c>
      <c r="L297" s="74" t="n"/>
      <c r="M297" s="109" t="n"/>
      <c r="N297" s="109" t="n"/>
      <c r="O297" s="74" t="n"/>
      <c r="P297" s="74" t="n"/>
      <c r="Q297" s="100" t="n"/>
      <c r="R297" s="110" t="n"/>
      <c r="S297" s="75">
        <f>IF(B297="","",SUMIFS('Payments'!$N$6:$N$1005,'Payments'!$B$6:$B$1005,B297))</f>
        <v/>
      </c>
      <c r="T297" s="111">
        <f>IF(OR(B297="",K297=0),"",S297/K297)</f>
        <v/>
      </c>
      <c r="U297" s="78">
        <f>IF(V297="","",IF(V297=2,"⚠️ Paying ahead of work","✓ OK"))</f>
        <v/>
      </c>
      <c r="V297" s="79">
        <f>IF(T297="","",IF(T297-R297&gt;OverpayTol,2,0))</f>
        <v/>
      </c>
      <c r="W297" s="112">
        <f>IF(V297=2,AsOf,"")</f>
        <v/>
      </c>
      <c r="X297" s="79">
        <f>IF(W297="","",1)</f>
        <v/>
      </c>
      <c r="Y297" s="79">
        <f>IF(X297="","","Paying ahead of work: "&amp;B297&amp;" — paid "&amp;ROUND(T297*100,0)&amp;"%, work done "&amp;ROUND(R297*100,0)&amp;"%")</f>
        <v/>
      </c>
      <c r="AA297" s="72" t="n"/>
      <c r="AB297" s="109" t="n"/>
      <c r="AC297" s="113" t="n"/>
      <c r="AD297" s="74" t="n"/>
      <c r="AE297" s="109" t="n"/>
      <c r="AF297" s="74" t="n"/>
      <c r="AG297" s="112">
        <f>IF(AND(AA297&lt;&gt;"",AD297="Yes",AF297&lt;&gt;"Yes",AE297&lt;&gt;""),AE297,"")</f>
        <v/>
      </c>
      <c r="AH297" s="79">
        <f>IF(AG297="","",IF(AG297&lt;AsOf,1,IF(AG297&lt;=AsOf+AlertDays,2,IF(AG297&lt;=AsOf+2*AlertDays,3,""))))</f>
        <v/>
      </c>
      <c r="AI297" s="79">
        <f>IF(AH297="","","Follow up with "&amp;AA297&amp;": "&amp;AC297)</f>
        <v/>
      </c>
    </row>
    <row r="298" ht="20" customHeight="1">
      <c r="B298" s="72" t="n"/>
      <c r="C298" s="72" t="n"/>
      <c r="D298" s="72" t="n"/>
      <c r="E298" s="72" t="n"/>
      <c r="F298" s="72" t="n"/>
      <c r="G298" s="72" t="n"/>
      <c r="H298" s="72" t="n"/>
      <c r="I298" s="73" t="n"/>
      <c r="J298" s="75">
        <f>IF(B298="","",SUMIFS('Change Orders'!$J$7:$J$1006,'Change Orders'!$E$7:$E$1006,B298,'Change Orders'!$L$7:$L$1006,"Approved"))</f>
        <v/>
      </c>
      <c r="K298" s="76">
        <f>IF(B298="","",I298+J298)</f>
        <v/>
      </c>
      <c r="L298" s="74" t="n"/>
      <c r="M298" s="109" t="n"/>
      <c r="N298" s="109" t="n"/>
      <c r="O298" s="74" t="n"/>
      <c r="P298" s="74" t="n"/>
      <c r="Q298" s="100" t="n"/>
      <c r="R298" s="110" t="n"/>
      <c r="S298" s="75">
        <f>IF(B298="","",SUMIFS('Payments'!$N$6:$N$1005,'Payments'!$B$6:$B$1005,B298))</f>
        <v/>
      </c>
      <c r="T298" s="111">
        <f>IF(OR(B298="",K298=0),"",S298/K298)</f>
        <v/>
      </c>
      <c r="U298" s="78">
        <f>IF(V298="","",IF(V298=2,"⚠️ Paying ahead of work","✓ OK"))</f>
        <v/>
      </c>
      <c r="V298" s="79">
        <f>IF(T298="","",IF(T298-R298&gt;OverpayTol,2,0))</f>
        <v/>
      </c>
      <c r="W298" s="112">
        <f>IF(V298=2,AsOf,"")</f>
        <v/>
      </c>
      <c r="X298" s="79">
        <f>IF(W298="","",1)</f>
        <v/>
      </c>
      <c r="Y298" s="79">
        <f>IF(X298="","","Paying ahead of work: "&amp;B298&amp;" — paid "&amp;ROUND(T298*100,0)&amp;"%, work done "&amp;ROUND(R298*100,0)&amp;"%")</f>
        <v/>
      </c>
      <c r="AA298" s="72" t="n"/>
      <c r="AB298" s="109" t="n"/>
      <c r="AC298" s="113" t="n"/>
      <c r="AD298" s="74" t="n"/>
      <c r="AE298" s="109" t="n"/>
      <c r="AF298" s="74" t="n"/>
      <c r="AG298" s="112">
        <f>IF(AND(AA298&lt;&gt;"",AD298="Yes",AF298&lt;&gt;"Yes",AE298&lt;&gt;""),AE298,"")</f>
        <v/>
      </c>
      <c r="AH298" s="79">
        <f>IF(AG298="","",IF(AG298&lt;AsOf,1,IF(AG298&lt;=AsOf+AlertDays,2,IF(AG298&lt;=AsOf+2*AlertDays,3,""))))</f>
        <v/>
      </c>
      <c r="AI298" s="79">
        <f>IF(AH298="","","Follow up with "&amp;AA298&amp;": "&amp;AC298)</f>
        <v/>
      </c>
    </row>
    <row r="299" ht="20" customHeight="1">
      <c r="B299" s="72" t="n"/>
      <c r="C299" s="72" t="n"/>
      <c r="D299" s="72" t="n"/>
      <c r="E299" s="72" t="n"/>
      <c r="F299" s="72" t="n"/>
      <c r="G299" s="72" t="n"/>
      <c r="H299" s="72" t="n"/>
      <c r="I299" s="73" t="n"/>
      <c r="J299" s="75">
        <f>IF(B299="","",SUMIFS('Change Orders'!$J$7:$J$1006,'Change Orders'!$E$7:$E$1006,B299,'Change Orders'!$L$7:$L$1006,"Approved"))</f>
        <v/>
      </c>
      <c r="K299" s="76">
        <f>IF(B299="","",I299+J299)</f>
        <v/>
      </c>
      <c r="L299" s="74" t="n"/>
      <c r="M299" s="109" t="n"/>
      <c r="N299" s="109" t="n"/>
      <c r="O299" s="74" t="n"/>
      <c r="P299" s="74" t="n"/>
      <c r="Q299" s="100" t="n"/>
      <c r="R299" s="110" t="n"/>
      <c r="S299" s="75">
        <f>IF(B299="","",SUMIFS('Payments'!$N$6:$N$1005,'Payments'!$B$6:$B$1005,B299))</f>
        <v/>
      </c>
      <c r="T299" s="111">
        <f>IF(OR(B299="",K299=0),"",S299/K299)</f>
        <v/>
      </c>
      <c r="U299" s="78">
        <f>IF(V299="","",IF(V299=2,"⚠️ Paying ahead of work","✓ OK"))</f>
        <v/>
      </c>
      <c r="V299" s="79">
        <f>IF(T299="","",IF(T299-R299&gt;OverpayTol,2,0))</f>
        <v/>
      </c>
      <c r="W299" s="112">
        <f>IF(V299=2,AsOf,"")</f>
        <v/>
      </c>
      <c r="X299" s="79">
        <f>IF(W299="","",1)</f>
        <v/>
      </c>
      <c r="Y299" s="79">
        <f>IF(X299="","","Paying ahead of work: "&amp;B299&amp;" — paid "&amp;ROUND(T299*100,0)&amp;"%, work done "&amp;ROUND(R299*100,0)&amp;"%")</f>
        <v/>
      </c>
      <c r="AA299" s="72" t="n"/>
      <c r="AB299" s="109" t="n"/>
      <c r="AC299" s="113" t="n"/>
      <c r="AD299" s="74" t="n"/>
      <c r="AE299" s="109" t="n"/>
      <c r="AF299" s="74" t="n"/>
      <c r="AG299" s="112">
        <f>IF(AND(AA299&lt;&gt;"",AD299="Yes",AF299&lt;&gt;"Yes",AE299&lt;&gt;""),AE299,"")</f>
        <v/>
      </c>
      <c r="AH299" s="79">
        <f>IF(AG299="","",IF(AG299&lt;AsOf,1,IF(AG299&lt;=AsOf+AlertDays,2,IF(AG299&lt;=AsOf+2*AlertDays,3,""))))</f>
        <v/>
      </c>
      <c r="AI299" s="79">
        <f>IF(AH299="","","Follow up with "&amp;AA299&amp;": "&amp;AC299)</f>
        <v/>
      </c>
    </row>
    <row r="300" ht="20" customHeight="1">
      <c r="B300" s="72" t="n"/>
      <c r="C300" s="72" t="n"/>
      <c r="D300" s="72" t="n"/>
      <c r="E300" s="72" t="n"/>
      <c r="F300" s="72" t="n"/>
      <c r="G300" s="72" t="n"/>
      <c r="H300" s="72" t="n"/>
      <c r="I300" s="73" t="n"/>
      <c r="J300" s="75">
        <f>IF(B300="","",SUMIFS('Change Orders'!$J$7:$J$1006,'Change Orders'!$E$7:$E$1006,B300,'Change Orders'!$L$7:$L$1006,"Approved"))</f>
        <v/>
      </c>
      <c r="K300" s="76">
        <f>IF(B300="","",I300+J300)</f>
        <v/>
      </c>
      <c r="L300" s="74" t="n"/>
      <c r="M300" s="109" t="n"/>
      <c r="N300" s="109" t="n"/>
      <c r="O300" s="74" t="n"/>
      <c r="P300" s="74" t="n"/>
      <c r="Q300" s="100" t="n"/>
      <c r="R300" s="110" t="n"/>
      <c r="S300" s="75">
        <f>IF(B300="","",SUMIFS('Payments'!$N$6:$N$1005,'Payments'!$B$6:$B$1005,B300))</f>
        <v/>
      </c>
      <c r="T300" s="111">
        <f>IF(OR(B300="",K300=0),"",S300/K300)</f>
        <v/>
      </c>
      <c r="U300" s="78">
        <f>IF(V300="","",IF(V300=2,"⚠️ Paying ahead of work","✓ OK"))</f>
        <v/>
      </c>
      <c r="V300" s="79">
        <f>IF(T300="","",IF(T300-R300&gt;OverpayTol,2,0))</f>
        <v/>
      </c>
      <c r="W300" s="112">
        <f>IF(V300=2,AsOf,"")</f>
        <v/>
      </c>
      <c r="X300" s="79">
        <f>IF(W300="","",1)</f>
        <v/>
      </c>
      <c r="Y300" s="79">
        <f>IF(X300="","","Paying ahead of work: "&amp;B300&amp;" — paid "&amp;ROUND(T300*100,0)&amp;"%, work done "&amp;ROUND(R300*100,0)&amp;"%")</f>
        <v/>
      </c>
      <c r="AA300" s="72" t="n"/>
      <c r="AB300" s="109" t="n"/>
      <c r="AC300" s="113" t="n"/>
      <c r="AD300" s="74" t="n"/>
      <c r="AE300" s="109" t="n"/>
      <c r="AF300" s="74" t="n"/>
      <c r="AG300" s="112">
        <f>IF(AND(AA300&lt;&gt;"",AD300="Yes",AF300&lt;&gt;"Yes",AE300&lt;&gt;""),AE300,"")</f>
        <v/>
      </c>
      <c r="AH300" s="79">
        <f>IF(AG300="","",IF(AG300&lt;AsOf,1,IF(AG300&lt;=AsOf+AlertDays,2,IF(AG300&lt;=AsOf+2*AlertDays,3,""))))</f>
        <v/>
      </c>
      <c r="AI300" s="79">
        <f>IF(AH300="","","Follow up with "&amp;AA300&amp;": "&amp;AC300)</f>
        <v/>
      </c>
    </row>
    <row r="301" ht="20" customHeight="1">
      <c r="B301" s="72" t="n"/>
      <c r="C301" s="72" t="n"/>
      <c r="D301" s="72" t="n"/>
      <c r="E301" s="72" t="n"/>
      <c r="F301" s="72" t="n"/>
      <c r="G301" s="72" t="n"/>
      <c r="H301" s="72" t="n"/>
      <c r="I301" s="73" t="n"/>
      <c r="J301" s="75">
        <f>IF(B301="","",SUMIFS('Change Orders'!$J$7:$J$1006,'Change Orders'!$E$7:$E$1006,B301,'Change Orders'!$L$7:$L$1006,"Approved"))</f>
        <v/>
      </c>
      <c r="K301" s="76">
        <f>IF(B301="","",I301+J301)</f>
        <v/>
      </c>
      <c r="L301" s="74" t="n"/>
      <c r="M301" s="109" t="n"/>
      <c r="N301" s="109" t="n"/>
      <c r="O301" s="74" t="n"/>
      <c r="P301" s="74" t="n"/>
      <c r="Q301" s="100" t="n"/>
      <c r="R301" s="110" t="n"/>
      <c r="S301" s="75">
        <f>IF(B301="","",SUMIFS('Payments'!$N$6:$N$1005,'Payments'!$B$6:$B$1005,B301))</f>
        <v/>
      </c>
      <c r="T301" s="111">
        <f>IF(OR(B301="",K301=0),"",S301/K301)</f>
        <v/>
      </c>
      <c r="U301" s="78">
        <f>IF(V301="","",IF(V301=2,"⚠️ Paying ahead of work","✓ OK"))</f>
        <v/>
      </c>
      <c r="V301" s="79">
        <f>IF(T301="","",IF(T301-R301&gt;OverpayTol,2,0))</f>
        <v/>
      </c>
      <c r="W301" s="112">
        <f>IF(V301=2,AsOf,"")</f>
        <v/>
      </c>
      <c r="X301" s="79">
        <f>IF(W301="","",1)</f>
        <v/>
      </c>
      <c r="Y301" s="79">
        <f>IF(X301="","","Paying ahead of work: "&amp;B301&amp;" — paid "&amp;ROUND(T301*100,0)&amp;"%, work done "&amp;ROUND(R301*100,0)&amp;"%")</f>
        <v/>
      </c>
      <c r="AA301" s="72" t="n"/>
      <c r="AB301" s="109" t="n"/>
      <c r="AC301" s="113" t="n"/>
      <c r="AD301" s="74" t="n"/>
      <c r="AE301" s="109" t="n"/>
      <c r="AF301" s="74" t="n"/>
      <c r="AG301" s="112">
        <f>IF(AND(AA301&lt;&gt;"",AD301="Yes",AF301&lt;&gt;"Yes",AE301&lt;&gt;""),AE301,"")</f>
        <v/>
      </c>
      <c r="AH301" s="79">
        <f>IF(AG301="","",IF(AG301&lt;AsOf,1,IF(AG301&lt;=AsOf+AlertDays,2,IF(AG301&lt;=AsOf+2*AlertDays,3,""))))</f>
        <v/>
      </c>
      <c r="AI301" s="79">
        <f>IF(AH301="","","Follow up with "&amp;AA301&amp;": "&amp;AC301)</f>
        <v/>
      </c>
    </row>
    <row r="302" ht="20" customHeight="1">
      <c r="B302" s="72" t="n"/>
      <c r="C302" s="72" t="n"/>
      <c r="D302" s="72" t="n"/>
      <c r="E302" s="72" t="n"/>
      <c r="F302" s="72" t="n"/>
      <c r="G302" s="72" t="n"/>
      <c r="H302" s="72" t="n"/>
      <c r="I302" s="73" t="n"/>
      <c r="J302" s="75">
        <f>IF(B302="","",SUMIFS('Change Orders'!$J$7:$J$1006,'Change Orders'!$E$7:$E$1006,B302,'Change Orders'!$L$7:$L$1006,"Approved"))</f>
        <v/>
      </c>
      <c r="K302" s="76">
        <f>IF(B302="","",I302+J302)</f>
        <v/>
      </c>
      <c r="L302" s="74" t="n"/>
      <c r="M302" s="109" t="n"/>
      <c r="N302" s="109" t="n"/>
      <c r="O302" s="74" t="n"/>
      <c r="P302" s="74" t="n"/>
      <c r="Q302" s="100" t="n"/>
      <c r="R302" s="110" t="n"/>
      <c r="S302" s="75">
        <f>IF(B302="","",SUMIFS('Payments'!$N$6:$N$1005,'Payments'!$B$6:$B$1005,B302))</f>
        <v/>
      </c>
      <c r="T302" s="111">
        <f>IF(OR(B302="",K302=0),"",S302/K302)</f>
        <v/>
      </c>
      <c r="U302" s="78">
        <f>IF(V302="","",IF(V302=2,"⚠️ Paying ahead of work","✓ OK"))</f>
        <v/>
      </c>
      <c r="V302" s="79">
        <f>IF(T302="","",IF(T302-R302&gt;OverpayTol,2,0))</f>
        <v/>
      </c>
      <c r="W302" s="112">
        <f>IF(V302=2,AsOf,"")</f>
        <v/>
      </c>
      <c r="X302" s="79">
        <f>IF(W302="","",1)</f>
        <v/>
      </c>
      <c r="Y302" s="79">
        <f>IF(X302="","","Paying ahead of work: "&amp;B302&amp;" — paid "&amp;ROUND(T302*100,0)&amp;"%, work done "&amp;ROUND(R302*100,0)&amp;"%")</f>
        <v/>
      </c>
      <c r="AA302" s="72" t="n"/>
      <c r="AB302" s="109" t="n"/>
      <c r="AC302" s="113" t="n"/>
      <c r="AD302" s="74" t="n"/>
      <c r="AE302" s="109" t="n"/>
      <c r="AF302" s="74" t="n"/>
      <c r="AG302" s="112">
        <f>IF(AND(AA302&lt;&gt;"",AD302="Yes",AF302&lt;&gt;"Yes",AE302&lt;&gt;""),AE302,"")</f>
        <v/>
      </c>
      <c r="AH302" s="79">
        <f>IF(AG302="","",IF(AG302&lt;AsOf,1,IF(AG302&lt;=AsOf+AlertDays,2,IF(AG302&lt;=AsOf+2*AlertDays,3,""))))</f>
        <v/>
      </c>
      <c r="AI302" s="79">
        <f>IF(AH302="","","Follow up with "&amp;AA302&amp;": "&amp;AC302)</f>
        <v/>
      </c>
    </row>
    <row r="303" ht="20" customHeight="1">
      <c r="B303" s="72" t="n"/>
      <c r="C303" s="72" t="n"/>
      <c r="D303" s="72" t="n"/>
      <c r="E303" s="72" t="n"/>
      <c r="F303" s="72" t="n"/>
      <c r="G303" s="72" t="n"/>
      <c r="H303" s="72" t="n"/>
      <c r="I303" s="73" t="n"/>
      <c r="J303" s="75">
        <f>IF(B303="","",SUMIFS('Change Orders'!$J$7:$J$1006,'Change Orders'!$E$7:$E$1006,B303,'Change Orders'!$L$7:$L$1006,"Approved"))</f>
        <v/>
      </c>
      <c r="K303" s="76">
        <f>IF(B303="","",I303+J303)</f>
        <v/>
      </c>
      <c r="L303" s="74" t="n"/>
      <c r="M303" s="109" t="n"/>
      <c r="N303" s="109" t="n"/>
      <c r="O303" s="74" t="n"/>
      <c r="P303" s="74" t="n"/>
      <c r="Q303" s="100" t="n"/>
      <c r="R303" s="110" t="n"/>
      <c r="S303" s="75">
        <f>IF(B303="","",SUMIFS('Payments'!$N$6:$N$1005,'Payments'!$B$6:$B$1005,B303))</f>
        <v/>
      </c>
      <c r="T303" s="111">
        <f>IF(OR(B303="",K303=0),"",S303/K303)</f>
        <v/>
      </c>
      <c r="U303" s="78">
        <f>IF(V303="","",IF(V303=2,"⚠️ Paying ahead of work","✓ OK"))</f>
        <v/>
      </c>
      <c r="V303" s="79">
        <f>IF(T303="","",IF(T303-R303&gt;OverpayTol,2,0))</f>
        <v/>
      </c>
      <c r="W303" s="112">
        <f>IF(V303=2,AsOf,"")</f>
        <v/>
      </c>
      <c r="X303" s="79">
        <f>IF(W303="","",1)</f>
        <v/>
      </c>
      <c r="Y303" s="79">
        <f>IF(X303="","","Paying ahead of work: "&amp;B303&amp;" — paid "&amp;ROUND(T303*100,0)&amp;"%, work done "&amp;ROUND(R303*100,0)&amp;"%")</f>
        <v/>
      </c>
      <c r="AA303" s="72" t="n"/>
      <c r="AB303" s="109" t="n"/>
      <c r="AC303" s="113" t="n"/>
      <c r="AD303" s="74" t="n"/>
      <c r="AE303" s="109" t="n"/>
      <c r="AF303" s="74" t="n"/>
      <c r="AG303" s="112">
        <f>IF(AND(AA303&lt;&gt;"",AD303="Yes",AF303&lt;&gt;"Yes",AE303&lt;&gt;""),AE303,"")</f>
        <v/>
      </c>
      <c r="AH303" s="79">
        <f>IF(AG303="","",IF(AG303&lt;AsOf,1,IF(AG303&lt;=AsOf+AlertDays,2,IF(AG303&lt;=AsOf+2*AlertDays,3,""))))</f>
        <v/>
      </c>
      <c r="AI303" s="79">
        <f>IF(AH303="","","Follow up with "&amp;AA303&amp;": "&amp;AC303)</f>
        <v/>
      </c>
    </row>
    <row r="304" ht="20" customHeight="1">
      <c r="B304" s="72" t="n"/>
      <c r="C304" s="72" t="n"/>
      <c r="D304" s="72" t="n"/>
      <c r="E304" s="72" t="n"/>
      <c r="F304" s="72" t="n"/>
      <c r="G304" s="72" t="n"/>
      <c r="H304" s="72" t="n"/>
      <c r="I304" s="73" t="n"/>
      <c r="J304" s="75">
        <f>IF(B304="","",SUMIFS('Change Orders'!$J$7:$J$1006,'Change Orders'!$E$7:$E$1006,B304,'Change Orders'!$L$7:$L$1006,"Approved"))</f>
        <v/>
      </c>
      <c r="K304" s="76">
        <f>IF(B304="","",I304+J304)</f>
        <v/>
      </c>
      <c r="L304" s="74" t="n"/>
      <c r="M304" s="109" t="n"/>
      <c r="N304" s="109" t="n"/>
      <c r="O304" s="74" t="n"/>
      <c r="P304" s="74" t="n"/>
      <c r="Q304" s="100" t="n"/>
      <c r="R304" s="110" t="n"/>
      <c r="S304" s="75">
        <f>IF(B304="","",SUMIFS('Payments'!$N$6:$N$1005,'Payments'!$B$6:$B$1005,B304))</f>
        <v/>
      </c>
      <c r="T304" s="111">
        <f>IF(OR(B304="",K304=0),"",S304/K304)</f>
        <v/>
      </c>
      <c r="U304" s="78">
        <f>IF(V304="","",IF(V304=2,"⚠️ Paying ahead of work","✓ OK"))</f>
        <v/>
      </c>
      <c r="V304" s="79">
        <f>IF(T304="","",IF(T304-R304&gt;OverpayTol,2,0))</f>
        <v/>
      </c>
      <c r="W304" s="112">
        <f>IF(V304=2,AsOf,"")</f>
        <v/>
      </c>
      <c r="X304" s="79">
        <f>IF(W304="","",1)</f>
        <v/>
      </c>
      <c r="Y304" s="79">
        <f>IF(X304="","","Paying ahead of work: "&amp;B304&amp;" — paid "&amp;ROUND(T304*100,0)&amp;"%, work done "&amp;ROUND(R304*100,0)&amp;"%")</f>
        <v/>
      </c>
      <c r="AA304" s="72" t="n"/>
      <c r="AB304" s="109" t="n"/>
      <c r="AC304" s="113" t="n"/>
      <c r="AD304" s="74" t="n"/>
      <c r="AE304" s="109" t="n"/>
      <c r="AF304" s="74" t="n"/>
      <c r="AG304" s="112">
        <f>IF(AND(AA304&lt;&gt;"",AD304="Yes",AF304&lt;&gt;"Yes",AE304&lt;&gt;""),AE304,"")</f>
        <v/>
      </c>
      <c r="AH304" s="79">
        <f>IF(AG304="","",IF(AG304&lt;AsOf,1,IF(AG304&lt;=AsOf+AlertDays,2,IF(AG304&lt;=AsOf+2*AlertDays,3,""))))</f>
        <v/>
      </c>
      <c r="AI304" s="79">
        <f>IF(AH304="","","Follow up with "&amp;AA304&amp;": "&amp;AC304)</f>
        <v/>
      </c>
    </row>
    <row r="305" ht="20" customHeight="1">
      <c r="B305" s="72" t="n"/>
      <c r="C305" s="72" t="n"/>
      <c r="D305" s="72" t="n"/>
      <c r="E305" s="72" t="n"/>
      <c r="F305" s="72" t="n"/>
      <c r="G305" s="72" t="n"/>
      <c r="H305" s="72" t="n"/>
      <c r="I305" s="73" t="n"/>
      <c r="J305" s="75">
        <f>IF(B305="","",SUMIFS('Change Orders'!$J$7:$J$1006,'Change Orders'!$E$7:$E$1006,B305,'Change Orders'!$L$7:$L$1006,"Approved"))</f>
        <v/>
      </c>
      <c r="K305" s="76">
        <f>IF(B305="","",I305+J305)</f>
        <v/>
      </c>
      <c r="L305" s="74" t="n"/>
      <c r="M305" s="109" t="n"/>
      <c r="N305" s="109" t="n"/>
      <c r="O305" s="74" t="n"/>
      <c r="P305" s="74" t="n"/>
      <c r="Q305" s="100" t="n"/>
      <c r="R305" s="110" t="n"/>
      <c r="S305" s="75">
        <f>IF(B305="","",SUMIFS('Payments'!$N$6:$N$1005,'Payments'!$B$6:$B$1005,B305))</f>
        <v/>
      </c>
      <c r="T305" s="111">
        <f>IF(OR(B305="",K305=0),"",S305/K305)</f>
        <v/>
      </c>
      <c r="U305" s="78">
        <f>IF(V305="","",IF(V305=2,"⚠️ Paying ahead of work","✓ OK"))</f>
        <v/>
      </c>
      <c r="V305" s="79">
        <f>IF(T305="","",IF(T305-R305&gt;OverpayTol,2,0))</f>
        <v/>
      </c>
      <c r="W305" s="112">
        <f>IF(V305=2,AsOf,"")</f>
        <v/>
      </c>
      <c r="X305" s="79">
        <f>IF(W305="","",1)</f>
        <v/>
      </c>
      <c r="Y305" s="79">
        <f>IF(X305="","","Paying ahead of work: "&amp;B305&amp;" — paid "&amp;ROUND(T305*100,0)&amp;"%, work done "&amp;ROUND(R305*100,0)&amp;"%")</f>
        <v/>
      </c>
      <c r="AA305" s="72" t="n"/>
      <c r="AB305" s="109" t="n"/>
      <c r="AC305" s="113" t="n"/>
      <c r="AD305" s="74" t="n"/>
      <c r="AE305" s="109" t="n"/>
      <c r="AF305" s="74" t="n"/>
      <c r="AG305" s="112">
        <f>IF(AND(AA305&lt;&gt;"",AD305="Yes",AF305&lt;&gt;"Yes",AE305&lt;&gt;""),AE305,"")</f>
        <v/>
      </c>
      <c r="AH305" s="79">
        <f>IF(AG305="","",IF(AG305&lt;AsOf,1,IF(AG305&lt;=AsOf+AlertDays,2,IF(AG305&lt;=AsOf+2*AlertDays,3,""))))</f>
        <v/>
      </c>
      <c r="AI305" s="79">
        <f>IF(AH305="","","Follow up with "&amp;AA305&amp;": "&amp;AC305)</f>
        <v/>
      </c>
    </row>
    <row r="306" ht="20" customHeight="1">
      <c r="B306" s="72" t="n"/>
      <c r="C306" s="72" t="n"/>
      <c r="D306" s="72" t="n"/>
      <c r="E306" s="72" t="n"/>
      <c r="F306" s="72" t="n"/>
      <c r="G306" s="72" t="n"/>
      <c r="H306" s="72" t="n"/>
      <c r="I306" s="73" t="n"/>
      <c r="J306" s="75">
        <f>IF(B306="","",SUMIFS('Change Orders'!$J$7:$J$1006,'Change Orders'!$E$7:$E$1006,B306,'Change Orders'!$L$7:$L$1006,"Approved"))</f>
        <v/>
      </c>
      <c r="K306" s="76">
        <f>IF(B306="","",I306+J306)</f>
        <v/>
      </c>
      <c r="L306" s="74" t="n"/>
      <c r="M306" s="109" t="n"/>
      <c r="N306" s="109" t="n"/>
      <c r="O306" s="74" t="n"/>
      <c r="P306" s="74" t="n"/>
      <c r="Q306" s="100" t="n"/>
      <c r="R306" s="110" t="n"/>
      <c r="S306" s="75">
        <f>IF(B306="","",SUMIFS('Payments'!$N$6:$N$1005,'Payments'!$B$6:$B$1005,B306))</f>
        <v/>
      </c>
      <c r="T306" s="111">
        <f>IF(OR(B306="",K306=0),"",S306/K306)</f>
        <v/>
      </c>
      <c r="U306" s="78">
        <f>IF(V306="","",IF(V306=2,"⚠️ Paying ahead of work","✓ OK"))</f>
        <v/>
      </c>
      <c r="V306" s="79">
        <f>IF(T306="","",IF(T306-R306&gt;OverpayTol,2,0))</f>
        <v/>
      </c>
      <c r="W306" s="112">
        <f>IF(V306=2,AsOf,"")</f>
        <v/>
      </c>
      <c r="X306" s="79">
        <f>IF(W306="","",1)</f>
        <v/>
      </c>
      <c r="Y306" s="79">
        <f>IF(X306="","","Paying ahead of work: "&amp;B306&amp;" — paid "&amp;ROUND(T306*100,0)&amp;"%, work done "&amp;ROUND(R306*100,0)&amp;"%")</f>
        <v/>
      </c>
      <c r="AA306" s="72" t="n"/>
      <c r="AB306" s="109" t="n"/>
      <c r="AC306" s="113" t="n"/>
      <c r="AD306" s="74" t="n"/>
      <c r="AE306" s="109" t="n"/>
      <c r="AF306" s="74" t="n"/>
      <c r="AG306" s="112">
        <f>IF(AND(AA306&lt;&gt;"",AD306="Yes",AF306&lt;&gt;"Yes",AE306&lt;&gt;""),AE306,"")</f>
        <v/>
      </c>
      <c r="AH306" s="79">
        <f>IF(AG306="","",IF(AG306&lt;AsOf,1,IF(AG306&lt;=AsOf+AlertDays,2,IF(AG306&lt;=AsOf+2*AlertDays,3,""))))</f>
        <v/>
      </c>
      <c r="AI306" s="79">
        <f>IF(AH306="","","Follow up with "&amp;AA306&amp;": "&amp;AC306)</f>
        <v/>
      </c>
    </row>
    <row r="307" ht="20" customHeight="1">
      <c r="B307" s="72" t="n"/>
      <c r="C307" s="72" t="n"/>
      <c r="D307" s="72" t="n"/>
      <c r="E307" s="72" t="n"/>
      <c r="F307" s="72" t="n"/>
      <c r="G307" s="72" t="n"/>
      <c r="H307" s="72" t="n"/>
      <c r="I307" s="73" t="n"/>
      <c r="J307" s="75">
        <f>IF(B307="","",SUMIFS('Change Orders'!$J$7:$J$1006,'Change Orders'!$E$7:$E$1006,B307,'Change Orders'!$L$7:$L$1006,"Approved"))</f>
        <v/>
      </c>
      <c r="K307" s="76">
        <f>IF(B307="","",I307+J307)</f>
        <v/>
      </c>
      <c r="L307" s="74" t="n"/>
      <c r="M307" s="109" t="n"/>
      <c r="N307" s="109" t="n"/>
      <c r="O307" s="74" t="n"/>
      <c r="P307" s="74" t="n"/>
      <c r="Q307" s="100" t="n"/>
      <c r="R307" s="110" t="n"/>
      <c r="S307" s="75">
        <f>IF(B307="","",SUMIFS('Payments'!$N$6:$N$1005,'Payments'!$B$6:$B$1005,B307))</f>
        <v/>
      </c>
      <c r="T307" s="111">
        <f>IF(OR(B307="",K307=0),"",S307/K307)</f>
        <v/>
      </c>
      <c r="U307" s="78">
        <f>IF(V307="","",IF(V307=2,"⚠️ Paying ahead of work","✓ OK"))</f>
        <v/>
      </c>
      <c r="V307" s="79">
        <f>IF(T307="","",IF(T307-R307&gt;OverpayTol,2,0))</f>
        <v/>
      </c>
      <c r="W307" s="112">
        <f>IF(V307=2,AsOf,"")</f>
        <v/>
      </c>
      <c r="X307" s="79">
        <f>IF(W307="","",1)</f>
        <v/>
      </c>
      <c r="Y307" s="79">
        <f>IF(X307="","","Paying ahead of work: "&amp;B307&amp;" — paid "&amp;ROUND(T307*100,0)&amp;"%, work done "&amp;ROUND(R307*100,0)&amp;"%")</f>
        <v/>
      </c>
      <c r="AA307" s="72" t="n"/>
      <c r="AB307" s="109" t="n"/>
      <c r="AC307" s="113" t="n"/>
      <c r="AD307" s="74" t="n"/>
      <c r="AE307" s="109" t="n"/>
      <c r="AF307" s="74" t="n"/>
      <c r="AG307" s="112">
        <f>IF(AND(AA307&lt;&gt;"",AD307="Yes",AF307&lt;&gt;"Yes",AE307&lt;&gt;""),AE307,"")</f>
        <v/>
      </c>
      <c r="AH307" s="79">
        <f>IF(AG307="","",IF(AG307&lt;AsOf,1,IF(AG307&lt;=AsOf+AlertDays,2,IF(AG307&lt;=AsOf+2*AlertDays,3,""))))</f>
        <v/>
      </c>
      <c r="AI307" s="79">
        <f>IF(AH307="","","Follow up with "&amp;AA307&amp;": "&amp;AC307)</f>
        <v/>
      </c>
    </row>
    <row r="308" ht="20" customHeight="1">
      <c r="B308" s="72" t="n"/>
      <c r="C308" s="72" t="n"/>
      <c r="D308" s="72" t="n"/>
      <c r="E308" s="72" t="n"/>
      <c r="F308" s="72" t="n"/>
      <c r="G308" s="72" t="n"/>
      <c r="H308" s="72" t="n"/>
      <c r="I308" s="73" t="n"/>
      <c r="J308" s="75">
        <f>IF(B308="","",SUMIFS('Change Orders'!$J$7:$J$1006,'Change Orders'!$E$7:$E$1006,B308,'Change Orders'!$L$7:$L$1006,"Approved"))</f>
        <v/>
      </c>
      <c r="K308" s="76">
        <f>IF(B308="","",I308+J308)</f>
        <v/>
      </c>
      <c r="L308" s="74" t="n"/>
      <c r="M308" s="109" t="n"/>
      <c r="N308" s="109" t="n"/>
      <c r="O308" s="74" t="n"/>
      <c r="P308" s="74" t="n"/>
      <c r="Q308" s="100" t="n"/>
      <c r="R308" s="110" t="n"/>
      <c r="S308" s="75">
        <f>IF(B308="","",SUMIFS('Payments'!$N$6:$N$1005,'Payments'!$B$6:$B$1005,B308))</f>
        <v/>
      </c>
      <c r="T308" s="111">
        <f>IF(OR(B308="",K308=0),"",S308/K308)</f>
        <v/>
      </c>
      <c r="U308" s="78">
        <f>IF(V308="","",IF(V308=2,"⚠️ Paying ahead of work","✓ OK"))</f>
        <v/>
      </c>
      <c r="V308" s="79">
        <f>IF(T308="","",IF(T308-R308&gt;OverpayTol,2,0))</f>
        <v/>
      </c>
      <c r="W308" s="112">
        <f>IF(V308=2,AsOf,"")</f>
        <v/>
      </c>
      <c r="X308" s="79">
        <f>IF(W308="","",1)</f>
        <v/>
      </c>
      <c r="Y308" s="79">
        <f>IF(X308="","","Paying ahead of work: "&amp;B308&amp;" — paid "&amp;ROUND(T308*100,0)&amp;"%, work done "&amp;ROUND(R308*100,0)&amp;"%")</f>
        <v/>
      </c>
      <c r="AA308" s="72" t="n"/>
      <c r="AB308" s="109" t="n"/>
      <c r="AC308" s="113" t="n"/>
      <c r="AD308" s="74" t="n"/>
      <c r="AE308" s="109" t="n"/>
      <c r="AF308" s="74" t="n"/>
      <c r="AG308" s="112">
        <f>IF(AND(AA308&lt;&gt;"",AD308="Yes",AF308&lt;&gt;"Yes",AE308&lt;&gt;""),AE308,"")</f>
        <v/>
      </c>
      <c r="AH308" s="79">
        <f>IF(AG308="","",IF(AG308&lt;AsOf,1,IF(AG308&lt;=AsOf+AlertDays,2,IF(AG308&lt;=AsOf+2*AlertDays,3,""))))</f>
        <v/>
      </c>
      <c r="AI308" s="79">
        <f>IF(AH308="","","Follow up with "&amp;AA308&amp;": "&amp;AC308)</f>
        <v/>
      </c>
    </row>
    <row r="309" ht="20" customHeight="1">
      <c r="B309" s="72" t="n"/>
      <c r="C309" s="72" t="n"/>
      <c r="D309" s="72" t="n"/>
      <c r="E309" s="72" t="n"/>
      <c r="F309" s="72" t="n"/>
      <c r="G309" s="72" t="n"/>
      <c r="H309" s="72" t="n"/>
      <c r="I309" s="73" t="n"/>
      <c r="J309" s="75">
        <f>IF(B309="","",SUMIFS('Change Orders'!$J$7:$J$1006,'Change Orders'!$E$7:$E$1006,B309,'Change Orders'!$L$7:$L$1006,"Approved"))</f>
        <v/>
      </c>
      <c r="K309" s="76">
        <f>IF(B309="","",I309+J309)</f>
        <v/>
      </c>
      <c r="L309" s="74" t="n"/>
      <c r="M309" s="109" t="n"/>
      <c r="N309" s="109" t="n"/>
      <c r="O309" s="74" t="n"/>
      <c r="P309" s="74" t="n"/>
      <c r="Q309" s="100" t="n"/>
      <c r="R309" s="110" t="n"/>
      <c r="S309" s="75">
        <f>IF(B309="","",SUMIFS('Payments'!$N$6:$N$1005,'Payments'!$B$6:$B$1005,B309))</f>
        <v/>
      </c>
      <c r="T309" s="111">
        <f>IF(OR(B309="",K309=0),"",S309/K309)</f>
        <v/>
      </c>
      <c r="U309" s="78">
        <f>IF(V309="","",IF(V309=2,"⚠️ Paying ahead of work","✓ OK"))</f>
        <v/>
      </c>
      <c r="V309" s="79">
        <f>IF(T309="","",IF(T309-R309&gt;OverpayTol,2,0))</f>
        <v/>
      </c>
      <c r="W309" s="112">
        <f>IF(V309=2,AsOf,"")</f>
        <v/>
      </c>
      <c r="X309" s="79">
        <f>IF(W309="","",1)</f>
        <v/>
      </c>
      <c r="Y309" s="79">
        <f>IF(X309="","","Paying ahead of work: "&amp;B309&amp;" — paid "&amp;ROUND(T309*100,0)&amp;"%, work done "&amp;ROUND(R309*100,0)&amp;"%")</f>
        <v/>
      </c>
      <c r="AA309" s="72" t="n"/>
      <c r="AB309" s="109" t="n"/>
      <c r="AC309" s="113" t="n"/>
      <c r="AD309" s="74" t="n"/>
      <c r="AE309" s="109" t="n"/>
      <c r="AF309" s="74" t="n"/>
      <c r="AG309" s="112">
        <f>IF(AND(AA309&lt;&gt;"",AD309="Yes",AF309&lt;&gt;"Yes",AE309&lt;&gt;""),AE309,"")</f>
        <v/>
      </c>
      <c r="AH309" s="79">
        <f>IF(AG309="","",IF(AG309&lt;AsOf,1,IF(AG309&lt;=AsOf+AlertDays,2,IF(AG309&lt;=AsOf+2*AlertDays,3,""))))</f>
        <v/>
      </c>
      <c r="AI309" s="79">
        <f>IF(AH309="","","Follow up with "&amp;AA309&amp;": "&amp;AC309)</f>
        <v/>
      </c>
    </row>
    <row r="310" ht="20" customHeight="1">
      <c r="B310" s="72" t="n"/>
      <c r="C310" s="72" t="n"/>
      <c r="D310" s="72" t="n"/>
      <c r="E310" s="72" t="n"/>
      <c r="F310" s="72" t="n"/>
      <c r="G310" s="72" t="n"/>
      <c r="H310" s="72" t="n"/>
      <c r="I310" s="73" t="n"/>
      <c r="J310" s="75">
        <f>IF(B310="","",SUMIFS('Change Orders'!$J$7:$J$1006,'Change Orders'!$E$7:$E$1006,B310,'Change Orders'!$L$7:$L$1006,"Approved"))</f>
        <v/>
      </c>
      <c r="K310" s="76">
        <f>IF(B310="","",I310+J310)</f>
        <v/>
      </c>
      <c r="L310" s="74" t="n"/>
      <c r="M310" s="109" t="n"/>
      <c r="N310" s="109" t="n"/>
      <c r="O310" s="74" t="n"/>
      <c r="P310" s="74" t="n"/>
      <c r="Q310" s="100" t="n"/>
      <c r="R310" s="110" t="n"/>
      <c r="S310" s="75">
        <f>IF(B310="","",SUMIFS('Payments'!$N$6:$N$1005,'Payments'!$B$6:$B$1005,B310))</f>
        <v/>
      </c>
      <c r="T310" s="111">
        <f>IF(OR(B310="",K310=0),"",S310/K310)</f>
        <v/>
      </c>
      <c r="U310" s="78">
        <f>IF(V310="","",IF(V310=2,"⚠️ Paying ahead of work","✓ OK"))</f>
        <v/>
      </c>
      <c r="V310" s="79">
        <f>IF(T310="","",IF(T310-R310&gt;OverpayTol,2,0))</f>
        <v/>
      </c>
      <c r="W310" s="112">
        <f>IF(V310=2,AsOf,"")</f>
        <v/>
      </c>
      <c r="X310" s="79">
        <f>IF(W310="","",1)</f>
        <v/>
      </c>
      <c r="Y310" s="79">
        <f>IF(X310="","","Paying ahead of work: "&amp;B310&amp;" — paid "&amp;ROUND(T310*100,0)&amp;"%, work done "&amp;ROUND(R310*100,0)&amp;"%")</f>
        <v/>
      </c>
      <c r="AA310" s="72" t="n"/>
      <c r="AB310" s="109" t="n"/>
      <c r="AC310" s="113" t="n"/>
      <c r="AD310" s="74" t="n"/>
      <c r="AE310" s="109" t="n"/>
      <c r="AF310" s="74" t="n"/>
      <c r="AG310" s="112">
        <f>IF(AND(AA310&lt;&gt;"",AD310="Yes",AF310&lt;&gt;"Yes",AE310&lt;&gt;""),AE310,"")</f>
        <v/>
      </c>
      <c r="AH310" s="79">
        <f>IF(AG310="","",IF(AG310&lt;AsOf,1,IF(AG310&lt;=AsOf+AlertDays,2,IF(AG310&lt;=AsOf+2*AlertDays,3,""))))</f>
        <v/>
      </c>
      <c r="AI310" s="79">
        <f>IF(AH310="","","Follow up with "&amp;AA310&amp;": "&amp;AC310)</f>
        <v/>
      </c>
    </row>
    <row r="311" ht="20" customHeight="1">
      <c r="B311" s="72" t="n"/>
      <c r="C311" s="72" t="n"/>
      <c r="D311" s="72" t="n"/>
      <c r="E311" s="72" t="n"/>
      <c r="F311" s="72" t="n"/>
      <c r="G311" s="72" t="n"/>
      <c r="H311" s="72" t="n"/>
      <c r="I311" s="73" t="n"/>
      <c r="J311" s="75">
        <f>IF(B311="","",SUMIFS('Change Orders'!$J$7:$J$1006,'Change Orders'!$E$7:$E$1006,B311,'Change Orders'!$L$7:$L$1006,"Approved"))</f>
        <v/>
      </c>
      <c r="K311" s="76">
        <f>IF(B311="","",I311+J311)</f>
        <v/>
      </c>
      <c r="L311" s="74" t="n"/>
      <c r="M311" s="109" t="n"/>
      <c r="N311" s="109" t="n"/>
      <c r="O311" s="74" t="n"/>
      <c r="P311" s="74" t="n"/>
      <c r="Q311" s="100" t="n"/>
      <c r="R311" s="110" t="n"/>
      <c r="S311" s="75">
        <f>IF(B311="","",SUMIFS('Payments'!$N$6:$N$1005,'Payments'!$B$6:$B$1005,B311))</f>
        <v/>
      </c>
      <c r="T311" s="111">
        <f>IF(OR(B311="",K311=0),"",S311/K311)</f>
        <v/>
      </c>
      <c r="U311" s="78">
        <f>IF(V311="","",IF(V311=2,"⚠️ Paying ahead of work","✓ OK"))</f>
        <v/>
      </c>
      <c r="V311" s="79">
        <f>IF(T311="","",IF(T311-R311&gt;OverpayTol,2,0))</f>
        <v/>
      </c>
      <c r="W311" s="112">
        <f>IF(V311=2,AsOf,"")</f>
        <v/>
      </c>
      <c r="X311" s="79">
        <f>IF(W311="","",1)</f>
        <v/>
      </c>
      <c r="Y311" s="79">
        <f>IF(X311="","","Paying ahead of work: "&amp;B311&amp;" — paid "&amp;ROUND(T311*100,0)&amp;"%, work done "&amp;ROUND(R311*100,0)&amp;"%")</f>
        <v/>
      </c>
      <c r="AA311" s="72" t="n"/>
      <c r="AB311" s="109" t="n"/>
      <c r="AC311" s="113" t="n"/>
      <c r="AD311" s="74" t="n"/>
      <c r="AE311" s="109" t="n"/>
      <c r="AF311" s="74" t="n"/>
      <c r="AG311" s="112">
        <f>IF(AND(AA311&lt;&gt;"",AD311="Yes",AF311&lt;&gt;"Yes",AE311&lt;&gt;""),AE311,"")</f>
        <v/>
      </c>
      <c r="AH311" s="79">
        <f>IF(AG311="","",IF(AG311&lt;AsOf,1,IF(AG311&lt;=AsOf+AlertDays,2,IF(AG311&lt;=AsOf+2*AlertDays,3,""))))</f>
        <v/>
      </c>
      <c r="AI311" s="79">
        <f>IF(AH311="","","Follow up with "&amp;AA311&amp;": "&amp;AC311)</f>
        <v/>
      </c>
    </row>
    <row r="312" ht="20" customHeight="1">
      <c r="B312" s="72" t="n"/>
      <c r="C312" s="72" t="n"/>
      <c r="D312" s="72" t="n"/>
      <c r="E312" s="72" t="n"/>
      <c r="F312" s="72" t="n"/>
      <c r="G312" s="72" t="n"/>
      <c r="H312" s="72" t="n"/>
      <c r="I312" s="73" t="n"/>
      <c r="J312" s="75">
        <f>IF(B312="","",SUMIFS('Change Orders'!$J$7:$J$1006,'Change Orders'!$E$7:$E$1006,B312,'Change Orders'!$L$7:$L$1006,"Approved"))</f>
        <v/>
      </c>
      <c r="K312" s="76">
        <f>IF(B312="","",I312+J312)</f>
        <v/>
      </c>
      <c r="L312" s="74" t="n"/>
      <c r="M312" s="109" t="n"/>
      <c r="N312" s="109" t="n"/>
      <c r="O312" s="74" t="n"/>
      <c r="P312" s="74" t="n"/>
      <c r="Q312" s="100" t="n"/>
      <c r="R312" s="110" t="n"/>
      <c r="S312" s="75">
        <f>IF(B312="","",SUMIFS('Payments'!$N$6:$N$1005,'Payments'!$B$6:$B$1005,B312))</f>
        <v/>
      </c>
      <c r="T312" s="111">
        <f>IF(OR(B312="",K312=0),"",S312/K312)</f>
        <v/>
      </c>
      <c r="U312" s="78">
        <f>IF(V312="","",IF(V312=2,"⚠️ Paying ahead of work","✓ OK"))</f>
        <v/>
      </c>
      <c r="V312" s="79">
        <f>IF(T312="","",IF(T312-R312&gt;OverpayTol,2,0))</f>
        <v/>
      </c>
      <c r="W312" s="112">
        <f>IF(V312=2,AsOf,"")</f>
        <v/>
      </c>
      <c r="X312" s="79">
        <f>IF(W312="","",1)</f>
        <v/>
      </c>
      <c r="Y312" s="79">
        <f>IF(X312="","","Paying ahead of work: "&amp;B312&amp;" — paid "&amp;ROUND(T312*100,0)&amp;"%, work done "&amp;ROUND(R312*100,0)&amp;"%")</f>
        <v/>
      </c>
      <c r="AA312" s="72" t="n"/>
      <c r="AB312" s="109" t="n"/>
      <c r="AC312" s="113" t="n"/>
      <c r="AD312" s="74" t="n"/>
      <c r="AE312" s="109" t="n"/>
      <c r="AF312" s="74" t="n"/>
      <c r="AG312" s="112">
        <f>IF(AND(AA312&lt;&gt;"",AD312="Yes",AF312&lt;&gt;"Yes",AE312&lt;&gt;""),AE312,"")</f>
        <v/>
      </c>
      <c r="AH312" s="79">
        <f>IF(AG312="","",IF(AG312&lt;AsOf,1,IF(AG312&lt;=AsOf+AlertDays,2,IF(AG312&lt;=AsOf+2*AlertDays,3,""))))</f>
        <v/>
      </c>
      <c r="AI312" s="79">
        <f>IF(AH312="","","Follow up with "&amp;AA312&amp;": "&amp;AC312)</f>
        <v/>
      </c>
    </row>
    <row r="313" ht="20" customHeight="1">
      <c r="B313" s="72" t="n"/>
      <c r="C313" s="72" t="n"/>
      <c r="D313" s="72" t="n"/>
      <c r="E313" s="72" t="n"/>
      <c r="F313" s="72" t="n"/>
      <c r="G313" s="72" t="n"/>
      <c r="H313" s="72" t="n"/>
      <c r="I313" s="73" t="n"/>
      <c r="J313" s="75">
        <f>IF(B313="","",SUMIFS('Change Orders'!$J$7:$J$1006,'Change Orders'!$E$7:$E$1006,B313,'Change Orders'!$L$7:$L$1006,"Approved"))</f>
        <v/>
      </c>
      <c r="K313" s="76">
        <f>IF(B313="","",I313+J313)</f>
        <v/>
      </c>
      <c r="L313" s="74" t="n"/>
      <c r="M313" s="109" t="n"/>
      <c r="N313" s="109" t="n"/>
      <c r="O313" s="74" t="n"/>
      <c r="P313" s="74" t="n"/>
      <c r="Q313" s="100" t="n"/>
      <c r="R313" s="110" t="n"/>
      <c r="S313" s="75">
        <f>IF(B313="","",SUMIFS('Payments'!$N$6:$N$1005,'Payments'!$B$6:$B$1005,B313))</f>
        <v/>
      </c>
      <c r="T313" s="111">
        <f>IF(OR(B313="",K313=0),"",S313/K313)</f>
        <v/>
      </c>
      <c r="U313" s="78">
        <f>IF(V313="","",IF(V313=2,"⚠️ Paying ahead of work","✓ OK"))</f>
        <v/>
      </c>
      <c r="V313" s="79">
        <f>IF(T313="","",IF(T313-R313&gt;OverpayTol,2,0))</f>
        <v/>
      </c>
      <c r="W313" s="112">
        <f>IF(V313=2,AsOf,"")</f>
        <v/>
      </c>
      <c r="X313" s="79">
        <f>IF(W313="","",1)</f>
        <v/>
      </c>
      <c r="Y313" s="79">
        <f>IF(X313="","","Paying ahead of work: "&amp;B313&amp;" — paid "&amp;ROUND(T313*100,0)&amp;"%, work done "&amp;ROUND(R313*100,0)&amp;"%")</f>
        <v/>
      </c>
      <c r="AA313" s="72" t="n"/>
      <c r="AB313" s="109" t="n"/>
      <c r="AC313" s="113" t="n"/>
      <c r="AD313" s="74" t="n"/>
      <c r="AE313" s="109" t="n"/>
      <c r="AF313" s="74" t="n"/>
      <c r="AG313" s="112">
        <f>IF(AND(AA313&lt;&gt;"",AD313="Yes",AF313&lt;&gt;"Yes",AE313&lt;&gt;""),AE313,"")</f>
        <v/>
      </c>
      <c r="AH313" s="79">
        <f>IF(AG313="","",IF(AG313&lt;AsOf,1,IF(AG313&lt;=AsOf+AlertDays,2,IF(AG313&lt;=AsOf+2*AlertDays,3,""))))</f>
        <v/>
      </c>
      <c r="AI313" s="79">
        <f>IF(AH313="","","Follow up with "&amp;AA313&amp;": "&amp;AC313)</f>
        <v/>
      </c>
    </row>
    <row r="314" ht="20" customHeight="1">
      <c r="B314" s="72" t="n"/>
      <c r="C314" s="72" t="n"/>
      <c r="D314" s="72" t="n"/>
      <c r="E314" s="72" t="n"/>
      <c r="F314" s="72" t="n"/>
      <c r="G314" s="72" t="n"/>
      <c r="H314" s="72" t="n"/>
      <c r="I314" s="73" t="n"/>
      <c r="J314" s="75">
        <f>IF(B314="","",SUMIFS('Change Orders'!$J$7:$J$1006,'Change Orders'!$E$7:$E$1006,B314,'Change Orders'!$L$7:$L$1006,"Approved"))</f>
        <v/>
      </c>
      <c r="K314" s="76">
        <f>IF(B314="","",I314+J314)</f>
        <v/>
      </c>
      <c r="L314" s="74" t="n"/>
      <c r="M314" s="109" t="n"/>
      <c r="N314" s="109" t="n"/>
      <c r="O314" s="74" t="n"/>
      <c r="P314" s="74" t="n"/>
      <c r="Q314" s="100" t="n"/>
      <c r="R314" s="110" t="n"/>
      <c r="S314" s="75">
        <f>IF(B314="","",SUMIFS('Payments'!$N$6:$N$1005,'Payments'!$B$6:$B$1005,B314))</f>
        <v/>
      </c>
      <c r="T314" s="111">
        <f>IF(OR(B314="",K314=0),"",S314/K314)</f>
        <v/>
      </c>
      <c r="U314" s="78">
        <f>IF(V314="","",IF(V314=2,"⚠️ Paying ahead of work","✓ OK"))</f>
        <v/>
      </c>
      <c r="V314" s="79">
        <f>IF(T314="","",IF(T314-R314&gt;OverpayTol,2,0))</f>
        <v/>
      </c>
      <c r="W314" s="112">
        <f>IF(V314=2,AsOf,"")</f>
        <v/>
      </c>
      <c r="X314" s="79">
        <f>IF(W314="","",1)</f>
        <v/>
      </c>
      <c r="Y314" s="79">
        <f>IF(X314="","","Paying ahead of work: "&amp;B314&amp;" — paid "&amp;ROUND(T314*100,0)&amp;"%, work done "&amp;ROUND(R314*100,0)&amp;"%")</f>
        <v/>
      </c>
      <c r="AA314" s="72" t="n"/>
      <c r="AB314" s="109" t="n"/>
      <c r="AC314" s="113" t="n"/>
      <c r="AD314" s="74" t="n"/>
      <c r="AE314" s="109" t="n"/>
      <c r="AF314" s="74" t="n"/>
      <c r="AG314" s="112">
        <f>IF(AND(AA314&lt;&gt;"",AD314="Yes",AF314&lt;&gt;"Yes",AE314&lt;&gt;""),AE314,"")</f>
        <v/>
      </c>
      <c r="AH314" s="79">
        <f>IF(AG314="","",IF(AG314&lt;AsOf,1,IF(AG314&lt;=AsOf+AlertDays,2,IF(AG314&lt;=AsOf+2*AlertDays,3,""))))</f>
        <v/>
      </c>
      <c r="AI314" s="79">
        <f>IF(AH314="","","Follow up with "&amp;AA314&amp;": "&amp;AC314)</f>
        <v/>
      </c>
    </row>
    <row r="315" ht="20" customHeight="1">
      <c r="B315" s="72" t="n"/>
      <c r="C315" s="72" t="n"/>
      <c r="D315" s="72" t="n"/>
      <c r="E315" s="72" t="n"/>
      <c r="F315" s="72" t="n"/>
      <c r="G315" s="72" t="n"/>
      <c r="H315" s="72" t="n"/>
      <c r="I315" s="73" t="n"/>
      <c r="J315" s="75">
        <f>IF(B315="","",SUMIFS('Change Orders'!$J$7:$J$1006,'Change Orders'!$E$7:$E$1006,B315,'Change Orders'!$L$7:$L$1006,"Approved"))</f>
        <v/>
      </c>
      <c r="K315" s="76">
        <f>IF(B315="","",I315+J315)</f>
        <v/>
      </c>
      <c r="L315" s="74" t="n"/>
      <c r="M315" s="109" t="n"/>
      <c r="N315" s="109" t="n"/>
      <c r="O315" s="74" t="n"/>
      <c r="P315" s="74" t="n"/>
      <c r="Q315" s="100" t="n"/>
      <c r="R315" s="110" t="n"/>
      <c r="S315" s="75">
        <f>IF(B315="","",SUMIFS('Payments'!$N$6:$N$1005,'Payments'!$B$6:$B$1005,B315))</f>
        <v/>
      </c>
      <c r="T315" s="111">
        <f>IF(OR(B315="",K315=0),"",S315/K315)</f>
        <v/>
      </c>
      <c r="U315" s="78">
        <f>IF(V315="","",IF(V315=2,"⚠️ Paying ahead of work","✓ OK"))</f>
        <v/>
      </c>
      <c r="V315" s="79">
        <f>IF(T315="","",IF(T315-R315&gt;OverpayTol,2,0))</f>
        <v/>
      </c>
      <c r="W315" s="112">
        <f>IF(V315=2,AsOf,"")</f>
        <v/>
      </c>
      <c r="X315" s="79">
        <f>IF(W315="","",1)</f>
        <v/>
      </c>
      <c r="Y315" s="79">
        <f>IF(X315="","","Paying ahead of work: "&amp;B315&amp;" — paid "&amp;ROUND(T315*100,0)&amp;"%, work done "&amp;ROUND(R315*100,0)&amp;"%")</f>
        <v/>
      </c>
      <c r="AA315" s="72" t="n"/>
      <c r="AB315" s="109" t="n"/>
      <c r="AC315" s="113" t="n"/>
      <c r="AD315" s="74" t="n"/>
      <c r="AE315" s="109" t="n"/>
      <c r="AF315" s="74" t="n"/>
      <c r="AG315" s="112">
        <f>IF(AND(AA315&lt;&gt;"",AD315="Yes",AF315&lt;&gt;"Yes",AE315&lt;&gt;""),AE315,"")</f>
        <v/>
      </c>
      <c r="AH315" s="79">
        <f>IF(AG315="","",IF(AG315&lt;AsOf,1,IF(AG315&lt;=AsOf+AlertDays,2,IF(AG315&lt;=AsOf+2*AlertDays,3,""))))</f>
        <v/>
      </c>
      <c r="AI315" s="79">
        <f>IF(AH315="","","Follow up with "&amp;AA315&amp;": "&amp;AC315)</f>
        <v/>
      </c>
    </row>
    <row r="316" ht="20" customHeight="1">
      <c r="B316" s="72" t="n"/>
      <c r="C316" s="72" t="n"/>
      <c r="D316" s="72" t="n"/>
      <c r="E316" s="72" t="n"/>
      <c r="F316" s="72" t="n"/>
      <c r="G316" s="72" t="n"/>
      <c r="H316" s="72" t="n"/>
      <c r="I316" s="73" t="n"/>
      <c r="J316" s="75">
        <f>IF(B316="","",SUMIFS('Change Orders'!$J$7:$J$1006,'Change Orders'!$E$7:$E$1006,B316,'Change Orders'!$L$7:$L$1006,"Approved"))</f>
        <v/>
      </c>
      <c r="K316" s="76">
        <f>IF(B316="","",I316+J316)</f>
        <v/>
      </c>
      <c r="L316" s="74" t="n"/>
      <c r="M316" s="109" t="n"/>
      <c r="N316" s="109" t="n"/>
      <c r="O316" s="74" t="n"/>
      <c r="P316" s="74" t="n"/>
      <c r="Q316" s="100" t="n"/>
      <c r="R316" s="110" t="n"/>
      <c r="S316" s="75">
        <f>IF(B316="","",SUMIFS('Payments'!$N$6:$N$1005,'Payments'!$B$6:$B$1005,B316))</f>
        <v/>
      </c>
      <c r="T316" s="111">
        <f>IF(OR(B316="",K316=0),"",S316/K316)</f>
        <v/>
      </c>
      <c r="U316" s="78">
        <f>IF(V316="","",IF(V316=2,"⚠️ Paying ahead of work","✓ OK"))</f>
        <v/>
      </c>
      <c r="V316" s="79">
        <f>IF(T316="","",IF(T316-R316&gt;OverpayTol,2,0))</f>
        <v/>
      </c>
      <c r="W316" s="112">
        <f>IF(V316=2,AsOf,"")</f>
        <v/>
      </c>
      <c r="X316" s="79">
        <f>IF(W316="","",1)</f>
        <v/>
      </c>
      <c r="Y316" s="79">
        <f>IF(X316="","","Paying ahead of work: "&amp;B316&amp;" — paid "&amp;ROUND(T316*100,0)&amp;"%, work done "&amp;ROUND(R316*100,0)&amp;"%")</f>
        <v/>
      </c>
      <c r="AA316" s="72" t="n"/>
      <c r="AB316" s="109" t="n"/>
      <c r="AC316" s="113" t="n"/>
      <c r="AD316" s="74" t="n"/>
      <c r="AE316" s="109" t="n"/>
      <c r="AF316" s="74" t="n"/>
      <c r="AG316" s="112">
        <f>IF(AND(AA316&lt;&gt;"",AD316="Yes",AF316&lt;&gt;"Yes",AE316&lt;&gt;""),AE316,"")</f>
        <v/>
      </c>
      <c r="AH316" s="79">
        <f>IF(AG316="","",IF(AG316&lt;AsOf,1,IF(AG316&lt;=AsOf+AlertDays,2,IF(AG316&lt;=AsOf+2*AlertDays,3,""))))</f>
        <v/>
      </c>
      <c r="AI316" s="79">
        <f>IF(AH316="","","Follow up with "&amp;AA316&amp;": "&amp;AC316)</f>
        <v/>
      </c>
    </row>
    <row r="317" ht="20" customHeight="1">
      <c r="B317" s="72" t="n"/>
      <c r="C317" s="72" t="n"/>
      <c r="D317" s="72" t="n"/>
      <c r="E317" s="72" t="n"/>
      <c r="F317" s="72" t="n"/>
      <c r="G317" s="72" t="n"/>
      <c r="H317" s="72" t="n"/>
      <c r="I317" s="73" t="n"/>
      <c r="J317" s="75">
        <f>IF(B317="","",SUMIFS('Change Orders'!$J$7:$J$1006,'Change Orders'!$E$7:$E$1006,B317,'Change Orders'!$L$7:$L$1006,"Approved"))</f>
        <v/>
      </c>
      <c r="K317" s="76">
        <f>IF(B317="","",I317+J317)</f>
        <v/>
      </c>
      <c r="L317" s="74" t="n"/>
      <c r="M317" s="109" t="n"/>
      <c r="N317" s="109" t="n"/>
      <c r="O317" s="74" t="n"/>
      <c r="P317" s="74" t="n"/>
      <c r="Q317" s="100" t="n"/>
      <c r="R317" s="110" t="n"/>
      <c r="S317" s="75">
        <f>IF(B317="","",SUMIFS('Payments'!$N$6:$N$1005,'Payments'!$B$6:$B$1005,B317))</f>
        <v/>
      </c>
      <c r="T317" s="111">
        <f>IF(OR(B317="",K317=0),"",S317/K317)</f>
        <v/>
      </c>
      <c r="U317" s="78">
        <f>IF(V317="","",IF(V317=2,"⚠️ Paying ahead of work","✓ OK"))</f>
        <v/>
      </c>
      <c r="V317" s="79">
        <f>IF(T317="","",IF(T317-R317&gt;OverpayTol,2,0))</f>
        <v/>
      </c>
      <c r="W317" s="112">
        <f>IF(V317=2,AsOf,"")</f>
        <v/>
      </c>
      <c r="X317" s="79">
        <f>IF(W317="","",1)</f>
        <v/>
      </c>
      <c r="Y317" s="79">
        <f>IF(X317="","","Paying ahead of work: "&amp;B317&amp;" — paid "&amp;ROUND(T317*100,0)&amp;"%, work done "&amp;ROUND(R317*100,0)&amp;"%")</f>
        <v/>
      </c>
      <c r="AA317" s="72" t="n"/>
      <c r="AB317" s="109" t="n"/>
      <c r="AC317" s="113" t="n"/>
      <c r="AD317" s="74" t="n"/>
      <c r="AE317" s="109" t="n"/>
      <c r="AF317" s="74" t="n"/>
      <c r="AG317" s="112">
        <f>IF(AND(AA317&lt;&gt;"",AD317="Yes",AF317&lt;&gt;"Yes",AE317&lt;&gt;""),AE317,"")</f>
        <v/>
      </c>
      <c r="AH317" s="79">
        <f>IF(AG317="","",IF(AG317&lt;AsOf,1,IF(AG317&lt;=AsOf+AlertDays,2,IF(AG317&lt;=AsOf+2*AlertDays,3,""))))</f>
        <v/>
      </c>
      <c r="AI317" s="79">
        <f>IF(AH317="","","Follow up with "&amp;AA317&amp;": "&amp;AC317)</f>
        <v/>
      </c>
    </row>
    <row r="318" ht="20" customHeight="1">
      <c r="B318" s="72" t="n"/>
      <c r="C318" s="72" t="n"/>
      <c r="D318" s="72" t="n"/>
      <c r="E318" s="72" t="n"/>
      <c r="F318" s="72" t="n"/>
      <c r="G318" s="72" t="n"/>
      <c r="H318" s="72" t="n"/>
      <c r="I318" s="73" t="n"/>
      <c r="J318" s="75">
        <f>IF(B318="","",SUMIFS('Change Orders'!$J$7:$J$1006,'Change Orders'!$E$7:$E$1006,B318,'Change Orders'!$L$7:$L$1006,"Approved"))</f>
        <v/>
      </c>
      <c r="K318" s="76">
        <f>IF(B318="","",I318+J318)</f>
        <v/>
      </c>
      <c r="L318" s="74" t="n"/>
      <c r="M318" s="109" t="n"/>
      <c r="N318" s="109" t="n"/>
      <c r="O318" s="74" t="n"/>
      <c r="P318" s="74" t="n"/>
      <c r="Q318" s="100" t="n"/>
      <c r="R318" s="110" t="n"/>
      <c r="S318" s="75">
        <f>IF(B318="","",SUMIFS('Payments'!$N$6:$N$1005,'Payments'!$B$6:$B$1005,B318))</f>
        <v/>
      </c>
      <c r="T318" s="111">
        <f>IF(OR(B318="",K318=0),"",S318/K318)</f>
        <v/>
      </c>
      <c r="U318" s="78">
        <f>IF(V318="","",IF(V318=2,"⚠️ Paying ahead of work","✓ OK"))</f>
        <v/>
      </c>
      <c r="V318" s="79">
        <f>IF(T318="","",IF(T318-R318&gt;OverpayTol,2,0))</f>
        <v/>
      </c>
      <c r="W318" s="112">
        <f>IF(V318=2,AsOf,"")</f>
        <v/>
      </c>
      <c r="X318" s="79">
        <f>IF(W318="","",1)</f>
        <v/>
      </c>
      <c r="Y318" s="79">
        <f>IF(X318="","","Paying ahead of work: "&amp;B318&amp;" — paid "&amp;ROUND(T318*100,0)&amp;"%, work done "&amp;ROUND(R318*100,0)&amp;"%")</f>
        <v/>
      </c>
      <c r="AA318" s="72" t="n"/>
      <c r="AB318" s="109" t="n"/>
      <c r="AC318" s="113" t="n"/>
      <c r="AD318" s="74" t="n"/>
      <c r="AE318" s="109" t="n"/>
      <c r="AF318" s="74" t="n"/>
      <c r="AG318" s="112">
        <f>IF(AND(AA318&lt;&gt;"",AD318="Yes",AF318&lt;&gt;"Yes",AE318&lt;&gt;""),AE318,"")</f>
        <v/>
      </c>
      <c r="AH318" s="79">
        <f>IF(AG318="","",IF(AG318&lt;AsOf,1,IF(AG318&lt;=AsOf+AlertDays,2,IF(AG318&lt;=AsOf+2*AlertDays,3,""))))</f>
        <v/>
      </c>
      <c r="AI318" s="79">
        <f>IF(AH318="","","Follow up with "&amp;AA318&amp;": "&amp;AC318)</f>
        <v/>
      </c>
    </row>
    <row r="319" ht="20" customHeight="1">
      <c r="B319" s="72" t="n"/>
      <c r="C319" s="72" t="n"/>
      <c r="D319" s="72" t="n"/>
      <c r="E319" s="72" t="n"/>
      <c r="F319" s="72" t="n"/>
      <c r="G319" s="72" t="n"/>
      <c r="H319" s="72" t="n"/>
      <c r="I319" s="73" t="n"/>
      <c r="J319" s="75">
        <f>IF(B319="","",SUMIFS('Change Orders'!$J$7:$J$1006,'Change Orders'!$E$7:$E$1006,B319,'Change Orders'!$L$7:$L$1006,"Approved"))</f>
        <v/>
      </c>
      <c r="K319" s="76">
        <f>IF(B319="","",I319+J319)</f>
        <v/>
      </c>
      <c r="L319" s="74" t="n"/>
      <c r="M319" s="109" t="n"/>
      <c r="N319" s="109" t="n"/>
      <c r="O319" s="74" t="n"/>
      <c r="P319" s="74" t="n"/>
      <c r="Q319" s="100" t="n"/>
      <c r="R319" s="110" t="n"/>
      <c r="S319" s="75">
        <f>IF(B319="","",SUMIFS('Payments'!$N$6:$N$1005,'Payments'!$B$6:$B$1005,B319))</f>
        <v/>
      </c>
      <c r="T319" s="111">
        <f>IF(OR(B319="",K319=0),"",S319/K319)</f>
        <v/>
      </c>
      <c r="U319" s="78">
        <f>IF(V319="","",IF(V319=2,"⚠️ Paying ahead of work","✓ OK"))</f>
        <v/>
      </c>
      <c r="V319" s="79">
        <f>IF(T319="","",IF(T319-R319&gt;OverpayTol,2,0))</f>
        <v/>
      </c>
      <c r="W319" s="112">
        <f>IF(V319=2,AsOf,"")</f>
        <v/>
      </c>
      <c r="X319" s="79">
        <f>IF(W319="","",1)</f>
        <v/>
      </c>
      <c r="Y319" s="79">
        <f>IF(X319="","","Paying ahead of work: "&amp;B319&amp;" — paid "&amp;ROUND(T319*100,0)&amp;"%, work done "&amp;ROUND(R319*100,0)&amp;"%")</f>
        <v/>
      </c>
      <c r="AA319" s="72" t="n"/>
      <c r="AB319" s="109" t="n"/>
      <c r="AC319" s="113" t="n"/>
      <c r="AD319" s="74" t="n"/>
      <c r="AE319" s="109" t="n"/>
      <c r="AF319" s="74" t="n"/>
      <c r="AG319" s="112">
        <f>IF(AND(AA319&lt;&gt;"",AD319="Yes",AF319&lt;&gt;"Yes",AE319&lt;&gt;""),AE319,"")</f>
        <v/>
      </c>
      <c r="AH319" s="79">
        <f>IF(AG319="","",IF(AG319&lt;AsOf,1,IF(AG319&lt;=AsOf+AlertDays,2,IF(AG319&lt;=AsOf+2*AlertDays,3,""))))</f>
        <v/>
      </c>
      <c r="AI319" s="79">
        <f>IF(AH319="","","Follow up with "&amp;AA319&amp;": "&amp;AC319)</f>
        <v/>
      </c>
    </row>
    <row r="320" ht="20" customHeight="1">
      <c r="B320" s="72" t="n"/>
      <c r="C320" s="72" t="n"/>
      <c r="D320" s="72" t="n"/>
      <c r="E320" s="72" t="n"/>
      <c r="F320" s="72" t="n"/>
      <c r="G320" s="72" t="n"/>
      <c r="H320" s="72" t="n"/>
      <c r="I320" s="73" t="n"/>
      <c r="J320" s="75">
        <f>IF(B320="","",SUMIFS('Change Orders'!$J$7:$J$1006,'Change Orders'!$E$7:$E$1006,B320,'Change Orders'!$L$7:$L$1006,"Approved"))</f>
        <v/>
      </c>
      <c r="K320" s="76">
        <f>IF(B320="","",I320+J320)</f>
        <v/>
      </c>
      <c r="L320" s="74" t="n"/>
      <c r="M320" s="109" t="n"/>
      <c r="N320" s="109" t="n"/>
      <c r="O320" s="74" t="n"/>
      <c r="P320" s="74" t="n"/>
      <c r="Q320" s="100" t="n"/>
      <c r="R320" s="110" t="n"/>
      <c r="S320" s="75">
        <f>IF(B320="","",SUMIFS('Payments'!$N$6:$N$1005,'Payments'!$B$6:$B$1005,B320))</f>
        <v/>
      </c>
      <c r="T320" s="111">
        <f>IF(OR(B320="",K320=0),"",S320/K320)</f>
        <v/>
      </c>
      <c r="U320" s="78">
        <f>IF(V320="","",IF(V320=2,"⚠️ Paying ahead of work","✓ OK"))</f>
        <v/>
      </c>
      <c r="V320" s="79">
        <f>IF(T320="","",IF(T320-R320&gt;OverpayTol,2,0))</f>
        <v/>
      </c>
      <c r="W320" s="112">
        <f>IF(V320=2,AsOf,"")</f>
        <v/>
      </c>
      <c r="X320" s="79">
        <f>IF(W320="","",1)</f>
        <v/>
      </c>
      <c r="Y320" s="79">
        <f>IF(X320="","","Paying ahead of work: "&amp;B320&amp;" — paid "&amp;ROUND(T320*100,0)&amp;"%, work done "&amp;ROUND(R320*100,0)&amp;"%")</f>
        <v/>
      </c>
      <c r="AA320" s="72" t="n"/>
      <c r="AB320" s="109" t="n"/>
      <c r="AC320" s="113" t="n"/>
      <c r="AD320" s="74" t="n"/>
      <c r="AE320" s="109" t="n"/>
      <c r="AF320" s="74" t="n"/>
      <c r="AG320" s="112">
        <f>IF(AND(AA320&lt;&gt;"",AD320="Yes",AF320&lt;&gt;"Yes",AE320&lt;&gt;""),AE320,"")</f>
        <v/>
      </c>
      <c r="AH320" s="79">
        <f>IF(AG320="","",IF(AG320&lt;AsOf,1,IF(AG320&lt;=AsOf+AlertDays,2,IF(AG320&lt;=AsOf+2*AlertDays,3,""))))</f>
        <v/>
      </c>
      <c r="AI320" s="79">
        <f>IF(AH320="","","Follow up with "&amp;AA320&amp;": "&amp;AC320)</f>
        <v/>
      </c>
    </row>
    <row r="321" ht="20" customHeight="1">
      <c r="B321" s="72" t="n"/>
      <c r="C321" s="72" t="n"/>
      <c r="D321" s="72" t="n"/>
      <c r="E321" s="72" t="n"/>
      <c r="F321" s="72" t="n"/>
      <c r="G321" s="72" t="n"/>
      <c r="H321" s="72" t="n"/>
      <c r="I321" s="73" t="n"/>
      <c r="J321" s="75">
        <f>IF(B321="","",SUMIFS('Change Orders'!$J$7:$J$1006,'Change Orders'!$E$7:$E$1006,B321,'Change Orders'!$L$7:$L$1006,"Approved"))</f>
        <v/>
      </c>
      <c r="K321" s="76">
        <f>IF(B321="","",I321+J321)</f>
        <v/>
      </c>
      <c r="L321" s="74" t="n"/>
      <c r="M321" s="109" t="n"/>
      <c r="N321" s="109" t="n"/>
      <c r="O321" s="74" t="n"/>
      <c r="P321" s="74" t="n"/>
      <c r="Q321" s="100" t="n"/>
      <c r="R321" s="110" t="n"/>
      <c r="S321" s="75">
        <f>IF(B321="","",SUMIFS('Payments'!$N$6:$N$1005,'Payments'!$B$6:$B$1005,B321))</f>
        <v/>
      </c>
      <c r="T321" s="111">
        <f>IF(OR(B321="",K321=0),"",S321/K321)</f>
        <v/>
      </c>
      <c r="U321" s="78">
        <f>IF(V321="","",IF(V321=2,"⚠️ Paying ahead of work","✓ OK"))</f>
        <v/>
      </c>
      <c r="V321" s="79">
        <f>IF(T321="","",IF(T321-R321&gt;OverpayTol,2,0))</f>
        <v/>
      </c>
      <c r="W321" s="112">
        <f>IF(V321=2,AsOf,"")</f>
        <v/>
      </c>
      <c r="X321" s="79">
        <f>IF(W321="","",1)</f>
        <v/>
      </c>
      <c r="Y321" s="79">
        <f>IF(X321="","","Paying ahead of work: "&amp;B321&amp;" — paid "&amp;ROUND(T321*100,0)&amp;"%, work done "&amp;ROUND(R321*100,0)&amp;"%")</f>
        <v/>
      </c>
      <c r="AA321" s="72" t="n"/>
      <c r="AB321" s="109" t="n"/>
      <c r="AC321" s="113" t="n"/>
      <c r="AD321" s="74" t="n"/>
      <c r="AE321" s="109" t="n"/>
      <c r="AF321" s="74" t="n"/>
      <c r="AG321" s="112">
        <f>IF(AND(AA321&lt;&gt;"",AD321="Yes",AF321&lt;&gt;"Yes",AE321&lt;&gt;""),AE321,"")</f>
        <v/>
      </c>
      <c r="AH321" s="79">
        <f>IF(AG321="","",IF(AG321&lt;AsOf,1,IF(AG321&lt;=AsOf+AlertDays,2,IF(AG321&lt;=AsOf+2*AlertDays,3,""))))</f>
        <v/>
      </c>
      <c r="AI321" s="79">
        <f>IF(AH321="","","Follow up with "&amp;AA321&amp;": "&amp;AC321)</f>
        <v/>
      </c>
    </row>
    <row r="322" ht="20" customHeight="1">
      <c r="B322" s="72" t="n"/>
      <c r="C322" s="72" t="n"/>
      <c r="D322" s="72" t="n"/>
      <c r="E322" s="72" t="n"/>
      <c r="F322" s="72" t="n"/>
      <c r="G322" s="72" t="n"/>
      <c r="H322" s="72" t="n"/>
      <c r="I322" s="73" t="n"/>
      <c r="J322" s="75">
        <f>IF(B322="","",SUMIFS('Change Orders'!$J$7:$J$1006,'Change Orders'!$E$7:$E$1006,B322,'Change Orders'!$L$7:$L$1006,"Approved"))</f>
        <v/>
      </c>
      <c r="K322" s="76">
        <f>IF(B322="","",I322+J322)</f>
        <v/>
      </c>
      <c r="L322" s="74" t="n"/>
      <c r="M322" s="109" t="n"/>
      <c r="N322" s="109" t="n"/>
      <c r="O322" s="74" t="n"/>
      <c r="P322" s="74" t="n"/>
      <c r="Q322" s="100" t="n"/>
      <c r="R322" s="110" t="n"/>
      <c r="S322" s="75">
        <f>IF(B322="","",SUMIFS('Payments'!$N$6:$N$1005,'Payments'!$B$6:$B$1005,B322))</f>
        <v/>
      </c>
      <c r="T322" s="111">
        <f>IF(OR(B322="",K322=0),"",S322/K322)</f>
        <v/>
      </c>
      <c r="U322" s="78">
        <f>IF(V322="","",IF(V322=2,"⚠️ Paying ahead of work","✓ OK"))</f>
        <v/>
      </c>
      <c r="V322" s="79">
        <f>IF(T322="","",IF(T322-R322&gt;OverpayTol,2,0))</f>
        <v/>
      </c>
      <c r="W322" s="112">
        <f>IF(V322=2,AsOf,"")</f>
        <v/>
      </c>
      <c r="X322" s="79">
        <f>IF(W322="","",1)</f>
        <v/>
      </c>
      <c r="Y322" s="79">
        <f>IF(X322="","","Paying ahead of work: "&amp;B322&amp;" — paid "&amp;ROUND(T322*100,0)&amp;"%, work done "&amp;ROUND(R322*100,0)&amp;"%")</f>
        <v/>
      </c>
      <c r="AA322" s="72" t="n"/>
      <c r="AB322" s="109" t="n"/>
      <c r="AC322" s="113" t="n"/>
      <c r="AD322" s="74" t="n"/>
      <c r="AE322" s="109" t="n"/>
      <c r="AF322" s="74" t="n"/>
      <c r="AG322" s="112">
        <f>IF(AND(AA322&lt;&gt;"",AD322="Yes",AF322&lt;&gt;"Yes",AE322&lt;&gt;""),AE322,"")</f>
        <v/>
      </c>
      <c r="AH322" s="79">
        <f>IF(AG322="","",IF(AG322&lt;AsOf,1,IF(AG322&lt;=AsOf+AlertDays,2,IF(AG322&lt;=AsOf+2*AlertDays,3,""))))</f>
        <v/>
      </c>
      <c r="AI322" s="79">
        <f>IF(AH322="","","Follow up with "&amp;AA322&amp;": "&amp;AC322)</f>
        <v/>
      </c>
    </row>
    <row r="323" ht="20" customHeight="1">
      <c r="B323" s="72" t="n"/>
      <c r="C323" s="72" t="n"/>
      <c r="D323" s="72" t="n"/>
      <c r="E323" s="72" t="n"/>
      <c r="F323" s="72" t="n"/>
      <c r="G323" s="72" t="n"/>
      <c r="H323" s="72" t="n"/>
      <c r="I323" s="73" t="n"/>
      <c r="J323" s="75">
        <f>IF(B323="","",SUMIFS('Change Orders'!$J$7:$J$1006,'Change Orders'!$E$7:$E$1006,B323,'Change Orders'!$L$7:$L$1006,"Approved"))</f>
        <v/>
      </c>
      <c r="K323" s="76">
        <f>IF(B323="","",I323+J323)</f>
        <v/>
      </c>
      <c r="L323" s="74" t="n"/>
      <c r="M323" s="109" t="n"/>
      <c r="N323" s="109" t="n"/>
      <c r="O323" s="74" t="n"/>
      <c r="P323" s="74" t="n"/>
      <c r="Q323" s="100" t="n"/>
      <c r="R323" s="110" t="n"/>
      <c r="S323" s="75">
        <f>IF(B323="","",SUMIFS('Payments'!$N$6:$N$1005,'Payments'!$B$6:$B$1005,B323))</f>
        <v/>
      </c>
      <c r="T323" s="111">
        <f>IF(OR(B323="",K323=0),"",S323/K323)</f>
        <v/>
      </c>
      <c r="U323" s="78">
        <f>IF(V323="","",IF(V323=2,"⚠️ Paying ahead of work","✓ OK"))</f>
        <v/>
      </c>
      <c r="V323" s="79">
        <f>IF(T323="","",IF(T323-R323&gt;OverpayTol,2,0))</f>
        <v/>
      </c>
      <c r="W323" s="112">
        <f>IF(V323=2,AsOf,"")</f>
        <v/>
      </c>
      <c r="X323" s="79">
        <f>IF(W323="","",1)</f>
        <v/>
      </c>
      <c r="Y323" s="79">
        <f>IF(X323="","","Paying ahead of work: "&amp;B323&amp;" — paid "&amp;ROUND(T323*100,0)&amp;"%, work done "&amp;ROUND(R323*100,0)&amp;"%")</f>
        <v/>
      </c>
      <c r="AA323" s="72" t="n"/>
      <c r="AB323" s="109" t="n"/>
      <c r="AC323" s="113" t="n"/>
      <c r="AD323" s="74" t="n"/>
      <c r="AE323" s="109" t="n"/>
      <c r="AF323" s="74" t="n"/>
      <c r="AG323" s="112">
        <f>IF(AND(AA323&lt;&gt;"",AD323="Yes",AF323&lt;&gt;"Yes",AE323&lt;&gt;""),AE323,"")</f>
        <v/>
      </c>
      <c r="AH323" s="79">
        <f>IF(AG323="","",IF(AG323&lt;AsOf,1,IF(AG323&lt;=AsOf+AlertDays,2,IF(AG323&lt;=AsOf+2*AlertDays,3,""))))</f>
        <v/>
      </c>
      <c r="AI323" s="79">
        <f>IF(AH323="","","Follow up with "&amp;AA323&amp;": "&amp;AC323)</f>
        <v/>
      </c>
    </row>
    <row r="324" ht="20" customHeight="1">
      <c r="B324" s="72" t="n"/>
      <c r="C324" s="72" t="n"/>
      <c r="D324" s="72" t="n"/>
      <c r="E324" s="72" t="n"/>
      <c r="F324" s="72" t="n"/>
      <c r="G324" s="72" t="n"/>
      <c r="H324" s="72" t="n"/>
      <c r="I324" s="73" t="n"/>
      <c r="J324" s="75">
        <f>IF(B324="","",SUMIFS('Change Orders'!$J$7:$J$1006,'Change Orders'!$E$7:$E$1006,B324,'Change Orders'!$L$7:$L$1006,"Approved"))</f>
        <v/>
      </c>
      <c r="K324" s="76">
        <f>IF(B324="","",I324+J324)</f>
        <v/>
      </c>
      <c r="L324" s="74" t="n"/>
      <c r="M324" s="109" t="n"/>
      <c r="N324" s="109" t="n"/>
      <c r="O324" s="74" t="n"/>
      <c r="P324" s="74" t="n"/>
      <c r="Q324" s="100" t="n"/>
      <c r="R324" s="110" t="n"/>
      <c r="S324" s="75">
        <f>IF(B324="","",SUMIFS('Payments'!$N$6:$N$1005,'Payments'!$B$6:$B$1005,B324))</f>
        <v/>
      </c>
      <c r="T324" s="111">
        <f>IF(OR(B324="",K324=0),"",S324/K324)</f>
        <v/>
      </c>
      <c r="U324" s="78">
        <f>IF(V324="","",IF(V324=2,"⚠️ Paying ahead of work","✓ OK"))</f>
        <v/>
      </c>
      <c r="V324" s="79">
        <f>IF(T324="","",IF(T324-R324&gt;OverpayTol,2,0))</f>
        <v/>
      </c>
      <c r="W324" s="112">
        <f>IF(V324=2,AsOf,"")</f>
        <v/>
      </c>
      <c r="X324" s="79">
        <f>IF(W324="","",1)</f>
        <v/>
      </c>
      <c r="Y324" s="79">
        <f>IF(X324="","","Paying ahead of work: "&amp;B324&amp;" — paid "&amp;ROUND(T324*100,0)&amp;"%, work done "&amp;ROUND(R324*100,0)&amp;"%")</f>
        <v/>
      </c>
      <c r="AA324" s="72" t="n"/>
      <c r="AB324" s="109" t="n"/>
      <c r="AC324" s="113" t="n"/>
      <c r="AD324" s="74" t="n"/>
      <c r="AE324" s="109" t="n"/>
      <c r="AF324" s="74" t="n"/>
      <c r="AG324" s="112">
        <f>IF(AND(AA324&lt;&gt;"",AD324="Yes",AF324&lt;&gt;"Yes",AE324&lt;&gt;""),AE324,"")</f>
        <v/>
      </c>
      <c r="AH324" s="79">
        <f>IF(AG324="","",IF(AG324&lt;AsOf,1,IF(AG324&lt;=AsOf+AlertDays,2,IF(AG324&lt;=AsOf+2*AlertDays,3,""))))</f>
        <v/>
      </c>
      <c r="AI324" s="79">
        <f>IF(AH324="","","Follow up with "&amp;AA324&amp;": "&amp;AC324)</f>
        <v/>
      </c>
    </row>
    <row r="325" ht="20" customHeight="1">
      <c r="B325" s="72" t="n"/>
      <c r="C325" s="72" t="n"/>
      <c r="D325" s="72" t="n"/>
      <c r="E325" s="72" t="n"/>
      <c r="F325" s="72" t="n"/>
      <c r="G325" s="72" t="n"/>
      <c r="H325" s="72" t="n"/>
      <c r="I325" s="73" t="n"/>
      <c r="J325" s="75">
        <f>IF(B325="","",SUMIFS('Change Orders'!$J$7:$J$1006,'Change Orders'!$E$7:$E$1006,B325,'Change Orders'!$L$7:$L$1006,"Approved"))</f>
        <v/>
      </c>
      <c r="K325" s="76">
        <f>IF(B325="","",I325+J325)</f>
        <v/>
      </c>
      <c r="L325" s="74" t="n"/>
      <c r="M325" s="109" t="n"/>
      <c r="N325" s="109" t="n"/>
      <c r="O325" s="74" t="n"/>
      <c r="P325" s="74" t="n"/>
      <c r="Q325" s="100" t="n"/>
      <c r="R325" s="110" t="n"/>
      <c r="S325" s="75">
        <f>IF(B325="","",SUMIFS('Payments'!$N$6:$N$1005,'Payments'!$B$6:$B$1005,B325))</f>
        <v/>
      </c>
      <c r="T325" s="111">
        <f>IF(OR(B325="",K325=0),"",S325/K325)</f>
        <v/>
      </c>
      <c r="U325" s="78">
        <f>IF(V325="","",IF(V325=2,"⚠️ Paying ahead of work","✓ OK"))</f>
        <v/>
      </c>
      <c r="V325" s="79">
        <f>IF(T325="","",IF(T325-R325&gt;OverpayTol,2,0))</f>
        <v/>
      </c>
      <c r="W325" s="112">
        <f>IF(V325=2,AsOf,"")</f>
        <v/>
      </c>
      <c r="X325" s="79">
        <f>IF(W325="","",1)</f>
        <v/>
      </c>
      <c r="Y325" s="79">
        <f>IF(X325="","","Paying ahead of work: "&amp;B325&amp;" — paid "&amp;ROUND(T325*100,0)&amp;"%, work done "&amp;ROUND(R325*100,0)&amp;"%")</f>
        <v/>
      </c>
      <c r="AA325" s="72" t="n"/>
      <c r="AB325" s="109" t="n"/>
      <c r="AC325" s="113" t="n"/>
      <c r="AD325" s="74" t="n"/>
      <c r="AE325" s="109" t="n"/>
      <c r="AF325" s="74" t="n"/>
      <c r="AG325" s="112">
        <f>IF(AND(AA325&lt;&gt;"",AD325="Yes",AF325&lt;&gt;"Yes",AE325&lt;&gt;""),AE325,"")</f>
        <v/>
      </c>
      <c r="AH325" s="79">
        <f>IF(AG325="","",IF(AG325&lt;AsOf,1,IF(AG325&lt;=AsOf+AlertDays,2,IF(AG325&lt;=AsOf+2*AlertDays,3,""))))</f>
        <v/>
      </c>
      <c r="AI325" s="79">
        <f>IF(AH325="","","Follow up with "&amp;AA325&amp;": "&amp;AC325)</f>
        <v/>
      </c>
    </row>
    <row r="326" ht="20" customHeight="1">
      <c r="B326" s="72" t="n"/>
      <c r="C326" s="72" t="n"/>
      <c r="D326" s="72" t="n"/>
      <c r="E326" s="72" t="n"/>
      <c r="F326" s="72" t="n"/>
      <c r="G326" s="72" t="n"/>
      <c r="H326" s="72" t="n"/>
      <c r="I326" s="73" t="n"/>
      <c r="J326" s="75">
        <f>IF(B326="","",SUMIFS('Change Orders'!$J$7:$J$1006,'Change Orders'!$E$7:$E$1006,B326,'Change Orders'!$L$7:$L$1006,"Approved"))</f>
        <v/>
      </c>
      <c r="K326" s="76">
        <f>IF(B326="","",I326+J326)</f>
        <v/>
      </c>
      <c r="L326" s="74" t="n"/>
      <c r="M326" s="109" t="n"/>
      <c r="N326" s="109" t="n"/>
      <c r="O326" s="74" t="n"/>
      <c r="P326" s="74" t="n"/>
      <c r="Q326" s="100" t="n"/>
      <c r="R326" s="110" t="n"/>
      <c r="S326" s="75">
        <f>IF(B326="","",SUMIFS('Payments'!$N$6:$N$1005,'Payments'!$B$6:$B$1005,B326))</f>
        <v/>
      </c>
      <c r="T326" s="111">
        <f>IF(OR(B326="",K326=0),"",S326/K326)</f>
        <v/>
      </c>
      <c r="U326" s="78">
        <f>IF(V326="","",IF(V326=2,"⚠️ Paying ahead of work","✓ OK"))</f>
        <v/>
      </c>
      <c r="V326" s="79">
        <f>IF(T326="","",IF(T326-R326&gt;OverpayTol,2,0))</f>
        <v/>
      </c>
      <c r="W326" s="112">
        <f>IF(V326=2,AsOf,"")</f>
        <v/>
      </c>
      <c r="X326" s="79">
        <f>IF(W326="","",1)</f>
        <v/>
      </c>
      <c r="Y326" s="79">
        <f>IF(X326="","","Paying ahead of work: "&amp;B326&amp;" — paid "&amp;ROUND(T326*100,0)&amp;"%, work done "&amp;ROUND(R326*100,0)&amp;"%")</f>
        <v/>
      </c>
      <c r="AA326" s="72" t="n"/>
      <c r="AB326" s="109" t="n"/>
      <c r="AC326" s="113" t="n"/>
      <c r="AD326" s="74" t="n"/>
      <c r="AE326" s="109" t="n"/>
      <c r="AF326" s="74" t="n"/>
      <c r="AG326" s="112">
        <f>IF(AND(AA326&lt;&gt;"",AD326="Yes",AF326&lt;&gt;"Yes",AE326&lt;&gt;""),AE326,"")</f>
        <v/>
      </c>
      <c r="AH326" s="79">
        <f>IF(AG326="","",IF(AG326&lt;AsOf,1,IF(AG326&lt;=AsOf+AlertDays,2,IF(AG326&lt;=AsOf+2*AlertDays,3,""))))</f>
        <v/>
      </c>
      <c r="AI326" s="79">
        <f>IF(AH326="","","Follow up with "&amp;AA326&amp;": "&amp;AC326)</f>
        <v/>
      </c>
    </row>
    <row r="327" ht="20" customHeight="1">
      <c r="B327" s="72" t="n"/>
      <c r="C327" s="72" t="n"/>
      <c r="D327" s="72" t="n"/>
      <c r="E327" s="72" t="n"/>
      <c r="F327" s="72" t="n"/>
      <c r="G327" s="72" t="n"/>
      <c r="H327" s="72" t="n"/>
      <c r="I327" s="73" t="n"/>
      <c r="J327" s="75">
        <f>IF(B327="","",SUMIFS('Change Orders'!$J$7:$J$1006,'Change Orders'!$E$7:$E$1006,B327,'Change Orders'!$L$7:$L$1006,"Approved"))</f>
        <v/>
      </c>
      <c r="K327" s="76">
        <f>IF(B327="","",I327+J327)</f>
        <v/>
      </c>
      <c r="L327" s="74" t="n"/>
      <c r="M327" s="109" t="n"/>
      <c r="N327" s="109" t="n"/>
      <c r="O327" s="74" t="n"/>
      <c r="P327" s="74" t="n"/>
      <c r="Q327" s="100" t="n"/>
      <c r="R327" s="110" t="n"/>
      <c r="S327" s="75">
        <f>IF(B327="","",SUMIFS('Payments'!$N$6:$N$1005,'Payments'!$B$6:$B$1005,B327))</f>
        <v/>
      </c>
      <c r="T327" s="111">
        <f>IF(OR(B327="",K327=0),"",S327/K327)</f>
        <v/>
      </c>
      <c r="U327" s="78">
        <f>IF(V327="","",IF(V327=2,"⚠️ Paying ahead of work","✓ OK"))</f>
        <v/>
      </c>
      <c r="V327" s="79">
        <f>IF(T327="","",IF(T327-R327&gt;OverpayTol,2,0))</f>
        <v/>
      </c>
      <c r="W327" s="112">
        <f>IF(V327=2,AsOf,"")</f>
        <v/>
      </c>
      <c r="X327" s="79">
        <f>IF(W327="","",1)</f>
        <v/>
      </c>
      <c r="Y327" s="79">
        <f>IF(X327="","","Paying ahead of work: "&amp;B327&amp;" — paid "&amp;ROUND(T327*100,0)&amp;"%, work done "&amp;ROUND(R327*100,0)&amp;"%")</f>
        <v/>
      </c>
      <c r="AA327" s="72" t="n"/>
      <c r="AB327" s="109" t="n"/>
      <c r="AC327" s="113" t="n"/>
      <c r="AD327" s="74" t="n"/>
      <c r="AE327" s="109" t="n"/>
      <c r="AF327" s="74" t="n"/>
      <c r="AG327" s="112">
        <f>IF(AND(AA327&lt;&gt;"",AD327="Yes",AF327&lt;&gt;"Yes",AE327&lt;&gt;""),AE327,"")</f>
        <v/>
      </c>
      <c r="AH327" s="79">
        <f>IF(AG327="","",IF(AG327&lt;AsOf,1,IF(AG327&lt;=AsOf+AlertDays,2,IF(AG327&lt;=AsOf+2*AlertDays,3,""))))</f>
        <v/>
      </c>
      <c r="AI327" s="79">
        <f>IF(AH327="","","Follow up with "&amp;AA327&amp;": "&amp;AC327)</f>
        <v/>
      </c>
    </row>
    <row r="328" ht="20" customHeight="1">
      <c r="B328" s="72" t="n"/>
      <c r="C328" s="72" t="n"/>
      <c r="D328" s="72" t="n"/>
      <c r="E328" s="72" t="n"/>
      <c r="F328" s="72" t="n"/>
      <c r="G328" s="72" t="n"/>
      <c r="H328" s="72" t="n"/>
      <c r="I328" s="73" t="n"/>
      <c r="J328" s="75">
        <f>IF(B328="","",SUMIFS('Change Orders'!$J$7:$J$1006,'Change Orders'!$E$7:$E$1006,B328,'Change Orders'!$L$7:$L$1006,"Approved"))</f>
        <v/>
      </c>
      <c r="K328" s="76">
        <f>IF(B328="","",I328+J328)</f>
        <v/>
      </c>
      <c r="L328" s="74" t="n"/>
      <c r="M328" s="109" t="n"/>
      <c r="N328" s="109" t="n"/>
      <c r="O328" s="74" t="n"/>
      <c r="P328" s="74" t="n"/>
      <c r="Q328" s="100" t="n"/>
      <c r="R328" s="110" t="n"/>
      <c r="S328" s="75">
        <f>IF(B328="","",SUMIFS('Payments'!$N$6:$N$1005,'Payments'!$B$6:$B$1005,B328))</f>
        <v/>
      </c>
      <c r="T328" s="111">
        <f>IF(OR(B328="",K328=0),"",S328/K328)</f>
        <v/>
      </c>
      <c r="U328" s="78">
        <f>IF(V328="","",IF(V328=2,"⚠️ Paying ahead of work","✓ OK"))</f>
        <v/>
      </c>
      <c r="V328" s="79">
        <f>IF(T328="","",IF(T328-R328&gt;OverpayTol,2,0))</f>
        <v/>
      </c>
      <c r="W328" s="112">
        <f>IF(V328=2,AsOf,"")</f>
        <v/>
      </c>
      <c r="X328" s="79">
        <f>IF(W328="","",1)</f>
        <v/>
      </c>
      <c r="Y328" s="79">
        <f>IF(X328="","","Paying ahead of work: "&amp;B328&amp;" — paid "&amp;ROUND(T328*100,0)&amp;"%, work done "&amp;ROUND(R328*100,0)&amp;"%")</f>
        <v/>
      </c>
      <c r="AA328" s="72" t="n"/>
      <c r="AB328" s="109" t="n"/>
      <c r="AC328" s="113" t="n"/>
      <c r="AD328" s="74" t="n"/>
      <c r="AE328" s="109" t="n"/>
      <c r="AF328" s="74" t="n"/>
      <c r="AG328" s="112">
        <f>IF(AND(AA328&lt;&gt;"",AD328="Yes",AF328&lt;&gt;"Yes",AE328&lt;&gt;""),AE328,"")</f>
        <v/>
      </c>
      <c r="AH328" s="79">
        <f>IF(AG328="","",IF(AG328&lt;AsOf,1,IF(AG328&lt;=AsOf+AlertDays,2,IF(AG328&lt;=AsOf+2*AlertDays,3,""))))</f>
        <v/>
      </c>
      <c r="AI328" s="79">
        <f>IF(AH328="","","Follow up with "&amp;AA328&amp;": "&amp;AC328)</f>
        <v/>
      </c>
    </row>
    <row r="329" ht="20" customHeight="1">
      <c r="B329" s="72" t="n"/>
      <c r="C329" s="72" t="n"/>
      <c r="D329" s="72" t="n"/>
      <c r="E329" s="72" t="n"/>
      <c r="F329" s="72" t="n"/>
      <c r="G329" s="72" t="n"/>
      <c r="H329" s="72" t="n"/>
      <c r="I329" s="73" t="n"/>
      <c r="J329" s="75">
        <f>IF(B329="","",SUMIFS('Change Orders'!$J$7:$J$1006,'Change Orders'!$E$7:$E$1006,B329,'Change Orders'!$L$7:$L$1006,"Approved"))</f>
        <v/>
      </c>
      <c r="K329" s="76">
        <f>IF(B329="","",I329+J329)</f>
        <v/>
      </c>
      <c r="L329" s="74" t="n"/>
      <c r="M329" s="109" t="n"/>
      <c r="N329" s="109" t="n"/>
      <c r="O329" s="74" t="n"/>
      <c r="P329" s="74" t="n"/>
      <c r="Q329" s="100" t="n"/>
      <c r="R329" s="110" t="n"/>
      <c r="S329" s="75">
        <f>IF(B329="","",SUMIFS('Payments'!$N$6:$N$1005,'Payments'!$B$6:$B$1005,B329))</f>
        <v/>
      </c>
      <c r="T329" s="111">
        <f>IF(OR(B329="",K329=0),"",S329/K329)</f>
        <v/>
      </c>
      <c r="U329" s="78">
        <f>IF(V329="","",IF(V329=2,"⚠️ Paying ahead of work","✓ OK"))</f>
        <v/>
      </c>
      <c r="V329" s="79">
        <f>IF(T329="","",IF(T329-R329&gt;OverpayTol,2,0))</f>
        <v/>
      </c>
      <c r="W329" s="112">
        <f>IF(V329=2,AsOf,"")</f>
        <v/>
      </c>
      <c r="X329" s="79">
        <f>IF(W329="","",1)</f>
        <v/>
      </c>
      <c r="Y329" s="79">
        <f>IF(X329="","","Paying ahead of work: "&amp;B329&amp;" — paid "&amp;ROUND(T329*100,0)&amp;"%, work done "&amp;ROUND(R329*100,0)&amp;"%")</f>
        <v/>
      </c>
      <c r="AA329" s="72" t="n"/>
      <c r="AB329" s="109" t="n"/>
      <c r="AC329" s="113" t="n"/>
      <c r="AD329" s="74" t="n"/>
      <c r="AE329" s="109" t="n"/>
      <c r="AF329" s="74" t="n"/>
      <c r="AG329" s="112">
        <f>IF(AND(AA329&lt;&gt;"",AD329="Yes",AF329&lt;&gt;"Yes",AE329&lt;&gt;""),AE329,"")</f>
        <v/>
      </c>
      <c r="AH329" s="79">
        <f>IF(AG329="","",IF(AG329&lt;AsOf,1,IF(AG329&lt;=AsOf+AlertDays,2,IF(AG329&lt;=AsOf+2*AlertDays,3,""))))</f>
        <v/>
      </c>
      <c r="AI329" s="79">
        <f>IF(AH329="","","Follow up with "&amp;AA329&amp;": "&amp;AC329)</f>
        <v/>
      </c>
    </row>
    <row r="330" ht="20" customHeight="1">
      <c r="B330" s="72" t="n"/>
      <c r="C330" s="72" t="n"/>
      <c r="D330" s="72" t="n"/>
      <c r="E330" s="72" t="n"/>
      <c r="F330" s="72" t="n"/>
      <c r="G330" s="72" t="n"/>
      <c r="H330" s="72" t="n"/>
      <c r="I330" s="73" t="n"/>
      <c r="J330" s="75">
        <f>IF(B330="","",SUMIFS('Change Orders'!$J$7:$J$1006,'Change Orders'!$E$7:$E$1006,B330,'Change Orders'!$L$7:$L$1006,"Approved"))</f>
        <v/>
      </c>
      <c r="K330" s="76">
        <f>IF(B330="","",I330+J330)</f>
        <v/>
      </c>
      <c r="L330" s="74" t="n"/>
      <c r="M330" s="109" t="n"/>
      <c r="N330" s="109" t="n"/>
      <c r="O330" s="74" t="n"/>
      <c r="P330" s="74" t="n"/>
      <c r="Q330" s="100" t="n"/>
      <c r="R330" s="110" t="n"/>
      <c r="S330" s="75">
        <f>IF(B330="","",SUMIFS('Payments'!$N$6:$N$1005,'Payments'!$B$6:$B$1005,B330))</f>
        <v/>
      </c>
      <c r="T330" s="111">
        <f>IF(OR(B330="",K330=0),"",S330/K330)</f>
        <v/>
      </c>
      <c r="U330" s="78">
        <f>IF(V330="","",IF(V330=2,"⚠️ Paying ahead of work","✓ OK"))</f>
        <v/>
      </c>
      <c r="V330" s="79">
        <f>IF(T330="","",IF(T330-R330&gt;OverpayTol,2,0))</f>
        <v/>
      </c>
      <c r="W330" s="112">
        <f>IF(V330=2,AsOf,"")</f>
        <v/>
      </c>
      <c r="X330" s="79">
        <f>IF(W330="","",1)</f>
        <v/>
      </c>
      <c r="Y330" s="79">
        <f>IF(X330="","","Paying ahead of work: "&amp;B330&amp;" — paid "&amp;ROUND(T330*100,0)&amp;"%, work done "&amp;ROUND(R330*100,0)&amp;"%")</f>
        <v/>
      </c>
      <c r="AA330" s="72" t="n"/>
      <c r="AB330" s="109" t="n"/>
      <c r="AC330" s="113" t="n"/>
      <c r="AD330" s="74" t="n"/>
      <c r="AE330" s="109" t="n"/>
      <c r="AF330" s="74" t="n"/>
      <c r="AG330" s="112">
        <f>IF(AND(AA330&lt;&gt;"",AD330="Yes",AF330&lt;&gt;"Yes",AE330&lt;&gt;""),AE330,"")</f>
        <v/>
      </c>
      <c r="AH330" s="79">
        <f>IF(AG330="","",IF(AG330&lt;AsOf,1,IF(AG330&lt;=AsOf+AlertDays,2,IF(AG330&lt;=AsOf+2*AlertDays,3,""))))</f>
        <v/>
      </c>
      <c r="AI330" s="79">
        <f>IF(AH330="","","Follow up with "&amp;AA330&amp;": "&amp;AC330)</f>
        <v/>
      </c>
    </row>
    <row r="331" ht="20" customHeight="1">
      <c r="B331" s="72" t="n"/>
      <c r="C331" s="72" t="n"/>
      <c r="D331" s="72" t="n"/>
      <c r="E331" s="72" t="n"/>
      <c r="F331" s="72" t="n"/>
      <c r="G331" s="72" t="n"/>
      <c r="H331" s="72" t="n"/>
      <c r="I331" s="73" t="n"/>
      <c r="J331" s="75">
        <f>IF(B331="","",SUMIFS('Change Orders'!$J$7:$J$1006,'Change Orders'!$E$7:$E$1006,B331,'Change Orders'!$L$7:$L$1006,"Approved"))</f>
        <v/>
      </c>
      <c r="K331" s="76">
        <f>IF(B331="","",I331+J331)</f>
        <v/>
      </c>
      <c r="L331" s="74" t="n"/>
      <c r="M331" s="109" t="n"/>
      <c r="N331" s="109" t="n"/>
      <c r="O331" s="74" t="n"/>
      <c r="P331" s="74" t="n"/>
      <c r="Q331" s="100" t="n"/>
      <c r="R331" s="110" t="n"/>
      <c r="S331" s="75">
        <f>IF(B331="","",SUMIFS('Payments'!$N$6:$N$1005,'Payments'!$B$6:$B$1005,B331))</f>
        <v/>
      </c>
      <c r="T331" s="111">
        <f>IF(OR(B331="",K331=0),"",S331/K331)</f>
        <v/>
      </c>
      <c r="U331" s="78">
        <f>IF(V331="","",IF(V331=2,"⚠️ Paying ahead of work","✓ OK"))</f>
        <v/>
      </c>
      <c r="V331" s="79">
        <f>IF(T331="","",IF(T331-R331&gt;OverpayTol,2,0))</f>
        <v/>
      </c>
      <c r="W331" s="112">
        <f>IF(V331=2,AsOf,"")</f>
        <v/>
      </c>
      <c r="X331" s="79">
        <f>IF(W331="","",1)</f>
        <v/>
      </c>
      <c r="Y331" s="79">
        <f>IF(X331="","","Paying ahead of work: "&amp;B331&amp;" — paid "&amp;ROUND(T331*100,0)&amp;"%, work done "&amp;ROUND(R331*100,0)&amp;"%")</f>
        <v/>
      </c>
      <c r="AA331" s="72" t="n"/>
      <c r="AB331" s="109" t="n"/>
      <c r="AC331" s="113" t="n"/>
      <c r="AD331" s="74" t="n"/>
      <c r="AE331" s="109" t="n"/>
      <c r="AF331" s="74" t="n"/>
      <c r="AG331" s="112">
        <f>IF(AND(AA331&lt;&gt;"",AD331="Yes",AF331&lt;&gt;"Yes",AE331&lt;&gt;""),AE331,"")</f>
        <v/>
      </c>
      <c r="AH331" s="79">
        <f>IF(AG331="","",IF(AG331&lt;AsOf,1,IF(AG331&lt;=AsOf+AlertDays,2,IF(AG331&lt;=AsOf+2*AlertDays,3,""))))</f>
        <v/>
      </c>
      <c r="AI331" s="79">
        <f>IF(AH331="","","Follow up with "&amp;AA331&amp;": "&amp;AC331)</f>
        <v/>
      </c>
    </row>
    <row r="332" ht="20" customHeight="1">
      <c r="B332" s="72" t="n"/>
      <c r="C332" s="72" t="n"/>
      <c r="D332" s="72" t="n"/>
      <c r="E332" s="72" t="n"/>
      <c r="F332" s="72" t="n"/>
      <c r="G332" s="72" t="n"/>
      <c r="H332" s="72" t="n"/>
      <c r="I332" s="73" t="n"/>
      <c r="J332" s="75">
        <f>IF(B332="","",SUMIFS('Change Orders'!$J$7:$J$1006,'Change Orders'!$E$7:$E$1006,B332,'Change Orders'!$L$7:$L$1006,"Approved"))</f>
        <v/>
      </c>
      <c r="K332" s="76">
        <f>IF(B332="","",I332+J332)</f>
        <v/>
      </c>
      <c r="L332" s="74" t="n"/>
      <c r="M332" s="109" t="n"/>
      <c r="N332" s="109" t="n"/>
      <c r="O332" s="74" t="n"/>
      <c r="P332" s="74" t="n"/>
      <c r="Q332" s="100" t="n"/>
      <c r="R332" s="110" t="n"/>
      <c r="S332" s="75">
        <f>IF(B332="","",SUMIFS('Payments'!$N$6:$N$1005,'Payments'!$B$6:$B$1005,B332))</f>
        <v/>
      </c>
      <c r="T332" s="111">
        <f>IF(OR(B332="",K332=0),"",S332/K332)</f>
        <v/>
      </c>
      <c r="U332" s="78">
        <f>IF(V332="","",IF(V332=2,"⚠️ Paying ahead of work","✓ OK"))</f>
        <v/>
      </c>
      <c r="V332" s="79">
        <f>IF(T332="","",IF(T332-R332&gt;OverpayTol,2,0))</f>
        <v/>
      </c>
      <c r="W332" s="112">
        <f>IF(V332=2,AsOf,"")</f>
        <v/>
      </c>
      <c r="X332" s="79">
        <f>IF(W332="","",1)</f>
        <v/>
      </c>
      <c r="Y332" s="79">
        <f>IF(X332="","","Paying ahead of work: "&amp;B332&amp;" — paid "&amp;ROUND(T332*100,0)&amp;"%, work done "&amp;ROUND(R332*100,0)&amp;"%")</f>
        <v/>
      </c>
      <c r="AA332" s="72" t="n"/>
      <c r="AB332" s="109" t="n"/>
      <c r="AC332" s="113" t="n"/>
      <c r="AD332" s="74" t="n"/>
      <c r="AE332" s="109" t="n"/>
      <c r="AF332" s="74" t="n"/>
      <c r="AG332" s="112">
        <f>IF(AND(AA332&lt;&gt;"",AD332="Yes",AF332&lt;&gt;"Yes",AE332&lt;&gt;""),AE332,"")</f>
        <v/>
      </c>
      <c r="AH332" s="79">
        <f>IF(AG332="","",IF(AG332&lt;AsOf,1,IF(AG332&lt;=AsOf+AlertDays,2,IF(AG332&lt;=AsOf+2*AlertDays,3,""))))</f>
        <v/>
      </c>
      <c r="AI332" s="79">
        <f>IF(AH332="","","Follow up with "&amp;AA332&amp;": "&amp;AC332)</f>
        <v/>
      </c>
    </row>
    <row r="333" ht="20" customHeight="1">
      <c r="B333" s="72" t="n"/>
      <c r="C333" s="72" t="n"/>
      <c r="D333" s="72" t="n"/>
      <c r="E333" s="72" t="n"/>
      <c r="F333" s="72" t="n"/>
      <c r="G333" s="72" t="n"/>
      <c r="H333" s="72" t="n"/>
      <c r="I333" s="73" t="n"/>
      <c r="J333" s="75">
        <f>IF(B333="","",SUMIFS('Change Orders'!$J$7:$J$1006,'Change Orders'!$E$7:$E$1006,B333,'Change Orders'!$L$7:$L$1006,"Approved"))</f>
        <v/>
      </c>
      <c r="K333" s="76">
        <f>IF(B333="","",I333+J333)</f>
        <v/>
      </c>
      <c r="L333" s="74" t="n"/>
      <c r="M333" s="109" t="n"/>
      <c r="N333" s="109" t="n"/>
      <c r="O333" s="74" t="n"/>
      <c r="P333" s="74" t="n"/>
      <c r="Q333" s="100" t="n"/>
      <c r="R333" s="110" t="n"/>
      <c r="S333" s="75">
        <f>IF(B333="","",SUMIFS('Payments'!$N$6:$N$1005,'Payments'!$B$6:$B$1005,B333))</f>
        <v/>
      </c>
      <c r="T333" s="111">
        <f>IF(OR(B333="",K333=0),"",S333/K333)</f>
        <v/>
      </c>
      <c r="U333" s="78">
        <f>IF(V333="","",IF(V333=2,"⚠️ Paying ahead of work","✓ OK"))</f>
        <v/>
      </c>
      <c r="V333" s="79">
        <f>IF(T333="","",IF(T333-R333&gt;OverpayTol,2,0))</f>
        <v/>
      </c>
      <c r="W333" s="112">
        <f>IF(V333=2,AsOf,"")</f>
        <v/>
      </c>
      <c r="X333" s="79">
        <f>IF(W333="","",1)</f>
        <v/>
      </c>
      <c r="Y333" s="79">
        <f>IF(X333="","","Paying ahead of work: "&amp;B333&amp;" — paid "&amp;ROUND(T333*100,0)&amp;"%, work done "&amp;ROUND(R333*100,0)&amp;"%")</f>
        <v/>
      </c>
      <c r="AA333" s="72" t="n"/>
      <c r="AB333" s="109" t="n"/>
      <c r="AC333" s="113" t="n"/>
      <c r="AD333" s="74" t="n"/>
      <c r="AE333" s="109" t="n"/>
      <c r="AF333" s="74" t="n"/>
      <c r="AG333" s="112">
        <f>IF(AND(AA333&lt;&gt;"",AD333="Yes",AF333&lt;&gt;"Yes",AE333&lt;&gt;""),AE333,"")</f>
        <v/>
      </c>
      <c r="AH333" s="79">
        <f>IF(AG333="","",IF(AG333&lt;AsOf,1,IF(AG333&lt;=AsOf+AlertDays,2,IF(AG333&lt;=AsOf+2*AlertDays,3,""))))</f>
        <v/>
      </c>
      <c r="AI333" s="79">
        <f>IF(AH333="","","Follow up with "&amp;AA333&amp;": "&amp;AC333)</f>
        <v/>
      </c>
    </row>
    <row r="334" ht="20" customHeight="1">
      <c r="B334" s="72" t="n"/>
      <c r="C334" s="72" t="n"/>
      <c r="D334" s="72" t="n"/>
      <c r="E334" s="72" t="n"/>
      <c r="F334" s="72" t="n"/>
      <c r="G334" s="72" t="n"/>
      <c r="H334" s="72" t="n"/>
      <c r="I334" s="73" t="n"/>
      <c r="J334" s="75">
        <f>IF(B334="","",SUMIFS('Change Orders'!$J$7:$J$1006,'Change Orders'!$E$7:$E$1006,B334,'Change Orders'!$L$7:$L$1006,"Approved"))</f>
        <v/>
      </c>
      <c r="K334" s="76">
        <f>IF(B334="","",I334+J334)</f>
        <v/>
      </c>
      <c r="L334" s="74" t="n"/>
      <c r="M334" s="109" t="n"/>
      <c r="N334" s="109" t="n"/>
      <c r="O334" s="74" t="n"/>
      <c r="P334" s="74" t="n"/>
      <c r="Q334" s="100" t="n"/>
      <c r="R334" s="110" t="n"/>
      <c r="S334" s="75">
        <f>IF(B334="","",SUMIFS('Payments'!$N$6:$N$1005,'Payments'!$B$6:$B$1005,B334))</f>
        <v/>
      </c>
      <c r="T334" s="111">
        <f>IF(OR(B334="",K334=0),"",S334/K334)</f>
        <v/>
      </c>
      <c r="U334" s="78">
        <f>IF(V334="","",IF(V334=2,"⚠️ Paying ahead of work","✓ OK"))</f>
        <v/>
      </c>
      <c r="V334" s="79">
        <f>IF(T334="","",IF(T334-R334&gt;OverpayTol,2,0))</f>
        <v/>
      </c>
      <c r="W334" s="112">
        <f>IF(V334=2,AsOf,"")</f>
        <v/>
      </c>
      <c r="X334" s="79">
        <f>IF(W334="","",1)</f>
        <v/>
      </c>
      <c r="Y334" s="79">
        <f>IF(X334="","","Paying ahead of work: "&amp;B334&amp;" — paid "&amp;ROUND(T334*100,0)&amp;"%, work done "&amp;ROUND(R334*100,0)&amp;"%")</f>
        <v/>
      </c>
      <c r="AA334" s="72" t="n"/>
      <c r="AB334" s="109" t="n"/>
      <c r="AC334" s="113" t="n"/>
      <c r="AD334" s="74" t="n"/>
      <c r="AE334" s="109" t="n"/>
      <c r="AF334" s="74" t="n"/>
      <c r="AG334" s="112">
        <f>IF(AND(AA334&lt;&gt;"",AD334="Yes",AF334&lt;&gt;"Yes",AE334&lt;&gt;""),AE334,"")</f>
        <v/>
      </c>
      <c r="AH334" s="79">
        <f>IF(AG334="","",IF(AG334&lt;AsOf,1,IF(AG334&lt;=AsOf+AlertDays,2,IF(AG334&lt;=AsOf+2*AlertDays,3,""))))</f>
        <v/>
      </c>
      <c r="AI334" s="79">
        <f>IF(AH334="","","Follow up with "&amp;AA334&amp;": "&amp;AC334)</f>
        <v/>
      </c>
    </row>
    <row r="335" ht="20" customHeight="1">
      <c r="B335" s="72" t="n"/>
      <c r="C335" s="72" t="n"/>
      <c r="D335" s="72" t="n"/>
      <c r="E335" s="72" t="n"/>
      <c r="F335" s="72" t="n"/>
      <c r="G335" s="72" t="n"/>
      <c r="H335" s="72" t="n"/>
      <c r="I335" s="73" t="n"/>
      <c r="J335" s="75">
        <f>IF(B335="","",SUMIFS('Change Orders'!$J$7:$J$1006,'Change Orders'!$E$7:$E$1006,B335,'Change Orders'!$L$7:$L$1006,"Approved"))</f>
        <v/>
      </c>
      <c r="K335" s="76">
        <f>IF(B335="","",I335+J335)</f>
        <v/>
      </c>
      <c r="L335" s="74" t="n"/>
      <c r="M335" s="109" t="n"/>
      <c r="N335" s="109" t="n"/>
      <c r="O335" s="74" t="n"/>
      <c r="P335" s="74" t="n"/>
      <c r="Q335" s="100" t="n"/>
      <c r="R335" s="110" t="n"/>
      <c r="S335" s="75">
        <f>IF(B335="","",SUMIFS('Payments'!$N$6:$N$1005,'Payments'!$B$6:$B$1005,B335))</f>
        <v/>
      </c>
      <c r="T335" s="111">
        <f>IF(OR(B335="",K335=0),"",S335/K335)</f>
        <v/>
      </c>
      <c r="U335" s="78">
        <f>IF(V335="","",IF(V335=2,"⚠️ Paying ahead of work","✓ OK"))</f>
        <v/>
      </c>
      <c r="V335" s="79">
        <f>IF(T335="","",IF(T335-R335&gt;OverpayTol,2,0))</f>
        <v/>
      </c>
      <c r="W335" s="112">
        <f>IF(V335=2,AsOf,"")</f>
        <v/>
      </c>
      <c r="X335" s="79">
        <f>IF(W335="","",1)</f>
        <v/>
      </c>
      <c r="Y335" s="79">
        <f>IF(X335="","","Paying ahead of work: "&amp;B335&amp;" — paid "&amp;ROUND(T335*100,0)&amp;"%, work done "&amp;ROUND(R335*100,0)&amp;"%")</f>
        <v/>
      </c>
      <c r="AA335" s="72" t="n"/>
      <c r="AB335" s="109" t="n"/>
      <c r="AC335" s="113" t="n"/>
      <c r="AD335" s="74" t="n"/>
      <c r="AE335" s="109" t="n"/>
      <c r="AF335" s="74" t="n"/>
      <c r="AG335" s="112">
        <f>IF(AND(AA335&lt;&gt;"",AD335="Yes",AF335&lt;&gt;"Yes",AE335&lt;&gt;""),AE335,"")</f>
        <v/>
      </c>
      <c r="AH335" s="79">
        <f>IF(AG335="","",IF(AG335&lt;AsOf,1,IF(AG335&lt;=AsOf+AlertDays,2,IF(AG335&lt;=AsOf+2*AlertDays,3,""))))</f>
        <v/>
      </c>
      <c r="AI335" s="79">
        <f>IF(AH335="","","Follow up with "&amp;AA335&amp;": "&amp;AC335)</f>
        <v/>
      </c>
    </row>
    <row r="336" ht="20" customHeight="1">
      <c r="B336" s="72" t="n"/>
      <c r="C336" s="72" t="n"/>
      <c r="D336" s="72" t="n"/>
      <c r="E336" s="72" t="n"/>
      <c r="F336" s="72" t="n"/>
      <c r="G336" s="72" t="n"/>
      <c r="H336" s="72" t="n"/>
      <c r="I336" s="73" t="n"/>
      <c r="J336" s="75">
        <f>IF(B336="","",SUMIFS('Change Orders'!$J$7:$J$1006,'Change Orders'!$E$7:$E$1006,B336,'Change Orders'!$L$7:$L$1006,"Approved"))</f>
        <v/>
      </c>
      <c r="K336" s="76">
        <f>IF(B336="","",I336+J336)</f>
        <v/>
      </c>
      <c r="L336" s="74" t="n"/>
      <c r="M336" s="109" t="n"/>
      <c r="N336" s="109" t="n"/>
      <c r="O336" s="74" t="n"/>
      <c r="P336" s="74" t="n"/>
      <c r="Q336" s="100" t="n"/>
      <c r="R336" s="110" t="n"/>
      <c r="S336" s="75">
        <f>IF(B336="","",SUMIFS('Payments'!$N$6:$N$1005,'Payments'!$B$6:$B$1005,B336))</f>
        <v/>
      </c>
      <c r="T336" s="111">
        <f>IF(OR(B336="",K336=0),"",S336/K336)</f>
        <v/>
      </c>
      <c r="U336" s="78">
        <f>IF(V336="","",IF(V336=2,"⚠️ Paying ahead of work","✓ OK"))</f>
        <v/>
      </c>
      <c r="V336" s="79">
        <f>IF(T336="","",IF(T336-R336&gt;OverpayTol,2,0))</f>
        <v/>
      </c>
      <c r="W336" s="112">
        <f>IF(V336=2,AsOf,"")</f>
        <v/>
      </c>
      <c r="X336" s="79">
        <f>IF(W336="","",1)</f>
        <v/>
      </c>
      <c r="Y336" s="79">
        <f>IF(X336="","","Paying ahead of work: "&amp;B336&amp;" — paid "&amp;ROUND(T336*100,0)&amp;"%, work done "&amp;ROUND(R336*100,0)&amp;"%")</f>
        <v/>
      </c>
      <c r="AA336" s="72" t="n"/>
      <c r="AB336" s="109" t="n"/>
      <c r="AC336" s="113" t="n"/>
      <c r="AD336" s="74" t="n"/>
      <c r="AE336" s="109" t="n"/>
      <c r="AF336" s="74" t="n"/>
      <c r="AG336" s="112">
        <f>IF(AND(AA336&lt;&gt;"",AD336="Yes",AF336&lt;&gt;"Yes",AE336&lt;&gt;""),AE336,"")</f>
        <v/>
      </c>
      <c r="AH336" s="79">
        <f>IF(AG336="","",IF(AG336&lt;AsOf,1,IF(AG336&lt;=AsOf+AlertDays,2,IF(AG336&lt;=AsOf+2*AlertDays,3,""))))</f>
        <v/>
      </c>
      <c r="AI336" s="79">
        <f>IF(AH336="","","Follow up with "&amp;AA336&amp;": "&amp;AC336)</f>
        <v/>
      </c>
    </row>
    <row r="337" ht="20" customHeight="1">
      <c r="B337" s="72" t="n"/>
      <c r="C337" s="72" t="n"/>
      <c r="D337" s="72" t="n"/>
      <c r="E337" s="72" t="n"/>
      <c r="F337" s="72" t="n"/>
      <c r="G337" s="72" t="n"/>
      <c r="H337" s="72" t="n"/>
      <c r="I337" s="73" t="n"/>
      <c r="J337" s="75">
        <f>IF(B337="","",SUMIFS('Change Orders'!$J$7:$J$1006,'Change Orders'!$E$7:$E$1006,B337,'Change Orders'!$L$7:$L$1006,"Approved"))</f>
        <v/>
      </c>
      <c r="K337" s="76">
        <f>IF(B337="","",I337+J337)</f>
        <v/>
      </c>
      <c r="L337" s="74" t="n"/>
      <c r="M337" s="109" t="n"/>
      <c r="N337" s="109" t="n"/>
      <c r="O337" s="74" t="n"/>
      <c r="P337" s="74" t="n"/>
      <c r="Q337" s="100" t="n"/>
      <c r="R337" s="110" t="n"/>
      <c r="S337" s="75">
        <f>IF(B337="","",SUMIFS('Payments'!$N$6:$N$1005,'Payments'!$B$6:$B$1005,B337))</f>
        <v/>
      </c>
      <c r="T337" s="111">
        <f>IF(OR(B337="",K337=0),"",S337/K337)</f>
        <v/>
      </c>
      <c r="U337" s="78">
        <f>IF(V337="","",IF(V337=2,"⚠️ Paying ahead of work","✓ OK"))</f>
        <v/>
      </c>
      <c r="V337" s="79">
        <f>IF(T337="","",IF(T337-R337&gt;OverpayTol,2,0))</f>
        <v/>
      </c>
      <c r="W337" s="112">
        <f>IF(V337=2,AsOf,"")</f>
        <v/>
      </c>
      <c r="X337" s="79">
        <f>IF(W337="","",1)</f>
        <v/>
      </c>
      <c r="Y337" s="79">
        <f>IF(X337="","","Paying ahead of work: "&amp;B337&amp;" — paid "&amp;ROUND(T337*100,0)&amp;"%, work done "&amp;ROUND(R337*100,0)&amp;"%")</f>
        <v/>
      </c>
      <c r="AA337" s="72" t="n"/>
      <c r="AB337" s="109" t="n"/>
      <c r="AC337" s="113" t="n"/>
      <c r="AD337" s="74" t="n"/>
      <c r="AE337" s="109" t="n"/>
      <c r="AF337" s="74" t="n"/>
      <c r="AG337" s="112">
        <f>IF(AND(AA337&lt;&gt;"",AD337="Yes",AF337&lt;&gt;"Yes",AE337&lt;&gt;""),AE337,"")</f>
        <v/>
      </c>
      <c r="AH337" s="79">
        <f>IF(AG337="","",IF(AG337&lt;AsOf,1,IF(AG337&lt;=AsOf+AlertDays,2,IF(AG337&lt;=AsOf+2*AlertDays,3,""))))</f>
        <v/>
      </c>
      <c r="AI337" s="79">
        <f>IF(AH337="","","Follow up with "&amp;AA337&amp;": "&amp;AC337)</f>
        <v/>
      </c>
    </row>
    <row r="338" ht="20" customHeight="1">
      <c r="B338" s="72" t="n"/>
      <c r="C338" s="72" t="n"/>
      <c r="D338" s="72" t="n"/>
      <c r="E338" s="72" t="n"/>
      <c r="F338" s="72" t="n"/>
      <c r="G338" s="72" t="n"/>
      <c r="H338" s="72" t="n"/>
      <c r="I338" s="73" t="n"/>
      <c r="J338" s="75">
        <f>IF(B338="","",SUMIFS('Change Orders'!$J$7:$J$1006,'Change Orders'!$E$7:$E$1006,B338,'Change Orders'!$L$7:$L$1006,"Approved"))</f>
        <v/>
      </c>
      <c r="K338" s="76">
        <f>IF(B338="","",I338+J338)</f>
        <v/>
      </c>
      <c r="L338" s="74" t="n"/>
      <c r="M338" s="109" t="n"/>
      <c r="N338" s="109" t="n"/>
      <c r="O338" s="74" t="n"/>
      <c r="P338" s="74" t="n"/>
      <c r="Q338" s="100" t="n"/>
      <c r="R338" s="110" t="n"/>
      <c r="S338" s="75">
        <f>IF(B338="","",SUMIFS('Payments'!$N$6:$N$1005,'Payments'!$B$6:$B$1005,B338))</f>
        <v/>
      </c>
      <c r="T338" s="111">
        <f>IF(OR(B338="",K338=0),"",S338/K338)</f>
        <v/>
      </c>
      <c r="U338" s="78">
        <f>IF(V338="","",IF(V338=2,"⚠️ Paying ahead of work","✓ OK"))</f>
        <v/>
      </c>
      <c r="V338" s="79">
        <f>IF(T338="","",IF(T338-R338&gt;OverpayTol,2,0))</f>
        <v/>
      </c>
      <c r="W338" s="112">
        <f>IF(V338=2,AsOf,"")</f>
        <v/>
      </c>
      <c r="X338" s="79">
        <f>IF(W338="","",1)</f>
        <v/>
      </c>
      <c r="Y338" s="79">
        <f>IF(X338="","","Paying ahead of work: "&amp;B338&amp;" — paid "&amp;ROUND(T338*100,0)&amp;"%, work done "&amp;ROUND(R338*100,0)&amp;"%")</f>
        <v/>
      </c>
      <c r="AA338" s="72" t="n"/>
      <c r="AB338" s="109" t="n"/>
      <c r="AC338" s="113" t="n"/>
      <c r="AD338" s="74" t="n"/>
      <c r="AE338" s="109" t="n"/>
      <c r="AF338" s="74" t="n"/>
      <c r="AG338" s="112">
        <f>IF(AND(AA338&lt;&gt;"",AD338="Yes",AF338&lt;&gt;"Yes",AE338&lt;&gt;""),AE338,"")</f>
        <v/>
      </c>
      <c r="AH338" s="79">
        <f>IF(AG338="","",IF(AG338&lt;AsOf,1,IF(AG338&lt;=AsOf+AlertDays,2,IF(AG338&lt;=AsOf+2*AlertDays,3,""))))</f>
        <v/>
      </c>
      <c r="AI338" s="79">
        <f>IF(AH338="","","Follow up with "&amp;AA338&amp;": "&amp;AC338)</f>
        <v/>
      </c>
    </row>
    <row r="339" ht="20" customHeight="1">
      <c r="B339" s="72" t="n"/>
      <c r="C339" s="72" t="n"/>
      <c r="D339" s="72" t="n"/>
      <c r="E339" s="72" t="n"/>
      <c r="F339" s="72" t="n"/>
      <c r="G339" s="72" t="n"/>
      <c r="H339" s="72" t="n"/>
      <c r="I339" s="73" t="n"/>
      <c r="J339" s="75">
        <f>IF(B339="","",SUMIFS('Change Orders'!$J$7:$J$1006,'Change Orders'!$E$7:$E$1006,B339,'Change Orders'!$L$7:$L$1006,"Approved"))</f>
        <v/>
      </c>
      <c r="K339" s="76">
        <f>IF(B339="","",I339+J339)</f>
        <v/>
      </c>
      <c r="L339" s="74" t="n"/>
      <c r="M339" s="109" t="n"/>
      <c r="N339" s="109" t="n"/>
      <c r="O339" s="74" t="n"/>
      <c r="P339" s="74" t="n"/>
      <c r="Q339" s="100" t="n"/>
      <c r="R339" s="110" t="n"/>
      <c r="S339" s="75">
        <f>IF(B339="","",SUMIFS('Payments'!$N$6:$N$1005,'Payments'!$B$6:$B$1005,B339))</f>
        <v/>
      </c>
      <c r="T339" s="111">
        <f>IF(OR(B339="",K339=0),"",S339/K339)</f>
        <v/>
      </c>
      <c r="U339" s="78">
        <f>IF(V339="","",IF(V339=2,"⚠️ Paying ahead of work","✓ OK"))</f>
        <v/>
      </c>
      <c r="V339" s="79">
        <f>IF(T339="","",IF(T339-R339&gt;OverpayTol,2,0))</f>
        <v/>
      </c>
      <c r="W339" s="112">
        <f>IF(V339=2,AsOf,"")</f>
        <v/>
      </c>
      <c r="X339" s="79">
        <f>IF(W339="","",1)</f>
        <v/>
      </c>
      <c r="Y339" s="79">
        <f>IF(X339="","","Paying ahead of work: "&amp;B339&amp;" — paid "&amp;ROUND(T339*100,0)&amp;"%, work done "&amp;ROUND(R339*100,0)&amp;"%")</f>
        <v/>
      </c>
      <c r="AA339" s="72" t="n"/>
      <c r="AB339" s="109" t="n"/>
      <c r="AC339" s="113" t="n"/>
      <c r="AD339" s="74" t="n"/>
      <c r="AE339" s="109" t="n"/>
      <c r="AF339" s="74" t="n"/>
      <c r="AG339" s="112">
        <f>IF(AND(AA339&lt;&gt;"",AD339="Yes",AF339&lt;&gt;"Yes",AE339&lt;&gt;""),AE339,"")</f>
        <v/>
      </c>
      <c r="AH339" s="79">
        <f>IF(AG339="","",IF(AG339&lt;AsOf,1,IF(AG339&lt;=AsOf+AlertDays,2,IF(AG339&lt;=AsOf+2*AlertDays,3,""))))</f>
        <v/>
      </c>
      <c r="AI339" s="79">
        <f>IF(AH339="","","Follow up with "&amp;AA339&amp;": "&amp;AC339)</f>
        <v/>
      </c>
    </row>
    <row r="340" ht="20" customHeight="1">
      <c r="B340" s="72" t="n"/>
      <c r="C340" s="72" t="n"/>
      <c r="D340" s="72" t="n"/>
      <c r="E340" s="72" t="n"/>
      <c r="F340" s="72" t="n"/>
      <c r="G340" s="72" t="n"/>
      <c r="H340" s="72" t="n"/>
      <c r="I340" s="73" t="n"/>
      <c r="J340" s="75">
        <f>IF(B340="","",SUMIFS('Change Orders'!$J$7:$J$1006,'Change Orders'!$E$7:$E$1006,B340,'Change Orders'!$L$7:$L$1006,"Approved"))</f>
        <v/>
      </c>
      <c r="K340" s="76">
        <f>IF(B340="","",I340+J340)</f>
        <v/>
      </c>
      <c r="L340" s="74" t="n"/>
      <c r="M340" s="109" t="n"/>
      <c r="N340" s="109" t="n"/>
      <c r="O340" s="74" t="n"/>
      <c r="P340" s="74" t="n"/>
      <c r="Q340" s="100" t="n"/>
      <c r="R340" s="110" t="n"/>
      <c r="S340" s="75">
        <f>IF(B340="","",SUMIFS('Payments'!$N$6:$N$1005,'Payments'!$B$6:$B$1005,B340))</f>
        <v/>
      </c>
      <c r="T340" s="111">
        <f>IF(OR(B340="",K340=0),"",S340/K340)</f>
        <v/>
      </c>
      <c r="U340" s="78">
        <f>IF(V340="","",IF(V340=2,"⚠️ Paying ahead of work","✓ OK"))</f>
        <v/>
      </c>
      <c r="V340" s="79">
        <f>IF(T340="","",IF(T340-R340&gt;OverpayTol,2,0))</f>
        <v/>
      </c>
      <c r="W340" s="112">
        <f>IF(V340=2,AsOf,"")</f>
        <v/>
      </c>
      <c r="X340" s="79">
        <f>IF(W340="","",1)</f>
        <v/>
      </c>
      <c r="Y340" s="79">
        <f>IF(X340="","","Paying ahead of work: "&amp;B340&amp;" — paid "&amp;ROUND(T340*100,0)&amp;"%, work done "&amp;ROUND(R340*100,0)&amp;"%")</f>
        <v/>
      </c>
      <c r="AA340" s="72" t="n"/>
      <c r="AB340" s="109" t="n"/>
      <c r="AC340" s="113" t="n"/>
      <c r="AD340" s="74" t="n"/>
      <c r="AE340" s="109" t="n"/>
      <c r="AF340" s="74" t="n"/>
      <c r="AG340" s="112">
        <f>IF(AND(AA340&lt;&gt;"",AD340="Yes",AF340&lt;&gt;"Yes",AE340&lt;&gt;""),AE340,"")</f>
        <v/>
      </c>
      <c r="AH340" s="79">
        <f>IF(AG340="","",IF(AG340&lt;AsOf,1,IF(AG340&lt;=AsOf+AlertDays,2,IF(AG340&lt;=AsOf+2*AlertDays,3,""))))</f>
        <v/>
      </c>
      <c r="AI340" s="79">
        <f>IF(AH340="","","Follow up with "&amp;AA340&amp;": "&amp;AC340)</f>
        <v/>
      </c>
    </row>
    <row r="341" ht="20" customHeight="1">
      <c r="B341" s="72" t="n"/>
      <c r="C341" s="72" t="n"/>
      <c r="D341" s="72" t="n"/>
      <c r="E341" s="72" t="n"/>
      <c r="F341" s="72" t="n"/>
      <c r="G341" s="72" t="n"/>
      <c r="H341" s="72" t="n"/>
      <c r="I341" s="73" t="n"/>
      <c r="J341" s="75">
        <f>IF(B341="","",SUMIFS('Change Orders'!$J$7:$J$1006,'Change Orders'!$E$7:$E$1006,B341,'Change Orders'!$L$7:$L$1006,"Approved"))</f>
        <v/>
      </c>
      <c r="K341" s="76">
        <f>IF(B341="","",I341+J341)</f>
        <v/>
      </c>
      <c r="L341" s="74" t="n"/>
      <c r="M341" s="109" t="n"/>
      <c r="N341" s="109" t="n"/>
      <c r="O341" s="74" t="n"/>
      <c r="P341" s="74" t="n"/>
      <c r="Q341" s="100" t="n"/>
      <c r="R341" s="110" t="n"/>
      <c r="S341" s="75">
        <f>IF(B341="","",SUMIFS('Payments'!$N$6:$N$1005,'Payments'!$B$6:$B$1005,B341))</f>
        <v/>
      </c>
      <c r="T341" s="111">
        <f>IF(OR(B341="",K341=0),"",S341/K341)</f>
        <v/>
      </c>
      <c r="U341" s="78">
        <f>IF(V341="","",IF(V341=2,"⚠️ Paying ahead of work","✓ OK"))</f>
        <v/>
      </c>
      <c r="V341" s="79">
        <f>IF(T341="","",IF(T341-R341&gt;OverpayTol,2,0))</f>
        <v/>
      </c>
      <c r="W341" s="112">
        <f>IF(V341=2,AsOf,"")</f>
        <v/>
      </c>
      <c r="X341" s="79">
        <f>IF(W341="","",1)</f>
        <v/>
      </c>
      <c r="Y341" s="79">
        <f>IF(X341="","","Paying ahead of work: "&amp;B341&amp;" — paid "&amp;ROUND(T341*100,0)&amp;"%, work done "&amp;ROUND(R341*100,0)&amp;"%")</f>
        <v/>
      </c>
      <c r="AA341" s="72" t="n"/>
      <c r="AB341" s="109" t="n"/>
      <c r="AC341" s="113" t="n"/>
      <c r="AD341" s="74" t="n"/>
      <c r="AE341" s="109" t="n"/>
      <c r="AF341" s="74" t="n"/>
      <c r="AG341" s="112">
        <f>IF(AND(AA341&lt;&gt;"",AD341="Yes",AF341&lt;&gt;"Yes",AE341&lt;&gt;""),AE341,"")</f>
        <v/>
      </c>
      <c r="AH341" s="79">
        <f>IF(AG341="","",IF(AG341&lt;AsOf,1,IF(AG341&lt;=AsOf+AlertDays,2,IF(AG341&lt;=AsOf+2*AlertDays,3,""))))</f>
        <v/>
      </c>
      <c r="AI341" s="79">
        <f>IF(AH341="","","Follow up with "&amp;AA341&amp;": "&amp;AC341)</f>
        <v/>
      </c>
    </row>
    <row r="342" ht="20" customHeight="1">
      <c r="B342" s="72" t="n"/>
      <c r="C342" s="72" t="n"/>
      <c r="D342" s="72" t="n"/>
      <c r="E342" s="72" t="n"/>
      <c r="F342" s="72" t="n"/>
      <c r="G342" s="72" t="n"/>
      <c r="H342" s="72" t="n"/>
      <c r="I342" s="73" t="n"/>
      <c r="J342" s="75">
        <f>IF(B342="","",SUMIFS('Change Orders'!$J$7:$J$1006,'Change Orders'!$E$7:$E$1006,B342,'Change Orders'!$L$7:$L$1006,"Approved"))</f>
        <v/>
      </c>
      <c r="K342" s="76">
        <f>IF(B342="","",I342+J342)</f>
        <v/>
      </c>
      <c r="L342" s="74" t="n"/>
      <c r="M342" s="109" t="n"/>
      <c r="N342" s="109" t="n"/>
      <c r="O342" s="74" t="n"/>
      <c r="P342" s="74" t="n"/>
      <c r="Q342" s="100" t="n"/>
      <c r="R342" s="110" t="n"/>
      <c r="S342" s="75">
        <f>IF(B342="","",SUMIFS('Payments'!$N$6:$N$1005,'Payments'!$B$6:$B$1005,B342))</f>
        <v/>
      </c>
      <c r="T342" s="111">
        <f>IF(OR(B342="",K342=0),"",S342/K342)</f>
        <v/>
      </c>
      <c r="U342" s="78">
        <f>IF(V342="","",IF(V342=2,"⚠️ Paying ahead of work","✓ OK"))</f>
        <v/>
      </c>
      <c r="V342" s="79">
        <f>IF(T342="","",IF(T342-R342&gt;OverpayTol,2,0))</f>
        <v/>
      </c>
      <c r="W342" s="112">
        <f>IF(V342=2,AsOf,"")</f>
        <v/>
      </c>
      <c r="X342" s="79">
        <f>IF(W342="","",1)</f>
        <v/>
      </c>
      <c r="Y342" s="79">
        <f>IF(X342="","","Paying ahead of work: "&amp;B342&amp;" — paid "&amp;ROUND(T342*100,0)&amp;"%, work done "&amp;ROUND(R342*100,0)&amp;"%")</f>
        <v/>
      </c>
      <c r="AA342" s="72" t="n"/>
      <c r="AB342" s="109" t="n"/>
      <c r="AC342" s="113" t="n"/>
      <c r="AD342" s="74" t="n"/>
      <c r="AE342" s="109" t="n"/>
      <c r="AF342" s="74" t="n"/>
      <c r="AG342" s="112">
        <f>IF(AND(AA342&lt;&gt;"",AD342="Yes",AF342&lt;&gt;"Yes",AE342&lt;&gt;""),AE342,"")</f>
        <v/>
      </c>
      <c r="AH342" s="79">
        <f>IF(AG342="","",IF(AG342&lt;AsOf,1,IF(AG342&lt;=AsOf+AlertDays,2,IF(AG342&lt;=AsOf+2*AlertDays,3,""))))</f>
        <v/>
      </c>
      <c r="AI342" s="79">
        <f>IF(AH342="","","Follow up with "&amp;AA342&amp;": "&amp;AC342)</f>
        <v/>
      </c>
    </row>
    <row r="343" ht="20" customHeight="1">
      <c r="B343" s="72" t="n"/>
      <c r="C343" s="72" t="n"/>
      <c r="D343" s="72" t="n"/>
      <c r="E343" s="72" t="n"/>
      <c r="F343" s="72" t="n"/>
      <c r="G343" s="72" t="n"/>
      <c r="H343" s="72" t="n"/>
      <c r="I343" s="73" t="n"/>
      <c r="J343" s="75">
        <f>IF(B343="","",SUMIFS('Change Orders'!$J$7:$J$1006,'Change Orders'!$E$7:$E$1006,B343,'Change Orders'!$L$7:$L$1006,"Approved"))</f>
        <v/>
      </c>
      <c r="K343" s="76">
        <f>IF(B343="","",I343+J343)</f>
        <v/>
      </c>
      <c r="L343" s="74" t="n"/>
      <c r="M343" s="109" t="n"/>
      <c r="N343" s="109" t="n"/>
      <c r="O343" s="74" t="n"/>
      <c r="P343" s="74" t="n"/>
      <c r="Q343" s="100" t="n"/>
      <c r="R343" s="110" t="n"/>
      <c r="S343" s="75">
        <f>IF(B343="","",SUMIFS('Payments'!$N$6:$N$1005,'Payments'!$B$6:$B$1005,B343))</f>
        <v/>
      </c>
      <c r="T343" s="111">
        <f>IF(OR(B343="",K343=0),"",S343/K343)</f>
        <v/>
      </c>
      <c r="U343" s="78">
        <f>IF(V343="","",IF(V343=2,"⚠️ Paying ahead of work","✓ OK"))</f>
        <v/>
      </c>
      <c r="V343" s="79">
        <f>IF(T343="","",IF(T343-R343&gt;OverpayTol,2,0))</f>
        <v/>
      </c>
      <c r="W343" s="112">
        <f>IF(V343=2,AsOf,"")</f>
        <v/>
      </c>
      <c r="X343" s="79">
        <f>IF(W343="","",1)</f>
        <v/>
      </c>
      <c r="Y343" s="79">
        <f>IF(X343="","","Paying ahead of work: "&amp;B343&amp;" — paid "&amp;ROUND(T343*100,0)&amp;"%, work done "&amp;ROUND(R343*100,0)&amp;"%")</f>
        <v/>
      </c>
      <c r="AA343" s="72" t="n"/>
      <c r="AB343" s="109" t="n"/>
      <c r="AC343" s="113" t="n"/>
      <c r="AD343" s="74" t="n"/>
      <c r="AE343" s="109" t="n"/>
      <c r="AF343" s="74" t="n"/>
      <c r="AG343" s="112">
        <f>IF(AND(AA343&lt;&gt;"",AD343="Yes",AF343&lt;&gt;"Yes",AE343&lt;&gt;""),AE343,"")</f>
        <v/>
      </c>
      <c r="AH343" s="79">
        <f>IF(AG343="","",IF(AG343&lt;AsOf,1,IF(AG343&lt;=AsOf+AlertDays,2,IF(AG343&lt;=AsOf+2*AlertDays,3,""))))</f>
        <v/>
      </c>
      <c r="AI343" s="79">
        <f>IF(AH343="","","Follow up with "&amp;AA343&amp;": "&amp;AC343)</f>
        <v/>
      </c>
    </row>
    <row r="344" ht="20" customHeight="1">
      <c r="B344" s="72" t="n"/>
      <c r="C344" s="72" t="n"/>
      <c r="D344" s="72" t="n"/>
      <c r="E344" s="72" t="n"/>
      <c r="F344" s="72" t="n"/>
      <c r="G344" s="72" t="n"/>
      <c r="H344" s="72" t="n"/>
      <c r="I344" s="73" t="n"/>
      <c r="J344" s="75">
        <f>IF(B344="","",SUMIFS('Change Orders'!$J$7:$J$1006,'Change Orders'!$E$7:$E$1006,B344,'Change Orders'!$L$7:$L$1006,"Approved"))</f>
        <v/>
      </c>
      <c r="K344" s="76">
        <f>IF(B344="","",I344+J344)</f>
        <v/>
      </c>
      <c r="L344" s="74" t="n"/>
      <c r="M344" s="109" t="n"/>
      <c r="N344" s="109" t="n"/>
      <c r="O344" s="74" t="n"/>
      <c r="P344" s="74" t="n"/>
      <c r="Q344" s="100" t="n"/>
      <c r="R344" s="110" t="n"/>
      <c r="S344" s="75">
        <f>IF(B344="","",SUMIFS('Payments'!$N$6:$N$1005,'Payments'!$B$6:$B$1005,B344))</f>
        <v/>
      </c>
      <c r="T344" s="111">
        <f>IF(OR(B344="",K344=0),"",S344/K344)</f>
        <v/>
      </c>
      <c r="U344" s="78">
        <f>IF(V344="","",IF(V344=2,"⚠️ Paying ahead of work","✓ OK"))</f>
        <v/>
      </c>
      <c r="V344" s="79">
        <f>IF(T344="","",IF(T344-R344&gt;OverpayTol,2,0))</f>
        <v/>
      </c>
      <c r="W344" s="112">
        <f>IF(V344=2,AsOf,"")</f>
        <v/>
      </c>
      <c r="X344" s="79">
        <f>IF(W344="","",1)</f>
        <v/>
      </c>
      <c r="Y344" s="79">
        <f>IF(X344="","","Paying ahead of work: "&amp;B344&amp;" — paid "&amp;ROUND(T344*100,0)&amp;"%, work done "&amp;ROUND(R344*100,0)&amp;"%")</f>
        <v/>
      </c>
      <c r="AA344" s="72" t="n"/>
      <c r="AB344" s="109" t="n"/>
      <c r="AC344" s="113" t="n"/>
      <c r="AD344" s="74" t="n"/>
      <c r="AE344" s="109" t="n"/>
      <c r="AF344" s="74" t="n"/>
      <c r="AG344" s="112">
        <f>IF(AND(AA344&lt;&gt;"",AD344="Yes",AF344&lt;&gt;"Yes",AE344&lt;&gt;""),AE344,"")</f>
        <v/>
      </c>
      <c r="AH344" s="79">
        <f>IF(AG344="","",IF(AG344&lt;AsOf,1,IF(AG344&lt;=AsOf+AlertDays,2,IF(AG344&lt;=AsOf+2*AlertDays,3,""))))</f>
        <v/>
      </c>
      <c r="AI344" s="79">
        <f>IF(AH344="","","Follow up with "&amp;AA344&amp;": "&amp;AC344)</f>
        <v/>
      </c>
    </row>
    <row r="345" ht="20" customHeight="1">
      <c r="B345" s="72" t="n"/>
      <c r="C345" s="72" t="n"/>
      <c r="D345" s="72" t="n"/>
      <c r="E345" s="72" t="n"/>
      <c r="F345" s="72" t="n"/>
      <c r="G345" s="72" t="n"/>
      <c r="H345" s="72" t="n"/>
      <c r="I345" s="73" t="n"/>
      <c r="J345" s="75">
        <f>IF(B345="","",SUMIFS('Change Orders'!$J$7:$J$1006,'Change Orders'!$E$7:$E$1006,B345,'Change Orders'!$L$7:$L$1006,"Approved"))</f>
        <v/>
      </c>
      <c r="K345" s="76">
        <f>IF(B345="","",I345+J345)</f>
        <v/>
      </c>
      <c r="L345" s="74" t="n"/>
      <c r="M345" s="109" t="n"/>
      <c r="N345" s="109" t="n"/>
      <c r="O345" s="74" t="n"/>
      <c r="P345" s="74" t="n"/>
      <c r="Q345" s="100" t="n"/>
      <c r="R345" s="110" t="n"/>
      <c r="S345" s="75">
        <f>IF(B345="","",SUMIFS('Payments'!$N$6:$N$1005,'Payments'!$B$6:$B$1005,B345))</f>
        <v/>
      </c>
      <c r="T345" s="111">
        <f>IF(OR(B345="",K345=0),"",S345/K345)</f>
        <v/>
      </c>
      <c r="U345" s="78">
        <f>IF(V345="","",IF(V345=2,"⚠️ Paying ahead of work","✓ OK"))</f>
        <v/>
      </c>
      <c r="V345" s="79">
        <f>IF(T345="","",IF(T345-R345&gt;OverpayTol,2,0))</f>
        <v/>
      </c>
      <c r="W345" s="112">
        <f>IF(V345=2,AsOf,"")</f>
        <v/>
      </c>
      <c r="X345" s="79">
        <f>IF(W345="","",1)</f>
        <v/>
      </c>
      <c r="Y345" s="79">
        <f>IF(X345="","","Paying ahead of work: "&amp;B345&amp;" — paid "&amp;ROUND(T345*100,0)&amp;"%, work done "&amp;ROUND(R345*100,0)&amp;"%")</f>
        <v/>
      </c>
      <c r="AA345" s="72" t="n"/>
      <c r="AB345" s="109" t="n"/>
      <c r="AC345" s="113" t="n"/>
      <c r="AD345" s="74" t="n"/>
      <c r="AE345" s="109" t="n"/>
      <c r="AF345" s="74" t="n"/>
      <c r="AG345" s="112">
        <f>IF(AND(AA345&lt;&gt;"",AD345="Yes",AF345&lt;&gt;"Yes",AE345&lt;&gt;""),AE345,"")</f>
        <v/>
      </c>
      <c r="AH345" s="79">
        <f>IF(AG345="","",IF(AG345&lt;AsOf,1,IF(AG345&lt;=AsOf+AlertDays,2,IF(AG345&lt;=AsOf+2*AlertDays,3,""))))</f>
        <v/>
      </c>
      <c r="AI345" s="79">
        <f>IF(AH345="","","Follow up with "&amp;AA345&amp;": "&amp;AC345)</f>
        <v/>
      </c>
    </row>
    <row r="346" ht="20" customHeight="1">
      <c r="B346" s="72" t="n"/>
      <c r="C346" s="72" t="n"/>
      <c r="D346" s="72" t="n"/>
      <c r="E346" s="72" t="n"/>
      <c r="F346" s="72" t="n"/>
      <c r="G346" s="72" t="n"/>
      <c r="H346" s="72" t="n"/>
      <c r="I346" s="73" t="n"/>
      <c r="J346" s="75">
        <f>IF(B346="","",SUMIFS('Change Orders'!$J$7:$J$1006,'Change Orders'!$E$7:$E$1006,B346,'Change Orders'!$L$7:$L$1006,"Approved"))</f>
        <v/>
      </c>
      <c r="K346" s="76">
        <f>IF(B346="","",I346+J346)</f>
        <v/>
      </c>
      <c r="L346" s="74" t="n"/>
      <c r="M346" s="109" t="n"/>
      <c r="N346" s="109" t="n"/>
      <c r="O346" s="74" t="n"/>
      <c r="P346" s="74" t="n"/>
      <c r="Q346" s="100" t="n"/>
      <c r="R346" s="110" t="n"/>
      <c r="S346" s="75">
        <f>IF(B346="","",SUMIFS('Payments'!$N$6:$N$1005,'Payments'!$B$6:$B$1005,B346))</f>
        <v/>
      </c>
      <c r="T346" s="111">
        <f>IF(OR(B346="",K346=0),"",S346/K346)</f>
        <v/>
      </c>
      <c r="U346" s="78">
        <f>IF(V346="","",IF(V346=2,"⚠️ Paying ahead of work","✓ OK"))</f>
        <v/>
      </c>
      <c r="V346" s="79">
        <f>IF(T346="","",IF(T346-R346&gt;OverpayTol,2,0))</f>
        <v/>
      </c>
      <c r="W346" s="112">
        <f>IF(V346=2,AsOf,"")</f>
        <v/>
      </c>
      <c r="X346" s="79">
        <f>IF(W346="","",1)</f>
        <v/>
      </c>
      <c r="Y346" s="79">
        <f>IF(X346="","","Paying ahead of work: "&amp;B346&amp;" — paid "&amp;ROUND(T346*100,0)&amp;"%, work done "&amp;ROUND(R346*100,0)&amp;"%")</f>
        <v/>
      </c>
      <c r="AA346" s="72" t="n"/>
      <c r="AB346" s="109" t="n"/>
      <c r="AC346" s="113" t="n"/>
      <c r="AD346" s="74" t="n"/>
      <c r="AE346" s="109" t="n"/>
      <c r="AF346" s="74" t="n"/>
      <c r="AG346" s="112">
        <f>IF(AND(AA346&lt;&gt;"",AD346="Yes",AF346&lt;&gt;"Yes",AE346&lt;&gt;""),AE346,"")</f>
        <v/>
      </c>
      <c r="AH346" s="79">
        <f>IF(AG346="","",IF(AG346&lt;AsOf,1,IF(AG346&lt;=AsOf+AlertDays,2,IF(AG346&lt;=AsOf+2*AlertDays,3,""))))</f>
        <v/>
      </c>
      <c r="AI346" s="79">
        <f>IF(AH346="","","Follow up with "&amp;AA346&amp;": "&amp;AC346)</f>
        <v/>
      </c>
    </row>
    <row r="347" ht="20" customHeight="1">
      <c r="B347" s="72" t="n"/>
      <c r="C347" s="72" t="n"/>
      <c r="D347" s="72" t="n"/>
      <c r="E347" s="72" t="n"/>
      <c r="F347" s="72" t="n"/>
      <c r="G347" s="72" t="n"/>
      <c r="H347" s="72" t="n"/>
      <c r="I347" s="73" t="n"/>
      <c r="J347" s="75">
        <f>IF(B347="","",SUMIFS('Change Orders'!$J$7:$J$1006,'Change Orders'!$E$7:$E$1006,B347,'Change Orders'!$L$7:$L$1006,"Approved"))</f>
        <v/>
      </c>
      <c r="K347" s="76">
        <f>IF(B347="","",I347+J347)</f>
        <v/>
      </c>
      <c r="L347" s="74" t="n"/>
      <c r="M347" s="109" t="n"/>
      <c r="N347" s="109" t="n"/>
      <c r="O347" s="74" t="n"/>
      <c r="P347" s="74" t="n"/>
      <c r="Q347" s="100" t="n"/>
      <c r="R347" s="110" t="n"/>
      <c r="S347" s="75">
        <f>IF(B347="","",SUMIFS('Payments'!$N$6:$N$1005,'Payments'!$B$6:$B$1005,B347))</f>
        <v/>
      </c>
      <c r="T347" s="111">
        <f>IF(OR(B347="",K347=0),"",S347/K347)</f>
        <v/>
      </c>
      <c r="U347" s="78">
        <f>IF(V347="","",IF(V347=2,"⚠️ Paying ahead of work","✓ OK"))</f>
        <v/>
      </c>
      <c r="V347" s="79">
        <f>IF(T347="","",IF(T347-R347&gt;OverpayTol,2,0))</f>
        <v/>
      </c>
      <c r="W347" s="112">
        <f>IF(V347=2,AsOf,"")</f>
        <v/>
      </c>
      <c r="X347" s="79">
        <f>IF(W347="","",1)</f>
        <v/>
      </c>
      <c r="Y347" s="79">
        <f>IF(X347="","","Paying ahead of work: "&amp;B347&amp;" — paid "&amp;ROUND(T347*100,0)&amp;"%, work done "&amp;ROUND(R347*100,0)&amp;"%")</f>
        <v/>
      </c>
      <c r="AA347" s="72" t="n"/>
      <c r="AB347" s="109" t="n"/>
      <c r="AC347" s="113" t="n"/>
      <c r="AD347" s="74" t="n"/>
      <c r="AE347" s="109" t="n"/>
      <c r="AF347" s="74" t="n"/>
      <c r="AG347" s="112">
        <f>IF(AND(AA347&lt;&gt;"",AD347="Yes",AF347&lt;&gt;"Yes",AE347&lt;&gt;""),AE347,"")</f>
        <v/>
      </c>
      <c r="AH347" s="79">
        <f>IF(AG347="","",IF(AG347&lt;AsOf,1,IF(AG347&lt;=AsOf+AlertDays,2,IF(AG347&lt;=AsOf+2*AlertDays,3,""))))</f>
        <v/>
      </c>
      <c r="AI347" s="79">
        <f>IF(AH347="","","Follow up with "&amp;AA347&amp;": "&amp;AC347)</f>
        <v/>
      </c>
    </row>
    <row r="348" ht="20" customHeight="1">
      <c r="B348" s="72" t="n"/>
      <c r="C348" s="72" t="n"/>
      <c r="D348" s="72" t="n"/>
      <c r="E348" s="72" t="n"/>
      <c r="F348" s="72" t="n"/>
      <c r="G348" s="72" t="n"/>
      <c r="H348" s="72" t="n"/>
      <c r="I348" s="73" t="n"/>
      <c r="J348" s="75">
        <f>IF(B348="","",SUMIFS('Change Orders'!$J$7:$J$1006,'Change Orders'!$E$7:$E$1006,B348,'Change Orders'!$L$7:$L$1006,"Approved"))</f>
        <v/>
      </c>
      <c r="K348" s="76">
        <f>IF(B348="","",I348+J348)</f>
        <v/>
      </c>
      <c r="L348" s="74" t="n"/>
      <c r="M348" s="109" t="n"/>
      <c r="N348" s="109" t="n"/>
      <c r="O348" s="74" t="n"/>
      <c r="P348" s="74" t="n"/>
      <c r="Q348" s="100" t="n"/>
      <c r="R348" s="110" t="n"/>
      <c r="S348" s="75">
        <f>IF(B348="","",SUMIFS('Payments'!$N$6:$N$1005,'Payments'!$B$6:$B$1005,B348))</f>
        <v/>
      </c>
      <c r="T348" s="111">
        <f>IF(OR(B348="",K348=0),"",S348/K348)</f>
        <v/>
      </c>
      <c r="U348" s="78">
        <f>IF(V348="","",IF(V348=2,"⚠️ Paying ahead of work","✓ OK"))</f>
        <v/>
      </c>
      <c r="V348" s="79">
        <f>IF(T348="","",IF(T348-R348&gt;OverpayTol,2,0))</f>
        <v/>
      </c>
      <c r="W348" s="112">
        <f>IF(V348=2,AsOf,"")</f>
        <v/>
      </c>
      <c r="X348" s="79">
        <f>IF(W348="","",1)</f>
        <v/>
      </c>
      <c r="Y348" s="79">
        <f>IF(X348="","","Paying ahead of work: "&amp;B348&amp;" — paid "&amp;ROUND(T348*100,0)&amp;"%, work done "&amp;ROUND(R348*100,0)&amp;"%")</f>
        <v/>
      </c>
      <c r="AA348" s="72" t="n"/>
      <c r="AB348" s="109" t="n"/>
      <c r="AC348" s="113" t="n"/>
      <c r="AD348" s="74" t="n"/>
      <c r="AE348" s="109" t="n"/>
      <c r="AF348" s="74" t="n"/>
      <c r="AG348" s="112">
        <f>IF(AND(AA348&lt;&gt;"",AD348="Yes",AF348&lt;&gt;"Yes",AE348&lt;&gt;""),AE348,"")</f>
        <v/>
      </c>
      <c r="AH348" s="79">
        <f>IF(AG348="","",IF(AG348&lt;AsOf,1,IF(AG348&lt;=AsOf+AlertDays,2,IF(AG348&lt;=AsOf+2*AlertDays,3,""))))</f>
        <v/>
      </c>
      <c r="AI348" s="79">
        <f>IF(AH348="","","Follow up with "&amp;AA348&amp;": "&amp;AC348)</f>
        <v/>
      </c>
    </row>
    <row r="349" ht="20" customHeight="1">
      <c r="B349" s="72" t="n"/>
      <c r="C349" s="72" t="n"/>
      <c r="D349" s="72" t="n"/>
      <c r="E349" s="72" t="n"/>
      <c r="F349" s="72" t="n"/>
      <c r="G349" s="72" t="n"/>
      <c r="H349" s="72" t="n"/>
      <c r="I349" s="73" t="n"/>
      <c r="J349" s="75">
        <f>IF(B349="","",SUMIFS('Change Orders'!$J$7:$J$1006,'Change Orders'!$E$7:$E$1006,B349,'Change Orders'!$L$7:$L$1006,"Approved"))</f>
        <v/>
      </c>
      <c r="K349" s="76">
        <f>IF(B349="","",I349+J349)</f>
        <v/>
      </c>
      <c r="L349" s="74" t="n"/>
      <c r="M349" s="109" t="n"/>
      <c r="N349" s="109" t="n"/>
      <c r="O349" s="74" t="n"/>
      <c r="P349" s="74" t="n"/>
      <c r="Q349" s="100" t="n"/>
      <c r="R349" s="110" t="n"/>
      <c r="S349" s="75">
        <f>IF(B349="","",SUMIFS('Payments'!$N$6:$N$1005,'Payments'!$B$6:$B$1005,B349))</f>
        <v/>
      </c>
      <c r="T349" s="111">
        <f>IF(OR(B349="",K349=0),"",S349/K349)</f>
        <v/>
      </c>
      <c r="U349" s="78">
        <f>IF(V349="","",IF(V349=2,"⚠️ Paying ahead of work","✓ OK"))</f>
        <v/>
      </c>
      <c r="V349" s="79">
        <f>IF(T349="","",IF(T349-R349&gt;OverpayTol,2,0))</f>
        <v/>
      </c>
      <c r="W349" s="112">
        <f>IF(V349=2,AsOf,"")</f>
        <v/>
      </c>
      <c r="X349" s="79">
        <f>IF(W349="","",1)</f>
        <v/>
      </c>
      <c r="Y349" s="79">
        <f>IF(X349="","","Paying ahead of work: "&amp;B349&amp;" — paid "&amp;ROUND(T349*100,0)&amp;"%, work done "&amp;ROUND(R349*100,0)&amp;"%")</f>
        <v/>
      </c>
      <c r="AA349" s="72" t="n"/>
      <c r="AB349" s="109" t="n"/>
      <c r="AC349" s="113" t="n"/>
      <c r="AD349" s="74" t="n"/>
      <c r="AE349" s="109" t="n"/>
      <c r="AF349" s="74" t="n"/>
      <c r="AG349" s="112">
        <f>IF(AND(AA349&lt;&gt;"",AD349="Yes",AF349&lt;&gt;"Yes",AE349&lt;&gt;""),AE349,"")</f>
        <v/>
      </c>
      <c r="AH349" s="79">
        <f>IF(AG349="","",IF(AG349&lt;AsOf,1,IF(AG349&lt;=AsOf+AlertDays,2,IF(AG349&lt;=AsOf+2*AlertDays,3,""))))</f>
        <v/>
      </c>
      <c r="AI349" s="79">
        <f>IF(AH349="","","Follow up with "&amp;AA349&amp;": "&amp;AC349)</f>
        <v/>
      </c>
    </row>
    <row r="350" ht="20" customHeight="1">
      <c r="B350" s="72" t="n"/>
      <c r="C350" s="72" t="n"/>
      <c r="D350" s="72" t="n"/>
      <c r="E350" s="72" t="n"/>
      <c r="F350" s="72" t="n"/>
      <c r="G350" s="72" t="n"/>
      <c r="H350" s="72" t="n"/>
      <c r="I350" s="73" t="n"/>
      <c r="J350" s="75">
        <f>IF(B350="","",SUMIFS('Change Orders'!$J$7:$J$1006,'Change Orders'!$E$7:$E$1006,B350,'Change Orders'!$L$7:$L$1006,"Approved"))</f>
        <v/>
      </c>
      <c r="K350" s="76">
        <f>IF(B350="","",I350+J350)</f>
        <v/>
      </c>
      <c r="L350" s="74" t="n"/>
      <c r="M350" s="109" t="n"/>
      <c r="N350" s="109" t="n"/>
      <c r="O350" s="74" t="n"/>
      <c r="P350" s="74" t="n"/>
      <c r="Q350" s="100" t="n"/>
      <c r="R350" s="110" t="n"/>
      <c r="S350" s="75">
        <f>IF(B350="","",SUMIFS('Payments'!$N$6:$N$1005,'Payments'!$B$6:$B$1005,B350))</f>
        <v/>
      </c>
      <c r="T350" s="111">
        <f>IF(OR(B350="",K350=0),"",S350/K350)</f>
        <v/>
      </c>
      <c r="U350" s="78">
        <f>IF(V350="","",IF(V350=2,"⚠️ Paying ahead of work","✓ OK"))</f>
        <v/>
      </c>
      <c r="V350" s="79">
        <f>IF(T350="","",IF(T350-R350&gt;OverpayTol,2,0))</f>
        <v/>
      </c>
      <c r="W350" s="112">
        <f>IF(V350=2,AsOf,"")</f>
        <v/>
      </c>
      <c r="X350" s="79">
        <f>IF(W350="","",1)</f>
        <v/>
      </c>
      <c r="Y350" s="79">
        <f>IF(X350="","","Paying ahead of work: "&amp;B350&amp;" — paid "&amp;ROUND(T350*100,0)&amp;"%, work done "&amp;ROUND(R350*100,0)&amp;"%")</f>
        <v/>
      </c>
      <c r="AA350" s="72" t="n"/>
      <c r="AB350" s="109" t="n"/>
      <c r="AC350" s="113" t="n"/>
      <c r="AD350" s="74" t="n"/>
      <c r="AE350" s="109" t="n"/>
      <c r="AF350" s="74" t="n"/>
      <c r="AG350" s="112">
        <f>IF(AND(AA350&lt;&gt;"",AD350="Yes",AF350&lt;&gt;"Yes",AE350&lt;&gt;""),AE350,"")</f>
        <v/>
      </c>
      <c r="AH350" s="79">
        <f>IF(AG350="","",IF(AG350&lt;AsOf,1,IF(AG350&lt;=AsOf+AlertDays,2,IF(AG350&lt;=AsOf+2*AlertDays,3,""))))</f>
        <v/>
      </c>
      <c r="AI350" s="79">
        <f>IF(AH350="","","Follow up with "&amp;AA350&amp;": "&amp;AC350)</f>
        <v/>
      </c>
    </row>
    <row r="351" ht="20" customHeight="1">
      <c r="B351" s="72" t="n"/>
      <c r="C351" s="72" t="n"/>
      <c r="D351" s="72" t="n"/>
      <c r="E351" s="72" t="n"/>
      <c r="F351" s="72" t="n"/>
      <c r="G351" s="72" t="n"/>
      <c r="H351" s="72" t="n"/>
      <c r="I351" s="73" t="n"/>
      <c r="J351" s="75">
        <f>IF(B351="","",SUMIFS('Change Orders'!$J$7:$J$1006,'Change Orders'!$E$7:$E$1006,B351,'Change Orders'!$L$7:$L$1006,"Approved"))</f>
        <v/>
      </c>
      <c r="K351" s="76">
        <f>IF(B351="","",I351+J351)</f>
        <v/>
      </c>
      <c r="L351" s="74" t="n"/>
      <c r="M351" s="109" t="n"/>
      <c r="N351" s="109" t="n"/>
      <c r="O351" s="74" t="n"/>
      <c r="P351" s="74" t="n"/>
      <c r="Q351" s="100" t="n"/>
      <c r="R351" s="110" t="n"/>
      <c r="S351" s="75">
        <f>IF(B351="","",SUMIFS('Payments'!$N$6:$N$1005,'Payments'!$B$6:$B$1005,B351))</f>
        <v/>
      </c>
      <c r="T351" s="111">
        <f>IF(OR(B351="",K351=0),"",S351/K351)</f>
        <v/>
      </c>
      <c r="U351" s="78">
        <f>IF(V351="","",IF(V351=2,"⚠️ Paying ahead of work","✓ OK"))</f>
        <v/>
      </c>
      <c r="V351" s="79">
        <f>IF(T351="","",IF(T351-R351&gt;OverpayTol,2,0))</f>
        <v/>
      </c>
      <c r="W351" s="112">
        <f>IF(V351=2,AsOf,"")</f>
        <v/>
      </c>
      <c r="X351" s="79">
        <f>IF(W351="","",1)</f>
        <v/>
      </c>
      <c r="Y351" s="79">
        <f>IF(X351="","","Paying ahead of work: "&amp;B351&amp;" — paid "&amp;ROUND(T351*100,0)&amp;"%, work done "&amp;ROUND(R351*100,0)&amp;"%")</f>
        <v/>
      </c>
      <c r="AA351" s="72" t="n"/>
      <c r="AB351" s="109" t="n"/>
      <c r="AC351" s="113" t="n"/>
      <c r="AD351" s="74" t="n"/>
      <c r="AE351" s="109" t="n"/>
      <c r="AF351" s="74" t="n"/>
      <c r="AG351" s="112">
        <f>IF(AND(AA351&lt;&gt;"",AD351="Yes",AF351&lt;&gt;"Yes",AE351&lt;&gt;""),AE351,"")</f>
        <v/>
      </c>
      <c r="AH351" s="79">
        <f>IF(AG351="","",IF(AG351&lt;AsOf,1,IF(AG351&lt;=AsOf+AlertDays,2,IF(AG351&lt;=AsOf+2*AlertDays,3,""))))</f>
        <v/>
      </c>
      <c r="AI351" s="79">
        <f>IF(AH351="","","Follow up with "&amp;AA351&amp;": "&amp;AC351)</f>
        <v/>
      </c>
    </row>
    <row r="352" ht="20" customHeight="1">
      <c r="B352" s="72" t="n"/>
      <c r="C352" s="72" t="n"/>
      <c r="D352" s="72" t="n"/>
      <c r="E352" s="72" t="n"/>
      <c r="F352" s="72" t="n"/>
      <c r="G352" s="72" t="n"/>
      <c r="H352" s="72" t="n"/>
      <c r="I352" s="73" t="n"/>
      <c r="J352" s="75">
        <f>IF(B352="","",SUMIFS('Change Orders'!$J$7:$J$1006,'Change Orders'!$E$7:$E$1006,B352,'Change Orders'!$L$7:$L$1006,"Approved"))</f>
        <v/>
      </c>
      <c r="K352" s="76">
        <f>IF(B352="","",I352+J352)</f>
        <v/>
      </c>
      <c r="L352" s="74" t="n"/>
      <c r="M352" s="109" t="n"/>
      <c r="N352" s="109" t="n"/>
      <c r="O352" s="74" t="n"/>
      <c r="P352" s="74" t="n"/>
      <c r="Q352" s="100" t="n"/>
      <c r="R352" s="110" t="n"/>
      <c r="S352" s="75">
        <f>IF(B352="","",SUMIFS('Payments'!$N$6:$N$1005,'Payments'!$B$6:$B$1005,B352))</f>
        <v/>
      </c>
      <c r="T352" s="111">
        <f>IF(OR(B352="",K352=0),"",S352/K352)</f>
        <v/>
      </c>
      <c r="U352" s="78">
        <f>IF(V352="","",IF(V352=2,"⚠️ Paying ahead of work","✓ OK"))</f>
        <v/>
      </c>
      <c r="V352" s="79">
        <f>IF(T352="","",IF(T352-R352&gt;OverpayTol,2,0))</f>
        <v/>
      </c>
      <c r="W352" s="112">
        <f>IF(V352=2,AsOf,"")</f>
        <v/>
      </c>
      <c r="X352" s="79">
        <f>IF(W352="","",1)</f>
        <v/>
      </c>
      <c r="Y352" s="79">
        <f>IF(X352="","","Paying ahead of work: "&amp;B352&amp;" — paid "&amp;ROUND(T352*100,0)&amp;"%, work done "&amp;ROUND(R352*100,0)&amp;"%")</f>
        <v/>
      </c>
      <c r="AA352" s="72" t="n"/>
      <c r="AB352" s="109" t="n"/>
      <c r="AC352" s="113" t="n"/>
      <c r="AD352" s="74" t="n"/>
      <c r="AE352" s="109" t="n"/>
      <c r="AF352" s="74" t="n"/>
      <c r="AG352" s="112">
        <f>IF(AND(AA352&lt;&gt;"",AD352="Yes",AF352&lt;&gt;"Yes",AE352&lt;&gt;""),AE352,"")</f>
        <v/>
      </c>
      <c r="AH352" s="79">
        <f>IF(AG352="","",IF(AG352&lt;AsOf,1,IF(AG352&lt;=AsOf+AlertDays,2,IF(AG352&lt;=AsOf+2*AlertDays,3,""))))</f>
        <v/>
      </c>
      <c r="AI352" s="79">
        <f>IF(AH352="","","Follow up with "&amp;AA352&amp;": "&amp;AC352)</f>
        <v/>
      </c>
    </row>
    <row r="353" ht="20" customHeight="1">
      <c r="B353" s="72" t="n"/>
      <c r="C353" s="72" t="n"/>
      <c r="D353" s="72" t="n"/>
      <c r="E353" s="72" t="n"/>
      <c r="F353" s="72" t="n"/>
      <c r="G353" s="72" t="n"/>
      <c r="H353" s="72" t="n"/>
      <c r="I353" s="73" t="n"/>
      <c r="J353" s="75">
        <f>IF(B353="","",SUMIFS('Change Orders'!$J$7:$J$1006,'Change Orders'!$E$7:$E$1006,B353,'Change Orders'!$L$7:$L$1006,"Approved"))</f>
        <v/>
      </c>
      <c r="K353" s="76">
        <f>IF(B353="","",I353+J353)</f>
        <v/>
      </c>
      <c r="L353" s="74" t="n"/>
      <c r="M353" s="109" t="n"/>
      <c r="N353" s="109" t="n"/>
      <c r="O353" s="74" t="n"/>
      <c r="P353" s="74" t="n"/>
      <c r="Q353" s="100" t="n"/>
      <c r="R353" s="110" t="n"/>
      <c r="S353" s="75">
        <f>IF(B353="","",SUMIFS('Payments'!$N$6:$N$1005,'Payments'!$B$6:$B$1005,B353))</f>
        <v/>
      </c>
      <c r="T353" s="111">
        <f>IF(OR(B353="",K353=0),"",S353/K353)</f>
        <v/>
      </c>
      <c r="U353" s="78">
        <f>IF(V353="","",IF(V353=2,"⚠️ Paying ahead of work","✓ OK"))</f>
        <v/>
      </c>
      <c r="V353" s="79">
        <f>IF(T353="","",IF(T353-R353&gt;OverpayTol,2,0))</f>
        <v/>
      </c>
      <c r="W353" s="112">
        <f>IF(V353=2,AsOf,"")</f>
        <v/>
      </c>
      <c r="X353" s="79">
        <f>IF(W353="","",1)</f>
        <v/>
      </c>
      <c r="Y353" s="79">
        <f>IF(X353="","","Paying ahead of work: "&amp;B353&amp;" — paid "&amp;ROUND(T353*100,0)&amp;"%, work done "&amp;ROUND(R353*100,0)&amp;"%")</f>
        <v/>
      </c>
      <c r="AA353" s="72" t="n"/>
      <c r="AB353" s="109" t="n"/>
      <c r="AC353" s="113" t="n"/>
      <c r="AD353" s="74" t="n"/>
      <c r="AE353" s="109" t="n"/>
      <c r="AF353" s="74" t="n"/>
      <c r="AG353" s="112">
        <f>IF(AND(AA353&lt;&gt;"",AD353="Yes",AF353&lt;&gt;"Yes",AE353&lt;&gt;""),AE353,"")</f>
        <v/>
      </c>
      <c r="AH353" s="79">
        <f>IF(AG353="","",IF(AG353&lt;AsOf,1,IF(AG353&lt;=AsOf+AlertDays,2,IF(AG353&lt;=AsOf+2*AlertDays,3,""))))</f>
        <v/>
      </c>
      <c r="AI353" s="79">
        <f>IF(AH353="","","Follow up with "&amp;AA353&amp;": "&amp;AC353)</f>
        <v/>
      </c>
    </row>
    <row r="354" ht="20" customHeight="1">
      <c r="B354" s="72" t="n"/>
      <c r="C354" s="72" t="n"/>
      <c r="D354" s="72" t="n"/>
      <c r="E354" s="72" t="n"/>
      <c r="F354" s="72" t="n"/>
      <c r="G354" s="72" t="n"/>
      <c r="H354" s="72" t="n"/>
      <c r="I354" s="73" t="n"/>
      <c r="J354" s="75">
        <f>IF(B354="","",SUMIFS('Change Orders'!$J$7:$J$1006,'Change Orders'!$E$7:$E$1006,B354,'Change Orders'!$L$7:$L$1006,"Approved"))</f>
        <v/>
      </c>
      <c r="K354" s="76">
        <f>IF(B354="","",I354+J354)</f>
        <v/>
      </c>
      <c r="L354" s="74" t="n"/>
      <c r="M354" s="109" t="n"/>
      <c r="N354" s="109" t="n"/>
      <c r="O354" s="74" t="n"/>
      <c r="P354" s="74" t="n"/>
      <c r="Q354" s="100" t="n"/>
      <c r="R354" s="110" t="n"/>
      <c r="S354" s="75">
        <f>IF(B354="","",SUMIFS('Payments'!$N$6:$N$1005,'Payments'!$B$6:$B$1005,B354))</f>
        <v/>
      </c>
      <c r="T354" s="111">
        <f>IF(OR(B354="",K354=0),"",S354/K354)</f>
        <v/>
      </c>
      <c r="U354" s="78">
        <f>IF(V354="","",IF(V354=2,"⚠️ Paying ahead of work","✓ OK"))</f>
        <v/>
      </c>
      <c r="V354" s="79">
        <f>IF(T354="","",IF(T354-R354&gt;OverpayTol,2,0))</f>
        <v/>
      </c>
      <c r="W354" s="112">
        <f>IF(V354=2,AsOf,"")</f>
        <v/>
      </c>
      <c r="X354" s="79">
        <f>IF(W354="","",1)</f>
        <v/>
      </c>
      <c r="Y354" s="79">
        <f>IF(X354="","","Paying ahead of work: "&amp;B354&amp;" — paid "&amp;ROUND(T354*100,0)&amp;"%, work done "&amp;ROUND(R354*100,0)&amp;"%")</f>
        <v/>
      </c>
      <c r="AA354" s="72" t="n"/>
      <c r="AB354" s="109" t="n"/>
      <c r="AC354" s="113" t="n"/>
      <c r="AD354" s="74" t="n"/>
      <c r="AE354" s="109" t="n"/>
      <c r="AF354" s="74" t="n"/>
      <c r="AG354" s="112">
        <f>IF(AND(AA354&lt;&gt;"",AD354="Yes",AF354&lt;&gt;"Yes",AE354&lt;&gt;""),AE354,"")</f>
        <v/>
      </c>
      <c r="AH354" s="79">
        <f>IF(AG354="","",IF(AG354&lt;AsOf,1,IF(AG354&lt;=AsOf+AlertDays,2,IF(AG354&lt;=AsOf+2*AlertDays,3,""))))</f>
        <v/>
      </c>
      <c r="AI354" s="79">
        <f>IF(AH354="","","Follow up with "&amp;AA354&amp;": "&amp;AC354)</f>
        <v/>
      </c>
    </row>
    <row r="355" ht="20" customHeight="1">
      <c r="B355" s="72" t="n"/>
      <c r="C355" s="72" t="n"/>
      <c r="D355" s="72" t="n"/>
      <c r="E355" s="72" t="n"/>
      <c r="F355" s="72" t="n"/>
      <c r="G355" s="72" t="n"/>
      <c r="H355" s="72" t="n"/>
      <c r="I355" s="73" t="n"/>
      <c r="J355" s="75">
        <f>IF(B355="","",SUMIFS('Change Orders'!$J$7:$J$1006,'Change Orders'!$E$7:$E$1006,B355,'Change Orders'!$L$7:$L$1006,"Approved"))</f>
        <v/>
      </c>
      <c r="K355" s="76">
        <f>IF(B355="","",I355+J355)</f>
        <v/>
      </c>
      <c r="L355" s="74" t="n"/>
      <c r="M355" s="109" t="n"/>
      <c r="N355" s="109" t="n"/>
      <c r="O355" s="74" t="n"/>
      <c r="P355" s="74" t="n"/>
      <c r="Q355" s="100" t="n"/>
      <c r="R355" s="110" t="n"/>
      <c r="S355" s="75">
        <f>IF(B355="","",SUMIFS('Payments'!$N$6:$N$1005,'Payments'!$B$6:$B$1005,B355))</f>
        <v/>
      </c>
      <c r="T355" s="111">
        <f>IF(OR(B355="",K355=0),"",S355/K355)</f>
        <v/>
      </c>
      <c r="U355" s="78">
        <f>IF(V355="","",IF(V355=2,"⚠️ Paying ahead of work","✓ OK"))</f>
        <v/>
      </c>
      <c r="V355" s="79">
        <f>IF(T355="","",IF(T355-R355&gt;OverpayTol,2,0))</f>
        <v/>
      </c>
      <c r="W355" s="112">
        <f>IF(V355=2,AsOf,"")</f>
        <v/>
      </c>
      <c r="X355" s="79">
        <f>IF(W355="","",1)</f>
        <v/>
      </c>
      <c r="Y355" s="79">
        <f>IF(X355="","","Paying ahead of work: "&amp;B355&amp;" — paid "&amp;ROUND(T355*100,0)&amp;"%, work done "&amp;ROUND(R355*100,0)&amp;"%")</f>
        <v/>
      </c>
      <c r="AA355" s="72" t="n"/>
      <c r="AB355" s="109" t="n"/>
      <c r="AC355" s="113" t="n"/>
      <c r="AD355" s="74" t="n"/>
      <c r="AE355" s="109" t="n"/>
      <c r="AF355" s="74" t="n"/>
      <c r="AG355" s="112">
        <f>IF(AND(AA355&lt;&gt;"",AD355="Yes",AF355&lt;&gt;"Yes",AE355&lt;&gt;""),AE355,"")</f>
        <v/>
      </c>
      <c r="AH355" s="79">
        <f>IF(AG355="","",IF(AG355&lt;AsOf,1,IF(AG355&lt;=AsOf+AlertDays,2,IF(AG355&lt;=AsOf+2*AlertDays,3,""))))</f>
        <v/>
      </c>
      <c r="AI355" s="79">
        <f>IF(AH355="","","Follow up with "&amp;AA355&amp;": "&amp;AC355)</f>
        <v/>
      </c>
    </row>
    <row r="356" ht="20" customHeight="1">
      <c r="B356" s="72" t="n"/>
      <c r="C356" s="72" t="n"/>
      <c r="D356" s="72" t="n"/>
      <c r="E356" s="72" t="n"/>
      <c r="F356" s="72" t="n"/>
      <c r="G356" s="72" t="n"/>
      <c r="H356" s="72" t="n"/>
      <c r="I356" s="73" t="n"/>
      <c r="J356" s="75">
        <f>IF(B356="","",SUMIFS('Change Orders'!$J$7:$J$1006,'Change Orders'!$E$7:$E$1006,B356,'Change Orders'!$L$7:$L$1006,"Approved"))</f>
        <v/>
      </c>
      <c r="K356" s="76">
        <f>IF(B356="","",I356+J356)</f>
        <v/>
      </c>
      <c r="L356" s="74" t="n"/>
      <c r="M356" s="109" t="n"/>
      <c r="N356" s="109" t="n"/>
      <c r="O356" s="74" t="n"/>
      <c r="P356" s="74" t="n"/>
      <c r="Q356" s="100" t="n"/>
      <c r="R356" s="110" t="n"/>
      <c r="S356" s="75">
        <f>IF(B356="","",SUMIFS('Payments'!$N$6:$N$1005,'Payments'!$B$6:$B$1005,B356))</f>
        <v/>
      </c>
      <c r="T356" s="111">
        <f>IF(OR(B356="",K356=0),"",S356/K356)</f>
        <v/>
      </c>
      <c r="U356" s="78">
        <f>IF(V356="","",IF(V356=2,"⚠️ Paying ahead of work","✓ OK"))</f>
        <v/>
      </c>
      <c r="V356" s="79">
        <f>IF(T356="","",IF(T356-R356&gt;OverpayTol,2,0))</f>
        <v/>
      </c>
      <c r="W356" s="112">
        <f>IF(V356=2,AsOf,"")</f>
        <v/>
      </c>
      <c r="X356" s="79">
        <f>IF(W356="","",1)</f>
        <v/>
      </c>
      <c r="Y356" s="79">
        <f>IF(X356="","","Paying ahead of work: "&amp;B356&amp;" — paid "&amp;ROUND(T356*100,0)&amp;"%, work done "&amp;ROUND(R356*100,0)&amp;"%")</f>
        <v/>
      </c>
      <c r="AA356" s="72" t="n"/>
      <c r="AB356" s="109" t="n"/>
      <c r="AC356" s="113" t="n"/>
      <c r="AD356" s="74" t="n"/>
      <c r="AE356" s="109" t="n"/>
      <c r="AF356" s="74" t="n"/>
      <c r="AG356" s="112">
        <f>IF(AND(AA356&lt;&gt;"",AD356="Yes",AF356&lt;&gt;"Yes",AE356&lt;&gt;""),AE356,"")</f>
        <v/>
      </c>
      <c r="AH356" s="79">
        <f>IF(AG356="","",IF(AG356&lt;AsOf,1,IF(AG356&lt;=AsOf+AlertDays,2,IF(AG356&lt;=AsOf+2*AlertDays,3,""))))</f>
        <v/>
      </c>
      <c r="AI356" s="79">
        <f>IF(AH356="","","Follow up with "&amp;AA356&amp;": "&amp;AC356)</f>
        <v/>
      </c>
    </row>
    <row r="357" ht="20" customHeight="1">
      <c r="B357" s="72" t="n"/>
      <c r="C357" s="72" t="n"/>
      <c r="D357" s="72" t="n"/>
      <c r="E357" s="72" t="n"/>
      <c r="F357" s="72" t="n"/>
      <c r="G357" s="72" t="n"/>
      <c r="H357" s="72" t="n"/>
      <c r="I357" s="73" t="n"/>
      <c r="J357" s="75">
        <f>IF(B357="","",SUMIFS('Change Orders'!$J$7:$J$1006,'Change Orders'!$E$7:$E$1006,B357,'Change Orders'!$L$7:$L$1006,"Approved"))</f>
        <v/>
      </c>
      <c r="K357" s="76">
        <f>IF(B357="","",I357+J357)</f>
        <v/>
      </c>
      <c r="L357" s="74" t="n"/>
      <c r="M357" s="109" t="n"/>
      <c r="N357" s="109" t="n"/>
      <c r="O357" s="74" t="n"/>
      <c r="P357" s="74" t="n"/>
      <c r="Q357" s="100" t="n"/>
      <c r="R357" s="110" t="n"/>
      <c r="S357" s="75">
        <f>IF(B357="","",SUMIFS('Payments'!$N$6:$N$1005,'Payments'!$B$6:$B$1005,B357))</f>
        <v/>
      </c>
      <c r="T357" s="111">
        <f>IF(OR(B357="",K357=0),"",S357/K357)</f>
        <v/>
      </c>
      <c r="U357" s="78">
        <f>IF(V357="","",IF(V357=2,"⚠️ Paying ahead of work","✓ OK"))</f>
        <v/>
      </c>
      <c r="V357" s="79">
        <f>IF(T357="","",IF(T357-R357&gt;OverpayTol,2,0))</f>
        <v/>
      </c>
      <c r="W357" s="112">
        <f>IF(V357=2,AsOf,"")</f>
        <v/>
      </c>
      <c r="X357" s="79">
        <f>IF(W357="","",1)</f>
        <v/>
      </c>
      <c r="Y357" s="79">
        <f>IF(X357="","","Paying ahead of work: "&amp;B357&amp;" — paid "&amp;ROUND(T357*100,0)&amp;"%, work done "&amp;ROUND(R357*100,0)&amp;"%")</f>
        <v/>
      </c>
      <c r="AA357" s="72" t="n"/>
      <c r="AB357" s="109" t="n"/>
      <c r="AC357" s="113" t="n"/>
      <c r="AD357" s="74" t="n"/>
      <c r="AE357" s="109" t="n"/>
      <c r="AF357" s="74" t="n"/>
      <c r="AG357" s="112">
        <f>IF(AND(AA357&lt;&gt;"",AD357="Yes",AF357&lt;&gt;"Yes",AE357&lt;&gt;""),AE357,"")</f>
        <v/>
      </c>
      <c r="AH357" s="79">
        <f>IF(AG357="","",IF(AG357&lt;AsOf,1,IF(AG357&lt;=AsOf+AlertDays,2,IF(AG357&lt;=AsOf+2*AlertDays,3,""))))</f>
        <v/>
      </c>
      <c r="AI357" s="79">
        <f>IF(AH357="","","Follow up with "&amp;AA357&amp;": "&amp;AC357)</f>
        <v/>
      </c>
    </row>
    <row r="358" ht="20" customHeight="1">
      <c r="B358" s="72" t="n"/>
      <c r="C358" s="72" t="n"/>
      <c r="D358" s="72" t="n"/>
      <c r="E358" s="72" t="n"/>
      <c r="F358" s="72" t="n"/>
      <c r="G358" s="72" t="n"/>
      <c r="H358" s="72" t="n"/>
      <c r="I358" s="73" t="n"/>
      <c r="J358" s="75">
        <f>IF(B358="","",SUMIFS('Change Orders'!$J$7:$J$1006,'Change Orders'!$E$7:$E$1006,B358,'Change Orders'!$L$7:$L$1006,"Approved"))</f>
        <v/>
      </c>
      <c r="K358" s="76">
        <f>IF(B358="","",I358+J358)</f>
        <v/>
      </c>
      <c r="L358" s="74" t="n"/>
      <c r="M358" s="109" t="n"/>
      <c r="N358" s="109" t="n"/>
      <c r="O358" s="74" t="n"/>
      <c r="P358" s="74" t="n"/>
      <c r="Q358" s="100" t="n"/>
      <c r="R358" s="110" t="n"/>
      <c r="S358" s="75">
        <f>IF(B358="","",SUMIFS('Payments'!$N$6:$N$1005,'Payments'!$B$6:$B$1005,B358))</f>
        <v/>
      </c>
      <c r="T358" s="111">
        <f>IF(OR(B358="",K358=0),"",S358/K358)</f>
        <v/>
      </c>
      <c r="U358" s="78">
        <f>IF(V358="","",IF(V358=2,"⚠️ Paying ahead of work","✓ OK"))</f>
        <v/>
      </c>
      <c r="V358" s="79">
        <f>IF(T358="","",IF(T358-R358&gt;OverpayTol,2,0))</f>
        <v/>
      </c>
      <c r="W358" s="112">
        <f>IF(V358=2,AsOf,"")</f>
        <v/>
      </c>
      <c r="X358" s="79">
        <f>IF(W358="","",1)</f>
        <v/>
      </c>
      <c r="Y358" s="79">
        <f>IF(X358="","","Paying ahead of work: "&amp;B358&amp;" — paid "&amp;ROUND(T358*100,0)&amp;"%, work done "&amp;ROUND(R358*100,0)&amp;"%")</f>
        <v/>
      </c>
      <c r="AA358" s="72" t="n"/>
      <c r="AB358" s="109" t="n"/>
      <c r="AC358" s="113" t="n"/>
      <c r="AD358" s="74" t="n"/>
      <c r="AE358" s="109" t="n"/>
      <c r="AF358" s="74" t="n"/>
      <c r="AG358" s="112">
        <f>IF(AND(AA358&lt;&gt;"",AD358="Yes",AF358&lt;&gt;"Yes",AE358&lt;&gt;""),AE358,"")</f>
        <v/>
      </c>
      <c r="AH358" s="79">
        <f>IF(AG358="","",IF(AG358&lt;AsOf,1,IF(AG358&lt;=AsOf+AlertDays,2,IF(AG358&lt;=AsOf+2*AlertDays,3,""))))</f>
        <v/>
      </c>
      <c r="AI358" s="79">
        <f>IF(AH358="","","Follow up with "&amp;AA358&amp;": "&amp;AC358)</f>
        <v/>
      </c>
    </row>
    <row r="359" ht="20" customHeight="1">
      <c r="B359" s="72" t="n"/>
      <c r="C359" s="72" t="n"/>
      <c r="D359" s="72" t="n"/>
      <c r="E359" s="72" t="n"/>
      <c r="F359" s="72" t="n"/>
      <c r="G359" s="72" t="n"/>
      <c r="H359" s="72" t="n"/>
      <c r="I359" s="73" t="n"/>
      <c r="J359" s="75">
        <f>IF(B359="","",SUMIFS('Change Orders'!$J$7:$J$1006,'Change Orders'!$E$7:$E$1006,B359,'Change Orders'!$L$7:$L$1006,"Approved"))</f>
        <v/>
      </c>
      <c r="K359" s="76">
        <f>IF(B359="","",I359+J359)</f>
        <v/>
      </c>
      <c r="L359" s="74" t="n"/>
      <c r="M359" s="109" t="n"/>
      <c r="N359" s="109" t="n"/>
      <c r="O359" s="74" t="n"/>
      <c r="P359" s="74" t="n"/>
      <c r="Q359" s="100" t="n"/>
      <c r="R359" s="110" t="n"/>
      <c r="S359" s="75">
        <f>IF(B359="","",SUMIFS('Payments'!$N$6:$N$1005,'Payments'!$B$6:$B$1005,B359))</f>
        <v/>
      </c>
      <c r="T359" s="111">
        <f>IF(OR(B359="",K359=0),"",S359/K359)</f>
        <v/>
      </c>
      <c r="U359" s="78">
        <f>IF(V359="","",IF(V359=2,"⚠️ Paying ahead of work","✓ OK"))</f>
        <v/>
      </c>
      <c r="V359" s="79">
        <f>IF(T359="","",IF(T359-R359&gt;OverpayTol,2,0))</f>
        <v/>
      </c>
      <c r="W359" s="112">
        <f>IF(V359=2,AsOf,"")</f>
        <v/>
      </c>
      <c r="X359" s="79">
        <f>IF(W359="","",1)</f>
        <v/>
      </c>
      <c r="Y359" s="79">
        <f>IF(X359="","","Paying ahead of work: "&amp;B359&amp;" — paid "&amp;ROUND(T359*100,0)&amp;"%, work done "&amp;ROUND(R359*100,0)&amp;"%")</f>
        <v/>
      </c>
      <c r="AA359" s="72" t="n"/>
      <c r="AB359" s="109" t="n"/>
      <c r="AC359" s="113" t="n"/>
      <c r="AD359" s="74" t="n"/>
      <c r="AE359" s="109" t="n"/>
      <c r="AF359" s="74" t="n"/>
      <c r="AG359" s="112">
        <f>IF(AND(AA359&lt;&gt;"",AD359="Yes",AF359&lt;&gt;"Yes",AE359&lt;&gt;""),AE359,"")</f>
        <v/>
      </c>
      <c r="AH359" s="79">
        <f>IF(AG359="","",IF(AG359&lt;AsOf,1,IF(AG359&lt;=AsOf+AlertDays,2,IF(AG359&lt;=AsOf+2*AlertDays,3,""))))</f>
        <v/>
      </c>
      <c r="AI359" s="79">
        <f>IF(AH359="","","Follow up with "&amp;AA359&amp;": "&amp;AC359)</f>
        <v/>
      </c>
    </row>
    <row r="360" ht="20" customHeight="1">
      <c r="B360" s="72" t="n"/>
      <c r="C360" s="72" t="n"/>
      <c r="D360" s="72" t="n"/>
      <c r="E360" s="72" t="n"/>
      <c r="F360" s="72" t="n"/>
      <c r="G360" s="72" t="n"/>
      <c r="H360" s="72" t="n"/>
      <c r="I360" s="73" t="n"/>
      <c r="J360" s="75">
        <f>IF(B360="","",SUMIFS('Change Orders'!$J$7:$J$1006,'Change Orders'!$E$7:$E$1006,B360,'Change Orders'!$L$7:$L$1006,"Approved"))</f>
        <v/>
      </c>
      <c r="K360" s="76">
        <f>IF(B360="","",I360+J360)</f>
        <v/>
      </c>
      <c r="L360" s="74" t="n"/>
      <c r="M360" s="109" t="n"/>
      <c r="N360" s="109" t="n"/>
      <c r="O360" s="74" t="n"/>
      <c r="P360" s="74" t="n"/>
      <c r="Q360" s="100" t="n"/>
      <c r="R360" s="110" t="n"/>
      <c r="S360" s="75">
        <f>IF(B360="","",SUMIFS('Payments'!$N$6:$N$1005,'Payments'!$B$6:$B$1005,B360))</f>
        <v/>
      </c>
      <c r="T360" s="111">
        <f>IF(OR(B360="",K360=0),"",S360/K360)</f>
        <v/>
      </c>
      <c r="U360" s="78">
        <f>IF(V360="","",IF(V360=2,"⚠️ Paying ahead of work","✓ OK"))</f>
        <v/>
      </c>
      <c r="V360" s="79">
        <f>IF(T360="","",IF(T360-R360&gt;OverpayTol,2,0))</f>
        <v/>
      </c>
      <c r="W360" s="112">
        <f>IF(V360=2,AsOf,"")</f>
        <v/>
      </c>
      <c r="X360" s="79">
        <f>IF(W360="","",1)</f>
        <v/>
      </c>
      <c r="Y360" s="79">
        <f>IF(X360="","","Paying ahead of work: "&amp;B360&amp;" — paid "&amp;ROUND(T360*100,0)&amp;"%, work done "&amp;ROUND(R360*100,0)&amp;"%")</f>
        <v/>
      </c>
      <c r="AA360" s="72" t="n"/>
      <c r="AB360" s="109" t="n"/>
      <c r="AC360" s="113" t="n"/>
      <c r="AD360" s="74" t="n"/>
      <c r="AE360" s="109" t="n"/>
      <c r="AF360" s="74" t="n"/>
      <c r="AG360" s="112">
        <f>IF(AND(AA360&lt;&gt;"",AD360="Yes",AF360&lt;&gt;"Yes",AE360&lt;&gt;""),AE360,"")</f>
        <v/>
      </c>
      <c r="AH360" s="79">
        <f>IF(AG360="","",IF(AG360&lt;AsOf,1,IF(AG360&lt;=AsOf+AlertDays,2,IF(AG360&lt;=AsOf+2*AlertDays,3,""))))</f>
        <v/>
      </c>
      <c r="AI360" s="79">
        <f>IF(AH360="","","Follow up with "&amp;AA360&amp;": "&amp;AC360)</f>
        <v/>
      </c>
    </row>
    <row r="361" ht="20" customHeight="1">
      <c r="B361" s="72" t="n"/>
      <c r="C361" s="72" t="n"/>
      <c r="D361" s="72" t="n"/>
      <c r="E361" s="72" t="n"/>
      <c r="F361" s="72" t="n"/>
      <c r="G361" s="72" t="n"/>
      <c r="H361" s="72" t="n"/>
      <c r="I361" s="73" t="n"/>
      <c r="J361" s="75">
        <f>IF(B361="","",SUMIFS('Change Orders'!$J$7:$J$1006,'Change Orders'!$E$7:$E$1006,B361,'Change Orders'!$L$7:$L$1006,"Approved"))</f>
        <v/>
      </c>
      <c r="K361" s="76">
        <f>IF(B361="","",I361+J361)</f>
        <v/>
      </c>
      <c r="L361" s="74" t="n"/>
      <c r="M361" s="109" t="n"/>
      <c r="N361" s="109" t="n"/>
      <c r="O361" s="74" t="n"/>
      <c r="P361" s="74" t="n"/>
      <c r="Q361" s="100" t="n"/>
      <c r="R361" s="110" t="n"/>
      <c r="S361" s="75">
        <f>IF(B361="","",SUMIFS('Payments'!$N$6:$N$1005,'Payments'!$B$6:$B$1005,B361))</f>
        <v/>
      </c>
      <c r="T361" s="111">
        <f>IF(OR(B361="",K361=0),"",S361/K361)</f>
        <v/>
      </c>
      <c r="U361" s="78">
        <f>IF(V361="","",IF(V361=2,"⚠️ Paying ahead of work","✓ OK"))</f>
        <v/>
      </c>
      <c r="V361" s="79">
        <f>IF(T361="","",IF(T361-R361&gt;OverpayTol,2,0))</f>
        <v/>
      </c>
      <c r="W361" s="112">
        <f>IF(V361=2,AsOf,"")</f>
        <v/>
      </c>
      <c r="X361" s="79">
        <f>IF(W361="","",1)</f>
        <v/>
      </c>
      <c r="Y361" s="79">
        <f>IF(X361="","","Paying ahead of work: "&amp;B361&amp;" — paid "&amp;ROUND(T361*100,0)&amp;"%, work done "&amp;ROUND(R361*100,0)&amp;"%")</f>
        <v/>
      </c>
      <c r="AA361" s="72" t="n"/>
      <c r="AB361" s="109" t="n"/>
      <c r="AC361" s="113" t="n"/>
      <c r="AD361" s="74" t="n"/>
      <c r="AE361" s="109" t="n"/>
      <c r="AF361" s="74" t="n"/>
      <c r="AG361" s="112">
        <f>IF(AND(AA361&lt;&gt;"",AD361="Yes",AF361&lt;&gt;"Yes",AE361&lt;&gt;""),AE361,"")</f>
        <v/>
      </c>
      <c r="AH361" s="79">
        <f>IF(AG361="","",IF(AG361&lt;AsOf,1,IF(AG361&lt;=AsOf+AlertDays,2,IF(AG361&lt;=AsOf+2*AlertDays,3,""))))</f>
        <v/>
      </c>
      <c r="AI361" s="79">
        <f>IF(AH361="","","Follow up with "&amp;AA361&amp;": "&amp;AC361)</f>
        <v/>
      </c>
    </row>
    <row r="362" ht="20" customHeight="1">
      <c r="B362" s="72" t="n"/>
      <c r="C362" s="72" t="n"/>
      <c r="D362" s="72" t="n"/>
      <c r="E362" s="72" t="n"/>
      <c r="F362" s="72" t="n"/>
      <c r="G362" s="72" t="n"/>
      <c r="H362" s="72" t="n"/>
      <c r="I362" s="73" t="n"/>
      <c r="J362" s="75">
        <f>IF(B362="","",SUMIFS('Change Orders'!$J$7:$J$1006,'Change Orders'!$E$7:$E$1006,B362,'Change Orders'!$L$7:$L$1006,"Approved"))</f>
        <v/>
      </c>
      <c r="K362" s="76">
        <f>IF(B362="","",I362+J362)</f>
        <v/>
      </c>
      <c r="L362" s="74" t="n"/>
      <c r="M362" s="109" t="n"/>
      <c r="N362" s="109" t="n"/>
      <c r="O362" s="74" t="n"/>
      <c r="P362" s="74" t="n"/>
      <c r="Q362" s="100" t="n"/>
      <c r="R362" s="110" t="n"/>
      <c r="S362" s="75">
        <f>IF(B362="","",SUMIFS('Payments'!$N$6:$N$1005,'Payments'!$B$6:$B$1005,B362))</f>
        <v/>
      </c>
      <c r="T362" s="111">
        <f>IF(OR(B362="",K362=0),"",S362/K362)</f>
        <v/>
      </c>
      <c r="U362" s="78">
        <f>IF(V362="","",IF(V362=2,"⚠️ Paying ahead of work","✓ OK"))</f>
        <v/>
      </c>
      <c r="V362" s="79">
        <f>IF(T362="","",IF(T362-R362&gt;OverpayTol,2,0))</f>
        <v/>
      </c>
      <c r="W362" s="112">
        <f>IF(V362=2,AsOf,"")</f>
        <v/>
      </c>
      <c r="X362" s="79">
        <f>IF(W362="","",1)</f>
        <v/>
      </c>
      <c r="Y362" s="79">
        <f>IF(X362="","","Paying ahead of work: "&amp;B362&amp;" — paid "&amp;ROUND(T362*100,0)&amp;"%, work done "&amp;ROUND(R362*100,0)&amp;"%")</f>
        <v/>
      </c>
      <c r="AA362" s="72" t="n"/>
      <c r="AB362" s="109" t="n"/>
      <c r="AC362" s="113" t="n"/>
      <c r="AD362" s="74" t="n"/>
      <c r="AE362" s="109" t="n"/>
      <c r="AF362" s="74" t="n"/>
      <c r="AG362" s="112">
        <f>IF(AND(AA362&lt;&gt;"",AD362="Yes",AF362&lt;&gt;"Yes",AE362&lt;&gt;""),AE362,"")</f>
        <v/>
      </c>
      <c r="AH362" s="79">
        <f>IF(AG362="","",IF(AG362&lt;AsOf,1,IF(AG362&lt;=AsOf+AlertDays,2,IF(AG362&lt;=AsOf+2*AlertDays,3,""))))</f>
        <v/>
      </c>
      <c r="AI362" s="79">
        <f>IF(AH362="","","Follow up with "&amp;AA362&amp;": "&amp;AC362)</f>
        <v/>
      </c>
    </row>
    <row r="363" ht="20" customHeight="1">
      <c r="B363" s="72" t="n"/>
      <c r="C363" s="72" t="n"/>
      <c r="D363" s="72" t="n"/>
      <c r="E363" s="72" t="n"/>
      <c r="F363" s="72" t="n"/>
      <c r="G363" s="72" t="n"/>
      <c r="H363" s="72" t="n"/>
      <c r="I363" s="73" t="n"/>
      <c r="J363" s="75">
        <f>IF(B363="","",SUMIFS('Change Orders'!$J$7:$J$1006,'Change Orders'!$E$7:$E$1006,B363,'Change Orders'!$L$7:$L$1006,"Approved"))</f>
        <v/>
      </c>
      <c r="K363" s="76">
        <f>IF(B363="","",I363+J363)</f>
        <v/>
      </c>
      <c r="L363" s="74" t="n"/>
      <c r="M363" s="109" t="n"/>
      <c r="N363" s="109" t="n"/>
      <c r="O363" s="74" t="n"/>
      <c r="P363" s="74" t="n"/>
      <c r="Q363" s="100" t="n"/>
      <c r="R363" s="110" t="n"/>
      <c r="S363" s="75">
        <f>IF(B363="","",SUMIFS('Payments'!$N$6:$N$1005,'Payments'!$B$6:$B$1005,B363))</f>
        <v/>
      </c>
      <c r="T363" s="111">
        <f>IF(OR(B363="",K363=0),"",S363/K363)</f>
        <v/>
      </c>
      <c r="U363" s="78">
        <f>IF(V363="","",IF(V363=2,"⚠️ Paying ahead of work","✓ OK"))</f>
        <v/>
      </c>
      <c r="V363" s="79">
        <f>IF(T363="","",IF(T363-R363&gt;OverpayTol,2,0))</f>
        <v/>
      </c>
      <c r="W363" s="112">
        <f>IF(V363=2,AsOf,"")</f>
        <v/>
      </c>
      <c r="X363" s="79">
        <f>IF(W363="","",1)</f>
        <v/>
      </c>
      <c r="Y363" s="79">
        <f>IF(X363="","","Paying ahead of work: "&amp;B363&amp;" — paid "&amp;ROUND(T363*100,0)&amp;"%, work done "&amp;ROUND(R363*100,0)&amp;"%")</f>
        <v/>
      </c>
      <c r="AA363" s="72" t="n"/>
      <c r="AB363" s="109" t="n"/>
      <c r="AC363" s="113" t="n"/>
      <c r="AD363" s="74" t="n"/>
      <c r="AE363" s="109" t="n"/>
      <c r="AF363" s="74" t="n"/>
      <c r="AG363" s="112">
        <f>IF(AND(AA363&lt;&gt;"",AD363="Yes",AF363&lt;&gt;"Yes",AE363&lt;&gt;""),AE363,"")</f>
        <v/>
      </c>
      <c r="AH363" s="79">
        <f>IF(AG363="","",IF(AG363&lt;AsOf,1,IF(AG363&lt;=AsOf+AlertDays,2,IF(AG363&lt;=AsOf+2*AlertDays,3,""))))</f>
        <v/>
      </c>
      <c r="AI363" s="79">
        <f>IF(AH363="","","Follow up with "&amp;AA363&amp;": "&amp;AC363)</f>
        <v/>
      </c>
    </row>
    <row r="364" ht="20" customHeight="1">
      <c r="B364" s="72" t="n"/>
      <c r="C364" s="72" t="n"/>
      <c r="D364" s="72" t="n"/>
      <c r="E364" s="72" t="n"/>
      <c r="F364" s="72" t="n"/>
      <c r="G364" s="72" t="n"/>
      <c r="H364" s="72" t="n"/>
      <c r="I364" s="73" t="n"/>
      <c r="J364" s="75">
        <f>IF(B364="","",SUMIFS('Change Orders'!$J$7:$J$1006,'Change Orders'!$E$7:$E$1006,B364,'Change Orders'!$L$7:$L$1006,"Approved"))</f>
        <v/>
      </c>
      <c r="K364" s="76">
        <f>IF(B364="","",I364+J364)</f>
        <v/>
      </c>
      <c r="L364" s="74" t="n"/>
      <c r="M364" s="109" t="n"/>
      <c r="N364" s="109" t="n"/>
      <c r="O364" s="74" t="n"/>
      <c r="P364" s="74" t="n"/>
      <c r="Q364" s="100" t="n"/>
      <c r="R364" s="110" t="n"/>
      <c r="S364" s="75">
        <f>IF(B364="","",SUMIFS('Payments'!$N$6:$N$1005,'Payments'!$B$6:$B$1005,B364))</f>
        <v/>
      </c>
      <c r="T364" s="111">
        <f>IF(OR(B364="",K364=0),"",S364/K364)</f>
        <v/>
      </c>
      <c r="U364" s="78">
        <f>IF(V364="","",IF(V364=2,"⚠️ Paying ahead of work","✓ OK"))</f>
        <v/>
      </c>
      <c r="V364" s="79">
        <f>IF(T364="","",IF(T364-R364&gt;OverpayTol,2,0))</f>
        <v/>
      </c>
      <c r="W364" s="112">
        <f>IF(V364=2,AsOf,"")</f>
        <v/>
      </c>
      <c r="X364" s="79">
        <f>IF(W364="","",1)</f>
        <v/>
      </c>
      <c r="Y364" s="79">
        <f>IF(X364="","","Paying ahead of work: "&amp;B364&amp;" — paid "&amp;ROUND(T364*100,0)&amp;"%, work done "&amp;ROUND(R364*100,0)&amp;"%")</f>
        <v/>
      </c>
      <c r="AA364" s="72" t="n"/>
      <c r="AB364" s="109" t="n"/>
      <c r="AC364" s="113" t="n"/>
      <c r="AD364" s="74" t="n"/>
      <c r="AE364" s="109" t="n"/>
      <c r="AF364" s="74" t="n"/>
      <c r="AG364" s="112">
        <f>IF(AND(AA364&lt;&gt;"",AD364="Yes",AF364&lt;&gt;"Yes",AE364&lt;&gt;""),AE364,"")</f>
        <v/>
      </c>
      <c r="AH364" s="79">
        <f>IF(AG364="","",IF(AG364&lt;AsOf,1,IF(AG364&lt;=AsOf+AlertDays,2,IF(AG364&lt;=AsOf+2*AlertDays,3,""))))</f>
        <v/>
      </c>
      <c r="AI364" s="79">
        <f>IF(AH364="","","Follow up with "&amp;AA364&amp;": "&amp;AC364)</f>
        <v/>
      </c>
    </row>
    <row r="365" ht="20" customHeight="1">
      <c r="B365" s="72" t="n"/>
      <c r="C365" s="72" t="n"/>
      <c r="D365" s="72" t="n"/>
      <c r="E365" s="72" t="n"/>
      <c r="F365" s="72" t="n"/>
      <c r="G365" s="72" t="n"/>
      <c r="H365" s="72" t="n"/>
      <c r="I365" s="73" t="n"/>
      <c r="J365" s="75">
        <f>IF(B365="","",SUMIFS('Change Orders'!$J$7:$J$1006,'Change Orders'!$E$7:$E$1006,B365,'Change Orders'!$L$7:$L$1006,"Approved"))</f>
        <v/>
      </c>
      <c r="K365" s="76">
        <f>IF(B365="","",I365+J365)</f>
        <v/>
      </c>
      <c r="L365" s="74" t="n"/>
      <c r="M365" s="109" t="n"/>
      <c r="N365" s="109" t="n"/>
      <c r="O365" s="74" t="n"/>
      <c r="P365" s="74" t="n"/>
      <c r="Q365" s="100" t="n"/>
      <c r="R365" s="110" t="n"/>
      <c r="S365" s="75">
        <f>IF(B365="","",SUMIFS('Payments'!$N$6:$N$1005,'Payments'!$B$6:$B$1005,B365))</f>
        <v/>
      </c>
      <c r="T365" s="111">
        <f>IF(OR(B365="",K365=0),"",S365/K365)</f>
        <v/>
      </c>
      <c r="U365" s="78">
        <f>IF(V365="","",IF(V365=2,"⚠️ Paying ahead of work","✓ OK"))</f>
        <v/>
      </c>
      <c r="V365" s="79">
        <f>IF(T365="","",IF(T365-R365&gt;OverpayTol,2,0))</f>
        <v/>
      </c>
      <c r="W365" s="112">
        <f>IF(V365=2,AsOf,"")</f>
        <v/>
      </c>
      <c r="X365" s="79">
        <f>IF(W365="","",1)</f>
        <v/>
      </c>
      <c r="Y365" s="79">
        <f>IF(X365="","","Paying ahead of work: "&amp;B365&amp;" — paid "&amp;ROUND(T365*100,0)&amp;"%, work done "&amp;ROUND(R365*100,0)&amp;"%")</f>
        <v/>
      </c>
      <c r="AA365" s="72" t="n"/>
      <c r="AB365" s="109" t="n"/>
      <c r="AC365" s="113" t="n"/>
      <c r="AD365" s="74" t="n"/>
      <c r="AE365" s="109" t="n"/>
      <c r="AF365" s="74" t="n"/>
      <c r="AG365" s="112">
        <f>IF(AND(AA365&lt;&gt;"",AD365="Yes",AF365&lt;&gt;"Yes",AE365&lt;&gt;""),AE365,"")</f>
        <v/>
      </c>
      <c r="AH365" s="79">
        <f>IF(AG365="","",IF(AG365&lt;AsOf,1,IF(AG365&lt;=AsOf+AlertDays,2,IF(AG365&lt;=AsOf+2*AlertDays,3,""))))</f>
        <v/>
      </c>
      <c r="AI365" s="79">
        <f>IF(AH365="","","Follow up with "&amp;AA365&amp;": "&amp;AC365)</f>
        <v/>
      </c>
    </row>
    <row r="366" ht="20" customHeight="1">
      <c r="B366" s="72" t="n"/>
      <c r="C366" s="72" t="n"/>
      <c r="D366" s="72" t="n"/>
      <c r="E366" s="72" t="n"/>
      <c r="F366" s="72" t="n"/>
      <c r="G366" s="72" t="n"/>
      <c r="H366" s="72" t="n"/>
      <c r="I366" s="73" t="n"/>
      <c r="J366" s="75">
        <f>IF(B366="","",SUMIFS('Change Orders'!$J$7:$J$1006,'Change Orders'!$E$7:$E$1006,B366,'Change Orders'!$L$7:$L$1006,"Approved"))</f>
        <v/>
      </c>
      <c r="K366" s="76">
        <f>IF(B366="","",I366+J366)</f>
        <v/>
      </c>
      <c r="L366" s="74" t="n"/>
      <c r="M366" s="109" t="n"/>
      <c r="N366" s="109" t="n"/>
      <c r="O366" s="74" t="n"/>
      <c r="P366" s="74" t="n"/>
      <c r="Q366" s="100" t="n"/>
      <c r="R366" s="110" t="n"/>
      <c r="S366" s="75">
        <f>IF(B366="","",SUMIFS('Payments'!$N$6:$N$1005,'Payments'!$B$6:$B$1005,B366))</f>
        <v/>
      </c>
      <c r="T366" s="111">
        <f>IF(OR(B366="",K366=0),"",S366/K366)</f>
        <v/>
      </c>
      <c r="U366" s="78">
        <f>IF(V366="","",IF(V366=2,"⚠️ Paying ahead of work","✓ OK"))</f>
        <v/>
      </c>
      <c r="V366" s="79">
        <f>IF(T366="","",IF(T366-R366&gt;OverpayTol,2,0))</f>
        <v/>
      </c>
      <c r="W366" s="112">
        <f>IF(V366=2,AsOf,"")</f>
        <v/>
      </c>
      <c r="X366" s="79">
        <f>IF(W366="","",1)</f>
        <v/>
      </c>
      <c r="Y366" s="79">
        <f>IF(X366="","","Paying ahead of work: "&amp;B366&amp;" — paid "&amp;ROUND(T366*100,0)&amp;"%, work done "&amp;ROUND(R366*100,0)&amp;"%")</f>
        <v/>
      </c>
      <c r="AA366" s="72" t="n"/>
      <c r="AB366" s="109" t="n"/>
      <c r="AC366" s="113" t="n"/>
      <c r="AD366" s="74" t="n"/>
      <c r="AE366" s="109" t="n"/>
      <c r="AF366" s="74" t="n"/>
      <c r="AG366" s="112">
        <f>IF(AND(AA366&lt;&gt;"",AD366="Yes",AF366&lt;&gt;"Yes",AE366&lt;&gt;""),AE366,"")</f>
        <v/>
      </c>
      <c r="AH366" s="79">
        <f>IF(AG366="","",IF(AG366&lt;AsOf,1,IF(AG366&lt;=AsOf+AlertDays,2,IF(AG366&lt;=AsOf+2*AlertDays,3,""))))</f>
        <v/>
      </c>
      <c r="AI366" s="79">
        <f>IF(AH366="","","Follow up with "&amp;AA366&amp;": "&amp;AC366)</f>
        <v/>
      </c>
    </row>
    <row r="367" ht="20" customHeight="1">
      <c r="B367" s="72" t="n"/>
      <c r="C367" s="72" t="n"/>
      <c r="D367" s="72" t="n"/>
      <c r="E367" s="72" t="n"/>
      <c r="F367" s="72" t="n"/>
      <c r="G367" s="72" t="n"/>
      <c r="H367" s="72" t="n"/>
      <c r="I367" s="73" t="n"/>
      <c r="J367" s="75">
        <f>IF(B367="","",SUMIFS('Change Orders'!$J$7:$J$1006,'Change Orders'!$E$7:$E$1006,B367,'Change Orders'!$L$7:$L$1006,"Approved"))</f>
        <v/>
      </c>
      <c r="K367" s="76">
        <f>IF(B367="","",I367+J367)</f>
        <v/>
      </c>
      <c r="L367" s="74" t="n"/>
      <c r="M367" s="109" t="n"/>
      <c r="N367" s="109" t="n"/>
      <c r="O367" s="74" t="n"/>
      <c r="P367" s="74" t="n"/>
      <c r="Q367" s="100" t="n"/>
      <c r="R367" s="110" t="n"/>
      <c r="S367" s="75">
        <f>IF(B367="","",SUMIFS('Payments'!$N$6:$N$1005,'Payments'!$B$6:$B$1005,B367))</f>
        <v/>
      </c>
      <c r="T367" s="111">
        <f>IF(OR(B367="",K367=0),"",S367/K367)</f>
        <v/>
      </c>
      <c r="U367" s="78">
        <f>IF(V367="","",IF(V367=2,"⚠️ Paying ahead of work","✓ OK"))</f>
        <v/>
      </c>
      <c r="V367" s="79">
        <f>IF(T367="","",IF(T367-R367&gt;OverpayTol,2,0))</f>
        <v/>
      </c>
      <c r="W367" s="112">
        <f>IF(V367=2,AsOf,"")</f>
        <v/>
      </c>
      <c r="X367" s="79">
        <f>IF(W367="","",1)</f>
        <v/>
      </c>
      <c r="Y367" s="79">
        <f>IF(X367="","","Paying ahead of work: "&amp;B367&amp;" — paid "&amp;ROUND(T367*100,0)&amp;"%, work done "&amp;ROUND(R367*100,0)&amp;"%")</f>
        <v/>
      </c>
      <c r="AA367" s="72" t="n"/>
      <c r="AB367" s="109" t="n"/>
      <c r="AC367" s="113" t="n"/>
      <c r="AD367" s="74" t="n"/>
      <c r="AE367" s="109" t="n"/>
      <c r="AF367" s="74" t="n"/>
      <c r="AG367" s="112">
        <f>IF(AND(AA367&lt;&gt;"",AD367="Yes",AF367&lt;&gt;"Yes",AE367&lt;&gt;""),AE367,"")</f>
        <v/>
      </c>
      <c r="AH367" s="79">
        <f>IF(AG367="","",IF(AG367&lt;AsOf,1,IF(AG367&lt;=AsOf+AlertDays,2,IF(AG367&lt;=AsOf+2*AlertDays,3,""))))</f>
        <v/>
      </c>
      <c r="AI367" s="79">
        <f>IF(AH367="","","Follow up with "&amp;AA367&amp;": "&amp;AC367)</f>
        <v/>
      </c>
    </row>
    <row r="368" ht="20" customHeight="1">
      <c r="B368" s="72" t="n"/>
      <c r="C368" s="72" t="n"/>
      <c r="D368" s="72" t="n"/>
      <c r="E368" s="72" t="n"/>
      <c r="F368" s="72" t="n"/>
      <c r="G368" s="72" t="n"/>
      <c r="H368" s="72" t="n"/>
      <c r="I368" s="73" t="n"/>
      <c r="J368" s="75">
        <f>IF(B368="","",SUMIFS('Change Orders'!$J$7:$J$1006,'Change Orders'!$E$7:$E$1006,B368,'Change Orders'!$L$7:$L$1006,"Approved"))</f>
        <v/>
      </c>
      <c r="K368" s="76">
        <f>IF(B368="","",I368+J368)</f>
        <v/>
      </c>
      <c r="L368" s="74" t="n"/>
      <c r="M368" s="109" t="n"/>
      <c r="N368" s="109" t="n"/>
      <c r="O368" s="74" t="n"/>
      <c r="P368" s="74" t="n"/>
      <c r="Q368" s="100" t="n"/>
      <c r="R368" s="110" t="n"/>
      <c r="S368" s="75">
        <f>IF(B368="","",SUMIFS('Payments'!$N$6:$N$1005,'Payments'!$B$6:$B$1005,B368))</f>
        <v/>
      </c>
      <c r="T368" s="111">
        <f>IF(OR(B368="",K368=0),"",S368/K368)</f>
        <v/>
      </c>
      <c r="U368" s="78">
        <f>IF(V368="","",IF(V368=2,"⚠️ Paying ahead of work","✓ OK"))</f>
        <v/>
      </c>
      <c r="V368" s="79">
        <f>IF(T368="","",IF(T368-R368&gt;OverpayTol,2,0))</f>
        <v/>
      </c>
      <c r="W368" s="112">
        <f>IF(V368=2,AsOf,"")</f>
        <v/>
      </c>
      <c r="X368" s="79">
        <f>IF(W368="","",1)</f>
        <v/>
      </c>
      <c r="Y368" s="79">
        <f>IF(X368="","","Paying ahead of work: "&amp;B368&amp;" — paid "&amp;ROUND(T368*100,0)&amp;"%, work done "&amp;ROUND(R368*100,0)&amp;"%")</f>
        <v/>
      </c>
      <c r="AA368" s="72" t="n"/>
      <c r="AB368" s="109" t="n"/>
      <c r="AC368" s="113" t="n"/>
      <c r="AD368" s="74" t="n"/>
      <c r="AE368" s="109" t="n"/>
      <c r="AF368" s="74" t="n"/>
      <c r="AG368" s="112">
        <f>IF(AND(AA368&lt;&gt;"",AD368="Yes",AF368&lt;&gt;"Yes",AE368&lt;&gt;""),AE368,"")</f>
        <v/>
      </c>
      <c r="AH368" s="79">
        <f>IF(AG368="","",IF(AG368&lt;AsOf,1,IF(AG368&lt;=AsOf+AlertDays,2,IF(AG368&lt;=AsOf+2*AlertDays,3,""))))</f>
        <v/>
      </c>
      <c r="AI368" s="79">
        <f>IF(AH368="","","Follow up with "&amp;AA368&amp;": "&amp;AC368)</f>
        <v/>
      </c>
    </row>
    <row r="369" ht="20" customHeight="1">
      <c r="B369" s="72" t="n"/>
      <c r="C369" s="72" t="n"/>
      <c r="D369" s="72" t="n"/>
      <c r="E369" s="72" t="n"/>
      <c r="F369" s="72" t="n"/>
      <c r="G369" s="72" t="n"/>
      <c r="H369" s="72" t="n"/>
      <c r="I369" s="73" t="n"/>
      <c r="J369" s="75">
        <f>IF(B369="","",SUMIFS('Change Orders'!$J$7:$J$1006,'Change Orders'!$E$7:$E$1006,B369,'Change Orders'!$L$7:$L$1006,"Approved"))</f>
        <v/>
      </c>
      <c r="K369" s="76">
        <f>IF(B369="","",I369+J369)</f>
        <v/>
      </c>
      <c r="L369" s="74" t="n"/>
      <c r="M369" s="109" t="n"/>
      <c r="N369" s="109" t="n"/>
      <c r="O369" s="74" t="n"/>
      <c r="P369" s="74" t="n"/>
      <c r="Q369" s="100" t="n"/>
      <c r="R369" s="110" t="n"/>
      <c r="S369" s="75">
        <f>IF(B369="","",SUMIFS('Payments'!$N$6:$N$1005,'Payments'!$B$6:$B$1005,B369))</f>
        <v/>
      </c>
      <c r="T369" s="111">
        <f>IF(OR(B369="",K369=0),"",S369/K369)</f>
        <v/>
      </c>
      <c r="U369" s="78">
        <f>IF(V369="","",IF(V369=2,"⚠️ Paying ahead of work","✓ OK"))</f>
        <v/>
      </c>
      <c r="V369" s="79">
        <f>IF(T369="","",IF(T369-R369&gt;OverpayTol,2,0))</f>
        <v/>
      </c>
      <c r="W369" s="112">
        <f>IF(V369=2,AsOf,"")</f>
        <v/>
      </c>
      <c r="X369" s="79">
        <f>IF(W369="","",1)</f>
        <v/>
      </c>
      <c r="Y369" s="79">
        <f>IF(X369="","","Paying ahead of work: "&amp;B369&amp;" — paid "&amp;ROUND(T369*100,0)&amp;"%, work done "&amp;ROUND(R369*100,0)&amp;"%")</f>
        <v/>
      </c>
      <c r="AA369" s="72" t="n"/>
      <c r="AB369" s="109" t="n"/>
      <c r="AC369" s="113" t="n"/>
      <c r="AD369" s="74" t="n"/>
      <c r="AE369" s="109" t="n"/>
      <c r="AF369" s="74" t="n"/>
      <c r="AG369" s="112">
        <f>IF(AND(AA369&lt;&gt;"",AD369="Yes",AF369&lt;&gt;"Yes",AE369&lt;&gt;""),AE369,"")</f>
        <v/>
      </c>
      <c r="AH369" s="79">
        <f>IF(AG369="","",IF(AG369&lt;AsOf,1,IF(AG369&lt;=AsOf+AlertDays,2,IF(AG369&lt;=AsOf+2*AlertDays,3,""))))</f>
        <v/>
      </c>
      <c r="AI369" s="79">
        <f>IF(AH369="","","Follow up with "&amp;AA369&amp;": "&amp;AC369)</f>
        <v/>
      </c>
    </row>
    <row r="370" ht="20" customHeight="1">
      <c r="B370" s="72" t="n"/>
      <c r="C370" s="72" t="n"/>
      <c r="D370" s="72" t="n"/>
      <c r="E370" s="72" t="n"/>
      <c r="F370" s="72" t="n"/>
      <c r="G370" s="72" t="n"/>
      <c r="H370" s="72" t="n"/>
      <c r="I370" s="73" t="n"/>
      <c r="J370" s="75">
        <f>IF(B370="","",SUMIFS('Change Orders'!$J$7:$J$1006,'Change Orders'!$E$7:$E$1006,B370,'Change Orders'!$L$7:$L$1006,"Approved"))</f>
        <v/>
      </c>
      <c r="K370" s="76">
        <f>IF(B370="","",I370+J370)</f>
        <v/>
      </c>
      <c r="L370" s="74" t="n"/>
      <c r="M370" s="109" t="n"/>
      <c r="N370" s="109" t="n"/>
      <c r="O370" s="74" t="n"/>
      <c r="P370" s="74" t="n"/>
      <c r="Q370" s="100" t="n"/>
      <c r="R370" s="110" t="n"/>
      <c r="S370" s="75">
        <f>IF(B370="","",SUMIFS('Payments'!$N$6:$N$1005,'Payments'!$B$6:$B$1005,B370))</f>
        <v/>
      </c>
      <c r="T370" s="111">
        <f>IF(OR(B370="",K370=0),"",S370/K370)</f>
        <v/>
      </c>
      <c r="U370" s="78">
        <f>IF(V370="","",IF(V370=2,"⚠️ Paying ahead of work","✓ OK"))</f>
        <v/>
      </c>
      <c r="V370" s="79">
        <f>IF(T370="","",IF(T370-R370&gt;OverpayTol,2,0))</f>
        <v/>
      </c>
      <c r="W370" s="112">
        <f>IF(V370=2,AsOf,"")</f>
        <v/>
      </c>
      <c r="X370" s="79">
        <f>IF(W370="","",1)</f>
        <v/>
      </c>
      <c r="Y370" s="79">
        <f>IF(X370="","","Paying ahead of work: "&amp;B370&amp;" — paid "&amp;ROUND(T370*100,0)&amp;"%, work done "&amp;ROUND(R370*100,0)&amp;"%")</f>
        <v/>
      </c>
      <c r="AA370" s="72" t="n"/>
      <c r="AB370" s="109" t="n"/>
      <c r="AC370" s="113" t="n"/>
      <c r="AD370" s="74" t="n"/>
      <c r="AE370" s="109" t="n"/>
      <c r="AF370" s="74" t="n"/>
      <c r="AG370" s="112">
        <f>IF(AND(AA370&lt;&gt;"",AD370="Yes",AF370&lt;&gt;"Yes",AE370&lt;&gt;""),AE370,"")</f>
        <v/>
      </c>
      <c r="AH370" s="79">
        <f>IF(AG370="","",IF(AG370&lt;AsOf,1,IF(AG370&lt;=AsOf+AlertDays,2,IF(AG370&lt;=AsOf+2*AlertDays,3,""))))</f>
        <v/>
      </c>
      <c r="AI370" s="79">
        <f>IF(AH370="","","Follow up with "&amp;AA370&amp;": "&amp;AC370)</f>
        <v/>
      </c>
    </row>
    <row r="371" ht="20" customHeight="1">
      <c r="B371" s="72" t="n"/>
      <c r="C371" s="72" t="n"/>
      <c r="D371" s="72" t="n"/>
      <c r="E371" s="72" t="n"/>
      <c r="F371" s="72" t="n"/>
      <c r="G371" s="72" t="n"/>
      <c r="H371" s="72" t="n"/>
      <c r="I371" s="73" t="n"/>
      <c r="J371" s="75">
        <f>IF(B371="","",SUMIFS('Change Orders'!$J$7:$J$1006,'Change Orders'!$E$7:$E$1006,B371,'Change Orders'!$L$7:$L$1006,"Approved"))</f>
        <v/>
      </c>
      <c r="K371" s="76">
        <f>IF(B371="","",I371+J371)</f>
        <v/>
      </c>
      <c r="L371" s="74" t="n"/>
      <c r="M371" s="109" t="n"/>
      <c r="N371" s="109" t="n"/>
      <c r="O371" s="74" t="n"/>
      <c r="P371" s="74" t="n"/>
      <c r="Q371" s="100" t="n"/>
      <c r="R371" s="110" t="n"/>
      <c r="S371" s="75">
        <f>IF(B371="","",SUMIFS('Payments'!$N$6:$N$1005,'Payments'!$B$6:$B$1005,B371))</f>
        <v/>
      </c>
      <c r="T371" s="111">
        <f>IF(OR(B371="",K371=0),"",S371/K371)</f>
        <v/>
      </c>
      <c r="U371" s="78">
        <f>IF(V371="","",IF(V371=2,"⚠️ Paying ahead of work","✓ OK"))</f>
        <v/>
      </c>
      <c r="V371" s="79">
        <f>IF(T371="","",IF(T371-R371&gt;OverpayTol,2,0))</f>
        <v/>
      </c>
      <c r="W371" s="112">
        <f>IF(V371=2,AsOf,"")</f>
        <v/>
      </c>
      <c r="X371" s="79">
        <f>IF(W371="","",1)</f>
        <v/>
      </c>
      <c r="Y371" s="79">
        <f>IF(X371="","","Paying ahead of work: "&amp;B371&amp;" — paid "&amp;ROUND(T371*100,0)&amp;"%, work done "&amp;ROUND(R371*100,0)&amp;"%")</f>
        <v/>
      </c>
      <c r="AA371" s="72" t="n"/>
      <c r="AB371" s="109" t="n"/>
      <c r="AC371" s="113" t="n"/>
      <c r="AD371" s="74" t="n"/>
      <c r="AE371" s="109" t="n"/>
      <c r="AF371" s="74" t="n"/>
      <c r="AG371" s="112">
        <f>IF(AND(AA371&lt;&gt;"",AD371="Yes",AF371&lt;&gt;"Yes",AE371&lt;&gt;""),AE371,"")</f>
        <v/>
      </c>
      <c r="AH371" s="79">
        <f>IF(AG371="","",IF(AG371&lt;AsOf,1,IF(AG371&lt;=AsOf+AlertDays,2,IF(AG371&lt;=AsOf+2*AlertDays,3,""))))</f>
        <v/>
      </c>
      <c r="AI371" s="79">
        <f>IF(AH371="","","Follow up with "&amp;AA371&amp;": "&amp;AC371)</f>
        <v/>
      </c>
    </row>
    <row r="372" ht="20" customHeight="1">
      <c r="B372" s="72" t="n"/>
      <c r="C372" s="72" t="n"/>
      <c r="D372" s="72" t="n"/>
      <c r="E372" s="72" t="n"/>
      <c r="F372" s="72" t="n"/>
      <c r="G372" s="72" t="n"/>
      <c r="H372" s="72" t="n"/>
      <c r="I372" s="73" t="n"/>
      <c r="J372" s="75">
        <f>IF(B372="","",SUMIFS('Change Orders'!$J$7:$J$1006,'Change Orders'!$E$7:$E$1006,B372,'Change Orders'!$L$7:$L$1006,"Approved"))</f>
        <v/>
      </c>
      <c r="K372" s="76">
        <f>IF(B372="","",I372+J372)</f>
        <v/>
      </c>
      <c r="L372" s="74" t="n"/>
      <c r="M372" s="109" t="n"/>
      <c r="N372" s="109" t="n"/>
      <c r="O372" s="74" t="n"/>
      <c r="P372" s="74" t="n"/>
      <c r="Q372" s="100" t="n"/>
      <c r="R372" s="110" t="n"/>
      <c r="S372" s="75">
        <f>IF(B372="","",SUMIFS('Payments'!$N$6:$N$1005,'Payments'!$B$6:$B$1005,B372))</f>
        <v/>
      </c>
      <c r="T372" s="111">
        <f>IF(OR(B372="",K372=0),"",S372/K372)</f>
        <v/>
      </c>
      <c r="U372" s="78">
        <f>IF(V372="","",IF(V372=2,"⚠️ Paying ahead of work","✓ OK"))</f>
        <v/>
      </c>
      <c r="V372" s="79">
        <f>IF(T372="","",IF(T372-R372&gt;OverpayTol,2,0))</f>
        <v/>
      </c>
      <c r="W372" s="112">
        <f>IF(V372=2,AsOf,"")</f>
        <v/>
      </c>
      <c r="X372" s="79">
        <f>IF(W372="","",1)</f>
        <v/>
      </c>
      <c r="Y372" s="79">
        <f>IF(X372="","","Paying ahead of work: "&amp;B372&amp;" — paid "&amp;ROUND(T372*100,0)&amp;"%, work done "&amp;ROUND(R372*100,0)&amp;"%")</f>
        <v/>
      </c>
      <c r="AA372" s="72" t="n"/>
      <c r="AB372" s="109" t="n"/>
      <c r="AC372" s="113" t="n"/>
      <c r="AD372" s="74" t="n"/>
      <c r="AE372" s="109" t="n"/>
      <c r="AF372" s="74" t="n"/>
      <c r="AG372" s="112">
        <f>IF(AND(AA372&lt;&gt;"",AD372="Yes",AF372&lt;&gt;"Yes",AE372&lt;&gt;""),AE372,"")</f>
        <v/>
      </c>
      <c r="AH372" s="79">
        <f>IF(AG372="","",IF(AG372&lt;AsOf,1,IF(AG372&lt;=AsOf+AlertDays,2,IF(AG372&lt;=AsOf+2*AlertDays,3,""))))</f>
        <v/>
      </c>
      <c r="AI372" s="79">
        <f>IF(AH372="","","Follow up with "&amp;AA372&amp;": "&amp;AC372)</f>
        <v/>
      </c>
    </row>
    <row r="373" ht="20" customHeight="1">
      <c r="B373" s="72" t="n"/>
      <c r="C373" s="72" t="n"/>
      <c r="D373" s="72" t="n"/>
      <c r="E373" s="72" t="n"/>
      <c r="F373" s="72" t="n"/>
      <c r="G373" s="72" t="n"/>
      <c r="H373" s="72" t="n"/>
      <c r="I373" s="73" t="n"/>
      <c r="J373" s="75">
        <f>IF(B373="","",SUMIFS('Change Orders'!$J$7:$J$1006,'Change Orders'!$E$7:$E$1006,B373,'Change Orders'!$L$7:$L$1006,"Approved"))</f>
        <v/>
      </c>
      <c r="K373" s="76">
        <f>IF(B373="","",I373+J373)</f>
        <v/>
      </c>
      <c r="L373" s="74" t="n"/>
      <c r="M373" s="109" t="n"/>
      <c r="N373" s="109" t="n"/>
      <c r="O373" s="74" t="n"/>
      <c r="P373" s="74" t="n"/>
      <c r="Q373" s="100" t="n"/>
      <c r="R373" s="110" t="n"/>
      <c r="S373" s="75">
        <f>IF(B373="","",SUMIFS('Payments'!$N$6:$N$1005,'Payments'!$B$6:$B$1005,B373))</f>
        <v/>
      </c>
      <c r="T373" s="111">
        <f>IF(OR(B373="",K373=0),"",S373/K373)</f>
        <v/>
      </c>
      <c r="U373" s="78">
        <f>IF(V373="","",IF(V373=2,"⚠️ Paying ahead of work","✓ OK"))</f>
        <v/>
      </c>
      <c r="V373" s="79">
        <f>IF(T373="","",IF(T373-R373&gt;OverpayTol,2,0))</f>
        <v/>
      </c>
      <c r="W373" s="112">
        <f>IF(V373=2,AsOf,"")</f>
        <v/>
      </c>
      <c r="X373" s="79">
        <f>IF(W373="","",1)</f>
        <v/>
      </c>
      <c r="Y373" s="79">
        <f>IF(X373="","","Paying ahead of work: "&amp;B373&amp;" — paid "&amp;ROUND(T373*100,0)&amp;"%, work done "&amp;ROUND(R373*100,0)&amp;"%")</f>
        <v/>
      </c>
      <c r="AA373" s="72" t="n"/>
      <c r="AB373" s="109" t="n"/>
      <c r="AC373" s="113" t="n"/>
      <c r="AD373" s="74" t="n"/>
      <c r="AE373" s="109" t="n"/>
      <c r="AF373" s="74" t="n"/>
      <c r="AG373" s="112">
        <f>IF(AND(AA373&lt;&gt;"",AD373="Yes",AF373&lt;&gt;"Yes",AE373&lt;&gt;""),AE373,"")</f>
        <v/>
      </c>
      <c r="AH373" s="79">
        <f>IF(AG373="","",IF(AG373&lt;AsOf,1,IF(AG373&lt;=AsOf+AlertDays,2,IF(AG373&lt;=AsOf+2*AlertDays,3,""))))</f>
        <v/>
      </c>
      <c r="AI373" s="79">
        <f>IF(AH373="","","Follow up with "&amp;AA373&amp;": "&amp;AC373)</f>
        <v/>
      </c>
    </row>
    <row r="374" ht="20" customHeight="1">
      <c r="B374" s="72" t="n"/>
      <c r="C374" s="72" t="n"/>
      <c r="D374" s="72" t="n"/>
      <c r="E374" s="72" t="n"/>
      <c r="F374" s="72" t="n"/>
      <c r="G374" s="72" t="n"/>
      <c r="H374" s="72" t="n"/>
      <c r="I374" s="73" t="n"/>
      <c r="J374" s="75">
        <f>IF(B374="","",SUMIFS('Change Orders'!$J$7:$J$1006,'Change Orders'!$E$7:$E$1006,B374,'Change Orders'!$L$7:$L$1006,"Approved"))</f>
        <v/>
      </c>
      <c r="K374" s="76">
        <f>IF(B374="","",I374+J374)</f>
        <v/>
      </c>
      <c r="L374" s="74" t="n"/>
      <c r="M374" s="109" t="n"/>
      <c r="N374" s="109" t="n"/>
      <c r="O374" s="74" t="n"/>
      <c r="P374" s="74" t="n"/>
      <c r="Q374" s="100" t="n"/>
      <c r="R374" s="110" t="n"/>
      <c r="S374" s="75">
        <f>IF(B374="","",SUMIFS('Payments'!$N$6:$N$1005,'Payments'!$B$6:$B$1005,B374))</f>
        <v/>
      </c>
      <c r="T374" s="111">
        <f>IF(OR(B374="",K374=0),"",S374/K374)</f>
        <v/>
      </c>
      <c r="U374" s="78">
        <f>IF(V374="","",IF(V374=2,"⚠️ Paying ahead of work","✓ OK"))</f>
        <v/>
      </c>
      <c r="V374" s="79">
        <f>IF(T374="","",IF(T374-R374&gt;OverpayTol,2,0))</f>
        <v/>
      </c>
      <c r="W374" s="112">
        <f>IF(V374=2,AsOf,"")</f>
        <v/>
      </c>
      <c r="X374" s="79">
        <f>IF(W374="","",1)</f>
        <v/>
      </c>
      <c r="Y374" s="79">
        <f>IF(X374="","","Paying ahead of work: "&amp;B374&amp;" — paid "&amp;ROUND(T374*100,0)&amp;"%, work done "&amp;ROUND(R374*100,0)&amp;"%")</f>
        <v/>
      </c>
      <c r="AA374" s="72" t="n"/>
      <c r="AB374" s="109" t="n"/>
      <c r="AC374" s="113" t="n"/>
      <c r="AD374" s="74" t="n"/>
      <c r="AE374" s="109" t="n"/>
      <c r="AF374" s="74" t="n"/>
      <c r="AG374" s="112">
        <f>IF(AND(AA374&lt;&gt;"",AD374="Yes",AF374&lt;&gt;"Yes",AE374&lt;&gt;""),AE374,"")</f>
        <v/>
      </c>
      <c r="AH374" s="79">
        <f>IF(AG374="","",IF(AG374&lt;AsOf,1,IF(AG374&lt;=AsOf+AlertDays,2,IF(AG374&lt;=AsOf+2*AlertDays,3,""))))</f>
        <v/>
      </c>
      <c r="AI374" s="79">
        <f>IF(AH374="","","Follow up with "&amp;AA374&amp;": "&amp;AC374)</f>
        <v/>
      </c>
    </row>
    <row r="375" ht="20" customHeight="1">
      <c r="B375" s="72" t="n"/>
      <c r="C375" s="72" t="n"/>
      <c r="D375" s="72" t="n"/>
      <c r="E375" s="72" t="n"/>
      <c r="F375" s="72" t="n"/>
      <c r="G375" s="72" t="n"/>
      <c r="H375" s="72" t="n"/>
      <c r="I375" s="73" t="n"/>
      <c r="J375" s="75">
        <f>IF(B375="","",SUMIFS('Change Orders'!$J$7:$J$1006,'Change Orders'!$E$7:$E$1006,B375,'Change Orders'!$L$7:$L$1006,"Approved"))</f>
        <v/>
      </c>
      <c r="K375" s="76">
        <f>IF(B375="","",I375+J375)</f>
        <v/>
      </c>
      <c r="L375" s="74" t="n"/>
      <c r="M375" s="109" t="n"/>
      <c r="N375" s="109" t="n"/>
      <c r="O375" s="74" t="n"/>
      <c r="P375" s="74" t="n"/>
      <c r="Q375" s="100" t="n"/>
      <c r="R375" s="110" t="n"/>
      <c r="S375" s="75">
        <f>IF(B375="","",SUMIFS('Payments'!$N$6:$N$1005,'Payments'!$B$6:$B$1005,B375))</f>
        <v/>
      </c>
      <c r="T375" s="111">
        <f>IF(OR(B375="",K375=0),"",S375/K375)</f>
        <v/>
      </c>
      <c r="U375" s="78">
        <f>IF(V375="","",IF(V375=2,"⚠️ Paying ahead of work","✓ OK"))</f>
        <v/>
      </c>
      <c r="V375" s="79">
        <f>IF(T375="","",IF(T375-R375&gt;OverpayTol,2,0))</f>
        <v/>
      </c>
      <c r="W375" s="112">
        <f>IF(V375=2,AsOf,"")</f>
        <v/>
      </c>
      <c r="X375" s="79">
        <f>IF(W375="","",1)</f>
        <v/>
      </c>
      <c r="Y375" s="79">
        <f>IF(X375="","","Paying ahead of work: "&amp;B375&amp;" — paid "&amp;ROUND(T375*100,0)&amp;"%, work done "&amp;ROUND(R375*100,0)&amp;"%")</f>
        <v/>
      </c>
      <c r="AA375" s="72" t="n"/>
      <c r="AB375" s="109" t="n"/>
      <c r="AC375" s="113" t="n"/>
      <c r="AD375" s="74" t="n"/>
      <c r="AE375" s="109" t="n"/>
      <c r="AF375" s="74" t="n"/>
      <c r="AG375" s="112">
        <f>IF(AND(AA375&lt;&gt;"",AD375="Yes",AF375&lt;&gt;"Yes",AE375&lt;&gt;""),AE375,"")</f>
        <v/>
      </c>
      <c r="AH375" s="79">
        <f>IF(AG375="","",IF(AG375&lt;AsOf,1,IF(AG375&lt;=AsOf+AlertDays,2,IF(AG375&lt;=AsOf+2*AlertDays,3,""))))</f>
        <v/>
      </c>
      <c r="AI375" s="79">
        <f>IF(AH375="","","Follow up with "&amp;AA375&amp;": "&amp;AC375)</f>
        <v/>
      </c>
    </row>
    <row r="376" ht="20" customHeight="1">
      <c r="B376" s="72" t="n"/>
      <c r="C376" s="72" t="n"/>
      <c r="D376" s="72" t="n"/>
      <c r="E376" s="72" t="n"/>
      <c r="F376" s="72" t="n"/>
      <c r="G376" s="72" t="n"/>
      <c r="H376" s="72" t="n"/>
      <c r="I376" s="73" t="n"/>
      <c r="J376" s="75">
        <f>IF(B376="","",SUMIFS('Change Orders'!$J$7:$J$1006,'Change Orders'!$E$7:$E$1006,B376,'Change Orders'!$L$7:$L$1006,"Approved"))</f>
        <v/>
      </c>
      <c r="K376" s="76">
        <f>IF(B376="","",I376+J376)</f>
        <v/>
      </c>
      <c r="L376" s="74" t="n"/>
      <c r="M376" s="109" t="n"/>
      <c r="N376" s="109" t="n"/>
      <c r="O376" s="74" t="n"/>
      <c r="P376" s="74" t="n"/>
      <c r="Q376" s="100" t="n"/>
      <c r="R376" s="110" t="n"/>
      <c r="S376" s="75">
        <f>IF(B376="","",SUMIFS('Payments'!$N$6:$N$1005,'Payments'!$B$6:$B$1005,B376))</f>
        <v/>
      </c>
      <c r="T376" s="111">
        <f>IF(OR(B376="",K376=0),"",S376/K376)</f>
        <v/>
      </c>
      <c r="U376" s="78">
        <f>IF(V376="","",IF(V376=2,"⚠️ Paying ahead of work","✓ OK"))</f>
        <v/>
      </c>
      <c r="V376" s="79">
        <f>IF(T376="","",IF(T376-R376&gt;OverpayTol,2,0))</f>
        <v/>
      </c>
      <c r="W376" s="112">
        <f>IF(V376=2,AsOf,"")</f>
        <v/>
      </c>
      <c r="X376" s="79">
        <f>IF(W376="","",1)</f>
        <v/>
      </c>
      <c r="Y376" s="79">
        <f>IF(X376="","","Paying ahead of work: "&amp;B376&amp;" — paid "&amp;ROUND(T376*100,0)&amp;"%, work done "&amp;ROUND(R376*100,0)&amp;"%")</f>
        <v/>
      </c>
      <c r="AA376" s="72" t="n"/>
      <c r="AB376" s="109" t="n"/>
      <c r="AC376" s="113" t="n"/>
      <c r="AD376" s="74" t="n"/>
      <c r="AE376" s="109" t="n"/>
      <c r="AF376" s="74" t="n"/>
      <c r="AG376" s="112">
        <f>IF(AND(AA376&lt;&gt;"",AD376="Yes",AF376&lt;&gt;"Yes",AE376&lt;&gt;""),AE376,"")</f>
        <v/>
      </c>
      <c r="AH376" s="79">
        <f>IF(AG376="","",IF(AG376&lt;AsOf,1,IF(AG376&lt;=AsOf+AlertDays,2,IF(AG376&lt;=AsOf+2*AlertDays,3,""))))</f>
        <v/>
      </c>
      <c r="AI376" s="79">
        <f>IF(AH376="","","Follow up with "&amp;AA376&amp;": "&amp;AC376)</f>
        <v/>
      </c>
    </row>
    <row r="377" ht="20" customHeight="1">
      <c r="B377" s="72" t="n"/>
      <c r="C377" s="72" t="n"/>
      <c r="D377" s="72" t="n"/>
      <c r="E377" s="72" t="n"/>
      <c r="F377" s="72" t="n"/>
      <c r="G377" s="72" t="n"/>
      <c r="H377" s="72" t="n"/>
      <c r="I377" s="73" t="n"/>
      <c r="J377" s="75">
        <f>IF(B377="","",SUMIFS('Change Orders'!$J$7:$J$1006,'Change Orders'!$E$7:$E$1006,B377,'Change Orders'!$L$7:$L$1006,"Approved"))</f>
        <v/>
      </c>
      <c r="K377" s="76">
        <f>IF(B377="","",I377+J377)</f>
        <v/>
      </c>
      <c r="L377" s="74" t="n"/>
      <c r="M377" s="109" t="n"/>
      <c r="N377" s="109" t="n"/>
      <c r="O377" s="74" t="n"/>
      <c r="P377" s="74" t="n"/>
      <c r="Q377" s="100" t="n"/>
      <c r="R377" s="110" t="n"/>
      <c r="S377" s="75">
        <f>IF(B377="","",SUMIFS('Payments'!$N$6:$N$1005,'Payments'!$B$6:$B$1005,B377))</f>
        <v/>
      </c>
      <c r="T377" s="111">
        <f>IF(OR(B377="",K377=0),"",S377/K377)</f>
        <v/>
      </c>
      <c r="U377" s="78">
        <f>IF(V377="","",IF(V377=2,"⚠️ Paying ahead of work","✓ OK"))</f>
        <v/>
      </c>
      <c r="V377" s="79">
        <f>IF(T377="","",IF(T377-R377&gt;OverpayTol,2,0))</f>
        <v/>
      </c>
      <c r="W377" s="112">
        <f>IF(V377=2,AsOf,"")</f>
        <v/>
      </c>
      <c r="X377" s="79">
        <f>IF(W377="","",1)</f>
        <v/>
      </c>
      <c r="Y377" s="79">
        <f>IF(X377="","","Paying ahead of work: "&amp;B377&amp;" — paid "&amp;ROUND(T377*100,0)&amp;"%, work done "&amp;ROUND(R377*100,0)&amp;"%")</f>
        <v/>
      </c>
      <c r="AA377" s="72" t="n"/>
      <c r="AB377" s="109" t="n"/>
      <c r="AC377" s="113" t="n"/>
      <c r="AD377" s="74" t="n"/>
      <c r="AE377" s="109" t="n"/>
      <c r="AF377" s="74" t="n"/>
      <c r="AG377" s="112">
        <f>IF(AND(AA377&lt;&gt;"",AD377="Yes",AF377&lt;&gt;"Yes",AE377&lt;&gt;""),AE377,"")</f>
        <v/>
      </c>
      <c r="AH377" s="79">
        <f>IF(AG377="","",IF(AG377&lt;AsOf,1,IF(AG377&lt;=AsOf+AlertDays,2,IF(AG377&lt;=AsOf+2*AlertDays,3,""))))</f>
        <v/>
      </c>
      <c r="AI377" s="79">
        <f>IF(AH377="","","Follow up with "&amp;AA377&amp;": "&amp;AC377)</f>
        <v/>
      </c>
    </row>
    <row r="378" ht="20" customHeight="1">
      <c r="B378" s="72" t="n"/>
      <c r="C378" s="72" t="n"/>
      <c r="D378" s="72" t="n"/>
      <c r="E378" s="72" t="n"/>
      <c r="F378" s="72" t="n"/>
      <c r="G378" s="72" t="n"/>
      <c r="H378" s="72" t="n"/>
      <c r="I378" s="73" t="n"/>
      <c r="J378" s="75">
        <f>IF(B378="","",SUMIFS('Change Orders'!$J$7:$J$1006,'Change Orders'!$E$7:$E$1006,B378,'Change Orders'!$L$7:$L$1006,"Approved"))</f>
        <v/>
      </c>
      <c r="K378" s="76">
        <f>IF(B378="","",I378+J378)</f>
        <v/>
      </c>
      <c r="L378" s="74" t="n"/>
      <c r="M378" s="109" t="n"/>
      <c r="N378" s="109" t="n"/>
      <c r="O378" s="74" t="n"/>
      <c r="P378" s="74" t="n"/>
      <c r="Q378" s="100" t="n"/>
      <c r="R378" s="110" t="n"/>
      <c r="S378" s="75">
        <f>IF(B378="","",SUMIFS('Payments'!$N$6:$N$1005,'Payments'!$B$6:$B$1005,B378))</f>
        <v/>
      </c>
      <c r="T378" s="111">
        <f>IF(OR(B378="",K378=0),"",S378/K378)</f>
        <v/>
      </c>
      <c r="U378" s="78">
        <f>IF(V378="","",IF(V378=2,"⚠️ Paying ahead of work","✓ OK"))</f>
        <v/>
      </c>
      <c r="V378" s="79">
        <f>IF(T378="","",IF(T378-R378&gt;OverpayTol,2,0))</f>
        <v/>
      </c>
      <c r="W378" s="112">
        <f>IF(V378=2,AsOf,"")</f>
        <v/>
      </c>
      <c r="X378" s="79">
        <f>IF(W378="","",1)</f>
        <v/>
      </c>
      <c r="Y378" s="79">
        <f>IF(X378="","","Paying ahead of work: "&amp;B378&amp;" — paid "&amp;ROUND(T378*100,0)&amp;"%, work done "&amp;ROUND(R378*100,0)&amp;"%")</f>
        <v/>
      </c>
      <c r="AA378" s="72" t="n"/>
      <c r="AB378" s="109" t="n"/>
      <c r="AC378" s="113" t="n"/>
      <c r="AD378" s="74" t="n"/>
      <c r="AE378" s="109" t="n"/>
      <c r="AF378" s="74" t="n"/>
      <c r="AG378" s="112">
        <f>IF(AND(AA378&lt;&gt;"",AD378="Yes",AF378&lt;&gt;"Yes",AE378&lt;&gt;""),AE378,"")</f>
        <v/>
      </c>
      <c r="AH378" s="79">
        <f>IF(AG378="","",IF(AG378&lt;AsOf,1,IF(AG378&lt;=AsOf+AlertDays,2,IF(AG378&lt;=AsOf+2*AlertDays,3,""))))</f>
        <v/>
      </c>
      <c r="AI378" s="79">
        <f>IF(AH378="","","Follow up with "&amp;AA378&amp;": "&amp;AC378)</f>
        <v/>
      </c>
    </row>
    <row r="379" ht="20" customHeight="1">
      <c r="B379" s="72" t="n"/>
      <c r="C379" s="72" t="n"/>
      <c r="D379" s="72" t="n"/>
      <c r="E379" s="72" t="n"/>
      <c r="F379" s="72" t="n"/>
      <c r="G379" s="72" t="n"/>
      <c r="H379" s="72" t="n"/>
      <c r="I379" s="73" t="n"/>
      <c r="J379" s="75">
        <f>IF(B379="","",SUMIFS('Change Orders'!$J$7:$J$1006,'Change Orders'!$E$7:$E$1006,B379,'Change Orders'!$L$7:$L$1006,"Approved"))</f>
        <v/>
      </c>
      <c r="K379" s="76">
        <f>IF(B379="","",I379+J379)</f>
        <v/>
      </c>
      <c r="L379" s="74" t="n"/>
      <c r="M379" s="109" t="n"/>
      <c r="N379" s="109" t="n"/>
      <c r="O379" s="74" t="n"/>
      <c r="P379" s="74" t="n"/>
      <c r="Q379" s="100" t="n"/>
      <c r="R379" s="110" t="n"/>
      <c r="S379" s="75">
        <f>IF(B379="","",SUMIFS('Payments'!$N$6:$N$1005,'Payments'!$B$6:$B$1005,B379))</f>
        <v/>
      </c>
      <c r="T379" s="111">
        <f>IF(OR(B379="",K379=0),"",S379/K379)</f>
        <v/>
      </c>
      <c r="U379" s="78">
        <f>IF(V379="","",IF(V379=2,"⚠️ Paying ahead of work","✓ OK"))</f>
        <v/>
      </c>
      <c r="V379" s="79">
        <f>IF(T379="","",IF(T379-R379&gt;OverpayTol,2,0))</f>
        <v/>
      </c>
      <c r="W379" s="112">
        <f>IF(V379=2,AsOf,"")</f>
        <v/>
      </c>
      <c r="X379" s="79">
        <f>IF(W379="","",1)</f>
        <v/>
      </c>
      <c r="Y379" s="79">
        <f>IF(X379="","","Paying ahead of work: "&amp;B379&amp;" — paid "&amp;ROUND(T379*100,0)&amp;"%, work done "&amp;ROUND(R379*100,0)&amp;"%")</f>
        <v/>
      </c>
      <c r="AA379" s="72" t="n"/>
      <c r="AB379" s="109" t="n"/>
      <c r="AC379" s="113" t="n"/>
      <c r="AD379" s="74" t="n"/>
      <c r="AE379" s="109" t="n"/>
      <c r="AF379" s="74" t="n"/>
      <c r="AG379" s="112">
        <f>IF(AND(AA379&lt;&gt;"",AD379="Yes",AF379&lt;&gt;"Yes",AE379&lt;&gt;""),AE379,"")</f>
        <v/>
      </c>
      <c r="AH379" s="79">
        <f>IF(AG379="","",IF(AG379&lt;AsOf,1,IF(AG379&lt;=AsOf+AlertDays,2,IF(AG379&lt;=AsOf+2*AlertDays,3,""))))</f>
        <v/>
      </c>
      <c r="AI379" s="79">
        <f>IF(AH379="","","Follow up with "&amp;AA379&amp;": "&amp;AC379)</f>
        <v/>
      </c>
    </row>
    <row r="380" ht="20" customHeight="1">
      <c r="B380" s="72" t="n"/>
      <c r="C380" s="72" t="n"/>
      <c r="D380" s="72" t="n"/>
      <c r="E380" s="72" t="n"/>
      <c r="F380" s="72" t="n"/>
      <c r="G380" s="72" t="n"/>
      <c r="H380" s="72" t="n"/>
      <c r="I380" s="73" t="n"/>
      <c r="J380" s="75">
        <f>IF(B380="","",SUMIFS('Change Orders'!$J$7:$J$1006,'Change Orders'!$E$7:$E$1006,B380,'Change Orders'!$L$7:$L$1006,"Approved"))</f>
        <v/>
      </c>
      <c r="K380" s="76">
        <f>IF(B380="","",I380+J380)</f>
        <v/>
      </c>
      <c r="L380" s="74" t="n"/>
      <c r="M380" s="109" t="n"/>
      <c r="N380" s="109" t="n"/>
      <c r="O380" s="74" t="n"/>
      <c r="P380" s="74" t="n"/>
      <c r="Q380" s="100" t="n"/>
      <c r="R380" s="110" t="n"/>
      <c r="S380" s="75">
        <f>IF(B380="","",SUMIFS('Payments'!$N$6:$N$1005,'Payments'!$B$6:$B$1005,B380))</f>
        <v/>
      </c>
      <c r="T380" s="111">
        <f>IF(OR(B380="",K380=0),"",S380/K380)</f>
        <v/>
      </c>
      <c r="U380" s="78">
        <f>IF(V380="","",IF(V380=2,"⚠️ Paying ahead of work","✓ OK"))</f>
        <v/>
      </c>
      <c r="V380" s="79">
        <f>IF(T380="","",IF(T380-R380&gt;OverpayTol,2,0))</f>
        <v/>
      </c>
      <c r="W380" s="112">
        <f>IF(V380=2,AsOf,"")</f>
        <v/>
      </c>
      <c r="X380" s="79">
        <f>IF(W380="","",1)</f>
        <v/>
      </c>
      <c r="Y380" s="79">
        <f>IF(X380="","","Paying ahead of work: "&amp;B380&amp;" — paid "&amp;ROUND(T380*100,0)&amp;"%, work done "&amp;ROUND(R380*100,0)&amp;"%")</f>
        <v/>
      </c>
      <c r="AA380" s="72" t="n"/>
      <c r="AB380" s="109" t="n"/>
      <c r="AC380" s="113" t="n"/>
      <c r="AD380" s="74" t="n"/>
      <c r="AE380" s="109" t="n"/>
      <c r="AF380" s="74" t="n"/>
      <c r="AG380" s="112">
        <f>IF(AND(AA380&lt;&gt;"",AD380="Yes",AF380&lt;&gt;"Yes",AE380&lt;&gt;""),AE380,"")</f>
        <v/>
      </c>
      <c r="AH380" s="79">
        <f>IF(AG380="","",IF(AG380&lt;AsOf,1,IF(AG380&lt;=AsOf+AlertDays,2,IF(AG380&lt;=AsOf+2*AlertDays,3,""))))</f>
        <v/>
      </c>
      <c r="AI380" s="79">
        <f>IF(AH380="","","Follow up with "&amp;AA380&amp;": "&amp;AC380)</f>
        <v/>
      </c>
    </row>
    <row r="381" ht="20" customHeight="1">
      <c r="B381" s="72" t="n"/>
      <c r="C381" s="72" t="n"/>
      <c r="D381" s="72" t="n"/>
      <c r="E381" s="72" t="n"/>
      <c r="F381" s="72" t="n"/>
      <c r="G381" s="72" t="n"/>
      <c r="H381" s="72" t="n"/>
      <c r="I381" s="73" t="n"/>
      <c r="J381" s="75">
        <f>IF(B381="","",SUMIFS('Change Orders'!$J$7:$J$1006,'Change Orders'!$E$7:$E$1006,B381,'Change Orders'!$L$7:$L$1006,"Approved"))</f>
        <v/>
      </c>
      <c r="K381" s="76">
        <f>IF(B381="","",I381+J381)</f>
        <v/>
      </c>
      <c r="L381" s="74" t="n"/>
      <c r="M381" s="109" t="n"/>
      <c r="N381" s="109" t="n"/>
      <c r="O381" s="74" t="n"/>
      <c r="P381" s="74" t="n"/>
      <c r="Q381" s="100" t="n"/>
      <c r="R381" s="110" t="n"/>
      <c r="S381" s="75">
        <f>IF(B381="","",SUMIFS('Payments'!$N$6:$N$1005,'Payments'!$B$6:$B$1005,B381))</f>
        <v/>
      </c>
      <c r="T381" s="111">
        <f>IF(OR(B381="",K381=0),"",S381/K381)</f>
        <v/>
      </c>
      <c r="U381" s="78">
        <f>IF(V381="","",IF(V381=2,"⚠️ Paying ahead of work","✓ OK"))</f>
        <v/>
      </c>
      <c r="V381" s="79">
        <f>IF(T381="","",IF(T381-R381&gt;OverpayTol,2,0))</f>
        <v/>
      </c>
      <c r="W381" s="112">
        <f>IF(V381=2,AsOf,"")</f>
        <v/>
      </c>
      <c r="X381" s="79">
        <f>IF(W381="","",1)</f>
        <v/>
      </c>
      <c r="Y381" s="79">
        <f>IF(X381="","","Paying ahead of work: "&amp;B381&amp;" — paid "&amp;ROUND(T381*100,0)&amp;"%, work done "&amp;ROUND(R381*100,0)&amp;"%")</f>
        <v/>
      </c>
      <c r="AA381" s="72" t="n"/>
      <c r="AB381" s="109" t="n"/>
      <c r="AC381" s="113" t="n"/>
      <c r="AD381" s="74" t="n"/>
      <c r="AE381" s="109" t="n"/>
      <c r="AF381" s="74" t="n"/>
      <c r="AG381" s="112">
        <f>IF(AND(AA381&lt;&gt;"",AD381="Yes",AF381&lt;&gt;"Yes",AE381&lt;&gt;""),AE381,"")</f>
        <v/>
      </c>
      <c r="AH381" s="79">
        <f>IF(AG381="","",IF(AG381&lt;AsOf,1,IF(AG381&lt;=AsOf+AlertDays,2,IF(AG381&lt;=AsOf+2*AlertDays,3,""))))</f>
        <v/>
      </c>
      <c r="AI381" s="79">
        <f>IF(AH381="","","Follow up with "&amp;AA381&amp;": "&amp;AC381)</f>
        <v/>
      </c>
    </row>
    <row r="382" ht="20" customHeight="1">
      <c r="B382" s="72" t="n"/>
      <c r="C382" s="72" t="n"/>
      <c r="D382" s="72" t="n"/>
      <c r="E382" s="72" t="n"/>
      <c r="F382" s="72" t="n"/>
      <c r="G382" s="72" t="n"/>
      <c r="H382" s="72" t="n"/>
      <c r="I382" s="73" t="n"/>
      <c r="J382" s="75">
        <f>IF(B382="","",SUMIFS('Change Orders'!$J$7:$J$1006,'Change Orders'!$E$7:$E$1006,B382,'Change Orders'!$L$7:$L$1006,"Approved"))</f>
        <v/>
      </c>
      <c r="K382" s="76">
        <f>IF(B382="","",I382+J382)</f>
        <v/>
      </c>
      <c r="L382" s="74" t="n"/>
      <c r="M382" s="109" t="n"/>
      <c r="N382" s="109" t="n"/>
      <c r="O382" s="74" t="n"/>
      <c r="P382" s="74" t="n"/>
      <c r="Q382" s="100" t="n"/>
      <c r="R382" s="110" t="n"/>
      <c r="S382" s="75">
        <f>IF(B382="","",SUMIFS('Payments'!$N$6:$N$1005,'Payments'!$B$6:$B$1005,B382))</f>
        <v/>
      </c>
      <c r="T382" s="111">
        <f>IF(OR(B382="",K382=0),"",S382/K382)</f>
        <v/>
      </c>
      <c r="U382" s="78">
        <f>IF(V382="","",IF(V382=2,"⚠️ Paying ahead of work","✓ OK"))</f>
        <v/>
      </c>
      <c r="V382" s="79">
        <f>IF(T382="","",IF(T382-R382&gt;OverpayTol,2,0))</f>
        <v/>
      </c>
      <c r="W382" s="112">
        <f>IF(V382=2,AsOf,"")</f>
        <v/>
      </c>
      <c r="X382" s="79">
        <f>IF(W382="","",1)</f>
        <v/>
      </c>
      <c r="Y382" s="79">
        <f>IF(X382="","","Paying ahead of work: "&amp;B382&amp;" — paid "&amp;ROUND(T382*100,0)&amp;"%, work done "&amp;ROUND(R382*100,0)&amp;"%")</f>
        <v/>
      </c>
      <c r="AA382" s="72" t="n"/>
      <c r="AB382" s="109" t="n"/>
      <c r="AC382" s="113" t="n"/>
      <c r="AD382" s="74" t="n"/>
      <c r="AE382" s="109" t="n"/>
      <c r="AF382" s="74" t="n"/>
      <c r="AG382" s="112">
        <f>IF(AND(AA382&lt;&gt;"",AD382="Yes",AF382&lt;&gt;"Yes",AE382&lt;&gt;""),AE382,"")</f>
        <v/>
      </c>
      <c r="AH382" s="79">
        <f>IF(AG382="","",IF(AG382&lt;AsOf,1,IF(AG382&lt;=AsOf+AlertDays,2,IF(AG382&lt;=AsOf+2*AlertDays,3,""))))</f>
        <v/>
      </c>
      <c r="AI382" s="79">
        <f>IF(AH382="","","Follow up with "&amp;AA382&amp;": "&amp;AC382)</f>
        <v/>
      </c>
    </row>
    <row r="383" ht="20" customHeight="1">
      <c r="B383" s="72" t="n"/>
      <c r="C383" s="72" t="n"/>
      <c r="D383" s="72" t="n"/>
      <c r="E383" s="72" t="n"/>
      <c r="F383" s="72" t="n"/>
      <c r="G383" s="72" t="n"/>
      <c r="H383" s="72" t="n"/>
      <c r="I383" s="73" t="n"/>
      <c r="J383" s="75">
        <f>IF(B383="","",SUMIFS('Change Orders'!$J$7:$J$1006,'Change Orders'!$E$7:$E$1006,B383,'Change Orders'!$L$7:$L$1006,"Approved"))</f>
        <v/>
      </c>
      <c r="K383" s="76">
        <f>IF(B383="","",I383+J383)</f>
        <v/>
      </c>
      <c r="L383" s="74" t="n"/>
      <c r="M383" s="109" t="n"/>
      <c r="N383" s="109" t="n"/>
      <c r="O383" s="74" t="n"/>
      <c r="P383" s="74" t="n"/>
      <c r="Q383" s="100" t="n"/>
      <c r="R383" s="110" t="n"/>
      <c r="S383" s="75">
        <f>IF(B383="","",SUMIFS('Payments'!$N$6:$N$1005,'Payments'!$B$6:$B$1005,B383))</f>
        <v/>
      </c>
      <c r="T383" s="111">
        <f>IF(OR(B383="",K383=0),"",S383/K383)</f>
        <v/>
      </c>
      <c r="U383" s="78">
        <f>IF(V383="","",IF(V383=2,"⚠️ Paying ahead of work","✓ OK"))</f>
        <v/>
      </c>
      <c r="V383" s="79">
        <f>IF(T383="","",IF(T383-R383&gt;OverpayTol,2,0))</f>
        <v/>
      </c>
      <c r="W383" s="112">
        <f>IF(V383=2,AsOf,"")</f>
        <v/>
      </c>
      <c r="X383" s="79">
        <f>IF(W383="","",1)</f>
        <v/>
      </c>
      <c r="Y383" s="79">
        <f>IF(X383="","","Paying ahead of work: "&amp;B383&amp;" — paid "&amp;ROUND(T383*100,0)&amp;"%, work done "&amp;ROUND(R383*100,0)&amp;"%")</f>
        <v/>
      </c>
      <c r="AA383" s="72" t="n"/>
      <c r="AB383" s="109" t="n"/>
      <c r="AC383" s="113" t="n"/>
      <c r="AD383" s="74" t="n"/>
      <c r="AE383" s="109" t="n"/>
      <c r="AF383" s="74" t="n"/>
      <c r="AG383" s="112">
        <f>IF(AND(AA383&lt;&gt;"",AD383="Yes",AF383&lt;&gt;"Yes",AE383&lt;&gt;""),AE383,"")</f>
        <v/>
      </c>
      <c r="AH383" s="79">
        <f>IF(AG383="","",IF(AG383&lt;AsOf,1,IF(AG383&lt;=AsOf+AlertDays,2,IF(AG383&lt;=AsOf+2*AlertDays,3,""))))</f>
        <v/>
      </c>
      <c r="AI383" s="79">
        <f>IF(AH383="","","Follow up with "&amp;AA383&amp;": "&amp;AC383)</f>
        <v/>
      </c>
    </row>
    <row r="384" ht="20" customHeight="1">
      <c r="B384" s="72" t="n"/>
      <c r="C384" s="72" t="n"/>
      <c r="D384" s="72" t="n"/>
      <c r="E384" s="72" t="n"/>
      <c r="F384" s="72" t="n"/>
      <c r="G384" s="72" t="n"/>
      <c r="H384" s="72" t="n"/>
      <c r="I384" s="73" t="n"/>
      <c r="J384" s="75">
        <f>IF(B384="","",SUMIFS('Change Orders'!$J$7:$J$1006,'Change Orders'!$E$7:$E$1006,B384,'Change Orders'!$L$7:$L$1006,"Approved"))</f>
        <v/>
      </c>
      <c r="K384" s="76">
        <f>IF(B384="","",I384+J384)</f>
        <v/>
      </c>
      <c r="L384" s="74" t="n"/>
      <c r="M384" s="109" t="n"/>
      <c r="N384" s="109" t="n"/>
      <c r="O384" s="74" t="n"/>
      <c r="P384" s="74" t="n"/>
      <c r="Q384" s="100" t="n"/>
      <c r="R384" s="110" t="n"/>
      <c r="S384" s="75">
        <f>IF(B384="","",SUMIFS('Payments'!$N$6:$N$1005,'Payments'!$B$6:$B$1005,B384))</f>
        <v/>
      </c>
      <c r="T384" s="111">
        <f>IF(OR(B384="",K384=0),"",S384/K384)</f>
        <v/>
      </c>
      <c r="U384" s="78">
        <f>IF(V384="","",IF(V384=2,"⚠️ Paying ahead of work","✓ OK"))</f>
        <v/>
      </c>
      <c r="V384" s="79">
        <f>IF(T384="","",IF(T384-R384&gt;OverpayTol,2,0))</f>
        <v/>
      </c>
      <c r="W384" s="112">
        <f>IF(V384=2,AsOf,"")</f>
        <v/>
      </c>
      <c r="X384" s="79">
        <f>IF(W384="","",1)</f>
        <v/>
      </c>
      <c r="Y384" s="79">
        <f>IF(X384="","","Paying ahead of work: "&amp;B384&amp;" — paid "&amp;ROUND(T384*100,0)&amp;"%, work done "&amp;ROUND(R384*100,0)&amp;"%")</f>
        <v/>
      </c>
      <c r="AA384" s="72" t="n"/>
      <c r="AB384" s="109" t="n"/>
      <c r="AC384" s="113" t="n"/>
      <c r="AD384" s="74" t="n"/>
      <c r="AE384" s="109" t="n"/>
      <c r="AF384" s="74" t="n"/>
      <c r="AG384" s="112">
        <f>IF(AND(AA384&lt;&gt;"",AD384="Yes",AF384&lt;&gt;"Yes",AE384&lt;&gt;""),AE384,"")</f>
        <v/>
      </c>
      <c r="AH384" s="79">
        <f>IF(AG384="","",IF(AG384&lt;AsOf,1,IF(AG384&lt;=AsOf+AlertDays,2,IF(AG384&lt;=AsOf+2*AlertDays,3,""))))</f>
        <v/>
      </c>
      <c r="AI384" s="79">
        <f>IF(AH384="","","Follow up with "&amp;AA384&amp;": "&amp;AC384)</f>
        <v/>
      </c>
    </row>
    <row r="385" ht="20" customHeight="1">
      <c r="B385" s="72" t="n"/>
      <c r="C385" s="72" t="n"/>
      <c r="D385" s="72" t="n"/>
      <c r="E385" s="72" t="n"/>
      <c r="F385" s="72" t="n"/>
      <c r="G385" s="72" t="n"/>
      <c r="H385" s="72" t="n"/>
      <c r="I385" s="73" t="n"/>
      <c r="J385" s="75">
        <f>IF(B385="","",SUMIFS('Change Orders'!$J$7:$J$1006,'Change Orders'!$E$7:$E$1006,B385,'Change Orders'!$L$7:$L$1006,"Approved"))</f>
        <v/>
      </c>
      <c r="K385" s="76">
        <f>IF(B385="","",I385+J385)</f>
        <v/>
      </c>
      <c r="L385" s="74" t="n"/>
      <c r="M385" s="109" t="n"/>
      <c r="N385" s="109" t="n"/>
      <c r="O385" s="74" t="n"/>
      <c r="P385" s="74" t="n"/>
      <c r="Q385" s="100" t="n"/>
      <c r="R385" s="110" t="n"/>
      <c r="S385" s="75">
        <f>IF(B385="","",SUMIFS('Payments'!$N$6:$N$1005,'Payments'!$B$6:$B$1005,B385))</f>
        <v/>
      </c>
      <c r="T385" s="111">
        <f>IF(OR(B385="",K385=0),"",S385/K385)</f>
        <v/>
      </c>
      <c r="U385" s="78">
        <f>IF(V385="","",IF(V385=2,"⚠️ Paying ahead of work","✓ OK"))</f>
        <v/>
      </c>
      <c r="V385" s="79">
        <f>IF(T385="","",IF(T385-R385&gt;OverpayTol,2,0))</f>
        <v/>
      </c>
      <c r="W385" s="112">
        <f>IF(V385=2,AsOf,"")</f>
        <v/>
      </c>
      <c r="X385" s="79">
        <f>IF(W385="","",1)</f>
        <v/>
      </c>
      <c r="Y385" s="79">
        <f>IF(X385="","","Paying ahead of work: "&amp;B385&amp;" — paid "&amp;ROUND(T385*100,0)&amp;"%, work done "&amp;ROUND(R385*100,0)&amp;"%")</f>
        <v/>
      </c>
      <c r="AA385" s="72" t="n"/>
      <c r="AB385" s="109" t="n"/>
      <c r="AC385" s="113" t="n"/>
      <c r="AD385" s="74" t="n"/>
      <c r="AE385" s="109" t="n"/>
      <c r="AF385" s="74" t="n"/>
      <c r="AG385" s="112">
        <f>IF(AND(AA385&lt;&gt;"",AD385="Yes",AF385&lt;&gt;"Yes",AE385&lt;&gt;""),AE385,"")</f>
        <v/>
      </c>
      <c r="AH385" s="79">
        <f>IF(AG385="","",IF(AG385&lt;AsOf,1,IF(AG385&lt;=AsOf+AlertDays,2,IF(AG385&lt;=AsOf+2*AlertDays,3,""))))</f>
        <v/>
      </c>
      <c r="AI385" s="79">
        <f>IF(AH385="","","Follow up with "&amp;AA385&amp;": "&amp;AC385)</f>
        <v/>
      </c>
    </row>
    <row r="386" ht="20" customHeight="1">
      <c r="B386" s="72" t="n"/>
      <c r="C386" s="72" t="n"/>
      <c r="D386" s="72" t="n"/>
      <c r="E386" s="72" t="n"/>
      <c r="F386" s="72" t="n"/>
      <c r="G386" s="72" t="n"/>
      <c r="H386" s="72" t="n"/>
      <c r="I386" s="73" t="n"/>
      <c r="J386" s="75">
        <f>IF(B386="","",SUMIFS('Change Orders'!$J$7:$J$1006,'Change Orders'!$E$7:$E$1006,B386,'Change Orders'!$L$7:$L$1006,"Approved"))</f>
        <v/>
      </c>
      <c r="K386" s="76">
        <f>IF(B386="","",I386+J386)</f>
        <v/>
      </c>
      <c r="L386" s="74" t="n"/>
      <c r="M386" s="109" t="n"/>
      <c r="N386" s="109" t="n"/>
      <c r="O386" s="74" t="n"/>
      <c r="P386" s="74" t="n"/>
      <c r="Q386" s="100" t="n"/>
      <c r="R386" s="110" t="n"/>
      <c r="S386" s="75">
        <f>IF(B386="","",SUMIFS('Payments'!$N$6:$N$1005,'Payments'!$B$6:$B$1005,B386))</f>
        <v/>
      </c>
      <c r="T386" s="111">
        <f>IF(OR(B386="",K386=0),"",S386/K386)</f>
        <v/>
      </c>
      <c r="U386" s="78">
        <f>IF(V386="","",IF(V386=2,"⚠️ Paying ahead of work","✓ OK"))</f>
        <v/>
      </c>
      <c r="V386" s="79">
        <f>IF(T386="","",IF(T386-R386&gt;OverpayTol,2,0))</f>
        <v/>
      </c>
      <c r="W386" s="112">
        <f>IF(V386=2,AsOf,"")</f>
        <v/>
      </c>
      <c r="X386" s="79">
        <f>IF(W386="","",1)</f>
        <v/>
      </c>
      <c r="Y386" s="79">
        <f>IF(X386="","","Paying ahead of work: "&amp;B386&amp;" — paid "&amp;ROUND(T386*100,0)&amp;"%, work done "&amp;ROUND(R386*100,0)&amp;"%")</f>
        <v/>
      </c>
      <c r="AA386" s="72" t="n"/>
      <c r="AB386" s="109" t="n"/>
      <c r="AC386" s="113" t="n"/>
      <c r="AD386" s="74" t="n"/>
      <c r="AE386" s="109" t="n"/>
      <c r="AF386" s="74" t="n"/>
      <c r="AG386" s="112">
        <f>IF(AND(AA386&lt;&gt;"",AD386="Yes",AF386&lt;&gt;"Yes",AE386&lt;&gt;""),AE386,"")</f>
        <v/>
      </c>
      <c r="AH386" s="79">
        <f>IF(AG386="","",IF(AG386&lt;AsOf,1,IF(AG386&lt;=AsOf+AlertDays,2,IF(AG386&lt;=AsOf+2*AlertDays,3,""))))</f>
        <v/>
      </c>
      <c r="AI386" s="79">
        <f>IF(AH386="","","Follow up with "&amp;AA386&amp;": "&amp;AC386)</f>
        <v/>
      </c>
    </row>
    <row r="387" ht="20" customHeight="1">
      <c r="B387" s="72" t="n"/>
      <c r="C387" s="72" t="n"/>
      <c r="D387" s="72" t="n"/>
      <c r="E387" s="72" t="n"/>
      <c r="F387" s="72" t="n"/>
      <c r="G387" s="72" t="n"/>
      <c r="H387" s="72" t="n"/>
      <c r="I387" s="73" t="n"/>
      <c r="J387" s="75">
        <f>IF(B387="","",SUMIFS('Change Orders'!$J$7:$J$1006,'Change Orders'!$E$7:$E$1006,B387,'Change Orders'!$L$7:$L$1006,"Approved"))</f>
        <v/>
      </c>
      <c r="K387" s="76">
        <f>IF(B387="","",I387+J387)</f>
        <v/>
      </c>
      <c r="L387" s="74" t="n"/>
      <c r="M387" s="109" t="n"/>
      <c r="N387" s="109" t="n"/>
      <c r="O387" s="74" t="n"/>
      <c r="P387" s="74" t="n"/>
      <c r="Q387" s="100" t="n"/>
      <c r="R387" s="110" t="n"/>
      <c r="S387" s="75">
        <f>IF(B387="","",SUMIFS('Payments'!$N$6:$N$1005,'Payments'!$B$6:$B$1005,B387))</f>
        <v/>
      </c>
      <c r="T387" s="111">
        <f>IF(OR(B387="",K387=0),"",S387/K387)</f>
        <v/>
      </c>
      <c r="U387" s="78">
        <f>IF(V387="","",IF(V387=2,"⚠️ Paying ahead of work","✓ OK"))</f>
        <v/>
      </c>
      <c r="V387" s="79">
        <f>IF(T387="","",IF(T387-R387&gt;OverpayTol,2,0))</f>
        <v/>
      </c>
      <c r="W387" s="112">
        <f>IF(V387=2,AsOf,"")</f>
        <v/>
      </c>
      <c r="X387" s="79">
        <f>IF(W387="","",1)</f>
        <v/>
      </c>
      <c r="Y387" s="79">
        <f>IF(X387="","","Paying ahead of work: "&amp;B387&amp;" — paid "&amp;ROUND(T387*100,0)&amp;"%, work done "&amp;ROUND(R387*100,0)&amp;"%")</f>
        <v/>
      </c>
      <c r="AA387" s="72" t="n"/>
      <c r="AB387" s="109" t="n"/>
      <c r="AC387" s="113" t="n"/>
      <c r="AD387" s="74" t="n"/>
      <c r="AE387" s="109" t="n"/>
      <c r="AF387" s="74" t="n"/>
      <c r="AG387" s="112">
        <f>IF(AND(AA387&lt;&gt;"",AD387="Yes",AF387&lt;&gt;"Yes",AE387&lt;&gt;""),AE387,"")</f>
        <v/>
      </c>
      <c r="AH387" s="79">
        <f>IF(AG387="","",IF(AG387&lt;AsOf,1,IF(AG387&lt;=AsOf+AlertDays,2,IF(AG387&lt;=AsOf+2*AlertDays,3,""))))</f>
        <v/>
      </c>
      <c r="AI387" s="79">
        <f>IF(AH387="","","Follow up with "&amp;AA387&amp;": "&amp;AC387)</f>
        <v/>
      </c>
    </row>
    <row r="388" ht="20" customHeight="1">
      <c r="B388" s="72" t="n"/>
      <c r="C388" s="72" t="n"/>
      <c r="D388" s="72" t="n"/>
      <c r="E388" s="72" t="n"/>
      <c r="F388" s="72" t="n"/>
      <c r="G388" s="72" t="n"/>
      <c r="H388" s="72" t="n"/>
      <c r="I388" s="73" t="n"/>
      <c r="J388" s="75">
        <f>IF(B388="","",SUMIFS('Change Orders'!$J$7:$J$1006,'Change Orders'!$E$7:$E$1006,B388,'Change Orders'!$L$7:$L$1006,"Approved"))</f>
        <v/>
      </c>
      <c r="K388" s="76">
        <f>IF(B388="","",I388+J388)</f>
        <v/>
      </c>
      <c r="L388" s="74" t="n"/>
      <c r="M388" s="109" t="n"/>
      <c r="N388" s="109" t="n"/>
      <c r="O388" s="74" t="n"/>
      <c r="P388" s="74" t="n"/>
      <c r="Q388" s="100" t="n"/>
      <c r="R388" s="110" t="n"/>
      <c r="S388" s="75">
        <f>IF(B388="","",SUMIFS('Payments'!$N$6:$N$1005,'Payments'!$B$6:$B$1005,B388))</f>
        <v/>
      </c>
      <c r="T388" s="111">
        <f>IF(OR(B388="",K388=0),"",S388/K388)</f>
        <v/>
      </c>
      <c r="U388" s="78">
        <f>IF(V388="","",IF(V388=2,"⚠️ Paying ahead of work","✓ OK"))</f>
        <v/>
      </c>
      <c r="V388" s="79">
        <f>IF(T388="","",IF(T388-R388&gt;OverpayTol,2,0))</f>
        <v/>
      </c>
      <c r="W388" s="112">
        <f>IF(V388=2,AsOf,"")</f>
        <v/>
      </c>
      <c r="X388" s="79">
        <f>IF(W388="","",1)</f>
        <v/>
      </c>
      <c r="Y388" s="79">
        <f>IF(X388="","","Paying ahead of work: "&amp;B388&amp;" — paid "&amp;ROUND(T388*100,0)&amp;"%, work done "&amp;ROUND(R388*100,0)&amp;"%")</f>
        <v/>
      </c>
      <c r="AA388" s="72" t="n"/>
      <c r="AB388" s="109" t="n"/>
      <c r="AC388" s="113" t="n"/>
      <c r="AD388" s="74" t="n"/>
      <c r="AE388" s="109" t="n"/>
      <c r="AF388" s="74" t="n"/>
      <c r="AG388" s="112">
        <f>IF(AND(AA388&lt;&gt;"",AD388="Yes",AF388&lt;&gt;"Yes",AE388&lt;&gt;""),AE388,"")</f>
        <v/>
      </c>
      <c r="AH388" s="79">
        <f>IF(AG388="","",IF(AG388&lt;AsOf,1,IF(AG388&lt;=AsOf+AlertDays,2,IF(AG388&lt;=AsOf+2*AlertDays,3,""))))</f>
        <v/>
      </c>
      <c r="AI388" s="79">
        <f>IF(AH388="","","Follow up with "&amp;AA388&amp;": "&amp;AC388)</f>
        <v/>
      </c>
    </row>
    <row r="389" ht="20" customHeight="1">
      <c r="B389" s="72" t="n"/>
      <c r="C389" s="72" t="n"/>
      <c r="D389" s="72" t="n"/>
      <c r="E389" s="72" t="n"/>
      <c r="F389" s="72" t="n"/>
      <c r="G389" s="72" t="n"/>
      <c r="H389" s="72" t="n"/>
      <c r="I389" s="73" t="n"/>
      <c r="J389" s="75">
        <f>IF(B389="","",SUMIFS('Change Orders'!$J$7:$J$1006,'Change Orders'!$E$7:$E$1006,B389,'Change Orders'!$L$7:$L$1006,"Approved"))</f>
        <v/>
      </c>
      <c r="K389" s="76">
        <f>IF(B389="","",I389+J389)</f>
        <v/>
      </c>
      <c r="L389" s="74" t="n"/>
      <c r="M389" s="109" t="n"/>
      <c r="N389" s="109" t="n"/>
      <c r="O389" s="74" t="n"/>
      <c r="P389" s="74" t="n"/>
      <c r="Q389" s="100" t="n"/>
      <c r="R389" s="110" t="n"/>
      <c r="S389" s="75">
        <f>IF(B389="","",SUMIFS('Payments'!$N$6:$N$1005,'Payments'!$B$6:$B$1005,B389))</f>
        <v/>
      </c>
      <c r="T389" s="111">
        <f>IF(OR(B389="",K389=0),"",S389/K389)</f>
        <v/>
      </c>
      <c r="U389" s="78">
        <f>IF(V389="","",IF(V389=2,"⚠️ Paying ahead of work","✓ OK"))</f>
        <v/>
      </c>
      <c r="V389" s="79">
        <f>IF(T389="","",IF(T389-R389&gt;OverpayTol,2,0))</f>
        <v/>
      </c>
      <c r="W389" s="112">
        <f>IF(V389=2,AsOf,"")</f>
        <v/>
      </c>
      <c r="X389" s="79">
        <f>IF(W389="","",1)</f>
        <v/>
      </c>
      <c r="Y389" s="79">
        <f>IF(X389="","","Paying ahead of work: "&amp;B389&amp;" — paid "&amp;ROUND(T389*100,0)&amp;"%, work done "&amp;ROUND(R389*100,0)&amp;"%")</f>
        <v/>
      </c>
      <c r="AA389" s="72" t="n"/>
      <c r="AB389" s="109" t="n"/>
      <c r="AC389" s="113" t="n"/>
      <c r="AD389" s="74" t="n"/>
      <c r="AE389" s="109" t="n"/>
      <c r="AF389" s="74" t="n"/>
      <c r="AG389" s="112">
        <f>IF(AND(AA389&lt;&gt;"",AD389="Yes",AF389&lt;&gt;"Yes",AE389&lt;&gt;""),AE389,"")</f>
        <v/>
      </c>
      <c r="AH389" s="79">
        <f>IF(AG389="","",IF(AG389&lt;AsOf,1,IF(AG389&lt;=AsOf+AlertDays,2,IF(AG389&lt;=AsOf+2*AlertDays,3,""))))</f>
        <v/>
      </c>
      <c r="AI389" s="79">
        <f>IF(AH389="","","Follow up with "&amp;AA389&amp;": "&amp;AC389)</f>
        <v/>
      </c>
    </row>
    <row r="390" ht="20" customHeight="1">
      <c r="B390" s="72" t="n"/>
      <c r="C390" s="72" t="n"/>
      <c r="D390" s="72" t="n"/>
      <c r="E390" s="72" t="n"/>
      <c r="F390" s="72" t="n"/>
      <c r="G390" s="72" t="n"/>
      <c r="H390" s="72" t="n"/>
      <c r="I390" s="73" t="n"/>
      <c r="J390" s="75">
        <f>IF(B390="","",SUMIFS('Change Orders'!$J$7:$J$1006,'Change Orders'!$E$7:$E$1006,B390,'Change Orders'!$L$7:$L$1006,"Approved"))</f>
        <v/>
      </c>
      <c r="K390" s="76">
        <f>IF(B390="","",I390+J390)</f>
        <v/>
      </c>
      <c r="L390" s="74" t="n"/>
      <c r="M390" s="109" t="n"/>
      <c r="N390" s="109" t="n"/>
      <c r="O390" s="74" t="n"/>
      <c r="P390" s="74" t="n"/>
      <c r="Q390" s="100" t="n"/>
      <c r="R390" s="110" t="n"/>
      <c r="S390" s="75">
        <f>IF(B390="","",SUMIFS('Payments'!$N$6:$N$1005,'Payments'!$B$6:$B$1005,B390))</f>
        <v/>
      </c>
      <c r="T390" s="111">
        <f>IF(OR(B390="",K390=0),"",S390/K390)</f>
        <v/>
      </c>
      <c r="U390" s="78">
        <f>IF(V390="","",IF(V390=2,"⚠️ Paying ahead of work","✓ OK"))</f>
        <v/>
      </c>
      <c r="V390" s="79">
        <f>IF(T390="","",IF(T390-R390&gt;OverpayTol,2,0))</f>
        <v/>
      </c>
      <c r="W390" s="112">
        <f>IF(V390=2,AsOf,"")</f>
        <v/>
      </c>
      <c r="X390" s="79">
        <f>IF(W390="","",1)</f>
        <v/>
      </c>
      <c r="Y390" s="79">
        <f>IF(X390="","","Paying ahead of work: "&amp;B390&amp;" — paid "&amp;ROUND(T390*100,0)&amp;"%, work done "&amp;ROUND(R390*100,0)&amp;"%")</f>
        <v/>
      </c>
      <c r="AA390" s="72" t="n"/>
      <c r="AB390" s="109" t="n"/>
      <c r="AC390" s="113" t="n"/>
      <c r="AD390" s="74" t="n"/>
      <c r="AE390" s="109" t="n"/>
      <c r="AF390" s="74" t="n"/>
      <c r="AG390" s="112">
        <f>IF(AND(AA390&lt;&gt;"",AD390="Yes",AF390&lt;&gt;"Yes",AE390&lt;&gt;""),AE390,"")</f>
        <v/>
      </c>
      <c r="AH390" s="79">
        <f>IF(AG390="","",IF(AG390&lt;AsOf,1,IF(AG390&lt;=AsOf+AlertDays,2,IF(AG390&lt;=AsOf+2*AlertDays,3,""))))</f>
        <v/>
      </c>
      <c r="AI390" s="79">
        <f>IF(AH390="","","Follow up with "&amp;AA390&amp;": "&amp;AC390)</f>
        <v/>
      </c>
    </row>
    <row r="391" ht="20" customHeight="1">
      <c r="B391" s="72" t="n"/>
      <c r="C391" s="72" t="n"/>
      <c r="D391" s="72" t="n"/>
      <c r="E391" s="72" t="n"/>
      <c r="F391" s="72" t="n"/>
      <c r="G391" s="72" t="n"/>
      <c r="H391" s="72" t="n"/>
      <c r="I391" s="73" t="n"/>
      <c r="J391" s="75">
        <f>IF(B391="","",SUMIFS('Change Orders'!$J$7:$J$1006,'Change Orders'!$E$7:$E$1006,B391,'Change Orders'!$L$7:$L$1006,"Approved"))</f>
        <v/>
      </c>
      <c r="K391" s="76">
        <f>IF(B391="","",I391+J391)</f>
        <v/>
      </c>
      <c r="L391" s="74" t="n"/>
      <c r="M391" s="109" t="n"/>
      <c r="N391" s="109" t="n"/>
      <c r="O391" s="74" t="n"/>
      <c r="P391" s="74" t="n"/>
      <c r="Q391" s="100" t="n"/>
      <c r="R391" s="110" t="n"/>
      <c r="S391" s="75">
        <f>IF(B391="","",SUMIFS('Payments'!$N$6:$N$1005,'Payments'!$B$6:$B$1005,B391))</f>
        <v/>
      </c>
      <c r="T391" s="111">
        <f>IF(OR(B391="",K391=0),"",S391/K391)</f>
        <v/>
      </c>
      <c r="U391" s="78">
        <f>IF(V391="","",IF(V391=2,"⚠️ Paying ahead of work","✓ OK"))</f>
        <v/>
      </c>
      <c r="V391" s="79">
        <f>IF(T391="","",IF(T391-R391&gt;OverpayTol,2,0))</f>
        <v/>
      </c>
      <c r="W391" s="112">
        <f>IF(V391=2,AsOf,"")</f>
        <v/>
      </c>
      <c r="X391" s="79">
        <f>IF(W391="","",1)</f>
        <v/>
      </c>
      <c r="Y391" s="79">
        <f>IF(X391="","","Paying ahead of work: "&amp;B391&amp;" — paid "&amp;ROUND(T391*100,0)&amp;"%, work done "&amp;ROUND(R391*100,0)&amp;"%")</f>
        <v/>
      </c>
      <c r="AA391" s="72" t="n"/>
      <c r="AB391" s="109" t="n"/>
      <c r="AC391" s="113" t="n"/>
      <c r="AD391" s="74" t="n"/>
      <c r="AE391" s="109" t="n"/>
      <c r="AF391" s="74" t="n"/>
      <c r="AG391" s="112">
        <f>IF(AND(AA391&lt;&gt;"",AD391="Yes",AF391&lt;&gt;"Yes",AE391&lt;&gt;""),AE391,"")</f>
        <v/>
      </c>
      <c r="AH391" s="79">
        <f>IF(AG391="","",IF(AG391&lt;AsOf,1,IF(AG391&lt;=AsOf+AlertDays,2,IF(AG391&lt;=AsOf+2*AlertDays,3,""))))</f>
        <v/>
      </c>
      <c r="AI391" s="79">
        <f>IF(AH391="","","Follow up with "&amp;AA391&amp;": "&amp;AC391)</f>
        <v/>
      </c>
    </row>
    <row r="392" ht="20" customHeight="1">
      <c r="B392" s="72" t="n"/>
      <c r="C392" s="72" t="n"/>
      <c r="D392" s="72" t="n"/>
      <c r="E392" s="72" t="n"/>
      <c r="F392" s="72" t="n"/>
      <c r="G392" s="72" t="n"/>
      <c r="H392" s="72" t="n"/>
      <c r="I392" s="73" t="n"/>
      <c r="J392" s="75">
        <f>IF(B392="","",SUMIFS('Change Orders'!$J$7:$J$1006,'Change Orders'!$E$7:$E$1006,B392,'Change Orders'!$L$7:$L$1006,"Approved"))</f>
        <v/>
      </c>
      <c r="K392" s="76">
        <f>IF(B392="","",I392+J392)</f>
        <v/>
      </c>
      <c r="L392" s="74" t="n"/>
      <c r="M392" s="109" t="n"/>
      <c r="N392" s="109" t="n"/>
      <c r="O392" s="74" t="n"/>
      <c r="P392" s="74" t="n"/>
      <c r="Q392" s="100" t="n"/>
      <c r="R392" s="110" t="n"/>
      <c r="S392" s="75">
        <f>IF(B392="","",SUMIFS('Payments'!$N$6:$N$1005,'Payments'!$B$6:$B$1005,B392))</f>
        <v/>
      </c>
      <c r="T392" s="111">
        <f>IF(OR(B392="",K392=0),"",S392/K392)</f>
        <v/>
      </c>
      <c r="U392" s="78">
        <f>IF(V392="","",IF(V392=2,"⚠️ Paying ahead of work","✓ OK"))</f>
        <v/>
      </c>
      <c r="V392" s="79">
        <f>IF(T392="","",IF(T392-R392&gt;OverpayTol,2,0))</f>
        <v/>
      </c>
      <c r="W392" s="112">
        <f>IF(V392=2,AsOf,"")</f>
        <v/>
      </c>
      <c r="X392" s="79">
        <f>IF(W392="","",1)</f>
        <v/>
      </c>
      <c r="Y392" s="79">
        <f>IF(X392="","","Paying ahead of work: "&amp;B392&amp;" — paid "&amp;ROUND(T392*100,0)&amp;"%, work done "&amp;ROUND(R392*100,0)&amp;"%")</f>
        <v/>
      </c>
      <c r="AA392" s="72" t="n"/>
      <c r="AB392" s="109" t="n"/>
      <c r="AC392" s="113" t="n"/>
      <c r="AD392" s="74" t="n"/>
      <c r="AE392" s="109" t="n"/>
      <c r="AF392" s="74" t="n"/>
      <c r="AG392" s="112">
        <f>IF(AND(AA392&lt;&gt;"",AD392="Yes",AF392&lt;&gt;"Yes",AE392&lt;&gt;""),AE392,"")</f>
        <v/>
      </c>
      <c r="AH392" s="79">
        <f>IF(AG392="","",IF(AG392&lt;AsOf,1,IF(AG392&lt;=AsOf+AlertDays,2,IF(AG392&lt;=AsOf+2*AlertDays,3,""))))</f>
        <v/>
      </c>
      <c r="AI392" s="79">
        <f>IF(AH392="","","Follow up with "&amp;AA392&amp;": "&amp;AC392)</f>
        <v/>
      </c>
    </row>
    <row r="393" ht="20" customHeight="1">
      <c r="B393" s="72" t="n"/>
      <c r="C393" s="72" t="n"/>
      <c r="D393" s="72" t="n"/>
      <c r="E393" s="72" t="n"/>
      <c r="F393" s="72" t="n"/>
      <c r="G393" s="72" t="n"/>
      <c r="H393" s="72" t="n"/>
      <c r="I393" s="73" t="n"/>
      <c r="J393" s="75">
        <f>IF(B393="","",SUMIFS('Change Orders'!$J$7:$J$1006,'Change Orders'!$E$7:$E$1006,B393,'Change Orders'!$L$7:$L$1006,"Approved"))</f>
        <v/>
      </c>
      <c r="K393" s="76">
        <f>IF(B393="","",I393+J393)</f>
        <v/>
      </c>
      <c r="L393" s="74" t="n"/>
      <c r="M393" s="109" t="n"/>
      <c r="N393" s="109" t="n"/>
      <c r="O393" s="74" t="n"/>
      <c r="P393" s="74" t="n"/>
      <c r="Q393" s="100" t="n"/>
      <c r="R393" s="110" t="n"/>
      <c r="S393" s="75">
        <f>IF(B393="","",SUMIFS('Payments'!$N$6:$N$1005,'Payments'!$B$6:$B$1005,B393))</f>
        <v/>
      </c>
      <c r="T393" s="111">
        <f>IF(OR(B393="",K393=0),"",S393/K393)</f>
        <v/>
      </c>
      <c r="U393" s="78">
        <f>IF(V393="","",IF(V393=2,"⚠️ Paying ahead of work","✓ OK"))</f>
        <v/>
      </c>
      <c r="V393" s="79">
        <f>IF(T393="","",IF(T393-R393&gt;OverpayTol,2,0))</f>
        <v/>
      </c>
      <c r="W393" s="112">
        <f>IF(V393=2,AsOf,"")</f>
        <v/>
      </c>
      <c r="X393" s="79">
        <f>IF(W393="","",1)</f>
        <v/>
      </c>
      <c r="Y393" s="79">
        <f>IF(X393="","","Paying ahead of work: "&amp;B393&amp;" — paid "&amp;ROUND(T393*100,0)&amp;"%, work done "&amp;ROUND(R393*100,0)&amp;"%")</f>
        <v/>
      </c>
      <c r="AA393" s="72" t="n"/>
      <c r="AB393" s="109" t="n"/>
      <c r="AC393" s="113" t="n"/>
      <c r="AD393" s="74" t="n"/>
      <c r="AE393" s="109" t="n"/>
      <c r="AF393" s="74" t="n"/>
      <c r="AG393" s="112">
        <f>IF(AND(AA393&lt;&gt;"",AD393="Yes",AF393&lt;&gt;"Yes",AE393&lt;&gt;""),AE393,"")</f>
        <v/>
      </c>
      <c r="AH393" s="79">
        <f>IF(AG393="","",IF(AG393&lt;AsOf,1,IF(AG393&lt;=AsOf+AlertDays,2,IF(AG393&lt;=AsOf+2*AlertDays,3,""))))</f>
        <v/>
      </c>
      <c r="AI393" s="79">
        <f>IF(AH393="","","Follow up with "&amp;AA393&amp;": "&amp;AC393)</f>
        <v/>
      </c>
    </row>
    <row r="394" ht="20" customHeight="1">
      <c r="B394" s="72" t="n"/>
      <c r="C394" s="72" t="n"/>
      <c r="D394" s="72" t="n"/>
      <c r="E394" s="72" t="n"/>
      <c r="F394" s="72" t="n"/>
      <c r="G394" s="72" t="n"/>
      <c r="H394" s="72" t="n"/>
      <c r="I394" s="73" t="n"/>
      <c r="J394" s="75">
        <f>IF(B394="","",SUMIFS('Change Orders'!$J$7:$J$1006,'Change Orders'!$E$7:$E$1006,B394,'Change Orders'!$L$7:$L$1006,"Approved"))</f>
        <v/>
      </c>
      <c r="K394" s="76">
        <f>IF(B394="","",I394+J394)</f>
        <v/>
      </c>
      <c r="L394" s="74" t="n"/>
      <c r="M394" s="109" t="n"/>
      <c r="N394" s="109" t="n"/>
      <c r="O394" s="74" t="n"/>
      <c r="P394" s="74" t="n"/>
      <c r="Q394" s="100" t="n"/>
      <c r="R394" s="110" t="n"/>
      <c r="S394" s="75">
        <f>IF(B394="","",SUMIFS('Payments'!$N$6:$N$1005,'Payments'!$B$6:$B$1005,B394))</f>
        <v/>
      </c>
      <c r="T394" s="111">
        <f>IF(OR(B394="",K394=0),"",S394/K394)</f>
        <v/>
      </c>
      <c r="U394" s="78">
        <f>IF(V394="","",IF(V394=2,"⚠️ Paying ahead of work","✓ OK"))</f>
        <v/>
      </c>
      <c r="V394" s="79">
        <f>IF(T394="","",IF(T394-R394&gt;OverpayTol,2,0))</f>
        <v/>
      </c>
      <c r="W394" s="112">
        <f>IF(V394=2,AsOf,"")</f>
        <v/>
      </c>
      <c r="X394" s="79">
        <f>IF(W394="","",1)</f>
        <v/>
      </c>
      <c r="Y394" s="79">
        <f>IF(X394="","","Paying ahead of work: "&amp;B394&amp;" — paid "&amp;ROUND(T394*100,0)&amp;"%, work done "&amp;ROUND(R394*100,0)&amp;"%")</f>
        <v/>
      </c>
      <c r="AA394" s="72" t="n"/>
      <c r="AB394" s="109" t="n"/>
      <c r="AC394" s="113" t="n"/>
      <c r="AD394" s="74" t="n"/>
      <c r="AE394" s="109" t="n"/>
      <c r="AF394" s="74" t="n"/>
      <c r="AG394" s="112">
        <f>IF(AND(AA394&lt;&gt;"",AD394="Yes",AF394&lt;&gt;"Yes",AE394&lt;&gt;""),AE394,"")</f>
        <v/>
      </c>
      <c r="AH394" s="79">
        <f>IF(AG394="","",IF(AG394&lt;AsOf,1,IF(AG394&lt;=AsOf+AlertDays,2,IF(AG394&lt;=AsOf+2*AlertDays,3,""))))</f>
        <v/>
      </c>
      <c r="AI394" s="79">
        <f>IF(AH394="","","Follow up with "&amp;AA394&amp;": "&amp;AC394)</f>
        <v/>
      </c>
    </row>
    <row r="395" ht="20" customHeight="1">
      <c r="B395" s="72" t="n"/>
      <c r="C395" s="72" t="n"/>
      <c r="D395" s="72" t="n"/>
      <c r="E395" s="72" t="n"/>
      <c r="F395" s="72" t="n"/>
      <c r="G395" s="72" t="n"/>
      <c r="H395" s="72" t="n"/>
      <c r="I395" s="73" t="n"/>
      <c r="J395" s="75">
        <f>IF(B395="","",SUMIFS('Change Orders'!$J$7:$J$1006,'Change Orders'!$E$7:$E$1006,B395,'Change Orders'!$L$7:$L$1006,"Approved"))</f>
        <v/>
      </c>
      <c r="K395" s="76">
        <f>IF(B395="","",I395+J395)</f>
        <v/>
      </c>
      <c r="L395" s="74" t="n"/>
      <c r="M395" s="109" t="n"/>
      <c r="N395" s="109" t="n"/>
      <c r="O395" s="74" t="n"/>
      <c r="P395" s="74" t="n"/>
      <c r="Q395" s="100" t="n"/>
      <c r="R395" s="110" t="n"/>
      <c r="S395" s="75">
        <f>IF(B395="","",SUMIFS('Payments'!$N$6:$N$1005,'Payments'!$B$6:$B$1005,B395))</f>
        <v/>
      </c>
      <c r="T395" s="111">
        <f>IF(OR(B395="",K395=0),"",S395/K395)</f>
        <v/>
      </c>
      <c r="U395" s="78">
        <f>IF(V395="","",IF(V395=2,"⚠️ Paying ahead of work","✓ OK"))</f>
        <v/>
      </c>
      <c r="V395" s="79">
        <f>IF(T395="","",IF(T395-R395&gt;OverpayTol,2,0))</f>
        <v/>
      </c>
      <c r="W395" s="112">
        <f>IF(V395=2,AsOf,"")</f>
        <v/>
      </c>
      <c r="X395" s="79">
        <f>IF(W395="","",1)</f>
        <v/>
      </c>
      <c r="Y395" s="79">
        <f>IF(X395="","","Paying ahead of work: "&amp;B395&amp;" — paid "&amp;ROUND(T395*100,0)&amp;"%, work done "&amp;ROUND(R395*100,0)&amp;"%")</f>
        <v/>
      </c>
      <c r="AA395" s="72" t="n"/>
      <c r="AB395" s="109" t="n"/>
      <c r="AC395" s="113" t="n"/>
      <c r="AD395" s="74" t="n"/>
      <c r="AE395" s="109" t="n"/>
      <c r="AF395" s="74" t="n"/>
      <c r="AG395" s="112">
        <f>IF(AND(AA395&lt;&gt;"",AD395="Yes",AF395&lt;&gt;"Yes",AE395&lt;&gt;""),AE395,"")</f>
        <v/>
      </c>
      <c r="AH395" s="79">
        <f>IF(AG395="","",IF(AG395&lt;AsOf,1,IF(AG395&lt;=AsOf+AlertDays,2,IF(AG395&lt;=AsOf+2*AlertDays,3,""))))</f>
        <v/>
      </c>
      <c r="AI395" s="79">
        <f>IF(AH395="","","Follow up with "&amp;AA395&amp;": "&amp;AC395)</f>
        <v/>
      </c>
    </row>
    <row r="396" ht="20" customHeight="1">
      <c r="B396" s="72" t="n"/>
      <c r="C396" s="72" t="n"/>
      <c r="D396" s="72" t="n"/>
      <c r="E396" s="72" t="n"/>
      <c r="F396" s="72" t="n"/>
      <c r="G396" s="72" t="n"/>
      <c r="H396" s="72" t="n"/>
      <c r="I396" s="73" t="n"/>
      <c r="J396" s="75">
        <f>IF(B396="","",SUMIFS('Change Orders'!$J$7:$J$1006,'Change Orders'!$E$7:$E$1006,B396,'Change Orders'!$L$7:$L$1006,"Approved"))</f>
        <v/>
      </c>
      <c r="K396" s="76">
        <f>IF(B396="","",I396+J396)</f>
        <v/>
      </c>
      <c r="L396" s="74" t="n"/>
      <c r="M396" s="109" t="n"/>
      <c r="N396" s="109" t="n"/>
      <c r="O396" s="74" t="n"/>
      <c r="P396" s="74" t="n"/>
      <c r="Q396" s="100" t="n"/>
      <c r="R396" s="110" t="n"/>
      <c r="S396" s="75">
        <f>IF(B396="","",SUMIFS('Payments'!$N$6:$N$1005,'Payments'!$B$6:$B$1005,B396))</f>
        <v/>
      </c>
      <c r="T396" s="111">
        <f>IF(OR(B396="",K396=0),"",S396/K396)</f>
        <v/>
      </c>
      <c r="U396" s="78">
        <f>IF(V396="","",IF(V396=2,"⚠️ Paying ahead of work","✓ OK"))</f>
        <v/>
      </c>
      <c r="V396" s="79">
        <f>IF(T396="","",IF(T396-R396&gt;OverpayTol,2,0))</f>
        <v/>
      </c>
      <c r="W396" s="112">
        <f>IF(V396=2,AsOf,"")</f>
        <v/>
      </c>
      <c r="X396" s="79">
        <f>IF(W396="","",1)</f>
        <v/>
      </c>
      <c r="Y396" s="79">
        <f>IF(X396="","","Paying ahead of work: "&amp;B396&amp;" — paid "&amp;ROUND(T396*100,0)&amp;"%, work done "&amp;ROUND(R396*100,0)&amp;"%")</f>
        <v/>
      </c>
      <c r="AA396" s="72" t="n"/>
      <c r="AB396" s="109" t="n"/>
      <c r="AC396" s="113" t="n"/>
      <c r="AD396" s="74" t="n"/>
      <c r="AE396" s="109" t="n"/>
      <c r="AF396" s="74" t="n"/>
      <c r="AG396" s="112">
        <f>IF(AND(AA396&lt;&gt;"",AD396="Yes",AF396&lt;&gt;"Yes",AE396&lt;&gt;""),AE396,"")</f>
        <v/>
      </c>
      <c r="AH396" s="79">
        <f>IF(AG396="","",IF(AG396&lt;AsOf,1,IF(AG396&lt;=AsOf+AlertDays,2,IF(AG396&lt;=AsOf+2*AlertDays,3,""))))</f>
        <v/>
      </c>
      <c r="AI396" s="79">
        <f>IF(AH396="","","Follow up with "&amp;AA396&amp;": "&amp;AC396)</f>
        <v/>
      </c>
    </row>
    <row r="397" ht="20" customHeight="1">
      <c r="B397" s="72" t="n"/>
      <c r="C397" s="72" t="n"/>
      <c r="D397" s="72" t="n"/>
      <c r="E397" s="72" t="n"/>
      <c r="F397" s="72" t="n"/>
      <c r="G397" s="72" t="n"/>
      <c r="H397" s="72" t="n"/>
      <c r="I397" s="73" t="n"/>
      <c r="J397" s="75">
        <f>IF(B397="","",SUMIFS('Change Orders'!$J$7:$J$1006,'Change Orders'!$E$7:$E$1006,B397,'Change Orders'!$L$7:$L$1006,"Approved"))</f>
        <v/>
      </c>
      <c r="K397" s="76">
        <f>IF(B397="","",I397+J397)</f>
        <v/>
      </c>
      <c r="L397" s="74" t="n"/>
      <c r="M397" s="109" t="n"/>
      <c r="N397" s="109" t="n"/>
      <c r="O397" s="74" t="n"/>
      <c r="P397" s="74" t="n"/>
      <c r="Q397" s="100" t="n"/>
      <c r="R397" s="110" t="n"/>
      <c r="S397" s="75">
        <f>IF(B397="","",SUMIFS('Payments'!$N$6:$N$1005,'Payments'!$B$6:$B$1005,B397))</f>
        <v/>
      </c>
      <c r="T397" s="111">
        <f>IF(OR(B397="",K397=0),"",S397/K397)</f>
        <v/>
      </c>
      <c r="U397" s="78">
        <f>IF(V397="","",IF(V397=2,"⚠️ Paying ahead of work","✓ OK"))</f>
        <v/>
      </c>
      <c r="V397" s="79">
        <f>IF(T397="","",IF(T397-R397&gt;OverpayTol,2,0))</f>
        <v/>
      </c>
      <c r="W397" s="112">
        <f>IF(V397=2,AsOf,"")</f>
        <v/>
      </c>
      <c r="X397" s="79">
        <f>IF(W397="","",1)</f>
        <v/>
      </c>
      <c r="Y397" s="79">
        <f>IF(X397="","","Paying ahead of work: "&amp;B397&amp;" — paid "&amp;ROUND(T397*100,0)&amp;"%, work done "&amp;ROUND(R397*100,0)&amp;"%")</f>
        <v/>
      </c>
      <c r="AA397" s="72" t="n"/>
      <c r="AB397" s="109" t="n"/>
      <c r="AC397" s="113" t="n"/>
      <c r="AD397" s="74" t="n"/>
      <c r="AE397" s="109" t="n"/>
      <c r="AF397" s="74" t="n"/>
      <c r="AG397" s="112">
        <f>IF(AND(AA397&lt;&gt;"",AD397="Yes",AF397&lt;&gt;"Yes",AE397&lt;&gt;""),AE397,"")</f>
        <v/>
      </c>
      <c r="AH397" s="79">
        <f>IF(AG397="","",IF(AG397&lt;AsOf,1,IF(AG397&lt;=AsOf+AlertDays,2,IF(AG397&lt;=AsOf+2*AlertDays,3,""))))</f>
        <v/>
      </c>
      <c r="AI397" s="79">
        <f>IF(AH397="","","Follow up with "&amp;AA397&amp;": "&amp;AC397)</f>
        <v/>
      </c>
    </row>
    <row r="398" ht="20" customHeight="1">
      <c r="B398" s="72" t="n"/>
      <c r="C398" s="72" t="n"/>
      <c r="D398" s="72" t="n"/>
      <c r="E398" s="72" t="n"/>
      <c r="F398" s="72" t="n"/>
      <c r="G398" s="72" t="n"/>
      <c r="H398" s="72" t="n"/>
      <c r="I398" s="73" t="n"/>
      <c r="J398" s="75">
        <f>IF(B398="","",SUMIFS('Change Orders'!$J$7:$J$1006,'Change Orders'!$E$7:$E$1006,B398,'Change Orders'!$L$7:$L$1006,"Approved"))</f>
        <v/>
      </c>
      <c r="K398" s="76">
        <f>IF(B398="","",I398+J398)</f>
        <v/>
      </c>
      <c r="L398" s="74" t="n"/>
      <c r="M398" s="109" t="n"/>
      <c r="N398" s="109" t="n"/>
      <c r="O398" s="74" t="n"/>
      <c r="P398" s="74" t="n"/>
      <c r="Q398" s="100" t="n"/>
      <c r="R398" s="110" t="n"/>
      <c r="S398" s="75">
        <f>IF(B398="","",SUMIFS('Payments'!$N$6:$N$1005,'Payments'!$B$6:$B$1005,B398))</f>
        <v/>
      </c>
      <c r="T398" s="111">
        <f>IF(OR(B398="",K398=0),"",S398/K398)</f>
        <v/>
      </c>
      <c r="U398" s="78">
        <f>IF(V398="","",IF(V398=2,"⚠️ Paying ahead of work","✓ OK"))</f>
        <v/>
      </c>
      <c r="V398" s="79">
        <f>IF(T398="","",IF(T398-R398&gt;OverpayTol,2,0))</f>
        <v/>
      </c>
      <c r="W398" s="112">
        <f>IF(V398=2,AsOf,"")</f>
        <v/>
      </c>
      <c r="X398" s="79">
        <f>IF(W398="","",1)</f>
        <v/>
      </c>
      <c r="Y398" s="79">
        <f>IF(X398="","","Paying ahead of work: "&amp;B398&amp;" — paid "&amp;ROUND(T398*100,0)&amp;"%, work done "&amp;ROUND(R398*100,0)&amp;"%")</f>
        <v/>
      </c>
      <c r="AA398" s="72" t="n"/>
      <c r="AB398" s="109" t="n"/>
      <c r="AC398" s="113" t="n"/>
      <c r="AD398" s="74" t="n"/>
      <c r="AE398" s="109" t="n"/>
      <c r="AF398" s="74" t="n"/>
      <c r="AG398" s="112">
        <f>IF(AND(AA398&lt;&gt;"",AD398="Yes",AF398&lt;&gt;"Yes",AE398&lt;&gt;""),AE398,"")</f>
        <v/>
      </c>
      <c r="AH398" s="79">
        <f>IF(AG398="","",IF(AG398&lt;AsOf,1,IF(AG398&lt;=AsOf+AlertDays,2,IF(AG398&lt;=AsOf+2*AlertDays,3,""))))</f>
        <v/>
      </c>
      <c r="AI398" s="79">
        <f>IF(AH398="","","Follow up with "&amp;AA398&amp;": "&amp;AC398)</f>
        <v/>
      </c>
    </row>
    <row r="399" ht="20" customHeight="1">
      <c r="B399" s="72" t="n"/>
      <c r="C399" s="72" t="n"/>
      <c r="D399" s="72" t="n"/>
      <c r="E399" s="72" t="n"/>
      <c r="F399" s="72" t="n"/>
      <c r="G399" s="72" t="n"/>
      <c r="H399" s="72" t="n"/>
      <c r="I399" s="73" t="n"/>
      <c r="J399" s="75">
        <f>IF(B399="","",SUMIFS('Change Orders'!$J$7:$J$1006,'Change Orders'!$E$7:$E$1006,B399,'Change Orders'!$L$7:$L$1006,"Approved"))</f>
        <v/>
      </c>
      <c r="K399" s="76">
        <f>IF(B399="","",I399+J399)</f>
        <v/>
      </c>
      <c r="L399" s="74" t="n"/>
      <c r="M399" s="109" t="n"/>
      <c r="N399" s="109" t="n"/>
      <c r="O399" s="74" t="n"/>
      <c r="P399" s="74" t="n"/>
      <c r="Q399" s="100" t="n"/>
      <c r="R399" s="110" t="n"/>
      <c r="S399" s="75">
        <f>IF(B399="","",SUMIFS('Payments'!$N$6:$N$1005,'Payments'!$B$6:$B$1005,B399))</f>
        <v/>
      </c>
      <c r="T399" s="111">
        <f>IF(OR(B399="",K399=0),"",S399/K399)</f>
        <v/>
      </c>
      <c r="U399" s="78">
        <f>IF(V399="","",IF(V399=2,"⚠️ Paying ahead of work","✓ OK"))</f>
        <v/>
      </c>
      <c r="V399" s="79">
        <f>IF(T399="","",IF(T399-R399&gt;OverpayTol,2,0))</f>
        <v/>
      </c>
      <c r="W399" s="112">
        <f>IF(V399=2,AsOf,"")</f>
        <v/>
      </c>
      <c r="X399" s="79">
        <f>IF(W399="","",1)</f>
        <v/>
      </c>
      <c r="Y399" s="79">
        <f>IF(X399="","","Paying ahead of work: "&amp;B399&amp;" — paid "&amp;ROUND(T399*100,0)&amp;"%, work done "&amp;ROUND(R399*100,0)&amp;"%")</f>
        <v/>
      </c>
      <c r="AA399" s="72" t="n"/>
      <c r="AB399" s="109" t="n"/>
      <c r="AC399" s="113" t="n"/>
      <c r="AD399" s="74" t="n"/>
      <c r="AE399" s="109" t="n"/>
      <c r="AF399" s="74" t="n"/>
      <c r="AG399" s="112">
        <f>IF(AND(AA399&lt;&gt;"",AD399="Yes",AF399&lt;&gt;"Yes",AE399&lt;&gt;""),AE399,"")</f>
        <v/>
      </c>
      <c r="AH399" s="79">
        <f>IF(AG399="","",IF(AG399&lt;AsOf,1,IF(AG399&lt;=AsOf+AlertDays,2,IF(AG399&lt;=AsOf+2*AlertDays,3,""))))</f>
        <v/>
      </c>
      <c r="AI399" s="79">
        <f>IF(AH399="","","Follow up with "&amp;AA399&amp;": "&amp;AC399)</f>
        <v/>
      </c>
    </row>
    <row r="400" ht="20" customHeight="1">
      <c r="B400" s="72" t="n"/>
      <c r="C400" s="72" t="n"/>
      <c r="D400" s="72" t="n"/>
      <c r="E400" s="72" t="n"/>
      <c r="F400" s="72" t="n"/>
      <c r="G400" s="72" t="n"/>
      <c r="H400" s="72" t="n"/>
      <c r="I400" s="73" t="n"/>
      <c r="J400" s="75">
        <f>IF(B400="","",SUMIFS('Change Orders'!$J$7:$J$1006,'Change Orders'!$E$7:$E$1006,B400,'Change Orders'!$L$7:$L$1006,"Approved"))</f>
        <v/>
      </c>
      <c r="K400" s="76">
        <f>IF(B400="","",I400+J400)</f>
        <v/>
      </c>
      <c r="L400" s="74" t="n"/>
      <c r="M400" s="109" t="n"/>
      <c r="N400" s="109" t="n"/>
      <c r="O400" s="74" t="n"/>
      <c r="P400" s="74" t="n"/>
      <c r="Q400" s="100" t="n"/>
      <c r="R400" s="110" t="n"/>
      <c r="S400" s="75">
        <f>IF(B400="","",SUMIFS('Payments'!$N$6:$N$1005,'Payments'!$B$6:$B$1005,B400))</f>
        <v/>
      </c>
      <c r="T400" s="111">
        <f>IF(OR(B400="",K400=0),"",S400/K400)</f>
        <v/>
      </c>
      <c r="U400" s="78">
        <f>IF(V400="","",IF(V400=2,"⚠️ Paying ahead of work","✓ OK"))</f>
        <v/>
      </c>
      <c r="V400" s="79">
        <f>IF(T400="","",IF(T400-R400&gt;OverpayTol,2,0))</f>
        <v/>
      </c>
      <c r="W400" s="112">
        <f>IF(V400=2,AsOf,"")</f>
        <v/>
      </c>
      <c r="X400" s="79">
        <f>IF(W400="","",1)</f>
        <v/>
      </c>
      <c r="Y400" s="79">
        <f>IF(X400="","","Paying ahead of work: "&amp;B400&amp;" — paid "&amp;ROUND(T400*100,0)&amp;"%, work done "&amp;ROUND(R400*100,0)&amp;"%")</f>
        <v/>
      </c>
      <c r="AA400" s="72" t="n"/>
      <c r="AB400" s="109" t="n"/>
      <c r="AC400" s="113" t="n"/>
      <c r="AD400" s="74" t="n"/>
      <c r="AE400" s="109" t="n"/>
      <c r="AF400" s="74" t="n"/>
      <c r="AG400" s="112">
        <f>IF(AND(AA400&lt;&gt;"",AD400="Yes",AF400&lt;&gt;"Yes",AE400&lt;&gt;""),AE400,"")</f>
        <v/>
      </c>
      <c r="AH400" s="79">
        <f>IF(AG400="","",IF(AG400&lt;AsOf,1,IF(AG400&lt;=AsOf+AlertDays,2,IF(AG400&lt;=AsOf+2*AlertDays,3,""))))</f>
        <v/>
      </c>
      <c r="AI400" s="79">
        <f>IF(AH400="","","Follow up with "&amp;AA400&amp;": "&amp;AC400)</f>
        <v/>
      </c>
    </row>
    <row r="401" ht="20" customHeight="1">
      <c r="B401" s="72" t="n"/>
      <c r="C401" s="72" t="n"/>
      <c r="D401" s="72" t="n"/>
      <c r="E401" s="72" t="n"/>
      <c r="F401" s="72" t="n"/>
      <c r="G401" s="72" t="n"/>
      <c r="H401" s="72" t="n"/>
      <c r="I401" s="73" t="n"/>
      <c r="J401" s="75">
        <f>IF(B401="","",SUMIFS('Change Orders'!$J$7:$J$1006,'Change Orders'!$E$7:$E$1006,B401,'Change Orders'!$L$7:$L$1006,"Approved"))</f>
        <v/>
      </c>
      <c r="K401" s="76">
        <f>IF(B401="","",I401+J401)</f>
        <v/>
      </c>
      <c r="L401" s="74" t="n"/>
      <c r="M401" s="109" t="n"/>
      <c r="N401" s="109" t="n"/>
      <c r="O401" s="74" t="n"/>
      <c r="P401" s="74" t="n"/>
      <c r="Q401" s="100" t="n"/>
      <c r="R401" s="110" t="n"/>
      <c r="S401" s="75">
        <f>IF(B401="","",SUMIFS('Payments'!$N$6:$N$1005,'Payments'!$B$6:$B$1005,B401))</f>
        <v/>
      </c>
      <c r="T401" s="111">
        <f>IF(OR(B401="",K401=0),"",S401/K401)</f>
        <v/>
      </c>
      <c r="U401" s="78">
        <f>IF(V401="","",IF(V401=2,"⚠️ Paying ahead of work","✓ OK"))</f>
        <v/>
      </c>
      <c r="V401" s="79">
        <f>IF(T401="","",IF(T401-R401&gt;OverpayTol,2,0))</f>
        <v/>
      </c>
      <c r="W401" s="112">
        <f>IF(V401=2,AsOf,"")</f>
        <v/>
      </c>
      <c r="X401" s="79">
        <f>IF(W401="","",1)</f>
        <v/>
      </c>
      <c r="Y401" s="79">
        <f>IF(X401="","","Paying ahead of work: "&amp;B401&amp;" — paid "&amp;ROUND(T401*100,0)&amp;"%, work done "&amp;ROUND(R401*100,0)&amp;"%")</f>
        <v/>
      </c>
      <c r="AA401" s="72" t="n"/>
      <c r="AB401" s="109" t="n"/>
      <c r="AC401" s="113" t="n"/>
      <c r="AD401" s="74" t="n"/>
      <c r="AE401" s="109" t="n"/>
      <c r="AF401" s="74" t="n"/>
      <c r="AG401" s="112">
        <f>IF(AND(AA401&lt;&gt;"",AD401="Yes",AF401&lt;&gt;"Yes",AE401&lt;&gt;""),AE401,"")</f>
        <v/>
      </c>
      <c r="AH401" s="79">
        <f>IF(AG401="","",IF(AG401&lt;AsOf,1,IF(AG401&lt;=AsOf+AlertDays,2,IF(AG401&lt;=AsOf+2*AlertDays,3,""))))</f>
        <v/>
      </c>
      <c r="AI401" s="79">
        <f>IF(AH401="","","Follow up with "&amp;AA401&amp;": "&amp;AC401)</f>
        <v/>
      </c>
    </row>
    <row r="402" ht="20" customHeight="1">
      <c r="B402" s="72" t="n"/>
      <c r="C402" s="72" t="n"/>
      <c r="D402" s="72" t="n"/>
      <c r="E402" s="72" t="n"/>
      <c r="F402" s="72" t="n"/>
      <c r="G402" s="72" t="n"/>
      <c r="H402" s="72" t="n"/>
      <c r="I402" s="73" t="n"/>
      <c r="J402" s="75">
        <f>IF(B402="","",SUMIFS('Change Orders'!$J$7:$J$1006,'Change Orders'!$E$7:$E$1006,B402,'Change Orders'!$L$7:$L$1006,"Approved"))</f>
        <v/>
      </c>
      <c r="K402" s="76">
        <f>IF(B402="","",I402+J402)</f>
        <v/>
      </c>
      <c r="L402" s="74" t="n"/>
      <c r="M402" s="109" t="n"/>
      <c r="N402" s="109" t="n"/>
      <c r="O402" s="74" t="n"/>
      <c r="P402" s="74" t="n"/>
      <c r="Q402" s="100" t="n"/>
      <c r="R402" s="110" t="n"/>
      <c r="S402" s="75">
        <f>IF(B402="","",SUMIFS('Payments'!$N$6:$N$1005,'Payments'!$B$6:$B$1005,B402))</f>
        <v/>
      </c>
      <c r="T402" s="111">
        <f>IF(OR(B402="",K402=0),"",S402/K402)</f>
        <v/>
      </c>
      <c r="U402" s="78">
        <f>IF(V402="","",IF(V402=2,"⚠️ Paying ahead of work","✓ OK"))</f>
        <v/>
      </c>
      <c r="V402" s="79">
        <f>IF(T402="","",IF(T402-R402&gt;OverpayTol,2,0))</f>
        <v/>
      </c>
      <c r="W402" s="112">
        <f>IF(V402=2,AsOf,"")</f>
        <v/>
      </c>
      <c r="X402" s="79">
        <f>IF(W402="","",1)</f>
        <v/>
      </c>
      <c r="Y402" s="79">
        <f>IF(X402="","","Paying ahead of work: "&amp;B402&amp;" — paid "&amp;ROUND(T402*100,0)&amp;"%, work done "&amp;ROUND(R402*100,0)&amp;"%")</f>
        <v/>
      </c>
      <c r="AA402" s="72" t="n"/>
      <c r="AB402" s="109" t="n"/>
      <c r="AC402" s="113" t="n"/>
      <c r="AD402" s="74" t="n"/>
      <c r="AE402" s="109" t="n"/>
      <c r="AF402" s="74" t="n"/>
      <c r="AG402" s="112">
        <f>IF(AND(AA402&lt;&gt;"",AD402="Yes",AF402&lt;&gt;"Yes",AE402&lt;&gt;""),AE402,"")</f>
        <v/>
      </c>
      <c r="AH402" s="79">
        <f>IF(AG402="","",IF(AG402&lt;AsOf,1,IF(AG402&lt;=AsOf+AlertDays,2,IF(AG402&lt;=AsOf+2*AlertDays,3,""))))</f>
        <v/>
      </c>
      <c r="AI402" s="79">
        <f>IF(AH402="","","Follow up with "&amp;AA402&amp;": "&amp;AC402)</f>
        <v/>
      </c>
    </row>
    <row r="403" ht="20" customHeight="1">
      <c r="B403" s="72" t="n"/>
      <c r="C403" s="72" t="n"/>
      <c r="D403" s="72" t="n"/>
      <c r="E403" s="72" t="n"/>
      <c r="F403" s="72" t="n"/>
      <c r="G403" s="72" t="n"/>
      <c r="H403" s="72" t="n"/>
      <c r="I403" s="73" t="n"/>
      <c r="J403" s="75">
        <f>IF(B403="","",SUMIFS('Change Orders'!$J$7:$J$1006,'Change Orders'!$E$7:$E$1006,B403,'Change Orders'!$L$7:$L$1006,"Approved"))</f>
        <v/>
      </c>
      <c r="K403" s="76">
        <f>IF(B403="","",I403+J403)</f>
        <v/>
      </c>
      <c r="L403" s="74" t="n"/>
      <c r="M403" s="109" t="n"/>
      <c r="N403" s="109" t="n"/>
      <c r="O403" s="74" t="n"/>
      <c r="P403" s="74" t="n"/>
      <c r="Q403" s="100" t="n"/>
      <c r="R403" s="110" t="n"/>
      <c r="S403" s="75">
        <f>IF(B403="","",SUMIFS('Payments'!$N$6:$N$1005,'Payments'!$B$6:$B$1005,B403))</f>
        <v/>
      </c>
      <c r="T403" s="111">
        <f>IF(OR(B403="",K403=0),"",S403/K403)</f>
        <v/>
      </c>
      <c r="U403" s="78">
        <f>IF(V403="","",IF(V403=2,"⚠️ Paying ahead of work","✓ OK"))</f>
        <v/>
      </c>
      <c r="V403" s="79">
        <f>IF(T403="","",IF(T403-R403&gt;OverpayTol,2,0))</f>
        <v/>
      </c>
      <c r="W403" s="112">
        <f>IF(V403=2,AsOf,"")</f>
        <v/>
      </c>
      <c r="X403" s="79">
        <f>IF(W403="","",1)</f>
        <v/>
      </c>
      <c r="Y403" s="79">
        <f>IF(X403="","","Paying ahead of work: "&amp;B403&amp;" — paid "&amp;ROUND(T403*100,0)&amp;"%, work done "&amp;ROUND(R403*100,0)&amp;"%")</f>
        <v/>
      </c>
      <c r="AA403" s="72" t="n"/>
      <c r="AB403" s="109" t="n"/>
      <c r="AC403" s="113" t="n"/>
      <c r="AD403" s="74" t="n"/>
      <c r="AE403" s="109" t="n"/>
      <c r="AF403" s="74" t="n"/>
      <c r="AG403" s="112">
        <f>IF(AND(AA403&lt;&gt;"",AD403="Yes",AF403&lt;&gt;"Yes",AE403&lt;&gt;""),AE403,"")</f>
        <v/>
      </c>
      <c r="AH403" s="79">
        <f>IF(AG403="","",IF(AG403&lt;AsOf,1,IF(AG403&lt;=AsOf+AlertDays,2,IF(AG403&lt;=AsOf+2*AlertDays,3,""))))</f>
        <v/>
      </c>
      <c r="AI403" s="79">
        <f>IF(AH403="","","Follow up with "&amp;AA403&amp;": "&amp;AC403)</f>
        <v/>
      </c>
    </row>
    <row r="404" ht="20" customHeight="1">
      <c r="B404" s="72" t="n"/>
      <c r="C404" s="72" t="n"/>
      <c r="D404" s="72" t="n"/>
      <c r="E404" s="72" t="n"/>
      <c r="F404" s="72" t="n"/>
      <c r="G404" s="72" t="n"/>
      <c r="H404" s="72" t="n"/>
      <c r="I404" s="73" t="n"/>
      <c r="J404" s="75">
        <f>IF(B404="","",SUMIFS('Change Orders'!$J$7:$J$1006,'Change Orders'!$E$7:$E$1006,B404,'Change Orders'!$L$7:$L$1006,"Approved"))</f>
        <v/>
      </c>
      <c r="K404" s="76">
        <f>IF(B404="","",I404+J404)</f>
        <v/>
      </c>
      <c r="L404" s="74" t="n"/>
      <c r="M404" s="109" t="n"/>
      <c r="N404" s="109" t="n"/>
      <c r="O404" s="74" t="n"/>
      <c r="P404" s="74" t="n"/>
      <c r="Q404" s="100" t="n"/>
      <c r="R404" s="110" t="n"/>
      <c r="S404" s="75">
        <f>IF(B404="","",SUMIFS('Payments'!$N$6:$N$1005,'Payments'!$B$6:$B$1005,B404))</f>
        <v/>
      </c>
      <c r="T404" s="111">
        <f>IF(OR(B404="",K404=0),"",S404/K404)</f>
        <v/>
      </c>
      <c r="U404" s="78">
        <f>IF(V404="","",IF(V404=2,"⚠️ Paying ahead of work","✓ OK"))</f>
        <v/>
      </c>
      <c r="V404" s="79">
        <f>IF(T404="","",IF(T404-R404&gt;OverpayTol,2,0))</f>
        <v/>
      </c>
      <c r="W404" s="112">
        <f>IF(V404=2,AsOf,"")</f>
        <v/>
      </c>
      <c r="X404" s="79">
        <f>IF(W404="","",1)</f>
        <v/>
      </c>
      <c r="Y404" s="79">
        <f>IF(X404="","","Paying ahead of work: "&amp;B404&amp;" — paid "&amp;ROUND(T404*100,0)&amp;"%, work done "&amp;ROUND(R404*100,0)&amp;"%")</f>
        <v/>
      </c>
      <c r="AA404" s="72" t="n"/>
      <c r="AB404" s="109" t="n"/>
      <c r="AC404" s="113" t="n"/>
      <c r="AD404" s="74" t="n"/>
      <c r="AE404" s="109" t="n"/>
      <c r="AF404" s="74" t="n"/>
      <c r="AG404" s="112">
        <f>IF(AND(AA404&lt;&gt;"",AD404="Yes",AF404&lt;&gt;"Yes",AE404&lt;&gt;""),AE404,"")</f>
        <v/>
      </c>
      <c r="AH404" s="79">
        <f>IF(AG404="","",IF(AG404&lt;AsOf,1,IF(AG404&lt;=AsOf+AlertDays,2,IF(AG404&lt;=AsOf+2*AlertDays,3,""))))</f>
        <v/>
      </c>
      <c r="AI404" s="79">
        <f>IF(AH404="","","Follow up with "&amp;AA404&amp;": "&amp;AC404)</f>
        <v/>
      </c>
    </row>
    <row r="405" ht="20" customHeight="1">
      <c r="B405" s="72" t="n"/>
      <c r="C405" s="72" t="n"/>
      <c r="D405" s="72" t="n"/>
      <c r="E405" s="72" t="n"/>
      <c r="F405" s="72" t="n"/>
      <c r="G405" s="72" t="n"/>
      <c r="H405" s="72" t="n"/>
      <c r="I405" s="73" t="n"/>
      <c r="J405" s="75">
        <f>IF(B405="","",SUMIFS('Change Orders'!$J$7:$J$1006,'Change Orders'!$E$7:$E$1006,B405,'Change Orders'!$L$7:$L$1006,"Approved"))</f>
        <v/>
      </c>
      <c r="K405" s="76">
        <f>IF(B405="","",I405+J405)</f>
        <v/>
      </c>
      <c r="L405" s="74" t="n"/>
      <c r="M405" s="109" t="n"/>
      <c r="N405" s="109" t="n"/>
      <c r="O405" s="74" t="n"/>
      <c r="P405" s="74" t="n"/>
      <c r="Q405" s="100" t="n"/>
      <c r="R405" s="110" t="n"/>
      <c r="S405" s="75">
        <f>IF(B405="","",SUMIFS('Payments'!$N$6:$N$1005,'Payments'!$B$6:$B$1005,B405))</f>
        <v/>
      </c>
      <c r="T405" s="111">
        <f>IF(OR(B405="",K405=0),"",S405/K405)</f>
        <v/>
      </c>
      <c r="U405" s="78">
        <f>IF(V405="","",IF(V405=2,"⚠️ Paying ahead of work","✓ OK"))</f>
        <v/>
      </c>
      <c r="V405" s="79">
        <f>IF(T405="","",IF(T405-R405&gt;OverpayTol,2,0))</f>
        <v/>
      </c>
      <c r="W405" s="112">
        <f>IF(V405=2,AsOf,"")</f>
        <v/>
      </c>
      <c r="X405" s="79">
        <f>IF(W405="","",1)</f>
        <v/>
      </c>
      <c r="Y405" s="79">
        <f>IF(X405="","","Paying ahead of work: "&amp;B405&amp;" — paid "&amp;ROUND(T405*100,0)&amp;"%, work done "&amp;ROUND(R405*100,0)&amp;"%")</f>
        <v/>
      </c>
      <c r="AA405" s="72" t="n"/>
      <c r="AB405" s="109" t="n"/>
      <c r="AC405" s="113" t="n"/>
      <c r="AD405" s="74" t="n"/>
      <c r="AE405" s="109" t="n"/>
      <c r="AF405" s="74" t="n"/>
      <c r="AG405" s="112">
        <f>IF(AND(AA405&lt;&gt;"",AD405="Yes",AF405&lt;&gt;"Yes",AE405&lt;&gt;""),AE405,"")</f>
        <v/>
      </c>
      <c r="AH405" s="79">
        <f>IF(AG405="","",IF(AG405&lt;AsOf,1,IF(AG405&lt;=AsOf+AlertDays,2,IF(AG405&lt;=AsOf+2*AlertDays,3,""))))</f>
        <v/>
      </c>
      <c r="AI405" s="79">
        <f>IF(AH405="","","Follow up with "&amp;AA405&amp;": "&amp;AC405)</f>
        <v/>
      </c>
    </row>
    <row r="406" ht="20" customHeight="1">
      <c r="B406" s="72" t="n"/>
      <c r="C406" s="72" t="n"/>
      <c r="D406" s="72" t="n"/>
      <c r="E406" s="72" t="n"/>
      <c r="F406" s="72" t="n"/>
      <c r="G406" s="72" t="n"/>
      <c r="H406" s="72" t="n"/>
      <c r="I406" s="73" t="n"/>
      <c r="J406" s="75">
        <f>IF(B406="","",SUMIFS('Change Orders'!$J$7:$J$1006,'Change Orders'!$E$7:$E$1006,B406,'Change Orders'!$L$7:$L$1006,"Approved"))</f>
        <v/>
      </c>
      <c r="K406" s="76">
        <f>IF(B406="","",I406+J406)</f>
        <v/>
      </c>
      <c r="L406" s="74" t="n"/>
      <c r="M406" s="109" t="n"/>
      <c r="N406" s="109" t="n"/>
      <c r="O406" s="74" t="n"/>
      <c r="P406" s="74" t="n"/>
      <c r="Q406" s="100" t="n"/>
      <c r="R406" s="110" t="n"/>
      <c r="S406" s="75">
        <f>IF(B406="","",SUMIFS('Payments'!$N$6:$N$1005,'Payments'!$B$6:$B$1005,B406))</f>
        <v/>
      </c>
      <c r="T406" s="111">
        <f>IF(OR(B406="",K406=0),"",S406/K406)</f>
        <v/>
      </c>
      <c r="U406" s="78">
        <f>IF(V406="","",IF(V406=2,"⚠️ Paying ahead of work","✓ OK"))</f>
        <v/>
      </c>
      <c r="V406" s="79">
        <f>IF(T406="","",IF(T406-R406&gt;OverpayTol,2,0))</f>
        <v/>
      </c>
      <c r="W406" s="112">
        <f>IF(V406=2,AsOf,"")</f>
        <v/>
      </c>
      <c r="X406" s="79">
        <f>IF(W406="","",1)</f>
        <v/>
      </c>
      <c r="Y406" s="79">
        <f>IF(X406="","","Paying ahead of work: "&amp;B406&amp;" — paid "&amp;ROUND(T406*100,0)&amp;"%, work done "&amp;ROUND(R406*100,0)&amp;"%")</f>
        <v/>
      </c>
      <c r="AA406" s="72" t="n"/>
      <c r="AB406" s="109" t="n"/>
      <c r="AC406" s="113" t="n"/>
      <c r="AD406" s="74" t="n"/>
      <c r="AE406" s="109" t="n"/>
      <c r="AF406" s="74" t="n"/>
      <c r="AG406" s="112">
        <f>IF(AND(AA406&lt;&gt;"",AD406="Yes",AF406&lt;&gt;"Yes",AE406&lt;&gt;""),AE406,"")</f>
        <v/>
      </c>
      <c r="AH406" s="79">
        <f>IF(AG406="","",IF(AG406&lt;AsOf,1,IF(AG406&lt;=AsOf+AlertDays,2,IF(AG406&lt;=AsOf+2*AlertDays,3,""))))</f>
        <v/>
      </c>
      <c r="AI406" s="79">
        <f>IF(AH406="","","Follow up with "&amp;AA406&amp;": "&amp;AC406)</f>
        <v/>
      </c>
    </row>
    <row r="407" ht="20" customHeight="1">
      <c r="B407" s="72" t="n"/>
      <c r="C407" s="72" t="n"/>
      <c r="D407" s="72" t="n"/>
      <c r="E407" s="72" t="n"/>
      <c r="F407" s="72" t="n"/>
      <c r="G407" s="72" t="n"/>
      <c r="H407" s="72" t="n"/>
      <c r="I407" s="73" t="n"/>
      <c r="J407" s="75">
        <f>IF(B407="","",SUMIFS('Change Orders'!$J$7:$J$1006,'Change Orders'!$E$7:$E$1006,B407,'Change Orders'!$L$7:$L$1006,"Approved"))</f>
        <v/>
      </c>
      <c r="K407" s="76">
        <f>IF(B407="","",I407+J407)</f>
        <v/>
      </c>
      <c r="L407" s="74" t="n"/>
      <c r="M407" s="109" t="n"/>
      <c r="N407" s="109" t="n"/>
      <c r="O407" s="74" t="n"/>
      <c r="P407" s="74" t="n"/>
      <c r="Q407" s="100" t="n"/>
      <c r="R407" s="110" t="n"/>
      <c r="S407" s="75">
        <f>IF(B407="","",SUMIFS('Payments'!$N$6:$N$1005,'Payments'!$B$6:$B$1005,B407))</f>
        <v/>
      </c>
      <c r="T407" s="111">
        <f>IF(OR(B407="",K407=0),"",S407/K407)</f>
        <v/>
      </c>
      <c r="U407" s="78">
        <f>IF(V407="","",IF(V407=2,"⚠️ Paying ahead of work","✓ OK"))</f>
        <v/>
      </c>
      <c r="V407" s="79">
        <f>IF(T407="","",IF(T407-R407&gt;OverpayTol,2,0))</f>
        <v/>
      </c>
      <c r="W407" s="112">
        <f>IF(V407=2,AsOf,"")</f>
        <v/>
      </c>
      <c r="X407" s="79">
        <f>IF(W407="","",1)</f>
        <v/>
      </c>
      <c r="Y407" s="79">
        <f>IF(X407="","","Paying ahead of work: "&amp;B407&amp;" — paid "&amp;ROUND(T407*100,0)&amp;"%, work done "&amp;ROUND(R407*100,0)&amp;"%")</f>
        <v/>
      </c>
      <c r="AA407" s="72" t="n"/>
      <c r="AB407" s="109" t="n"/>
      <c r="AC407" s="113" t="n"/>
      <c r="AD407" s="74" t="n"/>
      <c r="AE407" s="109" t="n"/>
      <c r="AF407" s="74" t="n"/>
      <c r="AG407" s="112">
        <f>IF(AND(AA407&lt;&gt;"",AD407="Yes",AF407&lt;&gt;"Yes",AE407&lt;&gt;""),AE407,"")</f>
        <v/>
      </c>
      <c r="AH407" s="79">
        <f>IF(AG407="","",IF(AG407&lt;AsOf,1,IF(AG407&lt;=AsOf+AlertDays,2,IF(AG407&lt;=AsOf+2*AlertDays,3,""))))</f>
        <v/>
      </c>
      <c r="AI407" s="79">
        <f>IF(AH407="","","Follow up with "&amp;AA407&amp;": "&amp;AC407)</f>
        <v/>
      </c>
    </row>
    <row r="408" ht="20" customHeight="1">
      <c r="B408" s="72" t="n"/>
      <c r="C408" s="72" t="n"/>
      <c r="D408" s="72" t="n"/>
      <c r="E408" s="72" t="n"/>
      <c r="F408" s="72" t="n"/>
      <c r="G408" s="72" t="n"/>
      <c r="H408" s="72" t="n"/>
      <c r="I408" s="73" t="n"/>
      <c r="J408" s="75">
        <f>IF(B408="","",SUMIFS('Change Orders'!$J$7:$J$1006,'Change Orders'!$E$7:$E$1006,B408,'Change Orders'!$L$7:$L$1006,"Approved"))</f>
        <v/>
      </c>
      <c r="K408" s="76">
        <f>IF(B408="","",I408+J408)</f>
        <v/>
      </c>
      <c r="L408" s="74" t="n"/>
      <c r="M408" s="109" t="n"/>
      <c r="N408" s="109" t="n"/>
      <c r="O408" s="74" t="n"/>
      <c r="P408" s="74" t="n"/>
      <c r="Q408" s="100" t="n"/>
      <c r="R408" s="110" t="n"/>
      <c r="S408" s="75">
        <f>IF(B408="","",SUMIFS('Payments'!$N$6:$N$1005,'Payments'!$B$6:$B$1005,B408))</f>
        <v/>
      </c>
      <c r="T408" s="111">
        <f>IF(OR(B408="",K408=0),"",S408/K408)</f>
        <v/>
      </c>
      <c r="U408" s="78">
        <f>IF(V408="","",IF(V408=2,"⚠️ Paying ahead of work","✓ OK"))</f>
        <v/>
      </c>
      <c r="V408" s="79">
        <f>IF(T408="","",IF(T408-R408&gt;OverpayTol,2,0))</f>
        <v/>
      </c>
      <c r="W408" s="112">
        <f>IF(V408=2,AsOf,"")</f>
        <v/>
      </c>
      <c r="X408" s="79">
        <f>IF(W408="","",1)</f>
        <v/>
      </c>
      <c r="Y408" s="79">
        <f>IF(X408="","","Paying ahead of work: "&amp;B408&amp;" — paid "&amp;ROUND(T408*100,0)&amp;"%, work done "&amp;ROUND(R408*100,0)&amp;"%")</f>
        <v/>
      </c>
      <c r="AA408" s="72" t="n"/>
      <c r="AB408" s="109" t="n"/>
      <c r="AC408" s="113" t="n"/>
      <c r="AD408" s="74" t="n"/>
      <c r="AE408" s="109" t="n"/>
      <c r="AF408" s="74" t="n"/>
      <c r="AG408" s="112">
        <f>IF(AND(AA408&lt;&gt;"",AD408="Yes",AF408&lt;&gt;"Yes",AE408&lt;&gt;""),AE408,"")</f>
        <v/>
      </c>
      <c r="AH408" s="79">
        <f>IF(AG408="","",IF(AG408&lt;AsOf,1,IF(AG408&lt;=AsOf+AlertDays,2,IF(AG408&lt;=AsOf+2*AlertDays,3,""))))</f>
        <v/>
      </c>
      <c r="AI408" s="79">
        <f>IF(AH408="","","Follow up with "&amp;AA408&amp;": "&amp;AC408)</f>
        <v/>
      </c>
    </row>
    <row r="409" ht="20" customHeight="1">
      <c r="B409" s="72" t="n"/>
      <c r="C409" s="72" t="n"/>
      <c r="D409" s="72" t="n"/>
      <c r="E409" s="72" t="n"/>
      <c r="F409" s="72" t="n"/>
      <c r="G409" s="72" t="n"/>
      <c r="H409" s="72" t="n"/>
      <c r="I409" s="73" t="n"/>
      <c r="J409" s="75">
        <f>IF(B409="","",SUMIFS('Change Orders'!$J$7:$J$1006,'Change Orders'!$E$7:$E$1006,B409,'Change Orders'!$L$7:$L$1006,"Approved"))</f>
        <v/>
      </c>
      <c r="K409" s="76">
        <f>IF(B409="","",I409+J409)</f>
        <v/>
      </c>
      <c r="L409" s="74" t="n"/>
      <c r="M409" s="109" t="n"/>
      <c r="N409" s="109" t="n"/>
      <c r="O409" s="74" t="n"/>
      <c r="P409" s="74" t="n"/>
      <c r="Q409" s="100" t="n"/>
      <c r="R409" s="110" t="n"/>
      <c r="S409" s="75">
        <f>IF(B409="","",SUMIFS('Payments'!$N$6:$N$1005,'Payments'!$B$6:$B$1005,B409))</f>
        <v/>
      </c>
      <c r="T409" s="111">
        <f>IF(OR(B409="",K409=0),"",S409/K409)</f>
        <v/>
      </c>
      <c r="U409" s="78">
        <f>IF(V409="","",IF(V409=2,"⚠️ Paying ahead of work","✓ OK"))</f>
        <v/>
      </c>
      <c r="V409" s="79">
        <f>IF(T409="","",IF(T409-R409&gt;OverpayTol,2,0))</f>
        <v/>
      </c>
      <c r="W409" s="112">
        <f>IF(V409=2,AsOf,"")</f>
        <v/>
      </c>
      <c r="X409" s="79">
        <f>IF(W409="","",1)</f>
        <v/>
      </c>
      <c r="Y409" s="79">
        <f>IF(X409="","","Paying ahead of work: "&amp;B409&amp;" — paid "&amp;ROUND(T409*100,0)&amp;"%, work done "&amp;ROUND(R409*100,0)&amp;"%")</f>
        <v/>
      </c>
      <c r="AA409" s="72" t="n"/>
      <c r="AB409" s="109" t="n"/>
      <c r="AC409" s="113" t="n"/>
      <c r="AD409" s="74" t="n"/>
      <c r="AE409" s="109" t="n"/>
      <c r="AF409" s="74" t="n"/>
      <c r="AG409" s="112">
        <f>IF(AND(AA409&lt;&gt;"",AD409="Yes",AF409&lt;&gt;"Yes",AE409&lt;&gt;""),AE409,"")</f>
        <v/>
      </c>
      <c r="AH409" s="79">
        <f>IF(AG409="","",IF(AG409&lt;AsOf,1,IF(AG409&lt;=AsOf+AlertDays,2,IF(AG409&lt;=AsOf+2*AlertDays,3,""))))</f>
        <v/>
      </c>
      <c r="AI409" s="79">
        <f>IF(AH409="","","Follow up with "&amp;AA409&amp;": "&amp;AC409)</f>
        <v/>
      </c>
    </row>
    <row r="410" ht="20" customHeight="1">
      <c r="B410" s="72" t="n"/>
      <c r="C410" s="72" t="n"/>
      <c r="D410" s="72" t="n"/>
      <c r="E410" s="72" t="n"/>
      <c r="F410" s="72" t="n"/>
      <c r="G410" s="72" t="n"/>
      <c r="H410" s="72" t="n"/>
      <c r="I410" s="73" t="n"/>
      <c r="J410" s="75">
        <f>IF(B410="","",SUMIFS('Change Orders'!$J$7:$J$1006,'Change Orders'!$E$7:$E$1006,B410,'Change Orders'!$L$7:$L$1006,"Approved"))</f>
        <v/>
      </c>
      <c r="K410" s="76">
        <f>IF(B410="","",I410+J410)</f>
        <v/>
      </c>
      <c r="L410" s="74" t="n"/>
      <c r="M410" s="109" t="n"/>
      <c r="N410" s="109" t="n"/>
      <c r="O410" s="74" t="n"/>
      <c r="P410" s="74" t="n"/>
      <c r="Q410" s="100" t="n"/>
      <c r="R410" s="110" t="n"/>
      <c r="S410" s="75">
        <f>IF(B410="","",SUMIFS('Payments'!$N$6:$N$1005,'Payments'!$B$6:$B$1005,B410))</f>
        <v/>
      </c>
      <c r="T410" s="111">
        <f>IF(OR(B410="",K410=0),"",S410/K410)</f>
        <v/>
      </c>
      <c r="U410" s="78">
        <f>IF(V410="","",IF(V410=2,"⚠️ Paying ahead of work","✓ OK"))</f>
        <v/>
      </c>
      <c r="V410" s="79">
        <f>IF(T410="","",IF(T410-R410&gt;OverpayTol,2,0))</f>
        <v/>
      </c>
      <c r="W410" s="112">
        <f>IF(V410=2,AsOf,"")</f>
        <v/>
      </c>
      <c r="X410" s="79">
        <f>IF(W410="","",1)</f>
        <v/>
      </c>
      <c r="Y410" s="79">
        <f>IF(X410="","","Paying ahead of work: "&amp;B410&amp;" — paid "&amp;ROUND(T410*100,0)&amp;"%, work done "&amp;ROUND(R410*100,0)&amp;"%")</f>
        <v/>
      </c>
      <c r="AA410" s="72" t="n"/>
      <c r="AB410" s="109" t="n"/>
      <c r="AC410" s="113" t="n"/>
      <c r="AD410" s="74" t="n"/>
      <c r="AE410" s="109" t="n"/>
      <c r="AF410" s="74" t="n"/>
      <c r="AG410" s="112">
        <f>IF(AND(AA410&lt;&gt;"",AD410="Yes",AF410&lt;&gt;"Yes",AE410&lt;&gt;""),AE410,"")</f>
        <v/>
      </c>
      <c r="AH410" s="79">
        <f>IF(AG410="","",IF(AG410&lt;AsOf,1,IF(AG410&lt;=AsOf+AlertDays,2,IF(AG410&lt;=AsOf+2*AlertDays,3,""))))</f>
        <v/>
      </c>
      <c r="AI410" s="79">
        <f>IF(AH410="","","Follow up with "&amp;AA410&amp;": "&amp;AC410)</f>
        <v/>
      </c>
    </row>
    <row r="411" ht="20" customHeight="1">
      <c r="B411" s="72" t="n"/>
      <c r="C411" s="72" t="n"/>
      <c r="D411" s="72" t="n"/>
      <c r="E411" s="72" t="n"/>
      <c r="F411" s="72" t="n"/>
      <c r="G411" s="72" t="n"/>
      <c r="H411" s="72" t="n"/>
      <c r="I411" s="73" t="n"/>
      <c r="J411" s="75">
        <f>IF(B411="","",SUMIFS('Change Orders'!$J$7:$J$1006,'Change Orders'!$E$7:$E$1006,B411,'Change Orders'!$L$7:$L$1006,"Approved"))</f>
        <v/>
      </c>
      <c r="K411" s="76">
        <f>IF(B411="","",I411+J411)</f>
        <v/>
      </c>
      <c r="L411" s="74" t="n"/>
      <c r="M411" s="109" t="n"/>
      <c r="N411" s="109" t="n"/>
      <c r="O411" s="74" t="n"/>
      <c r="P411" s="74" t="n"/>
      <c r="Q411" s="100" t="n"/>
      <c r="R411" s="110" t="n"/>
      <c r="S411" s="75">
        <f>IF(B411="","",SUMIFS('Payments'!$N$6:$N$1005,'Payments'!$B$6:$B$1005,B411))</f>
        <v/>
      </c>
      <c r="T411" s="111">
        <f>IF(OR(B411="",K411=0),"",S411/K411)</f>
        <v/>
      </c>
      <c r="U411" s="78">
        <f>IF(V411="","",IF(V411=2,"⚠️ Paying ahead of work","✓ OK"))</f>
        <v/>
      </c>
      <c r="V411" s="79">
        <f>IF(T411="","",IF(T411-R411&gt;OverpayTol,2,0))</f>
        <v/>
      </c>
      <c r="W411" s="112">
        <f>IF(V411=2,AsOf,"")</f>
        <v/>
      </c>
      <c r="X411" s="79">
        <f>IF(W411="","",1)</f>
        <v/>
      </c>
      <c r="Y411" s="79">
        <f>IF(X411="","","Paying ahead of work: "&amp;B411&amp;" — paid "&amp;ROUND(T411*100,0)&amp;"%, work done "&amp;ROUND(R411*100,0)&amp;"%")</f>
        <v/>
      </c>
      <c r="AA411" s="72" t="n"/>
      <c r="AB411" s="109" t="n"/>
      <c r="AC411" s="113" t="n"/>
      <c r="AD411" s="74" t="n"/>
      <c r="AE411" s="109" t="n"/>
      <c r="AF411" s="74" t="n"/>
      <c r="AG411" s="112">
        <f>IF(AND(AA411&lt;&gt;"",AD411="Yes",AF411&lt;&gt;"Yes",AE411&lt;&gt;""),AE411,"")</f>
        <v/>
      </c>
      <c r="AH411" s="79">
        <f>IF(AG411="","",IF(AG411&lt;AsOf,1,IF(AG411&lt;=AsOf+AlertDays,2,IF(AG411&lt;=AsOf+2*AlertDays,3,""))))</f>
        <v/>
      </c>
      <c r="AI411" s="79">
        <f>IF(AH411="","","Follow up with "&amp;AA411&amp;": "&amp;AC411)</f>
        <v/>
      </c>
    </row>
    <row r="412" ht="20" customHeight="1">
      <c r="B412" s="72" t="n"/>
      <c r="C412" s="72" t="n"/>
      <c r="D412" s="72" t="n"/>
      <c r="E412" s="72" t="n"/>
      <c r="F412" s="72" t="n"/>
      <c r="G412" s="72" t="n"/>
      <c r="H412" s="72" t="n"/>
      <c r="I412" s="73" t="n"/>
      <c r="J412" s="75">
        <f>IF(B412="","",SUMIFS('Change Orders'!$J$7:$J$1006,'Change Orders'!$E$7:$E$1006,B412,'Change Orders'!$L$7:$L$1006,"Approved"))</f>
        <v/>
      </c>
      <c r="K412" s="76">
        <f>IF(B412="","",I412+J412)</f>
        <v/>
      </c>
      <c r="L412" s="74" t="n"/>
      <c r="M412" s="109" t="n"/>
      <c r="N412" s="109" t="n"/>
      <c r="O412" s="74" t="n"/>
      <c r="P412" s="74" t="n"/>
      <c r="Q412" s="100" t="n"/>
      <c r="R412" s="110" t="n"/>
      <c r="S412" s="75">
        <f>IF(B412="","",SUMIFS('Payments'!$N$6:$N$1005,'Payments'!$B$6:$B$1005,B412))</f>
        <v/>
      </c>
      <c r="T412" s="111">
        <f>IF(OR(B412="",K412=0),"",S412/K412)</f>
        <v/>
      </c>
      <c r="U412" s="78">
        <f>IF(V412="","",IF(V412=2,"⚠️ Paying ahead of work","✓ OK"))</f>
        <v/>
      </c>
      <c r="V412" s="79">
        <f>IF(T412="","",IF(T412-R412&gt;OverpayTol,2,0))</f>
        <v/>
      </c>
      <c r="W412" s="112">
        <f>IF(V412=2,AsOf,"")</f>
        <v/>
      </c>
      <c r="X412" s="79">
        <f>IF(W412="","",1)</f>
        <v/>
      </c>
      <c r="Y412" s="79">
        <f>IF(X412="","","Paying ahead of work: "&amp;B412&amp;" — paid "&amp;ROUND(T412*100,0)&amp;"%, work done "&amp;ROUND(R412*100,0)&amp;"%")</f>
        <v/>
      </c>
      <c r="AA412" s="72" t="n"/>
      <c r="AB412" s="109" t="n"/>
      <c r="AC412" s="113" t="n"/>
      <c r="AD412" s="74" t="n"/>
      <c r="AE412" s="109" t="n"/>
      <c r="AF412" s="74" t="n"/>
      <c r="AG412" s="112">
        <f>IF(AND(AA412&lt;&gt;"",AD412="Yes",AF412&lt;&gt;"Yes",AE412&lt;&gt;""),AE412,"")</f>
        <v/>
      </c>
      <c r="AH412" s="79">
        <f>IF(AG412="","",IF(AG412&lt;AsOf,1,IF(AG412&lt;=AsOf+AlertDays,2,IF(AG412&lt;=AsOf+2*AlertDays,3,""))))</f>
        <v/>
      </c>
      <c r="AI412" s="79">
        <f>IF(AH412="","","Follow up with "&amp;AA412&amp;": "&amp;AC412)</f>
        <v/>
      </c>
    </row>
    <row r="413" ht="20" customHeight="1">
      <c r="B413" s="72" t="n"/>
      <c r="C413" s="72" t="n"/>
      <c r="D413" s="72" t="n"/>
      <c r="E413" s="72" t="n"/>
      <c r="F413" s="72" t="n"/>
      <c r="G413" s="72" t="n"/>
      <c r="H413" s="72" t="n"/>
      <c r="I413" s="73" t="n"/>
      <c r="J413" s="75">
        <f>IF(B413="","",SUMIFS('Change Orders'!$J$7:$J$1006,'Change Orders'!$E$7:$E$1006,B413,'Change Orders'!$L$7:$L$1006,"Approved"))</f>
        <v/>
      </c>
      <c r="K413" s="76">
        <f>IF(B413="","",I413+J413)</f>
        <v/>
      </c>
      <c r="L413" s="74" t="n"/>
      <c r="M413" s="109" t="n"/>
      <c r="N413" s="109" t="n"/>
      <c r="O413" s="74" t="n"/>
      <c r="P413" s="74" t="n"/>
      <c r="Q413" s="100" t="n"/>
      <c r="R413" s="110" t="n"/>
      <c r="S413" s="75">
        <f>IF(B413="","",SUMIFS('Payments'!$N$6:$N$1005,'Payments'!$B$6:$B$1005,B413))</f>
        <v/>
      </c>
      <c r="T413" s="111">
        <f>IF(OR(B413="",K413=0),"",S413/K413)</f>
        <v/>
      </c>
      <c r="U413" s="78">
        <f>IF(V413="","",IF(V413=2,"⚠️ Paying ahead of work","✓ OK"))</f>
        <v/>
      </c>
      <c r="V413" s="79">
        <f>IF(T413="","",IF(T413-R413&gt;OverpayTol,2,0))</f>
        <v/>
      </c>
      <c r="W413" s="112">
        <f>IF(V413=2,AsOf,"")</f>
        <v/>
      </c>
      <c r="X413" s="79">
        <f>IF(W413="","",1)</f>
        <v/>
      </c>
      <c r="Y413" s="79">
        <f>IF(X413="","","Paying ahead of work: "&amp;B413&amp;" — paid "&amp;ROUND(T413*100,0)&amp;"%, work done "&amp;ROUND(R413*100,0)&amp;"%")</f>
        <v/>
      </c>
      <c r="AA413" s="72" t="n"/>
      <c r="AB413" s="109" t="n"/>
      <c r="AC413" s="113" t="n"/>
      <c r="AD413" s="74" t="n"/>
      <c r="AE413" s="109" t="n"/>
      <c r="AF413" s="74" t="n"/>
      <c r="AG413" s="112">
        <f>IF(AND(AA413&lt;&gt;"",AD413="Yes",AF413&lt;&gt;"Yes",AE413&lt;&gt;""),AE413,"")</f>
        <v/>
      </c>
      <c r="AH413" s="79">
        <f>IF(AG413="","",IF(AG413&lt;AsOf,1,IF(AG413&lt;=AsOf+AlertDays,2,IF(AG413&lt;=AsOf+2*AlertDays,3,""))))</f>
        <v/>
      </c>
      <c r="AI413" s="79">
        <f>IF(AH413="","","Follow up with "&amp;AA413&amp;": "&amp;AC413)</f>
        <v/>
      </c>
    </row>
    <row r="414" ht="20" customHeight="1">
      <c r="B414" s="72" t="n"/>
      <c r="C414" s="72" t="n"/>
      <c r="D414" s="72" t="n"/>
      <c r="E414" s="72" t="n"/>
      <c r="F414" s="72" t="n"/>
      <c r="G414" s="72" t="n"/>
      <c r="H414" s="72" t="n"/>
      <c r="I414" s="73" t="n"/>
      <c r="J414" s="75">
        <f>IF(B414="","",SUMIFS('Change Orders'!$J$7:$J$1006,'Change Orders'!$E$7:$E$1006,B414,'Change Orders'!$L$7:$L$1006,"Approved"))</f>
        <v/>
      </c>
      <c r="K414" s="76">
        <f>IF(B414="","",I414+J414)</f>
        <v/>
      </c>
      <c r="L414" s="74" t="n"/>
      <c r="M414" s="109" t="n"/>
      <c r="N414" s="109" t="n"/>
      <c r="O414" s="74" t="n"/>
      <c r="P414" s="74" t="n"/>
      <c r="Q414" s="100" t="n"/>
      <c r="R414" s="110" t="n"/>
      <c r="S414" s="75">
        <f>IF(B414="","",SUMIFS('Payments'!$N$6:$N$1005,'Payments'!$B$6:$B$1005,B414))</f>
        <v/>
      </c>
      <c r="T414" s="111">
        <f>IF(OR(B414="",K414=0),"",S414/K414)</f>
        <v/>
      </c>
      <c r="U414" s="78">
        <f>IF(V414="","",IF(V414=2,"⚠️ Paying ahead of work","✓ OK"))</f>
        <v/>
      </c>
      <c r="V414" s="79">
        <f>IF(T414="","",IF(T414-R414&gt;OverpayTol,2,0))</f>
        <v/>
      </c>
      <c r="W414" s="112">
        <f>IF(V414=2,AsOf,"")</f>
        <v/>
      </c>
      <c r="X414" s="79">
        <f>IF(W414="","",1)</f>
        <v/>
      </c>
      <c r="Y414" s="79">
        <f>IF(X414="","","Paying ahead of work: "&amp;B414&amp;" — paid "&amp;ROUND(T414*100,0)&amp;"%, work done "&amp;ROUND(R414*100,0)&amp;"%")</f>
        <v/>
      </c>
      <c r="AA414" s="72" t="n"/>
      <c r="AB414" s="109" t="n"/>
      <c r="AC414" s="113" t="n"/>
      <c r="AD414" s="74" t="n"/>
      <c r="AE414" s="109" t="n"/>
      <c r="AF414" s="74" t="n"/>
      <c r="AG414" s="112">
        <f>IF(AND(AA414&lt;&gt;"",AD414="Yes",AF414&lt;&gt;"Yes",AE414&lt;&gt;""),AE414,"")</f>
        <v/>
      </c>
      <c r="AH414" s="79">
        <f>IF(AG414="","",IF(AG414&lt;AsOf,1,IF(AG414&lt;=AsOf+AlertDays,2,IF(AG414&lt;=AsOf+2*AlertDays,3,""))))</f>
        <v/>
      </c>
      <c r="AI414" s="79">
        <f>IF(AH414="","","Follow up with "&amp;AA414&amp;": "&amp;AC414)</f>
        <v/>
      </c>
    </row>
    <row r="415" ht="20" customHeight="1">
      <c r="B415" s="72" t="n"/>
      <c r="C415" s="72" t="n"/>
      <c r="D415" s="72" t="n"/>
      <c r="E415" s="72" t="n"/>
      <c r="F415" s="72" t="n"/>
      <c r="G415" s="72" t="n"/>
      <c r="H415" s="72" t="n"/>
      <c r="I415" s="73" t="n"/>
      <c r="J415" s="75">
        <f>IF(B415="","",SUMIFS('Change Orders'!$J$7:$J$1006,'Change Orders'!$E$7:$E$1006,B415,'Change Orders'!$L$7:$L$1006,"Approved"))</f>
        <v/>
      </c>
      <c r="K415" s="76">
        <f>IF(B415="","",I415+J415)</f>
        <v/>
      </c>
      <c r="L415" s="74" t="n"/>
      <c r="M415" s="109" t="n"/>
      <c r="N415" s="109" t="n"/>
      <c r="O415" s="74" t="n"/>
      <c r="P415" s="74" t="n"/>
      <c r="Q415" s="100" t="n"/>
      <c r="R415" s="110" t="n"/>
      <c r="S415" s="75">
        <f>IF(B415="","",SUMIFS('Payments'!$N$6:$N$1005,'Payments'!$B$6:$B$1005,B415))</f>
        <v/>
      </c>
      <c r="T415" s="111">
        <f>IF(OR(B415="",K415=0),"",S415/K415)</f>
        <v/>
      </c>
      <c r="U415" s="78">
        <f>IF(V415="","",IF(V415=2,"⚠️ Paying ahead of work","✓ OK"))</f>
        <v/>
      </c>
      <c r="V415" s="79">
        <f>IF(T415="","",IF(T415-R415&gt;OverpayTol,2,0))</f>
        <v/>
      </c>
      <c r="W415" s="112">
        <f>IF(V415=2,AsOf,"")</f>
        <v/>
      </c>
      <c r="X415" s="79">
        <f>IF(W415="","",1)</f>
        <v/>
      </c>
      <c r="Y415" s="79">
        <f>IF(X415="","","Paying ahead of work: "&amp;B415&amp;" — paid "&amp;ROUND(T415*100,0)&amp;"%, work done "&amp;ROUND(R415*100,0)&amp;"%")</f>
        <v/>
      </c>
      <c r="AA415" s="72" t="n"/>
      <c r="AB415" s="109" t="n"/>
      <c r="AC415" s="113" t="n"/>
      <c r="AD415" s="74" t="n"/>
      <c r="AE415" s="109" t="n"/>
      <c r="AF415" s="74" t="n"/>
      <c r="AG415" s="112">
        <f>IF(AND(AA415&lt;&gt;"",AD415="Yes",AF415&lt;&gt;"Yes",AE415&lt;&gt;""),AE415,"")</f>
        <v/>
      </c>
      <c r="AH415" s="79">
        <f>IF(AG415="","",IF(AG415&lt;AsOf,1,IF(AG415&lt;=AsOf+AlertDays,2,IF(AG415&lt;=AsOf+2*AlertDays,3,""))))</f>
        <v/>
      </c>
      <c r="AI415" s="79">
        <f>IF(AH415="","","Follow up with "&amp;AA415&amp;": "&amp;AC415)</f>
        <v/>
      </c>
    </row>
    <row r="416" ht="20" customHeight="1">
      <c r="B416" s="72" t="n"/>
      <c r="C416" s="72" t="n"/>
      <c r="D416" s="72" t="n"/>
      <c r="E416" s="72" t="n"/>
      <c r="F416" s="72" t="n"/>
      <c r="G416" s="72" t="n"/>
      <c r="H416" s="72" t="n"/>
      <c r="I416" s="73" t="n"/>
      <c r="J416" s="75">
        <f>IF(B416="","",SUMIFS('Change Orders'!$J$7:$J$1006,'Change Orders'!$E$7:$E$1006,B416,'Change Orders'!$L$7:$L$1006,"Approved"))</f>
        <v/>
      </c>
      <c r="K416" s="76">
        <f>IF(B416="","",I416+J416)</f>
        <v/>
      </c>
      <c r="L416" s="74" t="n"/>
      <c r="M416" s="109" t="n"/>
      <c r="N416" s="109" t="n"/>
      <c r="O416" s="74" t="n"/>
      <c r="P416" s="74" t="n"/>
      <c r="Q416" s="100" t="n"/>
      <c r="R416" s="110" t="n"/>
      <c r="S416" s="75">
        <f>IF(B416="","",SUMIFS('Payments'!$N$6:$N$1005,'Payments'!$B$6:$B$1005,B416))</f>
        <v/>
      </c>
      <c r="T416" s="111">
        <f>IF(OR(B416="",K416=0),"",S416/K416)</f>
        <v/>
      </c>
      <c r="U416" s="78">
        <f>IF(V416="","",IF(V416=2,"⚠️ Paying ahead of work","✓ OK"))</f>
        <v/>
      </c>
      <c r="V416" s="79">
        <f>IF(T416="","",IF(T416-R416&gt;OverpayTol,2,0))</f>
        <v/>
      </c>
      <c r="W416" s="112">
        <f>IF(V416=2,AsOf,"")</f>
        <v/>
      </c>
      <c r="X416" s="79">
        <f>IF(W416="","",1)</f>
        <v/>
      </c>
      <c r="Y416" s="79">
        <f>IF(X416="","","Paying ahead of work: "&amp;B416&amp;" — paid "&amp;ROUND(T416*100,0)&amp;"%, work done "&amp;ROUND(R416*100,0)&amp;"%")</f>
        <v/>
      </c>
      <c r="AA416" s="72" t="n"/>
      <c r="AB416" s="109" t="n"/>
      <c r="AC416" s="113" t="n"/>
      <c r="AD416" s="74" t="n"/>
      <c r="AE416" s="109" t="n"/>
      <c r="AF416" s="74" t="n"/>
      <c r="AG416" s="112">
        <f>IF(AND(AA416&lt;&gt;"",AD416="Yes",AF416&lt;&gt;"Yes",AE416&lt;&gt;""),AE416,"")</f>
        <v/>
      </c>
      <c r="AH416" s="79">
        <f>IF(AG416="","",IF(AG416&lt;AsOf,1,IF(AG416&lt;=AsOf+AlertDays,2,IF(AG416&lt;=AsOf+2*AlertDays,3,""))))</f>
        <v/>
      </c>
      <c r="AI416" s="79">
        <f>IF(AH416="","","Follow up with "&amp;AA416&amp;": "&amp;AC416)</f>
        <v/>
      </c>
    </row>
    <row r="417" ht="20" customHeight="1">
      <c r="B417" s="72" t="n"/>
      <c r="C417" s="72" t="n"/>
      <c r="D417" s="72" t="n"/>
      <c r="E417" s="72" t="n"/>
      <c r="F417" s="72" t="n"/>
      <c r="G417" s="72" t="n"/>
      <c r="H417" s="72" t="n"/>
      <c r="I417" s="73" t="n"/>
      <c r="J417" s="75">
        <f>IF(B417="","",SUMIFS('Change Orders'!$J$7:$J$1006,'Change Orders'!$E$7:$E$1006,B417,'Change Orders'!$L$7:$L$1006,"Approved"))</f>
        <v/>
      </c>
      <c r="K417" s="76">
        <f>IF(B417="","",I417+J417)</f>
        <v/>
      </c>
      <c r="L417" s="74" t="n"/>
      <c r="M417" s="109" t="n"/>
      <c r="N417" s="109" t="n"/>
      <c r="O417" s="74" t="n"/>
      <c r="P417" s="74" t="n"/>
      <c r="Q417" s="100" t="n"/>
      <c r="R417" s="110" t="n"/>
      <c r="S417" s="75">
        <f>IF(B417="","",SUMIFS('Payments'!$N$6:$N$1005,'Payments'!$B$6:$B$1005,B417))</f>
        <v/>
      </c>
      <c r="T417" s="111">
        <f>IF(OR(B417="",K417=0),"",S417/K417)</f>
        <v/>
      </c>
      <c r="U417" s="78">
        <f>IF(V417="","",IF(V417=2,"⚠️ Paying ahead of work","✓ OK"))</f>
        <v/>
      </c>
      <c r="V417" s="79">
        <f>IF(T417="","",IF(T417-R417&gt;OverpayTol,2,0))</f>
        <v/>
      </c>
      <c r="W417" s="112">
        <f>IF(V417=2,AsOf,"")</f>
        <v/>
      </c>
      <c r="X417" s="79">
        <f>IF(W417="","",1)</f>
        <v/>
      </c>
      <c r="Y417" s="79">
        <f>IF(X417="","","Paying ahead of work: "&amp;B417&amp;" — paid "&amp;ROUND(T417*100,0)&amp;"%, work done "&amp;ROUND(R417*100,0)&amp;"%")</f>
        <v/>
      </c>
      <c r="AA417" s="72" t="n"/>
      <c r="AB417" s="109" t="n"/>
      <c r="AC417" s="113" t="n"/>
      <c r="AD417" s="74" t="n"/>
      <c r="AE417" s="109" t="n"/>
      <c r="AF417" s="74" t="n"/>
      <c r="AG417" s="112">
        <f>IF(AND(AA417&lt;&gt;"",AD417="Yes",AF417&lt;&gt;"Yes",AE417&lt;&gt;""),AE417,"")</f>
        <v/>
      </c>
      <c r="AH417" s="79">
        <f>IF(AG417="","",IF(AG417&lt;AsOf,1,IF(AG417&lt;=AsOf+AlertDays,2,IF(AG417&lt;=AsOf+2*AlertDays,3,""))))</f>
        <v/>
      </c>
      <c r="AI417" s="79">
        <f>IF(AH417="","","Follow up with "&amp;AA417&amp;": "&amp;AC417)</f>
        <v/>
      </c>
    </row>
    <row r="418" ht="20" customHeight="1">
      <c r="B418" s="72" t="n"/>
      <c r="C418" s="72" t="n"/>
      <c r="D418" s="72" t="n"/>
      <c r="E418" s="72" t="n"/>
      <c r="F418" s="72" t="n"/>
      <c r="G418" s="72" t="n"/>
      <c r="H418" s="72" t="n"/>
      <c r="I418" s="73" t="n"/>
      <c r="J418" s="75">
        <f>IF(B418="","",SUMIFS('Change Orders'!$J$7:$J$1006,'Change Orders'!$E$7:$E$1006,B418,'Change Orders'!$L$7:$L$1006,"Approved"))</f>
        <v/>
      </c>
      <c r="K418" s="76">
        <f>IF(B418="","",I418+J418)</f>
        <v/>
      </c>
      <c r="L418" s="74" t="n"/>
      <c r="M418" s="109" t="n"/>
      <c r="N418" s="109" t="n"/>
      <c r="O418" s="74" t="n"/>
      <c r="P418" s="74" t="n"/>
      <c r="Q418" s="100" t="n"/>
      <c r="R418" s="110" t="n"/>
      <c r="S418" s="75">
        <f>IF(B418="","",SUMIFS('Payments'!$N$6:$N$1005,'Payments'!$B$6:$B$1005,B418))</f>
        <v/>
      </c>
      <c r="T418" s="111">
        <f>IF(OR(B418="",K418=0),"",S418/K418)</f>
        <v/>
      </c>
      <c r="U418" s="78">
        <f>IF(V418="","",IF(V418=2,"⚠️ Paying ahead of work","✓ OK"))</f>
        <v/>
      </c>
      <c r="V418" s="79">
        <f>IF(T418="","",IF(T418-R418&gt;OverpayTol,2,0))</f>
        <v/>
      </c>
      <c r="W418" s="112">
        <f>IF(V418=2,AsOf,"")</f>
        <v/>
      </c>
      <c r="X418" s="79">
        <f>IF(W418="","",1)</f>
        <v/>
      </c>
      <c r="Y418" s="79">
        <f>IF(X418="","","Paying ahead of work: "&amp;B418&amp;" — paid "&amp;ROUND(T418*100,0)&amp;"%, work done "&amp;ROUND(R418*100,0)&amp;"%")</f>
        <v/>
      </c>
      <c r="AA418" s="72" t="n"/>
      <c r="AB418" s="109" t="n"/>
      <c r="AC418" s="113" t="n"/>
      <c r="AD418" s="74" t="n"/>
      <c r="AE418" s="109" t="n"/>
      <c r="AF418" s="74" t="n"/>
      <c r="AG418" s="112">
        <f>IF(AND(AA418&lt;&gt;"",AD418="Yes",AF418&lt;&gt;"Yes",AE418&lt;&gt;""),AE418,"")</f>
        <v/>
      </c>
      <c r="AH418" s="79">
        <f>IF(AG418="","",IF(AG418&lt;AsOf,1,IF(AG418&lt;=AsOf+AlertDays,2,IF(AG418&lt;=AsOf+2*AlertDays,3,""))))</f>
        <v/>
      </c>
      <c r="AI418" s="79">
        <f>IF(AH418="","","Follow up with "&amp;AA418&amp;": "&amp;AC418)</f>
        <v/>
      </c>
    </row>
    <row r="419" ht="20" customHeight="1">
      <c r="B419" s="72" t="n"/>
      <c r="C419" s="72" t="n"/>
      <c r="D419" s="72" t="n"/>
      <c r="E419" s="72" t="n"/>
      <c r="F419" s="72" t="n"/>
      <c r="G419" s="72" t="n"/>
      <c r="H419" s="72" t="n"/>
      <c r="I419" s="73" t="n"/>
      <c r="J419" s="75">
        <f>IF(B419="","",SUMIFS('Change Orders'!$J$7:$J$1006,'Change Orders'!$E$7:$E$1006,B419,'Change Orders'!$L$7:$L$1006,"Approved"))</f>
        <v/>
      </c>
      <c r="K419" s="76">
        <f>IF(B419="","",I419+J419)</f>
        <v/>
      </c>
      <c r="L419" s="74" t="n"/>
      <c r="M419" s="109" t="n"/>
      <c r="N419" s="109" t="n"/>
      <c r="O419" s="74" t="n"/>
      <c r="P419" s="74" t="n"/>
      <c r="Q419" s="100" t="n"/>
      <c r="R419" s="110" t="n"/>
      <c r="S419" s="75">
        <f>IF(B419="","",SUMIFS('Payments'!$N$6:$N$1005,'Payments'!$B$6:$B$1005,B419))</f>
        <v/>
      </c>
      <c r="T419" s="111">
        <f>IF(OR(B419="",K419=0),"",S419/K419)</f>
        <v/>
      </c>
      <c r="U419" s="78">
        <f>IF(V419="","",IF(V419=2,"⚠️ Paying ahead of work","✓ OK"))</f>
        <v/>
      </c>
      <c r="V419" s="79">
        <f>IF(T419="","",IF(T419-R419&gt;OverpayTol,2,0))</f>
        <v/>
      </c>
      <c r="W419" s="112">
        <f>IF(V419=2,AsOf,"")</f>
        <v/>
      </c>
      <c r="X419" s="79">
        <f>IF(W419="","",1)</f>
        <v/>
      </c>
      <c r="Y419" s="79">
        <f>IF(X419="","","Paying ahead of work: "&amp;B419&amp;" — paid "&amp;ROUND(T419*100,0)&amp;"%, work done "&amp;ROUND(R419*100,0)&amp;"%")</f>
        <v/>
      </c>
      <c r="AA419" s="72" t="n"/>
      <c r="AB419" s="109" t="n"/>
      <c r="AC419" s="113" t="n"/>
      <c r="AD419" s="74" t="n"/>
      <c r="AE419" s="109" t="n"/>
      <c r="AF419" s="74" t="n"/>
      <c r="AG419" s="112">
        <f>IF(AND(AA419&lt;&gt;"",AD419="Yes",AF419&lt;&gt;"Yes",AE419&lt;&gt;""),AE419,"")</f>
        <v/>
      </c>
      <c r="AH419" s="79">
        <f>IF(AG419="","",IF(AG419&lt;AsOf,1,IF(AG419&lt;=AsOf+AlertDays,2,IF(AG419&lt;=AsOf+2*AlertDays,3,""))))</f>
        <v/>
      </c>
      <c r="AI419" s="79">
        <f>IF(AH419="","","Follow up with "&amp;AA419&amp;": "&amp;AC419)</f>
        <v/>
      </c>
    </row>
    <row r="420" ht="20" customHeight="1">
      <c r="B420" s="72" t="n"/>
      <c r="C420" s="72" t="n"/>
      <c r="D420" s="72" t="n"/>
      <c r="E420" s="72" t="n"/>
      <c r="F420" s="72" t="n"/>
      <c r="G420" s="72" t="n"/>
      <c r="H420" s="72" t="n"/>
      <c r="I420" s="73" t="n"/>
      <c r="J420" s="75">
        <f>IF(B420="","",SUMIFS('Change Orders'!$J$7:$J$1006,'Change Orders'!$E$7:$E$1006,B420,'Change Orders'!$L$7:$L$1006,"Approved"))</f>
        <v/>
      </c>
      <c r="K420" s="76">
        <f>IF(B420="","",I420+J420)</f>
        <v/>
      </c>
      <c r="L420" s="74" t="n"/>
      <c r="M420" s="109" t="n"/>
      <c r="N420" s="109" t="n"/>
      <c r="O420" s="74" t="n"/>
      <c r="P420" s="74" t="n"/>
      <c r="Q420" s="100" t="n"/>
      <c r="R420" s="110" t="n"/>
      <c r="S420" s="75">
        <f>IF(B420="","",SUMIFS('Payments'!$N$6:$N$1005,'Payments'!$B$6:$B$1005,B420))</f>
        <v/>
      </c>
      <c r="T420" s="111">
        <f>IF(OR(B420="",K420=0),"",S420/K420)</f>
        <v/>
      </c>
      <c r="U420" s="78">
        <f>IF(V420="","",IF(V420=2,"⚠️ Paying ahead of work","✓ OK"))</f>
        <v/>
      </c>
      <c r="V420" s="79">
        <f>IF(T420="","",IF(T420-R420&gt;OverpayTol,2,0))</f>
        <v/>
      </c>
      <c r="W420" s="112">
        <f>IF(V420=2,AsOf,"")</f>
        <v/>
      </c>
      <c r="X420" s="79">
        <f>IF(W420="","",1)</f>
        <v/>
      </c>
      <c r="Y420" s="79">
        <f>IF(X420="","","Paying ahead of work: "&amp;B420&amp;" — paid "&amp;ROUND(T420*100,0)&amp;"%, work done "&amp;ROUND(R420*100,0)&amp;"%")</f>
        <v/>
      </c>
      <c r="AA420" s="72" t="n"/>
      <c r="AB420" s="109" t="n"/>
      <c r="AC420" s="113" t="n"/>
      <c r="AD420" s="74" t="n"/>
      <c r="AE420" s="109" t="n"/>
      <c r="AF420" s="74" t="n"/>
      <c r="AG420" s="112">
        <f>IF(AND(AA420&lt;&gt;"",AD420="Yes",AF420&lt;&gt;"Yes",AE420&lt;&gt;""),AE420,"")</f>
        <v/>
      </c>
      <c r="AH420" s="79">
        <f>IF(AG420="","",IF(AG420&lt;AsOf,1,IF(AG420&lt;=AsOf+AlertDays,2,IF(AG420&lt;=AsOf+2*AlertDays,3,""))))</f>
        <v/>
      </c>
      <c r="AI420" s="79">
        <f>IF(AH420="","","Follow up with "&amp;AA420&amp;": "&amp;AC420)</f>
        <v/>
      </c>
    </row>
    <row r="421" ht="20" customHeight="1">
      <c r="B421" s="72" t="n"/>
      <c r="C421" s="72" t="n"/>
      <c r="D421" s="72" t="n"/>
      <c r="E421" s="72" t="n"/>
      <c r="F421" s="72" t="n"/>
      <c r="G421" s="72" t="n"/>
      <c r="H421" s="72" t="n"/>
      <c r="I421" s="73" t="n"/>
      <c r="J421" s="75">
        <f>IF(B421="","",SUMIFS('Change Orders'!$J$7:$J$1006,'Change Orders'!$E$7:$E$1006,B421,'Change Orders'!$L$7:$L$1006,"Approved"))</f>
        <v/>
      </c>
      <c r="K421" s="76">
        <f>IF(B421="","",I421+J421)</f>
        <v/>
      </c>
      <c r="L421" s="74" t="n"/>
      <c r="M421" s="109" t="n"/>
      <c r="N421" s="109" t="n"/>
      <c r="O421" s="74" t="n"/>
      <c r="P421" s="74" t="n"/>
      <c r="Q421" s="100" t="n"/>
      <c r="R421" s="110" t="n"/>
      <c r="S421" s="75">
        <f>IF(B421="","",SUMIFS('Payments'!$N$6:$N$1005,'Payments'!$B$6:$B$1005,B421))</f>
        <v/>
      </c>
      <c r="T421" s="111">
        <f>IF(OR(B421="",K421=0),"",S421/K421)</f>
        <v/>
      </c>
      <c r="U421" s="78">
        <f>IF(V421="","",IF(V421=2,"⚠️ Paying ahead of work","✓ OK"))</f>
        <v/>
      </c>
      <c r="V421" s="79">
        <f>IF(T421="","",IF(T421-R421&gt;OverpayTol,2,0))</f>
        <v/>
      </c>
      <c r="W421" s="112">
        <f>IF(V421=2,AsOf,"")</f>
        <v/>
      </c>
      <c r="X421" s="79">
        <f>IF(W421="","",1)</f>
        <v/>
      </c>
      <c r="Y421" s="79">
        <f>IF(X421="","","Paying ahead of work: "&amp;B421&amp;" — paid "&amp;ROUND(T421*100,0)&amp;"%, work done "&amp;ROUND(R421*100,0)&amp;"%")</f>
        <v/>
      </c>
      <c r="AA421" s="72" t="n"/>
      <c r="AB421" s="109" t="n"/>
      <c r="AC421" s="113" t="n"/>
      <c r="AD421" s="74" t="n"/>
      <c r="AE421" s="109" t="n"/>
      <c r="AF421" s="74" t="n"/>
      <c r="AG421" s="112">
        <f>IF(AND(AA421&lt;&gt;"",AD421="Yes",AF421&lt;&gt;"Yes",AE421&lt;&gt;""),AE421,"")</f>
        <v/>
      </c>
      <c r="AH421" s="79">
        <f>IF(AG421="","",IF(AG421&lt;AsOf,1,IF(AG421&lt;=AsOf+AlertDays,2,IF(AG421&lt;=AsOf+2*AlertDays,3,""))))</f>
        <v/>
      </c>
      <c r="AI421" s="79">
        <f>IF(AH421="","","Follow up with "&amp;AA421&amp;": "&amp;AC421)</f>
        <v/>
      </c>
    </row>
    <row r="422" ht="20" customHeight="1">
      <c r="B422" s="72" t="n"/>
      <c r="C422" s="72" t="n"/>
      <c r="D422" s="72" t="n"/>
      <c r="E422" s="72" t="n"/>
      <c r="F422" s="72" t="n"/>
      <c r="G422" s="72" t="n"/>
      <c r="H422" s="72" t="n"/>
      <c r="I422" s="73" t="n"/>
      <c r="J422" s="75">
        <f>IF(B422="","",SUMIFS('Change Orders'!$J$7:$J$1006,'Change Orders'!$E$7:$E$1006,B422,'Change Orders'!$L$7:$L$1006,"Approved"))</f>
        <v/>
      </c>
      <c r="K422" s="76">
        <f>IF(B422="","",I422+J422)</f>
        <v/>
      </c>
      <c r="L422" s="74" t="n"/>
      <c r="M422" s="109" t="n"/>
      <c r="N422" s="109" t="n"/>
      <c r="O422" s="74" t="n"/>
      <c r="P422" s="74" t="n"/>
      <c r="Q422" s="100" t="n"/>
      <c r="R422" s="110" t="n"/>
      <c r="S422" s="75">
        <f>IF(B422="","",SUMIFS('Payments'!$N$6:$N$1005,'Payments'!$B$6:$B$1005,B422))</f>
        <v/>
      </c>
      <c r="T422" s="111">
        <f>IF(OR(B422="",K422=0),"",S422/K422)</f>
        <v/>
      </c>
      <c r="U422" s="78">
        <f>IF(V422="","",IF(V422=2,"⚠️ Paying ahead of work","✓ OK"))</f>
        <v/>
      </c>
      <c r="V422" s="79">
        <f>IF(T422="","",IF(T422-R422&gt;OverpayTol,2,0))</f>
        <v/>
      </c>
      <c r="W422" s="112">
        <f>IF(V422=2,AsOf,"")</f>
        <v/>
      </c>
      <c r="X422" s="79">
        <f>IF(W422="","",1)</f>
        <v/>
      </c>
      <c r="Y422" s="79">
        <f>IF(X422="","","Paying ahead of work: "&amp;B422&amp;" — paid "&amp;ROUND(T422*100,0)&amp;"%, work done "&amp;ROUND(R422*100,0)&amp;"%")</f>
        <v/>
      </c>
      <c r="AA422" s="72" t="n"/>
      <c r="AB422" s="109" t="n"/>
      <c r="AC422" s="113" t="n"/>
      <c r="AD422" s="74" t="n"/>
      <c r="AE422" s="109" t="n"/>
      <c r="AF422" s="74" t="n"/>
      <c r="AG422" s="112">
        <f>IF(AND(AA422&lt;&gt;"",AD422="Yes",AF422&lt;&gt;"Yes",AE422&lt;&gt;""),AE422,"")</f>
        <v/>
      </c>
      <c r="AH422" s="79">
        <f>IF(AG422="","",IF(AG422&lt;AsOf,1,IF(AG422&lt;=AsOf+AlertDays,2,IF(AG422&lt;=AsOf+2*AlertDays,3,""))))</f>
        <v/>
      </c>
      <c r="AI422" s="79">
        <f>IF(AH422="","","Follow up with "&amp;AA422&amp;": "&amp;AC422)</f>
        <v/>
      </c>
    </row>
    <row r="423" ht="20" customHeight="1">
      <c r="B423" s="72" t="n"/>
      <c r="C423" s="72" t="n"/>
      <c r="D423" s="72" t="n"/>
      <c r="E423" s="72" t="n"/>
      <c r="F423" s="72" t="n"/>
      <c r="G423" s="72" t="n"/>
      <c r="H423" s="72" t="n"/>
      <c r="I423" s="73" t="n"/>
      <c r="J423" s="75">
        <f>IF(B423="","",SUMIFS('Change Orders'!$J$7:$J$1006,'Change Orders'!$E$7:$E$1006,B423,'Change Orders'!$L$7:$L$1006,"Approved"))</f>
        <v/>
      </c>
      <c r="K423" s="76">
        <f>IF(B423="","",I423+J423)</f>
        <v/>
      </c>
      <c r="L423" s="74" t="n"/>
      <c r="M423" s="109" t="n"/>
      <c r="N423" s="109" t="n"/>
      <c r="O423" s="74" t="n"/>
      <c r="P423" s="74" t="n"/>
      <c r="Q423" s="100" t="n"/>
      <c r="R423" s="110" t="n"/>
      <c r="S423" s="75">
        <f>IF(B423="","",SUMIFS('Payments'!$N$6:$N$1005,'Payments'!$B$6:$B$1005,B423))</f>
        <v/>
      </c>
      <c r="T423" s="111">
        <f>IF(OR(B423="",K423=0),"",S423/K423)</f>
        <v/>
      </c>
      <c r="U423" s="78">
        <f>IF(V423="","",IF(V423=2,"⚠️ Paying ahead of work","✓ OK"))</f>
        <v/>
      </c>
      <c r="V423" s="79">
        <f>IF(T423="","",IF(T423-R423&gt;OverpayTol,2,0))</f>
        <v/>
      </c>
      <c r="W423" s="112">
        <f>IF(V423=2,AsOf,"")</f>
        <v/>
      </c>
      <c r="X423" s="79">
        <f>IF(W423="","",1)</f>
        <v/>
      </c>
      <c r="Y423" s="79">
        <f>IF(X423="","","Paying ahead of work: "&amp;B423&amp;" — paid "&amp;ROUND(T423*100,0)&amp;"%, work done "&amp;ROUND(R423*100,0)&amp;"%")</f>
        <v/>
      </c>
      <c r="AA423" s="72" t="n"/>
      <c r="AB423" s="109" t="n"/>
      <c r="AC423" s="113" t="n"/>
      <c r="AD423" s="74" t="n"/>
      <c r="AE423" s="109" t="n"/>
      <c r="AF423" s="74" t="n"/>
      <c r="AG423" s="112">
        <f>IF(AND(AA423&lt;&gt;"",AD423="Yes",AF423&lt;&gt;"Yes",AE423&lt;&gt;""),AE423,"")</f>
        <v/>
      </c>
      <c r="AH423" s="79">
        <f>IF(AG423="","",IF(AG423&lt;AsOf,1,IF(AG423&lt;=AsOf+AlertDays,2,IF(AG423&lt;=AsOf+2*AlertDays,3,""))))</f>
        <v/>
      </c>
      <c r="AI423" s="79">
        <f>IF(AH423="","","Follow up with "&amp;AA423&amp;": "&amp;AC423)</f>
        <v/>
      </c>
    </row>
    <row r="424" ht="20" customHeight="1">
      <c r="B424" s="72" t="n"/>
      <c r="C424" s="72" t="n"/>
      <c r="D424" s="72" t="n"/>
      <c r="E424" s="72" t="n"/>
      <c r="F424" s="72" t="n"/>
      <c r="G424" s="72" t="n"/>
      <c r="H424" s="72" t="n"/>
      <c r="I424" s="73" t="n"/>
      <c r="J424" s="75">
        <f>IF(B424="","",SUMIFS('Change Orders'!$J$7:$J$1006,'Change Orders'!$E$7:$E$1006,B424,'Change Orders'!$L$7:$L$1006,"Approved"))</f>
        <v/>
      </c>
      <c r="K424" s="76">
        <f>IF(B424="","",I424+J424)</f>
        <v/>
      </c>
      <c r="L424" s="74" t="n"/>
      <c r="M424" s="109" t="n"/>
      <c r="N424" s="109" t="n"/>
      <c r="O424" s="74" t="n"/>
      <c r="P424" s="74" t="n"/>
      <c r="Q424" s="100" t="n"/>
      <c r="R424" s="110" t="n"/>
      <c r="S424" s="75">
        <f>IF(B424="","",SUMIFS('Payments'!$N$6:$N$1005,'Payments'!$B$6:$B$1005,B424))</f>
        <v/>
      </c>
      <c r="T424" s="111">
        <f>IF(OR(B424="",K424=0),"",S424/K424)</f>
        <v/>
      </c>
      <c r="U424" s="78">
        <f>IF(V424="","",IF(V424=2,"⚠️ Paying ahead of work","✓ OK"))</f>
        <v/>
      </c>
      <c r="V424" s="79">
        <f>IF(T424="","",IF(T424-R424&gt;OverpayTol,2,0))</f>
        <v/>
      </c>
      <c r="W424" s="112">
        <f>IF(V424=2,AsOf,"")</f>
        <v/>
      </c>
      <c r="X424" s="79">
        <f>IF(W424="","",1)</f>
        <v/>
      </c>
      <c r="Y424" s="79">
        <f>IF(X424="","","Paying ahead of work: "&amp;B424&amp;" — paid "&amp;ROUND(T424*100,0)&amp;"%, work done "&amp;ROUND(R424*100,0)&amp;"%")</f>
        <v/>
      </c>
      <c r="AA424" s="72" t="n"/>
      <c r="AB424" s="109" t="n"/>
      <c r="AC424" s="113" t="n"/>
      <c r="AD424" s="74" t="n"/>
      <c r="AE424" s="109" t="n"/>
      <c r="AF424" s="74" t="n"/>
      <c r="AG424" s="112">
        <f>IF(AND(AA424&lt;&gt;"",AD424="Yes",AF424&lt;&gt;"Yes",AE424&lt;&gt;""),AE424,"")</f>
        <v/>
      </c>
      <c r="AH424" s="79">
        <f>IF(AG424="","",IF(AG424&lt;AsOf,1,IF(AG424&lt;=AsOf+AlertDays,2,IF(AG424&lt;=AsOf+2*AlertDays,3,""))))</f>
        <v/>
      </c>
      <c r="AI424" s="79">
        <f>IF(AH424="","","Follow up with "&amp;AA424&amp;": "&amp;AC424)</f>
        <v/>
      </c>
    </row>
    <row r="425" ht="20" customHeight="1">
      <c r="B425" s="72" t="n"/>
      <c r="C425" s="72" t="n"/>
      <c r="D425" s="72" t="n"/>
      <c r="E425" s="72" t="n"/>
      <c r="F425" s="72" t="n"/>
      <c r="G425" s="72" t="n"/>
      <c r="H425" s="72" t="n"/>
      <c r="I425" s="73" t="n"/>
      <c r="J425" s="75">
        <f>IF(B425="","",SUMIFS('Change Orders'!$J$7:$J$1006,'Change Orders'!$E$7:$E$1006,B425,'Change Orders'!$L$7:$L$1006,"Approved"))</f>
        <v/>
      </c>
      <c r="K425" s="76">
        <f>IF(B425="","",I425+J425)</f>
        <v/>
      </c>
      <c r="L425" s="74" t="n"/>
      <c r="M425" s="109" t="n"/>
      <c r="N425" s="109" t="n"/>
      <c r="O425" s="74" t="n"/>
      <c r="P425" s="74" t="n"/>
      <c r="Q425" s="100" t="n"/>
      <c r="R425" s="110" t="n"/>
      <c r="S425" s="75">
        <f>IF(B425="","",SUMIFS('Payments'!$N$6:$N$1005,'Payments'!$B$6:$B$1005,B425))</f>
        <v/>
      </c>
      <c r="T425" s="111">
        <f>IF(OR(B425="",K425=0),"",S425/K425)</f>
        <v/>
      </c>
      <c r="U425" s="78">
        <f>IF(V425="","",IF(V425=2,"⚠️ Paying ahead of work","✓ OK"))</f>
        <v/>
      </c>
      <c r="V425" s="79">
        <f>IF(T425="","",IF(T425-R425&gt;OverpayTol,2,0))</f>
        <v/>
      </c>
      <c r="W425" s="112">
        <f>IF(V425=2,AsOf,"")</f>
        <v/>
      </c>
      <c r="X425" s="79">
        <f>IF(W425="","",1)</f>
        <v/>
      </c>
      <c r="Y425" s="79">
        <f>IF(X425="","","Paying ahead of work: "&amp;B425&amp;" — paid "&amp;ROUND(T425*100,0)&amp;"%, work done "&amp;ROUND(R425*100,0)&amp;"%")</f>
        <v/>
      </c>
      <c r="AA425" s="72" t="n"/>
      <c r="AB425" s="109" t="n"/>
      <c r="AC425" s="113" t="n"/>
      <c r="AD425" s="74" t="n"/>
      <c r="AE425" s="109" t="n"/>
      <c r="AF425" s="74" t="n"/>
      <c r="AG425" s="112">
        <f>IF(AND(AA425&lt;&gt;"",AD425="Yes",AF425&lt;&gt;"Yes",AE425&lt;&gt;""),AE425,"")</f>
        <v/>
      </c>
      <c r="AH425" s="79">
        <f>IF(AG425="","",IF(AG425&lt;AsOf,1,IF(AG425&lt;=AsOf+AlertDays,2,IF(AG425&lt;=AsOf+2*AlertDays,3,""))))</f>
        <v/>
      </c>
      <c r="AI425" s="79">
        <f>IF(AH425="","","Follow up with "&amp;AA425&amp;": "&amp;AC425)</f>
        <v/>
      </c>
    </row>
    <row r="426" ht="20" customHeight="1">
      <c r="B426" s="72" t="n"/>
      <c r="C426" s="72" t="n"/>
      <c r="D426" s="72" t="n"/>
      <c r="E426" s="72" t="n"/>
      <c r="F426" s="72" t="n"/>
      <c r="G426" s="72" t="n"/>
      <c r="H426" s="72" t="n"/>
      <c r="I426" s="73" t="n"/>
      <c r="J426" s="75">
        <f>IF(B426="","",SUMIFS('Change Orders'!$J$7:$J$1006,'Change Orders'!$E$7:$E$1006,B426,'Change Orders'!$L$7:$L$1006,"Approved"))</f>
        <v/>
      </c>
      <c r="K426" s="76">
        <f>IF(B426="","",I426+J426)</f>
        <v/>
      </c>
      <c r="L426" s="74" t="n"/>
      <c r="M426" s="109" t="n"/>
      <c r="N426" s="109" t="n"/>
      <c r="O426" s="74" t="n"/>
      <c r="P426" s="74" t="n"/>
      <c r="Q426" s="100" t="n"/>
      <c r="R426" s="110" t="n"/>
      <c r="S426" s="75">
        <f>IF(B426="","",SUMIFS('Payments'!$N$6:$N$1005,'Payments'!$B$6:$B$1005,B426))</f>
        <v/>
      </c>
      <c r="T426" s="111">
        <f>IF(OR(B426="",K426=0),"",S426/K426)</f>
        <v/>
      </c>
      <c r="U426" s="78">
        <f>IF(V426="","",IF(V426=2,"⚠️ Paying ahead of work","✓ OK"))</f>
        <v/>
      </c>
      <c r="V426" s="79">
        <f>IF(T426="","",IF(T426-R426&gt;OverpayTol,2,0))</f>
        <v/>
      </c>
      <c r="W426" s="112">
        <f>IF(V426=2,AsOf,"")</f>
        <v/>
      </c>
      <c r="X426" s="79">
        <f>IF(W426="","",1)</f>
        <v/>
      </c>
      <c r="Y426" s="79">
        <f>IF(X426="","","Paying ahead of work: "&amp;B426&amp;" — paid "&amp;ROUND(T426*100,0)&amp;"%, work done "&amp;ROUND(R426*100,0)&amp;"%")</f>
        <v/>
      </c>
      <c r="AA426" s="72" t="n"/>
      <c r="AB426" s="109" t="n"/>
      <c r="AC426" s="113" t="n"/>
      <c r="AD426" s="74" t="n"/>
      <c r="AE426" s="109" t="n"/>
      <c r="AF426" s="74" t="n"/>
      <c r="AG426" s="112">
        <f>IF(AND(AA426&lt;&gt;"",AD426="Yes",AF426&lt;&gt;"Yes",AE426&lt;&gt;""),AE426,"")</f>
        <v/>
      </c>
      <c r="AH426" s="79">
        <f>IF(AG426="","",IF(AG426&lt;AsOf,1,IF(AG426&lt;=AsOf+AlertDays,2,IF(AG426&lt;=AsOf+2*AlertDays,3,""))))</f>
        <v/>
      </c>
      <c r="AI426" s="79">
        <f>IF(AH426="","","Follow up with "&amp;AA426&amp;": "&amp;AC426)</f>
        <v/>
      </c>
    </row>
    <row r="427" ht="20" customHeight="1">
      <c r="B427" s="72" t="n"/>
      <c r="C427" s="72" t="n"/>
      <c r="D427" s="72" t="n"/>
      <c r="E427" s="72" t="n"/>
      <c r="F427" s="72" t="n"/>
      <c r="G427" s="72" t="n"/>
      <c r="H427" s="72" t="n"/>
      <c r="I427" s="73" t="n"/>
      <c r="J427" s="75">
        <f>IF(B427="","",SUMIFS('Change Orders'!$J$7:$J$1006,'Change Orders'!$E$7:$E$1006,B427,'Change Orders'!$L$7:$L$1006,"Approved"))</f>
        <v/>
      </c>
      <c r="K427" s="76">
        <f>IF(B427="","",I427+J427)</f>
        <v/>
      </c>
      <c r="L427" s="74" t="n"/>
      <c r="M427" s="109" t="n"/>
      <c r="N427" s="109" t="n"/>
      <c r="O427" s="74" t="n"/>
      <c r="P427" s="74" t="n"/>
      <c r="Q427" s="100" t="n"/>
      <c r="R427" s="110" t="n"/>
      <c r="S427" s="75">
        <f>IF(B427="","",SUMIFS('Payments'!$N$6:$N$1005,'Payments'!$B$6:$B$1005,B427))</f>
        <v/>
      </c>
      <c r="T427" s="111">
        <f>IF(OR(B427="",K427=0),"",S427/K427)</f>
        <v/>
      </c>
      <c r="U427" s="78">
        <f>IF(V427="","",IF(V427=2,"⚠️ Paying ahead of work","✓ OK"))</f>
        <v/>
      </c>
      <c r="V427" s="79">
        <f>IF(T427="","",IF(T427-R427&gt;OverpayTol,2,0))</f>
        <v/>
      </c>
      <c r="W427" s="112">
        <f>IF(V427=2,AsOf,"")</f>
        <v/>
      </c>
      <c r="X427" s="79">
        <f>IF(W427="","",1)</f>
        <v/>
      </c>
      <c r="Y427" s="79">
        <f>IF(X427="","","Paying ahead of work: "&amp;B427&amp;" — paid "&amp;ROUND(T427*100,0)&amp;"%, work done "&amp;ROUND(R427*100,0)&amp;"%")</f>
        <v/>
      </c>
      <c r="AA427" s="72" t="n"/>
      <c r="AB427" s="109" t="n"/>
      <c r="AC427" s="113" t="n"/>
      <c r="AD427" s="74" t="n"/>
      <c r="AE427" s="109" t="n"/>
      <c r="AF427" s="74" t="n"/>
      <c r="AG427" s="112">
        <f>IF(AND(AA427&lt;&gt;"",AD427="Yes",AF427&lt;&gt;"Yes",AE427&lt;&gt;""),AE427,"")</f>
        <v/>
      </c>
      <c r="AH427" s="79">
        <f>IF(AG427="","",IF(AG427&lt;AsOf,1,IF(AG427&lt;=AsOf+AlertDays,2,IF(AG427&lt;=AsOf+2*AlertDays,3,""))))</f>
        <v/>
      </c>
      <c r="AI427" s="79">
        <f>IF(AH427="","","Follow up with "&amp;AA427&amp;": "&amp;AC427)</f>
        <v/>
      </c>
    </row>
    <row r="428" ht="20" customHeight="1">
      <c r="B428" s="72" t="n"/>
      <c r="C428" s="72" t="n"/>
      <c r="D428" s="72" t="n"/>
      <c r="E428" s="72" t="n"/>
      <c r="F428" s="72" t="n"/>
      <c r="G428" s="72" t="n"/>
      <c r="H428" s="72" t="n"/>
      <c r="I428" s="73" t="n"/>
      <c r="J428" s="75">
        <f>IF(B428="","",SUMIFS('Change Orders'!$J$7:$J$1006,'Change Orders'!$E$7:$E$1006,B428,'Change Orders'!$L$7:$L$1006,"Approved"))</f>
        <v/>
      </c>
      <c r="K428" s="76">
        <f>IF(B428="","",I428+J428)</f>
        <v/>
      </c>
      <c r="L428" s="74" t="n"/>
      <c r="M428" s="109" t="n"/>
      <c r="N428" s="109" t="n"/>
      <c r="O428" s="74" t="n"/>
      <c r="P428" s="74" t="n"/>
      <c r="Q428" s="100" t="n"/>
      <c r="R428" s="110" t="n"/>
      <c r="S428" s="75">
        <f>IF(B428="","",SUMIFS('Payments'!$N$6:$N$1005,'Payments'!$B$6:$B$1005,B428))</f>
        <v/>
      </c>
      <c r="T428" s="111">
        <f>IF(OR(B428="",K428=0),"",S428/K428)</f>
        <v/>
      </c>
      <c r="U428" s="78">
        <f>IF(V428="","",IF(V428=2,"⚠️ Paying ahead of work","✓ OK"))</f>
        <v/>
      </c>
      <c r="V428" s="79">
        <f>IF(T428="","",IF(T428-R428&gt;OverpayTol,2,0))</f>
        <v/>
      </c>
      <c r="W428" s="112">
        <f>IF(V428=2,AsOf,"")</f>
        <v/>
      </c>
      <c r="X428" s="79">
        <f>IF(W428="","",1)</f>
        <v/>
      </c>
      <c r="Y428" s="79">
        <f>IF(X428="","","Paying ahead of work: "&amp;B428&amp;" — paid "&amp;ROUND(T428*100,0)&amp;"%, work done "&amp;ROUND(R428*100,0)&amp;"%")</f>
        <v/>
      </c>
      <c r="AA428" s="72" t="n"/>
      <c r="AB428" s="109" t="n"/>
      <c r="AC428" s="113" t="n"/>
      <c r="AD428" s="74" t="n"/>
      <c r="AE428" s="109" t="n"/>
      <c r="AF428" s="74" t="n"/>
      <c r="AG428" s="112">
        <f>IF(AND(AA428&lt;&gt;"",AD428="Yes",AF428&lt;&gt;"Yes",AE428&lt;&gt;""),AE428,"")</f>
        <v/>
      </c>
      <c r="AH428" s="79">
        <f>IF(AG428="","",IF(AG428&lt;AsOf,1,IF(AG428&lt;=AsOf+AlertDays,2,IF(AG428&lt;=AsOf+2*AlertDays,3,""))))</f>
        <v/>
      </c>
      <c r="AI428" s="79">
        <f>IF(AH428="","","Follow up with "&amp;AA428&amp;": "&amp;AC428)</f>
        <v/>
      </c>
    </row>
    <row r="429" ht="20" customHeight="1">
      <c r="B429" s="72" t="n"/>
      <c r="C429" s="72" t="n"/>
      <c r="D429" s="72" t="n"/>
      <c r="E429" s="72" t="n"/>
      <c r="F429" s="72" t="n"/>
      <c r="G429" s="72" t="n"/>
      <c r="H429" s="72" t="n"/>
      <c r="I429" s="73" t="n"/>
      <c r="J429" s="75">
        <f>IF(B429="","",SUMIFS('Change Orders'!$J$7:$J$1006,'Change Orders'!$E$7:$E$1006,B429,'Change Orders'!$L$7:$L$1006,"Approved"))</f>
        <v/>
      </c>
      <c r="K429" s="76">
        <f>IF(B429="","",I429+J429)</f>
        <v/>
      </c>
      <c r="L429" s="74" t="n"/>
      <c r="M429" s="109" t="n"/>
      <c r="N429" s="109" t="n"/>
      <c r="O429" s="74" t="n"/>
      <c r="P429" s="74" t="n"/>
      <c r="Q429" s="100" t="n"/>
      <c r="R429" s="110" t="n"/>
      <c r="S429" s="75">
        <f>IF(B429="","",SUMIFS('Payments'!$N$6:$N$1005,'Payments'!$B$6:$B$1005,B429))</f>
        <v/>
      </c>
      <c r="T429" s="111">
        <f>IF(OR(B429="",K429=0),"",S429/K429)</f>
        <v/>
      </c>
      <c r="U429" s="78">
        <f>IF(V429="","",IF(V429=2,"⚠️ Paying ahead of work","✓ OK"))</f>
        <v/>
      </c>
      <c r="V429" s="79">
        <f>IF(T429="","",IF(T429-R429&gt;OverpayTol,2,0))</f>
        <v/>
      </c>
      <c r="W429" s="112">
        <f>IF(V429=2,AsOf,"")</f>
        <v/>
      </c>
      <c r="X429" s="79">
        <f>IF(W429="","",1)</f>
        <v/>
      </c>
      <c r="Y429" s="79">
        <f>IF(X429="","","Paying ahead of work: "&amp;B429&amp;" — paid "&amp;ROUND(T429*100,0)&amp;"%, work done "&amp;ROUND(R429*100,0)&amp;"%")</f>
        <v/>
      </c>
      <c r="AA429" s="72" t="n"/>
      <c r="AB429" s="109" t="n"/>
      <c r="AC429" s="113" t="n"/>
      <c r="AD429" s="74" t="n"/>
      <c r="AE429" s="109" t="n"/>
      <c r="AF429" s="74" t="n"/>
      <c r="AG429" s="112">
        <f>IF(AND(AA429&lt;&gt;"",AD429="Yes",AF429&lt;&gt;"Yes",AE429&lt;&gt;""),AE429,"")</f>
        <v/>
      </c>
      <c r="AH429" s="79">
        <f>IF(AG429="","",IF(AG429&lt;AsOf,1,IF(AG429&lt;=AsOf+AlertDays,2,IF(AG429&lt;=AsOf+2*AlertDays,3,""))))</f>
        <v/>
      </c>
      <c r="AI429" s="79">
        <f>IF(AH429="","","Follow up with "&amp;AA429&amp;": "&amp;AC429)</f>
        <v/>
      </c>
    </row>
    <row r="430" ht="20" customHeight="1">
      <c r="B430" s="72" t="n"/>
      <c r="C430" s="72" t="n"/>
      <c r="D430" s="72" t="n"/>
      <c r="E430" s="72" t="n"/>
      <c r="F430" s="72" t="n"/>
      <c r="G430" s="72" t="n"/>
      <c r="H430" s="72" t="n"/>
      <c r="I430" s="73" t="n"/>
      <c r="J430" s="75">
        <f>IF(B430="","",SUMIFS('Change Orders'!$J$7:$J$1006,'Change Orders'!$E$7:$E$1006,B430,'Change Orders'!$L$7:$L$1006,"Approved"))</f>
        <v/>
      </c>
      <c r="K430" s="76">
        <f>IF(B430="","",I430+J430)</f>
        <v/>
      </c>
      <c r="L430" s="74" t="n"/>
      <c r="M430" s="109" t="n"/>
      <c r="N430" s="109" t="n"/>
      <c r="O430" s="74" t="n"/>
      <c r="P430" s="74" t="n"/>
      <c r="Q430" s="100" t="n"/>
      <c r="R430" s="110" t="n"/>
      <c r="S430" s="75">
        <f>IF(B430="","",SUMIFS('Payments'!$N$6:$N$1005,'Payments'!$B$6:$B$1005,B430))</f>
        <v/>
      </c>
      <c r="T430" s="111">
        <f>IF(OR(B430="",K430=0),"",S430/K430)</f>
        <v/>
      </c>
      <c r="U430" s="78">
        <f>IF(V430="","",IF(V430=2,"⚠️ Paying ahead of work","✓ OK"))</f>
        <v/>
      </c>
      <c r="V430" s="79">
        <f>IF(T430="","",IF(T430-R430&gt;OverpayTol,2,0))</f>
        <v/>
      </c>
      <c r="W430" s="112">
        <f>IF(V430=2,AsOf,"")</f>
        <v/>
      </c>
      <c r="X430" s="79">
        <f>IF(W430="","",1)</f>
        <v/>
      </c>
      <c r="Y430" s="79">
        <f>IF(X430="","","Paying ahead of work: "&amp;B430&amp;" — paid "&amp;ROUND(T430*100,0)&amp;"%, work done "&amp;ROUND(R430*100,0)&amp;"%")</f>
        <v/>
      </c>
      <c r="AA430" s="72" t="n"/>
      <c r="AB430" s="109" t="n"/>
      <c r="AC430" s="113" t="n"/>
      <c r="AD430" s="74" t="n"/>
      <c r="AE430" s="109" t="n"/>
      <c r="AF430" s="74" t="n"/>
      <c r="AG430" s="112">
        <f>IF(AND(AA430&lt;&gt;"",AD430="Yes",AF430&lt;&gt;"Yes",AE430&lt;&gt;""),AE430,"")</f>
        <v/>
      </c>
      <c r="AH430" s="79">
        <f>IF(AG430="","",IF(AG430&lt;AsOf,1,IF(AG430&lt;=AsOf+AlertDays,2,IF(AG430&lt;=AsOf+2*AlertDays,3,""))))</f>
        <v/>
      </c>
      <c r="AI430" s="79">
        <f>IF(AH430="","","Follow up with "&amp;AA430&amp;": "&amp;AC430)</f>
        <v/>
      </c>
    </row>
    <row r="431" ht="20" customHeight="1">
      <c r="B431" s="72" t="n"/>
      <c r="C431" s="72" t="n"/>
      <c r="D431" s="72" t="n"/>
      <c r="E431" s="72" t="n"/>
      <c r="F431" s="72" t="n"/>
      <c r="G431" s="72" t="n"/>
      <c r="H431" s="72" t="n"/>
      <c r="I431" s="73" t="n"/>
      <c r="J431" s="75">
        <f>IF(B431="","",SUMIFS('Change Orders'!$J$7:$J$1006,'Change Orders'!$E$7:$E$1006,B431,'Change Orders'!$L$7:$L$1006,"Approved"))</f>
        <v/>
      </c>
      <c r="K431" s="76">
        <f>IF(B431="","",I431+J431)</f>
        <v/>
      </c>
      <c r="L431" s="74" t="n"/>
      <c r="M431" s="109" t="n"/>
      <c r="N431" s="109" t="n"/>
      <c r="O431" s="74" t="n"/>
      <c r="P431" s="74" t="n"/>
      <c r="Q431" s="100" t="n"/>
      <c r="R431" s="110" t="n"/>
      <c r="S431" s="75">
        <f>IF(B431="","",SUMIFS('Payments'!$N$6:$N$1005,'Payments'!$B$6:$B$1005,B431))</f>
        <v/>
      </c>
      <c r="T431" s="111">
        <f>IF(OR(B431="",K431=0),"",S431/K431)</f>
        <v/>
      </c>
      <c r="U431" s="78">
        <f>IF(V431="","",IF(V431=2,"⚠️ Paying ahead of work","✓ OK"))</f>
        <v/>
      </c>
      <c r="V431" s="79">
        <f>IF(T431="","",IF(T431-R431&gt;OverpayTol,2,0))</f>
        <v/>
      </c>
      <c r="W431" s="112">
        <f>IF(V431=2,AsOf,"")</f>
        <v/>
      </c>
      <c r="X431" s="79">
        <f>IF(W431="","",1)</f>
        <v/>
      </c>
      <c r="Y431" s="79">
        <f>IF(X431="","","Paying ahead of work: "&amp;B431&amp;" — paid "&amp;ROUND(T431*100,0)&amp;"%, work done "&amp;ROUND(R431*100,0)&amp;"%")</f>
        <v/>
      </c>
      <c r="AA431" s="72" t="n"/>
      <c r="AB431" s="109" t="n"/>
      <c r="AC431" s="113" t="n"/>
      <c r="AD431" s="74" t="n"/>
      <c r="AE431" s="109" t="n"/>
      <c r="AF431" s="74" t="n"/>
      <c r="AG431" s="112">
        <f>IF(AND(AA431&lt;&gt;"",AD431="Yes",AF431&lt;&gt;"Yes",AE431&lt;&gt;""),AE431,"")</f>
        <v/>
      </c>
      <c r="AH431" s="79">
        <f>IF(AG431="","",IF(AG431&lt;AsOf,1,IF(AG431&lt;=AsOf+AlertDays,2,IF(AG431&lt;=AsOf+2*AlertDays,3,""))))</f>
        <v/>
      </c>
      <c r="AI431" s="79">
        <f>IF(AH431="","","Follow up with "&amp;AA431&amp;": "&amp;AC431)</f>
        <v/>
      </c>
    </row>
    <row r="432" ht="20" customHeight="1">
      <c r="B432" s="72" t="n"/>
      <c r="C432" s="72" t="n"/>
      <c r="D432" s="72" t="n"/>
      <c r="E432" s="72" t="n"/>
      <c r="F432" s="72" t="n"/>
      <c r="G432" s="72" t="n"/>
      <c r="H432" s="72" t="n"/>
      <c r="I432" s="73" t="n"/>
      <c r="J432" s="75">
        <f>IF(B432="","",SUMIFS('Change Orders'!$J$7:$J$1006,'Change Orders'!$E$7:$E$1006,B432,'Change Orders'!$L$7:$L$1006,"Approved"))</f>
        <v/>
      </c>
      <c r="K432" s="76">
        <f>IF(B432="","",I432+J432)</f>
        <v/>
      </c>
      <c r="L432" s="74" t="n"/>
      <c r="M432" s="109" t="n"/>
      <c r="N432" s="109" t="n"/>
      <c r="O432" s="74" t="n"/>
      <c r="P432" s="74" t="n"/>
      <c r="Q432" s="100" t="n"/>
      <c r="R432" s="110" t="n"/>
      <c r="S432" s="75">
        <f>IF(B432="","",SUMIFS('Payments'!$N$6:$N$1005,'Payments'!$B$6:$B$1005,B432))</f>
        <v/>
      </c>
      <c r="T432" s="111">
        <f>IF(OR(B432="",K432=0),"",S432/K432)</f>
        <v/>
      </c>
      <c r="U432" s="78">
        <f>IF(V432="","",IF(V432=2,"⚠️ Paying ahead of work","✓ OK"))</f>
        <v/>
      </c>
      <c r="V432" s="79">
        <f>IF(T432="","",IF(T432-R432&gt;OverpayTol,2,0))</f>
        <v/>
      </c>
      <c r="W432" s="112">
        <f>IF(V432=2,AsOf,"")</f>
        <v/>
      </c>
      <c r="X432" s="79">
        <f>IF(W432="","",1)</f>
        <v/>
      </c>
      <c r="Y432" s="79">
        <f>IF(X432="","","Paying ahead of work: "&amp;B432&amp;" — paid "&amp;ROUND(T432*100,0)&amp;"%, work done "&amp;ROUND(R432*100,0)&amp;"%")</f>
        <v/>
      </c>
      <c r="AA432" s="72" t="n"/>
      <c r="AB432" s="109" t="n"/>
      <c r="AC432" s="113" t="n"/>
      <c r="AD432" s="74" t="n"/>
      <c r="AE432" s="109" t="n"/>
      <c r="AF432" s="74" t="n"/>
      <c r="AG432" s="112">
        <f>IF(AND(AA432&lt;&gt;"",AD432="Yes",AF432&lt;&gt;"Yes",AE432&lt;&gt;""),AE432,"")</f>
        <v/>
      </c>
      <c r="AH432" s="79">
        <f>IF(AG432="","",IF(AG432&lt;AsOf,1,IF(AG432&lt;=AsOf+AlertDays,2,IF(AG432&lt;=AsOf+2*AlertDays,3,""))))</f>
        <v/>
      </c>
      <c r="AI432" s="79">
        <f>IF(AH432="","","Follow up with "&amp;AA432&amp;": "&amp;AC432)</f>
        <v/>
      </c>
    </row>
    <row r="433" ht="20" customHeight="1">
      <c r="B433" s="72" t="n"/>
      <c r="C433" s="72" t="n"/>
      <c r="D433" s="72" t="n"/>
      <c r="E433" s="72" t="n"/>
      <c r="F433" s="72" t="n"/>
      <c r="G433" s="72" t="n"/>
      <c r="H433" s="72" t="n"/>
      <c r="I433" s="73" t="n"/>
      <c r="J433" s="75">
        <f>IF(B433="","",SUMIFS('Change Orders'!$J$7:$J$1006,'Change Orders'!$E$7:$E$1006,B433,'Change Orders'!$L$7:$L$1006,"Approved"))</f>
        <v/>
      </c>
      <c r="K433" s="76">
        <f>IF(B433="","",I433+J433)</f>
        <v/>
      </c>
      <c r="L433" s="74" t="n"/>
      <c r="M433" s="109" t="n"/>
      <c r="N433" s="109" t="n"/>
      <c r="O433" s="74" t="n"/>
      <c r="P433" s="74" t="n"/>
      <c r="Q433" s="100" t="n"/>
      <c r="R433" s="110" t="n"/>
      <c r="S433" s="75">
        <f>IF(B433="","",SUMIFS('Payments'!$N$6:$N$1005,'Payments'!$B$6:$B$1005,B433))</f>
        <v/>
      </c>
      <c r="T433" s="111">
        <f>IF(OR(B433="",K433=0),"",S433/K433)</f>
        <v/>
      </c>
      <c r="U433" s="78">
        <f>IF(V433="","",IF(V433=2,"⚠️ Paying ahead of work","✓ OK"))</f>
        <v/>
      </c>
      <c r="V433" s="79">
        <f>IF(T433="","",IF(T433-R433&gt;OverpayTol,2,0))</f>
        <v/>
      </c>
      <c r="W433" s="112">
        <f>IF(V433=2,AsOf,"")</f>
        <v/>
      </c>
      <c r="X433" s="79">
        <f>IF(W433="","",1)</f>
        <v/>
      </c>
      <c r="Y433" s="79">
        <f>IF(X433="","","Paying ahead of work: "&amp;B433&amp;" — paid "&amp;ROUND(T433*100,0)&amp;"%, work done "&amp;ROUND(R433*100,0)&amp;"%")</f>
        <v/>
      </c>
      <c r="AA433" s="72" t="n"/>
      <c r="AB433" s="109" t="n"/>
      <c r="AC433" s="113" t="n"/>
      <c r="AD433" s="74" t="n"/>
      <c r="AE433" s="109" t="n"/>
      <c r="AF433" s="74" t="n"/>
      <c r="AG433" s="112">
        <f>IF(AND(AA433&lt;&gt;"",AD433="Yes",AF433&lt;&gt;"Yes",AE433&lt;&gt;""),AE433,"")</f>
        <v/>
      </c>
      <c r="AH433" s="79">
        <f>IF(AG433="","",IF(AG433&lt;AsOf,1,IF(AG433&lt;=AsOf+AlertDays,2,IF(AG433&lt;=AsOf+2*AlertDays,3,""))))</f>
        <v/>
      </c>
      <c r="AI433" s="79">
        <f>IF(AH433="","","Follow up with "&amp;AA433&amp;": "&amp;AC433)</f>
        <v/>
      </c>
    </row>
    <row r="434" ht="20" customHeight="1">
      <c r="B434" s="72" t="n"/>
      <c r="C434" s="72" t="n"/>
      <c r="D434" s="72" t="n"/>
      <c r="E434" s="72" t="n"/>
      <c r="F434" s="72" t="n"/>
      <c r="G434" s="72" t="n"/>
      <c r="H434" s="72" t="n"/>
      <c r="I434" s="73" t="n"/>
      <c r="J434" s="75">
        <f>IF(B434="","",SUMIFS('Change Orders'!$J$7:$J$1006,'Change Orders'!$E$7:$E$1006,B434,'Change Orders'!$L$7:$L$1006,"Approved"))</f>
        <v/>
      </c>
      <c r="K434" s="76">
        <f>IF(B434="","",I434+J434)</f>
        <v/>
      </c>
      <c r="L434" s="74" t="n"/>
      <c r="M434" s="109" t="n"/>
      <c r="N434" s="109" t="n"/>
      <c r="O434" s="74" t="n"/>
      <c r="P434" s="74" t="n"/>
      <c r="Q434" s="100" t="n"/>
      <c r="R434" s="110" t="n"/>
      <c r="S434" s="75">
        <f>IF(B434="","",SUMIFS('Payments'!$N$6:$N$1005,'Payments'!$B$6:$B$1005,B434))</f>
        <v/>
      </c>
      <c r="T434" s="111">
        <f>IF(OR(B434="",K434=0),"",S434/K434)</f>
        <v/>
      </c>
      <c r="U434" s="78">
        <f>IF(V434="","",IF(V434=2,"⚠️ Paying ahead of work","✓ OK"))</f>
        <v/>
      </c>
      <c r="V434" s="79">
        <f>IF(T434="","",IF(T434-R434&gt;OverpayTol,2,0))</f>
        <v/>
      </c>
      <c r="W434" s="112">
        <f>IF(V434=2,AsOf,"")</f>
        <v/>
      </c>
      <c r="X434" s="79">
        <f>IF(W434="","",1)</f>
        <v/>
      </c>
      <c r="Y434" s="79">
        <f>IF(X434="","","Paying ahead of work: "&amp;B434&amp;" — paid "&amp;ROUND(T434*100,0)&amp;"%, work done "&amp;ROUND(R434*100,0)&amp;"%")</f>
        <v/>
      </c>
      <c r="AA434" s="72" t="n"/>
      <c r="AB434" s="109" t="n"/>
      <c r="AC434" s="113" t="n"/>
      <c r="AD434" s="74" t="n"/>
      <c r="AE434" s="109" t="n"/>
      <c r="AF434" s="74" t="n"/>
      <c r="AG434" s="112">
        <f>IF(AND(AA434&lt;&gt;"",AD434="Yes",AF434&lt;&gt;"Yes",AE434&lt;&gt;""),AE434,"")</f>
        <v/>
      </c>
      <c r="AH434" s="79">
        <f>IF(AG434="","",IF(AG434&lt;AsOf,1,IF(AG434&lt;=AsOf+AlertDays,2,IF(AG434&lt;=AsOf+2*AlertDays,3,""))))</f>
        <v/>
      </c>
      <c r="AI434" s="79">
        <f>IF(AH434="","","Follow up with "&amp;AA434&amp;": "&amp;AC434)</f>
        <v/>
      </c>
    </row>
    <row r="435" ht="20" customHeight="1">
      <c r="B435" s="72" t="n"/>
      <c r="C435" s="72" t="n"/>
      <c r="D435" s="72" t="n"/>
      <c r="E435" s="72" t="n"/>
      <c r="F435" s="72" t="n"/>
      <c r="G435" s="72" t="n"/>
      <c r="H435" s="72" t="n"/>
      <c r="I435" s="73" t="n"/>
      <c r="J435" s="75">
        <f>IF(B435="","",SUMIFS('Change Orders'!$J$7:$J$1006,'Change Orders'!$E$7:$E$1006,B435,'Change Orders'!$L$7:$L$1006,"Approved"))</f>
        <v/>
      </c>
      <c r="K435" s="76">
        <f>IF(B435="","",I435+J435)</f>
        <v/>
      </c>
      <c r="L435" s="74" t="n"/>
      <c r="M435" s="109" t="n"/>
      <c r="N435" s="109" t="n"/>
      <c r="O435" s="74" t="n"/>
      <c r="P435" s="74" t="n"/>
      <c r="Q435" s="100" t="n"/>
      <c r="R435" s="110" t="n"/>
      <c r="S435" s="75">
        <f>IF(B435="","",SUMIFS('Payments'!$N$6:$N$1005,'Payments'!$B$6:$B$1005,B435))</f>
        <v/>
      </c>
      <c r="T435" s="111">
        <f>IF(OR(B435="",K435=0),"",S435/K435)</f>
        <v/>
      </c>
      <c r="U435" s="78">
        <f>IF(V435="","",IF(V435=2,"⚠️ Paying ahead of work","✓ OK"))</f>
        <v/>
      </c>
      <c r="V435" s="79">
        <f>IF(T435="","",IF(T435-R435&gt;OverpayTol,2,0))</f>
        <v/>
      </c>
      <c r="W435" s="112">
        <f>IF(V435=2,AsOf,"")</f>
        <v/>
      </c>
      <c r="X435" s="79">
        <f>IF(W435="","",1)</f>
        <v/>
      </c>
      <c r="Y435" s="79">
        <f>IF(X435="","","Paying ahead of work: "&amp;B435&amp;" — paid "&amp;ROUND(T435*100,0)&amp;"%, work done "&amp;ROUND(R435*100,0)&amp;"%")</f>
        <v/>
      </c>
      <c r="AA435" s="72" t="n"/>
      <c r="AB435" s="109" t="n"/>
      <c r="AC435" s="113" t="n"/>
      <c r="AD435" s="74" t="n"/>
      <c r="AE435" s="109" t="n"/>
      <c r="AF435" s="74" t="n"/>
      <c r="AG435" s="112">
        <f>IF(AND(AA435&lt;&gt;"",AD435="Yes",AF435&lt;&gt;"Yes",AE435&lt;&gt;""),AE435,"")</f>
        <v/>
      </c>
      <c r="AH435" s="79">
        <f>IF(AG435="","",IF(AG435&lt;AsOf,1,IF(AG435&lt;=AsOf+AlertDays,2,IF(AG435&lt;=AsOf+2*AlertDays,3,""))))</f>
        <v/>
      </c>
      <c r="AI435" s="79">
        <f>IF(AH435="","","Follow up with "&amp;AA435&amp;": "&amp;AC435)</f>
        <v/>
      </c>
    </row>
    <row r="436" ht="20" customHeight="1">
      <c r="B436" s="72" t="n"/>
      <c r="C436" s="72" t="n"/>
      <c r="D436" s="72" t="n"/>
      <c r="E436" s="72" t="n"/>
      <c r="F436" s="72" t="n"/>
      <c r="G436" s="72" t="n"/>
      <c r="H436" s="72" t="n"/>
      <c r="I436" s="73" t="n"/>
      <c r="J436" s="75">
        <f>IF(B436="","",SUMIFS('Change Orders'!$J$7:$J$1006,'Change Orders'!$E$7:$E$1006,B436,'Change Orders'!$L$7:$L$1006,"Approved"))</f>
        <v/>
      </c>
      <c r="K436" s="76">
        <f>IF(B436="","",I436+J436)</f>
        <v/>
      </c>
      <c r="L436" s="74" t="n"/>
      <c r="M436" s="109" t="n"/>
      <c r="N436" s="109" t="n"/>
      <c r="O436" s="74" t="n"/>
      <c r="P436" s="74" t="n"/>
      <c r="Q436" s="100" t="n"/>
      <c r="R436" s="110" t="n"/>
      <c r="S436" s="75">
        <f>IF(B436="","",SUMIFS('Payments'!$N$6:$N$1005,'Payments'!$B$6:$B$1005,B436))</f>
        <v/>
      </c>
      <c r="T436" s="111">
        <f>IF(OR(B436="",K436=0),"",S436/K436)</f>
        <v/>
      </c>
      <c r="U436" s="78">
        <f>IF(V436="","",IF(V436=2,"⚠️ Paying ahead of work","✓ OK"))</f>
        <v/>
      </c>
      <c r="V436" s="79">
        <f>IF(T436="","",IF(T436-R436&gt;OverpayTol,2,0))</f>
        <v/>
      </c>
      <c r="W436" s="112">
        <f>IF(V436=2,AsOf,"")</f>
        <v/>
      </c>
      <c r="X436" s="79">
        <f>IF(W436="","",1)</f>
        <v/>
      </c>
      <c r="Y436" s="79">
        <f>IF(X436="","","Paying ahead of work: "&amp;B436&amp;" — paid "&amp;ROUND(T436*100,0)&amp;"%, work done "&amp;ROUND(R436*100,0)&amp;"%")</f>
        <v/>
      </c>
      <c r="AA436" s="72" t="n"/>
      <c r="AB436" s="109" t="n"/>
      <c r="AC436" s="113" t="n"/>
      <c r="AD436" s="74" t="n"/>
      <c r="AE436" s="109" t="n"/>
      <c r="AF436" s="74" t="n"/>
      <c r="AG436" s="112">
        <f>IF(AND(AA436&lt;&gt;"",AD436="Yes",AF436&lt;&gt;"Yes",AE436&lt;&gt;""),AE436,"")</f>
        <v/>
      </c>
      <c r="AH436" s="79">
        <f>IF(AG436="","",IF(AG436&lt;AsOf,1,IF(AG436&lt;=AsOf+AlertDays,2,IF(AG436&lt;=AsOf+2*AlertDays,3,""))))</f>
        <v/>
      </c>
      <c r="AI436" s="79">
        <f>IF(AH436="","","Follow up with "&amp;AA436&amp;": "&amp;AC436)</f>
        <v/>
      </c>
    </row>
    <row r="437" ht="20" customHeight="1">
      <c r="B437" s="72" t="n"/>
      <c r="C437" s="72" t="n"/>
      <c r="D437" s="72" t="n"/>
      <c r="E437" s="72" t="n"/>
      <c r="F437" s="72" t="n"/>
      <c r="G437" s="72" t="n"/>
      <c r="H437" s="72" t="n"/>
      <c r="I437" s="73" t="n"/>
      <c r="J437" s="75">
        <f>IF(B437="","",SUMIFS('Change Orders'!$J$7:$J$1006,'Change Orders'!$E$7:$E$1006,B437,'Change Orders'!$L$7:$L$1006,"Approved"))</f>
        <v/>
      </c>
      <c r="K437" s="76">
        <f>IF(B437="","",I437+J437)</f>
        <v/>
      </c>
      <c r="L437" s="74" t="n"/>
      <c r="M437" s="109" t="n"/>
      <c r="N437" s="109" t="n"/>
      <c r="O437" s="74" t="n"/>
      <c r="P437" s="74" t="n"/>
      <c r="Q437" s="100" t="n"/>
      <c r="R437" s="110" t="n"/>
      <c r="S437" s="75">
        <f>IF(B437="","",SUMIFS('Payments'!$N$6:$N$1005,'Payments'!$B$6:$B$1005,B437))</f>
        <v/>
      </c>
      <c r="T437" s="111">
        <f>IF(OR(B437="",K437=0),"",S437/K437)</f>
        <v/>
      </c>
      <c r="U437" s="78">
        <f>IF(V437="","",IF(V437=2,"⚠️ Paying ahead of work","✓ OK"))</f>
        <v/>
      </c>
      <c r="V437" s="79">
        <f>IF(T437="","",IF(T437-R437&gt;OverpayTol,2,0))</f>
        <v/>
      </c>
      <c r="W437" s="112">
        <f>IF(V437=2,AsOf,"")</f>
        <v/>
      </c>
      <c r="X437" s="79">
        <f>IF(W437="","",1)</f>
        <v/>
      </c>
      <c r="Y437" s="79">
        <f>IF(X437="","","Paying ahead of work: "&amp;B437&amp;" — paid "&amp;ROUND(T437*100,0)&amp;"%, work done "&amp;ROUND(R437*100,0)&amp;"%")</f>
        <v/>
      </c>
      <c r="AA437" s="72" t="n"/>
      <c r="AB437" s="109" t="n"/>
      <c r="AC437" s="113" t="n"/>
      <c r="AD437" s="74" t="n"/>
      <c r="AE437" s="109" t="n"/>
      <c r="AF437" s="74" t="n"/>
      <c r="AG437" s="112">
        <f>IF(AND(AA437&lt;&gt;"",AD437="Yes",AF437&lt;&gt;"Yes",AE437&lt;&gt;""),AE437,"")</f>
        <v/>
      </c>
      <c r="AH437" s="79">
        <f>IF(AG437="","",IF(AG437&lt;AsOf,1,IF(AG437&lt;=AsOf+AlertDays,2,IF(AG437&lt;=AsOf+2*AlertDays,3,""))))</f>
        <v/>
      </c>
      <c r="AI437" s="79">
        <f>IF(AH437="","","Follow up with "&amp;AA437&amp;": "&amp;AC437)</f>
        <v/>
      </c>
    </row>
    <row r="438" ht="20" customHeight="1">
      <c r="B438" s="72" t="n"/>
      <c r="C438" s="72" t="n"/>
      <c r="D438" s="72" t="n"/>
      <c r="E438" s="72" t="n"/>
      <c r="F438" s="72" t="n"/>
      <c r="G438" s="72" t="n"/>
      <c r="H438" s="72" t="n"/>
      <c r="I438" s="73" t="n"/>
      <c r="J438" s="75">
        <f>IF(B438="","",SUMIFS('Change Orders'!$J$7:$J$1006,'Change Orders'!$E$7:$E$1006,B438,'Change Orders'!$L$7:$L$1006,"Approved"))</f>
        <v/>
      </c>
      <c r="K438" s="76">
        <f>IF(B438="","",I438+J438)</f>
        <v/>
      </c>
      <c r="L438" s="74" t="n"/>
      <c r="M438" s="109" t="n"/>
      <c r="N438" s="109" t="n"/>
      <c r="O438" s="74" t="n"/>
      <c r="P438" s="74" t="n"/>
      <c r="Q438" s="100" t="n"/>
      <c r="R438" s="110" t="n"/>
      <c r="S438" s="75">
        <f>IF(B438="","",SUMIFS('Payments'!$N$6:$N$1005,'Payments'!$B$6:$B$1005,B438))</f>
        <v/>
      </c>
      <c r="T438" s="111">
        <f>IF(OR(B438="",K438=0),"",S438/K438)</f>
        <v/>
      </c>
      <c r="U438" s="78">
        <f>IF(V438="","",IF(V438=2,"⚠️ Paying ahead of work","✓ OK"))</f>
        <v/>
      </c>
      <c r="V438" s="79">
        <f>IF(T438="","",IF(T438-R438&gt;OverpayTol,2,0))</f>
        <v/>
      </c>
      <c r="W438" s="112">
        <f>IF(V438=2,AsOf,"")</f>
        <v/>
      </c>
      <c r="X438" s="79">
        <f>IF(W438="","",1)</f>
        <v/>
      </c>
      <c r="Y438" s="79">
        <f>IF(X438="","","Paying ahead of work: "&amp;B438&amp;" — paid "&amp;ROUND(T438*100,0)&amp;"%, work done "&amp;ROUND(R438*100,0)&amp;"%")</f>
        <v/>
      </c>
      <c r="AA438" s="72" t="n"/>
      <c r="AB438" s="109" t="n"/>
      <c r="AC438" s="113" t="n"/>
      <c r="AD438" s="74" t="n"/>
      <c r="AE438" s="109" t="n"/>
      <c r="AF438" s="74" t="n"/>
      <c r="AG438" s="112">
        <f>IF(AND(AA438&lt;&gt;"",AD438="Yes",AF438&lt;&gt;"Yes",AE438&lt;&gt;""),AE438,"")</f>
        <v/>
      </c>
      <c r="AH438" s="79">
        <f>IF(AG438="","",IF(AG438&lt;AsOf,1,IF(AG438&lt;=AsOf+AlertDays,2,IF(AG438&lt;=AsOf+2*AlertDays,3,""))))</f>
        <v/>
      </c>
      <c r="AI438" s="79">
        <f>IF(AH438="","","Follow up with "&amp;AA438&amp;": "&amp;AC438)</f>
        <v/>
      </c>
    </row>
    <row r="439" ht="20" customHeight="1">
      <c r="B439" s="72" t="n"/>
      <c r="C439" s="72" t="n"/>
      <c r="D439" s="72" t="n"/>
      <c r="E439" s="72" t="n"/>
      <c r="F439" s="72" t="n"/>
      <c r="G439" s="72" t="n"/>
      <c r="H439" s="72" t="n"/>
      <c r="I439" s="73" t="n"/>
      <c r="J439" s="75">
        <f>IF(B439="","",SUMIFS('Change Orders'!$J$7:$J$1006,'Change Orders'!$E$7:$E$1006,B439,'Change Orders'!$L$7:$L$1006,"Approved"))</f>
        <v/>
      </c>
      <c r="K439" s="76">
        <f>IF(B439="","",I439+J439)</f>
        <v/>
      </c>
      <c r="L439" s="74" t="n"/>
      <c r="M439" s="109" t="n"/>
      <c r="N439" s="109" t="n"/>
      <c r="O439" s="74" t="n"/>
      <c r="P439" s="74" t="n"/>
      <c r="Q439" s="100" t="n"/>
      <c r="R439" s="110" t="n"/>
      <c r="S439" s="75">
        <f>IF(B439="","",SUMIFS('Payments'!$N$6:$N$1005,'Payments'!$B$6:$B$1005,B439))</f>
        <v/>
      </c>
      <c r="T439" s="111">
        <f>IF(OR(B439="",K439=0),"",S439/K439)</f>
        <v/>
      </c>
      <c r="U439" s="78">
        <f>IF(V439="","",IF(V439=2,"⚠️ Paying ahead of work","✓ OK"))</f>
        <v/>
      </c>
      <c r="V439" s="79">
        <f>IF(T439="","",IF(T439-R439&gt;OverpayTol,2,0))</f>
        <v/>
      </c>
      <c r="W439" s="112">
        <f>IF(V439=2,AsOf,"")</f>
        <v/>
      </c>
      <c r="X439" s="79">
        <f>IF(W439="","",1)</f>
        <v/>
      </c>
      <c r="Y439" s="79">
        <f>IF(X439="","","Paying ahead of work: "&amp;B439&amp;" — paid "&amp;ROUND(T439*100,0)&amp;"%, work done "&amp;ROUND(R439*100,0)&amp;"%")</f>
        <v/>
      </c>
      <c r="AA439" s="72" t="n"/>
      <c r="AB439" s="109" t="n"/>
      <c r="AC439" s="113" t="n"/>
      <c r="AD439" s="74" t="n"/>
      <c r="AE439" s="109" t="n"/>
      <c r="AF439" s="74" t="n"/>
      <c r="AG439" s="112">
        <f>IF(AND(AA439&lt;&gt;"",AD439="Yes",AF439&lt;&gt;"Yes",AE439&lt;&gt;""),AE439,"")</f>
        <v/>
      </c>
      <c r="AH439" s="79">
        <f>IF(AG439="","",IF(AG439&lt;AsOf,1,IF(AG439&lt;=AsOf+AlertDays,2,IF(AG439&lt;=AsOf+2*AlertDays,3,""))))</f>
        <v/>
      </c>
      <c r="AI439" s="79">
        <f>IF(AH439="","","Follow up with "&amp;AA439&amp;": "&amp;AC439)</f>
        <v/>
      </c>
    </row>
    <row r="440" ht="20" customHeight="1">
      <c r="B440" s="72" t="n"/>
      <c r="C440" s="72" t="n"/>
      <c r="D440" s="72" t="n"/>
      <c r="E440" s="72" t="n"/>
      <c r="F440" s="72" t="n"/>
      <c r="G440" s="72" t="n"/>
      <c r="H440" s="72" t="n"/>
      <c r="I440" s="73" t="n"/>
      <c r="J440" s="75">
        <f>IF(B440="","",SUMIFS('Change Orders'!$J$7:$J$1006,'Change Orders'!$E$7:$E$1006,B440,'Change Orders'!$L$7:$L$1006,"Approved"))</f>
        <v/>
      </c>
      <c r="K440" s="76">
        <f>IF(B440="","",I440+J440)</f>
        <v/>
      </c>
      <c r="L440" s="74" t="n"/>
      <c r="M440" s="109" t="n"/>
      <c r="N440" s="109" t="n"/>
      <c r="O440" s="74" t="n"/>
      <c r="P440" s="74" t="n"/>
      <c r="Q440" s="100" t="n"/>
      <c r="R440" s="110" t="n"/>
      <c r="S440" s="75">
        <f>IF(B440="","",SUMIFS('Payments'!$N$6:$N$1005,'Payments'!$B$6:$B$1005,B440))</f>
        <v/>
      </c>
      <c r="T440" s="111">
        <f>IF(OR(B440="",K440=0),"",S440/K440)</f>
        <v/>
      </c>
      <c r="U440" s="78">
        <f>IF(V440="","",IF(V440=2,"⚠️ Paying ahead of work","✓ OK"))</f>
        <v/>
      </c>
      <c r="V440" s="79">
        <f>IF(T440="","",IF(T440-R440&gt;OverpayTol,2,0))</f>
        <v/>
      </c>
      <c r="W440" s="112">
        <f>IF(V440=2,AsOf,"")</f>
        <v/>
      </c>
      <c r="X440" s="79">
        <f>IF(W440="","",1)</f>
        <v/>
      </c>
      <c r="Y440" s="79">
        <f>IF(X440="","","Paying ahead of work: "&amp;B440&amp;" — paid "&amp;ROUND(T440*100,0)&amp;"%, work done "&amp;ROUND(R440*100,0)&amp;"%")</f>
        <v/>
      </c>
      <c r="AA440" s="72" t="n"/>
      <c r="AB440" s="109" t="n"/>
      <c r="AC440" s="113" t="n"/>
      <c r="AD440" s="74" t="n"/>
      <c r="AE440" s="109" t="n"/>
      <c r="AF440" s="74" t="n"/>
      <c r="AG440" s="112">
        <f>IF(AND(AA440&lt;&gt;"",AD440="Yes",AF440&lt;&gt;"Yes",AE440&lt;&gt;""),AE440,"")</f>
        <v/>
      </c>
      <c r="AH440" s="79">
        <f>IF(AG440="","",IF(AG440&lt;AsOf,1,IF(AG440&lt;=AsOf+AlertDays,2,IF(AG440&lt;=AsOf+2*AlertDays,3,""))))</f>
        <v/>
      </c>
      <c r="AI440" s="79">
        <f>IF(AH440="","","Follow up with "&amp;AA440&amp;": "&amp;AC440)</f>
        <v/>
      </c>
    </row>
    <row r="441" ht="20" customHeight="1">
      <c r="B441" s="72" t="n"/>
      <c r="C441" s="72" t="n"/>
      <c r="D441" s="72" t="n"/>
      <c r="E441" s="72" t="n"/>
      <c r="F441" s="72" t="n"/>
      <c r="G441" s="72" t="n"/>
      <c r="H441" s="72" t="n"/>
      <c r="I441" s="73" t="n"/>
      <c r="J441" s="75">
        <f>IF(B441="","",SUMIFS('Change Orders'!$J$7:$J$1006,'Change Orders'!$E$7:$E$1006,B441,'Change Orders'!$L$7:$L$1006,"Approved"))</f>
        <v/>
      </c>
      <c r="K441" s="76">
        <f>IF(B441="","",I441+J441)</f>
        <v/>
      </c>
      <c r="L441" s="74" t="n"/>
      <c r="M441" s="109" t="n"/>
      <c r="N441" s="109" t="n"/>
      <c r="O441" s="74" t="n"/>
      <c r="P441" s="74" t="n"/>
      <c r="Q441" s="100" t="n"/>
      <c r="R441" s="110" t="n"/>
      <c r="S441" s="75">
        <f>IF(B441="","",SUMIFS('Payments'!$N$6:$N$1005,'Payments'!$B$6:$B$1005,B441))</f>
        <v/>
      </c>
      <c r="T441" s="111">
        <f>IF(OR(B441="",K441=0),"",S441/K441)</f>
        <v/>
      </c>
      <c r="U441" s="78">
        <f>IF(V441="","",IF(V441=2,"⚠️ Paying ahead of work","✓ OK"))</f>
        <v/>
      </c>
      <c r="V441" s="79">
        <f>IF(T441="","",IF(T441-R441&gt;OverpayTol,2,0))</f>
        <v/>
      </c>
      <c r="W441" s="112">
        <f>IF(V441=2,AsOf,"")</f>
        <v/>
      </c>
      <c r="X441" s="79">
        <f>IF(W441="","",1)</f>
        <v/>
      </c>
      <c r="Y441" s="79">
        <f>IF(X441="","","Paying ahead of work: "&amp;B441&amp;" — paid "&amp;ROUND(T441*100,0)&amp;"%, work done "&amp;ROUND(R441*100,0)&amp;"%")</f>
        <v/>
      </c>
      <c r="AA441" s="72" t="n"/>
      <c r="AB441" s="109" t="n"/>
      <c r="AC441" s="113" t="n"/>
      <c r="AD441" s="74" t="n"/>
      <c r="AE441" s="109" t="n"/>
      <c r="AF441" s="74" t="n"/>
      <c r="AG441" s="112">
        <f>IF(AND(AA441&lt;&gt;"",AD441="Yes",AF441&lt;&gt;"Yes",AE441&lt;&gt;""),AE441,"")</f>
        <v/>
      </c>
      <c r="AH441" s="79">
        <f>IF(AG441="","",IF(AG441&lt;AsOf,1,IF(AG441&lt;=AsOf+AlertDays,2,IF(AG441&lt;=AsOf+2*AlertDays,3,""))))</f>
        <v/>
      </c>
      <c r="AI441" s="79">
        <f>IF(AH441="","","Follow up with "&amp;AA441&amp;": "&amp;AC441)</f>
        <v/>
      </c>
    </row>
    <row r="442" ht="20" customHeight="1">
      <c r="B442" s="72" t="n"/>
      <c r="C442" s="72" t="n"/>
      <c r="D442" s="72" t="n"/>
      <c r="E442" s="72" t="n"/>
      <c r="F442" s="72" t="n"/>
      <c r="G442" s="72" t="n"/>
      <c r="H442" s="72" t="n"/>
      <c r="I442" s="73" t="n"/>
      <c r="J442" s="75">
        <f>IF(B442="","",SUMIFS('Change Orders'!$J$7:$J$1006,'Change Orders'!$E$7:$E$1006,B442,'Change Orders'!$L$7:$L$1006,"Approved"))</f>
        <v/>
      </c>
      <c r="K442" s="76">
        <f>IF(B442="","",I442+J442)</f>
        <v/>
      </c>
      <c r="L442" s="74" t="n"/>
      <c r="M442" s="109" t="n"/>
      <c r="N442" s="109" t="n"/>
      <c r="O442" s="74" t="n"/>
      <c r="P442" s="74" t="n"/>
      <c r="Q442" s="100" t="n"/>
      <c r="R442" s="110" t="n"/>
      <c r="S442" s="75">
        <f>IF(B442="","",SUMIFS('Payments'!$N$6:$N$1005,'Payments'!$B$6:$B$1005,B442))</f>
        <v/>
      </c>
      <c r="T442" s="111">
        <f>IF(OR(B442="",K442=0),"",S442/K442)</f>
        <v/>
      </c>
      <c r="U442" s="78">
        <f>IF(V442="","",IF(V442=2,"⚠️ Paying ahead of work","✓ OK"))</f>
        <v/>
      </c>
      <c r="V442" s="79">
        <f>IF(T442="","",IF(T442-R442&gt;OverpayTol,2,0))</f>
        <v/>
      </c>
      <c r="W442" s="112">
        <f>IF(V442=2,AsOf,"")</f>
        <v/>
      </c>
      <c r="X442" s="79">
        <f>IF(W442="","",1)</f>
        <v/>
      </c>
      <c r="Y442" s="79">
        <f>IF(X442="","","Paying ahead of work: "&amp;B442&amp;" — paid "&amp;ROUND(T442*100,0)&amp;"%, work done "&amp;ROUND(R442*100,0)&amp;"%")</f>
        <v/>
      </c>
      <c r="AA442" s="72" t="n"/>
      <c r="AB442" s="109" t="n"/>
      <c r="AC442" s="113" t="n"/>
      <c r="AD442" s="74" t="n"/>
      <c r="AE442" s="109" t="n"/>
      <c r="AF442" s="74" t="n"/>
      <c r="AG442" s="112">
        <f>IF(AND(AA442&lt;&gt;"",AD442="Yes",AF442&lt;&gt;"Yes",AE442&lt;&gt;""),AE442,"")</f>
        <v/>
      </c>
      <c r="AH442" s="79">
        <f>IF(AG442="","",IF(AG442&lt;AsOf,1,IF(AG442&lt;=AsOf+AlertDays,2,IF(AG442&lt;=AsOf+2*AlertDays,3,""))))</f>
        <v/>
      </c>
      <c r="AI442" s="79">
        <f>IF(AH442="","","Follow up with "&amp;AA442&amp;": "&amp;AC442)</f>
        <v/>
      </c>
    </row>
    <row r="443" ht="20" customHeight="1">
      <c r="B443" s="72" t="n"/>
      <c r="C443" s="72" t="n"/>
      <c r="D443" s="72" t="n"/>
      <c r="E443" s="72" t="n"/>
      <c r="F443" s="72" t="n"/>
      <c r="G443" s="72" t="n"/>
      <c r="H443" s="72" t="n"/>
      <c r="I443" s="73" t="n"/>
      <c r="J443" s="75">
        <f>IF(B443="","",SUMIFS('Change Orders'!$J$7:$J$1006,'Change Orders'!$E$7:$E$1006,B443,'Change Orders'!$L$7:$L$1006,"Approved"))</f>
        <v/>
      </c>
      <c r="K443" s="76">
        <f>IF(B443="","",I443+J443)</f>
        <v/>
      </c>
      <c r="L443" s="74" t="n"/>
      <c r="M443" s="109" t="n"/>
      <c r="N443" s="109" t="n"/>
      <c r="O443" s="74" t="n"/>
      <c r="P443" s="74" t="n"/>
      <c r="Q443" s="100" t="n"/>
      <c r="R443" s="110" t="n"/>
      <c r="S443" s="75">
        <f>IF(B443="","",SUMIFS('Payments'!$N$6:$N$1005,'Payments'!$B$6:$B$1005,B443))</f>
        <v/>
      </c>
      <c r="T443" s="111">
        <f>IF(OR(B443="",K443=0),"",S443/K443)</f>
        <v/>
      </c>
      <c r="U443" s="78">
        <f>IF(V443="","",IF(V443=2,"⚠️ Paying ahead of work","✓ OK"))</f>
        <v/>
      </c>
      <c r="V443" s="79">
        <f>IF(T443="","",IF(T443-R443&gt;OverpayTol,2,0))</f>
        <v/>
      </c>
      <c r="W443" s="112">
        <f>IF(V443=2,AsOf,"")</f>
        <v/>
      </c>
      <c r="X443" s="79">
        <f>IF(W443="","",1)</f>
        <v/>
      </c>
      <c r="Y443" s="79">
        <f>IF(X443="","","Paying ahead of work: "&amp;B443&amp;" — paid "&amp;ROUND(T443*100,0)&amp;"%, work done "&amp;ROUND(R443*100,0)&amp;"%")</f>
        <v/>
      </c>
      <c r="AA443" s="72" t="n"/>
      <c r="AB443" s="109" t="n"/>
      <c r="AC443" s="113" t="n"/>
      <c r="AD443" s="74" t="n"/>
      <c r="AE443" s="109" t="n"/>
      <c r="AF443" s="74" t="n"/>
      <c r="AG443" s="112">
        <f>IF(AND(AA443&lt;&gt;"",AD443="Yes",AF443&lt;&gt;"Yes",AE443&lt;&gt;""),AE443,"")</f>
        <v/>
      </c>
      <c r="AH443" s="79">
        <f>IF(AG443="","",IF(AG443&lt;AsOf,1,IF(AG443&lt;=AsOf+AlertDays,2,IF(AG443&lt;=AsOf+2*AlertDays,3,""))))</f>
        <v/>
      </c>
      <c r="AI443" s="79">
        <f>IF(AH443="","","Follow up with "&amp;AA443&amp;": "&amp;AC443)</f>
        <v/>
      </c>
    </row>
    <row r="444" ht="20" customHeight="1">
      <c r="B444" s="72" t="n"/>
      <c r="C444" s="72" t="n"/>
      <c r="D444" s="72" t="n"/>
      <c r="E444" s="72" t="n"/>
      <c r="F444" s="72" t="n"/>
      <c r="G444" s="72" t="n"/>
      <c r="H444" s="72" t="n"/>
      <c r="I444" s="73" t="n"/>
      <c r="J444" s="75">
        <f>IF(B444="","",SUMIFS('Change Orders'!$J$7:$J$1006,'Change Orders'!$E$7:$E$1006,B444,'Change Orders'!$L$7:$L$1006,"Approved"))</f>
        <v/>
      </c>
      <c r="K444" s="76">
        <f>IF(B444="","",I444+J444)</f>
        <v/>
      </c>
      <c r="L444" s="74" t="n"/>
      <c r="M444" s="109" t="n"/>
      <c r="N444" s="109" t="n"/>
      <c r="O444" s="74" t="n"/>
      <c r="P444" s="74" t="n"/>
      <c r="Q444" s="100" t="n"/>
      <c r="R444" s="110" t="n"/>
      <c r="S444" s="75">
        <f>IF(B444="","",SUMIFS('Payments'!$N$6:$N$1005,'Payments'!$B$6:$B$1005,B444))</f>
        <v/>
      </c>
      <c r="T444" s="111">
        <f>IF(OR(B444="",K444=0),"",S444/K444)</f>
        <v/>
      </c>
      <c r="U444" s="78">
        <f>IF(V444="","",IF(V444=2,"⚠️ Paying ahead of work","✓ OK"))</f>
        <v/>
      </c>
      <c r="V444" s="79">
        <f>IF(T444="","",IF(T444-R444&gt;OverpayTol,2,0))</f>
        <v/>
      </c>
      <c r="W444" s="112">
        <f>IF(V444=2,AsOf,"")</f>
        <v/>
      </c>
      <c r="X444" s="79">
        <f>IF(W444="","",1)</f>
        <v/>
      </c>
      <c r="Y444" s="79">
        <f>IF(X444="","","Paying ahead of work: "&amp;B444&amp;" — paid "&amp;ROUND(T444*100,0)&amp;"%, work done "&amp;ROUND(R444*100,0)&amp;"%")</f>
        <v/>
      </c>
      <c r="AA444" s="72" t="n"/>
      <c r="AB444" s="109" t="n"/>
      <c r="AC444" s="113" t="n"/>
      <c r="AD444" s="74" t="n"/>
      <c r="AE444" s="109" t="n"/>
      <c r="AF444" s="74" t="n"/>
      <c r="AG444" s="112">
        <f>IF(AND(AA444&lt;&gt;"",AD444="Yes",AF444&lt;&gt;"Yes",AE444&lt;&gt;""),AE444,"")</f>
        <v/>
      </c>
      <c r="AH444" s="79">
        <f>IF(AG444="","",IF(AG444&lt;AsOf,1,IF(AG444&lt;=AsOf+AlertDays,2,IF(AG444&lt;=AsOf+2*AlertDays,3,""))))</f>
        <v/>
      </c>
      <c r="AI444" s="79">
        <f>IF(AH444="","","Follow up with "&amp;AA444&amp;": "&amp;AC444)</f>
        <v/>
      </c>
    </row>
    <row r="445" ht="20" customHeight="1">
      <c r="B445" s="72" t="n"/>
      <c r="C445" s="72" t="n"/>
      <c r="D445" s="72" t="n"/>
      <c r="E445" s="72" t="n"/>
      <c r="F445" s="72" t="n"/>
      <c r="G445" s="72" t="n"/>
      <c r="H445" s="72" t="n"/>
      <c r="I445" s="73" t="n"/>
      <c r="J445" s="75">
        <f>IF(B445="","",SUMIFS('Change Orders'!$J$7:$J$1006,'Change Orders'!$E$7:$E$1006,B445,'Change Orders'!$L$7:$L$1006,"Approved"))</f>
        <v/>
      </c>
      <c r="K445" s="76">
        <f>IF(B445="","",I445+J445)</f>
        <v/>
      </c>
      <c r="L445" s="74" t="n"/>
      <c r="M445" s="109" t="n"/>
      <c r="N445" s="109" t="n"/>
      <c r="O445" s="74" t="n"/>
      <c r="P445" s="74" t="n"/>
      <c r="Q445" s="100" t="n"/>
      <c r="R445" s="110" t="n"/>
      <c r="S445" s="75">
        <f>IF(B445="","",SUMIFS('Payments'!$N$6:$N$1005,'Payments'!$B$6:$B$1005,B445))</f>
        <v/>
      </c>
      <c r="T445" s="111">
        <f>IF(OR(B445="",K445=0),"",S445/K445)</f>
        <v/>
      </c>
      <c r="U445" s="78">
        <f>IF(V445="","",IF(V445=2,"⚠️ Paying ahead of work","✓ OK"))</f>
        <v/>
      </c>
      <c r="V445" s="79">
        <f>IF(T445="","",IF(T445-R445&gt;OverpayTol,2,0))</f>
        <v/>
      </c>
      <c r="W445" s="112">
        <f>IF(V445=2,AsOf,"")</f>
        <v/>
      </c>
      <c r="X445" s="79">
        <f>IF(W445="","",1)</f>
        <v/>
      </c>
      <c r="Y445" s="79">
        <f>IF(X445="","","Paying ahead of work: "&amp;B445&amp;" — paid "&amp;ROUND(T445*100,0)&amp;"%, work done "&amp;ROUND(R445*100,0)&amp;"%")</f>
        <v/>
      </c>
      <c r="AA445" s="72" t="n"/>
      <c r="AB445" s="109" t="n"/>
      <c r="AC445" s="113" t="n"/>
      <c r="AD445" s="74" t="n"/>
      <c r="AE445" s="109" t="n"/>
      <c r="AF445" s="74" t="n"/>
      <c r="AG445" s="112">
        <f>IF(AND(AA445&lt;&gt;"",AD445="Yes",AF445&lt;&gt;"Yes",AE445&lt;&gt;""),AE445,"")</f>
        <v/>
      </c>
      <c r="AH445" s="79">
        <f>IF(AG445="","",IF(AG445&lt;AsOf,1,IF(AG445&lt;=AsOf+AlertDays,2,IF(AG445&lt;=AsOf+2*AlertDays,3,""))))</f>
        <v/>
      </c>
      <c r="AI445" s="79">
        <f>IF(AH445="","","Follow up with "&amp;AA445&amp;": "&amp;AC445)</f>
        <v/>
      </c>
    </row>
    <row r="446" ht="20" customHeight="1">
      <c r="B446" s="72" t="n"/>
      <c r="C446" s="72" t="n"/>
      <c r="D446" s="72" t="n"/>
      <c r="E446" s="72" t="n"/>
      <c r="F446" s="72" t="n"/>
      <c r="G446" s="72" t="n"/>
      <c r="H446" s="72" t="n"/>
      <c r="I446" s="73" t="n"/>
      <c r="J446" s="75">
        <f>IF(B446="","",SUMIFS('Change Orders'!$J$7:$J$1006,'Change Orders'!$E$7:$E$1006,B446,'Change Orders'!$L$7:$L$1006,"Approved"))</f>
        <v/>
      </c>
      <c r="K446" s="76">
        <f>IF(B446="","",I446+J446)</f>
        <v/>
      </c>
      <c r="L446" s="74" t="n"/>
      <c r="M446" s="109" t="n"/>
      <c r="N446" s="109" t="n"/>
      <c r="O446" s="74" t="n"/>
      <c r="P446" s="74" t="n"/>
      <c r="Q446" s="100" t="n"/>
      <c r="R446" s="110" t="n"/>
      <c r="S446" s="75">
        <f>IF(B446="","",SUMIFS('Payments'!$N$6:$N$1005,'Payments'!$B$6:$B$1005,B446))</f>
        <v/>
      </c>
      <c r="T446" s="111">
        <f>IF(OR(B446="",K446=0),"",S446/K446)</f>
        <v/>
      </c>
      <c r="U446" s="78">
        <f>IF(V446="","",IF(V446=2,"⚠️ Paying ahead of work","✓ OK"))</f>
        <v/>
      </c>
      <c r="V446" s="79">
        <f>IF(T446="","",IF(T446-R446&gt;OverpayTol,2,0))</f>
        <v/>
      </c>
      <c r="W446" s="112">
        <f>IF(V446=2,AsOf,"")</f>
        <v/>
      </c>
      <c r="X446" s="79">
        <f>IF(W446="","",1)</f>
        <v/>
      </c>
      <c r="Y446" s="79">
        <f>IF(X446="","","Paying ahead of work: "&amp;B446&amp;" — paid "&amp;ROUND(T446*100,0)&amp;"%, work done "&amp;ROUND(R446*100,0)&amp;"%")</f>
        <v/>
      </c>
      <c r="AA446" s="72" t="n"/>
      <c r="AB446" s="109" t="n"/>
      <c r="AC446" s="113" t="n"/>
      <c r="AD446" s="74" t="n"/>
      <c r="AE446" s="109" t="n"/>
      <c r="AF446" s="74" t="n"/>
      <c r="AG446" s="112">
        <f>IF(AND(AA446&lt;&gt;"",AD446="Yes",AF446&lt;&gt;"Yes",AE446&lt;&gt;""),AE446,"")</f>
        <v/>
      </c>
      <c r="AH446" s="79">
        <f>IF(AG446="","",IF(AG446&lt;AsOf,1,IF(AG446&lt;=AsOf+AlertDays,2,IF(AG446&lt;=AsOf+2*AlertDays,3,""))))</f>
        <v/>
      </c>
      <c r="AI446" s="79">
        <f>IF(AH446="","","Follow up with "&amp;AA446&amp;": "&amp;AC446)</f>
        <v/>
      </c>
    </row>
    <row r="447" ht="20" customHeight="1">
      <c r="B447" s="72" t="n"/>
      <c r="C447" s="72" t="n"/>
      <c r="D447" s="72" t="n"/>
      <c r="E447" s="72" t="n"/>
      <c r="F447" s="72" t="n"/>
      <c r="G447" s="72" t="n"/>
      <c r="H447" s="72" t="n"/>
      <c r="I447" s="73" t="n"/>
      <c r="J447" s="75">
        <f>IF(B447="","",SUMIFS('Change Orders'!$J$7:$J$1006,'Change Orders'!$E$7:$E$1006,B447,'Change Orders'!$L$7:$L$1006,"Approved"))</f>
        <v/>
      </c>
      <c r="K447" s="76">
        <f>IF(B447="","",I447+J447)</f>
        <v/>
      </c>
      <c r="L447" s="74" t="n"/>
      <c r="M447" s="109" t="n"/>
      <c r="N447" s="109" t="n"/>
      <c r="O447" s="74" t="n"/>
      <c r="P447" s="74" t="n"/>
      <c r="Q447" s="100" t="n"/>
      <c r="R447" s="110" t="n"/>
      <c r="S447" s="75">
        <f>IF(B447="","",SUMIFS('Payments'!$N$6:$N$1005,'Payments'!$B$6:$B$1005,B447))</f>
        <v/>
      </c>
      <c r="T447" s="111">
        <f>IF(OR(B447="",K447=0),"",S447/K447)</f>
        <v/>
      </c>
      <c r="U447" s="78">
        <f>IF(V447="","",IF(V447=2,"⚠️ Paying ahead of work","✓ OK"))</f>
        <v/>
      </c>
      <c r="V447" s="79">
        <f>IF(T447="","",IF(T447-R447&gt;OverpayTol,2,0))</f>
        <v/>
      </c>
      <c r="W447" s="112">
        <f>IF(V447=2,AsOf,"")</f>
        <v/>
      </c>
      <c r="X447" s="79">
        <f>IF(W447="","",1)</f>
        <v/>
      </c>
      <c r="Y447" s="79">
        <f>IF(X447="","","Paying ahead of work: "&amp;B447&amp;" — paid "&amp;ROUND(T447*100,0)&amp;"%, work done "&amp;ROUND(R447*100,0)&amp;"%")</f>
        <v/>
      </c>
      <c r="AA447" s="72" t="n"/>
      <c r="AB447" s="109" t="n"/>
      <c r="AC447" s="113" t="n"/>
      <c r="AD447" s="74" t="n"/>
      <c r="AE447" s="109" t="n"/>
      <c r="AF447" s="74" t="n"/>
      <c r="AG447" s="112">
        <f>IF(AND(AA447&lt;&gt;"",AD447="Yes",AF447&lt;&gt;"Yes",AE447&lt;&gt;""),AE447,"")</f>
        <v/>
      </c>
      <c r="AH447" s="79">
        <f>IF(AG447="","",IF(AG447&lt;AsOf,1,IF(AG447&lt;=AsOf+AlertDays,2,IF(AG447&lt;=AsOf+2*AlertDays,3,""))))</f>
        <v/>
      </c>
      <c r="AI447" s="79">
        <f>IF(AH447="","","Follow up with "&amp;AA447&amp;": "&amp;AC447)</f>
        <v/>
      </c>
    </row>
    <row r="448" ht="20" customHeight="1">
      <c r="B448" s="72" t="n"/>
      <c r="C448" s="72" t="n"/>
      <c r="D448" s="72" t="n"/>
      <c r="E448" s="72" t="n"/>
      <c r="F448" s="72" t="n"/>
      <c r="G448" s="72" t="n"/>
      <c r="H448" s="72" t="n"/>
      <c r="I448" s="73" t="n"/>
      <c r="J448" s="75">
        <f>IF(B448="","",SUMIFS('Change Orders'!$J$7:$J$1006,'Change Orders'!$E$7:$E$1006,B448,'Change Orders'!$L$7:$L$1006,"Approved"))</f>
        <v/>
      </c>
      <c r="K448" s="76">
        <f>IF(B448="","",I448+J448)</f>
        <v/>
      </c>
      <c r="L448" s="74" t="n"/>
      <c r="M448" s="109" t="n"/>
      <c r="N448" s="109" t="n"/>
      <c r="O448" s="74" t="n"/>
      <c r="P448" s="74" t="n"/>
      <c r="Q448" s="100" t="n"/>
      <c r="R448" s="110" t="n"/>
      <c r="S448" s="75">
        <f>IF(B448="","",SUMIFS('Payments'!$N$6:$N$1005,'Payments'!$B$6:$B$1005,B448))</f>
        <v/>
      </c>
      <c r="T448" s="111">
        <f>IF(OR(B448="",K448=0),"",S448/K448)</f>
        <v/>
      </c>
      <c r="U448" s="78">
        <f>IF(V448="","",IF(V448=2,"⚠️ Paying ahead of work","✓ OK"))</f>
        <v/>
      </c>
      <c r="V448" s="79">
        <f>IF(T448="","",IF(T448-R448&gt;OverpayTol,2,0))</f>
        <v/>
      </c>
      <c r="W448" s="112">
        <f>IF(V448=2,AsOf,"")</f>
        <v/>
      </c>
      <c r="X448" s="79">
        <f>IF(W448="","",1)</f>
        <v/>
      </c>
      <c r="Y448" s="79">
        <f>IF(X448="","","Paying ahead of work: "&amp;B448&amp;" — paid "&amp;ROUND(T448*100,0)&amp;"%, work done "&amp;ROUND(R448*100,0)&amp;"%")</f>
        <v/>
      </c>
      <c r="AA448" s="72" t="n"/>
      <c r="AB448" s="109" t="n"/>
      <c r="AC448" s="113" t="n"/>
      <c r="AD448" s="74" t="n"/>
      <c r="AE448" s="109" t="n"/>
      <c r="AF448" s="74" t="n"/>
      <c r="AG448" s="112">
        <f>IF(AND(AA448&lt;&gt;"",AD448="Yes",AF448&lt;&gt;"Yes",AE448&lt;&gt;""),AE448,"")</f>
        <v/>
      </c>
      <c r="AH448" s="79">
        <f>IF(AG448="","",IF(AG448&lt;AsOf,1,IF(AG448&lt;=AsOf+AlertDays,2,IF(AG448&lt;=AsOf+2*AlertDays,3,""))))</f>
        <v/>
      </c>
      <c r="AI448" s="79">
        <f>IF(AH448="","","Follow up with "&amp;AA448&amp;": "&amp;AC448)</f>
        <v/>
      </c>
    </row>
    <row r="449" ht="20" customHeight="1">
      <c r="B449" s="72" t="n"/>
      <c r="C449" s="72" t="n"/>
      <c r="D449" s="72" t="n"/>
      <c r="E449" s="72" t="n"/>
      <c r="F449" s="72" t="n"/>
      <c r="G449" s="72" t="n"/>
      <c r="H449" s="72" t="n"/>
      <c r="I449" s="73" t="n"/>
      <c r="J449" s="75">
        <f>IF(B449="","",SUMIFS('Change Orders'!$J$7:$J$1006,'Change Orders'!$E$7:$E$1006,B449,'Change Orders'!$L$7:$L$1006,"Approved"))</f>
        <v/>
      </c>
      <c r="K449" s="76">
        <f>IF(B449="","",I449+J449)</f>
        <v/>
      </c>
      <c r="L449" s="74" t="n"/>
      <c r="M449" s="109" t="n"/>
      <c r="N449" s="109" t="n"/>
      <c r="O449" s="74" t="n"/>
      <c r="P449" s="74" t="n"/>
      <c r="Q449" s="100" t="n"/>
      <c r="R449" s="110" t="n"/>
      <c r="S449" s="75">
        <f>IF(B449="","",SUMIFS('Payments'!$N$6:$N$1005,'Payments'!$B$6:$B$1005,B449))</f>
        <v/>
      </c>
      <c r="T449" s="111">
        <f>IF(OR(B449="",K449=0),"",S449/K449)</f>
        <v/>
      </c>
      <c r="U449" s="78">
        <f>IF(V449="","",IF(V449=2,"⚠️ Paying ahead of work","✓ OK"))</f>
        <v/>
      </c>
      <c r="V449" s="79">
        <f>IF(T449="","",IF(T449-R449&gt;OverpayTol,2,0))</f>
        <v/>
      </c>
      <c r="W449" s="112">
        <f>IF(V449=2,AsOf,"")</f>
        <v/>
      </c>
      <c r="X449" s="79">
        <f>IF(W449="","",1)</f>
        <v/>
      </c>
      <c r="Y449" s="79">
        <f>IF(X449="","","Paying ahead of work: "&amp;B449&amp;" — paid "&amp;ROUND(T449*100,0)&amp;"%, work done "&amp;ROUND(R449*100,0)&amp;"%")</f>
        <v/>
      </c>
      <c r="AA449" s="72" t="n"/>
      <c r="AB449" s="109" t="n"/>
      <c r="AC449" s="113" t="n"/>
      <c r="AD449" s="74" t="n"/>
      <c r="AE449" s="109" t="n"/>
      <c r="AF449" s="74" t="n"/>
      <c r="AG449" s="112">
        <f>IF(AND(AA449&lt;&gt;"",AD449="Yes",AF449&lt;&gt;"Yes",AE449&lt;&gt;""),AE449,"")</f>
        <v/>
      </c>
      <c r="AH449" s="79">
        <f>IF(AG449="","",IF(AG449&lt;AsOf,1,IF(AG449&lt;=AsOf+AlertDays,2,IF(AG449&lt;=AsOf+2*AlertDays,3,""))))</f>
        <v/>
      </c>
      <c r="AI449" s="79">
        <f>IF(AH449="","","Follow up with "&amp;AA449&amp;": "&amp;AC449)</f>
        <v/>
      </c>
    </row>
    <row r="450" ht="20" customHeight="1">
      <c r="B450" s="72" t="n"/>
      <c r="C450" s="72" t="n"/>
      <c r="D450" s="72" t="n"/>
      <c r="E450" s="72" t="n"/>
      <c r="F450" s="72" t="n"/>
      <c r="G450" s="72" t="n"/>
      <c r="H450" s="72" t="n"/>
      <c r="I450" s="73" t="n"/>
      <c r="J450" s="75">
        <f>IF(B450="","",SUMIFS('Change Orders'!$J$7:$J$1006,'Change Orders'!$E$7:$E$1006,B450,'Change Orders'!$L$7:$L$1006,"Approved"))</f>
        <v/>
      </c>
      <c r="K450" s="76">
        <f>IF(B450="","",I450+J450)</f>
        <v/>
      </c>
      <c r="L450" s="74" t="n"/>
      <c r="M450" s="109" t="n"/>
      <c r="N450" s="109" t="n"/>
      <c r="O450" s="74" t="n"/>
      <c r="P450" s="74" t="n"/>
      <c r="Q450" s="100" t="n"/>
      <c r="R450" s="110" t="n"/>
      <c r="S450" s="75">
        <f>IF(B450="","",SUMIFS('Payments'!$N$6:$N$1005,'Payments'!$B$6:$B$1005,B450))</f>
        <v/>
      </c>
      <c r="T450" s="111">
        <f>IF(OR(B450="",K450=0),"",S450/K450)</f>
        <v/>
      </c>
      <c r="U450" s="78">
        <f>IF(V450="","",IF(V450=2,"⚠️ Paying ahead of work","✓ OK"))</f>
        <v/>
      </c>
      <c r="V450" s="79">
        <f>IF(T450="","",IF(T450-R450&gt;OverpayTol,2,0))</f>
        <v/>
      </c>
      <c r="W450" s="112">
        <f>IF(V450=2,AsOf,"")</f>
        <v/>
      </c>
      <c r="X450" s="79">
        <f>IF(W450="","",1)</f>
        <v/>
      </c>
      <c r="Y450" s="79">
        <f>IF(X450="","","Paying ahead of work: "&amp;B450&amp;" — paid "&amp;ROUND(T450*100,0)&amp;"%, work done "&amp;ROUND(R450*100,0)&amp;"%")</f>
        <v/>
      </c>
      <c r="AA450" s="72" t="n"/>
      <c r="AB450" s="109" t="n"/>
      <c r="AC450" s="113" t="n"/>
      <c r="AD450" s="74" t="n"/>
      <c r="AE450" s="109" t="n"/>
      <c r="AF450" s="74" t="n"/>
      <c r="AG450" s="112">
        <f>IF(AND(AA450&lt;&gt;"",AD450="Yes",AF450&lt;&gt;"Yes",AE450&lt;&gt;""),AE450,"")</f>
        <v/>
      </c>
      <c r="AH450" s="79">
        <f>IF(AG450="","",IF(AG450&lt;AsOf,1,IF(AG450&lt;=AsOf+AlertDays,2,IF(AG450&lt;=AsOf+2*AlertDays,3,""))))</f>
        <v/>
      </c>
      <c r="AI450" s="79">
        <f>IF(AH450="","","Follow up with "&amp;AA450&amp;": "&amp;AC450)</f>
        <v/>
      </c>
    </row>
    <row r="451" ht="20" customHeight="1">
      <c r="B451" s="72" t="n"/>
      <c r="C451" s="72" t="n"/>
      <c r="D451" s="72" t="n"/>
      <c r="E451" s="72" t="n"/>
      <c r="F451" s="72" t="n"/>
      <c r="G451" s="72" t="n"/>
      <c r="H451" s="72" t="n"/>
      <c r="I451" s="73" t="n"/>
      <c r="J451" s="75">
        <f>IF(B451="","",SUMIFS('Change Orders'!$J$7:$J$1006,'Change Orders'!$E$7:$E$1006,B451,'Change Orders'!$L$7:$L$1006,"Approved"))</f>
        <v/>
      </c>
      <c r="K451" s="76">
        <f>IF(B451="","",I451+J451)</f>
        <v/>
      </c>
      <c r="L451" s="74" t="n"/>
      <c r="M451" s="109" t="n"/>
      <c r="N451" s="109" t="n"/>
      <c r="O451" s="74" t="n"/>
      <c r="P451" s="74" t="n"/>
      <c r="Q451" s="100" t="n"/>
      <c r="R451" s="110" t="n"/>
      <c r="S451" s="75">
        <f>IF(B451="","",SUMIFS('Payments'!$N$6:$N$1005,'Payments'!$B$6:$B$1005,B451))</f>
        <v/>
      </c>
      <c r="T451" s="111">
        <f>IF(OR(B451="",K451=0),"",S451/K451)</f>
        <v/>
      </c>
      <c r="U451" s="78">
        <f>IF(V451="","",IF(V451=2,"⚠️ Paying ahead of work","✓ OK"))</f>
        <v/>
      </c>
      <c r="V451" s="79">
        <f>IF(T451="","",IF(T451-R451&gt;OverpayTol,2,0))</f>
        <v/>
      </c>
      <c r="W451" s="112">
        <f>IF(V451=2,AsOf,"")</f>
        <v/>
      </c>
      <c r="X451" s="79">
        <f>IF(W451="","",1)</f>
        <v/>
      </c>
      <c r="Y451" s="79">
        <f>IF(X451="","","Paying ahead of work: "&amp;B451&amp;" — paid "&amp;ROUND(T451*100,0)&amp;"%, work done "&amp;ROUND(R451*100,0)&amp;"%")</f>
        <v/>
      </c>
      <c r="AA451" s="72" t="n"/>
      <c r="AB451" s="109" t="n"/>
      <c r="AC451" s="113" t="n"/>
      <c r="AD451" s="74" t="n"/>
      <c r="AE451" s="109" t="n"/>
      <c r="AF451" s="74" t="n"/>
      <c r="AG451" s="112">
        <f>IF(AND(AA451&lt;&gt;"",AD451="Yes",AF451&lt;&gt;"Yes",AE451&lt;&gt;""),AE451,"")</f>
        <v/>
      </c>
      <c r="AH451" s="79">
        <f>IF(AG451="","",IF(AG451&lt;AsOf,1,IF(AG451&lt;=AsOf+AlertDays,2,IF(AG451&lt;=AsOf+2*AlertDays,3,""))))</f>
        <v/>
      </c>
      <c r="AI451" s="79">
        <f>IF(AH451="","","Follow up with "&amp;AA451&amp;": "&amp;AC451)</f>
        <v/>
      </c>
    </row>
    <row r="452" ht="20" customHeight="1">
      <c r="B452" s="72" t="n"/>
      <c r="C452" s="72" t="n"/>
      <c r="D452" s="72" t="n"/>
      <c r="E452" s="72" t="n"/>
      <c r="F452" s="72" t="n"/>
      <c r="G452" s="72" t="n"/>
      <c r="H452" s="72" t="n"/>
      <c r="I452" s="73" t="n"/>
      <c r="J452" s="75">
        <f>IF(B452="","",SUMIFS('Change Orders'!$J$7:$J$1006,'Change Orders'!$E$7:$E$1006,B452,'Change Orders'!$L$7:$L$1006,"Approved"))</f>
        <v/>
      </c>
      <c r="K452" s="76">
        <f>IF(B452="","",I452+J452)</f>
        <v/>
      </c>
      <c r="L452" s="74" t="n"/>
      <c r="M452" s="109" t="n"/>
      <c r="N452" s="109" t="n"/>
      <c r="O452" s="74" t="n"/>
      <c r="P452" s="74" t="n"/>
      <c r="Q452" s="100" t="n"/>
      <c r="R452" s="110" t="n"/>
      <c r="S452" s="75">
        <f>IF(B452="","",SUMIFS('Payments'!$N$6:$N$1005,'Payments'!$B$6:$B$1005,B452))</f>
        <v/>
      </c>
      <c r="T452" s="111">
        <f>IF(OR(B452="",K452=0),"",S452/K452)</f>
        <v/>
      </c>
      <c r="U452" s="78">
        <f>IF(V452="","",IF(V452=2,"⚠️ Paying ahead of work","✓ OK"))</f>
        <v/>
      </c>
      <c r="V452" s="79">
        <f>IF(T452="","",IF(T452-R452&gt;OverpayTol,2,0))</f>
        <v/>
      </c>
      <c r="W452" s="112">
        <f>IF(V452=2,AsOf,"")</f>
        <v/>
      </c>
      <c r="X452" s="79">
        <f>IF(W452="","",1)</f>
        <v/>
      </c>
      <c r="Y452" s="79">
        <f>IF(X452="","","Paying ahead of work: "&amp;B452&amp;" — paid "&amp;ROUND(T452*100,0)&amp;"%, work done "&amp;ROUND(R452*100,0)&amp;"%")</f>
        <v/>
      </c>
      <c r="AA452" s="72" t="n"/>
      <c r="AB452" s="109" t="n"/>
      <c r="AC452" s="113" t="n"/>
      <c r="AD452" s="74" t="n"/>
      <c r="AE452" s="109" t="n"/>
      <c r="AF452" s="74" t="n"/>
      <c r="AG452" s="112">
        <f>IF(AND(AA452&lt;&gt;"",AD452="Yes",AF452&lt;&gt;"Yes",AE452&lt;&gt;""),AE452,"")</f>
        <v/>
      </c>
      <c r="AH452" s="79">
        <f>IF(AG452="","",IF(AG452&lt;AsOf,1,IF(AG452&lt;=AsOf+AlertDays,2,IF(AG452&lt;=AsOf+2*AlertDays,3,""))))</f>
        <v/>
      </c>
      <c r="AI452" s="79">
        <f>IF(AH452="","","Follow up with "&amp;AA452&amp;": "&amp;AC452)</f>
        <v/>
      </c>
    </row>
    <row r="453" ht="20" customHeight="1">
      <c r="B453" s="72" t="n"/>
      <c r="C453" s="72" t="n"/>
      <c r="D453" s="72" t="n"/>
      <c r="E453" s="72" t="n"/>
      <c r="F453" s="72" t="n"/>
      <c r="G453" s="72" t="n"/>
      <c r="H453" s="72" t="n"/>
      <c r="I453" s="73" t="n"/>
      <c r="J453" s="75">
        <f>IF(B453="","",SUMIFS('Change Orders'!$J$7:$J$1006,'Change Orders'!$E$7:$E$1006,B453,'Change Orders'!$L$7:$L$1006,"Approved"))</f>
        <v/>
      </c>
      <c r="K453" s="76">
        <f>IF(B453="","",I453+J453)</f>
        <v/>
      </c>
      <c r="L453" s="74" t="n"/>
      <c r="M453" s="109" t="n"/>
      <c r="N453" s="109" t="n"/>
      <c r="O453" s="74" t="n"/>
      <c r="P453" s="74" t="n"/>
      <c r="Q453" s="100" t="n"/>
      <c r="R453" s="110" t="n"/>
      <c r="S453" s="75">
        <f>IF(B453="","",SUMIFS('Payments'!$N$6:$N$1005,'Payments'!$B$6:$B$1005,B453))</f>
        <v/>
      </c>
      <c r="T453" s="111">
        <f>IF(OR(B453="",K453=0),"",S453/K453)</f>
        <v/>
      </c>
      <c r="U453" s="78">
        <f>IF(V453="","",IF(V453=2,"⚠️ Paying ahead of work","✓ OK"))</f>
        <v/>
      </c>
      <c r="V453" s="79">
        <f>IF(T453="","",IF(T453-R453&gt;OverpayTol,2,0))</f>
        <v/>
      </c>
      <c r="W453" s="112">
        <f>IF(V453=2,AsOf,"")</f>
        <v/>
      </c>
      <c r="X453" s="79">
        <f>IF(W453="","",1)</f>
        <v/>
      </c>
      <c r="Y453" s="79">
        <f>IF(X453="","","Paying ahead of work: "&amp;B453&amp;" — paid "&amp;ROUND(T453*100,0)&amp;"%, work done "&amp;ROUND(R453*100,0)&amp;"%")</f>
        <v/>
      </c>
      <c r="AA453" s="72" t="n"/>
      <c r="AB453" s="109" t="n"/>
      <c r="AC453" s="113" t="n"/>
      <c r="AD453" s="74" t="n"/>
      <c r="AE453" s="109" t="n"/>
      <c r="AF453" s="74" t="n"/>
      <c r="AG453" s="112">
        <f>IF(AND(AA453&lt;&gt;"",AD453="Yes",AF453&lt;&gt;"Yes",AE453&lt;&gt;""),AE453,"")</f>
        <v/>
      </c>
      <c r="AH453" s="79">
        <f>IF(AG453="","",IF(AG453&lt;AsOf,1,IF(AG453&lt;=AsOf+AlertDays,2,IF(AG453&lt;=AsOf+2*AlertDays,3,""))))</f>
        <v/>
      </c>
      <c r="AI453" s="79">
        <f>IF(AH453="","","Follow up with "&amp;AA453&amp;": "&amp;AC453)</f>
        <v/>
      </c>
    </row>
    <row r="454" ht="20" customHeight="1">
      <c r="B454" s="72" t="n"/>
      <c r="C454" s="72" t="n"/>
      <c r="D454" s="72" t="n"/>
      <c r="E454" s="72" t="n"/>
      <c r="F454" s="72" t="n"/>
      <c r="G454" s="72" t="n"/>
      <c r="H454" s="72" t="n"/>
      <c r="I454" s="73" t="n"/>
      <c r="J454" s="75">
        <f>IF(B454="","",SUMIFS('Change Orders'!$J$7:$J$1006,'Change Orders'!$E$7:$E$1006,B454,'Change Orders'!$L$7:$L$1006,"Approved"))</f>
        <v/>
      </c>
      <c r="K454" s="76">
        <f>IF(B454="","",I454+J454)</f>
        <v/>
      </c>
      <c r="L454" s="74" t="n"/>
      <c r="M454" s="109" t="n"/>
      <c r="N454" s="109" t="n"/>
      <c r="O454" s="74" t="n"/>
      <c r="P454" s="74" t="n"/>
      <c r="Q454" s="100" t="n"/>
      <c r="R454" s="110" t="n"/>
      <c r="S454" s="75">
        <f>IF(B454="","",SUMIFS('Payments'!$N$6:$N$1005,'Payments'!$B$6:$B$1005,B454))</f>
        <v/>
      </c>
      <c r="T454" s="111">
        <f>IF(OR(B454="",K454=0),"",S454/K454)</f>
        <v/>
      </c>
      <c r="U454" s="78">
        <f>IF(V454="","",IF(V454=2,"⚠️ Paying ahead of work","✓ OK"))</f>
        <v/>
      </c>
      <c r="V454" s="79">
        <f>IF(T454="","",IF(T454-R454&gt;OverpayTol,2,0))</f>
        <v/>
      </c>
      <c r="W454" s="112">
        <f>IF(V454=2,AsOf,"")</f>
        <v/>
      </c>
      <c r="X454" s="79">
        <f>IF(W454="","",1)</f>
        <v/>
      </c>
      <c r="Y454" s="79">
        <f>IF(X454="","","Paying ahead of work: "&amp;B454&amp;" — paid "&amp;ROUND(T454*100,0)&amp;"%, work done "&amp;ROUND(R454*100,0)&amp;"%")</f>
        <v/>
      </c>
      <c r="AA454" s="72" t="n"/>
      <c r="AB454" s="109" t="n"/>
      <c r="AC454" s="113" t="n"/>
      <c r="AD454" s="74" t="n"/>
      <c r="AE454" s="109" t="n"/>
      <c r="AF454" s="74" t="n"/>
      <c r="AG454" s="112">
        <f>IF(AND(AA454&lt;&gt;"",AD454="Yes",AF454&lt;&gt;"Yes",AE454&lt;&gt;""),AE454,"")</f>
        <v/>
      </c>
      <c r="AH454" s="79">
        <f>IF(AG454="","",IF(AG454&lt;AsOf,1,IF(AG454&lt;=AsOf+AlertDays,2,IF(AG454&lt;=AsOf+2*AlertDays,3,""))))</f>
        <v/>
      </c>
      <c r="AI454" s="79">
        <f>IF(AH454="","","Follow up with "&amp;AA454&amp;": "&amp;AC454)</f>
        <v/>
      </c>
    </row>
    <row r="455" ht="20" customHeight="1">
      <c r="B455" s="72" t="n"/>
      <c r="C455" s="72" t="n"/>
      <c r="D455" s="72" t="n"/>
      <c r="E455" s="72" t="n"/>
      <c r="F455" s="72" t="n"/>
      <c r="G455" s="72" t="n"/>
      <c r="H455" s="72" t="n"/>
      <c r="I455" s="73" t="n"/>
      <c r="J455" s="75">
        <f>IF(B455="","",SUMIFS('Change Orders'!$J$7:$J$1006,'Change Orders'!$E$7:$E$1006,B455,'Change Orders'!$L$7:$L$1006,"Approved"))</f>
        <v/>
      </c>
      <c r="K455" s="76">
        <f>IF(B455="","",I455+J455)</f>
        <v/>
      </c>
      <c r="L455" s="74" t="n"/>
      <c r="M455" s="109" t="n"/>
      <c r="N455" s="109" t="n"/>
      <c r="O455" s="74" t="n"/>
      <c r="P455" s="74" t="n"/>
      <c r="Q455" s="100" t="n"/>
      <c r="R455" s="110" t="n"/>
      <c r="S455" s="75">
        <f>IF(B455="","",SUMIFS('Payments'!$N$6:$N$1005,'Payments'!$B$6:$B$1005,B455))</f>
        <v/>
      </c>
      <c r="T455" s="111">
        <f>IF(OR(B455="",K455=0),"",S455/K455)</f>
        <v/>
      </c>
      <c r="U455" s="78">
        <f>IF(V455="","",IF(V455=2,"⚠️ Paying ahead of work","✓ OK"))</f>
        <v/>
      </c>
      <c r="V455" s="79">
        <f>IF(T455="","",IF(T455-R455&gt;OverpayTol,2,0))</f>
        <v/>
      </c>
      <c r="W455" s="112">
        <f>IF(V455=2,AsOf,"")</f>
        <v/>
      </c>
      <c r="X455" s="79">
        <f>IF(W455="","",1)</f>
        <v/>
      </c>
      <c r="Y455" s="79">
        <f>IF(X455="","","Paying ahead of work: "&amp;B455&amp;" — paid "&amp;ROUND(T455*100,0)&amp;"%, work done "&amp;ROUND(R455*100,0)&amp;"%")</f>
        <v/>
      </c>
      <c r="AA455" s="72" t="n"/>
      <c r="AB455" s="109" t="n"/>
      <c r="AC455" s="113" t="n"/>
      <c r="AD455" s="74" t="n"/>
      <c r="AE455" s="109" t="n"/>
      <c r="AF455" s="74" t="n"/>
      <c r="AG455" s="112">
        <f>IF(AND(AA455&lt;&gt;"",AD455="Yes",AF455&lt;&gt;"Yes",AE455&lt;&gt;""),AE455,"")</f>
        <v/>
      </c>
      <c r="AH455" s="79">
        <f>IF(AG455="","",IF(AG455&lt;AsOf,1,IF(AG455&lt;=AsOf+AlertDays,2,IF(AG455&lt;=AsOf+2*AlertDays,3,""))))</f>
        <v/>
      </c>
      <c r="AI455" s="79">
        <f>IF(AH455="","","Follow up with "&amp;AA455&amp;": "&amp;AC455)</f>
        <v/>
      </c>
    </row>
    <row r="456" ht="20" customHeight="1">
      <c r="B456" s="72" t="n"/>
      <c r="C456" s="72" t="n"/>
      <c r="D456" s="72" t="n"/>
      <c r="E456" s="72" t="n"/>
      <c r="F456" s="72" t="n"/>
      <c r="G456" s="72" t="n"/>
      <c r="H456" s="72" t="n"/>
      <c r="I456" s="73" t="n"/>
      <c r="J456" s="75">
        <f>IF(B456="","",SUMIFS('Change Orders'!$J$7:$J$1006,'Change Orders'!$E$7:$E$1006,B456,'Change Orders'!$L$7:$L$1006,"Approved"))</f>
        <v/>
      </c>
      <c r="K456" s="76">
        <f>IF(B456="","",I456+J456)</f>
        <v/>
      </c>
      <c r="L456" s="74" t="n"/>
      <c r="M456" s="109" t="n"/>
      <c r="N456" s="109" t="n"/>
      <c r="O456" s="74" t="n"/>
      <c r="P456" s="74" t="n"/>
      <c r="Q456" s="100" t="n"/>
      <c r="R456" s="110" t="n"/>
      <c r="S456" s="75">
        <f>IF(B456="","",SUMIFS('Payments'!$N$6:$N$1005,'Payments'!$B$6:$B$1005,B456))</f>
        <v/>
      </c>
      <c r="T456" s="111">
        <f>IF(OR(B456="",K456=0),"",S456/K456)</f>
        <v/>
      </c>
      <c r="U456" s="78">
        <f>IF(V456="","",IF(V456=2,"⚠️ Paying ahead of work","✓ OK"))</f>
        <v/>
      </c>
      <c r="V456" s="79">
        <f>IF(T456="","",IF(T456-R456&gt;OverpayTol,2,0))</f>
        <v/>
      </c>
      <c r="W456" s="112">
        <f>IF(V456=2,AsOf,"")</f>
        <v/>
      </c>
      <c r="X456" s="79">
        <f>IF(W456="","",1)</f>
        <v/>
      </c>
      <c r="Y456" s="79">
        <f>IF(X456="","","Paying ahead of work: "&amp;B456&amp;" — paid "&amp;ROUND(T456*100,0)&amp;"%, work done "&amp;ROUND(R456*100,0)&amp;"%")</f>
        <v/>
      </c>
      <c r="AA456" s="72" t="n"/>
      <c r="AB456" s="109" t="n"/>
      <c r="AC456" s="113" t="n"/>
      <c r="AD456" s="74" t="n"/>
      <c r="AE456" s="109" t="n"/>
      <c r="AF456" s="74" t="n"/>
      <c r="AG456" s="112">
        <f>IF(AND(AA456&lt;&gt;"",AD456="Yes",AF456&lt;&gt;"Yes",AE456&lt;&gt;""),AE456,"")</f>
        <v/>
      </c>
      <c r="AH456" s="79">
        <f>IF(AG456="","",IF(AG456&lt;AsOf,1,IF(AG456&lt;=AsOf+AlertDays,2,IF(AG456&lt;=AsOf+2*AlertDays,3,""))))</f>
        <v/>
      </c>
      <c r="AI456" s="79">
        <f>IF(AH456="","","Follow up with "&amp;AA456&amp;": "&amp;AC456)</f>
        <v/>
      </c>
    </row>
    <row r="457" ht="20" customHeight="1">
      <c r="B457" s="72" t="n"/>
      <c r="C457" s="72" t="n"/>
      <c r="D457" s="72" t="n"/>
      <c r="E457" s="72" t="n"/>
      <c r="F457" s="72" t="n"/>
      <c r="G457" s="72" t="n"/>
      <c r="H457" s="72" t="n"/>
      <c r="I457" s="73" t="n"/>
      <c r="J457" s="75">
        <f>IF(B457="","",SUMIFS('Change Orders'!$J$7:$J$1006,'Change Orders'!$E$7:$E$1006,B457,'Change Orders'!$L$7:$L$1006,"Approved"))</f>
        <v/>
      </c>
      <c r="K457" s="76">
        <f>IF(B457="","",I457+J457)</f>
        <v/>
      </c>
      <c r="L457" s="74" t="n"/>
      <c r="M457" s="109" t="n"/>
      <c r="N457" s="109" t="n"/>
      <c r="O457" s="74" t="n"/>
      <c r="P457" s="74" t="n"/>
      <c r="Q457" s="100" t="n"/>
      <c r="R457" s="110" t="n"/>
      <c r="S457" s="75">
        <f>IF(B457="","",SUMIFS('Payments'!$N$6:$N$1005,'Payments'!$B$6:$B$1005,B457))</f>
        <v/>
      </c>
      <c r="T457" s="111">
        <f>IF(OR(B457="",K457=0),"",S457/K457)</f>
        <v/>
      </c>
      <c r="U457" s="78">
        <f>IF(V457="","",IF(V457=2,"⚠️ Paying ahead of work","✓ OK"))</f>
        <v/>
      </c>
      <c r="V457" s="79">
        <f>IF(T457="","",IF(T457-R457&gt;OverpayTol,2,0))</f>
        <v/>
      </c>
      <c r="W457" s="112">
        <f>IF(V457=2,AsOf,"")</f>
        <v/>
      </c>
      <c r="X457" s="79">
        <f>IF(W457="","",1)</f>
        <v/>
      </c>
      <c r="Y457" s="79">
        <f>IF(X457="","","Paying ahead of work: "&amp;B457&amp;" — paid "&amp;ROUND(T457*100,0)&amp;"%, work done "&amp;ROUND(R457*100,0)&amp;"%")</f>
        <v/>
      </c>
      <c r="AA457" s="72" t="n"/>
      <c r="AB457" s="109" t="n"/>
      <c r="AC457" s="113" t="n"/>
      <c r="AD457" s="74" t="n"/>
      <c r="AE457" s="109" t="n"/>
      <c r="AF457" s="74" t="n"/>
      <c r="AG457" s="112">
        <f>IF(AND(AA457&lt;&gt;"",AD457="Yes",AF457&lt;&gt;"Yes",AE457&lt;&gt;""),AE457,"")</f>
        <v/>
      </c>
      <c r="AH457" s="79">
        <f>IF(AG457="","",IF(AG457&lt;AsOf,1,IF(AG457&lt;=AsOf+AlertDays,2,IF(AG457&lt;=AsOf+2*AlertDays,3,""))))</f>
        <v/>
      </c>
      <c r="AI457" s="79">
        <f>IF(AH457="","","Follow up with "&amp;AA457&amp;": "&amp;AC457)</f>
        <v/>
      </c>
    </row>
    <row r="458" ht="20" customHeight="1">
      <c r="B458" s="72" t="n"/>
      <c r="C458" s="72" t="n"/>
      <c r="D458" s="72" t="n"/>
      <c r="E458" s="72" t="n"/>
      <c r="F458" s="72" t="n"/>
      <c r="G458" s="72" t="n"/>
      <c r="H458" s="72" t="n"/>
      <c r="I458" s="73" t="n"/>
      <c r="J458" s="75">
        <f>IF(B458="","",SUMIFS('Change Orders'!$J$7:$J$1006,'Change Orders'!$E$7:$E$1006,B458,'Change Orders'!$L$7:$L$1006,"Approved"))</f>
        <v/>
      </c>
      <c r="K458" s="76">
        <f>IF(B458="","",I458+J458)</f>
        <v/>
      </c>
      <c r="L458" s="74" t="n"/>
      <c r="M458" s="109" t="n"/>
      <c r="N458" s="109" t="n"/>
      <c r="O458" s="74" t="n"/>
      <c r="P458" s="74" t="n"/>
      <c r="Q458" s="100" t="n"/>
      <c r="R458" s="110" t="n"/>
      <c r="S458" s="75">
        <f>IF(B458="","",SUMIFS('Payments'!$N$6:$N$1005,'Payments'!$B$6:$B$1005,B458))</f>
        <v/>
      </c>
      <c r="T458" s="111">
        <f>IF(OR(B458="",K458=0),"",S458/K458)</f>
        <v/>
      </c>
      <c r="U458" s="78">
        <f>IF(V458="","",IF(V458=2,"⚠️ Paying ahead of work","✓ OK"))</f>
        <v/>
      </c>
      <c r="V458" s="79">
        <f>IF(T458="","",IF(T458-R458&gt;OverpayTol,2,0))</f>
        <v/>
      </c>
      <c r="W458" s="112">
        <f>IF(V458=2,AsOf,"")</f>
        <v/>
      </c>
      <c r="X458" s="79">
        <f>IF(W458="","",1)</f>
        <v/>
      </c>
      <c r="Y458" s="79">
        <f>IF(X458="","","Paying ahead of work: "&amp;B458&amp;" — paid "&amp;ROUND(T458*100,0)&amp;"%, work done "&amp;ROUND(R458*100,0)&amp;"%")</f>
        <v/>
      </c>
      <c r="AA458" s="72" t="n"/>
      <c r="AB458" s="109" t="n"/>
      <c r="AC458" s="113" t="n"/>
      <c r="AD458" s="74" t="n"/>
      <c r="AE458" s="109" t="n"/>
      <c r="AF458" s="74" t="n"/>
      <c r="AG458" s="112">
        <f>IF(AND(AA458&lt;&gt;"",AD458="Yes",AF458&lt;&gt;"Yes",AE458&lt;&gt;""),AE458,"")</f>
        <v/>
      </c>
      <c r="AH458" s="79">
        <f>IF(AG458="","",IF(AG458&lt;AsOf,1,IF(AG458&lt;=AsOf+AlertDays,2,IF(AG458&lt;=AsOf+2*AlertDays,3,""))))</f>
        <v/>
      </c>
      <c r="AI458" s="79">
        <f>IF(AH458="","","Follow up with "&amp;AA458&amp;": "&amp;AC458)</f>
        <v/>
      </c>
    </row>
    <row r="459" ht="20" customHeight="1">
      <c r="B459" s="72" t="n"/>
      <c r="C459" s="72" t="n"/>
      <c r="D459" s="72" t="n"/>
      <c r="E459" s="72" t="n"/>
      <c r="F459" s="72" t="n"/>
      <c r="G459" s="72" t="n"/>
      <c r="H459" s="72" t="n"/>
      <c r="I459" s="73" t="n"/>
      <c r="J459" s="75">
        <f>IF(B459="","",SUMIFS('Change Orders'!$J$7:$J$1006,'Change Orders'!$E$7:$E$1006,B459,'Change Orders'!$L$7:$L$1006,"Approved"))</f>
        <v/>
      </c>
      <c r="K459" s="76">
        <f>IF(B459="","",I459+J459)</f>
        <v/>
      </c>
      <c r="L459" s="74" t="n"/>
      <c r="M459" s="109" t="n"/>
      <c r="N459" s="109" t="n"/>
      <c r="O459" s="74" t="n"/>
      <c r="P459" s="74" t="n"/>
      <c r="Q459" s="100" t="n"/>
      <c r="R459" s="110" t="n"/>
      <c r="S459" s="75">
        <f>IF(B459="","",SUMIFS('Payments'!$N$6:$N$1005,'Payments'!$B$6:$B$1005,B459))</f>
        <v/>
      </c>
      <c r="T459" s="111">
        <f>IF(OR(B459="",K459=0),"",S459/K459)</f>
        <v/>
      </c>
      <c r="U459" s="78">
        <f>IF(V459="","",IF(V459=2,"⚠️ Paying ahead of work","✓ OK"))</f>
        <v/>
      </c>
      <c r="V459" s="79">
        <f>IF(T459="","",IF(T459-R459&gt;OverpayTol,2,0))</f>
        <v/>
      </c>
      <c r="W459" s="112">
        <f>IF(V459=2,AsOf,"")</f>
        <v/>
      </c>
      <c r="X459" s="79">
        <f>IF(W459="","",1)</f>
        <v/>
      </c>
      <c r="Y459" s="79">
        <f>IF(X459="","","Paying ahead of work: "&amp;B459&amp;" — paid "&amp;ROUND(T459*100,0)&amp;"%, work done "&amp;ROUND(R459*100,0)&amp;"%")</f>
        <v/>
      </c>
      <c r="AA459" s="72" t="n"/>
      <c r="AB459" s="109" t="n"/>
      <c r="AC459" s="113" t="n"/>
      <c r="AD459" s="74" t="n"/>
      <c r="AE459" s="109" t="n"/>
      <c r="AF459" s="74" t="n"/>
      <c r="AG459" s="112">
        <f>IF(AND(AA459&lt;&gt;"",AD459="Yes",AF459&lt;&gt;"Yes",AE459&lt;&gt;""),AE459,"")</f>
        <v/>
      </c>
      <c r="AH459" s="79">
        <f>IF(AG459="","",IF(AG459&lt;AsOf,1,IF(AG459&lt;=AsOf+AlertDays,2,IF(AG459&lt;=AsOf+2*AlertDays,3,""))))</f>
        <v/>
      </c>
      <c r="AI459" s="79">
        <f>IF(AH459="","","Follow up with "&amp;AA459&amp;": "&amp;AC459)</f>
        <v/>
      </c>
    </row>
    <row r="460" ht="20" customHeight="1">
      <c r="B460" s="72" t="n"/>
      <c r="C460" s="72" t="n"/>
      <c r="D460" s="72" t="n"/>
      <c r="E460" s="72" t="n"/>
      <c r="F460" s="72" t="n"/>
      <c r="G460" s="72" t="n"/>
      <c r="H460" s="72" t="n"/>
      <c r="I460" s="73" t="n"/>
      <c r="J460" s="75">
        <f>IF(B460="","",SUMIFS('Change Orders'!$J$7:$J$1006,'Change Orders'!$E$7:$E$1006,B460,'Change Orders'!$L$7:$L$1006,"Approved"))</f>
        <v/>
      </c>
      <c r="K460" s="76">
        <f>IF(B460="","",I460+J460)</f>
        <v/>
      </c>
      <c r="L460" s="74" t="n"/>
      <c r="M460" s="109" t="n"/>
      <c r="N460" s="109" t="n"/>
      <c r="O460" s="74" t="n"/>
      <c r="P460" s="74" t="n"/>
      <c r="Q460" s="100" t="n"/>
      <c r="R460" s="110" t="n"/>
      <c r="S460" s="75">
        <f>IF(B460="","",SUMIFS('Payments'!$N$6:$N$1005,'Payments'!$B$6:$B$1005,B460))</f>
        <v/>
      </c>
      <c r="T460" s="111">
        <f>IF(OR(B460="",K460=0),"",S460/K460)</f>
        <v/>
      </c>
      <c r="U460" s="78">
        <f>IF(V460="","",IF(V460=2,"⚠️ Paying ahead of work","✓ OK"))</f>
        <v/>
      </c>
      <c r="V460" s="79">
        <f>IF(T460="","",IF(T460-R460&gt;OverpayTol,2,0))</f>
        <v/>
      </c>
      <c r="W460" s="112">
        <f>IF(V460=2,AsOf,"")</f>
        <v/>
      </c>
      <c r="X460" s="79">
        <f>IF(W460="","",1)</f>
        <v/>
      </c>
      <c r="Y460" s="79">
        <f>IF(X460="","","Paying ahead of work: "&amp;B460&amp;" — paid "&amp;ROUND(T460*100,0)&amp;"%, work done "&amp;ROUND(R460*100,0)&amp;"%")</f>
        <v/>
      </c>
      <c r="AA460" s="72" t="n"/>
      <c r="AB460" s="109" t="n"/>
      <c r="AC460" s="113" t="n"/>
      <c r="AD460" s="74" t="n"/>
      <c r="AE460" s="109" t="n"/>
      <c r="AF460" s="74" t="n"/>
      <c r="AG460" s="112">
        <f>IF(AND(AA460&lt;&gt;"",AD460="Yes",AF460&lt;&gt;"Yes",AE460&lt;&gt;""),AE460,"")</f>
        <v/>
      </c>
      <c r="AH460" s="79">
        <f>IF(AG460="","",IF(AG460&lt;AsOf,1,IF(AG460&lt;=AsOf+AlertDays,2,IF(AG460&lt;=AsOf+2*AlertDays,3,""))))</f>
        <v/>
      </c>
      <c r="AI460" s="79">
        <f>IF(AH460="","","Follow up with "&amp;AA460&amp;": "&amp;AC460)</f>
        <v/>
      </c>
    </row>
    <row r="461" ht="20" customHeight="1">
      <c r="B461" s="72" t="n"/>
      <c r="C461" s="72" t="n"/>
      <c r="D461" s="72" t="n"/>
      <c r="E461" s="72" t="n"/>
      <c r="F461" s="72" t="n"/>
      <c r="G461" s="72" t="n"/>
      <c r="H461" s="72" t="n"/>
      <c r="I461" s="73" t="n"/>
      <c r="J461" s="75">
        <f>IF(B461="","",SUMIFS('Change Orders'!$J$7:$J$1006,'Change Orders'!$E$7:$E$1006,B461,'Change Orders'!$L$7:$L$1006,"Approved"))</f>
        <v/>
      </c>
      <c r="K461" s="76">
        <f>IF(B461="","",I461+J461)</f>
        <v/>
      </c>
      <c r="L461" s="74" t="n"/>
      <c r="M461" s="109" t="n"/>
      <c r="N461" s="109" t="n"/>
      <c r="O461" s="74" t="n"/>
      <c r="P461" s="74" t="n"/>
      <c r="Q461" s="100" t="n"/>
      <c r="R461" s="110" t="n"/>
      <c r="S461" s="75">
        <f>IF(B461="","",SUMIFS('Payments'!$N$6:$N$1005,'Payments'!$B$6:$B$1005,B461))</f>
        <v/>
      </c>
      <c r="T461" s="111">
        <f>IF(OR(B461="",K461=0),"",S461/K461)</f>
        <v/>
      </c>
      <c r="U461" s="78">
        <f>IF(V461="","",IF(V461=2,"⚠️ Paying ahead of work","✓ OK"))</f>
        <v/>
      </c>
      <c r="V461" s="79">
        <f>IF(T461="","",IF(T461-R461&gt;OverpayTol,2,0))</f>
        <v/>
      </c>
      <c r="W461" s="112">
        <f>IF(V461=2,AsOf,"")</f>
        <v/>
      </c>
      <c r="X461" s="79">
        <f>IF(W461="","",1)</f>
        <v/>
      </c>
      <c r="Y461" s="79">
        <f>IF(X461="","","Paying ahead of work: "&amp;B461&amp;" — paid "&amp;ROUND(T461*100,0)&amp;"%, work done "&amp;ROUND(R461*100,0)&amp;"%")</f>
        <v/>
      </c>
      <c r="AA461" s="72" t="n"/>
      <c r="AB461" s="109" t="n"/>
      <c r="AC461" s="113" t="n"/>
      <c r="AD461" s="74" t="n"/>
      <c r="AE461" s="109" t="n"/>
      <c r="AF461" s="74" t="n"/>
      <c r="AG461" s="112">
        <f>IF(AND(AA461&lt;&gt;"",AD461="Yes",AF461&lt;&gt;"Yes",AE461&lt;&gt;""),AE461,"")</f>
        <v/>
      </c>
      <c r="AH461" s="79">
        <f>IF(AG461="","",IF(AG461&lt;AsOf,1,IF(AG461&lt;=AsOf+AlertDays,2,IF(AG461&lt;=AsOf+2*AlertDays,3,""))))</f>
        <v/>
      </c>
      <c r="AI461" s="79">
        <f>IF(AH461="","","Follow up with "&amp;AA461&amp;": "&amp;AC461)</f>
        <v/>
      </c>
    </row>
    <row r="462" ht="20" customHeight="1">
      <c r="B462" s="72" t="n"/>
      <c r="C462" s="72" t="n"/>
      <c r="D462" s="72" t="n"/>
      <c r="E462" s="72" t="n"/>
      <c r="F462" s="72" t="n"/>
      <c r="G462" s="72" t="n"/>
      <c r="H462" s="72" t="n"/>
      <c r="I462" s="73" t="n"/>
      <c r="J462" s="75">
        <f>IF(B462="","",SUMIFS('Change Orders'!$J$7:$J$1006,'Change Orders'!$E$7:$E$1006,B462,'Change Orders'!$L$7:$L$1006,"Approved"))</f>
        <v/>
      </c>
      <c r="K462" s="76">
        <f>IF(B462="","",I462+J462)</f>
        <v/>
      </c>
      <c r="L462" s="74" t="n"/>
      <c r="M462" s="109" t="n"/>
      <c r="N462" s="109" t="n"/>
      <c r="O462" s="74" t="n"/>
      <c r="P462" s="74" t="n"/>
      <c r="Q462" s="100" t="n"/>
      <c r="R462" s="110" t="n"/>
      <c r="S462" s="75">
        <f>IF(B462="","",SUMIFS('Payments'!$N$6:$N$1005,'Payments'!$B$6:$B$1005,B462))</f>
        <v/>
      </c>
      <c r="T462" s="111">
        <f>IF(OR(B462="",K462=0),"",S462/K462)</f>
        <v/>
      </c>
      <c r="U462" s="78">
        <f>IF(V462="","",IF(V462=2,"⚠️ Paying ahead of work","✓ OK"))</f>
        <v/>
      </c>
      <c r="V462" s="79">
        <f>IF(T462="","",IF(T462-R462&gt;OverpayTol,2,0))</f>
        <v/>
      </c>
      <c r="W462" s="112">
        <f>IF(V462=2,AsOf,"")</f>
        <v/>
      </c>
      <c r="X462" s="79">
        <f>IF(W462="","",1)</f>
        <v/>
      </c>
      <c r="Y462" s="79">
        <f>IF(X462="","","Paying ahead of work: "&amp;B462&amp;" — paid "&amp;ROUND(T462*100,0)&amp;"%, work done "&amp;ROUND(R462*100,0)&amp;"%")</f>
        <v/>
      </c>
      <c r="AA462" s="72" t="n"/>
      <c r="AB462" s="109" t="n"/>
      <c r="AC462" s="113" t="n"/>
      <c r="AD462" s="74" t="n"/>
      <c r="AE462" s="109" t="n"/>
      <c r="AF462" s="74" t="n"/>
      <c r="AG462" s="112">
        <f>IF(AND(AA462&lt;&gt;"",AD462="Yes",AF462&lt;&gt;"Yes",AE462&lt;&gt;""),AE462,"")</f>
        <v/>
      </c>
      <c r="AH462" s="79">
        <f>IF(AG462="","",IF(AG462&lt;AsOf,1,IF(AG462&lt;=AsOf+AlertDays,2,IF(AG462&lt;=AsOf+2*AlertDays,3,""))))</f>
        <v/>
      </c>
      <c r="AI462" s="79">
        <f>IF(AH462="","","Follow up with "&amp;AA462&amp;": "&amp;AC462)</f>
        <v/>
      </c>
    </row>
    <row r="463" ht="20" customHeight="1">
      <c r="B463" s="72" t="n"/>
      <c r="C463" s="72" t="n"/>
      <c r="D463" s="72" t="n"/>
      <c r="E463" s="72" t="n"/>
      <c r="F463" s="72" t="n"/>
      <c r="G463" s="72" t="n"/>
      <c r="H463" s="72" t="n"/>
      <c r="I463" s="73" t="n"/>
      <c r="J463" s="75">
        <f>IF(B463="","",SUMIFS('Change Orders'!$J$7:$J$1006,'Change Orders'!$E$7:$E$1006,B463,'Change Orders'!$L$7:$L$1006,"Approved"))</f>
        <v/>
      </c>
      <c r="K463" s="76">
        <f>IF(B463="","",I463+J463)</f>
        <v/>
      </c>
      <c r="L463" s="74" t="n"/>
      <c r="M463" s="109" t="n"/>
      <c r="N463" s="109" t="n"/>
      <c r="O463" s="74" t="n"/>
      <c r="P463" s="74" t="n"/>
      <c r="Q463" s="100" t="n"/>
      <c r="R463" s="110" t="n"/>
      <c r="S463" s="75">
        <f>IF(B463="","",SUMIFS('Payments'!$N$6:$N$1005,'Payments'!$B$6:$B$1005,B463))</f>
        <v/>
      </c>
      <c r="T463" s="111">
        <f>IF(OR(B463="",K463=0),"",S463/K463)</f>
        <v/>
      </c>
      <c r="U463" s="78">
        <f>IF(V463="","",IF(V463=2,"⚠️ Paying ahead of work","✓ OK"))</f>
        <v/>
      </c>
      <c r="V463" s="79">
        <f>IF(T463="","",IF(T463-R463&gt;OverpayTol,2,0))</f>
        <v/>
      </c>
      <c r="W463" s="112">
        <f>IF(V463=2,AsOf,"")</f>
        <v/>
      </c>
      <c r="X463" s="79">
        <f>IF(W463="","",1)</f>
        <v/>
      </c>
      <c r="Y463" s="79">
        <f>IF(X463="","","Paying ahead of work: "&amp;B463&amp;" — paid "&amp;ROUND(T463*100,0)&amp;"%, work done "&amp;ROUND(R463*100,0)&amp;"%")</f>
        <v/>
      </c>
      <c r="AA463" s="72" t="n"/>
      <c r="AB463" s="109" t="n"/>
      <c r="AC463" s="113" t="n"/>
      <c r="AD463" s="74" t="n"/>
      <c r="AE463" s="109" t="n"/>
      <c r="AF463" s="74" t="n"/>
      <c r="AG463" s="112">
        <f>IF(AND(AA463&lt;&gt;"",AD463="Yes",AF463&lt;&gt;"Yes",AE463&lt;&gt;""),AE463,"")</f>
        <v/>
      </c>
      <c r="AH463" s="79">
        <f>IF(AG463="","",IF(AG463&lt;AsOf,1,IF(AG463&lt;=AsOf+AlertDays,2,IF(AG463&lt;=AsOf+2*AlertDays,3,""))))</f>
        <v/>
      </c>
      <c r="AI463" s="79">
        <f>IF(AH463="","","Follow up with "&amp;AA463&amp;": "&amp;AC463)</f>
        <v/>
      </c>
    </row>
    <row r="464" ht="20" customHeight="1">
      <c r="B464" s="72" t="n"/>
      <c r="C464" s="72" t="n"/>
      <c r="D464" s="72" t="n"/>
      <c r="E464" s="72" t="n"/>
      <c r="F464" s="72" t="n"/>
      <c r="G464" s="72" t="n"/>
      <c r="H464" s="72" t="n"/>
      <c r="I464" s="73" t="n"/>
      <c r="J464" s="75">
        <f>IF(B464="","",SUMIFS('Change Orders'!$J$7:$J$1006,'Change Orders'!$E$7:$E$1006,B464,'Change Orders'!$L$7:$L$1006,"Approved"))</f>
        <v/>
      </c>
      <c r="K464" s="76">
        <f>IF(B464="","",I464+J464)</f>
        <v/>
      </c>
      <c r="L464" s="74" t="n"/>
      <c r="M464" s="109" t="n"/>
      <c r="N464" s="109" t="n"/>
      <c r="O464" s="74" t="n"/>
      <c r="P464" s="74" t="n"/>
      <c r="Q464" s="100" t="n"/>
      <c r="R464" s="110" t="n"/>
      <c r="S464" s="75">
        <f>IF(B464="","",SUMIFS('Payments'!$N$6:$N$1005,'Payments'!$B$6:$B$1005,B464))</f>
        <v/>
      </c>
      <c r="T464" s="111">
        <f>IF(OR(B464="",K464=0),"",S464/K464)</f>
        <v/>
      </c>
      <c r="U464" s="78">
        <f>IF(V464="","",IF(V464=2,"⚠️ Paying ahead of work","✓ OK"))</f>
        <v/>
      </c>
      <c r="V464" s="79">
        <f>IF(T464="","",IF(T464-R464&gt;OverpayTol,2,0))</f>
        <v/>
      </c>
      <c r="W464" s="112">
        <f>IF(V464=2,AsOf,"")</f>
        <v/>
      </c>
      <c r="X464" s="79">
        <f>IF(W464="","",1)</f>
        <v/>
      </c>
      <c r="Y464" s="79">
        <f>IF(X464="","","Paying ahead of work: "&amp;B464&amp;" — paid "&amp;ROUND(T464*100,0)&amp;"%, work done "&amp;ROUND(R464*100,0)&amp;"%")</f>
        <v/>
      </c>
      <c r="AA464" s="72" t="n"/>
      <c r="AB464" s="109" t="n"/>
      <c r="AC464" s="113" t="n"/>
      <c r="AD464" s="74" t="n"/>
      <c r="AE464" s="109" t="n"/>
      <c r="AF464" s="74" t="n"/>
      <c r="AG464" s="112">
        <f>IF(AND(AA464&lt;&gt;"",AD464="Yes",AF464&lt;&gt;"Yes",AE464&lt;&gt;""),AE464,"")</f>
        <v/>
      </c>
      <c r="AH464" s="79">
        <f>IF(AG464="","",IF(AG464&lt;AsOf,1,IF(AG464&lt;=AsOf+AlertDays,2,IF(AG464&lt;=AsOf+2*AlertDays,3,""))))</f>
        <v/>
      </c>
      <c r="AI464" s="79">
        <f>IF(AH464="","","Follow up with "&amp;AA464&amp;": "&amp;AC464)</f>
        <v/>
      </c>
    </row>
    <row r="465" ht="20" customHeight="1">
      <c r="B465" s="72" t="n"/>
      <c r="C465" s="72" t="n"/>
      <c r="D465" s="72" t="n"/>
      <c r="E465" s="72" t="n"/>
      <c r="F465" s="72" t="n"/>
      <c r="G465" s="72" t="n"/>
      <c r="H465" s="72" t="n"/>
      <c r="I465" s="73" t="n"/>
      <c r="J465" s="75">
        <f>IF(B465="","",SUMIFS('Change Orders'!$J$7:$J$1006,'Change Orders'!$E$7:$E$1006,B465,'Change Orders'!$L$7:$L$1006,"Approved"))</f>
        <v/>
      </c>
      <c r="K465" s="76">
        <f>IF(B465="","",I465+J465)</f>
        <v/>
      </c>
      <c r="L465" s="74" t="n"/>
      <c r="M465" s="109" t="n"/>
      <c r="N465" s="109" t="n"/>
      <c r="O465" s="74" t="n"/>
      <c r="P465" s="74" t="n"/>
      <c r="Q465" s="100" t="n"/>
      <c r="R465" s="110" t="n"/>
      <c r="S465" s="75">
        <f>IF(B465="","",SUMIFS('Payments'!$N$6:$N$1005,'Payments'!$B$6:$B$1005,B465))</f>
        <v/>
      </c>
      <c r="T465" s="111">
        <f>IF(OR(B465="",K465=0),"",S465/K465)</f>
        <v/>
      </c>
      <c r="U465" s="78">
        <f>IF(V465="","",IF(V465=2,"⚠️ Paying ahead of work","✓ OK"))</f>
        <v/>
      </c>
      <c r="V465" s="79">
        <f>IF(T465="","",IF(T465-R465&gt;OverpayTol,2,0))</f>
        <v/>
      </c>
      <c r="W465" s="112">
        <f>IF(V465=2,AsOf,"")</f>
        <v/>
      </c>
      <c r="X465" s="79">
        <f>IF(W465="","",1)</f>
        <v/>
      </c>
      <c r="Y465" s="79">
        <f>IF(X465="","","Paying ahead of work: "&amp;B465&amp;" — paid "&amp;ROUND(T465*100,0)&amp;"%, work done "&amp;ROUND(R465*100,0)&amp;"%")</f>
        <v/>
      </c>
      <c r="AA465" s="72" t="n"/>
      <c r="AB465" s="109" t="n"/>
      <c r="AC465" s="113" t="n"/>
      <c r="AD465" s="74" t="n"/>
      <c r="AE465" s="109" t="n"/>
      <c r="AF465" s="74" t="n"/>
      <c r="AG465" s="112">
        <f>IF(AND(AA465&lt;&gt;"",AD465="Yes",AF465&lt;&gt;"Yes",AE465&lt;&gt;""),AE465,"")</f>
        <v/>
      </c>
      <c r="AH465" s="79">
        <f>IF(AG465="","",IF(AG465&lt;AsOf,1,IF(AG465&lt;=AsOf+AlertDays,2,IF(AG465&lt;=AsOf+2*AlertDays,3,""))))</f>
        <v/>
      </c>
      <c r="AI465" s="79">
        <f>IF(AH465="","","Follow up with "&amp;AA465&amp;": "&amp;AC465)</f>
        <v/>
      </c>
    </row>
    <row r="466" ht="20" customHeight="1">
      <c r="B466" s="72" t="n"/>
      <c r="C466" s="72" t="n"/>
      <c r="D466" s="72" t="n"/>
      <c r="E466" s="72" t="n"/>
      <c r="F466" s="72" t="n"/>
      <c r="G466" s="72" t="n"/>
      <c r="H466" s="72" t="n"/>
      <c r="I466" s="73" t="n"/>
      <c r="J466" s="75">
        <f>IF(B466="","",SUMIFS('Change Orders'!$J$7:$J$1006,'Change Orders'!$E$7:$E$1006,B466,'Change Orders'!$L$7:$L$1006,"Approved"))</f>
        <v/>
      </c>
      <c r="K466" s="76">
        <f>IF(B466="","",I466+J466)</f>
        <v/>
      </c>
      <c r="L466" s="74" t="n"/>
      <c r="M466" s="109" t="n"/>
      <c r="N466" s="109" t="n"/>
      <c r="O466" s="74" t="n"/>
      <c r="P466" s="74" t="n"/>
      <c r="Q466" s="100" t="n"/>
      <c r="R466" s="110" t="n"/>
      <c r="S466" s="75">
        <f>IF(B466="","",SUMIFS('Payments'!$N$6:$N$1005,'Payments'!$B$6:$B$1005,B466))</f>
        <v/>
      </c>
      <c r="T466" s="111">
        <f>IF(OR(B466="",K466=0),"",S466/K466)</f>
        <v/>
      </c>
      <c r="U466" s="78">
        <f>IF(V466="","",IF(V466=2,"⚠️ Paying ahead of work","✓ OK"))</f>
        <v/>
      </c>
      <c r="V466" s="79">
        <f>IF(T466="","",IF(T466-R466&gt;OverpayTol,2,0))</f>
        <v/>
      </c>
      <c r="W466" s="112">
        <f>IF(V466=2,AsOf,"")</f>
        <v/>
      </c>
      <c r="X466" s="79">
        <f>IF(W466="","",1)</f>
        <v/>
      </c>
      <c r="Y466" s="79">
        <f>IF(X466="","","Paying ahead of work: "&amp;B466&amp;" — paid "&amp;ROUND(T466*100,0)&amp;"%, work done "&amp;ROUND(R466*100,0)&amp;"%")</f>
        <v/>
      </c>
      <c r="AA466" s="72" t="n"/>
      <c r="AB466" s="109" t="n"/>
      <c r="AC466" s="113" t="n"/>
      <c r="AD466" s="74" t="n"/>
      <c r="AE466" s="109" t="n"/>
      <c r="AF466" s="74" t="n"/>
      <c r="AG466" s="112">
        <f>IF(AND(AA466&lt;&gt;"",AD466="Yes",AF466&lt;&gt;"Yes",AE466&lt;&gt;""),AE466,"")</f>
        <v/>
      </c>
      <c r="AH466" s="79">
        <f>IF(AG466="","",IF(AG466&lt;AsOf,1,IF(AG466&lt;=AsOf+AlertDays,2,IF(AG466&lt;=AsOf+2*AlertDays,3,""))))</f>
        <v/>
      </c>
      <c r="AI466" s="79">
        <f>IF(AH466="","","Follow up with "&amp;AA466&amp;": "&amp;AC466)</f>
        <v/>
      </c>
    </row>
    <row r="467" ht="20" customHeight="1">
      <c r="B467" s="72" t="n"/>
      <c r="C467" s="72" t="n"/>
      <c r="D467" s="72" t="n"/>
      <c r="E467" s="72" t="n"/>
      <c r="F467" s="72" t="n"/>
      <c r="G467" s="72" t="n"/>
      <c r="H467" s="72" t="n"/>
      <c r="I467" s="73" t="n"/>
      <c r="J467" s="75">
        <f>IF(B467="","",SUMIFS('Change Orders'!$J$7:$J$1006,'Change Orders'!$E$7:$E$1006,B467,'Change Orders'!$L$7:$L$1006,"Approved"))</f>
        <v/>
      </c>
      <c r="K467" s="76">
        <f>IF(B467="","",I467+J467)</f>
        <v/>
      </c>
      <c r="L467" s="74" t="n"/>
      <c r="M467" s="109" t="n"/>
      <c r="N467" s="109" t="n"/>
      <c r="O467" s="74" t="n"/>
      <c r="P467" s="74" t="n"/>
      <c r="Q467" s="100" t="n"/>
      <c r="R467" s="110" t="n"/>
      <c r="S467" s="75">
        <f>IF(B467="","",SUMIFS('Payments'!$N$6:$N$1005,'Payments'!$B$6:$B$1005,B467))</f>
        <v/>
      </c>
      <c r="T467" s="111">
        <f>IF(OR(B467="",K467=0),"",S467/K467)</f>
        <v/>
      </c>
      <c r="U467" s="78">
        <f>IF(V467="","",IF(V467=2,"⚠️ Paying ahead of work","✓ OK"))</f>
        <v/>
      </c>
      <c r="V467" s="79">
        <f>IF(T467="","",IF(T467-R467&gt;OverpayTol,2,0))</f>
        <v/>
      </c>
      <c r="W467" s="112">
        <f>IF(V467=2,AsOf,"")</f>
        <v/>
      </c>
      <c r="X467" s="79">
        <f>IF(W467="","",1)</f>
        <v/>
      </c>
      <c r="Y467" s="79">
        <f>IF(X467="","","Paying ahead of work: "&amp;B467&amp;" — paid "&amp;ROUND(T467*100,0)&amp;"%, work done "&amp;ROUND(R467*100,0)&amp;"%")</f>
        <v/>
      </c>
      <c r="AA467" s="72" t="n"/>
      <c r="AB467" s="109" t="n"/>
      <c r="AC467" s="113" t="n"/>
      <c r="AD467" s="74" t="n"/>
      <c r="AE467" s="109" t="n"/>
      <c r="AF467" s="74" t="n"/>
      <c r="AG467" s="112">
        <f>IF(AND(AA467&lt;&gt;"",AD467="Yes",AF467&lt;&gt;"Yes",AE467&lt;&gt;""),AE467,"")</f>
        <v/>
      </c>
      <c r="AH467" s="79">
        <f>IF(AG467="","",IF(AG467&lt;AsOf,1,IF(AG467&lt;=AsOf+AlertDays,2,IF(AG467&lt;=AsOf+2*AlertDays,3,""))))</f>
        <v/>
      </c>
      <c r="AI467" s="79">
        <f>IF(AH467="","","Follow up with "&amp;AA467&amp;": "&amp;AC467)</f>
        <v/>
      </c>
    </row>
    <row r="468" ht="20" customHeight="1">
      <c r="B468" s="72" t="n"/>
      <c r="C468" s="72" t="n"/>
      <c r="D468" s="72" t="n"/>
      <c r="E468" s="72" t="n"/>
      <c r="F468" s="72" t="n"/>
      <c r="G468" s="72" t="n"/>
      <c r="H468" s="72" t="n"/>
      <c r="I468" s="73" t="n"/>
      <c r="J468" s="75">
        <f>IF(B468="","",SUMIFS('Change Orders'!$J$7:$J$1006,'Change Orders'!$E$7:$E$1006,B468,'Change Orders'!$L$7:$L$1006,"Approved"))</f>
        <v/>
      </c>
      <c r="K468" s="76">
        <f>IF(B468="","",I468+J468)</f>
        <v/>
      </c>
      <c r="L468" s="74" t="n"/>
      <c r="M468" s="109" t="n"/>
      <c r="N468" s="109" t="n"/>
      <c r="O468" s="74" t="n"/>
      <c r="P468" s="74" t="n"/>
      <c r="Q468" s="100" t="n"/>
      <c r="R468" s="110" t="n"/>
      <c r="S468" s="75">
        <f>IF(B468="","",SUMIFS('Payments'!$N$6:$N$1005,'Payments'!$B$6:$B$1005,B468))</f>
        <v/>
      </c>
      <c r="T468" s="111">
        <f>IF(OR(B468="",K468=0),"",S468/K468)</f>
        <v/>
      </c>
      <c r="U468" s="78">
        <f>IF(V468="","",IF(V468=2,"⚠️ Paying ahead of work","✓ OK"))</f>
        <v/>
      </c>
      <c r="V468" s="79">
        <f>IF(T468="","",IF(T468-R468&gt;OverpayTol,2,0))</f>
        <v/>
      </c>
      <c r="W468" s="112">
        <f>IF(V468=2,AsOf,"")</f>
        <v/>
      </c>
      <c r="X468" s="79">
        <f>IF(W468="","",1)</f>
        <v/>
      </c>
      <c r="Y468" s="79">
        <f>IF(X468="","","Paying ahead of work: "&amp;B468&amp;" — paid "&amp;ROUND(T468*100,0)&amp;"%, work done "&amp;ROUND(R468*100,0)&amp;"%")</f>
        <v/>
      </c>
      <c r="AA468" s="72" t="n"/>
      <c r="AB468" s="109" t="n"/>
      <c r="AC468" s="113" t="n"/>
      <c r="AD468" s="74" t="n"/>
      <c r="AE468" s="109" t="n"/>
      <c r="AF468" s="74" t="n"/>
      <c r="AG468" s="112">
        <f>IF(AND(AA468&lt;&gt;"",AD468="Yes",AF468&lt;&gt;"Yes",AE468&lt;&gt;""),AE468,"")</f>
        <v/>
      </c>
      <c r="AH468" s="79">
        <f>IF(AG468="","",IF(AG468&lt;AsOf,1,IF(AG468&lt;=AsOf+AlertDays,2,IF(AG468&lt;=AsOf+2*AlertDays,3,""))))</f>
        <v/>
      </c>
      <c r="AI468" s="79">
        <f>IF(AH468="","","Follow up with "&amp;AA468&amp;": "&amp;AC468)</f>
        <v/>
      </c>
    </row>
    <row r="469" ht="20" customHeight="1">
      <c r="B469" s="72" t="n"/>
      <c r="C469" s="72" t="n"/>
      <c r="D469" s="72" t="n"/>
      <c r="E469" s="72" t="n"/>
      <c r="F469" s="72" t="n"/>
      <c r="G469" s="72" t="n"/>
      <c r="H469" s="72" t="n"/>
      <c r="I469" s="73" t="n"/>
      <c r="J469" s="75">
        <f>IF(B469="","",SUMIFS('Change Orders'!$J$7:$J$1006,'Change Orders'!$E$7:$E$1006,B469,'Change Orders'!$L$7:$L$1006,"Approved"))</f>
        <v/>
      </c>
      <c r="K469" s="76">
        <f>IF(B469="","",I469+J469)</f>
        <v/>
      </c>
      <c r="L469" s="74" t="n"/>
      <c r="M469" s="109" t="n"/>
      <c r="N469" s="109" t="n"/>
      <c r="O469" s="74" t="n"/>
      <c r="P469" s="74" t="n"/>
      <c r="Q469" s="100" t="n"/>
      <c r="R469" s="110" t="n"/>
      <c r="S469" s="75">
        <f>IF(B469="","",SUMIFS('Payments'!$N$6:$N$1005,'Payments'!$B$6:$B$1005,B469))</f>
        <v/>
      </c>
      <c r="T469" s="111">
        <f>IF(OR(B469="",K469=0),"",S469/K469)</f>
        <v/>
      </c>
      <c r="U469" s="78">
        <f>IF(V469="","",IF(V469=2,"⚠️ Paying ahead of work","✓ OK"))</f>
        <v/>
      </c>
      <c r="V469" s="79">
        <f>IF(T469="","",IF(T469-R469&gt;OverpayTol,2,0))</f>
        <v/>
      </c>
      <c r="W469" s="112">
        <f>IF(V469=2,AsOf,"")</f>
        <v/>
      </c>
      <c r="X469" s="79">
        <f>IF(W469="","",1)</f>
        <v/>
      </c>
      <c r="Y469" s="79">
        <f>IF(X469="","","Paying ahead of work: "&amp;B469&amp;" — paid "&amp;ROUND(T469*100,0)&amp;"%, work done "&amp;ROUND(R469*100,0)&amp;"%")</f>
        <v/>
      </c>
      <c r="AA469" s="72" t="n"/>
      <c r="AB469" s="109" t="n"/>
      <c r="AC469" s="113" t="n"/>
      <c r="AD469" s="74" t="n"/>
      <c r="AE469" s="109" t="n"/>
      <c r="AF469" s="74" t="n"/>
      <c r="AG469" s="112">
        <f>IF(AND(AA469&lt;&gt;"",AD469="Yes",AF469&lt;&gt;"Yes",AE469&lt;&gt;""),AE469,"")</f>
        <v/>
      </c>
      <c r="AH469" s="79">
        <f>IF(AG469="","",IF(AG469&lt;AsOf,1,IF(AG469&lt;=AsOf+AlertDays,2,IF(AG469&lt;=AsOf+2*AlertDays,3,""))))</f>
        <v/>
      </c>
      <c r="AI469" s="79">
        <f>IF(AH469="","","Follow up with "&amp;AA469&amp;": "&amp;AC469)</f>
        <v/>
      </c>
    </row>
    <row r="470" ht="20" customHeight="1">
      <c r="B470" s="72" t="n"/>
      <c r="C470" s="72" t="n"/>
      <c r="D470" s="72" t="n"/>
      <c r="E470" s="72" t="n"/>
      <c r="F470" s="72" t="n"/>
      <c r="G470" s="72" t="n"/>
      <c r="H470" s="72" t="n"/>
      <c r="I470" s="73" t="n"/>
      <c r="J470" s="75">
        <f>IF(B470="","",SUMIFS('Change Orders'!$J$7:$J$1006,'Change Orders'!$E$7:$E$1006,B470,'Change Orders'!$L$7:$L$1006,"Approved"))</f>
        <v/>
      </c>
      <c r="K470" s="76">
        <f>IF(B470="","",I470+J470)</f>
        <v/>
      </c>
      <c r="L470" s="74" t="n"/>
      <c r="M470" s="109" t="n"/>
      <c r="N470" s="109" t="n"/>
      <c r="O470" s="74" t="n"/>
      <c r="P470" s="74" t="n"/>
      <c r="Q470" s="100" t="n"/>
      <c r="R470" s="110" t="n"/>
      <c r="S470" s="75">
        <f>IF(B470="","",SUMIFS('Payments'!$N$6:$N$1005,'Payments'!$B$6:$B$1005,B470))</f>
        <v/>
      </c>
      <c r="T470" s="111">
        <f>IF(OR(B470="",K470=0),"",S470/K470)</f>
        <v/>
      </c>
      <c r="U470" s="78">
        <f>IF(V470="","",IF(V470=2,"⚠️ Paying ahead of work","✓ OK"))</f>
        <v/>
      </c>
      <c r="V470" s="79">
        <f>IF(T470="","",IF(T470-R470&gt;OverpayTol,2,0))</f>
        <v/>
      </c>
      <c r="W470" s="112">
        <f>IF(V470=2,AsOf,"")</f>
        <v/>
      </c>
      <c r="X470" s="79">
        <f>IF(W470="","",1)</f>
        <v/>
      </c>
      <c r="Y470" s="79">
        <f>IF(X470="","","Paying ahead of work: "&amp;B470&amp;" — paid "&amp;ROUND(T470*100,0)&amp;"%, work done "&amp;ROUND(R470*100,0)&amp;"%")</f>
        <v/>
      </c>
      <c r="AA470" s="72" t="n"/>
      <c r="AB470" s="109" t="n"/>
      <c r="AC470" s="113" t="n"/>
      <c r="AD470" s="74" t="n"/>
      <c r="AE470" s="109" t="n"/>
      <c r="AF470" s="74" t="n"/>
      <c r="AG470" s="112">
        <f>IF(AND(AA470&lt;&gt;"",AD470="Yes",AF470&lt;&gt;"Yes",AE470&lt;&gt;""),AE470,"")</f>
        <v/>
      </c>
      <c r="AH470" s="79">
        <f>IF(AG470="","",IF(AG470&lt;AsOf,1,IF(AG470&lt;=AsOf+AlertDays,2,IF(AG470&lt;=AsOf+2*AlertDays,3,""))))</f>
        <v/>
      </c>
      <c r="AI470" s="79">
        <f>IF(AH470="","","Follow up with "&amp;AA470&amp;": "&amp;AC470)</f>
        <v/>
      </c>
    </row>
    <row r="471" ht="20" customHeight="1">
      <c r="B471" s="72" t="n"/>
      <c r="C471" s="72" t="n"/>
      <c r="D471" s="72" t="n"/>
      <c r="E471" s="72" t="n"/>
      <c r="F471" s="72" t="n"/>
      <c r="G471" s="72" t="n"/>
      <c r="H471" s="72" t="n"/>
      <c r="I471" s="73" t="n"/>
      <c r="J471" s="75">
        <f>IF(B471="","",SUMIFS('Change Orders'!$J$7:$J$1006,'Change Orders'!$E$7:$E$1006,B471,'Change Orders'!$L$7:$L$1006,"Approved"))</f>
        <v/>
      </c>
      <c r="K471" s="76">
        <f>IF(B471="","",I471+J471)</f>
        <v/>
      </c>
      <c r="L471" s="74" t="n"/>
      <c r="M471" s="109" t="n"/>
      <c r="N471" s="109" t="n"/>
      <c r="O471" s="74" t="n"/>
      <c r="P471" s="74" t="n"/>
      <c r="Q471" s="100" t="n"/>
      <c r="R471" s="110" t="n"/>
      <c r="S471" s="75">
        <f>IF(B471="","",SUMIFS('Payments'!$N$6:$N$1005,'Payments'!$B$6:$B$1005,B471))</f>
        <v/>
      </c>
      <c r="T471" s="111">
        <f>IF(OR(B471="",K471=0),"",S471/K471)</f>
        <v/>
      </c>
      <c r="U471" s="78">
        <f>IF(V471="","",IF(V471=2,"⚠️ Paying ahead of work","✓ OK"))</f>
        <v/>
      </c>
      <c r="V471" s="79">
        <f>IF(T471="","",IF(T471-R471&gt;OverpayTol,2,0))</f>
        <v/>
      </c>
      <c r="W471" s="112">
        <f>IF(V471=2,AsOf,"")</f>
        <v/>
      </c>
      <c r="X471" s="79">
        <f>IF(W471="","",1)</f>
        <v/>
      </c>
      <c r="Y471" s="79">
        <f>IF(X471="","","Paying ahead of work: "&amp;B471&amp;" — paid "&amp;ROUND(T471*100,0)&amp;"%, work done "&amp;ROUND(R471*100,0)&amp;"%")</f>
        <v/>
      </c>
      <c r="AA471" s="72" t="n"/>
      <c r="AB471" s="109" t="n"/>
      <c r="AC471" s="113" t="n"/>
      <c r="AD471" s="74" t="n"/>
      <c r="AE471" s="109" t="n"/>
      <c r="AF471" s="74" t="n"/>
      <c r="AG471" s="112">
        <f>IF(AND(AA471&lt;&gt;"",AD471="Yes",AF471&lt;&gt;"Yes",AE471&lt;&gt;""),AE471,"")</f>
        <v/>
      </c>
      <c r="AH471" s="79">
        <f>IF(AG471="","",IF(AG471&lt;AsOf,1,IF(AG471&lt;=AsOf+AlertDays,2,IF(AG471&lt;=AsOf+2*AlertDays,3,""))))</f>
        <v/>
      </c>
      <c r="AI471" s="79">
        <f>IF(AH471="","","Follow up with "&amp;AA471&amp;": "&amp;AC471)</f>
        <v/>
      </c>
    </row>
    <row r="472" ht="20" customHeight="1">
      <c r="B472" s="72" t="n"/>
      <c r="C472" s="72" t="n"/>
      <c r="D472" s="72" t="n"/>
      <c r="E472" s="72" t="n"/>
      <c r="F472" s="72" t="n"/>
      <c r="G472" s="72" t="n"/>
      <c r="H472" s="72" t="n"/>
      <c r="I472" s="73" t="n"/>
      <c r="J472" s="75">
        <f>IF(B472="","",SUMIFS('Change Orders'!$J$7:$J$1006,'Change Orders'!$E$7:$E$1006,B472,'Change Orders'!$L$7:$L$1006,"Approved"))</f>
        <v/>
      </c>
      <c r="K472" s="76">
        <f>IF(B472="","",I472+J472)</f>
        <v/>
      </c>
      <c r="L472" s="74" t="n"/>
      <c r="M472" s="109" t="n"/>
      <c r="N472" s="109" t="n"/>
      <c r="O472" s="74" t="n"/>
      <c r="P472" s="74" t="n"/>
      <c r="Q472" s="100" t="n"/>
      <c r="R472" s="110" t="n"/>
      <c r="S472" s="75">
        <f>IF(B472="","",SUMIFS('Payments'!$N$6:$N$1005,'Payments'!$B$6:$B$1005,B472))</f>
        <v/>
      </c>
      <c r="T472" s="111">
        <f>IF(OR(B472="",K472=0),"",S472/K472)</f>
        <v/>
      </c>
      <c r="U472" s="78">
        <f>IF(V472="","",IF(V472=2,"⚠️ Paying ahead of work","✓ OK"))</f>
        <v/>
      </c>
      <c r="V472" s="79">
        <f>IF(T472="","",IF(T472-R472&gt;OverpayTol,2,0))</f>
        <v/>
      </c>
      <c r="W472" s="112">
        <f>IF(V472=2,AsOf,"")</f>
        <v/>
      </c>
      <c r="X472" s="79">
        <f>IF(W472="","",1)</f>
        <v/>
      </c>
      <c r="Y472" s="79">
        <f>IF(X472="","","Paying ahead of work: "&amp;B472&amp;" — paid "&amp;ROUND(T472*100,0)&amp;"%, work done "&amp;ROUND(R472*100,0)&amp;"%")</f>
        <v/>
      </c>
      <c r="AA472" s="72" t="n"/>
      <c r="AB472" s="109" t="n"/>
      <c r="AC472" s="113" t="n"/>
      <c r="AD472" s="74" t="n"/>
      <c r="AE472" s="109" t="n"/>
      <c r="AF472" s="74" t="n"/>
      <c r="AG472" s="112">
        <f>IF(AND(AA472&lt;&gt;"",AD472="Yes",AF472&lt;&gt;"Yes",AE472&lt;&gt;""),AE472,"")</f>
        <v/>
      </c>
      <c r="AH472" s="79">
        <f>IF(AG472="","",IF(AG472&lt;AsOf,1,IF(AG472&lt;=AsOf+AlertDays,2,IF(AG472&lt;=AsOf+2*AlertDays,3,""))))</f>
        <v/>
      </c>
      <c r="AI472" s="79">
        <f>IF(AH472="","","Follow up with "&amp;AA472&amp;": "&amp;AC472)</f>
        <v/>
      </c>
    </row>
    <row r="473" ht="20" customHeight="1">
      <c r="B473" s="72" t="n"/>
      <c r="C473" s="72" t="n"/>
      <c r="D473" s="72" t="n"/>
      <c r="E473" s="72" t="n"/>
      <c r="F473" s="72" t="n"/>
      <c r="G473" s="72" t="n"/>
      <c r="H473" s="72" t="n"/>
      <c r="I473" s="73" t="n"/>
      <c r="J473" s="75">
        <f>IF(B473="","",SUMIFS('Change Orders'!$J$7:$J$1006,'Change Orders'!$E$7:$E$1006,B473,'Change Orders'!$L$7:$L$1006,"Approved"))</f>
        <v/>
      </c>
      <c r="K473" s="76">
        <f>IF(B473="","",I473+J473)</f>
        <v/>
      </c>
      <c r="L473" s="74" t="n"/>
      <c r="M473" s="109" t="n"/>
      <c r="N473" s="109" t="n"/>
      <c r="O473" s="74" t="n"/>
      <c r="P473" s="74" t="n"/>
      <c r="Q473" s="100" t="n"/>
      <c r="R473" s="110" t="n"/>
      <c r="S473" s="75">
        <f>IF(B473="","",SUMIFS('Payments'!$N$6:$N$1005,'Payments'!$B$6:$B$1005,B473))</f>
        <v/>
      </c>
      <c r="T473" s="111">
        <f>IF(OR(B473="",K473=0),"",S473/K473)</f>
        <v/>
      </c>
      <c r="U473" s="78">
        <f>IF(V473="","",IF(V473=2,"⚠️ Paying ahead of work","✓ OK"))</f>
        <v/>
      </c>
      <c r="V473" s="79">
        <f>IF(T473="","",IF(T473-R473&gt;OverpayTol,2,0))</f>
        <v/>
      </c>
      <c r="W473" s="112">
        <f>IF(V473=2,AsOf,"")</f>
        <v/>
      </c>
      <c r="X473" s="79">
        <f>IF(W473="","",1)</f>
        <v/>
      </c>
      <c r="Y473" s="79">
        <f>IF(X473="","","Paying ahead of work: "&amp;B473&amp;" — paid "&amp;ROUND(T473*100,0)&amp;"%, work done "&amp;ROUND(R473*100,0)&amp;"%")</f>
        <v/>
      </c>
      <c r="AA473" s="72" t="n"/>
      <c r="AB473" s="109" t="n"/>
      <c r="AC473" s="113" t="n"/>
      <c r="AD473" s="74" t="n"/>
      <c r="AE473" s="109" t="n"/>
      <c r="AF473" s="74" t="n"/>
      <c r="AG473" s="112">
        <f>IF(AND(AA473&lt;&gt;"",AD473="Yes",AF473&lt;&gt;"Yes",AE473&lt;&gt;""),AE473,"")</f>
        <v/>
      </c>
      <c r="AH473" s="79">
        <f>IF(AG473="","",IF(AG473&lt;AsOf,1,IF(AG473&lt;=AsOf+AlertDays,2,IF(AG473&lt;=AsOf+2*AlertDays,3,""))))</f>
        <v/>
      </c>
      <c r="AI473" s="79">
        <f>IF(AH473="","","Follow up with "&amp;AA473&amp;": "&amp;AC473)</f>
        <v/>
      </c>
    </row>
    <row r="474" ht="20" customHeight="1">
      <c r="B474" s="72" t="n"/>
      <c r="C474" s="72" t="n"/>
      <c r="D474" s="72" t="n"/>
      <c r="E474" s="72" t="n"/>
      <c r="F474" s="72" t="n"/>
      <c r="G474" s="72" t="n"/>
      <c r="H474" s="72" t="n"/>
      <c r="I474" s="73" t="n"/>
      <c r="J474" s="75">
        <f>IF(B474="","",SUMIFS('Change Orders'!$J$7:$J$1006,'Change Orders'!$E$7:$E$1006,B474,'Change Orders'!$L$7:$L$1006,"Approved"))</f>
        <v/>
      </c>
      <c r="K474" s="76">
        <f>IF(B474="","",I474+J474)</f>
        <v/>
      </c>
      <c r="L474" s="74" t="n"/>
      <c r="M474" s="109" t="n"/>
      <c r="N474" s="109" t="n"/>
      <c r="O474" s="74" t="n"/>
      <c r="P474" s="74" t="n"/>
      <c r="Q474" s="100" t="n"/>
      <c r="R474" s="110" t="n"/>
      <c r="S474" s="75">
        <f>IF(B474="","",SUMIFS('Payments'!$N$6:$N$1005,'Payments'!$B$6:$B$1005,B474))</f>
        <v/>
      </c>
      <c r="T474" s="111">
        <f>IF(OR(B474="",K474=0),"",S474/K474)</f>
        <v/>
      </c>
      <c r="U474" s="78">
        <f>IF(V474="","",IF(V474=2,"⚠️ Paying ahead of work","✓ OK"))</f>
        <v/>
      </c>
      <c r="V474" s="79">
        <f>IF(T474="","",IF(T474-R474&gt;OverpayTol,2,0))</f>
        <v/>
      </c>
      <c r="W474" s="112">
        <f>IF(V474=2,AsOf,"")</f>
        <v/>
      </c>
      <c r="X474" s="79">
        <f>IF(W474="","",1)</f>
        <v/>
      </c>
      <c r="Y474" s="79">
        <f>IF(X474="","","Paying ahead of work: "&amp;B474&amp;" — paid "&amp;ROUND(T474*100,0)&amp;"%, work done "&amp;ROUND(R474*100,0)&amp;"%")</f>
        <v/>
      </c>
      <c r="AA474" s="72" t="n"/>
      <c r="AB474" s="109" t="n"/>
      <c r="AC474" s="113" t="n"/>
      <c r="AD474" s="74" t="n"/>
      <c r="AE474" s="109" t="n"/>
      <c r="AF474" s="74" t="n"/>
      <c r="AG474" s="112">
        <f>IF(AND(AA474&lt;&gt;"",AD474="Yes",AF474&lt;&gt;"Yes",AE474&lt;&gt;""),AE474,"")</f>
        <v/>
      </c>
      <c r="AH474" s="79">
        <f>IF(AG474="","",IF(AG474&lt;AsOf,1,IF(AG474&lt;=AsOf+AlertDays,2,IF(AG474&lt;=AsOf+2*AlertDays,3,""))))</f>
        <v/>
      </c>
      <c r="AI474" s="79">
        <f>IF(AH474="","","Follow up with "&amp;AA474&amp;": "&amp;AC474)</f>
        <v/>
      </c>
    </row>
    <row r="475" ht="20" customHeight="1">
      <c r="B475" s="72" t="n"/>
      <c r="C475" s="72" t="n"/>
      <c r="D475" s="72" t="n"/>
      <c r="E475" s="72" t="n"/>
      <c r="F475" s="72" t="n"/>
      <c r="G475" s="72" t="n"/>
      <c r="H475" s="72" t="n"/>
      <c r="I475" s="73" t="n"/>
      <c r="J475" s="75">
        <f>IF(B475="","",SUMIFS('Change Orders'!$J$7:$J$1006,'Change Orders'!$E$7:$E$1006,B475,'Change Orders'!$L$7:$L$1006,"Approved"))</f>
        <v/>
      </c>
      <c r="K475" s="76">
        <f>IF(B475="","",I475+J475)</f>
        <v/>
      </c>
      <c r="L475" s="74" t="n"/>
      <c r="M475" s="109" t="n"/>
      <c r="N475" s="109" t="n"/>
      <c r="O475" s="74" t="n"/>
      <c r="P475" s="74" t="n"/>
      <c r="Q475" s="100" t="n"/>
      <c r="R475" s="110" t="n"/>
      <c r="S475" s="75">
        <f>IF(B475="","",SUMIFS('Payments'!$N$6:$N$1005,'Payments'!$B$6:$B$1005,B475))</f>
        <v/>
      </c>
      <c r="T475" s="111">
        <f>IF(OR(B475="",K475=0),"",S475/K475)</f>
        <v/>
      </c>
      <c r="U475" s="78">
        <f>IF(V475="","",IF(V475=2,"⚠️ Paying ahead of work","✓ OK"))</f>
        <v/>
      </c>
      <c r="V475" s="79">
        <f>IF(T475="","",IF(T475-R475&gt;OverpayTol,2,0))</f>
        <v/>
      </c>
      <c r="W475" s="112">
        <f>IF(V475=2,AsOf,"")</f>
        <v/>
      </c>
      <c r="X475" s="79">
        <f>IF(W475="","",1)</f>
        <v/>
      </c>
      <c r="Y475" s="79">
        <f>IF(X475="","","Paying ahead of work: "&amp;B475&amp;" — paid "&amp;ROUND(T475*100,0)&amp;"%, work done "&amp;ROUND(R475*100,0)&amp;"%")</f>
        <v/>
      </c>
      <c r="AA475" s="72" t="n"/>
      <c r="AB475" s="109" t="n"/>
      <c r="AC475" s="113" t="n"/>
      <c r="AD475" s="74" t="n"/>
      <c r="AE475" s="109" t="n"/>
      <c r="AF475" s="74" t="n"/>
      <c r="AG475" s="112">
        <f>IF(AND(AA475&lt;&gt;"",AD475="Yes",AF475&lt;&gt;"Yes",AE475&lt;&gt;""),AE475,"")</f>
        <v/>
      </c>
      <c r="AH475" s="79">
        <f>IF(AG475="","",IF(AG475&lt;AsOf,1,IF(AG475&lt;=AsOf+AlertDays,2,IF(AG475&lt;=AsOf+2*AlertDays,3,""))))</f>
        <v/>
      </c>
      <c r="AI475" s="79">
        <f>IF(AH475="","","Follow up with "&amp;AA475&amp;": "&amp;AC475)</f>
        <v/>
      </c>
    </row>
    <row r="476" ht="20" customHeight="1">
      <c r="B476" s="72" t="n"/>
      <c r="C476" s="72" t="n"/>
      <c r="D476" s="72" t="n"/>
      <c r="E476" s="72" t="n"/>
      <c r="F476" s="72" t="n"/>
      <c r="G476" s="72" t="n"/>
      <c r="H476" s="72" t="n"/>
      <c r="I476" s="73" t="n"/>
      <c r="J476" s="75">
        <f>IF(B476="","",SUMIFS('Change Orders'!$J$7:$J$1006,'Change Orders'!$E$7:$E$1006,B476,'Change Orders'!$L$7:$L$1006,"Approved"))</f>
        <v/>
      </c>
      <c r="K476" s="76">
        <f>IF(B476="","",I476+J476)</f>
        <v/>
      </c>
      <c r="L476" s="74" t="n"/>
      <c r="M476" s="109" t="n"/>
      <c r="N476" s="109" t="n"/>
      <c r="O476" s="74" t="n"/>
      <c r="P476" s="74" t="n"/>
      <c r="Q476" s="100" t="n"/>
      <c r="R476" s="110" t="n"/>
      <c r="S476" s="75">
        <f>IF(B476="","",SUMIFS('Payments'!$N$6:$N$1005,'Payments'!$B$6:$B$1005,B476))</f>
        <v/>
      </c>
      <c r="T476" s="111">
        <f>IF(OR(B476="",K476=0),"",S476/K476)</f>
        <v/>
      </c>
      <c r="U476" s="78">
        <f>IF(V476="","",IF(V476=2,"⚠️ Paying ahead of work","✓ OK"))</f>
        <v/>
      </c>
      <c r="V476" s="79">
        <f>IF(T476="","",IF(T476-R476&gt;OverpayTol,2,0))</f>
        <v/>
      </c>
      <c r="W476" s="112">
        <f>IF(V476=2,AsOf,"")</f>
        <v/>
      </c>
      <c r="X476" s="79">
        <f>IF(W476="","",1)</f>
        <v/>
      </c>
      <c r="Y476" s="79">
        <f>IF(X476="","","Paying ahead of work: "&amp;B476&amp;" — paid "&amp;ROUND(T476*100,0)&amp;"%, work done "&amp;ROUND(R476*100,0)&amp;"%")</f>
        <v/>
      </c>
      <c r="AA476" s="72" t="n"/>
      <c r="AB476" s="109" t="n"/>
      <c r="AC476" s="113" t="n"/>
      <c r="AD476" s="74" t="n"/>
      <c r="AE476" s="109" t="n"/>
      <c r="AF476" s="74" t="n"/>
      <c r="AG476" s="112">
        <f>IF(AND(AA476&lt;&gt;"",AD476="Yes",AF476&lt;&gt;"Yes",AE476&lt;&gt;""),AE476,"")</f>
        <v/>
      </c>
      <c r="AH476" s="79">
        <f>IF(AG476="","",IF(AG476&lt;AsOf,1,IF(AG476&lt;=AsOf+AlertDays,2,IF(AG476&lt;=AsOf+2*AlertDays,3,""))))</f>
        <v/>
      </c>
      <c r="AI476" s="79">
        <f>IF(AH476="","","Follow up with "&amp;AA476&amp;": "&amp;AC476)</f>
        <v/>
      </c>
    </row>
    <row r="477" ht="20" customHeight="1">
      <c r="B477" s="72" t="n"/>
      <c r="C477" s="72" t="n"/>
      <c r="D477" s="72" t="n"/>
      <c r="E477" s="72" t="n"/>
      <c r="F477" s="72" t="n"/>
      <c r="G477" s="72" t="n"/>
      <c r="H477" s="72" t="n"/>
      <c r="I477" s="73" t="n"/>
      <c r="J477" s="75">
        <f>IF(B477="","",SUMIFS('Change Orders'!$J$7:$J$1006,'Change Orders'!$E$7:$E$1006,B477,'Change Orders'!$L$7:$L$1006,"Approved"))</f>
        <v/>
      </c>
      <c r="K477" s="76">
        <f>IF(B477="","",I477+J477)</f>
        <v/>
      </c>
      <c r="L477" s="74" t="n"/>
      <c r="M477" s="109" t="n"/>
      <c r="N477" s="109" t="n"/>
      <c r="O477" s="74" t="n"/>
      <c r="P477" s="74" t="n"/>
      <c r="Q477" s="100" t="n"/>
      <c r="R477" s="110" t="n"/>
      <c r="S477" s="75">
        <f>IF(B477="","",SUMIFS('Payments'!$N$6:$N$1005,'Payments'!$B$6:$B$1005,B477))</f>
        <v/>
      </c>
      <c r="T477" s="111">
        <f>IF(OR(B477="",K477=0),"",S477/K477)</f>
        <v/>
      </c>
      <c r="U477" s="78">
        <f>IF(V477="","",IF(V477=2,"⚠️ Paying ahead of work","✓ OK"))</f>
        <v/>
      </c>
      <c r="V477" s="79">
        <f>IF(T477="","",IF(T477-R477&gt;OverpayTol,2,0))</f>
        <v/>
      </c>
      <c r="W477" s="112">
        <f>IF(V477=2,AsOf,"")</f>
        <v/>
      </c>
      <c r="X477" s="79">
        <f>IF(W477="","",1)</f>
        <v/>
      </c>
      <c r="Y477" s="79">
        <f>IF(X477="","","Paying ahead of work: "&amp;B477&amp;" — paid "&amp;ROUND(T477*100,0)&amp;"%, work done "&amp;ROUND(R477*100,0)&amp;"%")</f>
        <v/>
      </c>
      <c r="AA477" s="72" t="n"/>
      <c r="AB477" s="109" t="n"/>
      <c r="AC477" s="113" t="n"/>
      <c r="AD477" s="74" t="n"/>
      <c r="AE477" s="109" t="n"/>
      <c r="AF477" s="74" t="n"/>
      <c r="AG477" s="112">
        <f>IF(AND(AA477&lt;&gt;"",AD477="Yes",AF477&lt;&gt;"Yes",AE477&lt;&gt;""),AE477,"")</f>
        <v/>
      </c>
      <c r="AH477" s="79">
        <f>IF(AG477="","",IF(AG477&lt;AsOf,1,IF(AG477&lt;=AsOf+AlertDays,2,IF(AG477&lt;=AsOf+2*AlertDays,3,""))))</f>
        <v/>
      </c>
      <c r="AI477" s="79">
        <f>IF(AH477="","","Follow up with "&amp;AA477&amp;": "&amp;AC477)</f>
        <v/>
      </c>
    </row>
    <row r="478" ht="20" customHeight="1">
      <c r="B478" s="72" t="n"/>
      <c r="C478" s="72" t="n"/>
      <c r="D478" s="72" t="n"/>
      <c r="E478" s="72" t="n"/>
      <c r="F478" s="72" t="n"/>
      <c r="G478" s="72" t="n"/>
      <c r="H478" s="72" t="n"/>
      <c r="I478" s="73" t="n"/>
      <c r="J478" s="75">
        <f>IF(B478="","",SUMIFS('Change Orders'!$J$7:$J$1006,'Change Orders'!$E$7:$E$1006,B478,'Change Orders'!$L$7:$L$1006,"Approved"))</f>
        <v/>
      </c>
      <c r="K478" s="76">
        <f>IF(B478="","",I478+J478)</f>
        <v/>
      </c>
      <c r="L478" s="74" t="n"/>
      <c r="M478" s="109" t="n"/>
      <c r="N478" s="109" t="n"/>
      <c r="O478" s="74" t="n"/>
      <c r="P478" s="74" t="n"/>
      <c r="Q478" s="100" t="n"/>
      <c r="R478" s="110" t="n"/>
      <c r="S478" s="75">
        <f>IF(B478="","",SUMIFS('Payments'!$N$6:$N$1005,'Payments'!$B$6:$B$1005,B478))</f>
        <v/>
      </c>
      <c r="T478" s="111">
        <f>IF(OR(B478="",K478=0),"",S478/K478)</f>
        <v/>
      </c>
      <c r="U478" s="78">
        <f>IF(V478="","",IF(V478=2,"⚠️ Paying ahead of work","✓ OK"))</f>
        <v/>
      </c>
      <c r="V478" s="79">
        <f>IF(T478="","",IF(T478-R478&gt;OverpayTol,2,0))</f>
        <v/>
      </c>
      <c r="W478" s="112">
        <f>IF(V478=2,AsOf,"")</f>
        <v/>
      </c>
      <c r="X478" s="79">
        <f>IF(W478="","",1)</f>
        <v/>
      </c>
      <c r="Y478" s="79">
        <f>IF(X478="","","Paying ahead of work: "&amp;B478&amp;" — paid "&amp;ROUND(T478*100,0)&amp;"%, work done "&amp;ROUND(R478*100,0)&amp;"%")</f>
        <v/>
      </c>
      <c r="AA478" s="72" t="n"/>
      <c r="AB478" s="109" t="n"/>
      <c r="AC478" s="113" t="n"/>
      <c r="AD478" s="74" t="n"/>
      <c r="AE478" s="109" t="n"/>
      <c r="AF478" s="74" t="n"/>
      <c r="AG478" s="112">
        <f>IF(AND(AA478&lt;&gt;"",AD478="Yes",AF478&lt;&gt;"Yes",AE478&lt;&gt;""),AE478,"")</f>
        <v/>
      </c>
      <c r="AH478" s="79">
        <f>IF(AG478="","",IF(AG478&lt;AsOf,1,IF(AG478&lt;=AsOf+AlertDays,2,IF(AG478&lt;=AsOf+2*AlertDays,3,""))))</f>
        <v/>
      </c>
      <c r="AI478" s="79">
        <f>IF(AH478="","","Follow up with "&amp;AA478&amp;": "&amp;AC478)</f>
        <v/>
      </c>
    </row>
    <row r="479" ht="20" customHeight="1">
      <c r="B479" s="72" t="n"/>
      <c r="C479" s="72" t="n"/>
      <c r="D479" s="72" t="n"/>
      <c r="E479" s="72" t="n"/>
      <c r="F479" s="72" t="n"/>
      <c r="G479" s="72" t="n"/>
      <c r="H479" s="72" t="n"/>
      <c r="I479" s="73" t="n"/>
      <c r="J479" s="75">
        <f>IF(B479="","",SUMIFS('Change Orders'!$J$7:$J$1006,'Change Orders'!$E$7:$E$1006,B479,'Change Orders'!$L$7:$L$1006,"Approved"))</f>
        <v/>
      </c>
      <c r="K479" s="76">
        <f>IF(B479="","",I479+J479)</f>
        <v/>
      </c>
      <c r="L479" s="74" t="n"/>
      <c r="M479" s="109" t="n"/>
      <c r="N479" s="109" t="n"/>
      <c r="O479" s="74" t="n"/>
      <c r="P479" s="74" t="n"/>
      <c r="Q479" s="100" t="n"/>
      <c r="R479" s="110" t="n"/>
      <c r="S479" s="75">
        <f>IF(B479="","",SUMIFS('Payments'!$N$6:$N$1005,'Payments'!$B$6:$B$1005,B479))</f>
        <v/>
      </c>
      <c r="T479" s="111">
        <f>IF(OR(B479="",K479=0),"",S479/K479)</f>
        <v/>
      </c>
      <c r="U479" s="78">
        <f>IF(V479="","",IF(V479=2,"⚠️ Paying ahead of work","✓ OK"))</f>
        <v/>
      </c>
      <c r="V479" s="79">
        <f>IF(T479="","",IF(T479-R479&gt;OverpayTol,2,0))</f>
        <v/>
      </c>
      <c r="W479" s="112">
        <f>IF(V479=2,AsOf,"")</f>
        <v/>
      </c>
      <c r="X479" s="79">
        <f>IF(W479="","",1)</f>
        <v/>
      </c>
      <c r="Y479" s="79">
        <f>IF(X479="","","Paying ahead of work: "&amp;B479&amp;" — paid "&amp;ROUND(T479*100,0)&amp;"%, work done "&amp;ROUND(R479*100,0)&amp;"%")</f>
        <v/>
      </c>
      <c r="AA479" s="72" t="n"/>
      <c r="AB479" s="109" t="n"/>
      <c r="AC479" s="113" t="n"/>
      <c r="AD479" s="74" t="n"/>
      <c r="AE479" s="109" t="n"/>
      <c r="AF479" s="74" t="n"/>
      <c r="AG479" s="112">
        <f>IF(AND(AA479&lt;&gt;"",AD479="Yes",AF479&lt;&gt;"Yes",AE479&lt;&gt;""),AE479,"")</f>
        <v/>
      </c>
      <c r="AH479" s="79">
        <f>IF(AG479="","",IF(AG479&lt;AsOf,1,IF(AG479&lt;=AsOf+AlertDays,2,IF(AG479&lt;=AsOf+2*AlertDays,3,""))))</f>
        <v/>
      </c>
      <c r="AI479" s="79">
        <f>IF(AH479="","","Follow up with "&amp;AA479&amp;": "&amp;AC479)</f>
        <v/>
      </c>
    </row>
    <row r="480" ht="20" customHeight="1">
      <c r="B480" s="72" t="n"/>
      <c r="C480" s="72" t="n"/>
      <c r="D480" s="72" t="n"/>
      <c r="E480" s="72" t="n"/>
      <c r="F480" s="72" t="n"/>
      <c r="G480" s="72" t="n"/>
      <c r="H480" s="72" t="n"/>
      <c r="I480" s="73" t="n"/>
      <c r="J480" s="75">
        <f>IF(B480="","",SUMIFS('Change Orders'!$J$7:$J$1006,'Change Orders'!$E$7:$E$1006,B480,'Change Orders'!$L$7:$L$1006,"Approved"))</f>
        <v/>
      </c>
      <c r="K480" s="76">
        <f>IF(B480="","",I480+J480)</f>
        <v/>
      </c>
      <c r="L480" s="74" t="n"/>
      <c r="M480" s="109" t="n"/>
      <c r="N480" s="109" t="n"/>
      <c r="O480" s="74" t="n"/>
      <c r="P480" s="74" t="n"/>
      <c r="Q480" s="100" t="n"/>
      <c r="R480" s="110" t="n"/>
      <c r="S480" s="75">
        <f>IF(B480="","",SUMIFS('Payments'!$N$6:$N$1005,'Payments'!$B$6:$B$1005,B480))</f>
        <v/>
      </c>
      <c r="T480" s="111">
        <f>IF(OR(B480="",K480=0),"",S480/K480)</f>
        <v/>
      </c>
      <c r="U480" s="78">
        <f>IF(V480="","",IF(V480=2,"⚠️ Paying ahead of work","✓ OK"))</f>
        <v/>
      </c>
      <c r="V480" s="79">
        <f>IF(T480="","",IF(T480-R480&gt;OverpayTol,2,0))</f>
        <v/>
      </c>
      <c r="W480" s="112">
        <f>IF(V480=2,AsOf,"")</f>
        <v/>
      </c>
      <c r="X480" s="79">
        <f>IF(W480="","",1)</f>
        <v/>
      </c>
      <c r="Y480" s="79">
        <f>IF(X480="","","Paying ahead of work: "&amp;B480&amp;" — paid "&amp;ROUND(T480*100,0)&amp;"%, work done "&amp;ROUND(R480*100,0)&amp;"%")</f>
        <v/>
      </c>
      <c r="AA480" s="72" t="n"/>
      <c r="AB480" s="109" t="n"/>
      <c r="AC480" s="113" t="n"/>
      <c r="AD480" s="74" t="n"/>
      <c r="AE480" s="109" t="n"/>
      <c r="AF480" s="74" t="n"/>
      <c r="AG480" s="112">
        <f>IF(AND(AA480&lt;&gt;"",AD480="Yes",AF480&lt;&gt;"Yes",AE480&lt;&gt;""),AE480,"")</f>
        <v/>
      </c>
      <c r="AH480" s="79">
        <f>IF(AG480="","",IF(AG480&lt;AsOf,1,IF(AG480&lt;=AsOf+AlertDays,2,IF(AG480&lt;=AsOf+2*AlertDays,3,""))))</f>
        <v/>
      </c>
      <c r="AI480" s="79">
        <f>IF(AH480="","","Follow up with "&amp;AA480&amp;": "&amp;AC480)</f>
        <v/>
      </c>
    </row>
    <row r="481" ht="20" customHeight="1">
      <c r="B481" s="72" t="n"/>
      <c r="C481" s="72" t="n"/>
      <c r="D481" s="72" t="n"/>
      <c r="E481" s="72" t="n"/>
      <c r="F481" s="72" t="n"/>
      <c r="G481" s="72" t="n"/>
      <c r="H481" s="72" t="n"/>
      <c r="I481" s="73" t="n"/>
      <c r="J481" s="75">
        <f>IF(B481="","",SUMIFS('Change Orders'!$J$7:$J$1006,'Change Orders'!$E$7:$E$1006,B481,'Change Orders'!$L$7:$L$1006,"Approved"))</f>
        <v/>
      </c>
      <c r="K481" s="76">
        <f>IF(B481="","",I481+J481)</f>
        <v/>
      </c>
      <c r="L481" s="74" t="n"/>
      <c r="M481" s="109" t="n"/>
      <c r="N481" s="109" t="n"/>
      <c r="O481" s="74" t="n"/>
      <c r="P481" s="74" t="n"/>
      <c r="Q481" s="100" t="n"/>
      <c r="R481" s="110" t="n"/>
      <c r="S481" s="75">
        <f>IF(B481="","",SUMIFS('Payments'!$N$6:$N$1005,'Payments'!$B$6:$B$1005,B481))</f>
        <v/>
      </c>
      <c r="T481" s="111">
        <f>IF(OR(B481="",K481=0),"",S481/K481)</f>
        <v/>
      </c>
      <c r="U481" s="78">
        <f>IF(V481="","",IF(V481=2,"⚠️ Paying ahead of work","✓ OK"))</f>
        <v/>
      </c>
      <c r="V481" s="79">
        <f>IF(T481="","",IF(T481-R481&gt;OverpayTol,2,0))</f>
        <v/>
      </c>
      <c r="W481" s="112">
        <f>IF(V481=2,AsOf,"")</f>
        <v/>
      </c>
      <c r="X481" s="79">
        <f>IF(W481="","",1)</f>
        <v/>
      </c>
      <c r="Y481" s="79">
        <f>IF(X481="","","Paying ahead of work: "&amp;B481&amp;" — paid "&amp;ROUND(T481*100,0)&amp;"%, work done "&amp;ROUND(R481*100,0)&amp;"%")</f>
        <v/>
      </c>
      <c r="AA481" s="72" t="n"/>
      <c r="AB481" s="109" t="n"/>
      <c r="AC481" s="113" t="n"/>
      <c r="AD481" s="74" t="n"/>
      <c r="AE481" s="109" t="n"/>
      <c r="AF481" s="74" t="n"/>
      <c r="AG481" s="112">
        <f>IF(AND(AA481&lt;&gt;"",AD481="Yes",AF481&lt;&gt;"Yes",AE481&lt;&gt;""),AE481,"")</f>
        <v/>
      </c>
      <c r="AH481" s="79">
        <f>IF(AG481="","",IF(AG481&lt;AsOf,1,IF(AG481&lt;=AsOf+AlertDays,2,IF(AG481&lt;=AsOf+2*AlertDays,3,""))))</f>
        <v/>
      </c>
      <c r="AI481" s="79">
        <f>IF(AH481="","","Follow up with "&amp;AA481&amp;": "&amp;AC481)</f>
        <v/>
      </c>
    </row>
    <row r="482" ht="20" customHeight="1">
      <c r="B482" s="72" t="n"/>
      <c r="C482" s="72" t="n"/>
      <c r="D482" s="72" t="n"/>
      <c r="E482" s="72" t="n"/>
      <c r="F482" s="72" t="n"/>
      <c r="G482" s="72" t="n"/>
      <c r="H482" s="72" t="n"/>
      <c r="I482" s="73" t="n"/>
      <c r="J482" s="75">
        <f>IF(B482="","",SUMIFS('Change Orders'!$J$7:$J$1006,'Change Orders'!$E$7:$E$1006,B482,'Change Orders'!$L$7:$L$1006,"Approved"))</f>
        <v/>
      </c>
      <c r="K482" s="76">
        <f>IF(B482="","",I482+J482)</f>
        <v/>
      </c>
      <c r="L482" s="74" t="n"/>
      <c r="M482" s="109" t="n"/>
      <c r="N482" s="109" t="n"/>
      <c r="O482" s="74" t="n"/>
      <c r="P482" s="74" t="n"/>
      <c r="Q482" s="100" t="n"/>
      <c r="R482" s="110" t="n"/>
      <c r="S482" s="75">
        <f>IF(B482="","",SUMIFS('Payments'!$N$6:$N$1005,'Payments'!$B$6:$B$1005,B482))</f>
        <v/>
      </c>
      <c r="T482" s="111">
        <f>IF(OR(B482="",K482=0),"",S482/K482)</f>
        <v/>
      </c>
      <c r="U482" s="78">
        <f>IF(V482="","",IF(V482=2,"⚠️ Paying ahead of work","✓ OK"))</f>
        <v/>
      </c>
      <c r="V482" s="79">
        <f>IF(T482="","",IF(T482-R482&gt;OverpayTol,2,0))</f>
        <v/>
      </c>
      <c r="W482" s="112">
        <f>IF(V482=2,AsOf,"")</f>
        <v/>
      </c>
      <c r="X482" s="79">
        <f>IF(W482="","",1)</f>
        <v/>
      </c>
      <c r="Y482" s="79">
        <f>IF(X482="","","Paying ahead of work: "&amp;B482&amp;" — paid "&amp;ROUND(T482*100,0)&amp;"%, work done "&amp;ROUND(R482*100,0)&amp;"%")</f>
        <v/>
      </c>
      <c r="AA482" s="72" t="n"/>
      <c r="AB482" s="109" t="n"/>
      <c r="AC482" s="113" t="n"/>
      <c r="AD482" s="74" t="n"/>
      <c r="AE482" s="109" t="n"/>
      <c r="AF482" s="74" t="n"/>
      <c r="AG482" s="112">
        <f>IF(AND(AA482&lt;&gt;"",AD482="Yes",AF482&lt;&gt;"Yes",AE482&lt;&gt;""),AE482,"")</f>
        <v/>
      </c>
      <c r="AH482" s="79">
        <f>IF(AG482="","",IF(AG482&lt;AsOf,1,IF(AG482&lt;=AsOf+AlertDays,2,IF(AG482&lt;=AsOf+2*AlertDays,3,""))))</f>
        <v/>
      </c>
      <c r="AI482" s="79">
        <f>IF(AH482="","","Follow up with "&amp;AA482&amp;": "&amp;AC482)</f>
        <v/>
      </c>
    </row>
    <row r="483" ht="20" customHeight="1">
      <c r="B483" s="72" t="n"/>
      <c r="C483" s="72" t="n"/>
      <c r="D483" s="72" t="n"/>
      <c r="E483" s="72" t="n"/>
      <c r="F483" s="72" t="n"/>
      <c r="G483" s="72" t="n"/>
      <c r="H483" s="72" t="n"/>
      <c r="I483" s="73" t="n"/>
      <c r="J483" s="75">
        <f>IF(B483="","",SUMIFS('Change Orders'!$J$7:$J$1006,'Change Orders'!$E$7:$E$1006,B483,'Change Orders'!$L$7:$L$1006,"Approved"))</f>
        <v/>
      </c>
      <c r="K483" s="76">
        <f>IF(B483="","",I483+J483)</f>
        <v/>
      </c>
      <c r="L483" s="74" t="n"/>
      <c r="M483" s="109" t="n"/>
      <c r="N483" s="109" t="n"/>
      <c r="O483" s="74" t="n"/>
      <c r="P483" s="74" t="n"/>
      <c r="Q483" s="100" t="n"/>
      <c r="R483" s="110" t="n"/>
      <c r="S483" s="75">
        <f>IF(B483="","",SUMIFS('Payments'!$N$6:$N$1005,'Payments'!$B$6:$B$1005,B483))</f>
        <v/>
      </c>
      <c r="T483" s="111">
        <f>IF(OR(B483="",K483=0),"",S483/K483)</f>
        <v/>
      </c>
      <c r="U483" s="78">
        <f>IF(V483="","",IF(V483=2,"⚠️ Paying ahead of work","✓ OK"))</f>
        <v/>
      </c>
      <c r="V483" s="79">
        <f>IF(T483="","",IF(T483-R483&gt;OverpayTol,2,0))</f>
        <v/>
      </c>
      <c r="W483" s="112">
        <f>IF(V483=2,AsOf,"")</f>
        <v/>
      </c>
      <c r="X483" s="79">
        <f>IF(W483="","",1)</f>
        <v/>
      </c>
      <c r="Y483" s="79">
        <f>IF(X483="","","Paying ahead of work: "&amp;B483&amp;" — paid "&amp;ROUND(T483*100,0)&amp;"%, work done "&amp;ROUND(R483*100,0)&amp;"%")</f>
        <v/>
      </c>
      <c r="AA483" s="72" t="n"/>
      <c r="AB483" s="109" t="n"/>
      <c r="AC483" s="113" t="n"/>
      <c r="AD483" s="74" t="n"/>
      <c r="AE483" s="109" t="n"/>
      <c r="AF483" s="74" t="n"/>
      <c r="AG483" s="112">
        <f>IF(AND(AA483&lt;&gt;"",AD483="Yes",AF483&lt;&gt;"Yes",AE483&lt;&gt;""),AE483,"")</f>
        <v/>
      </c>
      <c r="AH483" s="79">
        <f>IF(AG483="","",IF(AG483&lt;AsOf,1,IF(AG483&lt;=AsOf+AlertDays,2,IF(AG483&lt;=AsOf+2*AlertDays,3,""))))</f>
        <v/>
      </c>
      <c r="AI483" s="79">
        <f>IF(AH483="","","Follow up with "&amp;AA483&amp;": "&amp;AC483)</f>
        <v/>
      </c>
    </row>
    <row r="484" ht="20" customHeight="1">
      <c r="B484" s="72" t="n"/>
      <c r="C484" s="72" t="n"/>
      <c r="D484" s="72" t="n"/>
      <c r="E484" s="72" t="n"/>
      <c r="F484" s="72" t="n"/>
      <c r="G484" s="72" t="n"/>
      <c r="H484" s="72" t="n"/>
      <c r="I484" s="73" t="n"/>
      <c r="J484" s="75">
        <f>IF(B484="","",SUMIFS('Change Orders'!$J$7:$J$1006,'Change Orders'!$E$7:$E$1006,B484,'Change Orders'!$L$7:$L$1006,"Approved"))</f>
        <v/>
      </c>
      <c r="K484" s="76">
        <f>IF(B484="","",I484+J484)</f>
        <v/>
      </c>
      <c r="L484" s="74" t="n"/>
      <c r="M484" s="109" t="n"/>
      <c r="N484" s="109" t="n"/>
      <c r="O484" s="74" t="n"/>
      <c r="P484" s="74" t="n"/>
      <c r="Q484" s="100" t="n"/>
      <c r="R484" s="110" t="n"/>
      <c r="S484" s="75">
        <f>IF(B484="","",SUMIFS('Payments'!$N$6:$N$1005,'Payments'!$B$6:$B$1005,B484))</f>
        <v/>
      </c>
      <c r="T484" s="111">
        <f>IF(OR(B484="",K484=0),"",S484/K484)</f>
        <v/>
      </c>
      <c r="U484" s="78">
        <f>IF(V484="","",IF(V484=2,"⚠️ Paying ahead of work","✓ OK"))</f>
        <v/>
      </c>
      <c r="V484" s="79">
        <f>IF(T484="","",IF(T484-R484&gt;OverpayTol,2,0))</f>
        <v/>
      </c>
      <c r="W484" s="112">
        <f>IF(V484=2,AsOf,"")</f>
        <v/>
      </c>
      <c r="X484" s="79">
        <f>IF(W484="","",1)</f>
        <v/>
      </c>
      <c r="Y484" s="79">
        <f>IF(X484="","","Paying ahead of work: "&amp;B484&amp;" — paid "&amp;ROUND(T484*100,0)&amp;"%, work done "&amp;ROUND(R484*100,0)&amp;"%")</f>
        <v/>
      </c>
      <c r="AA484" s="72" t="n"/>
      <c r="AB484" s="109" t="n"/>
      <c r="AC484" s="113" t="n"/>
      <c r="AD484" s="74" t="n"/>
      <c r="AE484" s="109" t="n"/>
      <c r="AF484" s="74" t="n"/>
      <c r="AG484" s="112">
        <f>IF(AND(AA484&lt;&gt;"",AD484="Yes",AF484&lt;&gt;"Yes",AE484&lt;&gt;""),AE484,"")</f>
        <v/>
      </c>
      <c r="AH484" s="79">
        <f>IF(AG484="","",IF(AG484&lt;AsOf,1,IF(AG484&lt;=AsOf+AlertDays,2,IF(AG484&lt;=AsOf+2*AlertDays,3,""))))</f>
        <v/>
      </c>
      <c r="AI484" s="79">
        <f>IF(AH484="","","Follow up with "&amp;AA484&amp;": "&amp;AC484)</f>
        <v/>
      </c>
    </row>
    <row r="485" ht="20" customHeight="1">
      <c r="B485" s="72" t="n"/>
      <c r="C485" s="72" t="n"/>
      <c r="D485" s="72" t="n"/>
      <c r="E485" s="72" t="n"/>
      <c r="F485" s="72" t="n"/>
      <c r="G485" s="72" t="n"/>
      <c r="H485" s="72" t="n"/>
      <c r="I485" s="73" t="n"/>
      <c r="J485" s="75">
        <f>IF(B485="","",SUMIFS('Change Orders'!$J$7:$J$1006,'Change Orders'!$E$7:$E$1006,B485,'Change Orders'!$L$7:$L$1006,"Approved"))</f>
        <v/>
      </c>
      <c r="K485" s="76">
        <f>IF(B485="","",I485+J485)</f>
        <v/>
      </c>
      <c r="L485" s="74" t="n"/>
      <c r="M485" s="109" t="n"/>
      <c r="N485" s="109" t="n"/>
      <c r="O485" s="74" t="n"/>
      <c r="P485" s="74" t="n"/>
      <c r="Q485" s="100" t="n"/>
      <c r="R485" s="110" t="n"/>
      <c r="S485" s="75">
        <f>IF(B485="","",SUMIFS('Payments'!$N$6:$N$1005,'Payments'!$B$6:$B$1005,B485))</f>
        <v/>
      </c>
      <c r="T485" s="111">
        <f>IF(OR(B485="",K485=0),"",S485/K485)</f>
        <v/>
      </c>
      <c r="U485" s="78">
        <f>IF(V485="","",IF(V485=2,"⚠️ Paying ahead of work","✓ OK"))</f>
        <v/>
      </c>
      <c r="V485" s="79">
        <f>IF(T485="","",IF(T485-R485&gt;OverpayTol,2,0))</f>
        <v/>
      </c>
      <c r="W485" s="112">
        <f>IF(V485=2,AsOf,"")</f>
        <v/>
      </c>
      <c r="X485" s="79">
        <f>IF(W485="","",1)</f>
        <v/>
      </c>
      <c r="Y485" s="79">
        <f>IF(X485="","","Paying ahead of work: "&amp;B485&amp;" — paid "&amp;ROUND(T485*100,0)&amp;"%, work done "&amp;ROUND(R485*100,0)&amp;"%")</f>
        <v/>
      </c>
      <c r="AA485" s="72" t="n"/>
      <c r="AB485" s="109" t="n"/>
      <c r="AC485" s="113" t="n"/>
      <c r="AD485" s="74" t="n"/>
      <c r="AE485" s="109" t="n"/>
      <c r="AF485" s="74" t="n"/>
      <c r="AG485" s="112">
        <f>IF(AND(AA485&lt;&gt;"",AD485="Yes",AF485&lt;&gt;"Yes",AE485&lt;&gt;""),AE485,"")</f>
        <v/>
      </c>
      <c r="AH485" s="79">
        <f>IF(AG485="","",IF(AG485&lt;AsOf,1,IF(AG485&lt;=AsOf+AlertDays,2,IF(AG485&lt;=AsOf+2*AlertDays,3,""))))</f>
        <v/>
      </c>
      <c r="AI485" s="79">
        <f>IF(AH485="","","Follow up with "&amp;AA485&amp;": "&amp;AC485)</f>
        <v/>
      </c>
    </row>
    <row r="486" ht="20" customHeight="1">
      <c r="B486" s="72" t="n"/>
      <c r="C486" s="72" t="n"/>
      <c r="D486" s="72" t="n"/>
      <c r="E486" s="72" t="n"/>
      <c r="F486" s="72" t="n"/>
      <c r="G486" s="72" t="n"/>
      <c r="H486" s="72" t="n"/>
      <c r="I486" s="73" t="n"/>
      <c r="J486" s="75">
        <f>IF(B486="","",SUMIFS('Change Orders'!$J$7:$J$1006,'Change Orders'!$E$7:$E$1006,B486,'Change Orders'!$L$7:$L$1006,"Approved"))</f>
        <v/>
      </c>
      <c r="K486" s="76">
        <f>IF(B486="","",I486+J486)</f>
        <v/>
      </c>
      <c r="L486" s="74" t="n"/>
      <c r="M486" s="109" t="n"/>
      <c r="N486" s="109" t="n"/>
      <c r="O486" s="74" t="n"/>
      <c r="P486" s="74" t="n"/>
      <c r="Q486" s="100" t="n"/>
      <c r="R486" s="110" t="n"/>
      <c r="S486" s="75">
        <f>IF(B486="","",SUMIFS('Payments'!$N$6:$N$1005,'Payments'!$B$6:$B$1005,B486))</f>
        <v/>
      </c>
      <c r="T486" s="111">
        <f>IF(OR(B486="",K486=0),"",S486/K486)</f>
        <v/>
      </c>
      <c r="U486" s="78">
        <f>IF(V486="","",IF(V486=2,"⚠️ Paying ahead of work","✓ OK"))</f>
        <v/>
      </c>
      <c r="V486" s="79">
        <f>IF(T486="","",IF(T486-R486&gt;OverpayTol,2,0))</f>
        <v/>
      </c>
      <c r="W486" s="112">
        <f>IF(V486=2,AsOf,"")</f>
        <v/>
      </c>
      <c r="X486" s="79">
        <f>IF(W486="","",1)</f>
        <v/>
      </c>
      <c r="Y486" s="79">
        <f>IF(X486="","","Paying ahead of work: "&amp;B486&amp;" — paid "&amp;ROUND(T486*100,0)&amp;"%, work done "&amp;ROUND(R486*100,0)&amp;"%")</f>
        <v/>
      </c>
      <c r="AA486" s="72" t="n"/>
      <c r="AB486" s="109" t="n"/>
      <c r="AC486" s="113" t="n"/>
      <c r="AD486" s="74" t="n"/>
      <c r="AE486" s="109" t="n"/>
      <c r="AF486" s="74" t="n"/>
      <c r="AG486" s="112">
        <f>IF(AND(AA486&lt;&gt;"",AD486="Yes",AF486&lt;&gt;"Yes",AE486&lt;&gt;""),AE486,"")</f>
        <v/>
      </c>
      <c r="AH486" s="79">
        <f>IF(AG486="","",IF(AG486&lt;AsOf,1,IF(AG486&lt;=AsOf+AlertDays,2,IF(AG486&lt;=AsOf+2*AlertDays,3,""))))</f>
        <v/>
      </c>
      <c r="AI486" s="79">
        <f>IF(AH486="","","Follow up with "&amp;AA486&amp;": "&amp;AC486)</f>
        <v/>
      </c>
    </row>
    <row r="487" ht="20" customHeight="1">
      <c r="B487" s="72" t="n"/>
      <c r="C487" s="72" t="n"/>
      <c r="D487" s="72" t="n"/>
      <c r="E487" s="72" t="n"/>
      <c r="F487" s="72" t="n"/>
      <c r="G487" s="72" t="n"/>
      <c r="H487" s="72" t="n"/>
      <c r="I487" s="73" t="n"/>
      <c r="J487" s="75">
        <f>IF(B487="","",SUMIFS('Change Orders'!$J$7:$J$1006,'Change Orders'!$E$7:$E$1006,B487,'Change Orders'!$L$7:$L$1006,"Approved"))</f>
        <v/>
      </c>
      <c r="K487" s="76">
        <f>IF(B487="","",I487+J487)</f>
        <v/>
      </c>
      <c r="L487" s="74" t="n"/>
      <c r="M487" s="109" t="n"/>
      <c r="N487" s="109" t="n"/>
      <c r="O487" s="74" t="n"/>
      <c r="P487" s="74" t="n"/>
      <c r="Q487" s="100" t="n"/>
      <c r="R487" s="110" t="n"/>
      <c r="S487" s="75">
        <f>IF(B487="","",SUMIFS('Payments'!$N$6:$N$1005,'Payments'!$B$6:$B$1005,B487))</f>
        <v/>
      </c>
      <c r="T487" s="111">
        <f>IF(OR(B487="",K487=0),"",S487/K487)</f>
        <v/>
      </c>
      <c r="U487" s="78">
        <f>IF(V487="","",IF(V487=2,"⚠️ Paying ahead of work","✓ OK"))</f>
        <v/>
      </c>
      <c r="V487" s="79">
        <f>IF(T487="","",IF(T487-R487&gt;OverpayTol,2,0))</f>
        <v/>
      </c>
      <c r="W487" s="112">
        <f>IF(V487=2,AsOf,"")</f>
        <v/>
      </c>
      <c r="X487" s="79">
        <f>IF(W487="","",1)</f>
        <v/>
      </c>
      <c r="Y487" s="79">
        <f>IF(X487="","","Paying ahead of work: "&amp;B487&amp;" — paid "&amp;ROUND(T487*100,0)&amp;"%, work done "&amp;ROUND(R487*100,0)&amp;"%")</f>
        <v/>
      </c>
      <c r="AA487" s="72" t="n"/>
      <c r="AB487" s="109" t="n"/>
      <c r="AC487" s="113" t="n"/>
      <c r="AD487" s="74" t="n"/>
      <c r="AE487" s="109" t="n"/>
      <c r="AF487" s="74" t="n"/>
      <c r="AG487" s="112">
        <f>IF(AND(AA487&lt;&gt;"",AD487="Yes",AF487&lt;&gt;"Yes",AE487&lt;&gt;""),AE487,"")</f>
        <v/>
      </c>
      <c r="AH487" s="79">
        <f>IF(AG487="","",IF(AG487&lt;AsOf,1,IF(AG487&lt;=AsOf+AlertDays,2,IF(AG487&lt;=AsOf+2*AlertDays,3,""))))</f>
        <v/>
      </c>
      <c r="AI487" s="79">
        <f>IF(AH487="","","Follow up with "&amp;AA487&amp;": "&amp;AC487)</f>
        <v/>
      </c>
    </row>
    <row r="488" ht="20" customHeight="1">
      <c r="B488" s="72" t="n"/>
      <c r="C488" s="72" t="n"/>
      <c r="D488" s="72" t="n"/>
      <c r="E488" s="72" t="n"/>
      <c r="F488" s="72" t="n"/>
      <c r="G488" s="72" t="n"/>
      <c r="H488" s="72" t="n"/>
      <c r="I488" s="73" t="n"/>
      <c r="J488" s="75">
        <f>IF(B488="","",SUMIFS('Change Orders'!$J$7:$J$1006,'Change Orders'!$E$7:$E$1006,B488,'Change Orders'!$L$7:$L$1006,"Approved"))</f>
        <v/>
      </c>
      <c r="K488" s="76">
        <f>IF(B488="","",I488+J488)</f>
        <v/>
      </c>
      <c r="L488" s="74" t="n"/>
      <c r="M488" s="109" t="n"/>
      <c r="N488" s="109" t="n"/>
      <c r="O488" s="74" t="n"/>
      <c r="P488" s="74" t="n"/>
      <c r="Q488" s="100" t="n"/>
      <c r="R488" s="110" t="n"/>
      <c r="S488" s="75">
        <f>IF(B488="","",SUMIFS('Payments'!$N$6:$N$1005,'Payments'!$B$6:$B$1005,B488))</f>
        <v/>
      </c>
      <c r="T488" s="111">
        <f>IF(OR(B488="",K488=0),"",S488/K488)</f>
        <v/>
      </c>
      <c r="U488" s="78">
        <f>IF(V488="","",IF(V488=2,"⚠️ Paying ahead of work","✓ OK"))</f>
        <v/>
      </c>
      <c r="V488" s="79">
        <f>IF(T488="","",IF(T488-R488&gt;OverpayTol,2,0))</f>
        <v/>
      </c>
      <c r="W488" s="112">
        <f>IF(V488=2,AsOf,"")</f>
        <v/>
      </c>
      <c r="X488" s="79">
        <f>IF(W488="","",1)</f>
        <v/>
      </c>
      <c r="Y488" s="79">
        <f>IF(X488="","","Paying ahead of work: "&amp;B488&amp;" — paid "&amp;ROUND(T488*100,0)&amp;"%, work done "&amp;ROUND(R488*100,0)&amp;"%")</f>
        <v/>
      </c>
      <c r="AA488" s="72" t="n"/>
      <c r="AB488" s="109" t="n"/>
      <c r="AC488" s="113" t="n"/>
      <c r="AD488" s="74" t="n"/>
      <c r="AE488" s="109" t="n"/>
      <c r="AF488" s="74" t="n"/>
      <c r="AG488" s="112">
        <f>IF(AND(AA488&lt;&gt;"",AD488="Yes",AF488&lt;&gt;"Yes",AE488&lt;&gt;""),AE488,"")</f>
        <v/>
      </c>
      <c r="AH488" s="79">
        <f>IF(AG488="","",IF(AG488&lt;AsOf,1,IF(AG488&lt;=AsOf+AlertDays,2,IF(AG488&lt;=AsOf+2*AlertDays,3,""))))</f>
        <v/>
      </c>
      <c r="AI488" s="79">
        <f>IF(AH488="","","Follow up with "&amp;AA488&amp;": "&amp;AC488)</f>
        <v/>
      </c>
    </row>
    <row r="489" ht="20" customHeight="1">
      <c r="B489" s="72" t="n"/>
      <c r="C489" s="72" t="n"/>
      <c r="D489" s="72" t="n"/>
      <c r="E489" s="72" t="n"/>
      <c r="F489" s="72" t="n"/>
      <c r="G489" s="72" t="n"/>
      <c r="H489" s="72" t="n"/>
      <c r="I489" s="73" t="n"/>
      <c r="J489" s="75">
        <f>IF(B489="","",SUMIFS('Change Orders'!$J$7:$J$1006,'Change Orders'!$E$7:$E$1006,B489,'Change Orders'!$L$7:$L$1006,"Approved"))</f>
        <v/>
      </c>
      <c r="K489" s="76">
        <f>IF(B489="","",I489+J489)</f>
        <v/>
      </c>
      <c r="L489" s="74" t="n"/>
      <c r="M489" s="109" t="n"/>
      <c r="N489" s="109" t="n"/>
      <c r="O489" s="74" t="n"/>
      <c r="P489" s="74" t="n"/>
      <c r="Q489" s="100" t="n"/>
      <c r="R489" s="110" t="n"/>
      <c r="S489" s="75">
        <f>IF(B489="","",SUMIFS('Payments'!$N$6:$N$1005,'Payments'!$B$6:$B$1005,B489))</f>
        <v/>
      </c>
      <c r="T489" s="111">
        <f>IF(OR(B489="",K489=0),"",S489/K489)</f>
        <v/>
      </c>
      <c r="U489" s="78">
        <f>IF(V489="","",IF(V489=2,"⚠️ Paying ahead of work","✓ OK"))</f>
        <v/>
      </c>
      <c r="V489" s="79">
        <f>IF(T489="","",IF(T489-R489&gt;OverpayTol,2,0))</f>
        <v/>
      </c>
      <c r="W489" s="112">
        <f>IF(V489=2,AsOf,"")</f>
        <v/>
      </c>
      <c r="X489" s="79">
        <f>IF(W489="","",1)</f>
        <v/>
      </c>
      <c r="Y489" s="79">
        <f>IF(X489="","","Paying ahead of work: "&amp;B489&amp;" — paid "&amp;ROUND(T489*100,0)&amp;"%, work done "&amp;ROUND(R489*100,0)&amp;"%")</f>
        <v/>
      </c>
      <c r="AA489" s="72" t="n"/>
      <c r="AB489" s="109" t="n"/>
      <c r="AC489" s="113" t="n"/>
      <c r="AD489" s="74" t="n"/>
      <c r="AE489" s="109" t="n"/>
      <c r="AF489" s="74" t="n"/>
      <c r="AG489" s="112">
        <f>IF(AND(AA489&lt;&gt;"",AD489="Yes",AF489&lt;&gt;"Yes",AE489&lt;&gt;""),AE489,"")</f>
        <v/>
      </c>
      <c r="AH489" s="79">
        <f>IF(AG489="","",IF(AG489&lt;AsOf,1,IF(AG489&lt;=AsOf+AlertDays,2,IF(AG489&lt;=AsOf+2*AlertDays,3,""))))</f>
        <v/>
      </c>
      <c r="AI489" s="79">
        <f>IF(AH489="","","Follow up with "&amp;AA489&amp;": "&amp;AC489)</f>
        <v/>
      </c>
    </row>
    <row r="490" ht="20" customHeight="1">
      <c r="B490" s="72" t="n"/>
      <c r="C490" s="72" t="n"/>
      <c r="D490" s="72" t="n"/>
      <c r="E490" s="72" t="n"/>
      <c r="F490" s="72" t="n"/>
      <c r="G490" s="72" t="n"/>
      <c r="H490" s="72" t="n"/>
      <c r="I490" s="73" t="n"/>
      <c r="J490" s="75">
        <f>IF(B490="","",SUMIFS('Change Orders'!$J$7:$J$1006,'Change Orders'!$E$7:$E$1006,B490,'Change Orders'!$L$7:$L$1006,"Approved"))</f>
        <v/>
      </c>
      <c r="K490" s="76">
        <f>IF(B490="","",I490+J490)</f>
        <v/>
      </c>
      <c r="L490" s="74" t="n"/>
      <c r="M490" s="109" t="n"/>
      <c r="N490" s="109" t="n"/>
      <c r="O490" s="74" t="n"/>
      <c r="P490" s="74" t="n"/>
      <c r="Q490" s="100" t="n"/>
      <c r="R490" s="110" t="n"/>
      <c r="S490" s="75">
        <f>IF(B490="","",SUMIFS('Payments'!$N$6:$N$1005,'Payments'!$B$6:$B$1005,B490))</f>
        <v/>
      </c>
      <c r="T490" s="111">
        <f>IF(OR(B490="",K490=0),"",S490/K490)</f>
        <v/>
      </c>
      <c r="U490" s="78">
        <f>IF(V490="","",IF(V490=2,"⚠️ Paying ahead of work","✓ OK"))</f>
        <v/>
      </c>
      <c r="V490" s="79">
        <f>IF(T490="","",IF(T490-R490&gt;OverpayTol,2,0))</f>
        <v/>
      </c>
      <c r="W490" s="112">
        <f>IF(V490=2,AsOf,"")</f>
        <v/>
      </c>
      <c r="X490" s="79">
        <f>IF(W490="","",1)</f>
        <v/>
      </c>
      <c r="Y490" s="79">
        <f>IF(X490="","","Paying ahead of work: "&amp;B490&amp;" — paid "&amp;ROUND(T490*100,0)&amp;"%, work done "&amp;ROUND(R490*100,0)&amp;"%")</f>
        <v/>
      </c>
      <c r="AA490" s="72" t="n"/>
      <c r="AB490" s="109" t="n"/>
      <c r="AC490" s="113" t="n"/>
      <c r="AD490" s="74" t="n"/>
      <c r="AE490" s="109" t="n"/>
      <c r="AF490" s="74" t="n"/>
      <c r="AG490" s="112">
        <f>IF(AND(AA490&lt;&gt;"",AD490="Yes",AF490&lt;&gt;"Yes",AE490&lt;&gt;""),AE490,"")</f>
        <v/>
      </c>
      <c r="AH490" s="79">
        <f>IF(AG490="","",IF(AG490&lt;AsOf,1,IF(AG490&lt;=AsOf+AlertDays,2,IF(AG490&lt;=AsOf+2*AlertDays,3,""))))</f>
        <v/>
      </c>
      <c r="AI490" s="79">
        <f>IF(AH490="","","Follow up with "&amp;AA490&amp;": "&amp;AC490)</f>
        <v/>
      </c>
    </row>
    <row r="491" ht="20" customHeight="1">
      <c r="B491" s="72" t="n"/>
      <c r="C491" s="72" t="n"/>
      <c r="D491" s="72" t="n"/>
      <c r="E491" s="72" t="n"/>
      <c r="F491" s="72" t="n"/>
      <c r="G491" s="72" t="n"/>
      <c r="H491" s="72" t="n"/>
      <c r="I491" s="73" t="n"/>
      <c r="J491" s="75">
        <f>IF(B491="","",SUMIFS('Change Orders'!$J$7:$J$1006,'Change Orders'!$E$7:$E$1006,B491,'Change Orders'!$L$7:$L$1006,"Approved"))</f>
        <v/>
      </c>
      <c r="K491" s="76">
        <f>IF(B491="","",I491+J491)</f>
        <v/>
      </c>
      <c r="L491" s="74" t="n"/>
      <c r="M491" s="109" t="n"/>
      <c r="N491" s="109" t="n"/>
      <c r="O491" s="74" t="n"/>
      <c r="P491" s="74" t="n"/>
      <c r="Q491" s="100" t="n"/>
      <c r="R491" s="110" t="n"/>
      <c r="S491" s="75">
        <f>IF(B491="","",SUMIFS('Payments'!$N$6:$N$1005,'Payments'!$B$6:$B$1005,B491))</f>
        <v/>
      </c>
      <c r="T491" s="111">
        <f>IF(OR(B491="",K491=0),"",S491/K491)</f>
        <v/>
      </c>
      <c r="U491" s="78">
        <f>IF(V491="","",IF(V491=2,"⚠️ Paying ahead of work","✓ OK"))</f>
        <v/>
      </c>
      <c r="V491" s="79">
        <f>IF(T491="","",IF(T491-R491&gt;OverpayTol,2,0))</f>
        <v/>
      </c>
      <c r="W491" s="112">
        <f>IF(V491=2,AsOf,"")</f>
        <v/>
      </c>
      <c r="X491" s="79">
        <f>IF(W491="","",1)</f>
        <v/>
      </c>
      <c r="Y491" s="79">
        <f>IF(X491="","","Paying ahead of work: "&amp;B491&amp;" — paid "&amp;ROUND(T491*100,0)&amp;"%, work done "&amp;ROUND(R491*100,0)&amp;"%")</f>
        <v/>
      </c>
      <c r="AA491" s="72" t="n"/>
      <c r="AB491" s="109" t="n"/>
      <c r="AC491" s="113" t="n"/>
      <c r="AD491" s="74" t="n"/>
      <c r="AE491" s="109" t="n"/>
      <c r="AF491" s="74" t="n"/>
      <c r="AG491" s="112">
        <f>IF(AND(AA491&lt;&gt;"",AD491="Yes",AF491&lt;&gt;"Yes",AE491&lt;&gt;""),AE491,"")</f>
        <v/>
      </c>
      <c r="AH491" s="79">
        <f>IF(AG491="","",IF(AG491&lt;AsOf,1,IF(AG491&lt;=AsOf+AlertDays,2,IF(AG491&lt;=AsOf+2*AlertDays,3,""))))</f>
        <v/>
      </c>
      <c r="AI491" s="79">
        <f>IF(AH491="","","Follow up with "&amp;AA491&amp;": "&amp;AC491)</f>
        <v/>
      </c>
    </row>
    <row r="492" ht="20" customHeight="1">
      <c r="B492" s="72" t="n"/>
      <c r="C492" s="72" t="n"/>
      <c r="D492" s="72" t="n"/>
      <c r="E492" s="72" t="n"/>
      <c r="F492" s="72" t="n"/>
      <c r="G492" s="72" t="n"/>
      <c r="H492" s="72" t="n"/>
      <c r="I492" s="73" t="n"/>
      <c r="J492" s="75">
        <f>IF(B492="","",SUMIFS('Change Orders'!$J$7:$J$1006,'Change Orders'!$E$7:$E$1006,B492,'Change Orders'!$L$7:$L$1006,"Approved"))</f>
        <v/>
      </c>
      <c r="K492" s="76">
        <f>IF(B492="","",I492+J492)</f>
        <v/>
      </c>
      <c r="L492" s="74" t="n"/>
      <c r="M492" s="109" t="n"/>
      <c r="N492" s="109" t="n"/>
      <c r="O492" s="74" t="n"/>
      <c r="P492" s="74" t="n"/>
      <c r="Q492" s="100" t="n"/>
      <c r="R492" s="110" t="n"/>
      <c r="S492" s="75">
        <f>IF(B492="","",SUMIFS('Payments'!$N$6:$N$1005,'Payments'!$B$6:$B$1005,B492))</f>
        <v/>
      </c>
      <c r="T492" s="111">
        <f>IF(OR(B492="",K492=0),"",S492/K492)</f>
        <v/>
      </c>
      <c r="U492" s="78">
        <f>IF(V492="","",IF(V492=2,"⚠️ Paying ahead of work","✓ OK"))</f>
        <v/>
      </c>
      <c r="V492" s="79">
        <f>IF(T492="","",IF(T492-R492&gt;OverpayTol,2,0))</f>
        <v/>
      </c>
      <c r="W492" s="112">
        <f>IF(V492=2,AsOf,"")</f>
        <v/>
      </c>
      <c r="X492" s="79">
        <f>IF(W492="","",1)</f>
        <v/>
      </c>
      <c r="Y492" s="79">
        <f>IF(X492="","","Paying ahead of work: "&amp;B492&amp;" — paid "&amp;ROUND(T492*100,0)&amp;"%, work done "&amp;ROUND(R492*100,0)&amp;"%")</f>
        <v/>
      </c>
      <c r="AA492" s="72" t="n"/>
      <c r="AB492" s="109" t="n"/>
      <c r="AC492" s="113" t="n"/>
      <c r="AD492" s="74" t="n"/>
      <c r="AE492" s="109" t="n"/>
      <c r="AF492" s="74" t="n"/>
      <c r="AG492" s="112">
        <f>IF(AND(AA492&lt;&gt;"",AD492="Yes",AF492&lt;&gt;"Yes",AE492&lt;&gt;""),AE492,"")</f>
        <v/>
      </c>
      <c r="AH492" s="79">
        <f>IF(AG492="","",IF(AG492&lt;AsOf,1,IF(AG492&lt;=AsOf+AlertDays,2,IF(AG492&lt;=AsOf+2*AlertDays,3,""))))</f>
        <v/>
      </c>
      <c r="AI492" s="79">
        <f>IF(AH492="","","Follow up with "&amp;AA492&amp;": "&amp;AC492)</f>
        <v/>
      </c>
    </row>
    <row r="493" ht="20" customHeight="1">
      <c r="B493" s="72" t="n"/>
      <c r="C493" s="72" t="n"/>
      <c r="D493" s="72" t="n"/>
      <c r="E493" s="72" t="n"/>
      <c r="F493" s="72" t="n"/>
      <c r="G493" s="72" t="n"/>
      <c r="H493" s="72" t="n"/>
      <c r="I493" s="73" t="n"/>
      <c r="J493" s="75">
        <f>IF(B493="","",SUMIFS('Change Orders'!$J$7:$J$1006,'Change Orders'!$E$7:$E$1006,B493,'Change Orders'!$L$7:$L$1006,"Approved"))</f>
        <v/>
      </c>
      <c r="K493" s="76">
        <f>IF(B493="","",I493+J493)</f>
        <v/>
      </c>
      <c r="L493" s="74" t="n"/>
      <c r="M493" s="109" t="n"/>
      <c r="N493" s="109" t="n"/>
      <c r="O493" s="74" t="n"/>
      <c r="P493" s="74" t="n"/>
      <c r="Q493" s="100" t="n"/>
      <c r="R493" s="110" t="n"/>
      <c r="S493" s="75">
        <f>IF(B493="","",SUMIFS('Payments'!$N$6:$N$1005,'Payments'!$B$6:$B$1005,B493))</f>
        <v/>
      </c>
      <c r="T493" s="111">
        <f>IF(OR(B493="",K493=0),"",S493/K493)</f>
        <v/>
      </c>
      <c r="U493" s="78">
        <f>IF(V493="","",IF(V493=2,"⚠️ Paying ahead of work","✓ OK"))</f>
        <v/>
      </c>
      <c r="V493" s="79">
        <f>IF(T493="","",IF(T493-R493&gt;OverpayTol,2,0))</f>
        <v/>
      </c>
      <c r="W493" s="112">
        <f>IF(V493=2,AsOf,"")</f>
        <v/>
      </c>
      <c r="X493" s="79">
        <f>IF(W493="","",1)</f>
        <v/>
      </c>
      <c r="Y493" s="79">
        <f>IF(X493="","","Paying ahead of work: "&amp;B493&amp;" — paid "&amp;ROUND(T493*100,0)&amp;"%, work done "&amp;ROUND(R493*100,0)&amp;"%")</f>
        <v/>
      </c>
      <c r="AA493" s="72" t="n"/>
      <c r="AB493" s="109" t="n"/>
      <c r="AC493" s="113" t="n"/>
      <c r="AD493" s="74" t="n"/>
      <c r="AE493" s="109" t="n"/>
      <c r="AF493" s="74" t="n"/>
      <c r="AG493" s="112">
        <f>IF(AND(AA493&lt;&gt;"",AD493="Yes",AF493&lt;&gt;"Yes",AE493&lt;&gt;""),AE493,"")</f>
        <v/>
      </c>
      <c r="AH493" s="79">
        <f>IF(AG493="","",IF(AG493&lt;AsOf,1,IF(AG493&lt;=AsOf+AlertDays,2,IF(AG493&lt;=AsOf+2*AlertDays,3,""))))</f>
        <v/>
      </c>
      <c r="AI493" s="79">
        <f>IF(AH493="","","Follow up with "&amp;AA493&amp;": "&amp;AC493)</f>
        <v/>
      </c>
    </row>
    <row r="494" ht="20" customHeight="1">
      <c r="B494" s="72" t="n"/>
      <c r="C494" s="72" t="n"/>
      <c r="D494" s="72" t="n"/>
      <c r="E494" s="72" t="n"/>
      <c r="F494" s="72" t="n"/>
      <c r="G494" s="72" t="n"/>
      <c r="H494" s="72" t="n"/>
      <c r="I494" s="73" t="n"/>
      <c r="J494" s="75">
        <f>IF(B494="","",SUMIFS('Change Orders'!$J$7:$J$1006,'Change Orders'!$E$7:$E$1006,B494,'Change Orders'!$L$7:$L$1006,"Approved"))</f>
        <v/>
      </c>
      <c r="K494" s="76">
        <f>IF(B494="","",I494+J494)</f>
        <v/>
      </c>
      <c r="L494" s="74" t="n"/>
      <c r="M494" s="109" t="n"/>
      <c r="N494" s="109" t="n"/>
      <c r="O494" s="74" t="n"/>
      <c r="P494" s="74" t="n"/>
      <c r="Q494" s="100" t="n"/>
      <c r="R494" s="110" t="n"/>
      <c r="S494" s="75">
        <f>IF(B494="","",SUMIFS('Payments'!$N$6:$N$1005,'Payments'!$B$6:$B$1005,B494))</f>
        <v/>
      </c>
      <c r="T494" s="111">
        <f>IF(OR(B494="",K494=0),"",S494/K494)</f>
        <v/>
      </c>
      <c r="U494" s="78">
        <f>IF(V494="","",IF(V494=2,"⚠️ Paying ahead of work","✓ OK"))</f>
        <v/>
      </c>
      <c r="V494" s="79">
        <f>IF(T494="","",IF(T494-R494&gt;OverpayTol,2,0))</f>
        <v/>
      </c>
      <c r="W494" s="112">
        <f>IF(V494=2,AsOf,"")</f>
        <v/>
      </c>
      <c r="X494" s="79">
        <f>IF(W494="","",1)</f>
        <v/>
      </c>
      <c r="Y494" s="79">
        <f>IF(X494="","","Paying ahead of work: "&amp;B494&amp;" — paid "&amp;ROUND(T494*100,0)&amp;"%, work done "&amp;ROUND(R494*100,0)&amp;"%")</f>
        <v/>
      </c>
      <c r="AA494" s="72" t="n"/>
      <c r="AB494" s="109" t="n"/>
      <c r="AC494" s="113" t="n"/>
      <c r="AD494" s="74" t="n"/>
      <c r="AE494" s="109" t="n"/>
      <c r="AF494" s="74" t="n"/>
      <c r="AG494" s="112">
        <f>IF(AND(AA494&lt;&gt;"",AD494="Yes",AF494&lt;&gt;"Yes",AE494&lt;&gt;""),AE494,"")</f>
        <v/>
      </c>
      <c r="AH494" s="79">
        <f>IF(AG494="","",IF(AG494&lt;AsOf,1,IF(AG494&lt;=AsOf+AlertDays,2,IF(AG494&lt;=AsOf+2*AlertDays,3,""))))</f>
        <v/>
      </c>
      <c r="AI494" s="79">
        <f>IF(AH494="","","Follow up with "&amp;AA494&amp;": "&amp;AC494)</f>
        <v/>
      </c>
    </row>
    <row r="495" ht="20" customHeight="1">
      <c r="B495" s="72" t="n"/>
      <c r="C495" s="72" t="n"/>
      <c r="D495" s="72" t="n"/>
      <c r="E495" s="72" t="n"/>
      <c r="F495" s="72" t="n"/>
      <c r="G495" s="72" t="n"/>
      <c r="H495" s="72" t="n"/>
      <c r="I495" s="73" t="n"/>
      <c r="J495" s="75">
        <f>IF(B495="","",SUMIFS('Change Orders'!$J$7:$J$1006,'Change Orders'!$E$7:$E$1006,B495,'Change Orders'!$L$7:$L$1006,"Approved"))</f>
        <v/>
      </c>
      <c r="K495" s="76">
        <f>IF(B495="","",I495+J495)</f>
        <v/>
      </c>
      <c r="L495" s="74" t="n"/>
      <c r="M495" s="109" t="n"/>
      <c r="N495" s="109" t="n"/>
      <c r="O495" s="74" t="n"/>
      <c r="P495" s="74" t="n"/>
      <c r="Q495" s="100" t="n"/>
      <c r="R495" s="110" t="n"/>
      <c r="S495" s="75">
        <f>IF(B495="","",SUMIFS('Payments'!$N$6:$N$1005,'Payments'!$B$6:$B$1005,B495))</f>
        <v/>
      </c>
      <c r="T495" s="111">
        <f>IF(OR(B495="",K495=0),"",S495/K495)</f>
        <v/>
      </c>
      <c r="U495" s="78">
        <f>IF(V495="","",IF(V495=2,"⚠️ Paying ahead of work","✓ OK"))</f>
        <v/>
      </c>
      <c r="V495" s="79">
        <f>IF(T495="","",IF(T495-R495&gt;OverpayTol,2,0))</f>
        <v/>
      </c>
      <c r="W495" s="112">
        <f>IF(V495=2,AsOf,"")</f>
        <v/>
      </c>
      <c r="X495" s="79">
        <f>IF(W495="","",1)</f>
        <v/>
      </c>
      <c r="Y495" s="79">
        <f>IF(X495="","","Paying ahead of work: "&amp;B495&amp;" — paid "&amp;ROUND(T495*100,0)&amp;"%, work done "&amp;ROUND(R495*100,0)&amp;"%")</f>
        <v/>
      </c>
      <c r="AA495" s="72" t="n"/>
      <c r="AB495" s="109" t="n"/>
      <c r="AC495" s="113" t="n"/>
      <c r="AD495" s="74" t="n"/>
      <c r="AE495" s="109" t="n"/>
      <c r="AF495" s="74" t="n"/>
      <c r="AG495" s="112">
        <f>IF(AND(AA495&lt;&gt;"",AD495="Yes",AF495&lt;&gt;"Yes",AE495&lt;&gt;""),AE495,"")</f>
        <v/>
      </c>
      <c r="AH495" s="79">
        <f>IF(AG495="","",IF(AG495&lt;AsOf,1,IF(AG495&lt;=AsOf+AlertDays,2,IF(AG495&lt;=AsOf+2*AlertDays,3,""))))</f>
        <v/>
      </c>
      <c r="AI495" s="79">
        <f>IF(AH495="","","Follow up with "&amp;AA495&amp;": "&amp;AC495)</f>
        <v/>
      </c>
    </row>
    <row r="496" ht="20" customHeight="1">
      <c r="B496" s="72" t="n"/>
      <c r="C496" s="72" t="n"/>
      <c r="D496" s="72" t="n"/>
      <c r="E496" s="72" t="n"/>
      <c r="F496" s="72" t="n"/>
      <c r="G496" s="72" t="n"/>
      <c r="H496" s="72" t="n"/>
      <c r="I496" s="73" t="n"/>
      <c r="J496" s="75">
        <f>IF(B496="","",SUMIFS('Change Orders'!$J$7:$J$1006,'Change Orders'!$E$7:$E$1006,B496,'Change Orders'!$L$7:$L$1006,"Approved"))</f>
        <v/>
      </c>
      <c r="K496" s="76">
        <f>IF(B496="","",I496+J496)</f>
        <v/>
      </c>
      <c r="L496" s="74" t="n"/>
      <c r="M496" s="109" t="n"/>
      <c r="N496" s="109" t="n"/>
      <c r="O496" s="74" t="n"/>
      <c r="P496" s="74" t="n"/>
      <c r="Q496" s="100" t="n"/>
      <c r="R496" s="110" t="n"/>
      <c r="S496" s="75">
        <f>IF(B496="","",SUMIFS('Payments'!$N$6:$N$1005,'Payments'!$B$6:$B$1005,B496))</f>
        <v/>
      </c>
      <c r="T496" s="111">
        <f>IF(OR(B496="",K496=0),"",S496/K496)</f>
        <v/>
      </c>
      <c r="U496" s="78">
        <f>IF(V496="","",IF(V496=2,"⚠️ Paying ahead of work","✓ OK"))</f>
        <v/>
      </c>
      <c r="V496" s="79">
        <f>IF(T496="","",IF(T496-R496&gt;OverpayTol,2,0))</f>
        <v/>
      </c>
      <c r="W496" s="112">
        <f>IF(V496=2,AsOf,"")</f>
        <v/>
      </c>
      <c r="X496" s="79">
        <f>IF(W496="","",1)</f>
        <v/>
      </c>
      <c r="Y496" s="79">
        <f>IF(X496="","","Paying ahead of work: "&amp;B496&amp;" — paid "&amp;ROUND(T496*100,0)&amp;"%, work done "&amp;ROUND(R496*100,0)&amp;"%")</f>
        <v/>
      </c>
      <c r="AA496" s="72" t="n"/>
      <c r="AB496" s="109" t="n"/>
      <c r="AC496" s="113" t="n"/>
      <c r="AD496" s="74" t="n"/>
      <c r="AE496" s="109" t="n"/>
      <c r="AF496" s="74" t="n"/>
      <c r="AG496" s="112">
        <f>IF(AND(AA496&lt;&gt;"",AD496="Yes",AF496&lt;&gt;"Yes",AE496&lt;&gt;""),AE496,"")</f>
        <v/>
      </c>
      <c r="AH496" s="79">
        <f>IF(AG496="","",IF(AG496&lt;AsOf,1,IF(AG496&lt;=AsOf+AlertDays,2,IF(AG496&lt;=AsOf+2*AlertDays,3,""))))</f>
        <v/>
      </c>
      <c r="AI496" s="79">
        <f>IF(AH496="","","Follow up with "&amp;AA496&amp;": "&amp;AC496)</f>
        <v/>
      </c>
    </row>
    <row r="497" ht="20" customHeight="1">
      <c r="B497" s="72" t="n"/>
      <c r="C497" s="72" t="n"/>
      <c r="D497" s="72" t="n"/>
      <c r="E497" s="72" t="n"/>
      <c r="F497" s="72" t="n"/>
      <c r="G497" s="72" t="n"/>
      <c r="H497" s="72" t="n"/>
      <c r="I497" s="73" t="n"/>
      <c r="J497" s="75">
        <f>IF(B497="","",SUMIFS('Change Orders'!$J$7:$J$1006,'Change Orders'!$E$7:$E$1006,B497,'Change Orders'!$L$7:$L$1006,"Approved"))</f>
        <v/>
      </c>
      <c r="K497" s="76">
        <f>IF(B497="","",I497+J497)</f>
        <v/>
      </c>
      <c r="L497" s="74" t="n"/>
      <c r="M497" s="109" t="n"/>
      <c r="N497" s="109" t="n"/>
      <c r="O497" s="74" t="n"/>
      <c r="P497" s="74" t="n"/>
      <c r="Q497" s="100" t="n"/>
      <c r="R497" s="110" t="n"/>
      <c r="S497" s="75">
        <f>IF(B497="","",SUMIFS('Payments'!$N$6:$N$1005,'Payments'!$B$6:$B$1005,B497))</f>
        <v/>
      </c>
      <c r="T497" s="111">
        <f>IF(OR(B497="",K497=0),"",S497/K497)</f>
        <v/>
      </c>
      <c r="U497" s="78">
        <f>IF(V497="","",IF(V497=2,"⚠️ Paying ahead of work","✓ OK"))</f>
        <v/>
      </c>
      <c r="V497" s="79">
        <f>IF(T497="","",IF(T497-R497&gt;OverpayTol,2,0))</f>
        <v/>
      </c>
      <c r="W497" s="112">
        <f>IF(V497=2,AsOf,"")</f>
        <v/>
      </c>
      <c r="X497" s="79">
        <f>IF(W497="","",1)</f>
        <v/>
      </c>
      <c r="Y497" s="79">
        <f>IF(X497="","","Paying ahead of work: "&amp;B497&amp;" — paid "&amp;ROUND(T497*100,0)&amp;"%, work done "&amp;ROUND(R497*100,0)&amp;"%")</f>
        <v/>
      </c>
      <c r="AA497" s="72" t="n"/>
      <c r="AB497" s="109" t="n"/>
      <c r="AC497" s="113" t="n"/>
      <c r="AD497" s="74" t="n"/>
      <c r="AE497" s="109" t="n"/>
      <c r="AF497" s="74" t="n"/>
      <c r="AG497" s="112">
        <f>IF(AND(AA497&lt;&gt;"",AD497="Yes",AF497&lt;&gt;"Yes",AE497&lt;&gt;""),AE497,"")</f>
        <v/>
      </c>
      <c r="AH497" s="79">
        <f>IF(AG497="","",IF(AG497&lt;AsOf,1,IF(AG497&lt;=AsOf+AlertDays,2,IF(AG497&lt;=AsOf+2*AlertDays,3,""))))</f>
        <v/>
      </c>
      <c r="AI497" s="79">
        <f>IF(AH497="","","Follow up with "&amp;AA497&amp;": "&amp;AC497)</f>
        <v/>
      </c>
    </row>
    <row r="498" ht="20" customHeight="1">
      <c r="B498" s="72" t="n"/>
      <c r="C498" s="72" t="n"/>
      <c r="D498" s="72" t="n"/>
      <c r="E498" s="72" t="n"/>
      <c r="F498" s="72" t="n"/>
      <c r="G498" s="72" t="n"/>
      <c r="H498" s="72" t="n"/>
      <c r="I498" s="73" t="n"/>
      <c r="J498" s="75">
        <f>IF(B498="","",SUMIFS('Change Orders'!$J$7:$J$1006,'Change Orders'!$E$7:$E$1006,B498,'Change Orders'!$L$7:$L$1006,"Approved"))</f>
        <v/>
      </c>
      <c r="K498" s="76">
        <f>IF(B498="","",I498+J498)</f>
        <v/>
      </c>
      <c r="L498" s="74" t="n"/>
      <c r="M498" s="109" t="n"/>
      <c r="N498" s="109" t="n"/>
      <c r="O498" s="74" t="n"/>
      <c r="P498" s="74" t="n"/>
      <c r="Q498" s="100" t="n"/>
      <c r="R498" s="110" t="n"/>
      <c r="S498" s="75">
        <f>IF(B498="","",SUMIFS('Payments'!$N$6:$N$1005,'Payments'!$B$6:$B$1005,B498))</f>
        <v/>
      </c>
      <c r="T498" s="111">
        <f>IF(OR(B498="",K498=0),"",S498/K498)</f>
        <v/>
      </c>
      <c r="U498" s="78">
        <f>IF(V498="","",IF(V498=2,"⚠️ Paying ahead of work","✓ OK"))</f>
        <v/>
      </c>
      <c r="V498" s="79">
        <f>IF(T498="","",IF(T498-R498&gt;OverpayTol,2,0))</f>
        <v/>
      </c>
      <c r="W498" s="112">
        <f>IF(V498=2,AsOf,"")</f>
        <v/>
      </c>
      <c r="X498" s="79">
        <f>IF(W498="","",1)</f>
        <v/>
      </c>
      <c r="Y498" s="79">
        <f>IF(X498="","","Paying ahead of work: "&amp;B498&amp;" — paid "&amp;ROUND(T498*100,0)&amp;"%, work done "&amp;ROUND(R498*100,0)&amp;"%")</f>
        <v/>
      </c>
      <c r="AA498" s="72" t="n"/>
      <c r="AB498" s="109" t="n"/>
      <c r="AC498" s="113" t="n"/>
      <c r="AD498" s="74" t="n"/>
      <c r="AE498" s="109" t="n"/>
      <c r="AF498" s="74" t="n"/>
      <c r="AG498" s="112">
        <f>IF(AND(AA498&lt;&gt;"",AD498="Yes",AF498&lt;&gt;"Yes",AE498&lt;&gt;""),AE498,"")</f>
        <v/>
      </c>
      <c r="AH498" s="79">
        <f>IF(AG498="","",IF(AG498&lt;AsOf,1,IF(AG498&lt;=AsOf+AlertDays,2,IF(AG498&lt;=AsOf+2*AlertDays,3,""))))</f>
        <v/>
      </c>
      <c r="AI498" s="79">
        <f>IF(AH498="","","Follow up with "&amp;AA498&amp;": "&amp;AC498)</f>
        <v/>
      </c>
    </row>
    <row r="499" ht="20" customHeight="1">
      <c r="B499" s="72" t="n"/>
      <c r="C499" s="72" t="n"/>
      <c r="D499" s="72" t="n"/>
      <c r="E499" s="72" t="n"/>
      <c r="F499" s="72" t="n"/>
      <c r="G499" s="72" t="n"/>
      <c r="H499" s="72" t="n"/>
      <c r="I499" s="73" t="n"/>
      <c r="J499" s="75">
        <f>IF(B499="","",SUMIFS('Change Orders'!$J$7:$J$1006,'Change Orders'!$E$7:$E$1006,B499,'Change Orders'!$L$7:$L$1006,"Approved"))</f>
        <v/>
      </c>
      <c r="K499" s="76">
        <f>IF(B499="","",I499+J499)</f>
        <v/>
      </c>
      <c r="L499" s="74" t="n"/>
      <c r="M499" s="109" t="n"/>
      <c r="N499" s="109" t="n"/>
      <c r="O499" s="74" t="n"/>
      <c r="P499" s="74" t="n"/>
      <c r="Q499" s="100" t="n"/>
      <c r="R499" s="110" t="n"/>
      <c r="S499" s="75">
        <f>IF(B499="","",SUMIFS('Payments'!$N$6:$N$1005,'Payments'!$B$6:$B$1005,B499))</f>
        <v/>
      </c>
      <c r="T499" s="111">
        <f>IF(OR(B499="",K499=0),"",S499/K499)</f>
        <v/>
      </c>
      <c r="U499" s="78">
        <f>IF(V499="","",IF(V499=2,"⚠️ Paying ahead of work","✓ OK"))</f>
        <v/>
      </c>
      <c r="V499" s="79">
        <f>IF(T499="","",IF(T499-R499&gt;OverpayTol,2,0))</f>
        <v/>
      </c>
      <c r="W499" s="112">
        <f>IF(V499=2,AsOf,"")</f>
        <v/>
      </c>
      <c r="X499" s="79">
        <f>IF(W499="","",1)</f>
        <v/>
      </c>
      <c r="Y499" s="79">
        <f>IF(X499="","","Paying ahead of work: "&amp;B499&amp;" — paid "&amp;ROUND(T499*100,0)&amp;"%, work done "&amp;ROUND(R499*100,0)&amp;"%")</f>
        <v/>
      </c>
      <c r="AA499" s="72" t="n"/>
      <c r="AB499" s="109" t="n"/>
      <c r="AC499" s="113" t="n"/>
      <c r="AD499" s="74" t="n"/>
      <c r="AE499" s="109" t="n"/>
      <c r="AF499" s="74" t="n"/>
      <c r="AG499" s="112">
        <f>IF(AND(AA499&lt;&gt;"",AD499="Yes",AF499&lt;&gt;"Yes",AE499&lt;&gt;""),AE499,"")</f>
        <v/>
      </c>
      <c r="AH499" s="79">
        <f>IF(AG499="","",IF(AG499&lt;AsOf,1,IF(AG499&lt;=AsOf+AlertDays,2,IF(AG499&lt;=AsOf+2*AlertDays,3,""))))</f>
        <v/>
      </c>
      <c r="AI499" s="79">
        <f>IF(AH499="","","Follow up with "&amp;AA499&amp;": "&amp;AC499)</f>
        <v/>
      </c>
    </row>
    <row r="500" ht="20" customHeight="1">
      <c r="B500" s="72" t="n"/>
      <c r="C500" s="72" t="n"/>
      <c r="D500" s="72" t="n"/>
      <c r="E500" s="72" t="n"/>
      <c r="F500" s="72" t="n"/>
      <c r="G500" s="72" t="n"/>
      <c r="H500" s="72" t="n"/>
      <c r="I500" s="73" t="n"/>
      <c r="J500" s="75">
        <f>IF(B500="","",SUMIFS('Change Orders'!$J$7:$J$1006,'Change Orders'!$E$7:$E$1006,B500,'Change Orders'!$L$7:$L$1006,"Approved"))</f>
        <v/>
      </c>
      <c r="K500" s="76">
        <f>IF(B500="","",I500+J500)</f>
        <v/>
      </c>
      <c r="L500" s="74" t="n"/>
      <c r="M500" s="109" t="n"/>
      <c r="N500" s="109" t="n"/>
      <c r="O500" s="74" t="n"/>
      <c r="P500" s="74" t="n"/>
      <c r="Q500" s="100" t="n"/>
      <c r="R500" s="110" t="n"/>
      <c r="S500" s="75">
        <f>IF(B500="","",SUMIFS('Payments'!$N$6:$N$1005,'Payments'!$B$6:$B$1005,B500))</f>
        <v/>
      </c>
      <c r="T500" s="111">
        <f>IF(OR(B500="",K500=0),"",S500/K500)</f>
        <v/>
      </c>
      <c r="U500" s="78">
        <f>IF(V500="","",IF(V500=2,"⚠️ Paying ahead of work","✓ OK"))</f>
        <v/>
      </c>
      <c r="V500" s="79">
        <f>IF(T500="","",IF(T500-R500&gt;OverpayTol,2,0))</f>
        <v/>
      </c>
      <c r="W500" s="112">
        <f>IF(V500=2,AsOf,"")</f>
        <v/>
      </c>
      <c r="X500" s="79">
        <f>IF(W500="","",1)</f>
        <v/>
      </c>
      <c r="Y500" s="79">
        <f>IF(X500="","","Paying ahead of work: "&amp;B500&amp;" — paid "&amp;ROUND(T500*100,0)&amp;"%, work done "&amp;ROUND(R500*100,0)&amp;"%")</f>
        <v/>
      </c>
      <c r="AA500" s="72" t="n"/>
      <c r="AB500" s="109" t="n"/>
      <c r="AC500" s="113" t="n"/>
      <c r="AD500" s="74" t="n"/>
      <c r="AE500" s="109" t="n"/>
      <c r="AF500" s="74" t="n"/>
      <c r="AG500" s="112">
        <f>IF(AND(AA500&lt;&gt;"",AD500="Yes",AF500&lt;&gt;"Yes",AE500&lt;&gt;""),AE500,"")</f>
        <v/>
      </c>
      <c r="AH500" s="79">
        <f>IF(AG500="","",IF(AG500&lt;AsOf,1,IF(AG500&lt;=AsOf+AlertDays,2,IF(AG500&lt;=AsOf+2*AlertDays,3,""))))</f>
        <v/>
      </c>
      <c r="AI500" s="79">
        <f>IF(AH500="","","Follow up with "&amp;AA500&amp;": "&amp;AC500)</f>
        <v/>
      </c>
    </row>
    <row r="501" ht="20" customHeight="1">
      <c r="B501" s="72" t="n"/>
      <c r="C501" s="72" t="n"/>
      <c r="D501" s="72" t="n"/>
      <c r="E501" s="72" t="n"/>
      <c r="F501" s="72" t="n"/>
      <c r="G501" s="72" t="n"/>
      <c r="H501" s="72" t="n"/>
      <c r="I501" s="73" t="n"/>
      <c r="J501" s="75">
        <f>IF(B501="","",SUMIFS('Change Orders'!$J$7:$J$1006,'Change Orders'!$E$7:$E$1006,B501,'Change Orders'!$L$7:$L$1006,"Approved"))</f>
        <v/>
      </c>
      <c r="K501" s="76">
        <f>IF(B501="","",I501+J501)</f>
        <v/>
      </c>
      <c r="L501" s="74" t="n"/>
      <c r="M501" s="109" t="n"/>
      <c r="N501" s="109" t="n"/>
      <c r="O501" s="74" t="n"/>
      <c r="P501" s="74" t="n"/>
      <c r="Q501" s="100" t="n"/>
      <c r="R501" s="110" t="n"/>
      <c r="S501" s="75">
        <f>IF(B501="","",SUMIFS('Payments'!$N$6:$N$1005,'Payments'!$B$6:$B$1005,B501))</f>
        <v/>
      </c>
      <c r="T501" s="111">
        <f>IF(OR(B501="",K501=0),"",S501/K501)</f>
        <v/>
      </c>
      <c r="U501" s="78">
        <f>IF(V501="","",IF(V501=2,"⚠️ Paying ahead of work","✓ OK"))</f>
        <v/>
      </c>
      <c r="V501" s="79">
        <f>IF(T501="","",IF(T501-R501&gt;OverpayTol,2,0))</f>
        <v/>
      </c>
      <c r="W501" s="112">
        <f>IF(V501=2,AsOf,"")</f>
        <v/>
      </c>
      <c r="X501" s="79">
        <f>IF(W501="","",1)</f>
        <v/>
      </c>
      <c r="Y501" s="79">
        <f>IF(X501="","","Paying ahead of work: "&amp;B501&amp;" — paid "&amp;ROUND(T501*100,0)&amp;"%, work done "&amp;ROUND(R501*100,0)&amp;"%")</f>
        <v/>
      </c>
      <c r="AA501" s="72" t="n"/>
      <c r="AB501" s="109" t="n"/>
      <c r="AC501" s="113" t="n"/>
      <c r="AD501" s="74" t="n"/>
      <c r="AE501" s="109" t="n"/>
      <c r="AF501" s="74" t="n"/>
      <c r="AG501" s="112">
        <f>IF(AND(AA501&lt;&gt;"",AD501="Yes",AF501&lt;&gt;"Yes",AE501&lt;&gt;""),AE501,"")</f>
        <v/>
      </c>
      <c r="AH501" s="79">
        <f>IF(AG501="","",IF(AG501&lt;AsOf,1,IF(AG501&lt;=AsOf+AlertDays,2,IF(AG501&lt;=AsOf+2*AlertDays,3,""))))</f>
        <v/>
      </c>
      <c r="AI501" s="79">
        <f>IF(AH501="","","Follow up with "&amp;AA501&amp;": "&amp;AC501)</f>
        <v/>
      </c>
    </row>
    <row r="502" ht="20" customHeight="1">
      <c r="B502" s="72" t="n"/>
      <c r="C502" s="72" t="n"/>
      <c r="D502" s="72" t="n"/>
      <c r="E502" s="72" t="n"/>
      <c r="F502" s="72" t="n"/>
      <c r="G502" s="72" t="n"/>
      <c r="H502" s="72" t="n"/>
      <c r="I502" s="73" t="n"/>
      <c r="J502" s="75">
        <f>IF(B502="","",SUMIFS('Change Orders'!$J$7:$J$1006,'Change Orders'!$E$7:$E$1006,B502,'Change Orders'!$L$7:$L$1006,"Approved"))</f>
        <v/>
      </c>
      <c r="K502" s="76">
        <f>IF(B502="","",I502+J502)</f>
        <v/>
      </c>
      <c r="L502" s="74" t="n"/>
      <c r="M502" s="109" t="n"/>
      <c r="N502" s="109" t="n"/>
      <c r="O502" s="74" t="n"/>
      <c r="P502" s="74" t="n"/>
      <c r="Q502" s="100" t="n"/>
      <c r="R502" s="110" t="n"/>
      <c r="S502" s="75">
        <f>IF(B502="","",SUMIFS('Payments'!$N$6:$N$1005,'Payments'!$B$6:$B$1005,B502))</f>
        <v/>
      </c>
      <c r="T502" s="111">
        <f>IF(OR(B502="",K502=0),"",S502/K502)</f>
        <v/>
      </c>
      <c r="U502" s="78">
        <f>IF(V502="","",IF(V502=2,"⚠️ Paying ahead of work","✓ OK"))</f>
        <v/>
      </c>
      <c r="V502" s="79">
        <f>IF(T502="","",IF(T502-R502&gt;OverpayTol,2,0))</f>
        <v/>
      </c>
      <c r="W502" s="112">
        <f>IF(V502=2,AsOf,"")</f>
        <v/>
      </c>
      <c r="X502" s="79">
        <f>IF(W502="","",1)</f>
        <v/>
      </c>
      <c r="Y502" s="79">
        <f>IF(X502="","","Paying ahead of work: "&amp;B502&amp;" — paid "&amp;ROUND(T502*100,0)&amp;"%, work done "&amp;ROUND(R502*100,0)&amp;"%")</f>
        <v/>
      </c>
      <c r="AA502" s="72" t="n"/>
      <c r="AB502" s="109" t="n"/>
      <c r="AC502" s="113" t="n"/>
      <c r="AD502" s="74" t="n"/>
      <c r="AE502" s="109" t="n"/>
      <c r="AF502" s="74" t="n"/>
      <c r="AG502" s="112">
        <f>IF(AND(AA502&lt;&gt;"",AD502="Yes",AF502&lt;&gt;"Yes",AE502&lt;&gt;""),AE502,"")</f>
        <v/>
      </c>
      <c r="AH502" s="79">
        <f>IF(AG502="","",IF(AG502&lt;AsOf,1,IF(AG502&lt;=AsOf+AlertDays,2,IF(AG502&lt;=AsOf+2*AlertDays,3,""))))</f>
        <v/>
      </c>
      <c r="AI502" s="79">
        <f>IF(AH502="","","Follow up with "&amp;AA502&amp;": "&amp;AC502)</f>
        <v/>
      </c>
    </row>
    <row r="503" ht="20" customHeight="1">
      <c r="B503" s="72" t="n"/>
      <c r="C503" s="72" t="n"/>
      <c r="D503" s="72" t="n"/>
      <c r="E503" s="72" t="n"/>
      <c r="F503" s="72" t="n"/>
      <c r="G503" s="72" t="n"/>
      <c r="H503" s="72" t="n"/>
      <c r="I503" s="73" t="n"/>
      <c r="J503" s="75">
        <f>IF(B503="","",SUMIFS('Change Orders'!$J$7:$J$1006,'Change Orders'!$E$7:$E$1006,B503,'Change Orders'!$L$7:$L$1006,"Approved"))</f>
        <v/>
      </c>
      <c r="K503" s="76">
        <f>IF(B503="","",I503+J503)</f>
        <v/>
      </c>
      <c r="L503" s="74" t="n"/>
      <c r="M503" s="109" t="n"/>
      <c r="N503" s="109" t="n"/>
      <c r="O503" s="74" t="n"/>
      <c r="P503" s="74" t="n"/>
      <c r="Q503" s="100" t="n"/>
      <c r="R503" s="110" t="n"/>
      <c r="S503" s="75">
        <f>IF(B503="","",SUMIFS('Payments'!$N$6:$N$1005,'Payments'!$B$6:$B$1005,B503))</f>
        <v/>
      </c>
      <c r="T503" s="111">
        <f>IF(OR(B503="",K503=0),"",S503/K503)</f>
        <v/>
      </c>
      <c r="U503" s="78">
        <f>IF(V503="","",IF(V503=2,"⚠️ Paying ahead of work","✓ OK"))</f>
        <v/>
      </c>
      <c r="V503" s="79">
        <f>IF(T503="","",IF(T503-R503&gt;OverpayTol,2,0))</f>
        <v/>
      </c>
      <c r="W503" s="112">
        <f>IF(V503=2,AsOf,"")</f>
        <v/>
      </c>
      <c r="X503" s="79">
        <f>IF(W503="","",1)</f>
        <v/>
      </c>
      <c r="Y503" s="79">
        <f>IF(X503="","","Paying ahead of work: "&amp;B503&amp;" — paid "&amp;ROUND(T503*100,0)&amp;"%, work done "&amp;ROUND(R503*100,0)&amp;"%")</f>
        <v/>
      </c>
      <c r="AA503" s="72" t="n"/>
      <c r="AB503" s="109" t="n"/>
      <c r="AC503" s="113" t="n"/>
      <c r="AD503" s="74" t="n"/>
      <c r="AE503" s="109" t="n"/>
      <c r="AF503" s="74" t="n"/>
      <c r="AG503" s="112">
        <f>IF(AND(AA503&lt;&gt;"",AD503="Yes",AF503&lt;&gt;"Yes",AE503&lt;&gt;""),AE503,"")</f>
        <v/>
      </c>
      <c r="AH503" s="79">
        <f>IF(AG503="","",IF(AG503&lt;AsOf,1,IF(AG503&lt;=AsOf+AlertDays,2,IF(AG503&lt;=AsOf+2*AlertDays,3,""))))</f>
        <v/>
      </c>
      <c r="AI503" s="79">
        <f>IF(AH503="","","Follow up with "&amp;AA503&amp;": "&amp;AC503)</f>
        <v/>
      </c>
    </row>
    <row r="504" ht="20" customHeight="1">
      <c r="B504" s="72" t="n"/>
      <c r="C504" s="72" t="n"/>
      <c r="D504" s="72" t="n"/>
      <c r="E504" s="72" t="n"/>
      <c r="F504" s="72" t="n"/>
      <c r="G504" s="72" t="n"/>
      <c r="H504" s="72" t="n"/>
      <c r="I504" s="73" t="n"/>
      <c r="J504" s="75">
        <f>IF(B504="","",SUMIFS('Change Orders'!$J$7:$J$1006,'Change Orders'!$E$7:$E$1006,B504,'Change Orders'!$L$7:$L$1006,"Approved"))</f>
        <v/>
      </c>
      <c r="K504" s="76">
        <f>IF(B504="","",I504+J504)</f>
        <v/>
      </c>
      <c r="L504" s="74" t="n"/>
      <c r="M504" s="109" t="n"/>
      <c r="N504" s="109" t="n"/>
      <c r="O504" s="74" t="n"/>
      <c r="P504" s="74" t="n"/>
      <c r="Q504" s="100" t="n"/>
      <c r="R504" s="110" t="n"/>
      <c r="S504" s="75">
        <f>IF(B504="","",SUMIFS('Payments'!$N$6:$N$1005,'Payments'!$B$6:$B$1005,B504))</f>
        <v/>
      </c>
      <c r="T504" s="111">
        <f>IF(OR(B504="",K504=0),"",S504/K504)</f>
        <v/>
      </c>
      <c r="U504" s="78">
        <f>IF(V504="","",IF(V504=2,"⚠️ Paying ahead of work","✓ OK"))</f>
        <v/>
      </c>
      <c r="V504" s="79">
        <f>IF(T504="","",IF(T504-R504&gt;OverpayTol,2,0))</f>
        <v/>
      </c>
      <c r="W504" s="112">
        <f>IF(V504=2,AsOf,"")</f>
        <v/>
      </c>
      <c r="X504" s="79">
        <f>IF(W504="","",1)</f>
        <v/>
      </c>
      <c r="Y504" s="79">
        <f>IF(X504="","","Paying ahead of work: "&amp;B504&amp;" — paid "&amp;ROUND(T504*100,0)&amp;"%, work done "&amp;ROUND(R504*100,0)&amp;"%")</f>
        <v/>
      </c>
      <c r="AA504" s="72" t="n"/>
      <c r="AB504" s="109" t="n"/>
      <c r="AC504" s="113" t="n"/>
      <c r="AD504" s="74" t="n"/>
      <c r="AE504" s="109" t="n"/>
      <c r="AF504" s="74" t="n"/>
      <c r="AG504" s="112">
        <f>IF(AND(AA504&lt;&gt;"",AD504="Yes",AF504&lt;&gt;"Yes",AE504&lt;&gt;""),AE504,"")</f>
        <v/>
      </c>
      <c r="AH504" s="79">
        <f>IF(AG504="","",IF(AG504&lt;AsOf,1,IF(AG504&lt;=AsOf+AlertDays,2,IF(AG504&lt;=AsOf+2*AlertDays,3,""))))</f>
        <v/>
      </c>
      <c r="AI504" s="79">
        <f>IF(AH504="","","Follow up with "&amp;AA504&amp;": "&amp;AC504)</f>
        <v/>
      </c>
    </row>
    <row r="505" ht="20" customHeight="1">
      <c r="B505" s="72" t="n"/>
      <c r="C505" s="72" t="n"/>
      <c r="D505" s="72" t="n"/>
      <c r="E505" s="72" t="n"/>
      <c r="F505" s="72" t="n"/>
      <c r="G505" s="72" t="n"/>
      <c r="H505" s="72" t="n"/>
      <c r="I505" s="73" t="n"/>
      <c r="J505" s="75">
        <f>IF(B505="","",SUMIFS('Change Orders'!$J$7:$J$1006,'Change Orders'!$E$7:$E$1006,B505,'Change Orders'!$L$7:$L$1006,"Approved"))</f>
        <v/>
      </c>
      <c r="K505" s="76">
        <f>IF(B505="","",I505+J505)</f>
        <v/>
      </c>
      <c r="L505" s="74" t="n"/>
      <c r="M505" s="109" t="n"/>
      <c r="N505" s="109" t="n"/>
      <c r="O505" s="74" t="n"/>
      <c r="P505" s="74" t="n"/>
      <c r="Q505" s="100" t="n"/>
      <c r="R505" s="110" t="n"/>
      <c r="S505" s="75">
        <f>IF(B505="","",SUMIFS('Payments'!$N$6:$N$1005,'Payments'!$B$6:$B$1005,B505))</f>
        <v/>
      </c>
      <c r="T505" s="111">
        <f>IF(OR(B505="",K505=0),"",S505/K505)</f>
        <v/>
      </c>
      <c r="U505" s="78">
        <f>IF(V505="","",IF(V505=2,"⚠️ Paying ahead of work","✓ OK"))</f>
        <v/>
      </c>
      <c r="V505" s="79">
        <f>IF(T505="","",IF(T505-R505&gt;OverpayTol,2,0))</f>
        <v/>
      </c>
      <c r="W505" s="112">
        <f>IF(V505=2,AsOf,"")</f>
        <v/>
      </c>
      <c r="X505" s="79">
        <f>IF(W505="","",1)</f>
        <v/>
      </c>
      <c r="Y505" s="79">
        <f>IF(X505="","","Paying ahead of work: "&amp;B505&amp;" — paid "&amp;ROUND(T505*100,0)&amp;"%, work done "&amp;ROUND(R505*100,0)&amp;"%")</f>
        <v/>
      </c>
      <c r="AA505" s="72" t="n"/>
      <c r="AB505" s="109" t="n"/>
      <c r="AC505" s="113" t="n"/>
      <c r="AD505" s="74" t="n"/>
      <c r="AE505" s="109" t="n"/>
      <c r="AF505" s="74" t="n"/>
      <c r="AG505" s="112">
        <f>IF(AND(AA505&lt;&gt;"",AD505="Yes",AF505&lt;&gt;"Yes",AE505&lt;&gt;""),AE505,"")</f>
        <v/>
      </c>
      <c r="AH505" s="79">
        <f>IF(AG505="","",IF(AG505&lt;AsOf,1,IF(AG505&lt;=AsOf+AlertDays,2,IF(AG505&lt;=AsOf+2*AlertDays,3,""))))</f>
        <v/>
      </c>
      <c r="AI505" s="79">
        <f>IF(AH505="","","Follow up with "&amp;AA505&amp;": "&amp;AC505)</f>
        <v/>
      </c>
    </row>
    <row r="506" ht="20" customHeight="1">
      <c r="B506" s="72" t="n"/>
      <c r="C506" s="72" t="n"/>
      <c r="D506" s="72" t="n"/>
      <c r="E506" s="72" t="n"/>
      <c r="F506" s="72" t="n"/>
      <c r="G506" s="72" t="n"/>
      <c r="H506" s="72" t="n"/>
      <c r="I506" s="73" t="n"/>
      <c r="J506" s="75">
        <f>IF(B506="","",SUMIFS('Change Orders'!$J$7:$J$1006,'Change Orders'!$E$7:$E$1006,B506,'Change Orders'!$L$7:$L$1006,"Approved"))</f>
        <v/>
      </c>
      <c r="K506" s="76">
        <f>IF(B506="","",I506+J506)</f>
        <v/>
      </c>
      <c r="L506" s="74" t="n"/>
      <c r="M506" s="109" t="n"/>
      <c r="N506" s="109" t="n"/>
      <c r="O506" s="74" t="n"/>
      <c r="P506" s="74" t="n"/>
      <c r="Q506" s="100" t="n"/>
      <c r="R506" s="110" t="n"/>
      <c r="S506" s="75">
        <f>IF(B506="","",SUMIFS('Payments'!$N$6:$N$1005,'Payments'!$B$6:$B$1005,B506))</f>
        <v/>
      </c>
      <c r="T506" s="111">
        <f>IF(OR(B506="",K506=0),"",S506/K506)</f>
        <v/>
      </c>
      <c r="U506" s="78">
        <f>IF(V506="","",IF(V506=2,"⚠️ Paying ahead of work","✓ OK"))</f>
        <v/>
      </c>
      <c r="V506" s="79">
        <f>IF(T506="","",IF(T506-R506&gt;OverpayTol,2,0))</f>
        <v/>
      </c>
      <c r="W506" s="112">
        <f>IF(V506=2,AsOf,"")</f>
        <v/>
      </c>
      <c r="X506" s="79">
        <f>IF(W506="","",1)</f>
        <v/>
      </c>
      <c r="Y506" s="79">
        <f>IF(X506="","","Paying ahead of work: "&amp;B506&amp;" — paid "&amp;ROUND(T506*100,0)&amp;"%, work done "&amp;ROUND(R506*100,0)&amp;"%")</f>
        <v/>
      </c>
      <c r="AA506" s="72" t="n"/>
      <c r="AB506" s="109" t="n"/>
      <c r="AC506" s="113" t="n"/>
      <c r="AD506" s="74" t="n"/>
      <c r="AE506" s="109" t="n"/>
      <c r="AF506" s="74" t="n"/>
      <c r="AG506" s="112">
        <f>IF(AND(AA506&lt;&gt;"",AD506="Yes",AF506&lt;&gt;"Yes",AE506&lt;&gt;""),AE506,"")</f>
        <v/>
      </c>
      <c r="AH506" s="79">
        <f>IF(AG506="","",IF(AG506&lt;AsOf,1,IF(AG506&lt;=AsOf+AlertDays,2,IF(AG506&lt;=AsOf+2*AlertDays,3,""))))</f>
        <v/>
      </c>
      <c r="AI506" s="79">
        <f>IF(AH506="","","Follow up with "&amp;AA506&amp;": "&amp;AC506)</f>
        <v/>
      </c>
    </row>
    <row r="507" ht="20" customHeight="1">
      <c r="B507" s="72" t="n"/>
      <c r="C507" s="72" t="n"/>
      <c r="D507" s="72" t="n"/>
      <c r="E507" s="72" t="n"/>
      <c r="F507" s="72" t="n"/>
      <c r="G507" s="72" t="n"/>
      <c r="H507" s="72" t="n"/>
      <c r="I507" s="73" t="n"/>
      <c r="J507" s="75">
        <f>IF(B507="","",SUMIFS('Change Orders'!$J$7:$J$1006,'Change Orders'!$E$7:$E$1006,B507,'Change Orders'!$L$7:$L$1006,"Approved"))</f>
        <v/>
      </c>
      <c r="K507" s="76">
        <f>IF(B507="","",I507+J507)</f>
        <v/>
      </c>
      <c r="L507" s="74" t="n"/>
      <c r="M507" s="109" t="n"/>
      <c r="N507" s="109" t="n"/>
      <c r="O507" s="74" t="n"/>
      <c r="P507" s="74" t="n"/>
      <c r="Q507" s="100" t="n"/>
      <c r="R507" s="110" t="n"/>
      <c r="S507" s="75">
        <f>IF(B507="","",SUMIFS('Payments'!$N$6:$N$1005,'Payments'!$B$6:$B$1005,B507))</f>
        <v/>
      </c>
      <c r="T507" s="111">
        <f>IF(OR(B507="",K507=0),"",S507/K507)</f>
        <v/>
      </c>
      <c r="U507" s="78">
        <f>IF(V507="","",IF(V507=2,"⚠️ Paying ahead of work","✓ OK"))</f>
        <v/>
      </c>
      <c r="V507" s="79">
        <f>IF(T507="","",IF(T507-R507&gt;OverpayTol,2,0))</f>
        <v/>
      </c>
      <c r="W507" s="112">
        <f>IF(V507=2,AsOf,"")</f>
        <v/>
      </c>
      <c r="X507" s="79">
        <f>IF(W507="","",1)</f>
        <v/>
      </c>
      <c r="Y507" s="79">
        <f>IF(X507="","","Paying ahead of work: "&amp;B507&amp;" — paid "&amp;ROUND(T507*100,0)&amp;"%, work done "&amp;ROUND(R507*100,0)&amp;"%")</f>
        <v/>
      </c>
      <c r="AA507" s="72" t="n"/>
      <c r="AB507" s="109" t="n"/>
      <c r="AC507" s="113" t="n"/>
      <c r="AD507" s="74" t="n"/>
      <c r="AE507" s="109" t="n"/>
      <c r="AF507" s="74" t="n"/>
      <c r="AG507" s="112">
        <f>IF(AND(AA507&lt;&gt;"",AD507="Yes",AF507&lt;&gt;"Yes",AE507&lt;&gt;""),AE507,"")</f>
        <v/>
      </c>
      <c r="AH507" s="79">
        <f>IF(AG507="","",IF(AG507&lt;AsOf,1,IF(AG507&lt;=AsOf+AlertDays,2,IF(AG507&lt;=AsOf+2*AlertDays,3,""))))</f>
        <v/>
      </c>
      <c r="AI507" s="79">
        <f>IF(AH507="","","Follow up with "&amp;AA507&amp;": "&amp;AC507)</f>
        <v/>
      </c>
    </row>
    <row r="508" ht="20" customHeight="1">
      <c r="B508" s="72" t="n"/>
      <c r="C508" s="72" t="n"/>
      <c r="D508" s="72" t="n"/>
      <c r="E508" s="72" t="n"/>
      <c r="F508" s="72" t="n"/>
      <c r="G508" s="72" t="n"/>
      <c r="H508" s="72" t="n"/>
      <c r="I508" s="73" t="n"/>
      <c r="J508" s="75">
        <f>IF(B508="","",SUMIFS('Change Orders'!$J$7:$J$1006,'Change Orders'!$E$7:$E$1006,B508,'Change Orders'!$L$7:$L$1006,"Approved"))</f>
        <v/>
      </c>
      <c r="K508" s="76">
        <f>IF(B508="","",I508+J508)</f>
        <v/>
      </c>
      <c r="L508" s="74" t="n"/>
      <c r="M508" s="109" t="n"/>
      <c r="N508" s="109" t="n"/>
      <c r="O508" s="74" t="n"/>
      <c r="P508" s="74" t="n"/>
      <c r="Q508" s="100" t="n"/>
      <c r="R508" s="110" t="n"/>
      <c r="S508" s="75">
        <f>IF(B508="","",SUMIFS('Payments'!$N$6:$N$1005,'Payments'!$B$6:$B$1005,B508))</f>
        <v/>
      </c>
      <c r="T508" s="111">
        <f>IF(OR(B508="",K508=0),"",S508/K508)</f>
        <v/>
      </c>
      <c r="U508" s="78">
        <f>IF(V508="","",IF(V508=2,"⚠️ Paying ahead of work","✓ OK"))</f>
        <v/>
      </c>
      <c r="V508" s="79">
        <f>IF(T508="","",IF(T508-R508&gt;OverpayTol,2,0))</f>
        <v/>
      </c>
      <c r="W508" s="112">
        <f>IF(V508=2,AsOf,"")</f>
        <v/>
      </c>
      <c r="X508" s="79">
        <f>IF(W508="","",1)</f>
        <v/>
      </c>
      <c r="Y508" s="79">
        <f>IF(X508="","","Paying ahead of work: "&amp;B508&amp;" — paid "&amp;ROUND(T508*100,0)&amp;"%, work done "&amp;ROUND(R508*100,0)&amp;"%")</f>
        <v/>
      </c>
      <c r="AA508" s="72" t="n"/>
      <c r="AB508" s="109" t="n"/>
      <c r="AC508" s="113" t="n"/>
      <c r="AD508" s="74" t="n"/>
      <c r="AE508" s="109" t="n"/>
      <c r="AF508" s="74" t="n"/>
      <c r="AG508" s="112">
        <f>IF(AND(AA508&lt;&gt;"",AD508="Yes",AF508&lt;&gt;"Yes",AE508&lt;&gt;""),AE508,"")</f>
        <v/>
      </c>
      <c r="AH508" s="79">
        <f>IF(AG508="","",IF(AG508&lt;AsOf,1,IF(AG508&lt;=AsOf+AlertDays,2,IF(AG508&lt;=AsOf+2*AlertDays,3,""))))</f>
        <v/>
      </c>
      <c r="AI508" s="79">
        <f>IF(AH508="","","Follow up with "&amp;AA508&amp;": "&amp;AC508)</f>
        <v/>
      </c>
    </row>
    <row r="509" ht="20" customHeight="1">
      <c r="B509" s="72" t="n"/>
      <c r="C509" s="72" t="n"/>
      <c r="D509" s="72" t="n"/>
      <c r="E509" s="72" t="n"/>
      <c r="F509" s="72" t="n"/>
      <c r="G509" s="72" t="n"/>
      <c r="H509" s="72" t="n"/>
      <c r="I509" s="73" t="n"/>
      <c r="J509" s="75">
        <f>IF(B509="","",SUMIFS('Change Orders'!$J$7:$J$1006,'Change Orders'!$E$7:$E$1006,B509,'Change Orders'!$L$7:$L$1006,"Approved"))</f>
        <v/>
      </c>
      <c r="K509" s="76">
        <f>IF(B509="","",I509+J509)</f>
        <v/>
      </c>
      <c r="L509" s="74" t="n"/>
      <c r="M509" s="109" t="n"/>
      <c r="N509" s="109" t="n"/>
      <c r="O509" s="74" t="n"/>
      <c r="P509" s="74" t="n"/>
      <c r="Q509" s="100" t="n"/>
      <c r="R509" s="110" t="n"/>
      <c r="S509" s="75">
        <f>IF(B509="","",SUMIFS('Payments'!$N$6:$N$1005,'Payments'!$B$6:$B$1005,B509))</f>
        <v/>
      </c>
      <c r="T509" s="111">
        <f>IF(OR(B509="",K509=0),"",S509/K509)</f>
        <v/>
      </c>
      <c r="U509" s="78">
        <f>IF(V509="","",IF(V509=2,"⚠️ Paying ahead of work","✓ OK"))</f>
        <v/>
      </c>
      <c r="V509" s="79">
        <f>IF(T509="","",IF(T509-R509&gt;OverpayTol,2,0))</f>
        <v/>
      </c>
      <c r="W509" s="112">
        <f>IF(V509=2,AsOf,"")</f>
        <v/>
      </c>
      <c r="X509" s="79">
        <f>IF(W509="","",1)</f>
        <v/>
      </c>
      <c r="Y509" s="79">
        <f>IF(X509="","","Paying ahead of work: "&amp;B509&amp;" — paid "&amp;ROUND(T509*100,0)&amp;"%, work done "&amp;ROUND(R509*100,0)&amp;"%")</f>
        <v/>
      </c>
      <c r="AA509" s="72" t="n"/>
      <c r="AB509" s="109" t="n"/>
      <c r="AC509" s="113" t="n"/>
      <c r="AD509" s="74" t="n"/>
      <c r="AE509" s="109" t="n"/>
      <c r="AF509" s="74" t="n"/>
      <c r="AG509" s="112">
        <f>IF(AND(AA509&lt;&gt;"",AD509="Yes",AF509&lt;&gt;"Yes",AE509&lt;&gt;""),AE509,"")</f>
        <v/>
      </c>
      <c r="AH509" s="79">
        <f>IF(AG509="","",IF(AG509&lt;AsOf,1,IF(AG509&lt;=AsOf+AlertDays,2,IF(AG509&lt;=AsOf+2*AlertDays,3,""))))</f>
        <v/>
      </c>
      <c r="AI509" s="79">
        <f>IF(AH509="","","Follow up with "&amp;AA509&amp;": "&amp;AC509)</f>
        <v/>
      </c>
    </row>
    <row r="510" ht="20" customHeight="1">
      <c r="B510" s="72" t="n"/>
      <c r="C510" s="72" t="n"/>
      <c r="D510" s="72" t="n"/>
      <c r="E510" s="72" t="n"/>
      <c r="F510" s="72" t="n"/>
      <c r="G510" s="72" t="n"/>
      <c r="H510" s="72" t="n"/>
      <c r="I510" s="73" t="n"/>
      <c r="J510" s="75">
        <f>IF(B510="","",SUMIFS('Change Orders'!$J$7:$J$1006,'Change Orders'!$E$7:$E$1006,B510,'Change Orders'!$L$7:$L$1006,"Approved"))</f>
        <v/>
      </c>
      <c r="K510" s="76">
        <f>IF(B510="","",I510+J510)</f>
        <v/>
      </c>
      <c r="L510" s="74" t="n"/>
      <c r="M510" s="109" t="n"/>
      <c r="N510" s="109" t="n"/>
      <c r="O510" s="74" t="n"/>
      <c r="P510" s="74" t="n"/>
      <c r="Q510" s="100" t="n"/>
      <c r="R510" s="110" t="n"/>
      <c r="S510" s="75">
        <f>IF(B510="","",SUMIFS('Payments'!$N$6:$N$1005,'Payments'!$B$6:$B$1005,B510))</f>
        <v/>
      </c>
      <c r="T510" s="111">
        <f>IF(OR(B510="",K510=0),"",S510/K510)</f>
        <v/>
      </c>
      <c r="U510" s="78">
        <f>IF(V510="","",IF(V510=2,"⚠️ Paying ahead of work","✓ OK"))</f>
        <v/>
      </c>
      <c r="V510" s="79">
        <f>IF(T510="","",IF(T510-R510&gt;OverpayTol,2,0))</f>
        <v/>
      </c>
      <c r="W510" s="112">
        <f>IF(V510=2,AsOf,"")</f>
        <v/>
      </c>
      <c r="X510" s="79">
        <f>IF(W510="","",1)</f>
        <v/>
      </c>
      <c r="Y510" s="79">
        <f>IF(X510="","","Paying ahead of work: "&amp;B510&amp;" — paid "&amp;ROUND(T510*100,0)&amp;"%, work done "&amp;ROUND(R510*100,0)&amp;"%")</f>
        <v/>
      </c>
      <c r="AA510" s="72" t="n"/>
      <c r="AB510" s="109" t="n"/>
      <c r="AC510" s="113" t="n"/>
      <c r="AD510" s="74" t="n"/>
      <c r="AE510" s="109" t="n"/>
      <c r="AF510" s="74" t="n"/>
      <c r="AG510" s="112">
        <f>IF(AND(AA510&lt;&gt;"",AD510="Yes",AF510&lt;&gt;"Yes",AE510&lt;&gt;""),AE510,"")</f>
        <v/>
      </c>
      <c r="AH510" s="79">
        <f>IF(AG510="","",IF(AG510&lt;AsOf,1,IF(AG510&lt;=AsOf+AlertDays,2,IF(AG510&lt;=AsOf+2*AlertDays,3,""))))</f>
        <v/>
      </c>
      <c r="AI510" s="79">
        <f>IF(AH510="","","Follow up with "&amp;AA510&amp;": "&amp;AC510)</f>
        <v/>
      </c>
    </row>
    <row r="511" ht="20" customHeight="1">
      <c r="B511" s="72" t="n"/>
      <c r="C511" s="72" t="n"/>
      <c r="D511" s="72" t="n"/>
      <c r="E511" s="72" t="n"/>
      <c r="F511" s="72" t="n"/>
      <c r="G511" s="72" t="n"/>
      <c r="H511" s="72" t="n"/>
      <c r="I511" s="73" t="n"/>
      <c r="J511" s="75">
        <f>IF(B511="","",SUMIFS('Change Orders'!$J$7:$J$1006,'Change Orders'!$E$7:$E$1006,B511,'Change Orders'!$L$7:$L$1006,"Approved"))</f>
        <v/>
      </c>
      <c r="K511" s="76">
        <f>IF(B511="","",I511+J511)</f>
        <v/>
      </c>
      <c r="L511" s="74" t="n"/>
      <c r="M511" s="109" t="n"/>
      <c r="N511" s="109" t="n"/>
      <c r="O511" s="74" t="n"/>
      <c r="P511" s="74" t="n"/>
      <c r="Q511" s="100" t="n"/>
      <c r="R511" s="110" t="n"/>
      <c r="S511" s="75">
        <f>IF(B511="","",SUMIFS('Payments'!$N$6:$N$1005,'Payments'!$B$6:$B$1005,B511))</f>
        <v/>
      </c>
      <c r="T511" s="111">
        <f>IF(OR(B511="",K511=0),"",S511/K511)</f>
        <v/>
      </c>
      <c r="U511" s="78">
        <f>IF(V511="","",IF(V511=2,"⚠️ Paying ahead of work","✓ OK"))</f>
        <v/>
      </c>
      <c r="V511" s="79">
        <f>IF(T511="","",IF(T511-R511&gt;OverpayTol,2,0))</f>
        <v/>
      </c>
      <c r="W511" s="112">
        <f>IF(V511=2,AsOf,"")</f>
        <v/>
      </c>
      <c r="X511" s="79">
        <f>IF(W511="","",1)</f>
        <v/>
      </c>
      <c r="Y511" s="79">
        <f>IF(X511="","","Paying ahead of work: "&amp;B511&amp;" — paid "&amp;ROUND(T511*100,0)&amp;"%, work done "&amp;ROUND(R511*100,0)&amp;"%")</f>
        <v/>
      </c>
      <c r="AA511" s="72" t="n"/>
      <c r="AB511" s="109" t="n"/>
      <c r="AC511" s="113" t="n"/>
      <c r="AD511" s="74" t="n"/>
      <c r="AE511" s="109" t="n"/>
      <c r="AF511" s="74" t="n"/>
      <c r="AG511" s="112">
        <f>IF(AND(AA511&lt;&gt;"",AD511="Yes",AF511&lt;&gt;"Yes",AE511&lt;&gt;""),AE511,"")</f>
        <v/>
      </c>
      <c r="AH511" s="79">
        <f>IF(AG511="","",IF(AG511&lt;AsOf,1,IF(AG511&lt;=AsOf+AlertDays,2,IF(AG511&lt;=AsOf+2*AlertDays,3,""))))</f>
        <v/>
      </c>
      <c r="AI511" s="79">
        <f>IF(AH511="","","Follow up with "&amp;AA511&amp;": "&amp;AC511)</f>
        <v/>
      </c>
    </row>
    <row r="512" ht="20" customHeight="1">
      <c r="B512" s="72" t="n"/>
      <c r="C512" s="72" t="n"/>
      <c r="D512" s="72" t="n"/>
      <c r="E512" s="72" t="n"/>
      <c r="F512" s="72" t="n"/>
      <c r="G512" s="72" t="n"/>
      <c r="H512" s="72" t="n"/>
      <c r="I512" s="73" t="n"/>
      <c r="J512" s="75">
        <f>IF(B512="","",SUMIFS('Change Orders'!$J$7:$J$1006,'Change Orders'!$E$7:$E$1006,B512,'Change Orders'!$L$7:$L$1006,"Approved"))</f>
        <v/>
      </c>
      <c r="K512" s="76">
        <f>IF(B512="","",I512+J512)</f>
        <v/>
      </c>
      <c r="L512" s="74" t="n"/>
      <c r="M512" s="109" t="n"/>
      <c r="N512" s="109" t="n"/>
      <c r="O512" s="74" t="n"/>
      <c r="P512" s="74" t="n"/>
      <c r="Q512" s="100" t="n"/>
      <c r="R512" s="110" t="n"/>
      <c r="S512" s="75">
        <f>IF(B512="","",SUMIFS('Payments'!$N$6:$N$1005,'Payments'!$B$6:$B$1005,B512))</f>
        <v/>
      </c>
      <c r="T512" s="111">
        <f>IF(OR(B512="",K512=0),"",S512/K512)</f>
        <v/>
      </c>
      <c r="U512" s="78">
        <f>IF(V512="","",IF(V512=2,"⚠️ Paying ahead of work","✓ OK"))</f>
        <v/>
      </c>
      <c r="V512" s="79">
        <f>IF(T512="","",IF(T512-R512&gt;OverpayTol,2,0))</f>
        <v/>
      </c>
      <c r="W512" s="112">
        <f>IF(V512=2,AsOf,"")</f>
        <v/>
      </c>
      <c r="X512" s="79">
        <f>IF(W512="","",1)</f>
        <v/>
      </c>
      <c r="Y512" s="79">
        <f>IF(X512="","","Paying ahead of work: "&amp;B512&amp;" — paid "&amp;ROUND(T512*100,0)&amp;"%, work done "&amp;ROUND(R512*100,0)&amp;"%")</f>
        <v/>
      </c>
      <c r="AA512" s="72" t="n"/>
      <c r="AB512" s="109" t="n"/>
      <c r="AC512" s="113" t="n"/>
      <c r="AD512" s="74" t="n"/>
      <c r="AE512" s="109" t="n"/>
      <c r="AF512" s="74" t="n"/>
      <c r="AG512" s="112">
        <f>IF(AND(AA512&lt;&gt;"",AD512="Yes",AF512&lt;&gt;"Yes",AE512&lt;&gt;""),AE512,"")</f>
        <v/>
      </c>
      <c r="AH512" s="79">
        <f>IF(AG512="","",IF(AG512&lt;AsOf,1,IF(AG512&lt;=AsOf+AlertDays,2,IF(AG512&lt;=AsOf+2*AlertDays,3,""))))</f>
        <v/>
      </c>
      <c r="AI512" s="79">
        <f>IF(AH512="","","Follow up with "&amp;AA512&amp;": "&amp;AC512)</f>
        <v/>
      </c>
    </row>
    <row r="513" ht="20" customHeight="1">
      <c r="B513" s="72" t="n"/>
      <c r="C513" s="72" t="n"/>
      <c r="D513" s="72" t="n"/>
      <c r="E513" s="72" t="n"/>
      <c r="F513" s="72" t="n"/>
      <c r="G513" s="72" t="n"/>
      <c r="H513" s="72" t="n"/>
      <c r="I513" s="73" t="n"/>
      <c r="J513" s="75">
        <f>IF(B513="","",SUMIFS('Change Orders'!$J$7:$J$1006,'Change Orders'!$E$7:$E$1006,B513,'Change Orders'!$L$7:$L$1006,"Approved"))</f>
        <v/>
      </c>
      <c r="K513" s="76">
        <f>IF(B513="","",I513+J513)</f>
        <v/>
      </c>
      <c r="L513" s="74" t="n"/>
      <c r="M513" s="109" t="n"/>
      <c r="N513" s="109" t="n"/>
      <c r="O513" s="74" t="n"/>
      <c r="P513" s="74" t="n"/>
      <c r="Q513" s="100" t="n"/>
      <c r="R513" s="110" t="n"/>
      <c r="S513" s="75">
        <f>IF(B513="","",SUMIFS('Payments'!$N$6:$N$1005,'Payments'!$B$6:$B$1005,B513))</f>
        <v/>
      </c>
      <c r="T513" s="111">
        <f>IF(OR(B513="",K513=0),"",S513/K513)</f>
        <v/>
      </c>
      <c r="U513" s="78">
        <f>IF(V513="","",IF(V513=2,"⚠️ Paying ahead of work","✓ OK"))</f>
        <v/>
      </c>
      <c r="V513" s="79">
        <f>IF(T513="","",IF(T513-R513&gt;OverpayTol,2,0))</f>
        <v/>
      </c>
      <c r="W513" s="112">
        <f>IF(V513=2,AsOf,"")</f>
        <v/>
      </c>
      <c r="X513" s="79">
        <f>IF(W513="","",1)</f>
        <v/>
      </c>
      <c r="Y513" s="79">
        <f>IF(X513="","","Paying ahead of work: "&amp;B513&amp;" — paid "&amp;ROUND(T513*100,0)&amp;"%, work done "&amp;ROUND(R513*100,0)&amp;"%")</f>
        <v/>
      </c>
      <c r="AA513" s="72" t="n"/>
      <c r="AB513" s="109" t="n"/>
      <c r="AC513" s="113" t="n"/>
      <c r="AD513" s="74" t="n"/>
      <c r="AE513" s="109" t="n"/>
      <c r="AF513" s="74" t="n"/>
      <c r="AG513" s="112">
        <f>IF(AND(AA513&lt;&gt;"",AD513="Yes",AF513&lt;&gt;"Yes",AE513&lt;&gt;""),AE513,"")</f>
        <v/>
      </c>
      <c r="AH513" s="79">
        <f>IF(AG513="","",IF(AG513&lt;AsOf,1,IF(AG513&lt;=AsOf+AlertDays,2,IF(AG513&lt;=AsOf+2*AlertDays,3,""))))</f>
        <v/>
      </c>
      <c r="AI513" s="79">
        <f>IF(AH513="","","Follow up with "&amp;AA513&amp;": "&amp;AC513)</f>
        <v/>
      </c>
    </row>
    <row r="514" ht="20" customHeight="1">
      <c r="B514" s="72" t="n"/>
      <c r="C514" s="72" t="n"/>
      <c r="D514" s="72" t="n"/>
      <c r="E514" s="72" t="n"/>
      <c r="F514" s="72" t="n"/>
      <c r="G514" s="72" t="n"/>
      <c r="H514" s="72" t="n"/>
      <c r="I514" s="73" t="n"/>
      <c r="J514" s="75">
        <f>IF(B514="","",SUMIFS('Change Orders'!$J$7:$J$1006,'Change Orders'!$E$7:$E$1006,B514,'Change Orders'!$L$7:$L$1006,"Approved"))</f>
        <v/>
      </c>
      <c r="K514" s="76">
        <f>IF(B514="","",I514+J514)</f>
        <v/>
      </c>
      <c r="L514" s="74" t="n"/>
      <c r="M514" s="109" t="n"/>
      <c r="N514" s="109" t="n"/>
      <c r="O514" s="74" t="n"/>
      <c r="P514" s="74" t="n"/>
      <c r="Q514" s="100" t="n"/>
      <c r="R514" s="110" t="n"/>
      <c r="S514" s="75">
        <f>IF(B514="","",SUMIFS('Payments'!$N$6:$N$1005,'Payments'!$B$6:$B$1005,B514))</f>
        <v/>
      </c>
      <c r="T514" s="111">
        <f>IF(OR(B514="",K514=0),"",S514/K514)</f>
        <v/>
      </c>
      <c r="U514" s="78">
        <f>IF(V514="","",IF(V514=2,"⚠️ Paying ahead of work","✓ OK"))</f>
        <v/>
      </c>
      <c r="V514" s="79">
        <f>IF(T514="","",IF(T514-R514&gt;OverpayTol,2,0))</f>
        <v/>
      </c>
      <c r="W514" s="112">
        <f>IF(V514=2,AsOf,"")</f>
        <v/>
      </c>
      <c r="X514" s="79">
        <f>IF(W514="","",1)</f>
        <v/>
      </c>
      <c r="Y514" s="79">
        <f>IF(X514="","","Paying ahead of work: "&amp;B514&amp;" — paid "&amp;ROUND(T514*100,0)&amp;"%, work done "&amp;ROUND(R514*100,0)&amp;"%")</f>
        <v/>
      </c>
      <c r="AA514" s="72" t="n"/>
      <c r="AB514" s="109" t="n"/>
      <c r="AC514" s="113" t="n"/>
      <c r="AD514" s="74" t="n"/>
      <c r="AE514" s="109" t="n"/>
      <c r="AF514" s="74" t="n"/>
      <c r="AG514" s="112">
        <f>IF(AND(AA514&lt;&gt;"",AD514="Yes",AF514&lt;&gt;"Yes",AE514&lt;&gt;""),AE514,"")</f>
        <v/>
      </c>
      <c r="AH514" s="79">
        <f>IF(AG514="","",IF(AG514&lt;AsOf,1,IF(AG514&lt;=AsOf+AlertDays,2,IF(AG514&lt;=AsOf+2*AlertDays,3,""))))</f>
        <v/>
      </c>
      <c r="AI514" s="79">
        <f>IF(AH514="","","Follow up with "&amp;AA514&amp;": "&amp;AC514)</f>
        <v/>
      </c>
    </row>
    <row r="515" ht="20" customHeight="1">
      <c r="B515" s="72" t="n"/>
      <c r="C515" s="72" t="n"/>
      <c r="D515" s="72" t="n"/>
      <c r="E515" s="72" t="n"/>
      <c r="F515" s="72" t="n"/>
      <c r="G515" s="72" t="n"/>
      <c r="H515" s="72" t="n"/>
      <c r="I515" s="73" t="n"/>
      <c r="J515" s="75">
        <f>IF(B515="","",SUMIFS('Change Orders'!$J$7:$J$1006,'Change Orders'!$E$7:$E$1006,B515,'Change Orders'!$L$7:$L$1006,"Approved"))</f>
        <v/>
      </c>
      <c r="K515" s="76">
        <f>IF(B515="","",I515+J515)</f>
        <v/>
      </c>
      <c r="L515" s="74" t="n"/>
      <c r="M515" s="109" t="n"/>
      <c r="N515" s="109" t="n"/>
      <c r="O515" s="74" t="n"/>
      <c r="P515" s="74" t="n"/>
      <c r="Q515" s="100" t="n"/>
      <c r="R515" s="110" t="n"/>
      <c r="S515" s="75">
        <f>IF(B515="","",SUMIFS('Payments'!$N$6:$N$1005,'Payments'!$B$6:$B$1005,B515))</f>
        <v/>
      </c>
      <c r="T515" s="111">
        <f>IF(OR(B515="",K515=0),"",S515/K515)</f>
        <v/>
      </c>
      <c r="U515" s="78">
        <f>IF(V515="","",IF(V515=2,"⚠️ Paying ahead of work","✓ OK"))</f>
        <v/>
      </c>
      <c r="V515" s="79">
        <f>IF(T515="","",IF(T515-R515&gt;OverpayTol,2,0))</f>
        <v/>
      </c>
      <c r="W515" s="112">
        <f>IF(V515=2,AsOf,"")</f>
        <v/>
      </c>
      <c r="X515" s="79">
        <f>IF(W515="","",1)</f>
        <v/>
      </c>
      <c r="Y515" s="79">
        <f>IF(X515="","","Paying ahead of work: "&amp;B515&amp;" — paid "&amp;ROUND(T515*100,0)&amp;"%, work done "&amp;ROUND(R515*100,0)&amp;"%")</f>
        <v/>
      </c>
      <c r="AA515" s="72" t="n"/>
      <c r="AB515" s="109" t="n"/>
      <c r="AC515" s="113" t="n"/>
      <c r="AD515" s="74" t="n"/>
      <c r="AE515" s="109" t="n"/>
      <c r="AF515" s="74" t="n"/>
      <c r="AG515" s="112">
        <f>IF(AND(AA515&lt;&gt;"",AD515="Yes",AF515&lt;&gt;"Yes",AE515&lt;&gt;""),AE515,"")</f>
        <v/>
      </c>
      <c r="AH515" s="79">
        <f>IF(AG515="","",IF(AG515&lt;AsOf,1,IF(AG515&lt;=AsOf+AlertDays,2,IF(AG515&lt;=AsOf+2*AlertDays,3,""))))</f>
        <v/>
      </c>
      <c r="AI515" s="79">
        <f>IF(AH515="","","Follow up with "&amp;AA515&amp;": "&amp;AC515)</f>
        <v/>
      </c>
    </row>
    <row r="516" ht="20" customHeight="1">
      <c r="B516" s="72" t="n"/>
      <c r="C516" s="72" t="n"/>
      <c r="D516" s="72" t="n"/>
      <c r="E516" s="72" t="n"/>
      <c r="F516" s="72" t="n"/>
      <c r="G516" s="72" t="n"/>
      <c r="H516" s="72" t="n"/>
      <c r="I516" s="73" t="n"/>
      <c r="J516" s="75">
        <f>IF(B516="","",SUMIFS('Change Orders'!$J$7:$J$1006,'Change Orders'!$E$7:$E$1006,B516,'Change Orders'!$L$7:$L$1006,"Approved"))</f>
        <v/>
      </c>
      <c r="K516" s="76">
        <f>IF(B516="","",I516+J516)</f>
        <v/>
      </c>
      <c r="L516" s="74" t="n"/>
      <c r="M516" s="109" t="n"/>
      <c r="N516" s="109" t="n"/>
      <c r="O516" s="74" t="n"/>
      <c r="P516" s="74" t="n"/>
      <c r="Q516" s="100" t="n"/>
      <c r="R516" s="110" t="n"/>
      <c r="S516" s="75">
        <f>IF(B516="","",SUMIFS('Payments'!$N$6:$N$1005,'Payments'!$B$6:$B$1005,B516))</f>
        <v/>
      </c>
      <c r="T516" s="111">
        <f>IF(OR(B516="",K516=0),"",S516/K516)</f>
        <v/>
      </c>
      <c r="U516" s="78">
        <f>IF(V516="","",IF(V516=2,"⚠️ Paying ahead of work","✓ OK"))</f>
        <v/>
      </c>
      <c r="V516" s="79">
        <f>IF(T516="","",IF(T516-R516&gt;OverpayTol,2,0))</f>
        <v/>
      </c>
      <c r="W516" s="112">
        <f>IF(V516=2,AsOf,"")</f>
        <v/>
      </c>
      <c r="X516" s="79">
        <f>IF(W516="","",1)</f>
        <v/>
      </c>
      <c r="Y516" s="79">
        <f>IF(X516="","","Paying ahead of work: "&amp;B516&amp;" — paid "&amp;ROUND(T516*100,0)&amp;"%, work done "&amp;ROUND(R516*100,0)&amp;"%")</f>
        <v/>
      </c>
      <c r="AA516" s="72" t="n"/>
      <c r="AB516" s="109" t="n"/>
      <c r="AC516" s="113" t="n"/>
      <c r="AD516" s="74" t="n"/>
      <c r="AE516" s="109" t="n"/>
      <c r="AF516" s="74" t="n"/>
      <c r="AG516" s="112">
        <f>IF(AND(AA516&lt;&gt;"",AD516="Yes",AF516&lt;&gt;"Yes",AE516&lt;&gt;""),AE516,"")</f>
        <v/>
      </c>
      <c r="AH516" s="79">
        <f>IF(AG516="","",IF(AG516&lt;AsOf,1,IF(AG516&lt;=AsOf+AlertDays,2,IF(AG516&lt;=AsOf+2*AlertDays,3,""))))</f>
        <v/>
      </c>
      <c r="AI516" s="79">
        <f>IF(AH516="","","Follow up with "&amp;AA516&amp;": "&amp;AC516)</f>
        <v/>
      </c>
    </row>
    <row r="517" ht="20" customHeight="1">
      <c r="B517" s="72" t="n"/>
      <c r="C517" s="72" t="n"/>
      <c r="D517" s="72" t="n"/>
      <c r="E517" s="72" t="n"/>
      <c r="F517" s="72" t="n"/>
      <c r="G517" s="72" t="n"/>
      <c r="H517" s="72" t="n"/>
      <c r="I517" s="73" t="n"/>
      <c r="J517" s="75">
        <f>IF(B517="","",SUMIFS('Change Orders'!$J$7:$J$1006,'Change Orders'!$E$7:$E$1006,B517,'Change Orders'!$L$7:$L$1006,"Approved"))</f>
        <v/>
      </c>
      <c r="K517" s="76">
        <f>IF(B517="","",I517+J517)</f>
        <v/>
      </c>
      <c r="L517" s="74" t="n"/>
      <c r="M517" s="109" t="n"/>
      <c r="N517" s="109" t="n"/>
      <c r="O517" s="74" t="n"/>
      <c r="P517" s="74" t="n"/>
      <c r="Q517" s="100" t="n"/>
      <c r="R517" s="110" t="n"/>
      <c r="S517" s="75">
        <f>IF(B517="","",SUMIFS('Payments'!$N$6:$N$1005,'Payments'!$B$6:$B$1005,B517))</f>
        <v/>
      </c>
      <c r="T517" s="111">
        <f>IF(OR(B517="",K517=0),"",S517/K517)</f>
        <v/>
      </c>
      <c r="U517" s="78">
        <f>IF(V517="","",IF(V517=2,"⚠️ Paying ahead of work","✓ OK"))</f>
        <v/>
      </c>
      <c r="V517" s="79">
        <f>IF(T517="","",IF(T517-R517&gt;OverpayTol,2,0))</f>
        <v/>
      </c>
      <c r="W517" s="112">
        <f>IF(V517=2,AsOf,"")</f>
        <v/>
      </c>
      <c r="X517" s="79">
        <f>IF(W517="","",1)</f>
        <v/>
      </c>
      <c r="Y517" s="79">
        <f>IF(X517="","","Paying ahead of work: "&amp;B517&amp;" — paid "&amp;ROUND(T517*100,0)&amp;"%, work done "&amp;ROUND(R517*100,0)&amp;"%")</f>
        <v/>
      </c>
      <c r="AA517" s="72" t="n"/>
      <c r="AB517" s="109" t="n"/>
      <c r="AC517" s="113" t="n"/>
      <c r="AD517" s="74" t="n"/>
      <c r="AE517" s="109" t="n"/>
      <c r="AF517" s="74" t="n"/>
      <c r="AG517" s="112">
        <f>IF(AND(AA517&lt;&gt;"",AD517="Yes",AF517&lt;&gt;"Yes",AE517&lt;&gt;""),AE517,"")</f>
        <v/>
      </c>
      <c r="AH517" s="79">
        <f>IF(AG517="","",IF(AG517&lt;AsOf,1,IF(AG517&lt;=AsOf+AlertDays,2,IF(AG517&lt;=AsOf+2*AlertDays,3,""))))</f>
        <v/>
      </c>
      <c r="AI517" s="79">
        <f>IF(AH517="","","Follow up with "&amp;AA517&amp;": "&amp;AC517)</f>
        <v/>
      </c>
    </row>
    <row r="518" ht="20" customHeight="1">
      <c r="B518" s="72" t="n"/>
      <c r="C518" s="72" t="n"/>
      <c r="D518" s="72" t="n"/>
      <c r="E518" s="72" t="n"/>
      <c r="F518" s="72" t="n"/>
      <c r="G518" s="72" t="n"/>
      <c r="H518" s="72" t="n"/>
      <c r="I518" s="73" t="n"/>
      <c r="J518" s="75">
        <f>IF(B518="","",SUMIFS('Change Orders'!$J$7:$J$1006,'Change Orders'!$E$7:$E$1006,B518,'Change Orders'!$L$7:$L$1006,"Approved"))</f>
        <v/>
      </c>
      <c r="K518" s="76">
        <f>IF(B518="","",I518+J518)</f>
        <v/>
      </c>
      <c r="L518" s="74" t="n"/>
      <c r="M518" s="109" t="n"/>
      <c r="N518" s="109" t="n"/>
      <c r="O518" s="74" t="n"/>
      <c r="P518" s="74" t="n"/>
      <c r="Q518" s="100" t="n"/>
      <c r="R518" s="110" t="n"/>
      <c r="S518" s="75">
        <f>IF(B518="","",SUMIFS('Payments'!$N$6:$N$1005,'Payments'!$B$6:$B$1005,B518))</f>
        <v/>
      </c>
      <c r="T518" s="111">
        <f>IF(OR(B518="",K518=0),"",S518/K518)</f>
        <v/>
      </c>
      <c r="U518" s="78">
        <f>IF(V518="","",IF(V518=2,"⚠️ Paying ahead of work","✓ OK"))</f>
        <v/>
      </c>
      <c r="V518" s="79">
        <f>IF(T518="","",IF(T518-R518&gt;OverpayTol,2,0))</f>
        <v/>
      </c>
      <c r="W518" s="112">
        <f>IF(V518=2,AsOf,"")</f>
        <v/>
      </c>
      <c r="X518" s="79">
        <f>IF(W518="","",1)</f>
        <v/>
      </c>
      <c r="Y518" s="79">
        <f>IF(X518="","","Paying ahead of work: "&amp;B518&amp;" — paid "&amp;ROUND(T518*100,0)&amp;"%, work done "&amp;ROUND(R518*100,0)&amp;"%")</f>
        <v/>
      </c>
      <c r="AA518" s="72" t="n"/>
      <c r="AB518" s="109" t="n"/>
      <c r="AC518" s="113" t="n"/>
      <c r="AD518" s="74" t="n"/>
      <c r="AE518" s="109" t="n"/>
      <c r="AF518" s="74" t="n"/>
      <c r="AG518" s="112">
        <f>IF(AND(AA518&lt;&gt;"",AD518="Yes",AF518&lt;&gt;"Yes",AE518&lt;&gt;""),AE518,"")</f>
        <v/>
      </c>
      <c r="AH518" s="79">
        <f>IF(AG518="","",IF(AG518&lt;AsOf,1,IF(AG518&lt;=AsOf+AlertDays,2,IF(AG518&lt;=AsOf+2*AlertDays,3,""))))</f>
        <v/>
      </c>
      <c r="AI518" s="79">
        <f>IF(AH518="","","Follow up with "&amp;AA518&amp;": "&amp;AC518)</f>
        <v/>
      </c>
    </row>
    <row r="519" ht="20" customHeight="1">
      <c r="B519" s="72" t="n"/>
      <c r="C519" s="72" t="n"/>
      <c r="D519" s="72" t="n"/>
      <c r="E519" s="72" t="n"/>
      <c r="F519" s="72" t="n"/>
      <c r="G519" s="72" t="n"/>
      <c r="H519" s="72" t="n"/>
      <c r="I519" s="73" t="n"/>
      <c r="J519" s="75">
        <f>IF(B519="","",SUMIFS('Change Orders'!$J$7:$J$1006,'Change Orders'!$E$7:$E$1006,B519,'Change Orders'!$L$7:$L$1006,"Approved"))</f>
        <v/>
      </c>
      <c r="K519" s="76">
        <f>IF(B519="","",I519+J519)</f>
        <v/>
      </c>
      <c r="L519" s="74" t="n"/>
      <c r="M519" s="109" t="n"/>
      <c r="N519" s="109" t="n"/>
      <c r="O519" s="74" t="n"/>
      <c r="P519" s="74" t="n"/>
      <c r="Q519" s="100" t="n"/>
      <c r="R519" s="110" t="n"/>
      <c r="S519" s="75">
        <f>IF(B519="","",SUMIFS('Payments'!$N$6:$N$1005,'Payments'!$B$6:$B$1005,B519))</f>
        <v/>
      </c>
      <c r="T519" s="111">
        <f>IF(OR(B519="",K519=0),"",S519/K519)</f>
        <v/>
      </c>
      <c r="U519" s="78">
        <f>IF(V519="","",IF(V519=2,"⚠️ Paying ahead of work","✓ OK"))</f>
        <v/>
      </c>
      <c r="V519" s="79">
        <f>IF(T519="","",IF(T519-R519&gt;OverpayTol,2,0))</f>
        <v/>
      </c>
      <c r="W519" s="112">
        <f>IF(V519=2,AsOf,"")</f>
        <v/>
      </c>
      <c r="X519" s="79">
        <f>IF(W519="","",1)</f>
        <v/>
      </c>
      <c r="Y519" s="79">
        <f>IF(X519="","","Paying ahead of work: "&amp;B519&amp;" — paid "&amp;ROUND(T519*100,0)&amp;"%, work done "&amp;ROUND(R519*100,0)&amp;"%")</f>
        <v/>
      </c>
      <c r="AA519" s="72" t="n"/>
      <c r="AB519" s="109" t="n"/>
      <c r="AC519" s="113" t="n"/>
      <c r="AD519" s="74" t="n"/>
      <c r="AE519" s="109" t="n"/>
      <c r="AF519" s="74" t="n"/>
      <c r="AG519" s="112">
        <f>IF(AND(AA519&lt;&gt;"",AD519="Yes",AF519&lt;&gt;"Yes",AE519&lt;&gt;""),AE519,"")</f>
        <v/>
      </c>
      <c r="AH519" s="79">
        <f>IF(AG519="","",IF(AG519&lt;AsOf,1,IF(AG519&lt;=AsOf+AlertDays,2,IF(AG519&lt;=AsOf+2*AlertDays,3,""))))</f>
        <v/>
      </c>
      <c r="AI519" s="79">
        <f>IF(AH519="","","Follow up with "&amp;AA519&amp;": "&amp;AC519)</f>
        <v/>
      </c>
    </row>
    <row r="520" ht="20" customHeight="1">
      <c r="B520" s="72" t="n"/>
      <c r="C520" s="72" t="n"/>
      <c r="D520" s="72" t="n"/>
      <c r="E520" s="72" t="n"/>
      <c r="F520" s="72" t="n"/>
      <c r="G520" s="72" t="n"/>
      <c r="H520" s="72" t="n"/>
      <c r="I520" s="73" t="n"/>
      <c r="J520" s="75">
        <f>IF(B520="","",SUMIFS('Change Orders'!$J$7:$J$1006,'Change Orders'!$E$7:$E$1006,B520,'Change Orders'!$L$7:$L$1006,"Approved"))</f>
        <v/>
      </c>
      <c r="K520" s="76">
        <f>IF(B520="","",I520+J520)</f>
        <v/>
      </c>
      <c r="L520" s="74" t="n"/>
      <c r="M520" s="109" t="n"/>
      <c r="N520" s="109" t="n"/>
      <c r="O520" s="74" t="n"/>
      <c r="P520" s="74" t="n"/>
      <c r="Q520" s="100" t="n"/>
      <c r="R520" s="110" t="n"/>
      <c r="S520" s="75">
        <f>IF(B520="","",SUMIFS('Payments'!$N$6:$N$1005,'Payments'!$B$6:$B$1005,B520))</f>
        <v/>
      </c>
      <c r="T520" s="111">
        <f>IF(OR(B520="",K520=0),"",S520/K520)</f>
        <v/>
      </c>
      <c r="U520" s="78">
        <f>IF(V520="","",IF(V520=2,"⚠️ Paying ahead of work","✓ OK"))</f>
        <v/>
      </c>
      <c r="V520" s="79">
        <f>IF(T520="","",IF(T520-R520&gt;OverpayTol,2,0))</f>
        <v/>
      </c>
      <c r="W520" s="112">
        <f>IF(V520=2,AsOf,"")</f>
        <v/>
      </c>
      <c r="X520" s="79">
        <f>IF(W520="","",1)</f>
        <v/>
      </c>
      <c r="Y520" s="79">
        <f>IF(X520="","","Paying ahead of work: "&amp;B520&amp;" — paid "&amp;ROUND(T520*100,0)&amp;"%, work done "&amp;ROUND(R520*100,0)&amp;"%")</f>
        <v/>
      </c>
      <c r="AA520" s="72" t="n"/>
      <c r="AB520" s="109" t="n"/>
      <c r="AC520" s="113" t="n"/>
      <c r="AD520" s="74" t="n"/>
      <c r="AE520" s="109" t="n"/>
      <c r="AF520" s="74" t="n"/>
      <c r="AG520" s="112">
        <f>IF(AND(AA520&lt;&gt;"",AD520="Yes",AF520&lt;&gt;"Yes",AE520&lt;&gt;""),AE520,"")</f>
        <v/>
      </c>
      <c r="AH520" s="79">
        <f>IF(AG520="","",IF(AG520&lt;AsOf,1,IF(AG520&lt;=AsOf+AlertDays,2,IF(AG520&lt;=AsOf+2*AlertDays,3,""))))</f>
        <v/>
      </c>
      <c r="AI520" s="79">
        <f>IF(AH520="","","Follow up with "&amp;AA520&amp;": "&amp;AC520)</f>
        <v/>
      </c>
    </row>
    <row r="521" ht="20" customHeight="1">
      <c r="B521" s="72" t="n"/>
      <c r="C521" s="72" t="n"/>
      <c r="D521" s="72" t="n"/>
      <c r="E521" s="72" t="n"/>
      <c r="F521" s="72" t="n"/>
      <c r="G521" s="72" t="n"/>
      <c r="H521" s="72" t="n"/>
      <c r="I521" s="73" t="n"/>
      <c r="J521" s="75">
        <f>IF(B521="","",SUMIFS('Change Orders'!$J$7:$J$1006,'Change Orders'!$E$7:$E$1006,B521,'Change Orders'!$L$7:$L$1006,"Approved"))</f>
        <v/>
      </c>
      <c r="K521" s="76">
        <f>IF(B521="","",I521+J521)</f>
        <v/>
      </c>
      <c r="L521" s="74" t="n"/>
      <c r="M521" s="109" t="n"/>
      <c r="N521" s="109" t="n"/>
      <c r="O521" s="74" t="n"/>
      <c r="P521" s="74" t="n"/>
      <c r="Q521" s="100" t="n"/>
      <c r="R521" s="110" t="n"/>
      <c r="S521" s="75">
        <f>IF(B521="","",SUMIFS('Payments'!$N$6:$N$1005,'Payments'!$B$6:$B$1005,B521))</f>
        <v/>
      </c>
      <c r="T521" s="111">
        <f>IF(OR(B521="",K521=0),"",S521/K521)</f>
        <v/>
      </c>
      <c r="U521" s="78">
        <f>IF(V521="","",IF(V521=2,"⚠️ Paying ahead of work","✓ OK"))</f>
        <v/>
      </c>
      <c r="V521" s="79">
        <f>IF(T521="","",IF(T521-R521&gt;OverpayTol,2,0))</f>
        <v/>
      </c>
      <c r="W521" s="112">
        <f>IF(V521=2,AsOf,"")</f>
        <v/>
      </c>
      <c r="X521" s="79">
        <f>IF(W521="","",1)</f>
        <v/>
      </c>
      <c r="Y521" s="79">
        <f>IF(X521="","","Paying ahead of work: "&amp;B521&amp;" — paid "&amp;ROUND(T521*100,0)&amp;"%, work done "&amp;ROUND(R521*100,0)&amp;"%")</f>
        <v/>
      </c>
      <c r="AA521" s="72" t="n"/>
      <c r="AB521" s="109" t="n"/>
      <c r="AC521" s="113" t="n"/>
      <c r="AD521" s="74" t="n"/>
      <c r="AE521" s="109" t="n"/>
      <c r="AF521" s="74" t="n"/>
      <c r="AG521" s="112">
        <f>IF(AND(AA521&lt;&gt;"",AD521="Yes",AF521&lt;&gt;"Yes",AE521&lt;&gt;""),AE521,"")</f>
        <v/>
      </c>
      <c r="AH521" s="79">
        <f>IF(AG521="","",IF(AG521&lt;AsOf,1,IF(AG521&lt;=AsOf+AlertDays,2,IF(AG521&lt;=AsOf+2*AlertDays,3,""))))</f>
        <v/>
      </c>
      <c r="AI521" s="79">
        <f>IF(AH521="","","Follow up with "&amp;AA521&amp;": "&amp;AC521)</f>
        <v/>
      </c>
    </row>
    <row r="522" ht="20" customHeight="1">
      <c r="B522" s="72" t="n"/>
      <c r="C522" s="72" t="n"/>
      <c r="D522" s="72" t="n"/>
      <c r="E522" s="72" t="n"/>
      <c r="F522" s="72" t="n"/>
      <c r="G522" s="72" t="n"/>
      <c r="H522" s="72" t="n"/>
      <c r="I522" s="73" t="n"/>
      <c r="J522" s="75">
        <f>IF(B522="","",SUMIFS('Change Orders'!$J$7:$J$1006,'Change Orders'!$E$7:$E$1006,B522,'Change Orders'!$L$7:$L$1006,"Approved"))</f>
        <v/>
      </c>
      <c r="K522" s="76">
        <f>IF(B522="","",I522+J522)</f>
        <v/>
      </c>
      <c r="L522" s="74" t="n"/>
      <c r="M522" s="109" t="n"/>
      <c r="N522" s="109" t="n"/>
      <c r="O522" s="74" t="n"/>
      <c r="P522" s="74" t="n"/>
      <c r="Q522" s="100" t="n"/>
      <c r="R522" s="110" t="n"/>
      <c r="S522" s="75">
        <f>IF(B522="","",SUMIFS('Payments'!$N$6:$N$1005,'Payments'!$B$6:$B$1005,B522))</f>
        <v/>
      </c>
      <c r="T522" s="111">
        <f>IF(OR(B522="",K522=0),"",S522/K522)</f>
        <v/>
      </c>
      <c r="U522" s="78">
        <f>IF(V522="","",IF(V522=2,"⚠️ Paying ahead of work","✓ OK"))</f>
        <v/>
      </c>
      <c r="V522" s="79">
        <f>IF(T522="","",IF(T522-R522&gt;OverpayTol,2,0))</f>
        <v/>
      </c>
      <c r="W522" s="112">
        <f>IF(V522=2,AsOf,"")</f>
        <v/>
      </c>
      <c r="X522" s="79">
        <f>IF(W522="","",1)</f>
        <v/>
      </c>
      <c r="Y522" s="79">
        <f>IF(X522="","","Paying ahead of work: "&amp;B522&amp;" — paid "&amp;ROUND(T522*100,0)&amp;"%, work done "&amp;ROUND(R522*100,0)&amp;"%")</f>
        <v/>
      </c>
      <c r="AA522" s="72" t="n"/>
      <c r="AB522" s="109" t="n"/>
      <c r="AC522" s="113" t="n"/>
      <c r="AD522" s="74" t="n"/>
      <c r="AE522" s="109" t="n"/>
      <c r="AF522" s="74" t="n"/>
      <c r="AG522" s="112">
        <f>IF(AND(AA522&lt;&gt;"",AD522="Yes",AF522&lt;&gt;"Yes",AE522&lt;&gt;""),AE522,"")</f>
        <v/>
      </c>
      <c r="AH522" s="79">
        <f>IF(AG522="","",IF(AG522&lt;AsOf,1,IF(AG522&lt;=AsOf+AlertDays,2,IF(AG522&lt;=AsOf+2*AlertDays,3,""))))</f>
        <v/>
      </c>
      <c r="AI522" s="79">
        <f>IF(AH522="","","Follow up with "&amp;AA522&amp;": "&amp;AC522)</f>
        <v/>
      </c>
    </row>
    <row r="523" ht="20" customHeight="1">
      <c r="B523" s="72" t="n"/>
      <c r="C523" s="72" t="n"/>
      <c r="D523" s="72" t="n"/>
      <c r="E523" s="72" t="n"/>
      <c r="F523" s="72" t="n"/>
      <c r="G523" s="72" t="n"/>
      <c r="H523" s="72" t="n"/>
      <c r="I523" s="73" t="n"/>
      <c r="J523" s="75">
        <f>IF(B523="","",SUMIFS('Change Orders'!$J$7:$J$1006,'Change Orders'!$E$7:$E$1006,B523,'Change Orders'!$L$7:$L$1006,"Approved"))</f>
        <v/>
      </c>
      <c r="K523" s="76">
        <f>IF(B523="","",I523+J523)</f>
        <v/>
      </c>
      <c r="L523" s="74" t="n"/>
      <c r="M523" s="109" t="n"/>
      <c r="N523" s="109" t="n"/>
      <c r="O523" s="74" t="n"/>
      <c r="P523" s="74" t="n"/>
      <c r="Q523" s="100" t="n"/>
      <c r="R523" s="110" t="n"/>
      <c r="S523" s="75">
        <f>IF(B523="","",SUMIFS('Payments'!$N$6:$N$1005,'Payments'!$B$6:$B$1005,B523))</f>
        <v/>
      </c>
      <c r="T523" s="111">
        <f>IF(OR(B523="",K523=0),"",S523/K523)</f>
        <v/>
      </c>
      <c r="U523" s="78">
        <f>IF(V523="","",IF(V523=2,"⚠️ Paying ahead of work","✓ OK"))</f>
        <v/>
      </c>
      <c r="V523" s="79">
        <f>IF(T523="","",IF(T523-R523&gt;OverpayTol,2,0))</f>
        <v/>
      </c>
      <c r="W523" s="112">
        <f>IF(V523=2,AsOf,"")</f>
        <v/>
      </c>
      <c r="X523" s="79">
        <f>IF(W523="","",1)</f>
        <v/>
      </c>
      <c r="Y523" s="79">
        <f>IF(X523="","","Paying ahead of work: "&amp;B523&amp;" — paid "&amp;ROUND(T523*100,0)&amp;"%, work done "&amp;ROUND(R523*100,0)&amp;"%")</f>
        <v/>
      </c>
      <c r="AA523" s="72" t="n"/>
      <c r="AB523" s="109" t="n"/>
      <c r="AC523" s="113" t="n"/>
      <c r="AD523" s="74" t="n"/>
      <c r="AE523" s="109" t="n"/>
      <c r="AF523" s="74" t="n"/>
      <c r="AG523" s="112">
        <f>IF(AND(AA523&lt;&gt;"",AD523="Yes",AF523&lt;&gt;"Yes",AE523&lt;&gt;""),AE523,"")</f>
        <v/>
      </c>
      <c r="AH523" s="79">
        <f>IF(AG523="","",IF(AG523&lt;AsOf,1,IF(AG523&lt;=AsOf+AlertDays,2,IF(AG523&lt;=AsOf+2*AlertDays,3,""))))</f>
        <v/>
      </c>
      <c r="AI523" s="79">
        <f>IF(AH523="","","Follow up with "&amp;AA523&amp;": "&amp;AC523)</f>
        <v/>
      </c>
    </row>
    <row r="524" ht="20" customHeight="1">
      <c r="B524" s="72" t="n"/>
      <c r="C524" s="72" t="n"/>
      <c r="D524" s="72" t="n"/>
      <c r="E524" s="72" t="n"/>
      <c r="F524" s="72" t="n"/>
      <c r="G524" s="72" t="n"/>
      <c r="H524" s="72" t="n"/>
      <c r="I524" s="73" t="n"/>
      <c r="J524" s="75">
        <f>IF(B524="","",SUMIFS('Change Orders'!$J$7:$J$1006,'Change Orders'!$E$7:$E$1006,B524,'Change Orders'!$L$7:$L$1006,"Approved"))</f>
        <v/>
      </c>
      <c r="K524" s="76">
        <f>IF(B524="","",I524+J524)</f>
        <v/>
      </c>
      <c r="L524" s="74" t="n"/>
      <c r="M524" s="109" t="n"/>
      <c r="N524" s="109" t="n"/>
      <c r="O524" s="74" t="n"/>
      <c r="P524" s="74" t="n"/>
      <c r="Q524" s="100" t="n"/>
      <c r="R524" s="110" t="n"/>
      <c r="S524" s="75">
        <f>IF(B524="","",SUMIFS('Payments'!$N$6:$N$1005,'Payments'!$B$6:$B$1005,B524))</f>
        <v/>
      </c>
      <c r="T524" s="111">
        <f>IF(OR(B524="",K524=0),"",S524/K524)</f>
        <v/>
      </c>
      <c r="U524" s="78">
        <f>IF(V524="","",IF(V524=2,"⚠️ Paying ahead of work","✓ OK"))</f>
        <v/>
      </c>
      <c r="V524" s="79">
        <f>IF(T524="","",IF(T524-R524&gt;OverpayTol,2,0))</f>
        <v/>
      </c>
      <c r="W524" s="112">
        <f>IF(V524=2,AsOf,"")</f>
        <v/>
      </c>
      <c r="X524" s="79">
        <f>IF(W524="","",1)</f>
        <v/>
      </c>
      <c r="Y524" s="79">
        <f>IF(X524="","","Paying ahead of work: "&amp;B524&amp;" — paid "&amp;ROUND(T524*100,0)&amp;"%, work done "&amp;ROUND(R524*100,0)&amp;"%")</f>
        <v/>
      </c>
      <c r="AA524" s="72" t="n"/>
      <c r="AB524" s="109" t="n"/>
      <c r="AC524" s="113" t="n"/>
      <c r="AD524" s="74" t="n"/>
      <c r="AE524" s="109" t="n"/>
      <c r="AF524" s="74" t="n"/>
      <c r="AG524" s="112">
        <f>IF(AND(AA524&lt;&gt;"",AD524="Yes",AF524&lt;&gt;"Yes",AE524&lt;&gt;""),AE524,"")</f>
        <v/>
      </c>
      <c r="AH524" s="79">
        <f>IF(AG524="","",IF(AG524&lt;AsOf,1,IF(AG524&lt;=AsOf+AlertDays,2,IF(AG524&lt;=AsOf+2*AlertDays,3,""))))</f>
        <v/>
      </c>
      <c r="AI524" s="79">
        <f>IF(AH524="","","Follow up with "&amp;AA524&amp;": "&amp;AC524)</f>
        <v/>
      </c>
    </row>
    <row r="525" ht="20" customHeight="1">
      <c r="B525" s="72" t="n"/>
      <c r="C525" s="72" t="n"/>
      <c r="D525" s="72" t="n"/>
      <c r="E525" s="72" t="n"/>
      <c r="F525" s="72" t="n"/>
      <c r="G525" s="72" t="n"/>
      <c r="H525" s="72" t="n"/>
      <c r="I525" s="73" t="n"/>
      <c r="J525" s="75">
        <f>IF(B525="","",SUMIFS('Change Orders'!$J$7:$J$1006,'Change Orders'!$E$7:$E$1006,B525,'Change Orders'!$L$7:$L$1006,"Approved"))</f>
        <v/>
      </c>
      <c r="K525" s="76">
        <f>IF(B525="","",I525+J525)</f>
        <v/>
      </c>
      <c r="L525" s="74" t="n"/>
      <c r="M525" s="109" t="n"/>
      <c r="N525" s="109" t="n"/>
      <c r="O525" s="74" t="n"/>
      <c r="P525" s="74" t="n"/>
      <c r="Q525" s="100" t="n"/>
      <c r="R525" s="110" t="n"/>
      <c r="S525" s="75">
        <f>IF(B525="","",SUMIFS('Payments'!$N$6:$N$1005,'Payments'!$B$6:$B$1005,B525))</f>
        <v/>
      </c>
      <c r="T525" s="111">
        <f>IF(OR(B525="",K525=0),"",S525/K525)</f>
        <v/>
      </c>
      <c r="U525" s="78">
        <f>IF(V525="","",IF(V525=2,"⚠️ Paying ahead of work","✓ OK"))</f>
        <v/>
      </c>
      <c r="V525" s="79">
        <f>IF(T525="","",IF(T525-R525&gt;OverpayTol,2,0))</f>
        <v/>
      </c>
      <c r="W525" s="112">
        <f>IF(V525=2,AsOf,"")</f>
        <v/>
      </c>
      <c r="X525" s="79">
        <f>IF(W525="","",1)</f>
        <v/>
      </c>
      <c r="Y525" s="79">
        <f>IF(X525="","","Paying ahead of work: "&amp;B525&amp;" — paid "&amp;ROUND(T525*100,0)&amp;"%, work done "&amp;ROUND(R525*100,0)&amp;"%")</f>
        <v/>
      </c>
      <c r="AA525" s="72" t="n"/>
      <c r="AB525" s="109" t="n"/>
      <c r="AC525" s="113" t="n"/>
      <c r="AD525" s="74" t="n"/>
      <c r="AE525" s="109" t="n"/>
      <c r="AF525" s="74" t="n"/>
      <c r="AG525" s="112">
        <f>IF(AND(AA525&lt;&gt;"",AD525="Yes",AF525&lt;&gt;"Yes",AE525&lt;&gt;""),AE525,"")</f>
        <v/>
      </c>
      <c r="AH525" s="79">
        <f>IF(AG525="","",IF(AG525&lt;AsOf,1,IF(AG525&lt;=AsOf+AlertDays,2,IF(AG525&lt;=AsOf+2*AlertDays,3,""))))</f>
        <v/>
      </c>
      <c r="AI525" s="79">
        <f>IF(AH525="","","Follow up with "&amp;AA525&amp;": "&amp;AC525)</f>
        <v/>
      </c>
    </row>
    <row r="526" ht="20" customHeight="1">
      <c r="B526" s="72" t="n"/>
      <c r="C526" s="72" t="n"/>
      <c r="D526" s="72" t="n"/>
      <c r="E526" s="72" t="n"/>
      <c r="F526" s="72" t="n"/>
      <c r="G526" s="72" t="n"/>
      <c r="H526" s="72" t="n"/>
      <c r="I526" s="73" t="n"/>
      <c r="J526" s="75">
        <f>IF(B526="","",SUMIFS('Change Orders'!$J$7:$J$1006,'Change Orders'!$E$7:$E$1006,B526,'Change Orders'!$L$7:$L$1006,"Approved"))</f>
        <v/>
      </c>
      <c r="K526" s="76">
        <f>IF(B526="","",I526+J526)</f>
        <v/>
      </c>
      <c r="L526" s="74" t="n"/>
      <c r="M526" s="109" t="n"/>
      <c r="N526" s="109" t="n"/>
      <c r="O526" s="74" t="n"/>
      <c r="P526" s="74" t="n"/>
      <c r="Q526" s="100" t="n"/>
      <c r="R526" s="110" t="n"/>
      <c r="S526" s="75">
        <f>IF(B526="","",SUMIFS('Payments'!$N$6:$N$1005,'Payments'!$B$6:$B$1005,B526))</f>
        <v/>
      </c>
      <c r="T526" s="111">
        <f>IF(OR(B526="",K526=0),"",S526/K526)</f>
        <v/>
      </c>
      <c r="U526" s="78">
        <f>IF(V526="","",IF(V526=2,"⚠️ Paying ahead of work","✓ OK"))</f>
        <v/>
      </c>
      <c r="V526" s="79">
        <f>IF(T526="","",IF(T526-R526&gt;OverpayTol,2,0))</f>
        <v/>
      </c>
      <c r="W526" s="112">
        <f>IF(V526=2,AsOf,"")</f>
        <v/>
      </c>
      <c r="X526" s="79">
        <f>IF(W526="","",1)</f>
        <v/>
      </c>
      <c r="Y526" s="79">
        <f>IF(X526="","","Paying ahead of work: "&amp;B526&amp;" — paid "&amp;ROUND(T526*100,0)&amp;"%, work done "&amp;ROUND(R526*100,0)&amp;"%")</f>
        <v/>
      </c>
      <c r="AA526" s="72" t="n"/>
      <c r="AB526" s="109" t="n"/>
      <c r="AC526" s="113" t="n"/>
      <c r="AD526" s="74" t="n"/>
      <c r="AE526" s="109" t="n"/>
      <c r="AF526" s="74" t="n"/>
      <c r="AG526" s="112">
        <f>IF(AND(AA526&lt;&gt;"",AD526="Yes",AF526&lt;&gt;"Yes",AE526&lt;&gt;""),AE526,"")</f>
        <v/>
      </c>
      <c r="AH526" s="79">
        <f>IF(AG526="","",IF(AG526&lt;AsOf,1,IF(AG526&lt;=AsOf+AlertDays,2,IF(AG526&lt;=AsOf+2*AlertDays,3,""))))</f>
        <v/>
      </c>
      <c r="AI526" s="79">
        <f>IF(AH526="","","Follow up with "&amp;AA526&amp;": "&amp;AC526)</f>
        <v/>
      </c>
    </row>
    <row r="527" ht="20" customHeight="1">
      <c r="B527" s="72" t="n"/>
      <c r="C527" s="72" t="n"/>
      <c r="D527" s="72" t="n"/>
      <c r="E527" s="72" t="n"/>
      <c r="F527" s="72" t="n"/>
      <c r="G527" s="72" t="n"/>
      <c r="H527" s="72" t="n"/>
      <c r="I527" s="73" t="n"/>
      <c r="J527" s="75">
        <f>IF(B527="","",SUMIFS('Change Orders'!$J$7:$J$1006,'Change Orders'!$E$7:$E$1006,B527,'Change Orders'!$L$7:$L$1006,"Approved"))</f>
        <v/>
      </c>
      <c r="K527" s="76">
        <f>IF(B527="","",I527+J527)</f>
        <v/>
      </c>
      <c r="L527" s="74" t="n"/>
      <c r="M527" s="109" t="n"/>
      <c r="N527" s="109" t="n"/>
      <c r="O527" s="74" t="n"/>
      <c r="P527" s="74" t="n"/>
      <c r="Q527" s="100" t="n"/>
      <c r="R527" s="110" t="n"/>
      <c r="S527" s="75">
        <f>IF(B527="","",SUMIFS('Payments'!$N$6:$N$1005,'Payments'!$B$6:$B$1005,B527))</f>
        <v/>
      </c>
      <c r="T527" s="111">
        <f>IF(OR(B527="",K527=0),"",S527/K527)</f>
        <v/>
      </c>
      <c r="U527" s="78">
        <f>IF(V527="","",IF(V527=2,"⚠️ Paying ahead of work","✓ OK"))</f>
        <v/>
      </c>
      <c r="V527" s="79">
        <f>IF(T527="","",IF(T527-R527&gt;OverpayTol,2,0))</f>
        <v/>
      </c>
      <c r="W527" s="112">
        <f>IF(V527=2,AsOf,"")</f>
        <v/>
      </c>
      <c r="X527" s="79">
        <f>IF(W527="","",1)</f>
        <v/>
      </c>
      <c r="Y527" s="79">
        <f>IF(X527="","","Paying ahead of work: "&amp;B527&amp;" — paid "&amp;ROUND(T527*100,0)&amp;"%, work done "&amp;ROUND(R527*100,0)&amp;"%")</f>
        <v/>
      </c>
      <c r="AA527" s="72" t="n"/>
      <c r="AB527" s="109" t="n"/>
      <c r="AC527" s="113" t="n"/>
      <c r="AD527" s="74" t="n"/>
      <c r="AE527" s="109" t="n"/>
      <c r="AF527" s="74" t="n"/>
      <c r="AG527" s="112">
        <f>IF(AND(AA527&lt;&gt;"",AD527="Yes",AF527&lt;&gt;"Yes",AE527&lt;&gt;""),AE527,"")</f>
        <v/>
      </c>
      <c r="AH527" s="79">
        <f>IF(AG527="","",IF(AG527&lt;AsOf,1,IF(AG527&lt;=AsOf+AlertDays,2,IF(AG527&lt;=AsOf+2*AlertDays,3,""))))</f>
        <v/>
      </c>
      <c r="AI527" s="79">
        <f>IF(AH527="","","Follow up with "&amp;AA527&amp;": "&amp;AC527)</f>
        <v/>
      </c>
    </row>
    <row r="528" ht="20" customHeight="1">
      <c r="B528" s="72" t="n"/>
      <c r="C528" s="72" t="n"/>
      <c r="D528" s="72" t="n"/>
      <c r="E528" s="72" t="n"/>
      <c r="F528" s="72" t="n"/>
      <c r="G528" s="72" t="n"/>
      <c r="H528" s="72" t="n"/>
      <c r="I528" s="73" t="n"/>
      <c r="J528" s="75">
        <f>IF(B528="","",SUMIFS('Change Orders'!$J$7:$J$1006,'Change Orders'!$E$7:$E$1006,B528,'Change Orders'!$L$7:$L$1006,"Approved"))</f>
        <v/>
      </c>
      <c r="K528" s="76">
        <f>IF(B528="","",I528+J528)</f>
        <v/>
      </c>
      <c r="L528" s="74" t="n"/>
      <c r="M528" s="109" t="n"/>
      <c r="N528" s="109" t="n"/>
      <c r="O528" s="74" t="n"/>
      <c r="P528" s="74" t="n"/>
      <c r="Q528" s="100" t="n"/>
      <c r="R528" s="110" t="n"/>
      <c r="S528" s="75">
        <f>IF(B528="","",SUMIFS('Payments'!$N$6:$N$1005,'Payments'!$B$6:$B$1005,B528))</f>
        <v/>
      </c>
      <c r="T528" s="111">
        <f>IF(OR(B528="",K528=0),"",S528/K528)</f>
        <v/>
      </c>
      <c r="U528" s="78">
        <f>IF(V528="","",IF(V528=2,"⚠️ Paying ahead of work","✓ OK"))</f>
        <v/>
      </c>
      <c r="V528" s="79">
        <f>IF(T528="","",IF(T528-R528&gt;OverpayTol,2,0))</f>
        <v/>
      </c>
      <c r="W528" s="112">
        <f>IF(V528=2,AsOf,"")</f>
        <v/>
      </c>
      <c r="X528" s="79">
        <f>IF(W528="","",1)</f>
        <v/>
      </c>
      <c r="Y528" s="79">
        <f>IF(X528="","","Paying ahead of work: "&amp;B528&amp;" — paid "&amp;ROUND(T528*100,0)&amp;"%, work done "&amp;ROUND(R528*100,0)&amp;"%")</f>
        <v/>
      </c>
      <c r="AA528" s="72" t="n"/>
      <c r="AB528" s="109" t="n"/>
      <c r="AC528" s="113" t="n"/>
      <c r="AD528" s="74" t="n"/>
      <c r="AE528" s="109" t="n"/>
      <c r="AF528" s="74" t="n"/>
      <c r="AG528" s="112">
        <f>IF(AND(AA528&lt;&gt;"",AD528="Yes",AF528&lt;&gt;"Yes",AE528&lt;&gt;""),AE528,"")</f>
        <v/>
      </c>
      <c r="AH528" s="79">
        <f>IF(AG528="","",IF(AG528&lt;AsOf,1,IF(AG528&lt;=AsOf+AlertDays,2,IF(AG528&lt;=AsOf+2*AlertDays,3,""))))</f>
        <v/>
      </c>
      <c r="AI528" s="79">
        <f>IF(AH528="","","Follow up with "&amp;AA528&amp;": "&amp;AC528)</f>
        <v/>
      </c>
    </row>
    <row r="529" ht="20" customHeight="1">
      <c r="B529" s="72" t="n"/>
      <c r="C529" s="72" t="n"/>
      <c r="D529" s="72" t="n"/>
      <c r="E529" s="72" t="n"/>
      <c r="F529" s="72" t="n"/>
      <c r="G529" s="72" t="n"/>
      <c r="H529" s="72" t="n"/>
      <c r="I529" s="73" t="n"/>
      <c r="J529" s="75">
        <f>IF(B529="","",SUMIFS('Change Orders'!$J$7:$J$1006,'Change Orders'!$E$7:$E$1006,B529,'Change Orders'!$L$7:$L$1006,"Approved"))</f>
        <v/>
      </c>
      <c r="K529" s="76">
        <f>IF(B529="","",I529+J529)</f>
        <v/>
      </c>
      <c r="L529" s="74" t="n"/>
      <c r="M529" s="109" t="n"/>
      <c r="N529" s="109" t="n"/>
      <c r="O529" s="74" t="n"/>
      <c r="P529" s="74" t="n"/>
      <c r="Q529" s="100" t="n"/>
      <c r="R529" s="110" t="n"/>
      <c r="S529" s="75">
        <f>IF(B529="","",SUMIFS('Payments'!$N$6:$N$1005,'Payments'!$B$6:$B$1005,B529))</f>
        <v/>
      </c>
      <c r="T529" s="111">
        <f>IF(OR(B529="",K529=0),"",S529/K529)</f>
        <v/>
      </c>
      <c r="U529" s="78">
        <f>IF(V529="","",IF(V529=2,"⚠️ Paying ahead of work","✓ OK"))</f>
        <v/>
      </c>
      <c r="V529" s="79">
        <f>IF(T529="","",IF(T529-R529&gt;OverpayTol,2,0))</f>
        <v/>
      </c>
      <c r="W529" s="112">
        <f>IF(V529=2,AsOf,"")</f>
        <v/>
      </c>
      <c r="X529" s="79">
        <f>IF(W529="","",1)</f>
        <v/>
      </c>
      <c r="Y529" s="79">
        <f>IF(X529="","","Paying ahead of work: "&amp;B529&amp;" — paid "&amp;ROUND(T529*100,0)&amp;"%, work done "&amp;ROUND(R529*100,0)&amp;"%")</f>
        <v/>
      </c>
      <c r="AA529" s="72" t="n"/>
      <c r="AB529" s="109" t="n"/>
      <c r="AC529" s="113" t="n"/>
      <c r="AD529" s="74" t="n"/>
      <c r="AE529" s="109" t="n"/>
      <c r="AF529" s="74" t="n"/>
      <c r="AG529" s="112">
        <f>IF(AND(AA529&lt;&gt;"",AD529="Yes",AF529&lt;&gt;"Yes",AE529&lt;&gt;""),AE529,"")</f>
        <v/>
      </c>
      <c r="AH529" s="79">
        <f>IF(AG529="","",IF(AG529&lt;AsOf,1,IF(AG529&lt;=AsOf+AlertDays,2,IF(AG529&lt;=AsOf+2*AlertDays,3,""))))</f>
        <v/>
      </c>
      <c r="AI529" s="79">
        <f>IF(AH529="","","Follow up with "&amp;AA529&amp;": "&amp;AC529)</f>
        <v/>
      </c>
    </row>
    <row r="530" ht="20" customHeight="1">
      <c r="B530" s="72" t="n"/>
      <c r="C530" s="72" t="n"/>
      <c r="D530" s="72" t="n"/>
      <c r="E530" s="72" t="n"/>
      <c r="F530" s="72" t="n"/>
      <c r="G530" s="72" t="n"/>
      <c r="H530" s="72" t="n"/>
      <c r="I530" s="73" t="n"/>
      <c r="J530" s="75">
        <f>IF(B530="","",SUMIFS('Change Orders'!$J$7:$J$1006,'Change Orders'!$E$7:$E$1006,B530,'Change Orders'!$L$7:$L$1006,"Approved"))</f>
        <v/>
      </c>
      <c r="K530" s="76">
        <f>IF(B530="","",I530+J530)</f>
        <v/>
      </c>
      <c r="L530" s="74" t="n"/>
      <c r="M530" s="109" t="n"/>
      <c r="N530" s="109" t="n"/>
      <c r="O530" s="74" t="n"/>
      <c r="P530" s="74" t="n"/>
      <c r="Q530" s="100" t="n"/>
      <c r="R530" s="110" t="n"/>
      <c r="S530" s="75">
        <f>IF(B530="","",SUMIFS('Payments'!$N$6:$N$1005,'Payments'!$B$6:$B$1005,B530))</f>
        <v/>
      </c>
      <c r="T530" s="111">
        <f>IF(OR(B530="",K530=0),"",S530/K530)</f>
        <v/>
      </c>
      <c r="U530" s="78">
        <f>IF(V530="","",IF(V530=2,"⚠️ Paying ahead of work","✓ OK"))</f>
        <v/>
      </c>
      <c r="V530" s="79">
        <f>IF(T530="","",IF(T530-R530&gt;OverpayTol,2,0))</f>
        <v/>
      </c>
      <c r="W530" s="112">
        <f>IF(V530=2,AsOf,"")</f>
        <v/>
      </c>
      <c r="X530" s="79">
        <f>IF(W530="","",1)</f>
        <v/>
      </c>
      <c r="Y530" s="79">
        <f>IF(X530="","","Paying ahead of work: "&amp;B530&amp;" — paid "&amp;ROUND(T530*100,0)&amp;"%, work done "&amp;ROUND(R530*100,0)&amp;"%")</f>
        <v/>
      </c>
      <c r="AA530" s="72" t="n"/>
      <c r="AB530" s="109" t="n"/>
      <c r="AC530" s="113" t="n"/>
      <c r="AD530" s="74" t="n"/>
      <c r="AE530" s="109" t="n"/>
      <c r="AF530" s="74" t="n"/>
      <c r="AG530" s="112">
        <f>IF(AND(AA530&lt;&gt;"",AD530="Yes",AF530&lt;&gt;"Yes",AE530&lt;&gt;""),AE530,"")</f>
        <v/>
      </c>
      <c r="AH530" s="79">
        <f>IF(AG530="","",IF(AG530&lt;AsOf,1,IF(AG530&lt;=AsOf+AlertDays,2,IF(AG530&lt;=AsOf+2*AlertDays,3,""))))</f>
        <v/>
      </c>
      <c r="AI530" s="79">
        <f>IF(AH530="","","Follow up with "&amp;AA530&amp;": "&amp;AC530)</f>
        <v/>
      </c>
    </row>
    <row r="531" ht="20" customHeight="1">
      <c r="B531" s="72" t="n"/>
      <c r="C531" s="72" t="n"/>
      <c r="D531" s="72" t="n"/>
      <c r="E531" s="72" t="n"/>
      <c r="F531" s="72" t="n"/>
      <c r="G531" s="72" t="n"/>
      <c r="H531" s="72" t="n"/>
      <c r="I531" s="73" t="n"/>
      <c r="J531" s="75">
        <f>IF(B531="","",SUMIFS('Change Orders'!$J$7:$J$1006,'Change Orders'!$E$7:$E$1006,B531,'Change Orders'!$L$7:$L$1006,"Approved"))</f>
        <v/>
      </c>
      <c r="K531" s="76">
        <f>IF(B531="","",I531+J531)</f>
        <v/>
      </c>
      <c r="L531" s="74" t="n"/>
      <c r="M531" s="109" t="n"/>
      <c r="N531" s="109" t="n"/>
      <c r="O531" s="74" t="n"/>
      <c r="P531" s="74" t="n"/>
      <c r="Q531" s="100" t="n"/>
      <c r="R531" s="110" t="n"/>
      <c r="S531" s="75">
        <f>IF(B531="","",SUMIFS('Payments'!$N$6:$N$1005,'Payments'!$B$6:$B$1005,B531))</f>
        <v/>
      </c>
      <c r="T531" s="111">
        <f>IF(OR(B531="",K531=0),"",S531/K531)</f>
        <v/>
      </c>
      <c r="U531" s="78">
        <f>IF(V531="","",IF(V531=2,"⚠️ Paying ahead of work","✓ OK"))</f>
        <v/>
      </c>
      <c r="V531" s="79">
        <f>IF(T531="","",IF(T531-R531&gt;OverpayTol,2,0))</f>
        <v/>
      </c>
      <c r="W531" s="112">
        <f>IF(V531=2,AsOf,"")</f>
        <v/>
      </c>
      <c r="X531" s="79">
        <f>IF(W531="","",1)</f>
        <v/>
      </c>
      <c r="Y531" s="79">
        <f>IF(X531="","","Paying ahead of work: "&amp;B531&amp;" — paid "&amp;ROUND(T531*100,0)&amp;"%, work done "&amp;ROUND(R531*100,0)&amp;"%")</f>
        <v/>
      </c>
      <c r="AA531" s="72" t="n"/>
      <c r="AB531" s="109" t="n"/>
      <c r="AC531" s="113" t="n"/>
      <c r="AD531" s="74" t="n"/>
      <c r="AE531" s="109" t="n"/>
      <c r="AF531" s="74" t="n"/>
      <c r="AG531" s="112">
        <f>IF(AND(AA531&lt;&gt;"",AD531="Yes",AF531&lt;&gt;"Yes",AE531&lt;&gt;""),AE531,"")</f>
        <v/>
      </c>
      <c r="AH531" s="79">
        <f>IF(AG531="","",IF(AG531&lt;AsOf,1,IF(AG531&lt;=AsOf+AlertDays,2,IF(AG531&lt;=AsOf+2*AlertDays,3,""))))</f>
        <v/>
      </c>
      <c r="AI531" s="79">
        <f>IF(AH531="","","Follow up with "&amp;AA531&amp;": "&amp;AC531)</f>
        <v/>
      </c>
    </row>
    <row r="532" ht="20" customHeight="1">
      <c r="B532" s="72" t="n"/>
      <c r="C532" s="72" t="n"/>
      <c r="D532" s="72" t="n"/>
      <c r="E532" s="72" t="n"/>
      <c r="F532" s="72" t="n"/>
      <c r="G532" s="72" t="n"/>
      <c r="H532" s="72" t="n"/>
      <c r="I532" s="73" t="n"/>
      <c r="J532" s="75">
        <f>IF(B532="","",SUMIFS('Change Orders'!$J$7:$J$1006,'Change Orders'!$E$7:$E$1006,B532,'Change Orders'!$L$7:$L$1006,"Approved"))</f>
        <v/>
      </c>
      <c r="K532" s="76">
        <f>IF(B532="","",I532+J532)</f>
        <v/>
      </c>
      <c r="L532" s="74" t="n"/>
      <c r="M532" s="109" t="n"/>
      <c r="N532" s="109" t="n"/>
      <c r="O532" s="74" t="n"/>
      <c r="P532" s="74" t="n"/>
      <c r="Q532" s="100" t="n"/>
      <c r="R532" s="110" t="n"/>
      <c r="S532" s="75">
        <f>IF(B532="","",SUMIFS('Payments'!$N$6:$N$1005,'Payments'!$B$6:$B$1005,B532))</f>
        <v/>
      </c>
      <c r="T532" s="111">
        <f>IF(OR(B532="",K532=0),"",S532/K532)</f>
        <v/>
      </c>
      <c r="U532" s="78">
        <f>IF(V532="","",IF(V532=2,"⚠️ Paying ahead of work","✓ OK"))</f>
        <v/>
      </c>
      <c r="V532" s="79">
        <f>IF(T532="","",IF(T532-R532&gt;OverpayTol,2,0))</f>
        <v/>
      </c>
      <c r="W532" s="112">
        <f>IF(V532=2,AsOf,"")</f>
        <v/>
      </c>
      <c r="X532" s="79">
        <f>IF(W532="","",1)</f>
        <v/>
      </c>
      <c r="Y532" s="79">
        <f>IF(X532="","","Paying ahead of work: "&amp;B532&amp;" — paid "&amp;ROUND(T532*100,0)&amp;"%, work done "&amp;ROUND(R532*100,0)&amp;"%")</f>
        <v/>
      </c>
      <c r="AA532" s="72" t="n"/>
      <c r="AB532" s="109" t="n"/>
      <c r="AC532" s="113" t="n"/>
      <c r="AD532" s="74" t="n"/>
      <c r="AE532" s="109" t="n"/>
      <c r="AF532" s="74" t="n"/>
      <c r="AG532" s="112">
        <f>IF(AND(AA532&lt;&gt;"",AD532="Yes",AF532&lt;&gt;"Yes",AE532&lt;&gt;""),AE532,"")</f>
        <v/>
      </c>
      <c r="AH532" s="79">
        <f>IF(AG532="","",IF(AG532&lt;AsOf,1,IF(AG532&lt;=AsOf+AlertDays,2,IF(AG532&lt;=AsOf+2*AlertDays,3,""))))</f>
        <v/>
      </c>
      <c r="AI532" s="79">
        <f>IF(AH532="","","Follow up with "&amp;AA532&amp;": "&amp;AC532)</f>
        <v/>
      </c>
    </row>
    <row r="533" ht="20" customHeight="1">
      <c r="B533" s="72" t="n"/>
      <c r="C533" s="72" t="n"/>
      <c r="D533" s="72" t="n"/>
      <c r="E533" s="72" t="n"/>
      <c r="F533" s="72" t="n"/>
      <c r="G533" s="72" t="n"/>
      <c r="H533" s="72" t="n"/>
      <c r="I533" s="73" t="n"/>
      <c r="J533" s="75">
        <f>IF(B533="","",SUMIFS('Change Orders'!$J$7:$J$1006,'Change Orders'!$E$7:$E$1006,B533,'Change Orders'!$L$7:$L$1006,"Approved"))</f>
        <v/>
      </c>
      <c r="K533" s="76">
        <f>IF(B533="","",I533+J533)</f>
        <v/>
      </c>
      <c r="L533" s="74" t="n"/>
      <c r="M533" s="109" t="n"/>
      <c r="N533" s="109" t="n"/>
      <c r="O533" s="74" t="n"/>
      <c r="P533" s="74" t="n"/>
      <c r="Q533" s="100" t="n"/>
      <c r="R533" s="110" t="n"/>
      <c r="S533" s="75">
        <f>IF(B533="","",SUMIFS('Payments'!$N$6:$N$1005,'Payments'!$B$6:$B$1005,B533))</f>
        <v/>
      </c>
      <c r="T533" s="111">
        <f>IF(OR(B533="",K533=0),"",S533/K533)</f>
        <v/>
      </c>
      <c r="U533" s="78">
        <f>IF(V533="","",IF(V533=2,"⚠️ Paying ahead of work","✓ OK"))</f>
        <v/>
      </c>
      <c r="V533" s="79">
        <f>IF(T533="","",IF(T533-R533&gt;OverpayTol,2,0))</f>
        <v/>
      </c>
      <c r="W533" s="112">
        <f>IF(V533=2,AsOf,"")</f>
        <v/>
      </c>
      <c r="X533" s="79">
        <f>IF(W533="","",1)</f>
        <v/>
      </c>
      <c r="Y533" s="79">
        <f>IF(X533="","","Paying ahead of work: "&amp;B533&amp;" — paid "&amp;ROUND(T533*100,0)&amp;"%, work done "&amp;ROUND(R533*100,0)&amp;"%")</f>
        <v/>
      </c>
      <c r="AA533" s="72" t="n"/>
      <c r="AB533" s="109" t="n"/>
      <c r="AC533" s="113" t="n"/>
      <c r="AD533" s="74" t="n"/>
      <c r="AE533" s="109" t="n"/>
      <c r="AF533" s="74" t="n"/>
      <c r="AG533" s="112">
        <f>IF(AND(AA533&lt;&gt;"",AD533="Yes",AF533&lt;&gt;"Yes",AE533&lt;&gt;""),AE533,"")</f>
        <v/>
      </c>
      <c r="AH533" s="79">
        <f>IF(AG533="","",IF(AG533&lt;AsOf,1,IF(AG533&lt;=AsOf+AlertDays,2,IF(AG533&lt;=AsOf+2*AlertDays,3,""))))</f>
        <v/>
      </c>
      <c r="AI533" s="79">
        <f>IF(AH533="","","Follow up with "&amp;AA533&amp;": "&amp;AC533)</f>
        <v/>
      </c>
    </row>
    <row r="534" ht="20" customHeight="1">
      <c r="B534" s="72" t="n"/>
      <c r="C534" s="72" t="n"/>
      <c r="D534" s="72" t="n"/>
      <c r="E534" s="72" t="n"/>
      <c r="F534" s="72" t="n"/>
      <c r="G534" s="72" t="n"/>
      <c r="H534" s="72" t="n"/>
      <c r="I534" s="73" t="n"/>
      <c r="J534" s="75">
        <f>IF(B534="","",SUMIFS('Change Orders'!$J$7:$J$1006,'Change Orders'!$E$7:$E$1006,B534,'Change Orders'!$L$7:$L$1006,"Approved"))</f>
        <v/>
      </c>
      <c r="K534" s="76">
        <f>IF(B534="","",I534+J534)</f>
        <v/>
      </c>
      <c r="L534" s="74" t="n"/>
      <c r="M534" s="109" t="n"/>
      <c r="N534" s="109" t="n"/>
      <c r="O534" s="74" t="n"/>
      <c r="P534" s="74" t="n"/>
      <c r="Q534" s="100" t="n"/>
      <c r="R534" s="110" t="n"/>
      <c r="S534" s="75">
        <f>IF(B534="","",SUMIFS('Payments'!$N$6:$N$1005,'Payments'!$B$6:$B$1005,B534))</f>
        <v/>
      </c>
      <c r="T534" s="111">
        <f>IF(OR(B534="",K534=0),"",S534/K534)</f>
        <v/>
      </c>
      <c r="U534" s="78">
        <f>IF(V534="","",IF(V534=2,"⚠️ Paying ahead of work","✓ OK"))</f>
        <v/>
      </c>
      <c r="V534" s="79">
        <f>IF(T534="","",IF(T534-R534&gt;OverpayTol,2,0))</f>
        <v/>
      </c>
      <c r="W534" s="112">
        <f>IF(V534=2,AsOf,"")</f>
        <v/>
      </c>
      <c r="X534" s="79">
        <f>IF(W534="","",1)</f>
        <v/>
      </c>
      <c r="Y534" s="79">
        <f>IF(X534="","","Paying ahead of work: "&amp;B534&amp;" — paid "&amp;ROUND(T534*100,0)&amp;"%, work done "&amp;ROUND(R534*100,0)&amp;"%")</f>
        <v/>
      </c>
      <c r="AA534" s="72" t="n"/>
      <c r="AB534" s="109" t="n"/>
      <c r="AC534" s="113" t="n"/>
      <c r="AD534" s="74" t="n"/>
      <c r="AE534" s="109" t="n"/>
      <c r="AF534" s="74" t="n"/>
      <c r="AG534" s="112">
        <f>IF(AND(AA534&lt;&gt;"",AD534="Yes",AF534&lt;&gt;"Yes",AE534&lt;&gt;""),AE534,"")</f>
        <v/>
      </c>
      <c r="AH534" s="79">
        <f>IF(AG534="","",IF(AG534&lt;AsOf,1,IF(AG534&lt;=AsOf+AlertDays,2,IF(AG534&lt;=AsOf+2*AlertDays,3,""))))</f>
        <v/>
      </c>
      <c r="AI534" s="79">
        <f>IF(AH534="","","Follow up with "&amp;AA534&amp;": "&amp;AC534)</f>
        <v/>
      </c>
    </row>
    <row r="535" ht="20" customHeight="1">
      <c r="B535" s="72" t="n"/>
      <c r="C535" s="72" t="n"/>
      <c r="D535" s="72" t="n"/>
      <c r="E535" s="72" t="n"/>
      <c r="F535" s="72" t="n"/>
      <c r="G535" s="72" t="n"/>
      <c r="H535" s="72" t="n"/>
      <c r="I535" s="73" t="n"/>
      <c r="J535" s="75">
        <f>IF(B535="","",SUMIFS('Change Orders'!$J$7:$J$1006,'Change Orders'!$E$7:$E$1006,B535,'Change Orders'!$L$7:$L$1006,"Approved"))</f>
        <v/>
      </c>
      <c r="K535" s="76">
        <f>IF(B535="","",I535+J535)</f>
        <v/>
      </c>
      <c r="L535" s="74" t="n"/>
      <c r="M535" s="109" t="n"/>
      <c r="N535" s="109" t="n"/>
      <c r="O535" s="74" t="n"/>
      <c r="P535" s="74" t="n"/>
      <c r="Q535" s="100" t="n"/>
      <c r="R535" s="110" t="n"/>
      <c r="S535" s="75">
        <f>IF(B535="","",SUMIFS('Payments'!$N$6:$N$1005,'Payments'!$B$6:$B$1005,B535))</f>
        <v/>
      </c>
      <c r="T535" s="111">
        <f>IF(OR(B535="",K535=0),"",S535/K535)</f>
        <v/>
      </c>
      <c r="U535" s="78">
        <f>IF(V535="","",IF(V535=2,"⚠️ Paying ahead of work","✓ OK"))</f>
        <v/>
      </c>
      <c r="V535" s="79">
        <f>IF(T535="","",IF(T535-R535&gt;OverpayTol,2,0))</f>
        <v/>
      </c>
      <c r="W535" s="112">
        <f>IF(V535=2,AsOf,"")</f>
        <v/>
      </c>
      <c r="X535" s="79">
        <f>IF(W535="","",1)</f>
        <v/>
      </c>
      <c r="Y535" s="79">
        <f>IF(X535="","","Paying ahead of work: "&amp;B535&amp;" — paid "&amp;ROUND(T535*100,0)&amp;"%, work done "&amp;ROUND(R535*100,0)&amp;"%")</f>
        <v/>
      </c>
      <c r="AA535" s="72" t="n"/>
      <c r="AB535" s="109" t="n"/>
      <c r="AC535" s="113" t="n"/>
      <c r="AD535" s="74" t="n"/>
      <c r="AE535" s="109" t="n"/>
      <c r="AF535" s="74" t="n"/>
      <c r="AG535" s="112">
        <f>IF(AND(AA535&lt;&gt;"",AD535="Yes",AF535&lt;&gt;"Yes",AE535&lt;&gt;""),AE535,"")</f>
        <v/>
      </c>
      <c r="AH535" s="79">
        <f>IF(AG535="","",IF(AG535&lt;AsOf,1,IF(AG535&lt;=AsOf+AlertDays,2,IF(AG535&lt;=AsOf+2*AlertDays,3,""))))</f>
        <v/>
      </c>
      <c r="AI535" s="79">
        <f>IF(AH535="","","Follow up with "&amp;AA535&amp;": "&amp;AC535)</f>
        <v/>
      </c>
    </row>
    <row r="536" ht="20" customHeight="1">
      <c r="B536" s="72" t="n"/>
      <c r="C536" s="72" t="n"/>
      <c r="D536" s="72" t="n"/>
      <c r="E536" s="72" t="n"/>
      <c r="F536" s="72" t="n"/>
      <c r="G536" s="72" t="n"/>
      <c r="H536" s="72" t="n"/>
      <c r="I536" s="73" t="n"/>
      <c r="J536" s="75">
        <f>IF(B536="","",SUMIFS('Change Orders'!$J$7:$J$1006,'Change Orders'!$E$7:$E$1006,B536,'Change Orders'!$L$7:$L$1006,"Approved"))</f>
        <v/>
      </c>
      <c r="K536" s="76">
        <f>IF(B536="","",I536+J536)</f>
        <v/>
      </c>
      <c r="L536" s="74" t="n"/>
      <c r="M536" s="109" t="n"/>
      <c r="N536" s="109" t="n"/>
      <c r="O536" s="74" t="n"/>
      <c r="P536" s="74" t="n"/>
      <c r="Q536" s="100" t="n"/>
      <c r="R536" s="110" t="n"/>
      <c r="S536" s="75">
        <f>IF(B536="","",SUMIFS('Payments'!$N$6:$N$1005,'Payments'!$B$6:$B$1005,B536))</f>
        <v/>
      </c>
      <c r="T536" s="111">
        <f>IF(OR(B536="",K536=0),"",S536/K536)</f>
        <v/>
      </c>
      <c r="U536" s="78">
        <f>IF(V536="","",IF(V536=2,"⚠️ Paying ahead of work","✓ OK"))</f>
        <v/>
      </c>
      <c r="V536" s="79">
        <f>IF(T536="","",IF(T536-R536&gt;OverpayTol,2,0))</f>
        <v/>
      </c>
      <c r="W536" s="112">
        <f>IF(V536=2,AsOf,"")</f>
        <v/>
      </c>
      <c r="X536" s="79">
        <f>IF(W536="","",1)</f>
        <v/>
      </c>
      <c r="Y536" s="79">
        <f>IF(X536="","","Paying ahead of work: "&amp;B536&amp;" — paid "&amp;ROUND(T536*100,0)&amp;"%, work done "&amp;ROUND(R536*100,0)&amp;"%")</f>
        <v/>
      </c>
      <c r="AA536" s="72" t="n"/>
      <c r="AB536" s="109" t="n"/>
      <c r="AC536" s="113" t="n"/>
      <c r="AD536" s="74" t="n"/>
      <c r="AE536" s="109" t="n"/>
      <c r="AF536" s="74" t="n"/>
      <c r="AG536" s="112">
        <f>IF(AND(AA536&lt;&gt;"",AD536="Yes",AF536&lt;&gt;"Yes",AE536&lt;&gt;""),AE536,"")</f>
        <v/>
      </c>
      <c r="AH536" s="79">
        <f>IF(AG536="","",IF(AG536&lt;AsOf,1,IF(AG536&lt;=AsOf+AlertDays,2,IF(AG536&lt;=AsOf+2*AlertDays,3,""))))</f>
        <v/>
      </c>
      <c r="AI536" s="79">
        <f>IF(AH536="","","Follow up with "&amp;AA536&amp;": "&amp;AC536)</f>
        <v/>
      </c>
    </row>
    <row r="537" ht="20" customHeight="1">
      <c r="B537" s="72" t="n"/>
      <c r="C537" s="72" t="n"/>
      <c r="D537" s="72" t="n"/>
      <c r="E537" s="72" t="n"/>
      <c r="F537" s="72" t="n"/>
      <c r="G537" s="72" t="n"/>
      <c r="H537" s="72" t="n"/>
      <c r="I537" s="73" t="n"/>
      <c r="J537" s="75">
        <f>IF(B537="","",SUMIFS('Change Orders'!$J$7:$J$1006,'Change Orders'!$E$7:$E$1006,B537,'Change Orders'!$L$7:$L$1006,"Approved"))</f>
        <v/>
      </c>
      <c r="K537" s="76">
        <f>IF(B537="","",I537+J537)</f>
        <v/>
      </c>
      <c r="L537" s="74" t="n"/>
      <c r="M537" s="109" t="n"/>
      <c r="N537" s="109" t="n"/>
      <c r="O537" s="74" t="n"/>
      <c r="P537" s="74" t="n"/>
      <c r="Q537" s="100" t="n"/>
      <c r="R537" s="110" t="n"/>
      <c r="S537" s="75">
        <f>IF(B537="","",SUMIFS('Payments'!$N$6:$N$1005,'Payments'!$B$6:$B$1005,B537))</f>
        <v/>
      </c>
      <c r="T537" s="111">
        <f>IF(OR(B537="",K537=0),"",S537/K537)</f>
        <v/>
      </c>
      <c r="U537" s="78">
        <f>IF(V537="","",IF(V537=2,"⚠️ Paying ahead of work","✓ OK"))</f>
        <v/>
      </c>
      <c r="V537" s="79">
        <f>IF(T537="","",IF(T537-R537&gt;OverpayTol,2,0))</f>
        <v/>
      </c>
      <c r="W537" s="112">
        <f>IF(V537=2,AsOf,"")</f>
        <v/>
      </c>
      <c r="X537" s="79">
        <f>IF(W537="","",1)</f>
        <v/>
      </c>
      <c r="Y537" s="79">
        <f>IF(X537="","","Paying ahead of work: "&amp;B537&amp;" — paid "&amp;ROUND(T537*100,0)&amp;"%, work done "&amp;ROUND(R537*100,0)&amp;"%")</f>
        <v/>
      </c>
      <c r="AA537" s="72" t="n"/>
      <c r="AB537" s="109" t="n"/>
      <c r="AC537" s="113" t="n"/>
      <c r="AD537" s="74" t="n"/>
      <c r="AE537" s="109" t="n"/>
      <c r="AF537" s="74" t="n"/>
      <c r="AG537" s="112">
        <f>IF(AND(AA537&lt;&gt;"",AD537="Yes",AF537&lt;&gt;"Yes",AE537&lt;&gt;""),AE537,"")</f>
        <v/>
      </c>
      <c r="AH537" s="79">
        <f>IF(AG537="","",IF(AG537&lt;AsOf,1,IF(AG537&lt;=AsOf+AlertDays,2,IF(AG537&lt;=AsOf+2*AlertDays,3,""))))</f>
        <v/>
      </c>
      <c r="AI537" s="79">
        <f>IF(AH537="","","Follow up with "&amp;AA537&amp;": "&amp;AC537)</f>
        <v/>
      </c>
    </row>
    <row r="538" ht="20" customHeight="1">
      <c r="B538" s="72" t="n"/>
      <c r="C538" s="72" t="n"/>
      <c r="D538" s="72" t="n"/>
      <c r="E538" s="72" t="n"/>
      <c r="F538" s="72" t="n"/>
      <c r="G538" s="72" t="n"/>
      <c r="H538" s="72" t="n"/>
      <c r="I538" s="73" t="n"/>
      <c r="J538" s="75">
        <f>IF(B538="","",SUMIFS('Change Orders'!$J$7:$J$1006,'Change Orders'!$E$7:$E$1006,B538,'Change Orders'!$L$7:$L$1006,"Approved"))</f>
        <v/>
      </c>
      <c r="K538" s="76">
        <f>IF(B538="","",I538+J538)</f>
        <v/>
      </c>
      <c r="L538" s="74" t="n"/>
      <c r="M538" s="109" t="n"/>
      <c r="N538" s="109" t="n"/>
      <c r="O538" s="74" t="n"/>
      <c r="P538" s="74" t="n"/>
      <c r="Q538" s="100" t="n"/>
      <c r="R538" s="110" t="n"/>
      <c r="S538" s="75">
        <f>IF(B538="","",SUMIFS('Payments'!$N$6:$N$1005,'Payments'!$B$6:$B$1005,B538))</f>
        <v/>
      </c>
      <c r="T538" s="111">
        <f>IF(OR(B538="",K538=0),"",S538/K538)</f>
        <v/>
      </c>
      <c r="U538" s="78">
        <f>IF(V538="","",IF(V538=2,"⚠️ Paying ahead of work","✓ OK"))</f>
        <v/>
      </c>
      <c r="V538" s="79">
        <f>IF(T538="","",IF(T538-R538&gt;OverpayTol,2,0))</f>
        <v/>
      </c>
      <c r="W538" s="112">
        <f>IF(V538=2,AsOf,"")</f>
        <v/>
      </c>
      <c r="X538" s="79">
        <f>IF(W538="","",1)</f>
        <v/>
      </c>
      <c r="Y538" s="79">
        <f>IF(X538="","","Paying ahead of work: "&amp;B538&amp;" — paid "&amp;ROUND(T538*100,0)&amp;"%, work done "&amp;ROUND(R538*100,0)&amp;"%")</f>
        <v/>
      </c>
      <c r="AA538" s="72" t="n"/>
      <c r="AB538" s="109" t="n"/>
      <c r="AC538" s="113" t="n"/>
      <c r="AD538" s="74" t="n"/>
      <c r="AE538" s="109" t="n"/>
      <c r="AF538" s="74" t="n"/>
      <c r="AG538" s="112">
        <f>IF(AND(AA538&lt;&gt;"",AD538="Yes",AF538&lt;&gt;"Yes",AE538&lt;&gt;""),AE538,"")</f>
        <v/>
      </c>
      <c r="AH538" s="79">
        <f>IF(AG538="","",IF(AG538&lt;AsOf,1,IF(AG538&lt;=AsOf+AlertDays,2,IF(AG538&lt;=AsOf+2*AlertDays,3,""))))</f>
        <v/>
      </c>
      <c r="AI538" s="79">
        <f>IF(AH538="","","Follow up with "&amp;AA538&amp;": "&amp;AC538)</f>
        <v/>
      </c>
    </row>
    <row r="539" ht="20" customHeight="1">
      <c r="B539" s="72" t="n"/>
      <c r="C539" s="72" t="n"/>
      <c r="D539" s="72" t="n"/>
      <c r="E539" s="72" t="n"/>
      <c r="F539" s="72" t="n"/>
      <c r="G539" s="72" t="n"/>
      <c r="H539" s="72" t="n"/>
      <c r="I539" s="73" t="n"/>
      <c r="J539" s="75">
        <f>IF(B539="","",SUMIFS('Change Orders'!$J$7:$J$1006,'Change Orders'!$E$7:$E$1006,B539,'Change Orders'!$L$7:$L$1006,"Approved"))</f>
        <v/>
      </c>
      <c r="K539" s="76">
        <f>IF(B539="","",I539+J539)</f>
        <v/>
      </c>
      <c r="L539" s="74" t="n"/>
      <c r="M539" s="109" t="n"/>
      <c r="N539" s="109" t="n"/>
      <c r="O539" s="74" t="n"/>
      <c r="P539" s="74" t="n"/>
      <c r="Q539" s="100" t="n"/>
      <c r="R539" s="110" t="n"/>
      <c r="S539" s="75">
        <f>IF(B539="","",SUMIFS('Payments'!$N$6:$N$1005,'Payments'!$B$6:$B$1005,B539))</f>
        <v/>
      </c>
      <c r="T539" s="111">
        <f>IF(OR(B539="",K539=0),"",S539/K539)</f>
        <v/>
      </c>
      <c r="U539" s="78">
        <f>IF(V539="","",IF(V539=2,"⚠️ Paying ahead of work","✓ OK"))</f>
        <v/>
      </c>
      <c r="V539" s="79">
        <f>IF(T539="","",IF(T539-R539&gt;OverpayTol,2,0))</f>
        <v/>
      </c>
      <c r="W539" s="112">
        <f>IF(V539=2,AsOf,"")</f>
        <v/>
      </c>
      <c r="X539" s="79">
        <f>IF(W539="","",1)</f>
        <v/>
      </c>
      <c r="Y539" s="79">
        <f>IF(X539="","","Paying ahead of work: "&amp;B539&amp;" — paid "&amp;ROUND(T539*100,0)&amp;"%, work done "&amp;ROUND(R539*100,0)&amp;"%")</f>
        <v/>
      </c>
      <c r="AA539" s="72" t="n"/>
      <c r="AB539" s="109" t="n"/>
      <c r="AC539" s="113" t="n"/>
      <c r="AD539" s="74" t="n"/>
      <c r="AE539" s="109" t="n"/>
      <c r="AF539" s="74" t="n"/>
      <c r="AG539" s="112">
        <f>IF(AND(AA539&lt;&gt;"",AD539="Yes",AF539&lt;&gt;"Yes",AE539&lt;&gt;""),AE539,"")</f>
        <v/>
      </c>
      <c r="AH539" s="79">
        <f>IF(AG539="","",IF(AG539&lt;AsOf,1,IF(AG539&lt;=AsOf+AlertDays,2,IF(AG539&lt;=AsOf+2*AlertDays,3,""))))</f>
        <v/>
      </c>
      <c r="AI539" s="79">
        <f>IF(AH539="","","Follow up with "&amp;AA539&amp;": "&amp;AC539)</f>
        <v/>
      </c>
    </row>
    <row r="540" ht="20" customHeight="1">
      <c r="B540" s="72" t="n"/>
      <c r="C540" s="72" t="n"/>
      <c r="D540" s="72" t="n"/>
      <c r="E540" s="72" t="n"/>
      <c r="F540" s="72" t="n"/>
      <c r="G540" s="72" t="n"/>
      <c r="H540" s="72" t="n"/>
      <c r="I540" s="73" t="n"/>
      <c r="J540" s="75">
        <f>IF(B540="","",SUMIFS('Change Orders'!$J$7:$J$1006,'Change Orders'!$E$7:$E$1006,B540,'Change Orders'!$L$7:$L$1006,"Approved"))</f>
        <v/>
      </c>
      <c r="K540" s="76">
        <f>IF(B540="","",I540+J540)</f>
        <v/>
      </c>
      <c r="L540" s="74" t="n"/>
      <c r="M540" s="109" t="n"/>
      <c r="N540" s="109" t="n"/>
      <c r="O540" s="74" t="n"/>
      <c r="P540" s="74" t="n"/>
      <c r="Q540" s="100" t="n"/>
      <c r="R540" s="110" t="n"/>
      <c r="S540" s="75">
        <f>IF(B540="","",SUMIFS('Payments'!$N$6:$N$1005,'Payments'!$B$6:$B$1005,B540))</f>
        <v/>
      </c>
      <c r="T540" s="111">
        <f>IF(OR(B540="",K540=0),"",S540/K540)</f>
        <v/>
      </c>
      <c r="U540" s="78">
        <f>IF(V540="","",IF(V540=2,"⚠️ Paying ahead of work","✓ OK"))</f>
        <v/>
      </c>
      <c r="V540" s="79">
        <f>IF(T540="","",IF(T540-R540&gt;OverpayTol,2,0))</f>
        <v/>
      </c>
      <c r="W540" s="112">
        <f>IF(V540=2,AsOf,"")</f>
        <v/>
      </c>
      <c r="X540" s="79">
        <f>IF(W540="","",1)</f>
        <v/>
      </c>
      <c r="Y540" s="79">
        <f>IF(X540="","","Paying ahead of work: "&amp;B540&amp;" — paid "&amp;ROUND(T540*100,0)&amp;"%, work done "&amp;ROUND(R540*100,0)&amp;"%")</f>
        <v/>
      </c>
      <c r="AA540" s="72" t="n"/>
      <c r="AB540" s="109" t="n"/>
      <c r="AC540" s="113" t="n"/>
      <c r="AD540" s="74" t="n"/>
      <c r="AE540" s="109" t="n"/>
      <c r="AF540" s="74" t="n"/>
      <c r="AG540" s="112">
        <f>IF(AND(AA540&lt;&gt;"",AD540="Yes",AF540&lt;&gt;"Yes",AE540&lt;&gt;""),AE540,"")</f>
        <v/>
      </c>
      <c r="AH540" s="79">
        <f>IF(AG540="","",IF(AG540&lt;AsOf,1,IF(AG540&lt;=AsOf+AlertDays,2,IF(AG540&lt;=AsOf+2*AlertDays,3,""))))</f>
        <v/>
      </c>
      <c r="AI540" s="79">
        <f>IF(AH540="","","Follow up with "&amp;AA540&amp;": "&amp;AC540)</f>
        <v/>
      </c>
    </row>
    <row r="541" ht="20" customHeight="1">
      <c r="B541" s="72" t="n"/>
      <c r="C541" s="72" t="n"/>
      <c r="D541" s="72" t="n"/>
      <c r="E541" s="72" t="n"/>
      <c r="F541" s="72" t="n"/>
      <c r="G541" s="72" t="n"/>
      <c r="H541" s="72" t="n"/>
      <c r="I541" s="73" t="n"/>
      <c r="J541" s="75">
        <f>IF(B541="","",SUMIFS('Change Orders'!$J$7:$J$1006,'Change Orders'!$E$7:$E$1006,B541,'Change Orders'!$L$7:$L$1006,"Approved"))</f>
        <v/>
      </c>
      <c r="K541" s="76">
        <f>IF(B541="","",I541+J541)</f>
        <v/>
      </c>
      <c r="L541" s="74" t="n"/>
      <c r="M541" s="109" t="n"/>
      <c r="N541" s="109" t="n"/>
      <c r="O541" s="74" t="n"/>
      <c r="P541" s="74" t="n"/>
      <c r="Q541" s="100" t="n"/>
      <c r="R541" s="110" t="n"/>
      <c r="S541" s="75">
        <f>IF(B541="","",SUMIFS('Payments'!$N$6:$N$1005,'Payments'!$B$6:$B$1005,B541))</f>
        <v/>
      </c>
      <c r="T541" s="111">
        <f>IF(OR(B541="",K541=0),"",S541/K541)</f>
        <v/>
      </c>
      <c r="U541" s="78">
        <f>IF(V541="","",IF(V541=2,"⚠️ Paying ahead of work","✓ OK"))</f>
        <v/>
      </c>
      <c r="V541" s="79">
        <f>IF(T541="","",IF(T541-R541&gt;OverpayTol,2,0))</f>
        <v/>
      </c>
      <c r="W541" s="112">
        <f>IF(V541=2,AsOf,"")</f>
        <v/>
      </c>
      <c r="X541" s="79">
        <f>IF(W541="","",1)</f>
        <v/>
      </c>
      <c r="Y541" s="79">
        <f>IF(X541="","","Paying ahead of work: "&amp;B541&amp;" — paid "&amp;ROUND(T541*100,0)&amp;"%, work done "&amp;ROUND(R541*100,0)&amp;"%")</f>
        <v/>
      </c>
      <c r="AA541" s="72" t="n"/>
      <c r="AB541" s="109" t="n"/>
      <c r="AC541" s="113" t="n"/>
      <c r="AD541" s="74" t="n"/>
      <c r="AE541" s="109" t="n"/>
      <c r="AF541" s="74" t="n"/>
      <c r="AG541" s="112">
        <f>IF(AND(AA541&lt;&gt;"",AD541="Yes",AF541&lt;&gt;"Yes",AE541&lt;&gt;""),AE541,"")</f>
        <v/>
      </c>
      <c r="AH541" s="79">
        <f>IF(AG541="","",IF(AG541&lt;AsOf,1,IF(AG541&lt;=AsOf+AlertDays,2,IF(AG541&lt;=AsOf+2*AlertDays,3,""))))</f>
        <v/>
      </c>
      <c r="AI541" s="79">
        <f>IF(AH541="","","Follow up with "&amp;AA541&amp;": "&amp;AC541)</f>
        <v/>
      </c>
    </row>
    <row r="542" ht="20" customHeight="1">
      <c r="B542" s="72" t="n"/>
      <c r="C542" s="72" t="n"/>
      <c r="D542" s="72" t="n"/>
      <c r="E542" s="72" t="n"/>
      <c r="F542" s="72" t="n"/>
      <c r="G542" s="72" t="n"/>
      <c r="H542" s="72" t="n"/>
      <c r="I542" s="73" t="n"/>
      <c r="J542" s="75">
        <f>IF(B542="","",SUMIFS('Change Orders'!$J$7:$J$1006,'Change Orders'!$E$7:$E$1006,B542,'Change Orders'!$L$7:$L$1006,"Approved"))</f>
        <v/>
      </c>
      <c r="K542" s="76">
        <f>IF(B542="","",I542+J542)</f>
        <v/>
      </c>
      <c r="L542" s="74" t="n"/>
      <c r="M542" s="109" t="n"/>
      <c r="N542" s="109" t="n"/>
      <c r="O542" s="74" t="n"/>
      <c r="P542" s="74" t="n"/>
      <c r="Q542" s="100" t="n"/>
      <c r="R542" s="110" t="n"/>
      <c r="S542" s="75">
        <f>IF(B542="","",SUMIFS('Payments'!$N$6:$N$1005,'Payments'!$B$6:$B$1005,B542))</f>
        <v/>
      </c>
      <c r="T542" s="111">
        <f>IF(OR(B542="",K542=0),"",S542/K542)</f>
        <v/>
      </c>
      <c r="U542" s="78">
        <f>IF(V542="","",IF(V542=2,"⚠️ Paying ahead of work","✓ OK"))</f>
        <v/>
      </c>
      <c r="V542" s="79">
        <f>IF(T542="","",IF(T542-R542&gt;OverpayTol,2,0))</f>
        <v/>
      </c>
      <c r="W542" s="112">
        <f>IF(V542=2,AsOf,"")</f>
        <v/>
      </c>
      <c r="X542" s="79">
        <f>IF(W542="","",1)</f>
        <v/>
      </c>
      <c r="Y542" s="79">
        <f>IF(X542="","","Paying ahead of work: "&amp;B542&amp;" — paid "&amp;ROUND(T542*100,0)&amp;"%, work done "&amp;ROUND(R542*100,0)&amp;"%")</f>
        <v/>
      </c>
      <c r="AA542" s="72" t="n"/>
      <c r="AB542" s="109" t="n"/>
      <c r="AC542" s="113" t="n"/>
      <c r="AD542" s="74" t="n"/>
      <c r="AE542" s="109" t="n"/>
      <c r="AF542" s="74" t="n"/>
      <c r="AG542" s="112">
        <f>IF(AND(AA542&lt;&gt;"",AD542="Yes",AF542&lt;&gt;"Yes",AE542&lt;&gt;""),AE542,"")</f>
        <v/>
      </c>
      <c r="AH542" s="79">
        <f>IF(AG542="","",IF(AG542&lt;AsOf,1,IF(AG542&lt;=AsOf+AlertDays,2,IF(AG542&lt;=AsOf+2*AlertDays,3,""))))</f>
        <v/>
      </c>
      <c r="AI542" s="79">
        <f>IF(AH542="","","Follow up with "&amp;AA542&amp;": "&amp;AC542)</f>
        <v/>
      </c>
    </row>
    <row r="543" ht="20" customHeight="1">
      <c r="B543" s="72" t="n"/>
      <c r="C543" s="72" t="n"/>
      <c r="D543" s="72" t="n"/>
      <c r="E543" s="72" t="n"/>
      <c r="F543" s="72" t="n"/>
      <c r="G543" s="72" t="n"/>
      <c r="H543" s="72" t="n"/>
      <c r="I543" s="73" t="n"/>
      <c r="J543" s="75">
        <f>IF(B543="","",SUMIFS('Change Orders'!$J$7:$J$1006,'Change Orders'!$E$7:$E$1006,B543,'Change Orders'!$L$7:$L$1006,"Approved"))</f>
        <v/>
      </c>
      <c r="K543" s="76">
        <f>IF(B543="","",I543+J543)</f>
        <v/>
      </c>
      <c r="L543" s="74" t="n"/>
      <c r="M543" s="109" t="n"/>
      <c r="N543" s="109" t="n"/>
      <c r="O543" s="74" t="n"/>
      <c r="P543" s="74" t="n"/>
      <c r="Q543" s="100" t="n"/>
      <c r="R543" s="110" t="n"/>
      <c r="S543" s="75">
        <f>IF(B543="","",SUMIFS('Payments'!$N$6:$N$1005,'Payments'!$B$6:$B$1005,B543))</f>
        <v/>
      </c>
      <c r="T543" s="111">
        <f>IF(OR(B543="",K543=0),"",S543/K543)</f>
        <v/>
      </c>
      <c r="U543" s="78">
        <f>IF(V543="","",IF(V543=2,"⚠️ Paying ahead of work","✓ OK"))</f>
        <v/>
      </c>
      <c r="V543" s="79">
        <f>IF(T543="","",IF(T543-R543&gt;OverpayTol,2,0))</f>
        <v/>
      </c>
      <c r="W543" s="112">
        <f>IF(V543=2,AsOf,"")</f>
        <v/>
      </c>
      <c r="X543" s="79">
        <f>IF(W543="","",1)</f>
        <v/>
      </c>
      <c r="Y543" s="79">
        <f>IF(X543="","","Paying ahead of work: "&amp;B543&amp;" — paid "&amp;ROUND(T543*100,0)&amp;"%, work done "&amp;ROUND(R543*100,0)&amp;"%")</f>
        <v/>
      </c>
      <c r="AA543" s="72" t="n"/>
      <c r="AB543" s="109" t="n"/>
      <c r="AC543" s="113" t="n"/>
      <c r="AD543" s="74" t="n"/>
      <c r="AE543" s="109" t="n"/>
      <c r="AF543" s="74" t="n"/>
      <c r="AG543" s="112">
        <f>IF(AND(AA543&lt;&gt;"",AD543="Yes",AF543&lt;&gt;"Yes",AE543&lt;&gt;""),AE543,"")</f>
        <v/>
      </c>
      <c r="AH543" s="79">
        <f>IF(AG543="","",IF(AG543&lt;AsOf,1,IF(AG543&lt;=AsOf+AlertDays,2,IF(AG543&lt;=AsOf+2*AlertDays,3,""))))</f>
        <v/>
      </c>
      <c r="AI543" s="79">
        <f>IF(AH543="","","Follow up with "&amp;AA543&amp;": "&amp;AC543)</f>
        <v/>
      </c>
    </row>
    <row r="544" ht="20" customHeight="1">
      <c r="B544" s="72" t="n"/>
      <c r="C544" s="72" t="n"/>
      <c r="D544" s="72" t="n"/>
      <c r="E544" s="72" t="n"/>
      <c r="F544" s="72" t="n"/>
      <c r="G544" s="72" t="n"/>
      <c r="H544" s="72" t="n"/>
      <c r="I544" s="73" t="n"/>
      <c r="J544" s="75">
        <f>IF(B544="","",SUMIFS('Change Orders'!$J$7:$J$1006,'Change Orders'!$E$7:$E$1006,B544,'Change Orders'!$L$7:$L$1006,"Approved"))</f>
        <v/>
      </c>
      <c r="K544" s="76">
        <f>IF(B544="","",I544+J544)</f>
        <v/>
      </c>
      <c r="L544" s="74" t="n"/>
      <c r="M544" s="109" t="n"/>
      <c r="N544" s="109" t="n"/>
      <c r="O544" s="74" t="n"/>
      <c r="P544" s="74" t="n"/>
      <c r="Q544" s="100" t="n"/>
      <c r="R544" s="110" t="n"/>
      <c r="S544" s="75">
        <f>IF(B544="","",SUMIFS('Payments'!$N$6:$N$1005,'Payments'!$B$6:$B$1005,B544))</f>
        <v/>
      </c>
      <c r="T544" s="111">
        <f>IF(OR(B544="",K544=0),"",S544/K544)</f>
        <v/>
      </c>
      <c r="U544" s="78">
        <f>IF(V544="","",IF(V544=2,"⚠️ Paying ahead of work","✓ OK"))</f>
        <v/>
      </c>
      <c r="V544" s="79">
        <f>IF(T544="","",IF(T544-R544&gt;OverpayTol,2,0))</f>
        <v/>
      </c>
      <c r="W544" s="112">
        <f>IF(V544=2,AsOf,"")</f>
        <v/>
      </c>
      <c r="X544" s="79">
        <f>IF(W544="","",1)</f>
        <v/>
      </c>
      <c r="Y544" s="79">
        <f>IF(X544="","","Paying ahead of work: "&amp;B544&amp;" — paid "&amp;ROUND(T544*100,0)&amp;"%, work done "&amp;ROUND(R544*100,0)&amp;"%")</f>
        <v/>
      </c>
      <c r="AA544" s="72" t="n"/>
      <c r="AB544" s="109" t="n"/>
      <c r="AC544" s="113" t="n"/>
      <c r="AD544" s="74" t="n"/>
      <c r="AE544" s="109" t="n"/>
      <c r="AF544" s="74" t="n"/>
      <c r="AG544" s="112">
        <f>IF(AND(AA544&lt;&gt;"",AD544="Yes",AF544&lt;&gt;"Yes",AE544&lt;&gt;""),AE544,"")</f>
        <v/>
      </c>
      <c r="AH544" s="79">
        <f>IF(AG544="","",IF(AG544&lt;AsOf,1,IF(AG544&lt;=AsOf+AlertDays,2,IF(AG544&lt;=AsOf+2*AlertDays,3,""))))</f>
        <v/>
      </c>
      <c r="AI544" s="79">
        <f>IF(AH544="","","Follow up with "&amp;AA544&amp;": "&amp;AC544)</f>
        <v/>
      </c>
    </row>
    <row r="545" ht="20" customHeight="1">
      <c r="B545" s="72" t="n"/>
      <c r="C545" s="72" t="n"/>
      <c r="D545" s="72" t="n"/>
      <c r="E545" s="72" t="n"/>
      <c r="F545" s="72" t="n"/>
      <c r="G545" s="72" t="n"/>
      <c r="H545" s="72" t="n"/>
      <c r="I545" s="73" t="n"/>
      <c r="J545" s="75">
        <f>IF(B545="","",SUMIFS('Change Orders'!$J$7:$J$1006,'Change Orders'!$E$7:$E$1006,B545,'Change Orders'!$L$7:$L$1006,"Approved"))</f>
        <v/>
      </c>
      <c r="K545" s="76">
        <f>IF(B545="","",I545+J545)</f>
        <v/>
      </c>
      <c r="L545" s="74" t="n"/>
      <c r="M545" s="109" t="n"/>
      <c r="N545" s="109" t="n"/>
      <c r="O545" s="74" t="n"/>
      <c r="P545" s="74" t="n"/>
      <c r="Q545" s="100" t="n"/>
      <c r="R545" s="110" t="n"/>
      <c r="S545" s="75">
        <f>IF(B545="","",SUMIFS('Payments'!$N$6:$N$1005,'Payments'!$B$6:$B$1005,B545))</f>
        <v/>
      </c>
      <c r="T545" s="111">
        <f>IF(OR(B545="",K545=0),"",S545/K545)</f>
        <v/>
      </c>
      <c r="U545" s="78">
        <f>IF(V545="","",IF(V545=2,"⚠️ Paying ahead of work","✓ OK"))</f>
        <v/>
      </c>
      <c r="V545" s="79">
        <f>IF(T545="","",IF(T545-R545&gt;OverpayTol,2,0))</f>
        <v/>
      </c>
      <c r="W545" s="112">
        <f>IF(V545=2,AsOf,"")</f>
        <v/>
      </c>
      <c r="X545" s="79">
        <f>IF(W545="","",1)</f>
        <v/>
      </c>
      <c r="Y545" s="79">
        <f>IF(X545="","","Paying ahead of work: "&amp;B545&amp;" — paid "&amp;ROUND(T545*100,0)&amp;"%, work done "&amp;ROUND(R545*100,0)&amp;"%")</f>
        <v/>
      </c>
      <c r="AA545" s="72" t="n"/>
      <c r="AB545" s="109" t="n"/>
      <c r="AC545" s="113" t="n"/>
      <c r="AD545" s="74" t="n"/>
      <c r="AE545" s="109" t="n"/>
      <c r="AF545" s="74" t="n"/>
      <c r="AG545" s="112">
        <f>IF(AND(AA545&lt;&gt;"",AD545="Yes",AF545&lt;&gt;"Yes",AE545&lt;&gt;""),AE545,"")</f>
        <v/>
      </c>
      <c r="AH545" s="79">
        <f>IF(AG545="","",IF(AG545&lt;AsOf,1,IF(AG545&lt;=AsOf+AlertDays,2,IF(AG545&lt;=AsOf+2*AlertDays,3,""))))</f>
        <v/>
      </c>
      <c r="AI545" s="79">
        <f>IF(AH545="","","Follow up with "&amp;AA545&amp;": "&amp;AC545)</f>
        <v/>
      </c>
    </row>
    <row r="546" ht="20" customHeight="1">
      <c r="B546" s="72" t="n"/>
      <c r="C546" s="72" t="n"/>
      <c r="D546" s="72" t="n"/>
      <c r="E546" s="72" t="n"/>
      <c r="F546" s="72" t="n"/>
      <c r="G546" s="72" t="n"/>
      <c r="H546" s="72" t="n"/>
      <c r="I546" s="73" t="n"/>
      <c r="J546" s="75">
        <f>IF(B546="","",SUMIFS('Change Orders'!$J$7:$J$1006,'Change Orders'!$E$7:$E$1006,B546,'Change Orders'!$L$7:$L$1006,"Approved"))</f>
        <v/>
      </c>
      <c r="K546" s="76">
        <f>IF(B546="","",I546+J546)</f>
        <v/>
      </c>
      <c r="L546" s="74" t="n"/>
      <c r="M546" s="109" t="n"/>
      <c r="N546" s="109" t="n"/>
      <c r="O546" s="74" t="n"/>
      <c r="P546" s="74" t="n"/>
      <c r="Q546" s="100" t="n"/>
      <c r="R546" s="110" t="n"/>
      <c r="S546" s="75">
        <f>IF(B546="","",SUMIFS('Payments'!$N$6:$N$1005,'Payments'!$B$6:$B$1005,B546))</f>
        <v/>
      </c>
      <c r="T546" s="111">
        <f>IF(OR(B546="",K546=0),"",S546/K546)</f>
        <v/>
      </c>
      <c r="U546" s="78">
        <f>IF(V546="","",IF(V546=2,"⚠️ Paying ahead of work","✓ OK"))</f>
        <v/>
      </c>
      <c r="V546" s="79">
        <f>IF(T546="","",IF(T546-R546&gt;OverpayTol,2,0))</f>
        <v/>
      </c>
      <c r="W546" s="112">
        <f>IF(V546=2,AsOf,"")</f>
        <v/>
      </c>
      <c r="X546" s="79">
        <f>IF(W546="","",1)</f>
        <v/>
      </c>
      <c r="Y546" s="79">
        <f>IF(X546="","","Paying ahead of work: "&amp;B546&amp;" — paid "&amp;ROUND(T546*100,0)&amp;"%, work done "&amp;ROUND(R546*100,0)&amp;"%")</f>
        <v/>
      </c>
      <c r="AA546" s="72" t="n"/>
      <c r="AB546" s="109" t="n"/>
      <c r="AC546" s="113" t="n"/>
      <c r="AD546" s="74" t="n"/>
      <c r="AE546" s="109" t="n"/>
      <c r="AF546" s="74" t="n"/>
      <c r="AG546" s="112">
        <f>IF(AND(AA546&lt;&gt;"",AD546="Yes",AF546&lt;&gt;"Yes",AE546&lt;&gt;""),AE546,"")</f>
        <v/>
      </c>
      <c r="AH546" s="79">
        <f>IF(AG546="","",IF(AG546&lt;AsOf,1,IF(AG546&lt;=AsOf+AlertDays,2,IF(AG546&lt;=AsOf+2*AlertDays,3,""))))</f>
        <v/>
      </c>
      <c r="AI546" s="79">
        <f>IF(AH546="","","Follow up with "&amp;AA546&amp;": "&amp;AC546)</f>
        <v/>
      </c>
    </row>
    <row r="547" ht="20" customHeight="1">
      <c r="B547" s="72" t="n"/>
      <c r="C547" s="72" t="n"/>
      <c r="D547" s="72" t="n"/>
      <c r="E547" s="72" t="n"/>
      <c r="F547" s="72" t="n"/>
      <c r="G547" s="72" t="n"/>
      <c r="H547" s="72" t="n"/>
      <c r="I547" s="73" t="n"/>
      <c r="J547" s="75">
        <f>IF(B547="","",SUMIFS('Change Orders'!$J$7:$J$1006,'Change Orders'!$E$7:$E$1006,B547,'Change Orders'!$L$7:$L$1006,"Approved"))</f>
        <v/>
      </c>
      <c r="K547" s="76">
        <f>IF(B547="","",I547+J547)</f>
        <v/>
      </c>
      <c r="L547" s="74" t="n"/>
      <c r="M547" s="109" t="n"/>
      <c r="N547" s="109" t="n"/>
      <c r="O547" s="74" t="n"/>
      <c r="P547" s="74" t="n"/>
      <c r="Q547" s="100" t="n"/>
      <c r="R547" s="110" t="n"/>
      <c r="S547" s="75">
        <f>IF(B547="","",SUMIFS('Payments'!$N$6:$N$1005,'Payments'!$B$6:$B$1005,B547))</f>
        <v/>
      </c>
      <c r="T547" s="111">
        <f>IF(OR(B547="",K547=0),"",S547/K547)</f>
        <v/>
      </c>
      <c r="U547" s="78">
        <f>IF(V547="","",IF(V547=2,"⚠️ Paying ahead of work","✓ OK"))</f>
        <v/>
      </c>
      <c r="V547" s="79">
        <f>IF(T547="","",IF(T547-R547&gt;OverpayTol,2,0))</f>
        <v/>
      </c>
      <c r="W547" s="112">
        <f>IF(V547=2,AsOf,"")</f>
        <v/>
      </c>
      <c r="X547" s="79">
        <f>IF(W547="","",1)</f>
        <v/>
      </c>
      <c r="Y547" s="79">
        <f>IF(X547="","","Paying ahead of work: "&amp;B547&amp;" — paid "&amp;ROUND(T547*100,0)&amp;"%, work done "&amp;ROUND(R547*100,0)&amp;"%")</f>
        <v/>
      </c>
      <c r="AA547" s="72" t="n"/>
      <c r="AB547" s="109" t="n"/>
      <c r="AC547" s="113" t="n"/>
      <c r="AD547" s="74" t="n"/>
      <c r="AE547" s="109" t="n"/>
      <c r="AF547" s="74" t="n"/>
      <c r="AG547" s="112">
        <f>IF(AND(AA547&lt;&gt;"",AD547="Yes",AF547&lt;&gt;"Yes",AE547&lt;&gt;""),AE547,"")</f>
        <v/>
      </c>
      <c r="AH547" s="79">
        <f>IF(AG547="","",IF(AG547&lt;AsOf,1,IF(AG547&lt;=AsOf+AlertDays,2,IF(AG547&lt;=AsOf+2*AlertDays,3,""))))</f>
        <v/>
      </c>
      <c r="AI547" s="79">
        <f>IF(AH547="","","Follow up with "&amp;AA547&amp;": "&amp;AC547)</f>
        <v/>
      </c>
    </row>
    <row r="548" ht="20" customHeight="1">
      <c r="B548" s="72" t="n"/>
      <c r="C548" s="72" t="n"/>
      <c r="D548" s="72" t="n"/>
      <c r="E548" s="72" t="n"/>
      <c r="F548" s="72" t="n"/>
      <c r="G548" s="72" t="n"/>
      <c r="H548" s="72" t="n"/>
      <c r="I548" s="73" t="n"/>
      <c r="J548" s="75">
        <f>IF(B548="","",SUMIFS('Change Orders'!$J$7:$J$1006,'Change Orders'!$E$7:$E$1006,B548,'Change Orders'!$L$7:$L$1006,"Approved"))</f>
        <v/>
      </c>
      <c r="K548" s="76">
        <f>IF(B548="","",I548+J548)</f>
        <v/>
      </c>
      <c r="L548" s="74" t="n"/>
      <c r="M548" s="109" t="n"/>
      <c r="N548" s="109" t="n"/>
      <c r="O548" s="74" t="n"/>
      <c r="P548" s="74" t="n"/>
      <c r="Q548" s="100" t="n"/>
      <c r="R548" s="110" t="n"/>
      <c r="S548" s="75">
        <f>IF(B548="","",SUMIFS('Payments'!$N$6:$N$1005,'Payments'!$B$6:$B$1005,B548))</f>
        <v/>
      </c>
      <c r="T548" s="111">
        <f>IF(OR(B548="",K548=0),"",S548/K548)</f>
        <v/>
      </c>
      <c r="U548" s="78">
        <f>IF(V548="","",IF(V548=2,"⚠️ Paying ahead of work","✓ OK"))</f>
        <v/>
      </c>
      <c r="V548" s="79">
        <f>IF(T548="","",IF(T548-R548&gt;OverpayTol,2,0))</f>
        <v/>
      </c>
      <c r="W548" s="112">
        <f>IF(V548=2,AsOf,"")</f>
        <v/>
      </c>
      <c r="X548" s="79">
        <f>IF(W548="","",1)</f>
        <v/>
      </c>
      <c r="Y548" s="79">
        <f>IF(X548="","","Paying ahead of work: "&amp;B548&amp;" — paid "&amp;ROUND(T548*100,0)&amp;"%, work done "&amp;ROUND(R548*100,0)&amp;"%")</f>
        <v/>
      </c>
      <c r="AA548" s="72" t="n"/>
      <c r="AB548" s="109" t="n"/>
      <c r="AC548" s="113" t="n"/>
      <c r="AD548" s="74" t="n"/>
      <c r="AE548" s="109" t="n"/>
      <c r="AF548" s="74" t="n"/>
      <c r="AG548" s="112">
        <f>IF(AND(AA548&lt;&gt;"",AD548="Yes",AF548&lt;&gt;"Yes",AE548&lt;&gt;""),AE548,"")</f>
        <v/>
      </c>
      <c r="AH548" s="79">
        <f>IF(AG548="","",IF(AG548&lt;AsOf,1,IF(AG548&lt;=AsOf+AlertDays,2,IF(AG548&lt;=AsOf+2*AlertDays,3,""))))</f>
        <v/>
      </c>
      <c r="AI548" s="79">
        <f>IF(AH548="","","Follow up with "&amp;AA548&amp;": "&amp;AC548)</f>
        <v/>
      </c>
    </row>
    <row r="549" ht="20" customHeight="1">
      <c r="B549" s="72" t="n"/>
      <c r="C549" s="72" t="n"/>
      <c r="D549" s="72" t="n"/>
      <c r="E549" s="72" t="n"/>
      <c r="F549" s="72" t="n"/>
      <c r="G549" s="72" t="n"/>
      <c r="H549" s="72" t="n"/>
      <c r="I549" s="73" t="n"/>
      <c r="J549" s="75">
        <f>IF(B549="","",SUMIFS('Change Orders'!$J$7:$J$1006,'Change Orders'!$E$7:$E$1006,B549,'Change Orders'!$L$7:$L$1006,"Approved"))</f>
        <v/>
      </c>
      <c r="K549" s="76">
        <f>IF(B549="","",I549+J549)</f>
        <v/>
      </c>
      <c r="L549" s="74" t="n"/>
      <c r="M549" s="109" t="n"/>
      <c r="N549" s="109" t="n"/>
      <c r="O549" s="74" t="n"/>
      <c r="P549" s="74" t="n"/>
      <c r="Q549" s="100" t="n"/>
      <c r="R549" s="110" t="n"/>
      <c r="S549" s="75">
        <f>IF(B549="","",SUMIFS('Payments'!$N$6:$N$1005,'Payments'!$B$6:$B$1005,B549))</f>
        <v/>
      </c>
      <c r="T549" s="111">
        <f>IF(OR(B549="",K549=0),"",S549/K549)</f>
        <v/>
      </c>
      <c r="U549" s="78">
        <f>IF(V549="","",IF(V549=2,"⚠️ Paying ahead of work","✓ OK"))</f>
        <v/>
      </c>
      <c r="V549" s="79">
        <f>IF(T549="","",IF(T549-R549&gt;OverpayTol,2,0))</f>
        <v/>
      </c>
      <c r="W549" s="112">
        <f>IF(V549=2,AsOf,"")</f>
        <v/>
      </c>
      <c r="X549" s="79">
        <f>IF(W549="","",1)</f>
        <v/>
      </c>
      <c r="Y549" s="79">
        <f>IF(X549="","","Paying ahead of work: "&amp;B549&amp;" — paid "&amp;ROUND(T549*100,0)&amp;"%, work done "&amp;ROUND(R549*100,0)&amp;"%")</f>
        <v/>
      </c>
      <c r="AA549" s="72" t="n"/>
      <c r="AB549" s="109" t="n"/>
      <c r="AC549" s="113" t="n"/>
      <c r="AD549" s="74" t="n"/>
      <c r="AE549" s="109" t="n"/>
      <c r="AF549" s="74" t="n"/>
      <c r="AG549" s="112">
        <f>IF(AND(AA549&lt;&gt;"",AD549="Yes",AF549&lt;&gt;"Yes",AE549&lt;&gt;""),AE549,"")</f>
        <v/>
      </c>
      <c r="AH549" s="79">
        <f>IF(AG549="","",IF(AG549&lt;AsOf,1,IF(AG549&lt;=AsOf+AlertDays,2,IF(AG549&lt;=AsOf+2*AlertDays,3,""))))</f>
        <v/>
      </c>
      <c r="AI549" s="79">
        <f>IF(AH549="","","Follow up with "&amp;AA549&amp;": "&amp;AC549)</f>
        <v/>
      </c>
    </row>
    <row r="550" ht="20" customHeight="1">
      <c r="B550" s="72" t="n"/>
      <c r="C550" s="72" t="n"/>
      <c r="D550" s="72" t="n"/>
      <c r="E550" s="72" t="n"/>
      <c r="F550" s="72" t="n"/>
      <c r="G550" s="72" t="n"/>
      <c r="H550" s="72" t="n"/>
      <c r="I550" s="73" t="n"/>
      <c r="J550" s="75">
        <f>IF(B550="","",SUMIFS('Change Orders'!$J$7:$J$1006,'Change Orders'!$E$7:$E$1006,B550,'Change Orders'!$L$7:$L$1006,"Approved"))</f>
        <v/>
      </c>
      <c r="K550" s="76">
        <f>IF(B550="","",I550+J550)</f>
        <v/>
      </c>
      <c r="L550" s="74" t="n"/>
      <c r="M550" s="109" t="n"/>
      <c r="N550" s="109" t="n"/>
      <c r="O550" s="74" t="n"/>
      <c r="P550" s="74" t="n"/>
      <c r="Q550" s="100" t="n"/>
      <c r="R550" s="110" t="n"/>
      <c r="S550" s="75">
        <f>IF(B550="","",SUMIFS('Payments'!$N$6:$N$1005,'Payments'!$B$6:$B$1005,B550))</f>
        <v/>
      </c>
      <c r="T550" s="111">
        <f>IF(OR(B550="",K550=0),"",S550/K550)</f>
        <v/>
      </c>
      <c r="U550" s="78">
        <f>IF(V550="","",IF(V550=2,"⚠️ Paying ahead of work","✓ OK"))</f>
        <v/>
      </c>
      <c r="V550" s="79">
        <f>IF(T550="","",IF(T550-R550&gt;OverpayTol,2,0))</f>
        <v/>
      </c>
      <c r="W550" s="112">
        <f>IF(V550=2,AsOf,"")</f>
        <v/>
      </c>
      <c r="X550" s="79">
        <f>IF(W550="","",1)</f>
        <v/>
      </c>
      <c r="Y550" s="79">
        <f>IF(X550="","","Paying ahead of work: "&amp;B550&amp;" — paid "&amp;ROUND(T550*100,0)&amp;"%, work done "&amp;ROUND(R550*100,0)&amp;"%")</f>
        <v/>
      </c>
      <c r="AA550" s="72" t="n"/>
      <c r="AB550" s="109" t="n"/>
      <c r="AC550" s="113" t="n"/>
      <c r="AD550" s="74" t="n"/>
      <c r="AE550" s="109" t="n"/>
      <c r="AF550" s="74" t="n"/>
      <c r="AG550" s="112">
        <f>IF(AND(AA550&lt;&gt;"",AD550="Yes",AF550&lt;&gt;"Yes",AE550&lt;&gt;""),AE550,"")</f>
        <v/>
      </c>
      <c r="AH550" s="79">
        <f>IF(AG550="","",IF(AG550&lt;AsOf,1,IF(AG550&lt;=AsOf+AlertDays,2,IF(AG550&lt;=AsOf+2*AlertDays,3,""))))</f>
        <v/>
      </c>
      <c r="AI550" s="79">
        <f>IF(AH550="","","Follow up with "&amp;AA550&amp;": "&amp;AC550)</f>
        <v/>
      </c>
    </row>
    <row r="551" ht="20" customHeight="1">
      <c r="B551" s="72" t="n"/>
      <c r="C551" s="72" t="n"/>
      <c r="D551" s="72" t="n"/>
      <c r="E551" s="72" t="n"/>
      <c r="F551" s="72" t="n"/>
      <c r="G551" s="72" t="n"/>
      <c r="H551" s="72" t="n"/>
      <c r="I551" s="73" t="n"/>
      <c r="J551" s="75">
        <f>IF(B551="","",SUMIFS('Change Orders'!$J$7:$J$1006,'Change Orders'!$E$7:$E$1006,B551,'Change Orders'!$L$7:$L$1006,"Approved"))</f>
        <v/>
      </c>
      <c r="K551" s="76">
        <f>IF(B551="","",I551+J551)</f>
        <v/>
      </c>
      <c r="L551" s="74" t="n"/>
      <c r="M551" s="109" t="n"/>
      <c r="N551" s="109" t="n"/>
      <c r="O551" s="74" t="n"/>
      <c r="P551" s="74" t="n"/>
      <c r="Q551" s="100" t="n"/>
      <c r="R551" s="110" t="n"/>
      <c r="S551" s="75">
        <f>IF(B551="","",SUMIFS('Payments'!$N$6:$N$1005,'Payments'!$B$6:$B$1005,B551))</f>
        <v/>
      </c>
      <c r="T551" s="111">
        <f>IF(OR(B551="",K551=0),"",S551/K551)</f>
        <v/>
      </c>
      <c r="U551" s="78">
        <f>IF(V551="","",IF(V551=2,"⚠️ Paying ahead of work","✓ OK"))</f>
        <v/>
      </c>
      <c r="V551" s="79">
        <f>IF(T551="","",IF(T551-R551&gt;OverpayTol,2,0))</f>
        <v/>
      </c>
      <c r="W551" s="112">
        <f>IF(V551=2,AsOf,"")</f>
        <v/>
      </c>
      <c r="X551" s="79">
        <f>IF(W551="","",1)</f>
        <v/>
      </c>
      <c r="Y551" s="79">
        <f>IF(X551="","","Paying ahead of work: "&amp;B551&amp;" — paid "&amp;ROUND(T551*100,0)&amp;"%, work done "&amp;ROUND(R551*100,0)&amp;"%")</f>
        <v/>
      </c>
      <c r="AA551" s="72" t="n"/>
      <c r="AB551" s="109" t="n"/>
      <c r="AC551" s="113" t="n"/>
      <c r="AD551" s="74" t="n"/>
      <c r="AE551" s="109" t="n"/>
      <c r="AF551" s="74" t="n"/>
      <c r="AG551" s="112">
        <f>IF(AND(AA551&lt;&gt;"",AD551="Yes",AF551&lt;&gt;"Yes",AE551&lt;&gt;""),AE551,"")</f>
        <v/>
      </c>
      <c r="AH551" s="79">
        <f>IF(AG551="","",IF(AG551&lt;AsOf,1,IF(AG551&lt;=AsOf+AlertDays,2,IF(AG551&lt;=AsOf+2*AlertDays,3,""))))</f>
        <v/>
      </c>
      <c r="AI551" s="79">
        <f>IF(AH551="","","Follow up with "&amp;AA551&amp;": "&amp;AC551)</f>
        <v/>
      </c>
    </row>
    <row r="552" ht="20" customHeight="1">
      <c r="B552" s="72" t="n"/>
      <c r="C552" s="72" t="n"/>
      <c r="D552" s="72" t="n"/>
      <c r="E552" s="72" t="n"/>
      <c r="F552" s="72" t="n"/>
      <c r="G552" s="72" t="n"/>
      <c r="H552" s="72" t="n"/>
      <c r="I552" s="73" t="n"/>
      <c r="J552" s="75">
        <f>IF(B552="","",SUMIFS('Change Orders'!$J$7:$J$1006,'Change Orders'!$E$7:$E$1006,B552,'Change Orders'!$L$7:$L$1006,"Approved"))</f>
        <v/>
      </c>
      <c r="K552" s="76">
        <f>IF(B552="","",I552+J552)</f>
        <v/>
      </c>
      <c r="L552" s="74" t="n"/>
      <c r="M552" s="109" t="n"/>
      <c r="N552" s="109" t="n"/>
      <c r="O552" s="74" t="n"/>
      <c r="P552" s="74" t="n"/>
      <c r="Q552" s="100" t="n"/>
      <c r="R552" s="110" t="n"/>
      <c r="S552" s="75">
        <f>IF(B552="","",SUMIFS('Payments'!$N$6:$N$1005,'Payments'!$B$6:$B$1005,B552))</f>
        <v/>
      </c>
      <c r="T552" s="111">
        <f>IF(OR(B552="",K552=0),"",S552/K552)</f>
        <v/>
      </c>
      <c r="U552" s="78">
        <f>IF(V552="","",IF(V552=2,"⚠️ Paying ahead of work","✓ OK"))</f>
        <v/>
      </c>
      <c r="V552" s="79">
        <f>IF(T552="","",IF(T552-R552&gt;OverpayTol,2,0))</f>
        <v/>
      </c>
      <c r="W552" s="112">
        <f>IF(V552=2,AsOf,"")</f>
        <v/>
      </c>
      <c r="X552" s="79">
        <f>IF(W552="","",1)</f>
        <v/>
      </c>
      <c r="Y552" s="79">
        <f>IF(X552="","","Paying ahead of work: "&amp;B552&amp;" — paid "&amp;ROUND(T552*100,0)&amp;"%, work done "&amp;ROUND(R552*100,0)&amp;"%")</f>
        <v/>
      </c>
      <c r="AA552" s="72" t="n"/>
      <c r="AB552" s="109" t="n"/>
      <c r="AC552" s="113" t="n"/>
      <c r="AD552" s="74" t="n"/>
      <c r="AE552" s="109" t="n"/>
      <c r="AF552" s="74" t="n"/>
      <c r="AG552" s="112">
        <f>IF(AND(AA552&lt;&gt;"",AD552="Yes",AF552&lt;&gt;"Yes",AE552&lt;&gt;""),AE552,"")</f>
        <v/>
      </c>
      <c r="AH552" s="79">
        <f>IF(AG552="","",IF(AG552&lt;AsOf,1,IF(AG552&lt;=AsOf+AlertDays,2,IF(AG552&lt;=AsOf+2*AlertDays,3,""))))</f>
        <v/>
      </c>
      <c r="AI552" s="79">
        <f>IF(AH552="","","Follow up with "&amp;AA552&amp;": "&amp;AC552)</f>
        <v/>
      </c>
    </row>
    <row r="553" ht="20" customHeight="1">
      <c r="B553" s="72" t="n"/>
      <c r="C553" s="72" t="n"/>
      <c r="D553" s="72" t="n"/>
      <c r="E553" s="72" t="n"/>
      <c r="F553" s="72" t="n"/>
      <c r="G553" s="72" t="n"/>
      <c r="H553" s="72" t="n"/>
      <c r="I553" s="73" t="n"/>
      <c r="J553" s="75">
        <f>IF(B553="","",SUMIFS('Change Orders'!$J$7:$J$1006,'Change Orders'!$E$7:$E$1006,B553,'Change Orders'!$L$7:$L$1006,"Approved"))</f>
        <v/>
      </c>
      <c r="K553" s="76">
        <f>IF(B553="","",I553+J553)</f>
        <v/>
      </c>
      <c r="L553" s="74" t="n"/>
      <c r="M553" s="109" t="n"/>
      <c r="N553" s="109" t="n"/>
      <c r="O553" s="74" t="n"/>
      <c r="P553" s="74" t="n"/>
      <c r="Q553" s="100" t="n"/>
      <c r="R553" s="110" t="n"/>
      <c r="S553" s="75">
        <f>IF(B553="","",SUMIFS('Payments'!$N$6:$N$1005,'Payments'!$B$6:$B$1005,B553))</f>
        <v/>
      </c>
      <c r="T553" s="111">
        <f>IF(OR(B553="",K553=0),"",S553/K553)</f>
        <v/>
      </c>
      <c r="U553" s="78">
        <f>IF(V553="","",IF(V553=2,"⚠️ Paying ahead of work","✓ OK"))</f>
        <v/>
      </c>
      <c r="V553" s="79">
        <f>IF(T553="","",IF(T553-R553&gt;OverpayTol,2,0))</f>
        <v/>
      </c>
      <c r="W553" s="112">
        <f>IF(V553=2,AsOf,"")</f>
        <v/>
      </c>
      <c r="X553" s="79">
        <f>IF(W553="","",1)</f>
        <v/>
      </c>
      <c r="Y553" s="79">
        <f>IF(X553="","","Paying ahead of work: "&amp;B553&amp;" — paid "&amp;ROUND(T553*100,0)&amp;"%, work done "&amp;ROUND(R553*100,0)&amp;"%")</f>
        <v/>
      </c>
      <c r="AA553" s="72" t="n"/>
      <c r="AB553" s="109" t="n"/>
      <c r="AC553" s="113" t="n"/>
      <c r="AD553" s="74" t="n"/>
      <c r="AE553" s="109" t="n"/>
      <c r="AF553" s="74" t="n"/>
      <c r="AG553" s="112">
        <f>IF(AND(AA553&lt;&gt;"",AD553="Yes",AF553&lt;&gt;"Yes",AE553&lt;&gt;""),AE553,"")</f>
        <v/>
      </c>
      <c r="AH553" s="79">
        <f>IF(AG553="","",IF(AG553&lt;AsOf,1,IF(AG553&lt;=AsOf+AlertDays,2,IF(AG553&lt;=AsOf+2*AlertDays,3,""))))</f>
        <v/>
      </c>
      <c r="AI553" s="79">
        <f>IF(AH553="","","Follow up with "&amp;AA553&amp;": "&amp;AC553)</f>
        <v/>
      </c>
    </row>
    <row r="554" ht="20" customHeight="1">
      <c r="B554" s="72" t="n"/>
      <c r="C554" s="72" t="n"/>
      <c r="D554" s="72" t="n"/>
      <c r="E554" s="72" t="n"/>
      <c r="F554" s="72" t="n"/>
      <c r="G554" s="72" t="n"/>
      <c r="H554" s="72" t="n"/>
      <c r="I554" s="73" t="n"/>
      <c r="J554" s="75">
        <f>IF(B554="","",SUMIFS('Change Orders'!$J$7:$J$1006,'Change Orders'!$E$7:$E$1006,B554,'Change Orders'!$L$7:$L$1006,"Approved"))</f>
        <v/>
      </c>
      <c r="K554" s="76">
        <f>IF(B554="","",I554+J554)</f>
        <v/>
      </c>
      <c r="L554" s="74" t="n"/>
      <c r="M554" s="109" t="n"/>
      <c r="N554" s="109" t="n"/>
      <c r="O554" s="74" t="n"/>
      <c r="P554" s="74" t="n"/>
      <c r="Q554" s="100" t="n"/>
      <c r="R554" s="110" t="n"/>
      <c r="S554" s="75">
        <f>IF(B554="","",SUMIFS('Payments'!$N$6:$N$1005,'Payments'!$B$6:$B$1005,B554))</f>
        <v/>
      </c>
      <c r="T554" s="111">
        <f>IF(OR(B554="",K554=0),"",S554/K554)</f>
        <v/>
      </c>
      <c r="U554" s="78">
        <f>IF(V554="","",IF(V554=2,"⚠️ Paying ahead of work","✓ OK"))</f>
        <v/>
      </c>
      <c r="V554" s="79">
        <f>IF(T554="","",IF(T554-R554&gt;OverpayTol,2,0))</f>
        <v/>
      </c>
      <c r="W554" s="112">
        <f>IF(V554=2,AsOf,"")</f>
        <v/>
      </c>
      <c r="X554" s="79">
        <f>IF(W554="","",1)</f>
        <v/>
      </c>
      <c r="Y554" s="79">
        <f>IF(X554="","","Paying ahead of work: "&amp;B554&amp;" — paid "&amp;ROUND(T554*100,0)&amp;"%, work done "&amp;ROUND(R554*100,0)&amp;"%")</f>
        <v/>
      </c>
      <c r="AA554" s="72" t="n"/>
      <c r="AB554" s="109" t="n"/>
      <c r="AC554" s="113" t="n"/>
      <c r="AD554" s="74" t="n"/>
      <c r="AE554" s="109" t="n"/>
      <c r="AF554" s="74" t="n"/>
      <c r="AG554" s="112">
        <f>IF(AND(AA554&lt;&gt;"",AD554="Yes",AF554&lt;&gt;"Yes",AE554&lt;&gt;""),AE554,"")</f>
        <v/>
      </c>
      <c r="AH554" s="79">
        <f>IF(AG554="","",IF(AG554&lt;AsOf,1,IF(AG554&lt;=AsOf+AlertDays,2,IF(AG554&lt;=AsOf+2*AlertDays,3,""))))</f>
        <v/>
      </c>
      <c r="AI554" s="79">
        <f>IF(AH554="","","Follow up with "&amp;AA554&amp;": "&amp;AC554)</f>
        <v/>
      </c>
    </row>
    <row r="555" ht="20" customHeight="1">
      <c r="B555" s="72" t="n"/>
      <c r="C555" s="72" t="n"/>
      <c r="D555" s="72" t="n"/>
      <c r="E555" s="72" t="n"/>
      <c r="F555" s="72" t="n"/>
      <c r="G555" s="72" t="n"/>
      <c r="H555" s="72" t="n"/>
      <c r="I555" s="73" t="n"/>
      <c r="J555" s="75">
        <f>IF(B555="","",SUMIFS('Change Orders'!$J$7:$J$1006,'Change Orders'!$E$7:$E$1006,B555,'Change Orders'!$L$7:$L$1006,"Approved"))</f>
        <v/>
      </c>
      <c r="K555" s="76">
        <f>IF(B555="","",I555+J555)</f>
        <v/>
      </c>
      <c r="L555" s="74" t="n"/>
      <c r="M555" s="109" t="n"/>
      <c r="N555" s="109" t="n"/>
      <c r="O555" s="74" t="n"/>
      <c r="P555" s="74" t="n"/>
      <c r="Q555" s="100" t="n"/>
      <c r="R555" s="110" t="n"/>
      <c r="S555" s="75">
        <f>IF(B555="","",SUMIFS('Payments'!$N$6:$N$1005,'Payments'!$B$6:$B$1005,B555))</f>
        <v/>
      </c>
      <c r="T555" s="111">
        <f>IF(OR(B555="",K555=0),"",S555/K555)</f>
        <v/>
      </c>
      <c r="U555" s="78">
        <f>IF(V555="","",IF(V555=2,"⚠️ Paying ahead of work","✓ OK"))</f>
        <v/>
      </c>
      <c r="V555" s="79">
        <f>IF(T555="","",IF(T555-R555&gt;OverpayTol,2,0))</f>
        <v/>
      </c>
      <c r="W555" s="112">
        <f>IF(V555=2,AsOf,"")</f>
        <v/>
      </c>
      <c r="X555" s="79">
        <f>IF(W555="","",1)</f>
        <v/>
      </c>
      <c r="Y555" s="79">
        <f>IF(X555="","","Paying ahead of work: "&amp;B555&amp;" — paid "&amp;ROUND(T555*100,0)&amp;"%, work done "&amp;ROUND(R555*100,0)&amp;"%")</f>
        <v/>
      </c>
      <c r="AA555" s="72" t="n"/>
      <c r="AB555" s="109" t="n"/>
      <c r="AC555" s="113" t="n"/>
      <c r="AD555" s="74" t="n"/>
      <c r="AE555" s="109" t="n"/>
      <c r="AF555" s="74" t="n"/>
      <c r="AG555" s="112">
        <f>IF(AND(AA555&lt;&gt;"",AD555="Yes",AF555&lt;&gt;"Yes",AE555&lt;&gt;""),AE555,"")</f>
        <v/>
      </c>
      <c r="AH555" s="79">
        <f>IF(AG555="","",IF(AG555&lt;AsOf,1,IF(AG555&lt;=AsOf+AlertDays,2,IF(AG555&lt;=AsOf+2*AlertDays,3,""))))</f>
        <v/>
      </c>
      <c r="AI555" s="79">
        <f>IF(AH555="","","Follow up with "&amp;AA555&amp;": "&amp;AC555)</f>
        <v/>
      </c>
    </row>
    <row r="556" ht="20" customHeight="1">
      <c r="B556" s="72" t="n"/>
      <c r="C556" s="72" t="n"/>
      <c r="D556" s="72" t="n"/>
      <c r="E556" s="72" t="n"/>
      <c r="F556" s="72" t="n"/>
      <c r="G556" s="72" t="n"/>
      <c r="H556" s="72" t="n"/>
      <c r="I556" s="73" t="n"/>
      <c r="J556" s="75">
        <f>IF(B556="","",SUMIFS('Change Orders'!$J$7:$J$1006,'Change Orders'!$E$7:$E$1006,B556,'Change Orders'!$L$7:$L$1006,"Approved"))</f>
        <v/>
      </c>
      <c r="K556" s="76">
        <f>IF(B556="","",I556+J556)</f>
        <v/>
      </c>
      <c r="L556" s="74" t="n"/>
      <c r="M556" s="109" t="n"/>
      <c r="N556" s="109" t="n"/>
      <c r="O556" s="74" t="n"/>
      <c r="P556" s="74" t="n"/>
      <c r="Q556" s="100" t="n"/>
      <c r="R556" s="110" t="n"/>
      <c r="S556" s="75">
        <f>IF(B556="","",SUMIFS('Payments'!$N$6:$N$1005,'Payments'!$B$6:$B$1005,B556))</f>
        <v/>
      </c>
      <c r="T556" s="111">
        <f>IF(OR(B556="",K556=0),"",S556/K556)</f>
        <v/>
      </c>
      <c r="U556" s="78">
        <f>IF(V556="","",IF(V556=2,"⚠️ Paying ahead of work","✓ OK"))</f>
        <v/>
      </c>
      <c r="V556" s="79">
        <f>IF(T556="","",IF(T556-R556&gt;OverpayTol,2,0))</f>
        <v/>
      </c>
      <c r="W556" s="112">
        <f>IF(V556=2,AsOf,"")</f>
        <v/>
      </c>
      <c r="X556" s="79">
        <f>IF(W556="","",1)</f>
        <v/>
      </c>
      <c r="Y556" s="79">
        <f>IF(X556="","","Paying ahead of work: "&amp;B556&amp;" — paid "&amp;ROUND(T556*100,0)&amp;"%, work done "&amp;ROUND(R556*100,0)&amp;"%")</f>
        <v/>
      </c>
      <c r="AA556" s="72" t="n"/>
      <c r="AB556" s="109" t="n"/>
      <c r="AC556" s="113" t="n"/>
      <c r="AD556" s="74" t="n"/>
      <c r="AE556" s="109" t="n"/>
      <c r="AF556" s="74" t="n"/>
      <c r="AG556" s="112">
        <f>IF(AND(AA556&lt;&gt;"",AD556="Yes",AF556&lt;&gt;"Yes",AE556&lt;&gt;""),AE556,"")</f>
        <v/>
      </c>
      <c r="AH556" s="79">
        <f>IF(AG556="","",IF(AG556&lt;AsOf,1,IF(AG556&lt;=AsOf+AlertDays,2,IF(AG556&lt;=AsOf+2*AlertDays,3,""))))</f>
        <v/>
      </c>
      <c r="AI556" s="79">
        <f>IF(AH556="","","Follow up with "&amp;AA556&amp;": "&amp;AC556)</f>
        <v/>
      </c>
    </row>
    <row r="557" ht="20" customHeight="1">
      <c r="B557" s="72" t="n"/>
      <c r="C557" s="72" t="n"/>
      <c r="D557" s="72" t="n"/>
      <c r="E557" s="72" t="n"/>
      <c r="F557" s="72" t="n"/>
      <c r="G557" s="72" t="n"/>
      <c r="H557" s="72" t="n"/>
      <c r="I557" s="73" t="n"/>
      <c r="J557" s="75">
        <f>IF(B557="","",SUMIFS('Change Orders'!$J$7:$J$1006,'Change Orders'!$E$7:$E$1006,B557,'Change Orders'!$L$7:$L$1006,"Approved"))</f>
        <v/>
      </c>
      <c r="K557" s="76">
        <f>IF(B557="","",I557+J557)</f>
        <v/>
      </c>
      <c r="L557" s="74" t="n"/>
      <c r="M557" s="109" t="n"/>
      <c r="N557" s="109" t="n"/>
      <c r="O557" s="74" t="n"/>
      <c r="P557" s="74" t="n"/>
      <c r="Q557" s="100" t="n"/>
      <c r="R557" s="110" t="n"/>
      <c r="S557" s="75">
        <f>IF(B557="","",SUMIFS('Payments'!$N$6:$N$1005,'Payments'!$B$6:$B$1005,B557))</f>
        <v/>
      </c>
      <c r="T557" s="111">
        <f>IF(OR(B557="",K557=0),"",S557/K557)</f>
        <v/>
      </c>
      <c r="U557" s="78">
        <f>IF(V557="","",IF(V557=2,"⚠️ Paying ahead of work","✓ OK"))</f>
        <v/>
      </c>
      <c r="V557" s="79">
        <f>IF(T557="","",IF(T557-R557&gt;OverpayTol,2,0))</f>
        <v/>
      </c>
      <c r="W557" s="112">
        <f>IF(V557=2,AsOf,"")</f>
        <v/>
      </c>
      <c r="X557" s="79">
        <f>IF(W557="","",1)</f>
        <v/>
      </c>
      <c r="Y557" s="79">
        <f>IF(X557="","","Paying ahead of work: "&amp;B557&amp;" — paid "&amp;ROUND(T557*100,0)&amp;"%, work done "&amp;ROUND(R557*100,0)&amp;"%")</f>
        <v/>
      </c>
      <c r="AA557" s="72" t="n"/>
      <c r="AB557" s="109" t="n"/>
      <c r="AC557" s="113" t="n"/>
      <c r="AD557" s="74" t="n"/>
      <c r="AE557" s="109" t="n"/>
      <c r="AF557" s="74" t="n"/>
      <c r="AG557" s="112">
        <f>IF(AND(AA557&lt;&gt;"",AD557="Yes",AF557&lt;&gt;"Yes",AE557&lt;&gt;""),AE557,"")</f>
        <v/>
      </c>
      <c r="AH557" s="79">
        <f>IF(AG557="","",IF(AG557&lt;AsOf,1,IF(AG557&lt;=AsOf+AlertDays,2,IF(AG557&lt;=AsOf+2*AlertDays,3,""))))</f>
        <v/>
      </c>
      <c r="AI557" s="79">
        <f>IF(AH557="","","Follow up with "&amp;AA557&amp;": "&amp;AC557)</f>
        <v/>
      </c>
    </row>
    <row r="558" ht="20" customHeight="1">
      <c r="B558" s="72" t="n"/>
      <c r="C558" s="72" t="n"/>
      <c r="D558" s="72" t="n"/>
      <c r="E558" s="72" t="n"/>
      <c r="F558" s="72" t="n"/>
      <c r="G558" s="72" t="n"/>
      <c r="H558" s="72" t="n"/>
      <c r="I558" s="73" t="n"/>
      <c r="J558" s="75">
        <f>IF(B558="","",SUMIFS('Change Orders'!$J$7:$J$1006,'Change Orders'!$E$7:$E$1006,B558,'Change Orders'!$L$7:$L$1006,"Approved"))</f>
        <v/>
      </c>
      <c r="K558" s="76">
        <f>IF(B558="","",I558+J558)</f>
        <v/>
      </c>
      <c r="L558" s="74" t="n"/>
      <c r="M558" s="109" t="n"/>
      <c r="N558" s="109" t="n"/>
      <c r="O558" s="74" t="n"/>
      <c r="P558" s="74" t="n"/>
      <c r="Q558" s="100" t="n"/>
      <c r="R558" s="110" t="n"/>
      <c r="S558" s="75">
        <f>IF(B558="","",SUMIFS('Payments'!$N$6:$N$1005,'Payments'!$B$6:$B$1005,B558))</f>
        <v/>
      </c>
      <c r="T558" s="111">
        <f>IF(OR(B558="",K558=0),"",S558/K558)</f>
        <v/>
      </c>
      <c r="U558" s="78">
        <f>IF(V558="","",IF(V558=2,"⚠️ Paying ahead of work","✓ OK"))</f>
        <v/>
      </c>
      <c r="V558" s="79">
        <f>IF(T558="","",IF(T558-R558&gt;OverpayTol,2,0))</f>
        <v/>
      </c>
      <c r="W558" s="112">
        <f>IF(V558=2,AsOf,"")</f>
        <v/>
      </c>
      <c r="X558" s="79">
        <f>IF(W558="","",1)</f>
        <v/>
      </c>
      <c r="Y558" s="79">
        <f>IF(X558="","","Paying ahead of work: "&amp;B558&amp;" — paid "&amp;ROUND(T558*100,0)&amp;"%, work done "&amp;ROUND(R558*100,0)&amp;"%")</f>
        <v/>
      </c>
      <c r="AA558" s="72" t="n"/>
      <c r="AB558" s="109" t="n"/>
      <c r="AC558" s="113" t="n"/>
      <c r="AD558" s="74" t="n"/>
      <c r="AE558" s="109" t="n"/>
      <c r="AF558" s="74" t="n"/>
      <c r="AG558" s="112">
        <f>IF(AND(AA558&lt;&gt;"",AD558="Yes",AF558&lt;&gt;"Yes",AE558&lt;&gt;""),AE558,"")</f>
        <v/>
      </c>
      <c r="AH558" s="79">
        <f>IF(AG558="","",IF(AG558&lt;AsOf,1,IF(AG558&lt;=AsOf+AlertDays,2,IF(AG558&lt;=AsOf+2*AlertDays,3,""))))</f>
        <v/>
      </c>
      <c r="AI558" s="79">
        <f>IF(AH558="","","Follow up with "&amp;AA558&amp;": "&amp;AC558)</f>
        <v/>
      </c>
    </row>
    <row r="559" ht="20" customHeight="1">
      <c r="B559" s="72" t="n"/>
      <c r="C559" s="72" t="n"/>
      <c r="D559" s="72" t="n"/>
      <c r="E559" s="72" t="n"/>
      <c r="F559" s="72" t="n"/>
      <c r="G559" s="72" t="n"/>
      <c r="H559" s="72" t="n"/>
      <c r="I559" s="73" t="n"/>
      <c r="J559" s="75">
        <f>IF(B559="","",SUMIFS('Change Orders'!$J$7:$J$1006,'Change Orders'!$E$7:$E$1006,B559,'Change Orders'!$L$7:$L$1006,"Approved"))</f>
        <v/>
      </c>
      <c r="K559" s="76">
        <f>IF(B559="","",I559+J559)</f>
        <v/>
      </c>
      <c r="L559" s="74" t="n"/>
      <c r="M559" s="109" t="n"/>
      <c r="N559" s="109" t="n"/>
      <c r="O559" s="74" t="n"/>
      <c r="P559" s="74" t="n"/>
      <c r="Q559" s="100" t="n"/>
      <c r="R559" s="110" t="n"/>
      <c r="S559" s="75">
        <f>IF(B559="","",SUMIFS('Payments'!$N$6:$N$1005,'Payments'!$B$6:$B$1005,B559))</f>
        <v/>
      </c>
      <c r="T559" s="111">
        <f>IF(OR(B559="",K559=0),"",S559/K559)</f>
        <v/>
      </c>
      <c r="U559" s="78">
        <f>IF(V559="","",IF(V559=2,"⚠️ Paying ahead of work","✓ OK"))</f>
        <v/>
      </c>
      <c r="V559" s="79">
        <f>IF(T559="","",IF(T559-R559&gt;OverpayTol,2,0))</f>
        <v/>
      </c>
      <c r="W559" s="112">
        <f>IF(V559=2,AsOf,"")</f>
        <v/>
      </c>
      <c r="X559" s="79">
        <f>IF(W559="","",1)</f>
        <v/>
      </c>
      <c r="Y559" s="79">
        <f>IF(X559="","","Paying ahead of work: "&amp;B559&amp;" — paid "&amp;ROUND(T559*100,0)&amp;"%, work done "&amp;ROUND(R559*100,0)&amp;"%")</f>
        <v/>
      </c>
      <c r="AA559" s="72" t="n"/>
      <c r="AB559" s="109" t="n"/>
      <c r="AC559" s="113" t="n"/>
      <c r="AD559" s="74" t="n"/>
      <c r="AE559" s="109" t="n"/>
      <c r="AF559" s="74" t="n"/>
      <c r="AG559" s="112">
        <f>IF(AND(AA559&lt;&gt;"",AD559="Yes",AF559&lt;&gt;"Yes",AE559&lt;&gt;""),AE559,"")</f>
        <v/>
      </c>
      <c r="AH559" s="79">
        <f>IF(AG559="","",IF(AG559&lt;AsOf,1,IF(AG559&lt;=AsOf+AlertDays,2,IF(AG559&lt;=AsOf+2*AlertDays,3,""))))</f>
        <v/>
      </c>
      <c r="AI559" s="79">
        <f>IF(AH559="","","Follow up with "&amp;AA559&amp;": "&amp;AC559)</f>
        <v/>
      </c>
    </row>
    <row r="560" ht="20" customHeight="1">
      <c r="B560" s="72" t="n"/>
      <c r="C560" s="72" t="n"/>
      <c r="D560" s="72" t="n"/>
      <c r="E560" s="72" t="n"/>
      <c r="F560" s="72" t="n"/>
      <c r="G560" s="72" t="n"/>
      <c r="H560" s="72" t="n"/>
      <c r="I560" s="73" t="n"/>
      <c r="J560" s="75">
        <f>IF(B560="","",SUMIFS('Change Orders'!$J$7:$J$1006,'Change Orders'!$E$7:$E$1006,B560,'Change Orders'!$L$7:$L$1006,"Approved"))</f>
        <v/>
      </c>
      <c r="K560" s="76">
        <f>IF(B560="","",I560+J560)</f>
        <v/>
      </c>
      <c r="L560" s="74" t="n"/>
      <c r="M560" s="109" t="n"/>
      <c r="N560" s="109" t="n"/>
      <c r="O560" s="74" t="n"/>
      <c r="P560" s="74" t="n"/>
      <c r="Q560" s="100" t="n"/>
      <c r="R560" s="110" t="n"/>
      <c r="S560" s="75">
        <f>IF(B560="","",SUMIFS('Payments'!$N$6:$N$1005,'Payments'!$B$6:$B$1005,B560))</f>
        <v/>
      </c>
      <c r="T560" s="111">
        <f>IF(OR(B560="",K560=0),"",S560/K560)</f>
        <v/>
      </c>
      <c r="U560" s="78">
        <f>IF(V560="","",IF(V560=2,"⚠️ Paying ahead of work","✓ OK"))</f>
        <v/>
      </c>
      <c r="V560" s="79">
        <f>IF(T560="","",IF(T560-R560&gt;OverpayTol,2,0))</f>
        <v/>
      </c>
      <c r="W560" s="112">
        <f>IF(V560=2,AsOf,"")</f>
        <v/>
      </c>
      <c r="X560" s="79">
        <f>IF(W560="","",1)</f>
        <v/>
      </c>
      <c r="Y560" s="79">
        <f>IF(X560="","","Paying ahead of work: "&amp;B560&amp;" — paid "&amp;ROUND(T560*100,0)&amp;"%, work done "&amp;ROUND(R560*100,0)&amp;"%")</f>
        <v/>
      </c>
      <c r="AA560" s="72" t="n"/>
      <c r="AB560" s="109" t="n"/>
      <c r="AC560" s="113" t="n"/>
      <c r="AD560" s="74" t="n"/>
      <c r="AE560" s="109" t="n"/>
      <c r="AF560" s="74" t="n"/>
      <c r="AG560" s="112">
        <f>IF(AND(AA560&lt;&gt;"",AD560="Yes",AF560&lt;&gt;"Yes",AE560&lt;&gt;""),AE560,"")</f>
        <v/>
      </c>
      <c r="AH560" s="79">
        <f>IF(AG560="","",IF(AG560&lt;AsOf,1,IF(AG560&lt;=AsOf+AlertDays,2,IF(AG560&lt;=AsOf+2*AlertDays,3,""))))</f>
        <v/>
      </c>
      <c r="AI560" s="79">
        <f>IF(AH560="","","Follow up with "&amp;AA560&amp;": "&amp;AC560)</f>
        <v/>
      </c>
    </row>
    <row r="561" ht="20" customHeight="1">
      <c r="B561" s="72" t="n"/>
      <c r="C561" s="72" t="n"/>
      <c r="D561" s="72" t="n"/>
      <c r="E561" s="72" t="n"/>
      <c r="F561" s="72" t="n"/>
      <c r="G561" s="72" t="n"/>
      <c r="H561" s="72" t="n"/>
      <c r="I561" s="73" t="n"/>
      <c r="J561" s="75">
        <f>IF(B561="","",SUMIFS('Change Orders'!$J$7:$J$1006,'Change Orders'!$E$7:$E$1006,B561,'Change Orders'!$L$7:$L$1006,"Approved"))</f>
        <v/>
      </c>
      <c r="K561" s="76">
        <f>IF(B561="","",I561+J561)</f>
        <v/>
      </c>
      <c r="L561" s="74" t="n"/>
      <c r="M561" s="109" t="n"/>
      <c r="N561" s="109" t="n"/>
      <c r="O561" s="74" t="n"/>
      <c r="P561" s="74" t="n"/>
      <c r="Q561" s="100" t="n"/>
      <c r="R561" s="110" t="n"/>
      <c r="S561" s="75">
        <f>IF(B561="","",SUMIFS('Payments'!$N$6:$N$1005,'Payments'!$B$6:$B$1005,B561))</f>
        <v/>
      </c>
      <c r="T561" s="111">
        <f>IF(OR(B561="",K561=0),"",S561/K561)</f>
        <v/>
      </c>
      <c r="U561" s="78">
        <f>IF(V561="","",IF(V561=2,"⚠️ Paying ahead of work","✓ OK"))</f>
        <v/>
      </c>
      <c r="V561" s="79">
        <f>IF(T561="","",IF(T561-R561&gt;OverpayTol,2,0))</f>
        <v/>
      </c>
      <c r="W561" s="112">
        <f>IF(V561=2,AsOf,"")</f>
        <v/>
      </c>
      <c r="X561" s="79">
        <f>IF(W561="","",1)</f>
        <v/>
      </c>
      <c r="Y561" s="79">
        <f>IF(X561="","","Paying ahead of work: "&amp;B561&amp;" — paid "&amp;ROUND(T561*100,0)&amp;"%, work done "&amp;ROUND(R561*100,0)&amp;"%")</f>
        <v/>
      </c>
      <c r="AA561" s="72" t="n"/>
      <c r="AB561" s="109" t="n"/>
      <c r="AC561" s="113" t="n"/>
      <c r="AD561" s="74" t="n"/>
      <c r="AE561" s="109" t="n"/>
      <c r="AF561" s="74" t="n"/>
      <c r="AG561" s="112">
        <f>IF(AND(AA561&lt;&gt;"",AD561="Yes",AF561&lt;&gt;"Yes",AE561&lt;&gt;""),AE561,"")</f>
        <v/>
      </c>
      <c r="AH561" s="79">
        <f>IF(AG561="","",IF(AG561&lt;AsOf,1,IF(AG561&lt;=AsOf+AlertDays,2,IF(AG561&lt;=AsOf+2*AlertDays,3,""))))</f>
        <v/>
      </c>
      <c r="AI561" s="79">
        <f>IF(AH561="","","Follow up with "&amp;AA561&amp;": "&amp;AC561)</f>
        <v/>
      </c>
    </row>
    <row r="562" ht="20" customHeight="1">
      <c r="B562" s="72" t="n"/>
      <c r="C562" s="72" t="n"/>
      <c r="D562" s="72" t="n"/>
      <c r="E562" s="72" t="n"/>
      <c r="F562" s="72" t="n"/>
      <c r="G562" s="72" t="n"/>
      <c r="H562" s="72" t="n"/>
      <c r="I562" s="73" t="n"/>
      <c r="J562" s="75">
        <f>IF(B562="","",SUMIFS('Change Orders'!$J$7:$J$1006,'Change Orders'!$E$7:$E$1006,B562,'Change Orders'!$L$7:$L$1006,"Approved"))</f>
        <v/>
      </c>
      <c r="K562" s="76">
        <f>IF(B562="","",I562+J562)</f>
        <v/>
      </c>
      <c r="L562" s="74" t="n"/>
      <c r="M562" s="109" t="n"/>
      <c r="N562" s="109" t="n"/>
      <c r="O562" s="74" t="n"/>
      <c r="P562" s="74" t="n"/>
      <c r="Q562" s="100" t="n"/>
      <c r="R562" s="110" t="n"/>
      <c r="S562" s="75">
        <f>IF(B562="","",SUMIFS('Payments'!$N$6:$N$1005,'Payments'!$B$6:$B$1005,B562))</f>
        <v/>
      </c>
      <c r="T562" s="111">
        <f>IF(OR(B562="",K562=0),"",S562/K562)</f>
        <v/>
      </c>
      <c r="U562" s="78">
        <f>IF(V562="","",IF(V562=2,"⚠️ Paying ahead of work","✓ OK"))</f>
        <v/>
      </c>
      <c r="V562" s="79">
        <f>IF(T562="","",IF(T562-R562&gt;OverpayTol,2,0))</f>
        <v/>
      </c>
      <c r="W562" s="112">
        <f>IF(V562=2,AsOf,"")</f>
        <v/>
      </c>
      <c r="X562" s="79">
        <f>IF(W562="","",1)</f>
        <v/>
      </c>
      <c r="Y562" s="79">
        <f>IF(X562="","","Paying ahead of work: "&amp;B562&amp;" — paid "&amp;ROUND(T562*100,0)&amp;"%, work done "&amp;ROUND(R562*100,0)&amp;"%")</f>
        <v/>
      </c>
      <c r="AA562" s="72" t="n"/>
      <c r="AB562" s="109" t="n"/>
      <c r="AC562" s="113" t="n"/>
      <c r="AD562" s="74" t="n"/>
      <c r="AE562" s="109" t="n"/>
      <c r="AF562" s="74" t="n"/>
      <c r="AG562" s="112">
        <f>IF(AND(AA562&lt;&gt;"",AD562="Yes",AF562&lt;&gt;"Yes",AE562&lt;&gt;""),AE562,"")</f>
        <v/>
      </c>
      <c r="AH562" s="79">
        <f>IF(AG562="","",IF(AG562&lt;AsOf,1,IF(AG562&lt;=AsOf+AlertDays,2,IF(AG562&lt;=AsOf+2*AlertDays,3,""))))</f>
        <v/>
      </c>
      <c r="AI562" s="79">
        <f>IF(AH562="","","Follow up with "&amp;AA562&amp;": "&amp;AC562)</f>
        <v/>
      </c>
    </row>
    <row r="563" ht="20" customHeight="1">
      <c r="B563" s="72" t="n"/>
      <c r="C563" s="72" t="n"/>
      <c r="D563" s="72" t="n"/>
      <c r="E563" s="72" t="n"/>
      <c r="F563" s="72" t="n"/>
      <c r="G563" s="72" t="n"/>
      <c r="H563" s="72" t="n"/>
      <c r="I563" s="73" t="n"/>
      <c r="J563" s="75">
        <f>IF(B563="","",SUMIFS('Change Orders'!$J$7:$J$1006,'Change Orders'!$E$7:$E$1006,B563,'Change Orders'!$L$7:$L$1006,"Approved"))</f>
        <v/>
      </c>
      <c r="K563" s="76">
        <f>IF(B563="","",I563+J563)</f>
        <v/>
      </c>
      <c r="L563" s="74" t="n"/>
      <c r="M563" s="109" t="n"/>
      <c r="N563" s="109" t="n"/>
      <c r="O563" s="74" t="n"/>
      <c r="P563" s="74" t="n"/>
      <c r="Q563" s="100" t="n"/>
      <c r="R563" s="110" t="n"/>
      <c r="S563" s="75">
        <f>IF(B563="","",SUMIFS('Payments'!$N$6:$N$1005,'Payments'!$B$6:$B$1005,B563))</f>
        <v/>
      </c>
      <c r="T563" s="111">
        <f>IF(OR(B563="",K563=0),"",S563/K563)</f>
        <v/>
      </c>
      <c r="U563" s="78">
        <f>IF(V563="","",IF(V563=2,"⚠️ Paying ahead of work","✓ OK"))</f>
        <v/>
      </c>
      <c r="V563" s="79">
        <f>IF(T563="","",IF(T563-R563&gt;OverpayTol,2,0))</f>
        <v/>
      </c>
      <c r="W563" s="112">
        <f>IF(V563=2,AsOf,"")</f>
        <v/>
      </c>
      <c r="X563" s="79">
        <f>IF(W563="","",1)</f>
        <v/>
      </c>
      <c r="Y563" s="79">
        <f>IF(X563="","","Paying ahead of work: "&amp;B563&amp;" — paid "&amp;ROUND(T563*100,0)&amp;"%, work done "&amp;ROUND(R563*100,0)&amp;"%")</f>
        <v/>
      </c>
      <c r="AA563" s="72" t="n"/>
      <c r="AB563" s="109" t="n"/>
      <c r="AC563" s="113" t="n"/>
      <c r="AD563" s="74" t="n"/>
      <c r="AE563" s="109" t="n"/>
      <c r="AF563" s="74" t="n"/>
      <c r="AG563" s="112">
        <f>IF(AND(AA563&lt;&gt;"",AD563="Yes",AF563&lt;&gt;"Yes",AE563&lt;&gt;""),AE563,"")</f>
        <v/>
      </c>
      <c r="AH563" s="79">
        <f>IF(AG563="","",IF(AG563&lt;AsOf,1,IF(AG563&lt;=AsOf+AlertDays,2,IF(AG563&lt;=AsOf+2*AlertDays,3,""))))</f>
        <v/>
      </c>
      <c r="AI563" s="79">
        <f>IF(AH563="","","Follow up with "&amp;AA563&amp;": "&amp;AC563)</f>
        <v/>
      </c>
    </row>
    <row r="564" ht="20" customHeight="1">
      <c r="B564" s="72" t="n"/>
      <c r="C564" s="72" t="n"/>
      <c r="D564" s="72" t="n"/>
      <c r="E564" s="72" t="n"/>
      <c r="F564" s="72" t="n"/>
      <c r="G564" s="72" t="n"/>
      <c r="H564" s="72" t="n"/>
      <c r="I564" s="73" t="n"/>
      <c r="J564" s="75">
        <f>IF(B564="","",SUMIFS('Change Orders'!$J$7:$J$1006,'Change Orders'!$E$7:$E$1006,B564,'Change Orders'!$L$7:$L$1006,"Approved"))</f>
        <v/>
      </c>
      <c r="K564" s="76">
        <f>IF(B564="","",I564+J564)</f>
        <v/>
      </c>
      <c r="L564" s="74" t="n"/>
      <c r="M564" s="109" t="n"/>
      <c r="N564" s="109" t="n"/>
      <c r="O564" s="74" t="n"/>
      <c r="P564" s="74" t="n"/>
      <c r="Q564" s="100" t="n"/>
      <c r="R564" s="110" t="n"/>
      <c r="S564" s="75">
        <f>IF(B564="","",SUMIFS('Payments'!$N$6:$N$1005,'Payments'!$B$6:$B$1005,B564))</f>
        <v/>
      </c>
      <c r="T564" s="111">
        <f>IF(OR(B564="",K564=0),"",S564/K564)</f>
        <v/>
      </c>
      <c r="U564" s="78">
        <f>IF(V564="","",IF(V564=2,"⚠️ Paying ahead of work","✓ OK"))</f>
        <v/>
      </c>
      <c r="V564" s="79">
        <f>IF(T564="","",IF(T564-R564&gt;OverpayTol,2,0))</f>
        <v/>
      </c>
      <c r="W564" s="112">
        <f>IF(V564=2,AsOf,"")</f>
        <v/>
      </c>
      <c r="X564" s="79">
        <f>IF(W564="","",1)</f>
        <v/>
      </c>
      <c r="Y564" s="79">
        <f>IF(X564="","","Paying ahead of work: "&amp;B564&amp;" — paid "&amp;ROUND(T564*100,0)&amp;"%, work done "&amp;ROUND(R564*100,0)&amp;"%")</f>
        <v/>
      </c>
      <c r="AA564" s="72" t="n"/>
      <c r="AB564" s="109" t="n"/>
      <c r="AC564" s="113" t="n"/>
      <c r="AD564" s="74" t="n"/>
      <c r="AE564" s="109" t="n"/>
      <c r="AF564" s="74" t="n"/>
      <c r="AG564" s="112">
        <f>IF(AND(AA564&lt;&gt;"",AD564="Yes",AF564&lt;&gt;"Yes",AE564&lt;&gt;""),AE564,"")</f>
        <v/>
      </c>
      <c r="AH564" s="79">
        <f>IF(AG564="","",IF(AG564&lt;AsOf,1,IF(AG564&lt;=AsOf+AlertDays,2,IF(AG564&lt;=AsOf+2*AlertDays,3,""))))</f>
        <v/>
      </c>
      <c r="AI564" s="79">
        <f>IF(AH564="","","Follow up with "&amp;AA564&amp;": "&amp;AC564)</f>
        <v/>
      </c>
    </row>
    <row r="565" ht="20" customHeight="1">
      <c r="B565" s="72" t="n"/>
      <c r="C565" s="72" t="n"/>
      <c r="D565" s="72" t="n"/>
      <c r="E565" s="72" t="n"/>
      <c r="F565" s="72" t="n"/>
      <c r="G565" s="72" t="n"/>
      <c r="H565" s="72" t="n"/>
      <c r="I565" s="73" t="n"/>
      <c r="J565" s="75">
        <f>IF(B565="","",SUMIFS('Change Orders'!$J$7:$J$1006,'Change Orders'!$E$7:$E$1006,B565,'Change Orders'!$L$7:$L$1006,"Approved"))</f>
        <v/>
      </c>
      <c r="K565" s="76">
        <f>IF(B565="","",I565+J565)</f>
        <v/>
      </c>
      <c r="L565" s="74" t="n"/>
      <c r="M565" s="109" t="n"/>
      <c r="N565" s="109" t="n"/>
      <c r="O565" s="74" t="n"/>
      <c r="P565" s="74" t="n"/>
      <c r="Q565" s="100" t="n"/>
      <c r="R565" s="110" t="n"/>
      <c r="S565" s="75">
        <f>IF(B565="","",SUMIFS('Payments'!$N$6:$N$1005,'Payments'!$B$6:$B$1005,B565))</f>
        <v/>
      </c>
      <c r="T565" s="111">
        <f>IF(OR(B565="",K565=0),"",S565/K565)</f>
        <v/>
      </c>
      <c r="U565" s="78">
        <f>IF(V565="","",IF(V565=2,"⚠️ Paying ahead of work","✓ OK"))</f>
        <v/>
      </c>
      <c r="V565" s="79">
        <f>IF(T565="","",IF(T565-R565&gt;OverpayTol,2,0))</f>
        <v/>
      </c>
      <c r="W565" s="112">
        <f>IF(V565=2,AsOf,"")</f>
        <v/>
      </c>
      <c r="X565" s="79">
        <f>IF(W565="","",1)</f>
        <v/>
      </c>
      <c r="Y565" s="79">
        <f>IF(X565="","","Paying ahead of work: "&amp;B565&amp;" — paid "&amp;ROUND(T565*100,0)&amp;"%, work done "&amp;ROUND(R565*100,0)&amp;"%")</f>
        <v/>
      </c>
      <c r="AA565" s="72" t="n"/>
      <c r="AB565" s="109" t="n"/>
      <c r="AC565" s="113" t="n"/>
      <c r="AD565" s="74" t="n"/>
      <c r="AE565" s="109" t="n"/>
      <c r="AF565" s="74" t="n"/>
      <c r="AG565" s="112">
        <f>IF(AND(AA565&lt;&gt;"",AD565="Yes",AF565&lt;&gt;"Yes",AE565&lt;&gt;""),AE565,"")</f>
        <v/>
      </c>
      <c r="AH565" s="79">
        <f>IF(AG565="","",IF(AG565&lt;AsOf,1,IF(AG565&lt;=AsOf+AlertDays,2,IF(AG565&lt;=AsOf+2*AlertDays,3,""))))</f>
        <v/>
      </c>
      <c r="AI565" s="79">
        <f>IF(AH565="","","Follow up with "&amp;AA565&amp;": "&amp;AC565)</f>
        <v/>
      </c>
    </row>
    <row r="566" ht="20" customHeight="1">
      <c r="B566" s="72" t="n"/>
      <c r="C566" s="72" t="n"/>
      <c r="D566" s="72" t="n"/>
      <c r="E566" s="72" t="n"/>
      <c r="F566" s="72" t="n"/>
      <c r="G566" s="72" t="n"/>
      <c r="H566" s="72" t="n"/>
      <c r="I566" s="73" t="n"/>
      <c r="J566" s="75">
        <f>IF(B566="","",SUMIFS('Change Orders'!$J$7:$J$1006,'Change Orders'!$E$7:$E$1006,B566,'Change Orders'!$L$7:$L$1006,"Approved"))</f>
        <v/>
      </c>
      <c r="K566" s="76">
        <f>IF(B566="","",I566+J566)</f>
        <v/>
      </c>
      <c r="L566" s="74" t="n"/>
      <c r="M566" s="109" t="n"/>
      <c r="N566" s="109" t="n"/>
      <c r="O566" s="74" t="n"/>
      <c r="P566" s="74" t="n"/>
      <c r="Q566" s="100" t="n"/>
      <c r="R566" s="110" t="n"/>
      <c r="S566" s="75">
        <f>IF(B566="","",SUMIFS('Payments'!$N$6:$N$1005,'Payments'!$B$6:$B$1005,B566))</f>
        <v/>
      </c>
      <c r="T566" s="111">
        <f>IF(OR(B566="",K566=0),"",S566/K566)</f>
        <v/>
      </c>
      <c r="U566" s="78">
        <f>IF(V566="","",IF(V566=2,"⚠️ Paying ahead of work","✓ OK"))</f>
        <v/>
      </c>
      <c r="V566" s="79">
        <f>IF(T566="","",IF(T566-R566&gt;OverpayTol,2,0))</f>
        <v/>
      </c>
      <c r="W566" s="112">
        <f>IF(V566=2,AsOf,"")</f>
        <v/>
      </c>
      <c r="X566" s="79">
        <f>IF(W566="","",1)</f>
        <v/>
      </c>
      <c r="Y566" s="79">
        <f>IF(X566="","","Paying ahead of work: "&amp;B566&amp;" — paid "&amp;ROUND(T566*100,0)&amp;"%, work done "&amp;ROUND(R566*100,0)&amp;"%")</f>
        <v/>
      </c>
      <c r="AA566" s="72" t="n"/>
      <c r="AB566" s="109" t="n"/>
      <c r="AC566" s="113" t="n"/>
      <c r="AD566" s="74" t="n"/>
      <c r="AE566" s="109" t="n"/>
      <c r="AF566" s="74" t="n"/>
      <c r="AG566" s="112">
        <f>IF(AND(AA566&lt;&gt;"",AD566="Yes",AF566&lt;&gt;"Yes",AE566&lt;&gt;""),AE566,"")</f>
        <v/>
      </c>
      <c r="AH566" s="79">
        <f>IF(AG566="","",IF(AG566&lt;AsOf,1,IF(AG566&lt;=AsOf+AlertDays,2,IF(AG566&lt;=AsOf+2*AlertDays,3,""))))</f>
        <v/>
      </c>
      <c r="AI566" s="79">
        <f>IF(AH566="","","Follow up with "&amp;AA566&amp;": "&amp;AC566)</f>
        <v/>
      </c>
    </row>
    <row r="567" ht="20" customHeight="1">
      <c r="B567" s="72" t="n"/>
      <c r="C567" s="72" t="n"/>
      <c r="D567" s="72" t="n"/>
      <c r="E567" s="72" t="n"/>
      <c r="F567" s="72" t="n"/>
      <c r="G567" s="72" t="n"/>
      <c r="H567" s="72" t="n"/>
      <c r="I567" s="73" t="n"/>
      <c r="J567" s="75">
        <f>IF(B567="","",SUMIFS('Change Orders'!$J$7:$J$1006,'Change Orders'!$E$7:$E$1006,B567,'Change Orders'!$L$7:$L$1006,"Approved"))</f>
        <v/>
      </c>
      <c r="K567" s="76">
        <f>IF(B567="","",I567+J567)</f>
        <v/>
      </c>
      <c r="L567" s="74" t="n"/>
      <c r="M567" s="109" t="n"/>
      <c r="N567" s="109" t="n"/>
      <c r="O567" s="74" t="n"/>
      <c r="P567" s="74" t="n"/>
      <c r="Q567" s="100" t="n"/>
      <c r="R567" s="110" t="n"/>
      <c r="S567" s="75">
        <f>IF(B567="","",SUMIFS('Payments'!$N$6:$N$1005,'Payments'!$B$6:$B$1005,B567))</f>
        <v/>
      </c>
      <c r="T567" s="111">
        <f>IF(OR(B567="",K567=0),"",S567/K567)</f>
        <v/>
      </c>
      <c r="U567" s="78">
        <f>IF(V567="","",IF(V567=2,"⚠️ Paying ahead of work","✓ OK"))</f>
        <v/>
      </c>
      <c r="V567" s="79">
        <f>IF(T567="","",IF(T567-R567&gt;OverpayTol,2,0))</f>
        <v/>
      </c>
      <c r="W567" s="112">
        <f>IF(V567=2,AsOf,"")</f>
        <v/>
      </c>
      <c r="X567" s="79">
        <f>IF(W567="","",1)</f>
        <v/>
      </c>
      <c r="Y567" s="79">
        <f>IF(X567="","","Paying ahead of work: "&amp;B567&amp;" — paid "&amp;ROUND(T567*100,0)&amp;"%, work done "&amp;ROUND(R567*100,0)&amp;"%")</f>
        <v/>
      </c>
      <c r="AA567" s="72" t="n"/>
      <c r="AB567" s="109" t="n"/>
      <c r="AC567" s="113" t="n"/>
      <c r="AD567" s="74" t="n"/>
      <c r="AE567" s="109" t="n"/>
      <c r="AF567" s="74" t="n"/>
      <c r="AG567" s="112">
        <f>IF(AND(AA567&lt;&gt;"",AD567="Yes",AF567&lt;&gt;"Yes",AE567&lt;&gt;""),AE567,"")</f>
        <v/>
      </c>
      <c r="AH567" s="79">
        <f>IF(AG567="","",IF(AG567&lt;AsOf,1,IF(AG567&lt;=AsOf+AlertDays,2,IF(AG567&lt;=AsOf+2*AlertDays,3,""))))</f>
        <v/>
      </c>
      <c r="AI567" s="79">
        <f>IF(AH567="","","Follow up with "&amp;AA567&amp;": "&amp;AC567)</f>
        <v/>
      </c>
    </row>
    <row r="568" ht="20" customHeight="1">
      <c r="B568" s="72" t="n"/>
      <c r="C568" s="72" t="n"/>
      <c r="D568" s="72" t="n"/>
      <c r="E568" s="72" t="n"/>
      <c r="F568" s="72" t="n"/>
      <c r="G568" s="72" t="n"/>
      <c r="H568" s="72" t="n"/>
      <c r="I568" s="73" t="n"/>
      <c r="J568" s="75">
        <f>IF(B568="","",SUMIFS('Change Orders'!$J$7:$J$1006,'Change Orders'!$E$7:$E$1006,B568,'Change Orders'!$L$7:$L$1006,"Approved"))</f>
        <v/>
      </c>
      <c r="K568" s="76">
        <f>IF(B568="","",I568+J568)</f>
        <v/>
      </c>
      <c r="L568" s="74" t="n"/>
      <c r="M568" s="109" t="n"/>
      <c r="N568" s="109" t="n"/>
      <c r="O568" s="74" t="n"/>
      <c r="P568" s="74" t="n"/>
      <c r="Q568" s="100" t="n"/>
      <c r="R568" s="110" t="n"/>
      <c r="S568" s="75">
        <f>IF(B568="","",SUMIFS('Payments'!$N$6:$N$1005,'Payments'!$B$6:$B$1005,B568))</f>
        <v/>
      </c>
      <c r="T568" s="111">
        <f>IF(OR(B568="",K568=0),"",S568/K568)</f>
        <v/>
      </c>
      <c r="U568" s="78">
        <f>IF(V568="","",IF(V568=2,"⚠️ Paying ahead of work","✓ OK"))</f>
        <v/>
      </c>
      <c r="V568" s="79">
        <f>IF(T568="","",IF(T568-R568&gt;OverpayTol,2,0))</f>
        <v/>
      </c>
      <c r="W568" s="112">
        <f>IF(V568=2,AsOf,"")</f>
        <v/>
      </c>
      <c r="X568" s="79">
        <f>IF(W568="","",1)</f>
        <v/>
      </c>
      <c r="Y568" s="79">
        <f>IF(X568="","","Paying ahead of work: "&amp;B568&amp;" — paid "&amp;ROUND(T568*100,0)&amp;"%, work done "&amp;ROUND(R568*100,0)&amp;"%")</f>
        <v/>
      </c>
      <c r="AA568" s="72" t="n"/>
      <c r="AB568" s="109" t="n"/>
      <c r="AC568" s="113" t="n"/>
      <c r="AD568" s="74" t="n"/>
      <c r="AE568" s="109" t="n"/>
      <c r="AF568" s="74" t="n"/>
      <c r="AG568" s="112">
        <f>IF(AND(AA568&lt;&gt;"",AD568="Yes",AF568&lt;&gt;"Yes",AE568&lt;&gt;""),AE568,"")</f>
        <v/>
      </c>
      <c r="AH568" s="79">
        <f>IF(AG568="","",IF(AG568&lt;AsOf,1,IF(AG568&lt;=AsOf+AlertDays,2,IF(AG568&lt;=AsOf+2*AlertDays,3,""))))</f>
        <v/>
      </c>
      <c r="AI568" s="79">
        <f>IF(AH568="","","Follow up with "&amp;AA568&amp;": "&amp;AC568)</f>
        <v/>
      </c>
    </row>
    <row r="569" ht="20" customHeight="1">
      <c r="B569" s="72" t="n"/>
      <c r="C569" s="72" t="n"/>
      <c r="D569" s="72" t="n"/>
      <c r="E569" s="72" t="n"/>
      <c r="F569" s="72" t="n"/>
      <c r="G569" s="72" t="n"/>
      <c r="H569" s="72" t="n"/>
      <c r="I569" s="73" t="n"/>
      <c r="J569" s="75">
        <f>IF(B569="","",SUMIFS('Change Orders'!$J$7:$J$1006,'Change Orders'!$E$7:$E$1006,B569,'Change Orders'!$L$7:$L$1006,"Approved"))</f>
        <v/>
      </c>
      <c r="K569" s="76">
        <f>IF(B569="","",I569+J569)</f>
        <v/>
      </c>
      <c r="L569" s="74" t="n"/>
      <c r="M569" s="109" t="n"/>
      <c r="N569" s="109" t="n"/>
      <c r="O569" s="74" t="n"/>
      <c r="P569" s="74" t="n"/>
      <c r="Q569" s="100" t="n"/>
      <c r="R569" s="110" t="n"/>
      <c r="S569" s="75">
        <f>IF(B569="","",SUMIFS('Payments'!$N$6:$N$1005,'Payments'!$B$6:$B$1005,B569))</f>
        <v/>
      </c>
      <c r="T569" s="111">
        <f>IF(OR(B569="",K569=0),"",S569/K569)</f>
        <v/>
      </c>
      <c r="U569" s="78">
        <f>IF(V569="","",IF(V569=2,"⚠️ Paying ahead of work","✓ OK"))</f>
        <v/>
      </c>
      <c r="V569" s="79">
        <f>IF(T569="","",IF(T569-R569&gt;OverpayTol,2,0))</f>
        <v/>
      </c>
      <c r="W569" s="112">
        <f>IF(V569=2,AsOf,"")</f>
        <v/>
      </c>
      <c r="X569" s="79">
        <f>IF(W569="","",1)</f>
        <v/>
      </c>
      <c r="Y569" s="79">
        <f>IF(X569="","","Paying ahead of work: "&amp;B569&amp;" — paid "&amp;ROUND(T569*100,0)&amp;"%, work done "&amp;ROUND(R569*100,0)&amp;"%")</f>
        <v/>
      </c>
      <c r="AA569" s="72" t="n"/>
      <c r="AB569" s="109" t="n"/>
      <c r="AC569" s="113" t="n"/>
      <c r="AD569" s="74" t="n"/>
      <c r="AE569" s="109" t="n"/>
      <c r="AF569" s="74" t="n"/>
      <c r="AG569" s="112">
        <f>IF(AND(AA569&lt;&gt;"",AD569="Yes",AF569&lt;&gt;"Yes",AE569&lt;&gt;""),AE569,"")</f>
        <v/>
      </c>
      <c r="AH569" s="79">
        <f>IF(AG569="","",IF(AG569&lt;AsOf,1,IF(AG569&lt;=AsOf+AlertDays,2,IF(AG569&lt;=AsOf+2*AlertDays,3,""))))</f>
        <v/>
      </c>
      <c r="AI569" s="79">
        <f>IF(AH569="","","Follow up with "&amp;AA569&amp;": "&amp;AC569)</f>
        <v/>
      </c>
    </row>
    <row r="570" ht="20" customHeight="1">
      <c r="B570" s="72" t="n"/>
      <c r="C570" s="72" t="n"/>
      <c r="D570" s="72" t="n"/>
      <c r="E570" s="72" t="n"/>
      <c r="F570" s="72" t="n"/>
      <c r="G570" s="72" t="n"/>
      <c r="H570" s="72" t="n"/>
      <c r="I570" s="73" t="n"/>
      <c r="J570" s="75">
        <f>IF(B570="","",SUMIFS('Change Orders'!$J$7:$J$1006,'Change Orders'!$E$7:$E$1006,B570,'Change Orders'!$L$7:$L$1006,"Approved"))</f>
        <v/>
      </c>
      <c r="K570" s="76">
        <f>IF(B570="","",I570+J570)</f>
        <v/>
      </c>
      <c r="L570" s="74" t="n"/>
      <c r="M570" s="109" t="n"/>
      <c r="N570" s="109" t="n"/>
      <c r="O570" s="74" t="n"/>
      <c r="P570" s="74" t="n"/>
      <c r="Q570" s="100" t="n"/>
      <c r="R570" s="110" t="n"/>
      <c r="S570" s="75">
        <f>IF(B570="","",SUMIFS('Payments'!$N$6:$N$1005,'Payments'!$B$6:$B$1005,B570))</f>
        <v/>
      </c>
      <c r="T570" s="111">
        <f>IF(OR(B570="",K570=0),"",S570/K570)</f>
        <v/>
      </c>
      <c r="U570" s="78">
        <f>IF(V570="","",IF(V570=2,"⚠️ Paying ahead of work","✓ OK"))</f>
        <v/>
      </c>
      <c r="V570" s="79">
        <f>IF(T570="","",IF(T570-R570&gt;OverpayTol,2,0))</f>
        <v/>
      </c>
      <c r="W570" s="112">
        <f>IF(V570=2,AsOf,"")</f>
        <v/>
      </c>
      <c r="X570" s="79">
        <f>IF(W570="","",1)</f>
        <v/>
      </c>
      <c r="Y570" s="79">
        <f>IF(X570="","","Paying ahead of work: "&amp;B570&amp;" — paid "&amp;ROUND(T570*100,0)&amp;"%, work done "&amp;ROUND(R570*100,0)&amp;"%")</f>
        <v/>
      </c>
      <c r="AA570" s="72" t="n"/>
      <c r="AB570" s="109" t="n"/>
      <c r="AC570" s="113" t="n"/>
      <c r="AD570" s="74" t="n"/>
      <c r="AE570" s="109" t="n"/>
      <c r="AF570" s="74" t="n"/>
      <c r="AG570" s="112">
        <f>IF(AND(AA570&lt;&gt;"",AD570="Yes",AF570&lt;&gt;"Yes",AE570&lt;&gt;""),AE570,"")</f>
        <v/>
      </c>
      <c r="AH570" s="79">
        <f>IF(AG570="","",IF(AG570&lt;AsOf,1,IF(AG570&lt;=AsOf+AlertDays,2,IF(AG570&lt;=AsOf+2*AlertDays,3,""))))</f>
        <v/>
      </c>
      <c r="AI570" s="79">
        <f>IF(AH570="","","Follow up with "&amp;AA570&amp;": "&amp;AC570)</f>
        <v/>
      </c>
    </row>
    <row r="571" ht="20" customHeight="1">
      <c r="B571" s="72" t="n"/>
      <c r="C571" s="72" t="n"/>
      <c r="D571" s="72" t="n"/>
      <c r="E571" s="72" t="n"/>
      <c r="F571" s="72" t="n"/>
      <c r="G571" s="72" t="n"/>
      <c r="H571" s="72" t="n"/>
      <c r="I571" s="73" t="n"/>
      <c r="J571" s="75">
        <f>IF(B571="","",SUMIFS('Change Orders'!$J$7:$J$1006,'Change Orders'!$E$7:$E$1006,B571,'Change Orders'!$L$7:$L$1006,"Approved"))</f>
        <v/>
      </c>
      <c r="K571" s="76">
        <f>IF(B571="","",I571+J571)</f>
        <v/>
      </c>
      <c r="L571" s="74" t="n"/>
      <c r="M571" s="109" t="n"/>
      <c r="N571" s="109" t="n"/>
      <c r="O571" s="74" t="n"/>
      <c r="P571" s="74" t="n"/>
      <c r="Q571" s="100" t="n"/>
      <c r="R571" s="110" t="n"/>
      <c r="S571" s="75">
        <f>IF(B571="","",SUMIFS('Payments'!$N$6:$N$1005,'Payments'!$B$6:$B$1005,B571))</f>
        <v/>
      </c>
      <c r="T571" s="111">
        <f>IF(OR(B571="",K571=0),"",S571/K571)</f>
        <v/>
      </c>
      <c r="U571" s="78">
        <f>IF(V571="","",IF(V571=2,"⚠️ Paying ahead of work","✓ OK"))</f>
        <v/>
      </c>
      <c r="V571" s="79">
        <f>IF(T571="","",IF(T571-R571&gt;OverpayTol,2,0))</f>
        <v/>
      </c>
      <c r="W571" s="112">
        <f>IF(V571=2,AsOf,"")</f>
        <v/>
      </c>
      <c r="X571" s="79">
        <f>IF(W571="","",1)</f>
        <v/>
      </c>
      <c r="Y571" s="79">
        <f>IF(X571="","","Paying ahead of work: "&amp;B571&amp;" — paid "&amp;ROUND(T571*100,0)&amp;"%, work done "&amp;ROUND(R571*100,0)&amp;"%")</f>
        <v/>
      </c>
      <c r="AA571" s="72" t="n"/>
      <c r="AB571" s="109" t="n"/>
      <c r="AC571" s="113" t="n"/>
      <c r="AD571" s="74" t="n"/>
      <c r="AE571" s="109" t="n"/>
      <c r="AF571" s="74" t="n"/>
      <c r="AG571" s="112">
        <f>IF(AND(AA571&lt;&gt;"",AD571="Yes",AF571&lt;&gt;"Yes",AE571&lt;&gt;""),AE571,"")</f>
        <v/>
      </c>
      <c r="AH571" s="79">
        <f>IF(AG571="","",IF(AG571&lt;AsOf,1,IF(AG571&lt;=AsOf+AlertDays,2,IF(AG571&lt;=AsOf+2*AlertDays,3,""))))</f>
        <v/>
      </c>
      <c r="AI571" s="79">
        <f>IF(AH571="","","Follow up with "&amp;AA571&amp;": "&amp;AC571)</f>
        <v/>
      </c>
    </row>
    <row r="572" ht="20" customHeight="1">
      <c r="B572" s="72" t="n"/>
      <c r="C572" s="72" t="n"/>
      <c r="D572" s="72" t="n"/>
      <c r="E572" s="72" t="n"/>
      <c r="F572" s="72" t="n"/>
      <c r="G572" s="72" t="n"/>
      <c r="H572" s="72" t="n"/>
      <c r="I572" s="73" t="n"/>
      <c r="J572" s="75">
        <f>IF(B572="","",SUMIFS('Change Orders'!$J$7:$J$1006,'Change Orders'!$E$7:$E$1006,B572,'Change Orders'!$L$7:$L$1006,"Approved"))</f>
        <v/>
      </c>
      <c r="K572" s="76">
        <f>IF(B572="","",I572+J572)</f>
        <v/>
      </c>
      <c r="L572" s="74" t="n"/>
      <c r="M572" s="109" t="n"/>
      <c r="N572" s="109" t="n"/>
      <c r="O572" s="74" t="n"/>
      <c r="P572" s="74" t="n"/>
      <c r="Q572" s="100" t="n"/>
      <c r="R572" s="110" t="n"/>
      <c r="S572" s="75">
        <f>IF(B572="","",SUMIFS('Payments'!$N$6:$N$1005,'Payments'!$B$6:$B$1005,B572))</f>
        <v/>
      </c>
      <c r="T572" s="111">
        <f>IF(OR(B572="",K572=0),"",S572/K572)</f>
        <v/>
      </c>
      <c r="U572" s="78">
        <f>IF(V572="","",IF(V572=2,"⚠️ Paying ahead of work","✓ OK"))</f>
        <v/>
      </c>
      <c r="V572" s="79">
        <f>IF(T572="","",IF(T572-R572&gt;OverpayTol,2,0))</f>
        <v/>
      </c>
      <c r="W572" s="112">
        <f>IF(V572=2,AsOf,"")</f>
        <v/>
      </c>
      <c r="X572" s="79">
        <f>IF(W572="","",1)</f>
        <v/>
      </c>
      <c r="Y572" s="79">
        <f>IF(X572="","","Paying ahead of work: "&amp;B572&amp;" — paid "&amp;ROUND(T572*100,0)&amp;"%, work done "&amp;ROUND(R572*100,0)&amp;"%")</f>
        <v/>
      </c>
      <c r="AA572" s="72" t="n"/>
      <c r="AB572" s="109" t="n"/>
      <c r="AC572" s="113" t="n"/>
      <c r="AD572" s="74" t="n"/>
      <c r="AE572" s="109" t="n"/>
      <c r="AF572" s="74" t="n"/>
      <c r="AG572" s="112">
        <f>IF(AND(AA572&lt;&gt;"",AD572="Yes",AF572&lt;&gt;"Yes",AE572&lt;&gt;""),AE572,"")</f>
        <v/>
      </c>
      <c r="AH572" s="79">
        <f>IF(AG572="","",IF(AG572&lt;AsOf,1,IF(AG572&lt;=AsOf+AlertDays,2,IF(AG572&lt;=AsOf+2*AlertDays,3,""))))</f>
        <v/>
      </c>
      <c r="AI572" s="79">
        <f>IF(AH572="","","Follow up with "&amp;AA572&amp;": "&amp;AC572)</f>
        <v/>
      </c>
    </row>
    <row r="573" ht="20" customHeight="1">
      <c r="B573" s="72" t="n"/>
      <c r="C573" s="72" t="n"/>
      <c r="D573" s="72" t="n"/>
      <c r="E573" s="72" t="n"/>
      <c r="F573" s="72" t="n"/>
      <c r="G573" s="72" t="n"/>
      <c r="H573" s="72" t="n"/>
      <c r="I573" s="73" t="n"/>
      <c r="J573" s="75">
        <f>IF(B573="","",SUMIFS('Change Orders'!$J$7:$J$1006,'Change Orders'!$E$7:$E$1006,B573,'Change Orders'!$L$7:$L$1006,"Approved"))</f>
        <v/>
      </c>
      <c r="K573" s="76">
        <f>IF(B573="","",I573+J573)</f>
        <v/>
      </c>
      <c r="L573" s="74" t="n"/>
      <c r="M573" s="109" t="n"/>
      <c r="N573" s="109" t="n"/>
      <c r="O573" s="74" t="n"/>
      <c r="P573" s="74" t="n"/>
      <c r="Q573" s="100" t="n"/>
      <c r="R573" s="110" t="n"/>
      <c r="S573" s="75">
        <f>IF(B573="","",SUMIFS('Payments'!$N$6:$N$1005,'Payments'!$B$6:$B$1005,B573))</f>
        <v/>
      </c>
      <c r="T573" s="111">
        <f>IF(OR(B573="",K573=0),"",S573/K573)</f>
        <v/>
      </c>
      <c r="U573" s="78">
        <f>IF(V573="","",IF(V573=2,"⚠️ Paying ahead of work","✓ OK"))</f>
        <v/>
      </c>
      <c r="V573" s="79">
        <f>IF(T573="","",IF(T573-R573&gt;OverpayTol,2,0))</f>
        <v/>
      </c>
      <c r="W573" s="112">
        <f>IF(V573=2,AsOf,"")</f>
        <v/>
      </c>
      <c r="X573" s="79">
        <f>IF(W573="","",1)</f>
        <v/>
      </c>
      <c r="Y573" s="79">
        <f>IF(X573="","","Paying ahead of work: "&amp;B573&amp;" — paid "&amp;ROUND(T573*100,0)&amp;"%, work done "&amp;ROUND(R573*100,0)&amp;"%")</f>
        <v/>
      </c>
      <c r="AA573" s="72" t="n"/>
      <c r="AB573" s="109" t="n"/>
      <c r="AC573" s="113" t="n"/>
      <c r="AD573" s="74" t="n"/>
      <c r="AE573" s="109" t="n"/>
      <c r="AF573" s="74" t="n"/>
      <c r="AG573" s="112">
        <f>IF(AND(AA573&lt;&gt;"",AD573="Yes",AF573&lt;&gt;"Yes",AE573&lt;&gt;""),AE573,"")</f>
        <v/>
      </c>
      <c r="AH573" s="79">
        <f>IF(AG573="","",IF(AG573&lt;AsOf,1,IF(AG573&lt;=AsOf+AlertDays,2,IF(AG573&lt;=AsOf+2*AlertDays,3,""))))</f>
        <v/>
      </c>
      <c r="AI573" s="79">
        <f>IF(AH573="","","Follow up with "&amp;AA573&amp;": "&amp;AC573)</f>
        <v/>
      </c>
    </row>
    <row r="574" ht="20" customHeight="1">
      <c r="B574" s="72" t="n"/>
      <c r="C574" s="72" t="n"/>
      <c r="D574" s="72" t="n"/>
      <c r="E574" s="72" t="n"/>
      <c r="F574" s="72" t="n"/>
      <c r="G574" s="72" t="n"/>
      <c r="H574" s="72" t="n"/>
      <c r="I574" s="73" t="n"/>
      <c r="J574" s="75">
        <f>IF(B574="","",SUMIFS('Change Orders'!$J$7:$J$1006,'Change Orders'!$E$7:$E$1006,B574,'Change Orders'!$L$7:$L$1006,"Approved"))</f>
        <v/>
      </c>
      <c r="K574" s="76">
        <f>IF(B574="","",I574+J574)</f>
        <v/>
      </c>
      <c r="L574" s="74" t="n"/>
      <c r="M574" s="109" t="n"/>
      <c r="N574" s="109" t="n"/>
      <c r="O574" s="74" t="n"/>
      <c r="P574" s="74" t="n"/>
      <c r="Q574" s="100" t="n"/>
      <c r="R574" s="110" t="n"/>
      <c r="S574" s="75">
        <f>IF(B574="","",SUMIFS('Payments'!$N$6:$N$1005,'Payments'!$B$6:$B$1005,B574))</f>
        <v/>
      </c>
      <c r="T574" s="111">
        <f>IF(OR(B574="",K574=0),"",S574/K574)</f>
        <v/>
      </c>
      <c r="U574" s="78">
        <f>IF(V574="","",IF(V574=2,"⚠️ Paying ahead of work","✓ OK"))</f>
        <v/>
      </c>
      <c r="V574" s="79">
        <f>IF(T574="","",IF(T574-R574&gt;OverpayTol,2,0))</f>
        <v/>
      </c>
      <c r="W574" s="112">
        <f>IF(V574=2,AsOf,"")</f>
        <v/>
      </c>
      <c r="X574" s="79">
        <f>IF(W574="","",1)</f>
        <v/>
      </c>
      <c r="Y574" s="79">
        <f>IF(X574="","","Paying ahead of work: "&amp;B574&amp;" — paid "&amp;ROUND(T574*100,0)&amp;"%, work done "&amp;ROUND(R574*100,0)&amp;"%")</f>
        <v/>
      </c>
      <c r="AA574" s="72" t="n"/>
      <c r="AB574" s="109" t="n"/>
      <c r="AC574" s="113" t="n"/>
      <c r="AD574" s="74" t="n"/>
      <c r="AE574" s="109" t="n"/>
      <c r="AF574" s="74" t="n"/>
      <c r="AG574" s="112">
        <f>IF(AND(AA574&lt;&gt;"",AD574="Yes",AF574&lt;&gt;"Yes",AE574&lt;&gt;""),AE574,"")</f>
        <v/>
      </c>
      <c r="AH574" s="79">
        <f>IF(AG574="","",IF(AG574&lt;AsOf,1,IF(AG574&lt;=AsOf+AlertDays,2,IF(AG574&lt;=AsOf+2*AlertDays,3,""))))</f>
        <v/>
      </c>
      <c r="AI574" s="79">
        <f>IF(AH574="","","Follow up with "&amp;AA574&amp;": "&amp;AC574)</f>
        <v/>
      </c>
    </row>
    <row r="575" ht="20" customHeight="1">
      <c r="B575" s="72" t="n"/>
      <c r="C575" s="72" t="n"/>
      <c r="D575" s="72" t="n"/>
      <c r="E575" s="72" t="n"/>
      <c r="F575" s="72" t="n"/>
      <c r="G575" s="72" t="n"/>
      <c r="H575" s="72" t="n"/>
      <c r="I575" s="73" t="n"/>
      <c r="J575" s="75">
        <f>IF(B575="","",SUMIFS('Change Orders'!$J$7:$J$1006,'Change Orders'!$E$7:$E$1006,B575,'Change Orders'!$L$7:$L$1006,"Approved"))</f>
        <v/>
      </c>
      <c r="K575" s="76">
        <f>IF(B575="","",I575+J575)</f>
        <v/>
      </c>
      <c r="L575" s="74" t="n"/>
      <c r="M575" s="109" t="n"/>
      <c r="N575" s="109" t="n"/>
      <c r="O575" s="74" t="n"/>
      <c r="P575" s="74" t="n"/>
      <c r="Q575" s="100" t="n"/>
      <c r="R575" s="110" t="n"/>
      <c r="S575" s="75">
        <f>IF(B575="","",SUMIFS('Payments'!$N$6:$N$1005,'Payments'!$B$6:$B$1005,B575))</f>
        <v/>
      </c>
      <c r="T575" s="111">
        <f>IF(OR(B575="",K575=0),"",S575/K575)</f>
        <v/>
      </c>
      <c r="U575" s="78">
        <f>IF(V575="","",IF(V575=2,"⚠️ Paying ahead of work","✓ OK"))</f>
        <v/>
      </c>
      <c r="V575" s="79">
        <f>IF(T575="","",IF(T575-R575&gt;OverpayTol,2,0))</f>
        <v/>
      </c>
      <c r="W575" s="112">
        <f>IF(V575=2,AsOf,"")</f>
        <v/>
      </c>
      <c r="X575" s="79">
        <f>IF(W575="","",1)</f>
        <v/>
      </c>
      <c r="Y575" s="79">
        <f>IF(X575="","","Paying ahead of work: "&amp;B575&amp;" — paid "&amp;ROUND(T575*100,0)&amp;"%, work done "&amp;ROUND(R575*100,0)&amp;"%")</f>
        <v/>
      </c>
      <c r="AA575" s="72" t="n"/>
      <c r="AB575" s="109" t="n"/>
      <c r="AC575" s="113" t="n"/>
      <c r="AD575" s="74" t="n"/>
      <c r="AE575" s="109" t="n"/>
      <c r="AF575" s="74" t="n"/>
      <c r="AG575" s="112">
        <f>IF(AND(AA575&lt;&gt;"",AD575="Yes",AF575&lt;&gt;"Yes",AE575&lt;&gt;""),AE575,"")</f>
        <v/>
      </c>
      <c r="AH575" s="79">
        <f>IF(AG575="","",IF(AG575&lt;AsOf,1,IF(AG575&lt;=AsOf+AlertDays,2,IF(AG575&lt;=AsOf+2*AlertDays,3,""))))</f>
        <v/>
      </c>
      <c r="AI575" s="79">
        <f>IF(AH575="","","Follow up with "&amp;AA575&amp;": "&amp;AC575)</f>
        <v/>
      </c>
    </row>
    <row r="576" ht="20" customHeight="1">
      <c r="B576" s="72" t="n"/>
      <c r="C576" s="72" t="n"/>
      <c r="D576" s="72" t="n"/>
      <c r="E576" s="72" t="n"/>
      <c r="F576" s="72" t="n"/>
      <c r="G576" s="72" t="n"/>
      <c r="H576" s="72" t="n"/>
      <c r="I576" s="73" t="n"/>
      <c r="J576" s="75">
        <f>IF(B576="","",SUMIFS('Change Orders'!$J$7:$J$1006,'Change Orders'!$E$7:$E$1006,B576,'Change Orders'!$L$7:$L$1006,"Approved"))</f>
        <v/>
      </c>
      <c r="K576" s="76">
        <f>IF(B576="","",I576+J576)</f>
        <v/>
      </c>
      <c r="L576" s="74" t="n"/>
      <c r="M576" s="109" t="n"/>
      <c r="N576" s="109" t="n"/>
      <c r="O576" s="74" t="n"/>
      <c r="P576" s="74" t="n"/>
      <c r="Q576" s="100" t="n"/>
      <c r="R576" s="110" t="n"/>
      <c r="S576" s="75">
        <f>IF(B576="","",SUMIFS('Payments'!$N$6:$N$1005,'Payments'!$B$6:$B$1005,B576))</f>
        <v/>
      </c>
      <c r="T576" s="111">
        <f>IF(OR(B576="",K576=0),"",S576/K576)</f>
        <v/>
      </c>
      <c r="U576" s="78">
        <f>IF(V576="","",IF(V576=2,"⚠️ Paying ahead of work","✓ OK"))</f>
        <v/>
      </c>
      <c r="V576" s="79">
        <f>IF(T576="","",IF(T576-R576&gt;OverpayTol,2,0))</f>
        <v/>
      </c>
      <c r="W576" s="112">
        <f>IF(V576=2,AsOf,"")</f>
        <v/>
      </c>
      <c r="X576" s="79">
        <f>IF(W576="","",1)</f>
        <v/>
      </c>
      <c r="Y576" s="79">
        <f>IF(X576="","","Paying ahead of work: "&amp;B576&amp;" — paid "&amp;ROUND(T576*100,0)&amp;"%, work done "&amp;ROUND(R576*100,0)&amp;"%")</f>
        <v/>
      </c>
      <c r="AA576" s="72" t="n"/>
      <c r="AB576" s="109" t="n"/>
      <c r="AC576" s="113" t="n"/>
      <c r="AD576" s="74" t="n"/>
      <c r="AE576" s="109" t="n"/>
      <c r="AF576" s="74" t="n"/>
      <c r="AG576" s="112">
        <f>IF(AND(AA576&lt;&gt;"",AD576="Yes",AF576&lt;&gt;"Yes",AE576&lt;&gt;""),AE576,"")</f>
        <v/>
      </c>
      <c r="AH576" s="79">
        <f>IF(AG576="","",IF(AG576&lt;AsOf,1,IF(AG576&lt;=AsOf+AlertDays,2,IF(AG576&lt;=AsOf+2*AlertDays,3,""))))</f>
        <v/>
      </c>
      <c r="AI576" s="79">
        <f>IF(AH576="","","Follow up with "&amp;AA576&amp;": "&amp;AC576)</f>
        <v/>
      </c>
    </row>
    <row r="577" ht="20" customHeight="1">
      <c r="B577" s="72" t="n"/>
      <c r="C577" s="72" t="n"/>
      <c r="D577" s="72" t="n"/>
      <c r="E577" s="72" t="n"/>
      <c r="F577" s="72" t="n"/>
      <c r="G577" s="72" t="n"/>
      <c r="H577" s="72" t="n"/>
      <c r="I577" s="73" t="n"/>
      <c r="J577" s="75">
        <f>IF(B577="","",SUMIFS('Change Orders'!$J$7:$J$1006,'Change Orders'!$E$7:$E$1006,B577,'Change Orders'!$L$7:$L$1006,"Approved"))</f>
        <v/>
      </c>
      <c r="K577" s="76">
        <f>IF(B577="","",I577+J577)</f>
        <v/>
      </c>
      <c r="L577" s="74" t="n"/>
      <c r="M577" s="109" t="n"/>
      <c r="N577" s="109" t="n"/>
      <c r="O577" s="74" t="n"/>
      <c r="P577" s="74" t="n"/>
      <c r="Q577" s="100" t="n"/>
      <c r="R577" s="110" t="n"/>
      <c r="S577" s="75">
        <f>IF(B577="","",SUMIFS('Payments'!$N$6:$N$1005,'Payments'!$B$6:$B$1005,B577))</f>
        <v/>
      </c>
      <c r="T577" s="111">
        <f>IF(OR(B577="",K577=0),"",S577/K577)</f>
        <v/>
      </c>
      <c r="U577" s="78">
        <f>IF(V577="","",IF(V577=2,"⚠️ Paying ahead of work","✓ OK"))</f>
        <v/>
      </c>
      <c r="V577" s="79">
        <f>IF(T577="","",IF(T577-R577&gt;OverpayTol,2,0))</f>
        <v/>
      </c>
      <c r="W577" s="112">
        <f>IF(V577=2,AsOf,"")</f>
        <v/>
      </c>
      <c r="X577" s="79">
        <f>IF(W577="","",1)</f>
        <v/>
      </c>
      <c r="Y577" s="79">
        <f>IF(X577="","","Paying ahead of work: "&amp;B577&amp;" — paid "&amp;ROUND(T577*100,0)&amp;"%, work done "&amp;ROUND(R577*100,0)&amp;"%")</f>
        <v/>
      </c>
      <c r="AA577" s="72" t="n"/>
      <c r="AB577" s="109" t="n"/>
      <c r="AC577" s="113" t="n"/>
      <c r="AD577" s="74" t="n"/>
      <c r="AE577" s="109" t="n"/>
      <c r="AF577" s="74" t="n"/>
      <c r="AG577" s="112">
        <f>IF(AND(AA577&lt;&gt;"",AD577="Yes",AF577&lt;&gt;"Yes",AE577&lt;&gt;""),AE577,"")</f>
        <v/>
      </c>
      <c r="AH577" s="79">
        <f>IF(AG577="","",IF(AG577&lt;AsOf,1,IF(AG577&lt;=AsOf+AlertDays,2,IF(AG577&lt;=AsOf+2*AlertDays,3,""))))</f>
        <v/>
      </c>
      <c r="AI577" s="79">
        <f>IF(AH577="","","Follow up with "&amp;AA577&amp;": "&amp;AC577)</f>
        <v/>
      </c>
    </row>
    <row r="578" ht="20" customHeight="1">
      <c r="B578" s="72" t="n"/>
      <c r="C578" s="72" t="n"/>
      <c r="D578" s="72" t="n"/>
      <c r="E578" s="72" t="n"/>
      <c r="F578" s="72" t="n"/>
      <c r="G578" s="72" t="n"/>
      <c r="H578" s="72" t="n"/>
      <c r="I578" s="73" t="n"/>
      <c r="J578" s="75">
        <f>IF(B578="","",SUMIFS('Change Orders'!$J$7:$J$1006,'Change Orders'!$E$7:$E$1006,B578,'Change Orders'!$L$7:$L$1006,"Approved"))</f>
        <v/>
      </c>
      <c r="K578" s="76">
        <f>IF(B578="","",I578+J578)</f>
        <v/>
      </c>
      <c r="L578" s="74" t="n"/>
      <c r="M578" s="109" t="n"/>
      <c r="N578" s="109" t="n"/>
      <c r="O578" s="74" t="n"/>
      <c r="P578" s="74" t="n"/>
      <c r="Q578" s="100" t="n"/>
      <c r="R578" s="110" t="n"/>
      <c r="S578" s="75">
        <f>IF(B578="","",SUMIFS('Payments'!$N$6:$N$1005,'Payments'!$B$6:$B$1005,B578))</f>
        <v/>
      </c>
      <c r="T578" s="111">
        <f>IF(OR(B578="",K578=0),"",S578/K578)</f>
        <v/>
      </c>
      <c r="U578" s="78">
        <f>IF(V578="","",IF(V578=2,"⚠️ Paying ahead of work","✓ OK"))</f>
        <v/>
      </c>
      <c r="V578" s="79">
        <f>IF(T578="","",IF(T578-R578&gt;OverpayTol,2,0))</f>
        <v/>
      </c>
      <c r="W578" s="112">
        <f>IF(V578=2,AsOf,"")</f>
        <v/>
      </c>
      <c r="X578" s="79">
        <f>IF(W578="","",1)</f>
        <v/>
      </c>
      <c r="Y578" s="79">
        <f>IF(X578="","","Paying ahead of work: "&amp;B578&amp;" — paid "&amp;ROUND(T578*100,0)&amp;"%, work done "&amp;ROUND(R578*100,0)&amp;"%")</f>
        <v/>
      </c>
      <c r="AA578" s="72" t="n"/>
      <c r="AB578" s="109" t="n"/>
      <c r="AC578" s="113" t="n"/>
      <c r="AD578" s="74" t="n"/>
      <c r="AE578" s="109" t="n"/>
      <c r="AF578" s="74" t="n"/>
      <c r="AG578" s="112">
        <f>IF(AND(AA578&lt;&gt;"",AD578="Yes",AF578&lt;&gt;"Yes",AE578&lt;&gt;""),AE578,"")</f>
        <v/>
      </c>
      <c r="AH578" s="79">
        <f>IF(AG578="","",IF(AG578&lt;AsOf,1,IF(AG578&lt;=AsOf+AlertDays,2,IF(AG578&lt;=AsOf+2*AlertDays,3,""))))</f>
        <v/>
      </c>
      <c r="AI578" s="79">
        <f>IF(AH578="","","Follow up with "&amp;AA578&amp;": "&amp;AC578)</f>
        <v/>
      </c>
    </row>
    <row r="579" ht="20" customHeight="1">
      <c r="B579" s="72" t="n"/>
      <c r="C579" s="72" t="n"/>
      <c r="D579" s="72" t="n"/>
      <c r="E579" s="72" t="n"/>
      <c r="F579" s="72" t="n"/>
      <c r="G579" s="72" t="n"/>
      <c r="H579" s="72" t="n"/>
      <c r="I579" s="73" t="n"/>
      <c r="J579" s="75">
        <f>IF(B579="","",SUMIFS('Change Orders'!$J$7:$J$1006,'Change Orders'!$E$7:$E$1006,B579,'Change Orders'!$L$7:$L$1006,"Approved"))</f>
        <v/>
      </c>
      <c r="K579" s="76">
        <f>IF(B579="","",I579+J579)</f>
        <v/>
      </c>
      <c r="L579" s="74" t="n"/>
      <c r="M579" s="109" t="n"/>
      <c r="N579" s="109" t="n"/>
      <c r="O579" s="74" t="n"/>
      <c r="P579" s="74" t="n"/>
      <c r="Q579" s="100" t="n"/>
      <c r="R579" s="110" t="n"/>
      <c r="S579" s="75">
        <f>IF(B579="","",SUMIFS('Payments'!$N$6:$N$1005,'Payments'!$B$6:$B$1005,B579))</f>
        <v/>
      </c>
      <c r="T579" s="111">
        <f>IF(OR(B579="",K579=0),"",S579/K579)</f>
        <v/>
      </c>
      <c r="U579" s="78">
        <f>IF(V579="","",IF(V579=2,"⚠️ Paying ahead of work","✓ OK"))</f>
        <v/>
      </c>
      <c r="V579" s="79">
        <f>IF(T579="","",IF(T579-R579&gt;OverpayTol,2,0))</f>
        <v/>
      </c>
      <c r="W579" s="112">
        <f>IF(V579=2,AsOf,"")</f>
        <v/>
      </c>
      <c r="X579" s="79">
        <f>IF(W579="","",1)</f>
        <v/>
      </c>
      <c r="Y579" s="79">
        <f>IF(X579="","","Paying ahead of work: "&amp;B579&amp;" — paid "&amp;ROUND(T579*100,0)&amp;"%, work done "&amp;ROUND(R579*100,0)&amp;"%")</f>
        <v/>
      </c>
      <c r="AA579" s="72" t="n"/>
      <c r="AB579" s="109" t="n"/>
      <c r="AC579" s="113" t="n"/>
      <c r="AD579" s="74" t="n"/>
      <c r="AE579" s="109" t="n"/>
      <c r="AF579" s="74" t="n"/>
      <c r="AG579" s="112">
        <f>IF(AND(AA579&lt;&gt;"",AD579="Yes",AF579&lt;&gt;"Yes",AE579&lt;&gt;""),AE579,"")</f>
        <v/>
      </c>
      <c r="AH579" s="79">
        <f>IF(AG579="","",IF(AG579&lt;AsOf,1,IF(AG579&lt;=AsOf+AlertDays,2,IF(AG579&lt;=AsOf+2*AlertDays,3,""))))</f>
        <v/>
      </c>
      <c r="AI579" s="79">
        <f>IF(AH579="","","Follow up with "&amp;AA579&amp;": "&amp;AC579)</f>
        <v/>
      </c>
    </row>
    <row r="580" ht="20" customHeight="1">
      <c r="B580" s="72" t="n"/>
      <c r="C580" s="72" t="n"/>
      <c r="D580" s="72" t="n"/>
      <c r="E580" s="72" t="n"/>
      <c r="F580" s="72" t="n"/>
      <c r="G580" s="72" t="n"/>
      <c r="H580" s="72" t="n"/>
      <c r="I580" s="73" t="n"/>
      <c r="J580" s="75">
        <f>IF(B580="","",SUMIFS('Change Orders'!$J$7:$J$1006,'Change Orders'!$E$7:$E$1006,B580,'Change Orders'!$L$7:$L$1006,"Approved"))</f>
        <v/>
      </c>
      <c r="K580" s="76">
        <f>IF(B580="","",I580+J580)</f>
        <v/>
      </c>
      <c r="L580" s="74" t="n"/>
      <c r="M580" s="109" t="n"/>
      <c r="N580" s="109" t="n"/>
      <c r="O580" s="74" t="n"/>
      <c r="P580" s="74" t="n"/>
      <c r="Q580" s="100" t="n"/>
      <c r="R580" s="110" t="n"/>
      <c r="S580" s="75">
        <f>IF(B580="","",SUMIFS('Payments'!$N$6:$N$1005,'Payments'!$B$6:$B$1005,B580))</f>
        <v/>
      </c>
      <c r="T580" s="111">
        <f>IF(OR(B580="",K580=0),"",S580/K580)</f>
        <v/>
      </c>
      <c r="U580" s="78">
        <f>IF(V580="","",IF(V580=2,"⚠️ Paying ahead of work","✓ OK"))</f>
        <v/>
      </c>
      <c r="V580" s="79">
        <f>IF(T580="","",IF(T580-R580&gt;OverpayTol,2,0))</f>
        <v/>
      </c>
      <c r="W580" s="112">
        <f>IF(V580=2,AsOf,"")</f>
        <v/>
      </c>
      <c r="X580" s="79">
        <f>IF(W580="","",1)</f>
        <v/>
      </c>
      <c r="Y580" s="79">
        <f>IF(X580="","","Paying ahead of work: "&amp;B580&amp;" — paid "&amp;ROUND(T580*100,0)&amp;"%, work done "&amp;ROUND(R580*100,0)&amp;"%")</f>
        <v/>
      </c>
      <c r="AA580" s="72" t="n"/>
      <c r="AB580" s="109" t="n"/>
      <c r="AC580" s="113" t="n"/>
      <c r="AD580" s="74" t="n"/>
      <c r="AE580" s="109" t="n"/>
      <c r="AF580" s="74" t="n"/>
      <c r="AG580" s="112">
        <f>IF(AND(AA580&lt;&gt;"",AD580="Yes",AF580&lt;&gt;"Yes",AE580&lt;&gt;""),AE580,"")</f>
        <v/>
      </c>
      <c r="AH580" s="79">
        <f>IF(AG580="","",IF(AG580&lt;AsOf,1,IF(AG580&lt;=AsOf+AlertDays,2,IF(AG580&lt;=AsOf+2*AlertDays,3,""))))</f>
        <v/>
      </c>
      <c r="AI580" s="79">
        <f>IF(AH580="","","Follow up with "&amp;AA580&amp;": "&amp;AC580)</f>
        <v/>
      </c>
    </row>
    <row r="581" ht="20" customHeight="1">
      <c r="B581" s="72" t="n"/>
      <c r="C581" s="72" t="n"/>
      <c r="D581" s="72" t="n"/>
      <c r="E581" s="72" t="n"/>
      <c r="F581" s="72" t="n"/>
      <c r="G581" s="72" t="n"/>
      <c r="H581" s="72" t="n"/>
      <c r="I581" s="73" t="n"/>
      <c r="J581" s="75">
        <f>IF(B581="","",SUMIFS('Change Orders'!$J$7:$J$1006,'Change Orders'!$E$7:$E$1006,B581,'Change Orders'!$L$7:$L$1006,"Approved"))</f>
        <v/>
      </c>
      <c r="K581" s="76">
        <f>IF(B581="","",I581+J581)</f>
        <v/>
      </c>
      <c r="L581" s="74" t="n"/>
      <c r="M581" s="109" t="n"/>
      <c r="N581" s="109" t="n"/>
      <c r="O581" s="74" t="n"/>
      <c r="P581" s="74" t="n"/>
      <c r="Q581" s="100" t="n"/>
      <c r="R581" s="110" t="n"/>
      <c r="S581" s="75">
        <f>IF(B581="","",SUMIFS('Payments'!$N$6:$N$1005,'Payments'!$B$6:$B$1005,B581))</f>
        <v/>
      </c>
      <c r="T581" s="111">
        <f>IF(OR(B581="",K581=0),"",S581/K581)</f>
        <v/>
      </c>
      <c r="U581" s="78">
        <f>IF(V581="","",IF(V581=2,"⚠️ Paying ahead of work","✓ OK"))</f>
        <v/>
      </c>
      <c r="V581" s="79">
        <f>IF(T581="","",IF(T581-R581&gt;OverpayTol,2,0))</f>
        <v/>
      </c>
      <c r="W581" s="112">
        <f>IF(V581=2,AsOf,"")</f>
        <v/>
      </c>
      <c r="X581" s="79">
        <f>IF(W581="","",1)</f>
        <v/>
      </c>
      <c r="Y581" s="79">
        <f>IF(X581="","","Paying ahead of work: "&amp;B581&amp;" — paid "&amp;ROUND(T581*100,0)&amp;"%, work done "&amp;ROUND(R581*100,0)&amp;"%")</f>
        <v/>
      </c>
      <c r="AA581" s="72" t="n"/>
      <c r="AB581" s="109" t="n"/>
      <c r="AC581" s="113" t="n"/>
      <c r="AD581" s="74" t="n"/>
      <c r="AE581" s="109" t="n"/>
      <c r="AF581" s="74" t="n"/>
      <c r="AG581" s="112">
        <f>IF(AND(AA581&lt;&gt;"",AD581="Yes",AF581&lt;&gt;"Yes",AE581&lt;&gt;""),AE581,"")</f>
        <v/>
      </c>
      <c r="AH581" s="79">
        <f>IF(AG581="","",IF(AG581&lt;AsOf,1,IF(AG581&lt;=AsOf+AlertDays,2,IF(AG581&lt;=AsOf+2*AlertDays,3,""))))</f>
        <v/>
      </c>
      <c r="AI581" s="79">
        <f>IF(AH581="","","Follow up with "&amp;AA581&amp;": "&amp;AC581)</f>
        <v/>
      </c>
    </row>
    <row r="582" ht="20" customHeight="1">
      <c r="B582" s="72" t="n"/>
      <c r="C582" s="72" t="n"/>
      <c r="D582" s="72" t="n"/>
      <c r="E582" s="72" t="n"/>
      <c r="F582" s="72" t="n"/>
      <c r="G582" s="72" t="n"/>
      <c r="H582" s="72" t="n"/>
      <c r="I582" s="73" t="n"/>
      <c r="J582" s="75">
        <f>IF(B582="","",SUMIFS('Change Orders'!$J$7:$J$1006,'Change Orders'!$E$7:$E$1006,B582,'Change Orders'!$L$7:$L$1006,"Approved"))</f>
        <v/>
      </c>
      <c r="K582" s="76">
        <f>IF(B582="","",I582+J582)</f>
        <v/>
      </c>
      <c r="L582" s="74" t="n"/>
      <c r="M582" s="109" t="n"/>
      <c r="N582" s="109" t="n"/>
      <c r="O582" s="74" t="n"/>
      <c r="P582" s="74" t="n"/>
      <c r="Q582" s="100" t="n"/>
      <c r="R582" s="110" t="n"/>
      <c r="S582" s="75">
        <f>IF(B582="","",SUMIFS('Payments'!$N$6:$N$1005,'Payments'!$B$6:$B$1005,B582))</f>
        <v/>
      </c>
      <c r="T582" s="111">
        <f>IF(OR(B582="",K582=0),"",S582/K582)</f>
        <v/>
      </c>
      <c r="U582" s="78">
        <f>IF(V582="","",IF(V582=2,"⚠️ Paying ahead of work","✓ OK"))</f>
        <v/>
      </c>
      <c r="V582" s="79">
        <f>IF(T582="","",IF(T582-R582&gt;OverpayTol,2,0))</f>
        <v/>
      </c>
      <c r="W582" s="112">
        <f>IF(V582=2,AsOf,"")</f>
        <v/>
      </c>
      <c r="X582" s="79">
        <f>IF(W582="","",1)</f>
        <v/>
      </c>
      <c r="Y582" s="79">
        <f>IF(X582="","","Paying ahead of work: "&amp;B582&amp;" — paid "&amp;ROUND(T582*100,0)&amp;"%, work done "&amp;ROUND(R582*100,0)&amp;"%")</f>
        <v/>
      </c>
      <c r="AA582" s="72" t="n"/>
      <c r="AB582" s="109" t="n"/>
      <c r="AC582" s="113" t="n"/>
      <c r="AD582" s="74" t="n"/>
      <c r="AE582" s="109" t="n"/>
      <c r="AF582" s="74" t="n"/>
      <c r="AG582" s="112">
        <f>IF(AND(AA582&lt;&gt;"",AD582="Yes",AF582&lt;&gt;"Yes",AE582&lt;&gt;""),AE582,"")</f>
        <v/>
      </c>
      <c r="AH582" s="79">
        <f>IF(AG582="","",IF(AG582&lt;AsOf,1,IF(AG582&lt;=AsOf+AlertDays,2,IF(AG582&lt;=AsOf+2*AlertDays,3,""))))</f>
        <v/>
      </c>
      <c r="AI582" s="79">
        <f>IF(AH582="","","Follow up with "&amp;AA582&amp;": "&amp;AC582)</f>
        <v/>
      </c>
    </row>
    <row r="583" ht="20" customHeight="1">
      <c r="B583" s="72" t="n"/>
      <c r="C583" s="72" t="n"/>
      <c r="D583" s="72" t="n"/>
      <c r="E583" s="72" t="n"/>
      <c r="F583" s="72" t="n"/>
      <c r="G583" s="72" t="n"/>
      <c r="H583" s="72" t="n"/>
      <c r="I583" s="73" t="n"/>
      <c r="J583" s="75">
        <f>IF(B583="","",SUMIFS('Change Orders'!$J$7:$J$1006,'Change Orders'!$E$7:$E$1006,B583,'Change Orders'!$L$7:$L$1006,"Approved"))</f>
        <v/>
      </c>
      <c r="K583" s="76">
        <f>IF(B583="","",I583+J583)</f>
        <v/>
      </c>
      <c r="L583" s="74" t="n"/>
      <c r="M583" s="109" t="n"/>
      <c r="N583" s="109" t="n"/>
      <c r="O583" s="74" t="n"/>
      <c r="P583" s="74" t="n"/>
      <c r="Q583" s="100" t="n"/>
      <c r="R583" s="110" t="n"/>
      <c r="S583" s="75">
        <f>IF(B583="","",SUMIFS('Payments'!$N$6:$N$1005,'Payments'!$B$6:$B$1005,B583))</f>
        <v/>
      </c>
      <c r="T583" s="111">
        <f>IF(OR(B583="",K583=0),"",S583/K583)</f>
        <v/>
      </c>
      <c r="U583" s="78">
        <f>IF(V583="","",IF(V583=2,"⚠️ Paying ahead of work","✓ OK"))</f>
        <v/>
      </c>
      <c r="V583" s="79">
        <f>IF(T583="","",IF(T583-R583&gt;OverpayTol,2,0))</f>
        <v/>
      </c>
      <c r="W583" s="112">
        <f>IF(V583=2,AsOf,"")</f>
        <v/>
      </c>
      <c r="X583" s="79">
        <f>IF(W583="","",1)</f>
        <v/>
      </c>
      <c r="Y583" s="79">
        <f>IF(X583="","","Paying ahead of work: "&amp;B583&amp;" — paid "&amp;ROUND(T583*100,0)&amp;"%, work done "&amp;ROUND(R583*100,0)&amp;"%")</f>
        <v/>
      </c>
      <c r="AA583" s="72" t="n"/>
      <c r="AB583" s="109" t="n"/>
      <c r="AC583" s="113" t="n"/>
      <c r="AD583" s="74" t="n"/>
      <c r="AE583" s="109" t="n"/>
      <c r="AF583" s="74" t="n"/>
      <c r="AG583" s="112">
        <f>IF(AND(AA583&lt;&gt;"",AD583="Yes",AF583&lt;&gt;"Yes",AE583&lt;&gt;""),AE583,"")</f>
        <v/>
      </c>
      <c r="AH583" s="79">
        <f>IF(AG583="","",IF(AG583&lt;AsOf,1,IF(AG583&lt;=AsOf+AlertDays,2,IF(AG583&lt;=AsOf+2*AlertDays,3,""))))</f>
        <v/>
      </c>
      <c r="AI583" s="79">
        <f>IF(AH583="","","Follow up with "&amp;AA583&amp;": "&amp;AC583)</f>
        <v/>
      </c>
    </row>
    <row r="584" ht="20" customHeight="1">
      <c r="B584" s="72" t="n"/>
      <c r="C584" s="72" t="n"/>
      <c r="D584" s="72" t="n"/>
      <c r="E584" s="72" t="n"/>
      <c r="F584" s="72" t="n"/>
      <c r="G584" s="72" t="n"/>
      <c r="H584" s="72" t="n"/>
      <c r="I584" s="73" t="n"/>
      <c r="J584" s="75">
        <f>IF(B584="","",SUMIFS('Change Orders'!$J$7:$J$1006,'Change Orders'!$E$7:$E$1006,B584,'Change Orders'!$L$7:$L$1006,"Approved"))</f>
        <v/>
      </c>
      <c r="K584" s="76">
        <f>IF(B584="","",I584+J584)</f>
        <v/>
      </c>
      <c r="L584" s="74" t="n"/>
      <c r="M584" s="109" t="n"/>
      <c r="N584" s="109" t="n"/>
      <c r="O584" s="74" t="n"/>
      <c r="P584" s="74" t="n"/>
      <c r="Q584" s="100" t="n"/>
      <c r="R584" s="110" t="n"/>
      <c r="S584" s="75">
        <f>IF(B584="","",SUMIFS('Payments'!$N$6:$N$1005,'Payments'!$B$6:$B$1005,B584))</f>
        <v/>
      </c>
      <c r="T584" s="111">
        <f>IF(OR(B584="",K584=0),"",S584/K584)</f>
        <v/>
      </c>
      <c r="U584" s="78">
        <f>IF(V584="","",IF(V584=2,"⚠️ Paying ahead of work","✓ OK"))</f>
        <v/>
      </c>
      <c r="V584" s="79">
        <f>IF(T584="","",IF(T584-R584&gt;OverpayTol,2,0))</f>
        <v/>
      </c>
      <c r="W584" s="112">
        <f>IF(V584=2,AsOf,"")</f>
        <v/>
      </c>
      <c r="X584" s="79">
        <f>IF(W584="","",1)</f>
        <v/>
      </c>
      <c r="Y584" s="79">
        <f>IF(X584="","","Paying ahead of work: "&amp;B584&amp;" — paid "&amp;ROUND(T584*100,0)&amp;"%, work done "&amp;ROUND(R584*100,0)&amp;"%")</f>
        <v/>
      </c>
      <c r="AA584" s="72" t="n"/>
      <c r="AB584" s="109" t="n"/>
      <c r="AC584" s="113" t="n"/>
      <c r="AD584" s="74" t="n"/>
      <c r="AE584" s="109" t="n"/>
      <c r="AF584" s="74" t="n"/>
      <c r="AG584" s="112">
        <f>IF(AND(AA584&lt;&gt;"",AD584="Yes",AF584&lt;&gt;"Yes",AE584&lt;&gt;""),AE584,"")</f>
        <v/>
      </c>
      <c r="AH584" s="79">
        <f>IF(AG584="","",IF(AG584&lt;AsOf,1,IF(AG584&lt;=AsOf+AlertDays,2,IF(AG584&lt;=AsOf+2*AlertDays,3,""))))</f>
        <v/>
      </c>
      <c r="AI584" s="79">
        <f>IF(AH584="","","Follow up with "&amp;AA584&amp;": "&amp;AC584)</f>
        <v/>
      </c>
    </row>
    <row r="585" ht="20" customHeight="1">
      <c r="B585" s="72" t="n"/>
      <c r="C585" s="72" t="n"/>
      <c r="D585" s="72" t="n"/>
      <c r="E585" s="72" t="n"/>
      <c r="F585" s="72" t="n"/>
      <c r="G585" s="72" t="n"/>
      <c r="H585" s="72" t="n"/>
      <c r="I585" s="73" t="n"/>
      <c r="J585" s="75">
        <f>IF(B585="","",SUMIFS('Change Orders'!$J$7:$J$1006,'Change Orders'!$E$7:$E$1006,B585,'Change Orders'!$L$7:$L$1006,"Approved"))</f>
        <v/>
      </c>
      <c r="K585" s="76">
        <f>IF(B585="","",I585+J585)</f>
        <v/>
      </c>
      <c r="L585" s="74" t="n"/>
      <c r="M585" s="109" t="n"/>
      <c r="N585" s="109" t="n"/>
      <c r="O585" s="74" t="n"/>
      <c r="P585" s="74" t="n"/>
      <c r="Q585" s="100" t="n"/>
      <c r="R585" s="110" t="n"/>
      <c r="S585" s="75">
        <f>IF(B585="","",SUMIFS('Payments'!$N$6:$N$1005,'Payments'!$B$6:$B$1005,B585))</f>
        <v/>
      </c>
      <c r="T585" s="111">
        <f>IF(OR(B585="",K585=0),"",S585/K585)</f>
        <v/>
      </c>
      <c r="U585" s="78">
        <f>IF(V585="","",IF(V585=2,"⚠️ Paying ahead of work","✓ OK"))</f>
        <v/>
      </c>
      <c r="V585" s="79">
        <f>IF(T585="","",IF(T585-R585&gt;OverpayTol,2,0))</f>
        <v/>
      </c>
      <c r="W585" s="112">
        <f>IF(V585=2,AsOf,"")</f>
        <v/>
      </c>
      <c r="X585" s="79">
        <f>IF(W585="","",1)</f>
        <v/>
      </c>
      <c r="Y585" s="79">
        <f>IF(X585="","","Paying ahead of work: "&amp;B585&amp;" — paid "&amp;ROUND(T585*100,0)&amp;"%, work done "&amp;ROUND(R585*100,0)&amp;"%")</f>
        <v/>
      </c>
      <c r="AA585" s="72" t="n"/>
      <c r="AB585" s="109" t="n"/>
      <c r="AC585" s="113" t="n"/>
      <c r="AD585" s="74" t="n"/>
      <c r="AE585" s="109" t="n"/>
      <c r="AF585" s="74" t="n"/>
      <c r="AG585" s="112">
        <f>IF(AND(AA585&lt;&gt;"",AD585="Yes",AF585&lt;&gt;"Yes",AE585&lt;&gt;""),AE585,"")</f>
        <v/>
      </c>
      <c r="AH585" s="79">
        <f>IF(AG585="","",IF(AG585&lt;AsOf,1,IF(AG585&lt;=AsOf+AlertDays,2,IF(AG585&lt;=AsOf+2*AlertDays,3,""))))</f>
        <v/>
      </c>
      <c r="AI585" s="79">
        <f>IF(AH585="","","Follow up with "&amp;AA585&amp;": "&amp;AC585)</f>
        <v/>
      </c>
    </row>
    <row r="586" ht="20" customHeight="1">
      <c r="B586" s="72" t="n"/>
      <c r="C586" s="72" t="n"/>
      <c r="D586" s="72" t="n"/>
      <c r="E586" s="72" t="n"/>
      <c r="F586" s="72" t="n"/>
      <c r="G586" s="72" t="n"/>
      <c r="H586" s="72" t="n"/>
      <c r="I586" s="73" t="n"/>
      <c r="J586" s="75">
        <f>IF(B586="","",SUMIFS('Change Orders'!$J$7:$J$1006,'Change Orders'!$E$7:$E$1006,B586,'Change Orders'!$L$7:$L$1006,"Approved"))</f>
        <v/>
      </c>
      <c r="K586" s="76">
        <f>IF(B586="","",I586+J586)</f>
        <v/>
      </c>
      <c r="L586" s="74" t="n"/>
      <c r="M586" s="109" t="n"/>
      <c r="N586" s="109" t="n"/>
      <c r="O586" s="74" t="n"/>
      <c r="P586" s="74" t="n"/>
      <c r="Q586" s="100" t="n"/>
      <c r="R586" s="110" t="n"/>
      <c r="S586" s="75">
        <f>IF(B586="","",SUMIFS('Payments'!$N$6:$N$1005,'Payments'!$B$6:$B$1005,B586))</f>
        <v/>
      </c>
      <c r="T586" s="111">
        <f>IF(OR(B586="",K586=0),"",S586/K586)</f>
        <v/>
      </c>
      <c r="U586" s="78">
        <f>IF(V586="","",IF(V586=2,"⚠️ Paying ahead of work","✓ OK"))</f>
        <v/>
      </c>
      <c r="V586" s="79">
        <f>IF(T586="","",IF(T586-R586&gt;OverpayTol,2,0))</f>
        <v/>
      </c>
      <c r="W586" s="112">
        <f>IF(V586=2,AsOf,"")</f>
        <v/>
      </c>
      <c r="X586" s="79">
        <f>IF(W586="","",1)</f>
        <v/>
      </c>
      <c r="Y586" s="79">
        <f>IF(X586="","","Paying ahead of work: "&amp;B586&amp;" — paid "&amp;ROUND(T586*100,0)&amp;"%, work done "&amp;ROUND(R586*100,0)&amp;"%")</f>
        <v/>
      </c>
      <c r="AA586" s="72" t="n"/>
      <c r="AB586" s="109" t="n"/>
      <c r="AC586" s="113" t="n"/>
      <c r="AD586" s="74" t="n"/>
      <c r="AE586" s="109" t="n"/>
      <c r="AF586" s="74" t="n"/>
      <c r="AG586" s="112">
        <f>IF(AND(AA586&lt;&gt;"",AD586="Yes",AF586&lt;&gt;"Yes",AE586&lt;&gt;""),AE586,"")</f>
        <v/>
      </c>
      <c r="AH586" s="79">
        <f>IF(AG586="","",IF(AG586&lt;AsOf,1,IF(AG586&lt;=AsOf+AlertDays,2,IF(AG586&lt;=AsOf+2*AlertDays,3,""))))</f>
        <v/>
      </c>
      <c r="AI586" s="79">
        <f>IF(AH586="","","Follow up with "&amp;AA586&amp;": "&amp;AC586)</f>
        <v/>
      </c>
    </row>
    <row r="587" ht="20" customHeight="1">
      <c r="B587" s="72" t="n"/>
      <c r="C587" s="72" t="n"/>
      <c r="D587" s="72" t="n"/>
      <c r="E587" s="72" t="n"/>
      <c r="F587" s="72" t="n"/>
      <c r="G587" s="72" t="n"/>
      <c r="H587" s="72" t="n"/>
      <c r="I587" s="73" t="n"/>
      <c r="J587" s="75">
        <f>IF(B587="","",SUMIFS('Change Orders'!$J$7:$J$1006,'Change Orders'!$E$7:$E$1006,B587,'Change Orders'!$L$7:$L$1006,"Approved"))</f>
        <v/>
      </c>
      <c r="K587" s="76">
        <f>IF(B587="","",I587+J587)</f>
        <v/>
      </c>
      <c r="L587" s="74" t="n"/>
      <c r="M587" s="109" t="n"/>
      <c r="N587" s="109" t="n"/>
      <c r="O587" s="74" t="n"/>
      <c r="P587" s="74" t="n"/>
      <c r="Q587" s="100" t="n"/>
      <c r="R587" s="110" t="n"/>
      <c r="S587" s="75">
        <f>IF(B587="","",SUMIFS('Payments'!$N$6:$N$1005,'Payments'!$B$6:$B$1005,B587))</f>
        <v/>
      </c>
      <c r="T587" s="111">
        <f>IF(OR(B587="",K587=0),"",S587/K587)</f>
        <v/>
      </c>
      <c r="U587" s="78">
        <f>IF(V587="","",IF(V587=2,"⚠️ Paying ahead of work","✓ OK"))</f>
        <v/>
      </c>
      <c r="V587" s="79">
        <f>IF(T587="","",IF(T587-R587&gt;OverpayTol,2,0))</f>
        <v/>
      </c>
      <c r="W587" s="112">
        <f>IF(V587=2,AsOf,"")</f>
        <v/>
      </c>
      <c r="X587" s="79">
        <f>IF(W587="","",1)</f>
        <v/>
      </c>
      <c r="Y587" s="79">
        <f>IF(X587="","","Paying ahead of work: "&amp;B587&amp;" — paid "&amp;ROUND(T587*100,0)&amp;"%, work done "&amp;ROUND(R587*100,0)&amp;"%")</f>
        <v/>
      </c>
      <c r="AA587" s="72" t="n"/>
      <c r="AB587" s="109" t="n"/>
      <c r="AC587" s="113" t="n"/>
      <c r="AD587" s="74" t="n"/>
      <c r="AE587" s="109" t="n"/>
      <c r="AF587" s="74" t="n"/>
      <c r="AG587" s="112">
        <f>IF(AND(AA587&lt;&gt;"",AD587="Yes",AF587&lt;&gt;"Yes",AE587&lt;&gt;""),AE587,"")</f>
        <v/>
      </c>
      <c r="AH587" s="79">
        <f>IF(AG587="","",IF(AG587&lt;AsOf,1,IF(AG587&lt;=AsOf+AlertDays,2,IF(AG587&lt;=AsOf+2*AlertDays,3,""))))</f>
        <v/>
      </c>
      <c r="AI587" s="79">
        <f>IF(AH587="","","Follow up with "&amp;AA587&amp;": "&amp;AC587)</f>
        <v/>
      </c>
    </row>
    <row r="588" ht="20" customHeight="1">
      <c r="B588" s="72" t="n"/>
      <c r="C588" s="72" t="n"/>
      <c r="D588" s="72" t="n"/>
      <c r="E588" s="72" t="n"/>
      <c r="F588" s="72" t="n"/>
      <c r="G588" s="72" t="n"/>
      <c r="H588" s="72" t="n"/>
      <c r="I588" s="73" t="n"/>
      <c r="J588" s="75">
        <f>IF(B588="","",SUMIFS('Change Orders'!$J$7:$J$1006,'Change Orders'!$E$7:$E$1006,B588,'Change Orders'!$L$7:$L$1006,"Approved"))</f>
        <v/>
      </c>
      <c r="K588" s="76">
        <f>IF(B588="","",I588+J588)</f>
        <v/>
      </c>
      <c r="L588" s="74" t="n"/>
      <c r="M588" s="109" t="n"/>
      <c r="N588" s="109" t="n"/>
      <c r="O588" s="74" t="n"/>
      <c r="P588" s="74" t="n"/>
      <c r="Q588" s="100" t="n"/>
      <c r="R588" s="110" t="n"/>
      <c r="S588" s="75">
        <f>IF(B588="","",SUMIFS('Payments'!$N$6:$N$1005,'Payments'!$B$6:$B$1005,B588))</f>
        <v/>
      </c>
      <c r="T588" s="111">
        <f>IF(OR(B588="",K588=0),"",S588/K588)</f>
        <v/>
      </c>
      <c r="U588" s="78">
        <f>IF(V588="","",IF(V588=2,"⚠️ Paying ahead of work","✓ OK"))</f>
        <v/>
      </c>
      <c r="V588" s="79">
        <f>IF(T588="","",IF(T588-R588&gt;OverpayTol,2,0))</f>
        <v/>
      </c>
      <c r="W588" s="112">
        <f>IF(V588=2,AsOf,"")</f>
        <v/>
      </c>
      <c r="X588" s="79">
        <f>IF(W588="","",1)</f>
        <v/>
      </c>
      <c r="Y588" s="79">
        <f>IF(X588="","","Paying ahead of work: "&amp;B588&amp;" — paid "&amp;ROUND(T588*100,0)&amp;"%, work done "&amp;ROUND(R588*100,0)&amp;"%")</f>
        <v/>
      </c>
      <c r="AA588" s="72" t="n"/>
      <c r="AB588" s="109" t="n"/>
      <c r="AC588" s="113" t="n"/>
      <c r="AD588" s="74" t="n"/>
      <c r="AE588" s="109" t="n"/>
      <c r="AF588" s="74" t="n"/>
      <c r="AG588" s="112">
        <f>IF(AND(AA588&lt;&gt;"",AD588="Yes",AF588&lt;&gt;"Yes",AE588&lt;&gt;""),AE588,"")</f>
        <v/>
      </c>
      <c r="AH588" s="79">
        <f>IF(AG588="","",IF(AG588&lt;AsOf,1,IF(AG588&lt;=AsOf+AlertDays,2,IF(AG588&lt;=AsOf+2*AlertDays,3,""))))</f>
        <v/>
      </c>
      <c r="AI588" s="79">
        <f>IF(AH588="","","Follow up with "&amp;AA588&amp;": "&amp;AC588)</f>
        <v/>
      </c>
    </row>
    <row r="589" ht="20" customHeight="1">
      <c r="B589" s="72" t="n"/>
      <c r="C589" s="72" t="n"/>
      <c r="D589" s="72" t="n"/>
      <c r="E589" s="72" t="n"/>
      <c r="F589" s="72" t="n"/>
      <c r="G589" s="72" t="n"/>
      <c r="H589" s="72" t="n"/>
      <c r="I589" s="73" t="n"/>
      <c r="J589" s="75">
        <f>IF(B589="","",SUMIFS('Change Orders'!$J$7:$J$1006,'Change Orders'!$E$7:$E$1006,B589,'Change Orders'!$L$7:$L$1006,"Approved"))</f>
        <v/>
      </c>
      <c r="K589" s="76">
        <f>IF(B589="","",I589+J589)</f>
        <v/>
      </c>
      <c r="L589" s="74" t="n"/>
      <c r="M589" s="109" t="n"/>
      <c r="N589" s="109" t="n"/>
      <c r="O589" s="74" t="n"/>
      <c r="P589" s="74" t="n"/>
      <c r="Q589" s="100" t="n"/>
      <c r="R589" s="110" t="n"/>
      <c r="S589" s="75">
        <f>IF(B589="","",SUMIFS('Payments'!$N$6:$N$1005,'Payments'!$B$6:$B$1005,B589))</f>
        <v/>
      </c>
      <c r="T589" s="111">
        <f>IF(OR(B589="",K589=0),"",S589/K589)</f>
        <v/>
      </c>
      <c r="U589" s="78">
        <f>IF(V589="","",IF(V589=2,"⚠️ Paying ahead of work","✓ OK"))</f>
        <v/>
      </c>
      <c r="V589" s="79">
        <f>IF(T589="","",IF(T589-R589&gt;OverpayTol,2,0))</f>
        <v/>
      </c>
      <c r="W589" s="112">
        <f>IF(V589=2,AsOf,"")</f>
        <v/>
      </c>
      <c r="X589" s="79">
        <f>IF(W589="","",1)</f>
        <v/>
      </c>
      <c r="Y589" s="79">
        <f>IF(X589="","","Paying ahead of work: "&amp;B589&amp;" — paid "&amp;ROUND(T589*100,0)&amp;"%, work done "&amp;ROUND(R589*100,0)&amp;"%")</f>
        <v/>
      </c>
      <c r="AA589" s="72" t="n"/>
      <c r="AB589" s="109" t="n"/>
      <c r="AC589" s="113" t="n"/>
      <c r="AD589" s="74" t="n"/>
      <c r="AE589" s="109" t="n"/>
      <c r="AF589" s="74" t="n"/>
      <c r="AG589" s="112">
        <f>IF(AND(AA589&lt;&gt;"",AD589="Yes",AF589&lt;&gt;"Yes",AE589&lt;&gt;""),AE589,"")</f>
        <v/>
      </c>
      <c r="AH589" s="79">
        <f>IF(AG589="","",IF(AG589&lt;AsOf,1,IF(AG589&lt;=AsOf+AlertDays,2,IF(AG589&lt;=AsOf+2*AlertDays,3,""))))</f>
        <v/>
      </c>
      <c r="AI589" s="79">
        <f>IF(AH589="","","Follow up with "&amp;AA589&amp;": "&amp;AC589)</f>
        <v/>
      </c>
    </row>
    <row r="590" ht="20" customHeight="1">
      <c r="B590" s="72" t="n"/>
      <c r="C590" s="72" t="n"/>
      <c r="D590" s="72" t="n"/>
      <c r="E590" s="72" t="n"/>
      <c r="F590" s="72" t="n"/>
      <c r="G590" s="72" t="n"/>
      <c r="H590" s="72" t="n"/>
      <c r="I590" s="73" t="n"/>
      <c r="J590" s="75">
        <f>IF(B590="","",SUMIFS('Change Orders'!$J$7:$J$1006,'Change Orders'!$E$7:$E$1006,B590,'Change Orders'!$L$7:$L$1006,"Approved"))</f>
        <v/>
      </c>
      <c r="K590" s="76">
        <f>IF(B590="","",I590+J590)</f>
        <v/>
      </c>
      <c r="L590" s="74" t="n"/>
      <c r="M590" s="109" t="n"/>
      <c r="N590" s="109" t="n"/>
      <c r="O590" s="74" t="n"/>
      <c r="P590" s="74" t="n"/>
      <c r="Q590" s="100" t="n"/>
      <c r="R590" s="110" t="n"/>
      <c r="S590" s="75">
        <f>IF(B590="","",SUMIFS('Payments'!$N$6:$N$1005,'Payments'!$B$6:$B$1005,B590))</f>
        <v/>
      </c>
      <c r="T590" s="111">
        <f>IF(OR(B590="",K590=0),"",S590/K590)</f>
        <v/>
      </c>
      <c r="U590" s="78">
        <f>IF(V590="","",IF(V590=2,"⚠️ Paying ahead of work","✓ OK"))</f>
        <v/>
      </c>
      <c r="V590" s="79">
        <f>IF(T590="","",IF(T590-R590&gt;OverpayTol,2,0))</f>
        <v/>
      </c>
      <c r="W590" s="112">
        <f>IF(V590=2,AsOf,"")</f>
        <v/>
      </c>
      <c r="X590" s="79">
        <f>IF(W590="","",1)</f>
        <v/>
      </c>
      <c r="Y590" s="79">
        <f>IF(X590="","","Paying ahead of work: "&amp;B590&amp;" — paid "&amp;ROUND(T590*100,0)&amp;"%, work done "&amp;ROUND(R590*100,0)&amp;"%")</f>
        <v/>
      </c>
      <c r="AA590" s="72" t="n"/>
      <c r="AB590" s="109" t="n"/>
      <c r="AC590" s="113" t="n"/>
      <c r="AD590" s="74" t="n"/>
      <c r="AE590" s="109" t="n"/>
      <c r="AF590" s="74" t="n"/>
      <c r="AG590" s="112">
        <f>IF(AND(AA590&lt;&gt;"",AD590="Yes",AF590&lt;&gt;"Yes",AE590&lt;&gt;""),AE590,"")</f>
        <v/>
      </c>
      <c r="AH590" s="79">
        <f>IF(AG590="","",IF(AG590&lt;AsOf,1,IF(AG590&lt;=AsOf+AlertDays,2,IF(AG590&lt;=AsOf+2*AlertDays,3,""))))</f>
        <v/>
      </c>
      <c r="AI590" s="79">
        <f>IF(AH590="","","Follow up with "&amp;AA590&amp;": "&amp;AC590)</f>
        <v/>
      </c>
    </row>
    <row r="591" ht="20" customHeight="1">
      <c r="B591" s="72" t="n"/>
      <c r="C591" s="72" t="n"/>
      <c r="D591" s="72" t="n"/>
      <c r="E591" s="72" t="n"/>
      <c r="F591" s="72" t="n"/>
      <c r="G591" s="72" t="n"/>
      <c r="H591" s="72" t="n"/>
      <c r="I591" s="73" t="n"/>
      <c r="J591" s="75">
        <f>IF(B591="","",SUMIFS('Change Orders'!$J$7:$J$1006,'Change Orders'!$E$7:$E$1006,B591,'Change Orders'!$L$7:$L$1006,"Approved"))</f>
        <v/>
      </c>
      <c r="K591" s="76">
        <f>IF(B591="","",I591+J591)</f>
        <v/>
      </c>
      <c r="L591" s="74" t="n"/>
      <c r="M591" s="109" t="n"/>
      <c r="N591" s="109" t="n"/>
      <c r="O591" s="74" t="n"/>
      <c r="P591" s="74" t="n"/>
      <c r="Q591" s="100" t="n"/>
      <c r="R591" s="110" t="n"/>
      <c r="S591" s="75">
        <f>IF(B591="","",SUMIFS('Payments'!$N$6:$N$1005,'Payments'!$B$6:$B$1005,B591))</f>
        <v/>
      </c>
      <c r="T591" s="111">
        <f>IF(OR(B591="",K591=0),"",S591/K591)</f>
        <v/>
      </c>
      <c r="U591" s="78">
        <f>IF(V591="","",IF(V591=2,"⚠️ Paying ahead of work","✓ OK"))</f>
        <v/>
      </c>
      <c r="V591" s="79">
        <f>IF(T591="","",IF(T591-R591&gt;OverpayTol,2,0))</f>
        <v/>
      </c>
      <c r="W591" s="112">
        <f>IF(V591=2,AsOf,"")</f>
        <v/>
      </c>
      <c r="X591" s="79">
        <f>IF(W591="","",1)</f>
        <v/>
      </c>
      <c r="Y591" s="79">
        <f>IF(X591="","","Paying ahead of work: "&amp;B591&amp;" — paid "&amp;ROUND(T591*100,0)&amp;"%, work done "&amp;ROUND(R591*100,0)&amp;"%")</f>
        <v/>
      </c>
      <c r="AA591" s="72" t="n"/>
      <c r="AB591" s="109" t="n"/>
      <c r="AC591" s="113" t="n"/>
      <c r="AD591" s="74" t="n"/>
      <c r="AE591" s="109" t="n"/>
      <c r="AF591" s="74" t="n"/>
      <c r="AG591" s="112">
        <f>IF(AND(AA591&lt;&gt;"",AD591="Yes",AF591&lt;&gt;"Yes",AE591&lt;&gt;""),AE591,"")</f>
        <v/>
      </c>
      <c r="AH591" s="79">
        <f>IF(AG591="","",IF(AG591&lt;AsOf,1,IF(AG591&lt;=AsOf+AlertDays,2,IF(AG591&lt;=AsOf+2*AlertDays,3,""))))</f>
        <v/>
      </c>
      <c r="AI591" s="79">
        <f>IF(AH591="","","Follow up with "&amp;AA591&amp;": "&amp;AC591)</f>
        <v/>
      </c>
    </row>
    <row r="592" ht="20" customHeight="1">
      <c r="B592" s="72" t="n"/>
      <c r="C592" s="72" t="n"/>
      <c r="D592" s="72" t="n"/>
      <c r="E592" s="72" t="n"/>
      <c r="F592" s="72" t="n"/>
      <c r="G592" s="72" t="n"/>
      <c r="H592" s="72" t="n"/>
      <c r="I592" s="73" t="n"/>
      <c r="J592" s="75">
        <f>IF(B592="","",SUMIFS('Change Orders'!$J$7:$J$1006,'Change Orders'!$E$7:$E$1006,B592,'Change Orders'!$L$7:$L$1006,"Approved"))</f>
        <v/>
      </c>
      <c r="K592" s="76">
        <f>IF(B592="","",I592+J592)</f>
        <v/>
      </c>
      <c r="L592" s="74" t="n"/>
      <c r="M592" s="109" t="n"/>
      <c r="N592" s="109" t="n"/>
      <c r="O592" s="74" t="n"/>
      <c r="P592" s="74" t="n"/>
      <c r="Q592" s="100" t="n"/>
      <c r="R592" s="110" t="n"/>
      <c r="S592" s="75">
        <f>IF(B592="","",SUMIFS('Payments'!$N$6:$N$1005,'Payments'!$B$6:$B$1005,B592))</f>
        <v/>
      </c>
      <c r="T592" s="111">
        <f>IF(OR(B592="",K592=0),"",S592/K592)</f>
        <v/>
      </c>
      <c r="U592" s="78">
        <f>IF(V592="","",IF(V592=2,"⚠️ Paying ahead of work","✓ OK"))</f>
        <v/>
      </c>
      <c r="V592" s="79">
        <f>IF(T592="","",IF(T592-R592&gt;OverpayTol,2,0))</f>
        <v/>
      </c>
      <c r="W592" s="112">
        <f>IF(V592=2,AsOf,"")</f>
        <v/>
      </c>
      <c r="X592" s="79">
        <f>IF(W592="","",1)</f>
        <v/>
      </c>
      <c r="Y592" s="79">
        <f>IF(X592="","","Paying ahead of work: "&amp;B592&amp;" — paid "&amp;ROUND(T592*100,0)&amp;"%, work done "&amp;ROUND(R592*100,0)&amp;"%")</f>
        <v/>
      </c>
      <c r="AA592" s="72" t="n"/>
      <c r="AB592" s="109" t="n"/>
      <c r="AC592" s="113" t="n"/>
      <c r="AD592" s="74" t="n"/>
      <c r="AE592" s="109" t="n"/>
      <c r="AF592" s="74" t="n"/>
      <c r="AG592" s="112">
        <f>IF(AND(AA592&lt;&gt;"",AD592="Yes",AF592&lt;&gt;"Yes",AE592&lt;&gt;""),AE592,"")</f>
        <v/>
      </c>
      <c r="AH592" s="79">
        <f>IF(AG592="","",IF(AG592&lt;AsOf,1,IF(AG592&lt;=AsOf+AlertDays,2,IF(AG592&lt;=AsOf+2*AlertDays,3,""))))</f>
        <v/>
      </c>
      <c r="AI592" s="79">
        <f>IF(AH592="","","Follow up with "&amp;AA592&amp;": "&amp;AC592)</f>
        <v/>
      </c>
    </row>
    <row r="593" ht="20" customHeight="1">
      <c r="B593" s="72" t="n"/>
      <c r="C593" s="72" t="n"/>
      <c r="D593" s="72" t="n"/>
      <c r="E593" s="72" t="n"/>
      <c r="F593" s="72" t="n"/>
      <c r="G593" s="72" t="n"/>
      <c r="H593" s="72" t="n"/>
      <c r="I593" s="73" t="n"/>
      <c r="J593" s="75">
        <f>IF(B593="","",SUMIFS('Change Orders'!$J$7:$J$1006,'Change Orders'!$E$7:$E$1006,B593,'Change Orders'!$L$7:$L$1006,"Approved"))</f>
        <v/>
      </c>
      <c r="K593" s="76">
        <f>IF(B593="","",I593+J593)</f>
        <v/>
      </c>
      <c r="L593" s="74" t="n"/>
      <c r="M593" s="109" t="n"/>
      <c r="N593" s="109" t="n"/>
      <c r="O593" s="74" t="n"/>
      <c r="P593" s="74" t="n"/>
      <c r="Q593" s="100" t="n"/>
      <c r="R593" s="110" t="n"/>
      <c r="S593" s="75">
        <f>IF(B593="","",SUMIFS('Payments'!$N$6:$N$1005,'Payments'!$B$6:$B$1005,B593))</f>
        <v/>
      </c>
      <c r="T593" s="111">
        <f>IF(OR(B593="",K593=0),"",S593/K593)</f>
        <v/>
      </c>
      <c r="U593" s="78">
        <f>IF(V593="","",IF(V593=2,"⚠️ Paying ahead of work","✓ OK"))</f>
        <v/>
      </c>
      <c r="V593" s="79">
        <f>IF(T593="","",IF(T593-R593&gt;OverpayTol,2,0))</f>
        <v/>
      </c>
      <c r="W593" s="112">
        <f>IF(V593=2,AsOf,"")</f>
        <v/>
      </c>
      <c r="X593" s="79">
        <f>IF(W593="","",1)</f>
        <v/>
      </c>
      <c r="Y593" s="79">
        <f>IF(X593="","","Paying ahead of work: "&amp;B593&amp;" — paid "&amp;ROUND(T593*100,0)&amp;"%, work done "&amp;ROUND(R593*100,0)&amp;"%")</f>
        <v/>
      </c>
      <c r="AA593" s="72" t="n"/>
      <c r="AB593" s="109" t="n"/>
      <c r="AC593" s="113" t="n"/>
      <c r="AD593" s="74" t="n"/>
      <c r="AE593" s="109" t="n"/>
      <c r="AF593" s="74" t="n"/>
      <c r="AG593" s="112">
        <f>IF(AND(AA593&lt;&gt;"",AD593="Yes",AF593&lt;&gt;"Yes",AE593&lt;&gt;""),AE593,"")</f>
        <v/>
      </c>
      <c r="AH593" s="79">
        <f>IF(AG593="","",IF(AG593&lt;AsOf,1,IF(AG593&lt;=AsOf+AlertDays,2,IF(AG593&lt;=AsOf+2*AlertDays,3,""))))</f>
        <v/>
      </c>
      <c r="AI593" s="79">
        <f>IF(AH593="","","Follow up with "&amp;AA593&amp;": "&amp;AC593)</f>
        <v/>
      </c>
    </row>
    <row r="594" ht="20" customHeight="1">
      <c r="B594" s="72" t="n"/>
      <c r="C594" s="72" t="n"/>
      <c r="D594" s="72" t="n"/>
      <c r="E594" s="72" t="n"/>
      <c r="F594" s="72" t="n"/>
      <c r="G594" s="72" t="n"/>
      <c r="H594" s="72" t="n"/>
      <c r="I594" s="73" t="n"/>
      <c r="J594" s="75">
        <f>IF(B594="","",SUMIFS('Change Orders'!$J$7:$J$1006,'Change Orders'!$E$7:$E$1006,B594,'Change Orders'!$L$7:$L$1006,"Approved"))</f>
        <v/>
      </c>
      <c r="K594" s="76">
        <f>IF(B594="","",I594+J594)</f>
        <v/>
      </c>
      <c r="L594" s="74" t="n"/>
      <c r="M594" s="109" t="n"/>
      <c r="N594" s="109" t="n"/>
      <c r="O594" s="74" t="n"/>
      <c r="P594" s="74" t="n"/>
      <c r="Q594" s="100" t="n"/>
      <c r="R594" s="110" t="n"/>
      <c r="S594" s="75">
        <f>IF(B594="","",SUMIFS('Payments'!$N$6:$N$1005,'Payments'!$B$6:$B$1005,B594))</f>
        <v/>
      </c>
      <c r="T594" s="111">
        <f>IF(OR(B594="",K594=0),"",S594/K594)</f>
        <v/>
      </c>
      <c r="U594" s="78">
        <f>IF(V594="","",IF(V594=2,"⚠️ Paying ahead of work","✓ OK"))</f>
        <v/>
      </c>
      <c r="V594" s="79">
        <f>IF(T594="","",IF(T594-R594&gt;OverpayTol,2,0))</f>
        <v/>
      </c>
      <c r="W594" s="112">
        <f>IF(V594=2,AsOf,"")</f>
        <v/>
      </c>
      <c r="X594" s="79">
        <f>IF(W594="","",1)</f>
        <v/>
      </c>
      <c r="Y594" s="79">
        <f>IF(X594="","","Paying ahead of work: "&amp;B594&amp;" — paid "&amp;ROUND(T594*100,0)&amp;"%, work done "&amp;ROUND(R594*100,0)&amp;"%")</f>
        <v/>
      </c>
      <c r="AA594" s="72" t="n"/>
      <c r="AB594" s="109" t="n"/>
      <c r="AC594" s="113" t="n"/>
      <c r="AD594" s="74" t="n"/>
      <c r="AE594" s="109" t="n"/>
      <c r="AF594" s="74" t="n"/>
      <c r="AG594" s="112">
        <f>IF(AND(AA594&lt;&gt;"",AD594="Yes",AF594&lt;&gt;"Yes",AE594&lt;&gt;""),AE594,"")</f>
        <v/>
      </c>
      <c r="AH594" s="79">
        <f>IF(AG594="","",IF(AG594&lt;AsOf,1,IF(AG594&lt;=AsOf+AlertDays,2,IF(AG594&lt;=AsOf+2*AlertDays,3,""))))</f>
        <v/>
      </c>
      <c r="AI594" s="79">
        <f>IF(AH594="","","Follow up with "&amp;AA594&amp;": "&amp;AC594)</f>
        <v/>
      </c>
    </row>
    <row r="595" ht="20" customHeight="1">
      <c r="B595" s="72" t="n"/>
      <c r="C595" s="72" t="n"/>
      <c r="D595" s="72" t="n"/>
      <c r="E595" s="72" t="n"/>
      <c r="F595" s="72" t="n"/>
      <c r="G595" s="72" t="n"/>
      <c r="H595" s="72" t="n"/>
      <c r="I595" s="73" t="n"/>
      <c r="J595" s="75">
        <f>IF(B595="","",SUMIFS('Change Orders'!$J$7:$J$1006,'Change Orders'!$E$7:$E$1006,B595,'Change Orders'!$L$7:$L$1006,"Approved"))</f>
        <v/>
      </c>
      <c r="K595" s="76">
        <f>IF(B595="","",I595+J595)</f>
        <v/>
      </c>
      <c r="L595" s="74" t="n"/>
      <c r="M595" s="109" t="n"/>
      <c r="N595" s="109" t="n"/>
      <c r="O595" s="74" t="n"/>
      <c r="P595" s="74" t="n"/>
      <c r="Q595" s="100" t="n"/>
      <c r="R595" s="110" t="n"/>
      <c r="S595" s="75">
        <f>IF(B595="","",SUMIFS('Payments'!$N$6:$N$1005,'Payments'!$B$6:$B$1005,B595))</f>
        <v/>
      </c>
      <c r="T595" s="111">
        <f>IF(OR(B595="",K595=0),"",S595/K595)</f>
        <v/>
      </c>
      <c r="U595" s="78">
        <f>IF(V595="","",IF(V595=2,"⚠️ Paying ahead of work","✓ OK"))</f>
        <v/>
      </c>
      <c r="V595" s="79">
        <f>IF(T595="","",IF(T595-R595&gt;OverpayTol,2,0))</f>
        <v/>
      </c>
      <c r="W595" s="112">
        <f>IF(V595=2,AsOf,"")</f>
        <v/>
      </c>
      <c r="X595" s="79">
        <f>IF(W595="","",1)</f>
        <v/>
      </c>
      <c r="Y595" s="79">
        <f>IF(X595="","","Paying ahead of work: "&amp;B595&amp;" — paid "&amp;ROUND(T595*100,0)&amp;"%, work done "&amp;ROUND(R595*100,0)&amp;"%")</f>
        <v/>
      </c>
      <c r="AA595" s="72" t="n"/>
      <c r="AB595" s="109" t="n"/>
      <c r="AC595" s="113" t="n"/>
      <c r="AD595" s="74" t="n"/>
      <c r="AE595" s="109" t="n"/>
      <c r="AF595" s="74" t="n"/>
      <c r="AG595" s="112">
        <f>IF(AND(AA595&lt;&gt;"",AD595="Yes",AF595&lt;&gt;"Yes",AE595&lt;&gt;""),AE595,"")</f>
        <v/>
      </c>
      <c r="AH595" s="79">
        <f>IF(AG595="","",IF(AG595&lt;AsOf,1,IF(AG595&lt;=AsOf+AlertDays,2,IF(AG595&lt;=AsOf+2*AlertDays,3,""))))</f>
        <v/>
      </c>
      <c r="AI595" s="79">
        <f>IF(AH595="","","Follow up with "&amp;AA595&amp;": "&amp;AC595)</f>
        <v/>
      </c>
    </row>
    <row r="596" ht="20" customHeight="1">
      <c r="B596" s="72" t="n"/>
      <c r="C596" s="72" t="n"/>
      <c r="D596" s="72" t="n"/>
      <c r="E596" s="72" t="n"/>
      <c r="F596" s="72" t="n"/>
      <c r="G596" s="72" t="n"/>
      <c r="H596" s="72" t="n"/>
      <c r="I596" s="73" t="n"/>
      <c r="J596" s="75">
        <f>IF(B596="","",SUMIFS('Change Orders'!$J$7:$J$1006,'Change Orders'!$E$7:$E$1006,B596,'Change Orders'!$L$7:$L$1006,"Approved"))</f>
        <v/>
      </c>
      <c r="K596" s="76">
        <f>IF(B596="","",I596+J596)</f>
        <v/>
      </c>
      <c r="L596" s="74" t="n"/>
      <c r="M596" s="109" t="n"/>
      <c r="N596" s="109" t="n"/>
      <c r="O596" s="74" t="n"/>
      <c r="P596" s="74" t="n"/>
      <c r="Q596" s="100" t="n"/>
      <c r="R596" s="110" t="n"/>
      <c r="S596" s="75">
        <f>IF(B596="","",SUMIFS('Payments'!$N$6:$N$1005,'Payments'!$B$6:$B$1005,B596))</f>
        <v/>
      </c>
      <c r="T596" s="111">
        <f>IF(OR(B596="",K596=0),"",S596/K596)</f>
        <v/>
      </c>
      <c r="U596" s="78">
        <f>IF(V596="","",IF(V596=2,"⚠️ Paying ahead of work","✓ OK"))</f>
        <v/>
      </c>
      <c r="V596" s="79">
        <f>IF(T596="","",IF(T596-R596&gt;OverpayTol,2,0))</f>
        <v/>
      </c>
      <c r="W596" s="112">
        <f>IF(V596=2,AsOf,"")</f>
        <v/>
      </c>
      <c r="X596" s="79">
        <f>IF(W596="","",1)</f>
        <v/>
      </c>
      <c r="Y596" s="79">
        <f>IF(X596="","","Paying ahead of work: "&amp;B596&amp;" — paid "&amp;ROUND(T596*100,0)&amp;"%, work done "&amp;ROUND(R596*100,0)&amp;"%")</f>
        <v/>
      </c>
      <c r="AA596" s="72" t="n"/>
      <c r="AB596" s="109" t="n"/>
      <c r="AC596" s="113" t="n"/>
      <c r="AD596" s="74" t="n"/>
      <c r="AE596" s="109" t="n"/>
      <c r="AF596" s="74" t="n"/>
      <c r="AG596" s="112">
        <f>IF(AND(AA596&lt;&gt;"",AD596="Yes",AF596&lt;&gt;"Yes",AE596&lt;&gt;""),AE596,"")</f>
        <v/>
      </c>
      <c r="AH596" s="79">
        <f>IF(AG596="","",IF(AG596&lt;AsOf,1,IF(AG596&lt;=AsOf+AlertDays,2,IF(AG596&lt;=AsOf+2*AlertDays,3,""))))</f>
        <v/>
      </c>
      <c r="AI596" s="79">
        <f>IF(AH596="","","Follow up with "&amp;AA596&amp;": "&amp;AC596)</f>
        <v/>
      </c>
    </row>
    <row r="597" ht="20" customHeight="1">
      <c r="B597" s="72" t="n"/>
      <c r="C597" s="72" t="n"/>
      <c r="D597" s="72" t="n"/>
      <c r="E597" s="72" t="n"/>
      <c r="F597" s="72" t="n"/>
      <c r="G597" s="72" t="n"/>
      <c r="H597" s="72" t="n"/>
      <c r="I597" s="73" t="n"/>
      <c r="J597" s="75">
        <f>IF(B597="","",SUMIFS('Change Orders'!$J$7:$J$1006,'Change Orders'!$E$7:$E$1006,B597,'Change Orders'!$L$7:$L$1006,"Approved"))</f>
        <v/>
      </c>
      <c r="K597" s="76">
        <f>IF(B597="","",I597+J597)</f>
        <v/>
      </c>
      <c r="L597" s="74" t="n"/>
      <c r="M597" s="109" t="n"/>
      <c r="N597" s="109" t="n"/>
      <c r="O597" s="74" t="n"/>
      <c r="P597" s="74" t="n"/>
      <c r="Q597" s="100" t="n"/>
      <c r="R597" s="110" t="n"/>
      <c r="S597" s="75">
        <f>IF(B597="","",SUMIFS('Payments'!$N$6:$N$1005,'Payments'!$B$6:$B$1005,B597))</f>
        <v/>
      </c>
      <c r="T597" s="111">
        <f>IF(OR(B597="",K597=0),"",S597/K597)</f>
        <v/>
      </c>
      <c r="U597" s="78">
        <f>IF(V597="","",IF(V597=2,"⚠️ Paying ahead of work","✓ OK"))</f>
        <v/>
      </c>
      <c r="V597" s="79">
        <f>IF(T597="","",IF(T597-R597&gt;OverpayTol,2,0))</f>
        <v/>
      </c>
      <c r="W597" s="112">
        <f>IF(V597=2,AsOf,"")</f>
        <v/>
      </c>
      <c r="X597" s="79">
        <f>IF(W597="","",1)</f>
        <v/>
      </c>
      <c r="Y597" s="79">
        <f>IF(X597="","","Paying ahead of work: "&amp;B597&amp;" — paid "&amp;ROUND(T597*100,0)&amp;"%, work done "&amp;ROUND(R597*100,0)&amp;"%")</f>
        <v/>
      </c>
      <c r="AA597" s="72" t="n"/>
      <c r="AB597" s="109" t="n"/>
      <c r="AC597" s="113" t="n"/>
      <c r="AD597" s="74" t="n"/>
      <c r="AE597" s="109" t="n"/>
      <c r="AF597" s="74" t="n"/>
      <c r="AG597" s="112">
        <f>IF(AND(AA597&lt;&gt;"",AD597="Yes",AF597&lt;&gt;"Yes",AE597&lt;&gt;""),AE597,"")</f>
        <v/>
      </c>
      <c r="AH597" s="79">
        <f>IF(AG597="","",IF(AG597&lt;AsOf,1,IF(AG597&lt;=AsOf+AlertDays,2,IF(AG597&lt;=AsOf+2*AlertDays,3,""))))</f>
        <v/>
      </c>
      <c r="AI597" s="79">
        <f>IF(AH597="","","Follow up with "&amp;AA597&amp;": "&amp;AC597)</f>
        <v/>
      </c>
    </row>
    <row r="598" ht="20" customHeight="1">
      <c r="B598" s="72" t="n"/>
      <c r="C598" s="72" t="n"/>
      <c r="D598" s="72" t="n"/>
      <c r="E598" s="72" t="n"/>
      <c r="F598" s="72" t="n"/>
      <c r="G598" s="72" t="n"/>
      <c r="H598" s="72" t="n"/>
      <c r="I598" s="73" t="n"/>
      <c r="J598" s="75">
        <f>IF(B598="","",SUMIFS('Change Orders'!$J$7:$J$1006,'Change Orders'!$E$7:$E$1006,B598,'Change Orders'!$L$7:$L$1006,"Approved"))</f>
        <v/>
      </c>
      <c r="K598" s="76">
        <f>IF(B598="","",I598+J598)</f>
        <v/>
      </c>
      <c r="L598" s="74" t="n"/>
      <c r="M598" s="109" t="n"/>
      <c r="N598" s="109" t="n"/>
      <c r="O598" s="74" t="n"/>
      <c r="P598" s="74" t="n"/>
      <c r="Q598" s="100" t="n"/>
      <c r="R598" s="110" t="n"/>
      <c r="S598" s="75">
        <f>IF(B598="","",SUMIFS('Payments'!$N$6:$N$1005,'Payments'!$B$6:$B$1005,B598))</f>
        <v/>
      </c>
      <c r="T598" s="111">
        <f>IF(OR(B598="",K598=0),"",S598/K598)</f>
        <v/>
      </c>
      <c r="U598" s="78">
        <f>IF(V598="","",IF(V598=2,"⚠️ Paying ahead of work","✓ OK"))</f>
        <v/>
      </c>
      <c r="V598" s="79">
        <f>IF(T598="","",IF(T598-R598&gt;OverpayTol,2,0))</f>
        <v/>
      </c>
      <c r="W598" s="112">
        <f>IF(V598=2,AsOf,"")</f>
        <v/>
      </c>
      <c r="X598" s="79">
        <f>IF(W598="","",1)</f>
        <v/>
      </c>
      <c r="Y598" s="79">
        <f>IF(X598="","","Paying ahead of work: "&amp;B598&amp;" — paid "&amp;ROUND(T598*100,0)&amp;"%, work done "&amp;ROUND(R598*100,0)&amp;"%")</f>
        <v/>
      </c>
      <c r="AA598" s="72" t="n"/>
      <c r="AB598" s="109" t="n"/>
      <c r="AC598" s="113" t="n"/>
      <c r="AD598" s="74" t="n"/>
      <c r="AE598" s="109" t="n"/>
      <c r="AF598" s="74" t="n"/>
      <c r="AG598" s="112">
        <f>IF(AND(AA598&lt;&gt;"",AD598="Yes",AF598&lt;&gt;"Yes",AE598&lt;&gt;""),AE598,"")</f>
        <v/>
      </c>
      <c r="AH598" s="79">
        <f>IF(AG598="","",IF(AG598&lt;AsOf,1,IF(AG598&lt;=AsOf+AlertDays,2,IF(AG598&lt;=AsOf+2*AlertDays,3,""))))</f>
        <v/>
      </c>
      <c r="AI598" s="79">
        <f>IF(AH598="","","Follow up with "&amp;AA598&amp;": "&amp;AC598)</f>
        <v/>
      </c>
    </row>
    <row r="599" ht="20" customHeight="1">
      <c r="B599" s="72" t="n"/>
      <c r="C599" s="72" t="n"/>
      <c r="D599" s="72" t="n"/>
      <c r="E599" s="72" t="n"/>
      <c r="F599" s="72" t="n"/>
      <c r="G599" s="72" t="n"/>
      <c r="H599" s="72" t="n"/>
      <c r="I599" s="73" t="n"/>
      <c r="J599" s="75">
        <f>IF(B599="","",SUMIFS('Change Orders'!$J$7:$J$1006,'Change Orders'!$E$7:$E$1006,B599,'Change Orders'!$L$7:$L$1006,"Approved"))</f>
        <v/>
      </c>
      <c r="K599" s="76">
        <f>IF(B599="","",I599+J599)</f>
        <v/>
      </c>
      <c r="L599" s="74" t="n"/>
      <c r="M599" s="109" t="n"/>
      <c r="N599" s="109" t="n"/>
      <c r="O599" s="74" t="n"/>
      <c r="P599" s="74" t="n"/>
      <c r="Q599" s="100" t="n"/>
      <c r="R599" s="110" t="n"/>
      <c r="S599" s="75">
        <f>IF(B599="","",SUMIFS('Payments'!$N$6:$N$1005,'Payments'!$B$6:$B$1005,B599))</f>
        <v/>
      </c>
      <c r="T599" s="111">
        <f>IF(OR(B599="",K599=0),"",S599/K599)</f>
        <v/>
      </c>
      <c r="U599" s="78">
        <f>IF(V599="","",IF(V599=2,"⚠️ Paying ahead of work","✓ OK"))</f>
        <v/>
      </c>
      <c r="V599" s="79">
        <f>IF(T599="","",IF(T599-R599&gt;OverpayTol,2,0))</f>
        <v/>
      </c>
      <c r="W599" s="112">
        <f>IF(V599=2,AsOf,"")</f>
        <v/>
      </c>
      <c r="X599" s="79">
        <f>IF(W599="","",1)</f>
        <v/>
      </c>
      <c r="Y599" s="79">
        <f>IF(X599="","","Paying ahead of work: "&amp;B599&amp;" — paid "&amp;ROUND(T599*100,0)&amp;"%, work done "&amp;ROUND(R599*100,0)&amp;"%")</f>
        <v/>
      </c>
      <c r="AA599" s="72" t="n"/>
      <c r="AB599" s="109" t="n"/>
      <c r="AC599" s="113" t="n"/>
      <c r="AD599" s="74" t="n"/>
      <c r="AE599" s="109" t="n"/>
      <c r="AF599" s="74" t="n"/>
      <c r="AG599" s="112">
        <f>IF(AND(AA599&lt;&gt;"",AD599="Yes",AF599&lt;&gt;"Yes",AE599&lt;&gt;""),AE599,"")</f>
        <v/>
      </c>
      <c r="AH599" s="79">
        <f>IF(AG599="","",IF(AG599&lt;AsOf,1,IF(AG599&lt;=AsOf+AlertDays,2,IF(AG599&lt;=AsOf+2*AlertDays,3,""))))</f>
        <v/>
      </c>
      <c r="AI599" s="79">
        <f>IF(AH599="","","Follow up with "&amp;AA599&amp;": "&amp;AC599)</f>
        <v/>
      </c>
    </row>
    <row r="600" ht="20" customHeight="1">
      <c r="B600" s="72" t="n"/>
      <c r="C600" s="72" t="n"/>
      <c r="D600" s="72" t="n"/>
      <c r="E600" s="72" t="n"/>
      <c r="F600" s="72" t="n"/>
      <c r="G600" s="72" t="n"/>
      <c r="H600" s="72" t="n"/>
      <c r="I600" s="73" t="n"/>
      <c r="J600" s="75">
        <f>IF(B600="","",SUMIFS('Change Orders'!$J$7:$J$1006,'Change Orders'!$E$7:$E$1006,B600,'Change Orders'!$L$7:$L$1006,"Approved"))</f>
        <v/>
      </c>
      <c r="K600" s="76">
        <f>IF(B600="","",I600+J600)</f>
        <v/>
      </c>
      <c r="L600" s="74" t="n"/>
      <c r="M600" s="109" t="n"/>
      <c r="N600" s="109" t="n"/>
      <c r="O600" s="74" t="n"/>
      <c r="P600" s="74" t="n"/>
      <c r="Q600" s="100" t="n"/>
      <c r="R600" s="110" t="n"/>
      <c r="S600" s="75">
        <f>IF(B600="","",SUMIFS('Payments'!$N$6:$N$1005,'Payments'!$B$6:$B$1005,B600))</f>
        <v/>
      </c>
      <c r="T600" s="111">
        <f>IF(OR(B600="",K600=0),"",S600/K600)</f>
        <v/>
      </c>
      <c r="U600" s="78">
        <f>IF(V600="","",IF(V600=2,"⚠️ Paying ahead of work","✓ OK"))</f>
        <v/>
      </c>
      <c r="V600" s="79">
        <f>IF(T600="","",IF(T600-R600&gt;OverpayTol,2,0))</f>
        <v/>
      </c>
      <c r="W600" s="112">
        <f>IF(V600=2,AsOf,"")</f>
        <v/>
      </c>
      <c r="X600" s="79">
        <f>IF(W600="","",1)</f>
        <v/>
      </c>
      <c r="Y600" s="79">
        <f>IF(X600="","","Paying ahead of work: "&amp;B600&amp;" — paid "&amp;ROUND(T600*100,0)&amp;"%, work done "&amp;ROUND(R600*100,0)&amp;"%")</f>
        <v/>
      </c>
      <c r="AA600" s="72" t="n"/>
      <c r="AB600" s="109" t="n"/>
      <c r="AC600" s="113" t="n"/>
      <c r="AD600" s="74" t="n"/>
      <c r="AE600" s="109" t="n"/>
      <c r="AF600" s="74" t="n"/>
      <c r="AG600" s="112">
        <f>IF(AND(AA600&lt;&gt;"",AD600="Yes",AF600&lt;&gt;"Yes",AE600&lt;&gt;""),AE600,"")</f>
        <v/>
      </c>
      <c r="AH600" s="79">
        <f>IF(AG600="","",IF(AG600&lt;AsOf,1,IF(AG600&lt;=AsOf+AlertDays,2,IF(AG600&lt;=AsOf+2*AlertDays,3,""))))</f>
        <v/>
      </c>
      <c r="AI600" s="79">
        <f>IF(AH600="","","Follow up with "&amp;AA600&amp;": "&amp;AC600)</f>
        <v/>
      </c>
    </row>
    <row r="601" ht="20" customHeight="1">
      <c r="B601" s="72" t="n"/>
      <c r="C601" s="72" t="n"/>
      <c r="D601" s="72" t="n"/>
      <c r="E601" s="72" t="n"/>
      <c r="F601" s="72" t="n"/>
      <c r="G601" s="72" t="n"/>
      <c r="H601" s="72" t="n"/>
      <c r="I601" s="73" t="n"/>
      <c r="J601" s="75">
        <f>IF(B601="","",SUMIFS('Change Orders'!$J$7:$J$1006,'Change Orders'!$E$7:$E$1006,B601,'Change Orders'!$L$7:$L$1006,"Approved"))</f>
        <v/>
      </c>
      <c r="K601" s="76">
        <f>IF(B601="","",I601+J601)</f>
        <v/>
      </c>
      <c r="L601" s="74" t="n"/>
      <c r="M601" s="109" t="n"/>
      <c r="N601" s="109" t="n"/>
      <c r="O601" s="74" t="n"/>
      <c r="P601" s="74" t="n"/>
      <c r="Q601" s="100" t="n"/>
      <c r="R601" s="110" t="n"/>
      <c r="S601" s="75">
        <f>IF(B601="","",SUMIFS('Payments'!$N$6:$N$1005,'Payments'!$B$6:$B$1005,B601))</f>
        <v/>
      </c>
      <c r="T601" s="111">
        <f>IF(OR(B601="",K601=0),"",S601/K601)</f>
        <v/>
      </c>
      <c r="U601" s="78">
        <f>IF(V601="","",IF(V601=2,"⚠️ Paying ahead of work","✓ OK"))</f>
        <v/>
      </c>
      <c r="V601" s="79">
        <f>IF(T601="","",IF(T601-R601&gt;OverpayTol,2,0))</f>
        <v/>
      </c>
      <c r="W601" s="112">
        <f>IF(V601=2,AsOf,"")</f>
        <v/>
      </c>
      <c r="X601" s="79">
        <f>IF(W601="","",1)</f>
        <v/>
      </c>
      <c r="Y601" s="79">
        <f>IF(X601="","","Paying ahead of work: "&amp;B601&amp;" — paid "&amp;ROUND(T601*100,0)&amp;"%, work done "&amp;ROUND(R601*100,0)&amp;"%")</f>
        <v/>
      </c>
      <c r="AA601" s="72" t="n"/>
      <c r="AB601" s="109" t="n"/>
      <c r="AC601" s="113" t="n"/>
      <c r="AD601" s="74" t="n"/>
      <c r="AE601" s="109" t="n"/>
      <c r="AF601" s="74" t="n"/>
      <c r="AG601" s="112">
        <f>IF(AND(AA601&lt;&gt;"",AD601="Yes",AF601&lt;&gt;"Yes",AE601&lt;&gt;""),AE601,"")</f>
        <v/>
      </c>
      <c r="AH601" s="79">
        <f>IF(AG601="","",IF(AG601&lt;AsOf,1,IF(AG601&lt;=AsOf+AlertDays,2,IF(AG601&lt;=AsOf+2*AlertDays,3,""))))</f>
        <v/>
      </c>
      <c r="AI601" s="79">
        <f>IF(AH601="","","Follow up with "&amp;AA601&amp;": "&amp;AC601)</f>
        <v/>
      </c>
    </row>
    <row r="602" ht="20" customHeight="1">
      <c r="B602" s="72" t="n"/>
      <c r="C602" s="72" t="n"/>
      <c r="D602" s="72" t="n"/>
      <c r="E602" s="72" t="n"/>
      <c r="F602" s="72" t="n"/>
      <c r="G602" s="72" t="n"/>
      <c r="H602" s="72" t="n"/>
      <c r="I602" s="73" t="n"/>
      <c r="J602" s="75">
        <f>IF(B602="","",SUMIFS('Change Orders'!$J$7:$J$1006,'Change Orders'!$E$7:$E$1006,B602,'Change Orders'!$L$7:$L$1006,"Approved"))</f>
        <v/>
      </c>
      <c r="K602" s="76">
        <f>IF(B602="","",I602+J602)</f>
        <v/>
      </c>
      <c r="L602" s="74" t="n"/>
      <c r="M602" s="109" t="n"/>
      <c r="N602" s="109" t="n"/>
      <c r="O602" s="74" t="n"/>
      <c r="P602" s="74" t="n"/>
      <c r="Q602" s="100" t="n"/>
      <c r="R602" s="110" t="n"/>
      <c r="S602" s="75">
        <f>IF(B602="","",SUMIFS('Payments'!$N$6:$N$1005,'Payments'!$B$6:$B$1005,B602))</f>
        <v/>
      </c>
      <c r="T602" s="111">
        <f>IF(OR(B602="",K602=0),"",S602/K602)</f>
        <v/>
      </c>
      <c r="U602" s="78">
        <f>IF(V602="","",IF(V602=2,"⚠️ Paying ahead of work","✓ OK"))</f>
        <v/>
      </c>
      <c r="V602" s="79">
        <f>IF(T602="","",IF(T602-R602&gt;OverpayTol,2,0))</f>
        <v/>
      </c>
      <c r="W602" s="112">
        <f>IF(V602=2,AsOf,"")</f>
        <v/>
      </c>
      <c r="X602" s="79">
        <f>IF(W602="","",1)</f>
        <v/>
      </c>
      <c r="Y602" s="79">
        <f>IF(X602="","","Paying ahead of work: "&amp;B602&amp;" — paid "&amp;ROUND(T602*100,0)&amp;"%, work done "&amp;ROUND(R602*100,0)&amp;"%")</f>
        <v/>
      </c>
      <c r="AA602" s="72" t="n"/>
      <c r="AB602" s="109" t="n"/>
      <c r="AC602" s="113" t="n"/>
      <c r="AD602" s="74" t="n"/>
      <c r="AE602" s="109" t="n"/>
      <c r="AF602" s="74" t="n"/>
      <c r="AG602" s="112">
        <f>IF(AND(AA602&lt;&gt;"",AD602="Yes",AF602&lt;&gt;"Yes",AE602&lt;&gt;""),AE602,"")</f>
        <v/>
      </c>
      <c r="AH602" s="79">
        <f>IF(AG602="","",IF(AG602&lt;AsOf,1,IF(AG602&lt;=AsOf+AlertDays,2,IF(AG602&lt;=AsOf+2*AlertDays,3,""))))</f>
        <v/>
      </c>
      <c r="AI602" s="79">
        <f>IF(AH602="","","Follow up with "&amp;AA602&amp;": "&amp;AC602)</f>
        <v/>
      </c>
    </row>
    <row r="603" ht="20" customHeight="1">
      <c r="B603" s="72" t="n"/>
      <c r="C603" s="72" t="n"/>
      <c r="D603" s="72" t="n"/>
      <c r="E603" s="72" t="n"/>
      <c r="F603" s="72" t="n"/>
      <c r="G603" s="72" t="n"/>
      <c r="H603" s="72" t="n"/>
      <c r="I603" s="73" t="n"/>
      <c r="J603" s="75">
        <f>IF(B603="","",SUMIFS('Change Orders'!$J$7:$J$1006,'Change Orders'!$E$7:$E$1006,B603,'Change Orders'!$L$7:$L$1006,"Approved"))</f>
        <v/>
      </c>
      <c r="K603" s="76">
        <f>IF(B603="","",I603+J603)</f>
        <v/>
      </c>
      <c r="L603" s="74" t="n"/>
      <c r="M603" s="109" t="n"/>
      <c r="N603" s="109" t="n"/>
      <c r="O603" s="74" t="n"/>
      <c r="P603" s="74" t="n"/>
      <c r="Q603" s="100" t="n"/>
      <c r="R603" s="110" t="n"/>
      <c r="S603" s="75">
        <f>IF(B603="","",SUMIFS('Payments'!$N$6:$N$1005,'Payments'!$B$6:$B$1005,B603))</f>
        <v/>
      </c>
      <c r="T603" s="111">
        <f>IF(OR(B603="",K603=0),"",S603/K603)</f>
        <v/>
      </c>
      <c r="U603" s="78">
        <f>IF(V603="","",IF(V603=2,"⚠️ Paying ahead of work","✓ OK"))</f>
        <v/>
      </c>
      <c r="V603" s="79">
        <f>IF(T603="","",IF(T603-R603&gt;OverpayTol,2,0))</f>
        <v/>
      </c>
      <c r="W603" s="112">
        <f>IF(V603=2,AsOf,"")</f>
        <v/>
      </c>
      <c r="X603" s="79">
        <f>IF(W603="","",1)</f>
        <v/>
      </c>
      <c r="Y603" s="79">
        <f>IF(X603="","","Paying ahead of work: "&amp;B603&amp;" — paid "&amp;ROUND(T603*100,0)&amp;"%, work done "&amp;ROUND(R603*100,0)&amp;"%")</f>
        <v/>
      </c>
      <c r="AA603" s="72" t="n"/>
      <c r="AB603" s="109" t="n"/>
      <c r="AC603" s="113" t="n"/>
      <c r="AD603" s="74" t="n"/>
      <c r="AE603" s="109" t="n"/>
      <c r="AF603" s="74" t="n"/>
      <c r="AG603" s="112">
        <f>IF(AND(AA603&lt;&gt;"",AD603="Yes",AF603&lt;&gt;"Yes",AE603&lt;&gt;""),AE603,"")</f>
        <v/>
      </c>
      <c r="AH603" s="79">
        <f>IF(AG603="","",IF(AG603&lt;AsOf,1,IF(AG603&lt;=AsOf+AlertDays,2,IF(AG603&lt;=AsOf+2*AlertDays,3,""))))</f>
        <v/>
      </c>
      <c r="AI603" s="79">
        <f>IF(AH603="","","Follow up with "&amp;AA603&amp;": "&amp;AC603)</f>
        <v/>
      </c>
    </row>
    <row r="604" ht="20" customHeight="1">
      <c r="B604" s="72" t="n"/>
      <c r="C604" s="72" t="n"/>
      <c r="D604" s="72" t="n"/>
      <c r="E604" s="72" t="n"/>
      <c r="F604" s="72" t="n"/>
      <c r="G604" s="72" t="n"/>
      <c r="H604" s="72" t="n"/>
      <c r="I604" s="73" t="n"/>
      <c r="J604" s="75">
        <f>IF(B604="","",SUMIFS('Change Orders'!$J$7:$J$1006,'Change Orders'!$E$7:$E$1006,B604,'Change Orders'!$L$7:$L$1006,"Approved"))</f>
        <v/>
      </c>
      <c r="K604" s="76">
        <f>IF(B604="","",I604+J604)</f>
        <v/>
      </c>
      <c r="L604" s="74" t="n"/>
      <c r="M604" s="109" t="n"/>
      <c r="N604" s="109" t="n"/>
      <c r="O604" s="74" t="n"/>
      <c r="P604" s="74" t="n"/>
      <c r="Q604" s="100" t="n"/>
      <c r="R604" s="110" t="n"/>
      <c r="S604" s="75">
        <f>IF(B604="","",SUMIFS('Payments'!$N$6:$N$1005,'Payments'!$B$6:$B$1005,B604))</f>
        <v/>
      </c>
      <c r="T604" s="111">
        <f>IF(OR(B604="",K604=0),"",S604/K604)</f>
        <v/>
      </c>
      <c r="U604" s="78">
        <f>IF(V604="","",IF(V604=2,"⚠️ Paying ahead of work","✓ OK"))</f>
        <v/>
      </c>
      <c r="V604" s="79">
        <f>IF(T604="","",IF(T604-R604&gt;OverpayTol,2,0))</f>
        <v/>
      </c>
      <c r="W604" s="112">
        <f>IF(V604=2,AsOf,"")</f>
        <v/>
      </c>
      <c r="X604" s="79">
        <f>IF(W604="","",1)</f>
        <v/>
      </c>
      <c r="Y604" s="79">
        <f>IF(X604="","","Paying ahead of work: "&amp;B604&amp;" — paid "&amp;ROUND(T604*100,0)&amp;"%, work done "&amp;ROUND(R604*100,0)&amp;"%")</f>
        <v/>
      </c>
      <c r="AA604" s="72" t="n"/>
      <c r="AB604" s="109" t="n"/>
      <c r="AC604" s="113" t="n"/>
      <c r="AD604" s="74" t="n"/>
      <c r="AE604" s="109" t="n"/>
      <c r="AF604" s="74" t="n"/>
      <c r="AG604" s="112">
        <f>IF(AND(AA604&lt;&gt;"",AD604="Yes",AF604&lt;&gt;"Yes",AE604&lt;&gt;""),AE604,"")</f>
        <v/>
      </c>
      <c r="AH604" s="79">
        <f>IF(AG604="","",IF(AG604&lt;AsOf,1,IF(AG604&lt;=AsOf+AlertDays,2,IF(AG604&lt;=AsOf+2*AlertDays,3,""))))</f>
        <v/>
      </c>
      <c r="AI604" s="79">
        <f>IF(AH604="","","Follow up with "&amp;AA604&amp;": "&amp;AC604)</f>
        <v/>
      </c>
    </row>
    <row r="605" ht="20" customHeight="1">
      <c r="B605" s="72" t="n"/>
      <c r="C605" s="72" t="n"/>
      <c r="D605" s="72" t="n"/>
      <c r="E605" s="72" t="n"/>
      <c r="F605" s="72" t="n"/>
      <c r="G605" s="72" t="n"/>
      <c r="H605" s="72" t="n"/>
      <c r="I605" s="73" t="n"/>
      <c r="J605" s="75">
        <f>IF(B605="","",SUMIFS('Change Orders'!$J$7:$J$1006,'Change Orders'!$E$7:$E$1006,B605,'Change Orders'!$L$7:$L$1006,"Approved"))</f>
        <v/>
      </c>
      <c r="K605" s="76">
        <f>IF(B605="","",I605+J605)</f>
        <v/>
      </c>
      <c r="L605" s="74" t="n"/>
      <c r="M605" s="109" t="n"/>
      <c r="N605" s="109" t="n"/>
      <c r="O605" s="74" t="n"/>
      <c r="P605" s="74" t="n"/>
      <c r="Q605" s="100" t="n"/>
      <c r="R605" s="110" t="n"/>
      <c r="S605" s="75">
        <f>IF(B605="","",SUMIFS('Payments'!$N$6:$N$1005,'Payments'!$B$6:$B$1005,B605))</f>
        <v/>
      </c>
      <c r="T605" s="111">
        <f>IF(OR(B605="",K605=0),"",S605/K605)</f>
        <v/>
      </c>
      <c r="U605" s="78">
        <f>IF(V605="","",IF(V605=2,"⚠️ Paying ahead of work","✓ OK"))</f>
        <v/>
      </c>
      <c r="V605" s="79">
        <f>IF(T605="","",IF(T605-R605&gt;OverpayTol,2,0))</f>
        <v/>
      </c>
      <c r="W605" s="112">
        <f>IF(V605=2,AsOf,"")</f>
        <v/>
      </c>
      <c r="X605" s="79">
        <f>IF(W605="","",1)</f>
        <v/>
      </c>
      <c r="Y605" s="79">
        <f>IF(X605="","","Paying ahead of work: "&amp;B605&amp;" — paid "&amp;ROUND(T605*100,0)&amp;"%, work done "&amp;ROUND(R605*100,0)&amp;"%")</f>
        <v/>
      </c>
      <c r="AA605" s="72" t="n"/>
      <c r="AB605" s="109" t="n"/>
      <c r="AC605" s="113" t="n"/>
      <c r="AD605" s="74" t="n"/>
      <c r="AE605" s="109" t="n"/>
      <c r="AF605" s="74" t="n"/>
      <c r="AG605" s="112">
        <f>IF(AND(AA605&lt;&gt;"",AD605="Yes",AF605&lt;&gt;"Yes",AE605&lt;&gt;""),AE605,"")</f>
        <v/>
      </c>
      <c r="AH605" s="79">
        <f>IF(AG605="","",IF(AG605&lt;AsOf,1,IF(AG605&lt;=AsOf+AlertDays,2,IF(AG605&lt;=AsOf+2*AlertDays,3,""))))</f>
        <v/>
      </c>
      <c r="AI605" s="79">
        <f>IF(AH605="","","Follow up with "&amp;AA605&amp;": "&amp;AC605)</f>
        <v/>
      </c>
    </row>
    <row r="606" ht="20" customHeight="1">
      <c r="B606" s="72" t="n"/>
      <c r="C606" s="72" t="n"/>
      <c r="D606" s="72" t="n"/>
      <c r="E606" s="72" t="n"/>
      <c r="F606" s="72" t="n"/>
      <c r="G606" s="72" t="n"/>
      <c r="H606" s="72" t="n"/>
      <c r="I606" s="73" t="n"/>
      <c r="J606" s="75">
        <f>IF(B606="","",SUMIFS('Change Orders'!$J$7:$J$1006,'Change Orders'!$E$7:$E$1006,B606,'Change Orders'!$L$7:$L$1006,"Approved"))</f>
        <v/>
      </c>
      <c r="K606" s="76">
        <f>IF(B606="","",I606+J606)</f>
        <v/>
      </c>
      <c r="L606" s="74" t="n"/>
      <c r="M606" s="109" t="n"/>
      <c r="N606" s="109" t="n"/>
      <c r="O606" s="74" t="n"/>
      <c r="P606" s="74" t="n"/>
      <c r="Q606" s="100" t="n"/>
      <c r="R606" s="110" t="n"/>
      <c r="S606" s="75">
        <f>IF(B606="","",SUMIFS('Payments'!$N$6:$N$1005,'Payments'!$B$6:$B$1005,B606))</f>
        <v/>
      </c>
      <c r="T606" s="111">
        <f>IF(OR(B606="",K606=0),"",S606/K606)</f>
        <v/>
      </c>
      <c r="U606" s="78">
        <f>IF(V606="","",IF(V606=2,"⚠️ Paying ahead of work","✓ OK"))</f>
        <v/>
      </c>
      <c r="V606" s="79">
        <f>IF(T606="","",IF(T606-R606&gt;OverpayTol,2,0))</f>
        <v/>
      </c>
      <c r="W606" s="112">
        <f>IF(V606=2,AsOf,"")</f>
        <v/>
      </c>
      <c r="X606" s="79">
        <f>IF(W606="","",1)</f>
        <v/>
      </c>
      <c r="Y606" s="79">
        <f>IF(X606="","","Paying ahead of work: "&amp;B606&amp;" — paid "&amp;ROUND(T606*100,0)&amp;"%, work done "&amp;ROUND(R606*100,0)&amp;"%")</f>
        <v/>
      </c>
      <c r="AA606" s="72" t="n"/>
      <c r="AB606" s="109" t="n"/>
      <c r="AC606" s="113" t="n"/>
      <c r="AD606" s="74" t="n"/>
      <c r="AE606" s="109" t="n"/>
      <c r="AF606" s="74" t="n"/>
      <c r="AG606" s="112">
        <f>IF(AND(AA606&lt;&gt;"",AD606="Yes",AF606&lt;&gt;"Yes",AE606&lt;&gt;""),AE606,"")</f>
        <v/>
      </c>
      <c r="AH606" s="79">
        <f>IF(AG606="","",IF(AG606&lt;AsOf,1,IF(AG606&lt;=AsOf+AlertDays,2,IF(AG606&lt;=AsOf+2*AlertDays,3,""))))</f>
        <v/>
      </c>
      <c r="AI606" s="79">
        <f>IF(AH606="","","Follow up with "&amp;AA606&amp;": "&amp;AC606)</f>
        <v/>
      </c>
    </row>
    <row r="607" ht="20" customHeight="1">
      <c r="B607" s="72" t="n"/>
      <c r="C607" s="72" t="n"/>
      <c r="D607" s="72" t="n"/>
      <c r="E607" s="72" t="n"/>
      <c r="F607" s="72" t="n"/>
      <c r="G607" s="72" t="n"/>
      <c r="H607" s="72" t="n"/>
      <c r="I607" s="73" t="n"/>
      <c r="J607" s="75">
        <f>IF(B607="","",SUMIFS('Change Orders'!$J$7:$J$1006,'Change Orders'!$E$7:$E$1006,B607,'Change Orders'!$L$7:$L$1006,"Approved"))</f>
        <v/>
      </c>
      <c r="K607" s="76">
        <f>IF(B607="","",I607+J607)</f>
        <v/>
      </c>
      <c r="L607" s="74" t="n"/>
      <c r="M607" s="109" t="n"/>
      <c r="N607" s="109" t="n"/>
      <c r="O607" s="74" t="n"/>
      <c r="P607" s="74" t="n"/>
      <c r="Q607" s="100" t="n"/>
      <c r="R607" s="110" t="n"/>
      <c r="S607" s="75">
        <f>IF(B607="","",SUMIFS('Payments'!$N$6:$N$1005,'Payments'!$B$6:$B$1005,B607))</f>
        <v/>
      </c>
      <c r="T607" s="111">
        <f>IF(OR(B607="",K607=0),"",S607/K607)</f>
        <v/>
      </c>
      <c r="U607" s="78">
        <f>IF(V607="","",IF(V607=2,"⚠️ Paying ahead of work","✓ OK"))</f>
        <v/>
      </c>
      <c r="V607" s="79">
        <f>IF(T607="","",IF(T607-R607&gt;OverpayTol,2,0))</f>
        <v/>
      </c>
      <c r="W607" s="112">
        <f>IF(V607=2,AsOf,"")</f>
        <v/>
      </c>
      <c r="X607" s="79">
        <f>IF(W607="","",1)</f>
        <v/>
      </c>
      <c r="Y607" s="79">
        <f>IF(X607="","","Paying ahead of work: "&amp;B607&amp;" — paid "&amp;ROUND(T607*100,0)&amp;"%, work done "&amp;ROUND(R607*100,0)&amp;"%")</f>
        <v/>
      </c>
      <c r="AA607" s="72" t="n"/>
      <c r="AB607" s="109" t="n"/>
      <c r="AC607" s="113" t="n"/>
      <c r="AD607" s="74" t="n"/>
      <c r="AE607" s="109" t="n"/>
      <c r="AF607" s="74" t="n"/>
      <c r="AG607" s="112">
        <f>IF(AND(AA607&lt;&gt;"",AD607="Yes",AF607&lt;&gt;"Yes",AE607&lt;&gt;""),AE607,"")</f>
        <v/>
      </c>
      <c r="AH607" s="79">
        <f>IF(AG607="","",IF(AG607&lt;AsOf,1,IF(AG607&lt;=AsOf+AlertDays,2,IF(AG607&lt;=AsOf+2*AlertDays,3,""))))</f>
        <v/>
      </c>
      <c r="AI607" s="79">
        <f>IF(AH607="","","Follow up with "&amp;AA607&amp;": "&amp;AC607)</f>
        <v/>
      </c>
    </row>
    <row r="608" ht="20" customHeight="1">
      <c r="B608" s="72" t="n"/>
      <c r="C608" s="72" t="n"/>
      <c r="D608" s="72" t="n"/>
      <c r="E608" s="72" t="n"/>
      <c r="F608" s="72" t="n"/>
      <c r="G608" s="72" t="n"/>
      <c r="H608" s="72" t="n"/>
      <c r="I608" s="73" t="n"/>
      <c r="J608" s="75">
        <f>IF(B608="","",SUMIFS('Change Orders'!$J$7:$J$1006,'Change Orders'!$E$7:$E$1006,B608,'Change Orders'!$L$7:$L$1006,"Approved"))</f>
        <v/>
      </c>
      <c r="K608" s="76">
        <f>IF(B608="","",I608+J608)</f>
        <v/>
      </c>
      <c r="L608" s="74" t="n"/>
      <c r="M608" s="109" t="n"/>
      <c r="N608" s="109" t="n"/>
      <c r="O608" s="74" t="n"/>
      <c r="P608" s="74" t="n"/>
      <c r="Q608" s="100" t="n"/>
      <c r="R608" s="110" t="n"/>
      <c r="S608" s="75">
        <f>IF(B608="","",SUMIFS('Payments'!$N$6:$N$1005,'Payments'!$B$6:$B$1005,B608))</f>
        <v/>
      </c>
      <c r="T608" s="111">
        <f>IF(OR(B608="",K608=0),"",S608/K608)</f>
        <v/>
      </c>
      <c r="U608" s="78">
        <f>IF(V608="","",IF(V608=2,"⚠️ Paying ahead of work","✓ OK"))</f>
        <v/>
      </c>
      <c r="V608" s="79">
        <f>IF(T608="","",IF(T608-R608&gt;OverpayTol,2,0))</f>
        <v/>
      </c>
      <c r="W608" s="112">
        <f>IF(V608=2,AsOf,"")</f>
        <v/>
      </c>
      <c r="X608" s="79">
        <f>IF(W608="","",1)</f>
        <v/>
      </c>
      <c r="Y608" s="79">
        <f>IF(X608="","","Paying ahead of work: "&amp;B608&amp;" — paid "&amp;ROUND(T608*100,0)&amp;"%, work done "&amp;ROUND(R608*100,0)&amp;"%")</f>
        <v/>
      </c>
      <c r="AA608" s="72" t="n"/>
      <c r="AB608" s="109" t="n"/>
      <c r="AC608" s="113" t="n"/>
      <c r="AD608" s="74" t="n"/>
      <c r="AE608" s="109" t="n"/>
      <c r="AF608" s="74" t="n"/>
      <c r="AG608" s="112">
        <f>IF(AND(AA608&lt;&gt;"",AD608="Yes",AF608&lt;&gt;"Yes",AE608&lt;&gt;""),AE608,"")</f>
        <v/>
      </c>
      <c r="AH608" s="79">
        <f>IF(AG608="","",IF(AG608&lt;AsOf,1,IF(AG608&lt;=AsOf+AlertDays,2,IF(AG608&lt;=AsOf+2*AlertDays,3,""))))</f>
        <v/>
      </c>
      <c r="AI608" s="79">
        <f>IF(AH608="","","Follow up with "&amp;AA608&amp;": "&amp;AC608)</f>
        <v/>
      </c>
    </row>
    <row r="609" ht="20" customHeight="1">
      <c r="B609" s="72" t="n"/>
      <c r="C609" s="72" t="n"/>
      <c r="D609" s="72" t="n"/>
      <c r="E609" s="72" t="n"/>
      <c r="F609" s="72" t="n"/>
      <c r="G609" s="72" t="n"/>
      <c r="H609" s="72" t="n"/>
      <c r="I609" s="73" t="n"/>
      <c r="J609" s="75">
        <f>IF(B609="","",SUMIFS('Change Orders'!$J$7:$J$1006,'Change Orders'!$E$7:$E$1006,B609,'Change Orders'!$L$7:$L$1006,"Approved"))</f>
        <v/>
      </c>
      <c r="K609" s="76">
        <f>IF(B609="","",I609+J609)</f>
        <v/>
      </c>
      <c r="L609" s="74" t="n"/>
      <c r="M609" s="109" t="n"/>
      <c r="N609" s="109" t="n"/>
      <c r="O609" s="74" t="n"/>
      <c r="P609" s="74" t="n"/>
      <c r="Q609" s="100" t="n"/>
      <c r="R609" s="110" t="n"/>
      <c r="S609" s="75">
        <f>IF(B609="","",SUMIFS('Payments'!$N$6:$N$1005,'Payments'!$B$6:$B$1005,B609))</f>
        <v/>
      </c>
      <c r="T609" s="111">
        <f>IF(OR(B609="",K609=0),"",S609/K609)</f>
        <v/>
      </c>
      <c r="U609" s="78">
        <f>IF(V609="","",IF(V609=2,"⚠️ Paying ahead of work","✓ OK"))</f>
        <v/>
      </c>
      <c r="V609" s="79">
        <f>IF(T609="","",IF(T609-R609&gt;OverpayTol,2,0))</f>
        <v/>
      </c>
      <c r="W609" s="112">
        <f>IF(V609=2,AsOf,"")</f>
        <v/>
      </c>
      <c r="X609" s="79">
        <f>IF(W609="","",1)</f>
        <v/>
      </c>
      <c r="Y609" s="79">
        <f>IF(X609="","","Paying ahead of work: "&amp;B609&amp;" — paid "&amp;ROUND(T609*100,0)&amp;"%, work done "&amp;ROUND(R609*100,0)&amp;"%")</f>
        <v/>
      </c>
      <c r="AA609" s="72" t="n"/>
      <c r="AB609" s="109" t="n"/>
      <c r="AC609" s="113" t="n"/>
      <c r="AD609" s="74" t="n"/>
      <c r="AE609" s="109" t="n"/>
      <c r="AF609" s="74" t="n"/>
      <c r="AG609" s="112">
        <f>IF(AND(AA609&lt;&gt;"",AD609="Yes",AF609&lt;&gt;"Yes",AE609&lt;&gt;""),AE609,"")</f>
        <v/>
      </c>
      <c r="AH609" s="79">
        <f>IF(AG609="","",IF(AG609&lt;AsOf,1,IF(AG609&lt;=AsOf+AlertDays,2,IF(AG609&lt;=AsOf+2*AlertDays,3,""))))</f>
        <v/>
      </c>
      <c r="AI609" s="79">
        <f>IF(AH609="","","Follow up with "&amp;AA609&amp;": "&amp;AC609)</f>
        <v/>
      </c>
    </row>
    <row r="610" ht="20" customHeight="1">
      <c r="B610" s="72" t="n"/>
      <c r="C610" s="72" t="n"/>
      <c r="D610" s="72" t="n"/>
      <c r="E610" s="72" t="n"/>
      <c r="F610" s="72" t="n"/>
      <c r="G610" s="72" t="n"/>
      <c r="H610" s="72" t="n"/>
      <c r="I610" s="73" t="n"/>
      <c r="J610" s="75">
        <f>IF(B610="","",SUMIFS('Change Orders'!$J$7:$J$1006,'Change Orders'!$E$7:$E$1006,B610,'Change Orders'!$L$7:$L$1006,"Approved"))</f>
        <v/>
      </c>
      <c r="K610" s="76">
        <f>IF(B610="","",I610+J610)</f>
        <v/>
      </c>
      <c r="L610" s="74" t="n"/>
      <c r="M610" s="109" t="n"/>
      <c r="N610" s="109" t="n"/>
      <c r="O610" s="74" t="n"/>
      <c r="P610" s="74" t="n"/>
      <c r="Q610" s="100" t="n"/>
      <c r="R610" s="110" t="n"/>
      <c r="S610" s="75">
        <f>IF(B610="","",SUMIFS('Payments'!$N$6:$N$1005,'Payments'!$B$6:$B$1005,B610))</f>
        <v/>
      </c>
      <c r="T610" s="111">
        <f>IF(OR(B610="",K610=0),"",S610/K610)</f>
        <v/>
      </c>
      <c r="U610" s="78">
        <f>IF(V610="","",IF(V610=2,"⚠️ Paying ahead of work","✓ OK"))</f>
        <v/>
      </c>
      <c r="V610" s="79">
        <f>IF(T610="","",IF(T610-R610&gt;OverpayTol,2,0))</f>
        <v/>
      </c>
      <c r="W610" s="112">
        <f>IF(V610=2,AsOf,"")</f>
        <v/>
      </c>
      <c r="X610" s="79">
        <f>IF(W610="","",1)</f>
        <v/>
      </c>
      <c r="Y610" s="79">
        <f>IF(X610="","","Paying ahead of work: "&amp;B610&amp;" — paid "&amp;ROUND(T610*100,0)&amp;"%, work done "&amp;ROUND(R610*100,0)&amp;"%")</f>
        <v/>
      </c>
      <c r="AA610" s="72" t="n"/>
      <c r="AB610" s="109" t="n"/>
      <c r="AC610" s="113" t="n"/>
      <c r="AD610" s="74" t="n"/>
      <c r="AE610" s="109" t="n"/>
      <c r="AF610" s="74" t="n"/>
      <c r="AG610" s="112">
        <f>IF(AND(AA610&lt;&gt;"",AD610="Yes",AF610&lt;&gt;"Yes",AE610&lt;&gt;""),AE610,"")</f>
        <v/>
      </c>
      <c r="AH610" s="79">
        <f>IF(AG610="","",IF(AG610&lt;AsOf,1,IF(AG610&lt;=AsOf+AlertDays,2,IF(AG610&lt;=AsOf+2*AlertDays,3,""))))</f>
        <v/>
      </c>
      <c r="AI610" s="79">
        <f>IF(AH610="","","Follow up with "&amp;AA610&amp;": "&amp;AC610)</f>
        <v/>
      </c>
    </row>
    <row r="611" ht="20" customHeight="1">
      <c r="B611" s="72" t="n"/>
      <c r="C611" s="72" t="n"/>
      <c r="D611" s="72" t="n"/>
      <c r="E611" s="72" t="n"/>
      <c r="F611" s="72" t="n"/>
      <c r="G611" s="72" t="n"/>
      <c r="H611" s="72" t="n"/>
      <c r="I611" s="73" t="n"/>
      <c r="J611" s="75">
        <f>IF(B611="","",SUMIFS('Change Orders'!$J$7:$J$1006,'Change Orders'!$E$7:$E$1006,B611,'Change Orders'!$L$7:$L$1006,"Approved"))</f>
        <v/>
      </c>
      <c r="K611" s="76">
        <f>IF(B611="","",I611+J611)</f>
        <v/>
      </c>
      <c r="L611" s="74" t="n"/>
      <c r="M611" s="109" t="n"/>
      <c r="N611" s="109" t="n"/>
      <c r="O611" s="74" t="n"/>
      <c r="P611" s="74" t="n"/>
      <c r="Q611" s="100" t="n"/>
      <c r="R611" s="110" t="n"/>
      <c r="S611" s="75">
        <f>IF(B611="","",SUMIFS('Payments'!$N$6:$N$1005,'Payments'!$B$6:$B$1005,B611))</f>
        <v/>
      </c>
      <c r="T611" s="111">
        <f>IF(OR(B611="",K611=0),"",S611/K611)</f>
        <v/>
      </c>
      <c r="U611" s="78">
        <f>IF(V611="","",IF(V611=2,"⚠️ Paying ahead of work","✓ OK"))</f>
        <v/>
      </c>
      <c r="V611" s="79">
        <f>IF(T611="","",IF(T611-R611&gt;OverpayTol,2,0))</f>
        <v/>
      </c>
      <c r="W611" s="112">
        <f>IF(V611=2,AsOf,"")</f>
        <v/>
      </c>
      <c r="X611" s="79">
        <f>IF(W611="","",1)</f>
        <v/>
      </c>
      <c r="Y611" s="79">
        <f>IF(X611="","","Paying ahead of work: "&amp;B611&amp;" — paid "&amp;ROUND(T611*100,0)&amp;"%, work done "&amp;ROUND(R611*100,0)&amp;"%")</f>
        <v/>
      </c>
      <c r="AA611" s="72" t="n"/>
      <c r="AB611" s="109" t="n"/>
      <c r="AC611" s="113" t="n"/>
      <c r="AD611" s="74" t="n"/>
      <c r="AE611" s="109" t="n"/>
      <c r="AF611" s="74" t="n"/>
      <c r="AG611" s="112">
        <f>IF(AND(AA611&lt;&gt;"",AD611="Yes",AF611&lt;&gt;"Yes",AE611&lt;&gt;""),AE611,"")</f>
        <v/>
      </c>
      <c r="AH611" s="79">
        <f>IF(AG611="","",IF(AG611&lt;AsOf,1,IF(AG611&lt;=AsOf+AlertDays,2,IF(AG611&lt;=AsOf+2*AlertDays,3,""))))</f>
        <v/>
      </c>
      <c r="AI611" s="79">
        <f>IF(AH611="","","Follow up with "&amp;AA611&amp;": "&amp;AC611)</f>
        <v/>
      </c>
    </row>
    <row r="612" ht="20" customHeight="1">
      <c r="B612" s="72" t="n"/>
      <c r="C612" s="72" t="n"/>
      <c r="D612" s="72" t="n"/>
      <c r="E612" s="72" t="n"/>
      <c r="F612" s="72" t="n"/>
      <c r="G612" s="72" t="n"/>
      <c r="H612" s="72" t="n"/>
      <c r="I612" s="73" t="n"/>
      <c r="J612" s="75">
        <f>IF(B612="","",SUMIFS('Change Orders'!$J$7:$J$1006,'Change Orders'!$E$7:$E$1006,B612,'Change Orders'!$L$7:$L$1006,"Approved"))</f>
        <v/>
      </c>
      <c r="K612" s="76">
        <f>IF(B612="","",I612+J612)</f>
        <v/>
      </c>
      <c r="L612" s="74" t="n"/>
      <c r="M612" s="109" t="n"/>
      <c r="N612" s="109" t="n"/>
      <c r="O612" s="74" t="n"/>
      <c r="P612" s="74" t="n"/>
      <c r="Q612" s="100" t="n"/>
      <c r="R612" s="110" t="n"/>
      <c r="S612" s="75">
        <f>IF(B612="","",SUMIFS('Payments'!$N$6:$N$1005,'Payments'!$B$6:$B$1005,B612))</f>
        <v/>
      </c>
      <c r="T612" s="111">
        <f>IF(OR(B612="",K612=0),"",S612/K612)</f>
        <v/>
      </c>
      <c r="U612" s="78">
        <f>IF(V612="","",IF(V612=2,"⚠️ Paying ahead of work","✓ OK"))</f>
        <v/>
      </c>
      <c r="V612" s="79">
        <f>IF(T612="","",IF(T612-R612&gt;OverpayTol,2,0))</f>
        <v/>
      </c>
      <c r="W612" s="112">
        <f>IF(V612=2,AsOf,"")</f>
        <v/>
      </c>
      <c r="X612" s="79">
        <f>IF(W612="","",1)</f>
        <v/>
      </c>
      <c r="Y612" s="79">
        <f>IF(X612="","","Paying ahead of work: "&amp;B612&amp;" — paid "&amp;ROUND(T612*100,0)&amp;"%, work done "&amp;ROUND(R612*100,0)&amp;"%")</f>
        <v/>
      </c>
      <c r="AA612" s="72" t="n"/>
      <c r="AB612" s="109" t="n"/>
      <c r="AC612" s="113" t="n"/>
      <c r="AD612" s="74" t="n"/>
      <c r="AE612" s="109" t="n"/>
      <c r="AF612" s="74" t="n"/>
      <c r="AG612" s="112">
        <f>IF(AND(AA612&lt;&gt;"",AD612="Yes",AF612&lt;&gt;"Yes",AE612&lt;&gt;""),AE612,"")</f>
        <v/>
      </c>
      <c r="AH612" s="79">
        <f>IF(AG612="","",IF(AG612&lt;AsOf,1,IF(AG612&lt;=AsOf+AlertDays,2,IF(AG612&lt;=AsOf+2*AlertDays,3,""))))</f>
        <v/>
      </c>
      <c r="AI612" s="79">
        <f>IF(AH612="","","Follow up with "&amp;AA612&amp;": "&amp;AC612)</f>
        <v/>
      </c>
    </row>
    <row r="613" ht="20" customHeight="1">
      <c r="B613" s="72" t="n"/>
      <c r="C613" s="72" t="n"/>
      <c r="D613" s="72" t="n"/>
      <c r="E613" s="72" t="n"/>
      <c r="F613" s="72" t="n"/>
      <c r="G613" s="72" t="n"/>
      <c r="H613" s="72" t="n"/>
      <c r="I613" s="73" t="n"/>
      <c r="J613" s="75">
        <f>IF(B613="","",SUMIFS('Change Orders'!$J$7:$J$1006,'Change Orders'!$E$7:$E$1006,B613,'Change Orders'!$L$7:$L$1006,"Approved"))</f>
        <v/>
      </c>
      <c r="K613" s="76">
        <f>IF(B613="","",I613+J613)</f>
        <v/>
      </c>
      <c r="L613" s="74" t="n"/>
      <c r="M613" s="109" t="n"/>
      <c r="N613" s="109" t="n"/>
      <c r="O613" s="74" t="n"/>
      <c r="P613" s="74" t="n"/>
      <c r="Q613" s="100" t="n"/>
      <c r="R613" s="110" t="n"/>
      <c r="S613" s="75">
        <f>IF(B613="","",SUMIFS('Payments'!$N$6:$N$1005,'Payments'!$B$6:$B$1005,B613))</f>
        <v/>
      </c>
      <c r="T613" s="111">
        <f>IF(OR(B613="",K613=0),"",S613/K613)</f>
        <v/>
      </c>
      <c r="U613" s="78">
        <f>IF(V613="","",IF(V613=2,"⚠️ Paying ahead of work","✓ OK"))</f>
        <v/>
      </c>
      <c r="V613" s="79">
        <f>IF(T613="","",IF(T613-R613&gt;OverpayTol,2,0))</f>
        <v/>
      </c>
      <c r="W613" s="112">
        <f>IF(V613=2,AsOf,"")</f>
        <v/>
      </c>
      <c r="X613" s="79">
        <f>IF(W613="","",1)</f>
        <v/>
      </c>
      <c r="Y613" s="79">
        <f>IF(X613="","","Paying ahead of work: "&amp;B613&amp;" — paid "&amp;ROUND(T613*100,0)&amp;"%, work done "&amp;ROUND(R613*100,0)&amp;"%")</f>
        <v/>
      </c>
      <c r="AA613" s="72" t="n"/>
      <c r="AB613" s="109" t="n"/>
      <c r="AC613" s="113" t="n"/>
      <c r="AD613" s="74" t="n"/>
      <c r="AE613" s="109" t="n"/>
      <c r="AF613" s="74" t="n"/>
      <c r="AG613" s="112">
        <f>IF(AND(AA613&lt;&gt;"",AD613="Yes",AF613&lt;&gt;"Yes",AE613&lt;&gt;""),AE613,"")</f>
        <v/>
      </c>
      <c r="AH613" s="79">
        <f>IF(AG613="","",IF(AG613&lt;AsOf,1,IF(AG613&lt;=AsOf+AlertDays,2,IF(AG613&lt;=AsOf+2*AlertDays,3,""))))</f>
        <v/>
      </c>
      <c r="AI613" s="79">
        <f>IF(AH613="","","Follow up with "&amp;AA613&amp;": "&amp;AC613)</f>
        <v/>
      </c>
    </row>
    <row r="614" ht="20" customHeight="1">
      <c r="B614" s="72" t="n"/>
      <c r="C614" s="72" t="n"/>
      <c r="D614" s="72" t="n"/>
      <c r="E614" s="72" t="n"/>
      <c r="F614" s="72" t="n"/>
      <c r="G614" s="72" t="n"/>
      <c r="H614" s="72" t="n"/>
      <c r="I614" s="73" t="n"/>
      <c r="J614" s="75">
        <f>IF(B614="","",SUMIFS('Change Orders'!$J$7:$J$1006,'Change Orders'!$E$7:$E$1006,B614,'Change Orders'!$L$7:$L$1006,"Approved"))</f>
        <v/>
      </c>
      <c r="K614" s="76">
        <f>IF(B614="","",I614+J614)</f>
        <v/>
      </c>
      <c r="L614" s="74" t="n"/>
      <c r="M614" s="109" t="n"/>
      <c r="N614" s="109" t="n"/>
      <c r="O614" s="74" t="n"/>
      <c r="P614" s="74" t="n"/>
      <c r="Q614" s="100" t="n"/>
      <c r="R614" s="110" t="n"/>
      <c r="S614" s="75">
        <f>IF(B614="","",SUMIFS('Payments'!$N$6:$N$1005,'Payments'!$B$6:$B$1005,B614))</f>
        <v/>
      </c>
      <c r="T614" s="111">
        <f>IF(OR(B614="",K614=0),"",S614/K614)</f>
        <v/>
      </c>
      <c r="U614" s="78">
        <f>IF(V614="","",IF(V614=2,"⚠️ Paying ahead of work","✓ OK"))</f>
        <v/>
      </c>
      <c r="V614" s="79">
        <f>IF(T614="","",IF(T614-R614&gt;OverpayTol,2,0))</f>
        <v/>
      </c>
      <c r="W614" s="112">
        <f>IF(V614=2,AsOf,"")</f>
        <v/>
      </c>
      <c r="X614" s="79">
        <f>IF(W614="","",1)</f>
        <v/>
      </c>
      <c r="Y614" s="79">
        <f>IF(X614="","","Paying ahead of work: "&amp;B614&amp;" — paid "&amp;ROUND(T614*100,0)&amp;"%, work done "&amp;ROUND(R614*100,0)&amp;"%")</f>
        <v/>
      </c>
      <c r="AA614" s="72" t="n"/>
      <c r="AB614" s="109" t="n"/>
      <c r="AC614" s="113" t="n"/>
      <c r="AD614" s="74" t="n"/>
      <c r="AE614" s="109" t="n"/>
      <c r="AF614" s="74" t="n"/>
      <c r="AG614" s="112">
        <f>IF(AND(AA614&lt;&gt;"",AD614="Yes",AF614&lt;&gt;"Yes",AE614&lt;&gt;""),AE614,"")</f>
        <v/>
      </c>
      <c r="AH614" s="79">
        <f>IF(AG614="","",IF(AG614&lt;AsOf,1,IF(AG614&lt;=AsOf+AlertDays,2,IF(AG614&lt;=AsOf+2*AlertDays,3,""))))</f>
        <v/>
      </c>
      <c r="AI614" s="79">
        <f>IF(AH614="","","Follow up with "&amp;AA614&amp;": "&amp;AC614)</f>
        <v/>
      </c>
    </row>
    <row r="615" ht="20" customHeight="1">
      <c r="B615" s="72" t="n"/>
      <c r="C615" s="72" t="n"/>
      <c r="D615" s="72" t="n"/>
      <c r="E615" s="72" t="n"/>
      <c r="F615" s="72" t="n"/>
      <c r="G615" s="72" t="n"/>
      <c r="H615" s="72" t="n"/>
      <c r="I615" s="73" t="n"/>
      <c r="J615" s="75">
        <f>IF(B615="","",SUMIFS('Change Orders'!$J$7:$J$1006,'Change Orders'!$E$7:$E$1006,B615,'Change Orders'!$L$7:$L$1006,"Approved"))</f>
        <v/>
      </c>
      <c r="K615" s="76">
        <f>IF(B615="","",I615+J615)</f>
        <v/>
      </c>
      <c r="L615" s="74" t="n"/>
      <c r="M615" s="109" t="n"/>
      <c r="N615" s="109" t="n"/>
      <c r="O615" s="74" t="n"/>
      <c r="P615" s="74" t="n"/>
      <c r="Q615" s="100" t="n"/>
      <c r="R615" s="110" t="n"/>
      <c r="S615" s="75">
        <f>IF(B615="","",SUMIFS('Payments'!$N$6:$N$1005,'Payments'!$B$6:$B$1005,B615))</f>
        <v/>
      </c>
      <c r="T615" s="111">
        <f>IF(OR(B615="",K615=0),"",S615/K615)</f>
        <v/>
      </c>
      <c r="U615" s="78">
        <f>IF(V615="","",IF(V615=2,"⚠️ Paying ahead of work","✓ OK"))</f>
        <v/>
      </c>
      <c r="V615" s="79">
        <f>IF(T615="","",IF(T615-R615&gt;OverpayTol,2,0))</f>
        <v/>
      </c>
      <c r="W615" s="112">
        <f>IF(V615=2,AsOf,"")</f>
        <v/>
      </c>
      <c r="X615" s="79">
        <f>IF(W615="","",1)</f>
        <v/>
      </c>
      <c r="Y615" s="79">
        <f>IF(X615="","","Paying ahead of work: "&amp;B615&amp;" — paid "&amp;ROUND(T615*100,0)&amp;"%, work done "&amp;ROUND(R615*100,0)&amp;"%")</f>
        <v/>
      </c>
      <c r="AA615" s="72" t="n"/>
      <c r="AB615" s="109" t="n"/>
      <c r="AC615" s="113" t="n"/>
      <c r="AD615" s="74" t="n"/>
      <c r="AE615" s="109" t="n"/>
      <c r="AF615" s="74" t="n"/>
      <c r="AG615" s="112">
        <f>IF(AND(AA615&lt;&gt;"",AD615="Yes",AF615&lt;&gt;"Yes",AE615&lt;&gt;""),AE615,"")</f>
        <v/>
      </c>
      <c r="AH615" s="79">
        <f>IF(AG615="","",IF(AG615&lt;AsOf,1,IF(AG615&lt;=AsOf+AlertDays,2,IF(AG615&lt;=AsOf+2*AlertDays,3,""))))</f>
        <v/>
      </c>
      <c r="AI615" s="79">
        <f>IF(AH615="","","Follow up with "&amp;AA615&amp;": "&amp;AC615)</f>
        <v/>
      </c>
    </row>
    <row r="616" ht="20" customHeight="1">
      <c r="B616" s="72" t="n"/>
      <c r="C616" s="72" t="n"/>
      <c r="D616" s="72" t="n"/>
      <c r="E616" s="72" t="n"/>
      <c r="F616" s="72" t="n"/>
      <c r="G616" s="72" t="n"/>
      <c r="H616" s="72" t="n"/>
      <c r="I616" s="73" t="n"/>
      <c r="J616" s="75">
        <f>IF(B616="","",SUMIFS('Change Orders'!$J$7:$J$1006,'Change Orders'!$E$7:$E$1006,B616,'Change Orders'!$L$7:$L$1006,"Approved"))</f>
        <v/>
      </c>
      <c r="K616" s="76">
        <f>IF(B616="","",I616+J616)</f>
        <v/>
      </c>
      <c r="L616" s="74" t="n"/>
      <c r="M616" s="109" t="n"/>
      <c r="N616" s="109" t="n"/>
      <c r="O616" s="74" t="n"/>
      <c r="P616" s="74" t="n"/>
      <c r="Q616" s="100" t="n"/>
      <c r="R616" s="110" t="n"/>
      <c r="S616" s="75">
        <f>IF(B616="","",SUMIFS('Payments'!$N$6:$N$1005,'Payments'!$B$6:$B$1005,B616))</f>
        <v/>
      </c>
      <c r="T616" s="111">
        <f>IF(OR(B616="",K616=0),"",S616/K616)</f>
        <v/>
      </c>
      <c r="U616" s="78">
        <f>IF(V616="","",IF(V616=2,"⚠️ Paying ahead of work","✓ OK"))</f>
        <v/>
      </c>
      <c r="V616" s="79">
        <f>IF(T616="","",IF(T616-R616&gt;OverpayTol,2,0))</f>
        <v/>
      </c>
      <c r="W616" s="112">
        <f>IF(V616=2,AsOf,"")</f>
        <v/>
      </c>
      <c r="X616" s="79">
        <f>IF(W616="","",1)</f>
        <v/>
      </c>
      <c r="Y616" s="79">
        <f>IF(X616="","","Paying ahead of work: "&amp;B616&amp;" — paid "&amp;ROUND(T616*100,0)&amp;"%, work done "&amp;ROUND(R616*100,0)&amp;"%")</f>
        <v/>
      </c>
      <c r="AA616" s="72" t="n"/>
      <c r="AB616" s="109" t="n"/>
      <c r="AC616" s="113" t="n"/>
      <c r="AD616" s="74" t="n"/>
      <c r="AE616" s="109" t="n"/>
      <c r="AF616" s="74" t="n"/>
      <c r="AG616" s="112">
        <f>IF(AND(AA616&lt;&gt;"",AD616="Yes",AF616&lt;&gt;"Yes",AE616&lt;&gt;""),AE616,"")</f>
        <v/>
      </c>
      <c r="AH616" s="79">
        <f>IF(AG616="","",IF(AG616&lt;AsOf,1,IF(AG616&lt;=AsOf+AlertDays,2,IF(AG616&lt;=AsOf+2*AlertDays,3,""))))</f>
        <v/>
      </c>
      <c r="AI616" s="79">
        <f>IF(AH616="","","Follow up with "&amp;AA616&amp;": "&amp;AC616)</f>
        <v/>
      </c>
    </row>
    <row r="617" ht="20" customHeight="1">
      <c r="B617" s="72" t="n"/>
      <c r="C617" s="72" t="n"/>
      <c r="D617" s="72" t="n"/>
      <c r="E617" s="72" t="n"/>
      <c r="F617" s="72" t="n"/>
      <c r="G617" s="72" t="n"/>
      <c r="H617" s="72" t="n"/>
      <c r="I617" s="73" t="n"/>
      <c r="J617" s="75">
        <f>IF(B617="","",SUMIFS('Change Orders'!$J$7:$J$1006,'Change Orders'!$E$7:$E$1006,B617,'Change Orders'!$L$7:$L$1006,"Approved"))</f>
        <v/>
      </c>
      <c r="K617" s="76">
        <f>IF(B617="","",I617+J617)</f>
        <v/>
      </c>
      <c r="L617" s="74" t="n"/>
      <c r="M617" s="109" t="n"/>
      <c r="N617" s="109" t="n"/>
      <c r="O617" s="74" t="n"/>
      <c r="P617" s="74" t="n"/>
      <c r="Q617" s="100" t="n"/>
      <c r="R617" s="110" t="n"/>
      <c r="S617" s="75">
        <f>IF(B617="","",SUMIFS('Payments'!$N$6:$N$1005,'Payments'!$B$6:$B$1005,B617))</f>
        <v/>
      </c>
      <c r="T617" s="111">
        <f>IF(OR(B617="",K617=0),"",S617/K617)</f>
        <v/>
      </c>
      <c r="U617" s="78">
        <f>IF(V617="","",IF(V617=2,"⚠️ Paying ahead of work","✓ OK"))</f>
        <v/>
      </c>
      <c r="V617" s="79">
        <f>IF(T617="","",IF(T617-R617&gt;OverpayTol,2,0))</f>
        <v/>
      </c>
      <c r="W617" s="112">
        <f>IF(V617=2,AsOf,"")</f>
        <v/>
      </c>
      <c r="X617" s="79">
        <f>IF(W617="","",1)</f>
        <v/>
      </c>
      <c r="Y617" s="79">
        <f>IF(X617="","","Paying ahead of work: "&amp;B617&amp;" — paid "&amp;ROUND(T617*100,0)&amp;"%, work done "&amp;ROUND(R617*100,0)&amp;"%")</f>
        <v/>
      </c>
      <c r="AA617" s="72" t="n"/>
      <c r="AB617" s="109" t="n"/>
      <c r="AC617" s="113" t="n"/>
      <c r="AD617" s="74" t="n"/>
      <c r="AE617" s="109" t="n"/>
      <c r="AF617" s="74" t="n"/>
      <c r="AG617" s="112">
        <f>IF(AND(AA617&lt;&gt;"",AD617="Yes",AF617&lt;&gt;"Yes",AE617&lt;&gt;""),AE617,"")</f>
        <v/>
      </c>
      <c r="AH617" s="79">
        <f>IF(AG617="","",IF(AG617&lt;AsOf,1,IF(AG617&lt;=AsOf+AlertDays,2,IF(AG617&lt;=AsOf+2*AlertDays,3,""))))</f>
        <v/>
      </c>
      <c r="AI617" s="79">
        <f>IF(AH617="","","Follow up with "&amp;AA617&amp;": "&amp;AC617)</f>
        <v/>
      </c>
    </row>
    <row r="618" ht="20" customHeight="1">
      <c r="B618" s="72" t="n"/>
      <c r="C618" s="72" t="n"/>
      <c r="D618" s="72" t="n"/>
      <c r="E618" s="72" t="n"/>
      <c r="F618" s="72" t="n"/>
      <c r="G618" s="72" t="n"/>
      <c r="H618" s="72" t="n"/>
      <c r="I618" s="73" t="n"/>
      <c r="J618" s="75">
        <f>IF(B618="","",SUMIFS('Change Orders'!$J$7:$J$1006,'Change Orders'!$E$7:$E$1006,B618,'Change Orders'!$L$7:$L$1006,"Approved"))</f>
        <v/>
      </c>
      <c r="K618" s="76">
        <f>IF(B618="","",I618+J618)</f>
        <v/>
      </c>
      <c r="L618" s="74" t="n"/>
      <c r="M618" s="109" t="n"/>
      <c r="N618" s="109" t="n"/>
      <c r="O618" s="74" t="n"/>
      <c r="P618" s="74" t="n"/>
      <c r="Q618" s="100" t="n"/>
      <c r="R618" s="110" t="n"/>
      <c r="S618" s="75">
        <f>IF(B618="","",SUMIFS('Payments'!$N$6:$N$1005,'Payments'!$B$6:$B$1005,B618))</f>
        <v/>
      </c>
      <c r="T618" s="111">
        <f>IF(OR(B618="",K618=0),"",S618/K618)</f>
        <v/>
      </c>
      <c r="U618" s="78">
        <f>IF(V618="","",IF(V618=2,"⚠️ Paying ahead of work","✓ OK"))</f>
        <v/>
      </c>
      <c r="V618" s="79">
        <f>IF(T618="","",IF(T618-R618&gt;OverpayTol,2,0))</f>
        <v/>
      </c>
      <c r="W618" s="112">
        <f>IF(V618=2,AsOf,"")</f>
        <v/>
      </c>
      <c r="X618" s="79">
        <f>IF(W618="","",1)</f>
        <v/>
      </c>
      <c r="Y618" s="79">
        <f>IF(X618="","","Paying ahead of work: "&amp;B618&amp;" — paid "&amp;ROUND(T618*100,0)&amp;"%, work done "&amp;ROUND(R618*100,0)&amp;"%")</f>
        <v/>
      </c>
      <c r="AA618" s="72" t="n"/>
      <c r="AB618" s="109" t="n"/>
      <c r="AC618" s="113" t="n"/>
      <c r="AD618" s="74" t="n"/>
      <c r="AE618" s="109" t="n"/>
      <c r="AF618" s="74" t="n"/>
      <c r="AG618" s="112">
        <f>IF(AND(AA618&lt;&gt;"",AD618="Yes",AF618&lt;&gt;"Yes",AE618&lt;&gt;""),AE618,"")</f>
        <v/>
      </c>
      <c r="AH618" s="79">
        <f>IF(AG618="","",IF(AG618&lt;AsOf,1,IF(AG618&lt;=AsOf+AlertDays,2,IF(AG618&lt;=AsOf+2*AlertDays,3,""))))</f>
        <v/>
      </c>
      <c r="AI618" s="79">
        <f>IF(AH618="","","Follow up with "&amp;AA618&amp;": "&amp;AC618)</f>
        <v/>
      </c>
    </row>
    <row r="619" ht="20" customHeight="1">
      <c r="B619" s="72" t="n"/>
      <c r="C619" s="72" t="n"/>
      <c r="D619" s="72" t="n"/>
      <c r="E619" s="72" t="n"/>
      <c r="F619" s="72" t="n"/>
      <c r="G619" s="72" t="n"/>
      <c r="H619" s="72" t="n"/>
      <c r="I619" s="73" t="n"/>
      <c r="J619" s="75">
        <f>IF(B619="","",SUMIFS('Change Orders'!$J$7:$J$1006,'Change Orders'!$E$7:$E$1006,B619,'Change Orders'!$L$7:$L$1006,"Approved"))</f>
        <v/>
      </c>
      <c r="K619" s="76">
        <f>IF(B619="","",I619+J619)</f>
        <v/>
      </c>
      <c r="L619" s="74" t="n"/>
      <c r="M619" s="109" t="n"/>
      <c r="N619" s="109" t="n"/>
      <c r="O619" s="74" t="n"/>
      <c r="P619" s="74" t="n"/>
      <c r="Q619" s="100" t="n"/>
      <c r="R619" s="110" t="n"/>
      <c r="S619" s="75">
        <f>IF(B619="","",SUMIFS('Payments'!$N$6:$N$1005,'Payments'!$B$6:$B$1005,B619))</f>
        <v/>
      </c>
      <c r="T619" s="111">
        <f>IF(OR(B619="",K619=0),"",S619/K619)</f>
        <v/>
      </c>
      <c r="U619" s="78">
        <f>IF(V619="","",IF(V619=2,"⚠️ Paying ahead of work","✓ OK"))</f>
        <v/>
      </c>
      <c r="V619" s="79">
        <f>IF(T619="","",IF(T619-R619&gt;OverpayTol,2,0))</f>
        <v/>
      </c>
      <c r="W619" s="112">
        <f>IF(V619=2,AsOf,"")</f>
        <v/>
      </c>
      <c r="X619" s="79">
        <f>IF(W619="","",1)</f>
        <v/>
      </c>
      <c r="Y619" s="79">
        <f>IF(X619="","","Paying ahead of work: "&amp;B619&amp;" — paid "&amp;ROUND(T619*100,0)&amp;"%, work done "&amp;ROUND(R619*100,0)&amp;"%")</f>
        <v/>
      </c>
      <c r="AA619" s="72" t="n"/>
      <c r="AB619" s="109" t="n"/>
      <c r="AC619" s="113" t="n"/>
      <c r="AD619" s="74" t="n"/>
      <c r="AE619" s="109" t="n"/>
      <c r="AF619" s="74" t="n"/>
      <c r="AG619" s="112">
        <f>IF(AND(AA619&lt;&gt;"",AD619="Yes",AF619&lt;&gt;"Yes",AE619&lt;&gt;""),AE619,"")</f>
        <v/>
      </c>
      <c r="AH619" s="79">
        <f>IF(AG619="","",IF(AG619&lt;AsOf,1,IF(AG619&lt;=AsOf+AlertDays,2,IF(AG619&lt;=AsOf+2*AlertDays,3,""))))</f>
        <v/>
      </c>
      <c r="AI619" s="79">
        <f>IF(AH619="","","Follow up with "&amp;AA619&amp;": "&amp;AC619)</f>
        <v/>
      </c>
    </row>
    <row r="620" ht="20" customHeight="1">
      <c r="B620" s="72" t="n"/>
      <c r="C620" s="72" t="n"/>
      <c r="D620" s="72" t="n"/>
      <c r="E620" s="72" t="n"/>
      <c r="F620" s="72" t="n"/>
      <c r="G620" s="72" t="n"/>
      <c r="H620" s="72" t="n"/>
      <c r="I620" s="73" t="n"/>
      <c r="J620" s="75">
        <f>IF(B620="","",SUMIFS('Change Orders'!$J$7:$J$1006,'Change Orders'!$E$7:$E$1006,B620,'Change Orders'!$L$7:$L$1006,"Approved"))</f>
        <v/>
      </c>
      <c r="K620" s="76">
        <f>IF(B620="","",I620+J620)</f>
        <v/>
      </c>
      <c r="L620" s="74" t="n"/>
      <c r="M620" s="109" t="n"/>
      <c r="N620" s="109" t="n"/>
      <c r="O620" s="74" t="n"/>
      <c r="P620" s="74" t="n"/>
      <c r="Q620" s="100" t="n"/>
      <c r="R620" s="110" t="n"/>
      <c r="S620" s="75">
        <f>IF(B620="","",SUMIFS('Payments'!$N$6:$N$1005,'Payments'!$B$6:$B$1005,B620))</f>
        <v/>
      </c>
      <c r="T620" s="111">
        <f>IF(OR(B620="",K620=0),"",S620/K620)</f>
        <v/>
      </c>
      <c r="U620" s="78">
        <f>IF(V620="","",IF(V620=2,"⚠️ Paying ahead of work","✓ OK"))</f>
        <v/>
      </c>
      <c r="V620" s="79">
        <f>IF(T620="","",IF(T620-R620&gt;OverpayTol,2,0))</f>
        <v/>
      </c>
      <c r="W620" s="112">
        <f>IF(V620=2,AsOf,"")</f>
        <v/>
      </c>
      <c r="X620" s="79">
        <f>IF(W620="","",1)</f>
        <v/>
      </c>
      <c r="Y620" s="79">
        <f>IF(X620="","","Paying ahead of work: "&amp;B620&amp;" — paid "&amp;ROUND(T620*100,0)&amp;"%, work done "&amp;ROUND(R620*100,0)&amp;"%")</f>
        <v/>
      </c>
      <c r="AA620" s="72" t="n"/>
      <c r="AB620" s="109" t="n"/>
      <c r="AC620" s="113" t="n"/>
      <c r="AD620" s="74" t="n"/>
      <c r="AE620" s="109" t="n"/>
      <c r="AF620" s="74" t="n"/>
      <c r="AG620" s="112">
        <f>IF(AND(AA620&lt;&gt;"",AD620="Yes",AF620&lt;&gt;"Yes",AE620&lt;&gt;""),AE620,"")</f>
        <v/>
      </c>
      <c r="AH620" s="79">
        <f>IF(AG620="","",IF(AG620&lt;AsOf,1,IF(AG620&lt;=AsOf+AlertDays,2,IF(AG620&lt;=AsOf+2*AlertDays,3,""))))</f>
        <v/>
      </c>
      <c r="AI620" s="79">
        <f>IF(AH620="","","Follow up with "&amp;AA620&amp;": "&amp;AC620)</f>
        <v/>
      </c>
    </row>
    <row r="621" ht="20" customHeight="1">
      <c r="B621" s="72" t="n"/>
      <c r="C621" s="72" t="n"/>
      <c r="D621" s="72" t="n"/>
      <c r="E621" s="72" t="n"/>
      <c r="F621" s="72" t="n"/>
      <c r="G621" s="72" t="n"/>
      <c r="H621" s="72" t="n"/>
      <c r="I621" s="73" t="n"/>
      <c r="J621" s="75">
        <f>IF(B621="","",SUMIFS('Change Orders'!$J$7:$J$1006,'Change Orders'!$E$7:$E$1006,B621,'Change Orders'!$L$7:$L$1006,"Approved"))</f>
        <v/>
      </c>
      <c r="K621" s="76">
        <f>IF(B621="","",I621+J621)</f>
        <v/>
      </c>
      <c r="L621" s="74" t="n"/>
      <c r="M621" s="109" t="n"/>
      <c r="N621" s="109" t="n"/>
      <c r="O621" s="74" t="n"/>
      <c r="P621" s="74" t="n"/>
      <c r="Q621" s="100" t="n"/>
      <c r="R621" s="110" t="n"/>
      <c r="S621" s="75">
        <f>IF(B621="","",SUMIFS('Payments'!$N$6:$N$1005,'Payments'!$B$6:$B$1005,B621))</f>
        <v/>
      </c>
      <c r="T621" s="111">
        <f>IF(OR(B621="",K621=0),"",S621/K621)</f>
        <v/>
      </c>
      <c r="U621" s="78">
        <f>IF(V621="","",IF(V621=2,"⚠️ Paying ahead of work","✓ OK"))</f>
        <v/>
      </c>
      <c r="V621" s="79">
        <f>IF(T621="","",IF(T621-R621&gt;OverpayTol,2,0))</f>
        <v/>
      </c>
      <c r="W621" s="112">
        <f>IF(V621=2,AsOf,"")</f>
        <v/>
      </c>
      <c r="X621" s="79">
        <f>IF(W621="","",1)</f>
        <v/>
      </c>
      <c r="Y621" s="79">
        <f>IF(X621="","","Paying ahead of work: "&amp;B621&amp;" — paid "&amp;ROUND(T621*100,0)&amp;"%, work done "&amp;ROUND(R621*100,0)&amp;"%")</f>
        <v/>
      </c>
      <c r="AA621" s="72" t="n"/>
      <c r="AB621" s="109" t="n"/>
      <c r="AC621" s="113" t="n"/>
      <c r="AD621" s="74" t="n"/>
      <c r="AE621" s="109" t="n"/>
      <c r="AF621" s="74" t="n"/>
      <c r="AG621" s="112">
        <f>IF(AND(AA621&lt;&gt;"",AD621="Yes",AF621&lt;&gt;"Yes",AE621&lt;&gt;""),AE621,"")</f>
        <v/>
      </c>
      <c r="AH621" s="79">
        <f>IF(AG621="","",IF(AG621&lt;AsOf,1,IF(AG621&lt;=AsOf+AlertDays,2,IF(AG621&lt;=AsOf+2*AlertDays,3,""))))</f>
        <v/>
      </c>
      <c r="AI621" s="79">
        <f>IF(AH621="","","Follow up with "&amp;AA621&amp;": "&amp;AC621)</f>
        <v/>
      </c>
    </row>
    <row r="622" ht="20" customHeight="1">
      <c r="B622" s="72" t="n"/>
      <c r="C622" s="72" t="n"/>
      <c r="D622" s="72" t="n"/>
      <c r="E622" s="72" t="n"/>
      <c r="F622" s="72" t="n"/>
      <c r="G622" s="72" t="n"/>
      <c r="H622" s="72" t="n"/>
      <c r="I622" s="73" t="n"/>
      <c r="J622" s="75">
        <f>IF(B622="","",SUMIFS('Change Orders'!$J$7:$J$1006,'Change Orders'!$E$7:$E$1006,B622,'Change Orders'!$L$7:$L$1006,"Approved"))</f>
        <v/>
      </c>
      <c r="K622" s="76">
        <f>IF(B622="","",I622+J622)</f>
        <v/>
      </c>
      <c r="L622" s="74" t="n"/>
      <c r="M622" s="109" t="n"/>
      <c r="N622" s="109" t="n"/>
      <c r="O622" s="74" t="n"/>
      <c r="P622" s="74" t="n"/>
      <c r="Q622" s="100" t="n"/>
      <c r="R622" s="110" t="n"/>
      <c r="S622" s="75">
        <f>IF(B622="","",SUMIFS('Payments'!$N$6:$N$1005,'Payments'!$B$6:$B$1005,B622))</f>
        <v/>
      </c>
      <c r="T622" s="111">
        <f>IF(OR(B622="",K622=0),"",S622/K622)</f>
        <v/>
      </c>
      <c r="U622" s="78">
        <f>IF(V622="","",IF(V622=2,"⚠️ Paying ahead of work","✓ OK"))</f>
        <v/>
      </c>
      <c r="V622" s="79">
        <f>IF(T622="","",IF(T622-R622&gt;OverpayTol,2,0))</f>
        <v/>
      </c>
      <c r="W622" s="112">
        <f>IF(V622=2,AsOf,"")</f>
        <v/>
      </c>
      <c r="X622" s="79">
        <f>IF(W622="","",1)</f>
        <v/>
      </c>
      <c r="Y622" s="79">
        <f>IF(X622="","","Paying ahead of work: "&amp;B622&amp;" — paid "&amp;ROUND(T622*100,0)&amp;"%, work done "&amp;ROUND(R622*100,0)&amp;"%")</f>
        <v/>
      </c>
      <c r="AA622" s="72" t="n"/>
      <c r="AB622" s="109" t="n"/>
      <c r="AC622" s="113" t="n"/>
      <c r="AD622" s="74" t="n"/>
      <c r="AE622" s="109" t="n"/>
      <c r="AF622" s="74" t="n"/>
      <c r="AG622" s="112">
        <f>IF(AND(AA622&lt;&gt;"",AD622="Yes",AF622&lt;&gt;"Yes",AE622&lt;&gt;""),AE622,"")</f>
        <v/>
      </c>
      <c r="AH622" s="79">
        <f>IF(AG622="","",IF(AG622&lt;AsOf,1,IF(AG622&lt;=AsOf+AlertDays,2,IF(AG622&lt;=AsOf+2*AlertDays,3,""))))</f>
        <v/>
      </c>
      <c r="AI622" s="79">
        <f>IF(AH622="","","Follow up with "&amp;AA622&amp;": "&amp;AC622)</f>
        <v/>
      </c>
    </row>
    <row r="623" ht="20" customHeight="1">
      <c r="B623" s="72" t="n"/>
      <c r="C623" s="72" t="n"/>
      <c r="D623" s="72" t="n"/>
      <c r="E623" s="72" t="n"/>
      <c r="F623" s="72" t="n"/>
      <c r="G623" s="72" t="n"/>
      <c r="H623" s="72" t="n"/>
      <c r="I623" s="73" t="n"/>
      <c r="J623" s="75">
        <f>IF(B623="","",SUMIFS('Change Orders'!$J$7:$J$1006,'Change Orders'!$E$7:$E$1006,B623,'Change Orders'!$L$7:$L$1006,"Approved"))</f>
        <v/>
      </c>
      <c r="K623" s="76">
        <f>IF(B623="","",I623+J623)</f>
        <v/>
      </c>
      <c r="L623" s="74" t="n"/>
      <c r="M623" s="109" t="n"/>
      <c r="N623" s="109" t="n"/>
      <c r="O623" s="74" t="n"/>
      <c r="P623" s="74" t="n"/>
      <c r="Q623" s="100" t="n"/>
      <c r="R623" s="110" t="n"/>
      <c r="S623" s="75">
        <f>IF(B623="","",SUMIFS('Payments'!$N$6:$N$1005,'Payments'!$B$6:$B$1005,B623))</f>
        <v/>
      </c>
      <c r="T623" s="111">
        <f>IF(OR(B623="",K623=0),"",S623/K623)</f>
        <v/>
      </c>
      <c r="U623" s="78">
        <f>IF(V623="","",IF(V623=2,"⚠️ Paying ahead of work","✓ OK"))</f>
        <v/>
      </c>
      <c r="V623" s="79">
        <f>IF(T623="","",IF(T623-R623&gt;OverpayTol,2,0))</f>
        <v/>
      </c>
      <c r="W623" s="112">
        <f>IF(V623=2,AsOf,"")</f>
        <v/>
      </c>
      <c r="X623" s="79">
        <f>IF(W623="","",1)</f>
        <v/>
      </c>
      <c r="Y623" s="79">
        <f>IF(X623="","","Paying ahead of work: "&amp;B623&amp;" — paid "&amp;ROUND(T623*100,0)&amp;"%, work done "&amp;ROUND(R623*100,0)&amp;"%")</f>
        <v/>
      </c>
      <c r="AA623" s="72" t="n"/>
      <c r="AB623" s="109" t="n"/>
      <c r="AC623" s="113" t="n"/>
      <c r="AD623" s="74" t="n"/>
      <c r="AE623" s="109" t="n"/>
      <c r="AF623" s="74" t="n"/>
      <c r="AG623" s="112">
        <f>IF(AND(AA623&lt;&gt;"",AD623="Yes",AF623&lt;&gt;"Yes",AE623&lt;&gt;""),AE623,"")</f>
        <v/>
      </c>
      <c r="AH623" s="79">
        <f>IF(AG623="","",IF(AG623&lt;AsOf,1,IF(AG623&lt;=AsOf+AlertDays,2,IF(AG623&lt;=AsOf+2*AlertDays,3,""))))</f>
        <v/>
      </c>
      <c r="AI623" s="79">
        <f>IF(AH623="","","Follow up with "&amp;AA623&amp;": "&amp;AC623)</f>
        <v/>
      </c>
    </row>
    <row r="624" ht="20" customHeight="1">
      <c r="B624" s="72" t="n"/>
      <c r="C624" s="72" t="n"/>
      <c r="D624" s="72" t="n"/>
      <c r="E624" s="72" t="n"/>
      <c r="F624" s="72" t="n"/>
      <c r="G624" s="72" t="n"/>
      <c r="H624" s="72" t="n"/>
      <c r="I624" s="73" t="n"/>
      <c r="J624" s="75">
        <f>IF(B624="","",SUMIFS('Change Orders'!$J$7:$J$1006,'Change Orders'!$E$7:$E$1006,B624,'Change Orders'!$L$7:$L$1006,"Approved"))</f>
        <v/>
      </c>
      <c r="K624" s="76">
        <f>IF(B624="","",I624+J624)</f>
        <v/>
      </c>
      <c r="L624" s="74" t="n"/>
      <c r="M624" s="109" t="n"/>
      <c r="N624" s="109" t="n"/>
      <c r="O624" s="74" t="n"/>
      <c r="P624" s="74" t="n"/>
      <c r="Q624" s="100" t="n"/>
      <c r="R624" s="110" t="n"/>
      <c r="S624" s="75">
        <f>IF(B624="","",SUMIFS('Payments'!$N$6:$N$1005,'Payments'!$B$6:$B$1005,B624))</f>
        <v/>
      </c>
      <c r="T624" s="111">
        <f>IF(OR(B624="",K624=0),"",S624/K624)</f>
        <v/>
      </c>
      <c r="U624" s="78">
        <f>IF(V624="","",IF(V624=2,"⚠️ Paying ahead of work","✓ OK"))</f>
        <v/>
      </c>
      <c r="V624" s="79">
        <f>IF(T624="","",IF(T624-R624&gt;OverpayTol,2,0))</f>
        <v/>
      </c>
      <c r="W624" s="112">
        <f>IF(V624=2,AsOf,"")</f>
        <v/>
      </c>
      <c r="X624" s="79">
        <f>IF(W624="","",1)</f>
        <v/>
      </c>
      <c r="Y624" s="79">
        <f>IF(X624="","","Paying ahead of work: "&amp;B624&amp;" — paid "&amp;ROUND(T624*100,0)&amp;"%, work done "&amp;ROUND(R624*100,0)&amp;"%")</f>
        <v/>
      </c>
      <c r="AA624" s="72" t="n"/>
      <c r="AB624" s="109" t="n"/>
      <c r="AC624" s="113" t="n"/>
      <c r="AD624" s="74" t="n"/>
      <c r="AE624" s="109" t="n"/>
      <c r="AF624" s="74" t="n"/>
      <c r="AG624" s="112">
        <f>IF(AND(AA624&lt;&gt;"",AD624="Yes",AF624&lt;&gt;"Yes",AE624&lt;&gt;""),AE624,"")</f>
        <v/>
      </c>
      <c r="AH624" s="79">
        <f>IF(AG624="","",IF(AG624&lt;AsOf,1,IF(AG624&lt;=AsOf+AlertDays,2,IF(AG624&lt;=AsOf+2*AlertDays,3,""))))</f>
        <v/>
      </c>
      <c r="AI624" s="79">
        <f>IF(AH624="","","Follow up with "&amp;AA624&amp;": "&amp;AC624)</f>
        <v/>
      </c>
    </row>
    <row r="625" ht="20" customHeight="1">
      <c r="B625" s="72" t="n"/>
      <c r="C625" s="72" t="n"/>
      <c r="D625" s="72" t="n"/>
      <c r="E625" s="72" t="n"/>
      <c r="F625" s="72" t="n"/>
      <c r="G625" s="72" t="n"/>
      <c r="H625" s="72" t="n"/>
      <c r="I625" s="73" t="n"/>
      <c r="J625" s="75">
        <f>IF(B625="","",SUMIFS('Change Orders'!$J$7:$J$1006,'Change Orders'!$E$7:$E$1006,B625,'Change Orders'!$L$7:$L$1006,"Approved"))</f>
        <v/>
      </c>
      <c r="K625" s="76">
        <f>IF(B625="","",I625+J625)</f>
        <v/>
      </c>
      <c r="L625" s="74" t="n"/>
      <c r="M625" s="109" t="n"/>
      <c r="N625" s="109" t="n"/>
      <c r="O625" s="74" t="n"/>
      <c r="P625" s="74" t="n"/>
      <c r="Q625" s="100" t="n"/>
      <c r="R625" s="110" t="n"/>
      <c r="S625" s="75">
        <f>IF(B625="","",SUMIFS('Payments'!$N$6:$N$1005,'Payments'!$B$6:$B$1005,B625))</f>
        <v/>
      </c>
      <c r="T625" s="111">
        <f>IF(OR(B625="",K625=0),"",S625/K625)</f>
        <v/>
      </c>
      <c r="U625" s="78">
        <f>IF(V625="","",IF(V625=2,"⚠️ Paying ahead of work","✓ OK"))</f>
        <v/>
      </c>
      <c r="V625" s="79">
        <f>IF(T625="","",IF(T625-R625&gt;OverpayTol,2,0))</f>
        <v/>
      </c>
      <c r="W625" s="112">
        <f>IF(V625=2,AsOf,"")</f>
        <v/>
      </c>
      <c r="X625" s="79">
        <f>IF(W625="","",1)</f>
        <v/>
      </c>
      <c r="Y625" s="79">
        <f>IF(X625="","","Paying ahead of work: "&amp;B625&amp;" — paid "&amp;ROUND(T625*100,0)&amp;"%, work done "&amp;ROUND(R625*100,0)&amp;"%")</f>
        <v/>
      </c>
      <c r="AA625" s="72" t="n"/>
      <c r="AB625" s="109" t="n"/>
      <c r="AC625" s="113" t="n"/>
      <c r="AD625" s="74" t="n"/>
      <c r="AE625" s="109" t="n"/>
      <c r="AF625" s="74" t="n"/>
      <c r="AG625" s="112">
        <f>IF(AND(AA625&lt;&gt;"",AD625="Yes",AF625&lt;&gt;"Yes",AE625&lt;&gt;""),AE625,"")</f>
        <v/>
      </c>
      <c r="AH625" s="79">
        <f>IF(AG625="","",IF(AG625&lt;AsOf,1,IF(AG625&lt;=AsOf+AlertDays,2,IF(AG625&lt;=AsOf+2*AlertDays,3,""))))</f>
        <v/>
      </c>
      <c r="AI625" s="79">
        <f>IF(AH625="","","Follow up with "&amp;AA625&amp;": "&amp;AC625)</f>
        <v/>
      </c>
    </row>
    <row r="626" ht="20" customHeight="1">
      <c r="B626" s="72" t="n"/>
      <c r="C626" s="72" t="n"/>
      <c r="D626" s="72" t="n"/>
      <c r="E626" s="72" t="n"/>
      <c r="F626" s="72" t="n"/>
      <c r="G626" s="72" t="n"/>
      <c r="H626" s="72" t="n"/>
      <c r="I626" s="73" t="n"/>
      <c r="J626" s="75">
        <f>IF(B626="","",SUMIFS('Change Orders'!$J$7:$J$1006,'Change Orders'!$E$7:$E$1006,B626,'Change Orders'!$L$7:$L$1006,"Approved"))</f>
        <v/>
      </c>
      <c r="K626" s="76">
        <f>IF(B626="","",I626+J626)</f>
        <v/>
      </c>
      <c r="L626" s="74" t="n"/>
      <c r="M626" s="109" t="n"/>
      <c r="N626" s="109" t="n"/>
      <c r="O626" s="74" t="n"/>
      <c r="P626" s="74" t="n"/>
      <c r="Q626" s="100" t="n"/>
      <c r="R626" s="110" t="n"/>
      <c r="S626" s="75">
        <f>IF(B626="","",SUMIFS('Payments'!$N$6:$N$1005,'Payments'!$B$6:$B$1005,B626))</f>
        <v/>
      </c>
      <c r="T626" s="111">
        <f>IF(OR(B626="",K626=0),"",S626/K626)</f>
        <v/>
      </c>
      <c r="U626" s="78">
        <f>IF(V626="","",IF(V626=2,"⚠️ Paying ahead of work","✓ OK"))</f>
        <v/>
      </c>
      <c r="V626" s="79">
        <f>IF(T626="","",IF(T626-R626&gt;OverpayTol,2,0))</f>
        <v/>
      </c>
      <c r="W626" s="112">
        <f>IF(V626=2,AsOf,"")</f>
        <v/>
      </c>
      <c r="X626" s="79">
        <f>IF(W626="","",1)</f>
        <v/>
      </c>
      <c r="Y626" s="79">
        <f>IF(X626="","","Paying ahead of work: "&amp;B626&amp;" — paid "&amp;ROUND(T626*100,0)&amp;"%, work done "&amp;ROUND(R626*100,0)&amp;"%")</f>
        <v/>
      </c>
      <c r="AA626" s="72" t="n"/>
      <c r="AB626" s="109" t="n"/>
      <c r="AC626" s="113" t="n"/>
      <c r="AD626" s="74" t="n"/>
      <c r="AE626" s="109" t="n"/>
      <c r="AF626" s="74" t="n"/>
      <c r="AG626" s="112">
        <f>IF(AND(AA626&lt;&gt;"",AD626="Yes",AF626&lt;&gt;"Yes",AE626&lt;&gt;""),AE626,"")</f>
        <v/>
      </c>
      <c r="AH626" s="79">
        <f>IF(AG626="","",IF(AG626&lt;AsOf,1,IF(AG626&lt;=AsOf+AlertDays,2,IF(AG626&lt;=AsOf+2*AlertDays,3,""))))</f>
        <v/>
      </c>
      <c r="AI626" s="79">
        <f>IF(AH626="","","Follow up with "&amp;AA626&amp;": "&amp;AC626)</f>
        <v/>
      </c>
    </row>
    <row r="627" ht="20" customHeight="1">
      <c r="B627" s="72" t="n"/>
      <c r="C627" s="72" t="n"/>
      <c r="D627" s="72" t="n"/>
      <c r="E627" s="72" t="n"/>
      <c r="F627" s="72" t="n"/>
      <c r="G627" s="72" t="n"/>
      <c r="H627" s="72" t="n"/>
      <c r="I627" s="73" t="n"/>
      <c r="J627" s="75">
        <f>IF(B627="","",SUMIFS('Change Orders'!$J$7:$J$1006,'Change Orders'!$E$7:$E$1006,B627,'Change Orders'!$L$7:$L$1006,"Approved"))</f>
        <v/>
      </c>
      <c r="K627" s="76">
        <f>IF(B627="","",I627+J627)</f>
        <v/>
      </c>
      <c r="L627" s="74" t="n"/>
      <c r="M627" s="109" t="n"/>
      <c r="N627" s="109" t="n"/>
      <c r="O627" s="74" t="n"/>
      <c r="P627" s="74" t="n"/>
      <c r="Q627" s="100" t="n"/>
      <c r="R627" s="110" t="n"/>
      <c r="S627" s="75">
        <f>IF(B627="","",SUMIFS('Payments'!$N$6:$N$1005,'Payments'!$B$6:$B$1005,B627))</f>
        <v/>
      </c>
      <c r="T627" s="111">
        <f>IF(OR(B627="",K627=0),"",S627/K627)</f>
        <v/>
      </c>
      <c r="U627" s="78">
        <f>IF(V627="","",IF(V627=2,"⚠️ Paying ahead of work","✓ OK"))</f>
        <v/>
      </c>
      <c r="V627" s="79">
        <f>IF(T627="","",IF(T627-R627&gt;OverpayTol,2,0))</f>
        <v/>
      </c>
      <c r="W627" s="112">
        <f>IF(V627=2,AsOf,"")</f>
        <v/>
      </c>
      <c r="X627" s="79">
        <f>IF(W627="","",1)</f>
        <v/>
      </c>
      <c r="Y627" s="79">
        <f>IF(X627="","","Paying ahead of work: "&amp;B627&amp;" — paid "&amp;ROUND(T627*100,0)&amp;"%, work done "&amp;ROUND(R627*100,0)&amp;"%")</f>
        <v/>
      </c>
      <c r="AA627" s="72" t="n"/>
      <c r="AB627" s="109" t="n"/>
      <c r="AC627" s="113" t="n"/>
      <c r="AD627" s="74" t="n"/>
      <c r="AE627" s="109" t="n"/>
      <c r="AF627" s="74" t="n"/>
      <c r="AG627" s="112">
        <f>IF(AND(AA627&lt;&gt;"",AD627="Yes",AF627&lt;&gt;"Yes",AE627&lt;&gt;""),AE627,"")</f>
        <v/>
      </c>
      <c r="AH627" s="79">
        <f>IF(AG627="","",IF(AG627&lt;AsOf,1,IF(AG627&lt;=AsOf+AlertDays,2,IF(AG627&lt;=AsOf+2*AlertDays,3,""))))</f>
        <v/>
      </c>
      <c r="AI627" s="79">
        <f>IF(AH627="","","Follow up with "&amp;AA627&amp;": "&amp;AC627)</f>
        <v/>
      </c>
    </row>
    <row r="628" ht="20" customHeight="1">
      <c r="B628" s="72" t="n"/>
      <c r="C628" s="72" t="n"/>
      <c r="D628" s="72" t="n"/>
      <c r="E628" s="72" t="n"/>
      <c r="F628" s="72" t="n"/>
      <c r="G628" s="72" t="n"/>
      <c r="H628" s="72" t="n"/>
      <c r="I628" s="73" t="n"/>
      <c r="J628" s="75">
        <f>IF(B628="","",SUMIFS('Change Orders'!$J$7:$J$1006,'Change Orders'!$E$7:$E$1006,B628,'Change Orders'!$L$7:$L$1006,"Approved"))</f>
        <v/>
      </c>
      <c r="K628" s="76">
        <f>IF(B628="","",I628+J628)</f>
        <v/>
      </c>
      <c r="L628" s="74" t="n"/>
      <c r="M628" s="109" t="n"/>
      <c r="N628" s="109" t="n"/>
      <c r="O628" s="74" t="n"/>
      <c r="P628" s="74" t="n"/>
      <c r="Q628" s="100" t="n"/>
      <c r="R628" s="110" t="n"/>
      <c r="S628" s="75">
        <f>IF(B628="","",SUMIFS('Payments'!$N$6:$N$1005,'Payments'!$B$6:$B$1005,B628))</f>
        <v/>
      </c>
      <c r="T628" s="111">
        <f>IF(OR(B628="",K628=0),"",S628/K628)</f>
        <v/>
      </c>
      <c r="U628" s="78">
        <f>IF(V628="","",IF(V628=2,"⚠️ Paying ahead of work","✓ OK"))</f>
        <v/>
      </c>
      <c r="V628" s="79">
        <f>IF(T628="","",IF(T628-R628&gt;OverpayTol,2,0))</f>
        <v/>
      </c>
      <c r="W628" s="112">
        <f>IF(V628=2,AsOf,"")</f>
        <v/>
      </c>
      <c r="X628" s="79">
        <f>IF(W628="","",1)</f>
        <v/>
      </c>
      <c r="Y628" s="79">
        <f>IF(X628="","","Paying ahead of work: "&amp;B628&amp;" — paid "&amp;ROUND(T628*100,0)&amp;"%, work done "&amp;ROUND(R628*100,0)&amp;"%")</f>
        <v/>
      </c>
      <c r="AA628" s="72" t="n"/>
      <c r="AB628" s="109" t="n"/>
      <c r="AC628" s="113" t="n"/>
      <c r="AD628" s="74" t="n"/>
      <c r="AE628" s="109" t="n"/>
      <c r="AF628" s="74" t="n"/>
      <c r="AG628" s="112">
        <f>IF(AND(AA628&lt;&gt;"",AD628="Yes",AF628&lt;&gt;"Yes",AE628&lt;&gt;""),AE628,"")</f>
        <v/>
      </c>
      <c r="AH628" s="79">
        <f>IF(AG628="","",IF(AG628&lt;AsOf,1,IF(AG628&lt;=AsOf+AlertDays,2,IF(AG628&lt;=AsOf+2*AlertDays,3,""))))</f>
        <v/>
      </c>
      <c r="AI628" s="79">
        <f>IF(AH628="","","Follow up with "&amp;AA628&amp;": "&amp;AC628)</f>
        <v/>
      </c>
    </row>
    <row r="629" ht="20" customHeight="1">
      <c r="B629" s="72" t="n"/>
      <c r="C629" s="72" t="n"/>
      <c r="D629" s="72" t="n"/>
      <c r="E629" s="72" t="n"/>
      <c r="F629" s="72" t="n"/>
      <c r="G629" s="72" t="n"/>
      <c r="H629" s="72" t="n"/>
      <c r="I629" s="73" t="n"/>
      <c r="J629" s="75">
        <f>IF(B629="","",SUMIFS('Change Orders'!$J$7:$J$1006,'Change Orders'!$E$7:$E$1006,B629,'Change Orders'!$L$7:$L$1006,"Approved"))</f>
        <v/>
      </c>
      <c r="K629" s="76">
        <f>IF(B629="","",I629+J629)</f>
        <v/>
      </c>
      <c r="L629" s="74" t="n"/>
      <c r="M629" s="109" t="n"/>
      <c r="N629" s="109" t="n"/>
      <c r="O629" s="74" t="n"/>
      <c r="P629" s="74" t="n"/>
      <c r="Q629" s="100" t="n"/>
      <c r="R629" s="110" t="n"/>
      <c r="S629" s="75">
        <f>IF(B629="","",SUMIFS('Payments'!$N$6:$N$1005,'Payments'!$B$6:$B$1005,B629))</f>
        <v/>
      </c>
      <c r="T629" s="111">
        <f>IF(OR(B629="",K629=0),"",S629/K629)</f>
        <v/>
      </c>
      <c r="U629" s="78">
        <f>IF(V629="","",IF(V629=2,"⚠️ Paying ahead of work","✓ OK"))</f>
        <v/>
      </c>
      <c r="V629" s="79">
        <f>IF(T629="","",IF(T629-R629&gt;OverpayTol,2,0))</f>
        <v/>
      </c>
      <c r="W629" s="112">
        <f>IF(V629=2,AsOf,"")</f>
        <v/>
      </c>
      <c r="X629" s="79">
        <f>IF(W629="","",1)</f>
        <v/>
      </c>
      <c r="Y629" s="79">
        <f>IF(X629="","","Paying ahead of work: "&amp;B629&amp;" — paid "&amp;ROUND(T629*100,0)&amp;"%, work done "&amp;ROUND(R629*100,0)&amp;"%")</f>
        <v/>
      </c>
      <c r="AA629" s="72" t="n"/>
      <c r="AB629" s="109" t="n"/>
      <c r="AC629" s="113" t="n"/>
      <c r="AD629" s="74" t="n"/>
      <c r="AE629" s="109" t="n"/>
      <c r="AF629" s="74" t="n"/>
      <c r="AG629" s="112">
        <f>IF(AND(AA629&lt;&gt;"",AD629="Yes",AF629&lt;&gt;"Yes",AE629&lt;&gt;""),AE629,"")</f>
        <v/>
      </c>
      <c r="AH629" s="79">
        <f>IF(AG629="","",IF(AG629&lt;AsOf,1,IF(AG629&lt;=AsOf+AlertDays,2,IF(AG629&lt;=AsOf+2*AlertDays,3,""))))</f>
        <v/>
      </c>
      <c r="AI629" s="79">
        <f>IF(AH629="","","Follow up with "&amp;AA629&amp;": "&amp;AC629)</f>
        <v/>
      </c>
    </row>
    <row r="630" ht="20" customHeight="1">
      <c r="B630" s="72" t="n"/>
      <c r="C630" s="72" t="n"/>
      <c r="D630" s="72" t="n"/>
      <c r="E630" s="72" t="n"/>
      <c r="F630" s="72" t="n"/>
      <c r="G630" s="72" t="n"/>
      <c r="H630" s="72" t="n"/>
      <c r="I630" s="73" t="n"/>
      <c r="J630" s="75">
        <f>IF(B630="","",SUMIFS('Change Orders'!$J$7:$J$1006,'Change Orders'!$E$7:$E$1006,B630,'Change Orders'!$L$7:$L$1006,"Approved"))</f>
        <v/>
      </c>
      <c r="K630" s="76">
        <f>IF(B630="","",I630+J630)</f>
        <v/>
      </c>
      <c r="L630" s="74" t="n"/>
      <c r="M630" s="109" t="n"/>
      <c r="N630" s="109" t="n"/>
      <c r="O630" s="74" t="n"/>
      <c r="P630" s="74" t="n"/>
      <c r="Q630" s="100" t="n"/>
      <c r="R630" s="110" t="n"/>
      <c r="S630" s="75">
        <f>IF(B630="","",SUMIFS('Payments'!$N$6:$N$1005,'Payments'!$B$6:$B$1005,B630))</f>
        <v/>
      </c>
      <c r="T630" s="111">
        <f>IF(OR(B630="",K630=0),"",S630/K630)</f>
        <v/>
      </c>
      <c r="U630" s="78">
        <f>IF(V630="","",IF(V630=2,"⚠️ Paying ahead of work","✓ OK"))</f>
        <v/>
      </c>
      <c r="V630" s="79">
        <f>IF(T630="","",IF(T630-R630&gt;OverpayTol,2,0))</f>
        <v/>
      </c>
      <c r="W630" s="112">
        <f>IF(V630=2,AsOf,"")</f>
        <v/>
      </c>
      <c r="X630" s="79">
        <f>IF(W630="","",1)</f>
        <v/>
      </c>
      <c r="Y630" s="79">
        <f>IF(X630="","","Paying ahead of work: "&amp;B630&amp;" — paid "&amp;ROUND(T630*100,0)&amp;"%, work done "&amp;ROUND(R630*100,0)&amp;"%")</f>
        <v/>
      </c>
      <c r="AA630" s="72" t="n"/>
      <c r="AB630" s="109" t="n"/>
      <c r="AC630" s="113" t="n"/>
      <c r="AD630" s="74" t="n"/>
      <c r="AE630" s="109" t="n"/>
      <c r="AF630" s="74" t="n"/>
      <c r="AG630" s="112">
        <f>IF(AND(AA630&lt;&gt;"",AD630="Yes",AF630&lt;&gt;"Yes",AE630&lt;&gt;""),AE630,"")</f>
        <v/>
      </c>
      <c r="AH630" s="79">
        <f>IF(AG630="","",IF(AG630&lt;AsOf,1,IF(AG630&lt;=AsOf+AlertDays,2,IF(AG630&lt;=AsOf+2*AlertDays,3,""))))</f>
        <v/>
      </c>
      <c r="AI630" s="79">
        <f>IF(AH630="","","Follow up with "&amp;AA630&amp;": "&amp;AC630)</f>
        <v/>
      </c>
    </row>
    <row r="631" ht="20" customHeight="1">
      <c r="B631" s="72" t="n"/>
      <c r="C631" s="72" t="n"/>
      <c r="D631" s="72" t="n"/>
      <c r="E631" s="72" t="n"/>
      <c r="F631" s="72" t="n"/>
      <c r="G631" s="72" t="n"/>
      <c r="H631" s="72" t="n"/>
      <c r="I631" s="73" t="n"/>
      <c r="J631" s="75">
        <f>IF(B631="","",SUMIFS('Change Orders'!$J$7:$J$1006,'Change Orders'!$E$7:$E$1006,B631,'Change Orders'!$L$7:$L$1006,"Approved"))</f>
        <v/>
      </c>
      <c r="K631" s="76">
        <f>IF(B631="","",I631+J631)</f>
        <v/>
      </c>
      <c r="L631" s="74" t="n"/>
      <c r="M631" s="109" t="n"/>
      <c r="N631" s="109" t="n"/>
      <c r="O631" s="74" t="n"/>
      <c r="P631" s="74" t="n"/>
      <c r="Q631" s="100" t="n"/>
      <c r="R631" s="110" t="n"/>
      <c r="S631" s="75">
        <f>IF(B631="","",SUMIFS('Payments'!$N$6:$N$1005,'Payments'!$B$6:$B$1005,B631))</f>
        <v/>
      </c>
      <c r="T631" s="111">
        <f>IF(OR(B631="",K631=0),"",S631/K631)</f>
        <v/>
      </c>
      <c r="U631" s="78">
        <f>IF(V631="","",IF(V631=2,"⚠️ Paying ahead of work","✓ OK"))</f>
        <v/>
      </c>
      <c r="V631" s="79">
        <f>IF(T631="","",IF(T631-R631&gt;OverpayTol,2,0))</f>
        <v/>
      </c>
      <c r="W631" s="112">
        <f>IF(V631=2,AsOf,"")</f>
        <v/>
      </c>
      <c r="X631" s="79">
        <f>IF(W631="","",1)</f>
        <v/>
      </c>
      <c r="Y631" s="79">
        <f>IF(X631="","","Paying ahead of work: "&amp;B631&amp;" — paid "&amp;ROUND(T631*100,0)&amp;"%, work done "&amp;ROUND(R631*100,0)&amp;"%")</f>
        <v/>
      </c>
      <c r="AA631" s="72" t="n"/>
      <c r="AB631" s="109" t="n"/>
      <c r="AC631" s="113" t="n"/>
      <c r="AD631" s="74" t="n"/>
      <c r="AE631" s="109" t="n"/>
      <c r="AF631" s="74" t="n"/>
      <c r="AG631" s="112">
        <f>IF(AND(AA631&lt;&gt;"",AD631="Yes",AF631&lt;&gt;"Yes",AE631&lt;&gt;""),AE631,"")</f>
        <v/>
      </c>
      <c r="AH631" s="79">
        <f>IF(AG631="","",IF(AG631&lt;AsOf,1,IF(AG631&lt;=AsOf+AlertDays,2,IF(AG631&lt;=AsOf+2*AlertDays,3,""))))</f>
        <v/>
      </c>
      <c r="AI631" s="79">
        <f>IF(AH631="","","Follow up with "&amp;AA631&amp;": "&amp;AC631)</f>
        <v/>
      </c>
    </row>
    <row r="632" ht="20" customHeight="1">
      <c r="B632" s="72" t="n"/>
      <c r="C632" s="72" t="n"/>
      <c r="D632" s="72" t="n"/>
      <c r="E632" s="72" t="n"/>
      <c r="F632" s="72" t="n"/>
      <c r="G632" s="72" t="n"/>
      <c r="H632" s="72" t="n"/>
      <c r="I632" s="73" t="n"/>
      <c r="J632" s="75">
        <f>IF(B632="","",SUMIFS('Change Orders'!$J$7:$J$1006,'Change Orders'!$E$7:$E$1006,B632,'Change Orders'!$L$7:$L$1006,"Approved"))</f>
        <v/>
      </c>
      <c r="K632" s="76">
        <f>IF(B632="","",I632+J632)</f>
        <v/>
      </c>
      <c r="L632" s="74" t="n"/>
      <c r="M632" s="109" t="n"/>
      <c r="N632" s="109" t="n"/>
      <c r="O632" s="74" t="n"/>
      <c r="P632" s="74" t="n"/>
      <c r="Q632" s="100" t="n"/>
      <c r="R632" s="110" t="n"/>
      <c r="S632" s="75">
        <f>IF(B632="","",SUMIFS('Payments'!$N$6:$N$1005,'Payments'!$B$6:$B$1005,B632))</f>
        <v/>
      </c>
      <c r="T632" s="111">
        <f>IF(OR(B632="",K632=0),"",S632/K632)</f>
        <v/>
      </c>
      <c r="U632" s="78">
        <f>IF(V632="","",IF(V632=2,"⚠️ Paying ahead of work","✓ OK"))</f>
        <v/>
      </c>
      <c r="V632" s="79">
        <f>IF(T632="","",IF(T632-R632&gt;OverpayTol,2,0))</f>
        <v/>
      </c>
      <c r="W632" s="112">
        <f>IF(V632=2,AsOf,"")</f>
        <v/>
      </c>
      <c r="X632" s="79">
        <f>IF(W632="","",1)</f>
        <v/>
      </c>
      <c r="Y632" s="79">
        <f>IF(X632="","","Paying ahead of work: "&amp;B632&amp;" — paid "&amp;ROUND(T632*100,0)&amp;"%, work done "&amp;ROUND(R632*100,0)&amp;"%")</f>
        <v/>
      </c>
      <c r="AA632" s="72" t="n"/>
      <c r="AB632" s="109" t="n"/>
      <c r="AC632" s="113" t="n"/>
      <c r="AD632" s="74" t="n"/>
      <c r="AE632" s="109" t="n"/>
      <c r="AF632" s="74" t="n"/>
      <c r="AG632" s="112">
        <f>IF(AND(AA632&lt;&gt;"",AD632="Yes",AF632&lt;&gt;"Yes",AE632&lt;&gt;""),AE632,"")</f>
        <v/>
      </c>
      <c r="AH632" s="79">
        <f>IF(AG632="","",IF(AG632&lt;AsOf,1,IF(AG632&lt;=AsOf+AlertDays,2,IF(AG632&lt;=AsOf+2*AlertDays,3,""))))</f>
        <v/>
      </c>
      <c r="AI632" s="79">
        <f>IF(AH632="","","Follow up with "&amp;AA632&amp;": "&amp;AC632)</f>
        <v/>
      </c>
    </row>
    <row r="633" ht="20" customHeight="1">
      <c r="B633" s="72" t="n"/>
      <c r="C633" s="72" t="n"/>
      <c r="D633" s="72" t="n"/>
      <c r="E633" s="72" t="n"/>
      <c r="F633" s="72" t="n"/>
      <c r="G633" s="72" t="n"/>
      <c r="H633" s="72" t="n"/>
      <c r="I633" s="73" t="n"/>
      <c r="J633" s="75">
        <f>IF(B633="","",SUMIFS('Change Orders'!$J$7:$J$1006,'Change Orders'!$E$7:$E$1006,B633,'Change Orders'!$L$7:$L$1006,"Approved"))</f>
        <v/>
      </c>
      <c r="K633" s="76">
        <f>IF(B633="","",I633+J633)</f>
        <v/>
      </c>
      <c r="L633" s="74" t="n"/>
      <c r="M633" s="109" t="n"/>
      <c r="N633" s="109" t="n"/>
      <c r="O633" s="74" t="n"/>
      <c r="P633" s="74" t="n"/>
      <c r="Q633" s="100" t="n"/>
      <c r="R633" s="110" t="n"/>
      <c r="S633" s="75">
        <f>IF(B633="","",SUMIFS('Payments'!$N$6:$N$1005,'Payments'!$B$6:$B$1005,B633))</f>
        <v/>
      </c>
      <c r="T633" s="111">
        <f>IF(OR(B633="",K633=0),"",S633/K633)</f>
        <v/>
      </c>
      <c r="U633" s="78">
        <f>IF(V633="","",IF(V633=2,"⚠️ Paying ahead of work","✓ OK"))</f>
        <v/>
      </c>
      <c r="V633" s="79">
        <f>IF(T633="","",IF(T633-R633&gt;OverpayTol,2,0))</f>
        <v/>
      </c>
      <c r="W633" s="112">
        <f>IF(V633=2,AsOf,"")</f>
        <v/>
      </c>
      <c r="X633" s="79">
        <f>IF(W633="","",1)</f>
        <v/>
      </c>
      <c r="Y633" s="79">
        <f>IF(X633="","","Paying ahead of work: "&amp;B633&amp;" — paid "&amp;ROUND(T633*100,0)&amp;"%, work done "&amp;ROUND(R633*100,0)&amp;"%")</f>
        <v/>
      </c>
      <c r="AA633" s="72" t="n"/>
      <c r="AB633" s="109" t="n"/>
      <c r="AC633" s="113" t="n"/>
      <c r="AD633" s="74" t="n"/>
      <c r="AE633" s="109" t="n"/>
      <c r="AF633" s="74" t="n"/>
      <c r="AG633" s="112">
        <f>IF(AND(AA633&lt;&gt;"",AD633="Yes",AF633&lt;&gt;"Yes",AE633&lt;&gt;""),AE633,"")</f>
        <v/>
      </c>
      <c r="AH633" s="79">
        <f>IF(AG633="","",IF(AG633&lt;AsOf,1,IF(AG633&lt;=AsOf+AlertDays,2,IF(AG633&lt;=AsOf+2*AlertDays,3,""))))</f>
        <v/>
      </c>
      <c r="AI633" s="79">
        <f>IF(AH633="","","Follow up with "&amp;AA633&amp;": "&amp;AC633)</f>
        <v/>
      </c>
    </row>
    <row r="634" ht="20" customHeight="1">
      <c r="B634" s="72" t="n"/>
      <c r="C634" s="72" t="n"/>
      <c r="D634" s="72" t="n"/>
      <c r="E634" s="72" t="n"/>
      <c r="F634" s="72" t="n"/>
      <c r="G634" s="72" t="n"/>
      <c r="H634" s="72" t="n"/>
      <c r="I634" s="73" t="n"/>
      <c r="J634" s="75">
        <f>IF(B634="","",SUMIFS('Change Orders'!$J$7:$J$1006,'Change Orders'!$E$7:$E$1006,B634,'Change Orders'!$L$7:$L$1006,"Approved"))</f>
        <v/>
      </c>
      <c r="K634" s="76">
        <f>IF(B634="","",I634+J634)</f>
        <v/>
      </c>
      <c r="L634" s="74" t="n"/>
      <c r="M634" s="109" t="n"/>
      <c r="N634" s="109" t="n"/>
      <c r="O634" s="74" t="n"/>
      <c r="P634" s="74" t="n"/>
      <c r="Q634" s="100" t="n"/>
      <c r="R634" s="110" t="n"/>
      <c r="S634" s="75">
        <f>IF(B634="","",SUMIFS('Payments'!$N$6:$N$1005,'Payments'!$B$6:$B$1005,B634))</f>
        <v/>
      </c>
      <c r="T634" s="111">
        <f>IF(OR(B634="",K634=0),"",S634/K634)</f>
        <v/>
      </c>
      <c r="U634" s="78">
        <f>IF(V634="","",IF(V634=2,"⚠️ Paying ahead of work","✓ OK"))</f>
        <v/>
      </c>
      <c r="V634" s="79">
        <f>IF(T634="","",IF(T634-R634&gt;OverpayTol,2,0))</f>
        <v/>
      </c>
      <c r="W634" s="112">
        <f>IF(V634=2,AsOf,"")</f>
        <v/>
      </c>
      <c r="X634" s="79">
        <f>IF(W634="","",1)</f>
        <v/>
      </c>
      <c r="Y634" s="79">
        <f>IF(X634="","","Paying ahead of work: "&amp;B634&amp;" — paid "&amp;ROUND(T634*100,0)&amp;"%, work done "&amp;ROUND(R634*100,0)&amp;"%")</f>
        <v/>
      </c>
      <c r="AA634" s="72" t="n"/>
      <c r="AB634" s="109" t="n"/>
      <c r="AC634" s="113" t="n"/>
      <c r="AD634" s="74" t="n"/>
      <c r="AE634" s="109" t="n"/>
      <c r="AF634" s="74" t="n"/>
      <c r="AG634" s="112">
        <f>IF(AND(AA634&lt;&gt;"",AD634="Yes",AF634&lt;&gt;"Yes",AE634&lt;&gt;""),AE634,"")</f>
        <v/>
      </c>
      <c r="AH634" s="79">
        <f>IF(AG634="","",IF(AG634&lt;AsOf,1,IF(AG634&lt;=AsOf+AlertDays,2,IF(AG634&lt;=AsOf+2*AlertDays,3,""))))</f>
        <v/>
      </c>
      <c r="AI634" s="79">
        <f>IF(AH634="","","Follow up with "&amp;AA634&amp;": "&amp;AC634)</f>
        <v/>
      </c>
    </row>
    <row r="635" ht="20" customHeight="1">
      <c r="B635" s="72" t="n"/>
      <c r="C635" s="72" t="n"/>
      <c r="D635" s="72" t="n"/>
      <c r="E635" s="72" t="n"/>
      <c r="F635" s="72" t="n"/>
      <c r="G635" s="72" t="n"/>
      <c r="H635" s="72" t="n"/>
      <c r="I635" s="73" t="n"/>
      <c r="J635" s="75">
        <f>IF(B635="","",SUMIFS('Change Orders'!$J$7:$J$1006,'Change Orders'!$E$7:$E$1006,B635,'Change Orders'!$L$7:$L$1006,"Approved"))</f>
        <v/>
      </c>
      <c r="K635" s="76">
        <f>IF(B635="","",I635+J635)</f>
        <v/>
      </c>
      <c r="L635" s="74" t="n"/>
      <c r="M635" s="109" t="n"/>
      <c r="N635" s="109" t="n"/>
      <c r="O635" s="74" t="n"/>
      <c r="P635" s="74" t="n"/>
      <c r="Q635" s="100" t="n"/>
      <c r="R635" s="110" t="n"/>
      <c r="S635" s="75">
        <f>IF(B635="","",SUMIFS('Payments'!$N$6:$N$1005,'Payments'!$B$6:$B$1005,B635))</f>
        <v/>
      </c>
      <c r="T635" s="111">
        <f>IF(OR(B635="",K635=0),"",S635/K635)</f>
        <v/>
      </c>
      <c r="U635" s="78">
        <f>IF(V635="","",IF(V635=2,"⚠️ Paying ahead of work","✓ OK"))</f>
        <v/>
      </c>
      <c r="V635" s="79">
        <f>IF(T635="","",IF(T635-R635&gt;OverpayTol,2,0))</f>
        <v/>
      </c>
      <c r="W635" s="112">
        <f>IF(V635=2,AsOf,"")</f>
        <v/>
      </c>
      <c r="X635" s="79">
        <f>IF(W635="","",1)</f>
        <v/>
      </c>
      <c r="Y635" s="79">
        <f>IF(X635="","","Paying ahead of work: "&amp;B635&amp;" — paid "&amp;ROUND(T635*100,0)&amp;"%, work done "&amp;ROUND(R635*100,0)&amp;"%")</f>
        <v/>
      </c>
      <c r="AA635" s="72" t="n"/>
      <c r="AB635" s="109" t="n"/>
      <c r="AC635" s="113" t="n"/>
      <c r="AD635" s="74" t="n"/>
      <c r="AE635" s="109" t="n"/>
      <c r="AF635" s="74" t="n"/>
      <c r="AG635" s="112">
        <f>IF(AND(AA635&lt;&gt;"",AD635="Yes",AF635&lt;&gt;"Yes",AE635&lt;&gt;""),AE635,"")</f>
        <v/>
      </c>
      <c r="AH635" s="79">
        <f>IF(AG635="","",IF(AG635&lt;AsOf,1,IF(AG635&lt;=AsOf+AlertDays,2,IF(AG635&lt;=AsOf+2*AlertDays,3,""))))</f>
        <v/>
      </c>
      <c r="AI635" s="79">
        <f>IF(AH635="","","Follow up with "&amp;AA635&amp;": "&amp;AC635)</f>
        <v/>
      </c>
    </row>
    <row r="636" ht="20" customHeight="1">
      <c r="B636" s="72" t="n"/>
      <c r="C636" s="72" t="n"/>
      <c r="D636" s="72" t="n"/>
      <c r="E636" s="72" t="n"/>
      <c r="F636" s="72" t="n"/>
      <c r="G636" s="72" t="n"/>
      <c r="H636" s="72" t="n"/>
      <c r="I636" s="73" t="n"/>
      <c r="J636" s="75">
        <f>IF(B636="","",SUMIFS('Change Orders'!$J$7:$J$1006,'Change Orders'!$E$7:$E$1006,B636,'Change Orders'!$L$7:$L$1006,"Approved"))</f>
        <v/>
      </c>
      <c r="K636" s="76">
        <f>IF(B636="","",I636+J636)</f>
        <v/>
      </c>
      <c r="L636" s="74" t="n"/>
      <c r="M636" s="109" t="n"/>
      <c r="N636" s="109" t="n"/>
      <c r="O636" s="74" t="n"/>
      <c r="P636" s="74" t="n"/>
      <c r="Q636" s="100" t="n"/>
      <c r="R636" s="110" t="n"/>
      <c r="S636" s="75">
        <f>IF(B636="","",SUMIFS('Payments'!$N$6:$N$1005,'Payments'!$B$6:$B$1005,B636))</f>
        <v/>
      </c>
      <c r="T636" s="111">
        <f>IF(OR(B636="",K636=0),"",S636/K636)</f>
        <v/>
      </c>
      <c r="U636" s="78">
        <f>IF(V636="","",IF(V636=2,"⚠️ Paying ahead of work","✓ OK"))</f>
        <v/>
      </c>
      <c r="V636" s="79">
        <f>IF(T636="","",IF(T636-R636&gt;OverpayTol,2,0))</f>
        <v/>
      </c>
      <c r="W636" s="112">
        <f>IF(V636=2,AsOf,"")</f>
        <v/>
      </c>
      <c r="X636" s="79">
        <f>IF(W636="","",1)</f>
        <v/>
      </c>
      <c r="Y636" s="79">
        <f>IF(X636="","","Paying ahead of work: "&amp;B636&amp;" — paid "&amp;ROUND(T636*100,0)&amp;"%, work done "&amp;ROUND(R636*100,0)&amp;"%")</f>
        <v/>
      </c>
      <c r="AA636" s="72" t="n"/>
      <c r="AB636" s="109" t="n"/>
      <c r="AC636" s="113" t="n"/>
      <c r="AD636" s="74" t="n"/>
      <c r="AE636" s="109" t="n"/>
      <c r="AF636" s="74" t="n"/>
      <c r="AG636" s="112">
        <f>IF(AND(AA636&lt;&gt;"",AD636="Yes",AF636&lt;&gt;"Yes",AE636&lt;&gt;""),AE636,"")</f>
        <v/>
      </c>
      <c r="AH636" s="79">
        <f>IF(AG636="","",IF(AG636&lt;AsOf,1,IF(AG636&lt;=AsOf+AlertDays,2,IF(AG636&lt;=AsOf+2*AlertDays,3,""))))</f>
        <v/>
      </c>
      <c r="AI636" s="79">
        <f>IF(AH636="","","Follow up with "&amp;AA636&amp;": "&amp;AC636)</f>
        <v/>
      </c>
    </row>
    <row r="637" ht="20" customHeight="1">
      <c r="B637" s="72" t="n"/>
      <c r="C637" s="72" t="n"/>
      <c r="D637" s="72" t="n"/>
      <c r="E637" s="72" t="n"/>
      <c r="F637" s="72" t="n"/>
      <c r="G637" s="72" t="n"/>
      <c r="H637" s="72" t="n"/>
      <c r="I637" s="73" t="n"/>
      <c r="J637" s="75">
        <f>IF(B637="","",SUMIFS('Change Orders'!$J$7:$J$1006,'Change Orders'!$E$7:$E$1006,B637,'Change Orders'!$L$7:$L$1006,"Approved"))</f>
        <v/>
      </c>
      <c r="K637" s="76">
        <f>IF(B637="","",I637+J637)</f>
        <v/>
      </c>
      <c r="L637" s="74" t="n"/>
      <c r="M637" s="109" t="n"/>
      <c r="N637" s="109" t="n"/>
      <c r="O637" s="74" t="n"/>
      <c r="P637" s="74" t="n"/>
      <c r="Q637" s="100" t="n"/>
      <c r="R637" s="110" t="n"/>
      <c r="S637" s="75">
        <f>IF(B637="","",SUMIFS('Payments'!$N$6:$N$1005,'Payments'!$B$6:$B$1005,B637))</f>
        <v/>
      </c>
      <c r="T637" s="111">
        <f>IF(OR(B637="",K637=0),"",S637/K637)</f>
        <v/>
      </c>
      <c r="U637" s="78">
        <f>IF(V637="","",IF(V637=2,"⚠️ Paying ahead of work","✓ OK"))</f>
        <v/>
      </c>
      <c r="V637" s="79">
        <f>IF(T637="","",IF(T637-R637&gt;OverpayTol,2,0))</f>
        <v/>
      </c>
      <c r="W637" s="112">
        <f>IF(V637=2,AsOf,"")</f>
        <v/>
      </c>
      <c r="X637" s="79">
        <f>IF(W637="","",1)</f>
        <v/>
      </c>
      <c r="Y637" s="79">
        <f>IF(X637="","","Paying ahead of work: "&amp;B637&amp;" — paid "&amp;ROUND(T637*100,0)&amp;"%, work done "&amp;ROUND(R637*100,0)&amp;"%")</f>
        <v/>
      </c>
      <c r="AA637" s="72" t="n"/>
      <c r="AB637" s="109" t="n"/>
      <c r="AC637" s="113" t="n"/>
      <c r="AD637" s="74" t="n"/>
      <c r="AE637" s="109" t="n"/>
      <c r="AF637" s="74" t="n"/>
      <c r="AG637" s="112">
        <f>IF(AND(AA637&lt;&gt;"",AD637="Yes",AF637&lt;&gt;"Yes",AE637&lt;&gt;""),AE637,"")</f>
        <v/>
      </c>
      <c r="AH637" s="79">
        <f>IF(AG637="","",IF(AG637&lt;AsOf,1,IF(AG637&lt;=AsOf+AlertDays,2,IF(AG637&lt;=AsOf+2*AlertDays,3,""))))</f>
        <v/>
      </c>
      <c r="AI637" s="79">
        <f>IF(AH637="","","Follow up with "&amp;AA637&amp;": "&amp;AC637)</f>
        <v/>
      </c>
    </row>
    <row r="638" ht="20" customHeight="1">
      <c r="B638" s="72" t="n"/>
      <c r="C638" s="72" t="n"/>
      <c r="D638" s="72" t="n"/>
      <c r="E638" s="72" t="n"/>
      <c r="F638" s="72" t="n"/>
      <c r="G638" s="72" t="n"/>
      <c r="H638" s="72" t="n"/>
      <c r="I638" s="73" t="n"/>
      <c r="J638" s="75">
        <f>IF(B638="","",SUMIFS('Change Orders'!$J$7:$J$1006,'Change Orders'!$E$7:$E$1006,B638,'Change Orders'!$L$7:$L$1006,"Approved"))</f>
        <v/>
      </c>
      <c r="K638" s="76">
        <f>IF(B638="","",I638+J638)</f>
        <v/>
      </c>
      <c r="L638" s="74" t="n"/>
      <c r="M638" s="109" t="n"/>
      <c r="N638" s="109" t="n"/>
      <c r="O638" s="74" t="n"/>
      <c r="P638" s="74" t="n"/>
      <c r="Q638" s="100" t="n"/>
      <c r="R638" s="110" t="n"/>
      <c r="S638" s="75">
        <f>IF(B638="","",SUMIFS('Payments'!$N$6:$N$1005,'Payments'!$B$6:$B$1005,B638))</f>
        <v/>
      </c>
      <c r="T638" s="111">
        <f>IF(OR(B638="",K638=0),"",S638/K638)</f>
        <v/>
      </c>
      <c r="U638" s="78">
        <f>IF(V638="","",IF(V638=2,"⚠️ Paying ahead of work","✓ OK"))</f>
        <v/>
      </c>
      <c r="V638" s="79">
        <f>IF(T638="","",IF(T638-R638&gt;OverpayTol,2,0))</f>
        <v/>
      </c>
      <c r="W638" s="112">
        <f>IF(V638=2,AsOf,"")</f>
        <v/>
      </c>
      <c r="X638" s="79">
        <f>IF(W638="","",1)</f>
        <v/>
      </c>
      <c r="Y638" s="79">
        <f>IF(X638="","","Paying ahead of work: "&amp;B638&amp;" — paid "&amp;ROUND(T638*100,0)&amp;"%, work done "&amp;ROUND(R638*100,0)&amp;"%")</f>
        <v/>
      </c>
      <c r="AA638" s="72" t="n"/>
      <c r="AB638" s="109" t="n"/>
      <c r="AC638" s="113" t="n"/>
      <c r="AD638" s="74" t="n"/>
      <c r="AE638" s="109" t="n"/>
      <c r="AF638" s="74" t="n"/>
      <c r="AG638" s="112">
        <f>IF(AND(AA638&lt;&gt;"",AD638="Yes",AF638&lt;&gt;"Yes",AE638&lt;&gt;""),AE638,"")</f>
        <v/>
      </c>
      <c r="AH638" s="79">
        <f>IF(AG638="","",IF(AG638&lt;AsOf,1,IF(AG638&lt;=AsOf+AlertDays,2,IF(AG638&lt;=AsOf+2*AlertDays,3,""))))</f>
        <v/>
      </c>
      <c r="AI638" s="79">
        <f>IF(AH638="","","Follow up with "&amp;AA638&amp;": "&amp;AC638)</f>
        <v/>
      </c>
    </row>
    <row r="639" ht="20" customHeight="1">
      <c r="B639" s="72" t="n"/>
      <c r="C639" s="72" t="n"/>
      <c r="D639" s="72" t="n"/>
      <c r="E639" s="72" t="n"/>
      <c r="F639" s="72" t="n"/>
      <c r="G639" s="72" t="n"/>
      <c r="H639" s="72" t="n"/>
      <c r="I639" s="73" t="n"/>
      <c r="J639" s="75">
        <f>IF(B639="","",SUMIFS('Change Orders'!$J$7:$J$1006,'Change Orders'!$E$7:$E$1006,B639,'Change Orders'!$L$7:$L$1006,"Approved"))</f>
        <v/>
      </c>
      <c r="K639" s="76">
        <f>IF(B639="","",I639+J639)</f>
        <v/>
      </c>
      <c r="L639" s="74" t="n"/>
      <c r="M639" s="109" t="n"/>
      <c r="N639" s="109" t="n"/>
      <c r="O639" s="74" t="n"/>
      <c r="P639" s="74" t="n"/>
      <c r="Q639" s="100" t="n"/>
      <c r="R639" s="110" t="n"/>
      <c r="S639" s="75">
        <f>IF(B639="","",SUMIFS('Payments'!$N$6:$N$1005,'Payments'!$B$6:$B$1005,B639))</f>
        <v/>
      </c>
      <c r="T639" s="111">
        <f>IF(OR(B639="",K639=0),"",S639/K639)</f>
        <v/>
      </c>
      <c r="U639" s="78">
        <f>IF(V639="","",IF(V639=2,"⚠️ Paying ahead of work","✓ OK"))</f>
        <v/>
      </c>
      <c r="V639" s="79">
        <f>IF(T639="","",IF(T639-R639&gt;OverpayTol,2,0))</f>
        <v/>
      </c>
      <c r="W639" s="112">
        <f>IF(V639=2,AsOf,"")</f>
        <v/>
      </c>
      <c r="X639" s="79">
        <f>IF(W639="","",1)</f>
        <v/>
      </c>
      <c r="Y639" s="79">
        <f>IF(X639="","","Paying ahead of work: "&amp;B639&amp;" — paid "&amp;ROUND(T639*100,0)&amp;"%, work done "&amp;ROUND(R639*100,0)&amp;"%")</f>
        <v/>
      </c>
      <c r="AA639" s="72" t="n"/>
      <c r="AB639" s="109" t="n"/>
      <c r="AC639" s="113" t="n"/>
      <c r="AD639" s="74" t="n"/>
      <c r="AE639" s="109" t="n"/>
      <c r="AF639" s="74" t="n"/>
      <c r="AG639" s="112">
        <f>IF(AND(AA639&lt;&gt;"",AD639="Yes",AF639&lt;&gt;"Yes",AE639&lt;&gt;""),AE639,"")</f>
        <v/>
      </c>
      <c r="AH639" s="79">
        <f>IF(AG639="","",IF(AG639&lt;AsOf,1,IF(AG639&lt;=AsOf+AlertDays,2,IF(AG639&lt;=AsOf+2*AlertDays,3,""))))</f>
        <v/>
      </c>
      <c r="AI639" s="79">
        <f>IF(AH639="","","Follow up with "&amp;AA639&amp;": "&amp;AC639)</f>
        <v/>
      </c>
    </row>
    <row r="640" ht="20" customHeight="1">
      <c r="B640" s="72" t="n"/>
      <c r="C640" s="72" t="n"/>
      <c r="D640" s="72" t="n"/>
      <c r="E640" s="72" t="n"/>
      <c r="F640" s="72" t="n"/>
      <c r="G640" s="72" t="n"/>
      <c r="H640" s="72" t="n"/>
      <c r="I640" s="73" t="n"/>
      <c r="J640" s="75">
        <f>IF(B640="","",SUMIFS('Change Orders'!$J$7:$J$1006,'Change Orders'!$E$7:$E$1006,B640,'Change Orders'!$L$7:$L$1006,"Approved"))</f>
        <v/>
      </c>
      <c r="K640" s="76">
        <f>IF(B640="","",I640+J640)</f>
        <v/>
      </c>
      <c r="L640" s="74" t="n"/>
      <c r="M640" s="109" t="n"/>
      <c r="N640" s="109" t="n"/>
      <c r="O640" s="74" t="n"/>
      <c r="P640" s="74" t="n"/>
      <c r="Q640" s="100" t="n"/>
      <c r="R640" s="110" t="n"/>
      <c r="S640" s="75">
        <f>IF(B640="","",SUMIFS('Payments'!$N$6:$N$1005,'Payments'!$B$6:$B$1005,B640))</f>
        <v/>
      </c>
      <c r="T640" s="111">
        <f>IF(OR(B640="",K640=0),"",S640/K640)</f>
        <v/>
      </c>
      <c r="U640" s="78">
        <f>IF(V640="","",IF(V640=2,"⚠️ Paying ahead of work","✓ OK"))</f>
        <v/>
      </c>
      <c r="V640" s="79">
        <f>IF(T640="","",IF(T640-R640&gt;OverpayTol,2,0))</f>
        <v/>
      </c>
      <c r="W640" s="112">
        <f>IF(V640=2,AsOf,"")</f>
        <v/>
      </c>
      <c r="X640" s="79">
        <f>IF(W640="","",1)</f>
        <v/>
      </c>
      <c r="Y640" s="79">
        <f>IF(X640="","","Paying ahead of work: "&amp;B640&amp;" — paid "&amp;ROUND(T640*100,0)&amp;"%, work done "&amp;ROUND(R640*100,0)&amp;"%")</f>
        <v/>
      </c>
      <c r="AA640" s="72" t="n"/>
      <c r="AB640" s="109" t="n"/>
      <c r="AC640" s="113" t="n"/>
      <c r="AD640" s="74" t="n"/>
      <c r="AE640" s="109" t="n"/>
      <c r="AF640" s="74" t="n"/>
      <c r="AG640" s="112">
        <f>IF(AND(AA640&lt;&gt;"",AD640="Yes",AF640&lt;&gt;"Yes",AE640&lt;&gt;""),AE640,"")</f>
        <v/>
      </c>
      <c r="AH640" s="79">
        <f>IF(AG640="","",IF(AG640&lt;AsOf,1,IF(AG640&lt;=AsOf+AlertDays,2,IF(AG640&lt;=AsOf+2*AlertDays,3,""))))</f>
        <v/>
      </c>
      <c r="AI640" s="79">
        <f>IF(AH640="","","Follow up with "&amp;AA640&amp;": "&amp;AC640)</f>
        <v/>
      </c>
    </row>
    <row r="641" ht="20" customHeight="1">
      <c r="B641" s="72" t="n"/>
      <c r="C641" s="72" t="n"/>
      <c r="D641" s="72" t="n"/>
      <c r="E641" s="72" t="n"/>
      <c r="F641" s="72" t="n"/>
      <c r="G641" s="72" t="n"/>
      <c r="H641" s="72" t="n"/>
      <c r="I641" s="73" t="n"/>
      <c r="J641" s="75">
        <f>IF(B641="","",SUMIFS('Change Orders'!$J$7:$J$1006,'Change Orders'!$E$7:$E$1006,B641,'Change Orders'!$L$7:$L$1006,"Approved"))</f>
        <v/>
      </c>
      <c r="K641" s="76">
        <f>IF(B641="","",I641+J641)</f>
        <v/>
      </c>
      <c r="L641" s="74" t="n"/>
      <c r="M641" s="109" t="n"/>
      <c r="N641" s="109" t="n"/>
      <c r="O641" s="74" t="n"/>
      <c r="P641" s="74" t="n"/>
      <c r="Q641" s="100" t="n"/>
      <c r="R641" s="110" t="n"/>
      <c r="S641" s="75">
        <f>IF(B641="","",SUMIFS('Payments'!$N$6:$N$1005,'Payments'!$B$6:$B$1005,B641))</f>
        <v/>
      </c>
      <c r="T641" s="111">
        <f>IF(OR(B641="",K641=0),"",S641/K641)</f>
        <v/>
      </c>
      <c r="U641" s="78">
        <f>IF(V641="","",IF(V641=2,"⚠️ Paying ahead of work","✓ OK"))</f>
        <v/>
      </c>
      <c r="V641" s="79">
        <f>IF(T641="","",IF(T641-R641&gt;OverpayTol,2,0))</f>
        <v/>
      </c>
      <c r="W641" s="112">
        <f>IF(V641=2,AsOf,"")</f>
        <v/>
      </c>
      <c r="X641" s="79">
        <f>IF(W641="","",1)</f>
        <v/>
      </c>
      <c r="Y641" s="79">
        <f>IF(X641="","","Paying ahead of work: "&amp;B641&amp;" — paid "&amp;ROUND(T641*100,0)&amp;"%, work done "&amp;ROUND(R641*100,0)&amp;"%")</f>
        <v/>
      </c>
      <c r="AA641" s="72" t="n"/>
      <c r="AB641" s="109" t="n"/>
      <c r="AC641" s="113" t="n"/>
      <c r="AD641" s="74" t="n"/>
      <c r="AE641" s="109" t="n"/>
      <c r="AF641" s="74" t="n"/>
      <c r="AG641" s="112">
        <f>IF(AND(AA641&lt;&gt;"",AD641="Yes",AF641&lt;&gt;"Yes",AE641&lt;&gt;""),AE641,"")</f>
        <v/>
      </c>
      <c r="AH641" s="79">
        <f>IF(AG641="","",IF(AG641&lt;AsOf,1,IF(AG641&lt;=AsOf+AlertDays,2,IF(AG641&lt;=AsOf+2*AlertDays,3,""))))</f>
        <v/>
      </c>
      <c r="AI641" s="79">
        <f>IF(AH641="","","Follow up with "&amp;AA641&amp;": "&amp;AC641)</f>
        <v/>
      </c>
    </row>
    <row r="642" ht="20" customHeight="1">
      <c r="B642" s="72" t="n"/>
      <c r="C642" s="72" t="n"/>
      <c r="D642" s="72" t="n"/>
      <c r="E642" s="72" t="n"/>
      <c r="F642" s="72" t="n"/>
      <c r="G642" s="72" t="n"/>
      <c r="H642" s="72" t="n"/>
      <c r="I642" s="73" t="n"/>
      <c r="J642" s="75">
        <f>IF(B642="","",SUMIFS('Change Orders'!$J$7:$J$1006,'Change Orders'!$E$7:$E$1006,B642,'Change Orders'!$L$7:$L$1006,"Approved"))</f>
        <v/>
      </c>
      <c r="K642" s="76">
        <f>IF(B642="","",I642+J642)</f>
        <v/>
      </c>
      <c r="L642" s="74" t="n"/>
      <c r="M642" s="109" t="n"/>
      <c r="N642" s="109" t="n"/>
      <c r="O642" s="74" t="n"/>
      <c r="P642" s="74" t="n"/>
      <c r="Q642" s="100" t="n"/>
      <c r="R642" s="110" t="n"/>
      <c r="S642" s="75">
        <f>IF(B642="","",SUMIFS('Payments'!$N$6:$N$1005,'Payments'!$B$6:$B$1005,B642))</f>
        <v/>
      </c>
      <c r="T642" s="111">
        <f>IF(OR(B642="",K642=0),"",S642/K642)</f>
        <v/>
      </c>
      <c r="U642" s="78">
        <f>IF(V642="","",IF(V642=2,"⚠️ Paying ahead of work","✓ OK"))</f>
        <v/>
      </c>
      <c r="V642" s="79">
        <f>IF(T642="","",IF(T642-R642&gt;OverpayTol,2,0))</f>
        <v/>
      </c>
      <c r="W642" s="112">
        <f>IF(V642=2,AsOf,"")</f>
        <v/>
      </c>
      <c r="X642" s="79">
        <f>IF(W642="","",1)</f>
        <v/>
      </c>
      <c r="Y642" s="79">
        <f>IF(X642="","","Paying ahead of work: "&amp;B642&amp;" — paid "&amp;ROUND(T642*100,0)&amp;"%, work done "&amp;ROUND(R642*100,0)&amp;"%")</f>
        <v/>
      </c>
      <c r="AA642" s="72" t="n"/>
      <c r="AB642" s="109" t="n"/>
      <c r="AC642" s="113" t="n"/>
      <c r="AD642" s="74" t="n"/>
      <c r="AE642" s="109" t="n"/>
      <c r="AF642" s="74" t="n"/>
      <c r="AG642" s="112">
        <f>IF(AND(AA642&lt;&gt;"",AD642="Yes",AF642&lt;&gt;"Yes",AE642&lt;&gt;""),AE642,"")</f>
        <v/>
      </c>
      <c r="AH642" s="79">
        <f>IF(AG642="","",IF(AG642&lt;AsOf,1,IF(AG642&lt;=AsOf+AlertDays,2,IF(AG642&lt;=AsOf+2*AlertDays,3,""))))</f>
        <v/>
      </c>
      <c r="AI642" s="79">
        <f>IF(AH642="","","Follow up with "&amp;AA642&amp;": "&amp;AC642)</f>
        <v/>
      </c>
    </row>
    <row r="643" ht="20" customHeight="1">
      <c r="B643" s="72" t="n"/>
      <c r="C643" s="72" t="n"/>
      <c r="D643" s="72" t="n"/>
      <c r="E643" s="72" t="n"/>
      <c r="F643" s="72" t="n"/>
      <c r="G643" s="72" t="n"/>
      <c r="H643" s="72" t="n"/>
      <c r="I643" s="73" t="n"/>
      <c r="J643" s="75">
        <f>IF(B643="","",SUMIFS('Change Orders'!$J$7:$J$1006,'Change Orders'!$E$7:$E$1006,B643,'Change Orders'!$L$7:$L$1006,"Approved"))</f>
        <v/>
      </c>
      <c r="K643" s="76">
        <f>IF(B643="","",I643+J643)</f>
        <v/>
      </c>
      <c r="L643" s="74" t="n"/>
      <c r="M643" s="109" t="n"/>
      <c r="N643" s="109" t="n"/>
      <c r="O643" s="74" t="n"/>
      <c r="P643" s="74" t="n"/>
      <c r="Q643" s="100" t="n"/>
      <c r="R643" s="110" t="n"/>
      <c r="S643" s="75">
        <f>IF(B643="","",SUMIFS('Payments'!$N$6:$N$1005,'Payments'!$B$6:$B$1005,B643))</f>
        <v/>
      </c>
      <c r="T643" s="111">
        <f>IF(OR(B643="",K643=0),"",S643/K643)</f>
        <v/>
      </c>
      <c r="U643" s="78">
        <f>IF(V643="","",IF(V643=2,"⚠️ Paying ahead of work","✓ OK"))</f>
        <v/>
      </c>
      <c r="V643" s="79">
        <f>IF(T643="","",IF(T643-R643&gt;OverpayTol,2,0))</f>
        <v/>
      </c>
      <c r="W643" s="112">
        <f>IF(V643=2,AsOf,"")</f>
        <v/>
      </c>
      <c r="X643" s="79">
        <f>IF(W643="","",1)</f>
        <v/>
      </c>
      <c r="Y643" s="79">
        <f>IF(X643="","","Paying ahead of work: "&amp;B643&amp;" — paid "&amp;ROUND(T643*100,0)&amp;"%, work done "&amp;ROUND(R643*100,0)&amp;"%")</f>
        <v/>
      </c>
      <c r="AA643" s="72" t="n"/>
      <c r="AB643" s="109" t="n"/>
      <c r="AC643" s="113" t="n"/>
      <c r="AD643" s="74" t="n"/>
      <c r="AE643" s="109" t="n"/>
      <c r="AF643" s="74" t="n"/>
      <c r="AG643" s="112">
        <f>IF(AND(AA643&lt;&gt;"",AD643="Yes",AF643&lt;&gt;"Yes",AE643&lt;&gt;""),AE643,"")</f>
        <v/>
      </c>
      <c r="AH643" s="79">
        <f>IF(AG643="","",IF(AG643&lt;AsOf,1,IF(AG643&lt;=AsOf+AlertDays,2,IF(AG643&lt;=AsOf+2*AlertDays,3,""))))</f>
        <v/>
      </c>
      <c r="AI643" s="79">
        <f>IF(AH643="","","Follow up with "&amp;AA643&amp;": "&amp;AC643)</f>
        <v/>
      </c>
    </row>
    <row r="644" ht="20" customHeight="1">
      <c r="B644" s="72" t="n"/>
      <c r="C644" s="72" t="n"/>
      <c r="D644" s="72" t="n"/>
      <c r="E644" s="72" t="n"/>
      <c r="F644" s="72" t="n"/>
      <c r="G644" s="72" t="n"/>
      <c r="H644" s="72" t="n"/>
      <c r="I644" s="73" t="n"/>
      <c r="J644" s="75">
        <f>IF(B644="","",SUMIFS('Change Orders'!$J$7:$J$1006,'Change Orders'!$E$7:$E$1006,B644,'Change Orders'!$L$7:$L$1006,"Approved"))</f>
        <v/>
      </c>
      <c r="K644" s="76">
        <f>IF(B644="","",I644+J644)</f>
        <v/>
      </c>
      <c r="L644" s="74" t="n"/>
      <c r="M644" s="109" t="n"/>
      <c r="N644" s="109" t="n"/>
      <c r="O644" s="74" t="n"/>
      <c r="P644" s="74" t="n"/>
      <c r="Q644" s="100" t="n"/>
      <c r="R644" s="110" t="n"/>
      <c r="S644" s="75">
        <f>IF(B644="","",SUMIFS('Payments'!$N$6:$N$1005,'Payments'!$B$6:$B$1005,B644))</f>
        <v/>
      </c>
      <c r="T644" s="111">
        <f>IF(OR(B644="",K644=0),"",S644/K644)</f>
        <v/>
      </c>
      <c r="U644" s="78">
        <f>IF(V644="","",IF(V644=2,"⚠️ Paying ahead of work","✓ OK"))</f>
        <v/>
      </c>
      <c r="V644" s="79">
        <f>IF(T644="","",IF(T644-R644&gt;OverpayTol,2,0))</f>
        <v/>
      </c>
      <c r="W644" s="112">
        <f>IF(V644=2,AsOf,"")</f>
        <v/>
      </c>
      <c r="X644" s="79">
        <f>IF(W644="","",1)</f>
        <v/>
      </c>
      <c r="Y644" s="79">
        <f>IF(X644="","","Paying ahead of work: "&amp;B644&amp;" — paid "&amp;ROUND(T644*100,0)&amp;"%, work done "&amp;ROUND(R644*100,0)&amp;"%")</f>
        <v/>
      </c>
      <c r="AA644" s="72" t="n"/>
      <c r="AB644" s="109" t="n"/>
      <c r="AC644" s="113" t="n"/>
      <c r="AD644" s="74" t="n"/>
      <c r="AE644" s="109" t="n"/>
      <c r="AF644" s="74" t="n"/>
      <c r="AG644" s="112">
        <f>IF(AND(AA644&lt;&gt;"",AD644="Yes",AF644&lt;&gt;"Yes",AE644&lt;&gt;""),AE644,"")</f>
        <v/>
      </c>
      <c r="AH644" s="79">
        <f>IF(AG644="","",IF(AG644&lt;AsOf,1,IF(AG644&lt;=AsOf+AlertDays,2,IF(AG644&lt;=AsOf+2*AlertDays,3,""))))</f>
        <v/>
      </c>
      <c r="AI644" s="79">
        <f>IF(AH644="","","Follow up with "&amp;AA644&amp;": "&amp;AC644)</f>
        <v/>
      </c>
    </row>
    <row r="645" ht="20" customHeight="1">
      <c r="B645" s="72" t="n"/>
      <c r="C645" s="72" t="n"/>
      <c r="D645" s="72" t="n"/>
      <c r="E645" s="72" t="n"/>
      <c r="F645" s="72" t="n"/>
      <c r="G645" s="72" t="n"/>
      <c r="H645" s="72" t="n"/>
      <c r="I645" s="73" t="n"/>
      <c r="J645" s="75">
        <f>IF(B645="","",SUMIFS('Change Orders'!$J$7:$J$1006,'Change Orders'!$E$7:$E$1006,B645,'Change Orders'!$L$7:$L$1006,"Approved"))</f>
        <v/>
      </c>
      <c r="K645" s="76">
        <f>IF(B645="","",I645+J645)</f>
        <v/>
      </c>
      <c r="L645" s="74" t="n"/>
      <c r="M645" s="109" t="n"/>
      <c r="N645" s="109" t="n"/>
      <c r="O645" s="74" t="n"/>
      <c r="P645" s="74" t="n"/>
      <c r="Q645" s="100" t="n"/>
      <c r="R645" s="110" t="n"/>
      <c r="S645" s="75">
        <f>IF(B645="","",SUMIFS('Payments'!$N$6:$N$1005,'Payments'!$B$6:$B$1005,B645))</f>
        <v/>
      </c>
      <c r="T645" s="111">
        <f>IF(OR(B645="",K645=0),"",S645/K645)</f>
        <v/>
      </c>
      <c r="U645" s="78">
        <f>IF(V645="","",IF(V645=2,"⚠️ Paying ahead of work","✓ OK"))</f>
        <v/>
      </c>
      <c r="V645" s="79">
        <f>IF(T645="","",IF(T645-R645&gt;OverpayTol,2,0))</f>
        <v/>
      </c>
      <c r="W645" s="112">
        <f>IF(V645=2,AsOf,"")</f>
        <v/>
      </c>
      <c r="X645" s="79">
        <f>IF(W645="","",1)</f>
        <v/>
      </c>
      <c r="Y645" s="79">
        <f>IF(X645="","","Paying ahead of work: "&amp;B645&amp;" — paid "&amp;ROUND(T645*100,0)&amp;"%, work done "&amp;ROUND(R645*100,0)&amp;"%")</f>
        <v/>
      </c>
      <c r="AA645" s="72" t="n"/>
      <c r="AB645" s="109" t="n"/>
      <c r="AC645" s="113" t="n"/>
      <c r="AD645" s="74" t="n"/>
      <c r="AE645" s="109" t="n"/>
      <c r="AF645" s="74" t="n"/>
      <c r="AG645" s="112">
        <f>IF(AND(AA645&lt;&gt;"",AD645="Yes",AF645&lt;&gt;"Yes",AE645&lt;&gt;""),AE645,"")</f>
        <v/>
      </c>
      <c r="AH645" s="79">
        <f>IF(AG645="","",IF(AG645&lt;AsOf,1,IF(AG645&lt;=AsOf+AlertDays,2,IF(AG645&lt;=AsOf+2*AlertDays,3,""))))</f>
        <v/>
      </c>
      <c r="AI645" s="79">
        <f>IF(AH645="","","Follow up with "&amp;AA645&amp;": "&amp;AC645)</f>
        <v/>
      </c>
    </row>
    <row r="646" ht="20" customHeight="1">
      <c r="B646" s="72" t="n"/>
      <c r="C646" s="72" t="n"/>
      <c r="D646" s="72" t="n"/>
      <c r="E646" s="72" t="n"/>
      <c r="F646" s="72" t="n"/>
      <c r="G646" s="72" t="n"/>
      <c r="H646" s="72" t="n"/>
      <c r="I646" s="73" t="n"/>
      <c r="J646" s="75">
        <f>IF(B646="","",SUMIFS('Change Orders'!$J$7:$J$1006,'Change Orders'!$E$7:$E$1006,B646,'Change Orders'!$L$7:$L$1006,"Approved"))</f>
        <v/>
      </c>
      <c r="K646" s="76">
        <f>IF(B646="","",I646+J646)</f>
        <v/>
      </c>
      <c r="L646" s="74" t="n"/>
      <c r="M646" s="109" t="n"/>
      <c r="N646" s="109" t="n"/>
      <c r="O646" s="74" t="n"/>
      <c r="P646" s="74" t="n"/>
      <c r="Q646" s="100" t="n"/>
      <c r="R646" s="110" t="n"/>
      <c r="S646" s="75">
        <f>IF(B646="","",SUMIFS('Payments'!$N$6:$N$1005,'Payments'!$B$6:$B$1005,B646))</f>
        <v/>
      </c>
      <c r="T646" s="111">
        <f>IF(OR(B646="",K646=0),"",S646/K646)</f>
        <v/>
      </c>
      <c r="U646" s="78">
        <f>IF(V646="","",IF(V646=2,"⚠️ Paying ahead of work","✓ OK"))</f>
        <v/>
      </c>
      <c r="V646" s="79">
        <f>IF(T646="","",IF(T646-R646&gt;OverpayTol,2,0))</f>
        <v/>
      </c>
      <c r="W646" s="112">
        <f>IF(V646=2,AsOf,"")</f>
        <v/>
      </c>
      <c r="X646" s="79">
        <f>IF(W646="","",1)</f>
        <v/>
      </c>
      <c r="Y646" s="79">
        <f>IF(X646="","","Paying ahead of work: "&amp;B646&amp;" — paid "&amp;ROUND(T646*100,0)&amp;"%, work done "&amp;ROUND(R646*100,0)&amp;"%")</f>
        <v/>
      </c>
      <c r="AA646" s="72" t="n"/>
      <c r="AB646" s="109" t="n"/>
      <c r="AC646" s="113" t="n"/>
      <c r="AD646" s="74" t="n"/>
      <c r="AE646" s="109" t="n"/>
      <c r="AF646" s="74" t="n"/>
      <c r="AG646" s="112">
        <f>IF(AND(AA646&lt;&gt;"",AD646="Yes",AF646&lt;&gt;"Yes",AE646&lt;&gt;""),AE646,"")</f>
        <v/>
      </c>
      <c r="AH646" s="79">
        <f>IF(AG646="","",IF(AG646&lt;AsOf,1,IF(AG646&lt;=AsOf+AlertDays,2,IF(AG646&lt;=AsOf+2*AlertDays,3,""))))</f>
        <v/>
      </c>
      <c r="AI646" s="79">
        <f>IF(AH646="","","Follow up with "&amp;AA646&amp;": "&amp;AC646)</f>
        <v/>
      </c>
    </row>
    <row r="647" ht="20" customHeight="1">
      <c r="B647" s="72" t="n"/>
      <c r="C647" s="72" t="n"/>
      <c r="D647" s="72" t="n"/>
      <c r="E647" s="72" t="n"/>
      <c r="F647" s="72" t="n"/>
      <c r="G647" s="72" t="n"/>
      <c r="H647" s="72" t="n"/>
      <c r="I647" s="73" t="n"/>
      <c r="J647" s="75">
        <f>IF(B647="","",SUMIFS('Change Orders'!$J$7:$J$1006,'Change Orders'!$E$7:$E$1006,B647,'Change Orders'!$L$7:$L$1006,"Approved"))</f>
        <v/>
      </c>
      <c r="K647" s="76">
        <f>IF(B647="","",I647+J647)</f>
        <v/>
      </c>
      <c r="L647" s="74" t="n"/>
      <c r="M647" s="109" t="n"/>
      <c r="N647" s="109" t="n"/>
      <c r="O647" s="74" t="n"/>
      <c r="P647" s="74" t="n"/>
      <c r="Q647" s="100" t="n"/>
      <c r="R647" s="110" t="n"/>
      <c r="S647" s="75">
        <f>IF(B647="","",SUMIFS('Payments'!$N$6:$N$1005,'Payments'!$B$6:$B$1005,B647))</f>
        <v/>
      </c>
      <c r="T647" s="111">
        <f>IF(OR(B647="",K647=0),"",S647/K647)</f>
        <v/>
      </c>
      <c r="U647" s="78">
        <f>IF(V647="","",IF(V647=2,"⚠️ Paying ahead of work","✓ OK"))</f>
        <v/>
      </c>
      <c r="V647" s="79">
        <f>IF(T647="","",IF(T647-R647&gt;OverpayTol,2,0))</f>
        <v/>
      </c>
      <c r="W647" s="112">
        <f>IF(V647=2,AsOf,"")</f>
        <v/>
      </c>
      <c r="X647" s="79">
        <f>IF(W647="","",1)</f>
        <v/>
      </c>
      <c r="Y647" s="79">
        <f>IF(X647="","","Paying ahead of work: "&amp;B647&amp;" — paid "&amp;ROUND(T647*100,0)&amp;"%, work done "&amp;ROUND(R647*100,0)&amp;"%")</f>
        <v/>
      </c>
      <c r="AA647" s="72" t="n"/>
      <c r="AB647" s="109" t="n"/>
      <c r="AC647" s="113" t="n"/>
      <c r="AD647" s="74" t="n"/>
      <c r="AE647" s="109" t="n"/>
      <c r="AF647" s="74" t="n"/>
      <c r="AG647" s="112">
        <f>IF(AND(AA647&lt;&gt;"",AD647="Yes",AF647&lt;&gt;"Yes",AE647&lt;&gt;""),AE647,"")</f>
        <v/>
      </c>
      <c r="AH647" s="79">
        <f>IF(AG647="","",IF(AG647&lt;AsOf,1,IF(AG647&lt;=AsOf+AlertDays,2,IF(AG647&lt;=AsOf+2*AlertDays,3,""))))</f>
        <v/>
      </c>
      <c r="AI647" s="79">
        <f>IF(AH647="","","Follow up with "&amp;AA647&amp;": "&amp;AC647)</f>
        <v/>
      </c>
    </row>
    <row r="648" ht="20" customHeight="1">
      <c r="B648" s="72" t="n"/>
      <c r="C648" s="72" t="n"/>
      <c r="D648" s="72" t="n"/>
      <c r="E648" s="72" t="n"/>
      <c r="F648" s="72" t="n"/>
      <c r="G648" s="72" t="n"/>
      <c r="H648" s="72" t="n"/>
      <c r="I648" s="73" t="n"/>
      <c r="J648" s="75">
        <f>IF(B648="","",SUMIFS('Change Orders'!$J$7:$J$1006,'Change Orders'!$E$7:$E$1006,B648,'Change Orders'!$L$7:$L$1006,"Approved"))</f>
        <v/>
      </c>
      <c r="K648" s="76">
        <f>IF(B648="","",I648+J648)</f>
        <v/>
      </c>
      <c r="L648" s="74" t="n"/>
      <c r="M648" s="109" t="n"/>
      <c r="N648" s="109" t="n"/>
      <c r="O648" s="74" t="n"/>
      <c r="P648" s="74" t="n"/>
      <c r="Q648" s="100" t="n"/>
      <c r="R648" s="110" t="n"/>
      <c r="S648" s="75">
        <f>IF(B648="","",SUMIFS('Payments'!$N$6:$N$1005,'Payments'!$B$6:$B$1005,B648))</f>
        <v/>
      </c>
      <c r="T648" s="111">
        <f>IF(OR(B648="",K648=0),"",S648/K648)</f>
        <v/>
      </c>
      <c r="U648" s="78">
        <f>IF(V648="","",IF(V648=2,"⚠️ Paying ahead of work","✓ OK"))</f>
        <v/>
      </c>
      <c r="V648" s="79">
        <f>IF(T648="","",IF(T648-R648&gt;OverpayTol,2,0))</f>
        <v/>
      </c>
      <c r="W648" s="112">
        <f>IF(V648=2,AsOf,"")</f>
        <v/>
      </c>
      <c r="X648" s="79">
        <f>IF(W648="","",1)</f>
        <v/>
      </c>
      <c r="Y648" s="79">
        <f>IF(X648="","","Paying ahead of work: "&amp;B648&amp;" — paid "&amp;ROUND(T648*100,0)&amp;"%, work done "&amp;ROUND(R648*100,0)&amp;"%")</f>
        <v/>
      </c>
      <c r="AA648" s="72" t="n"/>
      <c r="AB648" s="109" t="n"/>
      <c r="AC648" s="113" t="n"/>
      <c r="AD648" s="74" t="n"/>
      <c r="AE648" s="109" t="n"/>
      <c r="AF648" s="74" t="n"/>
      <c r="AG648" s="112">
        <f>IF(AND(AA648&lt;&gt;"",AD648="Yes",AF648&lt;&gt;"Yes",AE648&lt;&gt;""),AE648,"")</f>
        <v/>
      </c>
      <c r="AH648" s="79">
        <f>IF(AG648="","",IF(AG648&lt;AsOf,1,IF(AG648&lt;=AsOf+AlertDays,2,IF(AG648&lt;=AsOf+2*AlertDays,3,""))))</f>
        <v/>
      </c>
      <c r="AI648" s="79">
        <f>IF(AH648="","","Follow up with "&amp;AA648&amp;": "&amp;AC648)</f>
        <v/>
      </c>
    </row>
    <row r="649" ht="20" customHeight="1">
      <c r="B649" s="72" t="n"/>
      <c r="C649" s="72" t="n"/>
      <c r="D649" s="72" t="n"/>
      <c r="E649" s="72" t="n"/>
      <c r="F649" s="72" t="n"/>
      <c r="G649" s="72" t="n"/>
      <c r="H649" s="72" t="n"/>
      <c r="I649" s="73" t="n"/>
      <c r="J649" s="75">
        <f>IF(B649="","",SUMIFS('Change Orders'!$J$7:$J$1006,'Change Orders'!$E$7:$E$1006,B649,'Change Orders'!$L$7:$L$1006,"Approved"))</f>
        <v/>
      </c>
      <c r="K649" s="76">
        <f>IF(B649="","",I649+J649)</f>
        <v/>
      </c>
      <c r="L649" s="74" t="n"/>
      <c r="M649" s="109" t="n"/>
      <c r="N649" s="109" t="n"/>
      <c r="O649" s="74" t="n"/>
      <c r="P649" s="74" t="n"/>
      <c r="Q649" s="100" t="n"/>
      <c r="R649" s="110" t="n"/>
      <c r="S649" s="75">
        <f>IF(B649="","",SUMIFS('Payments'!$N$6:$N$1005,'Payments'!$B$6:$B$1005,B649))</f>
        <v/>
      </c>
      <c r="T649" s="111">
        <f>IF(OR(B649="",K649=0),"",S649/K649)</f>
        <v/>
      </c>
      <c r="U649" s="78">
        <f>IF(V649="","",IF(V649=2,"⚠️ Paying ahead of work","✓ OK"))</f>
        <v/>
      </c>
      <c r="V649" s="79">
        <f>IF(T649="","",IF(T649-R649&gt;OverpayTol,2,0))</f>
        <v/>
      </c>
      <c r="W649" s="112">
        <f>IF(V649=2,AsOf,"")</f>
        <v/>
      </c>
      <c r="X649" s="79">
        <f>IF(W649="","",1)</f>
        <v/>
      </c>
      <c r="Y649" s="79">
        <f>IF(X649="","","Paying ahead of work: "&amp;B649&amp;" — paid "&amp;ROUND(T649*100,0)&amp;"%, work done "&amp;ROUND(R649*100,0)&amp;"%")</f>
        <v/>
      </c>
      <c r="AA649" s="72" t="n"/>
      <c r="AB649" s="109" t="n"/>
      <c r="AC649" s="113" t="n"/>
      <c r="AD649" s="74" t="n"/>
      <c r="AE649" s="109" t="n"/>
      <c r="AF649" s="74" t="n"/>
      <c r="AG649" s="112">
        <f>IF(AND(AA649&lt;&gt;"",AD649="Yes",AF649&lt;&gt;"Yes",AE649&lt;&gt;""),AE649,"")</f>
        <v/>
      </c>
      <c r="AH649" s="79">
        <f>IF(AG649="","",IF(AG649&lt;AsOf,1,IF(AG649&lt;=AsOf+AlertDays,2,IF(AG649&lt;=AsOf+2*AlertDays,3,""))))</f>
        <v/>
      </c>
      <c r="AI649" s="79">
        <f>IF(AH649="","","Follow up with "&amp;AA649&amp;": "&amp;AC649)</f>
        <v/>
      </c>
    </row>
    <row r="650" ht="20" customHeight="1">
      <c r="B650" s="72" t="n"/>
      <c r="C650" s="72" t="n"/>
      <c r="D650" s="72" t="n"/>
      <c r="E650" s="72" t="n"/>
      <c r="F650" s="72" t="n"/>
      <c r="G650" s="72" t="n"/>
      <c r="H650" s="72" t="n"/>
      <c r="I650" s="73" t="n"/>
      <c r="J650" s="75">
        <f>IF(B650="","",SUMIFS('Change Orders'!$J$7:$J$1006,'Change Orders'!$E$7:$E$1006,B650,'Change Orders'!$L$7:$L$1006,"Approved"))</f>
        <v/>
      </c>
      <c r="K650" s="76">
        <f>IF(B650="","",I650+J650)</f>
        <v/>
      </c>
      <c r="L650" s="74" t="n"/>
      <c r="M650" s="109" t="n"/>
      <c r="N650" s="109" t="n"/>
      <c r="O650" s="74" t="n"/>
      <c r="P650" s="74" t="n"/>
      <c r="Q650" s="100" t="n"/>
      <c r="R650" s="110" t="n"/>
      <c r="S650" s="75">
        <f>IF(B650="","",SUMIFS('Payments'!$N$6:$N$1005,'Payments'!$B$6:$B$1005,B650))</f>
        <v/>
      </c>
      <c r="T650" s="111">
        <f>IF(OR(B650="",K650=0),"",S650/K650)</f>
        <v/>
      </c>
      <c r="U650" s="78">
        <f>IF(V650="","",IF(V650=2,"⚠️ Paying ahead of work","✓ OK"))</f>
        <v/>
      </c>
      <c r="V650" s="79">
        <f>IF(T650="","",IF(T650-R650&gt;OverpayTol,2,0))</f>
        <v/>
      </c>
      <c r="W650" s="112">
        <f>IF(V650=2,AsOf,"")</f>
        <v/>
      </c>
      <c r="X650" s="79">
        <f>IF(W650="","",1)</f>
        <v/>
      </c>
      <c r="Y650" s="79">
        <f>IF(X650="","","Paying ahead of work: "&amp;B650&amp;" — paid "&amp;ROUND(T650*100,0)&amp;"%, work done "&amp;ROUND(R650*100,0)&amp;"%")</f>
        <v/>
      </c>
      <c r="AA650" s="72" t="n"/>
      <c r="AB650" s="109" t="n"/>
      <c r="AC650" s="113" t="n"/>
      <c r="AD650" s="74" t="n"/>
      <c r="AE650" s="109" t="n"/>
      <c r="AF650" s="74" t="n"/>
      <c r="AG650" s="112">
        <f>IF(AND(AA650&lt;&gt;"",AD650="Yes",AF650&lt;&gt;"Yes",AE650&lt;&gt;""),AE650,"")</f>
        <v/>
      </c>
      <c r="AH650" s="79">
        <f>IF(AG650="","",IF(AG650&lt;AsOf,1,IF(AG650&lt;=AsOf+AlertDays,2,IF(AG650&lt;=AsOf+2*AlertDays,3,""))))</f>
        <v/>
      </c>
      <c r="AI650" s="79">
        <f>IF(AH650="","","Follow up with "&amp;AA650&amp;": "&amp;AC650)</f>
        <v/>
      </c>
    </row>
    <row r="651" ht="20" customHeight="1">
      <c r="B651" s="72" t="n"/>
      <c r="C651" s="72" t="n"/>
      <c r="D651" s="72" t="n"/>
      <c r="E651" s="72" t="n"/>
      <c r="F651" s="72" t="n"/>
      <c r="G651" s="72" t="n"/>
      <c r="H651" s="72" t="n"/>
      <c r="I651" s="73" t="n"/>
      <c r="J651" s="75">
        <f>IF(B651="","",SUMIFS('Change Orders'!$J$7:$J$1006,'Change Orders'!$E$7:$E$1006,B651,'Change Orders'!$L$7:$L$1006,"Approved"))</f>
        <v/>
      </c>
      <c r="K651" s="76">
        <f>IF(B651="","",I651+J651)</f>
        <v/>
      </c>
      <c r="L651" s="74" t="n"/>
      <c r="M651" s="109" t="n"/>
      <c r="N651" s="109" t="n"/>
      <c r="O651" s="74" t="n"/>
      <c r="P651" s="74" t="n"/>
      <c r="Q651" s="100" t="n"/>
      <c r="R651" s="110" t="n"/>
      <c r="S651" s="75">
        <f>IF(B651="","",SUMIFS('Payments'!$N$6:$N$1005,'Payments'!$B$6:$B$1005,B651))</f>
        <v/>
      </c>
      <c r="T651" s="111">
        <f>IF(OR(B651="",K651=0),"",S651/K651)</f>
        <v/>
      </c>
      <c r="U651" s="78">
        <f>IF(V651="","",IF(V651=2,"⚠️ Paying ahead of work","✓ OK"))</f>
        <v/>
      </c>
      <c r="V651" s="79">
        <f>IF(T651="","",IF(T651-R651&gt;OverpayTol,2,0))</f>
        <v/>
      </c>
      <c r="W651" s="112">
        <f>IF(V651=2,AsOf,"")</f>
        <v/>
      </c>
      <c r="X651" s="79">
        <f>IF(W651="","",1)</f>
        <v/>
      </c>
      <c r="Y651" s="79">
        <f>IF(X651="","","Paying ahead of work: "&amp;B651&amp;" — paid "&amp;ROUND(T651*100,0)&amp;"%, work done "&amp;ROUND(R651*100,0)&amp;"%")</f>
        <v/>
      </c>
      <c r="AA651" s="72" t="n"/>
      <c r="AB651" s="109" t="n"/>
      <c r="AC651" s="113" t="n"/>
      <c r="AD651" s="74" t="n"/>
      <c r="AE651" s="109" t="n"/>
      <c r="AF651" s="74" t="n"/>
      <c r="AG651" s="112">
        <f>IF(AND(AA651&lt;&gt;"",AD651="Yes",AF651&lt;&gt;"Yes",AE651&lt;&gt;""),AE651,"")</f>
        <v/>
      </c>
      <c r="AH651" s="79">
        <f>IF(AG651="","",IF(AG651&lt;AsOf,1,IF(AG651&lt;=AsOf+AlertDays,2,IF(AG651&lt;=AsOf+2*AlertDays,3,""))))</f>
        <v/>
      </c>
      <c r="AI651" s="79">
        <f>IF(AH651="","","Follow up with "&amp;AA651&amp;": "&amp;AC651)</f>
        <v/>
      </c>
    </row>
    <row r="652" ht="20" customHeight="1">
      <c r="B652" s="72" t="n"/>
      <c r="C652" s="72" t="n"/>
      <c r="D652" s="72" t="n"/>
      <c r="E652" s="72" t="n"/>
      <c r="F652" s="72" t="n"/>
      <c r="G652" s="72" t="n"/>
      <c r="H652" s="72" t="n"/>
      <c r="I652" s="73" t="n"/>
      <c r="J652" s="75">
        <f>IF(B652="","",SUMIFS('Change Orders'!$J$7:$J$1006,'Change Orders'!$E$7:$E$1006,B652,'Change Orders'!$L$7:$L$1006,"Approved"))</f>
        <v/>
      </c>
      <c r="K652" s="76">
        <f>IF(B652="","",I652+J652)</f>
        <v/>
      </c>
      <c r="L652" s="74" t="n"/>
      <c r="M652" s="109" t="n"/>
      <c r="N652" s="109" t="n"/>
      <c r="O652" s="74" t="n"/>
      <c r="P652" s="74" t="n"/>
      <c r="Q652" s="100" t="n"/>
      <c r="R652" s="110" t="n"/>
      <c r="S652" s="75">
        <f>IF(B652="","",SUMIFS('Payments'!$N$6:$N$1005,'Payments'!$B$6:$B$1005,B652))</f>
        <v/>
      </c>
      <c r="T652" s="111">
        <f>IF(OR(B652="",K652=0),"",S652/K652)</f>
        <v/>
      </c>
      <c r="U652" s="78">
        <f>IF(V652="","",IF(V652=2,"⚠️ Paying ahead of work","✓ OK"))</f>
        <v/>
      </c>
      <c r="V652" s="79">
        <f>IF(T652="","",IF(T652-R652&gt;OverpayTol,2,0))</f>
        <v/>
      </c>
      <c r="W652" s="112">
        <f>IF(V652=2,AsOf,"")</f>
        <v/>
      </c>
      <c r="X652" s="79">
        <f>IF(W652="","",1)</f>
        <v/>
      </c>
      <c r="Y652" s="79">
        <f>IF(X652="","","Paying ahead of work: "&amp;B652&amp;" — paid "&amp;ROUND(T652*100,0)&amp;"%, work done "&amp;ROUND(R652*100,0)&amp;"%")</f>
        <v/>
      </c>
      <c r="AA652" s="72" t="n"/>
      <c r="AB652" s="109" t="n"/>
      <c r="AC652" s="113" t="n"/>
      <c r="AD652" s="74" t="n"/>
      <c r="AE652" s="109" t="n"/>
      <c r="AF652" s="74" t="n"/>
      <c r="AG652" s="112">
        <f>IF(AND(AA652&lt;&gt;"",AD652="Yes",AF652&lt;&gt;"Yes",AE652&lt;&gt;""),AE652,"")</f>
        <v/>
      </c>
      <c r="AH652" s="79">
        <f>IF(AG652="","",IF(AG652&lt;AsOf,1,IF(AG652&lt;=AsOf+AlertDays,2,IF(AG652&lt;=AsOf+2*AlertDays,3,""))))</f>
        <v/>
      </c>
      <c r="AI652" s="79">
        <f>IF(AH652="","","Follow up with "&amp;AA652&amp;": "&amp;AC652)</f>
        <v/>
      </c>
    </row>
    <row r="653" ht="20" customHeight="1">
      <c r="B653" s="72" t="n"/>
      <c r="C653" s="72" t="n"/>
      <c r="D653" s="72" t="n"/>
      <c r="E653" s="72" t="n"/>
      <c r="F653" s="72" t="n"/>
      <c r="G653" s="72" t="n"/>
      <c r="H653" s="72" t="n"/>
      <c r="I653" s="73" t="n"/>
      <c r="J653" s="75">
        <f>IF(B653="","",SUMIFS('Change Orders'!$J$7:$J$1006,'Change Orders'!$E$7:$E$1006,B653,'Change Orders'!$L$7:$L$1006,"Approved"))</f>
        <v/>
      </c>
      <c r="K653" s="76">
        <f>IF(B653="","",I653+J653)</f>
        <v/>
      </c>
      <c r="L653" s="74" t="n"/>
      <c r="M653" s="109" t="n"/>
      <c r="N653" s="109" t="n"/>
      <c r="O653" s="74" t="n"/>
      <c r="P653" s="74" t="n"/>
      <c r="Q653" s="100" t="n"/>
      <c r="R653" s="110" t="n"/>
      <c r="S653" s="75">
        <f>IF(B653="","",SUMIFS('Payments'!$N$6:$N$1005,'Payments'!$B$6:$B$1005,B653))</f>
        <v/>
      </c>
      <c r="T653" s="111">
        <f>IF(OR(B653="",K653=0),"",S653/K653)</f>
        <v/>
      </c>
      <c r="U653" s="78">
        <f>IF(V653="","",IF(V653=2,"⚠️ Paying ahead of work","✓ OK"))</f>
        <v/>
      </c>
      <c r="V653" s="79">
        <f>IF(T653="","",IF(T653-R653&gt;OverpayTol,2,0))</f>
        <v/>
      </c>
      <c r="W653" s="112">
        <f>IF(V653=2,AsOf,"")</f>
        <v/>
      </c>
      <c r="X653" s="79">
        <f>IF(W653="","",1)</f>
        <v/>
      </c>
      <c r="Y653" s="79">
        <f>IF(X653="","","Paying ahead of work: "&amp;B653&amp;" — paid "&amp;ROUND(T653*100,0)&amp;"%, work done "&amp;ROUND(R653*100,0)&amp;"%")</f>
        <v/>
      </c>
      <c r="AA653" s="72" t="n"/>
      <c r="AB653" s="109" t="n"/>
      <c r="AC653" s="113" t="n"/>
      <c r="AD653" s="74" t="n"/>
      <c r="AE653" s="109" t="n"/>
      <c r="AF653" s="74" t="n"/>
      <c r="AG653" s="112">
        <f>IF(AND(AA653&lt;&gt;"",AD653="Yes",AF653&lt;&gt;"Yes",AE653&lt;&gt;""),AE653,"")</f>
        <v/>
      </c>
      <c r="AH653" s="79">
        <f>IF(AG653="","",IF(AG653&lt;AsOf,1,IF(AG653&lt;=AsOf+AlertDays,2,IF(AG653&lt;=AsOf+2*AlertDays,3,""))))</f>
        <v/>
      </c>
      <c r="AI653" s="79">
        <f>IF(AH653="","","Follow up with "&amp;AA653&amp;": "&amp;AC653)</f>
        <v/>
      </c>
    </row>
    <row r="654" ht="20" customHeight="1">
      <c r="B654" s="72" t="n"/>
      <c r="C654" s="72" t="n"/>
      <c r="D654" s="72" t="n"/>
      <c r="E654" s="72" t="n"/>
      <c r="F654" s="72" t="n"/>
      <c r="G654" s="72" t="n"/>
      <c r="H654" s="72" t="n"/>
      <c r="I654" s="73" t="n"/>
      <c r="J654" s="75">
        <f>IF(B654="","",SUMIFS('Change Orders'!$J$7:$J$1006,'Change Orders'!$E$7:$E$1006,B654,'Change Orders'!$L$7:$L$1006,"Approved"))</f>
        <v/>
      </c>
      <c r="K654" s="76">
        <f>IF(B654="","",I654+J654)</f>
        <v/>
      </c>
      <c r="L654" s="74" t="n"/>
      <c r="M654" s="109" t="n"/>
      <c r="N654" s="109" t="n"/>
      <c r="O654" s="74" t="n"/>
      <c r="P654" s="74" t="n"/>
      <c r="Q654" s="100" t="n"/>
      <c r="R654" s="110" t="n"/>
      <c r="S654" s="75">
        <f>IF(B654="","",SUMIFS('Payments'!$N$6:$N$1005,'Payments'!$B$6:$B$1005,B654))</f>
        <v/>
      </c>
      <c r="T654" s="111">
        <f>IF(OR(B654="",K654=0),"",S654/K654)</f>
        <v/>
      </c>
      <c r="U654" s="78">
        <f>IF(V654="","",IF(V654=2,"⚠️ Paying ahead of work","✓ OK"))</f>
        <v/>
      </c>
      <c r="V654" s="79">
        <f>IF(T654="","",IF(T654-R654&gt;OverpayTol,2,0))</f>
        <v/>
      </c>
      <c r="W654" s="112">
        <f>IF(V654=2,AsOf,"")</f>
        <v/>
      </c>
      <c r="X654" s="79">
        <f>IF(W654="","",1)</f>
        <v/>
      </c>
      <c r="Y654" s="79">
        <f>IF(X654="","","Paying ahead of work: "&amp;B654&amp;" — paid "&amp;ROUND(T654*100,0)&amp;"%, work done "&amp;ROUND(R654*100,0)&amp;"%")</f>
        <v/>
      </c>
      <c r="AA654" s="72" t="n"/>
      <c r="AB654" s="109" t="n"/>
      <c r="AC654" s="113" t="n"/>
      <c r="AD654" s="74" t="n"/>
      <c r="AE654" s="109" t="n"/>
      <c r="AF654" s="74" t="n"/>
      <c r="AG654" s="112">
        <f>IF(AND(AA654&lt;&gt;"",AD654="Yes",AF654&lt;&gt;"Yes",AE654&lt;&gt;""),AE654,"")</f>
        <v/>
      </c>
      <c r="AH654" s="79">
        <f>IF(AG654="","",IF(AG654&lt;AsOf,1,IF(AG654&lt;=AsOf+AlertDays,2,IF(AG654&lt;=AsOf+2*AlertDays,3,""))))</f>
        <v/>
      </c>
      <c r="AI654" s="79">
        <f>IF(AH654="","","Follow up with "&amp;AA654&amp;": "&amp;AC654)</f>
        <v/>
      </c>
    </row>
    <row r="655" ht="20" customHeight="1">
      <c r="B655" s="72" t="n"/>
      <c r="C655" s="72" t="n"/>
      <c r="D655" s="72" t="n"/>
      <c r="E655" s="72" t="n"/>
      <c r="F655" s="72" t="n"/>
      <c r="G655" s="72" t="n"/>
      <c r="H655" s="72" t="n"/>
      <c r="I655" s="73" t="n"/>
      <c r="J655" s="75">
        <f>IF(B655="","",SUMIFS('Change Orders'!$J$7:$J$1006,'Change Orders'!$E$7:$E$1006,B655,'Change Orders'!$L$7:$L$1006,"Approved"))</f>
        <v/>
      </c>
      <c r="K655" s="76">
        <f>IF(B655="","",I655+J655)</f>
        <v/>
      </c>
      <c r="L655" s="74" t="n"/>
      <c r="M655" s="109" t="n"/>
      <c r="N655" s="109" t="n"/>
      <c r="O655" s="74" t="n"/>
      <c r="P655" s="74" t="n"/>
      <c r="Q655" s="100" t="n"/>
      <c r="R655" s="110" t="n"/>
      <c r="S655" s="75">
        <f>IF(B655="","",SUMIFS('Payments'!$N$6:$N$1005,'Payments'!$B$6:$B$1005,B655))</f>
        <v/>
      </c>
      <c r="T655" s="111">
        <f>IF(OR(B655="",K655=0),"",S655/K655)</f>
        <v/>
      </c>
      <c r="U655" s="78">
        <f>IF(V655="","",IF(V655=2,"⚠️ Paying ahead of work","✓ OK"))</f>
        <v/>
      </c>
      <c r="V655" s="79">
        <f>IF(T655="","",IF(T655-R655&gt;OverpayTol,2,0))</f>
        <v/>
      </c>
      <c r="W655" s="112">
        <f>IF(V655=2,AsOf,"")</f>
        <v/>
      </c>
      <c r="X655" s="79">
        <f>IF(W655="","",1)</f>
        <v/>
      </c>
      <c r="Y655" s="79">
        <f>IF(X655="","","Paying ahead of work: "&amp;B655&amp;" — paid "&amp;ROUND(T655*100,0)&amp;"%, work done "&amp;ROUND(R655*100,0)&amp;"%")</f>
        <v/>
      </c>
      <c r="AA655" s="72" t="n"/>
      <c r="AB655" s="109" t="n"/>
      <c r="AC655" s="113" t="n"/>
      <c r="AD655" s="74" t="n"/>
      <c r="AE655" s="109" t="n"/>
      <c r="AF655" s="74" t="n"/>
      <c r="AG655" s="112">
        <f>IF(AND(AA655&lt;&gt;"",AD655="Yes",AF655&lt;&gt;"Yes",AE655&lt;&gt;""),AE655,"")</f>
        <v/>
      </c>
      <c r="AH655" s="79">
        <f>IF(AG655="","",IF(AG655&lt;AsOf,1,IF(AG655&lt;=AsOf+AlertDays,2,IF(AG655&lt;=AsOf+2*AlertDays,3,""))))</f>
        <v/>
      </c>
      <c r="AI655" s="79">
        <f>IF(AH655="","","Follow up with "&amp;AA655&amp;": "&amp;AC655)</f>
        <v/>
      </c>
    </row>
    <row r="656" ht="20" customHeight="1">
      <c r="B656" s="72" t="n"/>
      <c r="C656" s="72" t="n"/>
      <c r="D656" s="72" t="n"/>
      <c r="E656" s="72" t="n"/>
      <c r="F656" s="72" t="n"/>
      <c r="G656" s="72" t="n"/>
      <c r="H656" s="72" t="n"/>
      <c r="I656" s="73" t="n"/>
      <c r="J656" s="75">
        <f>IF(B656="","",SUMIFS('Change Orders'!$J$7:$J$1006,'Change Orders'!$E$7:$E$1006,B656,'Change Orders'!$L$7:$L$1006,"Approved"))</f>
        <v/>
      </c>
      <c r="K656" s="76">
        <f>IF(B656="","",I656+J656)</f>
        <v/>
      </c>
      <c r="L656" s="74" t="n"/>
      <c r="M656" s="109" t="n"/>
      <c r="N656" s="109" t="n"/>
      <c r="O656" s="74" t="n"/>
      <c r="P656" s="74" t="n"/>
      <c r="Q656" s="100" t="n"/>
      <c r="R656" s="110" t="n"/>
      <c r="S656" s="75">
        <f>IF(B656="","",SUMIFS('Payments'!$N$6:$N$1005,'Payments'!$B$6:$B$1005,B656))</f>
        <v/>
      </c>
      <c r="T656" s="111">
        <f>IF(OR(B656="",K656=0),"",S656/K656)</f>
        <v/>
      </c>
      <c r="U656" s="78">
        <f>IF(V656="","",IF(V656=2,"⚠️ Paying ahead of work","✓ OK"))</f>
        <v/>
      </c>
      <c r="V656" s="79">
        <f>IF(T656="","",IF(T656-R656&gt;OverpayTol,2,0))</f>
        <v/>
      </c>
      <c r="W656" s="112">
        <f>IF(V656=2,AsOf,"")</f>
        <v/>
      </c>
      <c r="X656" s="79">
        <f>IF(W656="","",1)</f>
        <v/>
      </c>
      <c r="Y656" s="79">
        <f>IF(X656="","","Paying ahead of work: "&amp;B656&amp;" — paid "&amp;ROUND(T656*100,0)&amp;"%, work done "&amp;ROUND(R656*100,0)&amp;"%")</f>
        <v/>
      </c>
      <c r="AA656" s="72" t="n"/>
      <c r="AB656" s="109" t="n"/>
      <c r="AC656" s="113" t="n"/>
      <c r="AD656" s="74" t="n"/>
      <c r="AE656" s="109" t="n"/>
      <c r="AF656" s="74" t="n"/>
      <c r="AG656" s="112">
        <f>IF(AND(AA656&lt;&gt;"",AD656="Yes",AF656&lt;&gt;"Yes",AE656&lt;&gt;""),AE656,"")</f>
        <v/>
      </c>
      <c r="AH656" s="79">
        <f>IF(AG656="","",IF(AG656&lt;AsOf,1,IF(AG656&lt;=AsOf+AlertDays,2,IF(AG656&lt;=AsOf+2*AlertDays,3,""))))</f>
        <v/>
      </c>
      <c r="AI656" s="79">
        <f>IF(AH656="","","Follow up with "&amp;AA656&amp;": "&amp;AC656)</f>
        <v/>
      </c>
    </row>
    <row r="657" ht="20" customHeight="1">
      <c r="B657" s="72" t="n"/>
      <c r="C657" s="72" t="n"/>
      <c r="D657" s="72" t="n"/>
      <c r="E657" s="72" t="n"/>
      <c r="F657" s="72" t="n"/>
      <c r="G657" s="72" t="n"/>
      <c r="H657" s="72" t="n"/>
      <c r="I657" s="73" t="n"/>
      <c r="J657" s="75">
        <f>IF(B657="","",SUMIFS('Change Orders'!$J$7:$J$1006,'Change Orders'!$E$7:$E$1006,B657,'Change Orders'!$L$7:$L$1006,"Approved"))</f>
        <v/>
      </c>
      <c r="K657" s="76">
        <f>IF(B657="","",I657+J657)</f>
        <v/>
      </c>
      <c r="L657" s="74" t="n"/>
      <c r="M657" s="109" t="n"/>
      <c r="N657" s="109" t="n"/>
      <c r="O657" s="74" t="n"/>
      <c r="P657" s="74" t="n"/>
      <c r="Q657" s="100" t="n"/>
      <c r="R657" s="110" t="n"/>
      <c r="S657" s="75">
        <f>IF(B657="","",SUMIFS('Payments'!$N$6:$N$1005,'Payments'!$B$6:$B$1005,B657))</f>
        <v/>
      </c>
      <c r="T657" s="111">
        <f>IF(OR(B657="",K657=0),"",S657/K657)</f>
        <v/>
      </c>
      <c r="U657" s="78">
        <f>IF(V657="","",IF(V657=2,"⚠️ Paying ahead of work","✓ OK"))</f>
        <v/>
      </c>
      <c r="V657" s="79">
        <f>IF(T657="","",IF(T657-R657&gt;OverpayTol,2,0))</f>
        <v/>
      </c>
      <c r="W657" s="112">
        <f>IF(V657=2,AsOf,"")</f>
        <v/>
      </c>
      <c r="X657" s="79">
        <f>IF(W657="","",1)</f>
        <v/>
      </c>
      <c r="Y657" s="79">
        <f>IF(X657="","","Paying ahead of work: "&amp;B657&amp;" — paid "&amp;ROUND(T657*100,0)&amp;"%, work done "&amp;ROUND(R657*100,0)&amp;"%")</f>
        <v/>
      </c>
      <c r="AA657" s="72" t="n"/>
      <c r="AB657" s="109" t="n"/>
      <c r="AC657" s="113" t="n"/>
      <c r="AD657" s="74" t="n"/>
      <c r="AE657" s="109" t="n"/>
      <c r="AF657" s="74" t="n"/>
      <c r="AG657" s="112">
        <f>IF(AND(AA657&lt;&gt;"",AD657="Yes",AF657&lt;&gt;"Yes",AE657&lt;&gt;""),AE657,"")</f>
        <v/>
      </c>
      <c r="AH657" s="79">
        <f>IF(AG657="","",IF(AG657&lt;AsOf,1,IF(AG657&lt;=AsOf+AlertDays,2,IF(AG657&lt;=AsOf+2*AlertDays,3,""))))</f>
        <v/>
      </c>
      <c r="AI657" s="79">
        <f>IF(AH657="","","Follow up with "&amp;AA657&amp;": "&amp;AC657)</f>
        <v/>
      </c>
    </row>
    <row r="658" ht="20" customHeight="1">
      <c r="B658" s="72" t="n"/>
      <c r="C658" s="72" t="n"/>
      <c r="D658" s="72" t="n"/>
      <c r="E658" s="72" t="n"/>
      <c r="F658" s="72" t="n"/>
      <c r="G658" s="72" t="n"/>
      <c r="H658" s="72" t="n"/>
      <c r="I658" s="73" t="n"/>
      <c r="J658" s="75">
        <f>IF(B658="","",SUMIFS('Change Orders'!$J$7:$J$1006,'Change Orders'!$E$7:$E$1006,B658,'Change Orders'!$L$7:$L$1006,"Approved"))</f>
        <v/>
      </c>
      <c r="K658" s="76">
        <f>IF(B658="","",I658+J658)</f>
        <v/>
      </c>
      <c r="L658" s="74" t="n"/>
      <c r="M658" s="109" t="n"/>
      <c r="N658" s="109" t="n"/>
      <c r="O658" s="74" t="n"/>
      <c r="P658" s="74" t="n"/>
      <c r="Q658" s="100" t="n"/>
      <c r="R658" s="110" t="n"/>
      <c r="S658" s="75">
        <f>IF(B658="","",SUMIFS('Payments'!$N$6:$N$1005,'Payments'!$B$6:$B$1005,B658))</f>
        <v/>
      </c>
      <c r="T658" s="111">
        <f>IF(OR(B658="",K658=0),"",S658/K658)</f>
        <v/>
      </c>
      <c r="U658" s="78">
        <f>IF(V658="","",IF(V658=2,"⚠️ Paying ahead of work","✓ OK"))</f>
        <v/>
      </c>
      <c r="V658" s="79">
        <f>IF(T658="","",IF(T658-R658&gt;OverpayTol,2,0))</f>
        <v/>
      </c>
      <c r="W658" s="112">
        <f>IF(V658=2,AsOf,"")</f>
        <v/>
      </c>
      <c r="X658" s="79">
        <f>IF(W658="","",1)</f>
        <v/>
      </c>
      <c r="Y658" s="79">
        <f>IF(X658="","","Paying ahead of work: "&amp;B658&amp;" — paid "&amp;ROUND(T658*100,0)&amp;"%, work done "&amp;ROUND(R658*100,0)&amp;"%")</f>
        <v/>
      </c>
      <c r="AA658" s="72" t="n"/>
      <c r="AB658" s="109" t="n"/>
      <c r="AC658" s="113" t="n"/>
      <c r="AD658" s="74" t="n"/>
      <c r="AE658" s="109" t="n"/>
      <c r="AF658" s="74" t="n"/>
      <c r="AG658" s="112">
        <f>IF(AND(AA658&lt;&gt;"",AD658="Yes",AF658&lt;&gt;"Yes",AE658&lt;&gt;""),AE658,"")</f>
        <v/>
      </c>
      <c r="AH658" s="79">
        <f>IF(AG658="","",IF(AG658&lt;AsOf,1,IF(AG658&lt;=AsOf+AlertDays,2,IF(AG658&lt;=AsOf+2*AlertDays,3,""))))</f>
        <v/>
      </c>
      <c r="AI658" s="79">
        <f>IF(AH658="","","Follow up with "&amp;AA658&amp;": "&amp;AC658)</f>
        <v/>
      </c>
    </row>
    <row r="659" ht="20" customHeight="1">
      <c r="B659" s="72" t="n"/>
      <c r="C659" s="72" t="n"/>
      <c r="D659" s="72" t="n"/>
      <c r="E659" s="72" t="n"/>
      <c r="F659" s="72" t="n"/>
      <c r="G659" s="72" t="n"/>
      <c r="H659" s="72" t="n"/>
      <c r="I659" s="73" t="n"/>
      <c r="J659" s="75">
        <f>IF(B659="","",SUMIFS('Change Orders'!$J$7:$J$1006,'Change Orders'!$E$7:$E$1006,B659,'Change Orders'!$L$7:$L$1006,"Approved"))</f>
        <v/>
      </c>
      <c r="K659" s="76">
        <f>IF(B659="","",I659+J659)</f>
        <v/>
      </c>
      <c r="L659" s="74" t="n"/>
      <c r="M659" s="109" t="n"/>
      <c r="N659" s="109" t="n"/>
      <c r="O659" s="74" t="n"/>
      <c r="P659" s="74" t="n"/>
      <c r="Q659" s="100" t="n"/>
      <c r="R659" s="110" t="n"/>
      <c r="S659" s="75">
        <f>IF(B659="","",SUMIFS('Payments'!$N$6:$N$1005,'Payments'!$B$6:$B$1005,B659))</f>
        <v/>
      </c>
      <c r="T659" s="111">
        <f>IF(OR(B659="",K659=0),"",S659/K659)</f>
        <v/>
      </c>
      <c r="U659" s="78">
        <f>IF(V659="","",IF(V659=2,"⚠️ Paying ahead of work","✓ OK"))</f>
        <v/>
      </c>
      <c r="V659" s="79">
        <f>IF(T659="","",IF(T659-R659&gt;OverpayTol,2,0))</f>
        <v/>
      </c>
      <c r="W659" s="112">
        <f>IF(V659=2,AsOf,"")</f>
        <v/>
      </c>
      <c r="X659" s="79">
        <f>IF(W659="","",1)</f>
        <v/>
      </c>
      <c r="Y659" s="79">
        <f>IF(X659="","","Paying ahead of work: "&amp;B659&amp;" — paid "&amp;ROUND(T659*100,0)&amp;"%, work done "&amp;ROUND(R659*100,0)&amp;"%")</f>
        <v/>
      </c>
      <c r="AA659" s="72" t="n"/>
      <c r="AB659" s="109" t="n"/>
      <c r="AC659" s="113" t="n"/>
      <c r="AD659" s="74" t="n"/>
      <c r="AE659" s="109" t="n"/>
      <c r="AF659" s="74" t="n"/>
      <c r="AG659" s="112">
        <f>IF(AND(AA659&lt;&gt;"",AD659="Yes",AF659&lt;&gt;"Yes",AE659&lt;&gt;""),AE659,"")</f>
        <v/>
      </c>
      <c r="AH659" s="79">
        <f>IF(AG659="","",IF(AG659&lt;AsOf,1,IF(AG659&lt;=AsOf+AlertDays,2,IF(AG659&lt;=AsOf+2*AlertDays,3,""))))</f>
        <v/>
      </c>
      <c r="AI659" s="79">
        <f>IF(AH659="","","Follow up with "&amp;AA659&amp;": "&amp;AC659)</f>
        <v/>
      </c>
    </row>
    <row r="660" ht="20" customHeight="1">
      <c r="B660" s="72" t="n"/>
      <c r="C660" s="72" t="n"/>
      <c r="D660" s="72" t="n"/>
      <c r="E660" s="72" t="n"/>
      <c r="F660" s="72" t="n"/>
      <c r="G660" s="72" t="n"/>
      <c r="H660" s="72" t="n"/>
      <c r="I660" s="73" t="n"/>
      <c r="J660" s="75">
        <f>IF(B660="","",SUMIFS('Change Orders'!$J$7:$J$1006,'Change Orders'!$E$7:$E$1006,B660,'Change Orders'!$L$7:$L$1006,"Approved"))</f>
        <v/>
      </c>
      <c r="K660" s="76">
        <f>IF(B660="","",I660+J660)</f>
        <v/>
      </c>
      <c r="L660" s="74" t="n"/>
      <c r="M660" s="109" t="n"/>
      <c r="N660" s="109" t="n"/>
      <c r="O660" s="74" t="n"/>
      <c r="P660" s="74" t="n"/>
      <c r="Q660" s="100" t="n"/>
      <c r="R660" s="110" t="n"/>
      <c r="S660" s="75">
        <f>IF(B660="","",SUMIFS('Payments'!$N$6:$N$1005,'Payments'!$B$6:$B$1005,B660))</f>
        <v/>
      </c>
      <c r="T660" s="111">
        <f>IF(OR(B660="",K660=0),"",S660/K660)</f>
        <v/>
      </c>
      <c r="U660" s="78">
        <f>IF(V660="","",IF(V660=2,"⚠️ Paying ahead of work","✓ OK"))</f>
        <v/>
      </c>
      <c r="V660" s="79">
        <f>IF(T660="","",IF(T660-R660&gt;OverpayTol,2,0))</f>
        <v/>
      </c>
      <c r="W660" s="112">
        <f>IF(V660=2,AsOf,"")</f>
        <v/>
      </c>
      <c r="X660" s="79">
        <f>IF(W660="","",1)</f>
        <v/>
      </c>
      <c r="Y660" s="79">
        <f>IF(X660="","","Paying ahead of work: "&amp;B660&amp;" — paid "&amp;ROUND(T660*100,0)&amp;"%, work done "&amp;ROUND(R660*100,0)&amp;"%")</f>
        <v/>
      </c>
      <c r="AA660" s="72" t="n"/>
      <c r="AB660" s="109" t="n"/>
      <c r="AC660" s="113" t="n"/>
      <c r="AD660" s="74" t="n"/>
      <c r="AE660" s="109" t="n"/>
      <c r="AF660" s="74" t="n"/>
      <c r="AG660" s="112">
        <f>IF(AND(AA660&lt;&gt;"",AD660="Yes",AF660&lt;&gt;"Yes",AE660&lt;&gt;""),AE660,"")</f>
        <v/>
      </c>
      <c r="AH660" s="79">
        <f>IF(AG660="","",IF(AG660&lt;AsOf,1,IF(AG660&lt;=AsOf+AlertDays,2,IF(AG660&lt;=AsOf+2*AlertDays,3,""))))</f>
        <v/>
      </c>
      <c r="AI660" s="79">
        <f>IF(AH660="","","Follow up with "&amp;AA660&amp;": "&amp;AC660)</f>
        <v/>
      </c>
    </row>
    <row r="661" ht="20" customHeight="1">
      <c r="B661" s="72" t="n"/>
      <c r="C661" s="72" t="n"/>
      <c r="D661" s="72" t="n"/>
      <c r="E661" s="72" t="n"/>
      <c r="F661" s="72" t="n"/>
      <c r="G661" s="72" t="n"/>
      <c r="H661" s="72" t="n"/>
      <c r="I661" s="73" t="n"/>
      <c r="J661" s="75">
        <f>IF(B661="","",SUMIFS('Change Orders'!$J$7:$J$1006,'Change Orders'!$E$7:$E$1006,B661,'Change Orders'!$L$7:$L$1006,"Approved"))</f>
        <v/>
      </c>
      <c r="K661" s="76">
        <f>IF(B661="","",I661+J661)</f>
        <v/>
      </c>
      <c r="L661" s="74" t="n"/>
      <c r="M661" s="109" t="n"/>
      <c r="N661" s="109" t="n"/>
      <c r="O661" s="74" t="n"/>
      <c r="P661" s="74" t="n"/>
      <c r="Q661" s="100" t="n"/>
      <c r="R661" s="110" t="n"/>
      <c r="S661" s="75">
        <f>IF(B661="","",SUMIFS('Payments'!$N$6:$N$1005,'Payments'!$B$6:$B$1005,B661))</f>
        <v/>
      </c>
      <c r="T661" s="111">
        <f>IF(OR(B661="",K661=0),"",S661/K661)</f>
        <v/>
      </c>
      <c r="U661" s="78">
        <f>IF(V661="","",IF(V661=2,"⚠️ Paying ahead of work","✓ OK"))</f>
        <v/>
      </c>
      <c r="V661" s="79">
        <f>IF(T661="","",IF(T661-R661&gt;OverpayTol,2,0))</f>
        <v/>
      </c>
      <c r="W661" s="112">
        <f>IF(V661=2,AsOf,"")</f>
        <v/>
      </c>
      <c r="X661" s="79">
        <f>IF(W661="","",1)</f>
        <v/>
      </c>
      <c r="Y661" s="79">
        <f>IF(X661="","","Paying ahead of work: "&amp;B661&amp;" — paid "&amp;ROUND(T661*100,0)&amp;"%, work done "&amp;ROUND(R661*100,0)&amp;"%")</f>
        <v/>
      </c>
      <c r="AA661" s="72" t="n"/>
      <c r="AB661" s="109" t="n"/>
      <c r="AC661" s="113" t="n"/>
      <c r="AD661" s="74" t="n"/>
      <c r="AE661" s="109" t="n"/>
      <c r="AF661" s="74" t="n"/>
      <c r="AG661" s="112">
        <f>IF(AND(AA661&lt;&gt;"",AD661="Yes",AF661&lt;&gt;"Yes",AE661&lt;&gt;""),AE661,"")</f>
        <v/>
      </c>
      <c r="AH661" s="79">
        <f>IF(AG661="","",IF(AG661&lt;AsOf,1,IF(AG661&lt;=AsOf+AlertDays,2,IF(AG661&lt;=AsOf+2*AlertDays,3,""))))</f>
        <v/>
      </c>
      <c r="AI661" s="79">
        <f>IF(AH661="","","Follow up with "&amp;AA661&amp;": "&amp;AC661)</f>
        <v/>
      </c>
    </row>
    <row r="662" ht="20" customHeight="1">
      <c r="B662" s="72" t="n"/>
      <c r="C662" s="72" t="n"/>
      <c r="D662" s="72" t="n"/>
      <c r="E662" s="72" t="n"/>
      <c r="F662" s="72" t="n"/>
      <c r="G662" s="72" t="n"/>
      <c r="H662" s="72" t="n"/>
      <c r="I662" s="73" t="n"/>
      <c r="J662" s="75">
        <f>IF(B662="","",SUMIFS('Change Orders'!$J$7:$J$1006,'Change Orders'!$E$7:$E$1006,B662,'Change Orders'!$L$7:$L$1006,"Approved"))</f>
        <v/>
      </c>
      <c r="K662" s="76">
        <f>IF(B662="","",I662+J662)</f>
        <v/>
      </c>
      <c r="L662" s="74" t="n"/>
      <c r="M662" s="109" t="n"/>
      <c r="N662" s="109" t="n"/>
      <c r="O662" s="74" t="n"/>
      <c r="P662" s="74" t="n"/>
      <c r="Q662" s="100" t="n"/>
      <c r="R662" s="110" t="n"/>
      <c r="S662" s="75">
        <f>IF(B662="","",SUMIFS('Payments'!$N$6:$N$1005,'Payments'!$B$6:$B$1005,B662))</f>
        <v/>
      </c>
      <c r="T662" s="111">
        <f>IF(OR(B662="",K662=0),"",S662/K662)</f>
        <v/>
      </c>
      <c r="U662" s="78">
        <f>IF(V662="","",IF(V662=2,"⚠️ Paying ahead of work","✓ OK"))</f>
        <v/>
      </c>
      <c r="V662" s="79">
        <f>IF(T662="","",IF(T662-R662&gt;OverpayTol,2,0))</f>
        <v/>
      </c>
      <c r="W662" s="112">
        <f>IF(V662=2,AsOf,"")</f>
        <v/>
      </c>
      <c r="X662" s="79">
        <f>IF(W662="","",1)</f>
        <v/>
      </c>
      <c r="Y662" s="79">
        <f>IF(X662="","","Paying ahead of work: "&amp;B662&amp;" — paid "&amp;ROUND(T662*100,0)&amp;"%, work done "&amp;ROUND(R662*100,0)&amp;"%")</f>
        <v/>
      </c>
      <c r="AA662" s="72" t="n"/>
      <c r="AB662" s="109" t="n"/>
      <c r="AC662" s="113" t="n"/>
      <c r="AD662" s="74" t="n"/>
      <c r="AE662" s="109" t="n"/>
      <c r="AF662" s="74" t="n"/>
      <c r="AG662" s="112">
        <f>IF(AND(AA662&lt;&gt;"",AD662="Yes",AF662&lt;&gt;"Yes",AE662&lt;&gt;""),AE662,"")</f>
        <v/>
      </c>
      <c r="AH662" s="79">
        <f>IF(AG662="","",IF(AG662&lt;AsOf,1,IF(AG662&lt;=AsOf+AlertDays,2,IF(AG662&lt;=AsOf+2*AlertDays,3,""))))</f>
        <v/>
      </c>
      <c r="AI662" s="79">
        <f>IF(AH662="","","Follow up with "&amp;AA662&amp;": "&amp;AC662)</f>
        <v/>
      </c>
    </row>
    <row r="663" ht="20" customHeight="1">
      <c r="B663" s="72" t="n"/>
      <c r="C663" s="72" t="n"/>
      <c r="D663" s="72" t="n"/>
      <c r="E663" s="72" t="n"/>
      <c r="F663" s="72" t="n"/>
      <c r="G663" s="72" t="n"/>
      <c r="H663" s="72" t="n"/>
      <c r="I663" s="73" t="n"/>
      <c r="J663" s="75">
        <f>IF(B663="","",SUMIFS('Change Orders'!$J$7:$J$1006,'Change Orders'!$E$7:$E$1006,B663,'Change Orders'!$L$7:$L$1006,"Approved"))</f>
        <v/>
      </c>
      <c r="K663" s="76">
        <f>IF(B663="","",I663+J663)</f>
        <v/>
      </c>
      <c r="L663" s="74" t="n"/>
      <c r="M663" s="109" t="n"/>
      <c r="N663" s="109" t="n"/>
      <c r="O663" s="74" t="n"/>
      <c r="P663" s="74" t="n"/>
      <c r="Q663" s="100" t="n"/>
      <c r="R663" s="110" t="n"/>
      <c r="S663" s="75">
        <f>IF(B663="","",SUMIFS('Payments'!$N$6:$N$1005,'Payments'!$B$6:$B$1005,B663))</f>
        <v/>
      </c>
      <c r="T663" s="111">
        <f>IF(OR(B663="",K663=0),"",S663/K663)</f>
        <v/>
      </c>
      <c r="U663" s="78">
        <f>IF(V663="","",IF(V663=2,"⚠️ Paying ahead of work","✓ OK"))</f>
        <v/>
      </c>
      <c r="V663" s="79">
        <f>IF(T663="","",IF(T663-R663&gt;OverpayTol,2,0))</f>
        <v/>
      </c>
      <c r="W663" s="112">
        <f>IF(V663=2,AsOf,"")</f>
        <v/>
      </c>
      <c r="X663" s="79">
        <f>IF(W663="","",1)</f>
        <v/>
      </c>
      <c r="Y663" s="79">
        <f>IF(X663="","","Paying ahead of work: "&amp;B663&amp;" — paid "&amp;ROUND(T663*100,0)&amp;"%, work done "&amp;ROUND(R663*100,0)&amp;"%")</f>
        <v/>
      </c>
      <c r="AA663" s="72" t="n"/>
      <c r="AB663" s="109" t="n"/>
      <c r="AC663" s="113" t="n"/>
      <c r="AD663" s="74" t="n"/>
      <c r="AE663" s="109" t="n"/>
      <c r="AF663" s="74" t="n"/>
      <c r="AG663" s="112">
        <f>IF(AND(AA663&lt;&gt;"",AD663="Yes",AF663&lt;&gt;"Yes",AE663&lt;&gt;""),AE663,"")</f>
        <v/>
      </c>
      <c r="AH663" s="79">
        <f>IF(AG663="","",IF(AG663&lt;AsOf,1,IF(AG663&lt;=AsOf+AlertDays,2,IF(AG663&lt;=AsOf+2*AlertDays,3,""))))</f>
        <v/>
      </c>
      <c r="AI663" s="79">
        <f>IF(AH663="","","Follow up with "&amp;AA663&amp;": "&amp;AC663)</f>
        <v/>
      </c>
    </row>
    <row r="664" ht="20" customHeight="1">
      <c r="B664" s="72" t="n"/>
      <c r="C664" s="72" t="n"/>
      <c r="D664" s="72" t="n"/>
      <c r="E664" s="72" t="n"/>
      <c r="F664" s="72" t="n"/>
      <c r="G664" s="72" t="n"/>
      <c r="H664" s="72" t="n"/>
      <c r="I664" s="73" t="n"/>
      <c r="J664" s="75">
        <f>IF(B664="","",SUMIFS('Change Orders'!$J$7:$J$1006,'Change Orders'!$E$7:$E$1006,B664,'Change Orders'!$L$7:$L$1006,"Approved"))</f>
        <v/>
      </c>
      <c r="K664" s="76">
        <f>IF(B664="","",I664+J664)</f>
        <v/>
      </c>
      <c r="L664" s="74" t="n"/>
      <c r="M664" s="109" t="n"/>
      <c r="N664" s="109" t="n"/>
      <c r="O664" s="74" t="n"/>
      <c r="P664" s="74" t="n"/>
      <c r="Q664" s="100" t="n"/>
      <c r="R664" s="110" t="n"/>
      <c r="S664" s="75">
        <f>IF(B664="","",SUMIFS('Payments'!$N$6:$N$1005,'Payments'!$B$6:$B$1005,B664))</f>
        <v/>
      </c>
      <c r="T664" s="111">
        <f>IF(OR(B664="",K664=0),"",S664/K664)</f>
        <v/>
      </c>
      <c r="U664" s="78">
        <f>IF(V664="","",IF(V664=2,"⚠️ Paying ahead of work","✓ OK"))</f>
        <v/>
      </c>
      <c r="V664" s="79">
        <f>IF(T664="","",IF(T664-R664&gt;OverpayTol,2,0))</f>
        <v/>
      </c>
      <c r="W664" s="112">
        <f>IF(V664=2,AsOf,"")</f>
        <v/>
      </c>
      <c r="X664" s="79">
        <f>IF(W664="","",1)</f>
        <v/>
      </c>
      <c r="Y664" s="79">
        <f>IF(X664="","","Paying ahead of work: "&amp;B664&amp;" — paid "&amp;ROUND(T664*100,0)&amp;"%, work done "&amp;ROUND(R664*100,0)&amp;"%")</f>
        <v/>
      </c>
      <c r="AA664" s="72" t="n"/>
      <c r="AB664" s="109" t="n"/>
      <c r="AC664" s="113" t="n"/>
      <c r="AD664" s="74" t="n"/>
      <c r="AE664" s="109" t="n"/>
      <c r="AF664" s="74" t="n"/>
      <c r="AG664" s="112">
        <f>IF(AND(AA664&lt;&gt;"",AD664="Yes",AF664&lt;&gt;"Yes",AE664&lt;&gt;""),AE664,"")</f>
        <v/>
      </c>
      <c r="AH664" s="79">
        <f>IF(AG664="","",IF(AG664&lt;AsOf,1,IF(AG664&lt;=AsOf+AlertDays,2,IF(AG664&lt;=AsOf+2*AlertDays,3,""))))</f>
        <v/>
      </c>
      <c r="AI664" s="79">
        <f>IF(AH664="","","Follow up with "&amp;AA664&amp;": "&amp;AC664)</f>
        <v/>
      </c>
    </row>
    <row r="665" ht="20" customHeight="1">
      <c r="B665" s="72" t="n"/>
      <c r="C665" s="72" t="n"/>
      <c r="D665" s="72" t="n"/>
      <c r="E665" s="72" t="n"/>
      <c r="F665" s="72" t="n"/>
      <c r="G665" s="72" t="n"/>
      <c r="H665" s="72" t="n"/>
      <c r="I665" s="73" t="n"/>
      <c r="J665" s="75">
        <f>IF(B665="","",SUMIFS('Change Orders'!$J$7:$J$1006,'Change Orders'!$E$7:$E$1006,B665,'Change Orders'!$L$7:$L$1006,"Approved"))</f>
        <v/>
      </c>
      <c r="K665" s="76">
        <f>IF(B665="","",I665+J665)</f>
        <v/>
      </c>
      <c r="L665" s="74" t="n"/>
      <c r="M665" s="109" t="n"/>
      <c r="N665" s="109" t="n"/>
      <c r="O665" s="74" t="n"/>
      <c r="P665" s="74" t="n"/>
      <c r="Q665" s="100" t="n"/>
      <c r="R665" s="110" t="n"/>
      <c r="S665" s="75">
        <f>IF(B665="","",SUMIFS('Payments'!$N$6:$N$1005,'Payments'!$B$6:$B$1005,B665))</f>
        <v/>
      </c>
      <c r="T665" s="111">
        <f>IF(OR(B665="",K665=0),"",S665/K665)</f>
        <v/>
      </c>
      <c r="U665" s="78">
        <f>IF(V665="","",IF(V665=2,"⚠️ Paying ahead of work","✓ OK"))</f>
        <v/>
      </c>
      <c r="V665" s="79">
        <f>IF(T665="","",IF(T665-R665&gt;OverpayTol,2,0))</f>
        <v/>
      </c>
      <c r="W665" s="112">
        <f>IF(V665=2,AsOf,"")</f>
        <v/>
      </c>
      <c r="X665" s="79">
        <f>IF(W665="","",1)</f>
        <v/>
      </c>
      <c r="Y665" s="79">
        <f>IF(X665="","","Paying ahead of work: "&amp;B665&amp;" — paid "&amp;ROUND(T665*100,0)&amp;"%, work done "&amp;ROUND(R665*100,0)&amp;"%")</f>
        <v/>
      </c>
      <c r="AA665" s="72" t="n"/>
      <c r="AB665" s="109" t="n"/>
      <c r="AC665" s="113" t="n"/>
      <c r="AD665" s="74" t="n"/>
      <c r="AE665" s="109" t="n"/>
      <c r="AF665" s="74" t="n"/>
      <c r="AG665" s="112">
        <f>IF(AND(AA665&lt;&gt;"",AD665="Yes",AF665&lt;&gt;"Yes",AE665&lt;&gt;""),AE665,"")</f>
        <v/>
      </c>
      <c r="AH665" s="79">
        <f>IF(AG665="","",IF(AG665&lt;AsOf,1,IF(AG665&lt;=AsOf+AlertDays,2,IF(AG665&lt;=AsOf+2*AlertDays,3,""))))</f>
        <v/>
      </c>
      <c r="AI665" s="79">
        <f>IF(AH665="","","Follow up with "&amp;AA665&amp;": "&amp;AC665)</f>
        <v/>
      </c>
    </row>
    <row r="666" ht="20" customHeight="1">
      <c r="B666" s="72" t="n"/>
      <c r="C666" s="72" t="n"/>
      <c r="D666" s="72" t="n"/>
      <c r="E666" s="72" t="n"/>
      <c r="F666" s="72" t="n"/>
      <c r="G666" s="72" t="n"/>
      <c r="H666" s="72" t="n"/>
      <c r="I666" s="73" t="n"/>
      <c r="J666" s="75">
        <f>IF(B666="","",SUMIFS('Change Orders'!$J$7:$J$1006,'Change Orders'!$E$7:$E$1006,B666,'Change Orders'!$L$7:$L$1006,"Approved"))</f>
        <v/>
      </c>
      <c r="K666" s="76">
        <f>IF(B666="","",I666+J666)</f>
        <v/>
      </c>
      <c r="L666" s="74" t="n"/>
      <c r="M666" s="109" t="n"/>
      <c r="N666" s="109" t="n"/>
      <c r="O666" s="74" t="n"/>
      <c r="P666" s="74" t="n"/>
      <c r="Q666" s="100" t="n"/>
      <c r="R666" s="110" t="n"/>
      <c r="S666" s="75">
        <f>IF(B666="","",SUMIFS('Payments'!$N$6:$N$1005,'Payments'!$B$6:$B$1005,B666))</f>
        <v/>
      </c>
      <c r="T666" s="111">
        <f>IF(OR(B666="",K666=0),"",S666/K666)</f>
        <v/>
      </c>
      <c r="U666" s="78">
        <f>IF(V666="","",IF(V666=2,"⚠️ Paying ahead of work","✓ OK"))</f>
        <v/>
      </c>
      <c r="V666" s="79">
        <f>IF(T666="","",IF(T666-R666&gt;OverpayTol,2,0))</f>
        <v/>
      </c>
      <c r="W666" s="112">
        <f>IF(V666=2,AsOf,"")</f>
        <v/>
      </c>
      <c r="X666" s="79">
        <f>IF(W666="","",1)</f>
        <v/>
      </c>
      <c r="Y666" s="79">
        <f>IF(X666="","","Paying ahead of work: "&amp;B666&amp;" — paid "&amp;ROUND(T666*100,0)&amp;"%, work done "&amp;ROUND(R666*100,0)&amp;"%")</f>
        <v/>
      </c>
      <c r="AA666" s="72" t="n"/>
      <c r="AB666" s="109" t="n"/>
      <c r="AC666" s="113" t="n"/>
      <c r="AD666" s="74" t="n"/>
      <c r="AE666" s="109" t="n"/>
      <c r="AF666" s="74" t="n"/>
      <c r="AG666" s="112">
        <f>IF(AND(AA666&lt;&gt;"",AD666="Yes",AF666&lt;&gt;"Yes",AE666&lt;&gt;""),AE666,"")</f>
        <v/>
      </c>
      <c r="AH666" s="79">
        <f>IF(AG666="","",IF(AG666&lt;AsOf,1,IF(AG666&lt;=AsOf+AlertDays,2,IF(AG666&lt;=AsOf+2*AlertDays,3,""))))</f>
        <v/>
      </c>
      <c r="AI666" s="79">
        <f>IF(AH666="","","Follow up with "&amp;AA666&amp;": "&amp;AC666)</f>
        <v/>
      </c>
    </row>
    <row r="667" ht="20" customHeight="1">
      <c r="B667" s="72" t="n"/>
      <c r="C667" s="72" t="n"/>
      <c r="D667" s="72" t="n"/>
      <c r="E667" s="72" t="n"/>
      <c r="F667" s="72" t="n"/>
      <c r="G667" s="72" t="n"/>
      <c r="H667" s="72" t="n"/>
      <c r="I667" s="73" t="n"/>
      <c r="J667" s="75">
        <f>IF(B667="","",SUMIFS('Change Orders'!$J$7:$J$1006,'Change Orders'!$E$7:$E$1006,B667,'Change Orders'!$L$7:$L$1006,"Approved"))</f>
        <v/>
      </c>
      <c r="K667" s="76">
        <f>IF(B667="","",I667+J667)</f>
        <v/>
      </c>
      <c r="L667" s="74" t="n"/>
      <c r="M667" s="109" t="n"/>
      <c r="N667" s="109" t="n"/>
      <c r="O667" s="74" t="n"/>
      <c r="P667" s="74" t="n"/>
      <c r="Q667" s="100" t="n"/>
      <c r="R667" s="110" t="n"/>
      <c r="S667" s="75">
        <f>IF(B667="","",SUMIFS('Payments'!$N$6:$N$1005,'Payments'!$B$6:$B$1005,B667))</f>
        <v/>
      </c>
      <c r="T667" s="111">
        <f>IF(OR(B667="",K667=0),"",S667/K667)</f>
        <v/>
      </c>
      <c r="U667" s="78">
        <f>IF(V667="","",IF(V667=2,"⚠️ Paying ahead of work","✓ OK"))</f>
        <v/>
      </c>
      <c r="V667" s="79">
        <f>IF(T667="","",IF(T667-R667&gt;OverpayTol,2,0))</f>
        <v/>
      </c>
      <c r="W667" s="112">
        <f>IF(V667=2,AsOf,"")</f>
        <v/>
      </c>
      <c r="X667" s="79">
        <f>IF(W667="","",1)</f>
        <v/>
      </c>
      <c r="Y667" s="79">
        <f>IF(X667="","","Paying ahead of work: "&amp;B667&amp;" — paid "&amp;ROUND(T667*100,0)&amp;"%, work done "&amp;ROUND(R667*100,0)&amp;"%")</f>
        <v/>
      </c>
      <c r="AA667" s="72" t="n"/>
      <c r="AB667" s="109" t="n"/>
      <c r="AC667" s="113" t="n"/>
      <c r="AD667" s="74" t="n"/>
      <c r="AE667" s="109" t="n"/>
      <c r="AF667" s="74" t="n"/>
      <c r="AG667" s="112">
        <f>IF(AND(AA667&lt;&gt;"",AD667="Yes",AF667&lt;&gt;"Yes",AE667&lt;&gt;""),AE667,"")</f>
        <v/>
      </c>
      <c r="AH667" s="79">
        <f>IF(AG667="","",IF(AG667&lt;AsOf,1,IF(AG667&lt;=AsOf+AlertDays,2,IF(AG667&lt;=AsOf+2*AlertDays,3,""))))</f>
        <v/>
      </c>
      <c r="AI667" s="79">
        <f>IF(AH667="","","Follow up with "&amp;AA667&amp;": "&amp;AC667)</f>
        <v/>
      </c>
    </row>
    <row r="668" ht="20" customHeight="1">
      <c r="B668" s="72" t="n"/>
      <c r="C668" s="72" t="n"/>
      <c r="D668" s="72" t="n"/>
      <c r="E668" s="72" t="n"/>
      <c r="F668" s="72" t="n"/>
      <c r="G668" s="72" t="n"/>
      <c r="H668" s="72" t="n"/>
      <c r="I668" s="73" t="n"/>
      <c r="J668" s="75">
        <f>IF(B668="","",SUMIFS('Change Orders'!$J$7:$J$1006,'Change Orders'!$E$7:$E$1006,B668,'Change Orders'!$L$7:$L$1006,"Approved"))</f>
        <v/>
      </c>
      <c r="K668" s="76">
        <f>IF(B668="","",I668+J668)</f>
        <v/>
      </c>
      <c r="L668" s="74" t="n"/>
      <c r="M668" s="109" t="n"/>
      <c r="N668" s="109" t="n"/>
      <c r="O668" s="74" t="n"/>
      <c r="P668" s="74" t="n"/>
      <c r="Q668" s="100" t="n"/>
      <c r="R668" s="110" t="n"/>
      <c r="S668" s="75">
        <f>IF(B668="","",SUMIFS('Payments'!$N$6:$N$1005,'Payments'!$B$6:$B$1005,B668))</f>
        <v/>
      </c>
      <c r="T668" s="111">
        <f>IF(OR(B668="",K668=0),"",S668/K668)</f>
        <v/>
      </c>
      <c r="U668" s="78">
        <f>IF(V668="","",IF(V668=2,"⚠️ Paying ahead of work","✓ OK"))</f>
        <v/>
      </c>
      <c r="V668" s="79">
        <f>IF(T668="","",IF(T668-R668&gt;OverpayTol,2,0))</f>
        <v/>
      </c>
      <c r="W668" s="112">
        <f>IF(V668=2,AsOf,"")</f>
        <v/>
      </c>
      <c r="X668" s="79">
        <f>IF(W668="","",1)</f>
        <v/>
      </c>
      <c r="Y668" s="79">
        <f>IF(X668="","","Paying ahead of work: "&amp;B668&amp;" — paid "&amp;ROUND(T668*100,0)&amp;"%, work done "&amp;ROUND(R668*100,0)&amp;"%")</f>
        <v/>
      </c>
      <c r="AA668" s="72" t="n"/>
      <c r="AB668" s="109" t="n"/>
      <c r="AC668" s="113" t="n"/>
      <c r="AD668" s="74" t="n"/>
      <c r="AE668" s="109" t="n"/>
      <c r="AF668" s="74" t="n"/>
      <c r="AG668" s="112">
        <f>IF(AND(AA668&lt;&gt;"",AD668="Yes",AF668&lt;&gt;"Yes",AE668&lt;&gt;""),AE668,"")</f>
        <v/>
      </c>
      <c r="AH668" s="79">
        <f>IF(AG668="","",IF(AG668&lt;AsOf,1,IF(AG668&lt;=AsOf+AlertDays,2,IF(AG668&lt;=AsOf+2*AlertDays,3,""))))</f>
        <v/>
      </c>
      <c r="AI668" s="79">
        <f>IF(AH668="","","Follow up with "&amp;AA668&amp;": "&amp;AC668)</f>
        <v/>
      </c>
    </row>
    <row r="669" ht="20" customHeight="1">
      <c r="B669" s="72" t="n"/>
      <c r="C669" s="72" t="n"/>
      <c r="D669" s="72" t="n"/>
      <c r="E669" s="72" t="n"/>
      <c r="F669" s="72" t="n"/>
      <c r="G669" s="72" t="n"/>
      <c r="H669" s="72" t="n"/>
      <c r="I669" s="73" t="n"/>
      <c r="J669" s="75">
        <f>IF(B669="","",SUMIFS('Change Orders'!$J$7:$J$1006,'Change Orders'!$E$7:$E$1006,B669,'Change Orders'!$L$7:$L$1006,"Approved"))</f>
        <v/>
      </c>
      <c r="K669" s="76">
        <f>IF(B669="","",I669+J669)</f>
        <v/>
      </c>
      <c r="L669" s="74" t="n"/>
      <c r="M669" s="109" t="n"/>
      <c r="N669" s="109" t="n"/>
      <c r="O669" s="74" t="n"/>
      <c r="P669" s="74" t="n"/>
      <c r="Q669" s="100" t="n"/>
      <c r="R669" s="110" t="n"/>
      <c r="S669" s="75">
        <f>IF(B669="","",SUMIFS('Payments'!$N$6:$N$1005,'Payments'!$B$6:$B$1005,B669))</f>
        <v/>
      </c>
      <c r="T669" s="111">
        <f>IF(OR(B669="",K669=0),"",S669/K669)</f>
        <v/>
      </c>
      <c r="U669" s="78">
        <f>IF(V669="","",IF(V669=2,"⚠️ Paying ahead of work","✓ OK"))</f>
        <v/>
      </c>
      <c r="V669" s="79">
        <f>IF(T669="","",IF(T669-R669&gt;OverpayTol,2,0))</f>
        <v/>
      </c>
      <c r="W669" s="112">
        <f>IF(V669=2,AsOf,"")</f>
        <v/>
      </c>
      <c r="X669" s="79">
        <f>IF(W669="","",1)</f>
        <v/>
      </c>
      <c r="Y669" s="79">
        <f>IF(X669="","","Paying ahead of work: "&amp;B669&amp;" — paid "&amp;ROUND(T669*100,0)&amp;"%, work done "&amp;ROUND(R669*100,0)&amp;"%")</f>
        <v/>
      </c>
      <c r="AA669" s="72" t="n"/>
      <c r="AB669" s="109" t="n"/>
      <c r="AC669" s="113" t="n"/>
      <c r="AD669" s="74" t="n"/>
      <c r="AE669" s="109" t="n"/>
      <c r="AF669" s="74" t="n"/>
      <c r="AG669" s="112">
        <f>IF(AND(AA669&lt;&gt;"",AD669="Yes",AF669&lt;&gt;"Yes",AE669&lt;&gt;""),AE669,"")</f>
        <v/>
      </c>
      <c r="AH669" s="79">
        <f>IF(AG669="","",IF(AG669&lt;AsOf,1,IF(AG669&lt;=AsOf+AlertDays,2,IF(AG669&lt;=AsOf+2*AlertDays,3,""))))</f>
        <v/>
      </c>
      <c r="AI669" s="79">
        <f>IF(AH669="","","Follow up with "&amp;AA669&amp;": "&amp;AC669)</f>
        <v/>
      </c>
    </row>
    <row r="670" ht="20" customHeight="1">
      <c r="B670" s="72" t="n"/>
      <c r="C670" s="72" t="n"/>
      <c r="D670" s="72" t="n"/>
      <c r="E670" s="72" t="n"/>
      <c r="F670" s="72" t="n"/>
      <c r="G670" s="72" t="n"/>
      <c r="H670" s="72" t="n"/>
      <c r="I670" s="73" t="n"/>
      <c r="J670" s="75">
        <f>IF(B670="","",SUMIFS('Change Orders'!$J$7:$J$1006,'Change Orders'!$E$7:$E$1006,B670,'Change Orders'!$L$7:$L$1006,"Approved"))</f>
        <v/>
      </c>
      <c r="K670" s="76">
        <f>IF(B670="","",I670+J670)</f>
        <v/>
      </c>
      <c r="L670" s="74" t="n"/>
      <c r="M670" s="109" t="n"/>
      <c r="N670" s="109" t="n"/>
      <c r="O670" s="74" t="n"/>
      <c r="P670" s="74" t="n"/>
      <c r="Q670" s="100" t="n"/>
      <c r="R670" s="110" t="n"/>
      <c r="S670" s="75">
        <f>IF(B670="","",SUMIFS('Payments'!$N$6:$N$1005,'Payments'!$B$6:$B$1005,B670))</f>
        <v/>
      </c>
      <c r="T670" s="111">
        <f>IF(OR(B670="",K670=0),"",S670/K670)</f>
        <v/>
      </c>
      <c r="U670" s="78">
        <f>IF(V670="","",IF(V670=2,"⚠️ Paying ahead of work","✓ OK"))</f>
        <v/>
      </c>
      <c r="V670" s="79">
        <f>IF(T670="","",IF(T670-R670&gt;OverpayTol,2,0))</f>
        <v/>
      </c>
      <c r="W670" s="112">
        <f>IF(V670=2,AsOf,"")</f>
        <v/>
      </c>
      <c r="X670" s="79">
        <f>IF(W670="","",1)</f>
        <v/>
      </c>
      <c r="Y670" s="79">
        <f>IF(X670="","","Paying ahead of work: "&amp;B670&amp;" — paid "&amp;ROUND(T670*100,0)&amp;"%, work done "&amp;ROUND(R670*100,0)&amp;"%")</f>
        <v/>
      </c>
      <c r="AA670" s="72" t="n"/>
      <c r="AB670" s="109" t="n"/>
      <c r="AC670" s="113" t="n"/>
      <c r="AD670" s="74" t="n"/>
      <c r="AE670" s="109" t="n"/>
      <c r="AF670" s="74" t="n"/>
      <c r="AG670" s="112">
        <f>IF(AND(AA670&lt;&gt;"",AD670="Yes",AF670&lt;&gt;"Yes",AE670&lt;&gt;""),AE670,"")</f>
        <v/>
      </c>
      <c r="AH670" s="79">
        <f>IF(AG670="","",IF(AG670&lt;AsOf,1,IF(AG670&lt;=AsOf+AlertDays,2,IF(AG670&lt;=AsOf+2*AlertDays,3,""))))</f>
        <v/>
      </c>
      <c r="AI670" s="79">
        <f>IF(AH670="","","Follow up with "&amp;AA670&amp;": "&amp;AC670)</f>
        <v/>
      </c>
    </row>
    <row r="671" ht="20" customHeight="1">
      <c r="B671" s="72" t="n"/>
      <c r="C671" s="72" t="n"/>
      <c r="D671" s="72" t="n"/>
      <c r="E671" s="72" t="n"/>
      <c r="F671" s="72" t="n"/>
      <c r="G671" s="72" t="n"/>
      <c r="H671" s="72" t="n"/>
      <c r="I671" s="73" t="n"/>
      <c r="J671" s="75">
        <f>IF(B671="","",SUMIFS('Change Orders'!$J$7:$J$1006,'Change Orders'!$E$7:$E$1006,B671,'Change Orders'!$L$7:$L$1006,"Approved"))</f>
        <v/>
      </c>
      <c r="K671" s="76">
        <f>IF(B671="","",I671+J671)</f>
        <v/>
      </c>
      <c r="L671" s="74" t="n"/>
      <c r="M671" s="109" t="n"/>
      <c r="N671" s="109" t="n"/>
      <c r="O671" s="74" t="n"/>
      <c r="P671" s="74" t="n"/>
      <c r="Q671" s="100" t="n"/>
      <c r="R671" s="110" t="n"/>
      <c r="S671" s="75">
        <f>IF(B671="","",SUMIFS('Payments'!$N$6:$N$1005,'Payments'!$B$6:$B$1005,B671))</f>
        <v/>
      </c>
      <c r="T671" s="111">
        <f>IF(OR(B671="",K671=0),"",S671/K671)</f>
        <v/>
      </c>
      <c r="U671" s="78">
        <f>IF(V671="","",IF(V671=2,"⚠️ Paying ahead of work","✓ OK"))</f>
        <v/>
      </c>
      <c r="V671" s="79">
        <f>IF(T671="","",IF(T671-R671&gt;OverpayTol,2,0))</f>
        <v/>
      </c>
      <c r="W671" s="112">
        <f>IF(V671=2,AsOf,"")</f>
        <v/>
      </c>
      <c r="X671" s="79">
        <f>IF(W671="","",1)</f>
        <v/>
      </c>
      <c r="Y671" s="79">
        <f>IF(X671="","","Paying ahead of work: "&amp;B671&amp;" — paid "&amp;ROUND(T671*100,0)&amp;"%, work done "&amp;ROUND(R671*100,0)&amp;"%")</f>
        <v/>
      </c>
      <c r="AA671" s="72" t="n"/>
      <c r="AB671" s="109" t="n"/>
      <c r="AC671" s="113" t="n"/>
      <c r="AD671" s="74" t="n"/>
      <c r="AE671" s="109" t="n"/>
      <c r="AF671" s="74" t="n"/>
      <c r="AG671" s="112">
        <f>IF(AND(AA671&lt;&gt;"",AD671="Yes",AF671&lt;&gt;"Yes",AE671&lt;&gt;""),AE671,"")</f>
        <v/>
      </c>
      <c r="AH671" s="79">
        <f>IF(AG671="","",IF(AG671&lt;AsOf,1,IF(AG671&lt;=AsOf+AlertDays,2,IF(AG671&lt;=AsOf+2*AlertDays,3,""))))</f>
        <v/>
      </c>
      <c r="AI671" s="79">
        <f>IF(AH671="","","Follow up with "&amp;AA671&amp;": "&amp;AC671)</f>
        <v/>
      </c>
    </row>
    <row r="672" ht="20" customHeight="1">
      <c r="B672" s="72" t="n"/>
      <c r="C672" s="72" t="n"/>
      <c r="D672" s="72" t="n"/>
      <c r="E672" s="72" t="n"/>
      <c r="F672" s="72" t="n"/>
      <c r="G672" s="72" t="n"/>
      <c r="H672" s="72" t="n"/>
      <c r="I672" s="73" t="n"/>
      <c r="J672" s="75">
        <f>IF(B672="","",SUMIFS('Change Orders'!$J$7:$J$1006,'Change Orders'!$E$7:$E$1006,B672,'Change Orders'!$L$7:$L$1006,"Approved"))</f>
        <v/>
      </c>
      <c r="K672" s="76">
        <f>IF(B672="","",I672+J672)</f>
        <v/>
      </c>
      <c r="L672" s="74" t="n"/>
      <c r="M672" s="109" t="n"/>
      <c r="N672" s="109" t="n"/>
      <c r="O672" s="74" t="n"/>
      <c r="P672" s="74" t="n"/>
      <c r="Q672" s="100" t="n"/>
      <c r="R672" s="110" t="n"/>
      <c r="S672" s="75">
        <f>IF(B672="","",SUMIFS('Payments'!$N$6:$N$1005,'Payments'!$B$6:$B$1005,B672))</f>
        <v/>
      </c>
      <c r="T672" s="111">
        <f>IF(OR(B672="",K672=0),"",S672/K672)</f>
        <v/>
      </c>
      <c r="U672" s="78">
        <f>IF(V672="","",IF(V672=2,"⚠️ Paying ahead of work","✓ OK"))</f>
        <v/>
      </c>
      <c r="V672" s="79">
        <f>IF(T672="","",IF(T672-R672&gt;OverpayTol,2,0))</f>
        <v/>
      </c>
      <c r="W672" s="112">
        <f>IF(V672=2,AsOf,"")</f>
        <v/>
      </c>
      <c r="X672" s="79">
        <f>IF(W672="","",1)</f>
        <v/>
      </c>
      <c r="Y672" s="79">
        <f>IF(X672="","","Paying ahead of work: "&amp;B672&amp;" — paid "&amp;ROUND(T672*100,0)&amp;"%, work done "&amp;ROUND(R672*100,0)&amp;"%")</f>
        <v/>
      </c>
      <c r="AA672" s="72" t="n"/>
      <c r="AB672" s="109" t="n"/>
      <c r="AC672" s="113" t="n"/>
      <c r="AD672" s="74" t="n"/>
      <c r="AE672" s="109" t="n"/>
      <c r="AF672" s="74" t="n"/>
      <c r="AG672" s="112">
        <f>IF(AND(AA672&lt;&gt;"",AD672="Yes",AF672&lt;&gt;"Yes",AE672&lt;&gt;""),AE672,"")</f>
        <v/>
      </c>
      <c r="AH672" s="79">
        <f>IF(AG672="","",IF(AG672&lt;AsOf,1,IF(AG672&lt;=AsOf+AlertDays,2,IF(AG672&lt;=AsOf+2*AlertDays,3,""))))</f>
        <v/>
      </c>
      <c r="AI672" s="79">
        <f>IF(AH672="","","Follow up with "&amp;AA672&amp;": "&amp;AC672)</f>
        <v/>
      </c>
    </row>
    <row r="673" ht="20" customHeight="1">
      <c r="B673" s="72" t="n"/>
      <c r="C673" s="72" t="n"/>
      <c r="D673" s="72" t="n"/>
      <c r="E673" s="72" t="n"/>
      <c r="F673" s="72" t="n"/>
      <c r="G673" s="72" t="n"/>
      <c r="H673" s="72" t="n"/>
      <c r="I673" s="73" t="n"/>
      <c r="J673" s="75">
        <f>IF(B673="","",SUMIFS('Change Orders'!$J$7:$J$1006,'Change Orders'!$E$7:$E$1006,B673,'Change Orders'!$L$7:$L$1006,"Approved"))</f>
        <v/>
      </c>
      <c r="K673" s="76">
        <f>IF(B673="","",I673+J673)</f>
        <v/>
      </c>
      <c r="L673" s="74" t="n"/>
      <c r="M673" s="109" t="n"/>
      <c r="N673" s="109" t="n"/>
      <c r="O673" s="74" t="n"/>
      <c r="P673" s="74" t="n"/>
      <c r="Q673" s="100" t="n"/>
      <c r="R673" s="110" t="n"/>
      <c r="S673" s="75">
        <f>IF(B673="","",SUMIFS('Payments'!$N$6:$N$1005,'Payments'!$B$6:$B$1005,B673))</f>
        <v/>
      </c>
      <c r="T673" s="111">
        <f>IF(OR(B673="",K673=0),"",S673/K673)</f>
        <v/>
      </c>
      <c r="U673" s="78">
        <f>IF(V673="","",IF(V673=2,"⚠️ Paying ahead of work","✓ OK"))</f>
        <v/>
      </c>
      <c r="V673" s="79">
        <f>IF(T673="","",IF(T673-R673&gt;OverpayTol,2,0))</f>
        <v/>
      </c>
      <c r="W673" s="112">
        <f>IF(V673=2,AsOf,"")</f>
        <v/>
      </c>
      <c r="X673" s="79">
        <f>IF(W673="","",1)</f>
        <v/>
      </c>
      <c r="Y673" s="79">
        <f>IF(X673="","","Paying ahead of work: "&amp;B673&amp;" — paid "&amp;ROUND(T673*100,0)&amp;"%, work done "&amp;ROUND(R673*100,0)&amp;"%")</f>
        <v/>
      </c>
      <c r="AA673" s="72" t="n"/>
      <c r="AB673" s="109" t="n"/>
      <c r="AC673" s="113" t="n"/>
      <c r="AD673" s="74" t="n"/>
      <c r="AE673" s="109" t="n"/>
      <c r="AF673" s="74" t="n"/>
      <c r="AG673" s="112">
        <f>IF(AND(AA673&lt;&gt;"",AD673="Yes",AF673&lt;&gt;"Yes",AE673&lt;&gt;""),AE673,"")</f>
        <v/>
      </c>
      <c r="AH673" s="79">
        <f>IF(AG673="","",IF(AG673&lt;AsOf,1,IF(AG673&lt;=AsOf+AlertDays,2,IF(AG673&lt;=AsOf+2*AlertDays,3,""))))</f>
        <v/>
      </c>
      <c r="AI673" s="79">
        <f>IF(AH673="","","Follow up with "&amp;AA673&amp;": "&amp;AC673)</f>
        <v/>
      </c>
    </row>
    <row r="674" ht="20" customHeight="1">
      <c r="B674" s="72" t="n"/>
      <c r="C674" s="72" t="n"/>
      <c r="D674" s="72" t="n"/>
      <c r="E674" s="72" t="n"/>
      <c r="F674" s="72" t="n"/>
      <c r="G674" s="72" t="n"/>
      <c r="H674" s="72" t="n"/>
      <c r="I674" s="73" t="n"/>
      <c r="J674" s="75">
        <f>IF(B674="","",SUMIFS('Change Orders'!$J$7:$J$1006,'Change Orders'!$E$7:$E$1006,B674,'Change Orders'!$L$7:$L$1006,"Approved"))</f>
        <v/>
      </c>
      <c r="K674" s="76">
        <f>IF(B674="","",I674+J674)</f>
        <v/>
      </c>
      <c r="L674" s="74" t="n"/>
      <c r="M674" s="109" t="n"/>
      <c r="N674" s="109" t="n"/>
      <c r="O674" s="74" t="n"/>
      <c r="P674" s="74" t="n"/>
      <c r="Q674" s="100" t="n"/>
      <c r="R674" s="110" t="n"/>
      <c r="S674" s="75">
        <f>IF(B674="","",SUMIFS('Payments'!$N$6:$N$1005,'Payments'!$B$6:$B$1005,B674))</f>
        <v/>
      </c>
      <c r="T674" s="111">
        <f>IF(OR(B674="",K674=0),"",S674/K674)</f>
        <v/>
      </c>
      <c r="U674" s="78">
        <f>IF(V674="","",IF(V674=2,"⚠️ Paying ahead of work","✓ OK"))</f>
        <v/>
      </c>
      <c r="V674" s="79">
        <f>IF(T674="","",IF(T674-R674&gt;OverpayTol,2,0))</f>
        <v/>
      </c>
      <c r="W674" s="112">
        <f>IF(V674=2,AsOf,"")</f>
        <v/>
      </c>
      <c r="X674" s="79">
        <f>IF(W674="","",1)</f>
        <v/>
      </c>
      <c r="Y674" s="79">
        <f>IF(X674="","","Paying ahead of work: "&amp;B674&amp;" — paid "&amp;ROUND(T674*100,0)&amp;"%, work done "&amp;ROUND(R674*100,0)&amp;"%")</f>
        <v/>
      </c>
      <c r="AA674" s="72" t="n"/>
      <c r="AB674" s="109" t="n"/>
      <c r="AC674" s="113" t="n"/>
      <c r="AD674" s="74" t="n"/>
      <c r="AE674" s="109" t="n"/>
      <c r="AF674" s="74" t="n"/>
      <c r="AG674" s="112">
        <f>IF(AND(AA674&lt;&gt;"",AD674="Yes",AF674&lt;&gt;"Yes",AE674&lt;&gt;""),AE674,"")</f>
        <v/>
      </c>
      <c r="AH674" s="79">
        <f>IF(AG674="","",IF(AG674&lt;AsOf,1,IF(AG674&lt;=AsOf+AlertDays,2,IF(AG674&lt;=AsOf+2*AlertDays,3,""))))</f>
        <v/>
      </c>
      <c r="AI674" s="79">
        <f>IF(AH674="","","Follow up with "&amp;AA674&amp;": "&amp;AC674)</f>
        <v/>
      </c>
    </row>
    <row r="675" ht="20" customHeight="1">
      <c r="B675" s="72" t="n"/>
      <c r="C675" s="72" t="n"/>
      <c r="D675" s="72" t="n"/>
      <c r="E675" s="72" t="n"/>
      <c r="F675" s="72" t="n"/>
      <c r="G675" s="72" t="n"/>
      <c r="H675" s="72" t="n"/>
      <c r="I675" s="73" t="n"/>
      <c r="J675" s="75">
        <f>IF(B675="","",SUMIFS('Change Orders'!$J$7:$J$1006,'Change Orders'!$E$7:$E$1006,B675,'Change Orders'!$L$7:$L$1006,"Approved"))</f>
        <v/>
      </c>
      <c r="K675" s="76">
        <f>IF(B675="","",I675+J675)</f>
        <v/>
      </c>
      <c r="L675" s="74" t="n"/>
      <c r="M675" s="109" t="n"/>
      <c r="N675" s="109" t="n"/>
      <c r="O675" s="74" t="n"/>
      <c r="P675" s="74" t="n"/>
      <c r="Q675" s="100" t="n"/>
      <c r="R675" s="110" t="n"/>
      <c r="S675" s="75">
        <f>IF(B675="","",SUMIFS('Payments'!$N$6:$N$1005,'Payments'!$B$6:$B$1005,B675))</f>
        <v/>
      </c>
      <c r="T675" s="111">
        <f>IF(OR(B675="",K675=0),"",S675/K675)</f>
        <v/>
      </c>
      <c r="U675" s="78">
        <f>IF(V675="","",IF(V675=2,"⚠️ Paying ahead of work","✓ OK"))</f>
        <v/>
      </c>
      <c r="V675" s="79">
        <f>IF(T675="","",IF(T675-R675&gt;OverpayTol,2,0))</f>
        <v/>
      </c>
      <c r="W675" s="112">
        <f>IF(V675=2,AsOf,"")</f>
        <v/>
      </c>
      <c r="X675" s="79">
        <f>IF(W675="","",1)</f>
        <v/>
      </c>
      <c r="Y675" s="79">
        <f>IF(X675="","","Paying ahead of work: "&amp;B675&amp;" — paid "&amp;ROUND(T675*100,0)&amp;"%, work done "&amp;ROUND(R675*100,0)&amp;"%")</f>
        <v/>
      </c>
      <c r="AA675" s="72" t="n"/>
      <c r="AB675" s="109" t="n"/>
      <c r="AC675" s="113" t="n"/>
      <c r="AD675" s="74" t="n"/>
      <c r="AE675" s="109" t="n"/>
      <c r="AF675" s="74" t="n"/>
      <c r="AG675" s="112">
        <f>IF(AND(AA675&lt;&gt;"",AD675="Yes",AF675&lt;&gt;"Yes",AE675&lt;&gt;""),AE675,"")</f>
        <v/>
      </c>
      <c r="AH675" s="79">
        <f>IF(AG675="","",IF(AG675&lt;AsOf,1,IF(AG675&lt;=AsOf+AlertDays,2,IF(AG675&lt;=AsOf+2*AlertDays,3,""))))</f>
        <v/>
      </c>
      <c r="AI675" s="79">
        <f>IF(AH675="","","Follow up with "&amp;AA675&amp;": "&amp;AC675)</f>
        <v/>
      </c>
    </row>
    <row r="676" ht="20" customHeight="1">
      <c r="B676" s="72" t="n"/>
      <c r="C676" s="72" t="n"/>
      <c r="D676" s="72" t="n"/>
      <c r="E676" s="72" t="n"/>
      <c r="F676" s="72" t="n"/>
      <c r="G676" s="72" t="n"/>
      <c r="H676" s="72" t="n"/>
      <c r="I676" s="73" t="n"/>
      <c r="J676" s="75">
        <f>IF(B676="","",SUMIFS('Change Orders'!$J$7:$J$1006,'Change Orders'!$E$7:$E$1006,B676,'Change Orders'!$L$7:$L$1006,"Approved"))</f>
        <v/>
      </c>
      <c r="K676" s="76">
        <f>IF(B676="","",I676+J676)</f>
        <v/>
      </c>
      <c r="L676" s="74" t="n"/>
      <c r="M676" s="109" t="n"/>
      <c r="N676" s="109" t="n"/>
      <c r="O676" s="74" t="n"/>
      <c r="P676" s="74" t="n"/>
      <c r="Q676" s="100" t="n"/>
      <c r="R676" s="110" t="n"/>
      <c r="S676" s="75">
        <f>IF(B676="","",SUMIFS('Payments'!$N$6:$N$1005,'Payments'!$B$6:$B$1005,B676))</f>
        <v/>
      </c>
      <c r="T676" s="111">
        <f>IF(OR(B676="",K676=0),"",S676/K676)</f>
        <v/>
      </c>
      <c r="U676" s="78">
        <f>IF(V676="","",IF(V676=2,"⚠️ Paying ahead of work","✓ OK"))</f>
        <v/>
      </c>
      <c r="V676" s="79">
        <f>IF(T676="","",IF(T676-R676&gt;OverpayTol,2,0))</f>
        <v/>
      </c>
      <c r="W676" s="112">
        <f>IF(V676=2,AsOf,"")</f>
        <v/>
      </c>
      <c r="X676" s="79">
        <f>IF(W676="","",1)</f>
        <v/>
      </c>
      <c r="Y676" s="79">
        <f>IF(X676="","","Paying ahead of work: "&amp;B676&amp;" — paid "&amp;ROUND(T676*100,0)&amp;"%, work done "&amp;ROUND(R676*100,0)&amp;"%")</f>
        <v/>
      </c>
      <c r="AA676" s="72" t="n"/>
      <c r="AB676" s="109" t="n"/>
      <c r="AC676" s="113" t="n"/>
      <c r="AD676" s="74" t="n"/>
      <c r="AE676" s="109" t="n"/>
      <c r="AF676" s="74" t="n"/>
      <c r="AG676" s="112">
        <f>IF(AND(AA676&lt;&gt;"",AD676="Yes",AF676&lt;&gt;"Yes",AE676&lt;&gt;""),AE676,"")</f>
        <v/>
      </c>
      <c r="AH676" s="79">
        <f>IF(AG676="","",IF(AG676&lt;AsOf,1,IF(AG676&lt;=AsOf+AlertDays,2,IF(AG676&lt;=AsOf+2*AlertDays,3,""))))</f>
        <v/>
      </c>
      <c r="AI676" s="79">
        <f>IF(AH676="","","Follow up with "&amp;AA676&amp;": "&amp;AC676)</f>
        <v/>
      </c>
    </row>
    <row r="677" ht="20" customHeight="1">
      <c r="B677" s="72" t="n"/>
      <c r="C677" s="72" t="n"/>
      <c r="D677" s="72" t="n"/>
      <c r="E677" s="72" t="n"/>
      <c r="F677" s="72" t="n"/>
      <c r="G677" s="72" t="n"/>
      <c r="H677" s="72" t="n"/>
      <c r="I677" s="73" t="n"/>
      <c r="J677" s="75">
        <f>IF(B677="","",SUMIFS('Change Orders'!$J$7:$J$1006,'Change Orders'!$E$7:$E$1006,B677,'Change Orders'!$L$7:$L$1006,"Approved"))</f>
        <v/>
      </c>
      <c r="K677" s="76">
        <f>IF(B677="","",I677+J677)</f>
        <v/>
      </c>
      <c r="L677" s="74" t="n"/>
      <c r="M677" s="109" t="n"/>
      <c r="N677" s="109" t="n"/>
      <c r="O677" s="74" t="n"/>
      <c r="P677" s="74" t="n"/>
      <c r="Q677" s="100" t="n"/>
      <c r="R677" s="110" t="n"/>
      <c r="S677" s="75">
        <f>IF(B677="","",SUMIFS('Payments'!$N$6:$N$1005,'Payments'!$B$6:$B$1005,B677))</f>
        <v/>
      </c>
      <c r="T677" s="111">
        <f>IF(OR(B677="",K677=0),"",S677/K677)</f>
        <v/>
      </c>
      <c r="U677" s="78">
        <f>IF(V677="","",IF(V677=2,"⚠️ Paying ahead of work","✓ OK"))</f>
        <v/>
      </c>
      <c r="V677" s="79">
        <f>IF(T677="","",IF(T677-R677&gt;OverpayTol,2,0))</f>
        <v/>
      </c>
      <c r="W677" s="112">
        <f>IF(V677=2,AsOf,"")</f>
        <v/>
      </c>
      <c r="X677" s="79">
        <f>IF(W677="","",1)</f>
        <v/>
      </c>
      <c r="Y677" s="79">
        <f>IF(X677="","","Paying ahead of work: "&amp;B677&amp;" — paid "&amp;ROUND(T677*100,0)&amp;"%, work done "&amp;ROUND(R677*100,0)&amp;"%")</f>
        <v/>
      </c>
      <c r="AA677" s="72" t="n"/>
      <c r="AB677" s="109" t="n"/>
      <c r="AC677" s="113" t="n"/>
      <c r="AD677" s="74" t="n"/>
      <c r="AE677" s="109" t="n"/>
      <c r="AF677" s="74" t="n"/>
      <c r="AG677" s="112">
        <f>IF(AND(AA677&lt;&gt;"",AD677="Yes",AF677&lt;&gt;"Yes",AE677&lt;&gt;""),AE677,"")</f>
        <v/>
      </c>
      <c r="AH677" s="79">
        <f>IF(AG677="","",IF(AG677&lt;AsOf,1,IF(AG677&lt;=AsOf+AlertDays,2,IF(AG677&lt;=AsOf+2*AlertDays,3,""))))</f>
        <v/>
      </c>
      <c r="AI677" s="79">
        <f>IF(AH677="","","Follow up with "&amp;AA677&amp;": "&amp;AC677)</f>
        <v/>
      </c>
    </row>
    <row r="678" ht="20" customHeight="1">
      <c r="B678" s="72" t="n"/>
      <c r="C678" s="72" t="n"/>
      <c r="D678" s="72" t="n"/>
      <c r="E678" s="72" t="n"/>
      <c r="F678" s="72" t="n"/>
      <c r="G678" s="72" t="n"/>
      <c r="H678" s="72" t="n"/>
      <c r="I678" s="73" t="n"/>
      <c r="J678" s="75">
        <f>IF(B678="","",SUMIFS('Change Orders'!$J$7:$J$1006,'Change Orders'!$E$7:$E$1006,B678,'Change Orders'!$L$7:$L$1006,"Approved"))</f>
        <v/>
      </c>
      <c r="K678" s="76">
        <f>IF(B678="","",I678+J678)</f>
        <v/>
      </c>
      <c r="L678" s="74" t="n"/>
      <c r="M678" s="109" t="n"/>
      <c r="N678" s="109" t="n"/>
      <c r="O678" s="74" t="n"/>
      <c r="P678" s="74" t="n"/>
      <c r="Q678" s="100" t="n"/>
      <c r="R678" s="110" t="n"/>
      <c r="S678" s="75">
        <f>IF(B678="","",SUMIFS('Payments'!$N$6:$N$1005,'Payments'!$B$6:$B$1005,B678))</f>
        <v/>
      </c>
      <c r="T678" s="111">
        <f>IF(OR(B678="",K678=0),"",S678/K678)</f>
        <v/>
      </c>
      <c r="U678" s="78">
        <f>IF(V678="","",IF(V678=2,"⚠️ Paying ahead of work","✓ OK"))</f>
        <v/>
      </c>
      <c r="V678" s="79">
        <f>IF(T678="","",IF(T678-R678&gt;OverpayTol,2,0))</f>
        <v/>
      </c>
      <c r="W678" s="112">
        <f>IF(V678=2,AsOf,"")</f>
        <v/>
      </c>
      <c r="X678" s="79">
        <f>IF(W678="","",1)</f>
        <v/>
      </c>
      <c r="Y678" s="79">
        <f>IF(X678="","","Paying ahead of work: "&amp;B678&amp;" — paid "&amp;ROUND(T678*100,0)&amp;"%, work done "&amp;ROUND(R678*100,0)&amp;"%")</f>
        <v/>
      </c>
      <c r="AA678" s="72" t="n"/>
      <c r="AB678" s="109" t="n"/>
      <c r="AC678" s="113" t="n"/>
      <c r="AD678" s="74" t="n"/>
      <c r="AE678" s="109" t="n"/>
      <c r="AF678" s="74" t="n"/>
      <c r="AG678" s="112">
        <f>IF(AND(AA678&lt;&gt;"",AD678="Yes",AF678&lt;&gt;"Yes",AE678&lt;&gt;""),AE678,"")</f>
        <v/>
      </c>
      <c r="AH678" s="79">
        <f>IF(AG678="","",IF(AG678&lt;AsOf,1,IF(AG678&lt;=AsOf+AlertDays,2,IF(AG678&lt;=AsOf+2*AlertDays,3,""))))</f>
        <v/>
      </c>
      <c r="AI678" s="79">
        <f>IF(AH678="","","Follow up with "&amp;AA678&amp;": "&amp;AC678)</f>
        <v/>
      </c>
    </row>
    <row r="679" ht="20" customHeight="1">
      <c r="B679" s="72" t="n"/>
      <c r="C679" s="72" t="n"/>
      <c r="D679" s="72" t="n"/>
      <c r="E679" s="72" t="n"/>
      <c r="F679" s="72" t="n"/>
      <c r="G679" s="72" t="n"/>
      <c r="H679" s="72" t="n"/>
      <c r="I679" s="73" t="n"/>
      <c r="J679" s="75">
        <f>IF(B679="","",SUMIFS('Change Orders'!$J$7:$J$1006,'Change Orders'!$E$7:$E$1006,B679,'Change Orders'!$L$7:$L$1006,"Approved"))</f>
        <v/>
      </c>
      <c r="K679" s="76">
        <f>IF(B679="","",I679+J679)</f>
        <v/>
      </c>
      <c r="L679" s="74" t="n"/>
      <c r="M679" s="109" t="n"/>
      <c r="N679" s="109" t="n"/>
      <c r="O679" s="74" t="n"/>
      <c r="P679" s="74" t="n"/>
      <c r="Q679" s="100" t="n"/>
      <c r="R679" s="110" t="n"/>
      <c r="S679" s="75">
        <f>IF(B679="","",SUMIFS('Payments'!$N$6:$N$1005,'Payments'!$B$6:$B$1005,B679))</f>
        <v/>
      </c>
      <c r="T679" s="111">
        <f>IF(OR(B679="",K679=0),"",S679/K679)</f>
        <v/>
      </c>
      <c r="U679" s="78">
        <f>IF(V679="","",IF(V679=2,"⚠️ Paying ahead of work","✓ OK"))</f>
        <v/>
      </c>
      <c r="V679" s="79">
        <f>IF(T679="","",IF(T679-R679&gt;OverpayTol,2,0))</f>
        <v/>
      </c>
      <c r="W679" s="112">
        <f>IF(V679=2,AsOf,"")</f>
        <v/>
      </c>
      <c r="X679" s="79">
        <f>IF(W679="","",1)</f>
        <v/>
      </c>
      <c r="Y679" s="79">
        <f>IF(X679="","","Paying ahead of work: "&amp;B679&amp;" — paid "&amp;ROUND(T679*100,0)&amp;"%, work done "&amp;ROUND(R679*100,0)&amp;"%")</f>
        <v/>
      </c>
      <c r="AA679" s="72" t="n"/>
      <c r="AB679" s="109" t="n"/>
      <c r="AC679" s="113" t="n"/>
      <c r="AD679" s="74" t="n"/>
      <c r="AE679" s="109" t="n"/>
      <c r="AF679" s="74" t="n"/>
      <c r="AG679" s="112">
        <f>IF(AND(AA679&lt;&gt;"",AD679="Yes",AF679&lt;&gt;"Yes",AE679&lt;&gt;""),AE679,"")</f>
        <v/>
      </c>
      <c r="AH679" s="79">
        <f>IF(AG679="","",IF(AG679&lt;AsOf,1,IF(AG679&lt;=AsOf+AlertDays,2,IF(AG679&lt;=AsOf+2*AlertDays,3,""))))</f>
        <v/>
      </c>
      <c r="AI679" s="79">
        <f>IF(AH679="","","Follow up with "&amp;AA679&amp;": "&amp;AC679)</f>
        <v/>
      </c>
    </row>
    <row r="680" ht="20" customHeight="1">
      <c r="B680" s="72" t="n"/>
      <c r="C680" s="72" t="n"/>
      <c r="D680" s="72" t="n"/>
      <c r="E680" s="72" t="n"/>
      <c r="F680" s="72" t="n"/>
      <c r="G680" s="72" t="n"/>
      <c r="H680" s="72" t="n"/>
      <c r="I680" s="73" t="n"/>
      <c r="J680" s="75">
        <f>IF(B680="","",SUMIFS('Change Orders'!$J$7:$J$1006,'Change Orders'!$E$7:$E$1006,B680,'Change Orders'!$L$7:$L$1006,"Approved"))</f>
        <v/>
      </c>
      <c r="K680" s="76">
        <f>IF(B680="","",I680+J680)</f>
        <v/>
      </c>
      <c r="L680" s="74" t="n"/>
      <c r="M680" s="109" t="n"/>
      <c r="N680" s="109" t="n"/>
      <c r="O680" s="74" t="n"/>
      <c r="P680" s="74" t="n"/>
      <c r="Q680" s="100" t="n"/>
      <c r="R680" s="110" t="n"/>
      <c r="S680" s="75">
        <f>IF(B680="","",SUMIFS('Payments'!$N$6:$N$1005,'Payments'!$B$6:$B$1005,B680))</f>
        <v/>
      </c>
      <c r="T680" s="111">
        <f>IF(OR(B680="",K680=0),"",S680/K680)</f>
        <v/>
      </c>
      <c r="U680" s="78">
        <f>IF(V680="","",IF(V680=2,"⚠️ Paying ahead of work","✓ OK"))</f>
        <v/>
      </c>
      <c r="V680" s="79">
        <f>IF(T680="","",IF(T680-R680&gt;OverpayTol,2,0))</f>
        <v/>
      </c>
      <c r="W680" s="112">
        <f>IF(V680=2,AsOf,"")</f>
        <v/>
      </c>
      <c r="X680" s="79">
        <f>IF(W680="","",1)</f>
        <v/>
      </c>
      <c r="Y680" s="79">
        <f>IF(X680="","","Paying ahead of work: "&amp;B680&amp;" — paid "&amp;ROUND(T680*100,0)&amp;"%, work done "&amp;ROUND(R680*100,0)&amp;"%")</f>
        <v/>
      </c>
      <c r="AA680" s="72" t="n"/>
      <c r="AB680" s="109" t="n"/>
      <c r="AC680" s="113" t="n"/>
      <c r="AD680" s="74" t="n"/>
      <c r="AE680" s="109" t="n"/>
      <c r="AF680" s="74" t="n"/>
      <c r="AG680" s="112">
        <f>IF(AND(AA680&lt;&gt;"",AD680="Yes",AF680&lt;&gt;"Yes",AE680&lt;&gt;""),AE680,"")</f>
        <v/>
      </c>
      <c r="AH680" s="79">
        <f>IF(AG680="","",IF(AG680&lt;AsOf,1,IF(AG680&lt;=AsOf+AlertDays,2,IF(AG680&lt;=AsOf+2*AlertDays,3,""))))</f>
        <v/>
      </c>
      <c r="AI680" s="79">
        <f>IF(AH680="","","Follow up with "&amp;AA680&amp;": "&amp;AC680)</f>
        <v/>
      </c>
    </row>
    <row r="681" ht="20" customHeight="1">
      <c r="B681" s="72" t="n"/>
      <c r="C681" s="72" t="n"/>
      <c r="D681" s="72" t="n"/>
      <c r="E681" s="72" t="n"/>
      <c r="F681" s="72" t="n"/>
      <c r="G681" s="72" t="n"/>
      <c r="H681" s="72" t="n"/>
      <c r="I681" s="73" t="n"/>
      <c r="J681" s="75">
        <f>IF(B681="","",SUMIFS('Change Orders'!$J$7:$J$1006,'Change Orders'!$E$7:$E$1006,B681,'Change Orders'!$L$7:$L$1006,"Approved"))</f>
        <v/>
      </c>
      <c r="K681" s="76">
        <f>IF(B681="","",I681+J681)</f>
        <v/>
      </c>
      <c r="L681" s="74" t="n"/>
      <c r="M681" s="109" t="n"/>
      <c r="N681" s="109" t="n"/>
      <c r="O681" s="74" t="n"/>
      <c r="P681" s="74" t="n"/>
      <c r="Q681" s="100" t="n"/>
      <c r="R681" s="110" t="n"/>
      <c r="S681" s="75">
        <f>IF(B681="","",SUMIFS('Payments'!$N$6:$N$1005,'Payments'!$B$6:$B$1005,B681))</f>
        <v/>
      </c>
      <c r="T681" s="111">
        <f>IF(OR(B681="",K681=0),"",S681/K681)</f>
        <v/>
      </c>
      <c r="U681" s="78">
        <f>IF(V681="","",IF(V681=2,"⚠️ Paying ahead of work","✓ OK"))</f>
        <v/>
      </c>
      <c r="V681" s="79">
        <f>IF(T681="","",IF(T681-R681&gt;OverpayTol,2,0))</f>
        <v/>
      </c>
      <c r="W681" s="112">
        <f>IF(V681=2,AsOf,"")</f>
        <v/>
      </c>
      <c r="X681" s="79">
        <f>IF(W681="","",1)</f>
        <v/>
      </c>
      <c r="Y681" s="79">
        <f>IF(X681="","","Paying ahead of work: "&amp;B681&amp;" — paid "&amp;ROUND(T681*100,0)&amp;"%, work done "&amp;ROUND(R681*100,0)&amp;"%")</f>
        <v/>
      </c>
      <c r="AA681" s="72" t="n"/>
      <c r="AB681" s="109" t="n"/>
      <c r="AC681" s="113" t="n"/>
      <c r="AD681" s="74" t="n"/>
      <c r="AE681" s="109" t="n"/>
      <c r="AF681" s="74" t="n"/>
      <c r="AG681" s="112">
        <f>IF(AND(AA681&lt;&gt;"",AD681="Yes",AF681&lt;&gt;"Yes",AE681&lt;&gt;""),AE681,"")</f>
        <v/>
      </c>
      <c r="AH681" s="79">
        <f>IF(AG681="","",IF(AG681&lt;AsOf,1,IF(AG681&lt;=AsOf+AlertDays,2,IF(AG681&lt;=AsOf+2*AlertDays,3,""))))</f>
        <v/>
      </c>
      <c r="AI681" s="79">
        <f>IF(AH681="","","Follow up with "&amp;AA681&amp;": "&amp;AC681)</f>
        <v/>
      </c>
    </row>
    <row r="682" ht="20" customHeight="1">
      <c r="B682" s="72" t="n"/>
      <c r="C682" s="72" t="n"/>
      <c r="D682" s="72" t="n"/>
      <c r="E682" s="72" t="n"/>
      <c r="F682" s="72" t="n"/>
      <c r="G682" s="72" t="n"/>
      <c r="H682" s="72" t="n"/>
      <c r="I682" s="73" t="n"/>
      <c r="J682" s="75">
        <f>IF(B682="","",SUMIFS('Change Orders'!$J$7:$J$1006,'Change Orders'!$E$7:$E$1006,B682,'Change Orders'!$L$7:$L$1006,"Approved"))</f>
        <v/>
      </c>
      <c r="K682" s="76">
        <f>IF(B682="","",I682+J682)</f>
        <v/>
      </c>
      <c r="L682" s="74" t="n"/>
      <c r="M682" s="109" t="n"/>
      <c r="N682" s="109" t="n"/>
      <c r="O682" s="74" t="n"/>
      <c r="P682" s="74" t="n"/>
      <c r="Q682" s="100" t="n"/>
      <c r="R682" s="110" t="n"/>
      <c r="S682" s="75">
        <f>IF(B682="","",SUMIFS('Payments'!$N$6:$N$1005,'Payments'!$B$6:$B$1005,B682))</f>
        <v/>
      </c>
      <c r="T682" s="111">
        <f>IF(OR(B682="",K682=0),"",S682/K682)</f>
        <v/>
      </c>
      <c r="U682" s="78">
        <f>IF(V682="","",IF(V682=2,"⚠️ Paying ahead of work","✓ OK"))</f>
        <v/>
      </c>
      <c r="V682" s="79">
        <f>IF(T682="","",IF(T682-R682&gt;OverpayTol,2,0))</f>
        <v/>
      </c>
      <c r="W682" s="112">
        <f>IF(V682=2,AsOf,"")</f>
        <v/>
      </c>
      <c r="X682" s="79">
        <f>IF(W682="","",1)</f>
        <v/>
      </c>
      <c r="Y682" s="79">
        <f>IF(X682="","","Paying ahead of work: "&amp;B682&amp;" — paid "&amp;ROUND(T682*100,0)&amp;"%, work done "&amp;ROUND(R682*100,0)&amp;"%")</f>
        <v/>
      </c>
      <c r="AA682" s="72" t="n"/>
      <c r="AB682" s="109" t="n"/>
      <c r="AC682" s="113" t="n"/>
      <c r="AD682" s="74" t="n"/>
      <c r="AE682" s="109" t="n"/>
      <c r="AF682" s="74" t="n"/>
      <c r="AG682" s="112">
        <f>IF(AND(AA682&lt;&gt;"",AD682="Yes",AF682&lt;&gt;"Yes",AE682&lt;&gt;""),AE682,"")</f>
        <v/>
      </c>
      <c r="AH682" s="79">
        <f>IF(AG682="","",IF(AG682&lt;AsOf,1,IF(AG682&lt;=AsOf+AlertDays,2,IF(AG682&lt;=AsOf+2*AlertDays,3,""))))</f>
        <v/>
      </c>
      <c r="AI682" s="79">
        <f>IF(AH682="","","Follow up with "&amp;AA682&amp;": "&amp;AC682)</f>
        <v/>
      </c>
    </row>
    <row r="683" ht="20" customHeight="1">
      <c r="B683" s="72" t="n"/>
      <c r="C683" s="72" t="n"/>
      <c r="D683" s="72" t="n"/>
      <c r="E683" s="72" t="n"/>
      <c r="F683" s="72" t="n"/>
      <c r="G683" s="72" t="n"/>
      <c r="H683" s="72" t="n"/>
      <c r="I683" s="73" t="n"/>
      <c r="J683" s="75">
        <f>IF(B683="","",SUMIFS('Change Orders'!$J$7:$J$1006,'Change Orders'!$E$7:$E$1006,B683,'Change Orders'!$L$7:$L$1006,"Approved"))</f>
        <v/>
      </c>
      <c r="K683" s="76">
        <f>IF(B683="","",I683+J683)</f>
        <v/>
      </c>
      <c r="L683" s="74" t="n"/>
      <c r="M683" s="109" t="n"/>
      <c r="N683" s="109" t="n"/>
      <c r="O683" s="74" t="n"/>
      <c r="P683" s="74" t="n"/>
      <c r="Q683" s="100" t="n"/>
      <c r="R683" s="110" t="n"/>
      <c r="S683" s="75">
        <f>IF(B683="","",SUMIFS('Payments'!$N$6:$N$1005,'Payments'!$B$6:$B$1005,B683))</f>
        <v/>
      </c>
      <c r="T683" s="111">
        <f>IF(OR(B683="",K683=0),"",S683/K683)</f>
        <v/>
      </c>
      <c r="U683" s="78">
        <f>IF(V683="","",IF(V683=2,"⚠️ Paying ahead of work","✓ OK"))</f>
        <v/>
      </c>
      <c r="V683" s="79">
        <f>IF(T683="","",IF(T683-R683&gt;OverpayTol,2,0))</f>
        <v/>
      </c>
      <c r="W683" s="112">
        <f>IF(V683=2,AsOf,"")</f>
        <v/>
      </c>
      <c r="X683" s="79">
        <f>IF(W683="","",1)</f>
        <v/>
      </c>
      <c r="Y683" s="79">
        <f>IF(X683="","","Paying ahead of work: "&amp;B683&amp;" — paid "&amp;ROUND(T683*100,0)&amp;"%, work done "&amp;ROUND(R683*100,0)&amp;"%")</f>
        <v/>
      </c>
      <c r="AA683" s="72" t="n"/>
      <c r="AB683" s="109" t="n"/>
      <c r="AC683" s="113" t="n"/>
      <c r="AD683" s="74" t="n"/>
      <c r="AE683" s="109" t="n"/>
      <c r="AF683" s="74" t="n"/>
      <c r="AG683" s="112">
        <f>IF(AND(AA683&lt;&gt;"",AD683="Yes",AF683&lt;&gt;"Yes",AE683&lt;&gt;""),AE683,"")</f>
        <v/>
      </c>
      <c r="AH683" s="79">
        <f>IF(AG683="","",IF(AG683&lt;AsOf,1,IF(AG683&lt;=AsOf+AlertDays,2,IF(AG683&lt;=AsOf+2*AlertDays,3,""))))</f>
        <v/>
      </c>
      <c r="AI683" s="79">
        <f>IF(AH683="","","Follow up with "&amp;AA683&amp;": "&amp;AC683)</f>
        <v/>
      </c>
    </row>
    <row r="684" ht="20" customHeight="1">
      <c r="B684" s="72" t="n"/>
      <c r="C684" s="72" t="n"/>
      <c r="D684" s="72" t="n"/>
      <c r="E684" s="72" t="n"/>
      <c r="F684" s="72" t="n"/>
      <c r="G684" s="72" t="n"/>
      <c r="H684" s="72" t="n"/>
      <c r="I684" s="73" t="n"/>
      <c r="J684" s="75">
        <f>IF(B684="","",SUMIFS('Change Orders'!$J$7:$J$1006,'Change Orders'!$E$7:$E$1006,B684,'Change Orders'!$L$7:$L$1006,"Approved"))</f>
        <v/>
      </c>
      <c r="K684" s="76">
        <f>IF(B684="","",I684+J684)</f>
        <v/>
      </c>
      <c r="L684" s="74" t="n"/>
      <c r="M684" s="109" t="n"/>
      <c r="N684" s="109" t="n"/>
      <c r="O684" s="74" t="n"/>
      <c r="P684" s="74" t="n"/>
      <c r="Q684" s="100" t="n"/>
      <c r="R684" s="110" t="n"/>
      <c r="S684" s="75">
        <f>IF(B684="","",SUMIFS('Payments'!$N$6:$N$1005,'Payments'!$B$6:$B$1005,B684))</f>
        <v/>
      </c>
      <c r="T684" s="111">
        <f>IF(OR(B684="",K684=0),"",S684/K684)</f>
        <v/>
      </c>
      <c r="U684" s="78">
        <f>IF(V684="","",IF(V684=2,"⚠️ Paying ahead of work","✓ OK"))</f>
        <v/>
      </c>
      <c r="V684" s="79">
        <f>IF(T684="","",IF(T684-R684&gt;OverpayTol,2,0))</f>
        <v/>
      </c>
      <c r="W684" s="112">
        <f>IF(V684=2,AsOf,"")</f>
        <v/>
      </c>
      <c r="X684" s="79">
        <f>IF(W684="","",1)</f>
        <v/>
      </c>
      <c r="Y684" s="79">
        <f>IF(X684="","","Paying ahead of work: "&amp;B684&amp;" — paid "&amp;ROUND(T684*100,0)&amp;"%, work done "&amp;ROUND(R684*100,0)&amp;"%")</f>
        <v/>
      </c>
      <c r="AA684" s="72" t="n"/>
      <c r="AB684" s="109" t="n"/>
      <c r="AC684" s="113" t="n"/>
      <c r="AD684" s="74" t="n"/>
      <c r="AE684" s="109" t="n"/>
      <c r="AF684" s="74" t="n"/>
      <c r="AG684" s="112">
        <f>IF(AND(AA684&lt;&gt;"",AD684="Yes",AF684&lt;&gt;"Yes",AE684&lt;&gt;""),AE684,"")</f>
        <v/>
      </c>
      <c r="AH684" s="79">
        <f>IF(AG684="","",IF(AG684&lt;AsOf,1,IF(AG684&lt;=AsOf+AlertDays,2,IF(AG684&lt;=AsOf+2*AlertDays,3,""))))</f>
        <v/>
      </c>
      <c r="AI684" s="79">
        <f>IF(AH684="","","Follow up with "&amp;AA684&amp;": "&amp;AC684)</f>
        <v/>
      </c>
    </row>
    <row r="685" ht="20" customHeight="1">
      <c r="B685" s="72" t="n"/>
      <c r="C685" s="72" t="n"/>
      <c r="D685" s="72" t="n"/>
      <c r="E685" s="72" t="n"/>
      <c r="F685" s="72" t="n"/>
      <c r="G685" s="72" t="n"/>
      <c r="H685" s="72" t="n"/>
      <c r="I685" s="73" t="n"/>
      <c r="J685" s="75">
        <f>IF(B685="","",SUMIFS('Change Orders'!$J$7:$J$1006,'Change Orders'!$E$7:$E$1006,B685,'Change Orders'!$L$7:$L$1006,"Approved"))</f>
        <v/>
      </c>
      <c r="K685" s="76">
        <f>IF(B685="","",I685+J685)</f>
        <v/>
      </c>
      <c r="L685" s="74" t="n"/>
      <c r="M685" s="109" t="n"/>
      <c r="N685" s="109" t="n"/>
      <c r="O685" s="74" t="n"/>
      <c r="P685" s="74" t="n"/>
      <c r="Q685" s="100" t="n"/>
      <c r="R685" s="110" t="n"/>
      <c r="S685" s="75">
        <f>IF(B685="","",SUMIFS('Payments'!$N$6:$N$1005,'Payments'!$B$6:$B$1005,B685))</f>
        <v/>
      </c>
      <c r="T685" s="111">
        <f>IF(OR(B685="",K685=0),"",S685/K685)</f>
        <v/>
      </c>
      <c r="U685" s="78">
        <f>IF(V685="","",IF(V685=2,"⚠️ Paying ahead of work","✓ OK"))</f>
        <v/>
      </c>
      <c r="V685" s="79">
        <f>IF(T685="","",IF(T685-R685&gt;OverpayTol,2,0))</f>
        <v/>
      </c>
      <c r="W685" s="112">
        <f>IF(V685=2,AsOf,"")</f>
        <v/>
      </c>
      <c r="X685" s="79">
        <f>IF(W685="","",1)</f>
        <v/>
      </c>
      <c r="Y685" s="79">
        <f>IF(X685="","","Paying ahead of work: "&amp;B685&amp;" — paid "&amp;ROUND(T685*100,0)&amp;"%, work done "&amp;ROUND(R685*100,0)&amp;"%")</f>
        <v/>
      </c>
      <c r="AA685" s="72" t="n"/>
      <c r="AB685" s="109" t="n"/>
      <c r="AC685" s="113" t="n"/>
      <c r="AD685" s="74" t="n"/>
      <c r="AE685" s="109" t="n"/>
      <c r="AF685" s="74" t="n"/>
      <c r="AG685" s="112">
        <f>IF(AND(AA685&lt;&gt;"",AD685="Yes",AF685&lt;&gt;"Yes",AE685&lt;&gt;""),AE685,"")</f>
        <v/>
      </c>
      <c r="AH685" s="79">
        <f>IF(AG685="","",IF(AG685&lt;AsOf,1,IF(AG685&lt;=AsOf+AlertDays,2,IF(AG685&lt;=AsOf+2*AlertDays,3,""))))</f>
        <v/>
      </c>
      <c r="AI685" s="79">
        <f>IF(AH685="","","Follow up with "&amp;AA685&amp;": "&amp;AC685)</f>
        <v/>
      </c>
    </row>
    <row r="686" ht="20" customHeight="1">
      <c r="B686" s="72" t="n"/>
      <c r="C686" s="72" t="n"/>
      <c r="D686" s="72" t="n"/>
      <c r="E686" s="72" t="n"/>
      <c r="F686" s="72" t="n"/>
      <c r="G686" s="72" t="n"/>
      <c r="H686" s="72" t="n"/>
      <c r="I686" s="73" t="n"/>
      <c r="J686" s="75">
        <f>IF(B686="","",SUMIFS('Change Orders'!$J$7:$J$1006,'Change Orders'!$E$7:$E$1006,B686,'Change Orders'!$L$7:$L$1006,"Approved"))</f>
        <v/>
      </c>
      <c r="K686" s="76">
        <f>IF(B686="","",I686+J686)</f>
        <v/>
      </c>
      <c r="L686" s="74" t="n"/>
      <c r="M686" s="109" t="n"/>
      <c r="N686" s="109" t="n"/>
      <c r="O686" s="74" t="n"/>
      <c r="P686" s="74" t="n"/>
      <c r="Q686" s="100" t="n"/>
      <c r="R686" s="110" t="n"/>
      <c r="S686" s="75">
        <f>IF(B686="","",SUMIFS('Payments'!$N$6:$N$1005,'Payments'!$B$6:$B$1005,B686))</f>
        <v/>
      </c>
      <c r="T686" s="111">
        <f>IF(OR(B686="",K686=0),"",S686/K686)</f>
        <v/>
      </c>
      <c r="U686" s="78">
        <f>IF(V686="","",IF(V686=2,"⚠️ Paying ahead of work","✓ OK"))</f>
        <v/>
      </c>
      <c r="V686" s="79">
        <f>IF(T686="","",IF(T686-R686&gt;OverpayTol,2,0))</f>
        <v/>
      </c>
      <c r="W686" s="112">
        <f>IF(V686=2,AsOf,"")</f>
        <v/>
      </c>
      <c r="X686" s="79">
        <f>IF(W686="","",1)</f>
        <v/>
      </c>
      <c r="Y686" s="79">
        <f>IF(X686="","","Paying ahead of work: "&amp;B686&amp;" — paid "&amp;ROUND(T686*100,0)&amp;"%, work done "&amp;ROUND(R686*100,0)&amp;"%")</f>
        <v/>
      </c>
      <c r="AA686" s="72" t="n"/>
      <c r="AB686" s="109" t="n"/>
      <c r="AC686" s="113" t="n"/>
      <c r="AD686" s="74" t="n"/>
      <c r="AE686" s="109" t="n"/>
      <c r="AF686" s="74" t="n"/>
      <c r="AG686" s="112">
        <f>IF(AND(AA686&lt;&gt;"",AD686="Yes",AF686&lt;&gt;"Yes",AE686&lt;&gt;""),AE686,"")</f>
        <v/>
      </c>
      <c r="AH686" s="79">
        <f>IF(AG686="","",IF(AG686&lt;AsOf,1,IF(AG686&lt;=AsOf+AlertDays,2,IF(AG686&lt;=AsOf+2*AlertDays,3,""))))</f>
        <v/>
      </c>
      <c r="AI686" s="79">
        <f>IF(AH686="","","Follow up with "&amp;AA686&amp;": "&amp;AC686)</f>
        <v/>
      </c>
    </row>
    <row r="687" ht="20" customHeight="1">
      <c r="B687" s="72" t="n"/>
      <c r="C687" s="72" t="n"/>
      <c r="D687" s="72" t="n"/>
      <c r="E687" s="72" t="n"/>
      <c r="F687" s="72" t="n"/>
      <c r="G687" s="72" t="n"/>
      <c r="H687" s="72" t="n"/>
      <c r="I687" s="73" t="n"/>
      <c r="J687" s="75">
        <f>IF(B687="","",SUMIFS('Change Orders'!$J$7:$J$1006,'Change Orders'!$E$7:$E$1006,B687,'Change Orders'!$L$7:$L$1006,"Approved"))</f>
        <v/>
      </c>
      <c r="K687" s="76">
        <f>IF(B687="","",I687+J687)</f>
        <v/>
      </c>
      <c r="L687" s="74" t="n"/>
      <c r="M687" s="109" t="n"/>
      <c r="N687" s="109" t="n"/>
      <c r="O687" s="74" t="n"/>
      <c r="P687" s="74" t="n"/>
      <c r="Q687" s="100" t="n"/>
      <c r="R687" s="110" t="n"/>
      <c r="S687" s="75">
        <f>IF(B687="","",SUMIFS('Payments'!$N$6:$N$1005,'Payments'!$B$6:$B$1005,B687))</f>
        <v/>
      </c>
      <c r="T687" s="111">
        <f>IF(OR(B687="",K687=0),"",S687/K687)</f>
        <v/>
      </c>
      <c r="U687" s="78">
        <f>IF(V687="","",IF(V687=2,"⚠️ Paying ahead of work","✓ OK"))</f>
        <v/>
      </c>
      <c r="V687" s="79">
        <f>IF(T687="","",IF(T687-R687&gt;OverpayTol,2,0))</f>
        <v/>
      </c>
      <c r="W687" s="112">
        <f>IF(V687=2,AsOf,"")</f>
        <v/>
      </c>
      <c r="X687" s="79">
        <f>IF(W687="","",1)</f>
        <v/>
      </c>
      <c r="Y687" s="79">
        <f>IF(X687="","","Paying ahead of work: "&amp;B687&amp;" — paid "&amp;ROUND(T687*100,0)&amp;"%, work done "&amp;ROUND(R687*100,0)&amp;"%")</f>
        <v/>
      </c>
      <c r="AA687" s="72" t="n"/>
      <c r="AB687" s="109" t="n"/>
      <c r="AC687" s="113" t="n"/>
      <c r="AD687" s="74" t="n"/>
      <c r="AE687" s="109" t="n"/>
      <c r="AF687" s="74" t="n"/>
      <c r="AG687" s="112">
        <f>IF(AND(AA687&lt;&gt;"",AD687="Yes",AF687&lt;&gt;"Yes",AE687&lt;&gt;""),AE687,"")</f>
        <v/>
      </c>
      <c r="AH687" s="79">
        <f>IF(AG687="","",IF(AG687&lt;AsOf,1,IF(AG687&lt;=AsOf+AlertDays,2,IF(AG687&lt;=AsOf+2*AlertDays,3,""))))</f>
        <v/>
      </c>
      <c r="AI687" s="79">
        <f>IF(AH687="","","Follow up with "&amp;AA687&amp;": "&amp;AC687)</f>
        <v/>
      </c>
    </row>
    <row r="688" ht="20" customHeight="1">
      <c r="B688" s="72" t="n"/>
      <c r="C688" s="72" t="n"/>
      <c r="D688" s="72" t="n"/>
      <c r="E688" s="72" t="n"/>
      <c r="F688" s="72" t="n"/>
      <c r="G688" s="72" t="n"/>
      <c r="H688" s="72" t="n"/>
      <c r="I688" s="73" t="n"/>
      <c r="J688" s="75">
        <f>IF(B688="","",SUMIFS('Change Orders'!$J$7:$J$1006,'Change Orders'!$E$7:$E$1006,B688,'Change Orders'!$L$7:$L$1006,"Approved"))</f>
        <v/>
      </c>
      <c r="K688" s="76">
        <f>IF(B688="","",I688+J688)</f>
        <v/>
      </c>
      <c r="L688" s="74" t="n"/>
      <c r="M688" s="109" t="n"/>
      <c r="N688" s="109" t="n"/>
      <c r="O688" s="74" t="n"/>
      <c r="P688" s="74" t="n"/>
      <c r="Q688" s="100" t="n"/>
      <c r="R688" s="110" t="n"/>
      <c r="S688" s="75">
        <f>IF(B688="","",SUMIFS('Payments'!$N$6:$N$1005,'Payments'!$B$6:$B$1005,B688))</f>
        <v/>
      </c>
      <c r="T688" s="111">
        <f>IF(OR(B688="",K688=0),"",S688/K688)</f>
        <v/>
      </c>
      <c r="U688" s="78">
        <f>IF(V688="","",IF(V688=2,"⚠️ Paying ahead of work","✓ OK"))</f>
        <v/>
      </c>
      <c r="V688" s="79">
        <f>IF(T688="","",IF(T688-R688&gt;OverpayTol,2,0))</f>
        <v/>
      </c>
      <c r="W688" s="112">
        <f>IF(V688=2,AsOf,"")</f>
        <v/>
      </c>
      <c r="X688" s="79">
        <f>IF(W688="","",1)</f>
        <v/>
      </c>
      <c r="Y688" s="79">
        <f>IF(X688="","","Paying ahead of work: "&amp;B688&amp;" — paid "&amp;ROUND(T688*100,0)&amp;"%, work done "&amp;ROUND(R688*100,0)&amp;"%")</f>
        <v/>
      </c>
      <c r="AA688" s="72" t="n"/>
      <c r="AB688" s="109" t="n"/>
      <c r="AC688" s="113" t="n"/>
      <c r="AD688" s="74" t="n"/>
      <c r="AE688" s="109" t="n"/>
      <c r="AF688" s="74" t="n"/>
      <c r="AG688" s="112">
        <f>IF(AND(AA688&lt;&gt;"",AD688="Yes",AF688&lt;&gt;"Yes",AE688&lt;&gt;""),AE688,"")</f>
        <v/>
      </c>
      <c r="AH688" s="79">
        <f>IF(AG688="","",IF(AG688&lt;AsOf,1,IF(AG688&lt;=AsOf+AlertDays,2,IF(AG688&lt;=AsOf+2*AlertDays,3,""))))</f>
        <v/>
      </c>
      <c r="AI688" s="79">
        <f>IF(AH688="","","Follow up with "&amp;AA688&amp;": "&amp;AC688)</f>
        <v/>
      </c>
    </row>
    <row r="689" ht="20" customHeight="1">
      <c r="B689" s="72" t="n"/>
      <c r="C689" s="72" t="n"/>
      <c r="D689" s="72" t="n"/>
      <c r="E689" s="72" t="n"/>
      <c r="F689" s="72" t="n"/>
      <c r="G689" s="72" t="n"/>
      <c r="H689" s="72" t="n"/>
      <c r="I689" s="73" t="n"/>
      <c r="J689" s="75">
        <f>IF(B689="","",SUMIFS('Change Orders'!$J$7:$J$1006,'Change Orders'!$E$7:$E$1006,B689,'Change Orders'!$L$7:$L$1006,"Approved"))</f>
        <v/>
      </c>
      <c r="K689" s="76">
        <f>IF(B689="","",I689+J689)</f>
        <v/>
      </c>
      <c r="L689" s="74" t="n"/>
      <c r="M689" s="109" t="n"/>
      <c r="N689" s="109" t="n"/>
      <c r="O689" s="74" t="n"/>
      <c r="P689" s="74" t="n"/>
      <c r="Q689" s="100" t="n"/>
      <c r="R689" s="110" t="n"/>
      <c r="S689" s="75">
        <f>IF(B689="","",SUMIFS('Payments'!$N$6:$N$1005,'Payments'!$B$6:$B$1005,B689))</f>
        <v/>
      </c>
      <c r="T689" s="111">
        <f>IF(OR(B689="",K689=0),"",S689/K689)</f>
        <v/>
      </c>
      <c r="U689" s="78">
        <f>IF(V689="","",IF(V689=2,"⚠️ Paying ahead of work","✓ OK"))</f>
        <v/>
      </c>
      <c r="V689" s="79">
        <f>IF(T689="","",IF(T689-R689&gt;OverpayTol,2,0))</f>
        <v/>
      </c>
      <c r="W689" s="112">
        <f>IF(V689=2,AsOf,"")</f>
        <v/>
      </c>
      <c r="X689" s="79">
        <f>IF(W689="","",1)</f>
        <v/>
      </c>
      <c r="Y689" s="79">
        <f>IF(X689="","","Paying ahead of work: "&amp;B689&amp;" — paid "&amp;ROUND(T689*100,0)&amp;"%, work done "&amp;ROUND(R689*100,0)&amp;"%")</f>
        <v/>
      </c>
      <c r="AA689" s="72" t="n"/>
      <c r="AB689" s="109" t="n"/>
      <c r="AC689" s="113" t="n"/>
      <c r="AD689" s="74" t="n"/>
      <c r="AE689" s="109" t="n"/>
      <c r="AF689" s="74" t="n"/>
      <c r="AG689" s="112">
        <f>IF(AND(AA689&lt;&gt;"",AD689="Yes",AF689&lt;&gt;"Yes",AE689&lt;&gt;""),AE689,"")</f>
        <v/>
      </c>
      <c r="AH689" s="79">
        <f>IF(AG689="","",IF(AG689&lt;AsOf,1,IF(AG689&lt;=AsOf+AlertDays,2,IF(AG689&lt;=AsOf+2*AlertDays,3,""))))</f>
        <v/>
      </c>
      <c r="AI689" s="79">
        <f>IF(AH689="","","Follow up with "&amp;AA689&amp;": "&amp;AC689)</f>
        <v/>
      </c>
    </row>
    <row r="690" ht="20" customHeight="1">
      <c r="B690" s="72" t="n"/>
      <c r="C690" s="72" t="n"/>
      <c r="D690" s="72" t="n"/>
      <c r="E690" s="72" t="n"/>
      <c r="F690" s="72" t="n"/>
      <c r="G690" s="72" t="n"/>
      <c r="H690" s="72" t="n"/>
      <c r="I690" s="73" t="n"/>
      <c r="J690" s="75">
        <f>IF(B690="","",SUMIFS('Change Orders'!$J$7:$J$1006,'Change Orders'!$E$7:$E$1006,B690,'Change Orders'!$L$7:$L$1006,"Approved"))</f>
        <v/>
      </c>
      <c r="K690" s="76">
        <f>IF(B690="","",I690+J690)</f>
        <v/>
      </c>
      <c r="L690" s="74" t="n"/>
      <c r="M690" s="109" t="n"/>
      <c r="N690" s="109" t="n"/>
      <c r="O690" s="74" t="n"/>
      <c r="P690" s="74" t="n"/>
      <c r="Q690" s="100" t="n"/>
      <c r="R690" s="110" t="n"/>
      <c r="S690" s="75">
        <f>IF(B690="","",SUMIFS('Payments'!$N$6:$N$1005,'Payments'!$B$6:$B$1005,B690))</f>
        <v/>
      </c>
      <c r="T690" s="111">
        <f>IF(OR(B690="",K690=0),"",S690/K690)</f>
        <v/>
      </c>
      <c r="U690" s="78">
        <f>IF(V690="","",IF(V690=2,"⚠️ Paying ahead of work","✓ OK"))</f>
        <v/>
      </c>
      <c r="V690" s="79">
        <f>IF(T690="","",IF(T690-R690&gt;OverpayTol,2,0))</f>
        <v/>
      </c>
      <c r="W690" s="112">
        <f>IF(V690=2,AsOf,"")</f>
        <v/>
      </c>
      <c r="X690" s="79">
        <f>IF(W690="","",1)</f>
        <v/>
      </c>
      <c r="Y690" s="79">
        <f>IF(X690="","","Paying ahead of work: "&amp;B690&amp;" — paid "&amp;ROUND(T690*100,0)&amp;"%, work done "&amp;ROUND(R690*100,0)&amp;"%")</f>
        <v/>
      </c>
      <c r="AA690" s="72" t="n"/>
      <c r="AB690" s="109" t="n"/>
      <c r="AC690" s="113" t="n"/>
      <c r="AD690" s="74" t="n"/>
      <c r="AE690" s="109" t="n"/>
      <c r="AF690" s="74" t="n"/>
      <c r="AG690" s="112">
        <f>IF(AND(AA690&lt;&gt;"",AD690="Yes",AF690&lt;&gt;"Yes",AE690&lt;&gt;""),AE690,"")</f>
        <v/>
      </c>
      <c r="AH690" s="79">
        <f>IF(AG690="","",IF(AG690&lt;AsOf,1,IF(AG690&lt;=AsOf+AlertDays,2,IF(AG690&lt;=AsOf+2*AlertDays,3,""))))</f>
        <v/>
      </c>
      <c r="AI690" s="79">
        <f>IF(AH690="","","Follow up with "&amp;AA690&amp;": "&amp;AC690)</f>
        <v/>
      </c>
    </row>
    <row r="691" ht="20" customHeight="1">
      <c r="B691" s="72" t="n"/>
      <c r="C691" s="72" t="n"/>
      <c r="D691" s="72" t="n"/>
      <c r="E691" s="72" t="n"/>
      <c r="F691" s="72" t="n"/>
      <c r="G691" s="72" t="n"/>
      <c r="H691" s="72" t="n"/>
      <c r="I691" s="73" t="n"/>
      <c r="J691" s="75">
        <f>IF(B691="","",SUMIFS('Change Orders'!$J$7:$J$1006,'Change Orders'!$E$7:$E$1006,B691,'Change Orders'!$L$7:$L$1006,"Approved"))</f>
        <v/>
      </c>
      <c r="K691" s="76">
        <f>IF(B691="","",I691+J691)</f>
        <v/>
      </c>
      <c r="L691" s="74" t="n"/>
      <c r="M691" s="109" t="n"/>
      <c r="N691" s="109" t="n"/>
      <c r="O691" s="74" t="n"/>
      <c r="P691" s="74" t="n"/>
      <c r="Q691" s="100" t="n"/>
      <c r="R691" s="110" t="n"/>
      <c r="S691" s="75">
        <f>IF(B691="","",SUMIFS('Payments'!$N$6:$N$1005,'Payments'!$B$6:$B$1005,B691))</f>
        <v/>
      </c>
      <c r="T691" s="111">
        <f>IF(OR(B691="",K691=0),"",S691/K691)</f>
        <v/>
      </c>
      <c r="U691" s="78">
        <f>IF(V691="","",IF(V691=2,"⚠️ Paying ahead of work","✓ OK"))</f>
        <v/>
      </c>
      <c r="V691" s="79">
        <f>IF(T691="","",IF(T691-R691&gt;OverpayTol,2,0))</f>
        <v/>
      </c>
      <c r="W691" s="112">
        <f>IF(V691=2,AsOf,"")</f>
        <v/>
      </c>
      <c r="X691" s="79">
        <f>IF(W691="","",1)</f>
        <v/>
      </c>
      <c r="Y691" s="79">
        <f>IF(X691="","","Paying ahead of work: "&amp;B691&amp;" — paid "&amp;ROUND(T691*100,0)&amp;"%, work done "&amp;ROUND(R691*100,0)&amp;"%")</f>
        <v/>
      </c>
      <c r="AA691" s="72" t="n"/>
      <c r="AB691" s="109" t="n"/>
      <c r="AC691" s="113" t="n"/>
      <c r="AD691" s="74" t="n"/>
      <c r="AE691" s="109" t="n"/>
      <c r="AF691" s="74" t="n"/>
      <c r="AG691" s="112">
        <f>IF(AND(AA691&lt;&gt;"",AD691="Yes",AF691&lt;&gt;"Yes",AE691&lt;&gt;""),AE691,"")</f>
        <v/>
      </c>
      <c r="AH691" s="79">
        <f>IF(AG691="","",IF(AG691&lt;AsOf,1,IF(AG691&lt;=AsOf+AlertDays,2,IF(AG691&lt;=AsOf+2*AlertDays,3,""))))</f>
        <v/>
      </c>
      <c r="AI691" s="79">
        <f>IF(AH691="","","Follow up with "&amp;AA691&amp;": "&amp;AC691)</f>
        <v/>
      </c>
    </row>
    <row r="692" ht="20" customHeight="1">
      <c r="B692" s="72" t="n"/>
      <c r="C692" s="72" t="n"/>
      <c r="D692" s="72" t="n"/>
      <c r="E692" s="72" t="n"/>
      <c r="F692" s="72" t="n"/>
      <c r="G692" s="72" t="n"/>
      <c r="H692" s="72" t="n"/>
      <c r="I692" s="73" t="n"/>
      <c r="J692" s="75">
        <f>IF(B692="","",SUMIFS('Change Orders'!$J$7:$J$1006,'Change Orders'!$E$7:$E$1006,B692,'Change Orders'!$L$7:$L$1006,"Approved"))</f>
        <v/>
      </c>
      <c r="K692" s="76">
        <f>IF(B692="","",I692+J692)</f>
        <v/>
      </c>
      <c r="L692" s="74" t="n"/>
      <c r="M692" s="109" t="n"/>
      <c r="N692" s="109" t="n"/>
      <c r="O692" s="74" t="n"/>
      <c r="P692" s="74" t="n"/>
      <c r="Q692" s="100" t="n"/>
      <c r="R692" s="110" t="n"/>
      <c r="S692" s="75">
        <f>IF(B692="","",SUMIFS('Payments'!$N$6:$N$1005,'Payments'!$B$6:$B$1005,B692))</f>
        <v/>
      </c>
      <c r="T692" s="111">
        <f>IF(OR(B692="",K692=0),"",S692/K692)</f>
        <v/>
      </c>
      <c r="U692" s="78">
        <f>IF(V692="","",IF(V692=2,"⚠️ Paying ahead of work","✓ OK"))</f>
        <v/>
      </c>
      <c r="V692" s="79">
        <f>IF(T692="","",IF(T692-R692&gt;OverpayTol,2,0))</f>
        <v/>
      </c>
      <c r="W692" s="112">
        <f>IF(V692=2,AsOf,"")</f>
        <v/>
      </c>
      <c r="X692" s="79">
        <f>IF(W692="","",1)</f>
        <v/>
      </c>
      <c r="Y692" s="79">
        <f>IF(X692="","","Paying ahead of work: "&amp;B692&amp;" — paid "&amp;ROUND(T692*100,0)&amp;"%, work done "&amp;ROUND(R692*100,0)&amp;"%")</f>
        <v/>
      </c>
      <c r="AA692" s="72" t="n"/>
      <c r="AB692" s="109" t="n"/>
      <c r="AC692" s="113" t="n"/>
      <c r="AD692" s="74" t="n"/>
      <c r="AE692" s="109" t="n"/>
      <c r="AF692" s="74" t="n"/>
      <c r="AG692" s="112">
        <f>IF(AND(AA692&lt;&gt;"",AD692="Yes",AF692&lt;&gt;"Yes",AE692&lt;&gt;""),AE692,"")</f>
        <v/>
      </c>
      <c r="AH692" s="79">
        <f>IF(AG692="","",IF(AG692&lt;AsOf,1,IF(AG692&lt;=AsOf+AlertDays,2,IF(AG692&lt;=AsOf+2*AlertDays,3,""))))</f>
        <v/>
      </c>
      <c r="AI692" s="79">
        <f>IF(AH692="","","Follow up with "&amp;AA692&amp;": "&amp;AC692)</f>
        <v/>
      </c>
    </row>
    <row r="693" ht="20" customHeight="1">
      <c r="B693" s="72" t="n"/>
      <c r="C693" s="72" t="n"/>
      <c r="D693" s="72" t="n"/>
      <c r="E693" s="72" t="n"/>
      <c r="F693" s="72" t="n"/>
      <c r="G693" s="72" t="n"/>
      <c r="H693" s="72" t="n"/>
      <c r="I693" s="73" t="n"/>
      <c r="J693" s="75">
        <f>IF(B693="","",SUMIFS('Change Orders'!$J$7:$J$1006,'Change Orders'!$E$7:$E$1006,B693,'Change Orders'!$L$7:$L$1006,"Approved"))</f>
        <v/>
      </c>
      <c r="K693" s="76">
        <f>IF(B693="","",I693+J693)</f>
        <v/>
      </c>
      <c r="L693" s="74" t="n"/>
      <c r="M693" s="109" t="n"/>
      <c r="N693" s="109" t="n"/>
      <c r="O693" s="74" t="n"/>
      <c r="P693" s="74" t="n"/>
      <c r="Q693" s="100" t="n"/>
      <c r="R693" s="110" t="n"/>
      <c r="S693" s="75">
        <f>IF(B693="","",SUMIFS('Payments'!$N$6:$N$1005,'Payments'!$B$6:$B$1005,B693))</f>
        <v/>
      </c>
      <c r="T693" s="111">
        <f>IF(OR(B693="",K693=0),"",S693/K693)</f>
        <v/>
      </c>
      <c r="U693" s="78">
        <f>IF(V693="","",IF(V693=2,"⚠️ Paying ahead of work","✓ OK"))</f>
        <v/>
      </c>
      <c r="V693" s="79">
        <f>IF(T693="","",IF(T693-R693&gt;OverpayTol,2,0))</f>
        <v/>
      </c>
      <c r="W693" s="112">
        <f>IF(V693=2,AsOf,"")</f>
        <v/>
      </c>
      <c r="X693" s="79">
        <f>IF(W693="","",1)</f>
        <v/>
      </c>
      <c r="Y693" s="79">
        <f>IF(X693="","","Paying ahead of work: "&amp;B693&amp;" — paid "&amp;ROUND(T693*100,0)&amp;"%, work done "&amp;ROUND(R693*100,0)&amp;"%")</f>
        <v/>
      </c>
      <c r="AA693" s="72" t="n"/>
      <c r="AB693" s="109" t="n"/>
      <c r="AC693" s="113" t="n"/>
      <c r="AD693" s="74" t="n"/>
      <c r="AE693" s="109" t="n"/>
      <c r="AF693" s="74" t="n"/>
      <c r="AG693" s="112">
        <f>IF(AND(AA693&lt;&gt;"",AD693="Yes",AF693&lt;&gt;"Yes",AE693&lt;&gt;""),AE693,"")</f>
        <v/>
      </c>
      <c r="AH693" s="79">
        <f>IF(AG693="","",IF(AG693&lt;AsOf,1,IF(AG693&lt;=AsOf+AlertDays,2,IF(AG693&lt;=AsOf+2*AlertDays,3,""))))</f>
        <v/>
      </c>
      <c r="AI693" s="79">
        <f>IF(AH693="","","Follow up with "&amp;AA693&amp;": "&amp;AC693)</f>
        <v/>
      </c>
    </row>
    <row r="694" ht="20" customHeight="1">
      <c r="B694" s="72" t="n"/>
      <c r="C694" s="72" t="n"/>
      <c r="D694" s="72" t="n"/>
      <c r="E694" s="72" t="n"/>
      <c r="F694" s="72" t="n"/>
      <c r="G694" s="72" t="n"/>
      <c r="H694" s="72" t="n"/>
      <c r="I694" s="73" t="n"/>
      <c r="J694" s="75">
        <f>IF(B694="","",SUMIFS('Change Orders'!$J$7:$J$1006,'Change Orders'!$E$7:$E$1006,B694,'Change Orders'!$L$7:$L$1006,"Approved"))</f>
        <v/>
      </c>
      <c r="K694" s="76">
        <f>IF(B694="","",I694+J694)</f>
        <v/>
      </c>
      <c r="L694" s="74" t="n"/>
      <c r="M694" s="109" t="n"/>
      <c r="N694" s="109" t="n"/>
      <c r="O694" s="74" t="n"/>
      <c r="P694" s="74" t="n"/>
      <c r="Q694" s="100" t="n"/>
      <c r="R694" s="110" t="n"/>
      <c r="S694" s="75">
        <f>IF(B694="","",SUMIFS('Payments'!$N$6:$N$1005,'Payments'!$B$6:$B$1005,B694))</f>
        <v/>
      </c>
      <c r="T694" s="111">
        <f>IF(OR(B694="",K694=0),"",S694/K694)</f>
        <v/>
      </c>
      <c r="U694" s="78">
        <f>IF(V694="","",IF(V694=2,"⚠️ Paying ahead of work","✓ OK"))</f>
        <v/>
      </c>
      <c r="V694" s="79">
        <f>IF(T694="","",IF(T694-R694&gt;OverpayTol,2,0))</f>
        <v/>
      </c>
      <c r="W694" s="112">
        <f>IF(V694=2,AsOf,"")</f>
        <v/>
      </c>
      <c r="X694" s="79">
        <f>IF(W694="","",1)</f>
        <v/>
      </c>
      <c r="Y694" s="79">
        <f>IF(X694="","","Paying ahead of work: "&amp;B694&amp;" — paid "&amp;ROUND(T694*100,0)&amp;"%, work done "&amp;ROUND(R694*100,0)&amp;"%")</f>
        <v/>
      </c>
      <c r="AA694" s="72" t="n"/>
      <c r="AB694" s="109" t="n"/>
      <c r="AC694" s="113" t="n"/>
      <c r="AD694" s="74" t="n"/>
      <c r="AE694" s="109" t="n"/>
      <c r="AF694" s="74" t="n"/>
      <c r="AG694" s="112">
        <f>IF(AND(AA694&lt;&gt;"",AD694="Yes",AF694&lt;&gt;"Yes",AE694&lt;&gt;""),AE694,"")</f>
        <v/>
      </c>
      <c r="AH694" s="79">
        <f>IF(AG694="","",IF(AG694&lt;AsOf,1,IF(AG694&lt;=AsOf+AlertDays,2,IF(AG694&lt;=AsOf+2*AlertDays,3,""))))</f>
        <v/>
      </c>
      <c r="AI694" s="79">
        <f>IF(AH694="","","Follow up with "&amp;AA694&amp;": "&amp;AC694)</f>
        <v/>
      </c>
    </row>
    <row r="695" ht="20" customHeight="1">
      <c r="B695" s="72" t="n"/>
      <c r="C695" s="72" t="n"/>
      <c r="D695" s="72" t="n"/>
      <c r="E695" s="72" t="n"/>
      <c r="F695" s="72" t="n"/>
      <c r="G695" s="72" t="n"/>
      <c r="H695" s="72" t="n"/>
      <c r="I695" s="73" t="n"/>
      <c r="J695" s="75">
        <f>IF(B695="","",SUMIFS('Change Orders'!$J$7:$J$1006,'Change Orders'!$E$7:$E$1006,B695,'Change Orders'!$L$7:$L$1006,"Approved"))</f>
        <v/>
      </c>
      <c r="K695" s="76">
        <f>IF(B695="","",I695+J695)</f>
        <v/>
      </c>
      <c r="L695" s="74" t="n"/>
      <c r="M695" s="109" t="n"/>
      <c r="N695" s="109" t="n"/>
      <c r="O695" s="74" t="n"/>
      <c r="P695" s="74" t="n"/>
      <c r="Q695" s="100" t="n"/>
      <c r="R695" s="110" t="n"/>
      <c r="S695" s="75">
        <f>IF(B695="","",SUMIFS('Payments'!$N$6:$N$1005,'Payments'!$B$6:$B$1005,B695))</f>
        <v/>
      </c>
      <c r="T695" s="111">
        <f>IF(OR(B695="",K695=0),"",S695/K695)</f>
        <v/>
      </c>
      <c r="U695" s="78">
        <f>IF(V695="","",IF(V695=2,"⚠️ Paying ahead of work","✓ OK"))</f>
        <v/>
      </c>
      <c r="V695" s="79">
        <f>IF(T695="","",IF(T695-R695&gt;OverpayTol,2,0))</f>
        <v/>
      </c>
      <c r="W695" s="112">
        <f>IF(V695=2,AsOf,"")</f>
        <v/>
      </c>
      <c r="X695" s="79">
        <f>IF(W695="","",1)</f>
        <v/>
      </c>
      <c r="Y695" s="79">
        <f>IF(X695="","","Paying ahead of work: "&amp;B695&amp;" — paid "&amp;ROUND(T695*100,0)&amp;"%, work done "&amp;ROUND(R695*100,0)&amp;"%")</f>
        <v/>
      </c>
      <c r="AA695" s="72" t="n"/>
      <c r="AB695" s="109" t="n"/>
      <c r="AC695" s="113" t="n"/>
      <c r="AD695" s="74" t="n"/>
      <c r="AE695" s="109" t="n"/>
      <c r="AF695" s="74" t="n"/>
      <c r="AG695" s="112">
        <f>IF(AND(AA695&lt;&gt;"",AD695="Yes",AF695&lt;&gt;"Yes",AE695&lt;&gt;""),AE695,"")</f>
        <v/>
      </c>
      <c r="AH695" s="79">
        <f>IF(AG695="","",IF(AG695&lt;AsOf,1,IF(AG695&lt;=AsOf+AlertDays,2,IF(AG695&lt;=AsOf+2*AlertDays,3,""))))</f>
        <v/>
      </c>
      <c r="AI695" s="79">
        <f>IF(AH695="","","Follow up with "&amp;AA695&amp;": "&amp;AC695)</f>
        <v/>
      </c>
    </row>
    <row r="696" ht="20" customHeight="1">
      <c r="B696" s="72" t="n"/>
      <c r="C696" s="72" t="n"/>
      <c r="D696" s="72" t="n"/>
      <c r="E696" s="72" t="n"/>
      <c r="F696" s="72" t="n"/>
      <c r="G696" s="72" t="n"/>
      <c r="H696" s="72" t="n"/>
      <c r="I696" s="73" t="n"/>
      <c r="J696" s="75">
        <f>IF(B696="","",SUMIFS('Change Orders'!$J$7:$J$1006,'Change Orders'!$E$7:$E$1006,B696,'Change Orders'!$L$7:$L$1006,"Approved"))</f>
        <v/>
      </c>
      <c r="K696" s="76">
        <f>IF(B696="","",I696+J696)</f>
        <v/>
      </c>
      <c r="L696" s="74" t="n"/>
      <c r="M696" s="109" t="n"/>
      <c r="N696" s="109" t="n"/>
      <c r="O696" s="74" t="n"/>
      <c r="P696" s="74" t="n"/>
      <c r="Q696" s="100" t="n"/>
      <c r="R696" s="110" t="n"/>
      <c r="S696" s="75">
        <f>IF(B696="","",SUMIFS('Payments'!$N$6:$N$1005,'Payments'!$B$6:$B$1005,B696))</f>
        <v/>
      </c>
      <c r="T696" s="111">
        <f>IF(OR(B696="",K696=0),"",S696/K696)</f>
        <v/>
      </c>
      <c r="U696" s="78">
        <f>IF(V696="","",IF(V696=2,"⚠️ Paying ahead of work","✓ OK"))</f>
        <v/>
      </c>
      <c r="V696" s="79">
        <f>IF(T696="","",IF(T696-R696&gt;OverpayTol,2,0))</f>
        <v/>
      </c>
      <c r="W696" s="112">
        <f>IF(V696=2,AsOf,"")</f>
        <v/>
      </c>
      <c r="X696" s="79">
        <f>IF(W696="","",1)</f>
        <v/>
      </c>
      <c r="Y696" s="79">
        <f>IF(X696="","","Paying ahead of work: "&amp;B696&amp;" — paid "&amp;ROUND(T696*100,0)&amp;"%, work done "&amp;ROUND(R696*100,0)&amp;"%")</f>
        <v/>
      </c>
      <c r="AA696" s="72" t="n"/>
      <c r="AB696" s="109" t="n"/>
      <c r="AC696" s="113" t="n"/>
      <c r="AD696" s="74" t="n"/>
      <c r="AE696" s="109" t="n"/>
      <c r="AF696" s="74" t="n"/>
      <c r="AG696" s="112">
        <f>IF(AND(AA696&lt;&gt;"",AD696="Yes",AF696&lt;&gt;"Yes",AE696&lt;&gt;""),AE696,"")</f>
        <v/>
      </c>
      <c r="AH696" s="79">
        <f>IF(AG696="","",IF(AG696&lt;AsOf,1,IF(AG696&lt;=AsOf+AlertDays,2,IF(AG696&lt;=AsOf+2*AlertDays,3,""))))</f>
        <v/>
      </c>
      <c r="AI696" s="79">
        <f>IF(AH696="","","Follow up with "&amp;AA696&amp;": "&amp;AC696)</f>
        <v/>
      </c>
    </row>
    <row r="697" ht="20" customHeight="1">
      <c r="B697" s="72" t="n"/>
      <c r="C697" s="72" t="n"/>
      <c r="D697" s="72" t="n"/>
      <c r="E697" s="72" t="n"/>
      <c r="F697" s="72" t="n"/>
      <c r="G697" s="72" t="n"/>
      <c r="H697" s="72" t="n"/>
      <c r="I697" s="73" t="n"/>
      <c r="J697" s="75">
        <f>IF(B697="","",SUMIFS('Change Orders'!$J$7:$J$1006,'Change Orders'!$E$7:$E$1006,B697,'Change Orders'!$L$7:$L$1006,"Approved"))</f>
        <v/>
      </c>
      <c r="K697" s="76">
        <f>IF(B697="","",I697+J697)</f>
        <v/>
      </c>
      <c r="L697" s="74" t="n"/>
      <c r="M697" s="109" t="n"/>
      <c r="N697" s="109" t="n"/>
      <c r="O697" s="74" t="n"/>
      <c r="P697" s="74" t="n"/>
      <c r="Q697" s="100" t="n"/>
      <c r="R697" s="110" t="n"/>
      <c r="S697" s="75">
        <f>IF(B697="","",SUMIFS('Payments'!$N$6:$N$1005,'Payments'!$B$6:$B$1005,B697))</f>
        <v/>
      </c>
      <c r="T697" s="111">
        <f>IF(OR(B697="",K697=0),"",S697/K697)</f>
        <v/>
      </c>
      <c r="U697" s="78">
        <f>IF(V697="","",IF(V697=2,"⚠️ Paying ahead of work","✓ OK"))</f>
        <v/>
      </c>
      <c r="V697" s="79">
        <f>IF(T697="","",IF(T697-R697&gt;OverpayTol,2,0))</f>
        <v/>
      </c>
      <c r="W697" s="112">
        <f>IF(V697=2,AsOf,"")</f>
        <v/>
      </c>
      <c r="X697" s="79">
        <f>IF(W697="","",1)</f>
        <v/>
      </c>
      <c r="Y697" s="79">
        <f>IF(X697="","","Paying ahead of work: "&amp;B697&amp;" — paid "&amp;ROUND(T697*100,0)&amp;"%, work done "&amp;ROUND(R697*100,0)&amp;"%")</f>
        <v/>
      </c>
      <c r="AA697" s="72" t="n"/>
      <c r="AB697" s="109" t="n"/>
      <c r="AC697" s="113" t="n"/>
      <c r="AD697" s="74" t="n"/>
      <c r="AE697" s="109" t="n"/>
      <c r="AF697" s="74" t="n"/>
      <c r="AG697" s="112">
        <f>IF(AND(AA697&lt;&gt;"",AD697="Yes",AF697&lt;&gt;"Yes",AE697&lt;&gt;""),AE697,"")</f>
        <v/>
      </c>
      <c r="AH697" s="79">
        <f>IF(AG697="","",IF(AG697&lt;AsOf,1,IF(AG697&lt;=AsOf+AlertDays,2,IF(AG697&lt;=AsOf+2*AlertDays,3,""))))</f>
        <v/>
      </c>
      <c r="AI697" s="79">
        <f>IF(AH697="","","Follow up with "&amp;AA697&amp;": "&amp;AC697)</f>
        <v/>
      </c>
    </row>
    <row r="698" ht="20" customHeight="1">
      <c r="B698" s="72" t="n"/>
      <c r="C698" s="72" t="n"/>
      <c r="D698" s="72" t="n"/>
      <c r="E698" s="72" t="n"/>
      <c r="F698" s="72" t="n"/>
      <c r="G698" s="72" t="n"/>
      <c r="H698" s="72" t="n"/>
      <c r="I698" s="73" t="n"/>
      <c r="J698" s="75">
        <f>IF(B698="","",SUMIFS('Change Orders'!$J$7:$J$1006,'Change Orders'!$E$7:$E$1006,B698,'Change Orders'!$L$7:$L$1006,"Approved"))</f>
        <v/>
      </c>
      <c r="K698" s="76">
        <f>IF(B698="","",I698+J698)</f>
        <v/>
      </c>
      <c r="L698" s="74" t="n"/>
      <c r="M698" s="109" t="n"/>
      <c r="N698" s="109" t="n"/>
      <c r="O698" s="74" t="n"/>
      <c r="P698" s="74" t="n"/>
      <c r="Q698" s="100" t="n"/>
      <c r="R698" s="110" t="n"/>
      <c r="S698" s="75">
        <f>IF(B698="","",SUMIFS('Payments'!$N$6:$N$1005,'Payments'!$B$6:$B$1005,B698))</f>
        <v/>
      </c>
      <c r="T698" s="111">
        <f>IF(OR(B698="",K698=0),"",S698/K698)</f>
        <v/>
      </c>
      <c r="U698" s="78">
        <f>IF(V698="","",IF(V698=2,"⚠️ Paying ahead of work","✓ OK"))</f>
        <v/>
      </c>
      <c r="V698" s="79">
        <f>IF(T698="","",IF(T698-R698&gt;OverpayTol,2,0))</f>
        <v/>
      </c>
      <c r="W698" s="112">
        <f>IF(V698=2,AsOf,"")</f>
        <v/>
      </c>
      <c r="X698" s="79">
        <f>IF(W698="","",1)</f>
        <v/>
      </c>
      <c r="Y698" s="79">
        <f>IF(X698="","","Paying ahead of work: "&amp;B698&amp;" — paid "&amp;ROUND(T698*100,0)&amp;"%, work done "&amp;ROUND(R698*100,0)&amp;"%")</f>
        <v/>
      </c>
      <c r="AA698" s="72" t="n"/>
      <c r="AB698" s="109" t="n"/>
      <c r="AC698" s="113" t="n"/>
      <c r="AD698" s="74" t="n"/>
      <c r="AE698" s="109" t="n"/>
      <c r="AF698" s="74" t="n"/>
      <c r="AG698" s="112">
        <f>IF(AND(AA698&lt;&gt;"",AD698="Yes",AF698&lt;&gt;"Yes",AE698&lt;&gt;""),AE698,"")</f>
        <v/>
      </c>
      <c r="AH698" s="79">
        <f>IF(AG698="","",IF(AG698&lt;AsOf,1,IF(AG698&lt;=AsOf+AlertDays,2,IF(AG698&lt;=AsOf+2*AlertDays,3,""))))</f>
        <v/>
      </c>
      <c r="AI698" s="79">
        <f>IF(AH698="","","Follow up with "&amp;AA698&amp;": "&amp;AC698)</f>
        <v/>
      </c>
    </row>
    <row r="699" ht="20" customHeight="1">
      <c r="B699" s="72" t="n"/>
      <c r="C699" s="72" t="n"/>
      <c r="D699" s="72" t="n"/>
      <c r="E699" s="72" t="n"/>
      <c r="F699" s="72" t="n"/>
      <c r="G699" s="72" t="n"/>
      <c r="H699" s="72" t="n"/>
      <c r="I699" s="73" t="n"/>
      <c r="J699" s="75">
        <f>IF(B699="","",SUMIFS('Change Orders'!$J$7:$J$1006,'Change Orders'!$E$7:$E$1006,B699,'Change Orders'!$L$7:$L$1006,"Approved"))</f>
        <v/>
      </c>
      <c r="K699" s="76">
        <f>IF(B699="","",I699+J699)</f>
        <v/>
      </c>
      <c r="L699" s="74" t="n"/>
      <c r="M699" s="109" t="n"/>
      <c r="N699" s="109" t="n"/>
      <c r="O699" s="74" t="n"/>
      <c r="P699" s="74" t="n"/>
      <c r="Q699" s="100" t="n"/>
      <c r="R699" s="110" t="n"/>
      <c r="S699" s="75">
        <f>IF(B699="","",SUMIFS('Payments'!$N$6:$N$1005,'Payments'!$B$6:$B$1005,B699))</f>
        <v/>
      </c>
      <c r="T699" s="111">
        <f>IF(OR(B699="",K699=0),"",S699/K699)</f>
        <v/>
      </c>
      <c r="U699" s="78">
        <f>IF(V699="","",IF(V699=2,"⚠️ Paying ahead of work","✓ OK"))</f>
        <v/>
      </c>
      <c r="V699" s="79">
        <f>IF(T699="","",IF(T699-R699&gt;OverpayTol,2,0))</f>
        <v/>
      </c>
      <c r="W699" s="112">
        <f>IF(V699=2,AsOf,"")</f>
        <v/>
      </c>
      <c r="X699" s="79">
        <f>IF(W699="","",1)</f>
        <v/>
      </c>
      <c r="Y699" s="79">
        <f>IF(X699="","","Paying ahead of work: "&amp;B699&amp;" — paid "&amp;ROUND(T699*100,0)&amp;"%, work done "&amp;ROUND(R699*100,0)&amp;"%")</f>
        <v/>
      </c>
      <c r="AA699" s="72" t="n"/>
      <c r="AB699" s="109" t="n"/>
      <c r="AC699" s="113" t="n"/>
      <c r="AD699" s="74" t="n"/>
      <c r="AE699" s="109" t="n"/>
      <c r="AF699" s="74" t="n"/>
      <c r="AG699" s="112">
        <f>IF(AND(AA699&lt;&gt;"",AD699="Yes",AF699&lt;&gt;"Yes",AE699&lt;&gt;""),AE699,"")</f>
        <v/>
      </c>
      <c r="AH699" s="79">
        <f>IF(AG699="","",IF(AG699&lt;AsOf,1,IF(AG699&lt;=AsOf+AlertDays,2,IF(AG699&lt;=AsOf+2*AlertDays,3,""))))</f>
        <v/>
      </c>
      <c r="AI699" s="79">
        <f>IF(AH699="","","Follow up with "&amp;AA699&amp;": "&amp;AC699)</f>
        <v/>
      </c>
    </row>
    <row r="700" ht="20" customHeight="1">
      <c r="B700" s="72" t="n"/>
      <c r="C700" s="72" t="n"/>
      <c r="D700" s="72" t="n"/>
      <c r="E700" s="72" t="n"/>
      <c r="F700" s="72" t="n"/>
      <c r="G700" s="72" t="n"/>
      <c r="H700" s="72" t="n"/>
      <c r="I700" s="73" t="n"/>
      <c r="J700" s="75">
        <f>IF(B700="","",SUMIFS('Change Orders'!$J$7:$J$1006,'Change Orders'!$E$7:$E$1006,B700,'Change Orders'!$L$7:$L$1006,"Approved"))</f>
        <v/>
      </c>
      <c r="K700" s="76">
        <f>IF(B700="","",I700+J700)</f>
        <v/>
      </c>
      <c r="L700" s="74" t="n"/>
      <c r="M700" s="109" t="n"/>
      <c r="N700" s="109" t="n"/>
      <c r="O700" s="74" t="n"/>
      <c r="P700" s="74" t="n"/>
      <c r="Q700" s="100" t="n"/>
      <c r="R700" s="110" t="n"/>
      <c r="S700" s="75">
        <f>IF(B700="","",SUMIFS('Payments'!$N$6:$N$1005,'Payments'!$B$6:$B$1005,B700))</f>
        <v/>
      </c>
      <c r="T700" s="111">
        <f>IF(OR(B700="",K700=0),"",S700/K700)</f>
        <v/>
      </c>
      <c r="U700" s="78">
        <f>IF(V700="","",IF(V700=2,"⚠️ Paying ahead of work","✓ OK"))</f>
        <v/>
      </c>
      <c r="V700" s="79">
        <f>IF(T700="","",IF(T700-R700&gt;OverpayTol,2,0))</f>
        <v/>
      </c>
      <c r="W700" s="112">
        <f>IF(V700=2,AsOf,"")</f>
        <v/>
      </c>
      <c r="X700" s="79">
        <f>IF(W700="","",1)</f>
        <v/>
      </c>
      <c r="Y700" s="79">
        <f>IF(X700="","","Paying ahead of work: "&amp;B700&amp;" — paid "&amp;ROUND(T700*100,0)&amp;"%, work done "&amp;ROUND(R700*100,0)&amp;"%")</f>
        <v/>
      </c>
      <c r="AA700" s="72" t="n"/>
      <c r="AB700" s="109" t="n"/>
      <c r="AC700" s="113" t="n"/>
      <c r="AD700" s="74" t="n"/>
      <c r="AE700" s="109" t="n"/>
      <c r="AF700" s="74" t="n"/>
      <c r="AG700" s="112">
        <f>IF(AND(AA700&lt;&gt;"",AD700="Yes",AF700&lt;&gt;"Yes",AE700&lt;&gt;""),AE700,"")</f>
        <v/>
      </c>
      <c r="AH700" s="79">
        <f>IF(AG700="","",IF(AG700&lt;AsOf,1,IF(AG700&lt;=AsOf+AlertDays,2,IF(AG700&lt;=AsOf+2*AlertDays,3,""))))</f>
        <v/>
      </c>
      <c r="AI700" s="79">
        <f>IF(AH700="","","Follow up with "&amp;AA700&amp;": "&amp;AC700)</f>
        <v/>
      </c>
    </row>
    <row r="701" ht="20" customHeight="1">
      <c r="B701" s="72" t="n"/>
      <c r="C701" s="72" t="n"/>
      <c r="D701" s="72" t="n"/>
      <c r="E701" s="72" t="n"/>
      <c r="F701" s="72" t="n"/>
      <c r="G701" s="72" t="n"/>
      <c r="H701" s="72" t="n"/>
      <c r="I701" s="73" t="n"/>
      <c r="J701" s="75">
        <f>IF(B701="","",SUMIFS('Change Orders'!$J$7:$J$1006,'Change Orders'!$E$7:$E$1006,B701,'Change Orders'!$L$7:$L$1006,"Approved"))</f>
        <v/>
      </c>
      <c r="K701" s="76">
        <f>IF(B701="","",I701+J701)</f>
        <v/>
      </c>
      <c r="L701" s="74" t="n"/>
      <c r="M701" s="109" t="n"/>
      <c r="N701" s="109" t="n"/>
      <c r="O701" s="74" t="n"/>
      <c r="P701" s="74" t="n"/>
      <c r="Q701" s="100" t="n"/>
      <c r="R701" s="110" t="n"/>
      <c r="S701" s="75">
        <f>IF(B701="","",SUMIFS('Payments'!$N$6:$N$1005,'Payments'!$B$6:$B$1005,B701))</f>
        <v/>
      </c>
      <c r="T701" s="111">
        <f>IF(OR(B701="",K701=0),"",S701/K701)</f>
        <v/>
      </c>
      <c r="U701" s="78">
        <f>IF(V701="","",IF(V701=2,"⚠️ Paying ahead of work","✓ OK"))</f>
        <v/>
      </c>
      <c r="V701" s="79">
        <f>IF(T701="","",IF(T701-R701&gt;OverpayTol,2,0))</f>
        <v/>
      </c>
      <c r="W701" s="112">
        <f>IF(V701=2,AsOf,"")</f>
        <v/>
      </c>
      <c r="X701" s="79">
        <f>IF(W701="","",1)</f>
        <v/>
      </c>
      <c r="Y701" s="79">
        <f>IF(X701="","","Paying ahead of work: "&amp;B701&amp;" — paid "&amp;ROUND(T701*100,0)&amp;"%, work done "&amp;ROUND(R701*100,0)&amp;"%")</f>
        <v/>
      </c>
      <c r="AA701" s="72" t="n"/>
      <c r="AB701" s="109" t="n"/>
      <c r="AC701" s="113" t="n"/>
      <c r="AD701" s="74" t="n"/>
      <c r="AE701" s="109" t="n"/>
      <c r="AF701" s="74" t="n"/>
      <c r="AG701" s="112">
        <f>IF(AND(AA701&lt;&gt;"",AD701="Yes",AF701&lt;&gt;"Yes",AE701&lt;&gt;""),AE701,"")</f>
        <v/>
      </c>
      <c r="AH701" s="79">
        <f>IF(AG701="","",IF(AG701&lt;AsOf,1,IF(AG701&lt;=AsOf+AlertDays,2,IF(AG701&lt;=AsOf+2*AlertDays,3,""))))</f>
        <v/>
      </c>
      <c r="AI701" s="79">
        <f>IF(AH701="","","Follow up with "&amp;AA701&amp;": "&amp;AC701)</f>
        <v/>
      </c>
    </row>
    <row r="702" ht="20" customHeight="1">
      <c r="B702" s="72" t="n"/>
      <c r="C702" s="72" t="n"/>
      <c r="D702" s="72" t="n"/>
      <c r="E702" s="72" t="n"/>
      <c r="F702" s="72" t="n"/>
      <c r="G702" s="72" t="n"/>
      <c r="H702" s="72" t="n"/>
      <c r="I702" s="73" t="n"/>
      <c r="J702" s="75">
        <f>IF(B702="","",SUMIFS('Change Orders'!$J$7:$J$1006,'Change Orders'!$E$7:$E$1006,B702,'Change Orders'!$L$7:$L$1006,"Approved"))</f>
        <v/>
      </c>
      <c r="K702" s="76">
        <f>IF(B702="","",I702+J702)</f>
        <v/>
      </c>
      <c r="L702" s="74" t="n"/>
      <c r="M702" s="109" t="n"/>
      <c r="N702" s="109" t="n"/>
      <c r="O702" s="74" t="n"/>
      <c r="P702" s="74" t="n"/>
      <c r="Q702" s="100" t="n"/>
      <c r="R702" s="110" t="n"/>
      <c r="S702" s="75">
        <f>IF(B702="","",SUMIFS('Payments'!$N$6:$N$1005,'Payments'!$B$6:$B$1005,B702))</f>
        <v/>
      </c>
      <c r="T702" s="111">
        <f>IF(OR(B702="",K702=0),"",S702/K702)</f>
        <v/>
      </c>
      <c r="U702" s="78">
        <f>IF(V702="","",IF(V702=2,"⚠️ Paying ahead of work","✓ OK"))</f>
        <v/>
      </c>
      <c r="V702" s="79">
        <f>IF(T702="","",IF(T702-R702&gt;OverpayTol,2,0))</f>
        <v/>
      </c>
      <c r="W702" s="112">
        <f>IF(V702=2,AsOf,"")</f>
        <v/>
      </c>
      <c r="X702" s="79">
        <f>IF(W702="","",1)</f>
        <v/>
      </c>
      <c r="Y702" s="79">
        <f>IF(X702="","","Paying ahead of work: "&amp;B702&amp;" — paid "&amp;ROUND(T702*100,0)&amp;"%, work done "&amp;ROUND(R702*100,0)&amp;"%")</f>
        <v/>
      </c>
      <c r="AA702" s="72" t="n"/>
      <c r="AB702" s="109" t="n"/>
      <c r="AC702" s="113" t="n"/>
      <c r="AD702" s="74" t="n"/>
      <c r="AE702" s="109" t="n"/>
      <c r="AF702" s="74" t="n"/>
      <c r="AG702" s="112">
        <f>IF(AND(AA702&lt;&gt;"",AD702="Yes",AF702&lt;&gt;"Yes",AE702&lt;&gt;""),AE702,"")</f>
        <v/>
      </c>
      <c r="AH702" s="79">
        <f>IF(AG702="","",IF(AG702&lt;AsOf,1,IF(AG702&lt;=AsOf+AlertDays,2,IF(AG702&lt;=AsOf+2*AlertDays,3,""))))</f>
        <v/>
      </c>
      <c r="AI702" s="79">
        <f>IF(AH702="","","Follow up with "&amp;AA702&amp;": "&amp;AC702)</f>
        <v/>
      </c>
    </row>
    <row r="703" ht="20" customHeight="1">
      <c r="B703" s="72" t="n"/>
      <c r="C703" s="72" t="n"/>
      <c r="D703" s="72" t="n"/>
      <c r="E703" s="72" t="n"/>
      <c r="F703" s="72" t="n"/>
      <c r="G703" s="72" t="n"/>
      <c r="H703" s="72" t="n"/>
      <c r="I703" s="73" t="n"/>
      <c r="J703" s="75">
        <f>IF(B703="","",SUMIFS('Change Orders'!$J$7:$J$1006,'Change Orders'!$E$7:$E$1006,B703,'Change Orders'!$L$7:$L$1006,"Approved"))</f>
        <v/>
      </c>
      <c r="K703" s="76">
        <f>IF(B703="","",I703+J703)</f>
        <v/>
      </c>
      <c r="L703" s="74" t="n"/>
      <c r="M703" s="109" t="n"/>
      <c r="N703" s="109" t="n"/>
      <c r="O703" s="74" t="n"/>
      <c r="P703" s="74" t="n"/>
      <c r="Q703" s="100" t="n"/>
      <c r="R703" s="110" t="n"/>
      <c r="S703" s="75">
        <f>IF(B703="","",SUMIFS('Payments'!$N$6:$N$1005,'Payments'!$B$6:$B$1005,B703))</f>
        <v/>
      </c>
      <c r="T703" s="111">
        <f>IF(OR(B703="",K703=0),"",S703/K703)</f>
        <v/>
      </c>
      <c r="U703" s="78">
        <f>IF(V703="","",IF(V703=2,"⚠️ Paying ahead of work","✓ OK"))</f>
        <v/>
      </c>
      <c r="V703" s="79">
        <f>IF(T703="","",IF(T703-R703&gt;OverpayTol,2,0))</f>
        <v/>
      </c>
      <c r="W703" s="112">
        <f>IF(V703=2,AsOf,"")</f>
        <v/>
      </c>
      <c r="X703" s="79">
        <f>IF(W703="","",1)</f>
        <v/>
      </c>
      <c r="Y703" s="79">
        <f>IF(X703="","","Paying ahead of work: "&amp;B703&amp;" — paid "&amp;ROUND(T703*100,0)&amp;"%, work done "&amp;ROUND(R703*100,0)&amp;"%")</f>
        <v/>
      </c>
      <c r="AA703" s="72" t="n"/>
      <c r="AB703" s="109" t="n"/>
      <c r="AC703" s="113" t="n"/>
      <c r="AD703" s="74" t="n"/>
      <c r="AE703" s="109" t="n"/>
      <c r="AF703" s="74" t="n"/>
      <c r="AG703" s="112">
        <f>IF(AND(AA703&lt;&gt;"",AD703="Yes",AF703&lt;&gt;"Yes",AE703&lt;&gt;""),AE703,"")</f>
        <v/>
      </c>
      <c r="AH703" s="79">
        <f>IF(AG703="","",IF(AG703&lt;AsOf,1,IF(AG703&lt;=AsOf+AlertDays,2,IF(AG703&lt;=AsOf+2*AlertDays,3,""))))</f>
        <v/>
      </c>
      <c r="AI703" s="79">
        <f>IF(AH703="","","Follow up with "&amp;AA703&amp;": "&amp;AC703)</f>
        <v/>
      </c>
    </row>
    <row r="704" ht="20" customHeight="1">
      <c r="B704" s="72" t="n"/>
      <c r="C704" s="72" t="n"/>
      <c r="D704" s="72" t="n"/>
      <c r="E704" s="72" t="n"/>
      <c r="F704" s="72" t="n"/>
      <c r="G704" s="72" t="n"/>
      <c r="H704" s="72" t="n"/>
      <c r="I704" s="73" t="n"/>
      <c r="J704" s="75">
        <f>IF(B704="","",SUMIFS('Change Orders'!$J$7:$J$1006,'Change Orders'!$E$7:$E$1006,B704,'Change Orders'!$L$7:$L$1006,"Approved"))</f>
        <v/>
      </c>
      <c r="K704" s="76">
        <f>IF(B704="","",I704+J704)</f>
        <v/>
      </c>
      <c r="L704" s="74" t="n"/>
      <c r="M704" s="109" t="n"/>
      <c r="N704" s="109" t="n"/>
      <c r="O704" s="74" t="n"/>
      <c r="P704" s="74" t="n"/>
      <c r="Q704" s="100" t="n"/>
      <c r="R704" s="110" t="n"/>
      <c r="S704" s="75">
        <f>IF(B704="","",SUMIFS('Payments'!$N$6:$N$1005,'Payments'!$B$6:$B$1005,B704))</f>
        <v/>
      </c>
      <c r="T704" s="111">
        <f>IF(OR(B704="",K704=0),"",S704/K704)</f>
        <v/>
      </c>
      <c r="U704" s="78">
        <f>IF(V704="","",IF(V704=2,"⚠️ Paying ahead of work","✓ OK"))</f>
        <v/>
      </c>
      <c r="V704" s="79">
        <f>IF(T704="","",IF(T704-R704&gt;OverpayTol,2,0))</f>
        <v/>
      </c>
      <c r="W704" s="112">
        <f>IF(V704=2,AsOf,"")</f>
        <v/>
      </c>
      <c r="X704" s="79">
        <f>IF(W704="","",1)</f>
        <v/>
      </c>
      <c r="Y704" s="79">
        <f>IF(X704="","","Paying ahead of work: "&amp;B704&amp;" — paid "&amp;ROUND(T704*100,0)&amp;"%, work done "&amp;ROUND(R704*100,0)&amp;"%")</f>
        <v/>
      </c>
      <c r="AA704" s="72" t="n"/>
      <c r="AB704" s="109" t="n"/>
      <c r="AC704" s="113" t="n"/>
      <c r="AD704" s="74" t="n"/>
      <c r="AE704" s="109" t="n"/>
      <c r="AF704" s="74" t="n"/>
      <c r="AG704" s="112">
        <f>IF(AND(AA704&lt;&gt;"",AD704="Yes",AF704&lt;&gt;"Yes",AE704&lt;&gt;""),AE704,"")</f>
        <v/>
      </c>
      <c r="AH704" s="79">
        <f>IF(AG704="","",IF(AG704&lt;AsOf,1,IF(AG704&lt;=AsOf+AlertDays,2,IF(AG704&lt;=AsOf+2*AlertDays,3,""))))</f>
        <v/>
      </c>
      <c r="AI704" s="79">
        <f>IF(AH704="","","Follow up with "&amp;AA704&amp;": "&amp;AC704)</f>
        <v/>
      </c>
    </row>
    <row r="705" ht="20" customHeight="1">
      <c r="B705" s="72" t="n"/>
      <c r="C705" s="72" t="n"/>
      <c r="D705" s="72" t="n"/>
      <c r="E705" s="72" t="n"/>
      <c r="F705" s="72" t="n"/>
      <c r="G705" s="72" t="n"/>
      <c r="H705" s="72" t="n"/>
      <c r="I705" s="73" t="n"/>
      <c r="J705" s="75">
        <f>IF(B705="","",SUMIFS('Change Orders'!$J$7:$J$1006,'Change Orders'!$E$7:$E$1006,B705,'Change Orders'!$L$7:$L$1006,"Approved"))</f>
        <v/>
      </c>
      <c r="K705" s="76">
        <f>IF(B705="","",I705+J705)</f>
        <v/>
      </c>
      <c r="L705" s="74" t="n"/>
      <c r="M705" s="109" t="n"/>
      <c r="N705" s="109" t="n"/>
      <c r="O705" s="74" t="n"/>
      <c r="P705" s="74" t="n"/>
      <c r="Q705" s="100" t="n"/>
      <c r="R705" s="110" t="n"/>
      <c r="S705" s="75">
        <f>IF(B705="","",SUMIFS('Payments'!$N$6:$N$1005,'Payments'!$B$6:$B$1005,B705))</f>
        <v/>
      </c>
      <c r="T705" s="111">
        <f>IF(OR(B705="",K705=0),"",S705/K705)</f>
        <v/>
      </c>
      <c r="U705" s="78">
        <f>IF(V705="","",IF(V705=2,"⚠️ Paying ahead of work","✓ OK"))</f>
        <v/>
      </c>
      <c r="V705" s="79">
        <f>IF(T705="","",IF(T705-R705&gt;OverpayTol,2,0))</f>
        <v/>
      </c>
      <c r="W705" s="112">
        <f>IF(V705=2,AsOf,"")</f>
        <v/>
      </c>
      <c r="X705" s="79">
        <f>IF(W705="","",1)</f>
        <v/>
      </c>
      <c r="Y705" s="79">
        <f>IF(X705="","","Paying ahead of work: "&amp;B705&amp;" — paid "&amp;ROUND(T705*100,0)&amp;"%, work done "&amp;ROUND(R705*100,0)&amp;"%")</f>
        <v/>
      </c>
      <c r="AA705" s="72" t="n"/>
      <c r="AB705" s="109" t="n"/>
      <c r="AC705" s="113" t="n"/>
      <c r="AD705" s="74" t="n"/>
      <c r="AE705" s="109" t="n"/>
      <c r="AF705" s="74" t="n"/>
      <c r="AG705" s="112">
        <f>IF(AND(AA705&lt;&gt;"",AD705="Yes",AF705&lt;&gt;"Yes",AE705&lt;&gt;""),AE705,"")</f>
        <v/>
      </c>
      <c r="AH705" s="79">
        <f>IF(AG705="","",IF(AG705&lt;AsOf,1,IF(AG705&lt;=AsOf+AlertDays,2,IF(AG705&lt;=AsOf+2*AlertDays,3,""))))</f>
        <v/>
      </c>
      <c r="AI705" s="79">
        <f>IF(AH705="","","Follow up with "&amp;AA705&amp;": "&amp;AC705)</f>
        <v/>
      </c>
    </row>
    <row r="706" ht="20" customHeight="1">
      <c r="B706" s="72" t="n"/>
      <c r="C706" s="72" t="n"/>
      <c r="D706" s="72" t="n"/>
      <c r="E706" s="72" t="n"/>
      <c r="F706" s="72" t="n"/>
      <c r="G706" s="72" t="n"/>
      <c r="H706" s="72" t="n"/>
      <c r="I706" s="73" t="n"/>
      <c r="J706" s="75">
        <f>IF(B706="","",SUMIFS('Change Orders'!$J$7:$J$1006,'Change Orders'!$E$7:$E$1006,B706,'Change Orders'!$L$7:$L$1006,"Approved"))</f>
        <v/>
      </c>
      <c r="K706" s="76">
        <f>IF(B706="","",I706+J706)</f>
        <v/>
      </c>
      <c r="L706" s="74" t="n"/>
      <c r="M706" s="109" t="n"/>
      <c r="N706" s="109" t="n"/>
      <c r="O706" s="74" t="n"/>
      <c r="P706" s="74" t="n"/>
      <c r="Q706" s="100" t="n"/>
      <c r="R706" s="110" t="n"/>
      <c r="S706" s="75">
        <f>IF(B706="","",SUMIFS('Payments'!$N$6:$N$1005,'Payments'!$B$6:$B$1005,B706))</f>
        <v/>
      </c>
      <c r="T706" s="111">
        <f>IF(OR(B706="",K706=0),"",S706/K706)</f>
        <v/>
      </c>
      <c r="U706" s="78">
        <f>IF(V706="","",IF(V706=2,"⚠️ Paying ahead of work","✓ OK"))</f>
        <v/>
      </c>
      <c r="V706" s="79">
        <f>IF(T706="","",IF(T706-R706&gt;OverpayTol,2,0))</f>
        <v/>
      </c>
      <c r="W706" s="112">
        <f>IF(V706=2,AsOf,"")</f>
        <v/>
      </c>
      <c r="X706" s="79">
        <f>IF(W706="","",1)</f>
        <v/>
      </c>
      <c r="Y706" s="79">
        <f>IF(X706="","","Paying ahead of work: "&amp;B706&amp;" — paid "&amp;ROUND(T706*100,0)&amp;"%, work done "&amp;ROUND(R706*100,0)&amp;"%")</f>
        <v/>
      </c>
      <c r="AA706" s="72" t="n"/>
      <c r="AB706" s="109" t="n"/>
      <c r="AC706" s="113" t="n"/>
      <c r="AD706" s="74" t="n"/>
      <c r="AE706" s="109" t="n"/>
      <c r="AF706" s="74" t="n"/>
      <c r="AG706" s="112">
        <f>IF(AND(AA706&lt;&gt;"",AD706="Yes",AF706&lt;&gt;"Yes",AE706&lt;&gt;""),AE706,"")</f>
        <v/>
      </c>
      <c r="AH706" s="79">
        <f>IF(AG706="","",IF(AG706&lt;AsOf,1,IF(AG706&lt;=AsOf+AlertDays,2,IF(AG706&lt;=AsOf+2*AlertDays,3,""))))</f>
        <v/>
      </c>
      <c r="AI706" s="79">
        <f>IF(AH706="","","Follow up with "&amp;AA706&amp;": "&amp;AC706)</f>
        <v/>
      </c>
    </row>
    <row r="707" ht="20" customHeight="1">
      <c r="B707" s="72" t="n"/>
      <c r="C707" s="72" t="n"/>
      <c r="D707" s="72" t="n"/>
      <c r="E707" s="72" t="n"/>
      <c r="F707" s="72" t="n"/>
      <c r="G707" s="72" t="n"/>
      <c r="H707" s="72" t="n"/>
      <c r="I707" s="73" t="n"/>
      <c r="J707" s="75">
        <f>IF(B707="","",SUMIFS('Change Orders'!$J$7:$J$1006,'Change Orders'!$E$7:$E$1006,B707,'Change Orders'!$L$7:$L$1006,"Approved"))</f>
        <v/>
      </c>
      <c r="K707" s="76">
        <f>IF(B707="","",I707+J707)</f>
        <v/>
      </c>
      <c r="L707" s="74" t="n"/>
      <c r="M707" s="109" t="n"/>
      <c r="N707" s="109" t="n"/>
      <c r="O707" s="74" t="n"/>
      <c r="P707" s="74" t="n"/>
      <c r="Q707" s="100" t="n"/>
      <c r="R707" s="110" t="n"/>
      <c r="S707" s="75">
        <f>IF(B707="","",SUMIFS('Payments'!$N$6:$N$1005,'Payments'!$B$6:$B$1005,B707))</f>
        <v/>
      </c>
      <c r="T707" s="111">
        <f>IF(OR(B707="",K707=0),"",S707/K707)</f>
        <v/>
      </c>
      <c r="U707" s="78">
        <f>IF(V707="","",IF(V707=2,"⚠️ Paying ahead of work","✓ OK"))</f>
        <v/>
      </c>
      <c r="V707" s="79">
        <f>IF(T707="","",IF(T707-R707&gt;OverpayTol,2,0))</f>
        <v/>
      </c>
      <c r="W707" s="112">
        <f>IF(V707=2,AsOf,"")</f>
        <v/>
      </c>
      <c r="X707" s="79">
        <f>IF(W707="","",1)</f>
        <v/>
      </c>
      <c r="Y707" s="79">
        <f>IF(X707="","","Paying ahead of work: "&amp;B707&amp;" — paid "&amp;ROUND(T707*100,0)&amp;"%, work done "&amp;ROUND(R707*100,0)&amp;"%")</f>
        <v/>
      </c>
      <c r="AA707" s="72" t="n"/>
      <c r="AB707" s="109" t="n"/>
      <c r="AC707" s="113" t="n"/>
      <c r="AD707" s="74" t="n"/>
      <c r="AE707" s="109" t="n"/>
      <c r="AF707" s="74" t="n"/>
      <c r="AG707" s="112">
        <f>IF(AND(AA707&lt;&gt;"",AD707="Yes",AF707&lt;&gt;"Yes",AE707&lt;&gt;""),AE707,"")</f>
        <v/>
      </c>
      <c r="AH707" s="79">
        <f>IF(AG707="","",IF(AG707&lt;AsOf,1,IF(AG707&lt;=AsOf+AlertDays,2,IF(AG707&lt;=AsOf+2*AlertDays,3,""))))</f>
        <v/>
      </c>
      <c r="AI707" s="79">
        <f>IF(AH707="","","Follow up with "&amp;AA707&amp;": "&amp;AC707)</f>
        <v/>
      </c>
    </row>
    <row r="708" ht="20" customHeight="1">
      <c r="B708" s="72" t="n"/>
      <c r="C708" s="72" t="n"/>
      <c r="D708" s="72" t="n"/>
      <c r="E708" s="72" t="n"/>
      <c r="F708" s="72" t="n"/>
      <c r="G708" s="72" t="n"/>
      <c r="H708" s="72" t="n"/>
      <c r="I708" s="73" t="n"/>
      <c r="J708" s="75">
        <f>IF(B708="","",SUMIFS('Change Orders'!$J$7:$J$1006,'Change Orders'!$E$7:$E$1006,B708,'Change Orders'!$L$7:$L$1006,"Approved"))</f>
        <v/>
      </c>
      <c r="K708" s="76">
        <f>IF(B708="","",I708+J708)</f>
        <v/>
      </c>
      <c r="L708" s="74" t="n"/>
      <c r="M708" s="109" t="n"/>
      <c r="N708" s="109" t="n"/>
      <c r="O708" s="74" t="n"/>
      <c r="P708" s="74" t="n"/>
      <c r="Q708" s="100" t="n"/>
      <c r="R708" s="110" t="n"/>
      <c r="S708" s="75">
        <f>IF(B708="","",SUMIFS('Payments'!$N$6:$N$1005,'Payments'!$B$6:$B$1005,B708))</f>
        <v/>
      </c>
      <c r="T708" s="111">
        <f>IF(OR(B708="",K708=0),"",S708/K708)</f>
        <v/>
      </c>
      <c r="U708" s="78">
        <f>IF(V708="","",IF(V708=2,"⚠️ Paying ahead of work","✓ OK"))</f>
        <v/>
      </c>
      <c r="V708" s="79">
        <f>IF(T708="","",IF(T708-R708&gt;OverpayTol,2,0))</f>
        <v/>
      </c>
      <c r="W708" s="112">
        <f>IF(V708=2,AsOf,"")</f>
        <v/>
      </c>
      <c r="X708" s="79">
        <f>IF(W708="","",1)</f>
        <v/>
      </c>
      <c r="Y708" s="79">
        <f>IF(X708="","","Paying ahead of work: "&amp;B708&amp;" — paid "&amp;ROUND(T708*100,0)&amp;"%, work done "&amp;ROUND(R708*100,0)&amp;"%")</f>
        <v/>
      </c>
      <c r="AA708" s="72" t="n"/>
      <c r="AB708" s="109" t="n"/>
      <c r="AC708" s="113" t="n"/>
      <c r="AD708" s="74" t="n"/>
      <c r="AE708" s="109" t="n"/>
      <c r="AF708" s="74" t="n"/>
      <c r="AG708" s="112">
        <f>IF(AND(AA708&lt;&gt;"",AD708="Yes",AF708&lt;&gt;"Yes",AE708&lt;&gt;""),AE708,"")</f>
        <v/>
      </c>
      <c r="AH708" s="79">
        <f>IF(AG708="","",IF(AG708&lt;AsOf,1,IF(AG708&lt;=AsOf+AlertDays,2,IF(AG708&lt;=AsOf+2*AlertDays,3,""))))</f>
        <v/>
      </c>
      <c r="AI708" s="79">
        <f>IF(AH708="","","Follow up with "&amp;AA708&amp;": "&amp;AC708)</f>
        <v/>
      </c>
    </row>
    <row r="709" ht="20" customHeight="1">
      <c r="B709" s="72" t="n"/>
      <c r="C709" s="72" t="n"/>
      <c r="D709" s="72" t="n"/>
      <c r="E709" s="72" t="n"/>
      <c r="F709" s="72" t="n"/>
      <c r="G709" s="72" t="n"/>
      <c r="H709" s="72" t="n"/>
      <c r="I709" s="73" t="n"/>
      <c r="J709" s="75">
        <f>IF(B709="","",SUMIFS('Change Orders'!$J$7:$J$1006,'Change Orders'!$E$7:$E$1006,B709,'Change Orders'!$L$7:$L$1006,"Approved"))</f>
        <v/>
      </c>
      <c r="K709" s="76">
        <f>IF(B709="","",I709+J709)</f>
        <v/>
      </c>
      <c r="L709" s="74" t="n"/>
      <c r="M709" s="109" t="n"/>
      <c r="N709" s="109" t="n"/>
      <c r="O709" s="74" t="n"/>
      <c r="P709" s="74" t="n"/>
      <c r="Q709" s="100" t="n"/>
      <c r="R709" s="110" t="n"/>
      <c r="S709" s="75">
        <f>IF(B709="","",SUMIFS('Payments'!$N$6:$N$1005,'Payments'!$B$6:$B$1005,B709))</f>
        <v/>
      </c>
      <c r="T709" s="111">
        <f>IF(OR(B709="",K709=0),"",S709/K709)</f>
        <v/>
      </c>
      <c r="U709" s="78">
        <f>IF(V709="","",IF(V709=2,"⚠️ Paying ahead of work","✓ OK"))</f>
        <v/>
      </c>
      <c r="V709" s="79">
        <f>IF(T709="","",IF(T709-R709&gt;OverpayTol,2,0))</f>
        <v/>
      </c>
      <c r="W709" s="112">
        <f>IF(V709=2,AsOf,"")</f>
        <v/>
      </c>
      <c r="X709" s="79">
        <f>IF(W709="","",1)</f>
        <v/>
      </c>
      <c r="Y709" s="79">
        <f>IF(X709="","","Paying ahead of work: "&amp;B709&amp;" — paid "&amp;ROUND(T709*100,0)&amp;"%, work done "&amp;ROUND(R709*100,0)&amp;"%")</f>
        <v/>
      </c>
      <c r="AA709" s="72" t="n"/>
      <c r="AB709" s="109" t="n"/>
      <c r="AC709" s="113" t="n"/>
      <c r="AD709" s="74" t="n"/>
      <c r="AE709" s="109" t="n"/>
      <c r="AF709" s="74" t="n"/>
      <c r="AG709" s="112">
        <f>IF(AND(AA709&lt;&gt;"",AD709="Yes",AF709&lt;&gt;"Yes",AE709&lt;&gt;""),AE709,"")</f>
        <v/>
      </c>
      <c r="AH709" s="79">
        <f>IF(AG709="","",IF(AG709&lt;AsOf,1,IF(AG709&lt;=AsOf+AlertDays,2,IF(AG709&lt;=AsOf+2*AlertDays,3,""))))</f>
        <v/>
      </c>
      <c r="AI709" s="79">
        <f>IF(AH709="","","Follow up with "&amp;AA709&amp;": "&amp;AC709)</f>
        <v/>
      </c>
    </row>
    <row r="710" ht="20" customHeight="1">
      <c r="B710" s="72" t="n"/>
      <c r="C710" s="72" t="n"/>
      <c r="D710" s="72" t="n"/>
      <c r="E710" s="72" t="n"/>
      <c r="F710" s="72" t="n"/>
      <c r="G710" s="72" t="n"/>
      <c r="H710" s="72" t="n"/>
      <c r="I710" s="73" t="n"/>
      <c r="J710" s="75">
        <f>IF(B710="","",SUMIFS('Change Orders'!$J$7:$J$1006,'Change Orders'!$E$7:$E$1006,B710,'Change Orders'!$L$7:$L$1006,"Approved"))</f>
        <v/>
      </c>
      <c r="K710" s="76">
        <f>IF(B710="","",I710+J710)</f>
        <v/>
      </c>
      <c r="L710" s="74" t="n"/>
      <c r="M710" s="109" t="n"/>
      <c r="N710" s="109" t="n"/>
      <c r="O710" s="74" t="n"/>
      <c r="P710" s="74" t="n"/>
      <c r="Q710" s="100" t="n"/>
      <c r="R710" s="110" t="n"/>
      <c r="S710" s="75">
        <f>IF(B710="","",SUMIFS('Payments'!$N$6:$N$1005,'Payments'!$B$6:$B$1005,B710))</f>
        <v/>
      </c>
      <c r="T710" s="111">
        <f>IF(OR(B710="",K710=0),"",S710/K710)</f>
        <v/>
      </c>
      <c r="U710" s="78">
        <f>IF(V710="","",IF(V710=2,"⚠️ Paying ahead of work","✓ OK"))</f>
        <v/>
      </c>
      <c r="V710" s="79">
        <f>IF(T710="","",IF(T710-R710&gt;OverpayTol,2,0))</f>
        <v/>
      </c>
      <c r="W710" s="112">
        <f>IF(V710=2,AsOf,"")</f>
        <v/>
      </c>
      <c r="X710" s="79">
        <f>IF(W710="","",1)</f>
        <v/>
      </c>
      <c r="Y710" s="79">
        <f>IF(X710="","","Paying ahead of work: "&amp;B710&amp;" — paid "&amp;ROUND(T710*100,0)&amp;"%, work done "&amp;ROUND(R710*100,0)&amp;"%")</f>
        <v/>
      </c>
      <c r="AA710" s="72" t="n"/>
      <c r="AB710" s="109" t="n"/>
      <c r="AC710" s="113" t="n"/>
      <c r="AD710" s="74" t="n"/>
      <c r="AE710" s="109" t="n"/>
      <c r="AF710" s="74" t="n"/>
      <c r="AG710" s="112">
        <f>IF(AND(AA710&lt;&gt;"",AD710="Yes",AF710&lt;&gt;"Yes",AE710&lt;&gt;""),AE710,"")</f>
        <v/>
      </c>
      <c r="AH710" s="79">
        <f>IF(AG710="","",IF(AG710&lt;AsOf,1,IF(AG710&lt;=AsOf+AlertDays,2,IF(AG710&lt;=AsOf+2*AlertDays,3,""))))</f>
        <v/>
      </c>
      <c r="AI710" s="79">
        <f>IF(AH710="","","Follow up with "&amp;AA710&amp;": "&amp;AC710)</f>
        <v/>
      </c>
    </row>
    <row r="711" ht="20" customHeight="1">
      <c r="B711" s="72" t="n"/>
      <c r="C711" s="72" t="n"/>
      <c r="D711" s="72" t="n"/>
      <c r="E711" s="72" t="n"/>
      <c r="F711" s="72" t="n"/>
      <c r="G711" s="72" t="n"/>
      <c r="H711" s="72" t="n"/>
      <c r="I711" s="73" t="n"/>
      <c r="J711" s="75">
        <f>IF(B711="","",SUMIFS('Change Orders'!$J$7:$J$1006,'Change Orders'!$E$7:$E$1006,B711,'Change Orders'!$L$7:$L$1006,"Approved"))</f>
        <v/>
      </c>
      <c r="K711" s="76">
        <f>IF(B711="","",I711+J711)</f>
        <v/>
      </c>
      <c r="L711" s="74" t="n"/>
      <c r="M711" s="109" t="n"/>
      <c r="N711" s="109" t="n"/>
      <c r="O711" s="74" t="n"/>
      <c r="P711" s="74" t="n"/>
      <c r="Q711" s="100" t="n"/>
      <c r="R711" s="110" t="n"/>
      <c r="S711" s="75">
        <f>IF(B711="","",SUMIFS('Payments'!$N$6:$N$1005,'Payments'!$B$6:$B$1005,B711))</f>
        <v/>
      </c>
      <c r="T711" s="111">
        <f>IF(OR(B711="",K711=0),"",S711/K711)</f>
        <v/>
      </c>
      <c r="U711" s="78">
        <f>IF(V711="","",IF(V711=2,"⚠️ Paying ahead of work","✓ OK"))</f>
        <v/>
      </c>
      <c r="V711" s="79">
        <f>IF(T711="","",IF(T711-R711&gt;OverpayTol,2,0))</f>
        <v/>
      </c>
      <c r="W711" s="112">
        <f>IF(V711=2,AsOf,"")</f>
        <v/>
      </c>
      <c r="X711" s="79">
        <f>IF(W711="","",1)</f>
        <v/>
      </c>
      <c r="Y711" s="79">
        <f>IF(X711="","","Paying ahead of work: "&amp;B711&amp;" — paid "&amp;ROUND(T711*100,0)&amp;"%, work done "&amp;ROUND(R711*100,0)&amp;"%")</f>
        <v/>
      </c>
      <c r="AA711" s="72" t="n"/>
      <c r="AB711" s="109" t="n"/>
      <c r="AC711" s="113" t="n"/>
      <c r="AD711" s="74" t="n"/>
      <c r="AE711" s="109" t="n"/>
      <c r="AF711" s="74" t="n"/>
      <c r="AG711" s="112">
        <f>IF(AND(AA711&lt;&gt;"",AD711="Yes",AF711&lt;&gt;"Yes",AE711&lt;&gt;""),AE711,"")</f>
        <v/>
      </c>
      <c r="AH711" s="79">
        <f>IF(AG711="","",IF(AG711&lt;AsOf,1,IF(AG711&lt;=AsOf+AlertDays,2,IF(AG711&lt;=AsOf+2*AlertDays,3,""))))</f>
        <v/>
      </c>
      <c r="AI711" s="79">
        <f>IF(AH711="","","Follow up with "&amp;AA711&amp;": "&amp;AC711)</f>
        <v/>
      </c>
    </row>
    <row r="712" ht="20" customHeight="1">
      <c r="B712" s="72" t="n"/>
      <c r="C712" s="72" t="n"/>
      <c r="D712" s="72" t="n"/>
      <c r="E712" s="72" t="n"/>
      <c r="F712" s="72" t="n"/>
      <c r="G712" s="72" t="n"/>
      <c r="H712" s="72" t="n"/>
      <c r="I712" s="73" t="n"/>
      <c r="J712" s="75">
        <f>IF(B712="","",SUMIFS('Change Orders'!$J$7:$J$1006,'Change Orders'!$E$7:$E$1006,B712,'Change Orders'!$L$7:$L$1006,"Approved"))</f>
        <v/>
      </c>
      <c r="K712" s="76">
        <f>IF(B712="","",I712+J712)</f>
        <v/>
      </c>
      <c r="L712" s="74" t="n"/>
      <c r="M712" s="109" t="n"/>
      <c r="N712" s="109" t="n"/>
      <c r="O712" s="74" t="n"/>
      <c r="P712" s="74" t="n"/>
      <c r="Q712" s="100" t="n"/>
      <c r="R712" s="110" t="n"/>
      <c r="S712" s="75">
        <f>IF(B712="","",SUMIFS('Payments'!$N$6:$N$1005,'Payments'!$B$6:$B$1005,B712))</f>
        <v/>
      </c>
      <c r="T712" s="111">
        <f>IF(OR(B712="",K712=0),"",S712/K712)</f>
        <v/>
      </c>
      <c r="U712" s="78">
        <f>IF(V712="","",IF(V712=2,"⚠️ Paying ahead of work","✓ OK"))</f>
        <v/>
      </c>
      <c r="V712" s="79">
        <f>IF(T712="","",IF(T712-R712&gt;OverpayTol,2,0))</f>
        <v/>
      </c>
      <c r="W712" s="112">
        <f>IF(V712=2,AsOf,"")</f>
        <v/>
      </c>
      <c r="X712" s="79">
        <f>IF(W712="","",1)</f>
        <v/>
      </c>
      <c r="Y712" s="79">
        <f>IF(X712="","","Paying ahead of work: "&amp;B712&amp;" — paid "&amp;ROUND(T712*100,0)&amp;"%, work done "&amp;ROUND(R712*100,0)&amp;"%")</f>
        <v/>
      </c>
      <c r="AA712" s="72" t="n"/>
      <c r="AB712" s="109" t="n"/>
      <c r="AC712" s="113" t="n"/>
      <c r="AD712" s="74" t="n"/>
      <c r="AE712" s="109" t="n"/>
      <c r="AF712" s="74" t="n"/>
      <c r="AG712" s="112">
        <f>IF(AND(AA712&lt;&gt;"",AD712="Yes",AF712&lt;&gt;"Yes",AE712&lt;&gt;""),AE712,"")</f>
        <v/>
      </c>
      <c r="AH712" s="79">
        <f>IF(AG712="","",IF(AG712&lt;AsOf,1,IF(AG712&lt;=AsOf+AlertDays,2,IF(AG712&lt;=AsOf+2*AlertDays,3,""))))</f>
        <v/>
      </c>
      <c r="AI712" s="79">
        <f>IF(AH712="","","Follow up with "&amp;AA712&amp;": "&amp;AC712)</f>
        <v/>
      </c>
    </row>
    <row r="713" ht="20" customHeight="1">
      <c r="B713" s="72" t="n"/>
      <c r="C713" s="72" t="n"/>
      <c r="D713" s="72" t="n"/>
      <c r="E713" s="72" t="n"/>
      <c r="F713" s="72" t="n"/>
      <c r="G713" s="72" t="n"/>
      <c r="H713" s="72" t="n"/>
      <c r="I713" s="73" t="n"/>
      <c r="J713" s="75">
        <f>IF(B713="","",SUMIFS('Change Orders'!$J$7:$J$1006,'Change Orders'!$E$7:$E$1006,B713,'Change Orders'!$L$7:$L$1006,"Approved"))</f>
        <v/>
      </c>
      <c r="K713" s="76">
        <f>IF(B713="","",I713+J713)</f>
        <v/>
      </c>
      <c r="L713" s="74" t="n"/>
      <c r="M713" s="109" t="n"/>
      <c r="N713" s="109" t="n"/>
      <c r="O713" s="74" t="n"/>
      <c r="P713" s="74" t="n"/>
      <c r="Q713" s="100" t="n"/>
      <c r="R713" s="110" t="n"/>
      <c r="S713" s="75">
        <f>IF(B713="","",SUMIFS('Payments'!$N$6:$N$1005,'Payments'!$B$6:$B$1005,B713))</f>
        <v/>
      </c>
      <c r="T713" s="111">
        <f>IF(OR(B713="",K713=0),"",S713/K713)</f>
        <v/>
      </c>
      <c r="U713" s="78">
        <f>IF(V713="","",IF(V713=2,"⚠️ Paying ahead of work","✓ OK"))</f>
        <v/>
      </c>
      <c r="V713" s="79">
        <f>IF(T713="","",IF(T713-R713&gt;OverpayTol,2,0))</f>
        <v/>
      </c>
      <c r="W713" s="112">
        <f>IF(V713=2,AsOf,"")</f>
        <v/>
      </c>
      <c r="X713" s="79">
        <f>IF(W713="","",1)</f>
        <v/>
      </c>
      <c r="Y713" s="79">
        <f>IF(X713="","","Paying ahead of work: "&amp;B713&amp;" — paid "&amp;ROUND(T713*100,0)&amp;"%, work done "&amp;ROUND(R713*100,0)&amp;"%")</f>
        <v/>
      </c>
      <c r="AA713" s="72" t="n"/>
      <c r="AB713" s="109" t="n"/>
      <c r="AC713" s="113" t="n"/>
      <c r="AD713" s="74" t="n"/>
      <c r="AE713" s="109" t="n"/>
      <c r="AF713" s="74" t="n"/>
      <c r="AG713" s="112">
        <f>IF(AND(AA713&lt;&gt;"",AD713="Yes",AF713&lt;&gt;"Yes",AE713&lt;&gt;""),AE713,"")</f>
        <v/>
      </c>
      <c r="AH713" s="79">
        <f>IF(AG713="","",IF(AG713&lt;AsOf,1,IF(AG713&lt;=AsOf+AlertDays,2,IF(AG713&lt;=AsOf+2*AlertDays,3,""))))</f>
        <v/>
      </c>
      <c r="AI713" s="79">
        <f>IF(AH713="","","Follow up with "&amp;AA713&amp;": "&amp;AC713)</f>
        <v/>
      </c>
    </row>
    <row r="714" ht="20" customHeight="1">
      <c r="B714" s="72" t="n"/>
      <c r="C714" s="72" t="n"/>
      <c r="D714" s="72" t="n"/>
      <c r="E714" s="72" t="n"/>
      <c r="F714" s="72" t="n"/>
      <c r="G714" s="72" t="n"/>
      <c r="H714" s="72" t="n"/>
      <c r="I714" s="73" t="n"/>
      <c r="J714" s="75">
        <f>IF(B714="","",SUMIFS('Change Orders'!$J$7:$J$1006,'Change Orders'!$E$7:$E$1006,B714,'Change Orders'!$L$7:$L$1006,"Approved"))</f>
        <v/>
      </c>
      <c r="K714" s="76">
        <f>IF(B714="","",I714+J714)</f>
        <v/>
      </c>
      <c r="L714" s="74" t="n"/>
      <c r="M714" s="109" t="n"/>
      <c r="N714" s="109" t="n"/>
      <c r="O714" s="74" t="n"/>
      <c r="P714" s="74" t="n"/>
      <c r="Q714" s="100" t="n"/>
      <c r="R714" s="110" t="n"/>
      <c r="S714" s="75">
        <f>IF(B714="","",SUMIFS('Payments'!$N$6:$N$1005,'Payments'!$B$6:$B$1005,B714))</f>
        <v/>
      </c>
      <c r="T714" s="111">
        <f>IF(OR(B714="",K714=0),"",S714/K714)</f>
        <v/>
      </c>
      <c r="U714" s="78">
        <f>IF(V714="","",IF(V714=2,"⚠️ Paying ahead of work","✓ OK"))</f>
        <v/>
      </c>
      <c r="V714" s="79">
        <f>IF(T714="","",IF(T714-R714&gt;OverpayTol,2,0))</f>
        <v/>
      </c>
      <c r="W714" s="112">
        <f>IF(V714=2,AsOf,"")</f>
        <v/>
      </c>
      <c r="X714" s="79">
        <f>IF(W714="","",1)</f>
        <v/>
      </c>
      <c r="Y714" s="79">
        <f>IF(X714="","","Paying ahead of work: "&amp;B714&amp;" — paid "&amp;ROUND(T714*100,0)&amp;"%, work done "&amp;ROUND(R714*100,0)&amp;"%")</f>
        <v/>
      </c>
      <c r="AA714" s="72" t="n"/>
      <c r="AB714" s="109" t="n"/>
      <c r="AC714" s="113" t="n"/>
      <c r="AD714" s="74" t="n"/>
      <c r="AE714" s="109" t="n"/>
      <c r="AF714" s="74" t="n"/>
      <c r="AG714" s="112">
        <f>IF(AND(AA714&lt;&gt;"",AD714="Yes",AF714&lt;&gt;"Yes",AE714&lt;&gt;""),AE714,"")</f>
        <v/>
      </c>
      <c r="AH714" s="79">
        <f>IF(AG714="","",IF(AG714&lt;AsOf,1,IF(AG714&lt;=AsOf+AlertDays,2,IF(AG714&lt;=AsOf+2*AlertDays,3,""))))</f>
        <v/>
      </c>
      <c r="AI714" s="79">
        <f>IF(AH714="","","Follow up with "&amp;AA714&amp;": "&amp;AC714)</f>
        <v/>
      </c>
    </row>
    <row r="715" ht="20" customHeight="1">
      <c r="B715" s="72" t="n"/>
      <c r="C715" s="72" t="n"/>
      <c r="D715" s="72" t="n"/>
      <c r="E715" s="72" t="n"/>
      <c r="F715" s="72" t="n"/>
      <c r="G715" s="72" t="n"/>
      <c r="H715" s="72" t="n"/>
      <c r="I715" s="73" t="n"/>
      <c r="J715" s="75">
        <f>IF(B715="","",SUMIFS('Change Orders'!$J$7:$J$1006,'Change Orders'!$E$7:$E$1006,B715,'Change Orders'!$L$7:$L$1006,"Approved"))</f>
        <v/>
      </c>
      <c r="K715" s="76">
        <f>IF(B715="","",I715+J715)</f>
        <v/>
      </c>
      <c r="L715" s="74" t="n"/>
      <c r="M715" s="109" t="n"/>
      <c r="N715" s="109" t="n"/>
      <c r="O715" s="74" t="n"/>
      <c r="P715" s="74" t="n"/>
      <c r="Q715" s="100" t="n"/>
      <c r="R715" s="110" t="n"/>
      <c r="S715" s="75">
        <f>IF(B715="","",SUMIFS('Payments'!$N$6:$N$1005,'Payments'!$B$6:$B$1005,B715))</f>
        <v/>
      </c>
      <c r="T715" s="111">
        <f>IF(OR(B715="",K715=0),"",S715/K715)</f>
        <v/>
      </c>
      <c r="U715" s="78">
        <f>IF(V715="","",IF(V715=2,"⚠️ Paying ahead of work","✓ OK"))</f>
        <v/>
      </c>
      <c r="V715" s="79">
        <f>IF(T715="","",IF(T715-R715&gt;OverpayTol,2,0))</f>
        <v/>
      </c>
      <c r="W715" s="112">
        <f>IF(V715=2,AsOf,"")</f>
        <v/>
      </c>
      <c r="X715" s="79">
        <f>IF(W715="","",1)</f>
        <v/>
      </c>
      <c r="Y715" s="79">
        <f>IF(X715="","","Paying ahead of work: "&amp;B715&amp;" — paid "&amp;ROUND(T715*100,0)&amp;"%, work done "&amp;ROUND(R715*100,0)&amp;"%")</f>
        <v/>
      </c>
      <c r="AA715" s="72" t="n"/>
      <c r="AB715" s="109" t="n"/>
      <c r="AC715" s="113" t="n"/>
      <c r="AD715" s="74" t="n"/>
      <c r="AE715" s="109" t="n"/>
      <c r="AF715" s="74" t="n"/>
      <c r="AG715" s="112">
        <f>IF(AND(AA715&lt;&gt;"",AD715="Yes",AF715&lt;&gt;"Yes",AE715&lt;&gt;""),AE715,"")</f>
        <v/>
      </c>
      <c r="AH715" s="79">
        <f>IF(AG715="","",IF(AG715&lt;AsOf,1,IF(AG715&lt;=AsOf+AlertDays,2,IF(AG715&lt;=AsOf+2*AlertDays,3,""))))</f>
        <v/>
      </c>
      <c r="AI715" s="79">
        <f>IF(AH715="","","Follow up with "&amp;AA715&amp;": "&amp;AC715)</f>
        <v/>
      </c>
    </row>
    <row r="716" ht="20" customHeight="1">
      <c r="B716" s="72" t="n"/>
      <c r="C716" s="72" t="n"/>
      <c r="D716" s="72" t="n"/>
      <c r="E716" s="72" t="n"/>
      <c r="F716" s="72" t="n"/>
      <c r="G716" s="72" t="n"/>
      <c r="H716" s="72" t="n"/>
      <c r="I716" s="73" t="n"/>
      <c r="J716" s="75">
        <f>IF(B716="","",SUMIFS('Change Orders'!$J$7:$J$1006,'Change Orders'!$E$7:$E$1006,B716,'Change Orders'!$L$7:$L$1006,"Approved"))</f>
        <v/>
      </c>
      <c r="K716" s="76">
        <f>IF(B716="","",I716+J716)</f>
        <v/>
      </c>
      <c r="L716" s="74" t="n"/>
      <c r="M716" s="109" t="n"/>
      <c r="N716" s="109" t="n"/>
      <c r="O716" s="74" t="n"/>
      <c r="P716" s="74" t="n"/>
      <c r="Q716" s="100" t="n"/>
      <c r="R716" s="110" t="n"/>
      <c r="S716" s="75">
        <f>IF(B716="","",SUMIFS('Payments'!$N$6:$N$1005,'Payments'!$B$6:$B$1005,B716))</f>
        <v/>
      </c>
      <c r="T716" s="111">
        <f>IF(OR(B716="",K716=0),"",S716/K716)</f>
        <v/>
      </c>
      <c r="U716" s="78">
        <f>IF(V716="","",IF(V716=2,"⚠️ Paying ahead of work","✓ OK"))</f>
        <v/>
      </c>
      <c r="V716" s="79">
        <f>IF(T716="","",IF(T716-R716&gt;OverpayTol,2,0))</f>
        <v/>
      </c>
      <c r="W716" s="112">
        <f>IF(V716=2,AsOf,"")</f>
        <v/>
      </c>
      <c r="X716" s="79">
        <f>IF(W716="","",1)</f>
        <v/>
      </c>
      <c r="Y716" s="79">
        <f>IF(X716="","","Paying ahead of work: "&amp;B716&amp;" — paid "&amp;ROUND(T716*100,0)&amp;"%, work done "&amp;ROUND(R716*100,0)&amp;"%")</f>
        <v/>
      </c>
      <c r="AA716" s="72" t="n"/>
      <c r="AB716" s="109" t="n"/>
      <c r="AC716" s="113" t="n"/>
      <c r="AD716" s="74" t="n"/>
      <c r="AE716" s="109" t="n"/>
      <c r="AF716" s="74" t="n"/>
      <c r="AG716" s="112">
        <f>IF(AND(AA716&lt;&gt;"",AD716="Yes",AF716&lt;&gt;"Yes",AE716&lt;&gt;""),AE716,"")</f>
        <v/>
      </c>
      <c r="AH716" s="79">
        <f>IF(AG716="","",IF(AG716&lt;AsOf,1,IF(AG716&lt;=AsOf+AlertDays,2,IF(AG716&lt;=AsOf+2*AlertDays,3,""))))</f>
        <v/>
      </c>
      <c r="AI716" s="79">
        <f>IF(AH716="","","Follow up with "&amp;AA716&amp;": "&amp;AC716)</f>
        <v/>
      </c>
    </row>
    <row r="717" ht="20" customHeight="1">
      <c r="B717" s="72" t="n"/>
      <c r="C717" s="72" t="n"/>
      <c r="D717" s="72" t="n"/>
      <c r="E717" s="72" t="n"/>
      <c r="F717" s="72" t="n"/>
      <c r="G717" s="72" t="n"/>
      <c r="H717" s="72" t="n"/>
      <c r="I717" s="73" t="n"/>
      <c r="J717" s="75">
        <f>IF(B717="","",SUMIFS('Change Orders'!$J$7:$J$1006,'Change Orders'!$E$7:$E$1006,B717,'Change Orders'!$L$7:$L$1006,"Approved"))</f>
        <v/>
      </c>
      <c r="K717" s="76">
        <f>IF(B717="","",I717+J717)</f>
        <v/>
      </c>
      <c r="L717" s="74" t="n"/>
      <c r="M717" s="109" t="n"/>
      <c r="N717" s="109" t="n"/>
      <c r="O717" s="74" t="n"/>
      <c r="P717" s="74" t="n"/>
      <c r="Q717" s="100" t="n"/>
      <c r="R717" s="110" t="n"/>
      <c r="S717" s="75">
        <f>IF(B717="","",SUMIFS('Payments'!$N$6:$N$1005,'Payments'!$B$6:$B$1005,B717))</f>
        <v/>
      </c>
      <c r="T717" s="111">
        <f>IF(OR(B717="",K717=0),"",S717/K717)</f>
        <v/>
      </c>
      <c r="U717" s="78">
        <f>IF(V717="","",IF(V717=2,"⚠️ Paying ahead of work","✓ OK"))</f>
        <v/>
      </c>
      <c r="V717" s="79">
        <f>IF(T717="","",IF(T717-R717&gt;OverpayTol,2,0))</f>
        <v/>
      </c>
      <c r="W717" s="112">
        <f>IF(V717=2,AsOf,"")</f>
        <v/>
      </c>
      <c r="X717" s="79">
        <f>IF(W717="","",1)</f>
        <v/>
      </c>
      <c r="Y717" s="79">
        <f>IF(X717="","","Paying ahead of work: "&amp;B717&amp;" — paid "&amp;ROUND(T717*100,0)&amp;"%, work done "&amp;ROUND(R717*100,0)&amp;"%")</f>
        <v/>
      </c>
      <c r="AA717" s="72" t="n"/>
      <c r="AB717" s="109" t="n"/>
      <c r="AC717" s="113" t="n"/>
      <c r="AD717" s="74" t="n"/>
      <c r="AE717" s="109" t="n"/>
      <c r="AF717" s="74" t="n"/>
      <c r="AG717" s="112">
        <f>IF(AND(AA717&lt;&gt;"",AD717="Yes",AF717&lt;&gt;"Yes",AE717&lt;&gt;""),AE717,"")</f>
        <v/>
      </c>
      <c r="AH717" s="79">
        <f>IF(AG717="","",IF(AG717&lt;AsOf,1,IF(AG717&lt;=AsOf+AlertDays,2,IF(AG717&lt;=AsOf+2*AlertDays,3,""))))</f>
        <v/>
      </c>
      <c r="AI717" s="79">
        <f>IF(AH717="","","Follow up with "&amp;AA717&amp;": "&amp;AC717)</f>
        <v/>
      </c>
    </row>
    <row r="718" ht="20" customHeight="1">
      <c r="B718" s="72" t="n"/>
      <c r="C718" s="72" t="n"/>
      <c r="D718" s="72" t="n"/>
      <c r="E718" s="72" t="n"/>
      <c r="F718" s="72" t="n"/>
      <c r="G718" s="72" t="n"/>
      <c r="H718" s="72" t="n"/>
      <c r="I718" s="73" t="n"/>
      <c r="J718" s="75">
        <f>IF(B718="","",SUMIFS('Change Orders'!$J$7:$J$1006,'Change Orders'!$E$7:$E$1006,B718,'Change Orders'!$L$7:$L$1006,"Approved"))</f>
        <v/>
      </c>
      <c r="K718" s="76">
        <f>IF(B718="","",I718+J718)</f>
        <v/>
      </c>
      <c r="L718" s="74" t="n"/>
      <c r="M718" s="109" t="n"/>
      <c r="N718" s="109" t="n"/>
      <c r="O718" s="74" t="n"/>
      <c r="P718" s="74" t="n"/>
      <c r="Q718" s="100" t="n"/>
      <c r="R718" s="110" t="n"/>
      <c r="S718" s="75">
        <f>IF(B718="","",SUMIFS('Payments'!$N$6:$N$1005,'Payments'!$B$6:$B$1005,B718))</f>
        <v/>
      </c>
      <c r="T718" s="111">
        <f>IF(OR(B718="",K718=0),"",S718/K718)</f>
        <v/>
      </c>
      <c r="U718" s="78">
        <f>IF(V718="","",IF(V718=2,"⚠️ Paying ahead of work","✓ OK"))</f>
        <v/>
      </c>
      <c r="V718" s="79">
        <f>IF(T718="","",IF(T718-R718&gt;OverpayTol,2,0))</f>
        <v/>
      </c>
      <c r="W718" s="112">
        <f>IF(V718=2,AsOf,"")</f>
        <v/>
      </c>
      <c r="X718" s="79">
        <f>IF(W718="","",1)</f>
        <v/>
      </c>
      <c r="Y718" s="79">
        <f>IF(X718="","","Paying ahead of work: "&amp;B718&amp;" — paid "&amp;ROUND(T718*100,0)&amp;"%, work done "&amp;ROUND(R718*100,0)&amp;"%")</f>
        <v/>
      </c>
      <c r="AA718" s="72" t="n"/>
      <c r="AB718" s="109" t="n"/>
      <c r="AC718" s="113" t="n"/>
      <c r="AD718" s="74" t="n"/>
      <c r="AE718" s="109" t="n"/>
      <c r="AF718" s="74" t="n"/>
      <c r="AG718" s="112">
        <f>IF(AND(AA718&lt;&gt;"",AD718="Yes",AF718&lt;&gt;"Yes",AE718&lt;&gt;""),AE718,"")</f>
        <v/>
      </c>
      <c r="AH718" s="79">
        <f>IF(AG718="","",IF(AG718&lt;AsOf,1,IF(AG718&lt;=AsOf+AlertDays,2,IF(AG718&lt;=AsOf+2*AlertDays,3,""))))</f>
        <v/>
      </c>
      <c r="AI718" s="79">
        <f>IF(AH718="","","Follow up with "&amp;AA718&amp;": "&amp;AC718)</f>
        <v/>
      </c>
    </row>
    <row r="719" ht="20" customHeight="1">
      <c r="B719" s="72" t="n"/>
      <c r="C719" s="72" t="n"/>
      <c r="D719" s="72" t="n"/>
      <c r="E719" s="72" t="n"/>
      <c r="F719" s="72" t="n"/>
      <c r="G719" s="72" t="n"/>
      <c r="H719" s="72" t="n"/>
      <c r="I719" s="73" t="n"/>
      <c r="J719" s="75">
        <f>IF(B719="","",SUMIFS('Change Orders'!$J$7:$J$1006,'Change Orders'!$E$7:$E$1006,B719,'Change Orders'!$L$7:$L$1006,"Approved"))</f>
        <v/>
      </c>
      <c r="K719" s="76">
        <f>IF(B719="","",I719+J719)</f>
        <v/>
      </c>
      <c r="L719" s="74" t="n"/>
      <c r="M719" s="109" t="n"/>
      <c r="N719" s="109" t="n"/>
      <c r="O719" s="74" t="n"/>
      <c r="P719" s="74" t="n"/>
      <c r="Q719" s="100" t="n"/>
      <c r="R719" s="110" t="n"/>
      <c r="S719" s="75">
        <f>IF(B719="","",SUMIFS('Payments'!$N$6:$N$1005,'Payments'!$B$6:$B$1005,B719))</f>
        <v/>
      </c>
      <c r="T719" s="111">
        <f>IF(OR(B719="",K719=0),"",S719/K719)</f>
        <v/>
      </c>
      <c r="U719" s="78">
        <f>IF(V719="","",IF(V719=2,"⚠️ Paying ahead of work","✓ OK"))</f>
        <v/>
      </c>
      <c r="V719" s="79">
        <f>IF(T719="","",IF(T719-R719&gt;OverpayTol,2,0))</f>
        <v/>
      </c>
      <c r="W719" s="112">
        <f>IF(V719=2,AsOf,"")</f>
        <v/>
      </c>
      <c r="X719" s="79">
        <f>IF(W719="","",1)</f>
        <v/>
      </c>
      <c r="Y719" s="79">
        <f>IF(X719="","","Paying ahead of work: "&amp;B719&amp;" — paid "&amp;ROUND(T719*100,0)&amp;"%, work done "&amp;ROUND(R719*100,0)&amp;"%")</f>
        <v/>
      </c>
      <c r="AA719" s="72" t="n"/>
      <c r="AB719" s="109" t="n"/>
      <c r="AC719" s="113" t="n"/>
      <c r="AD719" s="74" t="n"/>
      <c r="AE719" s="109" t="n"/>
      <c r="AF719" s="74" t="n"/>
      <c r="AG719" s="112">
        <f>IF(AND(AA719&lt;&gt;"",AD719="Yes",AF719&lt;&gt;"Yes",AE719&lt;&gt;""),AE719,"")</f>
        <v/>
      </c>
      <c r="AH719" s="79">
        <f>IF(AG719="","",IF(AG719&lt;AsOf,1,IF(AG719&lt;=AsOf+AlertDays,2,IF(AG719&lt;=AsOf+2*AlertDays,3,""))))</f>
        <v/>
      </c>
      <c r="AI719" s="79">
        <f>IF(AH719="","","Follow up with "&amp;AA719&amp;": "&amp;AC719)</f>
        <v/>
      </c>
    </row>
    <row r="720" ht="20" customHeight="1">
      <c r="B720" s="72" t="n"/>
      <c r="C720" s="72" t="n"/>
      <c r="D720" s="72" t="n"/>
      <c r="E720" s="72" t="n"/>
      <c r="F720" s="72" t="n"/>
      <c r="G720" s="72" t="n"/>
      <c r="H720" s="72" t="n"/>
      <c r="I720" s="73" t="n"/>
      <c r="J720" s="75">
        <f>IF(B720="","",SUMIFS('Change Orders'!$J$7:$J$1006,'Change Orders'!$E$7:$E$1006,B720,'Change Orders'!$L$7:$L$1006,"Approved"))</f>
        <v/>
      </c>
      <c r="K720" s="76">
        <f>IF(B720="","",I720+J720)</f>
        <v/>
      </c>
      <c r="L720" s="74" t="n"/>
      <c r="M720" s="109" t="n"/>
      <c r="N720" s="109" t="n"/>
      <c r="O720" s="74" t="n"/>
      <c r="P720" s="74" t="n"/>
      <c r="Q720" s="100" t="n"/>
      <c r="R720" s="110" t="n"/>
      <c r="S720" s="75">
        <f>IF(B720="","",SUMIFS('Payments'!$N$6:$N$1005,'Payments'!$B$6:$B$1005,B720))</f>
        <v/>
      </c>
      <c r="T720" s="111">
        <f>IF(OR(B720="",K720=0),"",S720/K720)</f>
        <v/>
      </c>
      <c r="U720" s="78">
        <f>IF(V720="","",IF(V720=2,"⚠️ Paying ahead of work","✓ OK"))</f>
        <v/>
      </c>
      <c r="V720" s="79">
        <f>IF(T720="","",IF(T720-R720&gt;OverpayTol,2,0))</f>
        <v/>
      </c>
      <c r="W720" s="112">
        <f>IF(V720=2,AsOf,"")</f>
        <v/>
      </c>
      <c r="X720" s="79">
        <f>IF(W720="","",1)</f>
        <v/>
      </c>
      <c r="Y720" s="79">
        <f>IF(X720="","","Paying ahead of work: "&amp;B720&amp;" — paid "&amp;ROUND(T720*100,0)&amp;"%, work done "&amp;ROUND(R720*100,0)&amp;"%")</f>
        <v/>
      </c>
      <c r="AA720" s="72" t="n"/>
      <c r="AB720" s="109" t="n"/>
      <c r="AC720" s="113" t="n"/>
      <c r="AD720" s="74" t="n"/>
      <c r="AE720" s="109" t="n"/>
      <c r="AF720" s="74" t="n"/>
      <c r="AG720" s="112">
        <f>IF(AND(AA720&lt;&gt;"",AD720="Yes",AF720&lt;&gt;"Yes",AE720&lt;&gt;""),AE720,"")</f>
        <v/>
      </c>
      <c r="AH720" s="79">
        <f>IF(AG720="","",IF(AG720&lt;AsOf,1,IF(AG720&lt;=AsOf+AlertDays,2,IF(AG720&lt;=AsOf+2*AlertDays,3,""))))</f>
        <v/>
      </c>
      <c r="AI720" s="79">
        <f>IF(AH720="","","Follow up with "&amp;AA720&amp;": "&amp;AC720)</f>
        <v/>
      </c>
    </row>
    <row r="721" ht="20" customHeight="1">
      <c r="B721" s="72" t="n"/>
      <c r="C721" s="72" t="n"/>
      <c r="D721" s="72" t="n"/>
      <c r="E721" s="72" t="n"/>
      <c r="F721" s="72" t="n"/>
      <c r="G721" s="72" t="n"/>
      <c r="H721" s="72" t="n"/>
      <c r="I721" s="73" t="n"/>
      <c r="J721" s="75">
        <f>IF(B721="","",SUMIFS('Change Orders'!$J$7:$J$1006,'Change Orders'!$E$7:$E$1006,B721,'Change Orders'!$L$7:$L$1006,"Approved"))</f>
        <v/>
      </c>
      <c r="K721" s="76">
        <f>IF(B721="","",I721+J721)</f>
        <v/>
      </c>
      <c r="L721" s="74" t="n"/>
      <c r="M721" s="109" t="n"/>
      <c r="N721" s="109" t="n"/>
      <c r="O721" s="74" t="n"/>
      <c r="P721" s="74" t="n"/>
      <c r="Q721" s="100" t="n"/>
      <c r="R721" s="110" t="n"/>
      <c r="S721" s="75">
        <f>IF(B721="","",SUMIFS('Payments'!$N$6:$N$1005,'Payments'!$B$6:$B$1005,B721))</f>
        <v/>
      </c>
      <c r="T721" s="111">
        <f>IF(OR(B721="",K721=0),"",S721/K721)</f>
        <v/>
      </c>
      <c r="U721" s="78">
        <f>IF(V721="","",IF(V721=2,"⚠️ Paying ahead of work","✓ OK"))</f>
        <v/>
      </c>
      <c r="V721" s="79">
        <f>IF(T721="","",IF(T721-R721&gt;OverpayTol,2,0))</f>
        <v/>
      </c>
      <c r="W721" s="112">
        <f>IF(V721=2,AsOf,"")</f>
        <v/>
      </c>
      <c r="X721" s="79">
        <f>IF(W721="","",1)</f>
        <v/>
      </c>
      <c r="Y721" s="79">
        <f>IF(X721="","","Paying ahead of work: "&amp;B721&amp;" — paid "&amp;ROUND(T721*100,0)&amp;"%, work done "&amp;ROUND(R721*100,0)&amp;"%")</f>
        <v/>
      </c>
      <c r="AA721" s="72" t="n"/>
      <c r="AB721" s="109" t="n"/>
      <c r="AC721" s="113" t="n"/>
      <c r="AD721" s="74" t="n"/>
      <c r="AE721" s="109" t="n"/>
      <c r="AF721" s="74" t="n"/>
      <c r="AG721" s="112">
        <f>IF(AND(AA721&lt;&gt;"",AD721="Yes",AF721&lt;&gt;"Yes",AE721&lt;&gt;""),AE721,"")</f>
        <v/>
      </c>
      <c r="AH721" s="79">
        <f>IF(AG721="","",IF(AG721&lt;AsOf,1,IF(AG721&lt;=AsOf+AlertDays,2,IF(AG721&lt;=AsOf+2*AlertDays,3,""))))</f>
        <v/>
      </c>
      <c r="AI721" s="79">
        <f>IF(AH721="","","Follow up with "&amp;AA721&amp;": "&amp;AC721)</f>
        <v/>
      </c>
    </row>
    <row r="722" ht="20" customHeight="1">
      <c r="B722" s="72" t="n"/>
      <c r="C722" s="72" t="n"/>
      <c r="D722" s="72" t="n"/>
      <c r="E722" s="72" t="n"/>
      <c r="F722" s="72" t="n"/>
      <c r="G722" s="72" t="n"/>
      <c r="H722" s="72" t="n"/>
      <c r="I722" s="73" t="n"/>
      <c r="J722" s="75">
        <f>IF(B722="","",SUMIFS('Change Orders'!$J$7:$J$1006,'Change Orders'!$E$7:$E$1006,B722,'Change Orders'!$L$7:$L$1006,"Approved"))</f>
        <v/>
      </c>
      <c r="K722" s="76">
        <f>IF(B722="","",I722+J722)</f>
        <v/>
      </c>
      <c r="L722" s="74" t="n"/>
      <c r="M722" s="109" t="n"/>
      <c r="N722" s="109" t="n"/>
      <c r="O722" s="74" t="n"/>
      <c r="P722" s="74" t="n"/>
      <c r="Q722" s="100" t="n"/>
      <c r="R722" s="110" t="n"/>
      <c r="S722" s="75">
        <f>IF(B722="","",SUMIFS('Payments'!$N$6:$N$1005,'Payments'!$B$6:$B$1005,B722))</f>
        <v/>
      </c>
      <c r="T722" s="111">
        <f>IF(OR(B722="",K722=0),"",S722/K722)</f>
        <v/>
      </c>
      <c r="U722" s="78">
        <f>IF(V722="","",IF(V722=2,"⚠️ Paying ahead of work","✓ OK"))</f>
        <v/>
      </c>
      <c r="V722" s="79">
        <f>IF(T722="","",IF(T722-R722&gt;OverpayTol,2,0))</f>
        <v/>
      </c>
      <c r="W722" s="112">
        <f>IF(V722=2,AsOf,"")</f>
        <v/>
      </c>
      <c r="X722" s="79">
        <f>IF(W722="","",1)</f>
        <v/>
      </c>
      <c r="Y722" s="79">
        <f>IF(X722="","","Paying ahead of work: "&amp;B722&amp;" — paid "&amp;ROUND(T722*100,0)&amp;"%, work done "&amp;ROUND(R722*100,0)&amp;"%")</f>
        <v/>
      </c>
      <c r="AA722" s="72" t="n"/>
      <c r="AB722" s="109" t="n"/>
      <c r="AC722" s="113" t="n"/>
      <c r="AD722" s="74" t="n"/>
      <c r="AE722" s="109" t="n"/>
      <c r="AF722" s="74" t="n"/>
      <c r="AG722" s="112">
        <f>IF(AND(AA722&lt;&gt;"",AD722="Yes",AF722&lt;&gt;"Yes",AE722&lt;&gt;""),AE722,"")</f>
        <v/>
      </c>
      <c r="AH722" s="79">
        <f>IF(AG722="","",IF(AG722&lt;AsOf,1,IF(AG722&lt;=AsOf+AlertDays,2,IF(AG722&lt;=AsOf+2*AlertDays,3,""))))</f>
        <v/>
      </c>
      <c r="AI722" s="79">
        <f>IF(AH722="","","Follow up with "&amp;AA722&amp;": "&amp;AC722)</f>
        <v/>
      </c>
    </row>
    <row r="723" ht="20" customHeight="1">
      <c r="B723" s="72" t="n"/>
      <c r="C723" s="72" t="n"/>
      <c r="D723" s="72" t="n"/>
      <c r="E723" s="72" t="n"/>
      <c r="F723" s="72" t="n"/>
      <c r="G723" s="72" t="n"/>
      <c r="H723" s="72" t="n"/>
      <c r="I723" s="73" t="n"/>
      <c r="J723" s="75">
        <f>IF(B723="","",SUMIFS('Change Orders'!$J$7:$J$1006,'Change Orders'!$E$7:$E$1006,B723,'Change Orders'!$L$7:$L$1006,"Approved"))</f>
        <v/>
      </c>
      <c r="K723" s="76">
        <f>IF(B723="","",I723+J723)</f>
        <v/>
      </c>
      <c r="L723" s="74" t="n"/>
      <c r="M723" s="109" t="n"/>
      <c r="N723" s="109" t="n"/>
      <c r="O723" s="74" t="n"/>
      <c r="P723" s="74" t="n"/>
      <c r="Q723" s="100" t="n"/>
      <c r="R723" s="110" t="n"/>
      <c r="S723" s="75">
        <f>IF(B723="","",SUMIFS('Payments'!$N$6:$N$1005,'Payments'!$B$6:$B$1005,B723))</f>
        <v/>
      </c>
      <c r="T723" s="111">
        <f>IF(OR(B723="",K723=0),"",S723/K723)</f>
        <v/>
      </c>
      <c r="U723" s="78">
        <f>IF(V723="","",IF(V723=2,"⚠️ Paying ahead of work","✓ OK"))</f>
        <v/>
      </c>
      <c r="V723" s="79">
        <f>IF(T723="","",IF(T723-R723&gt;OverpayTol,2,0))</f>
        <v/>
      </c>
      <c r="W723" s="112">
        <f>IF(V723=2,AsOf,"")</f>
        <v/>
      </c>
      <c r="X723" s="79">
        <f>IF(W723="","",1)</f>
        <v/>
      </c>
      <c r="Y723" s="79">
        <f>IF(X723="","","Paying ahead of work: "&amp;B723&amp;" — paid "&amp;ROUND(T723*100,0)&amp;"%, work done "&amp;ROUND(R723*100,0)&amp;"%")</f>
        <v/>
      </c>
      <c r="AA723" s="72" t="n"/>
      <c r="AB723" s="109" t="n"/>
      <c r="AC723" s="113" t="n"/>
      <c r="AD723" s="74" t="n"/>
      <c r="AE723" s="109" t="n"/>
      <c r="AF723" s="74" t="n"/>
      <c r="AG723" s="112">
        <f>IF(AND(AA723&lt;&gt;"",AD723="Yes",AF723&lt;&gt;"Yes",AE723&lt;&gt;""),AE723,"")</f>
        <v/>
      </c>
      <c r="AH723" s="79">
        <f>IF(AG723="","",IF(AG723&lt;AsOf,1,IF(AG723&lt;=AsOf+AlertDays,2,IF(AG723&lt;=AsOf+2*AlertDays,3,""))))</f>
        <v/>
      </c>
      <c r="AI723" s="79">
        <f>IF(AH723="","","Follow up with "&amp;AA723&amp;": "&amp;AC723)</f>
        <v/>
      </c>
    </row>
    <row r="724" ht="20" customHeight="1">
      <c r="B724" s="72" t="n"/>
      <c r="C724" s="72" t="n"/>
      <c r="D724" s="72" t="n"/>
      <c r="E724" s="72" t="n"/>
      <c r="F724" s="72" t="n"/>
      <c r="G724" s="72" t="n"/>
      <c r="H724" s="72" t="n"/>
      <c r="I724" s="73" t="n"/>
      <c r="J724" s="75">
        <f>IF(B724="","",SUMIFS('Change Orders'!$J$7:$J$1006,'Change Orders'!$E$7:$E$1006,B724,'Change Orders'!$L$7:$L$1006,"Approved"))</f>
        <v/>
      </c>
      <c r="K724" s="76">
        <f>IF(B724="","",I724+J724)</f>
        <v/>
      </c>
      <c r="L724" s="74" t="n"/>
      <c r="M724" s="109" t="n"/>
      <c r="N724" s="109" t="n"/>
      <c r="O724" s="74" t="n"/>
      <c r="P724" s="74" t="n"/>
      <c r="Q724" s="100" t="n"/>
      <c r="R724" s="110" t="n"/>
      <c r="S724" s="75">
        <f>IF(B724="","",SUMIFS('Payments'!$N$6:$N$1005,'Payments'!$B$6:$B$1005,B724))</f>
        <v/>
      </c>
      <c r="T724" s="111">
        <f>IF(OR(B724="",K724=0),"",S724/K724)</f>
        <v/>
      </c>
      <c r="U724" s="78">
        <f>IF(V724="","",IF(V724=2,"⚠️ Paying ahead of work","✓ OK"))</f>
        <v/>
      </c>
      <c r="V724" s="79">
        <f>IF(T724="","",IF(T724-R724&gt;OverpayTol,2,0))</f>
        <v/>
      </c>
      <c r="W724" s="112">
        <f>IF(V724=2,AsOf,"")</f>
        <v/>
      </c>
      <c r="X724" s="79">
        <f>IF(W724="","",1)</f>
        <v/>
      </c>
      <c r="Y724" s="79">
        <f>IF(X724="","","Paying ahead of work: "&amp;B724&amp;" — paid "&amp;ROUND(T724*100,0)&amp;"%, work done "&amp;ROUND(R724*100,0)&amp;"%")</f>
        <v/>
      </c>
      <c r="AA724" s="72" t="n"/>
      <c r="AB724" s="109" t="n"/>
      <c r="AC724" s="113" t="n"/>
      <c r="AD724" s="74" t="n"/>
      <c r="AE724" s="109" t="n"/>
      <c r="AF724" s="74" t="n"/>
      <c r="AG724" s="112">
        <f>IF(AND(AA724&lt;&gt;"",AD724="Yes",AF724&lt;&gt;"Yes",AE724&lt;&gt;""),AE724,"")</f>
        <v/>
      </c>
      <c r="AH724" s="79">
        <f>IF(AG724="","",IF(AG724&lt;AsOf,1,IF(AG724&lt;=AsOf+AlertDays,2,IF(AG724&lt;=AsOf+2*AlertDays,3,""))))</f>
        <v/>
      </c>
      <c r="AI724" s="79">
        <f>IF(AH724="","","Follow up with "&amp;AA724&amp;": "&amp;AC724)</f>
        <v/>
      </c>
    </row>
    <row r="725" ht="20" customHeight="1">
      <c r="B725" s="72" t="n"/>
      <c r="C725" s="72" t="n"/>
      <c r="D725" s="72" t="n"/>
      <c r="E725" s="72" t="n"/>
      <c r="F725" s="72" t="n"/>
      <c r="G725" s="72" t="n"/>
      <c r="H725" s="72" t="n"/>
      <c r="I725" s="73" t="n"/>
      <c r="J725" s="75">
        <f>IF(B725="","",SUMIFS('Change Orders'!$J$7:$J$1006,'Change Orders'!$E$7:$E$1006,B725,'Change Orders'!$L$7:$L$1006,"Approved"))</f>
        <v/>
      </c>
      <c r="K725" s="76">
        <f>IF(B725="","",I725+J725)</f>
        <v/>
      </c>
      <c r="L725" s="74" t="n"/>
      <c r="M725" s="109" t="n"/>
      <c r="N725" s="109" t="n"/>
      <c r="O725" s="74" t="n"/>
      <c r="P725" s="74" t="n"/>
      <c r="Q725" s="100" t="n"/>
      <c r="R725" s="110" t="n"/>
      <c r="S725" s="75">
        <f>IF(B725="","",SUMIFS('Payments'!$N$6:$N$1005,'Payments'!$B$6:$B$1005,B725))</f>
        <v/>
      </c>
      <c r="T725" s="111">
        <f>IF(OR(B725="",K725=0),"",S725/K725)</f>
        <v/>
      </c>
      <c r="U725" s="78">
        <f>IF(V725="","",IF(V725=2,"⚠️ Paying ahead of work","✓ OK"))</f>
        <v/>
      </c>
      <c r="V725" s="79">
        <f>IF(T725="","",IF(T725-R725&gt;OverpayTol,2,0))</f>
        <v/>
      </c>
      <c r="W725" s="112">
        <f>IF(V725=2,AsOf,"")</f>
        <v/>
      </c>
      <c r="X725" s="79">
        <f>IF(W725="","",1)</f>
        <v/>
      </c>
      <c r="Y725" s="79">
        <f>IF(X725="","","Paying ahead of work: "&amp;B725&amp;" — paid "&amp;ROUND(T725*100,0)&amp;"%, work done "&amp;ROUND(R725*100,0)&amp;"%")</f>
        <v/>
      </c>
      <c r="AA725" s="72" t="n"/>
      <c r="AB725" s="109" t="n"/>
      <c r="AC725" s="113" t="n"/>
      <c r="AD725" s="74" t="n"/>
      <c r="AE725" s="109" t="n"/>
      <c r="AF725" s="74" t="n"/>
      <c r="AG725" s="112">
        <f>IF(AND(AA725&lt;&gt;"",AD725="Yes",AF725&lt;&gt;"Yes",AE725&lt;&gt;""),AE725,"")</f>
        <v/>
      </c>
      <c r="AH725" s="79">
        <f>IF(AG725="","",IF(AG725&lt;AsOf,1,IF(AG725&lt;=AsOf+AlertDays,2,IF(AG725&lt;=AsOf+2*AlertDays,3,""))))</f>
        <v/>
      </c>
      <c r="AI725" s="79">
        <f>IF(AH725="","","Follow up with "&amp;AA725&amp;": "&amp;AC725)</f>
        <v/>
      </c>
    </row>
    <row r="726" ht="20" customHeight="1">
      <c r="B726" s="72" t="n"/>
      <c r="C726" s="72" t="n"/>
      <c r="D726" s="72" t="n"/>
      <c r="E726" s="72" t="n"/>
      <c r="F726" s="72" t="n"/>
      <c r="G726" s="72" t="n"/>
      <c r="H726" s="72" t="n"/>
      <c r="I726" s="73" t="n"/>
      <c r="J726" s="75">
        <f>IF(B726="","",SUMIFS('Change Orders'!$J$7:$J$1006,'Change Orders'!$E$7:$E$1006,B726,'Change Orders'!$L$7:$L$1006,"Approved"))</f>
        <v/>
      </c>
      <c r="K726" s="76">
        <f>IF(B726="","",I726+J726)</f>
        <v/>
      </c>
      <c r="L726" s="74" t="n"/>
      <c r="M726" s="109" t="n"/>
      <c r="N726" s="109" t="n"/>
      <c r="O726" s="74" t="n"/>
      <c r="P726" s="74" t="n"/>
      <c r="Q726" s="100" t="n"/>
      <c r="R726" s="110" t="n"/>
      <c r="S726" s="75">
        <f>IF(B726="","",SUMIFS('Payments'!$N$6:$N$1005,'Payments'!$B$6:$B$1005,B726))</f>
        <v/>
      </c>
      <c r="T726" s="111">
        <f>IF(OR(B726="",K726=0),"",S726/K726)</f>
        <v/>
      </c>
      <c r="U726" s="78">
        <f>IF(V726="","",IF(V726=2,"⚠️ Paying ahead of work","✓ OK"))</f>
        <v/>
      </c>
      <c r="V726" s="79">
        <f>IF(T726="","",IF(T726-R726&gt;OverpayTol,2,0))</f>
        <v/>
      </c>
      <c r="W726" s="112">
        <f>IF(V726=2,AsOf,"")</f>
        <v/>
      </c>
      <c r="X726" s="79">
        <f>IF(W726="","",1)</f>
        <v/>
      </c>
      <c r="Y726" s="79">
        <f>IF(X726="","","Paying ahead of work: "&amp;B726&amp;" — paid "&amp;ROUND(T726*100,0)&amp;"%, work done "&amp;ROUND(R726*100,0)&amp;"%")</f>
        <v/>
      </c>
      <c r="AA726" s="72" t="n"/>
      <c r="AB726" s="109" t="n"/>
      <c r="AC726" s="113" t="n"/>
      <c r="AD726" s="74" t="n"/>
      <c r="AE726" s="109" t="n"/>
      <c r="AF726" s="74" t="n"/>
      <c r="AG726" s="112">
        <f>IF(AND(AA726&lt;&gt;"",AD726="Yes",AF726&lt;&gt;"Yes",AE726&lt;&gt;""),AE726,"")</f>
        <v/>
      </c>
      <c r="AH726" s="79">
        <f>IF(AG726="","",IF(AG726&lt;AsOf,1,IF(AG726&lt;=AsOf+AlertDays,2,IF(AG726&lt;=AsOf+2*AlertDays,3,""))))</f>
        <v/>
      </c>
      <c r="AI726" s="79">
        <f>IF(AH726="","","Follow up with "&amp;AA726&amp;": "&amp;AC726)</f>
        <v/>
      </c>
    </row>
    <row r="727" ht="20" customHeight="1">
      <c r="B727" s="72" t="n"/>
      <c r="C727" s="72" t="n"/>
      <c r="D727" s="72" t="n"/>
      <c r="E727" s="72" t="n"/>
      <c r="F727" s="72" t="n"/>
      <c r="G727" s="72" t="n"/>
      <c r="H727" s="72" t="n"/>
      <c r="I727" s="73" t="n"/>
      <c r="J727" s="75">
        <f>IF(B727="","",SUMIFS('Change Orders'!$J$7:$J$1006,'Change Orders'!$E$7:$E$1006,B727,'Change Orders'!$L$7:$L$1006,"Approved"))</f>
        <v/>
      </c>
      <c r="K727" s="76">
        <f>IF(B727="","",I727+J727)</f>
        <v/>
      </c>
      <c r="L727" s="74" t="n"/>
      <c r="M727" s="109" t="n"/>
      <c r="N727" s="109" t="n"/>
      <c r="O727" s="74" t="n"/>
      <c r="P727" s="74" t="n"/>
      <c r="Q727" s="100" t="n"/>
      <c r="R727" s="110" t="n"/>
      <c r="S727" s="75">
        <f>IF(B727="","",SUMIFS('Payments'!$N$6:$N$1005,'Payments'!$B$6:$B$1005,B727))</f>
        <v/>
      </c>
      <c r="T727" s="111">
        <f>IF(OR(B727="",K727=0),"",S727/K727)</f>
        <v/>
      </c>
      <c r="U727" s="78">
        <f>IF(V727="","",IF(V727=2,"⚠️ Paying ahead of work","✓ OK"))</f>
        <v/>
      </c>
      <c r="V727" s="79">
        <f>IF(T727="","",IF(T727-R727&gt;OverpayTol,2,0))</f>
        <v/>
      </c>
      <c r="W727" s="112">
        <f>IF(V727=2,AsOf,"")</f>
        <v/>
      </c>
      <c r="X727" s="79">
        <f>IF(W727="","",1)</f>
        <v/>
      </c>
      <c r="Y727" s="79">
        <f>IF(X727="","","Paying ahead of work: "&amp;B727&amp;" — paid "&amp;ROUND(T727*100,0)&amp;"%, work done "&amp;ROUND(R727*100,0)&amp;"%")</f>
        <v/>
      </c>
      <c r="AA727" s="72" t="n"/>
      <c r="AB727" s="109" t="n"/>
      <c r="AC727" s="113" t="n"/>
      <c r="AD727" s="74" t="n"/>
      <c r="AE727" s="109" t="n"/>
      <c r="AF727" s="74" t="n"/>
      <c r="AG727" s="112">
        <f>IF(AND(AA727&lt;&gt;"",AD727="Yes",AF727&lt;&gt;"Yes",AE727&lt;&gt;""),AE727,"")</f>
        <v/>
      </c>
      <c r="AH727" s="79">
        <f>IF(AG727="","",IF(AG727&lt;AsOf,1,IF(AG727&lt;=AsOf+AlertDays,2,IF(AG727&lt;=AsOf+2*AlertDays,3,""))))</f>
        <v/>
      </c>
      <c r="AI727" s="79">
        <f>IF(AH727="","","Follow up with "&amp;AA727&amp;": "&amp;AC727)</f>
        <v/>
      </c>
    </row>
    <row r="728" ht="20" customHeight="1">
      <c r="B728" s="72" t="n"/>
      <c r="C728" s="72" t="n"/>
      <c r="D728" s="72" t="n"/>
      <c r="E728" s="72" t="n"/>
      <c r="F728" s="72" t="n"/>
      <c r="G728" s="72" t="n"/>
      <c r="H728" s="72" t="n"/>
      <c r="I728" s="73" t="n"/>
      <c r="J728" s="75">
        <f>IF(B728="","",SUMIFS('Change Orders'!$J$7:$J$1006,'Change Orders'!$E$7:$E$1006,B728,'Change Orders'!$L$7:$L$1006,"Approved"))</f>
        <v/>
      </c>
      <c r="K728" s="76">
        <f>IF(B728="","",I728+J728)</f>
        <v/>
      </c>
      <c r="L728" s="74" t="n"/>
      <c r="M728" s="109" t="n"/>
      <c r="N728" s="109" t="n"/>
      <c r="O728" s="74" t="n"/>
      <c r="P728" s="74" t="n"/>
      <c r="Q728" s="100" t="n"/>
      <c r="R728" s="110" t="n"/>
      <c r="S728" s="75">
        <f>IF(B728="","",SUMIFS('Payments'!$N$6:$N$1005,'Payments'!$B$6:$B$1005,B728))</f>
        <v/>
      </c>
      <c r="T728" s="111">
        <f>IF(OR(B728="",K728=0),"",S728/K728)</f>
        <v/>
      </c>
      <c r="U728" s="78">
        <f>IF(V728="","",IF(V728=2,"⚠️ Paying ahead of work","✓ OK"))</f>
        <v/>
      </c>
      <c r="V728" s="79">
        <f>IF(T728="","",IF(T728-R728&gt;OverpayTol,2,0))</f>
        <v/>
      </c>
      <c r="W728" s="112">
        <f>IF(V728=2,AsOf,"")</f>
        <v/>
      </c>
      <c r="X728" s="79">
        <f>IF(W728="","",1)</f>
        <v/>
      </c>
      <c r="Y728" s="79">
        <f>IF(X728="","","Paying ahead of work: "&amp;B728&amp;" — paid "&amp;ROUND(T728*100,0)&amp;"%, work done "&amp;ROUND(R728*100,0)&amp;"%")</f>
        <v/>
      </c>
      <c r="AA728" s="72" t="n"/>
      <c r="AB728" s="109" t="n"/>
      <c r="AC728" s="113" t="n"/>
      <c r="AD728" s="74" t="n"/>
      <c r="AE728" s="109" t="n"/>
      <c r="AF728" s="74" t="n"/>
      <c r="AG728" s="112">
        <f>IF(AND(AA728&lt;&gt;"",AD728="Yes",AF728&lt;&gt;"Yes",AE728&lt;&gt;""),AE728,"")</f>
        <v/>
      </c>
      <c r="AH728" s="79">
        <f>IF(AG728="","",IF(AG728&lt;AsOf,1,IF(AG728&lt;=AsOf+AlertDays,2,IF(AG728&lt;=AsOf+2*AlertDays,3,""))))</f>
        <v/>
      </c>
      <c r="AI728" s="79">
        <f>IF(AH728="","","Follow up with "&amp;AA728&amp;": "&amp;AC728)</f>
        <v/>
      </c>
    </row>
    <row r="729" ht="20" customHeight="1">
      <c r="B729" s="72" t="n"/>
      <c r="C729" s="72" t="n"/>
      <c r="D729" s="72" t="n"/>
      <c r="E729" s="72" t="n"/>
      <c r="F729" s="72" t="n"/>
      <c r="G729" s="72" t="n"/>
      <c r="H729" s="72" t="n"/>
      <c r="I729" s="73" t="n"/>
      <c r="J729" s="75">
        <f>IF(B729="","",SUMIFS('Change Orders'!$J$7:$J$1006,'Change Orders'!$E$7:$E$1006,B729,'Change Orders'!$L$7:$L$1006,"Approved"))</f>
        <v/>
      </c>
      <c r="K729" s="76">
        <f>IF(B729="","",I729+J729)</f>
        <v/>
      </c>
      <c r="L729" s="74" t="n"/>
      <c r="M729" s="109" t="n"/>
      <c r="N729" s="109" t="n"/>
      <c r="O729" s="74" t="n"/>
      <c r="P729" s="74" t="n"/>
      <c r="Q729" s="100" t="n"/>
      <c r="R729" s="110" t="n"/>
      <c r="S729" s="75">
        <f>IF(B729="","",SUMIFS('Payments'!$N$6:$N$1005,'Payments'!$B$6:$B$1005,B729))</f>
        <v/>
      </c>
      <c r="T729" s="111">
        <f>IF(OR(B729="",K729=0),"",S729/K729)</f>
        <v/>
      </c>
      <c r="U729" s="78">
        <f>IF(V729="","",IF(V729=2,"⚠️ Paying ahead of work","✓ OK"))</f>
        <v/>
      </c>
      <c r="V729" s="79">
        <f>IF(T729="","",IF(T729-R729&gt;OverpayTol,2,0))</f>
        <v/>
      </c>
      <c r="W729" s="112">
        <f>IF(V729=2,AsOf,"")</f>
        <v/>
      </c>
      <c r="X729" s="79">
        <f>IF(W729="","",1)</f>
        <v/>
      </c>
      <c r="Y729" s="79">
        <f>IF(X729="","","Paying ahead of work: "&amp;B729&amp;" — paid "&amp;ROUND(T729*100,0)&amp;"%, work done "&amp;ROUND(R729*100,0)&amp;"%")</f>
        <v/>
      </c>
      <c r="AA729" s="72" t="n"/>
      <c r="AB729" s="109" t="n"/>
      <c r="AC729" s="113" t="n"/>
      <c r="AD729" s="74" t="n"/>
      <c r="AE729" s="109" t="n"/>
      <c r="AF729" s="74" t="n"/>
      <c r="AG729" s="112">
        <f>IF(AND(AA729&lt;&gt;"",AD729="Yes",AF729&lt;&gt;"Yes",AE729&lt;&gt;""),AE729,"")</f>
        <v/>
      </c>
      <c r="AH729" s="79">
        <f>IF(AG729="","",IF(AG729&lt;AsOf,1,IF(AG729&lt;=AsOf+AlertDays,2,IF(AG729&lt;=AsOf+2*AlertDays,3,""))))</f>
        <v/>
      </c>
      <c r="AI729" s="79">
        <f>IF(AH729="","","Follow up with "&amp;AA729&amp;": "&amp;AC729)</f>
        <v/>
      </c>
    </row>
    <row r="730" ht="20" customHeight="1">
      <c r="B730" s="72" t="n"/>
      <c r="C730" s="72" t="n"/>
      <c r="D730" s="72" t="n"/>
      <c r="E730" s="72" t="n"/>
      <c r="F730" s="72" t="n"/>
      <c r="G730" s="72" t="n"/>
      <c r="H730" s="72" t="n"/>
      <c r="I730" s="73" t="n"/>
      <c r="J730" s="75">
        <f>IF(B730="","",SUMIFS('Change Orders'!$J$7:$J$1006,'Change Orders'!$E$7:$E$1006,B730,'Change Orders'!$L$7:$L$1006,"Approved"))</f>
        <v/>
      </c>
      <c r="K730" s="76">
        <f>IF(B730="","",I730+J730)</f>
        <v/>
      </c>
      <c r="L730" s="74" t="n"/>
      <c r="M730" s="109" t="n"/>
      <c r="N730" s="109" t="n"/>
      <c r="O730" s="74" t="n"/>
      <c r="P730" s="74" t="n"/>
      <c r="Q730" s="100" t="n"/>
      <c r="R730" s="110" t="n"/>
      <c r="S730" s="75">
        <f>IF(B730="","",SUMIFS('Payments'!$N$6:$N$1005,'Payments'!$B$6:$B$1005,B730))</f>
        <v/>
      </c>
      <c r="T730" s="111">
        <f>IF(OR(B730="",K730=0),"",S730/K730)</f>
        <v/>
      </c>
      <c r="U730" s="78">
        <f>IF(V730="","",IF(V730=2,"⚠️ Paying ahead of work","✓ OK"))</f>
        <v/>
      </c>
      <c r="V730" s="79">
        <f>IF(T730="","",IF(T730-R730&gt;OverpayTol,2,0))</f>
        <v/>
      </c>
      <c r="W730" s="112">
        <f>IF(V730=2,AsOf,"")</f>
        <v/>
      </c>
      <c r="X730" s="79">
        <f>IF(W730="","",1)</f>
        <v/>
      </c>
      <c r="Y730" s="79">
        <f>IF(X730="","","Paying ahead of work: "&amp;B730&amp;" — paid "&amp;ROUND(T730*100,0)&amp;"%, work done "&amp;ROUND(R730*100,0)&amp;"%")</f>
        <v/>
      </c>
      <c r="AA730" s="72" t="n"/>
      <c r="AB730" s="109" t="n"/>
      <c r="AC730" s="113" t="n"/>
      <c r="AD730" s="74" t="n"/>
      <c r="AE730" s="109" t="n"/>
      <c r="AF730" s="74" t="n"/>
      <c r="AG730" s="112">
        <f>IF(AND(AA730&lt;&gt;"",AD730="Yes",AF730&lt;&gt;"Yes",AE730&lt;&gt;""),AE730,"")</f>
        <v/>
      </c>
      <c r="AH730" s="79">
        <f>IF(AG730="","",IF(AG730&lt;AsOf,1,IF(AG730&lt;=AsOf+AlertDays,2,IF(AG730&lt;=AsOf+2*AlertDays,3,""))))</f>
        <v/>
      </c>
      <c r="AI730" s="79">
        <f>IF(AH730="","","Follow up with "&amp;AA730&amp;": "&amp;AC730)</f>
        <v/>
      </c>
    </row>
    <row r="731" ht="20" customHeight="1">
      <c r="B731" s="72" t="n"/>
      <c r="C731" s="72" t="n"/>
      <c r="D731" s="72" t="n"/>
      <c r="E731" s="72" t="n"/>
      <c r="F731" s="72" t="n"/>
      <c r="G731" s="72" t="n"/>
      <c r="H731" s="72" t="n"/>
      <c r="I731" s="73" t="n"/>
      <c r="J731" s="75">
        <f>IF(B731="","",SUMIFS('Change Orders'!$J$7:$J$1006,'Change Orders'!$E$7:$E$1006,B731,'Change Orders'!$L$7:$L$1006,"Approved"))</f>
        <v/>
      </c>
      <c r="K731" s="76">
        <f>IF(B731="","",I731+J731)</f>
        <v/>
      </c>
      <c r="L731" s="74" t="n"/>
      <c r="M731" s="109" t="n"/>
      <c r="N731" s="109" t="n"/>
      <c r="O731" s="74" t="n"/>
      <c r="P731" s="74" t="n"/>
      <c r="Q731" s="100" t="n"/>
      <c r="R731" s="110" t="n"/>
      <c r="S731" s="75">
        <f>IF(B731="","",SUMIFS('Payments'!$N$6:$N$1005,'Payments'!$B$6:$B$1005,B731))</f>
        <v/>
      </c>
      <c r="T731" s="111">
        <f>IF(OR(B731="",K731=0),"",S731/K731)</f>
        <v/>
      </c>
      <c r="U731" s="78">
        <f>IF(V731="","",IF(V731=2,"⚠️ Paying ahead of work","✓ OK"))</f>
        <v/>
      </c>
      <c r="V731" s="79">
        <f>IF(T731="","",IF(T731-R731&gt;OverpayTol,2,0))</f>
        <v/>
      </c>
      <c r="W731" s="112">
        <f>IF(V731=2,AsOf,"")</f>
        <v/>
      </c>
      <c r="X731" s="79">
        <f>IF(W731="","",1)</f>
        <v/>
      </c>
      <c r="Y731" s="79">
        <f>IF(X731="","","Paying ahead of work: "&amp;B731&amp;" — paid "&amp;ROUND(T731*100,0)&amp;"%, work done "&amp;ROUND(R731*100,0)&amp;"%")</f>
        <v/>
      </c>
      <c r="AA731" s="72" t="n"/>
      <c r="AB731" s="109" t="n"/>
      <c r="AC731" s="113" t="n"/>
      <c r="AD731" s="74" t="n"/>
      <c r="AE731" s="109" t="n"/>
      <c r="AF731" s="74" t="n"/>
      <c r="AG731" s="112">
        <f>IF(AND(AA731&lt;&gt;"",AD731="Yes",AF731&lt;&gt;"Yes",AE731&lt;&gt;""),AE731,"")</f>
        <v/>
      </c>
      <c r="AH731" s="79">
        <f>IF(AG731="","",IF(AG731&lt;AsOf,1,IF(AG731&lt;=AsOf+AlertDays,2,IF(AG731&lt;=AsOf+2*AlertDays,3,""))))</f>
        <v/>
      </c>
      <c r="AI731" s="79">
        <f>IF(AH731="","","Follow up with "&amp;AA731&amp;": "&amp;AC731)</f>
        <v/>
      </c>
    </row>
    <row r="732" ht="20" customHeight="1">
      <c r="B732" s="72" t="n"/>
      <c r="C732" s="72" t="n"/>
      <c r="D732" s="72" t="n"/>
      <c r="E732" s="72" t="n"/>
      <c r="F732" s="72" t="n"/>
      <c r="G732" s="72" t="n"/>
      <c r="H732" s="72" t="n"/>
      <c r="I732" s="73" t="n"/>
      <c r="J732" s="75">
        <f>IF(B732="","",SUMIFS('Change Orders'!$J$7:$J$1006,'Change Orders'!$E$7:$E$1006,B732,'Change Orders'!$L$7:$L$1006,"Approved"))</f>
        <v/>
      </c>
      <c r="K732" s="76">
        <f>IF(B732="","",I732+J732)</f>
        <v/>
      </c>
      <c r="L732" s="74" t="n"/>
      <c r="M732" s="109" t="n"/>
      <c r="N732" s="109" t="n"/>
      <c r="O732" s="74" t="n"/>
      <c r="P732" s="74" t="n"/>
      <c r="Q732" s="100" t="n"/>
      <c r="R732" s="110" t="n"/>
      <c r="S732" s="75">
        <f>IF(B732="","",SUMIFS('Payments'!$N$6:$N$1005,'Payments'!$B$6:$B$1005,B732))</f>
        <v/>
      </c>
      <c r="T732" s="111">
        <f>IF(OR(B732="",K732=0),"",S732/K732)</f>
        <v/>
      </c>
      <c r="U732" s="78">
        <f>IF(V732="","",IF(V732=2,"⚠️ Paying ahead of work","✓ OK"))</f>
        <v/>
      </c>
      <c r="V732" s="79">
        <f>IF(T732="","",IF(T732-R732&gt;OverpayTol,2,0))</f>
        <v/>
      </c>
      <c r="W732" s="112">
        <f>IF(V732=2,AsOf,"")</f>
        <v/>
      </c>
      <c r="X732" s="79">
        <f>IF(W732="","",1)</f>
        <v/>
      </c>
      <c r="Y732" s="79">
        <f>IF(X732="","","Paying ahead of work: "&amp;B732&amp;" — paid "&amp;ROUND(T732*100,0)&amp;"%, work done "&amp;ROUND(R732*100,0)&amp;"%")</f>
        <v/>
      </c>
      <c r="AA732" s="72" t="n"/>
      <c r="AB732" s="109" t="n"/>
      <c r="AC732" s="113" t="n"/>
      <c r="AD732" s="74" t="n"/>
      <c r="AE732" s="109" t="n"/>
      <c r="AF732" s="74" t="n"/>
      <c r="AG732" s="112">
        <f>IF(AND(AA732&lt;&gt;"",AD732="Yes",AF732&lt;&gt;"Yes",AE732&lt;&gt;""),AE732,"")</f>
        <v/>
      </c>
      <c r="AH732" s="79">
        <f>IF(AG732="","",IF(AG732&lt;AsOf,1,IF(AG732&lt;=AsOf+AlertDays,2,IF(AG732&lt;=AsOf+2*AlertDays,3,""))))</f>
        <v/>
      </c>
      <c r="AI732" s="79">
        <f>IF(AH732="","","Follow up with "&amp;AA732&amp;": "&amp;AC732)</f>
        <v/>
      </c>
    </row>
    <row r="733" ht="20" customHeight="1">
      <c r="B733" s="72" t="n"/>
      <c r="C733" s="72" t="n"/>
      <c r="D733" s="72" t="n"/>
      <c r="E733" s="72" t="n"/>
      <c r="F733" s="72" t="n"/>
      <c r="G733" s="72" t="n"/>
      <c r="H733" s="72" t="n"/>
      <c r="I733" s="73" t="n"/>
      <c r="J733" s="75">
        <f>IF(B733="","",SUMIFS('Change Orders'!$J$7:$J$1006,'Change Orders'!$E$7:$E$1006,B733,'Change Orders'!$L$7:$L$1006,"Approved"))</f>
        <v/>
      </c>
      <c r="K733" s="76">
        <f>IF(B733="","",I733+J733)</f>
        <v/>
      </c>
      <c r="L733" s="74" t="n"/>
      <c r="M733" s="109" t="n"/>
      <c r="N733" s="109" t="n"/>
      <c r="O733" s="74" t="n"/>
      <c r="P733" s="74" t="n"/>
      <c r="Q733" s="100" t="n"/>
      <c r="R733" s="110" t="n"/>
      <c r="S733" s="75">
        <f>IF(B733="","",SUMIFS('Payments'!$N$6:$N$1005,'Payments'!$B$6:$B$1005,B733))</f>
        <v/>
      </c>
      <c r="T733" s="111">
        <f>IF(OR(B733="",K733=0),"",S733/K733)</f>
        <v/>
      </c>
      <c r="U733" s="78">
        <f>IF(V733="","",IF(V733=2,"⚠️ Paying ahead of work","✓ OK"))</f>
        <v/>
      </c>
      <c r="V733" s="79">
        <f>IF(T733="","",IF(T733-R733&gt;OverpayTol,2,0))</f>
        <v/>
      </c>
      <c r="W733" s="112">
        <f>IF(V733=2,AsOf,"")</f>
        <v/>
      </c>
      <c r="X733" s="79">
        <f>IF(W733="","",1)</f>
        <v/>
      </c>
      <c r="Y733" s="79">
        <f>IF(X733="","","Paying ahead of work: "&amp;B733&amp;" — paid "&amp;ROUND(T733*100,0)&amp;"%, work done "&amp;ROUND(R733*100,0)&amp;"%")</f>
        <v/>
      </c>
      <c r="AA733" s="72" t="n"/>
      <c r="AB733" s="109" t="n"/>
      <c r="AC733" s="113" t="n"/>
      <c r="AD733" s="74" t="n"/>
      <c r="AE733" s="109" t="n"/>
      <c r="AF733" s="74" t="n"/>
      <c r="AG733" s="112">
        <f>IF(AND(AA733&lt;&gt;"",AD733="Yes",AF733&lt;&gt;"Yes",AE733&lt;&gt;""),AE733,"")</f>
        <v/>
      </c>
      <c r="AH733" s="79">
        <f>IF(AG733="","",IF(AG733&lt;AsOf,1,IF(AG733&lt;=AsOf+AlertDays,2,IF(AG733&lt;=AsOf+2*AlertDays,3,""))))</f>
        <v/>
      </c>
      <c r="AI733" s="79">
        <f>IF(AH733="","","Follow up with "&amp;AA733&amp;": "&amp;AC733)</f>
        <v/>
      </c>
    </row>
    <row r="734" ht="20" customHeight="1">
      <c r="B734" s="72" t="n"/>
      <c r="C734" s="72" t="n"/>
      <c r="D734" s="72" t="n"/>
      <c r="E734" s="72" t="n"/>
      <c r="F734" s="72" t="n"/>
      <c r="G734" s="72" t="n"/>
      <c r="H734" s="72" t="n"/>
      <c r="I734" s="73" t="n"/>
      <c r="J734" s="75">
        <f>IF(B734="","",SUMIFS('Change Orders'!$J$7:$J$1006,'Change Orders'!$E$7:$E$1006,B734,'Change Orders'!$L$7:$L$1006,"Approved"))</f>
        <v/>
      </c>
      <c r="K734" s="76">
        <f>IF(B734="","",I734+J734)</f>
        <v/>
      </c>
      <c r="L734" s="74" t="n"/>
      <c r="M734" s="109" t="n"/>
      <c r="N734" s="109" t="n"/>
      <c r="O734" s="74" t="n"/>
      <c r="P734" s="74" t="n"/>
      <c r="Q734" s="100" t="n"/>
      <c r="R734" s="110" t="n"/>
      <c r="S734" s="75">
        <f>IF(B734="","",SUMIFS('Payments'!$N$6:$N$1005,'Payments'!$B$6:$B$1005,B734))</f>
        <v/>
      </c>
      <c r="T734" s="111">
        <f>IF(OR(B734="",K734=0),"",S734/K734)</f>
        <v/>
      </c>
      <c r="U734" s="78">
        <f>IF(V734="","",IF(V734=2,"⚠️ Paying ahead of work","✓ OK"))</f>
        <v/>
      </c>
      <c r="V734" s="79">
        <f>IF(T734="","",IF(T734-R734&gt;OverpayTol,2,0))</f>
        <v/>
      </c>
      <c r="W734" s="112">
        <f>IF(V734=2,AsOf,"")</f>
        <v/>
      </c>
      <c r="X734" s="79">
        <f>IF(W734="","",1)</f>
        <v/>
      </c>
      <c r="Y734" s="79">
        <f>IF(X734="","","Paying ahead of work: "&amp;B734&amp;" — paid "&amp;ROUND(T734*100,0)&amp;"%, work done "&amp;ROUND(R734*100,0)&amp;"%")</f>
        <v/>
      </c>
      <c r="AA734" s="72" t="n"/>
      <c r="AB734" s="109" t="n"/>
      <c r="AC734" s="113" t="n"/>
      <c r="AD734" s="74" t="n"/>
      <c r="AE734" s="109" t="n"/>
      <c r="AF734" s="74" t="n"/>
      <c r="AG734" s="112">
        <f>IF(AND(AA734&lt;&gt;"",AD734="Yes",AF734&lt;&gt;"Yes",AE734&lt;&gt;""),AE734,"")</f>
        <v/>
      </c>
      <c r="AH734" s="79">
        <f>IF(AG734="","",IF(AG734&lt;AsOf,1,IF(AG734&lt;=AsOf+AlertDays,2,IF(AG734&lt;=AsOf+2*AlertDays,3,""))))</f>
        <v/>
      </c>
      <c r="AI734" s="79">
        <f>IF(AH734="","","Follow up with "&amp;AA734&amp;": "&amp;AC734)</f>
        <v/>
      </c>
    </row>
    <row r="735" ht="20" customHeight="1">
      <c r="B735" s="72" t="n"/>
      <c r="C735" s="72" t="n"/>
      <c r="D735" s="72" t="n"/>
      <c r="E735" s="72" t="n"/>
      <c r="F735" s="72" t="n"/>
      <c r="G735" s="72" t="n"/>
      <c r="H735" s="72" t="n"/>
      <c r="I735" s="73" t="n"/>
      <c r="J735" s="75">
        <f>IF(B735="","",SUMIFS('Change Orders'!$J$7:$J$1006,'Change Orders'!$E$7:$E$1006,B735,'Change Orders'!$L$7:$L$1006,"Approved"))</f>
        <v/>
      </c>
      <c r="K735" s="76">
        <f>IF(B735="","",I735+J735)</f>
        <v/>
      </c>
      <c r="L735" s="74" t="n"/>
      <c r="M735" s="109" t="n"/>
      <c r="N735" s="109" t="n"/>
      <c r="O735" s="74" t="n"/>
      <c r="P735" s="74" t="n"/>
      <c r="Q735" s="100" t="n"/>
      <c r="R735" s="110" t="n"/>
      <c r="S735" s="75">
        <f>IF(B735="","",SUMIFS('Payments'!$N$6:$N$1005,'Payments'!$B$6:$B$1005,B735))</f>
        <v/>
      </c>
      <c r="T735" s="111">
        <f>IF(OR(B735="",K735=0),"",S735/K735)</f>
        <v/>
      </c>
      <c r="U735" s="78">
        <f>IF(V735="","",IF(V735=2,"⚠️ Paying ahead of work","✓ OK"))</f>
        <v/>
      </c>
      <c r="V735" s="79">
        <f>IF(T735="","",IF(T735-R735&gt;OverpayTol,2,0))</f>
        <v/>
      </c>
      <c r="W735" s="112">
        <f>IF(V735=2,AsOf,"")</f>
        <v/>
      </c>
      <c r="X735" s="79">
        <f>IF(W735="","",1)</f>
        <v/>
      </c>
      <c r="Y735" s="79">
        <f>IF(X735="","","Paying ahead of work: "&amp;B735&amp;" — paid "&amp;ROUND(T735*100,0)&amp;"%, work done "&amp;ROUND(R735*100,0)&amp;"%")</f>
        <v/>
      </c>
      <c r="AA735" s="72" t="n"/>
      <c r="AB735" s="109" t="n"/>
      <c r="AC735" s="113" t="n"/>
      <c r="AD735" s="74" t="n"/>
      <c r="AE735" s="109" t="n"/>
      <c r="AF735" s="74" t="n"/>
      <c r="AG735" s="112">
        <f>IF(AND(AA735&lt;&gt;"",AD735="Yes",AF735&lt;&gt;"Yes",AE735&lt;&gt;""),AE735,"")</f>
        <v/>
      </c>
      <c r="AH735" s="79">
        <f>IF(AG735="","",IF(AG735&lt;AsOf,1,IF(AG735&lt;=AsOf+AlertDays,2,IF(AG735&lt;=AsOf+2*AlertDays,3,""))))</f>
        <v/>
      </c>
      <c r="AI735" s="79">
        <f>IF(AH735="","","Follow up with "&amp;AA735&amp;": "&amp;AC735)</f>
        <v/>
      </c>
    </row>
    <row r="736" ht="20" customHeight="1">
      <c r="B736" s="72" t="n"/>
      <c r="C736" s="72" t="n"/>
      <c r="D736" s="72" t="n"/>
      <c r="E736" s="72" t="n"/>
      <c r="F736" s="72" t="n"/>
      <c r="G736" s="72" t="n"/>
      <c r="H736" s="72" t="n"/>
      <c r="I736" s="73" t="n"/>
      <c r="J736" s="75">
        <f>IF(B736="","",SUMIFS('Change Orders'!$J$7:$J$1006,'Change Orders'!$E$7:$E$1006,B736,'Change Orders'!$L$7:$L$1006,"Approved"))</f>
        <v/>
      </c>
      <c r="K736" s="76">
        <f>IF(B736="","",I736+J736)</f>
        <v/>
      </c>
      <c r="L736" s="74" t="n"/>
      <c r="M736" s="109" t="n"/>
      <c r="N736" s="109" t="n"/>
      <c r="O736" s="74" t="n"/>
      <c r="P736" s="74" t="n"/>
      <c r="Q736" s="100" t="n"/>
      <c r="R736" s="110" t="n"/>
      <c r="S736" s="75">
        <f>IF(B736="","",SUMIFS('Payments'!$N$6:$N$1005,'Payments'!$B$6:$B$1005,B736))</f>
        <v/>
      </c>
      <c r="T736" s="111">
        <f>IF(OR(B736="",K736=0),"",S736/K736)</f>
        <v/>
      </c>
      <c r="U736" s="78">
        <f>IF(V736="","",IF(V736=2,"⚠️ Paying ahead of work","✓ OK"))</f>
        <v/>
      </c>
      <c r="V736" s="79">
        <f>IF(T736="","",IF(T736-R736&gt;OverpayTol,2,0))</f>
        <v/>
      </c>
      <c r="W736" s="112">
        <f>IF(V736=2,AsOf,"")</f>
        <v/>
      </c>
      <c r="X736" s="79">
        <f>IF(W736="","",1)</f>
        <v/>
      </c>
      <c r="Y736" s="79">
        <f>IF(X736="","","Paying ahead of work: "&amp;B736&amp;" — paid "&amp;ROUND(T736*100,0)&amp;"%, work done "&amp;ROUND(R736*100,0)&amp;"%")</f>
        <v/>
      </c>
      <c r="AA736" s="72" t="n"/>
      <c r="AB736" s="109" t="n"/>
      <c r="AC736" s="113" t="n"/>
      <c r="AD736" s="74" t="n"/>
      <c r="AE736" s="109" t="n"/>
      <c r="AF736" s="74" t="n"/>
      <c r="AG736" s="112">
        <f>IF(AND(AA736&lt;&gt;"",AD736="Yes",AF736&lt;&gt;"Yes",AE736&lt;&gt;""),AE736,"")</f>
        <v/>
      </c>
      <c r="AH736" s="79">
        <f>IF(AG736="","",IF(AG736&lt;AsOf,1,IF(AG736&lt;=AsOf+AlertDays,2,IF(AG736&lt;=AsOf+2*AlertDays,3,""))))</f>
        <v/>
      </c>
      <c r="AI736" s="79">
        <f>IF(AH736="","","Follow up with "&amp;AA736&amp;": "&amp;AC736)</f>
        <v/>
      </c>
    </row>
    <row r="737" ht="20" customHeight="1">
      <c r="B737" s="72" t="n"/>
      <c r="C737" s="72" t="n"/>
      <c r="D737" s="72" t="n"/>
      <c r="E737" s="72" t="n"/>
      <c r="F737" s="72" t="n"/>
      <c r="G737" s="72" t="n"/>
      <c r="H737" s="72" t="n"/>
      <c r="I737" s="73" t="n"/>
      <c r="J737" s="75">
        <f>IF(B737="","",SUMIFS('Change Orders'!$J$7:$J$1006,'Change Orders'!$E$7:$E$1006,B737,'Change Orders'!$L$7:$L$1006,"Approved"))</f>
        <v/>
      </c>
      <c r="K737" s="76">
        <f>IF(B737="","",I737+J737)</f>
        <v/>
      </c>
      <c r="L737" s="74" t="n"/>
      <c r="M737" s="109" t="n"/>
      <c r="N737" s="109" t="n"/>
      <c r="O737" s="74" t="n"/>
      <c r="P737" s="74" t="n"/>
      <c r="Q737" s="100" t="n"/>
      <c r="R737" s="110" t="n"/>
      <c r="S737" s="75">
        <f>IF(B737="","",SUMIFS('Payments'!$N$6:$N$1005,'Payments'!$B$6:$B$1005,B737))</f>
        <v/>
      </c>
      <c r="T737" s="111">
        <f>IF(OR(B737="",K737=0),"",S737/K737)</f>
        <v/>
      </c>
      <c r="U737" s="78">
        <f>IF(V737="","",IF(V737=2,"⚠️ Paying ahead of work","✓ OK"))</f>
        <v/>
      </c>
      <c r="V737" s="79">
        <f>IF(T737="","",IF(T737-R737&gt;OverpayTol,2,0))</f>
        <v/>
      </c>
      <c r="W737" s="112">
        <f>IF(V737=2,AsOf,"")</f>
        <v/>
      </c>
      <c r="X737" s="79">
        <f>IF(W737="","",1)</f>
        <v/>
      </c>
      <c r="Y737" s="79">
        <f>IF(X737="","","Paying ahead of work: "&amp;B737&amp;" — paid "&amp;ROUND(T737*100,0)&amp;"%, work done "&amp;ROUND(R737*100,0)&amp;"%")</f>
        <v/>
      </c>
      <c r="AA737" s="72" t="n"/>
      <c r="AB737" s="109" t="n"/>
      <c r="AC737" s="113" t="n"/>
      <c r="AD737" s="74" t="n"/>
      <c r="AE737" s="109" t="n"/>
      <c r="AF737" s="74" t="n"/>
      <c r="AG737" s="112">
        <f>IF(AND(AA737&lt;&gt;"",AD737="Yes",AF737&lt;&gt;"Yes",AE737&lt;&gt;""),AE737,"")</f>
        <v/>
      </c>
      <c r="AH737" s="79">
        <f>IF(AG737="","",IF(AG737&lt;AsOf,1,IF(AG737&lt;=AsOf+AlertDays,2,IF(AG737&lt;=AsOf+2*AlertDays,3,""))))</f>
        <v/>
      </c>
      <c r="AI737" s="79">
        <f>IF(AH737="","","Follow up with "&amp;AA737&amp;": "&amp;AC737)</f>
        <v/>
      </c>
    </row>
    <row r="738" ht="20" customHeight="1">
      <c r="B738" s="72" t="n"/>
      <c r="C738" s="72" t="n"/>
      <c r="D738" s="72" t="n"/>
      <c r="E738" s="72" t="n"/>
      <c r="F738" s="72" t="n"/>
      <c r="G738" s="72" t="n"/>
      <c r="H738" s="72" t="n"/>
      <c r="I738" s="73" t="n"/>
      <c r="J738" s="75">
        <f>IF(B738="","",SUMIFS('Change Orders'!$J$7:$J$1006,'Change Orders'!$E$7:$E$1006,B738,'Change Orders'!$L$7:$L$1006,"Approved"))</f>
        <v/>
      </c>
      <c r="K738" s="76">
        <f>IF(B738="","",I738+J738)</f>
        <v/>
      </c>
      <c r="L738" s="74" t="n"/>
      <c r="M738" s="109" t="n"/>
      <c r="N738" s="109" t="n"/>
      <c r="O738" s="74" t="n"/>
      <c r="P738" s="74" t="n"/>
      <c r="Q738" s="100" t="n"/>
      <c r="R738" s="110" t="n"/>
      <c r="S738" s="75">
        <f>IF(B738="","",SUMIFS('Payments'!$N$6:$N$1005,'Payments'!$B$6:$B$1005,B738))</f>
        <v/>
      </c>
      <c r="T738" s="111">
        <f>IF(OR(B738="",K738=0),"",S738/K738)</f>
        <v/>
      </c>
      <c r="U738" s="78">
        <f>IF(V738="","",IF(V738=2,"⚠️ Paying ahead of work","✓ OK"))</f>
        <v/>
      </c>
      <c r="V738" s="79">
        <f>IF(T738="","",IF(T738-R738&gt;OverpayTol,2,0))</f>
        <v/>
      </c>
      <c r="W738" s="112">
        <f>IF(V738=2,AsOf,"")</f>
        <v/>
      </c>
      <c r="X738" s="79">
        <f>IF(W738="","",1)</f>
        <v/>
      </c>
      <c r="Y738" s="79">
        <f>IF(X738="","","Paying ahead of work: "&amp;B738&amp;" — paid "&amp;ROUND(T738*100,0)&amp;"%, work done "&amp;ROUND(R738*100,0)&amp;"%")</f>
        <v/>
      </c>
      <c r="AA738" s="72" t="n"/>
      <c r="AB738" s="109" t="n"/>
      <c r="AC738" s="113" t="n"/>
      <c r="AD738" s="74" t="n"/>
      <c r="AE738" s="109" t="n"/>
      <c r="AF738" s="74" t="n"/>
      <c r="AG738" s="112">
        <f>IF(AND(AA738&lt;&gt;"",AD738="Yes",AF738&lt;&gt;"Yes",AE738&lt;&gt;""),AE738,"")</f>
        <v/>
      </c>
      <c r="AH738" s="79">
        <f>IF(AG738="","",IF(AG738&lt;AsOf,1,IF(AG738&lt;=AsOf+AlertDays,2,IF(AG738&lt;=AsOf+2*AlertDays,3,""))))</f>
        <v/>
      </c>
      <c r="AI738" s="79">
        <f>IF(AH738="","","Follow up with "&amp;AA738&amp;": "&amp;AC738)</f>
        <v/>
      </c>
    </row>
    <row r="739" ht="20" customHeight="1">
      <c r="B739" s="72" t="n"/>
      <c r="C739" s="72" t="n"/>
      <c r="D739" s="72" t="n"/>
      <c r="E739" s="72" t="n"/>
      <c r="F739" s="72" t="n"/>
      <c r="G739" s="72" t="n"/>
      <c r="H739" s="72" t="n"/>
      <c r="I739" s="73" t="n"/>
      <c r="J739" s="75">
        <f>IF(B739="","",SUMIFS('Change Orders'!$J$7:$J$1006,'Change Orders'!$E$7:$E$1006,B739,'Change Orders'!$L$7:$L$1006,"Approved"))</f>
        <v/>
      </c>
      <c r="K739" s="76">
        <f>IF(B739="","",I739+J739)</f>
        <v/>
      </c>
      <c r="L739" s="74" t="n"/>
      <c r="M739" s="109" t="n"/>
      <c r="N739" s="109" t="n"/>
      <c r="O739" s="74" t="n"/>
      <c r="P739" s="74" t="n"/>
      <c r="Q739" s="100" t="n"/>
      <c r="R739" s="110" t="n"/>
      <c r="S739" s="75">
        <f>IF(B739="","",SUMIFS('Payments'!$N$6:$N$1005,'Payments'!$B$6:$B$1005,B739))</f>
        <v/>
      </c>
      <c r="T739" s="111">
        <f>IF(OR(B739="",K739=0),"",S739/K739)</f>
        <v/>
      </c>
      <c r="U739" s="78">
        <f>IF(V739="","",IF(V739=2,"⚠️ Paying ahead of work","✓ OK"))</f>
        <v/>
      </c>
      <c r="V739" s="79">
        <f>IF(T739="","",IF(T739-R739&gt;OverpayTol,2,0))</f>
        <v/>
      </c>
      <c r="W739" s="112">
        <f>IF(V739=2,AsOf,"")</f>
        <v/>
      </c>
      <c r="X739" s="79">
        <f>IF(W739="","",1)</f>
        <v/>
      </c>
      <c r="Y739" s="79">
        <f>IF(X739="","","Paying ahead of work: "&amp;B739&amp;" — paid "&amp;ROUND(T739*100,0)&amp;"%, work done "&amp;ROUND(R739*100,0)&amp;"%")</f>
        <v/>
      </c>
      <c r="AA739" s="72" t="n"/>
      <c r="AB739" s="109" t="n"/>
      <c r="AC739" s="113" t="n"/>
      <c r="AD739" s="74" t="n"/>
      <c r="AE739" s="109" t="n"/>
      <c r="AF739" s="74" t="n"/>
      <c r="AG739" s="112">
        <f>IF(AND(AA739&lt;&gt;"",AD739="Yes",AF739&lt;&gt;"Yes",AE739&lt;&gt;""),AE739,"")</f>
        <v/>
      </c>
      <c r="AH739" s="79">
        <f>IF(AG739="","",IF(AG739&lt;AsOf,1,IF(AG739&lt;=AsOf+AlertDays,2,IF(AG739&lt;=AsOf+2*AlertDays,3,""))))</f>
        <v/>
      </c>
      <c r="AI739" s="79">
        <f>IF(AH739="","","Follow up with "&amp;AA739&amp;": "&amp;AC739)</f>
        <v/>
      </c>
    </row>
    <row r="740" ht="20" customHeight="1">
      <c r="B740" s="72" t="n"/>
      <c r="C740" s="72" t="n"/>
      <c r="D740" s="72" t="n"/>
      <c r="E740" s="72" t="n"/>
      <c r="F740" s="72" t="n"/>
      <c r="G740" s="72" t="n"/>
      <c r="H740" s="72" t="n"/>
      <c r="I740" s="73" t="n"/>
      <c r="J740" s="75">
        <f>IF(B740="","",SUMIFS('Change Orders'!$J$7:$J$1006,'Change Orders'!$E$7:$E$1006,B740,'Change Orders'!$L$7:$L$1006,"Approved"))</f>
        <v/>
      </c>
      <c r="K740" s="76">
        <f>IF(B740="","",I740+J740)</f>
        <v/>
      </c>
      <c r="L740" s="74" t="n"/>
      <c r="M740" s="109" t="n"/>
      <c r="N740" s="109" t="n"/>
      <c r="O740" s="74" t="n"/>
      <c r="P740" s="74" t="n"/>
      <c r="Q740" s="100" t="n"/>
      <c r="R740" s="110" t="n"/>
      <c r="S740" s="75">
        <f>IF(B740="","",SUMIFS('Payments'!$N$6:$N$1005,'Payments'!$B$6:$B$1005,B740))</f>
        <v/>
      </c>
      <c r="T740" s="111">
        <f>IF(OR(B740="",K740=0),"",S740/K740)</f>
        <v/>
      </c>
      <c r="U740" s="78">
        <f>IF(V740="","",IF(V740=2,"⚠️ Paying ahead of work","✓ OK"))</f>
        <v/>
      </c>
      <c r="V740" s="79">
        <f>IF(T740="","",IF(T740-R740&gt;OverpayTol,2,0))</f>
        <v/>
      </c>
      <c r="W740" s="112">
        <f>IF(V740=2,AsOf,"")</f>
        <v/>
      </c>
      <c r="X740" s="79">
        <f>IF(W740="","",1)</f>
        <v/>
      </c>
      <c r="Y740" s="79">
        <f>IF(X740="","","Paying ahead of work: "&amp;B740&amp;" — paid "&amp;ROUND(T740*100,0)&amp;"%, work done "&amp;ROUND(R740*100,0)&amp;"%")</f>
        <v/>
      </c>
      <c r="AA740" s="72" t="n"/>
      <c r="AB740" s="109" t="n"/>
      <c r="AC740" s="113" t="n"/>
      <c r="AD740" s="74" t="n"/>
      <c r="AE740" s="109" t="n"/>
      <c r="AF740" s="74" t="n"/>
      <c r="AG740" s="112">
        <f>IF(AND(AA740&lt;&gt;"",AD740="Yes",AF740&lt;&gt;"Yes",AE740&lt;&gt;""),AE740,"")</f>
        <v/>
      </c>
      <c r="AH740" s="79">
        <f>IF(AG740="","",IF(AG740&lt;AsOf,1,IF(AG740&lt;=AsOf+AlertDays,2,IF(AG740&lt;=AsOf+2*AlertDays,3,""))))</f>
        <v/>
      </c>
      <c r="AI740" s="79">
        <f>IF(AH740="","","Follow up with "&amp;AA740&amp;": "&amp;AC740)</f>
        <v/>
      </c>
    </row>
    <row r="741" ht="20" customHeight="1">
      <c r="B741" s="72" t="n"/>
      <c r="C741" s="72" t="n"/>
      <c r="D741" s="72" t="n"/>
      <c r="E741" s="72" t="n"/>
      <c r="F741" s="72" t="n"/>
      <c r="G741" s="72" t="n"/>
      <c r="H741" s="72" t="n"/>
      <c r="I741" s="73" t="n"/>
      <c r="J741" s="75">
        <f>IF(B741="","",SUMIFS('Change Orders'!$J$7:$J$1006,'Change Orders'!$E$7:$E$1006,B741,'Change Orders'!$L$7:$L$1006,"Approved"))</f>
        <v/>
      </c>
      <c r="K741" s="76">
        <f>IF(B741="","",I741+J741)</f>
        <v/>
      </c>
      <c r="L741" s="74" t="n"/>
      <c r="M741" s="109" t="n"/>
      <c r="N741" s="109" t="n"/>
      <c r="O741" s="74" t="n"/>
      <c r="P741" s="74" t="n"/>
      <c r="Q741" s="100" t="n"/>
      <c r="R741" s="110" t="n"/>
      <c r="S741" s="75">
        <f>IF(B741="","",SUMIFS('Payments'!$N$6:$N$1005,'Payments'!$B$6:$B$1005,B741))</f>
        <v/>
      </c>
      <c r="T741" s="111">
        <f>IF(OR(B741="",K741=0),"",S741/K741)</f>
        <v/>
      </c>
      <c r="U741" s="78">
        <f>IF(V741="","",IF(V741=2,"⚠️ Paying ahead of work","✓ OK"))</f>
        <v/>
      </c>
      <c r="V741" s="79">
        <f>IF(T741="","",IF(T741-R741&gt;OverpayTol,2,0))</f>
        <v/>
      </c>
      <c r="W741" s="112">
        <f>IF(V741=2,AsOf,"")</f>
        <v/>
      </c>
      <c r="X741" s="79">
        <f>IF(W741="","",1)</f>
        <v/>
      </c>
      <c r="Y741" s="79">
        <f>IF(X741="","","Paying ahead of work: "&amp;B741&amp;" — paid "&amp;ROUND(T741*100,0)&amp;"%, work done "&amp;ROUND(R741*100,0)&amp;"%")</f>
        <v/>
      </c>
      <c r="AA741" s="72" t="n"/>
      <c r="AB741" s="109" t="n"/>
      <c r="AC741" s="113" t="n"/>
      <c r="AD741" s="74" t="n"/>
      <c r="AE741" s="109" t="n"/>
      <c r="AF741" s="74" t="n"/>
      <c r="AG741" s="112">
        <f>IF(AND(AA741&lt;&gt;"",AD741="Yes",AF741&lt;&gt;"Yes",AE741&lt;&gt;""),AE741,"")</f>
        <v/>
      </c>
      <c r="AH741" s="79">
        <f>IF(AG741="","",IF(AG741&lt;AsOf,1,IF(AG741&lt;=AsOf+AlertDays,2,IF(AG741&lt;=AsOf+2*AlertDays,3,""))))</f>
        <v/>
      </c>
      <c r="AI741" s="79">
        <f>IF(AH741="","","Follow up with "&amp;AA741&amp;": "&amp;AC741)</f>
        <v/>
      </c>
    </row>
    <row r="742" ht="20" customHeight="1">
      <c r="B742" s="72" t="n"/>
      <c r="C742" s="72" t="n"/>
      <c r="D742" s="72" t="n"/>
      <c r="E742" s="72" t="n"/>
      <c r="F742" s="72" t="n"/>
      <c r="G742" s="72" t="n"/>
      <c r="H742" s="72" t="n"/>
      <c r="I742" s="73" t="n"/>
      <c r="J742" s="75">
        <f>IF(B742="","",SUMIFS('Change Orders'!$J$7:$J$1006,'Change Orders'!$E$7:$E$1006,B742,'Change Orders'!$L$7:$L$1006,"Approved"))</f>
        <v/>
      </c>
      <c r="K742" s="76">
        <f>IF(B742="","",I742+J742)</f>
        <v/>
      </c>
      <c r="L742" s="74" t="n"/>
      <c r="M742" s="109" t="n"/>
      <c r="N742" s="109" t="n"/>
      <c r="O742" s="74" t="n"/>
      <c r="P742" s="74" t="n"/>
      <c r="Q742" s="100" t="n"/>
      <c r="R742" s="110" t="n"/>
      <c r="S742" s="75">
        <f>IF(B742="","",SUMIFS('Payments'!$N$6:$N$1005,'Payments'!$B$6:$B$1005,B742))</f>
        <v/>
      </c>
      <c r="T742" s="111">
        <f>IF(OR(B742="",K742=0),"",S742/K742)</f>
        <v/>
      </c>
      <c r="U742" s="78">
        <f>IF(V742="","",IF(V742=2,"⚠️ Paying ahead of work","✓ OK"))</f>
        <v/>
      </c>
      <c r="V742" s="79">
        <f>IF(T742="","",IF(T742-R742&gt;OverpayTol,2,0))</f>
        <v/>
      </c>
      <c r="W742" s="112">
        <f>IF(V742=2,AsOf,"")</f>
        <v/>
      </c>
      <c r="X742" s="79">
        <f>IF(W742="","",1)</f>
        <v/>
      </c>
      <c r="Y742" s="79">
        <f>IF(X742="","","Paying ahead of work: "&amp;B742&amp;" — paid "&amp;ROUND(T742*100,0)&amp;"%, work done "&amp;ROUND(R742*100,0)&amp;"%")</f>
        <v/>
      </c>
      <c r="AA742" s="72" t="n"/>
      <c r="AB742" s="109" t="n"/>
      <c r="AC742" s="113" t="n"/>
      <c r="AD742" s="74" t="n"/>
      <c r="AE742" s="109" t="n"/>
      <c r="AF742" s="74" t="n"/>
      <c r="AG742" s="112">
        <f>IF(AND(AA742&lt;&gt;"",AD742="Yes",AF742&lt;&gt;"Yes",AE742&lt;&gt;""),AE742,"")</f>
        <v/>
      </c>
      <c r="AH742" s="79">
        <f>IF(AG742="","",IF(AG742&lt;AsOf,1,IF(AG742&lt;=AsOf+AlertDays,2,IF(AG742&lt;=AsOf+2*AlertDays,3,""))))</f>
        <v/>
      </c>
      <c r="AI742" s="79">
        <f>IF(AH742="","","Follow up with "&amp;AA742&amp;": "&amp;AC742)</f>
        <v/>
      </c>
    </row>
    <row r="743" ht="20" customHeight="1">
      <c r="B743" s="72" t="n"/>
      <c r="C743" s="72" t="n"/>
      <c r="D743" s="72" t="n"/>
      <c r="E743" s="72" t="n"/>
      <c r="F743" s="72" t="n"/>
      <c r="G743" s="72" t="n"/>
      <c r="H743" s="72" t="n"/>
      <c r="I743" s="73" t="n"/>
      <c r="J743" s="75">
        <f>IF(B743="","",SUMIFS('Change Orders'!$J$7:$J$1006,'Change Orders'!$E$7:$E$1006,B743,'Change Orders'!$L$7:$L$1006,"Approved"))</f>
        <v/>
      </c>
      <c r="K743" s="76">
        <f>IF(B743="","",I743+J743)</f>
        <v/>
      </c>
      <c r="L743" s="74" t="n"/>
      <c r="M743" s="109" t="n"/>
      <c r="N743" s="109" t="n"/>
      <c r="O743" s="74" t="n"/>
      <c r="P743" s="74" t="n"/>
      <c r="Q743" s="100" t="n"/>
      <c r="R743" s="110" t="n"/>
      <c r="S743" s="75">
        <f>IF(B743="","",SUMIFS('Payments'!$N$6:$N$1005,'Payments'!$B$6:$B$1005,B743))</f>
        <v/>
      </c>
      <c r="T743" s="111">
        <f>IF(OR(B743="",K743=0),"",S743/K743)</f>
        <v/>
      </c>
      <c r="U743" s="78">
        <f>IF(V743="","",IF(V743=2,"⚠️ Paying ahead of work","✓ OK"))</f>
        <v/>
      </c>
      <c r="V743" s="79">
        <f>IF(T743="","",IF(T743-R743&gt;OverpayTol,2,0))</f>
        <v/>
      </c>
      <c r="W743" s="112">
        <f>IF(V743=2,AsOf,"")</f>
        <v/>
      </c>
      <c r="X743" s="79">
        <f>IF(W743="","",1)</f>
        <v/>
      </c>
      <c r="Y743" s="79">
        <f>IF(X743="","","Paying ahead of work: "&amp;B743&amp;" — paid "&amp;ROUND(T743*100,0)&amp;"%, work done "&amp;ROUND(R743*100,0)&amp;"%")</f>
        <v/>
      </c>
      <c r="AA743" s="72" t="n"/>
      <c r="AB743" s="109" t="n"/>
      <c r="AC743" s="113" t="n"/>
      <c r="AD743" s="74" t="n"/>
      <c r="AE743" s="109" t="n"/>
      <c r="AF743" s="74" t="n"/>
      <c r="AG743" s="112">
        <f>IF(AND(AA743&lt;&gt;"",AD743="Yes",AF743&lt;&gt;"Yes",AE743&lt;&gt;""),AE743,"")</f>
        <v/>
      </c>
      <c r="AH743" s="79">
        <f>IF(AG743="","",IF(AG743&lt;AsOf,1,IF(AG743&lt;=AsOf+AlertDays,2,IF(AG743&lt;=AsOf+2*AlertDays,3,""))))</f>
        <v/>
      </c>
      <c r="AI743" s="79">
        <f>IF(AH743="","","Follow up with "&amp;AA743&amp;": "&amp;AC743)</f>
        <v/>
      </c>
    </row>
    <row r="744" ht="20" customHeight="1">
      <c r="B744" s="72" t="n"/>
      <c r="C744" s="72" t="n"/>
      <c r="D744" s="72" t="n"/>
      <c r="E744" s="72" t="n"/>
      <c r="F744" s="72" t="n"/>
      <c r="G744" s="72" t="n"/>
      <c r="H744" s="72" t="n"/>
      <c r="I744" s="73" t="n"/>
      <c r="J744" s="75">
        <f>IF(B744="","",SUMIFS('Change Orders'!$J$7:$J$1006,'Change Orders'!$E$7:$E$1006,B744,'Change Orders'!$L$7:$L$1006,"Approved"))</f>
        <v/>
      </c>
      <c r="K744" s="76">
        <f>IF(B744="","",I744+J744)</f>
        <v/>
      </c>
      <c r="L744" s="74" t="n"/>
      <c r="M744" s="109" t="n"/>
      <c r="N744" s="109" t="n"/>
      <c r="O744" s="74" t="n"/>
      <c r="P744" s="74" t="n"/>
      <c r="Q744" s="100" t="n"/>
      <c r="R744" s="110" t="n"/>
      <c r="S744" s="75">
        <f>IF(B744="","",SUMIFS('Payments'!$N$6:$N$1005,'Payments'!$B$6:$B$1005,B744))</f>
        <v/>
      </c>
      <c r="T744" s="111">
        <f>IF(OR(B744="",K744=0),"",S744/K744)</f>
        <v/>
      </c>
      <c r="U744" s="78">
        <f>IF(V744="","",IF(V744=2,"⚠️ Paying ahead of work","✓ OK"))</f>
        <v/>
      </c>
      <c r="V744" s="79">
        <f>IF(T744="","",IF(T744-R744&gt;OverpayTol,2,0))</f>
        <v/>
      </c>
      <c r="W744" s="112">
        <f>IF(V744=2,AsOf,"")</f>
        <v/>
      </c>
      <c r="X744" s="79">
        <f>IF(W744="","",1)</f>
        <v/>
      </c>
      <c r="Y744" s="79">
        <f>IF(X744="","","Paying ahead of work: "&amp;B744&amp;" — paid "&amp;ROUND(T744*100,0)&amp;"%, work done "&amp;ROUND(R744*100,0)&amp;"%")</f>
        <v/>
      </c>
      <c r="AA744" s="72" t="n"/>
      <c r="AB744" s="109" t="n"/>
      <c r="AC744" s="113" t="n"/>
      <c r="AD744" s="74" t="n"/>
      <c r="AE744" s="109" t="n"/>
      <c r="AF744" s="74" t="n"/>
      <c r="AG744" s="112">
        <f>IF(AND(AA744&lt;&gt;"",AD744="Yes",AF744&lt;&gt;"Yes",AE744&lt;&gt;""),AE744,"")</f>
        <v/>
      </c>
      <c r="AH744" s="79">
        <f>IF(AG744="","",IF(AG744&lt;AsOf,1,IF(AG744&lt;=AsOf+AlertDays,2,IF(AG744&lt;=AsOf+2*AlertDays,3,""))))</f>
        <v/>
      </c>
      <c r="AI744" s="79">
        <f>IF(AH744="","","Follow up with "&amp;AA744&amp;": "&amp;AC744)</f>
        <v/>
      </c>
    </row>
    <row r="745" ht="20" customHeight="1">
      <c r="B745" s="72" t="n"/>
      <c r="C745" s="72" t="n"/>
      <c r="D745" s="72" t="n"/>
      <c r="E745" s="72" t="n"/>
      <c r="F745" s="72" t="n"/>
      <c r="G745" s="72" t="n"/>
      <c r="H745" s="72" t="n"/>
      <c r="I745" s="73" t="n"/>
      <c r="J745" s="75">
        <f>IF(B745="","",SUMIFS('Change Orders'!$J$7:$J$1006,'Change Orders'!$E$7:$E$1006,B745,'Change Orders'!$L$7:$L$1006,"Approved"))</f>
        <v/>
      </c>
      <c r="K745" s="76">
        <f>IF(B745="","",I745+J745)</f>
        <v/>
      </c>
      <c r="L745" s="74" t="n"/>
      <c r="M745" s="109" t="n"/>
      <c r="N745" s="109" t="n"/>
      <c r="O745" s="74" t="n"/>
      <c r="P745" s="74" t="n"/>
      <c r="Q745" s="100" t="n"/>
      <c r="R745" s="110" t="n"/>
      <c r="S745" s="75">
        <f>IF(B745="","",SUMIFS('Payments'!$N$6:$N$1005,'Payments'!$B$6:$B$1005,B745))</f>
        <v/>
      </c>
      <c r="T745" s="111">
        <f>IF(OR(B745="",K745=0),"",S745/K745)</f>
        <v/>
      </c>
      <c r="U745" s="78">
        <f>IF(V745="","",IF(V745=2,"⚠️ Paying ahead of work","✓ OK"))</f>
        <v/>
      </c>
      <c r="V745" s="79">
        <f>IF(T745="","",IF(T745-R745&gt;OverpayTol,2,0))</f>
        <v/>
      </c>
      <c r="W745" s="112">
        <f>IF(V745=2,AsOf,"")</f>
        <v/>
      </c>
      <c r="X745" s="79">
        <f>IF(W745="","",1)</f>
        <v/>
      </c>
      <c r="Y745" s="79">
        <f>IF(X745="","","Paying ahead of work: "&amp;B745&amp;" — paid "&amp;ROUND(T745*100,0)&amp;"%, work done "&amp;ROUND(R745*100,0)&amp;"%")</f>
        <v/>
      </c>
      <c r="AA745" s="72" t="n"/>
      <c r="AB745" s="109" t="n"/>
      <c r="AC745" s="113" t="n"/>
      <c r="AD745" s="74" t="n"/>
      <c r="AE745" s="109" t="n"/>
      <c r="AF745" s="74" t="n"/>
      <c r="AG745" s="112">
        <f>IF(AND(AA745&lt;&gt;"",AD745="Yes",AF745&lt;&gt;"Yes",AE745&lt;&gt;""),AE745,"")</f>
        <v/>
      </c>
      <c r="AH745" s="79">
        <f>IF(AG745="","",IF(AG745&lt;AsOf,1,IF(AG745&lt;=AsOf+AlertDays,2,IF(AG745&lt;=AsOf+2*AlertDays,3,""))))</f>
        <v/>
      </c>
      <c r="AI745" s="79">
        <f>IF(AH745="","","Follow up with "&amp;AA745&amp;": "&amp;AC745)</f>
        <v/>
      </c>
    </row>
    <row r="746" ht="20" customHeight="1">
      <c r="B746" s="72" t="n"/>
      <c r="C746" s="72" t="n"/>
      <c r="D746" s="72" t="n"/>
      <c r="E746" s="72" t="n"/>
      <c r="F746" s="72" t="n"/>
      <c r="G746" s="72" t="n"/>
      <c r="H746" s="72" t="n"/>
      <c r="I746" s="73" t="n"/>
      <c r="J746" s="75">
        <f>IF(B746="","",SUMIFS('Change Orders'!$J$7:$J$1006,'Change Orders'!$E$7:$E$1006,B746,'Change Orders'!$L$7:$L$1006,"Approved"))</f>
        <v/>
      </c>
      <c r="K746" s="76">
        <f>IF(B746="","",I746+J746)</f>
        <v/>
      </c>
      <c r="L746" s="74" t="n"/>
      <c r="M746" s="109" t="n"/>
      <c r="N746" s="109" t="n"/>
      <c r="O746" s="74" t="n"/>
      <c r="P746" s="74" t="n"/>
      <c r="Q746" s="100" t="n"/>
      <c r="R746" s="110" t="n"/>
      <c r="S746" s="75">
        <f>IF(B746="","",SUMIFS('Payments'!$N$6:$N$1005,'Payments'!$B$6:$B$1005,B746))</f>
        <v/>
      </c>
      <c r="T746" s="111">
        <f>IF(OR(B746="",K746=0),"",S746/K746)</f>
        <v/>
      </c>
      <c r="U746" s="78">
        <f>IF(V746="","",IF(V746=2,"⚠️ Paying ahead of work","✓ OK"))</f>
        <v/>
      </c>
      <c r="V746" s="79">
        <f>IF(T746="","",IF(T746-R746&gt;OverpayTol,2,0))</f>
        <v/>
      </c>
      <c r="W746" s="112">
        <f>IF(V746=2,AsOf,"")</f>
        <v/>
      </c>
      <c r="X746" s="79">
        <f>IF(W746="","",1)</f>
        <v/>
      </c>
      <c r="Y746" s="79">
        <f>IF(X746="","","Paying ahead of work: "&amp;B746&amp;" — paid "&amp;ROUND(T746*100,0)&amp;"%, work done "&amp;ROUND(R746*100,0)&amp;"%")</f>
        <v/>
      </c>
      <c r="AA746" s="72" t="n"/>
      <c r="AB746" s="109" t="n"/>
      <c r="AC746" s="113" t="n"/>
      <c r="AD746" s="74" t="n"/>
      <c r="AE746" s="109" t="n"/>
      <c r="AF746" s="74" t="n"/>
      <c r="AG746" s="112">
        <f>IF(AND(AA746&lt;&gt;"",AD746="Yes",AF746&lt;&gt;"Yes",AE746&lt;&gt;""),AE746,"")</f>
        <v/>
      </c>
      <c r="AH746" s="79">
        <f>IF(AG746="","",IF(AG746&lt;AsOf,1,IF(AG746&lt;=AsOf+AlertDays,2,IF(AG746&lt;=AsOf+2*AlertDays,3,""))))</f>
        <v/>
      </c>
      <c r="AI746" s="79">
        <f>IF(AH746="","","Follow up with "&amp;AA746&amp;": "&amp;AC746)</f>
        <v/>
      </c>
    </row>
    <row r="747" ht="20" customHeight="1">
      <c r="B747" s="72" t="n"/>
      <c r="C747" s="72" t="n"/>
      <c r="D747" s="72" t="n"/>
      <c r="E747" s="72" t="n"/>
      <c r="F747" s="72" t="n"/>
      <c r="G747" s="72" t="n"/>
      <c r="H747" s="72" t="n"/>
      <c r="I747" s="73" t="n"/>
      <c r="J747" s="75">
        <f>IF(B747="","",SUMIFS('Change Orders'!$J$7:$J$1006,'Change Orders'!$E$7:$E$1006,B747,'Change Orders'!$L$7:$L$1006,"Approved"))</f>
        <v/>
      </c>
      <c r="K747" s="76">
        <f>IF(B747="","",I747+J747)</f>
        <v/>
      </c>
      <c r="L747" s="74" t="n"/>
      <c r="M747" s="109" t="n"/>
      <c r="N747" s="109" t="n"/>
      <c r="O747" s="74" t="n"/>
      <c r="P747" s="74" t="n"/>
      <c r="Q747" s="100" t="n"/>
      <c r="R747" s="110" t="n"/>
      <c r="S747" s="75">
        <f>IF(B747="","",SUMIFS('Payments'!$N$6:$N$1005,'Payments'!$B$6:$B$1005,B747))</f>
        <v/>
      </c>
      <c r="T747" s="111">
        <f>IF(OR(B747="",K747=0),"",S747/K747)</f>
        <v/>
      </c>
      <c r="U747" s="78">
        <f>IF(V747="","",IF(V747=2,"⚠️ Paying ahead of work","✓ OK"))</f>
        <v/>
      </c>
      <c r="V747" s="79">
        <f>IF(T747="","",IF(T747-R747&gt;OverpayTol,2,0))</f>
        <v/>
      </c>
      <c r="W747" s="112">
        <f>IF(V747=2,AsOf,"")</f>
        <v/>
      </c>
      <c r="X747" s="79">
        <f>IF(W747="","",1)</f>
        <v/>
      </c>
      <c r="Y747" s="79">
        <f>IF(X747="","","Paying ahead of work: "&amp;B747&amp;" — paid "&amp;ROUND(T747*100,0)&amp;"%, work done "&amp;ROUND(R747*100,0)&amp;"%")</f>
        <v/>
      </c>
      <c r="AA747" s="72" t="n"/>
      <c r="AB747" s="109" t="n"/>
      <c r="AC747" s="113" t="n"/>
      <c r="AD747" s="74" t="n"/>
      <c r="AE747" s="109" t="n"/>
      <c r="AF747" s="74" t="n"/>
      <c r="AG747" s="112">
        <f>IF(AND(AA747&lt;&gt;"",AD747="Yes",AF747&lt;&gt;"Yes",AE747&lt;&gt;""),AE747,"")</f>
        <v/>
      </c>
      <c r="AH747" s="79">
        <f>IF(AG747="","",IF(AG747&lt;AsOf,1,IF(AG747&lt;=AsOf+AlertDays,2,IF(AG747&lt;=AsOf+2*AlertDays,3,""))))</f>
        <v/>
      </c>
      <c r="AI747" s="79">
        <f>IF(AH747="","","Follow up with "&amp;AA747&amp;": "&amp;AC747)</f>
        <v/>
      </c>
    </row>
    <row r="748" ht="20" customHeight="1">
      <c r="B748" s="72" t="n"/>
      <c r="C748" s="72" t="n"/>
      <c r="D748" s="72" t="n"/>
      <c r="E748" s="72" t="n"/>
      <c r="F748" s="72" t="n"/>
      <c r="G748" s="72" t="n"/>
      <c r="H748" s="72" t="n"/>
      <c r="I748" s="73" t="n"/>
      <c r="J748" s="75">
        <f>IF(B748="","",SUMIFS('Change Orders'!$J$7:$J$1006,'Change Orders'!$E$7:$E$1006,B748,'Change Orders'!$L$7:$L$1006,"Approved"))</f>
        <v/>
      </c>
      <c r="K748" s="76">
        <f>IF(B748="","",I748+J748)</f>
        <v/>
      </c>
      <c r="L748" s="74" t="n"/>
      <c r="M748" s="109" t="n"/>
      <c r="N748" s="109" t="n"/>
      <c r="O748" s="74" t="n"/>
      <c r="P748" s="74" t="n"/>
      <c r="Q748" s="100" t="n"/>
      <c r="R748" s="110" t="n"/>
      <c r="S748" s="75">
        <f>IF(B748="","",SUMIFS('Payments'!$N$6:$N$1005,'Payments'!$B$6:$B$1005,B748))</f>
        <v/>
      </c>
      <c r="T748" s="111">
        <f>IF(OR(B748="",K748=0),"",S748/K748)</f>
        <v/>
      </c>
      <c r="U748" s="78">
        <f>IF(V748="","",IF(V748=2,"⚠️ Paying ahead of work","✓ OK"))</f>
        <v/>
      </c>
      <c r="V748" s="79">
        <f>IF(T748="","",IF(T748-R748&gt;OverpayTol,2,0))</f>
        <v/>
      </c>
      <c r="W748" s="112">
        <f>IF(V748=2,AsOf,"")</f>
        <v/>
      </c>
      <c r="X748" s="79">
        <f>IF(W748="","",1)</f>
        <v/>
      </c>
      <c r="Y748" s="79">
        <f>IF(X748="","","Paying ahead of work: "&amp;B748&amp;" — paid "&amp;ROUND(T748*100,0)&amp;"%, work done "&amp;ROUND(R748*100,0)&amp;"%")</f>
        <v/>
      </c>
      <c r="AA748" s="72" t="n"/>
      <c r="AB748" s="109" t="n"/>
      <c r="AC748" s="113" t="n"/>
      <c r="AD748" s="74" t="n"/>
      <c r="AE748" s="109" t="n"/>
      <c r="AF748" s="74" t="n"/>
      <c r="AG748" s="112">
        <f>IF(AND(AA748&lt;&gt;"",AD748="Yes",AF748&lt;&gt;"Yes",AE748&lt;&gt;""),AE748,"")</f>
        <v/>
      </c>
      <c r="AH748" s="79">
        <f>IF(AG748="","",IF(AG748&lt;AsOf,1,IF(AG748&lt;=AsOf+AlertDays,2,IF(AG748&lt;=AsOf+2*AlertDays,3,""))))</f>
        <v/>
      </c>
      <c r="AI748" s="79">
        <f>IF(AH748="","","Follow up with "&amp;AA748&amp;": "&amp;AC748)</f>
        <v/>
      </c>
    </row>
    <row r="749" ht="20" customHeight="1">
      <c r="B749" s="72" t="n"/>
      <c r="C749" s="72" t="n"/>
      <c r="D749" s="72" t="n"/>
      <c r="E749" s="72" t="n"/>
      <c r="F749" s="72" t="n"/>
      <c r="G749" s="72" t="n"/>
      <c r="H749" s="72" t="n"/>
      <c r="I749" s="73" t="n"/>
      <c r="J749" s="75">
        <f>IF(B749="","",SUMIFS('Change Orders'!$J$7:$J$1006,'Change Orders'!$E$7:$E$1006,B749,'Change Orders'!$L$7:$L$1006,"Approved"))</f>
        <v/>
      </c>
      <c r="K749" s="76">
        <f>IF(B749="","",I749+J749)</f>
        <v/>
      </c>
      <c r="L749" s="74" t="n"/>
      <c r="M749" s="109" t="n"/>
      <c r="N749" s="109" t="n"/>
      <c r="O749" s="74" t="n"/>
      <c r="P749" s="74" t="n"/>
      <c r="Q749" s="100" t="n"/>
      <c r="R749" s="110" t="n"/>
      <c r="S749" s="75">
        <f>IF(B749="","",SUMIFS('Payments'!$N$6:$N$1005,'Payments'!$B$6:$B$1005,B749))</f>
        <v/>
      </c>
      <c r="T749" s="111">
        <f>IF(OR(B749="",K749=0),"",S749/K749)</f>
        <v/>
      </c>
      <c r="U749" s="78">
        <f>IF(V749="","",IF(V749=2,"⚠️ Paying ahead of work","✓ OK"))</f>
        <v/>
      </c>
      <c r="V749" s="79">
        <f>IF(T749="","",IF(T749-R749&gt;OverpayTol,2,0))</f>
        <v/>
      </c>
      <c r="W749" s="112">
        <f>IF(V749=2,AsOf,"")</f>
        <v/>
      </c>
      <c r="X749" s="79">
        <f>IF(W749="","",1)</f>
        <v/>
      </c>
      <c r="Y749" s="79">
        <f>IF(X749="","","Paying ahead of work: "&amp;B749&amp;" — paid "&amp;ROUND(T749*100,0)&amp;"%, work done "&amp;ROUND(R749*100,0)&amp;"%")</f>
        <v/>
      </c>
      <c r="AA749" s="72" t="n"/>
      <c r="AB749" s="109" t="n"/>
      <c r="AC749" s="113" t="n"/>
      <c r="AD749" s="74" t="n"/>
      <c r="AE749" s="109" t="n"/>
      <c r="AF749" s="74" t="n"/>
      <c r="AG749" s="112">
        <f>IF(AND(AA749&lt;&gt;"",AD749="Yes",AF749&lt;&gt;"Yes",AE749&lt;&gt;""),AE749,"")</f>
        <v/>
      </c>
      <c r="AH749" s="79">
        <f>IF(AG749="","",IF(AG749&lt;AsOf,1,IF(AG749&lt;=AsOf+AlertDays,2,IF(AG749&lt;=AsOf+2*AlertDays,3,""))))</f>
        <v/>
      </c>
      <c r="AI749" s="79">
        <f>IF(AH749="","","Follow up with "&amp;AA749&amp;": "&amp;AC749)</f>
        <v/>
      </c>
    </row>
    <row r="750" ht="20" customHeight="1">
      <c r="B750" s="72" t="n"/>
      <c r="C750" s="72" t="n"/>
      <c r="D750" s="72" t="n"/>
      <c r="E750" s="72" t="n"/>
      <c r="F750" s="72" t="n"/>
      <c r="G750" s="72" t="n"/>
      <c r="H750" s="72" t="n"/>
      <c r="I750" s="73" t="n"/>
      <c r="J750" s="75">
        <f>IF(B750="","",SUMIFS('Change Orders'!$J$7:$J$1006,'Change Orders'!$E$7:$E$1006,B750,'Change Orders'!$L$7:$L$1006,"Approved"))</f>
        <v/>
      </c>
      <c r="K750" s="76">
        <f>IF(B750="","",I750+J750)</f>
        <v/>
      </c>
      <c r="L750" s="74" t="n"/>
      <c r="M750" s="109" t="n"/>
      <c r="N750" s="109" t="n"/>
      <c r="O750" s="74" t="n"/>
      <c r="P750" s="74" t="n"/>
      <c r="Q750" s="100" t="n"/>
      <c r="R750" s="110" t="n"/>
      <c r="S750" s="75">
        <f>IF(B750="","",SUMIFS('Payments'!$N$6:$N$1005,'Payments'!$B$6:$B$1005,B750))</f>
        <v/>
      </c>
      <c r="T750" s="111">
        <f>IF(OR(B750="",K750=0),"",S750/K750)</f>
        <v/>
      </c>
      <c r="U750" s="78">
        <f>IF(V750="","",IF(V750=2,"⚠️ Paying ahead of work","✓ OK"))</f>
        <v/>
      </c>
      <c r="V750" s="79">
        <f>IF(T750="","",IF(T750-R750&gt;OverpayTol,2,0))</f>
        <v/>
      </c>
      <c r="W750" s="112">
        <f>IF(V750=2,AsOf,"")</f>
        <v/>
      </c>
      <c r="X750" s="79">
        <f>IF(W750="","",1)</f>
        <v/>
      </c>
      <c r="Y750" s="79">
        <f>IF(X750="","","Paying ahead of work: "&amp;B750&amp;" — paid "&amp;ROUND(T750*100,0)&amp;"%, work done "&amp;ROUND(R750*100,0)&amp;"%")</f>
        <v/>
      </c>
      <c r="AA750" s="72" t="n"/>
      <c r="AB750" s="109" t="n"/>
      <c r="AC750" s="113" t="n"/>
      <c r="AD750" s="74" t="n"/>
      <c r="AE750" s="109" t="n"/>
      <c r="AF750" s="74" t="n"/>
      <c r="AG750" s="112">
        <f>IF(AND(AA750&lt;&gt;"",AD750="Yes",AF750&lt;&gt;"Yes",AE750&lt;&gt;""),AE750,"")</f>
        <v/>
      </c>
      <c r="AH750" s="79">
        <f>IF(AG750="","",IF(AG750&lt;AsOf,1,IF(AG750&lt;=AsOf+AlertDays,2,IF(AG750&lt;=AsOf+2*AlertDays,3,""))))</f>
        <v/>
      </c>
      <c r="AI750" s="79">
        <f>IF(AH750="","","Follow up with "&amp;AA750&amp;": "&amp;AC750)</f>
        <v/>
      </c>
    </row>
    <row r="751" ht="20" customHeight="1">
      <c r="B751" s="72" t="n"/>
      <c r="C751" s="72" t="n"/>
      <c r="D751" s="72" t="n"/>
      <c r="E751" s="72" t="n"/>
      <c r="F751" s="72" t="n"/>
      <c r="G751" s="72" t="n"/>
      <c r="H751" s="72" t="n"/>
      <c r="I751" s="73" t="n"/>
      <c r="J751" s="75">
        <f>IF(B751="","",SUMIFS('Change Orders'!$J$7:$J$1006,'Change Orders'!$E$7:$E$1006,B751,'Change Orders'!$L$7:$L$1006,"Approved"))</f>
        <v/>
      </c>
      <c r="K751" s="76">
        <f>IF(B751="","",I751+J751)</f>
        <v/>
      </c>
      <c r="L751" s="74" t="n"/>
      <c r="M751" s="109" t="n"/>
      <c r="N751" s="109" t="n"/>
      <c r="O751" s="74" t="n"/>
      <c r="P751" s="74" t="n"/>
      <c r="Q751" s="100" t="n"/>
      <c r="R751" s="110" t="n"/>
      <c r="S751" s="75">
        <f>IF(B751="","",SUMIFS('Payments'!$N$6:$N$1005,'Payments'!$B$6:$B$1005,B751))</f>
        <v/>
      </c>
      <c r="T751" s="111">
        <f>IF(OR(B751="",K751=0),"",S751/K751)</f>
        <v/>
      </c>
      <c r="U751" s="78">
        <f>IF(V751="","",IF(V751=2,"⚠️ Paying ahead of work","✓ OK"))</f>
        <v/>
      </c>
      <c r="V751" s="79">
        <f>IF(T751="","",IF(T751-R751&gt;OverpayTol,2,0))</f>
        <v/>
      </c>
      <c r="W751" s="112">
        <f>IF(V751=2,AsOf,"")</f>
        <v/>
      </c>
      <c r="X751" s="79">
        <f>IF(W751="","",1)</f>
        <v/>
      </c>
      <c r="Y751" s="79">
        <f>IF(X751="","","Paying ahead of work: "&amp;B751&amp;" — paid "&amp;ROUND(T751*100,0)&amp;"%, work done "&amp;ROUND(R751*100,0)&amp;"%")</f>
        <v/>
      </c>
      <c r="AA751" s="72" t="n"/>
      <c r="AB751" s="109" t="n"/>
      <c r="AC751" s="113" t="n"/>
      <c r="AD751" s="74" t="n"/>
      <c r="AE751" s="109" t="n"/>
      <c r="AF751" s="74" t="n"/>
      <c r="AG751" s="112">
        <f>IF(AND(AA751&lt;&gt;"",AD751="Yes",AF751&lt;&gt;"Yes",AE751&lt;&gt;""),AE751,"")</f>
        <v/>
      </c>
      <c r="AH751" s="79">
        <f>IF(AG751="","",IF(AG751&lt;AsOf,1,IF(AG751&lt;=AsOf+AlertDays,2,IF(AG751&lt;=AsOf+2*AlertDays,3,""))))</f>
        <v/>
      </c>
      <c r="AI751" s="79">
        <f>IF(AH751="","","Follow up with "&amp;AA751&amp;": "&amp;AC751)</f>
        <v/>
      </c>
    </row>
    <row r="752" ht="20" customHeight="1">
      <c r="B752" s="72" t="n"/>
      <c r="C752" s="72" t="n"/>
      <c r="D752" s="72" t="n"/>
      <c r="E752" s="72" t="n"/>
      <c r="F752" s="72" t="n"/>
      <c r="G752" s="72" t="n"/>
      <c r="H752" s="72" t="n"/>
      <c r="I752" s="73" t="n"/>
      <c r="J752" s="75">
        <f>IF(B752="","",SUMIFS('Change Orders'!$J$7:$J$1006,'Change Orders'!$E$7:$E$1006,B752,'Change Orders'!$L$7:$L$1006,"Approved"))</f>
        <v/>
      </c>
      <c r="K752" s="76">
        <f>IF(B752="","",I752+J752)</f>
        <v/>
      </c>
      <c r="L752" s="74" t="n"/>
      <c r="M752" s="109" t="n"/>
      <c r="N752" s="109" t="n"/>
      <c r="O752" s="74" t="n"/>
      <c r="P752" s="74" t="n"/>
      <c r="Q752" s="100" t="n"/>
      <c r="R752" s="110" t="n"/>
      <c r="S752" s="75">
        <f>IF(B752="","",SUMIFS('Payments'!$N$6:$N$1005,'Payments'!$B$6:$B$1005,B752))</f>
        <v/>
      </c>
      <c r="T752" s="111">
        <f>IF(OR(B752="",K752=0),"",S752/K752)</f>
        <v/>
      </c>
      <c r="U752" s="78">
        <f>IF(V752="","",IF(V752=2,"⚠️ Paying ahead of work","✓ OK"))</f>
        <v/>
      </c>
      <c r="V752" s="79">
        <f>IF(T752="","",IF(T752-R752&gt;OverpayTol,2,0))</f>
        <v/>
      </c>
      <c r="W752" s="112">
        <f>IF(V752=2,AsOf,"")</f>
        <v/>
      </c>
      <c r="X752" s="79">
        <f>IF(W752="","",1)</f>
        <v/>
      </c>
      <c r="Y752" s="79">
        <f>IF(X752="","","Paying ahead of work: "&amp;B752&amp;" — paid "&amp;ROUND(T752*100,0)&amp;"%, work done "&amp;ROUND(R752*100,0)&amp;"%")</f>
        <v/>
      </c>
      <c r="AA752" s="72" t="n"/>
      <c r="AB752" s="109" t="n"/>
      <c r="AC752" s="113" t="n"/>
      <c r="AD752" s="74" t="n"/>
      <c r="AE752" s="109" t="n"/>
      <c r="AF752" s="74" t="n"/>
      <c r="AG752" s="112">
        <f>IF(AND(AA752&lt;&gt;"",AD752="Yes",AF752&lt;&gt;"Yes",AE752&lt;&gt;""),AE752,"")</f>
        <v/>
      </c>
      <c r="AH752" s="79">
        <f>IF(AG752="","",IF(AG752&lt;AsOf,1,IF(AG752&lt;=AsOf+AlertDays,2,IF(AG752&lt;=AsOf+2*AlertDays,3,""))))</f>
        <v/>
      </c>
      <c r="AI752" s="79">
        <f>IF(AH752="","","Follow up with "&amp;AA752&amp;": "&amp;AC752)</f>
        <v/>
      </c>
    </row>
    <row r="753" ht="20" customHeight="1">
      <c r="B753" s="72" t="n"/>
      <c r="C753" s="72" t="n"/>
      <c r="D753" s="72" t="n"/>
      <c r="E753" s="72" t="n"/>
      <c r="F753" s="72" t="n"/>
      <c r="G753" s="72" t="n"/>
      <c r="H753" s="72" t="n"/>
      <c r="I753" s="73" t="n"/>
      <c r="J753" s="75">
        <f>IF(B753="","",SUMIFS('Change Orders'!$J$7:$J$1006,'Change Orders'!$E$7:$E$1006,B753,'Change Orders'!$L$7:$L$1006,"Approved"))</f>
        <v/>
      </c>
      <c r="K753" s="76">
        <f>IF(B753="","",I753+J753)</f>
        <v/>
      </c>
      <c r="L753" s="74" t="n"/>
      <c r="M753" s="109" t="n"/>
      <c r="N753" s="109" t="n"/>
      <c r="O753" s="74" t="n"/>
      <c r="P753" s="74" t="n"/>
      <c r="Q753" s="100" t="n"/>
      <c r="R753" s="110" t="n"/>
      <c r="S753" s="75">
        <f>IF(B753="","",SUMIFS('Payments'!$N$6:$N$1005,'Payments'!$B$6:$B$1005,B753))</f>
        <v/>
      </c>
      <c r="T753" s="111">
        <f>IF(OR(B753="",K753=0),"",S753/K753)</f>
        <v/>
      </c>
      <c r="U753" s="78">
        <f>IF(V753="","",IF(V753=2,"⚠️ Paying ahead of work","✓ OK"))</f>
        <v/>
      </c>
      <c r="V753" s="79">
        <f>IF(T753="","",IF(T753-R753&gt;OverpayTol,2,0))</f>
        <v/>
      </c>
      <c r="W753" s="112">
        <f>IF(V753=2,AsOf,"")</f>
        <v/>
      </c>
      <c r="X753" s="79">
        <f>IF(W753="","",1)</f>
        <v/>
      </c>
      <c r="Y753" s="79">
        <f>IF(X753="","","Paying ahead of work: "&amp;B753&amp;" — paid "&amp;ROUND(T753*100,0)&amp;"%, work done "&amp;ROUND(R753*100,0)&amp;"%")</f>
        <v/>
      </c>
      <c r="AA753" s="72" t="n"/>
      <c r="AB753" s="109" t="n"/>
      <c r="AC753" s="113" t="n"/>
      <c r="AD753" s="74" t="n"/>
      <c r="AE753" s="109" t="n"/>
      <c r="AF753" s="74" t="n"/>
      <c r="AG753" s="112">
        <f>IF(AND(AA753&lt;&gt;"",AD753="Yes",AF753&lt;&gt;"Yes",AE753&lt;&gt;""),AE753,"")</f>
        <v/>
      </c>
      <c r="AH753" s="79">
        <f>IF(AG753="","",IF(AG753&lt;AsOf,1,IF(AG753&lt;=AsOf+AlertDays,2,IF(AG753&lt;=AsOf+2*AlertDays,3,""))))</f>
        <v/>
      </c>
      <c r="AI753" s="79">
        <f>IF(AH753="","","Follow up with "&amp;AA753&amp;": "&amp;AC753)</f>
        <v/>
      </c>
    </row>
    <row r="754" ht="20" customHeight="1">
      <c r="B754" s="72" t="n"/>
      <c r="C754" s="72" t="n"/>
      <c r="D754" s="72" t="n"/>
      <c r="E754" s="72" t="n"/>
      <c r="F754" s="72" t="n"/>
      <c r="G754" s="72" t="n"/>
      <c r="H754" s="72" t="n"/>
      <c r="I754" s="73" t="n"/>
      <c r="J754" s="75">
        <f>IF(B754="","",SUMIFS('Change Orders'!$J$7:$J$1006,'Change Orders'!$E$7:$E$1006,B754,'Change Orders'!$L$7:$L$1006,"Approved"))</f>
        <v/>
      </c>
      <c r="K754" s="76">
        <f>IF(B754="","",I754+J754)</f>
        <v/>
      </c>
      <c r="L754" s="74" t="n"/>
      <c r="M754" s="109" t="n"/>
      <c r="N754" s="109" t="n"/>
      <c r="O754" s="74" t="n"/>
      <c r="P754" s="74" t="n"/>
      <c r="Q754" s="100" t="n"/>
      <c r="R754" s="110" t="n"/>
      <c r="S754" s="75">
        <f>IF(B754="","",SUMIFS('Payments'!$N$6:$N$1005,'Payments'!$B$6:$B$1005,B754))</f>
        <v/>
      </c>
      <c r="T754" s="111">
        <f>IF(OR(B754="",K754=0),"",S754/K754)</f>
        <v/>
      </c>
      <c r="U754" s="78">
        <f>IF(V754="","",IF(V754=2,"⚠️ Paying ahead of work","✓ OK"))</f>
        <v/>
      </c>
      <c r="V754" s="79">
        <f>IF(T754="","",IF(T754-R754&gt;OverpayTol,2,0))</f>
        <v/>
      </c>
      <c r="W754" s="112">
        <f>IF(V754=2,AsOf,"")</f>
        <v/>
      </c>
      <c r="X754" s="79">
        <f>IF(W754="","",1)</f>
        <v/>
      </c>
      <c r="Y754" s="79">
        <f>IF(X754="","","Paying ahead of work: "&amp;B754&amp;" — paid "&amp;ROUND(T754*100,0)&amp;"%, work done "&amp;ROUND(R754*100,0)&amp;"%")</f>
        <v/>
      </c>
      <c r="AA754" s="72" t="n"/>
      <c r="AB754" s="109" t="n"/>
      <c r="AC754" s="113" t="n"/>
      <c r="AD754" s="74" t="n"/>
      <c r="AE754" s="109" t="n"/>
      <c r="AF754" s="74" t="n"/>
      <c r="AG754" s="112">
        <f>IF(AND(AA754&lt;&gt;"",AD754="Yes",AF754&lt;&gt;"Yes",AE754&lt;&gt;""),AE754,"")</f>
        <v/>
      </c>
      <c r="AH754" s="79">
        <f>IF(AG754="","",IF(AG754&lt;AsOf,1,IF(AG754&lt;=AsOf+AlertDays,2,IF(AG754&lt;=AsOf+2*AlertDays,3,""))))</f>
        <v/>
      </c>
      <c r="AI754" s="79">
        <f>IF(AH754="","","Follow up with "&amp;AA754&amp;": "&amp;AC754)</f>
        <v/>
      </c>
    </row>
    <row r="755" ht="20" customHeight="1">
      <c r="B755" s="72" t="n"/>
      <c r="C755" s="72" t="n"/>
      <c r="D755" s="72" t="n"/>
      <c r="E755" s="72" t="n"/>
      <c r="F755" s="72" t="n"/>
      <c r="G755" s="72" t="n"/>
      <c r="H755" s="72" t="n"/>
      <c r="I755" s="73" t="n"/>
      <c r="J755" s="75">
        <f>IF(B755="","",SUMIFS('Change Orders'!$J$7:$J$1006,'Change Orders'!$E$7:$E$1006,B755,'Change Orders'!$L$7:$L$1006,"Approved"))</f>
        <v/>
      </c>
      <c r="K755" s="76">
        <f>IF(B755="","",I755+J755)</f>
        <v/>
      </c>
      <c r="L755" s="74" t="n"/>
      <c r="M755" s="109" t="n"/>
      <c r="N755" s="109" t="n"/>
      <c r="O755" s="74" t="n"/>
      <c r="P755" s="74" t="n"/>
      <c r="Q755" s="100" t="n"/>
      <c r="R755" s="110" t="n"/>
      <c r="S755" s="75">
        <f>IF(B755="","",SUMIFS('Payments'!$N$6:$N$1005,'Payments'!$B$6:$B$1005,B755))</f>
        <v/>
      </c>
      <c r="T755" s="111">
        <f>IF(OR(B755="",K755=0),"",S755/K755)</f>
        <v/>
      </c>
      <c r="U755" s="78">
        <f>IF(V755="","",IF(V755=2,"⚠️ Paying ahead of work","✓ OK"))</f>
        <v/>
      </c>
      <c r="V755" s="79">
        <f>IF(T755="","",IF(T755-R755&gt;OverpayTol,2,0))</f>
        <v/>
      </c>
      <c r="W755" s="112">
        <f>IF(V755=2,AsOf,"")</f>
        <v/>
      </c>
      <c r="X755" s="79">
        <f>IF(W755="","",1)</f>
        <v/>
      </c>
      <c r="Y755" s="79">
        <f>IF(X755="","","Paying ahead of work: "&amp;B755&amp;" — paid "&amp;ROUND(T755*100,0)&amp;"%, work done "&amp;ROUND(R755*100,0)&amp;"%")</f>
        <v/>
      </c>
      <c r="AA755" s="72" t="n"/>
      <c r="AB755" s="109" t="n"/>
      <c r="AC755" s="113" t="n"/>
      <c r="AD755" s="74" t="n"/>
      <c r="AE755" s="109" t="n"/>
      <c r="AF755" s="74" t="n"/>
      <c r="AG755" s="112">
        <f>IF(AND(AA755&lt;&gt;"",AD755="Yes",AF755&lt;&gt;"Yes",AE755&lt;&gt;""),AE755,"")</f>
        <v/>
      </c>
      <c r="AH755" s="79">
        <f>IF(AG755="","",IF(AG755&lt;AsOf,1,IF(AG755&lt;=AsOf+AlertDays,2,IF(AG755&lt;=AsOf+2*AlertDays,3,""))))</f>
        <v/>
      </c>
      <c r="AI755" s="79">
        <f>IF(AH755="","","Follow up with "&amp;AA755&amp;": "&amp;AC755)</f>
        <v/>
      </c>
    </row>
    <row r="756" ht="20" customHeight="1">
      <c r="B756" s="72" t="n"/>
      <c r="C756" s="72" t="n"/>
      <c r="D756" s="72" t="n"/>
      <c r="E756" s="72" t="n"/>
      <c r="F756" s="72" t="n"/>
      <c r="G756" s="72" t="n"/>
      <c r="H756" s="72" t="n"/>
      <c r="I756" s="73" t="n"/>
      <c r="J756" s="75">
        <f>IF(B756="","",SUMIFS('Change Orders'!$J$7:$J$1006,'Change Orders'!$E$7:$E$1006,B756,'Change Orders'!$L$7:$L$1006,"Approved"))</f>
        <v/>
      </c>
      <c r="K756" s="76">
        <f>IF(B756="","",I756+J756)</f>
        <v/>
      </c>
      <c r="L756" s="74" t="n"/>
      <c r="M756" s="109" t="n"/>
      <c r="N756" s="109" t="n"/>
      <c r="O756" s="74" t="n"/>
      <c r="P756" s="74" t="n"/>
      <c r="Q756" s="100" t="n"/>
      <c r="R756" s="110" t="n"/>
      <c r="S756" s="75">
        <f>IF(B756="","",SUMIFS('Payments'!$N$6:$N$1005,'Payments'!$B$6:$B$1005,B756))</f>
        <v/>
      </c>
      <c r="T756" s="111">
        <f>IF(OR(B756="",K756=0),"",S756/K756)</f>
        <v/>
      </c>
      <c r="U756" s="78">
        <f>IF(V756="","",IF(V756=2,"⚠️ Paying ahead of work","✓ OK"))</f>
        <v/>
      </c>
      <c r="V756" s="79">
        <f>IF(T756="","",IF(T756-R756&gt;OverpayTol,2,0))</f>
        <v/>
      </c>
      <c r="W756" s="112">
        <f>IF(V756=2,AsOf,"")</f>
        <v/>
      </c>
      <c r="X756" s="79">
        <f>IF(W756="","",1)</f>
        <v/>
      </c>
      <c r="Y756" s="79">
        <f>IF(X756="","","Paying ahead of work: "&amp;B756&amp;" — paid "&amp;ROUND(T756*100,0)&amp;"%, work done "&amp;ROUND(R756*100,0)&amp;"%")</f>
        <v/>
      </c>
      <c r="AA756" s="72" t="n"/>
      <c r="AB756" s="109" t="n"/>
      <c r="AC756" s="113" t="n"/>
      <c r="AD756" s="74" t="n"/>
      <c r="AE756" s="109" t="n"/>
      <c r="AF756" s="74" t="n"/>
      <c r="AG756" s="112">
        <f>IF(AND(AA756&lt;&gt;"",AD756="Yes",AF756&lt;&gt;"Yes",AE756&lt;&gt;""),AE756,"")</f>
        <v/>
      </c>
      <c r="AH756" s="79">
        <f>IF(AG756="","",IF(AG756&lt;AsOf,1,IF(AG756&lt;=AsOf+AlertDays,2,IF(AG756&lt;=AsOf+2*AlertDays,3,""))))</f>
        <v/>
      </c>
      <c r="AI756" s="79">
        <f>IF(AH756="","","Follow up with "&amp;AA756&amp;": "&amp;AC756)</f>
        <v/>
      </c>
    </row>
    <row r="757" ht="20" customHeight="1">
      <c r="B757" s="72" t="n"/>
      <c r="C757" s="72" t="n"/>
      <c r="D757" s="72" t="n"/>
      <c r="E757" s="72" t="n"/>
      <c r="F757" s="72" t="n"/>
      <c r="G757" s="72" t="n"/>
      <c r="H757" s="72" t="n"/>
      <c r="I757" s="73" t="n"/>
      <c r="J757" s="75">
        <f>IF(B757="","",SUMIFS('Change Orders'!$J$7:$J$1006,'Change Orders'!$E$7:$E$1006,B757,'Change Orders'!$L$7:$L$1006,"Approved"))</f>
        <v/>
      </c>
      <c r="K757" s="76">
        <f>IF(B757="","",I757+J757)</f>
        <v/>
      </c>
      <c r="L757" s="74" t="n"/>
      <c r="M757" s="109" t="n"/>
      <c r="N757" s="109" t="n"/>
      <c r="O757" s="74" t="n"/>
      <c r="P757" s="74" t="n"/>
      <c r="Q757" s="100" t="n"/>
      <c r="R757" s="110" t="n"/>
      <c r="S757" s="75">
        <f>IF(B757="","",SUMIFS('Payments'!$N$6:$N$1005,'Payments'!$B$6:$B$1005,B757))</f>
        <v/>
      </c>
      <c r="T757" s="111">
        <f>IF(OR(B757="",K757=0),"",S757/K757)</f>
        <v/>
      </c>
      <c r="U757" s="78">
        <f>IF(V757="","",IF(V757=2,"⚠️ Paying ahead of work","✓ OK"))</f>
        <v/>
      </c>
      <c r="V757" s="79">
        <f>IF(T757="","",IF(T757-R757&gt;OverpayTol,2,0))</f>
        <v/>
      </c>
      <c r="W757" s="112">
        <f>IF(V757=2,AsOf,"")</f>
        <v/>
      </c>
      <c r="X757" s="79">
        <f>IF(W757="","",1)</f>
        <v/>
      </c>
      <c r="Y757" s="79">
        <f>IF(X757="","","Paying ahead of work: "&amp;B757&amp;" — paid "&amp;ROUND(T757*100,0)&amp;"%, work done "&amp;ROUND(R757*100,0)&amp;"%")</f>
        <v/>
      </c>
      <c r="AA757" s="72" t="n"/>
      <c r="AB757" s="109" t="n"/>
      <c r="AC757" s="113" t="n"/>
      <c r="AD757" s="74" t="n"/>
      <c r="AE757" s="109" t="n"/>
      <c r="AF757" s="74" t="n"/>
      <c r="AG757" s="112">
        <f>IF(AND(AA757&lt;&gt;"",AD757="Yes",AF757&lt;&gt;"Yes",AE757&lt;&gt;""),AE757,"")</f>
        <v/>
      </c>
      <c r="AH757" s="79">
        <f>IF(AG757="","",IF(AG757&lt;AsOf,1,IF(AG757&lt;=AsOf+AlertDays,2,IF(AG757&lt;=AsOf+2*AlertDays,3,""))))</f>
        <v/>
      </c>
      <c r="AI757" s="79">
        <f>IF(AH757="","","Follow up with "&amp;AA757&amp;": "&amp;AC757)</f>
        <v/>
      </c>
    </row>
    <row r="758" ht="20" customHeight="1">
      <c r="B758" s="72" t="n"/>
      <c r="C758" s="72" t="n"/>
      <c r="D758" s="72" t="n"/>
      <c r="E758" s="72" t="n"/>
      <c r="F758" s="72" t="n"/>
      <c r="G758" s="72" t="n"/>
      <c r="H758" s="72" t="n"/>
      <c r="I758" s="73" t="n"/>
      <c r="J758" s="75">
        <f>IF(B758="","",SUMIFS('Change Orders'!$J$7:$J$1006,'Change Orders'!$E$7:$E$1006,B758,'Change Orders'!$L$7:$L$1006,"Approved"))</f>
        <v/>
      </c>
      <c r="K758" s="76">
        <f>IF(B758="","",I758+J758)</f>
        <v/>
      </c>
      <c r="L758" s="74" t="n"/>
      <c r="M758" s="109" t="n"/>
      <c r="N758" s="109" t="n"/>
      <c r="O758" s="74" t="n"/>
      <c r="P758" s="74" t="n"/>
      <c r="Q758" s="100" t="n"/>
      <c r="R758" s="110" t="n"/>
      <c r="S758" s="75">
        <f>IF(B758="","",SUMIFS('Payments'!$N$6:$N$1005,'Payments'!$B$6:$B$1005,B758))</f>
        <v/>
      </c>
      <c r="T758" s="111">
        <f>IF(OR(B758="",K758=0),"",S758/K758)</f>
        <v/>
      </c>
      <c r="U758" s="78">
        <f>IF(V758="","",IF(V758=2,"⚠️ Paying ahead of work","✓ OK"))</f>
        <v/>
      </c>
      <c r="V758" s="79">
        <f>IF(T758="","",IF(T758-R758&gt;OverpayTol,2,0))</f>
        <v/>
      </c>
      <c r="W758" s="112">
        <f>IF(V758=2,AsOf,"")</f>
        <v/>
      </c>
      <c r="X758" s="79">
        <f>IF(W758="","",1)</f>
        <v/>
      </c>
      <c r="Y758" s="79">
        <f>IF(X758="","","Paying ahead of work: "&amp;B758&amp;" — paid "&amp;ROUND(T758*100,0)&amp;"%, work done "&amp;ROUND(R758*100,0)&amp;"%")</f>
        <v/>
      </c>
      <c r="AA758" s="72" t="n"/>
      <c r="AB758" s="109" t="n"/>
      <c r="AC758" s="113" t="n"/>
      <c r="AD758" s="74" t="n"/>
      <c r="AE758" s="109" t="n"/>
      <c r="AF758" s="74" t="n"/>
      <c r="AG758" s="112">
        <f>IF(AND(AA758&lt;&gt;"",AD758="Yes",AF758&lt;&gt;"Yes",AE758&lt;&gt;""),AE758,"")</f>
        <v/>
      </c>
      <c r="AH758" s="79">
        <f>IF(AG758="","",IF(AG758&lt;AsOf,1,IF(AG758&lt;=AsOf+AlertDays,2,IF(AG758&lt;=AsOf+2*AlertDays,3,""))))</f>
        <v/>
      </c>
      <c r="AI758" s="79">
        <f>IF(AH758="","","Follow up with "&amp;AA758&amp;": "&amp;AC758)</f>
        <v/>
      </c>
    </row>
    <row r="759" ht="20" customHeight="1">
      <c r="B759" s="72" t="n"/>
      <c r="C759" s="72" t="n"/>
      <c r="D759" s="72" t="n"/>
      <c r="E759" s="72" t="n"/>
      <c r="F759" s="72" t="n"/>
      <c r="G759" s="72" t="n"/>
      <c r="H759" s="72" t="n"/>
      <c r="I759" s="73" t="n"/>
      <c r="J759" s="75">
        <f>IF(B759="","",SUMIFS('Change Orders'!$J$7:$J$1006,'Change Orders'!$E$7:$E$1006,B759,'Change Orders'!$L$7:$L$1006,"Approved"))</f>
        <v/>
      </c>
      <c r="K759" s="76">
        <f>IF(B759="","",I759+J759)</f>
        <v/>
      </c>
      <c r="L759" s="74" t="n"/>
      <c r="M759" s="109" t="n"/>
      <c r="N759" s="109" t="n"/>
      <c r="O759" s="74" t="n"/>
      <c r="P759" s="74" t="n"/>
      <c r="Q759" s="100" t="n"/>
      <c r="R759" s="110" t="n"/>
      <c r="S759" s="75">
        <f>IF(B759="","",SUMIFS('Payments'!$N$6:$N$1005,'Payments'!$B$6:$B$1005,B759))</f>
        <v/>
      </c>
      <c r="T759" s="111">
        <f>IF(OR(B759="",K759=0),"",S759/K759)</f>
        <v/>
      </c>
      <c r="U759" s="78">
        <f>IF(V759="","",IF(V759=2,"⚠️ Paying ahead of work","✓ OK"))</f>
        <v/>
      </c>
      <c r="V759" s="79">
        <f>IF(T759="","",IF(T759-R759&gt;OverpayTol,2,0))</f>
        <v/>
      </c>
      <c r="W759" s="112">
        <f>IF(V759=2,AsOf,"")</f>
        <v/>
      </c>
      <c r="X759" s="79">
        <f>IF(W759="","",1)</f>
        <v/>
      </c>
      <c r="Y759" s="79">
        <f>IF(X759="","","Paying ahead of work: "&amp;B759&amp;" — paid "&amp;ROUND(T759*100,0)&amp;"%, work done "&amp;ROUND(R759*100,0)&amp;"%")</f>
        <v/>
      </c>
      <c r="AA759" s="72" t="n"/>
      <c r="AB759" s="109" t="n"/>
      <c r="AC759" s="113" t="n"/>
      <c r="AD759" s="74" t="n"/>
      <c r="AE759" s="109" t="n"/>
      <c r="AF759" s="74" t="n"/>
      <c r="AG759" s="112">
        <f>IF(AND(AA759&lt;&gt;"",AD759="Yes",AF759&lt;&gt;"Yes",AE759&lt;&gt;""),AE759,"")</f>
        <v/>
      </c>
      <c r="AH759" s="79">
        <f>IF(AG759="","",IF(AG759&lt;AsOf,1,IF(AG759&lt;=AsOf+AlertDays,2,IF(AG759&lt;=AsOf+2*AlertDays,3,""))))</f>
        <v/>
      </c>
      <c r="AI759" s="79">
        <f>IF(AH759="","","Follow up with "&amp;AA759&amp;": "&amp;AC759)</f>
        <v/>
      </c>
    </row>
    <row r="760" ht="20" customHeight="1">
      <c r="B760" s="72" t="n"/>
      <c r="C760" s="72" t="n"/>
      <c r="D760" s="72" t="n"/>
      <c r="E760" s="72" t="n"/>
      <c r="F760" s="72" t="n"/>
      <c r="G760" s="72" t="n"/>
      <c r="H760" s="72" t="n"/>
      <c r="I760" s="73" t="n"/>
      <c r="J760" s="75">
        <f>IF(B760="","",SUMIFS('Change Orders'!$J$7:$J$1006,'Change Orders'!$E$7:$E$1006,B760,'Change Orders'!$L$7:$L$1006,"Approved"))</f>
        <v/>
      </c>
      <c r="K760" s="76">
        <f>IF(B760="","",I760+J760)</f>
        <v/>
      </c>
      <c r="L760" s="74" t="n"/>
      <c r="M760" s="109" t="n"/>
      <c r="N760" s="109" t="n"/>
      <c r="O760" s="74" t="n"/>
      <c r="P760" s="74" t="n"/>
      <c r="Q760" s="100" t="n"/>
      <c r="R760" s="110" t="n"/>
      <c r="S760" s="75">
        <f>IF(B760="","",SUMIFS('Payments'!$N$6:$N$1005,'Payments'!$B$6:$B$1005,B760))</f>
        <v/>
      </c>
      <c r="T760" s="111">
        <f>IF(OR(B760="",K760=0),"",S760/K760)</f>
        <v/>
      </c>
      <c r="U760" s="78">
        <f>IF(V760="","",IF(V760=2,"⚠️ Paying ahead of work","✓ OK"))</f>
        <v/>
      </c>
      <c r="V760" s="79">
        <f>IF(T760="","",IF(T760-R760&gt;OverpayTol,2,0))</f>
        <v/>
      </c>
      <c r="W760" s="112">
        <f>IF(V760=2,AsOf,"")</f>
        <v/>
      </c>
      <c r="X760" s="79">
        <f>IF(W760="","",1)</f>
        <v/>
      </c>
      <c r="Y760" s="79">
        <f>IF(X760="","","Paying ahead of work: "&amp;B760&amp;" — paid "&amp;ROUND(T760*100,0)&amp;"%, work done "&amp;ROUND(R760*100,0)&amp;"%")</f>
        <v/>
      </c>
      <c r="AA760" s="72" t="n"/>
      <c r="AB760" s="109" t="n"/>
      <c r="AC760" s="113" t="n"/>
      <c r="AD760" s="74" t="n"/>
      <c r="AE760" s="109" t="n"/>
      <c r="AF760" s="74" t="n"/>
      <c r="AG760" s="112">
        <f>IF(AND(AA760&lt;&gt;"",AD760="Yes",AF760&lt;&gt;"Yes",AE760&lt;&gt;""),AE760,"")</f>
        <v/>
      </c>
      <c r="AH760" s="79">
        <f>IF(AG760="","",IF(AG760&lt;AsOf,1,IF(AG760&lt;=AsOf+AlertDays,2,IF(AG760&lt;=AsOf+2*AlertDays,3,""))))</f>
        <v/>
      </c>
      <c r="AI760" s="79">
        <f>IF(AH760="","","Follow up with "&amp;AA760&amp;": "&amp;AC760)</f>
        <v/>
      </c>
    </row>
    <row r="761" ht="20" customHeight="1">
      <c r="B761" s="72" t="n"/>
      <c r="C761" s="72" t="n"/>
      <c r="D761" s="72" t="n"/>
      <c r="E761" s="72" t="n"/>
      <c r="F761" s="72" t="n"/>
      <c r="G761" s="72" t="n"/>
      <c r="H761" s="72" t="n"/>
      <c r="I761" s="73" t="n"/>
      <c r="J761" s="75">
        <f>IF(B761="","",SUMIFS('Change Orders'!$J$7:$J$1006,'Change Orders'!$E$7:$E$1006,B761,'Change Orders'!$L$7:$L$1006,"Approved"))</f>
        <v/>
      </c>
      <c r="K761" s="76">
        <f>IF(B761="","",I761+J761)</f>
        <v/>
      </c>
      <c r="L761" s="74" t="n"/>
      <c r="M761" s="109" t="n"/>
      <c r="N761" s="109" t="n"/>
      <c r="O761" s="74" t="n"/>
      <c r="P761" s="74" t="n"/>
      <c r="Q761" s="100" t="n"/>
      <c r="R761" s="110" t="n"/>
      <c r="S761" s="75">
        <f>IF(B761="","",SUMIFS('Payments'!$N$6:$N$1005,'Payments'!$B$6:$B$1005,B761))</f>
        <v/>
      </c>
      <c r="T761" s="111">
        <f>IF(OR(B761="",K761=0),"",S761/K761)</f>
        <v/>
      </c>
      <c r="U761" s="78">
        <f>IF(V761="","",IF(V761=2,"⚠️ Paying ahead of work","✓ OK"))</f>
        <v/>
      </c>
      <c r="V761" s="79">
        <f>IF(T761="","",IF(T761-R761&gt;OverpayTol,2,0))</f>
        <v/>
      </c>
      <c r="W761" s="112">
        <f>IF(V761=2,AsOf,"")</f>
        <v/>
      </c>
      <c r="X761" s="79">
        <f>IF(W761="","",1)</f>
        <v/>
      </c>
      <c r="Y761" s="79">
        <f>IF(X761="","","Paying ahead of work: "&amp;B761&amp;" — paid "&amp;ROUND(T761*100,0)&amp;"%, work done "&amp;ROUND(R761*100,0)&amp;"%")</f>
        <v/>
      </c>
      <c r="AA761" s="72" t="n"/>
      <c r="AB761" s="109" t="n"/>
      <c r="AC761" s="113" t="n"/>
      <c r="AD761" s="74" t="n"/>
      <c r="AE761" s="109" t="n"/>
      <c r="AF761" s="74" t="n"/>
      <c r="AG761" s="112">
        <f>IF(AND(AA761&lt;&gt;"",AD761="Yes",AF761&lt;&gt;"Yes",AE761&lt;&gt;""),AE761,"")</f>
        <v/>
      </c>
      <c r="AH761" s="79">
        <f>IF(AG761="","",IF(AG761&lt;AsOf,1,IF(AG761&lt;=AsOf+AlertDays,2,IF(AG761&lt;=AsOf+2*AlertDays,3,""))))</f>
        <v/>
      </c>
      <c r="AI761" s="79">
        <f>IF(AH761="","","Follow up with "&amp;AA761&amp;": "&amp;AC761)</f>
        <v/>
      </c>
    </row>
    <row r="762" ht="20" customHeight="1">
      <c r="B762" s="72" t="n"/>
      <c r="C762" s="72" t="n"/>
      <c r="D762" s="72" t="n"/>
      <c r="E762" s="72" t="n"/>
      <c r="F762" s="72" t="n"/>
      <c r="G762" s="72" t="n"/>
      <c r="H762" s="72" t="n"/>
      <c r="I762" s="73" t="n"/>
      <c r="J762" s="75">
        <f>IF(B762="","",SUMIFS('Change Orders'!$J$7:$J$1006,'Change Orders'!$E$7:$E$1006,B762,'Change Orders'!$L$7:$L$1006,"Approved"))</f>
        <v/>
      </c>
      <c r="K762" s="76">
        <f>IF(B762="","",I762+J762)</f>
        <v/>
      </c>
      <c r="L762" s="74" t="n"/>
      <c r="M762" s="109" t="n"/>
      <c r="N762" s="109" t="n"/>
      <c r="O762" s="74" t="n"/>
      <c r="P762" s="74" t="n"/>
      <c r="Q762" s="100" t="n"/>
      <c r="R762" s="110" t="n"/>
      <c r="S762" s="75">
        <f>IF(B762="","",SUMIFS('Payments'!$N$6:$N$1005,'Payments'!$B$6:$B$1005,B762))</f>
        <v/>
      </c>
      <c r="T762" s="111">
        <f>IF(OR(B762="",K762=0),"",S762/K762)</f>
        <v/>
      </c>
      <c r="U762" s="78">
        <f>IF(V762="","",IF(V762=2,"⚠️ Paying ahead of work","✓ OK"))</f>
        <v/>
      </c>
      <c r="V762" s="79">
        <f>IF(T762="","",IF(T762-R762&gt;OverpayTol,2,0))</f>
        <v/>
      </c>
      <c r="W762" s="112">
        <f>IF(V762=2,AsOf,"")</f>
        <v/>
      </c>
      <c r="X762" s="79">
        <f>IF(W762="","",1)</f>
        <v/>
      </c>
      <c r="Y762" s="79">
        <f>IF(X762="","","Paying ahead of work: "&amp;B762&amp;" — paid "&amp;ROUND(T762*100,0)&amp;"%, work done "&amp;ROUND(R762*100,0)&amp;"%")</f>
        <v/>
      </c>
      <c r="AA762" s="72" t="n"/>
      <c r="AB762" s="109" t="n"/>
      <c r="AC762" s="113" t="n"/>
      <c r="AD762" s="74" t="n"/>
      <c r="AE762" s="109" t="n"/>
      <c r="AF762" s="74" t="n"/>
      <c r="AG762" s="112">
        <f>IF(AND(AA762&lt;&gt;"",AD762="Yes",AF762&lt;&gt;"Yes",AE762&lt;&gt;""),AE762,"")</f>
        <v/>
      </c>
      <c r="AH762" s="79">
        <f>IF(AG762="","",IF(AG762&lt;AsOf,1,IF(AG762&lt;=AsOf+AlertDays,2,IF(AG762&lt;=AsOf+2*AlertDays,3,""))))</f>
        <v/>
      </c>
      <c r="AI762" s="79">
        <f>IF(AH762="","","Follow up with "&amp;AA762&amp;": "&amp;AC762)</f>
        <v/>
      </c>
    </row>
    <row r="763" ht="20" customHeight="1">
      <c r="B763" s="72" t="n"/>
      <c r="C763" s="72" t="n"/>
      <c r="D763" s="72" t="n"/>
      <c r="E763" s="72" t="n"/>
      <c r="F763" s="72" t="n"/>
      <c r="G763" s="72" t="n"/>
      <c r="H763" s="72" t="n"/>
      <c r="I763" s="73" t="n"/>
      <c r="J763" s="75">
        <f>IF(B763="","",SUMIFS('Change Orders'!$J$7:$J$1006,'Change Orders'!$E$7:$E$1006,B763,'Change Orders'!$L$7:$L$1006,"Approved"))</f>
        <v/>
      </c>
      <c r="K763" s="76">
        <f>IF(B763="","",I763+J763)</f>
        <v/>
      </c>
      <c r="L763" s="74" t="n"/>
      <c r="M763" s="109" t="n"/>
      <c r="N763" s="109" t="n"/>
      <c r="O763" s="74" t="n"/>
      <c r="P763" s="74" t="n"/>
      <c r="Q763" s="100" t="n"/>
      <c r="R763" s="110" t="n"/>
      <c r="S763" s="75">
        <f>IF(B763="","",SUMIFS('Payments'!$N$6:$N$1005,'Payments'!$B$6:$B$1005,B763))</f>
        <v/>
      </c>
      <c r="T763" s="111">
        <f>IF(OR(B763="",K763=0),"",S763/K763)</f>
        <v/>
      </c>
      <c r="U763" s="78">
        <f>IF(V763="","",IF(V763=2,"⚠️ Paying ahead of work","✓ OK"))</f>
        <v/>
      </c>
      <c r="V763" s="79">
        <f>IF(T763="","",IF(T763-R763&gt;OverpayTol,2,0))</f>
        <v/>
      </c>
      <c r="W763" s="112">
        <f>IF(V763=2,AsOf,"")</f>
        <v/>
      </c>
      <c r="X763" s="79">
        <f>IF(W763="","",1)</f>
        <v/>
      </c>
      <c r="Y763" s="79">
        <f>IF(X763="","","Paying ahead of work: "&amp;B763&amp;" — paid "&amp;ROUND(T763*100,0)&amp;"%, work done "&amp;ROUND(R763*100,0)&amp;"%")</f>
        <v/>
      </c>
      <c r="AA763" s="72" t="n"/>
      <c r="AB763" s="109" t="n"/>
      <c r="AC763" s="113" t="n"/>
      <c r="AD763" s="74" t="n"/>
      <c r="AE763" s="109" t="n"/>
      <c r="AF763" s="74" t="n"/>
      <c r="AG763" s="112">
        <f>IF(AND(AA763&lt;&gt;"",AD763="Yes",AF763&lt;&gt;"Yes",AE763&lt;&gt;""),AE763,"")</f>
        <v/>
      </c>
      <c r="AH763" s="79">
        <f>IF(AG763="","",IF(AG763&lt;AsOf,1,IF(AG763&lt;=AsOf+AlertDays,2,IF(AG763&lt;=AsOf+2*AlertDays,3,""))))</f>
        <v/>
      </c>
      <c r="AI763" s="79">
        <f>IF(AH763="","","Follow up with "&amp;AA763&amp;": "&amp;AC763)</f>
        <v/>
      </c>
    </row>
    <row r="764" ht="20" customHeight="1">
      <c r="B764" s="72" t="n"/>
      <c r="C764" s="72" t="n"/>
      <c r="D764" s="72" t="n"/>
      <c r="E764" s="72" t="n"/>
      <c r="F764" s="72" t="n"/>
      <c r="G764" s="72" t="n"/>
      <c r="H764" s="72" t="n"/>
      <c r="I764" s="73" t="n"/>
      <c r="J764" s="75">
        <f>IF(B764="","",SUMIFS('Change Orders'!$J$7:$J$1006,'Change Orders'!$E$7:$E$1006,B764,'Change Orders'!$L$7:$L$1006,"Approved"))</f>
        <v/>
      </c>
      <c r="K764" s="76">
        <f>IF(B764="","",I764+J764)</f>
        <v/>
      </c>
      <c r="L764" s="74" t="n"/>
      <c r="M764" s="109" t="n"/>
      <c r="N764" s="109" t="n"/>
      <c r="O764" s="74" t="n"/>
      <c r="P764" s="74" t="n"/>
      <c r="Q764" s="100" t="n"/>
      <c r="R764" s="110" t="n"/>
      <c r="S764" s="75">
        <f>IF(B764="","",SUMIFS('Payments'!$N$6:$N$1005,'Payments'!$B$6:$B$1005,B764))</f>
        <v/>
      </c>
      <c r="T764" s="111">
        <f>IF(OR(B764="",K764=0),"",S764/K764)</f>
        <v/>
      </c>
      <c r="U764" s="78">
        <f>IF(V764="","",IF(V764=2,"⚠️ Paying ahead of work","✓ OK"))</f>
        <v/>
      </c>
      <c r="V764" s="79">
        <f>IF(T764="","",IF(T764-R764&gt;OverpayTol,2,0))</f>
        <v/>
      </c>
      <c r="W764" s="112">
        <f>IF(V764=2,AsOf,"")</f>
        <v/>
      </c>
      <c r="X764" s="79">
        <f>IF(W764="","",1)</f>
        <v/>
      </c>
      <c r="Y764" s="79">
        <f>IF(X764="","","Paying ahead of work: "&amp;B764&amp;" — paid "&amp;ROUND(T764*100,0)&amp;"%, work done "&amp;ROUND(R764*100,0)&amp;"%")</f>
        <v/>
      </c>
      <c r="AA764" s="72" t="n"/>
      <c r="AB764" s="109" t="n"/>
      <c r="AC764" s="113" t="n"/>
      <c r="AD764" s="74" t="n"/>
      <c r="AE764" s="109" t="n"/>
      <c r="AF764" s="74" t="n"/>
      <c r="AG764" s="112">
        <f>IF(AND(AA764&lt;&gt;"",AD764="Yes",AF764&lt;&gt;"Yes",AE764&lt;&gt;""),AE764,"")</f>
        <v/>
      </c>
      <c r="AH764" s="79">
        <f>IF(AG764="","",IF(AG764&lt;AsOf,1,IF(AG764&lt;=AsOf+AlertDays,2,IF(AG764&lt;=AsOf+2*AlertDays,3,""))))</f>
        <v/>
      </c>
      <c r="AI764" s="79">
        <f>IF(AH764="","","Follow up with "&amp;AA764&amp;": "&amp;AC764)</f>
        <v/>
      </c>
    </row>
    <row r="765" ht="20" customHeight="1">
      <c r="B765" s="72" t="n"/>
      <c r="C765" s="72" t="n"/>
      <c r="D765" s="72" t="n"/>
      <c r="E765" s="72" t="n"/>
      <c r="F765" s="72" t="n"/>
      <c r="G765" s="72" t="n"/>
      <c r="H765" s="72" t="n"/>
      <c r="I765" s="73" t="n"/>
      <c r="J765" s="75">
        <f>IF(B765="","",SUMIFS('Change Orders'!$J$7:$J$1006,'Change Orders'!$E$7:$E$1006,B765,'Change Orders'!$L$7:$L$1006,"Approved"))</f>
        <v/>
      </c>
      <c r="K765" s="76">
        <f>IF(B765="","",I765+J765)</f>
        <v/>
      </c>
      <c r="L765" s="74" t="n"/>
      <c r="M765" s="109" t="n"/>
      <c r="N765" s="109" t="n"/>
      <c r="O765" s="74" t="n"/>
      <c r="P765" s="74" t="n"/>
      <c r="Q765" s="100" t="n"/>
      <c r="R765" s="110" t="n"/>
      <c r="S765" s="75">
        <f>IF(B765="","",SUMIFS('Payments'!$N$6:$N$1005,'Payments'!$B$6:$B$1005,B765))</f>
        <v/>
      </c>
      <c r="T765" s="111">
        <f>IF(OR(B765="",K765=0),"",S765/K765)</f>
        <v/>
      </c>
      <c r="U765" s="78">
        <f>IF(V765="","",IF(V765=2,"⚠️ Paying ahead of work","✓ OK"))</f>
        <v/>
      </c>
      <c r="V765" s="79">
        <f>IF(T765="","",IF(T765-R765&gt;OverpayTol,2,0))</f>
        <v/>
      </c>
      <c r="W765" s="112">
        <f>IF(V765=2,AsOf,"")</f>
        <v/>
      </c>
      <c r="X765" s="79">
        <f>IF(W765="","",1)</f>
        <v/>
      </c>
      <c r="Y765" s="79">
        <f>IF(X765="","","Paying ahead of work: "&amp;B765&amp;" — paid "&amp;ROUND(T765*100,0)&amp;"%, work done "&amp;ROUND(R765*100,0)&amp;"%")</f>
        <v/>
      </c>
      <c r="AA765" s="72" t="n"/>
      <c r="AB765" s="109" t="n"/>
      <c r="AC765" s="113" t="n"/>
      <c r="AD765" s="74" t="n"/>
      <c r="AE765" s="109" t="n"/>
      <c r="AF765" s="74" t="n"/>
      <c r="AG765" s="112">
        <f>IF(AND(AA765&lt;&gt;"",AD765="Yes",AF765&lt;&gt;"Yes",AE765&lt;&gt;""),AE765,"")</f>
        <v/>
      </c>
      <c r="AH765" s="79">
        <f>IF(AG765="","",IF(AG765&lt;AsOf,1,IF(AG765&lt;=AsOf+AlertDays,2,IF(AG765&lt;=AsOf+2*AlertDays,3,""))))</f>
        <v/>
      </c>
      <c r="AI765" s="79">
        <f>IF(AH765="","","Follow up with "&amp;AA765&amp;": "&amp;AC765)</f>
        <v/>
      </c>
    </row>
    <row r="766" ht="20" customHeight="1">
      <c r="B766" s="72" t="n"/>
      <c r="C766" s="72" t="n"/>
      <c r="D766" s="72" t="n"/>
      <c r="E766" s="72" t="n"/>
      <c r="F766" s="72" t="n"/>
      <c r="G766" s="72" t="n"/>
      <c r="H766" s="72" t="n"/>
      <c r="I766" s="73" t="n"/>
      <c r="J766" s="75">
        <f>IF(B766="","",SUMIFS('Change Orders'!$J$7:$J$1006,'Change Orders'!$E$7:$E$1006,B766,'Change Orders'!$L$7:$L$1006,"Approved"))</f>
        <v/>
      </c>
      <c r="K766" s="76">
        <f>IF(B766="","",I766+J766)</f>
        <v/>
      </c>
      <c r="L766" s="74" t="n"/>
      <c r="M766" s="109" t="n"/>
      <c r="N766" s="109" t="n"/>
      <c r="O766" s="74" t="n"/>
      <c r="P766" s="74" t="n"/>
      <c r="Q766" s="100" t="n"/>
      <c r="R766" s="110" t="n"/>
      <c r="S766" s="75">
        <f>IF(B766="","",SUMIFS('Payments'!$N$6:$N$1005,'Payments'!$B$6:$B$1005,B766))</f>
        <v/>
      </c>
      <c r="T766" s="111">
        <f>IF(OR(B766="",K766=0),"",S766/K766)</f>
        <v/>
      </c>
      <c r="U766" s="78">
        <f>IF(V766="","",IF(V766=2,"⚠️ Paying ahead of work","✓ OK"))</f>
        <v/>
      </c>
      <c r="V766" s="79">
        <f>IF(T766="","",IF(T766-R766&gt;OverpayTol,2,0))</f>
        <v/>
      </c>
      <c r="W766" s="112">
        <f>IF(V766=2,AsOf,"")</f>
        <v/>
      </c>
      <c r="X766" s="79">
        <f>IF(W766="","",1)</f>
        <v/>
      </c>
      <c r="Y766" s="79">
        <f>IF(X766="","","Paying ahead of work: "&amp;B766&amp;" — paid "&amp;ROUND(T766*100,0)&amp;"%, work done "&amp;ROUND(R766*100,0)&amp;"%")</f>
        <v/>
      </c>
      <c r="AA766" s="72" t="n"/>
      <c r="AB766" s="109" t="n"/>
      <c r="AC766" s="113" t="n"/>
      <c r="AD766" s="74" t="n"/>
      <c r="AE766" s="109" t="n"/>
      <c r="AF766" s="74" t="n"/>
      <c r="AG766" s="112">
        <f>IF(AND(AA766&lt;&gt;"",AD766="Yes",AF766&lt;&gt;"Yes",AE766&lt;&gt;""),AE766,"")</f>
        <v/>
      </c>
      <c r="AH766" s="79">
        <f>IF(AG766="","",IF(AG766&lt;AsOf,1,IF(AG766&lt;=AsOf+AlertDays,2,IF(AG766&lt;=AsOf+2*AlertDays,3,""))))</f>
        <v/>
      </c>
      <c r="AI766" s="79">
        <f>IF(AH766="","","Follow up with "&amp;AA766&amp;": "&amp;AC766)</f>
        <v/>
      </c>
    </row>
    <row r="767" ht="20" customHeight="1">
      <c r="B767" s="72" t="n"/>
      <c r="C767" s="72" t="n"/>
      <c r="D767" s="72" t="n"/>
      <c r="E767" s="72" t="n"/>
      <c r="F767" s="72" t="n"/>
      <c r="G767" s="72" t="n"/>
      <c r="H767" s="72" t="n"/>
      <c r="I767" s="73" t="n"/>
      <c r="J767" s="75">
        <f>IF(B767="","",SUMIFS('Change Orders'!$J$7:$J$1006,'Change Orders'!$E$7:$E$1006,B767,'Change Orders'!$L$7:$L$1006,"Approved"))</f>
        <v/>
      </c>
      <c r="K767" s="76">
        <f>IF(B767="","",I767+J767)</f>
        <v/>
      </c>
      <c r="L767" s="74" t="n"/>
      <c r="M767" s="109" t="n"/>
      <c r="N767" s="109" t="n"/>
      <c r="O767" s="74" t="n"/>
      <c r="P767" s="74" t="n"/>
      <c r="Q767" s="100" t="n"/>
      <c r="R767" s="110" t="n"/>
      <c r="S767" s="75">
        <f>IF(B767="","",SUMIFS('Payments'!$N$6:$N$1005,'Payments'!$B$6:$B$1005,B767))</f>
        <v/>
      </c>
      <c r="T767" s="111">
        <f>IF(OR(B767="",K767=0),"",S767/K767)</f>
        <v/>
      </c>
      <c r="U767" s="78">
        <f>IF(V767="","",IF(V767=2,"⚠️ Paying ahead of work","✓ OK"))</f>
        <v/>
      </c>
      <c r="V767" s="79">
        <f>IF(T767="","",IF(T767-R767&gt;OverpayTol,2,0))</f>
        <v/>
      </c>
      <c r="W767" s="112">
        <f>IF(V767=2,AsOf,"")</f>
        <v/>
      </c>
      <c r="X767" s="79">
        <f>IF(W767="","",1)</f>
        <v/>
      </c>
      <c r="Y767" s="79">
        <f>IF(X767="","","Paying ahead of work: "&amp;B767&amp;" — paid "&amp;ROUND(T767*100,0)&amp;"%, work done "&amp;ROUND(R767*100,0)&amp;"%")</f>
        <v/>
      </c>
      <c r="AA767" s="72" t="n"/>
      <c r="AB767" s="109" t="n"/>
      <c r="AC767" s="113" t="n"/>
      <c r="AD767" s="74" t="n"/>
      <c r="AE767" s="109" t="n"/>
      <c r="AF767" s="74" t="n"/>
      <c r="AG767" s="112">
        <f>IF(AND(AA767&lt;&gt;"",AD767="Yes",AF767&lt;&gt;"Yes",AE767&lt;&gt;""),AE767,"")</f>
        <v/>
      </c>
      <c r="AH767" s="79">
        <f>IF(AG767="","",IF(AG767&lt;AsOf,1,IF(AG767&lt;=AsOf+AlertDays,2,IF(AG767&lt;=AsOf+2*AlertDays,3,""))))</f>
        <v/>
      </c>
      <c r="AI767" s="79">
        <f>IF(AH767="","","Follow up with "&amp;AA767&amp;": "&amp;AC767)</f>
        <v/>
      </c>
    </row>
    <row r="768" ht="20" customHeight="1">
      <c r="B768" s="72" t="n"/>
      <c r="C768" s="72" t="n"/>
      <c r="D768" s="72" t="n"/>
      <c r="E768" s="72" t="n"/>
      <c r="F768" s="72" t="n"/>
      <c r="G768" s="72" t="n"/>
      <c r="H768" s="72" t="n"/>
      <c r="I768" s="73" t="n"/>
      <c r="J768" s="75">
        <f>IF(B768="","",SUMIFS('Change Orders'!$J$7:$J$1006,'Change Orders'!$E$7:$E$1006,B768,'Change Orders'!$L$7:$L$1006,"Approved"))</f>
        <v/>
      </c>
      <c r="K768" s="76">
        <f>IF(B768="","",I768+J768)</f>
        <v/>
      </c>
      <c r="L768" s="74" t="n"/>
      <c r="M768" s="109" t="n"/>
      <c r="N768" s="109" t="n"/>
      <c r="O768" s="74" t="n"/>
      <c r="P768" s="74" t="n"/>
      <c r="Q768" s="100" t="n"/>
      <c r="R768" s="110" t="n"/>
      <c r="S768" s="75">
        <f>IF(B768="","",SUMIFS('Payments'!$N$6:$N$1005,'Payments'!$B$6:$B$1005,B768))</f>
        <v/>
      </c>
      <c r="T768" s="111">
        <f>IF(OR(B768="",K768=0),"",S768/K768)</f>
        <v/>
      </c>
      <c r="U768" s="78">
        <f>IF(V768="","",IF(V768=2,"⚠️ Paying ahead of work","✓ OK"))</f>
        <v/>
      </c>
      <c r="V768" s="79">
        <f>IF(T768="","",IF(T768-R768&gt;OverpayTol,2,0))</f>
        <v/>
      </c>
      <c r="W768" s="112">
        <f>IF(V768=2,AsOf,"")</f>
        <v/>
      </c>
      <c r="X768" s="79">
        <f>IF(W768="","",1)</f>
        <v/>
      </c>
      <c r="Y768" s="79">
        <f>IF(X768="","","Paying ahead of work: "&amp;B768&amp;" — paid "&amp;ROUND(T768*100,0)&amp;"%, work done "&amp;ROUND(R768*100,0)&amp;"%")</f>
        <v/>
      </c>
      <c r="AA768" s="72" t="n"/>
      <c r="AB768" s="109" t="n"/>
      <c r="AC768" s="113" t="n"/>
      <c r="AD768" s="74" t="n"/>
      <c r="AE768" s="109" t="n"/>
      <c r="AF768" s="74" t="n"/>
      <c r="AG768" s="112">
        <f>IF(AND(AA768&lt;&gt;"",AD768="Yes",AF768&lt;&gt;"Yes",AE768&lt;&gt;""),AE768,"")</f>
        <v/>
      </c>
      <c r="AH768" s="79">
        <f>IF(AG768="","",IF(AG768&lt;AsOf,1,IF(AG768&lt;=AsOf+AlertDays,2,IF(AG768&lt;=AsOf+2*AlertDays,3,""))))</f>
        <v/>
      </c>
      <c r="AI768" s="79">
        <f>IF(AH768="","","Follow up with "&amp;AA768&amp;": "&amp;AC768)</f>
        <v/>
      </c>
    </row>
    <row r="769" ht="20" customHeight="1">
      <c r="B769" s="72" t="n"/>
      <c r="C769" s="72" t="n"/>
      <c r="D769" s="72" t="n"/>
      <c r="E769" s="72" t="n"/>
      <c r="F769" s="72" t="n"/>
      <c r="G769" s="72" t="n"/>
      <c r="H769" s="72" t="n"/>
      <c r="I769" s="73" t="n"/>
      <c r="J769" s="75">
        <f>IF(B769="","",SUMIFS('Change Orders'!$J$7:$J$1006,'Change Orders'!$E$7:$E$1006,B769,'Change Orders'!$L$7:$L$1006,"Approved"))</f>
        <v/>
      </c>
      <c r="K769" s="76">
        <f>IF(B769="","",I769+J769)</f>
        <v/>
      </c>
      <c r="L769" s="74" t="n"/>
      <c r="M769" s="109" t="n"/>
      <c r="N769" s="109" t="n"/>
      <c r="O769" s="74" t="n"/>
      <c r="P769" s="74" t="n"/>
      <c r="Q769" s="100" t="n"/>
      <c r="R769" s="110" t="n"/>
      <c r="S769" s="75">
        <f>IF(B769="","",SUMIFS('Payments'!$N$6:$N$1005,'Payments'!$B$6:$B$1005,B769))</f>
        <v/>
      </c>
      <c r="T769" s="111">
        <f>IF(OR(B769="",K769=0),"",S769/K769)</f>
        <v/>
      </c>
      <c r="U769" s="78">
        <f>IF(V769="","",IF(V769=2,"⚠️ Paying ahead of work","✓ OK"))</f>
        <v/>
      </c>
      <c r="V769" s="79">
        <f>IF(T769="","",IF(T769-R769&gt;OverpayTol,2,0))</f>
        <v/>
      </c>
      <c r="W769" s="112">
        <f>IF(V769=2,AsOf,"")</f>
        <v/>
      </c>
      <c r="X769" s="79">
        <f>IF(W769="","",1)</f>
        <v/>
      </c>
      <c r="Y769" s="79">
        <f>IF(X769="","","Paying ahead of work: "&amp;B769&amp;" — paid "&amp;ROUND(T769*100,0)&amp;"%, work done "&amp;ROUND(R769*100,0)&amp;"%")</f>
        <v/>
      </c>
      <c r="AA769" s="72" t="n"/>
      <c r="AB769" s="109" t="n"/>
      <c r="AC769" s="113" t="n"/>
      <c r="AD769" s="74" t="n"/>
      <c r="AE769" s="109" t="n"/>
      <c r="AF769" s="74" t="n"/>
      <c r="AG769" s="112">
        <f>IF(AND(AA769&lt;&gt;"",AD769="Yes",AF769&lt;&gt;"Yes",AE769&lt;&gt;""),AE769,"")</f>
        <v/>
      </c>
      <c r="AH769" s="79">
        <f>IF(AG769="","",IF(AG769&lt;AsOf,1,IF(AG769&lt;=AsOf+AlertDays,2,IF(AG769&lt;=AsOf+2*AlertDays,3,""))))</f>
        <v/>
      </c>
      <c r="AI769" s="79">
        <f>IF(AH769="","","Follow up with "&amp;AA769&amp;": "&amp;AC769)</f>
        <v/>
      </c>
    </row>
    <row r="770" ht="20" customHeight="1">
      <c r="B770" s="72" t="n"/>
      <c r="C770" s="72" t="n"/>
      <c r="D770" s="72" t="n"/>
      <c r="E770" s="72" t="n"/>
      <c r="F770" s="72" t="n"/>
      <c r="G770" s="72" t="n"/>
      <c r="H770" s="72" t="n"/>
      <c r="I770" s="73" t="n"/>
      <c r="J770" s="75">
        <f>IF(B770="","",SUMIFS('Change Orders'!$J$7:$J$1006,'Change Orders'!$E$7:$E$1006,B770,'Change Orders'!$L$7:$L$1006,"Approved"))</f>
        <v/>
      </c>
      <c r="K770" s="76">
        <f>IF(B770="","",I770+J770)</f>
        <v/>
      </c>
      <c r="L770" s="74" t="n"/>
      <c r="M770" s="109" t="n"/>
      <c r="N770" s="109" t="n"/>
      <c r="O770" s="74" t="n"/>
      <c r="P770" s="74" t="n"/>
      <c r="Q770" s="100" t="n"/>
      <c r="R770" s="110" t="n"/>
      <c r="S770" s="75">
        <f>IF(B770="","",SUMIFS('Payments'!$N$6:$N$1005,'Payments'!$B$6:$B$1005,B770))</f>
        <v/>
      </c>
      <c r="T770" s="111">
        <f>IF(OR(B770="",K770=0),"",S770/K770)</f>
        <v/>
      </c>
      <c r="U770" s="78">
        <f>IF(V770="","",IF(V770=2,"⚠️ Paying ahead of work","✓ OK"))</f>
        <v/>
      </c>
      <c r="V770" s="79">
        <f>IF(T770="","",IF(T770-R770&gt;OverpayTol,2,0))</f>
        <v/>
      </c>
      <c r="W770" s="112">
        <f>IF(V770=2,AsOf,"")</f>
        <v/>
      </c>
      <c r="X770" s="79">
        <f>IF(W770="","",1)</f>
        <v/>
      </c>
      <c r="Y770" s="79">
        <f>IF(X770="","","Paying ahead of work: "&amp;B770&amp;" — paid "&amp;ROUND(T770*100,0)&amp;"%, work done "&amp;ROUND(R770*100,0)&amp;"%")</f>
        <v/>
      </c>
      <c r="AA770" s="72" t="n"/>
      <c r="AB770" s="109" t="n"/>
      <c r="AC770" s="113" t="n"/>
      <c r="AD770" s="74" t="n"/>
      <c r="AE770" s="109" t="n"/>
      <c r="AF770" s="74" t="n"/>
      <c r="AG770" s="112">
        <f>IF(AND(AA770&lt;&gt;"",AD770="Yes",AF770&lt;&gt;"Yes",AE770&lt;&gt;""),AE770,"")</f>
        <v/>
      </c>
      <c r="AH770" s="79">
        <f>IF(AG770="","",IF(AG770&lt;AsOf,1,IF(AG770&lt;=AsOf+AlertDays,2,IF(AG770&lt;=AsOf+2*AlertDays,3,""))))</f>
        <v/>
      </c>
      <c r="AI770" s="79">
        <f>IF(AH770="","","Follow up with "&amp;AA770&amp;": "&amp;AC770)</f>
        <v/>
      </c>
    </row>
    <row r="771" ht="20" customHeight="1">
      <c r="B771" s="72" t="n"/>
      <c r="C771" s="72" t="n"/>
      <c r="D771" s="72" t="n"/>
      <c r="E771" s="72" t="n"/>
      <c r="F771" s="72" t="n"/>
      <c r="G771" s="72" t="n"/>
      <c r="H771" s="72" t="n"/>
      <c r="I771" s="73" t="n"/>
      <c r="J771" s="75">
        <f>IF(B771="","",SUMIFS('Change Orders'!$J$7:$J$1006,'Change Orders'!$E$7:$E$1006,B771,'Change Orders'!$L$7:$L$1006,"Approved"))</f>
        <v/>
      </c>
      <c r="K771" s="76">
        <f>IF(B771="","",I771+J771)</f>
        <v/>
      </c>
      <c r="L771" s="74" t="n"/>
      <c r="M771" s="109" t="n"/>
      <c r="N771" s="109" t="n"/>
      <c r="O771" s="74" t="n"/>
      <c r="P771" s="74" t="n"/>
      <c r="Q771" s="100" t="n"/>
      <c r="R771" s="110" t="n"/>
      <c r="S771" s="75">
        <f>IF(B771="","",SUMIFS('Payments'!$N$6:$N$1005,'Payments'!$B$6:$B$1005,B771))</f>
        <v/>
      </c>
      <c r="T771" s="111">
        <f>IF(OR(B771="",K771=0),"",S771/K771)</f>
        <v/>
      </c>
      <c r="U771" s="78">
        <f>IF(V771="","",IF(V771=2,"⚠️ Paying ahead of work","✓ OK"))</f>
        <v/>
      </c>
      <c r="V771" s="79">
        <f>IF(T771="","",IF(T771-R771&gt;OverpayTol,2,0))</f>
        <v/>
      </c>
      <c r="W771" s="112">
        <f>IF(V771=2,AsOf,"")</f>
        <v/>
      </c>
      <c r="X771" s="79">
        <f>IF(W771="","",1)</f>
        <v/>
      </c>
      <c r="Y771" s="79">
        <f>IF(X771="","","Paying ahead of work: "&amp;B771&amp;" — paid "&amp;ROUND(T771*100,0)&amp;"%, work done "&amp;ROUND(R771*100,0)&amp;"%")</f>
        <v/>
      </c>
      <c r="AA771" s="72" t="n"/>
      <c r="AB771" s="109" t="n"/>
      <c r="AC771" s="113" t="n"/>
      <c r="AD771" s="74" t="n"/>
      <c r="AE771" s="109" t="n"/>
      <c r="AF771" s="74" t="n"/>
      <c r="AG771" s="112">
        <f>IF(AND(AA771&lt;&gt;"",AD771="Yes",AF771&lt;&gt;"Yes",AE771&lt;&gt;""),AE771,"")</f>
        <v/>
      </c>
      <c r="AH771" s="79">
        <f>IF(AG771="","",IF(AG771&lt;AsOf,1,IF(AG771&lt;=AsOf+AlertDays,2,IF(AG771&lt;=AsOf+2*AlertDays,3,""))))</f>
        <v/>
      </c>
      <c r="AI771" s="79">
        <f>IF(AH771="","","Follow up with "&amp;AA771&amp;": "&amp;AC771)</f>
        <v/>
      </c>
    </row>
    <row r="772" ht="20" customHeight="1">
      <c r="B772" s="72" t="n"/>
      <c r="C772" s="72" t="n"/>
      <c r="D772" s="72" t="n"/>
      <c r="E772" s="72" t="n"/>
      <c r="F772" s="72" t="n"/>
      <c r="G772" s="72" t="n"/>
      <c r="H772" s="72" t="n"/>
      <c r="I772" s="73" t="n"/>
      <c r="J772" s="75">
        <f>IF(B772="","",SUMIFS('Change Orders'!$J$7:$J$1006,'Change Orders'!$E$7:$E$1006,B772,'Change Orders'!$L$7:$L$1006,"Approved"))</f>
        <v/>
      </c>
      <c r="K772" s="76">
        <f>IF(B772="","",I772+J772)</f>
        <v/>
      </c>
      <c r="L772" s="74" t="n"/>
      <c r="M772" s="109" t="n"/>
      <c r="N772" s="109" t="n"/>
      <c r="O772" s="74" t="n"/>
      <c r="P772" s="74" t="n"/>
      <c r="Q772" s="100" t="n"/>
      <c r="R772" s="110" t="n"/>
      <c r="S772" s="75">
        <f>IF(B772="","",SUMIFS('Payments'!$N$6:$N$1005,'Payments'!$B$6:$B$1005,B772))</f>
        <v/>
      </c>
      <c r="T772" s="111">
        <f>IF(OR(B772="",K772=0),"",S772/K772)</f>
        <v/>
      </c>
      <c r="U772" s="78">
        <f>IF(V772="","",IF(V772=2,"⚠️ Paying ahead of work","✓ OK"))</f>
        <v/>
      </c>
      <c r="V772" s="79">
        <f>IF(T772="","",IF(T772-R772&gt;OverpayTol,2,0))</f>
        <v/>
      </c>
      <c r="W772" s="112">
        <f>IF(V772=2,AsOf,"")</f>
        <v/>
      </c>
      <c r="X772" s="79">
        <f>IF(W772="","",1)</f>
        <v/>
      </c>
      <c r="Y772" s="79">
        <f>IF(X772="","","Paying ahead of work: "&amp;B772&amp;" — paid "&amp;ROUND(T772*100,0)&amp;"%, work done "&amp;ROUND(R772*100,0)&amp;"%")</f>
        <v/>
      </c>
      <c r="AA772" s="72" t="n"/>
      <c r="AB772" s="109" t="n"/>
      <c r="AC772" s="113" t="n"/>
      <c r="AD772" s="74" t="n"/>
      <c r="AE772" s="109" t="n"/>
      <c r="AF772" s="74" t="n"/>
      <c r="AG772" s="112">
        <f>IF(AND(AA772&lt;&gt;"",AD772="Yes",AF772&lt;&gt;"Yes",AE772&lt;&gt;""),AE772,"")</f>
        <v/>
      </c>
      <c r="AH772" s="79">
        <f>IF(AG772="","",IF(AG772&lt;AsOf,1,IF(AG772&lt;=AsOf+AlertDays,2,IF(AG772&lt;=AsOf+2*AlertDays,3,""))))</f>
        <v/>
      </c>
      <c r="AI772" s="79">
        <f>IF(AH772="","","Follow up with "&amp;AA772&amp;": "&amp;AC772)</f>
        <v/>
      </c>
    </row>
    <row r="773" ht="20" customHeight="1">
      <c r="B773" s="72" t="n"/>
      <c r="C773" s="72" t="n"/>
      <c r="D773" s="72" t="n"/>
      <c r="E773" s="72" t="n"/>
      <c r="F773" s="72" t="n"/>
      <c r="G773" s="72" t="n"/>
      <c r="H773" s="72" t="n"/>
      <c r="I773" s="73" t="n"/>
      <c r="J773" s="75">
        <f>IF(B773="","",SUMIFS('Change Orders'!$J$7:$J$1006,'Change Orders'!$E$7:$E$1006,B773,'Change Orders'!$L$7:$L$1006,"Approved"))</f>
        <v/>
      </c>
      <c r="K773" s="76">
        <f>IF(B773="","",I773+J773)</f>
        <v/>
      </c>
      <c r="L773" s="74" t="n"/>
      <c r="M773" s="109" t="n"/>
      <c r="N773" s="109" t="n"/>
      <c r="O773" s="74" t="n"/>
      <c r="P773" s="74" t="n"/>
      <c r="Q773" s="100" t="n"/>
      <c r="R773" s="110" t="n"/>
      <c r="S773" s="75">
        <f>IF(B773="","",SUMIFS('Payments'!$N$6:$N$1005,'Payments'!$B$6:$B$1005,B773))</f>
        <v/>
      </c>
      <c r="T773" s="111">
        <f>IF(OR(B773="",K773=0),"",S773/K773)</f>
        <v/>
      </c>
      <c r="U773" s="78">
        <f>IF(V773="","",IF(V773=2,"⚠️ Paying ahead of work","✓ OK"))</f>
        <v/>
      </c>
      <c r="V773" s="79">
        <f>IF(T773="","",IF(T773-R773&gt;OverpayTol,2,0))</f>
        <v/>
      </c>
      <c r="W773" s="112">
        <f>IF(V773=2,AsOf,"")</f>
        <v/>
      </c>
      <c r="X773" s="79">
        <f>IF(W773="","",1)</f>
        <v/>
      </c>
      <c r="Y773" s="79">
        <f>IF(X773="","","Paying ahead of work: "&amp;B773&amp;" — paid "&amp;ROUND(T773*100,0)&amp;"%, work done "&amp;ROUND(R773*100,0)&amp;"%")</f>
        <v/>
      </c>
      <c r="AA773" s="72" t="n"/>
      <c r="AB773" s="109" t="n"/>
      <c r="AC773" s="113" t="n"/>
      <c r="AD773" s="74" t="n"/>
      <c r="AE773" s="109" t="n"/>
      <c r="AF773" s="74" t="n"/>
      <c r="AG773" s="112">
        <f>IF(AND(AA773&lt;&gt;"",AD773="Yes",AF773&lt;&gt;"Yes",AE773&lt;&gt;""),AE773,"")</f>
        <v/>
      </c>
      <c r="AH773" s="79">
        <f>IF(AG773="","",IF(AG773&lt;AsOf,1,IF(AG773&lt;=AsOf+AlertDays,2,IF(AG773&lt;=AsOf+2*AlertDays,3,""))))</f>
        <v/>
      </c>
      <c r="AI773" s="79">
        <f>IF(AH773="","","Follow up with "&amp;AA773&amp;": "&amp;AC773)</f>
        <v/>
      </c>
    </row>
    <row r="774" ht="20" customHeight="1">
      <c r="B774" s="72" t="n"/>
      <c r="C774" s="72" t="n"/>
      <c r="D774" s="72" t="n"/>
      <c r="E774" s="72" t="n"/>
      <c r="F774" s="72" t="n"/>
      <c r="G774" s="72" t="n"/>
      <c r="H774" s="72" t="n"/>
      <c r="I774" s="73" t="n"/>
      <c r="J774" s="75">
        <f>IF(B774="","",SUMIFS('Change Orders'!$J$7:$J$1006,'Change Orders'!$E$7:$E$1006,B774,'Change Orders'!$L$7:$L$1006,"Approved"))</f>
        <v/>
      </c>
      <c r="K774" s="76">
        <f>IF(B774="","",I774+J774)</f>
        <v/>
      </c>
      <c r="L774" s="74" t="n"/>
      <c r="M774" s="109" t="n"/>
      <c r="N774" s="109" t="n"/>
      <c r="O774" s="74" t="n"/>
      <c r="P774" s="74" t="n"/>
      <c r="Q774" s="100" t="n"/>
      <c r="R774" s="110" t="n"/>
      <c r="S774" s="75">
        <f>IF(B774="","",SUMIFS('Payments'!$N$6:$N$1005,'Payments'!$B$6:$B$1005,B774))</f>
        <v/>
      </c>
      <c r="T774" s="111">
        <f>IF(OR(B774="",K774=0),"",S774/K774)</f>
        <v/>
      </c>
      <c r="U774" s="78">
        <f>IF(V774="","",IF(V774=2,"⚠️ Paying ahead of work","✓ OK"))</f>
        <v/>
      </c>
      <c r="V774" s="79">
        <f>IF(T774="","",IF(T774-R774&gt;OverpayTol,2,0))</f>
        <v/>
      </c>
      <c r="W774" s="112">
        <f>IF(V774=2,AsOf,"")</f>
        <v/>
      </c>
      <c r="X774" s="79">
        <f>IF(W774="","",1)</f>
        <v/>
      </c>
      <c r="Y774" s="79">
        <f>IF(X774="","","Paying ahead of work: "&amp;B774&amp;" — paid "&amp;ROUND(T774*100,0)&amp;"%, work done "&amp;ROUND(R774*100,0)&amp;"%")</f>
        <v/>
      </c>
      <c r="AA774" s="72" t="n"/>
      <c r="AB774" s="109" t="n"/>
      <c r="AC774" s="113" t="n"/>
      <c r="AD774" s="74" t="n"/>
      <c r="AE774" s="109" t="n"/>
      <c r="AF774" s="74" t="n"/>
      <c r="AG774" s="112">
        <f>IF(AND(AA774&lt;&gt;"",AD774="Yes",AF774&lt;&gt;"Yes",AE774&lt;&gt;""),AE774,"")</f>
        <v/>
      </c>
      <c r="AH774" s="79">
        <f>IF(AG774="","",IF(AG774&lt;AsOf,1,IF(AG774&lt;=AsOf+AlertDays,2,IF(AG774&lt;=AsOf+2*AlertDays,3,""))))</f>
        <v/>
      </c>
      <c r="AI774" s="79">
        <f>IF(AH774="","","Follow up with "&amp;AA774&amp;": "&amp;AC774)</f>
        <v/>
      </c>
    </row>
    <row r="775" ht="20" customHeight="1">
      <c r="B775" s="72" t="n"/>
      <c r="C775" s="72" t="n"/>
      <c r="D775" s="72" t="n"/>
      <c r="E775" s="72" t="n"/>
      <c r="F775" s="72" t="n"/>
      <c r="G775" s="72" t="n"/>
      <c r="H775" s="72" t="n"/>
      <c r="I775" s="73" t="n"/>
      <c r="J775" s="75">
        <f>IF(B775="","",SUMIFS('Change Orders'!$J$7:$J$1006,'Change Orders'!$E$7:$E$1006,B775,'Change Orders'!$L$7:$L$1006,"Approved"))</f>
        <v/>
      </c>
      <c r="K775" s="76">
        <f>IF(B775="","",I775+J775)</f>
        <v/>
      </c>
      <c r="L775" s="74" t="n"/>
      <c r="M775" s="109" t="n"/>
      <c r="N775" s="109" t="n"/>
      <c r="O775" s="74" t="n"/>
      <c r="P775" s="74" t="n"/>
      <c r="Q775" s="100" t="n"/>
      <c r="R775" s="110" t="n"/>
      <c r="S775" s="75">
        <f>IF(B775="","",SUMIFS('Payments'!$N$6:$N$1005,'Payments'!$B$6:$B$1005,B775))</f>
        <v/>
      </c>
      <c r="T775" s="111">
        <f>IF(OR(B775="",K775=0),"",S775/K775)</f>
        <v/>
      </c>
      <c r="U775" s="78">
        <f>IF(V775="","",IF(V775=2,"⚠️ Paying ahead of work","✓ OK"))</f>
        <v/>
      </c>
      <c r="V775" s="79">
        <f>IF(T775="","",IF(T775-R775&gt;OverpayTol,2,0))</f>
        <v/>
      </c>
      <c r="W775" s="112">
        <f>IF(V775=2,AsOf,"")</f>
        <v/>
      </c>
      <c r="X775" s="79">
        <f>IF(W775="","",1)</f>
        <v/>
      </c>
      <c r="Y775" s="79">
        <f>IF(X775="","","Paying ahead of work: "&amp;B775&amp;" — paid "&amp;ROUND(T775*100,0)&amp;"%, work done "&amp;ROUND(R775*100,0)&amp;"%")</f>
        <v/>
      </c>
      <c r="AA775" s="72" t="n"/>
      <c r="AB775" s="109" t="n"/>
      <c r="AC775" s="113" t="n"/>
      <c r="AD775" s="74" t="n"/>
      <c r="AE775" s="109" t="n"/>
      <c r="AF775" s="74" t="n"/>
      <c r="AG775" s="112">
        <f>IF(AND(AA775&lt;&gt;"",AD775="Yes",AF775&lt;&gt;"Yes",AE775&lt;&gt;""),AE775,"")</f>
        <v/>
      </c>
      <c r="AH775" s="79">
        <f>IF(AG775="","",IF(AG775&lt;AsOf,1,IF(AG775&lt;=AsOf+AlertDays,2,IF(AG775&lt;=AsOf+2*AlertDays,3,""))))</f>
        <v/>
      </c>
      <c r="AI775" s="79">
        <f>IF(AH775="","","Follow up with "&amp;AA775&amp;": "&amp;AC775)</f>
        <v/>
      </c>
    </row>
    <row r="776" ht="20" customHeight="1">
      <c r="B776" s="72" t="n"/>
      <c r="C776" s="72" t="n"/>
      <c r="D776" s="72" t="n"/>
      <c r="E776" s="72" t="n"/>
      <c r="F776" s="72" t="n"/>
      <c r="G776" s="72" t="n"/>
      <c r="H776" s="72" t="n"/>
      <c r="I776" s="73" t="n"/>
      <c r="J776" s="75">
        <f>IF(B776="","",SUMIFS('Change Orders'!$J$7:$J$1006,'Change Orders'!$E$7:$E$1006,B776,'Change Orders'!$L$7:$L$1006,"Approved"))</f>
        <v/>
      </c>
      <c r="K776" s="76">
        <f>IF(B776="","",I776+J776)</f>
        <v/>
      </c>
      <c r="L776" s="74" t="n"/>
      <c r="M776" s="109" t="n"/>
      <c r="N776" s="109" t="n"/>
      <c r="O776" s="74" t="n"/>
      <c r="P776" s="74" t="n"/>
      <c r="Q776" s="100" t="n"/>
      <c r="R776" s="110" t="n"/>
      <c r="S776" s="75">
        <f>IF(B776="","",SUMIFS('Payments'!$N$6:$N$1005,'Payments'!$B$6:$B$1005,B776))</f>
        <v/>
      </c>
      <c r="T776" s="111">
        <f>IF(OR(B776="",K776=0),"",S776/K776)</f>
        <v/>
      </c>
      <c r="U776" s="78">
        <f>IF(V776="","",IF(V776=2,"⚠️ Paying ahead of work","✓ OK"))</f>
        <v/>
      </c>
      <c r="V776" s="79">
        <f>IF(T776="","",IF(T776-R776&gt;OverpayTol,2,0))</f>
        <v/>
      </c>
      <c r="W776" s="112">
        <f>IF(V776=2,AsOf,"")</f>
        <v/>
      </c>
      <c r="X776" s="79">
        <f>IF(W776="","",1)</f>
        <v/>
      </c>
      <c r="Y776" s="79">
        <f>IF(X776="","","Paying ahead of work: "&amp;B776&amp;" — paid "&amp;ROUND(T776*100,0)&amp;"%, work done "&amp;ROUND(R776*100,0)&amp;"%")</f>
        <v/>
      </c>
      <c r="AA776" s="72" t="n"/>
      <c r="AB776" s="109" t="n"/>
      <c r="AC776" s="113" t="n"/>
      <c r="AD776" s="74" t="n"/>
      <c r="AE776" s="109" t="n"/>
      <c r="AF776" s="74" t="n"/>
      <c r="AG776" s="112">
        <f>IF(AND(AA776&lt;&gt;"",AD776="Yes",AF776&lt;&gt;"Yes",AE776&lt;&gt;""),AE776,"")</f>
        <v/>
      </c>
      <c r="AH776" s="79">
        <f>IF(AG776="","",IF(AG776&lt;AsOf,1,IF(AG776&lt;=AsOf+AlertDays,2,IF(AG776&lt;=AsOf+2*AlertDays,3,""))))</f>
        <v/>
      </c>
      <c r="AI776" s="79">
        <f>IF(AH776="","","Follow up with "&amp;AA776&amp;": "&amp;AC776)</f>
        <v/>
      </c>
    </row>
    <row r="777" ht="20" customHeight="1">
      <c r="B777" s="72" t="n"/>
      <c r="C777" s="72" t="n"/>
      <c r="D777" s="72" t="n"/>
      <c r="E777" s="72" t="n"/>
      <c r="F777" s="72" t="n"/>
      <c r="G777" s="72" t="n"/>
      <c r="H777" s="72" t="n"/>
      <c r="I777" s="73" t="n"/>
      <c r="J777" s="75">
        <f>IF(B777="","",SUMIFS('Change Orders'!$J$7:$J$1006,'Change Orders'!$E$7:$E$1006,B777,'Change Orders'!$L$7:$L$1006,"Approved"))</f>
        <v/>
      </c>
      <c r="K777" s="76">
        <f>IF(B777="","",I777+J777)</f>
        <v/>
      </c>
      <c r="L777" s="74" t="n"/>
      <c r="M777" s="109" t="n"/>
      <c r="N777" s="109" t="n"/>
      <c r="O777" s="74" t="n"/>
      <c r="P777" s="74" t="n"/>
      <c r="Q777" s="100" t="n"/>
      <c r="R777" s="110" t="n"/>
      <c r="S777" s="75">
        <f>IF(B777="","",SUMIFS('Payments'!$N$6:$N$1005,'Payments'!$B$6:$B$1005,B777))</f>
        <v/>
      </c>
      <c r="T777" s="111">
        <f>IF(OR(B777="",K777=0),"",S777/K777)</f>
        <v/>
      </c>
      <c r="U777" s="78">
        <f>IF(V777="","",IF(V777=2,"⚠️ Paying ahead of work","✓ OK"))</f>
        <v/>
      </c>
      <c r="V777" s="79">
        <f>IF(T777="","",IF(T777-R777&gt;OverpayTol,2,0))</f>
        <v/>
      </c>
      <c r="W777" s="112">
        <f>IF(V777=2,AsOf,"")</f>
        <v/>
      </c>
      <c r="X777" s="79">
        <f>IF(W777="","",1)</f>
        <v/>
      </c>
      <c r="Y777" s="79">
        <f>IF(X777="","","Paying ahead of work: "&amp;B777&amp;" — paid "&amp;ROUND(T777*100,0)&amp;"%, work done "&amp;ROUND(R777*100,0)&amp;"%")</f>
        <v/>
      </c>
      <c r="AA777" s="72" t="n"/>
      <c r="AB777" s="109" t="n"/>
      <c r="AC777" s="113" t="n"/>
      <c r="AD777" s="74" t="n"/>
      <c r="AE777" s="109" t="n"/>
      <c r="AF777" s="74" t="n"/>
      <c r="AG777" s="112">
        <f>IF(AND(AA777&lt;&gt;"",AD777="Yes",AF777&lt;&gt;"Yes",AE777&lt;&gt;""),AE777,"")</f>
        <v/>
      </c>
      <c r="AH777" s="79">
        <f>IF(AG777="","",IF(AG777&lt;AsOf,1,IF(AG777&lt;=AsOf+AlertDays,2,IF(AG777&lt;=AsOf+2*AlertDays,3,""))))</f>
        <v/>
      </c>
      <c r="AI777" s="79">
        <f>IF(AH777="","","Follow up with "&amp;AA777&amp;": "&amp;AC777)</f>
        <v/>
      </c>
    </row>
    <row r="778" ht="20" customHeight="1">
      <c r="B778" s="72" t="n"/>
      <c r="C778" s="72" t="n"/>
      <c r="D778" s="72" t="n"/>
      <c r="E778" s="72" t="n"/>
      <c r="F778" s="72" t="n"/>
      <c r="G778" s="72" t="n"/>
      <c r="H778" s="72" t="n"/>
      <c r="I778" s="73" t="n"/>
      <c r="J778" s="75">
        <f>IF(B778="","",SUMIFS('Change Orders'!$J$7:$J$1006,'Change Orders'!$E$7:$E$1006,B778,'Change Orders'!$L$7:$L$1006,"Approved"))</f>
        <v/>
      </c>
      <c r="K778" s="76">
        <f>IF(B778="","",I778+J778)</f>
        <v/>
      </c>
      <c r="L778" s="74" t="n"/>
      <c r="M778" s="109" t="n"/>
      <c r="N778" s="109" t="n"/>
      <c r="O778" s="74" t="n"/>
      <c r="P778" s="74" t="n"/>
      <c r="Q778" s="100" t="n"/>
      <c r="R778" s="110" t="n"/>
      <c r="S778" s="75">
        <f>IF(B778="","",SUMIFS('Payments'!$N$6:$N$1005,'Payments'!$B$6:$B$1005,B778))</f>
        <v/>
      </c>
      <c r="T778" s="111">
        <f>IF(OR(B778="",K778=0),"",S778/K778)</f>
        <v/>
      </c>
      <c r="U778" s="78">
        <f>IF(V778="","",IF(V778=2,"⚠️ Paying ahead of work","✓ OK"))</f>
        <v/>
      </c>
      <c r="V778" s="79">
        <f>IF(T778="","",IF(T778-R778&gt;OverpayTol,2,0))</f>
        <v/>
      </c>
      <c r="W778" s="112">
        <f>IF(V778=2,AsOf,"")</f>
        <v/>
      </c>
      <c r="X778" s="79">
        <f>IF(W778="","",1)</f>
        <v/>
      </c>
      <c r="Y778" s="79">
        <f>IF(X778="","","Paying ahead of work: "&amp;B778&amp;" — paid "&amp;ROUND(T778*100,0)&amp;"%, work done "&amp;ROUND(R778*100,0)&amp;"%")</f>
        <v/>
      </c>
      <c r="AA778" s="72" t="n"/>
      <c r="AB778" s="109" t="n"/>
      <c r="AC778" s="113" t="n"/>
      <c r="AD778" s="74" t="n"/>
      <c r="AE778" s="109" t="n"/>
      <c r="AF778" s="74" t="n"/>
      <c r="AG778" s="112">
        <f>IF(AND(AA778&lt;&gt;"",AD778="Yes",AF778&lt;&gt;"Yes",AE778&lt;&gt;""),AE778,"")</f>
        <v/>
      </c>
      <c r="AH778" s="79">
        <f>IF(AG778="","",IF(AG778&lt;AsOf,1,IF(AG778&lt;=AsOf+AlertDays,2,IF(AG778&lt;=AsOf+2*AlertDays,3,""))))</f>
        <v/>
      </c>
      <c r="AI778" s="79">
        <f>IF(AH778="","","Follow up with "&amp;AA778&amp;": "&amp;AC778)</f>
        <v/>
      </c>
    </row>
    <row r="779" ht="20" customHeight="1">
      <c r="B779" s="72" t="n"/>
      <c r="C779" s="72" t="n"/>
      <c r="D779" s="72" t="n"/>
      <c r="E779" s="72" t="n"/>
      <c r="F779" s="72" t="n"/>
      <c r="G779" s="72" t="n"/>
      <c r="H779" s="72" t="n"/>
      <c r="I779" s="73" t="n"/>
      <c r="J779" s="75">
        <f>IF(B779="","",SUMIFS('Change Orders'!$J$7:$J$1006,'Change Orders'!$E$7:$E$1006,B779,'Change Orders'!$L$7:$L$1006,"Approved"))</f>
        <v/>
      </c>
      <c r="K779" s="76">
        <f>IF(B779="","",I779+J779)</f>
        <v/>
      </c>
      <c r="L779" s="74" t="n"/>
      <c r="M779" s="109" t="n"/>
      <c r="N779" s="109" t="n"/>
      <c r="O779" s="74" t="n"/>
      <c r="P779" s="74" t="n"/>
      <c r="Q779" s="100" t="n"/>
      <c r="R779" s="110" t="n"/>
      <c r="S779" s="75">
        <f>IF(B779="","",SUMIFS('Payments'!$N$6:$N$1005,'Payments'!$B$6:$B$1005,B779))</f>
        <v/>
      </c>
      <c r="T779" s="111">
        <f>IF(OR(B779="",K779=0),"",S779/K779)</f>
        <v/>
      </c>
      <c r="U779" s="78">
        <f>IF(V779="","",IF(V779=2,"⚠️ Paying ahead of work","✓ OK"))</f>
        <v/>
      </c>
      <c r="V779" s="79">
        <f>IF(T779="","",IF(T779-R779&gt;OverpayTol,2,0))</f>
        <v/>
      </c>
      <c r="W779" s="112">
        <f>IF(V779=2,AsOf,"")</f>
        <v/>
      </c>
      <c r="X779" s="79">
        <f>IF(W779="","",1)</f>
        <v/>
      </c>
      <c r="Y779" s="79">
        <f>IF(X779="","","Paying ahead of work: "&amp;B779&amp;" — paid "&amp;ROUND(T779*100,0)&amp;"%, work done "&amp;ROUND(R779*100,0)&amp;"%")</f>
        <v/>
      </c>
      <c r="AA779" s="72" t="n"/>
      <c r="AB779" s="109" t="n"/>
      <c r="AC779" s="113" t="n"/>
      <c r="AD779" s="74" t="n"/>
      <c r="AE779" s="109" t="n"/>
      <c r="AF779" s="74" t="n"/>
      <c r="AG779" s="112">
        <f>IF(AND(AA779&lt;&gt;"",AD779="Yes",AF779&lt;&gt;"Yes",AE779&lt;&gt;""),AE779,"")</f>
        <v/>
      </c>
      <c r="AH779" s="79">
        <f>IF(AG779="","",IF(AG779&lt;AsOf,1,IF(AG779&lt;=AsOf+AlertDays,2,IF(AG779&lt;=AsOf+2*AlertDays,3,""))))</f>
        <v/>
      </c>
      <c r="AI779" s="79">
        <f>IF(AH779="","","Follow up with "&amp;AA779&amp;": "&amp;AC779)</f>
        <v/>
      </c>
    </row>
    <row r="780" ht="20" customHeight="1">
      <c r="B780" s="72" t="n"/>
      <c r="C780" s="72" t="n"/>
      <c r="D780" s="72" t="n"/>
      <c r="E780" s="72" t="n"/>
      <c r="F780" s="72" t="n"/>
      <c r="G780" s="72" t="n"/>
      <c r="H780" s="72" t="n"/>
      <c r="I780" s="73" t="n"/>
      <c r="J780" s="75">
        <f>IF(B780="","",SUMIFS('Change Orders'!$J$7:$J$1006,'Change Orders'!$E$7:$E$1006,B780,'Change Orders'!$L$7:$L$1006,"Approved"))</f>
        <v/>
      </c>
      <c r="K780" s="76">
        <f>IF(B780="","",I780+J780)</f>
        <v/>
      </c>
      <c r="L780" s="74" t="n"/>
      <c r="M780" s="109" t="n"/>
      <c r="N780" s="109" t="n"/>
      <c r="O780" s="74" t="n"/>
      <c r="P780" s="74" t="n"/>
      <c r="Q780" s="100" t="n"/>
      <c r="R780" s="110" t="n"/>
      <c r="S780" s="75">
        <f>IF(B780="","",SUMIFS('Payments'!$N$6:$N$1005,'Payments'!$B$6:$B$1005,B780))</f>
        <v/>
      </c>
      <c r="T780" s="111">
        <f>IF(OR(B780="",K780=0),"",S780/K780)</f>
        <v/>
      </c>
      <c r="U780" s="78">
        <f>IF(V780="","",IF(V780=2,"⚠️ Paying ahead of work","✓ OK"))</f>
        <v/>
      </c>
      <c r="V780" s="79">
        <f>IF(T780="","",IF(T780-R780&gt;OverpayTol,2,0))</f>
        <v/>
      </c>
      <c r="W780" s="112">
        <f>IF(V780=2,AsOf,"")</f>
        <v/>
      </c>
      <c r="X780" s="79">
        <f>IF(W780="","",1)</f>
        <v/>
      </c>
      <c r="Y780" s="79">
        <f>IF(X780="","","Paying ahead of work: "&amp;B780&amp;" — paid "&amp;ROUND(T780*100,0)&amp;"%, work done "&amp;ROUND(R780*100,0)&amp;"%")</f>
        <v/>
      </c>
      <c r="AA780" s="72" t="n"/>
      <c r="AB780" s="109" t="n"/>
      <c r="AC780" s="113" t="n"/>
      <c r="AD780" s="74" t="n"/>
      <c r="AE780" s="109" t="n"/>
      <c r="AF780" s="74" t="n"/>
      <c r="AG780" s="112">
        <f>IF(AND(AA780&lt;&gt;"",AD780="Yes",AF780&lt;&gt;"Yes",AE780&lt;&gt;""),AE780,"")</f>
        <v/>
      </c>
      <c r="AH780" s="79">
        <f>IF(AG780="","",IF(AG780&lt;AsOf,1,IF(AG780&lt;=AsOf+AlertDays,2,IF(AG780&lt;=AsOf+2*AlertDays,3,""))))</f>
        <v/>
      </c>
      <c r="AI780" s="79">
        <f>IF(AH780="","","Follow up with "&amp;AA780&amp;": "&amp;AC780)</f>
        <v/>
      </c>
    </row>
    <row r="781" ht="20" customHeight="1">
      <c r="B781" s="72" t="n"/>
      <c r="C781" s="72" t="n"/>
      <c r="D781" s="72" t="n"/>
      <c r="E781" s="72" t="n"/>
      <c r="F781" s="72" t="n"/>
      <c r="G781" s="72" t="n"/>
      <c r="H781" s="72" t="n"/>
      <c r="I781" s="73" t="n"/>
      <c r="J781" s="75">
        <f>IF(B781="","",SUMIFS('Change Orders'!$J$7:$J$1006,'Change Orders'!$E$7:$E$1006,B781,'Change Orders'!$L$7:$L$1006,"Approved"))</f>
        <v/>
      </c>
      <c r="K781" s="76">
        <f>IF(B781="","",I781+J781)</f>
        <v/>
      </c>
      <c r="L781" s="74" t="n"/>
      <c r="M781" s="109" t="n"/>
      <c r="N781" s="109" t="n"/>
      <c r="O781" s="74" t="n"/>
      <c r="P781" s="74" t="n"/>
      <c r="Q781" s="100" t="n"/>
      <c r="R781" s="110" t="n"/>
      <c r="S781" s="75">
        <f>IF(B781="","",SUMIFS('Payments'!$N$6:$N$1005,'Payments'!$B$6:$B$1005,B781))</f>
        <v/>
      </c>
      <c r="T781" s="111">
        <f>IF(OR(B781="",K781=0),"",S781/K781)</f>
        <v/>
      </c>
      <c r="U781" s="78">
        <f>IF(V781="","",IF(V781=2,"⚠️ Paying ahead of work","✓ OK"))</f>
        <v/>
      </c>
      <c r="V781" s="79">
        <f>IF(T781="","",IF(T781-R781&gt;OverpayTol,2,0))</f>
        <v/>
      </c>
      <c r="W781" s="112">
        <f>IF(V781=2,AsOf,"")</f>
        <v/>
      </c>
      <c r="X781" s="79">
        <f>IF(W781="","",1)</f>
        <v/>
      </c>
      <c r="Y781" s="79">
        <f>IF(X781="","","Paying ahead of work: "&amp;B781&amp;" — paid "&amp;ROUND(T781*100,0)&amp;"%, work done "&amp;ROUND(R781*100,0)&amp;"%")</f>
        <v/>
      </c>
      <c r="AA781" s="72" t="n"/>
      <c r="AB781" s="109" t="n"/>
      <c r="AC781" s="113" t="n"/>
      <c r="AD781" s="74" t="n"/>
      <c r="AE781" s="109" t="n"/>
      <c r="AF781" s="74" t="n"/>
      <c r="AG781" s="112">
        <f>IF(AND(AA781&lt;&gt;"",AD781="Yes",AF781&lt;&gt;"Yes",AE781&lt;&gt;""),AE781,"")</f>
        <v/>
      </c>
      <c r="AH781" s="79">
        <f>IF(AG781="","",IF(AG781&lt;AsOf,1,IF(AG781&lt;=AsOf+AlertDays,2,IF(AG781&lt;=AsOf+2*AlertDays,3,""))))</f>
        <v/>
      </c>
      <c r="AI781" s="79">
        <f>IF(AH781="","","Follow up with "&amp;AA781&amp;": "&amp;AC781)</f>
        <v/>
      </c>
    </row>
    <row r="782" ht="20" customHeight="1">
      <c r="B782" s="72" t="n"/>
      <c r="C782" s="72" t="n"/>
      <c r="D782" s="72" t="n"/>
      <c r="E782" s="72" t="n"/>
      <c r="F782" s="72" t="n"/>
      <c r="G782" s="72" t="n"/>
      <c r="H782" s="72" t="n"/>
      <c r="I782" s="73" t="n"/>
      <c r="J782" s="75">
        <f>IF(B782="","",SUMIFS('Change Orders'!$J$7:$J$1006,'Change Orders'!$E$7:$E$1006,B782,'Change Orders'!$L$7:$L$1006,"Approved"))</f>
        <v/>
      </c>
      <c r="K782" s="76">
        <f>IF(B782="","",I782+J782)</f>
        <v/>
      </c>
      <c r="L782" s="74" t="n"/>
      <c r="M782" s="109" t="n"/>
      <c r="N782" s="109" t="n"/>
      <c r="O782" s="74" t="n"/>
      <c r="P782" s="74" t="n"/>
      <c r="Q782" s="100" t="n"/>
      <c r="R782" s="110" t="n"/>
      <c r="S782" s="75">
        <f>IF(B782="","",SUMIFS('Payments'!$N$6:$N$1005,'Payments'!$B$6:$B$1005,B782))</f>
        <v/>
      </c>
      <c r="T782" s="111">
        <f>IF(OR(B782="",K782=0),"",S782/K782)</f>
        <v/>
      </c>
      <c r="U782" s="78">
        <f>IF(V782="","",IF(V782=2,"⚠️ Paying ahead of work","✓ OK"))</f>
        <v/>
      </c>
      <c r="V782" s="79">
        <f>IF(T782="","",IF(T782-R782&gt;OverpayTol,2,0))</f>
        <v/>
      </c>
      <c r="W782" s="112">
        <f>IF(V782=2,AsOf,"")</f>
        <v/>
      </c>
      <c r="X782" s="79">
        <f>IF(W782="","",1)</f>
        <v/>
      </c>
      <c r="Y782" s="79">
        <f>IF(X782="","","Paying ahead of work: "&amp;B782&amp;" — paid "&amp;ROUND(T782*100,0)&amp;"%, work done "&amp;ROUND(R782*100,0)&amp;"%")</f>
        <v/>
      </c>
      <c r="AA782" s="72" t="n"/>
      <c r="AB782" s="109" t="n"/>
      <c r="AC782" s="113" t="n"/>
      <c r="AD782" s="74" t="n"/>
      <c r="AE782" s="109" t="n"/>
      <c r="AF782" s="74" t="n"/>
      <c r="AG782" s="112">
        <f>IF(AND(AA782&lt;&gt;"",AD782="Yes",AF782&lt;&gt;"Yes",AE782&lt;&gt;""),AE782,"")</f>
        <v/>
      </c>
      <c r="AH782" s="79">
        <f>IF(AG782="","",IF(AG782&lt;AsOf,1,IF(AG782&lt;=AsOf+AlertDays,2,IF(AG782&lt;=AsOf+2*AlertDays,3,""))))</f>
        <v/>
      </c>
      <c r="AI782" s="79">
        <f>IF(AH782="","","Follow up with "&amp;AA782&amp;": "&amp;AC782)</f>
        <v/>
      </c>
    </row>
    <row r="783" ht="20" customHeight="1">
      <c r="B783" s="72" t="n"/>
      <c r="C783" s="72" t="n"/>
      <c r="D783" s="72" t="n"/>
      <c r="E783" s="72" t="n"/>
      <c r="F783" s="72" t="n"/>
      <c r="G783" s="72" t="n"/>
      <c r="H783" s="72" t="n"/>
      <c r="I783" s="73" t="n"/>
      <c r="J783" s="75">
        <f>IF(B783="","",SUMIFS('Change Orders'!$J$7:$J$1006,'Change Orders'!$E$7:$E$1006,B783,'Change Orders'!$L$7:$L$1006,"Approved"))</f>
        <v/>
      </c>
      <c r="K783" s="76">
        <f>IF(B783="","",I783+J783)</f>
        <v/>
      </c>
      <c r="L783" s="74" t="n"/>
      <c r="M783" s="109" t="n"/>
      <c r="N783" s="109" t="n"/>
      <c r="O783" s="74" t="n"/>
      <c r="P783" s="74" t="n"/>
      <c r="Q783" s="100" t="n"/>
      <c r="R783" s="110" t="n"/>
      <c r="S783" s="75">
        <f>IF(B783="","",SUMIFS('Payments'!$N$6:$N$1005,'Payments'!$B$6:$B$1005,B783))</f>
        <v/>
      </c>
      <c r="T783" s="111">
        <f>IF(OR(B783="",K783=0),"",S783/K783)</f>
        <v/>
      </c>
      <c r="U783" s="78">
        <f>IF(V783="","",IF(V783=2,"⚠️ Paying ahead of work","✓ OK"))</f>
        <v/>
      </c>
      <c r="V783" s="79">
        <f>IF(T783="","",IF(T783-R783&gt;OverpayTol,2,0))</f>
        <v/>
      </c>
      <c r="W783" s="112">
        <f>IF(V783=2,AsOf,"")</f>
        <v/>
      </c>
      <c r="X783" s="79">
        <f>IF(W783="","",1)</f>
        <v/>
      </c>
      <c r="Y783" s="79">
        <f>IF(X783="","","Paying ahead of work: "&amp;B783&amp;" — paid "&amp;ROUND(T783*100,0)&amp;"%, work done "&amp;ROUND(R783*100,0)&amp;"%")</f>
        <v/>
      </c>
      <c r="AA783" s="72" t="n"/>
      <c r="AB783" s="109" t="n"/>
      <c r="AC783" s="113" t="n"/>
      <c r="AD783" s="74" t="n"/>
      <c r="AE783" s="109" t="n"/>
      <c r="AF783" s="74" t="n"/>
      <c r="AG783" s="112">
        <f>IF(AND(AA783&lt;&gt;"",AD783="Yes",AF783&lt;&gt;"Yes",AE783&lt;&gt;""),AE783,"")</f>
        <v/>
      </c>
      <c r="AH783" s="79">
        <f>IF(AG783="","",IF(AG783&lt;AsOf,1,IF(AG783&lt;=AsOf+AlertDays,2,IF(AG783&lt;=AsOf+2*AlertDays,3,""))))</f>
        <v/>
      </c>
      <c r="AI783" s="79">
        <f>IF(AH783="","","Follow up with "&amp;AA783&amp;": "&amp;AC783)</f>
        <v/>
      </c>
    </row>
    <row r="784" ht="20" customHeight="1">
      <c r="B784" s="72" t="n"/>
      <c r="C784" s="72" t="n"/>
      <c r="D784" s="72" t="n"/>
      <c r="E784" s="72" t="n"/>
      <c r="F784" s="72" t="n"/>
      <c r="G784" s="72" t="n"/>
      <c r="H784" s="72" t="n"/>
      <c r="I784" s="73" t="n"/>
      <c r="J784" s="75">
        <f>IF(B784="","",SUMIFS('Change Orders'!$J$7:$J$1006,'Change Orders'!$E$7:$E$1006,B784,'Change Orders'!$L$7:$L$1006,"Approved"))</f>
        <v/>
      </c>
      <c r="K784" s="76">
        <f>IF(B784="","",I784+J784)</f>
        <v/>
      </c>
      <c r="L784" s="74" t="n"/>
      <c r="M784" s="109" t="n"/>
      <c r="N784" s="109" t="n"/>
      <c r="O784" s="74" t="n"/>
      <c r="P784" s="74" t="n"/>
      <c r="Q784" s="100" t="n"/>
      <c r="R784" s="110" t="n"/>
      <c r="S784" s="75">
        <f>IF(B784="","",SUMIFS('Payments'!$N$6:$N$1005,'Payments'!$B$6:$B$1005,B784))</f>
        <v/>
      </c>
      <c r="T784" s="111">
        <f>IF(OR(B784="",K784=0),"",S784/K784)</f>
        <v/>
      </c>
      <c r="U784" s="78">
        <f>IF(V784="","",IF(V784=2,"⚠️ Paying ahead of work","✓ OK"))</f>
        <v/>
      </c>
      <c r="V784" s="79">
        <f>IF(T784="","",IF(T784-R784&gt;OverpayTol,2,0))</f>
        <v/>
      </c>
      <c r="W784" s="112">
        <f>IF(V784=2,AsOf,"")</f>
        <v/>
      </c>
      <c r="X784" s="79">
        <f>IF(W784="","",1)</f>
        <v/>
      </c>
      <c r="Y784" s="79">
        <f>IF(X784="","","Paying ahead of work: "&amp;B784&amp;" — paid "&amp;ROUND(T784*100,0)&amp;"%, work done "&amp;ROUND(R784*100,0)&amp;"%")</f>
        <v/>
      </c>
      <c r="AA784" s="72" t="n"/>
      <c r="AB784" s="109" t="n"/>
      <c r="AC784" s="113" t="n"/>
      <c r="AD784" s="74" t="n"/>
      <c r="AE784" s="109" t="n"/>
      <c r="AF784" s="74" t="n"/>
      <c r="AG784" s="112">
        <f>IF(AND(AA784&lt;&gt;"",AD784="Yes",AF784&lt;&gt;"Yes",AE784&lt;&gt;""),AE784,"")</f>
        <v/>
      </c>
      <c r="AH784" s="79">
        <f>IF(AG784="","",IF(AG784&lt;AsOf,1,IF(AG784&lt;=AsOf+AlertDays,2,IF(AG784&lt;=AsOf+2*AlertDays,3,""))))</f>
        <v/>
      </c>
      <c r="AI784" s="79">
        <f>IF(AH784="","","Follow up with "&amp;AA784&amp;": "&amp;AC784)</f>
        <v/>
      </c>
    </row>
    <row r="785" ht="20" customHeight="1">
      <c r="B785" s="72" t="n"/>
      <c r="C785" s="72" t="n"/>
      <c r="D785" s="72" t="n"/>
      <c r="E785" s="72" t="n"/>
      <c r="F785" s="72" t="n"/>
      <c r="G785" s="72" t="n"/>
      <c r="H785" s="72" t="n"/>
      <c r="I785" s="73" t="n"/>
      <c r="J785" s="75">
        <f>IF(B785="","",SUMIFS('Change Orders'!$J$7:$J$1006,'Change Orders'!$E$7:$E$1006,B785,'Change Orders'!$L$7:$L$1006,"Approved"))</f>
        <v/>
      </c>
      <c r="K785" s="76">
        <f>IF(B785="","",I785+J785)</f>
        <v/>
      </c>
      <c r="L785" s="74" t="n"/>
      <c r="M785" s="109" t="n"/>
      <c r="N785" s="109" t="n"/>
      <c r="O785" s="74" t="n"/>
      <c r="P785" s="74" t="n"/>
      <c r="Q785" s="100" t="n"/>
      <c r="R785" s="110" t="n"/>
      <c r="S785" s="75">
        <f>IF(B785="","",SUMIFS('Payments'!$N$6:$N$1005,'Payments'!$B$6:$B$1005,B785))</f>
        <v/>
      </c>
      <c r="T785" s="111">
        <f>IF(OR(B785="",K785=0),"",S785/K785)</f>
        <v/>
      </c>
      <c r="U785" s="78">
        <f>IF(V785="","",IF(V785=2,"⚠️ Paying ahead of work","✓ OK"))</f>
        <v/>
      </c>
      <c r="V785" s="79">
        <f>IF(T785="","",IF(T785-R785&gt;OverpayTol,2,0))</f>
        <v/>
      </c>
      <c r="W785" s="112">
        <f>IF(V785=2,AsOf,"")</f>
        <v/>
      </c>
      <c r="X785" s="79">
        <f>IF(W785="","",1)</f>
        <v/>
      </c>
      <c r="Y785" s="79">
        <f>IF(X785="","","Paying ahead of work: "&amp;B785&amp;" — paid "&amp;ROUND(T785*100,0)&amp;"%, work done "&amp;ROUND(R785*100,0)&amp;"%")</f>
        <v/>
      </c>
      <c r="AA785" s="72" t="n"/>
      <c r="AB785" s="109" t="n"/>
      <c r="AC785" s="113" t="n"/>
      <c r="AD785" s="74" t="n"/>
      <c r="AE785" s="109" t="n"/>
      <c r="AF785" s="74" t="n"/>
      <c r="AG785" s="112">
        <f>IF(AND(AA785&lt;&gt;"",AD785="Yes",AF785&lt;&gt;"Yes",AE785&lt;&gt;""),AE785,"")</f>
        <v/>
      </c>
      <c r="AH785" s="79">
        <f>IF(AG785="","",IF(AG785&lt;AsOf,1,IF(AG785&lt;=AsOf+AlertDays,2,IF(AG785&lt;=AsOf+2*AlertDays,3,""))))</f>
        <v/>
      </c>
      <c r="AI785" s="79">
        <f>IF(AH785="","","Follow up with "&amp;AA785&amp;": "&amp;AC785)</f>
        <v/>
      </c>
    </row>
    <row r="786" ht="20" customHeight="1">
      <c r="B786" s="72" t="n"/>
      <c r="C786" s="72" t="n"/>
      <c r="D786" s="72" t="n"/>
      <c r="E786" s="72" t="n"/>
      <c r="F786" s="72" t="n"/>
      <c r="G786" s="72" t="n"/>
      <c r="H786" s="72" t="n"/>
      <c r="I786" s="73" t="n"/>
      <c r="J786" s="75">
        <f>IF(B786="","",SUMIFS('Change Orders'!$J$7:$J$1006,'Change Orders'!$E$7:$E$1006,B786,'Change Orders'!$L$7:$L$1006,"Approved"))</f>
        <v/>
      </c>
      <c r="K786" s="76">
        <f>IF(B786="","",I786+J786)</f>
        <v/>
      </c>
      <c r="L786" s="74" t="n"/>
      <c r="M786" s="109" t="n"/>
      <c r="N786" s="109" t="n"/>
      <c r="O786" s="74" t="n"/>
      <c r="P786" s="74" t="n"/>
      <c r="Q786" s="100" t="n"/>
      <c r="R786" s="110" t="n"/>
      <c r="S786" s="75">
        <f>IF(B786="","",SUMIFS('Payments'!$N$6:$N$1005,'Payments'!$B$6:$B$1005,B786))</f>
        <v/>
      </c>
      <c r="T786" s="111">
        <f>IF(OR(B786="",K786=0),"",S786/K786)</f>
        <v/>
      </c>
      <c r="U786" s="78">
        <f>IF(V786="","",IF(V786=2,"⚠️ Paying ahead of work","✓ OK"))</f>
        <v/>
      </c>
      <c r="V786" s="79">
        <f>IF(T786="","",IF(T786-R786&gt;OverpayTol,2,0))</f>
        <v/>
      </c>
      <c r="W786" s="112">
        <f>IF(V786=2,AsOf,"")</f>
        <v/>
      </c>
      <c r="X786" s="79">
        <f>IF(W786="","",1)</f>
        <v/>
      </c>
      <c r="Y786" s="79">
        <f>IF(X786="","","Paying ahead of work: "&amp;B786&amp;" — paid "&amp;ROUND(T786*100,0)&amp;"%, work done "&amp;ROUND(R786*100,0)&amp;"%")</f>
        <v/>
      </c>
      <c r="AA786" s="72" t="n"/>
      <c r="AB786" s="109" t="n"/>
      <c r="AC786" s="113" t="n"/>
      <c r="AD786" s="74" t="n"/>
      <c r="AE786" s="109" t="n"/>
      <c r="AF786" s="74" t="n"/>
      <c r="AG786" s="112">
        <f>IF(AND(AA786&lt;&gt;"",AD786="Yes",AF786&lt;&gt;"Yes",AE786&lt;&gt;""),AE786,"")</f>
        <v/>
      </c>
      <c r="AH786" s="79">
        <f>IF(AG786="","",IF(AG786&lt;AsOf,1,IF(AG786&lt;=AsOf+AlertDays,2,IF(AG786&lt;=AsOf+2*AlertDays,3,""))))</f>
        <v/>
      </c>
      <c r="AI786" s="79">
        <f>IF(AH786="","","Follow up with "&amp;AA786&amp;": "&amp;AC786)</f>
        <v/>
      </c>
    </row>
    <row r="787" ht="20" customHeight="1">
      <c r="B787" s="72" t="n"/>
      <c r="C787" s="72" t="n"/>
      <c r="D787" s="72" t="n"/>
      <c r="E787" s="72" t="n"/>
      <c r="F787" s="72" t="n"/>
      <c r="G787" s="72" t="n"/>
      <c r="H787" s="72" t="n"/>
      <c r="I787" s="73" t="n"/>
      <c r="J787" s="75">
        <f>IF(B787="","",SUMIFS('Change Orders'!$J$7:$J$1006,'Change Orders'!$E$7:$E$1006,B787,'Change Orders'!$L$7:$L$1006,"Approved"))</f>
        <v/>
      </c>
      <c r="K787" s="76">
        <f>IF(B787="","",I787+J787)</f>
        <v/>
      </c>
      <c r="L787" s="74" t="n"/>
      <c r="M787" s="109" t="n"/>
      <c r="N787" s="109" t="n"/>
      <c r="O787" s="74" t="n"/>
      <c r="P787" s="74" t="n"/>
      <c r="Q787" s="100" t="n"/>
      <c r="R787" s="110" t="n"/>
      <c r="S787" s="75">
        <f>IF(B787="","",SUMIFS('Payments'!$N$6:$N$1005,'Payments'!$B$6:$B$1005,B787))</f>
        <v/>
      </c>
      <c r="T787" s="111">
        <f>IF(OR(B787="",K787=0),"",S787/K787)</f>
        <v/>
      </c>
      <c r="U787" s="78">
        <f>IF(V787="","",IF(V787=2,"⚠️ Paying ahead of work","✓ OK"))</f>
        <v/>
      </c>
      <c r="V787" s="79">
        <f>IF(T787="","",IF(T787-R787&gt;OverpayTol,2,0))</f>
        <v/>
      </c>
      <c r="W787" s="112">
        <f>IF(V787=2,AsOf,"")</f>
        <v/>
      </c>
      <c r="X787" s="79">
        <f>IF(W787="","",1)</f>
        <v/>
      </c>
      <c r="Y787" s="79">
        <f>IF(X787="","","Paying ahead of work: "&amp;B787&amp;" — paid "&amp;ROUND(T787*100,0)&amp;"%, work done "&amp;ROUND(R787*100,0)&amp;"%")</f>
        <v/>
      </c>
      <c r="AA787" s="72" t="n"/>
      <c r="AB787" s="109" t="n"/>
      <c r="AC787" s="113" t="n"/>
      <c r="AD787" s="74" t="n"/>
      <c r="AE787" s="109" t="n"/>
      <c r="AF787" s="74" t="n"/>
      <c r="AG787" s="112">
        <f>IF(AND(AA787&lt;&gt;"",AD787="Yes",AF787&lt;&gt;"Yes",AE787&lt;&gt;""),AE787,"")</f>
        <v/>
      </c>
      <c r="AH787" s="79">
        <f>IF(AG787="","",IF(AG787&lt;AsOf,1,IF(AG787&lt;=AsOf+AlertDays,2,IF(AG787&lt;=AsOf+2*AlertDays,3,""))))</f>
        <v/>
      </c>
      <c r="AI787" s="79">
        <f>IF(AH787="","","Follow up with "&amp;AA787&amp;": "&amp;AC787)</f>
        <v/>
      </c>
    </row>
    <row r="788" ht="20" customHeight="1">
      <c r="B788" s="72" t="n"/>
      <c r="C788" s="72" t="n"/>
      <c r="D788" s="72" t="n"/>
      <c r="E788" s="72" t="n"/>
      <c r="F788" s="72" t="n"/>
      <c r="G788" s="72" t="n"/>
      <c r="H788" s="72" t="n"/>
      <c r="I788" s="73" t="n"/>
      <c r="J788" s="75">
        <f>IF(B788="","",SUMIFS('Change Orders'!$J$7:$J$1006,'Change Orders'!$E$7:$E$1006,B788,'Change Orders'!$L$7:$L$1006,"Approved"))</f>
        <v/>
      </c>
      <c r="K788" s="76">
        <f>IF(B788="","",I788+J788)</f>
        <v/>
      </c>
      <c r="L788" s="74" t="n"/>
      <c r="M788" s="109" t="n"/>
      <c r="N788" s="109" t="n"/>
      <c r="O788" s="74" t="n"/>
      <c r="P788" s="74" t="n"/>
      <c r="Q788" s="100" t="n"/>
      <c r="R788" s="110" t="n"/>
      <c r="S788" s="75">
        <f>IF(B788="","",SUMIFS('Payments'!$N$6:$N$1005,'Payments'!$B$6:$B$1005,B788))</f>
        <v/>
      </c>
      <c r="T788" s="111">
        <f>IF(OR(B788="",K788=0),"",S788/K788)</f>
        <v/>
      </c>
      <c r="U788" s="78">
        <f>IF(V788="","",IF(V788=2,"⚠️ Paying ahead of work","✓ OK"))</f>
        <v/>
      </c>
      <c r="V788" s="79">
        <f>IF(T788="","",IF(T788-R788&gt;OverpayTol,2,0))</f>
        <v/>
      </c>
      <c r="W788" s="112">
        <f>IF(V788=2,AsOf,"")</f>
        <v/>
      </c>
      <c r="X788" s="79">
        <f>IF(W788="","",1)</f>
        <v/>
      </c>
      <c r="Y788" s="79">
        <f>IF(X788="","","Paying ahead of work: "&amp;B788&amp;" — paid "&amp;ROUND(T788*100,0)&amp;"%, work done "&amp;ROUND(R788*100,0)&amp;"%")</f>
        <v/>
      </c>
      <c r="AA788" s="72" t="n"/>
      <c r="AB788" s="109" t="n"/>
      <c r="AC788" s="113" t="n"/>
      <c r="AD788" s="74" t="n"/>
      <c r="AE788" s="109" t="n"/>
      <c r="AF788" s="74" t="n"/>
      <c r="AG788" s="112">
        <f>IF(AND(AA788&lt;&gt;"",AD788="Yes",AF788&lt;&gt;"Yes",AE788&lt;&gt;""),AE788,"")</f>
        <v/>
      </c>
      <c r="AH788" s="79">
        <f>IF(AG788="","",IF(AG788&lt;AsOf,1,IF(AG788&lt;=AsOf+AlertDays,2,IF(AG788&lt;=AsOf+2*AlertDays,3,""))))</f>
        <v/>
      </c>
      <c r="AI788" s="79">
        <f>IF(AH788="","","Follow up with "&amp;AA788&amp;": "&amp;AC788)</f>
        <v/>
      </c>
    </row>
    <row r="789" ht="20" customHeight="1">
      <c r="B789" s="72" t="n"/>
      <c r="C789" s="72" t="n"/>
      <c r="D789" s="72" t="n"/>
      <c r="E789" s="72" t="n"/>
      <c r="F789" s="72" t="n"/>
      <c r="G789" s="72" t="n"/>
      <c r="H789" s="72" t="n"/>
      <c r="I789" s="73" t="n"/>
      <c r="J789" s="75">
        <f>IF(B789="","",SUMIFS('Change Orders'!$J$7:$J$1006,'Change Orders'!$E$7:$E$1006,B789,'Change Orders'!$L$7:$L$1006,"Approved"))</f>
        <v/>
      </c>
      <c r="K789" s="76">
        <f>IF(B789="","",I789+J789)</f>
        <v/>
      </c>
      <c r="L789" s="74" t="n"/>
      <c r="M789" s="109" t="n"/>
      <c r="N789" s="109" t="n"/>
      <c r="O789" s="74" t="n"/>
      <c r="P789" s="74" t="n"/>
      <c r="Q789" s="100" t="n"/>
      <c r="R789" s="110" t="n"/>
      <c r="S789" s="75">
        <f>IF(B789="","",SUMIFS('Payments'!$N$6:$N$1005,'Payments'!$B$6:$B$1005,B789))</f>
        <v/>
      </c>
      <c r="T789" s="111">
        <f>IF(OR(B789="",K789=0),"",S789/K789)</f>
        <v/>
      </c>
      <c r="U789" s="78">
        <f>IF(V789="","",IF(V789=2,"⚠️ Paying ahead of work","✓ OK"))</f>
        <v/>
      </c>
      <c r="V789" s="79">
        <f>IF(T789="","",IF(T789-R789&gt;OverpayTol,2,0))</f>
        <v/>
      </c>
      <c r="W789" s="112">
        <f>IF(V789=2,AsOf,"")</f>
        <v/>
      </c>
      <c r="X789" s="79">
        <f>IF(W789="","",1)</f>
        <v/>
      </c>
      <c r="Y789" s="79">
        <f>IF(X789="","","Paying ahead of work: "&amp;B789&amp;" — paid "&amp;ROUND(T789*100,0)&amp;"%, work done "&amp;ROUND(R789*100,0)&amp;"%")</f>
        <v/>
      </c>
      <c r="AA789" s="72" t="n"/>
      <c r="AB789" s="109" t="n"/>
      <c r="AC789" s="113" t="n"/>
      <c r="AD789" s="74" t="n"/>
      <c r="AE789" s="109" t="n"/>
      <c r="AF789" s="74" t="n"/>
      <c r="AG789" s="112">
        <f>IF(AND(AA789&lt;&gt;"",AD789="Yes",AF789&lt;&gt;"Yes",AE789&lt;&gt;""),AE789,"")</f>
        <v/>
      </c>
      <c r="AH789" s="79">
        <f>IF(AG789="","",IF(AG789&lt;AsOf,1,IF(AG789&lt;=AsOf+AlertDays,2,IF(AG789&lt;=AsOf+2*AlertDays,3,""))))</f>
        <v/>
      </c>
      <c r="AI789" s="79">
        <f>IF(AH789="","","Follow up with "&amp;AA789&amp;": "&amp;AC789)</f>
        <v/>
      </c>
    </row>
    <row r="790" ht="20" customHeight="1">
      <c r="B790" s="72" t="n"/>
      <c r="C790" s="72" t="n"/>
      <c r="D790" s="72" t="n"/>
      <c r="E790" s="72" t="n"/>
      <c r="F790" s="72" t="n"/>
      <c r="G790" s="72" t="n"/>
      <c r="H790" s="72" t="n"/>
      <c r="I790" s="73" t="n"/>
      <c r="J790" s="75">
        <f>IF(B790="","",SUMIFS('Change Orders'!$J$7:$J$1006,'Change Orders'!$E$7:$E$1006,B790,'Change Orders'!$L$7:$L$1006,"Approved"))</f>
        <v/>
      </c>
      <c r="K790" s="76">
        <f>IF(B790="","",I790+J790)</f>
        <v/>
      </c>
      <c r="L790" s="74" t="n"/>
      <c r="M790" s="109" t="n"/>
      <c r="N790" s="109" t="n"/>
      <c r="O790" s="74" t="n"/>
      <c r="P790" s="74" t="n"/>
      <c r="Q790" s="100" t="n"/>
      <c r="R790" s="110" t="n"/>
      <c r="S790" s="75">
        <f>IF(B790="","",SUMIFS('Payments'!$N$6:$N$1005,'Payments'!$B$6:$B$1005,B790))</f>
        <v/>
      </c>
      <c r="T790" s="111">
        <f>IF(OR(B790="",K790=0),"",S790/K790)</f>
        <v/>
      </c>
      <c r="U790" s="78">
        <f>IF(V790="","",IF(V790=2,"⚠️ Paying ahead of work","✓ OK"))</f>
        <v/>
      </c>
      <c r="V790" s="79">
        <f>IF(T790="","",IF(T790-R790&gt;OverpayTol,2,0))</f>
        <v/>
      </c>
      <c r="W790" s="112">
        <f>IF(V790=2,AsOf,"")</f>
        <v/>
      </c>
      <c r="X790" s="79">
        <f>IF(W790="","",1)</f>
        <v/>
      </c>
      <c r="Y790" s="79">
        <f>IF(X790="","","Paying ahead of work: "&amp;B790&amp;" — paid "&amp;ROUND(T790*100,0)&amp;"%, work done "&amp;ROUND(R790*100,0)&amp;"%")</f>
        <v/>
      </c>
      <c r="AA790" s="72" t="n"/>
      <c r="AB790" s="109" t="n"/>
      <c r="AC790" s="113" t="n"/>
      <c r="AD790" s="74" t="n"/>
      <c r="AE790" s="109" t="n"/>
      <c r="AF790" s="74" t="n"/>
      <c r="AG790" s="112">
        <f>IF(AND(AA790&lt;&gt;"",AD790="Yes",AF790&lt;&gt;"Yes",AE790&lt;&gt;""),AE790,"")</f>
        <v/>
      </c>
      <c r="AH790" s="79">
        <f>IF(AG790="","",IF(AG790&lt;AsOf,1,IF(AG790&lt;=AsOf+AlertDays,2,IF(AG790&lt;=AsOf+2*AlertDays,3,""))))</f>
        <v/>
      </c>
      <c r="AI790" s="79">
        <f>IF(AH790="","","Follow up with "&amp;AA790&amp;": "&amp;AC790)</f>
        <v/>
      </c>
    </row>
    <row r="791" ht="20" customHeight="1">
      <c r="B791" s="72" t="n"/>
      <c r="C791" s="72" t="n"/>
      <c r="D791" s="72" t="n"/>
      <c r="E791" s="72" t="n"/>
      <c r="F791" s="72" t="n"/>
      <c r="G791" s="72" t="n"/>
      <c r="H791" s="72" t="n"/>
      <c r="I791" s="73" t="n"/>
      <c r="J791" s="75">
        <f>IF(B791="","",SUMIFS('Change Orders'!$J$7:$J$1006,'Change Orders'!$E$7:$E$1006,B791,'Change Orders'!$L$7:$L$1006,"Approved"))</f>
        <v/>
      </c>
      <c r="K791" s="76">
        <f>IF(B791="","",I791+J791)</f>
        <v/>
      </c>
      <c r="L791" s="74" t="n"/>
      <c r="M791" s="109" t="n"/>
      <c r="N791" s="109" t="n"/>
      <c r="O791" s="74" t="n"/>
      <c r="P791" s="74" t="n"/>
      <c r="Q791" s="100" t="n"/>
      <c r="R791" s="110" t="n"/>
      <c r="S791" s="75">
        <f>IF(B791="","",SUMIFS('Payments'!$N$6:$N$1005,'Payments'!$B$6:$B$1005,B791))</f>
        <v/>
      </c>
      <c r="T791" s="111">
        <f>IF(OR(B791="",K791=0),"",S791/K791)</f>
        <v/>
      </c>
      <c r="U791" s="78">
        <f>IF(V791="","",IF(V791=2,"⚠️ Paying ahead of work","✓ OK"))</f>
        <v/>
      </c>
      <c r="V791" s="79">
        <f>IF(T791="","",IF(T791-R791&gt;OverpayTol,2,0))</f>
        <v/>
      </c>
      <c r="W791" s="112">
        <f>IF(V791=2,AsOf,"")</f>
        <v/>
      </c>
      <c r="X791" s="79">
        <f>IF(W791="","",1)</f>
        <v/>
      </c>
      <c r="Y791" s="79">
        <f>IF(X791="","","Paying ahead of work: "&amp;B791&amp;" — paid "&amp;ROUND(T791*100,0)&amp;"%, work done "&amp;ROUND(R791*100,0)&amp;"%")</f>
        <v/>
      </c>
      <c r="AA791" s="72" t="n"/>
      <c r="AB791" s="109" t="n"/>
      <c r="AC791" s="113" t="n"/>
      <c r="AD791" s="74" t="n"/>
      <c r="AE791" s="109" t="n"/>
      <c r="AF791" s="74" t="n"/>
      <c r="AG791" s="112">
        <f>IF(AND(AA791&lt;&gt;"",AD791="Yes",AF791&lt;&gt;"Yes",AE791&lt;&gt;""),AE791,"")</f>
        <v/>
      </c>
      <c r="AH791" s="79">
        <f>IF(AG791="","",IF(AG791&lt;AsOf,1,IF(AG791&lt;=AsOf+AlertDays,2,IF(AG791&lt;=AsOf+2*AlertDays,3,""))))</f>
        <v/>
      </c>
      <c r="AI791" s="79">
        <f>IF(AH791="","","Follow up with "&amp;AA791&amp;": "&amp;AC791)</f>
        <v/>
      </c>
    </row>
    <row r="792" ht="20" customHeight="1">
      <c r="B792" s="72" t="n"/>
      <c r="C792" s="72" t="n"/>
      <c r="D792" s="72" t="n"/>
      <c r="E792" s="72" t="n"/>
      <c r="F792" s="72" t="n"/>
      <c r="G792" s="72" t="n"/>
      <c r="H792" s="72" t="n"/>
      <c r="I792" s="73" t="n"/>
      <c r="J792" s="75">
        <f>IF(B792="","",SUMIFS('Change Orders'!$J$7:$J$1006,'Change Orders'!$E$7:$E$1006,B792,'Change Orders'!$L$7:$L$1006,"Approved"))</f>
        <v/>
      </c>
      <c r="K792" s="76">
        <f>IF(B792="","",I792+J792)</f>
        <v/>
      </c>
      <c r="L792" s="74" t="n"/>
      <c r="M792" s="109" t="n"/>
      <c r="N792" s="109" t="n"/>
      <c r="O792" s="74" t="n"/>
      <c r="P792" s="74" t="n"/>
      <c r="Q792" s="100" t="n"/>
      <c r="R792" s="110" t="n"/>
      <c r="S792" s="75">
        <f>IF(B792="","",SUMIFS('Payments'!$N$6:$N$1005,'Payments'!$B$6:$B$1005,B792))</f>
        <v/>
      </c>
      <c r="T792" s="111">
        <f>IF(OR(B792="",K792=0),"",S792/K792)</f>
        <v/>
      </c>
      <c r="U792" s="78">
        <f>IF(V792="","",IF(V792=2,"⚠️ Paying ahead of work","✓ OK"))</f>
        <v/>
      </c>
      <c r="V792" s="79">
        <f>IF(T792="","",IF(T792-R792&gt;OverpayTol,2,0))</f>
        <v/>
      </c>
      <c r="W792" s="112">
        <f>IF(V792=2,AsOf,"")</f>
        <v/>
      </c>
      <c r="X792" s="79">
        <f>IF(W792="","",1)</f>
        <v/>
      </c>
      <c r="Y792" s="79">
        <f>IF(X792="","","Paying ahead of work: "&amp;B792&amp;" — paid "&amp;ROUND(T792*100,0)&amp;"%, work done "&amp;ROUND(R792*100,0)&amp;"%")</f>
        <v/>
      </c>
      <c r="AA792" s="72" t="n"/>
      <c r="AB792" s="109" t="n"/>
      <c r="AC792" s="113" t="n"/>
      <c r="AD792" s="74" t="n"/>
      <c r="AE792" s="109" t="n"/>
      <c r="AF792" s="74" t="n"/>
      <c r="AG792" s="112">
        <f>IF(AND(AA792&lt;&gt;"",AD792="Yes",AF792&lt;&gt;"Yes",AE792&lt;&gt;""),AE792,"")</f>
        <v/>
      </c>
      <c r="AH792" s="79">
        <f>IF(AG792="","",IF(AG792&lt;AsOf,1,IF(AG792&lt;=AsOf+AlertDays,2,IF(AG792&lt;=AsOf+2*AlertDays,3,""))))</f>
        <v/>
      </c>
      <c r="AI792" s="79">
        <f>IF(AH792="","","Follow up with "&amp;AA792&amp;": "&amp;AC792)</f>
        <v/>
      </c>
    </row>
    <row r="793" ht="20" customHeight="1">
      <c r="B793" s="72" t="n"/>
      <c r="C793" s="72" t="n"/>
      <c r="D793" s="72" t="n"/>
      <c r="E793" s="72" t="n"/>
      <c r="F793" s="72" t="n"/>
      <c r="G793" s="72" t="n"/>
      <c r="H793" s="72" t="n"/>
      <c r="I793" s="73" t="n"/>
      <c r="J793" s="75">
        <f>IF(B793="","",SUMIFS('Change Orders'!$J$7:$J$1006,'Change Orders'!$E$7:$E$1006,B793,'Change Orders'!$L$7:$L$1006,"Approved"))</f>
        <v/>
      </c>
      <c r="K793" s="76">
        <f>IF(B793="","",I793+J793)</f>
        <v/>
      </c>
      <c r="L793" s="74" t="n"/>
      <c r="M793" s="109" t="n"/>
      <c r="N793" s="109" t="n"/>
      <c r="O793" s="74" t="n"/>
      <c r="P793" s="74" t="n"/>
      <c r="Q793" s="100" t="n"/>
      <c r="R793" s="110" t="n"/>
      <c r="S793" s="75">
        <f>IF(B793="","",SUMIFS('Payments'!$N$6:$N$1005,'Payments'!$B$6:$B$1005,B793))</f>
        <v/>
      </c>
      <c r="T793" s="111">
        <f>IF(OR(B793="",K793=0),"",S793/K793)</f>
        <v/>
      </c>
      <c r="U793" s="78">
        <f>IF(V793="","",IF(V793=2,"⚠️ Paying ahead of work","✓ OK"))</f>
        <v/>
      </c>
      <c r="V793" s="79">
        <f>IF(T793="","",IF(T793-R793&gt;OverpayTol,2,0))</f>
        <v/>
      </c>
      <c r="W793" s="112">
        <f>IF(V793=2,AsOf,"")</f>
        <v/>
      </c>
      <c r="X793" s="79">
        <f>IF(W793="","",1)</f>
        <v/>
      </c>
      <c r="Y793" s="79">
        <f>IF(X793="","","Paying ahead of work: "&amp;B793&amp;" — paid "&amp;ROUND(T793*100,0)&amp;"%, work done "&amp;ROUND(R793*100,0)&amp;"%")</f>
        <v/>
      </c>
      <c r="AA793" s="72" t="n"/>
      <c r="AB793" s="109" t="n"/>
      <c r="AC793" s="113" t="n"/>
      <c r="AD793" s="74" t="n"/>
      <c r="AE793" s="109" t="n"/>
      <c r="AF793" s="74" t="n"/>
      <c r="AG793" s="112">
        <f>IF(AND(AA793&lt;&gt;"",AD793="Yes",AF793&lt;&gt;"Yes",AE793&lt;&gt;""),AE793,"")</f>
        <v/>
      </c>
      <c r="AH793" s="79">
        <f>IF(AG793="","",IF(AG793&lt;AsOf,1,IF(AG793&lt;=AsOf+AlertDays,2,IF(AG793&lt;=AsOf+2*AlertDays,3,""))))</f>
        <v/>
      </c>
      <c r="AI793" s="79">
        <f>IF(AH793="","","Follow up with "&amp;AA793&amp;": "&amp;AC793)</f>
        <v/>
      </c>
    </row>
    <row r="794" ht="20" customHeight="1">
      <c r="B794" s="72" t="n"/>
      <c r="C794" s="72" t="n"/>
      <c r="D794" s="72" t="n"/>
      <c r="E794" s="72" t="n"/>
      <c r="F794" s="72" t="n"/>
      <c r="G794" s="72" t="n"/>
      <c r="H794" s="72" t="n"/>
      <c r="I794" s="73" t="n"/>
      <c r="J794" s="75">
        <f>IF(B794="","",SUMIFS('Change Orders'!$J$7:$J$1006,'Change Orders'!$E$7:$E$1006,B794,'Change Orders'!$L$7:$L$1006,"Approved"))</f>
        <v/>
      </c>
      <c r="K794" s="76">
        <f>IF(B794="","",I794+J794)</f>
        <v/>
      </c>
      <c r="L794" s="74" t="n"/>
      <c r="M794" s="109" t="n"/>
      <c r="N794" s="109" t="n"/>
      <c r="O794" s="74" t="n"/>
      <c r="P794" s="74" t="n"/>
      <c r="Q794" s="100" t="n"/>
      <c r="R794" s="110" t="n"/>
      <c r="S794" s="75">
        <f>IF(B794="","",SUMIFS('Payments'!$N$6:$N$1005,'Payments'!$B$6:$B$1005,B794))</f>
        <v/>
      </c>
      <c r="T794" s="111">
        <f>IF(OR(B794="",K794=0),"",S794/K794)</f>
        <v/>
      </c>
      <c r="U794" s="78">
        <f>IF(V794="","",IF(V794=2,"⚠️ Paying ahead of work","✓ OK"))</f>
        <v/>
      </c>
      <c r="V794" s="79">
        <f>IF(T794="","",IF(T794-R794&gt;OverpayTol,2,0))</f>
        <v/>
      </c>
      <c r="W794" s="112">
        <f>IF(V794=2,AsOf,"")</f>
        <v/>
      </c>
      <c r="X794" s="79">
        <f>IF(W794="","",1)</f>
        <v/>
      </c>
      <c r="Y794" s="79">
        <f>IF(X794="","","Paying ahead of work: "&amp;B794&amp;" — paid "&amp;ROUND(T794*100,0)&amp;"%, work done "&amp;ROUND(R794*100,0)&amp;"%")</f>
        <v/>
      </c>
      <c r="AA794" s="72" t="n"/>
      <c r="AB794" s="109" t="n"/>
      <c r="AC794" s="113" t="n"/>
      <c r="AD794" s="74" t="n"/>
      <c r="AE794" s="109" t="n"/>
      <c r="AF794" s="74" t="n"/>
      <c r="AG794" s="112">
        <f>IF(AND(AA794&lt;&gt;"",AD794="Yes",AF794&lt;&gt;"Yes",AE794&lt;&gt;""),AE794,"")</f>
        <v/>
      </c>
      <c r="AH794" s="79">
        <f>IF(AG794="","",IF(AG794&lt;AsOf,1,IF(AG794&lt;=AsOf+AlertDays,2,IF(AG794&lt;=AsOf+2*AlertDays,3,""))))</f>
        <v/>
      </c>
      <c r="AI794" s="79">
        <f>IF(AH794="","","Follow up with "&amp;AA794&amp;": "&amp;AC794)</f>
        <v/>
      </c>
    </row>
    <row r="795" ht="20" customHeight="1">
      <c r="B795" s="72" t="n"/>
      <c r="C795" s="72" t="n"/>
      <c r="D795" s="72" t="n"/>
      <c r="E795" s="72" t="n"/>
      <c r="F795" s="72" t="n"/>
      <c r="G795" s="72" t="n"/>
      <c r="H795" s="72" t="n"/>
      <c r="I795" s="73" t="n"/>
      <c r="J795" s="75">
        <f>IF(B795="","",SUMIFS('Change Orders'!$J$7:$J$1006,'Change Orders'!$E$7:$E$1006,B795,'Change Orders'!$L$7:$L$1006,"Approved"))</f>
        <v/>
      </c>
      <c r="K795" s="76">
        <f>IF(B795="","",I795+J795)</f>
        <v/>
      </c>
      <c r="L795" s="74" t="n"/>
      <c r="M795" s="109" t="n"/>
      <c r="N795" s="109" t="n"/>
      <c r="O795" s="74" t="n"/>
      <c r="P795" s="74" t="n"/>
      <c r="Q795" s="100" t="n"/>
      <c r="R795" s="110" t="n"/>
      <c r="S795" s="75">
        <f>IF(B795="","",SUMIFS('Payments'!$N$6:$N$1005,'Payments'!$B$6:$B$1005,B795))</f>
        <v/>
      </c>
      <c r="T795" s="111">
        <f>IF(OR(B795="",K795=0),"",S795/K795)</f>
        <v/>
      </c>
      <c r="U795" s="78">
        <f>IF(V795="","",IF(V795=2,"⚠️ Paying ahead of work","✓ OK"))</f>
        <v/>
      </c>
      <c r="V795" s="79">
        <f>IF(T795="","",IF(T795-R795&gt;OverpayTol,2,0))</f>
        <v/>
      </c>
      <c r="W795" s="112">
        <f>IF(V795=2,AsOf,"")</f>
        <v/>
      </c>
      <c r="X795" s="79">
        <f>IF(W795="","",1)</f>
        <v/>
      </c>
      <c r="Y795" s="79">
        <f>IF(X795="","","Paying ahead of work: "&amp;B795&amp;" — paid "&amp;ROUND(T795*100,0)&amp;"%, work done "&amp;ROUND(R795*100,0)&amp;"%")</f>
        <v/>
      </c>
      <c r="AA795" s="72" t="n"/>
      <c r="AB795" s="109" t="n"/>
      <c r="AC795" s="113" t="n"/>
      <c r="AD795" s="74" t="n"/>
      <c r="AE795" s="109" t="n"/>
      <c r="AF795" s="74" t="n"/>
      <c r="AG795" s="112">
        <f>IF(AND(AA795&lt;&gt;"",AD795="Yes",AF795&lt;&gt;"Yes",AE795&lt;&gt;""),AE795,"")</f>
        <v/>
      </c>
      <c r="AH795" s="79">
        <f>IF(AG795="","",IF(AG795&lt;AsOf,1,IF(AG795&lt;=AsOf+AlertDays,2,IF(AG795&lt;=AsOf+2*AlertDays,3,""))))</f>
        <v/>
      </c>
      <c r="AI795" s="79">
        <f>IF(AH795="","","Follow up with "&amp;AA795&amp;": "&amp;AC795)</f>
        <v/>
      </c>
    </row>
    <row r="796" ht="20" customHeight="1">
      <c r="B796" s="72" t="n"/>
      <c r="C796" s="72" t="n"/>
      <c r="D796" s="72" t="n"/>
      <c r="E796" s="72" t="n"/>
      <c r="F796" s="72" t="n"/>
      <c r="G796" s="72" t="n"/>
      <c r="H796" s="72" t="n"/>
      <c r="I796" s="73" t="n"/>
      <c r="J796" s="75">
        <f>IF(B796="","",SUMIFS('Change Orders'!$J$7:$J$1006,'Change Orders'!$E$7:$E$1006,B796,'Change Orders'!$L$7:$L$1006,"Approved"))</f>
        <v/>
      </c>
      <c r="K796" s="76">
        <f>IF(B796="","",I796+J796)</f>
        <v/>
      </c>
      <c r="L796" s="74" t="n"/>
      <c r="M796" s="109" t="n"/>
      <c r="N796" s="109" t="n"/>
      <c r="O796" s="74" t="n"/>
      <c r="P796" s="74" t="n"/>
      <c r="Q796" s="100" t="n"/>
      <c r="R796" s="110" t="n"/>
      <c r="S796" s="75">
        <f>IF(B796="","",SUMIFS('Payments'!$N$6:$N$1005,'Payments'!$B$6:$B$1005,B796))</f>
        <v/>
      </c>
      <c r="T796" s="111">
        <f>IF(OR(B796="",K796=0),"",S796/K796)</f>
        <v/>
      </c>
      <c r="U796" s="78">
        <f>IF(V796="","",IF(V796=2,"⚠️ Paying ahead of work","✓ OK"))</f>
        <v/>
      </c>
      <c r="V796" s="79">
        <f>IF(T796="","",IF(T796-R796&gt;OverpayTol,2,0))</f>
        <v/>
      </c>
      <c r="W796" s="112">
        <f>IF(V796=2,AsOf,"")</f>
        <v/>
      </c>
      <c r="X796" s="79">
        <f>IF(W796="","",1)</f>
        <v/>
      </c>
      <c r="Y796" s="79">
        <f>IF(X796="","","Paying ahead of work: "&amp;B796&amp;" — paid "&amp;ROUND(T796*100,0)&amp;"%, work done "&amp;ROUND(R796*100,0)&amp;"%")</f>
        <v/>
      </c>
      <c r="AA796" s="72" t="n"/>
      <c r="AB796" s="109" t="n"/>
      <c r="AC796" s="113" t="n"/>
      <c r="AD796" s="74" t="n"/>
      <c r="AE796" s="109" t="n"/>
      <c r="AF796" s="74" t="n"/>
      <c r="AG796" s="112">
        <f>IF(AND(AA796&lt;&gt;"",AD796="Yes",AF796&lt;&gt;"Yes",AE796&lt;&gt;""),AE796,"")</f>
        <v/>
      </c>
      <c r="AH796" s="79">
        <f>IF(AG796="","",IF(AG796&lt;AsOf,1,IF(AG796&lt;=AsOf+AlertDays,2,IF(AG796&lt;=AsOf+2*AlertDays,3,""))))</f>
        <v/>
      </c>
      <c r="AI796" s="79">
        <f>IF(AH796="","","Follow up with "&amp;AA796&amp;": "&amp;AC796)</f>
        <v/>
      </c>
    </row>
    <row r="797" ht="20" customHeight="1">
      <c r="B797" s="72" t="n"/>
      <c r="C797" s="72" t="n"/>
      <c r="D797" s="72" t="n"/>
      <c r="E797" s="72" t="n"/>
      <c r="F797" s="72" t="n"/>
      <c r="G797" s="72" t="n"/>
      <c r="H797" s="72" t="n"/>
      <c r="I797" s="73" t="n"/>
      <c r="J797" s="75">
        <f>IF(B797="","",SUMIFS('Change Orders'!$J$7:$J$1006,'Change Orders'!$E$7:$E$1006,B797,'Change Orders'!$L$7:$L$1006,"Approved"))</f>
        <v/>
      </c>
      <c r="K797" s="76">
        <f>IF(B797="","",I797+J797)</f>
        <v/>
      </c>
      <c r="L797" s="74" t="n"/>
      <c r="M797" s="109" t="n"/>
      <c r="N797" s="109" t="n"/>
      <c r="O797" s="74" t="n"/>
      <c r="P797" s="74" t="n"/>
      <c r="Q797" s="100" t="n"/>
      <c r="R797" s="110" t="n"/>
      <c r="S797" s="75">
        <f>IF(B797="","",SUMIFS('Payments'!$N$6:$N$1005,'Payments'!$B$6:$B$1005,B797))</f>
        <v/>
      </c>
      <c r="T797" s="111">
        <f>IF(OR(B797="",K797=0),"",S797/K797)</f>
        <v/>
      </c>
      <c r="U797" s="78">
        <f>IF(V797="","",IF(V797=2,"⚠️ Paying ahead of work","✓ OK"))</f>
        <v/>
      </c>
      <c r="V797" s="79">
        <f>IF(T797="","",IF(T797-R797&gt;OverpayTol,2,0))</f>
        <v/>
      </c>
      <c r="W797" s="112">
        <f>IF(V797=2,AsOf,"")</f>
        <v/>
      </c>
      <c r="X797" s="79">
        <f>IF(W797="","",1)</f>
        <v/>
      </c>
      <c r="Y797" s="79">
        <f>IF(X797="","","Paying ahead of work: "&amp;B797&amp;" — paid "&amp;ROUND(T797*100,0)&amp;"%, work done "&amp;ROUND(R797*100,0)&amp;"%")</f>
        <v/>
      </c>
      <c r="AA797" s="72" t="n"/>
      <c r="AB797" s="109" t="n"/>
      <c r="AC797" s="113" t="n"/>
      <c r="AD797" s="74" t="n"/>
      <c r="AE797" s="109" t="n"/>
      <c r="AF797" s="74" t="n"/>
      <c r="AG797" s="112">
        <f>IF(AND(AA797&lt;&gt;"",AD797="Yes",AF797&lt;&gt;"Yes",AE797&lt;&gt;""),AE797,"")</f>
        <v/>
      </c>
      <c r="AH797" s="79">
        <f>IF(AG797="","",IF(AG797&lt;AsOf,1,IF(AG797&lt;=AsOf+AlertDays,2,IF(AG797&lt;=AsOf+2*AlertDays,3,""))))</f>
        <v/>
      </c>
      <c r="AI797" s="79">
        <f>IF(AH797="","","Follow up with "&amp;AA797&amp;": "&amp;AC797)</f>
        <v/>
      </c>
    </row>
    <row r="798" ht="20" customHeight="1">
      <c r="B798" s="72" t="n"/>
      <c r="C798" s="72" t="n"/>
      <c r="D798" s="72" t="n"/>
      <c r="E798" s="72" t="n"/>
      <c r="F798" s="72" t="n"/>
      <c r="G798" s="72" t="n"/>
      <c r="H798" s="72" t="n"/>
      <c r="I798" s="73" t="n"/>
      <c r="J798" s="75">
        <f>IF(B798="","",SUMIFS('Change Orders'!$J$7:$J$1006,'Change Orders'!$E$7:$E$1006,B798,'Change Orders'!$L$7:$L$1006,"Approved"))</f>
        <v/>
      </c>
      <c r="K798" s="76">
        <f>IF(B798="","",I798+J798)</f>
        <v/>
      </c>
      <c r="L798" s="74" t="n"/>
      <c r="M798" s="109" t="n"/>
      <c r="N798" s="109" t="n"/>
      <c r="O798" s="74" t="n"/>
      <c r="P798" s="74" t="n"/>
      <c r="Q798" s="100" t="n"/>
      <c r="R798" s="110" t="n"/>
      <c r="S798" s="75">
        <f>IF(B798="","",SUMIFS('Payments'!$N$6:$N$1005,'Payments'!$B$6:$B$1005,B798))</f>
        <v/>
      </c>
      <c r="T798" s="111">
        <f>IF(OR(B798="",K798=0),"",S798/K798)</f>
        <v/>
      </c>
      <c r="U798" s="78">
        <f>IF(V798="","",IF(V798=2,"⚠️ Paying ahead of work","✓ OK"))</f>
        <v/>
      </c>
      <c r="V798" s="79">
        <f>IF(T798="","",IF(T798-R798&gt;OverpayTol,2,0))</f>
        <v/>
      </c>
      <c r="W798" s="112">
        <f>IF(V798=2,AsOf,"")</f>
        <v/>
      </c>
      <c r="X798" s="79">
        <f>IF(W798="","",1)</f>
        <v/>
      </c>
      <c r="Y798" s="79">
        <f>IF(X798="","","Paying ahead of work: "&amp;B798&amp;" — paid "&amp;ROUND(T798*100,0)&amp;"%, work done "&amp;ROUND(R798*100,0)&amp;"%")</f>
        <v/>
      </c>
      <c r="AA798" s="72" t="n"/>
      <c r="AB798" s="109" t="n"/>
      <c r="AC798" s="113" t="n"/>
      <c r="AD798" s="74" t="n"/>
      <c r="AE798" s="109" t="n"/>
      <c r="AF798" s="74" t="n"/>
      <c r="AG798" s="112">
        <f>IF(AND(AA798&lt;&gt;"",AD798="Yes",AF798&lt;&gt;"Yes",AE798&lt;&gt;""),AE798,"")</f>
        <v/>
      </c>
      <c r="AH798" s="79">
        <f>IF(AG798="","",IF(AG798&lt;AsOf,1,IF(AG798&lt;=AsOf+AlertDays,2,IF(AG798&lt;=AsOf+2*AlertDays,3,""))))</f>
        <v/>
      </c>
      <c r="AI798" s="79">
        <f>IF(AH798="","","Follow up with "&amp;AA798&amp;": "&amp;AC798)</f>
        <v/>
      </c>
    </row>
    <row r="799" ht="20" customHeight="1">
      <c r="B799" s="72" t="n"/>
      <c r="C799" s="72" t="n"/>
      <c r="D799" s="72" t="n"/>
      <c r="E799" s="72" t="n"/>
      <c r="F799" s="72" t="n"/>
      <c r="G799" s="72" t="n"/>
      <c r="H799" s="72" t="n"/>
      <c r="I799" s="73" t="n"/>
      <c r="J799" s="75">
        <f>IF(B799="","",SUMIFS('Change Orders'!$J$7:$J$1006,'Change Orders'!$E$7:$E$1006,B799,'Change Orders'!$L$7:$L$1006,"Approved"))</f>
        <v/>
      </c>
      <c r="K799" s="76">
        <f>IF(B799="","",I799+J799)</f>
        <v/>
      </c>
      <c r="L799" s="74" t="n"/>
      <c r="M799" s="109" t="n"/>
      <c r="N799" s="109" t="n"/>
      <c r="O799" s="74" t="n"/>
      <c r="P799" s="74" t="n"/>
      <c r="Q799" s="100" t="n"/>
      <c r="R799" s="110" t="n"/>
      <c r="S799" s="75">
        <f>IF(B799="","",SUMIFS('Payments'!$N$6:$N$1005,'Payments'!$B$6:$B$1005,B799))</f>
        <v/>
      </c>
      <c r="T799" s="111">
        <f>IF(OR(B799="",K799=0),"",S799/K799)</f>
        <v/>
      </c>
      <c r="U799" s="78">
        <f>IF(V799="","",IF(V799=2,"⚠️ Paying ahead of work","✓ OK"))</f>
        <v/>
      </c>
      <c r="V799" s="79">
        <f>IF(T799="","",IF(T799-R799&gt;OverpayTol,2,0))</f>
        <v/>
      </c>
      <c r="W799" s="112">
        <f>IF(V799=2,AsOf,"")</f>
        <v/>
      </c>
      <c r="X799" s="79">
        <f>IF(W799="","",1)</f>
        <v/>
      </c>
      <c r="Y799" s="79">
        <f>IF(X799="","","Paying ahead of work: "&amp;B799&amp;" — paid "&amp;ROUND(T799*100,0)&amp;"%, work done "&amp;ROUND(R799*100,0)&amp;"%")</f>
        <v/>
      </c>
      <c r="AA799" s="72" t="n"/>
      <c r="AB799" s="109" t="n"/>
      <c r="AC799" s="113" t="n"/>
      <c r="AD799" s="74" t="n"/>
      <c r="AE799" s="109" t="n"/>
      <c r="AF799" s="74" t="n"/>
      <c r="AG799" s="112">
        <f>IF(AND(AA799&lt;&gt;"",AD799="Yes",AF799&lt;&gt;"Yes",AE799&lt;&gt;""),AE799,"")</f>
        <v/>
      </c>
      <c r="AH799" s="79">
        <f>IF(AG799="","",IF(AG799&lt;AsOf,1,IF(AG799&lt;=AsOf+AlertDays,2,IF(AG799&lt;=AsOf+2*AlertDays,3,""))))</f>
        <v/>
      </c>
      <c r="AI799" s="79">
        <f>IF(AH799="","","Follow up with "&amp;AA799&amp;": "&amp;AC799)</f>
        <v/>
      </c>
    </row>
    <row r="800" ht="20" customHeight="1">
      <c r="B800" s="72" t="n"/>
      <c r="C800" s="72" t="n"/>
      <c r="D800" s="72" t="n"/>
      <c r="E800" s="72" t="n"/>
      <c r="F800" s="72" t="n"/>
      <c r="G800" s="72" t="n"/>
      <c r="H800" s="72" t="n"/>
      <c r="I800" s="73" t="n"/>
      <c r="J800" s="75">
        <f>IF(B800="","",SUMIFS('Change Orders'!$J$7:$J$1006,'Change Orders'!$E$7:$E$1006,B800,'Change Orders'!$L$7:$L$1006,"Approved"))</f>
        <v/>
      </c>
      <c r="K800" s="76">
        <f>IF(B800="","",I800+J800)</f>
        <v/>
      </c>
      <c r="L800" s="74" t="n"/>
      <c r="M800" s="109" t="n"/>
      <c r="N800" s="109" t="n"/>
      <c r="O800" s="74" t="n"/>
      <c r="P800" s="74" t="n"/>
      <c r="Q800" s="100" t="n"/>
      <c r="R800" s="110" t="n"/>
      <c r="S800" s="75">
        <f>IF(B800="","",SUMIFS('Payments'!$N$6:$N$1005,'Payments'!$B$6:$B$1005,B800))</f>
        <v/>
      </c>
      <c r="T800" s="111">
        <f>IF(OR(B800="",K800=0),"",S800/K800)</f>
        <v/>
      </c>
      <c r="U800" s="78">
        <f>IF(V800="","",IF(V800=2,"⚠️ Paying ahead of work","✓ OK"))</f>
        <v/>
      </c>
      <c r="V800" s="79">
        <f>IF(T800="","",IF(T800-R800&gt;OverpayTol,2,0))</f>
        <v/>
      </c>
      <c r="W800" s="112">
        <f>IF(V800=2,AsOf,"")</f>
        <v/>
      </c>
      <c r="X800" s="79">
        <f>IF(W800="","",1)</f>
        <v/>
      </c>
      <c r="Y800" s="79">
        <f>IF(X800="","","Paying ahead of work: "&amp;B800&amp;" — paid "&amp;ROUND(T800*100,0)&amp;"%, work done "&amp;ROUND(R800*100,0)&amp;"%")</f>
        <v/>
      </c>
      <c r="AA800" s="72" t="n"/>
      <c r="AB800" s="109" t="n"/>
      <c r="AC800" s="113" t="n"/>
      <c r="AD800" s="74" t="n"/>
      <c r="AE800" s="109" t="n"/>
      <c r="AF800" s="74" t="n"/>
      <c r="AG800" s="112">
        <f>IF(AND(AA800&lt;&gt;"",AD800="Yes",AF800&lt;&gt;"Yes",AE800&lt;&gt;""),AE800,"")</f>
        <v/>
      </c>
      <c r="AH800" s="79">
        <f>IF(AG800="","",IF(AG800&lt;AsOf,1,IF(AG800&lt;=AsOf+AlertDays,2,IF(AG800&lt;=AsOf+2*AlertDays,3,""))))</f>
        <v/>
      </c>
      <c r="AI800" s="79">
        <f>IF(AH800="","","Follow up with "&amp;AA800&amp;": "&amp;AC800)</f>
        <v/>
      </c>
    </row>
    <row r="801" ht="20" customHeight="1">
      <c r="B801" s="72" t="n"/>
      <c r="C801" s="72" t="n"/>
      <c r="D801" s="72" t="n"/>
      <c r="E801" s="72" t="n"/>
      <c r="F801" s="72" t="n"/>
      <c r="G801" s="72" t="n"/>
      <c r="H801" s="72" t="n"/>
      <c r="I801" s="73" t="n"/>
      <c r="J801" s="75">
        <f>IF(B801="","",SUMIFS('Change Orders'!$J$7:$J$1006,'Change Orders'!$E$7:$E$1006,B801,'Change Orders'!$L$7:$L$1006,"Approved"))</f>
        <v/>
      </c>
      <c r="K801" s="76">
        <f>IF(B801="","",I801+J801)</f>
        <v/>
      </c>
      <c r="L801" s="74" t="n"/>
      <c r="M801" s="109" t="n"/>
      <c r="N801" s="109" t="n"/>
      <c r="O801" s="74" t="n"/>
      <c r="P801" s="74" t="n"/>
      <c r="Q801" s="100" t="n"/>
      <c r="R801" s="110" t="n"/>
      <c r="S801" s="75">
        <f>IF(B801="","",SUMIFS('Payments'!$N$6:$N$1005,'Payments'!$B$6:$B$1005,B801))</f>
        <v/>
      </c>
      <c r="T801" s="111">
        <f>IF(OR(B801="",K801=0),"",S801/K801)</f>
        <v/>
      </c>
      <c r="U801" s="78">
        <f>IF(V801="","",IF(V801=2,"⚠️ Paying ahead of work","✓ OK"))</f>
        <v/>
      </c>
      <c r="V801" s="79">
        <f>IF(T801="","",IF(T801-R801&gt;OverpayTol,2,0))</f>
        <v/>
      </c>
      <c r="W801" s="112">
        <f>IF(V801=2,AsOf,"")</f>
        <v/>
      </c>
      <c r="X801" s="79">
        <f>IF(W801="","",1)</f>
        <v/>
      </c>
      <c r="Y801" s="79">
        <f>IF(X801="","","Paying ahead of work: "&amp;B801&amp;" — paid "&amp;ROUND(T801*100,0)&amp;"%, work done "&amp;ROUND(R801*100,0)&amp;"%")</f>
        <v/>
      </c>
      <c r="AA801" s="72" t="n"/>
      <c r="AB801" s="109" t="n"/>
      <c r="AC801" s="113" t="n"/>
      <c r="AD801" s="74" t="n"/>
      <c r="AE801" s="109" t="n"/>
      <c r="AF801" s="74" t="n"/>
      <c r="AG801" s="112">
        <f>IF(AND(AA801&lt;&gt;"",AD801="Yes",AF801&lt;&gt;"Yes",AE801&lt;&gt;""),AE801,"")</f>
        <v/>
      </c>
      <c r="AH801" s="79">
        <f>IF(AG801="","",IF(AG801&lt;AsOf,1,IF(AG801&lt;=AsOf+AlertDays,2,IF(AG801&lt;=AsOf+2*AlertDays,3,""))))</f>
        <v/>
      </c>
      <c r="AI801" s="79">
        <f>IF(AH801="","","Follow up with "&amp;AA801&amp;": "&amp;AC801)</f>
        <v/>
      </c>
    </row>
    <row r="802" ht="20" customHeight="1">
      <c r="B802" s="72" t="n"/>
      <c r="C802" s="72" t="n"/>
      <c r="D802" s="72" t="n"/>
      <c r="E802" s="72" t="n"/>
      <c r="F802" s="72" t="n"/>
      <c r="G802" s="72" t="n"/>
      <c r="H802" s="72" t="n"/>
      <c r="I802" s="73" t="n"/>
      <c r="J802" s="75">
        <f>IF(B802="","",SUMIFS('Change Orders'!$J$7:$J$1006,'Change Orders'!$E$7:$E$1006,B802,'Change Orders'!$L$7:$L$1006,"Approved"))</f>
        <v/>
      </c>
      <c r="K802" s="76">
        <f>IF(B802="","",I802+J802)</f>
        <v/>
      </c>
      <c r="L802" s="74" t="n"/>
      <c r="M802" s="109" t="n"/>
      <c r="N802" s="109" t="n"/>
      <c r="O802" s="74" t="n"/>
      <c r="P802" s="74" t="n"/>
      <c r="Q802" s="100" t="n"/>
      <c r="R802" s="110" t="n"/>
      <c r="S802" s="75">
        <f>IF(B802="","",SUMIFS('Payments'!$N$6:$N$1005,'Payments'!$B$6:$B$1005,B802))</f>
        <v/>
      </c>
      <c r="T802" s="111">
        <f>IF(OR(B802="",K802=0),"",S802/K802)</f>
        <v/>
      </c>
      <c r="U802" s="78">
        <f>IF(V802="","",IF(V802=2,"⚠️ Paying ahead of work","✓ OK"))</f>
        <v/>
      </c>
      <c r="V802" s="79">
        <f>IF(T802="","",IF(T802-R802&gt;OverpayTol,2,0))</f>
        <v/>
      </c>
      <c r="W802" s="112">
        <f>IF(V802=2,AsOf,"")</f>
        <v/>
      </c>
      <c r="X802" s="79">
        <f>IF(W802="","",1)</f>
        <v/>
      </c>
      <c r="Y802" s="79">
        <f>IF(X802="","","Paying ahead of work: "&amp;B802&amp;" — paid "&amp;ROUND(T802*100,0)&amp;"%, work done "&amp;ROUND(R802*100,0)&amp;"%")</f>
        <v/>
      </c>
      <c r="AA802" s="72" t="n"/>
      <c r="AB802" s="109" t="n"/>
      <c r="AC802" s="113" t="n"/>
      <c r="AD802" s="74" t="n"/>
      <c r="AE802" s="109" t="n"/>
      <c r="AF802" s="74" t="n"/>
      <c r="AG802" s="112">
        <f>IF(AND(AA802&lt;&gt;"",AD802="Yes",AF802&lt;&gt;"Yes",AE802&lt;&gt;""),AE802,"")</f>
        <v/>
      </c>
      <c r="AH802" s="79">
        <f>IF(AG802="","",IF(AG802&lt;AsOf,1,IF(AG802&lt;=AsOf+AlertDays,2,IF(AG802&lt;=AsOf+2*AlertDays,3,""))))</f>
        <v/>
      </c>
      <c r="AI802" s="79">
        <f>IF(AH802="","","Follow up with "&amp;AA802&amp;": "&amp;AC802)</f>
        <v/>
      </c>
    </row>
    <row r="803" ht="20" customHeight="1">
      <c r="B803" s="72" t="n"/>
      <c r="C803" s="72" t="n"/>
      <c r="D803" s="72" t="n"/>
      <c r="E803" s="72" t="n"/>
      <c r="F803" s="72" t="n"/>
      <c r="G803" s="72" t="n"/>
      <c r="H803" s="72" t="n"/>
      <c r="I803" s="73" t="n"/>
      <c r="J803" s="75">
        <f>IF(B803="","",SUMIFS('Change Orders'!$J$7:$J$1006,'Change Orders'!$E$7:$E$1006,B803,'Change Orders'!$L$7:$L$1006,"Approved"))</f>
        <v/>
      </c>
      <c r="K803" s="76">
        <f>IF(B803="","",I803+J803)</f>
        <v/>
      </c>
      <c r="L803" s="74" t="n"/>
      <c r="M803" s="109" t="n"/>
      <c r="N803" s="109" t="n"/>
      <c r="O803" s="74" t="n"/>
      <c r="P803" s="74" t="n"/>
      <c r="Q803" s="100" t="n"/>
      <c r="R803" s="110" t="n"/>
      <c r="S803" s="75">
        <f>IF(B803="","",SUMIFS('Payments'!$N$6:$N$1005,'Payments'!$B$6:$B$1005,B803))</f>
        <v/>
      </c>
      <c r="T803" s="111">
        <f>IF(OR(B803="",K803=0),"",S803/K803)</f>
        <v/>
      </c>
      <c r="U803" s="78">
        <f>IF(V803="","",IF(V803=2,"⚠️ Paying ahead of work","✓ OK"))</f>
        <v/>
      </c>
      <c r="V803" s="79">
        <f>IF(T803="","",IF(T803-R803&gt;OverpayTol,2,0))</f>
        <v/>
      </c>
      <c r="W803" s="112">
        <f>IF(V803=2,AsOf,"")</f>
        <v/>
      </c>
      <c r="X803" s="79">
        <f>IF(W803="","",1)</f>
        <v/>
      </c>
      <c r="Y803" s="79">
        <f>IF(X803="","","Paying ahead of work: "&amp;B803&amp;" — paid "&amp;ROUND(T803*100,0)&amp;"%, work done "&amp;ROUND(R803*100,0)&amp;"%")</f>
        <v/>
      </c>
      <c r="AA803" s="72" t="n"/>
      <c r="AB803" s="109" t="n"/>
      <c r="AC803" s="113" t="n"/>
      <c r="AD803" s="74" t="n"/>
      <c r="AE803" s="109" t="n"/>
      <c r="AF803" s="74" t="n"/>
      <c r="AG803" s="112">
        <f>IF(AND(AA803&lt;&gt;"",AD803="Yes",AF803&lt;&gt;"Yes",AE803&lt;&gt;""),AE803,"")</f>
        <v/>
      </c>
      <c r="AH803" s="79">
        <f>IF(AG803="","",IF(AG803&lt;AsOf,1,IF(AG803&lt;=AsOf+AlertDays,2,IF(AG803&lt;=AsOf+2*AlertDays,3,""))))</f>
        <v/>
      </c>
      <c r="AI803" s="79">
        <f>IF(AH803="","","Follow up with "&amp;AA803&amp;": "&amp;AC803)</f>
        <v/>
      </c>
    </row>
    <row r="804" ht="20" customHeight="1">
      <c r="B804" s="72" t="n"/>
      <c r="C804" s="72" t="n"/>
      <c r="D804" s="72" t="n"/>
      <c r="E804" s="72" t="n"/>
      <c r="F804" s="72" t="n"/>
      <c r="G804" s="72" t="n"/>
      <c r="H804" s="72" t="n"/>
      <c r="I804" s="73" t="n"/>
      <c r="J804" s="75">
        <f>IF(B804="","",SUMIFS('Change Orders'!$J$7:$J$1006,'Change Orders'!$E$7:$E$1006,B804,'Change Orders'!$L$7:$L$1006,"Approved"))</f>
        <v/>
      </c>
      <c r="K804" s="76">
        <f>IF(B804="","",I804+J804)</f>
        <v/>
      </c>
      <c r="L804" s="74" t="n"/>
      <c r="M804" s="109" t="n"/>
      <c r="N804" s="109" t="n"/>
      <c r="O804" s="74" t="n"/>
      <c r="P804" s="74" t="n"/>
      <c r="Q804" s="100" t="n"/>
      <c r="R804" s="110" t="n"/>
      <c r="S804" s="75">
        <f>IF(B804="","",SUMIFS('Payments'!$N$6:$N$1005,'Payments'!$B$6:$B$1005,B804))</f>
        <v/>
      </c>
      <c r="T804" s="111">
        <f>IF(OR(B804="",K804=0),"",S804/K804)</f>
        <v/>
      </c>
      <c r="U804" s="78">
        <f>IF(V804="","",IF(V804=2,"⚠️ Paying ahead of work","✓ OK"))</f>
        <v/>
      </c>
      <c r="V804" s="79">
        <f>IF(T804="","",IF(T804-R804&gt;OverpayTol,2,0))</f>
        <v/>
      </c>
      <c r="W804" s="112">
        <f>IF(V804=2,AsOf,"")</f>
        <v/>
      </c>
      <c r="X804" s="79">
        <f>IF(W804="","",1)</f>
        <v/>
      </c>
      <c r="Y804" s="79">
        <f>IF(X804="","","Paying ahead of work: "&amp;B804&amp;" — paid "&amp;ROUND(T804*100,0)&amp;"%, work done "&amp;ROUND(R804*100,0)&amp;"%")</f>
        <v/>
      </c>
      <c r="AA804" s="72" t="n"/>
      <c r="AB804" s="109" t="n"/>
      <c r="AC804" s="113" t="n"/>
      <c r="AD804" s="74" t="n"/>
      <c r="AE804" s="109" t="n"/>
      <c r="AF804" s="74" t="n"/>
      <c r="AG804" s="112">
        <f>IF(AND(AA804&lt;&gt;"",AD804="Yes",AF804&lt;&gt;"Yes",AE804&lt;&gt;""),AE804,"")</f>
        <v/>
      </c>
      <c r="AH804" s="79">
        <f>IF(AG804="","",IF(AG804&lt;AsOf,1,IF(AG804&lt;=AsOf+AlertDays,2,IF(AG804&lt;=AsOf+2*AlertDays,3,""))))</f>
        <v/>
      </c>
      <c r="AI804" s="79">
        <f>IF(AH804="","","Follow up with "&amp;AA804&amp;": "&amp;AC804)</f>
        <v/>
      </c>
    </row>
    <row r="805" ht="20" customHeight="1">
      <c r="B805" s="72" t="n"/>
      <c r="C805" s="72" t="n"/>
      <c r="D805" s="72" t="n"/>
      <c r="E805" s="72" t="n"/>
      <c r="F805" s="72" t="n"/>
      <c r="G805" s="72" t="n"/>
      <c r="H805" s="72" t="n"/>
      <c r="I805" s="73" t="n"/>
      <c r="J805" s="75">
        <f>IF(B805="","",SUMIFS('Change Orders'!$J$7:$J$1006,'Change Orders'!$E$7:$E$1006,B805,'Change Orders'!$L$7:$L$1006,"Approved"))</f>
        <v/>
      </c>
      <c r="K805" s="76">
        <f>IF(B805="","",I805+J805)</f>
        <v/>
      </c>
      <c r="L805" s="74" t="n"/>
      <c r="M805" s="109" t="n"/>
      <c r="N805" s="109" t="n"/>
      <c r="O805" s="74" t="n"/>
      <c r="P805" s="74" t="n"/>
      <c r="Q805" s="100" t="n"/>
      <c r="R805" s="110" t="n"/>
      <c r="S805" s="75">
        <f>IF(B805="","",SUMIFS('Payments'!$N$6:$N$1005,'Payments'!$B$6:$B$1005,B805))</f>
        <v/>
      </c>
      <c r="T805" s="111">
        <f>IF(OR(B805="",K805=0),"",S805/K805)</f>
        <v/>
      </c>
      <c r="U805" s="78">
        <f>IF(V805="","",IF(V805=2,"⚠️ Paying ahead of work","✓ OK"))</f>
        <v/>
      </c>
      <c r="V805" s="79">
        <f>IF(T805="","",IF(T805-R805&gt;OverpayTol,2,0))</f>
        <v/>
      </c>
      <c r="W805" s="112">
        <f>IF(V805=2,AsOf,"")</f>
        <v/>
      </c>
      <c r="X805" s="79">
        <f>IF(W805="","",1)</f>
        <v/>
      </c>
      <c r="Y805" s="79">
        <f>IF(X805="","","Paying ahead of work: "&amp;B805&amp;" — paid "&amp;ROUND(T805*100,0)&amp;"%, work done "&amp;ROUND(R805*100,0)&amp;"%")</f>
        <v/>
      </c>
      <c r="AA805" s="72" t="n"/>
      <c r="AB805" s="109" t="n"/>
      <c r="AC805" s="113" t="n"/>
      <c r="AD805" s="74" t="n"/>
      <c r="AE805" s="109" t="n"/>
      <c r="AF805" s="74" t="n"/>
      <c r="AG805" s="112">
        <f>IF(AND(AA805&lt;&gt;"",AD805="Yes",AF805&lt;&gt;"Yes",AE805&lt;&gt;""),AE805,"")</f>
        <v/>
      </c>
      <c r="AH805" s="79">
        <f>IF(AG805="","",IF(AG805&lt;AsOf,1,IF(AG805&lt;=AsOf+AlertDays,2,IF(AG805&lt;=AsOf+2*AlertDays,3,""))))</f>
        <v/>
      </c>
      <c r="AI805" s="79">
        <f>IF(AH805="","","Follow up with "&amp;AA805&amp;": "&amp;AC805)</f>
        <v/>
      </c>
    </row>
    <row r="806" ht="20" customHeight="1">
      <c r="B806" s="72" t="n"/>
      <c r="C806" s="72" t="n"/>
      <c r="D806" s="72" t="n"/>
      <c r="E806" s="72" t="n"/>
      <c r="F806" s="72" t="n"/>
      <c r="G806" s="72" t="n"/>
      <c r="H806" s="72" t="n"/>
      <c r="I806" s="73" t="n"/>
      <c r="J806" s="75">
        <f>IF(B806="","",SUMIFS('Change Orders'!$J$7:$J$1006,'Change Orders'!$E$7:$E$1006,B806,'Change Orders'!$L$7:$L$1006,"Approved"))</f>
        <v/>
      </c>
      <c r="K806" s="76">
        <f>IF(B806="","",I806+J806)</f>
        <v/>
      </c>
      <c r="L806" s="74" t="n"/>
      <c r="M806" s="109" t="n"/>
      <c r="N806" s="109" t="n"/>
      <c r="O806" s="74" t="n"/>
      <c r="P806" s="74" t="n"/>
      <c r="Q806" s="100" t="n"/>
      <c r="R806" s="110" t="n"/>
      <c r="S806" s="75">
        <f>IF(B806="","",SUMIFS('Payments'!$N$6:$N$1005,'Payments'!$B$6:$B$1005,B806))</f>
        <v/>
      </c>
      <c r="T806" s="111">
        <f>IF(OR(B806="",K806=0),"",S806/K806)</f>
        <v/>
      </c>
      <c r="U806" s="78">
        <f>IF(V806="","",IF(V806=2,"⚠️ Paying ahead of work","✓ OK"))</f>
        <v/>
      </c>
      <c r="V806" s="79">
        <f>IF(T806="","",IF(T806-R806&gt;OverpayTol,2,0))</f>
        <v/>
      </c>
      <c r="W806" s="112">
        <f>IF(V806=2,AsOf,"")</f>
        <v/>
      </c>
      <c r="X806" s="79">
        <f>IF(W806="","",1)</f>
        <v/>
      </c>
      <c r="Y806" s="79">
        <f>IF(X806="","","Paying ahead of work: "&amp;B806&amp;" — paid "&amp;ROUND(T806*100,0)&amp;"%, work done "&amp;ROUND(R806*100,0)&amp;"%")</f>
        <v/>
      </c>
      <c r="AA806" s="72" t="n"/>
      <c r="AB806" s="109" t="n"/>
      <c r="AC806" s="113" t="n"/>
      <c r="AD806" s="74" t="n"/>
      <c r="AE806" s="109" t="n"/>
      <c r="AF806" s="74" t="n"/>
      <c r="AG806" s="112">
        <f>IF(AND(AA806&lt;&gt;"",AD806="Yes",AF806&lt;&gt;"Yes",AE806&lt;&gt;""),AE806,"")</f>
        <v/>
      </c>
      <c r="AH806" s="79">
        <f>IF(AG806="","",IF(AG806&lt;AsOf,1,IF(AG806&lt;=AsOf+AlertDays,2,IF(AG806&lt;=AsOf+2*AlertDays,3,""))))</f>
        <v/>
      </c>
      <c r="AI806" s="79">
        <f>IF(AH806="","","Follow up with "&amp;AA806&amp;": "&amp;AC806)</f>
        <v/>
      </c>
    </row>
    <row r="807" ht="20" customHeight="1">
      <c r="B807" s="72" t="n"/>
      <c r="C807" s="72" t="n"/>
      <c r="D807" s="72" t="n"/>
      <c r="E807" s="72" t="n"/>
      <c r="F807" s="72" t="n"/>
      <c r="G807" s="72" t="n"/>
      <c r="H807" s="72" t="n"/>
      <c r="I807" s="73" t="n"/>
      <c r="J807" s="75">
        <f>IF(B807="","",SUMIFS('Change Orders'!$J$7:$J$1006,'Change Orders'!$E$7:$E$1006,B807,'Change Orders'!$L$7:$L$1006,"Approved"))</f>
        <v/>
      </c>
      <c r="K807" s="76">
        <f>IF(B807="","",I807+J807)</f>
        <v/>
      </c>
      <c r="L807" s="74" t="n"/>
      <c r="M807" s="109" t="n"/>
      <c r="N807" s="109" t="n"/>
      <c r="O807" s="74" t="n"/>
      <c r="P807" s="74" t="n"/>
      <c r="Q807" s="100" t="n"/>
      <c r="R807" s="110" t="n"/>
      <c r="S807" s="75">
        <f>IF(B807="","",SUMIFS('Payments'!$N$6:$N$1005,'Payments'!$B$6:$B$1005,B807))</f>
        <v/>
      </c>
      <c r="T807" s="111">
        <f>IF(OR(B807="",K807=0),"",S807/K807)</f>
        <v/>
      </c>
      <c r="U807" s="78">
        <f>IF(V807="","",IF(V807=2,"⚠️ Paying ahead of work","✓ OK"))</f>
        <v/>
      </c>
      <c r="V807" s="79">
        <f>IF(T807="","",IF(T807-R807&gt;OverpayTol,2,0))</f>
        <v/>
      </c>
      <c r="W807" s="112">
        <f>IF(V807=2,AsOf,"")</f>
        <v/>
      </c>
      <c r="X807" s="79">
        <f>IF(W807="","",1)</f>
        <v/>
      </c>
      <c r="Y807" s="79">
        <f>IF(X807="","","Paying ahead of work: "&amp;B807&amp;" — paid "&amp;ROUND(T807*100,0)&amp;"%, work done "&amp;ROUND(R807*100,0)&amp;"%")</f>
        <v/>
      </c>
      <c r="AA807" s="72" t="n"/>
      <c r="AB807" s="109" t="n"/>
      <c r="AC807" s="113" t="n"/>
      <c r="AD807" s="74" t="n"/>
      <c r="AE807" s="109" t="n"/>
      <c r="AF807" s="74" t="n"/>
      <c r="AG807" s="112">
        <f>IF(AND(AA807&lt;&gt;"",AD807="Yes",AF807&lt;&gt;"Yes",AE807&lt;&gt;""),AE807,"")</f>
        <v/>
      </c>
      <c r="AH807" s="79">
        <f>IF(AG807="","",IF(AG807&lt;AsOf,1,IF(AG807&lt;=AsOf+AlertDays,2,IF(AG807&lt;=AsOf+2*AlertDays,3,""))))</f>
        <v/>
      </c>
      <c r="AI807" s="79">
        <f>IF(AH807="","","Follow up with "&amp;AA807&amp;": "&amp;AC807)</f>
        <v/>
      </c>
    </row>
    <row r="808" ht="20" customHeight="1">
      <c r="B808" s="72" t="n"/>
      <c r="C808" s="72" t="n"/>
      <c r="D808" s="72" t="n"/>
      <c r="E808" s="72" t="n"/>
      <c r="F808" s="72" t="n"/>
      <c r="G808" s="72" t="n"/>
      <c r="H808" s="72" t="n"/>
      <c r="I808" s="73" t="n"/>
      <c r="J808" s="75">
        <f>IF(B808="","",SUMIFS('Change Orders'!$J$7:$J$1006,'Change Orders'!$E$7:$E$1006,B808,'Change Orders'!$L$7:$L$1006,"Approved"))</f>
        <v/>
      </c>
      <c r="K808" s="76">
        <f>IF(B808="","",I808+J808)</f>
        <v/>
      </c>
      <c r="L808" s="74" t="n"/>
      <c r="M808" s="109" t="n"/>
      <c r="N808" s="109" t="n"/>
      <c r="O808" s="74" t="n"/>
      <c r="P808" s="74" t="n"/>
      <c r="Q808" s="100" t="n"/>
      <c r="R808" s="110" t="n"/>
      <c r="S808" s="75">
        <f>IF(B808="","",SUMIFS('Payments'!$N$6:$N$1005,'Payments'!$B$6:$B$1005,B808))</f>
        <v/>
      </c>
      <c r="T808" s="111">
        <f>IF(OR(B808="",K808=0),"",S808/K808)</f>
        <v/>
      </c>
      <c r="U808" s="78">
        <f>IF(V808="","",IF(V808=2,"⚠️ Paying ahead of work","✓ OK"))</f>
        <v/>
      </c>
      <c r="V808" s="79">
        <f>IF(T808="","",IF(T808-R808&gt;OverpayTol,2,0))</f>
        <v/>
      </c>
      <c r="W808" s="112">
        <f>IF(V808=2,AsOf,"")</f>
        <v/>
      </c>
      <c r="X808" s="79">
        <f>IF(W808="","",1)</f>
        <v/>
      </c>
      <c r="Y808" s="79">
        <f>IF(X808="","","Paying ahead of work: "&amp;B808&amp;" — paid "&amp;ROUND(T808*100,0)&amp;"%, work done "&amp;ROUND(R808*100,0)&amp;"%")</f>
        <v/>
      </c>
      <c r="AA808" s="72" t="n"/>
      <c r="AB808" s="109" t="n"/>
      <c r="AC808" s="113" t="n"/>
      <c r="AD808" s="74" t="n"/>
      <c r="AE808" s="109" t="n"/>
      <c r="AF808" s="74" t="n"/>
      <c r="AG808" s="112">
        <f>IF(AND(AA808&lt;&gt;"",AD808="Yes",AF808&lt;&gt;"Yes",AE808&lt;&gt;""),AE808,"")</f>
        <v/>
      </c>
      <c r="AH808" s="79">
        <f>IF(AG808="","",IF(AG808&lt;AsOf,1,IF(AG808&lt;=AsOf+AlertDays,2,IF(AG808&lt;=AsOf+2*AlertDays,3,""))))</f>
        <v/>
      </c>
      <c r="AI808" s="79">
        <f>IF(AH808="","","Follow up with "&amp;AA808&amp;": "&amp;AC808)</f>
        <v/>
      </c>
    </row>
    <row r="809" ht="20" customHeight="1">
      <c r="B809" s="72" t="n"/>
      <c r="C809" s="72" t="n"/>
      <c r="D809" s="72" t="n"/>
      <c r="E809" s="72" t="n"/>
      <c r="F809" s="72" t="n"/>
      <c r="G809" s="72" t="n"/>
      <c r="H809" s="72" t="n"/>
      <c r="I809" s="73" t="n"/>
      <c r="J809" s="75">
        <f>IF(B809="","",SUMIFS('Change Orders'!$J$7:$J$1006,'Change Orders'!$E$7:$E$1006,B809,'Change Orders'!$L$7:$L$1006,"Approved"))</f>
        <v/>
      </c>
      <c r="K809" s="76">
        <f>IF(B809="","",I809+J809)</f>
        <v/>
      </c>
      <c r="L809" s="74" t="n"/>
      <c r="M809" s="109" t="n"/>
      <c r="N809" s="109" t="n"/>
      <c r="O809" s="74" t="n"/>
      <c r="P809" s="74" t="n"/>
      <c r="Q809" s="100" t="n"/>
      <c r="R809" s="110" t="n"/>
      <c r="S809" s="75">
        <f>IF(B809="","",SUMIFS('Payments'!$N$6:$N$1005,'Payments'!$B$6:$B$1005,B809))</f>
        <v/>
      </c>
      <c r="T809" s="111">
        <f>IF(OR(B809="",K809=0),"",S809/K809)</f>
        <v/>
      </c>
      <c r="U809" s="78">
        <f>IF(V809="","",IF(V809=2,"⚠️ Paying ahead of work","✓ OK"))</f>
        <v/>
      </c>
      <c r="V809" s="79">
        <f>IF(T809="","",IF(T809-R809&gt;OverpayTol,2,0))</f>
        <v/>
      </c>
      <c r="W809" s="112">
        <f>IF(V809=2,AsOf,"")</f>
        <v/>
      </c>
      <c r="X809" s="79">
        <f>IF(W809="","",1)</f>
        <v/>
      </c>
      <c r="Y809" s="79">
        <f>IF(X809="","","Paying ahead of work: "&amp;B809&amp;" — paid "&amp;ROUND(T809*100,0)&amp;"%, work done "&amp;ROUND(R809*100,0)&amp;"%")</f>
        <v/>
      </c>
      <c r="AA809" s="72" t="n"/>
      <c r="AB809" s="109" t="n"/>
      <c r="AC809" s="113" t="n"/>
      <c r="AD809" s="74" t="n"/>
      <c r="AE809" s="109" t="n"/>
      <c r="AF809" s="74" t="n"/>
      <c r="AG809" s="112">
        <f>IF(AND(AA809&lt;&gt;"",AD809="Yes",AF809&lt;&gt;"Yes",AE809&lt;&gt;""),AE809,"")</f>
        <v/>
      </c>
      <c r="AH809" s="79">
        <f>IF(AG809="","",IF(AG809&lt;AsOf,1,IF(AG809&lt;=AsOf+AlertDays,2,IF(AG809&lt;=AsOf+2*AlertDays,3,""))))</f>
        <v/>
      </c>
      <c r="AI809" s="79">
        <f>IF(AH809="","","Follow up with "&amp;AA809&amp;": "&amp;AC809)</f>
        <v/>
      </c>
    </row>
    <row r="810" ht="20" customHeight="1">
      <c r="B810" s="72" t="n"/>
      <c r="C810" s="72" t="n"/>
      <c r="D810" s="72" t="n"/>
      <c r="E810" s="72" t="n"/>
      <c r="F810" s="72" t="n"/>
      <c r="G810" s="72" t="n"/>
      <c r="H810" s="72" t="n"/>
      <c r="I810" s="73" t="n"/>
      <c r="J810" s="75">
        <f>IF(B810="","",SUMIFS('Change Orders'!$J$7:$J$1006,'Change Orders'!$E$7:$E$1006,B810,'Change Orders'!$L$7:$L$1006,"Approved"))</f>
        <v/>
      </c>
      <c r="K810" s="76">
        <f>IF(B810="","",I810+J810)</f>
        <v/>
      </c>
      <c r="L810" s="74" t="n"/>
      <c r="M810" s="109" t="n"/>
      <c r="N810" s="109" t="n"/>
      <c r="O810" s="74" t="n"/>
      <c r="P810" s="74" t="n"/>
      <c r="Q810" s="100" t="n"/>
      <c r="R810" s="110" t="n"/>
      <c r="S810" s="75">
        <f>IF(B810="","",SUMIFS('Payments'!$N$6:$N$1005,'Payments'!$B$6:$B$1005,B810))</f>
        <v/>
      </c>
      <c r="T810" s="111">
        <f>IF(OR(B810="",K810=0),"",S810/K810)</f>
        <v/>
      </c>
      <c r="U810" s="78">
        <f>IF(V810="","",IF(V810=2,"⚠️ Paying ahead of work","✓ OK"))</f>
        <v/>
      </c>
      <c r="V810" s="79">
        <f>IF(T810="","",IF(T810-R810&gt;OverpayTol,2,0))</f>
        <v/>
      </c>
      <c r="W810" s="112">
        <f>IF(V810=2,AsOf,"")</f>
        <v/>
      </c>
      <c r="X810" s="79">
        <f>IF(W810="","",1)</f>
        <v/>
      </c>
      <c r="Y810" s="79">
        <f>IF(X810="","","Paying ahead of work: "&amp;B810&amp;" — paid "&amp;ROUND(T810*100,0)&amp;"%, work done "&amp;ROUND(R810*100,0)&amp;"%")</f>
        <v/>
      </c>
      <c r="AA810" s="72" t="n"/>
      <c r="AB810" s="109" t="n"/>
      <c r="AC810" s="113" t="n"/>
      <c r="AD810" s="74" t="n"/>
      <c r="AE810" s="109" t="n"/>
      <c r="AF810" s="74" t="n"/>
      <c r="AG810" s="112">
        <f>IF(AND(AA810&lt;&gt;"",AD810="Yes",AF810&lt;&gt;"Yes",AE810&lt;&gt;""),AE810,"")</f>
        <v/>
      </c>
      <c r="AH810" s="79">
        <f>IF(AG810="","",IF(AG810&lt;AsOf,1,IF(AG810&lt;=AsOf+AlertDays,2,IF(AG810&lt;=AsOf+2*AlertDays,3,""))))</f>
        <v/>
      </c>
      <c r="AI810" s="79">
        <f>IF(AH810="","","Follow up with "&amp;AA810&amp;": "&amp;AC810)</f>
        <v/>
      </c>
    </row>
    <row r="811" ht="20" customHeight="1">
      <c r="B811" s="72" t="n"/>
      <c r="C811" s="72" t="n"/>
      <c r="D811" s="72" t="n"/>
      <c r="E811" s="72" t="n"/>
      <c r="F811" s="72" t="n"/>
      <c r="G811" s="72" t="n"/>
      <c r="H811" s="72" t="n"/>
      <c r="I811" s="73" t="n"/>
      <c r="J811" s="75">
        <f>IF(B811="","",SUMIFS('Change Orders'!$J$7:$J$1006,'Change Orders'!$E$7:$E$1006,B811,'Change Orders'!$L$7:$L$1006,"Approved"))</f>
        <v/>
      </c>
      <c r="K811" s="76">
        <f>IF(B811="","",I811+J811)</f>
        <v/>
      </c>
      <c r="L811" s="74" t="n"/>
      <c r="M811" s="109" t="n"/>
      <c r="N811" s="109" t="n"/>
      <c r="O811" s="74" t="n"/>
      <c r="P811" s="74" t="n"/>
      <c r="Q811" s="100" t="n"/>
      <c r="R811" s="110" t="n"/>
      <c r="S811" s="75">
        <f>IF(B811="","",SUMIFS('Payments'!$N$6:$N$1005,'Payments'!$B$6:$B$1005,B811))</f>
        <v/>
      </c>
      <c r="T811" s="111">
        <f>IF(OR(B811="",K811=0),"",S811/K811)</f>
        <v/>
      </c>
      <c r="U811" s="78">
        <f>IF(V811="","",IF(V811=2,"⚠️ Paying ahead of work","✓ OK"))</f>
        <v/>
      </c>
      <c r="V811" s="79">
        <f>IF(T811="","",IF(T811-R811&gt;OverpayTol,2,0))</f>
        <v/>
      </c>
      <c r="W811" s="112">
        <f>IF(V811=2,AsOf,"")</f>
        <v/>
      </c>
      <c r="X811" s="79">
        <f>IF(W811="","",1)</f>
        <v/>
      </c>
      <c r="Y811" s="79">
        <f>IF(X811="","","Paying ahead of work: "&amp;B811&amp;" — paid "&amp;ROUND(T811*100,0)&amp;"%, work done "&amp;ROUND(R811*100,0)&amp;"%")</f>
        <v/>
      </c>
      <c r="AA811" s="72" t="n"/>
      <c r="AB811" s="109" t="n"/>
      <c r="AC811" s="113" t="n"/>
      <c r="AD811" s="74" t="n"/>
      <c r="AE811" s="109" t="n"/>
      <c r="AF811" s="74" t="n"/>
      <c r="AG811" s="112">
        <f>IF(AND(AA811&lt;&gt;"",AD811="Yes",AF811&lt;&gt;"Yes",AE811&lt;&gt;""),AE811,"")</f>
        <v/>
      </c>
      <c r="AH811" s="79">
        <f>IF(AG811="","",IF(AG811&lt;AsOf,1,IF(AG811&lt;=AsOf+AlertDays,2,IF(AG811&lt;=AsOf+2*AlertDays,3,""))))</f>
        <v/>
      </c>
      <c r="AI811" s="79">
        <f>IF(AH811="","","Follow up with "&amp;AA811&amp;": "&amp;AC811)</f>
        <v/>
      </c>
    </row>
    <row r="812" ht="20" customHeight="1">
      <c r="B812" s="72" t="n"/>
      <c r="C812" s="72" t="n"/>
      <c r="D812" s="72" t="n"/>
      <c r="E812" s="72" t="n"/>
      <c r="F812" s="72" t="n"/>
      <c r="G812" s="72" t="n"/>
      <c r="H812" s="72" t="n"/>
      <c r="I812" s="73" t="n"/>
      <c r="J812" s="75">
        <f>IF(B812="","",SUMIFS('Change Orders'!$J$7:$J$1006,'Change Orders'!$E$7:$E$1006,B812,'Change Orders'!$L$7:$L$1006,"Approved"))</f>
        <v/>
      </c>
      <c r="K812" s="76">
        <f>IF(B812="","",I812+J812)</f>
        <v/>
      </c>
      <c r="L812" s="74" t="n"/>
      <c r="M812" s="109" t="n"/>
      <c r="N812" s="109" t="n"/>
      <c r="O812" s="74" t="n"/>
      <c r="P812" s="74" t="n"/>
      <c r="Q812" s="100" t="n"/>
      <c r="R812" s="110" t="n"/>
      <c r="S812" s="75">
        <f>IF(B812="","",SUMIFS('Payments'!$N$6:$N$1005,'Payments'!$B$6:$B$1005,B812))</f>
        <v/>
      </c>
      <c r="T812" s="111">
        <f>IF(OR(B812="",K812=0),"",S812/K812)</f>
        <v/>
      </c>
      <c r="U812" s="78">
        <f>IF(V812="","",IF(V812=2,"⚠️ Paying ahead of work","✓ OK"))</f>
        <v/>
      </c>
      <c r="V812" s="79">
        <f>IF(T812="","",IF(T812-R812&gt;OverpayTol,2,0))</f>
        <v/>
      </c>
      <c r="W812" s="112">
        <f>IF(V812=2,AsOf,"")</f>
        <v/>
      </c>
      <c r="X812" s="79">
        <f>IF(W812="","",1)</f>
        <v/>
      </c>
      <c r="Y812" s="79">
        <f>IF(X812="","","Paying ahead of work: "&amp;B812&amp;" — paid "&amp;ROUND(T812*100,0)&amp;"%, work done "&amp;ROUND(R812*100,0)&amp;"%")</f>
        <v/>
      </c>
      <c r="AA812" s="72" t="n"/>
      <c r="AB812" s="109" t="n"/>
      <c r="AC812" s="113" t="n"/>
      <c r="AD812" s="74" t="n"/>
      <c r="AE812" s="109" t="n"/>
      <c r="AF812" s="74" t="n"/>
      <c r="AG812" s="112">
        <f>IF(AND(AA812&lt;&gt;"",AD812="Yes",AF812&lt;&gt;"Yes",AE812&lt;&gt;""),AE812,"")</f>
        <v/>
      </c>
      <c r="AH812" s="79">
        <f>IF(AG812="","",IF(AG812&lt;AsOf,1,IF(AG812&lt;=AsOf+AlertDays,2,IF(AG812&lt;=AsOf+2*AlertDays,3,""))))</f>
        <v/>
      </c>
      <c r="AI812" s="79">
        <f>IF(AH812="","","Follow up with "&amp;AA812&amp;": "&amp;AC812)</f>
        <v/>
      </c>
    </row>
    <row r="813" ht="20" customHeight="1">
      <c r="B813" s="72" t="n"/>
      <c r="C813" s="72" t="n"/>
      <c r="D813" s="72" t="n"/>
      <c r="E813" s="72" t="n"/>
      <c r="F813" s="72" t="n"/>
      <c r="G813" s="72" t="n"/>
      <c r="H813" s="72" t="n"/>
      <c r="I813" s="73" t="n"/>
      <c r="J813" s="75">
        <f>IF(B813="","",SUMIFS('Change Orders'!$J$7:$J$1006,'Change Orders'!$E$7:$E$1006,B813,'Change Orders'!$L$7:$L$1006,"Approved"))</f>
        <v/>
      </c>
      <c r="K813" s="76">
        <f>IF(B813="","",I813+J813)</f>
        <v/>
      </c>
      <c r="L813" s="74" t="n"/>
      <c r="M813" s="109" t="n"/>
      <c r="N813" s="109" t="n"/>
      <c r="O813" s="74" t="n"/>
      <c r="P813" s="74" t="n"/>
      <c r="Q813" s="100" t="n"/>
      <c r="R813" s="110" t="n"/>
      <c r="S813" s="75">
        <f>IF(B813="","",SUMIFS('Payments'!$N$6:$N$1005,'Payments'!$B$6:$B$1005,B813))</f>
        <v/>
      </c>
      <c r="T813" s="111">
        <f>IF(OR(B813="",K813=0),"",S813/K813)</f>
        <v/>
      </c>
      <c r="U813" s="78">
        <f>IF(V813="","",IF(V813=2,"⚠️ Paying ahead of work","✓ OK"))</f>
        <v/>
      </c>
      <c r="V813" s="79">
        <f>IF(T813="","",IF(T813-R813&gt;OverpayTol,2,0))</f>
        <v/>
      </c>
      <c r="W813" s="112">
        <f>IF(V813=2,AsOf,"")</f>
        <v/>
      </c>
      <c r="X813" s="79">
        <f>IF(W813="","",1)</f>
        <v/>
      </c>
      <c r="Y813" s="79">
        <f>IF(X813="","","Paying ahead of work: "&amp;B813&amp;" — paid "&amp;ROUND(T813*100,0)&amp;"%, work done "&amp;ROUND(R813*100,0)&amp;"%")</f>
        <v/>
      </c>
      <c r="AA813" s="72" t="n"/>
      <c r="AB813" s="109" t="n"/>
      <c r="AC813" s="113" t="n"/>
      <c r="AD813" s="74" t="n"/>
      <c r="AE813" s="109" t="n"/>
      <c r="AF813" s="74" t="n"/>
      <c r="AG813" s="112">
        <f>IF(AND(AA813&lt;&gt;"",AD813="Yes",AF813&lt;&gt;"Yes",AE813&lt;&gt;""),AE813,"")</f>
        <v/>
      </c>
      <c r="AH813" s="79">
        <f>IF(AG813="","",IF(AG813&lt;AsOf,1,IF(AG813&lt;=AsOf+AlertDays,2,IF(AG813&lt;=AsOf+2*AlertDays,3,""))))</f>
        <v/>
      </c>
      <c r="AI813" s="79">
        <f>IF(AH813="","","Follow up with "&amp;AA813&amp;": "&amp;AC813)</f>
        <v/>
      </c>
    </row>
    <row r="814" ht="20" customHeight="1">
      <c r="B814" s="72" t="n"/>
      <c r="C814" s="72" t="n"/>
      <c r="D814" s="72" t="n"/>
      <c r="E814" s="72" t="n"/>
      <c r="F814" s="72" t="n"/>
      <c r="G814" s="72" t="n"/>
      <c r="H814" s="72" t="n"/>
      <c r="I814" s="73" t="n"/>
      <c r="J814" s="75">
        <f>IF(B814="","",SUMIFS('Change Orders'!$J$7:$J$1006,'Change Orders'!$E$7:$E$1006,B814,'Change Orders'!$L$7:$L$1006,"Approved"))</f>
        <v/>
      </c>
      <c r="K814" s="76">
        <f>IF(B814="","",I814+J814)</f>
        <v/>
      </c>
      <c r="L814" s="74" t="n"/>
      <c r="M814" s="109" t="n"/>
      <c r="N814" s="109" t="n"/>
      <c r="O814" s="74" t="n"/>
      <c r="P814" s="74" t="n"/>
      <c r="Q814" s="100" t="n"/>
      <c r="R814" s="110" t="n"/>
      <c r="S814" s="75">
        <f>IF(B814="","",SUMIFS('Payments'!$N$6:$N$1005,'Payments'!$B$6:$B$1005,B814))</f>
        <v/>
      </c>
      <c r="T814" s="111">
        <f>IF(OR(B814="",K814=0),"",S814/K814)</f>
        <v/>
      </c>
      <c r="U814" s="78">
        <f>IF(V814="","",IF(V814=2,"⚠️ Paying ahead of work","✓ OK"))</f>
        <v/>
      </c>
      <c r="V814" s="79">
        <f>IF(T814="","",IF(T814-R814&gt;OverpayTol,2,0))</f>
        <v/>
      </c>
      <c r="W814" s="112">
        <f>IF(V814=2,AsOf,"")</f>
        <v/>
      </c>
      <c r="X814" s="79">
        <f>IF(W814="","",1)</f>
        <v/>
      </c>
      <c r="Y814" s="79">
        <f>IF(X814="","","Paying ahead of work: "&amp;B814&amp;" — paid "&amp;ROUND(T814*100,0)&amp;"%, work done "&amp;ROUND(R814*100,0)&amp;"%")</f>
        <v/>
      </c>
      <c r="AA814" s="72" t="n"/>
      <c r="AB814" s="109" t="n"/>
      <c r="AC814" s="113" t="n"/>
      <c r="AD814" s="74" t="n"/>
      <c r="AE814" s="109" t="n"/>
      <c r="AF814" s="74" t="n"/>
      <c r="AG814" s="112">
        <f>IF(AND(AA814&lt;&gt;"",AD814="Yes",AF814&lt;&gt;"Yes",AE814&lt;&gt;""),AE814,"")</f>
        <v/>
      </c>
      <c r="AH814" s="79">
        <f>IF(AG814="","",IF(AG814&lt;AsOf,1,IF(AG814&lt;=AsOf+AlertDays,2,IF(AG814&lt;=AsOf+2*AlertDays,3,""))))</f>
        <v/>
      </c>
      <c r="AI814" s="79">
        <f>IF(AH814="","","Follow up with "&amp;AA814&amp;": "&amp;AC814)</f>
        <v/>
      </c>
    </row>
    <row r="815" ht="20" customHeight="1">
      <c r="B815" s="72" t="n"/>
      <c r="C815" s="72" t="n"/>
      <c r="D815" s="72" t="n"/>
      <c r="E815" s="72" t="n"/>
      <c r="F815" s="72" t="n"/>
      <c r="G815" s="72" t="n"/>
      <c r="H815" s="72" t="n"/>
      <c r="I815" s="73" t="n"/>
      <c r="J815" s="75">
        <f>IF(B815="","",SUMIFS('Change Orders'!$J$7:$J$1006,'Change Orders'!$E$7:$E$1006,B815,'Change Orders'!$L$7:$L$1006,"Approved"))</f>
        <v/>
      </c>
      <c r="K815" s="76">
        <f>IF(B815="","",I815+J815)</f>
        <v/>
      </c>
      <c r="L815" s="74" t="n"/>
      <c r="M815" s="109" t="n"/>
      <c r="N815" s="109" t="n"/>
      <c r="O815" s="74" t="n"/>
      <c r="P815" s="74" t="n"/>
      <c r="Q815" s="100" t="n"/>
      <c r="R815" s="110" t="n"/>
      <c r="S815" s="75">
        <f>IF(B815="","",SUMIFS('Payments'!$N$6:$N$1005,'Payments'!$B$6:$B$1005,B815))</f>
        <v/>
      </c>
      <c r="T815" s="111">
        <f>IF(OR(B815="",K815=0),"",S815/K815)</f>
        <v/>
      </c>
      <c r="U815" s="78">
        <f>IF(V815="","",IF(V815=2,"⚠️ Paying ahead of work","✓ OK"))</f>
        <v/>
      </c>
      <c r="V815" s="79">
        <f>IF(T815="","",IF(T815-R815&gt;OverpayTol,2,0))</f>
        <v/>
      </c>
      <c r="W815" s="112">
        <f>IF(V815=2,AsOf,"")</f>
        <v/>
      </c>
      <c r="X815" s="79">
        <f>IF(W815="","",1)</f>
        <v/>
      </c>
      <c r="Y815" s="79">
        <f>IF(X815="","","Paying ahead of work: "&amp;B815&amp;" — paid "&amp;ROUND(T815*100,0)&amp;"%, work done "&amp;ROUND(R815*100,0)&amp;"%")</f>
        <v/>
      </c>
      <c r="AA815" s="72" t="n"/>
      <c r="AB815" s="109" t="n"/>
      <c r="AC815" s="113" t="n"/>
      <c r="AD815" s="74" t="n"/>
      <c r="AE815" s="109" t="n"/>
      <c r="AF815" s="74" t="n"/>
      <c r="AG815" s="112">
        <f>IF(AND(AA815&lt;&gt;"",AD815="Yes",AF815&lt;&gt;"Yes",AE815&lt;&gt;""),AE815,"")</f>
        <v/>
      </c>
      <c r="AH815" s="79">
        <f>IF(AG815="","",IF(AG815&lt;AsOf,1,IF(AG815&lt;=AsOf+AlertDays,2,IF(AG815&lt;=AsOf+2*AlertDays,3,""))))</f>
        <v/>
      </c>
      <c r="AI815" s="79">
        <f>IF(AH815="","","Follow up with "&amp;AA815&amp;": "&amp;AC815)</f>
        <v/>
      </c>
    </row>
    <row r="816" ht="20" customHeight="1">
      <c r="B816" s="72" t="n"/>
      <c r="C816" s="72" t="n"/>
      <c r="D816" s="72" t="n"/>
      <c r="E816" s="72" t="n"/>
      <c r="F816" s="72" t="n"/>
      <c r="G816" s="72" t="n"/>
      <c r="H816" s="72" t="n"/>
      <c r="I816" s="73" t="n"/>
      <c r="J816" s="75">
        <f>IF(B816="","",SUMIFS('Change Orders'!$J$7:$J$1006,'Change Orders'!$E$7:$E$1006,B816,'Change Orders'!$L$7:$L$1006,"Approved"))</f>
        <v/>
      </c>
      <c r="K816" s="76">
        <f>IF(B816="","",I816+J816)</f>
        <v/>
      </c>
      <c r="L816" s="74" t="n"/>
      <c r="M816" s="109" t="n"/>
      <c r="N816" s="109" t="n"/>
      <c r="O816" s="74" t="n"/>
      <c r="P816" s="74" t="n"/>
      <c r="Q816" s="100" t="n"/>
      <c r="R816" s="110" t="n"/>
      <c r="S816" s="75">
        <f>IF(B816="","",SUMIFS('Payments'!$N$6:$N$1005,'Payments'!$B$6:$B$1005,B816))</f>
        <v/>
      </c>
      <c r="T816" s="111">
        <f>IF(OR(B816="",K816=0),"",S816/K816)</f>
        <v/>
      </c>
      <c r="U816" s="78">
        <f>IF(V816="","",IF(V816=2,"⚠️ Paying ahead of work","✓ OK"))</f>
        <v/>
      </c>
      <c r="V816" s="79">
        <f>IF(T816="","",IF(T816-R816&gt;OverpayTol,2,0))</f>
        <v/>
      </c>
      <c r="W816" s="112">
        <f>IF(V816=2,AsOf,"")</f>
        <v/>
      </c>
      <c r="X816" s="79">
        <f>IF(W816="","",1)</f>
        <v/>
      </c>
      <c r="Y816" s="79">
        <f>IF(X816="","","Paying ahead of work: "&amp;B816&amp;" — paid "&amp;ROUND(T816*100,0)&amp;"%, work done "&amp;ROUND(R816*100,0)&amp;"%")</f>
        <v/>
      </c>
      <c r="AA816" s="72" t="n"/>
      <c r="AB816" s="109" t="n"/>
      <c r="AC816" s="113" t="n"/>
      <c r="AD816" s="74" t="n"/>
      <c r="AE816" s="109" t="n"/>
      <c r="AF816" s="74" t="n"/>
      <c r="AG816" s="112">
        <f>IF(AND(AA816&lt;&gt;"",AD816="Yes",AF816&lt;&gt;"Yes",AE816&lt;&gt;""),AE816,"")</f>
        <v/>
      </c>
      <c r="AH816" s="79">
        <f>IF(AG816="","",IF(AG816&lt;AsOf,1,IF(AG816&lt;=AsOf+AlertDays,2,IF(AG816&lt;=AsOf+2*AlertDays,3,""))))</f>
        <v/>
      </c>
      <c r="AI816" s="79">
        <f>IF(AH816="","","Follow up with "&amp;AA816&amp;": "&amp;AC816)</f>
        <v/>
      </c>
    </row>
    <row r="817" ht="20" customHeight="1">
      <c r="B817" s="72" t="n"/>
      <c r="C817" s="72" t="n"/>
      <c r="D817" s="72" t="n"/>
      <c r="E817" s="72" t="n"/>
      <c r="F817" s="72" t="n"/>
      <c r="G817" s="72" t="n"/>
      <c r="H817" s="72" t="n"/>
      <c r="I817" s="73" t="n"/>
      <c r="J817" s="75">
        <f>IF(B817="","",SUMIFS('Change Orders'!$J$7:$J$1006,'Change Orders'!$E$7:$E$1006,B817,'Change Orders'!$L$7:$L$1006,"Approved"))</f>
        <v/>
      </c>
      <c r="K817" s="76">
        <f>IF(B817="","",I817+J817)</f>
        <v/>
      </c>
      <c r="L817" s="74" t="n"/>
      <c r="M817" s="109" t="n"/>
      <c r="N817" s="109" t="n"/>
      <c r="O817" s="74" t="n"/>
      <c r="P817" s="74" t="n"/>
      <c r="Q817" s="100" t="n"/>
      <c r="R817" s="110" t="n"/>
      <c r="S817" s="75">
        <f>IF(B817="","",SUMIFS('Payments'!$N$6:$N$1005,'Payments'!$B$6:$B$1005,B817))</f>
        <v/>
      </c>
      <c r="T817" s="111">
        <f>IF(OR(B817="",K817=0),"",S817/K817)</f>
        <v/>
      </c>
      <c r="U817" s="78">
        <f>IF(V817="","",IF(V817=2,"⚠️ Paying ahead of work","✓ OK"))</f>
        <v/>
      </c>
      <c r="V817" s="79">
        <f>IF(T817="","",IF(T817-R817&gt;OverpayTol,2,0))</f>
        <v/>
      </c>
      <c r="W817" s="112">
        <f>IF(V817=2,AsOf,"")</f>
        <v/>
      </c>
      <c r="X817" s="79">
        <f>IF(W817="","",1)</f>
        <v/>
      </c>
      <c r="Y817" s="79">
        <f>IF(X817="","","Paying ahead of work: "&amp;B817&amp;" — paid "&amp;ROUND(T817*100,0)&amp;"%, work done "&amp;ROUND(R817*100,0)&amp;"%")</f>
        <v/>
      </c>
      <c r="AA817" s="72" t="n"/>
      <c r="AB817" s="109" t="n"/>
      <c r="AC817" s="113" t="n"/>
      <c r="AD817" s="74" t="n"/>
      <c r="AE817" s="109" t="n"/>
      <c r="AF817" s="74" t="n"/>
      <c r="AG817" s="112">
        <f>IF(AND(AA817&lt;&gt;"",AD817="Yes",AF817&lt;&gt;"Yes",AE817&lt;&gt;""),AE817,"")</f>
        <v/>
      </c>
      <c r="AH817" s="79">
        <f>IF(AG817="","",IF(AG817&lt;AsOf,1,IF(AG817&lt;=AsOf+AlertDays,2,IF(AG817&lt;=AsOf+2*AlertDays,3,""))))</f>
        <v/>
      </c>
      <c r="AI817" s="79">
        <f>IF(AH817="","","Follow up with "&amp;AA817&amp;": "&amp;AC817)</f>
        <v/>
      </c>
    </row>
    <row r="818" ht="20" customHeight="1">
      <c r="B818" s="72" t="n"/>
      <c r="C818" s="72" t="n"/>
      <c r="D818" s="72" t="n"/>
      <c r="E818" s="72" t="n"/>
      <c r="F818" s="72" t="n"/>
      <c r="G818" s="72" t="n"/>
      <c r="H818" s="72" t="n"/>
      <c r="I818" s="73" t="n"/>
      <c r="J818" s="75">
        <f>IF(B818="","",SUMIFS('Change Orders'!$J$7:$J$1006,'Change Orders'!$E$7:$E$1006,B818,'Change Orders'!$L$7:$L$1006,"Approved"))</f>
        <v/>
      </c>
      <c r="K818" s="76">
        <f>IF(B818="","",I818+J818)</f>
        <v/>
      </c>
      <c r="L818" s="74" t="n"/>
      <c r="M818" s="109" t="n"/>
      <c r="N818" s="109" t="n"/>
      <c r="O818" s="74" t="n"/>
      <c r="P818" s="74" t="n"/>
      <c r="Q818" s="100" t="n"/>
      <c r="R818" s="110" t="n"/>
      <c r="S818" s="75">
        <f>IF(B818="","",SUMIFS('Payments'!$N$6:$N$1005,'Payments'!$B$6:$B$1005,B818))</f>
        <v/>
      </c>
      <c r="T818" s="111">
        <f>IF(OR(B818="",K818=0),"",S818/K818)</f>
        <v/>
      </c>
      <c r="U818" s="78">
        <f>IF(V818="","",IF(V818=2,"⚠️ Paying ahead of work","✓ OK"))</f>
        <v/>
      </c>
      <c r="V818" s="79">
        <f>IF(T818="","",IF(T818-R818&gt;OverpayTol,2,0))</f>
        <v/>
      </c>
      <c r="W818" s="112">
        <f>IF(V818=2,AsOf,"")</f>
        <v/>
      </c>
      <c r="X818" s="79">
        <f>IF(W818="","",1)</f>
        <v/>
      </c>
      <c r="Y818" s="79">
        <f>IF(X818="","","Paying ahead of work: "&amp;B818&amp;" — paid "&amp;ROUND(T818*100,0)&amp;"%, work done "&amp;ROUND(R818*100,0)&amp;"%")</f>
        <v/>
      </c>
      <c r="AA818" s="72" t="n"/>
      <c r="AB818" s="109" t="n"/>
      <c r="AC818" s="113" t="n"/>
      <c r="AD818" s="74" t="n"/>
      <c r="AE818" s="109" t="n"/>
      <c r="AF818" s="74" t="n"/>
      <c r="AG818" s="112">
        <f>IF(AND(AA818&lt;&gt;"",AD818="Yes",AF818&lt;&gt;"Yes",AE818&lt;&gt;""),AE818,"")</f>
        <v/>
      </c>
      <c r="AH818" s="79">
        <f>IF(AG818="","",IF(AG818&lt;AsOf,1,IF(AG818&lt;=AsOf+AlertDays,2,IF(AG818&lt;=AsOf+2*AlertDays,3,""))))</f>
        <v/>
      </c>
      <c r="AI818" s="79">
        <f>IF(AH818="","","Follow up with "&amp;AA818&amp;": "&amp;AC818)</f>
        <v/>
      </c>
    </row>
    <row r="819" ht="20" customHeight="1">
      <c r="B819" s="72" t="n"/>
      <c r="C819" s="72" t="n"/>
      <c r="D819" s="72" t="n"/>
      <c r="E819" s="72" t="n"/>
      <c r="F819" s="72" t="n"/>
      <c r="G819" s="72" t="n"/>
      <c r="H819" s="72" t="n"/>
      <c r="I819" s="73" t="n"/>
      <c r="J819" s="75">
        <f>IF(B819="","",SUMIFS('Change Orders'!$J$7:$J$1006,'Change Orders'!$E$7:$E$1006,B819,'Change Orders'!$L$7:$L$1006,"Approved"))</f>
        <v/>
      </c>
      <c r="K819" s="76">
        <f>IF(B819="","",I819+J819)</f>
        <v/>
      </c>
      <c r="L819" s="74" t="n"/>
      <c r="M819" s="109" t="n"/>
      <c r="N819" s="109" t="n"/>
      <c r="O819" s="74" t="n"/>
      <c r="P819" s="74" t="n"/>
      <c r="Q819" s="100" t="n"/>
      <c r="R819" s="110" t="n"/>
      <c r="S819" s="75">
        <f>IF(B819="","",SUMIFS('Payments'!$N$6:$N$1005,'Payments'!$B$6:$B$1005,B819))</f>
        <v/>
      </c>
      <c r="T819" s="111">
        <f>IF(OR(B819="",K819=0),"",S819/K819)</f>
        <v/>
      </c>
      <c r="U819" s="78">
        <f>IF(V819="","",IF(V819=2,"⚠️ Paying ahead of work","✓ OK"))</f>
        <v/>
      </c>
      <c r="V819" s="79">
        <f>IF(T819="","",IF(T819-R819&gt;OverpayTol,2,0))</f>
        <v/>
      </c>
      <c r="W819" s="112">
        <f>IF(V819=2,AsOf,"")</f>
        <v/>
      </c>
      <c r="X819" s="79">
        <f>IF(W819="","",1)</f>
        <v/>
      </c>
      <c r="Y819" s="79">
        <f>IF(X819="","","Paying ahead of work: "&amp;B819&amp;" — paid "&amp;ROUND(T819*100,0)&amp;"%, work done "&amp;ROUND(R819*100,0)&amp;"%")</f>
        <v/>
      </c>
      <c r="AA819" s="72" t="n"/>
      <c r="AB819" s="109" t="n"/>
      <c r="AC819" s="113" t="n"/>
      <c r="AD819" s="74" t="n"/>
      <c r="AE819" s="109" t="n"/>
      <c r="AF819" s="74" t="n"/>
      <c r="AG819" s="112">
        <f>IF(AND(AA819&lt;&gt;"",AD819="Yes",AF819&lt;&gt;"Yes",AE819&lt;&gt;""),AE819,"")</f>
        <v/>
      </c>
      <c r="AH819" s="79">
        <f>IF(AG819="","",IF(AG819&lt;AsOf,1,IF(AG819&lt;=AsOf+AlertDays,2,IF(AG819&lt;=AsOf+2*AlertDays,3,""))))</f>
        <v/>
      </c>
      <c r="AI819" s="79">
        <f>IF(AH819="","","Follow up with "&amp;AA819&amp;": "&amp;AC819)</f>
        <v/>
      </c>
    </row>
    <row r="820" ht="20" customHeight="1">
      <c r="B820" s="72" t="n"/>
      <c r="C820" s="72" t="n"/>
      <c r="D820" s="72" t="n"/>
      <c r="E820" s="72" t="n"/>
      <c r="F820" s="72" t="n"/>
      <c r="G820" s="72" t="n"/>
      <c r="H820" s="72" t="n"/>
      <c r="I820" s="73" t="n"/>
      <c r="J820" s="75">
        <f>IF(B820="","",SUMIFS('Change Orders'!$J$7:$J$1006,'Change Orders'!$E$7:$E$1006,B820,'Change Orders'!$L$7:$L$1006,"Approved"))</f>
        <v/>
      </c>
      <c r="K820" s="76">
        <f>IF(B820="","",I820+J820)</f>
        <v/>
      </c>
      <c r="L820" s="74" t="n"/>
      <c r="M820" s="109" t="n"/>
      <c r="N820" s="109" t="n"/>
      <c r="O820" s="74" t="n"/>
      <c r="P820" s="74" t="n"/>
      <c r="Q820" s="100" t="n"/>
      <c r="R820" s="110" t="n"/>
      <c r="S820" s="75">
        <f>IF(B820="","",SUMIFS('Payments'!$N$6:$N$1005,'Payments'!$B$6:$B$1005,B820))</f>
        <v/>
      </c>
      <c r="T820" s="111">
        <f>IF(OR(B820="",K820=0),"",S820/K820)</f>
        <v/>
      </c>
      <c r="U820" s="78">
        <f>IF(V820="","",IF(V820=2,"⚠️ Paying ahead of work","✓ OK"))</f>
        <v/>
      </c>
      <c r="V820" s="79">
        <f>IF(T820="","",IF(T820-R820&gt;OverpayTol,2,0))</f>
        <v/>
      </c>
      <c r="W820" s="112">
        <f>IF(V820=2,AsOf,"")</f>
        <v/>
      </c>
      <c r="X820" s="79">
        <f>IF(W820="","",1)</f>
        <v/>
      </c>
      <c r="Y820" s="79">
        <f>IF(X820="","","Paying ahead of work: "&amp;B820&amp;" — paid "&amp;ROUND(T820*100,0)&amp;"%, work done "&amp;ROUND(R820*100,0)&amp;"%")</f>
        <v/>
      </c>
      <c r="AA820" s="72" t="n"/>
      <c r="AB820" s="109" t="n"/>
      <c r="AC820" s="113" t="n"/>
      <c r="AD820" s="74" t="n"/>
      <c r="AE820" s="109" t="n"/>
      <c r="AF820" s="74" t="n"/>
      <c r="AG820" s="112">
        <f>IF(AND(AA820&lt;&gt;"",AD820="Yes",AF820&lt;&gt;"Yes",AE820&lt;&gt;""),AE820,"")</f>
        <v/>
      </c>
      <c r="AH820" s="79">
        <f>IF(AG820="","",IF(AG820&lt;AsOf,1,IF(AG820&lt;=AsOf+AlertDays,2,IF(AG820&lt;=AsOf+2*AlertDays,3,""))))</f>
        <v/>
      </c>
      <c r="AI820" s="79">
        <f>IF(AH820="","","Follow up with "&amp;AA820&amp;": "&amp;AC820)</f>
        <v/>
      </c>
    </row>
    <row r="821" ht="20" customHeight="1">
      <c r="B821" s="72" t="n"/>
      <c r="C821" s="72" t="n"/>
      <c r="D821" s="72" t="n"/>
      <c r="E821" s="72" t="n"/>
      <c r="F821" s="72" t="n"/>
      <c r="G821" s="72" t="n"/>
      <c r="H821" s="72" t="n"/>
      <c r="I821" s="73" t="n"/>
      <c r="J821" s="75">
        <f>IF(B821="","",SUMIFS('Change Orders'!$J$7:$J$1006,'Change Orders'!$E$7:$E$1006,B821,'Change Orders'!$L$7:$L$1006,"Approved"))</f>
        <v/>
      </c>
      <c r="K821" s="76">
        <f>IF(B821="","",I821+J821)</f>
        <v/>
      </c>
      <c r="L821" s="74" t="n"/>
      <c r="M821" s="109" t="n"/>
      <c r="N821" s="109" t="n"/>
      <c r="O821" s="74" t="n"/>
      <c r="P821" s="74" t="n"/>
      <c r="Q821" s="100" t="n"/>
      <c r="R821" s="110" t="n"/>
      <c r="S821" s="75">
        <f>IF(B821="","",SUMIFS('Payments'!$N$6:$N$1005,'Payments'!$B$6:$B$1005,B821))</f>
        <v/>
      </c>
      <c r="T821" s="111">
        <f>IF(OR(B821="",K821=0),"",S821/K821)</f>
        <v/>
      </c>
      <c r="U821" s="78">
        <f>IF(V821="","",IF(V821=2,"⚠️ Paying ahead of work","✓ OK"))</f>
        <v/>
      </c>
      <c r="V821" s="79">
        <f>IF(T821="","",IF(T821-R821&gt;OverpayTol,2,0))</f>
        <v/>
      </c>
      <c r="W821" s="112">
        <f>IF(V821=2,AsOf,"")</f>
        <v/>
      </c>
      <c r="X821" s="79">
        <f>IF(W821="","",1)</f>
        <v/>
      </c>
      <c r="Y821" s="79">
        <f>IF(X821="","","Paying ahead of work: "&amp;B821&amp;" — paid "&amp;ROUND(T821*100,0)&amp;"%, work done "&amp;ROUND(R821*100,0)&amp;"%")</f>
        <v/>
      </c>
      <c r="AA821" s="72" t="n"/>
      <c r="AB821" s="109" t="n"/>
      <c r="AC821" s="113" t="n"/>
      <c r="AD821" s="74" t="n"/>
      <c r="AE821" s="109" t="n"/>
      <c r="AF821" s="74" t="n"/>
      <c r="AG821" s="112">
        <f>IF(AND(AA821&lt;&gt;"",AD821="Yes",AF821&lt;&gt;"Yes",AE821&lt;&gt;""),AE821,"")</f>
        <v/>
      </c>
      <c r="AH821" s="79">
        <f>IF(AG821="","",IF(AG821&lt;AsOf,1,IF(AG821&lt;=AsOf+AlertDays,2,IF(AG821&lt;=AsOf+2*AlertDays,3,""))))</f>
        <v/>
      </c>
      <c r="AI821" s="79">
        <f>IF(AH821="","","Follow up with "&amp;AA821&amp;": "&amp;AC821)</f>
        <v/>
      </c>
    </row>
    <row r="822" ht="20" customHeight="1">
      <c r="B822" s="72" t="n"/>
      <c r="C822" s="72" t="n"/>
      <c r="D822" s="72" t="n"/>
      <c r="E822" s="72" t="n"/>
      <c r="F822" s="72" t="n"/>
      <c r="G822" s="72" t="n"/>
      <c r="H822" s="72" t="n"/>
      <c r="I822" s="73" t="n"/>
      <c r="J822" s="75">
        <f>IF(B822="","",SUMIFS('Change Orders'!$J$7:$J$1006,'Change Orders'!$E$7:$E$1006,B822,'Change Orders'!$L$7:$L$1006,"Approved"))</f>
        <v/>
      </c>
      <c r="K822" s="76">
        <f>IF(B822="","",I822+J822)</f>
        <v/>
      </c>
      <c r="L822" s="74" t="n"/>
      <c r="M822" s="109" t="n"/>
      <c r="N822" s="109" t="n"/>
      <c r="O822" s="74" t="n"/>
      <c r="P822" s="74" t="n"/>
      <c r="Q822" s="100" t="n"/>
      <c r="R822" s="110" t="n"/>
      <c r="S822" s="75">
        <f>IF(B822="","",SUMIFS('Payments'!$N$6:$N$1005,'Payments'!$B$6:$B$1005,B822))</f>
        <v/>
      </c>
      <c r="T822" s="111">
        <f>IF(OR(B822="",K822=0),"",S822/K822)</f>
        <v/>
      </c>
      <c r="U822" s="78">
        <f>IF(V822="","",IF(V822=2,"⚠️ Paying ahead of work","✓ OK"))</f>
        <v/>
      </c>
      <c r="V822" s="79">
        <f>IF(T822="","",IF(T822-R822&gt;OverpayTol,2,0))</f>
        <v/>
      </c>
      <c r="W822" s="112">
        <f>IF(V822=2,AsOf,"")</f>
        <v/>
      </c>
      <c r="X822" s="79">
        <f>IF(W822="","",1)</f>
        <v/>
      </c>
      <c r="Y822" s="79">
        <f>IF(X822="","","Paying ahead of work: "&amp;B822&amp;" — paid "&amp;ROUND(T822*100,0)&amp;"%, work done "&amp;ROUND(R822*100,0)&amp;"%")</f>
        <v/>
      </c>
      <c r="AA822" s="72" t="n"/>
      <c r="AB822" s="109" t="n"/>
      <c r="AC822" s="113" t="n"/>
      <c r="AD822" s="74" t="n"/>
      <c r="AE822" s="109" t="n"/>
      <c r="AF822" s="74" t="n"/>
      <c r="AG822" s="112">
        <f>IF(AND(AA822&lt;&gt;"",AD822="Yes",AF822&lt;&gt;"Yes",AE822&lt;&gt;""),AE822,"")</f>
        <v/>
      </c>
      <c r="AH822" s="79">
        <f>IF(AG822="","",IF(AG822&lt;AsOf,1,IF(AG822&lt;=AsOf+AlertDays,2,IF(AG822&lt;=AsOf+2*AlertDays,3,""))))</f>
        <v/>
      </c>
      <c r="AI822" s="79">
        <f>IF(AH822="","","Follow up with "&amp;AA822&amp;": "&amp;AC822)</f>
        <v/>
      </c>
    </row>
    <row r="823" ht="20" customHeight="1">
      <c r="B823" s="72" t="n"/>
      <c r="C823" s="72" t="n"/>
      <c r="D823" s="72" t="n"/>
      <c r="E823" s="72" t="n"/>
      <c r="F823" s="72" t="n"/>
      <c r="G823" s="72" t="n"/>
      <c r="H823" s="72" t="n"/>
      <c r="I823" s="73" t="n"/>
      <c r="J823" s="75">
        <f>IF(B823="","",SUMIFS('Change Orders'!$J$7:$J$1006,'Change Orders'!$E$7:$E$1006,B823,'Change Orders'!$L$7:$L$1006,"Approved"))</f>
        <v/>
      </c>
      <c r="K823" s="76">
        <f>IF(B823="","",I823+J823)</f>
        <v/>
      </c>
      <c r="L823" s="74" t="n"/>
      <c r="M823" s="109" t="n"/>
      <c r="N823" s="109" t="n"/>
      <c r="O823" s="74" t="n"/>
      <c r="P823" s="74" t="n"/>
      <c r="Q823" s="100" t="n"/>
      <c r="R823" s="110" t="n"/>
      <c r="S823" s="75">
        <f>IF(B823="","",SUMIFS('Payments'!$N$6:$N$1005,'Payments'!$B$6:$B$1005,B823))</f>
        <v/>
      </c>
      <c r="T823" s="111">
        <f>IF(OR(B823="",K823=0),"",S823/K823)</f>
        <v/>
      </c>
      <c r="U823" s="78">
        <f>IF(V823="","",IF(V823=2,"⚠️ Paying ahead of work","✓ OK"))</f>
        <v/>
      </c>
      <c r="V823" s="79">
        <f>IF(T823="","",IF(T823-R823&gt;OverpayTol,2,0))</f>
        <v/>
      </c>
      <c r="W823" s="112">
        <f>IF(V823=2,AsOf,"")</f>
        <v/>
      </c>
      <c r="X823" s="79">
        <f>IF(W823="","",1)</f>
        <v/>
      </c>
      <c r="Y823" s="79">
        <f>IF(X823="","","Paying ahead of work: "&amp;B823&amp;" — paid "&amp;ROUND(T823*100,0)&amp;"%, work done "&amp;ROUND(R823*100,0)&amp;"%")</f>
        <v/>
      </c>
      <c r="AA823" s="72" t="n"/>
      <c r="AB823" s="109" t="n"/>
      <c r="AC823" s="113" t="n"/>
      <c r="AD823" s="74" t="n"/>
      <c r="AE823" s="109" t="n"/>
      <c r="AF823" s="74" t="n"/>
      <c r="AG823" s="112">
        <f>IF(AND(AA823&lt;&gt;"",AD823="Yes",AF823&lt;&gt;"Yes",AE823&lt;&gt;""),AE823,"")</f>
        <v/>
      </c>
      <c r="AH823" s="79">
        <f>IF(AG823="","",IF(AG823&lt;AsOf,1,IF(AG823&lt;=AsOf+AlertDays,2,IF(AG823&lt;=AsOf+2*AlertDays,3,""))))</f>
        <v/>
      </c>
      <c r="AI823" s="79">
        <f>IF(AH823="","","Follow up with "&amp;AA823&amp;": "&amp;AC823)</f>
        <v/>
      </c>
    </row>
    <row r="824" ht="20" customHeight="1">
      <c r="B824" s="72" t="n"/>
      <c r="C824" s="72" t="n"/>
      <c r="D824" s="72" t="n"/>
      <c r="E824" s="72" t="n"/>
      <c r="F824" s="72" t="n"/>
      <c r="G824" s="72" t="n"/>
      <c r="H824" s="72" t="n"/>
      <c r="I824" s="73" t="n"/>
      <c r="J824" s="75">
        <f>IF(B824="","",SUMIFS('Change Orders'!$J$7:$J$1006,'Change Orders'!$E$7:$E$1006,B824,'Change Orders'!$L$7:$L$1006,"Approved"))</f>
        <v/>
      </c>
      <c r="K824" s="76">
        <f>IF(B824="","",I824+J824)</f>
        <v/>
      </c>
      <c r="L824" s="74" t="n"/>
      <c r="M824" s="109" t="n"/>
      <c r="N824" s="109" t="n"/>
      <c r="O824" s="74" t="n"/>
      <c r="P824" s="74" t="n"/>
      <c r="Q824" s="100" t="n"/>
      <c r="R824" s="110" t="n"/>
      <c r="S824" s="75">
        <f>IF(B824="","",SUMIFS('Payments'!$N$6:$N$1005,'Payments'!$B$6:$B$1005,B824))</f>
        <v/>
      </c>
      <c r="T824" s="111">
        <f>IF(OR(B824="",K824=0),"",S824/K824)</f>
        <v/>
      </c>
      <c r="U824" s="78">
        <f>IF(V824="","",IF(V824=2,"⚠️ Paying ahead of work","✓ OK"))</f>
        <v/>
      </c>
      <c r="V824" s="79">
        <f>IF(T824="","",IF(T824-R824&gt;OverpayTol,2,0))</f>
        <v/>
      </c>
      <c r="W824" s="112">
        <f>IF(V824=2,AsOf,"")</f>
        <v/>
      </c>
      <c r="X824" s="79">
        <f>IF(W824="","",1)</f>
        <v/>
      </c>
      <c r="Y824" s="79">
        <f>IF(X824="","","Paying ahead of work: "&amp;B824&amp;" — paid "&amp;ROUND(T824*100,0)&amp;"%, work done "&amp;ROUND(R824*100,0)&amp;"%")</f>
        <v/>
      </c>
      <c r="AA824" s="72" t="n"/>
      <c r="AB824" s="109" t="n"/>
      <c r="AC824" s="113" t="n"/>
      <c r="AD824" s="74" t="n"/>
      <c r="AE824" s="109" t="n"/>
      <c r="AF824" s="74" t="n"/>
      <c r="AG824" s="112">
        <f>IF(AND(AA824&lt;&gt;"",AD824="Yes",AF824&lt;&gt;"Yes",AE824&lt;&gt;""),AE824,"")</f>
        <v/>
      </c>
      <c r="AH824" s="79">
        <f>IF(AG824="","",IF(AG824&lt;AsOf,1,IF(AG824&lt;=AsOf+AlertDays,2,IF(AG824&lt;=AsOf+2*AlertDays,3,""))))</f>
        <v/>
      </c>
      <c r="AI824" s="79">
        <f>IF(AH824="","","Follow up with "&amp;AA824&amp;": "&amp;AC824)</f>
        <v/>
      </c>
    </row>
    <row r="825" ht="20" customHeight="1">
      <c r="B825" s="72" t="n"/>
      <c r="C825" s="72" t="n"/>
      <c r="D825" s="72" t="n"/>
      <c r="E825" s="72" t="n"/>
      <c r="F825" s="72" t="n"/>
      <c r="G825" s="72" t="n"/>
      <c r="H825" s="72" t="n"/>
      <c r="I825" s="73" t="n"/>
      <c r="J825" s="75">
        <f>IF(B825="","",SUMIFS('Change Orders'!$J$7:$J$1006,'Change Orders'!$E$7:$E$1006,B825,'Change Orders'!$L$7:$L$1006,"Approved"))</f>
        <v/>
      </c>
      <c r="K825" s="76">
        <f>IF(B825="","",I825+J825)</f>
        <v/>
      </c>
      <c r="L825" s="74" t="n"/>
      <c r="M825" s="109" t="n"/>
      <c r="N825" s="109" t="n"/>
      <c r="O825" s="74" t="n"/>
      <c r="P825" s="74" t="n"/>
      <c r="Q825" s="100" t="n"/>
      <c r="R825" s="110" t="n"/>
      <c r="S825" s="75">
        <f>IF(B825="","",SUMIFS('Payments'!$N$6:$N$1005,'Payments'!$B$6:$B$1005,B825))</f>
        <v/>
      </c>
      <c r="T825" s="111">
        <f>IF(OR(B825="",K825=0),"",S825/K825)</f>
        <v/>
      </c>
      <c r="U825" s="78">
        <f>IF(V825="","",IF(V825=2,"⚠️ Paying ahead of work","✓ OK"))</f>
        <v/>
      </c>
      <c r="V825" s="79">
        <f>IF(T825="","",IF(T825-R825&gt;OverpayTol,2,0))</f>
        <v/>
      </c>
      <c r="W825" s="112">
        <f>IF(V825=2,AsOf,"")</f>
        <v/>
      </c>
      <c r="X825" s="79">
        <f>IF(W825="","",1)</f>
        <v/>
      </c>
      <c r="Y825" s="79">
        <f>IF(X825="","","Paying ahead of work: "&amp;B825&amp;" — paid "&amp;ROUND(T825*100,0)&amp;"%, work done "&amp;ROUND(R825*100,0)&amp;"%")</f>
        <v/>
      </c>
      <c r="AA825" s="72" t="n"/>
      <c r="AB825" s="109" t="n"/>
      <c r="AC825" s="113" t="n"/>
      <c r="AD825" s="74" t="n"/>
      <c r="AE825" s="109" t="n"/>
      <c r="AF825" s="74" t="n"/>
      <c r="AG825" s="112">
        <f>IF(AND(AA825&lt;&gt;"",AD825="Yes",AF825&lt;&gt;"Yes",AE825&lt;&gt;""),AE825,"")</f>
        <v/>
      </c>
      <c r="AH825" s="79">
        <f>IF(AG825="","",IF(AG825&lt;AsOf,1,IF(AG825&lt;=AsOf+AlertDays,2,IF(AG825&lt;=AsOf+2*AlertDays,3,""))))</f>
        <v/>
      </c>
      <c r="AI825" s="79">
        <f>IF(AH825="","","Follow up with "&amp;AA825&amp;": "&amp;AC825)</f>
        <v/>
      </c>
    </row>
    <row r="826" ht="20" customHeight="1">
      <c r="B826" s="72" t="n"/>
      <c r="C826" s="72" t="n"/>
      <c r="D826" s="72" t="n"/>
      <c r="E826" s="72" t="n"/>
      <c r="F826" s="72" t="n"/>
      <c r="G826" s="72" t="n"/>
      <c r="H826" s="72" t="n"/>
      <c r="I826" s="73" t="n"/>
      <c r="J826" s="75">
        <f>IF(B826="","",SUMIFS('Change Orders'!$J$7:$J$1006,'Change Orders'!$E$7:$E$1006,B826,'Change Orders'!$L$7:$L$1006,"Approved"))</f>
        <v/>
      </c>
      <c r="K826" s="76">
        <f>IF(B826="","",I826+J826)</f>
        <v/>
      </c>
      <c r="L826" s="74" t="n"/>
      <c r="M826" s="109" t="n"/>
      <c r="N826" s="109" t="n"/>
      <c r="O826" s="74" t="n"/>
      <c r="P826" s="74" t="n"/>
      <c r="Q826" s="100" t="n"/>
      <c r="R826" s="110" t="n"/>
      <c r="S826" s="75">
        <f>IF(B826="","",SUMIFS('Payments'!$N$6:$N$1005,'Payments'!$B$6:$B$1005,B826))</f>
        <v/>
      </c>
      <c r="T826" s="111">
        <f>IF(OR(B826="",K826=0),"",S826/K826)</f>
        <v/>
      </c>
      <c r="U826" s="78">
        <f>IF(V826="","",IF(V826=2,"⚠️ Paying ahead of work","✓ OK"))</f>
        <v/>
      </c>
      <c r="V826" s="79">
        <f>IF(T826="","",IF(T826-R826&gt;OverpayTol,2,0))</f>
        <v/>
      </c>
      <c r="W826" s="112">
        <f>IF(V826=2,AsOf,"")</f>
        <v/>
      </c>
      <c r="X826" s="79">
        <f>IF(W826="","",1)</f>
        <v/>
      </c>
      <c r="Y826" s="79">
        <f>IF(X826="","","Paying ahead of work: "&amp;B826&amp;" — paid "&amp;ROUND(T826*100,0)&amp;"%, work done "&amp;ROUND(R826*100,0)&amp;"%")</f>
        <v/>
      </c>
      <c r="AA826" s="72" t="n"/>
      <c r="AB826" s="109" t="n"/>
      <c r="AC826" s="113" t="n"/>
      <c r="AD826" s="74" t="n"/>
      <c r="AE826" s="109" t="n"/>
      <c r="AF826" s="74" t="n"/>
      <c r="AG826" s="112">
        <f>IF(AND(AA826&lt;&gt;"",AD826="Yes",AF826&lt;&gt;"Yes",AE826&lt;&gt;""),AE826,"")</f>
        <v/>
      </c>
      <c r="AH826" s="79">
        <f>IF(AG826="","",IF(AG826&lt;AsOf,1,IF(AG826&lt;=AsOf+AlertDays,2,IF(AG826&lt;=AsOf+2*AlertDays,3,""))))</f>
        <v/>
      </c>
      <c r="AI826" s="79">
        <f>IF(AH826="","","Follow up with "&amp;AA826&amp;": "&amp;AC826)</f>
        <v/>
      </c>
    </row>
    <row r="827" ht="20" customHeight="1">
      <c r="B827" s="72" t="n"/>
      <c r="C827" s="72" t="n"/>
      <c r="D827" s="72" t="n"/>
      <c r="E827" s="72" t="n"/>
      <c r="F827" s="72" t="n"/>
      <c r="G827" s="72" t="n"/>
      <c r="H827" s="72" t="n"/>
      <c r="I827" s="73" t="n"/>
      <c r="J827" s="75">
        <f>IF(B827="","",SUMIFS('Change Orders'!$J$7:$J$1006,'Change Orders'!$E$7:$E$1006,B827,'Change Orders'!$L$7:$L$1006,"Approved"))</f>
        <v/>
      </c>
      <c r="K827" s="76">
        <f>IF(B827="","",I827+J827)</f>
        <v/>
      </c>
      <c r="L827" s="74" t="n"/>
      <c r="M827" s="109" t="n"/>
      <c r="N827" s="109" t="n"/>
      <c r="O827" s="74" t="n"/>
      <c r="P827" s="74" t="n"/>
      <c r="Q827" s="100" t="n"/>
      <c r="R827" s="110" t="n"/>
      <c r="S827" s="75">
        <f>IF(B827="","",SUMIFS('Payments'!$N$6:$N$1005,'Payments'!$B$6:$B$1005,B827))</f>
        <v/>
      </c>
      <c r="T827" s="111">
        <f>IF(OR(B827="",K827=0),"",S827/K827)</f>
        <v/>
      </c>
      <c r="U827" s="78">
        <f>IF(V827="","",IF(V827=2,"⚠️ Paying ahead of work","✓ OK"))</f>
        <v/>
      </c>
      <c r="V827" s="79">
        <f>IF(T827="","",IF(T827-R827&gt;OverpayTol,2,0))</f>
        <v/>
      </c>
      <c r="W827" s="112">
        <f>IF(V827=2,AsOf,"")</f>
        <v/>
      </c>
      <c r="X827" s="79">
        <f>IF(W827="","",1)</f>
        <v/>
      </c>
      <c r="Y827" s="79">
        <f>IF(X827="","","Paying ahead of work: "&amp;B827&amp;" — paid "&amp;ROUND(T827*100,0)&amp;"%, work done "&amp;ROUND(R827*100,0)&amp;"%")</f>
        <v/>
      </c>
      <c r="AA827" s="72" t="n"/>
      <c r="AB827" s="109" t="n"/>
      <c r="AC827" s="113" t="n"/>
      <c r="AD827" s="74" t="n"/>
      <c r="AE827" s="109" t="n"/>
      <c r="AF827" s="74" t="n"/>
      <c r="AG827" s="112">
        <f>IF(AND(AA827&lt;&gt;"",AD827="Yes",AF827&lt;&gt;"Yes",AE827&lt;&gt;""),AE827,"")</f>
        <v/>
      </c>
      <c r="AH827" s="79">
        <f>IF(AG827="","",IF(AG827&lt;AsOf,1,IF(AG827&lt;=AsOf+AlertDays,2,IF(AG827&lt;=AsOf+2*AlertDays,3,""))))</f>
        <v/>
      </c>
      <c r="AI827" s="79">
        <f>IF(AH827="","","Follow up with "&amp;AA827&amp;": "&amp;AC827)</f>
        <v/>
      </c>
    </row>
    <row r="828" ht="20" customHeight="1">
      <c r="B828" s="72" t="n"/>
      <c r="C828" s="72" t="n"/>
      <c r="D828" s="72" t="n"/>
      <c r="E828" s="72" t="n"/>
      <c r="F828" s="72" t="n"/>
      <c r="G828" s="72" t="n"/>
      <c r="H828" s="72" t="n"/>
      <c r="I828" s="73" t="n"/>
      <c r="J828" s="75">
        <f>IF(B828="","",SUMIFS('Change Orders'!$J$7:$J$1006,'Change Orders'!$E$7:$E$1006,B828,'Change Orders'!$L$7:$L$1006,"Approved"))</f>
        <v/>
      </c>
      <c r="K828" s="76">
        <f>IF(B828="","",I828+J828)</f>
        <v/>
      </c>
      <c r="L828" s="74" t="n"/>
      <c r="M828" s="109" t="n"/>
      <c r="N828" s="109" t="n"/>
      <c r="O828" s="74" t="n"/>
      <c r="P828" s="74" t="n"/>
      <c r="Q828" s="100" t="n"/>
      <c r="R828" s="110" t="n"/>
      <c r="S828" s="75">
        <f>IF(B828="","",SUMIFS('Payments'!$N$6:$N$1005,'Payments'!$B$6:$B$1005,B828))</f>
        <v/>
      </c>
      <c r="T828" s="111">
        <f>IF(OR(B828="",K828=0),"",S828/K828)</f>
        <v/>
      </c>
      <c r="U828" s="78">
        <f>IF(V828="","",IF(V828=2,"⚠️ Paying ahead of work","✓ OK"))</f>
        <v/>
      </c>
      <c r="V828" s="79">
        <f>IF(T828="","",IF(T828-R828&gt;OverpayTol,2,0))</f>
        <v/>
      </c>
      <c r="W828" s="112">
        <f>IF(V828=2,AsOf,"")</f>
        <v/>
      </c>
      <c r="X828" s="79">
        <f>IF(W828="","",1)</f>
        <v/>
      </c>
      <c r="Y828" s="79">
        <f>IF(X828="","","Paying ahead of work: "&amp;B828&amp;" — paid "&amp;ROUND(T828*100,0)&amp;"%, work done "&amp;ROUND(R828*100,0)&amp;"%")</f>
        <v/>
      </c>
      <c r="AA828" s="72" t="n"/>
      <c r="AB828" s="109" t="n"/>
      <c r="AC828" s="113" t="n"/>
      <c r="AD828" s="74" t="n"/>
      <c r="AE828" s="109" t="n"/>
      <c r="AF828" s="74" t="n"/>
      <c r="AG828" s="112">
        <f>IF(AND(AA828&lt;&gt;"",AD828="Yes",AF828&lt;&gt;"Yes",AE828&lt;&gt;""),AE828,"")</f>
        <v/>
      </c>
      <c r="AH828" s="79">
        <f>IF(AG828="","",IF(AG828&lt;AsOf,1,IF(AG828&lt;=AsOf+AlertDays,2,IF(AG828&lt;=AsOf+2*AlertDays,3,""))))</f>
        <v/>
      </c>
      <c r="AI828" s="79">
        <f>IF(AH828="","","Follow up with "&amp;AA828&amp;": "&amp;AC828)</f>
        <v/>
      </c>
    </row>
    <row r="829" ht="20" customHeight="1">
      <c r="B829" s="72" t="n"/>
      <c r="C829" s="72" t="n"/>
      <c r="D829" s="72" t="n"/>
      <c r="E829" s="72" t="n"/>
      <c r="F829" s="72" t="n"/>
      <c r="G829" s="72" t="n"/>
      <c r="H829" s="72" t="n"/>
      <c r="I829" s="73" t="n"/>
      <c r="J829" s="75">
        <f>IF(B829="","",SUMIFS('Change Orders'!$J$7:$J$1006,'Change Orders'!$E$7:$E$1006,B829,'Change Orders'!$L$7:$L$1006,"Approved"))</f>
        <v/>
      </c>
      <c r="K829" s="76">
        <f>IF(B829="","",I829+J829)</f>
        <v/>
      </c>
      <c r="L829" s="74" t="n"/>
      <c r="M829" s="109" t="n"/>
      <c r="N829" s="109" t="n"/>
      <c r="O829" s="74" t="n"/>
      <c r="P829" s="74" t="n"/>
      <c r="Q829" s="100" t="n"/>
      <c r="R829" s="110" t="n"/>
      <c r="S829" s="75">
        <f>IF(B829="","",SUMIFS('Payments'!$N$6:$N$1005,'Payments'!$B$6:$B$1005,B829))</f>
        <v/>
      </c>
      <c r="T829" s="111">
        <f>IF(OR(B829="",K829=0),"",S829/K829)</f>
        <v/>
      </c>
      <c r="U829" s="78">
        <f>IF(V829="","",IF(V829=2,"⚠️ Paying ahead of work","✓ OK"))</f>
        <v/>
      </c>
      <c r="V829" s="79">
        <f>IF(T829="","",IF(T829-R829&gt;OverpayTol,2,0))</f>
        <v/>
      </c>
      <c r="W829" s="112">
        <f>IF(V829=2,AsOf,"")</f>
        <v/>
      </c>
      <c r="X829" s="79">
        <f>IF(W829="","",1)</f>
        <v/>
      </c>
      <c r="Y829" s="79">
        <f>IF(X829="","","Paying ahead of work: "&amp;B829&amp;" — paid "&amp;ROUND(T829*100,0)&amp;"%, work done "&amp;ROUND(R829*100,0)&amp;"%")</f>
        <v/>
      </c>
      <c r="AA829" s="72" t="n"/>
      <c r="AB829" s="109" t="n"/>
      <c r="AC829" s="113" t="n"/>
      <c r="AD829" s="74" t="n"/>
      <c r="AE829" s="109" t="n"/>
      <c r="AF829" s="74" t="n"/>
      <c r="AG829" s="112">
        <f>IF(AND(AA829&lt;&gt;"",AD829="Yes",AF829&lt;&gt;"Yes",AE829&lt;&gt;""),AE829,"")</f>
        <v/>
      </c>
      <c r="AH829" s="79">
        <f>IF(AG829="","",IF(AG829&lt;AsOf,1,IF(AG829&lt;=AsOf+AlertDays,2,IF(AG829&lt;=AsOf+2*AlertDays,3,""))))</f>
        <v/>
      </c>
      <c r="AI829" s="79">
        <f>IF(AH829="","","Follow up with "&amp;AA829&amp;": "&amp;AC829)</f>
        <v/>
      </c>
    </row>
    <row r="830" ht="20" customHeight="1">
      <c r="B830" s="72" t="n"/>
      <c r="C830" s="72" t="n"/>
      <c r="D830" s="72" t="n"/>
      <c r="E830" s="72" t="n"/>
      <c r="F830" s="72" t="n"/>
      <c r="G830" s="72" t="n"/>
      <c r="H830" s="72" t="n"/>
      <c r="I830" s="73" t="n"/>
      <c r="J830" s="75">
        <f>IF(B830="","",SUMIFS('Change Orders'!$J$7:$J$1006,'Change Orders'!$E$7:$E$1006,B830,'Change Orders'!$L$7:$L$1006,"Approved"))</f>
        <v/>
      </c>
      <c r="K830" s="76">
        <f>IF(B830="","",I830+J830)</f>
        <v/>
      </c>
      <c r="L830" s="74" t="n"/>
      <c r="M830" s="109" t="n"/>
      <c r="N830" s="109" t="n"/>
      <c r="O830" s="74" t="n"/>
      <c r="P830" s="74" t="n"/>
      <c r="Q830" s="100" t="n"/>
      <c r="R830" s="110" t="n"/>
      <c r="S830" s="75">
        <f>IF(B830="","",SUMIFS('Payments'!$N$6:$N$1005,'Payments'!$B$6:$B$1005,B830))</f>
        <v/>
      </c>
      <c r="T830" s="111">
        <f>IF(OR(B830="",K830=0),"",S830/K830)</f>
        <v/>
      </c>
      <c r="U830" s="78">
        <f>IF(V830="","",IF(V830=2,"⚠️ Paying ahead of work","✓ OK"))</f>
        <v/>
      </c>
      <c r="V830" s="79">
        <f>IF(T830="","",IF(T830-R830&gt;OverpayTol,2,0))</f>
        <v/>
      </c>
      <c r="W830" s="112">
        <f>IF(V830=2,AsOf,"")</f>
        <v/>
      </c>
      <c r="X830" s="79">
        <f>IF(W830="","",1)</f>
        <v/>
      </c>
      <c r="Y830" s="79">
        <f>IF(X830="","","Paying ahead of work: "&amp;B830&amp;" — paid "&amp;ROUND(T830*100,0)&amp;"%, work done "&amp;ROUND(R830*100,0)&amp;"%")</f>
        <v/>
      </c>
      <c r="AA830" s="72" t="n"/>
      <c r="AB830" s="109" t="n"/>
      <c r="AC830" s="113" t="n"/>
      <c r="AD830" s="74" t="n"/>
      <c r="AE830" s="109" t="n"/>
      <c r="AF830" s="74" t="n"/>
      <c r="AG830" s="112">
        <f>IF(AND(AA830&lt;&gt;"",AD830="Yes",AF830&lt;&gt;"Yes",AE830&lt;&gt;""),AE830,"")</f>
        <v/>
      </c>
      <c r="AH830" s="79">
        <f>IF(AG830="","",IF(AG830&lt;AsOf,1,IF(AG830&lt;=AsOf+AlertDays,2,IF(AG830&lt;=AsOf+2*AlertDays,3,""))))</f>
        <v/>
      </c>
      <c r="AI830" s="79">
        <f>IF(AH830="","","Follow up with "&amp;AA830&amp;": "&amp;AC830)</f>
        <v/>
      </c>
    </row>
    <row r="831" ht="20" customHeight="1">
      <c r="B831" s="72" t="n"/>
      <c r="C831" s="72" t="n"/>
      <c r="D831" s="72" t="n"/>
      <c r="E831" s="72" t="n"/>
      <c r="F831" s="72" t="n"/>
      <c r="G831" s="72" t="n"/>
      <c r="H831" s="72" t="n"/>
      <c r="I831" s="73" t="n"/>
      <c r="J831" s="75">
        <f>IF(B831="","",SUMIFS('Change Orders'!$J$7:$J$1006,'Change Orders'!$E$7:$E$1006,B831,'Change Orders'!$L$7:$L$1006,"Approved"))</f>
        <v/>
      </c>
      <c r="K831" s="76">
        <f>IF(B831="","",I831+J831)</f>
        <v/>
      </c>
      <c r="L831" s="74" t="n"/>
      <c r="M831" s="109" t="n"/>
      <c r="N831" s="109" t="n"/>
      <c r="O831" s="74" t="n"/>
      <c r="P831" s="74" t="n"/>
      <c r="Q831" s="100" t="n"/>
      <c r="R831" s="110" t="n"/>
      <c r="S831" s="75">
        <f>IF(B831="","",SUMIFS('Payments'!$N$6:$N$1005,'Payments'!$B$6:$B$1005,B831))</f>
        <v/>
      </c>
      <c r="T831" s="111">
        <f>IF(OR(B831="",K831=0),"",S831/K831)</f>
        <v/>
      </c>
      <c r="U831" s="78">
        <f>IF(V831="","",IF(V831=2,"⚠️ Paying ahead of work","✓ OK"))</f>
        <v/>
      </c>
      <c r="V831" s="79">
        <f>IF(T831="","",IF(T831-R831&gt;OverpayTol,2,0))</f>
        <v/>
      </c>
      <c r="W831" s="112">
        <f>IF(V831=2,AsOf,"")</f>
        <v/>
      </c>
      <c r="X831" s="79">
        <f>IF(W831="","",1)</f>
        <v/>
      </c>
      <c r="Y831" s="79">
        <f>IF(X831="","","Paying ahead of work: "&amp;B831&amp;" — paid "&amp;ROUND(T831*100,0)&amp;"%, work done "&amp;ROUND(R831*100,0)&amp;"%")</f>
        <v/>
      </c>
      <c r="AA831" s="72" t="n"/>
      <c r="AB831" s="109" t="n"/>
      <c r="AC831" s="113" t="n"/>
      <c r="AD831" s="74" t="n"/>
      <c r="AE831" s="109" t="n"/>
      <c r="AF831" s="74" t="n"/>
      <c r="AG831" s="112">
        <f>IF(AND(AA831&lt;&gt;"",AD831="Yes",AF831&lt;&gt;"Yes",AE831&lt;&gt;""),AE831,"")</f>
        <v/>
      </c>
      <c r="AH831" s="79">
        <f>IF(AG831="","",IF(AG831&lt;AsOf,1,IF(AG831&lt;=AsOf+AlertDays,2,IF(AG831&lt;=AsOf+2*AlertDays,3,""))))</f>
        <v/>
      </c>
      <c r="AI831" s="79">
        <f>IF(AH831="","","Follow up with "&amp;AA831&amp;": "&amp;AC831)</f>
        <v/>
      </c>
    </row>
    <row r="832" ht="20" customHeight="1">
      <c r="B832" s="72" t="n"/>
      <c r="C832" s="72" t="n"/>
      <c r="D832" s="72" t="n"/>
      <c r="E832" s="72" t="n"/>
      <c r="F832" s="72" t="n"/>
      <c r="G832" s="72" t="n"/>
      <c r="H832" s="72" t="n"/>
      <c r="I832" s="73" t="n"/>
      <c r="J832" s="75">
        <f>IF(B832="","",SUMIFS('Change Orders'!$J$7:$J$1006,'Change Orders'!$E$7:$E$1006,B832,'Change Orders'!$L$7:$L$1006,"Approved"))</f>
        <v/>
      </c>
      <c r="K832" s="76">
        <f>IF(B832="","",I832+J832)</f>
        <v/>
      </c>
      <c r="L832" s="74" t="n"/>
      <c r="M832" s="109" t="n"/>
      <c r="N832" s="109" t="n"/>
      <c r="O832" s="74" t="n"/>
      <c r="P832" s="74" t="n"/>
      <c r="Q832" s="100" t="n"/>
      <c r="R832" s="110" t="n"/>
      <c r="S832" s="75">
        <f>IF(B832="","",SUMIFS('Payments'!$N$6:$N$1005,'Payments'!$B$6:$B$1005,B832))</f>
        <v/>
      </c>
      <c r="T832" s="111">
        <f>IF(OR(B832="",K832=0),"",S832/K832)</f>
        <v/>
      </c>
      <c r="U832" s="78">
        <f>IF(V832="","",IF(V832=2,"⚠️ Paying ahead of work","✓ OK"))</f>
        <v/>
      </c>
      <c r="V832" s="79">
        <f>IF(T832="","",IF(T832-R832&gt;OverpayTol,2,0))</f>
        <v/>
      </c>
      <c r="W832" s="112">
        <f>IF(V832=2,AsOf,"")</f>
        <v/>
      </c>
      <c r="X832" s="79">
        <f>IF(W832="","",1)</f>
        <v/>
      </c>
      <c r="Y832" s="79">
        <f>IF(X832="","","Paying ahead of work: "&amp;B832&amp;" — paid "&amp;ROUND(T832*100,0)&amp;"%, work done "&amp;ROUND(R832*100,0)&amp;"%")</f>
        <v/>
      </c>
      <c r="AA832" s="72" t="n"/>
      <c r="AB832" s="109" t="n"/>
      <c r="AC832" s="113" t="n"/>
      <c r="AD832" s="74" t="n"/>
      <c r="AE832" s="109" t="n"/>
      <c r="AF832" s="74" t="n"/>
      <c r="AG832" s="112">
        <f>IF(AND(AA832&lt;&gt;"",AD832="Yes",AF832&lt;&gt;"Yes",AE832&lt;&gt;""),AE832,"")</f>
        <v/>
      </c>
      <c r="AH832" s="79">
        <f>IF(AG832="","",IF(AG832&lt;AsOf,1,IF(AG832&lt;=AsOf+AlertDays,2,IF(AG832&lt;=AsOf+2*AlertDays,3,""))))</f>
        <v/>
      </c>
      <c r="AI832" s="79">
        <f>IF(AH832="","","Follow up with "&amp;AA832&amp;": "&amp;AC832)</f>
        <v/>
      </c>
    </row>
    <row r="833" ht="20" customHeight="1">
      <c r="B833" s="72" t="n"/>
      <c r="C833" s="72" t="n"/>
      <c r="D833" s="72" t="n"/>
      <c r="E833" s="72" t="n"/>
      <c r="F833" s="72" t="n"/>
      <c r="G833" s="72" t="n"/>
      <c r="H833" s="72" t="n"/>
      <c r="I833" s="73" t="n"/>
      <c r="J833" s="75">
        <f>IF(B833="","",SUMIFS('Change Orders'!$J$7:$J$1006,'Change Orders'!$E$7:$E$1006,B833,'Change Orders'!$L$7:$L$1006,"Approved"))</f>
        <v/>
      </c>
      <c r="K833" s="76">
        <f>IF(B833="","",I833+J833)</f>
        <v/>
      </c>
      <c r="L833" s="74" t="n"/>
      <c r="M833" s="109" t="n"/>
      <c r="N833" s="109" t="n"/>
      <c r="O833" s="74" t="n"/>
      <c r="P833" s="74" t="n"/>
      <c r="Q833" s="100" t="n"/>
      <c r="R833" s="110" t="n"/>
      <c r="S833" s="75">
        <f>IF(B833="","",SUMIFS('Payments'!$N$6:$N$1005,'Payments'!$B$6:$B$1005,B833))</f>
        <v/>
      </c>
      <c r="T833" s="111">
        <f>IF(OR(B833="",K833=0),"",S833/K833)</f>
        <v/>
      </c>
      <c r="U833" s="78">
        <f>IF(V833="","",IF(V833=2,"⚠️ Paying ahead of work","✓ OK"))</f>
        <v/>
      </c>
      <c r="V833" s="79">
        <f>IF(T833="","",IF(T833-R833&gt;OverpayTol,2,0))</f>
        <v/>
      </c>
      <c r="W833" s="112">
        <f>IF(V833=2,AsOf,"")</f>
        <v/>
      </c>
      <c r="X833" s="79">
        <f>IF(W833="","",1)</f>
        <v/>
      </c>
      <c r="Y833" s="79">
        <f>IF(X833="","","Paying ahead of work: "&amp;B833&amp;" — paid "&amp;ROUND(T833*100,0)&amp;"%, work done "&amp;ROUND(R833*100,0)&amp;"%")</f>
        <v/>
      </c>
      <c r="AA833" s="72" t="n"/>
      <c r="AB833" s="109" t="n"/>
      <c r="AC833" s="113" t="n"/>
      <c r="AD833" s="74" t="n"/>
      <c r="AE833" s="109" t="n"/>
      <c r="AF833" s="74" t="n"/>
      <c r="AG833" s="112">
        <f>IF(AND(AA833&lt;&gt;"",AD833="Yes",AF833&lt;&gt;"Yes",AE833&lt;&gt;""),AE833,"")</f>
        <v/>
      </c>
      <c r="AH833" s="79">
        <f>IF(AG833="","",IF(AG833&lt;AsOf,1,IF(AG833&lt;=AsOf+AlertDays,2,IF(AG833&lt;=AsOf+2*AlertDays,3,""))))</f>
        <v/>
      </c>
      <c r="AI833" s="79">
        <f>IF(AH833="","","Follow up with "&amp;AA833&amp;": "&amp;AC833)</f>
        <v/>
      </c>
    </row>
    <row r="834" ht="20" customHeight="1">
      <c r="B834" s="72" t="n"/>
      <c r="C834" s="72" t="n"/>
      <c r="D834" s="72" t="n"/>
      <c r="E834" s="72" t="n"/>
      <c r="F834" s="72" t="n"/>
      <c r="G834" s="72" t="n"/>
      <c r="H834" s="72" t="n"/>
      <c r="I834" s="73" t="n"/>
      <c r="J834" s="75">
        <f>IF(B834="","",SUMIFS('Change Orders'!$J$7:$J$1006,'Change Orders'!$E$7:$E$1006,B834,'Change Orders'!$L$7:$L$1006,"Approved"))</f>
        <v/>
      </c>
      <c r="K834" s="76">
        <f>IF(B834="","",I834+J834)</f>
        <v/>
      </c>
      <c r="L834" s="74" t="n"/>
      <c r="M834" s="109" t="n"/>
      <c r="N834" s="109" t="n"/>
      <c r="O834" s="74" t="n"/>
      <c r="P834" s="74" t="n"/>
      <c r="Q834" s="100" t="n"/>
      <c r="R834" s="110" t="n"/>
      <c r="S834" s="75">
        <f>IF(B834="","",SUMIFS('Payments'!$N$6:$N$1005,'Payments'!$B$6:$B$1005,B834))</f>
        <v/>
      </c>
      <c r="T834" s="111">
        <f>IF(OR(B834="",K834=0),"",S834/K834)</f>
        <v/>
      </c>
      <c r="U834" s="78">
        <f>IF(V834="","",IF(V834=2,"⚠️ Paying ahead of work","✓ OK"))</f>
        <v/>
      </c>
      <c r="V834" s="79">
        <f>IF(T834="","",IF(T834-R834&gt;OverpayTol,2,0))</f>
        <v/>
      </c>
      <c r="W834" s="112">
        <f>IF(V834=2,AsOf,"")</f>
        <v/>
      </c>
      <c r="X834" s="79">
        <f>IF(W834="","",1)</f>
        <v/>
      </c>
      <c r="Y834" s="79">
        <f>IF(X834="","","Paying ahead of work: "&amp;B834&amp;" — paid "&amp;ROUND(T834*100,0)&amp;"%, work done "&amp;ROUND(R834*100,0)&amp;"%")</f>
        <v/>
      </c>
      <c r="AA834" s="72" t="n"/>
      <c r="AB834" s="109" t="n"/>
      <c r="AC834" s="113" t="n"/>
      <c r="AD834" s="74" t="n"/>
      <c r="AE834" s="109" t="n"/>
      <c r="AF834" s="74" t="n"/>
      <c r="AG834" s="112">
        <f>IF(AND(AA834&lt;&gt;"",AD834="Yes",AF834&lt;&gt;"Yes",AE834&lt;&gt;""),AE834,"")</f>
        <v/>
      </c>
      <c r="AH834" s="79">
        <f>IF(AG834="","",IF(AG834&lt;AsOf,1,IF(AG834&lt;=AsOf+AlertDays,2,IF(AG834&lt;=AsOf+2*AlertDays,3,""))))</f>
        <v/>
      </c>
      <c r="AI834" s="79">
        <f>IF(AH834="","","Follow up with "&amp;AA834&amp;": "&amp;AC834)</f>
        <v/>
      </c>
    </row>
    <row r="835" ht="20" customHeight="1">
      <c r="B835" s="72" t="n"/>
      <c r="C835" s="72" t="n"/>
      <c r="D835" s="72" t="n"/>
      <c r="E835" s="72" t="n"/>
      <c r="F835" s="72" t="n"/>
      <c r="G835" s="72" t="n"/>
      <c r="H835" s="72" t="n"/>
      <c r="I835" s="73" t="n"/>
      <c r="J835" s="75">
        <f>IF(B835="","",SUMIFS('Change Orders'!$J$7:$J$1006,'Change Orders'!$E$7:$E$1006,B835,'Change Orders'!$L$7:$L$1006,"Approved"))</f>
        <v/>
      </c>
      <c r="K835" s="76">
        <f>IF(B835="","",I835+J835)</f>
        <v/>
      </c>
      <c r="L835" s="74" t="n"/>
      <c r="M835" s="109" t="n"/>
      <c r="N835" s="109" t="n"/>
      <c r="O835" s="74" t="n"/>
      <c r="P835" s="74" t="n"/>
      <c r="Q835" s="100" t="n"/>
      <c r="R835" s="110" t="n"/>
      <c r="S835" s="75">
        <f>IF(B835="","",SUMIFS('Payments'!$N$6:$N$1005,'Payments'!$B$6:$B$1005,B835))</f>
        <v/>
      </c>
      <c r="T835" s="111">
        <f>IF(OR(B835="",K835=0),"",S835/K835)</f>
        <v/>
      </c>
      <c r="U835" s="78">
        <f>IF(V835="","",IF(V835=2,"⚠️ Paying ahead of work","✓ OK"))</f>
        <v/>
      </c>
      <c r="V835" s="79">
        <f>IF(T835="","",IF(T835-R835&gt;OverpayTol,2,0))</f>
        <v/>
      </c>
      <c r="W835" s="112">
        <f>IF(V835=2,AsOf,"")</f>
        <v/>
      </c>
      <c r="X835" s="79">
        <f>IF(W835="","",1)</f>
        <v/>
      </c>
      <c r="Y835" s="79">
        <f>IF(X835="","","Paying ahead of work: "&amp;B835&amp;" — paid "&amp;ROUND(T835*100,0)&amp;"%, work done "&amp;ROUND(R835*100,0)&amp;"%")</f>
        <v/>
      </c>
      <c r="AA835" s="72" t="n"/>
      <c r="AB835" s="109" t="n"/>
      <c r="AC835" s="113" t="n"/>
      <c r="AD835" s="74" t="n"/>
      <c r="AE835" s="109" t="n"/>
      <c r="AF835" s="74" t="n"/>
      <c r="AG835" s="112">
        <f>IF(AND(AA835&lt;&gt;"",AD835="Yes",AF835&lt;&gt;"Yes",AE835&lt;&gt;""),AE835,"")</f>
        <v/>
      </c>
      <c r="AH835" s="79">
        <f>IF(AG835="","",IF(AG835&lt;AsOf,1,IF(AG835&lt;=AsOf+AlertDays,2,IF(AG835&lt;=AsOf+2*AlertDays,3,""))))</f>
        <v/>
      </c>
      <c r="AI835" s="79">
        <f>IF(AH835="","","Follow up with "&amp;AA835&amp;": "&amp;AC835)</f>
        <v/>
      </c>
    </row>
    <row r="836" ht="20" customHeight="1">
      <c r="B836" s="72" t="n"/>
      <c r="C836" s="72" t="n"/>
      <c r="D836" s="72" t="n"/>
      <c r="E836" s="72" t="n"/>
      <c r="F836" s="72" t="n"/>
      <c r="G836" s="72" t="n"/>
      <c r="H836" s="72" t="n"/>
      <c r="I836" s="73" t="n"/>
      <c r="J836" s="75">
        <f>IF(B836="","",SUMIFS('Change Orders'!$J$7:$J$1006,'Change Orders'!$E$7:$E$1006,B836,'Change Orders'!$L$7:$L$1006,"Approved"))</f>
        <v/>
      </c>
      <c r="K836" s="76">
        <f>IF(B836="","",I836+J836)</f>
        <v/>
      </c>
      <c r="L836" s="74" t="n"/>
      <c r="M836" s="109" t="n"/>
      <c r="N836" s="109" t="n"/>
      <c r="O836" s="74" t="n"/>
      <c r="P836" s="74" t="n"/>
      <c r="Q836" s="100" t="n"/>
      <c r="R836" s="110" t="n"/>
      <c r="S836" s="75">
        <f>IF(B836="","",SUMIFS('Payments'!$N$6:$N$1005,'Payments'!$B$6:$B$1005,B836))</f>
        <v/>
      </c>
      <c r="T836" s="111">
        <f>IF(OR(B836="",K836=0),"",S836/K836)</f>
        <v/>
      </c>
      <c r="U836" s="78">
        <f>IF(V836="","",IF(V836=2,"⚠️ Paying ahead of work","✓ OK"))</f>
        <v/>
      </c>
      <c r="V836" s="79">
        <f>IF(T836="","",IF(T836-R836&gt;OverpayTol,2,0))</f>
        <v/>
      </c>
      <c r="W836" s="112">
        <f>IF(V836=2,AsOf,"")</f>
        <v/>
      </c>
      <c r="X836" s="79">
        <f>IF(W836="","",1)</f>
        <v/>
      </c>
      <c r="Y836" s="79">
        <f>IF(X836="","","Paying ahead of work: "&amp;B836&amp;" — paid "&amp;ROUND(T836*100,0)&amp;"%, work done "&amp;ROUND(R836*100,0)&amp;"%")</f>
        <v/>
      </c>
      <c r="AA836" s="72" t="n"/>
      <c r="AB836" s="109" t="n"/>
      <c r="AC836" s="113" t="n"/>
      <c r="AD836" s="74" t="n"/>
      <c r="AE836" s="109" t="n"/>
      <c r="AF836" s="74" t="n"/>
      <c r="AG836" s="112">
        <f>IF(AND(AA836&lt;&gt;"",AD836="Yes",AF836&lt;&gt;"Yes",AE836&lt;&gt;""),AE836,"")</f>
        <v/>
      </c>
      <c r="AH836" s="79">
        <f>IF(AG836="","",IF(AG836&lt;AsOf,1,IF(AG836&lt;=AsOf+AlertDays,2,IF(AG836&lt;=AsOf+2*AlertDays,3,""))))</f>
        <v/>
      </c>
      <c r="AI836" s="79">
        <f>IF(AH836="","","Follow up with "&amp;AA836&amp;": "&amp;AC836)</f>
        <v/>
      </c>
    </row>
    <row r="837" ht="20" customHeight="1">
      <c r="B837" s="72" t="n"/>
      <c r="C837" s="72" t="n"/>
      <c r="D837" s="72" t="n"/>
      <c r="E837" s="72" t="n"/>
      <c r="F837" s="72" t="n"/>
      <c r="G837" s="72" t="n"/>
      <c r="H837" s="72" t="n"/>
      <c r="I837" s="73" t="n"/>
      <c r="J837" s="75">
        <f>IF(B837="","",SUMIFS('Change Orders'!$J$7:$J$1006,'Change Orders'!$E$7:$E$1006,B837,'Change Orders'!$L$7:$L$1006,"Approved"))</f>
        <v/>
      </c>
      <c r="K837" s="76">
        <f>IF(B837="","",I837+J837)</f>
        <v/>
      </c>
      <c r="L837" s="74" t="n"/>
      <c r="M837" s="109" t="n"/>
      <c r="N837" s="109" t="n"/>
      <c r="O837" s="74" t="n"/>
      <c r="P837" s="74" t="n"/>
      <c r="Q837" s="100" t="n"/>
      <c r="R837" s="110" t="n"/>
      <c r="S837" s="75">
        <f>IF(B837="","",SUMIFS('Payments'!$N$6:$N$1005,'Payments'!$B$6:$B$1005,B837))</f>
        <v/>
      </c>
      <c r="T837" s="111">
        <f>IF(OR(B837="",K837=0),"",S837/K837)</f>
        <v/>
      </c>
      <c r="U837" s="78">
        <f>IF(V837="","",IF(V837=2,"⚠️ Paying ahead of work","✓ OK"))</f>
        <v/>
      </c>
      <c r="V837" s="79">
        <f>IF(T837="","",IF(T837-R837&gt;OverpayTol,2,0))</f>
        <v/>
      </c>
      <c r="W837" s="112">
        <f>IF(V837=2,AsOf,"")</f>
        <v/>
      </c>
      <c r="X837" s="79">
        <f>IF(W837="","",1)</f>
        <v/>
      </c>
      <c r="Y837" s="79">
        <f>IF(X837="","","Paying ahead of work: "&amp;B837&amp;" — paid "&amp;ROUND(T837*100,0)&amp;"%, work done "&amp;ROUND(R837*100,0)&amp;"%")</f>
        <v/>
      </c>
      <c r="AA837" s="72" t="n"/>
      <c r="AB837" s="109" t="n"/>
      <c r="AC837" s="113" t="n"/>
      <c r="AD837" s="74" t="n"/>
      <c r="AE837" s="109" t="n"/>
      <c r="AF837" s="74" t="n"/>
      <c r="AG837" s="112">
        <f>IF(AND(AA837&lt;&gt;"",AD837="Yes",AF837&lt;&gt;"Yes",AE837&lt;&gt;""),AE837,"")</f>
        <v/>
      </c>
      <c r="AH837" s="79">
        <f>IF(AG837="","",IF(AG837&lt;AsOf,1,IF(AG837&lt;=AsOf+AlertDays,2,IF(AG837&lt;=AsOf+2*AlertDays,3,""))))</f>
        <v/>
      </c>
      <c r="AI837" s="79">
        <f>IF(AH837="","","Follow up with "&amp;AA837&amp;": "&amp;AC837)</f>
        <v/>
      </c>
    </row>
    <row r="838" ht="20" customHeight="1">
      <c r="B838" s="72" t="n"/>
      <c r="C838" s="72" t="n"/>
      <c r="D838" s="72" t="n"/>
      <c r="E838" s="72" t="n"/>
      <c r="F838" s="72" t="n"/>
      <c r="G838" s="72" t="n"/>
      <c r="H838" s="72" t="n"/>
      <c r="I838" s="73" t="n"/>
      <c r="J838" s="75">
        <f>IF(B838="","",SUMIFS('Change Orders'!$J$7:$J$1006,'Change Orders'!$E$7:$E$1006,B838,'Change Orders'!$L$7:$L$1006,"Approved"))</f>
        <v/>
      </c>
      <c r="K838" s="76">
        <f>IF(B838="","",I838+J838)</f>
        <v/>
      </c>
      <c r="L838" s="74" t="n"/>
      <c r="M838" s="109" t="n"/>
      <c r="N838" s="109" t="n"/>
      <c r="O838" s="74" t="n"/>
      <c r="P838" s="74" t="n"/>
      <c r="Q838" s="100" t="n"/>
      <c r="R838" s="110" t="n"/>
      <c r="S838" s="75">
        <f>IF(B838="","",SUMIFS('Payments'!$N$6:$N$1005,'Payments'!$B$6:$B$1005,B838))</f>
        <v/>
      </c>
      <c r="T838" s="111">
        <f>IF(OR(B838="",K838=0),"",S838/K838)</f>
        <v/>
      </c>
      <c r="U838" s="78">
        <f>IF(V838="","",IF(V838=2,"⚠️ Paying ahead of work","✓ OK"))</f>
        <v/>
      </c>
      <c r="V838" s="79">
        <f>IF(T838="","",IF(T838-R838&gt;OverpayTol,2,0))</f>
        <v/>
      </c>
      <c r="W838" s="112">
        <f>IF(V838=2,AsOf,"")</f>
        <v/>
      </c>
      <c r="X838" s="79">
        <f>IF(W838="","",1)</f>
        <v/>
      </c>
      <c r="Y838" s="79">
        <f>IF(X838="","","Paying ahead of work: "&amp;B838&amp;" — paid "&amp;ROUND(T838*100,0)&amp;"%, work done "&amp;ROUND(R838*100,0)&amp;"%")</f>
        <v/>
      </c>
      <c r="AA838" s="72" t="n"/>
      <c r="AB838" s="109" t="n"/>
      <c r="AC838" s="113" t="n"/>
      <c r="AD838" s="74" t="n"/>
      <c r="AE838" s="109" t="n"/>
      <c r="AF838" s="74" t="n"/>
      <c r="AG838" s="112">
        <f>IF(AND(AA838&lt;&gt;"",AD838="Yes",AF838&lt;&gt;"Yes",AE838&lt;&gt;""),AE838,"")</f>
        <v/>
      </c>
      <c r="AH838" s="79">
        <f>IF(AG838="","",IF(AG838&lt;AsOf,1,IF(AG838&lt;=AsOf+AlertDays,2,IF(AG838&lt;=AsOf+2*AlertDays,3,""))))</f>
        <v/>
      </c>
      <c r="AI838" s="79">
        <f>IF(AH838="","","Follow up with "&amp;AA838&amp;": "&amp;AC838)</f>
        <v/>
      </c>
    </row>
    <row r="839" ht="20" customHeight="1">
      <c r="B839" s="72" t="n"/>
      <c r="C839" s="72" t="n"/>
      <c r="D839" s="72" t="n"/>
      <c r="E839" s="72" t="n"/>
      <c r="F839" s="72" t="n"/>
      <c r="G839" s="72" t="n"/>
      <c r="H839" s="72" t="n"/>
      <c r="I839" s="73" t="n"/>
      <c r="J839" s="75">
        <f>IF(B839="","",SUMIFS('Change Orders'!$J$7:$J$1006,'Change Orders'!$E$7:$E$1006,B839,'Change Orders'!$L$7:$L$1006,"Approved"))</f>
        <v/>
      </c>
      <c r="K839" s="76">
        <f>IF(B839="","",I839+J839)</f>
        <v/>
      </c>
      <c r="L839" s="74" t="n"/>
      <c r="M839" s="109" t="n"/>
      <c r="N839" s="109" t="n"/>
      <c r="O839" s="74" t="n"/>
      <c r="P839" s="74" t="n"/>
      <c r="Q839" s="100" t="n"/>
      <c r="R839" s="110" t="n"/>
      <c r="S839" s="75">
        <f>IF(B839="","",SUMIFS('Payments'!$N$6:$N$1005,'Payments'!$B$6:$B$1005,B839))</f>
        <v/>
      </c>
      <c r="T839" s="111">
        <f>IF(OR(B839="",K839=0),"",S839/K839)</f>
        <v/>
      </c>
      <c r="U839" s="78">
        <f>IF(V839="","",IF(V839=2,"⚠️ Paying ahead of work","✓ OK"))</f>
        <v/>
      </c>
      <c r="V839" s="79">
        <f>IF(T839="","",IF(T839-R839&gt;OverpayTol,2,0))</f>
        <v/>
      </c>
      <c r="W839" s="112">
        <f>IF(V839=2,AsOf,"")</f>
        <v/>
      </c>
      <c r="X839" s="79">
        <f>IF(W839="","",1)</f>
        <v/>
      </c>
      <c r="Y839" s="79">
        <f>IF(X839="","","Paying ahead of work: "&amp;B839&amp;" — paid "&amp;ROUND(T839*100,0)&amp;"%, work done "&amp;ROUND(R839*100,0)&amp;"%")</f>
        <v/>
      </c>
      <c r="AA839" s="72" t="n"/>
      <c r="AB839" s="109" t="n"/>
      <c r="AC839" s="113" t="n"/>
      <c r="AD839" s="74" t="n"/>
      <c r="AE839" s="109" t="n"/>
      <c r="AF839" s="74" t="n"/>
      <c r="AG839" s="112">
        <f>IF(AND(AA839&lt;&gt;"",AD839="Yes",AF839&lt;&gt;"Yes",AE839&lt;&gt;""),AE839,"")</f>
        <v/>
      </c>
      <c r="AH839" s="79">
        <f>IF(AG839="","",IF(AG839&lt;AsOf,1,IF(AG839&lt;=AsOf+AlertDays,2,IF(AG839&lt;=AsOf+2*AlertDays,3,""))))</f>
        <v/>
      </c>
      <c r="AI839" s="79">
        <f>IF(AH839="","","Follow up with "&amp;AA839&amp;": "&amp;AC839)</f>
        <v/>
      </c>
    </row>
    <row r="840" ht="20" customHeight="1">
      <c r="B840" s="72" t="n"/>
      <c r="C840" s="72" t="n"/>
      <c r="D840" s="72" t="n"/>
      <c r="E840" s="72" t="n"/>
      <c r="F840" s="72" t="n"/>
      <c r="G840" s="72" t="n"/>
      <c r="H840" s="72" t="n"/>
      <c r="I840" s="73" t="n"/>
      <c r="J840" s="75">
        <f>IF(B840="","",SUMIFS('Change Orders'!$J$7:$J$1006,'Change Orders'!$E$7:$E$1006,B840,'Change Orders'!$L$7:$L$1006,"Approved"))</f>
        <v/>
      </c>
      <c r="K840" s="76">
        <f>IF(B840="","",I840+J840)</f>
        <v/>
      </c>
      <c r="L840" s="74" t="n"/>
      <c r="M840" s="109" t="n"/>
      <c r="N840" s="109" t="n"/>
      <c r="O840" s="74" t="n"/>
      <c r="P840" s="74" t="n"/>
      <c r="Q840" s="100" t="n"/>
      <c r="R840" s="110" t="n"/>
      <c r="S840" s="75">
        <f>IF(B840="","",SUMIFS('Payments'!$N$6:$N$1005,'Payments'!$B$6:$B$1005,B840))</f>
        <v/>
      </c>
      <c r="T840" s="111">
        <f>IF(OR(B840="",K840=0),"",S840/K840)</f>
        <v/>
      </c>
      <c r="U840" s="78">
        <f>IF(V840="","",IF(V840=2,"⚠️ Paying ahead of work","✓ OK"))</f>
        <v/>
      </c>
      <c r="V840" s="79">
        <f>IF(T840="","",IF(T840-R840&gt;OverpayTol,2,0))</f>
        <v/>
      </c>
      <c r="W840" s="112">
        <f>IF(V840=2,AsOf,"")</f>
        <v/>
      </c>
      <c r="X840" s="79">
        <f>IF(W840="","",1)</f>
        <v/>
      </c>
      <c r="Y840" s="79">
        <f>IF(X840="","","Paying ahead of work: "&amp;B840&amp;" — paid "&amp;ROUND(T840*100,0)&amp;"%, work done "&amp;ROUND(R840*100,0)&amp;"%")</f>
        <v/>
      </c>
      <c r="AA840" s="72" t="n"/>
      <c r="AB840" s="109" t="n"/>
      <c r="AC840" s="113" t="n"/>
      <c r="AD840" s="74" t="n"/>
      <c r="AE840" s="109" t="n"/>
      <c r="AF840" s="74" t="n"/>
      <c r="AG840" s="112">
        <f>IF(AND(AA840&lt;&gt;"",AD840="Yes",AF840&lt;&gt;"Yes",AE840&lt;&gt;""),AE840,"")</f>
        <v/>
      </c>
      <c r="AH840" s="79">
        <f>IF(AG840="","",IF(AG840&lt;AsOf,1,IF(AG840&lt;=AsOf+AlertDays,2,IF(AG840&lt;=AsOf+2*AlertDays,3,""))))</f>
        <v/>
      </c>
      <c r="AI840" s="79">
        <f>IF(AH840="","","Follow up with "&amp;AA840&amp;": "&amp;AC840)</f>
        <v/>
      </c>
    </row>
    <row r="841" ht="20" customHeight="1">
      <c r="B841" s="72" t="n"/>
      <c r="C841" s="72" t="n"/>
      <c r="D841" s="72" t="n"/>
      <c r="E841" s="72" t="n"/>
      <c r="F841" s="72" t="n"/>
      <c r="G841" s="72" t="n"/>
      <c r="H841" s="72" t="n"/>
      <c r="I841" s="73" t="n"/>
      <c r="J841" s="75">
        <f>IF(B841="","",SUMIFS('Change Orders'!$J$7:$J$1006,'Change Orders'!$E$7:$E$1006,B841,'Change Orders'!$L$7:$L$1006,"Approved"))</f>
        <v/>
      </c>
      <c r="K841" s="76">
        <f>IF(B841="","",I841+J841)</f>
        <v/>
      </c>
      <c r="L841" s="74" t="n"/>
      <c r="M841" s="109" t="n"/>
      <c r="N841" s="109" t="n"/>
      <c r="O841" s="74" t="n"/>
      <c r="P841" s="74" t="n"/>
      <c r="Q841" s="100" t="n"/>
      <c r="R841" s="110" t="n"/>
      <c r="S841" s="75">
        <f>IF(B841="","",SUMIFS('Payments'!$N$6:$N$1005,'Payments'!$B$6:$B$1005,B841))</f>
        <v/>
      </c>
      <c r="T841" s="111">
        <f>IF(OR(B841="",K841=0),"",S841/K841)</f>
        <v/>
      </c>
      <c r="U841" s="78">
        <f>IF(V841="","",IF(V841=2,"⚠️ Paying ahead of work","✓ OK"))</f>
        <v/>
      </c>
      <c r="V841" s="79">
        <f>IF(T841="","",IF(T841-R841&gt;OverpayTol,2,0))</f>
        <v/>
      </c>
      <c r="W841" s="112">
        <f>IF(V841=2,AsOf,"")</f>
        <v/>
      </c>
      <c r="X841" s="79">
        <f>IF(W841="","",1)</f>
        <v/>
      </c>
      <c r="Y841" s="79">
        <f>IF(X841="","","Paying ahead of work: "&amp;B841&amp;" — paid "&amp;ROUND(T841*100,0)&amp;"%, work done "&amp;ROUND(R841*100,0)&amp;"%")</f>
        <v/>
      </c>
      <c r="AA841" s="72" t="n"/>
      <c r="AB841" s="109" t="n"/>
      <c r="AC841" s="113" t="n"/>
      <c r="AD841" s="74" t="n"/>
      <c r="AE841" s="109" t="n"/>
      <c r="AF841" s="74" t="n"/>
      <c r="AG841" s="112">
        <f>IF(AND(AA841&lt;&gt;"",AD841="Yes",AF841&lt;&gt;"Yes",AE841&lt;&gt;""),AE841,"")</f>
        <v/>
      </c>
      <c r="AH841" s="79">
        <f>IF(AG841="","",IF(AG841&lt;AsOf,1,IF(AG841&lt;=AsOf+AlertDays,2,IF(AG841&lt;=AsOf+2*AlertDays,3,""))))</f>
        <v/>
      </c>
      <c r="AI841" s="79">
        <f>IF(AH841="","","Follow up with "&amp;AA841&amp;": "&amp;AC841)</f>
        <v/>
      </c>
    </row>
    <row r="842" ht="20" customHeight="1">
      <c r="B842" s="72" t="n"/>
      <c r="C842" s="72" t="n"/>
      <c r="D842" s="72" t="n"/>
      <c r="E842" s="72" t="n"/>
      <c r="F842" s="72" t="n"/>
      <c r="G842" s="72" t="n"/>
      <c r="H842" s="72" t="n"/>
      <c r="I842" s="73" t="n"/>
      <c r="J842" s="75">
        <f>IF(B842="","",SUMIFS('Change Orders'!$J$7:$J$1006,'Change Orders'!$E$7:$E$1006,B842,'Change Orders'!$L$7:$L$1006,"Approved"))</f>
        <v/>
      </c>
      <c r="K842" s="76">
        <f>IF(B842="","",I842+J842)</f>
        <v/>
      </c>
      <c r="L842" s="74" t="n"/>
      <c r="M842" s="109" t="n"/>
      <c r="N842" s="109" t="n"/>
      <c r="O842" s="74" t="n"/>
      <c r="P842" s="74" t="n"/>
      <c r="Q842" s="100" t="n"/>
      <c r="R842" s="110" t="n"/>
      <c r="S842" s="75">
        <f>IF(B842="","",SUMIFS('Payments'!$N$6:$N$1005,'Payments'!$B$6:$B$1005,B842))</f>
        <v/>
      </c>
      <c r="T842" s="111">
        <f>IF(OR(B842="",K842=0),"",S842/K842)</f>
        <v/>
      </c>
      <c r="U842" s="78">
        <f>IF(V842="","",IF(V842=2,"⚠️ Paying ahead of work","✓ OK"))</f>
        <v/>
      </c>
      <c r="V842" s="79">
        <f>IF(T842="","",IF(T842-R842&gt;OverpayTol,2,0))</f>
        <v/>
      </c>
      <c r="W842" s="112">
        <f>IF(V842=2,AsOf,"")</f>
        <v/>
      </c>
      <c r="X842" s="79">
        <f>IF(W842="","",1)</f>
        <v/>
      </c>
      <c r="Y842" s="79">
        <f>IF(X842="","","Paying ahead of work: "&amp;B842&amp;" — paid "&amp;ROUND(T842*100,0)&amp;"%, work done "&amp;ROUND(R842*100,0)&amp;"%")</f>
        <v/>
      </c>
      <c r="AA842" s="72" t="n"/>
      <c r="AB842" s="109" t="n"/>
      <c r="AC842" s="113" t="n"/>
      <c r="AD842" s="74" t="n"/>
      <c r="AE842" s="109" t="n"/>
      <c r="AF842" s="74" t="n"/>
      <c r="AG842" s="112">
        <f>IF(AND(AA842&lt;&gt;"",AD842="Yes",AF842&lt;&gt;"Yes",AE842&lt;&gt;""),AE842,"")</f>
        <v/>
      </c>
      <c r="AH842" s="79">
        <f>IF(AG842="","",IF(AG842&lt;AsOf,1,IF(AG842&lt;=AsOf+AlertDays,2,IF(AG842&lt;=AsOf+2*AlertDays,3,""))))</f>
        <v/>
      </c>
      <c r="AI842" s="79">
        <f>IF(AH842="","","Follow up with "&amp;AA842&amp;": "&amp;AC842)</f>
        <v/>
      </c>
    </row>
    <row r="843" ht="20" customHeight="1">
      <c r="B843" s="72" t="n"/>
      <c r="C843" s="72" t="n"/>
      <c r="D843" s="72" t="n"/>
      <c r="E843" s="72" t="n"/>
      <c r="F843" s="72" t="n"/>
      <c r="G843" s="72" t="n"/>
      <c r="H843" s="72" t="n"/>
      <c r="I843" s="73" t="n"/>
      <c r="J843" s="75">
        <f>IF(B843="","",SUMIFS('Change Orders'!$J$7:$J$1006,'Change Orders'!$E$7:$E$1006,B843,'Change Orders'!$L$7:$L$1006,"Approved"))</f>
        <v/>
      </c>
      <c r="K843" s="76">
        <f>IF(B843="","",I843+J843)</f>
        <v/>
      </c>
      <c r="L843" s="74" t="n"/>
      <c r="M843" s="109" t="n"/>
      <c r="N843" s="109" t="n"/>
      <c r="O843" s="74" t="n"/>
      <c r="P843" s="74" t="n"/>
      <c r="Q843" s="100" t="n"/>
      <c r="R843" s="110" t="n"/>
      <c r="S843" s="75">
        <f>IF(B843="","",SUMIFS('Payments'!$N$6:$N$1005,'Payments'!$B$6:$B$1005,B843))</f>
        <v/>
      </c>
      <c r="T843" s="111">
        <f>IF(OR(B843="",K843=0),"",S843/K843)</f>
        <v/>
      </c>
      <c r="U843" s="78">
        <f>IF(V843="","",IF(V843=2,"⚠️ Paying ahead of work","✓ OK"))</f>
        <v/>
      </c>
      <c r="V843" s="79">
        <f>IF(T843="","",IF(T843-R843&gt;OverpayTol,2,0))</f>
        <v/>
      </c>
      <c r="W843" s="112">
        <f>IF(V843=2,AsOf,"")</f>
        <v/>
      </c>
      <c r="X843" s="79">
        <f>IF(W843="","",1)</f>
        <v/>
      </c>
      <c r="Y843" s="79">
        <f>IF(X843="","","Paying ahead of work: "&amp;B843&amp;" — paid "&amp;ROUND(T843*100,0)&amp;"%, work done "&amp;ROUND(R843*100,0)&amp;"%")</f>
        <v/>
      </c>
      <c r="AA843" s="72" t="n"/>
      <c r="AB843" s="109" t="n"/>
      <c r="AC843" s="113" t="n"/>
      <c r="AD843" s="74" t="n"/>
      <c r="AE843" s="109" t="n"/>
      <c r="AF843" s="74" t="n"/>
      <c r="AG843" s="112">
        <f>IF(AND(AA843&lt;&gt;"",AD843="Yes",AF843&lt;&gt;"Yes",AE843&lt;&gt;""),AE843,"")</f>
        <v/>
      </c>
      <c r="AH843" s="79">
        <f>IF(AG843="","",IF(AG843&lt;AsOf,1,IF(AG843&lt;=AsOf+AlertDays,2,IF(AG843&lt;=AsOf+2*AlertDays,3,""))))</f>
        <v/>
      </c>
      <c r="AI843" s="79">
        <f>IF(AH843="","","Follow up with "&amp;AA843&amp;": "&amp;AC843)</f>
        <v/>
      </c>
    </row>
    <row r="844" ht="20" customHeight="1">
      <c r="B844" s="72" t="n"/>
      <c r="C844" s="72" t="n"/>
      <c r="D844" s="72" t="n"/>
      <c r="E844" s="72" t="n"/>
      <c r="F844" s="72" t="n"/>
      <c r="G844" s="72" t="n"/>
      <c r="H844" s="72" t="n"/>
      <c r="I844" s="73" t="n"/>
      <c r="J844" s="75">
        <f>IF(B844="","",SUMIFS('Change Orders'!$J$7:$J$1006,'Change Orders'!$E$7:$E$1006,B844,'Change Orders'!$L$7:$L$1006,"Approved"))</f>
        <v/>
      </c>
      <c r="K844" s="76">
        <f>IF(B844="","",I844+J844)</f>
        <v/>
      </c>
      <c r="L844" s="74" t="n"/>
      <c r="M844" s="109" t="n"/>
      <c r="N844" s="109" t="n"/>
      <c r="O844" s="74" t="n"/>
      <c r="P844" s="74" t="n"/>
      <c r="Q844" s="100" t="n"/>
      <c r="R844" s="110" t="n"/>
      <c r="S844" s="75">
        <f>IF(B844="","",SUMIFS('Payments'!$N$6:$N$1005,'Payments'!$B$6:$B$1005,B844))</f>
        <v/>
      </c>
      <c r="T844" s="111">
        <f>IF(OR(B844="",K844=0),"",S844/K844)</f>
        <v/>
      </c>
      <c r="U844" s="78">
        <f>IF(V844="","",IF(V844=2,"⚠️ Paying ahead of work","✓ OK"))</f>
        <v/>
      </c>
      <c r="V844" s="79">
        <f>IF(T844="","",IF(T844-R844&gt;OverpayTol,2,0))</f>
        <v/>
      </c>
      <c r="W844" s="112">
        <f>IF(V844=2,AsOf,"")</f>
        <v/>
      </c>
      <c r="X844" s="79">
        <f>IF(W844="","",1)</f>
        <v/>
      </c>
      <c r="Y844" s="79">
        <f>IF(X844="","","Paying ahead of work: "&amp;B844&amp;" — paid "&amp;ROUND(T844*100,0)&amp;"%, work done "&amp;ROUND(R844*100,0)&amp;"%")</f>
        <v/>
      </c>
      <c r="AA844" s="72" t="n"/>
      <c r="AB844" s="109" t="n"/>
      <c r="AC844" s="113" t="n"/>
      <c r="AD844" s="74" t="n"/>
      <c r="AE844" s="109" t="n"/>
      <c r="AF844" s="74" t="n"/>
      <c r="AG844" s="112">
        <f>IF(AND(AA844&lt;&gt;"",AD844="Yes",AF844&lt;&gt;"Yes",AE844&lt;&gt;""),AE844,"")</f>
        <v/>
      </c>
      <c r="AH844" s="79">
        <f>IF(AG844="","",IF(AG844&lt;AsOf,1,IF(AG844&lt;=AsOf+AlertDays,2,IF(AG844&lt;=AsOf+2*AlertDays,3,""))))</f>
        <v/>
      </c>
      <c r="AI844" s="79">
        <f>IF(AH844="","","Follow up with "&amp;AA844&amp;": "&amp;AC844)</f>
        <v/>
      </c>
    </row>
    <row r="845" ht="20" customHeight="1">
      <c r="B845" s="72" t="n"/>
      <c r="C845" s="72" t="n"/>
      <c r="D845" s="72" t="n"/>
      <c r="E845" s="72" t="n"/>
      <c r="F845" s="72" t="n"/>
      <c r="G845" s="72" t="n"/>
      <c r="H845" s="72" t="n"/>
      <c r="I845" s="73" t="n"/>
      <c r="J845" s="75">
        <f>IF(B845="","",SUMIFS('Change Orders'!$J$7:$J$1006,'Change Orders'!$E$7:$E$1006,B845,'Change Orders'!$L$7:$L$1006,"Approved"))</f>
        <v/>
      </c>
      <c r="K845" s="76">
        <f>IF(B845="","",I845+J845)</f>
        <v/>
      </c>
      <c r="L845" s="74" t="n"/>
      <c r="M845" s="109" t="n"/>
      <c r="N845" s="109" t="n"/>
      <c r="O845" s="74" t="n"/>
      <c r="P845" s="74" t="n"/>
      <c r="Q845" s="100" t="n"/>
      <c r="R845" s="110" t="n"/>
      <c r="S845" s="75">
        <f>IF(B845="","",SUMIFS('Payments'!$N$6:$N$1005,'Payments'!$B$6:$B$1005,B845))</f>
        <v/>
      </c>
      <c r="T845" s="111">
        <f>IF(OR(B845="",K845=0),"",S845/K845)</f>
        <v/>
      </c>
      <c r="U845" s="78">
        <f>IF(V845="","",IF(V845=2,"⚠️ Paying ahead of work","✓ OK"))</f>
        <v/>
      </c>
      <c r="V845" s="79">
        <f>IF(T845="","",IF(T845-R845&gt;OverpayTol,2,0))</f>
        <v/>
      </c>
      <c r="W845" s="112">
        <f>IF(V845=2,AsOf,"")</f>
        <v/>
      </c>
      <c r="X845" s="79">
        <f>IF(W845="","",1)</f>
        <v/>
      </c>
      <c r="Y845" s="79">
        <f>IF(X845="","","Paying ahead of work: "&amp;B845&amp;" — paid "&amp;ROUND(T845*100,0)&amp;"%, work done "&amp;ROUND(R845*100,0)&amp;"%")</f>
        <v/>
      </c>
      <c r="AA845" s="72" t="n"/>
      <c r="AB845" s="109" t="n"/>
      <c r="AC845" s="113" t="n"/>
      <c r="AD845" s="74" t="n"/>
      <c r="AE845" s="109" t="n"/>
      <c r="AF845" s="74" t="n"/>
      <c r="AG845" s="112">
        <f>IF(AND(AA845&lt;&gt;"",AD845="Yes",AF845&lt;&gt;"Yes",AE845&lt;&gt;""),AE845,"")</f>
        <v/>
      </c>
      <c r="AH845" s="79">
        <f>IF(AG845="","",IF(AG845&lt;AsOf,1,IF(AG845&lt;=AsOf+AlertDays,2,IF(AG845&lt;=AsOf+2*AlertDays,3,""))))</f>
        <v/>
      </c>
      <c r="AI845" s="79">
        <f>IF(AH845="","","Follow up with "&amp;AA845&amp;": "&amp;AC845)</f>
        <v/>
      </c>
    </row>
    <row r="846" ht="20" customHeight="1">
      <c r="B846" s="72" t="n"/>
      <c r="C846" s="72" t="n"/>
      <c r="D846" s="72" t="n"/>
      <c r="E846" s="72" t="n"/>
      <c r="F846" s="72" t="n"/>
      <c r="G846" s="72" t="n"/>
      <c r="H846" s="72" t="n"/>
      <c r="I846" s="73" t="n"/>
      <c r="J846" s="75">
        <f>IF(B846="","",SUMIFS('Change Orders'!$J$7:$J$1006,'Change Orders'!$E$7:$E$1006,B846,'Change Orders'!$L$7:$L$1006,"Approved"))</f>
        <v/>
      </c>
      <c r="K846" s="76">
        <f>IF(B846="","",I846+J846)</f>
        <v/>
      </c>
      <c r="L846" s="74" t="n"/>
      <c r="M846" s="109" t="n"/>
      <c r="N846" s="109" t="n"/>
      <c r="O846" s="74" t="n"/>
      <c r="P846" s="74" t="n"/>
      <c r="Q846" s="100" t="n"/>
      <c r="R846" s="110" t="n"/>
      <c r="S846" s="75">
        <f>IF(B846="","",SUMIFS('Payments'!$N$6:$N$1005,'Payments'!$B$6:$B$1005,B846))</f>
        <v/>
      </c>
      <c r="T846" s="111">
        <f>IF(OR(B846="",K846=0),"",S846/K846)</f>
        <v/>
      </c>
      <c r="U846" s="78">
        <f>IF(V846="","",IF(V846=2,"⚠️ Paying ahead of work","✓ OK"))</f>
        <v/>
      </c>
      <c r="V846" s="79">
        <f>IF(T846="","",IF(T846-R846&gt;OverpayTol,2,0))</f>
        <v/>
      </c>
      <c r="W846" s="112">
        <f>IF(V846=2,AsOf,"")</f>
        <v/>
      </c>
      <c r="X846" s="79">
        <f>IF(W846="","",1)</f>
        <v/>
      </c>
      <c r="Y846" s="79">
        <f>IF(X846="","","Paying ahead of work: "&amp;B846&amp;" — paid "&amp;ROUND(T846*100,0)&amp;"%, work done "&amp;ROUND(R846*100,0)&amp;"%")</f>
        <v/>
      </c>
      <c r="AA846" s="72" t="n"/>
      <c r="AB846" s="109" t="n"/>
      <c r="AC846" s="113" t="n"/>
      <c r="AD846" s="74" t="n"/>
      <c r="AE846" s="109" t="n"/>
      <c r="AF846" s="74" t="n"/>
      <c r="AG846" s="112">
        <f>IF(AND(AA846&lt;&gt;"",AD846="Yes",AF846&lt;&gt;"Yes",AE846&lt;&gt;""),AE846,"")</f>
        <v/>
      </c>
      <c r="AH846" s="79">
        <f>IF(AG846="","",IF(AG846&lt;AsOf,1,IF(AG846&lt;=AsOf+AlertDays,2,IF(AG846&lt;=AsOf+2*AlertDays,3,""))))</f>
        <v/>
      </c>
      <c r="AI846" s="79">
        <f>IF(AH846="","","Follow up with "&amp;AA846&amp;": "&amp;AC846)</f>
        <v/>
      </c>
    </row>
    <row r="847" ht="20" customHeight="1">
      <c r="B847" s="72" t="n"/>
      <c r="C847" s="72" t="n"/>
      <c r="D847" s="72" t="n"/>
      <c r="E847" s="72" t="n"/>
      <c r="F847" s="72" t="n"/>
      <c r="G847" s="72" t="n"/>
      <c r="H847" s="72" t="n"/>
      <c r="I847" s="73" t="n"/>
      <c r="J847" s="75">
        <f>IF(B847="","",SUMIFS('Change Orders'!$J$7:$J$1006,'Change Orders'!$E$7:$E$1006,B847,'Change Orders'!$L$7:$L$1006,"Approved"))</f>
        <v/>
      </c>
      <c r="K847" s="76">
        <f>IF(B847="","",I847+J847)</f>
        <v/>
      </c>
      <c r="L847" s="74" t="n"/>
      <c r="M847" s="109" t="n"/>
      <c r="N847" s="109" t="n"/>
      <c r="O847" s="74" t="n"/>
      <c r="P847" s="74" t="n"/>
      <c r="Q847" s="100" t="n"/>
      <c r="R847" s="110" t="n"/>
      <c r="S847" s="75">
        <f>IF(B847="","",SUMIFS('Payments'!$N$6:$N$1005,'Payments'!$B$6:$B$1005,B847))</f>
        <v/>
      </c>
      <c r="T847" s="111">
        <f>IF(OR(B847="",K847=0),"",S847/K847)</f>
        <v/>
      </c>
      <c r="U847" s="78">
        <f>IF(V847="","",IF(V847=2,"⚠️ Paying ahead of work","✓ OK"))</f>
        <v/>
      </c>
      <c r="V847" s="79">
        <f>IF(T847="","",IF(T847-R847&gt;OverpayTol,2,0))</f>
        <v/>
      </c>
      <c r="W847" s="112">
        <f>IF(V847=2,AsOf,"")</f>
        <v/>
      </c>
      <c r="X847" s="79">
        <f>IF(W847="","",1)</f>
        <v/>
      </c>
      <c r="Y847" s="79">
        <f>IF(X847="","","Paying ahead of work: "&amp;B847&amp;" — paid "&amp;ROUND(T847*100,0)&amp;"%, work done "&amp;ROUND(R847*100,0)&amp;"%")</f>
        <v/>
      </c>
      <c r="AA847" s="72" t="n"/>
      <c r="AB847" s="109" t="n"/>
      <c r="AC847" s="113" t="n"/>
      <c r="AD847" s="74" t="n"/>
      <c r="AE847" s="109" t="n"/>
      <c r="AF847" s="74" t="n"/>
      <c r="AG847" s="112">
        <f>IF(AND(AA847&lt;&gt;"",AD847="Yes",AF847&lt;&gt;"Yes",AE847&lt;&gt;""),AE847,"")</f>
        <v/>
      </c>
      <c r="AH847" s="79">
        <f>IF(AG847="","",IF(AG847&lt;AsOf,1,IF(AG847&lt;=AsOf+AlertDays,2,IF(AG847&lt;=AsOf+2*AlertDays,3,""))))</f>
        <v/>
      </c>
      <c r="AI847" s="79">
        <f>IF(AH847="","","Follow up with "&amp;AA847&amp;": "&amp;AC847)</f>
        <v/>
      </c>
    </row>
    <row r="848" ht="20" customHeight="1">
      <c r="B848" s="72" t="n"/>
      <c r="C848" s="72" t="n"/>
      <c r="D848" s="72" t="n"/>
      <c r="E848" s="72" t="n"/>
      <c r="F848" s="72" t="n"/>
      <c r="G848" s="72" t="n"/>
      <c r="H848" s="72" t="n"/>
      <c r="I848" s="73" t="n"/>
      <c r="J848" s="75">
        <f>IF(B848="","",SUMIFS('Change Orders'!$J$7:$J$1006,'Change Orders'!$E$7:$E$1006,B848,'Change Orders'!$L$7:$L$1006,"Approved"))</f>
        <v/>
      </c>
      <c r="K848" s="76">
        <f>IF(B848="","",I848+J848)</f>
        <v/>
      </c>
      <c r="L848" s="74" t="n"/>
      <c r="M848" s="109" t="n"/>
      <c r="N848" s="109" t="n"/>
      <c r="O848" s="74" t="n"/>
      <c r="P848" s="74" t="n"/>
      <c r="Q848" s="100" t="n"/>
      <c r="R848" s="110" t="n"/>
      <c r="S848" s="75">
        <f>IF(B848="","",SUMIFS('Payments'!$N$6:$N$1005,'Payments'!$B$6:$B$1005,B848))</f>
        <v/>
      </c>
      <c r="T848" s="111">
        <f>IF(OR(B848="",K848=0),"",S848/K848)</f>
        <v/>
      </c>
      <c r="U848" s="78">
        <f>IF(V848="","",IF(V848=2,"⚠️ Paying ahead of work","✓ OK"))</f>
        <v/>
      </c>
      <c r="V848" s="79">
        <f>IF(T848="","",IF(T848-R848&gt;OverpayTol,2,0))</f>
        <v/>
      </c>
      <c r="W848" s="112">
        <f>IF(V848=2,AsOf,"")</f>
        <v/>
      </c>
      <c r="X848" s="79">
        <f>IF(W848="","",1)</f>
        <v/>
      </c>
      <c r="Y848" s="79">
        <f>IF(X848="","","Paying ahead of work: "&amp;B848&amp;" — paid "&amp;ROUND(T848*100,0)&amp;"%, work done "&amp;ROUND(R848*100,0)&amp;"%")</f>
        <v/>
      </c>
      <c r="AA848" s="72" t="n"/>
      <c r="AB848" s="109" t="n"/>
      <c r="AC848" s="113" t="n"/>
      <c r="AD848" s="74" t="n"/>
      <c r="AE848" s="109" t="n"/>
      <c r="AF848" s="74" t="n"/>
      <c r="AG848" s="112">
        <f>IF(AND(AA848&lt;&gt;"",AD848="Yes",AF848&lt;&gt;"Yes",AE848&lt;&gt;""),AE848,"")</f>
        <v/>
      </c>
      <c r="AH848" s="79">
        <f>IF(AG848="","",IF(AG848&lt;AsOf,1,IF(AG848&lt;=AsOf+AlertDays,2,IF(AG848&lt;=AsOf+2*AlertDays,3,""))))</f>
        <v/>
      </c>
      <c r="AI848" s="79">
        <f>IF(AH848="","","Follow up with "&amp;AA848&amp;": "&amp;AC848)</f>
        <v/>
      </c>
    </row>
    <row r="849" ht="20" customHeight="1">
      <c r="B849" s="72" t="n"/>
      <c r="C849" s="72" t="n"/>
      <c r="D849" s="72" t="n"/>
      <c r="E849" s="72" t="n"/>
      <c r="F849" s="72" t="n"/>
      <c r="G849" s="72" t="n"/>
      <c r="H849" s="72" t="n"/>
      <c r="I849" s="73" t="n"/>
      <c r="J849" s="75">
        <f>IF(B849="","",SUMIFS('Change Orders'!$J$7:$J$1006,'Change Orders'!$E$7:$E$1006,B849,'Change Orders'!$L$7:$L$1006,"Approved"))</f>
        <v/>
      </c>
      <c r="K849" s="76">
        <f>IF(B849="","",I849+J849)</f>
        <v/>
      </c>
      <c r="L849" s="74" t="n"/>
      <c r="M849" s="109" t="n"/>
      <c r="N849" s="109" t="n"/>
      <c r="O849" s="74" t="n"/>
      <c r="P849" s="74" t="n"/>
      <c r="Q849" s="100" t="n"/>
      <c r="R849" s="110" t="n"/>
      <c r="S849" s="75">
        <f>IF(B849="","",SUMIFS('Payments'!$N$6:$N$1005,'Payments'!$B$6:$B$1005,B849))</f>
        <v/>
      </c>
      <c r="T849" s="111">
        <f>IF(OR(B849="",K849=0),"",S849/K849)</f>
        <v/>
      </c>
      <c r="U849" s="78">
        <f>IF(V849="","",IF(V849=2,"⚠️ Paying ahead of work","✓ OK"))</f>
        <v/>
      </c>
      <c r="V849" s="79">
        <f>IF(T849="","",IF(T849-R849&gt;OverpayTol,2,0))</f>
        <v/>
      </c>
      <c r="W849" s="112">
        <f>IF(V849=2,AsOf,"")</f>
        <v/>
      </c>
      <c r="X849" s="79">
        <f>IF(W849="","",1)</f>
        <v/>
      </c>
      <c r="Y849" s="79">
        <f>IF(X849="","","Paying ahead of work: "&amp;B849&amp;" — paid "&amp;ROUND(T849*100,0)&amp;"%, work done "&amp;ROUND(R849*100,0)&amp;"%")</f>
        <v/>
      </c>
      <c r="AA849" s="72" t="n"/>
      <c r="AB849" s="109" t="n"/>
      <c r="AC849" s="113" t="n"/>
      <c r="AD849" s="74" t="n"/>
      <c r="AE849" s="109" t="n"/>
      <c r="AF849" s="74" t="n"/>
      <c r="AG849" s="112">
        <f>IF(AND(AA849&lt;&gt;"",AD849="Yes",AF849&lt;&gt;"Yes",AE849&lt;&gt;""),AE849,"")</f>
        <v/>
      </c>
      <c r="AH849" s="79">
        <f>IF(AG849="","",IF(AG849&lt;AsOf,1,IF(AG849&lt;=AsOf+AlertDays,2,IF(AG849&lt;=AsOf+2*AlertDays,3,""))))</f>
        <v/>
      </c>
      <c r="AI849" s="79">
        <f>IF(AH849="","","Follow up with "&amp;AA849&amp;": "&amp;AC849)</f>
        <v/>
      </c>
    </row>
    <row r="850" ht="20" customHeight="1">
      <c r="B850" s="72" t="n"/>
      <c r="C850" s="72" t="n"/>
      <c r="D850" s="72" t="n"/>
      <c r="E850" s="72" t="n"/>
      <c r="F850" s="72" t="n"/>
      <c r="G850" s="72" t="n"/>
      <c r="H850" s="72" t="n"/>
      <c r="I850" s="73" t="n"/>
      <c r="J850" s="75">
        <f>IF(B850="","",SUMIFS('Change Orders'!$J$7:$J$1006,'Change Orders'!$E$7:$E$1006,B850,'Change Orders'!$L$7:$L$1006,"Approved"))</f>
        <v/>
      </c>
      <c r="K850" s="76">
        <f>IF(B850="","",I850+J850)</f>
        <v/>
      </c>
      <c r="L850" s="74" t="n"/>
      <c r="M850" s="109" t="n"/>
      <c r="N850" s="109" t="n"/>
      <c r="O850" s="74" t="n"/>
      <c r="P850" s="74" t="n"/>
      <c r="Q850" s="100" t="n"/>
      <c r="R850" s="110" t="n"/>
      <c r="S850" s="75">
        <f>IF(B850="","",SUMIFS('Payments'!$N$6:$N$1005,'Payments'!$B$6:$B$1005,B850))</f>
        <v/>
      </c>
      <c r="T850" s="111">
        <f>IF(OR(B850="",K850=0),"",S850/K850)</f>
        <v/>
      </c>
      <c r="U850" s="78">
        <f>IF(V850="","",IF(V850=2,"⚠️ Paying ahead of work","✓ OK"))</f>
        <v/>
      </c>
      <c r="V850" s="79">
        <f>IF(T850="","",IF(T850-R850&gt;OverpayTol,2,0))</f>
        <v/>
      </c>
      <c r="W850" s="112">
        <f>IF(V850=2,AsOf,"")</f>
        <v/>
      </c>
      <c r="X850" s="79">
        <f>IF(W850="","",1)</f>
        <v/>
      </c>
      <c r="Y850" s="79">
        <f>IF(X850="","","Paying ahead of work: "&amp;B850&amp;" — paid "&amp;ROUND(T850*100,0)&amp;"%, work done "&amp;ROUND(R850*100,0)&amp;"%")</f>
        <v/>
      </c>
      <c r="AA850" s="72" t="n"/>
      <c r="AB850" s="109" t="n"/>
      <c r="AC850" s="113" t="n"/>
      <c r="AD850" s="74" t="n"/>
      <c r="AE850" s="109" t="n"/>
      <c r="AF850" s="74" t="n"/>
      <c r="AG850" s="112">
        <f>IF(AND(AA850&lt;&gt;"",AD850="Yes",AF850&lt;&gt;"Yes",AE850&lt;&gt;""),AE850,"")</f>
        <v/>
      </c>
      <c r="AH850" s="79">
        <f>IF(AG850="","",IF(AG850&lt;AsOf,1,IF(AG850&lt;=AsOf+AlertDays,2,IF(AG850&lt;=AsOf+2*AlertDays,3,""))))</f>
        <v/>
      </c>
      <c r="AI850" s="79">
        <f>IF(AH850="","","Follow up with "&amp;AA850&amp;": "&amp;AC850)</f>
        <v/>
      </c>
    </row>
    <row r="851" ht="20" customHeight="1">
      <c r="B851" s="72" t="n"/>
      <c r="C851" s="72" t="n"/>
      <c r="D851" s="72" t="n"/>
      <c r="E851" s="72" t="n"/>
      <c r="F851" s="72" t="n"/>
      <c r="G851" s="72" t="n"/>
      <c r="H851" s="72" t="n"/>
      <c r="I851" s="73" t="n"/>
      <c r="J851" s="75">
        <f>IF(B851="","",SUMIFS('Change Orders'!$J$7:$J$1006,'Change Orders'!$E$7:$E$1006,B851,'Change Orders'!$L$7:$L$1006,"Approved"))</f>
        <v/>
      </c>
      <c r="K851" s="76">
        <f>IF(B851="","",I851+J851)</f>
        <v/>
      </c>
      <c r="L851" s="74" t="n"/>
      <c r="M851" s="109" t="n"/>
      <c r="N851" s="109" t="n"/>
      <c r="O851" s="74" t="n"/>
      <c r="P851" s="74" t="n"/>
      <c r="Q851" s="100" t="n"/>
      <c r="R851" s="110" t="n"/>
      <c r="S851" s="75">
        <f>IF(B851="","",SUMIFS('Payments'!$N$6:$N$1005,'Payments'!$B$6:$B$1005,B851))</f>
        <v/>
      </c>
      <c r="T851" s="111">
        <f>IF(OR(B851="",K851=0),"",S851/K851)</f>
        <v/>
      </c>
      <c r="U851" s="78">
        <f>IF(V851="","",IF(V851=2,"⚠️ Paying ahead of work","✓ OK"))</f>
        <v/>
      </c>
      <c r="V851" s="79">
        <f>IF(T851="","",IF(T851-R851&gt;OverpayTol,2,0))</f>
        <v/>
      </c>
      <c r="W851" s="112">
        <f>IF(V851=2,AsOf,"")</f>
        <v/>
      </c>
      <c r="X851" s="79">
        <f>IF(W851="","",1)</f>
        <v/>
      </c>
      <c r="Y851" s="79">
        <f>IF(X851="","","Paying ahead of work: "&amp;B851&amp;" — paid "&amp;ROUND(T851*100,0)&amp;"%, work done "&amp;ROUND(R851*100,0)&amp;"%")</f>
        <v/>
      </c>
      <c r="AA851" s="72" t="n"/>
      <c r="AB851" s="109" t="n"/>
      <c r="AC851" s="113" t="n"/>
      <c r="AD851" s="74" t="n"/>
      <c r="AE851" s="109" t="n"/>
      <c r="AF851" s="74" t="n"/>
      <c r="AG851" s="112">
        <f>IF(AND(AA851&lt;&gt;"",AD851="Yes",AF851&lt;&gt;"Yes",AE851&lt;&gt;""),AE851,"")</f>
        <v/>
      </c>
      <c r="AH851" s="79">
        <f>IF(AG851="","",IF(AG851&lt;AsOf,1,IF(AG851&lt;=AsOf+AlertDays,2,IF(AG851&lt;=AsOf+2*AlertDays,3,""))))</f>
        <v/>
      </c>
      <c r="AI851" s="79">
        <f>IF(AH851="","","Follow up with "&amp;AA851&amp;": "&amp;AC851)</f>
        <v/>
      </c>
    </row>
    <row r="852" ht="20" customHeight="1">
      <c r="B852" s="72" t="n"/>
      <c r="C852" s="72" t="n"/>
      <c r="D852" s="72" t="n"/>
      <c r="E852" s="72" t="n"/>
      <c r="F852" s="72" t="n"/>
      <c r="G852" s="72" t="n"/>
      <c r="H852" s="72" t="n"/>
      <c r="I852" s="73" t="n"/>
      <c r="J852" s="75">
        <f>IF(B852="","",SUMIFS('Change Orders'!$J$7:$J$1006,'Change Orders'!$E$7:$E$1006,B852,'Change Orders'!$L$7:$L$1006,"Approved"))</f>
        <v/>
      </c>
      <c r="K852" s="76">
        <f>IF(B852="","",I852+J852)</f>
        <v/>
      </c>
      <c r="L852" s="74" t="n"/>
      <c r="M852" s="109" t="n"/>
      <c r="N852" s="109" t="n"/>
      <c r="O852" s="74" t="n"/>
      <c r="P852" s="74" t="n"/>
      <c r="Q852" s="100" t="n"/>
      <c r="R852" s="110" t="n"/>
      <c r="S852" s="75">
        <f>IF(B852="","",SUMIFS('Payments'!$N$6:$N$1005,'Payments'!$B$6:$B$1005,B852))</f>
        <v/>
      </c>
      <c r="T852" s="111">
        <f>IF(OR(B852="",K852=0),"",S852/K852)</f>
        <v/>
      </c>
      <c r="U852" s="78">
        <f>IF(V852="","",IF(V852=2,"⚠️ Paying ahead of work","✓ OK"))</f>
        <v/>
      </c>
      <c r="V852" s="79">
        <f>IF(T852="","",IF(T852-R852&gt;OverpayTol,2,0))</f>
        <v/>
      </c>
      <c r="W852" s="112">
        <f>IF(V852=2,AsOf,"")</f>
        <v/>
      </c>
      <c r="X852" s="79">
        <f>IF(W852="","",1)</f>
        <v/>
      </c>
      <c r="Y852" s="79">
        <f>IF(X852="","","Paying ahead of work: "&amp;B852&amp;" — paid "&amp;ROUND(T852*100,0)&amp;"%, work done "&amp;ROUND(R852*100,0)&amp;"%")</f>
        <v/>
      </c>
      <c r="AA852" s="72" t="n"/>
      <c r="AB852" s="109" t="n"/>
      <c r="AC852" s="113" t="n"/>
      <c r="AD852" s="74" t="n"/>
      <c r="AE852" s="109" t="n"/>
      <c r="AF852" s="74" t="n"/>
      <c r="AG852" s="112">
        <f>IF(AND(AA852&lt;&gt;"",AD852="Yes",AF852&lt;&gt;"Yes",AE852&lt;&gt;""),AE852,"")</f>
        <v/>
      </c>
      <c r="AH852" s="79">
        <f>IF(AG852="","",IF(AG852&lt;AsOf,1,IF(AG852&lt;=AsOf+AlertDays,2,IF(AG852&lt;=AsOf+2*AlertDays,3,""))))</f>
        <v/>
      </c>
      <c r="AI852" s="79">
        <f>IF(AH852="","","Follow up with "&amp;AA852&amp;": "&amp;AC852)</f>
        <v/>
      </c>
    </row>
    <row r="853" ht="20" customHeight="1">
      <c r="B853" s="72" t="n"/>
      <c r="C853" s="72" t="n"/>
      <c r="D853" s="72" t="n"/>
      <c r="E853" s="72" t="n"/>
      <c r="F853" s="72" t="n"/>
      <c r="G853" s="72" t="n"/>
      <c r="H853" s="72" t="n"/>
      <c r="I853" s="73" t="n"/>
      <c r="J853" s="75">
        <f>IF(B853="","",SUMIFS('Change Orders'!$J$7:$J$1006,'Change Orders'!$E$7:$E$1006,B853,'Change Orders'!$L$7:$L$1006,"Approved"))</f>
        <v/>
      </c>
      <c r="K853" s="76">
        <f>IF(B853="","",I853+J853)</f>
        <v/>
      </c>
      <c r="L853" s="74" t="n"/>
      <c r="M853" s="109" t="n"/>
      <c r="N853" s="109" t="n"/>
      <c r="O853" s="74" t="n"/>
      <c r="P853" s="74" t="n"/>
      <c r="Q853" s="100" t="n"/>
      <c r="R853" s="110" t="n"/>
      <c r="S853" s="75">
        <f>IF(B853="","",SUMIFS('Payments'!$N$6:$N$1005,'Payments'!$B$6:$B$1005,B853))</f>
        <v/>
      </c>
      <c r="T853" s="111">
        <f>IF(OR(B853="",K853=0),"",S853/K853)</f>
        <v/>
      </c>
      <c r="U853" s="78">
        <f>IF(V853="","",IF(V853=2,"⚠️ Paying ahead of work","✓ OK"))</f>
        <v/>
      </c>
      <c r="V853" s="79">
        <f>IF(T853="","",IF(T853-R853&gt;OverpayTol,2,0))</f>
        <v/>
      </c>
      <c r="W853" s="112">
        <f>IF(V853=2,AsOf,"")</f>
        <v/>
      </c>
      <c r="X853" s="79">
        <f>IF(W853="","",1)</f>
        <v/>
      </c>
      <c r="Y853" s="79">
        <f>IF(X853="","","Paying ahead of work: "&amp;B853&amp;" — paid "&amp;ROUND(T853*100,0)&amp;"%, work done "&amp;ROUND(R853*100,0)&amp;"%")</f>
        <v/>
      </c>
      <c r="AA853" s="72" t="n"/>
      <c r="AB853" s="109" t="n"/>
      <c r="AC853" s="113" t="n"/>
      <c r="AD853" s="74" t="n"/>
      <c r="AE853" s="109" t="n"/>
      <c r="AF853" s="74" t="n"/>
      <c r="AG853" s="112">
        <f>IF(AND(AA853&lt;&gt;"",AD853="Yes",AF853&lt;&gt;"Yes",AE853&lt;&gt;""),AE853,"")</f>
        <v/>
      </c>
      <c r="AH853" s="79">
        <f>IF(AG853="","",IF(AG853&lt;AsOf,1,IF(AG853&lt;=AsOf+AlertDays,2,IF(AG853&lt;=AsOf+2*AlertDays,3,""))))</f>
        <v/>
      </c>
      <c r="AI853" s="79">
        <f>IF(AH853="","","Follow up with "&amp;AA853&amp;": "&amp;AC853)</f>
        <v/>
      </c>
    </row>
    <row r="854" ht="20" customHeight="1">
      <c r="B854" s="72" t="n"/>
      <c r="C854" s="72" t="n"/>
      <c r="D854" s="72" t="n"/>
      <c r="E854" s="72" t="n"/>
      <c r="F854" s="72" t="n"/>
      <c r="G854" s="72" t="n"/>
      <c r="H854" s="72" t="n"/>
      <c r="I854" s="73" t="n"/>
      <c r="J854" s="75">
        <f>IF(B854="","",SUMIFS('Change Orders'!$J$7:$J$1006,'Change Orders'!$E$7:$E$1006,B854,'Change Orders'!$L$7:$L$1006,"Approved"))</f>
        <v/>
      </c>
      <c r="K854" s="76">
        <f>IF(B854="","",I854+J854)</f>
        <v/>
      </c>
      <c r="L854" s="74" t="n"/>
      <c r="M854" s="109" t="n"/>
      <c r="N854" s="109" t="n"/>
      <c r="O854" s="74" t="n"/>
      <c r="P854" s="74" t="n"/>
      <c r="Q854" s="100" t="n"/>
      <c r="R854" s="110" t="n"/>
      <c r="S854" s="75">
        <f>IF(B854="","",SUMIFS('Payments'!$N$6:$N$1005,'Payments'!$B$6:$B$1005,B854))</f>
        <v/>
      </c>
      <c r="T854" s="111">
        <f>IF(OR(B854="",K854=0),"",S854/K854)</f>
        <v/>
      </c>
      <c r="U854" s="78">
        <f>IF(V854="","",IF(V854=2,"⚠️ Paying ahead of work","✓ OK"))</f>
        <v/>
      </c>
      <c r="V854" s="79">
        <f>IF(T854="","",IF(T854-R854&gt;OverpayTol,2,0))</f>
        <v/>
      </c>
      <c r="W854" s="112">
        <f>IF(V854=2,AsOf,"")</f>
        <v/>
      </c>
      <c r="X854" s="79">
        <f>IF(W854="","",1)</f>
        <v/>
      </c>
      <c r="Y854" s="79">
        <f>IF(X854="","","Paying ahead of work: "&amp;B854&amp;" — paid "&amp;ROUND(T854*100,0)&amp;"%, work done "&amp;ROUND(R854*100,0)&amp;"%")</f>
        <v/>
      </c>
      <c r="AA854" s="72" t="n"/>
      <c r="AB854" s="109" t="n"/>
      <c r="AC854" s="113" t="n"/>
      <c r="AD854" s="74" t="n"/>
      <c r="AE854" s="109" t="n"/>
      <c r="AF854" s="74" t="n"/>
      <c r="AG854" s="112">
        <f>IF(AND(AA854&lt;&gt;"",AD854="Yes",AF854&lt;&gt;"Yes",AE854&lt;&gt;""),AE854,"")</f>
        <v/>
      </c>
      <c r="AH854" s="79">
        <f>IF(AG854="","",IF(AG854&lt;AsOf,1,IF(AG854&lt;=AsOf+AlertDays,2,IF(AG854&lt;=AsOf+2*AlertDays,3,""))))</f>
        <v/>
      </c>
      <c r="AI854" s="79">
        <f>IF(AH854="","","Follow up with "&amp;AA854&amp;": "&amp;AC854)</f>
        <v/>
      </c>
    </row>
    <row r="855" ht="20" customHeight="1">
      <c r="B855" s="72" t="n"/>
      <c r="C855" s="72" t="n"/>
      <c r="D855" s="72" t="n"/>
      <c r="E855" s="72" t="n"/>
      <c r="F855" s="72" t="n"/>
      <c r="G855" s="72" t="n"/>
      <c r="H855" s="72" t="n"/>
      <c r="I855" s="73" t="n"/>
      <c r="J855" s="75">
        <f>IF(B855="","",SUMIFS('Change Orders'!$J$7:$J$1006,'Change Orders'!$E$7:$E$1006,B855,'Change Orders'!$L$7:$L$1006,"Approved"))</f>
        <v/>
      </c>
      <c r="K855" s="76">
        <f>IF(B855="","",I855+J855)</f>
        <v/>
      </c>
      <c r="L855" s="74" t="n"/>
      <c r="M855" s="109" t="n"/>
      <c r="N855" s="109" t="n"/>
      <c r="O855" s="74" t="n"/>
      <c r="P855" s="74" t="n"/>
      <c r="Q855" s="100" t="n"/>
      <c r="R855" s="110" t="n"/>
      <c r="S855" s="75">
        <f>IF(B855="","",SUMIFS('Payments'!$N$6:$N$1005,'Payments'!$B$6:$B$1005,B855))</f>
        <v/>
      </c>
      <c r="T855" s="111">
        <f>IF(OR(B855="",K855=0),"",S855/K855)</f>
        <v/>
      </c>
      <c r="U855" s="78">
        <f>IF(V855="","",IF(V855=2,"⚠️ Paying ahead of work","✓ OK"))</f>
        <v/>
      </c>
      <c r="V855" s="79">
        <f>IF(T855="","",IF(T855-R855&gt;OverpayTol,2,0))</f>
        <v/>
      </c>
      <c r="W855" s="112">
        <f>IF(V855=2,AsOf,"")</f>
        <v/>
      </c>
      <c r="X855" s="79">
        <f>IF(W855="","",1)</f>
        <v/>
      </c>
      <c r="Y855" s="79">
        <f>IF(X855="","","Paying ahead of work: "&amp;B855&amp;" — paid "&amp;ROUND(T855*100,0)&amp;"%, work done "&amp;ROUND(R855*100,0)&amp;"%")</f>
        <v/>
      </c>
      <c r="AA855" s="72" t="n"/>
      <c r="AB855" s="109" t="n"/>
      <c r="AC855" s="113" t="n"/>
      <c r="AD855" s="74" t="n"/>
      <c r="AE855" s="109" t="n"/>
      <c r="AF855" s="74" t="n"/>
      <c r="AG855" s="112">
        <f>IF(AND(AA855&lt;&gt;"",AD855="Yes",AF855&lt;&gt;"Yes",AE855&lt;&gt;""),AE855,"")</f>
        <v/>
      </c>
      <c r="AH855" s="79">
        <f>IF(AG855="","",IF(AG855&lt;AsOf,1,IF(AG855&lt;=AsOf+AlertDays,2,IF(AG855&lt;=AsOf+2*AlertDays,3,""))))</f>
        <v/>
      </c>
      <c r="AI855" s="79">
        <f>IF(AH855="","","Follow up with "&amp;AA855&amp;": "&amp;AC855)</f>
        <v/>
      </c>
    </row>
    <row r="856" ht="20" customHeight="1">
      <c r="B856" s="72" t="n"/>
      <c r="C856" s="72" t="n"/>
      <c r="D856" s="72" t="n"/>
      <c r="E856" s="72" t="n"/>
      <c r="F856" s="72" t="n"/>
      <c r="G856" s="72" t="n"/>
      <c r="H856" s="72" t="n"/>
      <c r="I856" s="73" t="n"/>
      <c r="J856" s="75">
        <f>IF(B856="","",SUMIFS('Change Orders'!$J$7:$J$1006,'Change Orders'!$E$7:$E$1006,B856,'Change Orders'!$L$7:$L$1006,"Approved"))</f>
        <v/>
      </c>
      <c r="K856" s="76">
        <f>IF(B856="","",I856+J856)</f>
        <v/>
      </c>
      <c r="L856" s="74" t="n"/>
      <c r="M856" s="109" t="n"/>
      <c r="N856" s="109" t="n"/>
      <c r="O856" s="74" t="n"/>
      <c r="P856" s="74" t="n"/>
      <c r="Q856" s="100" t="n"/>
      <c r="R856" s="110" t="n"/>
      <c r="S856" s="75">
        <f>IF(B856="","",SUMIFS('Payments'!$N$6:$N$1005,'Payments'!$B$6:$B$1005,B856))</f>
        <v/>
      </c>
      <c r="T856" s="111">
        <f>IF(OR(B856="",K856=0),"",S856/K856)</f>
        <v/>
      </c>
      <c r="U856" s="78">
        <f>IF(V856="","",IF(V856=2,"⚠️ Paying ahead of work","✓ OK"))</f>
        <v/>
      </c>
      <c r="V856" s="79">
        <f>IF(T856="","",IF(T856-R856&gt;OverpayTol,2,0))</f>
        <v/>
      </c>
      <c r="W856" s="112">
        <f>IF(V856=2,AsOf,"")</f>
        <v/>
      </c>
      <c r="X856" s="79">
        <f>IF(W856="","",1)</f>
        <v/>
      </c>
      <c r="Y856" s="79">
        <f>IF(X856="","","Paying ahead of work: "&amp;B856&amp;" — paid "&amp;ROUND(T856*100,0)&amp;"%, work done "&amp;ROUND(R856*100,0)&amp;"%")</f>
        <v/>
      </c>
      <c r="AA856" s="72" t="n"/>
      <c r="AB856" s="109" t="n"/>
      <c r="AC856" s="113" t="n"/>
      <c r="AD856" s="74" t="n"/>
      <c r="AE856" s="109" t="n"/>
      <c r="AF856" s="74" t="n"/>
      <c r="AG856" s="112">
        <f>IF(AND(AA856&lt;&gt;"",AD856="Yes",AF856&lt;&gt;"Yes",AE856&lt;&gt;""),AE856,"")</f>
        <v/>
      </c>
      <c r="AH856" s="79">
        <f>IF(AG856="","",IF(AG856&lt;AsOf,1,IF(AG856&lt;=AsOf+AlertDays,2,IF(AG856&lt;=AsOf+2*AlertDays,3,""))))</f>
        <v/>
      </c>
      <c r="AI856" s="79">
        <f>IF(AH856="","","Follow up with "&amp;AA856&amp;": "&amp;AC856)</f>
        <v/>
      </c>
    </row>
    <row r="857" ht="20" customHeight="1">
      <c r="B857" s="72" t="n"/>
      <c r="C857" s="72" t="n"/>
      <c r="D857" s="72" t="n"/>
      <c r="E857" s="72" t="n"/>
      <c r="F857" s="72" t="n"/>
      <c r="G857" s="72" t="n"/>
      <c r="H857" s="72" t="n"/>
      <c r="I857" s="73" t="n"/>
      <c r="J857" s="75">
        <f>IF(B857="","",SUMIFS('Change Orders'!$J$7:$J$1006,'Change Orders'!$E$7:$E$1006,B857,'Change Orders'!$L$7:$L$1006,"Approved"))</f>
        <v/>
      </c>
      <c r="K857" s="76">
        <f>IF(B857="","",I857+J857)</f>
        <v/>
      </c>
      <c r="L857" s="74" t="n"/>
      <c r="M857" s="109" t="n"/>
      <c r="N857" s="109" t="n"/>
      <c r="O857" s="74" t="n"/>
      <c r="P857" s="74" t="n"/>
      <c r="Q857" s="100" t="n"/>
      <c r="R857" s="110" t="n"/>
      <c r="S857" s="75">
        <f>IF(B857="","",SUMIFS('Payments'!$N$6:$N$1005,'Payments'!$B$6:$B$1005,B857))</f>
        <v/>
      </c>
      <c r="T857" s="111">
        <f>IF(OR(B857="",K857=0),"",S857/K857)</f>
        <v/>
      </c>
      <c r="U857" s="78">
        <f>IF(V857="","",IF(V857=2,"⚠️ Paying ahead of work","✓ OK"))</f>
        <v/>
      </c>
      <c r="V857" s="79">
        <f>IF(T857="","",IF(T857-R857&gt;OverpayTol,2,0))</f>
        <v/>
      </c>
      <c r="W857" s="112">
        <f>IF(V857=2,AsOf,"")</f>
        <v/>
      </c>
      <c r="X857" s="79">
        <f>IF(W857="","",1)</f>
        <v/>
      </c>
      <c r="Y857" s="79">
        <f>IF(X857="","","Paying ahead of work: "&amp;B857&amp;" — paid "&amp;ROUND(T857*100,0)&amp;"%, work done "&amp;ROUND(R857*100,0)&amp;"%")</f>
        <v/>
      </c>
      <c r="AA857" s="72" t="n"/>
      <c r="AB857" s="109" t="n"/>
      <c r="AC857" s="113" t="n"/>
      <c r="AD857" s="74" t="n"/>
      <c r="AE857" s="109" t="n"/>
      <c r="AF857" s="74" t="n"/>
      <c r="AG857" s="112">
        <f>IF(AND(AA857&lt;&gt;"",AD857="Yes",AF857&lt;&gt;"Yes",AE857&lt;&gt;""),AE857,"")</f>
        <v/>
      </c>
      <c r="AH857" s="79">
        <f>IF(AG857="","",IF(AG857&lt;AsOf,1,IF(AG857&lt;=AsOf+AlertDays,2,IF(AG857&lt;=AsOf+2*AlertDays,3,""))))</f>
        <v/>
      </c>
      <c r="AI857" s="79">
        <f>IF(AH857="","","Follow up with "&amp;AA857&amp;": "&amp;AC857)</f>
        <v/>
      </c>
    </row>
    <row r="858" ht="20" customHeight="1">
      <c r="B858" s="72" t="n"/>
      <c r="C858" s="72" t="n"/>
      <c r="D858" s="72" t="n"/>
      <c r="E858" s="72" t="n"/>
      <c r="F858" s="72" t="n"/>
      <c r="G858" s="72" t="n"/>
      <c r="H858" s="72" t="n"/>
      <c r="I858" s="73" t="n"/>
      <c r="J858" s="75">
        <f>IF(B858="","",SUMIFS('Change Orders'!$J$7:$J$1006,'Change Orders'!$E$7:$E$1006,B858,'Change Orders'!$L$7:$L$1006,"Approved"))</f>
        <v/>
      </c>
      <c r="K858" s="76">
        <f>IF(B858="","",I858+J858)</f>
        <v/>
      </c>
      <c r="L858" s="74" t="n"/>
      <c r="M858" s="109" t="n"/>
      <c r="N858" s="109" t="n"/>
      <c r="O858" s="74" t="n"/>
      <c r="P858" s="74" t="n"/>
      <c r="Q858" s="100" t="n"/>
      <c r="R858" s="110" t="n"/>
      <c r="S858" s="75">
        <f>IF(B858="","",SUMIFS('Payments'!$N$6:$N$1005,'Payments'!$B$6:$B$1005,B858))</f>
        <v/>
      </c>
      <c r="T858" s="111">
        <f>IF(OR(B858="",K858=0),"",S858/K858)</f>
        <v/>
      </c>
      <c r="U858" s="78">
        <f>IF(V858="","",IF(V858=2,"⚠️ Paying ahead of work","✓ OK"))</f>
        <v/>
      </c>
      <c r="V858" s="79">
        <f>IF(T858="","",IF(T858-R858&gt;OverpayTol,2,0))</f>
        <v/>
      </c>
      <c r="W858" s="112">
        <f>IF(V858=2,AsOf,"")</f>
        <v/>
      </c>
      <c r="X858" s="79">
        <f>IF(W858="","",1)</f>
        <v/>
      </c>
      <c r="Y858" s="79">
        <f>IF(X858="","","Paying ahead of work: "&amp;B858&amp;" — paid "&amp;ROUND(T858*100,0)&amp;"%, work done "&amp;ROUND(R858*100,0)&amp;"%")</f>
        <v/>
      </c>
      <c r="AA858" s="72" t="n"/>
      <c r="AB858" s="109" t="n"/>
      <c r="AC858" s="113" t="n"/>
      <c r="AD858" s="74" t="n"/>
      <c r="AE858" s="109" t="n"/>
      <c r="AF858" s="74" t="n"/>
      <c r="AG858" s="112">
        <f>IF(AND(AA858&lt;&gt;"",AD858="Yes",AF858&lt;&gt;"Yes",AE858&lt;&gt;""),AE858,"")</f>
        <v/>
      </c>
      <c r="AH858" s="79">
        <f>IF(AG858="","",IF(AG858&lt;AsOf,1,IF(AG858&lt;=AsOf+AlertDays,2,IF(AG858&lt;=AsOf+2*AlertDays,3,""))))</f>
        <v/>
      </c>
      <c r="AI858" s="79">
        <f>IF(AH858="","","Follow up with "&amp;AA858&amp;": "&amp;AC858)</f>
        <v/>
      </c>
    </row>
    <row r="859" ht="20" customHeight="1">
      <c r="B859" s="72" t="n"/>
      <c r="C859" s="72" t="n"/>
      <c r="D859" s="72" t="n"/>
      <c r="E859" s="72" t="n"/>
      <c r="F859" s="72" t="n"/>
      <c r="G859" s="72" t="n"/>
      <c r="H859" s="72" t="n"/>
      <c r="I859" s="73" t="n"/>
      <c r="J859" s="75">
        <f>IF(B859="","",SUMIFS('Change Orders'!$J$7:$J$1006,'Change Orders'!$E$7:$E$1006,B859,'Change Orders'!$L$7:$L$1006,"Approved"))</f>
        <v/>
      </c>
      <c r="K859" s="76">
        <f>IF(B859="","",I859+J859)</f>
        <v/>
      </c>
      <c r="L859" s="74" t="n"/>
      <c r="M859" s="109" t="n"/>
      <c r="N859" s="109" t="n"/>
      <c r="O859" s="74" t="n"/>
      <c r="P859" s="74" t="n"/>
      <c r="Q859" s="100" t="n"/>
      <c r="R859" s="110" t="n"/>
      <c r="S859" s="75">
        <f>IF(B859="","",SUMIFS('Payments'!$N$6:$N$1005,'Payments'!$B$6:$B$1005,B859))</f>
        <v/>
      </c>
      <c r="T859" s="111">
        <f>IF(OR(B859="",K859=0),"",S859/K859)</f>
        <v/>
      </c>
      <c r="U859" s="78">
        <f>IF(V859="","",IF(V859=2,"⚠️ Paying ahead of work","✓ OK"))</f>
        <v/>
      </c>
      <c r="V859" s="79">
        <f>IF(T859="","",IF(T859-R859&gt;OverpayTol,2,0))</f>
        <v/>
      </c>
      <c r="W859" s="112">
        <f>IF(V859=2,AsOf,"")</f>
        <v/>
      </c>
      <c r="X859" s="79">
        <f>IF(W859="","",1)</f>
        <v/>
      </c>
      <c r="Y859" s="79">
        <f>IF(X859="","","Paying ahead of work: "&amp;B859&amp;" — paid "&amp;ROUND(T859*100,0)&amp;"%, work done "&amp;ROUND(R859*100,0)&amp;"%")</f>
        <v/>
      </c>
      <c r="AA859" s="72" t="n"/>
      <c r="AB859" s="109" t="n"/>
      <c r="AC859" s="113" t="n"/>
      <c r="AD859" s="74" t="n"/>
      <c r="AE859" s="109" t="n"/>
      <c r="AF859" s="74" t="n"/>
      <c r="AG859" s="112">
        <f>IF(AND(AA859&lt;&gt;"",AD859="Yes",AF859&lt;&gt;"Yes",AE859&lt;&gt;""),AE859,"")</f>
        <v/>
      </c>
      <c r="AH859" s="79">
        <f>IF(AG859="","",IF(AG859&lt;AsOf,1,IF(AG859&lt;=AsOf+AlertDays,2,IF(AG859&lt;=AsOf+2*AlertDays,3,""))))</f>
        <v/>
      </c>
      <c r="AI859" s="79">
        <f>IF(AH859="","","Follow up with "&amp;AA859&amp;": "&amp;AC859)</f>
        <v/>
      </c>
    </row>
    <row r="860" ht="20" customHeight="1">
      <c r="B860" s="72" t="n"/>
      <c r="C860" s="72" t="n"/>
      <c r="D860" s="72" t="n"/>
      <c r="E860" s="72" t="n"/>
      <c r="F860" s="72" t="n"/>
      <c r="G860" s="72" t="n"/>
      <c r="H860" s="72" t="n"/>
      <c r="I860" s="73" t="n"/>
      <c r="J860" s="75">
        <f>IF(B860="","",SUMIFS('Change Orders'!$J$7:$J$1006,'Change Orders'!$E$7:$E$1006,B860,'Change Orders'!$L$7:$L$1006,"Approved"))</f>
        <v/>
      </c>
      <c r="K860" s="76">
        <f>IF(B860="","",I860+J860)</f>
        <v/>
      </c>
      <c r="L860" s="74" t="n"/>
      <c r="M860" s="109" t="n"/>
      <c r="N860" s="109" t="n"/>
      <c r="O860" s="74" t="n"/>
      <c r="P860" s="74" t="n"/>
      <c r="Q860" s="100" t="n"/>
      <c r="R860" s="110" t="n"/>
      <c r="S860" s="75">
        <f>IF(B860="","",SUMIFS('Payments'!$N$6:$N$1005,'Payments'!$B$6:$B$1005,B860))</f>
        <v/>
      </c>
      <c r="T860" s="111">
        <f>IF(OR(B860="",K860=0),"",S860/K860)</f>
        <v/>
      </c>
      <c r="U860" s="78">
        <f>IF(V860="","",IF(V860=2,"⚠️ Paying ahead of work","✓ OK"))</f>
        <v/>
      </c>
      <c r="V860" s="79">
        <f>IF(T860="","",IF(T860-R860&gt;OverpayTol,2,0))</f>
        <v/>
      </c>
      <c r="W860" s="112">
        <f>IF(V860=2,AsOf,"")</f>
        <v/>
      </c>
      <c r="X860" s="79">
        <f>IF(W860="","",1)</f>
        <v/>
      </c>
      <c r="Y860" s="79">
        <f>IF(X860="","","Paying ahead of work: "&amp;B860&amp;" — paid "&amp;ROUND(T860*100,0)&amp;"%, work done "&amp;ROUND(R860*100,0)&amp;"%")</f>
        <v/>
      </c>
      <c r="AA860" s="72" t="n"/>
      <c r="AB860" s="109" t="n"/>
      <c r="AC860" s="113" t="n"/>
      <c r="AD860" s="74" t="n"/>
      <c r="AE860" s="109" t="n"/>
      <c r="AF860" s="74" t="n"/>
      <c r="AG860" s="112">
        <f>IF(AND(AA860&lt;&gt;"",AD860="Yes",AF860&lt;&gt;"Yes",AE860&lt;&gt;""),AE860,"")</f>
        <v/>
      </c>
      <c r="AH860" s="79">
        <f>IF(AG860="","",IF(AG860&lt;AsOf,1,IF(AG860&lt;=AsOf+AlertDays,2,IF(AG860&lt;=AsOf+2*AlertDays,3,""))))</f>
        <v/>
      </c>
      <c r="AI860" s="79">
        <f>IF(AH860="","","Follow up with "&amp;AA860&amp;": "&amp;AC860)</f>
        <v/>
      </c>
    </row>
    <row r="861" ht="20" customHeight="1">
      <c r="B861" s="72" t="n"/>
      <c r="C861" s="72" t="n"/>
      <c r="D861" s="72" t="n"/>
      <c r="E861" s="72" t="n"/>
      <c r="F861" s="72" t="n"/>
      <c r="G861" s="72" t="n"/>
      <c r="H861" s="72" t="n"/>
      <c r="I861" s="73" t="n"/>
      <c r="J861" s="75">
        <f>IF(B861="","",SUMIFS('Change Orders'!$J$7:$J$1006,'Change Orders'!$E$7:$E$1006,B861,'Change Orders'!$L$7:$L$1006,"Approved"))</f>
        <v/>
      </c>
      <c r="K861" s="76">
        <f>IF(B861="","",I861+J861)</f>
        <v/>
      </c>
      <c r="L861" s="74" t="n"/>
      <c r="M861" s="109" t="n"/>
      <c r="N861" s="109" t="n"/>
      <c r="O861" s="74" t="n"/>
      <c r="P861" s="74" t="n"/>
      <c r="Q861" s="100" t="n"/>
      <c r="R861" s="110" t="n"/>
      <c r="S861" s="75">
        <f>IF(B861="","",SUMIFS('Payments'!$N$6:$N$1005,'Payments'!$B$6:$B$1005,B861))</f>
        <v/>
      </c>
      <c r="T861" s="111">
        <f>IF(OR(B861="",K861=0),"",S861/K861)</f>
        <v/>
      </c>
      <c r="U861" s="78">
        <f>IF(V861="","",IF(V861=2,"⚠️ Paying ahead of work","✓ OK"))</f>
        <v/>
      </c>
      <c r="V861" s="79">
        <f>IF(T861="","",IF(T861-R861&gt;OverpayTol,2,0))</f>
        <v/>
      </c>
      <c r="W861" s="112">
        <f>IF(V861=2,AsOf,"")</f>
        <v/>
      </c>
      <c r="X861" s="79">
        <f>IF(W861="","",1)</f>
        <v/>
      </c>
      <c r="Y861" s="79">
        <f>IF(X861="","","Paying ahead of work: "&amp;B861&amp;" — paid "&amp;ROUND(T861*100,0)&amp;"%, work done "&amp;ROUND(R861*100,0)&amp;"%")</f>
        <v/>
      </c>
      <c r="AA861" s="72" t="n"/>
      <c r="AB861" s="109" t="n"/>
      <c r="AC861" s="113" t="n"/>
      <c r="AD861" s="74" t="n"/>
      <c r="AE861" s="109" t="n"/>
      <c r="AF861" s="74" t="n"/>
      <c r="AG861" s="112">
        <f>IF(AND(AA861&lt;&gt;"",AD861="Yes",AF861&lt;&gt;"Yes",AE861&lt;&gt;""),AE861,"")</f>
        <v/>
      </c>
      <c r="AH861" s="79">
        <f>IF(AG861="","",IF(AG861&lt;AsOf,1,IF(AG861&lt;=AsOf+AlertDays,2,IF(AG861&lt;=AsOf+2*AlertDays,3,""))))</f>
        <v/>
      </c>
      <c r="AI861" s="79">
        <f>IF(AH861="","","Follow up with "&amp;AA861&amp;": "&amp;AC861)</f>
        <v/>
      </c>
    </row>
    <row r="862" ht="20" customHeight="1">
      <c r="B862" s="72" t="n"/>
      <c r="C862" s="72" t="n"/>
      <c r="D862" s="72" t="n"/>
      <c r="E862" s="72" t="n"/>
      <c r="F862" s="72" t="n"/>
      <c r="G862" s="72" t="n"/>
      <c r="H862" s="72" t="n"/>
      <c r="I862" s="73" t="n"/>
      <c r="J862" s="75">
        <f>IF(B862="","",SUMIFS('Change Orders'!$J$7:$J$1006,'Change Orders'!$E$7:$E$1006,B862,'Change Orders'!$L$7:$L$1006,"Approved"))</f>
        <v/>
      </c>
      <c r="K862" s="76">
        <f>IF(B862="","",I862+J862)</f>
        <v/>
      </c>
      <c r="L862" s="74" t="n"/>
      <c r="M862" s="109" t="n"/>
      <c r="N862" s="109" t="n"/>
      <c r="O862" s="74" t="n"/>
      <c r="P862" s="74" t="n"/>
      <c r="Q862" s="100" t="n"/>
      <c r="R862" s="110" t="n"/>
      <c r="S862" s="75">
        <f>IF(B862="","",SUMIFS('Payments'!$N$6:$N$1005,'Payments'!$B$6:$B$1005,B862))</f>
        <v/>
      </c>
      <c r="T862" s="111">
        <f>IF(OR(B862="",K862=0),"",S862/K862)</f>
        <v/>
      </c>
      <c r="U862" s="78">
        <f>IF(V862="","",IF(V862=2,"⚠️ Paying ahead of work","✓ OK"))</f>
        <v/>
      </c>
      <c r="V862" s="79">
        <f>IF(T862="","",IF(T862-R862&gt;OverpayTol,2,0))</f>
        <v/>
      </c>
      <c r="W862" s="112">
        <f>IF(V862=2,AsOf,"")</f>
        <v/>
      </c>
      <c r="X862" s="79">
        <f>IF(W862="","",1)</f>
        <v/>
      </c>
      <c r="Y862" s="79">
        <f>IF(X862="","","Paying ahead of work: "&amp;B862&amp;" — paid "&amp;ROUND(T862*100,0)&amp;"%, work done "&amp;ROUND(R862*100,0)&amp;"%")</f>
        <v/>
      </c>
      <c r="AA862" s="72" t="n"/>
      <c r="AB862" s="109" t="n"/>
      <c r="AC862" s="113" t="n"/>
      <c r="AD862" s="74" t="n"/>
      <c r="AE862" s="109" t="n"/>
      <c r="AF862" s="74" t="n"/>
      <c r="AG862" s="112">
        <f>IF(AND(AA862&lt;&gt;"",AD862="Yes",AF862&lt;&gt;"Yes",AE862&lt;&gt;""),AE862,"")</f>
        <v/>
      </c>
      <c r="AH862" s="79">
        <f>IF(AG862="","",IF(AG862&lt;AsOf,1,IF(AG862&lt;=AsOf+AlertDays,2,IF(AG862&lt;=AsOf+2*AlertDays,3,""))))</f>
        <v/>
      </c>
      <c r="AI862" s="79">
        <f>IF(AH862="","","Follow up with "&amp;AA862&amp;": "&amp;AC862)</f>
        <v/>
      </c>
    </row>
    <row r="863" ht="20" customHeight="1">
      <c r="B863" s="72" t="n"/>
      <c r="C863" s="72" t="n"/>
      <c r="D863" s="72" t="n"/>
      <c r="E863" s="72" t="n"/>
      <c r="F863" s="72" t="n"/>
      <c r="G863" s="72" t="n"/>
      <c r="H863" s="72" t="n"/>
      <c r="I863" s="73" t="n"/>
      <c r="J863" s="75">
        <f>IF(B863="","",SUMIFS('Change Orders'!$J$7:$J$1006,'Change Orders'!$E$7:$E$1006,B863,'Change Orders'!$L$7:$L$1006,"Approved"))</f>
        <v/>
      </c>
      <c r="K863" s="76">
        <f>IF(B863="","",I863+J863)</f>
        <v/>
      </c>
      <c r="L863" s="74" t="n"/>
      <c r="M863" s="109" t="n"/>
      <c r="N863" s="109" t="n"/>
      <c r="O863" s="74" t="n"/>
      <c r="P863" s="74" t="n"/>
      <c r="Q863" s="100" t="n"/>
      <c r="R863" s="110" t="n"/>
      <c r="S863" s="75">
        <f>IF(B863="","",SUMIFS('Payments'!$N$6:$N$1005,'Payments'!$B$6:$B$1005,B863))</f>
        <v/>
      </c>
      <c r="T863" s="111">
        <f>IF(OR(B863="",K863=0),"",S863/K863)</f>
        <v/>
      </c>
      <c r="U863" s="78">
        <f>IF(V863="","",IF(V863=2,"⚠️ Paying ahead of work","✓ OK"))</f>
        <v/>
      </c>
      <c r="V863" s="79">
        <f>IF(T863="","",IF(T863-R863&gt;OverpayTol,2,0))</f>
        <v/>
      </c>
      <c r="W863" s="112">
        <f>IF(V863=2,AsOf,"")</f>
        <v/>
      </c>
      <c r="X863" s="79">
        <f>IF(W863="","",1)</f>
        <v/>
      </c>
      <c r="Y863" s="79">
        <f>IF(X863="","","Paying ahead of work: "&amp;B863&amp;" — paid "&amp;ROUND(T863*100,0)&amp;"%, work done "&amp;ROUND(R863*100,0)&amp;"%")</f>
        <v/>
      </c>
      <c r="AA863" s="72" t="n"/>
      <c r="AB863" s="109" t="n"/>
      <c r="AC863" s="113" t="n"/>
      <c r="AD863" s="74" t="n"/>
      <c r="AE863" s="109" t="n"/>
      <c r="AF863" s="74" t="n"/>
      <c r="AG863" s="112">
        <f>IF(AND(AA863&lt;&gt;"",AD863="Yes",AF863&lt;&gt;"Yes",AE863&lt;&gt;""),AE863,"")</f>
        <v/>
      </c>
      <c r="AH863" s="79">
        <f>IF(AG863="","",IF(AG863&lt;AsOf,1,IF(AG863&lt;=AsOf+AlertDays,2,IF(AG863&lt;=AsOf+2*AlertDays,3,""))))</f>
        <v/>
      </c>
      <c r="AI863" s="79">
        <f>IF(AH863="","","Follow up with "&amp;AA863&amp;": "&amp;AC863)</f>
        <v/>
      </c>
    </row>
    <row r="864" ht="20" customHeight="1">
      <c r="B864" s="72" t="n"/>
      <c r="C864" s="72" t="n"/>
      <c r="D864" s="72" t="n"/>
      <c r="E864" s="72" t="n"/>
      <c r="F864" s="72" t="n"/>
      <c r="G864" s="72" t="n"/>
      <c r="H864" s="72" t="n"/>
      <c r="I864" s="73" t="n"/>
      <c r="J864" s="75">
        <f>IF(B864="","",SUMIFS('Change Orders'!$J$7:$J$1006,'Change Orders'!$E$7:$E$1006,B864,'Change Orders'!$L$7:$L$1006,"Approved"))</f>
        <v/>
      </c>
      <c r="K864" s="76">
        <f>IF(B864="","",I864+J864)</f>
        <v/>
      </c>
      <c r="L864" s="74" t="n"/>
      <c r="M864" s="109" t="n"/>
      <c r="N864" s="109" t="n"/>
      <c r="O864" s="74" t="n"/>
      <c r="P864" s="74" t="n"/>
      <c r="Q864" s="100" t="n"/>
      <c r="R864" s="110" t="n"/>
      <c r="S864" s="75">
        <f>IF(B864="","",SUMIFS('Payments'!$N$6:$N$1005,'Payments'!$B$6:$B$1005,B864))</f>
        <v/>
      </c>
      <c r="T864" s="111">
        <f>IF(OR(B864="",K864=0),"",S864/K864)</f>
        <v/>
      </c>
      <c r="U864" s="78">
        <f>IF(V864="","",IF(V864=2,"⚠️ Paying ahead of work","✓ OK"))</f>
        <v/>
      </c>
      <c r="V864" s="79">
        <f>IF(T864="","",IF(T864-R864&gt;OverpayTol,2,0))</f>
        <v/>
      </c>
      <c r="W864" s="112">
        <f>IF(V864=2,AsOf,"")</f>
        <v/>
      </c>
      <c r="X864" s="79">
        <f>IF(W864="","",1)</f>
        <v/>
      </c>
      <c r="Y864" s="79">
        <f>IF(X864="","","Paying ahead of work: "&amp;B864&amp;" — paid "&amp;ROUND(T864*100,0)&amp;"%, work done "&amp;ROUND(R864*100,0)&amp;"%")</f>
        <v/>
      </c>
      <c r="AA864" s="72" t="n"/>
      <c r="AB864" s="109" t="n"/>
      <c r="AC864" s="113" t="n"/>
      <c r="AD864" s="74" t="n"/>
      <c r="AE864" s="109" t="n"/>
      <c r="AF864" s="74" t="n"/>
      <c r="AG864" s="112">
        <f>IF(AND(AA864&lt;&gt;"",AD864="Yes",AF864&lt;&gt;"Yes",AE864&lt;&gt;""),AE864,"")</f>
        <v/>
      </c>
      <c r="AH864" s="79">
        <f>IF(AG864="","",IF(AG864&lt;AsOf,1,IF(AG864&lt;=AsOf+AlertDays,2,IF(AG864&lt;=AsOf+2*AlertDays,3,""))))</f>
        <v/>
      </c>
      <c r="AI864" s="79">
        <f>IF(AH864="","","Follow up with "&amp;AA864&amp;": "&amp;AC864)</f>
        <v/>
      </c>
    </row>
    <row r="865" ht="20" customHeight="1">
      <c r="B865" s="72" t="n"/>
      <c r="C865" s="72" t="n"/>
      <c r="D865" s="72" t="n"/>
      <c r="E865" s="72" t="n"/>
      <c r="F865" s="72" t="n"/>
      <c r="G865" s="72" t="n"/>
      <c r="H865" s="72" t="n"/>
      <c r="I865" s="73" t="n"/>
      <c r="J865" s="75">
        <f>IF(B865="","",SUMIFS('Change Orders'!$J$7:$J$1006,'Change Orders'!$E$7:$E$1006,B865,'Change Orders'!$L$7:$L$1006,"Approved"))</f>
        <v/>
      </c>
      <c r="K865" s="76">
        <f>IF(B865="","",I865+J865)</f>
        <v/>
      </c>
      <c r="L865" s="74" t="n"/>
      <c r="M865" s="109" t="n"/>
      <c r="N865" s="109" t="n"/>
      <c r="O865" s="74" t="n"/>
      <c r="P865" s="74" t="n"/>
      <c r="Q865" s="100" t="n"/>
      <c r="R865" s="110" t="n"/>
      <c r="S865" s="75">
        <f>IF(B865="","",SUMIFS('Payments'!$N$6:$N$1005,'Payments'!$B$6:$B$1005,B865))</f>
        <v/>
      </c>
      <c r="T865" s="111">
        <f>IF(OR(B865="",K865=0),"",S865/K865)</f>
        <v/>
      </c>
      <c r="U865" s="78">
        <f>IF(V865="","",IF(V865=2,"⚠️ Paying ahead of work","✓ OK"))</f>
        <v/>
      </c>
      <c r="V865" s="79">
        <f>IF(T865="","",IF(T865-R865&gt;OverpayTol,2,0))</f>
        <v/>
      </c>
      <c r="W865" s="112">
        <f>IF(V865=2,AsOf,"")</f>
        <v/>
      </c>
      <c r="X865" s="79">
        <f>IF(W865="","",1)</f>
        <v/>
      </c>
      <c r="Y865" s="79">
        <f>IF(X865="","","Paying ahead of work: "&amp;B865&amp;" — paid "&amp;ROUND(T865*100,0)&amp;"%, work done "&amp;ROUND(R865*100,0)&amp;"%")</f>
        <v/>
      </c>
      <c r="AA865" s="72" t="n"/>
      <c r="AB865" s="109" t="n"/>
      <c r="AC865" s="113" t="n"/>
      <c r="AD865" s="74" t="n"/>
      <c r="AE865" s="109" t="n"/>
      <c r="AF865" s="74" t="n"/>
      <c r="AG865" s="112">
        <f>IF(AND(AA865&lt;&gt;"",AD865="Yes",AF865&lt;&gt;"Yes",AE865&lt;&gt;""),AE865,"")</f>
        <v/>
      </c>
      <c r="AH865" s="79">
        <f>IF(AG865="","",IF(AG865&lt;AsOf,1,IF(AG865&lt;=AsOf+AlertDays,2,IF(AG865&lt;=AsOf+2*AlertDays,3,""))))</f>
        <v/>
      </c>
      <c r="AI865" s="79">
        <f>IF(AH865="","","Follow up with "&amp;AA865&amp;": "&amp;AC865)</f>
        <v/>
      </c>
    </row>
    <row r="866" ht="20" customHeight="1">
      <c r="B866" s="72" t="n"/>
      <c r="C866" s="72" t="n"/>
      <c r="D866" s="72" t="n"/>
      <c r="E866" s="72" t="n"/>
      <c r="F866" s="72" t="n"/>
      <c r="G866" s="72" t="n"/>
      <c r="H866" s="72" t="n"/>
      <c r="I866" s="73" t="n"/>
      <c r="J866" s="75">
        <f>IF(B866="","",SUMIFS('Change Orders'!$J$7:$J$1006,'Change Orders'!$E$7:$E$1006,B866,'Change Orders'!$L$7:$L$1006,"Approved"))</f>
        <v/>
      </c>
      <c r="K866" s="76">
        <f>IF(B866="","",I866+J866)</f>
        <v/>
      </c>
      <c r="L866" s="74" t="n"/>
      <c r="M866" s="109" t="n"/>
      <c r="N866" s="109" t="n"/>
      <c r="O866" s="74" t="n"/>
      <c r="P866" s="74" t="n"/>
      <c r="Q866" s="100" t="n"/>
      <c r="R866" s="110" t="n"/>
      <c r="S866" s="75">
        <f>IF(B866="","",SUMIFS('Payments'!$N$6:$N$1005,'Payments'!$B$6:$B$1005,B866))</f>
        <v/>
      </c>
      <c r="T866" s="111">
        <f>IF(OR(B866="",K866=0),"",S866/K866)</f>
        <v/>
      </c>
      <c r="U866" s="78">
        <f>IF(V866="","",IF(V866=2,"⚠️ Paying ahead of work","✓ OK"))</f>
        <v/>
      </c>
      <c r="V866" s="79">
        <f>IF(T866="","",IF(T866-R866&gt;OverpayTol,2,0))</f>
        <v/>
      </c>
      <c r="W866" s="112">
        <f>IF(V866=2,AsOf,"")</f>
        <v/>
      </c>
      <c r="X866" s="79">
        <f>IF(W866="","",1)</f>
        <v/>
      </c>
      <c r="Y866" s="79">
        <f>IF(X866="","","Paying ahead of work: "&amp;B866&amp;" — paid "&amp;ROUND(T866*100,0)&amp;"%, work done "&amp;ROUND(R866*100,0)&amp;"%")</f>
        <v/>
      </c>
      <c r="AA866" s="72" t="n"/>
      <c r="AB866" s="109" t="n"/>
      <c r="AC866" s="113" t="n"/>
      <c r="AD866" s="74" t="n"/>
      <c r="AE866" s="109" t="n"/>
      <c r="AF866" s="74" t="n"/>
      <c r="AG866" s="112">
        <f>IF(AND(AA866&lt;&gt;"",AD866="Yes",AF866&lt;&gt;"Yes",AE866&lt;&gt;""),AE866,"")</f>
        <v/>
      </c>
      <c r="AH866" s="79">
        <f>IF(AG866="","",IF(AG866&lt;AsOf,1,IF(AG866&lt;=AsOf+AlertDays,2,IF(AG866&lt;=AsOf+2*AlertDays,3,""))))</f>
        <v/>
      </c>
      <c r="AI866" s="79">
        <f>IF(AH866="","","Follow up with "&amp;AA866&amp;": "&amp;AC866)</f>
        <v/>
      </c>
    </row>
    <row r="867" ht="20" customHeight="1">
      <c r="B867" s="72" t="n"/>
      <c r="C867" s="72" t="n"/>
      <c r="D867" s="72" t="n"/>
      <c r="E867" s="72" t="n"/>
      <c r="F867" s="72" t="n"/>
      <c r="G867" s="72" t="n"/>
      <c r="H867" s="72" t="n"/>
      <c r="I867" s="73" t="n"/>
      <c r="J867" s="75">
        <f>IF(B867="","",SUMIFS('Change Orders'!$J$7:$J$1006,'Change Orders'!$E$7:$E$1006,B867,'Change Orders'!$L$7:$L$1006,"Approved"))</f>
        <v/>
      </c>
      <c r="K867" s="76">
        <f>IF(B867="","",I867+J867)</f>
        <v/>
      </c>
      <c r="L867" s="74" t="n"/>
      <c r="M867" s="109" t="n"/>
      <c r="N867" s="109" t="n"/>
      <c r="O867" s="74" t="n"/>
      <c r="P867" s="74" t="n"/>
      <c r="Q867" s="100" t="n"/>
      <c r="R867" s="110" t="n"/>
      <c r="S867" s="75">
        <f>IF(B867="","",SUMIFS('Payments'!$N$6:$N$1005,'Payments'!$B$6:$B$1005,B867))</f>
        <v/>
      </c>
      <c r="T867" s="111">
        <f>IF(OR(B867="",K867=0),"",S867/K867)</f>
        <v/>
      </c>
      <c r="U867" s="78">
        <f>IF(V867="","",IF(V867=2,"⚠️ Paying ahead of work","✓ OK"))</f>
        <v/>
      </c>
      <c r="V867" s="79">
        <f>IF(T867="","",IF(T867-R867&gt;OverpayTol,2,0))</f>
        <v/>
      </c>
      <c r="W867" s="112">
        <f>IF(V867=2,AsOf,"")</f>
        <v/>
      </c>
      <c r="X867" s="79">
        <f>IF(W867="","",1)</f>
        <v/>
      </c>
      <c r="Y867" s="79">
        <f>IF(X867="","","Paying ahead of work: "&amp;B867&amp;" — paid "&amp;ROUND(T867*100,0)&amp;"%, work done "&amp;ROUND(R867*100,0)&amp;"%")</f>
        <v/>
      </c>
      <c r="AA867" s="72" t="n"/>
      <c r="AB867" s="109" t="n"/>
      <c r="AC867" s="113" t="n"/>
      <c r="AD867" s="74" t="n"/>
      <c r="AE867" s="109" t="n"/>
      <c r="AF867" s="74" t="n"/>
      <c r="AG867" s="112">
        <f>IF(AND(AA867&lt;&gt;"",AD867="Yes",AF867&lt;&gt;"Yes",AE867&lt;&gt;""),AE867,"")</f>
        <v/>
      </c>
      <c r="AH867" s="79">
        <f>IF(AG867="","",IF(AG867&lt;AsOf,1,IF(AG867&lt;=AsOf+AlertDays,2,IF(AG867&lt;=AsOf+2*AlertDays,3,""))))</f>
        <v/>
      </c>
      <c r="AI867" s="79">
        <f>IF(AH867="","","Follow up with "&amp;AA867&amp;": "&amp;AC867)</f>
        <v/>
      </c>
    </row>
    <row r="868" ht="20" customHeight="1">
      <c r="B868" s="72" t="n"/>
      <c r="C868" s="72" t="n"/>
      <c r="D868" s="72" t="n"/>
      <c r="E868" s="72" t="n"/>
      <c r="F868" s="72" t="n"/>
      <c r="G868" s="72" t="n"/>
      <c r="H868" s="72" t="n"/>
      <c r="I868" s="73" t="n"/>
      <c r="J868" s="75">
        <f>IF(B868="","",SUMIFS('Change Orders'!$J$7:$J$1006,'Change Orders'!$E$7:$E$1006,B868,'Change Orders'!$L$7:$L$1006,"Approved"))</f>
        <v/>
      </c>
      <c r="K868" s="76">
        <f>IF(B868="","",I868+J868)</f>
        <v/>
      </c>
      <c r="L868" s="74" t="n"/>
      <c r="M868" s="109" t="n"/>
      <c r="N868" s="109" t="n"/>
      <c r="O868" s="74" t="n"/>
      <c r="P868" s="74" t="n"/>
      <c r="Q868" s="100" t="n"/>
      <c r="R868" s="110" t="n"/>
      <c r="S868" s="75">
        <f>IF(B868="","",SUMIFS('Payments'!$N$6:$N$1005,'Payments'!$B$6:$B$1005,B868))</f>
        <v/>
      </c>
      <c r="T868" s="111">
        <f>IF(OR(B868="",K868=0),"",S868/K868)</f>
        <v/>
      </c>
      <c r="U868" s="78">
        <f>IF(V868="","",IF(V868=2,"⚠️ Paying ahead of work","✓ OK"))</f>
        <v/>
      </c>
      <c r="V868" s="79">
        <f>IF(T868="","",IF(T868-R868&gt;OverpayTol,2,0))</f>
        <v/>
      </c>
      <c r="W868" s="112">
        <f>IF(V868=2,AsOf,"")</f>
        <v/>
      </c>
      <c r="X868" s="79">
        <f>IF(W868="","",1)</f>
        <v/>
      </c>
      <c r="Y868" s="79">
        <f>IF(X868="","","Paying ahead of work: "&amp;B868&amp;" — paid "&amp;ROUND(T868*100,0)&amp;"%, work done "&amp;ROUND(R868*100,0)&amp;"%")</f>
        <v/>
      </c>
      <c r="AA868" s="72" t="n"/>
      <c r="AB868" s="109" t="n"/>
      <c r="AC868" s="113" t="n"/>
      <c r="AD868" s="74" t="n"/>
      <c r="AE868" s="109" t="n"/>
      <c r="AF868" s="74" t="n"/>
      <c r="AG868" s="112">
        <f>IF(AND(AA868&lt;&gt;"",AD868="Yes",AF868&lt;&gt;"Yes",AE868&lt;&gt;""),AE868,"")</f>
        <v/>
      </c>
      <c r="AH868" s="79">
        <f>IF(AG868="","",IF(AG868&lt;AsOf,1,IF(AG868&lt;=AsOf+AlertDays,2,IF(AG868&lt;=AsOf+2*AlertDays,3,""))))</f>
        <v/>
      </c>
      <c r="AI868" s="79">
        <f>IF(AH868="","","Follow up with "&amp;AA868&amp;": "&amp;AC868)</f>
        <v/>
      </c>
    </row>
    <row r="869" ht="20" customHeight="1">
      <c r="B869" s="72" t="n"/>
      <c r="C869" s="72" t="n"/>
      <c r="D869" s="72" t="n"/>
      <c r="E869" s="72" t="n"/>
      <c r="F869" s="72" t="n"/>
      <c r="G869" s="72" t="n"/>
      <c r="H869" s="72" t="n"/>
      <c r="I869" s="73" t="n"/>
      <c r="J869" s="75">
        <f>IF(B869="","",SUMIFS('Change Orders'!$J$7:$J$1006,'Change Orders'!$E$7:$E$1006,B869,'Change Orders'!$L$7:$L$1006,"Approved"))</f>
        <v/>
      </c>
      <c r="K869" s="76">
        <f>IF(B869="","",I869+J869)</f>
        <v/>
      </c>
      <c r="L869" s="74" t="n"/>
      <c r="M869" s="109" t="n"/>
      <c r="N869" s="109" t="n"/>
      <c r="O869" s="74" t="n"/>
      <c r="P869" s="74" t="n"/>
      <c r="Q869" s="100" t="n"/>
      <c r="R869" s="110" t="n"/>
      <c r="S869" s="75">
        <f>IF(B869="","",SUMIFS('Payments'!$N$6:$N$1005,'Payments'!$B$6:$B$1005,B869))</f>
        <v/>
      </c>
      <c r="T869" s="111">
        <f>IF(OR(B869="",K869=0),"",S869/K869)</f>
        <v/>
      </c>
      <c r="U869" s="78">
        <f>IF(V869="","",IF(V869=2,"⚠️ Paying ahead of work","✓ OK"))</f>
        <v/>
      </c>
      <c r="V869" s="79">
        <f>IF(T869="","",IF(T869-R869&gt;OverpayTol,2,0))</f>
        <v/>
      </c>
      <c r="W869" s="112">
        <f>IF(V869=2,AsOf,"")</f>
        <v/>
      </c>
      <c r="X869" s="79">
        <f>IF(W869="","",1)</f>
        <v/>
      </c>
      <c r="Y869" s="79">
        <f>IF(X869="","","Paying ahead of work: "&amp;B869&amp;" — paid "&amp;ROUND(T869*100,0)&amp;"%, work done "&amp;ROUND(R869*100,0)&amp;"%")</f>
        <v/>
      </c>
      <c r="AA869" s="72" t="n"/>
      <c r="AB869" s="109" t="n"/>
      <c r="AC869" s="113" t="n"/>
      <c r="AD869" s="74" t="n"/>
      <c r="AE869" s="109" t="n"/>
      <c r="AF869" s="74" t="n"/>
      <c r="AG869" s="112">
        <f>IF(AND(AA869&lt;&gt;"",AD869="Yes",AF869&lt;&gt;"Yes",AE869&lt;&gt;""),AE869,"")</f>
        <v/>
      </c>
      <c r="AH869" s="79">
        <f>IF(AG869="","",IF(AG869&lt;AsOf,1,IF(AG869&lt;=AsOf+AlertDays,2,IF(AG869&lt;=AsOf+2*AlertDays,3,""))))</f>
        <v/>
      </c>
      <c r="AI869" s="79">
        <f>IF(AH869="","","Follow up with "&amp;AA869&amp;": "&amp;AC869)</f>
        <v/>
      </c>
    </row>
    <row r="870" ht="20" customHeight="1">
      <c r="B870" s="72" t="n"/>
      <c r="C870" s="72" t="n"/>
      <c r="D870" s="72" t="n"/>
      <c r="E870" s="72" t="n"/>
      <c r="F870" s="72" t="n"/>
      <c r="G870" s="72" t="n"/>
      <c r="H870" s="72" t="n"/>
      <c r="I870" s="73" t="n"/>
      <c r="J870" s="75">
        <f>IF(B870="","",SUMIFS('Change Orders'!$J$7:$J$1006,'Change Orders'!$E$7:$E$1006,B870,'Change Orders'!$L$7:$L$1006,"Approved"))</f>
        <v/>
      </c>
      <c r="K870" s="76">
        <f>IF(B870="","",I870+J870)</f>
        <v/>
      </c>
      <c r="L870" s="74" t="n"/>
      <c r="M870" s="109" t="n"/>
      <c r="N870" s="109" t="n"/>
      <c r="O870" s="74" t="n"/>
      <c r="P870" s="74" t="n"/>
      <c r="Q870" s="100" t="n"/>
      <c r="R870" s="110" t="n"/>
      <c r="S870" s="75">
        <f>IF(B870="","",SUMIFS('Payments'!$N$6:$N$1005,'Payments'!$B$6:$B$1005,B870))</f>
        <v/>
      </c>
      <c r="T870" s="111">
        <f>IF(OR(B870="",K870=0),"",S870/K870)</f>
        <v/>
      </c>
      <c r="U870" s="78">
        <f>IF(V870="","",IF(V870=2,"⚠️ Paying ahead of work","✓ OK"))</f>
        <v/>
      </c>
      <c r="V870" s="79">
        <f>IF(T870="","",IF(T870-R870&gt;OverpayTol,2,0))</f>
        <v/>
      </c>
      <c r="W870" s="112">
        <f>IF(V870=2,AsOf,"")</f>
        <v/>
      </c>
      <c r="X870" s="79">
        <f>IF(W870="","",1)</f>
        <v/>
      </c>
      <c r="Y870" s="79">
        <f>IF(X870="","","Paying ahead of work: "&amp;B870&amp;" — paid "&amp;ROUND(T870*100,0)&amp;"%, work done "&amp;ROUND(R870*100,0)&amp;"%")</f>
        <v/>
      </c>
      <c r="AA870" s="72" t="n"/>
      <c r="AB870" s="109" t="n"/>
      <c r="AC870" s="113" t="n"/>
      <c r="AD870" s="74" t="n"/>
      <c r="AE870" s="109" t="n"/>
      <c r="AF870" s="74" t="n"/>
      <c r="AG870" s="112">
        <f>IF(AND(AA870&lt;&gt;"",AD870="Yes",AF870&lt;&gt;"Yes",AE870&lt;&gt;""),AE870,"")</f>
        <v/>
      </c>
      <c r="AH870" s="79">
        <f>IF(AG870="","",IF(AG870&lt;AsOf,1,IF(AG870&lt;=AsOf+AlertDays,2,IF(AG870&lt;=AsOf+2*AlertDays,3,""))))</f>
        <v/>
      </c>
      <c r="AI870" s="79">
        <f>IF(AH870="","","Follow up with "&amp;AA870&amp;": "&amp;AC870)</f>
        <v/>
      </c>
    </row>
    <row r="871" ht="20" customHeight="1">
      <c r="B871" s="72" t="n"/>
      <c r="C871" s="72" t="n"/>
      <c r="D871" s="72" t="n"/>
      <c r="E871" s="72" t="n"/>
      <c r="F871" s="72" t="n"/>
      <c r="G871" s="72" t="n"/>
      <c r="H871" s="72" t="n"/>
      <c r="I871" s="73" t="n"/>
      <c r="J871" s="75">
        <f>IF(B871="","",SUMIFS('Change Orders'!$J$7:$J$1006,'Change Orders'!$E$7:$E$1006,B871,'Change Orders'!$L$7:$L$1006,"Approved"))</f>
        <v/>
      </c>
      <c r="K871" s="76">
        <f>IF(B871="","",I871+J871)</f>
        <v/>
      </c>
      <c r="L871" s="74" t="n"/>
      <c r="M871" s="109" t="n"/>
      <c r="N871" s="109" t="n"/>
      <c r="O871" s="74" t="n"/>
      <c r="P871" s="74" t="n"/>
      <c r="Q871" s="100" t="n"/>
      <c r="R871" s="110" t="n"/>
      <c r="S871" s="75">
        <f>IF(B871="","",SUMIFS('Payments'!$N$6:$N$1005,'Payments'!$B$6:$B$1005,B871))</f>
        <v/>
      </c>
      <c r="T871" s="111">
        <f>IF(OR(B871="",K871=0),"",S871/K871)</f>
        <v/>
      </c>
      <c r="U871" s="78">
        <f>IF(V871="","",IF(V871=2,"⚠️ Paying ahead of work","✓ OK"))</f>
        <v/>
      </c>
      <c r="V871" s="79">
        <f>IF(T871="","",IF(T871-R871&gt;OverpayTol,2,0))</f>
        <v/>
      </c>
      <c r="W871" s="112">
        <f>IF(V871=2,AsOf,"")</f>
        <v/>
      </c>
      <c r="X871" s="79">
        <f>IF(W871="","",1)</f>
        <v/>
      </c>
      <c r="Y871" s="79">
        <f>IF(X871="","","Paying ahead of work: "&amp;B871&amp;" — paid "&amp;ROUND(T871*100,0)&amp;"%, work done "&amp;ROUND(R871*100,0)&amp;"%")</f>
        <v/>
      </c>
      <c r="AA871" s="72" t="n"/>
      <c r="AB871" s="109" t="n"/>
      <c r="AC871" s="113" t="n"/>
      <c r="AD871" s="74" t="n"/>
      <c r="AE871" s="109" t="n"/>
      <c r="AF871" s="74" t="n"/>
      <c r="AG871" s="112">
        <f>IF(AND(AA871&lt;&gt;"",AD871="Yes",AF871&lt;&gt;"Yes",AE871&lt;&gt;""),AE871,"")</f>
        <v/>
      </c>
      <c r="AH871" s="79">
        <f>IF(AG871="","",IF(AG871&lt;AsOf,1,IF(AG871&lt;=AsOf+AlertDays,2,IF(AG871&lt;=AsOf+2*AlertDays,3,""))))</f>
        <v/>
      </c>
      <c r="AI871" s="79">
        <f>IF(AH871="","","Follow up with "&amp;AA871&amp;": "&amp;AC871)</f>
        <v/>
      </c>
    </row>
    <row r="872" ht="20" customHeight="1">
      <c r="B872" s="72" t="n"/>
      <c r="C872" s="72" t="n"/>
      <c r="D872" s="72" t="n"/>
      <c r="E872" s="72" t="n"/>
      <c r="F872" s="72" t="n"/>
      <c r="G872" s="72" t="n"/>
      <c r="H872" s="72" t="n"/>
      <c r="I872" s="73" t="n"/>
      <c r="J872" s="75">
        <f>IF(B872="","",SUMIFS('Change Orders'!$J$7:$J$1006,'Change Orders'!$E$7:$E$1006,B872,'Change Orders'!$L$7:$L$1006,"Approved"))</f>
        <v/>
      </c>
      <c r="K872" s="76">
        <f>IF(B872="","",I872+J872)</f>
        <v/>
      </c>
      <c r="L872" s="74" t="n"/>
      <c r="M872" s="109" t="n"/>
      <c r="N872" s="109" t="n"/>
      <c r="O872" s="74" t="n"/>
      <c r="P872" s="74" t="n"/>
      <c r="Q872" s="100" t="n"/>
      <c r="R872" s="110" t="n"/>
      <c r="S872" s="75">
        <f>IF(B872="","",SUMIFS('Payments'!$N$6:$N$1005,'Payments'!$B$6:$B$1005,B872))</f>
        <v/>
      </c>
      <c r="T872" s="111">
        <f>IF(OR(B872="",K872=0),"",S872/K872)</f>
        <v/>
      </c>
      <c r="U872" s="78">
        <f>IF(V872="","",IF(V872=2,"⚠️ Paying ahead of work","✓ OK"))</f>
        <v/>
      </c>
      <c r="V872" s="79">
        <f>IF(T872="","",IF(T872-R872&gt;OverpayTol,2,0))</f>
        <v/>
      </c>
      <c r="W872" s="112">
        <f>IF(V872=2,AsOf,"")</f>
        <v/>
      </c>
      <c r="X872" s="79">
        <f>IF(W872="","",1)</f>
        <v/>
      </c>
      <c r="Y872" s="79">
        <f>IF(X872="","","Paying ahead of work: "&amp;B872&amp;" — paid "&amp;ROUND(T872*100,0)&amp;"%, work done "&amp;ROUND(R872*100,0)&amp;"%")</f>
        <v/>
      </c>
      <c r="AA872" s="72" t="n"/>
      <c r="AB872" s="109" t="n"/>
      <c r="AC872" s="113" t="n"/>
      <c r="AD872" s="74" t="n"/>
      <c r="AE872" s="109" t="n"/>
      <c r="AF872" s="74" t="n"/>
      <c r="AG872" s="112">
        <f>IF(AND(AA872&lt;&gt;"",AD872="Yes",AF872&lt;&gt;"Yes",AE872&lt;&gt;""),AE872,"")</f>
        <v/>
      </c>
      <c r="AH872" s="79">
        <f>IF(AG872="","",IF(AG872&lt;AsOf,1,IF(AG872&lt;=AsOf+AlertDays,2,IF(AG872&lt;=AsOf+2*AlertDays,3,""))))</f>
        <v/>
      </c>
      <c r="AI872" s="79">
        <f>IF(AH872="","","Follow up with "&amp;AA872&amp;": "&amp;AC872)</f>
        <v/>
      </c>
    </row>
    <row r="873" ht="20" customHeight="1">
      <c r="B873" s="72" t="n"/>
      <c r="C873" s="72" t="n"/>
      <c r="D873" s="72" t="n"/>
      <c r="E873" s="72" t="n"/>
      <c r="F873" s="72" t="n"/>
      <c r="G873" s="72" t="n"/>
      <c r="H873" s="72" t="n"/>
      <c r="I873" s="73" t="n"/>
      <c r="J873" s="75">
        <f>IF(B873="","",SUMIFS('Change Orders'!$J$7:$J$1006,'Change Orders'!$E$7:$E$1006,B873,'Change Orders'!$L$7:$L$1006,"Approved"))</f>
        <v/>
      </c>
      <c r="K873" s="76">
        <f>IF(B873="","",I873+J873)</f>
        <v/>
      </c>
      <c r="L873" s="74" t="n"/>
      <c r="M873" s="109" t="n"/>
      <c r="N873" s="109" t="n"/>
      <c r="O873" s="74" t="n"/>
      <c r="P873" s="74" t="n"/>
      <c r="Q873" s="100" t="n"/>
      <c r="R873" s="110" t="n"/>
      <c r="S873" s="75">
        <f>IF(B873="","",SUMIFS('Payments'!$N$6:$N$1005,'Payments'!$B$6:$B$1005,B873))</f>
        <v/>
      </c>
      <c r="T873" s="111">
        <f>IF(OR(B873="",K873=0),"",S873/K873)</f>
        <v/>
      </c>
      <c r="U873" s="78">
        <f>IF(V873="","",IF(V873=2,"⚠️ Paying ahead of work","✓ OK"))</f>
        <v/>
      </c>
      <c r="V873" s="79">
        <f>IF(T873="","",IF(T873-R873&gt;OverpayTol,2,0))</f>
        <v/>
      </c>
      <c r="W873" s="112">
        <f>IF(V873=2,AsOf,"")</f>
        <v/>
      </c>
      <c r="X873" s="79">
        <f>IF(W873="","",1)</f>
        <v/>
      </c>
      <c r="Y873" s="79">
        <f>IF(X873="","","Paying ahead of work: "&amp;B873&amp;" — paid "&amp;ROUND(T873*100,0)&amp;"%, work done "&amp;ROUND(R873*100,0)&amp;"%")</f>
        <v/>
      </c>
      <c r="AA873" s="72" t="n"/>
      <c r="AB873" s="109" t="n"/>
      <c r="AC873" s="113" t="n"/>
      <c r="AD873" s="74" t="n"/>
      <c r="AE873" s="109" t="n"/>
      <c r="AF873" s="74" t="n"/>
      <c r="AG873" s="112">
        <f>IF(AND(AA873&lt;&gt;"",AD873="Yes",AF873&lt;&gt;"Yes",AE873&lt;&gt;""),AE873,"")</f>
        <v/>
      </c>
      <c r="AH873" s="79">
        <f>IF(AG873="","",IF(AG873&lt;AsOf,1,IF(AG873&lt;=AsOf+AlertDays,2,IF(AG873&lt;=AsOf+2*AlertDays,3,""))))</f>
        <v/>
      </c>
      <c r="AI873" s="79">
        <f>IF(AH873="","","Follow up with "&amp;AA873&amp;": "&amp;AC873)</f>
        <v/>
      </c>
    </row>
    <row r="874" ht="20" customHeight="1">
      <c r="B874" s="72" t="n"/>
      <c r="C874" s="72" t="n"/>
      <c r="D874" s="72" t="n"/>
      <c r="E874" s="72" t="n"/>
      <c r="F874" s="72" t="n"/>
      <c r="G874" s="72" t="n"/>
      <c r="H874" s="72" t="n"/>
      <c r="I874" s="73" t="n"/>
      <c r="J874" s="75">
        <f>IF(B874="","",SUMIFS('Change Orders'!$J$7:$J$1006,'Change Orders'!$E$7:$E$1006,B874,'Change Orders'!$L$7:$L$1006,"Approved"))</f>
        <v/>
      </c>
      <c r="K874" s="76">
        <f>IF(B874="","",I874+J874)</f>
        <v/>
      </c>
      <c r="L874" s="74" t="n"/>
      <c r="M874" s="109" t="n"/>
      <c r="N874" s="109" t="n"/>
      <c r="O874" s="74" t="n"/>
      <c r="P874" s="74" t="n"/>
      <c r="Q874" s="100" t="n"/>
      <c r="R874" s="110" t="n"/>
      <c r="S874" s="75">
        <f>IF(B874="","",SUMIFS('Payments'!$N$6:$N$1005,'Payments'!$B$6:$B$1005,B874))</f>
        <v/>
      </c>
      <c r="T874" s="111">
        <f>IF(OR(B874="",K874=0),"",S874/K874)</f>
        <v/>
      </c>
      <c r="U874" s="78">
        <f>IF(V874="","",IF(V874=2,"⚠️ Paying ahead of work","✓ OK"))</f>
        <v/>
      </c>
      <c r="V874" s="79">
        <f>IF(T874="","",IF(T874-R874&gt;OverpayTol,2,0))</f>
        <v/>
      </c>
      <c r="W874" s="112">
        <f>IF(V874=2,AsOf,"")</f>
        <v/>
      </c>
      <c r="X874" s="79">
        <f>IF(W874="","",1)</f>
        <v/>
      </c>
      <c r="Y874" s="79">
        <f>IF(X874="","","Paying ahead of work: "&amp;B874&amp;" — paid "&amp;ROUND(T874*100,0)&amp;"%, work done "&amp;ROUND(R874*100,0)&amp;"%")</f>
        <v/>
      </c>
      <c r="AA874" s="72" t="n"/>
      <c r="AB874" s="109" t="n"/>
      <c r="AC874" s="113" t="n"/>
      <c r="AD874" s="74" t="n"/>
      <c r="AE874" s="109" t="n"/>
      <c r="AF874" s="74" t="n"/>
      <c r="AG874" s="112">
        <f>IF(AND(AA874&lt;&gt;"",AD874="Yes",AF874&lt;&gt;"Yes",AE874&lt;&gt;""),AE874,"")</f>
        <v/>
      </c>
      <c r="AH874" s="79">
        <f>IF(AG874="","",IF(AG874&lt;AsOf,1,IF(AG874&lt;=AsOf+AlertDays,2,IF(AG874&lt;=AsOf+2*AlertDays,3,""))))</f>
        <v/>
      </c>
      <c r="AI874" s="79">
        <f>IF(AH874="","","Follow up with "&amp;AA874&amp;": "&amp;AC874)</f>
        <v/>
      </c>
    </row>
    <row r="875" ht="20" customHeight="1">
      <c r="B875" s="72" t="n"/>
      <c r="C875" s="72" t="n"/>
      <c r="D875" s="72" t="n"/>
      <c r="E875" s="72" t="n"/>
      <c r="F875" s="72" t="n"/>
      <c r="G875" s="72" t="n"/>
      <c r="H875" s="72" t="n"/>
      <c r="I875" s="73" t="n"/>
      <c r="J875" s="75">
        <f>IF(B875="","",SUMIFS('Change Orders'!$J$7:$J$1006,'Change Orders'!$E$7:$E$1006,B875,'Change Orders'!$L$7:$L$1006,"Approved"))</f>
        <v/>
      </c>
      <c r="K875" s="76">
        <f>IF(B875="","",I875+J875)</f>
        <v/>
      </c>
      <c r="L875" s="74" t="n"/>
      <c r="M875" s="109" t="n"/>
      <c r="N875" s="109" t="n"/>
      <c r="O875" s="74" t="n"/>
      <c r="P875" s="74" t="n"/>
      <c r="Q875" s="100" t="n"/>
      <c r="R875" s="110" t="n"/>
      <c r="S875" s="75">
        <f>IF(B875="","",SUMIFS('Payments'!$N$6:$N$1005,'Payments'!$B$6:$B$1005,B875))</f>
        <v/>
      </c>
      <c r="T875" s="111">
        <f>IF(OR(B875="",K875=0),"",S875/K875)</f>
        <v/>
      </c>
      <c r="U875" s="78">
        <f>IF(V875="","",IF(V875=2,"⚠️ Paying ahead of work","✓ OK"))</f>
        <v/>
      </c>
      <c r="V875" s="79">
        <f>IF(T875="","",IF(T875-R875&gt;OverpayTol,2,0))</f>
        <v/>
      </c>
      <c r="W875" s="112">
        <f>IF(V875=2,AsOf,"")</f>
        <v/>
      </c>
      <c r="X875" s="79">
        <f>IF(W875="","",1)</f>
        <v/>
      </c>
      <c r="Y875" s="79">
        <f>IF(X875="","","Paying ahead of work: "&amp;B875&amp;" — paid "&amp;ROUND(T875*100,0)&amp;"%, work done "&amp;ROUND(R875*100,0)&amp;"%")</f>
        <v/>
      </c>
      <c r="AA875" s="72" t="n"/>
      <c r="AB875" s="109" t="n"/>
      <c r="AC875" s="113" t="n"/>
      <c r="AD875" s="74" t="n"/>
      <c r="AE875" s="109" t="n"/>
      <c r="AF875" s="74" t="n"/>
      <c r="AG875" s="112">
        <f>IF(AND(AA875&lt;&gt;"",AD875="Yes",AF875&lt;&gt;"Yes",AE875&lt;&gt;""),AE875,"")</f>
        <v/>
      </c>
      <c r="AH875" s="79">
        <f>IF(AG875="","",IF(AG875&lt;AsOf,1,IF(AG875&lt;=AsOf+AlertDays,2,IF(AG875&lt;=AsOf+2*AlertDays,3,""))))</f>
        <v/>
      </c>
      <c r="AI875" s="79">
        <f>IF(AH875="","","Follow up with "&amp;AA875&amp;": "&amp;AC875)</f>
        <v/>
      </c>
    </row>
    <row r="876" ht="20" customHeight="1">
      <c r="B876" s="72" t="n"/>
      <c r="C876" s="72" t="n"/>
      <c r="D876" s="72" t="n"/>
      <c r="E876" s="72" t="n"/>
      <c r="F876" s="72" t="n"/>
      <c r="G876" s="72" t="n"/>
      <c r="H876" s="72" t="n"/>
      <c r="I876" s="73" t="n"/>
      <c r="J876" s="75">
        <f>IF(B876="","",SUMIFS('Change Orders'!$J$7:$J$1006,'Change Orders'!$E$7:$E$1006,B876,'Change Orders'!$L$7:$L$1006,"Approved"))</f>
        <v/>
      </c>
      <c r="K876" s="76">
        <f>IF(B876="","",I876+J876)</f>
        <v/>
      </c>
      <c r="L876" s="74" t="n"/>
      <c r="M876" s="109" t="n"/>
      <c r="N876" s="109" t="n"/>
      <c r="O876" s="74" t="n"/>
      <c r="P876" s="74" t="n"/>
      <c r="Q876" s="100" t="n"/>
      <c r="R876" s="110" t="n"/>
      <c r="S876" s="75">
        <f>IF(B876="","",SUMIFS('Payments'!$N$6:$N$1005,'Payments'!$B$6:$B$1005,B876))</f>
        <v/>
      </c>
      <c r="T876" s="111">
        <f>IF(OR(B876="",K876=0),"",S876/K876)</f>
        <v/>
      </c>
      <c r="U876" s="78">
        <f>IF(V876="","",IF(V876=2,"⚠️ Paying ahead of work","✓ OK"))</f>
        <v/>
      </c>
      <c r="V876" s="79">
        <f>IF(T876="","",IF(T876-R876&gt;OverpayTol,2,0))</f>
        <v/>
      </c>
      <c r="W876" s="112">
        <f>IF(V876=2,AsOf,"")</f>
        <v/>
      </c>
      <c r="X876" s="79">
        <f>IF(W876="","",1)</f>
        <v/>
      </c>
      <c r="Y876" s="79">
        <f>IF(X876="","","Paying ahead of work: "&amp;B876&amp;" — paid "&amp;ROUND(T876*100,0)&amp;"%, work done "&amp;ROUND(R876*100,0)&amp;"%")</f>
        <v/>
      </c>
      <c r="AA876" s="72" t="n"/>
      <c r="AB876" s="109" t="n"/>
      <c r="AC876" s="113" t="n"/>
      <c r="AD876" s="74" t="n"/>
      <c r="AE876" s="109" t="n"/>
      <c r="AF876" s="74" t="n"/>
      <c r="AG876" s="112">
        <f>IF(AND(AA876&lt;&gt;"",AD876="Yes",AF876&lt;&gt;"Yes",AE876&lt;&gt;""),AE876,"")</f>
        <v/>
      </c>
      <c r="AH876" s="79">
        <f>IF(AG876="","",IF(AG876&lt;AsOf,1,IF(AG876&lt;=AsOf+AlertDays,2,IF(AG876&lt;=AsOf+2*AlertDays,3,""))))</f>
        <v/>
      </c>
      <c r="AI876" s="79">
        <f>IF(AH876="","","Follow up with "&amp;AA876&amp;": "&amp;AC876)</f>
        <v/>
      </c>
    </row>
    <row r="877" ht="20" customHeight="1">
      <c r="B877" s="72" t="n"/>
      <c r="C877" s="72" t="n"/>
      <c r="D877" s="72" t="n"/>
      <c r="E877" s="72" t="n"/>
      <c r="F877" s="72" t="n"/>
      <c r="G877" s="72" t="n"/>
      <c r="H877" s="72" t="n"/>
      <c r="I877" s="73" t="n"/>
      <c r="J877" s="75">
        <f>IF(B877="","",SUMIFS('Change Orders'!$J$7:$J$1006,'Change Orders'!$E$7:$E$1006,B877,'Change Orders'!$L$7:$L$1006,"Approved"))</f>
        <v/>
      </c>
      <c r="K877" s="76">
        <f>IF(B877="","",I877+J877)</f>
        <v/>
      </c>
      <c r="L877" s="74" t="n"/>
      <c r="M877" s="109" t="n"/>
      <c r="N877" s="109" t="n"/>
      <c r="O877" s="74" t="n"/>
      <c r="P877" s="74" t="n"/>
      <c r="Q877" s="100" t="n"/>
      <c r="R877" s="110" t="n"/>
      <c r="S877" s="75">
        <f>IF(B877="","",SUMIFS('Payments'!$N$6:$N$1005,'Payments'!$B$6:$B$1005,B877))</f>
        <v/>
      </c>
      <c r="T877" s="111">
        <f>IF(OR(B877="",K877=0),"",S877/K877)</f>
        <v/>
      </c>
      <c r="U877" s="78">
        <f>IF(V877="","",IF(V877=2,"⚠️ Paying ahead of work","✓ OK"))</f>
        <v/>
      </c>
      <c r="V877" s="79">
        <f>IF(T877="","",IF(T877-R877&gt;OverpayTol,2,0))</f>
        <v/>
      </c>
      <c r="W877" s="112">
        <f>IF(V877=2,AsOf,"")</f>
        <v/>
      </c>
      <c r="X877" s="79">
        <f>IF(W877="","",1)</f>
        <v/>
      </c>
      <c r="Y877" s="79">
        <f>IF(X877="","","Paying ahead of work: "&amp;B877&amp;" — paid "&amp;ROUND(T877*100,0)&amp;"%, work done "&amp;ROUND(R877*100,0)&amp;"%")</f>
        <v/>
      </c>
      <c r="AA877" s="72" t="n"/>
      <c r="AB877" s="109" t="n"/>
      <c r="AC877" s="113" t="n"/>
      <c r="AD877" s="74" t="n"/>
      <c r="AE877" s="109" t="n"/>
      <c r="AF877" s="74" t="n"/>
      <c r="AG877" s="112">
        <f>IF(AND(AA877&lt;&gt;"",AD877="Yes",AF877&lt;&gt;"Yes",AE877&lt;&gt;""),AE877,"")</f>
        <v/>
      </c>
      <c r="AH877" s="79">
        <f>IF(AG877="","",IF(AG877&lt;AsOf,1,IF(AG877&lt;=AsOf+AlertDays,2,IF(AG877&lt;=AsOf+2*AlertDays,3,""))))</f>
        <v/>
      </c>
      <c r="AI877" s="79">
        <f>IF(AH877="","","Follow up with "&amp;AA877&amp;": "&amp;AC877)</f>
        <v/>
      </c>
    </row>
    <row r="878" ht="20" customHeight="1">
      <c r="B878" s="72" t="n"/>
      <c r="C878" s="72" t="n"/>
      <c r="D878" s="72" t="n"/>
      <c r="E878" s="72" t="n"/>
      <c r="F878" s="72" t="n"/>
      <c r="G878" s="72" t="n"/>
      <c r="H878" s="72" t="n"/>
      <c r="I878" s="73" t="n"/>
      <c r="J878" s="75">
        <f>IF(B878="","",SUMIFS('Change Orders'!$J$7:$J$1006,'Change Orders'!$E$7:$E$1006,B878,'Change Orders'!$L$7:$L$1006,"Approved"))</f>
        <v/>
      </c>
      <c r="K878" s="76">
        <f>IF(B878="","",I878+J878)</f>
        <v/>
      </c>
      <c r="L878" s="74" t="n"/>
      <c r="M878" s="109" t="n"/>
      <c r="N878" s="109" t="n"/>
      <c r="O878" s="74" t="n"/>
      <c r="P878" s="74" t="n"/>
      <c r="Q878" s="100" t="n"/>
      <c r="R878" s="110" t="n"/>
      <c r="S878" s="75">
        <f>IF(B878="","",SUMIFS('Payments'!$N$6:$N$1005,'Payments'!$B$6:$B$1005,B878))</f>
        <v/>
      </c>
      <c r="T878" s="111">
        <f>IF(OR(B878="",K878=0),"",S878/K878)</f>
        <v/>
      </c>
      <c r="U878" s="78">
        <f>IF(V878="","",IF(V878=2,"⚠️ Paying ahead of work","✓ OK"))</f>
        <v/>
      </c>
      <c r="V878" s="79">
        <f>IF(T878="","",IF(T878-R878&gt;OverpayTol,2,0))</f>
        <v/>
      </c>
      <c r="W878" s="112">
        <f>IF(V878=2,AsOf,"")</f>
        <v/>
      </c>
      <c r="X878" s="79">
        <f>IF(W878="","",1)</f>
        <v/>
      </c>
      <c r="Y878" s="79">
        <f>IF(X878="","","Paying ahead of work: "&amp;B878&amp;" — paid "&amp;ROUND(T878*100,0)&amp;"%, work done "&amp;ROUND(R878*100,0)&amp;"%")</f>
        <v/>
      </c>
      <c r="AA878" s="72" t="n"/>
      <c r="AB878" s="109" t="n"/>
      <c r="AC878" s="113" t="n"/>
      <c r="AD878" s="74" t="n"/>
      <c r="AE878" s="109" t="n"/>
      <c r="AF878" s="74" t="n"/>
      <c r="AG878" s="112">
        <f>IF(AND(AA878&lt;&gt;"",AD878="Yes",AF878&lt;&gt;"Yes",AE878&lt;&gt;""),AE878,"")</f>
        <v/>
      </c>
      <c r="AH878" s="79">
        <f>IF(AG878="","",IF(AG878&lt;AsOf,1,IF(AG878&lt;=AsOf+AlertDays,2,IF(AG878&lt;=AsOf+2*AlertDays,3,""))))</f>
        <v/>
      </c>
      <c r="AI878" s="79">
        <f>IF(AH878="","","Follow up with "&amp;AA878&amp;": "&amp;AC878)</f>
        <v/>
      </c>
    </row>
    <row r="879" ht="20" customHeight="1">
      <c r="B879" s="72" t="n"/>
      <c r="C879" s="72" t="n"/>
      <c r="D879" s="72" t="n"/>
      <c r="E879" s="72" t="n"/>
      <c r="F879" s="72" t="n"/>
      <c r="G879" s="72" t="n"/>
      <c r="H879" s="72" t="n"/>
      <c r="I879" s="73" t="n"/>
      <c r="J879" s="75">
        <f>IF(B879="","",SUMIFS('Change Orders'!$J$7:$J$1006,'Change Orders'!$E$7:$E$1006,B879,'Change Orders'!$L$7:$L$1006,"Approved"))</f>
        <v/>
      </c>
      <c r="K879" s="76">
        <f>IF(B879="","",I879+J879)</f>
        <v/>
      </c>
      <c r="L879" s="74" t="n"/>
      <c r="M879" s="109" t="n"/>
      <c r="N879" s="109" t="n"/>
      <c r="O879" s="74" t="n"/>
      <c r="P879" s="74" t="n"/>
      <c r="Q879" s="100" t="n"/>
      <c r="R879" s="110" t="n"/>
      <c r="S879" s="75">
        <f>IF(B879="","",SUMIFS('Payments'!$N$6:$N$1005,'Payments'!$B$6:$B$1005,B879))</f>
        <v/>
      </c>
      <c r="T879" s="111">
        <f>IF(OR(B879="",K879=0),"",S879/K879)</f>
        <v/>
      </c>
      <c r="U879" s="78">
        <f>IF(V879="","",IF(V879=2,"⚠️ Paying ahead of work","✓ OK"))</f>
        <v/>
      </c>
      <c r="V879" s="79">
        <f>IF(T879="","",IF(T879-R879&gt;OverpayTol,2,0))</f>
        <v/>
      </c>
      <c r="W879" s="112">
        <f>IF(V879=2,AsOf,"")</f>
        <v/>
      </c>
      <c r="X879" s="79">
        <f>IF(W879="","",1)</f>
        <v/>
      </c>
      <c r="Y879" s="79">
        <f>IF(X879="","","Paying ahead of work: "&amp;B879&amp;" — paid "&amp;ROUND(T879*100,0)&amp;"%, work done "&amp;ROUND(R879*100,0)&amp;"%")</f>
        <v/>
      </c>
      <c r="AA879" s="72" t="n"/>
      <c r="AB879" s="109" t="n"/>
      <c r="AC879" s="113" t="n"/>
      <c r="AD879" s="74" t="n"/>
      <c r="AE879" s="109" t="n"/>
      <c r="AF879" s="74" t="n"/>
      <c r="AG879" s="112">
        <f>IF(AND(AA879&lt;&gt;"",AD879="Yes",AF879&lt;&gt;"Yes",AE879&lt;&gt;""),AE879,"")</f>
        <v/>
      </c>
      <c r="AH879" s="79">
        <f>IF(AG879="","",IF(AG879&lt;AsOf,1,IF(AG879&lt;=AsOf+AlertDays,2,IF(AG879&lt;=AsOf+2*AlertDays,3,""))))</f>
        <v/>
      </c>
      <c r="AI879" s="79">
        <f>IF(AH879="","","Follow up with "&amp;AA879&amp;": "&amp;AC879)</f>
        <v/>
      </c>
    </row>
    <row r="880" ht="20" customHeight="1">
      <c r="B880" s="72" t="n"/>
      <c r="C880" s="72" t="n"/>
      <c r="D880" s="72" t="n"/>
      <c r="E880" s="72" t="n"/>
      <c r="F880" s="72" t="n"/>
      <c r="G880" s="72" t="n"/>
      <c r="H880" s="72" t="n"/>
      <c r="I880" s="73" t="n"/>
      <c r="J880" s="75">
        <f>IF(B880="","",SUMIFS('Change Orders'!$J$7:$J$1006,'Change Orders'!$E$7:$E$1006,B880,'Change Orders'!$L$7:$L$1006,"Approved"))</f>
        <v/>
      </c>
      <c r="K880" s="76">
        <f>IF(B880="","",I880+J880)</f>
        <v/>
      </c>
      <c r="L880" s="74" t="n"/>
      <c r="M880" s="109" t="n"/>
      <c r="N880" s="109" t="n"/>
      <c r="O880" s="74" t="n"/>
      <c r="P880" s="74" t="n"/>
      <c r="Q880" s="100" t="n"/>
      <c r="R880" s="110" t="n"/>
      <c r="S880" s="75">
        <f>IF(B880="","",SUMIFS('Payments'!$N$6:$N$1005,'Payments'!$B$6:$B$1005,B880))</f>
        <v/>
      </c>
      <c r="T880" s="111">
        <f>IF(OR(B880="",K880=0),"",S880/K880)</f>
        <v/>
      </c>
      <c r="U880" s="78">
        <f>IF(V880="","",IF(V880=2,"⚠️ Paying ahead of work","✓ OK"))</f>
        <v/>
      </c>
      <c r="V880" s="79">
        <f>IF(T880="","",IF(T880-R880&gt;OverpayTol,2,0))</f>
        <v/>
      </c>
      <c r="W880" s="112">
        <f>IF(V880=2,AsOf,"")</f>
        <v/>
      </c>
      <c r="X880" s="79">
        <f>IF(W880="","",1)</f>
        <v/>
      </c>
      <c r="Y880" s="79">
        <f>IF(X880="","","Paying ahead of work: "&amp;B880&amp;" — paid "&amp;ROUND(T880*100,0)&amp;"%, work done "&amp;ROUND(R880*100,0)&amp;"%")</f>
        <v/>
      </c>
      <c r="AA880" s="72" t="n"/>
      <c r="AB880" s="109" t="n"/>
      <c r="AC880" s="113" t="n"/>
      <c r="AD880" s="74" t="n"/>
      <c r="AE880" s="109" t="n"/>
      <c r="AF880" s="74" t="n"/>
      <c r="AG880" s="112">
        <f>IF(AND(AA880&lt;&gt;"",AD880="Yes",AF880&lt;&gt;"Yes",AE880&lt;&gt;""),AE880,"")</f>
        <v/>
      </c>
      <c r="AH880" s="79">
        <f>IF(AG880="","",IF(AG880&lt;AsOf,1,IF(AG880&lt;=AsOf+AlertDays,2,IF(AG880&lt;=AsOf+2*AlertDays,3,""))))</f>
        <v/>
      </c>
      <c r="AI880" s="79">
        <f>IF(AH880="","","Follow up with "&amp;AA880&amp;": "&amp;AC880)</f>
        <v/>
      </c>
    </row>
    <row r="881" ht="20" customHeight="1">
      <c r="B881" s="72" t="n"/>
      <c r="C881" s="72" t="n"/>
      <c r="D881" s="72" t="n"/>
      <c r="E881" s="72" t="n"/>
      <c r="F881" s="72" t="n"/>
      <c r="G881" s="72" t="n"/>
      <c r="H881" s="72" t="n"/>
      <c r="I881" s="73" t="n"/>
      <c r="J881" s="75">
        <f>IF(B881="","",SUMIFS('Change Orders'!$J$7:$J$1006,'Change Orders'!$E$7:$E$1006,B881,'Change Orders'!$L$7:$L$1006,"Approved"))</f>
        <v/>
      </c>
      <c r="K881" s="76">
        <f>IF(B881="","",I881+J881)</f>
        <v/>
      </c>
      <c r="L881" s="74" t="n"/>
      <c r="M881" s="109" t="n"/>
      <c r="N881" s="109" t="n"/>
      <c r="O881" s="74" t="n"/>
      <c r="P881" s="74" t="n"/>
      <c r="Q881" s="100" t="n"/>
      <c r="R881" s="110" t="n"/>
      <c r="S881" s="75">
        <f>IF(B881="","",SUMIFS('Payments'!$N$6:$N$1005,'Payments'!$B$6:$B$1005,B881))</f>
        <v/>
      </c>
      <c r="T881" s="111">
        <f>IF(OR(B881="",K881=0),"",S881/K881)</f>
        <v/>
      </c>
      <c r="U881" s="78">
        <f>IF(V881="","",IF(V881=2,"⚠️ Paying ahead of work","✓ OK"))</f>
        <v/>
      </c>
      <c r="V881" s="79">
        <f>IF(T881="","",IF(T881-R881&gt;OverpayTol,2,0))</f>
        <v/>
      </c>
      <c r="W881" s="112">
        <f>IF(V881=2,AsOf,"")</f>
        <v/>
      </c>
      <c r="X881" s="79">
        <f>IF(W881="","",1)</f>
        <v/>
      </c>
      <c r="Y881" s="79">
        <f>IF(X881="","","Paying ahead of work: "&amp;B881&amp;" — paid "&amp;ROUND(T881*100,0)&amp;"%, work done "&amp;ROUND(R881*100,0)&amp;"%")</f>
        <v/>
      </c>
      <c r="AA881" s="72" t="n"/>
      <c r="AB881" s="109" t="n"/>
      <c r="AC881" s="113" t="n"/>
      <c r="AD881" s="74" t="n"/>
      <c r="AE881" s="109" t="n"/>
      <c r="AF881" s="74" t="n"/>
      <c r="AG881" s="112">
        <f>IF(AND(AA881&lt;&gt;"",AD881="Yes",AF881&lt;&gt;"Yes",AE881&lt;&gt;""),AE881,"")</f>
        <v/>
      </c>
      <c r="AH881" s="79">
        <f>IF(AG881="","",IF(AG881&lt;AsOf,1,IF(AG881&lt;=AsOf+AlertDays,2,IF(AG881&lt;=AsOf+2*AlertDays,3,""))))</f>
        <v/>
      </c>
      <c r="AI881" s="79">
        <f>IF(AH881="","","Follow up with "&amp;AA881&amp;": "&amp;AC881)</f>
        <v/>
      </c>
    </row>
    <row r="882" ht="20" customHeight="1">
      <c r="B882" s="72" t="n"/>
      <c r="C882" s="72" t="n"/>
      <c r="D882" s="72" t="n"/>
      <c r="E882" s="72" t="n"/>
      <c r="F882" s="72" t="n"/>
      <c r="G882" s="72" t="n"/>
      <c r="H882" s="72" t="n"/>
      <c r="I882" s="73" t="n"/>
      <c r="J882" s="75">
        <f>IF(B882="","",SUMIFS('Change Orders'!$J$7:$J$1006,'Change Orders'!$E$7:$E$1006,B882,'Change Orders'!$L$7:$L$1006,"Approved"))</f>
        <v/>
      </c>
      <c r="K882" s="76">
        <f>IF(B882="","",I882+J882)</f>
        <v/>
      </c>
      <c r="L882" s="74" t="n"/>
      <c r="M882" s="109" t="n"/>
      <c r="N882" s="109" t="n"/>
      <c r="O882" s="74" t="n"/>
      <c r="P882" s="74" t="n"/>
      <c r="Q882" s="100" t="n"/>
      <c r="R882" s="110" t="n"/>
      <c r="S882" s="75">
        <f>IF(B882="","",SUMIFS('Payments'!$N$6:$N$1005,'Payments'!$B$6:$B$1005,B882))</f>
        <v/>
      </c>
      <c r="T882" s="111">
        <f>IF(OR(B882="",K882=0),"",S882/K882)</f>
        <v/>
      </c>
      <c r="U882" s="78">
        <f>IF(V882="","",IF(V882=2,"⚠️ Paying ahead of work","✓ OK"))</f>
        <v/>
      </c>
      <c r="V882" s="79">
        <f>IF(T882="","",IF(T882-R882&gt;OverpayTol,2,0))</f>
        <v/>
      </c>
      <c r="W882" s="112">
        <f>IF(V882=2,AsOf,"")</f>
        <v/>
      </c>
      <c r="X882" s="79">
        <f>IF(W882="","",1)</f>
        <v/>
      </c>
      <c r="Y882" s="79">
        <f>IF(X882="","","Paying ahead of work: "&amp;B882&amp;" — paid "&amp;ROUND(T882*100,0)&amp;"%, work done "&amp;ROUND(R882*100,0)&amp;"%")</f>
        <v/>
      </c>
      <c r="AA882" s="72" t="n"/>
      <c r="AB882" s="109" t="n"/>
      <c r="AC882" s="113" t="n"/>
      <c r="AD882" s="74" t="n"/>
      <c r="AE882" s="109" t="n"/>
      <c r="AF882" s="74" t="n"/>
      <c r="AG882" s="112">
        <f>IF(AND(AA882&lt;&gt;"",AD882="Yes",AF882&lt;&gt;"Yes",AE882&lt;&gt;""),AE882,"")</f>
        <v/>
      </c>
      <c r="AH882" s="79">
        <f>IF(AG882="","",IF(AG882&lt;AsOf,1,IF(AG882&lt;=AsOf+AlertDays,2,IF(AG882&lt;=AsOf+2*AlertDays,3,""))))</f>
        <v/>
      </c>
      <c r="AI882" s="79">
        <f>IF(AH882="","","Follow up with "&amp;AA882&amp;": "&amp;AC882)</f>
        <v/>
      </c>
    </row>
    <row r="883" ht="20" customHeight="1">
      <c r="B883" s="72" t="n"/>
      <c r="C883" s="72" t="n"/>
      <c r="D883" s="72" t="n"/>
      <c r="E883" s="72" t="n"/>
      <c r="F883" s="72" t="n"/>
      <c r="G883" s="72" t="n"/>
      <c r="H883" s="72" t="n"/>
      <c r="I883" s="73" t="n"/>
      <c r="J883" s="75">
        <f>IF(B883="","",SUMIFS('Change Orders'!$J$7:$J$1006,'Change Orders'!$E$7:$E$1006,B883,'Change Orders'!$L$7:$L$1006,"Approved"))</f>
        <v/>
      </c>
      <c r="K883" s="76">
        <f>IF(B883="","",I883+J883)</f>
        <v/>
      </c>
      <c r="L883" s="74" t="n"/>
      <c r="M883" s="109" t="n"/>
      <c r="N883" s="109" t="n"/>
      <c r="O883" s="74" t="n"/>
      <c r="P883" s="74" t="n"/>
      <c r="Q883" s="100" t="n"/>
      <c r="R883" s="110" t="n"/>
      <c r="S883" s="75">
        <f>IF(B883="","",SUMIFS('Payments'!$N$6:$N$1005,'Payments'!$B$6:$B$1005,B883))</f>
        <v/>
      </c>
      <c r="T883" s="111">
        <f>IF(OR(B883="",K883=0),"",S883/K883)</f>
        <v/>
      </c>
      <c r="U883" s="78">
        <f>IF(V883="","",IF(V883=2,"⚠️ Paying ahead of work","✓ OK"))</f>
        <v/>
      </c>
      <c r="V883" s="79">
        <f>IF(T883="","",IF(T883-R883&gt;OverpayTol,2,0))</f>
        <v/>
      </c>
      <c r="W883" s="112">
        <f>IF(V883=2,AsOf,"")</f>
        <v/>
      </c>
      <c r="X883" s="79">
        <f>IF(W883="","",1)</f>
        <v/>
      </c>
      <c r="Y883" s="79">
        <f>IF(X883="","","Paying ahead of work: "&amp;B883&amp;" — paid "&amp;ROUND(T883*100,0)&amp;"%, work done "&amp;ROUND(R883*100,0)&amp;"%")</f>
        <v/>
      </c>
      <c r="AA883" s="72" t="n"/>
      <c r="AB883" s="109" t="n"/>
      <c r="AC883" s="113" t="n"/>
      <c r="AD883" s="74" t="n"/>
      <c r="AE883" s="109" t="n"/>
      <c r="AF883" s="74" t="n"/>
      <c r="AG883" s="112">
        <f>IF(AND(AA883&lt;&gt;"",AD883="Yes",AF883&lt;&gt;"Yes",AE883&lt;&gt;""),AE883,"")</f>
        <v/>
      </c>
      <c r="AH883" s="79">
        <f>IF(AG883="","",IF(AG883&lt;AsOf,1,IF(AG883&lt;=AsOf+AlertDays,2,IF(AG883&lt;=AsOf+2*AlertDays,3,""))))</f>
        <v/>
      </c>
      <c r="AI883" s="79">
        <f>IF(AH883="","","Follow up with "&amp;AA883&amp;": "&amp;AC883)</f>
        <v/>
      </c>
    </row>
    <row r="884" ht="20" customHeight="1">
      <c r="B884" s="72" t="n"/>
      <c r="C884" s="72" t="n"/>
      <c r="D884" s="72" t="n"/>
      <c r="E884" s="72" t="n"/>
      <c r="F884" s="72" t="n"/>
      <c r="G884" s="72" t="n"/>
      <c r="H884" s="72" t="n"/>
      <c r="I884" s="73" t="n"/>
      <c r="J884" s="75">
        <f>IF(B884="","",SUMIFS('Change Orders'!$J$7:$J$1006,'Change Orders'!$E$7:$E$1006,B884,'Change Orders'!$L$7:$L$1006,"Approved"))</f>
        <v/>
      </c>
      <c r="K884" s="76">
        <f>IF(B884="","",I884+J884)</f>
        <v/>
      </c>
      <c r="L884" s="74" t="n"/>
      <c r="M884" s="109" t="n"/>
      <c r="N884" s="109" t="n"/>
      <c r="O884" s="74" t="n"/>
      <c r="P884" s="74" t="n"/>
      <c r="Q884" s="100" t="n"/>
      <c r="R884" s="110" t="n"/>
      <c r="S884" s="75">
        <f>IF(B884="","",SUMIFS('Payments'!$N$6:$N$1005,'Payments'!$B$6:$B$1005,B884))</f>
        <v/>
      </c>
      <c r="T884" s="111">
        <f>IF(OR(B884="",K884=0),"",S884/K884)</f>
        <v/>
      </c>
      <c r="U884" s="78">
        <f>IF(V884="","",IF(V884=2,"⚠️ Paying ahead of work","✓ OK"))</f>
        <v/>
      </c>
      <c r="V884" s="79">
        <f>IF(T884="","",IF(T884-R884&gt;OverpayTol,2,0))</f>
        <v/>
      </c>
      <c r="W884" s="112">
        <f>IF(V884=2,AsOf,"")</f>
        <v/>
      </c>
      <c r="X884" s="79">
        <f>IF(W884="","",1)</f>
        <v/>
      </c>
      <c r="Y884" s="79">
        <f>IF(X884="","","Paying ahead of work: "&amp;B884&amp;" — paid "&amp;ROUND(T884*100,0)&amp;"%, work done "&amp;ROUND(R884*100,0)&amp;"%")</f>
        <v/>
      </c>
      <c r="AA884" s="72" t="n"/>
      <c r="AB884" s="109" t="n"/>
      <c r="AC884" s="113" t="n"/>
      <c r="AD884" s="74" t="n"/>
      <c r="AE884" s="109" t="n"/>
      <c r="AF884" s="74" t="n"/>
      <c r="AG884" s="112">
        <f>IF(AND(AA884&lt;&gt;"",AD884="Yes",AF884&lt;&gt;"Yes",AE884&lt;&gt;""),AE884,"")</f>
        <v/>
      </c>
      <c r="AH884" s="79">
        <f>IF(AG884="","",IF(AG884&lt;AsOf,1,IF(AG884&lt;=AsOf+AlertDays,2,IF(AG884&lt;=AsOf+2*AlertDays,3,""))))</f>
        <v/>
      </c>
      <c r="AI884" s="79">
        <f>IF(AH884="","","Follow up with "&amp;AA884&amp;": "&amp;AC884)</f>
        <v/>
      </c>
    </row>
    <row r="885" ht="20" customHeight="1">
      <c r="B885" s="72" t="n"/>
      <c r="C885" s="72" t="n"/>
      <c r="D885" s="72" t="n"/>
      <c r="E885" s="72" t="n"/>
      <c r="F885" s="72" t="n"/>
      <c r="G885" s="72" t="n"/>
      <c r="H885" s="72" t="n"/>
      <c r="I885" s="73" t="n"/>
      <c r="J885" s="75">
        <f>IF(B885="","",SUMIFS('Change Orders'!$J$7:$J$1006,'Change Orders'!$E$7:$E$1006,B885,'Change Orders'!$L$7:$L$1006,"Approved"))</f>
        <v/>
      </c>
      <c r="K885" s="76">
        <f>IF(B885="","",I885+J885)</f>
        <v/>
      </c>
      <c r="L885" s="74" t="n"/>
      <c r="M885" s="109" t="n"/>
      <c r="N885" s="109" t="n"/>
      <c r="O885" s="74" t="n"/>
      <c r="P885" s="74" t="n"/>
      <c r="Q885" s="100" t="n"/>
      <c r="R885" s="110" t="n"/>
      <c r="S885" s="75">
        <f>IF(B885="","",SUMIFS('Payments'!$N$6:$N$1005,'Payments'!$B$6:$B$1005,B885))</f>
        <v/>
      </c>
      <c r="T885" s="111">
        <f>IF(OR(B885="",K885=0),"",S885/K885)</f>
        <v/>
      </c>
      <c r="U885" s="78">
        <f>IF(V885="","",IF(V885=2,"⚠️ Paying ahead of work","✓ OK"))</f>
        <v/>
      </c>
      <c r="V885" s="79">
        <f>IF(T885="","",IF(T885-R885&gt;OverpayTol,2,0))</f>
        <v/>
      </c>
      <c r="W885" s="112">
        <f>IF(V885=2,AsOf,"")</f>
        <v/>
      </c>
      <c r="X885" s="79">
        <f>IF(W885="","",1)</f>
        <v/>
      </c>
      <c r="Y885" s="79">
        <f>IF(X885="","","Paying ahead of work: "&amp;B885&amp;" — paid "&amp;ROUND(T885*100,0)&amp;"%, work done "&amp;ROUND(R885*100,0)&amp;"%")</f>
        <v/>
      </c>
      <c r="AA885" s="72" t="n"/>
      <c r="AB885" s="109" t="n"/>
      <c r="AC885" s="113" t="n"/>
      <c r="AD885" s="74" t="n"/>
      <c r="AE885" s="109" t="n"/>
      <c r="AF885" s="74" t="n"/>
      <c r="AG885" s="112">
        <f>IF(AND(AA885&lt;&gt;"",AD885="Yes",AF885&lt;&gt;"Yes",AE885&lt;&gt;""),AE885,"")</f>
        <v/>
      </c>
      <c r="AH885" s="79">
        <f>IF(AG885="","",IF(AG885&lt;AsOf,1,IF(AG885&lt;=AsOf+AlertDays,2,IF(AG885&lt;=AsOf+2*AlertDays,3,""))))</f>
        <v/>
      </c>
      <c r="AI885" s="79">
        <f>IF(AH885="","","Follow up with "&amp;AA885&amp;": "&amp;AC885)</f>
        <v/>
      </c>
    </row>
    <row r="886" ht="20" customHeight="1">
      <c r="B886" s="72" t="n"/>
      <c r="C886" s="72" t="n"/>
      <c r="D886" s="72" t="n"/>
      <c r="E886" s="72" t="n"/>
      <c r="F886" s="72" t="n"/>
      <c r="G886" s="72" t="n"/>
      <c r="H886" s="72" t="n"/>
      <c r="I886" s="73" t="n"/>
      <c r="J886" s="75">
        <f>IF(B886="","",SUMIFS('Change Orders'!$J$7:$J$1006,'Change Orders'!$E$7:$E$1006,B886,'Change Orders'!$L$7:$L$1006,"Approved"))</f>
        <v/>
      </c>
      <c r="K886" s="76">
        <f>IF(B886="","",I886+J886)</f>
        <v/>
      </c>
      <c r="L886" s="74" t="n"/>
      <c r="M886" s="109" t="n"/>
      <c r="N886" s="109" t="n"/>
      <c r="O886" s="74" t="n"/>
      <c r="P886" s="74" t="n"/>
      <c r="Q886" s="100" t="n"/>
      <c r="R886" s="110" t="n"/>
      <c r="S886" s="75">
        <f>IF(B886="","",SUMIFS('Payments'!$N$6:$N$1005,'Payments'!$B$6:$B$1005,B886))</f>
        <v/>
      </c>
      <c r="T886" s="111">
        <f>IF(OR(B886="",K886=0),"",S886/K886)</f>
        <v/>
      </c>
      <c r="U886" s="78">
        <f>IF(V886="","",IF(V886=2,"⚠️ Paying ahead of work","✓ OK"))</f>
        <v/>
      </c>
      <c r="V886" s="79">
        <f>IF(T886="","",IF(T886-R886&gt;OverpayTol,2,0))</f>
        <v/>
      </c>
      <c r="W886" s="112">
        <f>IF(V886=2,AsOf,"")</f>
        <v/>
      </c>
      <c r="X886" s="79">
        <f>IF(W886="","",1)</f>
        <v/>
      </c>
      <c r="Y886" s="79">
        <f>IF(X886="","","Paying ahead of work: "&amp;B886&amp;" — paid "&amp;ROUND(T886*100,0)&amp;"%, work done "&amp;ROUND(R886*100,0)&amp;"%")</f>
        <v/>
      </c>
      <c r="AA886" s="72" t="n"/>
      <c r="AB886" s="109" t="n"/>
      <c r="AC886" s="113" t="n"/>
      <c r="AD886" s="74" t="n"/>
      <c r="AE886" s="109" t="n"/>
      <c r="AF886" s="74" t="n"/>
      <c r="AG886" s="112">
        <f>IF(AND(AA886&lt;&gt;"",AD886="Yes",AF886&lt;&gt;"Yes",AE886&lt;&gt;""),AE886,"")</f>
        <v/>
      </c>
      <c r="AH886" s="79">
        <f>IF(AG886="","",IF(AG886&lt;AsOf,1,IF(AG886&lt;=AsOf+AlertDays,2,IF(AG886&lt;=AsOf+2*AlertDays,3,""))))</f>
        <v/>
      </c>
      <c r="AI886" s="79">
        <f>IF(AH886="","","Follow up with "&amp;AA886&amp;": "&amp;AC886)</f>
        <v/>
      </c>
    </row>
    <row r="887" ht="20" customHeight="1">
      <c r="B887" s="72" t="n"/>
      <c r="C887" s="72" t="n"/>
      <c r="D887" s="72" t="n"/>
      <c r="E887" s="72" t="n"/>
      <c r="F887" s="72" t="n"/>
      <c r="G887" s="72" t="n"/>
      <c r="H887" s="72" t="n"/>
      <c r="I887" s="73" t="n"/>
      <c r="J887" s="75">
        <f>IF(B887="","",SUMIFS('Change Orders'!$J$7:$J$1006,'Change Orders'!$E$7:$E$1006,B887,'Change Orders'!$L$7:$L$1006,"Approved"))</f>
        <v/>
      </c>
      <c r="K887" s="76">
        <f>IF(B887="","",I887+J887)</f>
        <v/>
      </c>
      <c r="L887" s="74" t="n"/>
      <c r="M887" s="109" t="n"/>
      <c r="N887" s="109" t="n"/>
      <c r="O887" s="74" t="n"/>
      <c r="P887" s="74" t="n"/>
      <c r="Q887" s="100" t="n"/>
      <c r="R887" s="110" t="n"/>
      <c r="S887" s="75">
        <f>IF(B887="","",SUMIFS('Payments'!$N$6:$N$1005,'Payments'!$B$6:$B$1005,B887))</f>
        <v/>
      </c>
      <c r="T887" s="111">
        <f>IF(OR(B887="",K887=0),"",S887/K887)</f>
        <v/>
      </c>
      <c r="U887" s="78">
        <f>IF(V887="","",IF(V887=2,"⚠️ Paying ahead of work","✓ OK"))</f>
        <v/>
      </c>
      <c r="V887" s="79">
        <f>IF(T887="","",IF(T887-R887&gt;OverpayTol,2,0))</f>
        <v/>
      </c>
      <c r="W887" s="112">
        <f>IF(V887=2,AsOf,"")</f>
        <v/>
      </c>
      <c r="X887" s="79">
        <f>IF(W887="","",1)</f>
        <v/>
      </c>
      <c r="Y887" s="79">
        <f>IF(X887="","","Paying ahead of work: "&amp;B887&amp;" — paid "&amp;ROUND(T887*100,0)&amp;"%, work done "&amp;ROUND(R887*100,0)&amp;"%")</f>
        <v/>
      </c>
      <c r="AA887" s="72" t="n"/>
      <c r="AB887" s="109" t="n"/>
      <c r="AC887" s="113" t="n"/>
      <c r="AD887" s="74" t="n"/>
      <c r="AE887" s="109" t="n"/>
      <c r="AF887" s="74" t="n"/>
      <c r="AG887" s="112">
        <f>IF(AND(AA887&lt;&gt;"",AD887="Yes",AF887&lt;&gt;"Yes",AE887&lt;&gt;""),AE887,"")</f>
        <v/>
      </c>
      <c r="AH887" s="79">
        <f>IF(AG887="","",IF(AG887&lt;AsOf,1,IF(AG887&lt;=AsOf+AlertDays,2,IF(AG887&lt;=AsOf+2*AlertDays,3,""))))</f>
        <v/>
      </c>
      <c r="AI887" s="79">
        <f>IF(AH887="","","Follow up with "&amp;AA887&amp;": "&amp;AC887)</f>
        <v/>
      </c>
    </row>
    <row r="888" ht="20" customHeight="1">
      <c r="B888" s="72" t="n"/>
      <c r="C888" s="72" t="n"/>
      <c r="D888" s="72" t="n"/>
      <c r="E888" s="72" t="n"/>
      <c r="F888" s="72" t="n"/>
      <c r="G888" s="72" t="n"/>
      <c r="H888" s="72" t="n"/>
      <c r="I888" s="73" t="n"/>
      <c r="J888" s="75">
        <f>IF(B888="","",SUMIFS('Change Orders'!$J$7:$J$1006,'Change Orders'!$E$7:$E$1006,B888,'Change Orders'!$L$7:$L$1006,"Approved"))</f>
        <v/>
      </c>
      <c r="K888" s="76">
        <f>IF(B888="","",I888+J888)</f>
        <v/>
      </c>
      <c r="L888" s="74" t="n"/>
      <c r="M888" s="109" t="n"/>
      <c r="N888" s="109" t="n"/>
      <c r="O888" s="74" t="n"/>
      <c r="P888" s="74" t="n"/>
      <c r="Q888" s="100" t="n"/>
      <c r="R888" s="110" t="n"/>
      <c r="S888" s="75">
        <f>IF(B888="","",SUMIFS('Payments'!$N$6:$N$1005,'Payments'!$B$6:$B$1005,B888))</f>
        <v/>
      </c>
      <c r="T888" s="111">
        <f>IF(OR(B888="",K888=0),"",S888/K888)</f>
        <v/>
      </c>
      <c r="U888" s="78">
        <f>IF(V888="","",IF(V888=2,"⚠️ Paying ahead of work","✓ OK"))</f>
        <v/>
      </c>
      <c r="V888" s="79">
        <f>IF(T888="","",IF(T888-R888&gt;OverpayTol,2,0))</f>
        <v/>
      </c>
      <c r="W888" s="112">
        <f>IF(V888=2,AsOf,"")</f>
        <v/>
      </c>
      <c r="X888" s="79">
        <f>IF(W888="","",1)</f>
        <v/>
      </c>
      <c r="Y888" s="79">
        <f>IF(X888="","","Paying ahead of work: "&amp;B888&amp;" — paid "&amp;ROUND(T888*100,0)&amp;"%, work done "&amp;ROUND(R888*100,0)&amp;"%")</f>
        <v/>
      </c>
      <c r="AA888" s="72" t="n"/>
      <c r="AB888" s="109" t="n"/>
      <c r="AC888" s="113" t="n"/>
      <c r="AD888" s="74" t="n"/>
      <c r="AE888" s="109" t="n"/>
      <c r="AF888" s="74" t="n"/>
      <c r="AG888" s="112">
        <f>IF(AND(AA888&lt;&gt;"",AD888="Yes",AF888&lt;&gt;"Yes",AE888&lt;&gt;""),AE888,"")</f>
        <v/>
      </c>
      <c r="AH888" s="79">
        <f>IF(AG888="","",IF(AG888&lt;AsOf,1,IF(AG888&lt;=AsOf+AlertDays,2,IF(AG888&lt;=AsOf+2*AlertDays,3,""))))</f>
        <v/>
      </c>
      <c r="AI888" s="79">
        <f>IF(AH888="","","Follow up with "&amp;AA888&amp;": "&amp;AC888)</f>
        <v/>
      </c>
    </row>
    <row r="889" ht="20" customHeight="1">
      <c r="B889" s="72" t="n"/>
      <c r="C889" s="72" t="n"/>
      <c r="D889" s="72" t="n"/>
      <c r="E889" s="72" t="n"/>
      <c r="F889" s="72" t="n"/>
      <c r="G889" s="72" t="n"/>
      <c r="H889" s="72" t="n"/>
      <c r="I889" s="73" t="n"/>
      <c r="J889" s="75">
        <f>IF(B889="","",SUMIFS('Change Orders'!$J$7:$J$1006,'Change Orders'!$E$7:$E$1006,B889,'Change Orders'!$L$7:$L$1006,"Approved"))</f>
        <v/>
      </c>
      <c r="K889" s="76">
        <f>IF(B889="","",I889+J889)</f>
        <v/>
      </c>
      <c r="L889" s="74" t="n"/>
      <c r="M889" s="109" t="n"/>
      <c r="N889" s="109" t="n"/>
      <c r="O889" s="74" t="n"/>
      <c r="P889" s="74" t="n"/>
      <c r="Q889" s="100" t="n"/>
      <c r="R889" s="110" t="n"/>
      <c r="S889" s="75">
        <f>IF(B889="","",SUMIFS('Payments'!$N$6:$N$1005,'Payments'!$B$6:$B$1005,B889))</f>
        <v/>
      </c>
      <c r="T889" s="111">
        <f>IF(OR(B889="",K889=0),"",S889/K889)</f>
        <v/>
      </c>
      <c r="U889" s="78">
        <f>IF(V889="","",IF(V889=2,"⚠️ Paying ahead of work","✓ OK"))</f>
        <v/>
      </c>
      <c r="V889" s="79">
        <f>IF(T889="","",IF(T889-R889&gt;OverpayTol,2,0))</f>
        <v/>
      </c>
      <c r="W889" s="112">
        <f>IF(V889=2,AsOf,"")</f>
        <v/>
      </c>
      <c r="X889" s="79">
        <f>IF(W889="","",1)</f>
        <v/>
      </c>
      <c r="Y889" s="79">
        <f>IF(X889="","","Paying ahead of work: "&amp;B889&amp;" — paid "&amp;ROUND(T889*100,0)&amp;"%, work done "&amp;ROUND(R889*100,0)&amp;"%")</f>
        <v/>
      </c>
      <c r="AA889" s="72" t="n"/>
      <c r="AB889" s="109" t="n"/>
      <c r="AC889" s="113" t="n"/>
      <c r="AD889" s="74" t="n"/>
      <c r="AE889" s="109" t="n"/>
      <c r="AF889" s="74" t="n"/>
      <c r="AG889" s="112">
        <f>IF(AND(AA889&lt;&gt;"",AD889="Yes",AF889&lt;&gt;"Yes",AE889&lt;&gt;""),AE889,"")</f>
        <v/>
      </c>
      <c r="AH889" s="79">
        <f>IF(AG889="","",IF(AG889&lt;AsOf,1,IF(AG889&lt;=AsOf+AlertDays,2,IF(AG889&lt;=AsOf+2*AlertDays,3,""))))</f>
        <v/>
      </c>
      <c r="AI889" s="79">
        <f>IF(AH889="","","Follow up with "&amp;AA889&amp;": "&amp;AC889)</f>
        <v/>
      </c>
    </row>
    <row r="890" ht="20" customHeight="1">
      <c r="B890" s="72" t="n"/>
      <c r="C890" s="72" t="n"/>
      <c r="D890" s="72" t="n"/>
      <c r="E890" s="72" t="n"/>
      <c r="F890" s="72" t="n"/>
      <c r="G890" s="72" t="n"/>
      <c r="H890" s="72" t="n"/>
      <c r="I890" s="73" t="n"/>
      <c r="J890" s="75">
        <f>IF(B890="","",SUMIFS('Change Orders'!$J$7:$J$1006,'Change Orders'!$E$7:$E$1006,B890,'Change Orders'!$L$7:$L$1006,"Approved"))</f>
        <v/>
      </c>
      <c r="K890" s="76">
        <f>IF(B890="","",I890+J890)</f>
        <v/>
      </c>
      <c r="L890" s="74" t="n"/>
      <c r="M890" s="109" t="n"/>
      <c r="N890" s="109" t="n"/>
      <c r="O890" s="74" t="n"/>
      <c r="P890" s="74" t="n"/>
      <c r="Q890" s="100" t="n"/>
      <c r="R890" s="110" t="n"/>
      <c r="S890" s="75">
        <f>IF(B890="","",SUMIFS('Payments'!$N$6:$N$1005,'Payments'!$B$6:$B$1005,B890))</f>
        <v/>
      </c>
      <c r="T890" s="111">
        <f>IF(OR(B890="",K890=0),"",S890/K890)</f>
        <v/>
      </c>
      <c r="U890" s="78">
        <f>IF(V890="","",IF(V890=2,"⚠️ Paying ahead of work","✓ OK"))</f>
        <v/>
      </c>
      <c r="V890" s="79">
        <f>IF(T890="","",IF(T890-R890&gt;OverpayTol,2,0))</f>
        <v/>
      </c>
      <c r="W890" s="112">
        <f>IF(V890=2,AsOf,"")</f>
        <v/>
      </c>
      <c r="X890" s="79">
        <f>IF(W890="","",1)</f>
        <v/>
      </c>
      <c r="Y890" s="79">
        <f>IF(X890="","","Paying ahead of work: "&amp;B890&amp;" — paid "&amp;ROUND(T890*100,0)&amp;"%, work done "&amp;ROUND(R890*100,0)&amp;"%")</f>
        <v/>
      </c>
      <c r="AA890" s="72" t="n"/>
      <c r="AB890" s="109" t="n"/>
      <c r="AC890" s="113" t="n"/>
      <c r="AD890" s="74" t="n"/>
      <c r="AE890" s="109" t="n"/>
      <c r="AF890" s="74" t="n"/>
      <c r="AG890" s="112">
        <f>IF(AND(AA890&lt;&gt;"",AD890="Yes",AF890&lt;&gt;"Yes",AE890&lt;&gt;""),AE890,"")</f>
        <v/>
      </c>
      <c r="AH890" s="79">
        <f>IF(AG890="","",IF(AG890&lt;AsOf,1,IF(AG890&lt;=AsOf+AlertDays,2,IF(AG890&lt;=AsOf+2*AlertDays,3,""))))</f>
        <v/>
      </c>
      <c r="AI890" s="79">
        <f>IF(AH890="","","Follow up with "&amp;AA890&amp;": "&amp;AC890)</f>
        <v/>
      </c>
    </row>
    <row r="891" ht="20" customHeight="1">
      <c r="B891" s="72" t="n"/>
      <c r="C891" s="72" t="n"/>
      <c r="D891" s="72" t="n"/>
      <c r="E891" s="72" t="n"/>
      <c r="F891" s="72" t="n"/>
      <c r="G891" s="72" t="n"/>
      <c r="H891" s="72" t="n"/>
      <c r="I891" s="73" t="n"/>
      <c r="J891" s="75">
        <f>IF(B891="","",SUMIFS('Change Orders'!$J$7:$J$1006,'Change Orders'!$E$7:$E$1006,B891,'Change Orders'!$L$7:$L$1006,"Approved"))</f>
        <v/>
      </c>
      <c r="K891" s="76">
        <f>IF(B891="","",I891+J891)</f>
        <v/>
      </c>
      <c r="L891" s="74" t="n"/>
      <c r="M891" s="109" t="n"/>
      <c r="N891" s="109" t="n"/>
      <c r="O891" s="74" t="n"/>
      <c r="P891" s="74" t="n"/>
      <c r="Q891" s="100" t="n"/>
      <c r="R891" s="110" t="n"/>
      <c r="S891" s="75">
        <f>IF(B891="","",SUMIFS('Payments'!$N$6:$N$1005,'Payments'!$B$6:$B$1005,B891))</f>
        <v/>
      </c>
      <c r="T891" s="111">
        <f>IF(OR(B891="",K891=0),"",S891/K891)</f>
        <v/>
      </c>
      <c r="U891" s="78">
        <f>IF(V891="","",IF(V891=2,"⚠️ Paying ahead of work","✓ OK"))</f>
        <v/>
      </c>
      <c r="V891" s="79">
        <f>IF(T891="","",IF(T891-R891&gt;OverpayTol,2,0))</f>
        <v/>
      </c>
      <c r="W891" s="112">
        <f>IF(V891=2,AsOf,"")</f>
        <v/>
      </c>
      <c r="X891" s="79">
        <f>IF(W891="","",1)</f>
        <v/>
      </c>
      <c r="Y891" s="79">
        <f>IF(X891="","","Paying ahead of work: "&amp;B891&amp;" — paid "&amp;ROUND(T891*100,0)&amp;"%, work done "&amp;ROUND(R891*100,0)&amp;"%")</f>
        <v/>
      </c>
      <c r="AA891" s="72" t="n"/>
      <c r="AB891" s="109" t="n"/>
      <c r="AC891" s="113" t="n"/>
      <c r="AD891" s="74" t="n"/>
      <c r="AE891" s="109" t="n"/>
      <c r="AF891" s="74" t="n"/>
      <c r="AG891" s="112">
        <f>IF(AND(AA891&lt;&gt;"",AD891="Yes",AF891&lt;&gt;"Yes",AE891&lt;&gt;""),AE891,"")</f>
        <v/>
      </c>
      <c r="AH891" s="79">
        <f>IF(AG891="","",IF(AG891&lt;AsOf,1,IF(AG891&lt;=AsOf+AlertDays,2,IF(AG891&lt;=AsOf+2*AlertDays,3,""))))</f>
        <v/>
      </c>
      <c r="AI891" s="79">
        <f>IF(AH891="","","Follow up with "&amp;AA891&amp;": "&amp;AC891)</f>
        <v/>
      </c>
    </row>
    <row r="892" ht="20" customHeight="1">
      <c r="B892" s="72" t="n"/>
      <c r="C892" s="72" t="n"/>
      <c r="D892" s="72" t="n"/>
      <c r="E892" s="72" t="n"/>
      <c r="F892" s="72" t="n"/>
      <c r="G892" s="72" t="n"/>
      <c r="H892" s="72" t="n"/>
      <c r="I892" s="73" t="n"/>
      <c r="J892" s="75">
        <f>IF(B892="","",SUMIFS('Change Orders'!$J$7:$J$1006,'Change Orders'!$E$7:$E$1006,B892,'Change Orders'!$L$7:$L$1006,"Approved"))</f>
        <v/>
      </c>
      <c r="K892" s="76">
        <f>IF(B892="","",I892+J892)</f>
        <v/>
      </c>
      <c r="L892" s="74" t="n"/>
      <c r="M892" s="109" t="n"/>
      <c r="N892" s="109" t="n"/>
      <c r="O892" s="74" t="n"/>
      <c r="P892" s="74" t="n"/>
      <c r="Q892" s="100" t="n"/>
      <c r="R892" s="110" t="n"/>
      <c r="S892" s="75">
        <f>IF(B892="","",SUMIFS('Payments'!$N$6:$N$1005,'Payments'!$B$6:$B$1005,B892))</f>
        <v/>
      </c>
      <c r="T892" s="111">
        <f>IF(OR(B892="",K892=0),"",S892/K892)</f>
        <v/>
      </c>
      <c r="U892" s="78">
        <f>IF(V892="","",IF(V892=2,"⚠️ Paying ahead of work","✓ OK"))</f>
        <v/>
      </c>
      <c r="V892" s="79">
        <f>IF(T892="","",IF(T892-R892&gt;OverpayTol,2,0))</f>
        <v/>
      </c>
      <c r="W892" s="112">
        <f>IF(V892=2,AsOf,"")</f>
        <v/>
      </c>
      <c r="X892" s="79">
        <f>IF(W892="","",1)</f>
        <v/>
      </c>
      <c r="Y892" s="79">
        <f>IF(X892="","","Paying ahead of work: "&amp;B892&amp;" — paid "&amp;ROUND(T892*100,0)&amp;"%, work done "&amp;ROUND(R892*100,0)&amp;"%")</f>
        <v/>
      </c>
      <c r="AA892" s="72" t="n"/>
      <c r="AB892" s="109" t="n"/>
      <c r="AC892" s="113" t="n"/>
      <c r="AD892" s="74" t="n"/>
      <c r="AE892" s="109" t="n"/>
      <c r="AF892" s="74" t="n"/>
      <c r="AG892" s="112">
        <f>IF(AND(AA892&lt;&gt;"",AD892="Yes",AF892&lt;&gt;"Yes",AE892&lt;&gt;""),AE892,"")</f>
        <v/>
      </c>
      <c r="AH892" s="79">
        <f>IF(AG892="","",IF(AG892&lt;AsOf,1,IF(AG892&lt;=AsOf+AlertDays,2,IF(AG892&lt;=AsOf+2*AlertDays,3,""))))</f>
        <v/>
      </c>
      <c r="AI892" s="79">
        <f>IF(AH892="","","Follow up with "&amp;AA892&amp;": "&amp;AC892)</f>
        <v/>
      </c>
    </row>
    <row r="893" ht="20" customHeight="1">
      <c r="B893" s="72" t="n"/>
      <c r="C893" s="72" t="n"/>
      <c r="D893" s="72" t="n"/>
      <c r="E893" s="72" t="n"/>
      <c r="F893" s="72" t="n"/>
      <c r="G893" s="72" t="n"/>
      <c r="H893" s="72" t="n"/>
      <c r="I893" s="73" t="n"/>
      <c r="J893" s="75">
        <f>IF(B893="","",SUMIFS('Change Orders'!$J$7:$J$1006,'Change Orders'!$E$7:$E$1006,B893,'Change Orders'!$L$7:$L$1006,"Approved"))</f>
        <v/>
      </c>
      <c r="K893" s="76">
        <f>IF(B893="","",I893+J893)</f>
        <v/>
      </c>
      <c r="L893" s="74" t="n"/>
      <c r="M893" s="109" t="n"/>
      <c r="N893" s="109" t="n"/>
      <c r="O893" s="74" t="n"/>
      <c r="P893" s="74" t="n"/>
      <c r="Q893" s="100" t="n"/>
      <c r="R893" s="110" t="n"/>
      <c r="S893" s="75">
        <f>IF(B893="","",SUMIFS('Payments'!$N$6:$N$1005,'Payments'!$B$6:$B$1005,B893))</f>
        <v/>
      </c>
      <c r="T893" s="111">
        <f>IF(OR(B893="",K893=0),"",S893/K893)</f>
        <v/>
      </c>
      <c r="U893" s="78">
        <f>IF(V893="","",IF(V893=2,"⚠️ Paying ahead of work","✓ OK"))</f>
        <v/>
      </c>
      <c r="V893" s="79">
        <f>IF(T893="","",IF(T893-R893&gt;OverpayTol,2,0))</f>
        <v/>
      </c>
      <c r="W893" s="112">
        <f>IF(V893=2,AsOf,"")</f>
        <v/>
      </c>
      <c r="X893" s="79">
        <f>IF(W893="","",1)</f>
        <v/>
      </c>
      <c r="Y893" s="79">
        <f>IF(X893="","","Paying ahead of work: "&amp;B893&amp;" — paid "&amp;ROUND(T893*100,0)&amp;"%, work done "&amp;ROUND(R893*100,0)&amp;"%")</f>
        <v/>
      </c>
      <c r="AA893" s="72" t="n"/>
      <c r="AB893" s="109" t="n"/>
      <c r="AC893" s="113" t="n"/>
      <c r="AD893" s="74" t="n"/>
      <c r="AE893" s="109" t="n"/>
      <c r="AF893" s="74" t="n"/>
      <c r="AG893" s="112">
        <f>IF(AND(AA893&lt;&gt;"",AD893="Yes",AF893&lt;&gt;"Yes",AE893&lt;&gt;""),AE893,"")</f>
        <v/>
      </c>
      <c r="AH893" s="79">
        <f>IF(AG893="","",IF(AG893&lt;AsOf,1,IF(AG893&lt;=AsOf+AlertDays,2,IF(AG893&lt;=AsOf+2*AlertDays,3,""))))</f>
        <v/>
      </c>
      <c r="AI893" s="79">
        <f>IF(AH893="","","Follow up with "&amp;AA893&amp;": "&amp;AC893)</f>
        <v/>
      </c>
    </row>
    <row r="894" ht="20" customHeight="1">
      <c r="B894" s="72" t="n"/>
      <c r="C894" s="72" t="n"/>
      <c r="D894" s="72" t="n"/>
      <c r="E894" s="72" t="n"/>
      <c r="F894" s="72" t="n"/>
      <c r="G894" s="72" t="n"/>
      <c r="H894" s="72" t="n"/>
      <c r="I894" s="73" t="n"/>
      <c r="J894" s="75">
        <f>IF(B894="","",SUMIFS('Change Orders'!$J$7:$J$1006,'Change Orders'!$E$7:$E$1006,B894,'Change Orders'!$L$7:$L$1006,"Approved"))</f>
        <v/>
      </c>
      <c r="K894" s="76">
        <f>IF(B894="","",I894+J894)</f>
        <v/>
      </c>
      <c r="L894" s="74" t="n"/>
      <c r="M894" s="109" t="n"/>
      <c r="N894" s="109" t="n"/>
      <c r="O894" s="74" t="n"/>
      <c r="P894" s="74" t="n"/>
      <c r="Q894" s="100" t="n"/>
      <c r="R894" s="110" t="n"/>
      <c r="S894" s="75">
        <f>IF(B894="","",SUMIFS('Payments'!$N$6:$N$1005,'Payments'!$B$6:$B$1005,B894))</f>
        <v/>
      </c>
      <c r="T894" s="111">
        <f>IF(OR(B894="",K894=0),"",S894/K894)</f>
        <v/>
      </c>
      <c r="U894" s="78">
        <f>IF(V894="","",IF(V894=2,"⚠️ Paying ahead of work","✓ OK"))</f>
        <v/>
      </c>
      <c r="V894" s="79">
        <f>IF(T894="","",IF(T894-R894&gt;OverpayTol,2,0))</f>
        <v/>
      </c>
      <c r="W894" s="112">
        <f>IF(V894=2,AsOf,"")</f>
        <v/>
      </c>
      <c r="X894" s="79">
        <f>IF(W894="","",1)</f>
        <v/>
      </c>
      <c r="Y894" s="79">
        <f>IF(X894="","","Paying ahead of work: "&amp;B894&amp;" — paid "&amp;ROUND(T894*100,0)&amp;"%, work done "&amp;ROUND(R894*100,0)&amp;"%")</f>
        <v/>
      </c>
      <c r="AA894" s="72" t="n"/>
      <c r="AB894" s="109" t="n"/>
      <c r="AC894" s="113" t="n"/>
      <c r="AD894" s="74" t="n"/>
      <c r="AE894" s="109" t="n"/>
      <c r="AF894" s="74" t="n"/>
      <c r="AG894" s="112">
        <f>IF(AND(AA894&lt;&gt;"",AD894="Yes",AF894&lt;&gt;"Yes",AE894&lt;&gt;""),AE894,"")</f>
        <v/>
      </c>
      <c r="AH894" s="79">
        <f>IF(AG894="","",IF(AG894&lt;AsOf,1,IF(AG894&lt;=AsOf+AlertDays,2,IF(AG894&lt;=AsOf+2*AlertDays,3,""))))</f>
        <v/>
      </c>
      <c r="AI894" s="79">
        <f>IF(AH894="","","Follow up with "&amp;AA894&amp;": "&amp;AC894)</f>
        <v/>
      </c>
    </row>
    <row r="895" ht="20" customHeight="1">
      <c r="B895" s="72" t="n"/>
      <c r="C895" s="72" t="n"/>
      <c r="D895" s="72" t="n"/>
      <c r="E895" s="72" t="n"/>
      <c r="F895" s="72" t="n"/>
      <c r="G895" s="72" t="n"/>
      <c r="H895" s="72" t="n"/>
      <c r="I895" s="73" t="n"/>
      <c r="J895" s="75">
        <f>IF(B895="","",SUMIFS('Change Orders'!$J$7:$J$1006,'Change Orders'!$E$7:$E$1006,B895,'Change Orders'!$L$7:$L$1006,"Approved"))</f>
        <v/>
      </c>
      <c r="K895" s="76">
        <f>IF(B895="","",I895+J895)</f>
        <v/>
      </c>
      <c r="L895" s="74" t="n"/>
      <c r="M895" s="109" t="n"/>
      <c r="N895" s="109" t="n"/>
      <c r="O895" s="74" t="n"/>
      <c r="P895" s="74" t="n"/>
      <c r="Q895" s="100" t="n"/>
      <c r="R895" s="110" t="n"/>
      <c r="S895" s="75">
        <f>IF(B895="","",SUMIFS('Payments'!$N$6:$N$1005,'Payments'!$B$6:$B$1005,B895))</f>
        <v/>
      </c>
      <c r="T895" s="111">
        <f>IF(OR(B895="",K895=0),"",S895/K895)</f>
        <v/>
      </c>
      <c r="U895" s="78">
        <f>IF(V895="","",IF(V895=2,"⚠️ Paying ahead of work","✓ OK"))</f>
        <v/>
      </c>
      <c r="V895" s="79">
        <f>IF(T895="","",IF(T895-R895&gt;OverpayTol,2,0))</f>
        <v/>
      </c>
      <c r="W895" s="112">
        <f>IF(V895=2,AsOf,"")</f>
        <v/>
      </c>
      <c r="X895" s="79">
        <f>IF(W895="","",1)</f>
        <v/>
      </c>
      <c r="Y895" s="79">
        <f>IF(X895="","","Paying ahead of work: "&amp;B895&amp;" — paid "&amp;ROUND(T895*100,0)&amp;"%, work done "&amp;ROUND(R895*100,0)&amp;"%")</f>
        <v/>
      </c>
      <c r="AA895" s="72" t="n"/>
      <c r="AB895" s="109" t="n"/>
      <c r="AC895" s="113" t="n"/>
      <c r="AD895" s="74" t="n"/>
      <c r="AE895" s="109" t="n"/>
      <c r="AF895" s="74" t="n"/>
      <c r="AG895" s="112">
        <f>IF(AND(AA895&lt;&gt;"",AD895="Yes",AF895&lt;&gt;"Yes",AE895&lt;&gt;""),AE895,"")</f>
        <v/>
      </c>
      <c r="AH895" s="79">
        <f>IF(AG895="","",IF(AG895&lt;AsOf,1,IF(AG895&lt;=AsOf+AlertDays,2,IF(AG895&lt;=AsOf+2*AlertDays,3,""))))</f>
        <v/>
      </c>
      <c r="AI895" s="79">
        <f>IF(AH895="","","Follow up with "&amp;AA895&amp;": "&amp;AC895)</f>
        <v/>
      </c>
    </row>
    <row r="896" ht="20" customHeight="1">
      <c r="B896" s="72" t="n"/>
      <c r="C896" s="72" t="n"/>
      <c r="D896" s="72" t="n"/>
      <c r="E896" s="72" t="n"/>
      <c r="F896" s="72" t="n"/>
      <c r="G896" s="72" t="n"/>
      <c r="H896" s="72" t="n"/>
      <c r="I896" s="73" t="n"/>
      <c r="J896" s="75">
        <f>IF(B896="","",SUMIFS('Change Orders'!$J$7:$J$1006,'Change Orders'!$E$7:$E$1006,B896,'Change Orders'!$L$7:$L$1006,"Approved"))</f>
        <v/>
      </c>
      <c r="K896" s="76">
        <f>IF(B896="","",I896+J896)</f>
        <v/>
      </c>
      <c r="L896" s="74" t="n"/>
      <c r="M896" s="109" t="n"/>
      <c r="N896" s="109" t="n"/>
      <c r="O896" s="74" t="n"/>
      <c r="P896" s="74" t="n"/>
      <c r="Q896" s="100" t="n"/>
      <c r="R896" s="110" t="n"/>
      <c r="S896" s="75">
        <f>IF(B896="","",SUMIFS('Payments'!$N$6:$N$1005,'Payments'!$B$6:$B$1005,B896))</f>
        <v/>
      </c>
      <c r="T896" s="111">
        <f>IF(OR(B896="",K896=0),"",S896/K896)</f>
        <v/>
      </c>
      <c r="U896" s="78">
        <f>IF(V896="","",IF(V896=2,"⚠️ Paying ahead of work","✓ OK"))</f>
        <v/>
      </c>
      <c r="V896" s="79">
        <f>IF(T896="","",IF(T896-R896&gt;OverpayTol,2,0))</f>
        <v/>
      </c>
      <c r="W896" s="112">
        <f>IF(V896=2,AsOf,"")</f>
        <v/>
      </c>
      <c r="X896" s="79">
        <f>IF(W896="","",1)</f>
        <v/>
      </c>
      <c r="Y896" s="79">
        <f>IF(X896="","","Paying ahead of work: "&amp;B896&amp;" — paid "&amp;ROUND(T896*100,0)&amp;"%, work done "&amp;ROUND(R896*100,0)&amp;"%")</f>
        <v/>
      </c>
      <c r="AA896" s="72" t="n"/>
      <c r="AB896" s="109" t="n"/>
      <c r="AC896" s="113" t="n"/>
      <c r="AD896" s="74" t="n"/>
      <c r="AE896" s="109" t="n"/>
      <c r="AF896" s="74" t="n"/>
      <c r="AG896" s="112">
        <f>IF(AND(AA896&lt;&gt;"",AD896="Yes",AF896&lt;&gt;"Yes",AE896&lt;&gt;""),AE896,"")</f>
        <v/>
      </c>
      <c r="AH896" s="79">
        <f>IF(AG896="","",IF(AG896&lt;AsOf,1,IF(AG896&lt;=AsOf+AlertDays,2,IF(AG896&lt;=AsOf+2*AlertDays,3,""))))</f>
        <v/>
      </c>
      <c r="AI896" s="79">
        <f>IF(AH896="","","Follow up with "&amp;AA896&amp;": "&amp;AC896)</f>
        <v/>
      </c>
    </row>
    <row r="897" ht="20" customHeight="1">
      <c r="B897" s="72" t="n"/>
      <c r="C897" s="72" t="n"/>
      <c r="D897" s="72" t="n"/>
      <c r="E897" s="72" t="n"/>
      <c r="F897" s="72" t="n"/>
      <c r="G897" s="72" t="n"/>
      <c r="H897" s="72" t="n"/>
      <c r="I897" s="73" t="n"/>
      <c r="J897" s="75">
        <f>IF(B897="","",SUMIFS('Change Orders'!$J$7:$J$1006,'Change Orders'!$E$7:$E$1006,B897,'Change Orders'!$L$7:$L$1006,"Approved"))</f>
        <v/>
      </c>
      <c r="K897" s="76">
        <f>IF(B897="","",I897+J897)</f>
        <v/>
      </c>
      <c r="L897" s="74" t="n"/>
      <c r="M897" s="109" t="n"/>
      <c r="N897" s="109" t="n"/>
      <c r="O897" s="74" t="n"/>
      <c r="P897" s="74" t="n"/>
      <c r="Q897" s="100" t="n"/>
      <c r="R897" s="110" t="n"/>
      <c r="S897" s="75">
        <f>IF(B897="","",SUMIFS('Payments'!$N$6:$N$1005,'Payments'!$B$6:$B$1005,B897))</f>
        <v/>
      </c>
      <c r="T897" s="111">
        <f>IF(OR(B897="",K897=0),"",S897/K897)</f>
        <v/>
      </c>
      <c r="U897" s="78">
        <f>IF(V897="","",IF(V897=2,"⚠️ Paying ahead of work","✓ OK"))</f>
        <v/>
      </c>
      <c r="V897" s="79">
        <f>IF(T897="","",IF(T897-R897&gt;OverpayTol,2,0))</f>
        <v/>
      </c>
      <c r="W897" s="112">
        <f>IF(V897=2,AsOf,"")</f>
        <v/>
      </c>
      <c r="X897" s="79">
        <f>IF(W897="","",1)</f>
        <v/>
      </c>
      <c r="Y897" s="79">
        <f>IF(X897="","","Paying ahead of work: "&amp;B897&amp;" — paid "&amp;ROUND(T897*100,0)&amp;"%, work done "&amp;ROUND(R897*100,0)&amp;"%")</f>
        <v/>
      </c>
      <c r="AA897" s="72" t="n"/>
      <c r="AB897" s="109" t="n"/>
      <c r="AC897" s="113" t="n"/>
      <c r="AD897" s="74" t="n"/>
      <c r="AE897" s="109" t="n"/>
      <c r="AF897" s="74" t="n"/>
      <c r="AG897" s="112">
        <f>IF(AND(AA897&lt;&gt;"",AD897="Yes",AF897&lt;&gt;"Yes",AE897&lt;&gt;""),AE897,"")</f>
        <v/>
      </c>
      <c r="AH897" s="79">
        <f>IF(AG897="","",IF(AG897&lt;AsOf,1,IF(AG897&lt;=AsOf+AlertDays,2,IF(AG897&lt;=AsOf+2*AlertDays,3,""))))</f>
        <v/>
      </c>
      <c r="AI897" s="79">
        <f>IF(AH897="","","Follow up with "&amp;AA897&amp;": "&amp;AC897)</f>
        <v/>
      </c>
    </row>
    <row r="898" ht="20" customHeight="1">
      <c r="B898" s="72" t="n"/>
      <c r="C898" s="72" t="n"/>
      <c r="D898" s="72" t="n"/>
      <c r="E898" s="72" t="n"/>
      <c r="F898" s="72" t="n"/>
      <c r="G898" s="72" t="n"/>
      <c r="H898" s="72" t="n"/>
      <c r="I898" s="73" t="n"/>
      <c r="J898" s="75">
        <f>IF(B898="","",SUMIFS('Change Orders'!$J$7:$J$1006,'Change Orders'!$E$7:$E$1006,B898,'Change Orders'!$L$7:$L$1006,"Approved"))</f>
        <v/>
      </c>
      <c r="K898" s="76">
        <f>IF(B898="","",I898+J898)</f>
        <v/>
      </c>
      <c r="L898" s="74" t="n"/>
      <c r="M898" s="109" t="n"/>
      <c r="N898" s="109" t="n"/>
      <c r="O898" s="74" t="n"/>
      <c r="P898" s="74" t="n"/>
      <c r="Q898" s="100" t="n"/>
      <c r="R898" s="110" t="n"/>
      <c r="S898" s="75">
        <f>IF(B898="","",SUMIFS('Payments'!$N$6:$N$1005,'Payments'!$B$6:$B$1005,B898))</f>
        <v/>
      </c>
      <c r="T898" s="111">
        <f>IF(OR(B898="",K898=0),"",S898/K898)</f>
        <v/>
      </c>
      <c r="U898" s="78">
        <f>IF(V898="","",IF(V898=2,"⚠️ Paying ahead of work","✓ OK"))</f>
        <v/>
      </c>
      <c r="V898" s="79">
        <f>IF(T898="","",IF(T898-R898&gt;OverpayTol,2,0))</f>
        <v/>
      </c>
      <c r="W898" s="112">
        <f>IF(V898=2,AsOf,"")</f>
        <v/>
      </c>
      <c r="X898" s="79">
        <f>IF(W898="","",1)</f>
        <v/>
      </c>
      <c r="Y898" s="79">
        <f>IF(X898="","","Paying ahead of work: "&amp;B898&amp;" — paid "&amp;ROUND(T898*100,0)&amp;"%, work done "&amp;ROUND(R898*100,0)&amp;"%")</f>
        <v/>
      </c>
      <c r="AA898" s="72" t="n"/>
      <c r="AB898" s="109" t="n"/>
      <c r="AC898" s="113" t="n"/>
      <c r="AD898" s="74" t="n"/>
      <c r="AE898" s="109" t="n"/>
      <c r="AF898" s="74" t="n"/>
      <c r="AG898" s="112">
        <f>IF(AND(AA898&lt;&gt;"",AD898="Yes",AF898&lt;&gt;"Yes",AE898&lt;&gt;""),AE898,"")</f>
        <v/>
      </c>
      <c r="AH898" s="79">
        <f>IF(AG898="","",IF(AG898&lt;AsOf,1,IF(AG898&lt;=AsOf+AlertDays,2,IF(AG898&lt;=AsOf+2*AlertDays,3,""))))</f>
        <v/>
      </c>
      <c r="AI898" s="79">
        <f>IF(AH898="","","Follow up with "&amp;AA898&amp;": "&amp;AC898)</f>
        <v/>
      </c>
    </row>
    <row r="899" ht="20" customHeight="1">
      <c r="B899" s="72" t="n"/>
      <c r="C899" s="72" t="n"/>
      <c r="D899" s="72" t="n"/>
      <c r="E899" s="72" t="n"/>
      <c r="F899" s="72" t="n"/>
      <c r="G899" s="72" t="n"/>
      <c r="H899" s="72" t="n"/>
      <c r="I899" s="73" t="n"/>
      <c r="J899" s="75">
        <f>IF(B899="","",SUMIFS('Change Orders'!$J$7:$J$1006,'Change Orders'!$E$7:$E$1006,B899,'Change Orders'!$L$7:$L$1006,"Approved"))</f>
        <v/>
      </c>
      <c r="K899" s="76">
        <f>IF(B899="","",I899+J899)</f>
        <v/>
      </c>
      <c r="L899" s="74" t="n"/>
      <c r="M899" s="109" t="n"/>
      <c r="N899" s="109" t="n"/>
      <c r="O899" s="74" t="n"/>
      <c r="P899" s="74" t="n"/>
      <c r="Q899" s="100" t="n"/>
      <c r="R899" s="110" t="n"/>
      <c r="S899" s="75">
        <f>IF(B899="","",SUMIFS('Payments'!$N$6:$N$1005,'Payments'!$B$6:$B$1005,B899))</f>
        <v/>
      </c>
      <c r="T899" s="111">
        <f>IF(OR(B899="",K899=0),"",S899/K899)</f>
        <v/>
      </c>
      <c r="U899" s="78">
        <f>IF(V899="","",IF(V899=2,"⚠️ Paying ahead of work","✓ OK"))</f>
        <v/>
      </c>
      <c r="V899" s="79">
        <f>IF(T899="","",IF(T899-R899&gt;OverpayTol,2,0))</f>
        <v/>
      </c>
      <c r="W899" s="112">
        <f>IF(V899=2,AsOf,"")</f>
        <v/>
      </c>
      <c r="X899" s="79">
        <f>IF(W899="","",1)</f>
        <v/>
      </c>
      <c r="Y899" s="79">
        <f>IF(X899="","","Paying ahead of work: "&amp;B899&amp;" — paid "&amp;ROUND(T899*100,0)&amp;"%, work done "&amp;ROUND(R899*100,0)&amp;"%")</f>
        <v/>
      </c>
      <c r="AA899" s="72" t="n"/>
      <c r="AB899" s="109" t="n"/>
      <c r="AC899" s="113" t="n"/>
      <c r="AD899" s="74" t="n"/>
      <c r="AE899" s="109" t="n"/>
      <c r="AF899" s="74" t="n"/>
      <c r="AG899" s="112">
        <f>IF(AND(AA899&lt;&gt;"",AD899="Yes",AF899&lt;&gt;"Yes",AE899&lt;&gt;""),AE899,"")</f>
        <v/>
      </c>
      <c r="AH899" s="79">
        <f>IF(AG899="","",IF(AG899&lt;AsOf,1,IF(AG899&lt;=AsOf+AlertDays,2,IF(AG899&lt;=AsOf+2*AlertDays,3,""))))</f>
        <v/>
      </c>
      <c r="AI899" s="79">
        <f>IF(AH899="","","Follow up with "&amp;AA899&amp;": "&amp;AC899)</f>
        <v/>
      </c>
    </row>
    <row r="900" ht="20" customHeight="1">
      <c r="B900" s="72" t="n"/>
      <c r="C900" s="72" t="n"/>
      <c r="D900" s="72" t="n"/>
      <c r="E900" s="72" t="n"/>
      <c r="F900" s="72" t="n"/>
      <c r="G900" s="72" t="n"/>
      <c r="H900" s="72" t="n"/>
      <c r="I900" s="73" t="n"/>
      <c r="J900" s="75">
        <f>IF(B900="","",SUMIFS('Change Orders'!$J$7:$J$1006,'Change Orders'!$E$7:$E$1006,B900,'Change Orders'!$L$7:$L$1006,"Approved"))</f>
        <v/>
      </c>
      <c r="K900" s="76">
        <f>IF(B900="","",I900+J900)</f>
        <v/>
      </c>
      <c r="L900" s="74" t="n"/>
      <c r="M900" s="109" t="n"/>
      <c r="N900" s="109" t="n"/>
      <c r="O900" s="74" t="n"/>
      <c r="P900" s="74" t="n"/>
      <c r="Q900" s="100" t="n"/>
      <c r="R900" s="110" t="n"/>
      <c r="S900" s="75">
        <f>IF(B900="","",SUMIFS('Payments'!$N$6:$N$1005,'Payments'!$B$6:$B$1005,B900))</f>
        <v/>
      </c>
      <c r="T900" s="111">
        <f>IF(OR(B900="",K900=0),"",S900/K900)</f>
        <v/>
      </c>
      <c r="U900" s="78">
        <f>IF(V900="","",IF(V900=2,"⚠️ Paying ahead of work","✓ OK"))</f>
        <v/>
      </c>
      <c r="V900" s="79">
        <f>IF(T900="","",IF(T900-R900&gt;OverpayTol,2,0))</f>
        <v/>
      </c>
      <c r="W900" s="112">
        <f>IF(V900=2,AsOf,"")</f>
        <v/>
      </c>
      <c r="X900" s="79">
        <f>IF(W900="","",1)</f>
        <v/>
      </c>
      <c r="Y900" s="79">
        <f>IF(X900="","","Paying ahead of work: "&amp;B900&amp;" — paid "&amp;ROUND(T900*100,0)&amp;"%, work done "&amp;ROUND(R900*100,0)&amp;"%")</f>
        <v/>
      </c>
      <c r="AA900" s="72" t="n"/>
      <c r="AB900" s="109" t="n"/>
      <c r="AC900" s="113" t="n"/>
      <c r="AD900" s="74" t="n"/>
      <c r="AE900" s="109" t="n"/>
      <c r="AF900" s="74" t="n"/>
      <c r="AG900" s="112">
        <f>IF(AND(AA900&lt;&gt;"",AD900="Yes",AF900&lt;&gt;"Yes",AE900&lt;&gt;""),AE900,"")</f>
        <v/>
      </c>
      <c r="AH900" s="79">
        <f>IF(AG900="","",IF(AG900&lt;AsOf,1,IF(AG900&lt;=AsOf+AlertDays,2,IF(AG900&lt;=AsOf+2*AlertDays,3,""))))</f>
        <v/>
      </c>
      <c r="AI900" s="79">
        <f>IF(AH900="","","Follow up with "&amp;AA900&amp;": "&amp;AC900)</f>
        <v/>
      </c>
    </row>
    <row r="901" ht="20" customHeight="1">
      <c r="B901" s="72" t="n"/>
      <c r="C901" s="72" t="n"/>
      <c r="D901" s="72" t="n"/>
      <c r="E901" s="72" t="n"/>
      <c r="F901" s="72" t="n"/>
      <c r="G901" s="72" t="n"/>
      <c r="H901" s="72" t="n"/>
      <c r="I901" s="73" t="n"/>
      <c r="J901" s="75">
        <f>IF(B901="","",SUMIFS('Change Orders'!$J$7:$J$1006,'Change Orders'!$E$7:$E$1006,B901,'Change Orders'!$L$7:$L$1006,"Approved"))</f>
        <v/>
      </c>
      <c r="K901" s="76">
        <f>IF(B901="","",I901+J901)</f>
        <v/>
      </c>
      <c r="L901" s="74" t="n"/>
      <c r="M901" s="109" t="n"/>
      <c r="N901" s="109" t="n"/>
      <c r="O901" s="74" t="n"/>
      <c r="P901" s="74" t="n"/>
      <c r="Q901" s="100" t="n"/>
      <c r="R901" s="110" t="n"/>
      <c r="S901" s="75">
        <f>IF(B901="","",SUMIFS('Payments'!$N$6:$N$1005,'Payments'!$B$6:$B$1005,B901))</f>
        <v/>
      </c>
      <c r="T901" s="111">
        <f>IF(OR(B901="",K901=0),"",S901/K901)</f>
        <v/>
      </c>
      <c r="U901" s="78">
        <f>IF(V901="","",IF(V901=2,"⚠️ Paying ahead of work","✓ OK"))</f>
        <v/>
      </c>
      <c r="V901" s="79">
        <f>IF(T901="","",IF(T901-R901&gt;OverpayTol,2,0))</f>
        <v/>
      </c>
      <c r="W901" s="112">
        <f>IF(V901=2,AsOf,"")</f>
        <v/>
      </c>
      <c r="X901" s="79">
        <f>IF(W901="","",1)</f>
        <v/>
      </c>
      <c r="Y901" s="79">
        <f>IF(X901="","","Paying ahead of work: "&amp;B901&amp;" — paid "&amp;ROUND(T901*100,0)&amp;"%, work done "&amp;ROUND(R901*100,0)&amp;"%")</f>
        <v/>
      </c>
      <c r="AA901" s="72" t="n"/>
      <c r="AB901" s="109" t="n"/>
      <c r="AC901" s="113" t="n"/>
      <c r="AD901" s="74" t="n"/>
      <c r="AE901" s="109" t="n"/>
      <c r="AF901" s="74" t="n"/>
      <c r="AG901" s="112">
        <f>IF(AND(AA901&lt;&gt;"",AD901="Yes",AF901&lt;&gt;"Yes",AE901&lt;&gt;""),AE901,"")</f>
        <v/>
      </c>
      <c r="AH901" s="79">
        <f>IF(AG901="","",IF(AG901&lt;AsOf,1,IF(AG901&lt;=AsOf+AlertDays,2,IF(AG901&lt;=AsOf+2*AlertDays,3,""))))</f>
        <v/>
      </c>
      <c r="AI901" s="79">
        <f>IF(AH901="","","Follow up with "&amp;AA901&amp;": "&amp;AC901)</f>
        <v/>
      </c>
    </row>
    <row r="902" ht="20" customHeight="1">
      <c r="B902" s="72" t="n"/>
      <c r="C902" s="72" t="n"/>
      <c r="D902" s="72" t="n"/>
      <c r="E902" s="72" t="n"/>
      <c r="F902" s="72" t="n"/>
      <c r="G902" s="72" t="n"/>
      <c r="H902" s="72" t="n"/>
      <c r="I902" s="73" t="n"/>
      <c r="J902" s="75">
        <f>IF(B902="","",SUMIFS('Change Orders'!$J$7:$J$1006,'Change Orders'!$E$7:$E$1006,B902,'Change Orders'!$L$7:$L$1006,"Approved"))</f>
        <v/>
      </c>
      <c r="K902" s="76">
        <f>IF(B902="","",I902+J902)</f>
        <v/>
      </c>
      <c r="L902" s="74" t="n"/>
      <c r="M902" s="109" t="n"/>
      <c r="N902" s="109" t="n"/>
      <c r="O902" s="74" t="n"/>
      <c r="P902" s="74" t="n"/>
      <c r="Q902" s="100" t="n"/>
      <c r="R902" s="110" t="n"/>
      <c r="S902" s="75">
        <f>IF(B902="","",SUMIFS('Payments'!$N$6:$N$1005,'Payments'!$B$6:$B$1005,B902))</f>
        <v/>
      </c>
      <c r="T902" s="111">
        <f>IF(OR(B902="",K902=0),"",S902/K902)</f>
        <v/>
      </c>
      <c r="U902" s="78">
        <f>IF(V902="","",IF(V902=2,"⚠️ Paying ahead of work","✓ OK"))</f>
        <v/>
      </c>
      <c r="V902" s="79">
        <f>IF(T902="","",IF(T902-R902&gt;OverpayTol,2,0))</f>
        <v/>
      </c>
      <c r="W902" s="112">
        <f>IF(V902=2,AsOf,"")</f>
        <v/>
      </c>
      <c r="X902" s="79">
        <f>IF(W902="","",1)</f>
        <v/>
      </c>
      <c r="Y902" s="79">
        <f>IF(X902="","","Paying ahead of work: "&amp;B902&amp;" — paid "&amp;ROUND(T902*100,0)&amp;"%, work done "&amp;ROUND(R902*100,0)&amp;"%")</f>
        <v/>
      </c>
      <c r="AA902" s="72" t="n"/>
      <c r="AB902" s="109" t="n"/>
      <c r="AC902" s="113" t="n"/>
      <c r="AD902" s="74" t="n"/>
      <c r="AE902" s="109" t="n"/>
      <c r="AF902" s="74" t="n"/>
      <c r="AG902" s="112">
        <f>IF(AND(AA902&lt;&gt;"",AD902="Yes",AF902&lt;&gt;"Yes",AE902&lt;&gt;""),AE902,"")</f>
        <v/>
      </c>
      <c r="AH902" s="79">
        <f>IF(AG902="","",IF(AG902&lt;AsOf,1,IF(AG902&lt;=AsOf+AlertDays,2,IF(AG902&lt;=AsOf+2*AlertDays,3,""))))</f>
        <v/>
      </c>
      <c r="AI902" s="79">
        <f>IF(AH902="","","Follow up with "&amp;AA902&amp;": "&amp;AC902)</f>
        <v/>
      </c>
    </row>
    <row r="903" ht="20" customHeight="1">
      <c r="B903" s="72" t="n"/>
      <c r="C903" s="72" t="n"/>
      <c r="D903" s="72" t="n"/>
      <c r="E903" s="72" t="n"/>
      <c r="F903" s="72" t="n"/>
      <c r="G903" s="72" t="n"/>
      <c r="H903" s="72" t="n"/>
      <c r="I903" s="73" t="n"/>
      <c r="J903" s="75">
        <f>IF(B903="","",SUMIFS('Change Orders'!$J$7:$J$1006,'Change Orders'!$E$7:$E$1006,B903,'Change Orders'!$L$7:$L$1006,"Approved"))</f>
        <v/>
      </c>
      <c r="K903" s="76">
        <f>IF(B903="","",I903+J903)</f>
        <v/>
      </c>
      <c r="L903" s="74" t="n"/>
      <c r="M903" s="109" t="n"/>
      <c r="N903" s="109" t="n"/>
      <c r="O903" s="74" t="n"/>
      <c r="P903" s="74" t="n"/>
      <c r="Q903" s="100" t="n"/>
      <c r="R903" s="110" t="n"/>
      <c r="S903" s="75">
        <f>IF(B903="","",SUMIFS('Payments'!$N$6:$N$1005,'Payments'!$B$6:$B$1005,B903))</f>
        <v/>
      </c>
      <c r="T903" s="111">
        <f>IF(OR(B903="",K903=0),"",S903/K903)</f>
        <v/>
      </c>
      <c r="U903" s="78">
        <f>IF(V903="","",IF(V903=2,"⚠️ Paying ahead of work","✓ OK"))</f>
        <v/>
      </c>
      <c r="V903" s="79">
        <f>IF(T903="","",IF(T903-R903&gt;OverpayTol,2,0))</f>
        <v/>
      </c>
      <c r="W903" s="112">
        <f>IF(V903=2,AsOf,"")</f>
        <v/>
      </c>
      <c r="X903" s="79">
        <f>IF(W903="","",1)</f>
        <v/>
      </c>
      <c r="Y903" s="79">
        <f>IF(X903="","","Paying ahead of work: "&amp;B903&amp;" — paid "&amp;ROUND(T903*100,0)&amp;"%, work done "&amp;ROUND(R903*100,0)&amp;"%")</f>
        <v/>
      </c>
      <c r="AA903" s="72" t="n"/>
      <c r="AB903" s="109" t="n"/>
      <c r="AC903" s="113" t="n"/>
      <c r="AD903" s="74" t="n"/>
      <c r="AE903" s="109" t="n"/>
      <c r="AF903" s="74" t="n"/>
      <c r="AG903" s="112">
        <f>IF(AND(AA903&lt;&gt;"",AD903="Yes",AF903&lt;&gt;"Yes",AE903&lt;&gt;""),AE903,"")</f>
        <v/>
      </c>
      <c r="AH903" s="79">
        <f>IF(AG903="","",IF(AG903&lt;AsOf,1,IF(AG903&lt;=AsOf+AlertDays,2,IF(AG903&lt;=AsOf+2*AlertDays,3,""))))</f>
        <v/>
      </c>
      <c r="AI903" s="79">
        <f>IF(AH903="","","Follow up with "&amp;AA903&amp;": "&amp;AC903)</f>
        <v/>
      </c>
    </row>
    <row r="904" ht="20" customHeight="1">
      <c r="B904" s="72" t="n"/>
      <c r="C904" s="72" t="n"/>
      <c r="D904" s="72" t="n"/>
      <c r="E904" s="72" t="n"/>
      <c r="F904" s="72" t="n"/>
      <c r="G904" s="72" t="n"/>
      <c r="H904" s="72" t="n"/>
      <c r="I904" s="73" t="n"/>
      <c r="J904" s="75">
        <f>IF(B904="","",SUMIFS('Change Orders'!$J$7:$J$1006,'Change Orders'!$E$7:$E$1006,B904,'Change Orders'!$L$7:$L$1006,"Approved"))</f>
        <v/>
      </c>
      <c r="K904" s="76">
        <f>IF(B904="","",I904+J904)</f>
        <v/>
      </c>
      <c r="L904" s="74" t="n"/>
      <c r="M904" s="109" t="n"/>
      <c r="N904" s="109" t="n"/>
      <c r="O904" s="74" t="n"/>
      <c r="P904" s="74" t="n"/>
      <c r="Q904" s="100" t="n"/>
      <c r="R904" s="110" t="n"/>
      <c r="S904" s="75">
        <f>IF(B904="","",SUMIFS('Payments'!$N$6:$N$1005,'Payments'!$B$6:$B$1005,B904))</f>
        <v/>
      </c>
      <c r="T904" s="111">
        <f>IF(OR(B904="",K904=0),"",S904/K904)</f>
        <v/>
      </c>
      <c r="U904" s="78">
        <f>IF(V904="","",IF(V904=2,"⚠️ Paying ahead of work","✓ OK"))</f>
        <v/>
      </c>
      <c r="V904" s="79">
        <f>IF(T904="","",IF(T904-R904&gt;OverpayTol,2,0))</f>
        <v/>
      </c>
      <c r="W904" s="112">
        <f>IF(V904=2,AsOf,"")</f>
        <v/>
      </c>
      <c r="X904" s="79">
        <f>IF(W904="","",1)</f>
        <v/>
      </c>
      <c r="Y904" s="79">
        <f>IF(X904="","","Paying ahead of work: "&amp;B904&amp;" — paid "&amp;ROUND(T904*100,0)&amp;"%, work done "&amp;ROUND(R904*100,0)&amp;"%")</f>
        <v/>
      </c>
      <c r="AA904" s="72" t="n"/>
      <c r="AB904" s="109" t="n"/>
      <c r="AC904" s="113" t="n"/>
      <c r="AD904" s="74" t="n"/>
      <c r="AE904" s="109" t="n"/>
      <c r="AF904" s="74" t="n"/>
      <c r="AG904" s="112">
        <f>IF(AND(AA904&lt;&gt;"",AD904="Yes",AF904&lt;&gt;"Yes",AE904&lt;&gt;""),AE904,"")</f>
        <v/>
      </c>
      <c r="AH904" s="79">
        <f>IF(AG904="","",IF(AG904&lt;AsOf,1,IF(AG904&lt;=AsOf+AlertDays,2,IF(AG904&lt;=AsOf+2*AlertDays,3,""))))</f>
        <v/>
      </c>
      <c r="AI904" s="79">
        <f>IF(AH904="","","Follow up with "&amp;AA904&amp;": "&amp;AC904)</f>
        <v/>
      </c>
    </row>
    <row r="905" ht="20" customHeight="1">
      <c r="B905" s="72" t="n"/>
      <c r="C905" s="72" t="n"/>
      <c r="D905" s="72" t="n"/>
      <c r="E905" s="72" t="n"/>
      <c r="F905" s="72" t="n"/>
      <c r="G905" s="72" t="n"/>
      <c r="H905" s="72" t="n"/>
      <c r="I905" s="73" t="n"/>
      <c r="J905" s="75">
        <f>IF(B905="","",SUMIFS('Change Orders'!$J$7:$J$1006,'Change Orders'!$E$7:$E$1006,B905,'Change Orders'!$L$7:$L$1006,"Approved"))</f>
        <v/>
      </c>
      <c r="K905" s="76">
        <f>IF(B905="","",I905+J905)</f>
        <v/>
      </c>
      <c r="L905" s="74" t="n"/>
      <c r="M905" s="109" t="n"/>
      <c r="N905" s="109" t="n"/>
      <c r="O905" s="74" t="n"/>
      <c r="P905" s="74" t="n"/>
      <c r="Q905" s="100" t="n"/>
      <c r="R905" s="110" t="n"/>
      <c r="S905" s="75">
        <f>IF(B905="","",SUMIFS('Payments'!$N$6:$N$1005,'Payments'!$B$6:$B$1005,B905))</f>
        <v/>
      </c>
      <c r="T905" s="111">
        <f>IF(OR(B905="",K905=0),"",S905/K905)</f>
        <v/>
      </c>
      <c r="U905" s="78">
        <f>IF(V905="","",IF(V905=2,"⚠️ Paying ahead of work","✓ OK"))</f>
        <v/>
      </c>
      <c r="V905" s="79">
        <f>IF(T905="","",IF(T905-R905&gt;OverpayTol,2,0))</f>
        <v/>
      </c>
      <c r="W905" s="112">
        <f>IF(V905=2,AsOf,"")</f>
        <v/>
      </c>
      <c r="X905" s="79">
        <f>IF(W905="","",1)</f>
        <v/>
      </c>
      <c r="Y905" s="79">
        <f>IF(X905="","","Paying ahead of work: "&amp;B905&amp;" — paid "&amp;ROUND(T905*100,0)&amp;"%, work done "&amp;ROUND(R905*100,0)&amp;"%")</f>
        <v/>
      </c>
      <c r="AA905" s="72" t="n"/>
      <c r="AB905" s="109" t="n"/>
      <c r="AC905" s="113" t="n"/>
      <c r="AD905" s="74" t="n"/>
      <c r="AE905" s="109" t="n"/>
      <c r="AF905" s="74" t="n"/>
      <c r="AG905" s="112">
        <f>IF(AND(AA905&lt;&gt;"",AD905="Yes",AF905&lt;&gt;"Yes",AE905&lt;&gt;""),AE905,"")</f>
        <v/>
      </c>
      <c r="AH905" s="79">
        <f>IF(AG905="","",IF(AG905&lt;AsOf,1,IF(AG905&lt;=AsOf+AlertDays,2,IF(AG905&lt;=AsOf+2*AlertDays,3,""))))</f>
        <v/>
      </c>
      <c r="AI905" s="79">
        <f>IF(AH905="","","Follow up with "&amp;AA905&amp;": "&amp;AC905)</f>
        <v/>
      </c>
    </row>
    <row r="906" ht="20" customHeight="1">
      <c r="B906" s="72" t="n"/>
      <c r="C906" s="72" t="n"/>
      <c r="D906" s="72" t="n"/>
      <c r="E906" s="72" t="n"/>
      <c r="F906" s="72" t="n"/>
      <c r="G906" s="72" t="n"/>
      <c r="H906" s="72" t="n"/>
      <c r="I906" s="73" t="n"/>
      <c r="J906" s="75">
        <f>IF(B906="","",SUMIFS('Change Orders'!$J$7:$J$1006,'Change Orders'!$E$7:$E$1006,B906,'Change Orders'!$L$7:$L$1006,"Approved"))</f>
        <v/>
      </c>
      <c r="K906" s="76">
        <f>IF(B906="","",I906+J906)</f>
        <v/>
      </c>
      <c r="L906" s="74" t="n"/>
      <c r="M906" s="109" t="n"/>
      <c r="N906" s="109" t="n"/>
      <c r="O906" s="74" t="n"/>
      <c r="P906" s="74" t="n"/>
      <c r="Q906" s="100" t="n"/>
      <c r="R906" s="110" t="n"/>
      <c r="S906" s="75">
        <f>IF(B906="","",SUMIFS('Payments'!$N$6:$N$1005,'Payments'!$B$6:$B$1005,B906))</f>
        <v/>
      </c>
      <c r="T906" s="111">
        <f>IF(OR(B906="",K906=0),"",S906/K906)</f>
        <v/>
      </c>
      <c r="U906" s="78">
        <f>IF(V906="","",IF(V906=2,"⚠️ Paying ahead of work","✓ OK"))</f>
        <v/>
      </c>
      <c r="V906" s="79">
        <f>IF(T906="","",IF(T906-R906&gt;OverpayTol,2,0))</f>
        <v/>
      </c>
      <c r="W906" s="112">
        <f>IF(V906=2,AsOf,"")</f>
        <v/>
      </c>
      <c r="X906" s="79">
        <f>IF(W906="","",1)</f>
        <v/>
      </c>
      <c r="Y906" s="79">
        <f>IF(X906="","","Paying ahead of work: "&amp;B906&amp;" — paid "&amp;ROUND(T906*100,0)&amp;"%, work done "&amp;ROUND(R906*100,0)&amp;"%")</f>
        <v/>
      </c>
      <c r="AA906" s="72" t="n"/>
      <c r="AB906" s="109" t="n"/>
      <c r="AC906" s="113" t="n"/>
      <c r="AD906" s="74" t="n"/>
      <c r="AE906" s="109" t="n"/>
      <c r="AF906" s="74" t="n"/>
      <c r="AG906" s="112">
        <f>IF(AND(AA906&lt;&gt;"",AD906="Yes",AF906&lt;&gt;"Yes",AE906&lt;&gt;""),AE906,"")</f>
        <v/>
      </c>
      <c r="AH906" s="79">
        <f>IF(AG906="","",IF(AG906&lt;AsOf,1,IF(AG906&lt;=AsOf+AlertDays,2,IF(AG906&lt;=AsOf+2*AlertDays,3,""))))</f>
        <v/>
      </c>
      <c r="AI906" s="79">
        <f>IF(AH906="","","Follow up with "&amp;AA906&amp;": "&amp;AC906)</f>
        <v/>
      </c>
    </row>
    <row r="907" ht="20" customHeight="1">
      <c r="B907" s="72" t="n"/>
      <c r="C907" s="72" t="n"/>
      <c r="D907" s="72" t="n"/>
      <c r="E907" s="72" t="n"/>
      <c r="F907" s="72" t="n"/>
      <c r="G907" s="72" t="n"/>
      <c r="H907" s="72" t="n"/>
      <c r="I907" s="73" t="n"/>
      <c r="J907" s="75">
        <f>IF(B907="","",SUMIFS('Change Orders'!$J$7:$J$1006,'Change Orders'!$E$7:$E$1006,B907,'Change Orders'!$L$7:$L$1006,"Approved"))</f>
        <v/>
      </c>
      <c r="K907" s="76">
        <f>IF(B907="","",I907+J907)</f>
        <v/>
      </c>
      <c r="L907" s="74" t="n"/>
      <c r="M907" s="109" t="n"/>
      <c r="N907" s="109" t="n"/>
      <c r="O907" s="74" t="n"/>
      <c r="P907" s="74" t="n"/>
      <c r="Q907" s="100" t="n"/>
      <c r="R907" s="110" t="n"/>
      <c r="S907" s="75">
        <f>IF(B907="","",SUMIFS('Payments'!$N$6:$N$1005,'Payments'!$B$6:$B$1005,B907))</f>
        <v/>
      </c>
      <c r="T907" s="111">
        <f>IF(OR(B907="",K907=0),"",S907/K907)</f>
        <v/>
      </c>
      <c r="U907" s="78">
        <f>IF(V907="","",IF(V907=2,"⚠️ Paying ahead of work","✓ OK"))</f>
        <v/>
      </c>
      <c r="V907" s="79">
        <f>IF(T907="","",IF(T907-R907&gt;OverpayTol,2,0))</f>
        <v/>
      </c>
      <c r="W907" s="112">
        <f>IF(V907=2,AsOf,"")</f>
        <v/>
      </c>
      <c r="X907" s="79">
        <f>IF(W907="","",1)</f>
        <v/>
      </c>
      <c r="Y907" s="79">
        <f>IF(X907="","","Paying ahead of work: "&amp;B907&amp;" — paid "&amp;ROUND(T907*100,0)&amp;"%, work done "&amp;ROUND(R907*100,0)&amp;"%")</f>
        <v/>
      </c>
      <c r="AA907" s="72" t="n"/>
      <c r="AB907" s="109" t="n"/>
      <c r="AC907" s="113" t="n"/>
      <c r="AD907" s="74" t="n"/>
      <c r="AE907" s="109" t="n"/>
      <c r="AF907" s="74" t="n"/>
      <c r="AG907" s="112">
        <f>IF(AND(AA907&lt;&gt;"",AD907="Yes",AF907&lt;&gt;"Yes",AE907&lt;&gt;""),AE907,"")</f>
        <v/>
      </c>
      <c r="AH907" s="79">
        <f>IF(AG907="","",IF(AG907&lt;AsOf,1,IF(AG907&lt;=AsOf+AlertDays,2,IF(AG907&lt;=AsOf+2*AlertDays,3,""))))</f>
        <v/>
      </c>
      <c r="AI907" s="79">
        <f>IF(AH907="","","Follow up with "&amp;AA907&amp;": "&amp;AC907)</f>
        <v/>
      </c>
    </row>
    <row r="908" ht="20" customHeight="1">
      <c r="B908" s="72" t="n"/>
      <c r="C908" s="72" t="n"/>
      <c r="D908" s="72" t="n"/>
      <c r="E908" s="72" t="n"/>
      <c r="F908" s="72" t="n"/>
      <c r="G908" s="72" t="n"/>
      <c r="H908" s="72" t="n"/>
      <c r="I908" s="73" t="n"/>
      <c r="J908" s="75">
        <f>IF(B908="","",SUMIFS('Change Orders'!$J$7:$J$1006,'Change Orders'!$E$7:$E$1006,B908,'Change Orders'!$L$7:$L$1006,"Approved"))</f>
        <v/>
      </c>
      <c r="K908" s="76">
        <f>IF(B908="","",I908+J908)</f>
        <v/>
      </c>
      <c r="L908" s="74" t="n"/>
      <c r="M908" s="109" t="n"/>
      <c r="N908" s="109" t="n"/>
      <c r="O908" s="74" t="n"/>
      <c r="P908" s="74" t="n"/>
      <c r="Q908" s="100" t="n"/>
      <c r="R908" s="110" t="n"/>
      <c r="S908" s="75">
        <f>IF(B908="","",SUMIFS('Payments'!$N$6:$N$1005,'Payments'!$B$6:$B$1005,B908))</f>
        <v/>
      </c>
      <c r="T908" s="111">
        <f>IF(OR(B908="",K908=0),"",S908/K908)</f>
        <v/>
      </c>
      <c r="U908" s="78">
        <f>IF(V908="","",IF(V908=2,"⚠️ Paying ahead of work","✓ OK"))</f>
        <v/>
      </c>
      <c r="V908" s="79">
        <f>IF(T908="","",IF(T908-R908&gt;OverpayTol,2,0))</f>
        <v/>
      </c>
      <c r="W908" s="112">
        <f>IF(V908=2,AsOf,"")</f>
        <v/>
      </c>
      <c r="X908" s="79">
        <f>IF(W908="","",1)</f>
        <v/>
      </c>
      <c r="Y908" s="79">
        <f>IF(X908="","","Paying ahead of work: "&amp;B908&amp;" — paid "&amp;ROUND(T908*100,0)&amp;"%, work done "&amp;ROUND(R908*100,0)&amp;"%")</f>
        <v/>
      </c>
      <c r="AA908" s="72" t="n"/>
      <c r="AB908" s="109" t="n"/>
      <c r="AC908" s="113" t="n"/>
      <c r="AD908" s="74" t="n"/>
      <c r="AE908" s="109" t="n"/>
      <c r="AF908" s="74" t="n"/>
      <c r="AG908" s="112">
        <f>IF(AND(AA908&lt;&gt;"",AD908="Yes",AF908&lt;&gt;"Yes",AE908&lt;&gt;""),AE908,"")</f>
        <v/>
      </c>
      <c r="AH908" s="79">
        <f>IF(AG908="","",IF(AG908&lt;AsOf,1,IF(AG908&lt;=AsOf+AlertDays,2,IF(AG908&lt;=AsOf+2*AlertDays,3,""))))</f>
        <v/>
      </c>
      <c r="AI908" s="79">
        <f>IF(AH908="","","Follow up with "&amp;AA908&amp;": "&amp;AC908)</f>
        <v/>
      </c>
    </row>
    <row r="909" ht="20" customHeight="1">
      <c r="B909" s="72" t="n"/>
      <c r="C909" s="72" t="n"/>
      <c r="D909" s="72" t="n"/>
      <c r="E909" s="72" t="n"/>
      <c r="F909" s="72" t="n"/>
      <c r="G909" s="72" t="n"/>
      <c r="H909" s="72" t="n"/>
      <c r="I909" s="73" t="n"/>
      <c r="J909" s="75">
        <f>IF(B909="","",SUMIFS('Change Orders'!$J$7:$J$1006,'Change Orders'!$E$7:$E$1006,B909,'Change Orders'!$L$7:$L$1006,"Approved"))</f>
        <v/>
      </c>
      <c r="K909" s="76">
        <f>IF(B909="","",I909+J909)</f>
        <v/>
      </c>
      <c r="L909" s="74" t="n"/>
      <c r="M909" s="109" t="n"/>
      <c r="N909" s="109" t="n"/>
      <c r="O909" s="74" t="n"/>
      <c r="P909" s="74" t="n"/>
      <c r="Q909" s="100" t="n"/>
      <c r="R909" s="110" t="n"/>
      <c r="S909" s="75">
        <f>IF(B909="","",SUMIFS('Payments'!$N$6:$N$1005,'Payments'!$B$6:$B$1005,B909))</f>
        <v/>
      </c>
      <c r="T909" s="111">
        <f>IF(OR(B909="",K909=0),"",S909/K909)</f>
        <v/>
      </c>
      <c r="U909" s="78">
        <f>IF(V909="","",IF(V909=2,"⚠️ Paying ahead of work","✓ OK"))</f>
        <v/>
      </c>
      <c r="V909" s="79">
        <f>IF(T909="","",IF(T909-R909&gt;OverpayTol,2,0))</f>
        <v/>
      </c>
      <c r="W909" s="112">
        <f>IF(V909=2,AsOf,"")</f>
        <v/>
      </c>
      <c r="X909" s="79">
        <f>IF(W909="","",1)</f>
        <v/>
      </c>
      <c r="Y909" s="79">
        <f>IF(X909="","","Paying ahead of work: "&amp;B909&amp;" — paid "&amp;ROUND(T909*100,0)&amp;"%, work done "&amp;ROUND(R909*100,0)&amp;"%")</f>
        <v/>
      </c>
      <c r="AA909" s="72" t="n"/>
      <c r="AB909" s="109" t="n"/>
      <c r="AC909" s="113" t="n"/>
      <c r="AD909" s="74" t="n"/>
      <c r="AE909" s="109" t="n"/>
      <c r="AF909" s="74" t="n"/>
      <c r="AG909" s="112">
        <f>IF(AND(AA909&lt;&gt;"",AD909="Yes",AF909&lt;&gt;"Yes",AE909&lt;&gt;""),AE909,"")</f>
        <v/>
      </c>
      <c r="AH909" s="79">
        <f>IF(AG909="","",IF(AG909&lt;AsOf,1,IF(AG909&lt;=AsOf+AlertDays,2,IF(AG909&lt;=AsOf+2*AlertDays,3,""))))</f>
        <v/>
      </c>
      <c r="AI909" s="79">
        <f>IF(AH909="","","Follow up with "&amp;AA909&amp;": "&amp;AC909)</f>
        <v/>
      </c>
    </row>
    <row r="910" ht="20" customHeight="1">
      <c r="B910" s="72" t="n"/>
      <c r="C910" s="72" t="n"/>
      <c r="D910" s="72" t="n"/>
      <c r="E910" s="72" t="n"/>
      <c r="F910" s="72" t="n"/>
      <c r="G910" s="72" t="n"/>
      <c r="H910" s="72" t="n"/>
      <c r="I910" s="73" t="n"/>
      <c r="J910" s="75">
        <f>IF(B910="","",SUMIFS('Change Orders'!$J$7:$J$1006,'Change Orders'!$E$7:$E$1006,B910,'Change Orders'!$L$7:$L$1006,"Approved"))</f>
        <v/>
      </c>
      <c r="K910" s="76">
        <f>IF(B910="","",I910+J910)</f>
        <v/>
      </c>
      <c r="L910" s="74" t="n"/>
      <c r="M910" s="109" t="n"/>
      <c r="N910" s="109" t="n"/>
      <c r="O910" s="74" t="n"/>
      <c r="P910" s="74" t="n"/>
      <c r="Q910" s="100" t="n"/>
      <c r="R910" s="110" t="n"/>
      <c r="S910" s="75">
        <f>IF(B910="","",SUMIFS('Payments'!$N$6:$N$1005,'Payments'!$B$6:$B$1005,B910))</f>
        <v/>
      </c>
      <c r="T910" s="111">
        <f>IF(OR(B910="",K910=0),"",S910/K910)</f>
        <v/>
      </c>
      <c r="U910" s="78">
        <f>IF(V910="","",IF(V910=2,"⚠️ Paying ahead of work","✓ OK"))</f>
        <v/>
      </c>
      <c r="V910" s="79">
        <f>IF(T910="","",IF(T910-R910&gt;OverpayTol,2,0))</f>
        <v/>
      </c>
      <c r="W910" s="112">
        <f>IF(V910=2,AsOf,"")</f>
        <v/>
      </c>
      <c r="X910" s="79">
        <f>IF(W910="","",1)</f>
        <v/>
      </c>
      <c r="Y910" s="79">
        <f>IF(X910="","","Paying ahead of work: "&amp;B910&amp;" — paid "&amp;ROUND(T910*100,0)&amp;"%, work done "&amp;ROUND(R910*100,0)&amp;"%")</f>
        <v/>
      </c>
      <c r="AA910" s="72" t="n"/>
      <c r="AB910" s="109" t="n"/>
      <c r="AC910" s="113" t="n"/>
      <c r="AD910" s="74" t="n"/>
      <c r="AE910" s="109" t="n"/>
      <c r="AF910" s="74" t="n"/>
      <c r="AG910" s="112">
        <f>IF(AND(AA910&lt;&gt;"",AD910="Yes",AF910&lt;&gt;"Yes",AE910&lt;&gt;""),AE910,"")</f>
        <v/>
      </c>
      <c r="AH910" s="79">
        <f>IF(AG910="","",IF(AG910&lt;AsOf,1,IF(AG910&lt;=AsOf+AlertDays,2,IF(AG910&lt;=AsOf+2*AlertDays,3,""))))</f>
        <v/>
      </c>
      <c r="AI910" s="79">
        <f>IF(AH910="","","Follow up with "&amp;AA910&amp;": "&amp;AC910)</f>
        <v/>
      </c>
    </row>
    <row r="911" ht="20" customHeight="1">
      <c r="B911" s="72" t="n"/>
      <c r="C911" s="72" t="n"/>
      <c r="D911" s="72" t="n"/>
      <c r="E911" s="72" t="n"/>
      <c r="F911" s="72" t="n"/>
      <c r="G911" s="72" t="n"/>
      <c r="H911" s="72" t="n"/>
      <c r="I911" s="73" t="n"/>
      <c r="J911" s="75">
        <f>IF(B911="","",SUMIFS('Change Orders'!$J$7:$J$1006,'Change Orders'!$E$7:$E$1006,B911,'Change Orders'!$L$7:$L$1006,"Approved"))</f>
        <v/>
      </c>
      <c r="K911" s="76">
        <f>IF(B911="","",I911+J911)</f>
        <v/>
      </c>
      <c r="L911" s="74" t="n"/>
      <c r="M911" s="109" t="n"/>
      <c r="N911" s="109" t="n"/>
      <c r="O911" s="74" t="n"/>
      <c r="P911" s="74" t="n"/>
      <c r="Q911" s="100" t="n"/>
      <c r="R911" s="110" t="n"/>
      <c r="S911" s="75">
        <f>IF(B911="","",SUMIFS('Payments'!$N$6:$N$1005,'Payments'!$B$6:$B$1005,B911))</f>
        <v/>
      </c>
      <c r="T911" s="111">
        <f>IF(OR(B911="",K911=0),"",S911/K911)</f>
        <v/>
      </c>
      <c r="U911" s="78">
        <f>IF(V911="","",IF(V911=2,"⚠️ Paying ahead of work","✓ OK"))</f>
        <v/>
      </c>
      <c r="V911" s="79">
        <f>IF(T911="","",IF(T911-R911&gt;OverpayTol,2,0))</f>
        <v/>
      </c>
      <c r="W911" s="112">
        <f>IF(V911=2,AsOf,"")</f>
        <v/>
      </c>
      <c r="X911" s="79">
        <f>IF(W911="","",1)</f>
        <v/>
      </c>
      <c r="Y911" s="79">
        <f>IF(X911="","","Paying ahead of work: "&amp;B911&amp;" — paid "&amp;ROUND(T911*100,0)&amp;"%, work done "&amp;ROUND(R911*100,0)&amp;"%")</f>
        <v/>
      </c>
      <c r="AA911" s="72" t="n"/>
      <c r="AB911" s="109" t="n"/>
      <c r="AC911" s="113" t="n"/>
      <c r="AD911" s="74" t="n"/>
      <c r="AE911" s="109" t="n"/>
      <c r="AF911" s="74" t="n"/>
      <c r="AG911" s="112">
        <f>IF(AND(AA911&lt;&gt;"",AD911="Yes",AF911&lt;&gt;"Yes",AE911&lt;&gt;""),AE911,"")</f>
        <v/>
      </c>
      <c r="AH911" s="79">
        <f>IF(AG911="","",IF(AG911&lt;AsOf,1,IF(AG911&lt;=AsOf+AlertDays,2,IF(AG911&lt;=AsOf+2*AlertDays,3,""))))</f>
        <v/>
      </c>
      <c r="AI911" s="79">
        <f>IF(AH911="","","Follow up with "&amp;AA911&amp;": "&amp;AC911)</f>
        <v/>
      </c>
    </row>
    <row r="912" ht="20" customHeight="1">
      <c r="B912" s="72" t="n"/>
      <c r="C912" s="72" t="n"/>
      <c r="D912" s="72" t="n"/>
      <c r="E912" s="72" t="n"/>
      <c r="F912" s="72" t="n"/>
      <c r="G912" s="72" t="n"/>
      <c r="H912" s="72" t="n"/>
      <c r="I912" s="73" t="n"/>
      <c r="J912" s="75">
        <f>IF(B912="","",SUMIFS('Change Orders'!$J$7:$J$1006,'Change Orders'!$E$7:$E$1006,B912,'Change Orders'!$L$7:$L$1006,"Approved"))</f>
        <v/>
      </c>
      <c r="K912" s="76">
        <f>IF(B912="","",I912+J912)</f>
        <v/>
      </c>
      <c r="L912" s="74" t="n"/>
      <c r="M912" s="109" t="n"/>
      <c r="N912" s="109" t="n"/>
      <c r="O912" s="74" t="n"/>
      <c r="P912" s="74" t="n"/>
      <c r="Q912" s="100" t="n"/>
      <c r="R912" s="110" t="n"/>
      <c r="S912" s="75">
        <f>IF(B912="","",SUMIFS('Payments'!$N$6:$N$1005,'Payments'!$B$6:$B$1005,B912))</f>
        <v/>
      </c>
      <c r="T912" s="111">
        <f>IF(OR(B912="",K912=0),"",S912/K912)</f>
        <v/>
      </c>
      <c r="U912" s="78">
        <f>IF(V912="","",IF(V912=2,"⚠️ Paying ahead of work","✓ OK"))</f>
        <v/>
      </c>
      <c r="V912" s="79">
        <f>IF(T912="","",IF(T912-R912&gt;OverpayTol,2,0))</f>
        <v/>
      </c>
      <c r="W912" s="112">
        <f>IF(V912=2,AsOf,"")</f>
        <v/>
      </c>
      <c r="X912" s="79">
        <f>IF(W912="","",1)</f>
        <v/>
      </c>
      <c r="Y912" s="79">
        <f>IF(X912="","","Paying ahead of work: "&amp;B912&amp;" — paid "&amp;ROUND(T912*100,0)&amp;"%, work done "&amp;ROUND(R912*100,0)&amp;"%")</f>
        <v/>
      </c>
      <c r="AA912" s="72" t="n"/>
      <c r="AB912" s="109" t="n"/>
      <c r="AC912" s="113" t="n"/>
      <c r="AD912" s="74" t="n"/>
      <c r="AE912" s="109" t="n"/>
      <c r="AF912" s="74" t="n"/>
      <c r="AG912" s="112">
        <f>IF(AND(AA912&lt;&gt;"",AD912="Yes",AF912&lt;&gt;"Yes",AE912&lt;&gt;""),AE912,"")</f>
        <v/>
      </c>
      <c r="AH912" s="79">
        <f>IF(AG912="","",IF(AG912&lt;AsOf,1,IF(AG912&lt;=AsOf+AlertDays,2,IF(AG912&lt;=AsOf+2*AlertDays,3,""))))</f>
        <v/>
      </c>
      <c r="AI912" s="79">
        <f>IF(AH912="","","Follow up with "&amp;AA912&amp;": "&amp;AC912)</f>
        <v/>
      </c>
    </row>
    <row r="913" ht="20" customHeight="1">
      <c r="B913" s="72" t="n"/>
      <c r="C913" s="72" t="n"/>
      <c r="D913" s="72" t="n"/>
      <c r="E913" s="72" t="n"/>
      <c r="F913" s="72" t="n"/>
      <c r="G913" s="72" t="n"/>
      <c r="H913" s="72" t="n"/>
      <c r="I913" s="73" t="n"/>
      <c r="J913" s="75">
        <f>IF(B913="","",SUMIFS('Change Orders'!$J$7:$J$1006,'Change Orders'!$E$7:$E$1006,B913,'Change Orders'!$L$7:$L$1006,"Approved"))</f>
        <v/>
      </c>
      <c r="K913" s="76">
        <f>IF(B913="","",I913+J913)</f>
        <v/>
      </c>
      <c r="L913" s="74" t="n"/>
      <c r="M913" s="109" t="n"/>
      <c r="N913" s="109" t="n"/>
      <c r="O913" s="74" t="n"/>
      <c r="P913" s="74" t="n"/>
      <c r="Q913" s="100" t="n"/>
      <c r="R913" s="110" t="n"/>
      <c r="S913" s="75">
        <f>IF(B913="","",SUMIFS('Payments'!$N$6:$N$1005,'Payments'!$B$6:$B$1005,B913))</f>
        <v/>
      </c>
      <c r="T913" s="111">
        <f>IF(OR(B913="",K913=0),"",S913/K913)</f>
        <v/>
      </c>
      <c r="U913" s="78">
        <f>IF(V913="","",IF(V913=2,"⚠️ Paying ahead of work","✓ OK"))</f>
        <v/>
      </c>
      <c r="V913" s="79">
        <f>IF(T913="","",IF(T913-R913&gt;OverpayTol,2,0))</f>
        <v/>
      </c>
      <c r="W913" s="112">
        <f>IF(V913=2,AsOf,"")</f>
        <v/>
      </c>
      <c r="X913" s="79">
        <f>IF(W913="","",1)</f>
        <v/>
      </c>
      <c r="Y913" s="79">
        <f>IF(X913="","","Paying ahead of work: "&amp;B913&amp;" — paid "&amp;ROUND(T913*100,0)&amp;"%, work done "&amp;ROUND(R913*100,0)&amp;"%")</f>
        <v/>
      </c>
      <c r="AA913" s="72" t="n"/>
      <c r="AB913" s="109" t="n"/>
      <c r="AC913" s="113" t="n"/>
      <c r="AD913" s="74" t="n"/>
      <c r="AE913" s="109" t="n"/>
      <c r="AF913" s="74" t="n"/>
      <c r="AG913" s="112">
        <f>IF(AND(AA913&lt;&gt;"",AD913="Yes",AF913&lt;&gt;"Yes",AE913&lt;&gt;""),AE913,"")</f>
        <v/>
      </c>
      <c r="AH913" s="79">
        <f>IF(AG913="","",IF(AG913&lt;AsOf,1,IF(AG913&lt;=AsOf+AlertDays,2,IF(AG913&lt;=AsOf+2*AlertDays,3,""))))</f>
        <v/>
      </c>
      <c r="AI913" s="79">
        <f>IF(AH913="","","Follow up with "&amp;AA913&amp;": "&amp;AC913)</f>
        <v/>
      </c>
    </row>
    <row r="914" ht="20" customHeight="1">
      <c r="B914" s="72" t="n"/>
      <c r="C914" s="72" t="n"/>
      <c r="D914" s="72" t="n"/>
      <c r="E914" s="72" t="n"/>
      <c r="F914" s="72" t="n"/>
      <c r="G914" s="72" t="n"/>
      <c r="H914" s="72" t="n"/>
      <c r="I914" s="73" t="n"/>
      <c r="J914" s="75">
        <f>IF(B914="","",SUMIFS('Change Orders'!$J$7:$J$1006,'Change Orders'!$E$7:$E$1006,B914,'Change Orders'!$L$7:$L$1006,"Approved"))</f>
        <v/>
      </c>
      <c r="K914" s="76">
        <f>IF(B914="","",I914+J914)</f>
        <v/>
      </c>
      <c r="L914" s="74" t="n"/>
      <c r="M914" s="109" t="n"/>
      <c r="N914" s="109" t="n"/>
      <c r="O914" s="74" t="n"/>
      <c r="P914" s="74" t="n"/>
      <c r="Q914" s="100" t="n"/>
      <c r="R914" s="110" t="n"/>
      <c r="S914" s="75">
        <f>IF(B914="","",SUMIFS('Payments'!$N$6:$N$1005,'Payments'!$B$6:$B$1005,B914))</f>
        <v/>
      </c>
      <c r="T914" s="111">
        <f>IF(OR(B914="",K914=0),"",S914/K914)</f>
        <v/>
      </c>
      <c r="U914" s="78">
        <f>IF(V914="","",IF(V914=2,"⚠️ Paying ahead of work","✓ OK"))</f>
        <v/>
      </c>
      <c r="V914" s="79">
        <f>IF(T914="","",IF(T914-R914&gt;OverpayTol,2,0))</f>
        <v/>
      </c>
      <c r="W914" s="112">
        <f>IF(V914=2,AsOf,"")</f>
        <v/>
      </c>
      <c r="X914" s="79">
        <f>IF(W914="","",1)</f>
        <v/>
      </c>
      <c r="Y914" s="79">
        <f>IF(X914="","","Paying ahead of work: "&amp;B914&amp;" — paid "&amp;ROUND(T914*100,0)&amp;"%, work done "&amp;ROUND(R914*100,0)&amp;"%")</f>
        <v/>
      </c>
      <c r="AA914" s="72" t="n"/>
      <c r="AB914" s="109" t="n"/>
      <c r="AC914" s="113" t="n"/>
      <c r="AD914" s="74" t="n"/>
      <c r="AE914" s="109" t="n"/>
      <c r="AF914" s="74" t="n"/>
      <c r="AG914" s="112">
        <f>IF(AND(AA914&lt;&gt;"",AD914="Yes",AF914&lt;&gt;"Yes",AE914&lt;&gt;""),AE914,"")</f>
        <v/>
      </c>
      <c r="AH914" s="79">
        <f>IF(AG914="","",IF(AG914&lt;AsOf,1,IF(AG914&lt;=AsOf+AlertDays,2,IF(AG914&lt;=AsOf+2*AlertDays,3,""))))</f>
        <v/>
      </c>
      <c r="AI914" s="79">
        <f>IF(AH914="","","Follow up with "&amp;AA914&amp;": "&amp;AC914)</f>
        <v/>
      </c>
    </row>
    <row r="915" ht="20" customHeight="1">
      <c r="B915" s="72" t="n"/>
      <c r="C915" s="72" t="n"/>
      <c r="D915" s="72" t="n"/>
      <c r="E915" s="72" t="n"/>
      <c r="F915" s="72" t="n"/>
      <c r="G915" s="72" t="n"/>
      <c r="H915" s="72" t="n"/>
      <c r="I915" s="73" t="n"/>
      <c r="J915" s="75">
        <f>IF(B915="","",SUMIFS('Change Orders'!$J$7:$J$1006,'Change Orders'!$E$7:$E$1006,B915,'Change Orders'!$L$7:$L$1006,"Approved"))</f>
        <v/>
      </c>
      <c r="K915" s="76">
        <f>IF(B915="","",I915+J915)</f>
        <v/>
      </c>
      <c r="L915" s="74" t="n"/>
      <c r="M915" s="109" t="n"/>
      <c r="N915" s="109" t="n"/>
      <c r="O915" s="74" t="n"/>
      <c r="P915" s="74" t="n"/>
      <c r="Q915" s="100" t="n"/>
      <c r="R915" s="110" t="n"/>
      <c r="S915" s="75">
        <f>IF(B915="","",SUMIFS('Payments'!$N$6:$N$1005,'Payments'!$B$6:$B$1005,B915))</f>
        <v/>
      </c>
      <c r="T915" s="111">
        <f>IF(OR(B915="",K915=0),"",S915/K915)</f>
        <v/>
      </c>
      <c r="U915" s="78">
        <f>IF(V915="","",IF(V915=2,"⚠️ Paying ahead of work","✓ OK"))</f>
        <v/>
      </c>
      <c r="V915" s="79">
        <f>IF(T915="","",IF(T915-R915&gt;OverpayTol,2,0))</f>
        <v/>
      </c>
      <c r="W915" s="112">
        <f>IF(V915=2,AsOf,"")</f>
        <v/>
      </c>
      <c r="X915" s="79">
        <f>IF(W915="","",1)</f>
        <v/>
      </c>
      <c r="Y915" s="79">
        <f>IF(X915="","","Paying ahead of work: "&amp;B915&amp;" — paid "&amp;ROUND(T915*100,0)&amp;"%, work done "&amp;ROUND(R915*100,0)&amp;"%")</f>
        <v/>
      </c>
      <c r="AA915" s="72" t="n"/>
      <c r="AB915" s="109" t="n"/>
      <c r="AC915" s="113" t="n"/>
      <c r="AD915" s="74" t="n"/>
      <c r="AE915" s="109" t="n"/>
      <c r="AF915" s="74" t="n"/>
      <c r="AG915" s="112">
        <f>IF(AND(AA915&lt;&gt;"",AD915="Yes",AF915&lt;&gt;"Yes",AE915&lt;&gt;""),AE915,"")</f>
        <v/>
      </c>
      <c r="AH915" s="79">
        <f>IF(AG915="","",IF(AG915&lt;AsOf,1,IF(AG915&lt;=AsOf+AlertDays,2,IF(AG915&lt;=AsOf+2*AlertDays,3,""))))</f>
        <v/>
      </c>
      <c r="AI915" s="79">
        <f>IF(AH915="","","Follow up with "&amp;AA915&amp;": "&amp;AC915)</f>
        <v/>
      </c>
    </row>
    <row r="916" ht="20" customHeight="1">
      <c r="B916" s="72" t="n"/>
      <c r="C916" s="72" t="n"/>
      <c r="D916" s="72" t="n"/>
      <c r="E916" s="72" t="n"/>
      <c r="F916" s="72" t="n"/>
      <c r="G916" s="72" t="n"/>
      <c r="H916" s="72" t="n"/>
      <c r="I916" s="73" t="n"/>
      <c r="J916" s="75">
        <f>IF(B916="","",SUMIFS('Change Orders'!$J$7:$J$1006,'Change Orders'!$E$7:$E$1006,B916,'Change Orders'!$L$7:$L$1006,"Approved"))</f>
        <v/>
      </c>
      <c r="K916" s="76">
        <f>IF(B916="","",I916+J916)</f>
        <v/>
      </c>
      <c r="L916" s="74" t="n"/>
      <c r="M916" s="109" t="n"/>
      <c r="N916" s="109" t="n"/>
      <c r="O916" s="74" t="n"/>
      <c r="P916" s="74" t="n"/>
      <c r="Q916" s="100" t="n"/>
      <c r="R916" s="110" t="n"/>
      <c r="S916" s="75">
        <f>IF(B916="","",SUMIFS('Payments'!$N$6:$N$1005,'Payments'!$B$6:$B$1005,B916))</f>
        <v/>
      </c>
      <c r="T916" s="111">
        <f>IF(OR(B916="",K916=0),"",S916/K916)</f>
        <v/>
      </c>
      <c r="U916" s="78">
        <f>IF(V916="","",IF(V916=2,"⚠️ Paying ahead of work","✓ OK"))</f>
        <v/>
      </c>
      <c r="V916" s="79">
        <f>IF(T916="","",IF(T916-R916&gt;OverpayTol,2,0))</f>
        <v/>
      </c>
      <c r="W916" s="112">
        <f>IF(V916=2,AsOf,"")</f>
        <v/>
      </c>
      <c r="X916" s="79">
        <f>IF(W916="","",1)</f>
        <v/>
      </c>
      <c r="Y916" s="79">
        <f>IF(X916="","","Paying ahead of work: "&amp;B916&amp;" — paid "&amp;ROUND(T916*100,0)&amp;"%, work done "&amp;ROUND(R916*100,0)&amp;"%")</f>
        <v/>
      </c>
      <c r="AA916" s="72" t="n"/>
      <c r="AB916" s="109" t="n"/>
      <c r="AC916" s="113" t="n"/>
      <c r="AD916" s="74" t="n"/>
      <c r="AE916" s="109" t="n"/>
      <c r="AF916" s="74" t="n"/>
      <c r="AG916" s="112">
        <f>IF(AND(AA916&lt;&gt;"",AD916="Yes",AF916&lt;&gt;"Yes",AE916&lt;&gt;""),AE916,"")</f>
        <v/>
      </c>
      <c r="AH916" s="79">
        <f>IF(AG916="","",IF(AG916&lt;AsOf,1,IF(AG916&lt;=AsOf+AlertDays,2,IF(AG916&lt;=AsOf+2*AlertDays,3,""))))</f>
        <v/>
      </c>
      <c r="AI916" s="79">
        <f>IF(AH916="","","Follow up with "&amp;AA916&amp;": "&amp;AC916)</f>
        <v/>
      </c>
    </row>
    <row r="917" ht="20" customHeight="1">
      <c r="B917" s="72" t="n"/>
      <c r="C917" s="72" t="n"/>
      <c r="D917" s="72" t="n"/>
      <c r="E917" s="72" t="n"/>
      <c r="F917" s="72" t="n"/>
      <c r="G917" s="72" t="n"/>
      <c r="H917" s="72" t="n"/>
      <c r="I917" s="73" t="n"/>
      <c r="J917" s="75">
        <f>IF(B917="","",SUMIFS('Change Orders'!$J$7:$J$1006,'Change Orders'!$E$7:$E$1006,B917,'Change Orders'!$L$7:$L$1006,"Approved"))</f>
        <v/>
      </c>
      <c r="K917" s="76">
        <f>IF(B917="","",I917+J917)</f>
        <v/>
      </c>
      <c r="L917" s="74" t="n"/>
      <c r="M917" s="109" t="n"/>
      <c r="N917" s="109" t="n"/>
      <c r="O917" s="74" t="n"/>
      <c r="P917" s="74" t="n"/>
      <c r="Q917" s="100" t="n"/>
      <c r="R917" s="110" t="n"/>
      <c r="S917" s="75">
        <f>IF(B917="","",SUMIFS('Payments'!$N$6:$N$1005,'Payments'!$B$6:$B$1005,B917))</f>
        <v/>
      </c>
      <c r="T917" s="111">
        <f>IF(OR(B917="",K917=0),"",S917/K917)</f>
        <v/>
      </c>
      <c r="U917" s="78">
        <f>IF(V917="","",IF(V917=2,"⚠️ Paying ahead of work","✓ OK"))</f>
        <v/>
      </c>
      <c r="V917" s="79">
        <f>IF(T917="","",IF(T917-R917&gt;OverpayTol,2,0))</f>
        <v/>
      </c>
      <c r="W917" s="112">
        <f>IF(V917=2,AsOf,"")</f>
        <v/>
      </c>
      <c r="X917" s="79">
        <f>IF(W917="","",1)</f>
        <v/>
      </c>
      <c r="Y917" s="79">
        <f>IF(X917="","","Paying ahead of work: "&amp;B917&amp;" — paid "&amp;ROUND(T917*100,0)&amp;"%, work done "&amp;ROUND(R917*100,0)&amp;"%")</f>
        <v/>
      </c>
      <c r="AA917" s="72" t="n"/>
      <c r="AB917" s="109" t="n"/>
      <c r="AC917" s="113" t="n"/>
      <c r="AD917" s="74" t="n"/>
      <c r="AE917" s="109" t="n"/>
      <c r="AF917" s="74" t="n"/>
      <c r="AG917" s="112">
        <f>IF(AND(AA917&lt;&gt;"",AD917="Yes",AF917&lt;&gt;"Yes",AE917&lt;&gt;""),AE917,"")</f>
        <v/>
      </c>
      <c r="AH917" s="79">
        <f>IF(AG917="","",IF(AG917&lt;AsOf,1,IF(AG917&lt;=AsOf+AlertDays,2,IF(AG917&lt;=AsOf+2*AlertDays,3,""))))</f>
        <v/>
      </c>
      <c r="AI917" s="79">
        <f>IF(AH917="","","Follow up with "&amp;AA917&amp;": "&amp;AC917)</f>
        <v/>
      </c>
    </row>
    <row r="918" ht="20" customHeight="1">
      <c r="B918" s="72" t="n"/>
      <c r="C918" s="72" t="n"/>
      <c r="D918" s="72" t="n"/>
      <c r="E918" s="72" t="n"/>
      <c r="F918" s="72" t="n"/>
      <c r="G918" s="72" t="n"/>
      <c r="H918" s="72" t="n"/>
      <c r="I918" s="73" t="n"/>
      <c r="J918" s="75">
        <f>IF(B918="","",SUMIFS('Change Orders'!$J$7:$J$1006,'Change Orders'!$E$7:$E$1006,B918,'Change Orders'!$L$7:$L$1006,"Approved"))</f>
        <v/>
      </c>
      <c r="K918" s="76">
        <f>IF(B918="","",I918+J918)</f>
        <v/>
      </c>
      <c r="L918" s="74" t="n"/>
      <c r="M918" s="109" t="n"/>
      <c r="N918" s="109" t="n"/>
      <c r="O918" s="74" t="n"/>
      <c r="P918" s="74" t="n"/>
      <c r="Q918" s="100" t="n"/>
      <c r="R918" s="110" t="n"/>
      <c r="S918" s="75">
        <f>IF(B918="","",SUMIFS('Payments'!$N$6:$N$1005,'Payments'!$B$6:$B$1005,B918))</f>
        <v/>
      </c>
      <c r="T918" s="111">
        <f>IF(OR(B918="",K918=0),"",S918/K918)</f>
        <v/>
      </c>
      <c r="U918" s="78">
        <f>IF(V918="","",IF(V918=2,"⚠️ Paying ahead of work","✓ OK"))</f>
        <v/>
      </c>
      <c r="V918" s="79">
        <f>IF(T918="","",IF(T918-R918&gt;OverpayTol,2,0))</f>
        <v/>
      </c>
      <c r="W918" s="112">
        <f>IF(V918=2,AsOf,"")</f>
        <v/>
      </c>
      <c r="X918" s="79">
        <f>IF(W918="","",1)</f>
        <v/>
      </c>
      <c r="Y918" s="79">
        <f>IF(X918="","","Paying ahead of work: "&amp;B918&amp;" — paid "&amp;ROUND(T918*100,0)&amp;"%, work done "&amp;ROUND(R918*100,0)&amp;"%")</f>
        <v/>
      </c>
      <c r="AA918" s="72" t="n"/>
      <c r="AB918" s="109" t="n"/>
      <c r="AC918" s="113" t="n"/>
      <c r="AD918" s="74" t="n"/>
      <c r="AE918" s="109" t="n"/>
      <c r="AF918" s="74" t="n"/>
      <c r="AG918" s="112">
        <f>IF(AND(AA918&lt;&gt;"",AD918="Yes",AF918&lt;&gt;"Yes",AE918&lt;&gt;""),AE918,"")</f>
        <v/>
      </c>
      <c r="AH918" s="79">
        <f>IF(AG918="","",IF(AG918&lt;AsOf,1,IF(AG918&lt;=AsOf+AlertDays,2,IF(AG918&lt;=AsOf+2*AlertDays,3,""))))</f>
        <v/>
      </c>
      <c r="AI918" s="79">
        <f>IF(AH918="","","Follow up with "&amp;AA918&amp;": "&amp;AC918)</f>
        <v/>
      </c>
    </row>
    <row r="919" ht="20" customHeight="1">
      <c r="B919" s="72" t="n"/>
      <c r="C919" s="72" t="n"/>
      <c r="D919" s="72" t="n"/>
      <c r="E919" s="72" t="n"/>
      <c r="F919" s="72" t="n"/>
      <c r="G919" s="72" t="n"/>
      <c r="H919" s="72" t="n"/>
      <c r="I919" s="73" t="n"/>
      <c r="J919" s="75">
        <f>IF(B919="","",SUMIFS('Change Orders'!$J$7:$J$1006,'Change Orders'!$E$7:$E$1006,B919,'Change Orders'!$L$7:$L$1006,"Approved"))</f>
        <v/>
      </c>
      <c r="K919" s="76">
        <f>IF(B919="","",I919+J919)</f>
        <v/>
      </c>
      <c r="L919" s="74" t="n"/>
      <c r="M919" s="109" t="n"/>
      <c r="N919" s="109" t="n"/>
      <c r="O919" s="74" t="n"/>
      <c r="P919" s="74" t="n"/>
      <c r="Q919" s="100" t="n"/>
      <c r="R919" s="110" t="n"/>
      <c r="S919" s="75">
        <f>IF(B919="","",SUMIFS('Payments'!$N$6:$N$1005,'Payments'!$B$6:$B$1005,B919))</f>
        <v/>
      </c>
      <c r="T919" s="111">
        <f>IF(OR(B919="",K919=0),"",S919/K919)</f>
        <v/>
      </c>
      <c r="U919" s="78">
        <f>IF(V919="","",IF(V919=2,"⚠️ Paying ahead of work","✓ OK"))</f>
        <v/>
      </c>
      <c r="V919" s="79">
        <f>IF(T919="","",IF(T919-R919&gt;OverpayTol,2,0))</f>
        <v/>
      </c>
      <c r="W919" s="112">
        <f>IF(V919=2,AsOf,"")</f>
        <v/>
      </c>
      <c r="X919" s="79">
        <f>IF(W919="","",1)</f>
        <v/>
      </c>
      <c r="Y919" s="79">
        <f>IF(X919="","","Paying ahead of work: "&amp;B919&amp;" — paid "&amp;ROUND(T919*100,0)&amp;"%, work done "&amp;ROUND(R919*100,0)&amp;"%")</f>
        <v/>
      </c>
      <c r="AA919" s="72" t="n"/>
      <c r="AB919" s="109" t="n"/>
      <c r="AC919" s="113" t="n"/>
      <c r="AD919" s="74" t="n"/>
      <c r="AE919" s="109" t="n"/>
      <c r="AF919" s="74" t="n"/>
      <c r="AG919" s="112">
        <f>IF(AND(AA919&lt;&gt;"",AD919="Yes",AF919&lt;&gt;"Yes",AE919&lt;&gt;""),AE919,"")</f>
        <v/>
      </c>
      <c r="AH919" s="79">
        <f>IF(AG919="","",IF(AG919&lt;AsOf,1,IF(AG919&lt;=AsOf+AlertDays,2,IF(AG919&lt;=AsOf+2*AlertDays,3,""))))</f>
        <v/>
      </c>
      <c r="AI919" s="79">
        <f>IF(AH919="","","Follow up with "&amp;AA919&amp;": "&amp;AC919)</f>
        <v/>
      </c>
    </row>
    <row r="920" ht="20" customHeight="1">
      <c r="B920" s="72" t="n"/>
      <c r="C920" s="72" t="n"/>
      <c r="D920" s="72" t="n"/>
      <c r="E920" s="72" t="n"/>
      <c r="F920" s="72" t="n"/>
      <c r="G920" s="72" t="n"/>
      <c r="H920" s="72" t="n"/>
      <c r="I920" s="73" t="n"/>
      <c r="J920" s="75">
        <f>IF(B920="","",SUMIFS('Change Orders'!$J$7:$J$1006,'Change Orders'!$E$7:$E$1006,B920,'Change Orders'!$L$7:$L$1006,"Approved"))</f>
        <v/>
      </c>
      <c r="K920" s="76">
        <f>IF(B920="","",I920+J920)</f>
        <v/>
      </c>
      <c r="L920" s="74" t="n"/>
      <c r="M920" s="109" t="n"/>
      <c r="N920" s="109" t="n"/>
      <c r="O920" s="74" t="n"/>
      <c r="P920" s="74" t="n"/>
      <c r="Q920" s="100" t="n"/>
      <c r="R920" s="110" t="n"/>
      <c r="S920" s="75">
        <f>IF(B920="","",SUMIFS('Payments'!$N$6:$N$1005,'Payments'!$B$6:$B$1005,B920))</f>
        <v/>
      </c>
      <c r="T920" s="111">
        <f>IF(OR(B920="",K920=0),"",S920/K920)</f>
        <v/>
      </c>
      <c r="U920" s="78">
        <f>IF(V920="","",IF(V920=2,"⚠️ Paying ahead of work","✓ OK"))</f>
        <v/>
      </c>
      <c r="V920" s="79">
        <f>IF(T920="","",IF(T920-R920&gt;OverpayTol,2,0))</f>
        <v/>
      </c>
      <c r="W920" s="112">
        <f>IF(V920=2,AsOf,"")</f>
        <v/>
      </c>
      <c r="X920" s="79">
        <f>IF(W920="","",1)</f>
        <v/>
      </c>
      <c r="Y920" s="79">
        <f>IF(X920="","","Paying ahead of work: "&amp;B920&amp;" — paid "&amp;ROUND(T920*100,0)&amp;"%, work done "&amp;ROUND(R920*100,0)&amp;"%")</f>
        <v/>
      </c>
      <c r="AA920" s="72" t="n"/>
      <c r="AB920" s="109" t="n"/>
      <c r="AC920" s="113" t="n"/>
      <c r="AD920" s="74" t="n"/>
      <c r="AE920" s="109" t="n"/>
      <c r="AF920" s="74" t="n"/>
      <c r="AG920" s="112">
        <f>IF(AND(AA920&lt;&gt;"",AD920="Yes",AF920&lt;&gt;"Yes",AE920&lt;&gt;""),AE920,"")</f>
        <v/>
      </c>
      <c r="AH920" s="79">
        <f>IF(AG920="","",IF(AG920&lt;AsOf,1,IF(AG920&lt;=AsOf+AlertDays,2,IF(AG920&lt;=AsOf+2*AlertDays,3,""))))</f>
        <v/>
      </c>
      <c r="AI920" s="79">
        <f>IF(AH920="","","Follow up with "&amp;AA920&amp;": "&amp;AC920)</f>
        <v/>
      </c>
    </row>
    <row r="921" ht="20" customHeight="1">
      <c r="B921" s="72" t="n"/>
      <c r="C921" s="72" t="n"/>
      <c r="D921" s="72" t="n"/>
      <c r="E921" s="72" t="n"/>
      <c r="F921" s="72" t="n"/>
      <c r="G921" s="72" t="n"/>
      <c r="H921" s="72" t="n"/>
      <c r="I921" s="73" t="n"/>
      <c r="J921" s="75">
        <f>IF(B921="","",SUMIFS('Change Orders'!$J$7:$J$1006,'Change Orders'!$E$7:$E$1006,B921,'Change Orders'!$L$7:$L$1006,"Approved"))</f>
        <v/>
      </c>
      <c r="K921" s="76">
        <f>IF(B921="","",I921+J921)</f>
        <v/>
      </c>
      <c r="L921" s="74" t="n"/>
      <c r="M921" s="109" t="n"/>
      <c r="N921" s="109" t="n"/>
      <c r="O921" s="74" t="n"/>
      <c r="P921" s="74" t="n"/>
      <c r="Q921" s="100" t="n"/>
      <c r="R921" s="110" t="n"/>
      <c r="S921" s="75">
        <f>IF(B921="","",SUMIFS('Payments'!$N$6:$N$1005,'Payments'!$B$6:$B$1005,B921))</f>
        <v/>
      </c>
      <c r="T921" s="111">
        <f>IF(OR(B921="",K921=0),"",S921/K921)</f>
        <v/>
      </c>
      <c r="U921" s="78">
        <f>IF(V921="","",IF(V921=2,"⚠️ Paying ahead of work","✓ OK"))</f>
        <v/>
      </c>
      <c r="V921" s="79">
        <f>IF(T921="","",IF(T921-R921&gt;OverpayTol,2,0))</f>
        <v/>
      </c>
      <c r="W921" s="112">
        <f>IF(V921=2,AsOf,"")</f>
        <v/>
      </c>
      <c r="X921" s="79">
        <f>IF(W921="","",1)</f>
        <v/>
      </c>
      <c r="Y921" s="79">
        <f>IF(X921="","","Paying ahead of work: "&amp;B921&amp;" — paid "&amp;ROUND(T921*100,0)&amp;"%, work done "&amp;ROUND(R921*100,0)&amp;"%")</f>
        <v/>
      </c>
      <c r="AA921" s="72" t="n"/>
      <c r="AB921" s="109" t="n"/>
      <c r="AC921" s="113" t="n"/>
      <c r="AD921" s="74" t="n"/>
      <c r="AE921" s="109" t="n"/>
      <c r="AF921" s="74" t="n"/>
      <c r="AG921" s="112">
        <f>IF(AND(AA921&lt;&gt;"",AD921="Yes",AF921&lt;&gt;"Yes",AE921&lt;&gt;""),AE921,"")</f>
        <v/>
      </c>
      <c r="AH921" s="79">
        <f>IF(AG921="","",IF(AG921&lt;AsOf,1,IF(AG921&lt;=AsOf+AlertDays,2,IF(AG921&lt;=AsOf+2*AlertDays,3,""))))</f>
        <v/>
      </c>
      <c r="AI921" s="79">
        <f>IF(AH921="","","Follow up with "&amp;AA921&amp;": "&amp;AC921)</f>
        <v/>
      </c>
    </row>
    <row r="922" ht="20" customHeight="1">
      <c r="B922" s="72" t="n"/>
      <c r="C922" s="72" t="n"/>
      <c r="D922" s="72" t="n"/>
      <c r="E922" s="72" t="n"/>
      <c r="F922" s="72" t="n"/>
      <c r="G922" s="72" t="n"/>
      <c r="H922" s="72" t="n"/>
      <c r="I922" s="73" t="n"/>
      <c r="J922" s="75">
        <f>IF(B922="","",SUMIFS('Change Orders'!$J$7:$J$1006,'Change Orders'!$E$7:$E$1006,B922,'Change Orders'!$L$7:$L$1006,"Approved"))</f>
        <v/>
      </c>
      <c r="K922" s="76">
        <f>IF(B922="","",I922+J922)</f>
        <v/>
      </c>
      <c r="L922" s="74" t="n"/>
      <c r="M922" s="109" t="n"/>
      <c r="N922" s="109" t="n"/>
      <c r="O922" s="74" t="n"/>
      <c r="P922" s="74" t="n"/>
      <c r="Q922" s="100" t="n"/>
      <c r="R922" s="110" t="n"/>
      <c r="S922" s="75">
        <f>IF(B922="","",SUMIFS('Payments'!$N$6:$N$1005,'Payments'!$B$6:$B$1005,B922))</f>
        <v/>
      </c>
      <c r="T922" s="111">
        <f>IF(OR(B922="",K922=0),"",S922/K922)</f>
        <v/>
      </c>
      <c r="U922" s="78">
        <f>IF(V922="","",IF(V922=2,"⚠️ Paying ahead of work","✓ OK"))</f>
        <v/>
      </c>
      <c r="V922" s="79">
        <f>IF(T922="","",IF(T922-R922&gt;OverpayTol,2,0))</f>
        <v/>
      </c>
      <c r="W922" s="112">
        <f>IF(V922=2,AsOf,"")</f>
        <v/>
      </c>
      <c r="X922" s="79">
        <f>IF(W922="","",1)</f>
        <v/>
      </c>
      <c r="Y922" s="79">
        <f>IF(X922="","","Paying ahead of work: "&amp;B922&amp;" — paid "&amp;ROUND(T922*100,0)&amp;"%, work done "&amp;ROUND(R922*100,0)&amp;"%")</f>
        <v/>
      </c>
      <c r="AA922" s="72" t="n"/>
      <c r="AB922" s="109" t="n"/>
      <c r="AC922" s="113" t="n"/>
      <c r="AD922" s="74" t="n"/>
      <c r="AE922" s="109" t="n"/>
      <c r="AF922" s="74" t="n"/>
      <c r="AG922" s="112">
        <f>IF(AND(AA922&lt;&gt;"",AD922="Yes",AF922&lt;&gt;"Yes",AE922&lt;&gt;""),AE922,"")</f>
        <v/>
      </c>
      <c r="AH922" s="79">
        <f>IF(AG922="","",IF(AG922&lt;AsOf,1,IF(AG922&lt;=AsOf+AlertDays,2,IF(AG922&lt;=AsOf+2*AlertDays,3,""))))</f>
        <v/>
      </c>
      <c r="AI922" s="79">
        <f>IF(AH922="","","Follow up with "&amp;AA922&amp;": "&amp;AC922)</f>
        <v/>
      </c>
    </row>
    <row r="923" ht="20" customHeight="1">
      <c r="B923" s="72" t="n"/>
      <c r="C923" s="72" t="n"/>
      <c r="D923" s="72" t="n"/>
      <c r="E923" s="72" t="n"/>
      <c r="F923" s="72" t="n"/>
      <c r="G923" s="72" t="n"/>
      <c r="H923" s="72" t="n"/>
      <c r="I923" s="73" t="n"/>
      <c r="J923" s="75">
        <f>IF(B923="","",SUMIFS('Change Orders'!$J$7:$J$1006,'Change Orders'!$E$7:$E$1006,B923,'Change Orders'!$L$7:$L$1006,"Approved"))</f>
        <v/>
      </c>
      <c r="K923" s="76">
        <f>IF(B923="","",I923+J923)</f>
        <v/>
      </c>
      <c r="L923" s="74" t="n"/>
      <c r="M923" s="109" t="n"/>
      <c r="N923" s="109" t="n"/>
      <c r="O923" s="74" t="n"/>
      <c r="P923" s="74" t="n"/>
      <c r="Q923" s="100" t="n"/>
      <c r="R923" s="110" t="n"/>
      <c r="S923" s="75">
        <f>IF(B923="","",SUMIFS('Payments'!$N$6:$N$1005,'Payments'!$B$6:$B$1005,B923))</f>
        <v/>
      </c>
      <c r="T923" s="111">
        <f>IF(OR(B923="",K923=0),"",S923/K923)</f>
        <v/>
      </c>
      <c r="U923" s="78">
        <f>IF(V923="","",IF(V923=2,"⚠️ Paying ahead of work","✓ OK"))</f>
        <v/>
      </c>
      <c r="V923" s="79">
        <f>IF(T923="","",IF(T923-R923&gt;OverpayTol,2,0))</f>
        <v/>
      </c>
      <c r="W923" s="112">
        <f>IF(V923=2,AsOf,"")</f>
        <v/>
      </c>
      <c r="X923" s="79">
        <f>IF(W923="","",1)</f>
        <v/>
      </c>
      <c r="Y923" s="79">
        <f>IF(X923="","","Paying ahead of work: "&amp;B923&amp;" — paid "&amp;ROUND(T923*100,0)&amp;"%, work done "&amp;ROUND(R923*100,0)&amp;"%")</f>
        <v/>
      </c>
      <c r="AA923" s="72" t="n"/>
      <c r="AB923" s="109" t="n"/>
      <c r="AC923" s="113" t="n"/>
      <c r="AD923" s="74" t="n"/>
      <c r="AE923" s="109" t="n"/>
      <c r="AF923" s="74" t="n"/>
      <c r="AG923" s="112">
        <f>IF(AND(AA923&lt;&gt;"",AD923="Yes",AF923&lt;&gt;"Yes",AE923&lt;&gt;""),AE923,"")</f>
        <v/>
      </c>
      <c r="AH923" s="79">
        <f>IF(AG923="","",IF(AG923&lt;AsOf,1,IF(AG923&lt;=AsOf+AlertDays,2,IF(AG923&lt;=AsOf+2*AlertDays,3,""))))</f>
        <v/>
      </c>
      <c r="AI923" s="79">
        <f>IF(AH923="","","Follow up with "&amp;AA923&amp;": "&amp;AC923)</f>
        <v/>
      </c>
    </row>
    <row r="924" ht="20" customHeight="1">
      <c r="B924" s="72" t="n"/>
      <c r="C924" s="72" t="n"/>
      <c r="D924" s="72" t="n"/>
      <c r="E924" s="72" t="n"/>
      <c r="F924" s="72" t="n"/>
      <c r="G924" s="72" t="n"/>
      <c r="H924" s="72" t="n"/>
      <c r="I924" s="73" t="n"/>
      <c r="J924" s="75">
        <f>IF(B924="","",SUMIFS('Change Orders'!$J$7:$J$1006,'Change Orders'!$E$7:$E$1006,B924,'Change Orders'!$L$7:$L$1006,"Approved"))</f>
        <v/>
      </c>
      <c r="K924" s="76">
        <f>IF(B924="","",I924+J924)</f>
        <v/>
      </c>
      <c r="L924" s="74" t="n"/>
      <c r="M924" s="109" t="n"/>
      <c r="N924" s="109" t="n"/>
      <c r="O924" s="74" t="n"/>
      <c r="P924" s="74" t="n"/>
      <c r="Q924" s="100" t="n"/>
      <c r="R924" s="110" t="n"/>
      <c r="S924" s="75">
        <f>IF(B924="","",SUMIFS('Payments'!$N$6:$N$1005,'Payments'!$B$6:$B$1005,B924))</f>
        <v/>
      </c>
      <c r="T924" s="111">
        <f>IF(OR(B924="",K924=0),"",S924/K924)</f>
        <v/>
      </c>
      <c r="U924" s="78">
        <f>IF(V924="","",IF(V924=2,"⚠️ Paying ahead of work","✓ OK"))</f>
        <v/>
      </c>
      <c r="V924" s="79">
        <f>IF(T924="","",IF(T924-R924&gt;OverpayTol,2,0))</f>
        <v/>
      </c>
      <c r="W924" s="112">
        <f>IF(V924=2,AsOf,"")</f>
        <v/>
      </c>
      <c r="X924" s="79">
        <f>IF(W924="","",1)</f>
        <v/>
      </c>
      <c r="Y924" s="79">
        <f>IF(X924="","","Paying ahead of work: "&amp;B924&amp;" — paid "&amp;ROUND(T924*100,0)&amp;"%, work done "&amp;ROUND(R924*100,0)&amp;"%")</f>
        <v/>
      </c>
      <c r="AA924" s="72" t="n"/>
      <c r="AB924" s="109" t="n"/>
      <c r="AC924" s="113" t="n"/>
      <c r="AD924" s="74" t="n"/>
      <c r="AE924" s="109" t="n"/>
      <c r="AF924" s="74" t="n"/>
      <c r="AG924" s="112">
        <f>IF(AND(AA924&lt;&gt;"",AD924="Yes",AF924&lt;&gt;"Yes",AE924&lt;&gt;""),AE924,"")</f>
        <v/>
      </c>
      <c r="AH924" s="79">
        <f>IF(AG924="","",IF(AG924&lt;AsOf,1,IF(AG924&lt;=AsOf+AlertDays,2,IF(AG924&lt;=AsOf+2*AlertDays,3,""))))</f>
        <v/>
      </c>
      <c r="AI924" s="79">
        <f>IF(AH924="","","Follow up with "&amp;AA924&amp;": "&amp;AC924)</f>
        <v/>
      </c>
    </row>
    <row r="925" ht="20" customHeight="1">
      <c r="B925" s="72" t="n"/>
      <c r="C925" s="72" t="n"/>
      <c r="D925" s="72" t="n"/>
      <c r="E925" s="72" t="n"/>
      <c r="F925" s="72" t="n"/>
      <c r="G925" s="72" t="n"/>
      <c r="H925" s="72" t="n"/>
      <c r="I925" s="73" t="n"/>
      <c r="J925" s="75">
        <f>IF(B925="","",SUMIFS('Change Orders'!$J$7:$J$1006,'Change Orders'!$E$7:$E$1006,B925,'Change Orders'!$L$7:$L$1006,"Approved"))</f>
        <v/>
      </c>
      <c r="K925" s="76">
        <f>IF(B925="","",I925+J925)</f>
        <v/>
      </c>
      <c r="L925" s="74" t="n"/>
      <c r="M925" s="109" t="n"/>
      <c r="N925" s="109" t="n"/>
      <c r="O925" s="74" t="n"/>
      <c r="P925" s="74" t="n"/>
      <c r="Q925" s="100" t="n"/>
      <c r="R925" s="110" t="n"/>
      <c r="S925" s="75">
        <f>IF(B925="","",SUMIFS('Payments'!$N$6:$N$1005,'Payments'!$B$6:$B$1005,B925))</f>
        <v/>
      </c>
      <c r="T925" s="111">
        <f>IF(OR(B925="",K925=0),"",S925/K925)</f>
        <v/>
      </c>
      <c r="U925" s="78">
        <f>IF(V925="","",IF(V925=2,"⚠️ Paying ahead of work","✓ OK"))</f>
        <v/>
      </c>
      <c r="V925" s="79">
        <f>IF(T925="","",IF(T925-R925&gt;OverpayTol,2,0))</f>
        <v/>
      </c>
      <c r="W925" s="112">
        <f>IF(V925=2,AsOf,"")</f>
        <v/>
      </c>
      <c r="X925" s="79">
        <f>IF(W925="","",1)</f>
        <v/>
      </c>
      <c r="Y925" s="79">
        <f>IF(X925="","","Paying ahead of work: "&amp;B925&amp;" — paid "&amp;ROUND(T925*100,0)&amp;"%, work done "&amp;ROUND(R925*100,0)&amp;"%")</f>
        <v/>
      </c>
      <c r="AA925" s="72" t="n"/>
      <c r="AB925" s="109" t="n"/>
      <c r="AC925" s="113" t="n"/>
      <c r="AD925" s="74" t="n"/>
      <c r="AE925" s="109" t="n"/>
      <c r="AF925" s="74" t="n"/>
      <c r="AG925" s="112">
        <f>IF(AND(AA925&lt;&gt;"",AD925="Yes",AF925&lt;&gt;"Yes",AE925&lt;&gt;""),AE925,"")</f>
        <v/>
      </c>
      <c r="AH925" s="79">
        <f>IF(AG925="","",IF(AG925&lt;AsOf,1,IF(AG925&lt;=AsOf+AlertDays,2,IF(AG925&lt;=AsOf+2*AlertDays,3,""))))</f>
        <v/>
      </c>
      <c r="AI925" s="79">
        <f>IF(AH925="","","Follow up with "&amp;AA925&amp;": "&amp;AC925)</f>
        <v/>
      </c>
    </row>
    <row r="926" ht="20" customHeight="1">
      <c r="B926" s="72" t="n"/>
      <c r="C926" s="72" t="n"/>
      <c r="D926" s="72" t="n"/>
      <c r="E926" s="72" t="n"/>
      <c r="F926" s="72" t="n"/>
      <c r="G926" s="72" t="n"/>
      <c r="H926" s="72" t="n"/>
      <c r="I926" s="73" t="n"/>
      <c r="J926" s="75">
        <f>IF(B926="","",SUMIFS('Change Orders'!$J$7:$J$1006,'Change Orders'!$E$7:$E$1006,B926,'Change Orders'!$L$7:$L$1006,"Approved"))</f>
        <v/>
      </c>
      <c r="K926" s="76">
        <f>IF(B926="","",I926+J926)</f>
        <v/>
      </c>
      <c r="L926" s="74" t="n"/>
      <c r="M926" s="109" t="n"/>
      <c r="N926" s="109" t="n"/>
      <c r="O926" s="74" t="n"/>
      <c r="P926" s="74" t="n"/>
      <c r="Q926" s="100" t="n"/>
      <c r="R926" s="110" t="n"/>
      <c r="S926" s="75">
        <f>IF(B926="","",SUMIFS('Payments'!$N$6:$N$1005,'Payments'!$B$6:$B$1005,B926))</f>
        <v/>
      </c>
      <c r="T926" s="111">
        <f>IF(OR(B926="",K926=0),"",S926/K926)</f>
        <v/>
      </c>
      <c r="U926" s="78">
        <f>IF(V926="","",IF(V926=2,"⚠️ Paying ahead of work","✓ OK"))</f>
        <v/>
      </c>
      <c r="V926" s="79">
        <f>IF(T926="","",IF(T926-R926&gt;OverpayTol,2,0))</f>
        <v/>
      </c>
      <c r="W926" s="112">
        <f>IF(V926=2,AsOf,"")</f>
        <v/>
      </c>
      <c r="X926" s="79">
        <f>IF(W926="","",1)</f>
        <v/>
      </c>
      <c r="Y926" s="79">
        <f>IF(X926="","","Paying ahead of work: "&amp;B926&amp;" — paid "&amp;ROUND(T926*100,0)&amp;"%, work done "&amp;ROUND(R926*100,0)&amp;"%")</f>
        <v/>
      </c>
      <c r="AA926" s="72" t="n"/>
      <c r="AB926" s="109" t="n"/>
      <c r="AC926" s="113" t="n"/>
      <c r="AD926" s="74" t="n"/>
      <c r="AE926" s="109" t="n"/>
      <c r="AF926" s="74" t="n"/>
      <c r="AG926" s="112">
        <f>IF(AND(AA926&lt;&gt;"",AD926="Yes",AF926&lt;&gt;"Yes",AE926&lt;&gt;""),AE926,"")</f>
        <v/>
      </c>
      <c r="AH926" s="79">
        <f>IF(AG926="","",IF(AG926&lt;AsOf,1,IF(AG926&lt;=AsOf+AlertDays,2,IF(AG926&lt;=AsOf+2*AlertDays,3,""))))</f>
        <v/>
      </c>
      <c r="AI926" s="79">
        <f>IF(AH926="","","Follow up with "&amp;AA926&amp;": "&amp;AC926)</f>
        <v/>
      </c>
    </row>
    <row r="927" ht="20" customHeight="1">
      <c r="B927" s="72" t="n"/>
      <c r="C927" s="72" t="n"/>
      <c r="D927" s="72" t="n"/>
      <c r="E927" s="72" t="n"/>
      <c r="F927" s="72" t="n"/>
      <c r="G927" s="72" t="n"/>
      <c r="H927" s="72" t="n"/>
      <c r="I927" s="73" t="n"/>
      <c r="J927" s="75">
        <f>IF(B927="","",SUMIFS('Change Orders'!$J$7:$J$1006,'Change Orders'!$E$7:$E$1006,B927,'Change Orders'!$L$7:$L$1006,"Approved"))</f>
        <v/>
      </c>
      <c r="K927" s="76">
        <f>IF(B927="","",I927+J927)</f>
        <v/>
      </c>
      <c r="L927" s="74" t="n"/>
      <c r="M927" s="109" t="n"/>
      <c r="N927" s="109" t="n"/>
      <c r="O927" s="74" t="n"/>
      <c r="P927" s="74" t="n"/>
      <c r="Q927" s="100" t="n"/>
      <c r="R927" s="110" t="n"/>
      <c r="S927" s="75">
        <f>IF(B927="","",SUMIFS('Payments'!$N$6:$N$1005,'Payments'!$B$6:$B$1005,B927))</f>
        <v/>
      </c>
      <c r="T927" s="111">
        <f>IF(OR(B927="",K927=0),"",S927/K927)</f>
        <v/>
      </c>
      <c r="U927" s="78">
        <f>IF(V927="","",IF(V927=2,"⚠️ Paying ahead of work","✓ OK"))</f>
        <v/>
      </c>
      <c r="V927" s="79">
        <f>IF(T927="","",IF(T927-R927&gt;OverpayTol,2,0))</f>
        <v/>
      </c>
      <c r="W927" s="112">
        <f>IF(V927=2,AsOf,"")</f>
        <v/>
      </c>
      <c r="X927" s="79">
        <f>IF(W927="","",1)</f>
        <v/>
      </c>
      <c r="Y927" s="79">
        <f>IF(X927="","","Paying ahead of work: "&amp;B927&amp;" — paid "&amp;ROUND(T927*100,0)&amp;"%, work done "&amp;ROUND(R927*100,0)&amp;"%")</f>
        <v/>
      </c>
      <c r="AA927" s="72" t="n"/>
      <c r="AB927" s="109" t="n"/>
      <c r="AC927" s="113" t="n"/>
      <c r="AD927" s="74" t="n"/>
      <c r="AE927" s="109" t="n"/>
      <c r="AF927" s="74" t="n"/>
      <c r="AG927" s="112">
        <f>IF(AND(AA927&lt;&gt;"",AD927="Yes",AF927&lt;&gt;"Yes",AE927&lt;&gt;""),AE927,"")</f>
        <v/>
      </c>
      <c r="AH927" s="79">
        <f>IF(AG927="","",IF(AG927&lt;AsOf,1,IF(AG927&lt;=AsOf+AlertDays,2,IF(AG927&lt;=AsOf+2*AlertDays,3,""))))</f>
        <v/>
      </c>
      <c r="AI927" s="79">
        <f>IF(AH927="","","Follow up with "&amp;AA927&amp;": "&amp;AC927)</f>
        <v/>
      </c>
    </row>
    <row r="928" ht="20" customHeight="1">
      <c r="B928" s="72" t="n"/>
      <c r="C928" s="72" t="n"/>
      <c r="D928" s="72" t="n"/>
      <c r="E928" s="72" t="n"/>
      <c r="F928" s="72" t="n"/>
      <c r="G928" s="72" t="n"/>
      <c r="H928" s="72" t="n"/>
      <c r="I928" s="73" t="n"/>
      <c r="J928" s="75">
        <f>IF(B928="","",SUMIFS('Change Orders'!$J$7:$J$1006,'Change Orders'!$E$7:$E$1006,B928,'Change Orders'!$L$7:$L$1006,"Approved"))</f>
        <v/>
      </c>
      <c r="K928" s="76">
        <f>IF(B928="","",I928+J928)</f>
        <v/>
      </c>
      <c r="L928" s="74" t="n"/>
      <c r="M928" s="109" t="n"/>
      <c r="N928" s="109" t="n"/>
      <c r="O928" s="74" t="n"/>
      <c r="P928" s="74" t="n"/>
      <c r="Q928" s="100" t="n"/>
      <c r="R928" s="110" t="n"/>
      <c r="S928" s="75">
        <f>IF(B928="","",SUMIFS('Payments'!$N$6:$N$1005,'Payments'!$B$6:$B$1005,B928))</f>
        <v/>
      </c>
      <c r="T928" s="111">
        <f>IF(OR(B928="",K928=0),"",S928/K928)</f>
        <v/>
      </c>
      <c r="U928" s="78">
        <f>IF(V928="","",IF(V928=2,"⚠️ Paying ahead of work","✓ OK"))</f>
        <v/>
      </c>
      <c r="V928" s="79">
        <f>IF(T928="","",IF(T928-R928&gt;OverpayTol,2,0))</f>
        <v/>
      </c>
      <c r="W928" s="112">
        <f>IF(V928=2,AsOf,"")</f>
        <v/>
      </c>
      <c r="X928" s="79">
        <f>IF(W928="","",1)</f>
        <v/>
      </c>
      <c r="Y928" s="79">
        <f>IF(X928="","","Paying ahead of work: "&amp;B928&amp;" — paid "&amp;ROUND(T928*100,0)&amp;"%, work done "&amp;ROUND(R928*100,0)&amp;"%")</f>
        <v/>
      </c>
      <c r="AA928" s="72" t="n"/>
      <c r="AB928" s="109" t="n"/>
      <c r="AC928" s="113" t="n"/>
      <c r="AD928" s="74" t="n"/>
      <c r="AE928" s="109" t="n"/>
      <c r="AF928" s="74" t="n"/>
      <c r="AG928" s="112">
        <f>IF(AND(AA928&lt;&gt;"",AD928="Yes",AF928&lt;&gt;"Yes",AE928&lt;&gt;""),AE928,"")</f>
        <v/>
      </c>
      <c r="AH928" s="79">
        <f>IF(AG928="","",IF(AG928&lt;AsOf,1,IF(AG928&lt;=AsOf+AlertDays,2,IF(AG928&lt;=AsOf+2*AlertDays,3,""))))</f>
        <v/>
      </c>
      <c r="AI928" s="79">
        <f>IF(AH928="","","Follow up with "&amp;AA928&amp;": "&amp;AC928)</f>
        <v/>
      </c>
    </row>
    <row r="929" ht="20" customHeight="1">
      <c r="B929" s="72" t="n"/>
      <c r="C929" s="72" t="n"/>
      <c r="D929" s="72" t="n"/>
      <c r="E929" s="72" t="n"/>
      <c r="F929" s="72" t="n"/>
      <c r="G929" s="72" t="n"/>
      <c r="H929" s="72" t="n"/>
      <c r="I929" s="73" t="n"/>
      <c r="J929" s="75">
        <f>IF(B929="","",SUMIFS('Change Orders'!$J$7:$J$1006,'Change Orders'!$E$7:$E$1006,B929,'Change Orders'!$L$7:$L$1006,"Approved"))</f>
        <v/>
      </c>
      <c r="K929" s="76">
        <f>IF(B929="","",I929+J929)</f>
        <v/>
      </c>
      <c r="L929" s="74" t="n"/>
      <c r="M929" s="109" t="n"/>
      <c r="N929" s="109" t="n"/>
      <c r="O929" s="74" t="n"/>
      <c r="P929" s="74" t="n"/>
      <c r="Q929" s="100" t="n"/>
      <c r="R929" s="110" t="n"/>
      <c r="S929" s="75">
        <f>IF(B929="","",SUMIFS('Payments'!$N$6:$N$1005,'Payments'!$B$6:$B$1005,B929))</f>
        <v/>
      </c>
      <c r="T929" s="111">
        <f>IF(OR(B929="",K929=0),"",S929/K929)</f>
        <v/>
      </c>
      <c r="U929" s="78">
        <f>IF(V929="","",IF(V929=2,"⚠️ Paying ahead of work","✓ OK"))</f>
        <v/>
      </c>
      <c r="V929" s="79">
        <f>IF(T929="","",IF(T929-R929&gt;OverpayTol,2,0))</f>
        <v/>
      </c>
      <c r="W929" s="112">
        <f>IF(V929=2,AsOf,"")</f>
        <v/>
      </c>
      <c r="X929" s="79">
        <f>IF(W929="","",1)</f>
        <v/>
      </c>
      <c r="Y929" s="79">
        <f>IF(X929="","","Paying ahead of work: "&amp;B929&amp;" — paid "&amp;ROUND(T929*100,0)&amp;"%, work done "&amp;ROUND(R929*100,0)&amp;"%")</f>
        <v/>
      </c>
      <c r="AA929" s="72" t="n"/>
      <c r="AB929" s="109" t="n"/>
      <c r="AC929" s="113" t="n"/>
      <c r="AD929" s="74" t="n"/>
      <c r="AE929" s="109" t="n"/>
      <c r="AF929" s="74" t="n"/>
      <c r="AG929" s="112">
        <f>IF(AND(AA929&lt;&gt;"",AD929="Yes",AF929&lt;&gt;"Yes",AE929&lt;&gt;""),AE929,"")</f>
        <v/>
      </c>
      <c r="AH929" s="79">
        <f>IF(AG929="","",IF(AG929&lt;AsOf,1,IF(AG929&lt;=AsOf+AlertDays,2,IF(AG929&lt;=AsOf+2*AlertDays,3,""))))</f>
        <v/>
      </c>
      <c r="AI929" s="79">
        <f>IF(AH929="","","Follow up with "&amp;AA929&amp;": "&amp;AC929)</f>
        <v/>
      </c>
    </row>
    <row r="930" ht="20" customHeight="1">
      <c r="B930" s="72" t="n"/>
      <c r="C930" s="72" t="n"/>
      <c r="D930" s="72" t="n"/>
      <c r="E930" s="72" t="n"/>
      <c r="F930" s="72" t="n"/>
      <c r="G930" s="72" t="n"/>
      <c r="H930" s="72" t="n"/>
      <c r="I930" s="73" t="n"/>
      <c r="J930" s="75">
        <f>IF(B930="","",SUMIFS('Change Orders'!$J$7:$J$1006,'Change Orders'!$E$7:$E$1006,B930,'Change Orders'!$L$7:$L$1006,"Approved"))</f>
        <v/>
      </c>
      <c r="K930" s="76">
        <f>IF(B930="","",I930+J930)</f>
        <v/>
      </c>
      <c r="L930" s="74" t="n"/>
      <c r="M930" s="109" t="n"/>
      <c r="N930" s="109" t="n"/>
      <c r="O930" s="74" t="n"/>
      <c r="P930" s="74" t="n"/>
      <c r="Q930" s="100" t="n"/>
      <c r="R930" s="110" t="n"/>
      <c r="S930" s="75">
        <f>IF(B930="","",SUMIFS('Payments'!$N$6:$N$1005,'Payments'!$B$6:$B$1005,B930))</f>
        <v/>
      </c>
      <c r="T930" s="111">
        <f>IF(OR(B930="",K930=0),"",S930/K930)</f>
        <v/>
      </c>
      <c r="U930" s="78">
        <f>IF(V930="","",IF(V930=2,"⚠️ Paying ahead of work","✓ OK"))</f>
        <v/>
      </c>
      <c r="V930" s="79">
        <f>IF(T930="","",IF(T930-R930&gt;OverpayTol,2,0))</f>
        <v/>
      </c>
      <c r="W930" s="112">
        <f>IF(V930=2,AsOf,"")</f>
        <v/>
      </c>
      <c r="X930" s="79">
        <f>IF(W930="","",1)</f>
        <v/>
      </c>
      <c r="Y930" s="79">
        <f>IF(X930="","","Paying ahead of work: "&amp;B930&amp;" — paid "&amp;ROUND(T930*100,0)&amp;"%, work done "&amp;ROUND(R930*100,0)&amp;"%")</f>
        <v/>
      </c>
      <c r="AA930" s="72" t="n"/>
      <c r="AB930" s="109" t="n"/>
      <c r="AC930" s="113" t="n"/>
      <c r="AD930" s="74" t="n"/>
      <c r="AE930" s="109" t="n"/>
      <c r="AF930" s="74" t="n"/>
      <c r="AG930" s="112">
        <f>IF(AND(AA930&lt;&gt;"",AD930="Yes",AF930&lt;&gt;"Yes",AE930&lt;&gt;""),AE930,"")</f>
        <v/>
      </c>
      <c r="AH930" s="79">
        <f>IF(AG930="","",IF(AG930&lt;AsOf,1,IF(AG930&lt;=AsOf+AlertDays,2,IF(AG930&lt;=AsOf+2*AlertDays,3,""))))</f>
        <v/>
      </c>
      <c r="AI930" s="79">
        <f>IF(AH930="","","Follow up with "&amp;AA930&amp;": "&amp;AC930)</f>
        <v/>
      </c>
    </row>
    <row r="931" ht="20" customHeight="1">
      <c r="B931" s="72" t="n"/>
      <c r="C931" s="72" t="n"/>
      <c r="D931" s="72" t="n"/>
      <c r="E931" s="72" t="n"/>
      <c r="F931" s="72" t="n"/>
      <c r="G931" s="72" t="n"/>
      <c r="H931" s="72" t="n"/>
      <c r="I931" s="73" t="n"/>
      <c r="J931" s="75">
        <f>IF(B931="","",SUMIFS('Change Orders'!$J$7:$J$1006,'Change Orders'!$E$7:$E$1006,B931,'Change Orders'!$L$7:$L$1006,"Approved"))</f>
        <v/>
      </c>
      <c r="K931" s="76">
        <f>IF(B931="","",I931+J931)</f>
        <v/>
      </c>
      <c r="L931" s="74" t="n"/>
      <c r="M931" s="109" t="n"/>
      <c r="N931" s="109" t="n"/>
      <c r="O931" s="74" t="n"/>
      <c r="P931" s="74" t="n"/>
      <c r="Q931" s="100" t="n"/>
      <c r="R931" s="110" t="n"/>
      <c r="S931" s="75">
        <f>IF(B931="","",SUMIFS('Payments'!$N$6:$N$1005,'Payments'!$B$6:$B$1005,B931))</f>
        <v/>
      </c>
      <c r="T931" s="111">
        <f>IF(OR(B931="",K931=0),"",S931/K931)</f>
        <v/>
      </c>
      <c r="U931" s="78">
        <f>IF(V931="","",IF(V931=2,"⚠️ Paying ahead of work","✓ OK"))</f>
        <v/>
      </c>
      <c r="V931" s="79">
        <f>IF(T931="","",IF(T931-R931&gt;OverpayTol,2,0))</f>
        <v/>
      </c>
      <c r="W931" s="112">
        <f>IF(V931=2,AsOf,"")</f>
        <v/>
      </c>
      <c r="X931" s="79">
        <f>IF(W931="","",1)</f>
        <v/>
      </c>
      <c r="Y931" s="79">
        <f>IF(X931="","","Paying ahead of work: "&amp;B931&amp;" — paid "&amp;ROUND(T931*100,0)&amp;"%, work done "&amp;ROUND(R931*100,0)&amp;"%")</f>
        <v/>
      </c>
      <c r="AA931" s="72" t="n"/>
      <c r="AB931" s="109" t="n"/>
      <c r="AC931" s="113" t="n"/>
      <c r="AD931" s="74" t="n"/>
      <c r="AE931" s="109" t="n"/>
      <c r="AF931" s="74" t="n"/>
      <c r="AG931" s="112">
        <f>IF(AND(AA931&lt;&gt;"",AD931="Yes",AF931&lt;&gt;"Yes",AE931&lt;&gt;""),AE931,"")</f>
        <v/>
      </c>
      <c r="AH931" s="79">
        <f>IF(AG931="","",IF(AG931&lt;AsOf,1,IF(AG931&lt;=AsOf+AlertDays,2,IF(AG931&lt;=AsOf+2*AlertDays,3,""))))</f>
        <v/>
      </c>
      <c r="AI931" s="79">
        <f>IF(AH931="","","Follow up with "&amp;AA931&amp;": "&amp;AC931)</f>
        <v/>
      </c>
    </row>
    <row r="932" ht="20" customHeight="1">
      <c r="B932" s="72" t="n"/>
      <c r="C932" s="72" t="n"/>
      <c r="D932" s="72" t="n"/>
      <c r="E932" s="72" t="n"/>
      <c r="F932" s="72" t="n"/>
      <c r="G932" s="72" t="n"/>
      <c r="H932" s="72" t="n"/>
      <c r="I932" s="73" t="n"/>
      <c r="J932" s="75">
        <f>IF(B932="","",SUMIFS('Change Orders'!$J$7:$J$1006,'Change Orders'!$E$7:$E$1006,B932,'Change Orders'!$L$7:$L$1006,"Approved"))</f>
        <v/>
      </c>
      <c r="K932" s="76">
        <f>IF(B932="","",I932+J932)</f>
        <v/>
      </c>
      <c r="L932" s="74" t="n"/>
      <c r="M932" s="109" t="n"/>
      <c r="N932" s="109" t="n"/>
      <c r="O932" s="74" t="n"/>
      <c r="P932" s="74" t="n"/>
      <c r="Q932" s="100" t="n"/>
      <c r="R932" s="110" t="n"/>
      <c r="S932" s="75">
        <f>IF(B932="","",SUMIFS('Payments'!$N$6:$N$1005,'Payments'!$B$6:$B$1005,B932))</f>
        <v/>
      </c>
      <c r="T932" s="111">
        <f>IF(OR(B932="",K932=0),"",S932/K932)</f>
        <v/>
      </c>
      <c r="U932" s="78">
        <f>IF(V932="","",IF(V932=2,"⚠️ Paying ahead of work","✓ OK"))</f>
        <v/>
      </c>
      <c r="V932" s="79">
        <f>IF(T932="","",IF(T932-R932&gt;OverpayTol,2,0))</f>
        <v/>
      </c>
      <c r="W932" s="112">
        <f>IF(V932=2,AsOf,"")</f>
        <v/>
      </c>
      <c r="X932" s="79">
        <f>IF(W932="","",1)</f>
        <v/>
      </c>
      <c r="Y932" s="79">
        <f>IF(X932="","","Paying ahead of work: "&amp;B932&amp;" — paid "&amp;ROUND(T932*100,0)&amp;"%, work done "&amp;ROUND(R932*100,0)&amp;"%")</f>
        <v/>
      </c>
      <c r="AA932" s="72" t="n"/>
      <c r="AB932" s="109" t="n"/>
      <c r="AC932" s="113" t="n"/>
      <c r="AD932" s="74" t="n"/>
      <c r="AE932" s="109" t="n"/>
      <c r="AF932" s="74" t="n"/>
      <c r="AG932" s="112">
        <f>IF(AND(AA932&lt;&gt;"",AD932="Yes",AF932&lt;&gt;"Yes",AE932&lt;&gt;""),AE932,"")</f>
        <v/>
      </c>
      <c r="AH932" s="79">
        <f>IF(AG932="","",IF(AG932&lt;AsOf,1,IF(AG932&lt;=AsOf+AlertDays,2,IF(AG932&lt;=AsOf+2*AlertDays,3,""))))</f>
        <v/>
      </c>
      <c r="AI932" s="79">
        <f>IF(AH932="","","Follow up with "&amp;AA932&amp;": "&amp;AC932)</f>
        <v/>
      </c>
    </row>
    <row r="933" ht="20" customHeight="1">
      <c r="B933" s="72" t="n"/>
      <c r="C933" s="72" t="n"/>
      <c r="D933" s="72" t="n"/>
      <c r="E933" s="72" t="n"/>
      <c r="F933" s="72" t="n"/>
      <c r="G933" s="72" t="n"/>
      <c r="H933" s="72" t="n"/>
      <c r="I933" s="73" t="n"/>
      <c r="J933" s="75">
        <f>IF(B933="","",SUMIFS('Change Orders'!$J$7:$J$1006,'Change Orders'!$E$7:$E$1006,B933,'Change Orders'!$L$7:$L$1006,"Approved"))</f>
        <v/>
      </c>
      <c r="K933" s="76">
        <f>IF(B933="","",I933+J933)</f>
        <v/>
      </c>
      <c r="L933" s="74" t="n"/>
      <c r="M933" s="109" t="n"/>
      <c r="N933" s="109" t="n"/>
      <c r="O933" s="74" t="n"/>
      <c r="P933" s="74" t="n"/>
      <c r="Q933" s="100" t="n"/>
      <c r="R933" s="110" t="n"/>
      <c r="S933" s="75">
        <f>IF(B933="","",SUMIFS('Payments'!$N$6:$N$1005,'Payments'!$B$6:$B$1005,B933))</f>
        <v/>
      </c>
      <c r="T933" s="111">
        <f>IF(OR(B933="",K933=0),"",S933/K933)</f>
        <v/>
      </c>
      <c r="U933" s="78">
        <f>IF(V933="","",IF(V933=2,"⚠️ Paying ahead of work","✓ OK"))</f>
        <v/>
      </c>
      <c r="V933" s="79">
        <f>IF(T933="","",IF(T933-R933&gt;OverpayTol,2,0))</f>
        <v/>
      </c>
      <c r="W933" s="112">
        <f>IF(V933=2,AsOf,"")</f>
        <v/>
      </c>
      <c r="X933" s="79">
        <f>IF(W933="","",1)</f>
        <v/>
      </c>
      <c r="Y933" s="79">
        <f>IF(X933="","","Paying ahead of work: "&amp;B933&amp;" — paid "&amp;ROUND(T933*100,0)&amp;"%, work done "&amp;ROUND(R933*100,0)&amp;"%")</f>
        <v/>
      </c>
      <c r="AA933" s="72" t="n"/>
      <c r="AB933" s="109" t="n"/>
      <c r="AC933" s="113" t="n"/>
      <c r="AD933" s="74" t="n"/>
      <c r="AE933" s="109" t="n"/>
      <c r="AF933" s="74" t="n"/>
      <c r="AG933" s="112">
        <f>IF(AND(AA933&lt;&gt;"",AD933="Yes",AF933&lt;&gt;"Yes",AE933&lt;&gt;""),AE933,"")</f>
        <v/>
      </c>
      <c r="AH933" s="79">
        <f>IF(AG933="","",IF(AG933&lt;AsOf,1,IF(AG933&lt;=AsOf+AlertDays,2,IF(AG933&lt;=AsOf+2*AlertDays,3,""))))</f>
        <v/>
      </c>
      <c r="AI933" s="79">
        <f>IF(AH933="","","Follow up with "&amp;AA933&amp;": "&amp;AC933)</f>
        <v/>
      </c>
    </row>
    <row r="934" ht="20" customHeight="1">
      <c r="B934" s="72" t="n"/>
      <c r="C934" s="72" t="n"/>
      <c r="D934" s="72" t="n"/>
      <c r="E934" s="72" t="n"/>
      <c r="F934" s="72" t="n"/>
      <c r="G934" s="72" t="n"/>
      <c r="H934" s="72" t="n"/>
      <c r="I934" s="73" t="n"/>
      <c r="J934" s="75">
        <f>IF(B934="","",SUMIFS('Change Orders'!$J$7:$J$1006,'Change Orders'!$E$7:$E$1006,B934,'Change Orders'!$L$7:$L$1006,"Approved"))</f>
        <v/>
      </c>
      <c r="K934" s="76">
        <f>IF(B934="","",I934+J934)</f>
        <v/>
      </c>
      <c r="L934" s="74" t="n"/>
      <c r="M934" s="109" t="n"/>
      <c r="N934" s="109" t="n"/>
      <c r="O934" s="74" t="n"/>
      <c r="P934" s="74" t="n"/>
      <c r="Q934" s="100" t="n"/>
      <c r="R934" s="110" t="n"/>
      <c r="S934" s="75">
        <f>IF(B934="","",SUMIFS('Payments'!$N$6:$N$1005,'Payments'!$B$6:$B$1005,B934))</f>
        <v/>
      </c>
      <c r="T934" s="111">
        <f>IF(OR(B934="",K934=0),"",S934/K934)</f>
        <v/>
      </c>
      <c r="U934" s="78">
        <f>IF(V934="","",IF(V934=2,"⚠️ Paying ahead of work","✓ OK"))</f>
        <v/>
      </c>
      <c r="V934" s="79">
        <f>IF(T934="","",IF(T934-R934&gt;OverpayTol,2,0))</f>
        <v/>
      </c>
      <c r="W934" s="112">
        <f>IF(V934=2,AsOf,"")</f>
        <v/>
      </c>
      <c r="X934" s="79">
        <f>IF(W934="","",1)</f>
        <v/>
      </c>
      <c r="Y934" s="79">
        <f>IF(X934="","","Paying ahead of work: "&amp;B934&amp;" — paid "&amp;ROUND(T934*100,0)&amp;"%, work done "&amp;ROUND(R934*100,0)&amp;"%")</f>
        <v/>
      </c>
      <c r="AA934" s="72" t="n"/>
      <c r="AB934" s="109" t="n"/>
      <c r="AC934" s="113" t="n"/>
      <c r="AD934" s="74" t="n"/>
      <c r="AE934" s="109" t="n"/>
      <c r="AF934" s="74" t="n"/>
      <c r="AG934" s="112">
        <f>IF(AND(AA934&lt;&gt;"",AD934="Yes",AF934&lt;&gt;"Yes",AE934&lt;&gt;""),AE934,"")</f>
        <v/>
      </c>
      <c r="AH934" s="79">
        <f>IF(AG934="","",IF(AG934&lt;AsOf,1,IF(AG934&lt;=AsOf+AlertDays,2,IF(AG934&lt;=AsOf+2*AlertDays,3,""))))</f>
        <v/>
      </c>
      <c r="AI934" s="79">
        <f>IF(AH934="","","Follow up with "&amp;AA934&amp;": "&amp;AC934)</f>
        <v/>
      </c>
    </row>
    <row r="935" ht="20" customHeight="1">
      <c r="B935" s="72" t="n"/>
      <c r="C935" s="72" t="n"/>
      <c r="D935" s="72" t="n"/>
      <c r="E935" s="72" t="n"/>
      <c r="F935" s="72" t="n"/>
      <c r="G935" s="72" t="n"/>
      <c r="H935" s="72" t="n"/>
      <c r="I935" s="73" t="n"/>
      <c r="J935" s="75">
        <f>IF(B935="","",SUMIFS('Change Orders'!$J$7:$J$1006,'Change Orders'!$E$7:$E$1006,B935,'Change Orders'!$L$7:$L$1006,"Approved"))</f>
        <v/>
      </c>
      <c r="K935" s="76">
        <f>IF(B935="","",I935+J935)</f>
        <v/>
      </c>
      <c r="L935" s="74" t="n"/>
      <c r="M935" s="109" t="n"/>
      <c r="N935" s="109" t="n"/>
      <c r="O935" s="74" t="n"/>
      <c r="P935" s="74" t="n"/>
      <c r="Q935" s="100" t="n"/>
      <c r="R935" s="110" t="n"/>
      <c r="S935" s="75">
        <f>IF(B935="","",SUMIFS('Payments'!$N$6:$N$1005,'Payments'!$B$6:$B$1005,B935))</f>
        <v/>
      </c>
      <c r="T935" s="111">
        <f>IF(OR(B935="",K935=0),"",S935/K935)</f>
        <v/>
      </c>
      <c r="U935" s="78">
        <f>IF(V935="","",IF(V935=2,"⚠️ Paying ahead of work","✓ OK"))</f>
        <v/>
      </c>
      <c r="V935" s="79">
        <f>IF(T935="","",IF(T935-R935&gt;OverpayTol,2,0))</f>
        <v/>
      </c>
      <c r="W935" s="112">
        <f>IF(V935=2,AsOf,"")</f>
        <v/>
      </c>
      <c r="X935" s="79">
        <f>IF(W935="","",1)</f>
        <v/>
      </c>
      <c r="Y935" s="79">
        <f>IF(X935="","","Paying ahead of work: "&amp;B935&amp;" — paid "&amp;ROUND(T935*100,0)&amp;"%, work done "&amp;ROUND(R935*100,0)&amp;"%")</f>
        <v/>
      </c>
      <c r="AA935" s="72" t="n"/>
      <c r="AB935" s="109" t="n"/>
      <c r="AC935" s="113" t="n"/>
      <c r="AD935" s="74" t="n"/>
      <c r="AE935" s="109" t="n"/>
      <c r="AF935" s="74" t="n"/>
      <c r="AG935" s="112">
        <f>IF(AND(AA935&lt;&gt;"",AD935="Yes",AF935&lt;&gt;"Yes",AE935&lt;&gt;""),AE935,"")</f>
        <v/>
      </c>
      <c r="AH935" s="79">
        <f>IF(AG935="","",IF(AG935&lt;AsOf,1,IF(AG935&lt;=AsOf+AlertDays,2,IF(AG935&lt;=AsOf+2*AlertDays,3,""))))</f>
        <v/>
      </c>
      <c r="AI935" s="79">
        <f>IF(AH935="","","Follow up with "&amp;AA935&amp;": "&amp;AC935)</f>
        <v/>
      </c>
    </row>
    <row r="936" ht="20" customHeight="1">
      <c r="B936" s="72" t="n"/>
      <c r="C936" s="72" t="n"/>
      <c r="D936" s="72" t="n"/>
      <c r="E936" s="72" t="n"/>
      <c r="F936" s="72" t="n"/>
      <c r="G936" s="72" t="n"/>
      <c r="H936" s="72" t="n"/>
      <c r="I936" s="73" t="n"/>
      <c r="J936" s="75">
        <f>IF(B936="","",SUMIFS('Change Orders'!$J$7:$J$1006,'Change Orders'!$E$7:$E$1006,B936,'Change Orders'!$L$7:$L$1006,"Approved"))</f>
        <v/>
      </c>
      <c r="K936" s="76">
        <f>IF(B936="","",I936+J936)</f>
        <v/>
      </c>
      <c r="L936" s="74" t="n"/>
      <c r="M936" s="109" t="n"/>
      <c r="N936" s="109" t="n"/>
      <c r="O936" s="74" t="n"/>
      <c r="P936" s="74" t="n"/>
      <c r="Q936" s="100" t="n"/>
      <c r="R936" s="110" t="n"/>
      <c r="S936" s="75">
        <f>IF(B936="","",SUMIFS('Payments'!$N$6:$N$1005,'Payments'!$B$6:$B$1005,B936))</f>
        <v/>
      </c>
      <c r="T936" s="111">
        <f>IF(OR(B936="",K936=0),"",S936/K936)</f>
        <v/>
      </c>
      <c r="U936" s="78">
        <f>IF(V936="","",IF(V936=2,"⚠️ Paying ahead of work","✓ OK"))</f>
        <v/>
      </c>
      <c r="V936" s="79">
        <f>IF(T936="","",IF(T936-R936&gt;OverpayTol,2,0))</f>
        <v/>
      </c>
      <c r="W936" s="112">
        <f>IF(V936=2,AsOf,"")</f>
        <v/>
      </c>
      <c r="X936" s="79">
        <f>IF(W936="","",1)</f>
        <v/>
      </c>
      <c r="Y936" s="79">
        <f>IF(X936="","","Paying ahead of work: "&amp;B936&amp;" — paid "&amp;ROUND(T936*100,0)&amp;"%, work done "&amp;ROUND(R936*100,0)&amp;"%")</f>
        <v/>
      </c>
      <c r="AA936" s="72" t="n"/>
      <c r="AB936" s="109" t="n"/>
      <c r="AC936" s="113" t="n"/>
      <c r="AD936" s="74" t="n"/>
      <c r="AE936" s="109" t="n"/>
      <c r="AF936" s="74" t="n"/>
      <c r="AG936" s="112">
        <f>IF(AND(AA936&lt;&gt;"",AD936="Yes",AF936&lt;&gt;"Yes",AE936&lt;&gt;""),AE936,"")</f>
        <v/>
      </c>
      <c r="AH936" s="79">
        <f>IF(AG936="","",IF(AG936&lt;AsOf,1,IF(AG936&lt;=AsOf+AlertDays,2,IF(AG936&lt;=AsOf+2*AlertDays,3,""))))</f>
        <v/>
      </c>
      <c r="AI936" s="79">
        <f>IF(AH936="","","Follow up with "&amp;AA936&amp;": "&amp;AC936)</f>
        <v/>
      </c>
    </row>
    <row r="937" ht="20" customHeight="1">
      <c r="B937" s="72" t="n"/>
      <c r="C937" s="72" t="n"/>
      <c r="D937" s="72" t="n"/>
      <c r="E937" s="72" t="n"/>
      <c r="F937" s="72" t="n"/>
      <c r="G937" s="72" t="n"/>
      <c r="H937" s="72" t="n"/>
      <c r="I937" s="73" t="n"/>
      <c r="J937" s="75">
        <f>IF(B937="","",SUMIFS('Change Orders'!$J$7:$J$1006,'Change Orders'!$E$7:$E$1006,B937,'Change Orders'!$L$7:$L$1006,"Approved"))</f>
        <v/>
      </c>
      <c r="K937" s="76">
        <f>IF(B937="","",I937+J937)</f>
        <v/>
      </c>
      <c r="L937" s="74" t="n"/>
      <c r="M937" s="109" t="n"/>
      <c r="N937" s="109" t="n"/>
      <c r="O937" s="74" t="n"/>
      <c r="P937" s="74" t="n"/>
      <c r="Q937" s="100" t="n"/>
      <c r="R937" s="110" t="n"/>
      <c r="S937" s="75">
        <f>IF(B937="","",SUMIFS('Payments'!$N$6:$N$1005,'Payments'!$B$6:$B$1005,B937))</f>
        <v/>
      </c>
      <c r="T937" s="111">
        <f>IF(OR(B937="",K937=0),"",S937/K937)</f>
        <v/>
      </c>
      <c r="U937" s="78">
        <f>IF(V937="","",IF(V937=2,"⚠️ Paying ahead of work","✓ OK"))</f>
        <v/>
      </c>
      <c r="V937" s="79">
        <f>IF(T937="","",IF(T937-R937&gt;OverpayTol,2,0))</f>
        <v/>
      </c>
      <c r="W937" s="112">
        <f>IF(V937=2,AsOf,"")</f>
        <v/>
      </c>
      <c r="X937" s="79">
        <f>IF(W937="","",1)</f>
        <v/>
      </c>
      <c r="Y937" s="79">
        <f>IF(X937="","","Paying ahead of work: "&amp;B937&amp;" — paid "&amp;ROUND(T937*100,0)&amp;"%, work done "&amp;ROUND(R937*100,0)&amp;"%")</f>
        <v/>
      </c>
      <c r="AA937" s="72" t="n"/>
      <c r="AB937" s="109" t="n"/>
      <c r="AC937" s="113" t="n"/>
      <c r="AD937" s="74" t="n"/>
      <c r="AE937" s="109" t="n"/>
      <c r="AF937" s="74" t="n"/>
      <c r="AG937" s="112">
        <f>IF(AND(AA937&lt;&gt;"",AD937="Yes",AF937&lt;&gt;"Yes",AE937&lt;&gt;""),AE937,"")</f>
        <v/>
      </c>
      <c r="AH937" s="79">
        <f>IF(AG937="","",IF(AG937&lt;AsOf,1,IF(AG937&lt;=AsOf+AlertDays,2,IF(AG937&lt;=AsOf+2*AlertDays,3,""))))</f>
        <v/>
      </c>
      <c r="AI937" s="79">
        <f>IF(AH937="","","Follow up with "&amp;AA937&amp;": "&amp;AC937)</f>
        <v/>
      </c>
    </row>
    <row r="938" ht="20" customHeight="1">
      <c r="B938" s="72" t="n"/>
      <c r="C938" s="72" t="n"/>
      <c r="D938" s="72" t="n"/>
      <c r="E938" s="72" t="n"/>
      <c r="F938" s="72" t="n"/>
      <c r="G938" s="72" t="n"/>
      <c r="H938" s="72" t="n"/>
      <c r="I938" s="73" t="n"/>
      <c r="J938" s="75">
        <f>IF(B938="","",SUMIFS('Change Orders'!$J$7:$J$1006,'Change Orders'!$E$7:$E$1006,B938,'Change Orders'!$L$7:$L$1006,"Approved"))</f>
        <v/>
      </c>
      <c r="K938" s="76">
        <f>IF(B938="","",I938+J938)</f>
        <v/>
      </c>
      <c r="L938" s="74" t="n"/>
      <c r="M938" s="109" t="n"/>
      <c r="N938" s="109" t="n"/>
      <c r="O938" s="74" t="n"/>
      <c r="P938" s="74" t="n"/>
      <c r="Q938" s="100" t="n"/>
      <c r="R938" s="110" t="n"/>
      <c r="S938" s="75">
        <f>IF(B938="","",SUMIFS('Payments'!$N$6:$N$1005,'Payments'!$B$6:$B$1005,B938))</f>
        <v/>
      </c>
      <c r="T938" s="111">
        <f>IF(OR(B938="",K938=0),"",S938/K938)</f>
        <v/>
      </c>
      <c r="U938" s="78">
        <f>IF(V938="","",IF(V938=2,"⚠️ Paying ahead of work","✓ OK"))</f>
        <v/>
      </c>
      <c r="V938" s="79">
        <f>IF(T938="","",IF(T938-R938&gt;OverpayTol,2,0))</f>
        <v/>
      </c>
      <c r="W938" s="112">
        <f>IF(V938=2,AsOf,"")</f>
        <v/>
      </c>
      <c r="X938" s="79">
        <f>IF(W938="","",1)</f>
        <v/>
      </c>
      <c r="Y938" s="79">
        <f>IF(X938="","","Paying ahead of work: "&amp;B938&amp;" — paid "&amp;ROUND(T938*100,0)&amp;"%, work done "&amp;ROUND(R938*100,0)&amp;"%")</f>
        <v/>
      </c>
      <c r="AA938" s="72" t="n"/>
      <c r="AB938" s="109" t="n"/>
      <c r="AC938" s="113" t="n"/>
      <c r="AD938" s="74" t="n"/>
      <c r="AE938" s="109" t="n"/>
      <c r="AF938" s="74" t="n"/>
      <c r="AG938" s="112">
        <f>IF(AND(AA938&lt;&gt;"",AD938="Yes",AF938&lt;&gt;"Yes",AE938&lt;&gt;""),AE938,"")</f>
        <v/>
      </c>
      <c r="AH938" s="79">
        <f>IF(AG938="","",IF(AG938&lt;AsOf,1,IF(AG938&lt;=AsOf+AlertDays,2,IF(AG938&lt;=AsOf+2*AlertDays,3,""))))</f>
        <v/>
      </c>
      <c r="AI938" s="79">
        <f>IF(AH938="","","Follow up with "&amp;AA938&amp;": "&amp;AC938)</f>
        <v/>
      </c>
    </row>
    <row r="939" ht="20" customHeight="1">
      <c r="B939" s="72" t="n"/>
      <c r="C939" s="72" t="n"/>
      <c r="D939" s="72" t="n"/>
      <c r="E939" s="72" t="n"/>
      <c r="F939" s="72" t="n"/>
      <c r="G939" s="72" t="n"/>
      <c r="H939" s="72" t="n"/>
      <c r="I939" s="73" t="n"/>
      <c r="J939" s="75">
        <f>IF(B939="","",SUMIFS('Change Orders'!$J$7:$J$1006,'Change Orders'!$E$7:$E$1006,B939,'Change Orders'!$L$7:$L$1006,"Approved"))</f>
        <v/>
      </c>
      <c r="K939" s="76">
        <f>IF(B939="","",I939+J939)</f>
        <v/>
      </c>
      <c r="L939" s="74" t="n"/>
      <c r="M939" s="109" t="n"/>
      <c r="N939" s="109" t="n"/>
      <c r="O939" s="74" t="n"/>
      <c r="P939" s="74" t="n"/>
      <c r="Q939" s="100" t="n"/>
      <c r="R939" s="110" t="n"/>
      <c r="S939" s="75">
        <f>IF(B939="","",SUMIFS('Payments'!$N$6:$N$1005,'Payments'!$B$6:$B$1005,B939))</f>
        <v/>
      </c>
      <c r="T939" s="111">
        <f>IF(OR(B939="",K939=0),"",S939/K939)</f>
        <v/>
      </c>
      <c r="U939" s="78">
        <f>IF(V939="","",IF(V939=2,"⚠️ Paying ahead of work","✓ OK"))</f>
        <v/>
      </c>
      <c r="V939" s="79">
        <f>IF(T939="","",IF(T939-R939&gt;OverpayTol,2,0))</f>
        <v/>
      </c>
      <c r="W939" s="112">
        <f>IF(V939=2,AsOf,"")</f>
        <v/>
      </c>
      <c r="X939" s="79">
        <f>IF(W939="","",1)</f>
        <v/>
      </c>
      <c r="Y939" s="79">
        <f>IF(X939="","","Paying ahead of work: "&amp;B939&amp;" — paid "&amp;ROUND(T939*100,0)&amp;"%, work done "&amp;ROUND(R939*100,0)&amp;"%")</f>
        <v/>
      </c>
      <c r="AA939" s="72" t="n"/>
      <c r="AB939" s="109" t="n"/>
      <c r="AC939" s="113" t="n"/>
      <c r="AD939" s="74" t="n"/>
      <c r="AE939" s="109" t="n"/>
      <c r="AF939" s="74" t="n"/>
      <c r="AG939" s="112">
        <f>IF(AND(AA939&lt;&gt;"",AD939="Yes",AF939&lt;&gt;"Yes",AE939&lt;&gt;""),AE939,"")</f>
        <v/>
      </c>
      <c r="AH939" s="79">
        <f>IF(AG939="","",IF(AG939&lt;AsOf,1,IF(AG939&lt;=AsOf+AlertDays,2,IF(AG939&lt;=AsOf+2*AlertDays,3,""))))</f>
        <v/>
      </c>
      <c r="AI939" s="79">
        <f>IF(AH939="","","Follow up with "&amp;AA939&amp;": "&amp;AC939)</f>
        <v/>
      </c>
    </row>
    <row r="940" ht="20" customHeight="1">
      <c r="B940" s="72" t="n"/>
      <c r="C940" s="72" t="n"/>
      <c r="D940" s="72" t="n"/>
      <c r="E940" s="72" t="n"/>
      <c r="F940" s="72" t="n"/>
      <c r="G940" s="72" t="n"/>
      <c r="H940" s="72" t="n"/>
      <c r="I940" s="73" t="n"/>
      <c r="J940" s="75">
        <f>IF(B940="","",SUMIFS('Change Orders'!$J$7:$J$1006,'Change Orders'!$E$7:$E$1006,B940,'Change Orders'!$L$7:$L$1006,"Approved"))</f>
        <v/>
      </c>
      <c r="K940" s="76">
        <f>IF(B940="","",I940+J940)</f>
        <v/>
      </c>
      <c r="L940" s="74" t="n"/>
      <c r="M940" s="109" t="n"/>
      <c r="N940" s="109" t="n"/>
      <c r="O940" s="74" t="n"/>
      <c r="P940" s="74" t="n"/>
      <c r="Q940" s="100" t="n"/>
      <c r="R940" s="110" t="n"/>
      <c r="S940" s="75">
        <f>IF(B940="","",SUMIFS('Payments'!$N$6:$N$1005,'Payments'!$B$6:$B$1005,B940))</f>
        <v/>
      </c>
      <c r="T940" s="111">
        <f>IF(OR(B940="",K940=0),"",S940/K940)</f>
        <v/>
      </c>
      <c r="U940" s="78">
        <f>IF(V940="","",IF(V940=2,"⚠️ Paying ahead of work","✓ OK"))</f>
        <v/>
      </c>
      <c r="V940" s="79">
        <f>IF(T940="","",IF(T940-R940&gt;OverpayTol,2,0))</f>
        <v/>
      </c>
      <c r="W940" s="112">
        <f>IF(V940=2,AsOf,"")</f>
        <v/>
      </c>
      <c r="X940" s="79">
        <f>IF(W940="","",1)</f>
        <v/>
      </c>
      <c r="Y940" s="79">
        <f>IF(X940="","","Paying ahead of work: "&amp;B940&amp;" — paid "&amp;ROUND(T940*100,0)&amp;"%, work done "&amp;ROUND(R940*100,0)&amp;"%")</f>
        <v/>
      </c>
      <c r="AA940" s="72" t="n"/>
      <c r="AB940" s="109" t="n"/>
      <c r="AC940" s="113" t="n"/>
      <c r="AD940" s="74" t="n"/>
      <c r="AE940" s="109" t="n"/>
      <c r="AF940" s="74" t="n"/>
      <c r="AG940" s="112">
        <f>IF(AND(AA940&lt;&gt;"",AD940="Yes",AF940&lt;&gt;"Yes",AE940&lt;&gt;""),AE940,"")</f>
        <v/>
      </c>
      <c r="AH940" s="79">
        <f>IF(AG940="","",IF(AG940&lt;AsOf,1,IF(AG940&lt;=AsOf+AlertDays,2,IF(AG940&lt;=AsOf+2*AlertDays,3,""))))</f>
        <v/>
      </c>
      <c r="AI940" s="79">
        <f>IF(AH940="","","Follow up with "&amp;AA940&amp;": "&amp;AC940)</f>
        <v/>
      </c>
    </row>
    <row r="941" ht="20" customHeight="1">
      <c r="B941" s="72" t="n"/>
      <c r="C941" s="72" t="n"/>
      <c r="D941" s="72" t="n"/>
      <c r="E941" s="72" t="n"/>
      <c r="F941" s="72" t="n"/>
      <c r="G941" s="72" t="n"/>
      <c r="H941" s="72" t="n"/>
      <c r="I941" s="73" t="n"/>
      <c r="J941" s="75">
        <f>IF(B941="","",SUMIFS('Change Orders'!$J$7:$J$1006,'Change Orders'!$E$7:$E$1006,B941,'Change Orders'!$L$7:$L$1006,"Approved"))</f>
        <v/>
      </c>
      <c r="K941" s="76">
        <f>IF(B941="","",I941+J941)</f>
        <v/>
      </c>
      <c r="L941" s="74" t="n"/>
      <c r="M941" s="109" t="n"/>
      <c r="N941" s="109" t="n"/>
      <c r="O941" s="74" t="n"/>
      <c r="P941" s="74" t="n"/>
      <c r="Q941" s="100" t="n"/>
      <c r="R941" s="110" t="n"/>
      <c r="S941" s="75">
        <f>IF(B941="","",SUMIFS('Payments'!$N$6:$N$1005,'Payments'!$B$6:$B$1005,B941))</f>
        <v/>
      </c>
      <c r="T941" s="111">
        <f>IF(OR(B941="",K941=0),"",S941/K941)</f>
        <v/>
      </c>
      <c r="U941" s="78">
        <f>IF(V941="","",IF(V941=2,"⚠️ Paying ahead of work","✓ OK"))</f>
        <v/>
      </c>
      <c r="V941" s="79">
        <f>IF(T941="","",IF(T941-R941&gt;OverpayTol,2,0))</f>
        <v/>
      </c>
      <c r="W941" s="112">
        <f>IF(V941=2,AsOf,"")</f>
        <v/>
      </c>
      <c r="X941" s="79">
        <f>IF(W941="","",1)</f>
        <v/>
      </c>
      <c r="Y941" s="79">
        <f>IF(X941="","","Paying ahead of work: "&amp;B941&amp;" — paid "&amp;ROUND(T941*100,0)&amp;"%, work done "&amp;ROUND(R941*100,0)&amp;"%")</f>
        <v/>
      </c>
      <c r="AA941" s="72" t="n"/>
      <c r="AB941" s="109" t="n"/>
      <c r="AC941" s="113" t="n"/>
      <c r="AD941" s="74" t="n"/>
      <c r="AE941" s="109" t="n"/>
      <c r="AF941" s="74" t="n"/>
      <c r="AG941" s="112">
        <f>IF(AND(AA941&lt;&gt;"",AD941="Yes",AF941&lt;&gt;"Yes",AE941&lt;&gt;""),AE941,"")</f>
        <v/>
      </c>
      <c r="AH941" s="79">
        <f>IF(AG941="","",IF(AG941&lt;AsOf,1,IF(AG941&lt;=AsOf+AlertDays,2,IF(AG941&lt;=AsOf+2*AlertDays,3,""))))</f>
        <v/>
      </c>
      <c r="AI941" s="79">
        <f>IF(AH941="","","Follow up with "&amp;AA941&amp;": "&amp;AC941)</f>
        <v/>
      </c>
    </row>
    <row r="942" ht="20" customHeight="1">
      <c r="B942" s="72" t="n"/>
      <c r="C942" s="72" t="n"/>
      <c r="D942" s="72" t="n"/>
      <c r="E942" s="72" t="n"/>
      <c r="F942" s="72" t="n"/>
      <c r="G942" s="72" t="n"/>
      <c r="H942" s="72" t="n"/>
      <c r="I942" s="73" t="n"/>
      <c r="J942" s="75">
        <f>IF(B942="","",SUMIFS('Change Orders'!$J$7:$J$1006,'Change Orders'!$E$7:$E$1006,B942,'Change Orders'!$L$7:$L$1006,"Approved"))</f>
        <v/>
      </c>
      <c r="K942" s="76">
        <f>IF(B942="","",I942+J942)</f>
        <v/>
      </c>
      <c r="L942" s="74" t="n"/>
      <c r="M942" s="109" t="n"/>
      <c r="N942" s="109" t="n"/>
      <c r="O942" s="74" t="n"/>
      <c r="P942" s="74" t="n"/>
      <c r="Q942" s="100" t="n"/>
      <c r="R942" s="110" t="n"/>
      <c r="S942" s="75">
        <f>IF(B942="","",SUMIFS('Payments'!$N$6:$N$1005,'Payments'!$B$6:$B$1005,B942))</f>
        <v/>
      </c>
      <c r="T942" s="111">
        <f>IF(OR(B942="",K942=0),"",S942/K942)</f>
        <v/>
      </c>
      <c r="U942" s="78">
        <f>IF(V942="","",IF(V942=2,"⚠️ Paying ahead of work","✓ OK"))</f>
        <v/>
      </c>
      <c r="V942" s="79">
        <f>IF(T942="","",IF(T942-R942&gt;OverpayTol,2,0))</f>
        <v/>
      </c>
      <c r="W942" s="112">
        <f>IF(V942=2,AsOf,"")</f>
        <v/>
      </c>
      <c r="X942" s="79">
        <f>IF(W942="","",1)</f>
        <v/>
      </c>
      <c r="Y942" s="79">
        <f>IF(X942="","","Paying ahead of work: "&amp;B942&amp;" — paid "&amp;ROUND(T942*100,0)&amp;"%, work done "&amp;ROUND(R942*100,0)&amp;"%")</f>
        <v/>
      </c>
      <c r="AA942" s="72" t="n"/>
      <c r="AB942" s="109" t="n"/>
      <c r="AC942" s="113" t="n"/>
      <c r="AD942" s="74" t="n"/>
      <c r="AE942" s="109" t="n"/>
      <c r="AF942" s="74" t="n"/>
      <c r="AG942" s="112">
        <f>IF(AND(AA942&lt;&gt;"",AD942="Yes",AF942&lt;&gt;"Yes",AE942&lt;&gt;""),AE942,"")</f>
        <v/>
      </c>
      <c r="AH942" s="79">
        <f>IF(AG942="","",IF(AG942&lt;AsOf,1,IF(AG942&lt;=AsOf+AlertDays,2,IF(AG942&lt;=AsOf+2*AlertDays,3,""))))</f>
        <v/>
      </c>
      <c r="AI942" s="79">
        <f>IF(AH942="","","Follow up with "&amp;AA942&amp;": "&amp;AC942)</f>
        <v/>
      </c>
    </row>
    <row r="943" ht="20" customHeight="1">
      <c r="B943" s="72" t="n"/>
      <c r="C943" s="72" t="n"/>
      <c r="D943" s="72" t="n"/>
      <c r="E943" s="72" t="n"/>
      <c r="F943" s="72" t="n"/>
      <c r="G943" s="72" t="n"/>
      <c r="H943" s="72" t="n"/>
      <c r="I943" s="73" t="n"/>
      <c r="J943" s="75">
        <f>IF(B943="","",SUMIFS('Change Orders'!$J$7:$J$1006,'Change Orders'!$E$7:$E$1006,B943,'Change Orders'!$L$7:$L$1006,"Approved"))</f>
        <v/>
      </c>
      <c r="K943" s="76">
        <f>IF(B943="","",I943+J943)</f>
        <v/>
      </c>
      <c r="L943" s="74" t="n"/>
      <c r="M943" s="109" t="n"/>
      <c r="N943" s="109" t="n"/>
      <c r="O943" s="74" t="n"/>
      <c r="P943" s="74" t="n"/>
      <c r="Q943" s="100" t="n"/>
      <c r="R943" s="110" t="n"/>
      <c r="S943" s="75">
        <f>IF(B943="","",SUMIFS('Payments'!$N$6:$N$1005,'Payments'!$B$6:$B$1005,B943))</f>
        <v/>
      </c>
      <c r="T943" s="111">
        <f>IF(OR(B943="",K943=0),"",S943/K943)</f>
        <v/>
      </c>
      <c r="U943" s="78">
        <f>IF(V943="","",IF(V943=2,"⚠️ Paying ahead of work","✓ OK"))</f>
        <v/>
      </c>
      <c r="V943" s="79">
        <f>IF(T943="","",IF(T943-R943&gt;OverpayTol,2,0))</f>
        <v/>
      </c>
      <c r="W943" s="112">
        <f>IF(V943=2,AsOf,"")</f>
        <v/>
      </c>
      <c r="X943" s="79">
        <f>IF(W943="","",1)</f>
        <v/>
      </c>
      <c r="Y943" s="79">
        <f>IF(X943="","","Paying ahead of work: "&amp;B943&amp;" — paid "&amp;ROUND(T943*100,0)&amp;"%, work done "&amp;ROUND(R943*100,0)&amp;"%")</f>
        <v/>
      </c>
      <c r="AA943" s="72" t="n"/>
      <c r="AB943" s="109" t="n"/>
      <c r="AC943" s="113" t="n"/>
      <c r="AD943" s="74" t="n"/>
      <c r="AE943" s="109" t="n"/>
      <c r="AF943" s="74" t="n"/>
      <c r="AG943" s="112">
        <f>IF(AND(AA943&lt;&gt;"",AD943="Yes",AF943&lt;&gt;"Yes",AE943&lt;&gt;""),AE943,"")</f>
        <v/>
      </c>
      <c r="AH943" s="79">
        <f>IF(AG943="","",IF(AG943&lt;AsOf,1,IF(AG943&lt;=AsOf+AlertDays,2,IF(AG943&lt;=AsOf+2*AlertDays,3,""))))</f>
        <v/>
      </c>
      <c r="AI943" s="79">
        <f>IF(AH943="","","Follow up with "&amp;AA943&amp;": "&amp;AC943)</f>
        <v/>
      </c>
    </row>
    <row r="944" ht="20" customHeight="1">
      <c r="B944" s="72" t="n"/>
      <c r="C944" s="72" t="n"/>
      <c r="D944" s="72" t="n"/>
      <c r="E944" s="72" t="n"/>
      <c r="F944" s="72" t="n"/>
      <c r="G944" s="72" t="n"/>
      <c r="H944" s="72" t="n"/>
      <c r="I944" s="73" t="n"/>
      <c r="J944" s="75">
        <f>IF(B944="","",SUMIFS('Change Orders'!$J$7:$J$1006,'Change Orders'!$E$7:$E$1006,B944,'Change Orders'!$L$7:$L$1006,"Approved"))</f>
        <v/>
      </c>
      <c r="K944" s="76">
        <f>IF(B944="","",I944+J944)</f>
        <v/>
      </c>
      <c r="L944" s="74" t="n"/>
      <c r="M944" s="109" t="n"/>
      <c r="N944" s="109" t="n"/>
      <c r="O944" s="74" t="n"/>
      <c r="P944" s="74" t="n"/>
      <c r="Q944" s="100" t="n"/>
      <c r="R944" s="110" t="n"/>
      <c r="S944" s="75">
        <f>IF(B944="","",SUMIFS('Payments'!$N$6:$N$1005,'Payments'!$B$6:$B$1005,B944))</f>
        <v/>
      </c>
      <c r="T944" s="111">
        <f>IF(OR(B944="",K944=0),"",S944/K944)</f>
        <v/>
      </c>
      <c r="U944" s="78">
        <f>IF(V944="","",IF(V944=2,"⚠️ Paying ahead of work","✓ OK"))</f>
        <v/>
      </c>
      <c r="V944" s="79">
        <f>IF(T944="","",IF(T944-R944&gt;OverpayTol,2,0))</f>
        <v/>
      </c>
      <c r="W944" s="112">
        <f>IF(V944=2,AsOf,"")</f>
        <v/>
      </c>
      <c r="X944" s="79">
        <f>IF(W944="","",1)</f>
        <v/>
      </c>
      <c r="Y944" s="79">
        <f>IF(X944="","","Paying ahead of work: "&amp;B944&amp;" — paid "&amp;ROUND(T944*100,0)&amp;"%, work done "&amp;ROUND(R944*100,0)&amp;"%")</f>
        <v/>
      </c>
      <c r="AA944" s="72" t="n"/>
      <c r="AB944" s="109" t="n"/>
      <c r="AC944" s="113" t="n"/>
      <c r="AD944" s="74" t="n"/>
      <c r="AE944" s="109" t="n"/>
      <c r="AF944" s="74" t="n"/>
      <c r="AG944" s="112">
        <f>IF(AND(AA944&lt;&gt;"",AD944="Yes",AF944&lt;&gt;"Yes",AE944&lt;&gt;""),AE944,"")</f>
        <v/>
      </c>
      <c r="AH944" s="79">
        <f>IF(AG944="","",IF(AG944&lt;AsOf,1,IF(AG944&lt;=AsOf+AlertDays,2,IF(AG944&lt;=AsOf+2*AlertDays,3,""))))</f>
        <v/>
      </c>
      <c r="AI944" s="79">
        <f>IF(AH944="","","Follow up with "&amp;AA944&amp;": "&amp;AC944)</f>
        <v/>
      </c>
    </row>
    <row r="945" ht="20" customHeight="1">
      <c r="B945" s="72" t="n"/>
      <c r="C945" s="72" t="n"/>
      <c r="D945" s="72" t="n"/>
      <c r="E945" s="72" t="n"/>
      <c r="F945" s="72" t="n"/>
      <c r="G945" s="72" t="n"/>
      <c r="H945" s="72" t="n"/>
      <c r="I945" s="73" t="n"/>
      <c r="J945" s="75">
        <f>IF(B945="","",SUMIFS('Change Orders'!$J$7:$J$1006,'Change Orders'!$E$7:$E$1006,B945,'Change Orders'!$L$7:$L$1006,"Approved"))</f>
        <v/>
      </c>
      <c r="K945" s="76">
        <f>IF(B945="","",I945+J945)</f>
        <v/>
      </c>
      <c r="L945" s="74" t="n"/>
      <c r="M945" s="109" t="n"/>
      <c r="N945" s="109" t="n"/>
      <c r="O945" s="74" t="n"/>
      <c r="P945" s="74" t="n"/>
      <c r="Q945" s="100" t="n"/>
      <c r="R945" s="110" t="n"/>
      <c r="S945" s="75">
        <f>IF(B945="","",SUMIFS('Payments'!$N$6:$N$1005,'Payments'!$B$6:$B$1005,B945))</f>
        <v/>
      </c>
      <c r="T945" s="111">
        <f>IF(OR(B945="",K945=0),"",S945/K945)</f>
        <v/>
      </c>
      <c r="U945" s="78">
        <f>IF(V945="","",IF(V945=2,"⚠️ Paying ahead of work","✓ OK"))</f>
        <v/>
      </c>
      <c r="V945" s="79">
        <f>IF(T945="","",IF(T945-R945&gt;OverpayTol,2,0))</f>
        <v/>
      </c>
      <c r="W945" s="112">
        <f>IF(V945=2,AsOf,"")</f>
        <v/>
      </c>
      <c r="X945" s="79">
        <f>IF(W945="","",1)</f>
        <v/>
      </c>
      <c r="Y945" s="79">
        <f>IF(X945="","","Paying ahead of work: "&amp;B945&amp;" — paid "&amp;ROUND(T945*100,0)&amp;"%, work done "&amp;ROUND(R945*100,0)&amp;"%")</f>
        <v/>
      </c>
      <c r="AA945" s="72" t="n"/>
      <c r="AB945" s="109" t="n"/>
      <c r="AC945" s="113" t="n"/>
      <c r="AD945" s="74" t="n"/>
      <c r="AE945" s="109" t="n"/>
      <c r="AF945" s="74" t="n"/>
      <c r="AG945" s="112">
        <f>IF(AND(AA945&lt;&gt;"",AD945="Yes",AF945&lt;&gt;"Yes",AE945&lt;&gt;""),AE945,"")</f>
        <v/>
      </c>
      <c r="AH945" s="79">
        <f>IF(AG945="","",IF(AG945&lt;AsOf,1,IF(AG945&lt;=AsOf+AlertDays,2,IF(AG945&lt;=AsOf+2*AlertDays,3,""))))</f>
        <v/>
      </c>
      <c r="AI945" s="79">
        <f>IF(AH945="","","Follow up with "&amp;AA945&amp;": "&amp;AC945)</f>
        <v/>
      </c>
    </row>
    <row r="946" ht="20" customHeight="1">
      <c r="B946" s="72" t="n"/>
      <c r="C946" s="72" t="n"/>
      <c r="D946" s="72" t="n"/>
      <c r="E946" s="72" t="n"/>
      <c r="F946" s="72" t="n"/>
      <c r="G946" s="72" t="n"/>
      <c r="H946" s="72" t="n"/>
      <c r="I946" s="73" t="n"/>
      <c r="J946" s="75">
        <f>IF(B946="","",SUMIFS('Change Orders'!$J$7:$J$1006,'Change Orders'!$E$7:$E$1006,B946,'Change Orders'!$L$7:$L$1006,"Approved"))</f>
        <v/>
      </c>
      <c r="K946" s="76">
        <f>IF(B946="","",I946+J946)</f>
        <v/>
      </c>
      <c r="L946" s="74" t="n"/>
      <c r="M946" s="109" t="n"/>
      <c r="N946" s="109" t="n"/>
      <c r="O946" s="74" t="n"/>
      <c r="P946" s="74" t="n"/>
      <c r="Q946" s="100" t="n"/>
      <c r="R946" s="110" t="n"/>
      <c r="S946" s="75">
        <f>IF(B946="","",SUMIFS('Payments'!$N$6:$N$1005,'Payments'!$B$6:$B$1005,B946))</f>
        <v/>
      </c>
      <c r="T946" s="111">
        <f>IF(OR(B946="",K946=0),"",S946/K946)</f>
        <v/>
      </c>
      <c r="U946" s="78">
        <f>IF(V946="","",IF(V946=2,"⚠️ Paying ahead of work","✓ OK"))</f>
        <v/>
      </c>
      <c r="V946" s="79">
        <f>IF(T946="","",IF(T946-R946&gt;OverpayTol,2,0))</f>
        <v/>
      </c>
      <c r="W946" s="112">
        <f>IF(V946=2,AsOf,"")</f>
        <v/>
      </c>
      <c r="X946" s="79">
        <f>IF(W946="","",1)</f>
        <v/>
      </c>
      <c r="Y946" s="79">
        <f>IF(X946="","","Paying ahead of work: "&amp;B946&amp;" — paid "&amp;ROUND(T946*100,0)&amp;"%, work done "&amp;ROUND(R946*100,0)&amp;"%")</f>
        <v/>
      </c>
      <c r="AA946" s="72" t="n"/>
      <c r="AB946" s="109" t="n"/>
      <c r="AC946" s="113" t="n"/>
      <c r="AD946" s="74" t="n"/>
      <c r="AE946" s="109" t="n"/>
      <c r="AF946" s="74" t="n"/>
      <c r="AG946" s="112">
        <f>IF(AND(AA946&lt;&gt;"",AD946="Yes",AF946&lt;&gt;"Yes",AE946&lt;&gt;""),AE946,"")</f>
        <v/>
      </c>
      <c r="AH946" s="79">
        <f>IF(AG946="","",IF(AG946&lt;AsOf,1,IF(AG946&lt;=AsOf+AlertDays,2,IF(AG946&lt;=AsOf+2*AlertDays,3,""))))</f>
        <v/>
      </c>
      <c r="AI946" s="79">
        <f>IF(AH946="","","Follow up with "&amp;AA946&amp;": "&amp;AC946)</f>
        <v/>
      </c>
    </row>
    <row r="947" ht="20" customHeight="1">
      <c r="B947" s="72" t="n"/>
      <c r="C947" s="72" t="n"/>
      <c r="D947" s="72" t="n"/>
      <c r="E947" s="72" t="n"/>
      <c r="F947" s="72" t="n"/>
      <c r="G947" s="72" t="n"/>
      <c r="H947" s="72" t="n"/>
      <c r="I947" s="73" t="n"/>
      <c r="J947" s="75">
        <f>IF(B947="","",SUMIFS('Change Orders'!$J$7:$J$1006,'Change Orders'!$E$7:$E$1006,B947,'Change Orders'!$L$7:$L$1006,"Approved"))</f>
        <v/>
      </c>
      <c r="K947" s="76">
        <f>IF(B947="","",I947+J947)</f>
        <v/>
      </c>
      <c r="L947" s="74" t="n"/>
      <c r="M947" s="109" t="n"/>
      <c r="N947" s="109" t="n"/>
      <c r="O947" s="74" t="n"/>
      <c r="P947" s="74" t="n"/>
      <c r="Q947" s="100" t="n"/>
      <c r="R947" s="110" t="n"/>
      <c r="S947" s="75">
        <f>IF(B947="","",SUMIFS('Payments'!$N$6:$N$1005,'Payments'!$B$6:$B$1005,B947))</f>
        <v/>
      </c>
      <c r="T947" s="111">
        <f>IF(OR(B947="",K947=0),"",S947/K947)</f>
        <v/>
      </c>
      <c r="U947" s="78">
        <f>IF(V947="","",IF(V947=2,"⚠️ Paying ahead of work","✓ OK"))</f>
        <v/>
      </c>
      <c r="V947" s="79">
        <f>IF(T947="","",IF(T947-R947&gt;OverpayTol,2,0))</f>
        <v/>
      </c>
      <c r="W947" s="112">
        <f>IF(V947=2,AsOf,"")</f>
        <v/>
      </c>
      <c r="X947" s="79">
        <f>IF(W947="","",1)</f>
        <v/>
      </c>
      <c r="Y947" s="79">
        <f>IF(X947="","","Paying ahead of work: "&amp;B947&amp;" — paid "&amp;ROUND(T947*100,0)&amp;"%, work done "&amp;ROUND(R947*100,0)&amp;"%")</f>
        <v/>
      </c>
      <c r="AA947" s="72" t="n"/>
      <c r="AB947" s="109" t="n"/>
      <c r="AC947" s="113" t="n"/>
      <c r="AD947" s="74" t="n"/>
      <c r="AE947" s="109" t="n"/>
      <c r="AF947" s="74" t="n"/>
      <c r="AG947" s="112">
        <f>IF(AND(AA947&lt;&gt;"",AD947="Yes",AF947&lt;&gt;"Yes",AE947&lt;&gt;""),AE947,"")</f>
        <v/>
      </c>
      <c r="AH947" s="79">
        <f>IF(AG947="","",IF(AG947&lt;AsOf,1,IF(AG947&lt;=AsOf+AlertDays,2,IF(AG947&lt;=AsOf+2*AlertDays,3,""))))</f>
        <v/>
      </c>
      <c r="AI947" s="79">
        <f>IF(AH947="","","Follow up with "&amp;AA947&amp;": "&amp;AC947)</f>
        <v/>
      </c>
    </row>
    <row r="948" ht="20" customHeight="1">
      <c r="B948" s="72" t="n"/>
      <c r="C948" s="72" t="n"/>
      <c r="D948" s="72" t="n"/>
      <c r="E948" s="72" t="n"/>
      <c r="F948" s="72" t="n"/>
      <c r="G948" s="72" t="n"/>
      <c r="H948" s="72" t="n"/>
      <c r="I948" s="73" t="n"/>
      <c r="J948" s="75">
        <f>IF(B948="","",SUMIFS('Change Orders'!$J$7:$J$1006,'Change Orders'!$E$7:$E$1006,B948,'Change Orders'!$L$7:$L$1006,"Approved"))</f>
        <v/>
      </c>
      <c r="K948" s="76">
        <f>IF(B948="","",I948+J948)</f>
        <v/>
      </c>
      <c r="L948" s="74" t="n"/>
      <c r="M948" s="109" t="n"/>
      <c r="N948" s="109" t="n"/>
      <c r="O948" s="74" t="n"/>
      <c r="P948" s="74" t="n"/>
      <c r="Q948" s="100" t="n"/>
      <c r="R948" s="110" t="n"/>
      <c r="S948" s="75">
        <f>IF(B948="","",SUMIFS('Payments'!$N$6:$N$1005,'Payments'!$B$6:$B$1005,B948))</f>
        <v/>
      </c>
      <c r="T948" s="111">
        <f>IF(OR(B948="",K948=0),"",S948/K948)</f>
        <v/>
      </c>
      <c r="U948" s="78">
        <f>IF(V948="","",IF(V948=2,"⚠️ Paying ahead of work","✓ OK"))</f>
        <v/>
      </c>
      <c r="V948" s="79">
        <f>IF(T948="","",IF(T948-R948&gt;OverpayTol,2,0))</f>
        <v/>
      </c>
      <c r="W948" s="112">
        <f>IF(V948=2,AsOf,"")</f>
        <v/>
      </c>
      <c r="X948" s="79">
        <f>IF(W948="","",1)</f>
        <v/>
      </c>
      <c r="Y948" s="79">
        <f>IF(X948="","","Paying ahead of work: "&amp;B948&amp;" — paid "&amp;ROUND(T948*100,0)&amp;"%, work done "&amp;ROUND(R948*100,0)&amp;"%")</f>
        <v/>
      </c>
      <c r="AA948" s="72" t="n"/>
      <c r="AB948" s="109" t="n"/>
      <c r="AC948" s="113" t="n"/>
      <c r="AD948" s="74" t="n"/>
      <c r="AE948" s="109" t="n"/>
      <c r="AF948" s="74" t="n"/>
      <c r="AG948" s="112">
        <f>IF(AND(AA948&lt;&gt;"",AD948="Yes",AF948&lt;&gt;"Yes",AE948&lt;&gt;""),AE948,"")</f>
        <v/>
      </c>
      <c r="AH948" s="79">
        <f>IF(AG948="","",IF(AG948&lt;AsOf,1,IF(AG948&lt;=AsOf+AlertDays,2,IF(AG948&lt;=AsOf+2*AlertDays,3,""))))</f>
        <v/>
      </c>
      <c r="AI948" s="79">
        <f>IF(AH948="","","Follow up with "&amp;AA948&amp;": "&amp;AC948)</f>
        <v/>
      </c>
    </row>
    <row r="949" ht="20" customHeight="1">
      <c r="B949" s="72" t="n"/>
      <c r="C949" s="72" t="n"/>
      <c r="D949" s="72" t="n"/>
      <c r="E949" s="72" t="n"/>
      <c r="F949" s="72" t="n"/>
      <c r="G949" s="72" t="n"/>
      <c r="H949" s="72" t="n"/>
      <c r="I949" s="73" t="n"/>
      <c r="J949" s="75">
        <f>IF(B949="","",SUMIFS('Change Orders'!$J$7:$J$1006,'Change Orders'!$E$7:$E$1006,B949,'Change Orders'!$L$7:$L$1006,"Approved"))</f>
        <v/>
      </c>
      <c r="K949" s="76">
        <f>IF(B949="","",I949+J949)</f>
        <v/>
      </c>
      <c r="L949" s="74" t="n"/>
      <c r="M949" s="109" t="n"/>
      <c r="N949" s="109" t="n"/>
      <c r="O949" s="74" t="n"/>
      <c r="P949" s="74" t="n"/>
      <c r="Q949" s="100" t="n"/>
      <c r="R949" s="110" t="n"/>
      <c r="S949" s="75">
        <f>IF(B949="","",SUMIFS('Payments'!$N$6:$N$1005,'Payments'!$B$6:$B$1005,B949))</f>
        <v/>
      </c>
      <c r="T949" s="111">
        <f>IF(OR(B949="",K949=0),"",S949/K949)</f>
        <v/>
      </c>
      <c r="U949" s="78">
        <f>IF(V949="","",IF(V949=2,"⚠️ Paying ahead of work","✓ OK"))</f>
        <v/>
      </c>
      <c r="V949" s="79">
        <f>IF(T949="","",IF(T949-R949&gt;OverpayTol,2,0))</f>
        <v/>
      </c>
      <c r="W949" s="112">
        <f>IF(V949=2,AsOf,"")</f>
        <v/>
      </c>
      <c r="X949" s="79">
        <f>IF(W949="","",1)</f>
        <v/>
      </c>
      <c r="Y949" s="79">
        <f>IF(X949="","","Paying ahead of work: "&amp;B949&amp;" — paid "&amp;ROUND(T949*100,0)&amp;"%, work done "&amp;ROUND(R949*100,0)&amp;"%")</f>
        <v/>
      </c>
      <c r="AA949" s="72" t="n"/>
      <c r="AB949" s="109" t="n"/>
      <c r="AC949" s="113" t="n"/>
      <c r="AD949" s="74" t="n"/>
      <c r="AE949" s="109" t="n"/>
      <c r="AF949" s="74" t="n"/>
      <c r="AG949" s="112">
        <f>IF(AND(AA949&lt;&gt;"",AD949="Yes",AF949&lt;&gt;"Yes",AE949&lt;&gt;""),AE949,"")</f>
        <v/>
      </c>
      <c r="AH949" s="79">
        <f>IF(AG949="","",IF(AG949&lt;AsOf,1,IF(AG949&lt;=AsOf+AlertDays,2,IF(AG949&lt;=AsOf+2*AlertDays,3,""))))</f>
        <v/>
      </c>
      <c r="AI949" s="79">
        <f>IF(AH949="","","Follow up with "&amp;AA949&amp;": "&amp;AC949)</f>
        <v/>
      </c>
    </row>
    <row r="950" ht="20" customHeight="1">
      <c r="B950" s="72" t="n"/>
      <c r="C950" s="72" t="n"/>
      <c r="D950" s="72" t="n"/>
      <c r="E950" s="72" t="n"/>
      <c r="F950" s="72" t="n"/>
      <c r="G950" s="72" t="n"/>
      <c r="H950" s="72" t="n"/>
      <c r="I950" s="73" t="n"/>
      <c r="J950" s="75">
        <f>IF(B950="","",SUMIFS('Change Orders'!$J$7:$J$1006,'Change Orders'!$E$7:$E$1006,B950,'Change Orders'!$L$7:$L$1006,"Approved"))</f>
        <v/>
      </c>
      <c r="K950" s="76">
        <f>IF(B950="","",I950+J950)</f>
        <v/>
      </c>
      <c r="L950" s="74" t="n"/>
      <c r="M950" s="109" t="n"/>
      <c r="N950" s="109" t="n"/>
      <c r="O950" s="74" t="n"/>
      <c r="P950" s="74" t="n"/>
      <c r="Q950" s="100" t="n"/>
      <c r="R950" s="110" t="n"/>
      <c r="S950" s="75">
        <f>IF(B950="","",SUMIFS('Payments'!$N$6:$N$1005,'Payments'!$B$6:$B$1005,B950))</f>
        <v/>
      </c>
      <c r="T950" s="111">
        <f>IF(OR(B950="",K950=0),"",S950/K950)</f>
        <v/>
      </c>
      <c r="U950" s="78">
        <f>IF(V950="","",IF(V950=2,"⚠️ Paying ahead of work","✓ OK"))</f>
        <v/>
      </c>
      <c r="V950" s="79">
        <f>IF(T950="","",IF(T950-R950&gt;OverpayTol,2,0))</f>
        <v/>
      </c>
      <c r="W950" s="112">
        <f>IF(V950=2,AsOf,"")</f>
        <v/>
      </c>
      <c r="X950" s="79">
        <f>IF(W950="","",1)</f>
        <v/>
      </c>
      <c r="Y950" s="79">
        <f>IF(X950="","","Paying ahead of work: "&amp;B950&amp;" — paid "&amp;ROUND(T950*100,0)&amp;"%, work done "&amp;ROUND(R950*100,0)&amp;"%")</f>
        <v/>
      </c>
      <c r="AA950" s="72" t="n"/>
      <c r="AB950" s="109" t="n"/>
      <c r="AC950" s="113" t="n"/>
      <c r="AD950" s="74" t="n"/>
      <c r="AE950" s="109" t="n"/>
      <c r="AF950" s="74" t="n"/>
      <c r="AG950" s="112">
        <f>IF(AND(AA950&lt;&gt;"",AD950="Yes",AF950&lt;&gt;"Yes",AE950&lt;&gt;""),AE950,"")</f>
        <v/>
      </c>
      <c r="AH950" s="79">
        <f>IF(AG950="","",IF(AG950&lt;AsOf,1,IF(AG950&lt;=AsOf+AlertDays,2,IF(AG950&lt;=AsOf+2*AlertDays,3,""))))</f>
        <v/>
      </c>
      <c r="AI950" s="79">
        <f>IF(AH950="","","Follow up with "&amp;AA950&amp;": "&amp;AC950)</f>
        <v/>
      </c>
    </row>
    <row r="951" ht="20" customHeight="1">
      <c r="B951" s="72" t="n"/>
      <c r="C951" s="72" t="n"/>
      <c r="D951" s="72" t="n"/>
      <c r="E951" s="72" t="n"/>
      <c r="F951" s="72" t="n"/>
      <c r="G951" s="72" t="n"/>
      <c r="H951" s="72" t="n"/>
      <c r="I951" s="73" t="n"/>
      <c r="J951" s="75">
        <f>IF(B951="","",SUMIFS('Change Orders'!$J$7:$J$1006,'Change Orders'!$E$7:$E$1006,B951,'Change Orders'!$L$7:$L$1006,"Approved"))</f>
        <v/>
      </c>
      <c r="K951" s="76">
        <f>IF(B951="","",I951+J951)</f>
        <v/>
      </c>
      <c r="L951" s="74" t="n"/>
      <c r="M951" s="109" t="n"/>
      <c r="N951" s="109" t="n"/>
      <c r="O951" s="74" t="n"/>
      <c r="P951" s="74" t="n"/>
      <c r="Q951" s="100" t="n"/>
      <c r="R951" s="110" t="n"/>
      <c r="S951" s="75">
        <f>IF(B951="","",SUMIFS('Payments'!$N$6:$N$1005,'Payments'!$B$6:$B$1005,B951))</f>
        <v/>
      </c>
      <c r="T951" s="111">
        <f>IF(OR(B951="",K951=0),"",S951/K951)</f>
        <v/>
      </c>
      <c r="U951" s="78">
        <f>IF(V951="","",IF(V951=2,"⚠️ Paying ahead of work","✓ OK"))</f>
        <v/>
      </c>
      <c r="V951" s="79">
        <f>IF(T951="","",IF(T951-R951&gt;OverpayTol,2,0))</f>
        <v/>
      </c>
      <c r="W951" s="112">
        <f>IF(V951=2,AsOf,"")</f>
        <v/>
      </c>
      <c r="X951" s="79">
        <f>IF(W951="","",1)</f>
        <v/>
      </c>
      <c r="Y951" s="79">
        <f>IF(X951="","","Paying ahead of work: "&amp;B951&amp;" — paid "&amp;ROUND(T951*100,0)&amp;"%, work done "&amp;ROUND(R951*100,0)&amp;"%")</f>
        <v/>
      </c>
      <c r="AA951" s="72" t="n"/>
      <c r="AB951" s="109" t="n"/>
      <c r="AC951" s="113" t="n"/>
      <c r="AD951" s="74" t="n"/>
      <c r="AE951" s="109" t="n"/>
      <c r="AF951" s="74" t="n"/>
      <c r="AG951" s="112">
        <f>IF(AND(AA951&lt;&gt;"",AD951="Yes",AF951&lt;&gt;"Yes",AE951&lt;&gt;""),AE951,"")</f>
        <v/>
      </c>
      <c r="AH951" s="79">
        <f>IF(AG951="","",IF(AG951&lt;AsOf,1,IF(AG951&lt;=AsOf+AlertDays,2,IF(AG951&lt;=AsOf+2*AlertDays,3,""))))</f>
        <v/>
      </c>
      <c r="AI951" s="79">
        <f>IF(AH951="","","Follow up with "&amp;AA951&amp;": "&amp;AC951)</f>
        <v/>
      </c>
    </row>
    <row r="952" ht="20" customHeight="1">
      <c r="B952" s="72" t="n"/>
      <c r="C952" s="72" t="n"/>
      <c r="D952" s="72" t="n"/>
      <c r="E952" s="72" t="n"/>
      <c r="F952" s="72" t="n"/>
      <c r="G952" s="72" t="n"/>
      <c r="H952" s="72" t="n"/>
      <c r="I952" s="73" t="n"/>
      <c r="J952" s="75">
        <f>IF(B952="","",SUMIFS('Change Orders'!$J$7:$J$1006,'Change Orders'!$E$7:$E$1006,B952,'Change Orders'!$L$7:$L$1006,"Approved"))</f>
        <v/>
      </c>
      <c r="K952" s="76">
        <f>IF(B952="","",I952+J952)</f>
        <v/>
      </c>
      <c r="L952" s="74" t="n"/>
      <c r="M952" s="109" t="n"/>
      <c r="N952" s="109" t="n"/>
      <c r="O952" s="74" t="n"/>
      <c r="P952" s="74" t="n"/>
      <c r="Q952" s="100" t="n"/>
      <c r="R952" s="110" t="n"/>
      <c r="S952" s="75">
        <f>IF(B952="","",SUMIFS('Payments'!$N$6:$N$1005,'Payments'!$B$6:$B$1005,B952))</f>
        <v/>
      </c>
      <c r="T952" s="111">
        <f>IF(OR(B952="",K952=0),"",S952/K952)</f>
        <v/>
      </c>
      <c r="U952" s="78">
        <f>IF(V952="","",IF(V952=2,"⚠️ Paying ahead of work","✓ OK"))</f>
        <v/>
      </c>
      <c r="V952" s="79">
        <f>IF(T952="","",IF(T952-R952&gt;OverpayTol,2,0))</f>
        <v/>
      </c>
      <c r="W952" s="112">
        <f>IF(V952=2,AsOf,"")</f>
        <v/>
      </c>
      <c r="X952" s="79">
        <f>IF(W952="","",1)</f>
        <v/>
      </c>
      <c r="Y952" s="79">
        <f>IF(X952="","","Paying ahead of work: "&amp;B952&amp;" — paid "&amp;ROUND(T952*100,0)&amp;"%, work done "&amp;ROUND(R952*100,0)&amp;"%")</f>
        <v/>
      </c>
      <c r="AA952" s="72" t="n"/>
      <c r="AB952" s="109" t="n"/>
      <c r="AC952" s="113" t="n"/>
      <c r="AD952" s="74" t="n"/>
      <c r="AE952" s="109" t="n"/>
      <c r="AF952" s="74" t="n"/>
      <c r="AG952" s="112">
        <f>IF(AND(AA952&lt;&gt;"",AD952="Yes",AF952&lt;&gt;"Yes",AE952&lt;&gt;""),AE952,"")</f>
        <v/>
      </c>
      <c r="AH952" s="79">
        <f>IF(AG952="","",IF(AG952&lt;AsOf,1,IF(AG952&lt;=AsOf+AlertDays,2,IF(AG952&lt;=AsOf+2*AlertDays,3,""))))</f>
        <v/>
      </c>
      <c r="AI952" s="79">
        <f>IF(AH952="","","Follow up with "&amp;AA952&amp;": "&amp;AC952)</f>
        <v/>
      </c>
    </row>
    <row r="953" ht="20" customHeight="1">
      <c r="B953" s="72" t="n"/>
      <c r="C953" s="72" t="n"/>
      <c r="D953" s="72" t="n"/>
      <c r="E953" s="72" t="n"/>
      <c r="F953" s="72" t="n"/>
      <c r="G953" s="72" t="n"/>
      <c r="H953" s="72" t="n"/>
      <c r="I953" s="73" t="n"/>
      <c r="J953" s="75">
        <f>IF(B953="","",SUMIFS('Change Orders'!$J$7:$J$1006,'Change Orders'!$E$7:$E$1006,B953,'Change Orders'!$L$7:$L$1006,"Approved"))</f>
        <v/>
      </c>
      <c r="K953" s="76">
        <f>IF(B953="","",I953+J953)</f>
        <v/>
      </c>
      <c r="L953" s="74" t="n"/>
      <c r="M953" s="109" t="n"/>
      <c r="N953" s="109" t="n"/>
      <c r="O953" s="74" t="n"/>
      <c r="P953" s="74" t="n"/>
      <c r="Q953" s="100" t="n"/>
      <c r="R953" s="110" t="n"/>
      <c r="S953" s="75">
        <f>IF(B953="","",SUMIFS('Payments'!$N$6:$N$1005,'Payments'!$B$6:$B$1005,B953))</f>
        <v/>
      </c>
      <c r="T953" s="111">
        <f>IF(OR(B953="",K953=0),"",S953/K953)</f>
        <v/>
      </c>
      <c r="U953" s="78">
        <f>IF(V953="","",IF(V953=2,"⚠️ Paying ahead of work","✓ OK"))</f>
        <v/>
      </c>
      <c r="V953" s="79">
        <f>IF(T953="","",IF(T953-R953&gt;OverpayTol,2,0))</f>
        <v/>
      </c>
      <c r="W953" s="112">
        <f>IF(V953=2,AsOf,"")</f>
        <v/>
      </c>
      <c r="X953" s="79">
        <f>IF(W953="","",1)</f>
        <v/>
      </c>
      <c r="Y953" s="79">
        <f>IF(X953="","","Paying ahead of work: "&amp;B953&amp;" — paid "&amp;ROUND(T953*100,0)&amp;"%, work done "&amp;ROUND(R953*100,0)&amp;"%")</f>
        <v/>
      </c>
      <c r="AA953" s="72" t="n"/>
      <c r="AB953" s="109" t="n"/>
      <c r="AC953" s="113" t="n"/>
      <c r="AD953" s="74" t="n"/>
      <c r="AE953" s="109" t="n"/>
      <c r="AF953" s="74" t="n"/>
      <c r="AG953" s="112">
        <f>IF(AND(AA953&lt;&gt;"",AD953="Yes",AF953&lt;&gt;"Yes",AE953&lt;&gt;""),AE953,"")</f>
        <v/>
      </c>
      <c r="AH953" s="79">
        <f>IF(AG953="","",IF(AG953&lt;AsOf,1,IF(AG953&lt;=AsOf+AlertDays,2,IF(AG953&lt;=AsOf+2*AlertDays,3,""))))</f>
        <v/>
      </c>
      <c r="AI953" s="79">
        <f>IF(AH953="","","Follow up with "&amp;AA953&amp;": "&amp;AC953)</f>
        <v/>
      </c>
    </row>
    <row r="954" ht="20" customHeight="1">
      <c r="B954" s="72" t="n"/>
      <c r="C954" s="72" t="n"/>
      <c r="D954" s="72" t="n"/>
      <c r="E954" s="72" t="n"/>
      <c r="F954" s="72" t="n"/>
      <c r="G954" s="72" t="n"/>
      <c r="H954" s="72" t="n"/>
      <c r="I954" s="73" t="n"/>
      <c r="J954" s="75">
        <f>IF(B954="","",SUMIFS('Change Orders'!$J$7:$J$1006,'Change Orders'!$E$7:$E$1006,B954,'Change Orders'!$L$7:$L$1006,"Approved"))</f>
        <v/>
      </c>
      <c r="K954" s="76">
        <f>IF(B954="","",I954+J954)</f>
        <v/>
      </c>
      <c r="L954" s="74" t="n"/>
      <c r="M954" s="109" t="n"/>
      <c r="N954" s="109" t="n"/>
      <c r="O954" s="74" t="n"/>
      <c r="P954" s="74" t="n"/>
      <c r="Q954" s="100" t="n"/>
      <c r="R954" s="110" t="n"/>
      <c r="S954" s="75">
        <f>IF(B954="","",SUMIFS('Payments'!$N$6:$N$1005,'Payments'!$B$6:$B$1005,B954))</f>
        <v/>
      </c>
      <c r="T954" s="111">
        <f>IF(OR(B954="",K954=0),"",S954/K954)</f>
        <v/>
      </c>
      <c r="U954" s="78">
        <f>IF(V954="","",IF(V954=2,"⚠️ Paying ahead of work","✓ OK"))</f>
        <v/>
      </c>
      <c r="V954" s="79">
        <f>IF(T954="","",IF(T954-R954&gt;OverpayTol,2,0))</f>
        <v/>
      </c>
      <c r="W954" s="112">
        <f>IF(V954=2,AsOf,"")</f>
        <v/>
      </c>
      <c r="X954" s="79">
        <f>IF(W954="","",1)</f>
        <v/>
      </c>
      <c r="Y954" s="79">
        <f>IF(X954="","","Paying ahead of work: "&amp;B954&amp;" — paid "&amp;ROUND(T954*100,0)&amp;"%, work done "&amp;ROUND(R954*100,0)&amp;"%")</f>
        <v/>
      </c>
      <c r="AA954" s="72" t="n"/>
      <c r="AB954" s="109" t="n"/>
      <c r="AC954" s="113" t="n"/>
      <c r="AD954" s="74" t="n"/>
      <c r="AE954" s="109" t="n"/>
      <c r="AF954" s="74" t="n"/>
      <c r="AG954" s="112">
        <f>IF(AND(AA954&lt;&gt;"",AD954="Yes",AF954&lt;&gt;"Yes",AE954&lt;&gt;""),AE954,"")</f>
        <v/>
      </c>
      <c r="AH954" s="79">
        <f>IF(AG954="","",IF(AG954&lt;AsOf,1,IF(AG954&lt;=AsOf+AlertDays,2,IF(AG954&lt;=AsOf+2*AlertDays,3,""))))</f>
        <v/>
      </c>
      <c r="AI954" s="79">
        <f>IF(AH954="","","Follow up with "&amp;AA954&amp;": "&amp;AC954)</f>
        <v/>
      </c>
    </row>
    <row r="955" ht="20" customHeight="1">
      <c r="B955" s="72" t="n"/>
      <c r="C955" s="72" t="n"/>
      <c r="D955" s="72" t="n"/>
      <c r="E955" s="72" t="n"/>
      <c r="F955" s="72" t="n"/>
      <c r="G955" s="72" t="n"/>
      <c r="H955" s="72" t="n"/>
      <c r="I955" s="73" t="n"/>
      <c r="J955" s="75">
        <f>IF(B955="","",SUMIFS('Change Orders'!$J$7:$J$1006,'Change Orders'!$E$7:$E$1006,B955,'Change Orders'!$L$7:$L$1006,"Approved"))</f>
        <v/>
      </c>
      <c r="K955" s="76">
        <f>IF(B955="","",I955+J955)</f>
        <v/>
      </c>
      <c r="L955" s="74" t="n"/>
      <c r="M955" s="109" t="n"/>
      <c r="N955" s="109" t="n"/>
      <c r="O955" s="74" t="n"/>
      <c r="P955" s="74" t="n"/>
      <c r="Q955" s="100" t="n"/>
      <c r="R955" s="110" t="n"/>
      <c r="S955" s="75">
        <f>IF(B955="","",SUMIFS('Payments'!$N$6:$N$1005,'Payments'!$B$6:$B$1005,B955))</f>
        <v/>
      </c>
      <c r="T955" s="111">
        <f>IF(OR(B955="",K955=0),"",S955/K955)</f>
        <v/>
      </c>
      <c r="U955" s="78">
        <f>IF(V955="","",IF(V955=2,"⚠️ Paying ahead of work","✓ OK"))</f>
        <v/>
      </c>
      <c r="V955" s="79">
        <f>IF(T955="","",IF(T955-R955&gt;OverpayTol,2,0))</f>
        <v/>
      </c>
      <c r="W955" s="112">
        <f>IF(V955=2,AsOf,"")</f>
        <v/>
      </c>
      <c r="X955" s="79">
        <f>IF(W955="","",1)</f>
        <v/>
      </c>
      <c r="Y955" s="79">
        <f>IF(X955="","","Paying ahead of work: "&amp;B955&amp;" — paid "&amp;ROUND(T955*100,0)&amp;"%, work done "&amp;ROUND(R955*100,0)&amp;"%")</f>
        <v/>
      </c>
      <c r="AA955" s="72" t="n"/>
      <c r="AB955" s="109" t="n"/>
      <c r="AC955" s="113" t="n"/>
      <c r="AD955" s="74" t="n"/>
      <c r="AE955" s="109" t="n"/>
      <c r="AF955" s="74" t="n"/>
      <c r="AG955" s="112">
        <f>IF(AND(AA955&lt;&gt;"",AD955="Yes",AF955&lt;&gt;"Yes",AE955&lt;&gt;""),AE955,"")</f>
        <v/>
      </c>
      <c r="AH955" s="79">
        <f>IF(AG955="","",IF(AG955&lt;AsOf,1,IF(AG955&lt;=AsOf+AlertDays,2,IF(AG955&lt;=AsOf+2*AlertDays,3,""))))</f>
        <v/>
      </c>
      <c r="AI955" s="79">
        <f>IF(AH955="","","Follow up with "&amp;AA955&amp;": "&amp;AC955)</f>
        <v/>
      </c>
    </row>
    <row r="956" ht="20" customHeight="1">
      <c r="B956" s="72" t="n"/>
      <c r="C956" s="72" t="n"/>
      <c r="D956" s="72" t="n"/>
      <c r="E956" s="72" t="n"/>
      <c r="F956" s="72" t="n"/>
      <c r="G956" s="72" t="n"/>
      <c r="H956" s="72" t="n"/>
      <c r="I956" s="73" t="n"/>
      <c r="J956" s="75">
        <f>IF(B956="","",SUMIFS('Change Orders'!$J$7:$J$1006,'Change Orders'!$E$7:$E$1006,B956,'Change Orders'!$L$7:$L$1006,"Approved"))</f>
        <v/>
      </c>
      <c r="K956" s="76">
        <f>IF(B956="","",I956+J956)</f>
        <v/>
      </c>
      <c r="L956" s="74" t="n"/>
      <c r="M956" s="109" t="n"/>
      <c r="N956" s="109" t="n"/>
      <c r="O956" s="74" t="n"/>
      <c r="P956" s="74" t="n"/>
      <c r="Q956" s="100" t="n"/>
      <c r="R956" s="110" t="n"/>
      <c r="S956" s="75">
        <f>IF(B956="","",SUMIFS('Payments'!$N$6:$N$1005,'Payments'!$B$6:$B$1005,B956))</f>
        <v/>
      </c>
      <c r="T956" s="111">
        <f>IF(OR(B956="",K956=0),"",S956/K956)</f>
        <v/>
      </c>
      <c r="U956" s="78">
        <f>IF(V956="","",IF(V956=2,"⚠️ Paying ahead of work","✓ OK"))</f>
        <v/>
      </c>
      <c r="V956" s="79">
        <f>IF(T956="","",IF(T956-R956&gt;OverpayTol,2,0))</f>
        <v/>
      </c>
      <c r="W956" s="112">
        <f>IF(V956=2,AsOf,"")</f>
        <v/>
      </c>
      <c r="X956" s="79">
        <f>IF(W956="","",1)</f>
        <v/>
      </c>
      <c r="Y956" s="79">
        <f>IF(X956="","","Paying ahead of work: "&amp;B956&amp;" — paid "&amp;ROUND(T956*100,0)&amp;"%, work done "&amp;ROUND(R956*100,0)&amp;"%")</f>
        <v/>
      </c>
      <c r="AA956" s="72" t="n"/>
      <c r="AB956" s="109" t="n"/>
      <c r="AC956" s="113" t="n"/>
      <c r="AD956" s="74" t="n"/>
      <c r="AE956" s="109" t="n"/>
      <c r="AF956" s="74" t="n"/>
      <c r="AG956" s="112">
        <f>IF(AND(AA956&lt;&gt;"",AD956="Yes",AF956&lt;&gt;"Yes",AE956&lt;&gt;""),AE956,"")</f>
        <v/>
      </c>
      <c r="AH956" s="79">
        <f>IF(AG956="","",IF(AG956&lt;AsOf,1,IF(AG956&lt;=AsOf+AlertDays,2,IF(AG956&lt;=AsOf+2*AlertDays,3,""))))</f>
        <v/>
      </c>
      <c r="AI956" s="79">
        <f>IF(AH956="","","Follow up with "&amp;AA956&amp;": "&amp;AC956)</f>
        <v/>
      </c>
    </row>
    <row r="957" ht="20" customHeight="1">
      <c r="B957" s="72" t="n"/>
      <c r="C957" s="72" t="n"/>
      <c r="D957" s="72" t="n"/>
      <c r="E957" s="72" t="n"/>
      <c r="F957" s="72" t="n"/>
      <c r="G957" s="72" t="n"/>
      <c r="H957" s="72" t="n"/>
      <c r="I957" s="73" t="n"/>
      <c r="J957" s="75">
        <f>IF(B957="","",SUMIFS('Change Orders'!$J$7:$J$1006,'Change Orders'!$E$7:$E$1006,B957,'Change Orders'!$L$7:$L$1006,"Approved"))</f>
        <v/>
      </c>
      <c r="K957" s="76">
        <f>IF(B957="","",I957+J957)</f>
        <v/>
      </c>
      <c r="L957" s="74" t="n"/>
      <c r="M957" s="109" t="n"/>
      <c r="N957" s="109" t="n"/>
      <c r="O957" s="74" t="n"/>
      <c r="P957" s="74" t="n"/>
      <c r="Q957" s="100" t="n"/>
      <c r="R957" s="110" t="n"/>
      <c r="S957" s="75">
        <f>IF(B957="","",SUMIFS('Payments'!$N$6:$N$1005,'Payments'!$B$6:$B$1005,B957))</f>
        <v/>
      </c>
      <c r="T957" s="111">
        <f>IF(OR(B957="",K957=0),"",S957/K957)</f>
        <v/>
      </c>
      <c r="U957" s="78">
        <f>IF(V957="","",IF(V957=2,"⚠️ Paying ahead of work","✓ OK"))</f>
        <v/>
      </c>
      <c r="V957" s="79">
        <f>IF(T957="","",IF(T957-R957&gt;OverpayTol,2,0))</f>
        <v/>
      </c>
      <c r="W957" s="112">
        <f>IF(V957=2,AsOf,"")</f>
        <v/>
      </c>
      <c r="X957" s="79">
        <f>IF(W957="","",1)</f>
        <v/>
      </c>
      <c r="Y957" s="79">
        <f>IF(X957="","","Paying ahead of work: "&amp;B957&amp;" — paid "&amp;ROUND(T957*100,0)&amp;"%, work done "&amp;ROUND(R957*100,0)&amp;"%")</f>
        <v/>
      </c>
      <c r="AA957" s="72" t="n"/>
      <c r="AB957" s="109" t="n"/>
      <c r="AC957" s="113" t="n"/>
      <c r="AD957" s="74" t="n"/>
      <c r="AE957" s="109" t="n"/>
      <c r="AF957" s="74" t="n"/>
      <c r="AG957" s="112">
        <f>IF(AND(AA957&lt;&gt;"",AD957="Yes",AF957&lt;&gt;"Yes",AE957&lt;&gt;""),AE957,"")</f>
        <v/>
      </c>
      <c r="AH957" s="79">
        <f>IF(AG957="","",IF(AG957&lt;AsOf,1,IF(AG957&lt;=AsOf+AlertDays,2,IF(AG957&lt;=AsOf+2*AlertDays,3,""))))</f>
        <v/>
      </c>
      <c r="AI957" s="79">
        <f>IF(AH957="","","Follow up with "&amp;AA957&amp;": "&amp;AC957)</f>
        <v/>
      </c>
    </row>
    <row r="958" ht="20" customHeight="1">
      <c r="B958" s="72" t="n"/>
      <c r="C958" s="72" t="n"/>
      <c r="D958" s="72" t="n"/>
      <c r="E958" s="72" t="n"/>
      <c r="F958" s="72" t="n"/>
      <c r="G958" s="72" t="n"/>
      <c r="H958" s="72" t="n"/>
      <c r="I958" s="73" t="n"/>
      <c r="J958" s="75">
        <f>IF(B958="","",SUMIFS('Change Orders'!$J$7:$J$1006,'Change Orders'!$E$7:$E$1006,B958,'Change Orders'!$L$7:$L$1006,"Approved"))</f>
        <v/>
      </c>
      <c r="K958" s="76">
        <f>IF(B958="","",I958+J958)</f>
        <v/>
      </c>
      <c r="L958" s="74" t="n"/>
      <c r="M958" s="109" t="n"/>
      <c r="N958" s="109" t="n"/>
      <c r="O958" s="74" t="n"/>
      <c r="P958" s="74" t="n"/>
      <c r="Q958" s="100" t="n"/>
      <c r="R958" s="110" t="n"/>
      <c r="S958" s="75">
        <f>IF(B958="","",SUMIFS('Payments'!$N$6:$N$1005,'Payments'!$B$6:$B$1005,B958))</f>
        <v/>
      </c>
      <c r="T958" s="111">
        <f>IF(OR(B958="",K958=0),"",S958/K958)</f>
        <v/>
      </c>
      <c r="U958" s="78">
        <f>IF(V958="","",IF(V958=2,"⚠️ Paying ahead of work","✓ OK"))</f>
        <v/>
      </c>
      <c r="V958" s="79">
        <f>IF(T958="","",IF(T958-R958&gt;OverpayTol,2,0))</f>
        <v/>
      </c>
      <c r="W958" s="112">
        <f>IF(V958=2,AsOf,"")</f>
        <v/>
      </c>
      <c r="X958" s="79">
        <f>IF(W958="","",1)</f>
        <v/>
      </c>
      <c r="Y958" s="79">
        <f>IF(X958="","","Paying ahead of work: "&amp;B958&amp;" — paid "&amp;ROUND(T958*100,0)&amp;"%, work done "&amp;ROUND(R958*100,0)&amp;"%")</f>
        <v/>
      </c>
      <c r="AA958" s="72" t="n"/>
      <c r="AB958" s="109" t="n"/>
      <c r="AC958" s="113" t="n"/>
      <c r="AD958" s="74" t="n"/>
      <c r="AE958" s="109" t="n"/>
      <c r="AF958" s="74" t="n"/>
      <c r="AG958" s="112">
        <f>IF(AND(AA958&lt;&gt;"",AD958="Yes",AF958&lt;&gt;"Yes",AE958&lt;&gt;""),AE958,"")</f>
        <v/>
      </c>
      <c r="AH958" s="79">
        <f>IF(AG958="","",IF(AG958&lt;AsOf,1,IF(AG958&lt;=AsOf+AlertDays,2,IF(AG958&lt;=AsOf+2*AlertDays,3,""))))</f>
        <v/>
      </c>
      <c r="AI958" s="79">
        <f>IF(AH958="","","Follow up with "&amp;AA958&amp;": "&amp;AC958)</f>
        <v/>
      </c>
    </row>
    <row r="959" ht="20" customHeight="1">
      <c r="B959" s="72" t="n"/>
      <c r="C959" s="72" t="n"/>
      <c r="D959" s="72" t="n"/>
      <c r="E959" s="72" t="n"/>
      <c r="F959" s="72" t="n"/>
      <c r="G959" s="72" t="n"/>
      <c r="H959" s="72" t="n"/>
      <c r="I959" s="73" t="n"/>
      <c r="J959" s="75">
        <f>IF(B959="","",SUMIFS('Change Orders'!$J$7:$J$1006,'Change Orders'!$E$7:$E$1006,B959,'Change Orders'!$L$7:$L$1006,"Approved"))</f>
        <v/>
      </c>
      <c r="K959" s="76">
        <f>IF(B959="","",I959+J959)</f>
        <v/>
      </c>
      <c r="L959" s="74" t="n"/>
      <c r="M959" s="109" t="n"/>
      <c r="N959" s="109" t="n"/>
      <c r="O959" s="74" t="n"/>
      <c r="P959" s="74" t="n"/>
      <c r="Q959" s="100" t="n"/>
      <c r="R959" s="110" t="n"/>
      <c r="S959" s="75">
        <f>IF(B959="","",SUMIFS('Payments'!$N$6:$N$1005,'Payments'!$B$6:$B$1005,B959))</f>
        <v/>
      </c>
      <c r="T959" s="111">
        <f>IF(OR(B959="",K959=0),"",S959/K959)</f>
        <v/>
      </c>
      <c r="U959" s="78">
        <f>IF(V959="","",IF(V959=2,"⚠️ Paying ahead of work","✓ OK"))</f>
        <v/>
      </c>
      <c r="V959" s="79">
        <f>IF(T959="","",IF(T959-R959&gt;OverpayTol,2,0))</f>
        <v/>
      </c>
      <c r="W959" s="112">
        <f>IF(V959=2,AsOf,"")</f>
        <v/>
      </c>
      <c r="X959" s="79">
        <f>IF(W959="","",1)</f>
        <v/>
      </c>
      <c r="Y959" s="79">
        <f>IF(X959="","","Paying ahead of work: "&amp;B959&amp;" — paid "&amp;ROUND(T959*100,0)&amp;"%, work done "&amp;ROUND(R959*100,0)&amp;"%")</f>
        <v/>
      </c>
      <c r="AA959" s="72" t="n"/>
      <c r="AB959" s="109" t="n"/>
      <c r="AC959" s="113" t="n"/>
      <c r="AD959" s="74" t="n"/>
      <c r="AE959" s="109" t="n"/>
      <c r="AF959" s="74" t="n"/>
      <c r="AG959" s="112">
        <f>IF(AND(AA959&lt;&gt;"",AD959="Yes",AF959&lt;&gt;"Yes",AE959&lt;&gt;""),AE959,"")</f>
        <v/>
      </c>
      <c r="AH959" s="79">
        <f>IF(AG959="","",IF(AG959&lt;AsOf,1,IF(AG959&lt;=AsOf+AlertDays,2,IF(AG959&lt;=AsOf+2*AlertDays,3,""))))</f>
        <v/>
      </c>
      <c r="AI959" s="79">
        <f>IF(AH959="","","Follow up with "&amp;AA959&amp;": "&amp;AC959)</f>
        <v/>
      </c>
    </row>
    <row r="960" ht="20" customHeight="1">
      <c r="B960" s="72" t="n"/>
      <c r="C960" s="72" t="n"/>
      <c r="D960" s="72" t="n"/>
      <c r="E960" s="72" t="n"/>
      <c r="F960" s="72" t="n"/>
      <c r="G960" s="72" t="n"/>
      <c r="H960" s="72" t="n"/>
      <c r="I960" s="73" t="n"/>
      <c r="J960" s="75">
        <f>IF(B960="","",SUMIFS('Change Orders'!$J$7:$J$1006,'Change Orders'!$E$7:$E$1006,B960,'Change Orders'!$L$7:$L$1006,"Approved"))</f>
        <v/>
      </c>
      <c r="K960" s="76">
        <f>IF(B960="","",I960+J960)</f>
        <v/>
      </c>
      <c r="L960" s="74" t="n"/>
      <c r="M960" s="109" t="n"/>
      <c r="N960" s="109" t="n"/>
      <c r="O960" s="74" t="n"/>
      <c r="P960" s="74" t="n"/>
      <c r="Q960" s="100" t="n"/>
      <c r="R960" s="110" t="n"/>
      <c r="S960" s="75">
        <f>IF(B960="","",SUMIFS('Payments'!$N$6:$N$1005,'Payments'!$B$6:$B$1005,B960))</f>
        <v/>
      </c>
      <c r="T960" s="111">
        <f>IF(OR(B960="",K960=0),"",S960/K960)</f>
        <v/>
      </c>
      <c r="U960" s="78">
        <f>IF(V960="","",IF(V960=2,"⚠️ Paying ahead of work","✓ OK"))</f>
        <v/>
      </c>
      <c r="V960" s="79">
        <f>IF(T960="","",IF(T960-R960&gt;OverpayTol,2,0))</f>
        <v/>
      </c>
      <c r="W960" s="112">
        <f>IF(V960=2,AsOf,"")</f>
        <v/>
      </c>
      <c r="X960" s="79">
        <f>IF(W960="","",1)</f>
        <v/>
      </c>
      <c r="Y960" s="79">
        <f>IF(X960="","","Paying ahead of work: "&amp;B960&amp;" — paid "&amp;ROUND(T960*100,0)&amp;"%, work done "&amp;ROUND(R960*100,0)&amp;"%")</f>
        <v/>
      </c>
      <c r="AA960" s="72" t="n"/>
      <c r="AB960" s="109" t="n"/>
      <c r="AC960" s="113" t="n"/>
      <c r="AD960" s="74" t="n"/>
      <c r="AE960" s="109" t="n"/>
      <c r="AF960" s="74" t="n"/>
      <c r="AG960" s="112">
        <f>IF(AND(AA960&lt;&gt;"",AD960="Yes",AF960&lt;&gt;"Yes",AE960&lt;&gt;""),AE960,"")</f>
        <v/>
      </c>
      <c r="AH960" s="79">
        <f>IF(AG960="","",IF(AG960&lt;AsOf,1,IF(AG960&lt;=AsOf+AlertDays,2,IF(AG960&lt;=AsOf+2*AlertDays,3,""))))</f>
        <v/>
      </c>
      <c r="AI960" s="79">
        <f>IF(AH960="","","Follow up with "&amp;AA960&amp;": "&amp;AC960)</f>
        <v/>
      </c>
    </row>
    <row r="961" ht="20" customHeight="1">
      <c r="B961" s="72" t="n"/>
      <c r="C961" s="72" t="n"/>
      <c r="D961" s="72" t="n"/>
      <c r="E961" s="72" t="n"/>
      <c r="F961" s="72" t="n"/>
      <c r="G961" s="72" t="n"/>
      <c r="H961" s="72" t="n"/>
      <c r="I961" s="73" t="n"/>
      <c r="J961" s="75">
        <f>IF(B961="","",SUMIFS('Change Orders'!$J$7:$J$1006,'Change Orders'!$E$7:$E$1006,B961,'Change Orders'!$L$7:$L$1006,"Approved"))</f>
        <v/>
      </c>
      <c r="K961" s="76">
        <f>IF(B961="","",I961+J961)</f>
        <v/>
      </c>
      <c r="L961" s="74" t="n"/>
      <c r="M961" s="109" t="n"/>
      <c r="N961" s="109" t="n"/>
      <c r="O961" s="74" t="n"/>
      <c r="P961" s="74" t="n"/>
      <c r="Q961" s="100" t="n"/>
      <c r="R961" s="110" t="n"/>
      <c r="S961" s="75">
        <f>IF(B961="","",SUMIFS('Payments'!$N$6:$N$1005,'Payments'!$B$6:$B$1005,B961))</f>
        <v/>
      </c>
      <c r="T961" s="111">
        <f>IF(OR(B961="",K961=0),"",S961/K961)</f>
        <v/>
      </c>
      <c r="U961" s="78">
        <f>IF(V961="","",IF(V961=2,"⚠️ Paying ahead of work","✓ OK"))</f>
        <v/>
      </c>
      <c r="V961" s="79">
        <f>IF(T961="","",IF(T961-R961&gt;OverpayTol,2,0))</f>
        <v/>
      </c>
      <c r="W961" s="112">
        <f>IF(V961=2,AsOf,"")</f>
        <v/>
      </c>
      <c r="X961" s="79">
        <f>IF(W961="","",1)</f>
        <v/>
      </c>
      <c r="Y961" s="79">
        <f>IF(X961="","","Paying ahead of work: "&amp;B961&amp;" — paid "&amp;ROUND(T961*100,0)&amp;"%, work done "&amp;ROUND(R961*100,0)&amp;"%")</f>
        <v/>
      </c>
      <c r="AA961" s="72" t="n"/>
      <c r="AB961" s="109" t="n"/>
      <c r="AC961" s="113" t="n"/>
      <c r="AD961" s="74" t="n"/>
      <c r="AE961" s="109" t="n"/>
      <c r="AF961" s="74" t="n"/>
      <c r="AG961" s="112">
        <f>IF(AND(AA961&lt;&gt;"",AD961="Yes",AF961&lt;&gt;"Yes",AE961&lt;&gt;""),AE961,"")</f>
        <v/>
      </c>
      <c r="AH961" s="79">
        <f>IF(AG961="","",IF(AG961&lt;AsOf,1,IF(AG961&lt;=AsOf+AlertDays,2,IF(AG961&lt;=AsOf+2*AlertDays,3,""))))</f>
        <v/>
      </c>
      <c r="AI961" s="79">
        <f>IF(AH961="","","Follow up with "&amp;AA961&amp;": "&amp;AC961)</f>
        <v/>
      </c>
    </row>
    <row r="962" ht="20" customHeight="1">
      <c r="B962" s="72" t="n"/>
      <c r="C962" s="72" t="n"/>
      <c r="D962" s="72" t="n"/>
      <c r="E962" s="72" t="n"/>
      <c r="F962" s="72" t="n"/>
      <c r="G962" s="72" t="n"/>
      <c r="H962" s="72" t="n"/>
      <c r="I962" s="73" t="n"/>
      <c r="J962" s="75">
        <f>IF(B962="","",SUMIFS('Change Orders'!$J$7:$J$1006,'Change Orders'!$E$7:$E$1006,B962,'Change Orders'!$L$7:$L$1006,"Approved"))</f>
        <v/>
      </c>
      <c r="K962" s="76">
        <f>IF(B962="","",I962+J962)</f>
        <v/>
      </c>
      <c r="L962" s="74" t="n"/>
      <c r="M962" s="109" t="n"/>
      <c r="N962" s="109" t="n"/>
      <c r="O962" s="74" t="n"/>
      <c r="P962" s="74" t="n"/>
      <c r="Q962" s="100" t="n"/>
      <c r="R962" s="110" t="n"/>
      <c r="S962" s="75">
        <f>IF(B962="","",SUMIFS('Payments'!$N$6:$N$1005,'Payments'!$B$6:$B$1005,B962))</f>
        <v/>
      </c>
      <c r="T962" s="111">
        <f>IF(OR(B962="",K962=0),"",S962/K962)</f>
        <v/>
      </c>
      <c r="U962" s="78">
        <f>IF(V962="","",IF(V962=2,"⚠️ Paying ahead of work","✓ OK"))</f>
        <v/>
      </c>
      <c r="V962" s="79">
        <f>IF(T962="","",IF(T962-R962&gt;OverpayTol,2,0))</f>
        <v/>
      </c>
      <c r="W962" s="112">
        <f>IF(V962=2,AsOf,"")</f>
        <v/>
      </c>
      <c r="X962" s="79">
        <f>IF(W962="","",1)</f>
        <v/>
      </c>
      <c r="Y962" s="79">
        <f>IF(X962="","","Paying ahead of work: "&amp;B962&amp;" — paid "&amp;ROUND(T962*100,0)&amp;"%, work done "&amp;ROUND(R962*100,0)&amp;"%")</f>
        <v/>
      </c>
      <c r="AA962" s="72" t="n"/>
      <c r="AB962" s="109" t="n"/>
      <c r="AC962" s="113" t="n"/>
      <c r="AD962" s="74" t="n"/>
      <c r="AE962" s="109" t="n"/>
      <c r="AF962" s="74" t="n"/>
      <c r="AG962" s="112">
        <f>IF(AND(AA962&lt;&gt;"",AD962="Yes",AF962&lt;&gt;"Yes",AE962&lt;&gt;""),AE962,"")</f>
        <v/>
      </c>
      <c r="AH962" s="79">
        <f>IF(AG962="","",IF(AG962&lt;AsOf,1,IF(AG962&lt;=AsOf+AlertDays,2,IF(AG962&lt;=AsOf+2*AlertDays,3,""))))</f>
        <v/>
      </c>
      <c r="AI962" s="79">
        <f>IF(AH962="","","Follow up with "&amp;AA962&amp;": "&amp;AC962)</f>
        <v/>
      </c>
    </row>
    <row r="963" ht="20" customHeight="1">
      <c r="B963" s="72" t="n"/>
      <c r="C963" s="72" t="n"/>
      <c r="D963" s="72" t="n"/>
      <c r="E963" s="72" t="n"/>
      <c r="F963" s="72" t="n"/>
      <c r="G963" s="72" t="n"/>
      <c r="H963" s="72" t="n"/>
      <c r="I963" s="73" t="n"/>
      <c r="J963" s="75">
        <f>IF(B963="","",SUMIFS('Change Orders'!$J$7:$J$1006,'Change Orders'!$E$7:$E$1006,B963,'Change Orders'!$L$7:$L$1006,"Approved"))</f>
        <v/>
      </c>
      <c r="K963" s="76">
        <f>IF(B963="","",I963+J963)</f>
        <v/>
      </c>
      <c r="L963" s="74" t="n"/>
      <c r="M963" s="109" t="n"/>
      <c r="N963" s="109" t="n"/>
      <c r="O963" s="74" t="n"/>
      <c r="P963" s="74" t="n"/>
      <c r="Q963" s="100" t="n"/>
      <c r="R963" s="110" t="n"/>
      <c r="S963" s="75">
        <f>IF(B963="","",SUMIFS('Payments'!$N$6:$N$1005,'Payments'!$B$6:$B$1005,B963))</f>
        <v/>
      </c>
      <c r="T963" s="111">
        <f>IF(OR(B963="",K963=0),"",S963/K963)</f>
        <v/>
      </c>
      <c r="U963" s="78">
        <f>IF(V963="","",IF(V963=2,"⚠️ Paying ahead of work","✓ OK"))</f>
        <v/>
      </c>
      <c r="V963" s="79">
        <f>IF(T963="","",IF(T963-R963&gt;OverpayTol,2,0))</f>
        <v/>
      </c>
      <c r="W963" s="112">
        <f>IF(V963=2,AsOf,"")</f>
        <v/>
      </c>
      <c r="X963" s="79">
        <f>IF(W963="","",1)</f>
        <v/>
      </c>
      <c r="Y963" s="79">
        <f>IF(X963="","","Paying ahead of work: "&amp;B963&amp;" — paid "&amp;ROUND(T963*100,0)&amp;"%, work done "&amp;ROUND(R963*100,0)&amp;"%")</f>
        <v/>
      </c>
      <c r="AA963" s="72" t="n"/>
      <c r="AB963" s="109" t="n"/>
      <c r="AC963" s="113" t="n"/>
      <c r="AD963" s="74" t="n"/>
      <c r="AE963" s="109" t="n"/>
      <c r="AF963" s="74" t="n"/>
      <c r="AG963" s="112">
        <f>IF(AND(AA963&lt;&gt;"",AD963="Yes",AF963&lt;&gt;"Yes",AE963&lt;&gt;""),AE963,"")</f>
        <v/>
      </c>
      <c r="AH963" s="79">
        <f>IF(AG963="","",IF(AG963&lt;AsOf,1,IF(AG963&lt;=AsOf+AlertDays,2,IF(AG963&lt;=AsOf+2*AlertDays,3,""))))</f>
        <v/>
      </c>
      <c r="AI963" s="79">
        <f>IF(AH963="","","Follow up with "&amp;AA963&amp;": "&amp;AC963)</f>
        <v/>
      </c>
    </row>
    <row r="964" ht="20" customHeight="1">
      <c r="B964" s="72" t="n"/>
      <c r="C964" s="72" t="n"/>
      <c r="D964" s="72" t="n"/>
      <c r="E964" s="72" t="n"/>
      <c r="F964" s="72" t="n"/>
      <c r="G964" s="72" t="n"/>
      <c r="H964" s="72" t="n"/>
      <c r="I964" s="73" t="n"/>
      <c r="J964" s="75">
        <f>IF(B964="","",SUMIFS('Change Orders'!$J$7:$J$1006,'Change Orders'!$E$7:$E$1006,B964,'Change Orders'!$L$7:$L$1006,"Approved"))</f>
        <v/>
      </c>
      <c r="K964" s="76">
        <f>IF(B964="","",I964+J964)</f>
        <v/>
      </c>
      <c r="L964" s="74" t="n"/>
      <c r="M964" s="109" t="n"/>
      <c r="N964" s="109" t="n"/>
      <c r="O964" s="74" t="n"/>
      <c r="P964" s="74" t="n"/>
      <c r="Q964" s="100" t="n"/>
      <c r="R964" s="110" t="n"/>
      <c r="S964" s="75">
        <f>IF(B964="","",SUMIFS('Payments'!$N$6:$N$1005,'Payments'!$B$6:$B$1005,B964))</f>
        <v/>
      </c>
      <c r="T964" s="111">
        <f>IF(OR(B964="",K964=0),"",S964/K964)</f>
        <v/>
      </c>
      <c r="U964" s="78">
        <f>IF(V964="","",IF(V964=2,"⚠️ Paying ahead of work","✓ OK"))</f>
        <v/>
      </c>
      <c r="V964" s="79">
        <f>IF(T964="","",IF(T964-R964&gt;OverpayTol,2,0))</f>
        <v/>
      </c>
      <c r="W964" s="112">
        <f>IF(V964=2,AsOf,"")</f>
        <v/>
      </c>
      <c r="X964" s="79">
        <f>IF(W964="","",1)</f>
        <v/>
      </c>
      <c r="Y964" s="79">
        <f>IF(X964="","","Paying ahead of work: "&amp;B964&amp;" — paid "&amp;ROUND(T964*100,0)&amp;"%, work done "&amp;ROUND(R964*100,0)&amp;"%")</f>
        <v/>
      </c>
      <c r="AA964" s="72" t="n"/>
      <c r="AB964" s="109" t="n"/>
      <c r="AC964" s="113" t="n"/>
      <c r="AD964" s="74" t="n"/>
      <c r="AE964" s="109" t="n"/>
      <c r="AF964" s="74" t="n"/>
      <c r="AG964" s="112">
        <f>IF(AND(AA964&lt;&gt;"",AD964="Yes",AF964&lt;&gt;"Yes",AE964&lt;&gt;""),AE964,"")</f>
        <v/>
      </c>
      <c r="AH964" s="79">
        <f>IF(AG964="","",IF(AG964&lt;AsOf,1,IF(AG964&lt;=AsOf+AlertDays,2,IF(AG964&lt;=AsOf+2*AlertDays,3,""))))</f>
        <v/>
      </c>
      <c r="AI964" s="79">
        <f>IF(AH964="","","Follow up with "&amp;AA964&amp;": "&amp;AC964)</f>
        <v/>
      </c>
    </row>
    <row r="965" ht="20" customHeight="1">
      <c r="B965" s="72" t="n"/>
      <c r="C965" s="72" t="n"/>
      <c r="D965" s="72" t="n"/>
      <c r="E965" s="72" t="n"/>
      <c r="F965" s="72" t="n"/>
      <c r="G965" s="72" t="n"/>
      <c r="H965" s="72" t="n"/>
      <c r="I965" s="73" t="n"/>
      <c r="J965" s="75">
        <f>IF(B965="","",SUMIFS('Change Orders'!$J$7:$J$1006,'Change Orders'!$E$7:$E$1006,B965,'Change Orders'!$L$7:$L$1006,"Approved"))</f>
        <v/>
      </c>
      <c r="K965" s="76">
        <f>IF(B965="","",I965+J965)</f>
        <v/>
      </c>
      <c r="L965" s="74" t="n"/>
      <c r="M965" s="109" t="n"/>
      <c r="N965" s="109" t="n"/>
      <c r="O965" s="74" t="n"/>
      <c r="P965" s="74" t="n"/>
      <c r="Q965" s="100" t="n"/>
      <c r="R965" s="110" t="n"/>
      <c r="S965" s="75">
        <f>IF(B965="","",SUMIFS('Payments'!$N$6:$N$1005,'Payments'!$B$6:$B$1005,B965))</f>
        <v/>
      </c>
      <c r="T965" s="111">
        <f>IF(OR(B965="",K965=0),"",S965/K965)</f>
        <v/>
      </c>
      <c r="U965" s="78">
        <f>IF(V965="","",IF(V965=2,"⚠️ Paying ahead of work","✓ OK"))</f>
        <v/>
      </c>
      <c r="V965" s="79">
        <f>IF(T965="","",IF(T965-R965&gt;OverpayTol,2,0))</f>
        <v/>
      </c>
      <c r="W965" s="112">
        <f>IF(V965=2,AsOf,"")</f>
        <v/>
      </c>
      <c r="X965" s="79">
        <f>IF(W965="","",1)</f>
        <v/>
      </c>
      <c r="Y965" s="79">
        <f>IF(X965="","","Paying ahead of work: "&amp;B965&amp;" — paid "&amp;ROUND(T965*100,0)&amp;"%, work done "&amp;ROUND(R965*100,0)&amp;"%")</f>
        <v/>
      </c>
      <c r="AA965" s="72" t="n"/>
      <c r="AB965" s="109" t="n"/>
      <c r="AC965" s="113" t="n"/>
      <c r="AD965" s="74" t="n"/>
      <c r="AE965" s="109" t="n"/>
      <c r="AF965" s="74" t="n"/>
      <c r="AG965" s="112">
        <f>IF(AND(AA965&lt;&gt;"",AD965="Yes",AF965&lt;&gt;"Yes",AE965&lt;&gt;""),AE965,"")</f>
        <v/>
      </c>
      <c r="AH965" s="79">
        <f>IF(AG965="","",IF(AG965&lt;AsOf,1,IF(AG965&lt;=AsOf+AlertDays,2,IF(AG965&lt;=AsOf+2*AlertDays,3,""))))</f>
        <v/>
      </c>
      <c r="AI965" s="79">
        <f>IF(AH965="","","Follow up with "&amp;AA965&amp;": "&amp;AC965)</f>
        <v/>
      </c>
    </row>
    <row r="966" ht="20" customHeight="1">
      <c r="B966" s="72" t="n"/>
      <c r="C966" s="72" t="n"/>
      <c r="D966" s="72" t="n"/>
      <c r="E966" s="72" t="n"/>
      <c r="F966" s="72" t="n"/>
      <c r="G966" s="72" t="n"/>
      <c r="H966" s="72" t="n"/>
      <c r="I966" s="73" t="n"/>
      <c r="J966" s="75">
        <f>IF(B966="","",SUMIFS('Change Orders'!$J$7:$J$1006,'Change Orders'!$E$7:$E$1006,B966,'Change Orders'!$L$7:$L$1006,"Approved"))</f>
        <v/>
      </c>
      <c r="K966" s="76">
        <f>IF(B966="","",I966+J966)</f>
        <v/>
      </c>
      <c r="L966" s="74" t="n"/>
      <c r="M966" s="109" t="n"/>
      <c r="N966" s="109" t="n"/>
      <c r="O966" s="74" t="n"/>
      <c r="P966" s="74" t="n"/>
      <c r="Q966" s="100" t="n"/>
      <c r="R966" s="110" t="n"/>
      <c r="S966" s="75">
        <f>IF(B966="","",SUMIFS('Payments'!$N$6:$N$1005,'Payments'!$B$6:$B$1005,B966))</f>
        <v/>
      </c>
      <c r="T966" s="111">
        <f>IF(OR(B966="",K966=0),"",S966/K966)</f>
        <v/>
      </c>
      <c r="U966" s="78">
        <f>IF(V966="","",IF(V966=2,"⚠️ Paying ahead of work","✓ OK"))</f>
        <v/>
      </c>
      <c r="V966" s="79">
        <f>IF(T966="","",IF(T966-R966&gt;OverpayTol,2,0))</f>
        <v/>
      </c>
      <c r="W966" s="112">
        <f>IF(V966=2,AsOf,"")</f>
        <v/>
      </c>
      <c r="X966" s="79">
        <f>IF(W966="","",1)</f>
        <v/>
      </c>
      <c r="Y966" s="79">
        <f>IF(X966="","","Paying ahead of work: "&amp;B966&amp;" — paid "&amp;ROUND(T966*100,0)&amp;"%, work done "&amp;ROUND(R966*100,0)&amp;"%")</f>
        <v/>
      </c>
      <c r="AA966" s="72" t="n"/>
      <c r="AB966" s="109" t="n"/>
      <c r="AC966" s="113" t="n"/>
      <c r="AD966" s="74" t="n"/>
      <c r="AE966" s="109" t="n"/>
      <c r="AF966" s="74" t="n"/>
      <c r="AG966" s="112">
        <f>IF(AND(AA966&lt;&gt;"",AD966="Yes",AF966&lt;&gt;"Yes",AE966&lt;&gt;""),AE966,"")</f>
        <v/>
      </c>
      <c r="AH966" s="79">
        <f>IF(AG966="","",IF(AG966&lt;AsOf,1,IF(AG966&lt;=AsOf+AlertDays,2,IF(AG966&lt;=AsOf+2*AlertDays,3,""))))</f>
        <v/>
      </c>
      <c r="AI966" s="79">
        <f>IF(AH966="","","Follow up with "&amp;AA966&amp;": "&amp;AC966)</f>
        <v/>
      </c>
    </row>
    <row r="967" ht="20" customHeight="1">
      <c r="B967" s="72" t="n"/>
      <c r="C967" s="72" t="n"/>
      <c r="D967" s="72" t="n"/>
      <c r="E967" s="72" t="n"/>
      <c r="F967" s="72" t="n"/>
      <c r="G967" s="72" t="n"/>
      <c r="H967" s="72" t="n"/>
      <c r="I967" s="73" t="n"/>
      <c r="J967" s="75">
        <f>IF(B967="","",SUMIFS('Change Orders'!$J$7:$J$1006,'Change Orders'!$E$7:$E$1006,B967,'Change Orders'!$L$7:$L$1006,"Approved"))</f>
        <v/>
      </c>
      <c r="K967" s="76">
        <f>IF(B967="","",I967+J967)</f>
        <v/>
      </c>
      <c r="L967" s="74" t="n"/>
      <c r="M967" s="109" t="n"/>
      <c r="N967" s="109" t="n"/>
      <c r="O967" s="74" t="n"/>
      <c r="P967" s="74" t="n"/>
      <c r="Q967" s="100" t="n"/>
      <c r="R967" s="110" t="n"/>
      <c r="S967" s="75">
        <f>IF(B967="","",SUMIFS('Payments'!$N$6:$N$1005,'Payments'!$B$6:$B$1005,B967))</f>
        <v/>
      </c>
      <c r="T967" s="111">
        <f>IF(OR(B967="",K967=0),"",S967/K967)</f>
        <v/>
      </c>
      <c r="U967" s="78">
        <f>IF(V967="","",IF(V967=2,"⚠️ Paying ahead of work","✓ OK"))</f>
        <v/>
      </c>
      <c r="V967" s="79">
        <f>IF(T967="","",IF(T967-R967&gt;OverpayTol,2,0))</f>
        <v/>
      </c>
      <c r="W967" s="112">
        <f>IF(V967=2,AsOf,"")</f>
        <v/>
      </c>
      <c r="X967" s="79">
        <f>IF(W967="","",1)</f>
        <v/>
      </c>
      <c r="Y967" s="79">
        <f>IF(X967="","","Paying ahead of work: "&amp;B967&amp;" — paid "&amp;ROUND(T967*100,0)&amp;"%, work done "&amp;ROUND(R967*100,0)&amp;"%")</f>
        <v/>
      </c>
      <c r="AA967" s="72" t="n"/>
      <c r="AB967" s="109" t="n"/>
      <c r="AC967" s="113" t="n"/>
      <c r="AD967" s="74" t="n"/>
      <c r="AE967" s="109" t="n"/>
      <c r="AF967" s="74" t="n"/>
      <c r="AG967" s="112">
        <f>IF(AND(AA967&lt;&gt;"",AD967="Yes",AF967&lt;&gt;"Yes",AE967&lt;&gt;""),AE967,"")</f>
        <v/>
      </c>
      <c r="AH967" s="79">
        <f>IF(AG967="","",IF(AG967&lt;AsOf,1,IF(AG967&lt;=AsOf+AlertDays,2,IF(AG967&lt;=AsOf+2*AlertDays,3,""))))</f>
        <v/>
      </c>
      <c r="AI967" s="79">
        <f>IF(AH967="","","Follow up with "&amp;AA967&amp;": "&amp;AC967)</f>
        <v/>
      </c>
    </row>
    <row r="968" ht="20" customHeight="1">
      <c r="B968" s="72" t="n"/>
      <c r="C968" s="72" t="n"/>
      <c r="D968" s="72" t="n"/>
      <c r="E968" s="72" t="n"/>
      <c r="F968" s="72" t="n"/>
      <c r="G968" s="72" t="n"/>
      <c r="H968" s="72" t="n"/>
      <c r="I968" s="73" t="n"/>
      <c r="J968" s="75">
        <f>IF(B968="","",SUMIFS('Change Orders'!$J$7:$J$1006,'Change Orders'!$E$7:$E$1006,B968,'Change Orders'!$L$7:$L$1006,"Approved"))</f>
        <v/>
      </c>
      <c r="K968" s="76">
        <f>IF(B968="","",I968+J968)</f>
        <v/>
      </c>
      <c r="L968" s="74" t="n"/>
      <c r="M968" s="109" t="n"/>
      <c r="N968" s="109" t="n"/>
      <c r="O968" s="74" t="n"/>
      <c r="P968" s="74" t="n"/>
      <c r="Q968" s="100" t="n"/>
      <c r="R968" s="110" t="n"/>
      <c r="S968" s="75">
        <f>IF(B968="","",SUMIFS('Payments'!$N$6:$N$1005,'Payments'!$B$6:$B$1005,B968))</f>
        <v/>
      </c>
      <c r="T968" s="111">
        <f>IF(OR(B968="",K968=0),"",S968/K968)</f>
        <v/>
      </c>
      <c r="U968" s="78">
        <f>IF(V968="","",IF(V968=2,"⚠️ Paying ahead of work","✓ OK"))</f>
        <v/>
      </c>
      <c r="V968" s="79">
        <f>IF(T968="","",IF(T968-R968&gt;OverpayTol,2,0))</f>
        <v/>
      </c>
      <c r="W968" s="112">
        <f>IF(V968=2,AsOf,"")</f>
        <v/>
      </c>
      <c r="X968" s="79">
        <f>IF(W968="","",1)</f>
        <v/>
      </c>
      <c r="Y968" s="79">
        <f>IF(X968="","","Paying ahead of work: "&amp;B968&amp;" — paid "&amp;ROUND(T968*100,0)&amp;"%, work done "&amp;ROUND(R968*100,0)&amp;"%")</f>
        <v/>
      </c>
      <c r="AA968" s="72" t="n"/>
      <c r="AB968" s="109" t="n"/>
      <c r="AC968" s="113" t="n"/>
      <c r="AD968" s="74" t="n"/>
      <c r="AE968" s="109" t="n"/>
      <c r="AF968" s="74" t="n"/>
      <c r="AG968" s="112">
        <f>IF(AND(AA968&lt;&gt;"",AD968="Yes",AF968&lt;&gt;"Yes",AE968&lt;&gt;""),AE968,"")</f>
        <v/>
      </c>
      <c r="AH968" s="79">
        <f>IF(AG968="","",IF(AG968&lt;AsOf,1,IF(AG968&lt;=AsOf+AlertDays,2,IF(AG968&lt;=AsOf+2*AlertDays,3,""))))</f>
        <v/>
      </c>
      <c r="AI968" s="79">
        <f>IF(AH968="","","Follow up with "&amp;AA968&amp;": "&amp;AC968)</f>
        <v/>
      </c>
    </row>
    <row r="969" ht="20" customHeight="1">
      <c r="B969" s="72" t="n"/>
      <c r="C969" s="72" t="n"/>
      <c r="D969" s="72" t="n"/>
      <c r="E969" s="72" t="n"/>
      <c r="F969" s="72" t="n"/>
      <c r="G969" s="72" t="n"/>
      <c r="H969" s="72" t="n"/>
      <c r="I969" s="73" t="n"/>
      <c r="J969" s="75">
        <f>IF(B969="","",SUMIFS('Change Orders'!$J$7:$J$1006,'Change Orders'!$E$7:$E$1006,B969,'Change Orders'!$L$7:$L$1006,"Approved"))</f>
        <v/>
      </c>
      <c r="K969" s="76">
        <f>IF(B969="","",I969+J969)</f>
        <v/>
      </c>
      <c r="L969" s="74" t="n"/>
      <c r="M969" s="109" t="n"/>
      <c r="N969" s="109" t="n"/>
      <c r="O969" s="74" t="n"/>
      <c r="P969" s="74" t="n"/>
      <c r="Q969" s="100" t="n"/>
      <c r="R969" s="110" t="n"/>
      <c r="S969" s="75">
        <f>IF(B969="","",SUMIFS('Payments'!$N$6:$N$1005,'Payments'!$B$6:$B$1005,B969))</f>
        <v/>
      </c>
      <c r="T969" s="111">
        <f>IF(OR(B969="",K969=0),"",S969/K969)</f>
        <v/>
      </c>
      <c r="U969" s="78">
        <f>IF(V969="","",IF(V969=2,"⚠️ Paying ahead of work","✓ OK"))</f>
        <v/>
      </c>
      <c r="V969" s="79">
        <f>IF(T969="","",IF(T969-R969&gt;OverpayTol,2,0))</f>
        <v/>
      </c>
      <c r="W969" s="112">
        <f>IF(V969=2,AsOf,"")</f>
        <v/>
      </c>
      <c r="X969" s="79">
        <f>IF(W969="","",1)</f>
        <v/>
      </c>
      <c r="Y969" s="79">
        <f>IF(X969="","","Paying ahead of work: "&amp;B969&amp;" — paid "&amp;ROUND(T969*100,0)&amp;"%, work done "&amp;ROUND(R969*100,0)&amp;"%")</f>
        <v/>
      </c>
      <c r="AA969" s="72" t="n"/>
      <c r="AB969" s="109" t="n"/>
      <c r="AC969" s="113" t="n"/>
      <c r="AD969" s="74" t="n"/>
      <c r="AE969" s="109" t="n"/>
      <c r="AF969" s="74" t="n"/>
      <c r="AG969" s="112">
        <f>IF(AND(AA969&lt;&gt;"",AD969="Yes",AF969&lt;&gt;"Yes",AE969&lt;&gt;""),AE969,"")</f>
        <v/>
      </c>
      <c r="AH969" s="79">
        <f>IF(AG969="","",IF(AG969&lt;AsOf,1,IF(AG969&lt;=AsOf+AlertDays,2,IF(AG969&lt;=AsOf+2*AlertDays,3,""))))</f>
        <v/>
      </c>
      <c r="AI969" s="79">
        <f>IF(AH969="","","Follow up with "&amp;AA969&amp;": "&amp;AC969)</f>
        <v/>
      </c>
    </row>
    <row r="970" ht="20" customHeight="1">
      <c r="B970" s="72" t="n"/>
      <c r="C970" s="72" t="n"/>
      <c r="D970" s="72" t="n"/>
      <c r="E970" s="72" t="n"/>
      <c r="F970" s="72" t="n"/>
      <c r="G970" s="72" t="n"/>
      <c r="H970" s="72" t="n"/>
      <c r="I970" s="73" t="n"/>
      <c r="J970" s="75">
        <f>IF(B970="","",SUMIFS('Change Orders'!$J$7:$J$1006,'Change Orders'!$E$7:$E$1006,B970,'Change Orders'!$L$7:$L$1006,"Approved"))</f>
        <v/>
      </c>
      <c r="K970" s="76">
        <f>IF(B970="","",I970+J970)</f>
        <v/>
      </c>
      <c r="L970" s="74" t="n"/>
      <c r="M970" s="109" t="n"/>
      <c r="N970" s="109" t="n"/>
      <c r="O970" s="74" t="n"/>
      <c r="P970" s="74" t="n"/>
      <c r="Q970" s="100" t="n"/>
      <c r="R970" s="110" t="n"/>
      <c r="S970" s="75">
        <f>IF(B970="","",SUMIFS('Payments'!$N$6:$N$1005,'Payments'!$B$6:$B$1005,B970))</f>
        <v/>
      </c>
      <c r="T970" s="111">
        <f>IF(OR(B970="",K970=0),"",S970/K970)</f>
        <v/>
      </c>
      <c r="U970" s="78">
        <f>IF(V970="","",IF(V970=2,"⚠️ Paying ahead of work","✓ OK"))</f>
        <v/>
      </c>
      <c r="V970" s="79">
        <f>IF(T970="","",IF(T970-R970&gt;OverpayTol,2,0))</f>
        <v/>
      </c>
      <c r="W970" s="112">
        <f>IF(V970=2,AsOf,"")</f>
        <v/>
      </c>
      <c r="X970" s="79">
        <f>IF(W970="","",1)</f>
        <v/>
      </c>
      <c r="Y970" s="79">
        <f>IF(X970="","","Paying ahead of work: "&amp;B970&amp;" — paid "&amp;ROUND(T970*100,0)&amp;"%, work done "&amp;ROUND(R970*100,0)&amp;"%")</f>
        <v/>
      </c>
      <c r="AA970" s="72" t="n"/>
      <c r="AB970" s="109" t="n"/>
      <c r="AC970" s="113" t="n"/>
      <c r="AD970" s="74" t="n"/>
      <c r="AE970" s="109" t="n"/>
      <c r="AF970" s="74" t="n"/>
      <c r="AG970" s="112">
        <f>IF(AND(AA970&lt;&gt;"",AD970="Yes",AF970&lt;&gt;"Yes",AE970&lt;&gt;""),AE970,"")</f>
        <v/>
      </c>
      <c r="AH970" s="79">
        <f>IF(AG970="","",IF(AG970&lt;AsOf,1,IF(AG970&lt;=AsOf+AlertDays,2,IF(AG970&lt;=AsOf+2*AlertDays,3,""))))</f>
        <v/>
      </c>
      <c r="AI970" s="79">
        <f>IF(AH970="","","Follow up with "&amp;AA970&amp;": "&amp;AC970)</f>
        <v/>
      </c>
    </row>
    <row r="971" ht="20" customHeight="1">
      <c r="B971" s="72" t="n"/>
      <c r="C971" s="72" t="n"/>
      <c r="D971" s="72" t="n"/>
      <c r="E971" s="72" t="n"/>
      <c r="F971" s="72" t="n"/>
      <c r="G971" s="72" t="n"/>
      <c r="H971" s="72" t="n"/>
      <c r="I971" s="73" t="n"/>
      <c r="J971" s="75">
        <f>IF(B971="","",SUMIFS('Change Orders'!$J$7:$J$1006,'Change Orders'!$E$7:$E$1006,B971,'Change Orders'!$L$7:$L$1006,"Approved"))</f>
        <v/>
      </c>
      <c r="K971" s="76">
        <f>IF(B971="","",I971+J971)</f>
        <v/>
      </c>
      <c r="L971" s="74" t="n"/>
      <c r="M971" s="109" t="n"/>
      <c r="N971" s="109" t="n"/>
      <c r="O971" s="74" t="n"/>
      <c r="P971" s="74" t="n"/>
      <c r="Q971" s="100" t="n"/>
      <c r="R971" s="110" t="n"/>
      <c r="S971" s="75">
        <f>IF(B971="","",SUMIFS('Payments'!$N$6:$N$1005,'Payments'!$B$6:$B$1005,B971))</f>
        <v/>
      </c>
      <c r="T971" s="111">
        <f>IF(OR(B971="",K971=0),"",S971/K971)</f>
        <v/>
      </c>
      <c r="U971" s="78">
        <f>IF(V971="","",IF(V971=2,"⚠️ Paying ahead of work","✓ OK"))</f>
        <v/>
      </c>
      <c r="V971" s="79">
        <f>IF(T971="","",IF(T971-R971&gt;OverpayTol,2,0))</f>
        <v/>
      </c>
      <c r="W971" s="112">
        <f>IF(V971=2,AsOf,"")</f>
        <v/>
      </c>
      <c r="X971" s="79">
        <f>IF(W971="","",1)</f>
        <v/>
      </c>
      <c r="Y971" s="79">
        <f>IF(X971="","","Paying ahead of work: "&amp;B971&amp;" — paid "&amp;ROUND(T971*100,0)&amp;"%, work done "&amp;ROUND(R971*100,0)&amp;"%")</f>
        <v/>
      </c>
      <c r="AA971" s="72" t="n"/>
      <c r="AB971" s="109" t="n"/>
      <c r="AC971" s="113" t="n"/>
      <c r="AD971" s="74" t="n"/>
      <c r="AE971" s="109" t="n"/>
      <c r="AF971" s="74" t="n"/>
      <c r="AG971" s="112">
        <f>IF(AND(AA971&lt;&gt;"",AD971="Yes",AF971&lt;&gt;"Yes",AE971&lt;&gt;""),AE971,"")</f>
        <v/>
      </c>
      <c r="AH971" s="79">
        <f>IF(AG971="","",IF(AG971&lt;AsOf,1,IF(AG971&lt;=AsOf+AlertDays,2,IF(AG971&lt;=AsOf+2*AlertDays,3,""))))</f>
        <v/>
      </c>
      <c r="AI971" s="79">
        <f>IF(AH971="","","Follow up with "&amp;AA971&amp;": "&amp;AC971)</f>
        <v/>
      </c>
    </row>
    <row r="972" ht="20" customHeight="1">
      <c r="B972" s="72" t="n"/>
      <c r="C972" s="72" t="n"/>
      <c r="D972" s="72" t="n"/>
      <c r="E972" s="72" t="n"/>
      <c r="F972" s="72" t="n"/>
      <c r="G972" s="72" t="n"/>
      <c r="H972" s="72" t="n"/>
      <c r="I972" s="73" t="n"/>
      <c r="J972" s="75">
        <f>IF(B972="","",SUMIFS('Change Orders'!$J$7:$J$1006,'Change Orders'!$E$7:$E$1006,B972,'Change Orders'!$L$7:$L$1006,"Approved"))</f>
        <v/>
      </c>
      <c r="K972" s="76">
        <f>IF(B972="","",I972+J972)</f>
        <v/>
      </c>
      <c r="L972" s="74" t="n"/>
      <c r="M972" s="109" t="n"/>
      <c r="N972" s="109" t="n"/>
      <c r="O972" s="74" t="n"/>
      <c r="P972" s="74" t="n"/>
      <c r="Q972" s="100" t="n"/>
      <c r="R972" s="110" t="n"/>
      <c r="S972" s="75">
        <f>IF(B972="","",SUMIFS('Payments'!$N$6:$N$1005,'Payments'!$B$6:$B$1005,B972))</f>
        <v/>
      </c>
      <c r="T972" s="111">
        <f>IF(OR(B972="",K972=0),"",S972/K972)</f>
        <v/>
      </c>
      <c r="U972" s="78">
        <f>IF(V972="","",IF(V972=2,"⚠️ Paying ahead of work","✓ OK"))</f>
        <v/>
      </c>
      <c r="V972" s="79">
        <f>IF(T972="","",IF(T972-R972&gt;OverpayTol,2,0))</f>
        <v/>
      </c>
      <c r="W972" s="112">
        <f>IF(V972=2,AsOf,"")</f>
        <v/>
      </c>
      <c r="X972" s="79">
        <f>IF(W972="","",1)</f>
        <v/>
      </c>
      <c r="Y972" s="79">
        <f>IF(X972="","","Paying ahead of work: "&amp;B972&amp;" — paid "&amp;ROUND(T972*100,0)&amp;"%, work done "&amp;ROUND(R972*100,0)&amp;"%")</f>
        <v/>
      </c>
      <c r="AA972" s="72" t="n"/>
      <c r="AB972" s="109" t="n"/>
      <c r="AC972" s="113" t="n"/>
      <c r="AD972" s="74" t="n"/>
      <c r="AE972" s="109" t="n"/>
      <c r="AF972" s="74" t="n"/>
      <c r="AG972" s="112">
        <f>IF(AND(AA972&lt;&gt;"",AD972="Yes",AF972&lt;&gt;"Yes",AE972&lt;&gt;""),AE972,"")</f>
        <v/>
      </c>
      <c r="AH972" s="79">
        <f>IF(AG972="","",IF(AG972&lt;AsOf,1,IF(AG972&lt;=AsOf+AlertDays,2,IF(AG972&lt;=AsOf+2*AlertDays,3,""))))</f>
        <v/>
      </c>
      <c r="AI972" s="79">
        <f>IF(AH972="","","Follow up with "&amp;AA972&amp;": "&amp;AC972)</f>
        <v/>
      </c>
    </row>
    <row r="973" ht="20" customHeight="1">
      <c r="B973" s="72" t="n"/>
      <c r="C973" s="72" t="n"/>
      <c r="D973" s="72" t="n"/>
      <c r="E973" s="72" t="n"/>
      <c r="F973" s="72" t="n"/>
      <c r="G973" s="72" t="n"/>
      <c r="H973" s="72" t="n"/>
      <c r="I973" s="73" t="n"/>
      <c r="J973" s="75">
        <f>IF(B973="","",SUMIFS('Change Orders'!$J$7:$J$1006,'Change Orders'!$E$7:$E$1006,B973,'Change Orders'!$L$7:$L$1006,"Approved"))</f>
        <v/>
      </c>
      <c r="K973" s="76">
        <f>IF(B973="","",I973+J973)</f>
        <v/>
      </c>
      <c r="L973" s="74" t="n"/>
      <c r="M973" s="109" t="n"/>
      <c r="N973" s="109" t="n"/>
      <c r="O973" s="74" t="n"/>
      <c r="P973" s="74" t="n"/>
      <c r="Q973" s="100" t="n"/>
      <c r="R973" s="110" t="n"/>
      <c r="S973" s="75">
        <f>IF(B973="","",SUMIFS('Payments'!$N$6:$N$1005,'Payments'!$B$6:$B$1005,B973))</f>
        <v/>
      </c>
      <c r="T973" s="111">
        <f>IF(OR(B973="",K973=0),"",S973/K973)</f>
        <v/>
      </c>
      <c r="U973" s="78">
        <f>IF(V973="","",IF(V973=2,"⚠️ Paying ahead of work","✓ OK"))</f>
        <v/>
      </c>
      <c r="V973" s="79">
        <f>IF(T973="","",IF(T973-R973&gt;OverpayTol,2,0))</f>
        <v/>
      </c>
      <c r="W973" s="112">
        <f>IF(V973=2,AsOf,"")</f>
        <v/>
      </c>
      <c r="X973" s="79">
        <f>IF(W973="","",1)</f>
        <v/>
      </c>
      <c r="Y973" s="79">
        <f>IF(X973="","","Paying ahead of work: "&amp;B973&amp;" — paid "&amp;ROUND(T973*100,0)&amp;"%, work done "&amp;ROUND(R973*100,0)&amp;"%")</f>
        <v/>
      </c>
      <c r="AA973" s="72" t="n"/>
      <c r="AB973" s="109" t="n"/>
      <c r="AC973" s="113" t="n"/>
      <c r="AD973" s="74" t="n"/>
      <c r="AE973" s="109" t="n"/>
      <c r="AF973" s="74" t="n"/>
      <c r="AG973" s="112">
        <f>IF(AND(AA973&lt;&gt;"",AD973="Yes",AF973&lt;&gt;"Yes",AE973&lt;&gt;""),AE973,"")</f>
        <v/>
      </c>
      <c r="AH973" s="79">
        <f>IF(AG973="","",IF(AG973&lt;AsOf,1,IF(AG973&lt;=AsOf+AlertDays,2,IF(AG973&lt;=AsOf+2*AlertDays,3,""))))</f>
        <v/>
      </c>
      <c r="AI973" s="79">
        <f>IF(AH973="","","Follow up with "&amp;AA973&amp;": "&amp;AC973)</f>
        <v/>
      </c>
    </row>
    <row r="974" ht="20" customHeight="1">
      <c r="B974" s="72" t="n"/>
      <c r="C974" s="72" t="n"/>
      <c r="D974" s="72" t="n"/>
      <c r="E974" s="72" t="n"/>
      <c r="F974" s="72" t="n"/>
      <c r="G974" s="72" t="n"/>
      <c r="H974" s="72" t="n"/>
      <c r="I974" s="73" t="n"/>
      <c r="J974" s="75">
        <f>IF(B974="","",SUMIFS('Change Orders'!$J$7:$J$1006,'Change Orders'!$E$7:$E$1006,B974,'Change Orders'!$L$7:$L$1006,"Approved"))</f>
        <v/>
      </c>
      <c r="K974" s="76">
        <f>IF(B974="","",I974+J974)</f>
        <v/>
      </c>
      <c r="L974" s="74" t="n"/>
      <c r="M974" s="109" t="n"/>
      <c r="N974" s="109" t="n"/>
      <c r="O974" s="74" t="n"/>
      <c r="P974" s="74" t="n"/>
      <c r="Q974" s="100" t="n"/>
      <c r="R974" s="110" t="n"/>
      <c r="S974" s="75">
        <f>IF(B974="","",SUMIFS('Payments'!$N$6:$N$1005,'Payments'!$B$6:$B$1005,B974))</f>
        <v/>
      </c>
      <c r="T974" s="111">
        <f>IF(OR(B974="",K974=0),"",S974/K974)</f>
        <v/>
      </c>
      <c r="U974" s="78">
        <f>IF(V974="","",IF(V974=2,"⚠️ Paying ahead of work","✓ OK"))</f>
        <v/>
      </c>
      <c r="V974" s="79">
        <f>IF(T974="","",IF(T974-R974&gt;OverpayTol,2,0))</f>
        <v/>
      </c>
      <c r="W974" s="112">
        <f>IF(V974=2,AsOf,"")</f>
        <v/>
      </c>
      <c r="X974" s="79">
        <f>IF(W974="","",1)</f>
        <v/>
      </c>
      <c r="Y974" s="79">
        <f>IF(X974="","","Paying ahead of work: "&amp;B974&amp;" — paid "&amp;ROUND(T974*100,0)&amp;"%, work done "&amp;ROUND(R974*100,0)&amp;"%")</f>
        <v/>
      </c>
      <c r="AA974" s="72" t="n"/>
      <c r="AB974" s="109" t="n"/>
      <c r="AC974" s="113" t="n"/>
      <c r="AD974" s="74" t="n"/>
      <c r="AE974" s="109" t="n"/>
      <c r="AF974" s="74" t="n"/>
      <c r="AG974" s="112">
        <f>IF(AND(AA974&lt;&gt;"",AD974="Yes",AF974&lt;&gt;"Yes",AE974&lt;&gt;""),AE974,"")</f>
        <v/>
      </c>
      <c r="AH974" s="79">
        <f>IF(AG974="","",IF(AG974&lt;AsOf,1,IF(AG974&lt;=AsOf+AlertDays,2,IF(AG974&lt;=AsOf+2*AlertDays,3,""))))</f>
        <v/>
      </c>
      <c r="AI974" s="79">
        <f>IF(AH974="","","Follow up with "&amp;AA974&amp;": "&amp;AC974)</f>
        <v/>
      </c>
    </row>
    <row r="975" ht="20" customHeight="1">
      <c r="B975" s="72" t="n"/>
      <c r="C975" s="72" t="n"/>
      <c r="D975" s="72" t="n"/>
      <c r="E975" s="72" t="n"/>
      <c r="F975" s="72" t="n"/>
      <c r="G975" s="72" t="n"/>
      <c r="H975" s="72" t="n"/>
      <c r="I975" s="73" t="n"/>
      <c r="J975" s="75">
        <f>IF(B975="","",SUMIFS('Change Orders'!$J$7:$J$1006,'Change Orders'!$E$7:$E$1006,B975,'Change Orders'!$L$7:$L$1006,"Approved"))</f>
        <v/>
      </c>
      <c r="K975" s="76">
        <f>IF(B975="","",I975+J975)</f>
        <v/>
      </c>
      <c r="L975" s="74" t="n"/>
      <c r="M975" s="109" t="n"/>
      <c r="N975" s="109" t="n"/>
      <c r="O975" s="74" t="n"/>
      <c r="P975" s="74" t="n"/>
      <c r="Q975" s="100" t="n"/>
      <c r="R975" s="110" t="n"/>
      <c r="S975" s="75">
        <f>IF(B975="","",SUMIFS('Payments'!$N$6:$N$1005,'Payments'!$B$6:$B$1005,B975))</f>
        <v/>
      </c>
      <c r="T975" s="111">
        <f>IF(OR(B975="",K975=0),"",S975/K975)</f>
        <v/>
      </c>
      <c r="U975" s="78">
        <f>IF(V975="","",IF(V975=2,"⚠️ Paying ahead of work","✓ OK"))</f>
        <v/>
      </c>
      <c r="V975" s="79">
        <f>IF(T975="","",IF(T975-R975&gt;OverpayTol,2,0))</f>
        <v/>
      </c>
      <c r="W975" s="112">
        <f>IF(V975=2,AsOf,"")</f>
        <v/>
      </c>
      <c r="X975" s="79">
        <f>IF(W975="","",1)</f>
        <v/>
      </c>
      <c r="Y975" s="79">
        <f>IF(X975="","","Paying ahead of work: "&amp;B975&amp;" — paid "&amp;ROUND(T975*100,0)&amp;"%, work done "&amp;ROUND(R975*100,0)&amp;"%")</f>
        <v/>
      </c>
      <c r="AA975" s="72" t="n"/>
      <c r="AB975" s="109" t="n"/>
      <c r="AC975" s="113" t="n"/>
      <c r="AD975" s="74" t="n"/>
      <c r="AE975" s="109" t="n"/>
      <c r="AF975" s="74" t="n"/>
      <c r="AG975" s="112">
        <f>IF(AND(AA975&lt;&gt;"",AD975="Yes",AF975&lt;&gt;"Yes",AE975&lt;&gt;""),AE975,"")</f>
        <v/>
      </c>
      <c r="AH975" s="79">
        <f>IF(AG975="","",IF(AG975&lt;AsOf,1,IF(AG975&lt;=AsOf+AlertDays,2,IF(AG975&lt;=AsOf+2*AlertDays,3,""))))</f>
        <v/>
      </c>
      <c r="AI975" s="79">
        <f>IF(AH975="","","Follow up with "&amp;AA975&amp;": "&amp;AC975)</f>
        <v/>
      </c>
    </row>
    <row r="976" ht="20" customHeight="1">
      <c r="B976" s="72" t="n"/>
      <c r="C976" s="72" t="n"/>
      <c r="D976" s="72" t="n"/>
      <c r="E976" s="72" t="n"/>
      <c r="F976" s="72" t="n"/>
      <c r="G976" s="72" t="n"/>
      <c r="H976" s="72" t="n"/>
      <c r="I976" s="73" t="n"/>
      <c r="J976" s="75">
        <f>IF(B976="","",SUMIFS('Change Orders'!$J$7:$J$1006,'Change Orders'!$E$7:$E$1006,B976,'Change Orders'!$L$7:$L$1006,"Approved"))</f>
        <v/>
      </c>
      <c r="K976" s="76">
        <f>IF(B976="","",I976+J976)</f>
        <v/>
      </c>
      <c r="L976" s="74" t="n"/>
      <c r="M976" s="109" t="n"/>
      <c r="N976" s="109" t="n"/>
      <c r="O976" s="74" t="n"/>
      <c r="P976" s="74" t="n"/>
      <c r="Q976" s="100" t="n"/>
      <c r="R976" s="110" t="n"/>
      <c r="S976" s="75">
        <f>IF(B976="","",SUMIFS('Payments'!$N$6:$N$1005,'Payments'!$B$6:$B$1005,B976))</f>
        <v/>
      </c>
      <c r="T976" s="111">
        <f>IF(OR(B976="",K976=0),"",S976/K976)</f>
        <v/>
      </c>
      <c r="U976" s="78">
        <f>IF(V976="","",IF(V976=2,"⚠️ Paying ahead of work","✓ OK"))</f>
        <v/>
      </c>
      <c r="V976" s="79">
        <f>IF(T976="","",IF(T976-R976&gt;OverpayTol,2,0))</f>
        <v/>
      </c>
      <c r="W976" s="112">
        <f>IF(V976=2,AsOf,"")</f>
        <v/>
      </c>
      <c r="X976" s="79">
        <f>IF(W976="","",1)</f>
        <v/>
      </c>
      <c r="Y976" s="79">
        <f>IF(X976="","","Paying ahead of work: "&amp;B976&amp;" — paid "&amp;ROUND(T976*100,0)&amp;"%, work done "&amp;ROUND(R976*100,0)&amp;"%")</f>
        <v/>
      </c>
      <c r="AA976" s="72" t="n"/>
      <c r="AB976" s="109" t="n"/>
      <c r="AC976" s="113" t="n"/>
      <c r="AD976" s="74" t="n"/>
      <c r="AE976" s="109" t="n"/>
      <c r="AF976" s="74" t="n"/>
      <c r="AG976" s="112">
        <f>IF(AND(AA976&lt;&gt;"",AD976="Yes",AF976&lt;&gt;"Yes",AE976&lt;&gt;""),AE976,"")</f>
        <v/>
      </c>
      <c r="AH976" s="79">
        <f>IF(AG976="","",IF(AG976&lt;AsOf,1,IF(AG976&lt;=AsOf+AlertDays,2,IF(AG976&lt;=AsOf+2*AlertDays,3,""))))</f>
        <v/>
      </c>
      <c r="AI976" s="79">
        <f>IF(AH976="","","Follow up with "&amp;AA976&amp;": "&amp;AC976)</f>
        <v/>
      </c>
    </row>
    <row r="977" ht="20" customHeight="1">
      <c r="B977" s="72" t="n"/>
      <c r="C977" s="72" t="n"/>
      <c r="D977" s="72" t="n"/>
      <c r="E977" s="72" t="n"/>
      <c r="F977" s="72" t="n"/>
      <c r="G977" s="72" t="n"/>
      <c r="H977" s="72" t="n"/>
      <c r="I977" s="73" t="n"/>
      <c r="J977" s="75">
        <f>IF(B977="","",SUMIFS('Change Orders'!$J$7:$J$1006,'Change Orders'!$E$7:$E$1006,B977,'Change Orders'!$L$7:$L$1006,"Approved"))</f>
        <v/>
      </c>
      <c r="K977" s="76">
        <f>IF(B977="","",I977+J977)</f>
        <v/>
      </c>
      <c r="L977" s="74" t="n"/>
      <c r="M977" s="109" t="n"/>
      <c r="N977" s="109" t="n"/>
      <c r="O977" s="74" t="n"/>
      <c r="P977" s="74" t="n"/>
      <c r="Q977" s="100" t="n"/>
      <c r="R977" s="110" t="n"/>
      <c r="S977" s="75">
        <f>IF(B977="","",SUMIFS('Payments'!$N$6:$N$1005,'Payments'!$B$6:$B$1005,B977))</f>
        <v/>
      </c>
      <c r="T977" s="111">
        <f>IF(OR(B977="",K977=0),"",S977/K977)</f>
        <v/>
      </c>
      <c r="U977" s="78">
        <f>IF(V977="","",IF(V977=2,"⚠️ Paying ahead of work","✓ OK"))</f>
        <v/>
      </c>
      <c r="V977" s="79">
        <f>IF(T977="","",IF(T977-R977&gt;OverpayTol,2,0))</f>
        <v/>
      </c>
      <c r="W977" s="112">
        <f>IF(V977=2,AsOf,"")</f>
        <v/>
      </c>
      <c r="X977" s="79">
        <f>IF(W977="","",1)</f>
        <v/>
      </c>
      <c r="Y977" s="79">
        <f>IF(X977="","","Paying ahead of work: "&amp;B977&amp;" — paid "&amp;ROUND(T977*100,0)&amp;"%, work done "&amp;ROUND(R977*100,0)&amp;"%")</f>
        <v/>
      </c>
      <c r="AA977" s="72" t="n"/>
      <c r="AB977" s="109" t="n"/>
      <c r="AC977" s="113" t="n"/>
      <c r="AD977" s="74" t="n"/>
      <c r="AE977" s="109" t="n"/>
      <c r="AF977" s="74" t="n"/>
      <c r="AG977" s="112">
        <f>IF(AND(AA977&lt;&gt;"",AD977="Yes",AF977&lt;&gt;"Yes",AE977&lt;&gt;""),AE977,"")</f>
        <v/>
      </c>
      <c r="AH977" s="79">
        <f>IF(AG977="","",IF(AG977&lt;AsOf,1,IF(AG977&lt;=AsOf+AlertDays,2,IF(AG977&lt;=AsOf+2*AlertDays,3,""))))</f>
        <v/>
      </c>
      <c r="AI977" s="79">
        <f>IF(AH977="","","Follow up with "&amp;AA977&amp;": "&amp;AC977)</f>
        <v/>
      </c>
    </row>
    <row r="978" ht="20" customHeight="1">
      <c r="B978" s="72" t="n"/>
      <c r="C978" s="72" t="n"/>
      <c r="D978" s="72" t="n"/>
      <c r="E978" s="72" t="n"/>
      <c r="F978" s="72" t="n"/>
      <c r="G978" s="72" t="n"/>
      <c r="H978" s="72" t="n"/>
      <c r="I978" s="73" t="n"/>
      <c r="J978" s="75">
        <f>IF(B978="","",SUMIFS('Change Orders'!$J$7:$J$1006,'Change Orders'!$E$7:$E$1006,B978,'Change Orders'!$L$7:$L$1006,"Approved"))</f>
        <v/>
      </c>
      <c r="K978" s="76">
        <f>IF(B978="","",I978+J978)</f>
        <v/>
      </c>
      <c r="L978" s="74" t="n"/>
      <c r="M978" s="109" t="n"/>
      <c r="N978" s="109" t="n"/>
      <c r="O978" s="74" t="n"/>
      <c r="P978" s="74" t="n"/>
      <c r="Q978" s="100" t="n"/>
      <c r="R978" s="110" t="n"/>
      <c r="S978" s="75">
        <f>IF(B978="","",SUMIFS('Payments'!$N$6:$N$1005,'Payments'!$B$6:$B$1005,B978))</f>
        <v/>
      </c>
      <c r="T978" s="111">
        <f>IF(OR(B978="",K978=0),"",S978/K978)</f>
        <v/>
      </c>
      <c r="U978" s="78">
        <f>IF(V978="","",IF(V978=2,"⚠️ Paying ahead of work","✓ OK"))</f>
        <v/>
      </c>
      <c r="V978" s="79">
        <f>IF(T978="","",IF(T978-R978&gt;OverpayTol,2,0))</f>
        <v/>
      </c>
      <c r="W978" s="112">
        <f>IF(V978=2,AsOf,"")</f>
        <v/>
      </c>
      <c r="X978" s="79">
        <f>IF(W978="","",1)</f>
        <v/>
      </c>
      <c r="Y978" s="79">
        <f>IF(X978="","","Paying ahead of work: "&amp;B978&amp;" — paid "&amp;ROUND(T978*100,0)&amp;"%, work done "&amp;ROUND(R978*100,0)&amp;"%")</f>
        <v/>
      </c>
      <c r="AA978" s="72" t="n"/>
      <c r="AB978" s="109" t="n"/>
      <c r="AC978" s="113" t="n"/>
      <c r="AD978" s="74" t="n"/>
      <c r="AE978" s="109" t="n"/>
      <c r="AF978" s="74" t="n"/>
      <c r="AG978" s="112">
        <f>IF(AND(AA978&lt;&gt;"",AD978="Yes",AF978&lt;&gt;"Yes",AE978&lt;&gt;""),AE978,"")</f>
        <v/>
      </c>
      <c r="AH978" s="79">
        <f>IF(AG978="","",IF(AG978&lt;AsOf,1,IF(AG978&lt;=AsOf+AlertDays,2,IF(AG978&lt;=AsOf+2*AlertDays,3,""))))</f>
        <v/>
      </c>
      <c r="AI978" s="79">
        <f>IF(AH978="","","Follow up with "&amp;AA978&amp;": "&amp;AC978)</f>
        <v/>
      </c>
    </row>
    <row r="979" ht="20" customHeight="1">
      <c r="B979" s="72" t="n"/>
      <c r="C979" s="72" t="n"/>
      <c r="D979" s="72" t="n"/>
      <c r="E979" s="72" t="n"/>
      <c r="F979" s="72" t="n"/>
      <c r="G979" s="72" t="n"/>
      <c r="H979" s="72" t="n"/>
      <c r="I979" s="73" t="n"/>
      <c r="J979" s="75">
        <f>IF(B979="","",SUMIFS('Change Orders'!$J$7:$J$1006,'Change Orders'!$E$7:$E$1006,B979,'Change Orders'!$L$7:$L$1006,"Approved"))</f>
        <v/>
      </c>
      <c r="K979" s="76">
        <f>IF(B979="","",I979+J979)</f>
        <v/>
      </c>
      <c r="L979" s="74" t="n"/>
      <c r="M979" s="109" t="n"/>
      <c r="N979" s="109" t="n"/>
      <c r="O979" s="74" t="n"/>
      <c r="P979" s="74" t="n"/>
      <c r="Q979" s="100" t="n"/>
      <c r="R979" s="110" t="n"/>
      <c r="S979" s="75">
        <f>IF(B979="","",SUMIFS('Payments'!$N$6:$N$1005,'Payments'!$B$6:$B$1005,B979))</f>
        <v/>
      </c>
      <c r="T979" s="111">
        <f>IF(OR(B979="",K979=0),"",S979/K979)</f>
        <v/>
      </c>
      <c r="U979" s="78">
        <f>IF(V979="","",IF(V979=2,"⚠️ Paying ahead of work","✓ OK"))</f>
        <v/>
      </c>
      <c r="V979" s="79">
        <f>IF(T979="","",IF(T979-R979&gt;OverpayTol,2,0))</f>
        <v/>
      </c>
      <c r="W979" s="112">
        <f>IF(V979=2,AsOf,"")</f>
        <v/>
      </c>
      <c r="X979" s="79">
        <f>IF(W979="","",1)</f>
        <v/>
      </c>
      <c r="Y979" s="79">
        <f>IF(X979="","","Paying ahead of work: "&amp;B979&amp;" — paid "&amp;ROUND(T979*100,0)&amp;"%, work done "&amp;ROUND(R979*100,0)&amp;"%")</f>
        <v/>
      </c>
      <c r="AA979" s="72" t="n"/>
      <c r="AB979" s="109" t="n"/>
      <c r="AC979" s="113" t="n"/>
      <c r="AD979" s="74" t="n"/>
      <c r="AE979" s="109" t="n"/>
      <c r="AF979" s="74" t="n"/>
      <c r="AG979" s="112">
        <f>IF(AND(AA979&lt;&gt;"",AD979="Yes",AF979&lt;&gt;"Yes",AE979&lt;&gt;""),AE979,"")</f>
        <v/>
      </c>
      <c r="AH979" s="79">
        <f>IF(AG979="","",IF(AG979&lt;AsOf,1,IF(AG979&lt;=AsOf+AlertDays,2,IF(AG979&lt;=AsOf+2*AlertDays,3,""))))</f>
        <v/>
      </c>
      <c r="AI979" s="79">
        <f>IF(AH979="","","Follow up with "&amp;AA979&amp;": "&amp;AC979)</f>
        <v/>
      </c>
    </row>
    <row r="980" ht="20" customHeight="1">
      <c r="B980" s="72" t="n"/>
      <c r="C980" s="72" t="n"/>
      <c r="D980" s="72" t="n"/>
      <c r="E980" s="72" t="n"/>
      <c r="F980" s="72" t="n"/>
      <c r="G980" s="72" t="n"/>
      <c r="H980" s="72" t="n"/>
      <c r="I980" s="73" t="n"/>
      <c r="J980" s="75">
        <f>IF(B980="","",SUMIFS('Change Orders'!$J$7:$J$1006,'Change Orders'!$E$7:$E$1006,B980,'Change Orders'!$L$7:$L$1006,"Approved"))</f>
        <v/>
      </c>
      <c r="K980" s="76">
        <f>IF(B980="","",I980+J980)</f>
        <v/>
      </c>
      <c r="L980" s="74" t="n"/>
      <c r="M980" s="109" t="n"/>
      <c r="N980" s="109" t="n"/>
      <c r="O980" s="74" t="n"/>
      <c r="P980" s="74" t="n"/>
      <c r="Q980" s="100" t="n"/>
      <c r="R980" s="110" t="n"/>
      <c r="S980" s="75">
        <f>IF(B980="","",SUMIFS('Payments'!$N$6:$N$1005,'Payments'!$B$6:$B$1005,B980))</f>
        <v/>
      </c>
      <c r="T980" s="111">
        <f>IF(OR(B980="",K980=0),"",S980/K980)</f>
        <v/>
      </c>
      <c r="U980" s="78">
        <f>IF(V980="","",IF(V980=2,"⚠️ Paying ahead of work","✓ OK"))</f>
        <v/>
      </c>
      <c r="V980" s="79">
        <f>IF(T980="","",IF(T980-R980&gt;OverpayTol,2,0))</f>
        <v/>
      </c>
      <c r="W980" s="112">
        <f>IF(V980=2,AsOf,"")</f>
        <v/>
      </c>
      <c r="X980" s="79">
        <f>IF(W980="","",1)</f>
        <v/>
      </c>
      <c r="Y980" s="79">
        <f>IF(X980="","","Paying ahead of work: "&amp;B980&amp;" — paid "&amp;ROUND(T980*100,0)&amp;"%, work done "&amp;ROUND(R980*100,0)&amp;"%")</f>
        <v/>
      </c>
      <c r="AA980" s="72" t="n"/>
      <c r="AB980" s="109" t="n"/>
      <c r="AC980" s="113" t="n"/>
      <c r="AD980" s="74" t="n"/>
      <c r="AE980" s="109" t="n"/>
      <c r="AF980" s="74" t="n"/>
      <c r="AG980" s="112">
        <f>IF(AND(AA980&lt;&gt;"",AD980="Yes",AF980&lt;&gt;"Yes",AE980&lt;&gt;""),AE980,"")</f>
        <v/>
      </c>
      <c r="AH980" s="79">
        <f>IF(AG980="","",IF(AG980&lt;AsOf,1,IF(AG980&lt;=AsOf+AlertDays,2,IF(AG980&lt;=AsOf+2*AlertDays,3,""))))</f>
        <v/>
      </c>
      <c r="AI980" s="79">
        <f>IF(AH980="","","Follow up with "&amp;AA980&amp;": "&amp;AC980)</f>
        <v/>
      </c>
    </row>
    <row r="981" ht="20" customHeight="1">
      <c r="B981" s="72" t="n"/>
      <c r="C981" s="72" t="n"/>
      <c r="D981" s="72" t="n"/>
      <c r="E981" s="72" t="n"/>
      <c r="F981" s="72" t="n"/>
      <c r="G981" s="72" t="n"/>
      <c r="H981" s="72" t="n"/>
      <c r="I981" s="73" t="n"/>
      <c r="J981" s="75">
        <f>IF(B981="","",SUMIFS('Change Orders'!$J$7:$J$1006,'Change Orders'!$E$7:$E$1006,B981,'Change Orders'!$L$7:$L$1006,"Approved"))</f>
        <v/>
      </c>
      <c r="K981" s="76">
        <f>IF(B981="","",I981+J981)</f>
        <v/>
      </c>
      <c r="L981" s="74" t="n"/>
      <c r="M981" s="109" t="n"/>
      <c r="N981" s="109" t="n"/>
      <c r="O981" s="74" t="n"/>
      <c r="P981" s="74" t="n"/>
      <c r="Q981" s="100" t="n"/>
      <c r="R981" s="110" t="n"/>
      <c r="S981" s="75">
        <f>IF(B981="","",SUMIFS('Payments'!$N$6:$N$1005,'Payments'!$B$6:$B$1005,B981))</f>
        <v/>
      </c>
      <c r="T981" s="111">
        <f>IF(OR(B981="",K981=0),"",S981/K981)</f>
        <v/>
      </c>
      <c r="U981" s="78">
        <f>IF(V981="","",IF(V981=2,"⚠️ Paying ahead of work","✓ OK"))</f>
        <v/>
      </c>
      <c r="V981" s="79">
        <f>IF(T981="","",IF(T981-R981&gt;OverpayTol,2,0))</f>
        <v/>
      </c>
      <c r="W981" s="112">
        <f>IF(V981=2,AsOf,"")</f>
        <v/>
      </c>
      <c r="X981" s="79">
        <f>IF(W981="","",1)</f>
        <v/>
      </c>
      <c r="Y981" s="79">
        <f>IF(X981="","","Paying ahead of work: "&amp;B981&amp;" — paid "&amp;ROUND(T981*100,0)&amp;"%, work done "&amp;ROUND(R981*100,0)&amp;"%")</f>
        <v/>
      </c>
      <c r="AA981" s="72" t="n"/>
      <c r="AB981" s="109" t="n"/>
      <c r="AC981" s="113" t="n"/>
      <c r="AD981" s="74" t="n"/>
      <c r="AE981" s="109" t="n"/>
      <c r="AF981" s="74" t="n"/>
      <c r="AG981" s="112">
        <f>IF(AND(AA981&lt;&gt;"",AD981="Yes",AF981&lt;&gt;"Yes",AE981&lt;&gt;""),AE981,"")</f>
        <v/>
      </c>
      <c r="AH981" s="79">
        <f>IF(AG981="","",IF(AG981&lt;AsOf,1,IF(AG981&lt;=AsOf+AlertDays,2,IF(AG981&lt;=AsOf+2*AlertDays,3,""))))</f>
        <v/>
      </c>
      <c r="AI981" s="79">
        <f>IF(AH981="","","Follow up with "&amp;AA981&amp;": "&amp;AC981)</f>
        <v/>
      </c>
    </row>
    <row r="982" ht="20" customHeight="1">
      <c r="B982" s="72" t="n"/>
      <c r="C982" s="72" t="n"/>
      <c r="D982" s="72" t="n"/>
      <c r="E982" s="72" t="n"/>
      <c r="F982" s="72" t="n"/>
      <c r="G982" s="72" t="n"/>
      <c r="H982" s="72" t="n"/>
      <c r="I982" s="73" t="n"/>
      <c r="J982" s="75">
        <f>IF(B982="","",SUMIFS('Change Orders'!$J$7:$J$1006,'Change Orders'!$E$7:$E$1006,B982,'Change Orders'!$L$7:$L$1006,"Approved"))</f>
        <v/>
      </c>
      <c r="K982" s="76">
        <f>IF(B982="","",I982+J982)</f>
        <v/>
      </c>
      <c r="L982" s="74" t="n"/>
      <c r="M982" s="109" t="n"/>
      <c r="N982" s="109" t="n"/>
      <c r="O982" s="74" t="n"/>
      <c r="P982" s="74" t="n"/>
      <c r="Q982" s="100" t="n"/>
      <c r="R982" s="110" t="n"/>
      <c r="S982" s="75">
        <f>IF(B982="","",SUMIFS('Payments'!$N$6:$N$1005,'Payments'!$B$6:$B$1005,B982))</f>
        <v/>
      </c>
      <c r="T982" s="111">
        <f>IF(OR(B982="",K982=0),"",S982/K982)</f>
        <v/>
      </c>
      <c r="U982" s="78">
        <f>IF(V982="","",IF(V982=2,"⚠️ Paying ahead of work","✓ OK"))</f>
        <v/>
      </c>
      <c r="V982" s="79">
        <f>IF(T982="","",IF(T982-R982&gt;OverpayTol,2,0))</f>
        <v/>
      </c>
      <c r="W982" s="112">
        <f>IF(V982=2,AsOf,"")</f>
        <v/>
      </c>
      <c r="X982" s="79">
        <f>IF(W982="","",1)</f>
        <v/>
      </c>
      <c r="Y982" s="79">
        <f>IF(X982="","","Paying ahead of work: "&amp;B982&amp;" — paid "&amp;ROUND(T982*100,0)&amp;"%, work done "&amp;ROUND(R982*100,0)&amp;"%")</f>
        <v/>
      </c>
      <c r="AA982" s="72" t="n"/>
      <c r="AB982" s="109" t="n"/>
      <c r="AC982" s="113" t="n"/>
      <c r="AD982" s="74" t="n"/>
      <c r="AE982" s="109" t="n"/>
      <c r="AF982" s="74" t="n"/>
      <c r="AG982" s="112">
        <f>IF(AND(AA982&lt;&gt;"",AD982="Yes",AF982&lt;&gt;"Yes",AE982&lt;&gt;""),AE982,"")</f>
        <v/>
      </c>
      <c r="AH982" s="79">
        <f>IF(AG982="","",IF(AG982&lt;AsOf,1,IF(AG982&lt;=AsOf+AlertDays,2,IF(AG982&lt;=AsOf+2*AlertDays,3,""))))</f>
        <v/>
      </c>
      <c r="AI982" s="79">
        <f>IF(AH982="","","Follow up with "&amp;AA982&amp;": "&amp;AC982)</f>
        <v/>
      </c>
    </row>
    <row r="983" ht="20" customHeight="1">
      <c r="B983" s="72" t="n"/>
      <c r="C983" s="72" t="n"/>
      <c r="D983" s="72" t="n"/>
      <c r="E983" s="72" t="n"/>
      <c r="F983" s="72" t="n"/>
      <c r="G983" s="72" t="n"/>
      <c r="H983" s="72" t="n"/>
      <c r="I983" s="73" t="n"/>
      <c r="J983" s="75">
        <f>IF(B983="","",SUMIFS('Change Orders'!$J$7:$J$1006,'Change Orders'!$E$7:$E$1006,B983,'Change Orders'!$L$7:$L$1006,"Approved"))</f>
        <v/>
      </c>
      <c r="K983" s="76">
        <f>IF(B983="","",I983+J983)</f>
        <v/>
      </c>
      <c r="L983" s="74" t="n"/>
      <c r="M983" s="109" t="n"/>
      <c r="N983" s="109" t="n"/>
      <c r="O983" s="74" t="n"/>
      <c r="P983" s="74" t="n"/>
      <c r="Q983" s="100" t="n"/>
      <c r="R983" s="110" t="n"/>
      <c r="S983" s="75">
        <f>IF(B983="","",SUMIFS('Payments'!$N$6:$N$1005,'Payments'!$B$6:$B$1005,B983))</f>
        <v/>
      </c>
      <c r="T983" s="111">
        <f>IF(OR(B983="",K983=0),"",S983/K983)</f>
        <v/>
      </c>
      <c r="U983" s="78">
        <f>IF(V983="","",IF(V983=2,"⚠️ Paying ahead of work","✓ OK"))</f>
        <v/>
      </c>
      <c r="V983" s="79">
        <f>IF(T983="","",IF(T983-R983&gt;OverpayTol,2,0))</f>
        <v/>
      </c>
      <c r="W983" s="112">
        <f>IF(V983=2,AsOf,"")</f>
        <v/>
      </c>
      <c r="X983" s="79">
        <f>IF(W983="","",1)</f>
        <v/>
      </c>
      <c r="Y983" s="79">
        <f>IF(X983="","","Paying ahead of work: "&amp;B983&amp;" — paid "&amp;ROUND(T983*100,0)&amp;"%, work done "&amp;ROUND(R983*100,0)&amp;"%")</f>
        <v/>
      </c>
      <c r="AA983" s="72" t="n"/>
      <c r="AB983" s="109" t="n"/>
      <c r="AC983" s="113" t="n"/>
      <c r="AD983" s="74" t="n"/>
      <c r="AE983" s="109" t="n"/>
      <c r="AF983" s="74" t="n"/>
      <c r="AG983" s="112">
        <f>IF(AND(AA983&lt;&gt;"",AD983="Yes",AF983&lt;&gt;"Yes",AE983&lt;&gt;""),AE983,"")</f>
        <v/>
      </c>
      <c r="AH983" s="79">
        <f>IF(AG983="","",IF(AG983&lt;AsOf,1,IF(AG983&lt;=AsOf+AlertDays,2,IF(AG983&lt;=AsOf+2*AlertDays,3,""))))</f>
        <v/>
      </c>
      <c r="AI983" s="79">
        <f>IF(AH983="","","Follow up with "&amp;AA983&amp;": "&amp;AC983)</f>
        <v/>
      </c>
    </row>
    <row r="984" ht="20" customHeight="1">
      <c r="B984" s="72" t="n"/>
      <c r="C984" s="72" t="n"/>
      <c r="D984" s="72" t="n"/>
      <c r="E984" s="72" t="n"/>
      <c r="F984" s="72" t="n"/>
      <c r="G984" s="72" t="n"/>
      <c r="H984" s="72" t="n"/>
      <c r="I984" s="73" t="n"/>
      <c r="J984" s="75">
        <f>IF(B984="","",SUMIFS('Change Orders'!$J$7:$J$1006,'Change Orders'!$E$7:$E$1006,B984,'Change Orders'!$L$7:$L$1006,"Approved"))</f>
        <v/>
      </c>
      <c r="K984" s="76">
        <f>IF(B984="","",I984+J984)</f>
        <v/>
      </c>
      <c r="L984" s="74" t="n"/>
      <c r="M984" s="109" t="n"/>
      <c r="N984" s="109" t="n"/>
      <c r="O984" s="74" t="n"/>
      <c r="P984" s="74" t="n"/>
      <c r="Q984" s="100" t="n"/>
      <c r="R984" s="110" t="n"/>
      <c r="S984" s="75">
        <f>IF(B984="","",SUMIFS('Payments'!$N$6:$N$1005,'Payments'!$B$6:$B$1005,B984))</f>
        <v/>
      </c>
      <c r="T984" s="111">
        <f>IF(OR(B984="",K984=0),"",S984/K984)</f>
        <v/>
      </c>
      <c r="U984" s="78">
        <f>IF(V984="","",IF(V984=2,"⚠️ Paying ahead of work","✓ OK"))</f>
        <v/>
      </c>
      <c r="V984" s="79">
        <f>IF(T984="","",IF(T984-R984&gt;OverpayTol,2,0))</f>
        <v/>
      </c>
      <c r="W984" s="112">
        <f>IF(V984=2,AsOf,"")</f>
        <v/>
      </c>
      <c r="X984" s="79">
        <f>IF(W984="","",1)</f>
        <v/>
      </c>
      <c r="Y984" s="79">
        <f>IF(X984="","","Paying ahead of work: "&amp;B984&amp;" — paid "&amp;ROUND(T984*100,0)&amp;"%, work done "&amp;ROUND(R984*100,0)&amp;"%")</f>
        <v/>
      </c>
      <c r="AA984" s="72" t="n"/>
      <c r="AB984" s="109" t="n"/>
      <c r="AC984" s="113" t="n"/>
      <c r="AD984" s="74" t="n"/>
      <c r="AE984" s="109" t="n"/>
      <c r="AF984" s="74" t="n"/>
      <c r="AG984" s="112">
        <f>IF(AND(AA984&lt;&gt;"",AD984="Yes",AF984&lt;&gt;"Yes",AE984&lt;&gt;""),AE984,"")</f>
        <v/>
      </c>
      <c r="AH984" s="79">
        <f>IF(AG984="","",IF(AG984&lt;AsOf,1,IF(AG984&lt;=AsOf+AlertDays,2,IF(AG984&lt;=AsOf+2*AlertDays,3,""))))</f>
        <v/>
      </c>
      <c r="AI984" s="79">
        <f>IF(AH984="","","Follow up with "&amp;AA984&amp;": "&amp;AC984)</f>
        <v/>
      </c>
    </row>
    <row r="985" ht="20" customHeight="1">
      <c r="B985" s="72" t="n"/>
      <c r="C985" s="72" t="n"/>
      <c r="D985" s="72" t="n"/>
      <c r="E985" s="72" t="n"/>
      <c r="F985" s="72" t="n"/>
      <c r="G985" s="72" t="n"/>
      <c r="H985" s="72" t="n"/>
      <c r="I985" s="73" t="n"/>
      <c r="J985" s="75">
        <f>IF(B985="","",SUMIFS('Change Orders'!$J$7:$J$1006,'Change Orders'!$E$7:$E$1006,B985,'Change Orders'!$L$7:$L$1006,"Approved"))</f>
        <v/>
      </c>
      <c r="K985" s="76">
        <f>IF(B985="","",I985+J985)</f>
        <v/>
      </c>
      <c r="L985" s="74" t="n"/>
      <c r="M985" s="109" t="n"/>
      <c r="N985" s="109" t="n"/>
      <c r="O985" s="74" t="n"/>
      <c r="P985" s="74" t="n"/>
      <c r="Q985" s="100" t="n"/>
      <c r="R985" s="110" t="n"/>
      <c r="S985" s="75">
        <f>IF(B985="","",SUMIFS('Payments'!$N$6:$N$1005,'Payments'!$B$6:$B$1005,B985))</f>
        <v/>
      </c>
      <c r="T985" s="111">
        <f>IF(OR(B985="",K985=0),"",S985/K985)</f>
        <v/>
      </c>
      <c r="U985" s="78">
        <f>IF(V985="","",IF(V985=2,"⚠️ Paying ahead of work","✓ OK"))</f>
        <v/>
      </c>
      <c r="V985" s="79">
        <f>IF(T985="","",IF(T985-R985&gt;OverpayTol,2,0))</f>
        <v/>
      </c>
      <c r="W985" s="112">
        <f>IF(V985=2,AsOf,"")</f>
        <v/>
      </c>
      <c r="X985" s="79">
        <f>IF(W985="","",1)</f>
        <v/>
      </c>
      <c r="Y985" s="79">
        <f>IF(X985="","","Paying ahead of work: "&amp;B985&amp;" — paid "&amp;ROUND(T985*100,0)&amp;"%, work done "&amp;ROUND(R985*100,0)&amp;"%")</f>
        <v/>
      </c>
      <c r="AA985" s="72" t="n"/>
      <c r="AB985" s="109" t="n"/>
      <c r="AC985" s="113" t="n"/>
      <c r="AD985" s="74" t="n"/>
      <c r="AE985" s="109" t="n"/>
      <c r="AF985" s="74" t="n"/>
      <c r="AG985" s="112">
        <f>IF(AND(AA985&lt;&gt;"",AD985="Yes",AF985&lt;&gt;"Yes",AE985&lt;&gt;""),AE985,"")</f>
        <v/>
      </c>
      <c r="AH985" s="79">
        <f>IF(AG985="","",IF(AG985&lt;AsOf,1,IF(AG985&lt;=AsOf+AlertDays,2,IF(AG985&lt;=AsOf+2*AlertDays,3,""))))</f>
        <v/>
      </c>
      <c r="AI985" s="79">
        <f>IF(AH985="","","Follow up with "&amp;AA985&amp;": "&amp;AC985)</f>
        <v/>
      </c>
    </row>
    <row r="986" ht="20" customHeight="1">
      <c r="B986" s="72" t="n"/>
      <c r="C986" s="72" t="n"/>
      <c r="D986" s="72" t="n"/>
      <c r="E986" s="72" t="n"/>
      <c r="F986" s="72" t="n"/>
      <c r="G986" s="72" t="n"/>
      <c r="H986" s="72" t="n"/>
      <c r="I986" s="73" t="n"/>
      <c r="J986" s="75">
        <f>IF(B986="","",SUMIFS('Change Orders'!$J$7:$J$1006,'Change Orders'!$E$7:$E$1006,B986,'Change Orders'!$L$7:$L$1006,"Approved"))</f>
        <v/>
      </c>
      <c r="K986" s="76">
        <f>IF(B986="","",I986+J986)</f>
        <v/>
      </c>
      <c r="L986" s="74" t="n"/>
      <c r="M986" s="109" t="n"/>
      <c r="N986" s="109" t="n"/>
      <c r="O986" s="74" t="n"/>
      <c r="P986" s="74" t="n"/>
      <c r="Q986" s="100" t="n"/>
      <c r="R986" s="110" t="n"/>
      <c r="S986" s="75">
        <f>IF(B986="","",SUMIFS('Payments'!$N$6:$N$1005,'Payments'!$B$6:$B$1005,B986))</f>
        <v/>
      </c>
      <c r="T986" s="111">
        <f>IF(OR(B986="",K986=0),"",S986/K986)</f>
        <v/>
      </c>
      <c r="U986" s="78">
        <f>IF(V986="","",IF(V986=2,"⚠️ Paying ahead of work","✓ OK"))</f>
        <v/>
      </c>
      <c r="V986" s="79">
        <f>IF(T986="","",IF(T986-R986&gt;OverpayTol,2,0))</f>
        <v/>
      </c>
      <c r="W986" s="112">
        <f>IF(V986=2,AsOf,"")</f>
        <v/>
      </c>
      <c r="X986" s="79">
        <f>IF(W986="","",1)</f>
        <v/>
      </c>
      <c r="Y986" s="79">
        <f>IF(X986="","","Paying ahead of work: "&amp;B986&amp;" — paid "&amp;ROUND(T986*100,0)&amp;"%, work done "&amp;ROUND(R986*100,0)&amp;"%")</f>
        <v/>
      </c>
      <c r="AA986" s="72" t="n"/>
      <c r="AB986" s="109" t="n"/>
      <c r="AC986" s="113" t="n"/>
      <c r="AD986" s="74" t="n"/>
      <c r="AE986" s="109" t="n"/>
      <c r="AF986" s="74" t="n"/>
      <c r="AG986" s="112">
        <f>IF(AND(AA986&lt;&gt;"",AD986="Yes",AF986&lt;&gt;"Yes",AE986&lt;&gt;""),AE986,"")</f>
        <v/>
      </c>
      <c r="AH986" s="79">
        <f>IF(AG986="","",IF(AG986&lt;AsOf,1,IF(AG986&lt;=AsOf+AlertDays,2,IF(AG986&lt;=AsOf+2*AlertDays,3,""))))</f>
        <v/>
      </c>
      <c r="AI986" s="79">
        <f>IF(AH986="","","Follow up with "&amp;AA986&amp;": "&amp;AC986)</f>
        <v/>
      </c>
    </row>
    <row r="987" ht="20" customHeight="1">
      <c r="B987" s="72" t="n"/>
      <c r="C987" s="72" t="n"/>
      <c r="D987" s="72" t="n"/>
      <c r="E987" s="72" t="n"/>
      <c r="F987" s="72" t="n"/>
      <c r="G987" s="72" t="n"/>
      <c r="H987" s="72" t="n"/>
      <c r="I987" s="73" t="n"/>
      <c r="J987" s="75">
        <f>IF(B987="","",SUMIFS('Change Orders'!$J$7:$J$1006,'Change Orders'!$E$7:$E$1006,B987,'Change Orders'!$L$7:$L$1006,"Approved"))</f>
        <v/>
      </c>
      <c r="K987" s="76">
        <f>IF(B987="","",I987+J987)</f>
        <v/>
      </c>
      <c r="L987" s="74" t="n"/>
      <c r="M987" s="109" t="n"/>
      <c r="N987" s="109" t="n"/>
      <c r="O987" s="74" t="n"/>
      <c r="P987" s="74" t="n"/>
      <c r="Q987" s="100" t="n"/>
      <c r="R987" s="110" t="n"/>
      <c r="S987" s="75">
        <f>IF(B987="","",SUMIFS('Payments'!$N$6:$N$1005,'Payments'!$B$6:$B$1005,B987))</f>
        <v/>
      </c>
      <c r="T987" s="111">
        <f>IF(OR(B987="",K987=0),"",S987/K987)</f>
        <v/>
      </c>
      <c r="U987" s="78">
        <f>IF(V987="","",IF(V987=2,"⚠️ Paying ahead of work","✓ OK"))</f>
        <v/>
      </c>
      <c r="V987" s="79">
        <f>IF(T987="","",IF(T987-R987&gt;OverpayTol,2,0))</f>
        <v/>
      </c>
      <c r="W987" s="112">
        <f>IF(V987=2,AsOf,"")</f>
        <v/>
      </c>
      <c r="X987" s="79">
        <f>IF(W987="","",1)</f>
        <v/>
      </c>
      <c r="Y987" s="79">
        <f>IF(X987="","","Paying ahead of work: "&amp;B987&amp;" — paid "&amp;ROUND(T987*100,0)&amp;"%, work done "&amp;ROUND(R987*100,0)&amp;"%")</f>
        <v/>
      </c>
      <c r="AA987" s="72" t="n"/>
      <c r="AB987" s="109" t="n"/>
      <c r="AC987" s="113" t="n"/>
      <c r="AD987" s="74" t="n"/>
      <c r="AE987" s="109" t="n"/>
      <c r="AF987" s="74" t="n"/>
      <c r="AG987" s="112">
        <f>IF(AND(AA987&lt;&gt;"",AD987="Yes",AF987&lt;&gt;"Yes",AE987&lt;&gt;""),AE987,"")</f>
        <v/>
      </c>
      <c r="AH987" s="79">
        <f>IF(AG987="","",IF(AG987&lt;AsOf,1,IF(AG987&lt;=AsOf+AlertDays,2,IF(AG987&lt;=AsOf+2*AlertDays,3,""))))</f>
        <v/>
      </c>
      <c r="AI987" s="79">
        <f>IF(AH987="","","Follow up with "&amp;AA987&amp;": "&amp;AC987)</f>
        <v/>
      </c>
    </row>
    <row r="988" ht="20" customHeight="1">
      <c r="B988" s="72" t="n"/>
      <c r="C988" s="72" t="n"/>
      <c r="D988" s="72" t="n"/>
      <c r="E988" s="72" t="n"/>
      <c r="F988" s="72" t="n"/>
      <c r="G988" s="72" t="n"/>
      <c r="H988" s="72" t="n"/>
      <c r="I988" s="73" t="n"/>
      <c r="J988" s="75">
        <f>IF(B988="","",SUMIFS('Change Orders'!$J$7:$J$1006,'Change Orders'!$E$7:$E$1006,B988,'Change Orders'!$L$7:$L$1006,"Approved"))</f>
        <v/>
      </c>
      <c r="K988" s="76">
        <f>IF(B988="","",I988+J988)</f>
        <v/>
      </c>
      <c r="L988" s="74" t="n"/>
      <c r="M988" s="109" t="n"/>
      <c r="N988" s="109" t="n"/>
      <c r="O988" s="74" t="n"/>
      <c r="P988" s="74" t="n"/>
      <c r="Q988" s="100" t="n"/>
      <c r="R988" s="110" t="n"/>
      <c r="S988" s="75">
        <f>IF(B988="","",SUMIFS('Payments'!$N$6:$N$1005,'Payments'!$B$6:$B$1005,B988))</f>
        <v/>
      </c>
      <c r="T988" s="111">
        <f>IF(OR(B988="",K988=0),"",S988/K988)</f>
        <v/>
      </c>
      <c r="U988" s="78">
        <f>IF(V988="","",IF(V988=2,"⚠️ Paying ahead of work","✓ OK"))</f>
        <v/>
      </c>
      <c r="V988" s="79">
        <f>IF(T988="","",IF(T988-R988&gt;OverpayTol,2,0))</f>
        <v/>
      </c>
      <c r="W988" s="112">
        <f>IF(V988=2,AsOf,"")</f>
        <v/>
      </c>
      <c r="X988" s="79">
        <f>IF(W988="","",1)</f>
        <v/>
      </c>
      <c r="Y988" s="79">
        <f>IF(X988="","","Paying ahead of work: "&amp;B988&amp;" — paid "&amp;ROUND(T988*100,0)&amp;"%, work done "&amp;ROUND(R988*100,0)&amp;"%")</f>
        <v/>
      </c>
      <c r="AA988" s="72" t="n"/>
      <c r="AB988" s="109" t="n"/>
      <c r="AC988" s="113" t="n"/>
      <c r="AD988" s="74" t="n"/>
      <c r="AE988" s="109" t="n"/>
      <c r="AF988" s="74" t="n"/>
      <c r="AG988" s="112">
        <f>IF(AND(AA988&lt;&gt;"",AD988="Yes",AF988&lt;&gt;"Yes",AE988&lt;&gt;""),AE988,"")</f>
        <v/>
      </c>
      <c r="AH988" s="79">
        <f>IF(AG988="","",IF(AG988&lt;AsOf,1,IF(AG988&lt;=AsOf+AlertDays,2,IF(AG988&lt;=AsOf+2*AlertDays,3,""))))</f>
        <v/>
      </c>
      <c r="AI988" s="79">
        <f>IF(AH988="","","Follow up with "&amp;AA988&amp;": "&amp;AC988)</f>
        <v/>
      </c>
    </row>
    <row r="989" ht="20" customHeight="1">
      <c r="B989" s="72" t="n"/>
      <c r="C989" s="72" t="n"/>
      <c r="D989" s="72" t="n"/>
      <c r="E989" s="72" t="n"/>
      <c r="F989" s="72" t="n"/>
      <c r="G989" s="72" t="n"/>
      <c r="H989" s="72" t="n"/>
      <c r="I989" s="73" t="n"/>
      <c r="J989" s="75">
        <f>IF(B989="","",SUMIFS('Change Orders'!$J$7:$J$1006,'Change Orders'!$E$7:$E$1006,B989,'Change Orders'!$L$7:$L$1006,"Approved"))</f>
        <v/>
      </c>
      <c r="K989" s="76">
        <f>IF(B989="","",I989+J989)</f>
        <v/>
      </c>
      <c r="L989" s="74" t="n"/>
      <c r="M989" s="109" t="n"/>
      <c r="N989" s="109" t="n"/>
      <c r="O989" s="74" t="n"/>
      <c r="P989" s="74" t="n"/>
      <c r="Q989" s="100" t="n"/>
      <c r="R989" s="110" t="n"/>
      <c r="S989" s="75">
        <f>IF(B989="","",SUMIFS('Payments'!$N$6:$N$1005,'Payments'!$B$6:$B$1005,B989))</f>
        <v/>
      </c>
      <c r="T989" s="111">
        <f>IF(OR(B989="",K989=0),"",S989/K989)</f>
        <v/>
      </c>
      <c r="U989" s="78">
        <f>IF(V989="","",IF(V989=2,"⚠️ Paying ahead of work","✓ OK"))</f>
        <v/>
      </c>
      <c r="V989" s="79">
        <f>IF(T989="","",IF(T989-R989&gt;OverpayTol,2,0))</f>
        <v/>
      </c>
      <c r="W989" s="112">
        <f>IF(V989=2,AsOf,"")</f>
        <v/>
      </c>
      <c r="X989" s="79">
        <f>IF(W989="","",1)</f>
        <v/>
      </c>
      <c r="Y989" s="79">
        <f>IF(X989="","","Paying ahead of work: "&amp;B989&amp;" — paid "&amp;ROUND(T989*100,0)&amp;"%, work done "&amp;ROUND(R989*100,0)&amp;"%")</f>
        <v/>
      </c>
      <c r="AA989" s="72" t="n"/>
      <c r="AB989" s="109" t="n"/>
      <c r="AC989" s="113" t="n"/>
      <c r="AD989" s="74" t="n"/>
      <c r="AE989" s="109" t="n"/>
      <c r="AF989" s="74" t="n"/>
      <c r="AG989" s="112">
        <f>IF(AND(AA989&lt;&gt;"",AD989="Yes",AF989&lt;&gt;"Yes",AE989&lt;&gt;""),AE989,"")</f>
        <v/>
      </c>
      <c r="AH989" s="79">
        <f>IF(AG989="","",IF(AG989&lt;AsOf,1,IF(AG989&lt;=AsOf+AlertDays,2,IF(AG989&lt;=AsOf+2*AlertDays,3,""))))</f>
        <v/>
      </c>
      <c r="AI989" s="79">
        <f>IF(AH989="","","Follow up with "&amp;AA989&amp;": "&amp;AC989)</f>
        <v/>
      </c>
    </row>
    <row r="990" ht="20" customHeight="1">
      <c r="B990" s="72" t="n"/>
      <c r="C990" s="72" t="n"/>
      <c r="D990" s="72" t="n"/>
      <c r="E990" s="72" t="n"/>
      <c r="F990" s="72" t="n"/>
      <c r="G990" s="72" t="n"/>
      <c r="H990" s="72" t="n"/>
      <c r="I990" s="73" t="n"/>
      <c r="J990" s="75">
        <f>IF(B990="","",SUMIFS('Change Orders'!$J$7:$J$1006,'Change Orders'!$E$7:$E$1006,B990,'Change Orders'!$L$7:$L$1006,"Approved"))</f>
        <v/>
      </c>
      <c r="K990" s="76">
        <f>IF(B990="","",I990+J990)</f>
        <v/>
      </c>
      <c r="L990" s="74" t="n"/>
      <c r="M990" s="109" t="n"/>
      <c r="N990" s="109" t="n"/>
      <c r="O990" s="74" t="n"/>
      <c r="P990" s="74" t="n"/>
      <c r="Q990" s="100" t="n"/>
      <c r="R990" s="110" t="n"/>
      <c r="S990" s="75">
        <f>IF(B990="","",SUMIFS('Payments'!$N$6:$N$1005,'Payments'!$B$6:$B$1005,B990))</f>
        <v/>
      </c>
      <c r="T990" s="111">
        <f>IF(OR(B990="",K990=0),"",S990/K990)</f>
        <v/>
      </c>
      <c r="U990" s="78">
        <f>IF(V990="","",IF(V990=2,"⚠️ Paying ahead of work","✓ OK"))</f>
        <v/>
      </c>
      <c r="V990" s="79">
        <f>IF(T990="","",IF(T990-R990&gt;OverpayTol,2,0))</f>
        <v/>
      </c>
      <c r="W990" s="112">
        <f>IF(V990=2,AsOf,"")</f>
        <v/>
      </c>
      <c r="X990" s="79">
        <f>IF(W990="","",1)</f>
        <v/>
      </c>
      <c r="Y990" s="79">
        <f>IF(X990="","","Paying ahead of work: "&amp;B990&amp;" — paid "&amp;ROUND(T990*100,0)&amp;"%, work done "&amp;ROUND(R990*100,0)&amp;"%")</f>
        <v/>
      </c>
      <c r="AA990" s="72" t="n"/>
      <c r="AB990" s="109" t="n"/>
      <c r="AC990" s="113" t="n"/>
      <c r="AD990" s="74" t="n"/>
      <c r="AE990" s="109" t="n"/>
      <c r="AF990" s="74" t="n"/>
      <c r="AG990" s="112">
        <f>IF(AND(AA990&lt;&gt;"",AD990="Yes",AF990&lt;&gt;"Yes",AE990&lt;&gt;""),AE990,"")</f>
        <v/>
      </c>
      <c r="AH990" s="79">
        <f>IF(AG990="","",IF(AG990&lt;AsOf,1,IF(AG990&lt;=AsOf+AlertDays,2,IF(AG990&lt;=AsOf+2*AlertDays,3,""))))</f>
        <v/>
      </c>
      <c r="AI990" s="79">
        <f>IF(AH990="","","Follow up with "&amp;AA990&amp;": "&amp;AC990)</f>
        <v/>
      </c>
    </row>
    <row r="991" ht="20" customHeight="1">
      <c r="B991" s="72" t="n"/>
      <c r="C991" s="72" t="n"/>
      <c r="D991" s="72" t="n"/>
      <c r="E991" s="72" t="n"/>
      <c r="F991" s="72" t="n"/>
      <c r="G991" s="72" t="n"/>
      <c r="H991" s="72" t="n"/>
      <c r="I991" s="73" t="n"/>
      <c r="J991" s="75">
        <f>IF(B991="","",SUMIFS('Change Orders'!$J$7:$J$1006,'Change Orders'!$E$7:$E$1006,B991,'Change Orders'!$L$7:$L$1006,"Approved"))</f>
        <v/>
      </c>
      <c r="K991" s="76">
        <f>IF(B991="","",I991+J991)</f>
        <v/>
      </c>
      <c r="L991" s="74" t="n"/>
      <c r="M991" s="109" t="n"/>
      <c r="N991" s="109" t="n"/>
      <c r="O991" s="74" t="n"/>
      <c r="P991" s="74" t="n"/>
      <c r="Q991" s="100" t="n"/>
      <c r="R991" s="110" t="n"/>
      <c r="S991" s="75">
        <f>IF(B991="","",SUMIFS('Payments'!$N$6:$N$1005,'Payments'!$B$6:$B$1005,B991))</f>
        <v/>
      </c>
      <c r="T991" s="111">
        <f>IF(OR(B991="",K991=0),"",S991/K991)</f>
        <v/>
      </c>
      <c r="U991" s="78">
        <f>IF(V991="","",IF(V991=2,"⚠️ Paying ahead of work","✓ OK"))</f>
        <v/>
      </c>
      <c r="V991" s="79">
        <f>IF(T991="","",IF(T991-R991&gt;OverpayTol,2,0))</f>
        <v/>
      </c>
      <c r="W991" s="112">
        <f>IF(V991=2,AsOf,"")</f>
        <v/>
      </c>
      <c r="X991" s="79">
        <f>IF(W991="","",1)</f>
        <v/>
      </c>
      <c r="Y991" s="79">
        <f>IF(X991="","","Paying ahead of work: "&amp;B991&amp;" — paid "&amp;ROUND(T991*100,0)&amp;"%, work done "&amp;ROUND(R991*100,0)&amp;"%")</f>
        <v/>
      </c>
      <c r="AA991" s="72" t="n"/>
      <c r="AB991" s="109" t="n"/>
      <c r="AC991" s="113" t="n"/>
      <c r="AD991" s="74" t="n"/>
      <c r="AE991" s="109" t="n"/>
      <c r="AF991" s="74" t="n"/>
      <c r="AG991" s="112">
        <f>IF(AND(AA991&lt;&gt;"",AD991="Yes",AF991&lt;&gt;"Yes",AE991&lt;&gt;""),AE991,"")</f>
        <v/>
      </c>
      <c r="AH991" s="79">
        <f>IF(AG991="","",IF(AG991&lt;AsOf,1,IF(AG991&lt;=AsOf+AlertDays,2,IF(AG991&lt;=AsOf+2*AlertDays,3,""))))</f>
        <v/>
      </c>
      <c r="AI991" s="79">
        <f>IF(AH991="","","Follow up with "&amp;AA991&amp;": "&amp;AC991)</f>
        <v/>
      </c>
    </row>
    <row r="992" ht="20" customHeight="1">
      <c r="B992" s="72" t="n"/>
      <c r="C992" s="72" t="n"/>
      <c r="D992" s="72" t="n"/>
      <c r="E992" s="72" t="n"/>
      <c r="F992" s="72" t="n"/>
      <c r="G992" s="72" t="n"/>
      <c r="H992" s="72" t="n"/>
      <c r="I992" s="73" t="n"/>
      <c r="J992" s="75">
        <f>IF(B992="","",SUMIFS('Change Orders'!$J$7:$J$1006,'Change Orders'!$E$7:$E$1006,B992,'Change Orders'!$L$7:$L$1006,"Approved"))</f>
        <v/>
      </c>
      <c r="K992" s="76">
        <f>IF(B992="","",I992+J992)</f>
        <v/>
      </c>
      <c r="L992" s="74" t="n"/>
      <c r="M992" s="109" t="n"/>
      <c r="N992" s="109" t="n"/>
      <c r="O992" s="74" t="n"/>
      <c r="P992" s="74" t="n"/>
      <c r="Q992" s="100" t="n"/>
      <c r="R992" s="110" t="n"/>
      <c r="S992" s="75">
        <f>IF(B992="","",SUMIFS('Payments'!$N$6:$N$1005,'Payments'!$B$6:$B$1005,B992))</f>
        <v/>
      </c>
      <c r="T992" s="111">
        <f>IF(OR(B992="",K992=0),"",S992/K992)</f>
        <v/>
      </c>
      <c r="U992" s="78">
        <f>IF(V992="","",IF(V992=2,"⚠️ Paying ahead of work","✓ OK"))</f>
        <v/>
      </c>
      <c r="V992" s="79">
        <f>IF(T992="","",IF(T992-R992&gt;OverpayTol,2,0))</f>
        <v/>
      </c>
      <c r="W992" s="112">
        <f>IF(V992=2,AsOf,"")</f>
        <v/>
      </c>
      <c r="X992" s="79">
        <f>IF(W992="","",1)</f>
        <v/>
      </c>
      <c r="Y992" s="79">
        <f>IF(X992="","","Paying ahead of work: "&amp;B992&amp;" — paid "&amp;ROUND(T992*100,0)&amp;"%, work done "&amp;ROUND(R992*100,0)&amp;"%")</f>
        <v/>
      </c>
      <c r="AA992" s="72" t="n"/>
      <c r="AB992" s="109" t="n"/>
      <c r="AC992" s="113" t="n"/>
      <c r="AD992" s="74" t="n"/>
      <c r="AE992" s="109" t="n"/>
      <c r="AF992" s="74" t="n"/>
      <c r="AG992" s="112">
        <f>IF(AND(AA992&lt;&gt;"",AD992="Yes",AF992&lt;&gt;"Yes",AE992&lt;&gt;""),AE992,"")</f>
        <v/>
      </c>
      <c r="AH992" s="79">
        <f>IF(AG992="","",IF(AG992&lt;AsOf,1,IF(AG992&lt;=AsOf+AlertDays,2,IF(AG992&lt;=AsOf+2*AlertDays,3,""))))</f>
        <v/>
      </c>
      <c r="AI992" s="79">
        <f>IF(AH992="","","Follow up with "&amp;AA992&amp;": "&amp;AC992)</f>
        <v/>
      </c>
    </row>
    <row r="993" ht="20" customHeight="1">
      <c r="B993" s="72" t="n"/>
      <c r="C993" s="72" t="n"/>
      <c r="D993" s="72" t="n"/>
      <c r="E993" s="72" t="n"/>
      <c r="F993" s="72" t="n"/>
      <c r="G993" s="72" t="n"/>
      <c r="H993" s="72" t="n"/>
      <c r="I993" s="73" t="n"/>
      <c r="J993" s="75">
        <f>IF(B993="","",SUMIFS('Change Orders'!$J$7:$J$1006,'Change Orders'!$E$7:$E$1006,B993,'Change Orders'!$L$7:$L$1006,"Approved"))</f>
        <v/>
      </c>
      <c r="K993" s="76">
        <f>IF(B993="","",I993+J993)</f>
        <v/>
      </c>
      <c r="L993" s="74" t="n"/>
      <c r="M993" s="109" t="n"/>
      <c r="N993" s="109" t="n"/>
      <c r="O993" s="74" t="n"/>
      <c r="P993" s="74" t="n"/>
      <c r="Q993" s="100" t="n"/>
      <c r="R993" s="110" t="n"/>
      <c r="S993" s="75">
        <f>IF(B993="","",SUMIFS('Payments'!$N$6:$N$1005,'Payments'!$B$6:$B$1005,B993))</f>
        <v/>
      </c>
      <c r="T993" s="111">
        <f>IF(OR(B993="",K993=0),"",S993/K993)</f>
        <v/>
      </c>
      <c r="U993" s="78">
        <f>IF(V993="","",IF(V993=2,"⚠️ Paying ahead of work","✓ OK"))</f>
        <v/>
      </c>
      <c r="V993" s="79">
        <f>IF(T993="","",IF(T993-R993&gt;OverpayTol,2,0))</f>
        <v/>
      </c>
      <c r="W993" s="112">
        <f>IF(V993=2,AsOf,"")</f>
        <v/>
      </c>
      <c r="X993" s="79">
        <f>IF(W993="","",1)</f>
        <v/>
      </c>
      <c r="Y993" s="79">
        <f>IF(X993="","","Paying ahead of work: "&amp;B993&amp;" — paid "&amp;ROUND(T993*100,0)&amp;"%, work done "&amp;ROUND(R993*100,0)&amp;"%")</f>
        <v/>
      </c>
      <c r="AA993" s="72" t="n"/>
      <c r="AB993" s="109" t="n"/>
      <c r="AC993" s="113" t="n"/>
      <c r="AD993" s="74" t="n"/>
      <c r="AE993" s="109" t="n"/>
      <c r="AF993" s="74" t="n"/>
      <c r="AG993" s="112">
        <f>IF(AND(AA993&lt;&gt;"",AD993="Yes",AF993&lt;&gt;"Yes",AE993&lt;&gt;""),AE993,"")</f>
        <v/>
      </c>
      <c r="AH993" s="79">
        <f>IF(AG993="","",IF(AG993&lt;AsOf,1,IF(AG993&lt;=AsOf+AlertDays,2,IF(AG993&lt;=AsOf+2*AlertDays,3,""))))</f>
        <v/>
      </c>
      <c r="AI993" s="79">
        <f>IF(AH993="","","Follow up with "&amp;AA993&amp;": "&amp;AC993)</f>
        <v/>
      </c>
    </row>
    <row r="994" ht="20" customHeight="1">
      <c r="B994" s="72" t="n"/>
      <c r="C994" s="72" t="n"/>
      <c r="D994" s="72" t="n"/>
      <c r="E994" s="72" t="n"/>
      <c r="F994" s="72" t="n"/>
      <c r="G994" s="72" t="n"/>
      <c r="H994" s="72" t="n"/>
      <c r="I994" s="73" t="n"/>
      <c r="J994" s="75">
        <f>IF(B994="","",SUMIFS('Change Orders'!$J$7:$J$1006,'Change Orders'!$E$7:$E$1006,B994,'Change Orders'!$L$7:$L$1006,"Approved"))</f>
        <v/>
      </c>
      <c r="K994" s="76">
        <f>IF(B994="","",I994+J994)</f>
        <v/>
      </c>
      <c r="L994" s="74" t="n"/>
      <c r="M994" s="109" t="n"/>
      <c r="N994" s="109" t="n"/>
      <c r="O994" s="74" t="n"/>
      <c r="P994" s="74" t="n"/>
      <c r="Q994" s="100" t="n"/>
      <c r="R994" s="110" t="n"/>
      <c r="S994" s="75">
        <f>IF(B994="","",SUMIFS('Payments'!$N$6:$N$1005,'Payments'!$B$6:$B$1005,B994))</f>
        <v/>
      </c>
      <c r="T994" s="111">
        <f>IF(OR(B994="",K994=0),"",S994/K994)</f>
        <v/>
      </c>
      <c r="U994" s="78">
        <f>IF(V994="","",IF(V994=2,"⚠️ Paying ahead of work","✓ OK"))</f>
        <v/>
      </c>
      <c r="V994" s="79">
        <f>IF(T994="","",IF(T994-R994&gt;OverpayTol,2,0))</f>
        <v/>
      </c>
      <c r="W994" s="112">
        <f>IF(V994=2,AsOf,"")</f>
        <v/>
      </c>
      <c r="X994" s="79">
        <f>IF(W994="","",1)</f>
        <v/>
      </c>
      <c r="Y994" s="79">
        <f>IF(X994="","","Paying ahead of work: "&amp;B994&amp;" — paid "&amp;ROUND(T994*100,0)&amp;"%, work done "&amp;ROUND(R994*100,0)&amp;"%")</f>
        <v/>
      </c>
      <c r="AA994" s="72" t="n"/>
      <c r="AB994" s="109" t="n"/>
      <c r="AC994" s="113" t="n"/>
      <c r="AD994" s="74" t="n"/>
      <c r="AE994" s="109" t="n"/>
      <c r="AF994" s="74" t="n"/>
      <c r="AG994" s="112">
        <f>IF(AND(AA994&lt;&gt;"",AD994="Yes",AF994&lt;&gt;"Yes",AE994&lt;&gt;""),AE994,"")</f>
        <v/>
      </c>
      <c r="AH994" s="79">
        <f>IF(AG994="","",IF(AG994&lt;AsOf,1,IF(AG994&lt;=AsOf+AlertDays,2,IF(AG994&lt;=AsOf+2*AlertDays,3,""))))</f>
        <v/>
      </c>
      <c r="AI994" s="79">
        <f>IF(AH994="","","Follow up with "&amp;AA994&amp;": "&amp;AC994)</f>
        <v/>
      </c>
    </row>
    <row r="995" ht="20" customHeight="1">
      <c r="B995" s="72" t="n"/>
      <c r="C995" s="72" t="n"/>
      <c r="D995" s="72" t="n"/>
      <c r="E995" s="72" t="n"/>
      <c r="F995" s="72" t="n"/>
      <c r="G995" s="72" t="n"/>
      <c r="H995" s="72" t="n"/>
      <c r="I995" s="73" t="n"/>
      <c r="J995" s="75">
        <f>IF(B995="","",SUMIFS('Change Orders'!$J$7:$J$1006,'Change Orders'!$E$7:$E$1006,B995,'Change Orders'!$L$7:$L$1006,"Approved"))</f>
        <v/>
      </c>
      <c r="K995" s="76">
        <f>IF(B995="","",I995+J995)</f>
        <v/>
      </c>
      <c r="L995" s="74" t="n"/>
      <c r="M995" s="109" t="n"/>
      <c r="N995" s="109" t="n"/>
      <c r="O995" s="74" t="n"/>
      <c r="P995" s="74" t="n"/>
      <c r="Q995" s="100" t="n"/>
      <c r="R995" s="110" t="n"/>
      <c r="S995" s="75">
        <f>IF(B995="","",SUMIFS('Payments'!$N$6:$N$1005,'Payments'!$B$6:$B$1005,B995))</f>
        <v/>
      </c>
      <c r="T995" s="111">
        <f>IF(OR(B995="",K995=0),"",S995/K995)</f>
        <v/>
      </c>
      <c r="U995" s="78">
        <f>IF(V995="","",IF(V995=2,"⚠️ Paying ahead of work","✓ OK"))</f>
        <v/>
      </c>
      <c r="V995" s="79">
        <f>IF(T995="","",IF(T995-R995&gt;OverpayTol,2,0))</f>
        <v/>
      </c>
      <c r="W995" s="112">
        <f>IF(V995=2,AsOf,"")</f>
        <v/>
      </c>
      <c r="X995" s="79">
        <f>IF(W995="","",1)</f>
        <v/>
      </c>
      <c r="Y995" s="79">
        <f>IF(X995="","","Paying ahead of work: "&amp;B995&amp;" — paid "&amp;ROUND(T995*100,0)&amp;"%, work done "&amp;ROUND(R995*100,0)&amp;"%")</f>
        <v/>
      </c>
      <c r="AA995" s="72" t="n"/>
      <c r="AB995" s="109" t="n"/>
      <c r="AC995" s="113" t="n"/>
      <c r="AD995" s="74" t="n"/>
      <c r="AE995" s="109" t="n"/>
      <c r="AF995" s="74" t="n"/>
      <c r="AG995" s="112">
        <f>IF(AND(AA995&lt;&gt;"",AD995="Yes",AF995&lt;&gt;"Yes",AE995&lt;&gt;""),AE995,"")</f>
        <v/>
      </c>
      <c r="AH995" s="79">
        <f>IF(AG995="","",IF(AG995&lt;AsOf,1,IF(AG995&lt;=AsOf+AlertDays,2,IF(AG995&lt;=AsOf+2*AlertDays,3,""))))</f>
        <v/>
      </c>
      <c r="AI995" s="79">
        <f>IF(AH995="","","Follow up with "&amp;AA995&amp;": "&amp;AC995)</f>
        <v/>
      </c>
    </row>
    <row r="996" ht="20" customHeight="1">
      <c r="B996" s="72" t="n"/>
      <c r="C996" s="72" t="n"/>
      <c r="D996" s="72" t="n"/>
      <c r="E996" s="72" t="n"/>
      <c r="F996" s="72" t="n"/>
      <c r="G996" s="72" t="n"/>
      <c r="H996" s="72" t="n"/>
      <c r="I996" s="73" t="n"/>
      <c r="J996" s="75">
        <f>IF(B996="","",SUMIFS('Change Orders'!$J$7:$J$1006,'Change Orders'!$E$7:$E$1006,B996,'Change Orders'!$L$7:$L$1006,"Approved"))</f>
        <v/>
      </c>
      <c r="K996" s="76">
        <f>IF(B996="","",I996+J996)</f>
        <v/>
      </c>
      <c r="L996" s="74" t="n"/>
      <c r="M996" s="109" t="n"/>
      <c r="N996" s="109" t="n"/>
      <c r="O996" s="74" t="n"/>
      <c r="P996" s="74" t="n"/>
      <c r="Q996" s="100" t="n"/>
      <c r="R996" s="110" t="n"/>
      <c r="S996" s="75">
        <f>IF(B996="","",SUMIFS('Payments'!$N$6:$N$1005,'Payments'!$B$6:$B$1005,B996))</f>
        <v/>
      </c>
      <c r="T996" s="111">
        <f>IF(OR(B996="",K996=0),"",S996/K996)</f>
        <v/>
      </c>
      <c r="U996" s="78">
        <f>IF(V996="","",IF(V996=2,"⚠️ Paying ahead of work","✓ OK"))</f>
        <v/>
      </c>
      <c r="V996" s="79">
        <f>IF(T996="","",IF(T996-R996&gt;OverpayTol,2,0))</f>
        <v/>
      </c>
      <c r="W996" s="112">
        <f>IF(V996=2,AsOf,"")</f>
        <v/>
      </c>
      <c r="X996" s="79">
        <f>IF(W996="","",1)</f>
        <v/>
      </c>
      <c r="Y996" s="79">
        <f>IF(X996="","","Paying ahead of work: "&amp;B996&amp;" — paid "&amp;ROUND(T996*100,0)&amp;"%, work done "&amp;ROUND(R996*100,0)&amp;"%")</f>
        <v/>
      </c>
      <c r="AA996" s="72" t="n"/>
      <c r="AB996" s="109" t="n"/>
      <c r="AC996" s="113" t="n"/>
      <c r="AD996" s="74" t="n"/>
      <c r="AE996" s="109" t="n"/>
      <c r="AF996" s="74" t="n"/>
      <c r="AG996" s="112">
        <f>IF(AND(AA996&lt;&gt;"",AD996="Yes",AF996&lt;&gt;"Yes",AE996&lt;&gt;""),AE996,"")</f>
        <v/>
      </c>
      <c r="AH996" s="79">
        <f>IF(AG996="","",IF(AG996&lt;AsOf,1,IF(AG996&lt;=AsOf+AlertDays,2,IF(AG996&lt;=AsOf+2*AlertDays,3,""))))</f>
        <v/>
      </c>
      <c r="AI996" s="79">
        <f>IF(AH996="","","Follow up with "&amp;AA996&amp;": "&amp;AC996)</f>
        <v/>
      </c>
    </row>
    <row r="997" ht="20" customHeight="1">
      <c r="B997" s="72" t="n"/>
      <c r="C997" s="72" t="n"/>
      <c r="D997" s="72" t="n"/>
      <c r="E997" s="72" t="n"/>
      <c r="F997" s="72" t="n"/>
      <c r="G997" s="72" t="n"/>
      <c r="H997" s="72" t="n"/>
      <c r="I997" s="73" t="n"/>
      <c r="J997" s="75">
        <f>IF(B997="","",SUMIFS('Change Orders'!$J$7:$J$1006,'Change Orders'!$E$7:$E$1006,B997,'Change Orders'!$L$7:$L$1006,"Approved"))</f>
        <v/>
      </c>
      <c r="K997" s="76">
        <f>IF(B997="","",I997+J997)</f>
        <v/>
      </c>
      <c r="L997" s="74" t="n"/>
      <c r="M997" s="109" t="n"/>
      <c r="N997" s="109" t="n"/>
      <c r="O997" s="74" t="n"/>
      <c r="P997" s="74" t="n"/>
      <c r="Q997" s="100" t="n"/>
      <c r="R997" s="110" t="n"/>
      <c r="S997" s="75">
        <f>IF(B997="","",SUMIFS('Payments'!$N$6:$N$1005,'Payments'!$B$6:$B$1005,B997))</f>
        <v/>
      </c>
      <c r="T997" s="111">
        <f>IF(OR(B997="",K997=0),"",S997/K997)</f>
        <v/>
      </c>
      <c r="U997" s="78">
        <f>IF(V997="","",IF(V997=2,"⚠️ Paying ahead of work","✓ OK"))</f>
        <v/>
      </c>
      <c r="V997" s="79">
        <f>IF(T997="","",IF(T997-R997&gt;OverpayTol,2,0))</f>
        <v/>
      </c>
      <c r="W997" s="112">
        <f>IF(V997=2,AsOf,"")</f>
        <v/>
      </c>
      <c r="X997" s="79">
        <f>IF(W997="","",1)</f>
        <v/>
      </c>
      <c r="Y997" s="79">
        <f>IF(X997="","","Paying ahead of work: "&amp;B997&amp;" — paid "&amp;ROUND(T997*100,0)&amp;"%, work done "&amp;ROUND(R997*100,0)&amp;"%")</f>
        <v/>
      </c>
      <c r="AA997" s="72" t="n"/>
      <c r="AB997" s="109" t="n"/>
      <c r="AC997" s="113" t="n"/>
      <c r="AD997" s="74" t="n"/>
      <c r="AE997" s="109" t="n"/>
      <c r="AF997" s="74" t="n"/>
      <c r="AG997" s="112">
        <f>IF(AND(AA997&lt;&gt;"",AD997="Yes",AF997&lt;&gt;"Yes",AE997&lt;&gt;""),AE997,"")</f>
        <v/>
      </c>
      <c r="AH997" s="79">
        <f>IF(AG997="","",IF(AG997&lt;AsOf,1,IF(AG997&lt;=AsOf+AlertDays,2,IF(AG997&lt;=AsOf+2*AlertDays,3,""))))</f>
        <v/>
      </c>
      <c r="AI997" s="79">
        <f>IF(AH997="","","Follow up with "&amp;AA997&amp;": "&amp;AC997)</f>
        <v/>
      </c>
    </row>
    <row r="998" ht="20" customHeight="1">
      <c r="B998" s="72" t="n"/>
      <c r="C998" s="72" t="n"/>
      <c r="D998" s="72" t="n"/>
      <c r="E998" s="72" t="n"/>
      <c r="F998" s="72" t="n"/>
      <c r="G998" s="72" t="n"/>
      <c r="H998" s="72" t="n"/>
      <c r="I998" s="73" t="n"/>
      <c r="J998" s="75">
        <f>IF(B998="","",SUMIFS('Change Orders'!$J$7:$J$1006,'Change Orders'!$E$7:$E$1006,B998,'Change Orders'!$L$7:$L$1006,"Approved"))</f>
        <v/>
      </c>
      <c r="K998" s="76">
        <f>IF(B998="","",I998+J998)</f>
        <v/>
      </c>
      <c r="L998" s="74" t="n"/>
      <c r="M998" s="109" t="n"/>
      <c r="N998" s="109" t="n"/>
      <c r="O998" s="74" t="n"/>
      <c r="P998" s="74" t="n"/>
      <c r="Q998" s="100" t="n"/>
      <c r="R998" s="110" t="n"/>
      <c r="S998" s="75">
        <f>IF(B998="","",SUMIFS('Payments'!$N$6:$N$1005,'Payments'!$B$6:$B$1005,B998))</f>
        <v/>
      </c>
      <c r="T998" s="111">
        <f>IF(OR(B998="",K998=0),"",S998/K998)</f>
        <v/>
      </c>
      <c r="U998" s="78">
        <f>IF(V998="","",IF(V998=2,"⚠️ Paying ahead of work","✓ OK"))</f>
        <v/>
      </c>
      <c r="V998" s="79">
        <f>IF(T998="","",IF(T998-R998&gt;OverpayTol,2,0))</f>
        <v/>
      </c>
      <c r="W998" s="112">
        <f>IF(V998=2,AsOf,"")</f>
        <v/>
      </c>
      <c r="X998" s="79">
        <f>IF(W998="","",1)</f>
        <v/>
      </c>
      <c r="Y998" s="79">
        <f>IF(X998="","","Paying ahead of work: "&amp;B998&amp;" — paid "&amp;ROUND(T998*100,0)&amp;"%, work done "&amp;ROUND(R998*100,0)&amp;"%")</f>
        <v/>
      </c>
      <c r="AA998" s="72" t="n"/>
      <c r="AB998" s="109" t="n"/>
      <c r="AC998" s="113" t="n"/>
      <c r="AD998" s="74" t="n"/>
      <c r="AE998" s="109" t="n"/>
      <c r="AF998" s="74" t="n"/>
      <c r="AG998" s="112">
        <f>IF(AND(AA998&lt;&gt;"",AD998="Yes",AF998&lt;&gt;"Yes",AE998&lt;&gt;""),AE998,"")</f>
        <v/>
      </c>
      <c r="AH998" s="79">
        <f>IF(AG998="","",IF(AG998&lt;AsOf,1,IF(AG998&lt;=AsOf+AlertDays,2,IF(AG998&lt;=AsOf+2*AlertDays,3,""))))</f>
        <v/>
      </c>
      <c r="AI998" s="79">
        <f>IF(AH998="","","Follow up with "&amp;AA998&amp;": "&amp;AC998)</f>
        <v/>
      </c>
    </row>
    <row r="999" ht="20" customHeight="1">
      <c r="B999" s="72" t="n"/>
      <c r="C999" s="72" t="n"/>
      <c r="D999" s="72" t="n"/>
      <c r="E999" s="72" t="n"/>
      <c r="F999" s="72" t="n"/>
      <c r="G999" s="72" t="n"/>
      <c r="H999" s="72" t="n"/>
      <c r="I999" s="73" t="n"/>
      <c r="J999" s="75">
        <f>IF(B999="","",SUMIFS('Change Orders'!$J$7:$J$1006,'Change Orders'!$E$7:$E$1006,B999,'Change Orders'!$L$7:$L$1006,"Approved"))</f>
        <v/>
      </c>
      <c r="K999" s="76">
        <f>IF(B999="","",I999+J999)</f>
        <v/>
      </c>
      <c r="L999" s="74" t="n"/>
      <c r="M999" s="109" t="n"/>
      <c r="N999" s="109" t="n"/>
      <c r="O999" s="74" t="n"/>
      <c r="P999" s="74" t="n"/>
      <c r="Q999" s="100" t="n"/>
      <c r="R999" s="110" t="n"/>
      <c r="S999" s="75">
        <f>IF(B999="","",SUMIFS('Payments'!$N$6:$N$1005,'Payments'!$B$6:$B$1005,B999))</f>
        <v/>
      </c>
      <c r="T999" s="111">
        <f>IF(OR(B999="",K999=0),"",S999/K999)</f>
        <v/>
      </c>
      <c r="U999" s="78">
        <f>IF(V999="","",IF(V999=2,"⚠️ Paying ahead of work","✓ OK"))</f>
        <v/>
      </c>
      <c r="V999" s="79">
        <f>IF(T999="","",IF(T999-R999&gt;OverpayTol,2,0))</f>
        <v/>
      </c>
      <c r="W999" s="112">
        <f>IF(V999=2,AsOf,"")</f>
        <v/>
      </c>
      <c r="X999" s="79">
        <f>IF(W999="","",1)</f>
        <v/>
      </c>
      <c r="Y999" s="79">
        <f>IF(X999="","","Paying ahead of work: "&amp;B999&amp;" — paid "&amp;ROUND(T999*100,0)&amp;"%, work done "&amp;ROUND(R999*100,0)&amp;"%")</f>
        <v/>
      </c>
      <c r="AA999" s="72" t="n"/>
      <c r="AB999" s="109" t="n"/>
      <c r="AC999" s="113" t="n"/>
      <c r="AD999" s="74" t="n"/>
      <c r="AE999" s="109" t="n"/>
      <c r="AF999" s="74" t="n"/>
      <c r="AG999" s="112">
        <f>IF(AND(AA999&lt;&gt;"",AD999="Yes",AF999&lt;&gt;"Yes",AE999&lt;&gt;""),AE999,"")</f>
        <v/>
      </c>
      <c r="AH999" s="79">
        <f>IF(AG999="","",IF(AG999&lt;AsOf,1,IF(AG999&lt;=AsOf+AlertDays,2,IF(AG999&lt;=AsOf+2*AlertDays,3,""))))</f>
        <v/>
      </c>
      <c r="AI999" s="79">
        <f>IF(AH999="","","Follow up with "&amp;AA999&amp;": "&amp;AC999)</f>
        <v/>
      </c>
    </row>
    <row r="1000" ht="20" customHeight="1">
      <c r="B1000" s="72" t="n"/>
      <c r="C1000" s="72" t="n"/>
      <c r="D1000" s="72" t="n"/>
      <c r="E1000" s="72" t="n"/>
      <c r="F1000" s="72" t="n"/>
      <c r="G1000" s="72" t="n"/>
      <c r="H1000" s="72" t="n"/>
      <c r="I1000" s="73" t="n"/>
      <c r="J1000" s="75">
        <f>IF(B1000="","",SUMIFS('Change Orders'!$J$7:$J$1006,'Change Orders'!$E$7:$E$1006,B1000,'Change Orders'!$L$7:$L$1006,"Approved"))</f>
        <v/>
      </c>
      <c r="K1000" s="76">
        <f>IF(B1000="","",I1000+J1000)</f>
        <v/>
      </c>
      <c r="L1000" s="74" t="n"/>
      <c r="M1000" s="109" t="n"/>
      <c r="N1000" s="109" t="n"/>
      <c r="O1000" s="74" t="n"/>
      <c r="P1000" s="74" t="n"/>
      <c r="Q1000" s="100" t="n"/>
      <c r="R1000" s="110" t="n"/>
      <c r="S1000" s="75">
        <f>IF(B1000="","",SUMIFS('Payments'!$N$6:$N$1005,'Payments'!$B$6:$B$1005,B1000))</f>
        <v/>
      </c>
      <c r="T1000" s="111">
        <f>IF(OR(B1000="",K1000=0),"",S1000/K1000)</f>
        <v/>
      </c>
      <c r="U1000" s="78">
        <f>IF(V1000="","",IF(V1000=2,"⚠️ Paying ahead of work","✓ OK"))</f>
        <v/>
      </c>
      <c r="V1000" s="79">
        <f>IF(T1000="","",IF(T1000-R1000&gt;OverpayTol,2,0))</f>
        <v/>
      </c>
      <c r="W1000" s="112">
        <f>IF(V1000=2,AsOf,"")</f>
        <v/>
      </c>
      <c r="X1000" s="79">
        <f>IF(W1000="","",1)</f>
        <v/>
      </c>
      <c r="Y1000" s="79">
        <f>IF(X1000="","","Paying ahead of work: "&amp;B1000&amp;" — paid "&amp;ROUND(T1000*100,0)&amp;"%, work done "&amp;ROUND(R1000*100,0)&amp;"%")</f>
        <v/>
      </c>
      <c r="AA1000" s="72" t="n"/>
      <c r="AB1000" s="109" t="n"/>
      <c r="AC1000" s="113" t="n"/>
      <c r="AD1000" s="74" t="n"/>
      <c r="AE1000" s="109" t="n"/>
      <c r="AF1000" s="74" t="n"/>
      <c r="AG1000" s="112">
        <f>IF(AND(AA1000&lt;&gt;"",AD1000="Yes",AF1000&lt;&gt;"Yes",AE1000&lt;&gt;""),AE1000,"")</f>
        <v/>
      </c>
      <c r="AH1000" s="79">
        <f>IF(AG1000="","",IF(AG1000&lt;AsOf,1,IF(AG1000&lt;=AsOf+AlertDays,2,IF(AG1000&lt;=AsOf+2*AlertDays,3,""))))</f>
        <v/>
      </c>
      <c r="AI1000" s="79">
        <f>IF(AH1000="","","Follow up with "&amp;AA1000&amp;": "&amp;AC1000)</f>
        <v/>
      </c>
    </row>
    <row r="1001" ht="20" customHeight="1">
      <c r="B1001" s="72" t="n"/>
      <c r="C1001" s="72" t="n"/>
      <c r="D1001" s="72" t="n"/>
      <c r="E1001" s="72" t="n"/>
      <c r="F1001" s="72" t="n"/>
      <c r="G1001" s="72" t="n"/>
      <c r="H1001" s="72" t="n"/>
      <c r="I1001" s="73" t="n"/>
      <c r="J1001" s="75">
        <f>IF(B1001="","",SUMIFS('Change Orders'!$J$7:$J$1006,'Change Orders'!$E$7:$E$1006,B1001,'Change Orders'!$L$7:$L$1006,"Approved"))</f>
        <v/>
      </c>
      <c r="K1001" s="76">
        <f>IF(B1001="","",I1001+J1001)</f>
        <v/>
      </c>
      <c r="L1001" s="74" t="n"/>
      <c r="M1001" s="109" t="n"/>
      <c r="N1001" s="109" t="n"/>
      <c r="O1001" s="74" t="n"/>
      <c r="P1001" s="74" t="n"/>
      <c r="Q1001" s="100" t="n"/>
      <c r="R1001" s="110" t="n"/>
      <c r="S1001" s="75">
        <f>IF(B1001="","",SUMIFS('Payments'!$N$6:$N$1005,'Payments'!$B$6:$B$1005,B1001))</f>
        <v/>
      </c>
      <c r="T1001" s="111">
        <f>IF(OR(B1001="",K1001=0),"",S1001/K1001)</f>
        <v/>
      </c>
      <c r="U1001" s="78">
        <f>IF(V1001="","",IF(V1001=2,"⚠️ Paying ahead of work","✓ OK"))</f>
        <v/>
      </c>
      <c r="V1001" s="79">
        <f>IF(T1001="","",IF(T1001-R1001&gt;OverpayTol,2,0))</f>
        <v/>
      </c>
      <c r="W1001" s="112">
        <f>IF(V1001=2,AsOf,"")</f>
        <v/>
      </c>
      <c r="X1001" s="79">
        <f>IF(W1001="","",1)</f>
        <v/>
      </c>
      <c r="Y1001" s="79">
        <f>IF(X1001="","","Paying ahead of work: "&amp;B1001&amp;" — paid "&amp;ROUND(T1001*100,0)&amp;"%, work done "&amp;ROUND(R1001*100,0)&amp;"%")</f>
        <v/>
      </c>
      <c r="AA1001" s="72" t="n"/>
      <c r="AB1001" s="109" t="n"/>
      <c r="AC1001" s="113" t="n"/>
      <c r="AD1001" s="74" t="n"/>
      <c r="AE1001" s="109" t="n"/>
      <c r="AF1001" s="74" t="n"/>
      <c r="AG1001" s="112">
        <f>IF(AND(AA1001&lt;&gt;"",AD1001="Yes",AF1001&lt;&gt;"Yes",AE1001&lt;&gt;""),AE1001,"")</f>
        <v/>
      </c>
      <c r="AH1001" s="79">
        <f>IF(AG1001="","",IF(AG1001&lt;AsOf,1,IF(AG1001&lt;=AsOf+AlertDays,2,IF(AG1001&lt;=AsOf+2*AlertDays,3,""))))</f>
        <v/>
      </c>
      <c r="AI1001" s="79">
        <f>IF(AH1001="","","Follow up with "&amp;AA1001&amp;": "&amp;AC1001)</f>
        <v/>
      </c>
    </row>
    <row r="1002" ht="20" customHeight="1">
      <c r="B1002" s="72" t="n"/>
      <c r="C1002" s="72" t="n"/>
      <c r="D1002" s="72" t="n"/>
      <c r="E1002" s="72" t="n"/>
      <c r="F1002" s="72" t="n"/>
      <c r="G1002" s="72" t="n"/>
      <c r="H1002" s="72" t="n"/>
      <c r="I1002" s="73" t="n"/>
      <c r="J1002" s="75">
        <f>IF(B1002="","",SUMIFS('Change Orders'!$J$7:$J$1006,'Change Orders'!$E$7:$E$1006,B1002,'Change Orders'!$L$7:$L$1006,"Approved"))</f>
        <v/>
      </c>
      <c r="K1002" s="76">
        <f>IF(B1002="","",I1002+J1002)</f>
        <v/>
      </c>
      <c r="L1002" s="74" t="n"/>
      <c r="M1002" s="109" t="n"/>
      <c r="N1002" s="109" t="n"/>
      <c r="O1002" s="74" t="n"/>
      <c r="P1002" s="74" t="n"/>
      <c r="Q1002" s="100" t="n"/>
      <c r="R1002" s="110" t="n"/>
      <c r="S1002" s="75">
        <f>IF(B1002="","",SUMIFS('Payments'!$N$6:$N$1005,'Payments'!$B$6:$B$1005,B1002))</f>
        <v/>
      </c>
      <c r="T1002" s="111">
        <f>IF(OR(B1002="",K1002=0),"",S1002/K1002)</f>
        <v/>
      </c>
      <c r="U1002" s="78">
        <f>IF(V1002="","",IF(V1002=2,"⚠️ Paying ahead of work","✓ OK"))</f>
        <v/>
      </c>
      <c r="V1002" s="79">
        <f>IF(T1002="","",IF(T1002-R1002&gt;OverpayTol,2,0))</f>
        <v/>
      </c>
      <c r="W1002" s="112">
        <f>IF(V1002=2,AsOf,"")</f>
        <v/>
      </c>
      <c r="X1002" s="79">
        <f>IF(W1002="","",1)</f>
        <v/>
      </c>
      <c r="Y1002" s="79">
        <f>IF(X1002="","","Paying ahead of work: "&amp;B1002&amp;" — paid "&amp;ROUND(T1002*100,0)&amp;"%, work done "&amp;ROUND(R1002*100,0)&amp;"%")</f>
        <v/>
      </c>
      <c r="AA1002" s="72" t="n"/>
      <c r="AB1002" s="109" t="n"/>
      <c r="AC1002" s="113" t="n"/>
      <c r="AD1002" s="74" t="n"/>
      <c r="AE1002" s="109" t="n"/>
      <c r="AF1002" s="74" t="n"/>
      <c r="AG1002" s="112">
        <f>IF(AND(AA1002&lt;&gt;"",AD1002="Yes",AF1002&lt;&gt;"Yes",AE1002&lt;&gt;""),AE1002,"")</f>
        <v/>
      </c>
      <c r="AH1002" s="79">
        <f>IF(AG1002="","",IF(AG1002&lt;AsOf,1,IF(AG1002&lt;=AsOf+AlertDays,2,IF(AG1002&lt;=AsOf+2*AlertDays,3,""))))</f>
        <v/>
      </c>
      <c r="AI1002" s="79">
        <f>IF(AH1002="","","Follow up with "&amp;AA1002&amp;": "&amp;AC1002)</f>
        <v/>
      </c>
    </row>
    <row r="1003" ht="20" customHeight="1">
      <c r="B1003" s="72" t="n"/>
      <c r="C1003" s="72" t="n"/>
      <c r="D1003" s="72" t="n"/>
      <c r="E1003" s="72" t="n"/>
      <c r="F1003" s="72" t="n"/>
      <c r="G1003" s="72" t="n"/>
      <c r="H1003" s="72" t="n"/>
      <c r="I1003" s="73" t="n"/>
      <c r="J1003" s="75">
        <f>IF(B1003="","",SUMIFS('Change Orders'!$J$7:$J$1006,'Change Orders'!$E$7:$E$1006,B1003,'Change Orders'!$L$7:$L$1006,"Approved"))</f>
        <v/>
      </c>
      <c r="K1003" s="76">
        <f>IF(B1003="","",I1003+J1003)</f>
        <v/>
      </c>
      <c r="L1003" s="74" t="n"/>
      <c r="M1003" s="109" t="n"/>
      <c r="N1003" s="109" t="n"/>
      <c r="O1003" s="74" t="n"/>
      <c r="P1003" s="74" t="n"/>
      <c r="Q1003" s="100" t="n"/>
      <c r="R1003" s="110" t="n"/>
      <c r="S1003" s="75">
        <f>IF(B1003="","",SUMIFS('Payments'!$N$6:$N$1005,'Payments'!$B$6:$B$1005,B1003))</f>
        <v/>
      </c>
      <c r="T1003" s="111">
        <f>IF(OR(B1003="",K1003=0),"",S1003/K1003)</f>
        <v/>
      </c>
      <c r="U1003" s="78">
        <f>IF(V1003="","",IF(V1003=2,"⚠️ Paying ahead of work","✓ OK"))</f>
        <v/>
      </c>
      <c r="V1003" s="79">
        <f>IF(T1003="","",IF(T1003-R1003&gt;OverpayTol,2,0))</f>
        <v/>
      </c>
      <c r="W1003" s="112">
        <f>IF(V1003=2,AsOf,"")</f>
        <v/>
      </c>
      <c r="X1003" s="79">
        <f>IF(W1003="","",1)</f>
        <v/>
      </c>
      <c r="Y1003" s="79">
        <f>IF(X1003="","","Paying ahead of work: "&amp;B1003&amp;" — paid "&amp;ROUND(T1003*100,0)&amp;"%, work done "&amp;ROUND(R1003*100,0)&amp;"%")</f>
        <v/>
      </c>
      <c r="AA1003" s="72" t="n"/>
      <c r="AB1003" s="109" t="n"/>
      <c r="AC1003" s="113" t="n"/>
      <c r="AD1003" s="74" t="n"/>
      <c r="AE1003" s="109" t="n"/>
      <c r="AF1003" s="74" t="n"/>
      <c r="AG1003" s="112">
        <f>IF(AND(AA1003&lt;&gt;"",AD1003="Yes",AF1003&lt;&gt;"Yes",AE1003&lt;&gt;""),AE1003,"")</f>
        <v/>
      </c>
      <c r="AH1003" s="79">
        <f>IF(AG1003="","",IF(AG1003&lt;AsOf,1,IF(AG1003&lt;=AsOf+AlertDays,2,IF(AG1003&lt;=AsOf+2*AlertDays,3,""))))</f>
        <v/>
      </c>
      <c r="AI1003" s="79">
        <f>IF(AH1003="","","Follow up with "&amp;AA1003&amp;": "&amp;AC1003)</f>
        <v/>
      </c>
    </row>
    <row r="1004" ht="20" customHeight="1">
      <c r="B1004" s="72" t="n"/>
      <c r="C1004" s="72" t="n"/>
      <c r="D1004" s="72" t="n"/>
      <c r="E1004" s="72" t="n"/>
      <c r="F1004" s="72" t="n"/>
      <c r="G1004" s="72" t="n"/>
      <c r="H1004" s="72" t="n"/>
      <c r="I1004" s="73" t="n"/>
      <c r="J1004" s="75">
        <f>IF(B1004="","",SUMIFS('Change Orders'!$J$7:$J$1006,'Change Orders'!$E$7:$E$1006,B1004,'Change Orders'!$L$7:$L$1006,"Approved"))</f>
        <v/>
      </c>
      <c r="K1004" s="76">
        <f>IF(B1004="","",I1004+J1004)</f>
        <v/>
      </c>
      <c r="L1004" s="74" t="n"/>
      <c r="M1004" s="109" t="n"/>
      <c r="N1004" s="109" t="n"/>
      <c r="O1004" s="74" t="n"/>
      <c r="P1004" s="74" t="n"/>
      <c r="Q1004" s="100" t="n"/>
      <c r="R1004" s="110" t="n"/>
      <c r="S1004" s="75">
        <f>IF(B1004="","",SUMIFS('Payments'!$N$6:$N$1005,'Payments'!$B$6:$B$1005,B1004))</f>
        <v/>
      </c>
      <c r="T1004" s="111">
        <f>IF(OR(B1004="",K1004=0),"",S1004/K1004)</f>
        <v/>
      </c>
      <c r="U1004" s="78">
        <f>IF(V1004="","",IF(V1004=2,"⚠️ Paying ahead of work","✓ OK"))</f>
        <v/>
      </c>
      <c r="V1004" s="79">
        <f>IF(T1004="","",IF(T1004-R1004&gt;OverpayTol,2,0))</f>
        <v/>
      </c>
      <c r="W1004" s="112">
        <f>IF(V1004=2,AsOf,"")</f>
        <v/>
      </c>
      <c r="X1004" s="79">
        <f>IF(W1004="","",1)</f>
        <v/>
      </c>
      <c r="Y1004" s="79">
        <f>IF(X1004="","","Paying ahead of work: "&amp;B1004&amp;" — paid "&amp;ROUND(T1004*100,0)&amp;"%, work done "&amp;ROUND(R1004*100,0)&amp;"%")</f>
        <v/>
      </c>
      <c r="AA1004" s="72" t="n"/>
      <c r="AB1004" s="109" t="n"/>
      <c r="AC1004" s="113" t="n"/>
      <c r="AD1004" s="74" t="n"/>
      <c r="AE1004" s="109" t="n"/>
      <c r="AF1004" s="74" t="n"/>
      <c r="AG1004" s="112">
        <f>IF(AND(AA1004&lt;&gt;"",AD1004="Yes",AF1004&lt;&gt;"Yes",AE1004&lt;&gt;""),AE1004,"")</f>
        <v/>
      </c>
      <c r="AH1004" s="79">
        <f>IF(AG1004="","",IF(AG1004&lt;AsOf,1,IF(AG1004&lt;=AsOf+AlertDays,2,IF(AG1004&lt;=AsOf+2*AlertDays,3,""))))</f>
        <v/>
      </c>
      <c r="AI1004" s="79">
        <f>IF(AH1004="","","Follow up with "&amp;AA1004&amp;": "&amp;AC1004)</f>
        <v/>
      </c>
    </row>
    <row r="1005" ht="20" customHeight="1">
      <c r="B1005" s="72" t="n"/>
      <c r="C1005" s="72" t="n"/>
      <c r="D1005" s="72" t="n"/>
      <c r="E1005" s="72" t="n"/>
      <c r="F1005" s="72" t="n"/>
      <c r="G1005" s="72" t="n"/>
      <c r="H1005" s="72" t="n"/>
      <c r="I1005" s="73" t="n"/>
      <c r="J1005" s="75">
        <f>IF(B1005="","",SUMIFS('Change Orders'!$J$7:$J$1006,'Change Orders'!$E$7:$E$1006,B1005,'Change Orders'!$L$7:$L$1006,"Approved"))</f>
        <v/>
      </c>
      <c r="K1005" s="76">
        <f>IF(B1005="","",I1005+J1005)</f>
        <v/>
      </c>
      <c r="L1005" s="74" t="n"/>
      <c r="M1005" s="109" t="n"/>
      <c r="N1005" s="109" t="n"/>
      <c r="O1005" s="74" t="n"/>
      <c r="P1005" s="74" t="n"/>
      <c r="Q1005" s="100" t="n"/>
      <c r="R1005" s="110" t="n"/>
      <c r="S1005" s="75">
        <f>IF(B1005="","",SUMIFS('Payments'!$N$6:$N$1005,'Payments'!$B$6:$B$1005,B1005))</f>
        <v/>
      </c>
      <c r="T1005" s="111">
        <f>IF(OR(B1005="",K1005=0),"",S1005/K1005)</f>
        <v/>
      </c>
      <c r="U1005" s="78">
        <f>IF(V1005="","",IF(V1005=2,"⚠️ Paying ahead of work","✓ OK"))</f>
        <v/>
      </c>
      <c r="V1005" s="79">
        <f>IF(T1005="","",IF(T1005-R1005&gt;OverpayTol,2,0))</f>
        <v/>
      </c>
      <c r="W1005" s="112">
        <f>IF(V1005=2,AsOf,"")</f>
        <v/>
      </c>
      <c r="X1005" s="79">
        <f>IF(W1005="","",1)</f>
        <v/>
      </c>
      <c r="Y1005" s="79">
        <f>IF(X1005="","","Paying ahead of work: "&amp;B1005&amp;" — paid "&amp;ROUND(T1005*100,0)&amp;"%, work done "&amp;ROUND(R1005*100,0)&amp;"%")</f>
        <v/>
      </c>
      <c r="AA1005" s="72" t="n"/>
      <c r="AB1005" s="109" t="n"/>
      <c r="AC1005" s="113" t="n"/>
      <c r="AD1005" s="74" t="n"/>
      <c r="AE1005" s="109" t="n"/>
      <c r="AF1005" s="74" t="n"/>
      <c r="AG1005" s="112">
        <f>IF(AND(AA1005&lt;&gt;"",AD1005="Yes",AF1005&lt;&gt;"Yes",AE1005&lt;&gt;""),AE1005,"")</f>
        <v/>
      </c>
      <c r="AH1005" s="79">
        <f>IF(AG1005="","",IF(AG1005&lt;AsOf,1,IF(AG1005&lt;=AsOf+AlertDays,2,IF(AG1005&lt;=AsOf+2*AlertDays,3,""))))</f>
        <v/>
      </c>
      <c r="AI1005" s="79">
        <f>IF(AH1005="","","Follow up with "&amp;AA1005&amp;": "&amp;AC1005)</f>
        <v/>
      </c>
    </row>
  </sheetData>
  <sheetProtection selectLockedCells="1" selectUnlockedCells="0" sheet="1" objects="0" insertRows="1" insertHyperlinks="1" autoFilter="1" scenarios="0" formatColumns="0" deleteColumns="1" insertColumns="1" pivotTables="1" deleteRows="1" formatCells="1" formatRows="0" sort="1" password="CD61"/>
  <conditionalFormatting sqref="U6:U1005">
    <cfRule type="expression" priority="1" dxfId="0" stopIfTrue="0">
      <formula>$V6=2</formula>
    </cfRule>
    <cfRule type="expression" priority="2" dxfId="2" stopIfTrue="0">
      <formula>$V6=1</formula>
    </cfRule>
    <cfRule type="expression" priority="3" dxfId="3" stopIfTrue="0">
      <formula>$V6=0</formula>
    </cfRule>
  </conditionalFormatting>
  <conditionalFormatting sqref="O6:O1005">
    <cfRule type="expression" priority="4" dxfId="0" stopIfTrue="0">
      <formula>O6="No"</formula>
    </cfRule>
    <cfRule type="expression" priority="5" dxfId="3" stopIfTrue="0">
      <formula>O6="Yes"</formula>
    </cfRule>
  </conditionalFormatting>
  <conditionalFormatting sqref="P6:P1005">
    <cfRule type="expression" priority="6" dxfId="0" stopIfTrue="0">
      <formula>P6="No"</formula>
    </cfRule>
    <cfRule type="expression" priority="7" dxfId="3" stopIfTrue="0">
      <formula>P6="Yes"</formula>
    </cfRule>
  </conditionalFormatting>
  <dataValidations count="4">
    <dataValidation sqref="D6:D1005" showDropDown="0" showInputMessage="0" showErrorMessage="1" allowBlank="1" errorTitle="Renovation OS" error="Please pick a value from the dropdown list." type="list">
      <formula1>='Lists'!$V$2:$V$51</formula1>
    </dataValidation>
    <dataValidation sqref="E6:E1005" showDropDown="0" showInputMessage="0" showErrorMessage="1" allowBlank="1" errorTitle="Renovation OS" error="Please pick a value from the dropdown list." type="list">
      <formula1>='Lists'!$W$2:$W$12</formula1>
    </dataValidation>
    <dataValidation sqref="L6:L1005 O6:O1005 P6:P1005 AD6:AD1005 AF6:AF1005" showDropDown="0" showInputMessage="0" showErrorMessage="1" allowBlank="1" errorTitle="Renovation OS" error="Please pick a value from the dropdown list." type="list">
      <formula1>='Lists'!$A$2:$A$3</formula1>
    </dataValidation>
    <dataValidation sqref="AA6:AA1005" showDropDown="0" showInputMessage="0" showErrorMessage="1" allowBlank="1" errorTitle="Renovation OS" error="This name is not in the list. Keep it anyway?" type="list" errorStyle="warning">
      <formula1>='Lists'!$X$2:$X$1001</formula1>
    </dataValidation>
  </dataValidations>
  <hyperlinks>
    <hyperlink xmlns:r="http://schemas.openxmlformats.org/officeDocument/2006/relationships" ref="B4" r:id="rId1"/>
  </hyperlink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2E7D32"/>
    <outlinePr summaryBelow="1" summaryRight="1"/>
    <pageSetUpPr/>
  </sheetPr>
  <dimension ref="A1:AL10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24" customWidth="1" min="2" max="2"/>
    <col width="26" customWidth="1" min="3" max="3"/>
    <col width="14" customWidth="1" min="4" max="4"/>
    <col width="16" customWidth="1" min="5" max="5"/>
    <col width="9" customWidth="1" min="6" max="6"/>
    <col width="12" customWidth="1" min="7" max="7"/>
    <col width="12" customWidth="1" min="8" max="8"/>
    <col width="13" customWidth="1" min="9" max="9"/>
    <col width="13" customWidth="1" min="10" max="10"/>
    <col width="13" customWidth="1" min="11" max="11"/>
    <col width="12" customWidth="1" min="12" max="12"/>
    <col width="13" customWidth="1" min="13" max="13"/>
    <col width="12" customWidth="1" min="14" max="14"/>
    <col width="12"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width="3" customWidth="1" min="25" max="25"/>
    <col width="24" customWidth="1" min="26" max="26"/>
    <col width="13" customWidth="1" min="27" max="27"/>
    <col width="12" customWidth="1" min="28" max="28"/>
    <col width="12" customWidth="1" min="29" max="29"/>
    <col width="12" customWidth="1" min="30" max="30"/>
    <col width="13" customWidth="1" min="31" max="31"/>
    <col width="12" customWidth="1" min="32" max="32"/>
    <col width="3" customWidth="1" min="33" max="33"/>
    <col width="13" customWidth="1" min="34" max="34"/>
    <col width="12" customWidth="1" min="35" max="35"/>
    <col width="12" customWidth="1" min="36" max="36"/>
    <col width="12" customWidth="1" min="37" max="37"/>
    <col width="13" customWidth="1" min="38" max="38"/>
  </cols>
  <sheetData>
    <row r="1" ht="36" customHeight="1">
      <c r="B1" s="1" t="inlineStr">
        <is>
          <t>💳 Payments</t>
        </is>
      </c>
    </row>
    <row r="2" ht="20" customHeight="1">
      <c r="B2" s="2" t="inlineStr">
        <is>
          <t>What this tab does: your payment schedule, invoices and payments per contractor — plus a 12-month cash-flow forecast (right side →).</t>
        </is>
      </c>
    </row>
    <row r="3">
      <c r="B3" s="3" t="inlineStr">
        <is>
          <t>© 2026 Hang Nguyen — Renovation OS. Licensed to the original purchaser for personal use only. Do not share, copy, resell or redistribute.</t>
        </is>
      </c>
    </row>
    <row r="4">
      <c r="Z4" s="4" t="inlineStr">
        <is>
          <t>PER-CONTRACTOR SUMMARY</t>
        </is>
      </c>
      <c r="AA4" s="5" t="n"/>
      <c r="AB4" s="5" t="n"/>
      <c r="AC4" s="5" t="n"/>
      <c r="AD4" s="5" t="n"/>
      <c r="AE4" s="5" t="n"/>
      <c r="AF4" s="5" t="n"/>
      <c r="AH4" s="4" t="inlineStr">
        <is>
          <t>CASH FLOW — 12 months from project start</t>
        </is>
      </c>
      <c r="AI4" s="5" t="n"/>
      <c r="AJ4" s="5" t="n"/>
      <c r="AK4" s="5" t="n"/>
      <c r="AL4" s="5" t="n"/>
    </row>
    <row r="5" ht="32" customHeight="1">
      <c r="B5" s="52" t="inlineStr">
        <is>
          <t>Paid to (contractor / supplier)</t>
        </is>
      </c>
      <c r="C5" s="52" t="inlineStr">
        <is>
          <t>Milestone / what for</t>
        </is>
      </c>
      <c r="D5" s="52" t="inlineStr">
        <is>
          <t>Room (optional)</t>
        </is>
      </c>
      <c r="E5" s="52" t="inlineStr">
        <is>
          <t>Category (if not a contractor)</t>
        </is>
      </c>
      <c r="F5" s="52" t="inlineStr">
        <is>
          <t>% of contract</t>
        </is>
      </c>
      <c r="G5" s="70">
        <f>"…or fixed amount ("&amp;CurSym&amp;")"</f>
        <v/>
      </c>
      <c r="H5" s="70">
        <f>"Scheduled ("&amp;CurSym&amp;")"</f>
        <v/>
      </c>
      <c r="I5" s="52" t="inlineStr">
        <is>
          <t>Due date</t>
        </is>
      </c>
      <c r="J5" s="52" t="inlineStr">
        <is>
          <t>Invoice #</t>
        </is>
      </c>
      <c r="K5" s="52" t="inlineStr">
        <is>
          <t>Invoice date</t>
        </is>
      </c>
      <c r="L5" s="70">
        <f>"Invoiced ("&amp;CurSym&amp;")"</f>
        <v/>
      </c>
      <c r="M5" s="52" t="inlineStr">
        <is>
          <t>Paid date</t>
        </is>
      </c>
      <c r="N5" s="70">
        <f>"Paid ("&amp;CurSym&amp;")"</f>
        <v/>
      </c>
      <c r="O5" s="52" t="inlineStr">
        <is>
          <t>Status</t>
        </is>
      </c>
      <c r="P5" s="52" t="inlineStr">
        <is>
          <t>Category (auto)</t>
        </is>
      </c>
      <c r="Q5" s="71" t="inlineStr">
        <is>
          <t>room</t>
        </is>
      </c>
      <c r="R5" s="71" t="inlineStr">
        <is>
          <t>lvl</t>
        </is>
      </c>
      <c r="S5" s="71" t="inlineStr">
        <is>
          <t>unpaid</t>
        </is>
      </c>
      <c r="T5" s="71" t="inlineStr">
        <is>
          <t>1/due</t>
        </is>
      </c>
      <c r="U5" s="71" t="inlineStr">
        <is>
          <t>due</t>
        </is>
      </c>
      <c r="V5" s="71" t="inlineStr">
        <is>
          <t>pri</t>
        </is>
      </c>
      <c r="W5" s="71" t="inlineStr">
        <is>
          <t>text</t>
        </is>
      </c>
      <c r="Z5" s="52" t="inlineStr">
        <is>
          <t>Contractor</t>
        </is>
      </c>
      <c r="AA5" s="70">
        <f>"Total contract ("&amp;CurSym&amp;")"</f>
        <v/>
      </c>
      <c r="AB5" s="70">
        <f>"Invoiced ("&amp;CurSym&amp;")"</f>
        <v/>
      </c>
      <c r="AC5" s="70">
        <f>"Paid ("&amp;CurSym&amp;")"</f>
        <v/>
      </c>
      <c r="AD5" s="70">
        <f>"Still to pay ("&amp;CurSym&amp;")"</f>
        <v/>
      </c>
      <c r="AE5" s="52" t="inlineStr">
        <is>
          <t>Next payment</t>
        </is>
      </c>
      <c r="AF5" s="70">
        <f>"Next amount ("&amp;CurSym&amp;")"</f>
        <v/>
      </c>
      <c r="AH5" s="13">
        <f>"Cash needed in the next 30 days ("&amp;CurSym&amp;")"</f>
        <v/>
      </c>
      <c r="AK5" s="114">
        <f>SUMIFS($S$6:$S$1005,$I$6:$I$1005,"&lt;="&amp;(AsOf+30))</f>
        <v/>
      </c>
    </row>
    <row r="6" ht="20" customHeight="1">
      <c r="B6" s="72" t="inlineStr">
        <is>
          <t>GreenPlan Architects</t>
        </is>
      </c>
      <c r="C6" s="72" t="inlineStr">
        <is>
          <t>Design package 50%</t>
        </is>
      </c>
      <c r="D6" s="72" t="n"/>
      <c r="E6" s="72" t="n"/>
      <c r="F6" s="110" t="n">
        <v>0.5</v>
      </c>
      <c r="G6" s="73" t="n"/>
      <c r="H6" s="75">
        <f>IF(B6="","",IF(G6&lt;&gt;"",G6,IF(F6&lt;&gt;"",F6*IFERROR(INDEX('Contractors'!$I$6:$I$1005,MATCH(B6,'Contractors'!$B$6:$B$1005,0)),0),"")))</f>
        <v/>
      </c>
      <c r="I6" s="109" t="n">
        <v>46106</v>
      </c>
      <c r="J6" s="72" t="inlineStr">
        <is>
          <t>GP-01</t>
        </is>
      </c>
      <c r="K6" s="109" t="n">
        <v>46101</v>
      </c>
      <c r="L6" s="73" t="n">
        <v>2400</v>
      </c>
      <c r="M6" s="109" t="n">
        <v>46105</v>
      </c>
      <c r="N6" s="73" t="n">
        <v>2400</v>
      </c>
      <c r="O6" s="107">
        <f>IF(B6="","",IF(M6&lt;&gt;"","Paid",IF(AND(I6&lt;&gt;"",I6&lt;AsOf),"OVERDUE",IF(OR(K6&lt;&gt;"",L6&lt;&gt;""),"Invoiced","Scheduled"))))</f>
        <v/>
      </c>
      <c r="P6" s="115">
        <f>IF(B6="","",IF(E6&lt;&gt;"",E6,IFERROR(INDEX('Contractors'!$D$6:$D$1005,MATCH(B6,'Contractors'!$B$6:$B$1005,0)),"")))</f>
        <v/>
      </c>
      <c r="Q6" s="79">
        <f>IF(B6="","",IF(D6&lt;&gt;"",D6,IFERROR(INDEX('Contractors'!$E$6:$E$1005,MATCH(B6,'Contractors'!$B$6:$B$1005,0)),"")))</f>
        <v/>
      </c>
      <c r="R6" s="79">
        <f>IF(O6="","",IF(O6="OVERDUE",2,IF(O6="Paid",0,IF(AND(I6&lt;&gt;"",I6&lt;=AsOf+AlertDays),1,0))))</f>
        <v/>
      </c>
      <c r="S6" s="79">
        <f>IF(AND(B6&lt;&gt;"",M6="",I6&lt;&gt;""),IF(L6&lt;&gt;"",L6,IF(H6="",0,H6)),0)</f>
        <v/>
      </c>
      <c r="T6" s="79">
        <f>IF(AND(B6&lt;&gt;"",M6="",I6&lt;&gt;""),1/I6,0)</f>
        <v/>
      </c>
      <c r="U6" s="112">
        <f>IF(AND(B6&lt;&gt;"",M6="",I6&lt;&gt;""),I6,"")</f>
        <v/>
      </c>
      <c r="V6" s="79">
        <f>IF(U6="","",IF(U6&lt;AsOf,1,IF(U6&lt;=AsOf+AlertDays,2,IF(U6&lt;=AsOf+2*AlertDays,3,""))))</f>
        <v/>
      </c>
      <c r="W6" s="79">
        <f>IF(V6="","",IF(O6="OVERDUE","Overdue payment: ","Payment due: ")&amp;B6&amp;" — "&amp;C6&amp;" ("&amp;CurSym&amp;" "&amp;FIXED(S6,0)&amp;")")</f>
        <v/>
      </c>
      <c r="Z6" s="116">
        <f>IF('Contractors'!B6="","",'Contractors'!B6)</f>
        <v/>
      </c>
      <c r="AA6" s="77">
        <f>IF(Z6="","",'Contractors'!K6)</f>
        <v/>
      </c>
      <c r="AB6" s="77">
        <f>IF(Z6="","",SUMIFS($L$6:$L$1005,$B$6:$B$1005,Z6))</f>
        <v/>
      </c>
      <c r="AC6" s="77">
        <f>IF(Z6="","",SUMIFS($N$6:$N$1005,$B$6:$B$1005,Z6))</f>
        <v/>
      </c>
      <c r="AD6" s="76">
        <f>IF(Z6="","",AA6-AC6)</f>
        <v/>
      </c>
      <c r="AE6" s="117">
        <f>IF(Z6="","",IFERROR(1/SUMPRODUCT(MAX(($B$6:$B$1005=Z6)*$T$6:$T$1005)),""))</f>
        <v/>
      </c>
      <c r="AF6" s="77">
        <f>IF(AE6="","",SUMIFS($S$6:$S$1005,$B$6:$B$1005,Z6,$I$6:$I$1005,AE6))</f>
        <v/>
      </c>
    </row>
    <row r="7" ht="20" customHeight="1">
      <c r="B7" s="72" t="inlineStr">
        <is>
          <t>City Building Dept</t>
        </is>
      </c>
      <c r="C7" s="72" t="inlineStr">
        <is>
          <t>Building permit fee</t>
        </is>
      </c>
      <c r="D7" s="72" t="n"/>
      <c r="E7" s="72" t="inlineStr">
        <is>
          <t>Permits</t>
        </is>
      </c>
      <c r="F7" s="110" t="n"/>
      <c r="G7" s="73" t="n">
        <v>1350</v>
      </c>
      <c r="H7" s="75">
        <f>IF(B7="","",IF(G7&lt;&gt;"",G7,IF(F7&lt;&gt;"",F7*IFERROR(INDEX('Contractors'!$I$6:$I$1005,MATCH(B7,'Contractors'!$B$6:$B$1005,0)),0),"")))</f>
        <v/>
      </c>
      <c r="I7" s="109" t="n">
        <v>46111</v>
      </c>
      <c r="J7" s="72" t="inlineStr">
        <is>
          <t>PERMIT-2026-114</t>
        </is>
      </c>
      <c r="K7" s="109" t="n">
        <v>46106</v>
      </c>
      <c r="L7" s="73" t="n">
        <v>1350</v>
      </c>
      <c r="M7" s="109" t="n">
        <v>46109</v>
      </c>
      <c r="N7" s="73" t="n">
        <v>1350</v>
      </c>
      <c r="O7" s="107">
        <f>IF(B7="","",IF(M7&lt;&gt;"","Paid",IF(AND(I7&lt;&gt;"",I7&lt;AsOf),"OVERDUE",IF(OR(K7&lt;&gt;"",L7&lt;&gt;""),"Invoiced","Scheduled"))))</f>
        <v/>
      </c>
      <c r="P7" s="115">
        <f>IF(B7="","",IF(E7&lt;&gt;"",E7,IFERROR(INDEX('Contractors'!$D$6:$D$1005,MATCH(B7,'Contractors'!$B$6:$B$1005,0)),"")))</f>
        <v/>
      </c>
      <c r="Q7" s="79">
        <f>IF(B7="","",IF(D7&lt;&gt;"",D7,IFERROR(INDEX('Contractors'!$E$6:$E$1005,MATCH(B7,'Contractors'!$B$6:$B$1005,0)),"")))</f>
        <v/>
      </c>
      <c r="R7" s="79">
        <f>IF(O7="","",IF(O7="OVERDUE",2,IF(O7="Paid",0,IF(AND(I7&lt;&gt;"",I7&lt;=AsOf+AlertDays),1,0))))</f>
        <v/>
      </c>
      <c r="S7" s="79">
        <f>IF(AND(B7&lt;&gt;"",M7="",I7&lt;&gt;""),IF(L7&lt;&gt;"",L7,IF(H7="",0,H7)),0)</f>
        <v/>
      </c>
      <c r="T7" s="79">
        <f>IF(AND(B7&lt;&gt;"",M7="",I7&lt;&gt;""),1/I7,0)</f>
        <v/>
      </c>
      <c r="U7" s="112">
        <f>IF(AND(B7&lt;&gt;"",M7="",I7&lt;&gt;""),I7,"")</f>
        <v/>
      </c>
      <c r="V7" s="79">
        <f>IF(U7="","",IF(U7&lt;AsOf,1,IF(U7&lt;=AsOf+AlertDays,2,IF(U7&lt;=AsOf+2*AlertDays,3,""))))</f>
        <v/>
      </c>
      <c r="W7" s="79">
        <f>IF(V7="","",IF(O7="OVERDUE","Overdue payment: ","Payment due: ")&amp;B7&amp;" — "&amp;C7&amp;" ("&amp;CurSym&amp;" "&amp;FIXED(S7,0)&amp;")")</f>
        <v/>
      </c>
      <c r="Z7" s="116">
        <f>IF('Contractors'!B7="","",'Contractors'!B7)</f>
        <v/>
      </c>
      <c r="AA7" s="77">
        <f>IF(Z7="","",'Contractors'!K7)</f>
        <v/>
      </c>
      <c r="AB7" s="77">
        <f>IF(Z7="","",SUMIFS($L$6:$L$1005,$B$6:$B$1005,Z7))</f>
        <v/>
      </c>
      <c r="AC7" s="77">
        <f>IF(Z7="","",SUMIFS($N$6:$N$1005,$B$6:$B$1005,Z7))</f>
        <v/>
      </c>
      <c r="AD7" s="76">
        <f>IF(Z7="","",AA7-AC7)</f>
        <v/>
      </c>
      <c r="AE7" s="117">
        <f>IF(Z7="","",IFERROR(1/SUMPRODUCT(MAX(($B$6:$B$1005=Z7)*$T$6:$T$1005)),""))</f>
        <v/>
      </c>
      <c r="AF7" s="77">
        <f>IF(AE7="","",SUMIFS($S$6:$S$1005,$B$6:$B$1005,Z7,$I$6:$I$1005,AE7))</f>
        <v/>
      </c>
      <c r="AH7" s="52" t="inlineStr">
        <is>
          <t>Month</t>
        </is>
      </c>
      <c r="AI7" s="70">
        <f>"Paid ("&amp;CurSym&amp;")"</f>
        <v/>
      </c>
      <c r="AJ7" s="70">
        <f>"Still to pay ("&amp;CurSym&amp;")"</f>
        <v/>
      </c>
      <c r="AK7" s="70">
        <f>"Total ("&amp;CurSym&amp;")"</f>
        <v/>
      </c>
      <c r="AL7" s="70">
        <f>"Cumulative ("&amp;CurSym&amp;")"</f>
        <v/>
      </c>
    </row>
    <row r="8" ht="20" customHeight="1">
      <c r="B8" s="72" t="inlineStr">
        <is>
          <t>GreenPlan Architects</t>
        </is>
      </c>
      <c r="C8" s="72" t="inlineStr">
        <is>
          <t>Permit approved 25%</t>
        </is>
      </c>
      <c r="D8" s="72" t="n"/>
      <c r="E8" s="72" t="n"/>
      <c r="F8" s="110" t="n">
        <v>0.25</v>
      </c>
      <c r="G8" s="73" t="n"/>
      <c r="H8" s="75">
        <f>IF(B8="","",IF(G8&lt;&gt;"",G8,IF(F8&lt;&gt;"",F8*IFERROR(INDEX('Contractors'!$I$6:$I$1005,MATCH(B8,'Contractors'!$B$6:$B$1005,0)),0),"")))</f>
        <v/>
      </c>
      <c r="I8" s="109" t="n">
        <v>46134</v>
      </c>
      <c r="J8" s="72" t="inlineStr">
        <is>
          <t>GP-02</t>
        </is>
      </c>
      <c r="K8" s="109" t="n">
        <v>46132</v>
      </c>
      <c r="L8" s="73" t="n">
        <v>1200</v>
      </c>
      <c r="M8" s="109" t="n">
        <v>46133</v>
      </c>
      <c r="N8" s="73" t="n">
        <v>1200</v>
      </c>
      <c r="O8" s="107">
        <f>IF(B8="","",IF(M8&lt;&gt;"","Paid",IF(AND(I8&lt;&gt;"",I8&lt;AsOf),"OVERDUE",IF(OR(K8&lt;&gt;"",L8&lt;&gt;""),"Invoiced","Scheduled"))))</f>
        <v/>
      </c>
      <c r="P8" s="115">
        <f>IF(B8="","",IF(E8&lt;&gt;"",E8,IFERROR(INDEX('Contractors'!$D$6:$D$1005,MATCH(B8,'Contractors'!$B$6:$B$1005,0)),"")))</f>
        <v/>
      </c>
      <c r="Q8" s="79">
        <f>IF(B8="","",IF(D8&lt;&gt;"",D8,IFERROR(INDEX('Contractors'!$E$6:$E$1005,MATCH(B8,'Contractors'!$B$6:$B$1005,0)),"")))</f>
        <v/>
      </c>
      <c r="R8" s="79">
        <f>IF(O8="","",IF(O8="OVERDUE",2,IF(O8="Paid",0,IF(AND(I8&lt;&gt;"",I8&lt;=AsOf+AlertDays),1,0))))</f>
        <v/>
      </c>
      <c r="S8" s="79">
        <f>IF(AND(B8&lt;&gt;"",M8="",I8&lt;&gt;""),IF(L8&lt;&gt;"",L8,IF(H8="",0,H8)),0)</f>
        <v/>
      </c>
      <c r="T8" s="79">
        <f>IF(AND(B8&lt;&gt;"",M8="",I8&lt;&gt;""),1/I8,0)</f>
        <v/>
      </c>
      <c r="U8" s="112">
        <f>IF(AND(B8&lt;&gt;"",M8="",I8&lt;&gt;""),I8,"")</f>
        <v/>
      </c>
      <c r="V8" s="79">
        <f>IF(U8="","",IF(U8&lt;AsOf,1,IF(U8&lt;=AsOf+AlertDays,2,IF(U8&lt;=AsOf+2*AlertDays,3,""))))</f>
        <v/>
      </c>
      <c r="W8" s="79">
        <f>IF(V8="","",IF(O8="OVERDUE","Overdue payment: ","Payment due: ")&amp;B8&amp;" — "&amp;C8&amp;" ("&amp;CurSym&amp;" "&amp;FIXED(S8,0)&amp;")")</f>
        <v/>
      </c>
      <c r="Z8" s="116">
        <f>IF('Contractors'!B8="","",'Contractors'!B8)</f>
        <v/>
      </c>
      <c r="AA8" s="77">
        <f>IF(Z8="","",'Contractors'!K8)</f>
        <v/>
      </c>
      <c r="AB8" s="77">
        <f>IF(Z8="","",SUMIFS($L$6:$L$1005,$B$6:$B$1005,Z8))</f>
        <v/>
      </c>
      <c r="AC8" s="77">
        <f>IF(Z8="","",SUMIFS($N$6:$N$1005,$B$6:$B$1005,Z8))</f>
        <v/>
      </c>
      <c r="AD8" s="76">
        <f>IF(Z8="","",AA8-AC8)</f>
        <v/>
      </c>
      <c r="AE8" s="117">
        <f>IF(Z8="","",IFERROR(1/SUMPRODUCT(MAX(($B$6:$B$1005=Z8)*$T$6:$T$1005)),""))</f>
        <v/>
      </c>
      <c r="AF8" s="77">
        <f>IF(AE8="","",SUMIFS($S$6:$S$1005,$B$6:$B$1005,Z8,$I$6:$I$1005,AE8))</f>
        <v/>
      </c>
      <c r="AH8" s="118">
        <f>IF(ProjStart="","",DATE(YEAR(ProjStart),MONTH(ProjStart)+0,1))</f>
        <v/>
      </c>
      <c r="AI8" s="77">
        <f>IF(AH8="","",SUMIFS($N$6:$N$1005,$M$6:$M$1005,"&gt;="&amp;AH8,$M$6:$M$1005,"&lt;"&amp;DATE(YEAR(AH8),MONTH(AH8)+1,1)))</f>
        <v/>
      </c>
      <c r="AJ8" s="77">
        <f>IF(AH8="","",SUMIFS($S$6:$S$1005,$I$6:$I$1005,"&gt;="&amp;AH8,$I$6:$I$1005,"&lt;"&amp;DATE(YEAR(AH8),MONTH(AH8)+1,1)))</f>
        <v/>
      </c>
      <c r="AK8" s="76">
        <f>IF(AH8="","",AI8+AJ8)</f>
        <v/>
      </c>
      <c r="AL8" s="75">
        <f>IF(AH8="","",SUM($AK$8:AK8))</f>
        <v/>
      </c>
    </row>
    <row r="9" ht="20" customHeight="1">
      <c r="B9" s="72" t="inlineStr">
        <is>
          <t>ClearView Windows</t>
        </is>
      </c>
      <c r="C9" s="72" t="inlineStr">
        <is>
          <t>Order 40%</t>
        </is>
      </c>
      <c r="D9" s="72" t="n"/>
      <c r="E9" s="72" t="n"/>
      <c r="F9" s="110" t="n">
        <v>0.4</v>
      </c>
      <c r="G9" s="73" t="n"/>
      <c r="H9" s="75">
        <f>IF(B9="","",IF(G9&lt;&gt;"",G9,IF(F9&lt;&gt;"",F9*IFERROR(INDEX('Contractors'!$I$6:$I$1005,MATCH(B9,'Contractors'!$B$6:$B$1005,0)),0),"")))</f>
        <v/>
      </c>
      <c r="I9" s="109" t="n">
        <v>46122</v>
      </c>
      <c r="J9" s="72" t="inlineStr">
        <is>
          <t>CV-311</t>
        </is>
      </c>
      <c r="K9" s="109" t="n">
        <v>46118</v>
      </c>
      <c r="L9" s="73" t="n">
        <v>4960</v>
      </c>
      <c r="M9" s="109" t="n">
        <v>46121</v>
      </c>
      <c r="N9" s="73" t="n">
        <v>4960</v>
      </c>
      <c r="O9" s="107">
        <f>IF(B9="","",IF(M9&lt;&gt;"","Paid",IF(AND(I9&lt;&gt;"",I9&lt;AsOf),"OVERDUE",IF(OR(K9&lt;&gt;"",L9&lt;&gt;""),"Invoiced","Scheduled"))))</f>
        <v/>
      </c>
      <c r="P9" s="115">
        <f>IF(B9="","",IF(E9&lt;&gt;"",E9,IFERROR(INDEX('Contractors'!$D$6:$D$1005,MATCH(B9,'Contractors'!$B$6:$B$1005,0)),"")))</f>
        <v/>
      </c>
      <c r="Q9" s="79">
        <f>IF(B9="","",IF(D9&lt;&gt;"",D9,IFERROR(INDEX('Contractors'!$E$6:$E$1005,MATCH(B9,'Contractors'!$B$6:$B$1005,0)),"")))</f>
        <v/>
      </c>
      <c r="R9" s="79">
        <f>IF(O9="","",IF(O9="OVERDUE",2,IF(O9="Paid",0,IF(AND(I9&lt;&gt;"",I9&lt;=AsOf+AlertDays),1,0))))</f>
        <v/>
      </c>
      <c r="S9" s="79">
        <f>IF(AND(B9&lt;&gt;"",M9="",I9&lt;&gt;""),IF(L9&lt;&gt;"",L9,IF(H9="",0,H9)),0)</f>
        <v/>
      </c>
      <c r="T9" s="79">
        <f>IF(AND(B9&lt;&gt;"",M9="",I9&lt;&gt;""),1/I9,0)</f>
        <v/>
      </c>
      <c r="U9" s="112">
        <f>IF(AND(B9&lt;&gt;"",M9="",I9&lt;&gt;""),I9,"")</f>
        <v/>
      </c>
      <c r="V9" s="79">
        <f>IF(U9="","",IF(U9&lt;AsOf,1,IF(U9&lt;=AsOf+AlertDays,2,IF(U9&lt;=AsOf+2*AlertDays,3,""))))</f>
        <v/>
      </c>
      <c r="W9" s="79">
        <f>IF(V9="","",IF(O9="OVERDUE","Overdue payment: ","Payment due: ")&amp;B9&amp;" — "&amp;C9&amp;" ("&amp;CurSym&amp;" "&amp;FIXED(S9,0)&amp;")")</f>
        <v/>
      </c>
      <c r="Z9" s="116">
        <f>IF('Contractors'!B9="","",'Contractors'!B9)</f>
        <v/>
      </c>
      <c r="AA9" s="77">
        <f>IF(Z9="","",'Contractors'!K9)</f>
        <v/>
      </c>
      <c r="AB9" s="77">
        <f>IF(Z9="","",SUMIFS($L$6:$L$1005,$B$6:$B$1005,Z9))</f>
        <v/>
      </c>
      <c r="AC9" s="77">
        <f>IF(Z9="","",SUMIFS($N$6:$N$1005,$B$6:$B$1005,Z9))</f>
        <v/>
      </c>
      <c r="AD9" s="76">
        <f>IF(Z9="","",AA9-AC9)</f>
        <v/>
      </c>
      <c r="AE9" s="117">
        <f>IF(Z9="","",IFERROR(1/SUMPRODUCT(MAX(($B$6:$B$1005=Z9)*$T$6:$T$1005)),""))</f>
        <v/>
      </c>
      <c r="AF9" s="77">
        <f>IF(AE9="","",SUMIFS($S$6:$S$1005,$B$6:$B$1005,Z9,$I$6:$I$1005,AE9))</f>
        <v/>
      </c>
      <c r="AH9" s="118">
        <f>IF(ProjStart="","",DATE(YEAR(ProjStart),MONTH(ProjStart)+1,1))</f>
        <v/>
      </c>
      <c r="AI9" s="77">
        <f>IF(AH9="","",SUMIFS($N$6:$N$1005,$M$6:$M$1005,"&gt;="&amp;AH9,$M$6:$M$1005,"&lt;"&amp;DATE(YEAR(AH9),MONTH(AH9)+1,1)))</f>
        <v/>
      </c>
      <c r="AJ9" s="77">
        <f>IF(AH9="","",SUMIFS($S$6:$S$1005,$I$6:$I$1005,"&gt;="&amp;AH9,$I$6:$I$1005,"&lt;"&amp;DATE(YEAR(AH9),MONTH(AH9)+1,1)))</f>
        <v/>
      </c>
      <c r="AK9" s="76">
        <f>IF(AH9="","",AI9+AJ9)</f>
        <v/>
      </c>
      <c r="AL9" s="75">
        <f>IF(AH9="","",SUM($AK$8:AK9))</f>
        <v/>
      </c>
    </row>
    <row r="10" ht="20" customHeight="1">
      <c r="B10" s="72" t="inlineStr">
        <is>
          <t>Hansen Demolition</t>
        </is>
      </c>
      <c r="C10" s="72" t="inlineStr">
        <is>
          <t>Deposit 30%</t>
        </is>
      </c>
      <c r="D10" s="72" t="n"/>
      <c r="E10" s="72" t="n"/>
      <c r="F10" s="110" t="n">
        <v>0.3</v>
      </c>
      <c r="G10" s="73" t="n"/>
      <c r="H10" s="75">
        <f>IF(B10="","",IF(G10&lt;&gt;"",G10,IF(F10&lt;&gt;"",F10*IFERROR(INDEX('Contractors'!$I$6:$I$1005,MATCH(B10,'Contractors'!$B$6:$B$1005,0)),0),"")))</f>
        <v/>
      </c>
      <c r="I10" s="109" t="n">
        <v>46127</v>
      </c>
      <c r="J10" s="72" t="inlineStr">
        <is>
          <t>H-101</t>
        </is>
      </c>
      <c r="K10" s="109" t="n">
        <v>46122</v>
      </c>
      <c r="L10" s="73" t="n">
        <v>1140</v>
      </c>
      <c r="M10" s="109" t="n">
        <v>46126</v>
      </c>
      <c r="N10" s="73" t="n">
        <v>1140</v>
      </c>
      <c r="O10" s="107">
        <f>IF(B10="","",IF(M10&lt;&gt;"","Paid",IF(AND(I10&lt;&gt;"",I10&lt;AsOf),"OVERDUE",IF(OR(K10&lt;&gt;"",L10&lt;&gt;""),"Invoiced","Scheduled"))))</f>
        <v/>
      </c>
      <c r="P10" s="115">
        <f>IF(B10="","",IF(E10&lt;&gt;"",E10,IFERROR(INDEX('Contractors'!$D$6:$D$1005,MATCH(B10,'Contractors'!$B$6:$B$1005,0)),"")))</f>
        <v/>
      </c>
      <c r="Q10" s="79">
        <f>IF(B10="","",IF(D10&lt;&gt;"",D10,IFERROR(INDEX('Contractors'!$E$6:$E$1005,MATCH(B10,'Contractors'!$B$6:$B$1005,0)),"")))</f>
        <v/>
      </c>
      <c r="R10" s="79">
        <f>IF(O10="","",IF(O10="OVERDUE",2,IF(O10="Paid",0,IF(AND(I10&lt;&gt;"",I10&lt;=AsOf+AlertDays),1,0))))</f>
        <v/>
      </c>
      <c r="S10" s="79">
        <f>IF(AND(B10&lt;&gt;"",M10="",I10&lt;&gt;""),IF(L10&lt;&gt;"",L10,IF(H10="",0,H10)),0)</f>
        <v/>
      </c>
      <c r="T10" s="79">
        <f>IF(AND(B10&lt;&gt;"",M10="",I10&lt;&gt;""),1/I10,0)</f>
        <v/>
      </c>
      <c r="U10" s="112">
        <f>IF(AND(B10&lt;&gt;"",M10="",I10&lt;&gt;""),I10,"")</f>
        <v/>
      </c>
      <c r="V10" s="79">
        <f>IF(U10="","",IF(U10&lt;AsOf,1,IF(U10&lt;=AsOf+AlertDays,2,IF(U10&lt;=AsOf+2*AlertDays,3,""))))</f>
        <v/>
      </c>
      <c r="W10" s="79">
        <f>IF(V10="","",IF(O10="OVERDUE","Overdue payment: ","Payment due: ")&amp;B10&amp;" — "&amp;C10&amp;" ("&amp;CurSym&amp;" "&amp;FIXED(S10,0)&amp;")")</f>
        <v/>
      </c>
      <c r="Z10" s="116">
        <f>IF('Contractors'!B10="","",'Contractors'!B10)</f>
        <v/>
      </c>
      <c r="AA10" s="77">
        <f>IF(Z10="","",'Contractors'!K10)</f>
        <v/>
      </c>
      <c r="AB10" s="77">
        <f>IF(Z10="","",SUMIFS($L$6:$L$1005,$B$6:$B$1005,Z10))</f>
        <v/>
      </c>
      <c r="AC10" s="77">
        <f>IF(Z10="","",SUMIFS($N$6:$N$1005,$B$6:$B$1005,Z10))</f>
        <v/>
      </c>
      <c r="AD10" s="76">
        <f>IF(Z10="","",AA10-AC10)</f>
        <v/>
      </c>
      <c r="AE10" s="117">
        <f>IF(Z10="","",IFERROR(1/SUMPRODUCT(MAX(($B$6:$B$1005=Z10)*$T$6:$T$1005)),""))</f>
        <v/>
      </c>
      <c r="AF10" s="77">
        <f>IF(AE10="","",SUMIFS($S$6:$S$1005,$B$6:$B$1005,Z10,$I$6:$I$1005,AE10))</f>
        <v/>
      </c>
      <c r="AH10" s="118">
        <f>IF(ProjStart="","",DATE(YEAR(ProjStart),MONTH(ProjStart)+2,1))</f>
        <v/>
      </c>
      <c r="AI10" s="77">
        <f>IF(AH10="","",SUMIFS($N$6:$N$1005,$M$6:$M$1005,"&gt;="&amp;AH10,$M$6:$M$1005,"&lt;"&amp;DATE(YEAR(AH10),MONTH(AH10)+1,1)))</f>
        <v/>
      </c>
      <c r="AJ10" s="77">
        <f>IF(AH10="","",SUMIFS($S$6:$S$1005,$I$6:$I$1005,"&gt;="&amp;AH10,$I$6:$I$1005,"&lt;"&amp;DATE(YEAR(AH10),MONTH(AH10)+1,1)))</f>
        <v/>
      </c>
      <c r="AK10" s="76">
        <f>IF(AH10="","",AI10+AJ10)</f>
        <v/>
      </c>
      <c r="AL10" s="75">
        <f>IF(AH10="","",SUM($AK$8:AK10))</f>
        <v/>
      </c>
    </row>
    <row r="11" ht="20" customHeight="1">
      <c r="B11" s="72" t="inlineStr">
        <is>
          <t>City Skips</t>
        </is>
      </c>
      <c r="C11" s="72" t="inlineStr">
        <is>
          <t>Skip hire (2 skips)</t>
        </is>
      </c>
      <c r="D11" s="72" t="n"/>
      <c r="E11" s="72" t="inlineStr">
        <is>
          <t>Waste removal</t>
        </is>
      </c>
      <c r="F11" s="110" t="n"/>
      <c r="G11" s="73" t="n">
        <v>640</v>
      </c>
      <c r="H11" s="75">
        <f>IF(B11="","",IF(G11&lt;&gt;"",G11,IF(F11&lt;&gt;"",F11*IFERROR(INDEX('Contractors'!$I$6:$I$1005,MATCH(B11,'Contractors'!$B$6:$B$1005,0)),0),"")))</f>
        <v/>
      </c>
      <c r="I11" s="109" t="n">
        <v>46134</v>
      </c>
      <c r="J11" s="72" t="inlineStr">
        <is>
          <t>CS-88</t>
        </is>
      </c>
      <c r="K11" s="109" t="n">
        <v>46132</v>
      </c>
      <c r="L11" s="73" t="n">
        <v>640</v>
      </c>
      <c r="M11" s="109" t="n">
        <v>46134</v>
      </c>
      <c r="N11" s="73" t="n">
        <v>640</v>
      </c>
      <c r="O11" s="107">
        <f>IF(B11="","",IF(M11&lt;&gt;"","Paid",IF(AND(I11&lt;&gt;"",I11&lt;AsOf),"OVERDUE",IF(OR(K11&lt;&gt;"",L11&lt;&gt;""),"Invoiced","Scheduled"))))</f>
        <v/>
      </c>
      <c r="P11" s="115">
        <f>IF(B11="","",IF(E11&lt;&gt;"",E11,IFERROR(INDEX('Contractors'!$D$6:$D$1005,MATCH(B11,'Contractors'!$B$6:$B$1005,0)),"")))</f>
        <v/>
      </c>
      <c r="Q11" s="79">
        <f>IF(B11="","",IF(D11&lt;&gt;"",D11,IFERROR(INDEX('Contractors'!$E$6:$E$1005,MATCH(B11,'Contractors'!$B$6:$B$1005,0)),"")))</f>
        <v/>
      </c>
      <c r="R11" s="79">
        <f>IF(O11="","",IF(O11="OVERDUE",2,IF(O11="Paid",0,IF(AND(I11&lt;&gt;"",I11&lt;=AsOf+AlertDays),1,0))))</f>
        <v/>
      </c>
      <c r="S11" s="79">
        <f>IF(AND(B11&lt;&gt;"",M11="",I11&lt;&gt;""),IF(L11&lt;&gt;"",L11,IF(H11="",0,H11)),0)</f>
        <v/>
      </c>
      <c r="T11" s="79">
        <f>IF(AND(B11&lt;&gt;"",M11="",I11&lt;&gt;""),1/I11,0)</f>
        <v/>
      </c>
      <c r="U11" s="112">
        <f>IF(AND(B11&lt;&gt;"",M11="",I11&lt;&gt;""),I11,"")</f>
        <v/>
      </c>
      <c r="V11" s="79">
        <f>IF(U11="","",IF(U11&lt;AsOf,1,IF(U11&lt;=AsOf+AlertDays,2,IF(U11&lt;=AsOf+2*AlertDays,3,""))))</f>
        <v/>
      </c>
      <c r="W11" s="79">
        <f>IF(V11="","",IF(O11="OVERDUE","Overdue payment: ","Payment due: ")&amp;B11&amp;" — "&amp;C11&amp;" ("&amp;CurSym&amp;" "&amp;FIXED(S11,0)&amp;")")</f>
        <v/>
      </c>
      <c r="Z11" s="116">
        <f>IF('Contractors'!B11="","",'Contractors'!B11)</f>
        <v/>
      </c>
      <c r="AA11" s="77">
        <f>IF(Z11="","",'Contractors'!K11)</f>
        <v/>
      </c>
      <c r="AB11" s="77">
        <f>IF(Z11="","",SUMIFS($L$6:$L$1005,$B$6:$B$1005,Z11))</f>
        <v/>
      </c>
      <c r="AC11" s="77">
        <f>IF(Z11="","",SUMIFS($N$6:$N$1005,$B$6:$B$1005,Z11))</f>
        <v/>
      </c>
      <c r="AD11" s="76">
        <f>IF(Z11="","",AA11-AC11)</f>
        <v/>
      </c>
      <c r="AE11" s="117">
        <f>IF(Z11="","",IFERROR(1/SUMPRODUCT(MAX(($B$6:$B$1005=Z11)*$T$6:$T$1005)),""))</f>
        <v/>
      </c>
      <c r="AF11" s="77">
        <f>IF(AE11="","",SUMIFS($S$6:$S$1005,$B$6:$B$1005,Z11,$I$6:$I$1005,AE11))</f>
        <v/>
      </c>
      <c r="AH11" s="118">
        <f>IF(ProjStart="","",DATE(YEAR(ProjStart),MONTH(ProjStart)+3,1))</f>
        <v/>
      </c>
      <c r="AI11" s="77">
        <f>IF(AH11="","",SUMIFS($N$6:$N$1005,$M$6:$M$1005,"&gt;="&amp;AH11,$M$6:$M$1005,"&lt;"&amp;DATE(YEAR(AH11),MONTH(AH11)+1,1)))</f>
        <v/>
      </c>
      <c r="AJ11" s="77">
        <f>IF(AH11="","",SUMIFS($S$6:$S$1005,$I$6:$I$1005,"&gt;="&amp;AH11,$I$6:$I$1005,"&lt;"&amp;DATE(YEAR(AH11),MONTH(AH11)+1,1)))</f>
        <v/>
      </c>
      <c r="AK11" s="76">
        <f>IF(AH11="","",AI11+AJ11)</f>
        <v/>
      </c>
      <c r="AL11" s="75">
        <f>IF(AH11="","",SUM($AK$8:AK11))</f>
        <v/>
      </c>
    </row>
    <row r="12" ht="20" customHeight="1">
      <c r="B12" s="72" t="inlineStr">
        <is>
          <t>Solid Structures Ltd</t>
        </is>
      </c>
      <c r="C12" s="72" t="inlineStr">
        <is>
          <t>Deposit 30%</t>
        </is>
      </c>
      <c r="D12" s="72" t="n"/>
      <c r="E12" s="72" t="n"/>
      <c r="F12" s="110" t="n">
        <v>0.3</v>
      </c>
      <c r="G12" s="73" t="n"/>
      <c r="H12" s="75">
        <f>IF(B12="","",IF(G12&lt;&gt;"",G12,IF(F12&lt;&gt;"",F12*IFERROR(INDEX('Contractors'!$I$6:$I$1005,MATCH(B12,'Contractors'!$B$6:$B$1005,0)),0),"")))</f>
        <v/>
      </c>
      <c r="I12" s="109" t="n">
        <v>46137</v>
      </c>
      <c r="J12" s="72" t="inlineStr">
        <is>
          <t>SS-12</t>
        </is>
      </c>
      <c r="K12" s="109" t="n">
        <v>46133</v>
      </c>
      <c r="L12" s="73" t="n">
        <v>2820</v>
      </c>
      <c r="M12" s="109" t="n">
        <v>46136</v>
      </c>
      <c r="N12" s="73" t="n">
        <v>2820</v>
      </c>
      <c r="O12" s="107">
        <f>IF(B12="","",IF(M12&lt;&gt;"","Paid",IF(AND(I12&lt;&gt;"",I12&lt;AsOf),"OVERDUE",IF(OR(K12&lt;&gt;"",L12&lt;&gt;""),"Invoiced","Scheduled"))))</f>
        <v/>
      </c>
      <c r="P12" s="115">
        <f>IF(B12="","",IF(E12&lt;&gt;"",E12,IFERROR(INDEX('Contractors'!$D$6:$D$1005,MATCH(B12,'Contractors'!$B$6:$B$1005,0)),"")))</f>
        <v/>
      </c>
      <c r="Q12" s="79">
        <f>IF(B12="","",IF(D12&lt;&gt;"",D12,IFERROR(INDEX('Contractors'!$E$6:$E$1005,MATCH(B12,'Contractors'!$B$6:$B$1005,0)),"")))</f>
        <v/>
      </c>
      <c r="R12" s="79">
        <f>IF(O12="","",IF(O12="OVERDUE",2,IF(O12="Paid",0,IF(AND(I12&lt;&gt;"",I12&lt;=AsOf+AlertDays),1,0))))</f>
        <v/>
      </c>
      <c r="S12" s="79">
        <f>IF(AND(B12&lt;&gt;"",M12="",I12&lt;&gt;""),IF(L12&lt;&gt;"",L12,IF(H12="",0,H12)),0)</f>
        <v/>
      </c>
      <c r="T12" s="79">
        <f>IF(AND(B12&lt;&gt;"",M12="",I12&lt;&gt;""),1/I12,0)</f>
        <v/>
      </c>
      <c r="U12" s="112">
        <f>IF(AND(B12&lt;&gt;"",M12="",I12&lt;&gt;""),I12,"")</f>
        <v/>
      </c>
      <c r="V12" s="79">
        <f>IF(U12="","",IF(U12&lt;AsOf,1,IF(U12&lt;=AsOf+AlertDays,2,IF(U12&lt;=AsOf+2*AlertDays,3,""))))</f>
        <v/>
      </c>
      <c r="W12" s="79">
        <f>IF(V12="","",IF(O12="OVERDUE","Overdue payment: ","Payment due: ")&amp;B12&amp;" — "&amp;C12&amp;" ("&amp;CurSym&amp;" "&amp;FIXED(S12,0)&amp;")")</f>
        <v/>
      </c>
      <c r="Z12" s="116">
        <f>IF('Contractors'!B12="","",'Contractors'!B12)</f>
        <v/>
      </c>
      <c r="AA12" s="77">
        <f>IF(Z12="","",'Contractors'!K12)</f>
        <v/>
      </c>
      <c r="AB12" s="77">
        <f>IF(Z12="","",SUMIFS($L$6:$L$1005,$B$6:$B$1005,Z12))</f>
        <v/>
      </c>
      <c r="AC12" s="77">
        <f>IF(Z12="","",SUMIFS($N$6:$N$1005,$B$6:$B$1005,Z12))</f>
        <v/>
      </c>
      <c r="AD12" s="76">
        <f>IF(Z12="","",AA12-AC12)</f>
        <v/>
      </c>
      <c r="AE12" s="117">
        <f>IF(Z12="","",IFERROR(1/SUMPRODUCT(MAX(($B$6:$B$1005=Z12)*$T$6:$T$1005)),""))</f>
        <v/>
      </c>
      <c r="AF12" s="77">
        <f>IF(AE12="","",SUMIFS($S$6:$S$1005,$B$6:$B$1005,Z12,$I$6:$I$1005,AE12))</f>
        <v/>
      </c>
      <c r="AH12" s="118">
        <f>IF(ProjStart="","",DATE(YEAR(ProjStart),MONTH(ProjStart)+4,1))</f>
        <v/>
      </c>
      <c r="AI12" s="77">
        <f>IF(AH12="","",SUMIFS($N$6:$N$1005,$M$6:$M$1005,"&gt;="&amp;AH12,$M$6:$M$1005,"&lt;"&amp;DATE(YEAR(AH12),MONTH(AH12)+1,1)))</f>
        <v/>
      </c>
      <c r="AJ12" s="77">
        <f>IF(AH12="","",SUMIFS($S$6:$S$1005,$I$6:$I$1005,"&gt;="&amp;AH12,$I$6:$I$1005,"&lt;"&amp;DATE(YEAR(AH12),MONTH(AH12)+1,1)))</f>
        <v/>
      </c>
      <c r="AK12" s="76">
        <f>IF(AH12="","",AI12+AJ12)</f>
        <v/>
      </c>
      <c r="AL12" s="75">
        <f>IF(AH12="","",SUM($AK$8:AK12))</f>
        <v/>
      </c>
    </row>
    <row r="13" ht="20" customHeight="1">
      <c r="B13" s="72" t="inlineStr">
        <is>
          <t>Hansen Demolition</t>
        </is>
      </c>
      <c r="C13" s="72" t="inlineStr">
        <is>
          <t>Completion 70%</t>
        </is>
      </c>
      <c r="D13" s="72" t="n"/>
      <c r="E13" s="72" t="n"/>
      <c r="F13" s="110" t="n">
        <v>0.7</v>
      </c>
      <c r="G13" s="73" t="n"/>
      <c r="H13" s="75">
        <f>IF(B13="","",IF(G13&lt;&gt;"",G13,IF(F13&lt;&gt;"",F13*IFERROR(INDEX('Contractors'!$I$6:$I$1005,MATCH(B13,'Contractors'!$B$6:$B$1005,0)),0),"")))</f>
        <v/>
      </c>
      <c r="I13" s="109" t="n">
        <v>46147</v>
      </c>
      <c r="J13" s="72" t="inlineStr">
        <is>
          <t>H-107</t>
        </is>
      </c>
      <c r="K13" s="109" t="n">
        <v>46142</v>
      </c>
      <c r="L13" s="73" t="n">
        <v>2660</v>
      </c>
      <c r="M13" s="109" t="n">
        <v>46146</v>
      </c>
      <c r="N13" s="73" t="n">
        <v>2660</v>
      </c>
      <c r="O13" s="107">
        <f>IF(B13="","",IF(M13&lt;&gt;"","Paid",IF(AND(I13&lt;&gt;"",I13&lt;AsOf),"OVERDUE",IF(OR(K13&lt;&gt;"",L13&lt;&gt;""),"Invoiced","Scheduled"))))</f>
        <v/>
      </c>
      <c r="P13" s="115">
        <f>IF(B13="","",IF(E13&lt;&gt;"",E13,IFERROR(INDEX('Contractors'!$D$6:$D$1005,MATCH(B13,'Contractors'!$B$6:$B$1005,0)),"")))</f>
        <v/>
      </c>
      <c r="Q13" s="79">
        <f>IF(B13="","",IF(D13&lt;&gt;"",D13,IFERROR(INDEX('Contractors'!$E$6:$E$1005,MATCH(B13,'Contractors'!$B$6:$B$1005,0)),"")))</f>
        <v/>
      </c>
      <c r="R13" s="79">
        <f>IF(O13="","",IF(O13="OVERDUE",2,IF(O13="Paid",0,IF(AND(I13&lt;&gt;"",I13&lt;=AsOf+AlertDays),1,0))))</f>
        <v/>
      </c>
      <c r="S13" s="79">
        <f>IF(AND(B13&lt;&gt;"",M13="",I13&lt;&gt;""),IF(L13&lt;&gt;"",L13,IF(H13="",0,H13)),0)</f>
        <v/>
      </c>
      <c r="T13" s="79">
        <f>IF(AND(B13&lt;&gt;"",M13="",I13&lt;&gt;""),1/I13,0)</f>
        <v/>
      </c>
      <c r="U13" s="112">
        <f>IF(AND(B13&lt;&gt;"",M13="",I13&lt;&gt;""),I13,"")</f>
        <v/>
      </c>
      <c r="V13" s="79">
        <f>IF(U13="","",IF(U13&lt;AsOf,1,IF(U13&lt;=AsOf+AlertDays,2,IF(U13&lt;=AsOf+2*AlertDays,3,""))))</f>
        <v/>
      </c>
      <c r="W13" s="79">
        <f>IF(V13="","",IF(O13="OVERDUE","Overdue payment: ","Payment due: ")&amp;B13&amp;" — "&amp;C13&amp;" ("&amp;CurSym&amp;" "&amp;FIXED(S13,0)&amp;")")</f>
        <v/>
      </c>
      <c r="Z13" s="116">
        <f>IF('Contractors'!B13="","",'Contractors'!B13)</f>
        <v/>
      </c>
      <c r="AA13" s="77">
        <f>IF(Z13="","",'Contractors'!K13)</f>
        <v/>
      </c>
      <c r="AB13" s="77">
        <f>IF(Z13="","",SUMIFS($L$6:$L$1005,$B$6:$B$1005,Z13))</f>
        <v/>
      </c>
      <c r="AC13" s="77">
        <f>IF(Z13="","",SUMIFS($N$6:$N$1005,$B$6:$B$1005,Z13))</f>
        <v/>
      </c>
      <c r="AD13" s="76">
        <f>IF(Z13="","",AA13-AC13)</f>
        <v/>
      </c>
      <c r="AE13" s="117">
        <f>IF(Z13="","",IFERROR(1/SUMPRODUCT(MAX(($B$6:$B$1005=Z13)*$T$6:$T$1005)),""))</f>
        <v/>
      </c>
      <c r="AF13" s="77">
        <f>IF(AE13="","",SUMIFS($S$6:$S$1005,$B$6:$B$1005,Z13,$I$6:$I$1005,AE13))</f>
        <v/>
      </c>
      <c r="AH13" s="118">
        <f>IF(ProjStart="","",DATE(YEAR(ProjStart),MONTH(ProjStart)+5,1))</f>
        <v/>
      </c>
      <c r="AI13" s="77">
        <f>IF(AH13="","",SUMIFS($N$6:$N$1005,$M$6:$M$1005,"&gt;="&amp;AH13,$M$6:$M$1005,"&lt;"&amp;DATE(YEAR(AH13),MONTH(AH13)+1,1)))</f>
        <v/>
      </c>
      <c r="AJ13" s="77">
        <f>IF(AH13="","",SUMIFS($S$6:$S$1005,$I$6:$I$1005,"&gt;="&amp;AH13,$I$6:$I$1005,"&lt;"&amp;DATE(YEAR(AH13),MONTH(AH13)+1,1)))</f>
        <v/>
      </c>
      <c r="AK13" s="76">
        <f>IF(AH13="","",AI13+AJ13)</f>
        <v/>
      </c>
      <c r="AL13" s="75">
        <f>IF(AH13="","",SUM($AK$8:AK13))</f>
        <v/>
      </c>
    </row>
    <row r="14" ht="20" customHeight="1">
      <c r="B14" s="72" t="inlineStr">
        <is>
          <t>Bright Spark Electric</t>
        </is>
      </c>
      <c r="C14" s="72" t="inlineStr">
        <is>
          <t>Deposit 30%</t>
        </is>
      </c>
      <c r="D14" s="72" t="n"/>
      <c r="E14" s="72" t="n"/>
      <c r="F14" s="110" t="n">
        <v>0.3</v>
      </c>
      <c r="G14" s="73" t="n"/>
      <c r="H14" s="75">
        <f>IF(B14="","",IF(G14&lt;&gt;"",G14,IF(F14&lt;&gt;"",F14*IFERROR(INDEX('Contractors'!$I$6:$I$1005,MATCH(B14,'Contractors'!$B$6:$B$1005,0)),0),"")))</f>
        <v/>
      </c>
      <c r="I14" s="109" t="n">
        <v>46150</v>
      </c>
      <c r="J14" s="72" t="inlineStr">
        <is>
          <t>BS-2026-04</t>
        </is>
      </c>
      <c r="K14" s="109" t="n">
        <v>46146</v>
      </c>
      <c r="L14" s="73" t="n">
        <v>3150</v>
      </c>
      <c r="M14" s="109" t="n">
        <v>46149</v>
      </c>
      <c r="N14" s="73" t="n">
        <v>3150</v>
      </c>
      <c r="O14" s="107">
        <f>IF(B14="","",IF(M14&lt;&gt;"","Paid",IF(AND(I14&lt;&gt;"",I14&lt;AsOf),"OVERDUE",IF(OR(K14&lt;&gt;"",L14&lt;&gt;""),"Invoiced","Scheduled"))))</f>
        <v/>
      </c>
      <c r="P14" s="115">
        <f>IF(B14="","",IF(E14&lt;&gt;"",E14,IFERROR(INDEX('Contractors'!$D$6:$D$1005,MATCH(B14,'Contractors'!$B$6:$B$1005,0)),"")))</f>
        <v/>
      </c>
      <c r="Q14" s="79">
        <f>IF(B14="","",IF(D14&lt;&gt;"",D14,IFERROR(INDEX('Contractors'!$E$6:$E$1005,MATCH(B14,'Contractors'!$B$6:$B$1005,0)),"")))</f>
        <v/>
      </c>
      <c r="R14" s="79">
        <f>IF(O14="","",IF(O14="OVERDUE",2,IF(O14="Paid",0,IF(AND(I14&lt;&gt;"",I14&lt;=AsOf+AlertDays),1,0))))</f>
        <v/>
      </c>
      <c r="S14" s="79">
        <f>IF(AND(B14&lt;&gt;"",M14="",I14&lt;&gt;""),IF(L14&lt;&gt;"",L14,IF(H14="",0,H14)),0)</f>
        <v/>
      </c>
      <c r="T14" s="79">
        <f>IF(AND(B14&lt;&gt;"",M14="",I14&lt;&gt;""),1/I14,0)</f>
        <v/>
      </c>
      <c r="U14" s="112">
        <f>IF(AND(B14&lt;&gt;"",M14="",I14&lt;&gt;""),I14,"")</f>
        <v/>
      </c>
      <c r="V14" s="79">
        <f>IF(U14="","",IF(U14&lt;AsOf,1,IF(U14&lt;=AsOf+AlertDays,2,IF(U14&lt;=AsOf+2*AlertDays,3,""))))</f>
        <v/>
      </c>
      <c r="W14" s="79">
        <f>IF(V14="","",IF(O14="OVERDUE","Overdue payment: ","Payment due: ")&amp;B14&amp;" — "&amp;C14&amp;" ("&amp;CurSym&amp;" "&amp;FIXED(S14,0)&amp;")")</f>
        <v/>
      </c>
      <c r="Z14" s="116">
        <f>IF('Contractors'!B14="","",'Contractors'!B14)</f>
        <v/>
      </c>
      <c r="AA14" s="77">
        <f>IF(Z14="","",'Contractors'!K14)</f>
        <v/>
      </c>
      <c r="AB14" s="77">
        <f>IF(Z14="","",SUMIFS($L$6:$L$1005,$B$6:$B$1005,Z14))</f>
        <v/>
      </c>
      <c r="AC14" s="77">
        <f>IF(Z14="","",SUMIFS($N$6:$N$1005,$B$6:$B$1005,Z14))</f>
        <v/>
      </c>
      <c r="AD14" s="76">
        <f>IF(Z14="","",AA14-AC14)</f>
        <v/>
      </c>
      <c r="AE14" s="117">
        <f>IF(Z14="","",IFERROR(1/SUMPRODUCT(MAX(($B$6:$B$1005=Z14)*$T$6:$T$1005)),""))</f>
        <v/>
      </c>
      <c r="AF14" s="77">
        <f>IF(AE14="","",SUMIFS($S$6:$S$1005,$B$6:$B$1005,Z14,$I$6:$I$1005,AE14))</f>
        <v/>
      </c>
      <c r="AH14" s="118">
        <f>IF(ProjStart="","",DATE(YEAR(ProjStart),MONTH(ProjStart)+6,1))</f>
        <v/>
      </c>
      <c r="AI14" s="77">
        <f>IF(AH14="","",SUMIFS($N$6:$N$1005,$M$6:$M$1005,"&gt;="&amp;AH14,$M$6:$M$1005,"&lt;"&amp;DATE(YEAR(AH14),MONTH(AH14)+1,1)))</f>
        <v/>
      </c>
      <c r="AJ14" s="77">
        <f>IF(AH14="","",SUMIFS($S$6:$S$1005,$I$6:$I$1005,"&gt;="&amp;AH14,$I$6:$I$1005,"&lt;"&amp;DATE(YEAR(AH14),MONTH(AH14)+1,1)))</f>
        <v/>
      </c>
      <c r="AK14" s="76">
        <f>IF(AH14="","",AI14+AJ14)</f>
        <v/>
      </c>
      <c r="AL14" s="75">
        <f>IF(AH14="","",SUM($AK$8:AK14))</f>
        <v/>
      </c>
    </row>
    <row r="15" ht="20" customHeight="1">
      <c r="B15" s="72" t="inlineStr">
        <is>
          <t>FlowRight Plumbing</t>
        </is>
      </c>
      <c r="C15" s="72" t="inlineStr">
        <is>
          <t>Start of works 30%</t>
        </is>
      </c>
      <c r="D15" s="72" t="n"/>
      <c r="E15" s="72" t="n"/>
      <c r="F15" s="110" t="n">
        <v>0.3</v>
      </c>
      <c r="G15" s="73" t="n"/>
      <c r="H15" s="75">
        <f>IF(B15="","",IF(G15&lt;&gt;"",G15,IF(F15&lt;&gt;"",F15*IFERROR(INDEX('Contractors'!$I$6:$I$1005,MATCH(B15,'Contractors'!$B$6:$B$1005,0)),0),"")))</f>
        <v/>
      </c>
      <c r="I15" s="109" t="n">
        <v>46154</v>
      </c>
      <c r="J15" s="72" t="inlineStr">
        <is>
          <t>FR-5501</t>
        </is>
      </c>
      <c r="K15" s="109" t="n">
        <v>46150</v>
      </c>
      <c r="L15" s="73" t="n">
        <v>2760</v>
      </c>
      <c r="M15" s="109" t="n">
        <v>46153</v>
      </c>
      <c r="N15" s="73" t="n">
        <v>2760</v>
      </c>
      <c r="O15" s="107">
        <f>IF(B15="","",IF(M15&lt;&gt;"","Paid",IF(AND(I15&lt;&gt;"",I15&lt;AsOf),"OVERDUE",IF(OR(K15&lt;&gt;"",L15&lt;&gt;""),"Invoiced","Scheduled"))))</f>
        <v/>
      </c>
      <c r="P15" s="115">
        <f>IF(B15="","",IF(E15&lt;&gt;"",E15,IFERROR(INDEX('Contractors'!$D$6:$D$1005,MATCH(B15,'Contractors'!$B$6:$B$1005,0)),"")))</f>
        <v/>
      </c>
      <c r="Q15" s="79">
        <f>IF(B15="","",IF(D15&lt;&gt;"",D15,IFERROR(INDEX('Contractors'!$E$6:$E$1005,MATCH(B15,'Contractors'!$B$6:$B$1005,0)),"")))</f>
        <v/>
      </c>
      <c r="R15" s="79">
        <f>IF(O15="","",IF(O15="OVERDUE",2,IF(O15="Paid",0,IF(AND(I15&lt;&gt;"",I15&lt;=AsOf+AlertDays),1,0))))</f>
        <v/>
      </c>
      <c r="S15" s="79">
        <f>IF(AND(B15&lt;&gt;"",M15="",I15&lt;&gt;""),IF(L15&lt;&gt;"",L15,IF(H15="",0,H15)),0)</f>
        <v/>
      </c>
      <c r="T15" s="79">
        <f>IF(AND(B15&lt;&gt;"",M15="",I15&lt;&gt;""),1/I15,0)</f>
        <v/>
      </c>
      <c r="U15" s="112">
        <f>IF(AND(B15&lt;&gt;"",M15="",I15&lt;&gt;""),I15,"")</f>
        <v/>
      </c>
      <c r="V15" s="79">
        <f>IF(U15="","",IF(U15&lt;AsOf,1,IF(U15&lt;=AsOf+AlertDays,2,IF(U15&lt;=AsOf+2*AlertDays,3,""))))</f>
        <v/>
      </c>
      <c r="W15" s="79">
        <f>IF(V15="","",IF(O15="OVERDUE","Overdue payment: ","Payment due: ")&amp;B15&amp;" — "&amp;C15&amp;" ("&amp;CurSym&amp;" "&amp;FIXED(S15,0)&amp;")")</f>
        <v/>
      </c>
      <c r="Z15" s="116">
        <f>IF('Contractors'!B15="","",'Contractors'!B15)</f>
        <v/>
      </c>
      <c r="AA15" s="77">
        <f>IF(Z15="","",'Contractors'!K15)</f>
        <v/>
      </c>
      <c r="AB15" s="77">
        <f>IF(Z15="","",SUMIFS($L$6:$L$1005,$B$6:$B$1005,Z15))</f>
        <v/>
      </c>
      <c r="AC15" s="77">
        <f>IF(Z15="","",SUMIFS($N$6:$N$1005,$B$6:$B$1005,Z15))</f>
        <v/>
      </c>
      <c r="AD15" s="76">
        <f>IF(Z15="","",AA15-AC15)</f>
        <v/>
      </c>
      <c r="AE15" s="117">
        <f>IF(Z15="","",IFERROR(1/SUMPRODUCT(MAX(($B$6:$B$1005=Z15)*$T$6:$T$1005)),""))</f>
        <v/>
      </c>
      <c r="AF15" s="77">
        <f>IF(AE15="","",SUMIFS($S$6:$S$1005,$B$6:$B$1005,Z15,$I$6:$I$1005,AE15))</f>
        <v/>
      </c>
      <c r="AH15" s="118">
        <f>IF(ProjStart="","",DATE(YEAR(ProjStart),MONTH(ProjStart)+7,1))</f>
        <v/>
      </c>
      <c r="AI15" s="77">
        <f>IF(AH15="","",SUMIFS($N$6:$N$1005,$M$6:$M$1005,"&gt;="&amp;AH15,$M$6:$M$1005,"&lt;"&amp;DATE(YEAR(AH15),MONTH(AH15)+1,1)))</f>
        <v/>
      </c>
      <c r="AJ15" s="77">
        <f>IF(AH15="","",SUMIFS($S$6:$S$1005,$I$6:$I$1005,"&gt;="&amp;AH15,$I$6:$I$1005,"&lt;"&amp;DATE(YEAR(AH15),MONTH(AH15)+1,1)))</f>
        <v/>
      </c>
      <c r="AK15" s="76">
        <f>IF(AH15="","",AI15+AJ15)</f>
        <v/>
      </c>
      <c r="AL15" s="75">
        <f>IF(AH15="","",SUM($AK$8:AK15))</f>
        <v/>
      </c>
    </row>
    <row r="16" ht="20" customHeight="1">
      <c r="B16" s="72" t="inlineStr">
        <is>
          <t>Nordic Kitchens</t>
        </is>
      </c>
      <c r="C16" s="72" t="inlineStr">
        <is>
          <t>Deposit 10%</t>
        </is>
      </c>
      <c r="D16" s="72" t="inlineStr">
        <is>
          <t>Kitchen</t>
        </is>
      </c>
      <c r="E16" s="72" t="n"/>
      <c r="F16" s="110" t="n">
        <v>0.1</v>
      </c>
      <c r="G16" s="73" t="n"/>
      <c r="H16" s="75">
        <f>IF(B16="","",IF(G16&lt;&gt;"",G16,IF(F16&lt;&gt;"",F16*IFERROR(INDEX('Contractors'!$I$6:$I$1005,MATCH(B16,'Contractors'!$B$6:$B$1005,0)),0),"")))</f>
        <v/>
      </c>
      <c r="I16" s="109" t="n">
        <v>46157</v>
      </c>
      <c r="J16" s="72" t="inlineStr">
        <is>
          <t>NK-778</t>
        </is>
      </c>
      <c r="K16" s="109" t="n">
        <v>46153</v>
      </c>
      <c r="L16" s="73" t="n">
        <v>1940</v>
      </c>
      <c r="M16" s="109" t="n">
        <v>46156</v>
      </c>
      <c r="N16" s="73" t="n">
        <v>1940</v>
      </c>
      <c r="O16" s="107">
        <f>IF(B16="","",IF(M16&lt;&gt;"","Paid",IF(AND(I16&lt;&gt;"",I16&lt;AsOf),"OVERDUE",IF(OR(K16&lt;&gt;"",L16&lt;&gt;""),"Invoiced","Scheduled"))))</f>
        <v/>
      </c>
      <c r="P16" s="115">
        <f>IF(B16="","",IF(E16&lt;&gt;"",E16,IFERROR(INDEX('Contractors'!$D$6:$D$1005,MATCH(B16,'Contractors'!$B$6:$B$1005,0)),"")))</f>
        <v/>
      </c>
      <c r="Q16" s="79">
        <f>IF(B16="","",IF(D16&lt;&gt;"",D16,IFERROR(INDEX('Contractors'!$E$6:$E$1005,MATCH(B16,'Contractors'!$B$6:$B$1005,0)),"")))</f>
        <v/>
      </c>
      <c r="R16" s="79">
        <f>IF(O16="","",IF(O16="OVERDUE",2,IF(O16="Paid",0,IF(AND(I16&lt;&gt;"",I16&lt;=AsOf+AlertDays),1,0))))</f>
        <v/>
      </c>
      <c r="S16" s="79">
        <f>IF(AND(B16&lt;&gt;"",M16="",I16&lt;&gt;""),IF(L16&lt;&gt;"",L16,IF(H16="",0,H16)),0)</f>
        <v/>
      </c>
      <c r="T16" s="79">
        <f>IF(AND(B16&lt;&gt;"",M16="",I16&lt;&gt;""),1/I16,0)</f>
        <v/>
      </c>
      <c r="U16" s="112">
        <f>IF(AND(B16&lt;&gt;"",M16="",I16&lt;&gt;""),I16,"")</f>
        <v/>
      </c>
      <c r="V16" s="79">
        <f>IF(U16="","",IF(U16&lt;AsOf,1,IF(U16&lt;=AsOf+AlertDays,2,IF(U16&lt;=AsOf+2*AlertDays,3,""))))</f>
        <v/>
      </c>
      <c r="W16" s="79">
        <f>IF(V16="","",IF(O16="OVERDUE","Overdue payment: ","Payment due: ")&amp;B16&amp;" — "&amp;C16&amp;" ("&amp;CurSym&amp;" "&amp;FIXED(S16,0)&amp;")")</f>
        <v/>
      </c>
      <c r="Z16" s="116">
        <f>IF('Contractors'!B16="","",'Contractors'!B16)</f>
        <v/>
      </c>
      <c r="AA16" s="77">
        <f>IF(Z16="","",'Contractors'!K16)</f>
        <v/>
      </c>
      <c r="AB16" s="77">
        <f>IF(Z16="","",SUMIFS($L$6:$L$1005,$B$6:$B$1005,Z16))</f>
        <v/>
      </c>
      <c r="AC16" s="77">
        <f>IF(Z16="","",SUMIFS($N$6:$N$1005,$B$6:$B$1005,Z16))</f>
        <v/>
      </c>
      <c r="AD16" s="76">
        <f>IF(Z16="","",AA16-AC16)</f>
        <v/>
      </c>
      <c r="AE16" s="117">
        <f>IF(Z16="","",IFERROR(1/SUMPRODUCT(MAX(($B$6:$B$1005=Z16)*$T$6:$T$1005)),""))</f>
        <v/>
      </c>
      <c r="AF16" s="77">
        <f>IF(AE16="","",SUMIFS($S$6:$S$1005,$B$6:$B$1005,Z16,$I$6:$I$1005,AE16))</f>
        <v/>
      </c>
      <c r="AH16" s="118">
        <f>IF(ProjStart="","",DATE(YEAR(ProjStart),MONTH(ProjStart)+8,1))</f>
        <v/>
      </c>
      <c r="AI16" s="77">
        <f>IF(AH16="","",SUMIFS($N$6:$N$1005,$M$6:$M$1005,"&gt;="&amp;AH16,$M$6:$M$1005,"&lt;"&amp;DATE(YEAR(AH16),MONTH(AH16)+1,1)))</f>
        <v/>
      </c>
      <c r="AJ16" s="77">
        <f>IF(AH16="","",SUMIFS($S$6:$S$1005,$I$6:$I$1005,"&gt;="&amp;AH16,$I$6:$I$1005,"&lt;"&amp;DATE(YEAR(AH16),MONTH(AH16)+1,1)))</f>
        <v/>
      </c>
      <c r="AK16" s="76">
        <f>IF(AH16="","",AI16+AJ16)</f>
        <v/>
      </c>
      <c r="AL16" s="75">
        <f>IF(AH16="","",SUM($AK$8:AK16))</f>
        <v/>
      </c>
    </row>
    <row r="17" ht="20" customHeight="1">
      <c r="B17" s="72" t="inlineStr">
        <is>
          <t>ClearView Windows</t>
        </is>
      </c>
      <c r="C17" s="72" t="inlineStr">
        <is>
          <t>Installation 50%</t>
        </is>
      </c>
      <c r="D17" s="72" t="n"/>
      <c r="E17" s="72" t="n"/>
      <c r="F17" s="110" t="n">
        <v>0.5</v>
      </c>
      <c r="G17" s="73" t="n"/>
      <c r="H17" s="75">
        <f>IF(B17="","",IF(G17&lt;&gt;"",G17,IF(F17&lt;&gt;"",F17*IFERROR(INDEX('Contractors'!$I$6:$I$1005,MATCH(B17,'Contractors'!$B$6:$B$1005,0)),0),"")))</f>
        <v/>
      </c>
      <c r="I17" s="109" t="n">
        <v>46157</v>
      </c>
      <c r="J17" s="72" t="inlineStr">
        <is>
          <t>CV-340</t>
        </is>
      </c>
      <c r="K17" s="109" t="n">
        <v>46150</v>
      </c>
      <c r="L17" s="73" t="n">
        <v>6200</v>
      </c>
      <c r="M17" s="109" t="n">
        <v>46156</v>
      </c>
      <c r="N17" s="73" t="n">
        <v>6200</v>
      </c>
      <c r="O17" s="107">
        <f>IF(B17="","",IF(M17&lt;&gt;"","Paid",IF(AND(I17&lt;&gt;"",I17&lt;AsOf),"OVERDUE",IF(OR(K17&lt;&gt;"",L17&lt;&gt;""),"Invoiced","Scheduled"))))</f>
        <v/>
      </c>
      <c r="P17" s="115">
        <f>IF(B17="","",IF(E17&lt;&gt;"",E17,IFERROR(INDEX('Contractors'!$D$6:$D$1005,MATCH(B17,'Contractors'!$B$6:$B$1005,0)),"")))</f>
        <v/>
      </c>
      <c r="Q17" s="79">
        <f>IF(B17="","",IF(D17&lt;&gt;"",D17,IFERROR(INDEX('Contractors'!$E$6:$E$1005,MATCH(B17,'Contractors'!$B$6:$B$1005,0)),"")))</f>
        <v/>
      </c>
      <c r="R17" s="79">
        <f>IF(O17="","",IF(O17="OVERDUE",2,IF(O17="Paid",0,IF(AND(I17&lt;&gt;"",I17&lt;=AsOf+AlertDays),1,0))))</f>
        <v/>
      </c>
      <c r="S17" s="79">
        <f>IF(AND(B17&lt;&gt;"",M17="",I17&lt;&gt;""),IF(L17&lt;&gt;"",L17,IF(H17="",0,H17)),0)</f>
        <v/>
      </c>
      <c r="T17" s="79">
        <f>IF(AND(B17&lt;&gt;"",M17="",I17&lt;&gt;""),1/I17,0)</f>
        <v/>
      </c>
      <c r="U17" s="112">
        <f>IF(AND(B17&lt;&gt;"",M17="",I17&lt;&gt;""),I17,"")</f>
        <v/>
      </c>
      <c r="V17" s="79">
        <f>IF(U17="","",IF(U17&lt;AsOf,1,IF(U17&lt;=AsOf+AlertDays,2,IF(U17&lt;=AsOf+2*AlertDays,3,""))))</f>
        <v/>
      </c>
      <c r="W17" s="79">
        <f>IF(V17="","",IF(O17="OVERDUE","Overdue payment: ","Payment due: ")&amp;B17&amp;" — "&amp;C17&amp;" ("&amp;CurSym&amp;" "&amp;FIXED(S17,0)&amp;")")</f>
        <v/>
      </c>
      <c r="Z17" s="116">
        <f>IF('Contractors'!B17="","",'Contractors'!B17)</f>
        <v/>
      </c>
      <c r="AA17" s="77">
        <f>IF(Z17="","",'Contractors'!K17)</f>
        <v/>
      </c>
      <c r="AB17" s="77">
        <f>IF(Z17="","",SUMIFS($L$6:$L$1005,$B$6:$B$1005,Z17))</f>
        <v/>
      </c>
      <c r="AC17" s="77">
        <f>IF(Z17="","",SUMIFS($N$6:$N$1005,$B$6:$B$1005,Z17))</f>
        <v/>
      </c>
      <c r="AD17" s="76">
        <f>IF(Z17="","",AA17-AC17)</f>
        <v/>
      </c>
      <c r="AE17" s="117">
        <f>IF(Z17="","",IFERROR(1/SUMPRODUCT(MAX(($B$6:$B$1005=Z17)*$T$6:$T$1005)),""))</f>
        <v/>
      </c>
      <c r="AF17" s="77">
        <f>IF(AE17="","",SUMIFS($S$6:$S$1005,$B$6:$B$1005,Z17,$I$6:$I$1005,AE17))</f>
        <v/>
      </c>
      <c r="AH17" s="118">
        <f>IF(ProjStart="","",DATE(YEAR(ProjStart),MONTH(ProjStart)+9,1))</f>
        <v/>
      </c>
      <c r="AI17" s="77">
        <f>IF(AH17="","",SUMIFS($N$6:$N$1005,$M$6:$M$1005,"&gt;="&amp;AH17,$M$6:$M$1005,"&lt;"&amp;DATE(YEAR(AH17),MONTH(AH17)+1,1)))</f>
        <v/>
      </c>
      <c r="AJ17" s="77">
        <f>IF(AH17="","",SUMIFS($S$6:$S$1005,$I$6:$I$1005,"&gt;="&amp;AH17,$I$6:$I$1005,"&lt;"&amp;DATE(YEAR(AH17),MONTH(AH17)+1,1)))</f>
        <v/>
      </c>
      <c r="AK17" s="76">
        <f>IF(AH17="","",AI17+AJ17)</f>
        <v/>
      </c>
      <c r="AL17" s="75">
        <f>IF(AH17="","",SUM($AK$8:AK17))</f>
        <v/>
      </c>
    </row>
    <row r="18" ht="20" customHeight="1">
      <c r="B18" s="72" t="inlineStr">
        <is>
          <t>Solid Structures Ltd</t>
        </is>
      </c>
      <c r="C18" s="72" t="inlineStr">
        <is>
          <t>Completion 70%</t>
        </is>
      </c>
      <c r="D18" s="72" t="n"/>
      <c r="E18" s="72" t="n"/>
      <c r="F18" s="110" t="n">
        <v>0.7</v>
      </c>
      <c r="G18" s="73" t="n"/>
      <c r="H18" s="75">
        <f>IF(B18="","",IF(G18&lt;&gt;"",G18,IF(F18&lt;&gt;"",F18*IFERROR(INDEX('Contractors'!$I$6:$I$1005,MATCH(B18,'Contractors'!$B$6:$B$1005,0)),0),"")))</f>
        <v/>
      </c>
      <c r="I18" s="109" t="n">
        <v>46162</v>
      </c>
      <c r="J18" s="72" t="inlineStr">
        <is>
          <t>SS-19</t>
        </is>
      </c>
      <c r="K18" s="109" t="n">
        <v>46154</v>
      </c>
      <c r="L18" s="73" t="n">
        <v>6580</v>
      </c>
      <c r="M18" s="109" t="n">
        <v>46161</v>
      </c>
      <c r="N18" s="73" t="n">
        <v>6580</v>
      </c>
      <c r="O18" s="107">
        <f>IF(B18="","",IF(M18&lt;&gt;"","Paid",IF(AND(I18&lt;&gt;"",I18&lt;AsOf),"OVERDUE",IF(OR(K18&lt;&gt;"",L18&lt;&gt;""),"Invoiced","Scheduled"))))</f>
        <v/>
      </c>
      <c r="P18" s="115">
        <f>IF(B18="","",IF(E18&lt;&gt;"",E18,IFERROR(INDEX('Contractors'!$D$6:$D$1005,MATCH(B18,'Contractors'!$B$6:$B$1005,0)),"")))</f>
        <v/>
      </c>
      <c r="Q18" s="79">
        <f>IF(B18="","",IF(D18&lt;&gt;"",D18,IFERROR(INDEX('Contractors'!$E$6:$E$1005,MATCH(B18,'Contractors'!$B$6:$B$1005,0)),"")))</f>
        <v/>
      </c>
      <c r="R18" s="79">
        <f>IF(O18="","",IF(O18="OVERDUE",2,IF(O18="Paid",0,IF(AND(I18&lt;&gt;"",I18&lt;=AsOf+AlertDays),1,0))))</f>
        <v/>
      </c>
      <c r="S18" s="79">
        <f>IF(AND(B18&lt;&gt;"",M18="",I18&lt;&gt;""),IF(L18&lt;&gt;"",L18,IF(H18="",0,H18)),0)</f>
        <v/>
      </c>
      <c r="T18" s="79">
        <f>IF(AND(B18&lt;&gt;"",M18="",I18&lt;&gt;""),1/I18,0)</f>
        <v/>
      </c>
      <c r="U18" s="112">
        <f>IF(AND(B18&lt;&gt;"",M18="",I18&lt;&gt;""),I18,"")</f>
        <v/>
      </c>
      <c r="V18" s="79">
        <f>IF(U18="","",IF(U18&lt;AsOf,1,IF(U18&lt;=AsOf+AlertDays,2,IF(U18&lt;=AsOf+2*AlertDays,3,""))))</f>
        <v/>
      </c>
      <c r="W18" s="79">
        <f>IF(V18="","",IF(O18="OVERDUE","Overdue payment: ","Payment due: ")&amp;B18&amp;" — "&amp;C18&amp;" ("&amp;CurSym&amp;" "&amp;FIXED(S18,0)&amp;")")</f>
        <v/>
      </c>
      <c r="Z18" s="116">
        <f>IF('Contractors'!B18="","",'Contractors'!B18)</f>
        <v/>
      </c>
      <c r="AA18" s="77">
        <f>IF(Z18="","",'Contractors'!K18)</f>
        <v/>
      </c>
      <c r="AB18" s="77">
        <f>IF(Z18="","",SUMIFS($L$6:$L$1005,$B$6:$B$1005,Z18))</f>
        <v/>
      </c>
      <c r="AC18" s="77">
        <f>IF(Z18="","",SUMIFS($N$6:$N$1005,$B$6:$B$1005,Z18))</f>
        <v/>
      </c>
      <c r="AD18" s="76">
        <f>IF(Z18="","",AA18-AC18)</f>
        <v/>
      </c>
      <c r="AE18" s="117">
        <f>IF(Z18="","",IFERROR(1/SUMPRODUCT(MAX(($B$6:$B$1005=Z18)*$T$6:$T$1005)),""))</f>
        <v/>
      </c>
      <c r="AF18" s="77">
        <f>IF(AE18="","",SUMIFS($S$6:$S$1005,$B$6:$B$1005,Z18,$I$6:$I$1005,AE18))</f>
        <v/>
      </c>
      <c r="AH18" s="118">
        <f>IF(ProjStart="","",DATE(YEAR(ProjStart),MONTH(ProjStart)+10,1))</f>
        <v/>
      </c>
      <c r="AI18" s="77">
        <f>IF(AH18="","",SUMIFS($N$6:$N$1005,$M$6:$M$1005,"&gt;="&amp;AH18,$M$6:$M$1005,"&lt;"&amp;DATE(YEAR(AH18),MONTH(AH18)+1,1)))</f>
        <v/>
      </c>
      <c r="AJ18" s="77">
        <f>IF(AH18="","",SUMIFS($S$6:$S$1005,$I$6:$I$1005,"&gt;="&amp;AH18,$I$6:$I$1005,"&lt;"&amp;DATE(YEAR(AH18),MONTH(AH18)+1,1)))</f>
        <v/>
      </c>
      <c r="AK18" s="76">
        <f>IF(AH18="","",AI18+AJ18)</f>
        <v/>
      </c>
      <c r="AL18" s="75">
        <f>IF(AH18="","",SUM($AK$8:AK18))</f>
        <v/>
      </c>
    </row>
    <row r="19" ht="20" customHeight="1">
      <c r="B19" s="72" t="inlineStr">
        <is>
          <t>Solid Structures Ltd</t>
        </is>
      </c>
      <c r="C19" s="72" t="inlineStr">
        <is>
          <t>Change order CO-1 (steel beam)</t>
        </is>
      </c>
      <c r="D19" s="72" t="n"/>
      <c r="E19" s="72" t="n"/>
      <c r="F19" s="110" t="n"/>
      <c r="G19" s="73" t="n">
        <v>1200</v>
      </c>
      <c r="H19" s="75">
        <f>IF(B19="","",IF(G19&lt;&gt;"",G19,IF(F19&lt;&gt;"",F19*IFERROR(INDEX('Contractors'!$I$6:$I$1005,MATCH(B19,'Contractors'!$B$6:$B$1005,0)),0),"")))</f>
        <v/>
      </c>
      <c r="I19" s="109" t="n">
        <v>46167</v>
      </c>
      <c r="J19" s="72" t="inlineStr">
        <is>
          <t>SS-20</t>
        </is>
      </c>
      <c r="K19" s="109" t="n">
        <v>46160</v>
      </c>
      <c r="L19" s="73" t="n">
        <v>1200</v>
      </c>
      <c r="M19" s="109" t="n">
        <v>46167</v>
      </c>
      <c r="N19" s="73" t="n">
        <v>1200</v>
      </c>
      <c r="O19" s="107">
        <f>IF(B19="","",IF(M19&lt;&gt;"","Paid",IF(AND(I19&lt;&gt;"",I19&lt;AsOf),"OVERDUE",IF(OR(K19&lt;&gt;"",L19&lt;&gt;""),"Invoiced","Scheduled"))))</f>
        <v/>
      </c>
      <c r="P19" s="115">
        <f>IF(B19="","",IF(E19&lt;&gt;"",E19,IFERROR(INDEX('Contractors'!$D$6:$D$1005,MATCH(B19,'Contractors'!$B$6:$B$1005,0)),"")))</f>
        <v/>
      </c>
      <c r="Q19" s="79">
        <f>IF(B19="","",IF(D19&lt;&gt;"",D19,IFERROR(INDEX('Contractors'!$E$6:$E$1005,MATCH(B19,'Contractors'!$B$6:$B$1005,0)),"")))</f>
        <v/>
      </c>
      <c r="R19" s="79">
        <f>IF(O19="","",IF(O19="OVERDUE",2,IF(O19="Paid",0,IF(AND(I19&lt;&gt;"",I19&lt;=AsOf+AlertDays),1,0))))</f>
        <v/>
      </c>
      <c r="S19" s="79">
        <f>IF(AND(B19&lt;&gt;"",M19="",I19&lt;&gt;""),IF(L19&lt;&gt;"",L19,IF(H19="",0,H19)),0)</f>
        <v/>
      </c>
      <c r="T19" s="79">
        <f>IF(AND(B19&lt;&gt;"",M19="",I19&lt;&gt;""),1/I19,0)</f>
        <v/>
      </c>
      <c r="U19" s="112">
        <f>IF(AND(B19&lt;&gt;"",M19="",I19&lt;&gt;""),I19,"")</f>
        <v/>
      </c>
      <c r="V19" s="79">
        <f>IF(U19="","",IF(U19&lt;AsOf,1,IF(U19&lt;=AsOf+AlertDays,2,IF(U19&lt;=AsOf+2*AlertDays,3,""))))</f>
        <v/>
      </c>
      <c r="W19" s="79">
        <f>IF(V19="","",IF(O19="OVERDUE","Overdue payment: ","Payment due: ")&amp;B19&amp;" — "&amp;C19&amp;" ("&amp;CurSym&amp;" "&amp;FIXED(S19,0)&amp;")")</f>
        <v/>
      </c>
      <c r="Z19" s="116">
        <f>IF('Contractors'!B19="","",'Contractors'!B19)</f>
        <v/>
      </c>
      <c r="AA19" s="77">
        <f>IF(Z19="","",'Contractors'!K19)</f>
        <v/>
      </c>
      <c r="AB19" s="77">
        <f>IF(Z19="","",SUMIFS($L$6:$L$1005,$B$6:$B$1005,Z19))</f>
        <v/>
      </c>
      <c r="AC19" s="77">
        <f>IF(Z19="","",SUMIFS($N$6:$N$1005,$B$6:$B$1005,Z19))</f>
        <v/>
      </c>
      <c r="AD19" s="76">
        <f>IF(Z19="","",AA19-AC19)</f>
        <v/>
      </c>
      <c r="AE19" s="117">
        <f>IF(Z19="","",IFERROR(1/SUMPRODUCT(MAX(($B$6:$B$1005=Z19)*$T$6:$T$1005)),""))</f>
        <v/>
      </c>
      <c r="AF19" s="77">
        <f>IF(AE19="","",SUMIFS($S$6:$S$1005,$B$6:$B$1005,Z19,$I$6:$I$1005,AE19))</f>
        <v/>
      </c>
      <c r="AH19" s="118">
        <f>IF(ProjStart="","",DATE(YEAR(ProjStart),MONTH(ProjStart)+11,1))</f>
        <v/>
      </c>
      <c r="AI19" s="77">
        <f>IF(AH19="","",SUMIFS($N$6:$N$1005,$M$6:$M$1005,"&gt;="&amp;AH19,$M$6:$M$1005,"&lt;"&amp;DATE(YEAR(AH19),MONTH(AH19)+1,1)))</f>
        <v/>
      </c>
      <c r="AJ19" s="77">
        <f>IF(AH19="","",SUMIFS($S$6:$S$1005,$I$6:$I$1005,"&gt;="&amp;AH19,$I$6:$I$1005,"&lt;"&amp;DATE(YEAR(AH19),MONTH(AH19)+1,1)))</f>
        <v/>
      </c>
      <c r="AK19" s="76">
        <f>IF(AH19="","",AI19+AJ19)</f>
        <v/>
      </c>
      <c r="AL19" s="75">
        <f>IF(AH19="","",SUM($AK$8:AK19))</f>
        <v/>
      </c>
    </row>
    <row r="20" ht="20" customHeight="1">
      <c r="B20" s="72" t="inlineStr">
        <is>
          <t>Bright Spark Electric</t>
        </is>
      </c>
      <c r="C20" s="72" t="inlineStr">
        <is>
          <t>First fix 30%</t>
        </is>
      </c>
      <c r="D20" s="72" t="n"/>
      <c r="E20" s="72" t="n"/>
      <c r="F20" s="110" t="n">
        <v>0.3</v>
      </c>
      <c r="G20" s="73" t="n"/>
      <c r="H20" s="75">
        <f>IF(B20="","",IF(G20&lt;&gt;"",G20,IF(F20&lt;&gt;"",F20*IFERROR(INDEX('Contractors'!$I$6:$I$1005,MATCH(B20,'Contractors'!$B$6:$B$1005,0)),0),"")))</f>
        <v/>
      </c>
      <c r="I20" s="109" t="n">
        <v>46174</v>
      </c>
      <c r="J20" s="72" t="inlineStr">
        <is>
          <t>BS-2026-07</t>
        </is>
      </c>
      <c r="K20" s="109" t="n">
        <v>46168</v>
      </c>
      <c r="L20" s="73" t="n">
        <v>3150</v>
      </c>
      <c r="M20" s="109" t="n">
        <v>46172</v>
      </c>
      <c r="N20" s="73" t="n">
        <v>3150</v>
      </c>
      <c r="O20" s="107">
        <f>IF(B20="","",IF(M20&lt;&gt;"","Paid",IF(AND(I20&lt;&gt;"",I20&lt;AsOf),"OVERDUE",IF(OR(K20&lt;&gt;"",L20&lt;&gt;""),"Invoiced","Scheduled"))))</f>
        <v/>
      </c>
      <c r="P20" s="115">
        <f>IF(B20="","",IF(E20&lt;&gt;"",E20,IFERROR(INDEX('Contractors'!$D$6:$D$1005,MATCH(B20,'Contractors'!$B$6:$B$1005,0)),"")))</f>
        <v/>
      </c>
      <c r="Q20" s="79">
        <f>IF(B20="","",IF(D20&lt;&gt;"",D20,IFERROR(INDEX('Contractors'!$E$6:$E$1005,MATCH(B20,'Contractors'!$B$6:$B$1005,0)),"")))</f>
        <v/>
      </c>
      <c r="R20" s="79">
        <f>IF(O20="","",IF(O20="OVERDUE",2,IF(O20="Paid",0,IF(AND(I20&lt;&gt;"",I20&lt;=AsOf+AlertDays),1,0))))</f>
        <v/>
      </c>
      <c r="S20" s="79">
        <f>IF(AND(B20&lt;&gt;"",M20="",I20&lt;&gt;""),IF(L20&lt;&gt;"",L20,IF(H20="",0,H20)),0)</f>
        <v/>
      </c>
      <c r="T20" s="79">
        <f>IF(AND(B20&lt;&gt;"",M20="",I20&lt;&gt;""),1/I20,0)</f>
        <v/>
      </c>
      <c r="U20" s="112">
        <f>IF(AND(B20&lt;&gt;"",M20="",I20&lt;&gt;""),I20,"")</f>
        <v/>
      </c>
      <c r="V20" s="79">
        <f>IF(U20="","",IF(U20&lt;AsOf,1,IF(U20&lt;=AsOf+AlertDays,2,IF(U20&lt;=AsOf+2*AlertDays,3,""))))</f>
        <v/>
      </c>
      <c r="W20" s="79">
        <f>IF(V20="","",IF(O20="OVERDUE","Overdue payment: ","Payment due: ")&amp;B20&amp;" — "&amp;C20&amp;" ("&amp;CurSym&amp;" "&amp;FIXED(S20,0)&amp;")")</f>
        <v/>
      </c>
      <c r="Z20" s="116">
        <f>IF('Contractors'!B20="","",'Contractors'!B20)</f>
        <v/>
      </c>
      <c r="AA20" s="77">
        <f>IF(Z20="","",'Contractors'!K20)</f>
        <v/>
      </c>
      <c r="AB20" s="77">
        <f>IF(Z20="","",SUMIFS($L$6:$L$1005,$B$6:$B$1005,Z20))</f>
        <v/>
      </c>
      <c r="AC20" s="77">
        <f>IF(Z20="","",SUMIFS($N$6:$N$1005,$B$6:$B$1005,Z20))</f>
        <v/>
      </c>
      <c r="AD20" s="76">
        <f>IF(Z20="","",AA20-AC20)</f>
        <v/>
      </c>
      <c r="AE20" s="117">
        <f>IF(Z20="","",IFERROR(1/SUMPRODUCT(MAX(($B$6:$B$1005=Z20)*$T$6:$T$1005)),""))</f>
        <v/>
      </c>
      <c r="AF20" s="77">
        <f>IF(AE20="","",SUMIFS($S$6:$S$1005,$B$6:$B$1005,Z20,$I$6:$I$1005,AE20))</f>
        <v/>
      </c>
    </row>
    <row r="21" ht="20" customHeight="1">
      <c r="B21" s="72" t="inlineStr">
        <is>
          <t>ClimaHeat HVAC</t>
        </is>
      </c>
      <c r="C21" s="72" t="inlineStr">
        <is>
          <t>Equipment 30%</t>
        </is>
      </c>
      <c r="D21" s="72" t="n"/>
      <c r="E21" s="72" t="n"/>
      <c r="F21" s="110" t="n">
        <v>0.3</v>
      </c>
      <c r="G21" s="73" t="n"/>
      <c r="H21" s="75">
        <f>IF(B21="","",IF(G21&lt;&gt;"",G21,IF(F21&lt;&gt;"",F21*IFERROR(INDEX('Contractors'!$I$6:$I$1005,MATCH(B21,'Contractors'!$B$6:$B$1005,0)),0),"")))</f>
        <v/>
      </c>
      <c r="I21" s="109" t="n">
        <v>46178</v>
      </c>
      <c r="J21" s="72" t="inlineStr">
        <is>
          <t>CH-90</t>
        </is>
      </c>
      <c r="K21" s="109" t="n">
        <v>46174</v>
      </c>
      <c r="L21" s="73" t="n">
        <v>2790</v>
      </c>
      <c r="M21" s="109" t="n">
        <v>46177</v>
      </c>
      <c r="N21" s="73" t="n">
        <v>2790</v>
      </c>
      <c r="O21" s="107">
        <f>IF(B21="","",IF(M21&lt;&gt;"","Paid",IF(AND(I21&lt;&gt;"",I21&lt;AsOf),"OVERDUE",IF(OR(K21&lt;&gt;"",L21&lt;&gt;""),"Invoiced","Scheduled"))))</f>
        <v/>
      </c>
      <c r="P21" s="115">
        <f>IF(B21="","",IF(E21&lt;&gt;"",E21,IFERROR(INDEX('Contractors'!$D$6:$D$1005,MATCH(B21,'Contractors'!$B$6:$B$1005,0)),"")))</f>
        <v/>
      </c>
      <c r="Q21" s="79">
        <f>IF(B21="","",IF(D21&lt;&gt;"",D21,IFERROR(INDEX('Contractors'!$E$6:$E$1005,MATCH(B21,'Contractors'!$B$6:$B$1005,0)),"")))</f>
        <v/>
      </c>
      <c r="R21" s="79">
        <f>IF(O21="","",IF(O21="OVERDUE",2,IF(O21="Paid",0,IF(AND(I21&lt;&gt;"",I21&lt;=AsOf+AlertDays),1,0))))</f>
        <v/>
      </c>
      <c r="S21" s="79">
        <f>IF(AND(B21&lt;&gt;"",M21="",I21&lt;&gt;""),IF(L21&lt;&gt;"",L21,IF(H21="",0,H21)),0)</f>
        <v/>
      </c>
      <c r="T21" s="79">
        <f>IF(AND(B21&lt;&gt;"",M21="",I21&lt;&gt;""),1/I21,0)</f>
        <v/>
      </c>
      <c r="U21" s="112">
        <f>IF(AND(B21&lt;&gt;"",M21="",I21&lt;&gt;""),I21,"")</f>
        <v/>
      </c>
      <c r="V21" s="79">
        <f>IF(U21="","",IF(U21&lt;AsOf,1,IF(U21&lt;=AsOf+AlertDays,2,IF(U21&lt;=AsOf+2*AlertDays,3,""))))</f>
        <v/>
      </c>
      <c r="W21" s="79">
        <f>IF(V21="","",IF(O21="OVERDUE","Overdue payment: ","Payment due: ")&amp;B21&amp;" — "&amp;C21&amp;" ("&amp;CurSym&amp;" "&amp;FIXED(S21,0)&amp;")")</f>
        <v/>
      </c>
      <c r="Z21" s="116">
        <f>IF('Contractors'!B21="","",'Contractors'!B21)</f>
        <v/>
      </c>
      <c r="AA21" s="77">
        <f>IF(Z21="","",'Contractors'!K21)</f>
        <v/>
      </c>
      <c r="AB21" s="77">
        <f>IF(Z21="","",SUMIFS($L$6:$L$1005,$B$6:$B$1005,Z21))</f>
        <v/>
      </c>
      <c r="AC21" s="77">
        <f>IF(Z21="","",SUMIFS($N$6:$N$1005,$B$6:$B$1005,Z21))</f>
        <v/>
      </c>
      <c r="AD21" s="76">
        <f>IF(Z21="","",AA21-AC21)</f>
        <v/>
      </c>
      <c r="AE21" s="117">
        <f>IF(Z21="","",IFERROR(1/SUMPRODUCT(MAX(($B$6:$B$1005=Z21)*$T$6:$T$1005)),""))</f>
        <v/>
      </c>
      <c r="AF21" s="77">
        <f>IF(AE21="","",SUMIFS($S$6:$S$1005,$B$6:$B$1005,Z21,$I$6:$I$1005,AE21))</f>
        <v/>
      </c>
    </row>
    <row r="22" ht="20" customHeight="1">
      <c r="B22" s="72" t="inlineStr">
        <is>
          <t>FlowRight Plumbing</t>
        </is>
      </c>
      <c r="C22" s="72" t="inlineStr">
        <is>
          <t>Rough-in complete 40%</t>
        </is>
      </c>
      <c r="D22" s="72" t="n"/>
      <c r="E22" s="72" t="n"/>
      <c r="F22" s="110" t="n">
        <v>0.4</v>
      </c>
      <c r="G22" s="73" t="n"/>
      <c r="H22" s="75">
        <f>IF(B22="","",IF(G22&lt;&gt;"",G22,IF(F22&lt;&gt;"",F22*IFERROR(INDEX('Contractors'!$I$6:$I$1005,MATCH(B22,'Contractors'!$B$6:$B$1005,0)),0),"")))</f>
        <v/>
      </c>
      <c r="I22" s="109" t="n">
        <v>46183</v>
      </c>
      <c r="J22" s="72" t="inlineStr">
        <is>
          <t>FR-5534</t>
        </is>
      </c>
      <c r="K22" s="109" t="n">
        <v>46174</v>
      </c>
      <c r="L22" s="73" t="n">
        <v>3680</v>
      </c>
      <c r="M22" s="109" t="n"/>
      <c r="N22" s="73" t="n"/>
      <c r="O22" s="107">
        <f>IF(B22="","",IF(M22&lt;&gt;"","Paid",IF(AND(I22&lt;&gt;"",I22&lt;AsOf),"OVERDUE",IF(OR(K22&lt;&gt;"",L22&lt;&gt;""),"Invoiced","Scheduled"))))</f>
        <v/>
      </c>
      <c r="P22" s="115">
        <f>IF(B22="","",IF(E22&lt;&gt;"",E22,IFERROR(INDEX('Contractors'!$D$6:$D$1005,MATCH(B22,'Contractors'!$B$6:$B$1005,0)),"")))</f>
        <v/>
      </c>
      <c r="Q22" s="79">
        <f>IF(B22="","",IF(D22&lt;&gt;"",D22,IFERROR(INDEX('Contractors'!$E$6:$E$1005,MATCH(B22,'Contractors'!$B$6:$B$1005,0)),"")))</f>
        <v/>
      </c>
      <c r="R22" s="79">
        <f>IF(O22="","",IF(O22="OVERDUE",2,IF(O22="Paid",0,IF(AND(I22&lt;&gt;"",I22&lt;=AsOf+AlertDays),1,0))))</f>
        <v/>
      </c>
      <c r="S22" s="79">
        <f>IF(AND(B22&lt;&gt;"",M22="",I22&lt;&gt;""),IF(L22&lt;&gt;"",L22,IF(H22="",0,H22)),0)</f>
        <v/>
      </c>
      <c r="T22" s="79">
        <f>IF(AND(B22&lt;&gt;"",M22="",I22&lt;&gt;""),1/I22,0)</f>
        <v/>
      </c>
      <c r="U22" s="112">
        <f>IF(AND(B22&lt;&gt;"",M22="",I22&lt;&gt;""),I22,"")</f>
        <v/>
      </c>
      <c r="V22" s="79">
        <f>IF(U22="","",IF(U22&lt;AsOf,1,IF(U22&lt;=AsOf+AlertDays,2,IF(U22&lt;=AsOf+2*AlertDays,3,""))))</f>
        <v/>
      </c>
      <c r="W22" s="79">
        <f>IF(V22="","",IF(O22="OVERDUE","Overdue payment: ","Payment due: ")&amp;B22&amp;" — "&amp;C22&amp;" ("&amp;CurSym&amp;" "&amp;FIXED(S22,0)&amp;")")</f>
        <v/>
      </c>
      <c r="Z22" s="116">
        <f>IF('Contractors'!B22="","",'Contractors'!B22)</f>
        <v/>
      </c>
      <c r="AA22" s="77">
        <f>IF(Z22="","",'Contractors'!K22)</f>
        <v/>
      </c>
      <c r="AB22" s="77">
        <f>IF(Z22="","",SUMIFS($L$6:$L$1005,$B$6:$B$1005,Z22))</f>
        <v/>
      </c>
      <c r="AC22" s="77">
        <f>IF(Z22="","",SUMIFS($N$6:$N$1005,$B$6:$B$1005,Z22))</f>
        <v/>
      </c>
      <c r="AD22" s="76">
        <f>IF(Z22="","",AA22-AC22)</f>
        <v/>
      </c>
      <c r="AE22" s="117">
        <f>IF(Z22="","",IFERROR(1/SUMPRODUCT(MAX(($B$6:$B$1005=Z22)*$T$6:$T$1005)),""))</f>
        <v/>
      </c>
      <c r="AF22" s="77">
        <f>IF(AE22="","",SUMIFS($S$6:$S$1005,$B$6:$B$1005,Z22,$I$6:$I$1005,AE22))</f>
        <v/>
      </c>
    </row>
    <row r="23" ht="20" customHeight="1">
      <c r="B23" s="72" t="inlineStr">
        <is>
          <t>Aqua Bath Studio</t>
        </is>
      </c>
      <c r="C23" s="72" t="inlineStr">
        <is>
          <t>Deposit 20%</t>
        </is>
      </c>
      <c r="D23" s="72" t="n"/>
      <c r="E23" s="72" t="n"/>
      <c r="F23" s="110" t="n">
        <v>0.2</v>
      </c>
      <c r="G23" s="73" t="n"/>
      <c r="H23" s="75">
        <f>IF(B23="","",IF(G23&lt;&gt;"",G23,IF(F23&lt;&gt;"",F23*IFERROR(INDEX('Contractors'!$I$6:$I$1005,MATCH(B23,'Contractors'!$B$6:$B$1005,0)),0),"")))</f>
        <v/>
      </c>
      <c r="I23" s="109" t="n">
        <v>46192</v>
      </c>
      <c r="J23" s="72" t="inlineStr">
        <is>
          <t>ABS-301</t>
        </is>
      </c>
      <c r="K23" s="109" t="n">
        <v>46185</v>
      </c>
      <c r="L23" s="73" t="n">
        <v>2240</v>
      </c>
      <c r="M23" s="109" t="n"/>
      <c r="N23" s="73" t="n"/>
      <c r="O23" s="107">
        <f>IF(B23="","",IF(M23&lt;&gt;"","Paid",IF(AND(I23&lt;&gt;"",I23&lt;AsOf),"OVERDUE",IF(OR(K23&lt;&gt;"",L23&lt;&gt;""),"Invoiced","Scheduled"))))</f>
        <v/>
      </c>
      <c r="P23" s="115">
        <f>IF(B23="","",IF(E23&lt;&gt;"",E23,IFERROR(INDEX('Contractors'!$D$6:$D$1005,MATCH(B23,'Contractors'!$B$6:$B$1005,0)),"")))</f>
        <v/>
      </c>
      <c r="Q23" s="79">
        <f>IF(B23="","",IF(D23&lt;&gt;"",D23,IFERROR(INDEX('Contractors'!$E$6:$E$1005,MATCH(B23,'Contractors'!$B$6:$B$1005,0)),"")))</f>
        <v/>
      </c>
      <c r="R23" s="79">
        <f>IF(O23="","",IF(O23="OVERDUE",2,IF(O23="Paid",0,IF(AND(I23&lt;&gt;"",I23&lt;=AsOf+AlertDays),1,0))))</f>
        <v/>
      </c>
      <c r="S23" s="79">
        <f>IF(AND(B23&lt;&gt;"",M23="",I23&lt;&gt;""),IF(L23&lt;&gt;"",L23,IF(H23="",0,H23)),0)</f>
        <v/>
      </c>
      <c r="T23" s="79">
        <f>IF(AND(B23&lt;&gt;"",M23="",I23&lt;&gt;""),1/I23,0)</f>
        <v/>
      </c>
      <c r="U23" s="112">
        <f>IF(AND(B23&lt;&gt;"",M23="",I23&lt;&gt;""),I23,"")</f>
        <v/>
      </c>
      <c r="V23" s="79">
        <f>IF(U23="","",IF(U23&lt;AsOf,1,IF(U23&lt;=AsOf+AlertDays,2,IF(U23&lt;=AsOf+2*AlertDays,3,""))))</f>
        <v/>
      </c>
      <c r="W23" s="79">
        <f>IF(V23="","",IF(O23="OVERDUE","Overdue payment: ","Payment due: ")&amp;B23&amp;" — "&amp;C23&amp;" ("&amp;CurSym&amp;" "&amp;FIXED(S23,0)&amp;")")</f>
        <v/>
      </c>
      <c r="Z23" s="116">
        <f>IF('Contractors'!B23="","",'Contractors'!B23)</f>
        <v/>
      </c>
      <c r="AA23" s="77">
        <f>IF(Z23="","",'Contractors'!K23)</f>
        <v/>
      </c>
      <c r="AB23" s="77">
        <f>IF(Z23="","",SUMIFS($L$6:$L$1005,$B$6:$B$1005,Z23))</f>
        <v/>
      </c>
      <c r="AC23" s="77">
        <f>IF(Z23="","",SUMIFS($N$6:$N$1005,$B$6:$B$1005,Z23))</f>
        <v/>
      </c>
      <c r="AD23" s="76">
        <f>IF(Z23="","",AA23-AC23)</f>
        <v/>
      </c>
      <c r="AE23" s="117">
        <f>IF(Z23="","",IFERROR(1/SUMPRODUCT(MAX(($B$6:$B$1005=Z23)*$T$6:$T$1005)),""))</f>
        <v/>
      </c>
      <c r="AF23" s="77">
        <f>IF(AE23="","",SUMIFS($S$6:$S$1005,$B$6:$B$1005,Z23,$I$6:$I$1005,AE23))</f>
        <v/>
      </c>
    </row>
    <row r="24" ht="20" customHeight="1">
      <c r="B24" s="72" t="inlineStr">
        <is>
          <t>ClearView Windows</t>
        </is>
      </c>
      <c r="C24" s="72" t="inlineStr">
        <is>
          <t>Final 10% (after snagging)</t>
        </is>
      </c>
      <c r="D24" s="72" t="n"/>
      <c r="E24" s="72" t="n"/>
      <c r="F24" s="110" t="n">
        <v>0.1</v>
      </c>
      <c r="G24" s="73" t="n"/>
      <c r="H24" s="75">
        <f>IF(B24="","",IF(G24&lt;&gt;"",G24,IF(F24&lt;&gt;"",F24*IFERROR(INDEX('Contractors'!$I$6:$I$1005,MATCH(B24,'Contractors'!$B$6:$B$1005,0)),0),"")))</f>
        <v/>
      </c>
      <c r="I24" s="109" t="n">
        <v>46193</v>
      </c>
      <c r="J24" s="72" t="inlineStr">
        <is>
          <t>CV-362</t>
        </is>
      </c>
      <c r="K24" s="109" t="n">
        <v>46185</v>
      </c>
      <c r="L24" s="73" t="n">
        <v>1240</v>
      </c>
      <c r="M24" s="109" t="n"/>
      <c r="N24" s="73" t="n"/>
      <c r="O24" s="107">
        <f>IF(B24="","",IF(M24&lt;&gt;"","Paid",IF(AND(I24&lt;&gt;"",I24&lt;AsOf),"OVERDUE",IF(OR(K24&lt;&gt;"",L24&lt;&gt;""),"Invoiced","Scheduled"))))</f>
        <v/>
      </c>
      <c r="P24" s="115">
        <f>IF(B24="","",IF(E24&lt;&gt;"",E24,IFERROR(INDEX('Contractors'!$D$6:$D$1005,MATCH(B24,'Contractors'!$B$6:$B$1005,0)),"")))</f>
        <v/>
      </c>
      <c r="Q24" s="79">
        <f>IF(B24="","",IF(D24&lt;&gt;"",D24,IFERROR(INDEX('Contractors'!$E$6:$E$1005,MATCH(B24,'Contractors'!$B$6:$B$1005,0)),"")))</f>
        <v/>
      </c>
      <c r="R24" s="79">
        <f>IF(O24="","",IF(O24="OVERDUE",2,IF(O24="Paid",0,IF(AND(I24&lt;&gt;"",I24&lt;=AsOf+AlertDays),1,0))))</f>
        <v/>
      </c>
      <c r="S24" s="79">
        <f>IF(AND(B24&lt;&gt;"",M24="",I24&lt;&gt;""),IF(L24&lt;&gt;"",L24,IF(H24="",0,H24)),0)</f>
        <v/>
      </c>
      <c r="T24" s="79">
        <f>IF(AND(B24&lt;&gt;"",M24="",I24&lt;&gt;""),1/I24,0)</f>
        <v/>
      </c>
      <c r="U24" s="112">
        <f>IF(AND(B24&lt;&gt;"",M24="",I24&lt;&gt;""),I24,"")</f>
        <v/>
      </c>
      <c r="V24" s="79">
        <f>IF(U24="","",IF(U24&lt;AsOf,1,IF(U24&lt;=AsOf+AlertDays,2,IF(U24&lt;=AsOf+2*AlertDays,3,""))))</f>
        <v/>
      </c>
      <c r="W24" s="79">
        <f>IF(V24="","",IF(O24="OVERDUE","Overdue payment: ","Payment due: ")&amp;B24&amp;" — "&amp;C24&amp;" ("&amp;CurSym&amp;" "&amp;FIXED(S24,0)&amp;")")</f>
        <v/>
      </c>
      <c r="Z24" s="116">
        <f>IF('Contractors'!B24="","",'Contractors'!B24)</f>
        <v/>
      </c>
      <c r="AA24" s="77">
        <f>IF(Z24="","",'Contractors'!K24)</f>
        <v/>
      </c>
      <c r="AB24" s="77">
        <f>IF(Z24="","",SUMIFS($L$6:$L$1005,$B$6:$B$1005,Z24))</f>
        <v/>
      </c>
      <c r="AC24" s="77">
        <f>IF(Z24="","",SUMIFS($N$6:$N$1005,$B$6:$B$1005,Z24))</f>
        <v/>
      </c>
      <c r="AD24" s="76">
        <f>IF(Z24="","",AA24-AC24)</f>
        <v/>
      </c>
      <c r="AE24" s="117">
        <f>IF(Z24="","",IFERROR(1/SUMPRODUCT(MAX(($B$6:$B$1005=Z24)*$T$6:$T$1005)),""))</f>
        <v/>
      </c>
      <c r="AF24" s="77">
        <f>IF(AE24="","",SUMIFS($S$6:$S$1005,$B$6:$B$1005,Z24,$I$6:$I$1005,AE24))</f>
        <v/>
      </c>
    </row>
    <row r="25" ht="20" customHeight="1">
      <c r="B25" s="72" t="inlineStr">
        <is>
          <t>TileDepot</t>
        </is>
      </c>
      <c r="C25" s="72" t="inlineStr">
        <is>
          <t>Bathroom 1 tiles</t>
        </is>
      </c>
      <c r="D25" s="72" t="inlineStr">
        <is>
          <t>Bathroom 1</t>
        </is>
      </c>
      <c r="E25" s="72" t="inlineStr">
        <is>
          <t>Bathrooms</t>
        </is>
      </c>
      <c r="F25" s="110" t="n"/>
      <c r="G25" s="73" t="n">
        <v>1450</v>
      </c>
      <c r="H25" s="75">
        <f>IF(B25="","",IF(G25&lt;&gt;"",G25,IF(F25&lt;&gt;"",F25*IFERROR(INDEX('Contractors'!$I$6:$I$1005,MATCH(B25,'Contractors'!$B$6:$B$1005,0)),0),"")))</f>
        <v/>
      </c>
      <c r="I25" s="109" t="n">
        <v>46188</v>
      </c>
      <c r="J25" s="72" t="inlineStr">
        <is>
          <t>TD-4471</t>
        </is>
      </c>
      <c r="K25" s="109" t="n">
        <v>46185</v>
      </c>
      <c r="L25" s="73" t="n">
        <v>1450</v>
      </c>
      <c r="M25" s="109" t="n">
        <v>46188</v>
      </c>
      <c r="N25" s="73" t="n">
        <v>1450</v>
      </c>
      <c r="O25" s="107">
        <f>IF(B25="","",IF(M25&lt;&gt;"","Paid",IF(AND(I25&lt;&gt;"",I25&lt;AsOf),"OVERDUE",IF(OR(K25&lt;&gt;"",L25&lt;&gt;""),"Invoiced","Scheduled"))))</f>
        <v/>
      </c>
      <c r="P25" s="115">
        <f>IF(B25="","",IF(E25&lt;&gt;"",E25,IFERROR(INDEX('Contractors'!$D$6:$D$1005,MATCH(B25,'Contractors'!$B$6:$B$1005,0)),"")))</f>
        <v/>
      </c>
      <c r="Q25" s="79">
        <f>IF(B25="","",IF(D25&lt;&gt;"",D25,IFERROR(INDEX('Contractors'!$E$6:$E$1005,MATCH(B25,'Contractors'!$B$6:$B$1005,0)),"")))</f>
        <v/>
      </c>
      <c r="R25" s="79">
        <f>IF(O25="","",IF(O25="OVERDUE",2,IF(O25="Paid",0,IF(AND(I25&lt;&gt;"",I25&lt;=AsOf+AlertDays),1,0))))</f>
        <v/>
      </c>
      <c r="S25" s="79">
        <f>IF(AND(B25&lt;&gt;"",M25="",I25&lt;&gt;""),IF(L25&lt;&gt;"",L25,IF(H25="",0,H25)),0)</f>
        <v/>
      </c>
      <c r="T25" s="79">
        <f>IF(AND(B25&lt;&gt;"",M25="",I25&lt;&gt;""),1/I25,0)</f>
        <v/>
      </c>
      <c r="U25" s="112">
        <f>IF(AND(B25&lt;&gt;"",M25="",I25&lt;&gt;""),I25,"")</f>
        <v/>
      </c>
      <c r="V25" s="79">
        <f>IF(U25="","",IF(U25&lt;AsOf,1,IF(U25&lt;=AsOf+AlertDays,2,IF(U25&lt;=AsOf+2*AlertDays,3,""))))</f>
        <v/>
      </c>
      <c r="W25" s="79">
        <f>IF(V25="","",IF(O25="OVERDUE","Overdue payment: ","Payment due: ")&amp;B25&amp;" — "&amp;C25&amp;" ("&amp;CurSym&amp;" "&amp;FIXED(S25,0)&amp;")")</f>
        <v/>
      </c>
      <c r="Z25" s="116">
        <f>IF('Contractors'!B25="","",'Contractors'!B25)</f>
        <v/>
      </c>
      <c r="AA25" s="77">
        <f>IF(Z25="","",'Contractors'!K25)</f>
        <v/>
      </c>
      <c r="AB25" s="77">
        <f>IF(Z25="","",SUMIFS($L$6:$L$1005,$B$6:$B$1005,Z25))</f>
        <v/>
      </c>
      <c r="AC25" s="77">
        <f>IF(Z25="","",SUMIFS($N$6:$N$1005,$B$6:$B$1005,Z25))</f>
        <v/>
      </c>
      <c r="AD25" s="76">
        <f>IF(Z25="","",AA25-AC25)</f>
        <v/>
      </c>
      <c r="AE25" s="117">
        <f>IF(Z25="","",IFERROR(1/SUMPRODUCT(MAX(($B$6:$B$1005=Z25)*$T$6:$T$1005)),""))</f>
        <v/>
      </c>
      <c r="AF25" s="77">
        <f>IF(AE25="","",SUMIFS($S$6:$S$1005,$B$6:$B$1005,Z25,$I$6:$I$1005,AE25))</f>
        <v/>
      </c>
    </row>
    <row r="26" ht="20" customHeight="1">
      <c r="B26" s="72" t="inlineStr">
        <is>
          <t>StoneWorks</t>
        </is>
      </c>
      <c r="C26" s="72" t="inlineStr">
        <is>
          <t>Quartz worktop</t>
        </is>
      </c>
      <c r="D26" s="72" t="inlineStr">
        <is>
          <t>Kitchen</t>
        </is>
      </c>
      <c r="E26" s="72" t="inlineStr">
        <is>
          <t>Kitchen</t>
        </is>
      </c>
      <c r="F26" s="110" t="n"/>
      <c r="G26" s="73" t="n">
        <v>2450</v>
      </c>
      <c r="H26" s="75">
        <f>IF(B26="","",IF(G26&lt;&gt;"",G26,IF(F26&lt;&gt;"",F26*IFERROR(INDEX('Contractors'!$I$6:$I$1005,MATCH(B26,'Contractors'!$B$6:$B$1005,0)),0),"")))</f>
        <v/>
      </c>
      <c r="I26" s="109" t="n">
        <v>46198</v>
      </c>
      <c r="J26" s="72" t="n"/>
      <c r="K26" s="109" t="n"/>
      <c r="L26" s="73" t="n"/>
      <c r="M26" s="109" t="n"/>
      <c r="N26" s="73" t="n"/>
      <c r="O26" s="107">
        <f>IF(B26="","",IF(M26&lt;&gt;"","Paid",IF(AND(I26&lt;&gt;"",I26&lt;AsOf),"OVERDUE",IF(OR(K26&lt;&gt;"",L26&lt;&gt;""),"Invoiced","Scheduled"))))</f>
        <v/>
      </c>
      <c r="P26" s="115">
        <f>IF(B26="","",IF(E26&lt;&gt;"",E26,IFERROR(INDEX('Contractors'!$D$6:$D$1005,MATCH(B26,'Contractors'!$B$6:$B$1005,0)),"")))</f>
        <v/>
      </c>
      <c r="Q26" s="79">
        <f>IF(B26="","",IF(D26&lt;&gt;"",D26,IFERROR(INDEX('Contractors'!$E$6:$E$1005,MATCH(B26,'Contractors'!$B$6:$B$1005,0)),"")))</f>
        <v/>
      </c>
      <c r="R26" s="79">
        <f>IF(O26="","",IF(O26="OVERDUE",2,IF(O26="Paid",0,IF(AND(I26&lt;&gt;"",I26&lt;=AsOf+AlertDays),1,0))))</f>
        <v/>
      </c>
      <c r="S26" s="79">
        <f>IF(AND(B26&lt;&gt;"",M26="",I26&lt;&gt;""),IF(L26&lt;&gt;"",L26,IF(H26="",0,H26)),0)</f>
        <v/>
      </c>
      <c r="T26" s="79">
        <f>IF(AND(B26&lt;&gt;"",M26="",I26&lt;&gt;""),1/I26,0)</f>
        <v/>
      </c>
      <c r="U26" s="112">
        <f>IF(AND(B26&lt;&gt;"",M26="",I26&lt;&gt;""),I26,"")</f>
        <v/>
      </c>
      <c r="V26" s="79">
        <f>IF(U26="","",IF(U26&lt;AsOf,1,IF(U26&lt;=AsOf+AlertDays,2,IF(U26&lt;=AsOf+2*AlertDays,3,""))))</f>
        <v/>
      </c>
      <c r="W26" s="79">
        <f>IF(V26="","",IF(O26="OVERDUE","Overdue payment: ","Payment due: ")&amp;B26&amp;" — "&amp;C26&amp;" ("&amp;CurSym&amp;" "&amp;FIXED(S26,0)&amp;")")</f>
        <v/>
      </c>
      <c r="Z26" s="116">
        <f>IF('Contractors'!B26="","",'Contractors'!B26)</f>
        <v/>
      </c>
      <c r="AA26" s="77">
        <f>IF(Z26="","",'Contractors'!K26)</f>
        <v/>
      </c>
      <c r="AB26" s="77">
        <f>IF(Z26="","",SUMIFS($L$6:$L$1005,$B$6:$B$1005,Z26))</f>
        <v/>
      </c>
      <c r="AC26" s="77">
        <f>IF(Z26="","",SUMIFS($N$6:$N$1005,$B$6:$B$1005,Z26))</f>
        <v/>
      </c>
      <c r="AD26" s="76">
        <f>IF(Z26="","",AA26-AC26)</f>
        <v/>
      </c>
      <c r="AE26" s="117">
        <f>IF(Z26="","",IFERROR(1/SUMPRODUCT(MAX(($B$6:$B$1005=Z26)*$T$6:$T$1005)),""))</f>
        <v/>
      </c>
      <c r="AF26" s="77">
        <f>IF(AE26="","",SUMIFS($S$6:$S$1005,$B$6:$B$1005,Z26,$I$6:$I$1005,AE26))</f>
        <v/>
      </c>
    </row>
    <row r="27" ht="20" customHeight="1">
      <c r="B27" s="72" t="inlineStr">
        <is>
          <t>Nordic Kitchens</t>
        </is>
      </c>
      <c r="C27" s="72" t="inlineStr">
        <is>
          <t>Delivery 50%</t>
        </is>
      </c>
      <c r="D27" s="72" t="inlineStr">
        <is>
          <t>Kitchen</t>
        </is>
      </c>
      <c r="E27" s="72" t="n"/>
      <c r="F27" s="110" t="n">
        <v>0.5</v>
      </c>
      <c r="G27" s="73" t="n"/>
      <c r="H27" s="75">
        <f>IF(B27="","",IF(G27&lt;&gt;"",G27,IF(F27&lt;&gt;"",F27*IFERROR(INDEX('Contractors'!$I$6:$I$1005,MATCH(B27,'Contractors'!$B$6:$B$1005,0)),0),"")))</f>
        <v/>
      </c>
      <c r="I27" s="109" t="n">
        <v>46202</v>
      </c>
      <c r="J27" s="72" t="n"/>
      <c r="K27" s="109" t="n"/>
      <c r="L27" s="73" t="n"/>
      <c r="M27" s="109" t="n"/>
      <c r="N27" s="73" t="n"/>
      <c r="O27" s="107">
        <f>IF(B27="","",IF(M27&lt;&gt;"","Paid",IF(AND(I27&lt;&gt;"",I27&lt;AsOf),"OVERDUE",IF(OR(K27&lt;&gt;"",L27&lt;&gt;""),"Invoiced","Scheduled"))))</f>
        <v/>
      </c>
      <c r="P27" s="115">
        <f>IF(B27="","",IF(E27&lt;&gt;"",E27,IFERROR(INDEX('Contractors'!$D$6:$D$1005,MATCH(B27,'Contractors'!$B$6:$B$1005,0)),"")))</f>
        <v/>
      </c>
      <c r="Q27" s="79">
        <f>IF(B27="","",IF(D27&lt;&gt;"",D27,IFERROR(INDEX('Contractors'!$E$6:$E$1005,MATCH(B27,'Contractors'!$B$6:$B$1005,0)),"")))</f>
        <v/>
      </c>
      <c r="R27" s="79">
        <f>IF(O27="","",IF(O27="OVERDUE",2,IF(O27="Paid",0,IF(AND(I27&lt;&gt;"",I27&lt;=AsOf+AlertDays),1,0))))</f>
        <v/>
      </c>
      <c r="S27" s="79">
        <f>IF(AND(B27&lt;&gt;"",M27="",I27&lt;&gt;""),IF(L27&lt;&gt;"",L27,IF(H27="",0,H27)),0)</f>
        <v/>
      </c>
      <c r="T27" s="79">
        <f>IF(AND(B27&lt;&gt;"",M27="",I27&lt;&gt;""),1/I27,0)</f>
        <v/>
      </c>
      <c r="U27" s="112">
        <f>IF(AND(B27&lt;&gt;"",M27="",I27&lt;&gt;""),I27,"")</f>
        <v/>
      </c>
      <c r="V27" s="79">
        <f>IF(U27="","",IF(U27&lt;AsOf,1,IF(U27&lt;=AsOf+AlertDays,2,IF(U27&lt;=AsOf+2*AlertDays,3,""))))</f>
        <v/>
      </c>
      <c r="W27" s="79">
        <f>IF(V27="","",IF(O27="OVERDUE","Overdue payment: ","Payment due: ")&amp;B27&amp;" — "&amp;C27&amp;" ("&amp;CurSym&amp;" "&amp;FIXED(S27,0)&amp;")")</f>
        <v/>
      </c>
      <c r="Z27" s="116">
        <f>IF('Contractors'!B27="","",'Contractors'!B27)</f>
        <v/>
      </c>
      <c r="AA27" s="77">
        <f>IF(Z27="","",'Contractors'!K27)</f>
        <v/>
      </c>
      <c r="AB27" s="77">
        <f>IF(Z27="","",SUMIFS($L$6:$L$1005,$B$6:$B$1005,Z27))</f>
        <v/>
      </c>
      <c r="AC27" s="77">
        <f>IF(Z27="","",SUMIFS($N$6:$N$1005,$B$6:$B$1005,Z27))</f>
        <v/>
      </c>
      <c r="AD27" s="76">
        <f>IF(Z27="","",AA27-AC27)</f>
        <v/>
      </c>
      <c r="AE27" s="117">
        <f>IF(Z27="","",IFERROR(1/SUMPRODUCT(MAX(($B$6:$B$1005=Z27)*$T$6:$T$1005)),""))</f>
        <v/>
      </c>
      <c r="AF27" s="77">
        <f>IF(AE27="","",SUMIFS($S$6:$S$1005,$B$6:$B$1005,Z27,$I$6:$I$1005,AE27))</f>
        <v/>
      </c>
    </row>
    <row r="28" ht="20" customHeight="1">
      <c r="B28" s="72" t="inlineStr">
        <is>
          <t>ClimaHeat HVAC</t>
        </is>
      </c>
      <c r="C28" s="72" t="inlineStr">
        <is>
          <t>Commissioning 70%</t>
        </is>
      </c>
      <c r="D28" s="72" t="n"/>
      <c r="E28" s="72" t="n"/>
      <c r="F28" s="110" t="n">
        <v>0.7</v>
      </c>
      <c r="G28" s="73" t="n"/>
      <c r="H28" s="75">
        <f>IF(B28="","",IF(G28&lt;&gt;"",G28,IF(F28&lt;&gt;"",F28*IFERROR(INDEX('Contractors'!$I$6:$I$1005,MATCH(B28,'Contractors'!$B$6:$B$1005,0)),0),"")))</f>
        <v/>
      </c>
      <c r="I28" s="109" t="n">
        <v>46203</v>
      </c>
      <c r="J28" s="72" t="n"/>
      <c r="K28" s="109" t="n"/>
      <c r="L28" s="73" t="n"/>
      <c r="M28" s="109" t="n"/>
      <c r="N28" s="73" t="n"/>
      <c r="O28" s="107">
        <f>IF(B28="","",IF(M28&lt;&gt;"","Paid",IF(AND(I28&lt;&gt;"",I28&lt;AsOf),"OVERDUE",IF(OR(K28&lt;&gt;"",L28&lt;&gt;""),"Invoiced","Scheduled"))))</f>
        <v/>
      </c>
      <c r="P28" s="115">
        <f>IF(B28="","",IF(E28&lt;&gt;"",E28,IFERROR(INDEX('Contractors'!$D$6:$D$1005,MATCH(B28,'Contractors'!$B$6:$B$1005,0)),"")))</f>
        <v/>
      </c>
      <c r="Q28" s="79">
        <f>IF(B28="","",IF(D28&lt;&gt;"",D28,IFERROR(INDEX('Contractors'!$E$6:$E$1005,MATCH(B28,'Contractors'!$B$6:$B$1005,0)),"")))</f>
        <v/>
      </c>
      <c r="R28" s="79">
        <f>IF(O28="","",IF(O28="OVERDUE",2,IF(O28="Paid",0,IF(AND(I28&lt;&gt;"",I28&lt;=AsOf+AlertDays),1,0))))</f>
        <v/>
      </c>
      <c r="S28" s="79">
        <f>IF(AND(B28&lt;&gt;"",M28="",I28&lt;&gt;""),IF(L28&lt;&gt;"",L28,IF(H28="",0,H28)),0)</f>
        <v/>
      </c>
      <c r="T28" s="79">
        <f>IF(AND(B28&lt;&gt;"",M28="",I28&lt;&gt;""),1/I28,0)</f>
        <v/>
      </c>
      <c r="U28" s="112">
        <f>IF(AND(B28&lt;&gt;"",M28="",I28&lt;&gt;""),I28,"")</f>
        <v/>
      </c>
      <c r="V28" s="79">
        <f>IF(U28="","",IF(U28&lt;AsOf,1,IF(U28&lt;=AsOf+AlertDays,2,IF(U28&lt;=AsOf+2*AlertDays,3,""))))</f>
        <v/>
      </c>
      <c r="W28" s="79">
        <f>IF(V28="","",IF(O28="OVERDUE","Overdue payment: ","Payment due: ")&amp;B28&amp;" — "&amp;C28&amp;" ("&amp;CurSym&amp;" "&amp;FIXED(S28,0)&amp;")")</f>
        <v/>
      </c>
      <c r="Z28" s="116">
        <f>IF('Contractors'!B28="","",'Contractors'!B28)</f>
        <v/>
      </c>
      <c r="AA28" s="77">
        <f>IF(Z28="","",'Contractors'!K28)</f>
        <v/>
      </c>
      <c r="AB28" s="77">
        <f>IF(Z28="","",SUMIFS($L$6:$L$1005,$B$6:$B$1005,Z28))</f>
        <v/>
      </c>
      <c r="AC28" s="77">
        <f>IF(Z28="","",SUMIFS($N$6:$N$1005,$B$6:$B$1005,Z28))</f>
        <v/>
      </c>
      <c r="AD28" s="76">
        <f>IF(Z28="","",AA28-AC28)</f>
        <v/>
      </c>
      <c r="AE28" s="117">
        <f>IF(Z28="","",IFERROR(1/SUMPRODUCT(MAX(($B$6:$B$1005=Z28)*$T$6:$T$1005)),""))</f>
        <v/>
      </c>
      <c r="AF28" s="77">
        <f>IF(AE28="","",SUMIFS($S$6:$S$1005,$B$6:$B$1005,Z28,$I$6:$I$1005,AE28))</f>
        <v/>
      </c>
    </row>
    <row r="29" ht="20" customHeight="1">
      <c r="B29" s="72" t="inlineStr">
        <is>
          <t>FlowRight Plumbing</t>
        </is>
      </c>
      <c r="C29" s="72" t="inlineStr">
        <is>
          <t>Final 30%</t>
        </is>
      </c>
      <c r="D29" s="72" t="n"/>
      <c r="E29" s="72" t="n"/>
      <c r="F29" s="110" t="n">
        <v>0.3</v>
      </c>
      <c r="G29" s="73" t="n"/>
      <c r="H29" s="75">
        <f>IF(B29="","",IF(G29&lt;&gt;"",G29,IF(F29&lt;&gt;"",F29*IFERROR(INDEX('Contractors'!$I$6:$I$1005,MATCH(B29,'Contractors'!$B$6:$B$1005,0)),0),"")))</f>
        <v/>
      </c>
      <c r="I29" s="109" t="n">
        <v>46223</v>
      </c>
      <c r="J29" s="72" t="n"/>
      <c r="K29" s="109" t="n"/>
      <c r="L29" s="73" t="n"/>
      <c r="M29" s="109" t="n"/>
      <c r="N29" s="73" t="n"/>
      <c r="O29" s="107">
        <f>IF(B29="","",IF(M29&lt;&gt;"","Paid",IF(AND(I29&lt;&gt;"",I29&lt;AsOf),"OVERDUE",IF(OR(K29&lt;&gt;"",L29&lt;&gt;""),"Invoiced","Scheduled"))))</f>
        <v/>
      </c>
      <c r="P29" s="115">
        <f>IF(B29="","",IF(E29&lt;&gt;"",E29,IFERROR(INDEX('Contractors'!$D$6:$D$1005,MATCH(B29,'Contractors'!$B$6:$B$1005,0)),"")))</f>
        <v/>
      </c>
      <c r="Q29" s="79">
        <f>IF(B29="","",IF(D29&lt;&gt;"",D29,IFERROR(INDEX('Contractors'!$E$6:$E$1005,MATCH(B29,'Contractors'!$B$6:$B$1005,0)),"")))</f>
        <v/>
      </c>
      <c r="R29" s="79">
        <f>IF(O29="","",IF(O29="OVERDUE",2,IF(O29="Paid",0,IF(AND(I29&lt;&gt;"",I29&lt;=AsOf+AlertDays),1,0))))</f>
        <v/>
      </c>
      <c r="S29" s="79">
        <f>IF(AND(B29&lt;&gt;"",M29="",I29&lt;&gt;""),IF(L29&lt;&gt;"",L29,IF(H29="",0,H29)),0)</f>
        <v/>
      </c>
      <c r="T29" s="79">
        <f>IF(AND(B29&lt;&gt;"",M29="",I29&lt;&gt;""),1/I29,0)</f>
        <v/>
      </c>
      <c r="U29" s="112">
        <f>IF(AND(B29&lt;&gt;"",M29="",I29&lt;&gt;""),I29,"")</f>
        <v/>
      </c>
      <c r="V29" s="79">
        <f>IF(U29="","",IF(U29&lt;AsOf,1,IF(U29&lt;=AsOf+AlertDays,2,IF(U29&lt;=AsOf+2*AlertDays,3,""))))</f>
        <v/>
      </c>
      <c r="W29" s="79">
        <f>IF(V29="","",IF(O29="OVERDUE","Overdue payment: ","Payment due: ")&amp;B29&amp;" — "&amp;C29&amp;" ("&amp;CurSym&amp;" "&amp;FIXED(S29,0)&amp;")")</f>
        <v/>
      </c>
      <c r="Z29" s="116">
        <f>IF('Contractors'!B29="","",'Contractors'!B29)</f>
        <v/>
      </c>
      <c r="AA29" s="77">
        <f>IF(Z29="","",'Contractors'!K29)</f>
        <v/>
      </c>
      <c r="AB29" s="77">
        <f>IF(Z29="","",SUMIFS($L$6:$L$1005,$B$6:$B$1005,Z29))</f>
        <v/>
      </c>
      <c r="AC29" s="77">
        <f>IF(Z29="","",SUMIFS($N$6:$N$1005,$B$6:$B$1005,Z29))</f>
        <v/>
      </c>
      <c r="AD29" s="76">
        <f>IF(Z29="","",AA29-AC29)</f>
        <v/>
      </c>
      <c r="AE29" s="117">
        <f>IF(Z29="","",IFERROR(1/SUMPRODUCT(MAX(($B$6:$B$1005=Z29)*$T$6:$T$1005)),""))</f>
        <v/>
      </c>
      <c r="AF29" s="77">
        <f>IF(AE29="","",SUMIFS($S$6:$S$1005,$B$6:$B$1005,Z29,$I$6:$I$1005,AE29))</f>
        <v/>
      </c>
    </row>
    <row r="30" ht="20" customHeight="1">
      <c r="B30" s="72" t="inlineStr">
        <is>
          <t>Nordic Kitchens</t>
        </is>
      </c>
      <c r="C30" s="72" t="inlineStr">
        <is>
          <t>Completion 40%</t>
        </is>
      </c>
      <c r="D30" s="72" t="inlineStr">
        <is>
          <t>Kitchen</t>
        </is>
      </c>
      <c r="E30" s="72" t="n"/>
      <c r="F30" s="110" t="n">
        <v>0.4</v>
      </c>
      <c r="G30" s="73" t="n"/>
      <c r="H30" s="75">
        <f>IF(B30="","",IF(G30&lt;&gt;"",G30,IF(F30&lt;&gt;"",F30*IFERROR(INDEX('Contractors'!$I$6:$I$1005,MATCH(B30,'Contractors'!$B$6:$B$1005,0)),0),"")))</f>
        <v/>
      </c>
      <c r="I30" s="109" t="n">
        <v>46223</v>
      </c>
      <c r="J30" s="72" t="n"/>
      <c r="K30" s="109" t="n"/>
      <c r="L30" s="73" t="n"/>
      <c r="M30" s="109" t="n"/>
      <c r="N30" s="73" t="n"/>
      <c r="O30" s="107">
        <f>IF(B30="","",IF(M30&lt;&gt;"","Paid",IF(AND(I30&lt;&gt;"",I30&lt;AsOf),"OVERDUE",IF(OR(K30&lt;&gt;"",L30&lt;&gt;""),"Invoiced","Scheduled"))))</f>
        <v/>
      </c>
      <c r="P30" s="115">
        <f>IF(B30="","",IF(E30&lt;&gt;"",E30,IFERROR(INDEX('Contractors'!$D$6:$D$1005,MATCH(B30,'Contractors'!$B$6:$B$1005,0)),"")))</f>
        <v/>
      </c>
      <c r="Q30" s="79">
        <f>IF(B30="","",IF(D30&lt;&gt;"",D30,IFERROR(INDEX('Contractors'!$E$6:$E$1005,MATCH(B30,'Contractors'!$B$6:$B$1005,0)),"")))</f>
        <v/>
      </c>
      <c r="R30" s="79">
        <f>IF(O30="","",IF(O30="OVERDUE",2,IF(O30="Paid",0,IF(AND(I30&lt;&gt;"",I30&lt;=AsOf+AlertDays),1,0))))</f>
        <v/>
      </c>
      <c r="S30" s="79">
        <f>IF(AND(B30&lt;&gt;"",M30="",I30&lt;&gt;""),IF(L30&lt;&gt;"",L30,IF(H30="",0,H30)),0)</f>
        <v/>
      </c>
      <c r="T30" s="79">
        <f>IF(AND(B30&lt;&gt;"",M30="",I30&lt;&gt;""),1/I30,0)</f>
        <v/>
      </c>
      <c r="U30" s="112">
        <f>IF(AND(B30&lt;&gt;"",M30="",I30&lt;&gt;""),I30,"")</f>
        <v/>
      </c>
      <c r="V30" s="79">
        <f>IF(U30="","",IF(U30&lt;AsOf,1,IF(U30&lt;=AsOf+AlertDays,2,IF(U30&lt;=AsOf+2*AlertDays,3,""))))</f>
        <v/>
      </c>
      <c r="W30" s="79">
        <f>IF(V30="","",IF(O30="OVERDUE","Overdue payment: ","Payment due: ")&amp;B30&amp;" — "&amp;C30&amp;" ("&amp;CurSym&amp;" "&amp;FIXED(S30,0)&amp;")")</f>
        <v/>
      </c>
      <c r="Z30" s="116">
        <f>IF('Contractors'!B30="","",'Contractors'!B30)</f>
        <v/>
      </c>
      <c r="AA30" s="77">
        <f>IF(Z30="","",'Contractors'!K30)</f>
        <v/>
      </c>
      <c r="AB30" s="77">
        <f>IF(Z30="","",SUMIFS($L$6:$L$1005,$B$6:$B$1005,Z30))</f>
        <v/>
      </c>
      <c r="AC30" s="77">
        <f>IF(Z30="","",SUMIFS($N$6:$N$1005,$B$6:$B$1005,Z30))</f>
        <v/>
      </c>
      <c r="AD30" s="76">
        <f>IF(Z30="","",AA30-AC30)</f>
        <v/>
      </c>
      <c r="AE30" s="117">
        <f>IF(Z30="","",IFERROR(1/SUMPRODUCT(MAX(($B$6:$B$1005=Z30)*$T$6:$T$1005)),""))</f>
        <v/>
      </c>
      <c r="AF30" s="77">
        <f>IF(AE30="","",SUMIFS($S$6:$S$1005,$B$6:$B$1005,Z30,$I$6:$I$1005,AE30))</f>
        <v/>
      </c>
    </row>
    <row r="31" ht="20" customHeight="1">
      <c r="B31" s="72" t="inlineStr">
        <is>
          <t>Aqua Bath Studio</t>
        </is>
      </c>
      <c r="C31" s="72" t="inlineStr">
        <is>
          <t>Completion 80%</t>
        </is>
      </c>
      <c r="D31" s="72" t="n"/>
      <c r="E31" s="72" t="n"/>
      <c r="F31" s="110" t="n">
        <v>0.8</v>
      </c>
      <c r="G31" s="73" t="n"/>
      <c r="H31" s="75">
        <f>IF(B31="","",IF(G31&lt;&gt;"",G31,IF(F31&lt;&gt;"",F31*IFERROR(INDEX('Contractors'!$I$6:$I$1005,MATCH(B31,'Contractors'!$B$6:$B$1005,0)),0),"")))</f>
        <v/>
      </c>
      <c r="I31" s="109" t="n">
        <v>46234</v>
      </c>
      <c r="J31" s="72" t="n"/>
      <c r="K31" s="109" t="n"/>
      <c r="L31" s="73" t="n"/>
      <c r="M31" s="109" t="n"/>
      <c r="N31" s="73" t="n"/>
      <c r="O31" s="107">
        <f>IF(B31="","",IF(M31&lt;&gt;"","Paid",IF(AND(I31&lt;&gt;"",I31&lt;AsOf),"OVERDUE",IF(OR(K31&lt;&gt;"",L31&lt;&gt;""),"Invoiced","Scheduled"))))</f>
        <v/>
      </c>
      <c r="P31" s="115">
        <f>IF(B31="","",IF(E31&lt;&gt;"",E31,IFERROR(INDEX('Contractors'!$D$6:$D$1005,MATCH(B31,'Contractors'!$B$6:$B$1005,0)),"")))</f>
        <v/>
      </c>
      <c r="Q31" s="79">
        <f>IF(B31="","",IF(D31&lt;&gt;"",D31,IFERROR(INDEX('Contractors'!$E$6:$E$1005,MATCH(B31,'Contractors'!$B$6:$B$1005,0)),"")))</f>
        <v/>
      </c>
      <c r="R31" s="79">
        <f>IF(O31="","",IF(O31="OVERDUE",2,IF(O31="Paid",0,IF(AND(I31&lt;&gt;"",I31&lt;=AsOf+AlertDays),1,0))))</f>
        <v/>
      </c>
      <c r="S31" s="79">
        <f>IF(AND(B31&lt;&gt;"",M31="",I31&lt;&gt;""),IF(L31&lt;&gt;"",L31,IF(H31="",0,H31)),0)</f>
        <v/>
      </c>
      <c r="T31" s="79">
        <f>IF(AND(B31&lt;&gt;"",M31="",I31&lt;&gt;""),1/I31,0)</f>
        <v/>
      </c>
      <c r="U31" s="112">
        <f>IF(AND(B31&lt;&gt;"",M31="",I31&lt;&gt;""),I31,"")</f>
        <v/>
      </c>
      <c r="V31" s="79">
        <f>IF(U31="","",IF(U31&lt;AsOf,1,IF(U31&lt;=AsOf+AlertDays,2,IF(U31&lt;=AsOf+2*AlertDays,3,""))))</f>
        <v/>
      </c>
      <c r="W31" s="79">
        <f>IF(V31="","",IF(O31="OVERDUE","Overdue payment: ","Payment due: ")&amp;B31&amp;" — "&amp;C31&amp;" ("&amp;CurSym&amp;" "&amp;FIXED(S31,0)&amp;")")</f>
        <v/>
      </c>
      <c r="Z31" s="116">
        <f>IF('Contractors'!B31="","",'Contractors'!B31)</f>
        <v/>
      </c>
      <c r="AA31" s="77">
        <f>IF(Z31="","",'Contractors'!K31)</f>
        <v/>
      </c>
      <c r="AB31" s="77">
        <f>IF(Z31="","",SUMIFS($L$6:$L$1005,$B$6:$B$1005,Z31))</f>
        <v/>
      </c>
      <c r="AC31" s="77">
        <f>IF(Z31="","",SUMIFS($N$6:$N$1005,$B$6:$B$1005,Z31))</f>
        <v/>
      </c>
      <c r="AD31" s="76">
        <f>IF(Z31="","",AA31-AC31)</f>
        <v/>
      </c>
      <c r="AE31" s="117">
        <f>IF(Z31="","",IFERROR(1/SUMPRODUCT(MAX(($B$6:$B$1005=Z31)*$T$6:$T$1005)),""))</f>
        <v/>
      </c>
      <c r="AF31" s="77">
        <f>IF(AE31="","",SUMIFS($S$6:$S$1005,$B$6:$B$1005,Z31,$I$6:$I$1005,AE31))</f>
        <v/>
      </c>
    </row>
    <row r="32" ht="20" customHeight="1">
      <c r="B32" s="72" t="inlineStr">
        <is>
          <t>Bright Spark Electric</t>
        </is>
      </c>
      <c r="C32" s="72" t="inlineStr">
        <is>
          <t>Final 40%</t>
        </is>
      </c>
      <c r="D32" s="72" t="n"/>
      <c r="E32" s="72" t="n"/>
      <c r="F32" s="110" t="n">
        <v>0.4</v>
      </c>
      <c r="G32" s="73" t="n"/>
      <c r="H32" s="75">
        <f>IF(B32="","",IF(G32&lt;&gt;"",G32,IF(F32&lt;&gt;"",F32*IFERROR(INDEX('Contractors'!$I$6:$I$1005,MATCH(B32,'Contractors'!$B$6:$B$1005,0)),0),"")))</f>
        <v/>
      </c>
      <c r="I32" s="109" t="n">
        <v>46246</v>
      </c>
      <c r="J32" s="72" t="n"/>
      <c r="K32" s="109" t="n"/>
      <c r="L32" s="73" t="n"/>
      <c r="M32" s="109" t="n"/>
      <c r="N32" s="73" t="n"/>
      <c r="O32" s="107">
        <f>IF(B32="","",IF(M32&lt;&gt;"","Paid",IF(AND(I32&lt;&gt;"",I32&lt;AsOf),"OVERDUE",IF(OR(K32&lt;&gt;"",L32&lt;&gt;""),"Invoiced","Scheduled"))))</f>
        <v/>
      </c>
      <c r="P32" s="115">
        <f>IF(B32="","",IF(E32&lt;&gt;"",E32,IFERROR(INDEX('Contractors'!$D$6:$D$1005,MATCH(B32,'Contractors'!$B$6:$B$1005,0)),"")))</f>
        <v/>
      </c>
      <c r="Q32" s="79">
        <f>IF(B32="","",IF(D32&lt;&gt;"",D32,IFERROR(INDEX('Contractors'!$E$6:$E$1005,MATCH(B32,'Contractors'!$B$6:$B$1005,0)),"")))</f>
        <v/>
      </c>
      <c r="R32" s="79">
        <f>IF(O32="","",IF(O32="OVERDUE",2,IF(O32="Paid",0,IF(AND(I32&lt;&gt;"",I32&lt;=AsOf+AlertDays),1,0))))</f>
        <v/>
      </c>
      <c r="S32" s="79">
        <f>IF(AND(B32&lt;&gt;"",M32="",I32&lt;&gt;""),IF(L32&lt;&gt;"",L32,IF(H32="",0,H32)),0)</f>
        <v/>
      </c>
      <c r="T32" s="79">
        <f>IF(AND(B32&lt;&gt;"",M32="",I32&lt;&gt;""),1/I32,0)</f>
        <v/>
      </c>
      <c r="U32" s="112">
        <f>IF(AND(B32&lt;&gt;"",M32="",I32&lt;&gt;""),I32,"")</f>
        <v/>
      </c>
      <c r="V32" s="79">
        <f>IF(U32="","",IF(U32&lt;AsOf,1,IF(U32&lt;=AsOf+AlertDays,2,IF(U32&lt;=AsOf+2*AlertDays,3,""))))</f>
        <v/>
      </c>
      <c r="W32" s="79">
        <f>IF(V32="","",IF(O32="OVERDUE","Overdue payment: ","Payment due: ")&amp;B32&amp;" — "&amp;C32&amp;" ("&amp;CurSym&amp;" "&amp;FIXED(S32,0)&amp;")")</f>
        <v/>
      </c>
      <c r="Z32" s="116">
        <f>IF('Contractors'!B32="","",'Contractors'!B32)</f>
        <v/>
      </c>
      <c r="AA32" s="77">
        <f>IF(Z32="","",'Contractors'!K32)</f>
        <v/>
      </c>
      <c r="AB32" s="77">
        <f>IF(Z32="","",SUMIFS($L$6:$L$1005,$B$6:$B$1005,Z32))</f>
        <v/>
      </c>
      <c r="AC32" s="77">
        <f>IF(Z32="","",SUMIFS($N$6:$N$1005,$B$6:$B$1005,Z32))</f>
        <v/>
      </c>
      <c r="AD32" s="76">
        <f>IF(Z32="","",AA32-AC32)</f>
        <v/>
      </c>
      <c r="AE32" s="117">
        <f>IF(Z32="","",IFERROR(1/SUMPRODUCT(MAX(($B$6:$B$1005=Z32)*$T$6:$T$1005)),""))</f>
        <v/>
      </c>
      <c r="AF32" s="77">
        <f>IF(AE32="","",SUMIFS($S$6:$S$1005,$B$6:$B$1005,Z32,$I$6:$I$1005,AE32))</f>
        <v/>
      </c>
    </row>
    <row r="33" ht="20" customHeight="1">
      <c r="B33" s="72" t="inlineStr">
        <is>
          <t>GreenPlan Architects</t>
        </is>
      </c>
      <c r="C33" s="72" t="inlineStr">
        <is>
          <t>Final sign-off 25%</t>
        </is>
      </c>
      <c r="D33" s="72" t="n"/>
      <c r="E33" s="72" t="n"/>
      <c r="F33" s="110" t="n">
        <v>0.25</v>
      </c>
      <c r="G33" s="73" t="n"/>
      <c r="H33" s="75">
        <f>IF(B33="","",IF(G33&lt;&gt;"",G33,IF(F33&lt;&gt;"",F33*IFERROR(INDEX('Contractors'!$I$6:$I$1005,MATCH(B33,'Contractors'!$B$6:$B$1005,0)),0),"")))</f>
        <v/>
      </c>
      <c r="I33" s="109" t="n">
        <v>46254</v>
      </c>
      <c r="J33" s="72" t="n"/>
      <c r="K33" s="109" t="n"/>
      <c r="L33" s="73" t="n"/>
      <c r="M33" s="109" t="n"/>
      <c r="N33" s="73" t="n"/>
      <c r="O33" s="107">
        <f>IF(B33="","",IF(M33&lt;&gt;"","Paid",IF(AND(I33&lt;&gt;"",I33&lt;AsOf),"OVERDUE",IF(OR(K33&lt;&gt;"",L33&lt;&gt;""),"Invoiced","Scheduled"))))</f>
        <v/>
      </c>
      <c r="P33" s="115">
        <f>IF(B33="","",IF(E33&lt;&gt;"",E33,IFERROR(INDEX('Contractors'!$D$6:$D$1005,MATCH(B33,'Contractors'!$B$6:$B$1005,0)),"")))</f>
        <v/>
      </c>
      <c r="Q33" s="79">
        <f>IF(B33="","",IF(D33&lt;&gt;"",D33,IFERROR(INDEX('Contractors'!$E$6:$E$1005,MATCH(B33,'Contractors'!$B$6:$B$1005,0)),"")))</f>
        <v/>
      </c>
      <c r="R33" s="79">
        <f>IF(O33="","",IF(O33="OVERDUE",2,IF(O33="Paid",0,IF(AND(I33&lt;&gt;"",I33&lt;=AsOf+AlertDays),1,0))))</f>
        <v/>
      </c>
      <c r="S33" s="79">
        <f>IF(AND(B33&lt;&gt;"",M33="",I33&lt;&gt;""),IF(L33&lt;&gt;"",L33,IF(H33="",0,H33)),0)</f>
        <v/>
      </c>
      <c r="T33" s="79">
        <f>IF(AND(B33&lt;&gt;"",M33="",I33&lt;&gt;""),1/I33,0)</f>
        <v/>
      </c>
      <c r="U33" s="112">
        <f>IF(AND(B33&lt;&gt;"",M33="",I33&lt;&gt;""),I33,"")</f>
        <v/>
      </c>
      <c r="V33" s="79">
        <f>IF(U33="","",IF(U33&lt;AsOf,1,IF(U33&lt;=AsOf+AlertDays,2,IF(U33&lt;=AsOf+2*AlertDays,3,""))))</f>
        <v/>
      </c>
      <c r="W33" s="79">
        <f>IF(V33="","",IF(O33="OVERDUE","Overdue payment: ","Payment due: ")&amp;B33&amp;" — "&amp;C33&amp;" ("&amp;CurSym&amp;" "&amp;FIXED(S33,0)&amp;")")</f>
        <v/>
      </c>
      <c r="Z33" s="116">
        <f>IF('Contractors'!B33="","",'Contractors'!B33)</f>
        <v/>
      </c>
      <c r="AA33" s="77">
        <f>IF(Z33="","",'Contractors'!K33)</f>
        <v/>
      </c>
      <c r="AB33" s="77">
        <f>IF(Z33="","",SUMIFS($L$6:$L$1005,$B$6:$B$1005,Z33))</f>
        <v/>
      </c>
      <c r="AC33" s="77">
        <f>IF(Z33="","",SUMIFS($N$6:$N$1005,$B$6:$B$1005,Z33))</f>
        <v/>
      </c>
      <c r="AD33" s="76">
        <f>IF(Z33="","",AA33-AC33)</f>
        <v/>
      </c>
      <c r="AE33" s="117">
        <f>IF(Z33="","",IFERROR(1/SUMPRODUCT(MAX(($B$6:$B$1005=Z33)*$T$6:$T$1005)),""))</f>
        <v/>
      </c>
      <c r="AF33" s="77">
        <f>IF(AE33="","",SUMIFS($S$6:$S$1005,$B$6:$B$1005,Z33,$I$6:$I$1005,AE33))</f>
        <v/>
      </c>
    </row>
    <row r="34" ht="20" customHeight="1">
      <c r="B34" s="72" t="n"/>
      <c r="C34" s="72" t="n"/>
      <c r="D34" s="72" t="n"/>
      <c r="E34" s="72" t="n"/>
      <c r="F34" s="110" t="n"/>
      <c r="G34" s="73" t="n"/>
      <c r="H34" s="75">
        <f>IF(B34="","",IF(G34&lt;&gt;"",G34,IF(F34&lt;&gt;"",F34*IFERROR(INDEX('Contractors'!$I$6:$I$1005,MATCH(B34,'Contractors'!$B$6:$B$1005,0)),0),"")))</f>
        <v/>
      </c>
      <c r="I34" s="109" t="n"/>
      <c r="J34" s="72" t="n"/>
      <c r="K34" s="109" t="n"/>
      <c r="L34" s="73" t="n"/>
      <c r="M34" s="109" t="n"/>
      <c r="N34" s="73" t="n"/>
      <c r="O34" s="107">
        <f>IF(B34="","",IF(M34&lt;&gt;"","Paid",IF(AND(I34&lt;&gt;"",I34&lt;AsOf),"OVERDUE",IF(OR(K34&lt;&gt;"",L34&lt;&gt;""),"Invoiced","Scheduled"))))</f>
        <v/>
      </c>
      <c r="P34" s="115">
        <f>IF(B34="","",IF(E34&lt;&gt;"",E34,IFERROR(INDEX('Contractors'!$D$6:$D$1005,MATCH(B34,'Contractors'!$B$6:$B$1005,0)),"")))</f>
        <v/>
      </c>
      <c r="Q34" s="79">
        <f>IF(B34="","",IF(D34&lt;&gt;"",D34,IFERROR(INDEX('Contractors'!$E$6:$E$1005,MATCH(B34,'Contractors'!$B$6:$B$1005,0)),"")))</f>
        <v/>
      </c>
      <c r="R34" s="79">
        <f>IF(O34="","",IF(O34="OVERDUE",2,IF(O34="Paid",0,IF(AND(I34&lt;&gt;"",I34&lt;=AsOf+AlertDays),1,0))))</f>
        <v/>
      </c>
      <c r="S34" s="79">
        <f>IF(AND(B34&lt;&gt;"",M34="",I34&lt;&gt;""),IF(L34&lt;&gt;"",L34,IF(H34="",0,H34)),0)</f>
        <v/>
      </c>
      <c r="T34" s="79">
        <f>IF(AND(B34&lt;&gt;"",M34="",I34&lt;&gt;""),1/I34,0)</f>
        <v/>
      </c>
      <c r="U34" s="112">
        <f>IF(AND(B34&lt;&gt;"",M34="",I34&lt;&gt;""),I34,"")</f>
        <v/>
      </c>
      <c r="V34" s="79">
        <f>IF(U34="","",IF(U34&lt;AsOf,1,IF(U34&lt;=AsOf+AlertDays,2,IF(U34&lt;=AsOf+2*AlertDays,3,""))))</f>
        <v/>
      </c>
      <c r="W34" s="79">
        <f>IF(V34="","",IF(O34="OVERDUE","Overdue payment: ","Payment due: ")&amp;B34&amp;" — "&amp;C34&amp;" ("&amp;CurSym&amp;" "&amp;FIXED(S34,0)&amp;")")</f>
        <v/>
      </c>
      <c r="Z34" s="116">
        <f>IF('Contractors'!B34="","",'Contractors'!B34)</f>
        <v/>
      </c>
      <c r="AA34" s="77">
        <f>IF(Z34="","",'Contractors'!K34)</f>
        <v/>
      </c>
      <c r="AB34" s="77">
        <f>IF(Z34="","",SUMIFS($L$6:$L$1005,$B$6:$B$1005,Z34))</f>
        <v/>
      </c>
      <c r="AC34" s="77">
        <f>IF(Z34="","",SUMIFS($N$6:$N$1005,$B$6:$B$1005,Z34))</f>
        <v/>
      </c>
      <c r="AD34" s="76">
        <f>IF(Z34="","",AA34-AC34)</f>
        <v/>
      </c>
      <c r="AE34" s="117">
        <f>IF(Z34="","",IFERROR(1/SUMPRODUCT(MAX(($B$6:$B$1005=Z34)*$T$6:$T$1005)),""))</f>
        <v/>
      </c>
      <c r="AF34" s="77">
        <f>IF(AE34="","",SUMIFS($S$6:$S$1005,$B$6:$B$1005,Z34,$I$6:$I$1005,AE34))</f>
        <v/>
      </c>
    </row>
    <row r="35" ht="20" customHeight="1">
      <c r="B35" s="72" t="n"/>
      <c r="C35" s="72" t="n"/>
      <c r="D35" s="72" t="n"/>
      <c r="E35" s="72" t="n"/>
      <c r="F35" s="110" t="n"/>
      <c r="G35" s="73" t="n"/>
      <c r="H35" s="75">
        <f>IF(B35="","",IF(G35&lt;&gt;"",G35,IF(F35&lt;&gt;"",F35*IFERROR(INDEX('Contractors'!$I$6:$I$1005,MATCH(B35,'Contractors'!$B$6:$B$1005,0)),0),"")))</f>
        <v/>
      </c>
      <c r="I35" s="109" t="n"/>
      <c r="J35" s="72" t="n"/>
      <c r="K35" s="109" t="n"/>
      <c r="L35" s="73" t="n"/>
      <c r="M35" s="109" t="n"/>
      <c r="N35" s="73" t="n"/>
      <c r="O35" s="107">
        <f>IF(B35="","",IF(M35&lt;&gt;"","Paid",IF(AND(I35&lt;&gt;"",I35&lt;AsOf),"OVERDUE",IF(OR(K35&lt;&gt;"",L35&lt;&gt;""),"Invoiced","Scheduled"))))</f>
        <v/>
      </c>
      <c r="P35" s="115">
        <f>IF(B35="","",IF(E35&lt;&gt;"",E35,IFERROR(INDEX('Contractors'!$D$6:$D$1005,MATCH(B35,'Contractors'!$B$6:$B$1005,0)),"")))</f>
        <v/>
      </c>
      <c r="Q35" s="79">
        <f>IF(B35="","",IF(D35&lt;&gt;"",D35,IFERROR(INDEX('Contractors'!$E$6:$E$1005,MATCH(B35,'Contractors'!$B$6:$B$1005,0)),"")))</f>
        <v/>
      </c>
      <c r="R35" s="79">
        <f>IF(O35="","",IF(O35="OVERDUE",2,IF(O35="Paid",0,IF(AND(I35&lt;&gt;"",I35&lt;=AsOf+AlertDays),1,0))))</f>
        <v/>
      </c>
      <c r="S35" s="79">
        <f>IF(AND(B35&lt;&gt;"",M35="",I35&lt;&gt;""),IF(L35&lt;&gt;"",L35,IF(H35="",0,H35)),0)</f>
        <v/>
      </c>
      <c r="T35" s="79">
        <f>IF(AND(B35&lt;&gt;"",M35="",I35&lt;&gt;""),1/I35,0)</f>
        <v/>
      </c>
      <c r="U35" s="112">
        <f>IF(AND(B35&lt;&gt;"",M35="",I35&lt;&gt;""),I35,"")</f>
        <v/>
      </c>
      <c r="V35" s="79">
        <f>IF(U35="","",IF(U35&lt;AsOf,1,IF(U35&lt;=AsOf+AlertDays,2,IF(U35&lt;=AsOf+2*AlertDays,3,""))))</f>
        <v/>
      </c>
      <c r="W35" s="79">
        <f>IF(V35="","",IF(O35="OVERDUE","Overdue payment: ","Payment due: ")&amp;B35&amp;" — "&amp;C35&amp;" ("&amp;CurSym&amp;" "&amp;FIXED(S35,0)&amp;")")</f>
        <v/>
      </c>
      <c r="Z35" s="116">
        <f>IF('Contractors'!B35="","",'Contractors'!B35)</f>
        <v/>
      </c>
      <c r="AA35" s="77">
        <f>IF(Z35="","",'Contractors'!K35)</f>
        <v/>
      </c>
      <c r="AB35" s="77">
        <f>IF(Z35="","",SUMIFS($L$6:$L$1005,$B$6:$B$1005,Z35))</f>
        <v/>
      </c>
      <c r="AC35" s="77">
        <f>IF(Z35="","",SUMIFS($N$6:$N$1005,$B$6:$B$1005,Z35))</f>
        <v/>
      </c>
      <c r="AD35" s="76">
        <f>IF(Z35="","",AA35-AC35)</f>
        <v/>
      </c>
      <c r="AE35" s="117">
        <f>IF(Z35="","",IFERROR(1/SUMPRODUCT(MAX(($B$6:$B$1005=Z35)*$T$6:$T$1005)),""))</f>
        <v/>
      </c>
      <c r="AF35" s="77">
        <f>IF(AE35="","",SUMIFS($S$6:$S$1005,$B$6:$B$1005,Z35,$I$6:$I$1005,AE35))</f>
        <v/>
      </c>
    </row>
    <row r="36" ht="20" customHeight="1">
      <c r="B36" s="72" t="n"/>
      <c r="C36" s="72" t="n"/>
      <c r="D36" s="72" t="n"/>
      <c r="E36" s="72" t="n"/>
      <c r="F36" s="110" t="n"/>
      <c r="G36" s="73" t="n"/>
      <c r="H36" s="75">
        <f>IF(B36="","",IF(G36&lt;&gt;"",G36,IF(F36&lt;&gt;"",F36*IFERROR(INDEX('Contractors'!$I$6:$I$1005,MATCH(B36,'Contractors'!$B$6:$B$1005,0)),0),"")))</f>
        <v/>
      </c>
      <c r="I36" s="109" t="n"/>
      <c r="J36" s="72" t="n"/>
      <c r="K36" s="109" t="n"/>
      <c r="L36" s="73" t="n"/>
      <c r="M36" s="109" t="n"/>
      <c r="N36" s="73" t="n"/>
      <c r="O36" s="107">
        <f>IF(B36="","",IF(M36&lt;&gt;"","Paid",IF(AND(I36&lt;&gt;"",I36&lt;AsOf),"OVERDUE",IF(OR(K36&lt;&gt;"",L36&lt;&gt;""),"Invoiced","Scheduled"))))</f>
        <v/>
      </c>
      <c r="P36" s="115">
        <f>IF(B36="","",IF(E36&lt;&gt;"",E36,IFERROR(INDEX('Contractors'!$D$6:$D$1005,MATCH(B36,'Contractors'!$B$6:$B$1005,0)),"")))</f>
        <v/>
      </c>
      <c r="Q36" s="79">
        <f>IF(B36="","",IF(D36&lt;&gt;"",D36,IFERROR(INDEX('Contractors'!$E$6:$E$1005,MATCH(B36,'Contractors'!$B$6:$B$1005,0)),"")))</f>
        <v/>
      </c>
      <c r="R36" s="79">
        <f>IF(O36="","",IF(O36="OVERDUE",2,IF(O36="Paid",0,IF(AND(I36&lt;&gt;"",I36&lt;=AsOf+AlertDays),1,0))))</f>
        <v/>
      </c>
      <c r="S36" s="79">
        <f>IF(AND(B36&lt;&gt;"",M36="",I36&lt;&gt;""),IF(L36&lt;&gt;"",L36,IF(H36="",0,H36)),0)</f>
        <v/>
      </c>
      <c r="T36" s="79">
        <f>IF(AND(B36&lt;&gt;"",M36="",I36&lt;&gt;""),1/I36,0)</f>
        <v/>
      </c>
      <c r="U36" s="112">
        <f>IF(AND(B36&lt;&gt;"",M36="",I36&lt;&gt;""),I36,"")</f>
        <v/>
      </c>
      <c r="V36" s="79">
        <f>IF(U36="","",IF(U36&lt;AsOf,1,IF(U36&lt;=AsOf+AlertDays,2,IF(U36&lt;=AsOf+2*AlertDays,3,""))))</f>
        <v/>
      </c>
      <c r="W36" s="79">
        <f>IF(V36="","",IF(O36="OVERDUE","Overdue payment: ","Payment due: ")&amp;B36&amp;" — "&amp;C36&amp;" ("&amp;CurSym&amp;" "&amp;FIXED(S36,0)&amp;")")</f>
        <v/>
      </c>
      <c r="Z36" s="116">
        <f>IF('Contractors'!B36="","",'Contractors'!B36)</f>
        <v/>
      </c>
      <c r="AA36" s="77">
        <f>IF(Z36="","",'Contractors'!K36)</f>
        <v/>
      </c>
      <c r="AB36" s="77">
        <f>IF(Z36="","",SUMIFS($L$6:$L$1005,$B$6:$B$1005,Z36))</f>
        <v/>
      </c>
      <c r="AC36" s="77">
        <f>IF(Z36="","",SUMIFS($N$6:$N$1005,$B$6:$B$1005,Z36))</f>
        <v/>
      </c>
      <c r="AD36" s="76">
        <f>IF(Z36="","",AA36-AC36)</f>
        <v/>
      </c>
      <c r="AE36" s="117">
        <f>IF(Z36="","",IFERROR(1/SUMPRODUCT(MAX(($B$6:$B$1005=Z36)*$T$6:$T$1005)),""))</f>
        <v/>
      </c>
      <c r="AF36" s="77">
        <f>IF(AE36="","",SUMIFS($S$6:$S$1005,$B$6:$B$1005,Z36,$I$6:$I$1005,AE36))</f>
        <v/>
      </c>
    </row>
    <row r="37" ht="20" customHeight="1">
      <c r="B37" s="72" t="n"/>
      <c r="C37" s="72" t="n"/>
      <c r="D37" s="72" t="n"/>
      <c r="E37" s="72" t="n"/>
      <c r="F37" s="110" t="n"/>
      <c r="G37" s="73" t="n"/>
      <c r="H37" s="75">
        <f>IF(B37="","",IF(G37&lt;&gt;"",G37,IF(F37&lt;&gt;"",F37*IFERROR(INDEX('Contractors'!$I$6:$I$1005,MATCH(B37,'Contractors'!$B$6:$B$1005,0)),0),"")))</f>
        <v/>
      </c>
      <c r="I37" s="109" t="n"/>
      <c r="J37" s="72" t="n"/>
      <c r="K37" s="109" t="n"/>
      <c r="L37" s="73" t="n"/>
      <c r="M37" s="109" t="n"/>
      <c r="N37" s="73" t="n"/>
      <c r="O37" s="107">
        <f>IF(B37="","",IF(M37&lt;&gt;"","Paid",IF(AND(I37&lt;&gt;"",I37&lt;AsOf),"OVERDUE",IF(OR(K37&lt;&gt;"",L37&lt;&gt;""),"Invoiced","Scheduled"))))</f>
        <v/>
      </c>
      <c r="P37" s="115">
        <f>IF(B37="","",IF(E37&lt;&gt;"",E37,IFERROR(INDEX('Contractors'!$D$6:$D$1005,MATCH(B37,'Contractors'!$B$6:$B$1005,0)),"")))</f>
        <v/>
      </c>
      <c r="Q37" s="79">
        <f>IF(B37="","",IF(D37&lt;&gt;"",D37,IFERROR(INDEX('Contractors'!$E$6:$E$1005,MATCH(B37,'Contractors'!$B$6:$B$1005,0)),"")))</f>
        <v/>
      </c>
      <c r="R37" s="79">
        <f>IF(O37="","",IF(O37="OVERDUE",2,IF(O37="Paid",0,IF(AND(I37&lt;&gt;"",I37&lt;=AsOf+AlertDays),1,0))))</f>
        <v/>
      </c>
      <c r="S37" s="79">
        <f>IF(AND(B37&lt;&gt;"",M37="",I37&lt;&gt;""),IF(L37&lt;&gt;"",L37,IF(H37="",0,H37)),0)</f>
        <v/>
      </c>
      <c r="T37" s="79">
        <f>IF(AND(B37&lt;&gt;"",M37="",I37&lt;&gt;""),1/I37,0)</f>
        <v/>
      </c>
      <c r="U37" s="112">
        <f>IF(AND(B37&lt;&gt;"",M37="",I37&lt;&gt;""),I37,"")</f>
        <v/>
      </c>
      <c r="V37" s="79">
        <f>IF(U37="","",IF(U37&lt;AsOf,1,IF(U37&lt;=AsOf+AlertDays,2,IF(U37&lt;=AsOf+2*AlertDays,3,""))))</f>
        <v/>
      </c>
      <c r="W37" s="79">
        <f>IF(V37="","",IF(O37="OVERDUE","Overdue payment: ","Payment due: ")&amp;B37&amp;" — "&amp;C37&amp;" ("&amp;CurSym&amp;" "&amp;FIXED(S37,0)&amp;")")</f>
        <v/>
      </c>
      <c r="Z37" s="116">
        <f>IF('Contractors'!B37="","",'Contractors'!B37)</f>
        <v/>
      </c>
      <c r="AA37" s="77">
        <f>IF(Z37="","",'Contractors'!K37)</f>
        <v/>
      </c>
      <c r="AB37" s="77">
        <f>IF(Z37="","",SUMIFS($L$6:$L$1005,$B$6:$B$1005,Z37))</f>
        <v/>
      </c>
      <c r="AC37" s="77">
        <f>IF(Z37="","",SUMIFS($N$6:$N$1005,$B$6:$B$1005,Z37))</f>
        <v/>
      </c>
      <c r="AD37" s="76">
        <f>IF(Z37="","",AA37-AC37)</f>
        <v/>
      </c>
      <c r="AE37" s="117">
        <f>IF(Z37="","",IFERROR(1/SUMPRODUCT(MAX(($B$6:$B$1005=Z37)*$T$6:$T$1005)),""))</f>
        <v/>
      </c>
      <c r="AF37" s="77">
        <f>IF(AE37="","",SUMIFS($S$6:$S$1005,$B$6:$B$1005,Z37,$I$6:$I$1005,AE37))</f>
        <v/>
      </c>
    </row>
    <row r="38" ht="20" customHeight="1">
      <c r="B38" s="72" t="n"/>
      <c r="C38" s="72" t="n"/>
      <c r="D38" s="72" t="n"/>
      <c r="E38" s="72" t="n"/>
      <c r="F38" s="110" t="n"/>
      <c r="G38" s="73" t="n"/>
      <c r="H38" s="75">
        <f>IF(B38="","",IF(G38&lt;&gt;"",G38,IF(F38&lt;&gt;"",F38*IFERROR(INDEX('Contractors'!$I$6:$I$1005,MATCH(B38,'Contractors'!$B$6:$B$1005,0)),0),"")))</f>
        <v/>
      </c>
      <c r="I38" s="109" t="n"/>
      <c r="J38" s="72" t="n"/>
      <c r="K38" s="109" t="n"/>
      <c r="L38" s="73" t="n"/>
      <c r="M38" s="109" t="n"/>
      <c r="N38" s="73" t="n"/>
      <c r="O38" s="107">
        <f>IF(B38="","",IF(M38&lt;&gt;"","Paid",IF(AND(I38&lt;&gt;"",I38&lt;AsOf),"OVERDUE",IF(OR(K38&lt;&gt;"",L38&lt;&gt;""),"Invoiced","Scheduled"))))</f>
        <v/>
      </c>
      <c r="P38" s="115">
        <f>IF(B38="","",IF(E38&lt;&gt;"",E38,IFERROR(INDEX('Contractors'!$D$6:$D$1005,MATCH(B38,'Contractors'!$B$6:$B$1005,0)),"")))</f>
        <v/>
      </c>
      <c r="Q38" s="79">
        <f>IF(B38="","",IF(D38&lt;&gt;"",D38,IFERROR(INDEX('Contractors'!$E$6:$E$1005,MATCH(B38,'Contractors'!$B$6:$B$1005,0)),"")))</f>
        <v/>
      </c>
      <c r="R38" s="79">
        <f>IF(O38="","",IF(O38="OVERDUE",2,IF(O38="Paid",0,IF(AND(I38&lt;&gt;"",I38&lt;=AsOf+AlertDays),1,0))))</f>
        <v/>
      </c>
      <c r="S38" s="79">
        <f>IF(AND(B38&lt;&gt;"",M38="",I38&lt;&gt;""),IF(L38&lt;&gt;"",L38,IF(H38="",0,H38)),0)</f>
        <v/>
      </c>
      <c r="T38" s="79">
        <f>IF(AND(B38&lt;&gt;"",M38="",I38&lt;&gt;""),1/I38,0)</f>
        <v/>
      </c>
      <c r="U38" s="112">
        <f>IF(AND(B38&lt;&gt;"",M38="",I38&lt;&gt;""),I38,"")</f>
        <v/>
      </c>
      <c r="V38" s="79">
        <f>IF(U38="","",IF(U38&lt;AsOf,1,IF(U38&lt;=AsOf+AlertDays,2,IF(U38&lt;=AsOf+2*AlertDays,3,""))))</f>
        <v/>
      </c>
      <c r="W38" s="79">
        <f>IF(V38="","",IF(O38="OVERDUE","Overdue payment: ","Payment due: ")&amp;B38&amp;" — "&amp;C38&amp;" ("&amp;CurSym&amp;" "&amp;FIXED(S38,0)&amp;")")</f>
        <v/>
      </c>
      <c r="Z38" s="116">
        <f>IF('Contractors'!B38="","",'Contractors'!B38)</f>
        <v/>
      </c>
      <c r="AA38" s="77">
        <f>IF(Z38="","",'Contractors'!K38)</f>
        <v/>
      </c>
      <c r="AB38" s="77">
        <f>IF(Z38="","",SUMIFS($L$6:$L$1005,$B$6:$B$1005,Z38))</f>
        <v/>
      </c>
      <c r="AC38" s="77">
        <f>IF(Z38="","",SUMIFS($N$6:$N$1005,$B$6:$B$1005,Z38))</f>
        <v/>
      </c>
      <c r="AD38" s="76">
        <f>IF(Z38="","",AA38-AC38)</f>
        <v/>
      </c>
      <c r="AE38" s="117">
        <f>IF(Z38="","",IFERROR(1/SUMPRODUCT(MAX(($B$6:$B$1005=Z38)*$T$6:$T$1005)),""))</f>
        <v/>
      </c>
      <c r="AF38" s="77">
        <f>IF(AE38="","",SUMIFS($S$6:$S$1005,$B$6:$B$1005,Z38,$I$6:$I$1005,AE38))</f>
        <v/>
      </c>
    </row>
    <row r="39" ht="20" customHeight="1">
      <c r="B39" s="72" t="n"/>
      <c r="C39" s="72" t="n"/>
      <c r="D39" s="72" t="n"/>
      <c r="E39" s="72" t="n"/>
      <c r="F39" s="110" t="n"/>
      <c r="G39" s="73" t="n"/>
      <c r="H39" s="75">
        <f>IF(B39="","",IF(G39&lt;&gt;"",G39,IF(F39&lt;&gt;"",F39*IFERROR(INDEX('Contractors'!$I$6:$I$1005,MATCH(B39,'Contractors'!$B$6:$B$1005,0)),0),"")))</f>
        <v/>
      </c>
      <c r="I39" s="109" t="n"/>
      <c r="J39" s="72" t="n"/>
      <c r="K39" s="109" t="n"/>
      <c r="L39" s="73" t="n"/>
      <c r="M39" s="109" t="n"/>
      <c r="N39" s="73" t="n"/>
      <c r="O39" s="107">
        <f>IF(B39="","",IF(M39&lt;&gt;"","Paid",IF(AND(I39&lt;&gt;"",I39&lt;AsOf),"OVERDUE",IF(OR(K39&lt;&gt;"",L39&lt;&gt;""),"Invoiced","Scheduled"))))</f>
        <v/>
      </c>
      <c r="P39" s="115">
        <f>IF(B39="","",IF(E39&lt;&gt;"",E39,IFERROR(INDEX('Contractors'!$D$6:$D$1005,MATCH(B39,'Contractors'!$B$6:$B$1005,0)),"")))</f>
        <v/>
      </c>
      <c r="Q39" s="79">
        <f>IF(B39="","",IF(D39&lt;&gt;"",D39,IFERROR(INDEX('Contractors'!$E$6:$E$1005,MATCH(B39,'Contractors'!$B$6:$B$1005,0)),"")))</f>
        <v/>
      </c>
      <c r="R39" s="79">
        <f>IF(O39="","",IF(O39="OVERDUE",2,IF(O39="Paid",0,IF(AND(I39&lt;&gt;"",I39&lt;=AsOf+AlertDays),1,0))))</f>
        <v/>
      </c>
      <c r="S39" s="79">
        <f>IF(AND(B39&lt;&gt;"",M39="",I39&lt;&gt;""),IF(L39&lt;&gt;"",L39,IF(H39="",0,H39)),0)</f>
        <v/>
      </c>
      <c r="T39" s="79">
        <f>IF(AND(B39&lt;&gt;"",M39="",I39&lt;&gt;""),1/I39,0)</f>
        <v/>
      </c>
      <c r="U39" s="112">
        <f>IF(AND(B39&lt;&gt;"",M39="",I39&lt;&gt;""),I39,"")</f>
        <v/>
      </c>
      <c r="V39" s="79">
        <f>IF(U39="","",IF(U39&lt;AsOf,1,IF(U39&lt;=AsOf+AlertDays,2,IF(U39&lt;=AsOf+2*AlertDays,3,""))))</f>
        <v/>
      </c>
      <c r="W39" s="79">
        <f>IF(V39="","",IF(O39="OVERDUE","Overdue payment: ","Payment due: ")&amp;B39&amp;" — "&amp;C39&amp;" ("&amp;CurSym&amp;" "&amp;FIXED(S39,0)&amp;")")</f>
        <v/>
      </c>
      <c r="Z39" s="116">
        <f>IF('Contractors'!B39="","",'Contractors'!B39)</f>
        <v/>
      </c>
      <c r="AA39" s="77">
        <f>IF(Z39="","",'Contractors'!K39)</f>
        <v/>
      </c>
      <c r="AB39" s="77">
        <f>IF(Z39="","",SUMIFS($L$6:$L$1005,$B$6:$B$1005,Z39))</f>
        <v/>
      </c>
      <c r="AC39" s="77">
        <f>IF(Z39="","",SUMIFS($N$6:$N$1005,$B$6:$B$1005,Z39))</f>
        <v/>
      </c>
      <c r="AD39" s="76">
        <f>IF(Z39="","",AA39-AC39)</f>
        <v/>
      </c>
      <c r="AE39" s="117">
        <f>IF(Z39="","",IFERROR(1/SUMPRODUCT(MAX(($B$6:$B$1005=Z39)*$T$6:$T$1005)),""))</f>
        <v/>
      </c>
      <c r="AF39" s="77">
        <f>IF(AE39="","",SUMIFS($S$6:$S$1005,$B$6:$B$1005,Z39,$I$6:$I$1005,AE39))</f>
        <v/>
      </c>
    </row>
    <row r="40" ht="20" customHeight="1">
      <c r="B40" s="72" t="n"/>
      <c r="C40" s="72" t="n"/>
      <c r="D40" s="72" t="n"/>
      <c r="E40" s="72" t="n"/>
      <c r="F40" s="110" t="n"/>
      <c r="G40" s="73" t="n"/>
      <c r="H40" s="75">
        <f>IF(B40="","",IF(G40&lt;&gt;"",G40,IF(F40&lt;&gt;"",F40*IFERROR(INDEX('Contractors'!$I$6:$I$1005,MATCH(B40,'Contractors'!$B$6:$B$1005,0)),0),"")))</f>
        <v/>
      </c>
      <c r="I40" s="109" t="n"/>
      <c r="J40" s="72" t="n"/>
      <c r="K40" s="109" t="n"/>
      <c r="L40" s="73" t="n"/>
      <c r="M40" s="109" t="n"/>
      <c r="N40" s="73" t="n"/>
      <c r="O40" s="107">
        <f>IF(B40="","",IF(M40&lt;&gt;"","Paid",IF(AND(I40&lt;&gt;"",I40&lt;AsOf),"OVERDUE",IF(OR(K40&lt;&gt;"",L40&lt;&gt;""),"Invoiced","Scheduled"))))</f>
        <v/>
      </c>
      <c r="P40" s="115">
        <f>IF(B40="","",IF(E40&lt;&gt;"",E40,IFERROR(INDEX('Contractors'!$D$6:$D$1005,MATCH(B40,'Contractors'!$B$6:$B$1005,0)),"")))</f>
        <v/>
      </c>
      <c r="Q40" s="79">
        <f>IF(B40="","",IF(D40&lt;&gt;"",D40,IFERROR(INDEX('Contractors'!$E$6:$E$1005,MATCH(B40,'Contractors'!$B$6:$B$1005,0)),"")))</f>
        <v/>
      </c>
      <c r="R40" s="79">
        <f>IF(O40="","",IF(O40="OVERDUE",2,IF(O40="Paid",0,IF(AND(I40&lt;&gt;"",I40&lt;=AsOf+AlertDays),1,0))))</f>
        <v/>
      </c>
      <c r="S40" s="79">
        <f>IF(AND(B40&lt;&gt;"",M40="",I40&lt;&gt;""),IF(L40&lt;&gt;"",L40,IF(H40="",0,H40)),0)</f>
        <v/>
      </c>
      <c r="T40" s="79">
        <f>IF(AND(B40&lt;&gt;"",M40="",I40&lt;&gt;""),1/I40,0)</f>
        <v/>
      </c>
      <c r="U40" s="112">
        <f>IF(AND(B40&lt;&gt;"",M40="",I40&lt;&gt;""),I40,"")</f>
        <v/>
      </c>
      <c r="V40" s="79">
        <f>IF(U40="","",IF(U40&lt;AsOf,1,IF(U40&lt;=AsOf+AlertDays,2,IF(U40&lt;=AsOf+2*AlertDays,3,""))))</f>
        <v/>
      </c>
      <c r="W40" s="79">
        <f>IF(V40="","",IF(O40="OVERDUE","Overdue payment: ","Payment due: ")&amp;B40&amp;" — "&amp;C40&amp;" ("&amp;CurSym&amp;" "&amp;FIXED(S40,0)&amp;")")</f>
        <v/>
      </c>
      <c r="Z40" s="116">
        <f>IF('Contractors'!B40="","",'Contractors'!B40)</f>
        <v/>
      </c>
      <c r="AA40" s="77">
        <f>IF(Z40="","",'Contractors'!K40)</f>
        <v/>
      </c>
      <c r="AB40" s="77">
        <f>IF(Z40="","",SUMIFS($L$6:$L$1005,$B$6:$B$1005,Z40))</f>
        <v/>
      </c>
      <c r="AC40" s="77">
        <f>IF(Z40="","",SUMIFS($N$6:$N$1005,$B$6:$B$1005,Z40))</f>
        <v/>
      </c>
      <c r="AD40" s="76">
        <f>IF(Z40="","",AA40-AC40)</f>
        <v/>
      </c>
      <c r="AE40" s="117">
        <f>IF(Z40="","",IFERROR(1/SUMPRODUCT(MAX(($B$6:$B$1005=Z40)*$T$6:$T$1005)),""))</f>
        <v/>
      </c>
      <c r="AF40" s="77">
        <f>IF(AE40="","",SUMIFS($S$6:$S$1005,$B$6:$B$1005,Z40,$I$6:$I$1005,AE40))</f>
        <v/>
      </c>
    </row>
    <row r="41" ht="20" customHeight="1">
      <c r="B41" s="72" t="n"/>
      <c r="C41" s="72" t="n"/>
      <c r="D41" s="72" t="n"/>
      <c r="E41" s="72" t="n"/>
      <c r="F41" s="110" t="n"/>
      <c r="G41" s="73" t="n"/>
      <c r="H41" s="75">
        <f>IF(B41="","",IF(G41&lt;&gt;"",G41,IF(F41&lt;&gt;"",F41*IFERROR(INDEX('Contractors'!$I$6:$I$1005,MATCH(B41,'Contractors'!$B$6:$B$1005,0)),0),"")))</f>
        <v/>
      </c>
      <c r="I41" s="109" t="n"/>
      <c r="J41" s="72" t="n"/>
      <c r="K41" s="109" t="n"/>
      <c r="L41" s="73" t="n"/>
      <c r="M41" s="109" t="n"/>
      <c r="N41" s="73" t="n"/>
      <c r="O41" s="107">
        <f>IF(B41="","",IF(M41&lt;&gt;"","Paid",IF(AND(I41&lt;&gt;"",I41&lt;AsOf),"OVERDUE",IF(OR(K41&lt;&gt;"",L41&lt;&gt;""),"Invoiced","Scheduled"))))</f>
        <v/>
      </c>
      <c r="P41" s="115">
        <f>IF(B41="","",IF(E41&lt;&gt;"",E41,IFERROR(INDEX('Contractors'!$D$6:$D$1005,MATCH(B41,'Contractors'!$B$6:$B$1005,0)),"")))</f>
        <v/>
      </c>
      <c r="Q41" s="79">
        <f>IF(B41="","",IF(D41&lt;&gt;"",D41,IFERROR(INDEX('Contractors'!$E$6:$E$1005,MATCH(B41,'Contractors'!$B$6:$B$1005,0)),"")))</f>
        <v/>
      </c>
      <c r="R41" s="79">
        <f>IF(O41="","",IF(O41="OVERDUE",2,IF(O41="Paid",0,IF(AND(I41&lt;&gt;"",I41&lt;=AsOf+AlertDays),1,0))))</f>
        <v/>
      </c>
      <c r="S41" s="79">
        <f>IF(AND(B41&lt;&gt;"",M41="",I41&lt;&gt;""),IF(L41&lt;&gt;"",L41,IF(H41="",0,H41)),0)</f>
        <v/>
      </c>
      <c r="T41" s="79">
        <f>IF(AND(B41&lt;&gt;"",M41="",I41&lt;&gt;""),1/I41,0)</f>
        <v/>
      </c>
      <c r="U41" s="112">
        <f>IF(AND(B41&lt;&gt;"",M41="",I41&lt;&gt;""),I41,"")</f>
        <v/>
      </c>
      <c r="V41" s="79">
        <f>IF(U41="","",IF(U41&lt;AsOf,1,IF(U41&lt;=AsOf+AlertDays,2,IF(U41&lt;=AsOf+2*AlertDays,3,""))))</f>
        <v/>
      </c>
      <c r="W41" s="79">
        <f>IF(V41="","",IF(O41="OVERDUE","Overdue payment: ","Payment due: ")&amp;B41&amp;" — "&amp;C41&amp;" ("&amp;CurSym&amp;" "&amp;FIXED(S41,0)&amp;")")</f>
        <v/>
      </c>
      <c r="Z41" s="116">
        <f>IF('Contractors'!B41="","",'Contractors'!B41)</f>
        <v/>
      </c>
      <c r="AA41" s="77">
        <f>IF(Z41="","",'Contractors'!K41)</f>
        <v/>
      </c>
      <c r="AB41" s="77">
        <f>IF(Z41="","",SUMIFS($L$6:$L$1005,$B$6:$B$1005,Z41))</f>
        <v/>
      </c>
      <c r="AC41" s="77">
        <f>IF(Z41="","",SUMIFS($N$6:$N$1005,$B$6:$B$1005,Z41))</f>
        <v/>
      </c>
      <c r="AD41" s="76">
        <f>IF(Z41="","",AA41-AC41)</f>
        <v/>
      </c>
      <c r="AE41" s="117">
        <f>IF(Z41="","",IFERROR(1/SUMPRODUCT(MAX(($B$6:$B$1005=Z41)*$T$6:$T$1005)),""))</f>
        <v/>
      </c>
      <c r="AF41" s="77">
        <f>IF(AE41="","",SUMIFS($S$6:$S$1005,$B$6:$B$1005,Z41,$I$6:$I$1005,AE41))</f>
        <v/>
      </c>
    </row>
    <row r="42" ht="20" customHeight="1">
      <c r="B42" s="72" t="n"/>
      <c r="C42" s="72" t="n"/>
      <c r="D42" s="72" t="n"/>
      <c r="E42" s="72" t="n"/>
      <c r="F42" s="110" t="n"/>
      <c r="G42" s="73" t="n"/>
      <c r="H42" s="75">
        <f>IF(B42="","",IF(G42&lt;&gt;"",G42,IF(F42&lt;&gt;"",F42*IFERROR(INDEX('Contractors'!$I$6:$I$1005,MATCH(B42,'Contractors'!$B$6:$B$1005,0)),0),"")))</f>
        <v/>
      </c>
      <c r="I42" s="109" t="n"/>
      <c r="J42" s="72" t="n"/>
      <c r="K42" s="109" t="n"/>
      <c r="L42" s="73" t="n"/>
      <c r="M42" s="109" t="n"/>
      <c r="N42" s="73" t="n"/>
      <c r="O42" s="107">
        <f>IF(B42="","",IF(M42&lt;&gt;"","Paid",IF(AND(I42&lt;&gt;"",I42&lt;AsOf),"OVERDUE",IF(OR(K42&lt;&gt;"",L42&lt;&gt;""),"Invoiced","Scheduled"))))</f>
        <v/>
      </c>
      <c r="P42" s="115">
        <f>IF(B42="","",IF(E42&lt;&gt;"",E42,IFERROR(INDEX('Contractors'!$D$6:$D$1005,MATCH(B42,'Contractors'!$B$6:$B$1005,0)),"")))</f>
        <v/>
      </c>
      <c r="Q42" s="79">
        <f>IF(B42="","",IF(D42&lt;&gt;"",D42,IFERROR(INDEX('Contractors'!$E$6:$E$1005,MATCH(B42,'Contractors'!$B$6:$B$1005,0)),"")))</f>
        <v/>
      </c>
      <c r="R42" s="79">
        <f>IF(O42="","",IF(O42="OVERDUE",2,IF(O42="Paid",0,IF(AND(I42&lt;&gt;"",I42&lt;=AsOf+AlertDays),1,0))))</f>
        <v/>
      </c>
      <c r="S42" s="79">
        <f>IF(AND(B42&lt;&gt;"",M42="",I42&lt;&gt;""),IF(L42&lt;&gt;"",L42,IF(H42="",0,H42)),0)</f>
        <v/>
      </c>
      <c r="T42" s="79">
        <f>IF(AND(B42&lt;&gt;"",M42="",I42&lt;&gt;""),1/I42,0)</f>
        <v/>
      </c>
      <c r="U42" s="112">
        <f>IF(AND(B42&lt;&gt;"",M42="",I42&lt;&gt;""),I42,"")</f>
        <v/>
      </c>
      <c r="V42" s="79">
        <f>IF(U42="","",IF(U42&lt;AsOf,1,IF(U42&lt;=AsOf+AlertDays,2,IF(U42&lt;=AsOf+2*AlertDays,3,""))))</f>
        <v/>
      </c>
      <c r="W42" s="79">
        <f>IF(V42="","",IF(O42="OVERDUE","Overdue payment: ","Payment due: ")&amp;B42&amp;" — "&amp;C42&amp;" ("&amp;CurSym&amp;" "&amp;FIXED(S42,0)&amp;")")</f>
        <v/>
      </c>
      <c r="Z42" s="116">
        <f>IF('Contractors'!B42="","",'Contractors'!B42)</f>
        <v/>
      </c>
      <c r="AA42" s="77">
        <f>IF(Z42="","",'Contractors'!K42)</f>
        <v/>
      </c>
      <c r="AB42" s="77">
        <f>IF(Z42="","",SUMIFS($L$6:$L$1005,$B$6:$B$1005,Z42))</f>
        <v/>
      </c>
      <c r="AC42" s="77">
        <f>IF(Z42="","",SUMIFS($N$6:$N$1005,$B$6:$B$1005,Z42))</f>
        <v/>
      </c>
      <c r="AD42" s="76">
        <f>IF(Z42="","",AA42-AC42)</f>
        <v/>
      </c>
      <c r="AE42" s="117">
        <f>IF(Z42="","",IFERROR(1/SUMPRODUCT(MAX(($B$6:$B$1005=Z42)*$T$6:$T$1005)),""))</f>
        <v/>
      </c>
      <c r="AF42" s="77">
        <f>IF(AE42="","",SUMIFS($S$6:$S$1005,$B$6:$B$1005,Z42,$I$6:$I$1005,AE42))</f>
        <v/>
      </c>
    </row>
    <row r="43" ht="20" customHeight="1">
      <c r="B43" s="72" t="n"/>
      <c r="C43" s="72" t="n"/>
      <c r="D43" s="72" t="n"/>
      <c r="E43" s="72" t="n"/>
      <c r="F43" s="110" t="n"/>
      <c r="G43" s="73" t="n"/>
      <c r="H43" s="75">
        <f>IF(B43="","",IF(G43&lt;&gt;"",G43,IF(F43&lt;&gt;"",F43*IFERROR(INDEX('Contractors'!$I$6:$I$1005,MATCH(B43,'Contractors'!$B$6:$B$1005,0)),0),"")))</f>
        <v/>
      </c>
      <c r="I43" s="109" t="n"/>
      <c r="J43" s="72" t="n"/>
      <c r="K43" s="109" t="n"/>
      <c r="L43" s="73" t="n"/>
      <c r="M43" s="109" t="n"/>
      <c r="N43" s="73" t="n"/>
      <c r="O43" s="107">
        <f>IF(B43="","",IF(M43&lt;&gt;"","Paid",IF(AND(I43&lt;&gt;"",I43&lt;AsOf),"OVERDUE",IF(OR(K43&lt;&gt;"",L43&lt;&gt;""),"Invoiced","Scheduled"))))</f>
        <v/>
      </c>
      <c r="P43" s="115">
        <f>IF(B43="","",IF(E43&lt;&gt;"",E43,IFERROR(INDEX('Contractors'!$D$6:$D$1005,MATCH(B43,'Contractors'!$B$6:$B$1005,0)),"")))</f>
        <v/>
      </c>
      <c r="Q43" s="79">
        <f>IF(B43="","",IF(D43&lt;&gt;"",D43,IFERROR(INDEX('Contractors'!$E$6:$E$1005,MATCH(B43,'Contractors'!$B$6:$B$1005,0)),"")))</f>
        <v/>
      </c>
      <c r="R43" s="79">
        <f>IF(O43="","",IF(O43="OVERDUE",2,IF(O43="Paid",0,IF(AND(I43&lt;&gt;"",I43&lt;=AsOf+AlertDays),1,0))))</f>
        <v/>
      </c>
      <c r="S43" s="79">
        <f>IF(AND(B43&lt;&gt;"",M43="",I43&lt;&gt;""),IF(L43&lt;&gt;"",L43,IF(H43="",0,H43)),0)</f>
        <v/>
      </c>
      <c r="T43" s="79">
        <f>IF(AND(B43&lt;&gt;"",M43="",I43&lt;&gt;""),1/I43,0)</f>
        <v/>
      </c>
      <c r="U43" s="112">
        <f>IF(AND(B43&lt;&gt;"",M43="",I43&lt;&gt;""),I43,"")</f>
        <v/>
      </c>
      <c r="V43" s="79">
        <f>IF(U43="","",IF(U43&lt;AsOf,1,IF(U43&lt;=AsOf+AlertDays,2,IF(U43&lt;=AsOf+2*AlertDays,3,""))))</f>
        <v/>
      </c>
      <c r="W43" s="79">
        <f>IF(V43="","",IF(O43="OVERDUE","Overdue payment: ","Payment due: ")&amp;B43&amp;" — "&amp;C43&amp;" ("&amp;CurSym&amp;" "&amp;FIXED(S43,0)&amp;")")</f>
        <v/>
      </c>
      <c r="Z43" s="116">
        <f>IF('Contractors'!B43="","",'Contractors'!B43)</f>
        <v/>
      </c>
      <c r="AA43" s="77">
        <f>IF(Z43="","",'Contractors'!K43)</f>
        <v/>
      </c>
      <c r="AB43" s="77">
        <f>IF(Z43="","",SUMIFS($L$6:$L$1005,$B$6:$B$1005,Z43))</f>
        <v/>
      </c>
      <c r="AC43" s="77">
        <f>IF(Z43="","",SUMIFS($N$6:$N$1005,$B$6:$B$1005,Z43))</f>
        <v/>
      </c>
      <c r="AD43" s="76">
        <f>IF(Z43="","",AA43-AC43)</f>
        <v/>
      </c>
      <c r="AE43" s="117">
        <f>IF(Z43="","",IFERROR(1/SUMPRODUCT(MAX(($B$6:$B$1005=Z43)*$T$6:$T$1005)),""))</f>
        <v/>
      </c>
      <c r="AF43" s="77">
        <f>IF(AE43="","",SUMIFS($S$6:$S$1005,$B$6:$B$1005,Z43,$I$6:$I$1005,AE43))</f>
        <v/>
      </c>
    </row>
    <row r="44" ht="20" customHeight="1">
      <c r="B44" s="72" t="n"/>
      <c r="C44" s="72" t="n"/>
      <c r="D44" s="72" t="n"/>
      <c r="E44" s="72" t="n"/>
      <c r="F44" s="110" t="n"/>
      <c r="G44" s="73" t="n"/>
      <c r="H44" s="75">
        <f>IF(B44="","",IF(G44&lt;&gt;"",G44,IF(F44&lt;&gt;"",F44*IFERROR(INDEX('Contractors'!$I$6:$I$1005,MATCH(B44,'Contractors'!$B$6:$B$1005,0)),0),"")))</f>
        <v/>
      </c>
      <c r="I44" s="109" t="n"/>
      <c r="J44" s="72" t="n"/>
      <c r="K44" s="109" t="n"/>
      <c r="L44" s="73" t="n"/>
      <c r="M44" s="109" t="n"/>
      <c r="N44" s="73" t="n"/>
      <c r="O44" s="107">
        <f>IF(B44="","",IF(M44&lt;&gt;"","Paid",IF(AND(I44&lt;&gt;"",I44&lt;AsOf),"OVERDUE",IF(OR(K44&lt;&gt;"",L44&lt;&gt;""),"Invoiced","Scheduled"))))</f>
        <v/>
      </c>
      <c r="P44" s="115">
        <f>IF(B44="","",IF(E44&lt;&gt;"",E44,IFERROR(INDEX('Contractors'!$D$6:$D$1005,MATCH(B44,'Contractors'!$B$6:$B$1005,0)),"")))</f>
        <v/>
      </c>
      <c r="Q44" s="79">
        <f>IF(B44="","",IF(D44&lt;&gt;"",D44,IFERROR(INDEX('Contractors'!$E$6:$E$1005,MATCH(B44,'Contractors'!$B$6:$B$1005,0)),"")))</f>
        <v/>
      </c>
      <c r="R44" s="79">
        <f>IF(O44="","",IF(O44="OVERDUE",2,IF(O44="Paid",0,IF(AND(I44&lt;&gt;"",I44&lt;=AsOf+AlertDays),1,0))))</f>
        <v/>
      </c>
      <c r="S44" s="79">
        <f>IF(AND(B44&lt;&gt;"",M44="",I44&lt;&gt;""),IF(L44&lt;&gt;"",L44,IF(H44="",0,H44)),0)</f>
        <v/>
      </c>
      <c r="T44" s="79">
        <f>IF(AND(B44&lt;&gt;"",M44="",I44&lt;&gt;""),1/I44,0)</f>
        <v/>
      </c>
      <c r="U44" s="112">
        <f>IF(AND(B44&lt;&gt;"",M44="",I44&lt;&gt;""),I44,"")</f>
        <v/>
      </c>
      <c r="V44" s="79">
        <f>IF(U44="","",IF(U44&lt;AsOf,1,IF(U44&lt;=AsOf+AlertDays,2,IF(U44&lt;=AsOf+2*AlertDays,3,""))))</f>
        <v/>
      </c>
      <c r="W44" s="79">
        <f>IF(V44="","",IF(O44="OVERDUE","Overdue payment: ","Payment due: ")&amp;B44&amp;" — "&amp;C44&amp;" ("&amp;CurSym&amp;" "&amp;FIXED(S44,0)&amp;")")</f>
        <v/>
      </c>
      <c r="Z44" s="116">
        <f>IF('Contractors'!B44="","",'Contractors'!B44)</f>
        <v/>
      </c>
      <c r="AA44" s="77">
        <f>IF(Z44="","",'Contractors'!K44)</f>
        <v/>
      </c>
      <c r="AB44" s="77">
        <f>IF(Z44="","",SUMIFS($L$6:$L$1005,$B$6:$B$1005,Z44))</f>
        <v/>
      </c>
      <c r="AC44" s="77">
        <f>IF(Z44="","",SUMIFS($N$6:$N$1005,$B$6:$B$1005,Z44))</f>
        <v/>
      </c>
      <c r="AD44" s="76">
        <f>IF(Z44="","",AA44-AC44)</f>
        <v/>
      </c>
      <c r="AE44" s="117">
        <f>IF(Z44="","",IFERROR(1/SUMPRODUCT(MAX(($B$6:$B$1005=Z44)*$T$6:$T$1005)),""))</f>
        <v/>
      </c>
      <c r="AF44" s="77">
        <f>IF(AE44="","",SUMIFS($S$6:$S$1005,$B$6:$B$1005,Z44,$I$6:$I$1005,AE44))</f>
        <v/>
      </c>
    </row>
    <row r="45" ht="20" customHeight="1">
      <c r="B45" s="72" t="n"/>
      <c r="C45" s="72" t="n"/>
      <c r="D45" s="72" t="n"/>
      <c r="E45" s="72" t="n"/>
      <c r="F45" s="110" t="n"/>
      <c r="G45" s="73" t="n"/>
      <c r="H45" s="75">
        <f>IF(B45="","",IF(G45&lt;&gt;"",G45,IF(F45&lt;&gt;"",F45*IFERROR(INDEX('Contractors'!$I$6:$I$1005,MATCH(B45,'Contractors'!$B$6:$B$1005,0)),0),"")))</f>
        <v/>
      </c>
      <c r="I45" s="109" t="n"/>
      <c r="J45" s="72" t="n"/>
      <c r="K45" s="109" t="n"/>
      <c r="L45" s="73" t="n"/>
      <c r="M45" s="109" t="n"/>
      <c r="N45" s="73" t="n"/>
      <c r="O45" s="107">
        <f>IF(B45="","",IF(M45&lt;&gt;"","Paid",IF(AND(I45&lt;&gt;"",I45&lt;AsOf),"OVERDUE",IF(OR(K45&lt;&gt;"",L45&lt;&gt;""),"Invoiced","Scheduled"))))</f>
        <v/>
      </c>
      <c r="P45" s="115">
        <f>IF(B45="","",IF(E45&lt;&gt;"",E45,IFERROR(INDEX('Contractors'!$D$6:$D$1005,MATCH(B45,'Contractors'!$B$6:$B$1005,0)),"")))</f>
        <v/>
      </c>
      <c r="Q45" s="79">
        <f>IF(B45="","",IF(D45&lt;&gt;"",D45,IFERROR(INDEX('Contractors'!$E$6:$E$1005,MATCH(B45,'Contractors'!$B$6:$B$1005,0)),"")))</f>
        <v/>
      </c>
      <c r="R45" s="79">
        <f>IF(O45="","",IF(O45="OVERDUE",2,IF(O45="Paid",0,IF(AND(I45&lt;&gt;"",I45&lt;=AsOf+AlertDays),1,0))))</f>
        <v/>
      </c>
      <c r="S45" s="79">
        <f>IF(AND(B45&lt;&gt;"",M45="",I45&lt;&gt;""),IF(L45&lt;&gt;"",L45,IF(H45="",0,H45)),0)</f>
        <v/>
      </c>
      <c r="T45" s="79">
        <f>IF(AND(B45&lt;&gt;"",M45="",I45&lt;&gt;""),1/I45,0)</f>
        <v/>
      </c>
      <c r="U45" s="112">
        <f>IF(AND(B45&lt;&gt;"",M45="",I45&lt;&gt;""),I45,"")</f>
        <v/>
      </c>
      <c r="V45" s="79">
        <f>IF(U45="","",IF(U45&lt;AsOf,1,IF(U45&lt;=AsOf+AlertDays,2,IF(U45&lt;=AsOf+2*AlertDays,3,""))))</f>
        <v/>
      </c>
      <c r="W45" s="79">
        <f>IF(V45="","",IF(O45="OVERDUE","Overdue payment: ","Payment due: ")&amp;B45&amp;" — "&amp;C45&amp;" ("&amp;CurSym&amp;" "&amp;FIXED(S45,0)&amp;")")</f>
        <v/>
      </c>
      <c r="Z45" s="116">
        <f>IF('Contractors'!B45="","",'Contractors'!B45)</f>
        <v/>
      </c>
      <c r="AA45" s="77">
        <f>IF(Z45="","",'Contractors'!K45)</f>
        <v/>
      </c>
      <c r="AB45" s="77">
        <f>IF(Z45="","",SUMIFS($L$6:$L$1005,$B$6:$B$1005,Z45))</f>
        <v/>
      </c>
      <c r="AC45" s="77">
        <f>IF(Z45="","",SUMIFS($N$6:$N$1005,$B$6:$B$1005,Z45))</f>
        <v/>
      </c>
      <c r="AD45" s="76">
        <f>IF(Z45="","",AA45-AC45)</f>
        <v/>
      </c>
      <c r="AE45" s="117">
        <f>IF(Z45="","",IFERROR(1/SUMPRODUCT(MAX(($B$6:$B$1005=Z45)*$T$6:$T$1005)),""))</f>
        <v/>
      </c>
      <c r="AF45" s="77">
        <f>IF(AE45="","",SUMIFS($S$6:$S$1005,$B$6:$B$1005,Z45,$I$6:$I$1005,AE45))</f>
        <v/>
      </c>
    </row>
    <row r="46" ht="20" customHeight="1">
      <c r="B46" s="72" t="n"/>
      <c r="C46" s="72" t="n"/>
      <c r="D46" s="72" t="n"/>
      <c r="E46" s="72" t="n"/>
      <c r="F46" s="110" t="n"/>
      <c r="G46" s="73" t="n"/>
      <c r="H46" s="75">
        <f>IF(B46="","",IF(G46&lt;&gt;"",G46,IF(F46&lt;&gt;"",F46*IFERROR(INDEX('Contractors'!$I$6:$I$1005,MATCH(B46,'Contractors'!$B$6:$B$1005,0)),0),"")))</f>
        <v/>
      </c>
      <c r="I46" s="109" t="n"/>
      <c r="J46" s="72" t="n"/>
      <c r="K46" s="109" t="n"/>
      <c r="L46" s="73" t="n"/>
      <c r="M46" s="109" t="n"/>
      <c r="N46" s="73" t="n"/>
      <c r="O46" s="107">
        <f>IF(B46="","",IF(M46&lt;&gt;"","Paid",IF(AND(I46&lt;&gt;"",I46&lt;AsOf),"OVERDUE",IF(OR(K46&lt;&gt;"",L46&lt;&gt;""),"Invoiced","Scheduled"))))</f>
        <v/>
      </c>
      <c r="P46" s="115">
        <f>IF(B46="","",IF(E46&lt;&gt;"",E46,IFERROR(INDEX('Contractors'!$D$6:$D$1005,MATCH(B46,'Contractors'!$B$6:$B$1005,0)),"")))</f>
        <v/>
      </c>
      <c r="Q46" s="79">
        <f>IF(B46="","",IF(D46&lt;&gt;"",D46,IFERROR(INDEX('Contractors'!$E$6:$E$1005,MATCH(B46,'Contractors'!$B$6:$B$1005,0)),"")))</f>
        <v/>
      </c>
      <c r="R46" s="79">
        <f>IF(O46="","",IF(O46="OVERDUE",2,IF(O46="Paid",0,IF(AND(I46&lt;&gt;"",I46&lt;=AsOf+AlertDays),1,0))))</f>
        <v/>
      </c>
      <c r="S46" s="79">
        <f>IF(AND(B46&lt;&gt;"",M46="",I46&lt;&gt;""),IF(L46&lt;&gt;"",L46,IF(H46="",0,H46)),0)</f>
        <v/>
      </c>
      <c r="T46" s="79">
        <f>IF(AND(B46&lt;&gt;"",M46="",I46&lt;&gt;""),1/I46,0)</f>
        <v/>
      </c>
      <c r="U46" s="112">
        <f>IF(AND(B46&lt;&gt;"",M46="",I46&lt;&gt;""),I46,"")</f>
        <v/>
      </c>
      <c r="V46" s="79">
        <f>IF(U46="","",IF(U46&lt;AsOf,1,IF(U46&lt;=AsOf+AlertDays,2,IF(U46&lt;=AsOf+2*AlertDays,3,""))))</f>
        <v/>
      </c>
      <c r="W46" s="79">
        <f>IF(V46="","",IF(O46="OVERDUE","Overdue payment: ","Payment due: ")&amp;B46&amp;" — "&amp;C46&amp;" ("&amp;CurSym&amp;" "&amp;FIXED(S46,0)&amp;")")</f>
        <v/>
      </c>
      <c r="Z46" s="116">
        <f>IF('Contractors'!B46="","",'Contractors'!B46)</f>
        <v/>
      </c>
      <c r="AA46" s="77">
        <f>IF(Z46="","",'Contractors'!K46)</f>
        <v/>
      </c>
      <c r="AB46" s="77">
        <f>IF(Z46="","",SUMIFS($L$6:$L$1005,$B$6:$B$1005,Z46))</f>
        <v/>
      </c>
      <c r="AC46" s="77">
        <f>IF(Z46="","",SUMIFS($N$6:$N$1005,$B$6:$B$1005,Z46))</f>
        <v/>
      </c>
      <c r="AD46" s="76">
        <f>IF(Z46="","",AA46-AC46)</f>
        <v/>
      </c>
      <c r="AE46" s="117">
        <f>IF(Z46="","",IFERROR(1/SUMPRODUCT(MAX(($B$6:$B$1005=Z46)*$T$6:$T$1005)),""))</f>
        <v/>
      </c>
      <c r="AF46" s="77">
        <f>IF(AE46="","",SUMIFS($S$6:$S$1005,$B$6:$B$1005,Z46,$I$6:$I$1005,AE46))</f>
        <v/>
      </c>
    </row>
    <row r="47" ht="20" customHeight="1">
      <c r="B47" s="72" t="n"/>
      <c r="C47" s="72" t="n"/>
      <c r="D47" s="72" t="n"/>
      <c r="E47" s="72" t="n"/>
      <c r="F47" s="110" t="n"/>
      <c r="G47" s="73" t="n"/>
      <c r="H47" s="75">
        <f>IF(B47="","",IF(G47&lt;&gt;"",G47,IF(F47&lt;&gt;"",F47*IFERROR(INDEX('Contractors'!$I$6:$I$1005,MATCH(B47,'Contractors'!$B$6:$B$1005,0)),0),"")))</f>
        <v/>
      </c>
      <c r="I47" s="109" t="n"/>
      <c r="J47" s="72" t="n"/>
      <c r="K47" s="109" t="n"/>
      <c r="L47" s="73" t="n"/>
      <c r="M47" s="109" t="n"/>
      <c r="N47" s="73" t="n"/>
      <c r="O47" s="107">
        <f>IF(B47="","",IF(M47&lt;&gt;"","Paid",IF(AND(I47&lt;&gt;"",I47&lt;AsOf),"OVERDUE",IF(OR(K47&lt;&gt;"",L47&lt;&gt;""),"Invoiced","Scheduled"))))</f>
        <v/>
      </c>
      <c r="P47" s="115">
        <f>IF(B47="","",IF(E47&lt;&gt;"",E47,IFERROR(INDEX('Contractors'!$D$6:$D$1005,MATCH(B47,'Contractors'!$B$6:$B$1005,0)),"")))</f>
        <v/>
      </c>
      <c r="Q47" s="79">
        <f>IF(B47="","",IF(D47&lt;&gt;"",D47,IFERROR(INDEX('Contractors'!$E$6:$E$1005,MATCH(B47,'Contractors'!$B$6:$B$1005,0)),"")))</f>
        <v/>
      </c>
      <c r="R47" s="79">
        <f>IF(O47="","",IF(O47="OVERDUE",2,IF(O47="Paid",0,IF(AND(I47&lt;&gt;"",I47&lt;=AsOf+AlertDays),1,0))))</f>
        <v/>
      </c>
      <c r="S47" s="79">
        <f>IF(AND(B47&lt;&gt;"",M47="",I47&lt;&gt;""),IF(L47&lt;&gt;"",L47,IF(H47="",0,H47)),0)</f>
        <v/>
      </c>
      <c r="T47" s="79">
        <f>IF(AND(B47&lt;&gt;"",M47="",I47&lt;&gt;""),1/I47,0)</f>
        <v/>
      </c>
      <c r="U47" s="112">
        <f>IF(AND(B47&lt;&gt;"",M47="",I47&lt;&gt;""),I47,"")</f>
        <v/>
      </c>
      <c r="V47" s="79">
        <f>IF(U47="","",IF(U47&lt;AsOf,1,IF(U47&lt;=AsOf+AlertDays,2,IF(U47&lt;=AsOf+2*AlertDays,3,""))))</f>
        <v/>
      </c>
      <c r="W47" s="79">
        <f>IF(V47="","",IF(O47="OVERDUE","Overdue payment: ","Payment due: ")&amp;B47&amp;" — "&amp;C47&amp;" ("&amp;CurSym&amp;" "&amp;FIXED(S47,0)&amp;")")</f>
        <v/>
      </c>
      <c r="Z47" s="116">
        <f>IF('Contractors'!B47="","",'Contractors'!B47)</f>
        <v/>
      </c>
      <c r="AA47" s="77">
        <f>IF(Z47="","",'Contractors'!K47)</f>
        <v/>
      </c>
      <c r="AB47" s="77">
        <f>IF(Z47="","",SUMIFS($L$6:$L$1005,$B$6:$B$1005,Z47))</f>
        <v/>
      </c>
      <c r="AC47" s="77">
        <f>IF(Z47="","",SUMIFS($N$6:$N$1005,$B$6:$B$1005,Z47))</f>
        <v/>
      </c>
      <c r="AD47" s="76">
        <f>IF(Z47="","",AA47-AC47)</f>
        <v/>
      </c>
      <c r="AE47" s="117">
        <f>IF(Z47="","",IFERROR(1/SUMPRODUCT(MAX(($B$6:$B$1005=Z47)*$T$6:$T$1005)),""))</f>
        <v/>
      </c>
      <c r="AF47" s="77">
        <f>IF(AE47="","",SUMIFS($S$6:$S$1005,$B$6:$B$1005,Z47,$I$6:$I$1005,AE47))</f>
        <v/>
      </c>
    </row>
    <row r="48" ht="20" customHeight="1">
      <c r="B48" s="72" t="n"/>
      <c r="C48" s="72" t="n"/>
      <c r="D48" s="72" t="n"/>
      <c r="E48" s="72" t="n"/>
      <c r="F48" s="110" t="n"/>
      <c r="G48" s="73" t="n"/>
      <c r="H48" s="75">
        <f>IF(B48="","",IF(G48&lt;&gt;"",G48,IF(F48&lt;&gt;"",F48*IFERROR(INDEX('Contractors'!$I$6:$I$1005,MATCH(B48,'Contractors'!$B$6:$B$1005,0)),0),"")))</f>
        <v/>
      </c>
      <c r="I48" s="109" t="n"/>
      <c r="J48" s="72" t="n"/>
      <c r="K48" s="109" t="n"/>
      <c r="L48" s="73" t="n"/>
      <c r="M48" s="109" t="n"/>
      <c r="N48" s="73" t="n"/>
      <c r="O48" s="107">
        <f>IF(B48="","",IF(M48&lt;&gt;"","Paid",IF(AND(I48&lt;&gt;"",I48&lt;AsOf),"OVERDUE",IF(OR(K48&lt;&gt;"",L48&lt;&gt;""),"Invoiced","Scheduled"))))</f>
        <v/>
      </c>
      <c r="P48" s="115">
        <f>IF(B48="","",IF(E48&lt;&gt;"",E48,IFERROR(INDEX('Contractors'!$D$6:$D$1005,MATCH(B48,'Contractors'!$B$6:$B$1005,0)),"")))</f>
        <v/>
      </c>
      <c r="Q48" s="79">
        <f>IF(B48="","",IF(D48&lt;&gt;"",D48,IFERROR(INDEX('Contractors'!$E$6:$E$1005,MATCH(B48,'Contractors'!$B$6:$B$1005,0)),"")))</f>
        <v/>
      </c>
      <c r="R48" s="79">
        <f>IF(O48="","",IF(O48="OVERDUE",2,IF(O48="Paid",0,IF(AND(I48&lt;&gt;"",I48&lt;=AsOf+AlertDays),1,0))))</f>
        <v/>
      </c>
      <c r="S48" s="79">
        <f>IF(AND(B48&lt;&gt;"",M48="",I48&lt;&gt;""),IF(L48&lt;&gt;"",L48,IF(H48="",0,H48)),0)</f>
        <v/>
      </c>
      <c r="T48" s="79">
        <f>IF(AND(B48&lt;&gt;"",M48="",I48&lt;&gt;""),1/I48,0)</f>
        <v/>
      </c>
      <c r="U48" s="112">
        <f>IF(AND(B48&lt;&gt;"",M48="",I48&lt;&gt;""),I48,"")</f>
        <v/>
      </c>
      <c r="V48" s="79">
        <f>IF(U48="","",IF(U48&lt;AsOf,1,IF(U48&lt;=AsOf+AlertDays,2,IF(U48&lt;=AsOf+2*AlertDays,3,""))))</f>
        <v/>
      </c>
      <c r="W48" s="79">
        <f>IF(V48="","",IF(O48="OVERDUE","Overdue payment: ","Payment due: ")&amp;B48&amp;" — "&amp;C48&amp;" ("&amp;CurSym&amp;" "&amp;FIXED(S48,0)&amp;")")</f>
        <v/>
      </c>
      <c r="Z48" s="116">
        <f>IF('Contractors'!B48="","",'Contractors'!B48)</f>
        <v/>
      </c>
      <c r="AA48" s="77">
        <f>IF(Z48="","",'Contractors'!K48)</f>
        <v/>
      </c>
      <c r="AB48" s="77">
        <f>IF(Z48="","",SUMIFS($L$6:$L$1005,$B$6:$B$1005,Z48))</f>
        <v/>
      </c>
      <c r="AC48" s="77">
        <f>IF(Z48="","",SUMIFS($N$6:$N$1005,$B$6:$B$1005,Z48))</f>
        <v/>
      </c>
      <c r="AD48" s="76">
        <f>IF(Z48="","",AA48-AC48)</f>
        <v/>
      </c>
      <c r="AE48" s="117">
        <f>IF(Z48="","",IFERROR(1/SUMPRODUCT(MAX(($B$6:$B$1005=Z48)*$T$6:$T$1005)),""))</f>
        <v/>
      </c>
      <c r="AF48" s="77">
        <f>IF(AE48="","",SUMIFS($S$6:$S$1005,$B$6:$B$1005,Z48,$I$6:$I$1005,AE48))</f>
        <v/>
      </c>
    </row>
    <row r="49" ht="20" customHeight="1">
      <c r="B49" s="72" t="n"/>
      <c r="C49" s="72" t="n"/>
      <c r="D49" s="72" t="n"/>
      <c r="E49" s="72" t="n"/>
      <c r="F49" s="110" t="n"/>
      <c r="G49" s="73" t="n"/>
      <c r="H49" s="75">
        <f>IF(B49="","",IF(G49&lt;&gt;"",G49,IF(F49&lt;&gt;"",F49*IFERROR(INDEX('Contractors'!$I$6:$I$1005,MATCH(B49,'Contractors'!$B$6:$B$1005,0)),0),"")))</f>
        <v/>
      </c>
      <c r="I49" s="109" t="n"/>
      <c r="J49" s="72" t="n"/>
      <c r="K49" s="109" t="n"/>
      <c r="L49" s="73" t="n"/>
      <c r="M49" s="109" t="n"/>
      <c r="N49" s="73" t="n"/>
      <c r="O49" s="107">
        <f>IF(B49="","",IF(M49&lt;&gt;"","Paid",IF(AND(I49&lt;&gt;"",I49&lt;AsOf),"OVERDUE",IF(OR(K49&lt;&gt;"",L49&lt;&gt;""),"Invoiced","Scheduled"))))</f>
        <v/>
      </c>
      <c r="P49" s="115">
        <f>IF(B49="","",IF(E49&lt;&gt;"",E49,IFERROR(INDEX('Contractors'!$D$6:$D$1005,MATCH(B49,'Contractors'!$B$6:$B$1005,0)),"")))</f>
        <v/>
      </c>
      <c r="Q49" s="79">
        <f>IF(B49="","",IF(D49&lt;&gt;"",D49,IFERROR(INDEX('Contractors'!$E$6:$E$1005,MATCH(B49,'Contractors'!$B$6:$B$1005,0)),"")))</f>
        <v/>
      </c>
      <c r="R49" s="79">
        <f>IF(O49="","",IF(O49="OVERDUE",2,IF(O49="Paid",0,IF(AND(I49&lt;&gt;"",I49&lt;=AsOf+AlertDays),1,0))))</f>
        <v/>
      </c>
      <c r="S49" s="79">
        <f>IF(AND(B49&lt;&gt;"",M49="",I49&lt;&gt;""),IF(L49&lt;&gt;"",L49,IF(H49="",0,H49)),0)</f>
        <v/>
      </c>
      <c r="T49" s="79">
        <f>IF(AND(B49&lt;&gt;"",M49="",I49&lt;&gt;""),1/I49,0)</f>
        <v/>
      </c>
      <c r="U49" s="112">
        <f>IF(AND(B49&lt;&gt;"",M49="",I49&lt;&gt;""),I49,"")</f>
        <v/>
      </c>
      <c r="V49" s="79">
        <f>IF(U49="","",IF(U49&lt;AsOf,1,IF(U49&lt;=AsOf+AlertDays,2,IF(U49&lt;=AsOf+2*AlertDays,3,""))))</f>
        <v/>
      </c>
      <c r="W49" s="79">
        <f>IF(V49="","",IF(O49="OVERDUE","Overdue payment: ","Payment due: ")&amp;B49&amp;" — "&amp;C49&amp;" ("&amp;CurSym&amp;" "&amp;FIXED(S49,0)&amp;")")</f>
        <v/>
      </c>
      <c r="Z49" s="116">
        <f>IF('Contractors'!B49="","",'Contractors'!B49)</f>
        <v/>
      </c>
      <c r="AA49" s="77">
        <f>IF(Z49="","",'Contractors'!K49)</f>
        <v/>
      </c>
      <c r="AB49" s="77">
        <f>IF(Z49="","",SUMIFS($L$6:$L$1005,$B$6:$B$1005,Z49))</f>
        <v/>
      </c>
      <c r="AC49" s="77">
        <f>IF(Z49="","",SUMIFS($N$6:$N$1005,$B$6:$B$1005,Z49))</f>
        <v/>
      </c>
      <c r="AD49" s="76">
        <f>IF(Z49="","",AA49-AC49)</f>
        <v/>
      </c>
      <c r="AE49" s="117">
        <f>IF(Z49="","",IFERROR(1/SUMPRODUCT(MAX(($B$6:$B$1005=Z49)*$T$6:$T$1005)),""))</f>
        <v/>
      </c>
      <c r="AF49" s="77">
        <f>IF(AE49="","",SUMIFS($S$6:$S$1005,$B$6:$B$1005,Z49,$I$6:$I$1005,AE49))</f>
        <v/>
      </c>
    </row>
    <row r="50" ht="20" customHeight="1">
      <c r="B50" s="72" t="n"/>
      <c r="C50" s="72" t="n"/>
      <c r="D50" s="72" t="n"/>
      <c r="E50" s="72" t="n"/>
      <c r="F50" s="110" t="n"/>
      <c r="G50" s="73" t="n"/>
      <c r="H50" s="75">
        <f>IF(B50="","",IF(G50&lt;&gt;"",G50,IF(F50&lt;&gt;"",F50*IFERROR(INDEX('Contractors'!$I$6:$I$1005,MATCH(B50,'Contractors'!$B$6:$B$1005,0)),0),"")))</f>
        <v/>
      </c>
      <c r="I50" s="109" t="n"/>
      <c r="J50" s="72" t="n"/>
      <c r="K50" s="109" t="n"/>
      <c r="L50" s="73" t="n"/>
      <c r="M50" s="109" t="n"/>
      <c r="N50" s="73" t="n"/>
      <c r="O50" s="107">
        <f>IF(B50="","",IF(M50&lt;&gt;"","Paid",IF(AND(I50&lt;&gt;"",I50&lt;AsOf),"OVERDUE",IF(OR(K50&lt;&gt;"",L50&lt;&gt;""),"Invoiced","Scheduled"))))</f>
        <v/>
      </c>
      <c r="P50" s="115">
        <f>IF(B50="","",IF(E50&lt;&gt;"",E50,IFERROR(INDEX('Contractors'!$D$6:$D$1005,MATCH(B50,'Contractors'!$B$6:$B$1005,0)),"")))</f>
        <v/>
      </c>
      <c r="Q50" s="79">
        <f>IF(B50="","",IF(D50&lt;&gt;"",D50,IFERROR(INDEX('Contractors'!$E$6:$E$1005,MATCH(B50,'Contractors'!$B$6:$B$1005,0)),"")))</f>
        <v/>
      </c>
      <c r="R50" s="79">
        <f>IF(O50="","",IF(O50="OVERDUE",2,IF(O50="Paid",0,IF(AND(I50&lt;&gt;"",I50&lt;=AsOf+AlertDays),1,0))))</f>
        <v/>
      </c>
      <c r="S50" s="79">
        <f>IF(AND(B50&lt;&gt;"",M50="",I50&lt;&gt;""),IF(L50&lt;&gt;"",L50,IF(H50="",0,H50)),0)</f>
        <v/>
      </c>
      <c r="T50" s="79">
        <f>IF(AND(B50&lt;&gt;"",M50="",I50&lt;&gt;""),1/I50,0)</f>
        <v/>
      </c>
      <c r="U50" s="112">
        <f>IF(AND(B50&lt;&gt;"",M50="",I50&lt;&gt;""),I50,"")</f>
        <v/>
      </c>
      <c r="V50" s="79">
        <f>IF(U50="","",IF(U50&lt;AsOf,1,IF(U50&lt;=AsOf+AlertDays,2,IF(U50&lt;=AsOf+2*AlertDays,3,""))))</f>
        <v/>
      </c>
      <c r="W50" s="79">
        <f>IF(V50="","",IF(O50="OVERDUE","Overdue payment: ","Payment due: ")&amp;B50&amp;" — "&amp;C50&amp;" ("&amp;CurSym&amp;" "&amp;FIXED(S50,0)&amp;")")</f>
        <v/>
      </c>
      <c r="Z50" s="116">
        <f>IF('Contractors'!B50="","",'Contractors'!B50)</f>
        <v/>
      </c>
      <c r="AA50" s="77">
        <f>IF(Z50="","",'Contractors'!K50)</f>
        <v/>
      </c>
      <c r="AB50" s="77">
        <f>IF(Z50="","",SUMIFS($L$6:$L$1005,$B$6:$B$1005,Z50))</f>
        <v/>
      </c>
      <c r="AC50" s="77">
        <f>IF(Z50="","",SUMIFS($N$6:$N$1005,$B$6:$B$1005,Z50))</f>
        <v/>
      </c>
      <c r="AD50" s="76">
        <f>IF(Z50="","",AA50-AC50)</f>
        <v/>
      </c>
      <c r="AE50" s="117">
        <f>IF(Z50="","",IFERROR(1/SUMPRODUCT(MAX(($B$6:$B$1005=Z50)*$T$6:$T$1005)),""))</f>
        <v/>
      </c>
      <c r="AF50" s="77">
        <f>IF(AE50="","",SUMIFS($S$6:$S$1005,$B$6:$B$1005,Z50,$I$6:$I$1005,AE50))</f>
        <v/>
      </c>
    </row>
    <row r="51" ht="20" customHeight="1">
      <c r="B51" s="72" t="n"/>
      <c r="C51" s="72" t="n"/>
      <c r="D51" s="72" t="n"/>
      <c r="E51" s="72" t="n"/>
      <c r="F51" s="110" t="n"/>
      <c r="G51" s="73" t="n"/>
      <c r="H51" s="75">
        <f>IF(B51="","",IF(G51&lt;&gt;"",G51,IF(F51&lt;&gt;"",F51*IFERROR(INDEX('Contractors'!$I$6:$I$1005,MATCH(B51,'Contractors'!$B$6:$B$1005,0)),0),"")))</f>
        <v/>
      </c>
      <c r="I51" s="109" t="n"/>
      <c r="J51" s="72" t="n"/>
      <c r="K51" s="109" t="n"/>
      <c r="L51" s="73" t="n"/>
      <c r="M51" s="109" t="n"/>
      <c r="N51" s="73" t="n"/>
      <c r="O51" s="107">
        <f>IF(B51="","",IF(M51&lt;&gt;"","Paid",IF(AND(I51&lt;&gt;"",I51&lt;AsOf),"OVERDUE",IF(OR(K51&lt;&gt;"",L51&lt;&gt;""),"Invoiced","Scheduled"))))</f>
        <v/>
      </c>
      <c r="P51" s="115">
        <f>IF(B51="","",IF(E51&lt;&gt;"",E51,IFERROR(INDEX('Contractors'!$D$6:$D$1005,MATCH(B51,'Contractors'!$B$6:$B$1005,0)),"")))</f>
        <v/>
      </c>
      <c r="Q51" s="79">
        <f>IF(B51="","",IF(D51&lt;&gt;"",D51,IFERROR(INDEX('Contractors'!$E$6:$E$1005,MATCH(B51,'Contractors'!$B$6:$B$1005,0)),"")))</f>
        <v/>
      </c>
      <c r="R51" s="79">
        <f>IF(O51="","",IF(O51="OVERDUE",2,IF(O51="Paid",0,IF(AND(I51&lt;&gt;"",I51&lt;=AsOf+AlertDays),1,0))))</f>
        <v/>
      </c>
      <c r="S51" s="79">
        <f>IF(AND(B51&lt;&gt;"",M51="",I51&lt;&gt;""),IF(L51&lt;&gt;"",L51,IF(H51="",0,H51)),0)</f>
        <v/>
      </c>
      <c r="T51" s="79">
        <f>IF(AND(B51&lt;&gt;"",M51="",I51&lt;&gt;""),1/I51,0)</f>
        <v/>
      </c>
      <c r="U51" s="112">
        <f>IF(AND(B51&lt;&gt;"",M51="",I51&lt;&gt;""),I51,"")</f>
        <v/>
      </c>
      <c r="V51" s="79">
        <f>IF(U51="","",IF(U51&lt;AsOf,1,IF(U51&lt;=AsOf+AlertDays,2,IF(U51&lt;=AsOf+2*AlertDays,3,""))))</f>
        <v/>
      </c>
      <c r="W51" s="79">
        <f>IF(V51="","",IF(O51="OVERDUE","Overdue payment: ","Payment due: ")&amp;B51&amp;" — "&amp;C51&amp;" ("&amp;CurSym&amp;" "&amp;FIXED(S51,0)&amp;")")</f>
        <v/>
      </c>
      <c r="Z51" s="116">
        <f>IF('Contractors'!B51="","",'Contractors'!B51)</f>
        <v/>
      </c>
      <c r="AA51" s="77">
        <f>IF(Z51="","",'Contractors'!K51)</f>
        <v/>
      </c>
      <c r="AB51" s="77">
        <f>IF(Z51="","",SUMIFS($L$6:$L$1005,$B$6:$B$1005,Z51))</f>
        <v/>
      </c>
      <c r="AC51" s="77">
        <f>IF(Z51="","",SUMIFS($N$6:$N$1005,$B$6:$B$1005,Z51))</f>
        <v/>
      </c>
      <c r="AD51" s="76">
        <f>IF(Z51="","",AA51-AC51)</f>
        <v/>
      </c>
      <c r="AE51" s="117">
        <f>IF(Z51="","",IFERROR(1/SUMPRODUCT(MAX(($B$6:$B$1005=Z51)*$T$6:$T$1005)),""))</f>
        <v/>
      </c>
      <c r="AF51" s="77">
        <f>IF(AE51="","",SUMIFS($S$6:$S$1005,$B$6:$B$1005,Z51,$I$6:$I$1005,AE51))</f>
        <v/>
      </c>
    </row>
    <row r="52" ht="20" customHeight="1">
      <c r="B52" s="72" t="n"/>
      <c r="C52" s="72" t="n"/>
      <c r="D52" s="72" t="n"/>
      <c r="E52" s="72" t="n"/>
      <c r="F52" s="110" t="n"/>
      <c r="G52" s="73" t="n"/>
      <c r="H52" s="75">
        <f>IF(B52="","",IF(G52&lt;&gt;"",G52,IF(F52&lt;&gt;"",F52*IFERROR(INDEX('Contractors'!$I$6:$I$1005,MATCH(B52,'Contractors'!$B$6:$B$1005,0)),0),"")))</f>
        <v/>
      </c>
      <c r="I52" s="109" t="n"/>
      <c r="J52" s="72" t="n"/>
      <c r="K52" s="109" t="n"/>
      <c r="L52" s="73" t="n"/>
      <c r="M52" s="109" t="n"/>
      <c r="N52" s="73" t="n"/>
      <c r="O52" s="107">
        <f>IF(B52="","",IF(M52&lt;&gt;"","Paid",IF(AND(I52&lt;&gt;"",I52&lt;AsOf),"OVERDUE",IF(OR(K52&lt;&gt;"",L52&lt;&gt;""),"Invoiced","Scheduled"))))</f>
        <v/>
      </c>
      <c r="P52" s="115">
        <f>IF(B52="","",IF(E52&lt;&gt;"",E52,IFERROR(INDEX('Contractors'!$D$6:$D$1005,MATCH(B52,'Contractors'!$B$6:$B$1005,0)),"")))</f>
        <v/>
      </c>
      <c r="Q52" s="79">
        <f>IF(B52="","",IF(D52&lt;&gt;"",D52,IFERROR(INDEX('Contractors'!$E$6:$E$1005,MATCH(B52,'Contractors'!$B$6:$B$1005,0)),"")))</f>
        <v/>
      </c>
      <c r="R52" s="79">
        <f>IF(O52="","",IF(O52="OVERDUE",2,IF(O52="Paid",0,IF(AND(I52&lt;&gt;"",I52&lt;=AsOf+AlertDays),1,0))))</f>
        <v/>
      </c>
      <c r="S52" s="79">
        <f>IF(AND(B52&lt;&gt;"",M52="",I52&lt;&gt;""),IF(L52&lt;&gt;"",L52,IF(H52="",0,H52)),0)</f>
        <v/>
      </c>
      <c r="T52" s="79">
        <f>IF(AND(B52&lt;&gt;"",M52="",I52&lt;&gt;""),1/I52,0)</f>
        <v/>
      </c>
      <c r="U52" s="112">
        <f>IF(AND(B52&lt;&gt;"",M52="",I52&lt;&gt;""),I52,"")</f>
        <v/>
      </c>
      <c r="V52" s="79">
        <f>IF(U52="","",IF(U52&lt;AsOf,1,IF(U52&lt;=AsOf+AlertDays,2,IF(U52&lt;=AsOf+2*AlertDays,3,""))))</f>
        <v/>
      </c>
      <c r="W52" s="79">
        <f>IF(V52="","",IF(O52="OVERDUE","Overdue payment: ","Payment due: ")&amp;B52&amp;" — "&amp;C52&amp;" ("&amp;CurSym&amp;" "&amp;FIXED(S52,0)&amp;")")</f>
        <v/>
      </c>
      <c r="Z52" s="116">
        <f>IF('Contractors'!B52="","",'Contractors'!B52)</f>
        <v/>
      </c>
      <c r="AA52" s="77">
        <f>IF(Z52="","",'Contractors'!K52)</f>
        <v/>
      </c>
      <c r="AB52" s="77">
        <f>IF(Z52="","",SUMIFS($L$6:$L$1005,$B$6:$B$1005,Z52))</f>
        <v/>
      </c>
      <c r="AC52" s="77">
        <f>IF(Z52="","",SUMIFS($N$6:$N$1005,$B$6:$B$1005,Z52))</f>
        <v/>
      </c>
      <c r="AD52" s="76">
        <f>IF(Z52="","",AA52-AC52)</f>
        <v/>
      </c>
      <c r="AE52" s="117">
        <f>IF(Z52="","",IFERROR(1/SUMPRODUCT(MAX(($B$6:$B$1005=Z52)*$T$6:$T$1005)),""))</f>
        <v/>
      </c>
      <c r="AF52" s="77">
        <f>IF(AE52="","",SUMIFS($S$6:$S$1005,$B$6:$B$1005,Z52,$I$6:$I$1005,AE52))</f>
        <v/>
      </c>
    </row>
    <row r="53" ht="20" customHeight="1">
      <c r="B53" s="72" t="n"/>
      <c r="C53" s="72" t="n"/>
      <c r="D53" s="72" t="n"/>
      <c r="E53" s="72" t="n"/>
      <c r="F53" s="110" t="n"/>
      <c r="G53" s="73" t="n"/>
      <c r="H53" s="75">
        <f>IF(B53="","",IF(G53&lt;&gt;"",G53,IF(F53&lt;&gt;"",F53*IFERROR(INDEX('Contractors'!$I$6:$I$1005,MATCH(B53,'Contractors'!$B$6:$B$1005,0)),0),"")))</f>
        <v/>
      </c>
      <c r="I53" s="109" t="n"/>
      <c r="J53" s="72" t="n"/>
      <c r="K53" s="109" t="n"/>
      <c r="L53" s="73" t="n"/>
      <c r="M53" s="109" t="n"/>
      <c r="N53" s="73" t="n"/>
      <c r="O53" s="107">
        <f>IF(B53="","",IF(M53&lt;&gt;"","Paid",IF(AND(I53&lt;&gt;"",I53&lt;AsOf),"OVERDUE",IF(OR(K53&lt;&gt;"",L53&lt;&gt;""),"Invoiced","Scheduled"))))</f>
        <v/>
      </c>
      <c r="P53" s="115">
        <f>IF(B53="","",IF(E53&lt;&gt;"",E53,IFERROR(INDEX('Contractors'!$D$6:$D$1005,MATCH(B53,'Contractors'!$B$6:$B$1005,0)),"")))</f>
        <v/>
      </c>
      <c r="Q53" s="79">
        <f>IF(B53="","",IF(D53&lt;&gt;"",D53,IFERROR(INDEX('Contractors'!$E$6:$E$1005,MATCH(B53,'Contractors'!$B$6:$B$1005,0)),"")))</f>
        <v/>
      </c>
      <c r="R53" s="79">
        <f>IF(O53="","",IF(O53="OVERDUE",2,IF(O53="Paid",0,IF(AND(I53&lt;&gt;"",I53&lt;=AsOf+AlertDays),1,0))))</f>
        <v/>
      </c>
      <c r="S53" s="79">
        <f>IF(AND(B53&lt;&gt;"",M53="",I53&lt;&gt;""),IF(L53&lt;&gt;"",L53,IF(H53="",0,H53)),0)</f>
        <v/>
      </c>
      <c r="T53" s="79">
        <f>IF(AND(B53&lt;&gt;"",M53="",I53&lt;&gt;""),1/I53,0)</f>
        <v/>
      </c>
      <c r="U53" s="112">
        <f>IF(AND(B53&lt;&gt;"",M53="",I53&lt;&gt;""),I53,"")</f>
        <v/>
      </c>
      <c r="V53" s="79">
        <f>IF(U53="","",IF(U53&lt;AsOf,1,IF(U53&lt;=AsOf+AlertDays,2,IF(U53&lt;=AsOf+2*AlertDays,3,""))))</f>
        <v/>
      </c>
      <c r="W53" s="79">
        <f>IF(V53="","",IF(O53="OVERDUE","Overdue payment: ","Payment due: ")&amp;B53&amp;" — "&amp;C53&amp;" ("&amp;CurSym&amp;" "&amp;FIXED(S53,0)&amp;")")</f>
        <v/>
      </c>
      <c r="Z53" s="116">
        <f>IF('Contractors'!B53="","",'Contractors'!B53)</f>
        <v/>
      </c>
      <c r="AA53" s="77">
        <f>IF(Z53="","",'Contractors'!K53)</f>
        <v/>
      </c>
      <c r="AB53" s="77">
        <f>IF(Z53="","",SUMIFS($L$6:$L$1005,$B$6:$B$1005,Z53))</f>
        <v/>
      </c>
      <c r="AC53" s="77">
        <f>IF(Z53="","",SUMIFS($N$6:$N$1005,$B$6:$B$1005,Z53))</f>
        <v/>
      </c>
      <c r="AD53" s="76">
        <f>IF(Z53="","",AA53-AC53)</f>
        <v/>
      </c>
      <c r="AE53" s="117">
        <f>IF(Z53="","",IFERROR(1/SUMPRODUCT(MAX(($B$6:$B$1005=Z53)*$T$6:$T$1005)),""))</f>
        <v/>
      </c>
      <c r="AF53" s="77">
        <f>IF(AE53="","",SUMIFS($S$6:$S$1005,$B$6:$B$1005,Z53,$I$6:$I$1005,AE53))</f>
        <v/>
      </c>
    </row>
    <row r="54" ht="20" customHeight="1">
      <c r="B54" s="72" t="n"/>
      <c r="C54" s="72" t="n"/>
      <c r="D54" s="72" t="n"/>
      <c r="E54" s="72" t="n"/>
      <c r="F54" s="110" t="n"/>
      <c r="G54" s="73" t="n"/>
      <c r="H54" s="75">
        <f>IF(B54="","",IF(G54&lt;&gt;"",G54,IF(F54&lt;&gt;"",F54*IFERROR(INDEX('Contractors'!$I$6:$I$1005,MATCH(B54,'Contractors'!$B$6:$B$1005,0)),0),"")))</f>
        <v/>
      </c>
      <c r="I54" s="109" t="n"/>
      <c r="J54" s="72" t="n"/>
      <c r="K54" s="109" t="n"/>
      <c r="L54" s="73" t="n"/>
      <c r="M54" s="109" t="n"/>
      <c r="N54" s="73" t="n"/>
      <c r="O54" s="107">
        <f>IF(B54="","",IF(M54&lt;&gt;"","Paid",IF(AND(I54&lt;&gt;"",I54&lt;AsOf),"OVERDUE",IF(OR(K54&lt;&gt;"",L54&lt;&gt;""),"Invoiced","Scheduled"))))</f>
        <v/>
      </c>
      <c r="P54" s="115">
        <f>IF(B54="","",IF(E54&lt;&gt;"",E54,IFERROR(INDEX('Contractors'!$D$6:$D$1005,MATCH(B54,'Contractors'!$B$6:$B$1005,0)),"")))</f>
        <v/>
      </c>
      <c r="Q54" s="79">
        <f>IF(B54="","",IF(D54&lt;&gt;"",D54,IFERROR(INDEX('Contractors'!$E$6:$E$1005,MATCH(B54,'Contractors'!$B$6:$B$1005,0)),"")))</f>
        <v/>
      </c>
      <c r="R54" s="79">
        <f>IF(O54="","",IF(O54="OVERDUE",2,IF(O54="Paid",0,IF(AND(I54&lt;&gt;"",I54&lt;=AsOf+AlertDays),1,0))))</f>
        <v/>
      </c>
      <c r="S54" s="79">
        <f>IF(AND(B54&lt;&gt;"",M54="",I54&lt;&gt;""),IF(L54&lt;&gt;"",L54,IF(H54="",0,H54)),0)</f>
        <v/>
      </c>
      <c r="T54" s="79">
        <f>IF(AND(B54&lt;&gt;"",M54="",I54&lt;&gt;""),1/I54,0)</f>
        <v/>
      </c>
      <c r="U54" s="112">
        <f>IF(AND(B54&lt;&gt;"",M54="",I54&lt;&gt;""),I54,"")</f>
        <v/>
      </c>
      <c r="V54" s="79">
        <f>IF(U54="","",IF(U54&lt;AsOf,1,IF(U54&lt;=AsOf+AlertDays,2,IF(U54&lt;=AsOf+2*AlertDays,3,""))))</f>
        <v/>
      </c>
      <c r="W54" s="79">
        <f>IF(V54="","",IF(O54="OVERDUE","Overdue payment: ","Payment due: ")&amp;B54&amp;" — "&amp;C54&amp;" ("&amp;CurSym&amp;" "&amp;FIXED(S54,0)&amp;")")</f>
        <v/>
      </c>
      <c r="Z54" s="116">
        <f>IF('Contractors'!B54="","",'Contractors'!B54)</f>
        <v/>
      </c>
      <c r="AA54" s="77">
        <f>IF(Z54="","",'Contractors'!K54)</f>
        <v/>
      </c>
      <c r="AB54" s="77">
        <f>IF(Z54="","",SUMIFS($L$6:$L$1005,$B$6:$B$1005,Z54))</f>
        <v/>
      </c>
      <c r="AC54" s="77">
        <f>IF(Z54="","",SUMIFS($N$6:$N$1005,$B$6:$B$1005,Z54))</f>
        <v/>
      </c>
      <c r="AD54" s="76">
        <f>IF(Z54="","",AA54-AC54)</f>
        <v/>
      </c>
      <c r="AE54" s="117">
        <f>IF(Z54="","",IFERROR(1/SUMPRODUCT(MAX(($B$6:$B$1005=Z54)*$T$6:$T$1005)),""))</f>
        <v/>
      </c>
      <c r="AF54" s="77">
        <f>IF(AE54="","",SUMIFS($S$6:$S$1005,$B$6:$B$1005,Z54,$I$6:$I$1005,AE54))</f>
        <v/>
      </c>
    </row>
    <row r="55" ht="20" customHeight="1">
      <c r="B55" s="72" t="n"/>
      <c r="C55" s="72" t="n"/>
      <c r="D55" s="72" t="n"/>
      <c r="E55" s="72" t="n"/>
      <c r="F55" s="110" t="n"/>
      <c r="G55" s="73" t="n"/>
      <c r="H55" s="75">
        <f>IF(B55="","",IF(G55&lt;&gt;"",G55,IF(F55&lt;&gt;"",F55*IFERROR(INDEX('Contractors'!$I$6:$I$1005,MATCH(B55,'Contractors'!$B$6:$B$1005,0)),0),"")))</f>
        <v/>
      </c>
      <c r="I55" s="109" t="n"/>
      <c r="J55" s="72" t="n"/>
      <c r="K55" s="109" t="n"/>
      <c r="L55" s="73" t="n"/>
      <c r="M55" s="109" t="n"/>
      <c r="N55" s="73" t="n"/>
      <c r="O55" s="107">
        <f>IF(B55="","",IF(M55&lt;&gt;"","Paid",IF(AND(I55&lt;&gt;"",I55&lt;AsOf),"OVERDUE",IF(OR(K55&lt;&gt;"",L55&lt;&gt;""),"Invoiced","Scheduled"))))</f>
        <v/>
      </c>
      <c r="P55" s="115">
        <f>IF(B55="","",IF(E55&lt;&gt;"",E55,IFERROR(INDEX('Contractors'!$D$6:$D$1005,MATCH(B55,'Contractors'!$B$6:$B$1005,0)),"")))</f>
        <v/>
      </c>
      <c r="Q55" s="79">
        <f>IF(B55="","",IF(D55&lt;&gt;"",D55,IFERROR(INDEX('Contractors'!$E$6:$E$1005,MATCH(B55,'Contractors'!$B$6:$B$1005,0)),"")))</f>
        <v/>
      </c>
      <c r="R55" s="79">
        <f>IF(O55="","",IF(O55="OVERDUE",2,IF(O55="Paid",0,IF(AND(I55&lt;&gt;"",I55&lt;=AsOf+AlertDays),1,0))))</f>
        <v/>
      </c>
      <c r="S55" s="79">
        <f>IF(AND(B55&lt;&gt;"",M55="",I55&lt;&gt;""),IF(L55&lt;&gt;"",L55,IF(H55="",0,H55)),0)</f>
        <v/>
      </c>
      <c r="T55" s="79">
        <f>IF(AND(B55&lt;&gt;"",M55="",I55&lt;&gt;""),1/I55,0)</f>
        <v/>
      </c>
      <c r="U55" s="112">
        <f>IF(AND(B55&lt;&gt;"",M55="",I55&lt;&gt;""),I55,"")</f>
        <v/>
      </c>
      <c r="V55" s="79">
        <f>IF(U55="","",IF(U55&lt;AsOf,1,IF(U55&lt;=AsOf+AlertDays,2,IF(U55&lt;=AsOf+2*AlertDays,3,""))))</f>
        <v/>
      </c>
      <c r="W55" s="79">
        <f>IF(V55="","",IF(O55="OVERDUE","Overdue payment: ","Payment due: ")&amp;B55&amp;" — "&amp;C55&amp;" ("&amp;CurSym&amp;" "&amp;FIXED(S55,0)&amp;")")</f>
        <v/>
      </c>
      <c r="Z55" s="116">
        <f>IF('Contractors'!B55="","",'Contractors'!B55)</f>
        <v/>
      </c>
      <c r="AA55" s="77">
        <f>IF(Z55="","",'Contractors'!K55)</f>
        <v/>
      </c>
      <c r="AB55" s="77">
        <f>IF(Z55="","",SUMIFS($L$6:$L$1005,$B$6:$B$1005,Z55))</f>
        <v/>
      </c>
      <c r="AC55" s="77">
        <f>IF(Z55="","",SUMIFS($N$6:$N$1005,$B$6:$B$1005,Z55))</f>
        <v/>
      </c>
      <c r="AD55" s="76">
        <f>IF(Z55="","",AA55-AC55)</f>
        <v/>
      </c>
      <c r="AE55" s="117">
        <f>IF(Z55="","",IFERROR(1/SUMPRODUCT(MAX(($B$6:$B$1005=Z55)*$T$6:$T$1005)),""))</f>
        <v/>
      </c>
      <c r="AF55" s="77">
        <f>IF(AE55="","",SUMIFS($S$6:$S$1005,$B$6:$B$1005,Z55,$I$6:$I$1005,AE55))</f>
        <v/>
      </c>
    </row>
    <row r="56" ht="20" customHeight="1">
      <c r="B56" s="72" t="n"/>
      <c r="C56" s="72" t="n"/>
      <c r="D56" s="72" t="n"/>
      <c r="E56" s="72" t="n"/>
      <c r="F56" s="110" t="n"/>
      <c r="G56" s="73" t="n"/>
      <c r="H56" s="75">
        <f>IF(B56="","",IF(G56&lt;&gt;"",G56,IF(F56&lt;&gt;"",F56*IFERROR(INDEX('Contractors'!$I$6:$I$1005,MATCH(B56,'Contractors'!$B$6:$B$1005,0)),0),"")))</f>
        <v/>
      </c>
      <c r="I56" s="109" t="n"/>
      <c r="J56" s="72" t="n"/>
      <c r="K56" s="109" t="n"/>
      <c r="L56" s="73" t="n"/>
      <c r="M56" s="109" t="n"/>
      <c r="N56" s="73" t="n"/>
      <c r="O56" s="107">
        <f>IF(B56="","",IF(M56&lt;&gt;"","Paid",IF(AND(I56&lt;&gt;"",I56&lt;AsOf),"OVERDUE",IF(OR(K56&lt;&gt;"",L56&lt;&gt;""),"Invoiced","Scheduled"))))</f>
        <v/>
      </c>
      <c r="P56" s="115">
        <f>IF(B56="","",IF(E56&lt;&gt;"",E56,IFERROR(INDEX('Contractors'!$D$6:$D$1005,MATCH(B56,'Contractors'!$B$6:$B$1005,0)),"")))</f>
        <v/>
      </c>
      <c r="Q56" s="79">
        <f>IF(B56="","",IF(D56&lt;&gt;"",D56,IFERROR(INDEX('Contractors'!$E$6:$E$1005,MATCH(B56,'Contractors'!$B$6:$B$1005,0)),"")))</f>
        <v/>
      </c>
      <c r="R56" s="79">
        <f>IF(O56="","",IF(O56="OVERDUE",2,IF(O56="Paid",0,IF(AND(I56&lt;&gt;"",I56&lt;=AsOf+AlertDays),1,0))))</f>
        <v/>
      </c>
      <c r="S56" s="79">
        <f>IF(AND(B56&lt;&gt;"",M56="",I56&lt;&gt;""),IF(L56&lt;&gt;"",L56,IF(H56="",0,H56)),0)</f>
        <v/>
      </c>
      <c r="T56" s="79">
        <f>IF(AND(B56&lt;&gt;"",M56="",I56&lt;&gt;""),1/I56,0)</f>
        <v/>
      </c>
      <c r="U56" s="112">
        <f>IF(AND(B56&lt;&gt;"",M56="",I56&lt;&gt;""),I56,"")</f>
        <v/>
      </c>
      <c r="V56" s="79">
        <f>IF(U56="","",IF(U56&lt;AsOf,1,IF(U56&lt;=AsOf+AlertDays,2,IF(U56&lt;=AsOf+2*AlertDays,3,""))))</f>
        <v/>
      </c>
      <c r="W56" s="79">
        <f>IF(V56="","",IF(O56="OVERDUE","Overdue payment: ","Payment due: ")&amp;B56&amp;" — "&amp;C56&amp;" ("&amp;CurSym&amp;" "&amp;FIXED(S56,0)&amp;")")</f>
        <v/>
      </c>
      <c r="Z56" s="116">
        <f>IF('Contractors'!B56="","",'Contractors'!B56)</f>
        <v/>
      </c>
      <c r="AA56" s="77">
        <f>IF(Z56="","",'Contractors'!K56)</f>
        <v/>
      </c>
      <c r="AB56" s="77">
        <f>IF(Z56="","",SUMIFS($L$6:$L$1005,$B$6:$B$1005,Z56))</f>
        <v/>
      </c>
      <c r="AC56" s="77">
        <f>IF(Z56="","",SUMIFS($N$6:$N$1005,$B$6:$B$1005,Z56))</f>
        <v/>
      </c>
      <c r="AD56" s="76">
        <f>IF(Z56="","",AA56-AC56)</f>
        <v/>
      </c>
      <c r="AE56" s="117">
        <f>IF(Z56="","",IFERROR(1/SUMPRODUCT(MAX(($B$6:$B$1005=Z56)*$T$6:$T$1005)),""))</f>
        <v/>
      </c>
      <c r="AF56" s="77">
        <f>IF(AE56="","",SUMIFS($S$6:$S$1005,$B$6:$B$1005,Z56,$I$6:$I$1005,AE56))</f>
        <v/>
      </c>
    </row>
    <row r="57" ht="20" customHeight="1">
      <c r="B57" s="72" t="n"/>
      <c r="C57" s="72" t="n"/>
      <c r="D57" s="72" t="n"/>
      <c r="E57" s="72" t="n"/>
      <c r="F57" s="110" t="n"/>
      <c r="G57" s="73" t="n"/>
      <c r="H57" s="75">
        <f>IF(B57="","",IF(G57&lt;&gt;"",G57,IF(F57&lt;&gt;"",F57*IFERROR(INDEX('Contractors'!$I$6:$I$1005,MATCH(B57,'Contractors'!$B$6:$B$1005,0)),0),"")))</f>
        <v/>
      </c>
      <c r="I57" s="109" t="n"/>
      <c r="J57" s="72" t="n"/>
      <c r="K57" s="109" t="n"/>
      <c r="L57" s="73" t="n"/>
      <c r="M57" s="109" t="n"/>
      <c r="N57" s="73" t="n"/>
      <c r="O57" s="107">
        <f>IF(B57="","",IF(M57&lt;&gt;"","Paid",IF(AND(I57&lt;&gt;"",I57&lt;AsOf),"OVERDUE",IF(OR(K57&lt;&gt;"",L57&lt;&gt;""),"Invoiced","Scheduled"))))</f>
        <v/>
      </c>
      <c r="P57" s="115">
        <f>IF(B57="","",IF(E57&lt;&gt;"",E57,IFERROR(INDEX('Contractors'!$D$6:$D$1005,MATCH(B57,'Contractors'!$B$6:$B$1005,0)),"")))</f>
        <v/>
      </c>
      <c r="Q57" s="79">
        <f>IF(B57="","",IF(D57&lt;&gt;"",D57,IFERROR(INDEX('Contractors'!$E$6:$E$1005,MATCH(B57,'Contractors'!$B$6:$B$1005,0)),"")))</f>
        <v/>
      </c>
      <c r="R57" s="79">
        <f>IF(O57="","",IF(O57="OVERDUE",2,IF(O57="Paid",0,IF(AND(I57&lt;&gt;"",I57&lt;=AsOf+AlertDays),1,0))))</f>
        <v/>
      </c>
      <c r="S57" s="79">
        <f>IF(AND(B57&lt;&gt;"",M57="",I57&lt;&gt;""),IF(L57&lt;&gt;"",L57,IF(H57="",0,H57)),0)</f>
        <v/>
      </c>
      <c r="T57" s="79">
        <f>IF(AND(B57&lt;&gt;"",M57="",I57&lt;&gt;""),1/I57,0)</f>
        <v/>
      </c>
      <c r="U57" s="112">
        <f>IF(AND(B57&lt;&gt;"",M57="",I57&lt;&gt;""),I57,"")</f>
        <v/>
      </c>
      <c r="V57" s="79">
        <f>IF(U57="","",IF(U57&lt;AsOf,1,IF(U57&lt;=AsOf+AlertDays,2,IF(U57&lt;=AsOf+2*AlertDays,3,""))))</f>
        <v/>
      </c>
      <c r="W57" s="79">
        <f>IF(V57="","",IF(O57="OVERDUE","Overdue payment: ","Payment due: ")&amp;B57&amp;" — "&amp;C57&amp;" ("&amp;CurSym&amp;" "&amp;FIXED(S57,0)&amp;")")</f>
        <v/>
      </c>
      <c r="Z57" s="116">
        <f>IF('Contractors'!B57="","",'Contractors'!B57)</f>
        <v/>
      </c>
      <c r="AA57" s="77">
        <f>IF(Z57="","",'Contractors'!K57)</f>
        <v/>
      </c>
      <c r="AB57" s="77">
        <f>IF(Z57="","",SUMIFS($L$6:$L$1005,$B$6:$B$1005,Z57))</f>
        <v/>
      </c>
      <c r="AC57" s="77">
        <f>IF(Z57="","",SUMIFS($N$6:$N$1005,$B$6:$B$1005,Z57))</f>
        <v/>
      </c>
      <c r="AD57" s="76">
        <f>IF(Z57="","",AA57-AC57)</f>
        <v/>
      </c>
      <c r="AE57" s="117">
        <f>IF(Z57="","",IFERROR(1/SUMPRODUCT(MAX(($B$6:$B$1005=Z57)*$T$6:$T$1005)),""))</f>
        <v/>
      </c>
      <c r="AF57" s="77">
        <f>IF(AE57="","",SUMIFS($S$6:$S$1005,$B$6:$B$1005,Z57,$I$6:$I$1005,AE57))</f>
        <v/>
      </c>
    </row>
    <row r="58" ht="20" customHeight="1">
      <c r="B58" s="72" t="n"/>
      <c r="C58" s="72" t="n"/>
      <c r="D58" s="72" t="n"/>
      <c r="E58" s="72" t="n"/>
      <c r="F58" s="110" t="n"/>
      <c r="G58" s="73" t="n"/>
      <c r="H58" s="75">
        <f>IF(B58="","",IF(G58&lt;&gt;"",G58,IF(F58&lt;&gt;"",F58*IFERROR(INDEX('Contractors'!$I$6:$I$1005,MATCH(B58,'Contractors'!$B$6:$B$1005,0)),0),"")))</f>
        <v/>
      </c>
      <c r="I58" s="109" t="n"/>
      <c r="J58" s="72" t="n"/>
      <c r="K58" s="109" t="n"/>
      <c r="L58" s="73" t="n"/>
      <c r="M58" s="109" t="n"/>
      <c r="N58" s="73" t="n"/>
      <c r="O58" s="107">
        <f>IF(B58="","",IF(M58&lt;&gt;"","Paid",IF(AND(I58&lt;&gt;"",I58&lt;AsOf),"OVERDUE",IF(OR(K58&lt;&gt;"",L58&lt;&gt;""),"Invoiced","Scheduled"))))</f>
        <v/>
      </c>
      <c r="P58" s="115">
        <f>IF(B58="","",IF(E58&lt;&gt;"",E58,IFERROR(INDEX('Contractors'!$D$6:$D$1005,MATCH(B58,'Contractors'!$B$6:$B$1005,0)),"")))</f>
        <v/>
      </c>
      <c r="Q58" s="79">
        <f>IF(B58="","",IF(D58&lt;&gt;"",D58,IFERROR(INDEX('Contractors'!$E$6:$E$1005,MATCH(B58,'Contractors'!$B$6:$B$1005,0)),"")))</f>
        <v/>
      </c>
      <c r="R58" s="79">
        <f>IF(O58="","",IF(O58="OVERDUE",2,IF(O58="Paid",0,IF(AND(I58&lt;&gt;"",I58&lt;=AsOf+AlertDays),1,0))))</f>
        <v/>
      </c>
      <c r="S58" s="79">
        <f>IF(AND(B58&lt;&gt;"",M58="",I58&lt;&gt;""),IF(L58&lt;&gt;"",L58,IF(H58="",0,H58)),0)</f>
        <v/>
      </c>
      <c r="T58" s="79">
        <f>IF(AND(B58&lt;&gt;"",M58="",I58&lt;&gt;""),1/I58,0)</f>
        <v/>
      </c>
      <c r="U58" s="112">
        <f>IF(AND(B58&lt;&gt;"",M58="",I58&lt;&gt;""),I58,"")</f>
        <v/>
      </c>
      <c r="V58" s="79">
        <f>IF(U58="","",IF(U58&lt;AsOf,1,IF(U58&lt;=AsOf+AlertDays,2,IF(U58&lt;=AsOf+2*AlertDays,3,""))))</f>
        <v/>
      </c>
      <c r="W58" s="79">
        <f>IF(V58="","",IF(O58="OVERDUE","Overdue payment: ","Payment due: ")&amp;B58&amp;" — "&amp;C58&amp;" ("&amp;CurSym&amp;" "&amp;FIXED(S58,0)&amp;")")</f>
        <v/>
      </c>
      <c r="Z58" s="116">
        <f>IF('Contractors'!B58="","",'Contractors'!B58)</f>
        <v/>
      </c>
      <c r="AA58" s="77">
        <f>IF(Z58="","",'Contractors'!K58)</f>
        <v/>
      </c>
      <c r="AB58" s="77">
        <f>IF(Z58="","",SUMIFS($L$6:$L$1005,$B$6:$B$1005,Z58))</f>
        <v/>
      </c>
      <c r="AC58" s="77">
        <f>IF(Z58="","",SUMIFS($N$6:$N$1005,$B$6:$B$1005,Z58))</f>
        <v/>
      </c>
      <c r="AD58" s="76">
        <f>IF(Z58="","",AA58-AC58)</f>
        <v/>
      </c>
      <c r="AE58" s="117">
        <f>IF(Z58="","",IFERROR(1/SUMPRODUCT(MAX(($B$6:$B$1005=Z58)*$T$6:$T$1005)),""))</f>
        <v/>
      </c>
      <c r="AF58" s="77">
        <f>IF(AE58="","",SUMIFS($S$6:$S$1005,$B$6:$B$1005,Z58,$I$6:$I$1005,AE58))</f>
        <v/>
      </c>
    </row>
    <row r="59" ht="20" customHeight="1">
      <c r="B59" s="72" t="n"/>
      <c r="C59" s="72" t="n"/>
      <c r="D59" s="72" t="n"/>
      <c r="E59" s="72" t="n"/>
      <c r="F59" s="110" t="n"/>
      <c r="G59" s="73" t="n"/>
      <c r="H59" s="75">
        <f>IF(B59="","",IF(G59&lt;&gt;"",G59,IF(F59&lt;&gt;"",F59*IFERROR(INDEX('Contractors'!$I$6:$I$1005,MATCH(B59,'Contractors'!$B$6:$B$1005,0)),0),"")))</f>
        <v/>
      </c>
      <c r="I59" s="109" t="n"/>
      <c r="J59" s="72" t="n"/>
      <c r="K59" s="109" t="n"/>
      <c r="L59" s="73" t="n"/>
      <c r="M59" s="109" t="n"/>
      <c r="N59" s="73" t="n"/>
      <c r="O59" s="107">
        <f>IF(B59="","",IF(M59&lt;&gt;"","Paid",IF(AND(I59&lt;&gt;"",I59&lt;AsOf),"OVERDUE",IF(OR(K59&lt;&gt;"",L59&lt;&gt;""),"Invoiced","Scheduled"))))</f>
        <v/>
      </c>
      <c r="P59" s="115">
        <f>IF(B59="","",IF(E59&lt;&gt;"",E59,IFERROR(INDEX('Contractors'!$D$6:$D$1005,MATCH(B59,'Contractors'!$B$6:$B$1005,0)),"")))</f>
        <v/>
      </c>
      <c r="Q59" s="79">
        <f>IF(B59="","",IF(D59&lt;&gt;"",D59,IFERROR(INDEX('Contractors'!$E$6:$E$1005,MATCH(B59,'Contractors'!$B$6:$B$1005,0)),"")))</f>
        <v/>
      </c>
      <c r="R59" s="79">
        <f>IF(O59="","",IF(O59="OVERDUE",2,IF(O59="Paid",0,IF(AND(I59&lt;&gt;"",I59&lt;=AsOf+AlertDays),1,0))))</f>
        <v/>
      </c>
      <c r="S59" s="79">
        <f>IF(AND(B59&lt;&gt;"",M59="",I59&lt;&gt;""),IF(L59&lt;&gt;"",L59,IF(H59="",0,H59)),0)</f>
        <v/>
      </c>
      <c r="T59" s="79">
        <f>IF(AND(B59&lt;&gt;"",M59="",I59&lt;&gt;""),1/I59,0)</f>
        <v/>
      </c>
      <c r="U59" s="112">
        <f>IF(AND(B59&lt;&gt;"",M59="",I59&lt;&gt;""),I59,"")</f>
        <v/>
      </c>
      <c r="V59" s="79">
        <f>IF(U59="","",IF(U59&lt;AsOf,1,IF(U59&lt;=AsOf+AlertDays,2,IF(U59&lt;=AsOf+2*AlertDays,3,""))))</f>
        <v/>
      </c>
      <c r="W59" s="79">
        <f>IF(V59="","",IF(O59="OVERDUE","Overdue payment: ","Payment due: ")&amp;B59&amp;" — "&amp;C59&amp;" ("&amp;CurSym&amp;" "&amp;FIXED(S59,0)&amp;")")</f>
        <v/>
      </c>
      <c r="Z59" s="116">
        <f>IF('Contractors'!B59="","",'Contractors'!B59)</f>
        <v/>
      </c>
      <c r="AA59" s="77">
        <f>IF(Z59="","",'Contractors'!K59)</f>
        <v/>
      </c>
      <c r="AB59" s="77">
        <f>IF(Z59="","",SUMIFS($L$6:$L$1005,$B$6:$B$1005,Z59))</f>
        <v/>
      </c>
      <c r="AC59" s="77">
        <f>IF(Z59="","",SUMIFS($N$6:$N$1005,$B$6:$B$1005,Z59))</f>
        <v/>
      </c>
      <c r="AD59" s="76">
        <f>IF(Z59="","",AA59-AC59)</f>
        <v/>
      </c>
      <c r="AE59" s="117">
        <f>IF(Z59="","",IFERROR(1/SUMPRODUCT(MAX(($B$6:$B$1005=Z59)*$T$6:$T$1005)),""))</f>
        <v/>
      </c>
      <c r="AF59" s="77">
        <f>IF(AE59="","",SUMIFS($S$6:$S$1005,$B$6:$B$1005,Z59,$I$6:$I$1005,AE59))</f>
        <v/>
      </c>
    </row>
    <row r="60" ht="20" customHeight="1">
      <c r="B60" s="72" t="n"/>
      <c r="C60" s="72" t="n"/>
      <c r="D60" s="72" t="n"/>
      <c r="E60" s="72" t="n"/>
      <c r="F60" s="110" t="n"/>
      <c r="G60" s="73" t="n"/>
      <c r="H60" s="75">
        <f>IF(B60="","",IF(G60&lt;&gt;"",G60,IF(F60&lt;&gt;"",F60*IFERROR(INDEX('Contractors'!$I$6:$I$1005,MATCH(B60,'Contractors'!$B$6:$B$1005,0)),0),"")))</f>
        <v/>
      </c>
      <c r="I60" s="109" t="n"/>
      <c r="J60" s="72" t="n"/>
      <c r="K60" s="109" t="n"/>
      <c r="L60" s="73" t="n"/>
      <c r="M60" s="109" t="n"/>
      <c r="N60" s="73" t="n"/>
      <c r="O60" s="107">
        <f>IF(B60="","",IF(M60&lt;&gt;"","Paid",IF(AND(I60&lt;&gt;"",I60&lt;AsOf),"OVERDUE",IF(OR(K60&lt;&gt;"",L60&lt;&gt;""),"Invoiced","Scheduled"))))</f>
        <v/>
      </c>
      <c r="P60" s="115">
        <f>IF(B60="","",IF(E60&lt;&gt;"",E60,IFERROR(INDEX('Contractors'!$D$6:$D$1005,MATCH(B60,'Contractors'!$B$6:$B$1005,0)),"")))</f>
        <v/>
      </c>
      <c r="Q60" s="79">
        <f>IF(B60="","",IF(D60&lt;&gt;"",D60,IFERROR(INDEX('Contractors'!$E$6:$E$1005,MATCH(B60,'Contractors'!$B$6:$B$1005,0)),"")))</f>
        <v/>
      </c>
      <c r="R60" s="79">
        <f>IF(O60="","",IF(O60="OVERDUE",2,IF(O60="Paid",0,IF(AND(I60&lt;&gt;"",I60&lt;=AsOf+AlertDays),1,0))))</f>
        <v/>
      </c>
      <c r="S60" s="79">
        <f>IF(AND(B60&lt;&gt;"",M60="",I60&lt;&gt;""),IF(L60&lt;&gt;"",L60,IF(H60="",0,H60)),0)</f>
        <v/>
      </c>
      <c r="T60" s="79">
        <f>IF(AND(B60&lt;&gt;"",M60="",I60&lt;&gt;""),1/I60,0)</f>
        <v/>
      </c>
      <c r="U60" s="112">
        <f>IF(AND(B60&lt;&gt;"",M60="",I60&lt;&gt;""),I60,"")</f>
        <v/>
      </c>
      <c r="V60" s="79">
        <f>IF(U60="","",IF(U60&lt;AsOf,1,IF(U60&lt;=AsOf+AlertDays,2,IF(U60&lt;=AsOf+2*AlertDays,3,""))))</f>
        <v/>
      </c>
      <c r="W60" s="79">
        <f>IF(V60="","",IF(O60="OVERDUE","Overdue payment: ","Payment due: ")&amp;B60&amp;" — "&amp;C60&amp;" ("&amp;CurSym&amp;" "&amp;FIXED(S60,0)&amp;")")</f>
        <v/>
      </c>
      <c r="Z60" s="116">
        <f>IF('Contractors'!B60="","",'Contractors'!B60)</f>
        <v/>
      </c>
      <c r="AA60" s="77">
        <f>IF(Z60="","",'Contractors'!K60)</f>
        <v/>
      </c>
      <c r="AB60" s="77">
        <f>IF(Z60="","",SUMIFS($L$6:$L$1005,$B$6:$B$1005,Z60))</f>
        <v/>
      </c>
      <c r="AC60" s="77">
        <f>IF(Z60="","",SUMIFS($N$6:$N$1005,$B$6:$B$1005,Z60))</f>
        <v/>
      </c>
      <c r="AD60" s="76">
        <f>IF(Z60="","",AA60-AC60)</f>
        <v/>
      </c>
      <c r="AE60" s="117">
        <f>IF(Z60="","",IFERROR(1/SUMPRODUCT(MAX(($B$6:$B$1005=Z60)*$T$6:$T$1005)),""))</f>
        <v/>
      </c>
      <c r="AF60" s="77">
        <f>IF(AE60="","",SUMIFS($S$6:$S$1005,$B$6:$B$1005,Z60,$I$6:$I$1005,AE60))</f>
        <v/>
      </c>
    </row>
    <row r="61" ht="20" customHeight="1">
      <c r="B61" s="72" t="n"/>
      <c r="C61" s="72" t="n"/>
      <c r="D61" s="72" t="n"/>
      <c r="E61" s="72" t="n"/>
      <c r="F61" s="110" t="n"/>
      <c r="G61" s="73" t="n"/>
      <c r="H61" s="75">
        <f>IF(B61="","",IF(G61&lt;&gt;"",G61,IF(F61&lt;&gt;"",F61*IFERROR(INDEX('Contractors'!$I$6:$I$1005,MATCH(B61,'Contractors'!$B$6:$B$1005,0)),0),"")))</f>
        <v/>
      </c>
      <c r="I61" s="109" t="n"/>
      <c r="J61" s="72" t="n"/>
      <c r="K61" s="109" t="n"/>
      <c r="L61" s="73" t="n"/>
      <c r="M61" s="109" t="n"/>
      <c r="N61" s="73" t="n"/>
      <c r="O61" s="107">
        <f>IF(B61="","",IF(M61&lt;&gt;"","Paid",IF(AND(I61&lt;&gt;"",I61&lt;AsOf),"OVERDUE",IF(OR(K61&lt;&gt;"",L61&lt;&gt;""),"Invoiced","Scheduled"))))</f>
        <v/>
      </c>
      <c r="P61" s="115">
        <f>IF(B61="","",IF(E61&lt;&gt;"",E61,IFERROR(INDEX('Contractors'!$D$6:$D$1005,MATCH(B61,'Contractors'!$B$6:$B$1005,0)),"")))</f>
        <v/>
      </c>
      <c r="Q61" s="79">
        <f>IF(B61="","",IF(D61&lt;&gt;"",D61,IFERROR(INDEX('Contractors'!$E$6:$E$1005,MATCH(B61,'Contractors'!$B$6:$B$1005,0)),"")))</f>
        <v/>
      </c>
      <c r="R61" s="79">
        <f>IF(O61="","",IF(O61="OVERDUE",2,IF(O61="Paid",0,IF(AND(I61&lt;&gt;"",I61&lt;=AsOf+AlertDays),1,0))))</f>
        <v/>
      </c>
      <c r="S61" s="79">
        <f>IF(AND(B61&lt;&gt;"",M61="",I61&lt;&gt;""),IF(L61&lt;&gt;"",L61,IF(H61="",0,H61)),0)</f>
        <v/>
      </c>
      <c r="T61" s="79">
        <f>IF(AND(B61&lt;&gt;"",M61="",I61&lt;&gt;""),1/I61,0)</f>
        <v/>
      </c>
      <c r="U61" s="112">
        <f>IF(AND(B61&lt;&gt;"",M61="",I61&lt;&gt;""),I61,"")</f>
        <v/>
      </c>
      <c r="V61" s="79">
        <f>IF(U61="","",IF(U61&lt;AsOf,1,IF(U61&lt;=AsOf+AlertDays,2,IF(U61&lt;=AsOf+2*AlertDays,3,""))))</f>
        <v/>
      </c>
      <c r="W61" s="79">
        <f>IF(V61="","",IF(O61="OVERDUE","Overdue payment: ","Payment due: ")&amp;B61&amp;" — "&amp;C61&amp;" ("&amp;CurSym&amp;" "&amp;FIXED(S61,0)&amp;")")</f>
        <v/>
      </c>
      <c r="Z61" s="116">
        <f>IF('Contractors'!B61="","",'Contractors'!B61)</f>
        <v/>
      </c>
      <c r="AA61" s="77">
        <f>IF(Z61="","",'Contractors'!K61)</f>
        <v/>
      </c>
      <c r="AB61" s="77">
        <f>IF(Z61="","",SUMIFS($L$6:$L$1005,$B$6:$B$1005,Z61))</f>
        <v/>
      </c>
      <c r="AC61" s="77">
        <f>IF(Z61="","",SUMIFS($N$6:$N$1005,$B$6:$B$1005,Z61))</f>
        <v/>
      </c>
      <c r="AD61" s="76">
        <f>IF(Z61="","",AA61-AC61)</f>
        <v/>
      </c>
      <c r="AE61" s="117">
        <f>IF(Z61="","",IFERROR(1/SUMPRODUCT(MAX(($B$6:$B$1005=Z61)*$T$6:$T$1005)),""))</f>
        <v/>
      </c>
      <c r="AF61" s="77">
        <f>IF(AE61="","",SUMIFS($S$6:$S$1005,$B$6:$B$1005,Z61,$I$6:$I$1005,AE61))</f>
        <v/>
      </c>
    </row>
    <row r="62" ht="20" customHeight="1">
      <c r="B62" s="72" t="n"/>
      <c r="C62" s="72" t="n"/>
      <c r="D62" s="72" t="n"/>
      <c r="E62" s="72" t="n"/>
      <c r="F62" s="110" t="n"/>
      <c r="G62" s="73" t="n"/>
      <c r="H62" s="75">
        <f>IF(B62="","",IF(G62&lt;&gt;"",G62,IF(F62&lt;&gt;"",F62*IFERROR(INDEX('Contractors'!$I$6:$I$1005,MATCH(B62,'Contractors'!$B$6:$B$1005,0)),0),"")))</f>
        <v/>
      </c>
      <c r="I62" s="109" t="n"/>
      <c r="J62" s="72" t="n"/>
      <c r="K62" s="109" t="n"/>
      <c r="L62" s="73" t="n"/>
      <c r="M62" s="109" t="n"/>
      <c r="N62" s="73" t="n"/>
      <c r="O62" s="107">
        <f>IF(B62="","",IF(M62&lt;&gt;"","Paid",IF(AND(I62&lt;&gt;"",I62&lt;AsOf),"OVERDUE",IF(OR(K62&lt;&gt;"",L62&lt;&gt;""),"Invoiced","Scheduled"))))</f>
        <v/>
      </c>
      <c r="P62" s="115">
        <f>IF(B62="","",IF(E62&lt;&gt;"",E62,IFERROR(INDEX('Contractors'!$D$6:$D$1005,MATCH(B62,'Contractors'!$B$6:$B$1005,0)),"")))</f>
        <v/>
      </c>
      <c r="Q62" s="79">
        <f>IF(B62="","",IF(D62&lt;&gt;"",D62,IFERROR(INDEX('Contractors'!$E$6:$E$1005,MATCH(B62,'Contractors'!$B$6:$B$1005,0)),"")))</f>
        <v/>
      </c>
      <c r="R62" s="79">
        <f>IF(O62="","",IF(O62="OVERDUE",2,IF(O62="Paid",0,IF(AND(I62&lt;&gt;"",I62&lt;=AsOf+AlertDays),1,0))))</f>
        <v/>
      </c>
      <c r="S62" s="79">
        <f>IF(AND(B62&lt;&gt;"",M62="",I62&lt;&gt;""),IF(L62&lt;&gt;"",L62,IF(H62="",0,H62)),0)</f>
        <v/>
      </c>
      <c r="T62" s="79">
        <f>IF(AND(B62&lt;&gt;"",M62="",I62&lt;&gt;""),1/I62,0)</f>
        <v/>
      </c>
      <c r="U62" s="112">
        <f>IF(AND(B62&lt;&gt;"",M62="",I62&lt;&gt;""),I62,"")</f>
        <v/>
      </c>
      <c r="V62" s="79">
        <f>IF(U62="","",IF(U62&lt;AsOf,1,IF(U62&lt;=AsOf+AlertDays,2,IF(U62&lt;=AsOf+2*AlertDays,3,""))))</f>
        <v/>
      </c>
      <c r="W62" s="79">
        <f>IF(V62="","",IF(O62="OVERDUE","Overdue payment: ","Payment due: ")&amp;B62&amp;" — "&amp;C62&amp;" ("&amp;CurSym&amp;" "&amp;FIXED(S62,0)&amp;")")</f>
        <v/>
      </c>
      <c r="Z62" s="116">
        <f>IF('Contractors'!B62="","",'Contractors'!B62)</f>
        <v/>
      </c>
      <c r="AA62" s="77">
        <f>IF(Z62="","",'Contractors'!K62)</f>
        <v/>
      </c>
      <c r="AB62" s="77">
        <f>IF(Z62="","",SUMIFS($L$6:$L$1005,$B$6:$B$1005,Z62))</f>
        <v/>
      </c>
      <c r="AC62" s="77">
        <f>IF(Z62="","",SUMIFS($N$6:$N$1005,$B$6:$B$1005,Z62))</f>
        <v/>
      </c>
      <c r="AD62" s="76">
        <f>IF(Z62="","",AA62-AC62)</f>
        <v/>
      </c>
      <c r="AE62" s="117">
        <f>IF(Z62="","",IFERROR(1/SUMPRODUCT(MAX(($B$6:$B$1005=Z62)*$T$6:$T$1005)),""))</f>
        <v/>
      </c>
      <c r="AF62" s="77">
        <f>IF(AE62="","",SUMIFS($S$6:$S$1005,$B$6:$B$1005,Z62,$I$6:$I$1005,AE62))</f>
        <v/>
      </c>
    </row>
    <row r="63" ht="20" customHeight="1">
      <c r="B63" s="72" t="n"/>
      <c r="C63" s="72" t="n"/>
      <c r="D63" s="72" t="n"/>
      <c r="E63" s="72" t="n"/>
      <c r="F63" s="110" t="n"/>
      <c r="G63" s="73" t="n"/>
      <c r="H63" s="75">
        <f>IF(B63="","",IF(G63&lt;&gt;"",G63,IF(F63&lt;&gt;"",F63*IFERROR(INDEX('Contractors'!$I$6:$I$1005,MATCH(B63,'Contractors'!$B$6:$B$1005,0)),0),"")))</f>
        <v/>
      </c>
      <c r="I63" s="109" t="n"/>
      <c r="J63" s="72" t="n"/>
      <c r="K63" s="109" t="n"/>
      <c r="L63" s="73" t="n"/>
      <c r="M63" s="109" t="n"/>
      <c r="N63" s="73" t="n"/>
      <c r="O63" s="107">
        <f>IF(B63="","",IF(M63&lt;&gt;"","Paid",IF(AND(I63&lt;&gt;"",I63&lt;AsOf),"OVERDUE",IF(OR(K63&lt;&gt;"",L63&lt;&gt;""),"Invoiced","Scheduled"))))</f>
        <v/>
      </c>
      <c r="P63" s="115">
        <f>IF(B63="","",IF(E63&lt;&gt;"",E63,IFERROR(INDEX('Contractors'!$D$6:$D$1005,MATCH(B63,'Contractors'!$B$6:$B$1005,0)),"")))</f>
        <v/>
      </c>
      <c r="Q63" s="79">
        <f>IF(B63="","",IF(D63&lt;&gt;"",D63,IFERROR(INDEX('Contractors'!$E$6:$E$1005,MATCH(B63,'Contractors'!$B$6:$B$1005,0)),"")))</f>
        <v/>
      </c>
      <c r="R63" s="79">
        <f>IF(O63="","",IF(O63="OVERDUE",2,IF(O63="Paid",0,IF(AND(I63&lt;&gt;"",I63&lt;=AsOf+AlertDays),1,0))))</f>
        <v/>
      </c>
      <c r="S63" s="79">
        <f>IF(AND(B63&lt;&gt;"",M63="",I63&lt;&gt;""),IF(L63&lt;&gt;"",L63,IF(H63="",0,H63)),0)</f>
        <v/>
      </c>
      <c r="T63" s="79">
        <f>IF(AND(B63&lt;&gt;"",M63="",I63&lt;&gt;""),1/I63,0)</f>
        <v/>
      </c>
      <c r="U63" s="112">
        <f>IF(AND(B63&lt;&gt;"",M63="",I63&lt;&gt;""),I63,"")</f>
        <v/>
      </c>
      <c r="V63" s="79">
        <f>IF(U63="","",IF(U63&lt;AsOf,1,IF(U63&lt;=AsOf+AlertDays,2,IF(U63&lt;=AsOf+2*AlertDays,3,""))))</f>
        <v/>
      </c>
      <c r="W63" s="79">
        <f>IF(V63="","",IF(O63="OVERDUE","Overdue payment: ","Payment due: ")&amp;B63&amp;" — "&amp;C63&amp;" ("&amp;CurSym&amp;" "&amp;FIXED(S63,0)&amp;")")</f>
        <v/>
      </c>
      <c r="Z63" s="116">
        <f>IF('Contractors'!B63="","",'Contractors'!B63)</f>
        <v/>
      </c>
      <c r="AA63" s="77">
        <f>IF(Z63="","",'Contractors'!K63)</f>
        <v/>
      </c>
      <c r="AB63" s="77">
        <f>IF(Z63="","",SUMIFS($L$6:$L$1005,$B$6:$B$1005,Z63))</f>
        <v/>
      </c>
      <c r="AC63" s="77">
        <f>IF(Z63="","",SUMIFS($N$6:$N$1005,$B$6:$B$1005,Z63))</f>
        <v/>
      </c>
      <c r="AD63" s="76">
        <f>IF(Z63="","",AA63-AC63)</f>
        <v/>
      </c>
      <c r="AE63" s="117">
        <f>IF(Z63="","",IFERROR(1/SUMPRODUCT(MAX(($B$6:$B$1005=Z63)*$T$6:$T$1005)),""))</f>
        <v/>
      </c>
      <c r="AF63" s="77">
        <f>IF(AE63="","",SUMIFS($S$6:$S$1005,$B$6:$B$1005,Z63,$I$6:$I$1005,AE63))</f>
        <v/>
      </c>
    </row>
    <row r="64" ht="20" customHeight="1">
      <c r="B64" s="72" t="n"/>
      <c r="C64" s="72" t="n"/>
      <c r="D64" s="72" t="n"/>
      <c r="E64" s="72" t="n"/>
      <c r="F64" s="110" t="n"/>
      <c r="G64" s="73" t="n"/>
      <c r="H64" s="75">
        <f>IF(B64="","",IF(G64&lt;&gt;"",G64,IF(F64&lt;&gt;"",F64*IFERROR(INDEX('Contractors'!$I$6:$I$1005,MATCH(B64,'Contractors'!$B$6:$B$1005,0)),0),"")))</f>
        <v/>
      </c>
      <c r="I64" s="109" t="n"/>
      <c r="J64" s="72" t="n"/>
      <c r="K64" s="109" t="n"/>
      <c r="L64" s="73" t="n"/>
      <c r="M64" s="109" t="n"/>
      <c r="N64" s="73" t="n"/>
      <c r="O64" s="107">
        <f>IF(B64="","",IF(M64&lt;&gt;"","Paid",IF(AND(I64&lt;&gt;"",I64&lt;AsOf),"OVERDUE",IF(OR(K64&lt;&gt;"",L64&lt;&gt;""),"Invoiced","Scheduled"))))</f>
        <v/>
      </c>
      <c r="P64" s="115">
        <f>IF(B64="","",IF(E64&lt;&gt;"",E64,IFERROR(INDEX('Contractors'!$D$6:$D$1005,MATCH(B64,'Contractors'!$B$6:$B$1005,0)),"")))</f>
        <v/>
      </c>
      <c r="Q64" s="79">
        <f>IF(B64="","",IF(D64&lt;&gt;"",D64,IFERROR(INDEX('Contractors'!$E$6:$E$1005,MATCH(B64,'Contractors'!$B$6:$B$1005,0)),"")))</f>
        <v/>
      </c>
      <c r="R64" s="79">
        <f>IF(O64="","",IF(O64="OVERDUE",2,IF(O64="Paid",0,IF(AND(I64&lt;&gt;"",I64&lt;=AsOf+AlertDays),1,0))))</f>
        <v/>
      </c>
      <c r="S64" s="79">
        <f>IF(AND(B64&lt;&gt;"",M64="",I64&lt;&gt;""),IF(L64&lt;&gt;"",L64,IF(H64="",0,H64)),0)</f>
        <v/>
      </c>
      <c r="T64" s="79">
        <f>IF(AND(B64&lt;&gt;"",M64="",I64&lt;&gt;""),1/I64,0)</f>
        <v/>
      </c>
      <c r="U64" s="112">
        <f>IF(AND(B64&lt;&gt;"",M64="",I64&lt;&gt;""),I64,"")</f>
        <v/>
      </c>
      <c r="V64" s="79">
        <f>IF(U64="","",IF(U64&lt;AsOf,1,IF(U64&lt;=AsOf+AlertDays,2,IF(U64&lt;=AsOf+2*AlertDays,3,""))))</f>
        <v/>
      </c>
      <c r="W64" s="79">
        <f>IF(V64="","",IF(O64="OVERDUE","Overdue payment: ","Payment due: ")&amp;B64&amp;" — "&amp;C64&amp;" ("&amp;CurSym&amp;" "&amp;FIXED(S64,0)&amp;")")</f>
        <v/>
      </c>
      <c r="Z64" s="116">
        <f>IF('Contractors'!B64="","",'Contractors'!B64)</f>
        <v/>
      </c>
      <c r="AA64" s="77">
        <f>IF(Z64="","",'Contractors'!K64)</f>
        <v/>
      </c>
      <c r="AB64" s="77">
        <f>IF(Z64="","",SUMIFS($L$6:$L$1005,$B$6:$B$1005,Z64))</f>
        <v/>
      </c>
      <c r="AC64" s="77">
        <f>IF(Z64="","",SUMIFS($N$6:$N$1005,$B$6:$B$1005,Z64))</f>
        <v/>
      </c>
      <c r="AD64" s="76">
        <f>IF(Z64="","",AA64-AC64)</f>
        <v/>
      </c>
      <c r="AE64" s="117">
        <f>IF(Z64="","",IFERROR(1/SUMPRODUCT(MAX(($B$6:$B$1005=Z64)*$T$6:$T$1005)),""))</f>
        <v/>
      </c>
      <c r="AF64" s="77">
        <f>IF(AE64="","",SUMIFS($S$6:$S$1005,$B$6:$B$1005,Z64,$I$6:$I$1005,AE64))</f>
        <v/>
      </c>
    </row>
    <row r="65" ht="20" customHeight="1">
      <c r="B65" s="72" t="n"/>
      <c r="C65" s="72" t="n"/>
      <c r="D65" s="72" t="n"/>
      <c r="E65" s="72" t="n"/>
      <c r="F65" s="110" t="n"/>
      <c r="G65" s="73" t="n"/>
      <c r="H65" s="75">
        <f>IF(B65="","",IF(G65&lt;&gt;"",G65,IF(F65&lt;&gt;"",F65*IFERROR(INDEX('Contractors'!$I$6:$I$1005,MATCH(B65,'Contractors'!$B$6:$B$1005,0)),0),"")))</f>
        <v/>
      </c>
      <c r="I65" s="109" t="n"/>
      <c r="J65" s="72" t="n"/>
      <c r="K65" s="109" t="n"/>
      <c r="L65" s="73" t="n"/>
      <c r="M65" s="109" t="n"/>
      <c r="N65" s="73" t="n"/>
      <c r="O65" s="107">
        <f>IF(B65="","",IF(M65&lt;&gt;"","Paid",IF(AND(I65&lt;&gt;"",I65&lt;AsOf),"OVERDUE",IF(OR(K65&lt;&gt;"",L65&lt;&gt;""),"Invoiced","Scheduled"))))</f>
        <v/>
      </c>
      <c r="P65" s="115">
        <f>IF(B65="","",IF(E65&lt;&gt;"",E65,IFERROR(INDEX('Contractors'!$D$6:$D$1005,MATCH(B65,'Contractors'!$B$6:$B$1005,0)),"")))</f>
        <v/>
      </c>
      <c r="Q65" s="79">
        <f>IF(B65="","",IF(D65&lt;&gt;"",D65,IFERROR(INDEX('Contractors'!$E$6:$E$1005,MATCH(B65,'Contractors'!$B$6:$B$1005,0)),"")))</f>
        <v/>
      </c>
      <c r="R65" s="79">
        <f>IF(O65="","",IF(O65="OVERDUE",2,IF(O65="Paid",0,IF(AND(I65&lt;&gt;"",I65&lt;=AsOf+AlertDays),1,0))))</f>
        <v/>
      </c>
      <c r="S65" s="79">
        <f>IF(AND(B65&lt;&gt;"",M65="",I65&lt;&gt;""),IF(L65&lt;&gt;"",L65,IF(H65="",0,H65)),0)</f>
        <v/>
      </c>
      <c r="T65" s="79">
        <f>IF(AND(B65&lt;&gt;"",M65="",I65&lt;&gt;""),1/I65,0)</f>
        <v/>
      </c>
      <c r="U65" s="112">
        <f>IF(AND(B65&lt;&gt;"",M65="",I65&lt;&gt;""),I65,"")</f>
        <v/>
      </c>
      <c r="V65" s="79">
        <f>IF(U65="","",IF(U65&lt;AsOf,1,IF(U65&lt;=AsOf+AlertDays,2,IF(U65&lt;=AsOf+2*AlertDays,3,""))))</f>
        <v/>
      </c>
      <c r="W65" s="79">
        <f>IF(V65="","",IF(O65="OVERDUE","Overdue payment: ","Payment due: ")&amp;B65&amp;" — "&amp;C65&amp;" ("&amp;CurSym&amp;" "&amp;FIXED(S65,0)&amp;")")</f>
        <v/>
      </c>
      <c r="Z65" s="116">
        <f>IF('Contractors'!B65="","",'Contractors'!B65)</f>
        <v/>
      </c>
      <c r="AA65" s="77">
        <f>IF(Z65="","",'Contractors'!K65)</f>
        <v/>
      </c>
      <c r="AB65" s="77">
        <f>IF(Z65="","",SUMIFS($L$6:$L$1005,$B$6:$B$1005,Z65))</f>
        <v/>
      </c>
      <c r="AC65" s="77">
        <f>IF(Z65="","",SUMIFS($N$6:$N$1005,$B$6:$B$1005,Z65))</f>
        <v/>
      </c>
      <c r="AD65" s="76">
        <f>IF(Z65="","",AA65-AC65)</f>
        <v/>
      </c>
      <c r="AE65" s="117">
        <f>IF(Z65="","",IFERROR(1/SUMPRODUCT(MAX(($B$6:$B$1005=Z65)*$T$6:$T$1005)),""))</f>
        <v/>
      </c>
      <c r="AF65" s="77">
        <f>IF(AE65="","",SUMIFS($S$6:$S$1005,$B$6:$B$1005,Z65,$I$6:$I$1005,AE65))</f>
        <v/>
      </c>
    </row>
    <row r="66" ht="20" customHeight="1">
      <c r="B66" s="72" t="n"/>
      <c r="C66" s="72" t="n"/>
      <c r="D66" s="72" t="n"/>
      <c r="E66" s="72" t="n"/>
      <c r="F66" s="110" t="n"/>
      <c r="G66" s="73" t="n"/>
      <c r="H66" s="75">
        <f>IF(B66="","",IF(G66&lt;&gt;"",G66,IF(F66&lt;&gt;"",F66*IFERROR(INDEX('Contractors'!$I$6:$I$1005,MATCH(B66,'Contractors'!$B$6:$B$1005,0)),0),"")))</f>
        <v/>
      </c>
      <c r="I66" s="109" t="n"/>
      <c r="J66" s="72" t="n"/>
      <c r="K66" s="109" t="n"/>
      <c r="L66" s="73" t="n"/>
      <c r="M66" s="109" t="n"/>
      <c r="N66" s="73" t="n"/>
      <c r="O66" s="107">
        <f>IF(B66="","",IF(M66&lt;&gt;"","Paid",IF(AND(I66&lt;&gt;"",I66&lt;AsOf),"OVERDUE",IF(OR(K66&lt;&gt;"",L66&lt;&gt;""),"Invoiced","Scheduled"))))</f>
        <v/>
      </c>
      <c r="P66" s="115">
        <f>IF(B66="","",IF(E66&lt;&gt;"",E66,IFERROR(INDEX('Contractors'!$D$6:$D$1005,MATCH(B66,'Contractors'!$B$6:$B$1005,0)),"")))</f>
        <v/>
      </c>
      <c r="Q66" s="79">
        <f>IF(B66="","",IF(D66&lt;&gt;"",D66,IFERROR(INDEX('Contractors'!$E$6:$E$1005,MATCH(B66,'Contractors'!$B$6:$B$1005,0)),"")))</f>
        <v/>
      </c>
      <c r="R66" s="79">
        <f>IF(O66="","",IF(O66="OVERDUE",2,IF(O66="Paid",0,IF(AND(I66&lt;&gt;"",I66&lt;=AsOf+AlertDays),1,0))))</f>
        <v/>
      </c>
      <c r="S66" s="79">
        <f>IF(AND(B66&lt;&gt;"",M66="",I66&lt;&gt;""),IF(L66&lt;&gt;"",L66,IF(H66="",0,H66)),0)</f>
        <v/>
      </c>
      <c r="T66" s="79">
        <f>IF(AND(B66&lt;&gt;"",M66="",I66&lt;&gt;""),1/I66,0)</f>
        <v/>
      </c>
      <c r="U66" s="112">
        <f>IF(AND(B66&lt;&gt;"",M66="",I66&lt;&gt;""),I66,"")</f>
        <v/>
      </c>
      <c r="V66" s="79">
        <f>IF(U66="","",IF(U66&lt;AsOf,1,IF(U66&lt;=AsOf+AlertDays,2,IF(U66&lt;=AsOf+2*AlertDays,3,""))))</f>
        <v/>
      </c>
      <c r="W66" s="79">
        <f>IF(V66="","",IF(O66="OVERDUE","Overdue payment: ","Payment due: ")&amp;B66&amp;" — "&amp;C66&amp;" ("&amp;CurSym&amp;" "&amp;FIXED(S66,0)&amp;")")</f>
        <v/>
      </c>
      <c r="Z66" s="116">
        <f>IF('Contractors'!B66="","",'Contractors'!B66)</f>
        <v/>
      </c>
      <c r="AA66" s="77">
        <f>IF(Z66="","",'Contractors'!K66)</f>
        <v/>
      </c>
      <c r="AB66" s="77">
        <f>IF(Z66="","",SUMIFS($L$6:$L$1005,$B$6:$B$1005,Z66))</f>
        <v/>
      </c>
      <c r="AC66" s="77">
        <f>IF(Z66="","",SUMIFS($N$6:$N$1005,$B$6:$B$1005,Z66))</f>
        <v/>
      </c>
      <c r="AD66" s="76">
        <f>IF(Z66="","",AA66-AC66)</f>
        <v/>
      </c>
      <c r="AE66" s="117">
        <f>IF(Z66="","",IFERROR(1/SUMPRODUCT(MAX(($B$6:$B$1005=Z66)*$T$6:$T$1005)),""))</f>
        <v/>
      </c>
      <c r="AF66" s="77">
        <f>IF(AE66="","",SUMIFS($S$6:$S$1005,$B$6:$B$1005,Z66,$I$6:$I$1005,AE66))</f>
        <v/>
      </c>
    </row>
    <row r="67" ht="20" customHeight="1">
      <c r="B67" s="72" t="n"/>
      <c r="C67" s="72" t="n"/>
      <c r="D67" s="72" t="n"/>
      <c r="E67" s="72" t="n"/>
      <c r="F67" s="110" t="n"/>
      <c r="G67" s="73" t="n"/>
      <c r="H67" s="75">
        <f>IF(B67="","",IF(G67&lt;&gt;"",G67,IF(F67&lt;&gt;"",F67*IFERROR(INDEX('Contractors'!$I$6:$I$1005,MATCH(B67,'Contractors'!$B$6:$B$1005,0)),0),"")))</f>
        <v/>
      </c>
      <c r="I67" s="109" t="n"/>
      <c r="J67" s="72" t="n"/>
      <c r="K67" s="109" t="n"/>
      <c r="L67" s="73" t="n"/>
      <c r="M67" s="109" t="n"/>
      <c r="N67" s="73" t="n"/>
      <c r="O67" s="107">
        <f>IF(B67="","",IF(M67&lt;&gt;"","Paid",IF(AND(I67&lt;&gt;"",I67&lt;AsOf),"OVERDUE",IF(OR(K67&lt;&gt;"",L67&lt;&gt;""),"Invoiced","Scheduled"))))</f>
        <v/>
      </c>
      <c r="P67" s="115">
        <f>IF(B67="","",IF(E67&lt;&gt;"",E67,IFERROR(INDEX('Contractors'!$D$6:$D$1005,MATCH(B67,'Contractors'!$B$6:$B$1005,0)),"")))</f>
        <v/>
      </c>
      <c r="Q67" s="79">
        <f>IF(B67="","",IF(D67&lt;&gt;"",D67,IFERROR(INDEX('Contractors'!$E$6:$E$1005,MATCH(B67,'Contractors'!$B$6:$B$1005,0)),"")))</f>
        <v/>
      </c>
      <c r="R67" s="79">
        <f>IF(O67="","",IF(O67="OVERDUE",2,IF(O67="Paid",0,IF(AND(I67&lt;&gt;"",I67&lt;=AsOf+AlertDays),1,0))))</f>
        <v/>
      </c>
      <c r="S67" s="79">
        <f>IF(AND(B67&lt;&gt;"",M67="",I67&lt;&gt;""),IF(L67&lt;&gt;"",L67,IF(H67="",0,H67)),0)</f>
        <v/>
      </c>
      <c r="T67" s="79">
        <f>IF(AND(B67&lt;&gt;"",M67="",I67&lt;&gt;""),1/I67,0)</f>
        <v/>
      </c>
      <c r="U67" s="112">
        <f>IF(AND(B67&lt;&gt;"",M67="",I67&lt;&gt;""),I67,"")</f>
        <v/>
      </c>
      <c r="V67" s="79">
        <f>IF(U67="","",IF(U67&lt;AsOf,1,IF(U67&lt;=AsOf+AlertDays,2,IF(U67&lt;=AsOf+2*AlertDays,3,""))))</f>
        <v/>
      </c>
      <c r="W67" s="79">
        <f>IF(V67="","",IF(O67="OVERDUE","Overdue payment: ","Payment due: ")&amp;B67&amp;" — "&amp;C67&amp;" ("&amp;CurSym&amp;" "&amp;FIXED(S67,0)&amp;")")</f>
        <v/>
      </c>
      <c r="Z67" s="116">
        <f>IF('Contractors'!B67="","",'Contractors'!B67)</f>
        <v/>
      </c>
      <c r="AA67" s="77">
        <f>IF(Z67="","",'Contractors'!K67)</f>
        <v/>
      </c>
      <c r="AB67" s="77">
        <f>IF(Z67="","",SUMIFS($L$6:$L$1005,$B$6:$B$1005,Z67))</f>
        <v/>
      </c>
      <c r="AC67" s="77">
        <f>IF(Z67="","",SUMIFS($N$6:$N$1005,$B$6:$B$1005,Z67))</f>
        <v/>
      </c>
      <c r="AD67" s="76">
        <f>IF(Z67="","",AA67-AC67)</f>
        <v/>
      </c>
      <c r="AE67" s="117">
        <f>IF(Z67="","",IFERROR(1/SUMPRODUCT(MAX(($B$6:$B$1005=Z67)*$T$6:$T$1005)),""))</f>
        <v/>
      </c>
      <c r="AF67" s="77">
        <f>IF(AE67="","",SUMIFS($S$6:$S$1005,$B$6:$B$1005,Z67,$I$6:$I$1005,AE67))</f>
        <v/>
      </c>
    </row>
    <row r="68" ht="20" customHeight="1">
      <c r="B68" s="72" t="n"/>
      <c r="C68" s="72" t="n"/>
      <c r="D68" s="72" t="n"/>
      <c r="E68" s="72" t="n"/>
      <c r="F68" s="110" t="n"/>
      <c r="G68" s="73" t="n"/>
      <c r="H68" s="75">
        <f>IF(B68="","",IF(G68&lt;&gt;"",G68,IF(F68&lt;&gt;"",F68*IFERROR(INDEX('Contractors'!$I$6:$I$1005,MATCH(B68,'Contractors'!$B$6:$B$1005,0)),0),"")))</f>
        <v/>
      </c>
      <c r="I68" s="109" t="n"/>
      <c r="J68" s="72" t="n"/>
      <c r="K68" s="109" t="n"/>
      <c r="L68" s="73" t="n"/>
      <c r="M68" s="109" t="n"/>
      <c r="N68" s="73" t="n"/>
      <c r="O68" s="107">
        <f>IF(B68="","",IF(M68&lt;&gt;"","Paid",IF(AND(I68&lt;&gt;"",I68&lt;AsOf),"OVERDUE",IF(OR(K68&lt;&gt;"",L68&lt;&gt;""),"Invoiced","Scheduled"))))</f>
        <v/>
      </c>
      <c r="P68" s="115">
        <f>IF(B68="","",IF(E68&lt;&gt;"",E68,IFERROR(INDEX('Contractors'!$D$6:$D$1005,MATCH(B68,'Contractors'!$B$6:$B$1005,0)),"")))</f>
        <v/>
      </c>
      <c r="Q68" s="79">
        <f>IF(B68="","",IF(D68&lt;&gt;"",D68,IFERROR(INDEX('Contractors'!$E$6:$E$1005,MATCH(B68,'Contractors'!$B$6:$B$1005,0)),"")))</f>
        <v/>
      </c>
      <c r="R68" s="79">
        <f>IF(O68="","",IF(O68="OVERDUE",2,IF(O68="Paid",0,IF(AND(I68&lt;&gt;"",I68&lt;=AsOf+AlertDays),1,0))))</f>
        <v/>
      </c>
      <c r="S68" s="79">
        <f>IF(AND(B68&lt;&gt;"",M68="",I68&lt;&gt;""),IF(L68&lt;&gt;"",L68,IF(H68="",0,H68)),0)</f>
        <v/>
      </c>
      <c r="T68" s="79">
        <f>IF(AND(B68&lt;&gt;"",M68="",I68&lt;&gt;""),1/I68,0)</f>
        <v/>
      </c>
      <c r="U68" s="112">
        <f>IF(AND(B68&lt;&gt;"",M68="",I68&lt;&gt;""),I68,"")</f>
        <v/>
      </c>
      <c r="V68" s="79">
        <f>IF(U68="","",IF(U68&lt;AsOf,1,IF(U68&lt;=AsOf+AlertDays,2,IF(U68&lt;=AsOf+2*AlertDays,3,""))))</f>
        <v/>
      </c>
      <c r="W68" s="79">
        <f>IF(V68="","",IF(O68="OVERDUE","Overdue payment: ","Payment due: ")&amp;B68&amp;" — "&amp;C68&amp;" ("&amp;CurSym&amp;" "&amp;FIXED(S68,0)&amp;")")</f>
        <v/>
      </c>
      <c r="Z68" s="116">
        <f>IF('Contractors'!B68="","",'Contractors'!B68)</f>
        <v/>
      </c>
      <c r="AA68" s="77">
        <f>IF(Z68="","",'Contractors'!K68)</f>
        <v/>
      </c>
      <c r="AB68" s="77">
        <f>IF(Z68="","",SUMIFS($L$6:$L$1005,$B$6:$B$1005,Z68))</f>
        <v/>
      </c>
      <c r="AC68" s="77">
        <f>IF(Z68="","",SUMIFS($N$6:$N$1005,$B$6:$B$1005,Z68))</f>
        <v/>
      </c>
      <c r="AD68" s="76">
        <f>IF(Z68="","",AA68-AC68)</f>
        <v/>
      </c>
      <c r="AE68" s="117">
        <f>IF(Z68="","",IFERROR(1/SUMPRODUCT(MAX(($B$6:$B$1005=Z68)*$T$6:$T$1005)),""))</f>
        <v/>
      </c>
      <c r="AF68" s="77">
        <f>IF(AE68="","",SUMIFS($S$6:$S$1005,$B$6:$B$1005,Z68,$I$6:$I$1005,AE68))</f>
        <v/>
      </c>
    </row>
    <row r="69" ht="20" customHeight="1">
      <c r="B69" s="72" t="n"/>
      <c r="C69" s="72" t="n"/>
      <c r="D69" s="72" t="n"/>
      <c r="E69" s="72" t="n"/>
      <c r="F69" s="110" t="n"/>
      <c r="G69" s="73" t="n"/>
      <c r="H69" s="75">
        <f>IF(B69="","",IF(G69&lt;&gt;"",G69,IF(F69&lt;&gt;"",F69*IFERROR(INDEX('Contractors'!$I$6:$I$1005,MATCH(B69,'Contractors'!$B$6:$B$1005,0)),0),"")))</f>
        <v/>
      </c>
      <c r="I69" s="109" t="n"/>
      <c r="J69" s="72" t="n"/>
      <c r="K69" s="109" t="n"/>
      <c r="L69" s="73" t="n"/>
      <c r="M69" s="109" t="n"/>
      <c r="N69" s="73" t="n"/>
      <c r="O69" s="107">
        <f>IF(B69="","",IF(M69&lt;&gt;"","Paid",IF(AND(I69&lt;&gt;"",I69&lt;AsOf),"OVERDUE",IF(OR(K69&lt;&gt;"",L69&lt;&gt;""),"Invoiced","Scheduled"))))</f>
        <v/>
      </c>
      <c r="P69" s="115">
        <f>IF(B69="","",IF(E69&lt;&gt;"",E69,IFERROR(INDEX('Contractors'!$D$6:$D$1005,MATCH(B69,'Contractors'!$B$6:$B$1005,0)),"")))</f>
        <v/>
      </c>
      <c r="Q69" s="79">
        <f>IF(B69="","",IF(D69&lt;&gt;"",D69,IFERROR(INDEX('Contractors'!$E$6:$E$1005,MATCH(B69,'Contractors'!$B$6:$B$1005,0)),"")))</f>
        <v/>
      </c>
      <c r="R69" s="79">
        <f>IF(O69="","",IF(O69="OVERDUE",2,IF(O69="Paid",0,IF(AND(I69&lt;&gt;"",I69&lt;=AsOf+AlertDays),1,0))))</f>
        <v/>
      </c>
      <c r="S69" s="79">
        <f>IF(AND(B69&lt;&gt;"",M69="",I69&lt;&gt;""),IF(L69&lt;&gt;"",L69,IF(H69="",0,H69)),0)</f>
        <v/>
      </c>
      <c r="T69" s="79">
        <f>IF(AND(B69&lt;&gt;"",M69="",I69&lt;&gt;""),1/I69,0)</f>
        <v/>
      </c>
      <c r="U69" s="112">
        <f>IF(AND(B69&lt;&gt;"",M69="",I69&lt;&gt;""),I69,"")</f>
        <v/>
      </c>
      <c r="V69" s="79">
        <f>IF(U69="","",IF(U69&lt;AsOf,1,IF(U69&lt;=AsOf+AlertDays,2,IF(U69&lt;=AsOf+2*AlertDays,3,""))))</f>
        <v/>
      </c>
      <c r="W69" s="79">
        <f>IF(V69="","",IF(O69="OVERDUE","Overdue payment: ","Payment due: ")&amp;B69&amp;" — "&amp;C69&amp;" ("&amp;CurSym&amp;" "&amp;FIXED(S69,0)&amp;")")</f>
        <v/>
      </c>
      <c r="Z69" s="116">
        <f>IF('Contractors'!B69="","",'Contractors'!B69)</f>
        <v/>
      </c>
      <c r="AA69" s="77">
        <f>IF(Z69="","",'Contractors'!K69)</f>
        <v/>
      </c>
      <c r="AB69" s="77">
        <f>IF(Z69="","",SUMIFS($L$6:$L$1005,$B$6:$B$1005,Z69))</f>
        <v/>
      </c>
      <c r="AC69" s="77">
        <f>IF(Z69="","",SUMIFS($N$6:$N$1005,$B$6:$B$1005,Z69))</f>
        <v/>
      </c>
      <c r="AD69" s="76">
        <f>IF(Z69="","",AA69-AC69)</f>
        <v/>
      </c>
      <c r="AE69" s="117">
        <f>IF(Z69="","",IFERROR(1/SUMPRODUCT(MAX(($B$6:$B$1005=Z69)*$T$6:$T$1005)),""))</f>
        <v/>
      </c>
      <c r="AF69" s="77">
        <f>IF(AE69="","",SUMIFS($S$6:$S$1005,$B$6:$B$1005,Z69,$I$6:$I$1005,AE69))</f>
        <v/>
      </c>
    </row>
    <row r="70" ht="20" customHeight="1">
      <c r="B70" s="72" t="n"/>
      <c r="C70" s="72" t="n"/>
      <c r="D70" s="72" t="n"/>
      <c r="E70" s="72" t="n"/>
      <c r="F70" s="110" t="n"/>
      <c r="G70" s="73" t="n"/>
      <c r="H70" s="75">
        <f>IF(B70="","",IF(G70&lt;&gt;"",G70,IF(F70&lt;&gt;"",F70*IFERROR(INDEX('Contractors'!$I$6:$I$1005,MATCH(B70,'Contractors'!$B$6:$B$1005,0)),0),"")))</f>
        <v/>
      </c>
      <c r="I70" s="109" t="n"/>
      <c r="J70" s="72" t="n"/>
      <c r="K70" s="109" t="n"/>
      <c r="L70" s="73" t="n"/>
      <c r="M70" s="109" t="n"/>
      <c r="N70" s="73" t="n"/>
      <c r="O70" s="107">
        <f>IF(B70="","",IF(M70&lt;&gt;"","Paid",IF(AND(I70&lt;&gt;"",I70&lt;AsOf),"OVERDUE",IF(OR(K70&lt;&gt;"",L70&lt;&gt;""),"Invoiced","Scheduled"))))</f>
        <v/>
      </c>
      <c r="P70" s="115">
        <f>IF(B70="","",IF(E70&lt;&gt;"",E70,IFERROR(INDEX('Contractors'!$D$6:$D$1005,MATCH(B70,'Contractors'!$B$6:$B$1005,0)),"")))</f>
        <v/>
      </c>
      <c r="Q70" s="79">
        <f>IF(B70="","",IF(D70&lt;&gt;"",D70,IFERROR(INDEX('Contractors'!$E$6:$E$1005,MATCH(B70,'Contractors'!$B$6:$B$1005,0)),"")))</f>
        <v/>
      </c>
      <c r="R70" s="79">
        <f>IF(O70="","",IF(O70="OVERDUE",2,IF(O70="Paid",0,IF(AND(I70&lt;&gt;"",I70&lt;=AsOf+AlertDays),1,0))))</f>
        <v/>
      </c>
      <c r="S70" s="79">
        <f>IF(AND(B70&lt;&gt;"",M70="",I70&lt;&gt;""),IF(L70&lt;&gt;"",L70,IF(H70="",0,H70)),0)</f>
        <v/>
      </c>
      <c r="T70" s="79">
        <f>IF(AND(B70&lt;&gt;"",M70="",I70&lt;&gt;""),1/I70,0)</f>
        <v/>
      </c>
      <c r="U70" s="112">
        <f>IF(AND(B70&lt;&gt;"",M70="",I70&lt;&gt;""),I70,"")</f>
        <v/>
      </c>
      <c r="V70" s="79">
        <f>IF(U70="","",IF(U70&lt;AsOf,1,IF(U70&lt;=AsOf+AlertDays,2,IF(U70&lt;=AsOf+2*AlertDays,3,""))))</f>
        <v/>
      </c>
      <c r="W70" s="79">
        <f>IF(V70="","",IF(O70="OVERDUE","Overdue payment: ","Payment due: ")&amp;B70&amp;" — "&amp;C70&amp;" ("&amp;CurSym&amp;" "&amp;FIXED(S70,0)&amp;")")</f>
        <v/>
      </c>
      <c r="Z70" s="116">
        <f>IF('Contractors'!B70="","",'Contractors'!B70)</f>
        <v/>
      </c>
      <c r="AA70" s="77">
        <f>IF(Z70="","",'Contractors'!K70)</f>
        <v/>
      </c>
      <c r="AB70" s="77">
        <f>IF(Z70="","",SUMIFS($L$6:$L$1005,$B$6:$B$1005,Z70))</f>
        <v/>
      </c>
      <c r="AC70" s="77">
        <f>IF(Z70="","",SUMIFS($N$6:$N$1005,$B$6:$B$1005,Z70))</f>
        <v/>
      </c>
      <c r="AD70" s="76">
        <f>IF(Z70="","",AA70-AC70)</f>
        <v/>
      </c>
      <c r="AE70" s="117">
        <f>IF(Z70="","",IFERROR(1/SUMPRODUCT(MAX(($B$6:$B$1005=Z70)*$T$6:$T$1005)),""))</f>
        <v/>
      </c>
      <c r="AF70" s="77">
        <f>IF(AE70="","",SUMIFS($S$6:$S$1005,$B$6:$B$1005,Z70,$I$6:$I$1005,AE70))</f>
        <v/>
      </c>
    </row>
    <row r="71" ht="20" customHeight="1">
      <c r="B71" s="72" t="n"/>
      <c r="C71" s="72" t="n"/>
      <c r="D71" s="72" t="n"/>
      <c r="E71" s="72" t="n"/>
      <c r="F71" s="110" t="n"/>
      <c r="G71" s="73" t="n"/>
      <c r="H71" s="75">
        <f>IF(B71="","",IF(G71&lt;&gt;"",G71,IF(F71&lt;&gt;"",F71*IFERROR(INDEX('Contractors'!$I$6:$I$1005,MATCH(B71,'Contractors'!$B$6:$B$1005,0)),0),"")))</f>
        <v/>
      </c>
      <c r="I71" s="109" t="n"/>
      <c r="J71" s="72" t="n"/>
      <c r="K71" s="109" t="n"/>
      <c r="L71" s="73" t="n"/>
      <c r="M71" s="109" t="n"/>
      <c r="N71" s="73" t="n"/>
      <c r="O71" s="107">
        <f>IF(B71="","",IF(M71&lt;&gt;"","Paid",IF(AND(I71&lt;&gt;"",I71&lt;AsOf),"OVERDUE",IF(OR(K71&lt;&gt;"",L71&lt;&gt;""),"Invoiced","Scheduled"))))</f>
        <v/>
      </c>
      <c r="P71" s="115">
        <f>IF(B71="","",IF(E71&lt;&gt;"",E71,IFERROR(INDEX('Contractors'!$D$6:$D$1005,MATCH(B71,'Contractors'!$B$6:$B$1005,0)),"")))</f>
        <v/>
      </c>
      <c r="Q71" s="79">
        <f>IF(B71="","",IF(D71&lt;&gt;"",D71,IFERROR(INDEX('Contractors'!$E$6:$E$1005,MATCH(B71,'Contractors'!$B$6:$B$1005,0)),"")))</f>
        <v/>
      </c>
      <c r="R71" s="79">
        <f>IF(O71="","",IF(O71="OVERDUE",2,IF(O71="Paid",0,IF(AND(I71&lt;&gt;"",I71&lt;=AsOf+AlertDays),1,0))))</f>
        <v/>
      </c>
      <c r="S71" s="79">
        <f>IF(AND(B71&lt;&gt;"",M71="",I71&lt;&gt;""),IF(L71&lt;&gt;"",L71,IF(H71="",0,H71)),0)</f>
        <v/>
      </c>
      <c r="T71" s="79">
        <f>IF(AND(B71&lt;&gt;"",M71="",I71&lt;&gt;""),1/I71,0)</f>
        <v/>
      </c>
      <c r="U71" s="112">
        <f>IF(AND(B71&lt;&gt;"",M71="",I71&lt;&gt;""),I71,"")</f>
        <v/>
      </c>
      <c r="V71" s="79">
        <f>IF(U71="","",IF(U71&lt;AsOf,1,IF(U71&lt;=AsOf+AlertDays,2,IF(U71&lt;=AsOf+2*AlertDays,3,""))))</f>
        <v/>
      </c>
      <c r="W71" s="79">
        <f>IF(V71="","",IF(O71="OVERDUE","Overdue payment: ","Payment due: ")&amp;B71&amp;" — "&amp;C71&amp;" ("&amp;CurSym&amp;" "&amp;FIXED(S71,0)&amp;")")</f>
        <v/>
      </c>
      <c r="Z71" s="116">
        <f>IF('Contractors'!B71="","",'Contractors'!B71)</f>
        <v/>
      </c>
      <c r="AA71" s="77">
        <f>IF(Z71="","",'Contractors'!K71)</f>
        <v/>
      </c>
      <c r="AB71" s="77">
        <f>IF(Z71="","",SUMIFS($L$6:$L$1005,$B$6:$B$1005,Z71))</f>
        <v/>
      </c>
      <c r="AC71" s="77">
        <f>IF(Z71="","",SUMIFS($N$6:$N$1005,$B$6:$B$1005,Z71))</f>
        <v/>
      </c>
      <c r="AD71" s="76">
        <f>IF(Z71="","",AA71-AC71)</f>
        <v/>
      </c>
      <c r="AE71" s="117">
        <f>IF(Z71="","",IFERROR(1/SUMPRODUCT(MAX(($B$6:$B$1005=Z71)*$T$6:$T$1005)),""))</f>
        <v/>
      </c>
      <c r="AF71" s="77">
        <f>IF(AE71="","",SUMIFS($S$6:$S$1005,$B$6:$B$1005,Z71,$I$6:$I$1005,AE71))</f>
        <v/>
      </c>
    </row>
    <row r="72" ht="20" customHeight="1">
      <c r="B72" s="72" t="n"/>
      <c r="C72" s="72" t="n"/>
      <c r="D72" s="72" t="n"/>
      <c r="E72" s="72" t="n"/>
      <c r="F72" s="110" t="n"/>
      <c r="G72" s="73" t="n"/>
      <c r="H72" s="75">
        <f>IF(B72="","",IF(G72&lt;&gt;"",G72,IF(F72&lt;&gt;"",F72*IFERROR(INDEX('Contractors'!$I$6:$I$1005,MATCH(B72,'Contractors'!$B$6:$B$1005,0)),0),"")))</f>
        <v/>
      </c>
      <c r="I72" s="109" t="n"/>
      <c r="J72" s="72" t="n"/>
      <c r="K72" s="109" t="n"/>
      <c r="L72" s="73" t="n"/>
      <c r="M72" s="109" t="n"/>
      <c r="N72" s="73" t="n"/>
      <c r="O72" s="107">
        <f>IF(B72="","",IF(M72&lt;&gt;"","Paid",IF(AND(I72&lt;&gt;"",I72&lt;AsOf),"OVERDUE",IF(OR(K72&lt;&gt;"",L72&lt;&gt;""),"Invoiced","Scheduled"))))</f>
        <v/>
      </c>
      <c r="P72" s="115">
        <f>IF(B72="","",IF(E72&lt;&gt;"",E72,IFERROR(INDEX('Contractors'!$D$6:$D$1005,MATCH(B72,'Contractors'!$B$6:$B$1005,0)),"")))</f>
        <v/>
      </c>
      <c r="Q72" s="79">
        <f>IF(B72="","",IF(D72&lt;&gt;"",D72,IFERROR(INDEX('Contractors'!$E$6:$E$1005,MATCH(B72,'Contractors'!$B$6:$B$1005,0)),"")))</f>
        <v/>
      </c>
      <c r="R72" s="79">
        <f>IF(O72="","",IF(O72="OVERDUE",2,IF(O72="Paid",0,IF(AND(I72&lt;&gt;"",I72&lt;=AsOf+AlertDays),1,0))))</f>
        <v/>
      </c>
      <c r="S72" s="79">
        <f>IF(AND(B72&lt;&gt;"",M72="",I72&lt;&gt;""),IF(L72&lt;&gt;"",L72,IF(H72="",0,H72)),0)</f>
        <v/>
      </c>
      <c r="T72" s="79">
        <f>IF(AND(B72&lt;&gt;"",M72="",I72&lt;&gt;""),1/I72,0)</f>
        <v/>
      </c>
      <c r="U72" s="112">
        <f>IF(AND(B72&lt;&gt;"",M72="",I72&lt;&gt;""),I72,"")</f>
        <v/>
      </c>
      <c r="V72" s="79">
        <f>IF(U72="","",IF(U72&lt;AsOf,1,IF(U72&lt;=AsOf+AlertDays,2,IF(U72&lt;=AsOf+2*AlertDays,3,""))))</f>
        <v/>
      </c>
      <c r="W72" s="79">
        <f>IF(V72="","",IF(O72="OVERDUE","Overdue payment: ","Payment due: ")&amp;B72&amp;" — "&amp;C72&amp;" ("&amp;CurSym&amp;" "&amp;FIXED(S72,0)&amp;")")</f>
        <v/>
      </c>
      <c r="Z72" s="116">
        <f>IF('Contractors'!B72="","",'Contractors'!B72)</f>
        <v/>
      </c>
      <c r="AA72" s="77">
        <f>IF(Z72="","",'Contractors'!K72)</f>
        <v/>
      </c>
      <c r="AB72" s="77">
        <f>IF(Z72="","",SUMIFS($L$6:$L$1005,$B$6:$B$1005,Z72))</f>
        <v/>
      </c>
      <c r="AC72" s="77">
        <f>IF(Z72="","",SUMIFS($N$6:$N$1005,$B$6:$B$1005,Z72))</f>
        <v/>
      </c>
      <c r="AD72" s="76">
        <f>IF(Z72="","",AA72-AC72)</f>
        <v/>
      </c>
      <c r="AE72" s="117">
        <f>IF(Z72="","",IFERROR(1/SUMPRODUCT(MAX(($B$6:$B$1005=Z72)*$T$6:$T$1005)),""))</f>
        <v/>
      </c>
      <c r="AF72" s="77">
        <f>IF(AE72="","",SUMIFS($S$6:$S$1005,$B$6:$B$1005,Z72,$I$6:$I$1005,AE72))</f>
        <v/>
      </c>
    </row>
    <row r="73" ht="20" customHeight="1">
      <c r="B73" s="72" t="n"/>
      <c r="C73" s="72" t="n"/>
      <c r="D73" s="72" t="n"/>
      <c r="E73" s="72" t="n"/>
      <c r="F73" s="110" t="n"/>
      <c r="G73" s="73" t="n"/>
      <c r="H73" s="75">
        <f>IF(B73="","",IF(G73&lt;&gt;"",G73,IF(F73&lt;&gt;"",F73*IFERROR(INDEX('Contractors'!$I$6:$I$1005,MATCH(B73,'Contractors'!$B$6:$B$1005,0)),0),"")))</f>
        <v/>
      </c>
      <c r="I73" s="109" t="n"/>
      <c r="J73" s="72" t="n"/>
      <c r="K73" s="109" t="n"/>
      <c r="L73" s="73" t="n"/>
      <c r="M73" s="109" t="n"/>
      <c r="N73" s="73" t="n"/>
      <c r="O73" s="107">
        <f>IF(B73="","",IF(M73&lt;&gt;"","Paid",IF(AND(I73&lt;&gt;"",I73&lt;AsOf),"OVERDUE",IF(OR(K73&lt;&gt;"",L73&lt;&gt;""),"Invoiced","Scheduled"))))</f>
        <v/>
      </c>
      <c r="P73" s="115">
        <f>IF(B73="","",IF(E73&lt;&gt;"",E73,IFERROR(INDEX('Contractors'!$D$6:$D$1005,MATCH(B73,'Contractors'!$B$6:$B$1005,0)),"")))</f>
        <v/>
      </c>
      <c r="Q73" s="79">
        <f>IF(B73="","",IF(D73&lt;&gt;"",D73,IFERROR(INDEX('Contractors'!$E$6:$E$1005,MATCH(B73,'Contractors'!$B$6:$B$1005,0)),"")))</f>
        <v/>
      </c>
      <c r="R73" s="79">
        <f>IF(O73="","",IF(O73="OVERDUE",2,IF(O73="Paid",0,IF(AND(I73&lt;&gt;"",I73&lt;=AsOf+AlertDays),1,0))))</f>
        <v/>
      </c>
      <c r="S73" s="79">
        <f>IF(AND(B73&lt;&gt;"",M73="",I73&lt;&gt;""),IF(L73&lt;&gt;"",L73,IF(H73="",0,H73)),0)</f>
        <v/>
      </c>
      <c r="T73" s="79">
        <f>IF(AND(B73&lt;&gt;"",M73="",I73&lt;&gt;""),1/I73,0)</f>
        <v/>
      </c>
      <c r="U73" s="112">
        <f>IF(AND(B73&lt;&gt;"",M73="",I73&lt;&gt;""),I73,"")</f>
        <v/>
      </c>
      <c r="V73" s="79">
        <f>IF(U73="","",IF(U73&lt;AsOf,1,IF(U73&lt;=AsOf+AlertDays,2,IF(U73&lt;=AsOf+2*AlertDays,3,""))))</f>
        <v/>
      </c>
      <c r="W73" s="79">
        <f>IF(V73="","",IF(O73="OVERDUE","Overdue payment: ","Payment due: ")&amp;B73&amp;" — "&amp;C73&amp;" ("&amp;CurSym&amp;" "&amp;FIXED(S73,0)&amp;")")</f>
        <v/>
      </c>
      <c r="Z73" s="116">
        <f>IF('Contractors'!B73="","",'Contractors'!B73)</f>
        <v/>
      </c>
      <c r="AA73" s="77">
        <f>IF(Z73="","",'Contractors'!K73)</f>
        <v/>
      </c>
      <c r="AB73" s="77">
        <f>IF(Z73="","",SUMIFS($L$6:$L$1005,$B$6:$B$1005,Z73))</f>
        <v/>
      </c>
      <c r="AC73" s="77">
        <f>IF(Z73="","",SUMIFS($N$6:$N$1005,$B$6:$B$1005,Z73))</f>
        <v/>
      </c>
      <c r="AD73" s="76">
        <f>IF(Z73="","",AA73-AC73)</f>
        <v/>
      </c>
      <c r="AE73" s="117">
        <f>IF(Z73="","",IFERROR(1/SUMPRODUCT(MAX(($B$6:$B$1005=Z73)*$T$6:$T$1005)),""))</f>
        <v/>
      </c>
      <c r="AF73" s="77">
        <f>IF(AE73="","",SUMIFS($S$6:$S$1005,$B$6:$B$1005,Z73,$I$6:$I$1005,AE73))</f>
        <v/>
      </c>
    </row>
    <row r="74" ht="20" customHeight="1">
      <c r="B74" s="72" t="n"/>
      <c r="C74" s="72" t="n"/>
      <c r="D74" s="72" t="n"/>
      <c r="E74" s="72" t="n"/>
      <c r="F74" s="110" t="n"/>
      <c r="G74" s="73" t="n"/>
      <c r="H74" s="75">
        <f>IF(B74="","",IF(G74&lt;&gt;"",G74,IF(F74&lt;&gt;"",F74*IFERROR(INDEX('Contractors'!$I$6:$I$1005,MATCH(B74,'Contractors'!$B$6:$B$1005,0)),0),"")))</f>
        <v/>
      </c>
      <c r="I74" s="109" t="n"/>
      <c r="J74" s="72" t="n"/>
      <c r="K74" s="109" t="n"/>
      <c r="L74" s="73" t="n"/>
      <c r="M74" s="109" t="n"/>
      <c r="N74" s="73" t="n"/>
      <c r="O74" s="107">
        <f>IF(B74="","",IF(M74&lt;&gt;"","Paid",IF(AND(I74&lt;&gt;"",I74&lt;AsOf),"OVERDUE",IF(OR(K74&lt;&gt;"",L74&lt;&gt;""),"Invoiced","Scheduled"))))</f>
        <v/>
      </c>
      <c r="P74" s="115">
        <f>IF(B74="","",IF(E74&lt;&gt;"",E74,IFERROR(INDEX('Contractors'!$D$6:$D$1005,MATCH(B74,'Contractors'!$B$6:$B$1005,0)),"")))</f>
        <v/>
      </c>
      <c r="Q74" s="79">
        <f>IF(B74="","",IF(D74&lt;&gt;"",D74,IFERROR(INDEX('Contractors'!$E$6:$E$1005,MATCH(B74,'Contractors'!$B$6:$B$1005,0)),"")))</f>
        <v/>
      </c>
      <c r="R74" s="79">
        <f>IF(O74="","",IF(O74="OVERDUE",2,IF(O74="Paid",0,IF(AND(I74&lt;&gt;"",I74&lt;=AsOf+AlertDays),1,0))))</f>
        <v/>
      </c>
      <c r="S74" s="79">
        <f>IF(AND(B74&lt;&gt;"",M74="",I74&lt;&gt;""),IF(L74&lt;&gt;"",L74,IF(H74="",0,H74)),0)</f>
        <v/>
      </c>
      <c r="T74" s="79">
        <f>IF(AND(B74&lt;&gt;"",M74="",I74&lt;&gt;""),1/I74,0)</f>
        <v/>
      </c>
      <c r="U74" s="112">
        <f>IF(AND(B74&lt;&gt;"",M74="",I74&lt;&gt;""),I74,"")</f>
        <v/>
      </c>
      <c r="V74" s="79">
        <f>IF(U74="","",IF(U74&lt;AsOf,1,IF(U74&lt;=AsOf+AlertDays,2,IF(U74&lt;=AsOf+2*AlertDays,3,""))))</f>
        <v/>
      </c>
      <c r="W74" s="79">
        <f>IF(V74="","",IF(O74="OVERDUE","Overdue payment: ","Payment due: ")&amp;B74&amp;" — "&amp;C74&amp;" ("&amp;CurSym&amp;" "&amp;FIXED(S74,0)&amp;")")</f>
        <v/>
      </c>
      <c r="Z74" s="116">
        <f>IF('Contractors'!B74="","",'Contractors'!B74)</f>
        <v/>
      </c>
      <c r="AA74" s="77">
        <f>IF(Z74="","",'Contractors'!K74)</f>
        <v/>
      </c>
      <c r="AB74" s="77">
        <f>IF(Z74="","",SUMIFS($L$6:$L$1005,$B$6:$B$1005,Z74))</f>
        <v/>
      </c>
      <c r="AC74" s="77">
        <f>IF(Z74="","",SUMIFS($N$6:$N$1005,$B$6:$B$1005,Z74))</f>
        <v/>
      </c>
      <c r="AD74" s="76">
        <f>IF(Z74="","",AA74-AC74)</f>
        <v/>
      </c>
      <c r="AE74" s="117">
        <f>IF(Z74="","",IFERROR(1/SUMPRODUCT(MAX(($B$6:$B$1005=Z74)*$T$6:$T$1005)),""))</f>
        <v/>
      </c>
      <c r="AF74" s="77">
        <f>IF(AE74="","",SUMIFS($S$6:$S$1005,$B$6:$B$1005,Z74,$I$6:$I$1005,AE74))</f>
        <v/>
      </c>
    </row>
    <row r="75" ht="20" customHeight="1">
      <c r="B75" s="72" t="n"/>
      <c r="C75" s="72" t="n"/>
      <c r="D75" s="72" t="n"/>
      <c r="E75" s="72" t="n"/>
      <c r="F75" s="110" t="n"/>
      <c r="G75" s="73" t="n"/>
      <c r="H75" s="75">
        <f>IF(B75="","",IF(G75&lt;&gt;"",G75,IF(F75&lt;&gt;"",F75*IFERROR(INDEX('Contractors'!$I$6:$I$1005,MATCH(B75,'Contractors'!$B$6:$B$1005,0)),0),"")))</f>
        <v/>
      </c>
      <c r="I75" s="109" t="n"/>
      <c r="J75" s="72" t="n"/>
      <c r="K75" s="109" t="n"/>
      <c r="L75" s="73" t="n"/>
      <c r="M75" s="109" t="n"/>
      <c r="N75" s="73" t="n"/>
      <c r="O75" s="107">
        <f>IF(B75="","",IF(M75&lt;&gt;"","Paid",IF(AND(I75&lt;&gt;"",I75&lt;AsOf),"OVERDUE",IF(OR(K75&lt;&gt;"",L75&lt;&gt;""),"Invoiced","Scheduled"))))</f>
        <v/>
      </c>
      <c r="P75" s="115">
        <f>IF(B75="","",IF(E75&lt;&gt;"",E75,IFERROR(INDEX('Contractors'!$D$6:$D$1005,MATCH(B75,'Contractors'!$B$6:$B$1005,0)),"")))</f>
        <v/>
      </c>
      <c r="Q75" s="79">
        <f>IF(B75="","",IF(D75&lt;&gt;"",D75,IFERROR(INDEX('Contractors'!$E$6:$E$1005,MATCH(B75,'Contractors'!$B$6:$B$1005,0)),"")))</f>
        <v/>
      </c>
      <c r="R75" s="79">
        <f>IF(O75="","",IF(O75="OVERDUE",2,IF(O75="Paid",0,IF(AND(I75&lt;&gt;"",I75&lt;=AsOf+AlertDays),1,0))))</f>
        <v/>
      </c>
      <c r="S75" s="79">
        <f>IF(AND(B75&lt;&gt;"",M75="",I75&lt;&gt;""),IF(L75&lt;&gt;"",L75,IF(H75="",0,H75)),0)</f>
        <v/>
      </c>
      <c r="T75" s="79">
        <f>IF(AND(B75&lt;&gt;"",M75="",I75&lt;&gt;""),1/I75,0)</f>
        <v/>
      </c>
      <c r="U75" s="112">
        <f>IF(AND(B75&lt;&gt;"",M75="",I75&lt;&gt;""),I75,"")</f>
        <v/>
      </c>
      <c r="V75" s="79">
        <f>IF(U75="","",IF(U75&lt;AsOf,1,IF(U75&lt;=AsOf+AlertDays,2,IF(U75&lt;=AsOf+2*AlertDays,3,""))))</f>
        <v/>
      </c>
      <c r="W75" s="79">
        <f>IF(V75="","",IF(O75="OVERDUE","Overdue payment: ","Payment due: ")&amp;B75&amp;" — "&amp;C75&amp;" ("&amp;CurSym&amp;" "&amp;FIXED(S75,0)&amp;")")</f>
        <v/>
      </c>
      <c r="Z75" s="116">
        <f>IF('Contractors'!B75="","",'Contractors'!B75)</f>
        <v/>
      </c>
      <c r="AA75" s="77">
        <f>IF(Z75="","",'Contractors'!K75)</f>
        <v/>
      </c>
      <c r="AB75" s="77">
        <f>IF(Z75="","",SUMIFS($L$6:$L$1005,$B$6:$B$1005,Z75))</f>
        <v/>
      </c>
      <c r="AC75" s="77">
        <f>IF(Z75="","",SUMIFS($N$6:$N$1005,$B$6:$B$1005,Z75))</f>
        <v/>
      </c>
      <c r="AD75" s="76">
        <f>IF(Z75="","",AA75-AC75)</f>
        <v/>
      </c>
      <c r="AE75" s="117">
        <f>IF(Z75="","",IFERROR(1/SUMPRODUCT(MAX(($B$6:$B$1005=Z75)*$T$6:$T$1005)),""))</f>
        <v/>
      </c>
      <c r="AF75" s="77">
        <f>IF(AE75="","",SUMIFS($S$6:$S$1005,$B$6:$B$1005,Z75,$I$6:$I$1005,AE75))</f>
        <v/>
      </c>
    </row>
    <row r="76" ht="20" customHeight="1">
      <c r="B76" s="72" t="n"/>
      <c r="C76" s="72" t="n"/>
      <c r="D76" s="72" t="n"/>
      <c r="E76" s="72" t="n"/>
      <c r="F76" s="110" t="n"/>
      <c r="G76" s="73" t="n"/>
      <c r="H76" s="75">
        <f>IF(B76="","",IF(G76&lt;&gt;"",G76,IF(F76&lt;&gt;"",F76*IFERROR(INDEX('Contractors'!$I$6:$I$1005,MATCH(B76,'Contractors'!$B$6:$B$1005,0)),0),"")))</f>
        <v/>
      </c>
      <c r="I76" s="109" t="n"/>
      <c r="J76" s="72" t="n"/>
      <c r="K76" s="109" t="n"/>
      <c r="L76" s="73" t="n"/>
      <c r="M76" s="109" t="n"/>
      <c r="N76" s="73" t="n"/>
      <c r="O76" s="107">
        <f>IF(B76="","",IF(M76&lt;&gt;"","Paid",IF(AND(I76&lt;&gt;"",I76&lt;AsOf),"OVERDUE",IF(OR(K76&lt;&gt;"",L76&lt;&gt;""),"Invoiced","Scheduled"))))</f>
        <v/>
      </c>
      <c r="P76" s="115">
        <f>IF(B76="","",IF(E76&lt;&gt;"",E76,IFERROR(INDEX('Contractors'!$D$6:$D$1005,MATCH(B76,'Contractors'!$B$6:$B$1005,0)),"")))</f>
        <v/>
      </c>
      <c r="Q76" s="79">
        <f>IF(B76="","",IF(D76&lt;&gt;"",D76,IFERROR(INDEX('Contractors'!$E$6:$E$1005,MATCH(B76,'Contractors'!$B$6:$B$1005,0)),"")))</f>
        <v/>
      </c>
      <c r="R76" s="79">
        <f>IF(O76="","",IF(O76="OVERDUE",2,IF(O76="Paid",0,IF(AND(I76&lt;&gt;"",I76&lt;=AsOf+AlertDays),1,0))))</f>
        <v/>
      </c>
      <c r="S76" s="79">
        <f>IF(AND(B76&lt;&gt;"",M76="",I76&lt;&gt;""),IF(L76&lt;&gt;"",L76,IF(H76="",0,H76)),0)</f>
        <v/>
      </c>
      <c r="T76" s="79">
        <f>IF(AND(B76&lt;&gt;"",M76="",I76&lt;&gt;""),1/I76,0)</f>
        <v/>
      </c>
      <c r="U76" s="112">
        <f>IF(AND(B76&lt;&gt;"",M76="",I76&lt;&gt;""),I76,"")</f>
        <v/>
      </c>
      <c r="V76" s="79">
        <f>IF(U76="","",IF(U76&lt;AsOf,1,IF(U76&lt;=AsOf+AlertDays,2,IF(U76&lt;=AsOf+2*AlertDays,3,""))))</f>
        <v/>
      </c>
      <c r="W76" s="79">
        <f>IF(V76="","",IF(O76="OVERDUE","Overdue payment: ","Payment due: ")&amp;B76&amp;" — "&amp;C76&amp;" ("&amp;CurSym&amp;" "&amp;FIXED(S76,0)&amp;")")</f>
        <v/>
      </c>
      <c r="Z76" s="116">
        <f>IF('Contractors'!B76="","",'Contractors'!B76)</f>
        <v/>
      </c>
      <c r="AA76" s="77">
        <f>IF(Z76="","",'Contractors'!K76)</f>
        <v/>
      </c>
      <c r="AB76" s="77">
        <f>IF(Z76="","",SUMIFS($L$6:$L$1005,$B$6:$B$1005,Z76))</f>
        <v/>
      </c>
      <c r="AC76" s="77">
        <f>IF(Z76="","",SUMIFS($N$6:$N$1005,$B$6:$B$1005,Z76))</f>
        <v/>
      </c>
      <c r="AD76" s="76">
        <f>IF(Z76="","",AA76-AC76)</f>
        <v/>
      </c>
      <c r="AE76" s="117">
        <f>IF(Z76="","",IFERROR(1/SUMPRODUCT(MAX(($B$6:$B$1005=Z76)*$T$6:$T$1005)),""))</f>
        <v/>
      </c>
      <c r="AF76" s="77">
        <f>IF(AE76="","",SUMIFS($S$6:$S$1005,$B$6:$B$1005,Z76,$I$6:$I$1005,AE76))</f>
        <v/>
      </c>
    </row>
    <row r="77" ht="20" customHeight="1">
      <c r="B77" s="72" t="n"/>
      <c r="C77" s="72" t="n"/>
      <c r="D77" s="72" t="n"/>
      <c r="E77" s="72" t="n"/>
      <c r="F77" s="110" t="n"/>
      <c r="G77" s="73" t="n"/>
      <c r="H77" s="75">
        <f>IF(B77="","",IF(G77&lt;&gt;"",G77,IF(F77&lt;&gt;"",F77*IFERROR(INDEX('Contractors'!$I$6:$I$1005,MATCH(B77,'Contractors'!$B$6:$B$1005,0)),0),"")))</f>
        <v/>
      </c>
      <c r="I77" s="109" t="n"/>
      <c r="J77" s="72" t="n"/>
      <c r="K77" s="109" t="n"/>
      <c r="L77" s="73" t="n"/>
      <c r="M77" s="109" t="n"/>
      <c r="N77" s="73" t="n"/>
      <c r="O77" s="107">
        <f>IF(B77="","",IF(M77&lt;&gt;"","Paid",IF(AND(I77&lt;&gt;"",I77&lt;AsOf),"OVERDUE",IF(OR(K77&lt;&gt;"",L77&lt;&gt;""),"Invoiced","Scheduled"))))</f>
        <v/>
      </c>
      <c r="P77" s="115">
        <f>IF(B77="","",IF(E77&lt;&gt;"",E77,IFERROR(INDEX('Contractors'!$D$6:$D$1005,MATCH(B77,'Contractors'!$B$6:$B$1005,0)),"")))</f>
        <v/>
      </c>
      <c r="Q77" s="79">
        <f>IF(B77="","",IF(D77&lt;&gt;"",D77,IFERROR(INDEX('Contractors'!$E$6:$E$1005,MATCH(B77,'Contractors'!$B$6:$B$1005,0)),"")))</f>
        <v/>
      </c>
      <c r="R77" s="79">
        <f>IF(O77="","",IF(O77="OVERDUE",2,IF(O77="Paid",0,IF(AND(I77&lt;&gt;"",I77&lt;=AsOf+AlertDays),1,0))))</f>
        <v/>
      </c>
      <c r="S77" s="79">
        <f>IF(AND(B77&lt;&gt;"",M77="",I77&lt;&gt;""),IF(L77&lt;&gt;"",L77,IF(H77="",0,H77)),0)</f>
        <v/>
      </c>
      <c r="T77" s="79">
        <f>IF(AND(B77&lt;&gt;"",M77="",I77&lt;&gt;""),1/I77,0)</f>
        <v/>
      </c>
      <c r="U77" s="112">
        <f>IF(AND(B77&lt;&gt;"",M77="",I77&lt;&gt;""),I77,"")</f>
        <v/>
      </c>
      <c r="V77" s="79">
        <f>IF(U77="","",IF(U77&lt;AsOf,1,IF(U77&lt;=AsOf+AlertDays,2,IF(U77&lt;=AsOf+2*AlertDays,3,""))))</f>
        <v/>
      </c>
      <c r="W77" s="79">
        <f>IF(V77="","",IF(O77="OVERDUE","Overdue payment: ","Payment due: ")&amp;B77&amp;" — "&amp;C77&amp;" ("&amp;CurSym&amp;" "&amp;FIXED(S77,0)&amp;")")</f>
        <v/>
      </c>
      <c r="Z77" s="116">
        <f>IF('Contractors'!B77="","",'Contractors'!B77)</f>
        <v/>
      </c>
      <c r="AA77" s="77">
        <f>IF(Z77="","",'Contractors'!K77)</f>
        <v/>
      </c>
      <c r="AB77" s="77">
        <f>IF(Z77="","",SUMIFS($L$6:$L$1005,$B$6:$B$1005,Z77))</f>
        <v/>
      </c>
      <c r="AC77" s="77">
        <f>IF(Z77="","",SUMIFS($N$6:$N$1005,$B$6:$B$1005,Z77))</f>
        <v/>
      </c>
      <c r="AD77" s="76">
        <f>IF(Z77="","",AA77-AC77)</f>
        <v/>
      </c>
      <c r="AE77" s="117">
        <f>IF(Z77="","",IFERROR(1/SUMPRODUCT(MAX(($B$6:$B$1005=Z77)*$T$6:$T$1005)),""))</f>
        <v/>
      </c>
      <c r="AF77" s="77">
        <f>IF(AE77="","",SUMIFS($S$6:$S$1005,$B$6:$B$1005,Z77,$I$6:$I$1005,AE77))</f>
        <v/>
      </c>
    </row>
    <row r="78" ht="20" customHeight="1">
      <c r="B78" s="72" t="n"/>
      <c r="C78" s="72" t="n"/>
      <c r="D78" s="72" t="n"/>
      <c r="E78" s="72" t="n"/>
      <c r="F78" s="110" t="n"/>
      <c r="G78" s="73" t="n"/>
      <c r="H78" s="75">
        <f>IF(B78="","",IF(G78&lt;&gt;"",G78,IF(F78&lt;&gt;"",F78*IFERROR(INDEX('Contractors'!$I$6:$I$1005,MATCH(B78,'Contractors'!$B$6:$B$1005,0)),0),"")))</f>
        <v/>
      </c>
      <c r="I78" s="109" t="n"/>
      <c r="J78" s="72" t="n"/>
      <c r="K78" s="109" t="n"/>
      <c r="L78" s="73" t="n"/>
      <c r="M78" s="109" t="n"/>
      <c r="N78" s="73" t="n"/>
      <c r="O78" s="107">
        <f>IF(B78="","",IF(M78&lt;&gt;"","Paid",IF(AND(I78&lt;&gt;"",I78&lt;AsOf),"OVERDUE",IF(OR(K78&lt;&gt;"",L78&lt;&gt;""),"Invoiced","Scheduled"))))</f>
        <v/>
      </c>
      <c r="P78" s="115">
        <f>IF(B78="","",IF(E78&lt;&gt;"",E78,IFERROR(INDEX('Contractors'!$D$6:$D$1005,MATCH(B78,'Contractors'!$B$6:$B$1005,0)),"")))</f>
        <v/>
      </c>
      <c r="Q78" s="79">
        <f>IF(B78="","",IF(D78&lt;&gt;"",D78,IFERROR(INDEX('Contractors'!$E$6:$E$1005,MATCH(B78,'Contractors'!$B$6:$B$1005,0)),"")))</f>
        <v/>
      </c>
      <c r="R78" s="79">
        <f>IF(O78="","",IF(O78="OVERDUE",2,IF(O78="Paid",0,IF(AND(I78&lt;&gt;"",I78&lt;=AsOf+AlertDays),1,0))))</f>
        <v/>
      </c>
      <c r="S78" s="79">
        <f>IF(AND(B78&lt;&gt;"",M78="",I78&lt;&gt;""),IF(L78&lt;&gt;"",L78,IF(H78="",0,H78)),0)</f>
        <v/>
      </c>
      <c r="T78" s="79">
        <f>IF(AND(B78&lt;&gt;"",M78="",I78&lt;&gt;""),1/I78,0)</f>
        <v/>
      </c>
      <c r="U78" s="112">
        <f>IF(AND(B78&lt;&gt;"",M78="",I78&lt;&gt;""),I78,"")</f>
        <v/>
      </c>
      <c r="V78" s="79">
        <f>IF(U78="","",IF(U78&lt;AsOf,1,IF(U78&lt;=AsOf+AlertDays,2,IF(U78&lt;=AsOf+2*AlertDays,3,""))))</f>
        <v/>
      </c>
      <c r="W78" s="79">
        <f>IF(V78="","",IF(O78="OVERDUE","Overdue payment: ","Payment due: ")&amp;B78&amp;" — "&amp;C78&amp;" ("&amp;CurSym&amp;" "&amp;FIXED(S78,0)&amp;")")</f>
        <v/>
      </c>
      <c r="Z78" s="116">
        <f>IF('Contractors'!B78="","",'Contractors'!B78)</f>
        <v/>
      </c>
      <c r="AA78" s="77">
        <f>IF(Z78="","",'Contractors'!K78)</f>
        <v/>
      </c>
      <c r="AB78" s="77">
        <f>IF(Z78="","",SUMIFS($L$6:$L$1005,$B$6:$B$1005,Z78))</f>
        <v/>
      </c>
      <c r="AC78" s="77">
        <f>IF(Z78="","",SUMIFS($N$6:$N$1005,$B$6:$B$1005,Z78))</f>
        <v/>
      </c>
      <c r="AD78" s="76">
        <f>IF(Z78="","",AA78-AC78)</f>
        <v/>
      </c>
      <c r="AE78" s="117">
        <f>IF(Z78="","",IFERROR(1/SUMPRODUCT(MAX(($B$6:$B$1005=Z78)*$T$6:$T$1005)),""))</f>
        <v/>
      </c>
      <c r="AF78" s="77">
        <f>IF(AE78="","",SUMIFS($S$6:$S$1005,$B$6:$B$1005,Z78,$I$6:$I$1005,AE78))</f>
        <v/>
      </c>
    </row>
    <row r="79" ht="20" customHeight="1">
      <c r="B79" s="72" t="n"/>
      <c r="C79" s="72" t="n"/>
      <c r="D79" s="72" t="n"/>
      <c r="E79" s="72" t="n"/>
      <c r="F79" s="110" t="n"/>
      <c r="G79" s="73" t="n"/>
      <c r="H79" s="75">
        <f>IF(B79="","",IF(G79&lt;&gt;"",G79,IF(F79&lt;&gt;"",F79*IFERROR(INDEX('Contractors'!$I$6:$I$1005,MATCH(B79,'Contractors'!$B$6:$B$1005,0)),0),"")))</f>
        <v/>
      </c>
      <c r="I79" s="109" t="n"/>
      <c r="J79" s="72" t="n"/>
      <c r="K79" s="109" t="n"/>
      <c r="L79" s="73" t="n"/>
      <c r="M79" s="109" t="n"/>
      <c r="N79" s="73" t="n"/>
      <c r="O79" s="107">
        <f>IF(B79="","",IF(M79&lt;&gt;"","Paid",IF(AND(I79&lt;&gt;"",I79&lt;AsOf),"OVERDUE",IF(OR(K79&lt;&gt;"",L79&lt;&gt;""),"Invoiced","Scheduled"))))</f>
        <v/>
      </c>
      <c r="P79" s="115">
        <f>IF(B79="","",IF(E79&lt;&gt;"",E79,IFERROR(INDEX('Contractors'!$D$6:$D$1005,MATCH(B79,'Contractors'!$B$6:$B$1005,0)),"")))</f>
        <v/>
      </c>
      <c r="Q79" s="79">
        <f>IF(B79="","",IF(D79&lt;&gt;"",D79,IFERROR(INDEX('Contractors'!$E$6:$E$1005,MATCH(B79,'Contractors'!$B$6:$B$1005,0)),"")))</f>
        <v/>
      </c>
      <c r="R79" s="79">
        <f>IF(O79="","",IF(O79="OVERDUE",2,IF(O79="Paid",0,IF(AND(I79&lt;&gt;"",I79&lt;=AsOf+AlertDays),1,0))))</f>
        <v/>
      </c>
      <c r="S79" s="79">
        <f>IF(AND(B79&lt;&gt;"",M79="",I79&lt;&gt;""),IF(L79&lt;&gt;"",L79,IF(H79="",0,H79)),0)</f>
        <v/>
      </c>
      <c r="T79" s="79">
        <f>IF(AND(B79&lt;&gt;"",M79="",I79&lt;&gt;""),1/I79,0)</f>
        <v/>
      </c>
      <c r="U79" s="112">
        <f>IF(AND(B79&lt;&gt;"",M79="",I79&lt;&gt;""),I79,"")</f>
        <v/>
      </c>
      <c r="V79" s="79">
        <f>IF(U79="","",IF(U79&lt;AsOf,1,IF(U79&lt;=AsOf+AlertDays,2,IF(U79&lt;=AsOf+2*AlertDays,3,""))))</f>
        <v/>
      </c>
      <c r="W79" s="79">
        <f>IF(V79="","",IF(O79="OVERDUE","Overdue payment: ","Payment due: ")&amp;B79&amp;" — "&amp;C79&amp;" ("&amp;CurSym&amp;" "&amp;FIXED(S79,0)&amp;")")</f>
        <v/>
      </c>
      <c r="Z79" s="116">
        <f>IF('Contractors'!B79="","",'Contractors'!B79)</f>
        <v/>
      </c>
      <c r="AA79" s="77">
        <f>IF(Z79="","",'Contractors'!K79)</f>
        <v/>
      </c>
      <c r="AB79" s="77">
        <f>IF(Z79="","",SUMIFS($L$6:$L$1005,$B$6:$B$1005,Z79))</f>
        <v/>
      </c>
      <c r="AC79" s="77">
        <f>IF(Z79="","",SUMIFS($N$6:$N$1005,$B$6:$B$1005,Z79))</f>
        <v/>
      </c>
      <c r="AD79" s="76">
        <f>IF(Z79="","",AA79-AC79)</f>
        <v/>
      </c>
      <c r="AE79" s="117">
        <f>IF(Z79="","",IFERROR(1/SUMPRODUCT(MAX(($B$6:$B$1005=Z79)*$T$6:$T$1005)),""))</f>
        <v/>
      </c>
      <c r="AF79" s="77">
        <f>IF(AE79="","",SUMIFS($S$6:$S$1005,$B$6:$B$1005,Z79,$I$6:$I$1005,AE79))</f>
        <v/>
      </c>
    </row>
    <row r="80" ht="20" customHeight="1">
      <c r="B80" s="72" t="n"/>
      <c r="C80" s="72" t="n"/>
      <c r="D80" s="72" t="n"/>
      <c r="E80" s="72" t="n"/>
      <c r="F80" s="110" t="n"/>
      <c r="G80" s="73" t="n"/>
      <c r="H80" s="75">
        <f>IF(B80="","",IF(G80&lt;&gt;"",G80,IF(F80&lt;&gt;"",F80*IFERROR(INDEX('Contractors'!$I$6:$I$1005,MATCH(B80,'Contractors'!$B$6:$B$1005,0)),0),"")))</f>
        <v/>
      </c>
      <c r="I80" s="109" t="n"/>
      <c r="J80" s="72" t="n"/>
      <c r="K80" s="109" t="n"/>
      <c r="L80" s="73" t="n"/>
      <c r="M80" s="109" t="n"/>
      <c r="N80" s="73" t="n"/>
      <c r="O80" s="107">
        <f>IF(B80="","",IF(M80&lt;&gt;"","Paid",IF(AND(I80&lt;&gt;"",I80&lt;AsOf),"OVERDUE",IF(OR(K80&lt;&gt;"",L80&lt;&gt;""),"Invoiced","Scheduled"))))</f>
        <v/>
      </c>
      <c r="P80" s="115">
        <f>IF(B80="","",IF(E80&lt;&gt;"",E80,IFERROR(INDEX('Contractors'!$D$6:$D$1005,MATCH(B80,'Contractors'!$B$6:$B$1005,0)),"")))</f>
        <v/>
      </c>
      <c r="Q80" s="79">
        <f>IF(B80="","",IF(D80&lt;&gt;"",D80,IFERROR(INDEX('Contractors'!$E$6:$E$1005,MATCH(B80,'Contractors'!$B$6:$B$1005,0)),"")))</f>
        <v/>
      </c>
      <c r="R80" s="79">
        <f>IF(O80="","",IF(O80="OVERDUE",2,IF(O80="Paid",0,IF(AND(I80&lt;&gt;"",I80&lt;=AsOf+AlertDays),1,0))))</f>
        <v/>
      </c>
      <c r="S80" s="79">
        <f>IF(AND(B80&lt;&gt;"",M80="",I80&lt;&gt;""),IF(L80&lt;&gt;"",L80,IF(H80="",0,H80)),0)</f>
        <v/>
      </c>
      <c r="T80" s="79">
        <f>IF(AND(B80&lt;&gt;"",M80="",I80&lt;&gt;""),1/I80,0)</f>
        <v/>
      </c>
      <c r="U80" s="112">
        <f>IF(AND(B80&lt;&gt;"",M80="",I80&lt;&gt;""),I80,"")</f>
        <v/>
      </c>
      <c r="V80" s="79">
        <f>IF(U80="","",IF(U80&lt;AsOf,1,IF(U80&lt;=AsOf+AlertDays,2,IF(U80&lt;=AsOf+2*AlertDays,3,""))))</f>
        <v/>
      </c>
      <c r="W80" s="79">
        <f>IF(V80="","",IF(O80="OVERDUE","Overdue payment: ","Payment due: ")&amp;B80&amp;" — "&amp;C80&amp;" ("&amp;CurSym&amp;" "&amp;FIXED(S80,0)&amp;")")</f>
        <v/>
      </c>
      <c r="Z80" s="116">
        <f>IF('Contractors'!B80="","",'Contractors'!B80)</f>
        <v/>
      </c>
      <c r="AA80" s="77">
        <f>IF(Z80="","",'Contractors'!K80)</f>
        <v/>
      </c>
      <c r="AB80" s="77">
        <f>IF(Z80="","",SUMIFS($L$6:$L$1005,$B$6:$B$1005,Z80))</f>
        <v/>
      </c>
      <c r="AC80" s="77">
        <f>IF(Z80="","",SUMIFS($N$6:$N$1005,$B$6:$B$1005,Z80))</f>
        <v/>
      </c>
      <c r="AD80" s="76">
        <f>IF(Z80="","",AA80-AC80)</f>
        <v/>
      </c>
      <c r="AE80" s="117">
        <f>IF(Z80="","",IFERROR(1/SUMPRODUCT(MAX(($B$6:$B$1005=Z80)*$T$6:$T$1005)),""))</f>
        <v/>
      </c>
      <c r="AF80" s="77">
        <f>IF(AE80="","",SUMIFS($S$6:$S$1005,$B$6:$B$1005,Z80,$I$6:$I$1005,AE80))</f>
        <v/>
      </c>
    </row>
    <row r="81" ht="20" customHeight="1">
      <c r="B81" s="72" t="n"/>
      <c r="C81" s="72" t="n"/>
      <c r="D81" s="72" t="n"/>
      <c r="E81" s="72" t="n"/>
      <c r="F81" s="110" t="n"/>
      <c r="G81" s="73" t="n"/>
      <c r="H81" s="75">
        <f>IF(B81="","",IF(G81&lt;&gt;"",G81,IF(F81&lt;&gt;"",F81*IFERROR(INDEX('Contractors'!$I$6:$I$1005,MATCH(B81,'Contractors'!$B$6:$B$1005,0)),0),"")))</f>
        <v/>
      </c>
      <c r="I81" s="109" t="n"/>
      <c r="J81" s="72" t="n"/>
      <c r="K81" s="109" t="n"/>
      <c r="L81" s="73" t="n"/>
      <c r="M81" s="109" t="n"/>
      <c r="N81" s="73" t="n"/>
      <c r="O81" s="107">
        <f>IF(B81="","",IF(M81&lt;&gt;"","Paid",IF(AND(I81&lt;&gt;"",I81&lt;AsOf),"OVERDUE",IF(OR(K81&lt;&gt;"",L81&lt;&gt;""),"Invoiced","Scheduled"))))</f>
        <v/>
      </c>
      <c r="P81" s="115">
        <f>IF(B81="","",IF(E81&lt;&gt;"",E81,IFERROR(INDEX('Contractors'!$D$6:$D$1005,MATCH(B81,'Contractors'!$B$6:$B$1005,0)),"")))</f>
        <v/>
      </c>
      <c r="Q81" s="79">
        <f>IF(B81="","",IF(D81&lt;&gt;"",D81,IFERROR(INDEX('Contractors'!$E$6:$E$1005,MATCH(B81,'Contractors'!$B$6:$B$1005,0)),"")))</f>
        <v/>
      </c>
      <c r="R81" s="79">
        <f>IF(O81="","",IF(O81="OVERDUE",2,IF(O81="Paid",0,IF(AND(I81&lt;&gt;"",I81&lt;=AsOf+AlertDays),1,0))))</f>
        <v/>
      </c>
      <c r="S81" s="79">
        <f>IF(AND(B81&lt;&gt;"",M81="",I81&lt;&gt;""),IF(L81&lt;&gt;"",L81,IF(H81="",0,H81)),0)</f>
        <v/>
      </c>
      <c r="T81" s="79">
        <f>IF(AND(B81&lt;&gt;"",M81="",I81&lt;&gt;""),1/I81,0)</f>
        <v/>
      </c>
      <c r="U81" s="112">
        <f>IF(AND(B81&lt;&gt;"",M81="",I81&lt;&gt;""),I81,"")</f>
        <v/>
      </c>
      <c r="V81" s="79">
        <f>IF(U81="","",IF(U81&lt;AsOf,1,IF(U81&lt;=AsOf+AlertDays,2,IF(U81&lt;=AsOf+2*AlertDays,3,""))))</f>
        <v/>
      </c>
      <c r="W81" s="79">
        <f>IF(V81="","",IF(O81="OVERDUE","Overdue payment: ","Payment due: ")&amp;B81&amp;" — "&amp;C81&amp;" ("&amp;CurSym&amp;" "&amp;FIXED(S81,0)&amp;")")</f>
        <v/>
      </c>
      <c r="Z81" s="116">
        <f>IF('Contractors'!B81="","",'Contractors'!B81)</f>
        <v/>
      </c>
      <c r="AA81" s="77">
        <f>IF(Z81="","",'Contractors'!K81)</f>
        <v/>
      </c>
      <c r="AB81" s="77">
        <f>IF(Z81="","",SUMIFS($L$6:$L$1005,$B$6:$B$1005,Z81))</f>
        <v/>
      </c>
      <c r="AC81" s="77">
        <f>IF(Z81="","",SUMIFS($N$6:$N$1005,$B$6:$B$1005,Z81))</f>
        <v/>
      </c>
      <c r="AD81" s="76">
        <f>IF(Z81="","",AA81-AC81)</f>
        <v/>
      </c>
      <c r="AE81" s="117">
        <f>IF(Z81="","",IFERROR(1/SUMPRODUCT(MAX(($B$6:$B$1005=Z81)*$T$6:$T$1005)),""))</f>
        <v/>
      </c>
      <c r="AF81" s="77">
        <f>IF(AE81="","",SUMIFS($S$6:$S$1005,$B$6:$B$1005,Z81,$I$6:$I$1005,AE81))</f>
        <v/>
      </c>
    </row>
    <row r="82" ht="20" customHeight="1">
      <c r="B82" s="72" t="n"/>
      <c r="C82" s="72" t="n"/>
      <c r="D82" s="72" t="n"/>
      <c r="E82" s="72" t="n"/>
      <c r="F82" s="110" t="n"/>
      <c r="G82" s="73" t="n"/>
      <c r="H82" s="75">
        <f>IF(B82="","",IF(G82&lt;&gt;"",G82,IF(F82&lt;&gt;"",F82*IFERROR(INDEX('Contractors'!$I$6:$I$1005,MATCH(B82,'Contractors'!$B$6:$B$1005,0)),0),"")))</f>
        <v/>
      </c>
      <c r="I82" s="109" t="n"/>
      <c r="J82" s="72" t="n"/>
      <c r="K82" s="109" t="n"/>
      <c r="L82" s="73" t="n"/>
      <c r="M82" s="109" t="n"/>
      <c r="N82" s="73" t="n"/>
      <c r="O82" s="107">
        <f>IF(B82="","",IF(M82&lt;&gt;"","Paid",IF(AND(I82&lt;&gt;"",I82&lt;AsOf),"OVERDUE",IF(OR(K82&lt;&gt;"",L82&lt;&gt;""),"Invoiced","Scheduled"))))</f>
        <v/>
      </c>
      <c r="P82" s="115">
        <f>IF(B82="","",IF(E82&lt;&gt;"",E82,IFERROR(INDEX('Contractors'!$D$6:$D$1005,MATCH(B82,'Contractors'!$B$6:$B$1005,0)),"")))</f>
        <v/>
      </c>
      <c r="Q82" s="79">
        <f>IF(B82="","",IF(D82&lt;&gt;"",D82,IFERROR(INDEX('Contractors'!$E$6:$E$1005,MATCH(B82,'Contractors'!$B$6:$B$1005,0)),"")))</f>
        <v/>
      </c>
      <c r="R82" s="79">
        <f>IF(O82="","",IF(O82="OVERDUE",2,IF(O82="Paid",0,IF(AND(I82&lt;&gt;"",I82&lt;=AsOf+AlertDays),1,0))))</f>
        <v/>
      </c>
      <c r="S82" s="79">
        <f>IF(AND(B82&lt;&gt;"",M82="",I82&lt;&gt;""),IF(L82&lt;&gt;"",L82,IF(H82="",0,H82)),0)</f>
        <v/>
      </c>
      <c r="T82" s="79">
        <f>IF(AND(B82&lt;&gt;"",M82="",I82&lt;&gt;""),1/I82,0)</f>
        <v/>
      </c>
      <c r="U82" s="112">
        <f>IF(AND(B82&lt;&gt;"",M82="",I82&lt;&gt;""),I82,"")</f>
        <v/>
      </c>
      <c r="V82" s="79">
        <f>IF(U82="","",IF(U82&lt;AsOf,1,IF(U82&lt;=AsOf+AlertDays,2,IF(U82&lt;=AsOf+2*AlertDays,3,""))))</f>
        <v/>
      </c>
      <c r="W82" s="79">
        <f>IF(V82="","",IF(O82="OVERDUE","Overdue payment: ","Payment due: ")&amp;B82&amp;" — "&amp;C82&amp;" ("&amp;CurSym&amp;" "&amp;FIXED(S82,0)&amp;")")</f>
        <v/>
      </c>
      <c r="Z82" s="116">
        <f>IF('Contractors'!B82="","",'Contractors'!B82)</f>
        <v/>
      </c>
      <c r="AA82" s="77">
        <f>IF(Z82="","",'Contractors'!K82)</f>
        <v/>
      </c>
      <c r="AB82" s="77">
        <f>IF(Z82="","",SUMIFS($L$6:$L$1005,$B$6:$B$1005,Z82))</f>
        <v/>
      </c>
      <c r="AC82" s="77">
        <f>IF(Z82="","",SUMIFS($N$6:$N$1005,$B$6:$B$1005,Z82))</f>
        <v/>
      </c>
      <c r="AD82" s="76">
        <f>IF(Z82="","",AA82-AC82)</f>
        <v/>
      </c>
      <c r="AE82" s="117">
        <f>IF(Z82="","",IFERROR(1/SUMPRODUCT(MAX(($B$6:$B$1005=Z82)*$T$6:$T$1005)),""))</f>
        <v/>
      </c>
      <c r="AF82" s="77">
        <f>IF(AE82="","",SUMIFS($S$6:$S$1005,$B$6:$B$1005,Z82,$I$6:$I$1005,AE82))</f>
        <v/>
      </c>
    </row>
    <row r="83" ht="20" customHeight="1">
      <c r="B83" s="72" t="n"/>
      <c r="C83" s="72" t="n"/>
      <c r="D83" s="72" t="n"/>
      <c r="E83" s="72" t="n"/>
      <c r="F83" s="110" t="n"/>
      <c r="G83" s="73" t="n"/>
      <c r="H83" s="75">
        <f>IF(B83="","",IF(G83&lt;&gt;"",G83,IF(F83&lt;&gt;"",F83*IFERROR(INDEX('Contractors'!$I$6:$I$1005,MATCH(B83,'Contractors'!$B$6:$B$1005,0)),0),"")))</f>
        <v/>
      </c>
      <c r="I83" s="109" t="n"/>
      <c r="J83" s="72" t="n"/>
      <c r="K83" s="109" t="n"/>
      <c r="L83" s="73" t="n"/>
      <c r="M83" s="109" t="n"/>
      <c r="N83" s="73" t="n"/>
      <c r="O83" s="107">
        <f>IF(B83="","",IF(M83&lt;&gt;"","Paid",IF(AND(I83&lt;&gt;"",I83&lt;AsOf),"OVERDUE",IF(OR(K83&lt;&gt;"",L83&lt;&gt;""),"Invoiced","Scheduled"))))</f>
        <v/>
      </c>
      <c r="P83" s="115">
        <f>IF(B83="","",IF(E83&lt;&gt;"",E83,IFERROR(INDEX('Contractors'!$D$6:$D$1005,MATCH(B83,'Contractors'!$B$6:$B$1005,0)),"")))</f>
        <v/>
      </c>
      <c r="Q83" s="79">
        <f>IF(B83="","",IF(D83&lt;&gt;"",D83,IFERROR(INDEX('Contractors'!$E$6:$E$1005,MATCH(B83,'Contractors'!$B$6:$B$1005,0)),"")))</f>
        <v/>
      </c>
      <c r="R83" s="79">
        <f>IF(O83="","",IF(O83="OVERDUE",2,IF(O83="Paid",0,IF(AND(I83&lt;&gt;"",I83&lt;=AsOf+AlertDays),1,0))))</f>
        <v/>
      </c>
      <c r="S83" s="79">
        <f>IF(AND(B83&lt;&gt;"",M83="",I83&lt;&gt;""),IF(L83&lt;&gt;"",L83,IF(H83="",0,H83)),0)</f>
        <v/>
      </c>
      <c r="T83" s="79">
        <f>IF(AND(B83&lt;&gt;"",M83="",I83&lt;&gt;""),1/I83,0)</f>
        <v/>
      </c>
      <c r="U83" s="112">
        <f>IF(AND(B83&lt;&gt;"",M83="",I83&lt;&gt;""),I83,"")</f>
        <v/>
      </c>
      <c r="V83" s="79">
        <f>IF(U83="","",IF(U83&lt;AsOf,1,IF(U83&lt;=AsOf+AlertDays,2,IF(U83&lt;=AsOf+2*AlertDays,3,""))))</f>
        <v/>
      </c>
      <c r="W83" s="79">
        <f>IF(V83="","",IF(O83="OVERDUE","Overdue payment: ","Payment due: ")&amp;B83&amp;" — "&amp;C83&amp;" ("&amp;CurSym&amp;" "&amp;FIXED(S83,0)&amp;")")</f>
        <v/>
      </c>
      <c r="Z83" s="116">
        <f>IF('Contractors'!B83="","",'Contractors'!B83)</f>
        <v/>
      </c>
      <c r="AA83" s="77">
        <f>IF(Z83="","",'Contractors'!K83)</f>
        <v/>
      </c>
      <c r="AB83" s="77">
        <f>IF(Z83="","",SUMIFS($L$6:$L$1005,$B$6:$B$1005,Z83))</f>
        <v/>
      </c>
      <c r="AC83" s="77">
        <f>IF(Z83="","",SUMIFS($N$6:$N$1005,$B$6:$B$1005,Z83))</f>
        <v/>
      </c>
      <c r="AD83" s="76">
        <f>IF(Z83="","",AA83-AC83)</f>
        <v/>
      </c>
      <c r="AE83" s="117">
        <f>IF(Z83="","",IFERROR(1/SUMPRODUCT(MAX(($B$6:$B$1005=Z83)*$T$6:$T$1005)),""))</f>
        <v/>
      </c>
      <c r="AF83" s="77">
        <f>IF(AE83="","",SUMIFS($S$6:$S$1005,$B$6:$B$1005,Z83,$I$6:$I$1005,AE83))</f>
        <v/>
      </c>
    </row>
    <row r="84" ht="20" customHeight="1">
      <c r="B84" s="72" t="n"/>
      <c r="C84" s="72" t="n"/>
      <c r="D84" s="72" t="n"/>
      <c r="E84" s="72" t="n"/>
      <c r="F84" s="110" t="n"/>
      <c r="G84" s="73" t="n"/>
      <c r="H84" s="75">
        <f>IF(B84="","",IF(G84&lt;&gt;"",G84,IF(F84&lt;&gt;"",F84*IFERROR(INDEX('Contractors'!$I$6:$I$1005,MATCH(B84,'Contractors'!$B$6:$B$1005,0)),0),"")))</f>
        <v/>
      </c>
      <c r="I84" s="109" t="n"/>
      <c r="J84" s="72" t="n"/>
      <c r="K84" s="109" t="n"/>
      <c r="L84" s="73" t="n"/>
      <c r="M84" s="109" t="n"/>
      <c r="N84" s="73" t="n"/>
      <c r="O84" s="107">
        <f>IF(B84="","",IF(M84&lt;&gt;"","Paid",IF(AND(I84&lt;&gt;"",I84&lt;AsOf),"OVERDUE",IF(OR(K84&lt;&gt;"",L84&lt;&gt;""),"Invoiced","Scheduled"))))</f>
        <v/>
      </c>
      <c r="P84" s="115">
        <f>IF(B84="","",IF(E84&lt;&gt;"",E84,IFERROR(INDEX('Contractors'!$D$6:$D$1005,MATCH(B84,'Contractors'!$B$6:$B$1005,0)),"")))</f>
        <v/>
      </c>
      <c r="Q84" s="79">
        <f>IF(B84="","",IF(D84&lt;&gt;"",D84,IFERROR(INDEX('Contractors'!$E$6:$E$1005,MATCH(B84,'Contractors'!$B$6:$B$1005,0)),"")))</f>
        <v/>
      </c>
      <c r="R84" s="79">
        <f>IF(O84="","",IF(O84="OVERDUE",2,IF(O84="Paid",0,IF(AND(I84&lt;&gt;"",I84&lt;=AsOf+AlertDays),1,0))))</f>
        <v/>
      </c>
      <c r="S84" s="79">
        <f>IF(AND(B84&lt;&gt;"",M84="",I84&lt;&gt;""),IF(L84&lt;&gt;"",L84,IF(H84="",0,H84)),0)</f>
        <v/>
      </c>
      <c r="T84" s="79">
        <f>IF(AND(B84&lt;&gt;"",M84="",I84&lt;&gt;""),1/I84,0)</f>
        <v/>
      </c>
      <c r="U84" s="112">
        <f>IF(AND(B84&lt;&gt;"",M84="",I84&lt;&gt;""),I84,"")</f>
        <v/>
      </c>
      <c r="V84" s="79">
        <f>IF(U84="","",IF(U84&lt;AsOf,1,IF(U84&lt;=AsOf+AlertDays,2,IF(U84&lt;=AsOf+2*AlertDays,3,""))))</f>
        <v/>
      </c>
      <c r="W84" s="79">
        <f>IF(V84="","",IF(O84="OVERDUE","Overdue payment: ","Payment due: ")&amp;B84&amp;" — "&amp;C84&amp;" ("&amp;CurSym&amp;" "&amp;FIXED(S84,0)&amp;")")</f>
        <v/>
      </c>
      <c r="Z84" s="116">
        <f>IF('Contractors'!B84="","",'Contractors'!B84)</f>
        <v/>
      </c>
      <c r="AA84" s="77">
        <f>IF(Z84="","",'Contractors'!K84)</f>
        <v/>
      </c>
      <c r="AB84" s="77">
        <f>IF(Z84="","",SUMIFS($L$6:$L$1005,$B$6:$B$1005,Z84))</f>
        <v/>
      </c>
      <c r="AC84" s="77">
        <f>IF(Z84="","",SUMIFS($N$6:$N$1005,$B$6:$B$1005,Z84))</f>
        <v/>
      </c>
      <c r="AD84" s="76">
        <f>IF(Z84="","",AA84-AC84)</f>
        <v/>
      </c>
      <c r="AE84" s="117">
        <f>IF(Z84="","",IFERROR(1/SUMPRODUCT(MAX(($B$6:$B$1005=Z84)*$T$6:$T$1005)),""))</f>
        <v/>
      </c>
      <c r="AF84" s="77">
        <f>IF(AE84="","",SUMIFS($S$6:$S$1005,$B$6:$B$1005,Z84,$I$6:$I$1005,AE84))</f>
        <v/>
      </c>
    </row>
    <row r="85" ht="20" customHeight="1">
      <c r="B85" s="72" t="n"/>
      <c r="C85" s="72" t="n"/>
      <c r="D85" s="72" t="n"/>
      <c r="E85" s="72" t="n"/>
      <c r="F85" s="110" t="n"/>
      <c r="G85" s="73" t="n"/>
      <c r="H85" s="75">
        <f>IF(B85="","",IF(G85&lt;&gt;"",G85,IF(F85&lt;&gt;"",F85*IFERROR(INDEX('Contractors'!$I$6:$I$1005,MATCH(B85,'Contractors'!$B$6:$B$1005,0)),0),"")))</f>
        <v/>
      </c>
      <c r="I85" s="109" t="n"/>
      <c r="J85" s="72" t="n"/>
      <c r="K85" s="109" t="n"/>
      <c r="L85" s="73" t="n"/>
      <c r="M85" s="109" t="n"/>
      <c r="N85" s="73" t="n"/>
      <c r="O85" s="107">
        <f>IF(B85="","",IF(M85&lt;&gt;"","Paid",IF(AND(I85&lt;&gt;"",I85&lt;AsOf),"OVERDUE",IF(OR(K85&lt;&gt;"",L85&lt;&gt;""),"Invoiced","Scheduled"))))</f>
        <v/>
      </c>
      <c r="P85" s="115">
        <f>IF(B85="","",IF(E85&lt;&gt;"",E85,IFERROR(INDEX('Contractors'!$D$6:$D$1005,MATCH(B85,'Contractors'!$B$6:$B$1005,0)),"")))</f>
        <v/>
      </c>
      <c r="Q85" s="79">
        <f>IF(B85="","",IF(D85&lt;&gt;"",D85,IFERROR(INDEX('Contractors'!$E$6:$E$1005,MATCH(B85,'Contractors'!$B$6:$B$1005,0)),"")))</f>
        <v/>
      </c>
      <c r="R85" s="79">
        <f>IF(O85="","",IF(O85="OVERDUE",2,IF(O85="Paid",0,IF(AND(I85&lt;&gt;"",I85&lt;=AsOf+AlertDays),1,0))))</f>
        <v/>
      </c>
      <c r="S85" s="79">
        <f>IF(AND(B85&lt;&gt;"",M85="",I85&lt;&gt;""),IF(L85&lt;&gt;"",L85,IF(H85="",0,H85)),0)</f>
        <v/>
      </c>
      <c r="T85" s="79">
        <f>IF(AND(B85&lt;&gt;"",M85="",I85&lt;&gt;""),1/I85,0)</f>
        <v/>
      </c>
      <c r="U85" s="112">
        <f>IF(AND(B85&lt;&gt;"",M85="",I85&lt;&gt;""),I85,"")</f>
        <v/>
      </c>
      <c r="V85" s="79">
        <f>IF(U85="","",IF(U85&lt;AsOf,1,IF(U85&lt;=AsOf+AlertDays,2,IF(U85&lt;=AsOf+2*AlertDays,3,""))))</f>
        <v/>
      </c>
      <c r="W85" s="79">
        <f>IF(V85="","",IF(O85="OVERDUE","Overdue payment: ","Payment due: ")&amp;B85&amp;" — "&amp;C85&amp;" ("&amp;CurSym&amp;" "&amp;FIXED(S85,0)&amp;")")</f>
        <v/>
      </c>
      <c r="Z85" s="116">
        <f>IF('Contractors'!B85="","",'Contractors'!B85)</f>
        <v/>
      </c>
      <c r="AA85" s="77">
        <f>IF(Z85="","",'Contractors'!K85)</f>
        <v/>
      </c>
      <c r="AB85" s="77">
        <f>IF(Z85="","",SUMIFS($L$6:$L$1005,$B$6:$B$1005,Z85))</f>
        <v/>
      </c>
      <c r="AC85" s="77">
        <f>IF(Z85="","",SUMIFS($N$6:$N$1005,$B$6:$B$1005,Z85))</f>
        <v/>
      </c>
      <c r="AD85" s="76">
        <f>IF(Z85="","",AA85-AC85)</f>
        <v/>
      </c>
      <c r="AE85" s="117">
        <f>IF(Z85="","",IFERROR(1/SUMPRODUCT(MAX(($B$6:$B$1005=Z85)*$T$6:$T$1005)),""))</f>
        <v/>
      </c>
      <c r="AF85" s="77">
        <f>IF(AE85="","",SUMIFS($S$6:$S$1005,$B$6:$B$1005,Z85,$I$6:$I$1005,AE85))</f>
        <v/>
      </c>
    </row>
    <row r="86" ht="20" customHeight="1">
      <c r="B86" s="72" t="n"/>
      <c r="C86" s="72" t="n"/>
      <c r="D86" s="72" t="n"/>
      <c r="E86" s="72" t="n"/>
      <c r="F86" s="110" t="n"/>
      <c r="G86" s="73" t="n"/>
      <c r="H86" s="75">
        <f>IF(B86="","",IF(G86&lt;&gt;"",G86,IF(F86&lt;&gt;"",F86*IFERROR(INDEX('Contractors'!$I$6:$I$1005,MATCH(B86,'Contractors'!$B$6:$B$1005,0)),0),"")))</f>
        <v/>
      </c>
      <c r="I86" s="109" t="n"/>
      <c r="J86" s="72" t="n"/>
      <c r="K86" s="109" t="n"/>
      <c r="L86" s="73" t="n"/>
      <c r="M86" s="109" t="n"/>
      <c r="N86" s="73" t="n"/>
      <c r="O86" s="107">
        <f>IF(B86="","",IF(M86&lt;&gt;"","Paid",IF(AND(I86&lt;&gt;"",I86&lt;AsOf),"OVERDUE",IF(OR(K86&lt;&gt;"",L86&lt;&gt;""),"Invoiced","Scheduled"))))</f>
        <v/>
      </c>
      <c r="P86" s="115">
        <f>IF(B86="","",IF(E86&lt;&gt;"",E86,IFERROR(INDEX('Contractors'!$D$6:$D$1005,MATCH(B86,'Contractors'!$B$6:$B$1005,0)),"")))</f>
        <v/>
      </c>
      <c r="Q86" s="79">
        <f>IF(B86="","",IF(D86&lt;&gt;"",D86,IFERROR(INDEX('Contractors'!$E$6:$E$1005,MATCH(B86,'Contractors'!$B$6:$B$1005,0)),"")))</f>
        <v/>
      </c>
      <c r="R86" s="79">
        <f>IF(O86="","",IF(O86="OVERDUE",2,IF(O86="Paid",0,IF(AND(I86&lt;&gt;"",I86&lt;=AsOf+AlertDays),1,0))))</f>
        <v/>
      </c>
      <c r="S86" s="79">
        <f>IF(AND(B86&lt;&gt;"",M86="",I86&lt;&gt;""),IF(L86&lt;&gt;"",L86,IF(H86="",0,H86)),0)</f>
        <v/>
      </c>
      <c r="T86" s="79">
        <f>IF(AND(B86&lt;&gt;"",M86="",I86&lt;&gt;""),1/I86,0)</f>
        <v/>
      </c>
      <c r="U86" s="112">
        <f>IF(AND(B86&lt;&gt;"",M86="",I86&lt;&gt;""),I86,"")</f>
        <v/>
      </c>
      <c r="V86" s="79">
        <f>IF(U86="","",IF(U86&lt;AsOf,1,IF(U86&lt;=AsOf+AlertDays,2,IF(U86&lt;=AsOf+2*AlertDays,3,""))))</f>
        <v/>
      </c>
      <c r="W86" s="79">
        <f>IF(V86="","",IF(O86="OVERDUE","Overdue payment: ","Payment due: ")&amp;B86&amp;" — "&amp;C86&amp;" ("&amp;CurSym&amp;" "&amp;FIXED(S86,0)&amp;")")</f>
        <v/>
      </c>
      <c r="Z86" s="116">
        <f>IF('Contractors'!B86="","",'Contractors'!B86)</f>
        <v/>
      </c>
      <c r="AA86" s="77">
        <f>IF(Z86="","",'Contractors'!K86)</f>
        <v/>
      </c>
      <c r="AB86" s="77">
        <f>IF(Z86="","",SUMIFS($L$6:$L$1005,$B$6:$B$1005,Z86))</f>
        <v/>
      </c>
      <c r="AC86" s="77">
        <f>IF(Z86="","",SUMIFS($N$6:$N$1005,$B$6:$B$1005,Z86))</f>
        <v/>
      </c>
      <c r="AD86" s="76">
        <f>IF(Z86="","",AA86-AC86)</f>
        <v/>
      </c>
      <c r="AE86" s="117">
        <f>IF(Z86="","",IFERROR(1/SUMPRODUCT(MAX(($B$6:$B$1005=Z86)*$T$6:$T$1005)),""))</f>
        <v/>
      </c>
      <c r="AF86" s="77">
        <f>IF(AE86="","",SUMIFS($S$6:$S$1005,$B$6:$B$1005,Z86,$I$6:$I$1005,AE86))</f>
        <v/>
      </c>
    </row>
    <row r="87" ht="20" customHeight="1">
      <c r="B87" s="72" t="n"/>
      <c r="C87" s="72" t="n"/>
      <c r="D87" s="72" t="n"/>
      <c r="E87" s="72" t="n"/>
      <c r="F87" s="110" t="n"/>
      <c r="G87" s="73" t="n"/>
      <c r="H87" s="75">
        <f>IF(B87="","",IF(G87&lt;&gt;"",G87,IF(F87&lt;&gt;"",F87*IFERROR(INDEX('Contractors'!$I$6:$I$1005,MATCH(B87,'Contractors'!$B$6:$B$1005,0)),0),"")))</f>
        <v/>
      </c>
      <c r="I87" s="109" t="n"/>
      <c r="J87" s="72" t="n"/>
      <c r="K87" s="109" t="n"/>
      <c r="L87" s="73" t="n"/>
      <c r="M87" s="109" t="n"/>
      <c r="N87" s="73" t="n"/>
      <c r="O87" s="107">
        <f>IF(B87="","",IF(M87&lt;&gt;"","Paid",IF(AND(I87&lt;&gt;"",I87&lt;AsOf),"OVERDUE",IF(OR(K87&lt;&gt;"",L87&lt;&gt;""),"Invoiced","Scheduled"))))</f>
        <v/>
      </c>
      <c r="P87" s="115">
        <f>IF(B87="","",IF(E87&lt;&gt;"",E87,IFERROR(INDEX('Contractors'!$D$6:$D$1005,MATCH(B87,'Contractors'!$B$6:$B$1005,0)),"")))</f>
        <v/>
      </c>
      <c r="Q87" s="79">
        <f>IF(B87="","",IF(D87&lt;&gt;"",D87,IFERROR(INDEX('Contractors'!$E$6:$E$1005,MATCH(B87,'Contractors'!$B$6:$B$1005,0)),"")))</f>
        <v/>
      </c>
      <c r="R87" s="79">
        <f>IF(O87="","",IF(O87="OVERDUE",2,IF(O87="Paid",0,IF(AND(I87&lt;&gt;"",I87&lt;=AsOf+AlertDays),1,0))))</f>
        <v/>
      </c>
      <c r="S87" s="79">
        <f>IF(AND(B87&lt;&gt;"",M87="",I87&lt;&gt;""),IF(L87&lt;&gt;"",L87,IF(H87="",0,H87)),0)</f>
        <v/>
      </c>
      <c r="T87" s="79">
        <f>IF(AND(B87&lt;&gt;"",M87="",I87&lt;&gt;""),1/I87,0)</f>
        <v/>
      </c>
      <c r="U87" s="112">
        <f>IF(AND(B87&lt;&gt;"",M87="",I87&lt;&gt;""),I87,"")</f>
        <v/>
      </c>
      <c r="V87" s="79">
        <f>IF(U87="","",IF(U87&lt;AsOf,1,IF(U87&lt;=AsOf+AlertDays,2,IF(U87&lt;=AsOf+2*AlertDays,3,""))))</f>
        <v/>
      </c>
      <c r="W87" s="79">
        <f>IF(V87="","",IF(O87="OVERDUE","Overdue payment: ","Payment due: ")&amp;B87&amp;" — "&amp;C87&amp;" ("&amp;CurSym&amp;" "&amp;FIXED(S87,0)&amp;")")</f>
        <v/>
      </c>
      <c r="Z87" s="116">
        <f>IF('Contractors'!B87="","",'Contractors'!B87)</f>
        <v/>
      </c>
      <c r="AA87" s="77">
        <f>IF(Z87="","",'Contractors'!K87)</f>
        <v/>
      </c>
      <c r="AB87" s="77">
        <f>IF(Z87="","",SUMIFS($L$6:$L$1005,$B$6:$B$1005,Z87))</f>
        <v/>
      </c>
      <c r="AC87" s="77">
        <f>IF(Z87="","",SUMIFS($N$6:$N$1005,$B$6:$B$1005,Z87))</f>
        <v/>
      </c>
      <c r="AD87" s="76">
        <f>IF(Z87="","",AA87-AC87)</f>
        <v/>
      </c>
      <c r="AE87" s="117">
        <f>IF(Z87="","",IFERROR(1/SUMPRODUCT(MAX(($B$6:$B$1005=Z87)*$T$6:$T$1005)),""))</f>
        <v/>
      </c>
      <c r="AF87" s="77">
        <f>IF(AE87="","",SUMIFS($S$6:$S$1005,$B$6:$B$1005,Z87,$I$6:$I$1005,AE87))</f>
        <v/>
      </c>
    </row>
    <row r="88" ht="20" customHeight="1">
      <c r="B88" s="72" t="n"/>
      <c r="C88" s="72" t="n"/>
      <c r="D88" s="72" t="n"/>
      <c r="E88" s="72" t="n"/>
      <c r="F88" s="110" t="n"/>
      <c r="G88" s="73" t="n"/>
      <c r="H88" s="75">
        <f>IF(B88="","",IF(G88&lt;&gt;"",G88,IF(F88&lt;&gt;"",F88*IFERROR(INDEX('Contractors'!$I$6:$I$1005,MATCH(B88,'Contractors'!$B$6:$B$1005,0)),0),"")))</f>
        <v/>
      </c>
      <c r="I88" s="109" t="n"/>
      <c r="J88" s="72" t="n"/>
      <c r="K88" s="109" t="n"/>
      <c r="L88" s="73" t="n"/>
      <c r="M88" s="109" t="n"/>
      <c r="N88" s="73" t="n"/>
      <c r="O88" s="107">
        <f>IF(B88="","",IF(M88&lt;&gt;"","Paid",IF(AND(I88&lt;&gt;"",I88&lt;AsOf),"OVERDUE",IF(OR(K88&lt;&gt;"",L88&lt;&gt;""),"Invoiced","Scheduled"))))</f>
        <v/>
      </c>
      <c r="P88" s="115">
        <f>IF(B88="","",IF(E88&lt;&gt;"",E88,IFERROR(INDEX('Contractors'!$D$6:$D$1005,MATCH(B88,'Contractors'!$B$6:$B$1005,0)),"")))</f>
        <v/>
      </c>
      <c r="Q88" s="79">
        <f>IF(B88="","",IF(D88&lt;&gt;"",D88,IFERROR(INDEX('Contractors'!$E$6:$E$1005,MATCH(B88,'Contractors'!$B$6:$B$1005,0)),"")))</f>
        <v/>
      </c>
      <c r="R88" s="79">
        <f>IF(O88="","",IF(O88="OVERDUE",2,IF(O88="Paid",0,IF(AND(I88&lt;&gt;"",I88&lt;=AsOf+AlertDays),1,0))))</f>
        <v/>
      </c>
      <c r="S88" s="79">
        <f>IF(AND(B88&lt;&gt;"",M88="",I88&lt;&gt;""),IF(L88&lt;&gt;"",L88,IF(H88="",0,H88)),0)</f>
        <v/>
      </c>
      <c r="T88" s="79">
        <f>IF(AND(B88&lt;&gt;"",M88="",I88&lt;&gt;""),1/I88,0)</f>
        <v/>
      </c>
      <c r="U88" s="112">
        <f>IF(AND(B88&lt;&gt;"",M88="",I88&lt;&gt;""),I88,"")</f>
        <v/>
      </c>
      <c r="V88" s="79">
        <f>IF(U88="","",IF(U88&lt;AsOf,1,IF(U88&lt;=AsOf+AlertDays,2,IF(U88&lt;=AsOf+2*AlertDays,3,""))))</f>
        <v/>
      </c>
      <c r="W88" s="79">
        <f>IF(V88="","",IF(O88="OVERDUE","Overdue payment: ","Payment due: ")&amp;B88&amp;" — "&amp;C88&amp;" ("&amp;CurSym&amp;" "&amp;FIXED(S88,0)&amp;")")</f>
        <v/>
      </c>
      <c r="Z88" s="116">
        <f>IF('Contractors'!B88="","",'Contractors'!B88)</f>
        <v/>
      </c>
      <c r="AA88" s="77">
        <f>IF(Z88="","",'Contractors'!K88)</f>
        <v/>
      </c>
      <c r="AB88" s="77">
        <f>IF(Z88="","",SUMIFS($L$6:$L$1005,$B$6:$B$1005,Z88))</f>
        <v/>
      </c>
      <c r="AC88" s="77">
        <f>IF(Z88="","",SUMIFS($N$6:$N$1005,$B$6:$B$1005,Z88))</f>
        <v/>
      </c>
      <c r="AD88" s="76">
        <f>IF(Z88="","",AA88-AC88)</f>
        <v/>
      </c>
      <c r="AE88" s="117">
        <f>IF(Z88="","",IFERROR(1/SUMPRODUCT(MAX(($B$6:$B$1005=Z88)*$T$6:$T$1005)),""))</f>
        <v/>
      </c>
      <c r="AF88" s="77">
        <f>IF(AE88="","",SUMIFS($S$6:$S$1005,$B$6:$B$1005,Z88,$I$6:$I$1005,AE88))</f>
        <v/>
      </c>
    </row>
    <row r="89" ht="20" customHeight="1">
      <c r="B89" s="72" t="n"/>
      <c r="C89" s="72" t="n"/>
      <c r="D89" s="72" t="n"/>
      <c r="E89" s="72" t="n"/>
      <c r="F89" s="110" t="n"/>
      <c r="G89" s="73" t="n"/>
      <c r="H89" s="75">
        <f>IF(B89="","",IF(G89&lt;&gt;"",G89,IF(F89&lt;&gt;"",F89*IFERROR(INDEX('Contractors'!$I$6:$I$1005,MATCH(B89,'Contractors'!$B$6:$B$1005,0)),0),"")))</f>
        <v/>
      </c>
      <c r="I89" s="109" t="n"/>
      <c r="J89" s="72" t="n"/>
      <c r="K89" s="109" t="n"/>
      <c r="L89" s="73" t="n"/>
      <c r="M89" s="109" t="n"/>
      <c r="N89" s="73" t="n"/>
      <c r="O89" s="107">
        <f>IF(B89="","",IF(M89&lt;&gt;"","Paid",IF(AND(I89&lt;&gt;"",I89&lt;AsOf),"OVERDUE",IF(OR(K89&lt;&gt;"",L89&lt;&gt;""),"Invoiced","Scheduled"))))</f>
        <v/>
      </c>
      <c r="P89" s="115">
        <f>IF(B89="","",IF(E89&lt;&gt;"",E89,IFERROR(INDEX('Contractors'!$D$6:$D$1005,MATCH(B89,'Contractors'!$B$6:$B$1005,0)),"")))</f>
        <v/>
      </c>
      <c r="Q89" s="79">
        <f>IF(B89="","",IF(D89&lt;&gt;"",D89,IFERROR(INDEX('Contractors'!$E$6:$E$1005,MATCH(B89,'Contractors'!$B$6:$B$1005,0)),"")))</f>
        <v/>
      </c>
      <c r="R89" s="79">
        <f>IF(O89="","",IF(O89="OVERDUE",2,IF(O89="Paid",0,IF(AND(I89&lt;&gt;"",I89&lt;=AsOf+AlertDays),1,0))))</f>
        <v/>
      </c>
      <c r="S89" s="79">
        <f>IF(AND(B89&lt;&gt;"",M89="",I89&lt;&gt;""),IF(L89&lt;&gt;"",L89,IF(H89="",0,H89)),0)</f>
        <v/>
      </c>
      <c r="T89" s="79">
        <f>IF(AND(B89&lt;&gt;"",M89="",I89&lt;&gt;""),1/I89,0)</f>
        <v/>
      </c>
      <c r="U89" s="112">
        <f>IF(AND(B89&lt;&gt;"",M89="",I89&lt;&gt;""),I89,"")</f>
        <v/>
      </c>
      <c r="V89" s="79">
        <f>IF(U89="","",IF(U89&lt;AsOf,1,IF(U89&lt;=AsOf+AlertDays,2,IF(U89&lt;=AsOf+2*AlertDays,3,""))))</f>
        <v/>
      </c>
      <c r="W89" s="79">
        <f>IF(V89="","",IF(O89="OVERDUE","Overdue payment: ","Payment due: ")&amp;B89&amp;" — "&amp;C89&amp;" ("&amp;CurSym&amp;" "&amp;FIXED(S89,0)&amp;")")</f>
        <v/>
      </c>
      <c r="Z89" s="116">
        <f>IF('Contractors'!B89="","",'Contractors'!B89)</f>
        <v/>
      </c>
      <c r="AA89" s="77">
        <f>IF(Z89="","",'Contractors'!K89)</f>
        <v/>
      </c>
      <c r="AB89" s="77">
        <f>IF(Z89="","",SUMIFS($L$6:$L$1005,$B$6:$B$1005,Z89))</f>
        <v/>
      </c>
      <c r="AC89" s="77">
        <f>IF(Z89="","",SUMIFS($N$6:$N$1005,$B$6:$B$1005,Z89))</f>
        <v/>
      </c>
      <c r="AD89" s="76">
        <f>IF(Z89="","",AA89-AC89)</f>
        <v/>
      </c>
      <c r="AE89" s="117">
        <f>IF(Z89="","",IFERROR(1/SUMPRODUCT(MAX(($B$6:$B$1005=Z89)*$T$6:$T$1005)),""))</f>
        <v/>
      </c>
      <c r="AF89" s="77">
        <f>IF(AE89="","",SUMIFS($S$6:$S$1005,$B$6:$B$1005,Z89,$I$6:$I$1005,AE89))</f>
        <v/>
      </c>
    </row>
    <row r="90" ht="20" customHeight="1">
      <c r="B90" s="72" t="n"/>
      <c r="C90" s="72" t="n"/>
      <c r="D90" s="72" t="n"/>
      <c r="E90" s="72" t="n"/>
      <c r="F90" s="110" t="n"/>
      <c r="G90" s="73" t="n"/>
      <c r="H90" s="75">
        <f>IF(B90="","",IF(G90&lt;&gt;"",G90,IF(F90&lt;&gt;"",F90*IFERROR(INDEX('Contractors'!$I$6:$I$1005,MATCH(B90,'Contractors'!$B$6:$B$1005,0)),0),"")))</f>
        <v/>
      </c>
      <c r="I90" s="109" t="n"/>
      <c r="J90" s="72" t="n"/>
      <c r="K90" s="109" t="n"/>
      <c r="L90" s="73" t="n"/>
      <c r="M90" s="109" t="n"/>
      <c r="N90" s="73" t="n"/>
      <c r="O90" s="107">
        <f>IF(B90="","",IF(M90&lt;&gt;"","Paid",IF(AND(I90&lt;&gt;"",I90&lt;AsOf),"OVERDUE",IF(OR(K90&lt;&gt;"",L90&lt;&gt;""),"Invoiced","Scheduled"))))</f>
        <v/>
      </c>
      <c r="P90" s="115">
        <f>IF(B90="","",IF(E90&lt;&gt;"",E90,IFERROR(INDEX('Contractors'!$D$6:$D$1005,MATCH(B90,'Contractors'!$B$6:$B$1005,0)),"")))</f>
        <v/>
      </c>
      <c r="Q90" s="79">
        <f>IF(B90="","",IF(D90&lt;&gt;"",D90,IFERROR(INDEX('Contractors'!$E$6:$E$1005,MATCH(B90,'Contractors'!$B$6:$B$1005,0)),"")))</f>
        <v/>
      </c>
      <c r="R90" s="79">
        <f>IF(O90="","",IF(O90="OVERDUE",2,IF(O90="Paid",0,IF(AND(I90&lt;&gt;"",I90&lt;=AsOf+AlertDays),1,0))))</f>
        <v/>
      </c>
      <c r="S90" s="79">
        <f>IF(AND(B90&lt;&gt;"",M90="",I90&lt;&gt;""),IF(L90&lt;&gt;"",L90,IF(H90="",0,H90)),0)</f>
        <v/>
      </c>
      <c r="T90" s="79">
        <f>IF(AND(B90&lt;&gt;"",M90="",I90&lt;&gt;""),1/I90,0)</f>
        <v/>
      </c>
      <c r="U90" s="112">
        <f>IF(AND(B90&lt;&gt;"",M90="",I90&lt;&gt;""),I90,"")</f>
        <v/>
      </c>
      <c r="V90" s="79">
        <f>IF(U90="","",IF(U90&lt;AsOf,1,IF(U90&lt;=AsOf+AlertDays,2,IF(U90&lt;=AsOf+2*AlertDays,3,""))))</f>
        <v/>
      </c>
      <c r="W90" s="79">
        <f>IF(V90="","",IF(O90="OVERDUE","Overdue payment: ","Payment due: ")&amp;B90&amp;" — "&amp;C90&amp;" ("&amp;CurSym&amp;" "&amp;FIXED(S90,0)&amp;")")</f>
        <v/>
      </c>
      <c r="Z90" s="116">
        <f>IF('Contractors'!B90="","",'Contractors'!B90)</f>
        <v/>
      </c>
      <c r="AA90" s="77">
        <f>IF(Z90="","",'Contractors'!K90)</f>
        <v/>
      </c>
      <c r="AB90" s="77">
        <f>IF(Z90="","",SUMIFS($L$6:$L$1005,$B$6:$B$1005,Z90))</f>
        <v/>
      </c>
      <c r="AC90" s="77">
        <f>IF(Z90="","",SUMIFS($N$6:$N$1005,$B$6:$B$1005,Z90))</f>
        <v/>
      </c>
      <c r="AD90" s="76">
        <f>IF(Z90="","",AA90-AC90)</f>
        <v/>
      </c>
      <c r="AE90" s="117">
        <f>IF(Z90="","",IFERROR(1/SUMPRODUCT(MAX(($B$6:$B$1005=Z90)*$T$6:$T$1005)),""))</f>
        <v/>
      </c>
      <c r="AF90" s="77">
        <f>IF(AE90="","",SUMIFS($S$6:$S$1005,$B$6:$B$1005,Z90,$I$6:$I$1005,AE90))</f>
        <v/>
      </c>
    </row>
    <row r="91" ht="20" customHeight="1">
      <c r="B91" s="72" t="n"/>
      <c r="C91" s="72" t="n"/>
      <c r="D91" s="72" t="n"/>
      <c r="E91" s="72" t="n"/>
      <c r="F91" s="110" t="n"/>
      <c r="G91" s="73" t="n"/>
      <c r="H91" s="75">
        <f>IF(B91="","",IF(G91&lt;&gt;"",G91,IF(F91&lt;&gt;"",F91*IFERROR(INDEX('Contractors'!$I$6:$I$1005,MATCH(B91,'Contractors'!$B$6:$B$1005,0)),0),"")))</f>
        <v/>
      </c>
      <c r="I91" s="109" t="n"/>
      <c r="J91" s="72" t="n"/>
      <c r="K91" s="109" t="n"/>
      <c r="L91" s="73" t="n"/>
      <c r="M91" s="109" t="n"/>
      <c r="N91" s="73" t="n"/>
      <c r="O91" s="107">
        <f>IF(B91="","",IF(M91&lt;&gt;"","Paid",IF(AND(I91&lt;&gt;"",I91&lt;AsOf),"OVERDUE",IF(OR(K91&lt;&gt;"",L91&lt;&gt;""),"Invoiced","Scheduled"))))</f>
        <v/>
      </c>
      <c r="P91" s="115">
        <f>IF(B91="","",IF(E91&lt;&gt;"",E91,IFERROR(INDEX('Contractors'!$D$6:$D$1005,MATCH(B91,'Contractors'!$B$6:$B$1005,0)),"")))</f>
        <v/>
      </c>
      <c r="Q91" s="79">
        <f>IF(B91="","",IF(D91&lt;&gt;"",D91,IFERROR(INDEX('Contractors'!$E$6:$E$1005,MATCH(B91,'Contractors'!$B$6:$B$1005,0)),"")))</f>
        <v/>
      </c>
      <c r="R91" s="79">
        <f>IF(O91="","",IF(O91="OVERDUE",2,IF(O91="Paid",0,IF(AND(I91&lt;&gt;"",I91&lt;=AsOf+AlertDays),1,0))))</f>
        <v/>
      </c>
      <c r="S91" s="79">
        <f>IF(AND(B91&lt;&gt;"",M91="",I91&lt;&gt;""),IF(L91&lt;&gt;"",L91,IF(H91="",0,H91)),0)</f>
        <v/>
      </c>
      <c r="T91" s="79">
        <f>IF(AND(B91&lt;&gt;"",M91="",I91&lt;&gt;""),1/I91,0)</f>
        <v/>
      </c>
      <c r="U91" s="112">
        <f>IF(AND(B91&lt;&gt;"",M91="",I91&lt;&gt;""),I91,"")</f>
        <v/>
      </c>
      <c r="V91" s="79">
        <f>IF(U91="","",IF(U91&lt;AsOf,1,IF(U91&lt;=AsOf+AlertDays,2,IF(U91&lt;=AsOf+2*AlertDays,3,""))))</f>
        <v/>
      </c>
      <c r="W91" s="79">
        <f>IF(V91="","",IF(O91="OVERDUE","Overdue payment: ","Payment due: ")&amp;B91&amp;" — "&amp;C91&amp;" ("&amp;CurSym&amp;" "&amp;FIXED(S91,0)&amp;")")</f>
        <v/>
      </c>
      <c r="Z91" s="116">
        <f>IF('Contractors'!B91="","",'Contractors'!B91)</f>
        <v/>
      </c>
      <c r="AA91" s="77">
        <f>IF(Z91="","",'Contractors'!K91)</f>
        <v/>
      </c>
      <c r="AB91" s="77">
        <f>IF(Z91="","",SUMIFS($L$6:$L$1005,$B$6:$B$1005,Z91))</f>
        <v/>
      </c>
      <c r="AC91" s="77">
        <f>IF(Z91="","",SUMIFS($N$6:$N$1005,$B$6:$B$1005,Z91))</f>
        <v/>
      </c>
      <c r="AD91" s="76">
        <f>IF(Z91="","",AA91-AC91)</f>
        <v/>
      </c>
      <c r="AE91" s="117">
        <f>IF(Z91="","",IFERROR(1/SUMPRODUCT(MAX(($B$6:$B$1005=Z91)*$T$6:$T$1005)),""))</f>
        <v/>
      </c>
      <c r="AF91" s="77">
        <f>IF(AE91="","",SUMIFS($S$6:$S$1005,$B$6:$B$1005,Z91,$I$6:$I$1005,AE91))</f>
        <v/>
      </c>
    </row>
    <row r="92" ht="20" customHeight="1">
      <c r="B92" s="72" t="n"/>
      <c r="C92" s="72" t="n"/>
      <c r="D92" s="72" t="n"/>
      <c r="E92" s="72" t="n"/>
      <c r="F92" s="110" t="n"/>
      <c r="G92" s="73" t="n"/>
      <c r="H92" s="75">
        <f>IF(B92="","",IF(G92&lt;&gt;"",G92,IF(F92&lt;&gt;"",F92*IFERROR(INDEX('Contractors'!$I$6:$I$1005,MATCH(B92,'Contractors'!$B$6:$B$1005,0)),0),"")))</f>
        <v/>
      </c>
      <c r="I92" s="109" t="n"/>
      <c r="J92" s="72" t="n"/>
      <c r="K92" s="109" t="n"/>
      <c r="L92" s="73" t="n"/>
      <c r="M92" s="109" t="n"/>
      <c r="N92" s="73" t="n"/>
      <c r="O92" s="107">
        <f>IF(B92="","",IF(M92&lt;&gt;"","Paid",IF(AND(I92&lt;&gt;"",I92&lt;AsOf),"OVERDUE",IF(OR(K92&lt;&gt;"",L92&lt;&gt;""),"Invoiced","Scheduled"))))</f>
        <v/>
      </c>
      <c r="P92" s="115">
        <f>IF(B92="","",IF(E92&lt;&gt;"",E92,IFERROR(INDEX('Contractors'!$D$6:$D$1005,MATCH(B92,'Contractors'!$B$6:$B$1005,0)),"")))</f>
        <v/>
      </c>
      <c r="Q92" s="79">
        <f>IF(B92="","",IF(D92&lt;&gt;"",D92,IFERROR(INDEX('Contractors'!$E$6:$E$1005,MATCH(B92,'Contractors'!$B$6:$B$1005,0)),"")))</f>
        <v/>
      </c>
      <c r="R92" s="79">
        <f>IF(O92="","",IF(O92="OVERDUE",2,IF(O92="Paid",0,IF(AND(I92&lt;&gt;"",I92&lt;=AsOf+AlertDays),1,0))))</f>
        <v/>
      </c>
      <c r="S92" s="79">
        <f>IF(AND(B92&lt;&gt;"",M92="",I92&lt;&gt;""),IF(L92&lt;&gt;"",L92,IF(H92="",0,H92)),0)</f>
        <v/>
      </c>
      <c r="T92" s="79">
        <f>IF(AND(B92&lt;&gt;"",M92="",I92&lt;&gt;""),1/I92,0)</f>
        <v/>
      </c>
      <c r="U92" s="112">
        <f>IF(AND(B92&lt;&gt;"",M92="",I92&lt;&gt;""),I92,"")</f>
        <v/>
      </c>
      <c r="V92" s="79">
        <f>IF(U92="","",IF(U92&lt;AsOf,1,IF(U92&lt;=AsOf+AlertDays,2,IF(U92&lt;=AsOf+2*AlertDays,3,""))))</f>
        <v/>
      </c>
      <c r="W92" s="79">
        <f>IF(V92="","",IF(O92="OVERDUE","Overdue payment: ","Payment due: ")&amp;B92&amp;" — "&amp;C92&amp;" ("&amp;CurSym&amp;" "&amp;FIXED(S92,0)&amp;")")</f>
        <v/>
      </c>
      <c r="Z92" s="116">
        <f>IF('Contractors'!B92="","",'Contractors'!B92)</f>
        <v/>
      </c>
      <c r="AA92" s="77">
        <f>IF(Z92="","",'Contractors'!K92)</f>
        <v/>
      </c>
      <c r="AB92" s="77">
        <f>IF(Z92="","",SUMIFS($L$6:$L$1005,$B$6:$B$1005,Z92))</f>
        <v/>
      </c>
      <c r="AC92" s="77">
        <f>IF(Z92="","",SUMIFS($N$6:$N$1005,$B$6:$B$1005,Z92))</f>
        <v/>
      </c>
      <c r="AD92" s="76">
        <f>IF(Z92="","",AA92-AC92)</f>
        <v/>
      </c>
      <c r="AE92" s="117">
        <f>IF(Z92="","",IFERROR(1/SUMPRODUCT(MAX(($B$6:$B$1005=Z92)*$T$6:$T$1005)),""))</f>
        <v/>
      </c>
      <c r="AF92" s="77">
        <f>IF(AE92="","",SUMIFS($S$6:$S$1005,$B$6:$B$1005,Z92,$I$6:$I$1005,AE92))</f>
        <v/>
      </c>
    </row>
    <row r="93" ht="20" customHeight="1">
      <c r="B93" s="72" t="n"/>
      <c r="C93" s="72" t="n"/>
      <c r="D93" s="72" t="n"/>
      <c r="E93" s="72" t="n"/>
      <c r="F93" s="110" t="n"/>
      <c r="G93" s="73" t="n"/>
      <c r="H93" s="75">
        <f>IF(B93="","",IF(G93&lt;&gt;"",G93,IF(F93&lt;&gt;"",F93*IFERROR(INDEX('Contractors'!$I$6:$I$1005,MATCH(B93,'Contractors'!$B$6:$B$1005,0)),0),"")))</f>
        <v/>
      </c>
      <c r="I93" s="109" t="n"/>
      <c r="J93" s="72" t="n"/>
      <c r="K93" s="109" t="n"/>
      <c r="L93" s="73" t="n"/>
      <c r="M93" s="109" t="n"/>
      <c r="N93" s="73" t="n"/>
      <c r="O93" s="107">
        <f>IF(B93="","",IF(M93&lt;&gt;"","Paid",IF(AND(I93&lt;&gt;"",I93&lt;AsOf),"OVERDUE",IF(OR(K93&lt;&gt;"",L93&lt;&gt;""),"Invoiced","Scheduled"))))</f>
        <v/>
      </c>
      <c r="P93" s="115">
        <f>IF(B93="","",IF(E93&lt;&gt;"",E93,IFERROR(INDEX('Contractors'!$D$6:$D$1005,MATCH(B93,'Contractors'!$B$6:$B$1005,0)),"")))</f>
        <v/>
      </c>
      <c r="Q93" s="79">
        <f>IF(B93="","",IF(D93&lt;&gt;"",D93,IFERROR(INDEX('Contractors'!$E$6:$E$1005,MATCH(B93,'Contractors'!$B$6:$B$1005,0)),"")))</f>
        <v/>
      </c>
      <c r="R93" s="79">
        <f>IF(O93="","",IF(O93="OVERDUE",2,IF(O93="Paid",0,IF(AND(I93&lt;&gt;"",I93&lt;=AsOf+AlertDays),1,0))))</f>
        <v/>
      </c>
      <c r="S93" s="79">
        <f>IF(AND(B93&lt;&gt;"",M93="",I93&lt;&gt;""),IF(L93&lt;&gt;"",L93,IF(H93="",0,H93)),0)</f>
        <v/>
      </c>
      <c r="T93" s="79">
        <f>IF(AND(B93&lt;&gt;"",M93="",I93&lt;&gt;""),1/I93,0)</f>
        <v/>
      </c>
      <c r="U93" s="112">
        <f>IF(AND(B93&lt;&gt;"",M93="",I93&lt;&gt;""),I93,"")</f>
        <v/>
      </c>
      <c r="V93" s="79">
        <f>IF(U93="","",IF(U93&lt;AsOf,1,IF(U93&lt;=AsOf+AlertDays,2,IF(U93&lt;=AsOf+2*AlertDays,3,""))))</f>
        <v/>
      </c>
      <c r="W93" s="79">
        <f>IF(V93="","",IF(O93="OVERDUE","Overdue payment: ","Payment due: ")&amp;B93&amp;" — "&amp;C93&amp;" ("&amp;CurSym&amp;" "&amp;FIXED(S93,0)&amp;")")</f>
        <v/>
      </c>
      <c r="Z93" s="116">
        <f>IF('Contractors'!B93="","",'Contractors'!B93)</f>
        <v/>
      </c>
      <c r="AA93" s="77">
        <f>IF(Z93="","",'Contractors'!K93)</f>
        <v/>
      </c>
      <c r="AB93" s="77">
        <f>IF(Z93="","",SUMIFS($L$6:$L$1005,$B$6:$B$1005,Z93))</f>
        <v/>
      </c>
      <c r="AC93" s="77">
        <f>IF(Z93="","",SUMIFS($N$6:$N$1005,$B$6:$B$1005,Z93))</f>
        <v/>
      </c>
      <c r="AD93" s="76">
        <f>IF(Z93="","",AA93-AC93)</f>
        <v/>
      </c>
      <c r="AE93" s="117">
        <f>IF(Z93="","",IFERROR(1/SUMPRODUCT(MAX(($B$6:$B$1005=Z93)*$T$6:$T$1005)),""))</f>
        <v/>
      </c>
      <c r="AF93" s="77">
        <f>IF(AE93="","",SUMIFS($S$6:$S$1005,$B$6:$B$1005,Z93,$I$6:$I$1005,AE93))</f>
        <v/>
      </c>
    </row>
    <row r="94" ht="20" customHeight="1">
      <c r="B94" s="72" t="n"/>
      <c r="C94" s="72" t="n"/>
      <c r="D94" s="72" t="n"/>
      <c r="E94" s="72" t="n"/>
      <c r="F94" s="110" t="n"/>
      <c r="G94" s="73" t="n"/>
      <c r="H94" s="75">
        <f>IF(B94="","",IF(G94&lt;&gt;"",G94,IF(F94&lt;&gt;"",F94*IFERROR(INDEX('Contractors'!$I$6:$I$1005,MATCH(B94,'Contractors'!$B$6:$B$1005,0)),0),"")))</f>
        <v/>
      </c>
      <c r="I94" s="109" t="n"/>
      <c r="J94" s="72" t="n"/>
      <c r="K94" s="109" t="n"/>
      <c r="L94" s="73" t="n"/>
      <c r="M94" s="109" t="n"/>
      <c r="N94" s="73" t="n"/>
      <c r="O94" s="107">
        <f>IF(B94="","",IF(M94&lt;&gt;"","Paid",IF(AND(I94&lt;&gt;"",I94&lt;AsOf),"OVERDUE",IF(OR(K94&lt;&gt;"",L94&lt;&gt;""),"Invoiced","Scheduled"))))</f>
        <v/>
      </c>
      <c r="P94" s="115">
        <f>IF(B94="","",IF(E94&lt;&gt;"",E94,IFERROR(INDEX('Contractors'!$D$6:$D$1005,MATCH(B94,'Contractors'!$B$6:$B$1005,0)),"")))</f>
        <v/>
      </c>
      <c r="Q94" s="79">
        <f>IF(B94="","",IF(D94&lt;&gt;"",D94,IFERROR(INDEX('Contractors'!$E$6:$E$1005,MATCH(B94,'Contractors'!$B$6:$B$1005,0)),"")))</f>
        <v/>
      </c>
      <c r="R94" s="79">
        <f>IF(O94="","",IF(O94="OVERDUE",2,IF(O94="Paid",0,IF(AND(I94&lt;&gt;"",I94&lt;=AsOf+AlertDays),1,0))))</f>
        <v/>
      </c>
      <c r="S94" s="79">
        <f>IF(AND(B94&lt;&gt;"",M94="",I94&lt;&gt;""),IF(L94&lt;&gt;"",L94,IF(H94="",0,H94)),0)</f>
        <v/>
      </c>
      <c r="T94" s="79">
        <f>IF(AND(B94&lt;&gt;"",M94="",I94&lt;&gt;""),1/I94,0)</f>
        <v/>
      </c>
      <c r="U94" s="112">
        <f>IF(AND(B94&lt;&gt;"",M94="",I94&lt;&gt;""),I94,"")</f>
        <v/>
      </c>
      <c r="V94" s="79">
        <f>IF(U94="","",IF(U94&lt;AsOf,1,IF(U94&lt;=AsOf+AlertDays,2,IF(U94&lt;=AsOf+2*AlertDays,3,""))))</f>
        <v/>
      </c>
      <c r="W94" s="79">
        <f>IF(V94="","",IF(O94="OVERDUE","Overdue payment: ","Payment due: ")&amp;B94&amp;" — "&amp;C94&amp;" ("&amp;CurSym&amp;" "&amp;FIXED(S94,0)&amp;")")</f>
        <v/>
      </c>
      <c r="Z94" s="116">
        <f>IF('Contractors'!B94="","",'Contractors'!B94)</f>
        <v/>
      </c>
      <c r="AA94" s="77">
        <f>IF(Z94="","",'Contractors'!K94)</f>
        <v/>
      </c>
      <c r="AB94" s="77">
        <f>IF(Z94="","",SUMIFS($L$6:$L$1005,$B$6:$B$1005,Z94))</f>
        <v/>
      </c>
      <c r="AC94" s="77">
        <f>IF(Z94="","",SUMIFS($N$6:$N$1005,$B$6:$B$1005,Z94))</f>
        <v/>
      </c>
      <c r="AD94" s="76">
        <f>IF(Z94="","",AA94-AC94)</f>
        <v/>
      </c>
      <c r="AE94" s="117">
        <f>IF(Z94="","",IFERROR(1/SUMPRODUCT(MAX(($B$6:$B$1005=Z94)*$T$6:$T$1005)),""))</f>
        <v/>
      </c>
      <c r="AF94" s="77">
        <f>IF(AE94="","",SUMIFS($S$6:$S$1005,$B$6:$B$1005,Z94,$I$6:$I$1005,AE94))</f>
        <v/>
      </c>
    </row>
    <row r="95" ht="20" customHeight="1">
      <c r="B95" s="72" t="n"/>
      <c r="C95" s="72" t="n"/>
      <c r="D95" s="72" t="n"/>
      <c r="E95" s="72" t="n"/>
      <c r="F95" s="110" t="n"/>
      <c r="G95" s="73" t="n"/>
      <c r="H95" s="75">
        <f>IF(B95="","",IF(G95&lt;&gt;"",G95,IF(F95&lt;&gt;"",F95*IFERROR(INDEX('Contractors'!$I$6:$I$1005,MATCH(B95,'Contractors'!$B$6:$B$1005,0)),0),"")))</f>
        <v/>
      </c>
      <c r="I95" s="109" t="n"/>
      <c r="J95" s="72" t="n"/>
      <c r="K95" s="109" t="n"/>
      <c r="L95" s="73" t="n"/>
      <c r="M95" s="109" t="n"/>
      <c r="N95" s="73" t="n"/>
      <c r="O95" s="107">
        <f>IF(B95="","",IF(M95&lt;&gt;"","Paid",IF(AND(I95&lt;&gt;"",I95&lt;AsOf),"OVERDUE",IF(OR(K95&lt;&gt;"",L95&lt;&gt;""),"Invoiced","Scheduled"))))</f>
        <v/>
      </c>
      <c r="P95" s="115">
        <f>IF(B95="","",IF(E95&lt;&gt;"",E95,IFERROR(INDEX('Contractors'!$D$6:$D$1005,MATCH(B95,'Contractors'!$B$6:$B$1005,0)),"")))</f>
        <v/>
      </c>
      <c r="Q95" s="79">
        <f>IF(B95="","",IF(D95&lt;&gt;"",D95,IFERROR(INDEX('Contractors'!$E$6:$E$1005,MATCH(B95,'Contractors'!$B$6:$B$1005,0)),"")))</f>
        <v/>
      </c>
      <c r="R95" s="79">
        <f>IF(O95="","",IF(O95="OVERDUE",2,IF(O95="Paid",0,IF(AND(I95&lt;&gt;"",I95&lt;=AsOf+AlertDays),1,0))))</f>
        <v/>
      </c>
      <c r="S95" s="79">
        <f>IF(AND(B95&lt;&gt;"",M95="",I95&lt;&gt;""),IF(L95&lt;&gt;"",L95,IF(H95="",0,H95)),0)</f>
        <v/>
      </c>
      <c r="T95" s="79">
        <f>IF(AND(B95&lt;&gt;"",M95="",I95&lt;&gt;""),1/I95,0)</f>
        <v/>
      </c>
      <c r="U95" s="112">
        <f>IF(AND(B95&lt;&gt;"",M95="",I95&lt;&gt;""),I95,"")</f>
        <v/>
      </c>
      <c r="V95" s="79">
        <f>IF(U95="","",IF(U95&lt;AsOf,1,IF(U95&lt;=AsOf+AlertDays,2,IF(U95&lt;=AsOf+2*AlertDays,3,""))))</f>
        <v/>
      </c>
      <c r="W95" s="79">
        <f>IF(V95="","",IF(O95="OVERDUE","Overdue payment: ","Payment due: ")&amp;B95&amp;" — "&amp;C95&amp;" ("&amp;CurSym&amp;" "&amp;FIXED(S95,0)&amp;")")</f>
        <v/>
      </c>
      <c r="Z95" s="116">
        <f>IF('Contractors'!B95="","",'Contractors'!B95)</f>
        <v/>
      </c>
      <c r="AA95" s="77">
        <f>IF(Z95="","",'Contractors'!K95)</f>
        <v/>
      </c>
      <c r="AB95" s="77">
        <f>IF(Z95="","",SUMIFS($L$6:$L$1005,$B$6:$B$1005,Z95))</f>
        <v/>
      </c>
      <c r="AC95" s="77">
        <f>IF(Z95="","",SUMIFS($N$6:$N$1005,$B$6:$B$1005,Z95))</f>
        <v/>
      </c>
      <c r="AD95" s="76">
        <f>IF(Z95="","",AA95-AC95)</f>
        <v/>
      </c>
      <c r="AE95" s="117">
        <f>IF(Z95="","",IFERROR(1/SUMPRODUCT(MAX(($B$6:$B$1005=Z95)*$T$6:$T$1005)),""))</f>
        <v/>
      </c>
      <c r="AF95" s="77">
        <f>IF(AE95="","",SUMIFS($S$6:$S$1005,$B$6:$B$1005,Z95,$I$6:$I$1005,AE95))</f>
        <v/>
      </c>
    </row>
    <row r="96" ht="20" customHeight="1">
      <c r="B96" s="72" t="n"/>
      <c r="C96" s="72" t="n"/>
      <c r="D96" s="72" t="n"/>
      <c r="E96" s="72" t="n"/>
      <c r="F96" s="110" t="n"/>
      <c r="G96" s="73" t="n"/>
      <c r="H96" s="75">
        <f>IF(B96="","",IF(G96&lt;&gt;"",G96,IF(F96&lt;&gt;"",F96*IFERROR(INDEX('Contractors'!$I$6:$I$1005,MATCH(B96,'Contractors'!$B$6:$B$1005,0)),0),"")))</f>
        <v/>
      </c>
      <c r="I96" s="109" t="n"/>
      <c r="J96" s="72" t="n"/>
      <c r="K96" s="109" t="n"/>
      <c r="L96" s="73" t="n"/>
      <c r="M96" s="109" t="n"/>
      <c r="N96" s="73" t="n"/>
      <c r="O96" s="107">
        <f>IF(B96="","",IF(M96&lt;&gt;"","Paid",IF(AND(I96&lt;&gt;"",I96&lt;AsOf),"OVERDUE",IF(OR(K96&lt;&gt;"",L96&lt;&gt;""),"Invoiced","Scheduled"))))</f>
        <v/>
      </c>
      <c r="P96" s="115">
        <f>IF(B96="","",IF(E96&lt;&gt;"",E96,IFERROR(INDEX('Contractors'!$D$6:$D$1005,MATCH(B96,'Contractors'!$B$6:$B$1005,0)),"")))</f>
        <v/>
      </c>
      <c r="Q96" s="79">
        <f>IF(B96="","",IF(D96&lt;&gt;"",D96,IFERROR(INDEX('Contractors'!$E$6:$E$1005,MATCH(B96,'Contractors'!$B$6:$B$1005,0)),"")))</f>
        <v/>
      </c>
      <c r="R96" s="79">
        <f>IF(O96="","",IF(O96="OVERDUE",2,IF(O96="Paid",0,IF(AND(I96&lt;&gt;"",I96&lt;=AsOf+AlertDays),1,0))))</f>
        <v/>
      </c>
      <c r="S96" s="79">
        <f>IF(AND(B96&lt;&gt;"",M96="",I96&lt;&gt;""),IF(L96&lt;&gt;"",L96,IF(H96="",0,H96)),0)</f>
        <v/>
      </c>
      <c r="T96" s="79">
        <f>IF(AND(B96&lt;&gt;"",M96="",I96&lt;&gt;""),1/I96,0)</f>
        <v/>
      </c>
      <c r="U96" s="112">
        <f>IF(AND(B96&lt;&gt;"",M96="",I96&lt;&gt;""),I96,"")</f>
        <v/>
      </c>
      <c r="V96" s="79">
        <f>IF(U96="","",IF(U96&lt;AsOf,1,IF(U96&lt;=AsOf+AlertDays,2,IF(U96&lt;=AsOf+2*AlertDays,3,""))))</f>
        <v/>
      </c>
      <c r="W96" s="79">
        <f>IF(V96="","",IF(O96="OVERDUE","Overdue payment: ","Payment due: ")&amp;B96&amp;" — "&amp;C96&amp;" ("&amp;CurSym&amp;" "&amp;FIXED(S96,0)&amp;")")</f>
        <v/>
      </c>
      <c r="Z96" s="116">
        <f>IF('Contractors'!B96="","",'Contractors'!B96)</f>
        <v/>
      </c>
      <c r="AA96" s="77">
        <f>IF(Z96="","",'Contractors'!K96)</f>
        <v/>
      </c>
      <c r="AB96" s="77">
        <f>IF(Z96="","",SUMIFS($L$6:$L$1005,$B$6:$B$1005,Z96))</f>
        <v/>
      </c>
      <c r="AC96" s="77">
        <f>IF(Z96="","",SUMIFS($N$6:$N$1005,$B$6:$B$1005,Z96))</f>
        <v/>
      </c>
      <c r="AD96" s="76">
        <f>IF(Z96="","",AA96-AC96)</f>
        <v/>
      </c>
      <c r="AE96" s="117">
        <f>IF(Z96="","",IFERROR(1/SUMPRODUCT(MAX(($B$6:$B$1005=Z96)*$T$6:$T$1005)),""))</f>
        <v/>
      </c>
      <c r="AF96" s="77">
        <f>IF(AE96="","",SUMIFS($S$6:$S$1005,$B$6:$B$1005,Z96,$I$6:$I$1005,AE96))</f>
        <v/>
      </c>
    </row>
    <row r="97" ht="20" customHeight="1">
      <c r="B97" s="72" t="n"/>
      <c r="C97" s="72" t="n"/>
      <c r="D97" s="72" t="n"/>
      <c r="E97" s="72" t="n"/>
      <c r="F97" s="110" t="n"/>
      <c r="G97" s="73" t="n"/>
      <c r="H97" s="75">
        <f>IF(B97="","",IF(G97&lt;&gt;"",G97,IF(F97&lt;&gt;"",F97*IFERROR(INDEX('Contractors'!$I$6:$I$1005,MATCH(B97,'Contractors'!$B$6:$B$1005,0)),0),"")))</f>
        <v/>
      </c>
      <c r="I97" s="109" t="n"/>
      <c r="J97" s="72" t="n"/>
      <c r="K97" s="109" t="n"/>
      <c r="L97" s="73" t="n"/>
      <c r="M97" s="109" t="n"/>
      <c r="N97" s="73" t="n"/>
      <c r="O97" s="107">
        <f>IF(B97="","",IF(M97&lt;&gt;"","Paid",IF(AND(I97&lt;&gt;"",I97&lt;AsOf),"OVERDUE",IF(OR(K97&lt;&gt;"",L97&lt;&gt;""),"Invoiced","Scheduled"))))</f>
        <v/>
      </c>
      <c r="P97" s="115">
        <f>IF(B97="","",IF(E97&lt;&gt;"",E97,IFERROR(INDEX('Contractors'!$D$6:$D$1005,MATCH(B97,'Contractors'!$B$6:$B$1005,0)),"")))</f>
        <v/>
      </c>
      <c r="Q97" s="79">
        <f>IF(B97="","",IF(D97&lt;&gt;"",D97,IFERROR(INDEX('Contractors'!$E$6:$E$1005,MATCH(B97,'Contractors'!$B$6:$B$1005,0)),"")))</f>
        <v/>
      </c>
      <c r="R97" s="79">
        <f>IF(O97="","",IF(O97="OVERDUE",2,IF(O97="Paid",0,IF(AND(I97&lt;&gt;"",I97&lt;=AsOf+AlertDays),1,0))))</f>
        <v/>
      </c>
      <c r="S97" s="79">
        <f>IF(AND(B97&lt;&gt;"",M97="",I97&lt;&gt;""),IF(L97&lt;&gt;"",L97,IF(H97="",0,H97)),0)</f>
        <v/>
      </c>
      <c r="T97" s="79">
        <f>IF(AND(B97&lt;&gt;"",M97="",I97&lt;&gt;""),1/I97,0)</f>
        <v/>
      </c>
      <c r="U97" s="112">
        <f>IF(AND(B97&lt;&gt;"",M97="",I97&lt;&gt;""),I97,"")</f>
        <v/>
      </c>
      <c r="V97" s="79">
        <f>IF(U97="","",IF(U97&lt;AsOf,1,IF(U97&lt;=AsOf+AlertDays,2,IF(U97&lt;=AsOf+2*AlertDays,3,""))))</f>
        <v/>
      </c>
      <c r="W97" s="79">
        <f>IF(V97="","",IF(O97="OVERDUE","Overdue payment: ","Payment due: ")&amp;B97&amp;" — "&amp;C97&amp;" ("&amp;CurSym&amp;" "&amp;FIXED(S97,0)&amp;")")</f>
        <v/>
      </c>
      <c r="Z97" s="116">
        <f>IF('Contractors'!B97="","",'Contractors'!B97)</f>
        <v/>
      </c>
      <c r="AA97" s="77">
        <f>IF(Z97="","",'Contractors'!K97)</f>
        <v/>
      </c>
      <c r="AB97" s="77">
        <f>IF(Z97="","",SUMIFS($L$6:$L$1005,$B$6:$B$1005,Z97))</f>
        <v/>
      </c>
      <c r="AC97" s="77">
        <f>IF(Z97="","",SUMIFS($N$6:$N$1005,$B$6:$B$1005,Z97))</f>
        <v/>
      </c>
      <c r="AD97" s="76">
        <f>IF(Z97="","",AA97-AC97)</f>
        <v/>
      </c>
      <c r="AE97" s="117">
        <f>IF(Z97="","",IFERROR(1/SUMPRODUCT(MAX(($B$6:$B$1005=Z97)*$T$6:$T$1005)),""))</f>
        <v/>
      </c>
      <c r="AF97" s="77">
        <f>IF(AE97="","",SUMIFS($S$6:$S$1005,$B$6:$B$1005,Z97,$I$6:$I$1005,AE97))</f>
        <v/>
      </c>
    </row>
    <row r="98" ht="20" customHeight="1">
      <c r="B98" s="72" t="n"/>
      <c r="C98" s="72" t="n"/>
      <c r="D98" s="72" t="n"/>
      <c r="E98" s="72" t="n"/>
      <c r="F98" s="110" t="n"/>
      <c r="G98" s="73" t="n"/>
      <c r="H98" s="75">
        <f>IF(B98="","",IF(G98&lt;&gt;"",G98,IF(F98&lt;&gt;"",F98*IFERROR(INDEX('Contractors'!$I$6:$I$1005,MATCH(B98,'Contractors'!$B$6:$B$1005,0)),0),"")))</f>
        <v/>
      </c>
      <c r="I98" s="109" t="n"/>
      <c r="J98" s="72" t="n"/>
      <c r="K98" s="109" t="n"/>
      <c r="L98" s="73" t="n"/>
      <c r="M98" s="109" t="n"/>
      <c r="N98" s="73" t="n"/>
      <c r="O98" s="107">
        <f>IF(B98="","",IF(M98&lt;&gt;"","Paid",IF(AND(I98&lt;&gt;"",I98&lt;AsOf),"OVERDUE",IF(OR(K98&lt;&gt;"",L98&lt;&gt;""),"Invoiced","Scheduled"))))</f>
        <v/>
      </c>
      <c r="P98" s="115">
        <f>IF(B98="","",IF(E98&lt;&gt;"",E98,IFERROR(INDEX('Contractors'!$D$6:$D$1005,MATCH(B98,'Contractors'!$B$6:$B$1005,0)),"")))</f>
        <v/>
      </c>
      <c r="Q98" s="79">
        <f>IF(B98="","",IF(D98&lt;&gt;"",D98,IFERROR(INDEX('Contractors'!$E$6:$E$1005,MATCH(B98,'Contractors'!$B$6:$B$1005,0)),"")))</f>
        <v/>
      </c>
      <c r="R98" s="79">
        <f>IF(O98="","",IF(O98="OVERDUE",2,IF(O98="Paid",0,IF(AND(I98&lt;&gt;"",I98&lt;=AsOf+AlertDays),1,0))))</f>
        <v/>
      </c>
      <c r="S98" s="79">
        <f>IF(AND(B98&lt;&gt;"",M98="",I98&lt;&gt;""),IF(L98&lt;&gt;"",L98,IF(H98="",0,H98)),0)</f>
        <v/>
      </c>
      <c r="T98" s="79">
        <f>IF(AND(B98&lt;&gt;"",M98="",I98&lt;&gt;""),1/I98,0)</f>
        <v/>
      </c>
      <c r="U98" s="112">
        <f>IF(AND(B98&lt;&gt;"",M98="",I98&lt;&gt;""),I98,"")</f>
        <v/>
      </c>
      <c r="V98" s="79">
        <f>IF(U98="","",IF(U98&lt;AsOf,1,IF(U98&lt;=AsOf+AlertDays,2,IF(U98&lt;=AsOf+2*AlertDays,3,""))))</f>
        <v/>
      </c>
      <c r="W98" s="79">
        <f>IF(V98="","",IF(O98="OVERDUE","Overdue payment: ","Payment due: ")&amp;B98&amp;" — "&amp;C98&amp;" ("&amp;CurSym&amp;" "&amp;FIXED(S98,0)&amp;")")</f>
        <v/>
      </c>
      <c r="Z98" s="116">
        <f>IF('Contractors'!B98="","",'Contractors'!B98)</f>
        <v/>
      </c>
      <c r="AA98" s="77">
        <f>IF(Z98="","",'Contractors'!K98)</f>
        <v/>
      </c>
      <c r="AB98" s="77">
        <f>IF(Z98="","",SUMIFS($L$6:$L$1005,$B$6:$B$1005,Z98))</f>
        <v/>
      </c>
      <c r="AC98" s="77">
        <f>IF(Z98="","",SUMIFS($N$6:$N$1005,$B$6:$B$1005,Z98))</f>
        <v/>
      </c>
      <c r="AD98" s="76">
        <f>IF(Z98="","",AA98-AC98)</f>
        <v/>
      </c>
      <c r="AE98" s="117">
        <f>IF(Z98="","",IFERROR(1/SUMPRODUCT(MAX(($B$6:$B$1005=Z98)*$T$6:$T$1005)),""))</f>
        <v/>
      </c>
      <c r="AF98" s="77">
        <f>IF(AE98="","",SUMIFS($S$6:$S$1005,$B$6:$B$1005,Z98,$I$6:$I$1005,AE98))</f>
        <v/>
      </c>
    </row>
    <row r="99" ht="20" customHeight="1">
      <c r="B99" s="72" t="n"/>
      <c r="C99" s="72" t="n"/>
      <c r="D99" s="72" t="n"/>
      <c r="E99" s="72" t="n"/>
      <c r="F99" s="110" t="n"/>
      <c r="G99" s="73" t="n"/>
      <c r="H99" s="75">
        <f>IF(B99="","",IF(G99&lt;&gt;"",G99,IF(F99&lt;&gt;"",F99*IFERROR(INDEX('Contractors'!$I$6:$I$1005,MATCH(B99,'Contractors'!$B$6:$B$1005,0)),0),"")))</f>
        <v/>
      </c>
      <c r="I99" s="109" t="n"/>
      <c r="J99" s="72" t="n"/>
      <c r="K99" s="109" t="n"/>
      <c r="L99" s="73" t="n"/>
      <c r="M99" s="109" t="n"/>
      <c r="N99" s="73" t="n"/>
      <c r="O99" s="107">
        <f>IF(B99="","",IF(M99&lt;&gt;"","Paid",IF(AND(I99&lt;&gt;"",I99&lt;AsOf),"OVERDUE",IF(OR(K99&lt;&gt;"",L99&lt;&gt;""),"Invoiced","Scheduled"))))</f>
        <v/>
      </c>
      <c r="P99" s="115">
        <f>IF(B99="","",IF(E99&lt;&gt;"",E99,IFERROR(INDEX('Contractors'!$D$6:$D$1005,MATCH(B99,'Contractors'!$B$6:$B$1005,0)),"")))</f>
        <v/>
      </c>
      <c r="Q99" s="79">
        <f>IF(B99="","",IF(D99&lt;&gt;"",D99,IFERROR(INDEX('Contractors'!$E$6:$E$1005,MATCH(B99,'Contractors'!$B$6:$B$1005,0)),"")))</f>
        <v/>
      </c>
      <c r="R99" s="79">
        <f>IF(O99="","",IF(O99="OVERDUE",2,IF(O99="Paid",0,IF(AND(I99&lt;&gt;"",I99&lt;=AsOf+AlertDays),1,0))))</f>
        <v/>
      </c>
      <c r="S99" s="79">
        <f>IF(AND(B99&lt;&gt;"",M99="",I99&lt;&gt;""),IF(L99&lt;&gt;"",L99,IF(H99="",0,H99)),0)</f>
        <v/>
      </c>
      <c r="T99" s="79">
        <f>IF(AND(B99&lt;&gt;"",M99="",I99&lt;&gt;""),1/I99,0)</f>
        <v/>
      </c>
      <c r="U99" s="112">
        <f>IF(AND(B99&lt;&gt;"",M99="",I99&lt;&gt;""),I99,"")</f>
        <v/>
      </c>
      <c r="V99" s="79">
        <f>IF(U99="","",IF(U99&lt;AsOf,1,IF(U99&lt;=AsOf+AlertDays,2,IF(U99&lt;=AsOf+2*AlertDays,3,""))))</f>
        <v/>
      </c>
      <c r="W99" s="79">
        <f>IF(V99="","",IF(O99="OVERDUE","Overdue payment: ","Payment due: ")&amp;B99&amp;" — "&amp;C99&amp;" ("&amp;CurSym&amp;" "&amp;FIXED(S99,0)&amp;")")</f>
        <v/>
      </c>
      <c r="Z99" s="116">
        <f>IF('Contractors'!B99="","",'Contractors'!B99)</f>
        <v/>
      </c>
      <c r="AA99" s="77">
        <f>IF(Z99="","",'Contractors'!K99)</f>
        <v/>
      </c>
      <c r="AB99" s="77">
        <f>IF(Z99="","",SUMIFS($L$6:$L$1005,$B$6:$B$1005,Z99))</f>
        <v/>
      </c>
      <c r="AC99" s="77">
        <f>IF(Z99="","",SUMIFS($N$6:$N$1005,$B$6:$B$1005,Z99))</f>
        <v/>
      </c>
      <c r="AD99" s="76">
        <f>IF(Z99="","",AA99-AC99)</f>
        <v/>
      </c>
      <c r="AE99" s="117">
        <f>IF(Z99="","",IFERROR(1/SUMPRODUCT(MAX(($B$6:$B$1005=Z99)*$T$6:$T$1005)),""))</f>
        <v/>
      </c>
      <c r="AF99" s="77">
        <f>IF(AE99="","",SUMIFS($S$6:$S$1005,$B$6:$B$1005,Z99,$I$6:$I$1005,AE99))</f>
        <v/>
      </c>
    </row>
    <row r="100" ht="20" customHeight="1">
      <c r="B100" s="72" t="n"/>
      <c r="C100" s="72" t="n"/>
      <c r="D100" s="72" t="n"/>
      <c r="E100" s="72" t="n"/>
      <c r="F100" s="110" t="n"/>
      <c r="G100" s="73" t="n"/>
      <c r="H100" s="75">
        <f>IF(B100="","",IF(G100&lt;&gt;"",G100,IF(F100&lt;&gt;"",F100*IFERROR(INDEX('Contractors'!$I$6:$I$1005,MATCH(B100,'Contractors'!$B$6:$B$1005,0)),0),"")))</f>
        <v/>
      </c>
      <c r="I100" s="109" t="n"/>
      <c r="J100" s="72" t="n"/>
      <c r="K100" s="109" t="n"/>
      <c r="L100" s="73" t="n"/>
      <c r="M100" s="109" t="n"/>
      <c r="N100" s="73" t="n"/>
      <c r="O100" s="107">
        <f>IF(B100="","",IF(M100&lt;&gt;"","Paid",IF(AND(I100&lt;&gt;"",I100&lt;AsOf),"OVERDUE",IF(OR(K100&lt;&gt;"",L100&lt;&gt;""),"Invoiced","Scheduled"))))</f>
        <v/>
      </c>
      <c r="P100" s="115">
        <f>IF(B100="","",IF(E100&lt;&gt;"",E100,IFERROR(INDEX('Contractors'!$D$6:$D$1005,MATCH(B100,'Contractors'!$B$6:$B$1005,0)),"")))</f>
        <v/>
      </c>
      <c r="Q100" s="79">
        <f>IF(B100="","",IF(D100&lt;&gt;"",D100,IFERROR(INDEX('Contractors'!$E$6:$E$1005,MATCH(B100,'Contractors'!$B$6:$B$1005,0)),"")))</f>
        <v/>
      </c>
      <c r="R100" s="79">
        <f>IF(O100="","",IF(O100="OVERDUE",2,IF(O100="Paid",0,IF(AND(I100&lt;&gt;"",I100&lt;=AsOf+AlertDays),1,0))))</f>
        <v/>
      </c>
      <c r="S100" s="79">
        <f>IF(AND(B100&lt;&gt;"",M100="",I100&lt;&gt;""),IF(L100&lt;&gt;"",L100,IF(H100="",0,H100)),0)</f>
        <v/>
      </c>
      <c r="T100" s="79">
        <f>IF(AND(B100&lt;&gt;"",M100="",I100&lt;&gt;""),1/I100,0)</f>
        <v/>
      </c>
      <c r="U100" s="112">
        <f>IF(AND(B100&lt;&gt;"",M100="",I100&lt;&gt;""),I100,"")</f>
        <v/>
      </c>
      <c r="V100" s="79">
        <f>IF(U100="","",IF(U100&lt;AsOf,1,IF(U100&lt;=AsOf+AlertDays,2,IF(U100&lt;=AsOf+2*AlertDays,3,""))))</f>
        <v/>
      </c>
      <c r="W100" s="79">
        <f>IF(V100="","",IF(O100="OVERDUE","Overdue payment: ","Payment due: ")&amp;B100&amp;" — "&amp;C100&amp;" ("&amp;CurSym&amp;" "&amp;FIXED(S100,0)&amp;")")</f>
        <v/>
      </c>
      <c r="Z100" s="116">
        <f>IF('Contractors'!B100="","",'Contractors'!B100)</f>
        <v/>
      </c>
      <c r="AA100" s="77">
        <f>IF(Z100="","",'Contractors'!K100)</f>
        <v/>
      </c>
      <c r="AB100" s="77">
        <f>IF(Z100="","",SUMIFS($L$6:$L$1005,$B$6:$B$1005,Z100))</f>
        <v/>
      </c>
      <c r="AC100" s="77">
        <f>IF(Z100="","",SUMIFS($N$6:$N$1005,$B$6:$B$1005,Z100))</f>
        <v/>
      </c>
      <c r="AD100" s="76">
        <f>IF(Z100="","",AA100-AC100)</f>
        <v/>
      </c>
      <c r="AE100" s="117">
        <f>IF(Z100="","",IFERROR(1/SUMPRODUCT(MAX(($B$6:$B$1005=Z100)*$T$6:$T$1005)),""))</f>
        <v/>
      </c>
      <c r="AF100" s="77">
        <f>IF(AE100="","",SUMIFS($S$6:$S$1005,$B$6:$B$1005,Z100,$I$6:$I$1005,AE100))</f>
        <v/>
      </c>
    </row>
    <row r="101" ht="20" customHeight="1">
      <c r="B101" s="72" t="n"/>
      <c r="C101" s="72" t="n"/>
      <c r="D101" s="72" t="n"/>
      <c r="E101" s="72" t="n"/>
      <c r="F101" s="110" t="n"/>
      <c r="G101" s="73" t="n"/>
      <c r="H101" s="75">
        <f>IF(B101="","",IF(G101&lt;&gt;"",G101,IF(F101&lt;&gt;"",F101*IFERROR(INDEX('Contractors'!$I$6:$I$1005,MATCH(B101,'Contractors'!$B$6:$B$1005,0)),0),"")))</f>
        <v/>
      </c>
      <c r="I101" s="109" t="n"/>
      <c r="J101" s="72" t="n"/>
      <c r="K101" s="109" t="n"/>
      <c r="L101" s="73" t="n"/>
      <c r="M101" s="109" t="n"/>
      <c r="N101" s="73" t="n"/>
      <c r="O101" s="107">
        <f>IF(B101="","",IF(M101&lt;&gt;"","Paid",IF(AND(I101&lt;&gt;"",I101&lt;AsOf),"OVERDUE",IF(OR(K101&lt;&gt;"",L101&lt;&gt;""),"Invoiced","Scheduled"))))</f>
        <v/>
      </c>
      <c r="P101" s="115">
        <f>IF(B101="","",IF(E101&lt;&gt;"",E101,IFERROR(INDEX('Contractors'!$D$6:$D$1005,MATCH(B101,'Contractors'!$B$6:$B$1005,0)),"")))</f>
        <v/>
      </c>
      <c r="Q101" s="79">
        <f>IF(B101="","",IF(D101&lt;&gt;"",D101,IFERROR(INDEX('Contractors'!$E$6:$E$1005,MATCH(B101,'Contractors'!$B$6:$B$1005,0)),"")))</f>
        <v/>
      </c>
      <c r="R101" s="79">
        <f>IF(O101="","",IF(O101="OVERDUE",2,IF(O101="Paid",0,IF(AND(I101&lt;&gt;"",I101&lt;=AsOf+AlertDays),1,0))))</f>
        <v/>
      </c>
      <c r="S101" s="79">
        <f>IF(AND(B101&lt;&gt;"",M101="",I101&lt;&gt;""),IF(L101&lt;&gt;"",L101,IF(H101="",0,H101)),0)</f>
        <v/>
      </c>
      <c r="T101" s="79">
        <f>IF(AND(B101&lt;&gt;"",M101="",I101&lt;&gt;""),1/I101,0)</f>
        <v/>
      </c>
      <c r="U101" s="112">
        <f>IF(AND(B101&lt;&gt;"",M101="",I101&lt;&gt;""),I101,"")</f>
        <v/>
      </c>
      <c r="V101" s="79">
        <f>IF(U101="","",IF(U101&lt;AsOf,1,IF(U101&lt;=AsOf+AlertDays,2,IF(U101&lt;=AsOf+2*AlertDays,3,""))))</f>
        <v/>
      </c>
      <c r="W101" s="79">
        <f>IF(V101="","",IF(O101="OVERDUE","Overdue payment: ","Payment due: ")&amp;B101&amp;" — "&amp;C101&amp;" ("&amp;CurSym&amp;" "&amp;FIXED(S101,0)&amp;")")</f>
        <v/>
      </c>
      <c r="Z101" s="116">
        <f>IF('Contractors'!B101="","",'Contractors'!B101)</f>
        <v/>
      </c>
      <c r="AA101" s="77">
        <f>IF(Z101="","",'Contractors'!K101)</f>
        <v/>
      </c>
      <c r="AB101" s="77">
        <f>IF(Z101="","",SUMIFS($L$6:$L$1005,$B$6:$B$1005,Z101))</f>
        <v/>
      </c>
      <c r="AC101" s="77">
        <f>IF(Z101="","",SUMIFS($N$6:$N$1005,$B$6:$B$1005,Z101))</f>
        <v/>
      </c>
      <c r="AD101" s="76">
        <f>IF(Z101="","",AA101-AC101)</f>
        <v/>
      </c>
      <c r="AE101" s="117">
        <f>IF(Z101="","",IFERROR(1/SUMPRODUCT(MAX(($B$6:$B$1005=Z101)*$T$6:$T$1005)),""))</f>
        <v/>
      </c>
      <c r="AF101" s="77">
        <f>IF(AE101="","",SUMIFS($S$6:$S$1005,$B$6:$B$1005,Z101,$I$6:$I$1005,AE101))</f>
        <v/>
      </c>
    </row>
    <row r="102" ht="20" customHeight="1">
      <c r="B102" s="72" t="n"/>
      <c r="C102" s="72" t="n"/>
      <c r="D102" s="72" t="n"/>
      <c r="E102" s="72" t="n"/>
      <c r="F102" s="110" t="n"/>
      <c r="G102" s="73" t="n"/>
      <c r="H102" s="75">
        <f>IF(B102="","",IF(G102&lt;&gt;"",G102,IF(F102&lt;&gt;"",F102*IFERROR(INDEX('Contractors'!$I$6:$I$1005,MATCH(B102,'Contractors'!$B$6:$B$1005,0)),0),"")))</f>
        <v/>
      </c>
      <c r="I102" s="109" t="n"/>
      <c r="J102" s="72" t="n"/>
      <c r="K102" s="109" t="n"/>
      <c r="L102" s="73" t="n"/>
      <c r="M102" s="109" t="n"/>
      <c r="N102" s="73" t="n"/>
      <c r="O102" s="107">
        <f>IF(B102="","",IF(M102&lt;&gt;"","Paid",IF(AND(I102&lt;&gt;"",I102&lt;AsOf),"OVERDUE",IF(OR(K102&lt;&gt;"",L102&lt;&gt;""),"Invoiced","Scheduled"))))</f>
        <v/>
      </c>
      <c r="P102" s="115">
        <f>IF(B102="","",IF(E102&lt;&gt;"",E102,IFERROR(INDEX('Contractors'!$D$6:$D$1005,MATCH(B102,'Contractors'!$B$6:$B$1005,0)),"")))</f>
        <v/>
      </c>
      <c r="Q102" s="79">
        <f>IF(B102="","",IF(D102&lt;&gt;"",D102,IFERROR(INDEX('Contractors'!$E$6:$E$1005,MATCH(B102,'Contractors'!$B$6:$B$1005,0)),"")))</f>
        <v/>
      </c>
      <c r="R102" s="79">
        <f>IF(O102="","",IF(O102="OVERDUE",2,IF(O102="Paid",0,IF(AND(I102&lt;&gt;"",I102&lt;=AsOf+AlertDays),1,0))))</f>
        <v/>
      </c>
      <c r="S102" s="79">
        <f>IF(AND(B102&lt;&gt;"",M102="",I102&lt;&gt;""),IF(L102&lt;&gt;"",L102,IF(H102="",0,H102)),0)</f>
        <v/>
      </c>
      <c r="T102" s="79">
        <f>IF(AND(B102&lt;&gt;"",M102="",I102&lt;&gt;""),1/I102,0)</f>
        <v/>
      </c>
      <c r="U102" s="112">
        <f>IF(AND(B102&lt;&gt;"",M102="",I102&lt;&gt;""),I102,"")</f>
        <v/>
      </c>
      <c r="V102" s="79">
        <f>IF(U102="","",IF(U102&lt;AsOf,1,IF(U102&lt;=AsOf+AlertDays,2,IF(U102&lt;=AsOf+2*AlertDays,3,""))))</f>
        <v/>
      </c>
      <c r="W102" s="79">
        <f>IF(V102="","",IF(O102="OVERDUE","Overdue payment: ","Payment due: ")&amp;B102&amp;" — "&amp;C102&amp;" ("&amp;CurSym&amp;" "&amp;FIXED(S102,0)&amp;")")</f>
        <v/>
      </c>
      <c r="Z102" s="116">
        <f>IF('Contractors'!B102="","",'Contractors'!B102)</f>
        <v/>
      </c>
      <c r="AA102" s="77">
        <f>IF(Z102="","",'Contractors'!K102)</f>
        <v/>
      </c>
      <c r="AB102" s="77">
        <f>IF(Z102="","",SUMIFS($L$6:$L$1005,$B$6:$B$1005,Z102))</f>
        <v/>
      </c>
      <c r="AC102" s="77">
        <f>IF(Z102="","",SUMIFS($N$6:$N$1005,$B$6:$B$1005,Z102))</f>
        <v/>
      </c>
      <c r="AD102" s="76">
        <f>IF(Z102="","",AA102-AC102)</f>
        <v/>
      </c>
      <c r="AE102" s="117">
        <f>IF(Z102="","",IFERROR(1/SUMPRODUCT(MAX(($B$6:$B$1005=Z102)*$T$6:$T$1005)),""))</f>
        <v/>
      </c>
      <c r="AF102" s="77">
        <f>IF(AE102="","",SUMIFS($S$6:$S$1005,$B$6:$B$1005,Z102,$I$6:$I$1005,AE102))</f>
        <v/>
      </c>
    </row>
    <row r="103" ht="20" customHeight="1">
      <c r="B103" s="72" t="n"/>
      <c r="C103" s="72" t="n"/>
      <c r="D103" s="72" t="n"/>
      <c r="E103" s="72" t="n"/>
      <c r="F103" s="110" t="n"/>
      <c r="G103" s="73" t="n"/>
      <c r="H103" s="75">
        <f>IF(B103="","",IF(G103&lt;&gt;"",G103,IF(F103&lt;&gt;"",F103*IFERROR(INDEX('Contractors'!$I$6:$I$1005,MATCH(B103,'Contractors'!$B$6:$B$1005,0)),0),"")))</f>
        <v/>
      </c>
      <c r="I103" s="109" t="n"/>
      <c r="J103" s="72" t="n"/>
      <c r="K103" s="109" t="n"/>
      <c r="L103" s="73" t="n"/>
      <c r="M103" s="109" t="n"/>
      <c r="N103" s="73" t="n"/>
      <c r="O103" s="107">
        <f>IF(B103="","",IF(M103&lt;&gt;"","Paid",IF(AND(I103&lt;&gt;"",I103&lt;AsOf),"OVERDUE",IF(OR(K103&lt;&gt;"",L103&lt;&gt;""),"Invoiced","Scheduled"))))</f>
        <v/>
      </c>
      <c r="P103" s="115">
        <f>IF(B103="","",IF(E103&lt;&gt;"",E103,IFERROR(INDEX('Contractors'!$D$6:$D$1005,MATCH(B103,'Contractors'!$B$6:$B$1005,0)),"")))</f>
        <v/>
      </c>
      <c r="Q103" s="79">
        <f>IF(B103="","",IF(D103&lt;&gt;"",D103,IFERROR(INDEX('Contractors'!$E$6:$E$1005,MATCH(B103,'Contractors'!$B$6:$B$1005,0)),"")))</f>
        <v/>
      </c>
      <c r="R103" s="79">
        <f>IF(O103="","",IF(O103="OVERDUE",2,IF(O103="Paid",0,IF(AND(I103&lt;&gt;"",I103&lt;=AsOf+AlertDays),1,0))))</f>
        <v/>
      </c>
      <c r="S103" s="79">
        <f>IF(AND(B103&lt;&gt;"",M103="",I103&lt;&gt;""),IF(L103&lt;&gt;"",L103,IF(H103="",0,H103)),0)</f>
        <v/>
      </c>
      <c r="T103" s="79">
        <f>IF(AND(B103&lt;&gt;"",M103="",I103&lt;&gt;""),1/I103,0)</f>
        <v/>
      </c>
      <c r="U103" s="112">
        <f>IF(AND(B103&lt;&gt;"",M103="",I103&lt;&gt;""),I103,"")</f>
        <v/>
      </c>
      <c r="V103" s="79">
        <f>IF(U103="","",IF(U103&lt;AsOf,1,IF(U103&lt;=AsOf+AlertDays,2,IF(U103&lt;=AsOf+2*AlertDays,3,""))))</f>
        <v/>
      </c>
      <c r="W103" s="79">
        <f>IF(V103="","",IF(O103="OVERDUE","Overdue payment: ","Payment due: ")&amp;B103&amp;" — "&amp;C103&amp;" ("&amp;CurSym&amp;" "&amp;FIXED(S103,0)&amp;")")</f>
        <v/>
      </c>
      <c r="Z103" s="116">
        <f>IF('Contractors'!B103="","",'Contractors'!B103)</f>
        <v/>
      </c>
      <c r="AA103" s="77">
        <f>IF(Z103="","",'Contractors'!K103)</f>
        <v/>
      </c>
      <c r="AB103" s="77">
        <f>IF(Z103="","",SUMIFS($L$6:$L$1005,$B$6:$B$1005,Z103))</f>
        <v/>
      </c>
      <c r="AC103" s="77">
        <f>IF(Z103="","",SUMIFS($N$6:$N$1005,$B$6:$B$1005,Z103))</f>
        <v/>
      </c>
      <c r="AD103" s="76">
        <f>IF(Z103="","",AA103-AC103)</f>
        <v/>
      </c>
      <c r="AE103" s="117">
        <f>IF(Z103="","",IFERROR(1/SUMPRODUCT(MAX(($B$6:$B$1005=Z103)*$T$6:$T$1005)),""))</f>
        <v/>
      </c>
      <c r="AF103" s="77">
        <f>IF(AE103="","",SUMIFS($S$6:$S$1005,$B$6:$B$1005,Z103,$I$6:$I$1005,AE103))</f>
        <v/>
      </c>
    </row>
    <row r="104" ht="20" customHeight="1">
      <c r="B104" s="72" t="n"/>
      <c r="C104" s="72" t="n"/>
      <c r="D104" s="72" t="n"/>
      <c r="E104" s="72" t="n"/>
      <c r="F104" s="110" t="n"/>
      <c r="G104" s="73" t="n"/>
      <c r="H104" s="75">
        <f>IF(B104="","",IF(G104&lt;&gt;"",G104,IF(F104&lt;&gt;"",F104*IFERROR(INDEX('Contractors'!$I$6:$I$1005,MATCH(B104,'Contractors'!$B$6:$B$1005,0)),0),"")))</f>
        <v/>
      </c>
      <c r="I104" s="109" t="n"/>
      <c r="J104" s="72" t="n"/>
      <c r="K104" s="109" t="n"/>
      <c r="L104" s="73" t="n"/>
      <c r="M104" s="109" t="n"/>
      <c r="N104" s="73" t="n"/>
      <c r="O104" s="107">
        <f>IF(B104="","",IF(M104&lt;&gt;"","Paid",IF(AND(I104&lt;&gt;"",I104&lt;AsOf),"OVERDUE",IF(OR(K104&lt;&gt;"",L104&lt;&gt;""),"Invoiced","Scheduled"))))</f>
        <v/>
      </c>
      <c r="P104" s="115">
        <f>IF(B104="","",IF(E104&lt;&gt;"",E104,IFERROR(INDEX('Contractors'!$D$6:$D$1005,MATCH(B104,'Contractors'!$B$6:$B$1005,0)),"")))</f>
        <v/>
      </c>
      <c r="Q104" s="79">
        <f>IF(B104="","",IF(D104&lt;&gt;"",D104,IFERROR(INDEX('Contractors'!$E$6:$E$1005,MATCH(B104,'Contractors'!$B$6:$B$1005,0)),"")))</f>
        <v/>
      </c>
      <c r="R104" s="79">
        <f>IF(O104="","",IF(O104="OVERDUE",2,IF(O104="Paid",0,IF(AND(I104&lt;&gt;"",I104&lt;=AsOf+AlertDays),1,0))))</f>
        <v/>
      </c>
      <c r="S104" s="79">
        <f>IF(AND(B104&lt;&gt;"",M104="",I104&lt;&gt;""),IF(L104&lt;&gt;"",L104,IF(H104="",0,H104)),0)</f>
        <v/>
      </c>
      <c r="T104" s="79">
        <f>IF(AND(B104&lt;&gt;"",M104="",I104&lt;&gt;""),1/I104,0)</f>
        <v/>
      </c>
      <c r="U104" s="112">
        <f>IF(AND(B104&lt;&gt;"",M104="",I104&lt;&gt;""),I104,"")</f>
        <v/>
      </c>
      <c r="V104" s="79">
        <f>IF(U104="","",IF(U104&lt;AsOf,1,IF(U104&lt;=AsOf+AlertDays,2,IF(U104&lt;=AsOf+2*AlertDays,3,""))))</f>
        <v/>
      </c>
      <c r="W104" s="79">
        <f>IF(V104="","",IF(O104="OVERDUE","Overdue payment: ","Payment due: ")&amp;B104&amp;" — "&amp;C104&amp;" ("&amp;CurSym&amp;" "&amp;FIXED(S104,0)&amp;")")</f>
        <v/>
      </c>
      <c r="Z104" s="116">
        <f>IF('Contractors'!B104="","",'Contractors'!B104)</f>
        <v/>
      </c>
      <c r="AA104" s="77">
        <f>IF(Z104="","",'Contractors'!K104)</f>
        <v/>
      </c>
      <c r="AB104" s="77">
        <f>IF(Z104="","",SUMIFS($L$6:$L$1005,$B$6:$B$1005,Z104))</f>
        <v/>
      </c>
      <c r="AC104" s="77">
        <f>IF(Z104="","",SUMIFS($N$6:$N$1005,$B$6:$B$1005,Z104))</f>
        <v/>
      </c>
      <c r="AD104" s="76">
        <f>IF(Z104="","",AA104-AC104)</f>
        <v/>
      </c>
      <c r="AE104" s="117">
        <f>IF(Z104="","",IFERROR(1/SUMPRODUCT(MAX(($B$6:$B$1005=Z104)*$T$6:$T$1005)),""))</f>
        <v/>
      </c>
      <c r="AF104" s="77">
        <f>IF(AE104="","",SUMIFS($S$6:$S$1005,$B$6:$B$1005,Z104,$I$6:$I$1005,AE104))</f>
        <v/>
      </c>
    </row>
    <row r="105" ht="20" customHeight="1">
      <c r="B105" s="72" t="n"/>
      <c r="C105" s="72" t="n"/>
      <c r="D105" s="72" t="n"/>
      <c r="E105" s="72" t="n"/>
      <c r="F105" s="110" t="n"/>
      <c r="G105" s="73" t="n"/>
      <c r="H105" s="75">
        <f>IF(B105="","",IF(G105&lt;&gt;"",G105,IF(F105&lt;&gt;"",F105*IFERROR(INDEX('Contractors'!$I$6:$I$1005,MATCH(B105,'Contractors'!$B$6:$B$1005,0)),0),"")))</f>
        <v/>
      </c>
      <c r="I105" s="109" t="n"/>
      <c r="J105" s="72" t="n"/>
      <c r="K105" s="109" t="n"/>
      <c r="L105" s="73" t="n"/>
      <c r="M105" s="109" t="n"/>
      <c r="N105" s="73" t="n"/>
      <c r="O105" s="107">
        <f>IF(B105="","",IF(M105&lt;&gt;"","Paid",IF(AND(I105&lt;&gt;"",I105&lt;AsOf),"OVERDUE",IF(OR(K105&lt;&gt;"",L105&lt;&gt;""),"Invoiced","Scheduled"))))</f>
        <v/>
      </c>
      <c r="P105" s="115">
        <f>IF(B105="","",IF(E105&lt;&gt;"",E105,IFERROR(INDEX('Contractors'!$D$6:$D$1005,MATCH(B105,'Contractors'!$B$6:$B$1005,0)),"")))</f>
        <v/>
      </c>
      <c r="Q105" s="79">
        <f>IF(B105="","",IF(D105&lt;&gt;"",D105,IFERROR(INDEX('Contractors'!$E$6:$E$1005,MATCH(B105,'Contractors'!$B$6:$B$1005,0)),"")))</f>
        <v/>
      </c>
      <c r="R105" s="79">
        <f>IF(O105="","",IF(O105="OVERDUE",2,IF(O105="Paid",0,IF(AND(I105&lt;&gt;"",I105&lt;=AsOf+AlertDays),1,0))))</f>
        <v/>
      </c>
      <c r="S105" s="79">
        <f>IF(AND(B105&lt;&gt;"",M105="",I105&lt;&gt;""),IF(L105&lt;&gt;"",L105,IF(H105="",0,H105)),0)</f>
        <v/>
      </c>
      <c r="T105" s="79">
        <f>IF(AND(B105&lt;&gt;"",M105="",I105&lt;&gt;""),1/I105,0)</f>
        <v/>
      </c>
      <c r="U105" s="112">
        <f>IF(AND(B105&lt;&gt;"",M105="",I105&lt;&gt;""),I105,"")</f>
        <v/>
      </c>
      <c r="V105" s="79">
        <f>IF(U105="","",IF(U105&lt;AsOf,1,IF(U105&lt;=AsOf+AlertDays,2,IF(U105&lt;=AsOf+2*AlertDays,3,""))))</f>
        <v/>
      </c>
      <c r="W105" s="79">
        <f>IF(V105="","",IF(O105="OVERDUE","Overdue payment: ","Payment due: ")&amp;B105&amp;" — "&amp;C105&amp;" ("&amp;CurSym&amp;" "&amp;FIXED(S105,0)&amp;")")</f>
        <v/>
      </c>
      <c r="Z105" s="116">
        <f>IF('Contractors'!B105="","",'Contractors'!B105)</f>
        <v/>
      </c>
      <c r="AA105" s="77">
        <f>IF(Z105="","",'Contractors'!K105)</f>
        <v/>
      </c>
      <c r="AB105" s="77">
        <f>IF(Z105="","",SUMIFS($L$6:$L$1005,$B$6:$B$1005,Z105))</f>
        <v/>
      </c>
      <c r="AC105" s="77">
        <f>IF(Z105="","",SUMIFS($N$6:$N$1005,$B$6:$B$1005,Z105))</f>
        <v/>
      </c>
      <c r="AD105" s="76">
        <f>IF(Z105="","",AA105-AC105)</f>
        <v/>
      </c>
      <c r="AE105" s="117">
        <f>IF(Z105="","",IFERROR(1/SUMPRODUCT(MAX(($B$6:$B$1005=Z105)*$T$6:$T$1005)),""))</f>
        <v/>
      </c>
      <c r="AF105" s="77">
        <f>IF(AE105="","",SUMIFS($S$6:$S$1005,$B$6:$B$1005,Z105,$I$6:$I$1005,AE105))</f>
        <v/>
      </c>
    </row>
    <row r="106" ht="20" customHeight="1">
      <c r="B106" s="72" t="n"/>
      <c r="C106" s="72" t="n"/>
      <c r="D106" s="72" t="n"/>
      <c r="E106" s="72" t="n"/>
      <c r="F106" s="110" t="n"/>
      <c r="G106" s="73" t="n"/>
      <c r="H106" s="75">
        <f>IF(B106="","",IF(G106&lt;&gt;"",G106,IF(F106&lt;&gt;"",F106*IFERROR(INDEX('Contractors'!$I$6:$I$1005,MATCH(B106,'Contractors'!$B$6:$B$1005,0)),0),"")))</f>
        <v/>
      </c>
      <c r="I106" s="109" t="n"/>
      <c r="J106" s="72" t="n"/>
      <c r="K106" s="109" t="n"/>
      <c r="L106" s="73" t="n"/>
      <c r="M106" s="109" t="n"/>
      <c r="N106" s="73" t="n"/>
      <c r="O106" s="107">
        <f>IF(B106="","",IF(M106&lt;&gt;"","Paid",IF(AND(I106&lt;&gt;"",I106&lt;AsOf),"OVERDUE",IF(OR(K106&lt;&gt;"",L106&lt;&gt;""),"Invoiced","Scheduled"))))</f>
        <v/>
      </c>
      <c r="P106" s="115">
        <f>IF(B106="","",IF(E106&lt;&gt;"",E106,IFERROR(INDEX('Contractors'!$D$6:$D$1005,MATCH(B106,'Contractors'!$B$6:$B$1005,0)),"")))</f>
        <v/>
      </c>
      <c r="Q106" s="79">
        <f>IF(B106="","",IF(D106&lt;&gt;"",D106,IFERROR(INDEX('Contractors'!$E$6:$E$1005,MATCH(B106,'Contractors'!$B$6:$B$1005,0)),"")))</f>
        <v/>
      </c>
      <c r="R106" s="79">
        <f>IF(O106="","",IF(O106="OVERDUE",2,IF(O106="Paid",0,IF(AND(I106&lt;&gt;"",I106&lt;=AsOf+AlertDays),1,0))))</f>
        <v/>
      </c>
      <c r="S106" s="79">
        <f>IF(AND(B106&lt;&gt;"",M106="",I106&lt;&gt;""),IF(L106&lt;&gt;"",L106,IF(H106="",0,H106)),0)</f>
        <v/>
      </c>
      <c r="T106" s="79">
        <f>IF(AND(B106&lt;&gt;"",M106="",I106&lt;&gt;""),1/I106,0)</f>
        <v/>
      </c>
      <c r="U106" s="112">
        <f>IF(AND(B106&lt;&gt;"",M106="",I106&lt;&gt;""),I106,"")</f>
        <v/>
      </c>
      <c r="V106" s="79">
        <f>IF(U106="","",IF(U106&lt;AsOf,1,IF(U106&lt;=AsOf+AlertDays,2,IF(U106&lt;=AsOf+2*AlertDays,3,""))))</f>
        <v/>
      </c>
      <c r="W106" s="79">
        <f>IF(V106="","",IF(O106="OVERDUE","Overdue payment: ","Payment due: ")&amp;B106&amp;" — "&amp;C106&amp;" ("&amp;CurSym&amp;" "&amp;FIXED(S106,0)&amp;")")</f>
        <v/>
      </c>
      <c r="Z106" s="116">
        <f>IF('Contractors'!B106="","",'Contractors'!B106)</f>
        <v/>
      </c>
      <c r="AA106" s="77">
        <f>IF(Z106="","",'Contractors'!K106)</f>
        <v/>
      </c>
      <c r="AB106" s="77">
        <f>IF(Z106="","",SUMIFS($L$6:$L$1005,$B$6:$B$1005,Z106))</f>
        <v/>
      </c>
      <c r="AC106" s="77">
        <f>IF(Z106="","",SUMIFS($N$6:$N$1005,$B$6:$B$1005,Z106))</f>
        <v/>
      </c>
      <c r="AD106" s="76">
        <f>IF(Z106="","",AA106-AC106)</f>
        <v/>
      </c>
      <c r="AE106" s="117">
        <f>IF(Z106="","",IFERROR(1/SUMPRODUCT(MAX(($B$6:$B$1005=Z106)*$T$6:$T$1005)),""))</f>
        <v/>
      </c>
      <c r="AF106" s="77">
        <f>IF(AE106="","",SUMIFS($S$6:$S$1005,$B$6:$B$1005,Z106,$I$6:$I$1005,AE106))</f>
        <v/>
      </c>
    </row>
    <row r="107" ht="20" customHeight="1">
      <c r="B107" s="72" t="n"/>
      <c r="C107" s="72" t="n"/>
      <c r="D107" s="72" t="n"/>
      <c r="E107" s="72" t="n"/>
      <c r="F107" s="110" t="n"/>
      <c r="G107" s="73" t="n"/>
      <c r="H107" s="75">
        <f>IF(B107="","",IF(G107&lt;&gt;"",G107,IF(F107&lt;&gt;"",F107*IFERROR(INDEX('Contractors'!$I$6:$I$1005,MATCH(B107,'Contractors'!$B$6:$B$1005,0)),0),"")))</f>
        <v/>
      </c>
      <c r="I107" s="109" t="n"/>
      <c r="J107" s="72" t="n"/>
      <c r="K107" s="109" t="n"/>
      <c r="L107" s="73" t="n"/>
      <c r="M107" s="109" t="n"/>
      <c r="N107" s="73" t="n"/>
      <c r="O107" s="107">
        <f>IF(B107="","",IF(M107&lt;&gt;"","Paid",IF(AND(I107&lt;&gt;"",I107&lt;AsOf),"OVERDUE",IF(OR(K107&lt;&gt;"",L107&lt;&gt;""),"Invoiced","Scheduled"))))</f>
        <v/>
      </c>
      <c r="P107" s="115">
        <f>IF(B107="","",IF(E107&lt;&gt;"",E107,IFERROR(INDEX('Contractors'!$D$6:$D$1005,MATCH(B107,'Contractors'!$B$6:$B$1005,0)),"")))</f>
        <v/>
      </c>
      <c r="Q107" s="79">
        <f>IF(B107="","",IF(D107&lt;&gt;"",D107,IFERROR(INDEX('Contractors'!$E$6:$E$1005,MATCH(B107,'Contractors'!$B$6:$B$1005,0)),"")))</f>
        <v/>
      </c>
      <c r="R107" s="79">
        <f>IF(O107="","",IF(O107="OVERDUE",2,IF(O107="Paid",0,IF(AND(I107&lt;&gt;"",I107&lt;=AsOf+AlertDays),1,0))))</f>
        <v/>
      </c>
      <c r="S107" s="79">
        <f>IF(AND(B107&lt;&gt;"",M107="",I107&lt;&gt;""),IF(L107&lt;&gt;"",L107,IF(H107="",0,H107)),0)</f>
        <v/>
      </c>
      <c r="T107" s="79">
        <f>IF(AND(B107&lt;&gt;"",M107="",I107&lt;&gt;""),1/I107,0)</f>
        <v/>
      </c>
      <c r="U107" s="112">
        <f>IF(AND(B107&lt;&gt;"",M107="",I107&lt;&gt;""),I107,"")</f>
        <v/>
      </c>
      <c r="V107" s="79">
        <f>IF(U107="","",IF(U107&lt;AsOf,1,IF(U107&lt;=AsOf+AlertDays,2,IF(U107&lt;=AsOf+2*AlertDays,3,""))))</f>
        <v/>
      </c>
      <c r="W107" s="79">
        <f>IF(V107="","",IF(O107="OVERDUE","Overdue payment: ","Payment due: ")&amp;B107&amp;" — "&amp;C107&amp;" ("&amp;CurSym&amp;" "&amp;FIXED(S107,0)&amp;")")</f>
        <v/>
      </c>
      <c r="Z107" s="116">
        <f>IF('Contractors'!B107="","",'Contractors'!B107)</f>
        <v/>
      </c>
      <c r="AA107" s="77">
        <f>IF(Z107="","",'Contractors'!K107)</f>
        <v/>
      </c>
      <c r="AB107" s="77">
        <f>IF(Z107="","",SUMIFS($L$6:$L$1005,$B$6:$B$1005,Z107))</f>
        <v/>
      </c>
      <c r="AC107" s="77">
        <f>IF(Z107="","",SUMIFS($N$6:$N$1005,$B$6:$B$1005,Z107))</f>
        <v/>
      </c>
      <c r="AD107" s="76">
        <f>IF(Z107="","",AA107-AC107)</f>
        <v/>
      </c>
      <c r="AE107" s="117">
        <f>IF(Z107="","",IFERROR(1/SUMPRODUCT(MAX(($B$6:$B$1005=Z107)*$T$6:$T$1005)),""))</f>
        <v/>
      </c>
      <c r="AF107" s="77">
        <f>IF(AE107="","",SUMIFS($S$6:$S$1005,$B$6:$B$1005,Z107,$I$6:$I$1005,AE107))</f>
        <v/>
      </c>
    </row>
    <row r="108" ht="20" customHeight="1">
      <c r="B108" s="72" t="n"/>
      <c r="C108" s="72" t="n"/>
      <c r="D108" s="72" t="n"/>
      <c r="E108" s="72" t="n"/>
      <c r="F108" s="110" t="n"/>
      <c r="G108" s="73" t="n"/>
      <c r="H108" s="75">
        <f>IF(B108="","",IF(G108&lt;&gt;"",G108,IF(F108&lt;&gt;"",F108*IFERROR(INDEX('Contractors'!$I$6:$I$1005,MATCH(B108,'Contractors'!$B$6:$B$1005,0)),0),"")))</f>
        <v/>
      </c>
      <c r="I108" s="109" t="n"/>
      <c r="J108" s="72" t="n"/>
      <c r="K108" s="109" t="n"/>
      <c r="L108" s="73" t="n"/>
      <c r="M108" s="109" t="n"/>
      <c r="N108" s="73" t="n"/>
      <c r="O108" s="107">
        <f>IF(B108="","",IF(M108&lt;&gt;"","Paid",IF(AND(I108&lt;&gt;"",I108&lt;AsOf),"OVERDUE",IF(OR(K108&lt;&gt;"",L108&lt;&gt;""),"Invoiced","Scheduled"))))</f>
        <v/>
      </c>
      <c r="P108" s="115">
        <f>IF(B108="","",IF(E108&lt;&gt;"",E108,IFERROR(INDEX('Contractors'!$D$6:$D$1005,MATCH(B108,'Contractors'!$B$6:$B$1005,0)),"")))</f>
        <v/>
      </c>
      <c r="Q108" s="79">
        <f>IF(B108="","",IF(D108&lt;&gt;"",D108,IFERROR(INDEX('Contractors'!$E$6:$E$1005,MATCH(B108,'Contractors'!$B$6:$B$1005,0)),"")))</f>
        <v/>
      </c>
      <c r="R108" s="79">
        <f>IF(O108="","",IF(O108="OVERDUE",2,IF(O108="Paid",0,IF(AND(I108&lt;&gt;"",I108&lt;=AsOf+AlertDays),1,0))))</f>
        <v/>
      </c>
      <c r="S108" s="79">
        <f>IF(AND(B108&lt;&gt;"",M108="",I108&lt;&gt;""),IF(L108&lt;&gt;"",L108,IF(H108="",0,H108)),0)</f>
        <v/>
      </c>
      <c r="T108" s="79">
        <f>IF(AND(B108&lt;&gt;"",M108="",I108&lt;&gt;""),1/I108,0)</f>
        <v/>
      </c>
      <c r="U108" s="112">
        <f>IF(AND(B108&lt;&gt;"",M108="",I108&lt;&gt;""),I108,"")</f>
        <v/>
      </c>
      <c r="V108" s="79">
        <f>IF(U108="","",IF(U108&lt;AsOf,1,IF(U108&lt;=AsOf+AlertDays,2,IF(U108&lt;=AsOf+2*AlertDays,3,""))))</f>
        <v/>
      </c>
      <c r="W108" s="79">
        <f>IF(V108="","",IF(O108="OVERDUE","Overdue payment: ","Payment due: ")&amp;B108&amp;" — "&amp;C108&amp;" ("&amp;CurSym&amp;" "&amp;FIXED(S108,0)&amp;")")</f>
        <v/>
      </c>
      <c r="Z108" s="116">
        <f>IF('Contractors'!B108="","",'Contractors'!B108)</f>
        <v/>
      </c>
      <c r="AA108" s="77">
        <f>IF(Z108="","",'Contractors'!K108)</f>
        <v/>
      </c>
      <c r="AB108" s="77">
        <f>IF(Z108="","",SUMIFS($L$6:$L$1005,$B$6:$B$1005,Z108))</f>
        <v/>
      </c>
      <c r="AC108" s="77">
        <f>IF(Z108="","",SUMIFS($N$6:$N$1005,$B$6:$B$1005,Z108))</f>
        <v/>
      </c>
      <c r="AD108" s="76">
        <f>IF(Z108="","",AA108-AC108)</f>
        <v/>
      </c>
      <c r="AE108" s="117">
        <f>IF(Z108="","",IFERROR(1/SUMPRODUCT(MAX(($B$6:$B$1005=Z108)*$T$6:$T$1005)),""))</f>
        <v/>
      </c>
      <c r="AF108" s="77">
        <f>IF(AE108="","",SUMIFS($S$6:$S$1005,$B$6:$B$1005,Z108,$I$6:$I$1005,AE108))</f>
        <v/>
      </c>
    </row>
    <row r="109" ht="20" customHeight="1">
      <c r="B109" s="72" t="n"/>
      <c r="C109" s="72" t="n"/>
      <c r="D109" s="72" t="n"/>
      <c r="E109" s="72" t="n"/>
      <c r="F109" s="110" t="n"/>
      <c r="G109" s="73" t="n"/>
      <c r="H109" s="75">
        <f>IF(B109="","",IF(G109&lt;&gt;"",G109,IF(F109&lt;&gt;"",F109*IFERROR(INDEX('Contractors'!$I$6:$I$1005,MATCH(B109,'Contractors'!$B$6:$B$1005,0)),0),"")))</f>
        <v/>
      </c>
      <c r="I109" s="109" t="n"/>
      <c r="J109" s="72" t="n"/>
      <c r="K109" s="109" t="n"/>
      <c r="L109" s="73" t="n"/>
      <c r="M109" s="109" t="n"/>
      <c r="N109" s="73" t="n"/>
      <c r="O109" s="107">
        <f>IF(B109="","",IF(M109&lt;&gt;"","Paid",IF(AND(I109&lt;&gt;"",I109&lt;AsOf),"OVERDUE",IF(OR(K109&lt;&gt;"",L109&lt;&gt;""),"Invoiced","Scheduled"))))</f>
        <v/>
      </c>
      <c r="P109" s="115">
        <f>IF(B109="","",IF(E109&lt;&gt;"",E109,IFERROR(INDEX('Contractors'!$D$6:$D$1005,MATCH(B109,'Contractors'!$B$6:$B$1005,0)),"")))</f>
        <v/>
      </c>
      <c r="Q109" s="79">
        <f>IF(B109="","",IF(D109&lt;&gt;"",D109,IFERROR(INDEX('Contractors'!$E$6:$E$1005,MATCH(B109,'Contractors'!$B$6:$B$1005,0)),"")))</f>
        <v/>
      </c>
      <c r="R109" s="79">
        <f>IF(O109="","",IF(O109="OVERDUE",2,IF(O109="Paid",0,IF(AND(I109&lt;&gt;"",I109&lt;=AsOf+AlertDays),1,0))))</f>
        <v/>
      </c>
      <c r="S109" s="79">
        <f>IF(AND(B109&lt;&gt;"",M109="",I109&lt;&gt;""),IF(L109&lt;&gt;"",L109,IF(H109="",0,H109)),0)</f>
        <v/>
      </c>
      <c r="T109" s="79">
        <f>IF(AND(B109&lt;&gt;"",M109="",I109&lt;&gt;""),1/I109,0)</f>
        <v/>
      </c>
      <c r="U109" s="112">
        <f>IF(AND(B109&lt;&gt;"",M109="",I109&lt;&gt;""),I109,"")</f>
        <v/>
      </c>
      <c r="V109" s="79">
        <f>IF(U109="","",IF(U109&lt;AsOf,1,IF(U109&lt;=AsOf+AlertDays,2,IF(U109&lt;=AsOf+2*AlertDays,3,""))))</f>
        <v/>
      </c>
      <c r="W109" s="79">
        <f>IF(V109="","",IF(O109="OVERDUE","Overdue payment: ","Payment due: ")&amp;B109&amp;" — "&amp;C109&amp;" ("&amp;CurSym&amp;" "&amp;FIXED(S109,0)&amp;")")</f>
        <v/>
      </c>
      <c r="Z109" s="116">
        <f>IF('Contractors'!B109="","",'Contractors'!B109)</f>
        <v/>
      </c>
      <c r="AA109" s="77">
        <f>IF(Z109="","",'Contractors'!K109)</f>
        <v/>
      </c>
      <c r="AB109" s="77">
        <f>IF(Z109="","",SUMIFS($L$6:$L$1005,$B$6:$B$1005,Z109))</f>
        <v/>
      </c>
      <c r="AC109" s="77">
        <f>IF(Z109="","",SUMIFS($N$6:$N$1005,$B$6:$B$1005,Z109))</f>
        <v/>
      </c>
      <c r="AD109" s="76">
        <f>IF(Z109="","",AA109-AC109)</f>
        <v/>
      </c>
      <c r="AE109" s="117">
        <f>IF(Z109="","",IFERROR(1/SUMPRODUCT(MAX(($B$6:$B$1005=Z109)*$T$6:$T$1005)),""))</f>
        <v/>
      </c>
      <c r="AF109" s="77">
        <f>IF(AE109="","",SUMIFS($S$6:$S$1005,$B$6:$B$1005,Z109,$I$6:$I$1005,AE109))</f>
        <v/>
      </c>
    </row>
    <row r="110" ht="20" customHeight="1">
      <c r="B110" s="72" t="n"/>
      <c r="C110" s="72" t="n"/>
      <c r="D110" s="72" t="n"/>
      <c r="E110" s="72" t="n"/>
      <c r="F110" s="110" t="n"/>
      <c r="G110" s="73" t="n"/>
      <c r="H110" s="75">
        <f>IF(B110="","",IF(G110&lt;&gt;"",G110,IF(F110&lt;&gt;"",F110*IFERROR(INDEX('Contractors'!$I$6:$I$1005,MATCH(B110,'Contractors'!$B$6:$B$1005,0)),0),"")))</f>
        <v/>
      </c>
      <c r="I110" s="109" t="n"/>
      <c r="J110" s="72" t="n"/>
      <c r="K110" s="109" t="n"/>
      <c r="L110" s="73" t="n"/>
      <c r="M110" s="109" t="n"/>
      <c r="N110" s="73" t="n"/>
      <c r="O110" s="107">
        <f>IF(B110="","",IF(M110&lt;&gt;"","Paid",IF(AND(I110&lt;&gt;"",I110&lt;AsOf),"OVERDUE",IF(OR(K110&lt;&gt;"",L110&lt;&gt;""),"Invoiced","Scheduled"))))</f>
        <v/>
      </c>
      <c r="P110" s="115">
        <f>IF(B110="","",IF(E110&lt;&gt;"",E110,IFERROR(INDEX('Contractors'!$D$6:$D$1005,MATCH(B110,'Contractors'!$B$6:$B$1005,0)),"")))</f>
        <v/>
      </c>
      <c r="Q110" s="79">
        <f>IF(B110="","",IF(D110&lt;&gt;"",D110,IFERROR(INDEX('Contractors'!$E$6:$E$1005,MATCH(B110,'Contractors'!$B$6:$B$1005,0)),"")))</f>
        <v/>
      </c>
      <c r="R110" s="79">
        <f>IF(O110="","",IF(O110="OVERDUE",2,IF(O110="Paid",0,IF(AND(I110&lt;&gt;"",I110&lt;=AsOf+AlertDays),1,0))))</f>
        <v/>
      </c>
      <c r="S110" s="79">
        <f>IF(AND(B110&lt;&gt;"",M110="",I110&lt;&gt;""),IF(L110&lt;&gt;"",L110,IF(H110="",0,H110)),0)</f>
        <v/>
      </c>
      <c r="T110" s="79">
        <f>IF(AND(B110&lt;&gt;"",M110="",I110&lt;&gt;""),1/I110,0)</f>
        <v/>
      </c>
      <c r="U110" s="112">
        <f>IF(AND(B110&lt;&gt;"",M110="",I110&lt;&gt;""),I110,"")</f>
        <v/>
      </c>
      <c r="V110" s="79">
        <f>IF(U110="","",IF(U110&lt;AsOf,1,IF(U110&lt;=AsOf+AlertDays,2,IF(U110&lt;=AsOf+2*AlertDays,3,""))))</f>
        <v/>
      </c>
      <c r="W110" s="79">
        <f>IF(V110="","",IF(O110="OVERDUE","Overdue payment: ","Payment due: ")&amp;B110&amp;" — "&amp;C110&amp;" ("&amp;CurSym&amp;" "&amp;FIXED(S110,0)&amp;")")</f>
        <v/>
      </c>
      <c r="Z110" s="116">
        <f>IF('Contractors'!B110="","",'Contractors'!B110)</f>
        <v/>
      </c>
      <c r="AA110" s="77">
        <f>IF(Z110="","",'Contractors'!K110)</f>
        <v/>
      </c>
      <c r="AB110" s="77">
        <f>IF(Z110="","",SUMIFS($L$6:$L$1005,$B$6:$B$1005,Z110))</f>
        <v/>
      </c>
      <c r="AC110" s="77">
        <f>IF(Z110="","",SUMIFS($N$6:$N$1005,$B$6:$B$1005,Z110))</f>
        <v/>
      </c>
      <c r="AD110" s="76">
        <f>IF(Z110="","",AA110-AC110)</f>
        <v/>
      </c>
      <c r="AE110" s="117">
        <f>IF(Z110="","",IFERROR(1/SUMPRODUCT(MAX(($B$6:$B$1005=Z110)*$T$6:$T$1005)),""))</f>
        <v/>
      </c>
      <c r="AF110" s="77">
        <f>IF(AE110="","",SUMIFS($S$6:$S$1005,$B$6:$B$1005,Z110,$I$6:$I$1005,AE110))</f>
        <v/>
      </c>
    </row>
    <row r="111" ht="20" customHeight="1">
      <c r="B111" s="72" t="n"/>
      <c r="C111" s="72" t="n"/>
      <c r="D111" s="72" t="n"/>
      <c r="E111" s="72" t="n"/>
      <c r="F111" s="110" t="n"/>
      <c r="G111" s="73" t="n"/>
      <c r="H111" s="75">
        <f>IF(B111="","",IF(G111&lt;&gt;"",G111,IF(F111&lt;&gt;"",F111*IFERROR(INDEX('Contractors'!$I$6:$I$1005,MATCH(B111,'Contractors'!$B$6:$B$1005,0)),0),"")))</f>
        <v/>
      </c>
      <c r="I111" s="109" t="n"/>
      <c r="J111" s="72" t="n"/>
      <c r="K111" s="109" t="n"/>
      <c r="L111" s="73" t="n"/>
      <c r="M111" s="109" t="n"/>
      <c r="N111" s="73" t="n"/>
      <c r="O111" s="107">
        <f>IF(B111="","",IF(M111&lt;&gt;"","Paid",IF(AND(I111&lt;&gt;"",I111&lt;AsOf),"OVERDUE",IF(OR(K111&lt;&gt;"",L111&lt;&gt;""),"Invoiced","Scheduled"))))</f>
        <v/>
      </c>
      <c r="P111" s="115">
        <f>IF(B111="","",IF(E111&lt;&gt;"",E111,IFERROR(INDEX('Contractors'!$D$6:$D$1005,MATCH(B111,'Contractors'!$B$6:$B$1005,0)),"")))</f>
        <v/>
      </c>
      <c r="Q111" s="79">
        <f>IF(B111="","",IF(D111&lt;&gt;"",D111,IFERROR(INDEX('Contractors'!$E$6:$E$1005,MATCH(B111,'Contractors'!$B$6:$B$1005,0)),"")))</f>
        <v/>
      </c>
      <c r="R111" s="79">
        <f>IF(O111="","",IF(O111="OVERDUE",2,IF(O111="Paid",0,IF(AND(I111&lt;&gt;"",I111&lt;=AsOf+AlertDays),1,0))))</f>
        <v/>
      </c>
      <c r="S111" s="79">
        <f>IF(AND(B111&lt;&gt;"",M111="",I111&lt;&gt;""),IF(L111&lt;&gt;"",L111,IF(H111="",0,H111)),0)</f>
        <v/>
      </c>
      <c r="T111" s="79">
        <f>IF(AND(B111&lt;&gt;"",M111="",I111&lt;&gt;""),1/I111,0)</f>
        <v/>
      </c>
      <c r="U111" s="112">
        <f>IF(AND(B111&lt;&gt;"",M111="",I111&lt;&gt;""),I111,"")</f>
        <v/>
      </c>
      <c r="V111" s="79">
        <f>IF(U111="","",IF(U111&lt;AsOf,1,IF(U111&lt;=AsOf+AlertDays,2,IF(U111&lt;=AsOf+2*AlertDays,3,""))))</f>
        <v/>
      </c>
      <c r="W111" s="79">
        <f>IF(V111="","",IF(O111="OVERDUE","Overdue payment: ","Payment due: ")&amp;B111&amp;" — "&amp;C111&amp;" ("&amp;CurSym&amp;" "&amp;FIXED(S111,0)&amp;")")</f>
        <v/>
      </c>
      <c r="Z111" s="116">
        <f>IF('Contractors'!B111="","",'Contractors'!B111)</f>
        <v/>
      </c>
      <c r="AA111" s="77">
        <f>IF(Z111="","",'Contractors'!K111)</f>
        <v/>
      </c>
      <c r="AB111" s="77">
        <f>IF(Z111="","",SUMIFS($L$6:$L$1005,$B$6:$B$1005,Z111))</f>
        <v/>
      </c>
      <c r="AC111" s="77">
        <f>IF(Z111="","",SUMIFS($N$6:$N$1005,$B$6:$B$1005,Z111))</f>
        <v/>
      </c>
      <c r="AD111" s="76">
        <f>IF(Z111="","",AA111-AC111)</f>
        <v/>
      </c>
      <c r="AE111" s="117">
        <f>IF(Z111="","",IFERROR(1/SUMPRODUCT(MAX(($B$6:$B$1005=Z111)*$T$6:$T$1005)),""))</f>
        <v/>
      </c>
      <c r="AF111" s="77">
        <f>IF(AE111="","",SUMIFS($S$6:$S$1005,$B$6:$B$1005,Z111,$I$6:$I$1005,AE111))</f>
        <v/>
      </c>
    </row>
    <row r="112" ht="20" customHeight="1">
      <c r="B112" s="72" t="n"/>
      <c r="C112" s="72" t="n"/>
      <c r="D112" s="72" t="n"/>
      <c r="E112" s="72" t="n"/>
      <c r="F112" s="110" t="n"/>
      <c r="G112" s="73" t="n"/>
      <c r="H112" s="75">
        <f>IF(B112="","",IF(G112&lt;&gt;"",G112,IF(F112&lt;&gt;"",F112*IFERROR(INDEX('Contractors'!$I$6:$I$1005,MATCH(B112,'Contractors'!$B$6:$B$1005,0)),0),"")))</f>
        <v/>
      </c>
      <c r="I112" s="109" t="n"/>
      <c r="J112" s="72" t="n"/>
      <c r="K112" s="109" t="n"/>
      <c r="L112" s="73" t="n"/>
      <c r="M112" s="109" t="n"/>
      <c r="N112" s="73" t="n"/>
      <c r="O112" s="107">
        <f>IF(B112="","",IF(M112&lt;&gt;"","Paid",IF(AND(I112&lt;&gt;"",I112&lt;AsOf),"OVERDUE",IF(OR(K112&lt;&gt;"",L112&lt;&gt;""),"Invoiced","Scheduled"))))</f>
        <v/>
      </c>
      <c r="P112" s="115">
        <f>IF(B112="","",IF(E112&lt;&gt;"",E112,IFERROR(INDEX('Contractors'!$D$6:$D$1005,MATCH(B112,'Contractors'!$B$6:$B$1005,0)),"")))</f>
        <v/>
      </c>
      <c r="Q112" s="79">
        <f>IF(B112="","",IF(D112&lt;&gt;"",D112,IFERROR(INDEX('Contractors'!$E$6:$E$1005,MATCH(B112,'Contractors'!$B$6:$B$1005,0)),"")))</f>
        <v/>
      </c>
      <c r="R112" s="79">
        <f>IF(O112="","",IF(O112="OVERDUE",2,IF(O112="Paid",0,IF(AND(I112&lt;&gt;"",I112&lt;=AsOf+AlertDays),1,0))))</f>
        <v/>
      </c>
      <c r="S112" s="79">
        <f>IF(AND(B112&lt;&gt;"",M112="",I112&lt;&gt;""),IF(L112&lt;&gt;"",L112,IF(H112="",0,H112)),0)</f>
        <v/>
      </c>
      <c r="T112" s="79">
        <f>IF(AND(B112&lt;&gt;"",M112="",I112&lt;&gt;""),1/I112,0)</f>
        <v/>
      </c>
      <c r="U112" s="112">
        <f>IF(AND(B112&lt;&gt;"",M112="",I112&lt;&gt;""),I112,"")</f>
        <v/>
      </c>
      <c r="V112" s="79">
        <f>IF(U112="","",IF(U112&lt;AsOf,1,IF(U112&lt;=AsOf+AlertDays,2,IF(U112&lt;=AsOf+2*AlertDays,3,""))))</f>
        <v/>
      </c>
      <c r="W112" s="79">
        <f>IF(V112="","",IF(O112="OVERDUE","Overdue payment: ","Payment due: ")&amp;B112&amp;" — "&amp;C112&amp;" ("&amp;CurSym&amp;" "&amp;FIXED(S112,0)&amp;")")</f>
        <v/>
      </c>
      <c r="Z112" s="116">
        <f>IF('Contractors'!B112="","",'Contractors'!B112)</f>
        <v/>
      </c>
      <c r="AA112" s="77">
        <f>IF(Z112="","",'Contractors'!K112)</f>
        <v/>
      </c>
      <c r="AB112" s="77">
        <f>IF(Z112="","",SUMIFS($L$6:$L$1005,$B$6:$B$1005,Z112))</f>
        <v/>
      </c>
      <c r="AC112" s="77">
        <f>IF(Z112="","",SUMIFS($N$6:$N$1005,$B$6:$B$1005,Z112))</f>
        <v/>
      </c>
      <c r="AD112" s="76">
        <f>IF(Z112="","",AA112-AC112)</f>
        <v/>
      </c>
      <c r="AE112" s="117">
        <f>IF(Z112="","",IFERROR(1/SUMPRODUCT(MAX(($B$6:$B$1005=Z112)*$T$6:$T$1005)),""))</f>
        <v/>
      </c>
      <c r="AF112" s="77">
        <f>IF(AE112="","",SUMIFS($S$6:$S$1005,$B$6:$B$1005,Z112,$I$6:$I$1005,AE112))</f>
        <v/>
      </c>
    </row>
    <row r="113" ht="20" customHeight="1">
      <c r="B113" s="72" t="n"/>
      <c r="C113" s="72" t="n"/>
      <c r="D113" s="72" t="n"/>
      <c r="E113" s="72" t="n"/>
      <c r="F113" s="110" t="n"/>
      <c r="G113" s="73" t="n"/>
      <c r="H113" s="75">
        <f>IF(B113="","",IF(G113&lt;&gt;"",G113,IF(F113&lt;&gt;"",F113*IFERROR(INDEX('Contractors'!$I$6:$I$1005,MATCH(B113,'Contractors'!$B$6:$B$1005,0)),0),"")))</f>
        <v/>
      </c>
      <c r="I113" s="109" t="n"/>
      <c r="J113" s="72" t="n"/>
      <c r="K113" s="109" t="n"/>
      <c r="L113" s="73" t="n"/>
      <c r="M113" s="109" t="n"/>
      <c r="N113" s="73" t="n"/>
      <c r="O113" s="107">
        <f>IF(B113="","",IF(M113&lt;&gt;"","Paid",IF(AND(I113&lt;&gt;"",I113&lt;AsOf),"OVERDUE",IF(OR(K113&lt;&gt;"",L113&lt;&gt;""),"Invoiced","Scheduled"))))</f>
        <v/>
      </c>
      <c r="P113" s="115">
        <f>IF(B113="","",IF(E113&lt;&gt;"",E113,IFERROR(INDEX('Contractors'!$D$6:$D$1005,MATCH(B113,'Contractors'!$B$6:$B$1005,0)),"")))</f>
        <v/>
      </c>
      <c r="Q113" s="79">
        <f>IF(B113="","",IF(D113&lt;&gt;"",D113,IFERROR(INDEX('Contractors'!$E$6:$E$1005,MATCH(B113,'Contractors'!$B$6:$B$1005,0)),"")))</f>
        <v/>
      </c>
      <c r="R113" s="79">
        <f>IF(O113="","",IF(O113="OVERDUE",2,IF(O113="Paid",0,IF(AND(I113&lt;&gt;"",I113&lt;=AsOf+AlertDays),1,0))))</f>
        <v/>
      </c>
      <c r="S113" s="79">
        <f>IF(AND(B113&lt;&gt;"",M113="",I113&lt;&gt;""),IF(L113&lt;&gt;"",L113,IF(H113="",0,H113)),0)</f>
        <v/>
      </c>
      <c r="T113" s="79">
        <f>IF(AND(B113&lt;&gt;"",M113="",I113&lt;&gt;""),1/I113,0)</f>
        <v/>
      </c>
      <c r="U113" s="112">
        <f>IF(AND(B113&lt;&gt;"",M113="",I113&lt;&gt;""),I113,"")</f>
        <v/>
      </c>
      <c r="V113" s="79">
        <f>IF(U113="","",IF(U113&lt;AsOf,1,IF(U113&lt;=AsOf+AlertDays,2,IF(U113&lt;=AsOf+2*AlertDays,3,""))))</f>
        <v/>
      </c>
      <c r="W113" s="79">
        <f>IF(V113="","",IF(O113="OVERDUE","Overdue payment: ","Payment due: ")&amp;B113&amp;" — "&amp;C113&amp;" ("&amp;CurSym&amp;" "&amp;FIXED(S113,0)&amp;")")</f>
        <v/>
      </c>
      <c r="Z113" s="116">
        <f>IF('Contractors'!B113="","",'Contractors'!B113)</f>
        <v/>
      </c>
      <c r="AA113" s="77">
        <f>IF(Z113="","",'Contractors'!K113)</f>
        <v/>
      </c>
      <c r="AB113" s="77">
        <f>IF(Z113="","",SUMIFS($L$6:$L$1005,$B$6:$B$1005,Z113))</f>
        <v/>
      </c>
      <c r="AC113" s="77">
        <f>IF(Z113="","",SUMIFS($N$6:$N$1005,$B$6:$B$1005,Z113))</f>
        <v/>
      </c>
      <c r="AD113" s="76">
        <f>IF(Z113="","",AA113-AC113)</f>
        <v/>
      </c>
      <c r="AE113" s="117">
        <f>IF(Z113="","",IFERROR(1/SUMPRODUCT(MAX(($B$6:$B$1005=Z113)*$T$6:$T$1005)),""))</f>
        <v/>
      </c>
      <c r="AF113" s="77">
        <f>IF(AE113="","",SUMIFS($S$6:$S$1005,$B$6:$B$1005,Z113,$I$6:$I$1005,AE113))</f>
        <v/>
      </c>
    </row>
    <row r="114" ht="20" customHeight="1">
      <c r="B114" s="72" t="n"/>
      <c r="C114" s="72" t="n"/>
      <c r="D114" s="72" t="n"/>
      <c r="E114" s="72" t="n"/>
      <c r="F114" s="110" t="n"/>
      <c r="G114" s="73" t="n"/>
      <c r="H114" s="75">
        <f>IF(B114="","",IF(G114&lt;&gt;"",G114,IF(F114&lt;&gt;"",F114*IFERROR(INDEX('Contractors'!$I$6:$I$1005,MATCH(B114,'Contractors'!$B$6:$B$1005,0)),0),"")))</f>
        <v/>
      </c>
      <c r="I114" s="109" t="n"/>
      <c r="J114" s="72" t="n"/>
      <c r="K114" s="109" t="n"/>
      <c r="L114" s="73" t="n"/>
      <c r="M114" s="109" t="n"/>
      <c r="N114" s="73" t="n"/>
      <c r="O114" s="107">
        <f>IF(B114="","",IF(M114&lt;&gt;"","Paid",IF(AND(I114&lt;&gt;"",I114&lt;AsOf),"OVERDUE",IF(OR(K114&lt;&gt;"",L114&lt;&gt;""),"Invoiced","Scheduled"))))</f>
        <v/>
      </c>
      <c r="P114" s="115">
        <f>IF(B114="","",IF(E114&lt;&gt;"",E114,IFERROR(INDEX('Contractors'!$D$6:$D$1005,MATCH(B114,'Contractors'!$B$6:$B$1005,0)),"")))</f>
        <v/>
      </c>
      <c r="Q114" s="79">
        <f>IF(B114="","",IF(D114&lt;&gt;"",D114,IFERROR(INDEX('Contractors'!$E$6:$E$1005,MATCH(B114,'Contractors'!$B$6:$B$1005,0)),"")))</f>
        <v/>
      </c>
      <c r="R114" s="79">
        <f>IF(O114="","",IF(O114="OVERDUE",2,IF(O114="Paid",0,IF(AND(I114&lt;&gt;"",I114&lt;=AsOf+AlertDays),1,0))))</f>
        <v/>
      </c>
      <c r="S114" s="79">
        <f>IF(AND(B114&lt;&gt;"",M114="",I114&lt;&gt;""),IF(L114&lt;&gt;"",L114,IF(H114="",0,H114)),0)</f>
        <v/>
      </c>
      <c r="T114" s="79">
        <f>IF(AND(B114&lt;&gt;"",M114="",I114&lt;&gt;""),1/I114,0)</f>
        <v/>
      </c>
      <c r="U114" s="112">
        <f>IF(AND(B114&lt;&gt;"",M114="",I114&lt;&gt;""),I114,"")</f>
        <v/>
      </c>
      <c r="V114" s="79">
        <f>IF(U114="","",IF(U114&lt;AsOf,1,IF(U114&lt;=AsOf+AlertDays,2,IF(U114&lt;=AsOf+2*AlertDays,3,""))))</f>
        <v/>
      </c>
      <c r="W114" s="79">
        <f>IF(V114="","",IF(O114="OVERDUE","Overdue payment: ","Payment due: ")&amp;B114&amp;" — "&amp;C114&amp;" ("&amp;CurSym&amp;" "&amp;FIXED(S114,0)&amp;")")</f>
        <v/>
      </c>
      <c r="Z114" s="116">
        <f>IF('Contractors'!B114="","",'Contractors'!B114)</f>
        <v/>
      </c>
      <c r="AA114" s="77">
        <f>IF(Z114="","",'Contractors'!K114)</f>
        <v/>
      </c>
      <c r="AB114" s="77">
        <f>IF(Z114="","",SUMIFS($L$6:$L$1005,$B$6:$B$1005,Z114))</f>
        <v/>
      </c>
      <c r="AC114" s="77">
        <f>IF(Z114="","",SUMIFS($N$6:$N$1005,$B$6:$B$1005,Z114))</f>
        <v/>
      </c>
      <c r="AD114" s="76">
        <f>IF(Z114="","",AA114-AC114)</f>
        <v/>
      </c>
      <c r="AE114" s="117">
        <f>IF(Z114="","",IFERROR(1/SUMPRODUCT(MAX(($B$6:$B$1005=Z114)*$T$6:$T$1005)),""))</f>
        <v/>
      </c>
      <c r="AF114" s="77">
        <f>IF(AE114="","",SUMIFS($S$6:$S$1005,$B$6:$B$1005,Z114,$I$6:$I$1005,AE114))</f>
        <v/>
      </c>
    </row>
    <row r="115" ht="20" customHeight="1">
      <c r="B115" s="72" t="n"/>
      <c r="C115" s="72" t="n"/>
      <c r="D115" s="72" t="n"/>
      <c r="E115" s="72" t="n"/>
      <c r="F115" s="110" t="n"/>
      <c r="G115" s="73" t="n"/>
      <c r="H115" s="75">
        <f>IF(B115="","",IF(G115&lt;&gt;"",G115,IF(F115&lt;&gt;"",F115*IFERROR(INDEX('Contractors'!$I$6:$I$1005,MATCH(B115,'Contractors'!$B$6:$B$1005,0)),0),"")))</f>
        <v/>
      </c>
      <c r="I115" s="109" t="n"/>
      <c r="J115" s="72" t="n"/>
      <c r="K115" s="109" t="n"/>
      <c r="L115" s="73" t="n"/>
      <c r="M115" s="109" t="n"/>
      <c r="N115" s="73" t="n"/>
      <c r="O115" s="107">
        <f>IF(B115="","",IF(M115&lt;&gt;"","Paid",IF(AND(I115&lt;&gt;"",I115&lt;AsOf),"OVERDUE",IF(OR(K115&lt;&gt;"",L115&lt;&gt;""),"Invoiced","Scheduled"))))</f>
        <v/>
      </c>
      <c r="P115" s="115">
        <f>IF(B115="","",IF(E115&lt;&gt;"",E115,IFERROR(INDEX('Contractors'!$D$6:$D$1005,MATCH(B115,'Contractors'!$B$6:$B$1005,0)),"")))</f>
        <v/>
      </c>
      <c r="Q115" s="79">
        <f>IF(B115="","",IF(D115&lt;&gt;"",D115,IFERROR(INDEX('Contractors'!$E$6:$E$1005,MATCH(B115,'Contractors'!$B$6:$B$1005,0)),"")))</f>
        <v/>
      </c>
      <c r="R115" s="79">
        <f>IF(O115="","",IF(O115="OVERDUE",2,IF(O115="Paid",0,IF(AND(I115&lt;&gt;"",I115&lt;=AsOf+AlertDays),1,0))))</f>
        <v/>
      </c>
      <c r="S115" s="79">
        <f>IF(AND(B115&lt;&gt;"",M115="",I115&lt;&gt;""),IF(L115&lt;&gt;"",L115,IF(H115="",0,H115)),0)</f>
        <v/>
      </c>
      <c r="T115" s="79">
        <f>IF(AND(B115&lt;&gt;"",M115="",I115&lt;&gt;""),1/I115,0)</f>
        <v/>
      </c>
      <c r="U115" s="112">
        <f>IF(AND(B115&lt;&gt;"",M115="",I115&lt;&gt;""),I115,"")</f>
        <v/>
      </c>
      <c r="V115" s="79">
        <f>IF(U115="","",IF(U115&lt;AsOf,1,IF(U115&lt;=AsOf+AlertDays,2,IF(U115&lt;=AsOf+2*AlertDays,3,""))))</f>
        <v/>
      </c>
      <c r="W115" s="79">
        <f>IF(V115="","",IF(O115="OVERDUE","Overdue payment: ","Payment due: ")&amp;B115&amp;" — "&amp;C115&amp;" ("&amp;CurSym&amp;" "&amp;FIXED(S115,0)&amp;")")</f>
        <v/>
      </c>
      <c r="Z115" s="116">
        <f>IF('Contractors'!B115="","",'Contractors'!B115)</f>
        <v/>
      </c>
      <c r="AA115" s="77">
        <f>IF(Z115="","",'Contractors'!K115)</f>
        <v/>
      </c>
      <c r="AB115" s="77">
        <f>IF(Z115="","",SUMIFS($L$6:$L$1005,$B$6:$B$1005,Z115))</f>
        <v/>
      </c>
      <c r="AC115" s="77">
        <f>IF(Z115="","",SUMIFS($N$6:$N$1005,$B$6:$B$1005,Z115))</f>
        <v/>
      </c>
      <c r="AD115" s="76">
        <f>IF(Z115="","",AA115-AC115)</f>
        <v/>
      </c>
      <c r="AE115" s="117">
        <f>IF(Z115="","",IFERROR(1/SUMPRODUCT(MAX(($B$6:$B$1005=Z115)*$T$6:$T$1005)),""))</f>
        <v/>
      </c>
      <c r="AF115" s="77">
        <f>IF(AE115="","",SUMIFS($S$6:$S$1005,$B$6:$B$1005,Z115,$I$6:$I$1005,AE115))</f>
        <v/>
      </c>
    </row>
    <row r="116" ht="20" customHeight="1">
      <c r="B116" s="72" t="n"/>
      <c r="C116" s="72" t="n"/>
      <c r="D116" s="72" t="n"/>
      <c r="E116" s="72" t="n"/>
      <c r="F116" s="110" t="n"/>
      <c r="G116" s="73" t="n"/>
      <c r="H116" s="75">
        <f>IF(B116="","",IF(G116&lt;&gt;"",G116,IF(F116&lt;&gt;"",F116*IFERROR(INDEX('Contractors'!$I$6:$I$1005,MATCH(B116,'Contractors'!$B$6:$B$1005,0)),0),"")))</f>
        <v/>
      </c>
      <c r="I116" s="109" t="n"/>
      <c r="J116" s="72" t="n"/>
      <c r="K116" s="109" t="n"/>
      <c r="L116" s="73" t="n"/>
      <c r="M116" s="109" t="n"/>
      <c r="N116" s="73" t="n"/>
      <c r="O116" s="107">
        <f>IF(B116="","",IF(M116&lt;&gt;"","Paid",IF(AND(I116&lt;&gt;"",I116&lt;AsOf),"OVERDUE",IF(OR(K116&lt;&gt;"",L116&lt;&gt;""),"Invoiced","Scheduled"))))</f>
        <v/>
      </c>
      <c r="P116" s="115">
        <f>IF(B116="","",IF(E116&lt;&gt;"",E116,IFERROR(INDEX('Contractors'!$D$6:$D$1005,MATCH(B116,'Contractors'!$B$6:$B$1005,0)),"")))</f>
        <v/>
      </c>
      <c r="Q116" s="79">
        <f>IF(B116="","",IF(D116&lt;&gt;"",D116,IFERROR(INDEX('Contractors'!$E$6:$E$1005,MATCH(B116,'Contractors'!$B$6:$B$1005,0)),"")))</f>
        <v/>
      </c>
      <c r="R116" s="79">
        <f>IF(O116="","",IF(O116="OVERDUE",2,IF(O116="Paid",0,IF(AND(I116&lt;&gt;"",I116&lt;=AsOf+AlertDays),1,0))))</f>
        <v/>
      </c>
      <c r="S116" s="79">
        <f>IF(AND(B116&lt;&gt;"",M116="",I116&lt;&gt;""),IF(L116&lt;&gt;"",L116,IF(H116="",0,H116)),0)</f>
        <v/>
      </c>
      <c r="T116" s="79">
        <f>IF(AND(B116&lt;&gt;"",M116="",I116&lt;&gt;""),1/I116,0)</f>
        <v/>
      </c>
      <c r="U116" s="112">
        <f>IF(AND(B116&lt;&gt;"",M116="",I116&lt;&gt;""),I116,"")</f>
        <v/>
      </c>
      <c r="V116" s="79">
        <f>IF(U116="","",IF(U116&lt;AsOf,1,IF(U116&lt;=AsOf+AlertDays,2,IF(U116&lt;=AsOf+2*AlertDays,3,""))))</f>
        <v/>
      </c>
      <c r="W116" s="79">
        <f>IF(V116="","",IF(O116="OVERDUE","Overdue payment: ","Payment due: ")&amp;B116&amp;" — "&amp;C116&amp;" ("&amp;CurSym&amp;" "&amp;FIXED(S116,0)&amp;")")</f>
        <v/>
      </c>
      <c r="Z116" s="116">
        <f>IF('Contractors'!B116="","",'Contractors'!B116)</f>
        <v/>
      </c>
      <c r="AA116" s="77">
        <f>IF(Z116="","",'Contractors'!K116)</f>
        <v/>
      </c>
      <c r="AB116" s="77">
        <f>IF(Z116="","",SUMIFS($L$6:$L$1005,$B$6:$B$1005,Z116))</f>
        <v/>
      </c>
      <c r="AC116" s="77">
        <f>IF(Z116="","",SUMIFS($N$6:$N$1005,$B$6:$B$1005,Z116))</f>
        <v/>
      </c>
      <c r="AD116" s="76">
        <f>IF(Z116="","",AA116-AC116)</f>
        <v/>
      </c>
      <c r="AE116" s="117">
        <f>IF(Z116="","",IFERROR(1/SUMPRODUCT(MAX(($B$6:$B$1005=Z116)*$T$6:$T$1005)),""))</f>
        <v/>
      </c>
      <c r="AF116" s="77">
        <f>IF(AE116="","",SUMIFS($S$6:$S$1005,$B$6:$B$1005,Z116,$I$6:$I$1005,AE116))</f>
        <v/>
      </c>
    </row>
    <row r="117" ht="20" customHeight="1">
      <c r="B117" s="72" t="n"/>
      <c r="C117" s="72" t="n"/>
      <c r="D117" s="72" t="n"/>
      <c r="E117" s="72" t="n"/>
      <c r="F117" s="110" t="n"/>
      <c r="G117" s="73" t="n"/>
      <c r="H117" s="75">
        <f>IF(B117="","",IF(G117&lt;&gt;"",G117,IF(F117&lt;&gt;"",F117*IFERROR(INDEX('Contractors'!$I$6:$I$1005,MATCH(B117,'Contractors'!$B$6:$B$1005,0)),0),"")))</f>
        <v/>
      </c>
      <c r="I117" s="109" t="n"/>
      <c r="J117" s="72" t="n"/>
      <c r="K117" s="109" t="n"/>
      <c r="L117" s="73" t="n"/>
      <c r="M117" s="109" t="n"/>
      <c r="N117" s="73" t="n"/>
      <c r="O117" s="107">
        <f>IF(B117="","",IF(M117&lt;&gt;"","Paid",IF(AND(I117&lt;&gt;"",I117&lt;AsOf),"OVERDUE",IF(OR(K117&lt;&gt;"",L117&lt;&gt;""),"Invoiced","Scheduled"))))</f>
        <v/>
      </c>
      <c r="P117" s="115">
        <f>IF(B117="","",IF(E117&lt;&gt;"",E117,IFERROR(INDEX('Contractors'!$D$6:$D$1005,MATCH(B117,'Contractors'!$B$6:$B$1005,0)),"")))</f>
        <v/>
      </c>
      <c r="Q117" s="79">
        <f>IF(B117="","",IF(D117&lt;&gt;"",D117,IFERROR(INDEX('Contractors'!$E$6:$E$1005,MATCH(B117,'Contractors'!$B$6:$B$1005,0)),"")))</f>
        <v/>
      </c>
      <c r="R117" s="79">
        <f>IF(O117="","",IF(O117="OVERDUE",2,IF(O117="Paid",0,IF(AND(I117&lt;&gt;"",I117&lt;=AsOf+AlertDays),1,0))))</f>
        <v/>
      </c>
      <c r="S117" s="79">
        <f>IF(AND(B117&lt;&gt;"",M117="",I117&lt;&gt;""),IF(L117&lt;&gt;"",L117,IF(H117="",0,H117)),0)</f>
        <v/>
      </c>
      <c r="T117" s="79">
        <f>IF(AND(B117&lt;&gt;"",M117="",I117&lt;&gt;""),1/I117,0)</f>
        <v/>
      </c>
      <c r="U117" s="112">
        <f>IF(AND(B117&lt;&gt;"",M117="",I117&lt;&gt;""),I117,"")</f>
        <v/>
      </c>
      <c r="V117" s="79">
        <f>IF(U117="","",IF(U117&lt;AsOf,1,IF(U117&lt;=AsOf+AlertDays,2,IF(U117&lt;=AsOf+2*AlertDays,3,""))))</f>
        <v/>
      </c>
      <c r="W117" s="79">
        <f>IF(V117="","",IF(O117="OVERDUE","Overdue payment: ","Payment due: ")&amp;B117&amp;" — "&amp;C117&amp;" ("&amp;CurSym&amp;" "&amp;FIXED(S117,0)&amp;")")</f>
        <v/>
      </c>
      <c r="Z117" s="116">
        <f>IF('Contractors'!B117="","",'Contractors'!B117)</f>
        <v/>
      </c>
      <c r="AA117" s="77">
        <f>IF(Z117="","",'Contractors'!K117)</f>
        <v/>
      </c>
      <c r="AB117" s="77">
        <f>IF(Z117="","",SUMIFS($L$6:$L$1005,$B$6:$B$1005,Z117))</f>
        <v/>
      </c>
      <c r="AC117" s="77">
        <f>IF(Z117="","",SUMIFS($N$6:$N$1005,$B$6:$B$1005,Z117))</f>
        <v/>
      </c>
      <c r="AD117" s="76">
        <f>IF(Z117="","",AA117-AC117)</f>
        <v/>
      </c>
      <c r="AE117" s="117">
        <f>IF(Z117="","",IFERROR(1/SUMPRODUCT(MAX(($B$6:$B$1005=Z117)*$T$6:$T$1005)),""))</f>
        <v/>
      </c>
      <c r="AF117" s="77">
        <f>IF(AE117="","",SUMIFS($S$6:$S$1005,$B$6:$B$1005,Z117,$I$6:$I$1005,AE117))</f>
        <v/>
      </c>
    </row>
    <row r="118" ht="20" customHeight="1">
      <c r="B118" s="72" t="n"/>
      <c r="C118" s="72" t="n"/>
      <c r="D118" s="72" t="n"/>
      <c r="E118" s="72" t="n"/>
      <c r="F118" s="110" t="n"/>
      <c r="G118" s="73" t="n"/>
      <c r="H118" s="75">
        <f>IF(B118="","",IF(G118&lt;&gt;"",G118,IF(F118&lt;&gt;"",F118*IFERROR(INDEX('Contractors'!$I$6:$I$1005,MATCH(B118,'Contractors'!$B$6:$B$1005,0)),0),"")))</f>
        <v/>
      </c>
      <c r="I118" s="109" t="n"/>
      <c r="J118" s="72" t="n"/>
      <c r="K118" s="109" t="n"/>
      <c r="L118" s="73" t="n"/>
      <c r="M118" s="109" t="n"/>
      <c r="N118" s="73" t="n"/>
      <c r="O118" s="107">
        <f>IF(B118="","",IF(M118&lt;&gt;"","Paid",IF(AND(I118&lt;&gt;"",I118&lt;AsOf),"OVERDUE",IF(OR(K118&lt;&gt;"",L118&lt;&gt;""),"Invoiced","Scheduled"))))</f>
        <v/>
      </c>
      <c r="P118" s="115">
        <f>IF(B118="","",IF(E118&lt;&gt;"",E118,IFERROR(INDEX('Contractors'!$D$6:$D$1005,MATCH(B118,'Contractors'!$B$6:$B$1005,0)),"")))</f>
        <v/>
      </c>
      <c r="Q118" s="79">
        <f>IF(B118="","",IF(D118&lt;&gt;"",D118,IFERROR(INDEX('Contractors'!$E$6:$E$1005,MATCH(B118,'Contractors'!$B$6:$B$1005,0)),"")))</f>
        <v/>
      </c>
      <c r="R118" s="79">
        <f>IF(O118="","",IF(O118="OVERDUE",2,IF(O118="Paid",0,IF(AND(I118&lt;&gt;"",I118&lt;=AsOf+AlertDays),1,0))))</f>
        <v/>
      </c>
      <c r="S118" s="79">
        <f>IF(AND(B118&lt;&gt;"",M118="",I118&lt;&gt;""),IF(L118&lt;&gt;"",L118,IF(H118="",0,H118)),0)</f>
        <v/>
      </c>
      <c r="T118" s="79">
        <f>IF(AND(B118&lt;&gt;"",M118="",I118&lt;&gt;""),1/I118,0)</f>
        <v/>
      </c>
      <c r="U118" s="112">
        <f>IF(AND(B118&lt;&gt;"",M118="",I118&lt;&gt;""),I118,"")</f>
        <v/>
      </c>
      <c r="V118" s="79">
        <f>IF(U118="","",IF(U118&lt;AsOf,1,IF(U118&lt;=AsOf+AlertDays,2,IF(U118&lt;=AsOf+2*AlertDays,3,""))))</f>
        <v/>
      </c>
      <c r="W118" s="79">
        <f>IF(V118="","",IF(O118="OVERDUE","Overdue payment: ","Payment due: ")&amp;B118&amp;" — "&amp;C118&amp;" ("&amp;CurSym&amp;" "&amp;FIXED(S118,0)&amp;")")</f>
        <v/>
      </c>
      <c r="Z118" s="116">
        <f>IF('Contractors'!B118="","",'Contractors'!B118)</f>
        <v/>
      </c>
      <c r="AA118" s="77">
        <f>IF(Z118="","",'Contractors'!K118)</f>
        <v/>
      </c>
      <c r="AB118" s="77">
        <f>IF(Z118="","",SUMIFS($L$6:$L$1005,$B$6:$B$1005,Z118))</f>
        <v/>
      </c>
      <c r="AC118" s="77">
        <f>IF(Z118="","",SUMIFS($N$6:$N$1005,$B$6:$B$1005,Z118))</f>
        <v/>
      </c>
      <c r="AD118" s="76">
        <f>IF(Z118="","",AA118-AC118)</f>
        <v/>
      </c>
      <c r="AE118" s="117">
        <f>IF(Z118="","",IFERROR(1/SUMPRODUCT(MAX(($B$6:$B$1005=Z118)*$T$6:$T$1005)),""))</f>
        <v/>
      </c>
      <c r="AF118" s="77">
        <f>IF(AE118="","",SUMIFS($S$6:$S$1005,$B$6:$B$1005,Z118,$I$6:$I$1005,AE118))</f>
        <v/>
      </c>
    </row>
    <row r="119" ht="20" customHeight="1">
      <c r="B119" s="72" t="n"/>
      <c r="C119" s="72" t="n"/>
      <c r="D119" s="72" t="n"/>
      <c r="E119" s="72" t="n"/>
      <c r="F119" s="110" t="n"/>
      <c r="G119" s="73" t="n"/>
      <c r="H119" s="75">
        <f>IF(B119="","",IF(G119&lt;&gt;"",G119,IF(F119&lt;&gt;"",F119*IFERROR(INDEX('Contractors'!$I$6:$I$1005,MATCH(B119,'Contractors'!$B$6:$B$1005,0)),0),"")))</f>
        <v/>
      </c>
      <c r="I119" s="109" t="n"/>
      <c r="J119" s="72" t="n"/>
      <c r="K119" s="109" t="n"/>
      <c r="L119" s="73" t="n"/>
      <c r="M119" s="109" t="n"/>
      <c r="N119" s="73" t="n"/>
      <c r="O119" s="107">
        <f>IF(B119="","",IF(M119&lt;&gt;"","Paid",IF(AND(I119&lt;&gt;"",I119&lt;AsOf),"OVERDUE",IF(OR(K119&lt;&gt;"",L119&lt;&gt;""),"Invoiced","Scheduled"))))</f>
        <v/>
      </c>
      <c r="P119" s="115">
        <f>IF(B119="","",IF(E119&lt;&gt;"",E119,IFERROR(INDEX('Contractors'!$D$6:$D$1005,MATCH(B119,'Contractors'!$B$6:$B$1005,0)),"")))</f>
        <v/>
      </c>
      <c r="Q119" s="79">
        <f>IF(B119="","",IF(D119&lt;&gt;"",D119,IFERROR(INDEX('Contractors'!$E$6:$E$1005,MATCH(B119,'Contractors'!$B$6:$B$1005,0)),"")))</f>
        <v/>
      </c>
      <c r="R119" s="79">
        <f>IF(O119="","",IF(O119="OVERDUE",2,IF(O119="Paid",0,IF(AND(I119&lt;&gt;"",I119&lt;=AsOf+AlertDays),1,0))))</f>
        <v/>
      </c>
      <c r="S119" s="79">
        <f>IF(AND(B119&lt;&gt;"",M119="",I119&lt;&gt;""),IF(L119&lt;&gt;"",L119,IF(H119="",0,H119)),0)</f>
        <v/>
      </c>
      <c r="T119" s="79">
        <f>IF(AND(B119&lt;&gt;"",M119="",I119&lt;&gt;""),1/I119,0)</f>
        <v/>
      </c>
      <c r="U119" s="112">
        <f>IF(AND(B119&lt;&gt;"",M119="",I119&lt;&gt;""),I119,"")</f>
        <v/>
      </c>
      <c r="V119" s="79">
        <f>IF(U119="","",IF(U119&lt;AsOf,1,IF(U119&lt;=AsOf+AlertDays,2,IF(U119&lt;=AsOf+2*AlertDays,3,""))))</f>
        <v/>
      </c>
      <c r="W119" s="79">
        <f>IF(V119="","",IF(O119="OVERDUE","Overdue payment: ","Payment due: ")&amp;B119&amp;" — "&amp;C119&amp;" ("&amp;CurSym&amp;" "&amp;FIXED(S119,0)&amp;")")</f>
        <v/>
      </c>
      <c r="Z119" s="116">
        <f>IF('Contractors'!B119="","",'Contractors'!B119)</f>
        <v/>
      </c>
      <c r="AA119" s="77">
        <f>IF(Z119="","",'Contractors'!K119)</f>
        <v/>
      </c>
      <c r="AB119" s="77">
        <f>IF(Z119="","",SUMIFS($L$6:$L$1005,$B$6:$B$1005,Z119))</f>
        <v/>
      </c>
      <c r="AC119" s="77">
        <f>IF(Z119="","",SUMIFS($N$6:$N$1005,$B$6:$B$1005,Z119))</f>
        <v/>
      </c>
      <c r="AD119" s="76">
        <f>IF(Z119="","",AA119-AC119)</f>
        <v/>
      </c>
      <c r="AE119" s="117">
        <f>IF(Z119="","",IFERROR(1/SUMPRODUCT(MAX(($B$6:$B$1005=Z119)*$T$6:$T$1005)),""))</f>
        <v/>
      </c>
      <c r="AF119" s="77">
        <f>IF(AE119="","",SUMIFS($S$6:$S$1005,$B$6:$B$1005,Z119,$I$6:$I$1005,AE119))</f>
        <v/>
      </c>
    </row>
    <row r="120" ht="20" customHeight="1">
      <c r="B120" s="72" t="n"/>
      <c r="C120" s="72" t="n"/>
      <c r="D120" s="72" t="n"/>
      <c r="E120" s="72" t="n"/>
      <c r="F120" s="110" t="n"/>
      <c r="G120" s="73" t="n"/>
      <c r="H120" s="75">
        <f>IF(B120="","",IF(G120&lt;&gt;"",G120,IF(F120&lt;&gt;"",F120*IFERROR(INDEX('Contractors'!$I$6:$I$1005,MATCH(B120,'Contractors'!$B$6:$B$1005,0)),0),"")))</f>
        <v/>
      </c>
      <c r="I120" s="109" t="n"/>
      <c r="J120" s="72" t="n"/>
      <c r="K120" s="109" t="n"/>
      <c r="L120" s="73" t="n"/>
      <c r="M120" s="109" t="n"/>
      <c r="N120" s="73" t="n"/>
      <c r="O120" s="107">
        <f>IF(B120="","",IF(M120&lt;&gt;"","Paid",IF(AND(I120&lt;&gt;"",I120&lt;AsOf),"OVERDUE",IF(OR(K120&lt;&gt;"",L120&lt;&gt;""),"Invoiced","Scheduled"))))</f>
        <v/>
      </c>
      <c r="P120" s="115">
        <f>IF(B120="","",IF(E120&lt;&gt;"",E120,IFERROR(INDEX('Contractors'!$D$6:$D$1005,MATCH(B120,'Contractors'!$B$6:$B$1005,0)),"")))</f>
        <v/>
      </c>
      <c r="Q120" s="79">
        <f>IF(B120="","",IF(D120&lt;&gt;"",D120,IFERROR(INDEX('Contractors'!$E$6:$E$1005,MATCH(B120,'Contractors'!$B$6:$B$1005,0)),"")))</f>
        <v/>
      </c>
      <c r="R120" s="79">
        <f>IF(O120="","",IF(O120="OVERDUE",2,IF(O120="Paid",0,IF(AND(I120&lt;&gt;"",I120&lt;=AsOf+AlertDays),1,0))))</f>
        <v/>
      </c>
      <c r="S120" s="79">
        <f>IF(AND(B120&lt;&gt;"",M120="",I120&lt;&gt;""),IF(L120&lt;&gt;"",L120,IF(H120="",0,H120)),0)</f>
        <v/>
      </c>
      <c r="T120" s="79">
        <f>IF(AND(B120&lt;&gt;"",M120="",I120&lt;&gt;""),1/I120,0)</f>
        <v/>
      </c>
      <c r="U120" s="112">
        <f>IF(AND(B120&lt;&gt;"",M120="",I120&lt;&gt;""),I120,"")</f>
        <v/>
      </c>
      <c r="V120" s="79">
        <f>IF(U120="","",IF(U120&lt;AsOf,1,IF(U120&lt;=AsOf+AlertDays,2,IF(U120&lt;=AsOf+2*AlertDays,3,""))))</f>
        <v/>
      </c>
      <c r="W120" s="79">
        <f>IF(V120="","",IF(O120="OVERDUE","Overdue payment: ","Payment due: ")&amp;B120&amp;" — "&amp;C120&amp;" ("&amp;CurSym&amp;" "&amp;FIXED(S120,0)&amp;")")</f>
        <v/>
      </c>
      <c r="Z120" s="116">
        <f>IF('Contractors'!B120="","",'Contractors'!B120)</f>
        <v/>
      </c>
      <c r="AA120" s="77">
        <f>IF(Z120="","",'Contractors'!K120)</f>
        <v/>
      </c>
      <c r="AB120" s="77">
        <f>IF(Z120="","",SUMIFS($L$6:$L$1005,$B$6:$B$1005,Z120))</f>
        <v/>
      </c>
      <c r="AC120" s="77">
        <f>IF(Z120="","",SUMIFS($N$6:$N$1005,$B$6:$B$1005,Z120))</f>
        <v/>
      </c>
      <c r="AD120" s="76">
        <f>IF(Z120="","",AA120-AC120)</f>
        <v/>
      </c>
      <c r="AE120" s="117">
        <f>IF(Z120="","",IFERROR(1/SUMPRODUCT(MAX(($B$6:$B$1005=Z120)*$T$6:$T$1005)),""))</f>
        <v/>
      </c>
      <c r="AF120" s="77">
        <f>IF(AE120="","",SUMIFS($S$6:$S$1005,$B$6:$B$1005,Z120,$I$6:$I$1005,AE120))</f>
        <v/>
      </c>
    </row>
    <row r="121" ht="20" customHeight="1">
      <c r="B121" s="72" t="n"/>
      <c r="C121" s="72" t="n"/>
      <c r="D121" s="72" t="n"/>
      <c r="E121" s="72" t="n"/>
      <c r="F121" s="110" t="n"/>
      <c r="G121" s="73" t="n"/>
      <c r="H121" s="75">
        <f>IF(B121="","",IF(G121&lt;&gt;"",G121,IF(F121&lt;&gt;"",F121*IFERROR(INDEX('Contractors'!$I$6:$I$1005,MATCH(B121,'Contractors'!$B$6:$B$1005,0)),0),"")))</f>
        <v/>
      </c>
      <c r="I121" s="109" t="n"/>
      <c r="J121" s="72" t="n"/>
      <c r="K121" s="109" t="n"/>
      <c r="L121" s="73" t="n"/>
      <c r="M121" s="109" t="n"/>
      <c r="N121" s="73" t="n"/>
      <c r="O121" s="107">
        <f>IF(B121="","",IF(M121&lt;&gt;"","Paid",IF(AND(I121&lt;&gt;"",I121&lt;AsOf),"OVERDUE",IF(OR(K121&lt;&gt;"",L121&lt;&gt;""),"Invoiced","Scheduled"))))</f>
        <v/>
      </c>
      <c r="P121" s="115">
        <f>IF(B121="","",IF(E121&lt;&gt;"",E121,IFERROR(INDEX('Contractors'!$D$6:$D$1005,MATCH(B121,'Contractors'!$B$6:$B$1005,0)),"")))</f>
        <v/>
      </c>
      <c r="Q121" s="79">
        <f>IF(B121="","",IF(D121&lt;&gt;"",D121,IFERROR(INDEX('Contractors'!$E$6:$E$1005,MATCH(B121,'Contractors'!$B$6:$B$1005,0)),"")))</f>
        <v/>
      </c>
      <c r="R121" s="79">
        <f>IF(O121="","",IF(O121="OVERDUE",2,IF(O121="Paid",0,IF(AND(I121&lt;&gt;"",I121&lt;=AsOf+AlertDays),1,0))))</f>
        <v/>
      </c>
      <c r="S121" s="79">
        <f>IF(AND(B121&lt;&gt;"",M121="",I121&lt;&gt;""),IF(L121&lt;&gt;"",L121,IF(H121="",0,H121)),0)</f>
        <v/>
      </c>
      <c r="T121" s="79">
        <f>IF(AND(B121&lt;&gt;"",M121="",I121&lt;&gt;""),1/I121,0)</f>
        <v/>
      </c>
      <c r="U121" s="112">
        <f>IF(AND(B121&lt;&gt;"",M121="",I121&lt;&gt;""),I121,"")</f>
        <v/>
      </c>
      <c r="V121" s="79">
        <f>IF(U121="","",IF(U121&lt;AsOf,1,IF(U121&lt;=AsOf+AlertDays,2,IF(U121&lt;=AsOf+2*AlertDays,3,""))))</f>
        <v/>
      </c>
      <c r="W121" s="79">
        <f>IF(V121="","",IF(O121="OVERDUE","Overdue payment: ","Payment due: ")&amp;B121&amp;" — "&amp;C121&amp;" ("&amp;CurSym&amp;" "&amp;FIXED(S121,0)&amp;")")</f>
        <v/>
      </c>
      <c r="Z121" s="116">
        <f>IF('Contractors'!B121="","",'Contractors'!B121)</f>
        <v/>
      </c>
      <c r="AA121" s="77">
        <f>IF(Z121="","",'Contractors'!K121)</f>
        <v/>
      </c>
      <c r="AB121" s="77">
        <f>IF(Z121="","",SUMIFS($L$6:$L$1005,$B$6:$B$1005,Z121))</f>
        <v/>
      </c>
      <c r="AC121" s="77">
        <f>IF(Z121="","",SUMIFS($N$6:$N$1005,$B$6:$B$1005,Z121))</f>
        <v/>
      </c>
      <c r="AD121" s="76">
        <f>IF(Z121="","",AA121-AC121)</f>
        <v/>
      </c>
      <c r="AE121" s="117">
        <f>IF(Z121="","",IFERROR(1/SUMPRODUCT(MAX(($B$6:$B$1005=Z121)*$T$6:$T$1005)),""))</f>
        <v/>
      </c>
      <c r="AF121" s="77">
        <f>IF(AE121="","",SUMIFS($S$6:$S$1005,$B$6:$B$1005,Z121,$I$6:$I$1005,AE121))</f>
        <v/>
      </c>
    </row>
    <row r="122" ht="20" customHeight="1">
      <c r="B122" s="72" t="n"/>
      <c r="C122" s="72" t="n"/>
      <c r="D122" s="72" t="n"/>
      <c r="E122" s="72" t="n"/>
      <c r="F122" s="110" t="n"/>
      <c r="G122" s="73" t="n"/>
      <c r="H122" s="75">
        <f>IF(B122="","",IF(G122&lt;&gt;"",G122,IF(F122&lt;&gt;"",F122*IFERROR(INDEX('Contractors'!$I$6:$I$1005,MATCH(B122,'Contractors'!$B$6:$B$1005,0)),0),"")))</f>
        <v/>
      </c>
      <c r="I122" s="109" t="n"/>
      <c r="J122" s="72" t="n"/>
      <c r="K122" s="109" t="n"/>
      <c r="L122" s="73" t="n"/>
      <c r="M122" s="109" t="n"/>
      <c r="N122" s="73" t="n"/>
      <c r="O122" s="107">
        <f>IF(B122="","",IF(M122&lt;&gt;"","Paid",IF(AND(I122&lt;&gt;"",I122&lt;AsOf),"OVERDUE",IF(OR(K122&lt;&gt;"",L122&lt;&gt;""),"Invoiced","Scheduled"))))</f>
        <v/>
      </c>
      <c r="P122" s="115">
        <f>IF(B122="","",IF(E122&lt;&gt;"",E122,IFERROR(INDEX('Contractors'!$D$6:$D$1005,MATCH(B122,'Contractors'!$B$6:$B$1005,0)),"")))</f>
        <v/>
      </c>
      <c r="Q122" s="79">
        <f>IF(B122="","",IF(D122&lt;&gt;"",D122,IFERROR(INDEX('Contractors'!$E$6:$E$1005,MATCH(B122,'Contractors'!$B$6:$B$1005,0)),"")))</f>
        <v/>
      </c>
      <c r="R122" s="79">
        <f>IF(O122="","",IF(O122="OVERDUE",2,IF(O122="Paid",0,IF(AND(I122&lt;&gt;"",I122&lt;=AsOf+AlertDays),1,0))))</f>
        <v/>
      </c>
      <c r="S122" s="79">
        <f>IF(AND(B122&lt;&gt;"",M122="",I122&lt;&gt;""),IF(L122&lt;&gt;"",L122,IF(H122="",0,H122)),0)</f>
        <v/>
      </c>
      <c r="T122" s="79">
        <f>IF(AND(B122&lt;&gt;"",M122="",I122&lt;&gt;""),1/I122,0)</f>
        <v/>
      </c>
      <c r="U122" s="112">
        <f>IF(AND(B122&lt;&gt;"",M122="",I122&lt;&gt;""),I122,"")</f>
        <v/>
      </c>
      <c r="V122" s="79">
        <f>IF(U122="","",IF(U122&lt;AsOf,1,IF(U122&lt;=AsOf+AlertDays,2,IF(U122&lt;=AsOf+2*AlertDays,3,""))))</f>
        <v/>
      </c>
      <c r="W122" s="79">
        <f>IF(V122="","",IF(O122="OVERDUE","Overdue payment: ","Payment due: ")&amp;B122&amp;" — "&amp;C122&amp;" ("&amp;CurSym&amp;" "&amp;FIXED(S122,0)&amp;")")</f>
        <v/>
      </c>
      <c r="Z122" s="116">
        <f>IF('Contractors'!B122="","",'Contractors'!B122)</f>
        <v/>
      </c>
      <c r="AA122" s="77">
        <f>IF(Z122="","",'Contractors'!K122)</f>
        <v/>
      </c>
      <c r="AB122" s="77">
        <f>IF(Z122="","",SUMIFS($L$6:$L$1005,$B$6:$B$1005,Z122))</f>
        <v/>
      </c>
      <c r="AC122" s="77">
        <f>IF(Z122="","",SUMIFS($N$6:$N$1005,$B$6:$B$1005,Z122))</f>
        <v/>
      </c>
      <c r="AD122" s="76">
        <f>IF(Z122="","",AA122-AC122)</f>
        <v/>
      </c>
      <c r="AE122" s="117">
        <f>IF(Z122="","",IFERROR(1/SUMPRODUCT(MAX(($B$6:$B$1005=Z122)*$T$6:$T$1005)),""))</f>
        <v/>
      </c>
      <c r="AF122" s="77">
        <f>IF(AE122="","",SUMIFS($S$6:$S$1005,$B$6:$B$1005,Z122,$I$6:$I$1005,AE122))</f>
        <v/>
      </c>
    </row>
    <row r="123" ht="20" customHeight="1">
      <c r="B123" s="72" t="n"/>
      <c r="C123" s="72" t="n"/>
      <c r="D123" s="72" t="n"/>
      <c r="E123" s="72" t="n"/>
      <c r="F123" s="110" t="n"/>
      <c r="G123" s="73" t="n"/>
      <c r="H123" s="75">
        <f>IF(B123="","",IF(G123&lt;&gt;"",G123,IF(F123&lt;&gt;"",F123*IFERROR(INDEX('Contractors'!$I$6:$I$1005,MATCH(B123,'Contractors'!$B$6:$B$1005,0)),0),"")))</f>
        <v/>
      </c>
      <c r="I123" s="109" t="n"/>
      <c r="J123" s="72" t="n"/>
      <c r="K123" s="109" t="n"/>
      <c r="L123" s="73" t="n"/>
      <c r="M123" s="109" t="n"/>
      <c r="N123" s="73" t="n"/>
      <c r="O123" s="107">
        <f>IF(B123="","",IF(M123&lt;&gt;"","Paid",IF(AND(I123&lt;&gt;"",I123&lt;AsOf),"OVERDUE",IF(OR(K123&lt;&gt;"",L123&lt;&gt;""),"Invoiced","Scheduled"))))</f>
        <v/>
      </c>
      <c r="P123" s="115">
        <f>IF(B123="","",IF(E123&lt;&gt;"",E123,IFERROR(INDEX('Contractors'!$D$6:$D$1005,MATCH(B123,'Contractors'!$B$6:$B$1005,0)),"")))</f>
        <v/>
      </c>
      <c r="Q123" s="79">
        <f>IF(B123="","",IF(D123&lt;&gt;"",D123,IFERROR(INDEX('Contractors'!$E$6:$E$1005,MATCH(B123,'Contractors'!$B$6:$B$1005,0)),"")))</f>
        <v/>
      </c>
      <c r="R123" s="79">
        <f>IF(O123="","",IF(O123="OVERDUE",2,IF(O123="Paid",0,IF(AND(I123&lt;&gt;"",I123&lt;=AsOf+AlertDays),1,0))))</f>
        <v/>
      </c>
      <c r="S123" s="79">
        <f>IF(AND(B123&lt;&gt;"",M123="",I123&lt;&gt;""),IF(L123&lt;&gt;"",L123,IF(H123="",0,H123)),0)</f>
        <v/>
      </c>
      <c r="T123" s="79">
        <f>IF(AND(B123&lt;&gt;"",M123="",I123&lt;&gt;""),1/I123,0)</f>
        <v/>
      </c>
      <c r="U123" s="112">
        <f>IF(AND(B123&lt;&gt;"",M123="",I123&lt;&gt;""),I123,"")</f>
        <v/>
      </c>
      <c r="V123" s="79">
        <f>IF(U123="","",IF(U123&lt;AsOf,1,IF(U123&lt;=AsOf+AlertDays,2,IF(U123&lt;=AsOf+2*AlertDays,3,""))))</f>
        <v/>
      </c>
      <c r="W123" s="79">
        <f>IF(V123="","",IF(O123="OVERDUE","Overdue payment: ","Payment due: ")&amp;B123&amp;" — "&amp;C123&amp;" ("&amp;CurSym&amp;" "&amp;FIXED(S123,0)&amp;")")</f>
        <v/>
      </c>
      <c r="Z123" s="116">
        <f>IF('Contractors'!B123="","",'Contractors'!B123)</f>
        <v/>
      </c>
      <c r="AA123" s="77">
        <f>IF(Z123="","",'Contractors'!K123)</f>
        <v/>
      </c>
      <c r="AB123" s="77">
        <f>IF(Z123="","",SUMIFS($L$6:$L$1005,$B$6:$B$1005,Z123))</f>
        <v/>
      </c>
      <c r="AC123" s="77">
        <f>IF(Z123="","",SUMIFS($N$6:$N$1005,$B$6:$B$1005,Z123))</f>
        <v/>
      </c>
      <c r="AD123" s="76">
        <f>IF(Z123="","",AA123-AC123)</f>
        <v/>
      </c>
      <c r="AE123" s="117">
        <f>IF(Z123="","",IFERROR(1/SUMPRODUCT(MAX(($B$6:$B$1005=Z123)*$T$6:$T$1005)),""))</f>
        <v/>
      </c>
      <c r="AF123" s="77">
        <f>IF(AE123="","",SUMIFS($S$6:$S$1005,$B$6:$B$1005,Z123,$I$6:$I$1005,AE123))</f>
        <v/>
      </c>
    </row>
    <row r="124" ht="20" customHeight="1">
      <c r="B124" s="72" t="n"/>
      <c r="C124" s="72" t="n"/>
      <c r="D124" s="72" t="n"/>
      <c r="E124" s="72" t="n"/>
      <c r="F124" s="110" t="n"/>
      <c r="G124" s="73" t="n"/>
      <c r="H124" s="75">
        <f>IF(B124="","",IF(G124&lt;&gt;"",G124,IF(F124&lt;&gt;"",F124*IFERROR(INDEX('Contractors'!$I$6:$I$1005,MATCH(B124,'Contractors'!$B$6:$B$1005,0)),0),"")))</f>
        <v/>
      </c>
      <c r="I124" s="109" t="n"/>
      <c r="J124" s="72" t="n"/>
      <c r="K124" s="109" t="n"/>
      <c r="L124" s="73" t="n"/>
      <c r="M124" s="109" t="n"/>
      <c r="N124" s="73" t="n"/>
      <c r="O124" s="107">
        <f>IF(B124="","",IF(M124&lt;&gt;"","Paid",IF(AND(I124&lt;&gt;"",I124&lt;AsOf),"OVERDUE",IF(OR(K124&lt;&gt;"",L124&lt;&gt;""),"Invoiced","Scheduled"))))</f>
        <v/>
      </c>
      <c r="P124" s="115">
        <f>IF(B124="","",IF(E124&lt;&gt;"",E124,IFERROR(INDEX('Contractors'!$D$6:$D$1005,MATCH(B124,'Contractors'!$B$6:$B$1005,0)),"")))</f>
        <v/>
      </c>
      <c r="Q124" s="79">
        <f>IF(B124="","",IF(D124&lt;&gt;"",D124,IFERROR(INDEX('Contractors'!$E$6:$E$1005,MATCH(B124,'Contractors'!$B$6:$B$1005,0)),"")))</f>
        <v/>
      </c>
      <c r="R124" s="79">
        <f>IF(O124="","",IF(O124="OVERDUE",2,IF(O124="Paid",0,IF(AND(I124&lt;&gt;"",I124&lt;=AsOf+AlertDays),1,0))))</f>
        <v/>
      </c>
      <c r="S124" s="79">
        <f>IF(AND(B124&lt;&gt;"",M124="",I124&lt;&gt;""),IF(L124&lt;&gt;"",L124,IF(H124="",0,H124)),0)</f>
        <v/>
      </c>
      <c r="T124" s="79">
        <f>IF(AND(B124&lt;&gt;"",M124="",I124&lt;&gt;""),1/I124,0)</f>
        <v/>
      </c>
      <c r="U124" s="112">
        <f>IF(AND(B124&lt;&gt;"",M124="",I124&lt;&gt;""),I124,"")</f>
        <v/>
      </c>
      <c r="V124" s="79">
        <f>IF(U124="","",IF(U124&lt;AsOf,1,IF(U124&lt;=AsOf+AlertDays,2,IF(U124&lt;=AsOf+2*AlertDays,3,""))))</f>
        <v/>
      </c>
      <c r="W124" s="79">
        <f>IF(V124="","",IF(O124="OVERDUE","Overdue payment: ","Payment due: ")&amp;B124&amp;" — "&amp;C124&amp;" ("&amp;CurSym&amp;" "&amp;FIXED(S124,0)&amp;")")</f>
        <v/>
      </c>
      <c r="Z124" s="116">
        <f>IF('Contractors'!B124="","",'Contractors'!B124)</f>
        <v/>
      </c>
      <c r="AA124" s="77">
        <f>IF(Z124="","",'Contractors'!K124)</f>
        <v/>
      </c>
      <c r="AB124" s="77">
        <f>IF(Z124="","",SUMIFS($L$6:$L$1005,$B$6:$B$1005,Z124))</f>
        <v/>
      </c>
      <c r="AC124" s="77">
        <f>IF(Z124="","",SUMIFS($N$6:$N$1005,$B$6:$B$1005,Z124))</f>
        <v/>
      </c>
      <c r="AD124" s="76">
        <f>IF(Z124="","",AA124-AC124)</f>
        <v/>
      </c>
      <c r="AE124" s="117">
        <f>IF(Z124="","",IFERROR(1/SUMPRODUCT(MAX(($B$6:$B$1005=Z124)*$T$6:$T$1005)),""))</f>
        <v/>
      </c>
      <c r="AF124" s="77">
        <f>IF(AE124="","",SUMIFS($S$6:$S$1005,$B$6:$B$1005,Z124,$I$6:$I$1005,AE124))</f>
        <v/>
      </c>
    </row>
    <row r="125" ht="20" customHeight="1">
      <c r="B125" s="72" t="n"/>
      <c r="C125" s="72" t="n"/>
      <c r="D125" s="72" t="n"/>
      <c r="E125" s="72" t="n"/>
      <c r="F125" s="110" t="n"/>
      <c r="G125" s="73" t="n"/>
      <c r="H125" s="75">
        <f>IF(B125="","",IF(G125&lt;&gt;"",G125,IF(F125&lt;&gt;"",F125*IFERROR(INDEX('Contractors'!$I$6:$I$1005,MATCH(B125,'Contractors'!$B$6:$B$1005,0)),0),"")))</f>
        <v/>
      </c>
      <c r="I125" s="109" t="n"/>
      <c r="J125" s="72" t="n"/>
      <c r="K125" s="109" t="n"/>
      <c r="L125" s="73" t="n"/>
      <c r="M125" s="109" t="n"/>
      <c r="N125" s="73" t="n"/>
      <c r="O125" s="107">
        <f>IF(B125="","",IF(M125&lt;&gt;"","Paid",IF(AND(I125&lt;&gt;"",I125&lt;AsOf),"OVERDUE",IF(OR(K125&lt;&gt;"",L125&lt;&gt;""),"Invoiced","Scheduled"))))</f>
        <v/>
      </c>
      <c r="P125" s="115">
        <f>IF(B125="","",IF(E125&lt;&gt;"",E125,IFERROR(INDEX('Contractors'!$D$6:$D$1005,MATCH(B125,'Contractors'!$B$6:$B$1005,0)),"")))</f>
        <v/>
      </c>
      <c r="Q125" s="79">
        <f>IF(B125="","",IF(D125&lt;&gt;"",D125,IFERROR(INDEX('Contractors'!$E$6:$E$1005,MATCH(B125,'Contractors'!$B$6:$B$1005,0)),"")))</f>
        <v/>
      </c>
      <c r="R125" s="79">
        <f>IF(O125="","",IF(O125="OVERDUE",2,IF(O125="Paid",0,IF(AND(I125&lt;&gt;"",I125&lt;=AsOf+AlertDays),1,0))))</f>
        <v/>
      </c>
      <c r="S125" s="79">
        <f>IF(AND(B125&lt;&gt;"",M125="",I125&lt;&gt;""),IF(L125&lt;&gt;"",L125,IF(H125="",0,H125)),0)</f>
        <v/>
      </c>
      <c r="T125" s="79">
        <f>IF(AND(B125&lt;&gt;"",M125="",I125&lt;&gt;""),1/I125,0)</f>
        <v/>
      </c>
      <c r="U125" s="112">
        <f>IF(AND(B125&lt;&gt;"",M125="",I125&lt;&gt;""),I125,"")</f>
        <v/>
      </c>
      <c r="V125" s="79">
        <f>IF(U125="","",IF(U125&lt;AsOf,1,IF(U125&lt;=AsOf+AlertDays,2,IF(U125&lt;=AsOf+2*AlertDays,3,""))))</f>
        <v/>
      </c>
      <c r="W125" s="79">
        <f>IF(V125="","",IF(O125="OVERDUE","Overdue payment: ","Payment due: ")&amp;B125&amp;" — "&amp;C125&amp;" ("&amp;CurSym&amp;" "&amp;FIXED(S125,0)&amp;")")</f>
        <v/>
      </c>
      <c r="Z125" s="116">
        <f>IF('Contractors'!B125="","",'Contractors'!B125)</f>
        <v/>
      </c>
      <c r="AA125" s="77">
        <f>IF(Z125="","",'Contractors'!K125)</f>
        <v/>
      </c>
      <c r="AB125" s="77">
        <f>IF(Z125="","",SUMIFS($L$6:$L$1005,$B$6:$B$1005,Z125))</f>
        <v/>
      </c>
      <c r="AC125" s="77">
        <f>IF(Z125="","",SUMIFS($N$6:$N$1005,$B$6:$B$1005,Z125))</f>
        <v/>
      </c>
      <c r="AD125" s="76">
        <f>IF(Z125="","",AA125-AC125)</f>
        <v/>
      </c>
      <c r="AE125" s="117">
        <f>IF(Z125="","",IFERROR(1/SUMPRODUCT(MAX(($B$6:$B$1005=Z125)*$T$6:$T$1005)),""))</f>
        <v/>
      </c>
      <c r="AF125" s="77">
        <f>IF(AE125="","",SUMIFS($S$6:$S$1005,$B$6:$B$1005,Z125,$I$6:$I$1005,AE125))</f>
        <v/>
      </c>
    </row>
    <row r="126" ht="20" customHeight="1">
      <c r="B126" s="72" t="n"/>
      <c r="C126" s="72" t="n"/>
      <c r="D126" s="72" t="n"/>
      <c r="E126" s="72" t="n"/>
      <c r="F126" s="110" t="n"/>
      <c r="G126" s="73" t="n"/>
      <c r="H126" s="75">
        <f>IF(B126="","",IF(G126&lt;&gt;"",G126,IF(F126&lt;&gt;"",F126*IFERROR(INDEX('Contractors'!$I$6:$I$1005,MATCH(B126,'Contractors'!$B$6:$B$1005,0)),0),"")))</f>
        <v/>
      </c>
      <c r="I126" s="109" t="n"/>
      <c r="J126" s="72" t="n"/>
      <c r="K126" s="109" t="n"/>
      <c r="L126" s="73" t="n"/>
      <c r="M126" s="109" t="n"/>
      <c r="N126" s="73" t="n"/>
      <c r="O126" s="107">
        <f>IF(B126="","",IF(M126&lt;&gt;"","Paid",IF(AND(I126&lt;&gt;"",I126&lt;AsOf),"OVERDUE",IF(OR(K126&lt;&gt;"",L126&lt;&gt;""),"Invoiced","Scheduled"))))</f>
        <v/>
      </c>
      <c r="P126" s="115">
        <f>IF(B126="","",IF(E126&lt;&gt;"",E126,IFERROR(INDEX('Contractors'!$D$6:$D$1005,MATCH(B126,'Contractors'!$B$6:$B$1005,0)),"")))</f>
        <v/>
      </c>
      <c r="Q126" s="79">
        <f>IF(B126="","",IF(D126&lt;&gt;"",D126,IFERROR(INDEX('Contractors'!$E$6:$E$1005,MATCH(B126,'Contractors'!$B$6:$B$1005,0)),"")))</f>
        <v/>
      </c>
      <c r="R126" s="79">
        <f>IF(O126="","",IF(O126="OVERDUE",2,IF(O126="Paid",0,IF(AND(I126&lt;&gt;"",I126&lt;=AsOf+AlertDays),1,0))))</f>
        <v/>
      </c>
      <c r="S126" s="79">
        <f>IF(AND(B126&lt;&gt;"",M126="",I126&lt;&gt;""),IF(L126&lt;&gt;"",L126,IF(H126="",0,H126)),0)</f>
        <v/>
      </c>
      <c r="T126" s="79">
        <f>IF(AND(B126&lt;&gt;"",M126="",I126&lt;&gt;""),1/I126,0)</f>
        <v/>
      </c>
      <c r="U126" s="112">
        <f>IF(AND(B126&lt;&gt;"",M126="",I126&lt;&gt;""),I126,"")</f>
        <v/>
      </c>
      <c r="V126" s="79">
        <f>IF(U126="","",IF(U126&lt;AsOf,1,IF(U126&lt;=AsOf+AlertDays,2,IF(U126&lt;=AsOf+2*AlertDays,3,""))))</f>
        <v/>
      </c>
      <c r="W126" s="79">
        <f>IF(V126="","",IF(O126="OVERDUE","Overdue payment: ","Payment due: ")&amp;B126&amp;" — "&amp;C126&amp;" ("&amp;CurSym&amp;" "&amp;FIXED(S126,0)&amp;")")</f>
        <v/>
      </c>
      <c r="Z126" s="116">
        <f>IF('Contractors'!B126="","",'Contractors'!B126)</f>
        <v/>
      </c>
      <c r="AA126" s="77">
        <f>IF(Z126="","",'Contractors'!K126)</f>
        <v/>
      </c>
      <c r="AB126" s="77">
        <f>IF(Z126="","",SUMIFS($L$6:$L$1005,$B$6:$B$1005,Z126))</f>
        <v/>
      </c>
      <c r="AC126" s="77">
        <f>IF(Z126="","",SUMIFS($N$6:$N$1005,$B$6:$B$1005,Z126))</f>
        <v/>
      </c>
      <c r="AD126" s="76">
        <f>IF(Z126="","",AA126-AC126)</f>
        <v/>
      </c>
      <c r="AE126" s="117">
        <f>IF(Z126="","",IFERROR(1/SUMPRODUCT(MAX(($B$6:$B$1005=Z126)*$T$6:$T$1005)),""))</f>
        <v/>
      </c>
      <c r="AF126" s="77">
        <f>IF(AE126="","",SUMIFS($S$6:$S$1005,$B$6:$B$1005,Z126,$I$6:$I$1005,AE126))</f>
        <v/>
      </c>
    </row>
    <row r="127" ht="20" customHeight="1">
      <c r="B127" s="72" t="n"/>
      <c r="C127" s="72" t="n"/>
      <c r="D127" s="72" t="n"/>
      <c r="E127" s="72" t="n"/>
      <c r="F127" s="110" t="n"/>
      <c r="G127" s="73" t="n"/>
      <c r="H127" s="75">
        <f>IF(B127="","",IF(G127&lt;&gt;"",G127,IF(F127&lt;&gt;"",F127*IFERROR(INDEX('Contractors'!$I$6:$I$1005,MATCH(B127,'Contractors'!$B$6:$B$1005,0)),0),"")))</f>
        <v/>
      </c>
      <c r="I127" s="109" t="n"/>
      <c r="J127" s="72" t="n"/>
      <c r="K127" s="109" t="n"/>
      <c r="L127" s="73" t="n"/>
      <c r="M127" s="109" t="n"/>
      <c r="N127" s="73" t="n"/>
      <c r="O127" s="107">
        <f>IF(B127="","",IF(M127&lt;&gt;"","Paid",IF(AND(I127&lt;&gt;"",I127&lt;AsOf),"OVERDUE",IF(OR(K127&lt;&gt;"",L127&lt;&gt;""),"Invoiced","Scheduled"))))</f>
        <v/>
      </c>
      <c r="P127" s="115">
        <f>IF(B127="","",IF(E127&lt;&gt;"",E127,IFERROR(INDEX('Contractors'!$D$6:$D$1005,MATCH(B127,'Contractors'!$B$6:$B$1005,0)),"")))</f>
        <v/>
      </c>
      <c r="Q127" s="79">
        <f>IF(B127="","",IF(D127&lt;&gt;"",D127,IFERROR(INDEX('Contractors'!$E$6:$E$1005,MATCH(B127,'Contractors'!$B$6:$B$1005,0)),"")))</f>
        <v/>
      </c>
      <c r="R127" s="79">
        <f>IF(O127="","",IF(O127="OVERDUE",2,IF(O127="Paid",0,IF(AND(I127&lt;&gt;"",I127&lt;=AsOf+AlertDays),1,0))))</f>
        <v/>
      </c>
      <c r="S127" s="79">
        <f>IF(AND(B127&lt;&gt;"",M127="",I127&lt;&gt;""),IF(L127&lt;&gt;"",L127,IF(H127="",0,H127)),0)</f>
        <v/>
      </c>
      <c r="T127" s="79">
        <f>IF(AND(B127&lt;&gt;"",M127="",I127&lt;&gt;""),1/I127,0)</f>
        <v/>
      </c>
      <c r="U127" s="112">
        <f>IF(AND(B127&lt;&gt;"",M127="",I127&lt;&gt;""),I127,"")</f>
        <v/>
      </c>
      <c r="V127" s="79">
        <f>IF(U127="","",IF(U127&lt;AsOf,1,IF(U127&lt;=AsOf+AlertDays,2,IF(U127&lt;=AsOf+2*AlertDays,3,""))))</f>
        <v/>
      </c>
      <c r="W127" s="79">
        <f>IF(V127="","",IF(O127="OVERDUE","Overdue payment: ","Payment due: ")&amp;B127&amp;" — "&amp;C127&amp;" ("&amp;CurSym&amp;" "&amp;FIXED(S127,0)&amp;")")</f>
        <v/>
      </c>
      <c r="Z127" s="116">
        <f>IF('Contractors'!B127="","",'Contractors'!B127)</f>
        <v/>
      </c>
      <c r="AA127" s="77">
        <f>IF(Z127="","",'Contractors'!K127)</f>
        <v/>
      </c>
      <c r="AB127" s="77">
        <f>IF(Z127="","",SUMIFS($L$6:$L$1005,$B$6:$B$1005,Z127))</f>
        <v/>
      </c>
      <c r="AC127" s="77">
        <f>IF(Z127="","",SUMIFS($N$6:$N$1005,$B$6:$B$1005,Z127))</f>
        <v/>
      </c>
      <c r="AD127" s="76">
        <f>IF(Z127="","",AA127-AC127)</f>
        <v/>
      </c>
      <c r="AE127" s="117">
        <f>IF(Z127="","",IFERROR(1/SUMPRODUCT(MAX(($B$6:$B$1005=Z127)*$T$6:$T$1005)),""))</f>
        <v/>
      </c>
      <c r="AF127" s="77">
        <f>IF(AE127="","",SUMIFS($S$6:$S$1005,$B$6:$B$1005,Z127,$I$6:$I$1005,AE127))</f>
        <v/>
      </c>
    </row>
    <row r="128" ht="20" customHeight="1">
      <c r="B128" s="72" t="n"/>
      <c r="C128" s="72" t="n"/>
      <c r="D128" s="72" t="n"/>
      <c r="E128" s="72" t="n"/>
      <c r="F128" s="110" t="n"/>
      <c r="G128" s="73" t="n"/>
      <c r="H128" s="75">
        <f>IF(B128="","",IF(G128&lt;&gt;"",G128,IF(F128&lt;&gt;"",F128*IFERROR(INDEX('Contractors'!$I$6:$I$1005,MATCH(B128,'Contractors'!$B$6:$B$1005,0)),0),"")))</f>
        <v/>
      </c>
      <c r="I128" s="109" t="n"/>
      <c r="J128" s="72" t="n"/>
      <c r="K128" s="109" t="n"/>
      <c r="L128" s="73" t="n"/>
      <c r="M128" s="109" t="n"/>
      <c r="N128" s="73" t="n"/>
      <c r="O128" s="107">
        <f>IF(B128="","",IF(M128&lt;&gt;"","Paid",IF(AND(I128&lt;&gt;"",I128&lt;AsOf),"OVERDUE",IF(OR(K128&lt;&gt;"",L128&lt;&gt;""),"Invoiced","Scheduled"))))</f>
        <v/>
      </c>
      <c r="P128" s="115">
        <f>IF(B128="","",IF(E128&lt;&gt;"",E128,IFERROR(INDEX('Contractors'!$D$6:$D$1005,MATCH(B128,'Contractors'!$B$6:$B$1005,0)),"")))</f>
        <v/>
      </c>
      <c r="Q128" s="79">
        <f>IF(B128="","",IF(D128&lt;&gt;"",D128,IFERROR(INDEX('Contractors'!$E$6:$E$1005,MATCH(B128,'Contractors'!$B$6:$B$1005,0)),"")))</f>
        <v/>
      </c>
      <c r="R128" s="79">
        <f>IF(O128="","",IF(O128="OVERDUE",2,IF(O128="Paid",0,IF(AND(I128&lt;&gt;"",I128&lt;=AsOf+AlertDays),1,0))))</f>
        <v/>
      </c>
      <c r="S128" s="79">
        <f>IF(AND(B128&lt;&gt;"",M128="",I128&lt;&gt;""),IF(L128&lt;&gt;"",L128,IF(H128="",0,H128)),0)</f>
        <v/>
      </c>
      <c r="T128" s="79">
        <f>IF(AND(B128&lt;&gt;"",M128="",I128&lt;&gt;""),1/I128,0)</f>
        <v/>
      </c>
      <c r="U128" s="112">
        <f>IF(AND(B128&lt;&gt;"",M128="",I128&lt;&gt;""),I128,"")</f>
        <v/>
      </c>
      <c r="V128" s="79">
        <f>IF(U128="","",IF(U128&lt;AsOf,1,IF(U128&lt;=AsOf+AlertDays,2,IF(U128&lt;=AsOf+2*AlertDays,3,""))))</f>
        <v/>
      </c>
      <c r="W128" s="79">
        <f>IF(V128="","",IF(O128="OVERDUE","Overdue payment: ","Payment due: ")&amp;B128&amp;" — "&amp;C128&amp;" ("&amp;CurSym&amp;" "&amp;FIXED(S128,0)&amp;")")</f>
        <v/>
      </c>
      <c r="Z128" s="116">
        <f>IF('Contractors'!B128="","",'Contractors'!B128)</f>
        <v/>
      </c>
      <c r="AA128" s="77">
        <f>IF(Z128="","",'Contractors'!K128)</f>
        <v/>
      </c>
      <c r="AB128" s="77">
        <f>IF(Z128="","",SUMIFS($L$6:$L$1005,$B$6:$B$1005,Z128))</f>
        <v/>
      </c>
      <c r="AC128" s="77">
        <f>IF(Z128="","",SUMIFS($N$6:$N$1005,$B$6:$B$1005,Z128))</f>
        <v/>
      </c>
      <c r="AD128" s="76">
        <f>IF(Z128="","",AA128-AC128)</f>
        <v/>
      </c>
      <c r="AE128" s="117">
        <f>IF(Z128="","",IFERROR(1/SUMPRODUCT(MAX(($B$6:$B$1005=Z128)*$T$6:$T$1005)),""))</f>
        <v/>
      </c>
      <c r="AF128" s="77">
        <f>IF(AE128="","",SUMIFS($S$6:$S$1005,$B$6:$B$1005,Z128,$I$6:$I$1005,AE128))</f>
        <v/>
      </c>
    </row>
    <row r="129" ht="20" customHeight="1">
      <c r="B129" s="72" t="n"/>
      <c r="C129" s="72" t="n"/>
      <c r="D129" s="72" t="n"/>
      <c r="E129" s="72" t="n"/>
      <c r="F129" s="110" t="n"/>
      <c r="G129" s="73" t="n"/>
      <c r="H129" s="75">
        <f>IF(B129="","",IF(G129&lt;&gt;"",G129,IF(F129&lt;&gt;"",F129*IFERROR(INDEX('Contractors'!$I$6:$I$1005,MATCH(B129,'Contractors'!$B$6:$B$1005,0)),0),"")))</f>
        <v/>
      </c>
      <c r="I129" s="109" t="n"/>
      <c r="J129" s="72" t="n"/>
      <c r="K129" s="109" t="n"/>
      <c r="L129" s="73" t="n"/>
      <c r="M129" s="109" t="n"/>
      <c r="N129" s="73" t="n"/>
      <c r="O129" s="107">
        <f>IF(B129="","",IF(M129&lt;&gt;"","Paid",IF(AND(I129&lt;&gt;"",I129&lt;AsOf),"OVERDUE",IF(OR(K129&lt;&gt;"",L129&lt;&gt;""),"Invoiced","Scheduled"))))</f>
        <v/>
      </c>
      <c r="P129" s="115">
        <f>IF(B129="","",IF(E129&lt;&gt;"",E129,IFERROR(INDEX('Contractors'!$D$6:$D$1005,MATCH(B129,'Contractors'!$B$6:$B$1005,0)),"")))</f>
        <v/>
      </c>
      <c r="Q129" s="79">
        <f>IF(B129="","",IF(D129&lt;&gt;"",D129,IFERROR(INDEX('Contractors'!$E$6:$E$1005,MATCH(B129,'Contractors'!$B$6:$B$1005,0)),"")))</f>
        <v/>
      </c>
      <c r="R129" s="79">
        <f>IF(O129="","",IF(O129="OVERDUE",2,IF(O129="Paid",0,IF(AND(I129&lt;&gt;"",I129&lt;=AsOf+AlertDays),1,0))))</f>
        <v/>
      </c>
      <c r="S129" s="79">
        <f>IF(AND(B129&lt;&gt;"",M129="",I129&lt;&gt;""),IF(L129&lt;&gt;"",L129,IF(H129="",0,H129)),0)</f>
        <v/>
      </c>
      <c r="T129" s="79">
        <f>IF(AND(B129&lt;&gt;"",M129="",I129&lt;&gt;""),1/I129,0)</f>
        <v/>
      </c>
      <c r="U129" s="112">
        <f>IF(AND(B129&lt;&gt;"",M129="",I129&lt;&gt;""),I129,"")</f>
        <v/>
      </c>
      <c r="V129" s="79">
        <f>IF(U129="","",IF(U129&lt;AsOf,1,IF(U129&lt;=AsOf+AlertDays,2,IF(U129&lt;=AsOf+2*AlertDays,3,""))))</f>
        <v/>
      </c>
      <c r="W129" s="79">
        <f>IF(V129="","",IF(O129="OVERDUE","Overdue payment: ","Payment due: ")&amp;B129&amp;" — "&amp;C129&amp;" ("&amp;CurSym&amp;" "&amp;FIXED(S129,0)&amp;")")</f>
        <v/>
      </c>
      <c r="Z129" s="116">
        <f>IF('Contractors'!B129="","",'Contractors'!B129)</f>
        <v/>
      </c>
      <c r="AA129" s="77">
        <f>IF(Z129="","",'Contractors'!K129)</f>
        <v/>
      </c>
      <c r="AB129" s="77">
        <f>IF(Z129="","",SUMIFS($L$6:$L$1005,$B$6:$B$1005,Z129))</f>
        <v/>
      </c>
      <c r="AC129" s="77">
        <f>IF(Z129="","",SUMIFS($N$6:$N$1005,$B$6:$B$1005,Z129))</f>
        <v/>
      </c>
      <c r="AD129" s="76">
        <f>IF(Z129="","",AA129-AC129)</f>
        <v/>
      </c>
      <c r="AE129" s="117">
        <f>IF(Z129="","",IFERROR(1/SUMPRODUCT(MAX(($B$6:$B$1005=Z129)*$T$6:$T$1005)),""))</f>
        <v/>
      </c>
      <c r="AF129" s="77">
        <f>IF(AE129="","",SUMIFS($S$6:$S$1005,$B$6:$B$1005,Z129,$I$6:$I$1005,AE129))</f>
        <v/>
      </c>
    </row>
    <row r="130" ht="20" customHeight="1">
      <c r="B130" s="72" t="n"/>
      <c r="C130" s="72" t="n"/>
      <c r="D130" s="72" t="n"/>
      <c r="E130" s="72" t="n"/>
      <c r="F130" s="110" t="n"/>
      <c r="G130" s="73" t="n"/>
      <c r="H130" s="75">
        <f>IF(B130="","",IF(G130&lt;&gt;"",G130,IF(F130&lt;&gt;"",F130*IFERROR(INDEX('Contractors'!$I$6:$I$1005,MATCH(B130,'Contractors'!$B$6:$B$1005,0)),0),"")))</f>
        <v/>
      </c>
      <c r="I130" s="109" t="n"/>
      <c r="J130" s="72" t="n"/>
      <c r="K130" s="109" t="n"/>
      <c r="L130" s="73" t="n"/>
      <c r="M130" s="109" t="n"/>
      <c r="N130" s="73" t="n"/>
      <c r="O130" s="107">
        <f>IF(B130="","",IF(M130&lt;&gt;"","Paid",IF(AND(I130&lt;&gt;"",I130&lt;AsOf),"OVERDUE",IF(OR(K130&lt;&gt;"",L130&lt;&gt;""),"Invoiced","Scheduled"))))</f>
        <v/>
      </c>
      <c r="P130" s="115">
        <f>IF(B130="","",IF(E130&lt;&gt;"",E130,IFERROR(INDEX('Contractors'!$D$6:$D$1005,MATCH(B130,'Contractors'!$B$6:$B$1005,0)),"")))</f>
        <v/>
      </c>
      <c r="Q130" s="79">
        <f>IF(B130="","",IF(D130&lt;&gt;"",D130,IFERROR(INDEX('Contractors'!$E$6:$E$1005,MATCH(B130,'Contractors'!$B$6:$B$1005,0)),"")))</f>
        <v/>
      </c>
      <c r="R130" s="79">
        <f>IF(O130="","",IF(O130="OVERDUE",2,IF(O130="Paid",0,IF(AND(I130&lt;&gt;"",I130&lt;=AsOf+AlertDays),1,0))))</f>
        <v/>
      </c>
      <c r="S130" s="79">
        <f>IF(AND(B130&lt;&gt;"",M130="",I130&lt;&gt;""),IF(L130&lt;&gt;"",L130,IF(H130="",0,H130)),0)</f>
        <v/>
      </c>
      <c r="T130" s="79">
        <f>IF(AND(B130&lt;&gt;"",M130="",I130&lt;&gt;""),1/I130,0)</f>
        <v/>
      </c>
      <c r="U130" s="112">
        <f>IF(AND(B130&lt;&gt;"",M130="",I130&lt;&gt;""),I130,"")</f>
        <v/>
      </c>
      <c r="V130" s="79">
        <f>IF(U130="","",IF(U130&lt;AsOf,1,IF(U130&lt;=AsOf+AlertDays,2,IF(U130&lt;=AsOf+2*AlertDays,3,""))))</f>
        <v/>
      </c>
      <c r="W130" s="79">
        <f>IF(V130="","",IF(O130="OVERDUE","Overdue payment: ","Payment due: ")&amp;B130&amp;" — "&amp;C130&amp;" ("&amp;CurSym&amp;" "&amp;FIXED(S130,0)&amp;")")</f>
        <v/>
      </c>
      <c r="Z130" s="116">
        <f>IF('Contractors'!B130="","",'Contractors'!B130)</f>
        <v/>
      </c>
      <c r="AA130" s="77">
        <f>IF(Z130="","",'Contractors'!K130)</f>
        <v/>
      </c>
      <c r="AB130" s="77">
        <f>IF(Z130="","",SUMIFS($L$6:$L$1005,$B$6:$B$1005,Z130))</f>
        <v/>
      </c>
      <c r="AC130" s="77">
        <f>IF(Z130="","",SUMIFS($N$6:$N$1005,$B$6:$B$1005,Z130))</f>
        <v/>
      </c>
      <c r="AD130" s="76">
        <f>IF(Z130="","",AA130-AC130)</f>
        <v/>
      </c>
      <c r="AE130" s="117">
        <f>IF(Z130="","",IFERROR(1/SUMPRODUCT(MAX(($B$6:$B$1005=Z130)*$T$6:$T$1005)),""))</f>
        <v/>
      </c>
      <c r="AF130" s="77">
        <f>IF(AE130="","",SUMIFS($S$6:$S$1005,$B$6:$B$1005,Z130,$I$6:$I$1005,AE130))</f>
        <v/>
      </c>
    </row>
    <row r="131" ht="20" customHeight="1">
      <c r="B131" s="72" t="n"/>
      <c r="C131" s="72" t="n"/>
      <c r="D131" s="72" t="n"/>
      <c r="E131" s="72" t="n"/>
      <c r="F131" s="110" t="n"/>
      <c r="G131" s="73" t="n"/>
      <c r="H131" s="75">
        <f>IF(B131="","",IF(G131&lt;&gt;"",G131,IF(F131&lt;&gt;"",F131*IFERROR(INDEX('Contractors'!$I$6:$I$1005,MATCH(B131,'Contractors'!$B$6:$B$1005,0)),0),"")))</f>
        <v/>
      </c>
      <c r="I131" s="109" t="n"/>
      <c r="J131" s="72" t="n"/>
      <c r="K131" s="109" t="n"/>
      <c r="L131" s="73" t="n"/>
      <c r="M131" s="109" t="n"/>
      <c r="N131" s="73" t="n"/>
      <c r="O131" s="107">
        <f>IF(B131="","",IF(M131&lt;&gt;"","Paid",IF(AND(I131&lt;&gt;"",I131&lt;AsOf),"OVERDUE",IF(OR(K131&lt;&gt;"",L131&lt;&gt;""),"Invoiced","Scheduled"))))</f>
        <v/>
      </c>
      <c r="P131" s="115">
        <f>IF(B131="","",IF(E131&lt;&gt;"",E131,IFERROR(INDEX('Contractors'!$D$6:$D$1005,MATCH(B131,'Contractors'!$B$6:$B$1005,0)),"")))</f>
        <v/>
      </c>
      <c r="Q131" s="79">
        <f>IF(B131="","",IF(D131&lt;&gt;"",D131,IFERROR(INDEX('Contractors'!$E$6:$E$1005,MATCH(B131,'Contractors'!$B$6:$B$1005,0)),"")))</f>
        <v/>
      </c>
      <c r="R131" s="79">
        <f>IF(O131="","",IF(O131="OVERDUE",2,IF(O131="Paid",0,IF(AND(I131&lt;&gt;"",I131&lt;=AsOf+AlertDays),1,0))))</f>
        <v/>
      </c>
      <c r="S131" s="79">
        <f>IF(AND(B131&lt;&gt;"",M131="",I131&lt;&gt;""),IF(L131&lt;&gt;"",L131,IF(H131="",0,H131)),0)</f>
        <v/>
      </c>
      <c r="T131" s="79">
        <f>IF(AND(B131&lt;&gt;"",M131="",I131&lt;&gt;""),1/I131,0)</f>
        <v/>
      </c>
      <c r="U131" s="112">
        <f>IF(AND(B131&lt;&gt;"",M131="",I131&lt;&gt;""),I131,"")</f>
        <v/>
      </c>
      <c r="V131" s="79">
        <f>IF(U131="","",IF(U131&lt;AsOf,1,IF(U131&lt;=AsOf+AlertDays,2,IF(U131&lt;=AsOf+2*AlertDays,3,""))))</f>
        <v/>
      </c>
      <c r="W131" s="79">
        <f>IF(V131="","",IF(O131="OVERDUE","Overdue payment: ","Payment due: ")&amp;B131&amp;" — "&amp;C131&amp;" ("&amp;CurSym&amp;" "&amp;FIXED(S131,0)&amp;")")</f>
        <v/>
      </c>
      <c r="Z131" s="116">
        <f>IF('Contractors'!B131="","",'Contractors'!B131)</f>
        <v/>
      </c>
      <c r="AA131" s="77">
        <f>IF(Z131="","",'Contractors'!K131)</f>
        <v/>
      </c>
      <c r="AB131" s="77">
        <f>IF(Z131="","",SUMIFS($L$6:$L$1005,$B$6:$B$1005,Z131))</f>
        <v/>
      </c>
      <c r="AC131" s="77">
        <f>IF(Z131="","",SUMIFS($N$6:$N$1005,$B$6:$B$1005,Z131))</f>
        <v/>
      </c>
      <c r="AD131" s="76">
        <f>IF(Z131="","",AA131-AC131)</f>
        <v/>
      </c>
      <c r="AE131" s="117">
        <f>IF(Z131="","",IFERROR(1/SUMPRODUCT(MAX(($B$6:$B$1005=Z131)*$T$6:$T$1005)),""))</f>
        <v/>
      </c>
      <c r="AF131" s="77">
        <f>IF(AE131="","",SUMIFS($S$6:$S$1005,$B$6:$B$1005,Z131,$I$6:$I$1005,AE131))</f>
        <v/>
      </c>
    </row>
    <row r="132" ht="20" customHeight="1">
      <c r="B132" s="72" t="n"/>
      <c r="C132" s="72" t="n"/>
      <c r="D132" s="72" t="n"/>
      <c r="E132" s="72" t="n"/>
      <c r="F132" s="110" t="n"/>
      <c r="G132" s="73" t="n"/>
      <c r="H132" s="75">
        <f>IF(B132="","",IF(G132&lt;&gt;"",G132,IF(F132&lt;&gt;"",F132*IFERROR(INDEX('Contractors'!$I$6:$I$1005,MATCH(B132,'Contractors'!$B$6:$B$1005,0)),0),"")))</f>
        <v/>
      </c>
      <c r="I132" s="109" t="n"/>
      <c r="J132" s="72" t="n"/>
      <c r="K132" s="109" t="n"/>
      <c r="L132" s="73" t="n"/>
      <c r="M132" s="109" t="n"/>
      <c r="N132" s="73" t="n"/>
      <c r="O132" s="107">
        <f>IF(B132="","",IF(M132&lt;&gt;"","Paid",IF(AND(I132&lt;&gt;"",I132&lt;AsOf),"OVERDUE",IF(OR(K132&lt;&gt;"",L132&lt;&gt;""),"Invoiced","Scheduled"))))</f>
        <v/>
      </c>
      <c r="P132" s="115">
        <f>IF(B132="","",IF(E132&lt;&gt;"",E132,IFERROR(INDEX('Contractors'!$D$6:$D$1005,MATCH(B132,'Contractors'!$B$6:$B$1005,0)),"")))</f>
        <v/>
      </c>
      <c r="Q132" s="79">
        <f>IF(B132="","",IF(D132&lt;&gt;"",D132,IFERROR(INDEX('Contractors'!$E$6:$E$1005,MATCH(B132,'Contractors'!$B$6:$B$1005,0)),"")))</f>
        <v/>
      </c>
      <c r="R132" s="79">
        <f>IF(O132="","",IF(O132="OVERDUE",2,IF(O132="Paid",0,IF(AND(I132&lt;&gt;"",I132&lt;=AsOf+AlertDays),1,0))))</f>
        <v/>
      </c>
      <c r="S132" s="79">
        <f>IF(AND(B132&lt;&gt;"",M132="",I132&lt;&gt;""),IF(L132&lt;&gt;"",L132,IF(H132="",0,H132)),0)</f>
        <v/>
      </c>
      <c r="T132" s="79">
        <f>IF(AND(B132&lt;&gt;"",M132="",I132&lt;&gt;""),1/I132,0)</f>
        <v/>
      </c>
      <c r="U132" s="112">
        <f>IF(AND(B132&lt;&gt;"",M132="",I132&lt;&gt;""),I132,"")</f>
        <v/>
      </c>
      <c r="V132" s="79">
        <f>IF(U132="","",IF(U132&lt;AsOf,1,IF(U132&lt;=AsOf+AlertDays,2,IF(U132&lt;=AsOf+2*AlertDays,3,""))))</f>
        <v/>
      </c>
      <c r="W132" s="79">
        <f>IF(V132="","",IF(O132="OVERDUE","Overdue payment: ","Payment due: ")&amp;B132&amp;" — "&amp;C132&amp;" ("&amp;CurSym&amp;" "&amp;FIXED(S132,0)&amp;")")</f>
        <v/>
      </c>
      <c r="Z132" s="116">
        <f>IF('Contractors'!B132="","",'Contractors'!B132)</f>
        <v/>
      </c>
      <c r="AA132" s="77">
        <f>IF(Z132="","",'Contractors'!K132)</f>
        <v/>
      </c>
      <c r="AB132" s="77">
        <f>IF(Z132="","",SUMIFS($L$6:$L$1005,$B$6:$B$1005,Z132))</f>
        <v/>
      </c>
      <c r="AC132" s="77">
        <f>IF(Z132="","",SUMIFS($N$6:$N$1005,$B$6:$B$1005,Z132))</f>
        <v/>
      </c>
      <c r="AD132" s="76">
        <f>IF(Z132="","",AA132-AC132)</f>
        <v/>
      </c>
      <c r="AE132" s="117">
        <f>IF(Z132="","",IFERROR(1/SUMPRODUCT(MAX(($B$6:$B$1005=Z132)*$T$6:$T$1005)),""))</f>
        <v/>
      </c>
      <c r="AF132" s="77">
        <f>IF(AE132="","",SUMIFS($S$6:$S$1005,$B$6:$B$1005,Z132,$I$6:$I$1005,AE132))</f>
        <v/>
      </c>
    </row>
    <row r="133" ht="20" customHeight="1">
      <c r="B133" s="72" t="n"/>
      <c r="C133" s="72" t="n"/>
      <c r="D133" s="72" t="n"/>
      <c r="E133" s="72" t="n"/>
      <c r="F133" s="110" t="n"/>
      <c r="G133" s="73" t="n"/>
      <c r="H133" s="75">
        <f>IF(B133="","",IF(G133&lt;&gt;"",G133,IF(F133&lt;&gt;"",F133*IFERROR(INDEX('Contractors'!$I$6:$I$1005,MATCH(B133,'Contractors'!$B$6:$B$1005,0)),0),"")))</f>
        <v/>
      </c>
      <c r="I133" s="109" t="n"/>
      <c r="J133" s="72" t="n"/>
      <c r="K133" s="109" t="n"/>
      <c r="L133" s="73" t="n"/>
      <c r="M133" s="109" t="n"/>
      <c r="N133" s="73" t="n"/>
      <c r="O133" s="107">
        <f>IF(B133="","",IF(M133&lt;&gt;"","Paid",IF(AND(I133&lt;&gt;"",I133&lt;AsOf),"OVERDUE",IF(OR(K133&lt;&gt;"",L133&lt;&gt;""),"Invoiced","Scheduled"))))</f>
        <v/>
      </c>
      <c r="P133" s="115">
        <f>IF(B133="","",IF(E133&lt;&gt;"",E133,IFERROR(INDEX('Contractors'!$D$6:$D$1005,MATCH(B133,'Contractors'!$B$6:$B$1005,0)),"")))</f>
        <v/>
      </c>
      <c r="Q133" s="79">
        <f>IF(B133="","",IF(D133&lt;&gt;"",D133,IFERROR(INDEX('Contractors'!$E$6:$E$1005,MATCH(B133,'Contractors'!$B$6:$B$1005,0)),"")))</f>
        <v/>
      </c>
      <c r="R133" s="79">
        <f>IF(O133="","",IF(O133="OVERDUE",2,IF(O133="Paid",0,IF(AND(I133&lt;&gt;"",I133&lt;=AsOf+AlertDays),1,0))))</f>
        <v/>
      </c>
      <c r="S133" s="79">
        <f>IF(AND(B133&lt;&gt;"",M133="",I133&lt;&gt;""),IF(L133&lt;&gt;"",L133,IF(H133="",0,H133)),0)</f>
        <v/>
      </c>
      <c r="T133" s="79">
        <f>IF(AND(B133&lt;&gt;"",M133="",I133&lt;&gt;""),1/I133,0)</f>
        <v/>
      </c>
      <c r="U133" s="112">
        <f>IF(AND(B133&lt;&gt;"",M133="",I133&lt;&gt;""),I133,"")</f>
        <v/>
      </c>
      <c r="V133" s="79">
        <f>IF(U133="","",IF(U133&lt;AsOf,1,IF(U133&lt;=AsOf+AlertDays,2,IF(U133&lt;=AsOf+2*AlertDays,3,""))))</f>
        <v/>
      </c>
      <c r="W133" s="79">
        <f>IF(V133="","",IF(O133="OVERDUE","Overdue payment: ","Payment due: ")&amp;B133&amp;" — "&amp;C133&amp;" ("&amp;CurSym&amp;" "&amp;FIXED(S133,0)&amp;")")</f>
        <v/>
      </c>
      <c r="Z133" s="116">
        <f>IF('Contractors'!B133="","",'Contractors'!B133)</f>
        <v/>
      </c>
      <c r="AA133" s="77">
        <f>IF(Z133="","",'Contractors'!K133)</f>
        <v/>
      </c>
      <c r="AB133" s="77">
        <f>IF(Z133="","",SUMIFS($L$6:$L$1005,$B$6:$B$1005,Z133))</f>
        <v/>
      </c>
      <c r="AC133" s="77">
        <f>IF(Z133="","",SUMIFS($N$6:$N$1005,$B$6:$B$1005,Z133))</f>
        <v/>
      </c>
      <c r="AD133" s="76">
        <f>IF(Z133="","",AA133-AC133)</f>
        <v/>
      </c>
      <c r="AE133" s="117">
        <f>IF(Z133="","",IFERROR(1/SUMPRODUCT(MAX(($B$6:$B$1005=Z133)*$T$6:$T$1005)),""))</f>
        <v/>
      </c>
      <c r="AF133" s="77">
        <f>IF(AE133="","",SUMIFS($S$6:$S$1005,$B$6:$B$1005,Z133,$I$6:$I$1005,AE133))</f>
        <v/>
      </c>
    </row>
    <row r="134" ht="20" customHeight="1">
      <c r="B134" s="72" t="n"/>
      <c r="C134" s="72" t="n"/>
      <c r="D134" s="72" t="n"/>
      <c r="E134" s="72" t="n"/>
      <c r="F134" s="110" t="n"/>
      <c r="G134" s="73" t="n"/>
      <c r="H134" s="75">
        <f>IF(B134="","",IF(G134&lt;&gt;"",G134,IF(F134&lt;&gt;"",F134*IFERROR(INDEX('Contractors'!$I$6:$I$1005,MATCH(B134,'Contractors'!$B$6:$B$1005,0)),0),"")))</f>
        <v/>
      </c>
      <c r="I134" s="109" t="n"/>
      <c r="J134" s="72" t="n"/>
      <c r="K134" s="109" t="n"/>
      <c r="L134" s="73" t="n"/>
      <c r="M134" s="109" t="n"/>
      <c r="N134" s="73" t="n"/>
      <c r="O134" s="107">
        <f>IF(B134="","",IF(M134&lt;&gt;"","Paid",IF(AND(I134&lt;&gt;"",I134&lt;AsOf),"OVERDUE",IF(OR(K134&lt;&gt;"",L134&lt;&gt;""),"Invoiced","Scheduled"))))</f>
        <v/>
      </c>
      <c r="P134" s="115">
        <f>IF(B134="","",IF(E134&lt;&gt;"",E134,IFERROR(INDEX('Contractors'!$D$6:$D$1005,MATCH(B134,'Contractors'!$B$6:$B$1005,0)),"")))</f>
        <v/>
      </c>
      <c r="Q134" s="79">
        <f>IF(B134="","",IF(D134&lt;&gt;"",D134,IFERROR(INDEX('Contractors'!$E$6:$E$1005,MATCH(B134,'Contractors'!$B$6:$B$1005,0)),"")))</f>
        <v/>
      </c>
      <c r="R134" s="79">
        <f>IF(O134="","",IF(O134="OVERDUE",2,IF(O134="Paid",0,IF(AND(I134&lt;&gt;"",I134&lt;=AsOf+AlertDays),1,0))))</f>
        <v/>
      </c>
      <c r="S134" s="79">
        <f>IF(AND(B134&lt;&gt;"",M134="",I134&lt;&gt;""),IF(L134&lt;&gt;"",L134,IF(H134="",0,H134)),0)</f>
        <v/>
      </c>
      <c r="T134" s="79">
        <f>IF(AND(B134&lt;&gt;"",M134="",I134&lt;&gt;""),1/I134,0)</f>
        <v/>
      </c>
      <c r="U134" s="112">
        <f>IF(AND(B134&lt;&gt;"",M134="",I134&lt;&gt;""),I134,"")</f>
        <v/>
      </c>
      <c r="V134" s="79">
        <f>IF(U134="","",IF(U134&lt;AsOf,1,IF(U134&lt;=AsOf+AlertDays,2,IF(U134&lt;=AsOf+2*AlertDays,3,""))))</f>
        <v/>
      </c>
      <c r="W134" s="79">
        <f>IF(V134="","",IF(O134="OVERDUE","Overdue payment: ","Payment due: ")&amp;B134&amp;" — "&amp;C134&amp;" ("&amp;CurSym&amp;" "&amp;FIXED(S134,0)&amp;")")</f>
        <v/>
      </c>
      <c r="Z134" s="116">
        <f>IF('Contractors'!B134="","",'Contractors'!B134)</f>
        <v/>
      </c>
      <c r="AA134" s="77">
        <f>IF(Z134="","",'Contractors'!K134)</f>
        <v/>
      </c>
      <c r="AB134" s="77">
        <f>IF(Z134="","",SUMIFS($L$6:$L$1005,$B$6:$B$1005,Z134))</f>
        <v/>
      </c>
      <c r="AC134" s="77">
        <f>IF(Z134="","",SUMIFS($N$6:$N$1005,$B$6:$B$1005,Z134))</f>
        <v/>
      </c>
      <c r="AD134" s="76">
        <f>IF(Z134="","",AA134-AC134)</f>
        <v/>
      </c>
      <c r="AE134" s="117">
        <f>IF(Z134="","",IFERROR(1/SUMPRODUCT(MAX(($B$6:$B$1005=Z134)*$T$6:$T$1005)),""))</f>
        <v/>
      </c>
      <c r="AF134" s="77">
        <f>IF(AE134="","",SUMIFS($S$6:$S$1005,$B$6:$B$1005,Z134,$I$6:$I$1005,AE134))</f>
        <v/>
      </c>
    </row>
    <row r="135" ht="20" customHeight="1">
      <c r="B135" s="72" t="n"/>
      <c r="C135" s="72" t="n"/>
      <c r="D135" s="72" t="n"/>
      <c r="E135" s="72" t="n"/>
      <c r="F135" s="110" t="n"/>
      <c r="G135" s="73" t="n"/>
      <c r="H135" s="75">
        <f>IF(B135="","",IF(G135&lt;&gt;"",G135,IF(F135&lt;&gt;"",F135*IFERROR(INDEX('Contractors'!$I$6:$I$1005,MATCH(B135,'Contractors'!$B$6:$B$1005,0)),0),"")))</f>
        <v/>
      </c>
      <c r="I135" s="109" t="n"/>
      <c r="J135" s="72" t="n"/>
      <c r="K135" s="109" t="n"/>
      <c r="L135" s="73" t="n"/>
      <c r="M135" s="109" t="n"/>
      <c r="N135" s="73" t="n"/>
      <c r="O135" s="107">
        <f>IF(B135="","",IF(M135&lt;&gt;"","Paid",IF(AND(I135&lt;&gt;"",I135&lt;AsOf),"OVERDUE",IF(OR(K135&lt;&gt;"",L135&lt;&gt;""),"Invoiced","Scheduled"))))</f>
        <v/>
      </c>
      <c r="P135" s="115">
        <f>IF(B135="","",IF(E135&lt;&gt;"",E135,IFERROR(INDEX('Contractors'!$D$6:$D$1005,MATCH(B135,'Contractors'!$B$6:$B$1005,0)),"")))</f>
        <v/>
      </c>
      <c r="Q135" s="79">
        <f>IF(B135="","",IF(D135&lt;&gt;"",D135,IFERROR(INDEX('Contractors'!$E$6:$E$1005,MATCH(B135,'Contractors'!$B$6:$B$1005,0)),"")))</f>
        <v/>
      </c>
      <c r="R135" s="79">
        <f>IF(O135="","",IF(O135="OVERDUE",2,IF(O135="Paid",0,IF(AND(I135&lt;&gt;"",I135&lt;=AsOf+AlertDays),1,0))))</f>
        <v/>
      </c>
      <c r="S135" s="79">
        <f>IF(AND(B135&lt;&gt;"",M135="",I135&lt;&gt;""),IF(L135&lt;&gt;"",L135,IF(H135="",0,H135)),0)</f>
        <v/>
      </c>
      <c r="T135" s="79">
        <f>IF(AND(B135&lt;&gt;"",M135="",I135&lt;&gt;""),1/I135,0)</f>
        <v/>
      </c>
      <c r="U135" s="112">
        <f>IF(AND(B135&lt;&gt;"",M135="",I135&lt;&gt;""),I135,"")</f>
        <v/>
      </c>
      <c r="V135" s="79">
        <f>IF(U135="","",IF(U135&lt;AsOf,1,IF(U135&lt;=AsOf+AlertDays,2,IF(U135&lt;=AsOf+2*AlertDays,3,""))))</f>
        <v/>
      </c>
      <c r="W135" s="79">
        <f>IF(V135="","",IF(O135="OVERDUE","Overdue payment: ","Payment due: ")&amp;B135&amp;" — "&amp;C135&amp;" ("&amp;CurSym&amp;" "&amp;FIXED(S135,0)&amp;")")</f>
        <v/>
      </c>
      <c r="Z135" s="116">
        <f>IF('Contractors'!B135="","",'Contractors'!B135)</f>
        <v/>
      </c>
      <c r="AA135" s="77">
        <f>IF(Z135="","",'Contractors'!K135)</f>
        <v/>
      </c>
      <c r="AB135" s="77">
        <f>IF(Z135="","",SUMIFS($L$6:$L$1005,$B$6:$B$1005,Z135))</f>
        <v/>
      </c>
      <c r="AC135" s="77">
        <f>IF(Z135="","",SUMIFS($N$6:$N$1005,$B$6:$B$1005,Z135))</f>
        <v/>
      </c>
      <c r="AD135" s="76">
        <f>IF(Z135="","",AA135-AC135)</f>
        <v/>
      </c>
      <c r="AE135" s="117">
        <f>IF(Z135="","",IFERROR(1/SUMPRODUCT(MAX(($B$6:$B$1005=Z135)*$T$6:$T$1005)),""))</f>
        <v/>
      </c>
      <c r="AF135" s="77">
        <f>IF(AE135="","",SUMIFS($S$6:$S$1005,$B$6:$B$1005,Z135,$I$6:$I$1005,AE135))</f>
        <v/>
      </c>
    </row>
    <row r="136" ht="20" customHeight="1">
      <c r="B136" s="72" t="n"/>
      <c r="C136" s="72" t="n"/>
      <c r="D136" s="72" t="n"/>
      <c r="E136" s="72" t="n"/>
      <c r="F136" s="110" t="n"/>
      <c r="G136" s="73" t="n"/>
      <c r="H136" s="75">
        <f>IF(B136="","",IF(G136&lt;&gt;"",G136,IF(F136&lt;&gt;"",F136*IFERROR(INDEX('Contractors'!$I$6:$I$1005,MATCH(B136,'Contractors'!$B$6:$B$1005,0)),0),"")))</f>
        <v/>
      </c>
      <c r="I136" s="109" t="n"/>
      <c r="J136" s="72" t="n"/>
      <c r="K136" s="109" t="n"/>
      <c r="L136" s="73" t="n"/>
      <c r="M136" s="109" t="n"/>
      <c r="N136" s="73" t="n"/>
      <c r="O136" s="107">
        <f>IF(B136="","",IF(M136&lt;&gt;"","Paid",IF(AND(I136&lt;&gt;"",I136&lt;AsOf),"OVERDUE",IF(OR(K136&lt;&gt;"",L136&lt;&gt;""),"Invoiced","Scheduled"))))</f>
        <v/>
      </c>
      <c r="P136" s="115">
        <f>IF(B136="","",IF(E136&lt;&gt;"",E136,IFERROR(INDEX('Contractors'!$D$6:$D$1005,MATCH(B136,'Contractors'!$B$6:$B$1005,0)),"")))</f>
        <v/>
      </c>
      <c r="Q136" s="79">
        <f>IF(B136="","",IF(D136&lt;&gt;"",D136,IFERROR(INDEX('Contractors'!$E$6:$E$1005,MATCH(B136,'Contractors'!$B$6:$B$1005,0)),"")))</f>
        <v/>
      </c>
      <c r="R136" s="79">
        <f>IF(O136="","",IF(O136="OVERDUE",2,IF(O136="Paid",0,IF(AND(I136&lt;&gt;"",I136&lt;=AsOf+AlertDays),1,0))))</f>
        <v/>
      </c>
      <c r="S136" s="79">
        <f>IF(AND(B136&lt;&gt;"",M136="",I136&lt;&gt;""),IF(L136&lt;&gt;"",L136,IF(H136="",0,H136)),0)</f>
        <v/>
      </c>
      <c r="T136" s="79">
        <f>IF(AND(B136&lt;&gt;"",M136="",I136&lt;&gt;""),1/I136,0)</f>
        <v/>
      </c>
      <c r="U136" s="112">
        <f>IF(AND(B136&lt;&gt;"",M136="",I136&lt;&gt;""),I136,"")</f>
        <v/>
      </c>
      <c r="V136" s="79">
        <f>IF(U136="","",IF(U136&lt;AsOf,1,IF(U136&lt;=AsOf+AlertDays,2,IF(U136&lt;=AsOf+2*AlertDays,3,""))))</f>
        <v/>
      </c>
      <c r="W136" s="79">
        <f>IF(V136="","",IF(O136="OVERDUE","Overdue payment: ","Payment due: ")&amp;B136&amp;" — "&amp;C136&amp;" ("&amp;CurSym&amp;" "&amp;FIXED(S136,0)&amp;")")</f>
        <v/>
      </c>
      <c r="Z136" s="116">
        <f>IF('Contractors'!B136="","",'Contractors'!B136)</f>
        <v/>
      </c>
      <c r="AA136" s="77">
        <f>IF(Z136="","",'Contractors'!K136)</f>
        <v/>
      </c>
      <c r="AB136" s="77">
        <f>IF(Z136="","",SUMIFS($L$6:$L$1005,$B$6:$B$1005,Z136))</f>
        <v/>
      </c>
      <c r="AC136" s="77">
        <f>IF(Z136="","",SUMIFS($N$6:$N$1005,$B$6:$B$1005,Z136))</f>
        <v/>
      </c>
      <c r="AD136" s="76">
        <f>IF(Z136="","",AA136-AC136)</f>
        <v/>
      </c>
      <c r="AE136" s="117">
        <f>IF(Z136="","",IFERROR(1/SUMPRODUCT(MAX(($B$6:$B$1005=Z136)*$T$6:$T$1005)),""))</f>
        <v/>
      </c>
      <c r="AF136" s="77">
        <f>IF(AE136="","",SUMIFS($S$6:$S$1005,$B$6:$B$1005,Z136,$I$6:$I$1005,AE136))</f>
        <v/>
      </c>
    </row>
    <row r="137" ht="20" customHeight="1">
      <c r="B137" s="72" t="n"/>
      <c r="C137" s="72" t="n"/>
      <c r="D137" s="72" t="n"/>
      <c r="E137" s="72" t="n"/>
      <c r="F137" s="110" t="n"/>
      <c r="G137" s="73" t="n"/>
      <c r="H137" s="75">
        <f>IF(B137="","",IF(G137&lt;&gt;"",G137,IF(F137&lt;&gt;"",F137*IFERROR(INDEX('Contractors'!$I$6:$I$1005,MATCH(B137,'Contractors'!$B$6:$B$1005,0)),0),"")))</f>
        <v/>
      </c>
      <c r="I137" s="109" t="n"/>
      <c r="J137" s="72" t="n"/>
      <c r="K137" s="109" t="n"/>
      <c r="L137" s="73" t="n"/>
      <c r="M137" s="109" t="n"/>
      <c r="N137" s="73" t="n"/>
      <c r="O137" s="107">
        <f>IF(B137="","",IF(M137&lt;&gt;"","Paid",IF(AND(I137&lt;&gt;"",I137&lt;AsOf),"OVERDUE",IF(OR(K137&lt;&gt;"",L137&lt;&gt;""),"Invoiced","Scheduled"))))</f>
        <v/>
      </c>
      <c r="P137" s="115">
        <f>IF(B137="","",IF(E137&lt;&gt;"",E137,IFERROR(INDEX('Contractors'!$D$6:$D$1005,MATCH(B137,'Contractors'!$B$6:$B$1005,0)),"")))</f>
        <v/>
      </c>
      <c r="Q137" s="79">
        <f>IF(B137="","",IF(D137&lt;&gt;"",D137,IFERROR(INDEX('Contractors'!$E$6:$E$1005,MATCH(B137,'Contractors'!$B$6:$B$1005,0)),"")))</f>
        <v/>
      </c>
      <c r="R137" s="79">
        <f>IF(O137="","",IF(O137="OVERDUE",2,IF(O137="Paid",0,IF(AND(I137&lt;&gt;"",I137&lt;=AsOf+AlertDays),1,0))))</f>
        <v/>
      </c>
      <c r="S137" s="79">
        <f>IF(AND(B137&lt;&gt;"",M137="",I137&lt;&gt;""),IF(L137&lt;&gt;"",L137,IF(H137="",0,H137)),0)</f>
        <v/>
      </c>
      <c r="T137" s="79">
        <f>IF(AND(B137&lt;&gt;"",M137="",I137&lt;&gt;""),1/I137,0)</f>
        <v/>
      </c>
      <c r="U137" s="112">
        <f>IF(AND(B137&lt;&gt;"",M137="",I137&lt;&gt;""),I137,"")</f>
        <v/>
      </c>
      <c r="V137" s="79">
        <f>IF(U137="","",IF(U137&lt;AsOf,1,IF(U137&lt;=AsOf+AlertDays,2,IF(U137&lt;=AsOf+2*AlertDays,3,""))))</f>
        <v/>
      </c>
      <c r="W137" s="79">
        <f>IF(V137="","",IF(O137="OVERDUE","Overdue payment: ","Payment due: ")&amp;B137&amp;" — "&amp;C137&amp;" ("&amp;CurSym&amp;" "&amp;FIXED(S137,0)&amp;")")</f>
        <v/>
      </c>
      <c r="Z137" s="116">
        <f>IF('Contractors'!B137="","",'Contractors'!B137)</f>
        <v/>
      </c>
      <c r="AA137" s="77">
        <f>IF(Z137="","",'Contractors'!K137)</f>
        <v/>
      </c>
      <c r="AB137" s="77">
        <f>IF(Z137="","",SUMIFS($L$6:$L$1005,$B$6:$B$1005,Z137))</f>
        <v/>
      </c>
      <c r="AC137" s="77">
        <f>IF(Z137="","",SUMIFS($N$6:$N$1005,$B$6:$B$1005,Z137))</f>
        <v/>
      </c>
      <c r="AD137" s="76">
        <f>IF(Z137="","",AA137-AC137)</f>
        <v/>
      </c>
      <c r="AE137" s="117">
        <f>IF(Z137="","",IFERROR(1/SUMPRODUCT(MAX(($B$6:$B$1005=Z137)*$T$6:$T$1005)),""))</f>
        <v/>
      </c>
      <c r="AF137" s="77">
        <f>IF(AE137="","",SUMIFS($S$6:$S$1005,$B$6:$B$1005,Z137,$I$6:$I$1005,AE137))</f>
        <v/>
      </c>
    </row>
    <row r="138" ht="20" customHeight="1">
      <c r="B138" s="72" t="n"/>
      <c r="C138" s="72" t="n"/>
      <c r="D138" s="72" t="n"/>
      <c r="E138" s="72" t="n"/>
      <c r="F138" s="110" t="n"/>
      <c r="G138" s="73" t="n"/>
      <c r="H138" s="75">
        <f>IF(B138="","",IF(G138&lt;&gt;"",G138,IF(F138&lt;&gt;"",F138*IFERROR(INDEX('Contractors'!$I$6:$I$1005,MATCH(B138,'Contractors'!$B$6:$B$1005,0)),0),"")))</f>
        <v/>
      </c>
      <c r="I138" s="109" t="n"/>
      <c r="J138" s="72" t="n"/>
      <c r="K138" s="109" t="n"/>
      <c r="L138" s="73" t="n"/>
      <c r="M138" s="109" t="n"/>
      <c r="N138" s="73" t="n"/>
      <c r="O138" s="107">
        <f>IF(B138="","",IF(M138&lt;&gt;"","Paid",IF(AND(I138&lt;&gt;"",I138&lt;AsOf),"OVERDUE",IF(OR(K138&lt;&gt;"",L138&lt;&gt;""),"Invoiced","Scheduled"))))</f>
        <v/>
      </c>
      <c r="P138" s="115">
        <f>IF(B138="","",IF(E138&lt;&gt;"",E138,IFERROR(INDEX('Contractors'!$D$6:$D$1005,MATCH(B138,'Contractors'!$B$6:$B$1005,0)),"")))</f>
        <v/>
      </c>
      <c r="Q138" s="79">
        <f>IF(B138="","",IF(D138&lt;&gt;"",D138,IFERROR(INDEX('Contractors'!$E$6:$E$1005,MATCH(B138,'Contractors'!$B$6:$B$1005,0)),"")))</f>
        <v/>
      </c>
      <c r="R138" s="79">
        <f>IF(O138="","",IF(O138="OVERDUE",2,IF(O138="Paid",0,IF(AND(I138&lt;&gt;"",I138&lt;=AsOf+AlertDays),1,0))))</f>
        <v/>
      </c>
      <c r="S138" s="79">
        <f>IF(AND(B138&lt;&gt;"",M138="",I138&lt;&gt;""),IF(L138&lt;&gt;"",L138,IF(H138="",0,H138)),0)</f>
        <v/>
      </c>
      <c r="T138" s="79">
        <f>IF(AND(B138&lt;&gt;"",M138="",I138&lt;&gt;""),1/I138,0)</f>
        <v/>
      </c>
      <c r="U138" s="112">
        <f>IF(AND(B138&lt;&gt;"",M138="",I138&lt;&gt;""),I138,"")</f>
        <v/>
      </c>
      <c r="V138" s="79">
        <f>IF(U138="","",IF(U138&lt;AsOf,1,IF(U138&lt;=AsOf+AlertDays,2,IF(U138&lt;=AsOf+2*AlertDays,3,""))))</f>
        <v/>
      </c>
      <c r="W138" s="79">
        <f>IF(V138="","",IF(O138="OVERDUE","Overdue payment: ","Payment due: ")&amp;B138&amp;" — "&amp;C138&amp;" ("&amp;CurSym&amp;" "&amp;FIXED(S138,0)&amp;")")</f>
        <v/>
      </c>
      <c r="Z138" s="116">
        <f>IF('Contractors'!B138="","",'Contractors'!B138)</f>
        <v/>
      </c>
      <c r="AA138" s="77">
        <f>IF(Z138="","",'Contractors'!K138)</f>
        <v/>
      </c>
      <c r="AB138" s="77">
        <f>IF(Z138="","",SUMIFS($L$6:$L$1005,$B$6:$B$1005,Z138))</f>
        <v/>
      </c>
      <c r="AC138" s="77">
        <f>IF(Z138="","",SUMIFS($N$6:$N$1005,$B$6:$B$1005,Z138))</f>
        <v/>
      </c>
      <c r="AD138" s="76">
        <f>IF(Z138="","",AA138-AC138)</f>
        <v/>
      </c>
      <c r="AE138" s="117">
        <f>IF(Z138="","",IFERROR(1/SUMPRODUCT(MAX(($B$6:$B$1005=Z138)*$T$6:$T$1005)),""))</f>
        <v/>
      </c>
      <c r="AF138" s="77">
        <f>IF(AE138="","",SUMIFS($S$6:$S$1005,$B$6:$B$1005,Z138,$I$6:$I$1005,AE138))</f>
        <v/>
      </c>
    </row>
    <row r="139" ht="20" customHeight="1">
      <c r="B139" s="72" t="n"/>
      <c r="C139" s="72" t="n"/>
      <c r="D139" s="72" t="n"/>
      <c r="E139" s="72" t="n"/>
      <c r="F139" s="110" t="n"/>
      <c r="G139" s="73" t="n"/>
      <c r="H139" s="75">
        <f>IF(B139="","",IF(G139&lt;&gt;"",G139,IF(F139&lt;&gt;"",F139*IFERROR(INDEX('Contractors'!$I$6:$I$1005,MATCH(B139,'Contractors'!$B$6:$B$1005,0)),0),"")))</f>
        <v/>
      </c>
      <c r="I139" s="109" t="n"/>
      <c r="J139" s="72" t="n"/>
      <c r="K139" s="109" t="n"/>
      <c r="L139" s="73" t="n"/>
      <c r="M139" s="109" t="n"/>
      <c r="N139" s="73" t="n"/>
      <c r="O139" s="107">
        <f>IF(B139="","",IF(M139&lt;&gt;"","Paid",IF(AND(I139&lt;&gt;"",I139&lt;AsOf),"OVERDUE",IF(OR(K139&lt;&gt;"",L139&lt;&gt;""),"Invoiced","Scheduled"))))</f>
        <v/>
      </c>
      <c r="P139" s="115">
        <f>IF(B139="","",IF(E139&lt;&gt;"",E139,IFERROR(INDEX('Contractors'!$D$6:$D$1005,MATCH(B139,'Contractors'!$B$6:$B$1005,0)),"")))</f>
        <v/>
      </c>
      <c r="Q139" s="79">
        <f>IF(B139="","",IF(D139&lt;&gt;"",D139,IFERROR(INDEX('Contractors'!$E$6:$E$1005,MATCH(B139,'Contractors'!$B$6:$B$1005,0)),"")))</f>
        <v/>
      </c>
      <c r="R139" s="79">
        <f>IF(O139="","",IF(O139="OVERDUE",2,IF(O139="Paid",0,IF(AND(I139&lt;&gt;"",I139&lt;=AsOf+AlertDays),1,0))))</f>
        <v/>
      </c>
      <c r="S139" s="79">
        <f>IF(AND(B139&lt;&gt;"",M139="",I139&lt;&gt;""),IF(L139&lt;&gt;"",L139,IF(H139="",0,H139)),0)</f>
        <v/>
      </c>
      <c r="T139" s="79">
        <f>IF(AND(B139&lt;&gt;"",M139="",I139&lt;&gt;""),1/I139,0)</f>
        <v/>
      </c>
      <c r="U139" s="112">
        <f>IF(AND(B139&lt;&gt;"",M139="",I139&lt;&gt;""),I139,"")</f>
        <v/>
      </c>
      <c r="V139" s="79">
        <f>IF(U139="","",IF(U139&lt;AsOf,1,IF(U139&lt;=AsOf+AlertDays,2,IF(U139&lt;=AsOf+2*AlertDays,3,""))))</f>
        <v/>
      </c>
      <c r="W139" s="79">
        <f>IF(V139="","",IF(O139="OVERDUE","Overdue payment: ","Payment due: ")&amp;B139&amp;" — "&amp;C139&amp;" ("&amp;CurSym&amp;" "&amp;FIXED(S139,0)&amp;")")</f>
        <v/>
      </c>
      <c r="Z139" s="116">
        <f>IF('Contractors'!B139="","",'Contractors'!B139)</f>
        <v/>
      </c>
      <c r="AA139" s="77">
        <f>IF(Z139="","",'Contractors'!K139)</f>
        <v/>
      </c>
      <c r="AB139" s="77">
        <f>IF(Z139="","",SUMIFS($L$6:$L$1005,$B$6:$B$1005,Z139))</f>
        <v/>
      </c>
      <c r="AC139" s="77">
        <f>IF(Z139="","",SUMIFS($N$6:$N$1005,$B$6:$B$1005,Z139))</f>
        <v/>
      </c>
      <c r="AD139" s="76">
        <f>IF(Z139="","",AA139-AC139)</f>
        <v/>
      </c>
      <c r="AE139" s="117">
        <f>IF(Z139="","",IFERROR(1/SUMPRODUCT(MAX(($B$6:$B$1005=Z139)*$T$6:$T$1005)),""))</f>
        <v/>
      </c>
      <c r="AF139" s="77">
        <f>IF(AE139="","",SUMIFS($S$6:$S$1005,$B$6:$B$1005,Z139,$I$6:$I$1005,AE139))</f>
        <v/>
      </c>
    </row>
    <row r="140" ht="20" customHeight="1">
      <c r="B140" s="72" t="n"/>
      <c r="C140" s="72" t="n"/>
      <c r="D140" s="72" t="n"/>
      <c r="E140" s="72" t="n"/>
      <c r="F140" s="110" t="n"/>
      <c r="G140" s="73" t="n"/>
      <c r="H140" s="75">
        <f>IF(B140="","",IF(G140&lt;&gt;"",G140,IF(F140&lt;&gt;"",F140*IFERROR(INDEX('Contractors'!$I$6:$I$1005,MATCH(B140,'Contractors'!$B$6:$B$1005,0)),0),"")))</f>
        <v/>
      </c>
      <c r="I140" s="109" t="n"/>
      <c r="J140" s="72" t="n"/>
      <c r="K140" s="109" t="n"/>
      <c r="L140" s="73" t="n"/>
      <c r="M140" s="109" t="n"/>
      <c r="N140" s="73" t="n"/>
      <c r="O140" s="107">
        <f>IF(B140="","",IF(M140&lt;&gt;"","Paid",IF(AND(I140&lt;&gt;"",I140&lt;AsOf),"OVERDUE",IF(OR(K140&lt;&gt;"",L140&lt;&gt;""),"Invoiced","Scheduled"))))</f>
        <v/>
      </c>
      <c r="P140" s="115">
        <f>IF(B140="","",IF(E140&lt;&gt;"",E140,IFERROR(INDEX('Contractors'!$D$6:$D$1005,MATCH(B140,'Contractors'!$B$6:$B$1005,0)),"")))</f>
        <v/>
      </c>
      <c r="Q140" s="79">
        <f>IF(B140="","",IF(D140&lt;&gt;"",D140,IFERROR(INDEX('Contractors'!$E$6:$E$1005,MATCH(B140,'Contractors'!$B$6:$B$1005,0)),"")))</f>
        <v/>
      </c>
      <c r="R140" s="79">
        <f>IF(O140="","",IF(O140="OVERDUE",2,IF(O140="Paid",0,IF(AND(I140&lt;&gt;"",I140&lt;=AsOf+AlertDays),1,0))))</f>
        <v/>
      </c>
      <c r="S140" s="79">
        <f>IF(AND(B140&lt;&gt;"",M140="",I140&lt;&gt;""),IF(L140&lt;&gt;"",L140,IF(H140="",0,H140)),0)</f>
        <v/>
      </c>
      <c r="T140" s="79">
        <f>IF(AND(B140&lt;&gt;"",M140="",I140&lt;&gt;""),1/I140,0)</f>
        <v/>
      </c>
      <c r="U140" s="112">
        <f>IF(AND(B140&lt;&gt;"",M140="",I140&lt;&gt;""),I140,"")</f>
        <v/>
      </c>
      <c r="V140" s="79">
        <f>IF(U140="","",IF(U140&lt;AsOf,1,IF(U140&lt;=AsOf+AlertDays,2,IF(U140&lt;=AsOf+2*AlertDays,3,""))))</f>
        <v/>
      </c>
      <c r="W140" s="79">
        <f>IF(V140="","",IF(O140="OVERDUE","Overdue payment: ","Payment due: ")&amp;B140&amp;" — "&amp;C140&amp;" ("&amp;CurSym&amp;" "&amp;FIXED(S140,0)&amp;")")</f>
        <v/>
      </c>
      <c r="Z140" s="116">
        <f>IF('Contractors'!B140="","",'Contractors'!B140)</f>
        <v/>
      </c>
      <c r="AA140" s="77">
        <f>IF(Z140="","",'Contractors'!K140)</f>
        <v/>
      </c>
      <c r="AB140" s="77">
        <f>IF(Z140="","",SUMIFS($L$6:$L$1005,$B$6:$B$1005,Z140))</f>
        <v/>
      </c>
      <c r="AC140" s="77">
        <f>IF(Z140="","",SUMIFS($N$6:$N$1005,$B$6:$B$1005,Z140))</f>
        <v/>
      </c>
      <c r="AD140" s="76">
        <f>IF(Z140="","",AA140-AC140)</f>
        <v/>
      </c>
      <c r="AE140" s="117">
        <f>IF(Z140="","",IFERROR(1/SUMPRODUCT(MAX(($B$6:$B$1005=Z140)*$T$6:$T$1005)),""))</f>
        <v/>
      </c>
      <c r="AF140" s="77">
        <f>IF(AE140="","",SUMIFS($S$6:$S$1005,$B$6:$B$1005,Z140,$I$6:$I$1005,AE140))</f>
        <v/>
      </c>
    </row>
    <row r="141" ht="20" customHeight="1">
      <c r="B141" s="72" t="n"/>
      <c r="C141" s="72" t="n"/>
      <c r="D141" s="72" t="n"/>
      <c r="E141" s="72" t="n"/>
      <c r="F141" s="110" t="n"/>
      <c r="G141" s="73" t="n"/>
      <c r="H141" s="75">
        <f>IF(B141="","",IF(G141&lt;&gt;"",G141,IF(F141&lt;&gt;"",F141*IFERROR(INDEX('Contractors'!$I$6:$I$1005,MATCH(B141,'Contractors'!$B$6:$B$1005,0)),0),"")))</f>
        <v/>
      </c>
      <c r="I141" s="109" t="n"/>
      <c r="J141" s="72" t="n"/>
      <c r="K141" s="109" t="n"/>
      <c r="L141" s="73" t="n"/>
      <c r="M141" s="109" t="n"/>
      <c r="N141" s="73" t="n"/>
      <c r="O141" s="107">
        <f>IF(B141="","",IF(M141&lt;&gt;"","Paid",IF(AND(I141&lt;&gt;"",I141&lt;AsOf),"OVERDUE",IF(OR(K141&lt;&gt;"",L141&lt;&gt;""),"Invoiced","Scheduled"))))</f>
        <v/>
      </c>
      <c r="P141" s="115">
        <f>IF(B141="","",IF(E141&lt;&gt;"",E141,IFERROR(INDEX('Contractors'!$D$6:$D$1005,MATCH(B141,'Contractors'!$B$6:$B$1005,0)),"")))</f>
        <v/>
      </c>
      <c r="Q141" s="79">
        <f>IF(B141="","",IF(D141&lt;&gt;"",D141,IFERROR(INDEX('Contractors'!$E$6:$E$1005,MATCH(B141,'Contractors'!$B$6:$B$1005,0)),"")))</f>
        <v/>
      </c>
      <c r="R141" s="79">
        <f>IF(O141="","",IF(O141="OVERDUE",2,IF(O141="Paid",0,IF(AND(I141&lt;&gt;"",I141&lt;=AsOf+AlertDays),1,0))))</f>
        <v/>
      </c>
      <c r="S141" s="79">
        <f>IF(AND(B141&lt;&gt;"",M141="",I141&lt;&gt;""),IF(L141&lt;&gt;"",L141,IF(H141="",0,H141)),0)</f>
        <v/>
      </c>
      <c r="T141" s="79">
        <f>IF(AND(B141&lt;&gt;"",M141="",I141&lt;&gt;""),1/I141,0)</f>
        <v/>
      </c>
      <c r="U141" s="112">
        <f>IF(AND(B141&lt;&gt;"",M141="",I141&lt;&gt;""),I141,"")</f>
        <v/>
      </c>
      <c r="V141" s="79">
        <f>IF(U141="","",IF(U141&lt;AsOf,1,IF(U141&lt;=AsOf+AlertDays,2,IF(U141&lt;=AsOf+2*AlertDays,3,""))))</f>
        <v/>
      </c>
      <c r="W141" s="79">
        <f>IF(V141="","",IF(O141="OVERDUE","Overdue payment: ","Payment due: ")&amp;B141&amp;" — "&amp;C141&amp;" ("&amp;CurSym&amp;" "&amp;FIXED(S141,0)&amp;")")</f>
        <v/>
      </c>
      <c r="Z141" s="116">
        <f>IF('Contractors'!B141="","",'Contractors'!B141)</f>
        <v/>
      </c>
      <c r="AA141" s="77">
        <f>IF(Z141="","",'Contractors'!K141)</f>
        <v/>
      </c>
      <c r="AB141" s="77">
        <f>IF(Z141="","",SUMIFS($L$6:$L$1005,$B$6:$B$1005,Z141))</f>
        <v/>
      </c>
      <c r="AC141" s="77">
        <f>IF(Z141="","",SUMIFS($N$6:$N$1005,$B$6:$B$1005,Z141))</f>
        <v/>
      </c>
      <c r="AD141" s="76">
        <f>IF(Z141="","",AA141-AC141)</f>
        <v/>
      </c>
      <c r="AE141" s="117">
        <f>IF(Z141="","",IFERROR(1/SUMPRODUCT(MAX(($B$6:$B$1005=Z141)*$T$6:$T$1005)),""))</f>
        <v/>
      </c>
      <c r="AF141" s="77">
        <f>IF(AE141="","",SUMIFS($S$6:$S$1005,$B$6:$B$1005,Z141,$I$6:$I$1005,AE141))</f>
        <v/>
      </c>
    </row>
    <row r="142" ht="20" customHeight="1">
      <c r="B142" s="72" t="n"/>
      <c r="C142" s="72" t="n"/>
      <c r="D142" s="72" t="n"/>
      <c r="E142" s="72" t="n"/>
      <c r="F142" s="110" t="n"/>
      <c r="G142" s="73" t="n"/>
      <c r="H142" s="75">
        <f>IF(B142="","",IF(G142&lt;&gt;"",G142,IF(F142&lt;&gt;"",F142*IFERROR(INDEX('Contractors'!$I$6:$I$1005,MATCH(B142,'Contractors'!$B$6:$B$1005,0)),0),"")))</f>
        <v/>
      </c>
      <c r="I142" s="109" t="n"/>
      <c r="J142" s="72" t="n"/>
      <c r="K142" s="109" t="n"/>
      <c r="L142" s="73" t="n"/>
      <c r="M142" s="109" t="n"/>
      <c r="N142" s="73" t="n"/>
      <c r="O142" s="107">
        <f>IF(B142="","",IF(M142&lt;&gt;"","Paid",IF(AND(I142&lt;&gt;"",I142&lt;AsOf),"OVERDUE",IF(OR(K142&lt;&gt;"",L142&lt;&gt;""),"Invoiced","Scheduled"))))</f>
        <v/>
      </c>
      <c r="P142" s="115">
        <f>IF(B142="","",IF(E142&lt;&gt;"",E142,IFERROR(INDEX('Contractors'!$D$6:$D$1005,MATCH(B142,'Contractors'!$B$6:$B$1005,0)),"")))</f>
        <v/>
      </c>
      <c r="Q142" s="79">
        <f>IF(B142="","",IF(D142&lt;&gt;"",D142,IFERROR(INDEX('Contractors'!$E$6:$E$1005,MATCH(B142,'Contractors'!$B$6:$B$1005,0)),"")))</f>
        <v/>
      </c>
      <c r="R142" s="79">
        <f>IF(O142="","",IF(O142="OVERDUE",2,IF(O142="Paid",0,IF(AND(I142&lt;&gt;"",I142&lt;=AsOf+AlertDays),1,0))))</f>
        <v/>
      </c>
      <c r="S142" s="79">
        <f>IF(AND(B142&lt;&gt;"",M142="",I142&lt;&gt;""),IF(L142&lt;&gt;"",L142,IF(H142="",0,H142)),0)</f>
        <v/>
      </c>
      <c r="T142" s="79">
        <f>IF(AND(B142&lt;&gt;"",M142="",I142&lt;&gt;""),1/I142,0)</f>
        <v/>
      </c>
      <c r="U142" s="112">
        <f>IF(AND(B142&lt;&gt;"",M142="",I142&lt;&gt;""),I142,"")</f>
        <v/>
      </c>
      <c r="V142" s="79">
        <f>IF(U142="","",IF(U142&lt;AsOf,1,IF(U142&lt;=AsOf+AlertDays,2,IF(U142&lt;=AsOf+2*AlertDays,3,""))))</f>
        <v/>
      </c>
      <c r="W142" s="79">
        <f>IF(V142="","",IF(O142="OVERDUE","Overdue payment: ","Payment due: ")&amp;B142&amp;" — "&amp;C142&amp;" ("&amp;CurSym&amp;" "&amp;FIXED(S142,0)&amp;")")</f>
        <v/>
      </c>
      <c r="Z142" s="116">
        <f>IF('Contractors'!B142="","",'Contractors'!B142)</f>
        <v/>
      </c>
      <c r="AA142" s="77">
        <f>IF(Z142="","",'Contractors'!K142)</f>
        <v/>
      </c>
      <c r="AB142" s="77">
        <f>IF(Z142="","",SUMIFS($L$6:$L$1005,$B$6:$B$1005,Z142))</f>
        <v/>
      </c>
      <c r="AC142" s="77">
        <f>IF(Z142="","",SUMIFS($N$6:$N$1005,$B$6:$B$1005,Z142))</f>
        <v/>
      </c>
      <c r="AD142" s="76">
        <f>IF(Z142="","",AA142-AC142)</f>
        <v/>
      </c>
      <c r="AE142" s="117">
        <f>IF(Z142="","",IFERROR(1/SUMPRODUCT(MAX(($B$6:$B$1005=Z142)*$T$6:$T$1005)),""))</f>
        <v/>
      </c>
      <c r="AF142" s="77">
        <f>IF(AE142="","",SUMIFS($S$6:$S$1005,$B$6:$B$1005,Z142,$I$6:$I$1005,AE142))</f>
        <v/>
      </c>
    </row>
    <row r="143" ht="20" customHeight="1">
      <c r="B143" s="72" t="n"/>
      <c r="C143" s="72" t="n"/>
      <c r="D143" s="72" t="n"/>
      <c r="E143" s="72" t="n"/>
      <c r="F143" s="110" t="n"/>
      <c r="G143" s="73" t="n"/>
      <c r="H143" s="75">
        <f>IF(B143="","",IF(G143&lt;&gt;"",G143,IF(F143&lt;&gt;"",F143*IFERROR(INDEX('Contractors'!$I$6:$I$1005,MATCH(B143,'Contractors'!$B$6:$B$1005,0)),0),"")))</f>
        <v/>
      </c>
      <c r="I143" s="109" t="n"/>
      <c r="J143" s="72" t="n"/>
      <c r="K143" s="109" t="n"/>
      <c r="L143" s="73" t="n"/>
      <c r="M143" s="109" t="n"/>
      <c r="N143" s="73" t="n"/>
      <c r="O143" s="107">
        <f>IF(B143="","",IF(M143&lt;&gt;"","Paid",IF(AND(I143&lt;&gt;"",I143&lt;AsOf),"OVERDUE",IF(OR(K143&lt;&gt;"",L143&lt;&gt;""),"Invoiced","Scheduled"))))</f>
        <v/>
      </c>
      <c r="P143" s="115">
        <f>IF(B143="","",IF(E143&lt;&gt;"",E143,IFERROR(INDEX('Contractors'!$D$6:$D$1005,MATCH(B143,'Contractors'!$B$6:$B$1005,0)),"")))</f>
        <v/>
      </c>
      <c r="Q143" s="79">
        <f>IF(B143="","",IF(D143&lt;&gt;"",D143,IFERROR(INDEX('Contractors'!$E$6:$E$1005,MATCH(B143,'Contractors'!$B$6:$B$1005,0)),"")))</f>
        <v/>
      </c>
      <c r="R143" s="79">
        <f>IF(O143="","",IF(O143="OVERDUE",2,IF(O143="Paid",0,IF(AND(I143&lt;&gt;"",I143&lt;=AsOf+AlertDays),1,0))))</f>
        <v/>
      </c>
      <c r="S143" s="79">
        <f>IF(AND(B143&lt;&gt;"",M143="",I143&lt;&gt;""),IF(L143&lt;&gt;"",L143,IF(H143="",0,H143)),0)</f>
        <v/>
      </c>
      <c r="T143" s="79">
        <f>IF(AND(B143&lt;&gt;"",M143="",I143&lt;&gt;""),1/I143,0)</f>
        <v/>
      </c>
      <c r="U143" s="112">
        <f>IF(AND(B143&lt;&gt;"",M143="",I143&lt;&gt;""),I143,"")</f>
        <v/>
      </c>
      <c r="V143" s="79">
        <f>IF(U143="","",IF(U143&lt;AsOf,1,IF(U143&lt;=AsOf+AlertDays,2,IF(U143&lt;=AsOf+2*AlertDays,3,""))))</f>
        <v/>
      </c>
      <c r="W143" s="79">
        <f>IF(V143="","",IF(O143="OVERDUE","Overdue payment: ","Payment due: ")&amp;B143&amp;" — "&amp;C143&amp;" ("&amp;CurSym&amp;" "&amp;FIXED(S143,0)&amp;")")</f>
        <v/>
      </c>
      <c r="Z143" s="116">
        <f>IF('Contractors'!B143="","",'Contractors'!B143)</f>
        <v/>
      </c>
      <c r="AA143" s="77">
        <f>IF(Z143="","",'Contractors'!K143)</f>
        <v/>
      </c>
      <c r="AB143" s="77">
        <f>IF(Z143="","",SUMIFS($L$6:$L$1005,$B$6:$B$1005,Z143))</f>
        <v/>
      </c>
      <c r="AC143" s="77">
        <f>IF(Z143="","",SUMIFS($N$6:$N$1005,$B$6:$B$1005,Z143))</f>
        <v/>
      </c>
      <c r="AD143" s="76">
        <f>IF(Z143="","",AA143-AC143)</f>
        <v/>
      </c>
      <c r="AE143" s="117">
        <f>IF(Z143="","",IFERROR(1/SUMPRODUCT(MAX(($B$6:$B$1005=Z143)*$T$6:$T$1005)),""))</f>
        <v/>
      </c>
      <c r="AF143" s="77">
        <f>IF(AE143="","",SUMIFS($S$6:$S$1005,$B$6:$B$1005,Z143,$I$6:$I$1005,AE143))</f>
        <v/>
      </c>
    </row>
    <row r="144" ht="20" customHeight="1">
      <c r="B144" s="72" t="n"/>
      <c r="C144" s="72" t="n"/>
      <c r="D144" s="72" t="n"/>
      <c r="E144" s="72" t="n"/>
      <c r="F144" s="110" t="n"/>
      <c r="G144" s="73" t="n"/>
      <c r="H144" s="75">
        <f>IF(B144="","",IF(G144&lt;&gt;"",G144,IF(F144&lt;&gt;"",F144*IFERROR(INDEX('Contractors'!$I$6:$I$1005,MATCH(B144,'Contractors'!$B$6:$B$1005,0)),0),"")))</f>
        <v/>
      </c>
      <c r="I144" s="109" t="n"/>
      <c r="J144" s="72" t="n"/>
      <c r="K144" s="109" t="n"/>
      <c r="L144" s="73" t="n"/>
      <c r="M144" s="109" t="n"/>
      <c r="N144" s="73" t="n"/>
      <c r="O144" s="107">
        <f>IF(B144="","",IF(M144&lt;&gt;"","Paid",IF(AND(I144&lt;&gt;"",I144&lt;AsOf),"OVERDUE",IF(OR(K144&lt;&gt;"",L144&lt;&gt;""),"Invoiced","Scheduled"))))</f>
        <v/>
      </c>
      <c r="P144" s="115">
        <f>IF(B144="","",IF(E144&lt;&gt;"",E144,IFERROR(INDEX('Contractors'!$D$6:$D$1005,MATCH(B144,'Contractors'!$B$6:$B$1005,0)),"")))</f>
        <v/>
      </c>
      <c r="Q144" s="79">
        <f>IF(B144="","",IF(D144&lt;&gt;"",D144,IFERROR(INDEX('Contractors'!$E$6:$E$1005,MATCH(B144,'Contractors'!$B$6:$B$1005,0)),"")))</f>
        <v/>
      </c>
      <c r="R144" s="79">
        <f>IF(O144="","",IF(O144="OVERDUE",2,IF(O144="Paid",0,IF(AND(I144&lt;&gt;"",I144&lt;=AsOf+AlertDays),1,0))))</f>
        <v/>
      </c>
      <c r="S144" s="79">
        <f>IF(AND(B144&lt;&gt;"",M144="",I144&lt;&gt;""),IF(L144&lt;&gt;"",L144,IF(H144="",0,H144)),0)</f>
        <v/>
      </c>
      <c r="T144" s="79">
        <f>IF(AND(B144&lt;&gt;"",M144="",I144&lt;&gt;""),1/I144,0)</f>
        <v/>
      </c>
      <c r="U144" s="112">
        <f>IF(AND(B144&lt;&gt;"",M144="",I144&lt;&gt;""),I144,"")</f>
        <v/>
      </c>
      <c r="V144" s="79">
        <f>IF(U144="","",IF(U144&lt;AsOf,1,IF(U144&lt;=AsOf+AlertDays,2,IF(U144&lt;=AsOf+2*AlertDays,3,""))))</f>
        <v/>
      </c>
      <c r="W144" s="79">
        <f>IF(V144="","",IF(O144="OVERDUE","Overdue payment: ","Payment due: ")&amp;B144&amp;" — "&amp;C144&amp;" ("&amp;CurSym&amp;" "&amp;FIXED(S144,0)&amp;")")</f>
        <v/>
      </c>
      <c r="Z144" s="116">
        <f>IF('Contractors'!B144="","",'Contractors'!B144)</f>
        <v/>
      </c>
      <c r="AA144" s="77">
        <f>IF(Z144="","",'Contractors'!K144)</f>
        <v/>
      </c>
      <c r="AB144" s="77">
        <f>IF(Z144="","",SUMIFS($L$6:$L$1005,$B$6:$B$1005,Z144))</f>
        <v/>
      </c>
      <c r="AC144" s="77">
        <f>IF(Z144="","",SUMIFS($N$6:$N$1005,$B$6:$B$1005,Z144))</f>
        <v/>
      </c>
      <c r="AD144" s="76">
        <f>IF(Z144="","",AA144-AC144)</f>
        <v/>
      </c>
      <c r="AE144" s="117">
        <f>IF(Z144="","",IFERROR(1/SUMPRODUCT(MAX(($B$6:$B$1005=Z144)*$T$6:$T$1005)),""))</f>
        <v/>
      </c>
      <c r="AF144" s="77">
        <f>IF(AE144="","",SUMIFS($S$6:$S$1005,$B$6:$B$1005,Z144,$I$6:$I$1005,AE144))</f>
        <v/>
      </c>
    </row>
    <row r="145" ht="20" customHeight="1">
      <c r="B145" s="72" t="n"/>
      <c r="C145" s="72" t="n"/>
      <c r="D145" s="72" t="n"/>
      <c r="E145" s="72" t="n"/>
      <c r="F145" s="110" t="n"/>
      <c r="G145" s="73" t="n"/>
      <c r="H145" s="75">
        <f>IF(B145="","",IF(G145&lt;&gt;"",G145,IF(F145&lt;&gt;"",F145*IFERROR(INDEX('Contractors'!$I$6:$I$1005,MATCH(B145,'Contractors'!$B$6:$B$1005,0)),0),"")))</f>
        <v/>
      </c>
      <c r="I145" s="109" t="n"/>
      <c r="J145" s="72" t="n"/>
      <c r="K145" s="109" t="n"/>
      <c r="L145" s="73" t="n"/>
      <c r="M145" s="109" t="n"/>
      <c r="N145" s="73" t="n"/>
      <c r="O145" s="107">
        <f>IF(B145="","",IF(M145&lt;&gt;"","Paid",IF(AND(I145&lt;&gt;"",I145&lt;AsOf),"OVERDUE",IF(OR(K145&lt;&gt;"",L145&lt;&gt;""),"Invoiced","Scheduled"))))</f>
        <v/>
      </c>
      <c r="P145" s="115">
        <f>IF(B145="","",IF(E145&lt;&gt;"",E145,IFERROR(INDEX('Contractors'!$D$6:$D$1005,MATCH(B145,'Contractors'!$B$6:$B$1005,0)),"")))</f>
        <v/>
      </c>
      <c r="Q145" s="79">
        <f>IF(B145="","",IF(D145&lt;&gt;"",D145,IFERROR(INDEX('Contractors'!$E$6:$E$1005,MATCH(B145,'Contractors'!$B$6:$B$1005,0)),"")))</f>
        <v/>
      </c>
      <c r="R145" s="79">
        <f>IF(O145="","",IF(O145="OVERDUE",2,IF(O145="Paid",0,IF(AND(I145&lt;&gt;"",I145&lt;=AsOf+AlertDays),1,0))))</f>
        <v/>
      </c>
      <c r="S145" s="79">
        <f>IF(AND(B145&lt;&gt;"",M145="",I145&lt;&gt;""),IF(L145&lt;&gt;"",L145,IF(H145="",0,H145)),0)</f>
        <v/>
      </c>
      <c r="T145" s="79">
        <f>IF(AND(B145&lt;&gt;"",M145="",I145&lt;&gt;""),1/I145,0)</f>
        <v/>
      </c>
      <c r="U145" s="112">
        <f>IF(AND(B145&lt;&gt;"",M145="",I145&lt;&gt;""),I145,"")</f>
        <v/>
      </c>
      <c r="V145" s="79">
        <f>IF(U145="","",IF(U145&lt;AsOf,1,IF(U145&lt;=AsOf+AlertDays,2,IF(U145&lt;=AsOf+2*AlertDays,3,""))))</f>
        <v/>
      </c>
      <c r="W145" s="79">
        <f>IF(V145="","",IF(O145="OVERDUE","Overdue payment: ","Payment due: ")&amp;B145&amp;" — "&amp;C145&amp;" ("&amp;CurSym&amp;" "&amp;FIXED(S145,0)&amp;")")</f>
        <v/>
      </c>
      <c r="Z145" s="116">
        <f>IF('Contractors'!B145="","",'Contractors'!B145)</f>
        <v/>
      </c>
      <c r="AA145" s="77">
        <f>IF(Z145="","",'Contractors'!K145)</f>
        <v/>
      </c>
      <c r="AB145" s="77">
        <f>IF(Z145="","",SUMIFS($L$6:$L$1005,$B$6:$B$1005,Z145))</f>
        <v/>
      </c>
      <c r="AC145" s="77">
        <f>IF(Z145="","",SUMIFS($N$6:$N$1005,$B$6:$B$1005,Z145))</f>
        <v/>
      </c>
      <c r="AD145" s="76">
        <f>IF(Z145="","",AA145-AC145)</f>
        <v/>
      </c>
      <c r="AE145" s="117">
        <f>IF(Z145="","",IFERROR(1/SUMPRODUCT(MAX(($B$6:$B$1005=Z145)*$T$6:$T$1005)),""))</f>
        <v/>
      </c>
      <c r="AF145" s="77">
        <f>IF(AE145="","",SUMIFS($S$6:$S$1005,$B$6:$B$1005,Z145,$I$6:$I$1005,AE145))</f>
        <v/>
      </c>
    </row>
    <row r="146" ht="20" customHeight="1">
      <c r="B146" s="72" t="n"/>
      <c r="C146" s="72" t="n"/>
      <c r="D146" s="72" t="n"/>
      <c r="E146" s="72" t="n"/>
      <c r="F146" s="110" t="n"/>
      <c r="G146" s="73" t="n"/>
      <c r="H146" s="75">
        <f>IF(B146="","",IF(G146&lt;&gt;"",G146,IF(F146&lt;&gt;"",F146*IFERROR(INDEX('Contractors'!$I$6:$I$1005,MATCH(B146,'Contractors'!$B$6:$B$1005,0)),0),"")))</f>
        <v/>
      </c>
      <c r="I146" s="109" t="n"/>
      <c r="J146" s="72" t="n"/>
      <c r="K146" s="109" t="n"/>
      <c r="L146" s="73" t="n"/>
      <c r="M146" s="109" t="n"/>
      <c r="N146" s="73" t="n"/>
      <c r="O146" s="107">
        <f>IF(B146="","",IF(M146&lt;&gt;"","Paid",IF(AND(I146&lt;&gt;"",I146&lt;AsOf),"OVERDUE",IF(OR(K146&lt;&gt;"",L146&lt;&gt;""),"Invoiced","Scheduled"))))</f>
        <v/>
      </c>
      <c r="P146" s="115">
        <f>IF(B146="","",IF(E146&lt;&gt;"",E146,IFERROR(INDEX('Contractors'!$D$6:$D$1005,MATCH(B146,'Contractors'!$B$6:$B$1005,0)),"")))</f>
        <v/>
      </c>
      <c r="Q146" s="79">
        <f>IF(B146="","",IF(D146&lt;&gt;"",D146,IFERROR(INDEX('Contractors'!$E$6:$E$1005,MATCH(B146,'Contractors'!$B$6:$B$1005,0)),"")))</f>
        <v/>
      </c>
      <c r="R146" s="79">
        <f>IF(O146="","",IF(O146="OVERDUE",2,IF(O146="Paid",0,IF(AND(I146&lt;&gt;"",I146&lt;=AsOf+AlertDays),1,0))))</f>
        <v/>
      </c>
      <c r="S146" s="79">
        <f>IF(AND(B146&lt;&gt;"",M146="",I146&lt;&gt;""),IF(L146&lt;&gt;"",L146,IF(H146="",0,H146)),0)</f>
        <v/>
      </c>
      <c r="T146" s="79">
        <f>IF(AND(B146&lt;&gt;"",M146="",I146&lt;&gt;""),1/I146,0)</f>
        <v/>
      </c>
      <c r="U146" s="112">
        <f>IF(AND(B146&lt;&gt;"",M146="",I146&lt;&gt;""),I146,"")</f>
        <v/>
      </c>
      <c r="V146" s="79">
        <f>IF(U146="","",IF(U146&lt;AsOf,1,IF(U146&lt;=AsOf+AlertDays,2,IF(U146&lt;=AsOf+2*AlertDays,3,""))))</f>
        <v/>
      </c>
      <c r="W146" s="79">
        <f>IF(V146="","",IF(O146="OVERDUE","Overdue payment: ","Payment due: ")&amp;B146&amp;" — "&amp;C146&amp;" ("&amp;CurSym&amp;" "&amp;FIXED(S146,0)&amp;")")</f>
        <v/>
      </c>
      <c r="Z146" s="116">
        <f>IF('Contractors'!B146="","",'Contractors'!B146)</f>
        <v/>
      </c>
      <c r="AA146" s="77">
        <f>IF(Z146="","",'Contractors'!K146)</f>
        <v/>
      </c>
      <c r="AB146" s="77">
        <f>IF(Z146="","",SUMIFS($L$6:$L$1005,$B$6:$B$1005,Z146))</f>
        <v/>
      </c>
      <c r="AC146" s="77">
        <f>IF(Z146="","",SUMIFS($N$6:$N$1005,$B$6:$B$1005,Z146))</f>
        <v/>
      </c>
      <c r="AD146" s="76">
        <f>IF(Z146="","",AA146-AC146)</f>
        <v/>
      </c>
      <c r="AE146" s="117">
        <f>IF(Z146="","",IFERROR(1/SUMPRODUCT(MAX(($B$6:$B$1005=Z146)*$T$6:$T$1005)),""))</f>
        <v/>
      </c>
      <c r="AF146" s="77">
        <f>IF(AE146="","",SUMIFS($S$6:$S$1005,$B$6:$B$1005,Z146,$I$6:$I$1005,AE146))</f>
        <v/>
      </c>
    </row>
    <row r="147" ht="20" customHeight="1">
      <c r="B147" s="72" t="n"/>
      <c r="C147" s="72" t="n"/>
      <c r="D147" s="72" t="n"/>
      <c r="E147" s="72" t="n"/>
      <c r="F147" s="110" t="n"/>
      <c r="G147" s="73" t="n"/>
      <c r="H147" s="75">
        <f>IF(B147="","",IF(G147&lt;&gt;"",G147,IF(F147&lt;&gt;"",F147*IFERROR(INDEX('Contractors'!$I$6:$I$1005,MATCH(B147,'Contractors'!$B$6:$B$1005,0)),0),"")))</f>
        <v/>
      </c>
      <c r="I147" s="109" t="n"/>
      <c r="J147" s="72" t="n"/>
      <c r="K147" s="109" t="n"/>
      <c r="L147" s="73" t="n"/>
      <c r="M147" s="109" t="n"/>
      <c r="N147" s="73" t="n"/>
      <c r="O147" s="107">
        <f>IF(B147="","",IF(M147&lt;&gt;"","Paid",IF(AND(I147&lt;&gt;"",I147&lt;AsOf),"OVERDUE",IF(OR(K147&lt;&gt;"",L147&lt;&gt;""),"Invoiced","Scheduled"))))</f>
        <v/>
      </c>
      <c r="P147" s="115">
        <f>IF(B147="","",IF(E147&lt;&gt;"",E147,IFERROR(INDEX('Contractors'!$D$6:$D$1005,MATCH(B147,'Contractors'!$B$6:$B$1005,0)),"")))</f>
        <v/>
      </c>
      <c r="Q147" s="79">
        <f>IF(B147="","",IF(D147&lt;&gt;"",D147,IFERROR(INDEX('Contractors'!$E$6:$E$1005,MATCH(B147,'Contractors'!$B$6:$B$1005,0)),"")))</f>
        <v/>
      </c>
      <c r="R147" s="79">
        <f>IF(O147="","",IF(O147="OVERDUE",2,IF(O147="Paid",0,IF(AND(I147&lt;&gt;"",I147&lt;=AsOf+AlertDays),1,0))))</f>
        <v/>
      </c>
      <c r="S147" s="79">
        <f>IF(AND(B147&lt;&gt;"",M147="",I147&lt;&gt;""),IF(L147&lt;&gt;"",L147,IF(H147="",0,H147)),0)</f>
        <v/>
      </c>
      <c r="T147" s="79">
        <f>IF(AND(B147&lt;&gt;"",M147="",I147&lt;&gt;""),1/I147,0)</f>
        <v/>
      </c>
      <c r="U147" s="112">
        <f>IF(AND(B147&lt;&gt;"",M147="",I147&lt;&gt;""),I147,"")</f>
        <v/>
      </c>
      <c r="V147" s="79">
        <f>IF(U147="","",IF(U147&lt;AsOf,1,IF(U147&lt;=AsOf+AlertDays,2,IF(U147&lt;=AsOf+2*AlertDays,3,""))))</f>
        <v/>
      </c>
      <c r="W147" s="79">
        <f>IF(V147="","",IF(O147="OVERDUE","Overdue payment: ","Payment due: ")&amp;B147&amp;" — "&amp;C147&amp;" ("&amp;CurSym&amp;" "&amp;FIXED(S147,0)&amp;")")</f>
        <v/>
      </c>
      <c r="Z147" s="116">
        <f>IF('Contractors'!B147="","",'Contractors'!B147)</f>
        <v/>
      </c>
      <c r="AA147" s="77">
        <f>IF(Z147="","",'Contractors'!K147)</f>
        <v/>
      </c>
      <c r="AB147" s="77">
        <f>IF(Z147="","",SUMIFS($L$6:$L$1005,$B$6:$B$1005,Z147))</f>
        <v/>
      </c>
      <c r="AC147" s="77">
        <f>IF(Z147="","",SUMIFS($N$6:$N$1005,$B$6:$B$1005,Z147))</f>
        <v/>
      </c>
      <c r="AD147" s="76">
        <f>IF(Z147="","",AA147-AC147)</f>
        <v/>
      </c>
      <c r="AE147" s="117">
        <f>IF(Z147="","",IFERROR(1/SUMPRODUCT(MAX(($B$6:$B$1005=Z147)*$T$6:$T$1005)),""))</f>
        <v/>
      </c>
      <c r="AF147" s="77">
        <f>IF(AE147="","",SUMIFS($S$6:$S$1005,$B$6:$B$1005,Z147,$I$6:$I$1005,AE147))</f>
        <v/>
      </c>
    </row>
    <row r="148" ht="20" customHeight="1">
      <c r="B148" s="72" t="n"/>
      <c r="C148" s="72" t="n"/>
      <c r="D148" s="72" t="n"/>
      <c r="E148" s="72" t="n"/>
      <c r="F148" s="110" t="n"/>
      <c r="G148" s="73" t="n"/>
      <c r="H148" s="75">
        <f>IF(B148="","",IF(G148&lt;&gt;"",G148,IF(F148&lt;&gt;"",F148*IFERROR(INDEX('Contractors'!$I$6:$I$1005,MATCH(B148,'Contractors'!$B$6:$B$1005,0)),0),"")))</f>
        <v/>
      </c>
      <c r="I148" s="109" t="n"/>
      <c r="J148" s="72" t="n"/>
      <c r="K148" s="109" t="n"/>
      <c r="L148" s="73" t="n"/>
      <c r="M148" s="109" t="n"/>
      <c r="N148" s="73" t="n"/>
      <c r="O148" s="107">
        <f>IF(B148="","",IF(M148&lt;&gt;"","Paid",IF(AND(I148&lt;&gt;"",I148&lt;AsOf),"OVERDUE",IF(OR(K148&lt;&gt;"",L148&lt;&gt;""),"Invoiced","Scheduled"))))</f>
        <v/>
      </c>
      <c r="P148" s="115">
        <f>IF(B148="","",IF(E148&lt;&gt;"",E148,IFERROR(INDEX('Contractors'!$D$6:$D$1005,MATCH(B148,'Contractors'!$B$6:$B$1005,0)),"")))</f>
        <v/>
      </c>
      <c r="Q148" s="79">
        <f>IF(B148="","",IF(D148&lt;&gt;"",D148,IFERROR(INDEX('Contractors'!$E$6:$E$1005,MATCH(B148,'Contractors'!$B$6:$B$1005,0)),"")))</f>
        <v/>
      </c>
      <c r="R148" s="79">
        <f>IF(O148="","",IF(O148="OVERDUE",2,IF(O148="Paid",0,IF(AND(I148&lt;&gt;"",I148&lt;=AsOf+AlertDays),1,0))))</f>
        <v/>
      </c>
      <c r="S148" s="79">
        <f>IF(AND(B148&lt;&gt;"",M148="",I148&lt;&gt;""),IF(L148&lt;&gt;"",L148,IF(H148="",0,H148)),0)</f>
        <v/>
      </c>
      <c r="T148" s="79">
        <f>IF(AND(B148&lt;&gt;"",M148="",I148&lt;&gt;""),1/I148,0)</f>
        <v/>
      </c>
      <c r="U148" s="112">
        <f>IF(AND(B148&lt;&gt;"",M148="",I148&lt;&gt;""),I148,"")</f>
        <v/>
      </c>
      <c r="V148" s="79">
        <f>IF(U148="","",IF(U148&lt;AsOf,1,IF(U148&lt;=AsOf+AlertDays,2,IF(U148&lt;=AsOf+2*AlertDays,3,""))))</f>
        <v/>
      </c>
      <c r="W148" s="79">
        <f>IF(V148="","",IF(O148="OVERDUE","Overdue payment: ","Payment due: ")&amp;B148&amp;" — "&amp;C148&amp;" ("&amp;CurSym&amp;" "&amp;FIXED(S148,0)&amp;")")</f>
        <v/>
      </c>
      <c r="Z148" s="116">
        <f>IF('Contractors'!B148="","",'Contractors'!B148)</f>
        <v/>
      </c>
      <c r="AA148" s="77">
        <f>IF(Z148="","",'Contractors'!K148)</f>
        <v/>
      </c>
      <c r="AB148" s="77">
        <f>IF(Z148="","",SUMIFS($L$6:$L$1005,$B$6:$B$1005,Z148))</f>
        <v/>
      </c>
      <c r="AC148" s="77">
        <f>IF(Z148="","",SUMIFS($N$6:$N$1005,$B$6:$B$1005,Z148))</f>
        <v/>
      </c>
      <c r="AD148" s="76">
        <f>IF(Z148="","",AA148-AC148)</f>
        <v/>
      </c>
      <c r="AE148" s="117">
        <f>IF(Z148="","",IFERROR(1/SUMPRODUCT(MAX(($B$6:$B$1005=Z148)*$T$6:$T$1005)),""))</f>
        <v/>
      </c>
      <c r="AF148" s="77">
        <f>IF(AE148="","",SUMIFS($S$6:$S$1005,$B$6:$B$1005,Z148,$I$6:$I$1005,AE148))</f>
        <v/>
      </c>
    </row>
    <row r="149" ht="20" customHeight="1">
      <c r="B149" s="72" t="n"/>
      <c r="C149" s="72" t="n"/>
      <c r="D149" s="72" t="n"/>
      <c r="E149" s="72" t="n"/>
      <c r="F149" s="110" t="n"/>
      <c r="G149" s="73" t="n"/>
      <c r="H149" s="75">
        <f>IF(B149="","",IF(G149&lt;&gt;"",G149,IF(F149&lt;&gt;"",F149*IFERROR(INDEX('Contractors'!$I$6:$I$1005,MATCH(B149,'Contractors'!$B$6:$B$1005,0)),0),"")))</f>
        <v/>
      </c>
      <c r="I149" s="109" t="n"/>
      <c r="J149" s="72" t="n"/>
      <c r="K149" s="109" t="n"/>
      <c r="L149" s="73" t="n"/>
      <c r="M149" s="109" t="n"/>
      <c r="N149" s="73" t="n"/>
      <c r="O149" s="107">
        <f>IF(B149="","",IF(M149&lt;&gt;"","Paid",IF(AND(I149&lt;&gt;"",I149&lt;AsOf),"OVERDUE",IF(OR(K149&lt;&gt;"",L149&lt;&gt;""),"Invoiced","Scheduled"))))</f>
        <v/>
      </c>
      <c r="P149" s="115">
        <f>IF(B149="","",IF(E149&lt;&gt;"",E149,IFERROR(INDEX('Contractors'!$D$6:$D$1005,MATCH(B149,'Contractors'!$B$6:$B$1005,0)),"")))</f>
        <v/>
      </c>
      <c r="Q149" s="79">
        <f>IF(B149="","",IF(D149&lt;&gt;"",D149,IFERROR(INDEX('Contractors'!$E$6:$E$1005,MATCH(B149,'Contractors'!$B$6:$B$1005,0)),"")))</f>
        <v/>
      </c>
      <c r="R149" s="79">
        <f>IF(O149="","",IF(O149="OVERDUE",2,IF(O149="Paid",0,IF(AND(I149&lt;&gt;"",I149&lt;=AsOf+AlertDays),1,0))))</f>
        <v/>
      </c>
      <c r="S149" s="79">
        <f>IF(AND(B149&lt;&gt;"",M149="",I149&lt;&gt;""),IF(L149&lt;&gt;"",L149,IF(H149="",0,H149)),0)</f>
        <v/>
      </c>
      <c r="T149" s="79">
        <f>IF(AND(B149&lt;&gt;"",M149="",I149&lt;&gt;""),1/I149,0)</f>
        <v/>
      </c>
      <c r="U149" s="112">
        <f>IF(AND(B149&lt;&gt;"",M149="",I149&lt;&gt;""),I149,"")</f>
        <v/>
      </c>
      <c r="V149" s="79">
        <f>IF(U149="","",IF(U149&lt;AsOf,1,IF(U149&lt;=AsOf+AlertDays,2,IF(U149&lt;=AsOf+2*AlertDays,3,""))))</f>
        <v/>
      </c>
      <c r="W149" s="79">
        <f>IF(V149="","",IF(O149="OVERDUE","Overdue payment: ","Payment due: ")&amp;B149&amp;" — "&amp;C149&amp;" ("&amp;CurSym&amp;" "&amp;FIXED(S149,0)&amp;")")</f>
        <v/>
      </c>
      <c r="Z149" s="116">
        <f>IF('Contractors'!B149="","",'Contractors'!B149)</f>
        <v/>
      </c>
      <c r="AA149" s="77">
        <f>IF(Z149="","",'Contractors'!K149)</f>
        <v/>
      </c>
      <c r="AB149" s="77">
        <f>IF(Z149="","",SUMIFS($L$6:$L$1005,$B$6:$B$1005,Z149))</f>
        <v/>
      </c>
      <c r="AC149" s="77">
        <f>IF(Z149="","",SUMIFS($N$6:$N$1005,$B$6:$B$1005,Z149))</f>
        <v/>
      </c>
      <c r="AD149" s="76">
        <f>IF(Z149="","",AA149-AC149)</f>
        <v/>
      </c>
      <c r="AE149" s="117">
        <f>IF(Z149="","",IFERROR(1/SUMPRODUCT(MAX(($B$6:$B$1005=Z149)*$T$6:$T$1005)),""))</f>
        <v/>
      </c>
      <c r="AF149" s="77">
        <f>IF(AE149="","",SUMIFS($S$6:$S$1005,$B$6:$B$1005,Z149,$I$6:$I$1005,AE149))</f>
        <v/>
      </c>
    </row>
    <row r="150" ht="20" customHeight="1">
      <c r="B150" s="72" t="n"/>
      <c r="C150" s="72" t="n"/>
      <c r="D150" s="72" t="n"/>
      <c r="E150" s="72" t="n"/>
      <c r="F150" s="110" t="n"/>
      <c r="G150" s="73" t="n"/>
      <c r="H150" s="75">
        <f>IF(B150="","",IF(G150&lt;&gt;"",G150,IF(F150&lt;&gt;"",F150*IFERROR(INDEX('Contractors'!$I$6:$I$1005,MATCH(B150,'Contractors'!$B$6:$B$1005,0)),0),"")))</f>
        <v/>
      </c>
      <c r="I150" s="109" t="n"/>
      <c r="J150" s="72" t="n"/>
      <c r="K150" s="109" t="n"/>
      <c r="L150" s="73" t="n"/>
      <c r="M150" s="109" t="n"/>
      <c r="N150" s="73" t="n"/>
      <c r="O150" s="107">
        <f>IF(B150="","",IF(M150&lt;&gt;"","Paid",IF(AND(I150&lt;&gt;"",I150&lt;AsOf),"OVERDUE",IF(OR(K150&lt;&gt;"",L150&lt;&gt;""),"Invoiced","Scheduled"))))</f>
        <v/>
      </c>
      <c r="P150" s="115">
        <f>IF(B150="","",IF(E150&lt;&gt;"",E150,IFERROR(INDEX('Contractors'!$D$6:$D$1005,MATCH(B150,'Contractors'!$B$6:$B$1005,0)),"")))</f>
        <v/>
      </c>
      <c r="Q150" s="79">
        <f>IF(B150="","",IF(D150&lt;&gt;"",D150,IFERROR(INDEX('Contractors'!$E$6:$E$1005,MATCH(B150,'Contractors'!$B$6:$B$1005,0)),"")))</f>
        <v/>
      </c>
      <c r="R150" s="79">
        <f>IF(O150="","",IF(O150="OVERDUE",2,IF(O150="Paid",0,IF(AND(I150&lt;&gt;"",I150&lt;=AsOf+AlertDays),1,0))))</f>
        <v/>
      </c>
      <c r="S150" s="79">
        <f>IF(AND(B150&lt;&gt;"",M150="",I150&lt;&gt;""),IF(L150&lt;&gt;"",L150,IF(H150="",0,H150)),0)</f>
        <v/>
      </c>
      <c r="T150" s="79">
        <f>IF(AND(B150&lt;&gt;"",M150="",I150&lt;&gt;""),1/I150,0)</f>
        <v/>
      </c>
      <c r="U150" s="112">
        <f>IF(AND(B150&lt;&gt;"",M150="",I150&lt;&gt;""),I150,"")</f>
        <v/>
      </c>
      <c r="V150" s="79">
        <f>IF(U150="","",IF(U150&lt;AsOf,1,IF(U150&lt;=AsOf+AlertDays,2,IF(U150&lt;=AsOf+2*AlertDays,3,""))))</f>
        <v/>
      </c>
      <c r="W150" s="79">
        <f>IF(V150="","",IF(O150="OVERDUE","Overdue payment: ","Payment due: ")&amp;B150&amp;" — "&amp;C150&amp;" ("&amp;CurSym&amp;" "&amp;FIXED(S150,0)&amp;")")</f>
        <v/>
      </c>
      <c r="Z150" s="116">
        <f>IF('Contractors'!B150="","",'Contractors'!B150)</f>
        <v/>
      </c>
      <c r="AA150" s="77">
        <f>IF(Z150="","",'Contractors'!K150)</f>
        <v/>
      </c>
      <c r="AB150" s="77">
        <f>IF(Z150="","",SUMIFS($L$6:$L$1005,$B$6:$B$1005,Z150))</f>
        <v/>
      </c>
      <c r="AC150" s="77">
        <f>IF(Z150="","",SUMIFS($N$6:$N$1005,$B$6:$B$1005,Z150))</f>
        <v/>
      </c>
      <c r="AD150" s="76">
        <f>IF(Z150="","",AA150-AC150)</f>
        <v/>
      </c>
      <c r="AE150" s="117">
        <f>IF(Z150="","",IFERROR(1/SUMPRODUCT(MAX(($B$6:$B$1005=Z150)*$T$6:$T$1005)),""))</f>
        <v/>
      </c>
      <c r="AF150" s="77">
        <f>IF(AE150="","",SUMIFS($S$6:$S$1005,$B$6:$B$1005,Z150,$I$6:$I$1005,AE150))</f>
        <v/>
      </c>
    </row>
    <row r="151" ht="20" customHeight="1">
      <c r="B151" s="72" t="n"/>
      <c r="C151" s="72" t="n"/>
      <c r="D151" s="72" t="n"/>
      <c r="E151" s="72" t="n"/>
      <c r="F151" s="110" t="n"/>
      <c r="G151" s="73" t="n"/>
      <c r="H151" s="75">
        <f>IF(B151="","",IF(G151&lt;&gt;"",G151,IF(F151&lt;&gt;"",F151*IFERROR(INDEX('Contractors'!$I$6:$I$1005,MATCH(B151,'Contractors'!$B$6:$B$1005,0)),0),"")))</f>
        <v/>
      </c>
      <c r="I151" s="109" t="n"/>
      <c r="J151" s="72" t="n"/>
      <c r="K151" s="109" t="n"/>
      <c r="L151" s="73" t="n"/>
      <c r="M151" s="109" t="n"/>
      <c r="N151" s="73" t="n"/>
      <c r="O151" s="107">
        <f>IF(B151="","",IF(M151&lt;&gt;"","Paid",IF(AND(I151&lt;&gt;"",I151&lt;AsOf),"OVERDUE",IF(OR(K151&lt;&gt;"",L151&lt;&gt;""),"Invoiced","Scheduled"))))</f>
        <v/>
      </c>
      <c r="P151" s="115">
        <f>IF(B151="","",IF(E151&lt;&gt;"",E151,IFERROR(INDEX('Contractors'!$D$6:$D$1005,MATCH(B151,'Contractors'!$B$6:$B$1005,0)),"")))</f>
        <v/>
      </c>
      <c r="Q151" s="79">
        <f>IF(B151="","",IF(D151&lt;&gt;"",D151,IFERROR(INDEX('Contractors'!$E$6:$E$1005,MATCH(B151,'Contractors'!$B$6:$B$1005,0)),"")))</f>
        <v/>
      </c>
      <c r="R151" s="79">
        <f>IF(O151="","",IF(O151="OVERDUE",2,IF(O151="Paid",0,IF(AND(I151&lt;&gt;"",I151&lt;=AsOf+AlertDays),1,0))))</f>
        <v/>
      </c>
      <c r="S151" s="79">
        <f>IF(AND(B151&lt;&gt;"",M151="",I151&lt;&gt;""),IF(L151&lt;&gt;"",L151,IF(H151="",0,H151)),0)</f>
        <v/>
      </c>
      <c r="T151" s="79">
        <f>IF(AND(B151&lt;&gt;"",M151="",I151&lt;&gt;""),1/I151,0)</f>
        <v/>
      </c>
      <c r="U151" s="112">
        <f>IF(AND(B151&lt;&gt;"",M151="",I151&lt;&gt;""),I151,"")</f>
        <v/>
      </c>
      <c r="V151" s="79">
        <f>IF(U151="","",IF(U151&lt;AsOf,1,IF(U151&lt;=AsOf+AlertDays,2,IF(U151&lt;=AsOf+2*AlertDays,3,""))))</f>
        <v/>
      </c>
      <c r="W151" s="79">
        <f>IF(V151="","",IF(O151="OVERDUE","Overdue payment: ","Payment due: ")&amp;B151&amp;" — "&amp;C151&amp;" ("&amp;CurSym&amp;" "&amp;FIXED(S151,0)&amp;")")</f>
        <v/>
      </c>
      <c r="Z151" s="116">
        <f>IF('Contractors'!B151="","",'Contractors'!B151)</f>
        <v/>
      </c>
      <c r="AA151" s="77">
        <f>IF(Z151="","",'Contractors'!K151)</f>
        <v/>
      </c>
      <c r="AB151" s="77">
        <f>IF(Z151="","",SUMIFS($L$6:$L$1005,$B$6:$B$1005,Z151))</f>
        <v/>
      </c>
      <c r="AC151" s="77">
        <f>IF(Z151="","",SUMIFS($N$6:$N$1005,$B$6:$B$1005,Z151))</f>
        <v/>
      </c>
      <c r="AD151" s="76">
        <f>IF(Z151="","",AA151-AC151)</f>
        <v/>
      </c>
      <c r="AE151" s="117">
        <f>IF(Z151="","",IFERROR(1/SUMPRODUCT(MAX(($B$6:$B$1005=Z151)*$T$6:$T$1005)),""))</f>
        <v/>
      </c>
      <c r="AF151" s="77">
        <f>IF(AE151="","",SUMIFS($S$6:$S$1005,$B$6:$B$1005,Z151,$I$6:$I$1005,AE151))</f>
        <v/>
      </c>
    </row>
    <row r="152" ht="20" customHeight="1">
      <c r="B152" s="72" t="n"/>
      <c r="C152" s="72" t="n"/>
      <c r="D152" s="72" t="n"/>
      <c r="E152" s="72" t="n"/>
      <c r="F152" s="110" t="n"/>
      <c r="G152" s="73" t="n"/>
      <c r="H152" s="75">
        <f>IF(B152="","",IF(G152&lt;&gt;"",G152,IF(F152&lt;&gt;"",F152*IFERROR(INDEX('Contractors'!$I$6:$I$1005,MATCH(B152,'Contractors'!$B$6:$B$1005,0)),0),"")))</f>
        <v/>
      </c>
      <c r="I152" s="109" t="n"/>
      <c r="J152" s="72" t="n"/>
      <c r="K152" s="109" t="n"/>
      <c r="L152" s="73" t="n"/>
      <c r="M152" s="109" t="n"/>
      <c r="N152" s="73" t="n"/>
      <c r="O152" s="107">
        <f>IF(B152="","",IF(M152&lt;&gt;"","Paid",IF(AND(I152&lt;&gt;"",I152&lt;AsOf),"OVERDUE",IF(OR(K152&lt;&gt;"",L152&lt;&gt;""),"Invoiced","Scheduled"))))</f>
        <v/>
      </c>
      <c r="P152" s="115">
        <f>IF(B152="","",IF(E152&lt;&gt;"",E152,IFERROR(INDEX('Contractors'!$D$6:$D$1005,MATCH(B152,'Contractors'!$B$6:$B$1005,0)),"")))</f>
        <v/>
      </c>
      <c r="Q152" s="79">
        <f>IF(B152="","",IF(D152&lt;&gt;"",D152,IFERROR(INDEX('Contractors'!$E$6:$E$1005,MATCH(B152,'Contractors'!$B$6:$B$1005,0)),"")))</f>
        <v/>
      </c>
      <c r="R152" s="79">
        <f>IF(O152="","",IF(O152="OVERDUE",2,IF(O152="Paid",0,IF(AND(I152&lt;&gt;"",I152&lt;=AsOf+AlertDays),1,0))))</f>
        <v/>
      </c>
      <c r="S152" s="79">
        <f>IF(AND(B152&lt;&gt;"",M152="",I152&lt;&gt;""),IF(L152&lt;&gt;"",L152,IF(H152="",0,H152)),0)</f>
        <v/>
      </c>
      <c r="T152" s="79">
        <f>IF(AND(B152&lt;&gt;"",M152="",I152&lt;&gt;""),1/I152,0)</f>
        <v/>
      </c>
      <c r="U152" s="112">
        <f>IF(AND(B152&lt;&gt;"",M152="",I152&lt;&gt;""),I152,"")</f>
        <v/>
      </c>
      <c r="V152" s="79">
        <f>IF(U152="","",IF(U152&lt;AsOf,1,IF(U152&lt;=AsOf+AlertDays,2,IF(U152&lt;=AsOf+2*AlertDays,3,""))))</f>
        <v/>
      </c>
      <c r="W152" s="79">
        <f>IF(V152="","",IF(O152="OVERDUE","Overdue payment: ","Payment due: ")&amp;B152&amp;" — "&amp;C152&amp;" ("&amp;CurSym&amp;" "&amp;FIXED(S152,0)&amp;")")</f>
        <v/>
      </c>
      <c r="Z152" s="116">
        <f>IF('Contractors'!B152="","",'Contractors'!B152)</f>
        <v/>
      </c>
      <c r="AA152" s="77">
        <f>IF(Z152="","",'Contractors'!K152)</f>
        <v/>
      </c>
      <c r="AB152" s="77">
        <f>IF(Z152="","",SUMIFS($L$6:$L$1005,$B$6:$B$1005,Z152))</f>
        <v/>
      </c>
      <c r="AC152" s="77">
        <f>IF(Z152="","",SUMIFS($N$6:$N$1005,$B$6:$B$1005,Z152))</f>
        <v/>
      </c>
      <c r="AD152" s="76">
        <f>IF(Z152="","",AA152-AC152)</f>
        <v/>
      </c>
      <c r="AE152" s="117">
        <f>IF(Z152="","",IFERROR(1/SUMPRODUCT(MAX(($B$6:$B$1005=Z152)*$T$6:$T$1005)),""))</f>
        <v/>
      </c>
      <c r="AF152" s="77">
        <f>IF(AE152="","",SUMIFS($S$6:$S$1005,$B$6:$B$1005,Z152,$I$6:$I$1005,AE152))</f>
        <v/>
      </c>
    </row>
    <row r="153" ht="20" customHeight="1">
      <c r="B153" s="72" t="n"/>
      <c r="C153" s="72" t="n"/>
      <c r="D153" s="72" t="n"/>
      <c r="E153" s="72" t="n"/>
      <c r="F153" s="110" t="n"/>
      <c r="G153" s="73" t="n"/>
      <c r="H153" s="75">
        <f>IF(B153="","",IF(G153&lt;&gt;"",G153,IF(F153&lt;&gt;"",F153*IFERROR(INDEX('Contractors'!$I$6:$I$1005,MATCH(B153,'Contractors'!$B$6:$B$1005,0)),0),"")))</f>
        <v/>
      </c>
      <c r="I153" s="109" t="n"/>
      <c r="J153" s="72" t="n"/>
      <c r="K153" s="109" t="n"/>
      <c r="L153" s="73" t="n"/>
      <c r="M153" s="109" t="n"/>
      <c r="N153" s="73" t="n"/>
      <c r="O153" s="107">
        <f>IF(B153="","",IF(M153&lt;&gt;"","Paid",IF(AND(I153&lt;&gt;"",I153&lt;AsOf),"OVERDUE",IF(OR(K153&lt;&gt;"",L153&lt;&gt;""),"Invoiced","Scheduled"))))</f>
        <v/>
      </c>
      <c r="P153" s="115">
        <f>IF(B153="","",IF(E153&lt;&gt;"",E153,IFERROR(INDEX('Contractors'!$D$6:$D$1005,MATCH(B153,'Contractors'!$B$6:$B$1005,0)),"")))</f>
        <v/>
      </c>
      <c r="Q153" s="79">
        <f>IF(B153="","",IF(D153&lt;&gt;"",D153,IFERROR(INDEX('Contractors'!$E$6:$E$1005,MATCH(B153,'Contractors'!$B$6:$B$1005,0)),"")))</f>
        <v/>
      </c>
      <c r="R153" s="79">
        <f>IF(O153="","",IF(O153="OVERDUE",2,IF(O153="Paid",0,IF(AND(I153&lt;&gt;"",I153&lt;=AsOf+AlertDays),1,0))))</f>
        <v/>
      </c>
      <c r="S153" s="79">
        <f>IF(AND(B153&lt;&gt;"",M153="",I153&lt;&gt;""),IF(L153&lt;&gt;"",L153,IF(H153="",0,H153)),0)</f>
        <v/>
      </c>
      <c r="T153" s="79">
        <f>IF(AND(B153&lt;&gt;"",M153="",I153&lt;&gt;""),1/I153,0)</f>
        <v/>
      </c>
      <c r="U153" s="112">
        <f>IF(AND(B153&lt;&gt;"",M153="",I153&lt;&gt;""),I153,"")</f>
        <v/>
      </c>
      <c r="V153" s="79">
        <f>IF(U153="","",IF(U153&lt;AsOf,1,IF(U153&lt;=AsOf+AlertDays,2,IF(U153&lt;=AsOf+2*AlertDays,3,""))))</f>
        <v/>
      </c>
      <c r="W153" s="79">
        <f>IF(V153="","",IF(O153="OVERDUE","Overdue payment: ","Payment due: ")&amp;B153&amp;" — "&amp;C153&amp;" ("&amp;CurSym&amp;" "&amp;FIXED(S153,0)&amp;")")</f>
        <v/>
      </c>
      <c r="Z153" s="116">
        <f>IF('Contractors'!B153="","",'Contractors'!B153)</f>
        <v/>
      </c>
      <c r="AA153" s="77">
        <f>IF(Z153="","",'Contractors'!K153)</f>
        <v/>
      </c>
      <c r="AB153" s="77">
        <f>IF(Z153="","",SUMIFS($L$6:$L$1005,$B$6:$B$1005,Z153))</f>
        <v/>
      </c>
      <c r="AC153" s="77">
        <f>IF(Z153="","",SUMIFS($N$6:$N$1005,$B$6:$B$1005,Z153))</f>
        <v/>
      </c>
      <c r="AD153" s="76">
        <f>IF(Z153="","",AA153-AC153)</f>
        <v/>
      </c>
      <c r="AE153" s="117">
        <f>IF(Z153="","",IFERROR(1/SUMPRODUCT(MAX(($B$6:$B$1005=Z153)*$T$6:$T$1005)),""))</f>
        <v/>
      </c>
      <c r="AF153" s="77">
        <f>IF(AE153="","",SUMIFS($S$6:$S$1005,$B$6:$B$1005,Z153,$I$6:$I$1005,AE153))</f>
        <v/>
      </c>
    </row>
    <row r="154" ht="20" customHeight="1">
      <c r="B154" s="72" t="n"/>
      <c r="C154" s="72" t="n"/>
      <c r="D154" s="72" t="n"/>
      <c r="E154" s="72" t="n"/>
      <c r="F154" s="110" t="n"/>
      <c r="G154" s="73" t="n"/>
      <c r="H154" s="75">
        <f>IF(B154="","",IF(G154&lt;&gt;"",G154,IF(F154&lt;&gt;"",F154*IFERROR(INDEX('Contractors'!$I$6:$I$1005,MATCH(B154,'Contractors'!$B$6:$B$1005,0)),0),"")))</f>
        <v/>
      </c>
      <c r="I154" s="109" t="n"/>
      <c r="J154" s="72" t="n"/>
      <c r="K154" s="109" t="n"/>
      <c r="L154" s="73" t="n"/>
      <c r="M154" s="109" t="n"/>
      <c r="N154" s="73" t="n"/>
      <c r="O154" s="107">
        <f>IF(B154="","",IF(M154&lt;&gt;"","Paid",IF(AND(I154&lt;&gt;"",I154&lt;AsOf),"OVERDUE",IF(OR(K154&lt;&gt;"",L154&lt;&gt;""),"Invoiced","Scheduled"))))</f>
        <v/>
      </c>
      <c r="P154" s="115">
        <f>IF(B154="","",IF(E154&lt;&gt;"",E154,IFERROR(INDEX('Contractors'!$D$6:$D$1005,MATCH(B154,'Contractors'!$B$6:$B$1005,0)),"")))</f>
        <v/>
      </c>
      <c r="Q154" s="79">
        <f>IF(B154="","",IF(D154&lt;&gt;"",D154,IFERROR(INDEX('Contractors'!$E$6:$E$1005,MATCH(B154,'Contractors'!$B$6:$B$1005,0)),"")))</f>
        <v/>
      </c>
      <c r="R154" s="79">
        <f>IF(O154="","",IF(O154="OVERDUE",2,IF(O154="Paid",0,IF(AND(I154&lt;&gt;"",I154&lt;=AsOf+AlertDays),1,0))))</f>
        <v/>
      </c>
      <c r="S154" s="79">
        <f>IF(AND(B154&lt;&gt;"",M154="",I154&lt;&gt;""),IF(L154&lt;&gt;"",L154,IF(H154="",0,H154)),0)</f>
        <v/>
      </c>
      <c r="T154" s="79">
        <f>IF(AND(B154&lt;&gt;"",M154="",I154&lt;&gt;""),1/I154,0)</f>
        <v/>
      </c>
      <c r="U154" s="112">
        <f>IF(AND(B154&lt;&gt;"",M154="",I154&lt;&gt;""),I154,"")</f>
        <v/>
      </c>
      <c r="V154" s="79">
        <f>IF(U154="","",IF(U154&lt;AsOf,1,IF(U154&lt;=AsOf+AlertDays,2,IF(U154&lt;=AsOf+2*AlertDays,3,""))))</f>
        <v/>
      </c>
      <c r="W154" s="79">
        <f>IF(V154="","",IF(O154="OVERDUE","Overdue payment: ","Payment due: ")&amp;B154&amp;" — "&amp;C154&amp;" ("&amp;CurSym&amp;" "&amp;FIXED(S154,0)&amp;")")</f>
        <v/>
      </c>
      <c r="Z154" s="116">
        <f>IF('Contractors'!B154="","",'Contractors'!B154)</f>
        <v/>
      </c>
      <c r="AA154" s="77">
        <f>IF(Z154="","",'Contractors'!K154)</f>
        <v/>
      </c>
      <c r="AB154" s="77">
        <f>IF(Z154="","",SUMIFS($L$6:$L$1005,$B$6:$B$1005,Z154))</f>
        <v/>
      </c>
      <c r="AC154" s="77">
        <f>IF(Z154="","",SUMIFS($N$6:$N$1005,$B$6:$B$1005,Z154))</f>
        <v/>
      </c>
      <c r="AD154" s="76">
        <f>IF(Z154="","",AA154-AC154)</f>
        <v/>
      </c>
      <c r="AE154" s="117">
        <f>IF(Z154="","",IFERROR(1/SUMPRODUCT(MAX(($B$6:$B$1005=Z154)*$T$6:$T$1005)),""))</f>
        <v/>
      </c>
      <c r="AF154" s="77">
        <f>IF(AE154="","",SUMIFS($S$6:$S$1005,$B$6:$B$1005,Z154,$I$6:$I$1005,AE154))</f>
        <v/>
      </c>
    </row>
    <row r="155" ht="20" customHeight="1">
      <c r="B155" s="72" t="n"/>
      <c r="C155" s="72" t="n"/>
      <c r="D155" s="72" t="n"/>
      <c r="E155" s="72" t="n"/>
      <c r="F155" s="110" t="n"/>
      <c r="G155" s="73" t="n"/>
      <c r="H155" s="75">
        <f>IF(B155="","",IF(G155&lt;&gt;"",G155,IF(F155&lt;&gt;"",F155*IFERROR(INDEX('Contractors'!$I$6:$I$1005,MATCH(B155,'Contractors'!$B$6:$B$1005,0)),0),"")))</f>
        <v/>
      </c>
      <c r="I155" s="109" t="n"/>
      <c r="J155" s="72" t="n"/>
      <c r="K155" s="109" t="n"/>
      <c r="L155" s="73" t="n"/>
      <c r="M155" s="109" t="n"/>
      <c r="N155" s="73" t="n"/>
      <c r="O155" s="107">
        <f>IF(B155="","",IF(M155&lt;&gt;"","Paid",IF(AND(I155&lt;&gt;"",I155&lt;AsOf),"OVERDUE",IF(OR(K155&lt;&gt;"",L155&lt;&gt;""),"Invoiced","Scheduled"))))</f>
        <v/>
      </c>
      <c r="P155" s="115">
        <f>IF(B155="","",IF(E155&lt;&gt;"",E155,IFERROR(INDEX('Contractors'!$D$6:$D$1005,MATCH(B155,'Contractors'!$B$6:$B$1005,0)),"")))</f>
        <v/>
      </c>
      <c r="Q155" s="79">
        <f>IF(B155="","",IF(D155&lt;&gt;"",D155,IFERROR(INDEX('Contractors'!$E$6:$E$1005,MATCH(B155,'Contractors'!$B$6:$B$1005,0)),"")))</f>
        <v/>
      </c>
      <c r="R155" s="79">
        <f>IF(O155="","",IF(O155="OVERDUE",2,IF(O155="Paid",0,IF(AND(I155&lt;&gt;"",I155&lt;=AsOf+AlertDays),1,0))))</f>
        <v/>
      </c>
      <c r="S155" s="79">
        <f>IF(AND(B155&lt;&gt;"",M155="",I155&lt;&gt;""),IF(L155&lt;&gt;"",L155,IF(H155="",0,H155)),0)</f>
        <v/>
      </c>
      <c r="T155" s="79">
        <f>IF(AND(B155&lt;&gt;"",M155="",I155&lt;&gt;""),1/I155,0)</f>
        <v/>
      </c>
      <c r="U155" s="112">
        <f>IF(AND(B155&lt;&gt;"",M155="",I155&lt;&gt;""),I155,"")</f>
        <v/>
      </c>
      <c r="V155" s="79">
        <f>IF(U155="","",IF(U155&lt;AsOf,1,IF(U155&lt;=AsOf+AlertDays,2,IF(U155&lt;=AsOf+2*AlertDays,3,""))))</f>
        <v/>
      </c>
      <c r="W155" s="79">
        <f>IF(V155="","",IF(O155="OVERDUE","Overdue payment: ","Payment due: ")&amp;B155&amp;" — "&amp;C155&amp;" ("&amp;CurSym&amp;" "&amp;FIXED(S155,0)&amp;")")</f>
        <v/>
      </c>
      <c r="Z155" s="116">
        <f>IF('Contractors'!B155="","",'Contractors'!B155)</f>
        <v/>
      </c>
      <c r="AA155" s="77">
        <f>IF(Z155="","",'Contractors'!K155)</f>
        <v/>
      </c>
      <c r="AB155" s="77">
        <f>IF(Z155="","",SUMIFS($L$6:$L$1005,$B$6:$B$1005,Z155))</f>
        <v/>
      </c>
      <c r="AC155" s="77">
        <f>IF(Z155="","",SUMIFS($N$6:$N$1005,$B$6:$B$1005,Z155))</f>
        <v/>
      </c>
      <c r="AD155" s="76">
        <f>IF(Z155="","",AA155-AC155)</f>
        <v/>
      </c>
      <c r="AE155" s="117">
        <f>IF(Z155="","",IFERROR(1/SUMPRODUCT(MAX(($B$6:$B$1005=Z155)*$T$6:$T$1005)),""))</f>
        <v/>
      </c>
      <c r="AF155" s="77">
        <f>IF(AE155="","",SUMIFS($S$6:$S$1005,$B$6:$B$1005,Z155,$I$6:$I$1005,AE155))</f>
        <v/>
      </c>
    </row>
    <row r="156" ht="20" customHeight="1">
      <c r="B156" s="72" t="n"/>
      <c r="C156" s="72" t="n"/>
      <c r="D156" s="72" t="n"/>
      <c r="E156" s="72" t="n"/>
      <c r="F156" s="110" t="n"/>
      <c r="G156" s="73" t="n"/>
      <c r="H156" s="75">
        <f>IF(B156="","",IF(G156&lt;&gt;"",G156,IF(F156&lt;&gt;"",F156*IFERROR(INDEX('Contractors'!$I$6:$I$1005,MATCH(B156,'Contractors'!$B$6:$B$1005,0)),0),"")))</f>
        <v/>
      </c>
      <c r="I156" s="109" t="n"/>
      <c r="J156" s="72" t="n"/>
      <c r="K156" s="109" t="n"/>
      <c r="L156" s="73" t="n"/>
      <c r="M156" s="109" t="n"/>
      <c r="N156" s="73" t="n"/>
      <c r="O156" s="107">
        <f>IF(B156="","",IF(M156&lt;&gt;"","Paid",IF(AND(I156&lt;&gt;"",I156&lt;AsOf),"OVERDUE",IF(OR(K156&lt;&gt;"",L156&lt;&gt;""),"Invoiced","Scheduled"))))</f>
        <v/>
      </c>
      <c r="P156" s="115">
        <f>IF(B156="","",IF(E156&lt;&gt;"",E156,IFERROR(INDEX('Contractors'!$D$6:$D$1005,MATCH(B156,'Contractors'!$B$6:$B$1005,0)),"")))</f>
        <v/>
      </c>
      <c r="Q156" s="79">
        <f>IF(B156="","",IF(D156&lt;&gt;"",D156,IFERROR(INDEX('Contractors'!$E$6:$E$1005,MATCH(B156,'Contractors'!$B$6:$B$1005,0)),"")))</f>
        <v/>
      </c>
      <c r="R156" s="79">
        <f>IF(O156="","",IF(O156="OVERDUE",2,IF(O156="Paid",0,IF(AND(I156&lt;&gt;"",I156&lt;=AsOf+AlertDays),1,0))))</f>
        <v/>
      </c>
      <c r="S156" s="79">
        <f>IF(AND(B156&lt;&gt;"",M156="",I156&lt;&gt;""),IF(L156&lt;&gt;"",L156,IF(H156="",0,H156)),0)</f>
        <v/>
      </c>
      <c r="T156" s="79">
        <f>IF(AND(B156&lt;&gt;"",M156="",I156&lt;&gt;""),1/I156,0)</f>
        <v/>
      </c>
      <c r="U156" s="112">
        <f>IF(AND(B156&lt;&gt;"",M156="",I156&lt;&gt;""),I156,"")</f>
        <v/>
      </c>
      <c r="V156" s="79">
        <f>IF(U156="","",IF(U156&lt;AsOf,1,IF(U156&lt;=AsOf+AlertDays,2,IF(U156&lt;=AsOf+2*AlertDays,3,""))))</f>
        <v/>
      </c>
      <c r="W156" s="79">
        <f>IF(V156="","",IF(O156="OVERDUE","Overdue payment: ","Payment due: ")&amp;B156&amp;" — "&amp;C156&amp;" ("&amp;CurSym&amp;" "&amp;FIXED(S156,0)&amp;")")</f>
        <v/>
      </c>
      <c r="Z156" s="116">
        <f>IF('Contractors'!B156="","",'Contractors'!B156)</f>
        <v/>
      </c>
      <c r="AA156" s="77">
        <f>IF(Z156="","",'Contractors'!K156)</f>
        <v/>
      </c>
      <c r="AB156" s="77">
        <f>IF(Z156="","",SUMIFS($L$6:$L$1005,$B$6:$B$1005,Z156))</f>
        <v/>
      </c>
      <c r="AC156" s="77">
        <f>IF(Z156="","",SUMIFS($N$6:$N$1005,$B$6:$B$1005,Z156))</f>
        <v/>
      </c>
      <c r="AD156" s="76">
        <f>IF(Z156="","",AA156-AC156)</f>
        <v/>
      </c>
      <c r="AE156" s="117">
        <f>IF(Z156="","",IFERROR(1/SUMPRODUCT(MAX(($B$6:$B$1005=Z156)*$T$6:$T$1005)),""))</f>
        <v/>
      </c>
      <c r="AF156" s="77">
        <f>IF(AE156="","",SUMIFS($S$6:$S$1005,$B$6:$B$1005,Z156,$I$6:$I$1005,AE156))</f>
        <v/>
      </c>
    </row>
    <row r="157" ht="20" customHeight="1">
      <c r="B157" s="72" t="n"/>
      <c r="C157" s="72" t="n"/>
      <c r="D157" s="72" t="n"/>
      <c r="E157" s="72" t="n"/>
      <c r="F157" s="110" t="n"/>
      <c r="G157" s="73" t="n"/>
      <c r="H157" s="75">
        <f>IF(B157="","",IF(G157&lt;&gt;"",G157,IF(F157&lt;&gt;"",F157*IFERROR(INDEX('Contractors'!$I$6:$I$1005,MATCH(B157,'Contractors'!$B$6:$B$1005,0)),0),"")))</f>
        <v/>
      </c>
      <c r="I157" s="109" t="n"/>
      <c r="J157" s="72" t="n"/>
      <c r="K157" s="109" t="n"/>
      <c r="L157" s="73" t="n"/>
      <c r="M157" s="109" t="n"/>
      <c r="N157" s="73" t="n"/>
      <c r="O157" s="107">
        <f>IF(B157="","",IF(M157&lt;&gt;"","Paid",IF(AND(I157&lt;&gt;"",I157&lt;AsOf),"OVERDUE",IF(OR(K157&lt;&gt;"",L157&lt;&gt;""),"Invoiced","Scheduled"))))</f>
        <v/>
      </c>
      <c r="P157" s="115">
        <f>IF(B157="","",IF(E157&lt;&gt;"",E157,IFERROR(INDEX('Contractors'!$D$6:$D$1005,MATCH(B157,'Contractors'!$B$6:$B$1005,0)),"")))</f>
        <v/>
      </c>
      <c r="Q157" s="79">
        <f>IF(B157="","",IF(D157&lt;&gt;"",D157,IFERROR(INDEX('Contractors'!$E$6:$E$1005,MATCH(B157,'Contractors'!$B$6:$B$1005,0)),"")))</f>
        <v/>
      </c>
      <c r="R157" s="79">
        <f>IF(O157="","",IF(O157="OVERDUE",2,IF(O157="Paid",0,IF(AND(I157&lt;&gt;"",I157&lt;=AsOf+AlertDays),1,0))))</f>
        <v/>
      </c>
      <c r="S157" s="79">
        <f>IF(AND(B157&lt;&gt;"",M157="",I157&lt;&gt;""),IF(L157&lt;&gt;"",L157,IF(H157="",0,H157)),0)</f>
        <v/>
      </c>
      <c r="T157" s="79">
        <f>IF(AND(B157&lt;&gt;"",M157="",I157&lt;&gt;""),1/I157,0)</f>
        <v/>
      </c>
      <c r="U157" s="112">
        <f>IF(AND(B157&lt;&gt;"",M157="",I157&lt;&gt;""),I157,"")</f>
        <v/>
      </c>
      <c r="V157" s="79">
        <f>IF(U157="","",IF(U157&lt;AsOf,1,IF(U157&lt;=AsOf+AlertDays,2,IF(U157&lt;=AsOf+2*AlertDays,3,""))))</f>
        <v/>
      </c>
      <c r="W157" s="79">
        <f>IF(V157="","",IF(O157="OVERDUE","Overdue payment: ","Payment due: ")&amp;B157&amp;" — "&amp;C157&amp;" ("&amp;CurSym&amp;" "&amp;FIXED(S157,0)&amp;")")</f>
        <v/>
      </c>
      <c r="Z157" s="116">
        <f>IF('Contractors'!B157="","",'Contractors'!B157)</f>
        <v/>
      </c>
      <c r="AA157" s="77">
        <f>IF(Z157="","",'Contractors'!K157)</f>
        <v/>
      </c>
      <c r="AB157" s="77">
        <f>IF(Z157="","",SUMIFS($L$6:$L$1005,$B$6:$B$1005,Z157))</f>
        <v/>
      </c>
      <c r="AC157" s="77">
        <f>IF(Z157="","",SUMIFS($N$6:$N$1005,$B$6:$B$1005,Z157))</f>
        <v/>
      </c>
      <c r="AD157" s="76">
        <f>IF(Z157="","",AA157-AC157)</f>
        <v/>
      </c>
      <c r="AE157" s="117">
        <f>IF(Z157="","",IFERROR(1/SUMPRODUCT(MAX(($B$6:$B$1005=Z157)*$T$6:$T$1005)),""))</f>
        <v/>
      </c>
      <c r="AF157" s="77">
        <f>IF(AE157="","",SUMIFS($S$6:$S$1005,$B$6:$B$1005,Z157,$I$6:$I$1005,AE157))</f>
        <v/>
      </c>
    </row>
    <row r="158" ht="20" customHeight="1">
      <c r="B158" s="72" t="n"/>
      <c r="C158" s="72" t="n"/>
      <c r="D158" s="72" t="n"/>
      <c r="E158" s="72" t="n"/>
      <c r="F158" s="110" t="n"/>
      <c r="G158" s="73" t="n"/>
      <c r="H158" s="75">
        <f>IF(B158="","",IF(G158&lt;&gt;"",G158,IF(F158&lt;&gt;"",F158*IFERROR(INDEX('Contractors'!$I$6:$I$1005,MATCH(B158,'Contractors'!$B$6:$B$1005,0)),0),"")))</f>
        <v/>
      </c>
      <c r="I158" s="109" t="n"/>
      <c r="J158" s="72" t="n"/>
      <c r="K158" s="109" t="n"/>
      <c r="L158" s="73" t="n"/>
      <c r="M158" s="109" t="n"/>
      <c r="N158" s="73" t="n"/>
      <c r="O158" s="107">
        <f>IF(B158="","",IF(M158&lt;&gt;"","Paid",IF(AND(I158&lt;&gt;"",I158&lt;AsOf),"OVERDUE",IF(OR(K158&lt;&gt;"",L158&lt;&gt;""),"Invoiced","Scheduled"))))</f>
        <v/>
      </c>
      <c r="P158" s="115">
        <f>IF(B158="","",IF(E158&lt;&gt;"",E158,IFERROR(INDEX('Contractors'!$D$6:$D$1005,MATCH(B158,'Contractors'!$B$6:$B$1005,0)),"")))</f>
        <v/>
      </c>
      <c r="Q158" s="79">
        <f>IF(B158="","",IF(D158&lt;&gt;"",D158,IFERROR(INDEX('Contractors'!$E$6:$E$1005,MATCH(B158,'Contractors'!$B$6:$B$1005,0)),"")))</f>
        <v/>
      </c>
      <c r="R158" s="79">
        <f>IF(O158="","",IF(O158="OVERDUE",2,IF(O158="Paid",0,IF(AND(I158&lt;&gt;"",I158&lt;=AsOf+AlertDays),1,0))))</f>
        <v/>
      </c>
      <c r="S158" s="79">
        <f>IF(AND(B158&lt;&gt;"",M158="",I158&lt;&gt;""),IF(L158&lt;&gt;"",L158,IF(H158="",0,H158)),0)</f>
        <v/>
      </c>
      <c r="T158" s="79">
        <f>IF(AND(B158&lt;&gt;"",M158="",I158&lt;&gt;""),1/I158,0)</f>
        <v/>
      </c>
      <c r="U158" s="112">
        <f>IF(AND(B158&lt;&gt;"",M158="",I158&lt;&gt;""),I158,"")</f>
        <v/>
      </c>
      <c r="V158" s="79">
        <f>IF(U158="","",IF(U158&lt;AsOf,1,IF(U158&lt;=AsOf+AlertDays,2,IF(U158&lt;=AsOf+2*AlertDays,3,""))))</f>
        <v/>
      </c>
      <c r="W158" s="79">
        <f>IF(V158="","",IF(O158="OVERDUE","Overdue payment: ","Payment due: ")&amp;B158&amp;" — "&amp;C158&amp;" ("&amp;CurSym&amp;" "&amp;FIXED(S158,0)&amp;")")</f>
        <v/>
      </c>
      <c r="Z158" s="116">
        <f>IF('Contractors'!B158="","",'Contractors'!B158)</f>
        <v/>
      </c>
      <c r="AA158" s="77">
        <f>IF(Z158="","",'Contractors'!K158)</f>
        <v/>
      </c>
      <c r="AB158" s="77">
        <f>IF(Z158="","",SUMIFS($L$6:$L$1005,$B$6:$B$1005,Z158))</f>
        <v/>
      </c>
      <c r="AC158" s="77">
        <f>IF(Z158="","",SUMIFS($N$6:$N$1005,$B$6:$B$1005,Z158))</f>
        <v/>
      </c>
      <c r="AD158" s="76">
        <f>IF(Z158="","",AA158-AC158)</f>
        <v/>
      </c>
      <c r="AE158" s="117">
        <f>IF(Z158="","",IFERROR(1/SUMPRODUCT(MAX(($B$6:$B$1005=Z158)*$T$6:$T$1005)),""))</f>
        <v/>
      </c>
      <c r="AF158" s="77">
        <f>IF(AE158="","",SUMIFS($S$6:$S$1005,$B$6:$B$1005,Z158,$I$6:$I$1005,AE158))</f>
        <v/>
      </c>
    </row>
    <row r="159" ht="20" customHeight="1">
      <c r="B159" s="72" t="n"/>
      <c r="C159" s="72" t="n"/>
      <c r="D159" s="72" t="n"/>
      <c r="E159" s="72" t="n"/>
      <c r="F159" s="110" t="n"/>
      <c r="G159" s="73" t="n"/>
      <c r="H159" s="75">
        <f>IF(B159="","",IF(G159&lt;&gt;"",G159,IF(F159&lt;&gt;"",F159*IFERROR(INDEX('Contractors'!$I$6:$I$1005,MATCH(B159,'Contractors'!$B$6:$B$1005,0)),0),"")))</f>
        <v/>
      </c>
      <c r="I159" s="109" t="n"/>
      <c r="J159" s="72" t="n"/>
      <c r="K159" s="109" t="n"/>
      <c r="L159" s="73" t="n"/>
      <c r="M159" s="109" t="n"/>
      <c r="N159" s="73" t="n"/>
      <c r="O159" s="107">
        <f>IF(B159="","",IF(M159&lt;&gt;"","Paid",IF(AND(I159&lt;&gt;"",I159&lt;AsOf),"OVERDUE",IF(OR(K159&lt;&gt;"",L159&lt;&gt;""),"Invoiced","Scheduled"))))</f>
        <v/>
      </c>
      <c r="P159" s="115">
        <f>IF(B159="","",IF(E159&lt;&gt;"",E159,IFERROR(INDEX('Contractors'!$D$6:$D$1005,MATCH(B159,'Contractors'!$B$6:$B$1005,0)),"")))</f>
        <v/>
      </c>
      <c r="Q159" s="79">
        <f>IF(B159="","",IF(D159&lt;&gt;"",D159,IFERROR(INDEX('Contractors'!$E$6:$E$1005,MATCH(B159,'Contractors'!$B$6:$B$1005,0)),"")))</f>
        <v/>
      </c>
      <c r="R159" s="79">
        <f>IF(O159="","",IF(O159="OVERDUE",2,IF(O159="Paid",0,IF(AND(I159&lt;&gt;"",I159&lt;=AsOf+AlertDays),1,0))))</f>
        <v/>
      </c>
      <c r="S159" s="79">
        <f>IF(AND(B159&lt;&gt;"",M159="",I159&lt;&gt;""),IF(L159&lt;&gt;"",L159,IF(H159="",0,H159)),0)</f>
        <v/>
      </c>
      <c r="T159" s="79">
        <f>IF(AND(B159&lt;&gt;"",M159="",I159&lt;&gt;""),1/I159,0)</f>
        <v/>
      </c>
      <c r="U159" s="112">
        <f>IF(AND(B159&lt;&gt;"",M159="",I159&lt;&gt;""),I159,"")</f>
        <v/>
      </c>
      <c r="V159" s="79">
        <f>IF(U159="","",IF(U159&lt;AsOf,1,IF(U159&lt;=AsOf+AlertDays,2,IF(U159&lt;=AsOf+2*AlertDays,3,""))))</f>
        <v/>
      </c>
      <c r="W159" s="79">
        <f>IF(V159="","",IF(O159="OVERDUE","Overdue payment: ","Payment due: ")&amp;B159&amp;" — "&amp;C159&amp;" ("&amp;CurSym&amp;" "&amp;FIXED(S159,0)&amp;")")</f>
        <v/>
      </c>
      <c r="Z159" s="116">
        <f>IF('Contractors'!B159="","",'Contractors'!B159)</f>
        <v/>
      </c>
      <c r="AA159" s="77">
        <f>IF(Z159="","",'Contractors'!K159)</f>
        <v/>
      </c>
      <c r="AB159" s="77">
        <f>IF(Z159="","",SUMIFS($L$6:$L$1005,$B$6:$B$1005,Z159))</f>
        <v/>
      </c>
      <c r="AC159" s="77">
        <f>IF(Z159="","",SUMIFS($N$6:$N$1005,$B$6:$B$1005,Z159))</f>
        <v/>
      </c>
      <c r="AD159" s="76">
        <f>IF(Z159="","",AA159-AC159)</f>
        <v/>
      </c>
      <c r="AE159" s="117">
        <f>IF(Z159="","",IFERROR(1/SUMPRODUCT(MAX(($B$6:$B$1005=Z159)*$T$6:$T$1005)),""))</f>
        <v/>
      </c>
      <c r="AF159" s="77">
        <f>IF(AE159="","",SUMIFS($S$6:$S$1005,$B$6:$B$1005,Z159,$I$6:$I$1005,AE159))</f>
        <v/>
      </c>
    </row>
    <row r="160" ht="20" customHeight="1">
      <c r="B160" s="72" t="n"/>
      <c r="C160" s="72" t="n"/>
      <c r="D160" s="72" t="n"/>
      <c r="E160" s="72" t="n"/>
      <c r="F160" s="110" t="n"/>
      <c r="G160" s="73" t="n"/>
      <c r="H160" s="75">
        <f>IF(B160="","",IF(G160&lt;&gt;"",G160,IF(F160&lt;&gt;"",F160*IFERROR(INDEX('Contractors'!$I$6:$I$1005,MATCH(B160,'Contractors'!$B$6:$B$1005,0)),0),"")))</f>
        <v/>
      </c>
      <c r="I160" s="109" t="n"/>
      <c r="J160" s="72" t="n"/>
      <c r="K160" s="109" t="n"/>
      <c r="L160" s="73" t="n"/>
      <c r="M160" s="109" t="n"/>
      <c r="N160" s="73" t="n"/>
      <c r="O160" s="107">
        <f>IF(B160="","",IF(M160&lt;&gt;"","Paid",IF(AND(I160&lt;&gt;"",I160&lt;AsOf),"OVERDUE",IF(OR(K160&lt;&gt;"",L160&lt;&gt;""),"Invoiced","Scheduled"))))</f>
        <v/>
      </c>
      <c r="P160" s="115">
        <f>IF(B160="","",IF(E160&lt;&gt;"",E160,IFERROR(INDEX('Contractors'!$D$6:$D$1005,MATCH(B160,'Contractors'!$B$6:$B$1005,0)),"")))</f>
        <v/>
      </c>
      <c r="Q160" s="79">
        <f>IF(B160="","",IF(D160&lt;&gt;"",D160,IFERROR(INDEX('Contractors'!$E$6:$E$1005,MATCH(B160,'Contractors'!$B$6:$B$1005,0)),"")))</f>
        <v/>
      </c>
      <c r="R160" s="79">
        <f>IF(O160="","",IF(O160="OVERDUE",2,IF(O160="Paid",0,IF(AND(I160&lt;&gt;"",I160&lt;=AsOf+AlertDays),1,0))))</f>
        <v/>
      </c>
      <c r="S160" s="79">
        <f>IF(AND(B160&lt;&gt;"",M160="",I160&lt;&gt;""),IF(L160&lt;&gt;"",L160,IF(H160="",0,H160)),0)</f>
        <v/>
      </c>
      <c r="T160" s="79">
        <f>IF(AND(B160&lt;&gt;"",M160="",I160&lt;&gt;""),1/I160,0)</f>
        <v/>
      </c>
      <c r="U160" s="112">
        <f>IF(AND(B160&lt;&gt;"",M160="",I160&lt;&gt;""),I160,"")</f>
        <v/>
      </c>
      <c r="V160" s="79">
        <f>IF(U160="","",IF(U160&lt;AsOf,1,IF(U160&lt;=AsOf+AlertDays,2,IF(U160&lt;=AsOf+2*AlertDays,3,""))))</f>
        <v/>
      </c>
      <c r="W160" s="79">
        <f>IF(V160="","",IF(O160="OVERDUE","Overdue payment: ","Payment due: ")&amp;B160&amp;" — "&amp;C160&amp;" ("&amp;CurSym&amp;" "&amp;FIXED(S160,0)&amp;")")</f>
        <v/>
      </c>
      <c r="Z160" s="116">
        <f>IF('Contractors'!B160="","",'Contractors'!B160)</f>
        <v/>
      </c>
      <c r="AA160" s="77">
        <f>IF(Z160="","",'Contractors'!K160)</f>
        <v/>
      </c>
      <c r="AB160" s="77">
        <f>IF(Z160="","",SUMIFS($L$6:$L$1005,$B$6:$B$1005,Z160))</f>
        <v/>
      </c>
      <c r="AC160" s="77">
        <f>IF(Z160="","",SUMIFS($N$6:$N$1005,$B$6:$B$1005,Z160))</f>
        <v/>
      </c>
      <c r="AD160" s="76">
        <f>IF(Z160="","",AA160-AC160)</f>
        <v/>
      </c>
      <c r="AE160" s="117">
        <f>IF(Z160="","",IFERROR(1/SUMPRODUCT(MAX(($B$6:$B$1005=Z160)*$T$6:$T$1005)),""))</f>
        <v/>
      </c>
      <c r="AF160" s="77">
        <f>IF(AE160="","",SUMIFS($S$6:$S$1005,$B$6:$B$1005,Z160,$I$6:$I$1005,AE160))</f>
        <v/>
      </c>
    </row>
    <row r="161" ht="20" customHeight="1">
      <c r="B161" s="72" t="n"/>
      <c r="C161" s="72" t="n"/>
      <c r="D161" s="72" t="n"/>
      <c r="E161" s="72" t="n"/>
      <c r="F161" s="110" t="n"/>
      <c r="G161" s="73" t="n"/>
      <c r="H161" s="75">
        <f>IF(B161="","",IF(G161&lt;&gt;"",G161,IF(F161&lt;&gt;"",F161*IFERROR(INDEX('Contractors'!$I$6:$I$1005,MATCH(B161,'Contractors'!$B$6:$B$1005,0)),0),"")))</f>
        <v/>
      </c>
      <c r="I161" s="109" t="n"/>
      <c r="J161" s="72" t="n"/>
      <c r="K161" s="109" t="n"/>
      <c r="L161" s="73" t="n"/>
      <c r="M161" s="109" t="n"/>
      <c r="N161" s="73" t="n"/>
      <c r="O161" s="107">
        <f>IF(B161="","",IF(M161&lt;&gt;"","Paid",IF(AND(I161&lt;&gt;"",I161&lt;AsOf),"OVERDUE",IF(OR(K161&lt;&gt;"",L161&lt;&gt;""),"Invoiced","Scheduled"))))</f>
        <v/>
      </c>
      <c r="P161" s="115">
        <f>IF(B161="","",IF(E161&lt;&gt;"",E161,IFERROR(INDEX('Contractors'!$D$6:$D$1005,MATCH(B161,'Contractors'!$B$6:$B$1005,0)),"")))</f>
        <v/>
      </c>
      <c r="Q161" s="79">
        <f>IF(B161="","",IF(D161&lt;&gt;"",D161,IFERROR(INDEX('Contractors'!$E$6:$E$1005,MATCH(B161,'Contractors'!$B$6:$B$1005,0)),"")))</f>
        <v/>
      </c>
      <c r="R161" s="79">
        <f>IF(O161="","",IF(O161="OVERDUE",2,IF(O161="Paid",0,IF(AND(I161&lt;&gt;"",I161&lt;=AsOf+AlertDays),1,0))))</f>
        <v/>
      </c>
      <c r="S161" s="79">
        <f>IF(AND(B161&lt;&gt;"",M161="",I161&lt;&gt;""),IF(L161&lt;&gt;"",L161,IF(H161="",0,H161)),0)</f>
        <v/>
      </c>
      <c r="T161" s="79">
        <f>IF(AND(B161&lt;&gt;"",M161="",I161&lt;&gt;""),1/I161,0)</f>
        <v/>
      </c>
      <c r="U161" s="112">
        <f>IF(AND(B161&lt;&gt;"",M161="",I161&lt;&gt;""),I161,"")</f>
        <v/>
      </c>
      <c r="V161" s="79">
        <f>IF(U161="","",IF(U161&lt;AsOf,1,IF(U161&lt;=AsOf+AlertDays,2,IF(U161&lt;=AsOf+2*AlertDays,3,""))))</f>
        <v/>
      </c>
      <c r="W161" s="79">
        <f>IF(V161="","",IF(O161="OVERDUE","Overdue payment: ","Payment due: ")&amp;B161&amp;" — "&amp;C161&amp;" ("&amp;CurSym&amp;" "&amp;FIXED(S161,0)&amp;")")</f>
        <v/>
      </c>
      <c r="Z161" s="116">
        <f>IF('Contractors'!B161="","",'Contractors'!B161)</f>
        <v/>
      </c>
      <c r="AA161" s="77">
        <f>IF(Z161="","",'Contractors'!K161)</f>
        <v/>
      </c>
      <c r="AB161" s="77">
        <f>IF(Z161="","",SUMIFS($L$6:$L$1005,$B$6:$B$1005,Z161))</f>
        <v/>
      </c>
      <c r="AC161" s="77">
        <f>IF(Z161="","",SUMIFS($N$6:$N$1005,$B$6:$B$1005,Z161))</f>
        <v/>
      </c>
      <c r="AD161" s="76">
        <f>IF(Z161="","",AA161-AC161)</f>
        <v/>
      </c>
      <c r="AE161" s="117">
        <f>IF(Z161="","",IFERROR(1/SUMPRODUCT(MAX(($B$6:$B$1005=Z161)*$T$6:$T$1005)),""))</f>
        <v/>
      </c>
      <c r="AF161" s="77">
        <f>IF(AE161="","",SUMIFS($S$6:$S$1005,$B$6:$B$1005,Z161,$I$6:$I$1005,AE161))</f>
        <v/>
      </c>
    </row>
    <row r="162" ht="20" customHeight="1">
      <c r="B162" s="72" t="n"/>
      <c r="C162" s="72" t="n"/>
      <c r="D162" s="72" t="n"/>
      <c r="E162" s="72" t="n"/>
      <c r="F162" s="110" t="n"/>
      <c r="G162" s="73" t="n"/>
      <c r="H162" s="75">
        <f>IF(B162="","",IF(G162&lt;&gt;"",G162,IF(F162&lt;&gt;"",F162*IFERROR(INDEX('Contractors'!$I$6:$I$1005,MATCH(B162,'Contractors'!$B$6:$B$1005,0)),0),"")))</f>
        <v/>
      </c>
      <c r="I162" s="109" t="n"/>
      <c r="J162" s="72" t="n"/>
      <c r="K162" s="109" t="n"/>
      <c r="L162" s="73" t="n"/>
      <c r="M162" s="109" t="n"/>
      <c r="N162" s="73" t="n"/>
      <c r="O162" s="107">
        <f>IF(B162="","",IF(M162&lt;&gt;"","Paid",IF(AND(I162&lt;&gt;"",I162&lt;AsOf),"OVERDUE",IF(OR(K162&lt;&gt;"",L162&lt;&gt;""),"Invoiced","Scheduled"))))</f>
        <v/>
      </c>
      <c r="P162" s="115">
        <f>IF(B162="","",IF(E162&lt;&gt;"",E162,IFERROR(INDEX('Contractors'!$D$6:$D$1005,MATCH(B162,'Contractors'!$B$6:$B$1005,0)),"")))</f>
        <v/>
      </c>
      <c r="Q162" s="79">
        <f>IF(B162="","",IF(D162&lt;&gt;"",D162,IFERROR(INDEX('Contractors'!$E$6:$E$1005,MATCH(B162,'Contractors'!$B$6:$B$1005,0)),"")))</f>
        <v/>
      </c>
      <c r="R162" s="79">
        <f>IF(O162="","",IF(O162="OVERDUE",2,IF(O162="Paid",0,IF(AND(I162&lt;&gt;"",I162&lt;=AsOf+AlertDays),1,0))))</f>
        <v/>
      </c>
      <c r="S162" s="79">
        <f>IF(AND(B162&lt;&gt;"",M162="",I162&lt;&gt;""),IF(L162&lt;&gt;"",L162,IF(H162="",0,H162)),0)</f>
        <v/>
      </c>
      <c r="T162" s="79">
        <f>IF(AND(B162&lt;&gt;"",M162="",I162&lt;&gt;""),1/I162,0)</f>
        <v/>
      </c>
      <c r="U162" s="112">
        <f>IF(AND(B162&lt;&gt;"",M162="",I162&lt;&gt;""),I162,"")</f>
        <v/>
      </c>
      <c r="V162" s="79">
        <f>IF(U162="","",IF(U162&lt;AsOf,1,IF(U162&lt;=AsOf+AlertDays,2,IF(U162&lt;=AsOf+2*AlertDays,3,""))))</f>
        <v/>
      </c>
      <c r="W162" s="79">
        <f>IF(V162="","",IF(O162="OVERDUE","Overdue payment: ","Payment due: ")&amp;B162&amp;" — "&amp;C162&amp;" ("&amp;CurSym&amp;" "&amp;FIXED(S162,0)&amp;")")</f>
        <v/>
      </c>
      <c r="Z162" s="116">
        <f>IF('Contractors'!B162="","",'Contractors'!B162)</f>
        <v/>
      </c>
      <c r="AA162" s="77">
        <f>IF(Z162="","",'Contractors'!K162)</f>
        <v/>
      </c>
      <c r="AB162" s="77">
        <f>IF(Z162="","",SUMIFS($L$6:$L$1005,$B$6:$B$1005,Z162))</f>
        <v/>
      </c>
      <c r="AC162" s="77">
        <f>IF(Z162="","",SUMIFS($N$6:$N$1005,$B$6:$B$1005,Z162))</f>
        <v/>
      </c>
      <c r="AD162" s="76">
        <f>IF(Z162="","",AA162-AC162)</f>
        <v/>
      </c>
      <c r="AE162" s="117">
        <f>IF(Z162="","",IFERROR(1/SUMPRODUCT(MAX(($B$6:$B$1005=Z162)*$T$6:$T$1005)),""))</f>
        <v/>
      </c>
      <c r="AF162" s="77">
        <f>IF(AE162="","",SUMIFS($S$6:$S$1005,$B$6:$B$1005,Z162,$I$6:$I$1005,AE162))</f>
        <v/>
      </c>
    </row>
    <row r="163" ht="20" customHeight="1">
      <c r="B163" s="72" t="n"/>
      <c r="C163" s="72" t="n"/>
      <c r="D163" s="72" t="n"/>
      <c r="E163" s="72" t="n"/>
      <c r="F163" s="110" t="n"/>
      <c r="G163" s="73" t="n"/>
      <c r="H163" s="75">
        <f>IF(B163="","",IF(G163&lt;&gt;"",G163,IF(F163&lt;&gt;"",F163*IFERROR(INDEX('Contractors'!$I$6:$I$1005,MATCH(B163,'Contractors'!$B$6:$B$1005,0)),0),"")))</f>
        <v/>
      </c>
      <c r="I163" s="109" t="n"/>
      <c r="J163" s="72" t="n"/>
      <c r="K163" s="109" t="n"/>
      <c r="L163" s="73" t="n"/>
      <c r="M163" s="109" t="n"/>
      <c r="N163" s="73" t="n"/>
      <c r="O163" s="107">
        <f>IF(B163="","",IF(M163&lt;&gt;"","Paid",IF(AND(I163&lt;&gt;"",I163&lt;AsOf),"OVERDUE",IF(OR(K163&lt;&gt;"",L163&lt;&gt;""),"Invoiced","Scheduled"))))</f>
        <v/>
      </c>
      <c r="P163" s="115">
        <f>IF(B163="","",IF(E163&lt;&gt;"",E163,IFERROR(INDEX('Contractors'!$D$6:$D$1005,MATCH(B163,'Contractors'!$B$6:$B$1005,0)),"")))</f>
        <v/>
      </c>
      <c r="Q163" s="79">
        <f>IF(B163="","",IF(D163&lt;&gt;"",D163,IFERROR(INDEX('Contractors'!$E$6:$E$1005,MATCH(B163,'Contractors'!$B$6:$B$1005,0)),"")))</f>
        <v/>
      </c>
      <c r="R163" s="79">
        <f>IF(O163="","",IF(O163="OVERDUE",2,IF(O163="Paid",0,IF(AND(I163&lt;&gt;"",I163&lt;=AsOf+AlertDays),1,0))))</f>
        <v/>
      </c>
      <c r="S163" s="79">
        <f>IF(AND(B163&lt;&gt;"",M163="",I163&lt;&gt;""),IF(L163&lt;&gt;"",L163,IF(H163="",0,H163)),0)</f>
        <v/>
      </c>
      <c r="T163" s="79">
        <f>IF(AND(B163&lt;&gt;"",M163="",I163&lt;&gt;""),1/I163,0)</f>
        <v/>
      </c>
      <c r="U163" s="112">
        <f>IF(AND(B163&lt;&gt;"",M163="",I163&lt;&gt;""),I163,"")</f>
        <v/>
      </c>
      <c r="V163" s="79">
        <f>IF(U163="","",IF(U163&lt;AsOf,1,IF(U163&lt;=AsOf+AlertDays,2,IF(U163&lt;=AsOf+2*AlertDays,3,""))))</f>
        <v/>
      </c>
      <c r="W163" s="79">
        <f>IF(V163="","",IF(O163="OVERDUE","Overdue payment: ","Payment due: ")&amp;B163&amp;" — "&amp;C163&amp;" ("&amp;CurSym&amp;" "&amp;FIXED(S163,0)&amp;")")</f>
        <v/>
      </c>
      <c r="Z163" s="116">
        <f>IF('Contractors'!B163="","",'Contractors'!B163)</f>
        <v/>
      </c>
      <c r="AA163" s="77">
        <f>IF(Z163="","",'Contractors'!K163)</f>
        <v/>
      </c>
      <c r="AB163" s="77">
        <f>IF(Z163="","",SUMIFS($L$6:$L$1005,$B$6:$B$1005,Z163))</f>
        <v/>
      </c>
      <c r="AC163" s="77">
        <f>IF(Z163="","",SUMIFS($N$6:$N$1005,$B$6:$B$1005,Z163))</f>
        <v/>
      </c>
      <c r="AD163" s="76">
        <f>IF(Z163="","",AA163-AC163)</f>
        <v/>
      </c>
      <c r="AE163" s="117">
        <f>IF(Z163="","",IFERROR(1/SUMPRODUCT(MAX(($B$6:$B$1005=Z163)*$T$6:$T$1005)),""))</f>
        <v/>
      </c>
      <c r="AF163" s="77">
        <f>IF(AE163="","",SUMIFS($S$6:$S$1005,$B$6:$B$1005,Z163,$I$6:$I$1005,AE163))</f>
        <v/>
      </c>
    </row>
    <row r="164" ht="20" customHeight="1">
      <c r="B164" s="72" t="n"/>
      <c r="C164" s="72" t="n"/>
      <c r="D164" s="72" t="n"/>
      <c r="E164" s="72" t="n"/>
      <c r="F164" s="110" t="n"/>
      <c r="G164" s="73" t="n"/>
      <c r="H164" s="75">
        <f>IF(B164="","",IF(G164&lt;&gt;"",G164,IF(F164&lt;&gt;"",F164*IFERROR(INDEX('Contractors'!$I$6:$I$1005,MATCH(B164,'Contractors'!$B$6:$B$1005,0)),0),"")))</f>
        <v/>
      </c>
      <c r="I164" s="109" t="n"/>
      <c r="J164" s="72" t="n"/>
      <c r="K164" s="109" t="n"/>
      <c r="L164" s="73" t="n"/>
      <c r="M164" s="109" t="n"/>
      <c r="N164" s="73" t="n"/>
      <c r="O164" s="107">
        <f>IF(B164="","",IF(M164&lt;&gt;"","Paid",IF(AND(I164&lt;&gt;"",I164&lt;AsOf),"OVERDUE",IF(OR(K164&lt;&gt;"",L164&lt;&gt;""),"Invoiced","Scheduled"))))</f>
        <v/>
      </c>
      <c r="P164" s="115">
        <f>IF(B164="","",IF(E164&lt;&gt;"",E164,IFERROR(INDEX('Contractors'!$D$6:$D$1005,MATCH(B164,'Contractors'!$B$6:$B$1005,0)),"")))</f>
        <v/>
      </c>
      <c r="Q164" s="79">
        <f>IF(B164="","",IF(D164&lt;&gt;"",D164,IFERROR(INDEX('Contractors'!$E$6:$E$1005,MATCH(B164,'Contractors'!$B$6:$B$1005,0)),"")))</f>
        <v/>
      </c>
      <c r="R164" s="79">
        <f>IF(O164="","",IF(O164="OVERDUE",2,IF(O164="Paid",0,IF(AND(I164&lt;&gt;"",I164&lt;=AsOf+AlertDays),1,0))))</f>
        <v/>
      </c>
      <c r="S164" s="79">
        <f>IF(AND(B164&lt;&gt;"",M164="",I164&lt;&gt;""),IF(L164&lt;&gt;"",L164,IF(H164="",0,H164)),0)</f>
        <v/>
      </c>
      <c r="T164" s="79">
        <f>IF(AND(B164&lt;&gt;"",M164="",I164&lt;&gt;""),1/I164,0)</f>
        <v/>
      </c>
      <c r="U164" s="112">
        <f>IF(AND(B164&lt;&gt;"",M164="",I164&lt;&gt;""),I164,"")</f>
        <v/>
      </c>
      <c r="V164" s="79">
        <f>IF(U164="","",IF(U164&lt;AsOf,1,IF(U164&lt;=AsOf+AlertDays,2,IF(U164&lt;=AsOf+2*AlertDays,3,""))))</f>
        <v/>
      </c>
      <c r="W164" s="79">
        <f>IF(V164="","",IF(O164="OVERDUE","Overdue payment: ","Payment due: ")&amp;B164&amp;" — "&amp;C164&amp;" ("&amp;CurSym&amp;" "&amp;FIXED(S164,0)&amp;")")</f>
        <v/>
      </c>
      <c r="Z164" s="116">
        <f>IF('Contractors'!B164="","",'Contractors'!B164)</f>
        <v/>
      </c>
      <c r="AA164" s="77">
        <f>IF(Z164="","",'Contractors'!K164)</f>
        <v/>
      </c>
      <c r="AB164" s="77">
        <f>IF(Z164="","",SUMIFS($L$6:$L$1005,$B$6:$B$1005,Z164))</f>
        <v/>
      </c>
      <c r="AC164" s="77">
        <f>IF(Z164="","",SUMIFS($N$6:$N$1005,$B$6:$B$1005,Z164))</f>
        <v/>
      </c>
      <c r="AD164" s="76">
        <f>IF(Z164="","",AA164-AC164)</f>
        <v/>
      </c>
      <c r="AE164" s="117">
        <f>IF(Z164="","",IFERROR(1/SUMPRODUCT(MAX(($B$6:$B$1005=Z164)*$T$6:$T$1005)),""))</f>
        <v/>
      </c>
      <c r="AF164" s="77">
        <f>IF(AE164="","",SUMIFS($S$6:$S$1005,$B$6:$B$1005,Z164,$I$6:$I$1005,AE164))</f>
        <v/>
      </c>
    </row>
    <row r="165" ht="20" customHeight="1">
      <c r="B165" s="72" t="n"/>
      <c r="C165" s="72" t="n"/>
      <c r="D165" s="72" t="n"/>
      <c r="E165" s="72" t="n"/>
      <c r="F165" s="110" t="n"/>
      <c r="G165" s="73" t="n"/>
      <c r="H165" s="75">
        <f>IF(B165="","",IF(G165&lt;&gt;"",G165,IF(F165&lt;&gt;"",F165*IFERROR(INDEX('Contractors'!$I$6:$I$1005,MATCH(B165,'Contractors'!$B$6:$B$1005,0)),0),"")))</f>
        <v/>
      </c>
      <c r="I165" s="109" t="n"/>
      <c r="J165" s="72" t="n"/>
      <c r="K165" s="109" t="n"/>
      <c r="L165" s="73" t="n"/>
      <c r="M165" s="109" t="n"/>
      <c r="N165" s="73" t="n"/>
      <c r="O165" s="107">
        <f>IF(B165="","",IF(M165&lt;&gt;"","Paid",IF(AND(I165&lt;&gt;"",I165&lt;AsOf),"OVERDUE",IF(OR(K165&lt;&gt;"",L165&lt;&gt;""),"Invoiced","Scheduled"))))</f>
        <v/>
      </c>
      <c r="P165" s="115">
        <f>IF(B165="","",IF(E165&lt;&gt;"",E165,IFERROR(INDEX('Contractors'!$D$6:$D$1005,MATCH(B165,'Contractors'!$B$6:$B$1005,0)),"")))</f>
        <v/>
      </c>
      <c r="Q165" s="79">
        <f>IF(B165="","",IF(D165&lt;&gt;"",D165,IFERROR(INDEX('Contractors'!$E$6:$E$1005,MATCH(B165,'Contractors'!$B$6:$B$1005,0)),"")))</f>
        <v/>
      </c>
      <c r="R165" s="79">
        <f>IF(O165="","",IF(O165="OVERDUE",2,IF(O165="Paid",0,IF(AND(I165&lt;&gt;"",I165&lt;=AsOf+AlertDays),1,0))))</f>
        <v/>
      </c>
      <c r="S165" s="79">
        <f>IF(AND(B165&lt;&gt;"",M165="",I165&lt;&gt;""),IF(L165&lt;&gt;"",L165,IF(H165="",0,H165)),0)</f>
        <v/>
      </c>
      <c r="T165" s="79">
        <f>IF(AND(B165&lt;&gt;"",M165="",I165&lt;&gt;""),1/I165,0)</f>
        <v/>
      </c>
      <c r="U165" s="112">
        <f>IF(AND(B165&lt;&gt;"",M165="",I165&lt;&gt;""),I165,"")</f>
        <v/>
      </c>
      <c r="V165" s="79">
        <f>IF(U165="","",IF(U165&lt;AsOf,1,IF(U165&lt;=AsOf+AlertDays,2,IF(U165&lt;=AsOf+2*AlertDays,3,""))))</f>
        <v/>
      </c>
      <c r="W165" s="79">
        <f>IF(V165="","",IF(O165="OVERDUE","Overdue payment: ","Payment due: ")&amp;B165&amp;" — "&amp;C165&amp;" ("&amp;CurSym&amp;" "&amp;FIXED(S165,0)&amp;")")</f>
        <v/>
      </c>
      <c r="Z165" s="116">
        <f>IF('Contractors'!B165="","",'Contractors'!B165)</f>
        <v/>
      </c>
      <c r="AA165" s="77">
        <f>IF(Z165="","",'Contractors'!K165)</f>
        <v/>
      </c>
      <c r="AB165" s="77">
        <f>IF(Z165="","",SUMIFS($L$6:$L$1005,$B$6:$B$1005,Z165))</f>
        <v/>
      </c>
      <c r="AC165" s="77">
        <f>IF(Z165="","",SUMIFS($N$6:$N$1005,$B$6:$B$1005,Z165))</f>
        <v/>
      </c>
      <c r="AD165" s="76">
        <f>IF(Z165="","",AA165-AC165)</f>
        <v/>
      </c>
      <c r="AE165" s="117">
        <f>IF(Z165="","",IFERROR(1/SUMPRODUCT(MAX(($B$6:$B$1005=Z165)*$T$6:$T$1005)),""))</f>
        <v/>
      </c>
      <c r="AF165" s="77">
        <f>IF(AE165="","",SUMIFS($S$6:$S$1005,$B$6:$B$1005,Z165,$I$6:$I$1005,AE165))</f>
        <v/>
      </c>
    </row>
    <row r="166" ht="20" customHeight="1">
      <c r="B166" s="72" t="n"/>
      <c r="C166" s="72" t="n"/>
      <c r="D166" s="72" t="n"/>
      <c r="E166" s="72" t="n"/>
      <c r="F166" s="110" t="n"/>
      <c r="G166" s="73" t="n"/>
      <c r="H166" s="75">
        <f>IF(B166="","",IF(G166&lt;&gt;"",G166,IF(F166&lt;&gt;"",F166*IFERROR(INDEX('Contractors'!$I$6:$I$1005,MATCH(B166,'Contractors'!$B$6:$B$1005,0)),0),"")))</f>
        <v/>
      </c>
      <c r="I166" s="109" t="n"/>
      <c r="J166" s="72" t="n"/>
      <c r="K166" s="109" t="n"/>
      <c r="L166" s="73" t="n"/>
      <c r="M166" s="109" t="n"/>
      <c r="N166" s="73" t="n"/>
      <c r="O166" s="107">
        <f>IF(B166="","",IF(M166&lt;&gt;"","Paid",IF(AND(I166&lt;&gt;"",I166&lt;AsOf),"OVERDUE",IF(OR(K166&lt;&gt;"",L166&lt;&gt;""),"Invoiced","Scheduled"))))</f>
        <v/>
      </c>
      <c r="P166" s="115">
        <f>IF(B166="","",IF(E166&lt;&gt;"",E166,IFERROR(INDEX('Contractors'!$D$6:$D$1005,MATCH(B166,'Contractors'!$B$6:$B$1005,0)),"")))</f>
        <v/>
      </c>
      <c r="Q166" s="79">
        <f>IF(B166="","",IF(D166&lt;&gt;"",D166,IFERROR(INDEX('Contractors'!$E$6:$E$1005,MATCH(B166,'Contractors'!$B$6:$B$1005,0)),"")))</f>
        <v/>
      </c>
      <c r="R166" s="79">
        <f>IF(O166="","",IF(O166="OVERDUE",2,IF(O166="Paid",0,IF(AND(I166&lt;&gt;"",I166&lt;=AsOf+AlertDays),1,0))))</f>
        <v/>
      </c>
      <c r="S166" s="79">
        <f>IF(AND(B166&lt;&gt;"",M166="",I166&lt;&gt;""),IF(L166&lt;&gt;"",L166,IF(H166="",0,H166)),0)</f>
        <v/>
      </c>
      <c r="T166" s="79">
        <f>IF(AND(B166&lt;&gt;"",M166="",I166&lt;&gt;""),1/I166,0)</f>
        <v/>
      </c>
      <c r="U166" s="112">
        <f>IF(AND(B166&lt;&gt;"",M166="",I166&lt;&gt;""),I166,"")</f>
        <v/>
      </c>
      <c r="V166" s="79">
        <f>IF(U166="","",IF(U166&lt;AsOf,1,IF(U166&lt;=AsOf+AlertDays,2,IF(U166&lt;=AsOf+2*AlertDays,3,""))))</f>
        <v/>
      </c>
      <c r="W166" s="79">
        <f>IF(V166="","",IF(O166="OVERDUE","Overdue payment: ","Payment due: ")&amp;B166&amp;" — "&amp;C166&amp;" ("&amp;CurSym&amp;" "&amp;FIXED(S166,0)&amp;")")</f>
        <v/>
      </c>
      <c r="Z166" s="116">
        <f>IF('Contractors'!B166="","",'Contractors'!B166)</f>
        <v/>
      </c>
      <c r="AA166" s="77">
        <f>IF(Z166="","",'Contractors'!K166)</f>
        <v/>
      </c>
      <c r="AB166" s="77">
        <f>IF(Z166="","",SUMIFS($L$6:$L$1005,$B$6:$B$1005,Z166))</f>
        <v/>
      </c>
      <c r="AC166" s="77">
        <f>IF(Z166="","",SUMIFS($N$6:$N$1005,$B$6:$B$1005,Z166))</f>
        <v/>
      </c>
      <c r="AD166" s="76">
        <f>IF(Z166="","",AA166-AC166)</f>
        <v/>
      </c>
      <c r="AE166" s="117">
        <f>IF(Z166="","",IFERROR(1/SUMPRODUCT(MAX(($B$6:$B$1005=Z166)*$T$6:$T$1005)),""))</f>
        <v/>
      </c>
      <c r="AF166" s="77">
        <f>IF(AE166="","",SUMIFS($S$6:$S$1005,$B$6:$B$1005,Z166,$I$6:$I$1005,AE166))</f>
        <v/>
      </c>
    </row>
    <row r="167" ht="20" customHeight="1">
      <c r="B167" s="72" t="n"/>
      <c r="C167" s="72" t="n"/>
      <c r="D167" s="72" t="n"/>
      <c r="E167" s="72" t="n"/>
      <c r="F167" s="110" t="n"/>
      <c r="G167" s="73" t="n"/>
      <c r="H167" s="75">
        <f>IF(B167="","",IF(G167&lt;&gt;"",G167,IF(F167&lt;&gt;"",F167*IFERROR(INDEX('Contractors'!$I$6:$I$1005,MATCH(B167,'Contractors'!$B$6:$B$1005,0)),0),"")))</f>
        <v/>
      </c>
      <c r="I167" s="109" t="n"/>
      <c r="J167" s="72" t="n"/>
      <c r="K167" s="109" t="n"/>
      <c r="L167" s="73" t="n"/>
      <c r="M167" s="109" t="n"/>
      <c r="N167" s="73" t="n"/>
      <c r="O167" s="107">
        <f>IF(B167="","",IF(M167&lt;&gt;"","Paid",IF(AND(I167&lt;&gt;"",I167&lt;AsOf),"OVERDUE",IF(OR(K167&lt;&gt;"",L167&lt;&gt;""),"Invoiced","Scheduled"))))</f>
        <v/>
      </c>
      <c r="P167" s="115">
        <f>IF(B167="","",IF(E167&lt;&gt;"",E167,IFERROR(INDEX('Contractors'!$D$6:$D$1005,MATCH(B167,'Contractors'!$B$6:$B$1005,0)),"")))</f>
        <v/>
      </c>
      <c r="Q167" s="79">
        <f>IF(B167="","",IF(D167&lt;&gt;"",D167,IFERROR(INDEX('Contractors'!$E$6:$E$1005,MATCH(B167,'Contractors'!$B$6:$B$1005,0)),"")))</f>
        <v/>
      </c>
      <c r="R167" s="79">
        <f>IF(O167="","",IF(O167="OVERDUE",2,IF(O167="Paid",0,IF(AND(I167&lt;&gt;"",I167&lt;=AsOf+AlertDays),1,0))))</f>
        <v/>
      </c>
      <c r="S167" s="79">
        <f>IF(AND(B167&lt;&gt;"",M167="",I167&lt;&gt;""),IF(L167&lt;&gt;"",L167,IF(H167="",0,H167)),0)</f>
        <v/>
      </c>
      <c r="T167" s="79">
        <f>IF(AND(B167&lt;&gt;"",M167="",I167&lt;&gt;""),1/I167,0)</f>
        <v/>
      </c>
      <c r="U167" s="112">
        <f>IF(AND(B167&lt;&gt;"",M167="",I167&lt;&gt;""),I167,"")</f>
        <v/>
      </c>
      <c r="V167" s="79">
        <f>IF(U167="","",IF(U167&lt;AsOf,1,IF(U167&lt;=AsOf+AlertDays,2,IF(U167&lt;=AsOf+2*AlertDays,3,""))))</f>
        <v/>
      </c>
      <c r="W167" s="79">
        <f>IF(V167="","",IF(O167="OVERDUE","Overdue payment: ","Payment due: ")&amp;B167&amp;" — "&amp;C167&amp;" ("&amp;CurSym&amp;" "&amp;FIXED(S167,0)&amp;")")</f>
        <v/>
      </c>
      <c r="Z167" s="116">
        <f>IF('Contractors'!B167="","",'Contractors'!B167)</f>
        <v/>
      </c>
      <c r="AA167" s="77">
        <f>IF(Z167="","",'Contractors'!K167)</f>
        <v/>
      </c>
      <c r="AB167" s="77">
        <f>IF(Z167="","",SUMIFS($L$6:$L$1005,$B$6:$B$1005,Z167))</f>
        <v/>
      </c>
      <c r="AC167" s="77">
        <f>IF(Z167="","",SUMIFS($N$6:$N$1005,$B$6:$B$1005,Z167))</f>
        <v/>
      </c>
      <c r="AD167" s="76">
        <f>IF(Z167="","",AA167-AC167)</f>
        <v/>
      </c>
      <c r="AE167" s="117">
        <f>IF(Z167="","",IFERROR(1/SUMPRODUCT(MAX(($B$6:$B$1005=Z167)*$T$6:$T$1005)),""))</f>
        <v/>
      </c>
      <c r="AF167" s="77">
        <f>IF(AE167="","",SUMIFS($S$6:$S$1005,$B$6:$B$1005,Z167,$I$6:$I$1005,AE167))</f>
        <v/>
      </c>
    </row>
    <row r="168" ht="20" customHeight="1">
      <c r="B168" s="72" t="n"/>
      <c r="C168" s="72" t="n"/>
      <c r="D168" s="72" t="n"/>
      <c r="E168" s="72" t="n"/>
      <c r="F168" s="110" t="n"/>
      <c r="G168" s="73" t="n"/>
      <c r="H168" s="75">
        <f>IF(B168="","",IF(G168&lt;&gt;"",G168,IF(F168&lt;&gt;"",F168*IFERROR(INDEX('Contractors'!$I$6:$I$1005,MATCH(B168,'Contractors'!$B$6:$B$1005,0)),0),"")))</f>
        <v/>
      </c>
      <c r="I168" s="109" t="n"/>
      <c r="J168" s="72" t="n"/>
      <c r="K168" s="109" t="n"/>
      <c r="L168" s="73" t="n"/>
      <c r="M168" s="109" t="n"/>
      <c r="N168" s="73" t="n"/>
      <c r="O168" s="107">
        <f>IF(B168="","",IF(M168&lt;&gt;"","Paid",IF(AND(I168&lt;&gt;"",I168&lt;AsOf),"OVERDUE",IF(OR(K168&lt;&gt;"",L168&lt;&gt;""),"Invoiced","Scheduled"))))</f>
        <v/>
      </c>
      <c r="P168" s="115">
        <f>IF(B168="","",IF(E168&lt;&gt;"",E168,IFERROR(INDEX('Contractors'!$D$6:$D$1005,MATCH(B168,'Contractors'!$B$6:$B$1005,0)),"")))</f>
        <v/>
      </c>
      <c r="Q168" s="79">
        <f>IF(B168="","",IF(D168&lt;&gt;"",D168,IFERROR(INDEX('Contractors'!$E$6:$E$1005,MATCH(B168,'Contractors'!$B$6:$B$1005,0)),"")))</f>
        <v/>
      </c>
      <c r="R168" s="79">
        <f>IF(O168="","",IF(O168="OVERDUE",2,IF(O168="Paid",0,IF(AND(I168&lt;&gt;"",I168&lt;=AsOf+AlertDays),1,0))))</f>
        <v/>
      </c>
      <c r="S168" s="79">
        <f>IF(AND(B168&lt;&gt;"",M168="",I168&lt;&gt;""),IF(L168&lt;&gt;"",L168,IF(H168="",0,H168)),0)</f>
        <v/>
      </c>
      <c r="T168" s="79">
        <f>IF(AND(B168&lt;&gt;"",M168="",I168&lt;&gt;""),1/I168,0)</f>
        <v/>
      </c>
      <c r="U168" s="112">
        <f>IF(AND(B168&lt;&gt;"",M168="",I168&lt;&gt;""),I168,"")</f>
        <v/>
      </c>
      <c r="V168" s="79">
        <f>IF(U168="","",IF(U168&lt;AsOf,1,IF(U168&lt;=AsOf+AlertDays,2,IF(U168&lt;=AsOf+2*AlertDays,3,""))))</f>
        <v/>
      </c>
      <c r="W168" s="79">
        <f>IF(V168="","",IF(O168="OVERDUE","Overdue payment: ","Payment due: ")&amp;B168&amp;" — "&amp;C168&amp;" ("&amp;CurSym&amp;" "&amp;FIXED(S168,0)&amp;")")</f>
        <v/>
      </c>
      <c r="Z168" s="116">
        <f>IF('Contractors'!B168="","",'Contractors'!B168)</f>
        <v/>
      </c>
      <c r="AA168" s="77">
        <f>IF(Z168="","",'Contractors'!K168)</f>
        <v/>
      </c>
      <c r="AB168" s="77">
        <f>IF(Z168="","",SUMIFS($L$6:$L$1005,$B$6:$B$1005,Z168))</f>
        <v/>
      </c>
      <c r="AC168" s="77">
        <f>IF(Z168="","",SUMIFS($N$6:$N$1005,$B$6:$B$1005,Z168))</f>
        <v/>
      </c>
      <c r="AD168" s="76">
        <f>IF(Z168="","",AA168-AC168)</f>
        <v/>
      </c>
      <c r="AE168" s="117">
        <f>IF(Z168="","",IFERROR(1/SUMPRODUCT(MAX(($B$6:$B$1005=Z168)*$T$6:$T$1005)),""))</f>
        <v/>
      </c>
      <c r="AF168" s="77">
        <f>IF(AE168="","",SUMIFS($S$6:$S$1005,$B$6:$B$1005,Z168,$I$6:$I$1005,AE168))</f>
        <v/>
      </c>
    </row>
    <row r="169" ht="20" customHeight="1">
      <c r="B169" s="72" t="n"/>
      <c r="C169" s="72" t="n"/>
      <c r="D169" s="72" t="n"/>
      <c r="E169" s="72" t="n"/>
      <c r="F169" s="110" t="n"/>
      <c r="G169" s="73" t="n"/>
      <c r="H169" s="75">
        <f>IF(B169="","",IF(G169&lt;&gt;"",G169,IF(F169&lt;&gt;"",F169*IFERROR(INDEX('Contractors'!$I$6:$I$1005,MATCH(B169,'Contractors'!$B$6:$B$1005,0)),0),"")))</f>
        <v/>
      </c>
      <c r="I169" s="109" t="n"/>
      <c r="J169" s="72" t="n"/>
      <c r="K169" s="109" t="n"/>
      <c r="L169" s="73" t="n"/>
      <c r="M169" s="109" t="n"/>
      <c r="N169" s="73" t="n"/>
      <c r="O169" s="107">
        <f>IF(B169="","",IF(M169&lt;&gt;"","Paid",IF(AND(I169&lt;&gt;"",I169&lt;AsOf),"OVERDUE",IF(OR(K169&lt;&gt;"",L169&lt;&gt;""),"Invoiced","Scheduled"))))</f>
        <v/>
      </c>
      <c r="P169" s="115">
        <f>IF(B169="","",IF(E169&lt;&gt;"",E169,IFERROR(INDEX('Contractors'!$D$6:$D$1005,MATCH(B169,'Contractors'!$B$6:$B$1005,0)),"")))</f>
        <v/>
      </c>
      <c r="Q169" s="79">
        <f>IF(B169="","",IF(D169&lt;&gt;"",D169,IFERROR(INDEX('Contractors'!$E$6:$E$1005,MATCH(B169,'Contractors'!$B$6:$B$1005,0)),"")))</f>
        <v/>
      </c>
      <c r="R169" s="79">
        <f>IF(O169="","",IF(O169="OVERDUE",2,IF(O169="Paid",0,IF(AND(I169&lt;&gt;"",I169&lt;=AsOf+AlertDays),1,0))))</f>
        <v/>
      </c>
      <c r="S169" s="79">
        <f>IF(AND(B169&lt;&gt;"",M169="",I169&lt;&gt;""),IF(L169&lt;&gt;"",L169,IF(H169="",0,H169)),0)</f>
        <v/>
      </c>
      <c r="T169" s="79">
        <f>IF(AND(B169&lt;&gt;"",M169="",I169&lt;&gt;""),1/I169,0)</f>
        <v/>
      </c>
      <c r="U169" s="112">
        <f>IF(AND(B169&lt;&gt;"",M169="",I169&lt;&gt;""),I169,"")</f>
        <v/>
      </c>
      <c r="V169" s="79">
        <f>IF(U169="","",IF(U169&lt;AsOf,1,IF(U169&lt;=AsOf+AlertDays,2,IF(U169&lt;=AsOf+2*AlertDays,3,""))))</f>
        <v/>
      </c>
      <c r="W169" s="79">
        <f>IF(V169="","",IF(O169="OVERDUE","Overdue payment: ","Payment due: ")&amp;B169&amp;" — "&amp;C169&amp;" ("&amp;CurSym&amp;" "&amp;FIXED(S169,0)&amp;")")</f>
        <v/>
      </c>
      <c r="Z169" s="116">
        <f>IF('Contractors'!B169="","",'Contractors'!B169)</f>
        <v/>
      </c>
      <c r="AA169" s="77">
        <f>IF(Z169="","",'Contractors'!K169)</f>
        <v/>
      </c>
      <c r="AB169" s="77">
        <f>IF(Z169="","",SUMIFS($L$6:$L$1005,$B$6:$B$1005,Z169))</f>
        <v/>
      </c>
      <c r="AC169" s="77">
        <f>IF(Z169="","",SUMIFS($N$6:$N$1005,$B$6:$B$1005,Z169))</f>
        <v/>
      </c>
      <c r="AD169" s="76">
        <f>IF(Z169="","",AA169-AC169)</f>
        <v/>
      </c>
      <c r="AE169" s="117">
        <f>IF(Z169="","",IFERROR(1/SUMPRODUCT(MAX(($B$6:$B$1005=Z169)*$T$6:$T$1005)),""))</f>
        <v/>
      </c>
      <c r="AF169" s="77">
        <f>IF(AE169="","",SUMIFS($S$6:$S$1005,$B$6:$B$1005,Z169,$I$6:$I$1005,AE169))</f>
        <v/>
      </c>
    </row>
    <row r="170" ht="20" customHeight="1">
      <c r="B170" s="72" t="n"/>
      <c r="C170" s="72" t="n"/>
      <c r="D170" s="72" t="n"/>
      <c r="E170" s="72" t="n"/>
      <c r="F170" s="110" t="n"/>
      <c r="G170" s="73" t="n"/>
      <c r="H170" s="75">
        <f>IF(B170="","",IF(G170&lt;&gt;"",G170,IF(F170&lt;&gt;"",F170*IFERROR(INDEX('Contractors'!$I$6:$I$1005,MATCH(B170,'Contractors'!$B$6:$B$1005,0)),0),"")))</f>
        <v/>
      </c>
      <c r="I170" s="109" t="n"/>
      <c r="J170" s="72" t="n"/>
      <c r="K170" s="109" t="n"/>
      <c r="L170" s="73" t="n"/>
      <c r="M170" s="109" t="n"/>
      <c r="N170" s="73" t="n"/>
      <c r="O170" s="107">
        <f>IF(B170="","",IF(M170&lt;&gt;"","Paid",IF(AND(I170&lt;&gt;"",I170&lt;AsOf),"OVERDUE",IF(OR(K170&lt;&gt;"",L170&lt;&gt;""),"Invoiced","Scheduled"))))</f>
        <v/>
      </c>
      <c r="P170" s="115">
        <f>IF(B170="","",IF(E170&lt;&gt;"",E170,IFERROR(INDEX('Contractors'!$D$6:$D$1005,MATCH(B170,'Contractors'!$B$6:$B$1005,0)),"")))</f>
        <v/>
      </c>
      <c r="Q170" s="79">
        <f>IF(B170="","",IF(D170&lt;&gt;"",D170,IFERROR(INDEX('Contractors'!$E$6:$E$1005,MATCH(B170,'Contractors'!$B$6:$B$1005,0)),"")))</f>
        <v/>
      </c>
      <c r="R170" s="79">
        <f>IF(O170="","",IF(O170="OVERDUE",2,IF(O170="Paid",0,IF(AND(I170&lt;&gt;"",I170&lt;=AsOf+AlertDays),1,0))))</f>
        <v/>
      </c>
      <c r="S170" s="79">
        <f>IF(AND(B170&lt;&gt;"",M170="",I170&lt;&gt;""),IF(L170&lt;&gt;"",L170,IF(H170="",0,H170)),0)</f>
        <v/>
      </c>
      <c r="T170" s="79">
        <f>IF(AND(B170&lt;&gt;"",M170="",I170&lt;&gt;""),1/I170,0)</f>
        <v/>
      </c>
      <c r="U170" s="112">
        <f>IF(AND(B170&lt;&gt;"",M170="",I170&lt;&gt;""),I170,"")</f>
        <v/>
      </c>
      <c r="V170" s="79">
        <f>IF(U170="","",IF(U170&lt;AsOf,1,IF(U170&lt;=AsOf+AlertDays,2,IF(U170&lt;=AsOf+2*AlertDays,3,""))))</f>
        <v/>
      </c>
      <c r="W170" s="79">
        <f>IF(V170="","",IF(O170="OVERDUE","Overdue payment: ","Payment due: ")&amp;B170&amp;" — "&amp;C170&amp;" ("&amp;CurSym&amp;" "&amp;FIXED(S170,0)&amp;")")</f>
        <v/>
      </c>
      <c r="Z170" s="116">
        <f>IF('Contractors'!B170="","",'Contractors'!B170)</f>
        <v/>
      </c>
      <c r="AA170" s="77">
        <f>IF(Z170="","",'Contractors'!K170)</f>
        <v/>
      </c>
      <c r="AB170" s="77">
        <f>IF(Z170="","",SUMIFS($L$6:$L$1005,$B$6:$B$1005,Z170))</f>
        <v/>
      </c>
      <c r="AC170" s="77">
        <f>IF(Z170="","",SUMIFS($N$6:$N$1005,$B$6:$B$1005,Z170))</f>
        <v/>
      </c>
      <c r="AD170" s="76">
        <f>IF(Z170="","",AA170-AC170)</f>
        <v/>
      </c>
      <c r="AE170" s="117">
        <f>IF(Z170="","",IFERROR(1/SUMPRODUCT(MAX(($B$6:$B$1005=Z170)*$T$6:$T$1005)),""))</f>
        <v/>
      </c>
      <c r="AF170" s="77">
        <f>IF(AE170="","",SUMIFS($S$6:$S$1005,$B$6:$B$1005,Z170,$I$6:$I$1005,AE170))</f>
        <v/>
      </c>
    </row>
    <row r="171" ht="20" customHeight="1">
      <c r="B171" s="72" t="n"/>
      <c r="C171" s="72" t="n"/>
      <c r="D171" s="72" t="n"/>
      <c r="E171" s="72" t="n"/>
      <c r="F171" s="110" t="n"/>
      <c r="G171" s="73" t="n"/>
      <c r="H171" s="75">
        <f>IF(B171="","",IF(G171&lt;&gt;"",G171,IF(F171&lt;&gt;"",F171*IFERROR(INDEX('Contractors'!$I$6:$I$1005,MATCH(B171,'Contractors'!$B$6:$B$1005,0)),0),"")))</f>
        <v/>
      </c>
      <c r="I171" s="109" t="n"/>
      <c r="J171" s="72" t="n"/>
      <c r="K171" s="109" t="n"/>
      <c r="L171" s="73" t="n"/>
      <c r="M171" s="109" t="n"/>
      <c r="N171" s="73" t="n"/>
      <c r="O171" s="107">
        <f>IF(B171="","",IF(M171&lt;&gt;"","Paid",IF(AND(I171&lt;&gt;"",I171&lt;AsOf),"OVERDUE",IF(OR(K171&lt;&gt;"",L171&lt;&gt;""),"Invoiced","Scheduled"))))</f>
        <v/>
      </c>
      <c r="P171" s="115">
        <f>IF(B171="","",IF(E171&lt;&gt;"",E171,IFERROR(INDEX('Contractors'!$D$6:$D$1005,MATCH(B171,'Contractors'!$B$6:$B$1005,0)),"")))</f>
        <v/>
      </c>
      <c r="Q171" s="79">
        <f>IF(B171="","",IF(D171&lt;&gt;"",D171,IFERROR(INDEX('Contractors'!$E$6:$E$1005,MATCH(B171,'Contractors'!$B$6:$B$1005,0)),"")))</f>
        <v/>
      </c>
      <c r="R171" s="79">
        <f>IF(O171="","",IF(O171="OVERDUE",2,IF(O171="Paid",0,IF(AND(I171&lt;&gt;"",I171&lt;=AsOf+AlertDays),1,0))))</f>
        <v/>
      </c>
      <c r="S171" s="79">
        <f>IF(AND(B171&lt;&gt;"",M171="",I171&lt;&gt;""),IF(L171&lt;&gt;"",L171,IF(H171="",0,H171)),0)</f>
        <v/>
      </c>
      <c r="T171" s="79">
        <f>IF(AND(B171&lt;&gt;"",M171="",I171&lt;&gt;""),1/I171,0)</f>
        <v/>
      </c>
      <c r="U171" s="112">
        <f>IF(AND(B171&lt;&gt;"",M171="",I171&lt;&gt;""),I171,"")</f>
        <v/>
      </c>
      <c r="V171" s="79">
        <f>IF(U171="","",IF(U171&lt;AsOf,1,IF(U171&lt;=AsOf+AlertDays,2,IF(U171&lt;=AsOf+2*AlertDays,3,""))))</f>
        <v/>
      </c>
      <c r="W171" s="79">
        <f>IF(V171="","",IF(O171="OVERDUE","Overdue payment: ","Payment due: ")&amp;B171&amp;" — "&amp;C171&amp;" ("&amp;CurSym&amp;" "&amp;FIXED(S171,0)&amp;")")</f>
        <v/>
      </c>
      <c r="Z171" s="116">
        <f>IF('Contractors'!B171="","",'Contractors'!B171)</f>
        <v/>
      </c>
      <c r="AA171" s="77">
        <f>IF(Z171="","",'Contractors'!K171)</f>
        <v/>
      </c>
      <c r="AB171" s="77">
        <f>IF(Z171="","",SUMIFS($L$6:$L$1005,$B$6:$B$1005,Z171))</f>
        <v/>
      </c>
      <c r="AC171" s="77">
        <f>IF(Z171="","",SUMIFS($N$6:$N$1005,$B$6:$B$1005,Z171))</f>
        <v/>
      </c>
      <c r="AD171" s="76">
        <f>IF(Z171="","",AA171-AC171)</f>
        <v/>
      </c>
      <c r="AE171" s="117">
        <f>IF(Z171="","",IFERROR(1/SUMPRODUCT(MAX(($B$6:$B$1005=Z171)*$T$6:$T$1005)),""))</f>
        <v/>
      </c>
      <c r="AF171" s="77">
        <f>IF(AE171="","",SUMIFS($S$6:$S$1005,$B$6:$B$1005,Z171,$I$6:$I$1005,AE171))</f>
        <v/>
      </c>
    </row>
    <row r="172" ht="20" customHeight="1">
      <c r="B172" s="72" t="n"/>
      <c r="C172" s="72" t="n"/>
      <c r="D172" s="72" t="n"/>
      <c r="E172" s="72" t="n"/>
      <c r="F172" s="110" t="n"/>
      <c r="G172" s="73" t="n"/>
      <c r="H172" s="75">
        <f>IF(B172="","",IF(G172&lt;&gt;"",G172,IF(F172&lt;&gt;"",F172*IFERROR(INDEX('Contractors'!$I$6:$I$1005,MATCH(B172,'Contractors'!$B$6:$B$1005,0)),0),"")))</f>
        <v/>
      </c>
      <c r="I172" s="109" t="n"/>
      <c r="J172" s="72" t="n"/>
      <c r="K172" s="109" t="n"/>
      <c r="L172" s="73" t="n"/>
      <c r="M172" s="109" t="n"/>
      <c r="N172" s="73" t="n"/>
      <c r="O172" s="107">
        <f>IF(B172="","",IF(M172&lt;&gt;"","Paid",IF(AND(I172&lt;&gt;"",I172&lt;AsOf),"OVERDUE",IF(OR(K172&lt;&gt;"",L172&lt;&gt;""),"Invoiced","Scheduled"))))</f>
        <v/>
      </c>
      <c r="P172" s="115">
        <f>IF(B172="","",IF(E172&lt;&gt;"",E172,IFERROR(INDEX('Contractors'!$D$6:$D$1005,MATCH(B172,'Contractors'!$B$6:$B$1005,0)),"")))</f>
        <v/>
      </c>
      <c r="Q172" s="79">
        <f>IF(B172="","",IF(D172&lt;&gt;"",D172,IFERROR(INDEX('Contractors'!$E$6:$E$1005,MATCH(B172,'Contractors'!$B$6:$B$1005,0)),"")))</f>
        <v/>
      </c>
      <c r="R172" s="79">
        <f>IF(O172="","",IF(O172="OVERDUE",2,IF(O172="Paid",0,IF(AND(I172&lt;&gt;"",I172&lt;=AsOf+AlertDays),1,0))))</f>
        <v/>
      </c>
      <c r="S172" s="79">
        <f>IF(AND(B172&lt;&gt;"",M172="",I172&lt;&gt;""),IF(L172&lt;&gt;"",L172,IF(H172="",0,H172)),0)</f>
        <v/>
      </c>
      <c r="T172" s="79">
        <f>IF(AND(B172&lt;&gt;"",M172="",I172&lt;&gt;""),1/I172,0)</f>
        <v/>
      </c>
      <c r="U172" s="112">
        <f>IF(AND(B172&lt;&gt;"",M172="",I172&lt;&gt;""),I172,"")</f>
        <v/>
      </c>
      <c r="V172" s="79">
        <f>IF(U172="","",IF(U172&lt;AsOf,1,IF(U172&lt;=AsOf+AlertDays,2,IF(U172&lt;=AsOf+2*AlertDays,3,""))))</f>
        <v/>
      </c>
      <c r="W172" s="79">
        <f>IF(V172="","",IF(O172="OVERDUE","Overdue payment: ","Payment due: ")&amp;B172&amp;" — "&amp;C172&amp;" ("&amp;CurSym&amp;" "&amp;FIXED(S172,0)&amp;")")</f>
        <v/>
      </c>
      <c r="Z172" s="116">
        <f>IF('Contractors'!B172="","",'Contractors'!B172)</f>
        <v/>
      </c>
      <c r="AA172" s="77">
        <f>IF(Z172="","",'Contractors'!K172)</f>
        <v/>
      </c>
      <c r="AB172" s="77">
        <f>IF(Z172="","",SUMIFS($L$6:$L$1005,$B$6:$B$1005,Z172))</f>
        <v/>
      </c>
      <c r="AC172" s="77">
        <f>IF(Z172="","",SUMIFS($N$6:$N$1005,$B$6:$B$1005,Z172))</f>
        <v/>
      </c>
      <c r="AD172" s="76">
        <f>IF(Z172="","",AA172-AC172)</f>
        <v/>
      </c>
      <c r="AE172" s="117">
        <f>IF(Z172="","",IFERROR(1/SUMPRODUCT(MAX(($B$6:$B$1005=Z172)*$T$6:$T$1005)),""))</f>
        <v/>
      </c>
      <c r="AF172" s="77">
        <f>IF(AE172="","",SUMIFS($S$6:$S$1005,$B$6:$B$1005,Z172,$I$6:$I$1005,AE172))</f>
        <v/>
      </c>
    </row>
    <row r="173" ht="20" customHeight="1">
      <c r="B173" s="72" t="n"/>
      <c r="C173" s="72" t="n"/>
      <c r="D173" s="72" t="n"/>
      <c r="E173" s="72" t="n"/>
      <c r="F173" s="110" t="n"/>
      <c r="G173" s="73" t="n"/>
      <c r="H173" s="75">
        <f>IF(B173="","",IF(G173&lt;&gt;"",G173,IF(F173&lt;&gt;"",F173*IFERROR(INDEX('Contractors'!$I$6:$I$1005,MATCH(B173,'Contractors'!$B$6:$B$1005,0)),0),"")))</f>
        <v/>
      </c>
      <c r="I173" s="109" t="n"/>
      <c r="J173" s="72" t="n"/>
      <c r="K173" s="109" t="n"/>
      <c r="L173" s="73" t="n"/>
      <c r="M173" s="109" t="n"/>
      <c r="N173" s="73" t="n"/>
      <c r="O173" s="107">
        <f>IF(B173="","",IF(M173&lt;&gt;"","Paid",IF(AND(I173&lt;&gt;"",I173&lt;AsOf),"OVERDUE",IF(OR(K173&lt;&gt;"",L173&lt;&gt;""),"Invoiced","Scheduled"))))</f>
        <v/>
      </c>
      <c r="P173" s="115">
        <f>IF(B173="","",IF(E173&lt;&gt;"",E173,IFERROR(INDEX('Contractors'!$D$6:$D$1005,MATCH(B173,'Contractors'!$B$6:$B$1005,0)),"")))</f>
        <v/>
      </c>
      <c r="Q173" s="79">
        <f>IF(B173="","",IF(D173&lt;&gt;"",D173,IFERROR(INDEX('Contractors'!$E$6:$E$1005,MATCH(B173,'Contractors'!$B$6:$B$1005,0)),"")))</f>
        <v/>
      </c>
      <c r="R173" s="79">
        <f>IF(O173="","",IF(O173="OVERDUE",2,IF(O173="Paid",0,IF(AND(I173&lt;&gt;"",I173&lt;=AsOf+AlertDays),1,0))))</f>
        <v/>
      </c>
      <c r="S173" s="79">
        <f>IF(AND(B173&lt;&gt;"",M173="",I173&lt;&gt;""),IF(L173&lt;&gt;"",L173,IF(H173="",0,H173)),0)</f>
        <v/>
      </c>
      <c r="T173" s="79">
        <f>IF(AND(B173&lt;&gt;"",M173="",I173&lt;&gt;""),1/I173,0)</f>
        <v/>
      </c>
      <c r="U173" s="112">
        <f>IF(AND(B173&lt;&gt;"",M173="",I173&lt;&gt;""),I173,"")</f>
        <v/>
      </c>
      <c r="V173" s="79">
        <f>IF(U173="","",IF(U173&lt;AsOf,1,IF(U173&lt;=AsOf+AlertDays,2,IF(U173&lt;=AsOf+2*AlertDays,3,""))))</f>
        <v/>
      </c>
      <c r="W173" s="79">
        <f>IF(V173="","",IF(O173="OVERDUE","Overdue payment: ","Payment due: ")&amp;B173&amp;" — "&amp;C173&amp;" ("&amp;CurSym&amp;" "&amp;FIXED(S173,0)&amp;")")</f>
        <v/>
      </c>
      <c r="Z173" s="116">
        <f>IF('Contractors'!B173="","",'Contractors'!B173)</f>
        <v/>
      </c>
      <c r="AA173" s="77">
        <f>IF(Z173="","",'Contractors'!K173)</f>
        <v/>
      </c>
      <c r="AB173" s="77">
        <f>IF(Z173="","",SUMIFS($L$6:$L$1005,$B$6:$B$1005,Z173))</f>
        <v/>
      </c>
      <c r="AC173" s="77">
        <f>IF(Z173="","",SUMIFS($N$6:$N$1005,$B$6:$B$1005,Z173))</f>
        <v/>
      </c>
      <c r="AD173" s="76">
        <f>IF(Z173="","",AA173-AC173)</f>
        <v/>
      </c>
      <c r="AE173" s="117">
        <f>IF(Z173="","",IFERROR(1/SUMPRODUCT(MAX(($B$6:$B$1005=Z173)*$T$6:$T$1005)),""))</f>
        <v/>
      </c>
      <c r="AF173" s="77">
        <f>IF(AE173="","",SUMIFS($S$6:$S$1005,$B$6:$B$1005,Z173,$I$6:$I$1005,AE173))</f>
        <v/>
      </c>
    </row>
    <row r="174" ht="20" customHeight="1">
      <c r="B174" s="72" t="n"/>
      <c r="C174" s="72" t="n"/>
      <c r="D174" s="72" t="n"/>
      <c r="E174" s="72" t="n"/>
      <c r="F174" s="110" t="n"/>
      <c r="G174" s="73" t="n"/>
      <c r="H174" s="75">
        <f>IF(B174="","",IF(G174&lt;&gt;"",G174,IF(F174&lt;&gt;"",F174*IFERROR(INDEX('Contractors'!$I$6:$I$1005,MATCH(B174,'Contractors'!$B$6:$B$1005,0)),0),"")))</f>
        <v/>
      </c>
      <c r="I174" s="109" t="n"/>
      <c r="J174" s="72" t="n"/>
      <c r="K174" s="109" t="n"/>
      <c r="L174" s="73" t="n"/>
      <c r="M174" s="109" t="n"/>
      <c r="N174" s="73" t="n"/>
      <c r="O174" s="107">
        <f>IF(B174="","",IF(M174&lt;&gt;"","Paid",IF(AND(I174&lt;&gt;"",I174&lt;AsOf),"OVERDUE",IF(OR(K174&lt;&gt;"",L174&lt;&gt;""),"Invoiced","Scheduled"))))</f>
        <v/>
      </c>
      <c r="P174" s="115">
        <f>IF(B174="","",IF(E174&lt;&gt;"",E174,IFERROR(INDEX('Contractors'!$D$6:$D$1005,MATCH(B174,'Contractors'!$B$6:$B$1005,0)),"")))</f>
        <v/>
      </c>
      <c r="Q174" s="79">
        <f>IF(B174="","",IF(D174&lt;&gt;"",D174,IFERROR(INDEX('Contractors'!$E$6:$E$1005,MATCH(B174,'Contractors'!$B$6:$B$1005,0)),"")))</f>
        <v/>
      </c>
      <c r="R174" s="79">
        <f>IF(O174="","",IF(O174="OVERDUE",2,IF(O174="Paid",0,IF(AND(I174&lt;&gt;"",I174&lt;=AsOf+AlertDays),1,0))))</f>
        <v/>
      </c>
      <c r="S174" s="79">
        <f>IF(AND(B174&lt;&gt;"",M174="",I174&lt;&gt;""),IF(L174&lt;&gt;"",L174,IF(H174="",0,H174)),0)</f>
        <v/>
      </c>
      <c r="T174" s="79">
        <f>IF(AND(B174&lt;&gt;"",M174="",I174&lt;&gt;""),1/I174,0)</f>
        <v/>
      </c>
      <c r="U174" s="112">
        <f>IF(AND(B174&lt;&gt;"",M174="",I174&lt;&gt;""),I174,"")</f>
        <v/>
      </c>
      <c r="V174" s="79">
        <f>IF(U174="","",IF(U174&lt;AsOf,1,IF(U174&lt;=AsOf+AlertDays,2,IF(U174&lt;=AsOf+2*AlertDays,3,""))))</f>
        <v/>
      </c>
      <c r="W174" s="79">
        <f>IF(V174="","",IF(O174="OVERDUE","Overdue payment: ","Payment due: ")&amp;B174&amp;" — "&amp;C174&amp;" ("&amp;CurSym&amp;" "&amp;FIXED(S174,0)&amp;")")</f>
        <v/>
      </c>
      <c r="Z174" s="116">
        <f>IF('Contractors'!B174="","",'Contractors'!B174)</f>
        <v/>
      </c>
      <c r="AA174" s="77">
        <f>IF(Z174="","",'Contractors'!K174)</f>
        <v/>
      </c>
      <c r="AB174" s="77">
        <f>IF(Z174="","",SUMIFS($L$6:$L$1005,$B$6:$B$1005,Z174))</f>
        <v/>
      </c>
      <c r="AC174" s="77">
        <f>IF(Z174="","",SUMIFS($N$6:$N$1005,$B$6:$B$1005,Z174))</f>
        <v/>
      </c>
      <c r="AD174" s="76">
        <f>IF(Z174="","",AA174-AC174)</f>
        <v/>
      </c>
      <c r="AE174" s="117">
        <f>IF(Z174="","",IFERROR(1/SUMPRODUCT(MAX(($B$6:$B$1005=Z174)*$T$6:$T$1005)),""))</f>
        <v/>
      </c>
      <c r="AF174" s="77">
        <f>IF(AE174="","",SUMIFS($S$6:$S$1005,$B$6:$B$1005,Z174,$I$6:$I$1005,AE174))</f>
        <v/>
      </c>
    </row>
    <row r="175" ht="20" customHeight="1">
      <c r="B175" s="72" t="n"/>
      <c r="C175" s="72" t="n"/>
      <c r="D175" s="72" t="n"/>
      <c r="E175" s="72" t="n"/>
      <c r="F175" s="110" t="n"/>
      <c r="G175" s="73" t="n"/>
      <c r="H175" s="75">
        <f>IF(B175="","",IF(G175&lt;&gt;"",G175,IF(F175&lt;&gt;"",F175*IFERROR(INDEX('Contractors'!$I$6:$I$1005,MATCH(B175,'Contractors'!$B$6:$B$1005,0)),0),"")))</f>
        <v/>
      </c>
      <c r="I175" s="109" t="n"/>
      <c r="J175" s="72" t="n"/>
      <c r="K175" s="109" t="n"/>
      <c r="L175" s="73" t="n"/>
      <c r="M175" s="109" t="n"/>
      <c r="N175" s="73" t="n"/>
      <c r="O175" s="107">
        <f>IF(B175="","",IF(M175&lt;&gt;"","Paid",IF(AND(I175&lt;&gt;"",I175&lt;AsOf),"OVERDUE",IF(OR(K175&lt;&gt;"",L175&lt;&gt;""),"Invoiced","Scheduled"))))</f>
        <v/>
      </c>
      <c r="P175" s="115">
        <f>IF(B175="","",IF(E175&lt;&gt;"",E175,IFERROR(INDEX('Contractors'!$D$6:$D$1005,MATCH(B175,'Contractors'!$B$6:$B$1005,0)),"")))</f>
        <v/>
      </c>
      <c r="Q175" s="79">
        <f>IF(B175="","",IF(D175&lt;&gt;"",D175,IFERROR(INDEX('Contractors'!$E$6:$E$1005,MATCH(B175,'Contractors'!$B$6:$B$1005,0)),"")))</f>
        <v/>
      </c>
      <c r="R175" s="79">
        <f>IF(O175="","",IF(O175="OVERDUE",2,IF(O175="Paid",0,IF(AND(I175&lt;&gt;"",I175&lt;=AsOf+AlertDays),1,0))))</f>
        <v/>
      </c>
      <c r="S175" s="79">
        <f>IF(AND(B175&lt;&gt;"",M175="",I175&lt;&gt;""),IF(L175&lt;&gt;"",L175,IF(H175="",0,H175)),0)</f>
        <v/>
      </c>
      <c r="T175" s="79">
        <f>IF(AND(B175&lt;&gt;"",M175="",I175&lt;&gt;""),1/I175,0)</f>
        <v/>
      </c>
      <c r="U175" s="112">
        <f>IF(AND(B175&lt;&gt;"",M175="",I175&lt;&gt;""),I175,"")</f>
        <v/>
      </c>
      <c r="V175" s="79">
        <f>IF(U175="","",IF(U175&lt;AsOf,1,IF(U175&lt;=AsOf+AlertDays,2,IF(U175&lt;=AsOf+2*AlertDays,3,""))))</f>
        <v/>
      </c>
      <c r="W175" s="79">
        <f>IF(V175="","",IF(O175="OVERDUE","Overdue payment: ","Payment due: ")&amp;B175&amp;" — "&amp;C175&amp;" ("&amp;CurSym&amp;" "&amp;FIXED(S175,0)&amp;")")</f>
        <v/>
      </c>
      <c r="Z175" s="116">
        <f>IF('Contractors'!B175="","",'Contractors'!B175)</f>
        <v/>
      </c>
      <c r="AA175" s="77">
        <f>IF(Z175="","",'Contractors'!K175)</f>
        <v/>
      </c>
      <c r="AB175" s="77">
        <f>IF(Z175="","",SUMIFS($L$6:$L$1005,$B$6:$B$1005,Z175))</f>
        <v/>
      </c>
      <c r="AC175" s="77">
        <f>IF(Z175="","",SUMIFS($N$6:$N$1005,$B$6:$B$1005,Z175))</f>
        <v/>
      </c>
      <c r="AD175" s="76">
        <f>IF(Z175="","",AA175-AC175)</f>
        <v/>
      </c>
      <c r="AE175" s="117">
        <f>IF(Z175="","",IFERROR(1/SUMPRODUCT(MAX(($B$6:$B$1005=Z175)*$T$6:$T$1005)),""))</f>
        <v/>
      </c>
      <c r="AF175" s="77">
        <f>IF(AE175="","",SUMIFS($S$6:$S$1005,$B$6:$B$1005,Z175,$I$6:$I$1005,AE175))</f>
        <v/>
      </c>
    </row>
    <row r="176" ht="20" customHeight="1">
      <c r="B176" s="72" t="n"/>
      <c r="C176" s="72" t="n"/>
      <c r="D176" s="72" t="n"/>
      <c r="E176" s="72" t="n"/>
      <c r="F176" s="110" t="n"/>
      <c r="G176" s="73" t="n"/>
      <c r="H176" s="75">
        <f>IF(B176="","",IF(G176&lt;&gt;"",G176,IF(F176&lt;&gt;"",F176*IFERROR(INDEX('Contractors'!$I$6:$I$1005,MATCH(B176,'Contractors'!$B$6:$B$1005,0)),0),"")))</f>
        <v/>
      </c>
      <c r="I176" s="109" t="n"/>
      <c r="J176" s="72" t="n"/>
      <c r="K176" s="109" t="n"/>
      <c r="L176" s="73" t="n"/>
      <c r="M176" s="109" t="n"/>
      <c r="N176" s="73" t="n"/>
      <c r="O176" s="107">
        <f>IF(B176="","",IF(M176&lt;&gt;"","Paid",IF(AND(I176&lt;&gt;"",I176&lt;AsOf),"OVERDUE",IF(OR(K176&lt;&gt;"",L176&lt;&gt;""),"Invoiced","Scheduled"))))</f>
        <v/>
      </c>
      <c r="P176" s="115">
        <f>IF(B176="","",IF(E176&lt;&gt;"",E176,IFERROR(INDEX('Contractors'!$D$6:$D$1005,MATCH(B176,'Contractors'!$B$6:$B$1005,0)),"")))</f>
        <v/>
      </c>
      <c r="Q176" s="79">
        <f>IF(B176="","",IF(D176&lt;&gt;"",D176,IFERROR(INDEX('Contractors'!$E$6:$E$1005,MATCH(B176,'Contractors'!$B$6:$B$1005,0)),"")))</f>
        <v/>
      </c>
      <c r="R176" s="79">
        <f>IF(O176="","",IF(O176="OVERDUE",2,IF(O176="Paid",0,IF(AND(I176&lt;&gt;"",I176&lt;=AsOf+AlertDays),1,0))))</f>
        <v/>
      </c>
      <c r="S176" s="79">
        <f>IF(AND(B176&lt;&gt;"",M176="",I176&lt;&gt;""),IF(L176&lt;&gt;"",L176,IF(H176="",0,H176)),0)</f>
        <v/>
      </c>
      <c r="T176" s="79">
        <f>IF(AND(B176&lt;&gt;"",M176="",I176&lt;&gt;""),1/I176,0)</f>
        <v/>
      </c>
      <c r="U176" s="112">
        <f>IF(AND(B176&lt;&gt;"",M176="",I176&lt;&gt;""),I176,"")</f>
        <v/>
      </c>
      <c r="V176" s="79">
        <f>IF(U176="","",IF(U176&lt;AsOf,1,IF(U176&lt;=AsOf+AlertDays,2,IF(U176&lt;=AsOf+2*AlertDays,3,""))))</f>
        <v/>
      </c>
      <c r="W176" s="79">
        <f>IF(V176="","",IF(O176="OVERDUE","Overdue payment: ","Payment due: ")&amp;B176&amp;" — "&amp;C176&amp;" ("&amp;CurSym&amp;" "&amp;FIXED(S176,0)&amp;")")</f>
        <v/>
      </c>
      <c r="Z176" s="116">
        <f>IF('Contractors'!B176="","",'Contractors'!B176)</f>
        <v/>
      </c>
      <c r="AA176" s="77">
        <f>IF(Z176="","",'Contractors'!K176)</f>
        <v/>
      </c>
      <c r="AB176" s="77">
        <f>IF(Z176="","",SUMIFS($L$6:$L$1005,$B$6:$B$1005,Z176))</f>
        <v/>
      </c>
      <c r="AC176" s="77">
        <f>IF(Z176="","",SUMIFS($N$6:$N$1005,$B$6:$B$1005,Z176))</f>
        <v/>
      </c>
      <c r="AD176" s="76">
        <f>IF(Z176="","",AA176-AC176)</f>
        <v/>
      </c>
      <c r="AE176" s="117">
        <f>IF(Z176="","",IFERROR(1/SUMPRODUCT(MAX(($B$6:$B$1005=Z176)*$T$6:$T$1005)),""))</f>
        <v/>
      </c>
      <c r="AF176" s="77">
        <f>IF(AE176="","",SUMIFS($S$6:$S$1005,$B$6:$B$1005,Z176,$I$6:$I$1005,AE176))</f>
        <v/>
      </c>
    </row>
    <row r="177" ht="20" customHeight="1">
      <c r="B177" s="72" t="n"/>
      <c r="C177" s="72" t="n"/>
      <c r="D177" s="72" t="n"/>
      <c r="E177" s="72" t="n"/>
      <c r="F177" s="110" t="n"/>
      <c r="G177" s="73" t="n"/>
      <c r="H177" s="75">
        <f>IF(B177="","",IF(G177&lt;&gt;"",G177,IF(F177&lt;&gt;"",F177*IFERROR(INDEX('Contractors'!$I$6:$I$1005,MATCH(B177,'Contractors'!$B$6:$B$1005,0)),0),"")))</f>
        <v/>
      </c>
      <c r="I177" s="109" t="n"/>
      <c r="J177" s="72" t="n"/>
      <c r="K177" s="109" t="n"/>
      <c r="L177" s="73" t="n"/>
      <c r="M177" s="109" t="n"/>
      <c r="N177" s="73" t="n"/>
      <c r="O177" s="107">
        <f>IF(B177="","",IF(M177&lt;&gt;"","Paid",IF(AND(I177&lt;&gt;"",I177&lt;AsOf),"OVERDUE",IF(OR(K177&lt;&gt;"",L177&lt;&gt;""),"Invoiced","Scheduled"))))</f>
        <v/>
      </c>
      <c r="P177" s="115">
        <f>IF(B177="","",IF(E177&lt;&gt;"",E177,IFERROR(INDEX('Contractors'!$D$6:$D$1005,MATCH(B177,'Contractors'!$B$6:$B$1005,0)),"")))</f>
        <v/>
      </c>
      <c r="Q177" s="79">
        <f>IF(B177="","",IF(D177&lt;&gt;"",D177,IFERROR(INDEX('Contractors'!$E$6:$E$1005,MATCH(B177,'Contractors'!$B$6:$B$1005,0)),"")))</f>
        <v/>
      </c>
      <c r="R177" s="79">
        <f>IF(O177="","",IF(O177="OVERDUE",2,IF(O177="Paid",0,IF(AND(I177&lt;&gt;"",I177&lt;=AsOf+AlertDays),1,0))))</f>
        <v/>
      </c>
      <c r="S177" s="79">
        <f>IF(AND(B177&lt;&gt;"",M177="",I177&lt;&gt;""),IF(L177&lt;&gt;"",L177,IF(H177="",0,H177)),0)</f>
        <v/>
      </c>
      <c r="T177" s="79">
        <f>IF(AND(B177&lt;&gt;"",M177="",I177&lt;&gt;""),1/I177,0)</f>
        <v/>
      </c>
      <c r="U177" s="112">
        <f>IF(AND(B177&lt;&gt;"",M177="",I177&lt;&gt;""),I177,"")</f>
        <v/>
      </c>
      <c r="V177" s="79">
        <f>IF(U177="","",IF(U177&lt;AsOf,1,IF(U177&lt;=AsOf+AlertDays,2,IF(U177&lt;=AsOf+2*AlertDays,3,""))))</f>
        <v/>
      </c>
      <c r="W177" s="79">
        <f>IF(V177="","",IF(O177="OVERDUE","Overdue payment: ","Payment due: ")&amp;B177&amp;" — "&amp;C177&amp;" ("&amp;CurSym&amp;" "&amp;FIXED(S177,0)&amp;")")</f>
        <v/>
      </c>
      <c r="Z177" s="116">
        <f>IF('Contractors'!B177="","",'Contractors'!B177)</f>
        <v/>
      </c>
      <c r="AA177" s="77">
        <f>IF(Z177="","",'Contractors'!K177)</f>
        <v/>
      </c>
      <c r="AB177" s="77">
        <f>IF(Z177="","",SUMIFS($L$6:$L$1005,$B$6:$B$1005,Z177))</f>
        <v/>
      </c>
      <c r="AC177" s="77">
        <f>IF(Z177="","",SUMIFS($N$6:$N$1005,$B$6:$B$1005,Z177))</f>
        <v/>
      </c>
      <c r="AD177" s="76">
        <f>IF(Z177="","",AA177-AC177)</f>
        <v/>
      </c>
      <c r="AE177" s="117">
        <f>IF(Z177="","",IFERROR(1/SUMPRODUCT(MAX(($B$6:$B$1005=Z177)*$T$6:$T$1005)),""))</f>
        <v/>
      </c>
      <c r="AF177" s="77">
        <f>IF(AE177="","",SUMIFS($S$6:$S$1005,$B$6:$B$1005,Z177,$I$6:$I$1005,AE177))</f>
        <v/>
      </c>
    </row>
    <row r="178" ht="20" customHeight="1">
      <c r="B178" s="72" t="n"/>
      <c r="C178" s="72" t="n"/>
      <c r="D178" s="72" t="n"/>
      <c r="E178" s="72" t="n"/>
      <c r="F178" s="110" t="n"/>
      <c r="G178" s="73" t="n"/>
      <c r="H178" s="75">
        <f>IF(B178="","",IF(G178&lt;&gt;"",G178,IF(F178&lt;&gt;"",F178*IFERROR(INDEX('Contractors'!$I$6:$I$1005,MATCH(B178,'Contractors'!$B$6:$B$1005,0)),0),"")))</f>
        <v/>
      </c>
      <c r="I178" s="109" t="n"/>
      <c r="J178" s="72" t="n"/>
      <c r="K178" s="109" t="n"/>
      <c r="L178" s="73" t="n"/>
      <c r="M178" s="109" t="n"/>
      <c r="N178" s="73" t="n"/>
      <c r="O178" s="107">
        <f>IF(B178="","",IF(M178&lt;&gt;"","Paid",IF(AND(I178&lt;&gt;"",I178&lt;AsOf),"OVERDUE",IF(OR(K178&lt;&gt;"",L178&lt;&gt;""),"Invoiced","Scheduled"))))</f>
        <v/>
      </c>
      <c r="P178" s="115">
        <f>IF(B178="","",IF(E178&lt;&gt;"",E178,IFERROR(INDEX('Contractors'!$D$6:$D$1005,MATCH(B178,'Contractors'!$B$6:$B$1005,0)),"")))</f>
        <v/>
      </c>
      <c r="Q178" s="79">
        <f>IF(B178="","",IF(D178&lt;&gt;"",D178,IFERROR(INDEX('Contractors'!$E$6:$E$1005,MATCH(B178,'Contractors'!$B$6:$B$1005,0)),"")))</f>
        <v/>
      </c>
      <c r="R178" s="79">
        <f>IF(O178="","",IF(O178="OVERDUE",2,IF(O178="Paid",0,IF(AND(I178&lt;&gt;"",I178&lt;=AsOf+AlertDays),1,0))))</f>
        <v/>
      </c>
      <c r="S178" s="79">
        <f>IF(AND(B178&lt;&gt;"",M178="",I178&lt;&gt;""),IF(L178&lt;&gt;"",L178,IF(H178="",0,H178)),0)</f>
        <v/>
      </c>
      <c r="T178" s="79">
        <f>IF(AND(B178&lt;&gt;"",M178="",I178&lt;&gt;""),1/I178,0)</f>
        <v/>
      </c>
      <c r="U178" s="112">
        <f>IF(AND(B178&lt;&gt;"",M178="",I178&lt;&gt;""),I178,"")</f>
        <v/>
      </c>
      <c r="V178" s="79">
        <f>IF(U178="","",IF(U178&lt;AsOf,1,IF(U178&lt;=AsOf+AlertDays,2,IF(U178&lt;=AsOf+2*AlertDays,3,""))))</f>
        <v/>
      </c>
      <c r="W178" s="79">
        <f>IF(V178="","",IF(O178="OVERDUE","Overdue payment: ","Payment due: ")&amp;B178&amp;" — "&amp;C178&amp;" ("&amp;CurSym&amp;" "&amp;FIXED(S178,0)&amp;")")</f>
        <v/>
      </c>
      <c r="Z178" s="116">
        <f>IF('Contractors'!B178="","",'Contractors'!B178)</f>
        <v/>
      </c>
      <c r="AA178" s="77">
        <f>IF(Z178="","",'Contractors'!K178)</f>
        <v/>
      </c>
      <c r="AB178" s="77">
        <f>IF(Z178="","",SUMIFS($L$6:$L$1005,$B$6:$B$1005,Z178))</f>
        <v/>
      </c>
      <c r="AC178" s="77">
        <f>IF(Z178="","",SUMIFS($N$6:$N$1005,$B$6:$B$1005,Z178))</f>
        <v/>
      </c>
      <c r="AD178" s="76">
        <f>IF(Z178="","",AA178-AC178)</f>
        <v/>
      </c>
      <c r="AE178" s="117">
        <f>IF(Z178="","",IFERROR(1/SUMPRODUCT(MAX(($B$6:$B$1005=Z178)*$T$6:$T$1005)),""))</f>
        <v/>
      </c>
      <c r="AF178" s="77">
        <f>IF(AE178="","",SUMIFS($S$6:$S$1005,$B$6:$B$1005,Z178,$I$6:$I$1005,AE178))</f>
        <v/>
      </c>
    </row>
    <row r="179" ht="20" customHeight="1">
      <c r="B179" s="72" t="n"/>
      <c r="C179" s="72" t="n"/>
      <c r="D179" s="72" t="n"/>
      <c r="E179" s="72" t="n"/>
      <c r="F179" s="110" t="n"/>
      <c r="G179" s="73" t="n"/>
      <c r="H179" s="75">
        <f>IF(B179="","",IF(G179&lt;&gt;"",G179,IF(F179&lt;&gt;"",F179*IFERROR(INDEX('Contractors'!$I$6:$I$1005,MATCH(B179,'Contractors'!$B$6:$B$1005,0)),0),"")))</f>
        <v/>
      </c>
      <c r="I179" s="109" t="n"/>
      <c r="J179" s="72" t="n"/>
      <c r="K179" s="109" t="n"/>
      <c r="L179" s="73" t="n"/>
      <c r="M179" s="109" t="n"/>
      <c r="N179" s="73" t="n"/>
      <c r="O179" s="107">
        <f>IF(B179="","",IF(M179&lt;&gt;"","Paid",IF(AND(I179&lt;&gt;"",I179&lt;AsOf),"OVERDUE",IF(OR(K179&lt;&gt;"",L179&lt;&gt;""),"Invoiced","Scheduled"))))</f>
        <v/>
      </c>
      <c r="P179" s="115">
        <f>IF(B179="","",IF(E179&lt;&gt;"",E179,IFERROR(INDEX('Contractors'!$D$6:$D$1005,MATCH(B179,'Contractors'!$B$6:$B$1005,0)),"")))</f>
        <v/>
      </c>
      <c r="Q179" s="79">
        <f>IF(B179="","",IF(D179&lt;&gt;"",D179,IFERROR(INDEX('Contractors'!$E$6:$E$1005,MATCH(B179,'Contractors'!$B$6:$B$1005,0)),"")))</f>
        <v/>
      </c>
      <c r="R179" s="79">
        <f>IF(O179="","",IF(O179="OVERDUE",2,IF(O179="Paid",0,IF(AND(I179&lt;&gt;"",I179&lt;=AsOf+AlertDays),1,0))))</f>
        <v/>
      </c>
      <c r="S179" s="79">
        <f>IF(AND(B179&lt;&gt;"",M179="",I179&lt;&gt;""),IF(L179&lt;&gt;"",L179,IF(H179="",0,H179)),0)</f>
        <v/>
      </c>
      <c r="T179" s="79">
        <f>IF(AND(B179&lt;&gt;"",M179="",I179&lt;&gt;""),1/I179,0)</f>
        <v/>
      </c>
      <c r="U179" s="112">
        <f>IF(AND(B179&lt;&gt;"",M179="",I179&lt;&gt;""),I179,"")</f>
        <v/>
      </c>
      <c r="V179" s="79">
        <f>IF(U179="","",IF(U179&lt;AsOf,1,IF(U179&lt;=AsOf+AlertDays,2,IF(U179&lt;=AsOf+2*AlertDays,3,""))))</f>
        <v/>
      </c>
      <c r="W179" s="79">
        <f>IF(V179="","",IF(O179="OVERDUE","Overdue payment: ","Payment due: ")&amp;B179&amp;" — "&amp;C179&amp;" ("&amp;CurSym&amp;" "&amp;FIXED(S179,0)&amp;")")</f>
        <v/>
      </c>
      <c r="Z179" s="116">
        <f>IF('Contractors'!B179="","",'Contractors'!B179)</f>
        <v/>
      </c>
      <c r="AA179" s="77">
        <f>IF(Z179="","",'Contractors'!K179)</f>
        <v/>
      </c>
      <c r="AB179" s="77">
        <f>IF(Z179="","",SUMIFS($L$6:$L$1005,$B$6:$B$1005,Z179))</f>
        <v/>
      </c>
      <c r="AC179" s="77">
        <f>IF(Z179="","",SUMIFS($N$6:$N$1005,$B$6:$B$1005,Z179))</f>
        <v/>
      </c>
      <c r="AD179" s="76">
        <f>IF(Z179="","",AA179-AC179)</f>
        <v/>
      </c>
      <c r="AE179" s="117">
        <f>IF(Z179="","",IFERROR(1/SUMPRODUCT(MAX(($B$6:$B$1005=Z179)*$T$6:$T$1005)),""))</f>
        <v/>
      </c>
      <c r="AF179" s="77">
        <f>IF(AE179="","",SUMIFS($S$6:$S$1005,$B$6:$B$1005,Z179,$I$6:$I$1005,AE179))</f>
        <v/>
      </c>
    </row>
    <row r="180" ht="20" customHeight="1">
      <c r="B180" s="72" t="n"/>
      <c r="C180" s="72" t="n"/>
      <c r="D180" s="72" t="n"/>
      <c r="E180" s="72" t="n"/>
      <c r="F180" s="110" t="n"/>
      <c r="G180" s="73" t="n"/>
      <c r="H180" s="75">
        <f>IF(B180="","",IF(G180&lt;&gt;"",G180,IF(F180&lt;&gt;"",F180*IFERROR(INDEX('Contractors'!$I$6:$I$1005,MATCH(B180,'Contractors'!$B$6:$B$1005,0)),0),"")))</f>
        <v/>
      </c>
      <c r="I180" s="109" t="n"/>
      <c r="J180" s="72" t="n"/>
      <c r="K180" s="109" t="n"/>
      <c r="L180" s="73" t="n"/>
      <c r="M180" s="109" t="n"/>
      <c r="N180" s="73" t="n"/>
      <c r="O180" s="107">
        <f>IF(B180="","",IF(M180&lt;&gt;"","Paid",IF(AND(I180&lt;&gt;"",I180&lt;AsOf),"OVERDUE",IF(OR(K180&lt;&gt;"",L180&lt;&gt;""),"Invoiced","Scheduled"))))</f>
        <v/>
      </c>
      <c r="P180" s="115">
        <f>IF(B180="","",IF(E180&lt;&gt;"",E180,IFERROR(INDEX('Contractors'!$D$6:$D$1005,MATCH(B180,'Contractors'!$B$6:$B$1005,0)),"")))</f>
        <v/>
      </c>
      <c r="Q180" s="79">
        <f>IF(B180="","",IF(D180&lt;&gt;"",D180,IFERROR(INDEX('Contractors'!$E$6:$E$1005,MATCH(B180,'Contractors'!$B$6:$B$1005,0)),"")))</f>
        <v/>
      </c>
      <c r="R180" s="79">
        <f>IF(O180="","",IF(O180="OVERDUE",2,IF(O180="Paid",0,IF(AND(I180&lt;&gt;"",I180&lt;=AsOf+AlertDays),1,0))))</f>
        <v/>
      </c>
      <c r="S180" s="79">
        <f>IF(AND(B180&lt;&gt;"",M180="",I180&lt;&gt;""),IF(L180&lt;&gt;"",L180,IF(H180="",0,H180)),0)</f>
        <v/>
      </c>
      <c r="T180" s="79">
        <f>IF(AND(B180&lt;&gt;"",M180="",I180&lt;&gt;""),1/I180,0)</f>
        <v/>
      </c>
      <c r="U180" s="112">
        <f>IF(AND(B180&lt;&gt;"",M180="",I180&lt;&gt;""),I180,"")</f>
        <v/>
      </c>
      <c r="V180" s="79">
        <f>IF(U180="","",IF(U180&lt;AsOf,1,IF(U180&lt;=AsOf+AlertDays,2,IF(U180&lt;=AsOf+2*AlertDays,3,""))))</f>
        <v/>
      </c>
      <c r="W180" s="79">
        <f>IF(V180="","",IF(O180="OVERDUE","Overdue payment: ","Payment due: ")&amp;B180&amp;" — "&amp;C180&amp;" ("&amp;CurSym&amp;" "&amp;FIXED(S180,0)&amp;")")</f>
        <v/>
      </c>
      <c r="Z180" s="116">
        <f>IF('Contractors'!B180="","",'Contractors'!B180)</f>
        <v/>
      </c>
      <c r="AA180" s="77">
        <f>IF(Z180="","",'Contractors'!K180)</f>
        <v/>
      </c>
      <c r="AB180" s="77">
        <f>IF(Z180="","",SUMIFS($L$6:$L$1005,$B$6:$B$1005,Z180))</f>
        <v/>
      </c>
      <c r="AC180" s="77">
        <f>IF(Z180="","",SUMIFS($N$6:$N$1005,$B$6:$B$1005,Z180))</f>
        <v/>
      </c>
      <c r="AD180" s="76">
        <f>IF(Z180="","",AA180-AC180)</f>
        <v/>
      </c>
      <c r="AE180" s="117">
        <f>IF(Z180="","",IFERROR(1/SUMPRODUCT(MAX(($B$6:$B$1005=Z180)*$T$6:$T$1005)),""))</f>
        <v/>
      </c>
      <c r="AF180" s="77">
        <f>IF(AE180="","",SUMIFS($S$6:$S$1005,$B$6:$B$1005,Z180,$I$6:$I$1005,AE180))</f>
        <v/>
      </c>
    </row>
    <row r="181" ht="20" customHeight="1">
      <c r="B181" s="72" t="n"/>
      <c r="C181" s="72" t="n"/>
      <c r="D181" s="72" t="n"/>
      <c r="E181" s="72" t="n"/>
      <c r="F181" s="110" t="n"/>
      <c r="G181" s="73" t="n"/>
      <c r="H181" s="75">
        <f>IF(B181="","",IF(G181&lt;&gt;"",G181,IF(F181&lt;&gt;"",F181*IFERROR(INDEX('Contractors'!$I$6:$I$1005,MATCH(B181,'Contractors'!$B$6:$B$1005,0)),0),"")))</f>
        <v/>
      </c>
      <c r="I181" s="109" t="n"/>
      <c r="J181" s="72" t="n"/>
      <c r="K181" s="109" t="n"/>
      <c r="L181" s="73" t="n"/>
      <c r="M181" s="109" t="n"/>
      <c r="N181" s="73" t="n"/>
      <c r="O181" s="107">
        <f>IF(B181="","",IF(M181&lt;&gt;"","Paid",IF(AND(I181&lt;&gt;"",I181&lt;AsOf),"OVERDUE",IF(OR(K181&lt;&gt;"",L181&lt;&gt;""),"Invoiced","Scheduled"))))</f>
        <v/>
      </c>
      <c r="P181" s="115">
        <f>IF(B181="","",IF(E181&lt;&gt;"",E181,IFERROR(INDEX('Contractors'!$D$6:$D$1005,MATCH(B181,'Contractors'!$B$6:$B$1005,0)),"")))</f>
        <v/>
      </c>
      <c r="Q181" s="79">
        <f>IF(B181="","",IF(D181&lt;&gt;"",D181,IFERROR(INDEX('Contractors'!$E$6:$E$1005,MATCH(B181,'Contractors'!$B$6:$B$1005,0)),"")))</f>
        <v/>
      </c>
      <c r="R181" s="79">
        <f>IF(O181="","",IF(O181="OVERDUE",2,IF(O181="Paid",0,IF(AND(I181&lt;&gt;"",I181&lt;=AsOf+AlertDays),1,0))))</f>
        <v/>
      </c>
      <c r="S181" s="79">
        <f>IF(AND(B181&lt;&gt;"",M181="",I181&lt;&gt;""),IF(L181&lt;&gt;"",L181,IF(H181="",0,H181)),0)</f>
        <v/>
      </c>
      <c r="T181" s="79">
        <f>IF(AND(B181&lt;&gt;"",M181="",I181&lt;&gt;""),1/I181,0)</f>
        <v/>
      </c>
      <c r="U181" s="112">
        <f>IF(AND(B181&lt;&gt;"",M181="",I181&lt;&gt;""),I181,"")</f>
        <v/>
      </c>
      <c r="V181" s="79">
        <f>IF(U181="","",IF(U181&lt;AsOf,1,IF(U181&lt;=AsOf+AlertDays,2,IF(U181&lt;=AsOf+2*AlertDays,3,""))))</f>
        <v/>
      </c>
      <c r="W181" s="79">
        <f>IF(V181="","",IF(O181="OVERDUE","Overdue payment: ","Payment due: ")&amp;B181&amp;" — "&amp;C181&amp;" ("&amp;CurSym&amp;" "&amp;FIXED(S181,0)&amp;")")</f>
        <v/>
      </c>
      <c r="Z181" s="116">
        <f>IF('Contractors'!B181="","",'Contractors'!B181)</f>
        <v/>
      </c>
      <c r="AA181" s="77">
        <f>IF(Z181="","",'Contractors'!K181)</f>
        <v/>
      </c>
      <c r="AB181" s="77">
        <f>IF(Z181="","",SUMIFS($L$6:$L$1005,$B$6:$B$1005,Z181))</f>
        <v/>
      </c>
      <c r="AC181" s="77">
        <f>IF(Z181="","",SUMIFS($N$6:$N$1005,$B$6:$B$1005,Z181))</f>
        <v/>
      </c>
      <c r="AD181" s="76">
        <f>IF(Z181="","",AA181-AC181)</f>
        <v/>
      </c>
      <c r="AE181" s="117">
        <f>IF(Z181="","",IFERROR(1/SUMPRODUCT(MAX(($B$6:$B$1005=Z181)*$T$6:$T$1005)),""))</f>
        <v/>
      </c>
      <c r="AF181" s="77">
        <f>IF(AE181="","",SUMIFS($S$6:$S$1005,$B$6:$B$1005,Z181,$I$6:$I$1005,AE181))</f>
        <v/>
      </c>
    </row>
    <row r="182" ht="20" customHeight="1">
      <c r="B182" s="72" t="n"/>
      <c r="C182" s="72" t="n"/>
      <c r="D182" s="72" t="n"/>
      <c r="E182" s="72" t="n"/>
      <c r="F182" s="110" t="n"/>
      <c r="G182" s="73" t="n"/>
      <c r="H182" s="75">
        <f>IF(B182="","",IF(G182&lt;&gt;"",G182,IF(F182&lt;&gt;"",F182*IFERROR(INDEX('Contractors'!$I$6:$I$1005,MATCH(B182,'Contractors'!$B$6:$B$1005,0)),0),"")))</f>
        <v/>
      </c>
      <c r="I182" s="109" t="n"/>
      <c r="J182" s="72" t="n"/>
      <c r="K182" s="109" t="n"/>
      <c r="L182" s="73" t="n"/>
      <c r="M182" s="109" t="n"/>
      <c r="N182" s="73" t="n"/>
      <c r="O182" s="107">
        <f>IF(B182="","",IF(M182&lt;&gt;"","Paid",IF(AND(I182&lt;&gt;"",I182&lt;AsOf),"OVERDUE",IF(OR(K182&lt;&gt;"",L182&lt;&gt;""),"Invoiced","Scheduled"))))</f>
        <v/>
      </c>
      <c r="P182" s="115">
        <f>IF(B182="","",IF(E182&lt;&gt;"",E182,IFERROR(INDEX('Contractors'!$D$6:$D$1005,MATCH(B182,'Contractors'!$B$6:$B$1005,0)),"")))</f>
        <v/>
      </c>
      <c r="Q182" s="79">
        <f>IF(B182="","",IF(D182&lt;&gt;"",D182,IFERROR(INDEX('Contractors'!$E$6:$E$1005,MATCH(B182,'Contractors'!$B$6:$B$1005,0)),"")))</f>
        <v/>
      </c>
      <c r="R182" s="79">
        <f>IF(O182="","",IF(O182="OVERDUE",2,IF(O182="Paid",0,IF(AND(I182&lt;&gt;"",I182&lt;=AsOf+AlertDays),1,0))))</f>
        <v/>
      </c>
      <c r="S182" s="79">
        <f>IF(AND(B182&lt;&gt;"",M182="",I182&lt;&gt;""),IF(L182&lt;&gt;"",L182,IF(H182="",0,H182)),0)</f>
        <v/>
      </c>
      <c r="T182" s="79">
        <f>IF(AND(B182&lt;&gt;"",M182="",I182&lt;&gt;""),1/I182,0)</f>
        <v/>
      </c>
      <c r="U182" s="112">
        <f>IF(AND(B182&lt;&gt;"",M182="",I182&lt;&gt;""),I182,"")</f>
        <v/>
      </c>
      <c r="V182" s="79">
        <f>IF(U182="","",IF(U182&lt;AsOf,1,IF(U182&lt;=AsOf+AlertDays,2,IF(U182&lt;=AsOf+2*AlertDays,3,""))))</f>
        <v/>
      </c>
      <c r="W182" s="79">
        <f>IF(V182="","",IF(O182="OVERDUE","Overdue payment: ","Payment due: ")&amp;B182&amp;" — "&amp;C182&amp;" ("&amp;CurSym&amp;" "&amp;FIXED(S182,0)&amp;")")</f>
        <v/>
      </c>
      <c r="Z182" s="116">
        <f>IF('Contractors'!B182="","",'Contractors'!B182)</f>
        <v/>
      </c>
      <c r="AA182" s="77">
        <f>IF(Z182="","",'Contractors'!K182)</f>
        <v/>
      </c>
      <c r="AB182" s="77">
        <f>IF(Z182="","",SUMIFS($L$6:$L$1005,$B$6:$B$1005,Z182))</f>
        <v/>
      </c>
      <c r="AC182" s="77">
        <f>IF(Z182="","",SUMIFS($N$6:$N$1005,$B$6:$B$1005,Z182))</f>
        <v/>
      </c>
      <c r="AD182" s="76">
        <f>IF(Z182="","",AA182-AC182)</f>
        <v/>
      </c>
      <c r="AE182" s="117">
        <f>IF(Z182="","",IFERROR(1/SUMPRODUCT(MAX(($B$6:$B$1005=Z182)*$T$6:$T$1005)),""))</f>
        <v/>
      </c>
      <c r="AF182" s="77">
        <f>IF(AE182="","",SUMIFS($S$6:$S$1005,$B$6:$B$1005,Z182,$I$6:$I$1005,AE182))</f>
        <v/>
      </c>
    </row>
    <row r="183" ht="20" customHeight="1">
      <c r="B183" s="72" t="n"/>
      <c r="C183" s="72" t="n"/>
      <c r="D183" s="72" t="n"/>
      <c r="E183" s="72" t="n"/>
      <c r="F183" s="110" t="n"/>
      <c r="G183" s="73" t="n"/>
      <c r="H183" s="75">
        <f>IF(B183="","",IF(G183&lt;&gt;"",G183,IF(F183&lt;&gt;"",F183*IFERROR(INDEX('Contractors'!$I$6:$I$1005,MATCH(B183,'Contractors'!$B$6:$B$1005,0)),0),"")))</f>
        <v/>
      </c>
      <c r="I183" s="109" t="n"/>
      <c r="J183" s="72" t="n"/>
      <c r="K183" s="109" t="n"/>
      <c r="L183" s="73" t="n"/>
      <c r="M183" s="109" t="n"/>
      <c r="N183" s="73" t="n"/>
      <c r="O183" s="107">
        <f>IF(B183="","",IF(M183&lt;&gt;"","Paid",IF(AND(I183&lt;&gt;"",I183&lt;AsOf),"OVERDUE",IF(OR(K183&lt;&gt;"",L183&lt;&gt;""),"Invoiced","Scheduled"))))</f>
        <v/>
      </c>
      <c r="P183" s="115">
        <f>IF(B183="","",IF(E183&lt;&gt;"",E183,IFERROR(INDEX('Contractors'!$D$6:$D$1005,MATCH(B183,'Contractors'!$B$6:$B$1005,0)),"")))</f>
        <v/>
      </c>
      <c r="Q183" s="79">
        <f>IF(B183="","",IF(D183&lt;&gt;"",D183,IFERROR(INDEX('Contractors'!$E$6:$E$1005,MATCH(B183,'Contractors'!$B$6:$B$1005,0)),"")))</f>
        <v/>
      </c>
      <c r="R183" s="79">
        <f>IF(O183="","",IF(O183="OVERDUE",2,IF(O183="Paid",0,IF(AND(I183&lt;&gt;"",I183&lt;=AsOf+AlertDays),1,0))))</f>
        <v/>
      </c>
      <c r="S183" s="79">
        <f>IF(AND(B183&lt;&gt;"",M183="",I183&lt;&gt;""),IF(L183&lt;&gt;"",L183,IF(H183="",0,H183)),0)</f>
        <v/>
      </c>
      <c r="T183" s="79">
        <f>IF(AND(B183&lt;&gt;"",M183="",I183&lt;&gt;""),1/I183,0)</f>
        <v/>
      </c>
      <c r="U183" s="112">
        <f>IF(AND(B183&lt;&gt;"",M183="",I183&lt;&gt;""),I183,"")</f>
        <v/>
      </c>
      <c r="V183" s="79">
        <f>IF(U183="","",IF(U183&lt;AsOf,1,IF(U183&lt;=AsOf+AlertDays,2,IF(U183&lt;=AsOf+2*AlertDays,3,""))))</f>
        <v/>
      </c>
      <c r="W183" s="79">
        <f>IF(V183="","",IF(O183="OVERDUE","Overdue payment: ","Payment due: ")&amp;B183&amp;" — "&amp;C183&amp;" ("&amp;CurSym&amp;" "&amp;FIXED(S183,0)&amp;")")</f>
        <v/>
      </c>
      <c r="Z183" s="116">
        <f>IF('Contractors'!B183="","",'Contractors'!B183)</f>
        <v/>
      </c>
      <c r="AA183" s="77">
        <f>IF(Z183="","",'Contractors'!K183)</f>
        <v/>
      </c>
      <c r="AB183" s="77">
        <f>IF(Z183="","",SUMIFS($L$6:$L$1005,$B$6:$B$1005,Z183))</f>
        <v/>
      </c>
      <c r="AC183" s="77">
        <f>IF(Z183="","",SUMIFS($N$6:$N$1005,$B$6:$B$1005,Z183))</f>
        <v/>
      </c>
      <c r="AD183" s="76">
        <f>IF(Z183="","",AA183-AC183)</f>
        <v/>
      </c>
      <c r="AE183" s="117">
        <f>IF(Z183="","",IFERROR(1/SUMPRODUCT(MAX(($B$6:$B$1005=Z183)*$T$6:$T$1005)),""))</f>
        <v/>
      </c>
      <c r="AF183" s="77">
        <f>IF(AE183="","",SUMIFS($S$6:$S$1005,$B$6:$B$1005,Z183,$I$6:$I$1005,AE183))</f>
        <v/>
      </c>
    </row>
    <row r="184" ht="20" customHeight="1">
      <c r="B184" s="72" t="n"/>
      <c r="C184" s="72" t="n"/>
      <c r="D184" s="72" t="n"/>
      <c r="E184" s="72" t="n"/>
      <c r="F184" s="110" t="n"/>
      <c r="G184" s="73" t="n"/>
      <c r="H184" s="75">
        <f>IF(B184="","",IF(G184&lt;&gt;"",G184,IF(F184&lt;&gt;"",F184*IFERROR(INDEX('Contractors'!$I$6:$I$1005,MATCH(B184,'Contractors'!$B$6:$B$1005,0)),0),"")))</f>
        <v/>
      </c>
      <c r="I184" s="109" t="n"/>
      <c r="J184" s="72" t="n"/>
      <c r="K184" s="109" t="n"/>
      <c r="L184" s="73" t="n"/>
      <c r="M184" s="109" t="n"/>
      <c r="N184" s="73" t="n"/>
      <c r="O184" s="107">
        <f>IF(B184="","",IF(M184&lt;&gt;"","Paid",IF(AND(I184&lt;&gt;"",I184&lt;AsOf),"OVERDUE",IF(OR(K184&lt;&gt;"",L184&lt;&gt;""),"Invoiced","Scheduled"))))</f>
        <v/>
      </c>
      <c r="P184" s="115">
        <f>IF(B184="","",IF(E184&lt;&gt;"",E184,IFERROR(INDEX('Contractors'!$D$6:$D$1005,MATCH(B184,'Contractors'!$B$6:$B$1005,0)),"")))</f>
        <v/>
      </c>
      <c r="Q184" s="79">
        <f>IF(B184="","",IF(D184&lt;&gt;"",D184,IFERROR(INDEX('Contractors'!$E$6:$E$1005,MATCH(B184,'Contractors'!$B$6:$B$1005,0)),"")))</f>
        <v/>
      </c>
      <c r="R184" s="79">
        <f>IF(O184="","",IF(O184="OVERDUE",2,IF(O184="Paid",0,IF(AND(I184&lt;&gt;"",I184&lt;=AsOf+AlertDays),1,0))))</f>
        <v/>
      </c>
      <c r="S184" s="79">
        <f>IF(AND(B184&lt;&gt;"",M184="",I184&lt;&gt;""),IF(L184&lt;&gt;"",L184,IF(H184="",0,H184)),0)</f>
        <v/>
      </c>
      <c r="T184" s="79">
        <f>IF(AND(B184&lt;&gt;"",M184="",I184&lt;&gt;""),1/I184,0)</f>
        <v/>
      </c>
      <c r="U184" s="112">
        <f>IF(AND(B184&lt;&gt;"",M184="",I184&lt;&gt;""),I184,"")</f>
        <v/>
      </c>
      <c r="V184" s="79">
        <f>IF(U184="","",IF(U184&lt;AsOf,1,IF(U184&lt;=AsOf+AlertDays,2,IF(U184&lt;=AsOf+2*AlertDays,3,""))))</f>
        <v/>
      </c>
      <c r="W184" s="79">
        <f>IF(V184="","",IF(O184="OVERDUE","Overdue payment: ","Payment due: ")&amp;B184&amp;" — "&amp;C184&amp;" ("&amp;CurSym&amp;" "&amp;FIXED(S184,0)&amp;")")</f>
        <v/>
      </c>
      <c r="Z184" s="116">
        <f>IF('Contractors'!B184="","",'Contractors'!B184)</f>
        <v/>
      </c>
      <c r="AA184" s="77">
        <f>IF(Z184="","",'Contractors'!K184)</f>
        <v/>
      </c>
      <c r="AB184" s="77">
        <f>IF(Z184="","",SUMIFS($L$6:$L$1005,$B$6:$B$1005,Z184))</f>
        <v/>
      </c>
      <c r="AC184" s="77">
        <f>IF(Z184="","",SUMIFS($N$6:$N$1005,$B$6:$B$1005,Z184))</f>
        <v/>
      </c>
      <c r="AD184" s="76">
        <f>IF(Z184="","",AA184-AC184)</f>
        <v/>
      </c>
      <c r="AE184" s="117">
        <f>IF(Z184="","",IFERROR(1/SUMPRODUCT(MAX(($B$6:$B$1005=Z184)*$T$6:$T$1005)),""))</f>
        <v/>
      </c>
      <c r="AF184" s="77">
        <f>IF(AE184="","",SUMIFS($S$6:$S$1005,$B$6:$B$1005,Z184,$I$6:$I$1005,AE184))</f>
        <v/>
      </c>
    </row>
    <row r="185" ht="20" customHeight="1">
      <c r="B185" s="72" t="n"/>
      <c r="C185" s="72" t="n"/>
      <c r="D185" s="72" t="n"/>
      <c r="E185" s="72" t="n"/>
      <c r="F185" s="110" t="n"/>
      <c r="G185" s="73" t="n"/>
      <c r="H185" s="75">
        <f>IF(B185="","",IF(G185&lt;&gt;"",G185,IF(F185&lt;&gt;"",F185*IFERROR(INDEX('Contractors'!$I$6:$I$1005,MATCH(B185,'Contractors'!$B$6:$B$1005,0)),0),"")))</f>
        <v/>
      </c>
      <c r="I185" s="109" t="n"/>
      <c r="J185" s="72" t="n"/>
      <c r="K185" s="109" t="n"/>
      <c r="L185" s="73" t="n"/>
      <c r="M185" s="109" t="n"/>
      <c r="N185" s="73" t="n"/>
      <c r="O185" s="107">
        <f>IF(B185="","",IF(M185&lt;&gt;"","Paid",IF(AND(I185&lt;&gt;"",I185&lt;AsOf),"OVERDUE",IF(OR(K185&lt;&gt;"",L185&lt;&gt;""),"Invoiced","Scheduled"))))</f>
        <v/>
      </c>
      <c r="P185" s="115">
        <f>IF(B185="","",IF(E185&lt;&gt;"",E185,IFERROR(INDEX('Contractors'!$D$6:$D$1005,MATCH(B185,'Contractors'!$B$6:$B$1005,0)),"")))</f>
        <v/>
      </c>
      <c r="Q185" s="79">
        <f>IF(B185="","",IF(D185&lt;&gt;"",D185,IFERROR(INDEX('Contractors'!$E$6:$E$1005,MATCH(B185,'Contractors'!$B$6:$B$1005,0)),"")))</f>
        <v/>
      </c>
      <c r="R185" s="79">
        <f>IF(O185="","",IF(O185="OVERDUE",2,IF(O185="Paid",0,IF(AND(I185&lt;&gt;"",I185&lt;=AsOf+AlertDays),1,0))))</f>
        <v/>
      </c>
      <c r="S185" s="79">
        <f>IF(AND(B185&lt;&gt;"",M185="",I185&lt;&gt;""),IF(L185&lt;&gt;"",L185,IF(H185="",0,H185)),0)</f>
        <v/>
      </c>
      <c r="T185" s="79">
        <f>IF(AND(B185&lt;&gt;"",M185="",I185&lt;&gt;""),1/I185,0)</f>
        <v/>
      </c>
      <c r="U185" s="112">
        <f>IF(AND(B185&lt;&gt;"",M185="",I185&lt;&gt;""),I185,"")</f>
        <v/>
      </c>
      <c r="V185" s="79">
        <f>IF(U185="","",IF(U185&lt;AsOf,1,IF(U185&lt;=AsOf+AlertDays,2,IF(U185&lt;=AsOf+2*AlertDays,3,""))))</f>
        <v/>
      </c>
      <c r="W185" s="79">
        <f>IF(V185="","",IF(O185="OVERDUE","Overdue payment: ","Payment due: ")&amp;B185&amp;" — "&amp;C185&amp;" ("&amp;CurSym&amp;" "&amp;FIXED(S185,0)&amp;")")</f>
        <v/>
      </c>
      <c r="Z185" s="116">
        <f>IF('Contractors'!B185="","",'Contractors'!B185)</f>
        <v/>
      </c>
      <c r="AA185" s="77">
        <f>IF(Z185="","",'Contractors'!K185)</f>
        <v/>
      </c>
      <c r="AB185" s="77">
        <f>IF(Z185="","",SUMIFS($L$6:$L$1005,$B$6:$B$1005,Z185))</f>
        <v/>
      </c>
      <c r="AC185" s="77">
        <f>IF(Z185="","",SUMIFS($N$6:$N$1005,$B$6:$B$1005,Z185))</f>
        <v/>
      </c>
      <c r="AD185" s="76">
        <f>IF(Z185="","",AA185-AC185)</f>
        <v/>
      </c>
      <c r="AE185" s="117">
        <f>IF(Z185="","",IFERROR(1/SUMPRODUCT(MAX(($B$6:$B$1005=Z185)*$T$6:$T$1005)),""))</f>
        <v/>
      </c>
      <c r="AF185" s="77">
        <f>IF(AE185="","",SUMIFS($S$6:$S$1005,$B$6:$B$1005,Z185,$I$6:$I$1005,AE185))</f>
        <v/>
      </c>
    </row>
    <row r="186" ht="20" customHeight="1">
      <c r="B186" s="72" t="n"/>
      <c r="C186" s="72" t="n"/>
      <c r="D186" s="72" t="n"/>
      <c r="E186" s="72" t="n"/>
      <c r="F186" s="110" t="n"/>
      <c r="G186" s="73" t="n"/>
      <c r="H186" s="75">
        <f>IF(B186="","",IF(G186&lt;&gt;"",G186,IF(F186&lt;&gt;"",F186*IFERROR(INDEX('Contractors'!$I$6:$I$1005,MATCH(B186,'Contractors'!$B$6:$B$1005,0)),0),"")))</f>
        <v/>
      </c>
      <c r="I186" s="109" t="n"/>
      <c r="J186" s="72" t="n"/>
      <c r="K186" s="109" t="n"/>
      <c r="L186" s="73" t="n"/>
      <c r="M186" s="109" t="n"/>
      <c r="N186" s="73" t="n"/>
      <c r="O186" s="107">
        <f>IF(B186="","",IF(M186&lt;&gt;"","Paid",IF(AND(I186&lt;&gt;"",I186&lt;AsOf),"OVERDUE",IF(OR(K186&lt;&gt;"",L186&lt;&gt;""),"Invoiced","Scheduled"))))</f>
        <v/>
      </c>
      <c r="P186" s="115">
        <f>IF(B186="","",IF(E186&lt;&gt;"",E186,IFERROR(INDEX('Contractors'!$D$6:$D$1005,MATCH(B186,'Contractors'!$B$6:$B$1005,0)),"")))</f>
        <v/>
      </c>
      <c r="Q186" s="79">
        <f>IF(B186="","",IF(D186&lt;&gt;"",D186,IFERROR(INDEX('Contractors'!$E$6:$E$1005,MATCH(B186,'Contractors'!$B$6:$B$1005,0)),"")))</f>
        <v/>
      </c>
      <c r="R186" s="79">
        <f>IF(O186="","",IF(O186="OVERDUE",2,IF(O186="Paid",0,IF(AND(I186&lt;&gt;"",I186&lt;=AsOf+AlertDays),1,0))))</f>
        <v/>
      </c>
      <c r="S186" s="79">
        <f>IF(AND(B186&lt;&gt;"",M186="",I186&lt;&gt;""),IF(L186&lt;&gt;"",L186,IF(H186="",0,H186)),0)</f>
        <v/>
      </c>
      <c r="T186" s="79">
        <f>IF(AND(B186&lt;&gt;"",M186="",I186&lt;&gt;""),1/I186,0)</f>
        <v/>
      </c>
      <c r="U186" s="112">
        <f>IF(AND(B186&lt;&gt;"",M186="",I186&lt;&gt;""),I186,"")</f>
        <v/>
      </c>
      <c r="V186" s="79">
        <f>IF(U186="","",IF(U186&lt;AsOf,1,IF(U186&lt;=AsOf+AlertDays,2,IF(U186&lt;=AsOf+2*AlertDays,3,""))))</f>
        <v/>
      </c>
      <c r="W186" s="79">
        <f>IF(V186="","",IF(O186="OVERDUE","Overdue payment: ","Payment due: ")&amp;B186&amp;" — "&amp;C186&amp;" ("&amp;CurSym&amp;" "&amp;FIXED(S186,0)&amp;")")</f>
        <v/>
      </c>
      <c r="Z186" s="116">
        <f>IF('Contractors'!B186="","",'Contractors'!B186)</f>
        <v/>
      </c>
      <c r="AA186" s="77">
        <f>IF(Z186="","",'Contractors'!K186)</f>
        <v/>
      </c>
      <c r="AB186" s="77">
        <f>IF(Z186="","",SUMIFS($L$6:$L$1005,$B$6:$B$1005,Z186))</f>
        <v/>
      </c>
      <c r="AC186" s="77">
        <f>IF(Z186="","",SUMIFS($N$6:$N$1005,$B$6:$B$1005,Z186))</f>
        <v/>
      </c>
      <c r="AD186" s="76">
        <f>IF(Z186="","",AA186-AC186)</f>
        <v/>
      </c>
      <c r="AE186" s="117">
        <f>IF(Z186="","",IFERROR(1/SUMPRODUCT(MAX(($B$6:$B$1005=Z186)*$T$6:$T$1005)),""))</f>
        <v/>
      </c>
      <c r="AF186" s="77">
        <f>IF(AE186="","",SUMIFS($S$6:$S$1005,$B$6:$B$1005,Z186,$I$6:$I$1005,AE186))</f>
        <v/>
      </c>
    </row>
    <row r="187" ht="20" customHeight="1">
      <c r="B187" s="72" t="n"/>
      <c r="C187" s="72" t="n"/>
      <c r="D187" s="72" t="n"/>
      <c r="E187" s="72" t="n"/>
      <c r="F187" s="110" t="n"/>
      <c r="G187" s="73" t="n"/>
      <c r="H187" s="75">
        <f>IF(B187="","",IF(G187&lt;&gt;"",G187,IF(F187&lt;&gt;"",F187*IFERROR(INDEX('Contractors'!$I$6:$I$1005,MATCH(B187,'Contractors'!$B$6:$B$1005,0)),0),"")))</f>
        <v/>
      </c>
      <c r="I187" s="109" t="n"/>
      <c r="J187" s="72" t="n"/>
      <c r="K187" s="109" t="n"/>
      <c r="L187" s="73" t="n"/>
      <c r="M187" s="109" t="n"/>
      <c r="N187" s="73" t="n"/>
      <c r="O187" s="107">
        <f>IF(B187="","",IF(M187&lt;&gt;"","Paid",IF(AND(I187&lt;&gt;"",I187&lt;AsOf),"OVERDUE",IF(OR(K187&lt;&gt;"",L187&lt;&gt;""),"Invoiced","Scheduled"))))</f>
        <v/>
      </c>
      <c r="P187" s="115">
        <f>IF(B187="","",IF(E187&lt;&gt;"",E187,IFERROR(INDEX('Contractors'!$D$6:$D$1005,MATCH(B187,'Contractors'!$B$6:$B$1005,0)),"")))</f>
        <v/>
      </c>
      <c r="Q187" s="79">
        <f>IF(B187="","",IF(D187&lt;&gt;"",D187,IFERROR(INDEX('Contractors'!$E$6:$E$1005,MATCH(B187,'Contractors'!$B$6:$B$1005,0)),"")))</f>
        <v/>
      </c>
      <c r="R187" s="79">
        <f>IF(O187="","",IF(O187="OVERDUE",2,IF(O187="Paid",0,IF(AND(I187&lt;&gt;"",I187&lt;=AsOf+AlertDays),1,0))))</f>
        <v/>
      </c>
      <c r="S187" s="79">
        <f>IF(AND(B187&lt;&gt;"",M187="",I187&lt;&gt;""),IF(L187&lt;&gt;"",L187,IF(H187="",0,H187)),0)</f>
        <v/>
      </c>
      <c r="T187" s="79">
        <f>IF(AND(B187&lt;&gt;"",M187="",I187&lt;&gt;""),1/I187,0)</f>
        <v/>
      </c>
      <c r="U187" s="112">
        <f>IF(AND(B187&lt;&gt;"",M187="",I187&lt;&gt;""),I187,"")</f>
        <v/>
      </c>
      <c r="V187" s="79">
        <f>IF(U187="","",IF(U187&lt;AsOf,1,IF(U187&lt;=AsOf+AlertDays,2,IF(U187&lt;=AsOf+2*AlertDays,3,""))))</f>
        <v/>
      </c>
      <c r="W187" s="79">
        <f>IF(V187="","",IF(O187="OVERDUE","Overdue payment: ","Payment due: ")&amp;B187&amp;" — "&amp;C187&amp;" ("&amp;CurSym&amp;" "&amp;FIXED(S187,0)&amp;")")</f>
        <v/>
      </c>
      <c r="Z187" s="116">
        <f>IF('Contractors'!B187="","",'Contractors'!B187)</f>
        <v/>
      </c>
      <c r="AA187" s="77">
        <f>IF(Z187="","",'Contractors'!K187)</f>
        <v/>
      </c>
      <c r="AB187" s="77">
        <f>IF(Z187="","",SUMIFS($L$6:$L$1005,$B$6:$B$1005,Z187))</f>
        <v/>
      </c>
      <c r="AC187" s="77">
        <f>IF(Z187="","",SUMIFS($N$6:$N$1005,$B$6:$B$1005,Z187))</f>
        <v/>
      </c>
      <c r="AD187" s="76">
        <f>IF(Z187="","",AA187-AC187)</f>
        <v/>
      </c>
      <c r="AE187" s="117">
        <f>IF(Z187="","",IFERROR(1/SUMPRODUCT(MAX(($B$6:$B$1005=Z187)*$T$6:$T$1005)),""))</f>
        <v/>
      </c>
      <c r="AF187" s="77">
        <f>IF(AE187="","",SUMIFS($S$6:$S$1005,$B$6:$B$1005,Z187,$I$6:$I$1005,AE187))</f>
        <v/>
      </c>
    </row>
    <row r="188" ht="20" customHeight="1">
      <c r="B188" s="72" t="n"/>
      <c r="C188" s="72" t="n"/>
      <c r="D188" s="72" t="n"/>
      <c r="E188" s="72" t="n"/>
      <c r="F188" s="110" t="n"/>
      <c r="G188" s="73" t="n"/>
      <c r="H188" s="75">
        <f>IF(B188="","",IF(G188&lt;&gt;"",G188,IF(F188&lt;&gt;"",F188*IFERROR(INDEX('Contractors'!$I$6:$I$1005,MATCH(B188,'Contractors'!$B$6:$B$1005,0)),0),"")))</f>
        <v/>
      </c>
      <c r="I188" s="109" t="n"/>
      <c r="J188" s="72" t="n"/>
      <c r="K188" s="109" t="n"/>
      <c r="L188" s="73" t="n"/>
      <c r="M188" s="109" t="n"/>
      <c r="N188" s="73" t="n"/>
      <c r="O188" s="107">
        <f>IF(B188="","",IF(M188&lt;&gt;"","Paid",IF(AND(I188&lt;&gt;"",I188&lt;AsOf),"OVERDUE",IF(OR(K188&lt;&gt;"",L188&lt;&gt;""),"Invoiced","Scheduled"))))</f>
        <v/>
      </c>
      <c r="P188" s="115">
        <f>IF(B188="","",IF(E188&lt;&gt;"",E188,IFERROR(INDEX('Contractors'!$D$6:$D$1005,MATCH(B188,'Contractors'!$B$6:$B$1005,0)),"")))</f>
        <v/>
      </c>
      <c r="Q188" s="79">
        <f>IF(B188="","",IF(D188&lt;&gt;"",D188,IFERROR(INDEX('Contractors'!$E$6:$E$1005,MATCH(B188,'Contractors'!$B$6:$B$1005,0)),"")))</f>
        <v/>
      </c>
      <c r="R188" s="79">
        <f>IF(O188="","",IF(O188="OVERDUE",2,IF(O188="Paid",0,IF(AND(I188&lt;&gt;"",I188&lt;=AsOf+AlertDays),1,0))))</f>
        <v/>
      </c>
      <c r="S188" s="79">
        <f>IF(AND(B188&lt;&gt;"",M188="",I188&lt;&gt;""),IF(L188&lt;&gt;"",L188,IF(H188="",0,H188)),0)</f>
        <v/>
      </c>
      <c r="T188" s="79">
        <f>IF(AND(B188&lt;&gt;"",M188="",I188&lt;&gt;""),1/I188,0)</f>
        <v/>
      </c>
      <c r="U188" s="112">
        <f>IF(AND(B188&lt;&gt;"",M188="",I188&lt;&gt;""),I188,"")</f>
        <v/>
      </c>
      <c r="V188" s="79">
        <f>IF(U188="","",IF(U188&lt;AsOf,1,IF(U188&lt;=AsOf+AlertDays,2,IF(U188&lt;=AsOf+2*AlertDays,3,""))))</f>
        <v/>
      </c>
      <c r="W188" s="79">
        <f>IF(V188="","",IF(O188="OVERDUE","Overdue payment: ","Payment due: ")&amp;B188&amp;" — "&amp;C188&amp;" ("&amp;CurSym&amp;" "&amp;FIXED(S188,0)&amp;")")</f>
        <v/>
      </c>
      <c r="Z188" s="116">
        <f>IF('Contractors'!B188="","",'Contractors'!B188)</f>
        <v/>
      </c>
      <c r="AA188" s="77">
        <f>IF(Z188="","",'Contractors'!K188)</f>
        <v/>
      </c>
      <c r="AB188" s="77">
        <f>IF(Z188="","",SUMIFS($L$6:$L$1005,$B$6:$B$1005,Z188))</f>
        <v/>
      </c>
      <c r="AC188" s="77">
        <f>IF(Z188="","",SUMIFS($N$6:$N$1005,$B$6:$B$1005,Z188))</f>
        <v/>
      </c>
      <c r="AD188" s="76">
        <f>IF(Z188="","",AA188-AC188)</f>
        <v/>
      </c>
      <c r="AE188" s="117">
        <f>IF(Z188="","",IFERROR(1/SUMPRODUCT(MAX(($B$6:$B$1005=Z188)*$T$6:$T$1005)),""))</f>
        <v/>
      </c>
      <c r="AF188" s="77">
        <f>IF(AE188="","",SUMIFS($S$6:$S$1005,$B$6:$B$1005,Z188,$I$6:$I$1005,AE188))</f>
        <v/>
      </c>
    </row>
    <row r="189" ht="20" customHeight="1">
      <c r="B189" s="72" t="n"/>
      <c r="C189" s="72" t="n"/>
      <c r="D189" s="72" t="n"/>
      <c r="E189" s="72" t="n"/>
      <c r="F189" s="110" t="n"/>
      <c r="G189" s="73" t="n"/>
      <c r="H189" s="75">
        <f>IF(B189="","",IF(G189&lt;&gt;"",G189,IF(F189&lt;&gt;"",F189*IFERROR(INDEX('Contractors'!$I$6:$I$1005,MATCH(B189,'Contractors'!$B$6:$B$1005,0)),0),"")))</f>
        <v/>
      </c>
      <c r="I189" s="109" t="n"/>
      <c r="J189" s="72" t="n"/>
      <c r="K189" s="109" t="n"/>
      <c r="L189" s="73" t="n"/>
      <c r="M189" s="109" t="n"/>
      <c r="N189" s="73" t="n"/>
      <c r="O189" s="107">
        <f>IF(B189="","",IF(M189&lt;&gt;"","Paid",IF(AND(I189&lt;&gt;"",I189&lt;AsOf),"OVERDUE",IF(OR(K189&lt;&gt;"",L189&lt;&gt;""),"Invoiced","Scheduled"))))</f>
        <v/>
      </c>
      <c r="P189" s="115">
        <f>IF(B189="","",IF(E189&lt;&gt;"",E189,IFERROR(INDEX('Contractors'!$D$6:$D$1005,MATCH(B189,'Contractors'!$B$6:$B$1005,0)),"")))</f>
        <v/>
      </c>
      <c r="Q189" s="79">
        <f>IF(B189="","",IF(D189&lt;&gt;"",D189,IFERROR(INDEX('Contractors'!$E$6:$E$1005,MATCH(B189,'Contractors'!$B$6:$B$1005,0)),"")))</f>
        <v/>
      </c>
      <c r="R189" s="79">
        <f>IF(O189="","",IF(O189="OVERDUE",2,IF(O189="Paid",0,IF(AND(I189&lt;&gt;"",I189&lt;=AsOf+AlertDays),1,0))))</f>
        <v/>
      </c>
      <c r="S189" s="79">
        <f>IF(AND(B189&lt;&gt;"",M189="",I189&lt;&gt;""),IF(L189&lt;&gt;"",L189,IF(H189="",0,H189)),0)</f>
        <v/>
      </c>
      <c r="T189" s="79">
        <f>IF(AND(B189&lt;&gt;"",M189="",I189&lt;&gt;""),1/I189,0)</f>
        <v/>
      </c>
      <c r="U189" s="112">
        <f>IF(AND(B189&lt;&gt;"",M189="",I189&lt;&gt;""),I189,"")</f>
        <v/>
      </c>
      <c r="V189" s="79">
        <f>IF(U189="","",IF(U189&lt;AsOf,1,IF(U189&lt;=AsOf+AlertDays,2,IF(U189&lt;=AsOf+2*AlertDays,3,""))))</f>
        <v/>
      </c>
      <c r="W189" s="79">
        <f>IF(V189="","",IF(O189="OVERDUE","Overdue payment: ","Payment due: ")&amp;B189&amp;" — "&amp;C189&amp;" ("&amp;CurSym&amp;" "&amp;FIXED(S189,0)&amp;")")</f>
        <v/>
      </c>
      <c r="Z189" s="116">
        <f>IF('Contractors'!B189="","",'Contractors'!B189)</f>
        <v/>
      </c>
      <c r="AA189" s="77">
        <f>IF(Z189="","",'Contractors'!K189)</f>
        <v/>
      </c>
      <c r="AB189" s="77">
        <f>IF(Z189="","",SUMIFS($L$6:$L$1005,$B$6:$B$1005,Z189))</f>
        <v/>
      </c>
      <c r="AC189" s="77">
        <f>IF(Z189="","",SUMIFS($N$6:$N$1005,$B$6:$B$1005,Z189))</f>
        <v/>
      </c>
      <c r="AD189" s="76">
        <f>IF(Z189="","",AA189-AC189)</f>
        <v/>
      </c>
      <c r="AE189" s="117">
        <f>IF(Z189="","",IFERROR(1/SUMPRODUCT(MAX(($B$6:$B$1005=Z189)*$T$6:$T$1005)),""))</f>
        <v/>
      </c>
      <c r="AF189" s="77">
        <f>IF(AE189="","",SUMIFS($S$6:$S$1005,$B$6:$B$1005,Z189,$I$6:$I$1005,AE189))</f>
        <v/>
      </c>
    </row>
    <row r="190" ht="20" customHeight="1">
      <c r="B190" s="72" t="n"/>
      <c r="C190" s="72" t="n"/>
      <c r="D190" s="72" t="n"/>
      <c r="E190" s="72" t="n"/>
      <c r="F190" s="110" t="n"/>
      <c r="G190" s="73" t="n"/>
      <c r="H190" s="75">
        <f>IF(B190="","",IF(G190&lt;&gt;"",G190,IF(F190&lt;&gt;"",F190*IFERROR(INDEX('Contractors'!$I$6:$I$1005,MATCH(B190,'Contractors'!$B$6:$B$1005,0)),0),"")))</f>
        <v/>
      </c>
      <c r="I190" s="109" t="n"/>
      <c r="J190" s="72" t="n"/>
      <c r="K190" s="109" t="n"/>
      <c r="L190" s="73" t="n"/>
      <c r="M190" s="109" t="n"/>
      <c r="N190" s="73" t="n"/>
      <c r="O190" s="107">
        <f>IF(B190="","",IF(M190&lt;&gt;"","Paid",IF(AND(I190&lt;&gt;"",I190&lt;AsOf),"OVERDUE",IF(OR(K190&lt;&gt;"",L190&lt;&gt;""),"Invoiced","Scheduled"))))</f>
        <v/>
      </c>
      <c r="P190" s="115">
        <f>IF(B190="","",IF(E190&lt;&gt;"",E190,IFERROR(INDEX('Contractors'!$D$6:$D$1005,MATCH(B190,'Contractors'!$B$6:$B$1005,0)),"")))</f>
        <v/>
      </c>
      <c r="Q190" s="79">
        <f>IF(B190="","",IF(D190&lt;&gt;"",D190,IFERROR(INDEX('Contractors'!$E$6:$E$1005,MATCH(B190,'Contractors'!$B$6:$B$1005,0)),"")))</f>
        <v/>
      </c>
      <c r="R190" s="79">
        <f>IF(O190="","",IF(O190="OVERDUE",2,IF(O190="Paid",0,IF(AND(I190&lt;&gt;"",I190&lt;=AsOf+AlertDays),1,0))))</f>
        <v/>
      </c>
      <c r="S190" s="79">
        <f>IF(AND(B190&lt;&gt;"",M190="",I190&lt;&gt;""),IF(L190&lt;&gt;"",L190,IF(H190="",0,H190)),0)</f>
        <v/>
      </c>
      <c r="T190" s="79">
        <f>IF(AND(B190&lt;&gt;"",M190="",I190&lt;&gt;""),1/I190,0)</f>
        <v/>
      </c>
      <c r="U190" s="112">
        <f>IF(AND(B190&lt;&gt;"",M190="",I190&lt;&gt;""),I190,"")</f>
        <v/>
      </c>
      <c r="V190" s="79">
        <f>IF(U190="","",IF(U190&lt;AsOf,1,IF(U190&lt;=AsOf+AlertDays,2,IF(U190&lt;=AsOf+2*AlertDays,3,""))))</f>
        <v/>
      </c>
      <c r="W190" s="79">
        <f>IF(V190="","",IF(O190="OVERDUE","Overdue payment: ","Payment due: ")&amp;B190&amp;" — "&amp;C190&amp;" ("&amp;CurSym&amp;" "&amp;FIXED(S190,0)&amp;")")</f>
        <v/>
      </c>
      <c r="Z190" s="116">
        <f>IF('Contractors'!B190="","",'Contractors'!B190)</f>
        <v/>
      </c>
      <c r="AA190" s="77">
        <f>IF(Z190="","",'Contractors'!K190)</f>
        <v/>
      </c>
      <c r="AB190" s="77">
        <f>IF(Z190="","",SUMIFS($L$6:$L$1005,$B$6:$B$1005,Z190))</f>
        <v/>
      </c>
      <c r="AC190" s="77">
        <f>IF(Z190="","",SUMIFS($N$6:$N$1005,$B$6:$B$1005,Z190))</f>
        <v/>
      </c>
      <c r="AD190" s="76">
        <f>IF(Z190="","",AA190-AC190)</f>
        <v/>
      </c>
      <c r="AE190" s="117">
        <f>IF(Z190="","",IFERROR(1/SUMPRODUCT(MAX(($B$6:$B$1005=Z190)*$T$6:$T$1005)),""))</f>
        <v/>
      </c>
      <c r="AF190" s="77">
        <f>IF(AE190="","",SUMIFS($S$6:$S$1005,$B$6:$B$1005,Z190,$I$6:$I$1005,AE190))</f>
        <v/>
      </c>
    </row>
    <row r="191" ht="20" customHeight="1">
      <c r="B191" s="72" t="n"/>
      <c r="C191" s="72" t="n"/>
      <c r="D191" s="72" t="n"/>
      <c r="E191" s="72" t="n"/>
      <c r="F191" s="110" t="n"/>
      <c r="G191" s="73" t="n"/>
      <c r="H191" s="75">
        <f>IF(B191="","",IF(G191&lt;&gt;"",G191,IF(F191&lt;&gt;"",F191*IFERROR(INDEX('Contractors'!$I$6:$I$1005,MATCH(B191,'Contractors'!$B$6:$B$1005,0)),0),"")))</f>
        <v/>
      </c>
      <c r="I191" s="109" t="n"/>
      <c r="J191" s="72" t="n"/>
      <c r="K191" s="109" t="n"/>
      <c r="L191" s="73" t="n"/>
      <c r="M191" s="109" t="n"/>
      <c r="N191" s="73" t="n"/>
      <c r="O191" s="107">
        <f>IF(B191="","",IF(M191&lt;&gt;"","Paid",IF(AND(I191&lt;&gt;"",I191&lt;AsOf),"OVERDUE",IF(OR(K191&lt;&gt;"",L191&lt;&gt;""),"Invoiced","Scheduled"))))</f>
        <v/>
      </c>
      <c r="P191" s="115">
        <f>IF(B191="","",IF(E191&lt;&gt;"",E191,IFERROR(INDEX('Contractors'!$D$6:$D$1005,MATCH(B191,'Contractors'!$B$6:$B$1005,0)),"")))</f>
        <v/>
      </c>
      <c r="Q191" s="79">
        <f>IF(B191="","",IF(D191&lt;&gt;"",D191,IFERROR(INDEX('Contractors'!$E$6:$E$1005,MATCH(B191,'Contractors'!$B$6:$B$1005,0)),"")))</f>
        <v/>
      </c>
      <c r="R191" s="79">
        <f>IF(O191="","",IF(O191="OVERDUE",2,IF(O191="Paid",0,IF(AND(I191&lt;&gt;"",I191&lt;=AsOf+AlertDays),1,0))))</f>
        <v/>
      </c>
      <c r="S191" s="79">
        <f>IF(AND(B191&lt;&gt;"",M191="",I191&lt;&gt;""),IF(L191&lt;&gt;"",L191,IF(H191="",0,H191)),0)</f>
        <v/>
      </c>
      <c r="T191" s="79">
        <f>IF(AND(B191&lt;&gt;"",M191="",I191&lt;&gt;""),1/I191,0)</f>
        <v/>
      </c>
      <c r="U191" s="112">
        <f>IF(AND(B191&lt;&gt;"",M191="",I191&lt;&gt;""),I191,"")</f>
        <v/>
      </c>
      <c r="V191" s="79">
        <f>IF(U191="","",IF(U191&lt;AsOf,1,IF(U191&lt;=AsOf+AlertDays,2,IF(U191&lt;=AsOf+2*AlertDays,3,""))))</f>
        <v/>
      </c>
      <c r="W191" s="79">
        <f>IF(V191="","",IF(O191="OVERDUE","Overdue payment: ","Payment due: ")&amp;B191&amp;" — "&amp;C191&amp;" ("&amp;CurSym&amp;" "&amp;FIXED(S191,0)&amp;")")</f>
        <v/>
      </c>
      <c r="Z191" s="116">
        <f>IF('Contractors'!B191="","",'Contractors'!B191)</f>
        <v/>
      </c>
      <c r="AA191" s="77">
        <f>IF(Z191="","",'Contractors'!K191)</f>
        <v/>
      </c>
      <c r="AB191" s="77">
        <f>IF(Z191="","",SUMIFS($L$6:$L$1005,$B$6:$B$1005,Z191))</f>
        <v/>
      </c>
      <c r="AC191" s="77">
        <f>IF(Z191="","",SUMIFS($N$6:$N$1005,$B$6:$B$1005,Z191))</f>
        <v/>
      </c>
      <c r="AD191" s="76">
        <f>IF(Z191="","",AA191-AC191)</f>
        <v/>
      </c>
      <c r="AE191" s="117">
        <f>IF(Z191="","",IFERROR(1/SUMPRODUCT(MAX(($B$6:$B$1005=Z191)*$T$6:$T$1005)),""))</f>
        <v/>
      </c>
      <c r="AF191" s="77">
        <f>IF(AE191="","",SUMIFS($S$6:$S$1005,$B$6:$B$1005,Z191,$I$6:$I$1005,AE191))</f>
        <v/>
      </c>
    </row>
    <row r="192" ht="20" customHeight="1">
      <c r="B192" s="72" t="n"/>
      <c r="C192" s="72" t="n"/>
      <c r="D192" s="72" t="n"/>
      <c r="E192" s="72" t="n"/>
      <c r="F192" s="110" t="n"/>
      <c r="G192" s="73" t="n"/>
      <c r="H192" s="75">
        <f>IF(B192="","",IF(G192&lt;&gt;"",G192,IF(F192&lt;&gt;"",F192*IFERROR(INDEX('Contractors'!$I$6:$I$1005,MATCH(B192,'Contractors'!$B$6:$B$1005,0)),0),"")))</f>
        <v/>
      </c>
      <c r="I192" s="109" t="n"/>
      <c r="J192" s="72" t="n"/>
      <c r="K192" s="109" t="n"/>
      <c r="L192" s="73" t="n"/>
      <c r="M192" s="109" t="n"/>
      <c r="N192" s="73" t="n"/>
      <c r="O192" s="107">
        <f>IF(B192="","",IF(M192&lt;&gt;"","Paid",IF(AND(I192&lt;&gt;"",I192&lt;AsOf),"OVERDUE",IF(OR(K192&lt;&gt;"",L192&lt;&gt;""),"Invoiced","Scheduled"))))</f>
        <v/>
      </c>
      <c r="P192" s="115">
        <f>IF(B192="","",IF(E192&lt;&gt;"",E192,IFERROR(INDEX('Contractors'!$D$6:$D$1005,MATCH(B192,'Contractors'!$B$6:$B$1005,0)),"")))</f>
        <v/>
      </c>
      <c r="Q192" s="79">
        <f>IF(B192="","",IF(D192&lt;&gt;"",D192,IFERROR(INDEX('Contractors'!$E$6:$E$1005,MATCH(B192,'Contractors'!$B$6:$B$1005,0)),"")))</f>
        <v/>
      </c>
      <c r="R192" s="79">
        <f>IF(O192="","",IF(O192="OVERDUE",2,IF(O192="Paid",0,IF(AND(I192&lt;&gt;"",I192&lt;=AsOf+AlertDays),1,0))))</f>
        <v/>
      </c>
      <c r="S192" s="79">
        <f>IF(AND(B192&lt;&gt;"",M192="",I192&lt;&gt;""),IF(L192&lt;&gt;"",L192,IF(H192="",0,H192)),0)</f>
        <v/>
      </c>
      <c r="T192" s="79">
        <f>IF(AND(B192&lt;&gt;"",M192="",I192&lt;&gt;""),1/I192,0)</f>
        <v/>
      </c>
      <c r="U192" s="112">
        <f>IF(AND(B192&lt;&gt;"",M192="",I192&lt;&gt;""),I192,"")</f>
        <v/>
      </c>
      <c r="V192" s="79">
        <f>IF(U192="","",IF(U192&lt;AsOf,1,IF(U192&lt;=AsOf+AlertDays,2,IF(U192&lt;=AsOf+2*AlertDays,3,""))))</f>
        <v/>
      </c>
      <c r="W192" s="79">
        <f>IF(V192="","",IF(O192="OVERDUE","Overdue payment: ","Payment due: ")&amp;B192&amp;" — "&amp;C192&amp;" ("&amp;CurSym&amp;" "&amp;FIXED(S192,0)&amp;")")</f>
        <v/>
      </c>
      <c r="Z192" s="116">
        <f>IF('Contractors'!B192="","",'Contractors'!B192)</f>
        <v/>
      </c>
      <c r="AA192" s="77">
        <f>IF(Z192="","",'Contractors'!K192)</f>
        <v/>
      </c>
      <c r="AB192" s="77">
        <f>IF(Z192="","",SUMIFS($L$6:$L$1005,$B$6:$B$1005,Z192))</f>
        <v/>
      </c>
      <c r="AC192" s="77">
        <f>IF(Z192="","",SUMIFS($N$6:$N$1005,$B$6:$B$1005,Z192))</f>
        <v/>
      </c>
      <c r="AD192" s="76">
        <f>IF(Z192="","",AA192-AC192)</f>
        <v/>
      </c>
      <c r="AE192" s="117">
        <f>IF(Z192="","",IFERROR(1/SUMPRODUCT(MAX(($B$6:$B$1005=Z192)*$T$6:$T$1005)),""))</f>
        <v/>
      </c>
      <c r="AF192" s="77">
        <f>IF(AE192="","",SUMIFS($S$6:$S$1005,$B$6:$B$1005,Z192,$I$6:$I$1005,AE192))</f>
        <v/>
      </c>
    </row>
    <row r="193" ht="20" customHeight="1">
      <c r="B193" s="72" t="n"/>
      <c r="C193" s="72" t="n"/>
      <c r="D193" s="72" t="n"/>
      <c r="E193" s="72" t="n"/>
      <c r="F193" s="110" t="n"/>
      <c r="G193" s="73" t="n"/>
      <c r="H193" s="75">
        <f>IF(B193="","",IF(G193&lt;&gt;"",G193,IF(F193&lt;&gt;"",F193*IFERROR(INDEX('Contractors'!$I$6:$I$1005,MATCH(B193,'Contractors'!$B$6:$B$1005,0)),0),"")))</f>
        <v/>
      </c>
      <c r="I193" s="109" t="n"/>
      <c r="J193" s="72" t="n"/>
      <c r="K193" s="109" t="n"/>
      <c r="L193" s="73" t="n"/>
      <c r="M193" s="109" t="n"/>
      <c r="N193" s="73" t="n"/>
      <c r="O193" s="107">
        <f>IF(B193="","",IF(M193&lt;&gt;"","Paid",IF(AND(I193&lt;&gt;"",I193&lt;AsOf),"OVERDUE",IF(OR(K193&lt;&gt;"",L193&lt;&gt;""),"Invoiced","Scheduled"))))</f>
        <v/>
      </c>
      <c r="P193" s="115">
        <f>IF(B193="","",IF(E193&lt;&gt;"",E193,IFERROR(INDEX('Contractors'!$D$6:$D$1005,MATCH(B193,'Contractors'!$B$6:$B$1005,0)),"")))</f>
        <v/>
      </c>
      <c r="Q193" s="79">
        <f>IF(B193="","",IF(D193&lt;&gt;"",D193,IFERROR(INDEX('Contractors'!$E$6:$E$1005,MATCH(B193,'Contractors'!$B$6:$B$1005,0)),"")))</f>
        <v/>
      </c>
      <c r="R193" s="79">
        <f>IF(O193="","",IF(O193="OVERDUE",2,IF(O193="Paid",0,IF(AND(I193&lt;&gt;"",I193&lt;=AsOf+AlertDays),1,0))))</f>
        <v/>
      </c>
      <c r="S193" s="79">
        <f>IF(AND(B193&lt;&gt;"",M193="",I193&lt;&gt;""),IF(L193&lt;&gt;"",L193,IF(H193="",0,H193)),0)</f>
        <v/>
      </c>
      <c r="T193" s="79">
        <f>IF(AND(B193&lt;&gt;"",M193="",I193&lt;&gt;""),1/I193,0)</f>
        <v/>
      </c>
      <c r="U193" s="112">
        <f>IF(AND(B193&lt;&gt;"",M193="",I193&lt;&gt;""),I193,"")</f>
        <v/>
      </c>
      <c r="V193" s="79">
        <f>IF(U193="","",IF(U193&lt;AsOf,1,IF(U193&lt;=AsOf+AlertDays,2,IF(U193&lt;=AsOf+2*AlertDays,3,""))))</f>
        <v/>
      </c>
      <c r="W193" s="79">
        <f>IF(V193="","",IF(O193="OVERDUE","Overdue payment: ","Payment due: ")&amp;B193&amp;" — "&amp;C193&amp;" ("&amp;CurSym&amp;" "&amp;FIXED(S193,0)&amp;")")</f>
        <v/>
      </c>
      <c r="Z193" s="116">
        <f>IF('Contractors'!B193="","",'Contractors'!B193)</f>
        <v/>
      </c>
      <c r="AA193" s="77">
        <f>IF(Z193="","",'Contractors'!K193)</f>
        <v/>
      </c>
      <c r="AB193" s="77">
        <f>IF(Z193="","",SUMIFS($L$6:$L$1005,$B$6:$B$1005,Z193))</f>
        <v/>
      </c>
      <c r="AC193" s="77">
        <f>IF(Z193="","",SUMIFS($N$6:$N$1005,$B$6:$B$1005,Z193))</f>
        <v/>
      </c>
      <c r="AD193" s="76">
        <f>IF(Z193="","",AA193-AC193)</f>
        <v/>
      </c>
      <c r="AE193" s="117">
        <f>IF(Z193="","",IFERROR(1/SUMPRODUCT(MAX(($B$6:$B$1005=Z193)*$T$6:$T$1005)),""))</f>
        <v/>
      </c>
      <c r="AF193" s="77">
        <f>IF(AE193="","",SUMIFS($S$6:$S$1005,$B$6:$B$1005,Z193,$I$6:$I$1005,AE193))</f>
        <v/>
      </c>
    </row>
    <row r="194" ht="20" customHeight="1">
      <c r="B194" s="72" t="n"/>
      <c r="C194" s="72" t="n"/>
      <c r="D194" s="72" t="n"/>
      <c r="E194" s="72" t="n"/>
      <c r="F194" s="110" t="n"/>
      <c r="G194" s="73" t="n"/>
      <c r="H194" s="75">
        <f>IF(B194="","",IF(G194&lt;&gt;"",G194,IF(F194&lt;&gt;"",F194*IFERROR(INDEX('Contractors'!$I$6:$I$1005,MATCH(B194,'Contractors'!$B$6:$B$1005,0)),0),"")))</f>
        <v/>
      </c>
      <c r="I194" s="109" t="n"/>
      <c r="J194" s="72" t="n"/>
      <c r="K194" s="109" t="n"/>
      <c r="L194" s="73" t="n"/>
      <c r="M194" s="109" t="n"/>
      <c r="N194" s="73" t="n"/>
      <c r="O194" s="107">
        <f>IF(B194="","",IF(M194&lt;&gt;"","Paid",IF(AND(I194&lt;&gt;"",I194&lt;AsOf),"OVERDUE",IF(OR(K194&lt;&gt;"",L194&lt;&gt;""),"Invoiced","Scheduled"))))</f>
        <v/>
      </c>
      <c r="P194" s="115">
        <f>IF(B194="","",IF(E194&lt;&gt;"",E194,IFERROR(INDEX('Contractors'!$D$6:$D$1005,MATCH(B194,'Contractors'!$B$6:$B$1005,0)),"")))</f>
        <v/>
      </c>
      <c r="Q194" s="79">
        <f>IF(B194="","",IF(D194&lt;&gt;"",D194,IFERROR(INDEX('Contractors'!$E$6:$E$1005,MATCH(B194,'Contractors'!$B$6:$B$1005,0)),"")))</f>
        <v/>
      </c>
      <c r="R194" s="79">
        <f>IF(O194="","",IF(O194="OVERDUE",2,IF(O194="Paid",0,IF(AND(I194&lt;&gt;"",I194&lt;=AsOf+AlertDays),1,0))))</f>
        <v/>
      </c>
      <c r="S194" s="79">
        <f>IF(AND(B194&lt;&gt;"",M194="",I194&lt;&gt;""),IF(L194&lt;&gt;"",L194,IF(H194="",0,H194)),0)</f>
        <v/>
      </c>
      <c r="T194" s="79">
        <f>IF(AND(B194&lt;&gt;"",M194="",I194&lt;&gt;""),1/I194,0)</f>
        <v/>
      </c>
      <c r="U194" s="112">
        <f>IF(AND(B194&lt;&gt;"",M194="",I194&lt;&gt;""),I194,"")</f>
        <v/>
      </c>
      <c r="V194" s="79">
        <f>IF(U194="","",IF(U194&lt;AsOf,1,IF(U194&lt;=AsOf+AlertDays,2,IF(U194&lt;=AsOf+2*AlertDays,3,""))))</f>
        <v/>
      </c>
      <c r="W194" s="79">
        <f>IF(V194="","",IF(O194="OVERDUE","Overdue payment: ","Payment due: ")&amp;B194&amp;" — "&amp;C194&amp;" ("&amp;CurSym&amp;" "&amp;FIXED(S194,0)&amp;")")</f>
        <v/>
      </c>
      <c r="Z194" s="116">
        <f>IF('Contractors'!B194="","",'Contractors'!B194)</f>
        <v/>
      </c>
      <c r="AA194" s="77">
        <f>IF(Z194="","",'Contractors'!K194)</f>
        <v/>
      </c>
      <c r="AB194" s="77">
        <f>IF(Z194="","",SUMIFS($L$6:$L$1005,$B$6:$B$1005,Z194))</f>
        <v/>
      </c>
      <c r="AC194" s="77">
        <f>IF(Z194="","",SUMIFS($N$6:$N$1005,$B$6:$B$1005,Z194))</f>
        <v/>
      </c>
      <c r="AD194" s="76">
        <f>IF(Z194="","",AA194-AC194)</f>
        <v/>
      </c>
      <c r="AE194" s="117">
        <f>IF(Z194="","",IFERROR(1/SUMPRODUCT(MAX(($B$6:$B$1005=Z194)*$T$6:$T$1005)),""))</f>
        <v/>
      </c>
      <c r="AF194" s="77">
        <f>IF(AE194="","",SUMIFS($S$6:$S$1005,$B$6:$B$1005,Z194,$I$6:$I$1005,AE194))</f>
        <v/>
      </c>
    </row>
    <row r="195" ht="20" customHeight="1">
      <c r="B195" s="72" t="n"/>
      <c r="C195" s="72" t="n"/>
      <c r="D195" s="72" t="n"/>
      <c r="E195" s="72" t="n"/>
      <c r="F195" s="110" t="n"/>
      <c r="G195" s="73" t="n"/>
      <c r="H195" s="75">
        <f>IF(B195="","",IF(G195&lt;&gt;"",G195,IF(F195&lt;&gt;"",F195*IFERROR(INDEX('Contractors'!$I$6:$I$1005,MATCH(B195,'Contractors'!$B$6:$B$1005,0)),0),"")))</f>
        <v/>
      </c>
      <c r="I195" s="109" t="n"/>
      <c r="J195" s="72" t="n"/>
      <c r="K195" s="109" t="n"/>
      <c r="L195" s="73" t="n"/>
      <c r="M195" s="109" t="n"/>
      <c r="N195" s="73" t="n"/>
      <c r="O195" s="107">
        <f>IF(B195="","",IF(M195&lt;&gt;"","Paid",IF(AND(I195&lt;&gt;"",I195&lt;AsOf),"OVERDUE",IF(OR(K195&lt;&gt;"",L195&lt;&gt;""),"Invoiced","Scheduled"))))</f>
        <v/>
      </c>
      <c r="P195" s="115">
        <f>IF(B195="","",IF(E195&lt;&gt;"",E195,IFERROR(INDEX('Contractors'!$D$6:$D$1005,MATCH(B195,'Contractors'!$B$6:$B$1005,0)),"")))</f>
        <v/>
      </c>
      <c r="Q195" s="79">
        <f>IF(B195="","",IF(D195&lt;&gt;"",D195,IFERROR(INDEX('Contractors'!$E$6:$E$1005,MATCH(B195,'Contractors'!$B$6:$B$1005,0)),"")))</f>
        <v/>
      </c>
      <c r="R195" s="79">
        <f>IF(O195="","",IF(O195="OVERDUE",2,IF(O195="Paid",0,IF(AND(I195&lt;&gt;"",I195&lt;=AsOf+AlertDays),1,0))))</f>
        <v/>
      </c>
      <c r="S195" s="79">
        <f>IF(AND(B195&lt;&gt;"",M195="",I195&lt;&gt;""),IF(L195&lt;&gt;"",L195,IF(H195="",0,H195)),0)</f>
        <v/>
      </c>
      <c r="T195" s="79">
        <f>IF(AND(B195&lt;&gt;"",M195="",I195&lt;&gt;""),1/I195,0)</f>
        <v/>
      </c>
      <c r="U195" s="112">
        <f>IF(AND(B195&lt;&gt;"",M195="",I195&lt;&gt;""),I195,"")</f>
        <v/>
      </c>
      <c r="V195" s="79">
        <f>IF(U195="","",IF(U195&lt;AsOf,1,IF(U195&lt;=AsOf+AlertDays,2,IF(U195&lt;=AsOf+2*AlertDays,3,""))))</f>
        <v/>
      </c>
      <c r="W195" s="79">
        <f>IF(V195="","",IF(O195="OVERDUE","Overdue payment: ","Payment due: ")&amp;B195&amp;" — "&amp;C195&amp;" ("&amp;CurSym&amp;" "&amp;FIXED(S195,0)&amp;")")</f>
        <v/>
      </c>
      <c r="Z195" s="116">
        <f>IF('Contractors'!B195="","",'Contractors'!B195)</f>
        <v/>
      </c>
      <c r="AA195" s="77">
        <f>IF(Z195="","",'Contractors'!K195)</f>
        <v/>
      </c>
      <c r="AB195" s="77">
        <f>IF(Z195="","",SUMIFS($L$6:$L$1005,$B$6:$B$1005,Z195))</f>
        <v/>
      </c>
      <c r="AC195" s="77">
        <f>IF(Z195="","",SUMIFS($N$6:$N$1005,$B$6:$B$1005,Z195))</f>
        <v/>
      </c>
      <c r="AD195" s="76">
        <f>IF(Z195="","",AA195-AC195)</f>
        <v/>
      </c>
      <c r="AE195" s="117">
        <f>IF(Z195="","",IFERROR(1/SUMPRODUCT(MAX(($B$6:$B$1005=Z195)*$T$6:$T$1005)),""))</f>
        <v/>
      </c>
      <c r="AF195" s="77">
        <f>IF(AE195="","",SUMIFS($S$6:$S$1005,$B$6:$B$1005,Z195,$I$6:$I$1005,AE195))</f>
        <v/>
      </c>
    </row>
    <row r="196" ht="20" customHeight="1">
      <c r="B196" s="72" t="n"/>
      <c r="C196" s="72" t="n"/>
      <c r="D196" s="72" t="n"/>
      <c r="E196" s="72" t="n"/>
      <c r="F196" s="110" t="n"/>
      <c r="G196" s="73" t="n"/>
      <c r="H196" s="75">
        <f>IF(B196="","",IF(G196&lt;&gt;"",G196,IF(F196&lt;&gt;"",F196*IFERROR(INDEX('Contractors'!$I$6:$I$1005,MATCH(B196,'Contractors'!$B$6:$B$1005,0)),0),"")))</f>
        <v/>
      </c>
      <c r="I196" s="109" t="n"/>
      <c r="J196" s="72" t="n"/>
      <c r="K196" s="109" t="n"/>
      <c r="L196" s="73" t="n"/>
      <c r="M196" s="109" t="n"/>
      <c r="N196" s="73" t="n"/>
      <c r="O196" s="107">
        <f>IF(B196="","",IF(M196&lt;&gt;"","Paid",IF(AND(I196&lt;&gt;"",I196&lt;AsOf),"OVERDUE",IF(OR(K196&lt;&gt;"",L196&lt;&gt;""),"Invoiced","Scheduled"))))</f>
        <v/>
      </c>
      <c r="P196" s="115">
        <f>IF(B196="","",IF(E196&lt;&gt;"",E196,IFERROR(INDEX('Contractors'!$D$6:$D$1005,MATCH(B196,'Contractors'!$B$6:$B$1005,0)),"")))</f>
        <v/>
      </c>
      <c r="Q196" s="79">
        <f>IF(B196="","",IF(D196&lt;&gt;"",D196,IFERROR(INDEX('Contractors'!$E$6:$E$1005,MATCH(B196,'Contractors'!$B$6:$B$1005,0)),"")))</f>
        <v/>
      </c>
      <c r="R196" s="79">
        <f>IF(O196="","",IF(O196="OVERDUE",2,IF(O196="Paid",0,IF(AND(I196&lt;&gt;"",I196&lt;=AsOf+AlertDays),1,0))))</f>
        <v/>
      </c>
      <c r="S196" s="79">
        <f>IF(AND(B196&lt;&gt;"",M196="",I196&lt;&gt;""),IF(L196&lt;&gt;"",L196,IF(H196="",0,H196)),0)</f>
        <v/>
      </c>
      <c r="T196" s="79">
        <f>IF(AND(B196&lt;&gt;"",M196="",I196&lt;&gt;""),1/I196,0)</f>
        <v/>
      </c>
      <c r="U196" s="112">
        <f>IF(AND(B196&lt;&gt;"",M196="",I196&lt;&gt;""),I196,"")</f>
        <v/>
      </c>
      <c r="V196" s="79">
        <f>IF(U196="","",IF(U196&lt;AsOf,1,IF(U196&lt;=AsOf+AlertDays,2,IF(U196&lt;=AsOf+2*AlertDays,3,""))))</f>
        <v/>
      </c>
      <c r="W196" s="79">
        <f>IF(V196="","",IF(O196="OVERDUE","Overdue payment: ","Payment due: ")&amp;B196&amp;" — "&amp;C196&amp;" ("&amp;CurSym&amp;" "&amp;FIXED(S196,0)&amp;")")</f>
        <v/>
      </c>
      <c r="Z196" s="116">
        <f>IF('Contractors'!B196="","",'Contractors'!B196)</f>
        <v/>
      </c>
      <c r="AA196" s="77">
        <f>IF(Z196="","",'Contractors'!K196)</f>
        <v/>
      </c>
      <c r="AB196" s="77">
        <f>IF(Z196="","",SUMIFS($L$6:$L$1005,$B$6:$B$1005,Z196))</f>
        <v/>
      </c>
      <c r="AC196" s="77">
        <f>IF(Z196="","",SUMIFS($N$6:$N$1005,$B$6:$B$1005,Z196))</f>
        <v/>
      </c>
      <c r="AD196" s="76">
        <f>IF(Z196="","",AA196-AC196)</f>
        <v/>
      </c>
      <c r="AE196" s="117">
        <f>IF(Z196="","",IFERROR(1/SUMPRODUCT(MAX(($B$6:$B$1005=Z196)*$T$6:$T$1005)),""))</f>
        <v/>
      </c>
      <c r="AF196" s="77">
        <f>IF(AE196="","",SUMIFS($S$6:$S$1005,$B$6:$B$1005,Z196,$I$6:$I$1005,AE196))</f>
        <v/>
      </c>
    </row>
    <row r="197" ht="20" customHeight="1">
      <c r="B197" s="72" t="n"/>
      <c r="C197" s="72" t="n"/>
      <c r="D197" s="72" t="n"/>
      <c r="E197" s="72" t="n"/>
      <c r="F197" s="110" t="n"/>
      <c r="G197" s="73" t="n"/>
      <c r="H197" s="75">
        <f>IF(B197="","",IF(G197&lt;&gt;"",G197,IF(F197&lt;&gt;"",F197*IFERROR(INDEX('Contractors'!$I$6:$I$1005,MATCH(B197,'Contractors'!$B$6:$B$1005,0)),0),"")))</f>
        <v/>
      </c>
      <c r="I197" s="109" t="n"/>
      <c r="J197" s="72" t="n"/>
      <c r="K197" s="109" t="n"/>
      <c r="L197" s="73" t="n"/>
      <c r="M197" s="109" t="n"/>
      <c r="N197" s="73" t="n"/>
      <c r="O197" s="107">
        <f>IF(B197="","",IF(M197&lt;&gt;"","Paid",IF(AND(I197&lt;&gt;"",I197&lt;AsOf),"OVERDUE",IF(OR(K197&lt;&gt;"",L197&lt;&gt;""),"Invoiced","Scheduled"))))</f>
        <v/>
      </c>
      <c r="P197" s="115">
        <f>IF(B197="","",IF(E197&lt;&gt;"",E197,IFERROR(INDEX('Contractors'!$D$6:$D$1005,MATCH(B197,'Contractors'!$B$6:$B$1005,0)),"")))</f>
        <v/>
      </c>
      <c r="Q197" s="79">
        <f>IF(B197="","",IF(D197&lt;&gt;"",D197,IFERROR(INDEX('Contractors'!$E$6:$E$1005,MATCH(B197,'Contractors'!$B$6:$B$1005,0)),"")))</f>
        <v/>
      </c>
      <c r="R197" s="79">
        <f>IF(O197="","",IF(O197="OVERDUE",2,IF(O197="Paid",0,IF(AND(I197&lt;&gt;"",I197&lt;=AsOf+AlertDays),1,0))))</f>
        <v/>
      </c>
      <c r="S197" s="79">
        <f>IF(AND(B197&lt;&gt;"",M197="",I197&lt;&gt;""),IF(L197&lt;&gt;"",L197,IF(H197="",0,H197)),0)</f>
        <v/>
      </c>
      <c r="T197" s="79">
        <f>IF(AND(B197&lt;&gt;"",M197="",I197&lt;&gt;""),1/I197,0)</f>
        <v/>
      </c>
      <c r="U197" s="112">
        <f>IF(AND(B197&lt;&gt;"",M197="",I197&lt;&gt;""),I197,"")</f>
        <v/>
      </c>
      <c r="V197" s="79">
        <f>IF(U197="","",IF(U197&lt;AsOf,1,IF(U197&lt;=AsOf+AlertDays,2,IF(U197&lt;=AsOf+2*AlertDays,3,""))))</f>
        <v/>
      </c>
      <c r="W197" s="79">
        <f>IF(V197="","",IF(O197="OVERDUE","Overdue payment: ","Payment due: ")&amp;B197&amp;" — "&amp;C197&amp;" ("&amp;CurSym&amp;" "&amp;FIXED(S197,0)&amp;")")</f>
        <v/>
      </c>
      <c r="Z197" s="116">
        <f>IF('Contractors'!B197="","",'Contractors'!B197)</f>
        <v/>
      </c>
      <c r="AA197" s="77">
        <f>IF(Z197="","",'Contractors'!K197)</f>
        <v/>
      </c>
      <c r="AB197" s="77">
        <f>IF(Z197="","",SUMIFS($L$6:$L$1005,$B$6:$B$1005,Z197))</f>
        <v/>
      </c>
      <c r="AC197" s="77">
        <f>IF(Z197="","",SUMIFS($N$6:$N$1005,$B$6:$B$1005,Z197))</f>
        <v/>
      </c>
      <c r="AD197" s="76">
        <f>IF(Z197="","",AA197-AC197)</f>
        <v/>
      </c>
      <c r="AE197" s="117">
        <f>IF(Z197="","",IFERROR(1/SUMPRODUCT(MAX(($B$6:$B$1005=Z197)*$T$6:$T$1005)),""))</f>
        <v/>
      </c>
      <c r="AF197" s="77">
        <f>IF(AE197="","",SUMIFS($S$6:$S$1005,$B$6:$B$1005,Z197,$I$6:$I$1005,AE197))</f>
        <v/>
      </c>
    </row>
    <row r="198" ht="20" customHeight="1">
      <c r="B198" s="72" t="n"/>
      <c r="C198" s="72" t="n"/>
      <c r="D198" s="72" t="n"/>
      <c r="E198" s="72" t="n"/>
      <c r="F198" s="110" t="n"/>
      <c r="G198" s="73" t="n"/>
      <c r="H198" s="75">
        <f>IF(B198="","",IF(G198&lt;&gt;"",G198,IF(F198&lt;&gt;"",F198*IFERROR(INDEX('Contractors'!$I$6:$I$1005,MATCH(B198,'Contractors'!$B$6:$B$1005,0)),0),"")))</f>
        <v/>
      </c>
      <c r="I198" s="109" t="n"/>
      <c r="J198" s="72" t="n"/>
      <c r="K198" s="109" t="n"/>
      <c r="L198" s="73" t="n"/>
      <c r="M198" s="109" t="n"/>
      <c r="N198" s="73" t="n"/>
      <c r="O198" s="107">
        <f>IF(B198="","",IF(M198&lt;&gt;"","Paid",IF(AND(I198&lt;&gt;"",I198&lt;AsOf),"OVERDUE",IF(OR(K198&lt;&gt;"",L198&lt;&gt;""),"Invoiced","Scheduled"))))</f>
        <v/>
      </c>
      <c r="P198" s="115">
        <f>IF(B198="","",IF(E198&lt;&gt;"",E198,IFERROR(INDEX('Contractors'!$D$6:$D$1005,MATCH(B198,'Contractors'!$B$6:$B$1005,0)),"")))</f>
        <v/>
      </c>
      <c r="Q198" s="79">
        <f>IF(B198="","",IF(D198&lt;&gt;"",D198,IFERROR(INDEX('Contractors'!$E$6:$E$1005,MATCH(B198,'Contractors'!$B$6:$B$1005,0)),"")))</f>
        <v/>
      </c>
      <c r="R198" s="79">
        <f>IF(O198="","",IF(O198="OVERDUE",2,IF(O198="Paid",0,IF(AND(I198&lt;&gt;"",I198&lt;=AsOf+AlertDays),1,0))))</f>
        <v/>
      </c>
      <c r="S198" s="79">
        <f>IF(AND(B198&lt;&gt;"",M198="",I198&lt;&gt;""),IF(L198&lt;&gt;"",L198,IF(H198="",0,H198)),0)</f>
        <v/>
      </c>
      <c r="T198" s="79">
        <f>IF(AND(B198&lt;&gt;"",M198="",I198&lt;&gt;""),1/I198,0)</f>
        <v/>
      </c>
      <c r="U198" s="112">
        <f>IF(AND(B198&lt;&gt;"",M198="",I198&lt;&gt;""),I198,"")</f>
        <v/>
      </c>
      <c r="V198" s="79">
        <f>IF(U198="","",IF(U198&lt;AsOf,1,IF(U198&lt;=AsOf+AlertDays,2,IF(U198&lt;=AsOf+2*AlertDays,3,""))))</f>
        <v/>
      </c>
      <c r="W198" s="79">
        <f>IF(V198="","",IF(O198="OVERDUE","Overdue payment: ","Payment due: ")&amp;B198&amp;" — "&amp;C198&amp;" ("&amp;CurSym&amp;" "&amp;FIXED(S198,0)&amp;")")</f>
        <v/>
      </c>
      <c r="Z198" s="116">
        <f>IF('Contractors'!B198="","",'Contractors'!B198)</f>
        <v/>
      </c>
      <c r="AA198" s="77">
        <f>IF(Z198="","",'Contractors'!K198)</f>
        <v/>
      </c>
      <c r="AB198" s="77">
        <f>IF(Z198="","",SUMIFS($L$6:$L$1005,$B$6:$B$1005,Z198))</f>
        <v/>
      </c>
      <c r="AC198" s="77">
        <f>IF(Z198="","",SUMIFS($N$6:$N$1005,$B$6:$B$1005,Z198))</f>
        <v/>
      </c>
      <c r="AD198" s="76">
        <f>IF(Z198="","",AA198-AC198)</f>
        <v/>
      </c>
      <c r="AE198" s="117">
        <f>IF(Z198="","",IFERROR(1/SUMPRODUCT(MAX(($B$6:$B$1005=Z198)*$T$6:$T$1005)),""))</f>
        <v/>
      </c>
      <c r="AF198" s="77">
        <f>IF(AE198="","",SUMIFS($S$6:$S$1005,$B$6:$B$1005,Z198,$I$6:$I$1005,AE198))</f>
        <v/>
      </c>
    </row>
    <row r="199" ht="20" customHeight="1">
      <c r="B199" s="72" t="n"/>
      <c r="C199" s="72" t="n"/>
      <c r="D199" s="72" t="n"/>
      <c r="E199" s="72" t="n"/>
      <c r="F199" s="110" t="n"/>
      <c r="G199" s="73" t="n"/>
      <c r="H199" s="75">
        <f>IF(B199="","",IF(G199&lt;&gt;"",G199,IF(F199&lt;&gt;"",F199*IFERROR(INDEX('Contractors'!$I$6:$I$1005,MATCH(B199,'Contractors'!$B$6:$B$1005,0)),0),"")))</f>
        <v/>
      </c>
      <c r="I199" s="109" t="n"/>
      <c r="J199" s="72" t="n"/>
      <c r="K199" s="109" t="n"/>
      <c r="L199" s="73" t="n"/>
      <c r="M199" s="109" t="n"/>
      <c r="N199" s="73" t="n"/>
      <c r="O199" s="107">
        <f>IF(B199="","",IF(M199&lt;&gt;"","Paid",IF(AND(I199&lt;&gt;"",I199&lt;AsOf),"OVERDUE",IF(OR(K199&lt;&gt;"",L199&lt;&gt;""),"Invoiced","Scheduled"))))</f>
        <v/>
      </c>
      <c r="P199" s="115">
        <f>IF(B199="","",IF(E199&lt;&gt;"",E199,IFERROR(INDEX('Contractors'!$D$6:$D$1005,MATCH(B199,'Contractors'!$B$6:$B$1005,0)),"")))</f>
        <v/>
      </c>
      <c r="Q199" s="79">
        <f>IF(B199="","",IF(D199&lt;&gt;"",D199,IFERROR(INDEX('Contractors'!$E$6:$E$1005,MATCH(B199,'Contractors'!$B$6:$B$1005,0)),"")))</f>
        <v/>
      </c>
      <c r="R199" s="79">
        <f>IF(O199="","",IF(O199="OVERDUE",2,IF(O199="Paid",0,IF(AND(I199&lt;&gt;"",I199&lt;=AsOf+AlertDays),1,0))))</f>
        <v/>
      </c>
      <c r="S199" s="79">
        <f>IF(AND(B199&lt;&gt;"",M199="",I199&lt;&gt;""),IF(L199&lt;&gt;"",L199,IF(H199="",0,H199)),0)</f>
        <v/>
      </c>
      <c r="T199" s="79">
        <f>IF(AND(B199&lt;&gt;"",M199="",I199&lt;&gt;""),1/I199,0)</f>
        <v/>
      </c>
      <c r="U199" s="112">
        <f>IF(AND(B199&lt;&gt;"",M199="",I199&lt;&gt;""),I199,"")</f>
        <v/>
      </c>
      <c r="V199" s="79">
        <f>IF(U199="","",IF(U199&lt;AsOf,1,IF(U199&lt;=AsOf+AlertDays,2,IF(U199&lt;=AsOf+2*AlertDays,3,""))))</f>
        <v/>
      </c>
      <c r="W199" s="79">
        <f>IF(V199="","",IF(O199="OVERDUE","Overdue payment: ","Payment due: ")&amp;B199&amp;" — "&amp;C199&amp;" ("&amp;CurSym&amp;" "&amp;FIXED(S199,0)&amp;")")</f>
        <v/>
      </c>
      <c r="Z199" s="116">
        <f>IF('Contractors'!B199="","",'Contractors'!B199)</f>
        <v/>
      </c>
      <c r="AA199" s="77">
        <f>IF(Z199="","",'Contractors'!K199)</f>
        <v/>
      </c>
      <c r="AB199" s="77">
        <f>IF(Z199="","",SUMIFS($L$6:$L$1005,$B$6:$B$1005,Z199))</f>
        <v/>
      </c>
      <c r="AC199" s="77">
        <f>IF(Z199="","",SUMIFS($N$6:$N$1005,$B$6:$B$1005,Z199))</f>
        <v/>
      </c>
      <c r="AD199" s="76">
        <f>IF(Z199="","",AA199-AC199)</f>
        <v/>
      </c>
      <c r="AE199" s="117">
        <f>IF(Z199="","",IFERROR(1/SUMPRODUCT(MAX(($B$6:$B$1005=Z199)*$T$6:$T$1005)),""))</f>
        <v/>
      </c>
      <c r="AF199" s="77">
        <f>IF(AE199="","",SUMIFS($S$6:$S$1005,$B$6:$B$1005,Z199,$I$6:$I$1005,AE199))</f>
        <v/>
      </c>
    </row>
    <row r="200" ht="20" customHeight="1">
      <c r="B200" s="72" t="n"/>
      <c r="C200" s="72" t="n"/>
      <c r="D200" s="72" t="n"/>
      <c r="E200" s="72" t="n"/>
      <c r="F200" s="110" t="n"/>
      <c r="G200" s="73" t="n"/>
      <c r="H200" s="75">
        <f>IF(B200="","",IF(G200&lt;&gt;"",G200,IF(F200&lt;&gt;"",F200*IFERROR(INDEX('Contractors'!$I$6:$I$1005,MATCH(B200,'Contractors'!$B$6:$B$1005,0)),0),"")))</f>
        <v/>
      </c>
      <c r="I200" s="109" t="n"/>
      <c r="J200" s="72" t="n"/>
      <c r="K200" s="109" t="n"/>
      <c r="L200" s="73" t="n"/>
      <c r="M200" s="109" t="n"/>
      <c r="N200" s="73" t="n"/>
      <c r="O200" s="107">
        <f>IF(B200="","",IF(M200&lt;&gt;"","Paid",IF(AND(I200&lt;&gt;"",I200&lt;AsOf),"OVERDUE",IF(OR(K200&lt;&gt;"",L200&lt;&gt;""),"Invoiced","Scheduled"))))</f>
        <v/>
      </c>
      <c r="P200" s="115">
        <f>IF(B200="","",IF(E200&lt;&gt;"",E200,IFERROR(INDEX('Contractors'!$D$6:$D$1005,MATCH(B200,'Contractors'!$B$6:$B$1005,0)),"")))</f>
        <v/>
      </c>
      <c r="Q200" s="79">
        <f>IF(B200="","",IF(D200&lt;&gt;"",D200,IFERROR(INDEX('Contractors'!$E$6:$E$1005,MATCH(B200,'Contractors'!$B$6:$B$1005,0)),"")))</f>
        <v/>
      </c>
      <c r="R200" s="79">
        <f>IF(O200="","",IF(O200="OVERDUE",2,IF(O200="Paid",0,IF(AND(I200&lt;&gt;"",I200&lt;=AsOf+AlertDays),1,0))))</f>
        <v/>
      </c>
      <c r="S200" s="79">
        <f>IF(AND(B200&lt;&gt;"",M200="",I200&lt;&gt;""),IF(L200&lt;&gt;"",L200,IF(H200="",0,H200)),0)</f>
        <v/>
      </c>
      <c r="T200" s="79">
        <f>IF(AND(B200&lt;&gt;"",M200="",I200&lt;&gt;""),1/I200,0)</f>
        <v/>
      </c>
      <c r="U200" s="112">
        <f>IF(AND(B200&lt;&gt;"",M200="",I200&lt;&gt;""),I200,"")</f>
        <v/>
      </c>
      <c r="V200" s="79">
        <f>IF(U200="","",IF(U200&lt;AsOf,1,IF(U200&lt;=AsOf+AlertDays,2,IF(U200&lt;=AsOf+2*AlertDays,3,""))))</f>
        <v/>
      </c>
      <c r="W200" s="79">
        <f>IF(V200="","",IF(O200="OVERDUE","Overdue payment: ","Payment due: ")&amp;B200&amp;" — "&amp;C200&amp;" ("&amp;CurSym&amp;" "&amp;FIXED(S200,0)&amp;")")</f>
        <v/>
      </c>
      <c r="Z200" s="116">
        <f>IF('Contractors'!B200="","",'Contractors'!B200)</f>
        <v/>
      </c>
      <c r="AA200" s="77">
        <f>IF(Z200="","",'Contractors'!K200)</f>
        <v/>
      </c>
      <c r="AB200" s="77">
        <f>IF(Z200="","",SUMIFS($L$6:$L$1005,$B$6:$B$1005,Z200))</f>
        <v/>
      </c>
      <c r="AC200" s="77">
        <f>IF(Z200="","",SUMIFS($N$6:$N$1005,$B$6:$B$1005,Z200))</f>
        <v/>
      </c>
      <c r="AD200" s="76">
        <f>IF(Z200="","",AA200-AC200)</f>
        <v/>
      </c>
      <c r="AE200" s="117">
        <f>IF(Z200="","",IFERROR(1/SUMPRODUCT(MAX(($B$6:$B$1005=Z200)*$T$6:$T$1005)),""))</f>
        <v/>
      </c>
      <c r="AF200" s="77">
        <f>IF(AE200="","",SUMIFS($S$6:$S$1005,$B$6:$B$1005,Z200,$I$6:$I$1005,AE200))</f>
        <v/>
      </c>
    </row>
    <row r="201" ht="20" customHeight="1">
      <c r="B201" s="72" t="n"/>
      <c r="C201" s="72" t="n"/>
      <c r="D201" s="72" t="n"/>
      <c r="E201" s="72" t="n"/>
      <c r="F201" s="110" t="n"/>
      <c r="G201" s="73" t="n"/>
      <c r="H201" s="75">
        <f>IF(B201="","",IF(G201&lt;&gt;"",G201,IF(F201&lt;&gt;"",F201*IFERROR(INDEX('Contractors'!$I$6:$I$1005,MATCH(B201,'Contractors'!$B$6:$B$1005,0)),0),"")))</f>
        <v/>
      </c>
      <c r="I201" s="109" t="n"/>
      <c r="J201" s="72" t="n"/>
      <c r="K201" s="109" t="n"/>
      <c r="L201" s="73" t="n"/>
      <c r="M201" s="109" t="n"/>
      <c r="N201" s="73" t="n"/>
      <c r="O201" s="107">
        <f>IF(B201="","",IF(M201&lt;&gt;"","Paid",IF(AND(I201&lt;&gt;"",I201&lt;AsOf),"OVERDUE",IF(OR(K201&lt;&gt;"",L201&lt;&gt;""),"Invoiced","Scheduled"))))</f>
        <v/>
      </c>
      <c r="P201" s="115">
        <f>IF(B201="","",IF(E201&lt;&gt;"",E201,IFERROR(INDEX('Contractors'!$D$6:$D$1005,MATCH(B201,'Contractors'!$B$6:$B$1005,0)),"")))</f>
        <v/>
      </c>
      <c r="Q201" s="79">
        <f>IF(B201="","",IF(D201&lt;&gt;"",D201,IFERROR(INDEX('Contractors'!$E$6:$E$1005,MATCH(B201,'Contractors'!$B$6:$B$1005,0)),"")))</f>
        <v/>
      </c>
      <c r="R201" s="79">
        <f>IF(O201="","",IF(O201="OVERDUE",2,IF(O201="Paid",0,IF(AND(I201&lt;&gt;"",I201&lt;=AsOf+AlertDays),1,0))))</f>
        <v/>
      </c>
      <c r="S201" s="79">
        <f>IF(AND(B201&lt;&gt;"",M201="",I201&lt;&gt;""),IF(L201&lt;&gt;"",L201,IF(H201="",0,H201)),0)</f>
        <v/>
      </c>
      <c r="T201" s="79">
        <f>IF(AND(B201&lt;&gt;"",M201="",I201&lt;&gt;""),1/I201,0)</f>
        <v/>
      </c>
      <c r="U201" s="112">
        <f>IF(AND(B201&lt;&gt;"",M201="",I201&lt;&gt;""),I201,"")</f>
        <v/>
      </c>
      <c r="V201" s="79">
        <f>IF(U201="","",IF(U201&lt;AsOf,1,IF(U201&lt;=AsOf+AlertDays,2,IF(U201&lt;=AsOf+2*AlertDays,3,""))))</f>
        <v/>
      </c>
      <c r="W201" s="79">
        <f>IF(V201="","",IF(O201="OVERDUE","Overdue payment: ","Payment due: ")&amp;B201&amp;" — "&amp;C201&amp;" ("&amp;CurSym&amp;" "&amp;FIXED(S201,0)&amp;")")</f>
        <v/>
      </c>
      <c r="Z201" s="116">
        <f>IF('Contractors'!B201="","",'Contractors'!B201)</f>
        <v/>
      </c>
      <c r="AA201" s="77">
        <f>IF(Z201="","",'Contractors'!K201)</f>
        <v/>
      </c>
      <c r="AB201" s="77">
        <f>IF(Z201="","",SUMIFS($L$6:$L$1005,$B$6:$B$1005,Z201))</f>
        <v/>
      </c>
      <c r="AC201" s="77">
        <f>IF(Z201="","",SUMIFS($N$6:$N$1005,$B$6:$B$1005,Z201))</f>
        <v/>
      </c>
      <c r="AD201" s="76">
        <f>IF(Z201="","",AA201-AC201)</f>
        <v/>
      </c>
      <c r="AE201" s="117">
        <f>IF(Z201="","",IFERROR(1/SUMPRODUCT(MAX(($B$6:$B$1005=Z201)*$T$6:$T$1005)),""))</f>
        <v/>
      </c>
      <c r="AF201" s="77">
        <f>IF(AE201="","",SUMIFS($S$6:$S$1005,$B$6:$B$1005,Z201,$I$6:$I$1005,AE201))</f>
        <v/>
      </c>
    </row>
    <row r="202" ht="20" customHeight="1">
      <c r="B202" s="72" t="n"/>
      <c r="C202" s="72" t="n"/>
      <c r="D202" s="72" t="n"/>
      <c r="E202" s="72" t="n"/>
      <c r="F202" s="110" t="n"/>
      <c r="G202" s="73" t="n"/>
      <c r="H202" s="75">
        <f>IF(B202="","",IF(G202&lt;&gt;"",G202,IF(F202&lt;&gt;"",F202*IFERROR(INDEX('Contractors'!$I$6:$I$1005,MATCH(B202,'Contractors'!$B$6:$B$1005,0)),0),"")))</f>
        <v/>
      </c>
      <c r="I202" s="109" t="n"/>
      <c r="J202" s="72" t="n"/>
      <c r="K202" s="109" t="n"/>
      <c r="L202" s="73" t="n"/>
      <c r="M202" s="109" t="n"/>
      <c r="N202" s="73" t="n"/>
      <c r="O202" s="107">
        <f>IF(B202="","",IF(M202&lt;&gt;"","Paid",IF(AND(I202&lt;&gt;"",I202&lt;AsOf),"OVERDUE",IF(OR(K202&lt;&gt;"",L202&lt;&gt;""),"Invoiced","Scheduled"))))</f>
        <v/>
      </c>
      <c r="P202" s="115">
        <f>IF(B202="","",IF(E202&lt;&gt;"",E202,IFERROR(INDEX('Contractors'!$D$6:$D$1005,MATCH(B202,'Contractors'!$B$6:$B$1005,0)),"")))</f>
        <v/>
      </c>
      <c r="Q202" s="79">
        <f>IF(B202="","",IF(D202&lt;&gt;"",D202,IFERROR(INDEX('Contractors'!$E$6:$E$1005,MATCH(B202,'Contractors'!$B$6:$B$1005,0)),"")))</f>
        <v/>
      </c>
      <c r="R202" s="79">
        <f>IF(O202="","",IF(O202="OVERDUE",2,IF(O202="Paid",0,IF(AND(I202&lt;&gt;"",I202&lt;=AsOf+AlertDays),1,0))))</f>
        <v/>
      </c>
      <c r="S202" s="79">
        <f>IF(AND(B202&lt;&gt;"",M202="",I202&lt;&gt;""),IF(L202&lt;&gt;"",L202,IF(H202="",0,H202)),0)</f>
        <v/>
      </c>
      <c r="T202" s="79">
        <f>IF(AND(B202&lt;&gt;"",M202="",I202&lt;&gt;""),1/I202,0)</f>
        <v/>
      </c>
      <c r="U202" s="112">
        <f>IF(AND(B202&lt;&gt;"",M202="",I202&lt;&gt;""),I202,"")</f>
        <v/>
      </c>
      <c r="V202" s="79">
        <f>IF(U202="","",IF(U202&lt;AsOf,1,IF(U202&lt;=AsOf+AlertDays,2,IF(U202&lt;=AsOf+2*AlertDays,3,""))))</f>
        <v/>
      </c>
      <c r="W202" s="79">
        <f>IF(V202="","",IF(O202="OVERDUE","Overdue payment: ","Payment due: ")&amp;B202&amp;" — "&amp;C202&amp;" ("&amp;CurSym&amp;" "&amp;FIXED(S202,0)&amp;")")</f>
        <v/>
      </c>
      <c r="Z202" s="116">
        <f>IF('Contractors'!B202="","",'Contractors'!B202)</f>
        <v/>
      </c>
      <c r="AA202" s="77">
        <f>IF(Z202="","",'Contractors'!K202)</f>
        <v/>
      </c>
      <c r="AB202" s="77">
        <f>IF(Z202="","",SUMIFS($L$6:$L$1005,$B$6:$B$1005,Z202))</f>
        <v/>
      </c>
      <c r="AC202" s="77">
        <f>IF(Z202="","",SUMIFS($N$6:$N$1005,$B$6:$B$1005,Z202))</f>
        <v/>
      </c>
      <c r="AD202" s="76">
        <f>IF(Z202="","",AA202-AC202)</f>
        <v/>
      </c>
      <c r="AE202" s="117">
        <f>IF(Z202="","",IFERROR(1/SUMPRODUCT(MAX(($B$6:$B$1005=Z202)*$T$6:$T$1005)),""))</f>
        <v/>
      </c>
      <c r="AF202" s="77">
        <f>IF(AE202="","",SUMIFS($S$6:$S$1005,$B$6:$B$1005,Z202,$I$6:$I$1005,AE202))</f>
        <v/>
      </c>
    </row>
    <row r="203" ht="20" customHeight="1">
      <c r="B203" s="72" t="n"/>
      <c r="C203" s="72" t="n"/>
      <c r="D203" s="72" t="n"/>
      <c r="E203" s="72" t="n"/>
      <c r="F203" s="110" t="n"/>
      <c r="G203" s="73" t="n"/>
      <c r="H203" s="75">
        <f>IF(B203="","",IF(G203&lt;&gt;"",G203,IF(F203&lt;&gt;"",F203*IFERROR(INDEX('Contractors'!$I$6:$I$1005,MATCH(B203,'Contractors'!$B$6:$B$1005,0)),0),"")))</f>
        <v/>
      </c>
      <c r="I203" s="109" t="n"/>
      <c r="J203" s="72" t="n"/>
      <c r="K203" s="109" t="n"/>
      <c r="L203" s="73" t="n"/>
      <c r="M203" s="109" t="n"/>
      <c r="N203" s="73" t="n"/>
      <c r="O203" s="107">
        <f>IF(B203="","",IF(M203&lt;&gt;"","Paid",IF(AND(I203&lt;&gt;"",I203&lt;AsOf),"OVERDUE",IF(OR(K203&lt;&gt;"",L203&lt;&gt;""),"Invoiced","Scheduled"))))</f>
        <v/>
      </c>
      <c r="P203" s="115">
        <f>IF(B203="","",IF(E203&lt;&gt;"",E203,IFERROR(INDEX('Contractors'!$D$6:$D$1005,MATCH(B203,'Contractors'!$B$6:$B$1005,0)),"")))</f>
        <v/>
      </c>
      <c r="Q203" s="79">
        <f>IF(B203="","",IF(D203&lt;&gt;"",D203,IFERROR(INDEX('Contractors'!$E$6:$E$1005,MATCH(B203,'Contractors'!$B$6:$B$1005,0)),"")))</f>
        <v/>
      </c>
      <c r="R203" s="79">
        <f>IF(O203="","",IF(O203="OVERDUE",2,IF(O203="Paid",0,IF(AND(I203&lt;&gt;"",I203&lt;=AsOf+AlertDays),1,0))))</f>
        <v/>
      </c>
      <c r="S203" s="79">
        <f>IF(AND(B203&lt;&gt;"",M203="",I203&lt;&gt;""),IF(L203&lt;&gt;"",L203,IF(H203="",0,H203)),0)</f>
        <v/>
      </c>
      <c r="T203" s="79">
        <f>IF(AND(B203&lt;&gt;"",M203="",I203&lt;&gt;""),1/I203,0)</f>
        <v/>
      </c>
      <c r="U203" s="112">
        <f>IF(AND(B203&lt;&gt;"",M203="",I203&lt;&gt;""),I203,"")</f>
        <v/>
      </c>
      <c r="V203" s="79">
        <f>IF(U203="","",IF(U203&lt;AsOf,1,IF(U203&lt;=AsOf+AlertDays,2,IF(U203&lt;=AsOf+2*AlertDays,3,""))))</f>
        <v/>
      </c>
      <c r="W203" s="79">
        <f>IF(V203="","",IF(O203="OVERDUE","Overdue payment: ","Payment due: ")&amp;B203&amp;" — "&amp;C203&amp;" ("&amp;CurSym&amp;" "&amp;FIXED(S203,0)&amp;")")</f>
        <v/>
      </c>
      <c r="Z203" s="116">
        <f>IF('Contractors'!B203="","",'Contractors'!B203)</f>
        <v/>
      </c>
      <c r="AA203" s="77">
        <f>IF(Z203="","",'Contractors'!K203)</f>
        <v/>
      </c>
      <c r="AB203" s="77">
        <f>IF(Z203="","",SUMIFS($L$6:$L$1005,$B$6:$B$1005,Z203))</f>
        <v/>
      </c>
      <c r="AC203" s="77">
        <f>IF(Z203="","",SUMIFS($N$6:$N$1005,$B$6:$B$1005,Z203))</f>
        <v/>
      </c>
      <c r="AD203" s="76">
        <f>IF(Z203="","",AA203-AC203)</f>
        <v/>
      </c>
      <c r="AE203" s="117">
        <f>IF(Z203="","",IFERROR(1/SUMPRODUCT(MAX(($B$6:$B$1005=Z203)*$T$6:$T$1005)),""))</f>
        <v/>
      </c>
      <c r="AF203" s="77">
        <f>IF(AE203="","",SUMIFS($S$6:$S$1005,$B$6:$B$1005,Z203,$I$6:$I$1005,AE203))</f>
        <v/>
      </c>
    </row>
    <row r="204" ht="20" customHeight="1">
      <c r="B204" s="72" t="n"/>
      <c r="C204" s="72" t="n"/>
      <c r="D204" s="72" t="n"/>
      <c r="E204" s="72" t="n"/>
      <c r="F204" s="110" t="n"/>
      <c r="G204" s="73" t="n"/>
      <c r="H204" s="75">
        <f>IF(B204="","",IF(G204&lt;&gt;"",G204,IF(F204&lt;&gt;"",F204*IFERROR(INDEX('Contractors'!$I$6:$I$1005,MATCH(B204,'Contractors'!$B$6:$B$1005,0)),0),"")))</f>
        <v/>
      </c>
      <c r="I204" s="109" t="n"/>
      <c r="J204" s="72" t="n"/>
      <c r="K204" s="109" t="n"/>
      <c r="L204" s="73" t="n"/>
      <c r="M204" s="109" t="n"/>
      <c r="N204" s="73" t="n"/>
      <c r="O204" s="107">
        <f>IF(B204="","",IF(M204&lt;&gt;"","Paid",IF(AND(I204&lt;&gt;"",I204&lt;AsOf),"OVERDUE",IF(OR(K204&lt;&gt;"",L204&lt;&gt;""),"Invoiced","Scheduled"))))</f>
        <v/>
      </c>
      <c r="P204" s="115">
        <f>IF(B204="","",IF(E204&lt;&gt;"",E204,IFERROR(INDEX('Contractors'!$D$6:$D$1005,MATCH(B204,'Contractors'!$B$6:$B$1005,0)),"")))</f>
        <v/>
      </c>
      <c r="Q204" s="79">
        <f>IF(B204="","",IF(D204&lt;&gt;"",D204,IFERROR(INDEX('Contractors'!$E$6:$E$1005,MATCH(B204,'Contractors'!$B$6:$B$1005,0)),"")))</f>
        <v/>
      </c>
      <c r="R204" s="79">
        <f>IF(O204="","",IF(O204="OVERDUE",2,IF(O204="Paid",0,IF(AND(I204&lt;&gt;"",I204&lt;=AsOf+AlertDays),1,0))))</f>
        <v/>
      </c>
      <c r="S204" s="79">
        <f>IF(AND(B204&lt;&gt;"",M204="",I204&lt;&gt;""),IF(L204&lt;&gt;"",L204,IF(H204="",0,H204)),0)</f>
        <v/>
      </c>
      <c r="T204" s="79">
        <f>IF(AND(B204&lt;&gt;"",M204="",I204&lt;&gt;""),1/I204,0)</f>
        <v/>
      </c>
      <c r="U204" s="112">
        <f>IF(AND(B204&lt;&gt;"",M204="",I204&lt;&gt;""),I204,"")</f>
        <v/>
      </c>
      <c r="V204" s="79">
        <f>IF(U204="","",IF(U204&lt;AsOf,1,IF(U204&lt;=AsOf+AlertDays,2,IF(U204&lt;=AsOf+2*AlertDays,3,""))))</f>
        <v/>
      </c>
      <c r="W204" s="79">
        <f>IF(V204="","",IF(O204="OVERDUE","Overdue payment: ","Payment due: ")&amp;B204&amp;" — "&amp;C204&amp;" ("&amp;CurSym&amp;" "&amp;FIXED(S204,0)&amp;")")</f>
        <v/>
      </c>
      <c r="Z204" s="116">
        <f>IF('Contractors'!B204="","",'Contractors'!B204)</f>
        <v/>
      </c>
      <c r="AA204" s="77">
        <f>IF(Z204="","",'Contractors'!K204)</f>
        <v/>
      </c>
      <c r="AB204" s="77">
        <f>IF(Z204="","",SUMIFS($L$6:$L$1005,$B$6:$B$1005,Z204))</f>
        <v/>
      </c>
      <c r="AC204" s="77">
        <f>IF(Z204="","",SUMIFS($N$6:$N$1005,$B$6:$B$1005,Z204))</f>
        <v/>
      </c>
      <c r="AD204" s="76">
        <f>IF(Z204="","",AA204-AC204)</f>
        <v/>
      </c>
      <c r="AE204" s="117">
        <f>IF(Z204="","",IFERROR(1/SUMPRODUCT(MAX(($B$6:$B$1005=Z204)*$T$6:$T$1005)),""))</f>
        <v/>
      </c>
      <c r="AF204" s="77">
        <f>IF(AE204="","",SUMIFS($S$6:$S$1005,$B$6:$B$1005,Z204,$I$6:$I$1005,AE204))</f>
        <v/>
      </c>
    </row>
    <row r="205" ht="20" customHeight="1">
      <c r="B205" s="72" t="n"/>
      <c r="C205" s="72" t="n"/>
      <c r="D205" s="72" t="n"/>
      <c r="E205" s="72" t="n"/>
      <c r="F205" s="110" t="n"/>
      <c r="G205" s="73" t="n"/>
      <c r="H205" s="75">
        <f>IF(B205="","",IF(G205&lt;&gt;"",G205,IF(F205&lt;&gt;"",F205*IFERROR(INDEX('Contractors'!$I$6:$I$1005,MATCH(B205,'Contractors'!$B$6:$B$1005,0)),0),"")))</f>
        <v/>
      </c>
      <c r="I205" s="109" t="n"/>
      <c r="J205" s="72" t="n"/>
      <c r="K205" s="109" t="n"/>
      <c r="L205" s="73" t="n"/>
      <c r="M205" s="109" t="n"/>
      <c r="N205" s="73" t="n"/>
      <c r="O205" s="107">
        <f>IF(B205="","",IF(M205&lt;&gt;"","Paid",IF(AND(I205&lt;&gt;"",I205&lt;AsOf),"OVERDUE",IF(OR(K205&lt;&gt;"",L205&lt;&gt;""),"Invoiced","Scheduled"))))</f>
        <v/>
      </c>
      <c r="P205" s="115">
        <f>IF(B205="","",IF(E205&lt;&gt;"",E205,IFERROR(INDEX('Contractors'!$D$6:$D$1005,MATCH(B205,'Contractors'!$B$6:$B$1005,0)),"")))</f>
        <v/>
      </c>
      <c r="Q205" s="79">
        <f>IF(B205="","",IF(D205&lt;&gt;"",D205,IFERROR(INDEX('Contractors'!$E$6:$E$1005,MATCH(B205,'Contractors'!$B$6:$B$1005,0)),"")))</f>
        <v/>
      </c>
      <c r="R205" s="79">
        <f>IF(O205="","",IF(O205="OVERDUE",2,IF(O205="Paid",0,IF(AND(I205&lt;&gt;"",I205&lt;=AsOf+AlertDays),1,0))))</f>
        <v/>
      </c>
      <c r="S205" s="79">
        <f>IF(AND(B205&lt;&gt;"",M205="",I205&lt;&gt;""),IF(L205&lt;&gt;"",L205,IF(H205="",0,H205)),0)</f>
        <v/>
      </c>
      <c r="T205" s="79">
        <f>IF(AND(B205&lt;&gt;"",M205="",I205&lt;&gt;""),1/I205,0)</f>
        <v/>
      </c>
      <c r="U205" s="112">
        <f>IF(AND(B205&lt;&gt;"",M205="",I205&lt;&gt;""),I205,"")</f>
        <v/>
      </c>
      <c r="V205" s="79">
        <f>IF(U205="","",IF(U205&lt;AsOf,1,IF(U205&lt;=AsOf+AlertDays,2,IF(U205&lt;=AsOf+2*AlertDays,3,""))))</f>
        <v/>
      </c>
      <c r="W205" s="79">
        <f>IF(V205="","",IF(O205="OVERDUE","Overdue payment: ","Payment due: ")&amp;B205&amp;" — "&amp;C205&amp;" ("&amp;CurSym&amp;" "&amp;FIXED(S205,0)&amp;")")</f>
        <v/>
      </c>
      <c r="Z205" s="116">
        <f>IF('Contractors'!B205="","",'Contractors'!B205)</f>
        <v/>
      </c>
      <c r="AA205" s="77">
        <f>IF(Z205="","",'Contractors'!K205)</f>
        <v/>
      </c>
      <c r="AB205" s="77">
        <f>IF(Z205="","",SUMIFS($L$6:$L$1005,$B$6:$B$1005,Z205))</f>
        <v/>
      </c>
      <c r="AC205" s="77">
        <f>IF(Z205="","",SUMIFS($N$6:$N$1005,$B$6:$B$1005,Z205))</f>
        <v/>
      </c>
      <c r="AD205" s="76">
        <f>IF(Z205="","",AA205-AC205)</f>
        <v/>
      </c>
      <c r="AE205" s="117">
        <f>IF(Z205="","",IFERROR(1/SUMPRODUCT(MAX(($B$6:$B$1005=Z205)*$T$6:$T$1005)),""))</f>
        <v/>
      </c>
      <c r="AF205" s="77">
        <f>IF(AE205="","",SUMIFS($S$6:$S$1005,$B$6:$B$1005,Z205,$I$6:$I$1005,AE205))</f>
        <v/>
      </c>
    </row>
    <row r="206" ht="20" customHeight="1">
      <c r="B206" s="72" t="n"/>
      <c r="C206" s="72" t="n"/>
      <c r="D206" s="72" t="n"/>
      <c r="E206" s="72" t="n"/>
      <c r="F206" s="110" t="n"/>
      <c r="G206" s="73" t="n"/>
      <c r="H206" s="75">
        <f>IF(B206="","",IF(G206&lt;&gt;"",G206,IF(F206&lt;&gt;"",F206*IFERROR(INDEX('Contractors'!$I$6:$I$1005,MATCH(B206,'Contractors'!$B$6:$B$1005,0)),0),"")))</f>
        <v/>
      </c>
      <c r="I206" s="109" t="n"/>
      <c r="J206" s="72" t="n"/>
      <c r="K206" s="109" t="n"/>
      <c r="L206" s="73" t="n"/>
      <c r="M206" s="109" t="n"/>
      <c r="N206" s="73" t="n"/>
      <c r="O206" s="107">
        <f>IF(B206="","",IF(M206&lt;&gt;"","Paid",IF(AND(I206&lt;&gt;"",I206&lt;AsOf),"OVERDUE",IF(OR(K206&lt;&gt;"",L206&lt;&gt;""),"Invoiced","Scheduled"))))</f>
        <v/>
      </c>
      <c r="P206" s="115">
        <f>IF(B206="","",IF(E206&lt;&gt;"",E206,IFERROR(INDEX('Contractors'!$D$6:$D$1005,MATCH(B206,'Contractors'!$B$6:$B$1005,0)),"")))</f>
        <v/>
      </c>
      <c r="Q206" s="79">
        <f>IF(B206="","",IF(D206&lt;&gt;"",D206,IFERROR(INDEX('Contractors'!$E$6:$E$1005,MATCH(B206,'Contractors'!$B$6:$B$1005,0)),"")))</f>
        <v/>
      </c>
      <c r="R206" s="79">
        <f>IF(O206="","",IF(O206="OVERDUE",2,IF(O206="Paid",0,IF(AND(I206&lt;&gt;"",I206&lt;=AsOf+AlertDays),1,0))))</f>
        <v/>
      </c>
      <c r="S206" s="79">
        <f>IF(AND(B206&lt;&gt;"",M206="",I206&lt;&gt;""),IF(L206&lt;&gt;"",L206,IF(H206="",0,H206)),0)</f>
        <v/>
      </c>
      <c r="T206" s="79">
        <f>IF(AND(B206&lt;&gt;"",M206="",I206&lt;&gt;""),1/I206,0)</f>
        <v/>
      </c>
      <c r="U206" s="112">
        <f>IF(AND(B206&lt;&gt;"",M206="",I206&lt;&gt;""),I206,"")</f>
        <v/>
      </c>
      <c r="V206" s="79">
        <f>IF(U206="","",IF(U206&lt;AsOf,1,IF(U206&lt;=AsOf+AlertDays,2,IF(U206&lt;=AsOf+2*AlertDays,3,""))))</f>
        <v/>
      </c>
      <c r="W206" s="79">
        <f>IF(V206="","",IF(O206="OVERDUE","Overdue payment: ","Payment due: ")&amp;B206&amp;" — "&amp;C206&amp;" ("&amp;CurSym&amp;" "&amp;FIXED(S206,0)&amp;")")</f>
        <v/>
      </c>
      <c r="Z206" s="116">
        <f>IF('Contractors'!B206="","",'Contractors'!B206)</f>
        <v/>
      </c>
      <c r="AA206" s="77">
        <f>IF(Z206="","",'Contractors'!K206)</f>
        <v/>
      </c>
      <c r="AB206" s="77">
        <f>IF(Z206="","",SUMIFS($L$6:$L$1005,$B$6:$B$1005,Z206))</f>
        <v/>
      </c>
      <c r="AC206" s="77">
        <f>IF(Z206="","",SUMIFS($N$6:$N$1005,$B$6:$B$1005,Z206))</f>
        <v/>
      </c>
      <c r="AD206" s="76">
        <f>IF(Z206="","",AA206-AC206)</f>
        <v/>
      </c>
      <c r="AE206" s="117">
        <f>IF(Z206="","",IFERROR(1/SUMPRODUCT(MAX(($B$6:$B$1005=Z206)*$T$6:$T$1005)),""))</f>
        <v/>
      </c>
      <c r="AF206" s="77">
        <f>IF(AE206="","",SUMIFS($S$6:$S$1005,$B$6:$B$1005,Z206,$I$6:$I$1005,AE206))</f>
        <v/>
      </c>
    </row>
    <row r="207" ht="20" customHeight="1">
      <c r="B207" s="72" t="n"/>
      <c r="C207" s="72" t="n"/>
      <c r="D207" s="72" t="n"/>
      <c r="E207" s="72" t="n"/>
      <c r="F207" s="110" t="n"/>
      <c r="G207" s="73" t="n"/>
      <c r="H207" s="75">
        <f>IF(B207="","",IF(G207&lt;&gt;"",G207,IF(F207&lt;&gt;"",F207*IFERROR(INDEX('Contractors'!$I$6:$I$1005,MATCH(B207,'Contractors'!$B$6:$B$1005,0)),0),"")))</f>
        <v/>
      </c>
      <c r="I207" s="109" t="n"/>
      <c r="J207" s="72" t="n"/>
      <c r="K207" s="109" t="n"/>
      <c r="L207" s="73" t="n"/>
      <c r="M207" s="109" t="n"/>
      <c r="N207" s="73" t="n"/>
      <c r="O207" s="107">
        <f>IF(B207="","",IF(M207&lt;&gt;"","Paid",IF(AND(I207&lt;&gt;"",I207&lt;AsOf),"OVERDUE",IF(OR(K207&lt;&gt;"",L207&lt;&gt;""),"Invoiced","Scheduled"))))</f>
        <v/>
      </c>
      <c r="P207" s="115">
        <f>IF(B207="","",IF(E207&lt;&gt;"",E207,IFERROR(INDEX('Contractors'!$D$6:$D$1005,MATCH(B207,'Contractors'!$B$6:$B$1005,0)),"")))</f>
        <v/>
      </c>
      <c r="Q207" s="79">
        <f>IF(B207="","",IF(D207&lt;&gt;"",D207,IFERROR(INDEX('Contractors'!$E$6:$E$1005,MATCH(B207,'Contractors'!$B$6:$B$1005,0)),"")))</f>
        <v/>
      </c>
      <c r="R207" s="79">
        <f>IF(O207="","",IF(O207="OVERDUE",2,IF(O207="Paid",0,IF(AND(I207&lt;&gt;"",I207&lt;=AsOf+AlertDays),1,0))))</f>
        <v/>
      </c>
      <c r="S207" s="79">
        <f>IF(AND(B207&lt;&gt;"",M207="",I207&lt;&gt;""),IF(L207&lt;&gt;"",L207,IF(H207="",0,H207)),0)</f>
        <v/>
      </c>
      <c r="T207" s="79">
        <f>IF(AND(B207&lt;&gt;"",M207="",I207&lt;&gt;""),1/I207,0)</f>
        <v/>
      </c>
      <c r="U207" s="112">
        <f>IF(AND(B207&lt;&gt;"",M207="",I207&lt;&gt;""),I207,"")</f>
        <v/>
      </c>
      <c r="V207" s="79">
        <f>IF(U207="","",IF(U207&lt;AsOf,1,IF(U207&lt;=AsOf+AlertDays,2,IF(U207&lt;=AsOf+2*AlertDays,3,""))))</f>
        <v/>
      </c>
      <c r="W207" s="79">
        <f>IF(V207="","",IF(O207="OVERDUE","Overdue payment: ","Payment due: ")&amp;B207&amp;" — "&amp;C207&amp;" ("&amp;CurSym&amp;" "&amp;FIXED(S207,0)&amp;")")</f>
        <v/>
      </c>
      <c r="Z207" s="116">
        <f>IF('Contractors'!B207="","",'Contractors'!B207)</f>
        <v/>
      </c>
      <c r="AA207" s="77">
        <f>IF(Z207="","",'Contractors'!K207)</f>
        <v/>
      </c>
      <c r="AB207" s="77">
        <f>IF(Z207="","",SUMIFS($L$6:$L$1005,$B$6:$B$1005,Z207))</f>
        <v/>
      </c>
      <c r="AC207" s="77">
        <f>IF(Z207="","",SUMIFS($N$6:$N$1005,$B$6:$B$1005,Z207))</f>
        <v/>
      </c>
      <c r="AD207" s="76">
        <f>IF(Z207="","",AA207-AC207)</f>
        <v/>
      </c>
      <c r="AE207" s="117">
        <f>IF(Z207="","",IFERROR(1/SUMPRODUCT(MAX(($B$6:$B$1005=Z207)*$T$6:$T$1005)),""))</f>
        <v/>
      </c>
      <c r="AF207" s="77">
        <f>IF(AE207="","",SUMIFS($S$6:$S$1005,$B$6:$B$1005,Z207,$I$6:$I$1005,AE207))</f>
        <v/>
      </c>
    </row>
    <row r="208" ht="20" customHeight="1">
      <c r="B208" s="72" t="n"/>
      <c r="C208" s="72" t="n"/>
      <c r="D208" s="72" t="n"/>
      <c r="E208" s="72" t="n"/>
      <c r="F208" s="110" t="n"/>
      <c r="G208" s="73" t="n"/>
      <c r="H208" s="75">
        <f>IF(B208="","",IF(G208&lt;&gt;"",G208,IF(F208&lt;&gt;"",F208*IFERROR(INDEX('Contractors'!$I$6:$I$1005,MATCH(B208,'Contractors'!$B$6:$B$1005,0)),0),"")))</f>
        <v/>
      </c>
      <c r="I208" s="109" t="n"/>
      <c r="J208" s="72" t="n"/>
      <c r="K208" s="109" t="n"/>
      <c r="L208" s="73" t="n"/>
      <c r="M208" s="109" t="n"/>
      <c r="N208" s="73" t="n"/>
      <c r="O208" s="107">
        <f>IF(B208="","",IF(M208&lt;&gt;"","Paid",IF(AND(I208&lt;&gt;"",I208&lt;AsOf),"OVERDUE",IF(OR(K208&lt;&gt;"",L208&lt;&gt;""),"Invoiced","Scheduled"))))</f>
        <v/>
      </c>
      <c r="P208" s="115">
        <f>IF(B208="","",IF(E208&lt;&gt;"",E208,IFERROR(INDEX('Contractors'!$D$6:$D$1005,MATCH(B208,'Contractors'!$B$6:$B$1005,0)),"")))</f>
        <v/>
      </c>
      <c r="Q208" s="79">
        <f>IF(B208="","",IF(D208&lt;&gt;"",D208,IFERROR(INDEX('Contractors'!$E$6:$E$1005,MATCH(B208,'Contractors'!$B$6:$B$1005,0)),"")))</f>
        <v/>
      </c>
      <c r="R208" s="79">
        <f>IF(O208="","",IF(O208="OVERDUE",2,IF(O208="Paid",0,IF(AND(I208&lt;&gt;"",I208&lt;=AsOf+AlertDays),1,0))))</f>
        <v/>
      </c>
      <c r="S208" s="79">
        <f>IF(AND(B208&lt;&gt;"",M208="",I208&lt;&gt;""),IF(L208&lt;&gt;"",L208,IF(H208="",0,H208)),0)</f>
        <v/>
      </c>
      <c r="T208" s="79">
        <f>IF(AND(B208&lt;&gt;"",M208="",I208&lt;&gt;""),1/I208,0)</f>
        <v/>
      </c>
      <c r="U208" s="112">
        <f>IF(AND(B208&lt;&gt;"",M208="",I208&lt;&gt;""),I208,"")</f>
        <v/>
      </c>
      <c r="V208" s="79">
        <f>IF(U208="","",IF(U208&lt;AsOf,1,IF(U208&lt;=AsOf+AlertDays,2,IF(U208&lt;=AsOf+2*AlertDays,3,""))))</f>
        <v/>
      </c>
      <c r="W208" s="79">
        <f>IF(V208="","",IF(O208="OVERDUE","Overdue payment: ","Payment due: ")&amp;B208&amp;" — "&amp;C208&amp;" ("&amp;CurSym&amp;" "&amp;FIXED(S208,0)&amp;")")</f>
        <v/>
      </c>
      <c r="Z208" s="116">
        <f>IF('Contractors'!B208="","",'Contractors'!B208)</f>
        <v/>
      </c>
      <c r="AA208" s="77">
        <f>IF(Z208="","",'Contractors'!K208)</f>
        <v/>
      </c>
      <c r="AB208" s="77">
        <f>IF(Z208="","",SUMIFS($L$6:$L$1005,$B$6:$B$1005,Z208))</f>
        <v/>
      </c>
      <c r="AC208" s="77">
        <f>IF(Z208="","",SUMIFS($N$6:$N$1005,$B$6:$B$1005,Z208))</f>
        <v/>
      </c>
      <c r="AD208" s="76">
        <f>IF(Z208="","",AA208-AC208)</f>
        <v/>
      </c>
      <c r="AE208" s="117">
        <f>IF(Z208="","",IFERROR(1/SUMPRODUCT(MAX(($B$6:$B$1005=Z208)*$T$6:$T$1005)),""))</f>
        <v/>
      </c>
      <c r="AF208" s="77">
        <f>IF(AE208="","",SUMIFS($S$6:$S$1005,$B$6:$B$1005,Z208,$I$6:$I$1005,AE208))</f>
        <v/>
      </c>
    </row>
    <row r="209" ht="20" customHeight="1">
      <c r="B209" s="72" t="n"/>
      <c r="C209" s="72" t="n"/>
      <c r="D209" s="72" t="n"/>
      <c r="E209" s="72" t="n"/>
      <c r="F209" s="110" t="n"/>
      <c r="G209" s="73" t="n"/>
      <c r="H209" s="75">
        <f>IF(B209="","",IF(G209&lt;&gt;"",G209,IF(F209&lt;&gt;"",F209*IFERROR(INDEX('Contractors'!$I$6:$I$1005,MATCH(B209,'Contractors'!$B$6:$B$1005,0)),0),"")))</f>
        <v/>
      </c>
      <c r="I209" s="109" t="n"/>
      <c r="J209" s="72" t="n"/>
      <c r="K209" s="109" t="n"/>
      <c r="L209" s="73" t="n"/>
      <c r="M209" s="109" t="n"/>
      <c r="N209" s="73" t="n"/>
      <c r="O209" s="107">
        <f>IF(B209="","",IF(M209&lt;&gt;"","Paid",IF(AND(I209&lt;&gt;"",I209&lt;AsOf),"OVERDUE",IF(OR(K209&lt;&gt;"",L209&lt;&gt;""),"Invoiced","Scheduled"))))</f>
        <v/>
      </c>
      <c r="P209" s="115">
        <f>IF(B209="","",IF(E209&lt;&gt;"",E209,IFERROR(INDEX('Contractors'!$D$6:$D$1005,MATCH(B209,'Contractors'!$B$6:$B$1005,0)),"")))</f>
        <v/>
      </c>
      <c r="Q209" s="79">
        <f>IF(B209="","",IF(D209&lt;&gt;"",D209,IFERROR(INDEX('Contractors'!$E$6:$E$1005,MATCH(B209,'Contractors'!$B$6:$B$1005,0)),"")))</f>
        <v/>
      </c>
      <c r="R209" s="79">
        <f>IF(O209="","",IF(O209="OVERDUE",2,IF(O209="Paid",0,IF(AND(I209&lt;&gt;"",I209&lt;=AsOf+AlertDays),1,0))))</f>
        <v/>
      </c>
      <c r="S209" s="79">
        <f>IF(AND(B209&lt;&gt;"",M209="",I209&lt;&gt;""),IF(L209&lt;&gt;"",L209,IF(H209="",0,H209)),0)</f>
        <v/>
      </c>
      <c r="T209" s="79">
        <f>IF(AND(B209&lt;&gt;"",M209="",I209&lt;&gt;""),1/I209,0)</f>
        <v/>
      </c>
      <c r="U209" s="112">
        <f>IF(AND(B209&lt;&gt;"",M209="",I209&lt;&gt;""),I209,"")</f>
        <v/>
      </c>
      <c r="V209" s="79">
        <f>IF(U209="","",IF(U209&lt;AsOf,1,IF(U209&lt;=AsOf+AlertDays,2,IF(U209&lt;=AsOf+2*AlertDays,3,""))))</f>
        <v/>
      </c>
      <c r="W209" s="79">
        <f>IF(V209="","",IF(O209="OVERDUE","Overdue payment: ","Payment due: ")&amp;B209&amp;" — "&amp;C209&amp;" ("&amp;CurSym&amp;" "&amp;FIXED(S209,0)&amp;")")</f>
        <v/>
      </c>
      <c r="Z209" s="116">
        <f>IF('Contractors'!B209="","",'Contractors'!B209)</f>
        <v/>
      </c>
      <c r="AA209" s="77">
        <f>IF(Z209="","",'Contractors'!K209)</f>
        <v/>
      </c>
      <c r="AB209" s="77">
        <f>IF(Z209="","",SUMIFS($L$6:$L$1005,$B$6:$B$1005,Z209))</f>
        <v/>
      </c>
      <c r="AC209" s="77">
        <f>IF(Z209="","",SUMIFS($N$6:$N$1005,$B$6:$B$1005,Z209))</f>
        <v/>
      </c>
      <c r="AD209" s="76">
        <f>IF(Z209="","",AA209-AC209)</f>
        <v/>
      </c>
      <c r="AE209" s="117">
        <f>IF(Z209="","",IFERROR(1/SUMPRODUCT(MAX(($B$6:$B$1005=Z209)*$T$6:$T$1005)),""))</f>
        <v/>
      </c>
      <c r="AF209" s="77">
        <f>IF(AE209="","",SUMIFS($S$6:$S$1005,$B$6:$B$1005,Z209,$I$6:$I$1005,AE209))</f>
        <v/>
      </c>
    </row>
    <row r="210" ht="20" customHeight="1">
      <c r="B210" s="72" t="n"/>
      <c r="C210" s="72" t="n"/>
      <c r="D210" s="72" t="n"/>
      <c r="E210" s="72" t="n"/>
      <c r="F210" s="110" t="n"/>
      <c r="G210" s="73" t="n"/>
      <c r="H210" s="75">
        <f>IF(B210="","",IF(G210&lt;&gt;"",G210,IF(F210&lt;&gt;"",F210*IFERROR(INDEX('Contractors'!$I$6:$I$1005,MATCH(B210,'Contractors'!$B$6:$B$1005,0)),0),"")))</f>
        <v/>
      </c>
      <c r="I210" s="109" t="n"/>
      <c r="J210" s="72" t="n"/>
      <c r="K210" s="109" t="n"/>
      <c r="L210" s="73" t="n"/>
      <c r="M210" s="109" t="n"/>
      <c r="N210" s="73" t="n"/>
      <c r="O210" s="107">
        <f>IF(B210="","",IF(M210&lt;&gt;"","Paid",IF(AND(I210&lt;&gt;"",I210&lt;AsOf),"OVERDUE",IF(OR(K210&lt;&gt;"",L210&lt;&gt;""),"Invoiced","Scheduled"))))</f>
        <v/>
      </c>
      <c r="P210" s="115">
        <f>IF(B210="","",IF(E210&lt;&gt;"",E210,IFERROR(INDEX('Contractors'!$D$6:$D$1005,MATCH(B210,'Contractors'!$B$6:$B$1005,0)),"")))</f>
        <v/>
      </c>
      <c r="Q210" s="79">
        <f>IF(B210="","",IF(D210&lt;&gt;"",D210,IFERROR(INDEX('Contractors'!$E$6:$E$1005,MATCH(B210,'Contractors'!$B$6:$B$1005,0)),"")))</f>
        <v/>
      </c>
      <c r="R210" s="79">
        <f>IF(O210="","",IF(O210="OVERDUE",2,IF(O210="Paid",0,IF(AND(I210&lt;&gt;"",I210&lt;=AsOf+AlertDays),1,0))))</f>
        <v/>
      </c>
      <c r="S210" s="79">
        <f>IF(AND(B210&lt;&gt;"",M210="",I210&lt;&gt;""),IF(L210&lt;&gt;"",L210,IF(H210="",0,H210)),0)</f>
        <v/>
      </c>
      <c r="T210" s="79">
        <f>IF(AND(B210&lt;&gt;"",M210="",I210&lt;&gt;""),1/I210,0)</f>
        <v/>
      </c>
      <c r="U210" s="112">
        <f>IF(AND(B210&lt;&gt;"",M210="",I210&lt;&gt;""),I210,"")</f>
        <v/>
      </c>
      <c r="V210" s="79">
        <f>IF(U210="","",IF(U210&lt;AsOf,1,IF(U210&lt;=AsOf+AlertDays,2,IF(U210&lt;=AsOf+2*AlertDays,3,""))))</f>
        <v/>
      </c>
      <c r="W210" s="79">
        <f>IF(V210="","",IF(O210="OVERDUE","Overdue payment: ","Payment due: ")&amp;B210&amp;" — "&amp;C210&amp;" ("&amp;CurSym&amp;" "&amp;FIXED(S210,0)&amp;")")</f>
        <v/>
      </c>
      <c r="Z210" s="116">
        <f>IF('Contractors'!B210="","",'Contractors'!B210)</f>
        <v/>
      </c>
      <c r="AA210" s="77">
        <f>IF(Z210="","",'Contractors'!K210)</f>
        <v/>
      </c>
      <c r="AB210" s="77">
        <f>IF(Z210="","",SUMIFS($L$6:$L$1005,$B$6:$B$1005,Z210))</f>
        <v/>
      </c>
      <c r="AC210" s="77">
        <f>IF(Z210="","",SUMIFS($N$6:$N$1005,$B$6:$B$1005,Z210))</f>
        <v/>
      </c>
      <c r="AD210" s="76">
        <f>IF(Z210="","",AA210-AC210)</f>
        <v/>
      </c>
      <c r="AE210" s="117">
        <f>IF(Z210="","",IFERROR(1/SUMPRODUCT(MAX(($B$6:$B$1005=Z210)*$T$6:$T$1005)),""))</f>
        <v/>
      </c>
      <c r="AF210" s="77">
        <f>IF(AE210="","",SUMIFS($S$6:$S$1005,$B$6:$B$1005,Z210,$I$6:$I$1005,AE210))</f>
        <v/>
      </c>
    </row>
    <row r="211" ht="20" customHeight="1">
      <c r="B211" s="72" t="n"/>
      <c r="C211" s="72" t="n"/>
      <c r="D211" s="72" t="n"/>
      <c r="E211" s="72" t="n"/>
      <c r="F211" s="110" t="n"/>
      <c r="G211" s="73" t="n"/>
      <c r="H211" s="75">
        <f>IF(B211="","",IF(G211&lt;&gt;"",G211,IF(F211&lt;&gt;"",F211*IFERROR(INDEX('Contractors'!$I$6:$I$1005,MATCH(B211,'Contractors'!$B$6:$B$1005,0)),0),"")))</f>
        <v/>
      </c>
      <c r="I211" s="109" t="n"/>
      <c r="J211" s="72" t="n"/>
      <c r="K211" s="109" t="n"/>
      <c r="L211" s="73" t="n"/>
      <c r="M211" s="109" t="n"/>
      <c r="N211" s="73" t="n"/>
      <c r="O211" s="107">
        <f>IF(B211="","",IF(M211&lt;&gt;"","Paid",IF(AND(I211&lt;&gt;"",I211&lt;AsOf),"OVERDUE",IF(OR(K211&lt;&gt;"",L211&lt;&gt;""),"Invoiced","Scheduled"))))</f>
        <v/>
      </c>
      <c r="P211" s="115">
        <f>IF(B211="","",IF(E211&lt;&gt;"",E211,IFERROR(INDEX('Contractors'!$D$6:$D$1005,MATCH(B211,'Contractors'!$B$6:$B$1005,0)),"")))</f>
        <v/>
      </c>
      <c r="Q211" s="79">
        <f>IF(B211="","",IF(D211&lt;&gt;"",D211,IFERROR(INDEX('Contractors'!$E$6:$E$1005,MATCH(B211,'Contractors'!$B$6:$B$1005,0)),"")))</f>
        <v/>
      </c>
      <c r="R211" s="79">
        <f>IF(O211="","",IF(O211="OVERDUE",2,IF(O211="Paid",0,IF(AND(I211&lt;&gt;"",I211&lt;=AsOf+AlertDays),1,0))))</f>
        <v/>
      </c>
      <c r="S211" s="79">
        <f>IF(AND(B211&lt;&gt;"",M211="",I211&lt;&gt;""),IF(L211&lt;&gt;"",L211,IF(H211="",0,H211)),0)</f>
        <v/>
      </c>
      <c r="T211" s="79">
        <f>IF(AND(B211&lt;&gt;"",M211="",I211&lt;&gt;""),1/I211,0)</f>
        <v/>
      </c>
      <c r="U211" s="112">
        <f>IF(AND(B211&lt;&gt;"",M211="",I211&lt;&gt;""),I211,"")</f>
        <v/>
      </c>
      <c r="V211" s="79">
        <f>IF(U211="","",IF(U211&lt;AsOf,1,IF(U211&lt;=AsOf+AlertDays,2,IF(U211&lt;=AsOf+2*AlertDays,3,""))))</f>
        <v/>
      </c>
      <c r="W211" s="79">
        <f>IF(V211="","",IF(O211="OVERDUE","Overdue payment: ","Payment due: ")&amp;B211&amp;" — "&amp;C211&amp;" ("&amp;CurSym&amp;" "&amp;FIXED(S211,0)&amp;")")</f>
        <v/>
      </c>
      <c r="Z211" s="116">
        <f>IF('Contractors'!B211="","",'Contractors'!B211)</f>
        <v/>
      </c>
      <c r="AA211" s="77">
        <f>IF(Z211="","",'Contractors'!K211)</f>
        <v/>
      </c>
      <c r="AB211" s="77">
        <f>IF(Z211="","",SUMIFS($L$6:$L$1005,$B$6:$B$1005,Z211))</f>
        <v/>
      </c>
      <c r="AC211" s="77">
        <f>IF(Z211="","",SUMIFS($N$6:$N$1005,$B$6:$B$1005,Z211))</f>
        <v/>
      </c>
      <c r="AD211" s="76">
        <f>IF(Z211="","",AA211-AC211)</f>
        <v/>
      </c>
      <c r="AE211" s="117">
        <f>IF(Z211="","",IFERROR(1/SUMPRODUCT(MAX(($B$6:$B$1005=Z211)*$T$6:$T$1005)),""))</f>
        <v/>
      </c>
      <c r="AF211" s="77">
        <f>IF(AE211="","",SUMIFS($S$6:$S$1005,$B$6:$B$1005,Z211,$I$6:$I$1005,AE211))</f>
        <v/>
      </c>
    </row>
    <row r="212" ht="20" customHeight="1">
      <c r="B212" s="72" t="n"/>
      <c r="C212" s="72" t="n"/>
      <c r="D212" s="72" t="n"/>
      <c r="E212" s="72" t="n"/>
      <c r="F212" s="110" t="n"/>
      <c r="G212" s="73" t="n"/>
      <c r="H212" s="75">
        <f>IF(B212="","",IF(G212&lt;&gt;"",G212,IF(F212&lt;&gt;"",F212*IFERROR(INDEX('Contractors'!$I$6:$I$1005,MATCH(B212,'Contractors'!$B$6:$B$1005,0)),0),"")))</f>
        <v/>
      </c>
      <c r="I212" s="109" t="n"/>
      <c r="J212" s="72" t="n"/>
      <c r="K212" s="109" t="n"/>
      <c r="L212" s="73" t="n"/>
      <c r="M212" s="109" t="n"/>
      <c r="N212" s="73" t="n"/>
      <c r="O212" s="107">
        <f>IF(B212="","",IF(M212&lt;&gt;"","Paid",IF(AND(I212&lt;&gt;"",I212&lt;AsOf),"OVERDUE",IF(OR(K212&lt;&gt;"",L212&lt;&gt;""),"Invoiced","Scheduled"))))</f>
        <v/>
      </c>
      <c r="P212" s="115">
        <f>IF(B212="","",IF(E212&lt;&gt;"",E212,IFERROR(INDEX('Contractors'!$D$6:$D$1005,MATCH(B212,'Contractors'!$B$6:$B$1005,0)),"")))</f>
        <v/>
      </c>
      <c r="Q212" s="79">
        <f>IF(B212="","",IF(D212&lt;&gt;"",D212,IFERROR(INDEX('Contractors'!$E$6:$E$1005,MATCH(B212,'Contractors'!$B$6:$B$1005,0)),"")))</f>
        <v/>
      </c>
      <c r="R212" s="79">
        <f>IF(O212="","",IF(O212="OVERDUE",2,IF(O212="Paid",0,IF(AND(I212&lt;&gt;"",I212&lt;=AsOf+AlertDays),1,0))))</f>
        <v/>
      </c>
      <c r="S212" s="79">
        <f>IF(AND(B212&lt;&gt;"",M212="",I212&lt;&gt;""),IF(L212&lt;&gt;"",L212,IF(H212="",0,H212)),0)</f>
        <v/>
      </c>
      <c r="T212" s="79">
        <f>IF(AND(B212&lt;&gt;"",M212="",I212&lt;&gt;""),1/I212,0)</f>
        <v/>
      </c>
      <c r="U212" s="112">
        <f>IF(AND(B212&lt;&gt;"",M212="",I212&lt;&gt;""),I212,"")</f>
        <v/>
      </c>
      <c r="V212" s="79">
        <f>IF(U212="","",IF(U212&lt;AsOf,1,IF(U212&lt;=AsOf+AlertDays,2,IF(U212&lt;=AsOf+2*AlertDays,3,""))))</f>
        <v/>
      </c>
      <c r="W212" s="79">
        <f>IF(V212="","",IF(O212="OVERDUE","Overdue payment: ","Payment due: ")&amp;B212&amp;" — "&amp;C212&amp;" ("&amp;CurSym&amp;" "&amp;FIXED(S212,0)&amp;")")</f>
        <v/>
      </c>
      <c r="Z212" s="116">
        <f>IF('Contractors'!B212="","",'Contractors'!B212)</f>
        <v/>
      </c>
      <c r="AA212" s="77">
        <f>IF(Z212="","",'Contractors'!K212)</f>
        <v/>
      </c>
      <c r="AB212" s="77">
        <f>IF(Z212="","",SUMIFS($L$6:$L$1005,$B$6:$B$1005,Z212))</f>
        <v/>
      </c>
      <c r="AC212" s="77">
        <f>IF(Z212="","",SUMIFS($N$6:$N$1005,$B$6:$B$1005,Z212))</f>
        <v/>
      </c>
      <c r="AD212" s="76">
        <f>IF(Z212="","",AA212-AC212)</f>
        <v/>
      </c>
      <c r="AE212" s="117">
        <f>IF(Z212="","",IFERROR(1/SUMPRODUCT(MAX(($B$6:$B$1005=Z212)*$T$6:$T$1005)),""))</f>
        <v/>
      </c>
      <c r="AF212" s="77">
        <f>IF(AE212="","",SUMIFS($S$6:$S$1005,$B$6:$B$1005,Z212,$I$6:$I$1005,AE212))</f>
        <v/>
      </c>
    </row>
    <row r="213" ht="20" customHeight="1">
      <c r="B213" s="72" t="n"/>
      <c r="C213" s="72" t="n"/>
      <c r="D213" s="72" t="n"/>
      <c r="E213" s="72" t="n"/>
      <c r="F213" s="110" t="n"/>
      <c r="G213" s="73" t="n"/>
      <c r="H213" s="75">
        <f>IF(B213="","",IF(G213&lt;&gt;"",G213,IF(F213&lt;&gt;"",F213*IFERROR(INDEX('Contractors'!$I$6:$I$1005,MATCH(B213,'Contractors'!$B$6:$B$1005,0)),0),"")))</f>
        <v/>
      </c>
      <c r="I213" s="109" t="n"/>
      <c r="J213" s="72" t="n"/>
      <c r="K213" s="109" t="n"/>
      <c r="L213" s="73" t="n"/>
      <c r="M213" s="109" t="n"/>
      <c r="N213" s="73" t="n"/>
      <c r="O213" s="107">
        <f>IF(B213="","",IF(M213&lt;&gt;"","Paid",IF(AND(I213&lt;&gt;"",I213&lt;AsOf),"OVERDUE",IF(OR(K213&lt;&gt;"",L213&lt;&gt;""),"Invoiced","Scheduled"))))</f>
        <v/>
      </c>
      <c r="P213" s="115">
        <f>IF(B213="","",IF(E213&lt;&gt;"",E213,IFERROR(INDEX('Contractors'!$D$6:$D$1005,MATCH(B213,'Contractors'!$B$6:$B$1005,0)),"")))</f>
        <v/>
      </c>
      <c r="Q213" s="79">
        <f>IF(B213="","",IF(D213&lt;&gt;"",D213,IFERROR(INDEX('Contractors'!$E$6:$E$1005,MATCH(B213,'Contractors'!$B$6:$B$1005,0)),"")))</f>
        <v/>
      </c>
      <c r="R213" s="79">
        <f>IF(O213="","",IF(O213="OVERDUE",2,IF(O213="Paid",0,IF(AND(I213&lt;&gt;"",I213&lt;=AsOf+AlertDays),1,0))))</f>
        <v/>
      </c>
      <c r="S213" s="79">
        <f>IF(AND(B213&lt;&gt;"",M213="",I213&lt;&gt;""),IF(L213&lt;&gt;"",L213,IF(H213="",0,H213)),0)</f>
        <v/>
      </c>
      <c r="T213" s="79">
        <f>IF(AND(B213&lt;&gt;"",M213="",I213&lt;&gt;""),1/I213,0)</f>
        <v/>
      </c>
      <c r="U213" s="112">
        <f>IF(AND(B213&lt;&gt;"",M213="",I213&lt;&gt;""),I213,"")</f>
        <v/>
      </c>
      <c r="V213" s="79">
        <f>IF(U213="","",IF(U213&lt;AsOf,1,IF(U213&lt;=AsOf+AlertDays,2,IF(U213&lt;=AsOf+2*AlertDays,3,""))))</f>
        <v/>
      </c>
      <c r="W213" s="79">
        <f>IF(V213="","",IF(O213="OVERDUE","Overdue payment: ","Payment due: ")&amp;B213&amp;" — "&amp;C213&amp;" ("&amp;CurSym&amp;" "&amp;FIXED(S213,0)&amp;")")</f>
        <v/>
      </c>
      <c r="Z213" s="116">
        <f>IF('Contractors'!B213="","",'Contractors'!B213)</f>
        <v/>
      </c>
      <c r="AA213" s="77">
        <f>IF(Z213="","",'Contractors'!K213)</f>
        <v/>
      </c>
      <c r="AB213" s="77">
        <f>IF(Z213="","",SUMIFS($L$6:$L$1005,$B$6:$B$1005,Z213))</f>
        <v/>
      </c>
      <c r="AC213" s="77">
        <f>IF(Z213="","",SUMIFS($N$6:$N$1005,$B$6:$B$1005,Z213))</f>
        <v/>
      </c>
      <c r="AD213" s="76">
        <f>IF(Z213="","",AA213-AC213)</f>
        <v/>
      </c>
      <c r="AE213" s="117">
        <f>IF(Z213="","",IFERROR(1/SUMPRODUCT(MAX(($B$6:$B$1005=Z213)*$T$6:$T$1005)),""))</f>
        <v/>
      </c>
      <c r="AF213" s="77">
        <f>IF(AE213="","",SUMIFS($S$6:$S$1005,$B$6:$B$1005,Z213,$I$6:$I$1005,AE213))</f>
        <v/>
      </c>
    </row>
    <row r="214" ht="20" customHeight="1">
      <c r="B214" s="72" t="n"/>
      <c r="C214" s="72" t="n"/>
      <c r="D214" s="72" t="n"/>
      <c r="E214" s="72" t="n"/>
      <c r="F214" s="110" t="n"/>
      <c r="G214" s="73" t="n"/>
      <c r="H214" s="75">
        <f>IF(B214="","",IF(G214&lt;&gt;"",G214,IF(F214&lt;&gt;"",F214*IFERROR(INDEX('Contractors'!$I$6:$I$1005,MATCH(B214,'Contractors'!$B$6:$B$1005,0)),0),"")))</f>
        <v/>
      </c>
      <c r="I214" s="109" t="n"/>
      <c r="J214" s="72" t="n"/>
      <c r="K214" s="109" t="n"/>
      <c r="L214" s="73" t="n"/>
      <c r="M214" s="109" t="n"/>
      <c r="N214" s="73" t="n"/>
      <c r="O214" s="107">
        <f>IF(B214="","",IF(M214&lt;&gt;"","Paid",IF(AND(I214&lt;&gt;"",I214&lt;AsOf),"OVERDUE",IF(OR(K214&lt;&gt;"",L214&lt;&gt;""),"Invoiced","Scheduled"))))</f>
        <v/>
      </c>
      <c r="P214" s="115">
        <f>IF(B214="","",IF(E214&lt;&gt;"",E214,IFERROR(INDEX('Contractors'!$D$6:$D$1005,MATCH(B214,'Contractors'!$B$6:$B$1005,0)),"")))</f>
        <v/>
      </c>
      <c r="Q214" s="79">
        <f>IF(B214="","",IF(D214&lt;&gt;"",D214,IFERROR(INDEX('Contractors'!$E$6:$E$1005,MATCH(B214,'Contractors'!$B$6:$B$1005,0)),"")))</f>
        <v/>
      </c>
      <c r="R214" s="79">
        <f>IF(O214="","",IF(O214="OVERDUE",2,IF(O214="Paid",0,IF(AND(I214&lt;&gt;"",I214&lt;=AsOf+AlertDays),1,0))))</f>
        <v/>
      </c>
      <c r="S214" s="79">
        <f>IF(AND(B214&lt;&gt;"",M214="",I214&lt;&gt;""),IF(L214&lt;&gt;"",L214,IF(H214="",0,H214)),0)</f>
        <v/>
      </c>
      <c r="T214" s="79">
        <f>IF(AND(B214&lt;&gt;"",M214="",I214&lt;&gt;""),1/I214,0)</f>
        <v/>
      </c>
      <c r="U214" s="112">
        <f>IF(AND(B214&lt;&gt;"",M214="",I214&lt;&gt;""),I214,"")</f>
        <v/>
      </c>
      <c r="V214" s="79">
        <f>IF(U214="","",IF(U214&lt;AsOf,1,IF(U214&lt;=AsOf+AlertDays,2,IF(U214&lt;=AsOf+2*AlertDays,3,""))))</f>
        <v/>
      </c>
      <c r="W214" s="79">
        <f>IF(V214="","",IF(O214="OVERDUE","Overdue payment: ","Payment due: ")&amp;B214&amp;" — "&amp;C214&amp;" ("&amp;CurSym&amp;" "&amp;FIXED(S214,0)&amp;")")</f>
        <v/>
      </c>
      <c r="Z214" s="116">
        <f>IF('Contractors'!B214="","",'Contractors'!B214)</f>
        <v/>
      </c>
      <c r="AA214" s="77">
        <f>IF(Z214="","",'Contractors'!K214)</f>
        <v/>
      </c>
      <c r="AB214" s="77">
        <f>IF(Z214="","",SUMIFS($L$6:$L$1005,$B$6:$B$1005,Z214))</f>
        <v/>
      </c>
      <c r="AC214" s="77">
        <f>IF(Z214="","",SUMIFS($N$6:$N$1005,$B$6:$B$1005,Z214))</f>
        <v/>
      </c>
      <c r="AD214" s="76">
        <f>IF(Z214="","",AA214-AC214)</f>
        <v/>
      </c>
      <c r="AE214" s="117">
        <f>IF(Z214="","",IFERROR(1/SUMPRODUCT(MAX(($B$6:$B$1005=Z214)*$T$6:$T$1005)),""))</f>
        <v/>
      </c>
      <c r="AF214" s="77">
        <f>IF(AE214="","",SUMIFS($S$6:$S$1005,$B$6:$B$1005,Z214,$I$6:$I$1005,AE214))</f>
        <v/>
      </c>
    </row>
    <row r="215" ht="20" customHeight="1">
      <c r="B215" s="72" t="n"/>
      <c r="C215" s="72" t="n"/>
      <c r="D215" s="72" t="n"/>
      <c r="E215" s="72" t="n"/>
      <c r="F215" s="110" t="n"/>
      <c r="G215" s="73" t="n"/>
      <c r="H215" s="75">
        <f>IF(B215="","",IF(G215&lt;&gt;"",G215,IF(F215&lt;&gt;"",F215*IFERROR(INDEX('Contractors'!$I$6:$I$1005,MATCH(B215,'Contractors'!$B$6:$B$1005,0)),0),"")))</f>
        <v/>
      </c>
      <c r="I215" s="109" t="n"/>
      <c r="J215" s="72" t="n"/>
      <c r="K215" s="109" t="n"/>
      <c r="L215" s="73" t="n"/>
      <c r="M215" s="109" t="n"/>
      <c r="N215" s="73" t="n"/>
      <c r="O215" s="107">
        <f>IF(B215="","",IF(M215&lt;&gt;"","Paid",IF(AND(I215&lt;&gt;"",I215&lt;AsOf),"OVERDUE",IF(OR(K215&lt;&gt;"",L215&lt;&gt;""),"Invoiced","Scheduled"))))</f>
        <v/>
      </c>
      <c r="P215" s="115">
        <f>IF(B215="","",IF(E215&lt;&gt;"",E215,IFERROR(INDEX('Contractors'!$D$6:$D$1005,MATCH(B215,'Contractors'!$B$6:$B$1005,0)),"")))</f>
        <v/>
      </c>
      <c r="Q215" s="79">
        <f>IF(B215="","",IF(D215&lt;&gt;"",D215,IFERROR(INDEX('Contractors'!$E$6:$E$1005,MATCH(B215,'Contractors'!$B$6:$B$1005,0)),"")))</f>
        <v/>
      </c>
      <c r="R215" s="79">
        <f>IF(O215="","",IF(O215="OVERDUE",2,IF(O215="Paid",0,IF(AND(I215&lt;&gt;"",I215&lt;=AsOf+AlertDays),1,0))))</f>
        <v/>
      </c>
      <c r="S215" s="79">
        <f>IF(AND(B215&lt;&gt;"",M215="",I215&lt;&gt;""),IF(L215&lt;&gt;"",L215,IF(H215="",0,H215)),0)</f>
        <v/>
      </c>
      <c r="T215" s="79">
        <f>IF(AND(B215&lt;&gt;"",M215="",I215&lt;&gt;""),1/I215,0)</f>
        <v/>
      </c>
      <c r="U215" s="112">
        <f>IF(AND(B215&lt;&gt;"",M215="",I215&lt;&gt;""),I215,"")</f>
        <v/>
      </c>
      <c r="V215" s="79">
        <f>IF(U215="","",IF(U215&lt;AsOf,1,IF(U215&lt;=AsOf+AlertDays,2,IF(U215&lt;=AsOf+2*AlertDays,3,""))))</f>
        <v/>
      </c>
      <c r="W215" s="79">
        <f>IF(V215="","",IF(O215="OVERDUE","Overdue payment: ","Payment due: ")&amp;B215&amp;" — "&amp;C215&amp;" ("&amp;CurSym&amp;" "&amp;FIXED(S215,0)&amp;")")</f>
        <v/>
      </c>
      <c r="Z215" s="116">
        <f>IF('Contractors'!B215="","",'Contractors'!B215)</f>
        <v/>
      </c>
      <c r="AA215" s="77">
        <f>IF(Z215="","",'Contractors'!K215)</f>
        <v/>
      </c>
      <c r="AB215" s="77">
        <f>IF(Z215="","",SUMIFS($L$6:$L$1005,$B$6:$B$1005,Z215))</f>
        <v/>
      </c>
      <c r="AC215" s="77">
        <f>IF(Z215="","",SUMIFS($N$6:$N$1005,$B$6:$B$1005,Z215))</f>
        <v/>
      </c>
      <c r="AD215" s="76">
        <f>IF(Z215="","",AA215-AC215)</f>
        <v/>
      </c>
      <c r="AE215" s="117">
        <f>IF(Z215="","",IFERROR(1/SUMPRODUCT(MAX(($B$6:$B$1005=Z215)*$T$6:$T$1005)),""))</f>
        <v/>
      </c>
      <c r="AF215" s="77">
        <f>IF(AE215="","",SUMIFS($S$6:$S$1005,$B$6:$B$1005,Z215,$I$6:$I$1005,AE215))</f>
        <v/>
      </c>
    </row>
    <row r="216" ht="20" customHeight="1">
      <c r="B216" s="72" t="n"/>
      <c r="C216" s="72" t="n"/>
      <c r="D216" s="72" t="n"/>
      <c r="E216" s="72" t="n"/>
      <c r="F216" s="110" t="n"/>
      <c r="G216" s="73" t="n"/>
      <c r="H216" s="75">
        <f>IF(B216="","",IF(G216&lt;&gt;"",G216,IF(F216&lt;&gt;"",F216*IFERROR(INDEX('Contractors'!$I$6:$I$1005,MATCH(B216,'Contractors'!$B$6:$B$1005,0)),0),"")))</f>
        <v/>
      </c>
      <c r="I216" s="109" t="n"/>
      <c r="J216" s="72" t="n"/>
      <c r="K216" s="109" t="n"/>
      <c r="L216" s="73" t="n"/>
      <c r="M216" s="109" t="n"/>
      <c r="N216" s="73" t="n"/>
      <c r="O216" s="107">
        <f>IF(B216="","",IF(M216&lt;&gt;"","Paid",IF(AND(I216&lt;&gt;"",I216&lt;AsOf),"OVERDUE",IF(OR(K216&lt;&gt;"",L216&lt;&gt;""),"Invoiced","Scheduled"))))</f>
        <v/>
      </c>
      <c r="P216" s="115">
        <f>IF(B216="","",IF(E216&lt;&gt;"",E216,IFERROR(INDEX('Contractors'!$D$6:$D$1005,MATCH(B216,'Contractors'!$B$6:$B$1005,0)),"")))</f>
        <v/>
      </c>
      <c r="Q216" s="79">
        <f>IF(B216="","",IF(D216&lt;&gt;"",D216,IFERROR(INDEX('Contractors'!$E$6:$E$1005,MATCH(B216,'Contractors'!$B$6:$B$1005,0)),"")))</f>
        <v/>
      </c>
      <c r="R216" s="79">
        <f>IF(O216="","",IF(O216="OVERDUE",2,IF(O216="Paid",0,IF(AND(I216&lt;&gt;"",I216&lt;=AsOf+AlertDays),1,0))))</f>
        <v/>
      </c>
      <c r="S216" s="79">
        <f>IF(AND(B216&lt;&gt;"",M216="",I216&lt;&gt;""),IF(L216&lt;&gt;"",L216,IF(H216="",0,H216)),0)</f>
        <v/>
      </c>
      <c r="T216" s="79">
        <f>IF(AND(B216&lt;&gt;"",M216="",I216&lt;&gt;""),1/I216,0)</f>
        <v/>
      </c>
      <c r="U216" s="112">
        <f>IF(AND(B216&lt;&gt;"",M216="",I216&lt;&gt;""),I216,"")</f>
        <v/>
      </c>
      <c r="V216" s="79">
        <f>IF(U216="","",IF(U216&lt;AsOf,1,IF(U216&lt;=AsOf+AlertDays,2,IF(U216&lt;=AsOf+2*AlertDays,3,""))))</f>
        <v/>
      </c>
      <c r="W216" s="79">
        <f>IF(V216="","",IF(O216="OVERDUE","Overdue payment: ","Payment due: ")&amp;B216&amp;" — "&amp;C216&amp;" ("&amp;CurSym&amp;" "&amp;FIXED(S216,0)&amp;")")</f>
        <v/>
      </c>
      <c r="Z216" s="116">
        <f>IF('Contractors'!B216="","",'Contractors'!B216)</f>
        <v/>
      </c>
      <c r="AA216" s="77">
        <f>IF(Z216="","",'Contractors'!K216)</f>
        <v/>
      </c>
      <c r="AB216" s="77">
        <f>IF(Z216="","",SUMIFS($L$6:$L$1005,$B$6:$B$1005,Z216))</f>
        <v/>
      </c>
      <c r="AC216" s="77">
        <f>IF(Z216="","",SUMIFS($N$6:$N$1005,$B$6:$B$1005,Z216))</f>
        <v/>
      </c>
      <c r="AD216" s="76">
        <f>IF(Z216="","",AA216-AC216)</f>
        <v/>
      </c>
      <c r="AE216" s="117">
        <f>IF(Z216="","",IFERROR(1/SUMPRODUCT(MAX(($B$6:$B$1005=Z216)*$T$6:$T$1005)),""))</f>
        <v/>
      </c>
      <c r="AF216" s="77">
        <f>IF(AE216="","",SUMIFS($S$6:$S$1005,$B$6:$B$1005,Z216,$I$6:$I$1005,AE216))</f>
        <v/>
      </c>
    </row>
    <row r="217" ht="20" customHeight="1">
      <c r="B217" s="72" t="n"/>
      <c r="C217" s="72" t="n"/>
      <c r="D217" s="72" t="n"/>
      <c r="E217" s="72" t="n"/>
      <c r="F217" s="110" t="n"/>
      <c r="G217" s="73" t="n"/>
      <c r="H217" s="75">
        <f>IF(B217="","",IF(G217&lt;&gt;"",G217,IF(F217&lt;&gt;"",F217*IFERROR(INDEX('Contractors'!$I$6:$I$1005,MATCH(B217,'Contractors'!$B$6:$B$1005,0)),0),"")))</f>
        <v/>
      </c>
      <c r="I217" s="109" t="n"/>
      <c r="J217" s="72" t="n"/>
      <c r="K217" s="109" t="n"/>
      <c r="L217" s="73" t="n"/>
      <c r="M217" s="109" t="n"/>
      <c r="N217" s="73" t="n"/>
      <c r="O217" s="107">
        <f>IF(B217="","",IF(M217&lt;&gt;"","Paid",IF(AND(I217&lt;&gt;"",I217&lt;AsOf),"OVERDUE",IF(OR(K217&lt;&gt;"",L217&lt;&gt;""),"Invoiced","Scheduled"))))</f>
        <v/>
      </c>
      <c r="P217" s="115">
        <f>IF(B217="","",IF(E217&lt;&gt;"",E217,IFERROR(INDEX('Contractors'!$D$6:$D$1005,MATCH(B217,'Contractors'!$B$6:$B$1005,0)),"")))</f>
        <v/>
      </c>
      <c r="Q217" s="79">
        <f>IF(B217="","",IF(D217&lt;&gt;"",D217,IFERROR(INDEX('Contractors'!$E$6:$E$1005,MATCH(B217,'Contractors'!$B$6:$B$1005,0)),"")))</f>
        <v/>
      </c>
      <c r="R217" s="79">
        <f>IF(O217="","",IF(O217="OVERDUE",2,IF(O217="Paid",0,IF(AND(I217&lt;&gt;"",I217&lt;=AsOf+AlertDays),1,0))))</f>
        <v/>
      </c>
      <c r="S217" s="79">
        <f>IF(AND(B217&lt;&gt;"",M217="",I217&lt;&gt;""),IF(L217&lt;&gt;"",L217,IF(H217="",0,H217)),0)</f>
        <v/>
      </c>
      <c r="T217" s="79">
        <f>IF(AND(B217&lt;&gt;"",M217="",I217&lt;&gt;""),1/I217,0)</f>
        <v/>
      </c>
      <c r="U217" s="112">
        <f>IF(AND(B217&lt;&gt;"",M217="",I217&lt;&gt;""),I217,"")</f>
        <v/>
      </c>
      <c r="V217" s="79">
        <f>IF(U217="","",IF(U217&lt;AsOf,1,IF(U217&lt;=AsOf+AlertDays,2,IF(U217&lt;=AsOf+2*AlertDays,3,""))))</f>
        <v/>
      </c>
      <c r="W217" s="79">
        <f>IF(V217="","",IF(O217="OVERDUE","Overdue payment: ","Payment due: ")&amp;B217&amp;" — "&amp;C217&amp;" ("&amp;CurSym&amp;" "&amp;FIXED(S217,0)&amp;")")</f>
        <v/>
      </c>
      <c r="Z217" s="116">
        <f>IF('Contractors'!B217="","",'Contractors'!B217)</f>
        <v/>
      </c>
      <c r="AA217" s="77">
        <f>IF(Z217="","",'Contractors'!K217)</f>
        <v/>
      </c>
      <c r="AB217" s="77">
        <f>IF(Z217="","",SUMIFS($L$6:$L$1005,$B$6:$B$1005,Z217))</f>
        <v/>
      </c>
      <c r="AC217" s="77">
        <f>IF(Z217="","",SUMIFS($N$6:$N$1005,$B$6:$B$1005,Z217))</f>
        <v/>
      </c>
      <c r="AD217" s="76">
        <f>IF(Z217="","",AA217-AC217)</f>
        <v/>
      </c>
      <c r="AE217" s="117">
        <f>IF(Z217="","",IFERROR(1/SUMPRODUCT(MAX(($B$6:$B$1005=Z217)*$T$6:$T$1005)),""))</f>
        <v/>
      </c>
      <c r="AF217" s="77">
        <f>IF(AE217="","",SUMIFS($S$6:$S$1005,$B$6:$B$1005,Z217,$I$6:$I$1005,AE217))</f>
        <v/>
      </c>
    </row>
    <row r="218" ht="20" customHeight="1">
      <c r="B218" s="72" t="n"/>
      <c r="C218" s="72" t="n"/>
      <c r="D218" s="72" t="n"/>
      <c r="E218" s="72" t="n"/>
      <c r="F218" s="110" t="n"/>
      <c r="G218" s="73" t="n"/>
      <c r="H218" s="75">
        <f>IF(B218="","",IF(G218&lt;&gt;"",G218,IF(F218&lt;&gt;"",F218*IFERROR(INDEX('Contractors'!$I$6:$I$1005,MATCH(B218,'Contractors'!$B$6:$B$1005,0)),0),"")))</f>
        <v/>
      </c>
      <c r="I218" s="109" t="n"/>
      <c r="J218" s="72" t="n"/>
      <c r="K218" s="109" t="n"/>
      <c r="L218" s="73" t="n"/>
      <c r="M218" s="109" t="n"/>
      <c r="N218" s="73" t="n"/>
      <c r="O218" s="107">
        <f>IF(B218="","",IF(M218&lt;&gt;"","Paid",IF(AND(I218&lt;&gt;"",I218&lt;AsOf),"OVERDUE",IF(OR(K218&lt;&gt;"",L218&lt;&gt;""),"Invoiced","Scheduled"))))</f>
        <v/>
      </c>
      <c r="P218" s="115">
        <f>IF(B218="","",IF(E218&lt;&gt;"",E218,IFERROR(INDEX('Contractors'!$D$6:$D$1005,MATCH(B218,'Contractors'!$B$6:$B$1005,0)),"")))</f>
        <v/>
      </c>
      <c r="Q218" s="79">
        <f>IF(B218="","",IF(D218&lt;&gt;"",D218,IFERROR(INDEX('Contractors'!$E$6:$E$1005,MATCH(B218,'Contractors'!$B$6:$B$1005,0)),"")))</f>
        <v/>
      </c>
      <c r="R218" s="79">
        <f>IF(O218="","",IF(O218="OVERDUE",2,IF(O218="Paid",0,IF(AND(I218&lt;&gt;"",I218&lt;=AsOf+AlertDays),1,0))))</f>
        <v/>
      </c>
      <c r="S218" s="79">
        <f>IF(AND(B218&lt;&gt;"",M218="",I218&lt;&gt;""),IF(L218&lt;&gt;"",L218,IF(H218="",0,H218)),0)</f>
        <v/>
      </c>
      <c r="T218" s="79">
        <f>IF(AND(B218&lt;&gt;"",M218="",I218&lt;&gt;""),1/I218,0)</f>
        <v/>
      </c>
      <c r="U218" s="112">
        <f>IF(AND(B218&lt;&gt;"",M218="",I218&lt;&gt;""),I218,"")</f>
        <v/>
      </c>
      <c r="V218" s="79">
        <f>IF(U218="","",IF(U218&lt;AsOf,1,IF(U218&lt;=AsOf+AlertDays,2,IF(U218&lt;=AsOf+2*AlertDays,3,""))))</f>
        <v/>
      </c>
      <c r="W218" s="79">
        <f>IF(V218="","",IF(O218="OVERDUE","Overdue payment: ","Payment due: ")&amp;B218&amp;" — "&amp;C218&amp;" ("&amp;CurSym&amp;" "&amp;FIXED(S218,0)&amp;")")</f>
        <v/>
      </c>
      <c r="Z218" s="116">
        <f>IF('Contractors'!B218="","",'Contractors'!B218)</f>
        <v/>
      </c>
      <c r="AA218" s="77">
        <f>IF(Z218="","",'Contractors'!K218)</f>
        <v/>
      </c>
      <c r="AB218" s="77">
        <f>IF(Z218="","",SUMIFS($L$6:$L$1005,$B$6:$B$1005,Z218))</f>
        <v/>
      </c>
      <c r="AC218" s="77">
        <f>IF(Z218="","",SUMIFS($N$6:$N$1005,$B$6:$B$1005,Z218))</f>
        <v/>
      </c>
      <c r="AD218" s="76">
        <f>IF(Z218="","",AA218-AC218)</f>
        <v/>
      </c>
      <c r="AE218" s="117">
        <f>IF(Z218="","",IFERROR(1/SUMPRODUCT(MAX(($B$6:$B$1005=Z218)*$T$6:$T$1005)),""))</f>
        <v/>
      </c>
      <c r="AF218" s="77">
        <f>IF(AE218="","",SUMIFS($S$6:$S$1005,$B$6:$B$1005,Z218,$I$6:$I$1005,AE218))</f>
        <v/>
      </c>
    </row>
    <row r="219" ht="20" customHeight="1">
      <c r="B219" s="72" t="n"/>
      <c r="C219" s="72" t="n"/>
      <c r="D219" s="72" t="n"/>
      <c r="E219" s="72" t="n"/>
      <c r="F219" s="110" t="n"/>
      <c r="G219" s="73" t="n"/>
      <c r="H219" s="75">
        <f>IF(B219="","",IF(G219&lt;&gt;"",G219,IF(F219&lt;&gt;"",F219*IFERROR(INDEX('Contractors'!$I$6:$I$1005,MATCH(B219,'Contractors'!$B$6:$B$1005,0)),0),"")))</f>
        <v/>
      </c>
      <c r="I219" s="109" t="n"/>
      <c r="J219" s="72" t="n"/>
      <c r="K219" s="109" t="n"/>
      <c r="L219" s="73" t="n"/>
      <c r="M219" s="109" t="n"/>
      <c r="N219" s="73" t="n"/>
      <c r="O219" s="107">
        <f>IF(B219="","",IF(M219&lt;&gt;"","Paid",IF(AND(I219&lt;&gt;"",I219&lt;AsOf),"OVERDUE",IF(OR(K219&lt;&gt;"",L219&lt;&gt;""),"Invoiced","Scheduled"))))</f>
        <v/>
      </c>
      <c r="P219" s="115">
        <f>IF(B219="","",IF(E219&lt;&gt;"",E219,IFERROR(INDEX('Contractors'!$D$6:$D$1005,MATCH(B219,'Contractors'!$B$6:$B$1005,0)),"")))</f>
        <v/>
      </c>
      <c r="Q219" s="79">
        <f>IF(B219="","",IF(D219&lt;&gt;"",D219,IFERROR(INDEX('Contractors'!$E$6:$E$1005,MATCH(B219,'Contractors'!$B$6:$B$1005,0)),"")))</f>
        <v/>
      </c>
      <c r="R219" s="79">
        <f>IF(O219="","",IF(O219="OVERDUE",2,IF(O219="Paid",0,IF(AND(I219&lt;&gt;"",I219&lt;=AsOf+AlertDays),1,0))))</f>
        <v/>
      </c>
      <c r="S219" s="79">
        <f>IF(AND(B219&lt;&gt;"",M219="",I219&lt;&gt;""),IF(L219&lt;&gt;"",L219,IF(H219="",0,H219)),0)</f>
        <v/>
      </c>
      <c r="T219" s="79">
        <f>IF(AND(B219&lt;&gt;"",M219="",I219&lt;&gt;""),1/I219,0)</f>
        <v/>
      </c>
      <c r="U219" s="112">
        <f>IF(AND(B219&lt;&gt;"",M219="",I219&lt;&gt;""),I219,"")</f>
        <v/>
      </c>
      <c r="V219" s="79">
        <f>IF(U219="","",IF(U219&lt;AsOf,1,IF(U219&lt;=AsOf+AlertDays,2,IF(U219&lt;=AsOf+2*AlertDays,3,""))))</f>
        <v/>
      </c>
      <c r="W219" s="79">
        <f>IF(V219="","",IF(O219="OVERDUE","Overdue payment: ","Payment due: ")&amp;B219&amp;" — "&amp;C219&amp;" ("&amp;CurSym&amp;" "&amp;FIXED(S219,0)&amp;")")</f>
        <v/>
      </c>
      <c r="Z219" s="116">
        <f>IF('Contractors'!B219="","",'Contractors'!B219)</f>
        <v/>
      </c>
      <c r="AA219" s="77">
        <f>IF(Z219="","",'Contractors'!K219)</f>
        <v/>
      </c>
      <c r="AB219" s="77">
        <f>IF(Z219="","",SUMIFS($L$6:$L$1005,$B$6:$B$1005,Z219))</f>
        <v/>
      </c>
      <c r="AC219" s="77">
        <f>IF(Z219="","",SUMIFS($N$6:$N$1005,$B$6:$B$1005,Z219))</f>
        <v/>
      </c>
      <c r="AD219" s="76">
        <f>IF(Z219="","",AA219-AC219)</f>
        <v/>
      </c>
      <c r="AE219" s="117">
        <f>IF(Z219="","",IFERROR(1/SUMPRODUCT(MAX(($B$6:$B$1005=Z219)*$T$6:$T$1005)),""))</f>
        <v/>
      </c>
      <c r="AF219" s="77">
        <f>IF(AE219="","",SUMIFS($S$6:$S$1005,$B$6:$B$1005,Z219,$I$6:$I$1005,AE219))</f>
        <v/>
      </c>
    </row>
    <row r="220" ht="20" customHeight="1">
      <c r="B220" s="72" t="n"/>
      <c r="C220" s="72" t="n"/>
      <c r="D220" s="72" t="n"/>
      <c r="E220" s="72" t="n"/>
      <c r="F220" s="110" t="n"/>
      <c r="G220" s="73" t="n"/>
      <c r="H220" s="75">
        <f>IF(B220="","",IF(G220&lt;&gt;"",G220,IF(F220&lt;&gt;"",F220*IFERROR(INDEX('Contractors'!$I$6:$I$1005,MATCH(B220,'Contractors'!$B$6:$B$1005,0)),0),"")))</f>
        <v/>
      </c>
      <c r="I220" s="109" t="n"/>
      <c r="J220" s="72" t="n"/>
      <c r="K220" s="109" t="n"/>
      <c r="L220" s="73" t="n"/>
      <c r="M220" s="109" t="n"/>
      <c r="N220" s="73" t="n"/>
      <c r="O220" s="107">
        <f>IF(B220="","",IF(M220&lt;&gt;"","Paid",IF(AND(I220&lt;&gt;"",I220&lt;AsOf),"OVERDUE",IF(OR(K220&lt;&gt;"",L220&lt;&gt;""),"Invoiced","Scheduled"))))</f>
        <v/>
      </c>
      <c r="P220" s="115">
        <f>IF(B220="","",IF(E220&lt;&gt;"",E220,IFERROR(INDEX('Contractors'!$D$6:$D$1005,MATCH(B220,'Contractors'!$B$6:$B$1005,0)),"")))</f>
        <v/>
      </c>
      <c r="Q220" s="79">
        <f>IF(B220="","",IF(D220&lt;&gt;"",D220,IFERROR(INDEX('Contractors'!$E$6:$E$1005,MATCH(B220,'Contractors'!$B$6:$B$1005,0)),"")))</f>
        <v/>
      </c>
      <c r="R220" s="79">
        <f>IF(O220="","",IF(O220="OVERDUE",2,IF(O220="Paid",0,IF(AND(I220&lt;&gt;"",I220&lt;=AsOf+AlertDays),1,0))))</f>
        <v/>
      </c>
      <c r="S220" s="79">
        <f>IF(AND(B220&lt;&gt;"",M220="",I220&lt;&gt;""),IF(L220&lt;&gt;"",L220,IF(H220="",0,H220)),0)</f>
        <v/>
      </c>
      <c r="T220" s="79">
        <f>IF(AND(B220&lt;&gt;"",M220="",I220&lt;&gt;""),1/I220,0)</f>
        <v/>
      </c>
      <c r="U220" s="112">
        <f>IF(AND(B220&lt;&gt;"",M220="",I220&lt;&gt;""),I220,"")</f>
        <v/>
      </c>
      <c r="V220" s="79">
        <f>IF(U220="","",IF(U220&lt;AsOf,1,IF(U220&lt;=AsOf+AlertDays,2,IF(U220&lt;=AsOf+2*AlertDays,3,""))))</f>
        <v/>
      </c>
      <c r="W220" s="79">
        <f>IF(V220="","",IF(O220="OVERDUE","Overdue payment: ","Payment due: ")&amp;B220&amp;" — "&amp;C220&amp;" ("&amp;CurSym&amp;" "&amp;FIXED(S220,0)&amp;")")</f>
        <v/>
      </c>
      <c r="Z220" s="116">
        <f>IF('Contractors'!B220="","",'Contractors'!B220)</f>
        <v/>
      </c>
      <c r="AA220" s="77">
        <f>IF(Z220="","",'Contractors'!K220)</f>
        <v/>
      </c>
      <c r="AB220" s="77">
        <f>IF(Z220="","",SUMIFS($L$6:$L$1005,$B$6:$B$1005,Z220))</f>
        <v/>
      </c>
      <c r="AC220" s="77">
        <f>IF(Z220="","",SUMIFS($N$6:$N$1005,$B$6:$B$1005,Z220))</f>
        <v/>
      </c>
      <c r="AD220" s="76">
        <f>IF(Z220="","",AA220-AC220)</f>
        <v/>
      </c>
      <c r="AE220" s="117">
        <f>IF(Z220="","",IFERROR(1/SUMPRODUCT(MAX(($B$6:$B$1005=Z220)*$T$6:$T$1005)),""))</f>
        <v/>
      </c>
      <c r="AF220" s="77">
        <f>IF(AE220="","",SUMIFS($S$6:$S$1005,$B$6:$B$1005,Z220,$I$6:$I$1005,AE220))</f>
        <v/>
      </c>
    </row>
    <row r="221" ht="20" customHeight="1">
      <c r="B221" s="72" t="n"/>
      <c r="C221" s="72" t="n"/>
      <c r="D221" s="72" t="n"/>
      <c r="E221" s="72" t="n"/>
      <c r="F221" s="110" t="n"/>
      <c r="G221" s="73" t="n"/>
      <c r="H221" s="75">
        <f>IF(B221="","",IF(G221&lt;&gt;"",G221,IF(F221&lt;&gt;"",F221*IFERROR(INDEX('Contractors'!$I$6:$I$1005,MATCH(B221,'Contractors'!$B$6:$B$1005,0)),0),"")))</f>
        <v/>
      </c>
      <c r="I221" s="109" t="n"/>
      <c r="J221" s="72" t="n"/>
      <c r="K221" s="109" t="n"/>
      <c r="L221" s="73" t="n"/>
      <c r="M221" s="109" t="n"/>
      <c r="N221" s="73" t="n"/>
      <c r="O221" s="107">
        <f>IF(B221="","",IF(M221&lt;&gt;"","Paid",IF(AND(I221&lt;&gt;"",I221&lt;AsOf),"OVERDUE",IF(OR(K221&lt;&gt;"",L221&lt;&gt;""),"Invoiced","Scheduled"))))</f>
        <v/>
      </c>
      <c r="P221" s="115">
        <f>IF(B221="","",IF(E221&lt;&gt;"",E221,IFERROR(INDEX('Contractors'!$D$6:$D$1005,MATCH(B221,'Contractors'!$B$6:$B$1005,0)),"")))</f>
        <v/>
      </c>
      <c r="Q221" s="79">
        <f>IF(B221="","",IF(D221&lt;&gt;"",D221,IFERROR(INDEX('Contractors'!$E$6:$E$1005,MATCH(B221,'Contractors'!$B$6:$B$1005,0)),"")))</f>
        <v/>
      </c>
      <c r="R221" s="79">
        <f>IF(O221="","",IF(O221="OVERDUE",2,IF(O221="Paid",0,IF(AND(I221&lt;&gt;"",I221&lt;=AsOf+AlertDays),1,0))))</f>
        <v/>
      </c>
      <c r="S221" s="79">
        <f>IF(AND(B221&lt;&gt;"",M221="",I221&lt;&gt;""),IF(L221&lt;&gt;"",L221,IF(H221="",0,H221)),0)</f>
        <v/>
      </c>
      <c r="T221" s="79">
        <f>IF(AND(B221&lt;&gt;"",M221="",I221&lt;&gt;""),1/I221,0)</f>
        <v/>
      </c>
      <c r="U221" s="112">
        <f>IF(AND(B221&lt;&gt;"",M221="",I221&lt;&gt;""),I221,"")</f>
        <v/>
      </c>
      <c r="V221" s="79">
        <f>IF(U221="","",IF(U221&lt;AsOf,1,IF(U221&lt;=AsOf+AlertDays,2,IF(U221&lt;=AsOf+2*AlertDays,3,""))))</f>
        <v/>
      </c>
      <c r="W221" s="79">
        <f>IF(V221="","",IF(O221="OVERDUE","Overdue payment: ","Payment due: ")&amp;B221&amp;" — "&amp;C221&amp;" ("&amp;CurSym&amp;" "&amp;FIXED(S221,0)&amp;")")</f>
        <v/>
      </c>
      <c r="Z221" s="116">
        <f>IF('Contractors'!B221="","",'Contractors'!B221)</f>
        <v/>
      </c>
      <c r="AA221" s="77">
        <f>IF(Z221="","",'Contractors'!K221)</f>
        <v/>
      </c>
      <c r="AB221" s="77">
        <f>IF(Z221="","",SUMIFS($L$6:$L$1005,$B$6:$B$1005,Z221))</f>
        <v/>
      </c>
      <c r="AC221" s="77">
        <f>IF(Z221="","",SUMIFS($N$6:$N$1005,$B$6:$B$1005,Z221))</f>
        <v/>
      </c>
      <c r="AD221" s="76">
        <f>IF(Z221="","",AA221-AC221)</f>
        <v/>
      </c>
      <c r="AE221" s="117">
        <f>IF(Z221="","",IFERROR(1/SUMPRODUCT(MAX(($B$6:$B$1005=Z221)*$T$6:$T$1005)),""))</f>
        <v/>
      </c>
      <c r="AF221" s="77">
        <f>IF(AE221="","",SUMIFS($S$6:$S$1005,$B$6:$B$1005,Z221,$I$6:$I$1005,AE221))</f>
        <v/>
      </c>
    </row>
    <row r="222" ht="20" customHeight="1">
      <c r="B222" s="72" t="n"/>
      <c r="C222" s="72" t="n"/>
      <c r="D222" s="72" t="n"/>
      <c r="E222" s="72" t="n"/>
      <c r="F222" s="110" t="n"/>
      <c r="G222" s="73" t="n"/>
      <c r="H222" s="75">
        <f>IF(B222="","",IF(G222&lt;&gt;"",G222,IF(F222&lt;&gt;"",F222*IFERROR(INDEX('Contractors'!$I$6:$I$1005,MATCH(B222,'Contractors'!$B$6:$B$1005,0)),0),"")))</f>
        <v/>
      </c>
      <c r="I222" s="109" t="n"/>
      <c r="J222" s="72" t="n"/>
      <c r="K222" s="109" t="n"/>
      <c r="L222" s="73" t="n"/>
      <c r="M222" s="109" t="n"/>
      <c r="N222" s="73" t="n"/>
      <c r="O222" s="107">
        <f>IF(B222="","",IF(M222&lt;&gt;"","Paid",IF(AND(I222&lt;&gt;"",I222&lt;AsOf),"OVERDUE",IF(OR(K222&lt;&gt;"",L222&lt;&gt;""),"Invoiced","Scheduled"))))</f>
        <v/>
      </c>
      <c r="P222" s="115">
        <f>IF(B222="","",IF(E222&lt;&gt;"",E222,IFERROR(INDEX('Contractors'!$D$6:$D$1005,MATCH(B222,'Contractors'!$B$6:$B$1005,0)),"")))</f>
        <v/>
      </c>
      <c r="Q222" s="79">
        <f>IF(B222="","",IF(D222&lt;&gt;"",D222,IFERROR(INDEX('Contractors'!$E$6:$E$1005,MATCH(B222,'Contractors'!$B$6:$B$1005,0)),"")))</f>
        <v/>
      </c>
      <c r="R222" s="79">
        <f>IF(O222="","",IF(O222="OVERDUE",2,IF(O222="Paid",0,IF(AND(I222&lt;&gt;"",I222&lt;=AsOf+AlertDays),1,0))))</f>
        <v/>
      </c>
      <c r="S222" s="79">
        <f>IF(AND(B222&lt;&gt;"",M222="",I222&lt;&gt;""),IF(L222&lt;&gt;"",L222,IF(H222="",0,H222)),0)</f>
        <v/>
      </c>
      <c r="T222" s="79">
        <f>IF(AND(B222&lt;&gt;"",M222="",I222&lt;&gt;""),1/I222,0)</f>
        <v/>
      </c>
      <c r="U222" s="112">
        <f>IF(AND(B222&lt;&gt;"",M222="",I222&lt;&gt;""),I222,"")</f>
        <v/>
      </c>
      <c r="V222" s="79">
        <f>IF(U222="","",IF(U222&lt;AsOf,1,IF(U222&lt;=AsOf+AlertDays,2,IF(U222&lt;=AsOf+2*AlertDays,3,""))))</f>
        <v/>
      </c>
      <c r="W222" s="79">
        <f>IF(V222="","",IF(O222="OVERDUE","Overdue payment: ","Payment due: ")&amp;B222&amp;" — "&amp;C222&amp;" ("&amp;CurSym&amp;" "&amp;FIXED(S222,0)&amp;")")</f>
        <v/>
      </c>
      <c r="Z222" s="116">
        <f>IF('Contractors'!B222="","",'Contractors'!B222)</f>
        <v/>
      </c>
      <c r="AA222" s="77">
        <f>IF(Z222="","",'Contractors'!K222)</f>
        <v/>
      </c>
      <c r="AB222" s="77">
        <f>IF(Z222="","",SUMIFS($L$6:$L$1005,$B$6:$B$1005,Z222))</f>
        <v/>
      </c>
      <c r="AC222" s="77">
        <f>IF(Z222="","",SUMIFS($N$6:$N$1005,$B$6:$B$1005,Z222))</f>
        <v/>
      </c>
      <c r="AD222" s="76">
        <f>IF(Z222="","",AA222-AC222)</f>
        <v/>
      </c>
      <c r="AE222" s="117">
        <f>IF(Z222="","",IFERROR(1/SUMPRODUCT(MAX(($B$6:$B$1005=Z222)*$T$6:$T$1005)),""))</f>
        <v/>
      </c>
      <c r="AF222" s="77">
        <f>IF(AE222="","",SUMIFS($S$6:$S$1005,$B$6:$B$1005,Z222,$I$6:$I$1005,AE222))</f>
        <v/>
      </c>
    </row>
    <row r="223" ht="20" customHeight="1">
      <c r="B223" s="72" t="n"/>
      <c r="C223" s="72" t="n"/>
      <c r="D223" s="72" t="n"/>
      <c r="E223" s="72" t="n"/>
      <c r="F223" s="110" t="n"/>
      <c r="G223" s="73" t="n"/>
      <c r="H223" s="75">
        <f>IF(B223="","",IF(G223&lt;&gt;"",G223,IF(F223&lt;&gt;"",F223*IFERROR(INDEX('Contractors'!$I$6:$I$1005,MATCH(B223,'Contractors'!$B$6:$B$1005,0)),0),"")))</f>
        <v/>
      </c>
      <c r="I223" s="109" t="n"/>
      <c r="J223" s="72" t="n"/>
      <c r="K223" s="109" t="n"/>
      <c r="L223" s="73" t="n"/>
      <c r="M223" s="109" t="n"/>
      <c r="N223" s="73" t="n"/>
      <c r="O223" s="107">
        <f>IF(B223="","",IF(M223&lt;&gt;"","Paid",IF(AND(I223&lt;&gt;"",I223&lt;AsOf),"OVERDUE",IF(OR(K223&lt;&gt;"",L223&lt;&gt;""),"Invoiced","Scheduled"))))</f>
        <v/>
      </c>
      <c r="P223" s="115">
        <f>IF(B223="","",IF(E223&lt;&gt;"",E223,IFERROR(INDEX('Contractors'!$D$6:$D$1005,MATCH(B223,'Contractors'!$B$6:$B$1005,0)),"")))</f>
        <v/>
      </c>
      <c r="Q223" s="79">
        <f>IF(B223="","",IF(D223&lt;&gt;"",D223,IFERROR(INDEX('Contractors'!$E$6:$E$1005,MATCH(B223,'Contractors'!$B$6:$B$1005,0)),"")))</f>
        <v/>
      </c>
      <c r="R223" s="79">
        <f>IF(O223="","",IF(O223="OVERDUE",2,IF(O223="Paid",0,IF(AND(I223&lt;&gt;"",I223&lt;=AsOf+AlertDays),1,0))))</f>
        <v/>
      </c>
      <c r="S223" s="79">
        <f>IF(AND(B223&lt;&gt;"",M223="",I223&lt;&gt;""),IF(L223&lt;&gt;"",L223,IF(H223="",0,H223)),0)</f>
        <v/>
      </c>
      <c r="T223" s="79">
        <f>IF(AND(B223&lt;&gt;"",M223="",I223&lt;&gt;""),1/I223,0)</f>
        <v/>
      </c>
      <c r="U223" s="112">
        <f>IF(AND(B223&lt;&gt;"",M223="",I223&lt;&gt;""),I223,"")</f>
        <v/>
      </c>
      <c r="V223" s="79">
        <f>IF(U223="","",IF(U223&lt;AsOf,1,IF(U223&lt;=AsOf+AlertDays,2,IF(U223&lt;=AsOf+2*AlertDays,3,""))))</f>
        <v/>
      </c>
      <c r="W223" s="79">
        <f>IF(V223="","",IF(O223="OVERDUE","Overdue payment: ","Payment due: ")&amp;B223&amp;" — "&amp;C223&amp;" ("&amp;CurSym&amp;" "&amp;FIXED(S223,0)&amp;")")</f>
        <v/>
      </c>
      <c r="Z223" s="116">
        <f>IF('Contractors'!B223="","",'Contractors'!B223)</f>
        <v/>
      </c>
      <c r="AA223" s="77">
        <f>IF(Z223="","",'Contractors'!K223)</f>
        <v/>
      </c>
      <c r="AB223" s="77">
        <f>IF(Z223="","",SUMIFS($L$6:$L$1005,$B$6:$B$1005,Z223))</f>
        <v/>
      </c>
      <c r="AC223" s="77">
        <f>IF(Z223="","",SUMIFS($N$6:$N$1005,$B$6:$B$1005,Z223))</f>
        <v/>
      </c>
      <c r="AD223" s="76">
        <f>IF(Z223="","",AA223-AC223)</f>
        <v/>
      </c>
      <c r="AE223" s="117">
        <f>IF(Z223="","",IFERROR(1/SUMPRODUCT(MAX(($B$6:$B$1005=Z223)*$T$6:$T$1005)),""))</f>
        <v/>
      </c>
      <c r="AF223" s="77">
        <f>IF(AE223="","",SUMIFS($S$6:$S$1005,$B$6:$B$1005,Z223,$I$6:$I$1005,AE223))</f>
        <v/>
      </c>
    </row>
    <row r="224" ht="20" customHeight="1">
      <c r="B224" s="72" t="n"/>
      <c r="C224" s="72" t="n"/>
      <c r="D224" s="72" t="n"/>
      <c r="E224" s="72" t="n"/>
      <c r="F224" s="110" t="n"/>
      <c r="G224" s="73" t="n"/>
      <c r="H224" s="75">
        <f>IF(B224="","",IF(G224&lt;&gt;"",G224,IF(F224&lt;&gt;"",F224*IFERROR(INDEX('Contractors'!$I$6:$I$1005,MATCH(B224,'Contractors'!$B$6:$B$1005,0)),0),"")))</f>
        <v/>
      </c>
      <c r="I224" s="109" t="n"/>
      <c r="J224" s="72" t="n"/>
      <c r="K224" s="109" t="n"/>
      <c r="L224" s="73" t="n"/>
      <c r="M224" s="109" t="n"/>
      <c r="N224" s="73" t="n"/>
      <c r="O224" s="107">
        <f>IF(B224="","",IF(M224&lt;&gt;"","Paid",IF(AND(I224&lt;&gt;"",I224&lt;AsOf),"OVERDUE",IF(OR(K224&lt;&gt;"",L224&lt;&gt;""),"Invoiced","Scheduled"))))</f>
        <v/>
      </c>
      <c r="P224" s="115">
        <f>IF(B224="","",IF(E224&lt;&gt;"",E224,IFERROR(INDEX('Contractors'!$D$6:$D$1005,MATCH(B224,'Contractors'!$B$6:$B$1005,0)),"")))</f>
        <v/>
      </c>
      <c r="Q224" s="79">
        <f>IF(B224="","",IF(D224&lt;&gt;"",D224,IFERROR(INDEX('Contractors'!$E$6:$E$1005,MATCH(B224,'Contractors'!$B$6:$B$1005,0)),"")))</f>
        <v/>
      </c>
      <c r="R224" s="79">
        <f>IF(O224="","",IF(O224="OVERDUE",2,IF(O224="Paid",0,IF(AND(I224&lt;&gt;"",I224&lt;=AsOf+AlertDays),1,0))))</f>
        <v/>
      </c>
      <c r="S224" s="79">
        <f>IF(AND(B224&lt;&gt;"",M224="",I224&lt;&gt;""),IF(L224&lt;&gt;"",L224,IF(H224="",0,H224)),0)</f>
        <v/>
      </c>
      <c r="T224" s="79">
        <f>IF(AND(B224&lt;&gt;"",M224="",I224&lt;&gt;""),1/I224,0)</f>
        <v/>
      </c>
      <c r="U224" s="112">
        <f>IF(AND(B224&lt;&gt;"",M224="",I224&lt;&gt;""),I224,"")</f>
        <v/>
      </c>
      <c r="V224" s="79">
        <f>IF(U224="","",IF(U224&lt;AsOf,1,IF(U224&lt;=AsOf+AlertDays,2,IF(U224&lt;=AsOf+2*AlertDays,3,""))))</f>
        <v/>
      </c>
      <c r="W224" s="79">
        <f>IF(V224="","",IF(O224="OVERDUE","Overdue payment: ","Payment due: ")&amp;B224&amp;" — "&amp;C224&amp;" ("&amp;CurSym&amp;" "&amp;FIXED(S224,0)&amp;")")</f>
        <v/>
      </c>
      <c r="Z224" s="116">
        <f>IF('Contractors'!B224="","",'Contractors'!B224)</f>
        <v/>
      </c>
      <c r="AA224" s="77">
        <f>IF(Z224="","",'Contractors'!K224)</f>
        <v/>
      </c>
      <c r="AB224" s="77">
        <f>IF(Z224="","",SUMIFS($L$6:$L$1005,$B$6:$B$1005,Z224))</f>
        <v/>
      </c>
      <c r="AC224" s="77">
        <f>IF(Z224="","",SUMIFS($N$6:$N$1005,$B$6:$B$1005,Z224))</f>
        <v/>
      </c>
      <c r="AD224" s="76">
        <f>IF(Z224="","",AA224-AC224)</f>
        <v/>
      </c>
      <c r="AE224" s="117">
        <f>IF(Z224="","",IFERROR(1/SUMPRODUCT(MAX(($B$6:$B$1005=Z224)*$T$6:$T$1005)),""))</f>
        <v/>
      </c>
      <c r="AF224" s="77">
        <f>IF(AE224="","",SUMIFS($S$6:$S$1005,$B$6:$B$1005,Z224,$I$6:$I$1005,AE224))</f>
        <v/>
      </c>
    </row>
    <row r="225" ht="20" customHeight="1">
      <c r="B225" s="72" t="n"/>
      <c r="C225" s="72" t="n"/>
      <c r="D225" s="72" t="n"/>
      <c r="E225" s="72" t="n"/>
      <c r="F225" s="110" t="n"/>
      <c r="G225" s="73" t="n"/>
      <c r="H225" s="75">
        <f>IF(B225="","",IF(G225&lt;&gt;"",G225,IF(F225&lt;&gt;"",F225*IFERROR(INDEX('Contractors'!$I$6:$I$1005,MATCH(B225,'Contractors'!$B$6:$B$1005,0)),0),"")))</f>
        <v/>
      </c>
      <c r="I225" s="109" t="n"/>
      <c r="J225" s="72" t="n"/>
      <c r="K225" s="109" t="n"/>
      <c r="L225" s="73" t="n"/>
      <c r="M225" s="109" t="n"/>
      <c r="N225" s="73" t="n"/>
      <c r="O225" s="107">
        <f>IF(B225="","",IF(M225&lt;&gt;"","Paid",IF(AND(I225&lt;&gt;"",I225&lt;AsOf),"OVERDUE",IF(OR(K225&lt;&gt;"",L225&lt;&gt;""),"Invoiced","Scheduled"))))</f>
        <v/>
      </c>
      <c r="P225" s="115">
        <f>IF(B225="","",IF(E225&lt;&gt;"",E225,IFERROR(INDEX('Contractors'!$D$6:$D$1005,MATCH(B225,'Contractors'!$B$6:$B$1005,0)),"")))</f>
        <v/>
      </c>
      <c r="Q225" s="79">
        <f>IF(B225="","",IF(D225&lt;&gt;"",D225,IFERROR(INDEX('Contractors'!$E$6:$E$1005,MATCH(B225,'Contractors'!$B$6:$B$1005,0)),"")))</f>
        <v/>
      </c>
      <c r="R225" s="79">
        <f>IF(O225="","",IF(O225="OVERDUE",2,IF(O225="Paid",0,IF(AND(I225&lt;&gt;"",I225&lt;=AsOf+AlertDays),1,0))))</f>
        <v/>
      </c>
      <c r="S225" s="79">
        <f>IF(AND(B225&lt;&gt;"",M225="",I225&lt;&gt;""),IF(L225&lt;&gt;"",L225,IF(H225="",0,H225)),0)</f>
        <v/>
      </c>
      <c r="T225" s="79">
        <f>IF(AND(B225&lt;&gt;"",M225="",I225&lt;&gt;""),1/I225,0)</f>
        <v/>
      </c>
      <c r="U225" s="112">
        <f>IF(AND(B225&lt;&gt;"",M225="",I225&lt;&gt;""),I225,"")</f>
        <v/>
      </c>
      <c r="V225" s="79">
        <f>IF(U225="","",IF(U225&lt;AsOf,1,IF(U225&lt;=AsOf+AlertDays,2,IF(U225&lt;=AsOf+2*AlertDays,3,""))))</f>
        <v/>
      </c>
      <c r="W225" s="79">
        <f>IF(V225="","",IF(O225="OVERDUE","Overdue payment: ","Payment due: ")&amp;B225&amp;" — "&amp;C225&amp;" ("&amp;CurSym&amp;" "&amp;FIXED(S225,0)&amp;")")</f>
        <v/>
      </c>
      <c r="Z225" s="116">
        <f>IF('Contractors'!B225="","",'Contractors'!B225)</f>
        <v/>
      </c>
      <c r="AA225" s="77">
        <f>IF(Z225="","",'Contractors'!K225)</f>
        <v/>
      </c>
      <c r="AB225" s="77">
        <f>IF(Z225="","",SUMIFS($L$6:$L$1005,$B$6:$B$1005,Z225))</f>
        <v/>
      </c>
      <c r="AC225" s="77">
        <f>IF(Z225="","",SUMIFS($N$6:$N$1005,$B$6:$B$1005,Z225))</f>
        <v/>
      </c>
      <c r="AD225" s="76">
        <f>IF(Z225="","",AA225-AC225)</f>
        <v/>
      </c>
      <c r="AE225" s="117">
        <f>IF(Z225="","",IFERROR(1/SUMPRODUCT(MAX(($B$6:$B$1005=Z225)*$T$6:$T$1005)),""))</f>
        <v/>
      </c>
      <c r="AF225" s="77">
        <f>IF(AE225="","",SUMIFS($S$6:$S$1005,$B$6:$B$1005,Z225,$I$6:$I$1005,AE225))</f>
        <v/>
      </c>
    </row>
    <row r="226" ht="20" customHeight="1">
      <c r="B226" s="72" t="n"/>
      <c r="C226" s="72" t="n"/>
      <c r="D226" s="72" t="n"/>
      <c r="E226" s="72" t="n"/>
      <c r="F226" s="110" t="n"/>
      <c r="G226" s="73" t="n"/>
      <c r="H226" s="75">
        <f>IF(B226="","",IF(G226&lt;&gt;"",G226,IF(F226&lt;&gt;"",F226*IFERROR(INDEX('Contractors'!$I$6:$I$1005,MATCH(B226,'Contractors'!$B$6:$B$1005,0)),0),"")))</f>
        <v/>
      </c>
      <c r="I226" s="109" t="n"/>
      <c r="J226" s="72" t="n"/>
      <c r="K226" s="109" t="n"/>
      <c r="L226" s="73" t="n"/>
      <c r="M226" s="109" t="n"/>
      <c r="N226" s="73" t="n"/>
      <c r="O226" s="107">
        <f>IF(B226="","",IF(M226&lt;&gt;"","Paid",IF(AND(I226&lt;&gt;"",I226&lt;AsOf),"OVERDUE",IF(OR(K226&lt;&gt;"",L226&lt;&gt;""),"Invoiced","Scheduled"))))</f>
        <v/>
      </c>
      <c r="P226" s="115">
        <f>IF(B226="","",IF(E226&lt;&gt;"",E226,IFERROR(INDEX('Contractors'!$D$6:$D$1005,MATCH(B226,'Contractors'!$B$6:$B$1005,0)),"")))</f>
        <v/>
      </c>
      <c r="Q226" s="79">
        <f>IF(B226="","",IF(D226&lt;&gt;"",D226,IFERROR(INDEX('Contractors'!$E$6:$E$1005,MATCH(B226,'Contractors'!$B$6:$B$1005,0)),"")))</f>
        <v/>
      </c>
      <c r="R226" s="79">
        <f>IF(O226="","",IF(O226="OVERDUE",2,IF(O226="Paid",0,IF(AND(I226&lt;&gt;"",I226&lt;=AsOf+AlertDays),1,0))))</f>
        <v/>
      </c>
      <c r="S226" s="79">
        <f>IF(AND(B226&lt;&gt;"",M226="",I226&lt;&gt;""),IF(L226&lt;&gt;"",L226,IF(H226="",0,H226)),0)</f>
        <v/>
      </c>
      <c r="T226" s="79">
        <f>IF(AND(B226&lt;&gt;"",M226="",I226&lt;&gt;""),1/I226,0)</f>
        <v/>
      </c>
      <c r="U226" s="112">
        <f>IF(AND(B226&lt;&gt;"",M226="",I226&lt;&gt;""),I226,"")</f>
        <v/>
      </c>
      <c r="V226" s="79">
        <f>IF(U226="","",IF(U226&lt;AsOf,1,IF(U226&lt;=AsOf+AlertDays,2,IF(U226&lt;=AsOf+2*AlertDays,3,""))))</f>
        <v/>
      </c>
      <c r="W226" s="79">
        <f>IF(V226="","",IF(O226="OVERDUE","Overdue payment: ","Payment due: ")&amp;B226&amp;" — "&amp;C226&amp;" ("&amp;CurSym&amp;" "&amp;FIXED(S226,0)&amp;")")</f>
        <v/>
      </c>
      <c r="Z226" s="116">
        <f>IF('Contractors'!B226="","",'Contractors'!B226)</f>
        <v/>
      </c>
      <c r="AA226" s="77">
        <f>IF(Z226="","",'Contractors'!K226)</f>
        <v/>
      </c>
      <c r="AB226" s="77">
        <f>IF(Z226="","",SUMIFS($L$6:$L$1005,$B$6:$B$1005,Z226))</f>
        <v/>
      </c>
      <c r="AC226" s="77">
        <f>IF(Z226="","",SUMIFS($N$6:$N$1005,$B$6:$B$1005,Z226))</f>
        <v/>
      </c>
      <c r="AD226" s="76">
        <f>IF(Z226="","",AA226-AC226)</f>
        <v/>
      </c>
      <c r="AE226" s="117">
        <f>IF(Z226="","",IFERROR(1/SUMPRODUCT(MAX(($B$6:$B$1005=Z226)*$T$6:$T$1005)),""))</f>
        <v/>
      </c>
      <c r="AF226" s="77">
        <f>IF(AE226="","",SUMIFS($S$6:$S$1005,$B$6:$B$1005,Z226,$I$6:$I$1005,AE226))</f>
        <v/>
      </c>
    </row>
    <row r="227" ht="20" customHeight="1">
      <c r="B227" s="72" t="n"/>
      <c r="C227" s="72" t="n"/>
      <c r="D227" s="72" t="n"/>
      <c r="E227" s="72" t="n"/>
      <c r="F227" s="110" t="n"/>
      <c r="G227" s="73" t="n"/>
      <c r="H227" s="75">
        <f>IF(B227="","",IF(G227&lt;&gt;"",G227,IF(F227&lt;&gt;"",F227*IFERROR(INDEX('Contractors'!$I$6:$I$1005,MATCH(B227,'Contractors'!$B$6:$B$1005,0)),0),"")))</f>
        <v/>
      </c>
      <c r="I227" s="109" t="n"/>
      <c r="J227" s="72" t="n"/>
      <c r="K227" s="109" t="n"/>
      <c r="L227" s="73" t="n"/>
      <c r="M227" s="109" t="n"/>
      <c r="N227" s="73" t="n"/>
      <c r="O227" s="107">
        <f>IF(B227="","",IF(M227&lt;&gt;"","Paid",IF(AND(I227&lt;&gt;"",I227&lt;AsOf),"OVERDUE",IF(OR(K227&lt;&gt;"",L227&lt;&gt;""),"Invoiced","Scheduled"))))</f>
        <v/>
      </c>
      <c r="P227" s="115">
        <f>IF(B227="","",IF(E227&lt;&gt;"",E227,IFERROR(INDEX('Contractors'!$D$6:$D$1005,MATCH(B227,'Contractors'!$B$6:$B$1005,0)),"")))</f>
        <v/>
      </c>
      <c r="Q227" s="79">
        <f>IF(B227="","",IF(D227&lt;&gt;"",D227,IFERROR(INDEX('Contractors'!$E$6:$E$1005,MATCH(B227,'Contractors'!$B$6:$B$1005,0)),"")))</f>
        <v/>
      </c>
      <c r="R227" s="79">
        <f>IF(O227="","",IF(O227="OVERDUE",2,IF(O227="Paid",0,IF(AND(I227&lt;&gt;"",I227&lt;=AsOf+AlertDays),1,0))))</f>
        <v/>
      </c>
      <c r="S227" s="79">
        <f>IF(AND(B227&lt;&gt;"",M227="",I227&lt;&gt;""),IF(L227&lt;&gt;"",L227,IF(H227="",0,H227)),0)</f>
        <v/>
      </c>
      <c r="T227" s="79">
        <f>IF(AND(B227&lt;&gt;"",M227="",I227&lt;&gt;""),1/I227,0)</f>
        <v/>
      </c>
      <c r="U227" s="112">
        <f>IF(AND(B227&lt;&gt;"",M227="",I227&lt;&gt;""),I227,"")</f>
        <v/>
      </c>
      <c r="V227" s="79">
        <f>IF(U227="","",IF(U227&lt;AsOf,1,IF(U227&lt;=AsOf+AlertDays,2,IF(U227&lt;=AsOf+2*AlertDays,3,""))))</f>
        <v/>
      </c>
      <c r="W227" s="79">
        <f>IF(V227="","",IF(O227="OVERDUE","Overdue payment: ","Payment due: ")&amp;B227&amp;" — "&amp;C227&amp;" ("&amp;CurSym&amp;" "&amp;FIXED(S227,0)&amp;")")</f>
        <v/>
      </c>
      <c r="Z227" s="116">
        <f>IF('Contractors'!B227="","",'Contractors'!B227)</f>
        <v/>
      </c>
      <c r="AA227" s="77">
        <f>IF(Z227="","",'Contractors'!K227)</f>
        <v/>
      </c>
      <c r="AB227" s="77">
        <f>IF(Z227="","",SUMIFS($L$6:$L$1005,$B$6:$B$1005,Z227))</f>
        <v/>
      </c>
      <c r="AC227" s="77">
        <f>IF(Z227="","",SUMIFS($N$6:$N$1005,$B$6:$B$1005,Z227))</f>
        <v/>
      </c>
      <c r="AD227" s="76">
        <f>IF(Z227="","",AA227-AC227)</f>
        <v/>
      </c>
      <c r="AE227" s="117">
        <f>IF(Z227="","",IFERROR(1/SUMPRODUCT(MAX(($B$6:$B$1005=Z227)*$T$6:$T$1005)),""))</f>
        <v/>
      </c>
      <c r="AF227" s="77">
        <f>IF(AE227="","",SUMIFS($S$6:$S$1005,$B$6:$B$1005,Z227,$I$6:$I$1005,AE227))</f>
        <v/>
      </c>
    </row>
    <row r="228" ht="20" customHeight="1">
      <c r="B228" s="72" t="n"/>
      <c r="C228" s="72" t="n"/>
      <c r="D228" s="72" t="n"/>
      <c r="E228" s="72" t="n"/>
      <c r="F228" s="110" t="n"/>
      <c r="G228" s="73" t="n"/>
      <c r="H228" s="75">
        <f>IF(B228="","",IF(G228&lt;&gt;"",G228,IF(F228&lt;&gt;"",F228*IFERROR(INDEX('Contractors'!$I$6:$I$1005,MATCH(B228,'Contractors'!$B$6:$B$1005,0)),0),"")))</f>
        <v/>
      </c>
      <c r="I228" s="109" t="n"/>
      <c r="J228" s="72" t="n"/>
      <c r="K228" s="109" t="n"/>
      <c r="L228" s="73" t="n"/>
      <c r="M228" s="109" t="n"/>
      <c r="N228" s="73" t="n"/>
      <c r="O228" s="107">
        <f>IF(B228="","",IF(M228&lt;&gt;"","Paid",IF(AND(I228&lt;&gt;"",I228&lt;AsOf),"OVERDUE",IF(OR(K228&lt;&gt;"",L228&lt;&gt;""),"Invoiced","Scheduled"))))</f>
        <v/>
      </c>
      <c r="P228" s="115">
        <f>IF(B228="","",IF(E228&lt;&gt;"",E228,IFERROR(INDEX('Contractors'!$D$6:$D$1005,MATCH(B228,'Contractors'!$B$6:$B$1005,0)),"")))</f>
        <v/>
      </c>
      <c r="Q228" s="79">
        <f>IF(B228="","",IF(D228&lt;&gt;"",D228,IFERROR(INDEX('Contractors'!$E$6:$E$1005,MATCH(B228,'Contractors'!$B$6:$B$1005,0)),"")))</f>
        <v/>
      </c>
      <c r="R228" s="79">
        <f>IF(O228="","",IF(O228="OVERDUE",2,IF(O228="Paid",0,IF(AND(I228&lt;&gt;"",I228&lt;=AsOf+AlertDays),1,0))))</f>
        <v/>
      </c>
      <c r="S228" s="79">
        <f>IF(AND(B228&lt;&gt;"",M228="",I228&lt;&gt;""),IF(L228&lt;&gt;"",L228,IF(H228="",0,H228)),0)</f>
        <v/>
      </c>
      <c r="T228" s="79">
        <f>IF(AND(B228&lt;&gt;"",M228="",I228&lt;&gt;""),1/I228,0)</f>
        <v/>
      </c>
      <c r="U228" s="112">
        <f>IF(AND(B228&lt;&gt;"",M228="",I228&lt;&gt;""),I228,"")</f>
        <v/>
      </c>
      <c r="V228" s="79">
        <f>IF(U228="","",IF(U228&lt;AsOf,1,IF(U228&lt;=AsOf+AlertDays,2,IF(U228&lt;=AsOf+2*AlertDays,3,""))))</f>
        <v/>
      </c>
      <c r="W228" s="79">
        <f>IF(V228="","",IF(O228="OVERDUE","Overdue payment: ","Payment due: ")&amp;B228&amp;" — "&amp;C228&amp;" ("&amp;CurSym&amp;" "&amp;FIXED(S228,0)&amp;")")</f>
        <v/>
      </c>
      <c r="Z228" s="116">
        <f>IF('Contractors'!B228="","",'Contractors'!B228)</f>
        <v/>
      </c>
      <c r="AA228" s="77">
        <f>IF(Z228="","",'Contractors'!K228)</f>
        <v/>
      </c>
      <c r="AB228" s="77">
        <f>IF(Z228="","",SUMIFS($L$6:$L$1005,$B$6:$B$1005,Z228))</f>
        <v/>
      </c>
      <c r="AC228" s="77">
        <f>IF(Z228="","",SUMIFS($N$6:$N$1005,$B$6:$B$1005,Z228))</f>
        <v/>
      </c>
      <c r="AD228" s="76">
        <f>IF(Z228="","",AA228-AC228)</f>
        <v/>
      </c>
      <c r="AE228" s="117">
        <f>IF(Z228="","",IFERROR(1/SUMPRODUCT(MAX(($B$6:$B$1005=Z228)*$T$6:$T$1005)),""))</f>
        <v/>
      </c>
      <c r="AF228" s="77">
        <f>IF(AE228="","",SUMIFS($S$6:$S$1005,$B$6:$B$1005,Z228,$I$6:$I$1005,AE228))</f>
        <v/>
      </c>
    </row>
    <row r="229" ht="20" customHeight="1">
      <c r="B229" s="72" t="n"/>
      <c r="C229" s="72" t="n"/>
      <c r="D229" s="72" t="n"/>
      <c r="E229" s="72" t="n"/>
      <c r="F229" s="110" t="n"/>
      <c r="G229" s="73" t="n"/>
      <c r="H229" s="75">
        <f>IF(B229="","",IF(G229&lt;&gt;"",G229,IF(F229&lt;&gt;"",F229*IFERROR(INDEX('Contractors'!$I$6:$I$1005,MATCH(B229,'Contractors'!$B$6:$B$1005,0)),0),"")))</f>
        <v/>
      </c>
      <c r="I229" s="109" t="n"/>
      <c r="J229" s="72" t="n"/>
      <c r="K229" s="109" t="n"/>
      <c r="L229" s="73" t="n"/>
      <c r="M229" s="109" t="n"/>
      <c r="N229" s="73" t="n"/>
      <c r="O229" s="107">
        <f>IF(B229="","",IF(M229&lt;&gt;"","Paid",IF(AND(I229&lt;&gt;"",I229&lt;AsOf),"OVERDUE",IF(OR(K229&lt;&gt;"",L229&lt;&gt;""),"Invoiced","Scheduled"))))</f>
        <v/>
      </c>
      <c r="P229" s="115">
        <f>IF(B229="","",IF(E229&lt;&gt;"",E229,IFERROR(INDEX('Contractors'!$D$6:$D$1005,MATCH(B229,'Contractors'!$B$6:$B$1005,0)),"")))</f>
        <v/>
      </c>
      <c r="Q229" s="79">
        <f>IF(B229="","",IF(D229&lt;&gt;"",D229,IFERROR(INDEX('Contractors'!$E$6:$E$1005,MATCH(B229,'Contractors'!$B$6:$B$1005,0)),"")))</f>
        <v/>
      </c>
      <c r="R229" s="79">
        <f>IF(O229="","",IF(O229="OVERDUE",2,IF(O229="Paid",0,IF(AND(I229&lt;&gt;"",I229&lt;=AsOf+AlertDays),1,0))))</f>
        <v/>
      </c>
      <c r="S229" s="79">
        <f>IF(AND(B229&lt;&gt;"",M229="",I229&lt;&gt;""),IF(L229&lt;&gt;"",L229,IF(H229="",0,H229)),0)</f>
        <v/>
      </c>
      <c r="T229" s="79">
        <f>IF(AND(B229&lt;&gt;"",M229="",I229&lt;&gt;""),1/I229,0)</f>
        <v/>
      </c>
      <c r="U229" s="112">
        <f>IF(AND(B229&lt;&gt;"",M229="",I229&lt;&gt;""),I229,"")</f>
        <v/>
      </c>
      <c r="V229" s="79">
        <f>IF(U229="","",IF(U229&lt;AsOf,1,IF(U229&lt;=AsOf+AlertDays,2,IF(U229&lt;=AsOf+2*AlertDays,3,""))))</f>
        <v/>
      </c>
      <c r="W229" s="79">
        <f>IF(V229="","",IF(O229="OVERDUE","Overdue payment: ","Payment due: ")&amp;B229&amp;" — "&amp;C229&amp;" ("&amp;CurSym&amp;" "&amp;FIXED(S229,0)&amp;")")</f>
        <v/>
      </c>
      <c r="Z229" s="116">
        <f>IF('Contractors'!B229="","",'Contractors'!B229)</f>
        <v/>
      </c>
      <c r="AA229" s="77">
        <f>IF(Z229="","",'Contractors'!K229)</f>
        <v/>
      </c>
      <c r="AB229" s="77">
        <f>IF(Z229="","",SUMIFS($L$6:$L$1005,$B$6:$B$1005,Z229))</f>
        <v/>
      </c>
      <c r="AC229" s="77">
        <f>IF(Z229="","",SUMIFS($N$6:$N$1005,$B$6:$B$1005,Z229))</f>
        <v/>
      </c>
      <c r="AD229" s="76">
        <f>IF(Z229="","",AA229-AC229)</f>
        <v/>
      </c>
      <c r="AE229" s="117">
        <f>IF(Z229="","",IFERROR(1/SUMPRODUCT(MAX(($B$6:$B$1005=Z229)*$T$6:$T$1005)),""))</f>
        <v/>
      </c>
      <c r="AF229" s="77">
        <f>IF(AE229="","",SUMIFS($S$6:$S$1005,$B$6:$B$1005,Z229,$I$6:$I$1005,AE229))</f>
        <v/>
      </c>
    </row>
    <row r="230" ht="20" customHeight="1">
      <c r="B230" s="72" t="n"/>
      <c r="C230" s="72" t="n"/>
      <c r="D230" s="72" t="n"/>
      <c r="E230" s="72" t="n"/>
      <c r="F230" s="110" t="n"/>
      <c r="G230" s="73" t="n"/>
      <c r="H230" s="75">
        <f>IF(B230="","",IF(G230&lt;&gt;"",G230,IF(F230&lt;&gt;"",F230*IFERROR(INDEX('Contractors'!$I$6:$I$1005,MATCH(B230,'Contractors'!$B$6:$B$1005,0)),0),"")))</f>
        <v/>
      </c>
      <c r="I230" s="109" t="n"/>
      <c r="J230" s="72" t="n"/>
      <c r="K230" s="109" t="n"/>
      <c r="L230" s="73" t="n"/>
      <c r="M230" s="109" t="n"/>
      <c r="N230" s="73" t="n"/>
      <c r="O230" s="107">
        <f>IF(B230="","",IF(M230&lt;&gt;"","Paid",IF(AND(I230&lt;&gt;"",I230&lt;AsOf),"OVERDUE",IF(OR(K230&lt;&gt;"",L230&lt;&gt;""),"Invoiced","Scheduled"))))</f>
        <v/>
      </c>
      <c r="P230" s="115">
        <f>IF(B230="","",IF(E230&lt;&gt;"",E230,IFERROR(INDEX('Contractors'!$D$6:$D$1005,MATCH(B230,'Contractors'!$B$6:$B$1005,0)),"")))</f>
        <v/>
      </c>
      <c r="Q230" s="79">
        <f>IF(B230="","",IF(D230&lt;&gt;"",D230,IFERROR(INDEX('Contractors'!$E$6:$E$1005,MATCH(B230,'Contractors'!$B$6:$B$1005,0)),"")))</f>
        <v/>
      </c>
      <c r="R230" s="79">
        <f>IF(O230="","",IF(O230="OVERDUE",2,IF(O230="Paid",0,IF(AND(I230&lt;&gt;"",I230&lt;=AsOf+AlertDays),1,0))))</f>
        <v/>
      </c>
      <c r="S230" s="79">
        <f>IF(AND(B230&lt;&gt;"",M230="",I230&lt;&gt;""),IF(L230&lt;&gt;"",L230,IF(H230="",0,H230)),0)</f>
        <v/>
      </c>
      <c r="T230" s="79">
        <f>IF(AND(B230&lt;&gt;"",M230="",I230&lt;&gt;""),1/I230,0)</f>
        <v/>
      </c>
      <c r="U230" s="112">
        <f>IF(AND(B230&lt;&gt;"",M230="",I230&lt;&gt;""),I230,"")</f>
        <v/>
      </c>
      <c r="V230" s="79">
        <f>IF(U230="","",IF(U230&lt;AsOf,1,IF(U230&lt;=AsOf+AlertDays,2,IF(U230&lt;=AsOf+2*AlertDays,3,""))))</f>
        <v/>
      </c>
      <c r="W230" s="79">
        <f>IF(V230="","",IF(O230="OVERDUE","Overdue payment: ","Payment due: ")&amp;B230&amp;" — "&amp;C230&amp;" ("&amp;CurSym&amp;" "&amp;FIXED(S230,0)&amp;")")</f>
        <v/>
      </c>
      <c r="Z230" s="116">
        <f>IF('Contractors'!B230="","",'Contractors'!B230)</f>
        <v/>
      </c>
      <c r="AA230" s="77">
        <f>IF(Z230="","",'Contractors'!K230)</f>
        <v/>
      </c>
      <c r="AB230" s="77">
        <f>IF(Z230="","",SUMIFS($L$6:$L$1005,$B$6:$B$1005,Z230))</f>
        <v/>
      </c>
      <c r="AC230" s="77">
        <f>IF(Z230="","",SUMIFS($N$6:$N$1005,$B$6:$B$1005,Z230))</f>
        <v/>
      </c>
      <c r="AD230" s="76">
        <f>IF(Z230="","",AA230-AC230)</f>
        <v/>
      </c>
      <c r="AE230" s="117">
        <f>IF(Z230="","",IFERROR(1/SUMPRODUCT(MAX(($B$6:$B$1005=Z230)*$T$6:$T$1005)),""))</f>
        <v/>
      </c>
      <c r="AF230" s="77">
        <f>IF(AE230="","",SUMIFS($S$6:$S$1005,$B$6:$B$1005,Z230,$I$6:$I$1005,AE230))</f>
        <v/>
      </c>
    </row>
    <row r="231" ht="20" customHeight="1">
      <c r="B231" s="72" t="n"/>
      <c r="C231" s="72" t="n"/>
      <c r="D231" s="72" t="n"/>
      <c r="E231" s="72" t="n"/>
      <c r="F231" s="110" t="n"/>
      <c r="G231" s="73" t="n"/>
      <c r="H231" s="75">
        <f>IF(B231="","",IF(G231&lt;&gt;"",G231,IF(F231&lt;&gt;"",F231*IFERROR(INDEX('Contractors'!$I$6:$I$1005,MATCH(B231,'Contractors'!$B$6:$B$1005,0)),0),"")))</f>
        <v/>
      </c>
      <c r="I231" s="109" t="n"/>
      <c r="J231" s="72" t="n"/>
      <c r="K231" s="109" t="n"/>
      <c r="L231" s="73" t="n"/>
      <c r="M231" s="109" t="n"/>
      <c r="N231" s="73" t="n"/>
      <c r="O231" s="107">
        <f>IF(B231="","",IF(M231&lt;&gt;"","Paid",IF(AND(I231&lt;&gt;"",I231&lt;AsOf),"OVERDUE",IF(OR(K231&lt;&gt;"",L231&lt;&gt;""),"Invoiced","Scheduled"))))</f>
        <v/>
      </c>
      <c r="P231" s="115">
        <f>IF(B231="","",IF(E231&lt;&gt;"",E231,IFERROR(INDEX('Contractors'!$D$6:$D$1005,MATCH(B231,'Contractors'!$B$6:$B$1005,0)),"")))</f>
        <v/>
      </c>
      <c r="Q231" s="79">
        <f>IF(B231="","",IF(D231&lt;&gt;"",D231,IFERROR(INDEX('Contractors'!$E$6:$E$1005,MATCH(B231,'Contractors'!$B$6:$B$1005,0)),"")))</f>
        <v/>
      </c>
      <c r="R231" s="79">
        <f>IF(O231="","",IF(O231="OVERDUE",2,IF(O231="Paid",0,IF(AND(I231&lt;&gt;"",I231&lt;=AsOf+AlertDays),1,0))))</f>
        <v/>
      </c>
      <c r="S231" s="79">
        <f>IF(AND(B231&lt;&gt;"",M231="",I231&lt;&gt;""),IF(L231&lt;&gt;"",L231,IF(H231="",0,H231)),0)</f>
        <v/>
      </c>
      <c r="T231" s="79">
        <f>IF(AND(B231&lt;&gt;"",M231="",I231&lt;&gt;""),1/I231,0)</f>
        <v/>
      </c>
      <c r="U231" s="112">
        <f>IF(AND(B231&lt;&gt;"",M231="",I231&lt;&gt;""),I231,"")</f>
        <v/>
      </c>
      <c r="V231" s="79">
        <f>IF(U231="","",IF(U231&lt;AsOf,1,IF(U231&lt;=AsOf+AlertDays,2,IF(U231&lt;=AsOf+2*AlertDays,3,""))))</f>
        <v/>
      </c>
      <c r="W231" s="79">
        <f>IF(V231="","",IF(O231="OVERDUE","Overdue payment: ","Payment due: ")&amp;B231&amp;" — "&amp;C231&amp;" ("&amp;CurSym&amp;" "&amp;FIXED(S231,0)&amp;")")</f>
        <v/>
      </c>
      <c r="Z231" s="116">
        <f>IF('Contractors'!B231="","",'Contractors'!B231)</f>
        <v/>
      </c>
      <c r="AA231" s="77">
        <f>IF(Z231="","",'Contractors'!K231)</f>
        <v/>
      </c>
      <c r="AB231" s="77">
        <f>IF(Z231="","",SUMIFS($L$6:$L$1005,$B$6:$B$1005,Z231))</f>
        <v/>
      </c>
      <c r="AC231" s="77">
        <f>IF(Z231="","",SUMIFS($N$6:$N$1005,$B$6:$B$1005,Z231))</f>
        <v/>
      </c>
      <c r="AD231" s="76">
        <f>IF(Z231="","",AA231-AC231)</f>
        <v/>
      </c>
      <c r="AE231" s="117">
        <f>IF(Z231="","",IFERROR(1/SUMPRODUCT(MAX(($B$6:$B$1005=Z231)*$T$6:$T$1005)),""))</f>
        <v/>
      </c>
      <c r="AF231" s="77">
        <f>IF(AE231="","",SUMIFS($S$6:$S$1005,$B$6:$B$1005,Z231,$I$6:$I$1005,AE231))</f>
        <v/>
      </c>
    </row>
    <row r="232" ht="20" customHeight="1">
      <c r="B232" s="72" t="n"/>
      <c r="C232" s="72" t="n"/>
      <c r="D232" s="72" t="n"/>
      <c r="E232" s="72" t="n"/>
      <c r="F232" s="110" t="n"/>
      <c r="G232" s="73" t="n"/>
      <c r="H232" s="75">
        <f>IF(B232="","",IF(G232&lt;&gt;"",G232,IF(F232&lt;&gt;"",F232*IFERROR(INDEX('Contractors'!$I$6:$I$1005,MATCH(B232,'Contractors'!$B$6:$B$1005,0)),0),"")))</f>
        <v/>
      </c>
      <c r="I232" s="109" t="n"/>
      <c r="J232" s="72" t="n"/>
      <c r="K232" s="109" t="n"/>
      <c r="L232" s="73" t="n"/>
      <c r="M232" s="109" t="n"/>
      <c r="N232" s="73" t="n"/>
      <c r="O232" s="107">
        <f>IF(B232="","",IF(M232&lt;&gt;"","Paid",IF(AND(I232&lt;&gt;"",I232&lt;AsOf),"OVERDUE",IF(OR(K232&lt;&gt;"",L232&lt;&gt;""),"Invoiced","Scheduled"))))</f>
        <v/>
      </c>
      <c r="P232" s="115">
        <f>IF(B232="","",IF(E232&lt;&gt;"",E232,IFERROR(INDEX('Contractors'!$D$6:$D$1005,MATCH(B232,'Contractors'!$B$6:$B$1005,0)),"")))</f>
        <v/>
      </c>
      <c r="Q232" s="79">
        <f>IF(B232="","",IF(D232&lt;&gt;"",D232,IFERROR(INDEX('Contractors'!$E$6:$E$1005,MATCH(B232,'Contractors'!$B$6:$B$1005,0)),"")))</f>
        <v/>
      </c>
      <c r="R232" s="79">
        <f>IF(O232="","",IF(O232="OVERDUE",2,IF(O232="Paid",0,IF(AND(I232&lt;&gt;"",I232&lt;=AsOf+AlertDays),1,0))))</f>
        <v/>
      </c>
      <c r="S232" s="79">
        <f>IF(AND(B232&lt;&gt;"",M232="",I232&lt;&gt;""),IF(L232&lt;&gt;"",L232,IF(H232="",0,H232)),0)</f>
        <v/>
      </c>
      <c r="T232" s="79">
        <f>IF(AND(B232&lt;&gt;"",M232="",I232&lt;&gt;""),1/I232,0)</f>
        <v/>
      </c>
      <c r="U232" s="112">
        <f>IF(AND(B232&lt;&gt;"",M232="",I232&lt;&gt;""),I232,"")</f>
        <v/>
      </c>
      <c r="V232" s="79">
        <f>IF(U232="","",IF(U232&lt;AsOf,1,IF(U232&lt;=AsOf+AlertDays,2,IF(U232&lt;=AsOf+2*AlertDays,3,""))))</f>
        <v/>
      </c>
      <c r="W232" s="79">
        <f>IF(V232="","",IF(O232="OVERDUE","Overdue payment: ","Payment due: ")&amp;B232&amp;" — "&amp;C232&amp;" ("&amp;CurSym&amp;" "&amp;FIXED(S232,0)&amp;")")</f>
        <v/>
      </c>
      <c r="Z232" s="116">
        <f>IF('Contractors'!B232="","",'Contractors'!B232)</f>
        <v/>
      </c>
      <c r="AA232" s="77">
        <f>IF(Z232="","",'Contractors'!K232)</f>
        <v/>
      </c>
      <c r="AB232" s="77">
        <f>IF(Z232="","",SUMIFS($L$6:$L$1005,$B$6:$B$1005,Z232))</f>
        <v/>
      </c>
      <c r="AC232" s="77">
        <f>IF(Z232="","",SUMIFS($N$6:$N$1005,$B$6:$B$1005,Z232))</f>
        <v/>
      </c>
      <c r="AD232" s="76">
        <f>IF(Z232="","",AA232-AC232)</f>
        <v/>
      </c>
      <c r="AE232" s="117">
        <f>IF(Z232="","",IFERROR(1/SUMPRODUCT(MAX(($B$6:$B$1005=Z232)*$T$6:$T$1005)),""))</f>
        <v/>
      </c>
      <c r="AF232" s="77">
        <f>IF(AE232="","",SUMIFS($S$6:$S$1005,$B$6:$B$1005,Z232,$I$6:$I$1005,AE232))</f>
        <v/>
      </c>
    </row>
    <row r="233" ht="20" customHeight="1">
      <c r="B233" s="72" t="n"/>
      <c r="C233" s="72" t="n"/>
      <c r="D233" s="72" t="n"/>
      <c r="E233" s="72" t="n"/>
      <c r="F233" s="110" t="n"/>
      <c r="G233" s="73" t="n"/>
      <c r="H233" s="75">
        <f>IF(B233="","",IF(G233&lt;&gt;"",G233,IF(F233&lt;&gt;"",F233*IFERROR(INDEX('Contractors'!$I$6:$I$1005,MATCH(B233,'Contractors'!$B$6:$B$1005,0)),0),"")))</f>
        <v/>
      </c>
      <c r="I233" s="109" t="n"/>
      <c r="J233" s="72" t="n"/>
      <c r="K233" s="109" t="n"/>
      <c r="L233" s="73" t="n"/>
      <c r="M233" s="109" t="n"/>
      <c r="N233" s="73" t="n"/>
      <c r="O233" s="107">
        <f>IF(B233="","",IF(M233&lt;&gt;"","Paid",IF(AND(I233&lt;&gt;"",I233&lt;AsOf),"OVERDUE",IF(OR(K233&lt;&gt;"",L233&lt;&gt;""),"Invoiced","Scheduled"))))</f>
        <v/>
      </c>
      <c r="P233" s="115">
        <f>IF(B233="","",IF(E233&lt;&gt;"",E233,IFERROR(INDEX('Contractors'!$D$6:$D$1005,MATCH(B233,'Contractors'!$B$6:$B$1005,0)),"")))</f>
        <v/>
      </c>
      <c r="Q233" s="79">
        <f>IF(B233="","",IF(D233&lt;&gt;"",D233,IFERROR(INDEX('Contractors'!$E$6:$E$1005,MATCH(B233,'Contractors'!$B$6:$B$1005,0)),"")))</f>
        <v/>
      </c>
      <c r="R233" s="79">
        <f>IF(O233="","",IF(O233="OVERDUE",2,IF(O233="Paid",0,IF(AND(I233&lt;&gt;"",I233&lt;=AsOf+AlertDays),1,0))))</f>
        <v/>
      </c>
      <c r="S233" s="79">
        <f>IF(AND(B233&lt;&gt;"",M233="",I233&lt;&gt;""),IF(L233&lt;&gt;"",L233,IF(H233="",0,H233)),0)</f>
        <v/>
      </c>
      <c r="T233" s="79">
        <f>IF(AND(B233&lt;&gt;"",M233="",I233&lt;&gt;""),1/I233,0)</f>
        <v/>
      </c>
      <c r="U233" s="112">
        <f>IF(AND(B233&lt;&gt;"",M233="",I233&lt;&gt;""),I233,"")</f>
        <v/>
      </c>
      <c r="V233" s="79">
        <f>IF(U233="","",IF(U233&lt;AsOf,1,IF(U233&lt;=AsOf+AlertDays,2,IF(U233&lt;=AsOf+2*AlertDays,3,""))))</f>
        <v/>
      </c>
      <c r="W233" s="79">
        <f>IF(V233="","",IF(O233="OVERDUE","Overdue payment: ","Payment due: ")&amp;B233&amp;" — "&amp;C233&amp;" ("&amp;CurSym&amp;" "&amp;FIXED(S233,0)&amp;")")</f>
        <v/>
      </c>
      <c r="Z233" s="116">
        <f>IF('Contractors'!B233="","",'Contractors'!B233)</f>
        <v/>
      </c>
      <c r="AA233" s="77">
        <f>IF(Z233="","",'Contractors'!K233)</f>
        <v/>
      </c>
      <c r="AB233" s="77">
        <f>IF(Z233="","",SUMIFS($L$6:$L$1005,$B$6:$B$1005,Z233))</f>
        <v/>
      </c>
      <c r="AC233" s="77">
        <f>IF(Z233="","",SUMIFS($N$6:$N$1005,$B$6:$B$1005,Z233))</f>
        <v/>
      </c>
      <c r="AD233" s="76">
        <f>IF(Z233="","",AA233-AC233)</f>
        <v/>
      </c>
      <c r="AE233" s="117">
        <f>IF(Z233="","",IFERROR(1/SUMPRODUCT(MAX(($B$6:$B$1005=Z233)*$T$6:$T$1005)),""))</f>
        <v/>
      </c>
      <c r="AF233" s="77">
        <f>IF(AE233="","",SUMIFS($S$6:$S$1005,$B$6:$B$1005,Z233,$I$6:$I$1005,AE233))</f>
        <v/>
      </c>
    </row>
    <row r="234" ht="20" customHeight="1">
      <c r="B234" s="72" t="n"/>
      <c r="C234" s="72" t="n"/>
      <c r="D234" s="72" t="n"/>
      <c r="E234" s="72" t="n"/>
      <c r="F234" s="110" t="n"/>
      <c r="G234" s="73" t="n"/>
      <c r="H234" s="75">
        <f>IF(B234="","",IF(G234&lt;&gt;"",G234,IF(F234&lt;&gt;"",F234*IFERROR(INDEX('Contractors'!$I$6:$I$1005,MATCH(B234,'Contractors'!$B$6:$B$1005,0)),0),"")))</f>
        <v/>
      </c>
      <c r="I234" s="109" t="n"/>
      <c r="J234" s="72" t="n"/>
      <c r="K234" s="109" t="n"/>
      <c r="L234" s="73" t="n"/>
      <c r="M234" s="109" t="n"/>
      <c r="N234" s="73" t="n"/>
      <c r="O234" s="107">
        <f>IF(B234="","",IF(M234&lt;&gt;"","Paid",IF(AND(I234&lt;&gt;"",I234&lt;AsOf),"OVERDUE",IF(OR(K234&lt;&gt;"",L234&lt;&gt;""),"Invoiced","Scheduled"))))</f>
        <v/>
      </c>
      <c r="P234" s="115">
        <f>IF(B234="","",IF(E234&lt;&gt;"",E234,IFERROR(INDEX('Contractors'!$D$6:$D$1005,MATCH(B234,'Contractors'!$B$6:$B$1005,0)),"")))</f>
        <v/>
      </c>
      <c r="Q234" s="79">
        <f>IF(B234="","",IF(D234&lt;&gt;"",D234,IFERROR(INDEX('Contractors'!$E$6:$E$1005,MATCH(B234,'Contractors'!$B$6:$B$1005,0)),"")))</f>
        <v/>
      </c>
      <c r="R234" s="79">
        <f>IF(O234="","",IF(O234="OVERDUE",2,IF(O234="Paid",0,IF(AND(I234&lt;&gt;"",I234&lt;=AsOf+AlertDays),1,0))))</f>
        <v/>
      </c>
      <c r="S234" s="79">
        <f>IF(AND(B234&lt;&gt;"",M234="",I234&lt;&gt;""),IF(L234&lt;&gt;"",L234,IF(H234="",0,H234)),0)</f>
        <v/>
      </c>
      <c r="T234" s="79">
        <f>IF(AND(B234&lt;&gt;"",M234="",I234&lt;&gt;""),1/I234,0)</f>
        <v/>
      </c>
      <c r="U234" s="112">
        <f>IF(AND(B234&lt;&gt;"",M234="",I234&lt;&gt;""),I234,"")</f>
        <v/>
      </c>
      <c r="V234" s="79">
        <f>IF(U234="","",IF(U234&lt;AsOf,1,IF(U234&lt;=AsOf+AlertDays,2,IF(U234&lt;=AsOf+2*AlertDays,3,""))))</f>
        <v/>
      </c>
      <c r="W234" s="79">
        <f>IF(V234="","",IF(O234="OVERDUE","Overdue payment: ","Payment due: ")&amp;B234&amp;" — "&amp;C234&amp;" ("&amp;CurSym&amp;" "&amp;FIXED(S234,0)&amp;")")</f>
        <v/>
      </c>
      <c r="Z234" s="116">
        <f>IF('Contractors'!B234="","",'Contractors'!B234)</f>
        <v/>
      </c>
      <c r="AA234" s="77">
        <f>IF(Z234="","",'Contractors'!K234)</f>
        <v/>
      </c>
      <c r="AB234" s="77">
        <f>IF(Z234="","",SUMIFS($L$6:$L$1005,$B$6:$B$1005,Z234))</f>
        <v/>
      </c>
      <c r="AC234" s="77">
        <f>IF(Z234="","",SUMIFS($N$6:$N$1005,$B$6:$B$1005,Z234))</f>
        <v/>
      </c>
      <c r="AD234" s="76">
        <f>IF(Z234="","",AA234-AC234)</f>
        <v/>
      </c>
      <c r="AE234" s="117">
        <f>IF(Z234="","",IFERROR(1/SUMPRODUCT(MAX(($B$6:$B$1005=Z234)*$T$6:$T$1005)),""))</f>
        <v/>
      </c>
      <c r="AF234" s="77">
        <f>IF(AE234="","",SUMIFS($S$6:$S$1005,$B$6:$B$1005,Z234,$I$6:$I$1005,AE234))</f>
        <v/>
      </c>
    </row>
    <row r="235" ht="20" customHeight="1">
      <c r="B235" s="72" t="n"/>
      <c r="C235" s="72" t="n"/>
      <c r="D235" s="72" t="n"/>
      <c r="E235" s="72" t="n"/>
      <c r="F235" s="110" t="n"/>
      <c r="G235" s="73" t="n"/>
      <c r="H235" s="75">
        <f>IF(B235="","",IF(G235&lt;&gt;"",G235,IF(F235&lt;&gt;"",F235*IFERROR(INDEX('Contractors'!$I$6:$I$1005,MATCH(B235,'Contractors'!$B$6:$B$1005,0)),0),"")))</f>
        <v/>
      </c>
      <c r="I235" s="109" t="n"/>
      <c r="J235" s="72" t="n"/>
      <c r="K235" s="109" t="n"/>
      <c r="L235" s="73" t="n"/>
      <c r="M235" s="109" t="n"/>
      <c r="N235" s="73" t="n"/>
      <c r="O235" s="107">
        <f>IF(B235="","",IF(M235&lt;&gt;"","Paid",IF(AND(I235&lt;&gt;"",I235&lt;AsOf),"OVERDUE",IF(OR(K235&lt;&gt;"",L235&lt;&gt;""),"Invoiced","Scheduled"))))</f>
        <v/>
      </c>
      <c r="P235" s="115">
        <f>IF(B235="","",IF(E235&lt;&gt;"",E235,IFERROR(INDEX('Contractors'!$D$6:$D$1005,MATCH(B235,'Contractors'!$B$6:$B$1005,0)),"")))</f>
        <v/>
      </c>
      <c r="Q235" s="79">
        <f>IF(B235="","",IF(D235&lt;&gt;"",D235,IFERROR(INDEX('Contractors'!$E$6:$E$1005,MATCH(B235,'Contractors'!$B$6:$B$1005,0)),"")))</f>
        <v/>
      </c>
      <c r="R235" s="79">
        <f>IF(O235="","",IF(O235="OVERDUE",2,IF(O235="Paid",0,IF(AND(I235&lt;&gt;"",I235&lt;=AsOf+AlertDays),1,0))))</f>
        <v/>
      </c>
      <c r="S235" s="79">
        <f>IF(AND(B235&lt;&gt;"",M235="",I235&lt;&gt;""),IF(L235&lt;&gt;"",L235,IF(H235="",0,H235)),0)</f>
        <v/>
      </c>
      <c r="T235" s="79">
        <f>IF(AND(B235&lt;&gt;"",M235="",I235&lt;&gt;""),1/I235,0)</f>
        <v/>
      </c>
      <c r="U235" s="112">
        <f>IF(AND(B235&lt;&gt;"",M235="",I235&lt;&gt;""),I235,"")</f>
        <v/>
      </c>
      <c r="V235" s="79">
        <f>IF(U235="","",IF(U235&lt;AsOf,1,IF(U235&lt;=AsOf+AlertDays,2,IF(U235&lt;=AsOf+2*AlertDays,3,""))))</f>
        <v/>
      </c>
      <c r="W235" s="79">
        <f>IF(V235="","",IF(O235="OVERDUE","Overdue payment: ","Payment due: ")&amp;B235&amp;" — "&amp;C235&amp;" ("&amp;CurSym&amp;" "&amp;FIXED(S235,0)&amp;")")</f>
        <v/>
      </c>
      <c r="Z235" s="116">
        <f>IF('Contractors'!B235="","",'Contractors'!B235)</f>
        <v/>
      </c>
      <c r="AA235" s="77">
        <f>IF(Z235="","",'Contractors'!K235)</f>
        <v/>
      </c>
      <c r="AB235" s="77">
        <f>IF(Z235="","",SUMIFS($L$6:$L$1005,$B$6:$B$1005,Z235))</f>
        <v/>
      </c>
      <c r="AC235" s="77">
        <f>IF(Z235="","",SUMIFS($N$6:$N$1005,$B$6:$B$1005,Z235))</f>
        <v/>
      </c>
      <c r="AD235" s="76">
        <f>IF(Z235="","",AA235-AC235)</f>
        <v/>
      </c>
      <c r="AE235" s="117">
        <f>IF(Z235="","",IFERROR(1/SUMPRODUCT(MAX(($B$6:$B$1005=Z235)*$T$6:$T$1005)),""))</f>
        <v/>
      </c>
      <c r="AF235" s="77">
        <f>IF(AE235="","",SUMIFS($S$6:$S$1005,$B$6:$B$1005,Z235,$I$6:$I$1005,AE235))</f>
        <v/>
      </c>
    </row>
    <row r="236" ht="20" customHeight="1">
      <c r="B236" s="72" t="n"/>
      <c r="C236" s="72" t="n"/>
      <c r="D236" s="72" t="n"/>
      <c r="E236" s="72" t="n"/>
      <c r="F236" s="110" t="n"/>
      <c r="G236" s="73" t="n"/>
      <c r="H236" s="75">
        <f>IF(B236="","",IF(G236&lt;&gt;"",G236,IF(F236&lt;&gt;"",F236*IFERROR(INDEX('Contractors'!$I$6:$I$1005,MATCH(B236,'Contractors'!$B$6:$B$1005,0)),0),"")))</f>
        <v/>
      </c>
      <c r="I236" s="109" t="n"/>
      <c r="J236" s="72" t="n"/>
      <c r="K236" s="109" t="n"/>
      <c r="L236" s="73" t="n"/>
      <c r="M236" s="109" t="n"/>
      <c r="N236" s="73" t="n"/>
      <c r="O236" s="107">
        <f>IF(B236="","",IF(M236&lt;&gt;"","Paid",IF(AND(I236&lt;&gt;"",I236&lt;AsOf),"OVERDUE",IF(OR(K236&lt;&gt;"",L236&lt;&gt;""),"Invoiced","Scheduled"))))</f>
        <v/>
      </c>
      <c r="P236" s="115">
        <f>IF(B236="","",IF(E236&lt;&gt;"",E236,IFERROR(INDEX('Contractors'!$D$6:$D$1005,MATCH(B236,'Contractors'!$B$6:$B$1005,0)),"")))</f>
        <v/>
      </c>
      <c r="Q236" s="79">
        <f>IF(B236="","",IF(D236&lt;&gt;"",D236,IFERROR(INDEX('Contractors'!$E$6:$E$1005,MATCH(B236,'Contractors'!$B$6:$B$1005,0)),"")))</f>
        <v/>
      </c>
      <c r="R236" s="79">
        <f>IF(O236="","",IF(O236="OVERDUE",2,IF(O236="Paid",0,IF(AND(I236&lt;&gt;"",I236&lt;=AsOf+AlertDays),1,0))))</f>
        <v/>
      </c>
      <c r="S236" s="79">
        <f>IF(AND(B236&lt;&gt;"",M236="",I236&lt;&gt;""),IF(L236&lt;&gt;"",L236,IF(H236="",0,H236)),0)</f>
        <v/>
      </c>
      <c r="T236" s="79">
        <f>IF(AND(B236&lt;&gt;"",M236="",I236&lt;&gt;""),1/I236,0)</f>
        <v/>
      </c>
      <c r="U236" s="112">
        <f>IF(AND(B236&lt;&gt;"",M236="",I236&lt;&gt;""),I236,"")</f>
        <v/>
      </c>
      <c r="V236" s="79">
        <f>IF(U236="","",IF(U236&lt;AsOf,1,IF(U236&lt;=AsOf+AlertDays,2,IF(U236&lt;=AsOf+2*AlertDays,3,""))))</f>
        <v/>
      </c>
      <c r="W236" s="79">
        <f>IF(V236="","",IF(O236="OVERDUE","Overdue payment: ","Payment due: ")&amp;B236&amp;" — "&amp;C236&amp;" ("&amp;CurSym&amp;" "&amp;FIXED(S236,0)&amp;")")</f>
        <v/>
      </c>
      <c r="Z236" s="116">
        <f>IF('Contractors'!B236="","",'Contractors'!B236)</f>
        <v/>
      </c>
      <c r="AA236" s="77">
        <f>IF(Z236="","",'Contractors'!K236)</f>
        <v/>
      </c>
      <c r="AB236" s="77">
        <f>IF(Z236="","",SUMIFS($L$6:$L$1005,$B$6:$B$1005,Z236))</f>
        <v/>
      </c>
      <c r="AC236" s="77">
        <f>IF(Z236="","",SUMIFS($N$6:$N$1005,$B$6:$B$1005,Z236))</f>
        <v/>
      </c>
      <c r="AD236" s="76">
        <f>IF(Z236="","",AA236-AC236)</f>
        <v/>
      </c>
      <c r="AE236" s="117">
        <f>IF(Z236="","",IFERROR(1/SUMPRODUCT(MAX(($B$6:$B$1005=Z236)*$T$6:$T$1005)),""))</f>
        <v/>
      </c>
      <c r="AF236" s="77">
        <f>IF(AE236="","",SUMIFS($S$6:$S$1005,$B$6:$B$1005,Z236,$I$6:$I$1005,AE236))</f>
        <v/>
      </c>
    </row>
    <row r="237" ht="20" customHeight="1">
      <c r="B237" s="72" t="n"/>
      <c r="C237" s="72" t="n"/>
      <c r="D237" s="72" t="n"/>
      <c r="E237" s="72" t="n"/>
      <c r="F237" s="110" t="n"/>
      <c r="G237" s="73" t="n"/>
      <c r="H237" s="75">
        <f>IF(B237="","",IF(G237&lt;&gt;"",G237,IF(F237&lt;&gt;"",F237*IFERROR(INDEX('Contractors'!$I$6:$I$1005,MATCH(B237,'Contractors'!$B$6:$B$1005,0)),0),"")))</f>
        <v/>
      </c>
      <c r="I237" s="109" t="n"/>
      <c r="J237" s="72" t="n"/>
      <c r="K237" s="109" t="n"/>
      <c r="L237" s="73" t="n"/>
      <c r="M237" s="109" t="n"/>
      <c r="N237" s="73" t="n"/>
      <c r="O237" s="107">
        <f>IF(B237="","",IF(M237&lt;&gt;"","Paid",IF(AND(I237&lt;&gt;"",I237&lt;AsOf),"OVERDUE",IF(OR(K237&lt;&gt;"",L237&lt;&gt;""),"Invoiced","Scheduled"))))</f>
        <v/>
      </c>
      <c r="P237" s="115">
        <f>IF(B237="","",IF(E237&lt;&gt;"",E237,IFERROR(INDEX('Contractors'!$D$6:$D$1005,MATCH(B237,'Contractors'!$B$6:$B$1005,0)),"")))</f>
        <v/>
      </c>
      <c r="Q237" s="79">
        <f>IF(B237="","",IF(D237&lt;&gt;"",D237,IFERROR(INDEX('Contractors'!$E$6:$E$1005,MATCH(B237,'Contractors'!$B$6:$B$1005,0)),"")))</f>
        <v/>
      </c>
      <c r="R237" s="79">
        <f>IF(O237="","",IF(O237="OVERDUE",2,IF(O237="Paid",0,IF(AND(I237&lt;&gt;"",I237&lt;=AsOf+AlertDays),1,0))))</f>
        <v/>
      </c>
      <c r="S237" s="79">
        <f>IF(AND(B237&lt;&gt;"",M237="",I237&lt;&gt;""),IF(L237&lt;&gt;"",L237,IF(H237="",0,H237)),0)</f>
        <v/>
      </c>
      <c r="T237" s="79">
        <f>IF(AND(B237&lt;&gt;"",M237="",I237&lt;&gt;""),1/I237,0)</f>
        <v/>
      </c>
      <c r="U237" s="112">
        <f>IF(AND(B237&lt;&gt;"",M237="",I237&lt;&gt;""),I237,"")</f>
        <v/>
      </c>
      <c r="V237" s="79">
        <f>IF(U237="","",IF(U237&lt;AsOf,1,IF(U237&lt;=AsOf+AlertDays,2,IF(U237&lt;=AsOf+2*AlertDays,3,""))))</f>
        <v/>
      </c>
      <c r="W237" s="79">
        <f>IF(V237="","",IF(O237="OVERDUE","Overdue payment: ","Payment due: ")&amp;B237&amp;" — "&amp;C237&amp;" ("&amp;CurSym&amp;" "&amp;FIXED(S237,0)&amp;")")</f>
        <v/>
      </c>
      <c r="Z237" s="116">
        <f>IF('Contractors'!B237="","",'Contractors'!B237)</f>
        <v/>
      </c>
      <c r="AA237" s="77">
        <f>IF(Z237="","",'Contractors'!K237)</f>
        <v/>
      </c>
      <c r="AB237" s="77">
        <f>IF(Z237="","",SUMIFS($L$6:$L$1005,$B$6:$B$1005,Z237))</f>
        <v/>
      </c>
      <c r="AC237" s="77">
        <f>IF(Z237="","",SUMIFS($N$6:$N$1005,$B$6:$B$1005,Z237))</f>
        <v/>
      </c>
      <c r="AD237" s="76">
        <f>IF(Z237="","",AA237-AC237)</f>
        <v/>
      </c>
      <c r="AE237" s="117">
        <f>IF(Z237="","",IFERROR(1/SUMPRODUCT(MAX(($B$6:$B$1005=Z237)*$T$6:$T$1005)),""))</f>
        <v/>
      </c>
      <c r="AF237" s="77">
        <f>IF(AE237="","",SUMIFS($S$6:$S$1005,$B$6:$B$1005,Z237,$I$6:$I$1005,AE237))</f>
        <v/>
      </c>
    </row>
    <row r="238" ht="20" customHeight="1">
      <c r="B238" s="72" t="n"/>
      <c r="C238" s="72" t="n"/>
      <c r="D238" s="72" t="n"/>
      <c r="E238" s="72" t="n"/>
      <c r="F238" s="110" t="n"/>
      <c r="G238" s="73" t="n"/>
      <c r="H238" s="75">
        <f>IF(B238="","",IF(G238&lt;&gt;"",G238,IF(F238&lt;&gt;"",F238*IFERROR(INDEX('Contractors'!$I$6:$I$1005,MATCH(B238,'Contractors'!$B$6:$B$1005,0)),0),"")))</f>
        <v/>
      </c>
      <c r="I238" s="109" t="n"/>
      <c r="J238" s="72" t="n"/>
      <c r="K238" s="109" t="n"/>
      <c r="L238" s="73" t="n"/>
      <c r="M238" s="109" t="n"/>
      <c r="N238" s="73" t="n"/>
      <c r="O238" s="107">
        <f>IF(B238="","",IF(M238&lt;&gt;"","Paid",IF(AND(I238&lt;&gt;"",I238&lt;AsOf),"OVERDUE",IF(OR(K238&lt;&gt;"",L238&lt;&gt;""),"Invoiced","Scheduled"))))</f>
        <v/>
      </c>
      <c r="P238" s="115">
        <f>IF(B238="","",IF(E238&lt;&gt;"",E238,IFERROR(INDEX('Contractors'!$D$6:$D$1005,MATCH(B238,'Contractors'!$B$6:$B$1005,0)),"")))</f>
        <v/>
      </c>
      <c r="Q238" s="79">
        <f>IF(B238="","",IF(D238&lt;&gt;"",D238,IFERROR(INDEX('Contractors'!$E$6:$E$1005,MATCH(B238,'Contractors'!$B$6:$B$1005,0)),"")))</f>
        <v/>
      </c>
      <c r="R238" s="79">
        <f>IF(O238="","",IF(O238="OVERDUE",2,IF(O238="Paid",0,IF(AND(I238&lt;&gt;"",I238&lt;=AsOf+AlertDays),1,0))))</f>
        <v/>
      </c>
      <c r="S238" s="79">
        <f>IF(AND(B238&lt;&gt;"",M238="",I238&lt;&gt;""),IF(L238&lt;&gt;"",L238,IF(H238="",0,H238)),0)</f>
        <v/>
      </c>
      <c r="T238" s="79">
        <f>IF(AND(B238&lt;&gt;"",M238="",I238&lt;&gt;""),1/I238,0)</f>
        <v/>
      </c>
      <c r="U238" s="112">
        <f>IF(AND(B238&lt;&gt;"",M238="",I238&lt;&gt;""),I238,"")</f>
        <v/>
      </c>
      <c r="V238" s="79">
        <f>IF(U238="","",IF(U238&lt;AsOf,1,IF(U238&lt;=AsOf+AlertDays,2,IF(U238&lt;=AsOf+2*AlertDays,3,""))))</f>
        <v/>
      </c>
      <c r="W238" s="79">
        <f>IF(V238="","",IF(O238="OVERDUE","Overdue payment: ","Payment due: ")&amp;B238&amp;" — "&amp;C238&amp;" ("&amp;CurSym&amp;" "&amp;FIXED(S238,0)&amp;")")</f>
        <v/>
      </c>
      <c r="Z238" s="116">
        <f>IF('Contractors'!B238="","",'Contractors'!B238)</f>
        <v/>
      </c>
      <c r="AA238" s="77">
        <f>IF(Z238="","",'Contractors'!K238)</f>
        <v/>
      </c>
      <c r="AB238" s="77">
        <f>IF(Z238="","",SUMIFS($L$6:$L$1005,$B$6:$B$1005,Z238))</f>
        <v/>
      </c>
      <c r="AC238" s="77">
        <f>IF(Z238="","",SUMIFS($N$6:$N$1005,$B$6:$B$1005,Z238))</f>
        <v/>
      </c>
      <c r="AD238" s="76">
        <f>IF(Z238="","",AA238-AC238)</f>
        <v/>
      </c>
      <c r="AE238" s="117">
        <f>IF(Z238="","",IFERROR(1/SUMPRODUCT(MAX(($B$6:$B$1005=Z238)*$T$6:$T$1005)),""))</f>
        <v/>
      </c>
      <c r="AF238" s="77">
        <f>IF(AE238="","",SUMIFS($S$6:$S$1005,$B$6:$B$1005,Z238,$I$6:$I$1005,AE238))</f>
        <v/>
      </c>
    </row>
    <row r="239" ht="20" customHeight="1">
      <c r="B239" s="72" t="n"/>
      <c r="C239" s="72" t="n"/>
      <c r="D239" s="72" t="n"/>
      <c r="E239" s="72" t="n"/>
      <c r="F239" s="110" t="n"/>
      <c r="G239" s="73" t="n"/>
      <c r="H239" s="75">
        <f>IF(B239="","",IF(G239&lt;&gt;"",G239,IF(F239&lt;&gt;"",F239*IFERROR(INDEX('Contractors'!$I$6:$I$1005,MATCH(B239,'Contractors'!$B$6:$B$1005,0)),0),"")))</f>
        <v/>
      </c>
      <c r="I239" s="109" t="n"/>
      <c r="J239" s="72" t="n"/>
      <c r="K239" s="109" t="n"/>
      <c r="L239" s="73" t="n"/>
      <c r="M239" s="109" t="n"/>
      <c r="N239" s="73" t="n"/>
      <c r="O239" s="107">
        <f>IF(B239="","",IF(M239&lt;&gt;"","Paid",IF(AND(I239&lt;&gt;"",I239&lt;AsOf),"OVERDUE",IF(OR(K239&lt;&gt;"",L239&lt;&gt;""),"Invoiced","Scheduled"))))</f>
        <v/>
      </c>
      <c r="P239" s="115">
        <f>IF(B239="","",IF(E239&lt;&gt;"",E239,IFERROR(INDEX('Contractors'!$D$6:$D$1005,MATCH(B239,'Contractors'!$B$6:$B$1005,0)),"")))</f>
        <v/>
      </c>
      <c r="Q239" s="79">
        <f>IF(B239="","",IF(D239&lt;&gt;"",D239,IFERROR(INDEX('Contractors'!$E$6:$E$1005,MATCH(B239,'Contractors'!$B$6:$B$1005,0)),"")))</f>
        <v/>
      </c>
      <c r="R239" s="79">
        <f>IF(O239="","",IF(O239="OVERDUE",2,IF(O239="Paid",0,IF(AND(I239&lt;&gt;"",I239&lt;=AsOf+AlertDays),1,0))))</f>
        <v/>
      </c>
      <c r="S239" s="79">
        <f>IF(AND(B239&lt;&gt;"",M239="",I239&lt;&gt;""),IF(L239&lt;&gt;"",L239,IF(H239="",0,H239)),0)</f>
        <v/>
      </c>
      <c r="T239" s="79">
        <f>IF(AND(B239&lt;&gt;"",M239="",I239&lt;&gt;""),1/I239,0)</f>
        <v/>
      </c>
      <c r="U239" s="112">
        <f>IF(AND(B239&lt;&gt;"",M239="",I239&lt;&gt;""),I239,"")</f>
        <v/>
      </c>
      <c r="V239" s="79">
        <f>IF(U239="","",IF(U239&lt;AsOf,1,IF(U239&lt;=AsOf+AlertDays,2,IF(U239&lt;=AsOf+2*AlertDays,3,""))))</f>
        <v/>
      </c>
      <c r="W239" s="79">
        <f>IF(V239="","",IF(O239="OVERDUE","Overdue payment: ","Payment due: ")&amp;B239&amp;" — "&amp;C239&amp;" ("&amp;CurSym&amp;" "&amp;FIXED(S239,0)&amp;")")</f>
        <v/>
      </c>
      <c r="Z239" s="116">
        <f>IF('Contractors'!B239="","",'Contractors'!B239)</f>
        <v/>
      </c>
      <c r="AA239" s="77">
        <f>IF(Z239="","",'Contractors'!K239)</f>
        <v/>
      </c>
      <c r="AB239" s="77">
        <f>IF(Z239="","",SUMIFS($L$6:$L$1005,$B$6:$B$1005,Z239))</f>
        <v/>
      </c>
      <c r="AC239" s="77">
        <f>IF(Z239="","",SUMIFS($N$6:$N$1005,$B$6:$B$1005,Z239))</f>
        <v/>
      </c>
      <c r="AD239" s="76">
        <f>IF(Z239="","",AA239-AC239)</f>
        <v/>
      </c>
      <c r="AE239" s="117">
        <f>IF(Z239="","",IFERROR(1/SUMPRODUCT(MAX(($B$6:$B$1005=Z239)*$T$6:$T$1005)),""))</f>
        <v/>
      </c>
      <c r="AF239" s="77">
        <f>IF(AE239="","",SUMIFS($S$6:$S$1005,$B$6:$B$1005,Z239,$I$6:$I$1005,AE239))</f>
        <v/>
      </c>
    </row>
    <row r="240" ht="20" customHeight="1">
      <c r="B240" s="72" t="n"/>
      <c r="C240" s="72" t="n"/>
      <c r="D240" s="72" t="n"/>
      <c r="E240" s="72" t="n"/>
      <c r="F240" s="110" t="n"/>
      <c r="G240" s="73" t="n"/>
      <c r="H240" s="75">
        <f>IF(B240="","",IF(G240&lt;&gt;"",G240,IF(F240&lt;&gt;"",F240*IFERROR(INDEX('Contractors'!$I$6:$I$1005,MATCH(B240,'Contractors'!$B$6:$B$1005,0)),0),"")))</f>
        <v/>
      </c>
      <c r="I240" s="109" t="n"/>
      <c r="J240" s="72" t="n"/>
      <c r="K240" s="109" t="n"/>
      <c r="L240" s="73" t="n"/>
      <c r="M240" s="109" t="n"/>
      <c r="N240" s="73" t="n"/>
      <c r="O240" s="107">
        <f>IF(B240="","",IF(M240&lt;&gt;"","Paid",IF(AND(I240&lt;&gt;"",I240&lt;AsOf),"OVERDUE",IF(OR(K240&lt;&gt;"",L240&lt;&gt;""),"Invoiced","Scheduled"))))</f>
        <v/>
      </c>
      <c r="P240" s="115">
        <f>IF(B240="","",IF(E240&lt;&gt;"",E240,IFERROR(INDEX('Contractors'!$D$6:$D$1005,MATCH(B240,'Contractors'!$B$6:$B$1005,0)),"")))</f>
        <v/>
      </c>
      <c r="Q240" s="79">
        <f>IF(B240="","",IF(D240&lt;&gt;"",D240,IFERROR(INDEX('Contractors'!$E$6:$E$1005,MATCH(B240,'Contractors'!$B$6:$B$1005,0)),"")))</f>
        <v/>
      </c>
      <c r="R240" s="79">
        <f>IF(O240="","",IF(O240="OVERDUE",2,IF(O240="Paid",0,IF(AND(I240&lt;&gt;"",I240&lt;=AsOf+AlertDays),1,0))))</f>
        <v/>
      </c>
      <c r="S240" s="79">
        <f>IF(AND(B240&lt;&gt;"",M240="",I240&lt;&gt;""),IF(L240&lt;&gt;"",L240,IF(H240="",0,H240)),0)</f>
        <v/>
      </c>
      <c r="T240" s="79">
        <f>IF(AND(B240&lt;&gt;"",M240="",I240&lt;&gt;""),1/I240,0)</f>
        <v/>
      </c>
      <c r="U240" s="112">
        <f>IF(AND(B240&lt;&gt;"",M240="",I240&lt;&gt;""),I240,"")</f>
        <v/>
      </c>
      <c r="V240" s="79">
        <f>IF(U240="","",IF(U240&lt;AsOf,1,IF(U240&lt;=AsOf+AlertDays,2,IF(U240&lt;=AsOf+2*AlertDays,3,""))))</f>
        <v/>
      </c>
      <c r="W240" s="79">
        <f>IF(V240="","",IF(O240="OVERDUE","Overdue payment: ","Payment due: ")&amp;B240&amp;" — "&amp;C240&amp;" ("&amp;CurSym&amp;" "&amp;FIXED(S240,0)&amp;")")</f>
        <v/>
      </c>
      <c r="Z240" s="116">
        <f>IF('Contractors'!B240="","",'Contractors'!B240)</f>
        <v/>
      </c>
      <c r="AA240" s="77">
        <f>IF(Z240="","",'Contractors'!K240)</f>
        <v/>
      </c>
      <c r="AB240" s="77">
        <f>IF(Z240="","",SUMIFS($L$6:$L$1005,$B$6:$B$1005,Z240))</f>
        <v/>
      </c>
      <c r="AC240" s="77">
        <f>IF(Z240="","",SUMIFS($N$6:$N$1005,$B$6:$B$1005,Z240))</f>
        <v/>
      </c>
      <c r="AD240" s="76">
        <f>IF(Z240="","",AA240-AC240)</f>
        <v/>
      </c>
      <c r="AE240" s="117">
        <f>IF(Z240="","",IFERROR(1/SUMPRODUCT(MAX(($B$6:$B$1005=Z240)*$T$6:$T$1005)),""))</f>
        <v/>
      </c>
      <c r="AF240" s="77">
        <f>IF(AE240="","",SUMIFS($S$6:$S$1005,$B$6:$B$1005,Z240,$I$6:$I$1005,AE240))</f>
        <v/>
      </c>
    </row>
    <row r="241" ht="20" customHeight="1">
      <c r="B241" s="72" t="n"/>
      <c r="C241" s="72" t="n"/>
      <c r="D241" s="72" t="n"/>
      <c r="E241" s="72" t="n"/>
      <c r="F241" s="110" t="n"/>
      <c r="G241" s="73" t="n"/>
      <c r="H241" s="75">
        <f>IF(B241="","",IF(G241&lt;&gt;"",G241,IF(F241&lt;&gt;"",F241*IFERROR(INDEX('Contractors'!$I$6:$I$1005,MATCH(B241,'Contractors'!$B$6:$B$1005,0)),0),"")))</f>
        <v/>
      </c>
      <c r="I241" s="109" t="n"/>
      <c r="J241" s="72" t="n"/>
      <c r="K241" s="109" t="n"/>
      <c r="L241" s="73" t="n"/>
      <c r="M241" s="109" t="n"/>
      <c r="N241" s="73" t="n"/>
      <c r="O241" s="107">
        <f>IF(B241="","",IF(M241&lt;&gt;"","Paid",IF(AND(I241&lt;&gt;"",I241&lt;AsOf),"OVERDUE",IF(OR(K241&lt;&gt;"",L241&lt;&gt;""),"Invoiced","Scheduled"))))</f>
        <v/>
      </c>
      <c r="P241" s="115">
        <f>IF(B241="","",IF(E241&lt;&gt;"",E241,IFERROR(INDEX('Contractors'!$D$6:$D$1005,MATCH(B241,'Contractors'!$B$6:$B$1005,0)),"")))</f>
        <v/>
      </c>
      <c r="Q241" s="79">
        <f>IF(B241="","",IF(D241&lt;&gt;"",D241,IFERROR(INDEX('Contractors'!$E$6:$E$1005,MATCH(B241,'Contractors'!$B$6:$B$1005,0)),"")))</f>
        <v/>
      </c>
      <c r="R241" s="79">
        <f>IF(O241="","",IF(O241="OVERDUE",2,IF(O241="Paid",0,IF(AND(I241&lt;&gt;"",I241&lt;=AsOf+AlertDays),1,0))))</f>
        <v/>
      </c>
      <c r="S241" s="79">
        <f>IF(AND(B241&lt;&gt;"",M241="",I241&lt;&gt;""),IF(L241&lt;&gt;"",L241,IF(H241="",0,H241)),0)</f>
        <v/>
      </c>
      <c r="T241" s="79">
        <f>IF(AND(B241&lt;&gt;"",M241="",I241&lt;&gt;""),1/I241,0)</f>
        <v/>
      </c>
      <c r="U241" s="112">
        <f>IF(AND(B241&lt;&gt;"",M241="",I241&lt;&gt;""),I241,"")</f>
        <v/>
      </c>
      <c r="V241" s="79">
        <f>IF(U241="","",IF(U241&lt;AsOf,1,IF(U241&lt;=AsOf+AlertDays,2,IF(U241&lt;=AsOf+2*AlertDays,3,""))))</f>
        <v/>
      </c>
      <c r="W241" s="79">
        <f>IF(V241="","",IF(O241="OVERDUE","Overdue payment: ","Payment due: ")&amp;B241&amp;" — "&amp;C241&amp;" ("&amp;CurSym&amp;" "&amp;FIXED(S241,0)&amp;")")</f>
        <v/>
      </c>
      <c r="Z241" s="116">
        <f>IF('Contractors'!B241="","",'Contractors'!B241)</f>
        <v/>
      </c>
      <c r="AA241" s="77">
        <f>IF(Z241="","",'Contractors'!K241)</f>
        <v/>
      </c>
      <c r="AB241" s="77">
        <f>IF(Z241="","",SUMIFS($L$6:$L$1005,$B$6:$B$1005,Z241))</f>
        <v/>
      </c>
      <c r="AC241" s="77">
        <f>IF(Z241="","",SUMIFS($N$6:$N$1005,$B$6:$B$1005,Z241))</f>
        <v/>
      </c>
      <c r="AD241" s="76">
        <f>IF(Z241="","",AA241-AC241)</f>
        <v/>
      </c>
      <c r="AE241" s="117">
        <f>IF(Z241="","",IFERROR(1/SUMPRODUCT(MAX(($B$6:$B$1005=Z241)*$T$6:$T$1005)),""))</f>
        <v/>
      </c>
      <c r="AF241" s="77">
        <f>IF(AE241="","",SUMIFS($S$6:$S$1005,$B$6:$B$1005,Z241,$I$6:$I$1005,AE241))</f>
        <v/>
      </c>
    </row>
    <row r="242" ht="20" customHeight="1">
      <c r="B242" s="72" t="n"/>
      <c r="C242" s="72" t="n"/>
      <c r="D242" s="72" t="n"/>
      <c r="E242" s="72" t="n"/>
      <c r="F242" s="110" t="n"/>
      <c r="G242" s="73" t="n"/>
      <c r="H242" s="75">
        <f>IF(B242="","",IF(G242&lt;&gt;"",G242,IF(F242&lt;&gt;"",F242*IFERROR(INDEX('Contractors'!$I$6:$I$1005,MATCH(B242,'Contractors'!$B$6:$B$1005,0)),0),"")))</f>
        <v/>
      </c>
      <c r="I242" s="109" t="n"/>
      <c r="J242" s="72" t="n"/>
      <c r="K242" s="109" t="n"/>
      <c r="L242" s="73" t="n"/>
      <c r="M242" s="109" t="n"/>
      <c r="N242" s="73" t="n"/>
      <c r="O242" s="107">
        <f>IF(B242="","",IF(M242&lt;&gt;"","Paid",IF(AND(I242&lt;&gt;"",I242&lt;AsOf),"OVERDUE",IF(OR(K242&lt;&gt;"",L242&lt;&gt;""),"Invoiced","Scheduled"))))</f>
        <v/>
      </c>
      <c r="P242" s="115">
        <f>IF(B242="","",IF(E242&lt;&gt;"",E242,IFERROR(INDEX('Contractors'!$D$6:$D$1005,MATCH(B242,'Contractors'!$B$6:$B$1005,0)),"")))</f>
        <v/>
      </c>
      <c r="Q242" s="79">
        <f>IF(B242="","",IF(D242&lt;&gt;"",D242,IFERROR(INDEX('Contractors'!$E$6:$E$1005,MATCH(B242,'Contractors'!$B$6:$B$1005,0)),"")))</f>
        <v/>
      </c>
      <c r="R242" s="79">
        <f>IF(O242="","",IF(O242="OVERDUE",2,IF(O242="Paid",0,IF(AND(I242&lt;&gt;"",I242&lt;=AsOf+AlertDays),1,0))))</f>
        <v/>
      </c>
      <c r="S242" s="79">
        <f>IF(AND(B242&lt;&gt;"",M242="",I242&lt;&gt;""),IF(L242&lt;&gt;"",L242,IF(H242="",0,H242)),0)</f>
        <v/>
      </c>
      <c r="T242" s="79">
        <f>IF(AND(B242&lt;&gt;"",M242="",I242&lt;&gt;""),1/I242,0)</f>
        <v/>
      </c>
      <c r="U242" s="112">
        <f>IF(AND(B242&lt;&gt;"",M242="",I242&lt;&gt;""),I242,"")</f>
        <v/>
      </c>
      <c r="V242" s="79">
        <f>IF(U242="","",IF(U242&lt;AsOf,1,IF(U242&lt;=AsOf+AlertDays,2,IF(U242&lt;=AsOf+2*AlertDays,3,""))))</f>
        <v/>
      </c>
      <c r="W242" s="79">
        <f>IF(V242="","",IF(O242="OVERDUE","Overdue payment: ","Payment due: ")&amp;B242&amp;" — "&amp;C242&amp;" ("&amp;CurSym&amp;" "&amp;FIXED(S242,0)&amp;")")</f>
        <v/>
      </c>
      <c r="Z242" s="116">
        <f>IF('Contractors'!B242="","",'Contractors'!B242)</f>
        <v/>
      </c>
      <c r="AA242" s="77">
        <f>IF(Z242="","",'Contractors'!K242)</f>
        <v/>
      </c>
      <c r="AB242" s="77">
        <f>IF(Z242="","",SUMIFS($L$6:$L$1005,$B$6:$B$1005,Z242))</f>
        <v/>
      </c>
      <c r="AC242" s="77">
        <f>IF(Z242="","",SUMIFS($N$6:$N$1005,$B$6:$B$1005,Z242))</f>
        <v/>
      </c>
      <c r="AD242" s="76">
        <f>IF(Z242="","",AA242-AC242)</f>
        <v/>
      </c>
      <c r="AE242" s="117">
        <f>IF(Z242="","",IFERROR(1/SUMPRODUCT(MAX(($B$6:$B$1005=Z242)*$T$6:$T$1005)),""))</f>
        <v/>
      </c>
      <c r="AF242" s="77">
        <f>IF(AE242="","",SUMIFS($S$6:$S$1005,$B$6:$B$1005,Z242,$I$6:$I$1005,AE242))</f>
        <v/>
      </c>
    </row>
    <row r="243" ht="20" customHeight="1">
      <c r="B243" s="72" t="n"/>
      <c r="C243" s="72" t="n"/>
      <c r="D243" s="72" t="n"/>
      <c r="E243" s="72" t="n"/>
      <c r="F243" s="110" t="n"/>
      <c r="G243" s="73" t="n"/>
      <c r="H243" s="75">
        <f>IF(B243="","",IF(G243&lt;&gt;"",G243,IF(F243&lt;&gt;"",F243*IFERROR(INDEX('Contractors'!$I$6:$I$1005,MATCH(B243,'Contractors'!$B$6:$B$1005,0)),0),"")))</f>
        <v/>
      </c>
      <c r="I243" s="109" t="n"/>
      <c r="J243" s="72" t="n"/>
      <c r="K243" s="109" t="n"/>
      <c r="L243" s="73" t="n"/>
      <c r="M243" s="109" t="n"/>
      <c r="N243" s="73" t="n"/>
      <c r="O243" s="107">
        <f>IF(B243="","",IF(M243&lt;&gt;"","Paid",IF(AND(I243&lt;&gt;"",I243&lt;AsOf),"OVERDUE",IF(OR(K243&lt;&gt;"",L243&lt;&gt;""),"Invoiced","Scheduled"))))</f>
        <v/>
      </c>
      <c r="P243" s="115">
        <f>IF(B243="","",IF(E243&lt;&gt;"",E243,IFERROR(INDEX('Contractors'!$D$6:$D$1005,MATCH(B243,'Contractors'!$B$6:$B$1005,0)),"")))</f>
        <v/>
      </c>
      <c r="Q243" s="79">
        <f>IF(B243="","",IF(D243&lt;&gt;"",D243,IFERROR(INDEX('Contractors'!$E$6:$E$1005,MATCH(B243,'Contractors'!$B$6:$B$1005,0)),"")))</f>
        <v/>
      </c>
      <c r="R243" s="79">
        <f>IF(O243="","",IF(O243="OVERDUE",2,IF(O243="Paid",0,IF(AND(I243&lt;&gt;"",I243&lt;=AsOf+AlertDays),1,0))))</f>
        <v/>
      </c>
      <c r="S243" s="79">
        <f>IF(AND(B243&lt;&gt;"",M243="",I243&lt;&gt;""),IF(L243&lt;&gt;"",L243,IF(H243="",0,H243)),0)</f>
        <v/>
      </c>
      <c r="T243" s="79">
        <f>IF(AND(B243&lt;&gt;"",M243="",I243&lt;&gt;""),1/I243,0)</f>
        <v/>
      </c>
      <c r="U243" s="112">
        <f>IF(AND(B243&lt;&gt;"",M243="",I243&lt;&gt;""),I243,"")</f>
        <v/>
      </c>
      <c r="V243" s="79">
        <f>IF(U243="","",IF(U243&lt;AsOf,1,IF(U243&lt;=AsOf+AlertDays,2,IF(U243&lt;=AsOf+2*AlertDays,3,""))))</f>
        <v/>
      </c>
      <c r="W243" s="79">
        <f>IF(V243="","",IF(O243="OVERDUE","Overdue payment: ","Payment due: ")&amp;B243&amp;" — "&amp;C243&amp;" ("&amp;CurSym&amp;" "&amp;FIXED(S243,0)&amp;")")</f>
        <v/>
      </c>
      <c r="Z243" s="116">
        <f>IF('Contractors'!B243="","",'Contractors'!B243)</f>
        <v/>
      </c>
      <c r="AA243" s="77">
        <f>IF(Z243="","",'Contractors'!K243)</f>
        <v/>
      </c>
      <c r="AB243" s="77">
        <f>IF(Z243="","",SUMIFS($L$6:$L$1005,$B$6:$B$1005,Z243))</f>
        <v/>
      </c>
      <c r="AC243" s="77">
        <f>IF(Z243="","",SUMIFS($N$6:$N$1005,$B$6:$B$1005,Z243))</f>
        <v/>
      </c>
      <c r="AD243" s="76">
        <f>IF(Z243="","",AA243-AC243)</f>
        <v/>
      </c>
      <c r="AE243" s="117">
        <f>IF(Z243="","",IFERROR(1/SUMPRODUCT(MAX(($B$6:$B$1005=Z243)*$T$6:$T$1005)),""))</f>
        <v/>
      </c>
      <c r="AF243" s="77">
        <f>IF(AE243="","",SUMIFS($S$6:$S$1005,$B$6:$B$1005,Z243,$I$6:$I$1005,AE243))</f>
        <v/>
      </c>
    </row>
    <row r="244" ht="20" customHeight="1">
      <c r="B244" s="72" t="n"/>
      <c r="C244" s="72" t="n"/>
      <c r="D244" s="72" t="n"/>
      <c r="E244" s="72" t="n"/>
      <c r="F244" s="110" t="n"/>
      <c r="G244" s="73" t="n"/>
      <c r="H244" s="75">
        <f>IF(B244="","",IF(G244&lt;&gt;"",G244,IF(F244&lt;&gt;"",F244*IFERROR(INDEX('Contractors'!$I$6:$I$1005,MATCH(B244,'Contractors'!$B$6:$B$1005,0)),0),"")))</f>
        <v/>
      </c>
      <c r="I244" s="109" t="n"/>
      <c r="J244" s="72" t="n"/>
      <c r="K244" s="109" t="n"/>
      <c r="L244" s="73" t="n"/>
      <c r="M244" s="109" t="n"/>
      <c r="N244" s="73" t="n"/>
      <c r="O244" s="107">
        <f>IF(B244="","",IF(M244&lt;&gt;"","Paid",IF(AND(I244&lt;&gt;"",I244&lt;AsOf),"OVERDUE",IF(OR(K244&lt;&gt;"",L244&lt;&gt;""),"Invoiced","Scheduled"))))</f>
        <v/>
      </c>
      <c r="P244" s="115">
        <f>IF(B244="","",IF(E244&lt;&gt;"",E244,IFERROR(INDEX('Contractors'!$D$6:$D$1005,MATCH(B244,'Contractors'!$B$6:$B$1005,0)),"")))</f>
        <v/>
      </c>
      <c r="Q244" s="79">
        <f>IF(B244="","",IF(D244&lt;&gt;"",D244,IFERROR(INDEX('Contractors'!$E$6:$E$1005,MATCH(B244,'Contractors'!$B$6:$B$1005,0)),"")))</f>
        <v/>
      </c>
      <c r="R244" s="79">
        <f>IF(O244="","",IF(O244="OVERDUE",2,IF(O244="Paid",0,IF(AND(I244&lt;&gt;"",I244&lt;=AsOf+AlertDays),1,0))))</f>
        <v/>
      </c>
      <c r="S244" s="79">
        <f>IF(AND(B244&lt;&gt;"",M244="",I244&lt;&gt;""),IF(L244&lt;&gt;"",L244,IF(H244="",0,H244)),0)</f>
        <v/>
      </c>
      <c r="T244" s="79">
        <f>IF(AND(B244&lt;&gt;"",M244="",I244&lt;&gt;""),1/I244,0)</f>
        <v/>
      </c>
      <c r="U244" s="112">
        <f>IF(AND(B244&lt;&gt;"",M244="",I244&lt;&gt;""),I244,"")</f>
        <v/>
      </c>
      <c r="V244" s="79">
        <f>IF(U244="","",IF(U244&lt;AsOf,1,IF(U244&lt;=AsOf+AlertDays,2,IF(U244&lt;=AsOf+2*AlertDays,3,""))))</f>
        <v/>
      </c>
      <c r="W244" s="79">
        <f>IF(V244="","",IF(O244="OVERDUE","Overdue payment: ","Payment due: ")&amp;B244&amp;" — "&amp;C244&amp;" ("&amp;CurSym&amp;" "&amp;FIXED(S244,0)&amp;")")</f>
        <v/>
      </c>
      <c r="Z244" s="116">
        <f>IF('Contractors'!B244="","",'Contractors'!B244)</f>
        <v/>
      </c>
      <c r="AA244" s="77">
        <f>IF(Z244="","",'Contractors'!K244)</f>
        <v/>
      </c>
      <c r="AB244" s="77">
        <f>IF(Z244="","",SUMIFS($L$6:$L$1005,$B$6:$B$1005,Z244))</f>
        <v/>
      </c>
      <c r="AC244" s="77">
        <f>IF(Z244="","",SUMIFS($N$6:$N$1005,$B$6:$B$1005,Z244))</f>
        <v/>
      </c>
      <c r="AD244" s="76">
        <f>IF(Z244="","",AA244-AC244)</f>
        <v/>
      </c>
      <c r="AE244" s="117">
        <f>IF(Z244="","",IFERROR(1/SUMPRODUCT(MAX(($B$6:$B$1005=Z244)*$T$6:$T$1005)),""))</f>
        <v/>
      </c>
      <c r="AF244" s="77">
        <f>IF(AE244="","",SUMIFS($S$6:$S$1005,$B$6:$B$1005,Z244,$I$6:$I$1005,AE244))</f>
        <v/>
      </c>
    </row>
    <row r="245" ht="20" customHeight="1">
      <c r="B245" s="72" t="n"/>
      <c r="C245" s="72" t="n"/>
      <c r="D245" s="72" t="n"/>
      <c r="E245" s="72" t="n"/>
      <c r="F245" s="110" t="n"/>
      <c r="G245" s="73" t="n"/>
      <c r="H245" s="75">
        <f>IF(B245="","",IF(G245&lt;&gt;"",G245,IF(F245&lt;&gt;"",F245*IFERROR(INDEX('Contractors'!$I$6:$I$1005,MATCH(B245,'Contractors'!$B$6:$B$1005,0)),0),"")))</f>
        <v/>
      </c>
      <c r="I245" s="109" t="n"/>
      <c r="J245" s="72" t="n"/>
      <c r="K245" s="109" t="n"/>
      <c r="L245" s="73" t="n"/>
      <c r="M245" s="109" t="n"/>
      <c r="N245" s="73" t="n"/>
      <c r="O245" s="107">
        <f>IF(B245="","",IF(M245&lt;&gt;"","Paid",IF(AND(I245&lt;&gt;"",I245&lt;AsOf),"OVERDUE",IF(OR(K245&lt;&gt;"",L245&lt;&gt;""),"Invoiced","Scheduled"))))</f>
        <v/>
      </c>
      <c r="P245" s="115">
        <f>IF(B245="","",IF(E245&lt;&gt;"",E245,IFERROR(INDEX('Contractors'!$D$6:$D$1005,MATCH(B245,'Contractors'!$B$6:$B$1005,0)),"")))</f>
        <v/>
      </c>
      <c r="Q245" s="79">
        <f>IF(B245="","",IF(D245&lt;&gt;"",D245,IFERROR(INDEX('Contractors'!$E$6:$E$1005,MATCH(B245,'Contractors'!$B$6:$B$1005,0)),"")))</f>
        <v/>
      </c>
      <c r="R245" s="79">
        <f>IF(O245="","",IF(O245="OVERDUE",2,IF(O245="Paid",0,IF(AND(I245&lt;&gt;"",I245&lt;=AsOf+AlertDays),1,0))))</f>
        <v/>
      </c>
      <c r="S245" s="79">
        <f>IF(AND(B245&lt;&gt;"",M245="",I245&lt;&gt;""),IF(L245&lt;&gt;"",L245,IF(H245="",0,H245)),0)</f>
        <v/>
      </c>
      <c r="T245" s="79">
        <f>IF(AND(B245&lt;&gt;"",M245="",I245&lt;&gt;""),1/I245,0)</f>
        <v/>
      </c>
      <c r="U245" s="112">
        <f>IF(AND(B245&lt;&gt;"",M245="",I245&lt;&gt;""),I245,"")</f>
        <v/>
      </c>
      <c r="V245" s="79">
        <f>IF(U245="","",IF(U245&lt;AsOf,1,IF(U245&lt;=AsOf+AlertDays,2,IF(U245&lt;=AsOf+2*AlertDays,3,""))))</f>
        <v/>
      </c>
      <c r="W245" s="79">
        <f>IF(V245="","",IF(O245="OVERDUE","Overdue payment: ","Payment due: ")&amp;B245&amp;" — "&amp;C245&amp;" ("&amp;CurSym&amp;" "&amp;FIXED(S245,0)&amp;")")</f>
        <v/>
      </c>
      <c r="Z245" s="116">
        <f>IF('Contractors'!B245="","",'Contractors'!B245)</f>
        <v/>
      </c>
      <c r="AA245" s="77">
        <f>IF(Z245="","",'Contractors'!K245)</f>
        <v/>
      </c>
      <c r="AB245" s="77">
        <f>IF(Z245="","",SUMIFS($L$6:$L$1005,$B$6:$B$1005,Z245))</f>
        <v/>
      </c>
      <c r="AC245" s="77">
        <f>IF(Z245="","",SUMIFS($N$6:$N$1005,$B$6:$B$1005,Z245))</f>
        <v/>
      </c>
      <c r="AD245" s="76">
        <f>IF(Z245="","",AA245-AC245)</f>
        <v/>
      </c>
      <c r="AE245" s="117">
        <f>IF(Z245="","",IFERROR(1/SUMPRODUCT(MAX(($B$6:$B$1005=Z245)*$T$6:$T$1005)),""))</f>
        <v/>
      </c>
      <c r="AF245" s="77">
        <f>IF(AE245="","",SUMIFS($S$6:$S$1005,$B$6:$B$1005,Z245,$I$6:$I$1005,AE245))</f>
        <v/>
      </c>
    </row>
    <row r="246" ht="20" customHeight="1">
      <c r="B246" s="72" t="n"/>
      <c r="C246" s="72" t="n"/>
      <c r="D246" s="72" t="n"/>
      <c r="E246" s="72" t="n"/>
      <c r="F246" s="110" t="n"/>
      <c r="G246" s="73" t="n"/>
      <c r="H246" s="75">
        <f>IF(B246="","",IF(G246&lt;&gt;"",G246,IF(F246&lt;&gt;"",F246*IFERROR(INDEX('Contractors'!$I$6:$I$1005,MATCH(B246,'Contractors'!$B$6:$B$1005,0)),0),"")))</f>
        <v/>
      </c>
      <c r="I246" s="109" t="n"/>
      <c r="J246" s="72" t="n"/>
      <c r="K246" s="109" t="n"/>
      <c r="L246" s="73" t="n"/>
      <c r="M246" s="109" t="n"/>
      <c r="N246" s="73" t="n"/>
      <c r="O246" s="107">
        <f>IF(B246="","",IF(M246&lt;&gt;"","Paid",IF(AND(I246&lt;&gt;"",I246&lt;AsOf),"OVERDUE",IF(OR(K246&lt;&gt;"",L246&lt;&gt;""),"Invoiced","Scheduled"))))</f>
        <v/>
      </c>
      <c r="P246" s="115">
        <f>IF(B246="","",IF(E246&lt;&gt;"",E246,IFERROR(INDEX('Contractors'!$D$6:$D$1005,MATCH(B246,'Contractors'!$B$6:$B$1005,0)),"")))</f>
        <v/>
      </c>
      <c r="Q246" s="79">
        <f>IF(B246="","",IF(D246&lt;&gt;"",D246,IFERROR(INDEX('Contractors'!$E$6:$E$1005,MATCH(B246,'Contractors'!$B$6:$B$1005,0)),"")))</f>
        <v/>
      </c>
      <c r="R246" s="79">
        <f>IF(O246="","",IF(O246="OVERDUE",2,IF(O246="Paid",0,IF(AND(I246&lt;&gt;"",I246&lt;=AsOf+AlertDays),1,0))))</f>
        <v/>
      </c>
      <c r="S246" s="79">
        <f>IF(AND(B246&lt;&gt;"",M246="",I246&lt;&gt;""),IF(L246&lt;&gt;"",L246,IF(H246="",0,H246)),0)</f>
        <v/>
      </c>
      <c r="T246" s="79">
        <f>IF(AND(B246&lt;&gt;"",M246="",I246&lt;&gt;""),1/I246,0)</f>
        <v/>
      </c>
      <c r="U246" s="112">
        <f>IF(AND(B246&lt;&gt;"",M246="",I246&lt;&gt;""),I246,"")</f>
        <v/>
      </c>
      <c r="V246" s="79">
        <f>IF(U246="","",IF(U246&lt;AsOf,1,IF(U246&lt;=AsOf+AlertDays,2,IF(U246&lt;=AsOf+2*AlertDays,3,""))))</f>
        <v/>
      </c>
      <c r="W246" s="79">
        <f>IF(V246="","",IF(O246="OVERDUE","Overdue payment: ","Payment due: ")&amp;B246&amp;" — "&amp;C246&amp;" ("&amp;CurSym&amp;" "&amp;FIXED(S246,0)&amp;")")</f>
        <v/>
      </c>
      <c r="Z246" s="116">
        <f>IF('Contractors'!B246="","",'Contractors'!B246)</f>
        <v/>
      </c>
      <c r="AA246" s="77">
        <f>IF(Z246="","",'Contractors'!K246)</f>
        <v/>
      </c>
      <c r="AB246" s="77">
        <f>IF(Z246="","",SUMIFS($L$6:$L$1005,$B$6:$B$1005,Z246))</f>
        <v/>
      </c>
      <c r="AC246" s="77">
        <f>IF(Z246="","",SUMIFS($N$6:$N$1005,$B$6:$B$1005,Z246))</f>
        <v/>
      </c>
      <c r="AD246" s="76">
        <f>IF(Z246="","",AA246-AC246)</f>
        <v/>
      </c>
      <c r="AE246" s="117">
        <f>IF(Z246="","",IFERROR(1/SUMPRODUCT(MAX(($B$6:$B$1005=Z246)*$T$6:$T$1005)),""))</f>
        <v/>
      </c>
      <c r="AF246" s="77">
        <f>IF(AE246="","",SUMIFS($S$6:$S$1005,$B$6:$B$1005,Z246,$I$6:$I$1005,AE246))</f>
        <v/>
      </c>
    </row>
    <row r="247" ht="20" customHeight="1">
      <c r="B247" s="72" t="n"/>
      <c r="C247" s="72" t="n"/>
      <c r="D247" s="72" t="n"/>
      <c r="E247" s="72" t="n"/>
      <c r="F247" s="110" t="n"/>
      <c r="G247" s="73" t="n"/>
      <c r="H247" s="75">
        <f>IF(B247="","",IF(G247&lt;&gt;"",G247,IF(F247&lt;&gt;"",F247*IFERROR(INDEX('Contractors'!$I$6:$I$1005,MATCH(B247,'Contractors'!$B$6:$B$1005,0)),0),"")))</f>
        <v/>
      </c>
      <c r="I247" s="109" t="n"/>
      <c r="J247" s="72" t="n"/>
      <c r="K247" s="109" t="n"/>
      <c r="L247" s="73" t="n"/>
      <c r="M247" s="109" t="n"/>
      <c r="N247" s="73" t="n"/>
      <c r="O247" s="107">
        <f>IF(B247="","",IF(M247&lt;&gt;"","Paid",IF(AND(I247&lt;&gt;"",I247&lt;AsOf),"OVERDUE",IF(OR(K247&lt;&gt;"",L247&lt;&gt;""),"Invoiced","Scheduled"))))</f>
        <v/>
      </c>
      <c r="P247" s="115">
        <f>IF(B247="","",IF(E247&lt;&gt;"",E247,IFERROR(INDEX('Contractors'!$D$6:$D$1005,MATCH(B247,'Contractors'!$B$6:$B$1005,0)),"")))</f>
        <v/>
      </c>
      <c r="Q247" s="79">
        <f>IF(B247="","",IF(D247&lt;&gt;"",D247,IFERROR(INDEX('Contractors'!$E$6:$E$1005,MATCH(B247,'Contractors'!$B$6:$B$1005,0)),"")))</f>
        <v/>
      </c>
      <c r="R247" s="79">
        <f>IF(O247="","",IF(O247="OVERDUE",2,IF(O247="Paid",0,IF(AND(I247&lt;&gt;"",I247&lt;=AsOf+AlertDays),1,0))))</f>
        <v/>
      </c>
      <c r="S247" s="79">
        <f>IF(AND(B247&lt;&gt;"",M247="",I247&lt;&gt;""),IF(L247&lt;&gt;"",L247,IF(H247="",0,H247)),0)</f>
        <v/>
      </c>
      <c r="T247" s="79">
        <f>IF(AND(B247&lt;&gt;"",M247="",I247&lt;&gt;""),1/I247,0)</f>
        <v/>
      </c>
      <c r="U247" s="112">
        <f>IF(AND(B247&lt;&gt;"",M247="",I247&lt;&gt;""),I247,"")</f>
        <v/>
      </c>
      <c r="V247" s="79">
        <f>IF(U247="","",IF(U247&lt;AsOf,1,IF(U247&lt;=AsOf+AlertDays,2,IF(U247&lt;=AsOf+2*AlertDays,3,""))))</f>
        <v/>
      </c>
      <c r="W247" s="79">
        <f>IF(V247="","",IF(O247="OVERDUE","Overdue payment: ","Payment due: ")&amp;B247&amp;" — "&amp;C247&amp;" ("&amp;CurSym&amp;" "&amp;FIXED(S247,0)&amp;")")</f>
        <v/>
      </c>
      <c r="Z247" s="116">
        <f>IF('Contractors'!B247="","",'Contractors'!B247)</f>
        <v/>
      </c>
      <c r="AA247" s="77">
        <f>IF(Z247="","",'Contractors'!K247)</f>
        <v/>
      </c>
      <c r="AB247" s="77">
        <f>IF(Z247="","",SUMIFS($L$6:$L$1005,$B$6:$B$1005,Z247))</f>
        <v/>
      </c>
      <c r="AC247" s="77">
        <f>IF(Z247="","",SUMIFS($N$6:$N$1005,$B$6:$B$1005,Z247))</f>
        <v/>
      </c>
      <c r="AD247" s="76">
        <f>IF(Z247="","",AA247-AC247)</f>
        <v/>
      </c>
      <c r="AE247" s="117">
        <f>IF(Z247="","",IFERROR(1/SUMPRODUCT(MAX(($B$6:$B$1005=Z247)*$T$6:$T$1005)),""))</f>
        <v/>
      </c>
      <c r="AF247" s="77">
        <f>IF(AE247="","",SUMIFS($S$6:$S$1005,$B$6:$B$1005,Z247,$I$6:$I$1005,AE247))</f>
        <v/>
      </c>
    </row>
    <row r="248" ht="20" customHeight="1">
      <c r="B248" s="72" t="n"/>
      <c r="C248" s="72" t="n"/>
      <c r="D248" s="72" t="n"/>
      <c r="E248" s="72" t="n"/>
      <c r="F248" s="110" t="n"/>
      <c r="G248" s="73" t="n"/>
      <c r="H248" s="75">
        <f>IF(B248="","",IF(G248&lt;&gt;"",G248,IF(F248&lt;&gt;"",F248*IFERROR(INDEX('Contractors'!$I$6:$I$1005,MATCH(B248,'Contractors'!$B$6:$B$1005,0)),0),"")))</f>
        <v/>
      </c>
      <c r="I248" s="109" t="n"/>
      <c r="J248" s="72" t="n"/>
      <c r="K248" s="109" t="n"/>
      <c r="L248" s="73" t="n"/>
      <c r="M248" s="109" t="n"/>
      <c r="N248" s="73" t="n"/>
      <c r="O248" s="107">
        <f>IF(B248="","",IF(M248&lt;&gt;"","Paid",IF(AND(I248&lt;&gt;"",I248&lt;AsOf),"OVERDUE",IF(OR(K248&lt;&gt;"",L248&lt;&gt;""),"Invoiced","Scheduled"))))</f>
        <v/>
      </c>
      <c r="P248" s="115">
        <f>IF(B248="","",IF(E248&lt;&gt;"",E248,IFERROR(INDEX('Contractors'!$D$6:$D$1005,MATCH(B248,'Contractors'!$B$6:$B$1005,0)),"")))</f>
        <v/>
      </c>
      <c r="Q248" s="79">
        <f>IF(B248="","",IF(D248&lt;&gt;"",D248,IFERROR(INDEX('Contractors'!$E$6:$E$1005,MATCH(B248,'Contractors'!$B$6:$B$1005,0)),"")))</f>
        <v/>
      </c>
      <c r="R248" s="79">
        <f>IF(O248="","",IF(O248="OVERDUE",2,IF(O248="Paid",0,IF(AND(I248&lt;&gt;"",I248&lt;=AsOf+AlertDays),1,0))))</f>
        <v/>
      </c>
      <c r="S248" s="79">
        <f>IF(AND(B248&lt;&gt;"",M248="",I248&lt;&gt;""),IF(L248&lt;&gt;"",L248,IF(H248="",0,H248)),0)</f>
        <v/>
      </c>
      <c r="T248" s="79">
        <f>IF(AND(B248&lt;&gt;"",M248="",I248&lt;&gt;""),1/I248,0)</f>
        <v/>
      </c>
      <c r="U248" s="112">
        <f>IF(AND(B248&lt;&gt;"",M248="",I248&lt;&gt;""),I248,"")</f>
        <v/>
      </c>
      <c r="V248" s="79">
        <f>IF(U248="","",IF(U248&lt;AsOf,1,IF(U248&lt;=AsOf+AlertDays,2,IF(U248&lt;=AsOf+2*AlertDays,3,""))))</f>
        <v/>
      </c>
      <c r="W248" s="79">
        <f>IF(V248="","",IF(O248="OVERDUE","Overdue payment: ","Payment due: ")&amp;B248&amp;" — "&amp;C248&amp;" ("&amp;CurSym&amp;" "&amp;FIXED(S248,0)&amp;")")</f>
        <v/>
      </c>
      <c r="Z248" s="116">
        <f>IF('Contractors'!B248="","",'Contractors'!B248)</f>
        <v/>
      </c>
      <c r="AA248" s="77">
        <f>IF(Z248="","",'Contractors'!K248)</f>
        <v/>
      </c>
      <c r="AB248" s="77">
        <f>IF(Z248="","",SUMIFS($L$6:$L$1005,$B$6:$B$1005,Z248))</f>
        <v/>
      </c>
      <c r="AC248" s="77">
        <f>IF(Z248="","",SUMIFS($N$6:$N$1005,$B$6:$B$1005,Z248))</f>
        <v/>
      </c>
      <c r="AD248" s="76">
        <f>IF(Z248="","",AA248-AC248)</f>
        <v/>
      </c>
      <c r="AE248" s="117">
        <f>IF(Z248="","",IFERROR(1/SUMPRODUCT(MAX(($B$6:$B$1005=Z248)*$T$6:$T$1005)),""))</f>
        <v/>
      </c>
      <c r="AF248" s="77">
        <f>IF(AE248="","",SUMIFS($S$6:$S$1005,$B$6:$B$1005,Z248,$I$6:$I$1005,AE248))</f>
        <v/>
      </c>
    </row>
    <row r="249" ht="20" customHeight="1">
      <c r="B249" s="72" t="n"/>
      <c r="C249" s="72" t="n"/>
      <c r="D249" s="72" t="n"/>
      <c r="E249" s="72" t="n"/>
      <c r="F249" s="110" t="n"/>
      <c r="G249" s="73" t="n"/>
      <c r="H249" s="75">
        <f>IF(B249="","",IF(G249&lt;&gt;"",G249,IF(F249&lt;&gt;"",F249*IFERROR(INDEX('Contractors'!$I$6:$I$1005,MATCH(B249,'Contractors'!$B$6:$B$1005,0)),0),"")))</f>
        <v/>
      </c>
      <c r="I249" s="109" t="n"/>
      <c r="J249" s="72" t="n"/>
      <c r="K249" s="109" t="n"/>
      <c r="L249" s="73" t="n"/>
      <c r="M249" s="109" t="n"/>
      <c r="N249" s="73" t="n"/>
      <c r="O249" s="107">
        <f>IF(B249="","",IF(M249&lt;&gt;"","Paid",IF(AND(I249&lt;&gt;"",I249&lt;AsOf),"OVERDUE",IF(OR(K249&lt;&gt;"",L249&lt;&gt;""),"Invoiced","Scheduled"))))</f>
        <v/>
      </c>
      <c r="P249" s="115">
        <f>IF(B249="","",IF(E249&lt;&gt;"",E249,IFERROR(INDEX('Contractors'!$D$6:$D$1005,MATCH(B249,'Contractors'!$B$6:$B$1005,0)),"")))</f>
        <v/>
      </c>
      <c r="Q249" s="79">
        <f>IF(B249="","",IF(D249&lt;&gt;"",D249,IFERROR(INDEX('Contractors'!$E$6:$E$1005,MATCH(B249,'Contractors'!$B$6:$B$1005,0)),"")))</f>
        <v/>
      </c>
      <c r="R249" s="79">
        <f>IF(O249="","",IF(O249="OVERDUE",2,IF(O249="Paid",0,IF(AND(I249&lt;&gt;"",I249&lt;=AsOf+AlertDays),1,0))))</f>
        <v/>
      </c>
      <c r="S249" s="79">
        <f>IF(AND(B249&lt;&gt;"",M249="",I249&lt;&gt;""),IF(L249&lt;&gt;"",L249,IF(H249="",0,H249)),0)</f>
        <v/>
      </c>
      <c r="T249" s="79">
        <f>IF(AND(B249&lt;&gt;"",M249="",I249&lt;&gt;""),1/I249,0)</f>
        <v/>
      </c>
      <c r="U249" s="112">
        <f>IF(AND(B249&lt;&gt;"",M249="",I249&lt;&gt;""),I249,"")</f>
        <v/>
      </c>
      <c r="V249" s="79">
        <f>IF(U249="","",IF(U249&lt;AsOf,1,IF(U249&lt;=AsOf+AlertDays,2,IF(U249&lt;=AsOf+2*AlertDays,3,""))))</f>
        <v/>
      </c>
      <c r="W249" s="79">
        <f>IF(V249="","",IF(O249="OVERDUE","Overdue payment: ","Payment due: ")&amp;B249&amp;" — "&amp;C249&amp;" ("&amp;CurSym&amp;" "&amp;FIXED(S249,0)&amp;")")</f>
        <v/>
      </c>
      <c r="Z249" s="116">
        <f>IF('Contractors'!B249="","",'Contractors'!B249)</f>
        <v/>
      </c>
      <c r="AA249" s="77">
        <f>IF(Z249="","",'Contractors'!K249)</f>
        <v/>
      </c>
      <c r="AB249" s="77">
        <f>IF(Z249="","",SUMIFS($L$6:$L$1005,$B$6:$B$1005,Z249))</f>
        <v/>
      </c>
      <c r="AC249" s="77">
        <f>IF(Z249="","",SUMIFS($N$6:$N$1005,$B$6:$B$1005,Z249))</f>
        <v/>
      </c>
      <c r="AD249" s="76">
        <f>IF(Z249="","",AA249-AC249)</f>
        <v/>
      </c>
      <c r="AE249" s="117">
        <f>IF(Z249="","",IFERROR(1/SUMPRODUCT(MAX(($B$6:$B$1005=Z249)*$T$6:$T$1005)),""))</f>
        <v/>
      </c>
      <c r="AF249" s="77">
        <f>IF(AE249="","",SUMIFS($S$6:$S$1005,$B$6:$B$1005,Z249,$I$6:$I$1005,AE249))</f>
        <v/>
      </c>
    </row>
    <row r="250" ht="20" customHeight="1">
      <c r="B250" s="72" t="n"/>
      <c r="C250" s="72" t="n"/>
      <c r="D250" s="72" t="n"/>
      <c r="E250" s="72" t="n"/>
      <c r="F250" s="110" t="n"/>
      <c r="G250" s="73" t="n"/>
      <c r="H250" s="75">
        <f>IF(B250="","",IF(G250&lt;&gt;"",G250,IF(F250&lt;&gt;"",F250*IFERROR(INDEX('Contractors'!$I$6:$I$1005,MATCH(B250,'Contractors'!$B$6:$B$1005,0)),0),"")))</f>
        <v/>
      </c>
      <c r="I250" s="109" t="n"/>
      <c r="J250" s="72" t="n"/>
      <c r="K250" s="109" t="n"/>
      <c r="L250" s="73" t="n"/>
      <c r="M250" s="109" t="n"/>
      <c r="N250" s="73" t="n"/>
      <c r="O250" s="107">
        <f>IF(B250="","",IF(M250&lt;&gt;"","Paid",IF(AND(I250&lt;&gt;"",I250&lt;AsOf),"OVERDUE",IF(OR(K250&lt;&gt;"",L250&lt;&gt;""),"Invoiced","Scheduled"))))</f>
        <v/>
      </c>
      <c r="P250" s="115">
        <f>IF(B250="","",IF(E250&lt;&gt;"",E250,IFERROR(INDEX('Contractors'!$D$6:$D$1005,MATCH(B250,'Contractors'!$B$6:$B$1005,0)),"")))</f>
        <v/>
      </c>
      <c r="Q250" s="79">
        <f>IF(B250="","",IF(D250&lt;&gt;"",D250,IFERROR(INDEX('Contractors'!$E$6:$E$1005,MATCH(B250,'Contractors'!$B$6:$B$1005,0)),"")))</f>
        <v/>
      </c>
      <c r="R250" s="79">
        <f>IF(O250="","",IF(O250="OVERDUE",2,IF(O250="Paid",0,IF(AND(I250&lt;&gt;"",I250&lt;=AsOf+AlertDays),1,0))))</f>
        <v/>
      </c>
      <c r="S250" s="79">
        <f>IF(AND(B250&lt;&gt;"",M250="",I250&lt;&gt;""),IF(L250&lt;&gt;"",L250,IF(H250="",0,H250)),0)</f>
        <v/>
      </c>
      <c r="T250" s="79">
        <f>IF(AND(B250&lt;&gt;"",M250="",I250&lt;&gt;""),1/I250,0)</f>
        <v/>
      </c>
      <c r="U250" s="112">
        <f>IF(AND(B250&lt;&gt;"",M250="",I250&lt;&gt;""),I250,"")</f>
        <v/>
      </c>
      <c r="V250" s="79">
        <f>IF(U250="","",IF(U250&lt;AsOf,1,IF(U250&lt;=AsOf+AlertDays,2,IF(U250&lt;=AsOf+2*AlertDays,3,""))))</f>
        <v/>
      </c>
      <c r="W250" s="79">
        <f>IF(V250="","",IF(O250="OVERDUE","Overdue payment: ","Payment due: ")&amp;B250&amp;" — "&amp;C250&amp;" ("&amp;CurSym&amp;" "&amp;FIXED(S250,0)&amp;")")</f>
        <v/>
      </c>
      <c r="Z250" s="116">
        <f>IF('Contractors'!B250="","",'Contractors'!B250)</f>
        <v/>
      </c>
      <c r="AA250" s="77">
        <f>IF(Z250="","",'Contractors'!K250)</f>
        <v/>
      </c>
      <c r="AB250" s="77">
        <f>IF(Z250="","",SUMIFS($L$6:$L$1005,$B$6:$B$1005,Z250))</f>
        <v/>
      </c>
      <c r="AC250" s="77">
        <f>IF(Z250="","",SUMIFS($N$6:$N$1005,$B$6:$B$1005,Z250))</f>
        <v/>
      </c>
      <c r="AD250" s="76">
        <f>IF(Z250="","",AA250-AC250)</f>
        <v/>
      </c>
      <c r="AE250" s="117">
        <f>IF(Z250="","",IFERROR(1/SUMPRODUCT(MAX(($B$6:$B$1005=Z250)*$T$6:$T$1005)),""))</f>
        <v/>
      </c>
      <c r="AF250" s="77">
        <f>IF(AE250="","",SUMIFS($S$6:$S$1005,$B$6:$B$1005,Z250,$I$6:$I$1005,AE250))</f>
        <v/>
      </c>
    </row>
    <row r="251" ht="20" customHeight="1">
      <c r="B251" s="72" t="n"/>
      <c r="C251" s="72" t="n"/>
      <c r="D251" s="72" t="n"/>
      <c r="E251" s="72" t="n"/>
      <c r="F251" s="110" t="n"/>
      <c r="G251" s="73" t="n"/>
      <c r="H251" s="75">
        <f>IF(B251="","",IF(G251&lt;&gt;"",G251,IF(F251&lt;&gt;"",F251*IFERROR(INDEX('Contractors'!$I$6:$I$1005,MATCH(B251,'Contractors'!$B$6:$B$1005,0)),0),"")))</f>
        <v/>
      </c>
      <c r="I251" s="109" t="n"/>
      <c r="J251" s="72" t="n"/>
      <c r="K251" s="109" t="n"/>
      <c r="L251" s="73" t="n"/>
      <c r="M251" s="109" t="n"/>
      <c r="N251" s="73" t="n"/>
      <c r="O251" s="107">
        <f>IF(B251="","",IF(M251&lt;&gt;"","Paid",IF(AND(I251&lt;&gt;"",I251&lt;AsOf),"OVERDUE",IF(OR(K251&lt;&gt;"",L251&lt;&gt;""),"Invoiced","Scheduled"))))</f>
        <v/>
      </c>
      <c r="P251" s="115">
        <f>IF(B251="","",IF(E251&lt;&gt;"",E251,IFERROR(INDEX('Contractors'!$D$6:$D$1005,MATCH(B251,'Contractors'!$B$6:$B$1005,0)),"")))</f>
        <v/>
      </c>
      <c r="Q251" s="79">
        <f>IF(B251="","",IF(D251&lt;&gt;"",D251,IFERROR(INDEX('Contractors'!$E$6:$E$1005,MATCH(B251,'Contractors'!$B$6:$B$1005,0)),"")))</f>
        <v/>
      </c>
      <c r="R251" s="79">
        <f>IF(O251="","",IF(O251="OVERDUE",2,IF(O251="Paid",0,IF(AND(I251&lt;&gt;"",I251&lt;=AsOf+AlertDays),1,0))))</f>
        <v/>
      </c>
      <c r="S251" s="79">
        <f>IF(AND(B251&lt;&gt;"",M251="",I251&lt;&gt;""),IF(L251&lt;&gt;"",L251,IF(H251="",0,H251)),0)</f>
        <v/>
      </c>
      <c r="T251" s="79">
        <f>IF(AND(B251&lt;&gt;"",M251="",I251&lt;&gt;""),1/I251,0)</f>
        <v/>
      </c>
      <c r="U251" s="112">
        <f>IF(AND(B251&lt;&gt;"",M251="",I251&lt;&gt;""),I251,"")</f>
        <v/>
      </c>
      <c r="V251" s="79">
        <f>IF(U251="","",IF(U251&lt;AsOf,1,IF(U251&lt;=AsOf+AlertDays,2,IF(U251&lt;=AsOf+2*AlertDays,3,""))))</f>
        <v/>
      </c>
      <c r="W251" s="79">
        <f>IF(V251="","",IF(O251="OVERDUE","Overdue payment: ","Payment due: ")&amp;B251&amp;" — "&amp;C251&amp;" ("&amp;CurSym&amp;" "&amp;FIXED(S251,0)&amp;")")</f>
        <v/>
      </c>
      <c r="Z251" s="116">
        <f>IF('Contractors'!B251="","",'Contractors'!B251)</f>
        <v/>
      </c>
      <c r="AA251" s="77">
        <f>IF(Z251="","",'Contractors'!K251)</f>
        <v/>
      </c>
      <c r="AB251" s="77">
        <f>IF(Z251="","",SUMIFS($L$6:$L$1005,$B$6:$B$1005,Z251))</f>
        <v/>
      </c>
      <c r="AC251" s="77">
        <f>IF(Z251="","",SUMIFS($N$6:$N$1005,$B$6:$B$1005,Z251))</f>
        <v/>
      </c>
      <c r="AD251" s="76">
        <f>IF(Z251="","",AA251-AC251)</f>
        <v/>
      </c>
      <c r="AE251" s="117">
        <f>IF(Z251="","",IFERROR(1/SUMPRODUCT(MAX(($B$6:$B$1005=Z251)*$T$6:$T$1005)),""))</f>
        <v/>
      </c>
      <c r="AF251" s="77">
        <f>IF(AE251="","",SUMIFS($S$6:$S$1005,$B$6:$B$1005,Z251,$I$6:$I$1005,AE251))</f>
        <v/>
      </c>
    </row>
    <row r="252" ht="20" customHeight="1">
      <c r="B252" s="72" t="n"/>
      <c r="C252" s="72" t="n"/>
      <c r="D252" s="72" t="n"/>
      <c r="E252" s="72" t="n"/>
      <c r="F252" s="110" t="n"/>
      <c r="G252" s="73" t="n"/>
      <c r="H252" s="75">
        <f>IF(B252="","",IF(G252&lt;&gt;"",G252,IF(F252&lt;&gt;"",F252*IFERROR(INDEX('Contractors'!$I$6:$I$1005,MATCH(B252,'Contractors'!$B$6:$B$1005,0)),0),"")))</f>
        <v/>
      </c>
      <c r="I252" s="109" t="n"/>
      <c r="J252" s="72" t="n"/>
      <c r="K252" s="109" t="n"/>
      <c r="L252" s="73" t="n"/>
      <c r="M252" s="109" t="n"/>
      <c r="N252" s="73" t="n"/>
      <c r="O252" s="107">
        <f>IF(B252="","",IF(M252&lt;&gt;"","Paid",IF(AND(I252&lt;&gt;"",I252&lt;AsOf),"OVERDUE",IF(OR(K252&lt;&gt;"",L252&lt;&gt;""),"Invoiced","Scheduled"))))</f>
        <v/>
      </c>
      <c r="P252" s="115">
        <f>IF(B252="","",IF(E252&lt;&gt;"",E252,IFERROR(INDEX('Contractors'!$D$6:$D$1005,MATCH(B252,'Contractors'!$B$6:$B$1005,0)),"")))</f>
        <v/>
      </c>
      <c r="Q252" s="79">
        <f>IF(B252="","",IF(D252&lt;&gt;"",D252,IFERROR(INDEX('Contractors'!$E$6:$E$1005,MATCH(B252,'Contractors'!$B$6:$B$1005,0)),"")))</f>
        <v/>
      </c>
      <c r="R252" s="79">
        <f>IF(O252="","",IF(O252="OVERDUE",2,IF(O252="Paid",0,IF(AND(I252&lt;&gt;"",I252&lt;=AsOf+AlertDays),1,0))))</f>
        <v/>
      </c>
      <c r="S252" s="79">
        <f>IF(AND(B252&lt;&gt;"",M252="",I252&lt;&gt;""),IF(L252&lt;&gt;"",L252,IF(H252="",0,H252)),0)</f>
        <v/>
      </c>
      <c r="T252" s="79">
        <f>IF(AND(B252&lt;&gt;"",M252="",I252&lt;&gt;""),1/I252,0)</f>
        <v/>
      </c>
      <c r="U252" s="112">
        <f>IF(AND(B252&lt;&gt;"",M252="",I252&lt;&gt;""),I252,"")</f>
        <v/>
      </c>
      <c r="V252" s="79">
        <f>IF(U252="","",IF(U252&lt;AsOf,1,IF(U252&lt;=AsOf+AlertDays,2,IF(U252&lt;=AsOf+2*AlertDays,3,""))))</f>
        <v/>
      </c>
      <c r="W252" s="79">
        <f>IF(V252="","",IF(O252="OVERDUE","Overdue payment: ","Payment due: ")&amp;B252&amp;" — "&amp;C252&amp;" ("&amp;CurSym&amp;" "&amp;FIXED(S252,0)&amp;")")</f>
        <v/>
      </c>
      <c r="Z252" s="116">
        <f>IF('Contractors'!B252="","",'Contractors'!B252)</f>
        <v/>
      </c>
      <c r="AA252" s="77">
        <f>IF(Z252="","",'Contractors'!K252)</f>
        <v/>
      </c>
      <c r="AB252" s="77">
        <f>IF(Z252="","",SUMIFS($L$6:$L$1005,$B$6:$B$1005,Z252))</f>
        <v/>
      </c>
      <c r="AC252" s="77">
        <f>IF(Z252="","",SUMIFS($N$6:$N$1005,$B$6:$B$1005,Z252))</f>
        <v/>
      </c>
      <c r="AD252" s="76">
        <f>IF(Z252="","",AA252-AC252)</f>
        <v/>
      </c>
      <c r="AE252" s="117">
        <f>IF(Z252="","",IFERROR(1/SUMPRODUCT(MAX(($B$6:$B$1005=Z252)*$T$6:$T$1005)),""))</f>
        <v/>
      </c>
      <c r="AF252" s="77">
        <f>IF(AE252="","",SUMIFS($S$6:$S$1005,$B$6:$B$1005,Z252,$I$6:$I$1005,AE252))</f>
        <v/>
      </c>
    </row>
    <row r="253" ht="20" customHeight="1">
      <c r="B253" s="72" t="n"/>
      <c r="C253" s="72" t="n"/>
      <c r="D253" s="72" t="n"/>
      <c r="E253" s="72" t="n"/>
      <c r="F253" s="110" t="n"/>
      <c r="G253" s="73" t="n"/>
      <c r="H253" s="75">
        <f>IF(B253="","",IF(G253&lt;&gt;"",G253,IF(F253&lt;&gt;"",F253*IFERROR(INDEX('Contractors'!$I$6:$I$1005,MATCH(B253,'Contractors'!$B$6:$B$1005,0)),0),"")))</f>
        <v/>
      </c>
      <c r="I253" s="109" t="n"/>
      <c r="J253" s="72" t="n"/>
      <c r="K253" s="109" t="n"/>
      <c r="L253" s="73" t="n"/>
      <c r="M253" s="109" t="n"/>
      <c r="N253" s="73" t="n"/>
      <c r="O253" s="107">
        <f>IF(B253="","",IF(M253&lt;&gt;"","Paid",IF(AND(I253&lt;&gt;"",I253&lt;AsOf),"OVERDUE",IF(OR(K253&lt;&gt;"",L253&lt;&gt;""),"Invoiced","Scheduled"))))</f>
        <v/>
      </c>
      <c r="P253" s="115">
        <f>IF(B253="","",IF(E253&lt;&gt;"",E253,IFERROR(INDEX('Contractors'!$D$6:$D$1005,MATCH(B253,'Contractors'!$B$6:$B$1005,0)),"")))</f>
        <v/>
      </c>
      <c r="Q253" s="79">
        <f>IF(B253="","",IF(D253&lt;&gt;"",D253,IFERROR(INDEX('Contractors'!$E$6:$E$1005,MATCH(B253,'Contractors'!$B$6:$B$1005,0)),"")))</f>
        <v/>
      </c>
      <c r="R253" s="79">
        <f>IF(O253="","",IF(O253="OVERDUE",2,IF(O253="Paid",0,IF(AND(I253&lt;&gt;"",I253&lt;=AsOf+AlertDays),1,0))))</f>
        <v/>
      </c>
      <c r="S253" s="79">
        <f>IF(AND(B253&lt;&gt;"",M253="",I253&lt;&gt;""),IF(L253&lt;&gt;"",L253,IF(H253="",0,H253)),0)</f>
        <v/>
      </c>
      <c r="T253" s="79">
        <f>IF(AND(B253&lt;&gt;"",M253="",I253&lt;&gt;""),1/I253,0)</f>
        <v/>
      </c>
      <c r="U253" s="112">
        <f>IF(AND(B253&lt;&gt;"",M253="",I253&lt;&gt;""),I253,"")</f>
        <v/>
      </c>
      <c r="V253" s="79">
        <f>IF(U253="","",IF(U253&lt;AsOf,1,IF(U253&lt;=AsOf+AlertDays,2,IF(U253&lt;=AsOf+2*AlertDays,3,""))))</f>
        <v/>
      </c>
      <c r="W253" s="79">
        <f>IF(V253="","",IF(O253="OVERDUE","Overdue payment: ","Payment due: ")&amp;B253&amp;" — "&amp;C253&amp;" ("&amp;CurSym&amp;" "&amp;FIXED(S253,0)&amp;")")</f>
        <v/>
      </c>
      <c r="Z253" s="116">
        <f>IF('Contractors'!B253="","",'Contractors'!B253)</f>
        <v/>
      </c>
      <c r="AA253" s="77">
        <f>IF(Z253="","",'Contractors'!K253)</f>
        <v/>
      </c>
      <c r="AB253" s="77">
        <f>IF(Z253="","",SUMIFS($L$6:$L$1005,$B$6:$B$1005,Z253))</f>
        <v/>
      </c>
      <c r="AC253" s="77">
        <f>IF(Z253="","",SUMIFS($N$6:$N$1005,$B$6:$B$1005,Z253))</f>
        <v/>
      </c>
      <c r="AD253" s="76">
        <f>IF(Z253="","",AA253-AC253)</f>
        <v/>
      </c>
      <c r="AE253" s="117">
        <f>IF(Z253="","",IFERROR(1/SUMPRODUCT(MAX(($B$6:$B$1005=Z253)*$T$6:$T$1005)),""))</f>
        <v/>
      </c>
      <c r="AF253" s="77">
        <f>IF(AE253="","",SUMIFS($S$6:$S$1005,$B$6:$B$1005,Z253,$I$6:$I$1005,AE253))</f>
        <v/>
      </c>
    </row>
    <row r="254" ht="20" customHeight="1">
      <c r="B254" s="72" t="n"/>
      <c r="C254" s="72" t="n"/>
      <c r="D254" s="72" t="n"/>
      <c r="E254" s="72" t="n"/>
      <c r="F254" s="110" t="n"/>
      <c r="G254" s="73" t="n"/>
      <c r="H254" s="75">
        <f>IF(B254="","",IF(G254&lt;&gt;"",G254,IF(F254&lt;&gt;"",F254*IFERROR(INDEX('Contractors'!$I$6:$I$1005,MATCH(B254,'Contractors'!$B$6:$B$1005,0)),0),"")))</f>
        <v/>
      </c>
      <c r="I254" s="109" t="n"/>
      <c r="J254" s="72" t="n"/>
      <c r="K254" s="109" t="n"/>
      <c r="L254" s="73" t="n"/>
      <c r="M254" s="109" t="n"/>
      <c r="N254" s="73" t="n"/>
      <c r="O254" s="107">
        <f>IF(B254="","",IF(M254&lt;&gt;"","Paid",IF(AND(I254&lt;&gt;"",I254&lt;AsOf),"OVERDUE",IF(OR(K254&lt;&gt;"",L254&lt;&gt;""),"Invoiced","Scheduled"))))</f>
        <v/>
      </c>
      <c r="P254" s="115">
        <f>IF(B254="","",IF(E254&lt;&gt;"",E254,IFERROR(INDEX('Contractors'!$D$6:$D$1005,MATCH(B254,'Contractors'!$B$6:$B$1005,0)),"")))</f>
        <v/>
      </c>
      <c r="Q254" s="79">
        <f>IF(B254="","",IF(D254&lt;&gt;"",D254,IFERROR(INDEX('Contractors'!$E$6:$E$1005,MATCH(B254,'Contractors'!$B$6:$B$1005,0)),"")))</f>
        <v/>
      </c>
      <c r="R254" s="79">
        <f>IF(O254="","",IF(O254="OVERDUE",2,IF(O254="Paid",0,IF(AND(I254&lt;&gt;"",I254&lt;=AsOf+AlertDays),1,0))))</f>
        <v/>
      </c>
      <c r="S254" s="79">
        <f>IF(AND(B254&lt;&gt;"",M254="",I254&lt;&gt;""),IF(L254&lt;&gt;"",L254,IF(H254="",0,H254)),0)</f>
        <v/>
      </c>
      <c r="T254" s="79">
        <f>IF(AND(B254&lt;&gt;"",M254="",I254&lt;&gt;""),1/I254,0)</f>
        <v/>
      </c>
      <c r="U254" s="112">
        <f>IF(AND(B254&lt;&gt;"",M254="",I254&lt;&gt;""),I254,"")</f>
        <v/>
      </c>
      <c r="V254" s="79">
        <f>IF(U254="","",IF(U254&lt;AsOf,1,IF(U254&lt;=AsOf+AlertDays,2,IF(U254&lt;=AsOf+2*AlertDays,3,""))))</f>
        <v/>
      </c>
      <c r="W254" s="79">
        <f>IF(V254="","",IF(O254="OVERDUE","Overdue payment: ","Payment due: ")&amp;B254&amp;" — "&amp;C254&amp;" ("&amp;CurSym&amp;" "&amp;FIXED(S254,0)&amp;")")</f>
        <v/>
      </c>
      <c r="Z254" s="116">
        <f>IF('Contractors'!B254="","",'Contractors'!B254)</f>
        <v/>
      </c>
      <c r="AA254" s="77">
        <f>IF(Z254="","",'Contractors'!K254)</f>
        <v/>
      </c>
      <c r="AB254" s="77">
        <f>IF(Z254="","",SUMIFS($L$6:$L$1005,$B$6:$B$1005,Z254))</f>
        <v/>
      </c>
      <c r="AC254" s="77">
        <f>IF(Z254="","",SUMIFS($N$6:$N$1005,$B$6:$B$1005,Z254))</f>
        <v/>
      </c>
      <c r="AD254" s="76">
        <f>IF(Z254="","",AA254-AC254)</f>
        <v/>
      </c>
      <c r="AE254" s="117">
        <f>IF(Z254="","",IFERROR(1/SUMPRODUCT(MAX(($B$6:$B$1005=Z254)*$T$6:$T$1005)),""))</f>
        <v/>
      </c>
      <c r="AF254" s="77">
        <f>IF(AE254="","",SUMIFS($S$6:$S$1005,$B$6:$B$1005,Z254,$I$6:$I$1005,AE254))</f>
        <v/>
      </c>
    </row>
    <row r="255" ht="20" customHeight="1">
      <c r="B255" s="72" t="n"/>
      <c r="C255" s="72" t="n"/>
      <c r="D255" s="72" t="n"/>
      <c r="E255" s="72" t="n"/>
      <c r="F255" s="110" t="n"/>
      <c r="G255" s="73" t="n"/>
      <c r="H255" s="75">
        <f>IF(B255="","",IF(G255&lt;&gt;"",G255,IF(F255&lt;&gt;"",F255*IFERROR(INDEX('Contractors'!$I$6:$I$1005,MATCH(B255,'Contractors'!$B$6:$B$1005,0)),0),"")))</f>
        <v/>
      </c>
      <c r="I255" s="109" t="n"/>
      <c r="J255" s="72" t="n"/>
      <c r="K255" s="109" t="n"/>
      <c r="L255" s="73" t="n"/>
      <c r="M255" s="109" t="n"/>
      <c r="N255" s="73" t="n"/>
      <c r="O255" s="107">
        <f>IF(B255="","",IF(M255&lt;&gt;"","Paid",IF(AND(I255&lt;&gt;"",I255&lt;AsOf),"OVERDUE",IF(OR(K255&lt;&gt;"",L255&lt;&gt;""),"Invoiced","Scheduled"))))</f>
        <v/>
      </c>
      <c r="P255" s="115">
        <f>IF(B255="","",IF(E255&lt;&gt;"",E255,IFERROR(INDEX('Contractors'!$D$6:$D$1005,MATCH(B255,'Contractors'!$B$6:$B$1005,0)),"")))</f>
        <v/>
      </c>
      <c r="Q255" s="79">
        <f>IF(B255="","",IF(D255&lt;&gt;"",D255,IFERROR(INDEX('Contractors'!$E$6:$E$1005,MATCH(B255,'Contractors'!$B$6:$B$1005,0)),"")))</f>
        <v/>
      </c>
      <c r="R255" s="79">
        <f>IF(O255="","",IF(O255="OVERDUE",2,IF(O255="Paid",0,IF(AND(I255&lt;&gt;"",I255&lt;=AsOf+AlertDays),1,0))))</f>
        <v/>
      </c>
      <c r="S255" s="79">
        <f>IF(AND(B255&lt;&gt;"",M255="",I255&lt;&gt;""),IF(L255&lt;&gt;"",L255,IF(H255="",0,H255)),0)</f>
        <v/>
      </c>
      <c r="T255" s="79">
        <f>IF(AND(B255&lt;&gt;"",M255="",I255&lt;&gt;""),1/I255,0)</f>
        <v/>
      </c>
      <c r="U255" s="112">
        <f>IF(AND(B255&lt;&gt;"",M255="",I255&lt;&gt;""),I255,"")</f>
        <v/>
      </c>
      <c r="V255" s="79">
        <f>IF(U255="","",IF(U255&lt;AsOf,1,IF(U255&lt;=AsOf+AlertDays,2,IF(U255&lt;=AsOf+2*AlertDays,3,""))))</f>
        <v/>
      </c>
      <c r="W255" s="79">
        <f>IF(V255="","",IF(O255="OVERDUE","Overdue payment: ","Payment due: ")&amp;B255&amp;" — "&amp;C255&amp;" ("&amp;CurSym&amp;" "&amp;FIXED(S255,0)&amp;")")</f>
        <v/>
      </c>
      <c r="Z255" s="116">
        <f>IF('Contractors'!B255="","",'Contractors'!B255)</f>
        <v/>
      </c>
      <c r="AA255" s="77">
        <f>IF(Z255="","",'Contractors'!K255)</f>
        <v/>
      </c>
      <c r="AB255" s="77">
        <f>IF(Z255="","",SUMIFS($L$6:$L$1005,$B$6:$B$1005,Z255))</f>
        <v/>
      </c>
      <c r="AC255" s="77">
        <f>IF(Z255="","",SUMIFS($N$6:$N$1005,$B$6:$B$1005,Z255))</f>
        <v/>
      </c>
      <c r="AD255" s="76">
        <f>IF(Z255="","",AA255-AC255)</f>
        <v/>
      </c>
      <c r="AE255" s="117">
        <f>IF(Z255="","",IFERROR(1/SUMPRODUCT(MAX(($B$6:$B$1005=Z255)*$T$6:$T$1005)),""))</f>
        <v/>
      </c>
      <c r="AF255" s="77">
        <f>IF(AE255="","",SUMIFS($S$6:$S$1005,$B$6:$B$1005,Z255,$I$6:$I$1005,AE255))</f>
        <v/>
      </c>
    </row>
    <row r="256" ht="20" customHeight="1">
      <c r="B256" s="72" t="n"/>
      <c r="C256" s="72" t="n"/>
      <c r="D256" s="72" t="n"/>
      <c r="E256" s="72" t="n"/>
      <c r="F256" s="110" t="n"/>
      <c r="G256" s="73" t="n"/>
      <c r="H256" s="75">
        <f>IF(B256="","",IF(G256&lt;&gt;"",G256,IF(F256&lt;&gt;"",F256*IFERROR(INDEX('Contractors'!$I$6:$I$1005,MATCH(B256,'Contractors'!$B$6:$B$1005,0)),0),"")))</f>
        <v/>
      </c>
      <c r="I256" s="109" t="n"/>
      <c r="J256" s="72" t="n"/>
      <c r="K256" s="109" t="n"/>
      <c r="L256" s="73" t="n"/>
      <c r="M256" s="109" t="n"/>
      <c r="N256" s="73" t="n"/>
      <c r="O256" s="107">
        <f>IF(B256="","",IF(M256&lt;&gt;"","Paid",IF(AND(I256&lt;&gt;"",I256&lt;AsOf),"OVERDUE",IF(OR(K256&lt;&gt;"",L256&lt;&gt;""),"Invoiced","Scheduled"))))</f>
        <v/>
      </c>
      <c r="P256" s="115">
        <f>IF(B256="","",IF(E256&lt;&gt;"",E256,IFERROR(INDEX('Contractors'!$D$6:$D$1005,MATCH(B256,'Contractors'!$B$6:$B$1005,0)),"")))</f>
        <v/>
      </c>
      <c r="Q256" s="79">
        <f>IF(B256="","",IF(D256&lt;&gt;"",D256,IFERROR(INDEX('Contractors'!$E$6:$E$1005,MATCH(B256,'Contractors'!$B$6:$B$1005,0)),"")))</f>
        <v/>
      </c>
      <c r="R256" s="79">
        <f>IF(O256="","",IF(O256="OVERDUE",2,IF(O256="Paid",0,IF(AND(I256&lt;&gt;"",I256&lt;=AsOf+AlertDays),1,0))))</f>
        <v/>
      </c>
      <c r="S256" s="79">
        <f>IF(AND(B256&lt;&gt;"",M256="",I256&lt;&gt;""),IF(L256&lt;&gt;"",L256,IF(H256="",0,H256)),0)</f>
        <v/>
      </c>
      <c r="T256" s="79">
        <f>IF(AND(B256&lt;&gt;"",M256="",I256&lt;&gt;""),1/I256,0)</f>
        <v/>
      </c>
      <c r="U256" s="112">
        <f>IF(AND(B256&lt;&gt;"",M256="",I256&lt;&gt;""),I256,"")</f>
        <v/>
      </c>
      <c r="V256" s="79">
        <f>IF(U256="","",IF(U256&lt;AsOf,1,IF(U256&lt;=AsOf+AlertDays,2,IF(U256&lt;=AsOf+2*AlertDays,3,""))))</f>
        <v/>
      </c>
      <c r="W256" s="79">
        <f>IF(V256="","",IF(O256="OVERDUE","Overdue payment: ","Payment due: ")&amp;B256&amp;" — "&amp;C256&amp;" ("&amp;CurSym&amp;" "&amp;FIXED(S256,0)&amp;")")</f>
        <v/>
      </c>
      <c r="Z256" s="116">
        <f>IF('Contractors'!B256="","",'Contractors'!B256)</f>
        <v/>
      </c>
      <c r="AA256" s="77">
        <f>IF(Z256="","",'Contractors'!K256)</f>
        <v/>
      </c>
      <c r="AB256" s="77">
        <f>IF(Z256="","",SUMIFS($L$6:$L$1005,$B$6:$B$1005,Z256))</f>
        <v/>
      </c>
      <c r="AC256" s="77">
        <f>IF(Z256="","",SUMIFS($N$6:$N$1005,$B$6:$B$1005,Z256))</f>
        <v/>
      </c>
      <c r="AD256" s="76">
        <f>IF(Z256="","",AA256-AC256)</f>
        <v/>
      </c>
      <c r="AE256" s="117">
        <f>IF(Z256="","",IFERROR(1/SUMPRODUCT(MAX(($B$6:$B$1005=Z256)*$T$6:$T$1005)),""))</f>
        <v/>
      </c>
      <c r="AF256" s="77">
        <f>IF(AE256="","",SUMIFS($S$6:$S$1005,$B$6:$B$1005,Z256,$I$6:$I$1005,AE256))</f>
        <v/>
      </c>
    </row>
    <row r="257" ht="20" customHeight="1">
      <c r="B257" s="72" t="n"/>
      <c r="C257" s="72" t="n"/>
      <c r="D257" s="72" t="n"/>
      <c r="E257" s="72" t="n"/>
      <c r="F257" s="110" t="n"/>
      <c r="G257" s="73" t="n"/>
      <c r="H257" s="75">
        <f>IF(B257="","",IF(G257&lt;&gt;"",G257,IF(F257&lt;&gt;"",F257*IFERROR(INDEX('Contractors'!$I$6:$I$1005,MATCH(B257,'Contractors'!$B$6:$B$1005,0)),0),"")))</f>
        <v/>
      </c>
      <c r="I257" s="109" t="n"/>
      <c r="J257" s="72" t="n"/>
      <c r="K257" s="109" t="n"/>
      <c r="L257" s="73" t="n"/>
      <c r="M257" s="109" t="n"/>
      <c r="N257" s="73" t="n"/>
      <c r="O257" s="107">
        <f>IF(B257="","",IF(M257&lt;&gt;"","Paid",IF(AND(I257&lt;&gt;"",I257&lt;AsOf),"OVERDUE",IF(OR(K257&lt;&gt;"",L257&lt;&gt;""),"Invoiced","Scheduled"))))</f>
        <v/>
      </c>
      <c r="P257" s="115">
        <f>IF(B257="","",IF(E257&lt;&gt;"",E257,IFERROR(INDEX('Contractors'!$D$6:$D$1005,MATCH(B257,'Contractors'!$B$6:$B$1005,0)),"")))</f>
        <v/>
      </c>
      <c r="Q257" s="79">
        <f>IF(B257="","",IF(D257&lt;&gt;"",D257,IFERROR(INDEX('Contractors'!$E$6:$E$1005,MATCH(B257,'Contractors'!$B$6:$B$1005,0)),"")))</f>
        <v/>
      </c>
      <c r="R257" s="79">
        <f>IF(O257="","",IF(O257="OVERDUE",2,IF(O257="Paid",0,IF(AND(I257&lt;&gt;"",I257&lt;=AsOf+AlertDays),1,0))))</f>
        <v/>
      </c>
      <c r="S257" s="79">
        <f>IF(AND(B257&lt;&gt;"",M257="",I257&lt;&gt;""),IF(L257&lt;&gt;"",L257,IF(H257="",0,H257)),0)</f>
        <v/>
      </c>
      <c r="T257" s="79">
        <f>IF(AND(B257&lt;&gt;"",M257="",I257&lt;&gt;""),1/I257,0)</f>
        <v/>
      </c>
      <c r="U257" s="112">
        <f>IF(AND(B257&lt;&gt;"",M257="",I257&lt;&gt;""),I257,"")</f>
        <v/>
      </c>
      <c r="V257" s="79">
        <f>IF(U257="","",IF(U257&lt;AsOf,1,IF(U257&lt;=AsOf+AlertDays,2,IF(U257&lt;=AsOf+2*AlertDays,3,""))))</f>
        <v/>
      </c>
      <c r="W257" s="79">
        <f>IF(V257="","",IF(O257="OVERDUE","Overdue payment: ","Payment due: ")&amp;B257&amp;" — "&amp;C257&amp;" ("&amp;CurSym&amp;" "&amp;FIXED(S257,0)&amp;")")</f>
        <v/>
      </c>
      <c r="Z257" s="116">
        <f>IF('Contractors'!B257="","",'Contractors'!B257)</f>
        <v/>
      </c>
      <c r="AA257" s="77">
        <f>IF(Z257="","",'Contractors'!K257)</f>
        <v/>
      </c>
      <c r="AB257" s="77">
        <f>IF(Z257="","",SUMIFS($L$6:$L$1005,$B$6:$B$1005,Z257))</f>
        <v/>
      </c>
      <c r="AC257" s="77">
        <f>IF(Z257="","",SUMIFS($N$6:$N$1005,$B$6:$B$1005,Z257))</f>
        <v/>
      </c>
      <c r="AD257" s="76">
        <f>IF(Z257="","",AA257-AC257)</f>
        <v/>
      </c>
      <c r="AE257" s="117">
        <f>IF(Z257="","",IFERROR(1/SUMPRODUCT(MAX(($B$6:$B$1005=Z257)*$T$6:$T$1005)),""))</f>
        <v/>
      </c>
      <c r="AF257" s="77">
        <f>IF(AE257="","",SUMIFS($S$6:$S$1005,$B$6:$B$1005,Z257,$I$6:$I$1005,AE257))</f>
        <v/>
      </c>
    </row>
    <row r="258" ht="20" customHeight="1">
      <c r="B258" s="72" t="n"/>
      <c r="C258" s="72" t="n"/>
      <c r="D258" s="72" t="n"/>
      <c r="E258" s="72" t="n"/>
      <c r="F258" s="110" t="n"/>
      <c r="G258" s="73" t="n"/>
      <c r="H258" s="75">
        <f>IF(B258="","",IF(G258&lt;&gt;"",G258,IF(F258&lt;&gt;"",F258*IFERROR(INDEX('Contractors'!$I$6:$I$1005,MATCH(B258,'Contractors'!$B$6:$B$1005,0)),0),"")))</f>
        <v/>
      </c>
      <c r="I258" s="109" t="n"/>
      <c r="J258" s="72" t="n"/>
      <c r="K258" s="109" t="n"/>
      <c r="L258" s="73" t="n"/>
      <c r="M258" s="109" t="n"/>
      <c r="N258" s="73" t="n"/>
      <c r="O258" s="107">
        <f>IF(B258="","",IF(M258&lt;&gt;"","Paid",IF(AND(I258&lt;&gt;"",I258&lt;AsOf),"OVERDUE",IF(OR(K258&lt;&gt;"",L258&lt;&gt;""),"Invoiced","Scheduled"))))</f>
        <v/>
      </c>
      <c r="P258" s="115">
        <f>IF(B258="","",IF(E258&lt;&gt;"",E258,IFERROR(INDEX('Contractors'!$D$6:$D$1005,MATCH(B258,'Contractors'!$B$6:$B$1005,0)),"")))</f>
        <v/>
      </c>
      <c r="Q258" s="79">
        <f>IF(B258="","",IF(D258&lt;&gt;"",D258,IFERROR(INDEX('Contractors'!$E$6:$E$1005,MATCH(B258,'Contractors'!$B$6:$B$1005,0)),"")))</f>
        <v/>
      </c>
      <c r="R258" s="79">
        <f>IF(O258="","",IF(O258="OVERDUE",2,IF(O258="Paid",0,IF(AND(I258&lt;&gt;"",I258&lt;=AsOf+AlertDays),1,0))))</f>
        <v/>
      </c>
      <c r="S258" s="79">
        <f>IF(AND(B258&lt;&gt;"",M258="",I258&lt;&gt;""),IF(L258&lt;&gt;"",L258,IF(H258="",0,H258)),0)</f>
        <v/>
      </c>
      <c r="T258" s="79">
        <f>IF(AND(B258&lt;&gt;"",M258="",I258&lt;&gt;""),1/I258,0)</f>
        <v/>
      </c>
      <c r="U258" s="112">
        <f>IF(AND(B258&lt;&gt;"",M258="",I258&lt;&gt;""),I258,"")</f>
        <v/>
      </c>
      <c r="V258" s="79">
        <f>IF(U258="","",IF(U258&lt;AsOf,1,IF(U258&lt;=AsOf+AlertDays,2,IF(U258&lt;=AsOf+2*AlertDays,3,""))))</f>
        <v/>
      </c>
      <c r="W258" s="79">
        <f>IF(V258="","",IF(O258="OVERDUE","Overdue payment: ","Payment due: ")&amp;B258&amp;" — "&amp;C258&amp;" ("&amp;CurSym&amp;" "&amp;FIXED(S258,0)&amp;")")</f>
        <v/>
      </c>
      <c r="Z258" s="116">
        <f>IF('Contractors'!B258="","",'Contractors'!B258)</f>
        <v/>
      </c>
      <c r="AA258" s="77">
        <f>IF(Z258="","",'Contractors'!K258)</f>
        <v/>
      </c>
      <c r="AB258" s="77">
        <f>IF(Z258="","",SUMIFS($L$6:$L$1005,$B$6:$B$1005,Z258))</f>
        <v/>
      </c>
      <c r="AC258" s="77">
        <f>IF(Z258="","",SUMIFS($N$6:$N$1005,$B$6:$B$1005,Z258))</f>
        <v/>
      </c>
      <c r="AD258" s="76">
        <f>IF(Z258="","",AA258-AC258)</f>
        <v/>
      </c>
      <c r="AE258" s="117">
        <f>IF(Z258="","",IFERROR(1/SUMPRODUCT(MAX(($B$6:$B$1005=Z258)*$T$6:$T$1005)),""))</f>
        <v/>
      </c>
      <c r="AF258" s="77">
        <f>IF(AE258="","",SUMIFS($S$6:$S$1005,$B$6:$B$1005,Z258,$I$6:$I$1005,AE258))</f>
        <v/>
      </c>
    </row>
    <row r="259" ht="20" customHeight="1">
      <c r="B259" s="72" t="n"/>
      <c r="C259" s="72" t="n"/>
      <c r="D259" s="72" t="n"/>
      <c r="E259" s="72" t="n"/>
      <c r="F259" s="110" t="n"/>
      <c r="G259" s="73" t="n"/>
      <c r="H259" s="75">
        <f>IF(B259="","",IF(G259&lt;&gt;"",G259,IF(F259&lt;&gt;"",F259*IFERROR(INDEX('Contractors'!$I$6:$I$1005,MATCH(B259,'Contractors'!$B$6:$B$1005,0)),0),"")))</f>
        <v/>
      </c>
      <c r="I259" s="109" t="n"/>
      <c r="J259" s="72" t="n"/>
      <c r="K259" s="109" t="n"/>
      <c r="L259" s="73" t="n"/>
      <c r="M259" s="109" t="n"/>
      <c r="N259" s="73" t="n"/>
      <c r="O259" s="107">
        <f>IF(B259="","",IF(M259&lt;&gt;"","Paid",IF(AND(I259&lt;&gt;"",I259&lt;AsOf),"OVERDUE",IF(OR(K259&lt;&gt;"",L259&lt;&gt;""),"Invoiced","Scheduled"))))</f>
        <v/>
      </c>
      <c r="P259" s="115">
        <f>IF(B259="","",IF(E259&lt;&gt;"",E259,IFERROR(INDEX('Contractors'!$D$6:$D$1005,MATCH(B259,'Contractors'!$B$6:$B$1005,0)),"")))</f>
        <v/>
      </c>
      <c r="Q259" s="79">
        <f>IF(B259="","",IF(D259&lt;&gt;"",D259,IFERROR(INDEX('Contractors'!$E$6:$E$1005,MATCH(B259,'Contractors'!$B$6:$B$1005,0)),"")))</f>
        <v/>
      </c>
      <c r="R259" s="79">
        <f>IF(O259="","",IF(O259="OVERDUE",2,IF(O259="Paid",0,IF(AND(I259&lt;&gt;"",I259&lt;=AsOf+AlertDays),1,0))))</f>
        <v/>
      </c>
      <c r="S259" s="79">
        <f>IF(AND(B259&lt;&gt;"",M259="",I259&lt;&gt;""),IF(L259&lt;&gt;"",L259,IF(H259="",0,H259)),0)</f>
        <v/>
      </c>
      <c r="T259" s="79">
        <f>IF(AND(B259&lt;&gt;"",M259="",I259&lt;&gt;""),1/I259,0)</f>
        <v/>
      </c>
      <c r="U259" s="112">
        <f>IF(AND(B259&lt;&gt;"",M259="",I259&lt;&gt;""),I259,"")</f>
        <v/>
      </c>
      <c r="V259" s="79">
        <f>IF(U259="","",IF(U259&lt;AsOf,1,IF(U259&lt;=AsOf+AlertDays,2,IF(U259&lt;=AsOf+2*AlertDays,3,""))))</f>
        <v/>
      </c>
      <c r="W259" s="79">
        <f>IF(V259="","",IF(O259="OVERDUE","Overdue payment: ","Payment due: ")&amp;B259&amp;" — "&amp;C259&amp;" ("&amp;CurSym&amp;" "&amp;FIXED(S259,0)&amp;")")</f>
        <v/>
      </c>
      <c r="Z259" s="116">
        <f>IF('Contractors'!B259="","",'Contractors'!B259)</f>
        <v/>
      </c>
      <c r="AA259" s="77">
        <f>IF(Z259="","",'Contractors'!K259)</f>
        <v/>
      </c>
      <c r="AB259" s="77">
        <f>IF(Z259="","",SUMIFS($L$6:$L$1005,$B$6:$B$1005,Z259))</f>
        <v/>
      </c>
      <c r="AC259" s="77">
        <f>IF(Z259="","",SUMIFS($N$6:$N$1005,$B$6:$B$1005,Z259))</f>
        <v/>
      </c>
      <c r="AD259" s="76">
        <f>IF(Z259="","",AA259-AC259)</f>
        <v/>
      </c>
      <c r="AE259" s="117">
        <f>IF(Z259="","",IFERROR(1/SUMPRODUCT(MAX(($B$6:$B$1005=Z259)*$T$6:$T$1005)),""))</f>
        <v/>
      </c>
      <c r="AF259" s="77">
        <f>IF(AE259="","",SUMIFS($S$6:$S$1005,$B$6:$B$1005,Z259,$I$6:$I$1005,AE259))</f>
        <v/>
      </c>
    </row>
    <row r="260" ht="20" customHeight="1">
      <c r="B260" s="72" t="n"/>
      <c r="C260" s="72" t="n"/>
      <c r="D260" s="72" t="n"/>
      <c r="E260" s="72" t="n"/>
      <c r="F260" s="110" t="n"/>
      <c r="G260" s="73" t="n"/>
      <c r="H260" s="75">
        <f>IF(B260="","",IF(G260&lt;&gt;"",G260,IF(F260&lt;&gt;"",F260*IFERROR(INDEX('Contractors'!$I$6:$I$1005,MATCH(B260,'Contractors'!$B$6:$B$1005,0)),0),"")))</f>
        <v/>
      </c>
      <c r="I260" s="109" t="n"/>
      <c r="J260" s="72" t="n"/>
      <c r="K260" s="109" t="n"/>
      <c r="L260" s="73" t="n"/>
      <c r="M260" s="109" t="n"/>
      <c r="N260" s="73" t="n"/>
      <c r="O260" s="107">
        <f>IF(B260="","",IF(M260&lt;&gt;"","Paid",IF(AND(I260&lt;&gt;"",I260&lt;AsOf),"OVERDUE",IF(OR(K260&lt;&gt;"",L260&lt;&gt;""),"Invoiced","Scheduled"))))</f>
        <v/>
      </c>
      <c r="P260" s="115">
        <f>IF(B260="","",IF(E260&lt;&gt;"",E260,IFERROR(INDEX('Contractors'!$D$6:$D$1005,MATCH(B260,'Contractors'!$B$6:$B$1005,0)),"")))</f>
        <v/>
      </c>
      <c r="Q260" s="79">
        <f>IF(B260="","",IF(D260&lt;&gt;"",D260,IFERROR(INDEX('Contractors'!$E$6:$E$1005,MATCH(B260,'Contractors'!$B$6:$B$1005,0)),"")))</f>
        <v/>
      </c>
      <c r="R260" s="79">
        <f>IF(O260="","",IF(O260="OVERDUE",2,IF(O260="Paid",0,IF(AND(I260&lt;&gt;"",I260&lt;=AsOf+AlertDays),1,0))))</f>
        <v/>
      </c>
      <c r="S260" s="79">
        <f>IF(AND(B260&lt;&gt;"",M260="",I260&lt;&gt;""),IF(L260&lt;&gt;"",L260,IF(H260="",0,H260)),0)</f>
        <v/>
      </c>
      <c r="T260" s="79">
        <f>IF(AND(B260&lt;&gt;"",M260="",I260&lt;&gt;""),1/I260,0)</f>
        <v/>
      </c>
      <c r="U260" s="112">
        <f>IF(AND(B260&lt;&gt;"",M260="",I260&lt;&gt;""),I260,"")</f>
        <v/>
      </c>
      <c r="V260" s="79">
        <f>IF(U260="","",IF(U260&lt;AsOf,1,IF(U260&lt;=AsOf+AlertDays,2,IF(U260&lt;=AsOf+2*AlertDays,3,""))))</f>
        <v/>
      </c>
      <c r="W260" s="79">
        <f>IF(V260="","",IF(O260="OVERDUE","Overdue payment: ","Payment due: ")&amp;B260&amp;" — "&amp;C260&amp;" ("&amp;CurSym&amp;" "&amp;FIXED(S260,0)&amp;")")</f>
        <v/>
      </c>
      <c r="Z260" s="116">
        <f>IF('Contractors'!B260="","",'Contractors'!B260)</f>
        <v/>
      </c>
      <c r="AA260" s="77">
        <f>IF(Z260="","",'Contractors'!K260)</f>
        <v/>
      </c>
      <c r="AB260" s="77">
        <f>IF(Z260="","",SUMIFS($L$6:$L$1005,$B$6:$B$1005,Z260))</f>
        <v/>
      </c>
      <c r="AC260" s="77">
        <f>IF(Z260="","",SUMIFS($N$6:$N$1005,$B$6:$B$1005,Z260))</f>
        <v/>
      </c>
      <c r="AD260" s="76">
        <f>IF(Z260="","",AA260-AC260)</f>
        <v/>
      </c>
      <c r="AE260" s="117">
        <f>IF(Z260="","",IFERROR(1/SUMPRODUCT(MAX(($B$6:$B$1005=Z260)*$T$6:$T$1005)),""))</f>
        <v/>
      </c>
      <c r="AF260" s="77">
        <f>IF(AE260="","",SUMIFS($S$6:$S$1005,$B$6:$B$1005,Z260,$I$6:$I$1005,AE260))</f>
        <v/>
      </c>
    </row>
    <row r="261" ht="20" customHeight="1">
      <c r="B261" s="72" t="n"/>
      <c r="C261" s="72" t="n"/>
      <c r="D261" s="72" t="n"/>
      <c r="E261" s="72" t="n"/>
      <c r="F261" s="110" t="n"/>
      <c r="G261" s="73" t="n"/>
      <c r="H261" s="75">
        <f>IF(B261="","",IF(G261&lt;&gt;"",G261,IF(F261&lt;&gt;"",F261*IFERROR(INDEX('Contractors'!$I$6:$I$1005,MATCH(B261,'Contractors'!$B$6:$B$1005,0)),0),"")))</f>
        <v/>
      </c>
      <c r="I261" s="109" t="n"/>
      <c r="J261" s="72" t="n"/>
      <c r="K261" s="109" t="n"/>
      <c r="L261" s="73" t="n"/>
      <c r="M261" s="109" t="n"/>
      <c r="N261" s="73" t="n"/>
      <c r="O261" s="107">
        <f>IF(B261="","",IF(M261&lt;&gt;"","Paid",IF(AND(I261&lt;&gt;"",I261&lt;AsOf),"OVERDUE",IF(OR(K261&lt;&gt;"",L261&lt;&gt;""),"Invoiced","Scheduled"))))</f>
        <v/>
      </c>
      <c r="P261" s="115">
        <f>IF(B261="","",IF(E261&lt;&gt;"",E261,IFERROR(INDEX('Contractors'!$D$6:$D$1005,MATCH(B261,'Contractors'!$B$6:$B$1005,0)),"")))</f>
        <v/>
      </c>
      <c r="Q261" s="79">
        <f>IF(B261="","",IF(D261&lt;&gt;"",D261,IFERROR(INDEX('Contractors'!$E$6:$E$1005,MATCH(B261,'Contractors'!$B$6:$B$1005,0)),"")))</f>
        <v/>
      </c>
      <c r="R261" s="79">
        <f>IF(O261="","",IF(O261="OVERDUE",2,IF(O261="Paid",0,IF(AND(I261&lt;&gt;"",I261&lt;=AsOf+AlertDays),1,0))))</f>
        <v/>
      </c>
      <c r="S261" s="79">
        <f>IF(AND(B261&lt;&gt;"",M261="",I261&lt;&gt;""),IF(L261&lt;&gt;"",L261,IF(H261="",0,H261)),0)</f>
        <v/>
      </c>
      <c r="T261" s="79">
        <f>IF(AND(B261&lt;&gt;"",M261="",I261&lt;&gt;""),1/I261,0)</f>
        <v/>
      </c>
      <c r="U261" s="112">
        <f>IF(AND(B261&lt;&gt;"",M261="",I261&lt;&gt;""),I261,"")</f>
        <v/>
      </c>
      <c r="V261" s="79">
        <f>IF(U261="","",IF(U261&lt;AsOf,1,IF(U261&lt;=AsOf+AlertDays,2,IF(U261&lt;=AsOf+2*AlertDays,3,""))))</f>
        <v/>
      </c>
      <c r="W261" s="79">
        <f>IF(V261="","",IF(O261="OVERDUE","Overdue payment: ","Payment due: ")&amp;B261&amp;" — "&amp;C261&amp;" ("&amp;CurSym&amp;" "&amp;FIXED(S261,0)&amp;")")</f>
        <v/>
      </c>
      <c r="Z261" s="116">
        <f>IF('Contractors'!B261="","",'Contractors'!B261)</f>
        <v/>
      </c>
      <c r="AA261" s="77">
        <f>IF(Z261="","",'Contractors'!K261)</f>
        <v/>
      </c>
      <c r="AB261" s="77">
        <f>IF(Z261="","",SUMIFS($L$6:$L$1005,$B$6:$B$1005,Z261))</f>
        <v/>
      </c>
      <c r="AC261" s="77">
        <f>IF(Z261="","",SUMIFS($N$6:$N$1005,$B$6:$B$1005,Z261))</f>
        <v/>
      </c>
      <c r="AD261" s="76">
        <f>IF(Z261="","",AA261-AC261)</f>
        <v/>
      </c>
      <c r="AE261" s="117">
        <f>IF(Z261="","",IFERROR(1/SUMPRODUCT(MAX(($B$6:$B$1005=Z261)*$T$6:$T$1005)),""))</f>
        <v/>
      </c>
      <c r="AF261" s="77">
        <f>IF(AE261="","",SUMIFS($S$6:$S$1005,$B$6:$B$1005,Z261,$I$6:$I$1005,AE261))</f>
        <v/>
      </c>
    </row>
    <row r="262" ht="20" customHeight="1">
      <c r="B262" s="72" t="n"/>
      <c r="C262" s="72" t="n"/>
      <c r="D262" s="72" t="n"/>
      <c r="E262" s="72" t="n"/>
      <c r="F262" s="110" t="n"/>
      <c r="G262" s="73" t="n"/>
      <c r="H262" s="75">
        <f>IF(B262="","",IF(G262&lt;&gt;"",G262,IF(F262&lt;&gt;"",F262*IFERROR(INDEX('Contractors'!$I$6:$I$1005,MATCH(B262,'Contractors'!$B$6:$B$1005,0)),0),"")))</f>
        <v/>
      </c>
      <c r="I262" s="109" t="n"/>
      <c r="J262" s="72" t="n"/>
      <c r="K262" s="109" t="n"/>
      <c r="L262" s="73" t="n"/>
      <c r="M262" s="109" t="n"/>
      <c r="N262" s="73" t="n"/>
      <c r="O262" s="107">
        <f>IF(B262="","",IF(M262&lt;&gt;"","Paid",IF(AND(I262&lt;&gt;"",I262&lt;AsOf),"OVERDUE",IF(OR(K262&lt;&gt;"",L262&lt;&gt;""),"Invoiced","Scheduled"))))</f>
        <v/>
      </c>
      <c r="P262" s="115">
        <f>IF(B262="","",IF(E262&lt;&gt;"",E262,IFERROR(INDEX('Contractors'!$D$6:$D$1005,MATCH(B262,'Contractors'!$B$6:$B$1005,0)),"")))</f>
        <v/>
      </c>
      <c r="Q262" s="79">
        <f>IF(B262="","",IF(D262&lt;&gt;"",D262,IFERROR(INDEX('Contractors'!$E$6:$E$1005,MATCH(B262,'Contractors'!$B$6:$B$1005,0)),"")))</f>
        <v/>
      </c>
      <c r="R262" s="79">
        <f>IF(O262="","",IF(O262="OVERDUE",2,IF(O262="Paid",0,IF(AND(I262&lt;&gt;"",I262&lt;=AsOf+AlertDays),1,0))))</f>
        <v/>
      </c>
      <c r="S262" s="79">
        <f>IF(AND(B262&lt;&gt;"",M262="",I262&lt;&gt;""),IF(L262&lt;&gt;"",L262,IF(H262="",0,H262)),0)</f>
        <v/>
      </c>
      <c r="T262" s="79">
        <f>IF(AND(B262&lt;&gt;"",M262="",I262&lt;&gt;""),1/I262,0)</f>
        <v/>
      </c>
      <c r="U262" s="112">
        <f>IF(AND(B262&lt;&gt;"",M262="",I262&lt;&gt;""),I262,"")</f>
        <v/>
      </c>
      <c r="V262" s="79">
        <f>IF(U262="","",IF(U262&lt;AsOf,1,IF(U262&lt;=AsOf+AlertDays,2,IF(U262&lt;=AsOf+2*AlertDays,3,""))))</f>
        <v/>
      </c>
      <c r="W262" s="79">
        <f>IF(V262="","",IF(O262="OVERDUE","Overdue payment: ","Payment due: ")&amp;B262&amp;" — "&amp;C262&amp;" ("&amp;CurSym&amp;" "&amp;FIXED(S262,0)&amp;")")</f>
        <v/>
      </c>
      <c r="Z262" s="116">
        <f>IF('Contractors'!B262="","",'Contractors'!B262)</f>
        <v/>
      </c>
      <c r="AA262" s="77">
        <f>IF(Z262="","",'Contractors'!K262)</f>
        <v/>
      </c>
      <c r="AB262" s="77">
        <f>IF(Z262="","",SUMIFS($L$6:$L$1005,$B$6:$B$1005,Z262))</f>
        <v/>
      </c>
      <c r="AC262" s="77">
        <f>IF(Z262="","",SUMIFS($N$6:$N$1005,$B$6:$B$1005,Z262))</f>
        <v/>
      </c>
      <c r="AD262" s="76">
        <f>IF(Z262="","",AA262-AC262)</f>
        <v/>
      </c>
      <c r="AE262" s="117">
        <f>IF(Z262="","",IFERROR(1/SUMPRODUCT(MAX(($B$6:$B$1005=Z262)*$T$6:$T$1005)),""))</f>
        <v/>
      </c>
      <c r="AF262" s="77">
        <f>IF(AE262="","",SUMIFS($S$6:$S$1005,$B$6:$B$1005,Z262,$I$6:$I$1005,AE262))</f>
        <v/>
      </c>
    </row>
    <row r="263" ht="20" customHeight="1">
      <c r="B263" s="72" t="n"/>
      <c r="C263" s="72" t="n"/>
      <c r="D263" s="72" t="n"/>
      <c r="E263" s="72" t="n"/>
      <c r="F263" s="110" t="n"/>
      <c r="G263" s="73" t="n"/>
      <c r="H263" s="75">
        <f>IF(B263="","",IF(G263&lt;&gt;"",G263,IF(F263&lt;&gt;"",F263*IFERROR(INDEX('Contractors'!$I$6:$I$1005,MATCH(B263,'Contractors'!$B$6:$B$1005,0)),0),"")))</f>
        <v/>
      </c>
      <c r="I263" s="109" t="n"/>
      <c r="J263" s="72" t="n"/>
      <c r="K263" s="109" t="n"/>
      <c r="L263" s="73" t="n"/>
      <c r="M263" s="109" t="n"/>
      <c r="N263" s="73" t="n"/>
      <c r="O263" s="107">
        <f>IF(B263="","",IF(M263&lt;&gt;"","Paid",IF(AND(I263&lt;&gt;"",I263&lt;AsOf),"OVERDUE",IF(OR(K263&lt;&gt;"",L263&lt;&gt;""),"Invoiced","Scheduled"))))</f>
        <v/>
      </c>
      <c r="P263" s="115">
        <f>IF(B263="","",IF(E263&lt;&gt;"",E263,IFERROR(INDEX('Contractors'!$D$6:$D$1005,MATCH(B263,'Contractors'!$B$6:$B$1005,0)),"")))</f>
        <v/>
      </c>
      <c r="Q263" s="79">
        <f>IF(B263="","",IF(D263&lt;&gt;"",D263,IFERROR(INDEX('Contractors'!$E$6:$E$1005,MATCH(B263,'Contractors'!$B$6:$B$1005,0)),"")))</f>
        <v/>
      </c>
      <c r="R263" s="79">
        <f>IF(O263="","",IF(O263="OVERDUE",2,IF(O263="Paid",0,IF(AND(I263&lt;&gt;"",I263&lt;=AsOf+AlertDays),1,0))))</f>
        <v/>
      </c>
      <c r="S263" s="79">
        <f>IF(AND(B263&lt;&gt;"",M263="",I263&lt;&gt;""),IF(L263&lt;&gt;"",L263,IF(H263="",0,H263)),0)</f>
        <v/>
      </c>
      <c r="T263" s="79">
        <f>IF(AND(B263&lt;&gt;"",M263="",I263&lt;&gt;""),1/I263,0)</f>
        <v/>
      </c>
      <c r="U263" s="112">
        <f>IF(AND(B263&lt;&gt;"",M263="",I263&lt;&gt;""),I263,"")</f>
        <v/>
      </c>
      <c r="V263" s="79">
        <f>IF(U263="","",IF(U263&lt;AsOf,1,IF(U263&lt;=AsOf+AlertDays,2,IF(U263&lt;=AsOf+2*AlertDays,3,""))))</f>
        <v/>
      </c>
      <c r="W263" s="79">
        <f>IF(V263="","",IF(O263="OVERDUE","Overdue payment: ","Payment due: ")&amp;B263&amp;" — "&amp;C263&amp;" ("&amp;CurSym&amp;" "&amp;FIXED(S263,0)&amp;")")</f>
        <v/>
      </c>
      <c r="Z263" s="116">
        <f>IF('Contractors'!B263="","",'Contractors'!B263)</f>
        <v/>
      </c>
      <c r="AA263" s="77">
        <f>IF(Z263="","",'Contractors'!K263)</f>
        <v/>
      </c>
      <c r="AB263" s="77">
        <f>IF(Z263="","",SUMIFS($L$6:$L$1005,$B$6:$B$1005,Z263))</f>
        <v/>
      </c>
      <c r="AC263" s="77">
        <f>IF(Z263="","",SUMIFS($N$6:$N$1005,$B$6:$B$1005,Z263))</f>
        <v/>
      </c>
      <c r="AD263" s="76">
        <f>IF(Z263="","",AA263-AC263)</f>
        <v/>
      </c>
      <c r="AE263" s="117">
        <f>IF(Z263="","",IFERROR(1/SUMPRODUCT(MAX(($B$6:$B$1005=Z263)*$T$6:$T$1005)),""))</f>
        <v/>
      </c>
      <c r="AF263" s="77">
        <f>IF(AE263="","",SUMIFS($S$6:$S$1005,$B$6:$B$1005,Z263,$I$6:$I$1005,AE263))</f>
        <v/>
      </c>
    </row>
    <row r="264" ht="20" customHeight="1">
      <c r="B264" s="72" t="n"/>
      <c r="C264" s="72" t="n"/>
      <c r="D264" s="72" t="n"/>
      <c r="E264" s="72" t="n"/>
      <c r="F264" s="110" t="n"/>
      <c r="G264" s="73" t="n"/>
      <c r="H264" s="75">
        <f>IF(B264="","",IF(G264&lt;&gt;"",G264,IF(F264&lt;&gt;"",F264*IFERROR(INDEX('Contractors'!$I$6:$I$1005,MATCH(B264,'Contractors'!$B$6:$B$1005,0)),0),"")))</f>
        <v/>
      </c>
      <c r="I264" s="109" t="n"/>
      <c r="J264" s="72" t="n"/>
      <c r="K264" s="109" t="n"/>
      <c r="L264" s="73" t="n"/>
      <c r="M264" s="109" t="n"/>
      <c r="N264" s="73" t="n"/>
      <c r="O264" s="107">
        <f>IF(B264="","",IF(M264&lt;&gt;"","Paid",IF(AND(I264&lt;&gt;"",I264&lt;AsOf),"OVERDUE",IF(OR(K264&lt;&gt;"",L264&lt;&gt;""),"Invoiced","Scheduled"))))</f>
        <v/>
      </c>
      <c r="P264" s="115">
        <f>IF(B264="","",IF(E264&lt;&gt;"",E264,IFERROR(INDEX('Contractors'!$D$6:$D$1005,MATCH(B264,'Contractors'!$B$6:$B$1005,0)),"")))</f>
        <v/>
      </c>
      <c r="Q264" s="79">
        <f>IF(B264="","",IF(D264&lt;&gt;"",D264,IFERROR(INDEX('Contractors'!$E$6:$E$1005,MATCH(B264,'Contractors'!$B$6:$B$1005,0)),"")))</f>
        <v/>
      </c>
      <c r="R264" s="79">
        <f>IF(O264="","",IF(O264="OVERDUE",2,IF(O264="Paid",0,IF(AND(I264&lt;&gt;"",I264&lt;=AsOf+AlertDays),1,0))))</f>
        <v/>
      </c>
      <c r="S264" s="79">
        <f>IF(AND(B264&lt;&gt;"",M264="",I264&lt;&gt;""),IF(L264&lt;&gt;"",L264,IF(H264="",0,H264)),0)</f>
        <v/>
      </c>
      <c r="T264" s="79">
        <f>IF(AND(B264&lt;&gt;"",M264="",I264&lt;&gt;""),1/I264,0)</f>
        <v/>
      </c>
      <c r="U264" s="112">
        <f>IF(AND(B264&lt;&gt;"",M264="",I264&lt;&gt;""),I264,"")</f>
        <v/>
      </c>
      <c r="V264" s="79">
        <f>IF(U264="","",IF(U264&lt;AsOf,1,IF(U264&lt;=AsOf+AlertDays,2,IF(U264&lt;=AsOf+2*AlertDays,3,""))))</f>
        <v/>
      </c>
      <c r="W264" s="79">
        <f>IF(V264="","",IF(O264="OVERDUE","Overdue payment: ","Payment due: ")&amp;B264&amp;" — "&amp;C264&amp;" ("&amp;CurSym&amp;" "&amp;FIXED(S264,0)&amp;")")</f>
        <v/>
      </c>
      <c r="Z264" s="116">
        <f>IF('Contractors'!B264="","",'Contractors'!B264)</f>
        <v/>
      </c>
      <c r="AA264" s="77">
        <f>IF(Z264="","",'Contractors'!K264)</f>
        <v/>
      </c>
      <c r="AB264" s="77">
        <f>IF(Z264="","",SUMIFS($L$6:$L$1005,$B$6:$B$1005,Z264))</f>
        <v/>
      </c>
      <c r="AC264" s="77">
        <f>IF(Z264="","",SUMIFS($N$6:$N$1005,$B$6:$B$1005,Z264))</f>
        <v/>
      </c>
      <c r="AD264" s="76">
        <f>IF(Z264="","",AA264-AC264)</f>
        <v/>
      </c>
      <c r="AE264" s="117">
        <f>IF(Z264="","",IFERROR(1/SUMPRODUCT(MAX(($B$6:$B$1005=Z264)*$T$6:$T$1005)),""))</f>
        <v/>
      </c>
      <c r="AF264" s="77">
        <f>IF(AE264="","",SUMIFS($S$6:$S$1005,$B$6:$B$1005,Z264,$I$6:$I$1005,AE264))</f>
        <v/>
      </c>
    </row>
    <row r="265" ht="20" customHeight="1">
      <c r="B265" s="72" t="n"/>
      <c r="C265" s="72" t="n"/>
      <c r="D265" s="72" t="n"/>
      <c r="E265" s="72" t="n"/>
      <c r="F265" s="110" t="n"/>
      <c r="G265" s="73" t="n"/>
      <c r="H265" s="75">
        <f>IF(B265="","",IF(G265&lt;&gt;"",G265,IF(F265&lt;&gt;"",F265*IFERROR(INDEX('Contractors'!$I$6:$I$1005,MATCH(B265,'Contractors'!$B$6:$B$1005,0)),0),"")))</f>
        <v/>
      </c>
      <c r="I265" s="109" t="n"/>
      <c r="J265" s="72" t="n"/>
      <c r="K265" s="109" t="n"/>
      <c r="L265" s="73" t="n"/>
      <c r="M265" s="109" t="n"/>
      <c r="N265" s="73" t="n"/>
      <c r="O265" s="107">
        <f>IF(B265="","",IF(M265&lt;&gt;"","Paid",IF(AND(I265&lt;&gt;"",I265&lt;AsOf),"OVERDUE",IF(OR(K265&lt;&gt;"",L265&lt;&gt;""),"Invoiced","Scheduled"))))</f>
        <v/>
      </c>
      <c r="P265" s="115">
        <f>IF(B265="","",IF(E265&lt;&gt;"",E265,IFERROR(INDEX('Contractors'!$D$6:$D$1005,MATCH(B265,'Contractors'!$B$6:$B$1005,0)),"")))</f>
        <v/>
      </c>
      <c r="Q265" s="79">
        <f>IF(B265="","",IF(D265&lt;&gt;"",D265,IFERROR(INDEX('Contractors'!$E$6:$E$1005,MATCH(B265,'Contractors'!$B$6:$B$1005,0)),"")))</f>
        <v/>
      </c>
      <c r="R265" s="79">
        <f>IF(O265="","",IF(O265="OVERDUE",2,IF(O265="Paid",0,IF(AND(I265&lt;&gt;"",I265&lt;=AsOf+AlertDays),1,0))))</f>
        <v/>
      </c>
      <c r="S265" s="79">
        <f>IF(AND(B265&lt;&gt;"",M265="",I265&lt;&gt;""),IF(L265&lt;&gt;"",L265,IF(H265="",0,H265)),0)</f>
        <v/>
      </c>
      <c r="T265" s="79">
        <f>IF(AND(B265&lt;&gt;"",M265="",I265&lt;&gt;""),1/I265,0)</f>
        <v/>
      </c>
      <c r="U265" s="112">
        <f>IF(AND(B265&lt;&gt;"",M265="",I265&lt;&gt;""),I265,"")</f>
        <v/>
      </c>
      <c r="V265" s="79">
        <f>IF(U265="","",IF(U265&lt;AsOf,1,IF(U265&lt;=AsOf+AlertDays,2,IF(U265&lt;=AsOf+2*AlertDays,3,""))))</f>
        <v/>
      </c>
      <c r="W265" s="79">
        <f>IF(V265="","",IF(O265="OVERDUE","Overdue payment: ","Payment due: ")&amp;B265&amp;" — "&amp;C265&amp;" ("&amp;CurSym&amp;" "&amp;FIXED(S265,0)&amp;")")</f>
        <v/>
      </c>
      <c r="Z265" s="116">
        <f>IF('Contractors'!B265="","",'Contractors'!B265)</f>
        <v/>
      </c>
      <c r="AA265" s="77">
        <f>IF(Z265="","",'Contractors'!K265)</f>
        <v/>
      </c>
      <c r="AB265" s="77">
        <f>IF(Z265="","",SUMIFS($L$6:$L$1005,$B$6:$B$1005,Z265))</f>
        <v/>
      </c>
      <c r="AC265" s="77">
        <f>IF(Z265="","",SUMIFS($N$6:$N$1005,$B$6:$B$1005,Z265))</f>
        <v/>
      </c>
      <c r="AD265" s="76">
        <f>IF(Z265="","",AA265-AC265)</f>
        <v/>
      </c>
      <c r="AE265" s="117">
        <f>IF(Z265="","",IFERROR(1/SUMPRODUCT(MAX(($B$6:$B$1005=Z265)*$T$6:$T$1005)),""))</f>
        <v/>
      </c>
      <c r="AF265" s="77">
        <f>IF(AE265="","",SUMIFS($S$6:$S$1005,$B$6:$B$1005,Z265,$I$6:$I$1005,AE265))</f>
        <v/>
      </c>
    </row>
    <row r="266" ht="20" customHeight="1">
      <c r="B266" s="72" t="n"/>
      <c r="C266" s="72" t="n"/>
      <c r="D266" s="72" t="n"/>
      <c r="E266" s="72" t="n"/>
      <c r="F266" s="110" t="n"/>
      <c r="G266" s="73" t="n"/>
      <c r="H266" s="75">
        <f>IF(B266="","",IF(G266&lt;&gt;"",G266,IF(F266&lt;&gt;"",F266*IFERROR(INDEX('Contractors'!$I$6:$I$1005,MATCH(B266,'Contractors'!$B$6:$B$1005,0)),0),"")))</f>
        <v/>
      </c>
      <c r="I266" s="109" t="n"/>
      <c r="J266" s="72" t="n"/>
      <c r="K266" s="109" t="n"/>
      <c r="L266" s="73" t="n"/>
      <c r="M266" s="109" t="n"/>
      <c r="N266" s="73" t="n"/>
      <c r="O266" s="107">
        <f>IF(B266="","",IF(M266&lt;&gt;"","Paid",IF(AND(I266&lt;&gt;"",I266&lt;AsOf),"OVERDUE",IF(OR(K266&lt;&gt;"",L266&lt;&gt;""),"Invoiced","Scheduled"))))</f>
        <v/>
      </c>
      <c r="P266" s="115">
        <f>IF(B266="","",IF(E266&lt;&gt;"",E266,IFERROR(INDEX('Contractors'!$D$6:$D$1005,MATCH(B266,'Contractors'!$B$6:$B$1005,0)),"")))</f>
        <v/>
      </c>
      <c r="Q266" s="79">
        <f>IF(B266="","",IF(D266&lt;&gt;"",D266,IFERROR(INDEX('Contractors'!$E$6:$E$1005,MATCH(B266,'Contractors'!$B$6:$B$1005,0)),"")))</f>
        <v/>
      </c>
      <c r="R266" s="79">
        <f>IF(O266="","",IF(O266="OVERDUE",2,IF(O266="Paid",0,IF(AND(I266&lt;&gt;"",I266&lt;=AsOf+AlertDays),1,0))))</f>
        <v/>
      </c>
      <c r="S266" s="79">
        <f>IF(AND(B266&lt;&gt;"",M266="",I266&lt;&gt;""),IF(L266&lt;&gt;"",L266,IF(H266="",0,H266)),0)</f>
        <v/>
      </c>
      <c r="T266" s="79">
        <f>IF(AND(B266&lt;&gt;"",M266="",I266&lt;&gt;""),1/I266,0)</f>
        <v/>
      </c>
      <c r="U266" s="112">
        <f>IF(AND(B266&lt;&gt;"",M266="",I266&lt;&gt;""),I266,"")</f>
        <v/>
      </c>
      <c r="V266" s="79">
        <f>IF(U266="","",IF(U266&lt;AsOf,1,IF(U266&lt;=AsOf+AlertDays,2,IF(U266&lt;=AsOf+2*AlertDays,3,""))))</f>
        <v/>
      </c>
      <c r="W266" s="79">
        <f>IF(V266="","",IF(O266="OVERDUE","Overdue payment: ","Payment due: ")&amp;B266&amp;" — "&amp;C266&amp;" ("&amp;CurSym&amp;" "&amp;FIXED(S266,0)&amp;")")</f>
        <v/>
      </c>
      <c r="Z266" s="116">
        <f>IF('Contractors'!B266="","",'Contractors'!B266)</f>
        <v/>
      </c>
      <c r="AA266" s="77">
        <f>IF(Z266="","",'Contractors'!K266)</f>
        <v/>
      </c>
      <c r="AB266" s="77">
        <f>IF(Z266="","",SUMIFS($L$6:$L$1005,$B$6:$B$1005,Z266))</f>
        <v/>
      </c>
      <c r="AC266" s="77">
        <f>IF(Z266="","",SUMIFS($N$6:$N$1005,$B$6:$B$1005,Z266))</f>
        <v/>
      </c>
      <c r="AD266" s="76">
        <f>IF(Z266="","",AA266-AC266)</f>
        <v/>
      </c>
      <c r="AE266" s="117">
        <f>IF(Z266="","",IFERROR(1/SUMPRODUCT(MAX(($B$6:$B$1005=Z266)*$T$6:$T$1005)),""))</f>
        <v/>
      </c>
      <c r="AF266" s="77">
        <f>IF(AE266="","",SUMIFS($S$6:$S$1005,$B$6:$B$1005,Z266,$I$6:$I$1005,AE266))</f>
        <v/>
      </c>
    </row>
    <row r="267" ht="20" customHeight="1">
      <c r="B267" s="72" t="n"/>
      <c r="C267" s="72" t="n"/>
      <c r="D267" s="72" t="n"/>
      <c r="E267" s="72" t="n"/>
      <c r="F267" s="110" t="n"/>
      <c r="G267" s="73" t="n"/>
      <c r="H267" s="75">
        <f>IF(B267="","",IF(G267&lt;&gt;"",G267,IF(F267&lt;&gt;"",F267*IFERROR(INDEX('Contractors'!$I$6:$I$1005,MATCH(B267,'Contractors'!$B$6:$B$1005,0)),0),"")))</f>
        <v/>
      </c>
      <c r="I267" s="109" t="n"/>
      <c r="J267" s="72" t="n"/>
      <c r="K267" s="109" t="n"/>
      <c r="L267" s="73" t="n"/>
      <c r="M267" s="109" t="n"/>
      <c r="N267" s="73" t="n"/>
      <c r="O267" s="107">
        <f>IF(B267="","",IF(M267&lt;&gt;"","Paid",IF(AND(I267&lt;&gt;"",I267&lt;AsOf),"OVERDUE",IF(OR(K267&lt;&gt;"",L267&lt;&gt;""),"Invoiced","Scheduled"))))</f>
        <v/>
      </c>
      <c r="P267" s="115">
        <f>IF(B267="","",IF(E267&lt;&gt;"",E267,IFERROR(INDEX('Contractors'!$D$6:$D$1005,MATCH(B267,'Contractors'!$B$6:$B$1005,0)),"")))</f>
        <v/>
      </c>
      <c r="Q267" s="79">
        <f>IF(B267="","",IF(D267&lt;&gt;"",D267,IFERROR(INDEX('Contractors'!$E$6:$E$1005,MATCH(B267,'Contractors'!$B$6:$B$1005,0)),"")))</f>
        <v/>
      </c>
      <c r="R267" s="79">
        <f>IF(O267="","",IF(O267="OVERDUE",2,IF(O267="Paid",0,IF(AND(I267&lt;&gt;"",I267&lt;=AsOf+AlertDays),1,0))))</f>
        <v/>
      </c>
      <c r="S267" s="79">
        <f>IF(AND(B267&lt;&gt;"",M267="",I267&lt;&gt;""),IF(L267&lt;&gt;"",L267,IF(H267="",0,H267)),0)</f>
        <v/>
      </c>
      <c r="T267" s="79">
        <f>IF(AND(B267&lt;&gt;"",M267="",I267&lt;&gt;""),1/I267,0)</f>
        <v/>
      </c>
      <c r="U267" s="112">
        <f>IF(AND(B267&lt;&gt;"",M267="",I267&lt;&gt;""),I267,"")</f>
        <v/>
      </c>
      <c r="V267" s="79">
        <f>IF(U267="","",IF(U267&lt;AsOf,1,IF(U267&lt;=AsOf+AlertDays,2,IF(U267&lt;=AsOf+2*AlertDays,3,""))))</f>
        <v/>
      </c>
      <c r="W267" s="79">
        <f>IF(V267="","",IF(O267="OVERDUE","Overdue payment: ","Payment due: ")&amp;B267&amp;" — "&amp;C267&amp;" ("&amp;CurSym&amp;" "&amp;FIXED(S267,0)&amp;")")</f>
        <v/>
      </c>
      <c r="Z267" s="116">
        <f>IF('Contractors'!B267="","",'Contractors'!B267)</f>
        <v/>
      </c>
      <c r="AA267" s="77">
        <f>IF(Z267="","",'Contractors'!K267)</f>
        <v/>
      </c>
      <c r="AB267" s="77">
        <f>IF(Z267="","",SUMIFS($L$6:$L$1005,$B$6:$B$1005,Z267))</f>
        <v/>
      </c>
      <c r="AC267" s="77">
        <f>IF(Z267="","",SUMIFS($N$6:$N$1005,$B$6:$B$1005,Z267))</f>
        <v/>
      </c>
      <c r="AD267" s="76">
        <f>IF(Z267="","",AA267-AC267)</f>
        <v/>
      </c>
      <c r="AE267" s="117">
        <f>IF(Z267="","",IFERROR(1/SUMPRODUCT(MAX(($B$6:$B$1005=Z267)*$T$6:$T$1005)),""))</f>
        <v/>
      </c>
      <c r="AF267" s="77">
        <f>IF(AE267="","",SUMIFS($S$6:$S$1005,$B$6:$B$1005,Z267,$I$6:$I$1005,AE267))</f>
        <v/>
      </c>
    </row>
    <row r="268" ht="20" customHeight="1">
      <c r="B268" s="72" t="n"/>
      <c r="C268" s="72" t="n"/>
      <c r="D268" s="72" t="n"/>
      <c r="E268" s="72" t="n"/>
      <c r="F268" s="110" t="n"/>
      <c r="G268" s="73" t="n"/>
      <c r="H268" s="75">
        <f>IF(B268="","",IF(G268&lt;&gt;"",G268,IF(F268&lt;&gt;"",F268*IFERROR(INDEX('Contractors'!$I$6:$I$1005,MATCH(B268,'Contractors'!$B$6:$B$1005,0)),0),"")))</f>
        <v/>
      </c>
      <c r="I268" s="109" t="n"/>
      <c r="J268" s="72" t="n"/>
      <c r="K268" s="109" t="n"/>
      <c r="L268" s="73" t="n"/>
      <c r="M268" s="109" t="n"/>
      <c r="N268" s="73" t="n"/>
      <c r="O268" s="107">
        <f>IF(B268="","",IF(M268&lt;&gt;"","Paid",IF(AND(I268&lt;&gt;"",I268&lt;AsOf),"OVERDUE",IF(OR(K268&lt;&gt;"",L268&lt;&gt;""),"Invoiced","Scheduled"))))</f>
        <v/>
      </c>
      <c r="P268" s="115">
        <f>IF(B268="","",IF(E268&lt;&gt;"",E268,IFERROR(INDEX('Contractors'!$D$6:$D$1005,MATCH(B268,'Contractors'!$B$6:$B$1005,0)),"")))</f>
        <v/>
      </c>
      <c r="Q268" s="79">
        <f>IF(B268="","",IF(D268&lt;&gt;"",D268,IFERROR(INDEX('Contractors'!$E$6:$E$1005,MATCH(B268,'Contractors'!$B$6:$B$1005,0)),"")))</f>
        <v/>
      </c>
      <c r="R268" s="79">
        <f>IF(O268="","",IF(O268="OVERDUE",2,IF(O268="Paid",0,IF(AND(I268&lt;&gt;"",I268&lt;=AsOf+AlertDays),1,0))))</f>
        <v/>
      </c>
      <c r="S268" s="79">
        <f>IF(AND(B268&lt;&gt;"",M268="",I268&lt;&gt;""),IF(L268&lt;&gt;"",L268,IF(H268="",0,H268)),0)</f>
        <v/>
      </c>
      <c r="T268" s="79">
        <f>IF(AND(B268&lt;&gt;"",M268="",I268&lt;&gt;""),1/I268,0)</f>
        <v/>
      </c>
      <c r="U268" s="112">
        <f>IF(AND(B268&lt;&gt;"",M268="",I268&lt;&gt;""),I268,"")</f>
        <v/>
      </c>
      <c r="V268" s="79">
        <f>IF(U268="","",IF(U268&lt;AsOf,1,IF(U268&lt;=AsOf+AlertDays,2,IF(U268&lt;=AsOf+2*AlertDays,3,""))))</f>
        <v/>
      </c>
      <c r="W268" s="79">
        <f>IF(V268="","",IF(O268="OVERDUE","Overdue payment: ","Payment due: ")&amp;B268&amp;" — "&amp;C268&amp;" ("&amp;CurSym&amp;" "&amp;FIXED(S268,0)&amp;")")</f>
        <v/>
      </c>
      <c r="Z268" s="116">
        <f>IF('Contractors'!B268="","",'Contractors'!B268)</f>
        <v/>
      </c>
      <c r="AA268" s="77">
        <f>IF(Z268="","",'Contractors'!K268)</f>
        <v/>
      </c>
      <c r="AB268" s="77">
        <f>IF(Z268="","",SUMIFS($L$6:$L$1005,$B$6:$B$1005,Z268))</f>
        <v/>
      </c>
      <c r="AC268" s="77">
        <f>IF(Z268="","",SUMIFS($N$6:$N$1005,$B$6:$B$1005,Z268))</f>
        <v/>
      </c>
      <c r="AD268" s="76">
        <f>IF(Z268="","",AA268-AC268)</f>
        <v/>
      </c>
      <c r="AE268" s="117">
        <f>IF(Z268="","",IFERROR(1/SUMPRODUCT(MAX(($B$6:$B$1005=Z268)*$T$6:$T$1005)),""))</f>
        <v/>
      </c>
      <c r="AF268" s="77">
        <f>IF(AE268="","",SUMIFS($S$6:$S$1005,$B$6:$B$1005,Z268,$I$6:$I$1005,AE268))</f>
        <v/>
      </c>
    </row>
    <row r="269" ht="20" customHeight="1">
      <c r="B269" s="72" t="n"/>
      <c r="C269" s="72" t="n"/>
      <c r="D269" s="72" t="n"/>
      <c r="E269" s="72" t="n"/>
      <c r="F269" s="110" t="n"/>
      <c r="G269" s="73" t="n"/>
      <c r="H269" s="75">
        <f>IF(B269="","",IF(G269&lt;&gt;"",G269,IF(F269&lt;&gt;"",F269*IFERROR(INDEX('Contractors'!$I$6:$I$1005,MATCH(B269,'Contractors'!$B$6:$B$1005,0)),0),"")))</f>
        <v/>
      </c>
      <c r="I269" s="109" t="n"/>
      <c r="J269" s="72" t="n"/>
      <c r="K269" s="109" t="n"/>
      <c r="L269" s="73" t="n"/>
      <c r="M269" s="109" t="n"/>
      <c r="N269" s="73" t="n"/>
      <c r="O269" s="107">
        <f>IF(B269="","",IF(M269&lt;&gt;"","Paid",IF(AND(I269&lt;&gt;"",I269&lt;AsOf),"OVERDUE",IF(OR(K269&lt;&gt;"",L269&lt;&gt;""),"Invoiced","Scheduled"))))</f>
        <v/>
      </c>
      <c r="P269" s="115">
        <f>IF(B269="","",IF(E269&lt;&gt;"",E269,IFERROR(INDEX('Contractors'!$D$6:$D$1005,MATCH(B269,'Contractors'!$B$6:$B$1005,0)),"")))</f>
        <v/>
      </c>
      <c r="Q269" s="79">
        <f>IF(B269="","",IF(D269&lt;&gt;"",D269,IFERROR(INDEX('Contractors'!$E$6:$E$1005,MATCH(B269,'Contractors'!$B$6:$B$1005,0)),"")))</f>
        <v/>
      </c>
      <c r="R269" s="79">
        <f>IF(O269="","",IF(O269="OVERDUE",2,IF(O269="Paid",0,IF(AND(I269&lt;&gt;"",I269&lt;=AsOf+AlertDays),1,0))))</f>
        <v/>
      </c>
      <c r="S269" s="79">
        <f>IF(AND(B269&lt;&gt;"",M269="",I269&lt;&gt;""),IF(L269&lt;&gt;"",L269,IF(H269="",0,H269)),0)</f>
        <v/>
      </c>
      <c r="T269" s="79">
        <f>IF(AND(B269&lt;&gt;"",M269="",I269&lt;&gt;""),1/I269,0)</f>
        <v/>
      </c>
      <c r="U269" s="112">
        <f>IF(AND(B269&lt;&gt;"",M269="",I269&lt;&gt;""),I269,"")</f>
        <v/>
      </c>
      <c r="V269" s="79">
        <f>IF(U269="","",IF(U269&lt;AsOf,1,IF(U269&lt;=AsOf+AlertDays,2,IF(U269&lt;=AsOf+2*AlertDays,3,""))))</f>
        <v/>
      </c>
      <c r="W269" s="79">
        <f>IF(V269="","",IF(O269="OVERDUE","Overdue payment: ","Payment due: ")&amp;B269&amp;" — "&amp;C269&amp;" ("&amp;CurSym&amp;" "&amp;FIXED(S269,0)&amp;")")</f>
        <v/>
      </c>
      <c r="Z269" s="116">
        <f>IF('Contractors'!B269="","",'Contractors'!B269)</f>
        <v/>
      </c>
      <c r="AA269" s="77">
        <f>IF(Z269="","",'Contractors'!K269)</f>
        <v/>
      </c>
      <c r="AB269" s="77">
        <f>IF(Z269="","",SUMIFS($L$6:$L$1005,$B$6:$B$1005,Z269))</f>
        <v/>
      </c>
      <c r="AC269" s="77">
        <f>IF(Z269="","",SUMIFS($N$6:$N$1005,$B$6:$B$1005,Z269))</f>
        <v/>
      </c>
      <c r="AD269" s="76">
        <f>IF(Z269="","",AA269-AC269)</f>
        <v/>
      </c>
      <c r="AE269" s="117">
        <f>IF(Z269="","",IFERROR(1/SUMPRODUCT(MAX(($B$6:$B$1005=Z269)*$T$6:$T$1005)),""))</f>
        <v/>
      </c>
      <c r="AF269" s="77">
        <f>IF(AE269="","",SUMIFS($S$6:$S$1005,$B$6:$B$1005,Z269,$I$6:$I$1005,AE269))</f>
        <v/>
      </c>
    </row>
    <row r="270" ht="20" customHeight="1">
      <c r="B270" s="72" t="n"/>
      <c r="C270" s="72" t="n"/>
      <c r="D270" s="72" t="n"/>
      <c r="E270" s="72" t="n"/>
      <c r="F270" s="110" t="n"/>
      <c r="G270" s="73" t="n"/>
      <c r="H270" s="75">
        <f>IF(B270="","",IF(G270&lt;&gt;"",G270,IF(F270&lt;&gt;"",F270*IFERROR(INDEX('Contractors'!$I$6:$I$1005,MATCH(B270,'Contractors'!$B$6:$B$1005,0)),0),"")))</f>
        <v/>
      </c>
      <c r="I270" s="109" t="n"/>
      <c r="J270" s="72" t="n"/>
      <c r="K270" s="109" t="n"/>
      <c r="L270" s="73" t="n"/>
      <c r="M270" s="109" t="n"/>
      <c r="N270" s="73" t="n"/>
      <c r="O270" s="107">
        <f>IF(B270="","",IF(M270&lt;&gt;"","Paid",IF(AND(I270&lt;&gt;"",I270&lt;AsOf),"OVERDUE",IF(OR(K270&lt;&gt;"",L270&lt;&gt;""),"Invoiced","Scheduled"))))</f>
        <v/>
      </c>
      <c r="P270" s="115">
        <f>IF(B270="","",IF(E270&lt;&gt;"",E270,IFERROR(INDEX('Contractors'!$D$6:$D$1005,MATCH(B270,'Contractors'!$B$6:$B$1005,0)),"")))</f>
        <v/>
      </c>
      <c r="Q270" s="79">
        <f>IF(B270="","",IF(D270&lt;&gt;"",D270,IFERROR(INDEX('Contractors'!$E$6:$E$1005,MATCH(B270,'Contractors'!$B$6:$B$1005,0)),"")))</f>
        <v/>
      </c>
      <c r="R270" s="79">
        <f>IF(O270="","",IF(O270="OVERDUE",2,IF(O270="Paid",0,IF(AND(I270&lt;&gt;"",I270&lt;=AsOf+AlertDays),1,0))))</f>
        <v/>
      </c>
      <c r="S270" s="79">
        <f>IF(AND(B270&lt;&gt;"",M270="",I270&lt;&gt;""),IF(L270&lt;&gt;"",L270,IF(H270="",0,H270)),0)</f>
        <v/>
      </c>
      <c r="T270" s="79">
        <f>IF(AND(B270&lt;&gt;"",M270="",I270&lt;&gt;""),1/I270,0)</f>
        <v/>
      </c>
      <c r="U270" s="112">
        <f>IF(AND(B270&lt;&gt;"",M270="",I270&lt;&gt;""),I270,"")</f>
        <v/>
      </c>
      <c r="V270" s="79">
        <f>IF(U270="","",IF(U270&lt;AsOf,1,IF(U270&lt;=AsOf+AlertDays,2,IF(U270&lt;=AsOf+2*AlertDays,3,""))))</f>
        <v/>
      </c>
      <c r="W270" s="79">
        <f>IF(V270="","",IF(O270="OVERDUE","Overdue payment: ","Payment due: ")&amp;B270&amp;" — "&amp;C270&amp;" ("&amp;CurSym&amp;" "&amp;FIXED(S270,0)&amp;")")</f>
        <v/>
      </c>
      <c r="Z270" s="116">
        <f>IF('Contractors'!B270="","",'Contractors'!B270)</f>
        <v/>
      </c>
      <c r="AA270" s="77">
        <f>IF(Z270="","",'Contractors'!K270)</f>
        <v/>
      </c>
      <c r="AB270" s="77">
        <f>IF(Z270="","",SUMIFS($L$6:$L$1005,$B$6:$B$1005,Z270))</f>
        <v/>
      </c>
      <c r="AC270" s="77">
        <f>IF(Z270="","",SUMIFS($N$6:$N$1005,$B$6:$B$1005,Z270))</f>
        <v/>
      </c>
      <c r="AD270" s="76">
        <f>IF(Z270="","",AA270-AC270)</f>
        <v/>
      </c>
      <c r="AE270" s="117">
        <f>IF(Z270="","",IFERROR(1/SUMPRODUCT(MAX(($B$6:$B$1005=Z270)*$T$6:$T$1005)),""))</f>
        <v/>
      </c>
      <c r="AF270" s="77">
        <f>IF(AE270="","",SUMIFS($S$6:$S$1005,$B$6:$B$1005,Z270,$I$6:$I$1005,AE270))</f>
        <v/>
      </c>
    </row>
    <row r="271" ht="20" customHeight="1">
      <c r="B271" s="72" t="n"/>
      <c r="C271" s="72" t="n"/>
      <c r="D271" s="72" t="n"/>
      <c r="E271" s="72" t="n"/>
      <c r="F271" s="110" t="n"/>
      <c r="G271" s="73" t="n"/>
      <c r="H271" s="75">
        <f>IF(B271="","",IF(G271&lt;&gt;"",G271,IF(F271&lt;&gt;"",F271*IFERROR(INDEX('Contractors'!$I$6:$I$1005,MATCH(B271,'Contractors'!$B$6:$B$1005,0)),0),"")))</f>
        <v/>
      </c>
      <c r="I271" s="109" t="n"/>
      <c r="J271" s="72" t="n"/>
      <c r="K271" s="109" t="n"/>
      <c r="L271" s="73" t="n"/>
      <c r="M271" s="109" t="n"/>
      <c r="N271" s="73" t="n"/>
      <c r="O271" s="107">
        <f>IF(B271="","",IF(M271&lt;&gt;"","Paid",IF(AND(I271&lt;&gt;"",I271&lt;AsOf),"OVERDUE",IF(OR(K271&lt;&gt;"",L271&lt;&gt;""),"Invoiced","Scheduled"))))</f>
        <v/>
      </c>
      <c r="P271" s="115">
        <f>IF(B271="","",IF(E271&lt;&gt;"",E271,IFERROR(INDEX('Contractors'!$D$6:$D$1005,MATCH(B271,'Contractors'!$B$6:$B$1005,0)),"")))</f>
        <v/>
      </c>
      <c r="Q271" s="79">
        <f>IF(B271="","",IF(D271&lt;&gt;"",D271,IFERROR(INDEX('Contractors'!$E$6:$E$1005,MATCH(B271,'Contractors'!$B$6:$B$1005,0)),"")))</f>
        <v/>
      </c>
      <c r="R271" s="79">
        <f>IF(O271="","",IF(O271="OVERDUE",2,IF(O271="Paid",0,IF(AND(I271&lt;&gt;"",I271&lt;=AsOf+AlertDays),1,0))))</f>
        <v/>
      </c>
      <c r="S271" s="79">
        <f>IF(AND(B271&lt;&gt;"",M271="",I271&lt;&gt;""),IF(L271&lt;&gt;"",L271,IF(H271="",0,H271)),0)</f>
        <v/>
      </c>
      <c r="T271" s="79">
        <f>IF(AND(B271&lt;&gt;"",M271="",I271&lt;&gt;""),1/I271,0)</f>
        <v/>
      </c>
      <c r="U271" s="112">
        <f>IF(AND(B271&lt;&gt;"",M271="",I271&lt;&gt;""),I271,"")</f>
        <v/>
      </c>
      <c r="V271" s="79">
        <f>IF(U271="","",IF(U271&lt;AsOf,1,IF(U271&lt;=AsOf+AlertDays,2,IF(U271&lt;=AsOf+2*AlertDays,3,""))))</f>
        <v/>
      </c>
      <c r="W271" s="79">
        <f>IF(V271="","",IF(O271="OVERDUE","Overdue payment: ","Payment due: ")&amp;B271&amp;" — "&amp;C271&amp;" ("&amp;CurSym&amp;" "&amp;FIXED(S271,0)&amp;")")</f>
        <v/>
      </c>
      <c r="Z271" s="116">
        <f>IF('Contractors'!B271="","",'Contractors'!B271)</f>
        <v/>
      </c>
      <c r="AA271" s="77">
        <f>IF(Z271="","",'Contractors'!K271)</f>
        <v/>
      </c>
      <c r="AB271" s="77">
        <f>IF(Z271="","",SUMIFS($L$6:$L$1005,$B$6:$B$1005,Z271))</f>
        <v/>
      </c>
      <c r="AC271" s="77">
        <f>IF(Z271="","",SUMIFS($N$6:$N$1005,$B$6:$B$1005,Z271))</f>
        <v/>
      </c>
      <c r="AD271" s="76">
        <f>IF(Z271="","",AA271-AC271)</f>
        <v/>
      </c>
      <c r="AE271" s="117">
        <f>IF(Z271="","",IFERROR(1/SUMPRODUCT(MAX(($B$6:$B$1005=Z271)*$T$6:$T$1005)),""))</f>
        <v/>
      </c>
      <c r="AF271" s="77">
        <f>IF(AE271="","",SUMIFS($S$6:$S$1005,$B$6:$B$1005,Z271,$I$6:$I$1005,AE271))</f>
        <v/>
      </c>
    </row>
    <row r="272" ht="20" customHeight="1">
      <c r="B272" s="72" t="n"/>
      <c r="C272" s="72" t="n"/>
      <c r="D272" s="72" t="n"/>
      <c r="E272" s="72" t="n"/>
      <c r="F272" s="110" t="n"/>
      <c r="G272" s="73" t="n"/>
      <c r="H272" s="75">
        <f>IF(B272="","",IF(G272&lt;&gt;"",G272,IF(F272&lt;&gt;"",F272*IFERROR(INDEX('Contractors'!$I$6:$I$1005,MATCH(B272,'Contractors'!$B$6:$B$1005,0)),0),"")))</f>
        <v/>
      </c>
      <c r="I272" s="109" t="n"/>
      <c r="J272" s="72" t="n"/>
      <c r="K272" s="109" t="n"/>
      <c r="L272" s="73" t="n"/>
      <c r="M272" s="109" t="n"/>
      <c r="N272" s="73" t="n"/>
      <c r="O272" s="107">
        <f>IF(B272="","",IF(M272&lt;&gt;"","Paid",IF(AND(I272&lt;&gt;"",I272&lt;AsOf),"OVERDUE",IF(OR(K272&lt;&gt;"",L272&lt;&gt;""),"Invoiced","Scheduled"))))</f>
        <v/>
      </c>
      <c r="P272" s="115">
        <f>IF(B272="","",IF(E272&lt;&gt;"",E272,IFERROR(INDEX('Contractors'!$D$6:$D$1005,MATCH(B272,'Contractors'!$B$6:$B$1005,0)),"")))</f>
        <v/>
      </c>
      <c r="Q272" s="79">
        <f>IF(B272="","",IF(D272&lt;&gt;"",D272,IFERROR(INDEX('Contractors'!$E$6:$E$1005,MATCH(B272,'Contractors'!$B$6:$B$1005,0)),"")))</f>
        <v/>
      </c>
      <c r="R272" s="79">
        <f>IF(O272="","",IF(O272="OVERDUE",2,IF(O272="Paid",0,IF(AND(I272&lt;&gt;"",I272&lt;=AsOf+AlertDays),1,0))))</f>
        <v/>
      </c>
      <c r="S272" s="79">
        <f>IF(AND(B272&lt;&gt;"",M272="",I272&lt;&gt;""),IF(L272&lt;&gt;"",L272,IF(H272="",0,H272)),0)</f>
        <v/>
      </c>
      <c r="T272" s="79">
        <f>IF(AND(B272&lt;&gt;"",M272="",I272&lt;&gt;""),1/I272,0)</f>
        <v/>
      </c>
      <c r="U272" s="112">
        <f>IF(AND(B272&lt;&gt;"",M272="",I272&lt;&gt;""),I272,"")</f>
        <v/>
      </c>
      <c r="V272" s="79">
        <f>IF(U272="","",IF(U272&lt;AsOf,1,IF(U272&lt;=AsOf+AlertDays,2,IF(U272&lt;=AsOf+2*AlertDays,3,""))))</f>
        <v/>
      </c>
      <c r="W272" s="79">
        <f>IF(V272="","",IF(O272="OVERDUE","Overdue payment: ","Payment due: ")&amp;B272&amp;" — "&amp;C272&amp;" ("&amp;CurSym&amp;" "&amp;FIXED(S272,0)&amp;")")</f>
        <v/>
      </c>
      <c r="Z272" s="116">
        <f>IF('Contractors'!B272="","",'Contractors'!B272)</f>
        <v/>
      </c>
      <c r="AA272" s="77">
        <f>IF(Z272="","",'Contractors'!K272)</f>
        <v/>
      </c>
      <c r="AB272" s="77">
        <f>IF(Z272="","",SUMIFS($L$6:$L$1005,$B$6:$B$1005,Z272))</f>
        <v/>
      </c>
      <c r="AC272" s="77">
        <f>IF(Z272="","",SUMIFS($N$6:$N$1005,$B$6:$B$1005,Z272))</f>
        <v/>
      </c>
      <c r="AD272" s="76">
        <f>IF(Z272="","",AA272-AC272)</f>
        <v/>
      </c>
      <c r="AE272" s="117">
        <f>IF(Z272="","",IFERROR(1/SUMPRODUCT(MAX(($B$6:$B$1005=Z272)*$T$6:$T$1005)),""))</f>
        <v/>
      </c>
      <c r="AF272" s="77">
        <f>IF(AE272="","",SUMIFS($S$6:$S$1005,$B$6:$B$1005,Z272,$I$6:$I$1005,AE272))</f>
        <v/>
      </c>
    </row>
    <row r="273" ht="20" customHeight="1">
      <c r="B273" s="72" t="n"/>
      <c r="C273" s="72" t="n"/>
      <c r="D273" s="72" t="n"/>
      <c r="E273" s="72" t="n"/>
      <c r="F273" s="110" t="n"/>
      <c r="G273" s="73" t="n"/>
      <c r="H273" s="75">
        <f>IF(B273="","",IF(G273&lt;&gt;"",G273,IF(F273&lt;&gt;"",F273*IFERROR(INDEX('Contractors'!$I$6:$I$1005,MATCH(B273,'Contractors'!$B$6:$B$1005,0)),0),"")))</f>
        <v/>
      </c>
      <c r="I273" s="109" t="n"/>
      <c r="J273" s="72" t="n"/>
      <c r="K273" s="109" t="n"/>
      <c r="L273" s="73" t="n"/>
      <c r="M273" s="109" t="n"/>
      <c r="N273" s="73" t="n"/>
      <c r="O273" s="107">
        <f>IF(B273="","",IF(M273&lt;&gt;"","Paid",IF(AND(I273&lt;&gt;"",I273&lt;AsOf),"OVERDUE",IF(OR(K273&lt;&gt;"",L273&lt;&gt;""),"Invoiced","Scheduled"))))</f>
        <v/>
      </c>
      <c r="P273" s="115">
        <f>IF(B273="","",IF(E273&lt;&gt;"",E273,IFERROR(INDEX('Contractors'!$D$6:$D$1005,MATCH(B273,'Contractors'!$B$6:$B$1005,0)),"")))</f>
        <v/>
      </c>
      <c r="Q273" s="79">
        <f>IF(B273="","",IF(D273&lt;&gt;"",D273,IFERROR(INDEX('Contractors'!$E$6:$E$1005,MATCH(B273,'Contractors'!$B$6:$B$1005,0)),"")))</f>
        <v/>
      </c>
      <c r="R273" s="79">
        <f>IF(O273="","",IF(O273="OVERDUE",2,IF(O273="Paid",0,IF(AND(I273&lt;&gt;"",I273&lt;=AsOf+AlertDays),1,0))))</f>
        <v/>
      </c>
      <c r="S273" s="79">
        <f>IF(AND(B273&lt;&gt;"",M273="",I273&lt;&gt;""),IF(L273&lt;&gt;"",L273,IF(H273="",0,H273)),0)</f>
        <v/>
      </c>
      <c r="T273" s="79">
        <f>IF(AND(B273&lt;&gt;"",M273="",I273&lt;&gt;""),1/I273,0)</f>
        <v/>
      </c>
      <c r="U273" s="112">
        <f>IF(AND(B273&lt;&gt;"",M273="",I273&lt;&gt;""),I273,"")</f>
        <v/>
      </c>
      <c r="V273" s="79">
        <f>IF(U273="","",IF(U273&lt;AsOf,1,IF(U273&lt;=AsOf+AlertDays,2,IF(U273&lt;=AsOf+2*AlertDays,3,""))))</f>
        <v/>
      </c>
      <c r="W273" s="79">
        <f>IF(V273="","",IF(O273="OVERDUE","Overdue payment: ","Payment due: ")&amp;B273&amp;" — "&amp;C273&amp;" ("&amp;CurSym&amp;" "&amp;FIXED(S273,0)&amp;")")</f>
        <v/>
      </c>
      <c r="Z273" s="116">
        <f>IF('Contractors'!B273="","",'Contractors'!B273)</f>
        <v/>
      </c>
      <c r="AA273" s="77">
        <f>IF(Z273="","",'Contractors'!K273)</f>
        <v/>
      </c>
      <c r="AB273" s="77">
        <f>IF(Z273="","",SUMIFS($L$6:$L$1005,$B$6:$B$1005,Z273))</f>
        <v/>
      </c>
      <c r="AC273" s="77">
        <f>IF(Z273="","",SUMIFS($N$6:$N$1005,$B$6:$B$1005,Z273))</f>
        <v/>
      </c>
      <c r="AD273" s="76">
        <f>IF(Z273="","",AA273-AC273)</f>
        <v/>
      </c>
      <c r="AE273" s="117">
        <f>IF(Z273="","",IFERROR(1/SUMPRODUCT(MAX(($B$6:$B$1005=Z273)*$T$6:$T$1005)),""))</f>
        <v/>
      </c>
      <c r="AF273" s="77">
        <f>IF(AE273="","",SUMIFS($S$6:$S$1005,$B$6:$B$1005,Z273,$I$6:$I$1005,AE273))</f>
        <v/>
      </c>
    </row>
    <row r="274" ht="20" customHeight="1">
      <c r="B274" s="72" t="n"/>
      <c r="C274" s="72" t="n"/>
      <c r="D274" s="72" t="n"/>
      <c r="E274" s="72" t="n"/>
      <c r="F274" s="110" t="n"/>
      <c r="G274" s="73" t="n"/>
      <c r="H274" s="75">
        <f>IF(B274="","",IF(G274&lt;&gt;"",G274,IF(F274&lt;&gt;"",F274*IFERROR(INDEX('Contractors'!$I$6:$I$1005,MATCH(B274,'Contractors'!$B$6:$B$1005,0)),0),"")))</f>
        <v/>
      </c>
      <c r="I274" s="109" t="n"/>
      <c r="J274" s="72" t="n"/>
      <c r="K274" s="109" t="n"/>
      <c r="L274" s="73" t="n"/>
      <c r="M274" s="109" t="n"/>
      <c r="N274" s="73" t="n"/>
      <c r="O274" s="107">
        <f>IF(B274="","",IF(M274&lt;&gt;"","Paid",IF(AND(I274&lt;&gt;"",I274&lt;AsOf),"OVERDUE",IF(OR(K274&lt;&gt;"",L274&lt;&gt;""),"Invoiced","Scheduled"))))</f>
        <v/>
      </c>
      <c r="P274" s="115">
        <f>IF(B274="","",IF(E274&lt;&gt;"",E274,IFERROR(INDEX('Contractors'!$D$6:$D$1005,MATCH(B274,'Contractors'!$B$6:$B$1005,0)),"")))</f>
        <v/>
      </c>
      <c r="Q274" s="79">
        <f>IF(B274="","",IF(D274&lt;&gt;"",D274,IFERROR(INDEX('Contractors'!$E$6:$E$1005,MATCH(B274,'Contractors'!$B$6:$B$1005,0)),"")))</f>
        <v/>
      </c>
      <c r="R274" s="79">
        <f>IF(O274="","",IF(O274="OVERDUE",2,IF(O274="Paid",0,IF(AND(I274&lt;&gt;"",I274&lt;=AsOf+AlertDays),1,0))))</f>
        <v/>
      </c>
      <c r="S274" s="79">
        <f>IF(AND(B274&lt;&gt;"",M274="",I274&lt;&gt;""),IF(L274&lt;&gt;"",L274,IF(H274="",0,H274)),0)</f>
        <v/>
      </c>
      <c r="T274" s="79">
        <f>IF(AND(B274&lt;&gt;"",M274="",I274&lt;&gt;""),1/I274,0)</f>
        <v/>
      </c>
      <c r="U274" s="112">
        <f>IF(AND(B274&lt;&gt;"",M274="",I274&lt;&gt;""),I274,"")</f>
        <v/>
      </c>
      <c r="V274" s="79">
        <f>IF(U274="","",IF(U274&lt;AsOf,1,IF(U274&lt;=AsOf+AlertDays,2,IF(U274&lt;=AsOf+2*AlertDays,3,""))))</f>
        <v/>
      </c>
      <c r="W274" s="79">
        <f>IF(V274="","",IF(O274="OVERDUE","Overdue payment: ","Payment due: ")&amp;B274&amp;" — "&amp;C274&amp;" ("&amp;CurSym&amp;" "&amp;FIXED(S274,0)&amp;")")</f>
        <v/>
      </c>
      <c r="Z274" s="116">
        <f>IF('Contractors'!B274="","",'Contractors'!B274)</f>
        <v/>
      </c>
      <c r="AA274" s="77">
        <f>IF(Z274="","",'Contractors'!K274)</f>
        <v/>
      </c>
      <c r="AB274" s="77">
        <f>IF(Z274="","",SUMIFS($L$6:$L$1005,$B$6:$B$1005,Z274))</f>
        <v/>
      </c>
      <c r="AC274" s="77">
        <f>IF(Z274="","",SUMIFS($N$6:$N$1005,$B$6:$B$1005,Z274))</f>
        <v/>
      </c>
      <c r="AD274" s="76">
        <f>IF(Z274="","",AA274-AC274)</f>
        <v/>
      </c>
      <c r="AE274" s="117">
        <f>IF(Z274="","",IFERROR(1/SUMPRODUCT(MAX(($B$6:$B$1005=Z274)*$T$6:$T$1005)),""))</f>
        <v/>
      </c>
      <c r="AF274" s="77">
        <f>IF(AE274="","",SUMIFS($S$6:$S$1005,$B$6:$B$1005,Z274,$I$6:$I$1005,AE274))</f>
        <v/>
      </c>
    </row>
    <row r="275" ht="20" customHeight="1">
      <c r="B275" s="72" t="n"/>
      <c r="C275" s="72" t="n"/>
      <c r="D275" s="72" t="n"/>
      <c r="E275" s="72" t="n"/>
      <c r="F275" s="110" t="n"/>
      <c r="G275" s="73" t="n"/>
      <c r="H275" s="75">
        <f>IF(B275="","",IF(G275&lt;&gt;"",G275,IF(F275&lt;&gt;"",F275*IFERROR(INDEX('Contractors'!$I$6:$I$1005,MATCH(B275,'Contractors'!$B$6:$B$1005,0)),0),"")))</f>
        <v/>
      </c>
      <c r="I275" s="109" t="n"/>
      <c r="J275" s="72" t="n"/>
      <c r="K275" s="109" t="n"/>
      <c r="L275" s="73" t="n"/>
      <c r="M275" s="109" t="n"/>
      <c r="N275" s="73" t="n"/>
      <c r="O275" s="107">
        <f>IF(B275="","",IF(M275&lt;&gt;"","Paid",IF(AND(I275&lt;&gt;"",I275&lt;AsOf),"OVERDUE",IF(OR(K275&lt;&gt;"",L275&lt;&gt;""),"Invoiced","Scheduled"))))</f>
        <v/>
      </c>
      <c r="P275" s="115">
        <f>IF(B275="","",IF(E275&lt;&gt;"",E275,IFERROR(INDEX('Contractors'!$D$6:$D$1005,MATCH(B275,'Contractors'!$B$6:$B$1005,0)),"")))</f>
        <v/>
      </c>
      <c r="Q275" s="79">
        <f>IF(B275="","",IF(D275&lt;&gt;"",D275,IFERROR(INDEX('Contractors'!$E$6:$E$1005,MATCH(B275,'Contractors'!$B$6:$B$1005,0)),"")))</f>
        <v/>
      </c>
      <c r="R275" s="79">
        <f>IF(O275="","",IF(O275="OVERDUE",2,IF(O275="Paid",0,IF(AND(I275&lt;&gt;"",I275&lt;=AsOf+AlertDays),1,0))))</f>
        <v/>
      </c>
      <c r="S275" s="79">
        <f>IF(AND(B275&lt;&gt;"",M275="",I275&lt;&gt;""),IF(L275&lt;&gt;"",L275,IF(H275="",0,H275)),0)</f>
        <v/>
      </c>
      <c r="T275" s="79">
        <f>IF(AND(B275&lt;&gt;"",M275="",I275&lt;&gt;""),1/I275,0)</f>
        <v/>
      </c>
      <c r="U275" s="112">
        <f>IF(AND(B275&lt;&gt;"",M275="",I275&lt;&gt;""),I275,"")</f>
        <v/>
      </c>
      <c r="V275" s="79">
        <f>IF(U275="","",IF(U275&lt;AsOf,1,IF(U275&lt;=AsOf+AlertDays,2,IF(U275&lt;=AsOf+2*AlertDays,3,""))))</f>
        <v/>
      </c>
      <c r="W275" s="79">
        <f>IF(V275="","",IF(O275="OVERDUE","Overdue payment: ","Payment due: ")&amp;B275&amp;" — "&amp;C275&amp;" ("&amp;CurSym&amp;" "&amp;FIXED(S275,0)&amp;")")</f>
        <v/>
      </c>
      <c r="Z275" s="116">
        <f>IF('Contractors'!B275="","",'Contractors'!B275)</f>
        <v/>
      </c>
      <c r="AA275" s="77">
        <f>IF(Z275="","",'Contractors'!K275)</f>
        <v/>
      </c>
      <c r="AB275" s="77">
        <f>IF(Z275="","",SUMIFS($L$6:$L$1005,$B$6:$B$1005,Z275))</f>
        <v/>
      </c>
      <c r="AC275" s="77">
        <f>IF(Z275="","",SUMIFS($N$6:$N$1005,$B$6:$B$1005,Z275))</f>
        <v/>
      </c>
      <c r="AD275" s="76">
        <f>IF(Z275="","",AA275-AC275)</f>
        <v/>
      </c>
      <c r="AE275" s="117">
        <f>IF(Z275="","",IFERROR(1/SUMPRODUCT(MAX(($B$6:$B$1005=Z275)*$T$6:$T$1005)),""))</f>
        <v/>
      </c>
      <c r="AF275" s="77">
        <f>IF(AE275="","",SUMIFS($S$6:$S$1005,$B$6:$B$1005,Z275,$I$6:$I$1005,AE275))</f>
        <v/>
      </c>
    </row>
    <row r="276" ht="20" customHeight="1">
      <c r="B276" s="72" t="n"/>
      <c r="C276" s="72" t="n"/>
      <c r="D276" s="72" t="n"/>
      <c r="E276" s="72" t="n"/>
      <c r="F276" s="110" t="n"/>
      <c r="G276" s="73" t="n"/>
      <c r="H276" s="75">
        <f>IF(B276="","",IF(G276&lt;&gt;"",G276,IF(F276&lt;&gt;"",F276*IFERROR(INDEX('Contractors'!$I$6:$I$1005,MATCH(B276,'Contractors'!$B$6:$B$1005,0)),0),"")))</f>
        <v/>
      </c>
      <c r="I276" s="109" t="n"/>
      <c r="J276" s="72" t="n"/>
      <c r="K276" s="109" t="n"/>
      <c r="L276" s="73" t="n"/>
      <c r="M276" s="109" t="n"/>
      <c r="N276" s="73" t="n"/>
      <c r="O276" s="107">
        <f>IF(B276="","",IF(M276&lt;&gt;"","Paid",IF(AND(I276&lt;&gt;"",I276&lt;AsOf),"OVERDUE",IF(OR(K276&lt;&gt;"",L276&lt;&gt;""),"Invoiced","Scheduled"))))</f>
        <v/>
      </c>
      <c r="P276" s="115">
        <f>IF(B276="","",IF(E276&lt;&gt;"",E276,IFERROR(INDEX('Contractors'!$D$6:$D$1005,MATCH(B276,'Contractors'!$B$6:$B$1005,0)),"")))</f>
        <v/>
      </c>
      <c r="Q276" s="79">
        <f>IF(B276="","",IF(D276&lt;&gt;"",D276,IFERROR(INDEX('Contractors'!$E$6:$E$1005,MATCH(B276,'Contractors'!$B$6:$B$1005,0)),"")))</f>
        <v/>
      </c>
      <c r="R276" s="79">
        <f>IF(O276="","",IF(O276="OVERDUE",2,IF(O276="Paid",0,IF(AND(I276&lt;&gt;"",I276&lt;=AsOf+AlertDays),1,0))))</f>
        <v/>
      </c>
      <c r="S276" s="79">
        <f>IF(AND(B276&lt;&gt;"",M276="",I276&lt;&gt;""),IF(L276&lt;&gt;"",L276,IF(H276="",0,H276)),0)</f>
        <v/>
      </c>
      <c r="T276" s="79">
        <f>IF(AND(B276&lt;&gt;"",M276="",I276&lt;&gt;""),1/I276,0)</f>
        <v/>
      </c>
      <c r="U276" s="112">
        <f>IF(AND(B276&lt;&gt;"",M276="",I276&lt;&gt;""),I276,"")</f>
        <v/>
      </c>
      <c r="V276" s="79">
        <f>IF(U276="","",IF(U276&lt;AsOf,1,IF(U276&lt;=AsOf+AlertDays,2,IF(U276&lt;=AsOf+2*AlertDays,3,""))))</f>
        <v/>
      </c>
      <c r="W276" s="79">
        <f>IF(V276="","",IF(O276="OVERDUE","Overdue payment: ","Payment due: ")&amp;B276&amp;" — "&amp;C276&amp;" ("&amp;CurSym&amp;" "&amp;FIXED(S276,0)&amp;")")</f>
        <v/>
      </c>
      <c r="Z276" s="116">
        <f>IF('Contractors'!B276="","",'Contractors'!B276)</f>
        <v/>
      </c>
      <c r="AA276" s="77">
        <f>IF(Z276="","",'Contractors'!K276)</f>
        <v/>
      </c>
      <c r="AB276" s="77">
        <f>IF(Z276="","",SUMIFS($L$6:$L$1005,$B$6:$B$1005,Z276))</f>
        <v/>
      </c>
      <c r="AC276" s="77">
        <f>IF(Z276="","",SUMIFS($N$6:$N$1005,$B$6:$B$1005,Z276))</f>
        <v/>
      </c>
      <c r="AD276" s="76">
        <f>IF(Z276="","",AA276-AC276)</f>
        <v/>
      </c>
      <c r="AE276" s="117">
        <f>IF(Z276="","",IFERROR(1/SUMPRODUCT(MAX(($B$6:$B$1005=Z276)*$T$6:$T$1005)),""))</f>
        <v/>
      </c>
      <c r="AF276" s="77">
        <f>IF(AE276="","",SUMIFS($S$6:$S$1005,$B$6:$B$1005,Z276,$I$6:$I$1005,AE276))</f>
        <v/>
      </c>
    </row>
    <row r="277" ht="20" customHeight="1">
      <c r="B277" s="72" t="n"/>
      <c r="C277" s="72" t="n"/>
      <c r="D277" s="72" t="n"/>
      <c r="E277" s="72" t="n"/>
      <c r="F277" s="110" t="n"/>
      <c r="G277" s="73" t="n"/>
      <c r="H277" s="75">
        <f>IF(B277="","",IF(G277&lt;&gt;"",G277,IF(F277&lt;&gt;"",F277*IFERROR(INDEX('Contractors'!$I$6:$I$1005,MATCH(B277,'Contractors'!$B$6:$B$1005,0)),0),"")))</f>
        <v/>
      </c>
      <c r="I277" s="109" t="n"/>
      <c r="J277" s="72" t="n"/>
      <c r="K277" s="109" t="n"/>
      <c r="L277" s="73" t="n"/>
      <c r="M277" s="109" t="n"/>
      <c r="N277" s="73" t="n"/>
      <c r="O277" s="107">
        <f>IF(B277="","",IF(M277&lt;&gt;"","Paid",IF(AND(I277&lt;&gt;"",I277&lt;AsOf),"OVERDUE",IF(OR(K277&lt;&gt;"",L277&lt;&gt;""),"Invoiced","Scheduled"))))</f>
        <v/>
      </c>
      <c r="P277" s="115">
        <f>IF(B277="","",IF(E277&lt;&gt;"",E277,IFERROR(INDEX('Contractors'!$D$6:$D$1005,MATCH(B277,'Contractors'!$B$6:$B$1005,0)),"")))</f>
        <v/>
      </c>
      <c r="Q277" s="79">
        <f>IF(B277="","",IF(D277&lt;&gt;"",D277,IFERROR(INDEX('Contractors'!$E$6:$E$1005,MATCH(B277,'Contractors'!$B$6:$B$1005,0)),"")))</f>
        <v/>
      </c>
      <c r="R277" s="79">
        <f>IF(O277="","",IF(O277="OVERDUE",2,IF(O277="Paid",0,IF(AND(I277&lt;&gt;"",I277&lt;=AsOf+AlertDays),1,0))))</f>
        <v/>
      </c>
      <c r="S277" s="79">
        <f>IF(AND(B277&lt;&gt;"",M277="",I277&lt;&gt;""),IF(L277&lt;&gt;"",L277,IF(H277="",0,H277)),0)</f>
        <v/>
      </c>
      <c r="T277" s="79">
        <f>IF(AND(B277&lt;&gt;"",M277="",I277&lt;&gt;""),1/I277,0)</f>
        <v/>
      </c>
      <c r="U277" s="112">
        <f>IF(AND(B277&lt;&gt;"",M277="",I277&lt;&gt;""),I277,"")</f>
        <v/>
      </c>
      <c r="V277" s="79">
        <f>IF(U277="","",IF(U277&lt;AsOf,1,IF(U277&lt;=AsOf+AlertDays,2,IF(U277&lt;=AsOf+2*AlertDays,3,""))))</f>
        <v/>
      </c>
      <c r="W277" s="79">
        <f>IF(V277="","",IF(O277="OVERDUE","Overdue payment: ","Payment due: ")&amp;B277&amp;" — "&amp;C277&amp;" ("&amp;CurSym&amp;" "&amp;FIXED(S277,0)&amp;")")</f>
        <v/>
      </c>
      <c r="Z277" s="116">
        <f>IF('Contractors'!B277="","",'Contractors'!B277)</f>
        <v/>
      </c>
      <c r="AA277" s="77">
        <f>IF(Z277="","",'Contractors'!K277)</f>
        <v/>
      </c>
      <c r="AB277" s="77">
        <f>IF(Z277="","",SUMIFS($L$6:$L$1005,$B$6:$B$1005,Z277))</f>
        <v/>
      </c>
      <c r="AC277" s="77">
        <f>IF(Z277="","",SUMIFS($N$6:$N$1005,$B$6:$B$1005,Z277))</f>
        <v/>
      </c>
      <c r="AD277" s="76">
        <f>IF(Z277="","",AA277-AC277)</f>
        <v/>
      </c>
      <c r="AE277" s="117">
        <f>IF(Z277="","",IFERROR(1/SUMPRODUCT(MAX(($B$6:$B$1005=Z277)*$T$6:$T$1005)),""))</f>
        <v/>
      </c>
      <c r="AF277" s="77">
        <f>IF(AE277="","",SUMIFS($S$6:$S$1005,$B$6:$B$1005,Z277,$I$6:$I$1005,AE277))</f>
        <v/>
      </c>
    </row>
    <row r="278" ht="20" customHeight="1">
      <c r="B278" s="72" t="n"/>
      <c r="C278" s="72" t="n"/>
      <c r="D278" s="72" t="n"/>
      <c r="E278" s="72" t="n"/>
      <c r="F278" s="110" t="n"/>
      <c r="G278" s="73" t="n"/>
      <c r="H278" s="75">
        <f>IF(B278="","",IF(G278&lt;&gt;"",G278,IF(F278&lt;&gt;"",F278*IFERROR(INDEX('Contractors'!$I$6:$I$1005,MATCH(B278,'Contractors'!$B$6:$B$1005,0)),0),"")))</f>
        <v/>
      </c>
      <c r="I278" s="109" t="n"/>
      <c r="J278" s="72" t="n"/>
      <c r="K278" s="109" t="n"/>
      <c r="L278" s="73" t="n"/>
      <c r="M278" s="109" t="n"/>
      <c r="N278" s="73" t="n"/>
      <c r="O278" s="107">
        <f>IF(B278="","",IF(M278&lt;&gt;"","Paid",IF(AND(I278&lt;&gt;"",I278&lt;AsOf),"OVERDUE",IF(OR(K278&lt;&gt;"",L278&lt;&gt;""),"Invoiced","Scheduled"))))</f>
        <v/>
      </c>
      <c r="P278" s="115">
        <f>IF(B278="","",IF(E278&lt;&gt;"",E278,IFERROR(INDEX('Contractors'!$D$6:$D$1005,MATCH(B278,'Contractors'!$B$6:$B$1005,0)),"")))</f>
        <v/>
      </c>
      <c r="Q278" s="79">
        <f>IF(B278="","",IF(D278&lt;&gt;"",D278,IFERROR(INDEX('Contractors'!$E$6:$E$1005,MATCH(B278,'Contractors'!$B$6:$B$1005,0)),"")))</f>
        <v/>
      </c>
      <c r="R278" s="79">
        <f>IF(O278="","",IF(O278="OVERDUE",2,IF(O278="Paid",0,IF(AND(I278&lt;&gt;"",I278&lt;=AsOf+AlertDays),1,0))))</f>
        <v/>
      </c>
      <c r="S278" s="79">
        <f>IF(AND(B278&lt;&gt;"",M278="",I278&lt;&gt;""),IF(L278&lt;&gt;"",L278,IF(H278="",0,H278)),0)</f>
        <v/>
      </c>
      <c r="T278" s="79">
        <f>IF(AND(B278&lt;&gt;"",M278="",I278&lt;&gt;""),1/I278,0)</f>
        <v/>
      </c>
      <c r="U278" s="112">
        <f>IF(AND(B278&lt;&gt;"",M278="",I278&lt;&gt;""),I278,"")</f>
        <v/>
      </c>
      <c r="V278" s="79">
        <f>IF(U278="","",IF(U278&lt;AsOf,1,IF(U278&lt;=AsOf+AlertDays,2,IF(U278&lt;=AsOf+2*AlertDays,3,""))))</f>
        <v/>
      </c>
      <c r="W278" s="79">
        <f>IF(V278="","",IF(O278="OVERDUE","Overdue payment: ","Payment due: ")&amp;B278&amp;" — "&amp;C278&amp;" ("&amp;CurSym&amp;" "&amp;FIXED(S278,0)&amp;")")</f>
        <v/>
      </c>
      <c r="Z278" s="116">
        <f>IF('Contractors'!B278="","",'Contractors'!B278)</f>
        <v/>
      </c>
      <c r="AA278" s="77">
        <f>IF(Z278="","",'Contractors'!K278)</f>
        <v/>
      </c>
      <c r="AB278" s="77">
        <f>IF(Z278="","",SUMIFS($L$6:$L$1005,$B$6:$B$1005,Z278))</f>
        <v/>
      </c>
      <c r="AC278" s="77">
        <f>IF(Z278="","",SUMIFS($N$6:$N$1005,$B$6:$B$1005,Z278))</f>
        <v/>
      </c>
      <c r="AD278" s="76">
        <f>IF(Z278="","",AA278-AC278)</f>
        <v/>
      </c>
      <c r="AE278" s="117">
        <f>IF(Z278="","",IFERROR(1/SUMPRODUCT(MAX(($B$6:$B$1005=Z278)*$T$6:$T$1005)),""))</f>
        <v/>
      </c>
      <c r="AF278" s="77">
        <f>IF(AE278="","",SUMIFS($S$6:$S$1005,$B$6:$B$1005,Z278,$I$6:$I$1005,AE278))</f>
        <v/>
      </c>
    </row>
    <row r="279" ht="20" customHeight="1">
      <c r="B279" s="72" t="n"/>
      <c r="C279" s="72" t="n"/>
      <c r="D279" s="72" t="n"/>
      <c r="E279" s="72" t="n"/>
      <c r="F279" s="110" t="n"/>
      <c r="G279" s="73" t="n"/>
      <c r="H279" s="75">
        <f>IF(B279="","",IF(G279&lt;&gt;"",G279,IF(F279&lt;&gt;"",F279*IFERROR(INDEX('Contractors'!$I$6:$I$1005,MATCH(B279,'Contractors'!$B$6:$B$1005,0)),0),"")))</f>
        <v/>
      </c>
      <c r="I279" s="109" t="n"/>
      <c r="J279" s="72" t="n"/>
      <c r="K279" s="109" t="n"/>
      <c r="L279" s="73" t="n"/>
      <c r="M279" s="109" t="n"/>
      <c r="N279" s="73" t="n"/>
      <c r="O279" s="107">
        <f>IF(B279="","",IF(M279&lt;&gt;"","Paid",IF(AND(I279&lt;&gt;"",I279&lt;AsOf),"OVERDUE",IF(OR(K279&lt;&gt;"",L279&lt;&gt;""),"Invoiced","Scheduled"))))</f>
        <v/>
      </c>
      <c r="P279" s="115">
        <f>IF(B279="","",IF(E279&lt;&gt;"",E279,IFERROR(INDEX('Contractors'!$D$6:$D$1005,MATCH(B279,'Contractors'!$B$6:$B$1005,0)),"")))</f>
        <v/>
      </c>
      <c r="Q279" s="79">
        <f>IF(B279="","",IF(D279&lt;&gt;"",D279,IFERROR(INDEX('Contractors'!$E$6:$E$1005,MATCH(B279,'Contractors'!$B$6:$B$1005,0)),"")))</f>
        <v/>
      </c>
      <c r="R279" s="79">
        <f>IF(O279="","",IF(O279="OVERDUE",2,IF(O279="Paid",0,IF(AND(I279&lt;&gt;"",I279&lt;=AsOf+AlertDays),1,0))))</f>
        <v/>
      </c>
      <c r="S279" s="79">
        <f>IF(AND(B279&lt;&gt;"",M279="",I279&lt;&gt;""),IF(L279&lt;&gt;"",L279,IF(H279="",0,H279)),0)</f>
        <v/>
      </c>
      <c r="T279" s="79">
        <f>IF(AND(B279&lt;&gt;"",M279="",I279&lt;&gt;""),1/I279,0)</f>
        <v/>
      </c>
      <c r="U279" s="112">
        <f>IF(AND(B279&lt;&gt;"",M279="",I279&lt;&gt;""),I279,"")</f>
        <v/>
      </c>
      <c r="V279" s="79">
        <f>IF(U279="","",IF(U279&lt;AsOf,1,IF(U279&lt;=AsOf+AlertDays,2,IF(U279&lt;=AsOf+2*AlertDays,3,""))))</f>
        <v/>
      </c>
      <c r="W279" s="79">
        <f>IF(V279="","",IF(O279="OVERDUE","Overdue payment: ","Payment due: ")&amp;B279&amp;" — "&amp;C279&amp;" ("&amp;CurSym&amp;" "&amp;FIXED(S279,0)&amp;")")</f>
        <v/>
      </c>
      <c r="Z279" s="116">
        <f>IF('Contractors'!B279="","",'Contractors'!B279)</f>
        <v/>
      </c>
      <c r="AA279" s="77">
        <f>IF(Z279="","",'Contractors'!K279)</f>
        <v/>
      </c>
      <c r="AB279" s="77">
        <f>IF(Z279="","",SUMIFS($L$6:$L$1005,$B$6:$B$1005,Z279))</f>
        <v/>
      </c>
      <c r="AC279" s="77">
        <f>IF(Z279="","",SUMIFS($N$6:$N$1005,$B$6:$B$1005,Z279))</f>
        <v/>
      </c>
      <c r="AD279" s="76">
        <f>IF(Z279="","",AA279-AC279)</f>
        <v/>
      </c>
      <c r="AE279" s="117">
        <f>IF(Z279="","",IFERROR(1/SUMPRODUCT(MAX(($B$6:$B$1005=Z279)*$T$6:$T$1005)),""))</f>
        <v/>
      </c>
      <c r="AF279" s="77">
        <f>IF(AE279="","",SUMIFS($S$6:$S$1005,$B$6:$B$1005,Z279,$I$6:$I$1005,AE279))</f>
        <v/>
      </c>
    </row>
    <row r="280" ht="20" customHeight="1">
      <c r="B280" s="72" t="n"/>
      <c r="C280" s="72" t="n"/>
      <c r="D280" s="72" t="n"/>
      <c r="E280" s="72" t="n"/>
      <c r="F280" s="110" t="n"/>
      <c r="G280" s="73" t="n"/>
      <c r="H280" s="75">
        <f>IF(B280="","",IF(G280&lt;&gt;"",G280,IF(F280&lt;&gt;"",F280*IFERROR(INDEX('Contractors'!$I$6:$I$1005,MATCH(B280,'Contractors'!$B$6:$B$1005,0)),0),"")))</f>
        <v/>
      </c>
      <c r="I280" s="109" t="n"/>
      <c r="J280" s="72" t="n"/>
      <c r="K280" s="109" t="n"/>
      <c r="L280" s="73" t="n"/>
      <c r="M280" s="109" t="n"/>
      <c r="N280" s="73" t="n"/>
      <c r="O280" s="107">
        <f>IF(B280="","",IF(M280&lt;&gt;"","Paid",IF(AND(I280&lt;&gt;"",I280&lt;AsOf),"OVERDUE",IF(OR(K280&lt;&gt;"",L280&lt;&gt;""),"Invoiced","Scheduled"))))</f>
        <v/>
      </c>
      <c r="P280" s="115">
        <f>IF(B280="","",IF(E280&lt;&gt;"",E280,IFERROR(INDEX('Contractors'!$D$6:$D$1005,MATCH(B280,'Contractors'!$B$6:$B$1005,0)),"")))</f>
        <v/>
      </c>
      <c r="Q280" s="79">
        <f>IF(B280="","",IF(D280&lt;&gt;"",D280,IFERROR(INDEX('Contractors'!$E$6:$E$1005,MATCH(B280,'Contractors'!$B$6:$B$1005,0)),"")))</f>
        <v/>
      </c>
      <c r="R280" s="79">
        <f>IF(O280="","",IF(O280="OVERDUE",2,IF(O280="Paid",0,IF(AND(I280&lt;&gt;"",I280&lt;=AsOf+AlertDays),1,0))))</f>
        <v/>
      </c>
      <c r="S280" s="79">
        <f>IF(AND(B280&lt;&gt;"",M280="",I280&lt;&gt;""),IF(L280&lt;&gt;"",L280,IF(H280="",0,H280)),0)</f>
        <v/>
      </c>
      <c r="T280" s="79">
        <f>IF(AND(B280&lt;&gt;"",M280="",I280&lt;&gt;""),1/I280,0)</f>
        <v/>
      </c>
      <c r="U280" s="112">
        <f>IF(AND(B280&lt;&gt;"",M280="",I280&lt;&gt;""),I280,"")</f>
        <v/>
      </c>
      <c r="V280" s="79">
        <f>IF(U280="","",IF(U280&lt;AsOf,1,IF(U280&lt;=AsOf+AlertDays,2,IF(U280&lt;=AsOf+2*AlertDays,3,""))))</f>
        <v/>
      </c>
      <c r="W280" s="79">
        <f>IF(V280="","",IF(O280="OVERDUE","Overdue payment: ","Payment due: ")&amp;B280&amp;" — "&amp;C280&amp;" ("&amp;CurSym&amp;" "&amp;FIXED(S280,0)&amp;")")</f>
        <v/>
      </c>
      <c r="Z280" s="116">
        <f>IF('Contractors'!B280="","",'Contractors'!B280)</f>
        <v/>
      </c>
      <c r="AA280" s="77">
        <f>IF(Z280="","",'Contractors'!K280)</f>
        <v/>
      </c>
      <c r="AB280" s="77">
        <f>IF(Z280="","",SUMIFS($L$6:$L$1005,$B$6:$B$1005,Z280))</f>
        <v/>
      </c>
      <c r="AC280" s="77">
        <f>IF(Z280="","",SUMIFS($N$6:$N$1005,$B$6:$B$1005,Z280))</f>
        <v/>
      </c>
      <c r="AD280" s="76">
        <f>IF(Z280="","",AA280-AC280)</f>
        <v/>
      </c>
      <c r="AE280" s="117">
        <f>IF(Z280="","",IFERROR(1/SUMPRODUCT(MAX(($B$6:$B$1005=Z280)*$T$6:$T$1005)),""))</f>
        <v/>
      </c>
      <c r="AF280" s="77">
        <f>IF(AE280="","",SUMIFS($S$6:$S$1005,$B$6:$B$1005,Z280,$I$6:$I$1005,AE280))</f>
        <v/>
      </c>
    </row>
    <row r="281" ht="20" customHeight="1">
      <c r="B281" s="72" t="n"/>
      <c r="C281" s="72" t="n"/>
      <c r="D281" s="72" t="n"/>
      <c r="E281" s="72" t="n"/>
      <c r="F281" s="110" t="n"/>
      <c r="G281" s="73" t="n"/>
      <c r="H281" s="75">
        <f>IF(B281="","",IF(G281&lt;&gt;"",G281,IF(F281&lt;&gt;"",F281*IFERROR(INDEX('Contractors'!$I$6:$I$1005,MATCH(B281,'Contractors'!$B$6:$B$1005,0)),0),"")))</f>
        <v/>
      </c>
      <c r="I281" s="109" t="n"/>
      <c r="J281" s="72" t="n"/>
      <c r="K281" s="109" t="n"/>
      <c r="L281" s="73" t="n"/>
      <c r="M281" s="109" t="n"/>
      <c r="N281" s="73" t="n"/>
      <c r="O281" s="107">
        <f>IF(B281="","",IF(M281&lt;&gt;"","Paid",IF(AND(I281&lt;&gt;"",I281&lt;AsOf),"OVERDUE",IF(OR(K281&lt;&gt;"",L281&lt;&gt;""),"Invoiced","Scheduled"))))</f>
        <v/>
      </c>
      <c r="P281" s="115">
        <f>IF(B281="","",IF(E281&lt;&gt;"",E281,IFERROR(INDEX('Contractors'!$D$6:$D$1005,MATCH(B281,'Contractors'!$B$6:$B$1005,0)),"")))</f>
        <v/>
      </c>
      <c r="Q281" s="79">
        <f>IF(B281="","",IF(D281&lt;&gt;"",D281,IFERROR(INDEX('Contractors'!$E$6:$E$1005,MATCH(B281,'Contractors'!$B$6:$B$1005,0)),"")))</f>
        <v/>
      </c>
      <c r="R281" s="79">
        <f>IF(O281="","",IF(O281="OVERDUE",2,IF(O281="Paid",0,IF(AND(I281&lt;&gt;"",I281&lt;=AsOf+AlertDays),1,0))))</f>
        <v/>
      </c>
      <c r="S281" s="79">
        <f>IF(AND(B281&lt;&gt;"",M281="",I281&lt;&gt;""),IF(L281&lt;&gt;"",L281,IF(H281="",0,H281)),0)</f>
        <v/>
      </c>
      <c r="T281" s="79">
        <f>IF(AND(B281&lt;&gt;"",M281="",I281&lt;&gt;""),1/I281,0)</f>
        <v/>
      </c>
      <c r="U281" s="112">
        <f>IF(AND(B281&lt;&gt;"",M281="",I281&lt;&gt;""),I281,"")</f>
        <v/>
      </c>
      <c r="V281" s="79">
        <f>IF(U281="","",IF(U281&lt;AsOf,1,IF(U281&lt;=AsOf+AlertDays,2,IF(U281&lt;=AsOf+2*AlertDays,3,""))))</f>
        <v/>
      </c>
      <c r="W281" s="79">
        <f>IF(V281="","",IF(O281="OVERDUE","Overdue payment: ","Payment due: ")&amp;B281&amp;" — "&amp;C281&amp;" ("&amp;CurSym&amp;" "&amp;FIXED(S281,0)&amp;")")</f>
        <v/>
      </c>
      <c r="Z281" s="116">
        <f>IF('Contractors'!B281="","",'Contractors'!B281)</f>
        <v/>
      </c>
      <c r="AA281" s="77">
        <f>IF(Z281="","",'Contractors'!K281)</f>
        <v/>
      </c>
      <c r="AB281" s="77">
        <f>IF(Z281="","",SUMIFS($L$6:$L$1005,$B$6:$B$1005,Z281))</f>
        <v/>
      </c>
      <c r="AC281" s="77">
        <f>IF(Z281="","",SUMIFS($N$6:$N$1005,$B$6:$B$1005,Z281))</f>
        <v/>
      </c>
      <c r="AD281" s="76">
        <f>IF(Z281="","",AA281-AC281)</f>
        <v/>
      </c>
      <c r="AE281" s="117">
        <f>IF(Z281="","",IFERROR(1/SUMPRODUCT(MAX(($B$6:$B$1005=Z281)*$T$6:$T$1005)),""))</f>
        <v/>
      </c>
      <c r="AF281" s="77">
        <f>IF(AE281="","",SUMIFS($S$6:$S$1005,$B$6:$B$1005,Z281,$I$6:$I$1005,AE281))</f>
        <v/>
      </c>
    </row>
    <row r="282" ht="20" customHeight="1">
      <c r="B282" s="72" t="n"/>
      <c r="C282" s="72" t="n"/>
      <c r="D282" s="72" t="n"/>
      <c r="E282" s="72" t="n"/>
      <c r="F282" s="110" t="n"/>
      <c r="G282" s="73" t="n"/>
      <c r="H282" s="75">
        <f>IF(B282="","",IF(G282&lt;&gt;"",G282,IF(F282&lt;&gt;"",F282*IFERROR(INDEX('Contractors'!$I$6:$I$1005,MATCH(B282,'Contractors'!$B$6:$B$1005,0)),0),"")))</f>
        <v/>
      </c>
      <c r="I282" s="109" t="n"/>
      <c r="J282" s="72" t="n"/>
      <c r="K282" s="109" t="n"/>
      <c r="L282" s="73" t="n"/>
      <c r="M282" s="109" t="n"/>
      <c r="N282" s="73" t="n"/>
      <c r="O282" s="107">
        <f>IF(B282="","",IF(M282&lt;&gt;"","Paid",IF(AND(I282&lt;&gt;"",I282&lt;AsOf),"OVERDUE",IF(OR(K282&lt;&gt;"",L282&lt;&gt;""),"Invoiced","Scheduled"))))</f>
        <v/>
      </c>
      <c r="P282" s="115">
        <f>IF(B282="","",IF(E282&lt;&gt;"",E282,IFERROR(INDEX('Contractors'!$D$6:$D$1005,MATCH(B282,'Contractors'!$B$6:$B$1005,0)),"")))</f>
        <v/>
      </c>
      <c r="Q282" s="79">
        <f>IF(B282="","",IF(D282&lt;&gt;"",D282,IFERROR(INDEX('Contractors'!$E$6:$E$1005,MATCH(B282,'Contractors'!$B$6:$B$1005,0)),"")))</f>
        <v/>
      </c>
      <c r="R282" s="79">
        <f>IF(O282="","",IF(O282="OVERDUE",2,IF(O282="Paid",0,IF(AND(I282&lt;&gt;"",I282&lt;=AsOf+AlertDays),1,0))))</f>
        <v/>
      </c>
      <c r="S282" s="79">
        <f>IF(AND(B282&lt;&gt;"",M282="",I282&lt;&gt;""),IF(L282&lt;&gt;"",L282,IF(H282="",0,H282)),0)</f>
        <v/>
      </c>
      <c r="T282" s="79">
        <f>IF(AND(B282&lt;&gt;"",M282="",I282&lt;&gt;""),1/I282,0)</f>
        <v/>
      </c>
      <c r="U282" s="112">
        <f>IF(AND(B282&lt;&gt;"",M282="",I282&lt;&gt;""),I282,"")</f>
        <v/>
      </c>
      <c r="V282" s="79">
        <f>IF(U282="","",IF(U282&lt;AsOf,1,IF(U282&lt;=AsOf+AlertDays,2,IF(U282&lt;=AsOf+2*AlertDays,3,""))))</f>
        <v/>
      </c>
      <c r="W282" s="79">
        <f>IF(V282="","",IF(O282="OVERDUE","Overdue payment: ","Payment due: ")&amp;B282&amp;" — "&amp;C282&amp;" ("&amp;CurSym&amp;" "&amp;FIXED(S282,0)&amp;")")</f>
        <v/>
      </c>
      <c r="Z282" s="116">
        <f>IF('Contractors'!B282="","",'Contractors'!B282)</f>
        <v/>
      </c>
      <c r="AA282" s="77">
        <f>IF(Z282="","",'Contractors'!K282)</f>
        <v/>
      </c>
      <c r="AB282" s="77">
        <f>IF(Z282="","",SUMIFS($L$6:$L$1005,$B$6:$B$1005,Z282))</f>
        <v/>
      </c>
      <c r="AC282" s="77">
        <f>IF(Z282="","",SUMIFS($N$6:$N$1005,$B$6:$B$1005,Z282))</f>
        <v/>
      </c>
      <c r="AD282" s="76">
        <f>IF(Z282="","",AA282-AC282)</f>
        <v/>
      </c>
      <c r="AE282" s="117">
        <f>IF(Z282="","",IFERROR(1/SUMPRODUCT(MAX(($B$6:$B$1005=Z282)*$T$6:$T$1005)),""))</f>
        <v/>
      </c>
      <c r="AF282" s="77">
        <f>IF(AE282="","",SUMIFS($S$6:$S$1005,$B$6:$B$1005,Z282,$I$6:$I$1005,AE282))</f>
        <v/>
      </c>
    </row>
    <row r="283" ht="20" customHeight="1">
      <c r="B283" s="72" t="n"/>
      <c r="C283" s="72" t="n"/>
      <c r="D283" s="72" t="n"/>
      <c r="E283" s="72" t="n"/>
      <c r="F283" s="110" t="n"/>
      <c r="G283" s="73" t="n"/>
      <c r="H283" s="75">
        <f>IF(B283="","",IF(G283&lt;&gt;"",G283,IF(F283&lt;&gt;"",F283*IFERROR(INDEX('Contractors'!$I$6:$I$1005,MATCH(B283,'Contractors'!$B$6:$B$1005,0)),0),"")))</f>
        <v/>
      </c>
      <c r="I283" s="109" t="n"/>
      <c r="J283" s="72" t="n"/>
      <c r="K283" s="109" t="n"/>
      <c r="L283" s="73" t="n"/>
      <c r="M283" s="109" t="n"/>
      <c r="N283" s="73" t="n"/>
      <c r="O283" s="107">
        <f>IF(B283="","",IF(M283&lt;&gt;"","Paid",IF(AND(I283&lt;&gt;"",I283&lt;AsOf),"OVERDUE",IF(OR(K283&lt;&gt;"",L283&lt;&gt;""),"Invoiced","Scheduled"))))</f>
        <v/>
      </c>
      <c r="P283" s="115">
        <f>IF(B283="","",IF(E283&lt;&gt;"",E283,IFERROR(INDEX('Contractors'!$D$6:$D$1005,MATCH(B283,'Contractors'!$B$6:$B$1005,0)),"")))</f>
        <v/>
      </c>
      <c r="Q283" s="79">
        <f>IF(B283="","",IF(D283&lt;&gt;"",D283,IFERROR(INDEX('Contractors'!$E$6:$E$1005,MATCH(B283,'Contractors'!$B$6:$B$1005,0)),"")))</f>
        <v/>
      </c>
      <c r="R283" s="79">
        <f>IF(O283="","",IF(O283="OVERDUE",2,IF(O283="Paid",0,IF(AND(I283&lt;&gt;"",I283&lt;=AsOf+AlertDays),1,0))))</f>
        <v/>
      </c>
      <c r="S283" s="79">
        <f>IF(AND(B283&lt;&gt;"",M283="",I283&lt;&gt;""),IF(L283&lt;&gt;"",L283,IF(H283="",0,H283)),0)</f>
        <v/>
      </c>
      <c r="T283" s="79">
        <f>IF(AND(B283&lt;&gt;"",M283="",I283&lt;&gt;""),1/I283,0)</f>
        <v/>
      </c>
      <c r="U283" s="112">
        <f>IF(AND(B283&lt;&gt;"",M283="",I283&lt;&gt;""),I283,"")</f>
        <v/>
      </c>
      <c r="V283" s="79">
        <f>IF(U283="","",IF(U283&lt;AsOf,1,IF(U283&lt;=AsOf+AlertDays,2,IF(U283&lt;=AsOf+2*AlertDays,3,""))))</f>
        <v/>
      </c>
      <c r="W283" s="79">
        <f>IF(V283="","",IF(O283="OVERDUE","Overdue payment: ","Payment due: ")&amp;B283&amp;" — "&amp;C283&amp;" ("&amp;CurSym&amp;" "&amp;FIXED(S283,0)&amp;")")</f>
        <v/>
      </c>
      <c r="Z283" s="116">
        <f>IF('Contractors'!B283="","",'Contractors'!B283)</f>
        <v/>
      </c>
      <c r="AA283" s="77">
        <f>IF(Z283="","",'Contractors'!K283)</f>
        <v/>
      </c>
      <c r="AB283" s="77">
        <f>IF(Z283="","",SUMIFS($L$6:$L$1005,$B$6:$B$1005,Z283))</f>
        <v/>
      </c>
      <c r="AC283" s="77">
        <f>IF(Z283="","",SUMIFS($N$6:$N$1005,$B$6:$B$1005,Z283))</f>
        <v/>
      </c>
      <c r="AD283" s="76">
        <f>IF(Z283="","",AA283-AC283)</f>
        <v/>
      </c>
      <c r="AE283" s="117">
        <f>IF(Z283="","",IFERROR(1/SUMPRODUCT(MAX(($B$6:$B$1005=Z283)*$T$6:$T$1005)),""))</f>
        <v/>
      </c>
      <c r="AF283" s="77">
        <f>IF(AE283="","",SUMIFS($S$6:$S$1005,$B$6:$B$1005,Z283,$I$6:$I$1005,AE283))</f>
        <v/>
      </c>
    </row>
    <row r="284" ht="20" customHeight="1">
      <c r="B284" s="72" t="n"/>
      <c r="C284" s="72" t="n"/>
      <c r="D284" s="72" t="n"/>
      <c r="E284" s="72" t="n"/>
      <c r="F284" s="110" t="n"/>
      <c r="G284" s="73" t="n"/>
      <c r="H284" s="75">
        <f>IF(B284="","",IF(G284&lt;&gt;"",G284,IF(F284&lt;&gt;"",F284*IFERROR(INDEX('Contractors'!$I$6:$I$1005,MATCH(B284,'Contractors'!$B$6:$B$1005,0)),0),"")))</f>
        <v/>
      </c>
      <c r="I284" s="109" t="n"/>
      <c r="J284" s="72" t="n"/>
      <c r="K284" s="109" t="n"/>
      <c r="L284" s="73" t="n"/>
      <c r="M284" s="109" t="n"/>
      <c r="N284" s="73" t="n"/>
      <c r="O284" s="107">
        <f>IF(B284="","",IF(M284&lt;&gt;"","Paid",IF(AND(I284&lt;&gt;"",I284&lt;AsOf),"OVERDUE",IF(OR(K284&lt;&gt;"",L284&lt;&gt;""),"Invoiced","Scheduled"))))</f>
        <v/>
      </c>
      <c r="P284" s="115">
        <f>IF(B284="","",IF(E284&lt;&gt;"",E284,IFERROR(INDEX('Contractors'!$D$6:$D$1005,MATCH(B284,'Contractors'!$B$6:$B$1005,0)),"")))</f>
        <v/>
      </c>
      <c r="Q284" s="79">
        <f>IF(B284="","",IF(D284&lt;&gt;"",D284,IFERROR(INDEX('Contractors'!$E$6:$E$1005,MATCH(B284,'Contractors'!$B$6:$B$1005,0)),"")))</f>
        <v/>
      </c>
      <c r="R284" s="79">
        <f>IF(O284="","",IF(O284="OVERDUE",2,IF(O284="Paid",0,IF(AND(I284&lt;&gt;"",I284&lt;=AsOf+AlertDays),1,0))))</f>
        <v/>
      </c>
      <c r="S284" s="79">
        <f>IF(AND(B284&lt;&gt;"",M284="",I284&lt;&gt;""),IF(L284&lt;&gt;"",L284,IF(H284="",0,H284)),0)</f>
        <v/>
      </c>
      <c r="T284" s="79">
        <f>IF(AND(B284&lt;&gt;"",M284="",I284&lt;&gt;""),1/I284,0)</f>
        <v/>
      </c>
      <c r="U284" s="112">
        <f>IF(AND(B284&lt;&gt;"",M284="",I284&lt;&gt;""),I284,"")</f>
        <v/>
      </c>
      <c r="V284" s="79">
        <f>IF(U284="","",IF(U284&lt;AsOf,1,IF(U284&lt;=AsOf+AlertDays,2,IF(U284&lt;=AsOf+2*AlertDays,3,""))))</f>
        <v/>
      </c>
      <c r="W284" s="79">
        <f>IF(V284="","",IF(O284="OVERDUE","Overdue payment: ","Payment due: ")&amp;B284&amp;" — "&amp;C284&amp;" ("&amp;CurSym&amp;" "&amp;FIXED(S284,0)&amp;")")</f>
        <v/>
      </c>
      <c r="Z284" s="116">
        <f>IF('Contractors'!B284="","",'Contractors'!B284)</f>
        <v/>
      </c>
      <c r="AA284" s="77">
        <f>IF(Z284="","",'Contractors'!K284)</f>
        <v/>
      </c>
      <c r="AB284" s="77">
        <f>IF(Z284="","",SUMIFS($L$6:$L$1005,$B$6:$B$1005,Z284))</f>
        <v/>
      </c>
      <c r="AC284" s="77">
        <f>IF(Z284="","",SUMIFS($N$6:$N$1005,$B$6:$B$1005,Z284))</f>
        <v/>
      </c>
      <c r="AD284" s="76">
        <f>IF(Z284="","",AA284-AC284)</f>
        <v/>
      </c>
      <c r="AE284" s="117">
        <f>IF(Z284="","",IFERROR(1/SUMPRODUCT(MAX(($B$6:$B$1005=Z284)*$T$6:$T$1005)),""))</f>
        <v/>
      </c>
      <c r="AF284" s="77">
        <f>IF(AE284="","",SUMIFS($S$6:$S$1005,$B$6:$B$1005,Z284,$I$6:$I$1005,AE284))</f>
        <v/>
      </c>
    </row>
    <row r="285" ht="20" customHeight="1">
      <c r="B285" s="72" t="n"/>
      <c r="C285" s="72" t="n"/>
      <c r="D285" s="72" t="n"/>
      <c r="E285" s="72" t="n"/>
      <c r="F285" s="110" t="n"/>
      <c r="G285" s="73" t="n"/>
      <c r="H285" s="75">
        <f>IF(B285="","",IF(G285&lt;&gt;"",G285,IF(F285&lt;&gt;"",F285*IFERROR(INDEX('Contractors'!$I$6:$I$1005,MATCH(B285,'Contractors'!$B$6:$B$1005,0)),0),"")))</f>
        <v/>
      </c>
      <c r="I285" s="109" t="n"/>
      <c r="J285" s="72" t="n"/>
      <c r="K285" s="109" t="n"/>
      <c r="L285" s="73" t="n"/>
      <c r="M285" s="109" t="n"/>
      <c r="N285" s="73" t="n"/>
      <c r="O285" s="107">
        <f>IF(B285="","",IF(M285&lt;&gt;"","Paid",IF(AND(I285&lt;&gt;"",I285&lt;AsOf),"OVERDUE",IF(OR(K285&lt;&gt;"",L285&lt;&gt;""),"Invoiced","Scheduled"))))</f>
        <v/>
      </c>
      <c r="P285" s="115">
        <f>IF(B285="","",IF(E285&lt;&gt;"",E285,IFERROR(INDEX('Contractors'!$D$6:$D$1005,MATCH(B285,'Contractors'!$B$6:$B$1005,0)),"")))</f>
        <v/>
      </c>
      <c r="Q285" s="79">
        <f>IF(B285="","",IF(D285&lt;&gt;"",D285,IFERROR(INDEX('Contractors'!$E$6:$E$1005,MATCH(B285,'Contractors'!$B$6:$B$1005,0)),"")))</f>
        <v/>
      </c>
      <c r="R285" s="79">
        <f>IF(O285="","",IF(O285="OVERDUE",2,IF(O285="Paid",0,IF(AND(I285&lt;&gt;"",I285&lt;=AsOf+AlertDays),1,0))))</f>
        <v/>
      </c>
      <c r="S285" s="79">
        <f>IF(AND(B285&lt;&gt;"",M285="",I285&lt;&gt;""),IF(L285&lt;&gt;"",L285,IF(H285="",0,H285)),0)</f>
        <v/>
      </c>
      <c r="T285" s="79">
        <f>IF(AND(B285&lt;&gt;"",M285="",I285&lt;&gt;""),1/I285,0)</f>
        <v/>
      </c>
      <c r="U285" s="112">
        <f>IF(AND(B285&lt;&gt;"",M285="",I285&lt;&gt;""),I285,"")</f>
        <v/>
      </c>
      <c r="V285" s="79">
        <f>IF(U285="","",IF(U285&lt;AsOf,1,IF(U285&lt;=AsOf+AlertDays,2,IF(U285&lt;=AsOf+2*AlertDays,3,""))))</f>
        <v/>
      </c>
      <c r="W285" s="79">
        <f>IF(V285="","",IF(O285="OVERDUE","Overdue payment: ","Payment due: ")&amp;B285&amp;" — "&amp;C285&amp;" ("&amp;CurSym&amp;" "&amp;FIXED(S285,0)&amp;")")</f>
        <v/>
      </c>
      <c r="Z285" s="116">
        <f>IF('Contractors'!B285="","",'Contractors'!B285)</f>
        <v/>
      </c>
      <c r="AA285" s="77">
        <f>IF(Z285="","",'Contractors'!K285)</f>
        <v/>
      </c>
      <c r="AB285" s="77">
        <f>IF(Z285="","",SUMIFS($L$6:$L$1005,$B$6:$B$1005,Z285))</f>
        <v/>
      </c>
      <c r="AC285" s="77">
        <f>IF(Z285="","",SUMIFS($N$6:$N$1005,$B$6:$B$1005,Z285))</f>
        <v/>
      </c>
      <c r="AD285" s="76">
        <f>IF(Z285="","",AA285-AC285)</f>
        <v/>
      </c>
      <c r="AE285" s="117">
        <f>IF(Z285="","",IFERROR(1/SUMPRODUCT(MAX(($B$6:$B$1005=Z285)*$T$6:$T$1005)),""))</f>
        <v/>
      </c>
      <c r="AF285" s="77">
        <f>IF(AE285="","",SUMIFS($S$6:$S$1005,$B$6:$B$1005,Z285,$I$6:$I$1005,AE285))</f>
        <v/>
      </c>
    </row>
    <row r="286" ht="20" customHeight="1">
      <c r="B286" s="72" t="n"/>
      <c r="C286" s="72" t="n"/>
      <c r="D286" s="72" t="n"/>
      <c r="E286" s="72" t="n"/>
      <c r="F286" s="110" t="n"/>
      <c r="G286" s="73" t="n"/>
      <c r="H286" s="75">
        <f>IF(B286="","",IF(G286&lt;&gt;"",G286,IF(F286&lt;&gt;"",F286*IFERROR(INDEX('Contractors'!$I$6:$I$1005,MATCH(B286,'Contractors'!$B$6:$B$1005,0)),0),"")))</f>
        <v/>
      </c>
      <c r="I286" s="109" t="n"/>
      <c r="J286" s="72" t="n"/>
      <c r="K286" s="109" t="n"/>
      <c r="L286" s="73" t="n"/>
      <c r="M286" s="109" t="n"/>
      <c r="N286" s="73" t="n"/>
      <c r="O286" s="107">
        <f>IF(B286="","",IF(M286&lt;&gt;"","Paid",IF(AND(I286&lt;&gt;"",I286&lt;AsOf),"OVERDUE",IF(OR(K286&lt;&gt;"",L286&lt;&gt;""),"Invoiced","Scheduled"))))</f>
        <v/>
      </c>
      <c r="P286" s="115">
        <f>IF(B286="","",IF(E286&lt;&gt;"",E286,IFERROR(INDEX('Contractors'!$D$6:$D$1005,MATCH(B286,'Contractors'!$B$6:$B$1005,0)),"")))</f>
        <v/>
      </c>
      <c r="Q286" s="79">
        <f>IF(B286="","",IF(D286&lt;&gt;"",D286,IFERROR(INDEX('Contractors'!$E$6:$E$1005,MATCH(B286,'Contractors'!$B$6:$B$1005,0)),"")))</f>
        <v/>
      </c>
      <c r="R286" s="79">
        <f>IF(O286="","",IF(O286="OVERDUE",2,IF(O286="Paid",0,IF(AND(I286&lt;&gt;"",I286&lt;=AsOf+AlertDays),1,0))))</f>
        <v/>
      </c>
      <c r="S286" s="79">
        <f>IF(AND(B286&lt;&gt;"",M286="",I286&lt;&gt;""),IF(L286&lt;&gt;"",L286,IF(H286="",0,H286)),0)</f>
        <v/>
      </c>
      <c r="T286" s="79">
        <f>IF(AND(B286&lt;&gt;"",M286="",I286&lt;&gt;""),1/I286,0)</f>
        <v/>
      </c>
      <c r="U286" s="112">
        <f>IF(AND(B286&lt;&gt;"",M286="",I286&lt;&gt;""),I286,"")</f>
        <v/>
      </c>
      <c r="V286" s="79">
        <f>IF(U286="","",IF(U286&lt;AsOf,1,IF(U286&lt;=AsOf+AlertDays,2,IF(U286&lt;=AsOf+2*AlertDays,3,""))))</f>
        <v/>
      </c>
      <c r="W286" s="79">
        <f>IF(V286="","",IF(O286="OVERDUE","Overdue payment: ","Payment due: ")&amp;B286&amp;" — "&amp;C286&amp;" ("&amp;CurSym&amp;" "&amp;FIXED(S286,0)&amp;")")</f>
        <v/>
      </c>
      <c r="Z286" s="116">
        <f>IF('Contractors'!B286="","",'Contractors'!B286)</f>
        <v/>
      </c>
      <c r="AA286" s="77">
        <f>IF(Z286="","",'Contractors'!K286)</f>
        <v/>
      </c>
      <c r="AB286" s="77">
        <f>IF(Z286="","",SUMIFS($L$6:$L$1005,$B$6:$B$1005,Z286))</f>
        <v/>
      </c>
      <c r="AC286" s="77">
        <f>IF(Z286="","",SUMIFS($N$6:$N$1005,$B$6:$B$1005,Z286))</f>
        <v/>
      </c>
      <c r="AD286" s="76">
        <f>IF(Z286="","",AA286-AC286)</f>
        <v/>
      </c>
      <c r="AE286" s="117">
        <f>IF(Z286="","",IFERROR(1/SUMPRODUCT(MAX(($B$6:$B$1005=Z286)*$T$6:$T$1005)),""))</f>
        <v/>
      </c>
      <c r="AF286" s="77">
        <f>IF(AE286="","",SUMIFS($S$6:$S$1005,$B$6:$B$1005,Z286,$I$6:$I$1005,AE286))</f>
        <v/>
      </c>
    </row>
    <row r="287" ht="20" customHeight="1">
      <c r="B287" s="72" t="n"/>
      <c r="C287" s="72" t="n"/>
      <c r="D287" s="72" t="n"/>
      <c r="E287" s="72" t="n"/>
      <c r="F287" s="110" t="n"/>
      <c r="G287" s="73" t="n"/>
      <c r="H287" s="75">
        <f>IF(B287="","",IF(G287&lt;&gt;"",G287,IF(F287&lt;&gt;"",F287*IFERROR(INDEX('Contractors'!$I$6:$I$1005,MATCH(B287,'Contractors'!$B$6:$B$1005,0)),0),"")))</f>
        <v/>
      </c>
      <c r="I287" s="109" t="n"/>
      <c r="J287" s="72" t="n"/>
      <c r="K287" s="109" t="n"/>
      <c r="L287" s="73" t="n"/>
      <c r="M287" s="109" t="n"/>
      <c r="N287" s="73" t="n"/>
      <c r="O287" s="107">
        <f>IF(B287="","",IF(M287&lt;&gt;"","Paid",IF(AND(I287&lt;&gt;"",I287&lt;AsOf),"OVERDUE",IF(OR(K287&lt;&gt;"",L287&lt;&gt;""),"Invoiced","Scheduled"))))</f>
        <v/>
      </c>
      <c r="P287" s="115">
        <f>IF(B287="","",IF(E287&lt;&gt;"",E287,IFERROR(INDEX('Contractors'!$D$6:$D$1005,MATCH(B287,'Contractors'!$B$6:$B$1005,0)),"")))</f>
        <v/>
      </c>
      <c r="Q287" s="79">
        <f>IF(B287="","",IF(D287&lt;&gt;"",D287,IFERROR(INDEX('Contractors'!$E$6:$E$1005,MATCH(B287,'Contractors'!$B$6:$B$1005,0)),"")))</f>
        <v/>
      </c>
      <c r="R287" s="79">
        <f>IF(O287="","",IF(O287="OVERDUE",2,IF(O287="Paid",0,IF(AND(I287&lt;&gt;"",I287&lt;=AsOf+AlertDays),1,0))))</f>
        <v/>
      </c>
      <c r="S287" s="79">
        <f>IF(AND(B287&lt;&gt;"",M287="",I287&lt;&gt;""),IF(L287&lt;&gt;"",L287,IF(H287="",0,H287)),0)</f>
        <v/>
      </c>
      <c r="T287" s="79">
        <f>IF(AND(B287&lt;&gt;"",M287="",I287&lt;&gt;""),1/I287,0)</f>
        <v/>
      </c>
      <c r="U287" s="112">
        <f>IF(AND(B287&lt;&gt;"",M287="",I287&lt;&gt;""),I287,"")</f>
        <v/>
      </c>
      <c r="V287" s="79">
        <f>IF(U287="","",IF(U287&lt;AsOf,1,IF(U287&lt;=AsOf+AlertDays,2,IF(U287&lt;=AsOf+2*AlertDays,3,""))))</f>
        <v/>
      </c>
      <c r="W287" s="79">
        <f>IF(V287="","",IF(O287="OVERDUE","Overdue payment: ","Payment due: ")&amp;B287&amp;" — "&amp;C287&amp;" ("&amp;CurSym&amp;" "&amp;FIXED(S287,0)&amp;")")</f>
        <v/>
      </c>
      <c r="Z287" s="116">
        <f>IF('Contractors'!B287="","",'Contractors'!B287)</f>
        <v/>
      </c>
      <c r="AA287" s="77">
        <f>IF(Z287="","",'Contractors'!K287)</f>
        <v/>
      </c>
      <c r="AB287" s="77">
        <f>IF(Z287="","",SUMIFS($L$6:$L$1005,$B$6:$B$1005,Z287))</f>
        <v/>
      </c>
      <c r="AC287" s="77">
        <f>IF(Z287="","",SUMIFS($N$6:$N$1005,$B$6:$B$1005,Z287))</f>
        <v/>
      </c>
      <c r="AD287" s="76">
        <f>IF(Z287="","",AA287-AC287)</f>
        <v/>
      </c>
      <c r="AE287" s="117">
        <f>IF(Z287="","",IFERROR(1/SUMPRODUCT(MAX(($B$6:$B$1005=Z287)*$T$6:$T$1005)),""))</f>
        <v/>
      </c>
      <c r="AF287" s="77">
        <f>IF(AE287="","",SUMIFS($S$6:$S$1005,$B$6:$B$1005,Z287,$I$6:$I$1005,AE287))</f>
        <v/>
      </c>
    </row>
    <row r="288" ht="20" customHeight="1">
      <c r="B288" s="72" t="n"/>
      <c r="C288" s="72" t="n"/>
      <c r="D288" s="72" t="n"/>
      <c r="E288" s="72" t="n"/>
      <c r="F288" s="110" t="n"/>
      <c r="G288" s="73" t="n"/>
      <c r="H288" s="75">
        <f>IF(B288="","",IF(G288&lt;&gt;"",G288,IF(F288&lt;&gt;"",F288*IFERROR(INDEX('Contractors'!$I$6:$I$1005,MATCH(B288,'Contractors'!$B$6:$B$1005,0)),0),"")))</f>
        <v/>
      </c>
      <c r="I288" s="109" t="n"/>
      <c r="J288" s="72" t="n"/>
      <c r="K288" s="109" t="n"/>
      <c r="L288" s="73" t="n"/>
      <c r="M288" s="109" t="n"/>
      <c r="N288" s="73" t="n"/>
      <c r="O288" s="107">
        <f>IF(B288="","",IF(M288&lt;&gt;"","Paid",IF(AND(I288&lt;&gt;"",I288&lt;AsOf),"OVERDUE",IF(OR(K288&lt;&gt;"",L288&lt;&gt;""),"Invoiced","Scheduled"))))</f>
        <v/>
      </c>
      <c r="P288" s="115">
        <f>IF(B288="","",IF(E288&lt;&gt;"",E288,IFERROR(INDEX('Contractors'!$D$6:$D$1005,MATCH(B288,'Contractors'!$B$6:$B$1005,0)),"")))</f>
        <v/>
      </c>
      <c r="Q288" s="79">
        <f>IF(B288="","",IF(D288&lt;&gt;"",D288,IFERROR(INDEX('Contractors'!$E$6:$E$1005,MATCH(B288,'Contractors'!$B$6:$B$1005,0)),"")))</f>
        <v/>
      </c>
      <c r="R288" s="79">
        <f>IF(O288="","",IF(O288="OVERDUE",2,IF(O288="Paid",0,IF(AND(I288&lt;&gt;"",I288&lt;=AsOf+AlertDays),1,0))))</f>
        <v/>
      </c>
      <c r="S288" s="79">
        <f>IF(AND(B288&lt;&gt;"",M288="",I288&lt;&gt;""),IF(L288&lt;&gt;"",L288,IF(H288="",0,H288)),0)</f>
        <v/>
      </c>
      <c r="T288" s="79">
        <f>IF(AND(B288&lt;&gt;"",M288="",I288&lt;&gt;""),1/I288,0)</f>
        <v/>
      </c>
      <c r="U288" s="112">
        <f>IF(AND(B288&lt;&gt;"",M288="",I288&lt;&gt;""),I288,"")</f>
        <v/>
      </c>
      <c r="V288" s="79">
        <f>IF(U288="","",IF(U288&lt;AsOf,1,IF(U288&lt;=AsOf+AlertDays,2,IF(U288&lt;=AsOf+2*AlertDays,3,""))))</f>
        <v/>
      </c>
      <c r="W288" s="79">
        <f>IF(V288="","",IF(O288="OVERDUE","Overdue payment: ","Payment due: ")&amp;B288&amp;" — "&amp;C288&amp;" ("&amp;CurSym&amp;" "&amp;FIXED(S288,0)&amp;")")</f>
        <v/>
      </c>
      <c r="Z288" s="116">
        <f>IF('Contractors'!B288="","",'Contractors'!B288)</f>
        <v/>
      </c>
      <c r="AA288" s="77">
        <f>IF(Z288="","",'Contractors'!K288)</f>
        <v/>
      </c>
      <c r="AB288" s="77">
        <f>IF(Z288="","",SUMIFS($L$6:$L$1005,$B$6:$B$1005,Z288))</f>
        <v/>
      </c>
      <c r="AC288" s="77">
        <f>IF(Z288="","",SUMIFS($N$6:$N$1005,$B$6:$B$1005,Z288))</f>
        <v/>
      </c>
      <c r="AD288" s="76">
        <f>IF(Z288="","",AA288-AC288)</f>
        <v/>
      </c>
      <c r="AE288" s="117">
        <f>IF(Z288="","",IFERROR(1/SUMPRODUCT(MAX(($B$6:$B$1005=Z288)*$T$6:$T$1005)),""))</f>
        <v/>
      </c>
      <c r="AF288" s="77">
        <f>IF(AE288="","",SUMIFS($S$6:$S$1005,$B$6:$B$1005,Z288,$I$6:$I$1005,AE288))</f>
        <v/>
      </c>
    </row>
    <row r="289" ht="20" customHeight="1">
      <c r="B289" s="72" t="n"/>
      <c r="C289" s="72" t="n"/>
      <c r="D289" s="72" t="n"/>
      <c r="E289" s="72" t="n"/>
      <c r="F289" s="110" t="n"/>
      <c r="G289" s="73" t="n"/>
      <c r="H289" s="75">
        <f>IF(B289="","",IF(G289&lt;&gt;"",G289,IF(F289&lt;&gt;"",F289*IFERROR(INDEX('Contractors'!$I$6:$I$1005,MATCH(B289,'Contractors'!$B$6:$B$1005,0)),0),"")))</f>
        <v/>
      </c>
      <c r="I289" s="109" t="n"/>
      <c r="J289" s="72" t="n"/>
      <c r="K289" s="109" t="n"/>
      <c r="L289" s="73" t="n"/>
      <c r="M289" s="109" t="n"/>
      <c r="N289" s="73" t="n"/>
      <c r="O289" s="107">
        <f>IF(B289="","",IF(M289&lt;&gt;"","Paid",IF(AND(I289&lt;&gt;"",I289&lt;AsOf),"OVERDUE",IF(OR(K289&lt;&gt;"",L289&lt;&gt;""),"Invoiced","Scheduled"))))</f>
        <v/>
      </c>
      <c r="P289" s="115">
        <f>IF(B289="","",IF(E289&lt;&gt;"",E289,IFERROR(INDEX('Contractors'!$D$6:$D$1005,MATCH(B289,'Contractors'!$B$6:$B$1005,0)),"")))</f>
        <v/>
      </c>
      <c r="Q289" s="79">
        <f>IF(B289="","",IF(D289&lt;&gt;"",D289,IFERROR(INDEX('Contractors'!$E$6:$E$1005,MATCH(B289,'Contractors'!$B$6:$B$1005,0)),"")))</f>
        <v/>
      </c>
      <c r="R289" s="79">
        <f>IF(O289="","",IF(O289="OVERDUE",2,IF(O289="Paid",0,IF(AND(I289&lt;&gt;"",I289&lt;=AsOf+AlertDays),1,0))))</f>
        <v/>
      </c>
      <c r="S289" s="79">
        <f>IF(AND(B289&lt;&gt;"",M289="",I289&lt;&gt;""),IF(L289&lt;&gt;"",L289,IF(H289="",0,H289)),0)</f>
        <v/>
      </c>
      <c r="T289" s="79">
        <f>IF(AND(B289&lt;&gt;"",M289="",I289&lt;&gt;""),1/I289,0)</f>
        <v/>
      </c>
      <c r="U289" s="112">
        <f>IF(AND(B289&lt;&gt;"",M289="",I289&lt;&gt;""),I289,"")</f>
        <v/>
      </c>
      <c r="V289" s="79">
        <f>IF(U289="","",IF(U289&lt;AsOf,1,IF(U289&lt;=AsOf+AlertDays,2,IF(U289&lt;=AsOf+2*AlertDays,3,""))))</f>
        <v/>
      </c>
      <c r="W289" s="79">
        <f>IF(V289="","",IF(O289="OVERDUE","Overdue payment: ","Payment due: ")&amp;B289&amp;" — "&amp;C289&amp;" ("&amp;CurSym&amp;" "&amp;FIXED(S289,0)&amp;")")</f>
        <v/>
      </c>
      <c r="Z289" s="116">
        <f>IF('Contractors'!B289="","",'Contractors'!B289)</f>
        <v/>
      </c>
      <c r="AA289" s="77">
        <f>IF(Z289="","",'Contractors'!K289)</f>
        <v/>
      </c>
      <c r="AB289" s="77">
        <f>IF(Z289="","",SUMIFS($L$6:$L$1005,$B$6:$B$1005,Z289))</f>
        <v/>
      </c>
      <c r="AC289" s="77">
        <f>IF(Z289="","",SUMIFS($N$6:$N$1005,$B$6:$B$1005,Z289))</f>
        <v/>
      </c>
      <c r="AD289" s="76">
        <f>IF(Z289="","",AA289-AC289)</f>
        <v/>
      </c>
      <c r="AE289" s="117">
        <f>IF(Z289="","",IFERROR(1/SUMPRODUCT(MAX(($B$6:$B$1005=Z289)*$T$6:$T$1005)),""))</f>
        <v/>
      </c>
      <c r="AF289" s="77">
        <f>IF(AE289="","",SUMIFS($S$6:$S$1005,$B$6:$B$1005,Z289,$I$6:$I$1005,AE289))</f>
        <v/>
      </c>
    </row>
    <row r="290" ht="20" customHeight="1">
      <c r="B290" s="72" t="n"/>
      <c r="C290" s="72" t="n"/>
      <c r="D290" s="72" t="n"/>
      <c r="E290" s="72" t="n"/>
      <c r="F290" s="110" t="n"/>
      <c r="G290" s="73" t="n"/>
      <c r="H290" s="75">
        <f>IF(B290="","",IF(G290&lt;&gt;"",G290,IF(F290&lt;&gt;"",F290*IFERROR(INDEX('Contractors'!$I$6:$I$1005,MATCH(B290,'Contractors'!$B$6:$B$1005,0)),0),"")))</f>
        <v/>
      </c>
      <c r="I290" s="109" t="n"/>
      <c r="J290" s="72" t="n"/>
      <c r="K290" s="109" t="n"/>
      <c r="L290" s="73" t="n"/>
      <c r="M290" s="109" t="n"/>
      <c r="N290" s="73" t="n"/>
      <c r="O290" s="107">
        <f>IF(B290="","",IF(M290&lt;&gt;"","Paid",IF(AND(I290&lt;&gt;"",I290&lt;AsOf),"OVERDUE",IF(OR(K290&lt;&gt;"",L290&lt;&gt;""),"Invoiced","Scheduled"))))</f>
        <v/>
      </c>
      <c r="P290" s="115">
        <f>IF(B290="","",IF(E290&lt;&gt;"",E290,IFERROR(INDEX('Contractors'!$D$6:$D$1005,MATCH(B290,'Contractors'!$B$6:$B$1005,0)),"")))</f>
        <v/>
      </c>
      <c r="Q290" s="79">
        <f>IF(B290="","",IF(D290&lt;&gt;"",D290,IFERROR(INDEX('Contractors'!$E$6:$E$1005,MATCH(B290,'Contractors'!$B$6:$B$1005,0)),"")))</f>
        <v/>
      </c>
      <c r="R290" s="79">
        <f>IF(O290="","",IF(O290="OVERDUE",2,IF(O290="Paid",0,IF(AND(I290&lt;&gt;"",I290&lt;=AsOf+AlertDays),1,0))))</f>
        <v/>
      </c>
      <c r="S290" s="79">
        <f>IF(AND(B290&lt;&gt;"",M290="",I290&lt;&gt;""),IF(L290&lt;&gt;"",L290,IF(H290="",0,H290)),0)</f>
        <v/>
      </c>
      <c r="T290" s="79">
        <f>IF(AND(B290&lt;&gt;"",M290="",I290&lt;&gt;""),1/I290,0)</f>
        <v/>
      </c>
      <c r="U290" s="112">
        <f>IF(AND(B290&lt;&gt;"",M290="",I290&lt;&gt;""),I290,"")</f>
        <v/>
      </c>
      <c r="V290" s="79">
        <f>IF(U290="","",IF(U290&lt;AsOf,1,IF(U290&lt;=AsOf+AlertDays,2,IF(U290&lt;=AsOf+2*AlertDays,3,""))))</f>
        <v/>
      </c>
      <c r="W290" s="79">
        <f>IF(V290="","",IF(O290="OVERDUE","Overdue payment: ","Payment due: ")&amp;B290&amp;" — "&amp;C290&amp;" ("&amp;CurSym&amp;" "&amp;FIXED(S290,0)&amp;")")</f>
        <v/>
      </c>
      <c r="Z290" s="116">
        <f>IF('Contractors'!B290="","",'Contractors'!B290)</f>
        <v/>
      </c>
      <c r="AA290" s="77">
        <f>IF(Z290="","",'Contractors'!K290)</f>
        <v/>
      </c>
      <c r="AB290" s="77">
        <f>IF(Z290="","",SUMIFS($L$6:$L$1005,$B$6:$B$1005,Z290))</f>
        <v/>
      </c>
      <c r="AC290" s="77">
        <f>IF(Z290="","",SUMIFS($N$6:$N$1005,$B$6:$B$1005,Z290))</f>
        <v/>
      </c>
      <c r="AD290" s="76">
        <f>IF(Z290="","",AA290-AC290)</f>
        <v/>
      </c>
      <c r="AE290" s="117">
        <f>IF(Z290="","",IFERROR(1/SUMPRODUCT(MAX(($B$6:$B$1005=Z290)*$T$6:$T$1005)),""))</f>
        <v/>
      </c>
      <c r="AF290" s="77">
        <f>IF(AE290="","",SUMIFS($S$6:$S$1005,$B$6:$B$1005,Z290,$I$6:$I$1005,AE290))</f>
        <v/>
      </c>
    </row>
    <row r="291" ht="20" customHeight="1">
      <c r="B291" s="72" t="n"/>
      <c r="C291" s="72" t="n"/>
      <c r="D291" s="72" t="n"/>
      <c r="E291" s="72" t="n"/>
      <c r="F291" s="110" t="n"/>
      <c r="G291" s="73" t="n"/>
      <c r="H291" s="75">
        <f>IF(B291="","",IF(G291&lt;&gt;"",G291,IF(F291&lt;&gt;"",F291*IFERROR(INDEX('Contractors'!$I$6:$I$1005,MATCH(B291,'Contractors'!$B$6:$B$1005,0)),0),"")))</f>
        <v/>
      </c>
      <c r="I291" s="109" t="n"/>
      <c r="J291" s="72" t="n"/>
      <c r="K291" s="109" t="n"/>
      <c r="L291" s="73" t="n"/>
      <c r="M291" s="109" t="n"/>
      <c r="N291" s="73" t="n"/>
      <c r="O291" s="107">
        <f>IF(B291="","",IF(M291&lt;&gt;"","Paid",IF(AND(I291&lt;&gt;"",I291&lt;AsOf),"OVERDUE",IF(OR(K291&lt;&gt;"",L291&lt;&gt;""),"Invoiced","Scheduled"))))</f>
        <v/>
      </c>
      <c r="P291" s="115">
        <f>IF(B291="","",IF(E291&lt;&gt;"",E291,IFERROR(INDEX('Contractors'!$D$6:$D$1005,MATCH(B291,'Contractors'!$B$6:$B$1005,0)),"")))</f>
        <v/>
      </c>
      <c r="Q291" s="79">
        <f>IF(B291="","",IF(D291&lt;&gt;"",D291,IFERROR(INDEX('Contractors'!$E$6:$E$1005,MATCH(B291,'Contractors'!$B$6:$B$1005,0)),"")))</f>
        <v/>
      </c>
      <c r="R291" s="79">
        <f>IF(O291="","",IF(O291="OVERDUE",2,IF(O291="Paid",0,IF(AND(I291&lt;&gt;"",I291&lt;=AsOf+AlertDays),1,0))))</f>
        <v/>
      </c>
      <c r="S291" s="79">
        <f>IF(AND(B291&lt;&gt;"",M291="",I291&lt;&gt;""),IF(L291&lt;&gt;"",L291,IF(H291="",0,H291)),0)</f>
        <v/>
      </c>
      <c r="T291" s="79">
        <f>IF(AND(B291&lt;&gt;"",M291="",I291&lt;&gt;""),1/I291,0)</f>
        <v/>
      </c>
      <c r="U291" s="112">
        <f>IF(AND(B291&lt;&gt;"",M291="",I291&lt;&gt;""),I291,"")</f>
        <v/>
      </c>
      <c r="V291" s="79">
        <f>IF(U291="","",IF(U291&lt;AsOf,1,IF(U291&lt;=AsOf+AlertDays,2,IF(U291&lt;=AsOf+2*AlertDays,3,""))))</f>
        <v/>
      </c>
      <c r="W291" s="79">
        <f>IF(V291="","",IF(O291="OVERDUE","Overdue payment: ","Payment due: ")&amp;B291&amp;" — "&amp;C291&amp;" ("&amp;CurSym&amp;" "&amp;FIXED(S291,0)&amp;")")</f>
        <v/>
      </c>
      <c r="Z291" s="116">
        <f>IF('Contractors'!B291="","",'Contractors'!B291)</f>
        <v/>
      </c>
      <c r="AA291" s="77">
        <f>IF(Z291="","",'Contractors'!K291)</f>
        <v/>
      </c>
      <c r="AB291" s="77">
        <f>IF(Z291="","",SUMIFS($L$6:$L$1005,$B$6:$B$1005,Z291))</f>
        <v/>
      </c>
      <c r="AC291" s="77">
        <f>IF(Z291="","",SUMIFS($N$6:$N$1005,$B$6:$B$1005,Z291))</f>
        <v/>
      </c>
      <c r="AD291" s="76">
        <f>IF(Z291="","",AA291-AC291)</f>
        <v/>
      </c>
      <c r="AE291" s="117">
        <f>IF(Z291="","",IFERROR(1/SUMPRODUCT(MAX(($B$6:$B$1005=Z291)*$T$6:$T$1005)),""))</f>
        <v/>
      </c>
      <c r="AF291" s="77">
        <f>IF(AE291="","",SUMIFS($S$6:$S$1005,$B$6:$B$1005,Z291,$I$6:$I$1005,AE291))</f>
        <v/>
      </c>
    </row>
    <row r="292" ht="20" customHeight="1">
      <c r="B292" s="72" t="n"/>
      <c r="C292" s="72" t="n"/>
      <c r="D292" s="72" t="n"/>
      <c r="E292" s="72" t="n"/>
      <c r="F292" s="110" t="n"/>
      <c r="G292" s="73" t="n"/>
      <c r="H292" s="75">
        <f>IF(B292="","",IF(G292&lt;&gt;"",G292,IF(F292&lt;&gt;"",F292*IFERROR(INDEX('Contractors'!$I$6:$I$1005,MATCH(B292,'Contractors'!$B$6:$B$1005,0)),0),"")))</f>
        <v/>
      </c>
      <c r="I292" s="109" t="n"/>
      <c r="J292" s="72" t="n"/>
      <c r="K292" s="109" t="n"/>
      <c r="L292" s="73" t="n"/>
      <c r="M292" s="109" t="n"/>
      <c r="N292" s="73" t="n"/>
      <c r="O292" s="107">
        <f>IF(B292="","",IF(M292&lt;&gt;"","Paid",IF(AND(I292&lt;&gt;"",I292&lt;AsOf),"OVERDUE",IF(OR(K292&lt;&gt;"",L292&lt;&gt;""),"Invoiced","Scheduled"))))</f>
        <v/>
      </c>
      <c r="P292" s="115">
        <f>IF(B292="","",IF(E292&lt;&gt;"",E292,IFERROR(INDEX('Contractors'!$D$6:$D$1005,MATCH(B292,'Contractors'!$B$6:$B$1005,0)),"")))</f>
        <v/>
      </c>
      <c r="Q292" s="79">
        <f>IF(B292="","",IF(D292&lt;&gt;"",D292,IFERROR(INDEX('Contractors'!$E$6:$E$1005,MATCH(B292,'Contractors'!$B$6:$B$1005,0)),"")))</f>
        <v/>
      </c>
      <c r="R292" s="79">
        <f>IF(O292="","",IF(O292="OVERDUE",2,IF(O292="Paid",0,IF(AND(I292&lt;&gt;"",I292&lt;=AsOf+AlertDays),1,0))))</f>
        <v/>
      </c>
      <c r="S292" s="79">
        <f>IF(AND(B292&lt;&gt;"",M292="",I292&lt;&gt;""),IF(L292&lt;&gt;"",L292,IF(H292="",0,H292)),0)</f>
        <v/>
      </c>
      <c r="T292" s="79">
        <f>IF(AND(B292&lt;&gt;"",M292="",I292&lt;&gt;""),1/I292,0)</f>
        <v/>
      </c>
      <c r="U292" s="112">
        <f>IF(AND(B292&lt;&gt;"",M292="",I292&lt;&gt;""),I292,"")</f>
        <v/>
      </c>
      <c r="V292" s="79">
        <f>IF(U292="","",IF(U292&lt;AsOf,1,IF(U292&lt;=AsOf+AlertDays,2,IF(U292&lt;=AsOf+2*AlertDays,3,""))))</f>
        <v/>
      </c>
      <c r="W292" s="79">
        <f>IF(V292="","",IF(O292="OVERDUE","Overdue payment: ","Payment due: ")&amp;B292&amp;" — "&amp;C292&amp;" ("&amp;CurSym&amp;" "&amp;FIXED(S292,0)&amp;")")</f>
        <v/>
      </c>
      <c r="Z292" s="116">
        <f>IF('Contractors'!B292="","",'Contractors'!B292)</f>
        <v/>
      </c>
      <c r="AA292" s="77">
        <f>IF(Z292="","",'Contractors'!K292)</f>
        <v/>
      </c>
      <c r="AB292" s="77">
        <f>IF(Z292="","",SUMIFS($L$6:$L$1005,$B$6:$B$1005,Z292))</f>
        <v/>
      </c>
      <c r="AC292" s="77">
        <f>IF(Z292="","",SUMIFS($N$6:$N$1005,$B$6:$B$1005,Z292))</f>
        <v/>
      </c>
      <c r="AD292" s="76">
        <f>IF(Z292="","",AA292-AC292)</f>
        <v/>
      </c>
      <c r="AE292" s="117">
        <f>IF(Z292="","",IFERROR(1/SUMPRODUCT(MAX(($B$6:$B$1005=Z292)*$T$6:$T$1005)),""))</f>
        <v/>
      </c>
      <c r="AF292" s="77">
        <f>IF(AE292="","",SUMIFS($S$6:$S$1005,$B$6:$B$1005,Z292,$I$6:$I$1005,AE292))</f>
        <v/>
      </c>
    </row>
    <row r="293" ht="20" customHeight="1">
      <c r="B293" s="72" t="n"/>
      <c r="C293" s="72" t="n"/>
      <c r="D293" s="72" t="n"/>
      <c r="E293" s="72" t="n"/>
      <c r="F293" s="110" t="n"/>
      <c r="G293" s="73" t="n"/>
      <c r="H293" s="75">
        <f>IF(B293="","",IF(G293&lt;&gt;"",G293,IF(F293&lt;&gt;"",F293*IFERROR(INDEX('Contractors'!$I$6:$I$1005,MATCH(B293,'Contractors'!$B$6:$B$1005,0)),0),"")))</f>
        <v/>
      </c>
      <c r="I293" s="109" t="n"/>
      <c r="J293" s="72" t="n"/>
      <c r="K293" s="109" t="n"/>
      <c r="L293" s="73" t="n"/>
      <c r="M293" s="109" t="n"/>
      <c r="N293" s="73" t="n"/>
      <c r="O293" s="107">
        <f>IF(B293="","",IF(M293&lt;&gt;"","Paid",IF(AND(I293&lt;&gt;"",I293&lt;AsOf),"OVERDUE",IF(OR(K293&lt;&gt;"",L293&lt;&gt;""),"Invoiced","Scheduled"))))</f>
        <v/>
      </c>
      <c r="P293" s="115">
        <f>IF(B293="","",IF(E293&lt;&gt;"",E293,IFERROR(INDEX('Contractors'!$D$6:$D$1005,MATCH(B293,'Contractors'!$B$6:$B$1005,0)),"")))</f>
        <v/>
      </c>
      <c r="Q293" s="79">
        <f>IF(B293="","",IF(D293&lt;&gt;"",D293,IFERROR(INDEX('Contractors'!$E$6:$E$1005,MATCH(B293,'Contractors'!$B$6:$B$1005,0)),"")))</f>
        <v/>
      </c>
      <c r="R293" s="79">
        <f>IF(O293="","",IF(O293="OVERDUE",2,IF(O293="Paid",0,IF(AND(I293&lt;&gt;"",I293&lt;=AsOf+AlertDays),1,0))))</f>
        <v/>
      </c>
      <c r="S293" s="79">
        <f>IF(AND(B293&lt;&gt;"",M293="",I293&lt;&gt;""),IF(L293&lt;&gt;"",L293,IF(H293="",0,H293)),0)</f>
        <v/>
      </c>
      <c r="T293" s="79">
        <f>IF(AND(B293&lt;&gt;"",M293="",I293&lt;&gt;""),1/I293,0)</f>
        <v/>
      </c>
      <c r="U293" s="112">
        <f>IF(AND(B293&lt;&gt;"",M293="",I293&lt;&gt;""),I293,"")</f>
        <v/>
      </c>
      <c r="V293" s="79">
        <f>IF(U293="","",IF(U293&lt;AsOf,1,IF(U293&lt;=AsOf+AlertDays,2,IF(U293&lt;=AsOf+2*AlertDays,3,""))))</f>
        <v/>
      </c>
      <c r="W293" s="79">
        <f>IF(V293="","",IF(O293="OVERDUE","Overdue payment: ","Payment due: ")&amp;B293&amp;" — "&amp;C293&amp;" ("&amp;CurSym&amp;" "&amp;FIXED(S293,0)&amp;")")</f>
        <v/>
      </c>
      <c r="Z293" s="116">
        <f>IF('Contractors'!B293="","",'Contractors'!B293)</f>
        <v/>
      </c>
      <c r="AA293" s="77">
        <f>IF(Z293="","",'Contractors'!K293)</f>
        <v/>
      </c>
      <c r="AB293" s="77">
        <f>IF(Z293="","",SUMIFS($L$6:$L$1005,$B$6:$B$1005,Z293))</f>
        <v/>
      </c>
      <c r="AC293" s="77">
        <f>IF(Z293="","",SUMIFS($N$6:$N$1005,$B$6:$B$1005,Z293))</f>
        <v/>
      </c>
      <c r="AD293" s="76">
        <f>IF(Z293="","",AA293-AC293)</f>
        <v/>
      </c>
      <c r="AE293" s="117">
        <f>IF(Z293="","",IFERROR(1/SUMPRODUCT(MAX(($B$6:$B$1005=Z293)*$T$6:$T$1005)),""))</f>
        <v/>
      </c>
      <c r="AF293" s="77">
        <f>IF(AE293="","",SUMIFS($S$6:$S$1005,$B$6:$B$1005,Z293,$I$6:$I$1005,AE293))</f>
        <v/>
      </c>
    </row>
    <row r="294" ht="20" customHeight="1">
      <c r="B294" s="72" t="n"/>
      <c r="C294" s="72" t="n"/>
      <c r="D294" s="72" t="n"/>
      <c r="E294" s="72" t="n"/>
      <c r="F294" s="110" t="n"/>
      <c r="G294" s="73" t="n"/>
      <c r="H294" s="75">
        <f>IF(B294="","",IF(G294&lt;&gt;"",G294,IF(F294&lt;&gt;"",F294*IFERROR(INDEX('Contractors'!$I$6:$I$1005,MATCH(B294,'Contractors'!$B$6:$B$1005,0)),0),"")))</f>
        <v/>
      </c>
      <c r="I294" s="109" t="n"/>
      <c r="J294" s="72" t="n"/>
      <c r="K294" s="109" t="n"/>
      <c r="L294" s="73" t="n"/>
      <c r="M294" s="109" t="n"/>
      <c r="N294" s="73" t="n"/>
      <c r="O294" s="107">
        <f>IF(B294="","",IF(M294&lt;&gt;"","Paid",IF(AND(I294&lt;&gt;"",I294&lt;AsOf),"OVERDUE",IF(OR(K294&lt;&gt;"",L294&lt;&gt;""),"Invoiced","Scheduled"))))</f>
        <v/>
      </c>
      <c r="P294" s="115">
        <f>IF(B294="","",IF(E294&lt;&gt;"",E294,IFERROR(INDEX('Contractors'!$D$6:$D$1005,MATCH(B294,'Contractors'!$B$6:$B$1005,0)),"")))</f>
        <v/>
      </c>
      <c r="Q294" s="79">
        <f>IF(B294="","",IF(D294&lt;&gt;"",D294,IFERROR(INDEX('Contractors'!$E$6:$E$1005,MATCH(B294,'Contractors'!$B$6:$B$1005,0)),"")))</f>
        <v/>
      </c>
      <c r="R294" s="79">
        <f>IF(O294="","",IF(O294="OVERDUE",2,IF(O294="Paid",0,IF(AND(I294&lt;&gt;"",I294&lt;=AsOf+AlertDays),1,0))))</f>
        <v/>
      </c>
      <c r="S294" s="79">
        <f>IF(AND(B294&lt;&gt;"",M294="",I294&lt;&gt;""),IF(L294&lt;&gt;"",L294,IF(H294="",0,H294)),0)</f>
        <v/>
      </c>
      <c r="T294" s="79">
        <f>IF(AND(B294&lt;&gt;"",M294="",I294&lt;&gt;""),1/I294,0)</f>
        <v/>
      </c>
      <c r="U294" s="112">
        <f>IF(AND(B294&lt;&gt;"",M294="",I294&lt;&gt;""),I294,"")</f>
        <v/>
      </c>
      <c r="V294" s="79">
        <f>IF(U294="","",IF(U294&lt;AsOf,1,IF(U294&lt;=AsOf+AlertDays,2,IF(U294&lt;=AsOf+2*AlertDays,3,""))))</f>
        <v/>
      </c>
      <c r="W294" s="79">
        <f>IF(V294="","",IF(O294="OVERDUE","Overdue payment: ","Payment due: ")&amp;B294&amp;" — "&amp;C294&amp;" ("&amp;CurSym&amp;" "&amp;FIXED(S294,0)&amp;")")</f>
        <v/>
      </c>
      <c r="Z294" s="116">
        <f>IF('Contractors'!B294="","",'Contractors'!B294)</f>
        <v/>
      </c>
      <c r="AA294" s="77">
        <f>IF(Z294="","",'Contractors'!K294)</f>
        <v/>
      </c>
      <c r="AB294" s="77">
        <f>IF(Z294="","",SUMIFS($L$6:$L$1005,$B$6:$B$1005,Z294))</f>
        <v/>
      </c>
      <c r="AC294" s="77">
        <f>IF(Z294="","",SUMIFS($N$6:$N$1005,$B$6:$B$1005,Z294))</f>
        <v/>
      </c>
      <c r="AD294" s="76">
        <f>IF(Z294="","",AA294-AC294)</f>
        <v/>
      </c>
      <c r="AE294" s="117">
        <f>IF(Z294="","",IFERROR(1/SUMPRODUCT(MAX(($B$6:$B$1005=Z294)*$T$6:$T$1005)),""))</f>
        <v/>
      </c>
      <c r="AF294" s="77">
        <f>IF(AE294="","",SUMIFS($S$6:$S$1005,$B$6:$B$1005,Z294,$I$6:$I$1005,AE294))</f>
        <v/>
      </c>
    </row>
    <row r="295" ht="20" customHeight="1">
      <c r="B295" s="72" t="n"/>
      <c r="C295" s="72" t="n"/>
      <c r="D295" s="72" t="n"/>
      <c r="E295" s="72" t="n"/>
      <c r="F295" s="110" t="n"/>
      <c r="G295" s="73" t="n"/>
      <c r="H295" s="75">
        <f>IF(B295="","",IF(G295&lt;&gt;"",G295,IF(F295&lt;&gt;"",F295*IFERROR(INDEX('Contractors'!$I$6:$I$1005,MATCH(B295,'Contractors'!$B$6:$B$1005,0)),0),"")))</f>
        <v/>
      </c>
      <c r="I295" s="109" t="n"/>
      <c r="J295" s="72" t="n"/>
      <c r="K295" s="109" t="n"/>
      <c r="L295" s="73" t="n"/>
      <c r="M295" s="109" t="n"/>
      <c r="N295" s="73" t="n"/>
      <c r="O295" s="107">
        <f>IF(B295="","",IF(M295&lt;&gt;"","Paid",IF(AND(I295&lt;&gt;"",I295&lt;AsOf),"OVERDUE",IF(OR(K295&lt;&gt;"",L295&lt;&gt;""),"Invoiced","Scheduled"))))</f>
        <v/>
      </c>
      <c r="P295" s="115">
        <f>IF(B295="","",IF(E295&lt;&gt;"",E295,IFERROR(INDEX('Contractors'!$D$6:$D$1005,MATCH(B295,'Contractors'!$B$6:$B$1005,0)),"")))</f>
        <v/>
      </c>
      <c r="Q295" s="79">
        <f>IF(B295="","",IF(D295&lt;&gt;"",D295,IFERROR(INDEX('Contractors'!$E$6:$E$1005,MATCH(B295,'Contractors'!$B$6:$B$1005,0)),"")))</f>
        <v/>
      </c>
      <c r="R295" s="79">
        <f>IF(O295="","",IF(O295="OVERDUE",2,IF(O295="Paid",0,IF(AND(I295&lt;&gt;"",I295&lt;=AsOf+AlertDays),1,0))))</f>
        <v/>
      </c>
      <c r="S295" s="79">
        <f>IF(AND(B295&lt;&gt;"",M295="",I295&lt;&gt;""),IF(L295&lt;&gt;"",L295,IF(H295="",0,H295)),0)</f>
        <v/>
      </c>
      <c r="T295" s="79">
        <f>IF(AND(B295&lt;&gt;"",M295="",I295&lt;&gt;""),1/I295,0)</f>
        <v/>
      </c>
      <c r="U295" s="112">
        <f>IF(AND(B295&lt;&gt;"",M295="",I295&lt;&gt;""),I295,"")</f>
        <v/>
      </c>
      <c r="V295" s="79">
        <f>IF(U295="","",IF(U295&lt;AsOf,1,IF(U295&lt;=AsOf+AlertDays,2,IF(U295&lt;=AsOf+2*AlertDays,3,""))))</f>
        <v/>
      </c>
      <c r="W295" s="79">
        <f>IF(V295="","",IF(O295="OVERDUE","Overdue payment: ","Payment due: ")&amp;B295&amp;" — "&amp;C295&amp;" ("&amp;CurSym&amp;" "&amp;FIXED(S295,0)&amp;")")</f>
        <v/>
      </c>
      <c r="Z295" s="116">
        <f>IF('Contractors'!B295="","",'Contractors'!B295)</f>
        <v/>
      </c>
      <c r="AA295" s="77">
        <f>IF(Z295="","",'Contractors'!K295)</f>
        <v/>
      </c>
      <c r="AB295" s="77">
        <f>IF(Z295="","",SUMIFS($L$6:$L$1005,$B$6:$B$1005,Z295))</f>
        <v/>
      </c>
      <c r="AC295" s="77">
        <f>IF(Z295="","",SUMIFS($N$6:$N$1005,$B$6:$B$1005,Z295))</f>
        <v/>
      </c>
      <c r="AD295" s="76">
        <f>IF(Z295="","",AA295-AC295)</f>
        <v/>
      </c>
      <c r="AE295" s="117">
        <f>IF(Z295="","",IFERROR(1/SUMPRODUCT(MAX(($B$6:$B$1005=Z295)*$T$6:$T$1005)),""))</f>
        <v/>
      </c>
      <c r="AF295" s="77">
        <f>IF(AE295="","",SUMIFS($S$6:$S$1005,$B$6:$B$1005,Z295,$I$6:$I$1005,AE295))</f>
        <v/>
      </c>
    </row>
    <row r="296" ht="20" customHeight="1">
      <c r="B296" s="72" t="n"/>
      <c r="C296" s="72" t="n"/>
      <c r="D296" s="72" t="n"/>
      <c r="E296" s="72" t="n"/>
      <c r="F296" s="110" t="n"/>
      <c r="G296" s="73" t="n"/>
      <c r="H296" s="75">
        <f>IF(B296="","",IF(G296&lt;&gt;"",G296,IF(F296&lt;&gt;"",F296*IFERROR(INDEX('Contractors'!$I$6:$I$1005,MATCH(B296,'Contractors'!$B$6:$B$1005,0)),0),"")))</f>
        <v/>
      </c>
      <c r="I296" s="109" t="n"/>
      <c r="J296" s="72" t="n"/>
      <c r="K296" s="109" t="n"/>
      <c r="L296" s="73" t="n"/>
      <c r="M296" s="109" t="n"/>
      <c r="N296" s="73" t="n"/>
      <c r="O296" s="107">
        <f>IF(B296="","",IF(M296&lt;&gt;"","Paid",IF(AND(I296&lt;&gt;"",I296&lt;AsOf),"OVERDUE",IF(OR(K296&lt;&gt;"",L296&lt;&gt;""),"Invoiced","Scheduled"))))</f>
        <v/>
      </c>
      <c r="P296" s="115">
        <f>IF(B296="","",IF(E296&lt;&gt;"",E296,IFERROR(INDEX('Contractors'!$D$6:$D$1005,MATCH(B296,'Contractors'!$B$6:$B$1005,0)),"")))</f>
        <v/>
      </c>
      <c r="Q296" s="79">
        <f>IF(B296="","",IF(D296&lt;&gt;"",D296,IFERROR(INDEX('Contractors'!$E$6:$E$1005,MATCH(B296,'Contractors'!$B$6:$B$1005,0)),"")))</f>
        <v/>
      </c>
      <c r="R296" s="79">
        <f>IF(O296="","",IF(O296="OVERDUE",2,IF(O296="Paid",0,IF(AND(I296&lt;&gt;"",I296&lt;=AsOf+AlertDays),1,0))))</f>
        <v/>
      </c>
      <c r="S296" s="79">
        <f>IF(AND(B296&lt;&gt;"",M296="",I296&lt;&gt;""),IF(L296&lt;&gt;"",L296,IF(H296="",0,H296)),0)</f>
        <v/>
      </c>
      <c r="T296" s="79">
        <f>IF(AND(B296&lt;&gt;"",M296="",I296&lt;&gt;""),1/I296,0)</f>
        <v/>
      </c>
      <c r="U296" s="112">
        <f>IF(AND(B296&lt;&gt;"",M296="",I296&lt;&gt;""),I296,"")</f>
        <v/>
      </c>
      <c r="V296" s="79">
        <f>IF(U296="","",IF(U296&lt;AsOf,1,IF(U296&lt;=AsOf+AlertDays,2,IF(U296&lt;=AsOf+2*AlertDays,3,""))))</f>
        <v/>
      </c>
      <c r="W296" s="79">
        <f>IF(V296="","",IF(O296="OVERDUE","Overdue payment: ","Payment due: ")&amp;B296&amp;" — "&amp;C296&amp;" ("&amp;CurSym&amp;" "&amp;FIXED(S296,0)&amp;")")</f>
        <v/>
      </c>
      <c r="Z296" s="116">
        <f>IF('Contractors'!B296="","",'Contractors'!B296)</f>
        <v/>
      </c>
      <c r="AA296" s="77">
        <f>IF(Z296="","",'Contractors'!K296)</f>
        <v/>
      </c>
      <c r="AB296" s="77">
        <f>IF(Z296="","",SUMIFS($L$6:$L$1005,$B$6:$B$1005,Z296))</f>
        <v/>
      </c>
      <c r="AC296" s="77">
        <f>IF(Z296="","",SUMIFS($N$6:$N$1005,$B$6:$B$1005,Z296))</f>
        <v/>
      </c>
      <c r="AD296" s="76">
        <f>IF(Z296="","",AA296-AC296)</f>
        <v/>
      </c>
      <c r="AE296" s="117">
        <f>IF(Z296="","",IFERROR(1/SUMPRODUCT(MAX(($B$6:$B$1005=Z296)*$T$6:$T$1005)),""))</f>
        <v/>
      </c>
      <c r="AF296" s="77">
        <f>IF(AE296="","",SUMIFS($S$6:$S$1005,$B$6:$B$1005,Z296,$I$6:$I$1005,AE296))</f>
        <v/>
      </c>
    </row>
    <row r="297" ht="20" customHeight="1">
      <c r="B297" s="72" t="n"/>
      <c r="C297" s="72" t="n"/>
      <c r="D297" s="72" t="n"/>
      <c r="E297" s="72" t="n"/>
      <c r="F297" s="110" t="n"/>
      <c r="G297" s="73" t="n"/>
      <c r="H297" s="75">
        <f>IF(B297="","",IF(G297&lt;&gt;"",G297,IF(F297&lt;&gt;"",F297*IFERROR(INDEX('Contractors'!$I$6:$I$1005,MATCH(B297,'Contractors'!$B$6:$B$1005,0)),0),"")))</f>
        <v/>
      </c>
      <c r="I297" s="109" t="n"/>
      <c r="J297" s="72" t="n"/>
      <c r="K297" s="109" t="n"/>
      <c r="L297" s="73" t="n"/>
      <c r="M297" s="109" t="n"/>
      <c r="N297" s="73" t="n"/>
      <c r="O297" s="107">
        <f>IF(B297="","",IF(M297&lt;&gt;"","Paid",IF(AND(I297&lt;&gt;"",I297&lt;AsOf),"OVERDUE",IF(OR(K297&lt;&gt;"",L297&lt;&gt;""),"Invoiced","Scheduled"))))</f>
        <v/>
      </c>
      <c r="P297" s="115">
        <f>IF(B297="","",IF(E297&lt;&gt;"",E297,IFERROR(INDEX('Contractors'!$D$6:$D$1005,MATCH(B297,'Contractors'!$B$6:$B$1005,0)),"")))</f>
        <v/>
      </c>
      <c r="Q297" s="79">
        <f>IF(B297="","",IF(D297&lt;&gt;"",D297,IFERROR(INDEX('Contractors'!$E$6:$E$1005,MATCH(B297,'Contractors'!$B$6:$B$1005,0)),"")))</f>
        <v/>
      </c>
      <c r="R297" s="79">
        <f>IF(O297="","",IF(O297="OVERDUE",2,IF(O297="Paid",0,IF(AND(I297&lt;&gt;"",I297&lt;=AsOf+AlertDays),1,0))))</f>
        <v/>
      </c>
      <c r="S297" s="79">
        <f>IF(AND(B297&lt;&gt;"",M297="",I297&lt;&gt;""),IF(L297&lt;&gt;"",L297,IF(H297="",0,H297)),0)</f>
        <v/>
      </c>
      <c r="T297" s="79">
        <f>IF(AND(B297&lt;&gt;"",M297="",I297&lt;&gt;""),1/I297,0)</f>
        <v/>
      </c>
      <c r="U297" s="112">
        <f>IF(AND(B297&lt;&gt;"",M297="",I297&lt;&gt;""),I297,"")</f>
        <v/>
      </c>
      <c r="V297" s="79">
        <f>IF(U297="","",IF(U297&lt;AsOf,1,IF(U297&lt;=AsOf+AlertDays,2,IF(U297&lt;=AsOf+2*AlertDays,3,""))))</f>
        <v/>
      </c>
      <c r="W297" s="79">
        <f>IF(V297="","",IF(O297="OVERDUE","Overdue payment: ","Payment due: ")&amp;B297&amp;" — "&amp;C297&amp;" ("&amp;CurSym&amp;" "&amp;FIXED(S297,0)&amp;")")</f>
        <v/>
      </c>
      <c r="Z297" s="116">
        <f>IF('Contractors'!B297="","",'Contractors'!B297)</f>
        <v/>
      </c>
      <c r="AA297" s="77">
        <f>IF(Z297="","",'Contractors'!K297)</f>
        <v/>
      </c>
      <c r="AB297" s="77">
        <f>IF(Z297="","",SUMIFS($L$6:$L$1005,$B$6:$B$1005,Z297))</f>
        <v/>
      </c>
      <c r="AC297" s="77">
        <f>IF(Z297="","",SUMIFS($N$6:$N$1005,$B$6:$B$1005,Z297))</f>
        <v/>
      </c>
      <c r="AD297" s="76">
        <f>IF(Z297="","",AA297-AC297)</f>
        <v/>
      </c>
      <c r="AE297" s="117">
        <f>IF(Z297="","",IFERROR(1/SUMPRODUCT(MAX(($B$6:$B$1005=Z297)*$T$6:$T$1005)),""))</f>
        <v/>
      </c>
      <c r="AF297" s="77">
        <f>IF(AE297="","",SUMIFS($S$6:$S$1005,$B$6:$B$1005,Z297,$I$6:$I$1005,AE297))</f>
        <v/>
      </c>
    </row>
    <row r="298" ht="20" customHeight="1">
      <c r="B298" s="72" t="n"/>
      <c r="C298" s="72" t="n"/>
      <c r="D298" s="72" t="n"/>
      <c r="E298" s="72" t="n"/>
      <c r="F298" s="110" t="n"/>
      <c r="G298" s="73" t="n"/>
      <c r="H298" s="75">
        <f>IF(B298="","",IF(G298&lt;&gt;"",G298,IF(F298&lt;&gt;"",F298*IFERROR(INDEX('Contractors'!$I$6:$I$1005,MATCH(B298,'Contractors'!$B$6:$B$1005,0)),0),"")))</f>
        <v/>
      </c>
      <c r="I298" s="109" t="n"/>
      <c r="J298" s="72" t="n"/>
      <c r="K298" s="109" t="n"/>
      <c r="L298" s="73" t="n"/>
      <c r="M298" s="109" t="n"/>
      <c r="N298" s="73" t="n"/>
      <c r="O298" s="107">
        <f>IF(B298="","",IF(M298&lt;&gt;"","Paid",IF(AND(I298&lt;&gt;"",I298&lt;AsOf),"OVERDUE",IF(OR(K298&lt;&gt;"",L298&lt;&gt;""),"Invoiced","Scheduled"))))</f>
        <v/>
      </c>
      <c r="P298" s="115">
        <f>IF(B298="","",IF(E298&lt;&gt;"",E298,IFERROR(INDEX('Contractors'!$D$6:$D$1005,MATCH(B298,'Contractors'!$B$6:$B$1005,0)),"")))</f>
        <v/>
      </c>
      <c r="Q298" s="79">
        <f>IF(B298="","",IF(D298&lt;&gt;"",D298,IFERROR(INDEX('Contractors'!$E$6:$E$1005,MATCH(B298,'Contractors'!$B$6:$B$1005,0)),"")))</f>
        <v/>
      </c>
      <c r="R298" s="79">
        <f>IF(O298="","",IF(O298="OVERDUE",2,IF(O298="Paid",0,IF(AND(I298&lt;&gt;"",I298&lt;=AsOf+AlertDays),1,0))))</f>
        <v/>
      </c>
      <c r="S298" s="79">
        <f>IF(AND(B298&lt;&gt;"",M298="",I298&lt;&gt;""),IF(L298&lt;&gt;"",L298,IF(H298="",0,H298)),0)</f>
        <v/>
      </c>
      <c r="T298" s="79">
        <f>IF(AND(B298&lt;&gt;"",M298="",I298&lt;&gt;""),1/I298,0)</f>
        <v/>
      </c>
      <c r="U298" s="112">
        <f>IF(AND(B298&lt;&gt;"",M298="",I298&lt;&gt;""),I298,"")</f>
        <v/>
      </c>
      <c r="V298" s="79">
        <f>IF(U298="","",IF(U298&lt;AsOf,1,IF(U298&lt;=AsOf+AlertDays,2,IF(U298&lt;=AsOf+2*AlertDays,3,""))))</f>
        <v/>
      </c>
      <c r="W298" s="79">
        <f>IF(V298="","",IF(O298="OVERDUE","Overdue payment: ","Payment due: ")&amp;B298&amp;" — "&amp;C298&amp;" ("&amp;CurSym&amp;" "&amp;FIXED(S298,0)&amp;")")</f>
        <v/>
      </c>
      <c r="Z298" s="116">
        <f>IF('Contractors'!B298="","",'Contractors'!B298)</f>
        <v/>
      </c>
      <c r="AA298" s="77">
        <f>IF(Z298="","",'Contractors'!K298)</f>
        <v/>
      </c>
      <c r="AB298" s="77">
        <f>IF(Z298="","",SUMIFS($L$6:$L$1005,$B$6:$B$1005,Z298))</f>
        <v/>
      </c>
      <c r="AC298" s="77">
        <f>IF(Z298="","",SUMIFS($N$6:$N$1005,$B$6:$B$1005,Z298))</f>
        <v/>
      </c>
      <c r="AD298" s="76">
        <f>IF(Z298="","",AA298-AC298)</f>
        <v/>
      </c>
      <c r="AE298" s="117">
        <f>IF(Z298="","",IFERROR(1/SUMPRODUCT(MAX(($B$6:$B$1005=Z298)*$T$6:$T$1005)),""))</f>
        <v/>
      </c>
      <c r="AF298" s="77">
        <f>IF(AE298="","",SUMIFS($S$6:$S$1005,$B$6:$B$1005,Z298,$I$6:$I$1005,AE298))</f>
        <v/>
      </c>
    </row>
    <row r="299" ht="20" customHeight="1">
      <c r="B299" s="72" t="n"/>
      <c r="C299" s="72" t="n"/>
      <c r="D299" s="72" t="n"/>
      <c r="E299" s="72" t="n"/>
      <c r="F299" s="110" t="n"/>
      <c r="G299" s="73" t="n"/>
      <c r="H299" s="75">
        <f>IF(B299="","",IF(G299&lt;&gt;"",G299,IF(F299&lt;&gt;"",F299*IFERROR(INDEX('Contractors'!$I$6:$I$1005,MATCH(B299,'Contractors'!$B$6:$B$1005,0)),0),"")))</f>
        <v/>
      </c>
      <c r="I299" s="109" t="n"/>
      <c r="J299" s="72" t="n"/>
      <c r="K299" s="109" t="n"/>
      <c r="L299" s="73" t="n"/>
      <c r="M299" s="109" t="n"/>
      <c r="N299" s="73" t="n"/>
      <c r="O299" s="107">
        <f>IF(B299="","",IF(M299&lt;&gt;"","Paid",IF(AND(I299&lt;&gt;"",I299&lt;AsOf),"OVERDUE",IF(OR(K299&lt;&gt;"",L299&lt;&gt;""),"Invoiced","Scheduled"))))</f>
        <v/>
      </c>
      <c r="P299" s="115">
        <f>IF(B299="","",IF(E299&lt;&gt;"",E299,IFERROR(INDEX('Contractors'!$D$6:$D$1005,MATCH(B299,'Contractors'!$B$6:$B$1005,0)),"")))</f>
        <v/>
      </c>
      <c r="Q299" s="79">
        <f>IF(B299="","",IF(D299&lt;&gt;"",D299,IFERROR(INDEX('Contractors'!$E$6:$E$1005,MATCH(B299,'Contractors'!$B$6:$B$1005,0)),"")))</f>
        <v/>
      </c>
      <c r="R299" s="79">
        <f>IF(O299="","",IF(O299="OVERDUE",2,IF(O299="Paid",0,IF(AND(I299&lt;&gt;"",I299&lt;=AsOf+AlertDays),1,0))))</f>
        <v/>
      </c>
      <c r="S299" s="79">
        <f>IF(AND(B299&lt;&gt;"",M299="",I299&lt;&gt;""),IF(L299&lt;&gt;"",L299,IF(H299="",0,H299)),0)</f>
        <v/>
      </c>
      <c r="T299" s="79">
        <f>IF(AND(B299&lt;&gt;"",M299="",I299&lt;&gt;""),1/I299,0)</f>
        <v/>
      </c>
      <c r="U299" s="112">
        <f>IF(AND(B299&lt;&gt;"",M299="",I299&lt;&gt;""),I299,"")</f>
        <v/>
      </c>
      <c r="V299" s="79">
        <f>IF(U299="","",IF(U299&lt;AsOf,1,IF(U299&lt;=AsOf+AlertDays,2,IF(U299&lt;=AsOf+2*AlertDays,3,""))))</f>
        <v/>
      </c>
      <c r="W299" s="79">
        <f>IF(V299="","",IF(O299="OVERDUE","Overdue payment: ","Payment due: ")&amp;B299&amp;" — "&amp;C299&amp;" ("&amp;CurSym&amp;" "&amp;FIXED(S299,0)&amp;")")</f>
        <v/>
      </c>
      <c r="Z299" s="116">
        <f>IF('Contractors'!B299="","",'Contractors'!B299)</f>
        <v/>
      </c>
      <c r="AA299" s="77">
        <f>IF(Z299="","",'Contractors'!K299)</f>
        <v/>
      </c>
      <c r="AB299" s="77">
        <f>IF(Z299="","",SUMIFS($L$6:$L$1005,$B$6:$B$1005,Z299))</f>
        <v/>
      </c>
      <c r="AC299" s="77">
        <f>IF(Z299="","",SUMIFS($N$6:$N$1005,$B$6:$B$1005,Z299))</f>
        <v/>
      </c>
      <c r="AD299" s="76">
        <f>IF(Z299="","",AA299-AC299)</f>
        <v/>
      </c>
      <c r="AE299" s="117">
        <f>IF(Z299="","",IFERROR(1/SUMPRODUCT(MAX(($B$6:$B$1005=Z299)*$T$6:$T$1005)),""))</f>
        <v/>
      </c>
      <c r="AF299" s="77">
        <f>IF(AE299="","",SUMIFS($S$6:$S$1005,$B$6:$B$1005,Z299,$I$6:$I$1005,AE299))</f>
        <v/>
      </c>
    </row>
    <row r="300" ht="20" customHeight="1">
      <c r="B300" s="72" t="n"/>
      <c r="C300" s="72" t="n"/>
      <c r="D300" s="72" t="n"/>
      <c r="E300" s="72" t="n"/>
      <c r="F300" s="110" t="n"/>
      <c r="G300" s="73" t="n"/>
      <c r="H300" s="75">
        <f>IF(B300="","",IF(G300&lt;&gt;"",G300,IF(F300&lt;&gt;"",F300*IFERROR(INDEX('Contractors'!$I$6:$I$1005,MATCH(B300,'Contractors'!$B$6:$B$1005,0)),0),"")))</f>
        <v/>
      </c>
      <c r="I300" s="109" t="n"/>
      <c r="J300" s="72" t="n"/>
      <c r="K300" s="109" t="n"/>
      <c r="L300" s="73" t="n"/>
      <c r="M300" s="109" t="n"/>
      <c r="N300" s="73" t="n"/>
      <c r="O300" s="107">
        <f>IF(B300="","",IF(M300&lt;&gt;"","Paid",IF(AND(I300&lt;&gt;"",I300&lt;AsOf),"OVERDUE",IF(OR(K300&lt;&gt;"",L300&lt;&gt;""),"Invoiced","Scheduled"))))</f>
        <v/>
      </c>
      <c r="P300" s="115">
        <f>IF(B300="","",IF(E300&lt;&gt;"",E300,IFERROR(INDEX('Contractors'!$D$6:$D$1005,MATCH(B300,'Contractors'!$B$6:$B$1005,0)),"")))</f>
        <v/>
      </c>
      <c r="Q300" s="79">
        <f>IF(B300="","",IF(D300&lt;&gt;"",D300,IFERROR(INDEX('Contractors'!$E$6:$E$1005,MATCH(B300,'Contractors'!$B$6:$B$1005,0)),"")))</f>
        <v/>
      </c>
      <c r="R300" s="79">
        <f>IF(O300="","",IF(O300="OVERDUE",2,IF(O300="Paid",0,IF(AND(I300&lt;&gt;"",I300&lt;=AsOf+AlertDays),1,0))))</f>
        <v/>
      </c>
      <c r="S300" s="79">
        <f>IF(AND(B300&lt;&gt;"",M300="",I300&lt;&gt;""),IF(L300&lt;&gt;"",L300,IF(H300="",0,H300)),0)</f>
        <v/>
      </c>
      <c r="T300" s="79">
        <f>IF(AND(B300&lt;&gt;"",M300="",I300&lt;&gt;""),1/I300,0)</f>
        <v/>
      </c>
      <c r="U300" s="112">
        <f>IF(AND(B300&lt;&gt;"",M300="",I300&lt;&gt;""),I300,"")</f>
        <v/>
      </c>
      <c r="V300" s="79">
        <f>IF(U300="","",IF(U300&lt;AsOf,1,IF(U300&lt;=AsOf+AlertDays,2,IF(U300&lt;=AsOf+2*AlertDays,3,""))))</f>
        <v/>
      </c>
      <c r="W300" s="79">
        <f>IF(V300="","",IF(O300="OVERDUE","Overdue payment: ","Payment due: ")&amp;B300&amp;" — "&amp;C300&amp;" ("&amp;CurSym&amp;" "&amp;FIXED(S300,0)&amp;")")</f>
        <v/>
      </c>
      <c r="Z300" s="116">
        <f>IF('Contractors'!B300="","",'Contractors'!B300)</f>
        <v/>
      </c>
      <c r="AA300" s="77">
        <f>IF(Z300="","",'Contractors'!K300)</f>
        <v/>
      </c>
      <c r="AB300" s="77">
        <f>IF(Z300="","",SUMIFS($L$6:$L$1005,$B$6:$B$1005,Z300))</f>
        <v/>
      </c>
      <c r="AC300" s="77">
        <f>IF(Z300="","",SUMIFS($N$6:$N$1005,$B$6:$B$1005,Z300))</f>
        <v/>
      </c>
      <c r="AD300" s="76">
        <f>IF(Z300="","",AA300-AC300)</f>
        <v/>
      </c>
      <c r="AE300" s="117">
        <f>IF(Z300="","",IFERROR(1/SUMPRODUCT(MAX(($B$6:$B$1005=Z300)*$T$6:$T$1005)),""))</f>
        <v/>
      </c>
      <c r="AF300" s="77">
        <f>IF(AE300="","",SUMIFS($S$6:$S$1005,$B$6:$B$1005,Z300,$I$6:$I$1005,AE300))</f>
        <v/>
      </c>
    </row>
    <row r="301" ht="20" customHeight="1">
      <c r="B301" s="72" t="n"/>
      <c r="C301" s="72" t="n"/>
      <c r="D301" s="72" t="n"/>
      <c r="E301" s="72" t="n"/>
      <c r="F301" s="110" t="n"/>
      <c r="G301" s="73" t="n"/>
      <c r="H301" s="75">
        <f>IF(B301="","",IF(G301&lt;&gt;"",G301,IF(F301&lt;&gt;"",F301*IFERROR(INDEX('Contractors'!$I$6:$I$1005,MATCH(B301,'Contractors'!$B$6:$B$1005,0)),0),"")))</f>
        <v/>
      </c>
      <c r="I301" s="109" t="n"/>
      <c r="J301" s="72" t="n"/>
      <c r="K301" s="109" t="n"/>
      <c r="L301" s="73" t="n"/>
      <c r="M301" s="109" t="n"/>
      <c r="N301" s="73" t="n"/>
      <c r="O301" s="107">
        <f>IF(B301="","",IF(M301&lt;&gt;"","Paid",IF(AND(I301&lt;&gt;"",I301&lt;AsOf),"OVERDUE",IF(OR(K301&lt;&gt;"",L301&lt;&gt;""),"Invoiced","Scheduled"))))</f>
        <v/>
      </c>
      <c r="P301" s="115">
        <f>IF(B301="","",IF(E301&lt;&gt;"",E301,IFERROR(INDEX('Contractors'!$D$6:$D$1005,MATCH(B301,'Contractors'!$B$6:$B$1005,0)),"")))</f>
        <v/>
      </c>
      <c r="Q301" s="79">
        <f>IF(B301="","",IF(D301&lt;&gt;"",D301,IFERROR(INDEX('Contractors'!$E$6:$E$1005,MATCH(B301,'Contractors'!$B$6:$B$1005,0)),"")))</f>
        <v/>
      </c>
      <c r="R301" s="79">
        <f>IF(O301="","",IF(O301="OVERDUE",2,IF(O301="Paid",0,IF(AND(I301&lt;&gt;"",I301&lt;=AsOf+AlertDays),1,0))))</f>
        <v/>
      </c>
      <c r="S301" s="79">
        <f>IF(AND(B301&lt;&gt;"",M301="",I301&lt;&gt;""),IF(L301&lt;&gt;"",L301,IF(H301="",0,H301)),0)</f>
        <v/>
      </c>
      <c r="T301" s="79">
        <f>IF(AND(B301&lt;&gt;"",M301="",I301&lt;&gt;""),1/I301,0)</f>
        <v/>
      </c>
      <c r="U301" s="112">
        <f>IF(AND(B301&lt;&gt;"",M301="",I301&lt;&gt;""),I301,"")</f>
        <v/>
      </c>
      <c r="V301" s="79">
        <f>IF(U301="","",IF(U301&lt;AsOf,1,IF(U301&lt;=AsOf+AlertDays,2,IF(U301&lt;=AsOf+2*AlertDays,3,""))))</f>
        <v/>
      </c>
      <c r="W301" s="79">
        <f>IF(V301="","",IF(O301="OVERDUE","Overdue payment: ","Payment due: ")&amp;B301&amp;" — "&amp;C301&amp;" ("&amp;CurSym&amp;" "&amp;FIXED(S301,0)&amp;")")</f>
        <v/>
      </c>
      <c r="Z301" s="116">
        <f>IF('Contractors'!B301="","",'Contractors'!B301)</f>
        <v/>
      </c>
      <c r="AA301" s="77">
        <f>IF(Z301="","",'Contractors'!K301)</f>
        <v/>
      </c>
      <c r="AB301" s="77">
        <f>IF(Z301="","",SUMIFS($L$6:$L$1005,$B$6:$B$1005,Z301))</f>
        <v/>
      </c>
      <c r="AC301" s="77">
        <f>IF(Z301="","",SUMIFS($N$6:$N$1005,$B$6:$B$1005,Z301))</f>
        <v/>
      </c>
      <c r="AD301" s="76">
        <f>IF(Z301="","",AA301-AC301)</f>
        <v/>
      </c>
      <c r="AE301" s="117">
        <f>IF(Z301="","",IFERROR(1/SUMPRODUCT(MAX(($B$6:$B$1005=Z301)*$T$6:$T$1005)),""))</f>
        <v/>
      </c>
      <c r="AF301" s="77">
        <f>IF(AE301="","",SUMIFS($S$6:$S$1005,$B$6:$B$1005,Z301,$I$6:$I$1005,AE301))</f>
        <v/>
      </c>
    </row>
    <row r="302" ht="20" customHeight="1">
      <c r="B302" s="72" t="n"/>
      <c r="C302" s="72" t="n"/>
      <c r="D302" s="72" t="n"/>
      <c r="E302" s="72" t="n"/>
      <c r="F302" s="110" t="n"/>
      <c r="G302" s="73" t="n"/>
      <c r="H302" s="75">
        <f>IF(B302="","",IF(G302&lt;&gt;"",G302,IF(F302&lt;&gt;"",F302*IFERROR(INDEX('Contractors'!$I$6:$I$1005,MATCH(B302,'Contractors'!$B$6:$B$1005,0)),0),"")))</f>
        <v/>
      </c>
      <c r="I302" s="109" t="n"/>
      <c r="J302" s="72" t="n"/>
      <c r="K302" s="109" t="n"/>
      <c r="L302" s="73" t="n"/>
      <c r="M302" s="109" t="n"/>
      <c r="N302" s="73" t="n"/>
      <c r="O302" s="107">
        <f>IF(B302="","",IF(M302&lt;&gt;"","Paid",IF(AND(I302&lt;&gt;"",I302&lt;AsOf),"OVERDUE",IF(OR(K302&lt;&gt;"",L302&lt;&gt;""),"Invoiced","Scheduled"))))</f>
        <v/>
      </c>
      <c r="P302" s="115">
        <f>IF(B302="","",IF(E302&lt;&gt;"",E302,IFERROR(INDEX('Contractors'!$D$6:$D$1005,MATCH(B302,'Contractors'!$B$6:$B$1005,0)),"")))</f>
        <v/>
      </c>
      <c r="Q302" s="79">
        <f>IF(B302="","",IF(D302&lt;&gt;"",D302,IFERROR(INDEX('Contractors'!$E$6:$E$1005,MATCH(B302,'Contractors'!$B$6:$B$1005,0)),"")))</f>
        <v/>
      </c>
      <c r="R302" s="79">
        <f>IF(O302="","",IF(O302="OVERDUE",2,IF(O302="Paid",0,IF(AND(I302&lt;&gt;"",I302&lt;=AsOf+AlertDays),1,0))))</f>
        <v/>
      </c>
      <c r="S302" s="79">
        <f>IF(AND(B302&lt;&gt;"",M302="",I302&lt;&gt;""),IF(L302&lt;&gt;"",L302,IF(H302="",0,H302)),0)</f>
        <v/>
      </c>
      <c r="T302" s="79">
        <f>IF(AND(B302&lt;&gt;"",M302="",I302&lt;&gt;""),1/I302,0)</f>
        <v/>
      </c>
      <c r="U302" s="112">
        <f>IF(AND(B302&lt;&gt;"",M302="",I302&lt;&gt;""),I302,"")</f>
        <v/>
      </c>
      <c r="V302" s="79">
        <f>IF(U302="","",IF(U302&lt;AsOf,1,IF(U302&lt;=AsOf+AlertDays,2,IF(U302&lt;=AsOf+2*AlertDays,3,""))))</f>
        <v/>
      </c>
      <c r="W302" s="79">
        <f>IF(V302="","",IF(O302="OVERDUE","Overdue payment: ","Payment due: ")&amp;B302&amp;" — "&amp;C302&amp;" ("&amp;CurSym&amp;" "&amp;FIXED(S302,0)&amp;")")</f>
        <v/>
      </c>
      <c r="Z302" s="116">
        <f>IF('Contractors'!B302="","",'Contractors'!B302)</f>
        <v/>
      </c>
      <c r="AA302" s="77">
        <f>IF(Z302="","",'Contractors'!K302)</f>
        <v/>
      </c>
      <c r="AB302" s="77">
        <f>IF(Z302="","",SUMIFS($L$6:$L$1005,$B$6:$B$1005,Z302))</f>
        <v/>
      </c>
      <c r="AC302" s="77">
        <f>IF(Z302="","",SUMIFS($N$6:$N$1005,$B$6:$B$1005,Z302))</f>
        <v/>
      </c>
      <c r="AD302" s="76">
        <f>IF(Z302="","",AA302-AC302)</f>
        <v/>
      </c>
      <c r="AE302" s="117">
        <f>IF(Z302="","",IFERROR(1/SUMPRODUCT(MAX(($B$6:$B$1005=Z302)*$T$6:$T$1005)),""))</f>
        <v/>
      </c>
      <c r="AF302" s="77">
        <f>IF(AE302="","",SUMIFS($S$6:$S$1005,$B$6:$B$1005,Z302,$I$6:$I$1005,AE302))</f>
        <v/>
      </c>
    </row>
    <row r="303" ht="20" customHeight="1">
      <c r="B303" s="72" t="n"/>
      <c r="C303" s="72" t="n"/>
      <c r="D303" s="72" t="n"/>
      <c r="E303" s="72" t="n"/>
      <c r="F303" s="110" t="n"/>
      <c r="G303" s="73" t="n"/>
      <c r="H303" s="75">
        <f>IF(B303="","",IF(G303&lt;&gt;"",G303,IF(F303&lt;&gt;"",F303*IFERROR(INDEX('Contractors'!$I$6:$I$1005,MATCH(B303,'Contractors'!$B$6:$B$1005,0)),0),"")))</f>
        <v/>
      </c>
      <c r="I303" s="109" t="n"/>
      <c r="J303" s="72" t="n"/>
      <c r="K303" s="109" t="n"/>
      <c r="L303" s="73" t="n"/>
      <c r="M303" s="109" t="n"/>
      <c r="N303" s="73" t="n"/>
      <c r="O303" s="107">
        <f>IF(B303="","",IF(M303&lt;&gt;"","Paid",IF(AND(I303&lt;&gt;"",I303&lt;AsOf),"OVERDUE",IF(OR(K303&lt;&gt;"",L303&lt;&gt;""),"Invoiced","Scheduled"))))</f>
        <v/>
      </c>
      <c r="P303" s="115">
        <f>IF(B303="","",IF(E303&lt;&gt;"",E303,IFERROR(INDEX('Contractors'!$D$6:$D$1005,MATCH(B303,'Contractors'!$B$6:$B$1005,0)),"")))</f>
        <v/>
      </c>
      <c r="Q303" s="79">
        <f>IF(B303="","",IF(D303&lt;&gt;"",D303,IFERROR(INDEX('Contractors'!$E$6:$E$1005,MATCH(B303,'Contractors'!$B$6:$B$1005,0)),"")))</f>
        <v/>
      </c>
      <c r="R303" s="79">
        <f>IF(O303="","",IF(O303="OVERDUE",2,IF(O303="Paid",0,IF(AND(I303&lt;&gt;"",I303&lt;=AsOf+AlertDays),1,0))))</f>
        <v/>
      </c>
      <c r="S303" s="79">
        <f>IF(AND(B303&lt;&gt;"",M303="",I303&lt;&gt;""),IF(L303&lt;&gt;"",L303,IF(H303="",0,H303)),0)</f>
        <v/>
      </c>
      <c r="T303" s="79">
        <f>IF(AND(B303&lt;&gt;"",M303="",I303&lt;&gt;""),1/I303,0)</f>
        <v/>
      </c>
      <c r="U303" s="112">
        <f>IF(AND(B303&lt;&gt;"",M303="",I303&lt;&gt;""),I303,"")</f>
        <v/>
      </c>
      <c r="V303" s="79">
        <f>IF(U303="","",IF(U303&lt;AsOf,1,IF(U303&lt;=AsOf+AlertDays,2,IF(U303&lt;=AsOf+2*AlertDays,3,""))))</f>
        <v/>
      </c>
      <c r="W303" s="79">
        <f>IF(V303="","",IF(O303="OVERDUE","Overdue payment: ","Payment due: ")&amp;B303&amp;" — "&amp;C303&amp;" ("&amp;CurSym&amp;" "&amp;FIXED(S303,0)&amp;")")</f>
        <v/>
      </c>
      <c r="Z303" s="116">
        <f>IF('Contractors'!B303="","",'Contractors'!B303)</f>
        <v/>
      </c>
      <c r="AA303" s="77">
        <f>IF(Z303="","",'Contractors'!K303)</f>
        <v/>
      </c>
      <c r="AB303" s="77">
        <f>IF(Z303="","",SUMIFS($L$6:$L$1005,$B$6:$B$1005,Z303))</f>
        <v/>
      </c>
      <c r="AC303" s="77">
        <f>IF(Z303="","",SUMIFS($N$6:$N$1005,$B$6:$B$1005,Z303))</f>
        <v/>
      </c>
      <c r="AD303" s="76">
        <f>IF(Z303="","",AA303-AC303)</f>
        <v/>
      </c>
      <c r="AE303" s="117">
        <f>IF(Z303="","",IFERROR(1/SUMPRODUCT(MAX(($B$6:$B$1005=Z303)*$T$6:$T$1005)),""))</f>
        <v/>
      </c>
      <c r="AF303" s="77">
        <f>IF(AE303="","",SUMIFS($S$6:$S$1005,$B$6:$B$1005,Z303,$I$6:$I$1005,AE303))</f>
        <v/>
      </c>
    </row>
    <row r="304" ht="20" customHeight="1">
      <c r="B304" s="72" t="n"/>
      <c r="C304" s="72" t="n"/>
      <c r="D304" s="72" t="n"/>
      <c r="E304" s="72" t="n"/>
      <c r="F304" s="110" t="n"/>
      <c r="G304" s="73" t="n"/>
      <c r="H304" s="75">
        <f>IF(B304="","",IF(G304&lt;&gt;"",G304,IF(F304&lt;&gt;"",F304*IFERROR(INDEX('Contractors'!$I$6:$I$1005,MATCH(B304,'Contractors'!$B$6:$B$1005,0)),0),"")))</f>
        <v/>
      </c>
      <c r="I304" s="109" t="n"/>
      <c r="J304" s="72" t="n"/>
      <c r="K304" s="109" t="n"/>
      <c r="L304" s="73" t="n"/>
      <c r="M304" s="109" t="n"/>
      <c r="N304" s="73" t="n"/>
      <c r="O304" s="107">
        <f>IF(B304="","",IF(M304&lt;&gt;"","Paid",IF(AND(I304&lt;&gt;"",I304&lt;AsOf),"OVERDUE",IF(OR(K304&lt;&gt;"",L304&lt;&gt;""),"Invoiced","Scheduled"))))</f>
        <v/>
      </c>
      <c r="P304" s="115">
        <f>IF(B304="","",IF(E304&lt;&gt;"",E304,IFERROR(INDEX('Contractors'!$D$6:$D$1005,MATCH(B304,'Contractors'!$B$6:$B$1005,0)),"")))</f>
        <v/>
      </c>
      <c r="Q304" s="79">
        <f>IF(B304="","",IF(D304&lt;&gt;"",D304,IFERROR(INDEX('Contractors'!$E$6:$E$1005,MATCH(B304,'Contractors'!$B$6:$B$1005,0)),"")))</f>
        <v/>
      </c>
      <c r="R304" s="79">
        <f>IF(O304="","",IF(O304="OVERDUE",2,IF(O304="Paid",0,IF(AND(I304&lt;&gt;"",I304&lt;=AsOf+AlertDays),1,0))))</f>
        <v/>
      </c>
      <c r="S304" s="79">
        <f>IF(AND(B304&lt;&gt;"",M304="",I304&lt;&gt;""),IF(L304&lt;&gt;"",L304,IF(H304="",0,H304)),0)</f>
        <v/>
      </c>
      <c r="T304" s="79">
        <f>IF(AND(B304&lt;&gt;"",M304="",I304&lt;&gt;""),1/I304,0)</f>
        <v/>
      </c>
      <c r="U304" s="112">
        <f>IF(AND(B304&lt;&gt;"",M304="",I304&lt;&gt;""),I304,"")</f>
        <v/>
      </c>
      <c r="V304" s="79">
        <f>IF(U304="","",IF(U304&lt;AsOf,1,IF(U304&lt;=AsOf+AlertDays,2,IF(U304&lt;=AsOf+2*AlertDays,3,""))))</f>
        <v/>
      </c>
      <c r="W304" s="79">
        <f>IF(V304="","",IF(O304="OVERDUE","Overdue payment: ","Payment due: ")&amp;B304&amp;" — "&amp;C304&amp;" ("&amp;CurSym&amp;" "&amp;FIXED(S304,0)&amp;")")</f>
        <v/>
      </c>
      <c r="Z304" s="116">
        <f>IF('Contractors'!B304="","",'Contractors'!B304)</f>
        <v/>
      </c>
      <c r="AA304" s="77">
        <f>IF(Z304="","",'Contractors'!K304)</f>
        <v/>
      </c>
      <c r="AB304" s="77">
        <f>IF(Z304="","",SUMIFS($L$6:$L$1005,$B$6:$B$1005,Z304))</f>
        <v/>
      </c>
      <c r="AC304" s="77">
        <f>IF(Z304="","",SUMIFS($N$6:$N$1005,$B$6:$B$1005,Z304))</f>
        <v/>
      </c>
      <c r="AD304" s="76">
        <f>IF(Z304="","",AA304-AC304)</f>
        <v/>
      </c>
      <c r="AE304" s="117">
        <f>IF(Z304="","",IFERROR(1/SUMPRODUCT(MAX(($B$6:$B$1005=Z304)*$T$6:$T$1005)),""))</f>
        <v/>
      </c>
      <c r="AF304" s="77">
        <f>IF(AE304="","",SUMIFS($S$6:$S$1005,$B$6:$B$1005,Z304,$I$6:$I$1005,AE304))</f>
        <v/>
      </c>
    </row>
    <row r="305" ht="20" customHeight="1">
      <c r="B305" s="72" t="n"/>
      <c r="C305" s="72" t="n"/>
      <c r="D305" s="72" t="n"/>
      <c r="E305" s="72" t="n"/>
      <c r="F305" s="110" t="n"/>
      <c r="G305" s="73" t="n"/>
      <c r="H305" s="75">
        <f>IF(B305="","",IF(G305&lt;&gt;"",G305,IF(F305&lt;&gt;"",F305*IFERROR(INDEX('Contractors'!$I$6:$I$1005,MATCH(B305,'Contractors'!$B$6:$B$1005,0)),0),"")))</f>
        <v/>
      </c>
      <c r="I305" s="109" t="n"/>
      <c r="J305" s="72" t="n"/>
      <c r="K305" s="109" t="n"/>
      <c r="L305" s="73" t="n"/>
      <c r="M305" s="109" t="n"/>
      <c r="N305" s="73" t="n"/>
      <c r="O305" s="107">
        <f>IF(B305="","",IF(M305&lt;&gt;"","Paid",IF(AND(I305&lt;&gt;"",I305&lt;AsOf),"OVERDUE",IF(OR(K305&lt;&gt;"",L305&lt;&gt;""),"Invoiced","Scheduled"))))</f>
        <v/>
      </c>
      <c r="P305" s="115">
        <f>IF(B305="","",IF(E305&lt;&gt;"",E305,IFERROR(INDEX('Contractors'!$D$6:$D$1005,MATCH(B305,'Contractors'!$B$6:$B$1005,0)),"")))</f>
        <v/>
      </c>
      <c r="Q305" s="79">
        <f>IF(B305="","",IF(D305&lt;&gt;"",D305,IFERROR(INDEX('Contractors'!$E$6:$E$1005,MATCH(B305,'Contractors'!$B$6:$B$1005,0)),"")))</f>
        <v/>
      </c>
      <c r="R305" s="79">
        <f>IF(O305="","",IF(O305="OVERDUE",2,IF(O305="Paid",0,IF(AND(I305&lt;&gt;"",I305&lt;=AsOf+AlertDays),1,0))))</f>
        <v/>
      </c>
      <c r="S305" s="79">
        <f>IF(AND(B305&lt;&gt;"",M305="",I305&lt;&gt;""),IF(L305&lt;&gt;"",L305,IF(H305="",0,H305)),0)</f>
        <v/>
      </c>
      <c r="T305" s="79">
        <f>IF(AND(B305&lt;&gt;"",M305="",I305&lt;&gt;""),1/I305,0)</f>
        <v/>
      </c>
      <c r="U305" s="112">
        <f>IF(AND(B305&lt;&gt;"",M305="",I305&lt;&gt;""),I305,"")</f>
        <v/>
      </c>
      <c r="V305" s="79">
        <f>IF(U305="","",IF(U305&lt;AsOf,1,IF(U305&lt;=AsOf+AlertDays,2,IF(U305&lt;=AsOf+2*AlertDays,3,""))))</f>
        <v/>
      </c>
      <c r="W305" s="79">
        <f>IF(V305="","",IF(O305="OVERDUE","Overdue payment: ","Payment due: ")&amp;B305&amp;" — "&amp;C305&amp;" ("&amp;CurSym&amp;" "&amp;FIXED(S305,0)&amp;")")</f>
        <v/>
      </c>
      <c r="Z305" s="116">
        <f>IF('Contractors'!B305="","",'Contractors'!B305)</f>
        <v/>
      </c>
      <c r="AA305" s="77">
        <f>IF(Z305="","",'Contractors'!K305)</f>
        <v/>
      </c>
      <c r="AB305" s="77">
        <f>IF(Z305="","",SUMIFS($L$6:$L$1005,$B$6:$B$1005,Z305))</f>
        <v/>
      </c>
      <c r="AC305" s="77">
        <f>IF(Z305="","",SUMIFS($N$6:$N$1005,$B$6:$B$1005,Z305))</f>
        <v/>
      </c>
      <c r="AD305" s="76">
        <f>IF(Z305="","",AA305-AC305)</f>
        <v/>
      </c>
      <c r="AE305" s="117">
        <f>IF(Z305="","",IFERROR(1/SUMPRODUCT(MAX(($B$6:$B$1005=Z305)*$T$6:$T$1005)),""))</f>
        <v/>
      </c>
      <c r="AF305" s="77">
        <f>IF(AE305="","",SUMIFS($S$6:$S$1005,$B$6:$B$1005,Z305,$I$6:$I$1005,AE305))</f>
        <v/>
      </c>
    </row>
    <row r="306" ht="20" customHeight="1">
      <c r="B306" s="72" t="n"/>
      <c r="C306" s="72" t="n"/>
      <c r="D306" s="72" t="n"/>
      <c r="E306" s="72" t="n"/>
      <c r="F306" s="110" t="n"/>
      <c r="G306" s="73" t="n"/>
      <c r="H306" s="75">
        <f>IF(B306="","",IF(G306&lt;&gt;"",G306,IF(F306&lt;&gt;"",F306*IFERROR(INDEX('Contractors'!$I$6:$I$1005,MATCH(B306,'Contractors'!$B$6:$B$1005,0)),0),"")))</f>
        <v/>
      </c>
      <c r="I306" s="109" t="n"/>
      <c r="J306" s="72" t="n"/>
      <c r="K306" s="109" t="n"/>
      <c r="L306" s="73" t="n"/>
      <c r="M306" s="109" t="n"/>
      <c r="N306" s="73" t="n"/>
      <c r="O306" s="107">
        <f>IF(B306="","",IF(M306&lt;&gt;"","Paid",IF(AND(I306&lt;&gt;"",I306&lt;AsOf),"OVERDUE",IF(OR(K306&lt;&gt;"",L306&lt;&gt;""),"Invoiced","Scheduled"))))</f>
        <v/>
      </c>
      <c r="P306" s="115">
        <f>IF(B306="","",IF(E306&lt;&gt;"",E306,IFERROR(INDEX('Contractors'!$D$6:$D$1005,MATCH(B306,'Contractors'!$B$6:$B$1005,0)),"")))</f>
        <v/>
      </c>
      <c r="Q306" s="79">
        <f>IF(B306="","",IF(D306&lt;&gt;"",D306,IFERROR(INDEX('Contractors'!$E$6:$E$1005,MATCH(B306,'Contractors'!$B$6:$B$1005,0)),"")))</f>
        <v/>
      </c>
      <c r="R306" s="79">
        <f>IF(O306="","",IF(O306="OVERDUE",2,IF(O306="Paid",0,IF(AND(I306&lt;&gt;"",I306&lt;=AsOf+AlertDays),1,0))))</f>
        <v/>
      </c>
      <c r="S306" s="79">
        <f>IF(AND(B306&lt;&gt;"",M306="",I306&lt;&gt;""),IF(L306&lt;&gt;"",L306,IF(H306="",0,H306)),0)</f>
        <v/>
      </c>
      <c r="T306" s="79">
        <f>IF(AND(B306&lt;&gt;"",M306="",I306&lt;&gt;""),1/I306,0)</f>
        <v/>
      </c>
      <c r="U306" s="112">
        <f>IF(AND(B306&lt;&gt;"",M306="",I306&lt;&gt;""),I306,"")</f>
        <v/>
      </c>
      <c r="V306" s="79">
        <f>IF(U306="","",IF(U306&lt;AsOf,1,IF(U306&lt;=AsOf+AlertDays,2,IF(U306&lt;=AsOf+2*AlertDays,3,""))))</f>
        <v/>
      </c>
      <c r="W306" s="79">
        <f>IF(V306="","",IF(O306="OVERDUE","Overdue payment: ","Payment due: ")&amp;B306&amp;" — "&amp;C306&amp;" ("&amp;CurSym&amp;" "&amp;FIXED(S306,0)&amp;")")</f>
        <v/>
      </c>
      <c r="Z306" s="116">
        <f>IF('Contractors'!B306="","",'Contractors'!B306)</f>
        <v/>
      </c>
      <c r="AA306" s="77">
        <f>IF(Z306="","",'Contractors'!K306)</f>
        <v/>
      </c>
      <c r="AB306" s="77">
        <f>IF(Z306="","",SUMIFS($L$6:$L$1005,$B$6:$B$1005,Z306))</f>
        <v/>
      </c>
      <c r="AC306" s="77">
        <f>IF(Z306="","",SUMIFS($N$6:$N$1005,$B$6:$B$1005,Z306))</f>
        <v/>
      </c>
      <c r="AD306" s="76">
        <f>IF(Z306="","",AA306-AC306)</f>
        <v/>
      </c>
      <c r="AE306" s="117">
        <f>IF(Z306="","",IFERROR(1/SUMPRODUCT(MAX(($B$6:$B$1005=Z306)*$T$6:$T$1005)),""))</f>
        <v/>
      </c>
      <c r="AF306" s="77">
        <f>IF(AE306="","",SUMIFS($S$6:$S$1005,$B$6:$B$1005,Z306,$I$6:$I$1005,AE306))</f>
        <v/>
      </c>
    </row>
    <row r="307" ht="20" customHeight="1">
      <c r="B307" s="72" t="n"/>
      <c r="C307" s="72" t="n"/>
      <c r="D307" s="72" t="n"/>
      <c r="E307" s="72" t="n"/>
      <c r="F307" s="110" t="n"/>
      <c r="G307" s="73" t="n"/>
      <c r="H307" s="75">
        <f>IF(B307="","",IF(G307&lt;&gt;"",G307,IF(F307&lt;&gt;"",F307*IFERROR(INDEX('Contractors'!$I$6:$I$1005,MATCH(B307,'Contractors'!$B$6:$B$1005,0)),0),"")))</f>
        <v/>
      </c>
      <c r="I307" s="109" t="n"/>
      <c r="J307" s="72" t="n"/>
      <c r="K307" s="109" t="n"/>
      <c r="L307" s="73" t="n"/>
      <c r="M307" s="109" t="n"/>
      <c r="N307" s="73" t="n"/>
      <c r="O307" s="107">
        <f>IF(B307="","",IF(M307&lt;&gt;"","Paid",IF(AND(I307&lt;&gt;"",I307&lt;AsOf),"OVERDUE",IF(OR(K307&lt;&gt;"",L307&lt;&gt;""),"Invoiced","Scheduled"))))</f>
        <v/>
      </c>
      <c r="P307" s="115">
        <f>IF(B307="","",IF(E307&lt;&gt;"",E307,IFERROR(INDEX('Contractors'!$D$6:$D$1005,MATCH(B307,'Contractors'!$B$6:$B$1005,0)),"")))</f>
        <v/>
      </c>
      <c r="Q307" s="79">
        <f>IF(B307="","",IF(D307&lt;&gt;"",D307,IFERROR(INDEX('Contractors'!$E$6:$E$1005,MATCH(B307,'Contractors'!$B$6:$B$1005,0)),"")))</f>
        <v/>
      </c>
      <c r="R307" s="79">
        <f>IF(O307="","",IF(O307="OVERDUE",2,IF(O307="Paid",0,IF(AND(I307&lt;&gt;"",I307&lt;=AsOf+AlertDays),1,0))))</f>
        <v/>
      </c>
      <c r="S307" s="79">
        <f>IF(AND(B307&lt;&gt;"",M307="",I307&lt;&gt;""),IF(L307&lt;&gt;"",L307,IF(H307="",0,H307)),0)</f>
        <v/>
      </c>
      <c r="T307" s="79">
        <f>IF(AND(B307&lt;&gt;"",M307="",I307&lt;&gt;""),1/I307,0)</f>
        <v/>
      </c>
      <c r="U307" s="112">
        <f>IF(AND(B307&lt;&gt;"",M307="",I307&lt;&gt;""),I307,"")</f>
        <v/>
      </c>
      <c r="V307" s="79">
        <f>IF(U307="","",IF(U307&lt;AsOf,1,IF(U307&lt;=AsOf+AlertDays,2,IF(U307&lt;=AsOf+2*AlertDays,3,""))))</f>
        <v/>
      </c>
      <c r="W307" s="79">
        <f>IF(V307="","",IF(O307="OVERDUE","Overdue payment: ","Payment due: ")&amp;B307&amp;" — "&amp;C307&amp;" ("&amp;CurSym&amp;" "&amp;FIXED(S307,0)&amp;")")</f>
        <v/>
      </c>
      <c r="Z307" s="116">
        <f>IF('Contractors'!B307="","",'Contractors'!B307)</f>
        <v/>
      </c>
      <c r="AA307" s="77">
        <f>IF(Z307="","",'Contractors'!K307)</f>
        <v/>
      </c>
      <c r="AB307" s="77">
        <f>IF(Z307="","",SUMIFS($L$6:$L$1005,$B$6:$B$1005,Z307))</f>
        <v/>
      </c>
      <c r="AC307" s="77">
        <f>IF(Z307="","",SUMIFS($N$6:$N$1005,$B$6:$B$1005,Z307))</f>
        <v/>
      </c>
      <c r="AD307" s="76">
        <f>IF(Z307="","",AA307-AC307)</f>
        <v/>
      </c>
      <c r="AE307" s="117">
        <f>IF(Z307="","",IFERROR(1/SUMPRODUCT(MAX(($B$6:$B$1005=Z307)*$T$6:$T$1005)),""))</f>
        <v/>
      </c>
      <c r="AF307" s="77">
        <f>IF(AE307="","",SUMIFS($S$6:$S$1005,$B$6:$B$1005,Z307,$I$6:$I$1005,AE307))</f>
        <v/>
      </c>
    </row>
    <row r="308" ht="20" customHeight="1">
      <c r="B308" s="72" t="n"/>
      <c r="C308" s="72" t="n"/>
      <c r="D308" s="72" t="n"/>
      <c r="E308" s="72" t="n"/>
      <c r="F308" s="110" t="n"/>
      <c r="G308" s="73" t="n"/>
      <c r="H308" s="75">
        <f>IF(B308="","",IF(G308&lt;&gt;"",G308,IF(F308&lt;&gt;"",F308*IFERROR(INDEX('Contractors'!$I$6:$I$1005,MATCH(B308,'Contractors'!$B$6:$B$1005,0)),0),"")))</f>
        <v/>
      </c>
      <c r="I308" s="109" t="n"/>
      <c r="J308" s="72" t="n"/>
      <c r="K308" s="109" t="n"/>
      <c r="L308" s="73" t="n"/>
      <c r="M308" s="109" t="n"/>
      <c r="N308" s="73" t="n"/>
      <c r="O308" s="107">
        <f>IF(B308="","",IF(M308&lt;&gt;"","Paid",IF(AND(I308&lt;&gt;"",I308&lt;AsOf),"OVERDUE",IF(OR(K308&lt;&gt;"",L308&lt;&gt;""),"Invoiced","Scheduled"))))</f>
        <v/>
      </c>
      <c r="P308" s="115">
        <f>IF(B308="","",IF(E308&lt;&gt;"",E308,IFERROR(INDEX('Contractors'!$D$6:$D$1005,MATCH(B308,'Contractors'!$B$6:$B$1005,0)),"")))</f>
        <v/>
      </c>
      <c r="Q308" s="79">
        <f>IF(B308="","",IF(D308&lt;&gt;"",D308,IFERROR(INDEX('Contractors'!$E$6:$E$1005,MATCH(B308,'Contractors'!$B$6:$B$1005,0)),"")))</f>
        <v/>
      </c>
      <c r="R308" s="79">
        <f>IF(O308="","",IF(O308="OVERDUE",2,IF(O308="Paid",0,IF(AND(I308&lt;&gt;"",I308&lt;=AsOf+AlertDays),1,0))))</f>
        <v/>
      </c>
      <c r="S308" s="79">
        <f>IF(AND(B308&lt;&gt;"",M308="",I308&lt;&gt;""),IF(L308&lt;&gt;"",L308,IF(H308="",0,H308)),0)</f>
        <v/>
      </c>
      <c r="T308" s="79">
        <f>IF(AND(B308&lt;&gt;"",M308="",I308&lt;&gt;""),1/I308,0)</f>
        <v/>
      </c>
      <c r="U308" s="112">
        <f>IF(AND(B308&lt;&gt;"",M308="",I308&lt;&gt;""),I308,"")</f>
        <v/>
      </c>
      <c r="V308" s="79">
        <f>IF(U308="","",IF(U308&lt;AsOf,1,IF(U308&lt;=AsOf+AlertDays,2,IF(U308&lt;=AsOf+2*AlertDays,3,""))))</f>
        <v/>
      </c>
      <c r="W308" s="79">
        <f>IF(V308="","",IF(O308="OVERDUE","Overdue payment: ","Payment due: ")&amp;B308&amp;" — "&amp;C308&amp;" ("&amp;CurSym&amp;" "&amp;FIXED(S308,0)&amp;")")</f>
        <v/>
      </c>
      <c r="Z308" s="116">
        <f>IF('Contractors'!B308="","",'Contractors'!B308)</f>
        <v/>
      </c>
      <c r="AA308" s="77">
        <f>IF(Z308="","",'Contractors'!K308)</f>
        <v/>
      </c>
      <c r="AB308" s="77">
        <f>IF(Z308="","",SUMIFS($L$6:$L$1005,$B$6:$B$1005,Z308))</f>
        <v/>
      </c>
      <c r="AC308" s="77">
        <f>IF(Z308="","",SUMIFS($N$6:$N$1005,$B$6:$B$1005,Z308))</f>
        <v/>
      </c>
      <c r="AD308" s="76">
        <f>IF(Z308="","",AA308-AC308)</f>
        <v/>
      </c>
      <c r="AE308" s="117">
        <f>IF(Z308="","",IFERROR(1/SUMPRODUCT(MAX(($B$6:$B$1005=Z308)*$T$6:$T$1005)),""))</f>
        <v/>
      </c>
      <c r="AF308" s="77">
        <f>IF(AE308="","",SUMIFS($S$6:$S$1005,$B$6:$B$1005,Z308,$I$6:$I$1005,AE308))</f>
        <v/>
      </c>
    </row>
    <row r="309" ht="20" customHeight="1">
      <c r="B309" s="72" t="n"/>
      <c r="C309" s="72" t="n"/>
      <c r="D309" s="72" t="n"/>
      <c r="E309" s="72" t="n"/>
      <c r="F309" s="110" t="n"/>
      <c r="G309" s="73" t="n"/>
      <c r="H309" s="75">
        <f>IF(B309="","",IF(G309&lt;&gt;"",G309,IF(F309&lt;&gt;"",F309*IFERROR(INDEX('Contractors'!$I$6:$I$1005,MATCH(B309,'Contractors'!$B$6:$B$1005,0)),0),"")))</f>
        <v/>
      </c>
      <c r="I309" s="109" t="n"/>
      <c r="J309" s="72" t="n"/>
      <c r="K309" s="109" t="n"/>
      <c r="L309" s="73" t="n"/>
      <c r="M309" s="109" t="n"/>
      <c r="N309" s="73" t="n"/>
      <c r="O309" s="107">
        <f>IF(B309="","",IF(M309&lt;&gt;"","Paid",IF(AND(I309&lt;&gt;"",I309&lt;AsOf),"OVERDUE",IF(OR(K309&lt;&gt;"",L309&lt;&gt;""),"Invoiced","Scheduled"))))</f>
        <v/>
      </c>
      <c r="P309" s="115">
        <f>IF(B309="","",IF(E309&lt;&gt;"",E309,IFERROR(INDEX('Contractors'!$D$6:$D$1005,MATCH(B309,'Contractors'!$B$6:$B$1005,0)),"")))</f>
        <v/>
      </c>
      <c r="Q309" s="79">
        <f>IF(B309="","",IF(D309&lt;&gt;"",D309,IFERROR(INDEX('Contractors'!$E$6:$E$1005,MATCH(B309,'Contractors'!$B$6:$B$1005,0)),"")))</f>
        <v/>
      </c>
      <c r="R309" s="79">
        <f>IF(O309="","",IF(O309="OVERDUE",2,IF(O309="Paid",0,IF(AND(I309&lt;&gt;"",I309&lt;=AsOf+AlertDays),1,0))))</f>
        <v/>
      </c>
      <c r="S309" s="79">
        <f>IF(AND(B309&lt;&gt;"",M309="",I309&lt;&gt;""),IF(L309&lt;&gt;"",L309,IF(H309="",0,H309)),0)</f>
        <v/>
      </c>
      <c r="T309" s="79">
        <f>IF(AND(B309&lt;&gt;"",M309="",I309&lt;&gt;""),1/I309,0)</f>
        <v/>
      </c>
      <c r="U309" s="112">
        <f>IF(AND(B309&lt;&gt;"",M309="",I309&lt;&gt;""),I309,"")</f>
        <v/>
      </c>
      <c r="V309" s="79">
        <f>IF(U309="","",IF(U309&lt;AsOf,1,IF(U309&lt;=AsOf+AlertDays,2,IF(U309&lt;=AsOf+2*AlertDays,3,""))))</f>
        <v/>
      </c>
      <c r="W309" s="79">
        <f>IF(V309="","",IF(O309="OVERDUE","Overdue payment: ","Payment due: ")&amp;B309&amp;" — "&amp;C309&amp;" ("&amp;CurSym&amp;" "&amp;FIXED(S309,0)&amp;")")</f>
        <v/>
      </c>
      <c r="Z309" s="116">
        <f>IF('Contractors'!B309="","",'Contractors'!B309)</f>
        <v/>
      </c>
      <c r="AA309" s="77">
        <f>IF(Z309="","",'Contractors'!K309)</f>
        <v/>
      </c>
      <c r="AB309" s="77">
        <f>IF(Z309="","",SUMIFS($L$6:$L$1005,$B$6:$B$1005,Z309))</f>
        <v/>
      </c>
      <c r="AC309" s="77">
        <f>IF(Z309="","",SUMIFS($N$6:$N$1005,$B$6:$B$1005,Z309))</f>
        <v/>
      </c>
      <c r="AD309" s="76">
        <f>IF(Z309="","",AA309-AC309)</f>
        <v/>
      </c>
      <c r="AE309" s="117">
        <f>IF(Z309="","",IFERROR(1/SUMPRODUCT(MAX(($B$6:$B$1005=Z309)*$T$6:$T$1005)),""))</f>
        <v/>
      </c>
      <c r="AF309" s="77">
        <f>IF(AE309="","",SUMIFS($S$6:$S$1005,$B$6:$B$1005,Z309,$I$6:$I$1005,AE309))</f>
        <v/>
      </c>
    </row>
    <row r="310" ht="20" customHeight="1">
      <c r="B310" s="72" t="n"/>
      <c r="C310" s="72" t="n"/>
      <c r="D310" s="72" t="n"/>
      <c r="E310" s="72" t="n"/>
      <c r="F310" s="110" t="n"/>
      <c r="G310" s="73" t="n"/>
      <c r="H310" s="75">
        <f>IF(B310="","",IF(G310&lt;&gt;"",G310,IF(F310&lt;&gt;"",F310*IFERROR(INDEX('Contractors'!$I$6:$I$1005,MATCH(B310,'Contractors'!$B$6:$B$1005,0)),0),"")))</f>
        <v/>
      </c>
      <c r="I310" s="109" t="n"/>
      <c r="J310" s="72" t="n"/>
      <c r="K310" s="109" t="n"/>
      <c r="L310" s="73" t="n"/>
      <c r="M310" s="109" t="n"/>
      <c r="N310" s="73" t="n"/>
      <c r="O310" s="107">
        <f>IF(B310="","",IF(M310&lt;&gt;"","Paid",IF(AND(I310&lt;&gt;"",I310&lt;AsOf),"OVERDUE",IF(OR(K310&lt;&gt;"",L310&lt;&gt;""),"Invoiced","Scheduled"))))</f>
        <v/>
      </c>
      <c r="P310" s="115">
        <f>IF(B310="","",IF(E310&lt;&gt;"",E310,IFERROR(INDEX('Contractors'!$D$6:$D$1005,MATCH(B310,'Contractors'!$B$6:$B$1005,0)),"")))</f>
        <v/>
      </c>
      <c r="Q310" s="79">
        <f>IF(B310="","",IF(D310&lt;&gt;"",D310,IFERROR(INDEX('Contractors'!$E$6:$E$1005,MATCH(B310,'Contractors'!$B$6:$B$1005,0)),"")))</f>
        <v/>
      </c>
      <c r="R310" s="79">
        <f>IF(O310="","",IF(O310="OVERDUE",2,IF(O310="Paid",0,IF(AND(I310&lt;&gt;"",I310&lt;=AsOf+AlertDays),1,0))))</f>
        <v/>
      </c>
      <c r="S310" s="79">
        <f>IF(AND(B310&lt;&gt;"",M310="",I310&lt;&gt;""),IF(L310&lt;&gt;"",L310,IF(H310="",0,H310)),0)</f>
        <v/>
      </c>
      <c r="T310" s="79">
        <f>IF(AND(B310&lt;&gt;"",M310="",I310&lt;&gt;""),1/I310,0)</f>
        <v/>
      </c>
      <c r="U310" s="112">
        <f>IF(AND(B310&lt;&gt;"",M310="",I310&lt;&gt;""),I310,"")</f>
        <v/>
      </c>
      <c r="V310" s="79">
        <f>IF(U310="","",IF(U310&lt;AsOf,1,IF(U310&lt;=AsOf+AlertDays,2,IF(U310&lt;=AsOf+2*AlertDays,3,""))))</f>
        <v/>
      </c>
      <c r="W310" s="79">
        <f>IF(V310="","",IF(O310="OVERDUE","Overdue payment: ","Payment due: ")&amp;B310&amp;" — "&amp;C310&amp;" ("&amp;CurSym&amp;" "&amp;FIXED(S310,0)&amp;")")</f>
        <v/>
      </c>
      <c r="Z310" s="116">
        <f>IF('Contractors'!B310="","",'Contractors'!B310)</f>
        <v/>
      </c>
      <c r="AA310" s="77">
        <f>IF(Z310="","",'Contractors'!K310)</f>
        <v/>
      </c>
      <c r="AB310" s="77">
        <f>IF(Z310="","",SUMIFS($L$6:$L$1005,$B$6:$B$1005,Z310))</f>
        <v/>
      </c>
      <c r="AC310" s="77">
        <f>IF(Z310="","",SUMIFS($N$6:$N$1005,$B$6:$B$1005,Z310))</f>
        <v/>
      </c>
      <c r="AD310" s="76">
        <f>IF(Z310="","",AA310-AC310)</f>
        <v/>
      </c>
      <c r="AE310" s="117">
        <f>IF(Z310="","",IFERROR(1/SUMPRODUCT(MAX(($B$6:$B$1005=Z310)*$T$6:$T$1005)),""))</f>
        <v/>
      </c>
      <c r="AF310" s="77">
        <f>IF(AE310="","",SUMIFS($S$6:$S$1005,$B$6:$B$1005,Z310,$I$6:$I$1005,AE310))</f>
        <v/>
      </c>
    </row>
    <row r="311" ht="20" customHeight="1">
      <c r="B311" s="72" t="n"/>
      <c r="C311" s="72" t="n"/>
      <c r="D311" s="72" t="n"/>
      <c r="E311" s="72" t="n"/>
      <c r="F311" s="110" t="n"/>
      <c r="G311" s="73" t="n"/>
      <c r="H311" s="75">
        <f>IF(B311="","",IF(G311&lt;&gt;"",G311,IF(F311&lt;&gt;"",F311*IFERROR(INDEX('Contractors'!$I$6:$I$1005,MATCH(B311,'Contractors'!$B$6:$B$1005,0)),0),"")))</f>
        <v/>
      </c>
      <c r="I311" s="109" t="n"/>
      <c r="J311" s="72" t="n"/>
      <c r="K311" s="109" t="n"/>
      <c r="L311" s="73" t="n"/>
      <c r="M311" s="109" t="n"/>
      <c r="N311" s="73" t="n"/>
      <c r="O311" s="107">
        <f>IF(B311="","",IF(M311&lt;&gt;"","Paid",IF(AND(I311&lt;&gt;"",I311&lt;AsOf),"OVERDUE",IF(OR(K311&lt;&gt;"",L311&lt;&gt;""),"Invoiced","Scheduled"))))</f>
        <v/>
      </c>
      <c r="P311" s="115">
        <f>IF(B311="","",IF(E311&lt;&gt;"",E311,IFERROR(INDEX('Contractors'!$D$6:$D$1005,MATCH(B311,'Contractors'!$B$6:$B$1005,0)),"")))</f>
        <v/>
      </c>
      <c r="Q311" s="79">
        <f>IF(B311="","",IF(D311&lt;&gt;"",D311,IFERROR(INDEX('Contractors'!$E$6:$E$1005,MATCH(B311,'Contractors'!$B$6:$B$1005,0)),"")))</f>
        <v/>
      </c>
      <c r="R311" s="79">
        <f>IF(O311="","",IF(O311="OVERDUE",2,IF(O311="Paid",0,IF(AND(I311&lt;&gt;"",I311&lt;=AsOf+AlertDays),1,0))))</f>
        <v/>
      </c>
      <c r="S311" s="79">
        <f>IF(AND(B311&lt;&gt;"",M311="",I311&lt;&gt;""),IF(L311&lt;&gt;"",L311,IF(H311="",0,H311)),0)</f>
        <v/>
      </c>
      <c r="T311" s="79">
        <f>IF(AND(B311&lt;&gt;"",M311="",I311&lt;&gt;""),1/I311,0)</f>
        <v/>
      </c>
      <c r="U311" s="112">
        <f>IF(AND(B311&lt;&gt;"",M311="",I311&lt;&gt;""),I311,"")</f>
        <v/>
      </c>
      <c r="V311" s="79">
        <f>IF(U311="","",IF(U311&lt;AsOf,1,IF(U311&lt;=AsOf+AlertDays,2,IF(U311&lt;=AsOf+2*AlertDays,3,""))))</f>
        <v/>
      </c>
      <c r="W311" s="79">
        <f>IF(V311="","",IF(O311="OVERDUE","Overdue payment: ","Payment due: ")&amp;B311&amp;" — "&amp;C311&amp;" ("&amp;CurSym&amp;" "&amp;FIXED(S311,0)&amp;")")</f>
        <v/>
      </c>
      <c r="Z311" s="116">
        <f>IF('Contractors'!B311="","",'Contractors'!B311)</f>
        <v/>
      </c>
      <c r="AA311" s="77">
        <f>IF(Z311="","",'Contractors'!K311)</f>
        <v/>
      </c>
      <c r="AB311" s="77">
        <f>IF(Z311="","",SUMIFS($L$6:$L$1005,$B$6:$B$1005,Z311))</f>
        <v/>
      </c>
      <c r="AC311" s="77">
        <f>IF(Z311="","",SUMIFS($N$6:$N$1005,$B$6:$B$1005,Z311))</f>
        <v/>
      </c>
      <c r="AD311" s="76">
        <f>IF(Z311="","",AA311-AC311)</f>
        <v/>
      </c>
      <c r="AE311" s="117">
        <f>IF(Z311="","",IFERROR(1/SUMPRODUCT(MAX(($B$6:$B$1005=Z311)*$T$6:$T$1005)),""))</f>
        <v/>
      </c>
      <c r="AF311" s="77">
        <f>IF(AE311="","",SUMIFS($S$6:$S$1005,$B$6:$B$1005,Z311,$I$6:$I$1005,AE311))</f>
        <v/>
      </c>
    </row>
    <row r="312" ht="20" customHeight="1">
      <c r="B312" s="72" t="n"/>
      <c r="C312" s="72" t="n"/>
      <c r="D312" s="72" t="n"/>
      <c r="E312" s="72" t="n"/>
      <c r="F312" s="110" t="n"/>
      <c r="G312" s="73" t="n"/>
      <c r="H312" s="75">
        <f>IF(B312="","",IF(G312&lt;&gt;"",G312,IF(F312&lt;&gt;"",F312*IFERROR(INDEX('Contractors'!$I$6:$I$1005,MATCH(B312,'Contractors'!$B$6:$B$1005,0)),0),"")))</f>
        <v/>
      </c>
      <c r="I312" s="109" t="n"/>
      <c r="J312" s="72" t="n"/>
      <c r="K312" s="109" t="n"/>
      <c r="L312" s="73" t="n"/>
      <c r="M312" s="109" t="n"/>
      <c r="N312" s="73" t="n"/>
      <c r="O312" s="107">
        <f>IF(B312="","",IF(M312&lt;&gt;"","Paid",IF(AND(I312&lt;&gt;"",I312&lt;AsOf),"OVERDUE",IF(OR(K312&lt;&gt;"",L312&lt;&gt;""),"Invoiced","Scheduled"))))</f>
        <v/>
      </c>
      <c r="P312" s="115">
        <f>IF(B312="","",IF(E312&lt;&gt;"",E312,IFERROR(INDEX('Contractors'!$D$6:$D$1005,MATCH(B312,'Contractors'!$B$6:$B$1005,0)),"")))</f>
        <v/>
      </c>
      <c r="Q312" s="79">
        <f>IF(B312="","",IF(D312&lt;&gt;"",D312,IFERROR(INDEX('Contractors'!$E$6:$E$1005,MATCH(B312,'Contractors'!$B$6:$B$1005,0)),"")))</f>
        <v/>
      </c>
      <c r="R312" s="79">
        <f>IF(O312="","",IF(O312="OVERDUE",2,IF(O312="Paid",0,IF(AND(I312&lt;&gt;"",I312&lt;=AsOf+AlertDays),1,0))))</f>
        <v/>
      </c>
      <c r="S312" s="79">
        <f>IF(AND(B312&lt;&gt;"",M312="",I312&lt;&gt;""),IF(L312&lt;&gt;"",L312,IF(H312="",0,H312)),0)</f>
        <v/>
      </c>
      <c r="T312" s="79">
        <f>IF(AND(B312&lt;&gt;"",M312="",I312&lt;&gt;""),1/I312,0)</f>
        <v/>
      </c>
      <c r="U312" s="112">
        <f>IF(AND(B312&lt;&gt;"",M312="",I312&lt;&gt;""),I312,"")</f>
        <v/>
      </c>
      <c r="V312" s="79">
        <f>IF(U312="","",IF(U312&lt;AsOf,1,IF(U312&lt;=AsOf+AlertDays,2,IF(U312&lt;=AsOf+2*AlertDays,3,""))))</f>
        <v/>
      </c>
      <c r="W312" s="79">
        <f>IF(V312="","",IF(O312="OVERDUE","Overdue payment: ","Payment due: ")&amp;B312&amp;" — "&amp;C312&amp;" ("&amp;CurSym&amp;" "&amp;FIXED(S312,0)&amp;")")</f>
        <v/>
      </c>
      <c r="Z312" s="116">
        <f>IF('Contractors'!B312="","",'Contractors'!B312)</f>
        <v/>
      </c>
      <c r="AA312" s="77">
        <f>IF(Z312="","",'Contractors'!K312)</f>
        <v/>
      </c>
      <c r="AB312" s="77">
        <f>IF(Z312="","",SUMIFS($L$6:$L$1005,$B$6:$B$1005,Z312))</f>
        <v/>
      </c>
      <c r="AC312" s="77">
        <f>IF(Z312="","",SUMIFS($N$6:$N$1005,$B$6:$B$1005,Z312))</f>
        <v/>
      </c>
      <c r="AD312" s="76">
        <f>IF(Z312="","",AA312-AC312)</f>
        <v/>
      </c>
      <c r="AE312" s="117">
        <f>IF(Z312="","",IFERROR(1/SUMPRODUCT(MAX(($B$6:$B$1005=Z312)*$T$6:$T$1005)),""))</f>
        <v/>
      </c>
      <c r="AF312" s="77">
        <f>IF(AE312="","",SUMIFS($S$6:$S$1005,$B$6:$B$1005,Z312,$I$6:$I$1005,AE312))</f>
        <v/>
      </c>
    </row>
    <row r="313" ht="20" customHeight="1">
      <c r="B313" s="72" t="n"/>
      <c r="C313" s="72" t="n"/>
      <c r="D313" s="72" t="n"/>
      <c r="E313" s="72" t="n"/>
      <c r="F313" s="110" t="n"/>
      <c r="G313" s="73" t="n"/>
      <c r="H313" s="75">
        <f>IF(B313="","",IF(G313&lt;&gt;"",G313,IF(F313&lt;&gt;"",F313*IFERROR(INDEX('Contractors'!$I$6:$I$1005,MATCH(B313,'Contractors'!$B$6:$B$1005,0)),0),"")))</f>
        <v/>
      </c>
      <c r="I313" s="109" t="n"/>
      <c r="J313" s="72" t="n"/>
      <c r="K313" s="109" t="n"/>
      <c r="L313" s="73" t="n"/>
      <c r="M313" s="109" t="n"/>
      <c r="N313" s="73" t="n"/>
      <c r="O313" s="107">
        <f>IF(B313="","",IF(M313&lt;&gt;"","Paid",IF(AND(I313&lt;&gt;"",I313&lt;AsOf),"OVERDUE",IF(OR(K313&lt;&gt;"",L313&lt;&gt;""),"Invoiced","Scheduled"))))</f>
        <v/>
      </c>
      <c r="P313" s="115">
        <f>IF(B313="","",IF(E313&lt;&gt;"",E313,IFERROR(INDEX('Contractors'!$D$6:$D$1005,MATCH(B313,'Contractors'!$B$6:$B$1005,0)),"")))</f>
        <v/>
      </c>
      <c r="Q313" s="79">
        <f>IF(B313="","",IF(D313&lt;&gt;"",D313,IFERROR(INDEX('Contractors'!$E$6:$E$1005,MATCH(B313,'Contractors'!$B$6:$B$1005,0)),"")))</f>
        <v/>
      </c>
      <c r="R313" s="79">
        <f>IF(O313="","",IF(O313="OVERDUE",2,IF(O313="Paid",0,IF(AND(I313&lt;&gt;"",I313&lt;=AsOf+AlertDays),1,0))))</f>
        <v/>
      </c>
      <c r="S313" s="79">
        <f>IF(AND(B313&lt;&gt;"",M313="",I313&lt;&gt;""),IF(L313&lt;&gt;"",L313,IF(H313="",0,H313)),0)</f>
        <v/>
      </c>
      <c r="T313" s="79">
        <f>IF(AND(B313&lt;&gt;"",M313="",I313&lt;&gt;""),1/I313,0)</f>
        <v/>
      </c>
      <c r="U313" s="112">
        <f>IF(AND(B313&lt;&gt;"",M313="",I313&lt;&gt;""),I313,"")</f>
        <v/>
      </c>
      <c r="V313" s="79">
        <f>IF(U313="","",IF(U313&lt;AsOf,1,IF(U313&lt;=AsOf+AlertDays,2,IF(U313&lt;=AsOf+2*AlertDays,3,""))))</f>
        <v/>
      </c>
      <c r="W313" s="79">
        <f>IF(V313="","",IF(O313="OVERDUE","Overdue payment: ","Payment due: ")&amp;B313&amp;" — "&amp;C313&amp;" ("&amp;CurSym&amp;" "&amp;FIXED(S313,0)&amp;")")</f>
        <v/>
      </c>
      <c r="Z313" s="116">
        <f>IF('Contractors'!B313="","",'Contractors'!B313)</f>
        <v/>
      </c>
      <c r="AA313" s="77">
        <f>IF(Z313="","",'Contractors'!K313)</f>
        <v/>
      </c>
      <c r="AB313" s="77">
        <f>IF(Z313="","",SUMIFS($L$6:$L$1005,$B$6:$B$1005,Z313))</f>
        <v/>
      </c>
      <c r="AC313" s="77">
        <f>IF(Z313="","",SUMIFS($N$6:$N$1005,$B$6:$B$1005,Z313))</f>
        <v/>
      </c>
      <c r="AD313" s="76">
        <f>IF(Z313="","",AA313-AC313)</f>
        <v/>
      </c>
      <c r="AE313" s="117">
        <f>IF(Z313="","",IFERROR(1/SUMPRODUCT(MAX(($B$6:$B$1005=Z313)*$T$6:$T$1005)),""))</f>
        <v/>
      </c>
      <c r="AF313" s="77">
        <f>IF(AE313="","",SUMIFS($S$6:$S$1005,$B$6:$B$1005,Z313,$I$6:$I$1005,AE313))</f>
        <v/>
      </c>
    </row>
    <row r="314" ht="20" customHeight="1">
      <c r="B314" s="72" t="n"/>
      <c r="C314" s="72" t="n"/>
      <c r="D314" s="72" t="n"/>
      <c r="E314" s="72" t="n"/>
      <c r="F314" s="110" t="n"/>
      <c r="G314" s="73" t="n"/>
      <c r="H314" s="75">
        <f>IF(B314="","",IF(G314&lt;&gt;"",G314,IF(F314&lt;&gt;"",F314*IFERROR(INDEX('Contractors'!$I$6:$I$1005,MATCH(B314,'Contractors'!$B$6:$B$1005,0)),0),"")))</f>
        <v/>
      </c>
      <c r="I314" s="109" t="n"/>
      <c r="J314" s="72" t="n"/>
      <c r="K314" s="109" t="n"/>
      <c r="L314" s="73" t="n"/>
      <c r="M314" s="109" t="n"/>
      <c r="N314" s="73" t="n"/>
      <c r="O314" s="107">
        <f>IF(B314="","",IF(M314&lt;&gt;"","Paid",IF(AND(I314&lt;&gt;"",I314&lt;AsOf),"OVERDUE",IF(OR(K314&lt;&gt;"",L314&lt;&gt;""),"Invoiced","Scheduled"))))</f>
        <v/>
      </c>
      <c r="P314" s="115">
        <f>IF(B314="","",IF(E314&lt;&gt;"",E314,IFERROR(INDEX('Contractors'!$D$6:$D$1005,MATCH(B314,'Contractors'!$B$6:$B$1005,0)),"")))</f>
        <v/>
      </c>
      <c r="Q314" s="79">
        <f>IF(B314="","",IF(D314&lt;&gt;"",D314,IFERROR(INDEX('Contractors'!$E$6:$E$1005,MATCH(B314,'Contractors'!$B$6:$B$1005,0)),"")))</f>
        <v/>
      </c>
      <c r="R314" s="79">
        <f>IF(O314="","",IF(O314="OVERDUE",2,IF(O314="Paid",0,IF(AND(I314&lt;&gt;"",I314&lt;=AsOf+AlertDays),1,0))))</f>
        <v/>
      </c>
      <c r="S314" s="79">
        <f>IF(AND(B314&lt;&gt;"",M314="",I314&lt;&gt;""),IF(L314&lt;&gt;"",L314,IF(H314="",0,H314)),0)</f>
        <v/>
      </c>
      <c r="T314" s="79">
        <f>IF(AND(B314&lt;&gt;"",M314="",I314&lt;&gt;""),1/I314,0)</f>
        <v/>
      </c>
      <c r="U314" s="112">
        <f>IF(AND(B314&lt;&gt;"",M314="",I314&lt;&gt;""),I314,"")</f>
        <v/>
      </c>
      <c r="V314" s="79">
        <f>IF(U314="","",IF(U314&lt;AsOf,1,IF(U314&lt;=AsOf+AlertDays,2,IF(U314&lt;=AsOf+2*AlertDays,3,""))))</f>
        <v/>
      </c>
      <c r="W314" s="79">
        <f>IF(V314="","",IF(O314="OVERDUE","Overdue payment: ","Payment due: ")&amp;B314&amp;" — "&amp;C314&amp;" ("&amp;CurSym&amp;" "&amp;FIXED(S314,0)&amp;")")</f>
        <v/>
      </c>
      <c r="Z314" s="116">
        <f>IF('Contractors'!B314="","",'Contractors'!B314)</f>
        <v/>
      </c>
      <c r="AA314" s="77">
        <f>IF(Z314="","",'Contractors'!K314)</f>
        <v/>
      </c>
      <c r="AB314" s="77">
        <f>IF(Z314="","",SUMIFS($L$6:$L$1005,$B$6:$B$1005,Z314))</f>
        <v/>
      </c>
      <c r="AC314" s="77">
        <f>IF(Z314="","",SUMIFS($N$6:$N$1005,$B$6:$B$1005,Z314))</f>
        <v/>
      </c>
      <c r="AD314" s="76">
        <f>IF(Z314="","",AA314-AC314)</f>
        <v/>
      </c>
      <c r="AE314" s="117">
        <f>IF(Z314="","",IFERROR(1/SUMPRODUCT(MAX(($B$6:$B$1005=Z314)*$T$6:$T$1005)),""))</f>
        <v/>
      </c>
      <c r="AF314" s="77">
        <f>IF(AE314="","",SUMIFS($S$6:$S$1005,$B$6:$B$1005,Z314,$I$6:$I$1005,AE314))</f>
        <v/>
      </c>
    </row>
    <row r="315" ht="20" customHeight="1">
      <c r="B315" s="72" t="n"/>
      <c r="C315" s="72" t="n"/>
      <c r="D315" s="72" t="n"/>
      <c r="E315" s="72" t="n"/>
      <c r="F315" s="110" t="n"/>
      <c r="G315" s="73" t="n"/>
      <c r="H315" s="75">
        <f>IF(B315="","",IF(G315&lt;&gt;"",G315,IF(F315&lt;&gt;"",F315*IFERROR(INDEX('Contractors'!$I$6:$I$1005,MATCH(B315,'Contractors'!$B$6:$B$1005,0)),0),"")))</f>
        <v/>
      </c>
      <c r="I315" s="109" t="n"/>
      <c r="J315" s="72" t="n"/>
      <c r="K315" s="109" t="n"/>
      <c r="L315" s="73" t="n"/>
      <c r="M315" s="109" t="n"/>
      <c r="N315" s="73" t="n"/>
      <c r="O315" s="107">
        <f>IF(B315="","",IF(M315&lt;&gt;"","Paid",IF(AND(I315&lt;&gt;"",I315&lt;AsOf),"OVERDUE",IF(OR(K315&lt;&gt;"",L315&lt;&gt;""),"Invoiced","Scheduled"))))</f>
        <v/>
      </c>
      <c r="P315" s="115">
        <f>IF(B315="","",IF(E315&lt;&gt;"",E315,IFERROR(INDEX('Contractors'!$D$6:$D$1005,MATCH(B315,'Contractors'!$B$6:$B$1005,0)),"")))</f>
        <v/>
      </c>
      <c r="Q315" s="79">
        <f>IF(B315="","",IF(D315&lt;&gt;"",D315,IFERROR(INDEX('Contractors'!$E$6:$E$1005,MATCH(B315,'Contractors'!$B$6:$B$1005,0)),"")))</f>
        <v/>
      </c>
      <c r="R315" s="79">
        <f>IF(O315="","",IF(O315="OVERDUE",2,IF(O315="Paid",0,IF(AND(I315&lt;&gt;"",I315&lt;=AsOf+AlertDays),1,0))))</f>
        <v/>
      </c>
      <c r="S315" s="79">
        <f>IF(AND(B315&lt;&gt;"",M315="",I315&lt;&gt;""),IF(L315&lt;&gt;"",L315,IF(H315="",0,H315)),0)</f>
        <v/>
      </c>
      <c r="T315" s="79">
        <f>IF(AND(B315&lt;&gt;"",M315="",I315&lt;&gt;""),1/I315,0)</f>
        <v/>
      </c>
      <c r="U315" s="112">
        <f>IF(AND(B315&lt;&gt;"",M315="",I315&lt;&gt;""),I315,"")</f>
        <v/>
      </c>
      <c r="V315" s="79">
        <f>IF(U315="","",IF(U315&lt;AsOf,1,IF(U315&lt;=AsOf+AlertDays,2,IF(U315&lt;=AsOf+2*AlertDays,3,""))))</f>
        <v/>
      </c>
      <c r="W315" s="79">
        <f>IF(V315="","",IF(O315="OVERDUE","Overdue payment: ","Payment due: ")&amp;B315&amp;" — "&amp;C315&amp;" ("&amp;CurSym&amp;" "&amp;FIXED(S315,0)&amp;")")</f>
        <v/>
      </c>
      <c r="Z315" s="116">
        <f>IF('Contractors'!B315="","",'Contractors'!B315)</f>
        <v/>
      </c>
      <c r="AA315" s="77">
        <f>IF(Z315="","",'Contractors'!K315)</f>
        <v/>
      </c>
      <c r="AB315" s="77">
        <f>IF(Z315="","",SUMIFS($L$6:$L$1005,$B$6:$B$1005,Z315))</f>
        <v/>
      </c>
      <c r="AC315" s="77">
        <f>IF(Z315="","",SUMIFS($N$6:$N$1005,$B$6:$B$1005,Z315))</f>
        <v/>
      </c>
      <c r="AD315" s="76">
        <f>IF(Z315="","",AA315-AC315)</f>
        <v/>
      </c>
      <c r="AE315" s="117">
        <f>IF(Z315="","",IFERROR(1/SUMPRODUCT(MAX(($B$6:$B$1005=Z315)*$T$6:$T$1005)),""))</f>
        <v/>
      </c>
      <c r="AF315" s="77">
        <f>IF(AE315="","",SUMIFS($S$6:$S$1005,$B$6:$B$1005,Z315,$I$6:$I$1005,AE315))</f>
        <v/>
      </c>
    </row>
    <row r="316" ht="20" customHeight="1">
      <c r="B316" s="72" t="n"/>
      <c r="C316" s="72" t="n"/>
      <c r="D316" s="72" t="n"/>
      <c r="E316" s="72" t="n"/>
      <c r="F316" s="110" t="n"/>
      <c r="G316" s="73" t="n"/>
      <c r="H316" s="75">
        <f>IF(B316="","",IF(G316&lt;&gt;"",G316,IF(F316&lt;&gt;"",F316*IFERROR(INDEX('Contractors'!$I$6:$I$1005,MATCH(B316,'Contractors'!$B$6:$B$1005,0)),0),"")))</f>
        <v/>
      </c>
      <c r="I316" s="109" t="n"/>
      <c r="J316" s="72" t="n"/>
      <c r="K316" s="109" t="n"/>
      <c r="L316" s="73" t="n"/>
      <c r="M316" s="109" t="n"/>
      <c r="N316" s="73" t="n"/>
      <c r="O316" s="107">
        <f>IF(B316="","",IF(M316&lt;&gt;"","Paid",IF(AND(I316&lt;&gt;"",I316&lt;AsOf),"OVERDUE",IF(OR(K316&lt;&gt;"",L316&lt;&gt;""),"Invoiced","Scheduled"))))</f>
        <v/>
      </c>
      <c r="P316" s="115">
        <f>IF(B316="","",IF(E316&lt;&gt;"",E316,IFERROR(INDEX('Contractors'!$D$6:$D$1005,MATCH(B316,'Contractors'!$B$6:$B$1005,0)),"")))</f>
        <v/>
      </c>
      <c r="Q316" s="79">
        <f>IF(B316="","",IF(D316&lt;&gt;"",D316,IFERROR(INDEX('Contractors'!$E$6:$E$1005,MATCH(B316,'Contractors'!$B$6:$B$1005,0)),"")))</f>
        <v/>
      </c>
      <c r="R316" s="79">
        <f>IF(O316="","",IF(O316="OVERDUE",2,IF(O316="Paid",0,IF(AND(I316&lt;&gt;"",I316&lt;=AsOf+AlertDays),1,0))))</f>
        <v/>
      </c>
      <c r="S316" s="79">
        <f>IF(AND(B316&lt;&gt;"",M316="",I316&lt;&gt;""),IF(L316&lt;&gt;"",L316,IF(H316="",0,H316)),0)</f>
        <v/>
      </c>
      <c r="T316" s="79">
        <f>IF(AND(B316&lt;&gt;"",M316="",I316&lt;&gt;""),1/I316,0)</f>
        <v/>
      </c>
      <c r="U316" s="112">
        <f>IF(AND(B316&lt;&gt;"",M316="",I316&lt;&gt;""),I316,"")</f>
        <v/>
      </c>
      <c r="V316" s="79">
        <f>IF(U316="","",IF(U316&lt;AsOf,1,IF(U316&lt;=AsOf+AlertDays,2,IF(U316&lt;=AsOf+2*AlertDays,3,""))))</f>
        <v/>
      </c>
      <c r="W316" s="79">
        <f>IF(V316="","",IF(O316="OVERDUE","Overdue payment: ","Payment due: ")&amp;B316&amp;" — "&amp;C316&amp;" ("&amp;CurSym&amp;" "&amp;FIXED(S316,0)&amp;")")</f>
        <v/>
      </c>
      <c r="Z316" s="116">
        <f>IF('Contractors'!B316="","",'Contractors'!B316)</f>
        <v/>
      </c>
      <c r="AA316" s="77">
        <f>IF(Z316="","",'Contractors'!K316)</f>
        <v/>
      </c>
      <c r="AB316" s="77">
        <f>IF(Z316="","",SUMIFS($L$6:$L$1005,$B$6:$B$1005,Z316))</f>
        <v/>
      </c>
      <c r="AC316" s="77">
        <f>IF(Z316="","",SUMIFS($N$6:$N$1005,$B$6:$B$1005,Z316))</f>
        <v/>
      </c>
      <c r="AD316" s="76">
        <f>IF(Z316="","",AA316-AC316)</f>
        <v/>
      </c>
      <c r="AE316" s="117">
        <f>IF(Z316="","",IFERROR(1/SUMPRODUCT(MAX(($B$6:$B$1005=Z316)*$T$6:$T$1005)),""))</f>
        <v/>
      </c>
      <c r="AF316" s="77">
        <f>IF(AE316="","",SUMIFS($S$6:$S$1005,$B$6:$B$1005,Z316,$I$6:$I$1005,AE316))</f>
        <v/>
      </c>
    </row>
    <row r="317" ht="20" customHeight="1">
      <c r="B317" s="72" t="n"/>
      <c r="C317" s="72" t="n"/>
      <c r="D317" s="72" t="n"/>
      <c r="E317" s="72" t="n"/>
      <c r="F317" s="110" t="n"/>
      <c r="G317" s="73" t="n"/>
      <c r="H317" s="75">
        <f>IF(B317="","",IF(G317&lt;&gt;"",G317,IF(F317&lt;&gt;"",F317*IFERROR(INDEX('Contractors'!$I$6:$I$1005,MATCH(B317,'Contractors'!$B$6:$B$1005,0)),0),"")))</f>
        <v/>
      </c>
      <c r="I317" s="109" t="n"/>
      <c r="J317" s="72" t="n"/>
      <c r="K317" s="109" t="n"/>
      <c r="L317" s="73" t="n"/>
      <c r="M317" s="109" t="n"/>
      <c r="N317" s="73" t="n"/>
      <c r="O317" s="107">
        <f>IF(B317="","",IF(M317&lt;&gt;"","Paid",IF(AND(I317&lt;&gt;"",I317&lt;AsOf),"OVERDUE",IF(OR(K317&lt;&gt;"",L317&lt;&gt;""),"Invoiced","Scheduled"))))</f>
        <v/>
      </c>
      <c r="P317" s="115">
        <f>IF(B317="","",IF(E317&lt;&gt;"",E317,IFERROR(INDEX('Contractors'!$D$6:$D$1005,MATCH(B317,'Contractors'!$B$6:$B$1005,0)),"")))</f>
        <v/>
      </c>
      <c r="Q317" s="79">
        <f>IF(B317="","",IF(D317&lt;&gt;"",D317,IFERROR(INDEX('Contractors'!$E$6:$E$1005,MATCH(B317,'Contractors'!$B$6:$B$1005,0)),"")))</f>
        <v/>
      </c>
      <c r="R317" s="79">
        <f>IF(O317="","",IF(O317="OVERDUE",2,IF(O317="Paid",0,IF(AND(I317&lt;&gt;"",I317&lt;=AsOf+AlertDays),1,0))))</f>
        <v/>
      </c>
      <c r="S317" s="79">
        <f>IF(AND(B317&lt;&gt;"",M317="",I317&lt;&gt;""),IF(L317&lt;&gt;"",L317,IF(H317="",0,H317)),0)</f>
        <v/>
      </c>
      <c r="T317" s="79">
        <f>IF(AND(B317&lt;&gt;"",M317="",I317&lt;&gt;""),1/I317,0)</f>
        <v/>
      </c>
      <c r="U317" s="112">
        <f>IF(AND(B317&lt;&gt;"",M317="",I317&lt;&gt;""),I317,"")</f>
        <v/>
      </c>
      <c r="V317" s="79">
        <f>IF(U317="","",IF(U317&lt;AsOf,1,IF(U317&lt;=AsOf+AlertDays,2,IF(U317&lt;=AsOf+2*AlertDays,3,""))))</f>
        <v/>
      </c>
      <c r="W317" s="79">
        <f>IF(V317="","",IF(O317="OVERDUE","Overdue payment: ","Payment due: ")&amp;B317&amp;" — "&amp;C317&amp;" ("&amp;CurSym&amp;" "&amp;FIXED(S317,0)&amp;")")</f>
        <v/>
      </c>
      <c r="Z317" s="116">
        <f>IF('Contractors'!B317="","",'Contractors'!B317)</f>
        <v/>
      </c>
      <c r="AA317" s="77">
        <f>IF(Z317="","",'Contractors'!K317)</f>
        <v/>
      </c>
      <c r="AB317" s="77">
        <f>IF(Z317="","",SUMIFS($L$6:$L$1005,$B$6:$B$1005,Z317))</f>
        <v/>
      </c>
      <c r="AC317" s="77">
        <f>IF(Z317="","",SUMIFS($N$6:$N$1005,$B$6:$B$1005,Z317))</f>
        <v/>
      </c>
      <c r="AD317" s="76">
        <f>IF(Z317="","",AA317-AC317)</f>
        <v/>
      </c>
      <c r="AE317" s="117">
        <f>IF(Z317="","",IFERROR(1/SUMPRODUCT(MAX(($B$6:$B$1005=Z317)*$T$6:$T$1005)),""))</f>
        <v/>
      </c>
      <c r="AF317" s="77">
        <f>IF(AE317="","",SUMIFS($S$6:$S$1005,$B$6:$B$1005,Z317,$I$6:$I$1005,AE317))</f>
        <v/>
      </c>
    </row>
    <row r="318" ht="20" customHeight="1">
      <c r="B318" s="72" t="n"/>
      <c r="C318" s="72" t="n"/>
      <c r="D318" s="72" t="n"/>
      <c r="E318" s="72" t="n"/>
      <c r="F318" s="110" t="n"/>
      <c r="G318" s="73" t="n"/>
      <c r="H318" s="75">
        <f>IF(B318="","",IF(G318&lt;&gt;"",G318,IF(F318&lt;&gt;"",F318*IFERROR(INDEX('Contractors'!$I$6:$I$1005,MATCH(B318,'Contractors'!$B$6:$B$1005,0)),0),"")))</f>
        <v/>
      </c>
      <c r="I318" s="109" t="n"/>
      <c r="J318" s="72" t="n"/>
      <c r="K318" s="109" t="n"/>
      <c r="L318" s="73" t="n"/>
      <c r="M318" s="109" t="n"/>
      <c r="N318" s="73" t="n"/>
      <c r="O318" s="107">
        <f>IF(B318="","",IF(M318&lt;&gt;"","Paid",IF(AND(I318&lt;&gt;"",I318&lt;AsOf),"OVERDUE",IF(OR(K318&lt;&gt;"",L318&lt;&gt;""),"Invoiced","Scheduled"))))</f>
        <v/>
      </c>
      <c r="P318" s="115">
        <f>IF(B318="","",IF(E318&lt;&gt;"",E318,IFERROR(INDEX('Contractors'!$D$6:$D$1005,MATCH(B318,'Contractors'!$B$6:$B$1005,0)),"")))</f>
        <v/>
      </c>
      <c r="Q318" s="79">
        <f>IF(B318="","",IF(D318&lt;&gt;"",D318,IFERROR(INDEX('Contractors'!$E$6:$E$1005,MATCH(B318,'Contractors'!$B$6:$B$1005,0)),"")))</f>
        <v/>
      </c>
      <c r="R318" s="79">
        <f>IF(O318="","",IF(O318="OVERDUE",2,IF(O318="Paid",0,IF(AND(I318&lt;&gt;"",I318&lt;=AsOf+AlertDays),1,0))))</f>
        <v/>
      </c>
      <c r="S318" s="79">
        <f>IF(AND(B318&lt;&gt;"",M318="",I318&lt;&gt;""),IF(L318&lt;&gt;"",L318,IF(H318="",0,H318)),0)</f>
        <v/>
      </c>
      <c r="T318" s="79">
        <f>IF(AND(B318&lt;&gt;"",M318="",I318&lt;&gt;""),1/I318,0)</f>
        <v/>
      </c>
      <c r="U318" s="112">
        <f>IF(AND(B318&lt;&gt;"",M318="",I318&lt;&gt;""),I318,"")</f>
        <v/>
      </c>
      <c r="V318" s="79">
        <f>IF(U318="","",IF(U318&lt;AsOf,1,IF(U318&lt;=AsOf+AlertDays,2,IF(U318&lt;=AsOf+2*AlertDays,3,""))))</f>
        <v/>
      </c>
      <c r="W318" s="79">
        <f>IF(V318="","",IF(O318="OVERDUE","Overdue payment: ","Payment due: ")&amp;B318&amp;" — "&amp;C318&amp;" ("&amp;CurSym&amp;" "&amp;FIXED(S318,0)&amp;")")</f>
        <v/>
      </c>
      <c r="Z318" s="116">
        <f>IF('Contractors'!B318="","",'Contractors'!B318)</f>
        <v/>
      </c>
      <c r="AA318" s="77">
        <f>IF(Z318="","",'Contractors'!K318)</f>
        <v/>
      </c>
      <c r="AB318" s="77">
        <f>IF(Z318="","",SUMIFS($L$6:$L$1005,$B$6:$B$1005,Z318))</f>
        <v/>
      </c>
      <c r="AC318" s="77">
        <f>IF(Z318="","",SUMIFS($N$6:$N$1005,$B$6:$B$1005,Z318))</f>
        <v/>
      </c>
      <c r="AD318" s="76">
        <f>IF(Z318="","",AA318-AC318)</f>
        <v/>
      </c>
      <c r="AE318" s="117">
        <f>IF(Z318="","",IFERROR(1/SUMPRODUCT(MAX(($B$6:$B$1005=Z318)*$T$6:$T$1005)),""))</f>
        <v/>
      </c>
      <c r="AF318" s="77">
        <f>IF(AE318="","",SUMIFS($S$6:$S$1005,$B$6:$B$1005,Z318,$I$6:$I$1005,AE318))</f>
        <v/>
      </c>
    </row>
    <row r="319" ht="20" customHeight="1">
      <c r="B319" s="72" t="n"/>
      <c r="C319" s="72" t="n"/>
      <c r="D319" s="72" t="n"/>
      <c r="E319" s="72" t="n"/>
      <c r="F319" s="110" t="n"/>
      <c r="G319" s="73" t="n"/>
      <c r="H319" s="75">
        <f>IF(B319="","",IF(G319&lt;&gt;"",G319,IF(F319&lt;&gt;"",F319*IFERROR(INDEX('Contractors'!$I$6:$I$1005,MATCH(B319,'Contractors'!$B$6:$B$1005,0)),0),"")))</f>
        <v/>
      </c>
      <c r="I319" s="109" t="n"/>
      <c r="J319" s="72" t="n"/>
      <c r="K319" s="109" t="n"/>
      <c r="L319" s="73" t="n"/>
      <c r="M319" s="109" t="n"/>
      <c r="N319" s="73" t="n"/>
      <c r="O319" s="107">
        <f>IF(B319="","",IF(M319&lt;&gt;"","Paid",IF(AND(I319&lt;&gt;"",I319&lt;AsOf),"OVERDUE",IF(OR(K319&lt;&gt;"",L319&lt;&gt;""),"Invoiced","Scheduled"))))</f>
        <v/>
      </c>
      <c r="P319" s="115">
        <f>IF(B319="","",IF(E319&lt;&gt;"",E319,IFERROR(INDEX('Contractors'!$D$6:$D$1005,MATCH(B319,'Contractors'!$B$6:$B$1005,0)),"")))</f>
        <v/>
      </c>
      <c r="Q319" s="79">
        <f>IF(B319="","",IF(D319&lt;&gt;"",D319,IFERROR(INDEX('Contractors'!$E$6:$E$1005,MATCH(B319,'Contractors'!$B$6:$B$1005,0)),"")))</f>
        <v/>
      </c>
      <c r="R319" s="79">
        <f>IF(O319="","",IF(O319="OVERDUE",2,IF(O319="Paid",0,IF(AND(I319&lt;&gt;"",I319&lt;=AsOf+AlertDays),1,0))))</f>
        <v/>
      </c>
      <c r="S319" s="79">
        <f>IF(AND(B319&lt;&gt;"",M319="",I319&lt;&gt;""),IF(L319&lt;&gt;"",L319,IF(H319="",0,H319)),0)</f>
        <v/>
      </c>
      <c r="T319" s="79">
        <f>IF(AND(B319&lt;&gt;"",M319="",I319&lt;&gt;""),1/I319,0)</f>
        <v/>
      </c>
      <c r="U319" s="112">
        <f>IF(AND(B319&lt;&gt;"",M319="",I319&lt;&gt;""),I319,"")</f>
        <v/>
      </c>
      <c r="V319" s="79">
        <f>IF(U319="","",IF(U319&lt;AsOf,1,IF(U319&lt;=AsOf+AlertDays,2,IF(U319&lt;=AsOf+2*AlertDays,3,""))))</f>
        <v/>
      </c>
      <c r="W319" s="79">
        <f>IF(V319="","",IF(O319="OVERDUE","Overdue payment: ","Payment due: ")&amp;B319&amp;" — "&amp;C319&amp;" ("&amp;CurSym&amp;" "&amp;FIXED(S319,0)&amp;")")</f>
        <v/>
      </c>
      <c r="Z319" s="116">
        <f>IF('Contractors'!B319="","",'Contractors'!B319)</f>
        <v/>
      </c>
      <c r="AA319" s="77">
        <f>IF(Z319="","",'Contractors'!K319)</f>
        <v/>
      </c>
      <c r="AB319" s="77">
        <f>IF(Z319="","",SUMIFS($L$6:$L$1005,$B$6:$B$1005,Z319))</f>
        <v/>
      </c>
      <c r="AC319" s="77">
        <f>IF(Z319="","",SUMIFS($N$6:$N$1005,$B$6:$B$1005,Z319))</f>
        <v/>
      </c>
      <c r="AD319" s="76">
        <f>IF(Z319="","",AA319-AC319)</f>
        <v/>
      </c>
      <c r="AE319" s="117">
        <f>IF(Z319="","",IFERROR(1/SUMPRODUCT(MAX(($B$6:$B$1005=Z319)*$T$6:$T$1005)),""))</f>
        <v/>
      </c>
      <c r="AF319" s="77">
        <f>IF(AE319="","",SUMIFS($S$6:$S$1005,$B$6:$B$1005,Z319,$I$6:$I$1005,AE319))</f>
        <v/>
      </c>
    </row>
    <row r="320" ht="20" customHeight="1">
      <c r="B320" s="72" t="n"/>
      <c r="C320" s="72" t="n"/>
      <c r="D320" s="72" t="n"/>
      <c r="E320" s="72" t="n"/>
      <c r="F320" s="110" t="n"/>
      <c r="G320" s="73" t="n"/>
      <c r="H320" s="75">
        <f>IF(B320="","",IF(G320&lt;&gt;"",G320,IF(F320&lt;&gt;"",F320*IFERROR(INDEX('Contractors'!$I$6:$I$1005,MATCH(B320,'Contractors'!$B$6:$B$1005,0)),0),"")))</f>
        <v/>
      </c>
      <c r="I320" s="109" t="n"/>
      <c r="J320" s="72" t="n"/>
      <c r="K320" s="109" t="n"/>
      <c r="L320" s="73" t="n"/>
      <c r="M320" s="109" t="n"/>
      <c r="N320" s="73" t="n"/>
      <c r="O320" s="107">
        <f>IF(B320="","",IF(M320&lt;&gt;"","Paid",IF(AND(I320&lt;&gt;"",I320&lt;AsOf),"OVERDUE",IF(OR(K320&lt;&gt;"",L320&lt;&gt;""),"Invoiced","Scheduled"))))</f>
        <v/>
      </c>
      <c r="P320" s="115">
        <f>IF(B320="","",IF(E320&lt;&gt;"",E320,IFERROR(INDEX('Contractors'!$D$6:$D$1005,MATCH(B320,'Contractors'!$B$6:$B$1005,0)),"")))</f>
        <v/>
      </c>
      <c r="Q320" s="79">
        <f>IF(B320="","",IF(D320&lt;&gt;"",D320,IFERROR(INDEX('Contractors'!$E$6:$E$1005,MATCH(B320,'Contractors'!$B$6:$B$1005,0)),"")))</f>
        <v/>
      </c>
      <c r="R320" s="79">
        <f>IF(O320="","",IF(O320="OVERDUE",2,IF(O320="Paid",0,IF(AND(I320&lt;&gt;"",I320&lt;=AsOf+AlertDays),1,0))))</f>
        <v/>
      </c>
      <c r="S320" s="79">
        <f>IF(AND(B320&lt;&gt;"",M320="",I320&lt;&gt;""),IF(L320&lt;&gt;"",L320,IF(H320="",0,H320)),0)</f>
        <v/>
      </c>
      <c r="T320" s="79">
        <f>IF(AND(B320&lt;&gt;"",M320="",I320&lt;&gt;""),1/I320,0)</f>
        <v/>
      </c>
      <c r="U320" s="112">
        <f>IF(AND(B320&lt;&gt;"",M320="",I320&lt;&gt;""),I320,"")</f>
        <v/>
      </c>
      <c r="V320" s="79">
        <f>IF(U320="","",IF(U320&lt;AsOf,1,IF(U320&lt;=AsOf+AlertDays,2,IF(U320&lt;=AsOf+2*AlertDays,3,""))))</f>
        <v/>
      </c>
      <c r="W320" s="79">
        <f>IF(V320="","",IF(O320="OVERDUE","Overdue payment: ","Payment due: ")&amp;B320&amp;" — "&amp;C320&amp;" ("&amp;CurSym&amp;" "&amp;FIXED(S320,0)&amp;")")</f>
        <v/>
      </c>
      <c r="Z320" s="116">
        <f>IF('Contractors'!B320="","",'Contractors'!B320)</f>
        <v/>
      </c>
      <c r="AA320" s="77">
        <f>IF(Z320="","",'Contractors'!K320)</f>
        <v/>
      </c>
      <c r="AB320" s="77">
        <f>IF(Z320="","",SUMIFS($L$6:$L$1005,$B$6:$B$1005,Z320))</f>
        <v/>
      </c>
      <c r="AC320" s="77">
        <f>IF(Z320="","",SUMIFS($N$6:$N$1005,$B$6:$B$1005,Z320))</f>
        <v/>
      </c>
      <c r="AD320" s="76">
        <f>IF(Z320="","",AA320-AC320)</f>
        <v/>
      </c>
      <c r="AE320" s="117">
        <f>IF(Z320="","",IFERROR(1/SUMPRODUCT(MAX(($B$6:$B$1005=Z320)*$T$6:$T$1005)),""))</f>
        <v/>
      </c>
      <c r="AF320" s="77">
        <f>IF(AE320="","",SUMIFS($S$6:$S$1005,$B$6:$B$1005,Z320,$I$6:$I$1005,AE320))</f>
        <v/>
      </c>
    </row>
    <row r="321" ht="20" customHeight="1">
      <c r="B321" s="72" t="n"/>
      <c r="C321" s="72" t="n"/>
      <c r="D321" s="72" t="n"/>
      <c r="E321" s="72" t="n"/>
      <c r="F321" s="110" t="n"/>
      <c r="G321" s="73" t="n"/>
      <c r="H321" s="75">
        <f>IF(B321="","",IF(G321&lt;&gt;"",G321,IF(F321&lt;&gt;"",F321*IFERROR(INDEX('Contractors'!$I$6:$I$1005,MATCH(B321,'Contractors'!$B$6:$B$1005,0)),0),"")))</f>
        <v/>
      </c>
      <c r="I321" s="109" t="n"/>
      <c r="J321" s="72" t="n"/>
      <c r="K321" s="109" t="n"/>
      <c r="L321" s="73" t="n"/>
      <c r="M321" s="109" t="n"/>
      <c r="N321" s="73" t="n"/>
      <c r="O321" s="107">
        <f>IF(B321="","",IF(M321&lt;&gt;"","Paid",IF(AND(I321&lt;&gt;"",I321&lt;AsOf),"OVERDUE",IF(OR(K321&lt;&gt;"",L321&lt;&gt;""),"Invoiced","Scheduled"))))</f>
        <v/>
      </c>
      <c r="P321" s="115">
        <f>IF(B321="","",IF(E321&lt;&gt;"",E321,IFERROR(INDEX('Contractors'!$D$6:$D$1005,MATCH(B321,'Contractors'!$B$6:$B$1005,0)),"")))</f>
        <v/>
      </c>
      <c r="Q321" s="79">
        <f>IF(B321="","",IF(D321&lt;&gt;"",D321,IFERROR(INDEX('Contractors'!$E$6:$E$1005,MATCH(B321,'Contractors'!$B$6:$B$1005,0)),"")))</f>
        <v/>
      </c>
      <c r="R321" s="79">
        <f>IF(O321="","",IF(O321="OVERDUE",2,IF(O321="Paid",0,IF(AND(I321&lt;&gt;"",I321&lt;=AsOf+AlertDays),1,0))))</f>
        <v/>
      </c>
      <c r="S321" s="79">
        <f>IF(AND(B321&lt;&gt;"",M321="",I321&lt;&gt;""),IF(L321&lt;&gt;"",L321,IF(H321="",0,H321)),0)</f>
        <v/>
      </c>
      <c r="T321" s="79">
        <f>IF(AND(B321&lt;&gt;"",M321="",I321&lt;&gt;""),1/I321,0)</f>
        <v/>
      </c>
      <c r="U321" s="112">
        <f>IF(AND(B321&lt;&gt;"",M321="",I321&lt;&gt;""),I321,"")</f>
        <v/>
      </c>
      <c r="V321" s="79">
        <f>IF(U321="","",IF(U321&lt;AsOf,1,IF(U321&lt;=AsOf+AlertDays,2,IF(U321&lt;=AsOf+2*AlertDays,3,""))))</f>
        <v/>
      </c>
      <c r="W321" s="79">
        <f>IF(V321="","",IF(O321="OVERDUE","Overdue payment: ","Payment due: ")&amp;B321&amp;" — "&amp;C321&amp;" ("&amp;CurSym&amp;" "&amp;FIXED(S321,0)&amp;")")</f>
        <v/>
      </c>
      <c r="Z321" s="116">
        <f>IF('Contractors'!B321="","",'Contractors'!B321)</f>
        <v/>
      </c>
      <c r="AA321" s="77">
        <f>IF(Z321="","",'Contractors'!K321)</f>
        <v/>
      </c>
      <c r="AB321" s="77">
        <f>IF(Z321="","",SUMIFS($L$6:$L$1005,$B$6:$B$1005,Z321))</f>
        <v/>
      </c>
      <c r="AC321" s="77">
        <f>IF(Z321="","",SUMIFS($N$6:$N$1005,$B$6:$B$1005,Z321))</f>
        <v/>
      </c>
      <c r="AD321" s="76">
        <f>IF(Z321="","",AA321-AC321)</f>
        <v/>
      </c>
      <c r="AE321" s="117">
        <f>IF(Z321="","",IFERROR(1/SUMPRODUCT(MAX(($B$6:$B$1005=Z321)*$T$6:$T$1005)),""))</f>
        <v/>
      </c>
      <c r="AF321" s="77">
        <f>IF(AE321="","",SUMIFS($S$6:$S$1005,$B$6:$B$1005,Z321,$I$6:$I$1005,AE321))</f>
        <v/>
      </c>
    </row>
    <row r="322" ht="20" customHeight="1">
      <c r="B322" s="72" t="n"/>
      <c r="C322" s="72" t="n"/>
      <c r="D322" s="72" t="n"/>
      <c r="E322" s="72" t="n"/>
      <c r="F322" s="110" t="n"/>
      <c r="G322" s="73" t="n"/>
      <c r="H322" s="75">
        <f>IF(B322="","",IF(G322&lt;&gt;"",G322,IF(F322&lt;&gt;"",F322*IFERROR(INDEX('Contractors'!$I$6:$I$1005,MATCH(B322,'Contractors'!$B$6:$B$1005,0)),0),"")))</f>
        <v/>
      </c>
      <c r="I322" s="109" t="n"/>
      <c r="J322" s="72" t="n"/>
      <c r="K322" s="109" t="n"/>
      <c r="L322" s="73" t="n"/>
      <c r="M322" s="109" t="n"/>
      <c r="N322" s="73" t="n"/>
      <c r="O322" s="107">
        <f>IF(B322="","",IF(M322&lt;&gt;"","Paid",IF(AND(I322&lt;&gt;"",I322&lt;AsOf),"OVERDUE",IF(OR(K322&lt;&gt;"",L322&lt;&gt;""),"Invoiced","Scheduled"))))</f>
        <v/>
      </c>
      <c r="P322" s="115">
        <f>IF(B322="","",IF(E322&lt;&gt;"",E322,IFERROR(INDEX('Contractors'!$D$6:$D$1005,MATCH(B322,'Contractors'!$B$6:$B$1005,0)),"")))</f>
        <v/>
      </c>
      <c r="Q322" s="79">
        <f>IF(B322="","",IF(D322&lt;&gt;"",D322,IFERROR(INDEX('Contractors'!$E$6:$E$1005,MATCH(B322,'Contractors'!$B$6:$B$1005,0)),"")))</f>
        <v/>
      </c>
      <c r="R322" s="79">
        <f>IF(O322="","",IF(O322="OVERDUE",2,IF(O322="Paid",0,IF(AND(I322&lt;&gt;"",I322&lt;=AsOf+AlertDays),1,0))))</f>
        <v/>
      </c>
      <c r="S322" s="79">
        <f>IF(AND(B322&lt;&gt;"",M322="",I322&lt;&gt;""),IF(L322&lt;&gt;"",L322,IF(H322="",0,H322)),0)</f>
        <v/>
      </c>
      <c r="T322" s="79">
        <f>IF(AND(B322&lt;&gt;"",M322="",I322&lt;&gt;""),1/I322,0)</f>
        <v/>
      </c>
      <c r="U322" s="112">
        <f>IF(AND(B322&lt;&gt;"",M322="",I322&lt;&gt;""),I322,"")</f>
        <v/>
      </c>
      <c r="V322" s="79">
        <f>IF(U322="","",IF(U322&lt;AsOf,1,IF(U322&lt;=AsOf+AlertDays,2,IF(U322&lt;=AsOf+2*AlertDays,3,""))))</f>
        <v/>
      </c>
      <c r="W322" s="79">
        <f>IF(V322="","",IF(O322="OVERDUE","Overdue payment: ","Payment due: ")&amp;B322&amp;" — "&amp;C322&amp;" ("&amp;CurSym&amp;" "&amp;FIXED(S322,0)&amp;")")</f>
        <v/>
      </c>
      <c r="Z322" s="116">
        <f>IF('Contractors'!B322="","",'Contractors'!B322)</f>
        <v/>
      </c>
      <c r="AA322" s="77">
        <f>IF(Z322="","",'Contractors'!K322)</f>
        <v/>
      </c>
      <c r="AB322" s="77">
        <f>IF(Z322="","",SUMIFS($L$6:$L$1005,$B$6:$B$1005,Z322))</f>
        <v/>
      </c>
      <c r="AC322" s="77">
        <f>IF(Z322="","",SUMIFS($N$6:$N$1005,$B$6:$B$1005,Z322))</f>
        <v/>
      </c>
      <c r="AD322" s="76">
        <f>IF(Z322="","",AA322-AC322)</f>
        <v/>
      </c>
      <c r="AE322" s="117">
        <f>IF(Z322="","",IFERROR(1/SUMPRODUCT(MAX(($B$6:$B$1005=Z322)*$T$6:$T$1005)),""))</f>
        <v/>
      </c>
      <c r="AF322" s="77">
        <f>IF(AE322="","",SUMIFS($S$6:$S$1005,$B$6:$B$1005,Z322,$I$6:$I$1005,AE322))</f>
        <v/>
      </c>
    </row>
    <row r="323" ht="20" customHeight="1">
      <c r="B323" s="72" t="n"/>
      <c r="C323" s="72" t="n"/>
      <c r="D323" s="72" t="n"/>
      <c r="E323" s="72" t="n"/>
      <c r="F323" s="110" t="n"/>
      <c r="G323" s="73" t="n"/>
      <c r="H323" s="75">
        <f>IF(B323="","",IF(G323&lt;&gt;"",G323,IF(F323&lt;&gt;"",F323*IFERROR(INDEX('Contractors'!$I$6:$I$1005,MATCH(B323,'Contractors'!$B$6:$B$1005,0)),0),"")))</f>
        <v/>
      </c>
      <c r="I323" s="109" t="n"/>
      <c r="J323" s="72" t="n"/>
      <c r="K323" s="109" t="n"/>
      <c r="L323" s="73" t="n"/>
      <c r="M323" s="109" t="n"/>
      <c r="N323" s="73" t="n"/>
      <c r="O323" s="107">
        <f>IF(B323="","",IF(M323&lt;&gt;"","Paid",IF(AND(I323&lt;&gt;"",I323&lt;AsOf),"OVERDUE",IF(OR(K323&lt;&gt;"",L323&lt;&gt;""),"Invoiced","Scheduled"))))</f>
        <v/>
      </c>
      <c r="P323" s="115">
        <f>IF(B323="","",IF(E323&lt;&gt;"",E323,IFERROR(INDEX('Contractors'!$D$6:$D$1005,MATCH(B323,'Contractors'!$B$6:$B$1005,0)),"")))</f>
        <v/>
      </c>
      <c r="Q323" s="79">
        <f>IF(B323="","",IF(D323&lt;&gt;"",D323,IFERROR(INDEX('Contractors'!$E$6:$E$1005,MATCH(B323,'Contractors'!$B$6:$B$1005,0)),"")))</f>
        <v/>
      </c>
      <c r="R323" s="79">
        <f>IF(O323="","",IF(O323="OVERDUE",2,IF(O323="Paid",0,IF(AND(I323&lt;&gt;"",I323&lt;=AsOf+AlertDays),1,0))))</f>
        <v/>
      </c>
      <c r="S323" s="79">
        <f>IF(AND(B323&lt;&gt;"",M323="",I323&lt;&gt;""),IF(L323&lt;&gt;"",L323,IF(H323="",0,H323)),0)</f>
        <v/>
      </c>
      <c r="T323" s="79">
        <f>IF(AND(B323&lt;&gt;"",M323="",I323&lt;&gt;""),1/I323,0)</f>
        <v/>
      </c>
      <c r="U323" s="112">
        <f>IF(AND(B323&lt;&gt;"",M323="",I323&lt;&gt;""),I323,"")</f>
        <v/>
      </c>
      <c r="V323" s="79">
        <f>IF(U323="","",IF(U323&lt;AsOf,1,IF(U323&lt;=AsOf+AlertDays,2,IF(U323&lt;=AsOf+2*AlertDays,3,""))))</f>
        <v/>
      </c>
      <c r="W323" s="79">
        <f>IF(V323="","",IF(O323="OVERDUE","Overdue payment: ","Payment due: ")&amp;B323&amp;" — "&amp;C323&amp;" ("&amp;CurSym&amp;" "&amp;FIXED(S323,0)&amp;")")</f>
        <v/>
      </c>
      <c r="Z323" s="116">
        <f>IF('Contractors'!B323="","",'Contractors'!B323)</f>
        <v/>
      </c>
      <c r="AA323" s="77">
        <f>IF(Z323="","",'Contractors'!K323)</f>
        <v/>
      </c>
      <c r="AB323" s="77">
        <f>IF(Z323="","",SUMIFS($L$6:$L$1005,$B$6:$B$1005,Z323))</f>
        <v/>
      </c>
      <c r="AC323" s="77">
        <f>IF(Z323="","",SUMIFS($N$6:$N$1005,$B$6:$B$1005,Z323))</f>
        <v/>
      </c>
      <c r="AD323" s="76">
        <f>IF(Z323="","",AA323-AC323)</f>
        <v/>
      </c>
      <c r="AE323" s="117">
        <f>IF(Z323="","",IFERROR(1/SUMPRODUCT(MAX(($B$6:$B$1005=Z323)*$T$6:$T$1005)),""))</f>
        <v/>
      </c>
      <c r="AF323" s="77">
        <f>IF(AE323="","",SUMIFS($S$6:$S$1005,$B$6:$B$1005,Z323,$I$6:$I$1005,AE323))</f>
        <v/>
      </c>
    </row>
    <row r="324" ht="20" customHeight="1">
      <c r="B324" s="72" t="n"/>
      <c r="C324" s="72" t="n"/>
      <c r="D324" s="72" t="n"/>
      <c r="E324" s="72" t="n"/>
      <c r="F324" s="110" t="n"/>
      <c r="G324" s="73" t="n"/>
      <c r="H324" s="75">
        <f>IF(B324="","",IF(G324&lt;&gt;"",G324,IF(F324&lt;&gt;"",F324*IFERROR(INDEX('Contractors'!$I$6:$I$1005,MATCH(B324,'Contractors'!$B$6:$B$1005,0)),0),"")))</f>
        <v/>
      </c>
      <c r="I324" s="109" t="n"/>
      <c r="J324" s="72" t="n"/>
      <c r="K324" s="109" t="n"/>
      <c r="L324" s="73" t="n"/>
      <c r="M324" s="109" t="n"/>
      <c r="N324" s="73" t="n"/>
      <c r="O324" s="107">
        <f>IF(B324="","",IF(M324&lt;&gt;"","Paid",IF(AND(I324&lt;&gt;"",I324&lt;AsOf),"OVERDUE",IF(OR(K324&lt;&gt;"",L324&lt;&gt;""),"Invoiced","Scheduled"))))</f>
        <v/>
      </c>
      <c r="P324" s="115">
        <f>IF(B324="","",IF(E324&lt;&gt;"",E324,IFERROR(INDEX('Contractors'!$D$6:$D$1005,MATCH(B324,'Contractors'!$B$6:$B$1005,0)),"")))</f>
        <v/>
      </c>
      <c r="Q324" s="79">
        <f>IF(B324="","",IF(D324&lt;&gt;"",D324,IFERROR(INDEX('Contractors'!$E$6:$E$1005,MATCH(B324,'Contractors'!$B$6:$B$1005,0)),"")))</f>
        <v/>
      </c>
      <c r="R324" s="79">
        <f>IF(O324="","",IF(O324="OVERDUE",2,IF(O324="Paid",0,IF(AND(I324&lt;&gt;"",I324&lt;=AsOf+AlertDays),1,0))))</f>
        <v/>
      </c>
      <c r="S324" s="79">
        <f>IF(AND(B324&lt;&gt;"",M324="",I324&lt;&gt;""),IF(L324&lt;&gt;"",L324,IF(H324="",0,H324)),0)</f>
        <v/>
      </c>
      <c r="T324" s="79">
        <f>IF(AND(B324&lt;&gt;"",M324="",I324&lt;&gt;""),1/I324,0)</f>
        <v/>
      </c>
      <c r="U324" s="112">
        <f>IF(AND(B324&lt;&gt;"",M324="",I324&lt;&gt;""),I324,"")</f>
        <v/>
      </c>
      <c r="V324" s="79">
        <f>IF(U324="","",IF(U324&lt;AsOf,1,IF(U324&lt;=AsOf+AlertDays,2,IF(U324&lt;=AsOf+2*AlertDays,3,""))))</f>
        <v/>
      </c>
      <c r="W324" s="79">
        <f>IF(V324="","",IF(O324="OVERDUE","Overdue payment: ","Payment due: ")&amp;B324&amp;" — "&amp;C324&amp;" ("&amp;CurSym&amp;" "&amp;FIXED(S324,0)&amp;")")</f>
        <v/>
      </c>
      <c r="Z324" s="116">
        <f>IF('Contractors'!B324="","",'Contractors'!B324)</f>
        <v/>
      </c>
      <c r="AA324" s="77">
        <f>IF(Z324="","",'Contractors'!K324)</f>
        <v/>
      </c>
      <c r="AB324" s="77">
        <f>IF(Z324="","",SUMIFS($L$6:$L$1005,$B$6:$B$1005,Z324))</f>
        <v/>
      </c>
      <c r="AC324" s="77">
        <f>IF(Z324="","",SUMIFS($N$6:$N$1005,$B$6:$B$1005,Z324))</f>
        <v/>
      </c>
      <c r="AD324" s="76">
        <f>IF(Z324="","",AA324-AC324)</f>
        <v/>
      </c>
      <c r="AE324" s="117">
        <f>IF(Z324="","",IFERROR(1/SUMPRODUCT(MAX(($B$6:$B$1005=Z324)*$T$6:$T$1005)),""))</f>
        <v/>
      </c>
      <c r="AF324" s="77">
        <f>IF(AE324="","",SUMIFS($S$6:$S$1005,$B$6:$B$1005,Z324,$I$6:$I$1005,AE324))</f>
        <v/>
      </c>
    </row>
    <row r="325" ht="20" customHeight="1">
      <c r="B325" s="72" t="n"/>
      <c r="C325" s="72" t="n"/>
      <c r="D325" s="72" t="n"/>
      <c r="E325" s="72" t="n"/>
      <c r="F325" s="110" t="n"/>
      <c r="G325" s="73" t="n"/>
      <c r="H325" s="75">
        <f>IF(B325="","",IF(G325&lt;&gt;"",G325,IF(F325&lt;&gt;"",F325*IFERROR(INDEX('Contractors'!$I$6:$I$1005,MATCH(B325,'Contractors'!$B$6:$B$1005,0)),0),"")))</f>
        <v/>
      </c>
      <c r="I325" s="109" t="n"/>
      <c r="J325" s="72" t="n"/>
      <c r="K325" s="109" t="n"/>
      <c r="L325" s="73" t="n"/>
      <c r="M325" s="109" t="n"/>
      <c r="N325" s="73" t="n"/>
      <c r="O325" s="107">
        <f>IF(B325="","",IF(M325&lt;&gt;"","Paid",IF(AND(I325&lt;&gt;"",I325&lt;AsOf),"OVERDUE",IF(OR(K325&lt;&gt;"",L325&lt;&gt;""),"Invoiced","Scheduled"))))</f>
        <v/>
      </c>
      <c r="P325" s="115">
        <f>IF(B325="","",IF(E325&lt;&gt;"",E325,IFERROR(INDEX('Contractors'!$D$6:$D$1005,MATCH(B325,'Contractors'!$B$6:$B$1005,0)),"")))</f>
        <v/>
      </c>
      <c r="Q325" s="79">
        <f>IF(B325="","",IF(D325&lt;&gt;"",D325,IFERROR(INDEX('Contractors'!$E$6:$E$1005,MATCH(B325,'Contractors'!$B$6:$B$1005,0)),"")))</f>
        <v/>
      </c>
      <c r="R325" s="79">
        <f>IF(O325="","",IF(O325="OVERDUE",2,IF(O325="Paid",0,IF(AND(I325&lt;&gt;"",I325&lt;=AsOf+AlertDays),1,0))))</f>
        <v/>
      </c>
      <c r="S325" s="79">
        <f>IF(AND(B325&lt;&gt;"",M325="",I325&lt;&gt;""),IF(L325&lt;&gt;"",L325,IF(H325="",0,H325)),0)</f>
        <v/>
      </c>
      <c r="T325" s="79">
        <f>IF(AND(B325&lt;&gt;"",M325="",I325&lt;&gt;""),1/I325,0)</f>
        <v/>
      </c>
      <c r="U325" s="112">
        <f>IF(AND(B325&lt;&gt;"",M325="",I325&lt;&gt;""),I325,"")</f>
        <v/>
      </c>
      <c r="V325" s="79">
        <f>IF(U325="","",IF(U325&lt;AsOf,1,IF(U325&lt;=AsOf+AlertDays,2,IF(U325&lt;=AsOf+2*AlertDays,3,""))))</f>
        <v/>
      </c>
      <c r="W325" s="79">
        <f>IF(V325="","",IF(O325="OVERDUE","Overdue payment: ","Payment due: ")&amp;B325&amp;" — "&amp;C325&amp;" ("&amp;CurSym&amp;" "&amp;FIXED(S325,0)&amp;")")</f>
        <v/>
      </c>
      <c r="Z325" s="116">
        <f>IF('Contractors'!B325="","",'Contractors'!B325)</f>
        <v/>
      </c>
      <c r="AA325" s="77">
        <f>IF(Z325="","",'Contractors'!K325)</f>
        <v/>
      </c>
      <c r="AB325" s="77">
        <f>IF(Z325="","",SUMIFS($L$6:$L$1005,$B$6:$B$1005,Z325))</f>
        <v/>
      </c>
      <c r="AC325" s="77">
        <f>IF(Z325="","",SUMIFS($N$6:$N$1005,$B$6:$B$1005,Z325))</f>
        <v/>
      </c>
      <c r="AD325" s="76">
        <f>IF(Z325="","",AA325-AC325)</f>
        <v/>
      </c>
      <c r="AE325" s="117">
        <f>IF(Z325="","",IFERROR(1/SUMPRODUCT(MAX(($B$6:$B$1005=Z325)*$T$6:$T$1005)),""))</f>
        <v/>
      </c>
      <c r="AF325" s="77">
        <f>IF(AE325="","",SUMIFS($S$6:$S$1005,$B$6:$B$1005,Z325,$I$6:$I$1005,AE325))</f>
        <v/>
      </c>
    </row>
    <row r="326" ht="20" customHeight="1">
      <c r="B326" s="72" t="n"/>
      <c r="C326" s="72" t="n"/>
      <c r="D326" s="72" t="n"/>
      <c r="E326" s="72" t="n"/>
      <c r="F326" s="110" t="n"/>
      <c r="G326" s="73" t="n"/>
      <c r="H326" s="75">
        <f>IF(B326="","",IF(G326&lt;&gt;"",G326,IF(F326&lt;&gt;"",F326*IFERROR(INDEX('Contractors'!$I$6:$I$1005,MATCH(B326,'Contractors'!$B$6:$B$1005,0)),0),"")))</f>
        <v/>
      </c>
      <c r="I326" s="109" t="n"/>
      <c r="J326" s="72" t="n"/>
      <c r="K326" s="109" t="n"/>
      <c r="L326" s="73" t="n"/>
      <c r="M326" s="109" t="n"/>
      <c r="N326" s="73" t="n"/>
      <c r="O326" s="107">
        <f>IF(B326="","",IF(M326&lt;&gt;"","Paid",IF(AND(I326&lt;&gt;"",I326&lt;AsOf),"OVERDUE",IF(OR(K326&lt;&gt;"",L326&lt;&gt;""),"Invoiced","Scheduled"))))</f>
        <v/>
      </c>
      <c r="P326" s="115">
        <f>IF(B326="","",IF(E326&lt;&gt;"",E326,IFERROR(INDEX('Contractors'!$D$6:$D$1005,MATCH(B326,'Contractors'!$B$6:$B$1005,0)),"")))</f>
        <v/>
      </c>
      <c r="Q326" s="79">
        <f>IF(B326="","",IF(D326&lt;&gt;"",D326,IFERROR(INDEX('Contractors'!$E$6:$E$1005,MATCH(B326,'Contractors'!$B$6:$B$1005,0)),"")))</f>
        <v/>
      </c>
      <c r="R326" s="79">
        <f>IF(O326="","",IF(O326="OVERDUE",2,IF(O326="Paid",0,IF(AND(I326&lt;&gt;"",I326&lt;=AsOf+AlertDays),1,0))))</f>
        <v/>
      </c>
      <c r="S326" s="79">
        <f>IF(AND(B326&lt;&gt;"",M326="",I326&lt;&gt;""),IF(L326&lt;&gt;"",L326,IF(H326="",0,H326)),0)</f>
        <v/>
      </c>
      <c r="T326" s="79">
        <f>IF(AND(B326&lt;&gt;"",M326="",I326&lt;&gt;""),1/I326,0)</f>
        <v/>
      </c>
      <c r="U326" s="112">
        <f>IF(AND(B326&lt;&gt;"",M326="",I326&lt;&gt;""),I326,"")</f>
        <v/>
      </c>
      <c r="V326" s="79">
        <f>IF(U326="","",IF(U326&lt;AsOf,1,IF(U326&lt;=AsOf+AlertDays,2,IF(U326&lt;=AsOf+2*AlertDays,3,""))))</f>
        <v/>
      </c>
      <c r="W326" s="79">
        <f>IF(V326="","",IF(O326="OVERDUE","Overdue payment: ","Payment due: ")&amp;B326&amp;" — "&amp;C326&amp;" ("&amp;CurSym&amp;" "&amp;FIXED(S326,0)&amp;")")</f>
        <v/>
      </c>
      <c r="Z326" s="116">
        <f>IF('Contractors'!B326="","",'Contractors'!B326)</f>
        <v/>
      </c>
      <c r="AA326" s="77">
        <f>IF(Z326="","",'Contractors'!K326)</f>
        <v/>
      </c>
      <c r="AB326" s="77">
        <f>IF(Z326="","",SUMIFS($L$6:$L$1005,$B$6:$B$1005,Z326))</f>
        <v/>
      </c>
      <c r="AC326" s="77">
        <f>IF(Z326="","",SUMIFS($N$6:$N$1005,$B$6:$B$1005,Z326))</f>
        <v/>
      </c>
      <c r="AD326" s="76">
        <f>IF(Z326="","",AA326-AC326)</f>
        <v/>
      </c>
      <c r="AE326" s="117">
        <f>IF(Z326="","",IFERROR(1/SUMPRODUCT(MAX(($B$6:$B$1005=Z326)*$T$6:$T$1005)),""))</f>
        <v/>
      </c>
      <c r="AF326" s="77">
        <f>IF(AE326="","",SUMIFS($S$6:$S$1005,$B$6:$B$1005,Z326,$I$6:$I$1005,AE326))</f>
        <v/>
      </c>
    </row>
    <row r="327" ht="20" customHeight="1">
      <c r="B327" s="72" t="n"/>
      <c r="C327" s="72" t="n"/>
      <c r="D327" s="72" t="n"/>
      <c r="E327" s="72" t="n"/>
      <c r="F327" s="110" t="n"/>
      <c r="G327" s="73" t="n"/>
      <c r="H327" s="75">
        <f>IF(B327="","",IF(G327&lt;&gt;"",G327,IF(F327&lt;&gt;"",F327*IFERROR(INDEX('Contractors'!$I$6:$I$1005,MATCH(B327,'Contractors'!$B$6:$B$1005,0)),0),"")))</f>
        <v/>
      </c>
      <c r="I327" s="109" t="n"/>
      <c r="J327" s="72" t="n"/>
      <c r="K327" s="109" t="n"/>
      <c r="L327" s="73" t="n"/>
      <c r="M327" s="109" t="n"/>
      <c r="N327" s="73" t="n"/>
      <c r="O327" s="107">
        <f>IF(B327="","",IF(M327&lt;&gt;"","Paid",IF(AND(I327&lt;&gt;"",I327&lt;AsOf),"OVERDUE",IF(OR(K327&lt;&gt;"",L327&lt;&gt;""),"Invoiced","Scheduled"))))</f>
        <v/>
      </c>
      <c r="P327" s="115">
        <f>IF(B327="","",IF(E327&lt;&gt;"",E327,IFERROR(INDEX('Contractors'!$D$6:$D$1005,MATCH(B327,'Contractors'!$B$6:$B$1005,0)),"")))</f>
        <v/>
      </c>
      <c r="Q327" s="79">
        <f>IF(B327="","",IF(D327&lt;&gt;"",D327,IFERROR(INDEX('Contractors'!$E$6:$E$1005,MATCH(B327,'Contractors'!$B$6:$B$1005,0)),"")))</f>
        <v/>
      </c>
      <c r="R327" s="79">
        <f>IF(O327="","",IF(O327="OVERDUE",2,IF(O327="Paid",0,IF(AND(I327&lt;&gt;"",I327&lt;=AsOf+AlertDays),1,0))))</f>
        <v/>
      </c>
      <c r="S327" s="79">
        <f>IF(AND(B327&lt;&gt;"",M327="",I327&lt;&gt;""),IF(L327&lt;&gt;"",L327,IF(H327="",0,H327)),0)</f>
        <v/>
      </c>
      <c r="T327" s="79">
        <f>IF(AND(B327&lt;&gt;"",M327="",I327&lt;&gt;""),1/I327,0)</f>
        <v/>
      </c>
      <c r="U327" s="112">
        <f>IF(AND(B327&lt;&gt;"",M327="",I327&lt;&gt;""),I327,"")</f>
        <v/>
      </c>
      <c r="V327" s="79">
        <f>IF(U327="","",IF(U327&lt;AsOf,1,IF(U327&lt;=AsOf+AlertDays,2,IF(U327&lt;=AsOf+2*AlertDays,3,""))))</f>
        <v/>
      </c>
      <c r="W327" s="79">
        <f>IF(V327="","",IF(O327="OVERDUE","Overdue payment: ","Payment due: ")&amp;B327&amp;" — "&amp;C327&amp;" ("&amp;CurSym&amp;" "&amp;FIXED(S327,0)&amp;")")</f>
        <v/>
      </c>
      <c r="Z327" s="116">
        <f>IF('Contractors'!B327="","",'Contractors'!B327)</f>
        <v/>
      </c>
      <c r="AA327" s="77">
        <f>IF(Z327="","",'Contractors'!K327)</f>
        <v/>
      </c>
      <c r="AB327" s="77">
        <f>IF(Z327="","",SUMIFS($L$6:$L$1005,$B$6:$B$1005,Z327))</f>
        <v/>
      </c>
      <c r="AC327" s="77">
        <f>IF(Z327="","",SUMIFS($N$6:$N$1005,$B$6:$B$1005,Z327))</f>
        <v/>
      </c>
      <c r="AD327" s="76">
        <f>IF(Z327="","",AA327-AC327)</f>
        <v/>
      </c>
      <c r="AE327" s="117">
        <f>IF(Z327="","",IFERROR(1/SUMPRODUCT(MAX(($B$6:$B$1005=Z327)*$T$6:$T$1005)),""))</f>
        <v/>
      </c>
      <c r="AF327" s="77">
        <f>IF(AE327="","",SUMIFS($S$6:$S$1005,$B$6:$B$1005,Z327,$I$6:$I$1005,AE327))</f>
        <v/>
      </c>
    </row>
    <row r="328" ht="20" customHeight="1">
      <c r="B328" s="72" t="n"/>
      <c r="C328" s="72" t="n"/>
      <c r="D328" s="72" t="n"/>
      <c r="E328" s="72" t="n"/>
      <c r="F328" s="110" t="n"/>
      <c r="G328" s="73" t="n"/>
      <c r="H328" s="75">
        <f>IF(B328="","",IF(G328&lt;&gt;"",G328,IF(F328&lt;&gt;"",F328*IFERROR(INDEX('Contractors'!$I$6:$I$1005,MATCH(B328,'Contractors'!$B$6:$B$1005,0)),0),"")))</f>
        <v/>
      </c>
      <c r="I328" s="109" t="n"/>
      <c r="J328" s="72" t="n"/>
      <c r="K328" s="109" t="n"/>
      <c r="L328" s="73" t="n"/>
      <c r="M328" s="109" t="n"/>
      <c r="N328" s="73" t="n"/>
      <c r="O328" s="107">
        <f>IF(B328="","",IF(M328&lt;&gt;"","Paid",IF(AND(I328&lt;&gt;"",I328&lt;AsOf),"OVERDUE",IF(OR(K328&lt;&gt;"",L328&lt;&gt;""),"Invoiced","Scheduled"))))</f>
        <v/>
      </c>
      <c r="P328" s="115">
        <f>IF(B328="","",IF(E328&lt;&gt;"",E328,IFERROR(INDEX('Contractors'!$D$6:$D$1005,MATCH(B328,'Contractors'!$B$6:$B$1005,0)),"")))</f>
        <v/>
      </c>
      <c r="Q328" s="79">
        <f>IF(B328="","",IF(D328&lt;&gt;"",D328,IFERROR(INDEX('Contractors'!$E$6:$E$1005,MATCH(B328,'Contractors'!$B$6:$B$1005,0)),"")))</f>
        <v/>
      </c>
      <c r="R328" s="79">
        <f>IF(O328="","",IF(O328="OVERDUE",2,IF(O328="Paid",0,IF(AND(I328&lt;&gt;"",I328&lt;=AsOf+AlertDays),1,0))))</f>
        <v/>
      </c>
      <c r="S328" s="79">
        <f>IF(AND(B328&lt;&gt;"",M328="",I328&lt;&gt;""),IF(L328&lt;&gt;"",L328,IF(H328="",0,H328)),0)</f>
        <v/>
      </c>
      <c r="T328" s="79">
        <f>IF(AND(B328&lt;&gt;"",M328="",I328&lt;&gt;""),1/I328,0)</f>
        <v/>
      </c>
      <c r="U328" s="112">
        <f>IF(AND(B328&lt;&gt;"",M328="",I328&lt;&gt;""),I328,"")</f>
        <v/>
      </c>
      <c r="V328" s="79">
        <f>IF(U328="","",IF(U328&lt;AsOf,1,IF(U328&lt;=AsOf+AlertDays,2,IF(U328&lt;=AsOf+2*AlertDays,3,""))))</f>
        <v/>
      </c>
      <c r="W328" s="79">
        <f>IF(V328="","",IF(O328="OVERDUE","Overdue payment: ","Payment due: ")&amp;B328&amp;" — "&amp;C328&amp;" ("&amp;CurSym&amp;" "&amp;FIXED(S328,0)&amp;")")</f>
        <v/>
      </c>
      <c r="Z328" s="116">
        <f>IF('Contractors'!B328="","",'Contractors'!B328)</f>
        <v/>
      </c>
      <c r="AA328" s="77">
        <f>IF(Z328="","",'Contractors'!K328)</f>
        <v/>
      </c>
      <c r="AB328" s="77">
        <f>IF(Z328="","",SUMIFS($L$6:$L$1005,$B$6:$B$1005,Z328))</f>
        <v/>
      </c>
      <c r="AC328" s="77">
        <f>IF(Z328="","",SUMIFS($N$6:$N$1005,$B$6:$B$1005,Z328))</f>
        <v/>
      </c>
      <c r="AD328" s="76">
        <f>IF(Z328="","",AA328-AC328)</f>
        <v/>
      </c>
      <c r="AE328" s="117">
        <f>IF(Z328="","",IFERROR(1/SUMPRODUCT(MAX(($B$6:$B$1005=Z328)*$T$6:$T$1005)),""))</f>
        <v/>
      </c>
      <c r="AF328" s="77">
        <f>IF(AE328="","",SUMIFS($S$6:$S$1005,$B$6:$B$1005,Z328,$I$6:$I$1005,AE328))</f>
        <v/>
      </c>
    </row>
    <row r="329" ht="20" customHeight="1">
      <c r="B329" s="72" t="n"/>
      <c r="C329" s="72" t="n"/>
      <c r="D329" s="72" t="n"/>
      <c r="E329" s="72" t="n"/>
      <c r="F329" s="110" t="n"/>
      <c r="G329" s="73" t="n"/>
      <c r="H329" s="75">
        <f>IF(B329="","",IF(G329&lt;&gt;"",G329,IF(F329&lt;&gt;"",F329*IFERROR(INDEX('Contractors'!$I$6:$I$1005,MATCH(B329,'Contractors'!$B$6:$B$1005,0)),0),"")))</f>
        <v/>
      </c>
      <c r="I329" s="109" t="n"/>
      <c r="J329" s="72" t="n"/>
      <c r="K329" s="109" t="n"/>
      <c r="L329" s="73" t="n"/>
      <c r="M329" s="109" t="n"/>
      <c r="N329" s="73" t="n"/>
      <c r="O329" s="107">
        <f>IF(B329="","",IF(M329&lt;&gt;"","Paid",IF(AND(I329&lt;&gt;"",I329&lt;AsOf),"OVERDUE",IF(OR(K329&lt;&gt;"",L329&lt;&gt;""),"Invoiced","Scheduled"))))</f>
        <v/>
      </c>
      <c r="P329" s="115">
        <f>IF(B329="","",IF(E329&lt;&gt;"",E329,IFERROR(INDEX('Contractors'!$D$6:$D$1005,MATCH(B329,'Contractors'!$B$6:$B$1005,0)),"")))</f>
        <v/>
      </c>
      <c r="Q329" s="79">
        <f>IF(B329="","",IF(D329&lt;&gt;"",D329,IFERROR(INDEX('Contractors'!$E$6:$E$1005,MATCH(B329,'Contractors'!$B$6:$B$1005,0)),"")))</f>
        <v/>
      </c>
      <c r="R329" s="79">
        <f>IF(O329="","",IF(O329="OVERDUE",2,IF(O329="Paid",0,IF(AND(I329&lt;&gt;"",I329&lt;=AsOf+AlertDays),1,0))))</f>
        <v/>
      </c>
      <c r="S329" s="79">
        <f>IF(AND(B329&lt;&gt;"",M329="",I329&lt;&gt;""),IF(L329&lt;&gt;"",L329,IF(H329="",0,H329)),0)</f>
        <v/>
      </c>
      <c r="T329" s="79">
        <f>IF(AND(B329&lt;&gt;"",M329="",I329&lt;&gt;""),1/I329,0)</f>
        <v/>
      </c>
      <c r="U329" s="112">
        <f>IF(AND(B329&lt;&gt;"",M329="",I329&lt;&gt;""),I329,"")</f>
        <v/>
      </c>
      <c r="V329" s="79">
        <f>IF(U329="","",IF(U329&lt;AsOf,1,IF(U329&lt;=AsOf+AlertDays,2,IF(U329&lt;=AsOf+2*AlertDays,3,""))))</f>
        <v/>
      </c>
      <c r="W329" s="79">
        <f>IF(V329="","",IF(O329="OVERDUE","Overdue payment: ","Payment due: ")&amp;B329&amp;" — "&amp;C329&amp;" ("&amp;CurSym&amp;" "&amp;FIXED(S329,0)&amp;")")</f>
        <v/>
      </c>
      <c r="Z329" s="116">
        <f>IF('Contractors'!B329="","",'Contractors'!B329)</f>
        <v/>
      </c>
      <c r="AA329" s="77">
        <f>IF(Z329="","",'Contractors'!K329)</f>
        <v/>
      </c>
      <c r="AB329" s="77">
        <f>IF(Z329="","",SUMIFS($L$6:$L$1005,$B$6:$B$1005,Z329))</f>
        <v/>
      </c>
      <c r="AC329" s="77">
        <f>IF(Z329="","",SUMIFS($N$6:$N$1005,$B$6:$B$1005,Z329))</f>
        <v/>
      </c>
      <c r="AD329" s="76">
        <f>IF(Z329="","",AA329-AC329)</f>
        <v/>
      </c>
      <c r="AE329" s="117">
        <f>IF(Z329="","",IFERROR(1/SUMPRODUCT(MAX(($B$6:$B$1005=Z329)*$T$6:$T$1005)),""))</f>
        <v/>
      </c>
      <c r="AF329" s="77">
        <f>IF(AE329="","",SUMIFS($S$6:$S$1005,$B$6:$B$1005,Z329,$I$6:$I$1005,AE329))</f>
        <v/>
      </c>
    </row>
    <row r="330" ht="20" customHeight="1">
      <c r="B330" s="72" t="n"/>
      <c r="C330" s="72" t="n"/>
      <c r="D330" s="72" t="n"/>
      <c r="E330" s="72" t="n"/>
      <c r="F330" s="110" t="n"/>
      <c r="G330" s="73" t="n"/>
      <c r="H330" s="75">
        <f>IF(B330="","",IF(G330&lt;&gt;"",G330,IF(F330&lt;&gt;"",F330*IFERROR(INDEX('Contractors'!$I$6:$I$1005,MATCH(B330,'Contractors'!$B$6:$B$1005,0)),0),"")))</f>
        <v/>
      </c>
      <c r="I330" s="109" t="n"/>
      <c r="J330" s="72" t="n"/>
      <c r="K330" s="109" t="n"/>
      <c r="L330" s="73" t="n"/>
      <c r="M330" s="109" t="n"/>
      <c r="N330" s="73" t="n"/>
      <c r="O330" s="107">
        <f>IF(B330="","",IF(M330&lt;&gt;"","Paid",IF(AND(I330&lt;&gt;"",I330&lt;AsOf),"OVERDUE",IF(OR(K330&lt;&gt;"",L330&lt;&gt;""),"Invoiced","Scheduled"))))</f>
        <v/>
      </c>
      <c r="P330" s="115">
        <f>IF(B330="","",IF(E330&lt;&gt;"",E330,IFERROR(INDEX('Contractors'!$D$6:$D$1005,MATCH(B330,'Contractors'!$B$6:$B$1005,0)),"")))</f>
        <v/>
      </c>
      <c r="Q330" s="79">
        <f>IF(B330="","",IF(D330&lt;&gt;"",D330,IFERROR(INDEX('Contractors'!$E$6:$E$1005,MATCH(B330,'Contractors'!$B$6:$B$1005,0)),"")))</f>
        <v/>
      </c>
      <c r="R330" s="79">
        <f>IF(O330="","",IF(O330="OVERDUE",2,IF(O330="Paid",0,IF(AND(I330&lt;&gt;"",I330&lt;=AsOf+AlertDays),1,0))))</f>
        <v/>
      </c>
      <c r="S330" s="79">
        <f>IF(AND(B330&lt;&gt;"",M330="",I330&lt;&gt;""),IF(L330&lt;&gt;"",L330,IF(H330="",0,H330)),0)</f>
        <v/>
      </c>
      <c r="T330" s="79">
        <f>IF(AND(B330&lt;&gt;"",M330="",I330&lt;&gt;""),1/I330,0)</f>
        <v/>
      </c>
      <c r="U330" s="112">
        <f>IF(AND(B330&lt;&gt;"",M330="",I330&lt;&gt;""),I330,"")</f>
        <v/>
      </c>
      <c r="V330" s="79">
        <f>IF(U330="","",IF(U330&lt;AsOf,1,IF(U330&lt;=AsOf+AlertDays,2,IF(U330&lt;=AsOf+2*AlertDays,3,""))))</f>
        <v/>
      </c>
      <c r="W330" s="79">
        <f>IF(V330="","",IF(O330="OVERDUE","Overdue payment: ","Payment due: ")&amp;B330&amp;" — "&amp;C330&amp;" ("&amp;CurSym&amp;" "&amp;FIXED(S330,0)&amp;")")</f>
        <v/>
      </c>
      <c r="Z330" s="116">
        <f>IF('Contractors'!B330="","",'Contractors'!B330)</f>
        <v/>
      </c>
      <c r="AA330" s="77">
        <f>IF(Z330="","",'Contractors'!K330)</f>
        <v/>
      </c>
      <c r="AB330" s="77">
        <f>IF(Z330="","",SUMIFS($L$6:$L$1005,$B$6:$B$1005,Z330))</f>
        <v/>
      </c>
      <c r="AC330" s="77">
        <f>IF(Z330="","",SUMIFS($N$6:$N$1005,$B$6:$B$1005,Z330))</f>
        <v/>
      </c>
      <c r="AD330" s="76">
        <f>IF(Z330="","",AA330-AC330)</f>
        <v/>
      </c>
      <c r="AE330" s="117">
        <f>IF(Z330="","",IFERROR(1/SUMPRODUCT(MAX(($B$6:$B$1005=Z330)*$T$6:$T$1005)),""))</f>
        <v/>
      </c>
      <c r="AF330" s="77">
        <f>IF(AE330="","",SUMIFS($S$6:$S$1005,$B$6:$B$1005,Z330,$I$6:$I$1005,AE330))</f>
        <v/>
      </c>
    </row>
    <row r="331" ht="20" customHeight="1">
      <c r="B331" s="72" t="n"/>
      <c r="C331" s="72" t="n"/>
      <c r="D331" s="72" t="n"/>
      <c r="E331" s="72" t="n"/>
      <c r="F331" s="110" t="n"/>
      <c r="G331" s="73" t="n"/>
      <c r="H331" s="75">
        <f>IF(B331="","",IF(G331&lt;&gt;"",G331,IF(F331&lt;&gt;"",F331*IFERROR(INDEX('Contractors'!$I$6:$I$1005,MATCH(B331,'Contractors'!$B$6:$B$1005,0)),0),"")))</f>
        <v/>
      </c>
      <c r="I331" s="109" t="n"/>
      <c r="J331" s="72" t="n"/>
      <c r="K331" s="109" t="n"/>
      <c r="L331" s="73" t="n"/>
      <c r="M331" s="109" t="n"/>
      <c r="N331" s="73" t="n"/>
      <c r="O331" s="107">
        <f>IF(B331="","",IF(M331&lt;&gt;"","Paid",IF(AND(I331&lt;&gt;"",I331&lt;AsOf),"OVERDUE",IF(OR(K331&lt;&gt;"",L331&lt;&gt;""),"Invoiced","Scheduled"))))</f>
        <v/>
      </c>
      <c r="P331" s="115">
        <f>IF(B331="","",IF(E331&lt;&gt;"",E331,IFERROR(INDEX('Contractors'!$D$6:$D$1005,MATCH(B331,'Contractors'!$B$6:$B$1005,0)),"")))</f>
        <v/>
      </c>
      <c r="Q331" s="79">
        <f>IF(B331="","",IF(D331&lt;&gt;"",D331,IFERROR(INDEX('Contractors'!$E$6:$E$1005,MATCH(B331,'Contractors'!$B$6:$B$1005,0)),"")))</f>
        <v/>
      </c>
      <c r="R331" s="79">
        <f>IF(O331="","",IF(O331="OVERDUE",2,IF(O331="Paid",0,IF(AND(I331&lt;&gt;"",I331&lt;=AsOf+AlertDays),1,0))))</f>
        <v/>
      </c>
      <c r="S331" s="79">
        <f>IF(AND(B331&lt;&gt;"",M331="",I331&lt;&gt;""),IF(L331&lt;&gt;"",L331,IF(H331="",0,H331)),0)</f>
        <v/>
      </c>
      <c r="T331" s="79">
        <f>IF(AND(B331&lt;&gt;"",M331="",I331&lt;&gt;""),1/I331,0)</f>
        <v/>
      </c>
      <c r="U331" s="112">
        <f>IF(AND(B331&lt;&gt;"",M331="",I331&lt;&gt;""),I331,"")</f>
        <v/>
      </c>
      <c r="V331" s="79">
        <f>IF(U331="","",IF(U331&lt;AsOf,1,IF(U331&lt;=AsOf+AlertDays,2,IF(U331&lt;=AsOf+2*AlertDays,3,""))))</f>
        <v/>
      </c>
      <c r="W331" s="79">
        <f>IF(V331="","",IF(O331="OVERDUE","Overdue payment: ","Payment due: ")&amp;B331&amp;" — "&amp;C331&amp;" ("&amp;CurSym&amp;" "&amp;FIXED(S331,0)&amp;")")</f>
        <v/>
      </c>
      <c r="Z331" s="116">
        <f>IF('Contractors'!B331="","",'Contractors'!B331)</f>
        <v/>
      </c>
      <c r="AA331" s="77">
        <f>IF(Z331="","",'Contractors'!K331)</f>
        <v/>
      </c>
      <c r="AB331" s="77">
        <f>IF(Z331="","",SUMIFS($L$6:$L$1005,$B$6:$B$1005,Z331))</f>
        <v/>
      </c>
      <c r="AC331" s="77">
        <f>IF(Z331="","",SUMIFS($N$6:$N$1005,$B$6:$B$1005,Z331))</f>
        <v/>
      </c>
      <c r="AD331" s="76">
        <f>IF(Z331="","",AA331-AC331)</f>
        <v/>
      </c>
      <c r="AE331" s="117">
        <f>IF(Z331="","",IFERROR(1/SUMPRODUCT(MAX(($B$6:$B$1005=Z331)*$T$6:$T$1005)),""))</f>
        <v/>
      </c>
      <c r="AF331" s="77">
        <f>IF(AE331="","",SUMIFS($S$6:$S$1005,$B$6:$B$1005,Z331,$I$6:$I$1005,AE331))</f>
        <v/>
      </c>
    </row>
    <row r="332" ht="20" customHeight="1">
      <c r="B332" s="72" t="n"/>
      <c r="C332" s="72" t="n"/>
      <c r="D332" s="72" t="n"/>
      <c r="E332" s="72" t="n"/>
      <c r="F332" s="110" t="n"/>
      <c r="G332" s="73" t="n"/>
      <c r="H332" s="75">
        <f>IF(B332="","",IF(G332&lt;&gt;"",G332,IF(F332&lt;&gt;"",F332*IFERROR(INDEX('Contractors'!$I$6:$I$1005,MATCH(B332,'Contractors'!$B$6:$B$1005,0)),0),"")))</f>
        <v/>
      </c>
      <c r="I332" s="109" t="n"/>
      <c r="J332" s="72" t="n"/>
      <c r="K332" s="109" t="n"/>
      <c r="L332" s="73" t="n"/>
      <c r="M332" s="109" t="n"/>
      <c r="N332" s="73" t="n"/>
      <c r="O332" s="107">
        <f>IF(B332="","",IF(M332&lt;&gt;"","Paid",IF(AND(I332&lt;&gt;"",I332&lt;AsOf),"OVERDUE",IF(OR(K332&lt;&gt;"",L332&lt;&gt;""),"Invoiced","Scheduled"))))</f>
        <v/>
      </c>
      <c r="P332" s="115">
        <f>IF(B332="","",IF(E332&lt;&gt;"",E332,IFERROR(INDEX('Contractors'!$D$6:$D$1005,MATCH(B332,'Contractors'!$B$6:$B$1005,0)),"")))</f>
        <v/>
      </c>
      <c r="Q332" s="79">
        <f>IF(B332="","",IF(D332&lt;&gt;"",D332,IFERROR(INDEX('Contractors'!$E$6:$E$1005,MATCH(B332,'Contractors'!$B$6:$B$1005,0)),"")))</f>
        <v/>
      </c>
      <c r="R332" s="79">
        <f>IF(O332="","",IF(O332="OVERDUE",2,IF(O332="Paid",0,IF(AND(I332&lt;&gt;"",I332&lt;=AsOf+AlertDays),1,0))))</f>
        <v/>
      </c>
      <c r="S332" s="79">
        <f>IF(AND(B332&lt;&gt;"",M332="",I332&lt;&gt;""),IF(L332&lt;&gt;"",L332,IF(H332="",0,H332)),0)</f>
        <v/>
      </c>
      <c r="T332" s="79">
        <f>IF(AND(B332&lt;&gt;"",M332="",I332&lt;&gt;""),1/I332,0)</f>
        <v/>
      </c>
      <c r="U332" s="112">
        <f>IF(AND(B332&lt;&gt;"",M332="",I332&lt;&gt;""),I332,"")</f>
        <v/>
      </c>
      <c r="V332" s="79">
        <f>IF(U332="","",IF(U332&lt;AsOf,1,IF(U332&lt;=AsOf+AlertDays,2,IF(U332&lt;=AsOf+2*AlertDays,3,""))))</f>
        <v/>
      </c>
      <c r="W332" s="79">
        <f>IF(V332="","",IF(O332="OVERDUE","Overdue payment: ","Payment due: ")&amp;B332&amp;" — "&amp;C332&amp;" ("&amp;CurSym&amp;" "&amp;FIXED(S332,0)&amp;")")</f>
        <v/>
      </c>
      <c r="Z332" s="116">
        <f>IF('Contractors'!B332="","",'Contractors'!B332)</f>
        <v/>
      </c>
      <c r="AA332" s="77">
        <f>IF(Z332="","",'Contractors'!K332)</f>
        <v/>
      </c>
      <c r="AB332" s="77">
        <f>IF(Z332="","",SUMIFS($L$6:$L$1005,$B$6:$B$1005,Z332))</f>
        <v/>
      </c>
      <c r="AC332" s="77">
        <f>IF(Z332="","",SUMIFS($N$6:$N$1005,$B$6:$B$1005,Z332))</f>
        <v/>
      </c>
      <c r="AD332" s="76">
        <f>IF(Z332="","",AA332-AC332)</f>
        <v/>
      </c>
      <c r="AE332" s="117">
        <f>IF(Z332="","",IFERROR(1/SUMPRODUCT(MAX(($B$6:$B$1005=Z332)*$T$6:$T$1005)),""))</f>
        <v/>
      </c>
      <c r="AF332" s="77">
        <f>IF(AE332="","",SUMIFS($S$6:$S$1005,$B$6:$B$1005,Z332,$I$6:$I$1005,AE332))</f>
        <v/>
      </c>
    </row>
    <row r="333" ht="20" customHeight="1">
      <c r="B333" s="72" t="n"/>
      <c r="C333" s="72" t="n"/>
      <c r="D333" s="72" t="n"/>
      <c r="E333" s="72" t="n"/>
      <c r="F333" s="110" t="n"/>
      <c r="G333" s="73" t="n"/>
      <c r="H333" s="75">
        <f>IF(B333="","",IF(G333&lt;&gt;"",G333,IF(F333&lt;&gt;"",F333*IFERROR(INDEX('Contractors'!$I$6:$I$1005,MATCH(B333,'Contractors'!$B$6:$B$1005,0)),0),"")))</f>
        <v/>
      </c>
      <c r="I333" s="109" t="n"/>
      <c r="J333" s="72" t="n"/>
      <c r="K333" s="109" t="n"/>
      <c r="L333" s="73" t="n"/>
      <c r="M333" s="109" t="n"/>
      <c r="N333" s="73" t="n"/>
      <c r="O333" s="107">
        <f>IF(B333="","",IF(M333&lt;&gt;"","Paid",IF(AND(I333&lt;&gt;"",I333&lt;AsOf),"OVERDUE",IF(OR(K333&lt;&gt;"",L333&lt;&gt;""),"Invoiced","Scheduled"))))</f>
        <v/>
      </c>
      <c r="P333" s="115">
        <f>IF(B333="","",IF(E333&lt;&gt;"",E333,IFERROR(INDEX('Contractors'!$D$6:$D$1005,MATCH(B333,'Contractors'!$B$6:$B$1005,0)),"")))</f>
        <v/>
      </c>
      <c r="Q333" s="79">
        <f>IF(B333="","",IF(D333&lt;&gt;"",D333,IFERROR(INDEX('Contractors'!$E$6:$E$1005,MATCH(B333,'Contractors'!$B$6:$B$1005,0)),"")))</f>
        <v/>
      </c>
      <c r="R333" s="79">
        <f>IF(O333="","",IF(O333="OVERDUE",2,IF(O333="Paid",0,IF(AND(I333&lt;&gt;"",I333&lt;=AsOf+AlertDays),1,0))))</f>
        <v/>
      </c>
      <c r="S333" s="79">
        <f>IF(AND(B333&lt;&gt;"",M333="",I333&lt;&gt;""),IF(L333&lt;&gt;"",L333,IF(H333="",0,H333)),0)</f>
        <v/>
      </c>
      <c r="T333" s="79">
        <f>IF(AND(B333&lt;&gt;"",M333="",I333&lt;&gt;""),1/I333,0)</f>
        <v/>
      </c>
      <c r="U333" s="112">
        <f>IF(AND(B333&lt;&gt;"",M333="",I333&lt;&gt;""),I333,"")</f>
        <v/>
      </c>
      <c r="V333" s="79">
        <f>IF(U333="","",IF(U333&lt;AsOf,1,IF(U333&lt;=AsOf+AlertDays,2,IF(U333&lt;=AsOf+2*AlertDays,3,""))))</f>
        <v/>
      </c>
      <c r="W333" s="79">
        <f>IF(V333="","",IF(O333="OVERDUE","Overdue payment: ","Payment due: ")&amp;B333&amp;" — "&amp;C333&amp;" ("&amp;CurSym&amp;" "&amp;FIXED(S333,0)&amp;")")</f>
        <v/>
      </c>
      <c r="Z333" s="116">
        <f>IF('Contractors'!B333="","",'Contractors'!B333)</f>
        <v/>
      </c>
      <c r="AA333" s="77">
        <f>IF(Z333="","",'Contractors'!K333)</f>
        <v/>
      </c>
      <c r="AB333" s="77">
        <f>IF(Z333="","",SUMIFS($L$6:$L$1005,$B$6:$B$1005,Z333))</f>
        <v/>
      </c>
      <c r="AC333" s="77">
        <f>IF(Z333="","",SUMIFS($N$6:$N$1005,$B$6:$B$1005,Z333))</f>
        <v/>
      </c>
      <c r="AD333" s="76">
        <f>IF(Z333="","",AA333-AC333)</f>
        <v/>
      </c>
      <c r="AE333" s="117">
        <f>IF(Z333="","",IFERROR(1/SUMPRODUCT(MAX(($B$6:$B$1005=Z333)*$T$6:$T$1005)),""))</f>
        <v/>
      </c>
      <c r="AF333" s="77">
        <f>IF(AE333="","",SUMIFS($S$6:$S$1005,$B$6:$B$1005,Z333,$I$6:$I$1005,AE333))</f>
        <v/>
      </c>
    </row>
    <row r="334" ht="20" customHeight="1">
      <c r="B334" s="72" t="n"/>
      <c r="C334" s="72" t="n"/>
      <c r="D334" s="72" t="n"/>
      <c r="E334" s="72" t="n"/>
      <c r="F334" s="110" t="n"/>
      <c r="G334" s="73" t="n"/>
      <c r="H334" s="75">
        <f>IF(B334="","",IF(G334&lt;&gt;"",G334,IF(F334&lt;&gt;"",F334*IFERROR(INDEX('Contractors'!$I$6:$I$1005,MATCH(B334,'Contractors'!$B$6:$B$1005,0)),0),"")))</f>
        <v/>
      </c>
      <c r="I334" s="109" t="n"/>
      <c r="J334" s="72" t="n"/>
      <c r="K334" s="109" t="n"/>
      <c r="L334" s="73" t="n"/>
      <c r="M334" s="109" t="n"/>
      <c r="N334" s="73" t="n"/>
      <c r="O334" s="107">
        <f>IF(B334="","",IF(M334&lt;&gt;"","Paid",IF(AND(I334&lt;&gt;"",I334&lt;AsOf),"OVERDUE",IF(OR(K334&lt;&gt;"",L334&lt;&gt;""),"Invoiced","Scheduled"))))</f>
        <v/>
      </c>
      <c r="P334" s="115">
        <f>IF(B334="","",IF(E334&lt;&gt;"",E334,IFERROR(INDEX('Contractors'!$D$6:$D$1005,MATCH(B334,'Contractors'!$B$6:$B$1005,0)),"")))</f>
        <v/>
      </c>
      <c r="Q334" s="79">
        <f>IF(B334="","",IF(D334&lt;&gt;"",D334,IFERROR(INDEX('Contractors'!$E$6:$E$1005,MATCH(B334,'Contractors'!$B$6:$B$1005,0)),"")))</f>
        <v/>
      </c>
      <c r="R334" s="79">
        <f>IF(O334="","",IF(O334="OVERDUE",2,IF(O334="Paid",0,IF(AND(I334&lt;&gt;"",I334&lt;=AsOf+AlertDays),1,0))))</f>
        <v/>
      </c>
      <c r="S334" s="79">
        <f>IF(AND(B334&lt;&gt;"",M334="",I334&lt;&gt;""),IF(L334&lt;&gt;"",L334,IF(H334="",0,H334)),0)</f>
        <v/>
      </c>
      <c r="T334" s="79">
        <f>IF(AND(B334&lt;&gt;"",M334="",I334&lt;&gt;""),1/I334,0)</f>
        <v/>
      </c>
      <c r="U334" s="112">
        <f>IF(AND(B334&lt;&gt;"",M334="",I334&lt;&gt;""),I334,"")</f>
        <v/>
      </c>
      <c r="V334" s="79">
        <f>IF(U334="","",IF(U334&lt;AsOf,1,IF(U334&lt;=AsOf+AlertDays,2,IF(U334&lt;=AsOf+2*AlertDays,3,""))))</f>
        <v/>
      </c>
      <c r="W334" s="79">
        <f>IF(V334="","",IF(O334="OVERDUE","Overdue payment: ","Payment due: ")&amp;B334&amp;" — "&amp;C334&amp;" ("&amp;CurSym&amp;" "&amp;FIXED(S334,0)&amp;")")</f>
        <v/>
      </c>
      <c r="Z334" s="116">
        <f>IF('Contractors'!B334="","",'Contractors'!B334)</f>
        <v/>
      </c>
      <c r="AA334" s="77">
        <f>IF(Z334="","",'Contractors'!K334)</f>
        <v/>
      </c>
      <c r="AB334" s="77">
        <f>IF(Z334="","",SUMIFS($L$6:$L$1005,$B$6:$B$1005,Z334))</f>
        <v/>
      </c>
      <c r="AC334" s="77">
        <f>IF(Z334="","",SUMIFS($N$6:$N$1005,$B$6:$B$1005,Z334))</f>
        <v/>
      </c>
      <c r="AD334" s="76">
        <f>IF(Z334="","",AA334-AC334)</f>
        <v/>
      </c>
      <c r="AE334" s="117">
        <f>IF(Z334="","",IFERROR(1/SUMPRODUCT(MAX(($B$6:$B$1005=Z334)*$T$6:$T$1005)),""))</f>
        <v/>
      </c>
      <c r="AF334" s="77">
        <f>IF(AE334="","",SUMIFS($S$6:$S$1005,$B$6:$B$1005,Z334,$I$6:$I$1005,AE334))</f>
        <v/>
      </c>
    </row>
    <row r="335" ht="20" customHeight="1">
      <c r="B335" s="72" t="n"/>
      <c r="C335" s="72" t="n"/>
      <c r="D335" s="72" t="n"/>
      <c r="E335" s="72" t="n"/>
      <c r="F335" s="110" t="n"/>
      <c r="G335" s="73" t="n"/>
      <c r="H335" s="75">
        <f>IF(B335="","",IF(G335&lt;&gt;"",G335,IF(F335&lt;&gt;"",F335*IFERROR(INDEX('Contractors'!$I$6:$I$1005,MATCH(B335,'Contractors'!$B$6:$B$1005,0)),0),"")))</f>
        <v/>
      </c>
      <c r="I335" s="109" t="n"/>
      <c r="J335" s="72" t="n"/>
      <c r="K335" s="109" t="n"/>
      <c r="L335" s="73" t="n"/>
      <c r="M335" s="109" t="n"/>
      <c r="N335" s="73" t="n"/>
      <c r="O335" s="107">
        <f>IF(B335="","",IF(M335&lt;&gt;"","Paid",IF(AND(I335&lt;&gt;"",I335&lt;AsOf),"OVERDUE",IF(OR(K335&lt;&gt;"",L335&lt;&gt;""),"Invoiced","Scheduled"))))</f>
        <v/>
      </c>
      <c r="P335" s="115">
        <f>IF(B335="","",IF(E335&lt;&gt;"",E335,IFERROR(INDEX('Contractors'!$D$6:$D$1005,MATCH(B335,'Contractors'!$B$6:$B$1005,0)),"")))</f>
        <v/>
      </c>
      <c r="Q335" s="79">
        <f>IF(B335="","",IF(D335&lt;&gt;"",D335,IFERROR(INDEX('Contractors'!$E$6:$E$1005,MATCH(B335,'Contractors'!$B$6:$B$1005,0)),"")))</f>
        <v/>
      </c>
      <c r="R335" s="79">
        <f>IF(O335="","",IF(O335="OVERDUE",2,IF(O335="Paid",0,IF(AND(I335&lt;&gt;"",I335&lt;=AsOf+AlertDays),1,0))))</f>
        <v/>
      </c>
      <c r="S335" s="79">
        <f>IF(AND(B335&lt;&gt;"",M335="",I335&lt;&gt;""),IF(L335&lt;&gt;"",L335,IF(H335="",0,H335)),0)</f>
        <v/>
      </c>
      <c r="T335" s="79">
        <f>IF(AND(B335&lt;&gt;"",M335="",I335&lt;&gt;""),1/I335,0)</f>
        <v/>
      </c>
      <c r="U335" s="112">
        <f>IF(AND(B335&lt;&gt;"",M335="",I335&lt;&gt;""),I335,"")</f>
        <v/>
      </c>
      <c r="V335" s="79">
        <f>IF(U335="","",IF(U335&lt;AsOf,1,IF(U335&lt;=AsOf+AlertDays,2,IF(U335&lt;=AsOf+2*AlertDays,3,""))))</f>
        <v/>
      </c>
      <c r="W335" s="79">
        <f>IF(V335="","",IF(O335="OVERDUE","Overdue payment: ","Payment due: ")&amp;B335&amp;" — "&amp;C335&amp;" ("&amp;CurSym&amp;" "&amp;FIXED(S335,0)&amp;")")</f>
        <v/>
      </c>
      <c r="Z335" s="116">
        <f>IF('Contractors'!B335="","",'Contractors'!B335)</f>
        <v/>
      </c>
      <c r="AA335" s="77">
        <f>IF(Z335="","",'Contractors'!K335)</f>
        <v/>
      </c>
      <c r="AB335" s="77">
        <f>IF(Z335="","",SUMIFS($L$6:$L$1005,$B$6:$B$1005,Z335))</f>
        <v/>
      </c>
      <c r="AC335" s="77">
        <f>IF(Z335="","",SUMIFS($N$6:$N$1005,$B$6:$B$1005,Z335))</f>
        <v/>
      </c>
      <c r="AD335" s="76">
        <f>IF(Z335="","",AA335-AC335)</f>
        <v/>
      </c>
      <c r="AE335" s="117">
        <f>IF(Z335="","",IFERROR(1/SUMPRODUCT(MAX(($B$6:$B$1005=Z335)*$T$6:$T$1005)),""))</f>
        <v/>
      </c>
      <c r="AF335" s="77">
        <f>IF(AE335="","",SUMIFS($S$6:$S$1005,$B$6:$B$1005,Z335,$I$6:$I$1005,AE335))</f>
        <v/>
      </c>
    </row>
    <row r="336" ht="20" customHeight="1">
      <c r="B336" s="72" t="n"/>
      <c r="C336" s="72" t="n"/>
      <c r="D336" s="72" t="n"/>
      <c r="E336" s="72" t="n"/>
      <c r="F336" s="110" t="n"/>
      <c r="G336" s="73" t="n"/>
      <c r="H336" s="75">
        <f>IF(B336="","",IF(G336&lt;&gt;"",G336,IF(F336&lt;&gt;"",F336*IFERROR(INDEX('Contractors'!$I$6:$I$1005,MATCH(B336,'Contractors'!$B$6:$B$1005,0)),0),"")))</f>
        <v/>
      </c>
      <c r="I336" s="109" t="n"/>
      <c r="J336" s="72" t="n"/>
      <c r="K336" s="109" t="n"/>
      <c r="L336" s="73" t="n"/>
      <c r="M336" s="109" t="n"/>
      <c r="N336" s="73" t="n"/>
      <c r="O336" s="107">
        <f>IF(B336="","",IF(M336&lt;&gt;"","Paid",IF(AND(I336&lt;&gt;"",I336&lt;AsOf),"OVERDUE",IF(OR(K336&lt;&gt;"",L336&lt;&gt;""),"Invoiced","Scheduled"))))</f>
        <v/>
      </c>
      <c r="P336" s="115">
        <f>IF(B336="","",IF(E336&lt;&gt;"",E336,IFERROR(INDEX('Contractors'!$D$6:$D$1005,MATCH(B336,'Contractors'!$B$6:$B$1005,0)),"")))</f>
        <v/>
      </c>
      <c r="Q336" s="79">
        <f>IF(B336="","",IF(D336&lt;&gt;"",D336,IFERROR(INDEX('Contractors'!$E$6:$E$1005,MATCH(B336,'Contractors'!$B$6:$B$1005,0)),"")))</f>
        <v/>
      </c>
      <c r="R336" s="79">
        <f>IF(O336="","",IF(O336="OVERDUE",2,IF(O336="Paid",0,IF(AND(I336&lt;&gt;"",I336&lt;=AsOf+AlertDays),1,0))))</f>
        <v/>
      </c>
      <c r="S336" s="79">
        <f>IF(AND(B336&lt;&gt;"",M336="",I336&lt;&gt;""),IF(L336&lt;&gt;"",L336,IF(H336="",0,H336)),0)</f>
        <v/>
      </c>
      <c r="T336" s="79">
        <f>IF(AND(B336&lt;&gt;"",M336="",I336&lt;&gt;""),1/I336,0)</f>
        <v/>
      </c>
      <c r="U336" s="112">
        <f>IF(AND(B336&lt;&gt;"",M336="",I336&lt;&gt;""),I336,"")</f>
        <v/>
      </c>
      <c r="V336" s="79">
        <f>IF(U336="","",IF(U336&lt;AsOf,1,IF(U336&lt;=AsOf+AlertDays,2,IF(U336&lt;=AsOf+2*AlertDays,3,""))))</f>
        <v/>
      </c>
      <c r="W336" s="79">
        <f>IF(V336="","",IF(O336="OVERDUE","Overdue payment: ","Payment due: ")&amp;B336&amp;" — "&amp;C336&amp;" ("&amp;CurSym&amp;" "&amp;FIXED(S336,0)&amp;")")</f>
        <v/>
      </c>
      <c r="Z336" s="116">
        <f>IF('Contractors'!B336="","",'Contractors'!B336)</f>
        <v/>
      </c>
      <c r="AA336" s="77">
        <f>IF(Z336="","",'Contractors'!K336)</f>
        <v/>
      </c>
      <c r="AB336" s="77">
        <f>IF(Z336="","",SUMIFS($L$6:$L$1005,$B$6:$B$1005,Z336))</f>
        <v/>
      </c>
      <c r="AC336" s="77">
        <f>IF(Z336="","",SUMIFS($N$6:$N$1005,$B$6:$B$1005,Z336))</f>
        <v/>
      </c>
      <c r="AD336" s="76">
        <f>IF(Z336="","",AA336-AC336)</f>
        <v/>
      </c>
      <c r="AE336" s="117">
        <f>IF(Z336="","",IFERROR(1/SUMPRODUCT(MAX(($B$6:$B$1005=Z336)*$T$6:$T$1005)),""))</f>
        <v/>
      </c>
      <c r="AF336" s="77">
        <f>IF(AE336="","",SUMIFS($S$6:$S$1005,$B$6:$B$1005,Z336,$I$6:$I$1005,AE336))</f>
        <v/>
      </c>
    </row>
    <row r="337" ht="20" customHeight="1">
      <c r="B337" s="72" t="n"/>
      <c r="C337" s="72" t="n"/>
      <c r="D337" s="72" t="n"/>
      <c r="E337" s="72" t="n"/>
      <c r="F337" s="110" t="n"/>
      <c r="G337" s="73" t="n"/>
      <c r="H337" s="75">
        <f>IF(B337="","",IF(G337&lt;&gt;"",G337,IF(F337&lt;&gt;"",F337*IFERROR(INDEX('Contractors'!$I$6:$I$1005,MATCH(B337,'Contractors'!$B$6:$B$1005,0)),0),"")))</f>
        <v/>
      </c>
      <c r="I337" s="109" t="n"/>
      <c r="J337" s="72" t="n"/>
      <c r="K337" s="109" t="n"/>
      <c r="L337" s="73" t="n"/>
      <c r="M337" s="109" t="n"/>
      <c r="N337" s="73" t="n"/>
      <c r="O337" s="107">
        <f>IF(B337="","",IF(M337&lt;&gt;"","Paid",IF(AND(I337&lt;&gt;"",I337&lt;AsOf),"OVERDUE",IF(OR(K337&lt;&gt;"",L337&lt;&gt;""),"Invoiced","Scheduled"))))</f>
        <v/>
      </c>
      <c r="P337" s="115">
        <f>IF(B337="","",IF(E337&lt;&gt;"",E337,IFERROR(INDEX('Contractors'!$D$6:$D$1005,MATCH(B337,'Contractors'!$B$6:$B$1005,0)),"")))</f>
        <v/>
      </c>
      <c r="Q337" s="79">
        <f>IF(B337="","",IF(D337&lt;&gt;"",D337,IFERROR(INDEX('Contractors'!$E$6:$E$1005,MATCH(B337,'Contractors'!$B$6:$B$1005,0)),"")))</f>
        <v/>
      </c>
      <c r="R337" s="79">
        <f>IF(O337="","",IF(O337="OVERDUE",2,IF(O337="Paid",0,IF(AND(I337&lt;&gt;"",I337&lt;=AsOf+AlertDays),1,0))))</f>
        <v/>
      </c>
      <c r="S337" s="79">
        <f>IF(AND(B337&lt;&gt;"",M337="",I337&lt;&gt;""),IF(L337&lt;&gt;"",L337,IF(H337="",0,H337)),0)</f>
        <v/>
      </c>
      <c r="T337" s="79">
        <f>IF(AND(B337&lt;&gt;"",M337="",I337&lt;&gt;""),1/I337,0)</f>
        <v/>
      </c>
      <c r="U337" s="112">
        <f>IF(AND(B337&lt;&gt;"",M337="",I337&lt;&gt;""),I337,"")</f>
        <v/>
      </c>
      <c r="V337" s="79">
        <f>IF(U337="","",IF(U337&lt;AsOf,1,IF(U337&lt;=AsOf+AlertDays,2,IF(U337&lt;=AsOf+2*AlertDays,3,""))))</f>
        <v/>
      </c>
      <c r="W337" s="79">
        <f>IF(V337="","",IF(O337="OVERDUE","Overdue payment: ","Payment due: ")&amp;B337&amp;" — "&amp;C337&amp;" ("&amp;CurSym&amp;" "&amp;FIXED(S337,0)&amp;")")</f>
        <v/>
      </c>
      <c r="Z337" s="116">
        <f>IF('Contractors'!B337="","",'Contractors'!B337)</f>
        <v/>
      </c>
      <c r="AA337" s="77">
        <f>IF(Z337="","",'Contractors'!K337)</f>
        <v/>
      </c>
      <c r="AB337" s="77">
        <f>IF(Z337="","",SUMIFS($L$6:$L$1005,$B$6:$B$1005,Z337))</f>
        <v/>
      </c>
      <c r="AC337" s="77">
        <f>IF(Z337="","",SUMIFS($N$6:$N$1005,$B$6:$B$1005,Z337))</f>
        <v/>
      </c>
      <c r="AD337" s="76">
        <f>IF(Z337="","",AA337-AC337)</f>
        <v/>
      </c>
      <c r="AE337" s="117">
        <f>IF(Z337="","",IFERROR(1/SUMPRODUCT(MAX(($B$6:$B$1005=Z337)*$T$6:$T$1005)),""))</f>
        <v/>
      </c>
      <c r="AF337" s="77">
        <f>IF(AE337="","",SUMIFS($S$6:$S$1005,$B$6:$B$1005,Z337,$I$6:$I$1005,AE337))</f>
        <v/>
      </c>
    </row>
    <row r="338" ht="20" customHeight="1">
      <c r="B338" s="72" t="n"/>
      <c r="C338" s="72" t="n"/>
      <c r="D338" s="72" t="n"/>
      <c r="E338" s="72" t="n"/>
      <c r="F338" s="110" t="n"/>
      <c r="G338" s="73" t="n"/>
      <c r="H338" s="75">
        <f>IF(B338="","",IF(G338&lt;&gt;"",G338,IF(F338&lt;&gt;"",F338*IFERROR(INDEX('Contractors'!$I$6:$I$1005,MATCH(B338,'Contractors'!$B$6:$B$1005,0)),0),"")))</f>
        <v/>
      </c>
      <c r="I338" s="109" t="n"/>
      <c r="J338" s="72" t="n"/>
      <c r="K338" s="109" t="n"/>
      <c r="L338" s="73" t="n"/>
      <c r="M338" s="109" t="n"/>
      <c r="N338" s="73" t="n"/>
      <c r="O338" s="107">
        <f>IF(B338="","",IF(M338&lt;&gt;"","Paid",IF(AND(I338&lt;&gt;"",I338&lt;AsOf),"OVERDUE",IF(OR(K338&lt;&gt;"",L338&lt;&gt;""),"Invoiced","Scheduled"))))</f>
        <v/>
      </c>
      <c r="P338" s="115">
        <f>IF(B338="","",IF(E338&lt;&gt;"",E338,IFERROR(INDEX('Contractors'!$D$6:$D$1005,MATCH(B338,'Contractors'!$B$6:$B$1005,0)),"")))</f>
        <v/>
      </c>
      <c r="Q338" s="79">
        <f>IF(B338="","",IF(D338&lt;&gt;"",D338,IFERROR(INDEX('Contractors'!$E$6:$E$1005,MATCH(B338,'Contractors'!$B$6:$B$1005,0)),"")))</f>
        <v/>
      </c>
      <c r="R338" s="79">
        <f>IF(O338="","",IF(O338="OVERDUE",2,IF(O338="Paid",0,IF(AND(I338&lt;&gt;"",I338&lt;=AsOf+AlertDays),1,0))))</f>
        <v/>
      </c>
      <c r="S338" s="79">
        <f>IF(AND(B338&lt;&gt;"",M338="",I338&lt;&gt;""),IF(L338&lt;&gt;"",L338,IF(H338="",0,H338)),0)</f>
        <v/>
      </c>
      <c r="T338" s="79">
        <f>IF(AND(B338&lt;&gt;"",M338="",I338&lt;&gt;""),1/I338,0)</f>
        <v/>
      </c>
      <c r="U338" s="112">
        <f>IF(AND(B338&lt;&gt;"",M338="",I338&lt;&gt;""),I338,"")</f>
        <v/>
      </c>
      <c r="V338" s="79">
        <f>IF(U338="","",IF(U338&lt;AsOf,1,IF(U338&lt;=AsOf+AlertDays,2,IF(U338&lt;=AsOf+2*AlertDays,3,""))))</f>
        <v/>
      </c>
      <c r="W338" s="79">
        <f>IF(V338="","",IF(O338="OVERDUE","Overdue payment: ","Payment due: ")&amp;B338&amp;" — "&amp;C338&amp;" ("&amp;CurSym&amp;" "&amp;FIXED(S338,0)&amp;")")</f>
        <v/>
      </c>
      <c r="Z338" s="116">
        <f>IF('Contractors'!B338="","",'Contractors'!B338)</f>
        <v/>
      </c>
      <c r="AA338" s="77">
        <f>IF(Z338="","",'Contractors'!K338)</f>
        <v/>
      </c>
      <c r="AB338" s="77">
        <f>IF(Z338="","",SUMIFS($L$6:$L$1005,$B$6:$B$1005,Z338))</f>
        <v/>
      </c>
      <c r="AC338" s="77">
        <f>IF(Z338="","",SUMIFS($N$6:$N$1005,$B$6:$B$1005,Z338))</f>
        <v/>
      </c>
      <c r="AD338" s="76">
        <f>IF(Z338="","",AA338-AC338)</f>
        <v/>
      </c>
      <c r="AE338" s="117">
        <f>IF(Z338="","",IFERROR(1/SUMPRODUCT(MAX(($B$6:$B$1005=Z338)*$T$6:$T$1005)),""))</f>
        <v/>
      </c>
      <c r="AF338" s="77">
        <f>IF(AE338="","",SUMIFS($S$6:$S$1005,$B$6:$B$1005,Z338,$I$6:$I$1005,AE338))</f>
        <v/>
      </c>
    </row>
    <row r="339" ht="20" customHeight="1">
      <c r="B339" s="72" t="n"/>
      <c r="C339" s="72" t="n"/>
      <c r="D339" s="72" t="n"/>
      <c r="E339" s="72" t="n"/>
      <c r="F339" s="110" t="n"/>
      <c r="G339" s="73" t="n"/>
      <c r="H339" s="75">
        <f>IF(B339="","",IF(G339&lt;&gt;"",G339,IF(F339&lt;&gt;"",F339*IFERROR(INDEX('Contractors'!$I$6:$I$1005,MATCH(B339,'Contractors'!$B$6:$B$1005,0)),0),"")))</f>
        <v/>
      </c>
      <c r="I339" s="109" t="n"/>
      <c r="J339" s="72" t="n"/>
      <c r="K339" s="109" t="n"/>
      <c r="L339" s="73" t="n"/>
      <c r="M339" s="109" t="n"/>
      <c r="N339" s="73" t="n"/>
      <c r="O339" s="107">
        <f>IF(B339="","",IF(M339&lt;&gt;"","Paid",IF(AND(I339&lt;&gt;"",I339&lt;AsOf),"OVERDUE",IF(OR(K339&lt;&gt;"",L339&lt;&gt;""),"Invoiced","Scheduled"))))</f>
        <v/>
      </c>
      <c r="P339" s="115">
        <f>IF(B339="","",IF(E339&lt;&gt;"",E339,IFERROR(INDEX('Contractors'!$D$6:$D$1005,MATCH(B339,'Contractors'!$B$6:$B$1005,0)),"")))</f>
        <v/>
      </c>
      <c r="Q339" s="79">
        <f>IF(B339="","",IF(D339&lt;&gt;"",D339,IFERROR(INDEX('Contractors'!$E$6:$E$1005,MATCH(B339,'Contractors'!$B$6:$B$1005,0)),"")))</f>
        <v/>
      </c>
      <c r="R339" s="79">
        <f>IF(O339="","",IF(O339="OVERDUE",2,IF(O339="Paid",0,IF(AND(I339&lt;&gt;"",I339&lt;=AsOf+AlertDays),1,0))))</f>
        <v/>
      </c>
      <c r="S339" s="79">
        <f>IF(AND(B339&lt;&gt;"",M339="",I339&lt;&gt;""),IF(L339&lt;&gt;"",L339,IF(H339="",0,H339)),0)</f>
        <v/>
      </c>
      <c r="T339" s="79">
        <f>IF(AND(B339&lt;&gt;"",M339="",I339&lt;&gt;""),1/I339,0)</f>
        <v/>
      </c>
      <c r="U339" s="112">
        <f>IF(AND(B339&lt;&gt;"",M339="",I339&lt;&gt;""),I339,"")</f>
        <v/>
      </c>
      <c r="V339" s="79">
        <f>IF(U339="","",IF(U339&lt;AsOf,1,IF(U339&lt;=AsOf+AlertDays,2,IF(U339&lt;=AsOf+2*AlertDays,3,""))))</f>
        <v/>
      </c>
      <c r="W339" s="79">
        <f>IF(V339="","",IF(O339="OVERDUE","Overdue payment: ","Payment due: ")&amp;B339&amp;" — "&amp;C339&amp;" ("&amp;CurSym&amp;" "&amp;FIXED(S339,0)&amp;")")</f>
        <v/>
      </c>
      <c r="Z339" s="116">
        <f>IF('Contractors'!B339="","",'Contractors'!B339)</f>
        <v/>
      </c>
      <c r="AA339" s="77">
        <f>IF(Z339="","",'Contractors'!K339)</f>
        <v/>
      </c>
      <c r="AB339" s="77">
        <f>IF(Z339="","",SUMIFS($L$6:$L$1005,$B$6:$B$1005,Z339))</f>
        <v/>
      </c>
      <c r="AC339" s="77">
        <f>IF(Z339="","",SUMIFS($N$6:$N$1005,$B$6:$B$1005,Z339))</f>
        <v/>
      </c>
      <c r="AD339" s="76">
        <f>IF(Z339="","",AA339-AC339)</f>
        <v/>
      </c>
      <c r="AE339" s="117">
        <f>IF(Z339="","",IFERROR(1/SUMPRODUCT(MAX(($B$6:$B$1005=Z339)*$T$6:$T$1005)),""))</f>
        <v/>
      </c>
      <c r="AF339" s="77">
        <f>IF(AE339="","",SUMIFS($S$6:$S$1005,$B$6:$B$1005,Z339,$I$6:$I$1005,AE339))</f>
        <v/>
      </c>
    </row>
    <row r="340" ht="20" customHeight="1">
      <c r="B340" s="72" t="n"/>
      <c r="C340" s="72" t="n"/>
      <c r="D340" s="72" t="n"/>
      <c r="E340" s="72" t="n"/>
      <c r="F340" s="110" t="n"/>
      <c r="G340" s="73" t="n"/>
      <c r="H340" s="75">
        <f>IF(B340="","",IF(G340&lt;&gt;"",G340,IF(F340&lt;&gt;"",F340*IFERROR(INDEX('Contractors'!$I$6:$I$1005,MATCH(B340,'Contractors'!$B$6:$B$1005,0)),0),"")))</f>
        <v/>
      </c>
      <c r="I340" s="109" t="n"/>
      <c r="J340" s="72" t="n"/>
      <c r="K340" s="109" t="n"/>
      <c r="L340" s="73" t="n"/>
      <c r="M340" s="109" t="n"/>
      <c r="N340" s="73" t="n"/>
      <c r="O340" s="107">
        <f>IF(B340="","",IF(M340&lt;&gt;"","Paid",IF(AND(I340&lt;&gt;"",I340&lt;AsOf),"OVERDUE",IF(OR(K340&lt;&gt;"",L340&lt;&gt;""),"Invoiced","Scheduled"))))</f>
        <v/>
      </c>
      <c r="P340" s="115">
        <f>IF(B340="","",IF(E340&lt;&gt;"",E340,IFERROR(INDEX('Contractors'!$D$6:$D$1005,MATCH(B340,'Contractors'!$B$6:$B$1005,0)),"")))</f>
        <v/>
      </c>
      <c r="Q340" s="79">
        <f>IF(B340="","",IF(D340&lt;&gt;"",D340,IFERROR(INDEX('Contractors'!$E$6:$E$1005,MATCH(B340,'Contractors'!$B$6:$B$1005,0)),"")))</f>
        <v/>
      </c>
      <c r="R340" s="79">
        <f>IF(O340="","",IF(O340="OVERDUE",2,IF(O340="Paid",0,IF(AND(I340&lt;&gt;"",I340&lt;=AsOf+AlertDays),1,0))))</f>
        <v/>
      </c>
      <c r="S340" s="79">
        <f>IF(AND(B340&lt;&gt;"",M340="",I340&lt;&gt;""),IF(L340&lt;&gt;"",L340,IF(H340="",0,H340)),0)</f>
        <v/>
      </c>
      <c r="T340" s="79">
        <f>IF(AND(B340&lt;&gt;"",M340="",I340&lt;&gt;""),1/I340,0)</f>
        <v/>
      </c>
      <c r="U340" s="112">
        <f>IF(AND(B340&lt;&gt;"",M340="",I340&lt;&gt;""),I340,"")</f>
        <v/>
      </c>
      <c r="V340" s="79">
        <f>IF(U340="","",IF(U340&lt;AsOf,1,IF(U340&lt;=AsOf+AlertDays,2,IF(U340&lt;=AsOf+2*AlertDays,3,""))))</f>
        <v/>
      </c>
      <c r="W340" s="79">
        <f>IF(V340="","",IF(O340="OVERDUE","Overdue payment: ","Payment due: ")&amp;B340&amp;" — "&amp;C340&amp;" ("&amp;CurSym&amp;" "&amp;FIXED(S340,0)&amp;")")</f>
        <v/>
      </c>
      <c r="Z340" s="116">
        <f>IF('Contractors'!B340="","",'Contractors'!B340)</f>
        <v/>
      </c>
      <c r="AA340" s="77">
        <f>IF(Z340="","",'Contractors'!K340)</f>
        <v/>
      </c>
      <c r="AB340" s="77">
        <f>IF(Z340="","",SUMIFS($L$6:$L$1005,$B$6:$B$1005,Z340))</f>
        <v/>
      </c>
      <c r="AC340" s="77">
        <f>IF(Z340="","",SUMIFS($N$6:$N$1005,$B$6:$B$1005,Z340))</f>
        <v/>
      </c>
      <c r="AD340" s="76">
        <f>IF(Z340="","",AA340-AC340)</f>
        <v/>
      </c>
      <c r="AE340" s="117">
        <f>IF(Z340="","",IFERROR(1/SUMPRODUCT(MAX(($B$6:$B$1005=Z340)*$T$6:$T$1005)),""))</f>
        <v/>
      </c>
      <c r="AF340" s="77">
        <f>IF(AE340="","",SUMIFS($S$6:$S$1005,$B$6:$B$1005,Z340,$I$6:$I$1005,AE340))</f>
        <v/>
      </c>
    </row>
    <row r="341" ht="20" customHeight="1">
      <c r="B341" s="72" t="n"/>
      <c r="C341" s="72" t="n"/>
      <c r="D341" s="72" t="n"/>
      <c r="E341" s="72" t="n"/>
      <c r="F341" s="110" t="n"/>
      <c r="G341" s="73" t="n"/>
      <c r="H341" s="75">
        <f>IF(B341="","",IF(G341&lt;&gt;"",G341,IF(F341&lt;&gt;"",F341*IFERROR(INDEX('Contractors'!$I$6:$I$1005,MATCH(B341,'Contractors'!$B$6:$B$1005,0)),0),"")))</f>
        <v/>
      </c>
      <c r="I341" s="109" t="n"/>
      <c r="J341" s="72" t="n"/>
      <c r="K341" s="109" t="n"/>
      <c r="L341" s="73" t="n"/>
      <c r="M341" s="109" t="n"/>
      <c r="N341" s="73" t="n"/>
      <c r="O341" s="107">
        <f>IF(B341="","",IF(M341&lt;&gt;"","Paid",IF(AND(I341&lt;&gt;"",I341&lt;AsOf),"OVERDUE",IF(OR(K341&lt;&gt;"",L341&lt;&gt;""),"Invoiced","Scheduled"))))</f>
        <v/>
      </c>
      <c r="P341" s="115">
        <f>IF(B341="","",IF(E341&lt;&gt;"",E341,IFERROR(INDEX('Contractors'!$D$6:$D$1005,MATCH(B341,'Contractors'!$B$6:$B$1005,0)),"")))</f>
        <v/>
      </c>
      <c r="Q341" s="79">
        <f>IF(B341="","",IF(D341&lt;&gt;"",D341,IFERROR(INDEX('Contractors'!$E$6:$E$1005,MATCH(B341,'Contractors'!$B$6:$B$1005,0)),"")))</f>
        <v/>
      </c>
      <c r="R341" s="79">
        <f>IF(O341="","",IF(O341="OVERDUE",2,IF(O341="Paid",0,IF(AND(I341&lt;&gt;"",I341&lt;=AsOf+AlertDays),1,0))))</f>
        <v/>
      </c>
      <c r="S341" s="79">
        <f>IF(AND(B341&lt;&gt;"",M341="",I341&lt;&gt;""),IF(L341&lt;&gt;"",L341,IF(H341="",0,H341)),0)</f>
        <v/>
      </c>
      <c r="T341" s="79">
        <f>IF(AND(B341&lt;&gt;"",M341="",I341&lt;&gt;""),1/I341,0)</f>
        <v/>
      </c>
      <c r="U341" s="112">
        <f>IF(AND(B341&lt;&gt;"",M341="",I341&lt;&gt;""),I341,"")</f>
        <v/>
      </c>
      <c r="V341" s="79">
        <f>IF(U341="","",IF(U341&lt;AsOf,1,IF(U341&lt;=AsOf+AlertDays,2,IF(U341&lt;=AsOf+2*AlertDays,3,""))))</f>
        <v/>
      </c>
      <c r="W341" s="79">
        <f>IF(V341="","",IF(O341="OVERDUE","Overdue payment: ","Payment due: ")&amp;B341&amp;" — "&amp;C341&amp;" ("&amp;CurSym&amp;" "&amp;FIXED(S341,0)&amp;")")</f>
        <v/>
      </c>
      <c r="Z341" s="116">
        <f>IF('Contractors'!B341="","",'Contractors'!B341)</f>
        <v/>
      </c>
      <c r="AA341" s="77">
        <f>IF(Z341="","",'Contractors'!K341)</f>
        <v/>
      </c>
      <c r="AB341" s="77">
        <f>IF(Z341="","",SUMIFS($L$6:$L$1005,$B$6:$B$1005,Z341))</f>
        <v/>
      </c>
      <c r="AC341" s="77">
        <f>IF(Z341="","",SUMIFS($N$6:$N$1005,$B$6:$B$1005,Z341))</f>
        <v/>
      </c>
      <c r="AD341" s="76">
        <f>IF(Z341="","",AA341-AC341)</f>
        <v/>
      </c>
      <c r="AE341" s="117">
        <f>IF(Z341="","",IFERROR(1/SUMPRODUCT(MAX(($B$6:$B$1005=Z341)*$T$6:$T$1005)),""))</f>
        <v/>
      </c>
      <c r="AF341" s="77">
        <f>IF(AE341="","",SUMIFS($S$6:$S$1005,$B$6:$B$1005,Z341,$I$6:$I$1005,AE341))</f>
        <v/>
      </c>
    </row>
    <row r="342" ht="20" customHeight="1">
      <c r="B342" s="72" t="n"/>
      <c r="C342" s="72" t="n"/>
      <c r="D342" s="72" t="n"/>
      <c r="E342" s="72" t="n"/>
      <c r="F342" s="110" t="n"/>
      <c r="G342" s="73" t="n"/>
      <c r="H342" s="75">
        <f>IF(B342="","",IF(G342&lt;&gt;"",G342,IF(F342&lt;&gt;"",F342*IFERROR(INDEX('Contractors'!$I$6:$I$1005,MATCH(B342,'Contractors'!$B$6:$B$1005,0)),0),"")))</f>
        <v/>
      </c>
      <c r="I342" s="109" t="n"/>
      <c r="J342" s="72" t="n"/>
      <c r="K342" s="109" t="n"/>
      <c r="L342" s="73" t="n"/>
      <c r="M342" s="109" t="n"/>
      <c r="N342" s="73" t="n"/>
      <c r="O342" s="107">
        <f>IF(B342="","",IF(M342&lt;&gt;"","Paid",IF(AND(I342&lt;&gt;"",I342&lt;AsOf),"OVERDUE",IF(OR(K342&lt;&gt;"",L342&lt;&gt;""),"Invoiced","Scheduled"))))</f>
        <v/>
      </c>
      <c r="P342" s="115">
        <f>IF(B342="","",IF(E342&lt;&gt;"",E342,IFERROR(INDEX('Contractors'!$D$6:$D$1005,MATCH(B342,'Contractors'!$B$6:$B$1005,0)),"")))</f>
        <v/>
      </c>
      <c r="Q342" s="79">
        <f>IF(B342="","",IF(D342&lt;&gt;"",D342,IFERROR(INDEX('Contractors'!$E$6:$E$1005,MATCH(B342,'Contractors'!$B$6:$B$1005,0)),"")))</f>
        <v/>
      </c>
      <c r="R342" s="79">
        <f>IF(O342="","",IF(O342="OVERDUE",2,IF(O342="Paid",0,IF(AND(I342&lt;&gt;"",I342&lt;=AsOf+AlertDays),1,0))))</f>
        <v/>
      </c>
      <c r="S342" s="79">
        <f>IF(AND(B342&lt;&gt;"",M342="",I342&lt;&gt;""),IF(L342&lt;&gt;"",L342,IF(H342="",0,H342)),0)</f>
        <v/>
      </c>
      <c r="T342" s="79">
        <f>IF(AND(B342&lt;&gt;"",M342="",I342&lt;&gt;""),1/I342,0)</f>
        <v/>
      </c>
      <c r="U342" s="112">
        <f>IF(AND(B342&lt;&gt;"",M342="",I342&lt;&gt;""),I342,"")</f>
        <v/>
      </c>
      <c r="V342" s="79">
        <f>IF(U342="","",IF(U342&lt;AsOf,1,IF(U342&lt;=AsOf+AlertDays,2,IF(U342&lt;=AsOf+2*AlertDays,3,""))))</f>
        <v/>
      </c>
      <c r="W342" s="79">
        <f>IF(V342="","",IF(O342="OVERDUE","Overdue payment: ","Payment due: ")&amp;B342&amp;" — "&amp;C342&amp;" ("&amp;CurSym&amp;" "&amp;FIXED(S342,0)&amp;")")</f>
        <v/>
      </c>
      <c r="Z342" s="116">
        <f>IF('Contractors'!B342="","",'Contractors'!B342)</f>
        <v/>
      </c>
      <c r="AA342" s="77">
        <f>IF(Z342="","",'Contractors'!K342)</f>
        <v/>
      </c>
      <c r="AB342" s="77">
        <f>IF(Z342="","",SUMIFS($L$6:$L$1005,$B$6:$B$1005,Z342))</f>
        <v/>
      </c>
      <c r="AC342" s="77">
        <f>IF(Z342="","",SUMIFS($N$6:$N$1005,$B$6:$B$1005,Z342))</f>
        <v/>
      </c>
      <c r="AD342" s="76">
        <f>IF(Z342="","",AA342-AC342)</f>
        <v/>
      </c>
      <c r="AE342" s="117">
        <f>IF(Z342="","",IFERROR(1/SUMPRODUCT(MAX(($B$6:$B$1005=Z342)*$T$6:$T$1005)),""))</f>
        <v/>
      </c>
      <c r="AF342" s="77">
        <f>IF(AE342="","",SUMIFS($S$6:$S$1005,$B$6:$B$1005,Z342,$I$6:$I$1005,AE342))</f>
        <v/>
      </c>
    </row>
    <row r="343" ht="20" customHeight="1">
      <c r="B343" s="72" t="n"/>
      <c r="C343" s="72" t="n"/>
      <c r="D343" s="72" t="n"/>
      <c r="E343" s="72" t="n"/>
      <c r="F343" s="110" t="n"/>
      <c r="G343" s="73" t="n"/>
      <c r="H343" s="75">
        <f>IF(B343="","",IF(G343&lt;&gt;"",G343,IF(F343&lt;&gt;"",F343*IFERROR(INDEX('Contractors'!$I$6:$I$1005,MATCH(B343,'Contractors'!$B$6:$B$1005,0)),0),"")))</f>
        <v/>
      </c>
      <c r="I343" s="109" t="n"/>
      <c r="J343" s="72" t="n"/>
      <c r="K343" s="109" t="n"/>
      <c r="L343" s="73" t="n"/>
      <c r="M343" s="109" t="n"/>
      <c r="N343" s="73" t="n"/>
      <c r="O343" s="107">
        <f>IF(B343="","",IF(M343&lt;&gt;"","Paid",IF(AND(I343&lt;&gt;"",I343&lt;AsOf),"OVERDUE",IF(OR(K343&lt;&gt;"",L343&lt;&gt;""),"Invoiced","Scheduled"))))</f>
        <v/>
      </c>
      <c r="P343" s="115">
        <f>IF(B343="","",IF(E343&lt;&gt;"",E343,IFERROR(INDEX('Contractors'!$D$6:$D$1005,MATCH(B343,'Contractors'!$B$6:$B$1005,0)),"")))</f>
        <v/>
      </c>
      <c r="Q343" s="79">
        <f>IF(B343="","",IF(D343&lt;&gt;"",D343,IFERROR(INDEX('Contractors'!$E$6:$E$1005,MATCH(B343,'Contractors'!$B$6:$B$1005,0)),"")))</f>
        <v/>
      </c>
      <c r="R343" s="79">
        <f>IF(O343="","",IF(O343="OVERDUE",2,IF(O343="Paid",0,IF(AND(I343&lt;&gt;"",I343&lt;=AsOf+AlertDays),1,0))))</f>
        <v/>
      </c>
      <c r="S343" s="79">
        <f>IF(AND(B343&lt;&gt;"",M343="",I343&lt;&gt;""),IF(L343&lt;&gt;"",L343,IF(H343="",0,H343)),0)</f>
        <v/>
      </c>
      <c r="T343" s="79">
        <f>IF(AND(B343&lt;&gt;"",M343="",I343&lt;&gt;""),1/I343,0)</f>
        <v/>
      </c>
      <c r="U343" s="112">
        <f>IF(AND(B343&lt;&gt;"",M343="",I343&lt;&gt;""),I343,"")</f>
        <v/>
      </c>
      <c r="V343" s="79">
        <f>IF(U343="","",IF(U343&lt;AsOf,1,IF(U343&lt;=AsOf+AlertDays,2,IF(U343&lt;=AsOf+2*AlertDays,3,""))))</f>
        <v/>
      </c>
      <c r="W343" s="79">
        <f>IF(V343="","",IF(O343="OVERDUE","Overdue payment: ","Payment due: ")&amp;B343&amp;" — "&amp;C343&amp;" ("&amp;CurSym&amp;" "&amp;FIXED(S343,0)&amp;")")</f>
        <v/>
      </c>
      <c r="Z343" s="116">
        <f>IF('Contractors'!B343="","",'Contractors'!B343)</f>
        <v/>
      </c>
      <c r="AA343" s="77">
        <f>IF(Z343="","",'Contractors'!K343)</f>
        <v/>
      </c>
      <c r="AB343" s="77">
        <f>IF(Z343="","",SUMIFS($L$6:$L$1005,$B$6:$B$1005,Z343))</f>
        <v/>
      </c>
      <c r="AC343" s="77">
        <f>IF(Z343="","",SUMIFS($N$6:$N$1005,$B$6:$B$1005,Z343))</f>
        <v/>
      </c>
      <c r="AD343" s="76">
        <f>IF(Z343="","",AA343-AC343)</f>
        <v/>
      </c>
      <c r="AE343" s="117">
        <f>IF(Z343="","",IFERROR(1/SUMPRODUCT(MAX(($B$6:$B$1005=Z343)*$T$6:$T$1005)),""))</f>
        <v/>
      </c>
      <c r="AF343" s="77">
        <f>IF(AE343="","",SUMIFS($S$6:$S$1005,$B$6:$B$1005,Z343,$I$6:$I$1005,AE343))</f>
        <v/>
      </c>
    </row>
    <row r="344" ht="20" customHeight="1">
      <c r="B344" s="72" t="n"/>
      <c r="C344" s="72" t="n"/>
      <c r="D344" s="72" t="n"/>
      <c r="E344" s="72" t="n"/>
      <c r="F344" s="110" t="n"/>
      <c r="G344" s="73" t="n"/>
      <c r="H344" s="75">
        <f>IF(B344="","",IF(G344&lt;&gt;"",G344,IF(F344&lt;&gt;"",F344*IFERROR(INDEX('Contractors'!$I$6:$I$1005,MATCH(B344,'Contractors'!$B$6:$B$1005,0)),0),"")))</f>
        <v/>
      </c>
      <c r="I344" s="109" t="n"/>
      <c r="J344" s="72" t="n"/>
      <c r="K344" s="109" t="n"/>
      <c r="L344" s="73" t="n"/>
      <c r="M344" s="109" t="n"/>
      <c r="N344" s="73" t="n"/>
      <c r="O344" s="107">
        <f>IF(B344="","",IF(M344&lt;&gt;"","Paid",IF(AND(I344&lt;&gt;"",I344&lt;AsOf),"OVERDUE",IF(OR(K344&lt;&gt;"",L344&lt;&gt;""),"Invoiced","Scheduled"))))</f>
        <v/>
      </c>
      <c r="P344" s="115">
        <f>IF(B344="","",IF(E344&lt;&gt;"",E344,IFERROR(INDEX('Contractors'!$D$6:$D$1005,MATCH(B344,'Contractors'!$B$6:$B$1005,0)),"")))</f>
        <v/>
      </c>
      <c r="Q344" s="79">
        <f>IF(B344="","",IF(D344&lt;&gt;"",D344,IFERROR(INDEX('Contractors'!$E$6:$E$1005,MATCH(B344,'Contractors'!$B$6:$B$1005,0)),"")))</f>
        <v/>
      </c>
      <c r="R344" s="79">
        <f>IF(O344="","",IF(O344="OVERDUE",2,IF(O344="Paid",0,IF(AND(I344&lt;&gt;"",I344&lt;=AsOf+AlertDays),1,0))))</f>
        <v/>
      </c>
      <c r="S344" s="79">
        <f>IF(AND(B344&lt;&gt;"",M344="",I344&lt;&gt;""),IF(L344&lt;&gt;"",L344,IF(H344="",0,H344)),0)</f>
        <v/>
      </c>
      <c r="T344" s="79">
        <f>IF(AND(B344&lt;&gt;"",M344="",I344&lt;&gt;""),1/I344,0)</f>
        <v/>
      </c>
      <c r="U344" s="112">
        <f>IF(AND(B344&lt;&gt;"",M344="",I344&lt;&gt;""),I344,"")</f>
        <v/>
      </c>
      <c r="V344" s="79">
        <f>IF(U344="","",IF(U344&lt;AsOf,1,IF(U344&lt;=AsOf+AlertDays,2,IF(U344&lt;=AsOf+2*AlertDays,3,""))))</f>
        <v/>
      </c>
      <c r="W344" s="79">
        <f>IF(V344="","",IF(O344="OVERDUE","Overdue payment: ","Payment due: ")&amp;B344&amp;" — "&amp;C344&amp;" ("&amp;CurSym&amp;" "&amp;FIXED(S344,0)&amp;")")</f>
        <v/>
      </c>
      <c r="Z344" s="116">
        <f>IF('Contractors'!B344="","",'Contractors'!B344)</f>
        <v/>
      </c>
      <c r="AA344" s="77">
        <f>IF(Z344="","",'Contractors'!K344)</f>
        <v/>
      </c>
      <c r="AB344" s="77">
        <f>IF(Z344="","",SUMIFS($L$6:$L$1005,$B$6:$B$1005,Z344))</f>
        <v/>
      </c>
      <c r="AC344" s="77">
        <f>IF(Z344="","",SUMIFS($N$6:$N$1005,$B$6:$B$1005,Z344))</f>
        <v/>
      </c>
      <c r="AD344" s="76">
        <f>IF(Z344="","",AA344-AC344)</f>
        <v/>
      </c>
      <c r="AE344" s="117">
        <f>IF(Z344="","",IFERROR(1/SUMPRODUCT(MAX(($B$6:$B$1005=Z344)*$T$6:$T$1005)),""))</f>
        <v/>
      </c>
      <c r="AF344" s="77">
        <f>IF(AE344="","",SUMIFS($S$6:$S$1005,$B$6:$B$1005,Z344,$I$6:$I$1005,AE344))</f>
        <v/>
      </c>
    </row>
    <row r="345" ht="20" customHeight="1">
      <c r="B345" s="72" t="n"/>
      <c r="C345" s="72" t="n"/>
      <c r="D345" s="72" t="n"/>
      <c r="E345" s="72" t="n"/>
      <c r="F345" s="110" t="n"/>
      <c r="G345" s="73" t="n"/>
      <c r="H345" s="75">
        <f>IF(B345="","",IF(G345&lt;&gt;"",G345,IF(F345&lt;&gt;"",F345*IFERROR(INDEX('Contractors'!$I$6:$I$1005,MATCH(B345,'Contractors'!$B$6:$B$1005,0)),0),"")))</f>
        <v/>
      </c>
      <c r="I345" s="109" t="n"/>
      <c r="J345" s="72" t="n"/>
      <c r="K345" s="109" t="n"/>
      <c r="L345" s="73" t="n"/>
      <c r="M345" s="109" t="n"/>
      <c r="N345" s="73" t="n"/>
      <c r="O345" s="107">
        <f>IF(B345="","",IF(M345&lt;&gt;"","Paid",IF(AND(I345&lt;&gt;"",I345&lt;AsOf),"OVERDUE",IF(OR(K345&lt;&gt;"",L345&lt;&gt;""),"Invoiced","Scheduled"))))</f>
        <v/>
      </c>
      <c r="P345" s="115">
        <f>IF(B345="","",IF(E345&lt;&gt;"",E345,IFERROR(INDEX('Contractors'!$D$6:$D$1005,MATCH(B345,'Contractors'!$B$6:$B$1005,0)),"")))</f>
        <v/>
      </c>
      <c r="Q345" s="79">
        <f>IF(B345="","",IF(D345&lt;&gt;"",D345,IFERROR(INDEX('Contractors'!$E$6:$E$1005,MATCH(B345,'Contractors'!$B$6:$B$1005,0)),"")))</f>
        <v/>
      </c>
      <c r="R345" s="79">
        <f>IF(O345="","",IF(O345="OVERDUE",2,IF(O345="Paid",0,IF(AND(I345&lt;&gt;"",I345&lt;=AsOf+AlertDays),1,0))))</f>
        <v/>
      </c>
      <c r="S345" s="79">
        <f>IF(AND(B345&lt;&gt;"",M345="",I345&lt;&gt;""),IF(L345&lt;&gt;"",L345,IF(H345="",0,H345)),0)</f>
        <v/>
      </c>
      <c r="T345" s="79">
        <f>IF(AND(B345&lt;&gt;"",M345="",I345&lt;&gt;""),1/I345,0)</f>
        <v/>
      </c>
      <c r="U345" s="112">
        <f>IF(AND(B345&lt;&gt;"",M345="",I345&lt;&gt;""),I345,"")</f>
        <v/>
      </c>
      <c r="V345" s="79">
        <f>IF(U345="","",IF(U345&lt;AsOf,1,IF(U345&lt;=AsOf+AlertDays,2,IF(U345&lt;=AsOf+2*AlertDays,3,""))))</f>
        <v/>
      </c>
      <c r="W345" s="79">
        <f>IF(V345="","",IF(O345="OVERDUE","Overdue payment: ","Payment due: ")&amp;B345&amp;" — "&amp;C345&amp;" ("&amp;CurSym&amp;" "&amp;FIXED(S345,0)&amp;")")</f>
        <v/>
      </c>
      <c r="Z345" s="116">
        <f>IF('Contractors'!B345="","",'Contractors'!B345)</f>
        <v/>
      </c>
      <c r="AA345" s="77">
        <f>IF(Z345="","",'Contractors'!K345)</f>
        <v/>
      </c>
      <c r="AB345" s="77">
        <f>IF(Z345="","",SUMIFS($L$6:$L$1005,$B$6:$B$1005,Z345))</f>
        <v/>
      </c>
      <c r="AC345" s="77">
        <f>IF(Z345="","",SUMIFS($N$6:$N$1005,$B$6:$B$1005,Z345))</f>
        <v/>
      </c>
      <c r="AD345" s="76">
        <f>IF(Z345="","",AA345-AC345)</f>
        <v/>
      </c>
      <c r="AE345" s="117">
        <f>IF(Z345="","",IFERROR(1/SUMPRODUCT(MAX(($B$6:$B$1005=Z345)*$T$6:$T$1005)),""))</f>
        <v/>
      </c>
      <c r="AF345" s="77">
        <f>IF(AE345="","",SUMIFS($S$6:$S$1005,$B$6:$B$1005,Z345,$I$6:$I$1005,AE345))</f>
        <v/>
      </c>
    </row>
    <row r="346" ht="20" customHeight="1">
      <c r="B346" s="72" t="n"/>
      <c r="C346" s="72" t="n"/>
      <c r="D346" s="72" t="n"/>
      <c r="E346" s="72" t="n"/>
      <c r="F346" s="110" t="n"/>
      <c r="G346" s="73" t="n"/>
      <c r="H346" s="75">
        <f>IF(B346="","",IF(G346&lt;&gt;"",G346,IF(F346&lt;&gt;"",F346*IFERROR(INDEX('Contractors'!$I$6:$I$1005,MATCH(B346,'Contractors'!$B$6:$B$1005,0)),0),"")))</f>
        <v/>
      </c>
      <c r="I346" s="109" t="n"/>
      <c r="J346" s="72" t="n"/>
      <c r="K346" s="109" t="n"/>
      <c r="L346" s="73" t="n"/>
      <c r="M346" s="109" t="n"/>
      <c r="N346" s="73" t="n"/>
      <c r="O346" s="107">
        <f>IF(B346="","",IF(M346&lt;&gt;"","Paid",IF(AND(I346&lt;&gt;"",I346&lt;AsOf),"OVERDUE",IF(OR(K346&lt;&gt;"",L346&lt;&gt;""),"Invoiced","Scheduled"))))</f>
        <v/>
      </c>
      <c r="P346" s="115">
        <f>IF(B346="","",IF(E346&lt;&gt;"",E346,IFERROR(INDEX('Contractors'!$D$6:$D$1005,MATCH(B346,'Contractors'!$B$6:$B$1005,0)),"")))</f>
        <v/>
      </c>
      <c r="Q346" s="79">
        <f>IF(B346="","",IF(D346&lt;&gt;"",D346,IFERROR(INDEX('Contractors'!$E$6:$E$1005,MATCH(B346,'Contractors'!$B$6:$B$1005,0)),"")))</f>
        <v/>
      </c>
      <c r="R346" s="79">
        <f>IF(O346="","",IF(O346="OVERDUE",2,IF(O346="Paid",0,IF(AND(I346&lt;&gt;"",I346&lt;=AsOf+AlertDays),1,0))))</f>
        <v/>
      </c>
      <c r="S346" s="79">
        <f>IF(AND(B346&lt;&gt;"",M346="",I346&lt;&gt;""),IF(L346&lt;&gt;"",L346,IF(H346="",0,H346)),0)</f>
        <v/>
      </c>
      <c r="T346" s="79">
        <f>IF(AND(B346&lt;&gt;"",M346="",I346&lt;&gt;""),1/I346,0)</f>
        <v/>
      </c>
      <c r="U346" s="112">
        <f>IF(AND(B346&lt;&gt;"",M346="",I346&lt;&gt;""),I346,"")</f>
        <v/>
      </c>
      <c r="V346" s="79">
        <f>IF(U346="","",IF(U346&lt;AsOf,1,IF(U346&lt;=AsOf+AlertDays,2,IF(U346&lt;=AsOf+2*AlertDays,3,""))))</f>
        <v/>
      </c>
      <c r="W346" s="79">
        <f>IF(V346="","",IF(O346="OVERDUE","Overdue payment: ","Payment due: ")&amp;B346&amp;" — "&amp;C346&amp;" ("&amp;CurSym&amp;" "&amp;FIXED(S346,0)&amp;")")</f>
        <v/>
      </c>
      <c r="Z346" s="116">
        <f>IF('Contractors'!B346="","",'Contractors'!B346)</f>
        <v/>
      </c>
      <c r="AA346" s="77">
        <f>IF(Z346="","",'Contractors'!K346)</f>
        <v/>
      </c>
      <c r="AB346" s="77">
        <f>IF(Z346="","",SUMIFS($L$6:$L$1005,$B$6:$B$1005,Z346))</f>
        <v/>
      </c>
      <c r="AC346" s="77">
        <f>IF(Z346="","",SUMIFS($N$6:$N$1005,$B$6:$B$1005,Z346))</f>
        <v/>
      </c>
      <c r="AD346" s="76">
        <f>IF(Z346="","",AA346-AC346)</f>
        <v/>
      </c>
      <c r="AE346" s="117">
        <f>IF(Z346="","",IFERROR(1/SUMPRODUCT(MAX(($B$6:$B$1005=Z346)*$T$6:$T$1005)),""))</f>
        <v/>
      </c>
      <c r="AF346" s="77">
        <f>IF(AE346="","",SUMIFS($S$6:$S$1005,$B$6:$B$1005,Z346,$I$6:$I$1005,AE346))</f>
        <v/>
      </c>
    </row>
    <row r="347" ht="20" customHeight="1">
      <c r="B347" s="72" t="n"/>
      <c r="C347" s="72" t="n"/>
      <c r="D347" s="72" t="n"/>
      <c r="E347" s="72" t="n"/>
      <c r="F347" s="110" t="n"/>
      <c r="G347" s="73" t="n"/>
      <c r="H347" s="75">
        <f>IF(B347="","",IF(G347&lt;&gt;"",G347,IF(F347&lt;&gt;"",F347*IFERROR(INDEX('Contractors'!$I$6:$I$1005,MATCH(B347,'Contractors'!$B$6:$B$1005,0)),0),"")))</f>
        <v/>
      </c>
      <c r="I347" s="109" t="n"/>
      <c r="J347" s="72" t="n"/>
      <c r="K347" s="109" t="n"/>
      <c r="L347" s="73" t="n"/>
      <c r="M347" s="109" t="n"/>
      <c r="N347" s="73" t="n"/>
      <c r="O347" s="107">
        <f>IF(B347="","",IF(M347&lt;&gt;"","Paid",IF(AND(I347&lt;&gt;"",I347&lt;AsOf),"OVERDUE",IF(OR(K347&lt;&gt;"",L347&lt;&gt;""),"Invoiced","Scheduled"))))</f>
        <v/>
      </c>
      <c r="P347" s="115">
        <f>IF(B347="","",IF(E347&lt;&gt;"",E347,IFERROR(INDEX('Contractors'!$D$6:$D$1005,MATCH(B347,'Contractors'!$B$6:$B$1005,0)),"")))</f>
        <v/>
      </c>
      <c r="Q347" s="79">
        <f>IF(B347="","",IF(D347&lt;&gt;"",D347,IFERROR(INDEX('Contractors'!$E$6:$E$1005,MATCH(B347,'Contractors'!$B$6:$B$1005,0)),"")))</f>
        <v/>
      </c>
      <c r="R347" s="79">
        <f>IF(O347="","",IF(O347="OVERDUE",2,IF(O347="Paid",0,IF(AND(I347&lt;&gt;"",I347&lt;=AsOf+AlertDays),1,0))))</f>
        <v/>
      </c>
      <c r="S347" s="79">
        <f>IF(AND(B347&lt;&gt;"",M347="",I347&lt;&gt;""),IF(L347&lt;&gt;"",L347,IF(H347="",0,H347)),0)</f>
        <v/>
      </c>
      <c r="T347" s="79">
        <f>IF(AND(B347&lt;&gt;"",M347="",I347&lt;&gt;""),1/I347,0)</f>
        <v/>
      </c>
      <c r="U347" s="112">
        <f>IF(AND(B347&lt;&gt;"",M347="",I347&lt;&gt;""),I347,"")</f>
        <v/>
      </c>
      <c r="V347" s="79">
        <f>IF(U347="","",IF(U347&lt;AsOf,1,IF(U347&lt;=AsOf+AlertDays,2,IF(U347&lt;=AsOf+2*AlertDays,3,""))))</f>
        <v/>
      </c>
      <c r="W347" s="79">
        <f>IF(V347="","",IF(O347="OVERDUE","Overdue payment: ","Payment due: ")&amp;B347&amp;" — "&amp;C347&amp;" ("&amp;CurSym&amp;" "&amp;FIXED(S347,0)&amp;")")</f>
        <v/>
      </c>
      <c r="Z347" s="116">
        <f>IF('Contractors'!B347="","",'Contractors'!B347)</f>
        <v/>
      </c>
      <c r="AA347" s="77">
        <f>IF(Z347="","",'Contractors'!K347)</f>
        <v/>
      </c>
      <c r="AB347" s="77">
        <f>IF(Z347="","",SUMIFS($L$6:$L$1005,$B$6:$B$1005,Z347))</f>
        <v/>
      </c>
      <c r="AC347" s="77">
        <f>IF(Z347="","",SUMIFS($N$6:$N$1005,$B$6:$B$1005,Z347))</f>
        <v/>
      </c>
      <c r="AD347" s="76">
        <f>IF(Z347="","",AA347-AC347)</f>
        <v/>
      </c>
      <c r="AE347" s="117">
        <f>IF(Z347="","",IFERROR(1/SUMPRODUCT(MAX(($B$6:$B$1005=Z347)*$T$6:$T$1005)),""))</f>
        <v/>
      </c>
      <c r="AF347" s="77">
        <f>IF(AE347="","",SUMIFS($S$6:$S$1005,$B$6:$B$1005,Z347,$I$6:$I$1005,AE347))</f>
        <v/>
      </c>
    </row>
    <row r="348" ht="20" customHeight="1">
      <c r="B348" s="72" t="n"/>
      <c r="C348" s="72" t="n"/>
      <c r="D348" s="72" t="n"/>
      <c r="E348" s="72" t="n"/>
      <c r="F348" s="110" t="n"/>
      <c r="G348" s="73" t="n"/>
      <c r="H348" s="75">
        <f>IF(B348="","",IF(G348&lt;&gt;"",G348,IF(F348&lt;&gt;"",F348*IFERROR(INDEX('Contractors'!$I$6:$I$1005,MATCH(B348,'Contractors'!$B$6:$B$1005,0)),0),"")))</f>
        <v/>
      </c>
      <c r="I348" s="109" t="n"/>
      <c r="J348" s="72" t="n"/>
      <c r="K348" s="109" t="n"/>
      <c r="L348" s="73" t="n"/>
      <c r="M348" s="109" t="n"/>
      <c r="N348" s="73" t="n"/>
      <c r="O348" s="107">
        <f>IF(B348="","",IF(M348&lt;&gt;"","Paid",IF(AND(I348&lt;&gt;"",I348&lt;AsOf),"OVERDUE",IF(OR(K348&lt;&gt;"",L348&lt;&gt;""),"Invoiced","Scheduled"))))</f>
        <v/>
      </c>
      <c r="P348" s="115">
        <f>IF(B348="","",IF(E348&lt;&gt;"",E348,IFERROR(INDEX('Contractors'!$D$6:$D$1005,MATCH(B348,'Contractors'!$B$6:$B$1005,0)),"")))</f>
        <v/>
      </c>
      <c r="Q348" s="79">
        <f>IF(B348="","",IF(D348&lt;&gt;"",D348,IFERROR(INDEX('Contractors'!$E$6:$E$1005,MATCH(B348,'Contractors'!$B$6:$B$1005,0)),"")))</f>
        <v/>
      </c>
      <c r="R348" s="79">
        <f>IF(O348="","",IF(O348="OVERDUE",2,IF(O348="Paid",0,IF(AND(I348&lt;&gt;"",I348&lt;=AsOf+AlertDays),1,0))))</f>
        <v/>
      </c>
      <c r="S348" s="79">
        <f>IF(AND(B348&lt;&gt;"",M348="",I348&lt;&gt;""),IF(L348&lt;&gt;"",L348,IF(H348="",0,H348)),0)</f>
        <v/>
      </c>
      <c r="T348" s="79">
        <f>IF(AND(B348&lt;&gt;"",M348="",I348&lt;&gt;""),1/I348,0)</f>
        <v/>
      </c>
      <c r="U348" s="112">
        <f>IF(AND(B348&lt;&gt;"",M348="",I348&lt;&gt;""),I348,"")</f>
        <v/>
      </c>
      <c r="V348" s="79">
        <f>IF(U348="","",IF(U348&lt;AsOf,1,IF(U348&lt;=AsOf+AlertDays,2,IF(U348&lt;=AsOf+2*AlertDays,3,""))))</f>
        <v/>
      </c>
      <c r="W348" s="79">
        <f>IF(V348="","",IF(O348="OVERDUE","Overdue payment: ","Payment due: ")&amp;B348&amp;" — "&amp;C348&amp;" ("&amp;CurSym&amp;" "&amp;FIXED(S348,0)&amp;")")</f>
        <v/>
      </c>
      <c r="Z348" s="116">
        <f>IF('Contractors'!B348="","",'Contractors'!B348)</f>
        <v/>
      </c>
      <c r="AA348" s="77">
        <f>IF(Z348="","",'Contractors'!K348)</f>
        <v/>
      </c>
      <c r="AB348" s="77">
        <f>IF(Z348="","",SUMIFS($L$6:$L$1005,$B$6:$B$1005,Z348))</f>
        <v/>
      </c>
      <c r="AC348" s="77">
        <f>IF(Z348="","",SUMIFS($N$6:$N$1005,$B$6:$B$1005,Z348))</f>
        <v/>
      </c>
      <c r="AD348" s="76">
        <f>IF(Z348="","",AA348-AC348)</f>
        <v/>
      </c>
      <c r="AE348" s="117">
        <f>IF(Z348="","",IFERROR(1/SUMPRODUCT(MAX(($B$6:$B$1005=Z348)*$T$6:$T$1005)),""))</f>
        <v/>
      </c>
      <c r="AF348" s="77">
        <f>IF(AE348="","",SUMIFS($S$6:$S$1005,$B$6:$B$1005,Z348,$I$6:$I$1005,AE348))</f>
        <v/>
      </c>
    </row>
    <row r="349" ht="20" customHeight="1">
      <c r="B349" s="72" t="n"/>
      <c r="C349" s="72" t="n"/>
      <c r="D349" s="72" t="n"/>
      <c r="E349" s="72" t="n"/>
      <c r="F349" s="110" t="n"/>
      <c r="G349" s="73" t="n"/>
      <c r="H349" s="75">
        <f>IF(B349="","",IF(G349&lt;&gt;"",G349,IF(F349&lt;&gt;"",F349*IFERROR(INDEX('Contractors'!$I$6:$I$1005,MATCH(B349,'Contractors'!$B$6:$B$1005,0)),0),"")))</f>
        <v/>
      </c>
      <c r="I349" s="109" t="n"/>
      <c r="J349" s="72" t="n"/>
      <c r="K349" s="109" t="n"/>
      <c r="L349" s="73" t="n"/>
      <c r="M349" s="109" t="n"/>
      <c r="N349" s="73" t="n"/>
      <c r="O349" s="107">
        <f>IF(B349="","",IF(M349&lt;&gt;"","Paid",IF(AND(I349&lt;&gt;"",I349&lt;AsOf),"OVERDUE",IF(OR(K349&lt;&gt;"",L349&lt;&gt;""),"Invoiced","Scheduled"))))</f>
        <v/>
      </c>
      <c r="P349" s="115">
        <f>IF(B349="","",IF(E349&lt;&gt;"",E349,IFERROR(INDEX('Contractors'!$D$6:$D$1005,MATCH(B349,'Contractors'!$B$6:$B$1005,0)),"")))</f>
        <v/>
      </c>
      <c r="Q349" s="79">
        <f>IF(B349="","",IF(D349&lt;&gt;"",D349,IFERROR(INDEX('Contractors'!$E$6:$E$1005,MATCH(B349,'Contractors'!$B$6:$B$1005,0)),"")))</f>
        <v/>
      </c>
      <c r="R349" s="79">
        <f>IF(O349="","",IF(O349="OVERDUE",2,IF(O349="Paid",0,IF(AND(I349&lt;&gt;"",I349&lt;=AsOf+AlertDays),1,0))))</f>
        <v/>
      </c>
      <c r="S349" s="79">
        <f>IF(AND(B349&lt;&gt;"",M349="",I349&lt;&gt;""),IF(L349&lt;&gt;"",L349,IF(H349="",0,H349)),0)</f>
        <v/>
      </c>
      <c r="T349" s="79">
        <f>IF(AND(B349&lt;&gt;"",M349="",I349&lt;&gt;""),1/I349,0)</f>
        <v/>
      </c>
      <c r="U349" s="112">
        <f>IF(AND(B349&lt;&gt;"",M349="",I349&lt;&gt;""),I349,"")</f>
        <v/>
      </c>
      <c r="V349" s="79">
        <f>IF(U349="","",IF(U349&lt;AsOf,1,IF(U349&lt;=AsOf+AlertDays,2,IF(U349&lt;=AsOf+2*AlertDays,3,""))))</f>
        <v/>
      </c>
      <c r="W349" s="79">
        <f>IF(V349="","",IF(O349="OVERDUE","Overdue payment: ","Payment due: ")&amp;B349&amp;" — "&amp;C349&amp;" ("&amp;CurSym&amp;" "&amp;FIXED(S349,0)&amp;")")</f>
        <v/>
      </c>
      <c r="Z349" s="116">
        <f>IF('Contractors'!B349="","",'Contractors'!B349)</f>
        <v/>
      </c>
      <c r="AA349" s="77">
        <f>IF(Z349="","",'Contractors'!K349)</f>
        <v/>
      </c>
      <c r="AB349" s="77">
        <f>IF(Z349="","",SUMIFS($L$6:$L$1005,$B$6:$B$1005,Z349))</f>
        <v/>
      </c>
      <c r="AC349" s="77">
        <f>IF(Z349="","",SUMIFS($N$6:$N$1005,$B$6:$B$1005,Z349))</f>
        <v/>
      </c>
      <c r="AD349" s="76">
        <f>IF(Z349="","",AA349-AC349)</f>
        <v/>
      </c>
      <c r="AE349" s="117">
        <f>IF(Z349="","",IFERROR(1/SUMPRODUCT(MAX(($B$6:$B$1005=Z349)*$T$6:$T$1005)),""))</f>
        <v/>
      </c>
      <c r="AF349" s="77">
        <f>IF(AE349="","",SUMIFS($S$6:$S$1005,$B$6:$B$1005,Z349,$I$6:$I$1005,AE349))</f>
        <v/>
      </c>
    </row>
    <row r="350" ht="20" customHeight="1">
      <c r="B350" s="72" t="n"/>
      <c r="C350" s="72" t="n"/>
      <c r="D350" s="72" t="n"/>
      <c r="E350" s="72" t="n"/>
      <c r="F350" s="110" t="n"/>
      <c r="G350" s="73" t="n"/>
      <c r="H350" s="75">
        <f>IF(B350="","",IF(G350&lt;&gt;"",G350,IF(F350&lt;&gt;"",F350*IFERROR(INDEX('Contractors'!$I$6:$I$1005,MATCH(B350,'Contractors'!$B$6:$B$1005,0)),0),"")))</f>
        <v/>
      </c>
      <c r="I350" s="109" t="n"/>
      <c r="J350" s="72" t="n"/>
      <c r="K350" s="109" t="n"/>
      <c r="L350" s="73" t="n"/>
      <c r="M350" s="109" t="n"/>
      <c r="N350" s="73" t="n"/>
      <c r="O350" s="107">
        <f>IF(B350="","",IF(M350&lt;&gt;"","Paid",IF(AND(I350&lt;&gt;"",I350&lt;AsOf),"OVERDUE",IF(OR(K350&lt;&gt;"",L350&lt;&gt;""),"Invoiced","Scheduled"))))</f>
        <v/>
      </c>
      <c r="P350" s="115">
        <f>IF(B350="","",IF(E350&lt;&gt;"",E350,IFERROR(INDEX('Contractors'!$D$6:$D$1005,MATCH(B350,'Contractors'!$B$6:$B$1005,0)),"")))</f>
        <v/>
      </c>
      <c r="Q350" s="79">
        <f>IF(B350="","",IF(D350&lt;&gt;"",D350,IFERROR(INDEX('Contractors'!$E$6:$E$1005,MATCH(B350,'Contractors'!$B$6:$B$1005,0)),"")))</f>
        <v/>
      </c>
      <c r="R350" s="79">
        <f>IF(O350="","",IF(O350="OVERDUE",2,IF(O350="Paid",0,IF(AND(I350&lt;&gt;"",I350&lt;=AsOf+AlertDays),1,0))))</f>
        <v/>
      </c>
      <c r="S350" s="79">
        <f>IF(AND(B350&lt;&gt;"",M350="",I350&lt;&gt;""),IF(L350&lt;&gt;"",L350,IF(H350="",0,H350)),0)</f>
        <v/>
      </c>
      <c r="T350" s="79">
        <f>IF(AND(B350&lt;&gt;"",M350="",I350&lt;&gt;""),1/I350,0)</f>
        <v/>
      </c>
      <c r="U350" s="112">
        <f>IF(AND(B350&lt;&gt;"",M350="",I350&lt;&gt;""),I350,"")</f>
        <v/>
      </c>
      <c r="V350" s="79">
        <f>IF(U350="","",IF(U350&lt;AsOf,1,IF(U350&lt;=AsOf+AlertDays,2,IF(U350&lt;=AsOf+2*AlertDays,3,""))))</f>
        <v/>
      </c>
      <c r="W350" s="79">
        <f>IF(V350="","",IF(O350="OVERDUE","Overdue payment: ","Payment due: ")&amp;B350&amp;" — "&amp;C350&amp;" ("&amp;CurSym&amp;" "&amp;FIXED(S350,0)&amp;")")</f>
        <v/>
      </c>
      <c r="Z350" s="116">
        <f>IF('Contractors'!B350="","",'Contractors'!B350)</f>
        <v/>
      </c>
      <c r="AA350" s="77">
        <f>IF(Z350="","",'Contractors'!K350)</f>
        <v/>
      </c>
      <c r="AB350" s="77">
        <f>IF(Z350="","",SUMIFS($L$6:$L$1005,$B$6:$B$1005,Z350))</f>
        <v/>
      </c>
      <c r="AC350" s="77">
        <f>IF(Z350="","",SUMIFS($N$6:$N$1005,$B$6:$B$1005,Z350))</f>
        <v/>
      </c>
      <c r="AD350" s="76">
        <f>IF(Z350="","",AA350-AC350)</f>
        <v/>
      </c>
      <c r="AE350" s="117">
        <f>IF(Z350="","",IFERROR(1/SUMPRODUCT(MAX(($B$6:$B$1005=Z350)*$T$6:$T$1005)),""))</f>
        <v/>
      </c>
      <c r="AF350" s="77">
        <f>IF(AE350="","",SUMIFS($S$6:$S$1005,$B$6:$B$1005,Z350,$I$6:$I$1005,AE350))</f>
        <v/>
      </c>
    </row>
    <row r="351" ht="20" customHeight="1">
      <c r="B351" s="72" t="n"/>
      <c r="C351" s="72" t="n"/>
      <c r="D351" s="72" t="n"/>
      <c r="E351" s="72" t="n"/>
      <c r="F351" s="110" t="n"/>
      <c r="G351" s="73" t="n"/>
      <c r="H351" s="75">
        <f>IF(B351="","",IF(G351&lt;&gt;"",G351,IF(F351&lt;&gt;"",F351*IFERROR(INDEX('Contractors'!$I$6:$I$1005,MATCH(B351,'Contractors'!$B$6:$B$1005,0)),0),"")))</f>
        <v/>
      </c>
      <c r="I351" s="109" t="n"/>
      <c r="J351" s="72" t="n"/>
      <c r="K351" s="109" t="n"/>
      <c r="L351" s="73" t="n"/>
      <c r="M351" s="109" t="n"/>
      <c r="N351" s="73" t="n"/>
      <c r="O351" s="107">
        <f>IF(B351="","",IF(M351&lt;&gt;"","Paid",IF(AND(I351&lt;&gt;"",I351&lt;AsOf),"OVERDUE",IF(OR(K351&lt;&gt;"",L351&lt;&gt;""),"Invoiced","Scheduled"))))</f>
        <v/>
      </c>
      <c r="P351" s="115">
        <f>IF(B351="","",IF(E351&lt;&gt;"",E351,IFERROR(INDEX('Contractors'!$D$6:$D$1005,MATCH(B351,'Contractors'!$B$6:$B$1005,0)),"")))</f>
        <v/>
      </c>
      <c r="Q351" s="79">
        <f>IF(B351="","",IF(D351&lt;&gt;"",D351,IFERROR(INDEX('Contractors'!$E$6:$E$1005,MATCH(B351,'Contractors'!$B$6:$B$1005,0)),"")))</f>
        <v/>
      </c>
      <c r="R351" s="79">
        <f>IF(O351="","",IF(O351="OVERDUE",2,IF(O351="Paid",0,IF(AND(I351&lt;&gt;"",I351&lt;=AsOf+AlertDays),1,0))))</f>
        <v/>
      </c>
      <c r="S351" s="79">
        <f>IF(AND(B351&lt;&gt;"",M351="",I351&lt;&gt;""),IF(L351&lt;&gt;"",L351,IF(H351="",0,H351)),0)</f>
        <v/>
      </c>
      <c r="T351" s="79">
        <f>IF(AND(B351&lt;&gt;"",M351="",I351&lt;&gt;""),1/I351,0)</f>
        <v/>
      </c>
      <c r="U351" s="112">
        <f>IF(AND(B351&lt;&gt;"",M351="",I351&lt;&gt;""),I351,"")</f>
        <v/>
      </c>
      <c r="V351" s="79">
        <f>IF(U351="","",IF(U351&lt;AsOf,1,IF(U351&lt;=AsOf+AlertDays,2,IF(U351&lt;=AsOf+2*AlertDays,3,""))))</f>
        <v/>
      </c>
      <c r="W351" s="79">
        <f>IF(V351="","",IF(O351="OVERDUE","Overdue payment: ","Payment due: ")&amp;B351&amp;" — "&amp;C351&amp;" ("&amp;CurSym&amp;" "&amp;FIXED(S351,0)&amp;")")</f>
        <v/>
      </c>
      <c r="Z351" s="116">
        <f>IF('Contractors'!B351="","",'Contractors'!B351)</f>
        <v/>
      </c>
      <c r="AA351" s="77">
        <f>IF(Z351="","",'Contractors'!K351)</f>
        <v/>
      </c>
      <c r="AB351" s="77">
        <f>IF(Z351="","",SUMIFS($L$6:$L$1005,$B$6:$B$1005,Z351))</f>
        <v/>
      </c>
      <c r="AC351" s="77">
        <f>IF(Z351="","",SUMIFS($N$6:$N$1005,$B$6:$B$1005,Z351))</f>
        <v/>
      </c>
      <c r="AD351" s="76">
        <f>IF(Z351="","",AA351-AC351)</f>
        <v/>
      </c>
      <c r="AE351" s="117">
        <f>IF(Z351="","",IFERROR(1/SUMPRODUCT(MAX(($B$6:$B$1005=Z351)*$T$6:$T$1005)),""))</f>
        <v/>
      </c>
      <c r="AF351" s="77">
        <f>IF(AE351="","",SUMIFS($S$6:$S$1005,$B$6:$B$1005,Z351,$I$6:$I$1005,AE351))</f>
        <v/>
      </c>
    </row>
    <row r="352" ht="20" customHeight="1">
      <c r="B352" s="72" t="n"/>
      <c r="C352" s="72" t="n"/>
      <c r="D352" s="72" t="n"/>
      <c r="E352" s="72" t="n"/>
      <c r="F352" s="110" t="n"/>
      <c r="G352" s="73" t="n"/>
      <c r="H352" s="75">
        <f>IF(B352="","",IF(G352&lt;&gt;"",G352,IF(F352&lt;&gt;"",F352*IFERROR(INDEX('Contractors'!$I$6:$I$1005,MATCH(B352,'Contractors'!$B$6:$B$1005,0)),0),"")))</f>
        <v/>
      </c>
      <c r="I352" s="109" t="n"/>
      <c r="J352" s="72" t="n"/>
      <c r="K352" s="109" t="n"/>
      <c r="L352" s="73" t="n"/>
      <c r="M352" s="109" t="n"/>
      <c r="N352" s="73" t="n"/>
      <c r="O352" s="107">
        <f>IF(B352="","",IF(M352&lt;&gt;"","Paid",IF(AND(I352&lt;&gt;"",I352&lt;AsOf),"OVERDUE",IF(OR(K352&lt;&gt;"",L352&lt;&gt;""),"Invoiced","Scheduled"))))</f>
        <v/>
      </c>
      <c r="P352" s="115">
        <f>IF(B352="","",IF(E352&lt;&gt;"",E352,IFERROR(INDEX('Contractors'!$D$6:$D$1005,MATCH(B352,'Contractors'!$B$6:$B$1005,0)),"")))</f>
        <v/>
      </c>
      <c r="Q352" s="79">
        <f>IF(B352="","",IF(D352&lt;&gt;"",D352,IFERROR(INDEX('Contractors'!$E$6:$E$1005,MATCH(B352,'Contractors'!$B$6:$B$1005,0)),"")))</f>
        <v/>
      </c>
      <c r="R352" s="79">
        <f>IF(O352="","",IF(O352="OVERDUE",2,IF(O352="Paid",0,IF(AND(I352&lt;&gt;"",I352&lt;=AsOf+AlertDays),1,0))))</f>
        <v/>
      </c>
      <c r="S352" s="79">
        <f>IF(AND(B352&lt;&gt;"",M352="",I352&lt;&gt;""),IF(L352&lt;&gt;"",L352,IF(H352="",0,H352)),0)</f>
        <v/>
      </c>
      <c r="T352" s="79">
        <f>IF(AND(B352&lt;&gt;"",M352="",I352&lt;&gt;""),1/I352,0)</f>
        <v/>
      </c>
      <c r="U352" s="112">
        <f>IF(AND(B352&lt;&gt;"",M352="",I352&lt;&gt;""),I352,"")</f>
        <v/>
      </c>
      <c r="V352" s="79">
        <f>IF(U352="","",IF(U352&lt;AsOf,1,IF(U352&lt;=AsOf+AlertDays,2,IF(U352&lt;=AsOf+2*AlertDays,3,""))))</f>
        <v/>
      </c>
      <c r="W352" s="79">
        <f>IF(V352="","",IF(O352="OVERDUE","Overdue payment: ","Payment due: ")&amp;B352&amp;" — "&amp;C352&amp;" ("&amp;CurSym&amp;" "&amp;FIXED(S352,0)&amp;")")</f>
        <v/>
      </c>
      <c r="Z352" s="116">
        <f>IF('Contractors'!B352="","",'Contractors'!B352)</f>
        <v/>
      </c>
      <c r="AA352" s="77">
        <f>IF(Z352="","",'Contractors'!K352)</f>
        <v/>
      </c>
      <c r="AB352" s="77">
        <f>IF(Z352="","",SUMIFS($L$6:$L$1005,$B$6:$B$1005,Z352))</f>
        <v/>
      </c>
      <c r="AC352" s="77">
        <f>IF(Z352="","",SUMIFS($N$6:$N$1005,$B$6:$B$1005,Z352))</f>
        <v/>
      </c>
      <c r="AD352" s="76">
        <f>IF(Z352="","",AA352-AC352)</f>
        <v/>
      </c>
      <c r="AE352" s="117">
        <f>IF(Z352="","",IFERROR(1/SUMPRODUCT(MAX(($B$6:$B$1005=Z352)*$T$6:$T$1005)),""))</f>
        <v/>
      </c>
      <c r="AF352" s="77">
        <f>IF(AE352="","",SUMIFS($S$6:$S$1005,$B$6:$B$1005,Z352,$I$6:$I$1005,AE352))</f>
        <v/>
      </c>
    </row>
    <row r="353" ht="20" customHeight="1">
      <c r="B353" s="72" t="n"/>
      <c r="C353" s="72" t="n"/>
      <c r="D353" s="72" t="n"/>
      <c r="E353" s="72" t="n"/>
      <c r="F353" s="110" t="n"/>
      <c r="G353" s="73" t="n"/>
      <c r="H353" s="75">
        <f>IF(B353="","",IF(G353&lt;&gt;"",G353,IF(F353&lt;&gt;"",F353*IFERROR(INDEX('Contractors'!$I$6:$I$1005,MATCH(B353,'Contractors'!$B$6:$B$1005,0)),0),"")))</f>
        <v/>
      </c>
      <c r="I353" s="109" t="n"/>
      <c r="J353" s="72" t="n"/>
      <c r="K353" s="109" t="n"/>
      <c r="L353" s="73" t="n"/>
      <c r="M353" s="109" t="n"/>
      <c r="N353" s="73" t="n"/>
      <c r="O353" s="107">
        <f>IF(B353="","",IF(M353&lt;&gt;"","Paid",IF(AND(I353&lt;&gt;"",I353&lt;AsOf),"OVERDUE",IF(OR(K353&lt;&gt;"",L353&lt;&gt;""),"Invoiced","Scheduled"))))</f>
        <v/>
      </c>
      <c r="P353" s="115">
        <f>IF(B353="","",IF(E353&lt;&gt;"",E353,IFERROR(INDEX('Contractors'!$D$6:$D$1005,MATCH(B353,'Contractors'!$B$6:$B$1005,0)),"")))</f>
        <v/>
      </c>
      <c r="Q353" s="79">
        <f>IF(B353="","",IF(D353&lt;&gt;"",D353,IFERROR(INDEX('Contractors'!$E$6:$E$1005,MATCH(B353,'Contractors'!$B$6:$B$1005,0)),"")))</f>
        <v/>
      </c>
      <c r="R353" s="79">
        <f>IF(O353="","",IF(O353="OVERDUE",2,IF(O353="Paid",0,IF(AND(I353&lt;&gt;"",I353&lt;=AsOf+AlertDays),1,0))))</f>
        <v/>
      </c>
      <c r="S353" s="79">
        <f>IF(AND(B353&lt;&gt;"",M353="",I353&lt;&gt;""),IF(L353&lt;&gt;"",L353,IF(H353="",0,H353)),0)</f>
        <v/>
      </c>
      <c r="T353" s="79">
        <f>IF(AND(B353&lt;&gt;"",M353="",I353&lt;&gt;""),1/I353,0)</f>
        <v/>
      </c>
      <c r="U353" s="112">
        <f>IF(AND(B353&lt;&gt;"",M353="",I353&lt;&gt;""),I353,"")</f>
        <v/>
      </c>
      <c r="V353" s="79">
        <f>IF(U353="","",IF(U353&lt;AsOf,1,IF(U353&lt;=AsOf+AlertDays,2,IF(U353&lt;=AsOf+2*AlertDays,3,""))))</f>
        <v/>
      </c>
      <c r="W353" s="79">
        <f>IF(V353="","",IF(O353="OVERDUE","Overdue payment: ","Payment due: ")&amp;B353&amp;" — "&amp;C353&amp;" ("&amp;CurSym&amp;" "&amp;FIXED(S353,0)&amp;")")</f>
        <v/>
      </c>
      <c r="Z353" s="116">
        <f>IF('Contractors'!B353="","",'Contractors'!B353)</f>
        <v/>
      </c>
      <c r="AA353" s="77">
        <f>IF(Z353="","",'Contractors'!K353)</f>
        <v/>
      </c>
      <c r="AB353" s="77">
        <f>IF(Z353="","",SUMIFS($L$6:$L$1005,$B$6:$B$1005,Z353))</f>
        <v/>
      </c>
      <c r="AC353" s="77">
        <f>IF(Z353="","",SUMIFS($N$6:$N$1005,$B$6:$B$1005,Z353))</f>
        <v/>
      </c>
      <c r="AD353" s="76">
        <f>IF(Z353="","",AA353-AC353)</f>
        <v/>
      </c>
      <c r="AE353" s="117">
        <f>IF(Z353="","",IFERROR(1/SUMPRODUCT(MAX(($B$6:$B$1005=Z353)*$T$6:$T$1005)),""))</f>
        <v/>
      </c>
      <c r="AF353" s="77">
        <f>IF(AE353="","",SUMIFS($S$6:$S$1005,$B$6:$B$1005,Z353,$I$6:$I$1005,AE353))</f>
        <v/>
      </c>
    </row>
    <row r="354" ht="20" customHeight="1">
      <c r="B354" s="72" t="n"/>
      <c r="C354" s="72" t="n"/>
      <c r="D354" s="72" t="n"/>
      <c r="E354" s="72" t="n"/>
      <c r="F354" s="110" t="n"/>
      <c r="G354" s="73" t="n"/>
      <c r="H354" s="75">
        <f>IF(B354="","",IF(G354&lt;&gt;"",G354,IF(F354&lt;&gt;"",F354*IFERROR(INDEX('Contractors'!$I$6:$I$1005,MATCH(B354,'Contractors'!$B$6:$B$1005,0)),0),"")))</f>
        <v/>
      </c>
      <c r="I354" s="109" t="n"/>
      <c r="J354" s="72" t="n"/>
      <c r="K354" s="109" t="n"/>
      <c r="L354" s="73" t="n"/>
      <c r="M354" s="109" t="n"/>
      <c r="N354" s="73" t="n"/>
      <c r="O354" s="107">
        <f>IF(B354="","",IF(M354&lt;&gt;"","Paid",IF(AND(I354&lt;&gt;"",I354&lt;AsOf),"OVERDUE",IF(OR(K354&lt;&gt;"",L354&lt;&gt;""),"Invoiced","Scheduled"))))</f>
        <v/>
      </c>
      <c r="P354" s="115">
        <f>IF(B354="","",IF(E354&lt;&gt;"",E354,IFERROR(INDEX('Contractors'!$D$6:$D$1005,MATCH(B354,'Contractors'!$B$6:$B$1005,0)),"")))</f>
        <v/>
      </c>
      <c r="Q354" s="79">
        <f>IF(B354="","",IF(D354&lt;&gt;"",D354,IFERROR(INDEX('Contractors'!$E$6:$E$1005,MATCH(B354,'Contractors'!$B$6:$B$1005,0)),"")))</f>
        <v/>
      </c>
      <c r="R354" s="79">
        <f>IF(O354="","",IF(O354="OVERDUE",2,IF(O354="Paid",0,IF(AND(I354&lt;&gt;"",I354&lt;=AsOf+AlertDays),1,0))))</f>
        <v/>
      </c>
      <c r="S354" s="79">
        <f>IF(AND(B354&lt;&gt;"",M354="",I354&lt;&gt;""),IF(L354&lt;&gt;"",L354,IF(H354="",0,H354)),0)</f>
        <v/>
      </c>
      <c r="T354" s="79">
        <f>IF(AND(B354&lt;&gt;"",M354="",I354&lt;&gt;""),1/I354,0)</f>
        <v/>
      </c>
      <c r="U354" s="112">
        <f>IF(AND(B354&lt;&gt;"",M354="",I354&lt;&gt;""),I354,"")</f>
        <v/>
      </c>
      <c r="V354" s="79">
        <f>IF(U354="","",IF(U354&lt;AsOf,1,IF(U354&lt;=AsOf+AlertDays,2,IF(U354&lt;=AsOf+2*AlertDays,3,""))))</f>
        <v/>
      </c>
      <c r="W354" s="79">
        <f>IF(V354="","",IF(O354="OVERDUE","Overdue payment: ","Payment due: ")&amp;B354&amp;" — "&amp;C354&amp;" ("&amp;CurSym&amp;" "&amp;FIXED(S354,0)&amp;")")</f>
        <v/>
      </c>
      <c r="Z354" s="116">
        <f>IF('Contractors'!B354="","",'Contractors'!B354)</f>
        <v/>
      </c>
      <c r="AA354" s="77">
        <f>IF(Z354="","",'Contractors'!K354)</f>
        <v/>
      </c>
      <c r="AB354" s="77">
        <f>IF(Z354="","",SUMIFS($L$6:$L$1005,$B$6:$B$1005,Z354))</f>
        <v/>
      </c>
      <c r="AC354" s="77">
        <f>IF(Z354="","",SUMIFS($N$6:$N$1005,$B$6:$B$1005,Z354))</f>
        <v/>
      </c>
      <c r="AD354" s="76">
        <f>IF(Z354="","",AA354-AC354)</f>
        <v/>
      </c>
      <c r="AE354" s="117">
        <f>IF(Z354="","",IFERROR(1/SUMPRODUCT(MAX(($B$6:$B$1005=Z354)*$T$6:$T$1005)),""))</f>
        <v/>
      </c>
      <c r="AF354" s="77">
        <f>IF(AE354="","",SUMIFS($S$6:$S$1005,$B$6:$B$1005,Z354,$I$6:$I$1005,AE354))</f>
        <v/>
      </c>
    </row>
    <row r="355" ht="20" customHeight="1">
      <c r="B355" s="72" t="n"/>
      <c r="C355" s="72" t="n"/>
      <c r="D355" s="72" t="n"/>
      <c r="E355" s="72" t="n"/>
      <c r="F355" s="110" t="n"/>
      <c r="G355" s="73" t="n"/>
      <c r="H355" s="75">
        <f>IF(B355="","",IF(G355&lt;&gt;"",G355,IF(F355&lt;&gt;"",F355*IFERROR(INDEX('Contractors'!$I$6:$I$1005,MATCH(B355,'Contractors'!$B$6:$B$1005,0)),0),"")))</f>
        <v/>
      </c>
      <c r="I355" s="109" t="n"/>
      <c r="J355" s="72" t="n"/>
      <c r="K355" s="109" t="n"/>
      <c r="L355" s="73" t="n"/>
      <c r="M355" s="109" t="n"/>
      <c r="N355" s="73" t="n"/>
      <c r="O355" s="107">
        <f>IF(B355="","",IF(M355&lt;&gt;"","Paid",IF(AND(I355&lt;&gt;"",I355&lt;AsOf),"OVERDUE",IF(OR(K355&lt;&gt;"",L355&lt;&gt;""),"Invoiced","Scheduled"))))</f>
        <v/>
      </c>
      <c r="P355" s="115">
        <f>IF(B355="","",IF(E355&lt;&gt;"",E355,IFERROR(INDEX('Contractors'!$D$6:$D$1005,MATCH(B355,'Contractors'!$B$6:$B$1005,0)),"")))</f>
        <v/>
      </c>
      <c r="Q355" s="79">
        <f>IF(B355="","",IF(D355&lt;&gt;"",D355,IFERROR(INDEX('Contractors'!$E$6:$E$1005,MATCH(B355,'Contractors'!$B$6:$B$1005,0)),"")))</f>
        <v/>
      </c>
      <c r="R355" s="79">
        <f>IF(O355="","",IF(O355="OVERDUE",2,IF(O355="Paid",0,IF(AND(I355&lt;&gt;"",I355&lt;=AsOf+AlertDays),1,0))))</f>
        <v/>
      </c>
      <c r="S355" s="79">
        <f>IF(AND(B355&lt;&gt;"",M355="",I355&lt;&gt;""),IF(L355&lt;&gt;"",L355,IF(H355="",0,H355)),0)</f>
        <v/>
      </c>
      <c r="T355" s="79">
        <f>IF(AND(B355&lt;&gt;"",M355="",I355&lt;&gt;""),1/I355,0)</f>
        <v/>
      </c>
      <c r="U355" s="112">
        <f>IF(AND(B355&lt;&gt;"",M355="",I355&lt;&gt;""),I355,"")</f>
        <v/>
      </c>
      <c r="V355" s="79">
        <f>IF(U355="","",IF(U355&lt;AsOf,1,IF(U355&lt;=AsOf+AlertDays,2,IF(U355&lt;=AsOf+2*AlertDays,3,""))))</f>
        <v/>
      </c>
      <c r="W355" s="79">
        <f>IF(V355="","",IF(O355="OVERDUE","Overdue payment: ","Payment due: ")&amp;B355&amp;" — "&amp;C355&amp;" ("&amp;CurSym&amp;" "&amp;FIXED(S355,0)&amp;")")</f>
        <v/>
      </c>
      <c r="Z355" s="116">
        <f>IF('Contractors'!B355="","",'Contractors'!B355)</f>
        <v/>
      </c>
      <c r="AA355" s="77">
        <f>IF(Z355="","",'Contractors'!K355)</f>
        <v/>
      </c>
      <c r="AB355" s="77">
        <f>IF(Z355="","",SUMIFS($L$6:$L$1005,$B$6:$B$1005,Z355))</f>
        <v/>
      </c>
      <c r="AC355" s="77">
        <f>IF(Z355="","",SUMIFS($N$6:$N$1005,$B$6:$B$1005,Z355))</f>
        <v/>
      </c>
      <c r="AD355" s="76">
        <f>IF(Z355="","",AA355-AC355)</f>
        <v/>
      </c>
      <c r="AE355" s="117">
        <f>IF(Z355="","",IFERROR(1/SUMPRODUCT(MAX(($B$6:$B$1005=Z355)*$T$6:$T$1005)),""))</f>
        <v/>
      </c>
      <c r="AF355" s="77">
        <f>IF(AE355="","",SUMIFS($S$6:$S$1005,$B$6:$B$1005,Z355,$I$6:$I$1005,AE355))</f>
        <v/>
      </c>
    </row>
    <row r="356" ht="20" customHeight="1">
      <c r="B356" s="72" t="n"/>
      <c r="C356" s="72" t="n"/>
      <c r="D356" s="72" t="n"/>
      <c r="E356" s="72" t="n"/>
      <c r="F356" s="110" t="n"/>
      <c r="G356" s="73" t="n"/>
      <c r="H356" s="75">
        <f>IF(B356="","",IF(G356&lt;&gt;"",G356,IF(F356&lt;&gt;"",F356*IFERROR(INDEX('Contractors'!$I$6:$I$1005,MATCH(B356,'Contractors'!$B$6:$B$1005,0)),0),"")))</f>
        <v/>
      </c>
      <c r="I356" s="109" t="n"/>
      <c r="J356" s="72" t="n"/>
      <c r="K356" s="109" t="n"/>
      <c r="L356" s="73" t="n"/>
      <c r="M356" s="109" t="n"/>
      <c r="N356" s="73" t="n"/>
      <c r="O356" s="107">
        <f>IF(B356="","",IF(M356&lt;&gt;"","Paid",IF(AND(I356&lt;&gt;"",I356&lt;AsOf),"OVERDUE",IF(OR(K356&lt;&gt;"",L356&lt;&gt;""),"Invoiced","Scheduled"))))</f>
        <v/>
      </c>
      <c r="P356" s="115">
        <f>IF(B356="","",IF(E356&lt;&gt;"",E356,IFERROR(INDEX('Contractors'!$D$6:$D$1005,MATCH(B356,'Contractors'!$B$6:$B$1005,0)),"")))</f>
        <v/>
      </c>
      <c r="Q356" s="79">
        <f>IF(B356="","",IF(D356&lt;&gt;"",D356,IFERROR(INDEX('Contractors'!$E$6:$E$1005,MATCH(B356,'Contractors'!$B$6:$B$1005,0)),"")))</f>
        <v/>
      </c>
      <c r="R356" s="79">
        <f>IF(O356="","",IF(O356="OVERDUE",2,IF(O356="Paid",0,IF(AND(I356&lt;&gt;"",I356&lt;=AsOf+AlertDays),1,0))))</f>
        <v/>
      </c>
      <c r="S356" s="79">
        <f>IF(AND(B356&lt;&gt;"",M356="",I356&lt;&gt;""),IF(L356&lt;&gt;"",L356,IF(H356="",0,H356)),0)</f>
        <v/>
      </c>
      <c r="T356" s="79">
        <f>IF(AND(B356&lt;&gt;"",M356="",I356&lt;&gt;""),1/I356,0)</f>
        <v/>
      </c>
      <c r="U356" s="112">
        <f>IF(AND(B356&lt;&gt;"",M356="",I356&lt;&gt;""),I356,"")</f>
        <v/>
      </c>
      <c r="V356" s="79">
        <f>IF(U356="","",IF(U356&lt;AsOf,1,IF(U356&lt;=AsOf+AlertDays,2,IF(U356&lt;=AsOf+2*AlertDays,3,""))))</f>
        <v/>
      </c>
      <c r="W356" s="79">
        <f>IF(V356="","",IF(O356="OVERDUE","Overdue payment: ","Payment due: ")&amp;B356&amp;" — "&amp;C356&amp;" ("&amp;CurSym&amp;" "&amp;FIXED(S356,0)&amp;")")</f>
        <v/>
      </c>
      <c r="Z356" s="116">
        <f>IF('Contractors'!B356="","",'Contractors'!B356)</f>
        <v/>
      </c>
      <c r="AA356" s="77">
        <f>IF(Z356="","",'Contractors'!K356)</f>
        <v/>
      </c>
      <c r="AB356" s="77">
        <f>IF(Z356="","",SUMIFS($L$6:$L$1005,$B$6:$B$1005,Z356))</f>
        <v/>
      </c>
      <c r="AC356" s="77">
        <f>IF(Z356="","",SUMIFS($N$6:$N$1005,$B$6:$B$1005,Z356))</f>
        <v/>
      </c>
      <c r="AD356" s="76">
        <f>IF(Z356="","",AA356-AC356)</f>
        <v/>
      </c>
      <c r="AE356" s="117">
        <f>IF(Z356="","",IFERROR(1/SUMPRODUCT(MAX(($B$6:$B$1005=Z356)*$T$6:$T$1005)),""))</f>
        <v/>
      </c>
      <c r="AF356" s="77">
        <f>IF(AE356="","",SUMIFS($S$6:$S$1005,$B$6:$B$1005,Z356,$I$6:$I$1005,AE356))</f>
        <v/>
      </c>
    </row>
    <row r="357" ht="20" customHeight="1">
      <c r="B357" s="72" t="n"/>
      <c r="C357" s="72" t="n"/>
      <c r="D357" s="72" t="n"/>
      <c r="E357" s="72" t="n"/>
      <c r="F357" s="110" t="n"/>
      <c r="G357" s="73" t="n"/>
      <c r="H357" s="75">
        <f>IF(B357="","",IF(G357&lt;&gt;"",G357,IF(F357&lt;&gt;"",F357*IFERROR(INDEX('Contractors'!$I$6:$I$1005,MATCH(B357,'Contractors'!$B$6:$B$1005,0)),0),"")))</f>
        <v/>
      </c>
      <c r="I357" s="109" t="n"/>
      <c r="J357" s="72" t="n"/>
      <c r="K357" s="109" t="n"/>
      <c r="L357" s="73" t="n"/>
      <c r="M357" s="109" t="n"/>
      <c r="N357" s="73" t="n"/>
      <c r="O357" s="107">
        <f>IF(B357="","",IF(M357&lt;&gt;"","Paid",IF(AND(I357&lt;&gt;"",I357&lt;AsOf),"OVERDUE",IF(OR(K357&lt;&gt;"",L357&lt;&gt;""),"Invoiced","Scheduled"))))</f>
        <v/>
      </c>
      <c r="P357" s="115">
        <f>IF(B357="","",IF(E357&lt;&gt;"",E357,IFERROR(INDEX('Contractors'!$D$6:$D$1005,MATCH(B357,'Contractors'!$B$6:$B$1005,0)),"")))</f>
        <v/>
      </c>
      <c r="Q357" s="79">
        <f>IF(B357="","",IF(D357&lt;&gt;"",D357,IFERROR(INDEX('Contractors'!$E$6:$E$1005,MATCH(B357,'Contractors'!$B$6:$B$1005,0)),"")))</f>
        <v/>
      </c>
      <c r="R357" s="79">
        <f>IF(O357="","",IF(O357="OVERDUE",2,IF(O357="Paid",0,IF(AND(I357&lt;&gt;"",I357&lt;=AsOf+AlertDays),1,0))))</f>
        <v/>
      </c>
      <c r="S357" s="79">
        <f>IF(AND(B357&lt;&gt;"",M357="",I357&lt;&gt;""),IF(L357&lt;&gt;"",L357,IF(H357="",0,H357)),0)</f>
        <v/>
      </c>
      <c r="T357" s="79">
        <f>IF(AND(B357&lt;&gt;"",M357="",I357&lt;&gt;""),1/I357,0)</f>
        <v/>
      </c>
      <c r="U357" s="112">
        <f>IF(AND(B357&lt;&gt;"",M357="",I357&lt;&gt;""),I357,"")</f>
        <v/>
      </c>
      <c r="V357" s="79">
        <f>IF(U357="","",IF(U357&lt;AsOf,1,IF(U357&lt;=AsOf+AlertDays,2,IF(U357&lt;=AsOf+2*AlertDays,3,""))))</f>
        <v/>
      </c>
      <c r="W357" s="79">
        <f>IF(V357="","",IF(O357="OVERDUE","Overdue payment: ","Payment due: ")&amp;B357&amp;" — "&amp;C357&amp;" ("&amp;CurSym&amp;" "&amp;FIXED(S357,0)&amp;")")</f>
        <v/>
      </c>
      <c r="Z357" s="116">
        <f>IF('Contractors'!B357="","",'Contractors'!B357)</f>
        <v/>
      </c>
      <c r="AA357" s="77">
        <f>IF(Z357="","",'Contractors'!K357)</f>
        <v/>
      </c>
      <c r="AB357" s="77">
        <f>IF(Z357="","",SUMIFS($L$6:$L$1005,$B$6:$B$1005,Z357))</f>
        <v/>
      </c>
      <c r="AC357" s="77">
        <f>IF(Z357="","",SUMIFS($N$6:$N$1005,$B$6:$B$1005,Z357))</f>
        <v/>
      </c>
      <c r="AD357" s="76">
        <f>IF(Z357="","",AA357-AC357)</f>
        <v/>
      </c>
      <c r="AE357" s="117">
        <f>IF(Z357="","",IFERROR(1/SUMPRODUCT(MAX(($B$6:$B$1005=Z357)*$T$6:$T$1005)),""))</f>
        <v/>
      </c>
      <c r="AF357" s="77">
        <f>IF(AE357="","",SUMIFS($S$6:$S$1005,$B$6:$B$1005,Z357,$I$6:$I$1005,AE357))</f>
        <v/>
      </c>
    </row>
    <row r="358" ht="20" customHeight="1">
      <c r="B358" s="72" t="n"/>
      <c r="C358" s="72" t="n"/>
      <c r="D358" s="72" t="n"/>
      <c r="E358" s="72" t="n"/>
      <c r="F358" s="110" t="n"/>
      <c r="G358" s="73" t="n"/>
      <c r="H358" s="75">
        <f>IF(B358="","",IF(G358&lt;&gt;"",G358,IF(F358&lt;&gt;"",F358*IFERROR(INDEX('Contractors'!$I$6:$I$1005,MATCH(B358,'Contractors'!$B$6:$B$1005,0)),0),"")))</f>
        <v/>
      </c>
      <c r="I358" s="109" t="n"/>
      <c r="J358" s="72" t="n"/>
      <c r="K358" s="109" t="n"/>
      <c r="L358" s="73" t="n"/>
      <c r="M358" s="109" t="n"/>
      <c r="N358" s="73" t="n"/>
      <c r="O358" s="107">
        <f>IF(B358="","",IF(M358&lt;&gt;"","Paid",IF(AND(I358&lt;&gt;"",I358&lt;AsOf),"OVERDUE",IF(OR(K358&lt;&gt;"",L358&lt;&gt;""),"Invoiced","Scheduled"))))</f>
        <v/>
      </c>
      <c r="P358" s="115">
        <f>IF(B358="","",IF(E358&lt;&gt;"",E358,IFERROR(INDEX('Contractors'!$D$6:$D$1005,MATCH(B358,'Contractors'!$B$6:$B$1005,0)),"")))</f>
        <v/>
      </c>
      <c r="Q358" s="79">
        <f>IF(B358="","",IF(D358&lt;&gt;"",D358,IFERROR(INDEX('Contractors'!$E$6:$E$1005,MATCH(B358,'Contractors'!$B$6:$B$1005,0)),"")))</f>
        <v/>
      </c>
      <c r="R358" s="79">
        <f>IF(O358="","",IF(O358="OVERDUE",2,IF(O358="Paid",0,IF(AND(I358&lt;&gt;"",I358&lt;=AsOf+AlertDays),1,0))))</f>
        <v/>
      </c>
      <c r="S358" s="79">
        <f>IF(AND(B358&lt;&gt;"",M358="",I358&lt;&gt;""),IF(L358&lt;&gt;"",L358,IF(H358="",0,H358)),0)</f>
        <v/>
      </c>
      <c r="T358" s="79">
        <f>IF(AND(B358&lt;&gt;"",M358="",I358&lt;&gt;""),1/I358,0)</f>
        <v/>
      </c>
      <c r="U358" s="112">
        <f>IF(AND(B358&lt;&gt;"",M358="",I358&lt;&gt;""),I358,"")</f>
        <v/>
      </c>
      <c r="V358" s="79">
        <f>IF(U358="","",IF(U358&lt;AsOf,1,IF(U358&lt;=AsOf+AlertDays,2,IF(U358&lt;=AsOf+2*AlertDays,3,""))))</f>
        <v/>
      </c>
      <c r="W358" s="79">
        <f>IF(V358="","",IF(O358="OVERDUE","Overdue payment: ","Payment due: ")&amp;B358&amp;" — "&amp;C358&amp;" ("&amp;CurSym&amp;" "&amp;FIXED(S358,0)&amp;")")</f>
        <v/>
      </c>
      <c r="Z358" s="116">
        <f>IF('Contractors'!B358="","",'Contractors'!B358)</f>
        <v/>
      </c>
      <c r="AA358" s="77">
        <f>IF(Z358="","",'Contractors'!K358)</f>
        <v/>
      </c>
      <c r="AB358" s="77">
        <f>IF(Z358="","",SUMIFS($L$6:$L$1005,$B$6:$B$1005,Z358))</f>
        <v/>
      </c>
      <c r="AC358" s="77">
        <f>IF(Z358="","",SUMIFS($N$6:$N$1005,$B$6:$B$1005,Z358))</f>
        <v/>
      </c>
      <c r="AD358" s="76">
        <f>IF(Z358="","",AA358-AC358)</f>
        <v/>
      </c>
      <c r="AE358" s="117">
        <f>IF(Z358="","",IFERROR(1/SUMPRODUCT(MAX(($B$6:$B$1005=Z358)*$T$6:$T$1005)),""))</f>
        <v/>
      </c>
      <c r="AF358" s="77">
        <f>IF(AE358="","",SUMIFS($S$6:$S$1005,$B$6:$B$1005,Z358,$I$6:$I$1005,AE358))</f>
        <v/>
      </c>
    </row>
    <row r="359" ht="20" customHeight="1">
      <c r="B359" s="72" t="n"/>
      <c r="C359" s="72" t="n"/>
      <c r="D359" s="72" t="n"/>
      <c r="E359" s="72" t="n"/>
      <c r="F359" s="110" t="n"/>
      <c r="G359" s="73" t="n"/>
      <c r="H359" s="75">
        <f>IF(B359="","",IF(G359&lt;&gt;"",G359,IF(F359&lt;&gt;"",F359*IFERROR(INDEX('Contractors'!$I$6:$I$1005,MATCH(B359,'Contractors'!$B$6:$B$1005,0)),0),"")))</f>
        <v/>
      </c>
      <c r="I359" s="109" t="n"/>
      <c r="J359" s="72" t="n"/>
      <c r="K359" s="109" t="n"/>
      <c r="L359" s="73" t="n"/>
      <c r="M359" s="109" t="n"/>
      <c r="N359" s="73" t="n"/>
      <c r="O359" s="107">
        <f>IF(B359="","",IF(M359&lt;&gt;"","Paid",IF(AND(I359&lt;&gt;"",I359&lt;AsOf),"OVERDUE",IF(OR(K359&lt;&gt;"",L359&lt;&gt;""),"Invoiced","Scheduled"))))</f>
        <v/>
      </c>
      <c r="P359" s="115">
        <f>IF(B359="","",IF(E359&lt;&gt;"",E359,IFERROR(INDEX('Contractors'!$D$6:$D$1005,MATCH(B359,'Contractors'!$B$6:$B$1005,0)),"")))</f>
        <v/>
      </c>
      <c r="Q359" s="79">
        <f>IF(B359="","",IF(D359&lt;&gt;"",D359,IFERROR(INDEX('Contractors'!$E$6:$E$1005,MATCH(B359,'Contractors'!$B$6:$B$1005,0)),"")))</f>
        <v/>
      </c>
      <c r="R359" s="79">
        <f>IF(O359="","",IF(O359="OVERDUE",2,IF(O359="Paid",0,IF(AND(I359&lt;&gt;"",I359&lt;=AsOf+AlertDays),1,0))))</f>
        <v/>
      </c>
      <c r="S359" s="79">
        <f>IF(AND(B359&lt;&gt;"",M359="",I359&lt;&gt;""),IF(L359&lt;&gt;"",L359,IF(H359="",0,H359)),0)</f>
        <v/>
      </c>
      <c r="T359" s="79">
        <f>IF(AND(B359&lt;&gt;"",M359="",I359&lt;&gt;""),1/I359,0)</f>
        <v/>
      </c>
      <c r="U359" s="112">
        <f>IF(AND(B359&lt;&gt;"",M359="",I359&lt;&gt;""),I359,"")</f>
        <v/>
      </c>
      <c r="V359" s="79">
        <f>IF(U359="","",IF(U359&lt;AsOf,1,IF(U359&lt;=AsOf+AlertDays,2,IF(U359&lt;=AsOf+2*AlertDays,3,""))))</f>
        <v/>
      </c>
      <c r="W359" s="79">
        <f>IF(V359="","",IF(O359="OVERDUE","Overdue payment: ","Payment due: ")&amp;B359&amp;" — "&amp;C359&amp;" ("&amp;CurSym&amp;" "&amp;FIXED(S359,0)&amp;")")</f>
        <v/>
      </c>
      <c r="Z359" s="116">
        <f>IF('Contractors'!B359="","",'Contractors'!B359)</f>
        <v/>
      </c>
      <c r="AA359" s="77">
        <f>IF(Z359="","",'Contractors'!K359)</f>
        <v/>
      </c>
      <c r="AB359" s="77">
        <f>IF(Z359="","",SUMIFS($L$6:$L$1005,$B$6:$B$1005,Z359))</f>
        <v/>
      </c>
      <c r="AC359" s="77">
        <f>IF(Z359="","",SUMIFS($N$6:$N$1005,$B$6:$B$1005,Z359))</f>
        <v/>
      </c>
      <c r="AD359" s="76">
        <f>IF(Z359="","",AA359-AC359)</f>
        <v/>
      </c>
      <c r="AE359" s="117">
        <f>IF(Z359="","",IFERROR(1/SUMPRODUCT(MAX(($B$6:$B$1005=Z359)*$T$6:$T$1005)),""))</f>
        <v/>
      </c>
      <c r="AF359" s="77">
        <f>IF(AE359="","",SUMIFS($S$6:$S$1005,$B$6:$B$1005,Z359,$I$6:$I$1005,AE359))</f>
        <v/>
      </c>
    </row>
    <row r="360" ht="20" customHeight="1">
      <c r="B360" s="72" t="n"/>
      <c r="C360" s="72" t="n"/>
      <c r="D360" s="72" t="n"/>
      <c r="E360" s="72" t="n"/>
      <c r="F360" s="110" t="n"/>
      <c r="G360" s="73" t="n"/>
      <c r="H360" s="75">
        <f>IF(B360="","",IF(G360&lt;&gt;"",G360,IF(F360&lt;&gt;"",F360*IFERROR(INDEX('Contractors'!$I$6:$I$1005,MATCH(B360,'Contractors'!$B$6:$B$1005,0)),0),"")))</f>
        <v/>
      </c>
      <c r="I360" s="109" t="n"/>
      <c r="J360" s="72" t="n"/>
      <c r="K360" s="109" t="n"/>
      <c r="L360" s="73" t="n"/>
      <c r="M360" s="109" t="n"/>
      <c r="N360" s="73" t="n"/>
      <c r="O360" s="107">
        <f>IF(B360="","",IF(M360&lt;&gt;"","Paid",IF(AND(I360&lt;&gt;"",I360&lt;AsOf),"OVERDUE",IF(OR(K360&lt;&gt;"",L360&lt;&gt;""),"Invoiced","Scheduled"))))</f>
        <v/>
      </c>
      <c r="P360" s="115">
        <f>IF(B360="","",IF(E360&lt;&gt;"",E360,IFERROR(INDEX('Contractors'!$D$6:$D$1005,MATCH(B360,'Contractors'!$B$6:$B$1005,0)),"")))</f>
        <v/>
      </c>
      <c r="Q360" s="79">
        <f>IF(B360="","",IF(D360&lt;&gt;"",D360,IFERROR(INDEX('Contractors'!$E$6:$E$1005,MATCH(B360,'Contractors'!$B$6:$B$1005,0)),"")))</f>
        <v/>
      </c>
      <c r="R360" s="79">
        <f>IF(O360="","",IF(O360="OVERDUE",2,IF(O360="Paid",0,IF(AND(I360&lt;&gt;"",I360&lt;=AsOf+AlertDays),1,0))))</f>
        <v/>
      </c>
      <c r="S360" s="79">
        <f>IF(AND(B360&lt;&gt;"",M360="",I360&lt;&gt;""),IF(L360&lt;&gt;"",L360,IF(H360="",0,H360)),0)</f>
        <v/>
      </c>
      <c r="T360" s="79">
        <f>IF(AND(B360&lt;&gt;"",M360="",I360&lt;&gt;""),1/I360,0)</f>
        <v/>
      </c>
      <c r="U360" s="112">
        <f>IF(AND(B360&lt;&gt;"",M360="",I360&lt;&gt;""),I360,"")</f>
        <v/>
      </c>
      <c r="V360" s="79">
        <f>IF(U360="","",IF(U360&lt;AsOf,1,IF(U360&lt;=AsOf+AlertDays,2,IF(U360&lt;=AsOf+2*AlertDays,3,""))))</f>
        <v/>
      </c>
      <c r="W360" s="79">
        <f>IF(V360="","",IF(O360="OVERDUE","Overdue payment: ","Payment due: ")&amp;B360&amp;" — "&amp;C360&amp;" ("&amp;CurSym&amp;" "&amp;FIXED(S360,0)&amp;")")</f>
        <v/>
      </c>
      <c r="Z360" s="116">
        <f>IF('Contractors'!B360="","",'Contractors'!B360)</f>
        <v/>
      </c>
      <c r="AA360" s="77">
        <f>IF(Z360="","",'Contractors'!K360)</f>
        <v/>
      </c>
      <c r="AB360" s="77">
        <f>IF(Z360="","",SUMIFS($L$6:$L$1005,$B$6:$B$1005,Z360))</f>
        <v/>
      </c>
      <c r="AC360" s="77">
        <f>IF(Z360="","",SUMIFS($N$6:$N$1005,$B$6:$B$1005,Z360))</f>
        <v/>
      </c>
      <c r="AD360" s="76">
        <f>IF(Z360="","",AA360-AC360)</f>
        <v/>
      </c>
      <c r="AE360" s="117">
        <f>IF(Z360="","",IFERROR(1/SUMPRODUCT(MAX(($B$6:$B$1005=Z360)*$T$6:$T$1005)),""))</f>
        <v/>
      </c>
      <c r="AF360" s="77">
        <f>IF(AE360="","",SUMIFS($S$6:$S$1005,$B$6:$B$1005,Z360,$I$6:$I$1005,AE360))</f>
        <v/>
      </c>
    </row>
    <row r="361" ht="20" customHeight="1">
      <c r="B361" s="72" t="n"/>
      <c r="C361" s="72" t="n"/>
      <c r="D361" s="72" t="n"/>
      <c r="E361" s="72" t="n"/>
      <c r="F361" s="110" t="n"/>
      <c r="G361" s="73" t="n"/>
      <c r="H361" s="75">
        <f>IF(B361="","",IF(G361&lt;&gt;"",G361,IF(F361&lt;&gt;"",F361*IFERROR(INDEX('Contractors'!$I$6:$I$1005,MATCH(B361,'Contractors'!$B$6:$B$1005,0)),0),"")))</f>
        <v/>
      </c>
      <c r="I361" s="109" t="n"/>
      <c r="J361" s="72" t="n"/>
      <c r="K361" s="109" t="n"/>
      <c r="L361" s="73" t="n"/>
      <c r="M361" s="109" t="n"/>
      <c r="N361" s="73" t="n"/>
      <c r="O361" s="107">
        <f>IF(B361="","",IF(M361&lt;&gt;"","Paid",IF(AND(I361&lt;&gt;"",I361&lt;AsOf),"OVERDUE",IF(OR(K361&lt;&gt;"",L361&lt;&gt;""),"Invoiced","Scheduled"))))</f>
        <v/>
      </c>
      <c r="P361" s="115">
        <f>IF(B361="","",IF(E361&lt;&gt;"",E361,IFERROR(INDEX('Contractors'!$D$6:$D$1005,MATCH(B361,'Contractors'!$B$6:$B$1005,0)),"")))</f>
        <v/>
      </c>
      <c r="Q361" s="79">
        <f>IF(B361="","",IF(D361&lt;&gt;"",D361,IFERROR(INDEX('Contractors'!$E$6:$E$1005,MATCH(B361,'Contractors'!$B$6:$B$1005,0)),"")))</f>
        <v/>
      </c>
      <c r="R361" s="79">
        <f>IF(O361="","",IF(O361="OVERDUE",2,IF(O361="Paid",0,IF(AND(I361&lt;&gt;"",I361&lt;=AsOf+AlertDays),1,0))))</f>
        <v/>
      </c>
      <c r="S361" s="79">
        <f>IF(AND(B361&lt;&gt;"",M361="",I361&lt;&gt;""),IF(L361&lt;&gt;"",L361,IF(H361="",0,H361)),0)</f>
        <v/>
      </c>
      <c r="T361" s="79">
        <f>IF(AND(B361&lt;&gt;"",M361="",I361&lt;&gt;""),1/I361,0)</f>
        <v/>
      </c>
      <c r="U361" s="112">
        <f>IF(AND(B361&lt;&gt;"",M361="",I361&lt;&gt;""),I361,"")</f>
        <v/>
      </c>
      <c r="V361" s="79">
        <f>IF(U361="","",IF(U361&lt;AsOf,1,IF(U361&lt;=AsOf+AlertDays,2,IF(U361&lt;=AsOf+2*AlertDays,3,""))))</f>
        <v/>
      </c>
      <c r="W361" s="79">
        <f>IF(V361="","",IF(O361="OVERDUE","Overdue payment: ","Payment due: ")&amp;B361&amp;" — "&amp;C361&amp;" ("&amp;CurSym&amp;" "&amp;FIXED(S361,0)&amp;")")</f>
        <v/>
      </c>
      <c r="Z361" s="116">
        <f>IF('Contractors'!B361="","",'Contractors'!B361)</f>
        <v/>
      </c>
      <c r="AA361" s="77">
        <f>IF(Z361="","",'Contractors'!K361)</f>
        <v/>
      </c>
      <c r="AB361" s="77">
        <f>IF(Z361="","",SUMIFS($L$6:$L$1005,$B$6:$B$1005,Z361))</f>
        <v/>
      </c>
      <c r="AC361" s="77">
        <f>IF(Z361="","",SUMIFS($N$6:$N$1005,$B$6:$B$1005,Z361))</f>
        <v/>
      </c>
      <c r="AD361" s="76">
        <f>IF(Z361="","",AA361-AC361)</f>
        <v/>
      </c>
      <c r="AE361" s="117">
        <f>IF(Z361="","",IFERROR(1/SUMPRODUCT(MAX(($B$6:$B$1005=Z361)*$T$6:$T$1005)),""))</f>
        <v/>
      </c>
      <c r="AF361" s="77">
        <f>IF(AE361="","",SUMIFS($S$6:$S$1005,$B$6:$B$1005,Z361,$I$6:$I$1005,AE361))</f>
        <v/>
      </c>
    </row>
    <row r="362" ht="20" customHeight="1">
      <c r="B362" s="72" t="n"/>
      <c r="C362" s="72" t="n"/>
      <c r="D362" s="72" t="n"/>
      <c r="E362" s="72" t="n"/>
      <c r="F362" s="110" t="n"/>
      <c r="G362" s="73" t="n"/>
      <c r="H362" s="75">
        <f>IF(B362="","",IF(G362&lt;&gt;"",G362,IF(F362&lt;&gt;"",F362*IFERROR(INDEX('Contractors'!$I$6:$I$1005,MATCH(B362,'Contractors'!$B$6:$B$1005,0)),0),"")))</f>
        <v/>
      </c>
      <c r="I362" s="109" t="n"/>
      <c r="J362" s="72" t="n"/>
      <c r="K362" s="109" t="n"/>
      <c r="L362" s="73" t="n"/>
      <c r="M362" s="109" t="n"/>
      <c r="N362" s="73" t="n"/>
      <c r="O362" s="107">
        <f>IF(B362="","",IF(M362&lt;&gt;"","Paid",IF(AND(I362&lt;&gt;"",I362&lt;AsOf),"OVERDUE",IF(OR(K362&lt;&gt;"",L362&lt;&gt;""),"Invoiced","Scheduled"))))</f>
        <v/>
      </c>
      <c r="P362" s="115">
        <f>IF(B362="","",IF(E362&lt;&gt;"",E362,IFERROR(INDEX('Contractors'!$D$6:$D$1005,MATCH(B362,'Contractors'!$B$6:$B$1005,0)),"")))</f>
        <v/>
      </c>
      <c r="Q362" s="79">
        <f>IF(B362="","",IF(D362&lt;&gt;"",D362,IFERROR(INDEX('Contractors'!$E$6:$E$1005,MATCH(B362,'Contractors'!$B$6:$B$1005,0)),"")))</f>
        <v/>
      </c>
      <c r="R362" s="79">
        <f>IF(O362="","",IF(O362="OVERDUE",2,IF(O362="Paid",0,IF(AND(I362&lt;&gt;"",I362&lt;=AsOf+AlertDays),1,0))))</f>
        <v/>
      </c>
      <c r="S362" s="79">
        <f>IF(AND(B362&lt;&gt;"",M362="",I362&lt;&gt;""),IF(L362&lt;&gt;"",L362,IF(H362="",0,H362)),0)</f>
        <v/>
      </c>
      <c r="T362" s="79">
        <f>IF(AND(B362&lt;&gt;"",M362="",I362&lt;&gt;""),1/I362,0)</f>
        <v/>
      </c>
      <c r="U362" s="112">
        <f>IF(AND(B362&lt;&gt;"",M362="",I362&lt;&gt;""),I362,"")</f>
        <v/>
      </c>
      <c r="V362" s="79">
        <f>IF(U362="","",IF(U362&lt;AsOf,1,IF(U362&lt;=AsOf+AlertDays,2,IF(U362&lt;=AsOf+2*AlertDays,3,""))))</f>
        <v/>
      </c>
      <c r="W362" s="79">
        <f>IF(V362="","",IF(O362="OVERDUE","Overdue payment: ","Payment due: ")&amp;B362&amp;" — "&amp;C362&amp;" ("&amp;CurSym&amp;" "&amp;FIXED(S362,0)&amp;")")</f>
        <v/>
      </c>
      <c r="Z362" s="116">
        <f>IF('Contractors'!B362="","",'Contractors'!B362)</f>
        <v/>
      </c>
      <c r="AA362" s="77">
        <f>IF(Z362="","",'Contractors'!K362)</f>
        <v/>
      </c>
      <c r="AB362" s="77">
        <f>IF(Z362="","",SUMIFS($L$6:$L$1005,$B$6:$B$1005,Z362))</f>
        <v/>
      </c>
      <c r="AC362" s="77">
        <f>IF(Z362="","",SUMIFS($N$6:$N$1005,$B$6:$B$1005,Z362))</f>
        <v/>
      </c>
      <c r="AD362" s="76">
        <f>IF(Z362="","",AA362-AC362)</f>
        <v/>
      </c>
      <c r="AE362" s="117">
        <f>IF(Z362="","",IFERROR(1/SUMPRODUCT(MAX(($B$6:$B$1005=Z362)*$T$6:$T$1005)),""))</f>
        <v/>
      </c>
      <c r="AF362" s="77">
        <f>IF(AE362="","",SUMIFS($S$6:$S$1005,$B$6:$B$1005,Z362,$I$6:$I$1005,AE362))</f>
        <v/>
      </c>
    </row>
    <row r="363" ht="20" customHeight="1">
      <c r="B363" s="72" t="n"/>
      <c r="C363" s="72" t="n"/>
      <c r="D363" s="72" t="n"/>
      <c r="E363" s="72" t="n"/>
      <c r="F363" s="110" t="n"/>
      <c r="G363" s="73" t="n"/>
      <c r="H363" s="75">
        <f>IF(B363="","",IF(G363&lt;&gt;"",G363,IF(F363&lt;&gt;"",F363*IFERROR(INDEX('Contractors'!$I$6:$I$1005,MATCH(B363,'Contractors'!$B$6:$B$1005,0)),0),"")))</f>
        <v/>
      </c>
      <c r="I363" s="109" t="n"/>
      <c r="J363" s="72" t="n"/>
      <c r="K363" s="109" t="n"/>
      <c r="L363" s="73" t="n"/>
      <c r="M363" s="109" t="n"/>
      <c r="N363" s="73" t="n"/>
      <c r="O363" s="107">
        <f>IF(B363="","",IF(M363&lt;&gt;"","Paid",IF(AND(I363&lt;&gt;"",I363&lt;AsOf),"OVERDUE",IF(OR(K363&lt;&gt;"",L363&lt;&gt;""),"Invoiced","Scheduled"))))</f>
        <v/>
      </c>
      <c r="P363" s="115">
        <f>IF(B363="","",IF(E363&lt;&gt;"",E363,IFERROR(INDEX('Contractors'!$D$6:$D$1005,MATCH(B363,'Contractors'!$B$6:$B$1005,0)),"")))</f>
        <v/>
      </c>
      <c r="Q363" s="79">
        <f>IF(B363="","",IF(D363&lt;&gt;"",D363,IFERROR(INDEX('Contractors'!$E$6:$E$1005,MATCH(B363,'Contractors'!$B$6:$B$1005,0)),"")))</f>
        <v/>
      </c>
      <c r="R363" s="79">
        <f>IF(O363="","",IF(O363="OVERDUE",2,IF(O363="Paid",0,IF(AND(I363&lt;&gt;"",I363&lt;=AsOf+AlertDays),1,0))))</f>
        <v/>
      </c>
      <c r="S363" s="79">
        <f>IF(AND(B363&lt;&gt;"",M363="",I363&lt;&gt;""),IF(L363&lt;&gt;"",L363,IF(H363="",0,H363)),0)</f>
        <v/>
      </c>
      <c r="T363" s="79">
        <f>IF(AND(B363&lt;&gt;"",M363="",I363&lt;&gt;""),1/I363,0)</f>
        <v/>
      </c>
      <c r="U363" s="112">
        <f>IF(AND(B363&lt;&gt;"",M363="",I363&lt;&gt;""),I363,"")</f>
        <v/>
      </c>
      <c r="V363" s="79">
        <f>IF(U363="","",IF(U363&lt;AsOf,1,IF(U363&lt;=AsOf+AlertDays,2,IF(U363&lt;=AsOf+2*AlertDays,3,""))))</f>
        <v/>
      </c>
      <c r="W363" s="79">
        <f>IF(V363="","",IF(O363="OVERDUE","Overdue payment: ","Payment due: ")&amp;B363&amp;" — "&amp;C363&amp;" ("&amp;CurSym&amp;" "&amp;FIXED(S363,0)&amp;")")</f>
        <v/>
      </c>
      <c r="Z363" s="116">
        <f>IF('Contractors'!B363="","",'Contractors'!B363)</f>
        <v/>
      </c>
      <c r="AA363" s="77">
        <f>IF(Z363="","",'Contractors'!K363)</f>
        <v/>
      </c>
      <c r="AB363" s="77">
        <f>IF(Z363="","",SUMIFS($L$6:$L$1005,$B$6:$B$1005,Z363))</f>
        <v/>
      </c>
      <c r="AC363" s="77">
        <f>IF(Z363="","",SUMIFS($N$6:$N$1005,$B$6:$B$1005,Z363))</f>
        <v/>
      </c>
      <c r="AD363" s="76">
        <f>IF(Z363="","",AA363-AC363)</f>
        <v/>
      </c>
      <c r="AE363" s="117">
        <f>IF(Z363="","",IFERROR(1/SUMPRODUCT(MAX(($B$6:$B$1005=Z363)*$T$6:$T$1005)),""))</f>
        <v/>
      </c>
      <c r="AF363" s="77">
        <f>IF(AE363="","",SUMIFS($S$6:$S$1005,$B$6:$B$1005,Z363,$I$6:$I$1005,AE363))</f>
        <v/>
      </c>
    </row>
    <row r="364" ht="20" customHeight="1">
      <c r="B364" s="72" t="n"/>
      <c r="C364" s="72" t="n"/>
      <c r="D364" s="72" t="n"/>
      <c r="E364" s="72" t="n"/>
      <c r="F364" s="110" t="n"/>
      <c r="G364" s="73" t="n"/>
      <c r="H364" s="75">
        <f>IF(B364="","",IF(G364&lt;&gt;"",G364,IF(F364&lt;&gt;"",F364*IFERROR(INDEX('Contractors'!$I$6:$I$1005,MATCH(B364,'Contractors'!$B$6:$B$1005,0)),0),"")))</f>
        <v/>
      </c>
      <c r="I364" s="109" t="n"/>
      <c r="J364" s="72" t="n"/>
      <c r="K364" s="109" t="n"/>
      <c r="L364" s="73" t="n"/>
      <c r="M364" s="109" t="n"/>
      <c r="N364" s="73" t="n"/>
      <c r="O364" s="107">
        <f>IF(B364="","",IF(M364&lt;&gt;"","Paid",IF(AND(I364&lt;&gt;"",I364&lt;AsOf),"OVERDUE",IF(OR(K364&lt;&gt;"",L364&lt;&gt;""),"Invoiced","Scheduled"))))</f>
        <v/>
      </c>
      <c r="P364" s="115">
        <f>IF(B364="","",IF(E364&lt;&gt;"",E364,IFERROR(INDEX('Contractors'!$D$6:$D$1005,MATCH(B364,'Contractors'!$B$6:$B$1005,0)),"")))</f>
        <v/>
      </c>
      <c r="Q364" s="79">
        <f>IF(B364="","",IF(D364&lt;&gt;"",D364,IFERROR(INDEX('Contractors'!$E$6:$E$1005,MATCH(B364,'Contractors'!$B$6:$B$1005,0)),"")))</f>
        <v/>
      </c>
      <c r="R364" s="79">
        <f>IF(O364="","",IF(O364="OVERDUE",2,IF(O364="Paid",0,IF(AND(I364&lt;&gt;"",I364&lt;=AsOf+AlertDays),1,0))))</f>
        <v/>
      </c>
      <c r="S364" s="79">
        <f>IF(AND(B364&lt;&gt;"",M364="",I364&lt;&gt;""),IF(L364&lt;&gt;"",L364,IF(H364="",0,H364)),0)</f>
        <v/>
      </c>
      <c r="T364" s="79">
        <f>IF(AND(B364&lt;&gt;"",M364="",I364&lt;&gt;""),1/I364,0)</f>
        <v/>
      </c>
      <c r="U364" s="112">
        <f>IF(AND(B364&lt;&gt;"",M364="",I364&lt;&gt;""),I364,"")</f>
        <v/>
      </c>
      <c r="V364" s="79">
        <f>IF(U364="","",IF(U364&lt;AsOf,1,IF(U364&lt;=AsOf+AlertDays,2,IF(U364&lt;=AsOf+2*AlertDays,3,""))))</f>
        <v/>
      </c>
      <c r="W364" s="79">
        <f>IF(V364="","",IF(O364="OVERDUE","Overdue payment: ","Payment due: ")&amp;B364&amp;" — "&amp;C364&amp;" ("&amp;CurSym&amp;" "&amp;FIXED(S364,0)&amp;")")</f>
        <v/>
      </c>
      <c r="Z364" s="116">
        <f>IF('Contractors'!B364="","",'Contractors'!B364)</f>
        <v/>
      </c>
      <c r="AA364" s="77">
        <f>IF(Z364="","",'Contractors'!K364)</f>
        <v/>
      </c>
      <c r="AB364" s="77">
        <f>IF(Z364="","",SUMIFS($L$6:$L$1005,$B$6:$B$1005,Z364))</f>
        <v/>
      </c>
      <c r="AC364" s="77">
        <f>IF(Z364="","",SUMIFS($N$6:$N$1005,$B$6:$B$1005,Z364))</f>
        <v/>
      </c>
      <c r="AD364" s="76">
        <f>IF(Z364="","",AA364-AC364)</f>
        <v/>
      </c>
      <c r="AE364" s="117">
        <f>IF(Z364="","",IFERROR(1/SUMPRODUCT(MAX(($B$6:$B$1005=Z364)*$T$6:$T$1005)),""))</f>
        <v/>
      </c>
      <c r="AF364" s="77">
        <f>IF(AE364="","",SUMIFS($S$6:$S$1005,$B$6:$B$1005,Z364,$I$6:$I$1005,AE364))</f>
        <v/>
      </c>
    </row>
    <row r="365" ht="20" customHeight="1">
      <c r="B365" s="72" t="n"/>
      <c r="C365" s="72" t="n"/>
      <c r="D365" s="72" t="n"/>
      <c r="E365" s="72" t="n"/>
      <c r="F365" s="110" t="n"/>
      <c r="G365" s="73" t="n"/>
      <c r="H365" s="75">
        <f>IF(B365="","",IF(G365&lt;&gt;"",G365,IF(F365&lt;&gt;"",F365*IFERROR(INDEX('Contractors'!$I$6:$I$1005,MATCH(B365,'Contractors'!$B$6:$B$1005,0)),0),"")))</f>
        <v/>
      </c>
      <c r="I365" s="109" t="n"/>
      <c r="J365" s="72" t="n"/>
      <c r="K365" s="109" t="n"/>
      <c r="L365" s="73" t="n"/>
      <c r="M365" s="109" t="n"/>
      <c r="N365" s="73" t="n"/>
      <c r="O365" s="107">
        <f>IF(B365="","",IF(M365&lt;&gt;"","Paid",IF(AND(I365&lt;&gt;"",I365&lt;AsOf),"OVERDUE",IF(OR(K365&lt;&gt;"",L365&lt;&gt;""),"Invoiced","Scheduled"))))</f>
        <v/>
      </c>
      <c r="P365" s="115">
        <f>IF(B365="","",IF(E365&lt;&gt;"",E365,IFERROR(INDEX('Contractors'!$D$6:$D$1005,MATCH(B365,'Contractors'!$B$6:$B$1005,0)),"")))</f>
        <v/>
      </c>
      <c r="Q365" s="79">
        <f>IF(B365="","",IF(D365&lt;&gt;"",D365,IFERROR(INDEX('Contractors'!$E$6:$E$1005,MATCH(B365,'Contractors'!$B$6:$B$1005,0)),"")))</f>
        <v/>
      </c>
      <c r="R365" s="79">
        <f>IF(O365="","",IF(O365="OVERDUE",2,IF(O365="Paid",0,IF(AND(I365&lt;&gt;"",I365&lt;=AsOf+AlertDays),1,0))))</f>
        <v/>
      </c>
      <c r="S365" s="79">
        <f>IF(AND(B365&lt;&gt;"",M365="",I365&lt;&gt;""),IF(L365&lt;&gt;"",L365,IF(H365="",0,H365)),0)</f>
        <v/>
      </c>
      <c r="T365" s="79">
        <f>IF(AND(B365&lt;&gt;"",M365="",I365&lt;&gt;""),1/I365,0)</f>
        <v/>
      </c>
      <c r="U365" s="112">
        <f>IF(AND(B365&lt;&gt;"",M365="",I365&lt;&gt;""),I365,"")</f>
        <v/>
      </c>
      <c r="V365" s="79">
        <f>IF(U365="","",IF(U365&lt;AsOf,1,IF(U365&lt;=AsOf+AlertDays,2,IF(U365&lt;=AsOf+2*AlertDays,3,""))))</f>
        <v/>
      </c>
      <c r="W365" s="79">
        <f>IF(V365="","",IF(O365="OVERDUE","Overdue payment: ","Payment due: ")&amp;B365&amp;" — "&amp;C365&amp;" ("&amp;CurSym&amp;" "&amp;FIXED(S365,0)&amp;")")</f>
        <v/>
      </c>
      <c r="Z365" s="116">
        <f>IF('Contractors'!B365="","",'Contractors'!B365)</f>
        <v/>
      </c>
      <c r="AA365" s="77">
        <f>IF(Z365="","",'Contractors'!K365)</f>
        <v/>
      </c>
      <c r="AB365" s="77">
        <f>IF(Z365="","",SUMIFS($L$6:$L$1005,$B$6:$B$1005,Z365))</f>
        <v/>
      </c>
      <c r="AC365" s="77">
        <f>IF(Z365="","",SUMIFS($N$6:$N$1005,$B$6:$B$1005,Z365))</f>
        <v/>
      </c>
      <c r="AD365" s="76">
        <f>IF(Z365="","",AA365-AC365)</f>
        <v/>
      </c>
      <c r="AE365" s="117">
        <f>IF(Z365="","",IFERROR(1/SUMPRODUCT(MAX(($B$6:$B$1005=Z365)*$T$6:$T$1005)),""))</f>
        <v/>
      </c>
      <c r="AF365" s="77">
        <f>IF(AE365="","",SUMIFS($S$6:$S$1005,$B$6:$B$1005,Z365,$I$6:$I$1005,AE365))</f>
        <v/>
      </c>
    </row>
    <row r="366" ht="20" customHeight="1">
      <c r="B366" s="72" t="n"/>
      <c r="C366" s="72" t="n"/>
      <c r="D366" s="72" t="n"/>
      <c r="E366" s="72" t="n"/>
      <c r="F366" s="110" t="n"/>
      <c r="G366" s="73" t="n"/>
      <c r="H366" s="75">
        <f>IF(B366="","",IF(G366&lt;&gt;"",G366,IF(F366&lt;&gt;"",F366*IFERROR(INDEX('Contractors'!$I$6:$I$1005,MATCH(B366,'Contractors'!$B$6:$B$1005,0)),0),"")))</f>
        <v/>
      </c>
      <c r="I366" s="109" t="n"/>
      <c r="J366" s="72" t="n"/>
      <c r="K366" s="109" t="n"/>
      <c r="L366" s="73" t="n"/>
      <c r="M366" s="109" t="n"/>
      <c r="N366" s="73" t="n"/>
      <c r="O366" s="107">
        <f>IF(B366="","",IF(M366&lt;&gt;"","Paid",IF(AND(I366&lt;&gt;"",I366&lt;AsOf),"OVERDUE",IF(OR(K366&lt;&gt;"",L366&lt;&gt;""),"Invoiced","Scheduled"))))</f>
        <v/>
      </c>
      <c r="P366" s="115">
        <f>IF(B366="","",IF(E366&lt;&gt;"",E366,IFERROR(INDEX('Contractors'!$D$6:$D$1005,MATCH(B366,'Contractors'!$B$6:$B$1005,0)),"")))</f>
        <v/>
      </c>
      <c r="Q366" s="79">
        <f>IF(B366="","",IF(D366&lt;&gt;"",D366,IFERROR(INDEX('Contractors'!$E$6:$E$1005,MATCH(B366,'Contractors'!$B$6:$B$1005,0)),"")))</f>
        <v/>
      </c>
      <c r="R366" s="79">
        <f>IF(O366="","",IF(O366="OVERDUE",2,IF(O366="Paid",0,IF(AND(I366&lt;&gt;"",I366&lt;=AsOf+AlertDays),1,0))))</f>
        <v/>
      </c>
      <c r="S366" s="79">
        <f>IF(AND(B366&lt;&gt;"",M366="",I366&lt;&gt;""),IF(L366&lt;&gt;"",L366,IF(H366="",0,H366)),0)</f>
        <v/>
      </c>
      <c r="T366" s="79">
        <f>IF(AND(B366&lt;&gt;"",M366="",I366&lt;&gt;""),1/I366,0)</f>
        <v/>
      </c>
      <c r="U366" s="112">
        <f>IF(AND(B366&lt;&gt;"",M366="",I366&lt;&gt;""),I366,"")</f>
        <v/>
      </c>
      <c r="V366" s="79">
        <f>IF(U366="","",IF(U366&lt;AsOf,1,IF(U366&lt;=AsOf+AlertDays,2,IF(U366&lt;=AsOf+2*AlertDays,3,""))))</f>
        <v/>
      </c>
      <c r="W366" s="79">
        <f>IF(V366="","",IF(O366="OVERDUE","Overdue payment: ","Payment due: ")&amp;B366&amp;" — "&amp;C366&amp;" ("&amp;CurSym&amp;" "&amp;FIXED(S366,0)&amp;")")</f>
        <v/>
      </c>
      <c r="Z366" s="116">
        <f>IF('Contractors'!B366="","",'Contractors'!B366)</f>
        <v/>
      </c>
      <c r="AA366" s="77">
        <f>IF(Z366="","",'Contractors'!K366)</f>
        <v/>
      </c>
      <c r="AB366" s="77">
        <f>IF(Z366="","",SUMIFS($L$6:$L$1005,$B$6:$B$1005,Z366))</f>
        <v/>
      </c>
      <c r="AC366" s="77">
        <f>IF(Z366="","",SUMIFS($N$6:$N$1005,$B$6:$B$1005,Z366))</f>
        <v/>
      </c>
      <c r="AD366" s="76">
        <f>IF(Z366="","",AA366-AC366)</f>
        <v/>
      </c>
      <c r="AE366" s="117">
        <f>IF(Z366="","",IFERROR(1/SUMPRODUCT(MAX(($B$6:$B$1005=Z366)*$T$6:$T$1005)),""))</f>
        <v/>
      </c>
      <c r="AF366" s="77">
        <f>IF(AE366="","",SUMIFS($S$6:$S$1005,$B$6:$B$1005,Z366,$I$6:$I$1005,AE366))</f>
        <v/>
      </c>
    </row>
    <row r="367" ht="20" customHeight="1">
      <c r="B367" s="72" t="n"/>
      <c r="C367" s="72" t="n"/>
      <c r="D367" s="72" t="n"/>
      <c r="E367" s="72" t="n"/>
      <c r="F367" s="110" t="n"/>
      <c r="G367" s="73" t="n"/>
      <c r="H367" s="75">
        <f>IF(B367="","",IF(G367&lt;&gt;"",G367,IF(F367&lt;&gt;"",F367*IFERROR(INDEX('Contractors'!$I$6:$I$1005,MATCH(B367,'Contractors'!$B$6:$B$1005,0)),0),"")))</f>
        <v/>
      </c>
      <c r="I367" s="109" t="n"/>
      <c r="J367" s="72" t="n"/>
      <c r="K367" s="109" t="n"/>
      <c r="L367" s="73" t="n"/>
      <c r="M367" s="109" t="n"/>
      <c r="N367" s="73" t="n"/>
      <c r="O367" s="107">
        <f>IF(B367="","",IF(M367&lt;&gt;"","Paid",IF(AND(I367&lt;&gt;"",I367&lt;AsOf),"OVERDUE",IF(OR(K367&lt;&gt;"",L367&lt;&gt;""),"Invoiced","Scheduled"))))</f>
        <v/>
      </c>
      <c r="P367" s="115">
        <f>IF(B367="","",IF(E367&lt;&gt;"",E367,IFERROR(INDEX('Contractors'!$D$6:$D$1005,MATCH(B367,'Contractors'!$B$6:$B$1005,0)),"")))</f>
        <v/>
      </c>
      <c r="Q367" s="79">
        <f>IF(B367="","",IF(D367&lt;&gt;"",D367,IFERROR(INDEX('Contractors'!$E$6:$E$1005,MATCH(B367,'Contractors'!$B$6:$B$1005,0)),"")))</f>
        <v/>
      </c>
      <c r="R367" s="79">
        <f>IF(O367="","",IF(O367="OVERDUE",2,IF(O367="Paid",0,IF(AND(I367&lt;&gt;"",I367&lt;=AsOf+AlertDays),1,0))))</f>
        <v/>
      </c>
      <c r="S367" s="79">
        <f>IF(AND(B367&lt;&gt;"",M367="",I367&lt;&gt;""),IF(L367&lt;&gt;"",L367,IF(H367="",0,H367)),0)</f>
        <v/>
      </c>
      <c r="T367" s="79">
        <f>IF(AND(B367&lt;&gt;"",M367="",I367&lt;&gt;""),1/I367,0)</f>
        <v/>
      </c>
      <c r="U367" s="112">
        <f>IF(AND(B367&lt;&gt;"",M367="",I367&lt;&gt;""),I367,"")</f>
        <v/>
      </c>
      <c r="V367" s="79">
        <f>IF(U367="","",IF(U367&lt;AsOf,1,IF(U367&lt;=AsOf+AlertDays,2,IF(U367&lt;=AsOf+2*AlertDays,3,""))))</f>
        <v/>
      </c>
      <c r="W367" s="79">
        <f>IF(V367="","",IF(O367="OVERDUE","Overdue payment: ","Payment due: ")&amp;B367&amp;" — "&amp;C367&amp;" ("&amp;CurSym&amp;" "&amp;FIXED(S367,0)&amp;")")</f>
        <v/>
      </c>
      <c r="Z367" s="116">
        <f>IF('Contractors'!B367="","",'Contractors'!B367)</f>
        <v/>
      </c>
      <c r="AA367" s="77">
        <f>IF(Z367="","",'Contractors'!K367)</f>
        <v/>
      </c>
      <c r="AB367" s="77">
        <f>IF(Z367="","",SUMIFS($L$6:$L$1005,$B$6:$B$1005,Z367))</f>
        <v/>
      </c>
      <c r="AC367" s="77">
        <f>IF(Z367="","",SUMIFS($N$6:$N$1005,$B$6:$B$1005,Z367))</f>
        <v/>
      </c>
      <c r="AD367" s="76">
        <f>IF(Z367="","",AA367-AC367)</f>
        <v/>
      </c>
      <c r="AE367" s="117">
        <f>IF(Z367="","",IFERROR(1/SUMPRODUCT(MAX(($B$6:$B$1005=Z367)*$T$6:$T$1005)),""))</f>
        <v/>
      </c>
      <c r="AF367" s="77">
        <f>IF(AE367="","",SUMIFS($S$6:$S$1005,$B$6:$B$1005,Z367,$I$6:$I$1005,AE367))</f>
        <v/>
      </c>
    </row>
    <row r="368" ht="20" customHeight="1">
      <c r="B368" s="72" t="n"/>
      <c r="C368" s="72" t="n"/>
      <c r="D368" s="72" t="n"/>
      <c r="E368" s="72" t="n"/>
      <c r="F368" s="110" t="n"/>
      <c r="G368" s="73" t="n"/>
      <c r="H368" s="75">
        <f>IF(B368="","",IF(G368&lt;&gt;"",G368,IF(F368&lt;&gt;"",F368*IFERROR(INDEX('Contractors'!$I$6:$I$1005,MATCH(B368,'Contractors'!$B$6:$B$1005,0)),0),"")))</f>
        <v/>
      </c>
      <c r="I368" s="109" t="n"/>
      <c r="J368" s="72" t="n"/>
      <c r="K368" s="109" t="n"/>
      <c r="L368" s="73" t="n"/>
      <c r="M368" s="109" t="n"/>
      <c r="N368" s="73" t="n"/>
      <c r="O368" s="107">
        <f>IF(B368="","",IF(M368&lt;&gt;"","Paid",IF(AND(I368&lt;&gt;"",I368&lt;AsOf),"OVERDUE",IF(OR(K368&lt;&gt;"",L368&lt;&gt;""),"Invoiced","Scheduled"))))</f>
        <v/>
      </c>
      <c r="P368" s="115">
        <f>IF(B368="","",IF(E368&lt;&gt;"",E368,IFERROR(INDEX('Contractors'!$D$6:$D$1005,MATCH(B368,'Contractors'!$B$6:$B$1005,0)),"")))</f>
        <v/>
      </c>
      <c r="Q368" s="79">
        <f>IF(B368="","",IF(D368&lt;&gt;"",D368,IFERROR(INDEX('Contractors'!$E$6:$E$1005,MATCH(B368,'Contractors'!$B$6:$B$1005,0)),"")))</f>
        <v/>
      </c>
      <c r="R368" s="79">
        <f>IF(O368="","",IF(O368="OVERDUE",2,IF(O368="Paid",0,IF(AND(I368&lt;&gt;"",I368&lt;=AsOf+AlertDays),1,0))))</f>
        <v/>
      </c>
      <c r="S368" s="79">
        <f>IF(AND(B368&lt;&gt;"",M368="",I368&lt;&gt;""),IF(L368&lt;&gt;"",L368,IF(H368="",0,H368)),0)</f>
        <v/>
      </c>
      <c r="T368" s="79">
        <f>IF(AND(B368&lt;&gt;"",M368="",I368&lt;&gt;""),1/I368,0)</f>
        <v/>
      </c>
      <c r="U368" s="112">
        <f>IF(AND(B368&lt;&gt;"",M368="",I368&lt;&gt;""),I368,"")</f>
        <v/>
      </c>
      <c r="V368" s="79">
        <f>IF(U368="","",IF(U368&lt;AsOf,1,IF(U368&lt;=AsOf+AlertDays,2,IF(U368&lt;=AsOf+2*AlertDays,3,""))))</f>
        <v/>
      </c>
      <c r="W368" s="79">
        <f>IF(V368="","",IF(O368="OVERDUE","Overdue payment: ","Payment due: ")&amp;B368&amp;" — "&amp;C368&amp;" ("&amp;CurSym&amp;" "&amp;FIXED(S368,0)&amp;")")</f>
        <v/>
      </c>
      <c r="Z368" s="116">
        <f>IF('Contractors'!B368="","",'Contractors'!B368)</f>
        <v/>
      </c>
      <c r="AA368" s="77">
        <f>IF(Z368="","",'Contractors'!K368)</f>
        <v/>
      </c>
      <c r="AB368" s="77">
        <f>IF(Z368="","",SUMIFS($L$6:$L$1005,$B$6:$B$1005,Z368))</f>
        <v/>
      </c>
      <c r="AC368" s="77">
        <f>IF(Z368="","",SUMIFS($N$6:$N$1005,$B$6:$B$1005,Z368))</f>
        <v/>
      </c>
      <c r="AD368" s="76">
        <f>IF(Z368="","",AA368-AC368)</f>
        <v/>
      </c>
      <c r="AE368" s="117">
        <f>IF(Z368="","",IFERROR(1/SUMPRODUCT(MAX(($B$6:$B$1005=Z368)*$T$6:$T$1005)),""))</f>
        <v/>
      </c>
      <c r="AF368" s="77">
        <f>IF(AE368="","",SUMIFS($S$6:$S$1005,$B$6:$B$1005,Z368,$I$6:$I$1005,AE368))</f>
        <v/>
      </c>
    </row>
    <row r="369" ht="20" customHeight="1">
      <c r="B369" s="72" t="n"/>
      <c r="C369" s="72" t="n"/>
      <c r="D369" s="72" t="n"/>
      <c r="E369" s="72" t="n"/>
      <c r="F369" s="110" t="n"/>
      <c r="G369" s="73" t="n"/>
      <c r="H369" s="75">
        <f>IF(B369="","",IF(G369&lt;&gt;"",G369,IF(F369&lt;&gt;"",F369*IFERROR(INDEX('Contractors'!$I$6:$I$1005,MATCH(B369,'Contractors'!$B$6:$B$1005,0)),0),"")))</f>
        <v/>
      </c>
      <c r="I369" s="109" t="n"/>
      <c r="J369" s="72" t="n"/>
      <c r="K369" s="109" t="n"/>
      <c r="L369" s="73" t="n"/>
      <c r="M369" s="109" t="n"/>
      <c r="N369" s="73" t="n"/>
      <c r="O369" s="107">
        <f>IF(B369="","",IF(M369&lt;&gt;"","Paid",IF(AND(I369&lt;&gt;"",I369&lt;AsOf),"OVERDUE",IF(OR(K369&lt;&gt;"",L369&lt;&gt;""),"Invoiced","Scheduled"))))</f>
        <v/>
      </c>
      <c r="P369" s="115">
        <f>IF(B369="","",IF(E369&lt;&gt;"",E369,IFERROR(INDEX('Contractors'!$D$6:$D$1005,MATCH(B369,'Contractors'!$B$6:$B$1005,0)),"")))</f>
        <v/>
      </c>
      <c r="Q369" s="79">
        <f>IF(B369="","",IF(D369&lt;&gt;"",D369,IFERROR(INDEX('Contractors'!$E$6:$E$1005,MATCH(B369,'Contractors'!$B$6:$B$1005,0)),"")))</f>
        <v/>
      </c>
      <c r="R369" s="79">
        <f>IF(O369="","",IF(O369="OVERDUE",2,IF(O369="Paid",0,IF(AND(I369&lt;&gt;"",I369&lt;=AsOf+AlertDays),1,0))))</f>
        <v/>
      </c>
      <c r="S369" s="79">
        <f>IF(AND(B369&lt;&gt;"",M369="",I369&lt;&gt;""),IF(L369&lt;&gt;"",L369,IF(H369="",0,H369)),0)</f>
        <v/>
      </c>
      <c r="T369" s="79">
        <f>IF(AND(B369&lt;&gt;"",M369="",I369&lt;&gt;""),1/I369,0)</f>
        <v/>
      </c>
      <c r="U369" s="112">
        <f>IF(AND(B369&lt;&gt;"",M369="",I369&lt;&gt;""),I369,"")</f>
        <v/>
      </c>
      <c r="V369" s="79">
        <f>IF(U369="","",IF(U369&lt;AsOf,1,IF(U369&lt;=AsOf+AlertDays,2,IF(U369&lt;=AsOf+2*AlertDays,3,""))))</f>
        <v/>
      </c>
      <c r="W369" s="79">
        <f>IF(V369="","",IF(O369="OVERDUE","Overdue payment: ","Payment due: ")&amp;B369&amp;" — "&amp;C369&amp;" ("&amp;CurSym&amp;" "&amp;FIXED(S369,0)&amp;")")</f>
        <v/>
      </c>
      <c r="Z369" s="116">
        <f>IF('Contractors'!B369="","",'Contractors'!B369)</f>
        <v/>
      </c>
      <c r="AA369" s="77">
        <f>IF(Z369="","",'Contractors'!K369)</f>
        <v/>
      </c>
      <c r="AB369" s="77">
        <f>IF(Z369="","",SUMIFS($L$6:$L$1005,$B$6:$B$1005,Z369))</f>
        <v/>
      </c>
      <c r="AC369" s="77">
        <f>IF(Z369="","",SUMIFS($N$6:$N$1005,$B$6:$B$1005,Z369))</f>
        <v/>
      </c>
      <c r="AD369" s="76">
        <f>IF(Z369="","",AA369-AC369)</f>
        <v/>
      </c>
      <c r="AE369" s="117">
        <f>IF(Z369="","",IFERROR(1/SUMPRODUCT(MAX(($B$6:$B$1005=Z369)*$T$6:$T$1005)),""))</f>
        <v/>
      </c>
      <c r="AF369" s="77">
        <f>IF(AE369="","",SUMIFS($S$6:$S$1005,$B$6:$B$1005,Z369,$I$6:$I$1005,AE369))</f>
        <v/>
      </c>
    </row>
    <row r="370" ht="20" customHeight="1">
      <c r="B370" s="72" t="n"/>
      <c r="C370" s="72" t="n"/>
      <c r="D370" s="72" t="n"/>
      <c r="E370" s="72" t="n"/>
      <c r="F370" s="110" t="n"/>
      <c r="G370" s="73" t="n"/>
      <c r="H370" s="75">
        <f>IF(B370="","",IF(G370&lt;&gt;"",G370,IF(F370&lt;&gt;"",F370*IFERROR(INDEX('Contractors'!$I$6:$I$1005,MATCH(B370,'Contractors'!$B$6:$B$1005,0)),0),"")))</f>
        <v/>
      </c>
      <c r="I370" s="109" t="n"/>
      <c r="J370" s="72" t="n"/>
      <c r="K370" s="109" t="n"/>
      <c r="L370" s="73" t="n"/>
      <c r="M370" s="109" t="n"/>
      <c r="N370" s="73" t="n"/>
      <c r="O370" s="107">
        <f>IF(B370="","",IF(M370&lt;&gt;"","Paid",IF(AND(I370&lt;&gt;"",I370&lt;AsOf),"OVERDUE",IF(OR(K370&lt;&gt;"",L370&lt;&gt;""),"Invoiced","Scheduled"))))</f>
        <v/>
      </c>
      <c r="P370" s="115">
        <f>IF(B370="","",IF(E370&lt;&gt;"",E370,IFERROR(INDEX('Contractors'!$D$6:$D$1005,MATCH(B370,'Contractors'!$B$6:$B$1005,0)),"")))</f>
        <v/>
      </c>
      <c r="Q370" s="79">
        <f>IF(B370="","",IF(D370&lt;&gt;"",D370,IFERROR(INDEX('Contractors'!$E$6:$E$1005,MATCH(B370,'Contractors'!$B$6:$B$1005,0)),"")))</f>
        <v/>
      </c>
      <c r="R370" s="79">
        <f>IF(O370="","",IF(O370="OVERDUE",2,IF(O370="Paid",0,IF(AND(I370&lt;&gt;"",I370&lt;=AsOf+AlertDays),1,0))))</f>
        <v/>
      </c>
      <c r="S370" s="79">
        <f>IF(AND(B370&lt;&gt;"",M370="",I370&lt;&gt;""),IF(L370&lt;&gt;"",L370,IF(H370="",0,H370)),0)</f>
        <v/>
      </c>
      <c r="T370" s="79">
        <f>IF(AND(B370&lt;&gt;"",M370="",I370&lt;&gt;""),1/I370,0)</f>
        <v/>
      </c>
      <c r="U370" s="112">
        <f>IF(AND(B370&lt;&gt;"",M370="",I370&lt;&gt;""),I370,"")</f>
        <v/>
      </c>
      <c r="V370" s="79">
        <f>IF(U370="","",IF(U370&lt;AsOf,1,IF(U370&lt;=AsOf+AlertDays,2,IF(U370&lt;=AsOf+2*AlertDays,3,""))))</f>
        <v/>
      </c>
      <c r="W370" s="79">
        <f>IF(V370="","",IF(O370="OVERDUE","Overdue payment: ","Payment due: ")&amp;B370&amp;" — "&amp;C370&amp;" ("&amp;CurSym&amp;" "&amp;FIXED(S370,0)&amp;")")</f>
        <v/>
      </c>
      <c r="Z370" s="116">
        <f>IF('Contractors'!B370="","",'Contractors'!B370)</f>
        <v/>
      </c>
      <c r="AA370" s="77">
        <f>IF(Z370="","",'Contractors'!K370)</f>
        <v/>
      </c>
      <c r="AB370" s="77">
        <f>IF(Z370="","",SUMIFS($L$6:$L$1005,$B$6:$B$1005,Z370))</f>
        <v/>
      </c>
      <c r="AC370" s="77">
        <f>IF(Z370="","",SUMIFS($N$6:$N$1005,$B$6:$B$1005,Z370))</f>
        <v/>
      </c>
      <c r="AD370" s="76">
        <f>IF(Z370="","",AA370-AC370)</f>
        <v/>
      </c>
      <c r="AE370" s="117">
        <f>IF(Z370="","",IFERROR(1/SUMPRODUCT(MAX(($B$6:$B$1005=Z370)*$T$6:$T$1005)),""))</f>
        <v/>
      </c>
      <c r="AF370" s="77">
        <f>IF(AE370="","",SUMIFS($S$6:$S$1005,$B$6:$B$1005,Z370,$I$6:$I$1005,AE370))</f>
        <v/>
      </c>
    </row>
    <row r="371" ht="20" customHeight="1">
      <c r="B371" s="72" t="n"/>
      <c r="C371" s="72" t="n"/>
      <c r="D371" s="72" t="n"/>
      <c r="E371" s="72" t="n"/>
      <c r="F371" s="110" t="n"/>
      <c r="G371" s="73" t="n"/>
      <c r="H371" s="75">
        <f>IF(B371="","",IF(G371&lt;&gt;"",G371,IF(F371&lt;&gt;"",F371*IFERROR(INDEX('Contractors'!$I$6:$I$1005,MATCH(B371,'Contractors'!$B$6:$B$1005,0)),0),"")))</f>
        <v/>
      </c>
      <c r="I371" s="109" t="n"/>
      <c r="J371" s="72" t="n"/>
      <c r="K371" s="109" t="n"/>
      <c r="L371" s="73" t="n"/>
      <c r="M371" s="109" t="n"/>
      <c r="N371" s="73" t="n"/>
      <c r="O371" s="107">
        <f>IF(B371="","",IF(M371&lt;&gt;"","Paid",IF(AND(I371&lt;&gt;"",I371&lt;AsOf),"OVERDUE",IF(OR(K371&lt;&gt;"",L371&lt;&gt;""),"Invoiced","Scheduled"))))</f>
        <v/>
      </c>
      <c r="P371" s="115">
        <f>IF(B371="","",IF(E371&lt;&gt;"",E371,IFERROR(INDEX('Contractors'!$D$6:$D$1005,MATCH(B371,'Contractors'!$B$6:$B$1005,0)),"")))</f>
        <v/>
      </c>
      <c r="Q371" s="79">
        <f>IF(B371="","",IF(D371&lt;&gt;"",D371,IFERROR(INDEX('Contractors'!$E$6:$E$1005,MATCH(B371,'Contractors'!$B$6:$B$1005,0)),"")))</f>
        <v/>
      </c>
      <c r="R371" s="79">
        <f>IF(O371="","",IF(O371="OVERDUE",2,IF(O371="Paid",0,IF(AND(I371&lt;&gt;"",I371&lt;=AsOf+AlertDays),1,0))))</f>
        <v/>
      </c>
      <c r="S371" s="79">
        <f>IF(AND(B371&lt;&gt;"",M371="",I371&lt;&gt;""),IF(L371&lt;&gt;"",L371,IF(H371="",0,H371)),0)</f>
        <v/>
      </c>
      <c r="T371" s="79">
        <f>IF(AND(B371&lt;&gt;"",M371="",I371&lt;&gt;""),1/I371,0)</f>
        <v/>
      </c>
      <c r="U371" s="112">
        <f>IF(AND(B371&lt;&gt;"",M371="",I371&lt;&gt;""),I371,"")</f>
        <v/>
      </c>
      <c r="V371" s="79">
        <f>IF(U371="","",IF(U371&lt;AsOf,1,IF(U371&lt;=AsOf+AlertDays,2,IF(U371&lt;=AsOf+2*AlertDays,3,""))))</f>
        <v/>
      </c>
      <c r="W371" s="79">
        <f>IF(V371="","",IF(O371="OVERDUE","Overdue payment: ","Payment due: ")&amp;B371&amp;" — "&amp;C371&amp;" ("&amp;CurSym&amp;" "&amp;FIXED(S371,0)&amp;")")</f>
        <v/>
      </c>
      <c r="Z371" s="116">
        <f>IF('Contractors'!B371="","",'Contractors'!B371)</f>
        <v/>
      </c>
      <c r="AA371" s="77">
        <f>IF(Z371="","",'Contractors'!K371)</f>
        <v/>
      </c>
      <c r="AB371" s="77">
        <f>IF(Z371="","",SUMIFS($L$6:$L$1005,$B$6:$B$1005,Z371))</f>
        <v/>
      </c>
      <c r="AC371" s="77">
        <f>IF(Z371="","",SUMIFS($N$6:$N$1005,$B$6:$B$1005,Z371))</f>
        <v/>
      </c>
      <c r="AD371" s="76">
        <f>IF(Z371="","",AA371-AC371)</f>
        <v/>
      </c>
      <c r="AE371" s="117">
        <f>IF(Z371="","",IFERROR(1/SUMPRODUCT(MAX(($B$6:$B$1005=Z371)*$T$6:$T$1005)),""))</f>
        <v/>
      </c>
      <c r="AF371" s="77">
        <f>IF(AE371="","",SUMIFS($S$6:$S$1005,$B$6:$B$1005,Z371,$I$6:$I$1005,AE371))</f>
        <v/>
      </c>
    </row>
    <row r="372" ht="20" customHeight="1">
      <c r="B372" s="72" t="n"/>
      <c r="C372" s="72" t="n"/>
      <c r="D372" s="72" t="n"/>
      <c r="E372" s="72" t="n"/>
      <c r="F372" s="110" t="n"/>
      <c r="G372" s="73" t="n"/>
      <c r="H372" s="75">
        <f>IF(B372="","",IF(G372&lt;&gt;"",G372,IF(F372&lt;&gt;"",F372*IFERROR(INDEX('Contractors'!$I$6:$I$1005,MATCH(B372,'Contractors'!$B$6:$B$1005,0)),0),"")))</f>
        <v/>
      </c>
      <c r="I372" s="109" t="n"/>
      <c r="J372" s="72" t="n"/>
      <c r="K372" s="109" t="n"/>
      <c r="L372" s="73" t="n"/>
      <c r="M372" s="109" t="n"/>
      <c r="N372" s="73" t="n"/>
      <c r="O372" s="107">
        <f>IF(B372="","",IF(M372&lt;&gt;"","Paid",IF(AND(I372&lt;&gt;"",I372&lt;AsOf),"OVERDUE",IF(OR(K372&lt;&gt;"",L372&lt;&gt;""),"Invoiced","Scheduled"))))</f>
        <v/>
      </c>
      <c r="P372" s="115">
        <f>IF(B372="","",IF(E372&lt;&gt;"",E372,IFERROR(INDEX('Contractors'!$D$6:$D$1005,MATCH(B372,'Contractors'!$B$6:$B$1005,0)),"")))</f>
        <v/>
      </c>
      <c r="Q372" s="79">
        <f>IF(B372="","",IF(D372&lt;&gt;"",D372,IFERROR(INDEX('Contractors'!$E$6:$E$1005,MATCH(B372,'Contractors'!$B$6:$B$1005,0)),"")))</f>
        <v/>
      </c>
      <c r="R372" s="79">
        <f>IF(O372="","",IF(O372="OVERDUE",2,IF(O372="Paid",0,IF(AND(I372&lt;&gt;"",I372&lt;=AsOf+AlertDays),1,0))))</f>
        <v/>
      </c>
      <c r="S372" s="79">
        <f>IF(AND(B372&lt;&gt;"",M372="",I372&lt;&gt;""),IF(L372&lt;&gt;"",L372,IF(H372="",0,H372)),0)</f>
        <v/>
      </c>
      <c r="T372" s="79">
        <f>IF(AND(B372&lt;&gt;"",M372="",I372&lt;&gt;""),1/I372,0)</f>
        <v/>
      </c>
      <c r="U372" s="112">
        <f>IF(AND(B372&lt;&gt;"",M372="",I372&lt;&gt;""),I372,"")</f>
        <v/>
      </c>
      <c r="V372" s="79">
        <f>IF(U372="","",IF(U372&lt;AsOf,1,IF(U372&lt;=AsOf+AlertDays,2,IF(U372&lt;=AsOf+2*AlertDays,3,""))))</f>
        <v/>
      </c>
      <c r="W372" s="79">
        <f>IF(V372="","",IF(O372="OVERDUE","Overdue payment: ","Payment due: ")&amp;B372&amp;" — "&amp;C372&amp;" ("&amp;CurSym&amp;" "&amp;FIXED(S372,0)&amp;")")</f>
        <v/>
      </c>
      <c r="Z372" s="116">
        <f>IF('Contractors'!B372="","",'Contractors'!B372)</f>
        <v/>
      </c>
      <c r="AA372" s="77">
        <f>IF(Z372="","",'Contractors'!K372)</f>
        <v/>
      </c>
      <c r="AB372" s="77">
        <f>IF(Z372="","",SUMIFS($L$6:$L$1005,$B$6:$B$1005,Z372))</f>
        <v/>
      </c>
      <c r="AC372" s="77">
        <f>IF(Z372="","",SUMIFS($N$6:$N$1005,$B$6:$B$1005,Z372))</f>
        <v/>
      </c>
      <c r="AD372" s="76">
        <f>IF(Z372="","",AA372-AC372)</f>
        <v/>
      </c>
      <c r="AE372" s="117">
        <f>IF(Z372="","",IFERROR(1/SUMPRODUCT(MAX(($B$6:$B$1005=Z372)*$T$6:$T$1005)),""))</f>
        <v/>
      </c>
      <c r="AF372" s="77">
        <f>IF(AE372="","",SUMIFS($S$6:$S$1005,$B$6:$B$1005,Z372,$I$6:$I$1005,AE372))</f>
        <v/>
      </c>
    </row>
    <row r="373" ht="20" customHeight="1">
      <c r="B373" s="72" t="n"/>
      <c r="C373" s="72" t="n"/>
      <c r="D373" s="72" t="n"/>
      <c r="E373" s="72" t="n"/>
      <c r="F373" s="110" t="n"/>
      <c r="G373" s="73" t="n"/>
      <c r="H373" s="75">
        <f>IF(B373="","",IF(G373&lt;&gt;"",G373,IF(F373&lt;&gt;"",F373*IFERROR(INDEX('Contractors'!$I$6:$I$1005,MATCH(B373,'Contractors'!$B$6:$B$1005,0)),0),"")))</f>
        <v/>
      </c>
      <c r="I373" s="109" t="n"/>
      <c r="J373" s="72" t="n"/>
      <c r="K373" s="109" t="n"/>
      <c r="L373" s="73" t="n"/>
      <c r="M373" s="109" t="n"/>
      <c r="N373" s="73" t="n"/>
      <c r="O373" s="107">
        <f>IF(B373="","",IF(M373&lt;&gt;"","Paid",IF(AND(I373&lt;&gt;"",I373&lt;AsOf),"OVERDUE",IF(OR(K373&lt;&gt;"",L373&lt;&gt;""),"Invoiced","Scheduled"))))</f>
        <v/>
      </c>
      <c r="P373" s="115">
        <f>IF(B373="","",IF(E373&lt;&gt;"",E373,IFERROR(INDEX('Contractors'!$D$6:$D$1005,MATCH(B373,'Contractors'!$B$6:$B$1005,0)),"")))</f>
        <v/>
      </c>
      <c r="Q373" s="79">
        <f>IF(B373="","",IF(D373&lt;&gt;"",D373,IFERROR(INDEX('Contractors'!$E$6:$E$1005,MATCH(B373,'Contractors'!$B$6:$B$1005,0)),"")))</f>
        <v/>
      </c>
      <c r="R373" s="79">
        <f>IF(O373="","",IF(O373="OVERDUE",2,IF(O373="Paid",0,IF(AND(I373&lt;&gt;"",I373&lt;=AsOf+AlertDays),1,0))))</f>
        <v/>
      </c>
      <c r="S373" s="79">
        <f>IF(AND(B373&lt;&gt;"",M373="",I373&lt;&gt;""),IF(L373&lt;&gt;"",L373,IF(H373="",0,H373)),0)</f>
        <v/>
      </c>
      <c r="T373" s="79">
        <f>IF(AND(B373&lt;&gt;"",M373="",I373&lt;&gt;""),1/I373,0)</f>
        <v/>
      </c>
      <c r="U373" s="112">
        <f>IF(AND(B373&lt;&gt;"",M373="",I373&lt;&gt;""),I373,"")</f>
        <v/>
      </c>
      <c r="V373" s="79">
        <f>IF(U373="","",IF(U373&lt;AsOf,1,IF(U373&lt;=AsOf+AlertDays,2,IF(U373&lt;=AsOf+2*AlertDays,3,""))))</f>
        <v/>
      </c>
      <c r="W373" s="79">
        <f>IF(V373="","",IF(O373="OVERDUE","Overdue payment: ","Payment due: ")&amp;B373&amp;" — "&amp;C373&amp;" ("&amp;CurSym&amp;" "&amp;FIXED(S373,0)&amp;")")</f>
        <v/>
      </c>
      <c r="Z373" s="116">
        <f>IF('Contractors'!B373="","",'Contractors'!B373)</f>
        <v/>
      </c>
      <c r="AA373" s="77">
        <f>IF(Z373="","",'Contractors'!K373)</f>
        <v/>
      </c>
      <c r="AB373" s="77">
        <f>IF(Z373="","",SUMIFS($L$6:$L$1005,$B$6:$B$1005,Z373))</f>
        <v/>
      </c>
      <c r="AC373" s="77">
        <f>IF(Z373="","",SUMIFS($N$6:$N$1005,$B$6:$B$1005,Z373))</f>
        <v/>
      </c>
      <c r="AD373" s="76">
        <f>IF(Z373="","",AA373-AC373)</f>
        <v/>
      </c>
      <c r="AE373" s="117">
        <f>IF(Z373="","",IFERROR(1/SUMPRODUCT(MAX(($B$6:$B$1005=Z373)*$T$6:$T$1005)),""))</f>
        <v/>
      </c>
      <c r="AF373" s="77">
        <f>IF(AE373="","",SUMIFS($S$6:$S$1005,$B$6:$B$1005,Z373,$I$6:$I$1005,AE373))</f>
        <v/>
      </c>
    </row>
    <row r="374" ht="20" customHeight="1">
      <c r="B374" s="72" t="n"/>
      <c r="C374" s="72" t="n"/>
      <c r="D374" s="72" t="n"/>
      <c r="E374" s="72" t="n"/>
      <c r="F374" s="110" t="n"/>
      <c r="G374" s="73" t="n"/>
      <c r="H374" s="75">
        <f>IF(B374="","",IF(G374&lt;&gt;"",G374,IF(F374&lt;&gt;"",F374*IFERROR(INDEX('Contractors'!$I$6:$I$1005,MATCH(B374,'Contractors'!$B$6:$B$1005,0)),0),"")))</f>
        <v/>
      </c>
      <c r="I374" s="109" t="n"/>
      <c r="J374" s="72" t="n"/>
      <c r="K374" s="109" t="n"/>
      <c r="L374" s="73" t="n"/>
      <c r="M374" s="109" t="n"/>
      <c r="N374" s="73" t="n"/>
      <c r="O374" s="107">
        <f>IF(B374="","",IF(M374&lt;&gt;"","Paid",IF(AND(I374&lt;&gt;"",I374&lt;AsOf),"OVERDUE",IF(OR(K374&lt;&gt;"",L374&lt;&gt;""),"Invoiced","Scheduled"))))</f>
        <v/>
      </c>
      <c r="P374" s="115">
        <f>IF(B374="","",IF(E374&lt;&gt;"",E374,IFERROR(INDEX('Contractors'!$D$6:$D$1005,MATCH(B374,'Contractors'!$B$6:$B$1005,0)),"")))</f>
        <v/>
      </c>
      <c r="Q374" s="79">
        <f>IF(B374="","",IF(D374&lt;&gt;"",D374,IFERROR(INDEX('Contractors'!$E$6:$E$1005,MATCH(B374,'Contractors'!$B$6:$B$1005,0)),"")))</f>
        <v/>
      </c>
      <c r="R374" s="79">
        <f>IF(O374="","",IF(O374="OVERDUE",2,IF(O374="Paid",0,IF(AND(I374&lt;&gt;"",I374&lt;=AsOf+AlertDays),1,0))))</f>
        <v/>
      </c>
      <c r="S374" s="79">
        <f>IF(AND(B374&lt;&gt;"",M374="",I374&lt;&gt;""),IF(L374&lt;&gt;"",L374,IF(H374="",0,H374)),0)</f>
        <v/>
      </c>
      <c r="T374" s="79">
        <f>IF(AND(B374&lt;&gt;"",M374="",I374&lt;&gt;""),1/I374,0)</f>
        <v/>
      </c>
      <c r="U374" s="112">
        <f>IF(AND(B374&lt;&gt;"",M374="",I374&lt;&gt;""),I374,"")</f>
        <v/>
      </c>
      <c r="V374" s="79">
        <f>IF(U374="","",IF(U374&lt;AsOf,1,IF(U374&lt;=AsOf+AlertDays,2,IF(U374&lt;=AsOf+2*AlertDays,3,""))))</f>
        <v/>
      </c>
      <c r="W374" s="79">
        <f>IF(V374="","",IF(O374="OVERDUE","Overdue payment: ","Payment due: ")&amp;B374&amp;" — "&amp;C374&amp;" ("&amp;CurSym&amp;" "&amp;FIXED(S374,0)&amp;")")</f>
        <v/>
      </c>
      <c r="Z374" s="116">
        <f>IF('Contractors'!B374="","",'Contractors'!B374)</f>
        <v/>
      </c>
      <c r="AA374" s="77">
        <f>IF(Z374="","",'Contractors'!K374)</f>
        <v/>
      </c>
      <c r="AB374" s="77">
        <f>IF(Z374="","",SUMIFS($L$6:$L$1005,$B$6:$B$1005,Z374))</f>
        <v/>
      </c>
      <c r="AC374" s="77">
        <f>IF(Z374="","",SUMIFS($N$6:$N$1005,$B$6:$B$1005,Z374))</f>
        <v/>
      </c>
      <c r="AD374" s="76">
        <f>IF(Z374="","",AA374-AC374)</f>
        <v/>
      </c>
      <c r="AE374" s="117">
        <f>IF(Z374="","",IFERROR(1/SUMPRODUCT(MAX(($B$6:$B$1005=Z374)*$T$6:$T$1005)),""))</f>
        <v/>
      </c>
      <c r="AF374" s="77">
        <f>IF(AE374="","",SUMIFS($S$6:$S$1005,$B$6:$B$1005,Z374,$I$6:$I$1005,AE374))</f>
        <v/>
      </c>
    </row>
    <row r="375" ht="20" customHeight="1">
      <c r="B375" s="72" t="n"/>
      <c r="C375" s="72" t="n"/>
      <c r="D375" s="72" t="n"/>
      <c r="E375" s="72" t="n"/>
      <c r="F375" s="110" t="n"/>
      <c r="G375" s="73" t="n"/>
      <c r="H375" s="75">
        <f>IF(B375="","",IF(G375&lt;&gt;"",G375,IF(F375&lt;&gt;"",F375*IFERROR(INDEX('Contractors'!$I$6:$I$1005,MATCH(B375,'Contractors'!$B$6:$B$1005,0)),0),"")))</f>
        <v/>
      </c>
      <c r="I375" s="109" t="n"/>
      <c r="J375" s="72" t="n"/>
      <c r="K375" s="109" t="n"/>
      <c r="L375" s="73" t="n"/>
      <c r="M375" s="109" t="n"/>
      <c r="N375" s="73" t="n"/>
      <c r="O375" s="107">
        <f>IF(B375="","",IF(M375&lt;&gt;"","Paid",IF(AND(I375&lt;&gt;"",I375&lt;AsOf),"OVERDUE",IF(OR(K375&lt;&gt;"",L375&lt;&gt;""),"Invoiced","Scheduled"))))</f>
        <v/>
      </c>
      <c r="P375" s="115">
        <f>IF(B375="","",IF(E375&lt;&gt;"",E375,IFERROR(INDEX('Contractors'!$D$6:$D$1005,MATCH(B375,'Contractors'!$B$6:$B$1005,0)),"")))</f>
        <v/>
      </c>
      <c r="Q375" s="79">
        <f>IF(B375="","",IF(D375&lt;&gt;"",D375,IFERROR(INDEX('Contractors'!$E$6:$E$1005,MATCH(B375,'Contractors'!$B$6:$B$1005,0)),"")))</f>
        <v/>
      </c>
      <c r="R375" s="79">
        <f>IF(O375="","",IF(O375="OVERDUE",2,IF(O375="Paid",0,IF(AND(I375&lt;&gt;"",I375&lt;=AsOf+AlertDays),1,0))))</f>
        <v/>
      </c>
      <c r="S375" s="79">
        <f>IF(AND(B375&lt;&gt;"",M375="",I375&lt;&gt;""),IF(L375&lt;&gt;"",L375,IF(H375="",0,H375)),0)</f>
        <v/>
      </c>
      <c r="T375" s="79">
        <f>IF(AND(B375&lt;&gt;"",M375="",I375&lt;&gt;""),1/I375,0)</f>
        <v/>
      </c>
      <c r="U375" s="112">
        <f>IF(AND(B375&lt;&gt;"",M375="",I375&lt;&gt;""),I375,"")</f>
        <v/>
      </c>
      <c r="V375" s="79">
        <f>IF(U375="","",IF(U375&lt;AsOf,1,IF(U375&lt;=AsOf+AlertDays,2,IF(U375&lt;=AsOf+2*AlertDays,3,""))))</f>
        <v/>
      </c>
      <c r="W375" s="79">
        <f>IF(V375="","",IF(O375="OVERDUE","Overdue payment: ","Payment due: ")&amp;B375&amp;" — "&amp;C375&amp;" ("&amp;CurSym&amp;" "&amp;FIXED(S375,0)&amp;")")</f>
        <v/>
      </c>
      <c r="Z375" s="116">
        <f>IF('Contractors'!B375="","",'Contractors'!B375)</f>
        <v/>
      </c>
      <c r="AA375" s="77">
        <f>IF(Z375="","",'Contractors'!K375)</f>
        <v/>
      </c>
      <c r="AB375" s="77">
        <f>IF(Z375="","",SUMIFS($L$6:$L$1005,$B$6:$B$1005,Z375))</f>
        <v/>
      </c>
      <c r="AC375" s="77">
        <f>IF(Z375="","",SUMIFS($N$6:$N$1005,$B$6:$B$1005,Z375))</f>
        <v/>
      </c>
      <c r="AD375" s="76">
        <f>IF(Z375="","",AA375-AC375)</f>
        <v/>
      </c>
      <c r="AE375" s="117">
        <f>IF(Z375="","",IFERROR(1/SUMPRODUCT(MAX(($B$6:$B$1005=Z375)*$T$6:$T$1005)),""))</f>
        <v/>
      </c>
      <c r="AF375" s="77">
        <f>IF(AE375="","",SUMIFS($S$6:$S$1005,$B$6:$B$1005,Z375,$I$6:$I$1005,AE375))</f>
        <v/>
      </c>
    </row>
    <row r="376" ht="20" customHeight="1">
      <c r="B376" s="72" t="n"/>
      <c r="C376" s="72" t="n"/>
      <c r="D376" s="72" t="n"/>
      <c r="E376" s="72" t="n"/>
      <c r="F376" s="110" t="n"/>
      <c r="G376" s="73" t="n"/>
      <c r="H376" s="75">
        <f>IF(B376="","",IF(G376&lt;&gt;"",G376,IF(F376&lt;&gt;"",F376*IFERROR(INDEX('Contractors'!$I$6:$I$1005,MATCH(B376,'Contractors'!$B$6:$B$1005,0)),0),"")))</f>
        <v/>
      </c>
      <c r="I376" s="109" t="n"/>
      <c r="J376" s="72" t="n"/>
      <c r="K376" s="109" t="n"/>
      <c r="L376" s="73" t="n"/>
      <c r="M376" s="109" t="n"/>
      <c r="N376" s="73" t="n"/>
      <c r="O376" s="107">
        <f>IF(B376="","",IF(M376&lt;&gt;"","Paid",IF(AND(I376&lt;&gt;"",I376&lt;AsOf),"OVERDUE",IF(OR(K376&lt;&gt;"",L376&lt;&gt;""),"Invoiced","Scheduled"))))</f>
        <v/>
      </c>
      <c r="P376" s="115">
        <f>IF(B376="","",IF(E376&lt;&gt;"",E376,IFERROR(INDEX('Contractors'!$D$6:$D$1005,MATCH(B376,'Contractors'!$B$6:$B$1005,0)),"")))</f>
        <v/>
      </c>
      <c r="Q376" s="79">
        <f>IF(B376="","",IF(D376&lt;&gt;"",D376,IFERROR(INDEX('Contractors'!$E$6:$E$1005,MATCH(B376,'Contractors'!$B$6:$B$1005,0)),"")))</f>
        <v/>
      </c>
      <c r="R376" s="79">
        <f>IF(O376="","",IF(O376="OVERDUE",2,IF(O376="Paid",0,IF(AND(I376&lt;&gt;"",I376&lt;=AsOf+AlertDays),1,0))))</f>
        <v/>
      </c>
      <c r="S376" s="79">
        <f>IF(AND(B376&lt;&gt;"",M376="",I376&lt;&gt;""),IF(L376&lt;&gt;"",L376,IF(H376="",0,H376)),0)</f>
        <v/>
      </c>
      <c r="T376" s="79">
        <f>IF(AND(B376&lt;&gt;"",M376="",I376&lt;&gt;""),1/I376,0)</f>
        <v/>
      </c>
      <c r="U376" s="112">
        <f>IF(AND(B376&lt;&gt;"",M376="",I376&lt;&gt;""),I376,"")</f>
        <v/>
      </c>
      <c r="V376" s="79">
        <f>IF(U376="","",IF(U376&lt;AsOf,1,IF(U376&lt;=AsOf+AlertDays,2,IF(U376&lt;=AsOf+2*AlertDays,3,""))))</f>
        <v/>
      </c>
      <c r="W376" s="79">
        <f>IF(V376="","",IF(O376="OVERDUE","Overdue payment: ","Payment due: ")&amp;B376&amp;" — "&amp;C376&amp;" ("&amp;CurSym&amp;" "&amp;FIXED(S376,0)&amp;")")</f>
        <v/>
      </c>
      <c r="Z376" s="116">
        <f>IF('Contractors'!B376="","",'Contractors'!B376)</f>
        <v/>
      </c>
      <c r="AA376" s="77">
        <f>IF(Z376="","",'Contractors'!K376)</f>
        <v/>
      </c>
      <c r="AB376" s="77">
        <f>IF(Z376="","",SUMIFS($L$6:$L$1005,$B$6:$B$1005,Z376))</f>
        <v/>
      </c>
      <c r="AC376" s="77">
        <f>IF(Z376="","",SUMIFS($N$6:$N$1005,$B$6:$B$1005,Z376))</f>
        <v/>
      </c>
      <c r="AD376" s="76">
        <f>IF(Z376="","",AA376-AC376)</f>
        <v/>
      </c>
      <c r="AE376" s="117">
        <f>IF(Z376="","",IFERROR(1/SUMPRODUCT(MAX(($B$6:$B$1005=Z376)*$T$6:$T$1005)),""))</f>
        <v/>
      </c>
      <c r="AF376" s="77">
        <f>IF(AE376="","",SUMIFS($S$6:$S$1005,$B$6:$B$1005,Z376,$I$6:$I$1005,AE376))</f>
        <v/>
      </c>
    </row>
    <row r="377" ht="20" customHeight="1">
      <c r="B377" s="72" t="n"/>
      <c r="C377" s="72" t="n"/>
      <c r="D377" s="72" t="n"/>
      <c r="E377" s="72" t="n"/>
      <c r="F377" s="110" t="n"/>
      <c r="G377" s="73" t="n"/>
      <c r="H377" s="75">
        <f>IF(B377="","",IF(G377&lt;&gt;"",G377,IF(F377&lt;&gt;"",F377*IFERROR(INDEX('Contractors'!$I$6:$I$1005,MATCH(B377,'Contractors'!$B$6:$B$1005,0)),0),"")))</f>
        <v/>
      </c>
      <c r="I377" s="109" t="n"/>
      <c r="J377" s="72" t="n"/>
      <c r="K377" s="109" t="n"/>
      <c r="L377" s="73" t="n"/>
      <c r="M377" s="109" t="n"/>
      <c r="N377" s="73" t="n"/>
      <c r="O377" s="107">
        <f>IF(B377="","",IF(M377&lt;&gt;"","Paid",IF(AND(I377&lt;&gt;"",I377&lt;AsOf),"OVERDUE",IF(OR(K377&lt;&gt;"",L377&lt;&gt;""),"Invoiced","Scheduled"))))</f>
        <v/>
      </c>
      <c r="P377" s="115">
        <f>IF(B377="","",IF(E377&lt;&gt;"",E377,IFERROR(INDEX('Contractors'!$D$6:$D$1005,MATCH(B377,'Contractors'!$B$6:$B$1005,0)),"")))</f>
        <v/>
      </c>
      <c r="Q377" s="79">
        <f>IF(B377="","",IF(D377&lt;&gt;"",D377,IFERROR(INDEX('Contractors'!$E$6:$E$1005,MATCH(B377,'Contractors'!$B$6:$B$1005,0)),"")))</f>
        <v/>
      </c>
      <c r="R377" s="79">
        <f>IF(O377="","",IF(O377="OVERDUE",2,IF(O377="Paid",0,IF(AND(I377&lt;&gt;"",I377&lt;=AsOf+AlertDays),1,0))))</f>
        <v/>
      </c>
      <c r="S377" s="79">
        <f>IF(AND(B377&lt;&gt;"",M377="",I377&lt;&gt;""),IF(L377&lt;&gt;"",L377,IF(H377="",0,H377)),0)</f>
        <v/>
      </c>
      <c r="T377" s="79">
        <f>IF(AND(B377&lt;&gt;"",M377="",I377&lt;&gt;""),1/I377,0)</f>
        <v/>
      </c>
      <c r="U377" s="112">
        <f>IF(AND(B377&lt;&gt;"",M377="",I377&lt;&gt;""),I377,"")</f>
        <v/>
      </c>
      <c r="V377" s="79">
        <f>IF(U377="","",IF(U377&lt;AsOf,1,IF(U377&lt;=AsOf+AlertDays,2,IF(U377&lt;=AsOf+2*AlertDays,3,""))))</f>
        <v/>
      </c>
      <c r="W377" s="79">
        <f>IF(V377="","",IF(O377="OVERDUE","Overdue payment: ","Payment due: ")&amp;B377&amp;" — "&amp;C377&amp;" ("&amp;CurSym&amp;" "&amp;FIXED(S377,0)&amp;")")</f>
        <v/>
      </c>
      <c r="Z377" s="116">
        <f>IF('Contractors'!B377="","",'Contractors'!B377)</f>
        <v/>
      </c>
      <c r="AA377" s="77">
        <f>IF(Z377="","",'Contractors'!K377)</f>
        <v/>
      </c>
      <c r="AB377" s="77">
        <f>IF(Z377="","",SUMIFS($L$6:$L$1005,$B$6:$B$1005,Z377))</f>
        <v/>
      </c>
      <c r="AC377" s="77">
        <f>IF(Z377="","",SUMIFS($N$6:$N$1005,$B$6:$B$1005,Z377))</f>
        <v/>
      </c>
      <c r="AD377" s="76">
        <f>IF(Z377="","",AA377-AC377)</f>
        <v/>
      </c>
      <c r="AE377" s="117">
        <f>IF(Z377="","",IFERROR(1/SUMPRODUCT(MAX(($B$6:$B$1005=Z377)*$T$6:$T$1005)),""))</f>
        <v/>
      </c>
      <c r="AF377" s="77">
        <f>IF(AE377="","",SUMIFS($S$6:$S$1005,$B$6:$B$1005,Z377,$I$6:$I$1005,AE377))</f>
        <v/>
      </c>
    </row>
    <row r="378" ht="20" customHeight="1">
      <c r="B378" s="72" t="n"/>
      <c r="C378" s="72" t="n"/>
      <c r="D378" s="72" t="n"/>
      <c r="E378" s="72" t="n"/>
      <c r="F378" s="110" t="n"/>
      <c r="G378" s="73" t="n"/>
      <c r="H378" s="75">
        <f>IF(B378="","",IF(G378&lt;&gt;"",G378,IF(F378&lt;&gt;"",F378*IFERROR(INDEX('Contractors'!$I$6:$I$1005,MATCH(B378,'Contractors'!$B$6:$B$1005,0)),0),"")))</f>
        <v/>
      </c>
      <c r="I378" s="109" t="n"/>
      <c r="J378" s="72" t="n"/>
      <c r="K378" s="109" t="n"/>
      <c r="L378" s="73" t="n"/>
      <c r="M378" s="109" t="n"/>
      <c r="N378" s="73" t="n"/>
      <c r="O378" s="107">
        <f>IF(B378="","",IF(M378&lt;&gt;"","Paid",IF(AND(I378&lt;&gt;"",I378&lt;AsOf),"OVERDUE",IF(OR(K378&lt;&gt;"",L378&lt;&gt;""),"Invoiced","Scheduled"))))</f>
        <v/>
      </c>
      <c r="P378" s="115">
        <f>IF(B378="","",IF(E378&lt;&gt;"",E378,IFERROR(INDEX('Contractors'!$D$6:$D$1005,MATCH(B378,'Contractors'!$B$6:$B$1005,0)),"")))</f>
        <v/>
      </c>
      <c r="Q378" s="79">
        <f>IF(B378="","",IF(D378&lt;&gt;"",D378,IFERROR(INDEX('Contractors'!$E$6:$E$1005,MATCH(B378,'Contractors'!$B$6:$B$1005,0)),"")))</f>
        <v/>
      </c>
      <c r="R378" s="79">
        <f>IF(O378="","",IF(O378="OVERDUE",2,IF(O378="Paid",0,IF(AND(I378&lt;&gt;"",I378&lt;=AsOf+AlertDays),1,0))))</f>
        <v/>
      </c>
      <c r="S378" s="79">
        <f>IF(AND(B378&lt;&gt;"",M378="",I378&lt;&gt;""),IF(L378&lt;&gt;"",L378,IF(H378="",0,H378)),0)</f>
        <v/>
      </c>
      <c r="T378" s="79">
        <f>IF(AND(B378&lt;&gt;"",M378="",I378&lt;&gt;""),1/I378,0)</f>
        <v/>
      </c>
      <c r="U378" s="112">
        <f>IF(AND(B378&lt;&gt;"",M378="",I378&lt;&gt;""),I378,"")</f>
        <v/>
      </c>
      <c r="V378" s="79">
        <f>IF(U378="","",IF(U378&lt;AsOf,1,IF(U378&lt;=AsOf+AlertDays,2,IF(U378&lt;=AsOf+2*AlertDays,3,""))))</f>
        <v/>
      </c>
      <c r="W378" s="79">
        <f>IF(V378="","",IF(O378="OVERDUE","Overdue payment: ","Payment due: ")&amp;B378&amp;" — "&amp;C378&amp;" ("&amp;CurSym&amp;" "&amp;FIXED(S378,0)&amp;")")</f>
        <v/>
      </c>
      <c r="Z378" s="116">
        <f>IF('Contractors'!B378="","",'Contractors'!B378)</f>
        <v/>
      </c>
      <c r="AA378" s="77">
        <f>IF(Z378="","",'Contractors'!K378)</f>
        <v/>
      </c>
      <c r="AB378" s="77">
        <f>IF(Z378="","",SUMIFS($L$6:$L$1005,$B$6:$B$1005,Z378))</f>
        <v/>
      </c>
      <c r="AC378" s="77">
        <f>IF(Z378="","",SUMIFS($N$6:$N$1005,$B$6:$B$1005,Z378))</f>
        <v/>
      </c>
      <c r="AD378" s="76">
        <f>IF(Z378="","",AA378-AC378)</f>
        <v/>
      </c>
      <c r="AE378" s="117">
        <f>IF(Z378="","",IFERROR(1/SUMPRODUCT(MAX(($B$6:$B$1005=Z378)*$T$6:$T$1005)),""))</f>
        <v/>
      </c>
      <c r="AF378" s="77">
        <f>IF(AE378="","",SUMIFS($S$6:$S$1005,$B$6:$B$1005,Z378,$I$6:$I$1005,AE378))</f>
        <v/>
      </c>
    </row>
    <row r="379" ht="20" customHeight="1">
      <c r="B379" s="72" t="n"/>
      <c r="C379" s="72" t="n"/>
      <c r="D379" s="72" t="n"/>
      <c r="E379" s="72" t="n"/>
      <c r="F379" s="110" t="n"/>
      <c r="G379" s="73" t="n"/>
      <c r="H379" s="75">
        <f>IF(B379="","",IF(G379&lt;&gt;"",G379,IF(F379&lt;&gt;"",F379*IFERROR(INDEX('Contractors'!$I$6:$I$1005,MATCH(B379,'Contractors'!$B$6:$B$1005,0)),0),"")))</f>
        <v/>
      </c>
      <c r="I379" s="109" t="n"/>
      <c r="J379" s="72" t="n"/>
      <c r="K379" s="109" t="n"/>
      <c r="L379" s="73" t="n"/>
      <c r="M379" s="109" t="n"/>
      <c r="N379" s="73" t="n"/>
      <c r="O379" s="107">
        <f>IF(B379="","",IF(M379&lt;&gt;"","Paid",IF(AND(I379&lt;&gt;"",I379&lt;AsOf),"OVERDUE",IF(OR(K379&lt;&gt;"",L379&lt;&gt;""),"Invoiced","Scheduled"))))</f>
        <v/>
      </c>
      <c r="P379" s="115">
        <f>IF(B379="","",IF(E379&lt;&gt;"",E379,IFERROR(INDEX('Contractors'!$D$6:$D$1005,MATCH(B379,'Contractors'!$B$6:$B$1005,0)),"")))</f>
        <v/>
      </c>
      <c r="Q379" s="79">
        <f>IF(B379="","",IF(D379&lt;&gt;"",D379,IFERROR(INDEX('Contractors'!$E$6:$E$1005,MATCH(B379,'Contractors'!$B$6:$B$1005,0)),"")))</f>
        <v/>
      </c>
      <c r="R379" s="79">
        <f>IF(O379="","",IF(O379="OVERDUE",2,IF(O379="Paid",0,IF(AND(I379&lt;&gt;"",I379&lt;=AsOf+AlertDays),1,0))))</f>
        <v/>
      </c>
      <c r="S379" s="79">
        <f>IF(AND(B379&lt;&gt;"",M379="",I379&lt;&gt;""),IF(L379&lt;&gt;"",L379,IF(H379="",0,H379)),0)</f>
        <v/>
      </c>
      <c r="T379" s="79">
        <f>IF(AND(B379&lt;&gt;"",M379="",I379&lt;&gt;""),1/I379,0)</f>
        <v/>
      </c>
      <c r="U379" s="112">
        <f>IF(AND(B379&lt;&gt;"",M379="",I379&lt;&gt;""),I379,"")</f>
        <v/>
      </c>
      <c r="V379" s="79">
        <f>IF(U379="","",IF(U379&lt;AsOf,1,IF(U379&lt;=AsOf+AlertDays,2,IF(U379&lt;=AsOf+2*AlertDays,3,""))))</f>
        <v/>
      </c>
      <c r="W379" s="79">
        <f>IF(V379="","",IF(O379="OVERDUE","Overdue payment: ","Payment due: ")&amp;B379&amp;" — "&amp;C379&amp;" ("&amp;CurSym&amp;" "&amp;FIXED(S379,0)&amp;")")</f>
        <v/>
      </c>
      <c r="Z379" s="116">
        <f>IF('Contractors'!B379="","",'Contractors'!B379)</f>
        <v/>
      </c>
      <c r="AA379" s="77">
        <f>IF(Z379="","",'Contractors'!K379)</f>
        <v/>
      </c>
      <c r="AB379" s="77">
        <f>IF(Z379="","",SUMIFS($L$6:$L$1005,$B$6:$B$1005,Z379))</f>
        <v/>
      </c>
      <c r="AC379" s="77">
        <f>IF(Z379="","",SUMIFS($N$6:$N$1005,$B$6:$B$1005,Z379))</f>
        <v/>
      </c>
      <c r="AD379" s="76">
        <f>IF(Z379="","",AA379-AC379)</f>
        <v/>
      </c>
      <c r="AE379" s="117">
        <f>IF(Z379="","",IFERROR(1/SUMPRODUCT(MAX(($B$6:$B$1005=Z379)*$T$6:$T$1005)),""))</f>
        <v/>
      </c>
      <c r="AF379" s="77">
        <f>IF(AE379="","",SUMIFS($S$6:$S$1005,$B$6:$B$1005,Z379,$I$6:$I$1005,AE379))</f>
        <v/>
      </c>
    </row>
    <row r="380" ht="20" customHeight="1">
      <c r="B380" s="72" t="n"/>
      <c r="C380" s="72" t="n"/>
      <c r="D380" s="72" t="n"/>
      <c r="E380" s="72" t="n"/>
      <c r="F380" s="110" t="n"/>
      <c r="G380" s="73" t="n"/>
      <c r="H380" s="75">
        <f>IF(B380="","",IF(G380&lt;&gt;"",G380,IF(F380&lt;&gt;"",F380*IFERROR(INDEX('Contractors'!$I$6:$I$1005,MATCH(B380,'Contractors'!$B$6:$B$1005,0)),0),"")))</f>
        <v/>
      </c>
      <c r="I380" s="109" t="n"/>
      <c r="J380" s="72" t="n"/>
      <c r="K380" s="109" t="n"/>
      <c r="L380" s="73" t="n"/>
      <c r="M380" s="109" t="n"/>
      <c r="N380" s="73" t="n"/>
      <c r="O380" s="107">
        <f>IF(B380="","",IF(M380&lt;&gt;"","Paid",IF(AND(I380&lt;&gt;"",I380&lt;AsOf),"OVERDUE",IF(OR(K380&lt;&gt;"",L380&lt;&gt;""),"Invoiced","Scheduled"))))</f>
        <v/>
      </c>
      <c r="P380" s="115">
        <f>IF(B380="","",IF(E380&lt;&gt;"",E380,IFERROR(INDEX('Contractors'!$D$6:$D$1005,MATCH(B380,'Contractors'!$B$6:$B$1005,0)),"")))</f>
        <v/>
      </c>
      <c r="Q380" s="79">
        <f>IF(B380="","",IF(D380&lt;&gt;"",D380,IFERROR(INDEX('Contractors'!$E$6:$E$1005,MATCH(B380,'Contractors'!$B$6:$B$1005,0)),"")))</f>
        <v/>
      </c>
      <c r="R380" s="79">
        <f>IF(O380="","",IF(O380="OVERDUE",2,IF(O380="Paid",0,IF(AND(I380&lt;&gt;"",I380&lt;=AsOf+AlertDays),1,0))))</f>
        <v/>
      </c>
      <c r="S380" s="79">
        <f>IF(AND(B380&lt;&gt;"",M380="",I380&lt;&gt;""),IF(L380&lt;&gt;"",L380,IF(H380="",0,H380)),0)</f>
        <v/>
      </c>
      <c r="T380" s="79">
        <f>IF(AND(B380&lt;&gt;"",M380="",I380&lt;&gt;""),1/I380,0)</f>
        <v/>
      </c>
      <c r="U380" s="112">
        <f>IF(AND(B380&lt;&gt;"",M380="",I380&lt;&gt;""),I380,"")</f>
        <v/>
      </c>
      <c r="V380" s="79">
        <f>IF(U380="","",IF(U380&lt;AsOf,1,IF(U380&lt;=AsOf+AlertDays,2,IF(U380&lt;=AsOf+2*AlertDays,3,""))))</f>
        <v/>
      </c>
      <c r="W380" s="79">
        <f>IF(V380="","",IF(O380="OVERDUE","Overdue payment: ","Payment due: ")&amp;B380&amp;" — "&amp;C380&amp;" ("&amp;CurSym&amp;" "&amp;FIXED(S380,0)&amp;")")</f>
        <v/>
      </c>
      <c r="Z380" s="116">
        <f>IF('Contractors'!B380="","",'Contractors'!B380)</f>
        <v/>
      </c>
      <c r="AA380" s="77">
        <f>IF(Z380="","",'Contractors'!K380)</f>
        <v/>
      </c>
      <c r="AB380" s="77">
        <f>IF(Z380="","",SUMIFS($L$6:$L$1005,$B$6:$B$1005,Z380))</f>
        <v/>
      </c>
      <c r="AC380" s="77">
        <f>IF(Z380="","",SUMIFS($N$6:$N$1005,$B$6:$B$1005,Z380))</f>
        <v/>
      </c>
      <c r="AD380" s="76">
        <f>IF(Z380="","",AA380-AC380)</f>
        <v/>
      </c>
      <c r="AE380" s="117">
        <f>IF(Z380="","",IFERROR(1/SUMPRODUCT(MAX(($B$6:$B$1005=Z380)*$T$6:$T$1005)),""))</f>
        <v/>
      </c>
      <c r="AF380" s="77">
        <f>IF(AE380="","",SUMIFS($S$6:$S$1005,$B$6:$B$1005,Z380,$I$6:$I$1005,AE380))</f>
        <v/>
      </c>
    </row>
    <row r="381" ht="20" customHeight="1">
      <c r="B381" s="72" t="n"/>
      <c r="C381" s="72" t="n"/>
      <c r="D381" s="72" t="n"/>
      <c r="E381" s="72" t="n"/>
      <c r="F381" s="110" t="n"/>
      <c r="G381" s="73" t="n"/>
      <c r="H381" s="75">
        <f>IF(B381="","",IF(G381&lt;&gt;"",G381,IF(F381&lt;&gt;"",F381*IFERROR(INDEX('Contractors'!$I$6:$I$1005,MATCH(B381,'Contractors'!$B$6:$B$1005,0)),0),"")))</f>
        <v/>
      </c>
      <c r="I381" s="109" t="n"/>
      <c r="J381" s="72" t="n"/>
      <c r="K381" s="109" t="n"/>
      <c r="L381" s="73" t="n"/>
      <c r="M381" s="109" t="n"/>
      <c r="N381" s="73" t="n"/>
      <c r="O381" s="107">
        <f>IF(B381="","",IF(M381&lt;&gt;"","Paid",IF(AND(I381&lt;&gt;"",I381&lt;AsOf),"OVERDUE",IF(OR(K381&lt;&gt;"",L381&lt;&gt;""),"Invoiced","Scheduled"))))</f>
        <v/>
      </c>
      <c r="P381" s="115">
        <f>IF(B381="","",IF(E381&lt;&gt;"",E381,IFERROR(INDEX('Contractors'!$D$6:$D$1005,MATCH(B381,'Contractors'!$B$6:$B$1005,0)),"")))</f>
        <v/>
      </c>
      <c r="Q381" s="79">
        <f>IF(B381="","",IF(D381&lt;&gt;"",D381,IFERROR(INDEX('Contractors'!$E$6:$E$1005,MATCH(B381,'Contractors'!$B$6:$B$1005,0)),"")))</f>
        <v/>
      </c>
      <c r="R381" s="79">
        <f>IF(O381="","",IF(O381="OVERDUE",2,IF(O381="Paid",0,IF(AND(I381&lt;&gt;"",I381&lt;=AsOf+AlertDays),1,0))))</f>
        <v/>
      </c>
      <c r="S381" s="79">
        <f>IF(AND(B381&lt;&gt;"",M381="",I381&lt;&gt;""),IF(L381&lt;&gt;"",L381,IF(H381="",0,H381)),0)</f>
        <v/>
      </c>
      <c r="T381" s="79">
        <f>IF(AND(B381&lt;&gt;"",M381="",I381&lt;&gt;""),1/I381,0)</f>
        <v/>
      </c>
      <c r="U381" s="112">
        <f>IF(AND(B381&lt;&gt;"",M381="",I381&lt;&gt;""),I381,"")</f>
        <v/>
      </c>
      <c r="V381" s="79">
        <f>IF(U381="","",IF(U381&lt;AsOf,1,IF(U381&lt;=AsOf+AlertDays,2,IF(U381&lt;=AsOf+2*AlertDays,3,""))))</f>
        <v/>
      </c>
      <c r="W381" s="79">
        <f>IF(V381="","",IF(O381="OVERDUE","Overdue payment: ","Payment due: ")&amp;B381&amp;" — "&amp;C381&amp;" ("&amp;CurSym&amp;" "&amp;FIXED(S381,0)&amp;")")</f>
        <v/>
      </c>
      <c r="Z381" s="116">
        <f>IF('Contractors'!B381="","",'Contractors'!B381)</f>
        <v/>
      </c>
      <c r="AA381" s="77">
        <f>IF(Z381="","",'Contractors'!K381)</f>
        <v/>
      </c>
      <c r="AB381" s="77">
        <f>IF(Z381="","",SUMIFS($L$6:$L$1005,$B$6:$B$1005,Z381))</f>
        <v/>
      </c>
      <c r="AC381" s="77">
        <f>IF(Z381="","",SUMIFS($N$6:$N$1005,$B$6:$B$1005,Z381))</f>
        <v/>
      </c>
      <c r="AD381" s="76">
        <f>IF(Z381="","",AA381-AC381)</f>
        <v/>
      </c>
      <c r="AE381" s="117">
        <f>IF(Z381="","",IFERROR(1/SUMPRODUCT(MAX(($B$6:$B$1005=Z381)*$T$6:$T$1005)),""))</f>
        <v/>
      </c>
      <c r="AF381" s="77">
        <f>IF(AE381="","",SUMIFS($S$6:$S$1005,$B$6:$B$1005,Z381,$I$6:$I$1005,AE381))</f>
        <v/>
      </c>
    </row>
    <row r="382" ht="20" customHeight="1">
      <c r="B382" s="72" t="n"/>
      <c r="C382" s="72" t="n"/>
      <c r="D382" s="72" t="n"/>
      <c r="E382" s="72" t="n"/>
      <c r="F382" s="110" t="n"/>
      <c r="G382" s="73" t="n"/>
      <c r="H382" s="75">
        <f>IF(B382="","",IF(G382&lt;&gt;"",G382,IF(F382&lt;&gt;"",F382*IFERROR(INDEX('Contractors'!$I$6:$I$1005,MATCH(B382,'Contractors'!$B$6:$B$1005,0)),0),"")))</f>
        <v/>
      </c>
      <c r="I382" s="109" t="n"/>
      <c r="J382" s="72" t="n"/>
      <c r="K382" s="109" t="n"/>
      <c r="L382" s="73" t="n"/>
      <c r="M382" s="109" t="n"/>
      <c r="N382" s="73" t="n"/>
      <c r="O382" s="107">
        <f>IF(B382="","",IF(M382&lt;&gt;"","Paid",IF(AND(I382&lt;&gt;"",I382&lt;AsOf),"OVERDUE",IF(OR(K382&lt;&gt;"",L382&lt;&gt;""),"Invoiced","Scheduled"))))</f>
        <v/>
      </c>
      <c r="P382" s="115">
        <f>IF(B382="","",IF(E382&lt;&gt;"",E382,IFERROR(INDEX('Contractors'!$D$6:$D$1005,MATCH(B382,'Contractors'!$B$6:$B$1005,0)),"")))</f>
        <v/>
      </c>
      <c r="Q382" s="79">
        <f>IF(B382="","",IF(D382&lt;&gt;"",D382,IFERROR(INDEX('Contractors'!$E$6:$E$1005,MATCH(B382,'Contractors'!$B$6:$B$1005,0)),"")))</f>
        <v/>
      </c>
      <c r="R382" s="79">
        <f>IF(O382="","",IF(O382="OVERDUE",2,IF(O382="Paid",0,IF(AND(I382&lt;&gt;"",I382&lt;=AsOf+AlertDays),1,0))))</f>
        <v/>
      </c>
      <c r="S382" s="79">
        <f>IF(AND(B382&lt;&gt;"",M382="",I382&lt;&gt;""),IF(L382&lt;&gt;"",L382,IF(H382="",0,H382)),0)</f>
        <v/>
      </c>
      <c r="T382" s="79">
        <f>IF(AND(B382&lt;&gt;"",M382="",I382&lt;&gt;""),1/I382,0)</f>
        <v/>
      </c>
      <c r="U382" s="112">
        <f>IF(AND(B382&lt;&gt;"",M382="",I382&lt;&gt;""),I382,"")</f>
        <v/>
      </c>
      <c r="V382" s="79">
        <f>IF(U382="","",IF(U382&lt;AsOf,1,IF(U382&lt;=AsOf+AlertDays,2,IF(U382&lt;=AsOf+2*AlertDays,3,""))))</f>
        <v/>
      </c>
      <c r="W382" s="79">
        <f>IF(V382="","",IF(O382="OVERDUE","Overdue payment: ","Payment due: ")&amp;B382&amp;" — "&amp;C382&amp;" ("&amp;CurSym&amp;" "&amp;FIXED(S382,0)&amp;")")</f>
        <v/>
      </c>
      <c r="Z382" s="116">
        <f>IF('Contractors'!B382="","",'Contractors'!B382)</f>
        <v/>
      </c>
      <c r="AA382" s="77">
        <f>IF(Z382="","",'Contractors'!K382)</f>
        <v/>
      </c>
      <c r="AB382" s="77">
        <f>IF(Z382="","",SUMIFS($L$6:$L$1005,$B$6:$B$1005,Z382))</f>
        <v/>
      </c>
      <c r="AC382" s="77">
        <f>IF(Z382="","",SUMIFS($N$6:$N$1005,$B$6:$B$1005,Z382))</f>
        <v/>
      </c>
      <c r="AD382" s="76">
        <f>IF(Z382="","",AA382-AC382)</f>
        <v/>
      </c>
      <c r="AE382" s="117">
        <f>IF(Z382="","",IFERROR(1/SUMPRODUCT(MAX(($B$6:$B$1005=Z382)*$T$6:$T$1005)),""))</f>
        <v/>
      </c>
      <c r="AF382" s="77">
        <f>IF(AE382="","",SUMIFS($S$6:$S$1005,$B$6:$B$1005,Z382,$I$6:$I$1005,AE382))</f>
        <v/>
      </c>
    </row>
    <row r="383" ht="20" customHeight="1">
      <c r="B383" s="72" t="n"/>
      <c r="C383" s="72" t="n"/>
      <c r="D383" s="72" t="n"/>
      <c r="E383" s="72" t="n"/>
      <c r="F383" s="110" t="n"/>
      <c r="G383" s="73" t="n"/>
      <c r="H383" s="75">
        <f>IF(B383="","",IF(G383&lt;&gt;"",G383,IF(F383&lt;&gt;"",F383*IFERROR(INDEX('Contractors'!$I$6:$I$1005,MATCH(B383,'Contractors'!$B$6:$B$1005,0)),0),"")))</f>
        <v/>
      </c>
      <c r="I383" s="109" t="n"/>
      <c r="J383" s="72" t="n"/>
      <c r="K383" s="109" t="n"/>
      <c r="L383" s="73" t="n"/>
      <c r="M383" s="109" t="n"/>
      <c r="N383" s="73" t="n"/>
      <c r="O383" s="107">
        <f>IF(B383="","",IF(M383&lt;&gt;"","Paid",IF(AND(I383&lt;&gt;"",I383&lt;AsOf),"OVERDUE",IF(OR(K383&lt;&gt;"",L383&lt;&gt;""),"Invoiced","Scheduled"))))</f>
        <v/>
      </c>
      <c r="P383" s="115">
        <f>IF(B383="","",IF(E383&lt;&gt;"",E383,IFERROR(INDEX('Contractors'!$D$6:$D$1005,MATCH(B383,'Contractors'!$B$6:$B$1005,0)),"")))</f>
        <v/>
      </c>
      <c r="Q383" s="79">
        <f>IF(B383="","",IF(D383&lt;&gt;"",D383,IFERROR(INDEX('Contractors'!$E$6:$E$1005,MATCH(B383,'Contractors'!$B$6:$B$1005,0)),"")))</f>
        <v/>
      </c>
      <c r="R383" s="79">
        <f>IF(O383="","",IF(O383="OVERDUE",2,IF(O383="Paid",0,IF(AND(I383&lt;&gt;"",I383&lt;=AsOf+AlertDays),1,0))))</f>
        <v/>
      </c>
      <c r="S383" s="79">
        <f>IF(AND(B383&lt;&gt;"",M383="",I383&lt;&gt;""),IF(L383&lt;&gt;"",L383,IF(H383="",0,H383)),0)</f>
        <v/>
      </c>
      <c r="T383" s="79">
        <f>IF(AND(B383&lt;&gt;"",M383="",I383&lt;&gt;""),1/I383,0)</f>
        <v/>
      </c>
      <c r="U383" s="112">
        <f>IF(AND(B383&lt;&gt;"",M383="",I383&lt;&gt;""),I383,"")</f>
        <v/>
      </c>
      <c r="V383" s="79">
        <f>IF(U383="","",IF(U383&lt;AsOf,1,IF(U383&lt;=AsOf+AlertDays,2,IF(U383&lt;=AsOf+2*AlertDays,3,""))))</f>
        <v/>
      </c>
      <c r="W383" s="79">
        <f>IF(V383="","",IF(O383="OVERDUE","Overdue payment: ","Payment due: ")&amp;B383&amp;" — "&amp;C383&amp;" ("&amp;CurSym&amp;" "&amp;FIXED(S383,0)&amp;")")</f>
        <v/>
      </c>
      <c r="Z383" s="116">
        <f>IF('Contractors'!B383="","",'Contractors'!B383)</f>
        <v/>
      </c>
      <c r="AA383" s="77">
        <f>IF(Z383="","",'Contractors'!K383)</f>
        <v/>
      </c>
      <c r="AB383" s="77">
        <f>IF(Z383="","",SUMIFS($L$6:$L$1005,$B$6:$B$1005,Z383))</f>
        <v/>
      </c>
      <c r="AC383" s="77">
        <f>IF(Z383="","",SUMIFS($N$6:$N$1005,$B$6:$B$1005,Z383))</f>
        <v/>
      </c>
      <c r="AD383" s="76">
        <f>IF(Z383="","",AA383-AC383)</f>
        <v/>
      </c>
      <c r="AE383" s="117">
        <f>IF(Z383="","",IFERROR(1/SUMPRODUCT(MAX(($B$6:$B$1005=Z383)*$T$6:$T$1005)),""))</f>
        <v/>
      </c>
      <c r="AF383" s="77">
        <f>IF(AE383="","",SUMIFS($S$6:$S$1005,$B$6:$B$1005,Z383,$I$6:$I$1005,AE383))</f>
        <v/>
      </c>
    </row>
    <row r="384" ht="20" customHeight="1">
      <c r="B384" s="72" t="n"/>
      <c r="C384" s="72" t="n"/>
      <c r="D384" s="72" t="n"/>
      <c r="E384" s="72" t="n"/>
      <c r="F384" s="110" t="n"/>
      <c r="G384" s="73" t="n"/>
      <c r="H384" s="75">
        <f>IF(B384="","",IF(G384&lt;&gt;"",G384,IF(F384&lt;&gt;"",F384*IFERROR(INDEX('Contractors'!$I$6:$I$1005,MATCH(B384,'Contractors'!$B$6:$B$1005,0)),0),"")))</f>
        <v/>
      </c>
      <c r="I384" s="109" t="n"/>
      <c r="J384" s="72" t="n"/>
      <c r="K384" s="109" t="n"/>
      <c r="L384" s="73" t="n"/>
      <c r="M384" s="109" t="n"/>
      <c r="N384" s="73" t="n"/>
      <c r="O384" s="107">
        <f>IF(B384="","",IF(M384&lt;&gt;"","Paid",IF(AND(I384&lt;&gt;"",I384&lt;AsOf),"OVERDUE",IF(OR(K384&lt;&gt;"",L384&lt;&gt;""),"Invoiced","Scheduled"))))</f>
        <v/>
      </c>
      <c r="P384" s="115">
        <f>IF(B384="","",IF(E384&lt;&gt;"",E384,IFERROR(INDEX('Contractors'!$D$6:$D$1005,MATCH(B384,'Contractors'!$B$6:$B$1005,0)),"")))</f>
        <v/>
      </c>
      <c r="Q384" s="79">
        <f>IF(B384="","",IF(D384&lt;&gt;"",D384,IFERROR(INDEX('Contractors'!$E$6:$E$1005,MATCH(B384,'Contractors'!$B$6:$B$1005,0)),"")))</f>
        <v/>
      </c>
      <c r="R384" s="79">
        <f>IF(O384="","",IF(O384="OVERDUE",2,IF(O384="Paid",0,IF(AND(I384&lt;&gt;"",I384&lt;=AsOf+AlertDays),1,0))))</f>
        <v/>
      </c>
      <c r="S384" s="79">
        <f>IF(AND(B384&lt;&gt;"",M384="",I384&lt;&gt;""),IF(L384&lt;&gt;"",L384,IF(H384="",0,H384)),0)</f>
        <v/>
      </c>
      <c r="T384" s="79">
        <f>IF(AND(B384&lt;&gt;"",M384="",I384&lt;&gt;""),1/I384,0)</f>
        <v/>
      </c>
      <c r="U384" s="112">
        <f>IF(AND(B384&lt;&gt;"",M384="",I384&lt;&gt;""),I384,"")</f>
        <v/>
      </c>
      <c r="V384" s="79">
        <f>IF(U384="","",IF(U384&lt;AsOf,1,IF(U384&lt;=AsOf+AlertDays,2,IF(U384&lt;=AsOf+2*AlertDays,3,""))))</f>
        <v/>
      </c>
      <c r="W384" s="79">
        <f>IF(V384="","",IF(O384="OVERDUE","Overdue payment: ","Payment due: ")&amp;B384&amp;" — "&amp;C384&amp;" ("&amp;CurSym&amp;" "&amp;FIXED(S384,0)&amp;")")</f>
        <v/>
      </c>
      <c r="Z384" s="116">
        <f>IF('Contractors'!B384="","",'Contractors'!B384)</f>
        <v/>
      </c>
      <c r="AA384" s="77">
        <f>IF(Z384="","",'Contractors'!K384)</f>
        <v/>
      </c>
      <c r="AB384" s="77">
        <f>IF(Z384="","",SUMIFS($L$6:$L$1005,$B$6:$B$1005,Z384))</f>
        <v/>
      </c>
      <c r="AC384" s="77">
        <f>IF(Z384="","",SUMIFS($N$6:$N$1005,$B$6:$B$1005,Z384))</f>
        <v/>
      </c>
      <c r="AD384" s="76">
        <f>IF(Z384="","",AA384-AC384)</f>
        <v/>
      </c>
      <c r="AE384" s="117">
        <f>IF(Z384="","",IFERROR(1/SUMPRODUCT(MAX(($B$6:$B$1005=Z384)*$T$6:$T$1005)),""))</f>
        <v/>
      </c>
      <c r="AF384" s="77">
        <f>IF(AE384="","",SUMIFS($S$6:$S$1005,$B$6:$B$1005,Z384,$I$6:$I$1005,AE384))</f>
        <v/>
      </c>
    </row>
    <row r="385" ht="20" customHeight="1">
      <c r="B385" s="72" t="n"/>
      <c r="C385" s="72" t="n"/>
      <c r="D385" s="72" t="n"/>
      <c r="E385" s="72" t="n"/>
      <c r="F385" s="110" t="n"/>
      <c r="G385" s="73" t="n"/>
      <c r="H385" s="75">
        <f>IF(B385="","",IF(G385&lt;&gt;"",G385,IF(F385&lt;&gt;"",F385*IFERROR(INDEX('Contractors'!$I$6:$I$1005,MATCH(B385,'Contractors'!$B$6:$B$1005,0)),0),"")))</f>
        <v/>
      </c>
      <c r="I385" s="109" t="n"/>
      <c r="J385" s="72" t="n"/>
      <c r="K385" s="109" t="n"/>
      <c r="L385" s="73" t="n"/>
      <c r="M385" s="109" t="n"/>
      <c r="N385" s="73" t="n"/>
      <c r="O385" s="107">
        <f>IF(B385="","",IF(M385&lt;&gt;"","Paid",IF(AND(I385&lt;&gt;"",I385&lt;AsOf),"OVERDUE",IF(OR(K385&lt;&gt;"",L385&lt;&gt;""),"Invoiced","Scheduled"))))</f>
        <v/>
      </c>
      <c r="P385" s="115">
        <f>IF(B385="","",IF(E385&lt;&gt;"",E385,IFERROR(INDEX('Contractors'!$D$6:$D$1005,MATCH(B385,'Contractors'!$B$6:$B$1005,0)),"")))</f>
        <v/>
      </c>
      <c r="Q385" s="79">
        <f>IF(B385="","",IF(D385&lt;&gt;"",D385,IFERROR(INDEX('Contractors'!$E$6:$E$1005,MATCH(B385,'Contractors'!$B$6:$B$1005,0)),"")))</f>
        <v/>
      </c>
      <c r="R385" s="79">
        <f>IF(O385="","",IF(O385="OVERDUE",2,IF(O385="Paid",0,IF(AND(I385&lt;&gt;"",I385&lt;=AsOf+AlertDays),1,0))))</f>
        <v/>
      </c>
      <c r="S385" s="79">
        <f>IF(AND(B385&lt;&gt;"",M385="",I385&lt;&gt;""),IF(L385&lt;&gt;"",L385,IF(H385="",0,H385)),0)</f>
        <v/>
      </c>
      <c r="T385" s="79">
        <f>IF(AND(B385&lt;&gt;"",M385="",I385&lt;&gt;""),1/I385,0)</f>
        <v/>
      </c>
      <c r="U385" s="112">
        <f>IF(AND(B385&lt;&gt;"",M385="",I385&lt;&gt;""),I385,"")</f>
        <v/>
      </c>
      <c r="V385" s="79">
        <f>IF(U385="","",IF(U385&lt;AsOf,1,IF(U385&lt;=AsOf+AlertDays,2,IF(U385&lt;=AsOf+2*AlertDays,3,""))))</f>
        <v/>
      </c>
      <c r="W385" s="79">
        <f>IF(V385="","",IF(O385="OVERDUE","Overdue payment: ","Payment due: ")&amp;B385&amp;" — "&amp;C385&amp;" ("&amp;CurSym&amp;" "&amp;FIXED(S385,0)&amp;")")</f>
        <v/>
      </c>
      <c r="Z385" s="116">
        <f>IF('Contractors'!B385="","",'Contractors'!B385)</f>
        <v/>
      </c>
      <c r="AA385" s="77">
        <f>IF(Z385="","",'Contractors'!K385)</f>
        <v/>
      </c>
      <c r="AB385" s="77">
        <f>IF(Z385="","",SUMIFS($L$6:$L$1005,$B$6:$B$1005,Z385))</f>
        <v/>
      </c>
      <c r="AC385" s="77">
        <f>IF(Z385="","",SUMIFS($N$6:$N$1005,$B$6:$B$1005,Z385))</f>
        <v/>
      </c>
      <c r="AD385" s="76">
        <f>IF(Z385="","",AA385-AC385)</f>
        <v/>
      </c>
      <c r="AE385" s="117">
        <f>IF(Z385="","",IFERROR(1/SUMPRODUCT(MAX(($B$6:$B$1005=Z385)*$T$6:$T$1005)),""))</f>
        <v/>
      </c>
      <c r="AF385" s="77">
        <f>IF(AE385="","",SUMIFS($S$6:$S$1005,$B$6:$B$1005,Z385,$I$6:$I$1005,AE385))</f>
        <v/>
      </c>
    </row>
    <row r="386" ht="20" customHeight="1">
      <c r="B386" s="72" t="n"/>
      <c r="C386" s="72" t="n"/>
      <c r="D386" s="72" t="n"/>
      <c r="E386" s="72" t="n"/>
      <c r="F386" s="110" t="n"/>
      <c r="G386" s="73" t="n"/>
      <c r="H386" s="75">
        <f>IF(B386="","",IF(G386&lt;&gt;"",G386,IF(F386&lt;&gt;"",F386*IFERROR(INDEX('Contractors'!$I$6:$I$1005,MATCH(B386,'Contractors'!$B$6:$B$1005,0)),0),"")))</f>
        <v/>
      </c>
      <c r="I386" s="109" t="n"/>
      <c r="J386" s="72" t="n"/>
      <c r="K386" s="109" t="n"/>
      <c r="L386" s="73" t="n"/>
      <c r="M386" s="109" t="n"/>
      <c r="N386" s="73" t="n"/>
      <c r="O386" s="107">
        <f>IF(B386="","",IF(M386&lt;&gt;"","Paid",IF(AND(I386&lt;&gt;"",I386&lt;AsOf),"OVERDUE",IF(OR(K386&lt;&gt;"",L386&lt;&gt;""),"Invoiced","Scheduled"))))</f>
        <v/>
      </c>
      <c r="P386" s="115">
        <f>IF(B386="","",IF(E386&lt;&gt;"",E386,IFERROR(INDEX('Contractors'!$D$6:$D$1005,MATCH(B386,'Contractors'!$B$6:$B$1005,0)),"")))</f>
        <v/>
      </c>
      <c r="Q386" s="79">
        <f>IF(B386="","",IF(D386&lt;&gt;"",D386,IFERROR(INDEX('Contractors'!$E$6:$E$1005,MATCH(B386,'Contractors'!$B$6:$B$1005,0)),"")))</f>
        <v/>
      </c>
      <c r="R386" s="79">
        <f>IF(O386="","",IF(O386="OVERDUE",2,IF(O386="Paid",0,IF(AND(I386&lt;&gt;"",I386&lt;=AsOf+AlertDays),1,0))))</f>
        <v/>
      </c>
      <c r="S386" s="79">
        <f>IF(AND(B386&lt;&gt;"",M386="",I386&lt;&gt;""),IF(L386&lt;&gt;"",L386,IF(H386="",0,H386)),0)</f>
        <v/>
      </c>
      <c r="T386" s="79">
        <f>IF(AND(B386&lt;&gt;"",M386="",I386&lt;&gt;""),1/I386,0)</f>
        <v/>
      </c>
      <c r="U386" s="112">
        <f>IF(AND(B386&lt;&gt;"",M386="",I386&lt;&gt;""),I386,"")</f>
        <v/>
      </c>
      <c r="V386" s="79">
        <f>IF(U386="","",IF(U386&lt;AsOf,1,IF(U386&lt;=AsOf+AlertDays,2,IF(U386&lt;=AsOf+2*AlertDays,3,""))))</f>
        <v/>
      </c>
      <c r="W386" s="79">
        <f>IF(V386="","",IF(O386="OVERDUE","Overdue payment: ","Payment due: ")&amp;B386&amp;" — "&amp;C386&amp;" ("&amp;CurSym&amp;" "&amp;FIXED(S386,0)&amp;")")</f>
        <v/>
      </c>
      <c r="Z386" s="116">
        <f>IF('Contractors'!B386="","",'Contractors'!B386)</f>
        <v/>
      </c>
      <c r="AA386" s="77">
        <f>IF(Z386="","",'Contractors'!K386)</f>
        <v/>
      </c>
      <c r="AB386" s="77">
        <f>IF(Z386="","",SUMIFS($L$6:$L$1005,$B$6:$B$1005,Z386))</f>
        <v/>
      </c>
      <c r="AC386" s="77">
        <f>IF(Z386="","",SUMIFS($N$6:$N$1005,$B$6:$B$1005,Z386))</f>
        <v/>
      </c>
      <c r="AD386" s="76">
        <f>IF(Z386="","",AA386-AC386)</f>
        <v/>
      </c>
      <c r="AE386" s="117">
        <f>IF(Z386="","",IFERROR(1/SUMPRODUCT(MAX(($B$6:$B$1005=Z386)*$T$6:$T$1005)),""))</f>
        <v/>
      </c>
      <c r="AF386" s="77">
        <f>IF(AE386="","",SUMIFS($S$6:$S$1005,$B$6:$B$1005,Z386,$I$6:$I$1005,AE386))</f>
        <v/>
      </c>
    </row>
    <row r="387" ht="20" customHeight="1">
      <c r="B387" s="72" t="n"/>
      <c r="C387" s="72" t="n"/>
      <c r="D387" s="72" t="n"/>
      <c r="E387" s="72" t="n"/>
      <c r="F387" s="110" t="n"/>
      <c r="G387" s="73" t="n"/>
      <c r="H387" s="75">
        <f>IF(B387="","",IF(G387&lt;&gt;"",G387,IF(F387&lt;&gt;"",F387*IFERROR(INDEX('Contractors'!$I$6:$I$1005,MATCH(B387,'Contractors'!$B$6:$B$1005,0)),0),"")))</f>
        <v/>
      </c>
      <c r="I387" s="109" t="n"/>
      <c r="J387" s="72" t="n"/>
      <c r="K387" s="109" t="n"/>
      <c r="L387" s="73" t="n"/>
      <c r="M387" s="109" t="n"/>
      <c r="N387" s="73" t="n"/>
      <c r="O387" s="107">
        <f>IF(B387="","",IF(M387&lt;&gt;"","Paid",IF(AND(I387&lt;&gt;"",I387&lt;AsOf),"OVERDUE",IF(OR(K387&lt;&gt;"",L387&lt;&gt;""),"Invoiced","Scheduled"))))</f>
        <v/>
      </c>
      <c r="P387" s="115">
        <f>IF(B387="","",IF(E387&lt;&gt;"",E387,IFERROR(INDEX('Contractors'!$D$6:$D$1005,MATCH(B387,'Contractors'!$B$6:$B$1005,0)),"")))</f>
        <v/>
      </c>
      <c r="Q387" s="79">
        <f>IF(B387="","",IF(D387&lt;&gt;"",D387,IFERROR(INDEX('Contractors'!$E$6:$E$1005,MATCH(B387,'Contractors'!$B$6:$B$1005,0)),"")))</f>
        <v/>
      </c>
      <c r="R387" s="79">
        <f>IF(O387="","",IF(O387="OVERDUE",2,IF(O387="Paid",0,IF(AND(I387&lt;&gt;"",I387&lt;=AsOf+AlertDays),1,0))))</f>
        <v/>
      </c>
      <c r="S387" s="79">
        <f>IF(AND(B387&lt;&gt;"",M387="",I387&lt;&gt;""),IF(L387&lt;&gt;"",L387,IF(H387="",0,H387)),0)</f>
        <v/>
      </c>
      <c r="T387" s="79">
        <f>IF(AND(B387&lt;&gt;"",M387="",I387&lt;&gt;""),1/I387,0)</f>
        <v/>
      </c>
      <c r="U387" s="112">
        <f>IF(AND(B387&lt;&gt;"",M387="",I387&lt;&gt;""),I387,"")</f>
        <v/>
      </c>
      <c r="V387" s="79">
        <f>IF(U387="","",IF(U387&lt;AsOf,1,IF(U387&lt;=AsOf+AlertDays,2,IF(U387&lt;=AsOf+2*AlertDays,3,""))))</f>
        <v/>
      </c>
      <c r="W387" s="79">
        <f>IF(V387="","",IF(O387="OVERDUE","Overdue payment: ","Payment due: ")&amp;B387&amp;" — "&amp;C387&amp;" ("&amp;CurSym&amp;" "&amp;FIXED(S387,0)&amp;")")</f>
        <v/>
      </c>
      <c r="Z387" s="116">
        <f>IF('Contractors'!B387="","",'Contractors'!B387)</f>
        <v/>
      </c>
      <c r="AA387" s="77">
        <f>IF(Z387="","",'Contractors'!K387)</f>
        <v/>
      </c>
      <c r="AB387" s="77">
        <f>IF(Z387="","",SUMIFS($L$6:$L$1005,$B$6:$B$1005,Z387))</f>
        <v/>
      </c>
      <c r="AC387" s="77">
        <f>IF(Z387="","",SUMIFS($N$6:$N$1005,$B$6:$B$1005,Z387))</f>
        <v/>
      </c>
      <c r="AD387" s="76">
        <f>IF(Z387="","",AA387-AC387)</f>
        <v/>
      </c>
      <c r="AE387" s="117">
        <f>IF(Z387="","",IFERROR(1/SUMPRODUCT(MAX(($B$6:$B$1005=Z387)*$T$6:$T$1005)),""))</f>
        <v/>
      </c>
      <c r="AF387" s="77">
        <f>IF(AE387="","",SUMIFS($S$6:$S$1005,$B$6:$B$1005,Z387,$I$6:$I$1005,AE387))</f>
        <v/>
      </c>
    </row>
    <row r="388" ht="20" customHeight="1">
      <c r="B388" s="72" t="n"/>
      <c r="C388" s="72" t="n"/>
      <c r="D388" s="72" t="n"/>
      <c r="E388" s="72" t="n"/>
      <c r="F388" s="110" t="n"/>
      <c r="G388" s="73" t="n"/>
      <c r="H388" s="75">
        <f>IF(B388="","",IF(G388&lt;&gt;"",G388,IF(F388&lt;&gt;"",F388*IFERROR(INDEX('Contractors'!$I$6:$I$1005,MATCH(B388,'Contractors'!$B$6:$B$1005,0)),0),"")))</f>
        <v/>
      </c>
      <c r="I388" s="109" t="n"/>
      <c r="J388" s="72" t="n"/>
      <c r="K388" s="109" t="n"/>
      <c r="L388" s="73" t="n"/>
      <c r="M388" s="109" t="n"/>
      <c r="N388" s="73" t="n"/>
      <c r="O388" s="107">
        <f>IF(B388="","",IF(M388&lt;&gt;"","Paid",IF(AND(I388&lt;&gt;"",I388&lt;AsOf),"OVERDUE",IF(OR(K388&lt;&gt;"",L388&lt;&gt;""),"Invoiced","Scheduled"))))</f>
        <v/>
      </c>
      <c r="P388" s="115">
        <f>IF(B388="","",IF(E388&lt;&gt;"",E388,IFERROR(INDEX('Contractors'!$D$6:$D$1005,MATCH(B388,'Contractors'!$B$6:$B$1005,0)),"")))</f>
        <v/>
      </c>
      <c r="Q388" s="79">
        <f>IF(B388="","",IF(D388&lt;&gt;"",D388,IFERROR(INDEX('Contractors'!$E$6:$E$1005,MATCH(B388,'Contractors'!$B$6:$B$1005,0)),"")))</f>
        <v/>
      </c>
      <c r="R388" s="79">
        <f>IF(O388="","",IF(O388="OVERDUE",2,IF(O388="Paid",0,IF(AND(I388&lt;&gt;"",I388&lt;=AsOf+AlertDays),1,0))))</f>
        <v/>
      </c>
      <c r="S388" s="79">
        <f>IF(AND(B388&lt;&gt;"",M388="",I388&lt;&gt;""),IF(L388&lt;&gt;"",L388,IF(H388="",0,H388)),0)</f>
        <v/>
      </c>
      <c r="T388" s="79">
        <f>IF(AND(B388&lt;&gt;"",M388="",I388&lt;&gt;""),1/I388,0)</f>
        <v/>
      </c>
      <c r="U388" s="112">
        <f>IF(AND(B388&lt;&gt;"",M388="",I388&lt;&gt;""),I388,"")</f>
        <v/>
      </c>
      <c r="V388" s="79">
        <f>IF(U388="","",IF(U388&lt;AsOf,1,IF(U388&lt;=AsOf+AlertDays,2,IF(U388&lt;=AsOf+2*AlertDays,3,""))))</f>
        <v/>
      </c>
      <c r="W388" s="79">
        <f>IF(V388="","",IF(O388="OVERDUE","Overdue payment: ","Payment due: ")&amp;B388&amp;" — "&amp;C388&amp;" ("&amp;CurSym&amp;" "&amp;FIXED(S388,0)&amp;")")</f>
        <v/>
      </c>
      <c r="Z388" s="116">
        <f>IF('Contractors'!B388="","",'Contractors'!B388)</f>
        <v/>
      </c>
      <c r="AA388" s="77">
        <f>IF(Z388="","",'Contractors'!K388)</f>
        <v/>
      </c>
      <c r="AB388" s="77">
        <f>IF(Z388="","",SUMIFS($L$6:$L$1005,$B$6:$B$1005,Z388))</f>
        <v/>
      </c>
      <c r="AC388" s="77">
        <f>IF(Z388="","",SUMIFS($N$6:$N$1005,$B$6:$B$1005,Z388))</f>
        <v/>
      </c>
      <c r="AD388" s="76">
        <f>IF(Z388="","",AA388-AC388)</f>
        <v/>
      </c>
      <c r="AE388" s="117">
        <f>IF(Z388="","",IFERROR(1/SUMPRODUCT(MAX(($B$6:$B$1005=Z388)*$T$6:$T$1005)),""))</f>
        <v/>
      </c>
      <c r="AF388" s="77">
        <f>IF(AE388="","",SUMIFS($S$6:$S$1005,$B$6:$B$1005,Z388,$I$6:$I$1005,AE388))</f>
        <v/>
      </c>
    </row>
    <row r="389" ht="20" customHeight="1">
      <c r="B389" s="72" t="n"/>
      <c r="C389" s="72" t="n"/>
      <c r="D389" s="72" t="n"/>
      <c r="E389" s="72" t="n"/>
      <c r="F389" s="110" t="n"/>
      <c r="G389" s="73" t="n"/>
      <c r="H389" s="75">
        <f>IF(B389="","",IF(G389&lt;&gt;"",G389,IF(F389&lt;&gt;"",F389*IFERROR(INDEX('Contractors'!$I$6:$I$1005,MATCH(B389,'Contractors'!$B$6:$B$1005,0)),0),"")))</f>
        <v/>
      </c>
      <c r="I389" s="109" t="n"/>
      <c r="J389" s="72" t="n"/>
      <c r="K389" s="109" t="n"/>
      <c r="L389" s="73" t="n"/>
      <c r="M389" s="109" t="n"/>
      <c r="N389" s="73" t="n"/>
      <c r="O389" s="107">
        <f>IF(B389="","",IF(M389&lt;&gt;"","Paid",IF(AND(I389&lt;&gt;"",I389&lt;AsOf),"OVERDUE",IF(OR(K389&lt;&gt;"",L389&lt;&gt;""),"Invoiced","Scheduled"))))</f>
        <v/>
      </c>
      <c r="P389" s="115">
        <f>IF(B389="","",IF(E389&lt;&gt;"",E389,IFERROR(INDEX('Contractors'!$D$6:$D$1005,MATCH(B389,'Contractors'!$B$6:$B$1005,0)),"")))</f>
        <v/>
      </c>
      <c r="Q389" s="79">
        <f>IF(B389="","",IF(D389&lt;&gt;"",D389,IFERROR(INDEX('Contractors'!$E$6:$E$1005,MATCH(B389,'Contractors'!$B$6:$B$1005,0)),"")))</f>
        <v/>
      </c>
      <c r="R389" s="79">
        <f>IF(O389="","",IF(O389="OVERDUE",2,IF(O389="Paid",0,IF(AND(I389&lt;&gt;"",I389&lt;=AsOf+AlertDays),1,0))))</f>
        <v/>
      </c>
      <c r="S389" s="79">
        <f>IF(AND(B389&lt;&gt;"",M389="",I389&lt;&gt;""),IF(L389&lt;&gt;"",L389,IF(H389="",0,H389)),0)</f>
        <v/>
      </c>
      <c r="T389" s="79">
        <f>IF(AND(B389&lt;&gt;"",M389="",I389&lt;&gt;""),1/I389,0)</f>
        <v/>
      </c>
      <c r="U389" s="112">
        <f>IF(AND(B389&lt;&gt;"",M389="",I389&lt;&gt;""),I389,"")</f>
        <v/>
      </c>
      <c r="V389" s="79">
        <f>IF(U389="","",IF(U389&lt;AsOf,1,IF(U389&lt;=AsOf+AlertDays,2,IF(U389&lt;=AsOf+2*AlertDays,3,""))))</f>
        <v/>
      </c>
      <c r="W389" s="79">
        <f>IF(V389="","",IF(O389="OVERDUE","Overdue payment: ","Payment due: ")&amp;B389&amp;" — "&amp;C389&amp;" ("&amp;CurSym&amp;" "&amp;FIXED(S389,0)&amp;")")</f>
        <v/>
      </c>
      <c r="Z389" s="116">
        <f>IF('Contractors'!B389="","",'Contractors'!B389)</f>
        <v/>
      </c>
      <c r="AA389" s="77">
        <f>IF(Z389="","",'Contractors'!K389)</f>
        <v/>
      </c>
      <c r="AB389" s="77">
        <f>IF(Z389="","",SUMIFS($L$6:$L$1005,$B$6:$B$1005,Z389))</f>
        <v/>
      </c>
      <c r="AC389" s="77">
        <f>IF(Z389="","",SUMIFS($N$6:$N$1005,$B$6:$B$1005,Z389))</f>
        <v/>
      </c>
      <c r="AD389" s="76">
        <f>IF(Z389="","",AA389-AC389)</f>
        <v/>
      </c>
      <c r="AE389" s="117">
        <f>IF(Z389="","",IFERROR(1/SUMPRODUCT(MAX(($B$6:$B$1005=Z389)*$T$6:$T$1005)),""))</f>
        <v/>
      </c>
      <c r="AF389" s="77">
        <f>IF(AE389="","",SUMIFS($S$6:$S$1005,$B$6:$B$1005,Z389,$I$6:$I$1005,AE389))</f>
        <v/>
      </c>
    </row>
    <row r="390" ht="20" customHeight="1">
      <c r="B390" s="72" t="n"/>
      <c r="C390" s="72" t="n"/>
      <c r="D390" s="72" t="n"/>
      <c r="E390" s="72" t="n"/>
      <c r="F390" s="110" t="n"/>
      <c r="G390" s="73" t="n"/>
      <c r="H390" s="75">
        <f>IF(B390="","",IF(G390&lt;&gt;"",G390,IF(F390&lt;&gt;"",F390*IFERROR(INDEX('Contractors'!$I$6:$I$1005,MATCH(B390,'Contractors'!$B$6:$B$1005,0)),0),"")))</f>
        <v/>
      </c>
      <c r="I390" s="109" t="n"/>
      <c r="J390" s="72" t="n"/>
      <c r="K390" s="109" t="n"/>
      <c r="L390" s="73" t="n"/>
      <c r="M390" s="109" t="n"/>
      <c r="N390" s="73" t="n"/>
      <c r="O390" s="107">
        <f>IF(B390="","",IF(M390&lt;&gt;"","Paid",IF(AND(I390&lt;&gt;"",I390&lt;AsOf),"OVERDUE",IF(OR(K390&lt;&gt;"",L390&lt;&gt;""),"Invoiced","Scheduled"))))</f>
        <v/>
      </c>
      <c r="P390" s="115">
        <f>IF(B390="","",IF(E390&lt;&gt;"",E390,IFERROR(INDEX('Contractors'!$D$6:$D$1005,MATCH(B390,'Contractors'!$B$6:$B$1005,0)),"")))</f>
        <v/>
      </c>
      <c r="Q390" s="79">
        <f>IF(B390="","",IF(D390&lt;&gt;"",D390,IFERROR(INDEX('Contractors'!$E$6:$E$1005,MATCH(B390,'Contractors'!$B$6:$B$1005,0)),"")))</f>
        <v/>
      </c>
      <c r="R390" s="79">
        <f>IF(O390="","",IF(O390="OVERDUE",2,IF(O390="Paid",0,IF(AND(I390&lt;&gt;"",I390&lt;=AsOf+AlertDays),1,0))))</f>
        <v/>
      </c>
      <c r="S390" s="79">
        <f>IF(AND(B390&lt;&gt;"",M390="",I390&lt;&gt;""),IF(L390&lt;&gt;"",L390,IF(H390="",0,H390)),0)</f>
        <v/>
      </c>
      <c r="T390" s="79">
        <f>IF(AND(B390&lt;&gt;"",M390="",I390&lt;&gt;""),1/I390,0)</f>
        <v/>
      </c>
      <c r="U390" s="112">
        <f>IF(AND(B390&lt;&gt;"",M390="",I390&lt;&gt;""),I390,"")</f>
        <v/>
      </c>
      <c r="V390" s="79">
        <f>IF(U390="","",IF(U390&lt;AsOf,1,IF(U390&lt;=AsOf+AlertDays,2,IF(U390&lt;=AsOf+2*AlertDays,3,""))))</f>
        <v/>
      </c>
      <c r="W390" s="79">
        <f>IF(V390="","",IF(O390="OVERDUE","Overdue payment: ","Payment due: ")&amp;B390&amp;" — "&amp;C390&amp;" ("&amp;CurSym&amp;" "&amp;FIXED(S390,0)&amp;")")</f>
        <v/>
      </c>
      <c r="Z390" s="116">
        <f>IF('Contractors'!B390="","",'Contractors'!B390)</f>
        <v/>
      </c>
      <c r="AA390" s="77">
        <f>IF(Z390="","",'Contractors'!K390)</f>
        <v/>
      </c>
      <c r="AB390" s="77">
        <f>IF(Z390="","",SUMIFS($L$6:$L$1005,$B$6:$B$1005,Z390))</f>
        <v/>
      </c>
      <c r="AC390" s="77">
        <f>IF(Z390="","",SUMIFS($N$6:$N$1005,$B$6:$B$1005,Z390))</f>
        <v/>
      </c>
      <c r="AD390" s="76">
        <f>IF(Z390="","",AA390-AC390)</f>
        <v/>
      </c>
      <c r="AE390" s="117">
        <f>IF(Z390="","",IFERROR(1/SUMPRODUCT(MAX(($B$6:$B$1005=Z390)*$T$6:$T$1005)),""))</f>
        <v/>
      </c>
      <c r="AF390" s="77">
        <f>IF(AE390="","",SUMIFS($S$6:$S$1005,$B$6:$B$1005,Z390,$I$6:$I$1005,AE390))</f>
        <v/>
      </c>
    </row>
    <row r="391" ht="20" customHeight="1">
      <c r="B391" s="72" t="n"/>
      <c r="C391" s="72" t="n"/>
      <c r="D391" s="72" t="n"/>
      <c r="E391" s="72" t="n"/>
      <c r="F391" s="110" t="n"/>
      <c r="G391" s="73" t="n"/>
      <c r="H391" s="75">
        <f>IF(B391="","",IF(G391&lt;&gt;"",G391,IF(F391&lt;&gt;"",F391*IFERROR(INDEX('Contractors'!$I$6:$I$1005,MATCH(B391,'Contractors'!$B$6:$B$1005,0)),0),"")))</f>
        <v/>
      </c>
      <c r="I391" s="109" t="n"/>
      <c r="J391" s="72" t="n"/>
      <c r="K391" s="109" t="n"/>
      <c r="L391" s="73" t="n"/>
      <c r="M391" s="109" t="n"/>
      <c r="N391" s="73" t="n"/>
      <c r="O391" s="107">
        <f>IF(B391="","",IF(M391&lt;&gt;"","Paid",IF(AND(I391&lt;&gt;"",I391&lt;AsOf),"OVERDUE",IF(OR(K391&lt;&gt;"",L391&lt;&gt;""),"Invoiced","Scheduled"))))</f>
        <v/>
      </c>
      <c r="P391" s="115">
        <f>IF(B391="","",IF(E391&lt;&gt;"",E391,IFERROR(INDEX('Contractors'!$D$6:$D$1005,MATCH(B391,'Contractors'!$B$6:$B$1005,0)),"")))</f>
        <v/>
      </c>
      <c r="Q391" s="79">
        <f>IF(B391="","",IF(D391&lt;&gt;"",D391,IFERROR(INDEX('Contractors'!$E$6:$E$1005,MATCH(B391,'Contractors'!$B$6:$B$1005,0)),"")))</f>
        <v/>
      </c>
      <c r="R391" s="79">
        <f>IF(O391="","",IF(O391="OVERDUE",2,IF(O391="Paid",0,IF(AND(I391&lt;&gt;"",I391&lt;=AsOf+AlertDays),1,0))))</f>
        <v/>
      </c>
      <c r="S391" s="79">
        <f>IF(AND(B391&lt;&gt;"",M391="",I391&lt;&gt;""),IF(L391&lt;&gt;"",L391,IF(H391="",0,H391)),0)</f>
        <v/>
      </c>
      <c r="T391" s="79">
        <f>IF(AND(B391&lt;&gt;"",M391="",I391&lt;&gt;""),1/I391,0)</f>
        <v/>
      </c>
      <c r="U391" s="112">
        <f>IF(AND(B391&lt;&gt;"",M391="",I391&lt;&gt;""),I391,"")</f>
        <v/>
      </c>
      <c r="V391" s="79">
        <f>IF(U391="","",IF(U391&lt;AsOf,1,IF(U391&lt;=AsOf+AlertDays,2,IF(U391&lt;=AsOf+2*AlertDays,3,""))))</f>
        <v/>
      </c>
      <c r="W391" s="79">
        <f>IF(V391="","",IF(O391="OVERDUE","Overdue payment: ","Payment due: ")&amp;B391&amp;" — "&amp;C391&amp;" ("&amp;CurSym&amp;" "&amp;FIXED(S391,0)&amp;")")</f>
        <v/>
      </c>
      <c r="Z391" s="116">
        <f>IF('Contractors'!B391="","",'Contractors'!B391)</f>
        <v/>
      </c>
      <c r="AA391" s="77">
        <f>IF(Z391="","",'Contractors'!K391)</f>
        <v/>
      </c>
      <c r="AB391" s="77">
        <f>IF(Z391="","",SUMIFS($L$6:$L$1005,$B$6:$B$1005,Z391))</f>
        <v/>
      </c>
      <c r="AC391" s="77">
        <f>IF(Z391="","",SUMIFS($N$6:$N$1005,$B$6:$B$1005,Z391))</f>
        <v/>
      </c>
      <c r="AD391" s="76">
        <f>IF(Z391="","",AA391-AC391)</f>
        <v/>
      </c>
      <c r="AE391" s="117">
        <f>IF(Z391="","",IFERROR(1/SUMPRODUCT(MAX(($B$6:$B$1005=Z391)*$T$6:$T$1005)),""))</f>
        <v/>
      </c>
      <c r="AF391" s="77">
        <f>IF(AE391="","",SUMIFS($S$6:$S$1005,$B$6:$B$1005,Z391,$I$6:$I$1005,AE391))</f>
        <v/>
      </c>
    </row>
    <row r="392" ht="20" customHeight="1">
      <c r="B392" s="72" t="n"/>
      <c r="C392" s="72" t="n"/>
      <c r="D392" s="72" t="n"/>
      <c r="E392" s="72" t="n"/>
      <c r="F392" s="110" t="n"/>
      <c r="G392" s="73" t="n"/>
      <c r="H392" s="75">
        <f>IF(B392="","",IF(G392&lt;&gt;"",G392,IF(F392&lt;&gt;"",F392*IFERROR(INDEX('Contractors'!$I$6:$I$1005,MATCH(B392,'Contractors'!$B$6:$B$1005,0)),0),"")))</f>
        <v/>
      </c>
      <c r="I392" s="109" t="n"/>
      <c r="J392" s="72" t="n"/>
      <c r="K392" s="109" t="n"/>
      <c r="L392" s="73" t="n"/>
      <c r="M392" s="109" t="n"/>
      <c r="N392" s="73" t="n"/>
      <c r="O392" s="107">
        <f>IF(B392="","",IF(M392&lt;&gt;"","Paid",IF(AND(I392&lt;&gt;"",I392&lt;AsOf),"OVERDUE",IF(OR(K392&lt;&gt;"",L392&lt;&gt;""),"Invoiced","Scheduled"))))</f>
        <v/>
      </c>
      <c r="P392" s="115">
        <f>IF(B392="","",IF(E392&lt;&gt;"",E392,IFERROR(INDEX('Contractors'!$D$6:$D$1005,MATCH(B392,'Contractors'!$B$6:$B$1005,0)),"")))</f>
        <v/>
      </c>
      <c r="Q392" s="79">
        <f>IF(B392="","",IF(D392&lt;&gt;"",D392,IFERROR(INDEX('Contractors'!$E$6:$E$1005,MATCH(B392,'Contractors'!$B$6:$B$1005,0)),"")))</f>
        <v/>
      </c>
      <c r="R392" s="79">
        <f>IF(O392="","",IF(O392="OVERDUE",2,IF(O392="Paid",0,IF(AND(I392&lt;&gt;"",I392&lt;=AsOf+AlertDays),1,0))))</f>
        <v/>
      </c>
      <c r="S392" s="79">
        <f>IF(AND(B392&lt;&gt;"",M392="",I392&lt;&gt;""),IF(L392&lt;&gt;"",L392,IF(H392="",0,H392)),0)</f>
        <v/>
      </c>
      <c r="T392" s="79">
        <f>IF(AND(B392&lt;&gt;"",M392="",I392&lt;&gt;""),1/I392,0)</f>
        <v/>
      </c>
      <c r="U392" s="112">
        <f>IF(AND(B392&lt;&gt;"",M392="",I392&lt;&gt;""),I392,"")</f>
        <v/>
      </c>
      <c r="V392" s="79">
        <f>IF(U392="","",IF(U392&lt;AsOf,1,IF(U392&lt;=AsOf+AlertDays,2,IF(U392&lt;=AsOf+2*AlertDays,3,""))))</f>
        <v/>
      </c>
      <c r="W392" s="79">
        <f>IF(V392="","",IF(O392="OVERDUE","Overdue payment: ","Payment due: ")&amp;B392&amp;" — "&amp;C392&amp;" ("&amp;CurSym&amp;" "&amp;FIXED(S392,0)&amp;")")</f>
        <v/>
      </c>
      <c r="Z392" s="116">
        <f>IF('Contractors'!B392="","",'Contractors'!B392)</f>
        <v/>
      </c>
      <c r="AA392" s="77">
        <f>IF(Z392="","",'Contractors'!K392)</f>
        <v/>
      </c>
      <c r="AB392" s="77">
        <f>IF(Z392="","",SUMIFS($L$6:$L$1005,$B$6:$B$1005,Z392))</f>
        <v/>
      </c>
      <c r="AC392" s="77">
        <f>IF(Z392="","",SUMIFS($N$6:$N$1005,$B$6:$B$1005,Z392))</f>
        <v/>
      </c>
      <c r="AD392" s="76">
        <f>IF(Z392="","",AA392-AC392)</f>
        <v/>
      </c>
      <c r="AE392" s="117">
        <f>IF(Z392="","",IFERROR(1/SUMPRODUCT(MAX(($B$6:$B$1005=Z392)*$T$6:$T$1005)),""))</f>
        <v/>
      </c>
      <c r="AF392" s="77">
        <f>IF(AE392="","",SUMIFS($S$6:$S$1005,$B$6:$B$1005,Z392,$I$6:$I$1005,AE392))</f>
        <v/>
      </c>
    </row>
    <row r="393" ht="20" customHeight="1">
      <c r="B393" s="72" t="n"/>
      <c r="C393" s="72" t="n"/>
      <c r="D393" s="72" t="n"/>
      <c r="E393" s="72" t="n"/>
      <c r="F393" s="110" t="n"/>
      <c r="G393" s="73" t="n"/>
      <c r="H393" s="75">
        <f>IF(B393="","",IF(G393&lt;&gt;"",G393,IF(F393&lt;&gt;"",F393*IFERROR(INDEX('Contractors'!$I$6:$I$1005,MATCH(B393,'Contractors'!$B$6:$B$1005,0)),0),"")))</f>
        <v/>
      </c>
      <c r="I393" s="109" t="n"/>
      <c r="J393" s="72" t="n"/>
      <c r="K393" s="109" t="n"/>
      <c r="L393" s="73" t="n"/>
      <c r="M393" s="109" t="n"/>
      <c r="N393" s="73" t="n"/>
      <c r="O393" s="107">
        <f>IF(B393="","",IF(M393&lt;&gt;"","Paid",IF(AND(I393&lt;&gt;"",I393&lt;AsOf),"OVERDUE",IF(OR(K393&lt;&gt;"",L393&lt;&gt;""),"Invoiced","Scheduled"))))</f>
        <v/>
      </c>
      <c r="P393" s="115">
        <f>IF(B393="","",IF(E393&lt;&gt;"",E393,IFERROR(INDEX('Contractors'!$D$6:$D$1005,MATCH(B393,'Contractors'!$B$6:$B$1005,0)),"")))</f>
        <v/>
      </c>
      <c r="Q393" s="79">
        <f>IF(B393="","",IF(D393&lt;&gt;"",D393,IFERROR(INDEX('Contractors'!$E$6:$E$1005,MATCH(B393,'Contractors'!$B$6:$B$1005,0)),"")))</f>
        <v/>
      </c>
      <c r="R393" s="79">
        <f>IF(O393="","",IF(O393="OVERDUE",2,IF(O393="Paid",0,IF(AND(I393&lt;&gt;"",I393&lt;=AsOf+AlertDays),1,0))))</f>
        <v/>
      </c>
      <c r="S393" s="79">
        <f>IF(AND(B393&lt;&gt;"",M393="",I393&lt;&gt;""),IF(L393&lt;&gt;"",L393,IF(H393="",0,H393)),0)</f>
        <v/>
      </c>
      <c r="T393" s="79">
        <f>IF(AND(B393&lt;&gt;"",M393="",I393&lt;&gt;""),1/I393,0)</f>
        <v/>
      </c>
      <c r="U393" s="112">
        <f>IF(AND(B393&lt;&gt;"",M393="",I393&lt;&gt;""),I393,"")</f>
        <v/>
      </c>
      <c r="V393" s="79">
        <f>IF(U393="","",IF(U393&lt;AsOf,1,IF(U393&lt;=AsOf+AlertDays,2,IF(U393&lt;=AsOf+2*AlertDays,3,""))))</f>
        <v/>
      </c>
      <c r="W393" s="79">
        <f>IF(V393="","",IF(O393="OVERDUE","Overdue payment: ","Payment due: ")&amp;B393&amp;" — "&amp;C393&amp;" ("&amp;CurSym&amp;" "&amp;FIXED(S393,0)&amp;")")</f>
        <v/>
      </c>
      <c r="Z393" s="116">
        <f>IF('Contractors'!B393="","",'Contractors'!B393)</f>
        <v/>
      </c>
      <c r="AA393" s="77">
        <f>IF(Z393="","",'Contractors'!K393)</f>
        <v/>
      </c>
      <c r="AB393" s="77">
        <f>IF(Z393="","",SUMIFS($L$6:$L$1005,$B$6:$B$1005,Z393))</f>
        <v/>
      </c>
      <c r="AC393" s="77">
        <f>IF(Z393="","",SUMIFS($N$6:$N$1005,$B$6:$B$1005,Z393))</f>
        <v/>
      </c>
      <c r="AD393" s="76">
        <f>IF(Z393="","",AA393-AC393)</f>
        <v/>
      </c>
      <c r="AE393" s="117">
        <f>IF(Z393="","",IFERROR(1/SUMPRODUCT(MAX(($B$6:$B$1005=Z393)*$T$6:$T$1005)),""))</f>
        <v/>
      </c>
      <c r="AF393" s="77">
        <f>IF(AE393="","",SUMIFS($S$6:$S$1005,$B$6:$B$1005,Z393,$I$6:$I$1005,AE393))</f>
        <v/>
      </c>
    </row>
    <row r="394" ht="20" customHeight="1">
      <c r="B394" s="72" t="n"/>
      <c r="C394" s="72" t="n"/>
      <c r="D394" s="72" t="n"/>
      <c r="E394" s="72" t="n"/>
      <c r="F394" s="110" t="n"/>
      <c r="G394" s="73" t="n"/>
      <c r="H394" s="75">
        <f>IF(B394="","",IF(G394&lt;&gt;"",G394,IF(F394&lt;&gt;"",F394*IFERROR(INDEX('Contractors'!$I$6:$I$1005,MATCH(B394,'Contractors'!$B$6:$B$1005,0)),0),"")))</f>
        <v/>
      </c>
      <c r="I394" s="109" t="n"/>
      <c r="J394" s="72" t="n"/>
      <c r="K394" s="109" t="n"/>
      <c r="L394" s="73" t="n"/>
      <c r="M394" s="109" t="n"/>
      <c r="N394" s="73" t="n"/>
      <c r="O394" s="107">
        <f>IF(B394="","",IF(M394&lt;&gt;"","Paid",IF(AND(I394&lt;&gt;"",I394&lt;AsOf),"OVERDUE",IF(OR(K394&lt;&gt;"",L394&lt;&gt;""),"Invoiced","Scheduled"))))</f>
        <v/>
      </c>
      <c r="P394" s="115">
        <f>IF(B394="","",IF(E394&lt;&gt;"",E394,IFERROR(INDEX('Contractors'!$D$6:$D$1005,MATCH(B394,'Contractors'!$B$6:$B$1005,0)),"")))</f>
        <v/>
      </c>
      <c r="Q394" s="79">
        <f>IF(B394="","",IF(D394&lt;&gt;"",D394,IFERROR(INDEX('Contractors'!$E$6:$E$1005,MATCH(B394,'Contractors'!$B$6:$B$1005,0)),"")))</f>
        <v/>
      </c>
      <c r="R394" s="79">
        <f>IF(O394="","",IF(O394="OVERDUE",2,IF(O394="Paid",0,IF(AND(I394&lt;&gt;"",I394&lt;=AsOf+AlertDays),1,0))))</f>
        <v/>
      </c>
      <c r="S394" s="79">
        <f>IF(AND(B394&lt;&gt;"",M394="",I394&lt;&gt;""),IF(L394&lt;&gt;"",L394,IF(H394="",0,H394)),0)</f>
        <v/>
      </c>
      <c r="T394" s="79">
        <f>IF(AND(B394&lt;&gt;"",M394="",I394&lt;&gt;""),1/I394,0)</f>
        <v/>
      </c>
      <c r="U394" s="112">
        <f>IF(AND(B394&lt;&gt;"",M394="",I394&lt;&gt;""),I394,"")</f>
        <v/>
      </c>
      <c r="V394" s="79">
        <f>IF(U394="","",IF(U394&lt;AsOf,1,IF(U394&lt;=AsOf+AlertDays,2,IF(U394&lt;=AsOf+2*AlertDays,3,""))))</f>
        <v/>
      </c>
      <c r="W394" s="79">
        <f>IF(V394="","",IF(O394="OVERDUE","Overdue payment: ","Payment due: ")&amp;B394&amp;" — "&amp;C394&amp;" ("&amp;CurSym&amp;" "&amp;FIXED(S394,0)&amp;")")</f>
        <v/>
      </c>
      <c r="Z394" s="116">
        <f>IF('Contractors'!B394="","",'Contractors'!B394)</f>
        <v/>
      </c>
      <c r="AA394" s="77">
        <f>IF(Z394="","",'Contractors'!K394)</f>
        <v/>
      </c>
      <c r="AB394" s="77">
        <f>IF(Z394="","",SUMIFS($L$6:$L$1005,$B$6:$B$1005,Z394))</f>
        <v/>
      </c>
      <c r="AC394" s="77">
        <f>IF(Z394="","",SUMIFS($N$6:$N$1005,$B$6:$B$1005,Z394))</f>
        <v/>
      </c>
      <c r="AD394" s="76">
        <f>IF(Z394="","",AA394-AC394)</f>
        <v/>
      </c>
      <c r="AE394" s="117">
        <f>IF(Z394="","",IFERROR(1/SUMPRODUCT(MAX(($B$6:$B$1005=Z394)*$T$6:$T$1005)),""))</f>
        <v/>
      </c>
      <c r="AF394" s="77">
        <f>IF(AE394="","",SUMIFS($S$6:$S$1005,$B$6:$B$1005,Z394,$I$6:$I$1005,AE394))</f>
        <v/>
      </c>
    </row>
    <row r="395" ht="20" customHeight="1">
      <c r="B395" s="72" t="n"/>
      <c r="C395" s="72" t="n"/>
      <c r="D395" s="72" t="n"/>
      <c r="E395" s="72" t="n"/>
      <c r="F395" s="110" t="n"/>
      <c r="G395" s="73" t="n"/>
      <c r="H395" s="75">
        <f>IF(B395="","",IF(G395&lt;&gt;"",G395,IF(F395&lt;&gt;"",F395*IFERROR(INDEX('Contractors'!$I$6:$I$1005,MATCH(B395,'Contractors'!$B$6:$B$1005,0)),0),"")))</f>
        <v/>
      </c>
      <c r="I395" s="109" t="n"/>
      <c r="J395" s="72" t="n"/>
      <c r="K395" s="109" t="n"/>
      <c r="L395" s="73" t="n"/>
      <c r="M395" s="109" t="n"/>
      <c r="N395" s="73" t="n"/>
      <c r="O395" s="107">
        <f>IF(B395="","",IF(M395&lt;&gt;"","Paid",IF(AND(I395&lt;&gt;"",I395&lt;AsOf),"OVERDUE",IF(OR(K395&lt;&gt;"",L395&lt;&gt;""),"Invoiced","Scheduled"))))</f>
        <v/>
      </c>
      <c r="P395" s="115">
        <f>IF(B395="","",IF(E395&lt;&gt;"",E395,IFERROR(INDEX('Contractors'!$D$6:$D$1005,MATCH(B395,'Contractors'!$B$6:$B$1005,0)),"")))</f>
        <v/>
      </c>
      <c r="Q395" s="79">
        <f>IF(B395="","",IF(D395&lt;&gt;"",D395,IFERROR(INDEX('Contractors'!$E$6:$E$1005,MATCH(B395,'Contractors'!$B$6:$B$1005,0)),"")))</f>
        <v/>
      </c>
      <c r="R395" s="79">
        <f>IF(O395="","",IF(O395="OVERDUE",2,IF(O395="Paid",0,IF(AND(I395&lt;&gt;"",I395&lt;=AsOf+AlertDays),1,0))))</f>
        <v/>
      </c>
      <c r="S395" s="79">
        <f>IF(AND(B395&lt;&gt;"",M395="",I395&lt;&gt;""),IF(L395&lt;&gt;"",L395,IF(H395="",0,H395)),0)</f>
        <v/>
      </c>
      <c r="T395" s="79">
        <f>IF(AND(B395&lt;&gt;"",M395="",I395&lt;&gt;""),1/I395,0)</f>
        <v/>
      </c>
      <c r="U395" s="112">
        <f>IF(AND(B395&lt;&gt;"",M395="",I395&lt;&gt;""),I395,"")</f>
        <v/>
      </c>
      <c r="V395" s="79">
        <f>IF(U395="","",IF(U395&lt;AsOf,1,IF(U395&lt;=AsOf+AlertDays,2,IF(U395&lt;=AsOf+2*AlertDays,3,""))))</f>
        <v/>
      </c>
      <c r="W395" s="79">
        <f>IF(V395="","",IF(O395="OVERDUE","Overdue payment: ","Payment due: ")&amp;B395&amp;" — "&amp;C395&amp;" ("&amp;CurSym&amp;" "&amp;FIXED(S395,0)&amp;")")</f>
        <v/>
      </c>
      <c r="Z395" s="116">
        <f>IF('Contractors'!B395="","",'Contractors'!B395)</f>
        <v/>
      </c>
      <c r="AA395" s="77">
        <f>IF(Z395="","",'Contractors'!K395)</f>
        <v/>
      </c>
      <c r="AB395" s="77">
        <f>IF(Z395="","",SUMIFS($L$6:$L$1005,$B$6:$B$1005,Z395))</f>
        <v/>
      </c>
      <c r="AC395" s="77">
        <f>IF(Z395="","",SUMIFS($N$6:$N$1005,$B$6:$B$1005,Z395))</f>
        <v/>
      </c>
      <c r="AD395" s="76">
        <f>IF(Z395="","",AA395-AC395)</f>
        <v/>
      </c>
      <c r="AE395" s="117">
        <f>IF(Z395="","",IFERROR(1/SUMPRODUCT(MAX(($B$6:$B$1005=Z395)*$T$6:$T$1005)),""))</f>
        <v/>
      </c>
      <c r="AF395" s="77">
        <f>IF(AE395="","",SUMIFS($S$6:$S$1005,$B$6:$B$1005,Z395,$I$6:$I$1005,AE395))</f>
        <v/>
      </c>
    </row>
    <row r="396" ht="20" customHeight="1">
      <c r="B396" s="72" t="n"/>
      <c r="C396" s="72" t="n"/>
      <c r="D396" s="72" t="n"/>
      <c r="E396" s="72" t="n"/>
      <c r="F396" s="110" t="n"/>
      <c r="G396" s="73" t="n"/>
      <c r="H396" s="75">
        <f>IF(B396="","",IF(G396&lt;&gt;"",G396,IF(F396&lt;&gt;"",F396*IFERROR(INDEX('Contractors'!$I$6:$I$1005,MATCH(B396,'Contractors'!$B$6:$B$1005,0)),0),"")))</f>
        <v/>
      </c>
      <c r="I396" s="109" t="n"/>
      <c r="J396" s="72" t="n"/>
      <c r="K396" s="109" t="n"/>
      <c r="L396" s="73" t="n"/>
      <c r="M396" s="109" t="n"/>
      <c r="N396" s="73" t="n"/>
      <c r="O396" s="107">
        <f>IF(B396="","",IF(M396&lt;&gt;"","Paid",IF(AND(I396&lt;&gt;"",I396&lt;AsOf),"OVERDUE",IF(OR(K396&lt;&gt;"",L396&lt;&gt;""),"Invoiced","Scheduled"))))</f>
        <v/>
      </c>
      <c r="P396" s="115">
        <f>IF(B396="","",IF(E396&lt;&gt;"",E396,IFERROR(INDEX('Contractors'!$D$6:$D$1005,MATCH(B396,'Contractors'!$B$6:$B$1005,0)),"")))</f>
        <v/>
      </c>
      <c r="Q396" s="79">
        <f>IF(B396="","",IF(D396&lt;&gt;"",D396,IFERROR(INDEX('Contractors'!$E$6:$E$1005,MATCH(B396,'Contractors'!$B$6:$B$1005,0)),"")))</f>
        <v/>
      </c>
      <c r="R396" s="79">
        <f>IF(O396="","",IF(O396="OVERDUE",2,IF(O396="Paid",0,IF(AND(I396&lt;&gt;"",I396&lt;=AsOf+AlertDays),1,0))))</f>
        <v/>
      </c>
      <c r="S396" s="79">
        <f>IF(AND(B396&lt;&gt;"",M396="",I396&lt;&gt;""),IF(L396&lt;&gt;"",L396,IF(H396="",0,H396)),0)</f>
        <v/>
      </c>
      <c r="T396" s="79">
        <f>IF(AND(B396&lt;&gt;"",M396="",I396&lt;&gt;""),1/I396,0)</f>
        <v/>
      </c>
      <c r="U396" s="112">
        <f>IF(AND(B396&lt;&gt;"",M396="",I396&lt;&gt;""),I396,"")</f>
        <v/>
      </c>
      <c r="V396" s="79">
        <f>IF(U396="","",IF(U396&lt;AsOf,1,IF(U396&lt;=AsOf+AlertDays,2,IF(U396&lt;=AsOf+2*AlertDays,3,""))))</f>
        <v/>
      </c>
      <c r="W396" s="79">
        <f>IF(V396="","",IF(O396="OVERDUE","Overdue payment: ","Payment due: ")&amp;B396&amp;" — "&amp;C396&amp;" ("&amp;CurSym&amp;" "&amp;FIXED(S396,0)&amp;")")</f>
        <v/>
      </c>
      <c r="Z396" s="116">
        <f>IF('Contractors'!B396="","",'Contractors'!B396)</f>
        <v/>
      </c>
      <c r="AA396" s="77">
        <f>IF(Z396="","",'Contractors'!K396)</f>
        <v/>
      </c>
      <c r="AB396" s="77">
        <f>IF(Z396="","",SUMIFS($L$6:$L$1005,$B$6:$B$1005,Z396))</f>
        <v/>
      </c>
      <c r="AC396" s="77">
        <f>IF(Z396="","",SUMIFS($N$6:$N$1005,$B$6:$B$1005,Z396))</f>
        <v/>
      </c>
      <c r="AD396" s="76">
        <f>IF(Z396="","",AA396-AC396)</f>
        <v/>
      </c>
      <c r="AE396" s="117">
        <f>IF(Z396="","",IFERROR(1/SUMPRODUCT(MAX(($B$6:$B$1005=Z396)*$T$6:$T$1005)),""))</f>
        <v/>
      </c>
      <c r="AF396" s="77">
        <f>IF(AE396="","",SUMIFS($S$6:$S$1005,$B$6:$B$1005,Z396,$I$6:$I$1005,AE396))</f>
        <v/>
      </c>
    </row>
    <row r="397" ht="20" customHeight="1">
      <c r="B397" s="72" t="n"/>
      <c r="C397" s="72" t="n"/>
      <c r="D397" s="72" t="n"/>
      <c r="E397" s="72" t="n"/>
      <c r="F397" s="110" t="n"/>
      <c r="G397" s="73" t="n"/>
      <c r="H397" s="75">
        <f>IF(B397="","",IF(G397&lt;&gt;"",G397,IF(F397&lt;&gt;"",F397*IFERROR(INDEX('Contractors'!$I$6:$I$1005,MATCH(B397,'Contractors'!$B$6:$B$1005,0)),0),"")))</f>
        <v/>
      </c>
      <c r="I397" s="109" t="n"/>
      <c r="J397" s="72" t="n"/>
      <c r="K397" s="109" t="n"/>
      <c r="L397" s="73" t="n"/>
      <c r="M397" s="109" t="n"/>
      <c r="N397" s="73" t="n"/>
      <c r="O397" s="107">
        <f>IF(B397="","",IF(M397&lt;&gt;"","Paid",IF(AND(I397&lt;&gt;"",I397&lt;AsOf),"OVERDUE",IF(OR(K397&lt;&gt;"",L397&lt;&gt;""),"Invoiced","Scheduled"))))</f>
        <v/>
      </c>
      <c r="P397" s="115">
        <f>IF(B397="","",IF(E397&lt;&gt;"",E397,IFERROR(INDEX('Contractors'!$D$6:$D$1005,MATCH(B397,'Contractors'!$B$6:$B$1005,0)),"")))</f>
        <v/>
      </c>
      <c r="Q397" s="79">
        <f>IF(B397="","",IF(D397&lt;&gt;"",D397,IFERROR(INDEX('Contractors'!$E$6:$E$1005,MATCH(B397,'Contractors'!$B$6:$B$1005,0)),"")))</f>
        <v/>
      </c>
      <c r="R397" s="79">
        <f>IF(O397="","",IF(O397="OVERDUE",2,IF(O397="Paid",0,IF(AND(I397&lt;&gt;"",I397&lt;=AsOf+AlertDays),1,0))))</f>
        <v/>
      </c>
      <c r="S397" s="79">
        <f>IF(AND(B397&lt;&gt;"",M397="",I397&lt;&gt;""),IF(L397&lt;&gt;"",L397,IF(H397="",0,H397)),0)</f>
        <v/>
      </c>
      <c r="T397" s="79">
        <f>IF(AND(B397&lt;&gt;"",M397="",I397&lt;&gt;""),1/I397,0)</f>
        <v/>
      </c>
      <c r="U397" s="112">
        <f>IF(AND(B397&lt;&gt;"",M397="",I397&lt;&gt;""),I397,"")</f>
        <v/>
      </c>
      <c r="V397" s="79">
        <f>IF(U397="","",IF(U397&lt;AsOf,1,IF(U397&lt;=AsOf+AlertDays,2,IF(U397&lt;=AsOf+2*AlertDays,3,""))))</f>
        <v/>
      </c>
      <c r="W397" s="79">
        <f>IF(V397="","",IF(O397="OVERDUE","Overdue payment: ","Payment due: ")&amp;B397&amp;" — "&amp;C397&amp;" ("&amp;CurSym&amp;" "&amp;FIXED(S397,0)&amp;")")</f>
        <v/>
      </c>
      <c r="Z397" s="116">
        <f>IF('Contractors'!B397="","",'Contractors'!B397)</f>
        <v/>
      </c>
      <c r="AA397" s="77">
        <f>IF(Z397="","",'Contractors'!K397)</f>
        <v/>
      </c>
      <c r="AB397" s="77">
        <f>IF(Z397="","",SUMIFS($L$6:$L$1005,$B$6:$B$1005,Z397))</f>
        <v/>
      </c>
      <c r="AC397" s="77">
        <f>IF(Z397="","",SUMIFS($N$6:$N$1005,$B$6:$B$1005,Z397))</f>
        <v/>
      </c>
      <c r="AD397" s="76">
        <f>IF(Z397="","",AA397-AC397)</f>
        <v/>
      </c>
      <c r="AE397" s="117">
        <f>IF(Z397="","",IFERROR(1/SUMPRODUCT(MAX(($B$6:$B$1005=Z397)*$T$6:$T$1005)),""))</f>
        <v/>
      </c>
      <c r="AF397" s="77">
        <f>IF(AE397="","",SUMIFS($S$6:$S$1005,$B$6:$B$1005,Z397,$I$6:$I$1005,AE397))</f>
        <v/>
      </c>
    </row>
    <row r="398" ht="20" customHeight="1">
      <c r="B398" s="72" t="n"/>
      <c r="C398" s="72" t="n"/>
      <c r="D398" s="72" t="n"/>
      <c r="E398" s="72" t="n"/>
      <c r="F398" s="110" t="n"/>
      <c r="G398" s="73" t="n"/>
      <c r="H398" s="75">
        <f>IF(B398="","",IF(G398&lt;&gt;"",G398,IF(F398&lt;&gt;"",F398*IFERROR(INDEX('Contractors'!$I$6:$I$1005,MATCH(B398,'Contractors'!$B$6:$B$1005,0)),0),"")))</f>
        <v/>
      </c>
      <c r="I398" s="109" t="n"/>
      <c r="J398" s="72" t="n"/>
      <c r="K398" s="109" t="n"/>
      <c r="L398" s="73" t="n"/>
      <c r="M398" s="109" t="n"/>
      <c r="N398" s="73" t="n"/>
      <c r="O398" s="107">
        <f>IF(B398="","",IF(M398&lt;&gt;"","Paid",IF(AND(I398&lt;&gt;"",I398&lt;AsOf),"OVERDUE",IF(OR(K398&lt;&gt;"",L398&lt;&gt;""),"Invoiced","Scheduled"))))</f>
        <v/>
      </c>
      <c r="P398" s="115">
        <f>IF(B398="","",IF(E398&lt;&gt;"",E398,IFERROR(INDEX('Contractors'!$D$6:$D$1005,MATCH(B398,'Contractors'!$B$6:$B$1005,0)),"")))</f>
        <v/>
      </c>
      <c r="Q398" s="79">
        <f>IF(B398="","",IF(D398&lt;&gt;"",D398,IFERROR(INDEX('Contractors'!$E$6:$E$1005,MATCH(B398,'Contractors'!$B$6:$B$1005,0)),"")))</f>
        <v/>
      </c>
      <c r="R398" s="79">
        <f>IF(O398="","",IF(O398="OVERDUE",2,IF(O398="Paid",0,IF(AND(I398&lt;&gt;"",I398&lt;=AsOf+AlertDays),1,0))))</f>
        <v/>
      </c>
      <c r="S398" s="79">
        <f>IF(AND(B398&lt;&gt;"",M398="",I398&lt;&gt;""),IF(L398&lt;&gt;"",L398,IF(H398="",0,H398)),0)</f>
        <v/>
      </c>
      <c r="T398" s="79">
        <f>IF(AND(B398&lt;&gt;"",M398="",I398&lt;&gt;""),1/I398,0)</f>
        <v/>
      </c>
      <c r="U398" s="112">
        <f>IF(AND(B398&lt;&gt;"",M398="",I398&lt;&gt;""),I398,"")</f>
        <v/>
      </c>
      <c r="V398" s="79">
        <f>IF(U398="","",IF(U398&lt;AsOf,1,IF(U398&lt;=AsOf+AlertDays,2,IF(U398&lt;=AsOf+2*AlertDays,3,""))))</f>
        <v/>
      </c>
      <c r="W398" s="79">
        <f>IF(V398="","",IF(O398="OVERDUE","Overdue payment: ","Payment due: ")&amp;B398&amp;" — "&amp;C398&amp;" ("&amp;CurSym&amp;" "&amp;FIXED(S398,0)&amp;")")</f>
        <v/>
      </c>
      <c r="Z398" s="116">
        <f>IF('Contractors'!B398="","",'Contractors'!B398)</f>
        <v/>
      </c>
      <c r="AA398" s="77">
        <f>IF(Z398="","",'Contractors'!K398)</f>
        <v/>
      </c>
      <c r="AB398" s="77">
        <f>IF(Z398="","",SUMIFS($L$6:$L$1005,$B$6:$B$1005,Z398))</f>
        <v/>
      </c>
      <c r="AC398" s="77">
        <f>IF(Z398="","",SUMIFS($N$6:$N$1005,$B$6:$B$1005,Z398))</f>
        <v/>
      </c>
      <c r="AD398" s="76">
        <f>IF(Z398="","",AA398-AC398)</f>
        <v/>
      </c>
      <c r="AE398" s="117">
        <f>IF(Z398="","",IFERROR(1/SUMPRODUCT(MAX(($B$6:$B$1005=Z398)*$T$6:$T$1005)),""))</f>
        <v/>
      </c>
      <c r="AF398" s="77">
        <f>IF(AE398="","",SUMIFS($S$6:$S$1005,$B$6:$B$1005,Z398,$I$6:$I$1005,AE398))</f>
        <v/>
      </c>
    </row>
    <row r="399" ht="20" customHeight="1">
      <c r="B399" s="72" t="n"/>
      <c r="C399" s="72" t="n"/>
      <c r="D399" s="72" t="n"/>
      <c r="E399" s="72" t="n"/>
      <c r="F399" s="110" t="n"/>
      <c r="G399" s="73" t="n"/>
      <c r="H399" s="75">
        <f>IF(B399="","",IF(G399&lt;&gt;"",G399,IF(F399&lt;&gt;"",F399*IFERROR(INDEX('Contractors'!$I$6:$I$1005,MATCH(B399,'Contractors'!$B$6:$B$1005,0)),0),"")))</f>
        <v/>
      </c>
      <c r="I399" s="109" t="n"/>
      <c r="J399" s="72" t="n"/>
      <c r="K399" s="109" t="n"/>
      <c r="L399" s="73" t="n"/>
      <c r="M399" s="109" t="n"/>
      <c r="N399" s="73" t="n"/>
      <c r="O399" s="107">
        <f>IF(B399="","",IF(M399&lt;&gt;"","Paid",IF(AND(I399&lt;&gt;"",I399&lt;AsOf),"OVERDUE",IF(OR(K399&lt;&gt;"",L399&lt;&gt;""),"Invoiced","Scheduled"))))</f>
        <v/>
      </c>
      <c r="P399" s="115">
        <f>IF(B399="","",IF(E399&lt;&gt;"",E399,IFERROR(INDEX('Contractors'!$D$6:$D$1005,MATCH(B399,'Contractors'!$B$6:$B$1005,0)),"")))</f>
        <v/>
      </c>
      <c r="Q399" s="79">
        <f>IF(B399="","",IF(D399&lt;&gt;"",D399,IFERROR(INDEX('Contractors'!$E$6:$E$1005,MATCH(B399,'Contractors'!$B$6:$B$1005,0)),"")))</f>
        <v/>
      </c>
      <c r="R399" s="79">
        <f>IF(O399="","",IF(O399="OVERDUE",2,IF(O399="Paid",0,IF(AND(I399&lt;&gt;"",I399&lt;=AsOf+AlertDays),1,0))))</f>
        <v/>
      </c>
      <c r="S399" s="79">
        <f>IF(AND(B399&lt;&gt;"",M399="",I399&lt;&gt;""),IF(L399&lt;&gt;"",L399,IF(H399="",0,H399)),0)</f>
        <v/>
      </c>
      <c r="T399" s="79">
        <f>IF(AND(B399&lt;&gt;"",M399="",I399&lt;&gt;""),1/I399,0)</f>
        <v/>
      </c>
      <c r="U399" s="112">
        <f>IF(AND(B399&lt;&gt;"",M399="",I399&lt;&gt;""),I399,"")</f>
        <v/>
      </c>
      <c r="V399" s="79">
        <f>IF(U399="","",IF(U399&lt;AsOf,1,IF(U399&lt;=AsOf+AlertDays,2,IF(U399&lt;=AsOf+2*AlertDays,3,""))))</f>
        <v/>
      </c>
      <c r="W399" s="79">
        <f>IF(V399="","",IF(O399="OVERDUE","Overdue payment: ","Payment due: ")&amp;B399&amp;" — "&amp;C399&amp;" ("&amp;CurSym&amp;" "&amp;FIXED(S399,0)&amp;")")</f>
        <v/>
      </c>
      <c r="Z399" s="116">
        <f>IF('Contractors'!B399="","",'Contractors'!B399)</f>
        <v/>
      </c>
      <c r="AA399" s="77">
        <f>IF(Z399="","",'Contractors'!K399)</f>
        <v/>
      </c>
      <c r="AB399" s="77">
        <f>IF(Z399="","",SUMIFS($L$6:$L$1005,$B$6:$B$1005,Z399))</f>
        <v/>
      </c>
      <c r="AC399" s="77">
        <f>IF(Z399="","",SUMIFS($N$6:$N$1005,$B$6:$B$1005,Z399))</f>
        <v/>
      </c>
      <c r="AD399" s="76">
        <f>IF(Z399="","",AA399-AC399)</f>
        <v/>
      </c>
      <c r="AE399" s="117">
        <f>IF(Z399="","",IFERROR(1/SUMPRODUCT(MAX(($B$6:$B$1005=Z399)*$T$6:$T$1005)),""))</f>
        <v/>
      </c>
      <c r="AF399" s="77">
        <f>IF(AE399="","",SUMIFS($S$6:$S$1005,$B$6:$B$1005,Z399,$I$6:$I$1005,AE399))</f>
        <v/>
      </c>
    </row>
    <row r="400" ht="20" customHeight="1">
      <c r="B400" s="72" t="n"/>
      <c r="C400" s="72" t="n"/>
      <c r="D400" s="72" t="n"/>
      <c r="E400" s="72" t="n"/>
      <c r="F400" s="110" t="n"/>
      <c r="G400" s="73" t="n"/>
      <c r="H400" s="75">
        <f>IF(B400="","",IF(G400&lt;&gt;"",G400,IF(F400&lt;&gt;"",F400*IFERROR(INDEX('Contractors'!$I$6:$I$1005,MATCH(B400,'Contractors'!$B$6:$B$1005,0)),0),"")))</f>
        <v/>
      </c>
      <c r="I400" s="109" t="n"/>
      <c r="J400" s="72" t="n"/>
      <c r="K400" s="109" t="n"/>
      <c r="L400" s="73" t="n"/>
      <c r="M400" s="109" t="n"/>
      <c r="N400" s="73" t="n"/>
      <c r="O400" s="107">
        <f>IF(B400="","",IF(M400&lt;&gt;"","Paid",IF(AND(I400&lt;&gt;"",I400&lt;AsOf),"OVERDUE",IF(OR(K400&lt;&gt;"",L400&lt;&gt;""),"Invoiced","Scheduled"))))</f>
        <v/>
      </c>
      <c r="P400" s="115">
        <f>IF(B400="","",IF(E400&lt;&gt;"",E400,IFERROR(INDEX('Contractors'!$D$6:$D$1005,MATCH(B400,'Contractors'!$B$6:$B$1005,0)),"")))</f>
        <v/>
      </c>
      <c r="Q400" s="79">
        <f>IF(B400="","",IF(D400&lt;&gt;"",D400,IFERROR(INDEX('Contractors'!$E$6:$E$1005,MATCH(B400,'Contractors'!$B$6:$B$1005,0)),"")))</f>
        <v/>
      </c>
      <c r="R400" s="79">
        <f>IF(O400="","",IF(O400="OVERDUE",2,IF(O400="Paid",0,IF(AND(I400&lt;&gt;"",I400&lt;=AsOf+AlertDays),1,0))))</f>
        <v/>
      </c>
      <c r="S400" s="79">
        <f>IF(AND(B400&lt;&gt;"",M400="",I400&lt;&gt;""),IF(L400&lt;&gt;"",L400,IF(H400="",0,H400)),0)</f>
        <v/>
      </c>
      <c r="T400" s="79">
        <f>IF(AND(B400&lt;&gt;"",M400="",I400&lt;&gt;""),1/I400,0)</f>
        <v/>
      </c>
      <c r="U400" s="112">
        <f>IF(AND(B400&lt;&gt;"",M400="",I400&lt;&gt;""),I400,"")</f>
        <v/>
      </c>
      <c r="V400" s="79">
        <f>IF(U400="","",IF(U400&lt;AsOf,1,IF(U400&lt;=AsOf+AlertDays,2,IF(U400&lt;=AsOf+2*AlertDays,3,""))))</f>
        <v/>
      </c>
      <c r="W400" s="79">
        <f>IF(V400="","",IF(O400="OVERDUE","Overdue payment: ","Payment due: ")&amp;B400&amp;" — "&amp;C400&amp;" ("&amp;CurSym&amp;" "&amp;FIXED(S400,0)&amp;")")</f>
        <v/>
      </c>
      <c r="Z400" s="116">
        <f>IF('Contractors'!B400="","",'Contractors'!B400)</f>
        <v/>
      </c>
      <c r="AA400" s="77">
        <f>IF(Z400="","",'Contractors'!K400)</f>
        <v/>
      </c>
      <c r="AB400" s="77">
        <f>IF(Z400="","",SUMIFS($L$6:$L$1005,$B$6:$B$1005,Z400))</f>
        <v/>
      </c>
      <c r="AC400" s="77">
        <f>IF(Z400="","",SUMIFS($N$6:$N$1005,$B$6:$B$1005,Z400))</f>
        <v/>
      </c>
      <c r="AD400" s="76">
        <f>IF(Z400="","",AA400-AC400)</f>
        <v/>
      </c>
      <c r="AE400" s="117">
        <f>IF(Z400="","",IFERROR(1/SUMPRODUCT(MAX(($B$6:$B$1005=Z400)*$T$6:$T$1005)),""))</f>
        <v/>
      </c>
      <c r="AF400" s="77">
        <f>IF(AE400="","",SUMIFS($S$6:$S$1005,$B$6:$B$1005,Z400,$I$6:$I$1005,AE400))</f>
        <v/>
      </c>
    </row>
    <row r="401" ht="20" customHeight="1">
      <c r="B401" s="72" t="n"/>
      <c r="C401" s="72" t="n"/>
      <c r="D401" s="72" t="n"/>
      <c r="E401" s="72" t="n"/>
      <c r="F401" s="110" t="n"/>
      <c r="G401" s="73" t="n"/>
      <c r="H401" s="75">
        <f>IF(B401="","",IF(G401&lt;&gt;"",G401,IF(F401&lt;&gt;"",F401*IFERROR(INDEX('Contractors'!$I$6:$I$1005,MATCH(B401,'Contractors'!$B$6:$B$1005,0)),0),"")))</f>
        <v/>
      </c>
      <c r="I401" s="109" t="n"/>
      <c r="J401" s="72" t="n"/>
      <c r="K401" s="109" t="n"/>
      <c r="L401" s="73" t="n"/>
      <c r="M401" s="109" t="n"/>
      <c r="N401" s="73" t="n"/>
      <c r="O401" s="107">
        <f>IF(B401="","",IF(M401&lt;&gt;"","Paid",IF(AND(I401&lt;&gt;"",I401&lt;AsOf),"OVERDUE",IF(OR(K401&lt;&gt;"",L401&lt;&gt;""),"Invoiced","Scheduled"))))</f>
        <v/>
      </c>
      <c r="P401" s="115">
        <f>IF(B401="","",IF(E401&lt;&gt;"",E401,IFERROR(INDEX('Contractors'!$D$6:$D$1005,MATCH(B401,'Contractors'!$B$6:$B$1005,0)),"")))</f>
        <v/>
      </c>
      <c r="Q401" s="79">
        <f>IF(B401="","",IF(D401&lt;&gt;"",D401,IFERROR(INDEX('Contractors'!$E$6:$E$1005,MATCH(B401,'Contractors'!$B$6:$B$1005,0)),"")))</f>
        <v/>
      </c>
      <c r="R401" s="79">
        <f>IF(O401="","",IF(O401="OVERDUE",2,IF(O401="Paid",0,IF(AND(I401&lt;&gt;"",I401&lt;=AsOf+AlertDays),1,0))))</f>
        <v/>
      </c>
      <c r="S401" s="79">
        <f>IF(AND(B401&lt;&gt;"",M401="",I401&lt;&gt;""),IF(L401&lt;&gt;"",L401,IF(H401="",0,H401)),0)</f>
        <v/>
      </c>
      <c r="T401" s="79">
        <f>IF(AND(B401&lt;&gt;"",M401="",I401&lt;&gt;""),1/I401,0)</f>
        <v/>
      </c>
      <c r="U401" s="112">
        <f>IF(AND(B401&lt;&gt;"",M401="",I401&lt;&gt;""),I401,"")</f>
        <v/>
      </c>
      <c r="V401" s="79">
        <f>IF(U401="","",IF(U401&lt;AsOf,1,IF(U401&lt;=AsOf+AlertDays,2,IF(U401&lt;=AsOf+2*AlertDays,3,""))))</f>
        <v/>
      </c>
      <c r="W401" s="79">
        <f>IF(V401="","",IF(O401="OVERDUE","Overdue payment: ","Payment due: ")&amp;B401&amp;" — "&amp;C401&amp;" ("&amp;CurSym&amp;" "&amp;FIXED(S401,0)&amp;")")</f>
        <v/>
      </c>
      <c r="Z401" s="116">
        <f>IF('Contractors'!B401="","",'Contractors'!B401)</f>
        <v/>
      </c>
      <c r="AA401" s="77">
        <f>IF(Z401="","",'Contractors'!K401)</f>
        <v/>
      </c>
      <c r="AB401" s="77">
        <f>IF(Z401="","",SUMIFS($L$6:$L$1005,$B$6:$B$1005,Z401))</f>
        <v/>
      </c>
      <c r="AC401" s="77">
        <f>IF(Z401="","",SUMIFS($N$6:$N$1005,$B$6:$B$1005,Z401))</f>
        <v/>
      </c>
      <c r="AD401" s="76">
        <f>IF(Z401="","",AA401-AC401)</f>
        <v/>
      </c>
      <c r="AE401" s="117">
        <f>IF(Z401="","",IFERROR(1/SUMPRODUCT(MAX(($B$6:$B$1005=Z401)*$T$6:$T$1005)),""))</f>
        <v/>
      </c>
      <c r="AF401" s="77">
        <f>IF(AE401="","",SUMIFS($S$6:$S$1005,$B$6:$B$1005,Z401,$I$6:$I$1005,AE401))</f>
        <v/>
      </c>
    </row>
    <row r="402" ht="20" customHeight="1">
      <c r="B402" s="72" t="n"/>
      <c r="C402" s="72" t="n"/>
      <c r="D402" s="72" t="n"/>
      <c r="E402" s="72" t="n"/>
      <c r="F402" s="110" t="n"/>
      <c r="G402" s="73" t="n"/>
      <c r="H402" s="75">
        <f>IF(B402="","",IF(G402&lt;&gt;"",G402,IF(F402&lt;&gt;"",F402*IFERROR(INDEX('Contractors'!$I$6:$I$1005,MATCH(B402,'Contractors'!$B$6:$B$1005,0)),0),"")))</f>
        <v/>
      </c>
      <c r="I402" s="109" t="n"/>
      <c r="J402" s="72" t="n"/>
      <c r="K402" s="109" t="n"/>
      <c r="L402" s="73" t="n"/>
      <c r="M402" s="109" t="n"/>
      <c r="N402" s="73" t="n"/>
      <c r="O402" s="107">
        <f>IF(B402="","",IF(M402&lt;&gt;"","Paid",IF(AND(I402&lt;&gt;"",I402&lt;AsOf),"OVERDUE",IF(OR(K402&lt;&gt;"",L402&lt;&gt;""),"Invoiced","Scheduled"))))</f>
        <v/>
      </c>
      <c r="P402" s="115">
        <f>IF(B402="","",IF(E402&lt;&gt;"",E402,IFERROR(INDEX('Contractors'!$D$6:$D$1005,MATCH(B402,'Contractors'!$B$6:$B$1005,0)),"")))</f>
        <v/>
      </c>
      <c r="Q402" s="79">
        <f>IF(B402="","",IF(D402&lt;&gt;"",D402,IFERROR(INDEX('Contractors'!$E$6:$E$1005,MATCH(B402,'Contractors'!$B$6:$B$1005,0)),"")))</f>
        <v/>
      </c>
      <c r="R402" s="79">
        <f>IF(O402="","",IF(O402="OVERDUE",2,IF(O402="Paid",0,IF(AND(I402&lt;&gt;"",I402&lt;=AsOf+AlertDays),1,0))))</f>
        <v/>
      </c>
      <c r="S402" s="79">
        <f>IF(AND(B402&lt;&gt;"",M402="",I402&lt;&gt;""),IF(L402&lt;&gt;"",L402,IF(H402="",0,H402)),0)</f>
        <v/>
      </c>
      <c r="T402" s="79">
        <f>IF(AND(B402&lt;&gt;"",M402="",I402&lt;&gt;""),1/I402,0)</f>
        <v/>
      </c>
      <c r="U402" s="112">
        <f>IF(AND(B402&lt;&gt;"",M402="",I402&lt;&gt;""),I402,"")</f>
        <v/>
      </c>
      <c r="V402" s="79">
        <f>IF(U402="","",IF(U402&lt;AsOf,1,IF(U402&lt;=AsOf+AlertDays,2,IF(U402&lt;=AsOf+2*AlertDays,3,""))))</f>
        <v/>
      </c>
      <c r="W402" s="79">
        <f>IF(V402="","",IF(O402="OVERDUE","Overdue payment: ","Payment due: ")&amp;B402&amp;" — "&amp;C402&amp;" ("&amp;CurSym&amp;" "&amp;FIXED(S402,0)&amp;")")</f>
        <v/>
      </c>
      <c r="Z402" s="116">
        <f>IF('Contractors'!B402="","",'Contractors'!B402)</f>
        <v/>
      </c>
      <c r="AA402" s="77">
        <f>IF(Z402="","",'Contractors'!K402)</f>
        <v/>
      </c>
      <c r="AB402" s="77">
        <f>IF(Z402="","",SUMIFS($L$6:$L$1005,$B$6:$B$1005,Z402))</f>
        <v/>
      </c>
      <c r="AC402" s="77">
        <f>IF(Z402="","",SUMIFS($N$6:$N$1005,$B$6:$B$1005,Z402))</f>
        <v/>
      </c>
      <c r="AD402" s="76">
        <f>IF(Z402="","",AA402-AC402)</f>
        <v/>
      </c>
      <c r="AE402" s="117">
        <f>IF(Z402="","",IFERROR(1/SUMPRODUCT(MAX(($B$6:$B$1005=Z402)*$T$6:$T$1005)),""))</f>
        <v/>
      </c>
      <c r="AF402" s="77">
        <f>IF(AE402="","",SUMIFS($S$6:$S$1005,$B$6:$B$1005,Z402,$I$6:$I$1005,AE402))</f>
        <v/>
      </c>
    </row>
    <row r="403" ht="20" customHeight="1">
      <c r="B403" s="72" t="n"/>
      <c r="C403" s="72" t="n"/>
      <c r="D403" s="72" t="n"/>
      <c r="E403" s="72" t="n"/>
      <c r="F403" s="110" t="n"/>
      <c r="G403" s="73" t="n"/>
      <c r="H403" s="75">
        <f>IF(B403="","",IF(G403&lt;&gt;"",G403,IF(F403&lt;&gt;"",F403*IFERROR(INDEX('Contractors'!$I$6:$I$1005,MATCH(B403,'Contractors'!$B$6:$B$1005,0)),0),"")))</f>
        <v/>
      </c>
      <c r="I403" s="109" t="n"/>
      <c r="J403" s="72" t="n"/>
      <c r="K403" s="109" t="n"/>
      <c r="L403" s="73" t="n"/>
      <c r="M403" s="109" t="n"/>
      <c r="N403" s="73" t="n"/>
      <c r="O403" s="107">
        <f>IF(B403="","",IF(M403&lt;&gt;"","Paid",IF(AND(I403&lt;&gt;"",I403&lt;AsOf),"OVERDUE",IF(OR(K403&lt;&gt;"",L403&lt;&gt;""),"Invoiced","Scheduled"))))</f>
        <v/>
      </c>
      <c r="P403" s="115">
        <f>IF(B403="","",IF(E403&lt;&gt;"",E403,IFERROR(INDEX('Contractors'!$D$6:$D$1005,MATCH(B403,'Contractors'!$B$6:$B$1005,0)),"")))</f>
        <v/>
      </c>
      <c r="Q403" s="79">
        <f>IF(B403="","",IF(D403&lt;&gt;"",D403,IFERROR(INDEX('Contractors'!$E$6:$E$1005,MATCH(B403,'Contractors'!$B$6:$B$1005,0)),"")))</f>
        <v/>
      </c>
      <c r="R403" s="79">
        <f>IF(O403="","",IF(O403="OVERDUE",2,IF(O403="Paid",0,IF(AND(I403&lt;&gt;"",I403&lt;=AsOf+AlertDays),1,0))))</f>
        <v/>
      </c>
      <c r="S403" s="79">
        <f>IF(AND(B403&lt;&gt;"",M403="",I403&lt;&gt;""),IF(L403&lt;&gt;"",L403,IF(H403="",0,H403)),0)</f>
        <v/>
      </c>
      <c r="T403" s="79">
        <f>IF(AND(B403&lt;&gt;"",M403="",I403&lt;&gt;""),1/I403,0)</f>
        <v/>
      </c>
      <c r="U403" s="112">
        <f>IF(AND(B403&lt;&gt;"",M403="",I403&lt;&gt;""),I403,"")</f>
        <v/>
      </c>
      <c r="V403" s="79">
        <f>IF(U403="","",IF(U403&lt;AsOf,1,IF(U403&lt;=AsOf+AlertDays,2,IF(U403&lt;=AsOf+2*AlertDays,3,""))))</f>
        <v/>
      </c>
      <c r="W403" s="79">
        <f>IF(V403="","",IF(O403="OVERDUE","Overdue payment: ","Payment due: ")&amp;B403&amp;" — "&amp;C403&amp;" ("&amp;CurSym&amp;" "&amp;FIXED(S403,0)&amp;")")</f>
        <v/>
      </c>
      <c r="Z403" s="116">
        <f>IF('Contractors'!B403="","",'Contractors'!B403)</f>
        <v/>
      </c>
      <c r="AA403" s="77">
        <f>IF(Z403="","",'Contractors'!K403)</f>
        <v/>
      </c>
      <c r="AB403" s="77">
        <f>IF(Z403="","",SUMIFS($L$6:$L$1005,$B$6:$B$1005,Z403))</f>
        <v/>
      </c>
      <c r="AC403" s="77">
        <f>IF(Z403="","",SUMIFS($N$6:$N$1005,$B$6:$B$1005,Z403))</f>
        <v/>
      </c>
      <c r="AD403" s="76">
        <f>IF(Z403="","",AA403-AC403)</f>
        <v/>
      </c>
      <c r="AE403" s="117">
        <f>IF(Z403="","",IFERROR(1/SUMPRODUCT(MAX(($B$6:$B$1005=Z403)*$T$6:$T$1005)),""))</f>
        <v/>
      </c>
      <c r="AF403" s="77">
        <f>IF(AE403="","",SUMIFS($S$6:$S$1005,$B$6:$B$1005,Z403,$I$6:$I$1005,AE403))</f>
        <v/>
      </c>
    </row>
    <row r="404" ht="20" customHeight="1">
      <c r="B404" s="72" t="n"/>
      <c r="C404" s="72" t="n"/>
      <c r="D404" s="72" t="n"/>
      <c r="E404" s="72" t="n"/>
      <c r="F404" s="110" t="n"/>
      <c r="G404" s="73" t="n"/>
      <c r="H404" s="75">
        <f>IF(B404="","",IF(G404&lt;&gt;"",G404,IF(F404&lt;&gt;"",F404*IFERROR(INDEX('Contractors'!$I$6:$I$1005,MATCH(B404,'Contractors'!$B$6:$B$1005,0)),0),"")))</f>
        <v/>
      </c>
      <c r="I404" s="109" t="n"/>
      <c r="J404" s="72" t="n"/>
      <c r="K404" s="109" t="n"/>
      <c r="L404" s="73" t="n"/>
      <c r="M404" s="109" t="n"/>
      <c r="N404" s="73" t="n"/>
      <c r="O404" s="107">
        <f>IF(B404="","",IF(M404&lt;&gt;"","Paid",IF(AND(I404&lt;&gt;"",I404&lt;AsOf),"OVERDUE",IF(OR(K404&lt;&gt;"",L404&lt;&gt;""),"Invoiced","Scheduled"))))</f>
        <v/>
      </c>
      <c r="P404" s="115">
        <f>IF(B404="","",IF(E404&lt;&gt;"",E404,IFERROR(INDEX('Contractors'!$D$6:$D$1005,MATCH(B404,'Contractors'!$B$6:$B$1005,0)),"")))</f>
        <v/>
      </c>
      <c r="Q404" s="79">
        <f>IF(B404="","",IF(D404&lt;&gt;"",D404,IFERROR(INDEX('Contractors'!$E$6:$E$1005,MATCH(B404,'Contractors'!$B$6:$B$1005,0)),"")))</f>
        <v/>
      </c>
      <c r="R404" s="79">
        <f>IF(O404="","",IF(O404="OVERDUE",2,IF(O404="Paid",0,IF(AND(I404&lt;&gt;"",I404&lt;=AsOf+AlertDays),1,0))))</f>
        <v/>
      </c>
      <c r="S404" s="79">
        <f>IF(AND(B404&lt;&gt;"",M404="",I404&lt;&gt;""),IF(L404&lt;&gt;"",L404,IF(H404="",0,H404)),0)</f>
        <v/>
      </c>
      <c r="T404" s="79">
        <f>IF(AND(B404&lt;&gt;"",M404="",I404&lt;&gt;""),1/I404,0)</f>
        <v/>
      </c>
      <c r="U404" s="112">
        <f>IF(AND(B404&lt;&gt;"",M404="",I404&lt;&gt;""),I404,"")</f>
        <v/>
      </c>
      <c r="V404" s="79">
        <f>IF(U404="","",IF(U404&lt;AsOf,1,IF(U404&lt;=AsOf+AlertDays,2,IF(U404&lt;=AsOf+2*AlertDays,3,""))))</f>
        <v/>
      </c>
      <c r="W404" s="79">
        <f>IF(V404="","",IF(O404="OVERDUE","Overdue payment: ","Payment due: ")&amp;B404&amp;" — "&amp;C404&amp;" ("&amp;CurSym&amp;" "&amp;FIXED(S404,0)&amp;")")</f>
        <v/>
      </c>
      <c r="Z404" s="116">
        <f>IF('Contractors'!B404="","",'Contractors'!B404)</f>
        <v/>
      </c>
      <c r="AA404" s="77">
        <f>IF(Z404="","",'Contractors'!K404)</f>
        <v/>
      </c>
      <c r="AB404" s="77">
        <f>IF(Z404="","",SUMIFS($L$6:$L$1005,$B$6:$B$1005,Z404))</f>
        <v/>
      </c>
      <c r="AC404" s="77">
        <f>IF(Z404="","",SUMIFS($N$6:$N$1005,$B$6:$B$1005,Z404))</f>
        <v/>
      </c>
      <c r="AD404" s="76">
        <f>IF(Z404="","",AA404-AC404)</f>
        <v/>
      </c>
      <c r="AE404" s="117">
        <f>IF(Z404="","",IFERROR(1/SUMPRODUCT(MAX(($B$6:$B$1005=Z404)*$T$6:$T$1005)),""))</f>
        <v/>
      </c>
      <c r="AF404" s="77">
        <f>IF(AE404="","",SUMIFS($S$6:$S$1005,$B$6:$B$1005,Z404,$I$6:$I$1005,AE404))</f>
        <v/>
      </c>
    </row>
    <row r="405" ht="20" customHeight="1">
      <c r="B405" s="72" t="n"/>
      <c r="C405" s="72" t="n"/>
      <c r="D405" s="72" t="n"/>
      <c r="E405" s="72" t="n"/>
      <c r="F405" s="110" t="n"/>
      <c r="G405" s="73" t="n"/>
      <c r="H405" s="75">
        <f>IF(B405="","",IF(G405&lt;&gt;"",G405,IF(F405&lt;&gt;"",F405*IFERROR(INDEX('Contractors'!$I$6:$I$1005,MATCH(B405,'Contractors'!$B$6:$B$1005,0)),0),"")))</f>
        <v/>
      </c>
      <c r="I405" s="109" t="n"/>
      <c r="J405" s="72" t="n"/>
      <c r="K405" s="109" t="n"/>
      <c r="L405" s="73" t="n"/>
      <c r="M405" s="109" t="n"/>
      <c r="N405" s="73" t="n"/>
      <c r="O405" s="107">
        <f>IF(B405="","",IF(M405&lt;&gt;"","Paid",IF(AND(I405&lt;&gt;"",I405&lt;AsOf),"OVERDUE",IF(OR(K405&lt;&gt;"",L405&lt;&gt;""),"Invoiced","Scheduled"))))</f>
        <v/>
      </c>
      <c r="P405" s="115">
        <f>IF(B405="","",IF(E405&lt;&gt;"",E405,IFERROR(INDEX('Contractors'!$D$6:$D$1005,MATCH(B405,'Contractors'!$B$6:$B$1005,0)),"")))</f>
        <v/>
      </c>
      <c r="Q405" s="79">
        <f>IF(B405="","",IF(D405&lt;&gt;"",D405,IFERROR(INDEX('Contractors'!$E$6:$E$1005,MATCH(B405,'Contractors'!$B$6:$B$1005,0)),"")))</f>
        <v/>
      </c>
      <c r="R405" s="79">
        <f>IF(O405="","",IF(O405="OVERDUE",2,IF(O405="Paid",0,IF(AND(I405&lt;&gt;"",I405&lt;=AsOf+AlertDays),1,0))))</f>
        <v/>
      </c>
      <c r="S405" s="79">
        <f>IF(AND(B405&lt;&gt;"",M405="",I405&lt;&gt;""),IF(L405&lt;&gt;"",L405,IF(H405="",0,H405)),0)</f>
        <v/>
      </c>
      <c r="T405" s="79">
        <f>IF(AND(B405&lt;&gt;"",M405="",I405&lt;&gt;""),1/I405,0)</f>
        <v/>
      </c>
      <c r="U405" s="112">
        <f>IF(AND(B405&lt;&gt;"",M405="",I405&lt;&gt;""),I405,"")</f>
        <v/>
      </c>
      <c r="V405" s="79">
        <f>IF(U405="","",IF(U405&lt;AsOf,1,IF(U405&lt;=AsOf+AlertDays,2,IF(U405&lt;=AsOf+2*AlertDays,3,""))))</f>
        <v/>
      </c>
      <c r="W405" s="79">
        <f>IF(V405="","",IF(O405="OVERDUE","Overdue payment: ","Payment due: ")&amp;B405&amp;" — "&amp;C405&amp;" ("&amp;CurSym&amp;" "&amp;FIXED(S405,0)&amp;")")</f>
        <v/>
      </c>
      <c r="Z405" s="116">
        <f>IF('Contractors'!B405="","",'Contractors'!B405)</f>
        <v/>
      </c>
      <c r="AA405" s="77">
        <f>IF(Z405="","",'Contractors'!K405)</f>
        <v/>
      </c>
      <c r="AB405" s="77">
        <f>IF(Z405="","",SUMIFS($L$6:$L$1005,$B$6:$B$1005,Z405))</f>
        <v/>
      </c>
      <c r="AC405" s="77">
        <f>IF(Z405="","",SUMIFS($N$6:$N$1005,$B$6:$B$1005,Z405))</f>
        <v/>
      </c>
      <c r="AD405" s="76">
        <f>IF(Z405="","",AA405-AC405)</f>
        <v/>
      </c>
      <c r="AE405" s="117">
        <f>IF(Z405="","",IFERROR(1/SUMPRODUCT(MAX(($B$6:$B$1005=Z405)*$T$6:$T$1005)),""))</f>
        <v/>
      </c>
      <c r="AF405" s="77">
        <f>IF(AE405="","",SUMIFS($S$6:$S$1005,$B$6:$B$1005,Z405,$I$6:$I$1005,AE405))</f>
        <v/>
      </c>
    </row>
    <row r="406" ht="20" customHeight="1">
      <c r="B406" s="72" t="n"/>
      <c r="C406" s="72" t="n"/>
      <c r="D406" s="72" t="n"/>
      <c r="E406" s="72" t="n"/>
      <c r="F406" s="110" t="n"/>
      <c r="G406" s="73" t="n"/>
      <c r="H406" s="75">
        <f>IF(B406="","",IF(G406&lt;&gt;"",G406,IF(F406&lt;&gt;"",F406*IFERROR(INDEX('Contractors'!$I$6:$I$1005,MATCH(B406,'Contractors'!$B$6:$B$1005,0)),0),"")))</f>
        <v/>
      </c>
      <c r="I406" s="109" t="n"/>
      <c r="J406" s="72" t="n"/>
      <c r="K406" s="109" t="n"/>
      <c r="L406" s="73" t="n"/>
      <c r="M406" s="109" t="n"/>
      <c r="N406" s="73" t="n"/>
      <c r="O406" s="107">
        <f>IF(B406="","",IF(M406&lt;&gt;"","Paid",IF(AND(I406&lt;&gt;"",I406&lt;AsOf),"OVERDUE",IF(OR(K406&lt;&gt;"",L406&lt;&gt;""),"Invoiced","Scheduled"))))</f>
        <v/>
      </c>
      <c r="P406" s="115">
        <f>IF(B406="","",IF(E406&lt;&gt;"",E406,IFERROR(INDEX('Contractors'!$D$6:$D$1005,MATCH(B406,'Contractors'!$B$6:$B$1005,0)),"")))</f>
        <v/>
      </c>
      <c r="Q406" s="79">
        <f>IF(B406="","",IF(D406&lt;&gt;"",D406,IFERROR(INDEX('Contractors'!$E$6:$E$1005,MATCH(B406,'Contractors'!$B$6:$B$1005,0)),"")))</f>
        <v/>
      </c>
      <c r="R406" s="79">
        <f>IF(O406="","",IF(O406="OVERDUE",2,IF(O406="Paid",0,IF(AND(I406&lt;&gt;"",I406&lt;=AsOf+AlertDays),1,0))))</f>
        <v/>
      </c>
      <c r="S406" s="79">
        <f>IF(AND(B406&lt;&gt;"",M406="",I406&lt;&gt;""),IF(L406&lt;&gt;"",L406,IF(H406="",0,H406)),0)</f>
        <v/>
      </c>
      <c r="T406" s="79">
        <f>IF(AND(B406&lt;&gt;"",M406="",I406&lt;&gt;""),1/I406,0)</f>
        <v/>
      </c>
      <c r="U406" s="112">
        <f>IF(AND(B406&lt;&gt;"",M406="",I406&lt;&gt;""),I406,"")</f>
        <v/>
      </c>
      <c r="V406" s="79">
        <f>IF(U406="","",IF(U406&lt;AsOf,1,IF(U406&lt;=AsOf+AlertDays,2,IF(U406&lt;=AsOf+2*AlertDays,3,""))))</f>
        <v/>
      </c>
      <c r="W406" s="79">
        <f>IF(V406="","",IF(O406="OVERDUE","Overdue payment: ","Payment due: ")&amp;B406&amp;" — "&amp;C406&amp;" ("&amp;CurSym&amp;" "&amp;FIXED(S406,0)&amp;")")</f>
        <v/>
      </c>
      <c r="Z406" s="116">
        <f>IF('Contractors'!B406="","",'Contractors'!B406)</f>
        <v/>
      </c>
      <c r="AA406" s="77">
        <f>IF(Z406="","",'Contractors'!K406)</f>
        <v/>
      </c>
      <c r="AB406" s="77">
        <f>IF(Z406="","",SUMIFS($L$6:$L$1005,$B$6:$B$1005,Z406))</f>
        <v/>
      </c>
      <c r="AC406" s="77">
        <f>IF(Z406="","",SUMIFS($N$6:$N$1005,$B$6:$B$1005,Z406))</f>
        <v/>
      </c>
      <c r="AD406" s="76">
        <f>IF(Z406="","",AA406-AC406)</f>
        <v/>
      </c>
      <c r="AE406" s="117">
        <f>IF(Z406="","",IFERROR(1/SUMPRODUCT(MAX(($B$6:$B$1005=Z406)*$T$6:$T$1005)),""))</f>
        <v/>
      </c>
      <c r="AF406" s="77">
        <f>IF(AE406="","",SUMIFS($S$6:$S$1005,$B$6:$B$1005,Z406,$I$6:$I$1005,AE406))</f>
        <v/>
      </c>
    </row>
    <row r="407" ht="20" customHeight="1">
      <c r="B407" s="72" t="n"/>
      <c r="C407" s="72" t="n"/>
      <c r="D407" s="72" t="n"/>
      <c r="E407" s="72" t="n"/>
      <c r="F407" s="110" t="n"/>
      <c r="G407" s="73" t="n"/>
      <c r="H407" s="75">
        <f>IF(B407="","",IF(G407&lt;&gt;"",G407,IF(F407&lt;&gt;"",F407*IFERROR(INDEX('Contractors'!$I$6:$I$1005,MATCH(B407,'Contractors'!$B$6:$B$1005,0)),0),"")))</f>
        <v/>
      </c>
      <c r="I407" s="109" t="n"/>
      <c r="J407" s="72" t="n"/>
      <c r="K407" s="109" t="n"/>
      <c r="L407" s="73" t="n"/>
      <c r="M407" s="109" t="n"/>
      <c r="N407" s="73" t="n"/>
      <c r="O407" s="107">
        <f>IF(B407="","",IF(M407&lt;&gt;"","Paid",IF(AND(I407&lt;&gt;"",I407&lt;AsOf),"OVERDUE",IF(OR(K407&lt;&gt;"",L407&lt;&gt;""),"Invoiced","Scheduled"))))</f>
        <v/>
      </c>
      <c r="P407" s="115">
        <f>IF(B407="","",IF(E407&lt;&gt;"",E407,IFERROR(INDEX('Contractors'!$D$6:$D$1005,MATCH(B407,'Contractors'!$B$6:$B$1005,0)),"")))</f>
        <v/>
      </c>
      <c r="Q407" s="79">
        <f>IF(B407="","",IF(D407&lt;&gt;"",D407,IFERROR(INDEX('Contractors'!$E$6:$E$1005,MATCH(B407,'Contractors'!$B$6:$B$1005,0)),"")))</f>
        <v/>
      </c>
      <c r="R407" s="79">
        <f>IF(O407="","",IF(O407="OVERDUE",2,IF(O407="Paid",0,IF(AND(I407&lt;&gt;"",I407&lt;=AsOf+AlertDays),1,0))))</f>
        <v/>
      </c>
      <c r="S407" s="79">
        <f>IF(AND(B407&lt;&gt;"",M407="",I407&lt;&gt;""),IF(L407&lt;&gt;"",L407,IF(H407="",0,H407)),0)</f>
        <v/>
      </c>
      <c r="T407" s="79">
        <f>IF(AND(B407&lt;&gt;"",M407="",I407&lt;&gt;""),1/I407,0)</f>
        <v/>
      </c>
      <c r="U407" s="112">
        <f>IF(AND(B407&lt;&gt;"",M407="",I407&lt;&gt;""),I407,"")</f>
        <v/>
      </c>
      <c r="V407" s="79">
        <f>IF(U407="","",IF(U407&lt;AsOf,1,IF(U407&lt;=AsOf+AlertDays,2,IF(U407&lt;=AsOf+2*AlertDays,3,""))))</f>
        <v/>
      </c>
      <c r="W407" s="79">
        <f>IF(V407="","",IF(O407="OVERDUE","Overdue payment: ","Payment due: ")&amp;B407&amp;" — "&amp;C407&amp;" ("&amp;CurSym&amp;" "&amp;FIXED(S407,0)&amp;")")</f>
        <v/>
      </c>
      <c r="Z407" s="116">
        <f>IF('Contractors'!B407="","",'Contractors'!B407)</f>
        <v/>
      </c>
      <c r="AA407" s="77">
        <f>IF(Z407="","",'Contractors'!K407)</f>
        <v/>
      </c>
      <c r="AB407" s="77">
        <f>IF(Z407="","",SUMIFS($L$6:$L$1005,$B$6:$B$1005,Z407))</f>
        <v/>
      </c>
      <c r="AC407" s="77">
        <f>IF(Z407="","",SUMIFS($N$6:$N$1005,$B$6:$B$1005,Z407))</f>
        <v/>
      </c>
      <c r="AD407" s="76">
        <f>IF(Z407="","",AA407-AC407)</f>
        <v/>
      </c>
      <c r="AE407" s="117">
        <f>IF(Z407="","",IFERROR(1/SUMPRODUCT(MAX(($B$6:$B$1005=Z407)*$T$6:$T$1005)),""))</f>
        <v/>
      </c>
      <c r="AF407" s="77">
        <f>IF(AE407="","",SUMIFS($S$6:$S$1005,$B$6:$B$1005,Z407,$I$6:$I$1005,AE407))</f>
        <v/>
      </c>
    </row>
    <row r="408" ht="20" customHeight="1">
      <c r="B408" s="72" t="n"/>
      <c r="C408" s="72" t="n"/>
      <c r="D408" s="72" t="n"/>
      <c r="E408" s="72" t="n"/>
      <c r="F408" s="110" t="n"/>
      <c r="G408" s="73" t="n"/>
      <c r="H408" s="75">
        <f>IF(B408="","",IF(G408&lt;&gt;"",G408,IF(F408&lt;&gt;"",F408*IFERROR(INDEX('Contractors'!$I$6:$I$1005,MATCH(B408,'Contractors'!$B$6:$B$1005,0)),0),"")))</f>
        <v/>
      </c>
      <c r="I408" s="109" t="n"/>
      <c r="J408" s="72" t="n"/>
      <c r="K408" s="109" t="n"/>
      <c r="L408" s="73" t="n"/>
      <c r="M408" s="109" t="n"/>
      <c r="N408" s="73" t="n"/>
      <c r="O408" s="107">
        <f>IF(B408="","",IF(M408&lt;&gt;"","Paid",IF(AND(I408&lt;&gt;"",I408&lt;AsOf),"OVERDUE",IF(OR(K408&lt;&gt;"",L408&lt;&gt;""),"Invoiced","Scheduled"))))</f>
        <v/>
      </c>
      <c r="P408" s="115">
        <f>IF(B408="","",IF(E408&lt;&gt;"",E408,IFERROR(INDEX('Contractors'!$D$6:$D$1005,MATCH(B408,'Contractors'!$B$6:$B$1005,0)),"")))</f>
        <v/>
      </c>
      <c r="Q408" s="79">
        <f>IF(B408="","",IF(D408&lt;&gt;"",D408,IFERROR(INDEX('Contractors'!$E$6:$E$1005,MATCH(B408,'Contractors'!$B$6:$B$1005,0)),"")))</f>
        <v/>
      </c>
      <c r="R408" s="79">
        <f>IF(O408="","",IF(O408="OVERDUE",2,IF(O408="Paid",0,IF(AND(I408&lt;&gt;"",I408&lt;=AsOf+AlertDays),1,0))))</f>
        <v/>
      </c>
      <c r="S408" s="79">
        <f>IF(AND(B408&lt;&gt;"",M408="",I408&lt;&gt;""),IF(L408&lt;&gt;"",L408,IF(H408="",0,H408)),0)</f>
        <v/>
      </c>
      <c r="T408" s="79">
        <f>IF(AND(B408&lt;&gt;"",M408="",I408&lt;&gt;""),1/I408,0)</f>
        <v/>
      </c>
      <c r="U408" s="112">
        <f>IF(AND(B408&lt;&gt;"",M408="",I408&lt;&gt;""),I408,"")</f>
        <v/>
      </c>
      <c r="V408" s="79">
        <f>IF(U408="","",IF(U408&lt;AsOf,1,IF(U408&lt;=AsOf+AlertDays,2,IF(U408&lt;=AsOf+2*AlertDays,3,""))))</f>
        <v/>
      </c>
      <c r="W408" s="79">
        <f>IF(V408="","",IF(O408="OVERDUE","Overdue payment: ","Payment due: ")&amp;B408&amp;" — "&amp;C408&amp;" ("&amp;CurSym&amp;" "&amp;FIXED(S408,0)&amp;")")</f>
        <v/>
      </c>
      <c r="Z408" s="116">
        <f>IF('Contractors'!B408="","",'Contractors'!B408)</f>
        <v/>
      </c>
      <c r="AA408" s="77">
        <f>IF(Z408="","",'Contractors'!K408)</f>
        <v/>
      </c>
      <c r="AB408" s="77">
        <f>IF(Z408="","",SUMIFS($L$6:$L$1005,$B$6:$B$1005,Z408))</f>
        <v/>
      </c>
      <c r="AC408" s="77">
        <f>IF(Z408="","",SUMIFS($N$6:$N$1005,$B$6:$B$1005,Z408))</f>
        <v/>
      </c>
      <c r="AD408" s="76">
        <f>IF(Z408="","",AA408-AC408)</f>
        <v/>
      </c>
      <c r="AE408" s="117">
        <f>IF(Z408="","",IFERROR(1/SUMPRODUCT(MAX(($B$6:$B$1005=Z408)*$T$6:$T$1005)),""))</f>
        <v/>
      </c>
      <c r="AF408" s="77">
        <f>IF(AE408="","",SUMIFS($S$6:$S$1005,$B$6:$B$1005,Z408,$I$6:$I$1005,AE408))</f>
        <v/>
      </c>
    </row>
    <row r="409" ht="20" customHeight="1">
      <c r="B409" s="72" t="n"/>
      <c r="C409" s="72" t="n"/>
      <c r="D409" s="72" t="n"/>
      <c r="E409" s="72" t="n"/>
      <c r="F409" s="110" t="n"/>
      <c r="G409" s="73" t="n"/>
      <c r="H409" s="75">
        <f>IF(B409="","",IF(G409&lt;&gt;"",G409,IF(F409&lt;&gt;"",F409*IFERROR(INDEX('Contractors'!$I$6:$I$1005,MATCH(B409,'Contractors'!$B$6:$B$1005,0)),0),"")))</f>
        <v/>
      </c>
      <c r="I409" s="109" t="n"/>
      <c r="J409" s="72" t="n"/>
      <c r="K409" s="109" t="n"/>
      <c r="L409" s="73" t="n"/>
      <c r="M409" s="109" t="n"/>
      <c r="N409" s="73" t="n"/>
      <c r="O409" s="107">
        <f>IF(B409="","",IF(M409&lt;&gt;"","Paid",IF(AND(I409&lt;&gt;"",I409&lt;AsOf),"OVERDUE",IF(OR(K409&lt;&gt;"",L409&lt;&gt;""),"Invoiced","Scheduled"))))</f>
        <v/>
      </c>
      <c r="P409" s="115">
        <f>IF(B409="","",IF(E409&lt;&gt;"",E409,IFERROR(INDEX('Contractors'!$D$6:$D$1005,MATCH(B409,'Contractors'!$B$6:$B$1005,0)),"")))</f>
        <v/>
      </c>
      <c r="Q409" s="79">
        <f>IF(B409="","",IF(D409&lt;&gt;"",D409,IFERROR(INDEX('Contractors'!$E$6:$E$1005,MATCH(B409,'Contractors'!$B$6:$B$1005,0)),"")))</f>
        <v/>
      </c>
      <c r="R409" s="79">
        <f>IF(O409="","",IF(O409="OVERDUE",2,IF(O409="Paid",0,IF(AND(I409&lt;&gt;"",I409&lt;=AsOf+AlertDays),1,0))))</f>
        <v/>
      </c>
      <c r="S409" s="79">
        <f>IF(AND(B409&lt;&gt;"",M409="",I409&lt;&gt;""),IF(L409&lt;&gt;"",L409,IF(H409="",0,H409)),0)</f>
        <v/>
      </c>
      <c r="T409" s="79">
        <f>IF(AND(B409&lt;&gt;"",M409="",I409&lt;&gt;""),1/I409,0)</f>
        <v/>
      </c>
      <c r="U409" s="112">
        <f>IF(AND(B409&lt;&gt;"",M409="",I409&lt;&gt;""),I409,"")</f>
        <v/>
      </c>
      <c r="V409" s="79">
        <f>IF(U409="","",IF(U409&lt;AsOf,1,IF(U409&lt;=AsOf+AlertDays,2,IF(U409&lt;=AsOf+2*AlertDays,3,""))))</f>
        <v/>
      </c>
      <c r="W409" s="79">
        <f>IF(V409="","",IF(O409="OVERDUE","Overdue payment: ","Payment due: ")&amp;B409&amp;" — "&amp;C409&amp;" ("&amp;CurSym&amp;" "&amp;FIXED(S409,0)&amp;")")</f>
        <v/>
      </c>
      <c r="Z409" s="116">
        <f>IF('Contractors'!B409="","",'Contractors'!B409)</f>
        <v/>
      </c>
      <c r="AA409" s="77">
        <f>IF(Z409="","",'Contractors'!K409)</f>
        <v/>
      </c>
      <c r="AB409" s="77">
        <f>IF(Z409="","",SUMIFS($L$6:$L$1005,$B$6:$B$1005,Z409))</f>
        <v/>
      </c>
      <c r="AC409" s="77">
        <f>IF(Z409="","",SUMIFS($N$6:$N$1005,$B$6:$B$1005,Z409))</f>
        <v/>
      </c>
      <c r="AD409" s="76">
        <f>IF(Z409="","",AA409-AC409)</f>
        <v/>
      </c>
      <c r="AE409" s="117">
        <f>IF(Z409="","",IFERROR(1/SUMPRODUCT(MAX(($B$6:$B$1005=Z409)*$T$6:$T$1005)),""))</f>
        <v/>
      </c>
      <c r="AF409" s="77">
        <f>IF(AE409="","",SUMIFS($S$6:$S$1005,$B$6:$B$1005,Z409,$I$6:$I$1005,AE409))</f>
        <v/>
      </c>
    </row>
    <row r="410" ht="20" customHeight="1">
      <c r="B410" s="72" t="n"/>
      <c r="C410" s="72" t="n"/>
      <c r="D410" s="72" t="n"/>
      <c r="E410" s="72" t="n"/>
      <c r="F410" s="110" t="n"/>
      <c r="G410" s="73" t="n"/>
      <c r="H410" s="75">
        <f>IF(B410="","",IF(G410&lt;&gt;"",G410,IF(F410&lt;&gt;"",F410*IFERROR(INDEX('Contractors'!$I$6:$I$1005,MATCH(B410,'Contractors'!$B$6:$B$1005,0)),0),"")))</f>
        <v/>
      </c>
      <c r="I410" s="109" t="n"/>
      <c r="J410" s="72" t="n"/>
      <c r="K410" s="109" t="n"/>
      <c r="L410" s="73" t="n"/>
      <c r="M410" s="109" t="n"/>
      <c r="N410" s="73" t="n"/>
      <c r="O410" s="107">
        <f>IF(B410="","",IF(M410&lt;&gt;"","Paid",IF(AND(I410&lt;&gt;"",I410&lt;AsOf),"OVERDUE",IF(OR(K410&lt;&gt;"",L410&lt;&gt;""),"Invoiced","Scheduled"))))</f>
        <v/>
      </c>
      <c r="P410" s="115">
        <f>IF(B410="","",IF(E410&lt;&gt;"",E410,IFERROR(INDEX('Contractors'!$D$6:$D$1005,MATCH(B410,'Contractors'!$B$6:$B$1005,0)),"")))</f>
        <v/>
      </c>
      <c r="Q410" s="79">
        <f>IF(B410="","",IF(D410&lt;&gt;"",D410,IFERROR(INDEX('Contractors'!$E$6:$E$1005,MATCH(B410,'Contractors'!$B$6:$B$1005,0)),"")))</f>
        <v/>
      </c>
      <c r="R410" s="79">
        <f>IF(O410="","",IF(O410="OVERDUE",2,IF(O410="Paid",0,IF(AND(I410&lt;&gt;"",I410&lt;=AsOf+AlertDays),1,0))))</f>
        <v/>
      </c>
      <c r="S410" s="79">
        <f>IF(AND(B410&lt;&gt;"",M410="",I410&lt;&gt;""),IF(L410&lt;&gt;"",L410,IF(H410="",0,H410)),0)</f>
        <v/>
      </c>
      <c r="T410" s="79">
        <f>IF(AND(B410&lt;&gt;"",M410="",I410&lt;&gt;""),1/I410,0)</f>
        <v/>
      </c>
      <c r="U410" s="112">
        <f>IF(AND(B410&lt;&gt;"",M410="",I410&lt;&gt;""),I410,"")</f>
        <v/>
      </c>
      <c r="V410" s="79">
        <f>IF(U410="","",IF(U410&lt;AsOf,1,IF(U410&lt;=AsOf+AlertDays,2,IF(U410&lt;=AsOf+2*AlertDays,3,""))))</f>
        <v/>
      </c>
      <c r="W410" s="79">
        <f>IF(V410="","",IF(O410="OVERDUE","Overdue payment: ","Payment due: ")&amp;B410&amp;" — "&amp;C410&amp;" ("&amp;CurSym&amp;" "&amp;FIXED(S410,0)&amp;")")</f>
        <v/>
      </c>
      <c r="Z410" s="116">
        <f>IF('Contractors'!B410="","",'Contractors'!B410)</f>
        <v/>
      </c>
      <c r="AA410" s="77">
        <f>IF(Z410="","",'Contractors'!K410)</f>
        <v/>
      </c>
      <c r="AB410" s="77">
        <f>IF(Z410="","",SUMIFS($L$6:$L$1005,$B$6:$B$1005,Z410))</f>
        <v/>
      </c>
      <c r="AC410" s="77">
        <f>IF(Z410="","",SUMIFS($N$6:$N$1005,$B$6:$B$1005,Z410))</f>
        <v/>
      </c>
      <c r="AD410" s="76">
        <f>IF(Z410="","",AA410-AC410)</f>
        <v/>
      </c>
      <c r="AE410" s="117">
        <f>IF(Z410="","",IFERROR(1/SUMPRODUCT(MAX(($B$6:$B$1005=Z410)*$T$6:$T$1005)),""))</f>
        <v/>
      </c>
      <c r="AF410" s="77">
        <f>IF(AE410="","",SUMIFS($S$6:$S$1005,$B$6:$B$1005,Z410,$I$6:$I$1005,AE410))</f>
        <v/>
      </c>
    </row>
    <row r="411" ht="20" customHeight="1">
      <c r="B411" s="72" t="n"/>
      <c r="C411" s="72" t="n"/>
      <c r="D411" s="72" t="n"/>
      <c r="E411" s="72" t="n"/>
      <c r="F411" s="110" t="n"/>
      <c r="G411" s="73" t="n"/>
      <c r="H411" s="75">
        <f>IF(B411="","",IF(G411&lt;&gt;"",G411,IF(F411&lt;&gt;"",F411*IFERROR(INDEX('Contractors'!$I$6:$I$1005,MATCH(B411,'Contractors'!$B$6:$B$1005,0)),0),"")))</f>
        <v/>
      </c>
      <c r="I411" s="109" t="n"/>
      <c r="J411" s="72" t="n"/>
      <c r="K411" s="109" t="n"/>
      <c r="L411" s="73" t="n"/>
      <c r="M411" s="109" t="n"/>
      <c r="N411" s="73" t="n"/>
      <c r="O411" s="107">
        <f>IF(B411="","",IF(M411&lt;&gt;"","Paid",IF(AND(I411&lt;&gt;"",I411&lt;AsOf),"OVERDUE",IF(OR(K411&lt;&gt;"",L411&lt;&gt;""),"Invoiced","Scheduled"))))</f>
        <v/>
      </c>
      <c r="P411" s="115">
        <f>IF(B411="","",IF(E411&lt;&gt;"",E411,IFERROR(INDEX('Contractors'!$D$6:$D$1005,MATCH(B411,'Contractors'!$B$6:$B$1005,0)),"")))</f>
        <v/>
      </c>
      <c r="Q411" s="79">
        <f>IF(B411="","",IF(D411&lt;&gt;"",D411,IFERROR(INDEX('Contractors'!$E$6:$E$1005,MATCH(B411,'Contractors'!$B$6:$B$1005,0)),"")))</f>
        <v/>
      </c>
      <c r="R411" s="79">
        <f>IF(O411="","",IF(O411="OVERDUE",2,IF(O411="Paid",0,IF(AND(I411&lt;&gt;"",I411&lt;=AsOf+AlertDays),1,0))))</f>
        <v/>
      </c>
      <c r="S411" s="79">
        <f>IF(AND(B411&lt;&gt;"",M411="",I411&lt;&gt;""),IF(L411&lt;&gt;"",L411,IF(H411="",0,H411)),0)</f>
        <v/>
      </c>
      <c r="T411" s="79">
        <f>IF(AND(B411&lt;&gt;"",M411="",I411&lt;&gt;""),1/I411,0)</f>
        <v/>
      </c>
      <c r="U411" s="112">
        <f>IF(AND(B411&lt;&gt;"",M411="",I411&lt;&gt;""),I411,"")</f>
        <v/>
      </c>
      <c r="V411" s="79">
        <f>IF(U411="","",IF(U411&lt;AsOf,1,IF(U411&lt;=AsOf+AlertDays,2,IF(U411&lt;=AsOf+2*AlertDays,3,""))))</f>
        <v/>
      </c>
      <c r="W411" s="79">
        <f>IF(V411="","",IF(O411="OVERDUE","Overdue payment: ","Payment due: ")&amp;B411&amp;" — "&amp;C411&amp;" ("&amp;CurSym&amp;" "&amp;FIXED(S411,0)&amp;")")</f>
        <v/>
      </c>
      <c r="Z411" s="116">
        <f>IF('Contractors'!B411="","",'Contractors'!B411)</f>
        <v/>
      </c>
      <c r="AA411" s="77">
        <f>IF(Z411="","",'Contractors'!K411)</f>
        <v/>
      </c>
      <c r="AB411" s="77">
        <f>IF(Z411="","",SUMIFS($L$6:$L$1005,$B$6:$B$1005,Z411))</f>
        <v/>
      </c>
      <c r="AC411" s="77">
        <f>IF(Z411="","",SUMIFS($N$6:$N$1005,$B$6:$B$1005,Z411))</f>
        <v/>
      </c>
      <c r="AD411" s="76">
        <f>IF(Z411="","",AA411-AC411)</f>
        <v/>
      </c>
      <c r="AE411" s="117">
        <f>IF(Z411="","",IFERROR(1/SUMPRODUCT(MAX(($B$6:$B$1005=Z411)*$T$6:$T$1005)),""))</f>
        <v/>
      </c>
      <c r="AF411" s="77">
        <f>IF(AE411="","",SUMIFS($S$6:$S$1005,$B$6:$B$1005,Z411,$I$6:$I$1005,AE411))</f>
        <v/>
      </c>
    </row>
    <row r="412" ht="20" customHeight="1">
      <c r="B412" s="72" t="n"/>
      <c r="C412" s="72" t="n"/>
      <c r="D412" s="72" t="n"/>
      <c r="E412" s="72" t="n"/>
      <c r="F412" s="110" t="n"/>
      <c r="G412" s="73" t="n"/>
      <c r="H412" s="75">
        <f>IF(B412="","",IF(G412&lt;&gt;"",G412,IF(F412&lt;&gt;"",F412*IFERROR(INDEX('Contractors'!$I$6:$I$1005,MATCH(B412,'Contractors'!$B$6:$B$1005,0)),0),"")))</f>
        <v/>
      </c>
      <c r="I412" s="109" t="n"/>
      <c r="J412" s="72" t="n"/>
      <c r="K412" s="109" t="n"/>
      <c r="L412" s="73" t="n"/>
      <c r="M412" s="109" t="n"/>
      <c r="N412" s="73" t="n"/>
      <c r="O412" s="107">
        <f>IF(B412="","",IF(M412&lt;&gt;"","Paid",IF(AND(I412&lt;&gt;"",I412&lt;AsOf),"OVERDUE",IF(OR(K412&lt;&gt;"",L412&lt;&gt;""),"Invoiced","Scheduled"))))</f>
        <v/>
      </c>
      <c r="P412" s="115">
        <f>IF(B412="","",IF(E412&lt;&gt;"",E412,IFERROR(INDEX('Contractors'!$D$6:$D$1005,MATCH(B412,'Contractors'!$B$6:$B$1005,0)),"")))</f>
        <v/>
      </c>
      <c r="Q412" s="79">
        <f>IF(B412="","",IF(D412&lt;&gt;"",D412,IFERROR(INDEX('Contractors'!$E$6:$E$1005,MATCH(B412,'Contractors'!$B$6:$B$1005,0)),"")))</f>
        <v/>
      </c>
      <c r="R412" s="79">
        <f>IF(O412="","",IF(O412="OVERDUE",2,IF(O412="Paid",0,IF(AND(I412&lt;&gt;"",I412&lt;=AsOf+AlertDays),1,0))))</f>
        <v/>
      </c>
      <c r="S412" s="79">
        <f>IF(AND(B412&lt;&gt;"",M412="",I412&lt;&gt;""),IF(L412&lt;&gt;"",L412,IF(H412="",0,H412)),0)</f>
        <v/>
      </c>
      <c r="T412" s="79">
        <f>IF(AND(B412&lt;&gt;"",M412="",I412&lt;&gt;""),1/I412,0)</f>
        <v/>
      </c>
      <c r="U412" s="112">
        <f>IF(AND(B412&lt;&gt;"",M412="",I412&lt;&gt;""),I412,"")</f>
        <v/>
      </c>
      <c r="V412" s="79">
        <f>IF(U412="","",IF(U412&lt;AsOf,1,IF(U412&lt;=AsOf+AlertDays,2,IF(U412&lt;=AsOf+2*AlertDays,3,""))))</f>
        <v/>
      </c>
      <c r="W412" s="79">
        <f>IF(V412="","",IF(O412="OVERDUE","Overdue payment: ","Payment due: ")&amp;B412&amp;" — "&amp;C412&amp;" ("&amp;CurSym&amp;" "&amp;FIXED(S412,0)&amp;")")</f>
        <v/>
      </c>
      <c r="Z412" s="116">
        <f>IF('Contractors'!B412="","",'Contractors'!B412)</f>
        <v/>
      </c>
      <c r="AA412" s="77">
        <f>IF(Z412="","",'Contractors'!K412)</f>
        <v/>
      </c>
      <c r="AB412" s="77">
        <f>IF(Z412="","",SUMIFS($L$6:$L$1005,$B$6:$B$1005,Z412))</f>
        <v/>
      </c>
      <c r="AC412" s="77">
        <f>IF(Z412="","",SUMIFS($N$6:$N$1005,$B$6:$B$1005,Z412))</f>
        <v/>
      </c>
      <c r="AD412" s="76">
        <f>IF(Z412="","",AA412-AC412)</f>
        <v/>
      </c>
      <c r="AE412" s="117">
        <f>IF(Z412="","",IFERROR(1/SUMPRODUCT(MAX(($B$6:$B$1005=Z412)*$T$6:$T$1005)),""))</f>
        <v/>
      </c>
      <c r="AF412" s="77">
        <f>IF(AE412="","",SUMIFS($S$6:$S$1005,$B$6:$B$1005,Z412,$I$6:$I$1005,AE412))</f>
        <v/>
      </c>
    </row>
    <row r="413" ht="20" customHeight="1">
      <c r="B413" s="72" t="n"/>
      <c r="C413" s="72" t="n"/>
      <c r="D413" s="72" t="n"/>
      <c r="E413" s="72" t="n"/>
      <c r="F413" s="110" t="n"/>
      <c r="G413" s="73" t="n"/>
      <c r="H413" s="75">
        <f>IF(B413="","",IF(G413&lt;&gt;"",G413,IF(F413&lt;&gt;"",F413*IFERROR(INDEX('Contractors'!$I$6:$I$1005,MATCH(B413,'Contractors'!$B$6:$B$1005,0)),0),"")))</f>
        <v/>
      </c>
      <c r="I413" s="109" t="n"/>
      <c r="J413" s="72" t="n"/>
      <c r="K413" s="109" t="n"/>
      <c r="L413" s="73" t="n"/>
      <c r="M413" s="109" t="n"/>
      <c r="N413" s="73" t="n"/>
      <c r="O413" s="107">
        <f>IF(B413="","",IF(M413&lt;&gt;"","Paid",IF(AND(I413&lt;&gt;"",I413&lt;AsOf),"OVERDUE",IF(OR(K413&lt;&gt;"",L413&lt;&gt;""),"Invoiced","Scheduled"))))</f>
        <v/>
      </c>
      <c r="P413" s="115">
        <f>IF(B413="","",IF(E413&lt;&gt;"",E413,IFERROR(INDEX('Contractors'!$D$6:$D$1005,MATCH(B413,'Contractors'!$B$6:$B$1005,0)),"")))</f>
        <v/>
      </c>
      <c r="Q413" s="79">
        <f>IF(B413="","",IF(D413&lt;&gt;"",D413,IFERROR(INDEX('Contractors'!$E$6:$E$1005,MATCH(B413,'Contractors'!$B$6:$B$1005,0)),"")))</f>
        <v/>
      </c>
      <c r="R413" s="79">
        <f>IF(O413="","",IF(O413="OVERDUE",2,IF(O413="Paid",0,IF(AND(I413&lt;&gt;"",I413&lt;=AsOf+AlertDays),1,0))))</f>
        <v/>
      </c>
      <c r="S413" s="79">
        <f>IF(AND(B413&lt;&gt;"",M413="",I413&lt;&gt;""),IF(L413&lt;&gt;"",L413,IF(H413="",0,H413)),0)</f>
        <v/>
      </c>
      <c r="T413" s="79">
        <f>IF(AND(B413&lt;&gt;"",M413="",I413&lt;&gt;""),1/I413,0)</f>
        <v/>
      </c>
      <c r="U413" s="112">
        <f>IF(AND(B413&lt;&gt;"",M413="",I413&lt;&gt;""),I413,"")</f>
        <v/>
      </c>
      <c r="V413" s="79">
        <f>IF(U413="","",IF(U413&lt;AsOf,1,IF(U413&lt;=AsOf+AlertDays,2,IF(U413&lt;=AsOf+2*AlertDays,3,""))))</f>
        <v/>
      </c>
      <c r="W413" s="79">
        <f>IF(V413="","",IF(O413="OVERDUE","Overdue payment: ","Payment due: ")&amp;B413&amp;" — "&amp;C413&amp;" ("&amp;CurSym&amp;" "&amp;FIXED(S413,0)&amp;")")</f>
        <v/>
      </c>
      <c r="Z413" s="116">
        <f>IF('Contractors'!B413="","",'Contractors'!B413)</f>
        <v/>
      </c>
      <c r="AA413" s="77">
        <f>IF(Z413="","",'Contractors'!K413)</f>
        <v/>
      </c>
      <c r="AB413" s="77">
        <f>IF(Z413="","",SUMIFS($L$6:$L$1005,$B$6:$B$1005,Z413))</f>
        <v/>
      </c>
      <c r="AC413" s="77">
        <f>IF(Z413="","",SUMIFS($N$6:$N$1005,$B$6:$B$1005,Z413))</f>
        <v/>
      </c>
      <c r="AD413" s="76">
        <f>IF(Z413="","",AA413-AC413)</f>
        <v/>
      </c>
      <c r="AE413" s="117">
        <f>IF(Z413="","",IFERROR(1/SUMPRODUCT(MAX(($B$6:$B$1005=Z413)*$T$6:$T$1005)),""))</f>
        <v/>
      </c>
      <c r="AF413" s="77">
        <f>IF(AE413="","",SUMIFS($S$6:$S$1005,$B$6:$B$1005,Z413,$I$6:$I$1005,AE413))</f>
        <v/>
      </c>
    </row>
    <row r="414" ht="20" customHeight="1">
      <c r="B414" s="72" t="n"/>
      <c r="C414" s="72" t="n"/>
      <c r="D414" s="72" t="n"/>
      <c r="E414" s="72" t="n"/>
      <c r="F414" s="110" t="n"/>
      <c r="G414" s="73" t="n"/>
      <c r="H414" s="75">
        <f>IF(B414="","",IF(G414&lt;&gt;"",G414,IF(F414&lt;&gt;"",F414*IFERROR(INDEX('Contractors'!$I$6:$I$1005,MATCH(B414,'Contractors'!$B$6:$B$1005,0)),0),"")))</f>
        <v/>
      </c>
      <c r="I414" s="109" t="n"/>
      <c r="J414" s="72" t="n"/>
      <c r="K414" s="109" t="n"/>
      <c r="L414" s="73" t="n"/>
      <c r="M414" s="109" t="n"/>
      <c r="N414" s="73" t="n"/>
      <c r="O414" s="107">
        <f>IF(B414="","",IF(M414&lt;&gt;"","Paid",IF(AND(I414&lt;&gt;"",I414&lt;AsOf),"OVERDUE",IF(OR(K414&lt;&gt;"",L414&lt;&gt;""),"Invoiced","Scheduled"))))</f>
        <v/>
      </c>
      <c r="P414" s="115">
        <f>IF(B414="","",IF(E414&lt;&gt;"",E414,IFERROR(INDEX('Contractors'!$D$6:$D$1005,MATCH(B414,'Contractors'!$B$6:$B$1005,0)),"")))</f>
        <v/>
      </c>
      <c r="Q414" s="79">
        <f>IF(B414="","",IF(D414&lt;&gt;"",D414,IFERROR(INDEX('Contractors'!$E$6:$E$1005,MATCH(B414,'Contractors'!$B$6:$B$1005,0)),"")))</f>
        <v/>
      </c>
      <c r="R414" s="79">
        <f>IF(O414="","",IF(O414="OVERDUE",2,IF(O414="Paid",0,IF(AND(I414&lt;&gt;"",I414&lt;=AsOf+AlertDays),1,0))))</f>
        <v/>
      </c>
      <c r="S414" s="79">
        <f>IF(AND(B414&lt;&gt;"",M414="",I414&lt;&gt;""),IF(L414&lt;&gt;"",L414,IF(H414="",0,H414)),0)</f>
        <v/>
      </c>
      <c r="T414" s="79">
        <f>IF(AND(B414&lt;&gt;"",M414="",I414&lt;&gt;""),1/I414,0)</f>
        <v/>
      </c>
      <c r="U414" s="112">
        <f>IF(AND(B414&lt;&gt;"",M414="",I414&lt;&gt;""),I414,"")</f>
        <v/>
      </c>
      <c r="V414" s="79">
        <f>IF(U414="","",IF(U414&lt;AsOf,1,IF(U414&lt;=AsOf+AlertDays,2,IF(U414&lt;=AsOf+2*AlertDays,3,""))))</f>
        <v/>
      </c>
      <c r="W414" s="79">
        <f>IF(V414="","",IF(O414="OVERDUE","Overdue payment: ","Payment due: ")&amp;B414&amp;" — "&amp;C414&amp;" ("&amp;CurSym&amp;" "&amp;FIXED(S414,0)&amp;")")</f>
        <v/>
      </c>
      <c r="Z414" s="116">
        <f>IF('Contractors'!B414="","",'Contractors'!B414)</f>
        <v/>
      </c>
      <c r="AA414" s="77">
        <f>IF(Z414="","",'Contractors'!K414)</f>
        <v/>
      </c>
      <c r="AB414" s="77">
        <f>IF(Z414="","",SUMIFS($L$6:$L$1005,$B$6:$B$1005,Z414))</f>
        <v/>
      </c>
      <c r="AC414" s="77">
        <f>IF(Z414="","",SUMIFS($N$6:$N$1005,$B$6:$B$1005,Z414))</f>
        <v/>
      </c>
      <c r="AD414" s="76">
        <f>IF(Z414="","",AA414-AC414)</f>
        <v/>
      </c>
      <c r="AE414" s="117">
        <f>IF(Z414="","",IFERROR(1/SUMPRODUCT(MAX(($B$6:$B$1005=Z414)*$T$6:$T$1005)),""))</f>
        <v/>
      </c>
      <c r="AF414" s="77">
        <f>IF(AE414="","",SUMIFS($S$6:$S$1005,$B$6:$B$1005,Z414,$I$6:$I$1005,AE414))</f>
        <v/>
      </c>
    </row>
    <row r="415" ht="20" customHeight="1">
      <c r="B415" s="72" t="n"/>
      <c r="C415" s="72" t="n"/>
      <c r="D415" s="72" t="n"/>
      <c r="E415" s="72" t="n"/>
      <c r="F415" s="110" t="n"/>
      <c r="G415" s="73" t="n"/>
      <c r="H415" s="75">
        <f>IF(B415="","",IF(G415&lt;&gt;"",G415,IF(F415&lt;&gt;"",F415*IFERROR(INDEX('Contractors'!$I$6:$I$1005,MATCH(B415,'Contractors'!$B$6:$B$1005,0)),0),"")))</f>
        <v/>
      </c>
      <c r="I415" s="109" t="n"/>
      <c r="J415" s="72" t="n"/>
      <c r="K415" s="109" t="n"/>
      <c r="L415" s="73" t="n"/>
      <c r="M415" s="109" t="n"/>
      <c r="N415" s="73" t="n"/>
      <c r="O415" s="107">
        <f>IF(B415="","",IF(M415&lt;&gt;"","Paid",IF(AND(I415&lt;&gt;"",I415&lt;AsOf),"OVERDUE",IF(OR(K415&lt;&gt;"",L415&lt;&gt;""),"Invoiced","Scheduled"))))</f>
        <v/>
      </c>
      <c r="P415" s="115">
        <f>IF(B415="","",IF(E415&lt;&gt;"",E415,IFERROR(INDEX('Contractors'!$D$6:$D$1005,MATCH(B415,'Contractors'!$B$6:$B$1005,0)),"")))</f>
        <v/>
      </c>
      <c r="Q415" s="79">
        <f>IF(B415="","",IF(D415&lt;&gt;"",D415,IFERROR(INDEX('Contractors'!$E$6:$E$1005,MATCH(B415,'Contractors'!$B$6:$B$1005,0)),"")))</f>
        <v/>
      </c>
      <c r="R415" s="79">
        <f>IF(O415="","",IF(O415="OVERDUE",2,IF(O415="Paid",0,IF(AND(I415&lt;&gt;"",I415&lt;=AsOf+AlertDays),1,0))))</f>
        <v/>
      </c>
      <c r="S415" s="79">
        <f>IF(AND(B415&lt;&gt;"",M415="",I415&lt;&gt;""),IF(L415&lt;&gt;"",L415,IF(H415="",0,H415)),0)</f>
        <v/>
      </c>
      <c r="T415" s="79">
        <f>IF(AND(B415&lt;&gt;"",M415="",I415&lt;&gt;""),1/I415,0)</f>
        <v/>
      </c>
      <c r="U415" s="112">
        <f>IF(AND(B415&lt;&gt;"",M415="",I415&lt;&gt;""),I415,"")</f>
        <v/>
      </c>
      <c r="V415" s="79">
        <f>IF(U415="","",IF(U415&lt;AsOf,1,IF(U415&lt;=AsOf+AlertDays,2,IF(U415&lt;=AsOf+2*AlertDays,3,""))))</f>
        <v/>
      </c>
      <c r="W415" s="79">
        <f>IF(V415="","",IF(O415="OVERDUE","Overdue payment: ","Payment due: ")&amp;B415&amp;" — "&amp;C415&amp;" ("&amp;CurSym&amp;" "&amp;FIXED(S415,0)&amp;")")</f>
        <v/>
      </c>
      <c r="Z415" s="116">
        <f>IF('Contractors'!B415="","",'Contractors'!B415)</f>
        <v/>
      </c>
      <c r="AA415" s="77">
        <f>IF(Z415="","",'Contractors'!K415)</f>
        <v/>
      </c>
      <c r="AB415" s="77">
        <f>IF(Z415="","",SUMIFS($L$6:$L$1005,$B$6:$B$1005,Z415))</f>
        <v/>
      </c>
      <c r="AC415" s="77">
        <f>IF(Z415="","",SUMIFS($N$6:$N$1005,$B$6:$B$1005,Z415))</f>
        <v/>
      </c>
      <c r="AD415" s="76">
        <f>IF(Z415="","",AA415-AC415)</f>
        <v/>
      </c>
      <c r="AE415" s="117">
        <f>IF(Z415="","",IFERROR(1/SUMPRODUCT(MAX(($B$6:$B$1005=Z415)*$T$6:$T$1005)),""))</f>
        <v/>
      </c>
      <c r="AF415" s="77">
        <f>IF(AE415="","",SUMIFS($S$6:$S$1005,$B$6:$B$1005,Z415,$I$6:$I$1005,AE415))</f>
        <v/>
      </c>
    </row>
    <row r="416" ht="20" customHeight="1">
      <c r="B416" s="72" t="n"/>
      <c r="C416" s="72" t="n"/>
      <c r="D416" s="72" t="n"/>
      <c r="E416" s="72" t="n"/>
      <c r="F416" s="110" t="n"/>
      <c r="G416" s="73" t="n"/>
      <c r="H416" s="75">
        <f>IF(B416="","",IF(G416&lt;&gt;"",G416,IF(F416&lt;&gt;"",F416*IFERROR(INDEX('Contractors'!$I$6:$I$1005,MATCH(B416,'Contractors'!$B$6:$B$1005,0)),0),"")))</f>
        <v/>
      </c>
      <c r="I416" s="109" t="n"/>
      <c r="J416" s="72" t="n"/>
      <c r="K416" s="109" t="n"/>
      <c r="L416" s="73" t="n"/>
      <c r="M416" s="109" t="n"/>
      <c r="N416" s="73" t="n"/>
      <c r="O416" s="107">
        <f>IF(B416="","",IF(M416&lt;&gt;"","Paid",IF(AND(I416&lt;&gt;"",I416&lt;AsOf),"OVERDUE",IF(OR(K416&lt;&gt;"",L416&lt;&gt;""),"Invoiced","Scheduled"))))</f>
        <v/>
      </c>
      <c r="P416" s="115">
        <f>IF(B416="","",IF(E416&lt;&gt;"",E416,IFERROR(INDEX('Contractors'!$D$6:$D$1005,MATCH(B416,'Contractors'!$B$6:$B$1005,0)),"")))</f>
        <v/>
      </c>
      <c r="Q416" s="79">
        <f>IF(B416="","",IF(D416&lt;&gt;"",D416,IFERROR(INDEX('Contractors'!$E$6:$E$1005,MATCH(B416,'Contractors'!$B$6:$B$1005,0)),"")))</f>
        <v/>
      </c>
      <c r="R416" s="79">
        <f>IF(O416="","",IF(O416="OVERDUE",2,IF(O416="Paid",0,IF(AND(I416&lt;&gt;"",I416&lt;=AsOf+AlertDays),1,0))))</f>
        <v/>
      </c>
      <c r="S416" s="79">
        <f>IF(AND(B416&lt;&gt;"",M416="",I416&lt;&gt;""),IF(L416&lt;&gt;"",L416,IF(H416="",0,H416)),0)</f>
        <v/>
      </c>
      <c r="T416" s="79">
        <f>IF(AND(B416&lt;&gt;"",M416="",I416&lt;&gt;""),1/I416,0)</f>
        <v/>
      </c>
      <c r="U416" s="112">
        <f>IF(AND(B416&lt;&gt;"",M416="",I416&lt;&gt;""),I416,"")</f>
        <v/>
      </c>
      <c r="V416" s="79">
        <f>IF(U416="","",IF(U416&lt;AsOf,1,IF(U416&lt;=AsOf+AlertDays,2,IF(U416&lt;=AsOf+2*AlertDays,3,""))))</f>
        <v/>
      </c>
      <c r="W416" s="79">
        <f>IF(V416="","",IF(O416="OVERDUE","Overdue payment: ","Payment due: ")&amp;B416&amp;" — "&amp;C416&amp;" ("&amp;CurSym&amp;" "&amp;FIXED(S416,0)&amp;")")</f>
        <v/>
      </c>
      <c r="Z416" s="116">
        <f>IF('Contractors'!B416="","",'Contractors'!B416)</f>
        <v/>
      </c>
      <c r="AA416" s="77">
        <f>IF(Z416="","",'Contractors'!K416)</f>
        <v/>
      </c>
      <c r="AB416" s="77">
        <f>IF(Z416="","",SUMIFS($L$6:$L$1005,$B$6:$B$1005,Z416))</f>
        <v/>
      </c>
      <c r="AC416" s="77">
        <f>IF(Z416="","",SUMIFS($N$6:$N$1005,$B$6:$B$1005,Z416))</f>
        <v/>
      </c>
      <c r="AD416" s="76">
        <f>IF(Z416="","",AA416-AC416)</f>
        <v/>
      </c>
      <c r="AE416" s="117">
        <f>IF(Z416="","",IFERROR(1/SUMPRODUCT(MAX(($B$6:$B$1005=Z416)*$T$6:$T$1005)),""))</f>
        <v/>
      </c>
      <c r="AF416" s="77">
        <f>IF(AE416="","",SUMIFS($S$6:$S$1005,$B$6:$B$1005,Z416,$I$6:$I$1005,AE416))</f>
        <v/>
      </c>
    </row>
    <row r="417" ht="20" customHeight="1">
      <c r="B417" s="72" t="n"/>
      <c r="C417" s="72" t="n"/>
      <c r="D417" s="72" t="n"/>
      <c r="E417" s="72" t="n"/>
      <c r="F417" s="110" t="n"/>
      <c r="G417" s="73" t="n"/>
      <c r="H417" s="75">
        <f>IF(B417="","",IF(G417&lt;&gt;"",G417,IF(F417&lt;&gt;"",F417*IFERROR(INDEX('Contractors'!$I$6:$I$1005,MATCH(B417,'Contractors'!$B$6:$B$1005,0)),0),"")))</f>
        <v/>
      </c>
      <c r="I417" s="109" t="n"/>
      <c r="J417" s="72" t="n"/>
      <c r="K417" s="109" t="n"/>
      <c r="L417" s="73" t="n"/>
      <c r="M417" s="109" t="n"/>
      <c r="N417" s="73" t="n"/>
      <c r="O417" s="107">
        <f>IF(B417="","",IF(M417&lt;&gt;"","Paid",IF(AND(I417&lt;&gt;"",I417&lt;AsOf),"OVERDUE",IF(OR(K417&lt;&gt;"",L417&lt;&gt;""),"Invoiced","Scheduled"))))</f>
        <v/>
      </c>
      <c r="P417" s="115">
        <f>IF(B417="","",IF(E417&lt;&gt;"",E417,IFERROR(INDEX('Contractors'!$D$6:$D$1005,MATCH(B417,'Contractors'!$B$6:$B$1005,0)),"")))</f>
        <v/>
      </c>
      <c r="Q417" s="79">
        <f>IF(B417="","",IF(D417&lt;&gt;"",D417,IFERROR(INDEX('Contractors'!$E$6:$E$1005,MATCH(B417,'Contractors'!$B$6:$B$1005,0)),"")))</f>
        <v/>
      </c>
      <c r="R417" s="79">
        <f>IF(O417="","",IF(O417="OVERDUE",2,IF(O417="Paid",0,IF(AND(I417&lt;&gt;"",I417&lt;=AsOf+AlertDays),1,0))))</f>
        <v/>
      </c>
      <c r="S417" s="79">
        <f>IF(AND(B417&lt;&gt;"",M417="",I417&lt;&gt;""),IF(L417&lt;&gt;"",L417,IF(H417="",0,H417)),0)</f>
        <v/>
      </c>
      <c r="T417" s="79">
        <f>IF(AND(B417&lt;&gt;"",M417="",I417&lt;&gt;""),1/I417,0)</f>
        <v/>
      </c>
      <c r="U417" s="112">
        <f>IF(AND(B417&lt;&gt;"",M417="",I417&lt;&gt;""),I417,"")</f>
        <v/>
      </c>
      <c r="V417" s="79">
        <f>IF(U417="","",IF(U417&lt;AsOf,1,IF(U417&lt;=AsOf+AlertDays,2,IF(U417&lt;=AsOf+2*AlertDays,3,""))))</f>
        <v/>
      </c>
      <c r="W417" s="79">
        <f>IF(V417="","",IF(O417="OVERDUE","Overdue payment: ","Payment due: ")&amp;B417&amp;" — "&amp;C417&amp;" ("&amp;CurSym&amp;" "&amp;FIXED(S417,0)&amp;")")</f>
        <v/>
      </c>
      <c r="Z417" s="116">
        <f>IF('Contractors'!B417="","",'Contractors'!B417)</f>
        <v/>
      </c>
      <c r="AA417" s="77">
        <f>IF(Z417="","",'Contractors'!K417)</f>
        <v/>
      </c>
      <c r="AB417" s="77">
        <f>IF(Z417="","",SUMIFS($L$6:$L$1005,$B$6:$B$1005,Z417))</f>
        <v/>
      </c>
      <c r="AC417" s="77">
        <f>IF(Z417="","",SUMIFS($N$6:$N$1005,$B$6:$B$1005,Z417))</f>
        <v/>
      </c>
      <c r="AD417" s="76">
        <f>IF(Z417="","",AA417-AC417)</f>
        <v/>
      </c>
      <c r="AE417" s="117">
        <f>IF(Z417="","",IFERROR(1/SUMPRODUCT(MAX(($B$6:$B$1005=Z417)*$T$6:$T$1005)),""))</f>
        <v/>
      </c>
      <c r="AF417" s="77">
        <f>IF(AE417="","",SUMIFS($S$6:$S$1005,$B$6:$B$1005,Z417,$I$6:$I$1005,AE417))</f>
        <v/>
      </c>
    </row>
    <row r="418" ht="20" customHeight="1">
      <c r="B418" s="72" t="n"/>
      <c r="C418" s="72" t="n"/>
      <c r="D418" s="72" t="n"/>
      <c r="E418" s="72" t="n"/>
      <c r="F418" s="110" t="n"/>
      <c r="G418" s="73" t="n"/>
      <c r="H418" s="75">
        <f>IF(B418="","",IF(G418&lt;&gt;"",G418,IF(F418&lt;&gt;"",F418*IFERROR(INDEX('Contractors'!$I$6:$I$1005,MATCH(B418,'Contractors'!$B$6:$B$1005,0)),0),"")))</f>
        <v/>
      </c>
      <c r="I418" s="109" t="n"/>
      <c r="J418" s="72" t="n"/>
      <c r="K418" s="109" t="n"/>
      <c r="L418" s="73" t="n"/>
      <c r="M418" s="109" t="n"/>
      <c r="N418" s="73" t="n"/>
      <c r="O418" s="107">
        <f>IF(B418="","",IF(M418&lt;&gt;"","Paid",IF(AND(I418&lt;&gt;"",I418&lt;AsOf),"OVERDUE",IF(OR(K418&lt;&gt;"",L418&lt;&gt;""),"Invoiced","Scheduled"))))</f>
        <v/>
      </c>
      <c r="P418" s="115">
        <f>IF(B418="","",IF(E418&lt;&gt;"",E418,IFERROR(INDEX('Contractors'!$D$6:$D$1005,MATCH(B418,'Contractors'!$B$6:$B$1005,0)),"")))</f>
        <v/>
      </c>
      <c r="Q418" s="79">
        <f>IF(B418="","",IF(D418&lt;&gt;"",D418,IFERROR(INDEX('Contractors'!$E$6:$E$1005,MATCH(B418,'Contractors'!$B$6:$B$1005,0)),"")))</f>
        <v/>
      </c>
      <c r="R418" s="79">
        <f>IF(O418="","",IF(O418="OVERDUE",2,IF(O418="Paid",0,IF(AND(I418&lt;&gt;"",I418&lt;=AsOf+AlertDays),1,0))))</f>
        <v/>
      </c>
      <c r="S418" s="79">
        <f>IF(AND(B418&lt;&gt;"",M418="",I418&lt;&gt;""),IF(L418&lt;&gt;"",L418,IF(H418="",0,H418)),0)</f>
        <v/>
      </c>
      <c r="T418" s="79">
        <f>IF(AND(B418&lt;&gt;"",M418="",I418&lt;&gt;""),1/I418,0)</f>
        <v/>
      </c>
      <c r="U418" s="112">
        <f>IF(AND(B418&lt;&gt;"",M418="",I418&lt;&gt;""),I418,"")</f>
        <v/>
      </c>
      <c r="V418" s="79">
        <f>IF(U418="","",IF(U418&lt;AsOf,1,IF(U418&lt;=AsOf+AlertDays,2,IF(U418&lt;=AsOf+2*AlertDays,3,""))))</f>
        <v/>
      </c>
      <c r="W418" s="79">
        <f>IF(V418="","",IF(O418="OVERDUE","Overdue payment: ","Payment due: ")&amp;B418&amp;" — "&amp;C418&amp;" ("&amp;CurSym&amp;" "&amp;FIXED(S418,0)&amp;")")</f>
        <v/>
      </c>
      <c r="Z418" s="116">
        <f>IF('Contractors'!B418="","",'Contractors'!B418)</f>
        <v/>
      </c>
      <c r="AA418" s="77">
        <f>IF(Z418="","",'Contractors'!K418)</f>
        <v/>
      </c>
      <c r="AB418" s="77">
        <f>IF(Z418="","",SUMIFS($L$6:$L$1005,$B$6:$B$1005,Z418))</f>
        <v/>
      </c>
      <c r="AC418" s="77">
        <f>IF(Z418="","",SUMIFS($N$6:$N$1005,$B$6:$B$1005,Z418))</f>
        <v/>
      </c>
      <c r="AD418" s="76">
        <f>IF(Z418="","",AA418-AC418)</f>
        <v/>
      </c>
      <c r="AE418" s="117">
        <f>IF(Z418="","",IFERROR(1/SUMPRODUCT(MAX(($B$6:$B$1005=Z418)*$T$6:$T$1005)),""))</f>
        <v/>
      </c>
      <c r="AF418" s="77">
        <f>IF(AE418="","",SUMIFS($S$6:$S$1005,$B$6:$B$1005,Z418,$I$6:$I$1005,AE418))</f>
        <v/>
      </c>
    </row>
    <row r="419" ht="20" customHeight="1">
      <c r="B419" s="72" t="n"/>
      <c r="C419" s="72" t="n"/>
      <c r="D419" s="72" t="n"/>
      <c r="E419" s="72" t="n"/>
      <c r="F419" s="110" t="n"/>
      <c r="G419" s="73" t="n"/>
      <c r="H419" s="75">
        <f>IF(B419="","",IF(G419&lt;&gt;"",G419,IF(F419&lt;&gt;"",F419*IFERROR(INDEX('Contractors'!$I$6:$I$1005,MATCH(B419,'Contractors'!$B$6:$B$1005,0)),0),"")))</f>
        <v/>
      </c>
      <c r="I419" s="109" t="n"/>
      <c r="J419" s="72" t="n"/>
      <c r="K419" s="109" t="n"/>
      <c r="L419" s="73" t="n"/>
      <c r="M419" s="109" t="n"/>
      <c r="N419" s="73" t="n"/>
      <c r="O419" s="107">
        <f>IF(B419="","",IF(M419&lt;&gt;"","Paid",IF(AND(I419&lt;&gt;"",I419&lt;AsOf),"OVERDUE",IF(OR(K419&lt;&gt;"",L419&lt;&gt;""),"Invoiced","Scheduled"))))</f>
        <v/>
      </c>
      <c r="P419" s="115">
        <f>IF(B419="","",IF(E419&lt;&gt;"",E419,IFERROR(INDEX('Contractors'!$D$6:$D$1005,MATCH(B419,'Contractors'!$B$6:$B$1005,0)),"")))</f>
        <v/>
      </c>
      <c r="Q419" s="79">
        <f>IF(B419="","",IF(D419&lt;&gt;"",D419,IFERROR(INDEX('Contractors'!$E$6:$E$1005,MATCH(B419,'Contractors'!$B$6:$B$1005,0)),"")))</f>
        <v/>
      </c>
      <c r="R419" s="79">
        <f>IF(O419="","",IF(O419="OVERDUE",2,IF(O419="Paid",0,IF(AND(I419&lt;&gt;"",I419&lt;=AsOf+AlertDays),1,0))))</f>
        <v/>
      </c>
      <c r="S419" s="79">
        <f>IF(AND(B419&lt;&gt;"",M419="",I419&lt;&gt;""),IF(L419&lt;&gt;"",L419,IF(H419="",0,H419)),0)</f>
        <v/>
      </c>
      <c r="T419" s="79">
        <f>IF(AND(B419&lt;&gt;"",M419="",I419&lt;&gt;""),1/I419,0)</f>
        <v/>
      </c>
      <c r="U419" s="112">
        <f>IF(AND(B419&lt;&gt;"",M419="",I419&lt;&gt;""),I419,"")</f>
        <v/>
      </c>
      <c r="V419" s="79">
        <f>IF(U419="","",IF(U419&lt;AsOf,1,IF(U419&lt;=AsOf+AlertDays,2,IF(U419&lt;=AsOf+2*AlertDays,3,""))))</f>
        <v/>
      </c>
      <c r="W419" s="79">
        <f>IF(V419="","",IF(O419="OVERDUE","Overdue payment: ","Payment due: ")&amp;B419&amp;" — "&amp;C419&amp;" ("&amp;CurSym&amp;" "&amp;FIXED(S419,0)&amp;")")</f>
        <v/>
      </c>
      <c r="Z419" s="116">
        <f>IF('Contractors'!B419="","",'Contractors'!B419)</f>
        <v/>
      </c>
      <c r="AA419" s="77">
        <f>IF(Z419="","",'Contractors'!K419)</f>
        <v/>
      </c>
      <c r="AB419" s="77">
        <f>IF(Z419="","",SUMIFS($L$6:$L$1005,$B$6:$B$1005,Z419))</f>
        <v/>
      </c>
      <c r="AC419" s="77">
        <f>IF(Z419="","",SUMIFS($N$6:$N$1005,$B$6:$B$1005,Z419))</f>
        <v/>
      </c>
      <c r="AD419" s="76">
        <f>IF(Z419="","",AA419-AC419)</f>
        <v/>
      </c>
      <c r="AE419" s="117">
        <f>IF(Z419="","",IFERROR(1/SUMPRODUCT(MAX(($B$6:$B$1005=Z419)*$T$6:$T$1005)),""))</f>
        <v/>
      </c>
      <c r="AF419" s="77">
        <f>IF(AE419="","",SUMIFS($S$6:$S$1005,$B$6:$B$1005,Z419,$I$6:$I$1005,AE419))</f>
        <v/>
      </c>
    </row>
    <row r="420" ht="20" customHeight="1">
      <c r="B420" s="72" t="n"/>
      <c r="C420" s="72" t="n"/>
      <c r="D420" s="72" t="n"/>
      <c r="E420" s="72" t="n"/>
      <c r="F420" s="110" t="n"/>
      <c r="G420" s="73" t="n"/>
      <c r="H420" s="75">
        <f>IF(B420="","",IF(G420&lt;&gt;"",G420,IF(F420&lt;&gt;"",F420*IFERROR(INDEX('Contractors'!$I$6:$I$1005,MATCH(B420,'Contractors'!$B$6:$B$1005,0)),0),"")))</f>
        <v/>
      </c>
      <c r="I420" s="109" t="n"/>
      <c r="J420" s="72" t="n"/>
      <c r="K420" s="109" t="n"/>
      <c r="L420" s="73" t="n"/>
      <c r="M420" s="109" t="n"/>
      <c r="N420" s="73" t="n"/>
      <c r="O420" s="107">
        <f>IF(B420="","",IF(M420&lt;&gt;"","Paid",IF(AND(I420&lt;&gt;"",I420&lt;AsOf),"OVERDUE",IF(OR(K420&lt;&gt;"",L420&lt;&gt;""),"Invoiced","Scheduled"))))</f>
        <v/>
      </c>
      <c r="P420" s="115">
        <f>IF(B420="","",IF(E420&lt;&gt;"",E420,IFERROR(INDEX('Contractors'!$D$6:$D$1005,MATCH(B420,'Contractors'!$B$6:$B$1005,0)),"")))</f>
        <v/>
      </c>
      <c r="Q420" s="79">
        <f>IF(B420="","",IF(D420&lt;&gt;"",D420,IFERROR(INDEX('Contractors'!$E$6:$E$1005,MATCH(B420,'Contractors'!$B$6:$B$1005,0)),"")))</f>
        <v/>
      </c>
      <c r="R420" s="79">
        <f>IF(O420="","",IF(O420="OVERDUE",2,IF(O420="Paid",0,IF(AND(I420&lt;&gt;"",I420&lt;=AsOf+AlertDays),1,0))))</f>
        <v/>
      </c>
      <c r="S420" s="79">
        <f>IF(AND(B420&lt;&gt;"",M420="",I420&lt;&gt;""),IF(L420&lt;&gt;"",L420,IF(H420="",0,H420)),0)</f>
        <v/>
      </c>
      <c r="T420" s="79">
        <f>IF(AND(B420&lt;&gt;"",M420="",I420&lt;&gt;""),1/I420,0)</f>
        <v/>
      </c>
      <c r="U420" s="112">
        <f>IF(AND(B420&lt;&gt;"",M420="",I420&lt;&gt;""),I420,"")</f>
        <v/>
      </c>
      <c r="V420" s="79">
        <f>IF(U420="","",IF(U420&lt;AsOf,1,IF(U420&lt;=AsOf+AlertDays,2,IF(U420&lt;=AsOf+2*AlertDays,3,""))))</f>
        <v/>
      </c>
      <c r="W420" s="79">
        <f>IF(V420="","",IF(O420="OVERDUE","Overdue payment: ","Payment due: ")&amp;B420&amp;" — "&amp;C420&amp;" ("&amp;CurSym&amp;" "&amp;FIXED(S420,0)&amp;")")</f>
        <v/>
      </c>
      <c r="Z420" s="116">
        <f>IF('Contractors'!B420="","",'Contractors'!B420)</f>
        <v/>
      </c>
      <c r="AA420" s="77">
        <f>IF(Z420="","",'Contractors'!K420)</f>
        <v/>
      </c>
      <c r="AB420" s="77">
        <f>IF(Z420="","",SUMIFS($L$6:$L$1005,$B$6:$B$1005,Z420))</f>
        <v/>
      </c>
      <c r="AC420" s="77">
        <f>IF(Z420="","",SUMIFS($N$6:$N$1005,$B$6:$B$1005,Z420))</f>
        <v/>
      </c>
      <c r="AD420" s="76">
        <f>IF(Z420="","",AA420-AC420)</f>
        <v/>
      </c>
      <c r="AE420" s="117">
        <f>IF(Z420="","",IFERROR(1/SUMPRODUCT(MAX(($B$6:$B$1005=Z420)*$T$6:$T$1005)),""))</f>
        <v/>
      </c>
      <c r="AF420" s="77">
        <f>IF(AE420="","",SUMIFS($S$6:$S$1005,$B$6:$B$1005,Z420,$I$6:$I$1005,AE420))</f>
        <v/>
      </c>
    </row>
    <row r="421" ht="20" customHeight="1">
      <c r="B421" s="72" t="n"/>
      <c r="C421" s="72" t="n"/>
      <c r="D421" s="72" t="n"/>
      <c r="E421" s="72" t="n"/>
      <c r="F421" s="110" t="n"/>
      <c r="G421" s="73" t="n"/>
      <c r="H421" s="75">
        <f>IF(B421="","",IF(G421&lt;&gt;"",G421,IF(F421&lt;&gt;"",F421*IFERROR(INDEX('Contractors'!$I$6:$I$1005,MATCH(B421,'Contractors'!$B$6:$B$1005,0)),0),"")))</f>
        <v/>
      </c>
      <c r="I421" s="109" t="n"/>
      <c r="J421" s="72" t="n"/>
      <c r="K421" s="109" t="n"/>
      <c r="L421" s="73" t="n"/>
      <c r="M421" s="109" t="n"/>
      <c r="N421" s="73" t="n"/>
      <c r="O421" s="107">
        <f>IF(B421="","",IF(M421&lt;&gt;"","Paid",IF(AND(I421&lt;&gt;"",I421&lt;AsOf),"OVERDUE",IF(OR(K421&lt;&gt;"",L421&lt;&gt;""),"Invoiced","Scheduled"))))</f>
        <v/>
      </c>
      <c r="P421" s="115">
        <f>IF(B421="","",IF(E421&lt;&gt;"",E421,IFERROR(INDEX('Contractors'!$D$6:$D$1005,MATCH(B421,'Contractors'!$B$6:$B$1005,0)),"")))</f>
        <v/>
      </c>
      <c r="Q421" s="79">
        <f>IF(B421="","",IF(D421&lt;&gt;"",D421,IFERROR(INDEX('Contractors'!$E$6:$E$1005,MATCH(B421,'Contractors'!$B$6:$B$1005,0)),"")))</f>
        <v/>
      </c>
      <c r="R421" s="79">
        <f>IF(O421="","",IF(O421="OVERDUE",2,IF(O421="Paid",0,IF(AND(I421&lt;&gt;"",I421&lt;=AsOf+AlertDays),1,0))))</f>
        <v/>
      </c>
      <c r="S421" s="79">
        <f>IF(AND(B421&lt;&gt;"",M421="",I421&lt;&gt;""),IF(L421&lt;&gt;"",L421,IF(H421="",0,H421)),0)</f>
        <v/>
      </c>
      <c r="T421" s="79">
        <f>IF(AND(B421&lt;&gt;"",M421="",I421&lt;&gt;""),1/I421,0)</f>
        <v/>
      </c>
      <c r="U421" s="112">
        <f>IF(AND(B421&lt;&gt;"",M421="",I421&lt;&gt;""),I421,"")</f>
        <v/>
      </c>
      <c r="V421" s="79">
        <f>IF(U421="","",IF(U421&lt;AsOf,1,IF(U421&lt;=AsOf+AlertDays,2,IF(U421&lt;=AsOf+2*AlertDays,3,""))))</f>
        <v/>
      </c>
      <c r="W421" s="79">
        <f>IF(V421="","",IF(O421="OVERDUE","Overdue payment: ","Payment due: ")&amp;B421&amp;" — "&amp;C421&amp;" ("&amp;CurSym&amp;" "&amp;FIXED(S421,0)&amp;")")</f>
        <v/>
      </c>
      <c r="Z421" s="116">
        <f>IF('Contractors'!B421="","",'Contractors'!B421)</f>
        <v/>
      </c>
      <c r="AA421" s="77">
        <f>IF(Z421="","",'Contractors'!K421)</f>
        <v/>
      </c>
      <c r="AB421" s="77">
        <f>IF(Z421="","",SUMIFS($L$6:$L$1005,$B$6:$B$1005,Z421))</f>
        <v/>
      </c>
      <c r="AC421" s="77">
        <f>IF(Z421="","",SUMIFS($N$6:$N$1005,$B$6:$B$1005,Z421))</f>
        <v/>
      </c>
      <c r="AD421" s="76">
        <f>IF(Z421="","",AA421-AC421)</f>
        <v/>
      </c>
      <c r="AE421" s="117">
        <f>IF(Z421="","",IFERROR(1/SUMPRODUCT(MAX(($B$6:$B$1005=Z421)*$T$6:$T$1005)),""))</f>
        <v/>
      </c>
      <c r="AF421" s="77">
        <f>IF(AE421="","",SUMIFS($S$6:$S$1005,$B$6:$B$1005,Z421,$I$6:$I$1005,AE421))</f>
        <v/>
      </c>
    </row>
    <row r="422" ht="20" customHeight="1">
      <c r="B422" s="72" t="n"/>
      <c r="C422" s="72" t="n"/>
      <c r="D422" s="72" t="n"/>
      <c r="E422" s="72" t="n"/>
      <c r="F422" s="110" t="n"/>
      <c r="G422" s="73" t="n"/>
      <c r="H422" s="75">
        <f>IF(B422="","",IF(G422&lt;&gt;"",G422,IF(F422&lt;&gt;"",F422*IFERROR(INDEX('Contractors'!$I$6:$I$1005,MATCH(B422,'Contractors'!$B$6:$B$1005,0)),0),"")))</f>
        <v/>
      </c>
      <c r="I422" s="109" t="n"/>
      <c r="J422" s="72" t="n"/>
      <c r="K422" s="109" t="n"/>
      <c r="L422" s="73" t="n"/>
      <c r="M422" s="109" t="n"/>
      <c r="N422" s="73" t="n"/>
      <c r="O422" s="107">
        <f>IF(B422="","",IF(M422&lt;&gt;"","Paid",IF(AND(I422&lt;&gt;"",I422&lt;AsOf),"OVERDUE",IF(OR(K422&lt;&gt;"",L422&lt;&gt;""),"Invoiced","Scheduled"))))</f>
        <v/>
      </c>
      <c r="P422" s="115">
        <f>IF(B422="","",IF(E422&lt;&gt;"",E422,IFERROR(INDEX('Contractors'!$D$6:$D$1005,MATCH(B422,'Contractors'!$B$6:$B$1005,0)),"")))</f>
        <v/>
      </c>
      <c r="Q422" s="79">
        <f>IF(B422="","",IF(D422&lt;&gt;"",D422,IFERROR(INDEX('Contractors'!$E$6:$E$1005,MATCH(B422,'Contractors'!$B$6:$B$1005,0)),"")))</f>
        <v/>
      </c>
      <c r="R422" s="79">
        <f>IF(O422="","",IF(O422="OVERDUE",2,IF(O422="Paid",0,IF(AND(I422&lt;&gt;"",I422&lt;=AsOf+AlertDays),1,0))))</f>
        <v/>
      </c>
      <c r="S422" s="79">
        <f>IF(AND(B422&lt;&gt;"",M422="",I422&lt;&gt;""),IF(L422&lt;&gt;"",L422,IF(H422="",0,H422)),0)</f>
        <v/>
      </c>
      <c r="T422" s="79">
        <f>IF(AND(B422&lt;&gt;"",M422="",I422&lt;&gt;""),1/I422,0)</f>
        <v/>
      </c>
      <c r="U422" s="112">
        <f>IF(AND(B422&lt;&gt;"",M422="",I422&lt;&gt;""),I422,"")</f>
        <v/>
      </c>
      <c r="V422" s="79">
        <f>IF(U422="","",IF(U422&lt;AsOf,1,IF(U422&lt;=AsOf+AlertDays,2,IF(U422&lt;=AsOf+2*AlertDays,3,""))))</f>
        <v/>
      </c>
      <c r="W422" s="79">
        <f>IF(V422="","",IF(O422="OVERDUE","Overdue payment: ","Payment due: ")&amp;B422&amp;" — "&amp;C422&amp;" ("&amp;CurSym&amp;" "&amp;FIXED(S422,0)&amp;")")</f>
        <v/>
      </c>
      <c r="Z422" s="116">
        <f>IF('Contractors'!B422="","",'Contractors'!B422)</f>
        <v/>
      </c>
      <c r="AA422" s="77">
        <f>IF(Z422="","",'Contractors'!K422)</f>
        <v/>
      </c>
      <c r="AB422" s="77">
        <f>IF(Z422="","",SUMIFS($L$6:$L$1005,$B$6:$B$1005,Z422))</f>
        <v/>
      </c>
      <c r="AC422" s="77">
        <f>IF(Z422="","",SUMIFS($N$6:$N$1005,$B$6:$B$1005,Z422))</f>
        <v/>
      </c>
      <c r="AD422" s="76">
        <f>IF(Z422="","",AA422-AC422)</f>
        <v/>
      </c>
      <c r="AE422" s="117">
        <f>IF(Z422="","",IFERROR(1/SUMPRODUCT(MAX(($B$6:$B$1005=Z422)*$T$6:$T$1005)),""))</f>
        <v/>
      </c>
      <c r="AF422" s="77">
        <f>IF(AE422="","",SUMIFS($S$6:$S$1005,$B$6:$B$1005,Z422,$I$6:$I$1005,AE422))</f>
        <v/>
      </c>
    </row>
    <row r="423" ht="20" customHeight="1">
      <c r="B423" s="72" t="n"/>
      <c r="C423" s="72" t="n"/>
      <c r="D423" s="72" t="n"/>
      <c r="E423" s="72" t="n"/>
      <c r="F423" s="110" t="n"/>
      <c r="G423" s="73" t="n"/>
      <c r="H423" s="75">
        <f>IF(B423="","",IF(G423&lt;&gt;"",G423,IF(F423&lt;&gt;"",F423*IFERROR(INDEX('Contractors'!$I$6:$I$1005,MATCH(B423,'Contractors'!$B$6:$B$1005,0)),0),"")))</f>
        <v/>
      </c>
      <c r="I423" s="109" t="n"/>
      <c r="J423" s="72" t="n"/>
      <c r="K423" s="109" t="n"/>
      <c r="L423" s="73" t="n"/>
      <c r="M423" s="109" t="n"/>
      <c r="N423" s="73" t="n"/>
      <c r="O423" s="107">
        <f>IF(B423="","",IF(M423&lt;&gt;"","Paid",IF(AND(I423&lt;&gt;"",I423&lt;AsOf),"OVERDUE",IF(OR(K423&lt;&gt;"",L423&lt;&gt;""),"Invoiced","Scheduled"))))</f>
        <v/>
      </c>
      <c r="P423" s="115">
        <f>IF(B423="","",IF(E423&lt;&gt;"",E423,IFERROR(INDEX('Contractors'!$D$6:$D$1005,MATCH(B423,'Contractors'!$B$6:$B$1005,0)),"")))</f>
        <v/>
      </c>
      <c r="Q423" s="79">
        <f>IF(B423="","",IF(D423&lt;&gt;"",D423,IFERROR(INDEX('Contractors'!$E$6:$E$1005,MATCH(B423,'Contractors'!$B$6:$B$1005,0)),"")))</f>
        <v/>
      </c>
      <c r="R423" s="79">
        <f>IF(O423="","",IF(O423="OVERDUE",2,IF(O423="Paid",0,IF(AND(I423&lt;&gt;"",I423&lt;=AsOf+AlertDays),1,0))))</f>
        <v/>
      </c>
      <c r="S423" s="79">
        <f>IF(AND(B423&lt;&gt;"",M423="",I423&lt;&gt;""),IF(L423&lt;&gt;"",L423,IF(H423="",0,H423)),0)</f>
        <v/>
      </c>
      <c r="T423" s="79">
        <f>IF(AND(B423&lt;&gt;"",M423="",I423&lt;&gt;""),1/I423,0)</f>
        <v/>
      </c>
      <c r="U423" s="112">
        <f>IF(AND(B423&lt;&gt;"",M423="",I423&lt;&gt;""),I423,"")</f>
        <v/>
      </c>
      <c r="V423" s="79">
        <f>IF(U423="","",IF(U423&lt;AsOf,1,IF(U423&lt;=AsOf+AlertDays,2,IF(U423&lt;=AsOf+2*AlertDays,3,""))))</f>
        <v/>
      </c>
      <c r="W423" s="79">
        <f>IF(V423="","",IF(O423="OVERDUE","Overdue payment: ","Payment due: ")&amp;B423&amp;" — "&amp;C423&amp;" ("&amp;CurSym&amp;" "&amp;FIXED(S423,0)&amp;")")</f>
        <v/>
      </c>
      <c r="Z423" s="116">
        <f>IF('Contractors'!B423="","",'Contractors'!B423)</f>
        <v/>
      </c>
      <c r="AA423" s="77">
        <f>IF(Z423="","",'Contractors'!K423)</f>
        <v/>
      </c>
      <c r="AB423" s="77">
        <f>IF(Z423="","",SUMIFS($L$6:$L$1005,$B$6:$B$1005,Z423))</f>
        <v/>
      </c>
      <c r="AC423" s="77">
        <f>IF(Z423="","",SUMIFS($N$6:$N$1005,$B$6:$B$1005,Z423))</f>
        <v/>
      </c>
      <c r="AD423" s="76">
        <f>IF(Z423="","",AA423-AC423)</f>
        <v/>
      </c>
      <c r="AE423" s="117">
        <f>IF(Z423="","",IFERROR(1/SUMPRODUCT(MAX(($B$6:$B$1005=Z423)*$T$6:$T$1005)),""))</f>
        <v/>
      </c>
      <c r="AF423" s="77">
        <f>IF(AE423="","",SUMIFS($S$6:$S$1005,$B$6:$B$1005,Z423,$I$6:$I$1005,AE423))</f>
        <v/>
      </c>
    </row>
    <row r="424" ht="20" customHeight="1">
      <c r="B424" s="72" t="n"/>
      <c r="C424" s="72" t="n"/>
      <c r="D424" s="72" t="n"/>
      <c r="E424" s="72" t="n"/>
      <c r="F424" s="110" t="n"/>
      <c r="G424" s="73" t="n"/>
      <c r="H424" s="75">
        <f>IF(B424="","",IF(G424&lt;&gt;"",G424,IF(F424&lt;&gt;"",F424*IFERROR(INDEX('Contractors'!$I$6:$I$1005,MATCH(B424,'Contractors'!$B$6:$B$1005,0)),0),"")))</f>
        <v/>
      </c>
      <c r="I424" s="109" t="n"/>
      <c r="J424" s="72" t="n"/>
      <c r="K424" s="109" t="n"/>
      <c r="L424" s="73" t="n"/>
      <c r="M424" s="109" t="n"/>
      <c r="N424" s="73" t="n"/>
      <c r="O424" s="107">
        <f>IF(B424="","",IF(M424&lt;&gt;"","Paid",IF(AND(I424&lt;&gt;"",I424&lt;AsOf),"OVERDUE",IF(OR(K424&lt;&gt;"",L424&lt;&gt;""),"Invoiced","Scheduled"))))</f>
        <v/>
      </c>
      <c r="P424" s="115">
        <f>IF(B424="","",IF(E424&lt;&gt;"",E424,IFERROR(INDEX('Contractors'!$D$6:$D$1005,MATCH(B424,'Contractors'!$B$6:$B$1005,0)),"")))</f>
        <v/>
      </c>
      <c r="Q424" s="79">
        <f>IF(B424="","",IF(D424&lt;&gt;"",D424,IFERROR(INDEX('Contractors'!$E$6:$E$1005,MATCH(B424,'Contractors'!$B$6:$B$1005,0)),"")))</f>
        <v/>
      </c>
      <c r="R424" s="79">
        <f>IF(O424="","",IF(O424="OVERDUE",2,IF(O424="Paid",0,IF(AND(I424&lt;&gt;"",I424&lt;=AsOf+AlertDays),1,0))))</f>
        <v/>
      </c>
      <c r="S424" s="79">
        <f>IF(AND(B424&lt;&gt;"",M424="",I424&lt;&gt;""),IF(L424&lt;&gt;"",L424,IF(H424="",0,H424)),0)</f>
        <v/>
      </c>
      <c r="T424" s="79">
        <f>IF(AND(B424&lt;&gt;"",M424="",I424&lt;&gt;""),1/I424,0)</f>
        <v/>
      </c>
      <c r="U424" s="112">
        <f>IF(AND(B424&lt;&gt;"",M424="",I424&lt;&gt;""),I424,"")</f>
        <v/>
      </c>
      <c r="V424" s="79">
        <f>IF(U424="","",IF(U424&lt;AsOf,1,IF(U424&lt;=AsOf+AlertDays,2,IF(U424&lt;=AsOf+2*AlertDays,3,""))))</f>
        <v/>
      </c>
      <c r="W424" s="79">
        <f>IF(V424="","",IF(O424="OVERDUE","Overdue payment: ","Payment due: ")&amp;B424&amp;" — "&amp;C424&amp;" ("&amp;CurSym&amp;" "&amp;FIXED(S424,0)&amp;")")</f>
        <v/>
      </c>
      <c r="Z424" s="116">
        <f>IF('Contractors'!B424="","",'Contractors'!B424)</f>
        <v/>
      </c>
      <c r="AA424" s="77">
        <f>IF(Z424="","",'Contractors'!K424)</f>
        <v/>
      </c>
      <c r="AB424" s="77">
        <f>IF(Z424="","",SUMIFS($L$6:$L$1005,$B$6:$B$1005,Z424))</f>
        <v/>
      </c>
      <c r="AC424" s="77">
        <f>IF(Z424="","",SUMIFS($N$6:$N$1005,$B$6:$B$1005,Z424))</f>
        <v/>
      </c>
      <c r="AD424" s="76">
        <f>IF(Z424="","",AA424-AC424)</f>
        <v/>
      </c>
      <c r="AE424" s="117">
        <f>IF(Z424="","",IFERROR(1/SUMPRODUCT(MAX(($B$6:$B$1005=Z424)*$T$6:$T$1005)),""))</f>
        <v/>
      </c>
      <c r="AF424" s="77">
        <f>IF(AE424="","",SUMIFS($S$6:$S$1005,$B$6:$B$1005,Z424,$I$6:$I$1005,AE424))</f>
        <v/>
      </c>
    </row>
    <row r="425" ht="20" customHeight="1">
      <c r="B425" s="72" t="n"/>
      <c r="C425" s="72" t="n"/>
      <c r="D425" s="72" t="n"/>
      <c r="E425" s="72" t="n"/>
      <c r="F425" s="110" t="n"/>
      <c r="G425" s="73" t="n"/>
      <c r="H425" s="75">
        <f>IF(B425="","",IF(G425&lt;&gt;"",G425,IF(F425&lt;&gt;"",F425*IFERROR(INDEX('Contractors'!$I$6:$I$1005,MATCH(B425,'Contractors'!$B$6:$B$1005,0)),0),"")))</f>
        <v/>
      </c>
      <c r="I425" s="109" t="n"/>
      <c r="J425" s="72" t="n"/>
      <c r="K425" s="109" t="n"/>
      <c r="L425" s="73" t="n"/>
      <c r="M425" s="109" t="n"/>
      <c r="N425" s="73" t="n"/>
      <c r="O425" s="107">
        <f>IF(B425="","",IF(M425&lt;&gt;"","Paid",IF(AND(I425&lt;&gt;"",I425&lt;AsOf),"OVERDUE",IF(OR(K425&lt;&gt;"",L425&lt;&gt;""),"Invoiced","Scheduled"))))</f>
        <v/>
      </c>
      <c r="P425" s="115">
        <f>IF(B425="","",IF(E425&lt;&gt;"",E425,IFERROR(INDEX('Contractors'!$D$6:$D$1005,MATCH(B425,'Contractors'!$B$6:$B$1005,0)),"")))</f>
        <v/>
      </c>
      <c r="Q425" s="79">
        <f>IF(B425="","",IF(D425&lt;&gt;"",D425,IFERROR(INDEX('Contractors'!$E$6:$E$1005,MATCH(B425,'Contractors'!$B$6:$B$1005,0)),"")))</f>
        <v/>
      </c>
      <c r="R425" s="79">
        <f>IF(O425="","",IF(O425="OVERDUE",2,IF(O425="Paid",0,IF(AND(I425&lt;&gt;"",I425&lt;=AsOf+AlertDays),1,0))))</f>
        <v/>
      </c>
      <c r="S425" s="79">
        <f>IF(AND(B425&lt;&gt;"",M425="",I425&lt;&gt;""),IF(L425&lt;&gt;"",L425,IF(H425="",0,H425)),0)</f>
        <v/>
      </c>
      <c r="T425" s="79">
        <f>IF(AND(B425&lt;&gt;"",M425="",I425&lt;&gt;""),1/I425,0)</f>
        <v/>
      </c>
      <c r="U425" s="112">
        <f>IF(AND(B425&lt;&gt;"",M425="",I425&lt;&gt;""),I425,"")</f>
        <v/>
      </c>
      <c r="V425" s="79">
        <f>IF(U425="","",IF(U425&lt;AsOf,1,IF(U425&lt;=AsOf+AlertDays,2,IF(U425&lt;=AsOf+2*AlertDays,3,""))))</f>
        <v/>
      </c>
      <c r="W425" s="79">
        <f>IF(V425="","",IF(O425="OVERDUE","Overdue payment: ","Payment due: ")&amp;B425&amp;" — "&amp;C425&amp;" ("&amp;CurSym&amp;" "&amp;FIXED(S425,0)&amp;")")</f>
        <v/>
      </c>
      <c r="Z425" s="116">
        <f>IF('Contractors'!B425="","",'Contractors'!B425)</f>
        <v/>
      </c>
      <c r="AA425" s="77">
        <f>IF(Z425="","",'Contractors'!K425)</f>
        <v/>
      </c>
      <c r="AB425" s="77">
        <f>IF(Z425="","",SUMIFS($L$6:$L$1005,$B$6:$B$1005,Z425))</f>
        <v/>
      </c>
      <c r="AC425" s="77">
        <f>IF(Z425="","",SUMIFS($N$6:$N$1005,$B$6:$B$1005,Z425))</f>
        <v/>
      </c>
      <c r="AD425" s="76">
        <f>IF(Z425="","",AA425-AC425)</f>
        <v/>
      </c>
      <c r="AE425" s="117">
        <f>IF(Z425="","",IFERROR(1/SUMPRODUCT(MAX(($B$6:$B$1005=Z425)*$T$6:$T$1005)),""))</f>
        <v/>
      </c>
      <c r="AF425" s="77">
        <f>IF(AE425="","",SUMIFS($S$6:$S$1005,$B$6:$B$1005,Z425,$I$6:$I$1005,AE425))</f>
        <v/>
      </c>
    </row>
    <row r="426" ht="20" customHeight="1">
      <c r="B426" s="72" t="n"/>
      <c r="C426" s="72" t="n"/>
      <c r="D426" s="72" t="n"/>
      <c r="E426" s="72" t="n"/>
      <c r="F426" s="110" t="n"/>
      <c r="G426" s="73" t="n"/>
      <c r="H426" s="75">
        <f>IF(B426="","",IF(G426&lt;&gt;"",G426,IF(F426&lt;&gt;"",F426*IFERROR(INDEX('Contractors'!$I$6:$I$1005,MATCH(B426,'Contractors'!$B$6:$B$1005,0)),0),"")))</f>
        <v/>
      </c>
      <c r="I426" s="109" t="n"/>
      <c r="J426" s="72" t="n"/>
      <c r="K426" s="109" t="n"/>
      <c r="L426" s="73" t="n"/>
      <c r="M426" s="109" t="n"/>
      <c r="N426" s="73" t="n"/>
      <c r="O426" s="107">
        <f>IF(B426="","",IF(M426&lt;&gt;"","Paid",IF(AND(I426&lt;&gt;"",I426&lt;AsOf),"OVERDUE",IF(OR(K426&lt;&gt;"",L426&lt;&gt;""),"Invoiced","Scheduled"))))</f>
        <v/>
      </c>
      <c r="P426" s="115">
        <f>IF(B426="","",IF(E426&lt;&gt;"",E426,IFERROR(INDEX('Contractors'!$D$6:$D$1005,MATCH(B426,'Contractors'!$B$6:$B$1005,0)),"")))</f>
        <v/>
      </c>
      <c r="Q426" s="79">
        <f>IF(B426="","",IF(D426&lt;&gt;"",D426,IFERROR(INDEX('Contractors'!$E$6:$E$1005,MATCH(B426,'Contractors'!$B$6:$B$1005,0)),"")))</f>
        <v/>
      </c>
      <c r="R426" s="79">
        <f>IF(O426="","",IF(O426="OVERDUE",2,IF(O426="Paid",0,IF(AND(I426&lt;&gt;"",I426&lt;=AsOf+AlertDays),1,0))))</f>
        <v/>
      </c>
      <c r="S426" s="79">
        <f>IF(AND(B426&lt;&gt;"",M426="",I426&lt;&gt;""),IF(L426&lt;&gt;"",L426,IF(H426="",0,H426)),0)</f>
        <v/>
      </c>
      <c r="T426" s="79">
        <f>IF(AND(B426&lt;&gt;"",M426="",I426&lt;&gt;""),1/I426,0)</f>
        <v/>
      </c>
      <c r="U426" s="112">
        <f>IF(AND(B426&lt;&gt;"",M426="",I426&lt;&gt;""),I426,"")</f>
        <v/>
      </c>
      <c r="V426" s="79">
        <f>IF(U426="","",IF(U426&lt;AsOf,1,IF(U426&lt;=AsOf+AlertDays,2,IF(U426&lt;=AsOf+2*AlertDays,3,""))))</f>
        <v/>
      </c>
      <c r="W426" s="79">
        <f>IF(V426="","",IF(O426="OVERDUE","Overdue payment: ","Payment due: ")&amp;B426&amp;" — "&amp;C426&amp;" ("&amp;CurSym&amp;" "&amp;FIXED(S426,0)&amp;")")</f>
        <v/>
      </c>
      <c r="Z426" s="116">
        <f>IF('Contractors'!B426="","",'Contractors'!B426)</f>
        <v/>
      </c>
      <c r="AA426" s="77">
        <f>IF(Z426="","",'Contractors'!K426)</f>
        <v/>
      </c>
      <c r="AB426" s="77">
        <f>IF(Z426="","",SUMIFS($L$6:$L$1005,$B$6:$B$1005,Z426))</f>
        <v/>
      </c>
      <c r="AC426" s="77">
        <f>IF(Z426="","",SUMIFS($N$6:$N$1005,$B$6:$B$1005,Z426))</f>
        <v/>
      </c>
      <c r="AD426" s="76">
        <f>IF(Z426="","",AA426-AC426)</f>
        <v/>
      </c>
      <c r="AE426" s="117">
        <f>IF(Z426="","",IFERROR(1/SUMPRODUCT(MAX(($B$6:$B$1005=Z426)*$T$6:$T$1005)),""))</f>
        <v/>
      </c>
      <c r="AF426" s="77">
        <f>IF(AE426="","",SUMIFS($S$6:$S$1005,$B$6:$B$1005,Z426,$I$6:$I$1005,AE426))</f>
        <v/>
      </c>
    </row>
    <row r="427" ht="20" customHeight="1">
      <c r="B427" s="72" t="n"/>
      <c r="C427" s="72" t="n"/>
      <c r="D427" s="72" t="n"/>
      <c r="E427" s="72" t="n"/>
      <c r="F427" s="110" t="n"/>
      <c r="G427" s="73" t="n"/>
      <c r="H427" s="75">
        <f>IF(B427="","",IF(G427&lt;&gt;"",G427,IF(F427&lt;&gt;"",F427*IFERROR(INDEX('Contractors'!$I$6:$I$1005,MATCH(B427,'Contractors'!$B$6:$B$1005,0)),0),"")))</f>
        <v/>
      </c>
      <c r="I427" s="109" t="n"/>
      <c r="J427" s="72" t="n"/>
      <c r="K427" s="109" t="n"/>
      <c r="L427" s="73" t="n"/>
      <c r="M427" s="109" t="n"/>
      <c r="N427" s="73" t="n"/>
      <c r="O427" s="107">
        <f>IF(B427="","",IF(M427&lt;&gt;"","Paid",IF(AND(I427&lt;&gt;"",I427&lt;AsOf),"OVERDUE",IF(OR(K427&lt;&gt;"",L427&lt;&gt;""),"Invoiced","Scheduled"))))</f>
        <v/>
      </c>
      <c r="P427" s="115">
        <f>IF(B427="","",IF(E427&lt;&gt;"",E427,IFERROR(INDEX('Contractors'!$D$6:$D$1005,MATCH(B427,'Contractors'!$B$6:$B$1005,0)),"")))</f>
        <v/>
      </c>
      <c r="Q427" s="79">
        <f>IF(B427="","",IF(D427&lt;&gt;"",D427,IFERROR(INDEX('Contractors'!$E$6:$E$1005,MATCH(B427,'Contractors'!$B$6:$B$1005,0)),"")))</f>
        <v/>
      </c>
      <c r="R427" s="79">
        <f>IF(O427="","",IF(O427="OVERDUE",2,IF(O427="Paid",0,IF(AND(I427&lt;&gt;"",I427&lt;=AsOf+AlertDays),1,0))))</f>
        <v/>
      </c>
      <c r="S427" s="79">
        <f>IF(AND(B427&lt;&gt;"",M427="",I427&lt;&gt;""),IF(L427&lt;&gt;"",L427,IF(H427="",0,H427)),0)</f>
        <v/>
      </c>
      <c r="T427" s="79">
        <f>IF(AND(B427&lt;&gt;"",M427="",I427&lt;&gt;""),1/I427,0)</f>
        <v/>
      </c>
      <c r="U427" s="112">
        <f>IF(AND(B427&lt;&gt;"",M427="",I427&lt;&gt;""),I427,"")</f>
        <v/>
      </c>
      <c r="V427" s="79">
        <f>IF(U427="","",IF(U427&lt;AsOf,1,IF(U427&lt;=AsOf+AlertDays,2,IF(U427&lt;=AsOf+2*AlertDays,3,""))))</f>
        <v/>
      </c>
      <c r="W427" s="79">
        <f>IF(V427="","",IF(O427="OVERDUE","Overdue payment: ","Payment due: ")&amp;B427&amp;" — "&amp;C427&amp;" ("&amp;CurSym&amp;" "&amp;FIXED(S427,0)&amp;")")</f>
        <v/>
      </c>
      <c r="Z427" s="116">
        <f>IF('Contractors'!B427="","",'Contractors'!B427)</f>
        <v/>
      </c>
      <c r="AA427" s="77">
        <f>IF(Z427="","",'Contractors'!K427)</f>
        <v/>
      </c>
      <c r="AB427" s="77">
        <f>IF(Z427="","",SUMIFS($L$6:$L$1005,$B$6:$B$1005,Z427))</f>
        <v/>
      </c>
      <c r="AC427" s="77">
        <f>IF(Z427="","",SUMIFS($N$6:$N$1005,$B$6:$B$1005,Z427))</f>
        <v/>
      </c>
      <c r="AD427" s="76">
        <f>IF(Z427="","",AA427-AC427)</f>
        <v/>
      </c>
      <c r="AE427" s="117">
        <f>IF(Z427="","",IFERROR(1/SUMPRODUCT(MAX(($B$6:$B$1005=Z427)*$T$6:$T$1005)),""))</f>
        <v/>
      </c>
      <c r="AF427" s="77">
        <f>IF(AE427="","",SUMIFS($S$6:$S$1005,$B$6:$B$1005,Z427,$I$6:$I$1005,AE427))</f>
        <v/>
      </c>
    </row>
    <row r="428" ht="20" customHeight="1">
      <c r="B428" s="72" t="n"/>
      <c r="C428" s="72" t="n"/>
      <c r="D428" s="72" t="n"/>
      <c r="E428" s="72" t="n"/>
      <c r="F428" s="110" t="n"/>
      <c r="G428" s="73" t="n"/>
      <c r="H428" s="75">
        <f>IF(B428="","",IF(G428&lt;&gt;"",G428,IF(F428&lt;&gt;"",F428*IFERROR(INDEX('Contractors'!$I$6:$I$1005,MATCH(B428,'Contractors'!$B$6:$B$1005,0)),0),"")))</f>
        <v/>
      </c>
      <c r="I428" s="109" t="n"/>
      <c r="J428" s="72" t="n"/>
      <c r="K428" s="109" t="n"/>
      <c r="L428" s="73" t="n"/>
      <c r="M428" s="109" t="n"/>
      <c r="N428" s="73" t="n"/>
      <c r="O428" s="107">
        <f>IF(B428="","",IF(M428&lt;&gt;"","Paid",IF(AND(I428&lt;&gt;"",I428&lt;AsOf),"OVERDUE",IF(OR(K428&lt;&gt;"",L428&lt;&gt;""),"Invoiced","Scheduled"))))</f>
        <v/>
      </c>
      <c r="P428" s="115">
        <f>IF(B428="","",IF(E428&lt;&gt;"",E428,IFERROR(INDEX('Contractors'!$D$6:$D$1005,MATCH(B428,'Contractors'!$B$6:$B$1005,0)),"")))</f>
        <v/>
      </c>
      <c r="Q428" s="79">
        <f>IF(B428="","",IF(D428&lt;&gt;"",D428,IFERROR(INDEX('Contractors'!$E$6:$E$1005,MATCH(B428,'Contractors'!$B$6:$B$1005,0)),"")))</f>
        <v/>
      </c>
      <c r="R428" s="79">
        <f>IF(O428="","",IF(O428="OVERDUE",2,IF(O428="Paid",0,IF(AND(I428&lt;&gt;"",I428&lt;=AsOf+AlertDays),1,0))))</f>
        <v/>
      </c>
      <c r="S428" s="79">
        <f>IF(AND(B428&lt;&gt;"",M428="",I428&lt;&gt;""),IF(L428&lt;&gt;"",L428,IF(H428="",0,H428)),0)</f>
        <v/>
      </c>
      <c r="T428" s="79">
        <f>IF(AND(B428&lt;&gt;"",M428="",I428&lt;&gt;""),1/I428,0)</f>
        <v/>
      </c>
      <c r="U428" s="112">
        <f>IF(AND(B428&lt;&gt;"",M428="",I428&lt;&gt;""),I428,"")</f>
        <v/>
      </c>
      <c r="V428" s="79">
        <f>IF(U428="","",IF(U428&lt;AsOf,1,IF(U428&lt;=AsOf+AlertDays,2,IF(U428&lt;=AsOf+2*AlertDays,3,""))))</f>
        <v/>
      </c>
      <c r="W428" s="79">
        <f>IF(V428="","",IF(O428="OVERDUE","Overdue payment: ","Payment due: ")&amp;B428&amp;" — "&amp;C428&amp;" ("&amp;CurSym&amp;" "&amp;FIXED(S428,0)&amp;")")</f>
        <v/>
      </c>
      <c r="Z428" s="116">
        <f>IF('Contractors'!B428="","",'Contractors'!B428)</f>
        <v/>
      </c>
      <c r="AA428" s="77">
        <f>IF(Z428="","",'Contractors'!K428)</f>
        <v/>
      </c>
      <c r="AB428" s="77">
        <f>IF(Z428="","",SUMIFS($L$6:$L$1005,$B$6:$B$1005,Z428))</f>
        <v/>
      </c>
      <c r="AC428" s="77">
        <f>IF(Z428="","",SUMIFS($N$6:$N$1005,$B$6:$B$1005,Z428))</f>
        <v/>
      </c>
      <c r="AD428" s="76">
        <f>IF(Z428="","",AA428-AC428)</f>
        <v/>
      </c>
      <c r="AE428" s="117">
        <f>IF(Z428="","",IFERROR(1/SUMPRODUCT(MAX(($B$6:$B$1005=Z428)*$T$6:$T$1005)),""))</f>
        <v/>
      </c>
      <c r="AF428" s="77">
        <f>IF(AE428="","",SUMIFS($S$6:$S$1005,$B$6:$B$1005,Z428,$I$6:$I$1005,AE428))</f>
        <v/>
      </c>
    </row>
    <row r="429" ht="20" customHeight="1">
      <c r="B429" s="72" t="n"/>
      <c r="C429" s="72" t="n"/>
      <c r="D429" s="72" t="n"/>
      <c r="E429" s="72" t="n"/>
      <c r="F429" s="110" t="n"/>
      <c r="G429" s="73" t="n"/>
      <c r="H429" s="75">
        <f>IF(B429="","",IF(G429&lt;&gt;"",G429,IF(F429&lt;&gt;"",F429*IFERROR(INDEX('Contractors'!$I$6:$I$1005,MATCH(B429,'Contractors'!$B$6:$B$1005,0)),0),"")))</f>
        <v/>
      </c>
      <c r="I429" s="109" t="n"/>
      <c r="J429" s="72" t="n"/>
      <c r="K429" s="109" t="n"/>
      <c r="L429" s="73" t="n"/>
      <c r="M429" s="109" t="n"/>
      <c r="N429" s="73" t="n"/>
      <c r="O429" s="107">
        <f>IF(B429="","",IF(M429&lt;&gt;"","Paid",IF(AND(I429&lt;&gt;"",I429&lt;AsOf),"OVERDUE",IF(OR(K429&lt;&gt;"",L429&lt;&gt;""),"Invoiced","Scheduled"))))</f>
        <v/>
      </c>
      <c r="P429" s="115">
        <f>IF(B429="","",IF(E429&lt;&gt;"",E429,IFERROR(INDEX('Contractors'!$D$6:$D$1005,MATCH(B429,'Contractors'!$B$6:$B$1005,0)),"")))</f>
        <v/>
      </c>
      <c r="Q429" s="79">
        <f>IF(B429="","",IF(D429&lt;&gt;"",D429,IFERROR(INDEX('Contractors'!$E$6:$E$1005,MATCH(B429,'Contractors'!$B$6:$B$1005,0)),"")))</f>
        <v/>
      </c>
      <c r="R429" s="79">
        <f>IF(O429="","",IF(O429="OVERDUE",2,IF(O429="Paid",0,IF(AND(I429&lt;&gt;"",I429&lt;=AsOf+AlertDays),1,0))))</f>
        <v/>
      </c>
      <c r="S429" s="79">
        <f>IF(AND(B429&lt;&gt;"",M429="",I429&lt;&gt;""),IF(L429&lt;&gt;"",L429,IF(H429="",0,H429)),0)</f>
        <v/>
      </c>
      <c r="T429" s="79">
        <f>IF(AND(B429&lt;&gt;"",M429="",I429&lt;&gt;""),1/I429,0)</f>
        <v/>
      </c>
      <c r="U429" s="112">
        <f>IF(AND(B429&lt;&gt;"",M429="",I429&lt;&gt;""),I429,"")</f>
        <v/>
      </c>
      <c r="V429" s="79">
        <f>IF(U429="","",IF(U429&lt;AsOf,1,IF(U429&lt;=AsOf+AlertDays,2,IF(U429&lt;=AsOf+2*AlertDays,3,""))))</f>
        <v/>
      </c>
      <c r="W429" s="79">
        <f>IF(V429="","",IF(O429="OVERDUE","Overdue payment: ","Payment due: ")&amp;B429&amp;" — "&amp;C429&amp;" ("&amp;CurSym&amp;" "&amp;FIXED(S429,0)&amp;")")</f>
        <v/>
      </c>
      <c r="Z429" s="116">
        <f>IF('Contractors'!B429="","",'Contractors'!B429)</f>
        <v/>
      </c>
      <c r="AA429" s="77">
        <f>IF(Z429="","",'Contractors'!K429)</f>
        <v/>
      </c>
      <c r="AB429" s="77">
        <f>IF(Z429="","",SUMIFS($L$6:$L$1005,$B$6:$B$1005,Z429))</f>
        <v/>
      </c>
      <c r="AC429" s="77">
        <f>IF(Z429="","",SUMIFS($N$6:$N$1005,$B$6:$B$1005,Z429))</f>
        <v/>
      </c>
      <c r="AD429" s="76">
        <f>IF(Z429="","",AA429-AC429)</f>
        <v/>
      </c>
      <c r="AE429" s="117">
        <f>IF(Z429="","",IFERROR(1/SUMPRODUCT(MAX(($B$6:$B$1005=Z429)*$T$6:$T$1005)),""))</f>
        <v/>
      </c>
      <c r="AF429" s="77">
        <f>IF(AE429="","",SUMIFS($S$6:$S$1005,$B$6:$B$1005,Z429,$I$6:$I$1005,AE429))</f>
        <v/>
      </c>
    </row>
    <row r="430" ht="20" customHeight="1">
      <c r="B430" s="72" t="n"/>
      <c r="C430" s="72" t="n"/>
      <c r="D430" s="72" t="n"/>
      <c r="E430" s="72" t="n"/>
      <c r="F430" s="110" t="n"/>
      <c r="G430" s="73" t="n"/>
      <c r="H430" s="75">
        <f>IF(B430="","",IF(G430&lt;&gt;"",G430,IF(F430&lt;&gt;"",F430*IFERROR(INDEX('Contractors'!$I$6:$I$1005,MATCH(B430,'Contractors'!$B$6:$B$1005,0)),0),"")))</f>
        <v/>
      </c>
      <c r="I430" s="109" t="n"/>
      <c r="J430" s="72" t="n"/>
      <c r="K430" s="109" t="n"/>
      <c r="L430" s="73" t="n"/>
      <c r="M430" s="109" t="n"/>
      <c r="N430" s="73" t="n"/>
      <c r="O430" s="107">
        <f>IF(B430="","",IF(M430&lt;&gt;"","Paid",IF(AND(I430&lt;&gt;"",I430&lt;AsOf),"OVERDUE",IF(OR(K430&lt;&gt;"",L430&lt;&gt;""),"Invoiced","Scheduled"))))</f>
        <v/>
      </c>
      <c r="P430" s="115">
        <f>IF(B430="","",IF(E430&lt;&gt;"",E430,IFERROR(INDEX('Contractors'!$D$6:$D$1005,MATCH(B430,'Contractors'!$B$6:$B$1005,0)),"")))</f>
        <v/>
      </c>
      <c r="Q430" s="79">
        <f>IF(B430="","",IF(D430&lt;&gt;"",D430,IFERROR(INDEX('Contractors'!$E$6:$E$1005,MATCH(B430,'Contractors'!$B$6:$B$1005,0)),"")))</f>
        <v/>
      </c>
      <c r="R430" s="79">
        <f>IF(O430="","",IF(O430="OVERDUE",2,IF(O430="Paid",0,IF(AND(I430&lt;&gt;"",I430&lt;=AsOf+AlertDays),1,0))))</f>
        <v/>
      </c>
      <c r="S430" s="79">
        <f>IF(AND(B430&lt;&gt;"",M430="",I430&lt;&gt;""),IF(L430&lt;&gt;"",L430,IF(H430="",0,H430)),0)</f>
        <v/>
      </c>
      <c r="T430" s="79">
        <f>IF(AND(B430&lt;&gt;"",M430="",I430&lt;&gt;""),1/I430,0)</f>
        <v/>
      </c>
      <c r="U430" s="112">
        <f>IF(AND(B430&lt;&gt;"",M430="",I430&lt;&gt;""),I430,"")</f>
        <v/>
      </c>
      <c r="V430" s="79">
        <f>IF(U430="","",IF(U430&lt;AsOf,1,IF(U430&lt;=AsOf+AlertDays,2,IF(U430&lt;=AsOf+2*AlertDays,3,""))))</f>
        <v/>
      </c>
      <c r="W430" s="79">
        <f>IF(V430="","",IF(O430="OVERDUE","Overdue payment: ","Payment due: ")&amp;B430&amp;" — "&amp;C430&amp;" ("&amp;CurSym&amp;" "&amp;FIXED(S430,0)&amp;")")</f>
        <v/>
      </c>
      <c r="Z430" s="116">
        <f>IF('Contractors'!B430="","",'Contractors'!B430)</f>
        <v/>
      </c>
      <c r="AA430" s="77">
        <f>IF(Z430="","",'Contractors'!K430)</f>
        <v/>
      </c>
      <c r="AB430" s="77">
        <f>IF(Z430="","",SUMIFS($L$6:$L$1005,$B$6:$B$1005,Z430))</f>
        <v/>
      </c>
      <c r="AC430" s="77">
        <f>IF(Z430="","",SUMIFS($N$6:$N$1005,$B$6:$B$1005,Z430))</f>
        <v/>
      </c>
      <c r="AD430" s="76">
        <f>IF(Z430="","",AA430-AC430)</f>
        <v/>
      </c>
      <c r="AE430" s="117">
        <f>IF(Z430="","",IFERROR(1/SUMPRODUCT(MAX(($B$6:$B$1005=Z430)*$T$6:$T$1005)),""))</f>
        <v/>
      </c>
      <c r="AF430" s="77">
        <f>IF(AE430="","",SUMIFS($S$6:$S$1005,$B$6:$B$1005,Z430,$I$6:$I$1005,AE430))</f>
        <v/>
      </c>
    </row>
    <row r="431" ht="20" customHeight="1">
      <c r="B431" s="72" t="n"/>
      <c r="C431" s="72" t="n"/>
      <c r="D431" s="72" t="n"/>
      <c r="E431" s="72" t="n"/>
      <c r="F431" s="110" t="n"/>
      <c r="G431" s="73" t="n"/>
      <c r="H431" s="75">
        <f>IF(B431="","",IF(G431&lt;&gt;"",G431,IF(F431&lt;&gt;"",F431*IFERROR(INDEX('Contractors'!$I$6:$I$1005,MATCH(B431,'Contractors'!$B$6:$B$1005,0)),0),"")))</f>
        <v/>
      </c>
      <c r="I431" s="109" t="n"/>
      <c r="J431" s="72" t="n"/>
      <c r="K431" s="109" t="n"/>
      <c r="L431" s="73" t="n"/>
      <c r="M431" s="109" t="n"/>
      <c r="N431" s="73" t="n"/>
      <c r="O431" s="107">
        <f>IF(B431="","",IF(M431&lt;&gt;"","Paid",IF(AND(I431&lt;&gt;"",I431&lt;AsOf),"OVERDUE",IF(OR(K431&lt;&gt;"",L431&lt;&gt;""),"Invoiced","Scheduled"))))</f>
        <v/>
      </c>
      <c r="P431" s="115">
        <f>IF(B431="","",IF(E431&lt;&gt;"",E431,IFERROR(INDEX('Contractors'!$D$6:$D$1005,MATCH(B431,'Contractors'!$B$6:$B$1005,0)),"")))</f>
        <v/>
      </c>
      <c r="Q431" s="79">
        <f>IF(B431="","",IF(D431&lt;&gt;"",D431,IFERROR(INDEX('Contractors'!$E$6:$E$1005,MATCH(B431,'Contractors'!$B$6:$B$1005,0)),"")))</f>
        <v/>
      </c>
      <c r="R431" s="79">
        <f>IF(O431="","",IF(O431="OVERDUE",2,IF(O431="Paid",0,IF(AND(I431&lt;&gt;"",I431&lt;=AsOf+AlertDays),1,0))))</f>
        <v/>
      </c>
      <c r="S431" s="79">
        <f>IF(AND(B431&lt;&gt;"",M431="",I431&lt;&gt;""),IF(L431&lt;&gt;"",L431,IF(H431="",0,H431)),0)</f>
        <v/>
      </c>
      <c r="T431" s="79">
        <f>IF(AND(B431&lt;&gt;"",M431="",I431&lt;&gt;""),1/I431,0)</f>
        <v/>
      </c>
      <c r="U431" s="112">
        <f>IF(AND(B431&lt;&gt;"",M431="",I431&lt;&gt;""),I431,"")</f>
        <v/>
      </c>
      <c r="V431" s="79">
        <f>IF(U431="","",IF(U431&lt;AsOf,1,IF(U431&lt;=AsOf+AlertDays,2,IF(U431&lt;=AsOf+2*AlertDays,3,""))))</f>
        <v/>
      </c>
      <c r="W431" s="79">
        <f>IF(V431="","",IF(O431="OVERDUE","Overdue payment: ","Payment due: ")&amp;B431&amp;" — "&amp;C431&amp;" ("&amp;CurSym&amp;" "&amp;FIXED(S431,0)&amp;")")</f>
        <v/>
      </c>
      <c r="Z431" s="116">
        <f>IF('Contractors'!B431="","",'Contractors'!B431)</f>
        <v/>
      </c>
      <c r="AA431" s="77">
        <f>IF(Z431="","",'Contractors'!K431)</f>
        <v/>
      </c>
      <c r="AB431" s="77">
        <f>IF(Z431="","",SUMIFS($L$6:$L$1005,$B$6:$B$1005,Z431))</f>
        <v/>
      </c>
      <c r="AC431" s="77">
        <f>IF(Z431="","",SUMIFS($N$6:$N$1005,$B$6:$B$1005,Z431))</f>
        <v/>
      </c>
      <c r="AD431" s="76">
        <f>IF(Z431="","",AA431-AC431)</f>
        <v/>
      </c>
      <c r="AE431" s="117">
        <f>IF(Z431="","",IFERROR(1/SUMPRODUCT(MAX(($B$6:$B$1005=Z431)*$T$6:$T$1005)),""))</f>
        <v/>
      </c>
      <c r="AF431" s="77">
        <f>IF(AE431="","",SUMIFS($S$6:$S$1005,$B$6:$B$1005,Z431,$I$6:$I$1005,AE431))</f>
        <v/>
      </c>
    </row>
    <row r="432" ht="20" customHeight="1">
      <c r="B432" s="72" t="n"/>
      <c r="C432" s="72" t="n"/>
      <c r="D432" s="72" t="n"/>
      <c r="E432" s="72" t="n"/>
      <c r="F432" s="110" t="n"/>
      <c r="G432" s="73" t="n"/>
      <c r="H432" s="75">
        <f>IF(B432="","",IF(G432&lt;&gt;"",G432,IF(F432&lt;&gt;"",F432*IFERROR(INDEX('Contractors'!$I$6:$I$1005,MATCH(B432,'Contractors'!$B$6:$B$1005,0)),0),"")))</f>
        <v/>
      </c>
      <c r="I432" s="109" t="n"/>
      <c r="J432" s="72" t="n"/>
      <c r="K432" s="109" t="n"/>
      <c r="L432" s="73" t="n"/>
      <c r="M432" s="109" t="n"/>
      <c r="N432" s="73" t="n"/>
      <c r="O432" s="107">
        <f>IF(B432="","",IF(M432&lt;&gt;"","Paid",IF(AND(I432&lt;&gt;"",I432&lt;AsOf),"OVERDUE",IF(OR(K432&lt;&gt;"",L432&lt;&gt;""),"Invoiced","Scheduled"))))</f>
        <v/>
      </c>
      <c r="P432" s="115">
        <f>IF(B432="","",IF(E432&lt;&gt;"",E432,IFERROR(INDEX('Contractors'!$D$6:$D$1005,MATCH(B432,'Contractors'!$B$6:$B$1005,0)),"")))</f>
        <v/>
      </c>
      <c r="Q432" s="79">
        <f>IF(B432="","",IF(D432&lt;&gt;"",D432,IFERROR(INDEX('Contractors'!$E$6:$E$1005,MATCH(B432,'Contractors'!$B$6:$B$1005,0)),"")))</f>
        <v/>
      </c>
      <c r="R432" s="79">
        <f>IF(O432="","",IF(O432="OVERDUE",2,IF(O432="Paid",0,IF(AND(I432&lt;&gt;"",I432&lt;=AsOf+AlertDays),1,0))))</f>
        <v/>
      </c>
      <c r="S432" s="79">
        <f>IF(AND(B432&lt;&gt;"",M432="",I432&lt;&gt;""),IF(L432&lt;&gt;"",L432,IF(H432="",0,H432)),0)</f>
        <v/>
      </c>
      <c r="T432" s="79">
        <f>IF(AND(B432&lt;&gt;"",M432="",I432&lt;&gt;""),1/I432,0)</f>
        <v/>
      </c>
      <c r="U432" s="112">
        <f>IF(AND(B432&lt;&gt;"",M432="",I432&lt;&gt;""),I432,"")</f>
        <v/>
      </c>
      <c r="V432" s="79">
        <f>IF(U432="","",IF(U432&lt;AsOf,1,IF(U432&lt;=AsOf+AlertDays,2,IF(U432&lt;=AsOf+2*AlertDays,3,""))))</f>
        <v/>
      </c>
      <c r="W432" s="79">
        <f>IF(V432="","",IF(O432="OVERDUE","Overdue payment: ","Payment due: ")&amp;B432&amp;" — "&amp;C432&amp;" ("&amp;CurSym&amp;" "&amp;FIXED(S432,0)&amp;")")</f>
        <v/>
      </c>
      <c r="Z432" s="116">
        <f>IF('Contractors'!B432="","",'Contractors'!B432)</f>
        <v/>
      </c>
      <c r="AA432" s="77">
        <f>IF(Z432="","",'Contractors'!K432)</f>
        <v/>
      </c>
      <c r="AB432" s="77">
        <f>IF(Z432="","",SUMIFS($L$6:$L$1005,$B$6:$B$1005,Z432))</f>
        <v/>
      </c>
      <c r="AC432" s="77">
        <f>IF(Z432="","",SUMIFS($N$6:$N$1005,$B$6:$B$1005,Z432))</f>
        <v/>
      </c>
      <c r="AD432" s="76">
        <f>IF(Z432="","",AA432-AC432)</f>
        <v/>
      </c>
      <c r="AE432" s="117">
        <f>IF(Z432="","",IFERROR(1/SUMPRODUCT(MAX(($B$6:$B$1005=Z432)*$T$6:$T$1005)),""))</f>
        <v/>
      </c>
      <c r="AF432" s="77">
        <f>IF(AE432="","",SUMIFS($S$6:$S$1005,$B$6:$B$1005,Z432,$I$6:$I$1005,AE432))</f>
        <v/>
      </c>
    </row>
    <row r="433" ht="20" customHeight="1">
      <c r="B433" s="72" t="n"/>
      <c r="C433" s="72" t="n"/>
      <c r="D433" s="72" t="n"/>
      <c r="E433" s="72" t="n"/>
      <c r="F433" s="110" t="n"/>
      <c r="G433" s="73" t="n"/>
      <c r="H433" s="75">
        <f>IF(B433="","",IF(G433&lt;&gt;"",G433,IF(F433&lt;&gt;"",F433*IFERROR(INDEX('Contractors'!$I$6:$I$1005,MATCH(B433,'Contractors'!$B$6:$B$1005,0)),0),"")))</f>
        <v/>
      </c>
      <c r="I433" s="109" t="n"/>
      <c r="J433" s="72" t="n"/>
      <c r="K433" s="109" t="n"/>
      <c r="L433" s="73" t="n"/>
      <c r="M433" s="109" t="n"/>
      <c r="N433" s="73" t="n"/>
      <c r="O433" s="107">
        <f>IF(B433="","",IF(M433&lt;&gt;"","Paid",IF(AND(I433&lt;&gt;"",I433&lt;AsOf),"OVERDUE",IF(OR(K433&lt;&gt;"",L433&lt;&gt;""),"Invoiced","Scheduled"))))</f>
        <v/>
      </c>
      <c r="P433" s="115">
        <f>IF(B433="","",IF(E433&lt;&gt;"",E433,IFERROR(INDEX('Contractors'!$D$6:$D$1005,MATCH(B433,'Contractors'!$B$6:$B$1005,0)),"")))</f>
        <v/>
      </c>
      <c r="Q433" s="79">
        <f>IF(B433="","",IF(D433&lt;&gt;"",D433,IFERROR(INDEX('Contractors'!$E$6:$E$1005,MATCH(B433,'Contractors'!$B$6:$B$1005,0)),"")))</f>
        <v/>
      </c>
      <c r="R433" s="79">
        <f>IF(O433="","",IF(O433="OVERDUE",2,IF(O433="Paid",0,IF(AND(I433&lt;&gt;"",I433&lt;=AsOf+AlertDays),1,0))))</f>
        <v/>
      </c>
      <c r="S433" s="79">
        <f>IF(AND(B433&lt;&gt;"",M433="",I433&lt;&gt;""),IF(L433&lt;&gt;"",L433,IF(H433="",0,H433)),0)</f>
        <v/>
      </c>
      <c r="T433" s="79">
        <f>IF(AND(B433&lt;&gt;"",M433="",I433&lt;&gt;""),1/I433,0)</f>
        <v/>
      </c>
      <c r="U433" s="112">
        <f>IF(AND(B433&lt;&gt;"",M433="",I433&lt;&gt;""),I433,"")</f>
        <v/>
      </c>
      <c r="V433" s="79">
        <f>IF(U433="","",IF(U433&lt;AsOf,1,IF(U433&lt;=AsOf+AlertDays,2,IF(U433&lt;=AsOf+2*AlertDays,3,""))))</f>
        <v/>
      </c>
      <c r="W433" s="79">
        <f>IF(V433="","",IF(O433="OVERDUE","Overdue payment: ","Payment due: ")&amp;B433&amp;" — "&amp;C433&amp;" ("&amp;CurSym&amp;" "&amp;FIXED(S433,0)&amp;")")</f>
        <v/>
      </c>
      <c r="Z433" s="116">
        <f>IF('Contractors'!B433="","",'Contractors'!B433)</f>
        <v/>
      </c>
      <c r="AA433" s="77">
        <f>IF(Z433="","",'Contractors'!K433)</f>
        <v/>
      </c>
      <c r="AB433" s="77">
        <f>IF(Z433="","",SUMIFS($L$6:$L$1005,$B$6:$B$1005,Z433))</f>
        <v/>
      </c>
      <c r="AC433" s="77">
        <f>IF(Z433="","",SUMIFS($N$6:$N$1005,$B$6:$B$1005,Z433))</f>
        <v/>
      </c>
      <c r="AD433" s="76">
        <f>IF(Z433="","",AA433-AC433)</f>
        <v/>
      </c>
      <c r="AE433" s="117">
        <f>IF(Z433="","",IFERROR(1/SUMPRODUCT(MAX(($B$6:$B$1005=Z433)*$T$6:$T$1005)),""))</f>
        <v/>
      </c>
      <c r="AF433" s="77">
        <f>IF(AE433="","",SUMIFS($S$6:$S$1005,$B$6:$B$1005,Z433,$I$6:$I$1005,AE433))</f>
        <v/>
      </c>
    </row>
    <row r="434" ht="20" customHeight="1">
      <c r="B434" s="72" t="n"/>
      <c r="C434" s="72" t="n"/>
      <c r="D434" s="72" t="n"/>
      <c r="E434" s="72" t="n"/>
      <c r="F434" s="110" t="n"/>
      <c r="G434" s="73" t="n"/>
      <c r="H434" s="75">
        <f>IF(B434="","",IF(G434&lt;&gt;"",G434,IF(F434&lt;&gt;"",F434*IFERROR(INDEX('Contractors'!$I$6:$I$1005,MATCH(B434,'Contractors'!$B$6:$B$1005,0)),0),"")))</f>
        <v/>
      </c>
      <c r="I434" s="109" t="n"/>
      <c r="J434" s="72" t="n"/>
      <c r="K434" s="109" t="n"/>
      <c r="L434" s="73" t="n"/>
      <c r="M434" s="109" t="n"/>
      <c r="N434" s="73" t="n"/>
      <c r="O434" s="107">
        <f>IF(B434="","",IF(M434&lt;&gt;"","Paid",IF(AND(I434&lt;&gt;"",I434&lt;AsOf),"OVERDUE",IF(OR(K434&lt;&gt;"",L434&lt;&gt;""),"Invoiced","Scheduled"))))</f>
        <v/>
      </c>
      <c r="P434" s="115">
        <f>IF(B434="","",IF(E434&lt;&gt;"",E434,IFERROR(INDEX('Contractors'!$D$6:$D$1005,MATCH(B434,'Contractors'!$B$6:$B$1005,0)),"")))</f>
        <v/>
      </c>
      <c r="Q434" s="79">
        <f>IF(B434="","",IF(D434&lt;&gt;"",D434,IFERROR(INDEX('Contractors'!$E$6:$E$1005,MATCH(B434,'Contractors'!$B$6:$B$1005,0)),"")))</f>
        <v/>
      </c>
      <c r="R434" s="79">
        <f>IF(O434="","",IF(O434="OVERDUE",2,IF(O434="Paid",0,IF(AND(I434&lt;&gt;"",I434&lt;=AsOf+AlertDays),1,0))))</f>
        <v/>
      </c>
      <c r="S434" s="79">
        <f>IF(AND(B434&lt;&gt;"",M434="",I434&lt;&gt;""),IF(L434&lt;&gt;"",L434,IF(H434="",0,H434)),0)</f>
        <v/>
      </c>
      <c r="T434" s="79">
        <f>IF(AND(B434&lt;&gt;"",M434="",I434&lt;&gt;""),1/I434,0)</f>
        <v/>
      </c>
      <c r="U434" s="112">
        <f>IF(AND(B434&lt;&gt;"",M434="",I434&lt;&gt;""),I434,"")</f>
        <v/>
      </c>
      <c r="V434" s="79">
        <f>IF(U434="","",IF(U434&lt;AsOf,1,IF(U434&lt;=AsOf+AlertDays,2,IF(U434&lt;=AsOf+2*AlertDays,3,""))))</f>
        <v/>
      </c>
      <c r="W434" s="79">
        <f>IF(V434="","",IF(O434="OVERDUE","Overdue payment: ","Payment due: ")&amp;B434&amp;" — "&amp;C434&amp;" ("&amp;CurSym&amp;" "&amp;FIXED(S434,0)&amp;")")</f>
        <v/>
      </c>
      <c r="Z434" s="116">
        <f>IF('Contractors'!B434="","",'Contractors'!B434)</f>
        <v/>
      </c>
      <c r="AA434" s="77">
        <f>IF(Z434="","",'Contractors'!K434)</f>
        <v/>
      </c>
      <c r="AB434" s="77">
        <f>IF(Z434="","",SUMIFS($L$6:$L$1005,$B$6:$B$1005,Z434))</f>
        <v/>
      </c>
      <c r="AC434" s="77">
        <f>IF(Z434="","",SUMIFS($N$6:$N$1005,$B$6:$B$1005,Z434))</f>
        <v/>
      </c>
      <c r="AD434" s="76">
        <f>IF(Z434="","",AA434-AC434)</f>
        <v/>
      </c>
      <c r="AE434" s="117">
        <f>IF(Z434="","",IFERROR(1/SUMPRODUCT(MAX(($B$6:$B$1005=Z434)*$T$6:$T$1005)),""))</f>
        <v/>
      </c>
      <c r="AF434" s="77">
        <f>IF(AE434="","",SUMIFS($S$6:$S$1005,$B$6:$B$1005,Z434,$I$6:$I$1005,AE434))</f>
        <v/>
      </c>
    </row>
    <row r="435" ht="20" customHeight="1">
      <c r="B435" s="72" t="n"/>
      <c r="C435" s="72" t="n"/>
      <c r="D435" s="72" t="n"/>
      <c r="E435" s="72" t="n"/>
      <c r="F435" s="110" t="n"/>
      <c r="G435" s="73" t="n"/>
      <c r="H435" s="75">
        <f>IF(B435="","",IF(G435&lt;&gt;"",G435,IF(F435&lt;&gt;"",F435*IFERROR(INDEX('Contractors'!$I$6:$I$1005,MATCH(B435,'Contractors'!$B$6:$B$1005,0)),0),"")))</f>
        <v/>
      </c>
      <c r="I435" s="109" t="n"/>
      <c r="J435" s="72" t="n"/>
      <c r="K435" s="109" t="n"/>
      <c r="L435" s="73" t="n"/>
      <c r="M435" s="109" t="n"/>
      <c r="N435" s="73" t="n"/>
      <c r="O435" s="107">
        <f>IF(B435="","",IF(M435&lt;&gt;"","Paid",IF(AND(I435&lt;&gt;"",I435&lt;AsOf),"OVERDUE",IF(OR(K435&lt;&gt;"",L435&lt;&gt;""),"Invoiced","Scheduled"))))</f>
        <v/>
      </c>
      <c r="P435" s="115">
        <f>IF(B435="","",IF(E435&lt;&gt;"",E435,IFERROR(INDEX('Contractors'!$D$6:$D$1005,MATCH(B435,'Contractors'!$B$6:$B$1005,0)),"")))</f>
        <v/>
      </c>
      <c r="Q435" s="79">
        <f>IF(B435="","",IF(D435&lt;&gt;"",D435,IFERROR(INDEX('Contractors'!$E$6:$E$1005,MATCH(B435,'Contractors'!$B$6:$B$1005,0)),"")))</f>
        <v/>
      </c>
      <c r="R435" s="79">
        <f>IF(O435="","",IF(O435="OVERDUE",2,IF(O435="Paid",0,IF(AND(I435&lt;&gt;"",I435&lt;=AsOf+AlertDays),1,0))))</f>
        <v/>
      </c>
      <c r="S435" s="79">
        <f>IF(AND(B435&lt;&gt;"",M435="",I435&lt;&gt;""),IF(L435&lt;&gt;"",L435,IF(H435="",0,H435)),0)</f>
        <v/>
      </c>
      <c r="T435" s="79">
        <f>IF(AND(B435&lt;&gt;"",M435="",I435&lt;&gt;""),1/I435,0)</f>
        <v/>
      </c>
      <c r="U435" s="112">
        <f>IF(AND(B435&lt;&gt;"",M435="",I435&lt;&gt;""),I435,"")</f>
        <v/>
      </c>
      <c r="V435" s="79">
        <f>IF(U435="","",IF(U435&lt;AsOf,1,IF(U435&lt;=AsOf+AlertDays,2,IF(U435&lt;=AsOf+2*AlertDays,3,""))))</f>
        <v/>
      </c>
      <c r="W435" s="79">
        <f>IF(V435="","",IF(O435="OVERDUE","Overdue payment: ","Payment due: ")&amp;B435&amp;" — "&amp;C435&amp;" ("&amp;CurSym&amp;" "&amp;FIXED(S435,0)&amp;")")</f>
        <v/>
      </c>
      <c r="Z435" s="116">
        <f>IF('Contractors'!B435="","",'Contractors'!B435)</f>
        <v/>
      </c>
      <c r="AA435" s="77">
        <f>IF(Z435="","",'Contractors'!K435)</f>
        <v/>
      </c>
      <c r="AB435" s="77">
        <f>IF(Z435="","",SUMIFS($L$6:$L$1005,$B$6:$B$1005,Z435))</f>
        <v/>
      </c>
      <c r="AC435" s="77">
        <f>IF(Z435="","",SUMIFS($N$6:$N$1005,$B$6:$B$1005,Z435))</f>
        <v/>
      </c>
      <c r="AD435" s="76">
        <f>IF(Z435="","",AA435-AC435)</f>
        <v/>
      </c>
      <c r="AE435" s="117">
        <f>IF(Z435="","",IFERROR(1/SUMPRODUCT(MAX(($B$6:$B$1005=Z435)*$T$6:$T$1005)),""))</f>
        <v/>
      </c>
      <c r="AF435" s="77">
        <f>IF(AE435="","",SUMIFS($S$6:$S$1005,$B$6:$B$1005,Z435,$I$6:$I$1005,AE435))</f>
        <v/>
      </c>
    </row>
    <row r="436" ht="20" customHeight="1">
      <c r="B436" s="72" t="n"/>
      <c r="C436" s="72" t="n"/>
      <c r="D436" s="72" t="n"/>
      <c r="E436" s="72" t="n"/>
      <c r="F436" s="110" t="n"/>
      <c r="G436" s="73" t="n"/>
      <c r="H436" s="75">
        <f>IF(B436="","",IF(G436&lt;&gt;"",G436,IF(F436&lt;&gt;"",F436*IFERROR(INDEX('Contractors'!$I$6:$I$1005,MATCH(B436,'Contractors'!$B$6:$B$1005,0)),0),"")))</f>
        <v/>
      </c>
      <c r="I436" s="109" t="n"/>
      <c r="J436" s="72" t="n"/>
      <c r="K436" s="109" t="n"/>
      <c r="L436" s="73" t="n"/>
      <c r="M436" s="109" t="n"/>
      <c r="N436" s="73" t="n"/>
      <c r="O436" s="107">
        <f>IF(B436="","",IF(M436&lt;&gt;"","Paid",IF(AND(I436&lt;&gt;"",I436&lt;AsOf),"OVERDUE",IF(OR(K436&lt;&gt;"",L436&lt;&gt;""),"Invoiced","Scheduled"))))</f>
        <v/>
      </c>
      <c r="P436" s="115">
        <f>IF(B436="","",IF(E436&lt;&gt;"",E436,IFERROR(INDEX('Contractors'!$D$6:$D$1005,MATCH(B436,'Contractors'!$B$6:$B$1005,0)),"")))</f>
        <v/>
      </c>
      <c r="Q436" s="79">
        <f>IF(B436="","",IF(D436&lt;&gt;"",D436,IFERROR(INDEX('Contractors'!$E$6:$E$1005,MATCH(B436,'Contractors'!$B$6:$B$1005,0)),"")))</f>
        <v/>
      </c>
      <c r="R436" s="79">
        <f>IF(O436="","",IF(O436="OVERDUE",2,IF(O436="Paid",0,IF(AND(I436&lt;&gt;"",I436&lt;=AsOf+AlertDays),1,0))))</f>
        <v/>
      </c>
      <c r="S436" s="79">
        <f>IF(AND(B436&lt;&gt;"",M436="",I436&lt;&gt;""),IF(L436&lt;&gt;"",L436,IF(H436="",0,H436)),0)</f>
        <v/>
      </c>
      <c r="T436" s="79">
        <f>IF(AND(B436&lt;&gt;"",M436="",I436&lt;&gt;""),1/I436,0)</f>
        <v/>
      </c>
      <c r="U436" s="112">
        <f>IF(AND(B436&lt;&gt;"",M436="",I436&lt;&gt;""),I436,"")</f>
        <v/>
      </c>
      <c r="V436" s="79">
        <f>IF(U436="","",IF(U436&lt;AsOf,1,IF(U436&lt;=AsOf+AlertDays,2,IF(U436&lt;=AsOf+2*AlertDays,3,""))))</f>
        <v/>
      </c>
      <c r="W436" s="79">
        <f>IF(V436="","",IF(O436="OVERDUE","Overdue payment: ","Payment due: ")&amp;B436&amp;" — "&amp;C436&amp;" ("&amp;CurSym&amp;" "&amp;FIXED(S436,0)&amp;")")</f>
        <v/>
      </c>
      <c r="Z436" s="116">
        <f>IF('Contractors'!B436="","",'Contractors'!B436)</f>
        <v/>
      </c>
      <c r="AA436" s="77">
        <f>IF(Z436="","",'Contractors'!K436)</f>
        <v/>
      </c>
      <c r="AB436" s="77">
        <f>IF(Z436="","",SUMIFS($L$6:$L$1005,$B$6:$B$1005,Z436))</f>
        <v/>
      </c>
      <c r="AC436" s="77">
        <f>IF(Z436="","",SUMIFS($N$6:$N$1005,$B$6:$B$1005,Z436))</f>
        <v/>
      </c>
      <c r="AD436" s="76">
        <f>IF(Z436="","",AA436-AC436)</f>
        <v/>
      </c>
      <c r="AE436" s="117">
        <f>IF(Z436="","",IFERROR(1/SUMPRODUCT(MAX(($B$6:$B$1005=Z436)*$T$6:$T$1005)),""))</f>
        <v/>
      </c>
      <c r="AF436" s="77">
        <f>IF(AE436="","",SUMIFS($S$6:$S$1005,$B$6:$B$1005,Z436,$I$6:$I$1005,AE436))</f>
        <v/>
      </c>
    </row>
    <row r="437" ht="20" customHeight="1">
      <c r="B437" s="72" t="n"/>
      <c r="C437" s="72" t="n"/>
      <c r="D437" s="72" t="n"/>
      <c r="E437" s="72" t="n"/>
      <c r="F437" s="110" t="n"/>
      <c r="G437" s="73" t="n"/>
      <c r="H437" s="75">
        <f>IF(B437="","",IF(G437&lt;&gt;"",G437,IF(F437&lt;&gt;"",F437*IFERROR(INDEX('Contractors'!$I$6:$I$1005,MATCH(B437,'Contractors'!$B$6:$B$1005,0)),0),"")))</f>
        <v/>
      </c>
      <c r="I437" s="109" t="n"/>
      <c r="J437" s="72" t="n"/>
      <c r="K437" s="109" t="n"/>
      <c r="L437" s="73" t="n"/>
      <c r="M437" s="109" t="n"/>
      <c r="N437" s="73" t="n"/>
      <c r="O437" s="107">
        <f>IF(B437="","",IF(M437&lt;&gt;"","Paid",IF(AND(I437&lt;&gt;"",I437&lt;AsOf),"OVERDUE",IF(OR(K437&lt;&gt;"",L437&lt;&gt;""),"Invoiced","Scheduled"))))</f>
        <v/>
      </c>
      <c r="P437" s="115">
        <f>IF(B437="","",IF(E437&lt;&gt;"",E437,IFERROR(INDEX('Contractors'!$D$6:$D$1005,MATCH(B437,'Contractors'!$B$6:$B$1005,0)),"")))</f>
        <v/>
      </c>
      <c r="Q437" s="79">
        <f>IF(B437="","",IF(D437&lt;&gt;"",D437,IFERROR(INDEX('Contractors'!$E$6:$E$1005,MATCH(B437,'Contractors'!$B$6:$B$1005,0)),"")))</f>
        <v/>
      </c>
      <c r="R437" s="79">
        <f>IF(O437="","",IF(O437="OVERDUE",2,IF(O437="Paid",0,IF(AND(I437&lt;&gt;"",I437&lt;=AsOf+AlertDays),1,0))))</f>
        <v/>
      </c>
      <c r="S437" s="79">
        <f>IF(AND(B437&lt;&gt;"",M437="",I437&lt;&gt;""),IF(L437&lt;&gt;"",L437,IF(H437="",0,H437)),0)</f>
        <v/>
      </c>
      <c r="T437" s="79">
        <f>IF(AND(B437&lt;&gt;"",M437="",I437&lt;&gt;""),1/I437,0)</f>
        <v/>
      </c>
      <c r="U437" s="112">
        <f>IF(AND(B437&lt;&gt;"",M437="",I437&lt;&gt;""),I437,"")</f>
        <v/>
      </c>
      <c r="V437" s="79">
        <f>IF(U437="","",IF(U437&lt;AsOf,1,IF(U437&lt;=AsOf+AlertDays,2,IF(U437&lt;=AsOf+2*AlertDays,3,""))))</f>
        <v/>
      </c>
      <c r="W437" s="79">
        <f>IF(V437="","",IF(O437="OVERDUE","Overdue payment: ","Payment due: ")&amp;B437&amp;" — "&amp;C437&amp;" ("&amp;CurSym&amp;" "&amp;FIXED(S437,0)&amp;")")</f>
        <v/>
      </c>
      <c r="Z437" s="116">
        <f>IF('Contractors'!B437="","",'Contractors'!B437)</f>
        <v/>
      </c>
      <c r="AA437" s="77">
        <f>IF(Z437="","",'Contractors'!K437)</f>
        <v/>
      </c>
      <c r="AB437" s="77">
        <f>IF(Z437="","",SUMIFS($L$6:$L$1005,$B$6:$B$1005,Z437))</f>
        <v/>
      </c>
      <c r="AC437" s="77">
        <f>IF(Z437="","",SUMIFS($N$6:$N$1005,$B$6:$B$1005,Z437))</f>
        <v/>
      </c>
      <c r="AD437" s="76">
        <f>IF(Z437="","",AA437-AC437)</f>
        <v/>
      </c>
      <c r="AE437" s="117">
        <f>IF(Z437="","",IFERROR(1/SUMPRODUCT(MAX(($B$6:$B$1005=Z437)*$T$6:$T$1005)),""))</f>
        <v/>
      </c>
      <c r="AF437" s="77">
        <f>IF(AE437="","",SUMIFS($S$6:$S$1005,$B$6:$B$1005,Z437,$I$6:$I$1005,AE437))</f>
        <v/>
      </c>
    </row>
    <row r="438" ht="20" customHeight="1">
      <c r="B438" s="72" t="n"/>
      <c r="C438" s="72" t="n"/>
      <c r="D438" s="72" t="n"/>
      <c r="E438" s="72" t="n"/>
      <c r="F438" s="110" t="n"/>
      <c r="G438" s="73" t="n"/>
      <c r="H438" s="75">
        <f>IF(B438="","",IF(G438&lt;&gt;"",G438,IF(F438&lt;&gt;"",F438*IFERROR(INDEX('Contractors'!$I$6:$I$1005,MATCH(B438,'Contractors'!$B$6:$B$1005,0)),0),"")))</f>
        <v/>
      </c>
      <c r="I438" s="109" t="n"/>
      <c r="J438" s="72" t="n"/>
      <c r="K438" s="109" t="n"/>
      <c r="L438" s="73" t="n"/>
      <c r="M438" s="109" t="n"/>
      <c r="N438" s="73" t="n"/>
      <c r="O438" s="107">
        <f>IF(B438="","",IF(M438&lt;&gt;"","Paid",IF(AND(I438&lt;&gt;"",I438&lt;AsOf),"OVERDUE",IF(OR(K438&lt;&gt;"",L438&lt;&gt;""),"Invoiced","Scheduled"))))</f>
        <v/>
      </c>
      <c r="P438" s="115">
        <f>IF(B438="","",IF(E438&lt;&gt;"",E438,IFERROR(INDEX('Contractors'!$D$6:$D$1005,MATCH(B438,'Contractors'!$B$6:$B$1005,0)),"")))</f>
        <v/>
      </c>
      <c r="Q438" s="79">
        <f>IF(B438="","",IF(D438&lt;&gt;"",D438,IFERROR(INDEX('Contractors'!$E$6:$E$1005,MATCH(B438,'Contractors'!$B$6:$B$1005,0)),"")))</f>
        <v/>
      </c>
      <c r="R438" s="79">
        <f>IF(O438="","",IF(O438="OVERDUE",2,IF(O438="Paid",0,IF(AND(I438&lt;&gt;"",I438&lt;=AsOf+AlertDays),1,0))))</f>
        <v/>
      </c>
      <c r="S438" s="79">
        <f>IF(AND(B438&lt;&gt;"",M438="",I438&lt;&gt;""),IF(L438&lt;&gt;"",L438,IF(H438="",0,H438)),0)</f>
        <v/>
      </c>
      <c r="T438" s="79">
        <f>IF(AND(B438&lt;&gt;"",M438="",I438&lt;&gt;""),1/I438,0)</f>
        <v/>
      </c>
      <c r="U438" s="112">
        <f>IF(AND(B438&lt;&gt;"",M438="",I438&lt;&gt;""),I438,"")</f>
        <v/>
      </c>
      <c r="V438" s="79">
        <f>IF(U438="","",IF(U438&lt;AsOf,1,IF(U438&lt;=AsOf+AlertDays,2,IF(U438&lt;=AsOf+2*AlertDays,3,""))))</f>
        <v/>
      </c>
      <c r="W438" s="79">
        <f>IF(V438="","",IF(O438="OVERDUE","Overdue payment: ","Payment due: ")&amp;B438&amp;" — "&amp;C438&amp;" ("&amp;CurSym&amp;" "&amp;FIXED(S438,0)&amp;")")</f>
        <v/>
      </c>
      <c r="Z438" s="116">
        <f>IF('Contractors'!B438="","",'Contractors'!B438)</f>
        <v/>
      </c>
      <c r="AA438" s="77">
        <f>IF(Z438="","",'Contractors'!K438)</f>
        <v/>
      </c>
      <c r="AB438" s="77">
        <f>IF(Z438="","",SUMIFS($L$6:$L$1005,$B$6:$B$1005,Z438))</f>
        <v/>
      </c>
      <c r="AC438" s="77">
        <f>IF(Z438="","",SUMIFS($N$6:$N$1005,$B$6:$B$1005,Z438))</f>
        <v/>
      </c>
      <c r="AD438" s="76">
        <f>IF(Z438="","",AA438-AC438)</f>
        <v/>
      </c>
      <c r="AE438" s="117">
        <f>IF(Z438="","",IFERROR(1/SUMPRODUCT(MAX(($B$6:$B$1005=Z438)*$T$6:$T$1005)),""))</f>
        <v/>
      </c>
      <c r="AF438" s="77">
        <f>IF(AE438="","",SUMIFS($S$6:$S$1005,$B$6:$B$1005,Z438,$I$6:$I$1005,AE438))</f>
        <v/>
      </c>
    </row>
    <row r="439" ht="20" customHeight="1">
      <c r="B439" s="72" t="n"/>
      <c r="C439" s="72" t="n"/>
      <c r="D439" s="72" t="n"/>
      <c r="E439" s="72" t="n"/>
      <c r="F439" s="110" t="n"/>
      <c r="G439" s="73" t="n"/>
      <c r="H439" s="75">
        <f>IF(B439="","",IF(G439&lt;&gt;"",G439,IF(F439&lt;&gt;"",F439*IFERROR(INDEX('Contractors'!$I$6:$I$1005,MATCH(B439,'Contractors'!$B$6:$B$1005,0)),0),"")))</f>
        <v/>
      </c>
      <c r="I439" s="109" t="n"/>
      <c r="J439" s="72" t="n"/>
      <c r="K439" s="109" t="n"/>
      <c r="L439" s="73" t="n"/>
      <c r="M439" s="109" t="n"/>
      <c r="N439" s="73" t="n"/>
      <c r="O439" s="107">
        <f>IF(B439="","",IF(M439&lt;&gt;"","Paid",IF(AND(I439&lt;&gt;"",I439&lt;AsOf),"OVERDUE",IF(OR(K439&lt;&gt;"",L439&lt;&gt;""),"Invoiced","Scheduled"))))</f>
        <v/>
      </c>
      <c r="P439" s="115">
        <f>IF(B439="","",IF(E439&lt;&gt;"",E439,IFERROR(INDEX('Contractors'!$D$6:$D$1005,MATCH(B439,'Contractors'!$B$6:$B$1005,0)),"")))</f>
        <v/>
      </c>
      <c r="Q439" s="79">
        <f>IF(B439="","",IF(D439&lt;&gt;"",D439,IFERROR(INDEX('Contractors'!$E$6:$E$1005,MATCH(B439,'Contractors'!$B$6:$B$1005,0)),"")))</f>
        <v/>
      </c>
      <c r="R439" s="79">
        <f>IF(O439="","",IF(O439="OVERDUE",2,IF(O439="Paid",0,IF(AND(I439&lt;&gt;"",I439&lt;=AsOf+AlertDays),1,0))))</f>
        <v/>
      </c>
      <c r="S439" s="79">
        <f>IF(AND(B439&lt;&gt;"",M439="",I439&lt;&gt;""),IF(L439&lt;&gt;"",L439,IF(H439="",0,H439)),0)</f>
        <v/>
      </c>
      <c r="T439" s="79">
        <f>IF(AND(B439&lt;&gt;"",M439="",I439&lt;&gt;""),1/I439,0)</f>
        <v/>
      </c>
      <c r="U439" s="112">
        <f>IF(AND(B439&lt;&gt;"",M439="",I439&lt;&gt;""),I439,"")</f>
        <v/>
      </c>
      <c r="V439" s="79">
        <f>IF(U439="","",IF(U439&lt;AsOf,1,IF(U439&lt;=AsOf+AlertDays,2,IF(U439&lt;=AsOf+2*AlertDays,3,""))))</f>
        <v/>
      </c>
      <c r="W439" s="79">
        <f>IF(V439="","",IF(O439="OVERDUE","Overdue payment: ","Payment due: ")&amp;B439&amp;" — "&amp;C439&amp;" ("&amp;CurSym&amp;" "&amp;FIXED(S439,0)&amp;")")</f>
        <v/>
      </c>
      <c r="Z439" s="116">
        <f>IF('Contractors'!B439="","",'Contractors'!B439)</f>
        <v/>
      </c>
      <c r="AA439" s="77">
        <f>IF(Z439="","",'Contractors'!K439)</f>
        <v/>
      </c>
      <c r="AB439" s="77">
        <f>IF(Z439="","",SUMIFS($L$6:$L$1005,$B$6:$B$1005,Z439))</f>
        <v/>
      </c>
      <c r="AC439" s="77">
        <f>IF(Z439="","",SUMIFS($N$6:$N$1005,$B$6:$B$1005,Z439))</f>
        <v/>
      </c>
      <c r="AD439" s="76">
        <f>IF(Z439="","",AA439-AC439)</f>
        <v/>
      </c>
      <c r="AE439" s="117">
        <f>IF(Z439="","",IFERROR(1/SUMPRODUCT(MAX(($B$6:$B$1005=Z439)*$T$6:$T$1005)),""))</f>
        <v/>
      </c>
      <c r="AF439" s="77">
        <f>IF(AE439="","",SUMIFS($S$6:$S$1005,$B$6:$B$1005,Z439,$I$6:$I$1005,AE439))</f>
        <v/>
      </c>
    </row>
    <row r="440" ht="20" customHeight="1">
      <c r="B440" s="72" t="n"/>
      <c r="C440" s="72" t="n"/>
      <c r="D440" s="72" t="n"/>
      <c r="E440" s="72" t="n"/>
      <c r="F440" s="110" t="n"/>
      <c r="G440" s="73" t="n"/>
      <c r="H440" s="75">
        <f>IF(B440="","",IF(G440&lt;&gt;"",G440,IF(F440&lt;&gt;"",F440*IFERROR(INDEX('Contractors'!$I$6:$I$1005,MATCH(B440,'Contractors'!$B$6:$B$1005,0)),0),"")))</f>
        <v/>
      </c>
      <c r="I440" s="109" t="n"/>
      <c r="J440" s="72" t="n"/>
      <c r="K440" s="109" t="n"/>
      <c r="L440" s="73" t="n"/>
      <c r="M440" s="109" t="n"/>
      <c r="N440" s="73" t="n"/>
      <c r="O440" s="107">
        <f>IF(B440="","",IF(M440&lt;&gt;"","Paid",IF(AND(I440&lt;&gt;"",I440&lt;AsOf),"OVERDUE",IF(OR(K440&lt;&gt;"",L440&lt;&gt;""),"Invoiced","Scheduled"))))</f>
        <v/>
      </c>
      <c r="P440" s="115">
        <f>IF(B440="","",IF(E440&lt;&gt;"",E440,IFERROR(INDEX('Contractors'!$D$6:$D$1005,MATCH(B440,'Contractors'!$B$6:$B$1005,0)),"")))</f>
        <v/>
      </c>
      <c r="Q440" s="79">
        <f>IF(B440="","",IF(D440&lt;&gt;"",D440,IFERROR(INDEX('Contractors'!$E$6:$E$1005,MATCH(B440,'Contractors'!$B$6:$B$1005,0)),"")))</f>
        <v/>
      </c>
      <c r="R440" s="79">
        <f>IF(O440="","",IF(O440="OVERDUE",2,IF(O440="Paid",0,IF(AND(I440&lt;&gt;"",I440&lt;=AsOf+AlertDays),1,0))))</f>
        <v/>
      </c>
      <c r="S440" s="79">
        <f>IF(AND(B440&lt;&gt;"",M440="",I440&lt;&gt;""),IF(L440&lt;&gt;"",L440,IF(H440="",0,H440)),0)</f>
        <v/>
      </c>
      <c r="T440" s="79">
        <f>IF(AND(B440&lt;&gt;"",M440="",I440&lt;&gt;""),1/I440,0)</f>
        <v/>
      </c>
      <c r="U440" s="112">
        <f>IF(AND(B440&lt;&gt;"",M440="",I440&lt;&gt;""),I440,"")</f>
        <v/>
      </c>
      <c r="V440" s="79">
        <f>IF(U440="","",IF(U440&lt;AsOf,1,IF(U440&lt;=AsOf+AlertDays,2,IF(U440&lt;=AsOf+2*AlertDays,3,""))))</f>
        <v/>
      </c>
      <c r="W440" s="79">
        <f>IF(V440="","",IF(O440="OVERDUE","Overdue payment: ","Payment due: ")&amp;B440&amp;" — "&amp;C440&amp;" ("&amp;CurSym&amp;" "&amp;FIXED(S440,0)&amp;")")</f>
        <v/>
      </c>
      <c r="Z440" s="116">
        <f>IF('Contractors'!B440="","",'Contractors'!B440)</f>
        <v/>
      </c>
      <c r="AA440" s="77">
        <f>IF(Z440="","",'Contractors'!K440)</f>
        <v/>
      </c>
      <c r="AB440" s="77">
        <f>IF(Z440="","",SUMIFS($L$6:$L$1005,$B$6:$B$1005,Z440))</f>
        <v/>
      </c>
      <c r="AC440" s="77">
        <f>IF(Z440="","",SUMIFS($N$6:$N$1005,$B$6:$B$1005,Z440))</f>
        <v/>
      </c>
      <c r="AD440" s="76">
        <f>IF(Z440="","",AA440-AC440)</f>
        <v/>
      </c>
      <c r="AE440" s="117">
        <f>IF(Z440="","",IFERROR(1/SUMPRODUCT(MAX(($B$6:$B$1005=Z440)*$T$6:$T$1005)),""))</f>
        <v/>
      </c>
      <c r="AF440" s="77">
        <f>IF(AE440="","",SUMIFS($S$6:$S$1005,$B$6:$B$1005,Z440,$I$6:$I$1005,AE440))</f>
        <v/>
      </c>
    </row>
    <row r="441" ht="20" customHeight="1">
      <c r="B441" s="72" t="n"/>
      <c r="C441" s="72" t="n"/>
      <c r="D441" s="72" t="n"/>
      <c r="E441" s="72" t="n"/>
      <c r="F441" s="110" t="n"/>
      <c r="G441" s="73" t="n"/>
      <c r="H441" s="75">
        <f>IF(B441="","",IF(G441&lt;&gt;"",G441,IF(F441&lt;&gt;"",F441*IFERROR(INDEX('Contractors'!$I$6:$I$1005,MATCH(B441,'Contractors'!$B$6:$B$1005,0)),0),"")))</f>
        <v/>
      </c>
      <c r="I441" s="109" t="n"/>
      <c r="J441" s="72" t="n"/>
      <c r="K441" s="109" t="n"/>
      <c r="L441" s="73" t="n"/>
      <c r="M441" s="109" t="n"/>
      <c r="N441" s="73" t="n"/>
      <c r="O441" s="107">
        <f>IF(B441="","",IF(M441&lt;&gt;"","Paid",IF(AND(I441&lt;&gt;"",I441&lt;AsOf),"OVERDUE",IF(OR(K441&lt;&gt;"",L441&lt;&gt;""),"Invoiced","Scheduled"))))</f>
        <v/>
      </c>
      <c r="P441" s="115">
        <f>IF(B441="","",IF(E441&lt;&gt;"",E441,IFERROR(INDEX('Contractors'!$D$6:$D$1005,MATCH(B441,'Contractors'!$B$6:$B$1005,0)),"")))</f>
        <v/>
      </c>
      <c r="Q441" s="79">
        <f>IF(B441="","",IF(D441&lt;&gt;"",D441,IFERROR(INDEX('Contractors'!$E$6:$E$1005,MATCH(B441,'Contractors'!$B$6:$B$1005,0)),"")))</f>
        <v/>
      </c>
      <c r="R441" s="79">
        <f>IF(O441="","",IF(O441="OVERDUE",2,IF(O441="Paid",0,IF(AND(I441&lt;&gt;"",I441&lt;=AsOf+AlertDays),1,0))))</f>
        <v/>
      </c>
      <c r="S441" s="79">
        <f>IF(AND(B441&lt;&gt;"",M441="",I441&lt;&gt;""),IF(L441&lt;&gt;"",L441,IF(H441="",0,H441)),0)</f>
        <v/>
      </c>
      <c r="T441" s="79">
        <f>IF(AND(B441&lt;&gt;"",M441="",I441&lt;&gt;""),1/I441,0)</f>
        <v/>
      </c>
      <c r="U441" s="112">
        <f>IF(AND(B441&lt;&gt;"",M441="",I441&lt;&gt;""),I441,"")</f>
        <v/>
      </c>
      <c r="V441" s="79">
        <f>IF(U441="","",IF(U441&lt;AsOf,1,IF(U441&lt;=AsOf+AlertDays,2,IF(U441&lt;=AsOf+2*AlertDays,3,""))))</f>
        <v/>
      </c>
      <c r="W441" s="79">
        <f>IF(V441="","",IF(O441="OVERDUE","Overdue payment: ","Payment due: ")&amp;B441&amp;" — "&amp;C441&amp;" ("&amp;CurSym&amp;" "&amp;FIXED(S441,0)&amp;")")</f>
        <v/>
      </c>
      <c r="Z441" s="116">
        <f>IF('Contractors'!B441="","",'Contractors'!B441)</f>
        <v/>
      </c>
      <c r="AA441" s="77">
        <f>IF(Z441="","",'Contractors'!K441)</f>
        <v/>
      </c>
      <c r="AB441" s="77">
        <f>IF(Z441="","",SUMIFS($L$6:$L$1005,$B$6:$B$1005,Z441))</f>
        <v/>
      </c>
      <c r="AC441" s="77">
        <f>IF(Z441="","",SUMIFS($N$6:$N$1005,$B$6:$B$1005,Z441))</f>
        <v/>
      </c>
      <c r="AD441" s="76">
        <f>IF(Z441="","",AA441-AC441)</f>
        <v/>
      </c>
      <c r="AE441" s="117">
        <f>IF(Z441="","",IFERROR(1/SUMPRODUCT(MAX(($B$6:$B$1005=Z441)*$T$6:$T$1005)),""))</f>
        <v/>
      </c>
      <c r="AF441" s="77">
        <f>IF(AE441="","",SUMIFS($S$6:$S$1005,$B$6:$B$1005,Z441,$I$6:$I$1005,AE441))</f>
        <v/>
      </c>
    </row>
    <row r="442" ht="20" customHeight="1">
      <c r="B442" s="72" t="n"/>
      <c r="C442" s="72" t="n"/>
      <c r="D442" s="72" t="n"/>
      <c r="E442" s="72" t="n"/>
      <c r="F442" s="110" t="n"/>
      <c r="G442" s="73" t="n"/>
      <c r="H442" s="75">
        <f>IF(B442="","",IF(G442&lt;&gt;"",G442,IF(F442&lt;&gt;"",F442*IFERROR(INDEX('Contractors'!$I$6:$I$1005,MATCH(B442,'Contractors'!$B$6:$B$1005,0)),0),"")))</f>
        <v/>
      </c>
      <c r="I442" s="109" t="n"/>
      <c r="J442" s="72" t="n"/>
      <c r="K442" s="109" t="n"/>
      <c r="L442" s="73" t="n"/>
      <c r="M442" s="109" t="n"/>
      <c r="N442" s="73" t="n"/>
      <c r="O442" s="107">
        <f>IF(B442="","",IF(M442&lt;&gt;"","Paid",IF(AND(I442&lt;&gt;"",I442&lt;AsOf),"OVERDUE",IF(OR(K442&lt;&gt;"",L442&lt;&gt;""),"Invoiced","Scheduled"))))</f>
        <v/>
      </c>
      <c r="P442" s="115">
        <f>IF(B442="","",IF(E442&lt;&gt;"",E442,IFERROR(INDEX('Contractors'!$D$6:$D$1005,MATCH(B442,'Contractors'!$B$6:$B$1005,0)),"")))</f>
        <v/>
      </c>
      <c r="Q442" s="79">
        <f>IF(B442="","",IF(D442&lt;&gt;"",D442,IFERROR(INDEX('Contractors'!$E$6:$E$1005,MATCH(B442,'Contractors'!$B$6:$B$1005,0)),"")))</f>
        <v/>
      </c>
      <c r="R442" s="79">
        <f>IF(O442="","",IF(O442="OVERDUE",2,IF(O442="Paid",0,IF(AND(I442&lt;&gt;"",I442&lt;=AsOf+AlertDays),1,0))))</f>
        <v/>
      </c>
      <c r="S442" s="79">
        <f>IF(AND(B442&lt;&gt;"",M442="",I442&lt;&gt;""),IF(L442&lt;&gt;"",L442,IF(H442="",0,H442)),0)</f>
        <v/>
      </c>
      <c r="T442" s="79">
        <f>IF(AND(B442&lt;&gt;"",M442="",I442&lt;&gt;""),1/I442,0)</f>
        <v/>
      </c>
      <c r="U442" s="112">
        <f>IF(AND(B442&lt;&gt;"",M442="",I442&lt;&gt;""),I442,"")</f>
        <v/>
      </c>
      <c r="V442" s="79">
        <f>IF(U442="","",IF(U442&lt;AsOf,1,IF(U442&lt;=AsOf+AlertDays,2,IF(U442&lt;=AsOf+2*AlertDays,3,""))))</f>
        <v/>
      </c>
      <c r="W442" s="79">
        <f>IF(V442="","",IF(O442="OVERDUE","Overdue payment: ","Payment due: ")&amp;B442&amp;" — "&amp;C442&amp;" ("&amp;CurSym&amp;" "&amp;FIXED(S442,0)&amp;")")</f>
        <v/>
      </c>
      <c r="Z442" s="116">
        <f>IF('Contractors'!B442="","",'Contractors'!B442)</f>
        <v/>
      </c>
      <c r="AA442" s="77">
        <f>IF(Z442="","",'Contractors'!K442)</f>
        <v/>
      </c>
      <c r="AB442" s="77">
        <f>IF(Z442="","",SUMIFS($L$6:$L$1005,$B$6:$B$1005,Z442))</f>
        <v/>
      </c>
      <c r="AC442" s="77">
        <f>IF(Z442="","",SUMIFS($N$6:$N$1005,$B$6:$B$1005,Z442))</f>
        <v/>
      </c>
      <c r="AD442" s="76">
        <f>IF(Z442="","",AA442-AC442)</f>
        <v/>
      </c>
      <c r="AE442" s="117">
        <f>IF(Z442="","",IFERROR(1/SUMPRODUCT(MAX(($B$6:$B$1005=Z442)*$T$6:$T$1005)),""))</f>
        <v/>
      </c>
      <c r="AF442" s="77">
        <f>IF(AE442="","",SUMIFS($S$6:$S$1005,$B$6:$B$1005,Z442,$I$6:$I$1005,AE442))</f>
        <v/>
      </c>
    </row>
    <row r="443" ht="20" customHeight="1">
      <c r="B443" s="72" t="n"/>
      <c r="C443" s="72" t="n"/>
      <c r="D443" s="72" t="n"/>
      <c r="E443" s="72" t="n"/>
      <c r="F443" s="110" t="n"/>
      <c r="G443" s="73" t="n"/>
      <c r="H443" s="75">
        <f>IF(B443="","",IF(G443&lt;&gt;"",G443,IF(F443&lt;&gt;"",F443*IFERROR(INDEX('Contractors'!$I$6:$I$1005,MATCH(B443,'Contractors'!$B$6:$B$1005,0)),0),"")))</f>
        <v/>
      </c>
      <c r="I443" s="109" t="n"/>
      <c r="J443" s="72" t="n"/>
      <c r="K443" s="109" t="n"/>
      <c r="L443" s="73" t="n"/>
      <c r="M443" s="109" t="n"/>
      <c r="N443" s="73" t="n"/>
      <c r="O443" s="107">
        <f>IF(B443="","",IF(M443&lt;&gt;"","Paid",IF(AND(I443&lt;&gt;"",I443&lt;AsOf),"OVERDUE",IF(OR(K443&lt;&gt;"",L443&lt;&gt;""),"Invoiced","Scheduled"))))</f>
        <v/>
      </c>
      <c r="P443" s="115">
        <f>IF(B443="","",IF(E443&lt;&gt;"",E443,IFERROR(INDEX('Contractors'!$D$6:$D$1005,MATCH(B443,'Contractors'!$B$6:$B$1005,0)),"")))</f>
        <v/>
      </c>
      <c r="Q443" s="79">
        <f>IF(B443="","",IF(D443&lt;&gt;"",D443,IFERROR(INDEX('Contractors'!$E$6:$E$1005,MATCH(B443,'Contractors'!$B$6:$B$1005,0)),"")))</f>
        <v/>
      </c>
      <c r="R443" s="79">
        <f>IF(O443="","",IF(O443="OVERDUE",2,IF(O443="Paid",0,IF(AND(I443&lt;&gt;"",I443&lt;=AsOf+AlertDays),1,0))))</f>
        <v/>
      </c>
      <c r="S443" s="79">
        <f>IF(AND(B443&lt;&gt;"",M443="",I443&lt;&gt;""),IF(L443&lt;&gt;"",L443,IF(H443="",0,H443)),0)</f>
        <v/>
      </c>
      <c r="T443" s="79">
        <f>IF(AND(B443&lt;&gt;"",M443="",I443&lt;&gt;""),1/I443,0)</f>
        <v/>
      </c>
      <c r="U443" s="112">
        <f>IF(AND(B443&lt;&gt;"",M443="",I443&lt;&gt;""),I443,"")</f>
        <v/>
      </c>
      <c r="V443" s="79">
        <f>IF(U443="","",IF(U443&lt;AsOf,1,IF(U443&lt;=AsOf+AlertDays,2,IF(U443&lt;=AsOf+2*AlertDays,3,""))))</f>
        <v/>
      </c>
      <c r="W443" s="79">
        <f>IF(V443="","",IF(O443="OVERDUE","Overdue payment: ","Payment due: ")&amp;B443&amp;" — "&amp;C443&amp;" ("&amp;CurSym&amp;" "&amp;FIXED(S443,0)&amp;")")</f>
        <v/>
      </c>
      <c r="Z443" s="116">
        <f>IF('Contractors'!B443="","",'Contractors'!B443)</f>
        <v/>
      </c>
      <c r="AA443" s="77">
        <f>IF(Z443="","",'Contractors'!K443)</f>
        <v/>
      </c>
      <c r="AB443" s="77">
        <f>IF(Z443="","",SUMIFS($L$6:$L$1005,$B$6:$B$1005,Z443))</f>
        <v/>
      </c>
      <c r="AC443" s="77">
        <f>IF(Z443="","",SUMIFS($N$6:$N$1005,$B$6:$B$1005,Z443))</f>
        <v/>
      </c>
      <c r="AD443" s="76">
        <f>IF(Z443="","",AA443-AC443)</f>
        <v/>
      </c>
      <c r="AE443" s="117">
        <f>IF(Z443="","",IFERROR(1/SUMPRODUCT(MAX(($B$6:$B$1005=Z443)*$T$6:$T$1005)),""))</f>
        <v/>
      </c>
      <c r="AF443" s="77">
        <f>IF(AE443="","",SUMIFS($S$6:$S$1005,$B$6:$B$1005,Z443,$I$6:$I$1005,AE443))</f>
        <v/>
      </c>
    </row>
    <row r="444" ht="20" customHeight="1">
      <c r="B444" s="72" t="n"/>
      <c r="C444" s="72" t="n"/>
      <c r="D444" s="72" t="n"/>
      <c r="E444" s="72" t="n"/>
      <c r="F444" s="110" t="n"/>
      <c r="G444" s="73" t="n"/>
      <c r="H444" s="75">
        <f>IF(B444="","",IF(G444&lt;&gt;"",G444,IF(F444&lt;&gt;"",F444*IFERROR(INDEX('Contractors'!$I$6:$I$1005,MATCH(B444,'Contractors'!$B$6:$B$1005,0)),0),"")))</f>
        <v/>
      </c>
      <c r="I444" s="109" t="n"/>
      <c r="J444" s="72" t="n"/>
      <c r="K444" s="109" t="n"/>
      <c r="L444" s="73" t="n"/>
      <c r="M444" s="109" t="n"/>
      <c r="N444" s="73" t="n"/>
      <c r="O444" s="107">
        <f>IF(B444="","",IF(M444&lt;&gt;"","Paid",IF(AND(I444&lt;&gt;"",I444&lt;AsOf),"OVERDUE",IF(OR(K444&lt;&gt;"",L444&lt;&gt;""),"Invoiced","Scheduled"))))</f>
        <v/>
      </c>
      <c r="P444" s="115">
        <f>IF(B444="","",IF(E444&lt;&gt;"",E444,IFERROR(INDEX('Contractors'!$D$6:$D$1005,MATCH(B444,'Contractors'!$B$6:$B$1005,0)),"")))</f>
        <v/>
      </c>
      <c r="Q444" s="79">
        <f>IF(B444="","",IF(D444&lt;&gt;"",D444,IFERROR(INDEX('Contractors'!$E$6:$E$1005,MATCH(B444,'Contractors'!$B$6:$B$1005,0)),"")))</f>
        <v/>
      </c>
      <c r="R444" s="79">
        <f>IF(O444="","",IF(O444="OVERDUE",2,IF(O444="Paid",0,IF(AND(I444&lt;&gt;"",I444&lt;=AsOf+AlertDays),1,0))))</f>
        <v/>
      </c>
      <c r="S444" s="79">
        <f>IF(AND(B444&lt;&gt;"",M444="",I444&lt;&gt;""),IF(L444&lt;&gt;"",L444,IF(H444="",0,H444)),0)</f>
        <v/>
      </c>
      <c r="T444" s="79">
        <f>IF(AND(B444&lt;&gt;"",M444="",I444&lt;&gt;""),1/I444,0)</f>
        <v/>
      </c>
      <c r="U444" s="112">
        <f>IF(AND(B444&lt;&gt;"",M444="",I444&lt;&gt;""),I444,"")</f>
        <v/>
      </c>
      <c r="V444" s="79">
        <f>IF(U444="","",IF(U444&lt;AsOf,1,IF(U444&lt;=AsOf+AlertDays,2,IF(U444&lt;=AsOf+2*AlertDays,3,""))))</f>
        <v/>
      </c>
      <c r="W444" s="79">
        <f>IF(V444="","",IF(O444="OVERDUE","Overdue payment: ","Payment due: ")&amp;B444&amp;" — "&amp;C444&amp;" ("&amp;CurSym&amp;" "&amp;FIXED(S444,0)&amp;")")</f>
        <v/>
      </c>
      <c r="Z444" s="116">
        <f>IF('Contractors'!B444="","",'Contractors'!B444)</f>
        <v/>
      </c>
      <c r="AA444" s="77">
        <f>IF(Z444="","",'Contractors'!K444)</f>
        <v/>
      </c>
      <c r="AB444" s="77">
        <f>IF(Z444="","",SUMIFS($L$6:$L$1005,$B$6:$B$1005,Z444))</f>
        <v/>
      </c>
      <c r="AC444" s="77">
        <f>IF(Z444="","",SUMIFS($N$6:$N$1005,$B$6:$B$1005,Z444))</f>
        <v/>
      </c>
      <c r="AD444" s="76">
        <f>IF(Z444="","",AA444-AC444)</f>
        <v/>
      </c>
      <c r="AE444" s="117">
        <f>IF(Z444="","",IFERROR(1/SUMPRODUCT(MAX(($B$6:$B$1005=Z444)*$T$6:$T$1005)),""))</f>
        <v/>
      </c>
      <c r="AF444" s="77">
        <f>IF(AE444="","",SUMIFS($S$6:$S$1005,$B$6:$B$1005,Z444,$I$6:$I$1005,AE444))</f>
        <v/>
      </c>
    </row>
    <row r="445" ht="20" customHeight="1">
      <c r="B445" s="72" t="n"/>
      <c r="C445" s="72" t="n"/>
      <c r="D445" s="72" t="n"/>
      <c r="E445" s="72" t="n"/>
      <c r="F445" s="110" t="n"/>
      <c r="G445" s="73" t="n"/>
      <c r="H445" s="75">
        <f>IF(B445="","",IF(G445&lt;&gt;"",G445,IF(F445&lt;&gt;"",F445*IFERROR(INDEX('Contractors'!$I$6:$I$1005,MATCH(B445,'Contractors'!$B$6:$B$1005,0)),0),"")))</f>
        <v/>
      </c>
      <c r="I445" s="109" t="n"/>
      <c r="J445" s="72" t="n"/>
      <c r="K445" s="109" t="n"/>
      <c r="L445" s="73" t="n"/>
      <c r="M445" s="109" t="n"/>
      <c r="N445" s="73" t="n"/>
      <c r="O445" s="107">
        <f>IF(B445="","",IF(M445&lt;&gt;"","Paid",IF(AND(I445&lt;&gt;"",I445&lt;AsOf),"OVERDUE",IF(OR(K445&lt;&gt;"",L445&lt;&gt;""),"Invoiced","Scheduled"))))</f>
        <v/>
      </c>
      <c r="P445" s="115">
        <f>IF(B445="","",IF(E445&lt;&gt;"",E445,IFERROR(INDEX('Contractors'!$D$6:$D$1005,MATCH(B445,'Contractors'!$B$6:$B$1005,0)),"")))</f>
        <v/>
      </c>
      <c r="Q445" s="79">
        <f>IF(B445="","",IF(D445&lt;&gt;"",D445,IFERROR(INDEX('Contractors'!$E$6:$E$1005,MATCH(B445,'Contractors'!$B$6:$B$1005,0)),"")))</f>
        <v/>
      </c>
      <c r="R445" s="79">
        <f>IF(O445="","",IF(O445="OVERDUE",2,IF(O445="Paid",0,IF(AND(I445&lt;&gt;"",I445&lt;=AsOf+AlertDays),1,0))))</f>
        <v/>
      </c>
      <c r="S445" s="79">
        <f>IF(AND(B445&lt;&gt;"",M445="",I445&lt;&gt;""),IF(L445&lt;&gt;"",L445,IF(H445="",0,H445)),0)</f>
        <v/>
      </c>
      <c r="T445" s="79">
        <f>IF(AND(B445&lt;&gt;"",M445="",I445&lt;&gt;""),1/I445,0)</f>
        <v/>
      </c>
      <c r="U445" s="112">
        <f>IF(AND(B445&lt;&gt;"",M445="",I445&lt;&gt;""),I445,"")</f>
        <v/>
      </c>
      <c r="V445" s="79">
        <f>IF(U445="","",IF(U445&lt;AsOf,1,IF(U445&lt;=AsOf+AlertDays,2,IF(U445&lt;=AsOf+2*AlertDays,3,""))))</f>
        <v/>
      </c>
      <c r="W445" s="79">
        <f>IF(V445="","",IF(O445="OVERDUE","Overdue payment: ","Payment due: ")&amp;B445&amp;" — "&amp;C445&amp;" ("&amp;CurSym&amp;" "&amp;FIXED(S445,0)&amp;")")</f>
        <v/>
      </c>
      <c r="Z445" s="116">
        <f>IF('Contractors'!B445="","",'Contractors'!B445)</f>
        <v/>
      </c>
      <c r="AA445" s="77">
        <f>IF(Z445="","",'Contractors'!K445)</f>
        <v/>
      </c>
      <c r="AB445" s="77">
        <f>IF(Z445="","",SUMIFS($L$6:$L$1005,$B$6:$B$1005,Z445))</f>
        <v/>
      </c>
      <c r="AC445" s="77">
        <f>IF(Z445="","",SUMIFS($N$6:$N$1005,$B$6:$B$1005,Z445))</f>
        <v/>
      </c>
      <c r="AD445" s="76">
        <f>IF(Z445="","",AA445-AC445)</f>
        <v/>
      </c>
      <c r="AE445" s="117">
        <f>IF(Z445="","",IFERROR(1/SUMPRODUCT(MAX(($B$6:$B$1005=Z445)*$T$6:$T$1005)),""))</f>
        <v/>
      </c>
      <c r="AF445" s="77">
        <f>IF(AE445="","",SUMIFS($S$6:$S$1005,$B$6:$B$1005,Z445,$I$6:$I$1005,AE445))</f>
        <v/>
      </c>
    </row>
    <row r="446" ht="20" customHeight="1">
      <c r="B446" s="72" t="n"/>
      <c r="C446" s="72" t="n"/>
      <c r="D446" s="72" t="n"/>
      <c r="E446" s="72" t="n"/>
      <c r="F446" s="110" t="n"/>
      <c r="G446" s="73" t="n"/>
      <c r="H446" s="75">
        <f>IF(B446="","",IF(G446&lt;&gt;"",G446,IF(F446&lt;&gt;"",F446*IFERROR(INDEX('Contractors'!$I$6:$I$1005,MATCH(B446,'Contractors'!$B$6:$B$1005,0)),0),"")))</f>
        <v/>
      </c>
      <c r="I446" s="109" t="n"/>
      <c r="J446" s="72" t="n"/>
      <c r="K446" s="109" t="n"/>
      <c r="L446" s="73" t="n"/>
      <c r="M446" s="109" t="n"/>
      <c r="N446" s="73" t="n"/>
      <c r="O446" s="107">
        <f>IF(B446="","",IF(M446&lt;&gt;"","Paid",IF(AND(I446&lt;&gt;"",I446&lt;AsOf),"OVERDUE",IF(OR(K446&lt;&gt;"",L446&lt;&gt;""),"Invoiced","Scheduled"))))</f>
        <v/>
      </c>
      <c r="P446" s="115">
        <f>IF(B446="","",IF(E446&lt;&gt;"",E446,IFERROR(INDEX('Contractors'!$D$6:$D$1005,MATCH(B446,'Contractors'!$B$6:$B$1005,0)),"")))</f>
        <v/>
      </c>
      <c r="Q446" s="79">
        <f>IF(B446="","",IF(D446&lt;&gt;"",D446,IFERROR(INDEX('Contractors'!$E$6:$E$1005,MATCH(B446,'Contractors'!$B$6:$B$1005,0)),"")))</f>
        <v/>
      </c>
      <c r="R446" s="79">
        <f>IF(O446="","",IF(O446="OVERDUE",2,IF(O446="Paid",0,IF(AND(I446&lt;&gt;"",I446&lt;=AsOf+AlertDays),1,0))))</f>
        <v/>
      </c>
      <c r="S446" s="79">
        <f>IF(AND(B446&lt;&gt;"",M446="",I446&lt;&gt;""),IF(L446&lt;&gt;"",L446,IF(H446="",0,H446)),0)</f>
        <v/>
      </c>
      <c r="T446" s="79">
        <f>IF(AND(B446&lt;&gt;"",M446="",I446&lt;&gt;""),1/I446,0)</f>
        <v/>
      </c>
      <c r="U446" s="112">
        <f>IF(AND(B446&lt;&gt;"",M446="",I446&lt;&gt;""),I446,"")</f>
        <v/>
      </c>
      <c r="V446" s="79">
        <f>IF(U446="","",IF(U446&lt;AsOf,1,IF(U446&lt;=AsOf+AlertDays,2,IF(U446&lt;=AsOf+2*AlertDays,3,""))))</f>
        <v/>
      </c>
      <c r="W446" s="79">
        <f>IF(V446="","",IF(O446="OVERDUE","Overdue payment: ","Payment due: ")&amp;B446&amp;" — "&amp;C446&amp;" ("&amp;CurSym&amp;" "&amp;FIXED(S446,0)&amp;")")</f>
        <v/>
      </c>
      <c r="Z446" s="116">
        <f>IF('Contractors'!B446="","",'Contractors'!B446)</f>
        <v/>
      </c>
      <c r="AA446" s="77">
        <f>IF(Z446="","",'Contractors'!K446)</f>
        <v/>
      </c>
      <c r="AB446" s="77">
        <f>IF(Z446="","",SUMIFS($L$6:$L$1005,$B$6:$B$1005,Z446))</f>
        <v/>
      </c>
      <c r="AC446" s="77">
        <f>IF(Z446="","",SUMIFS($N$6:$N$1005,$B$6:$B$1005,Z446))</f>
        <v/>
      </c>
      <c r="AD446" s="76">
        <f>IF(Z446="","",AA446-AC446)</f>
        <v/>
      </c>
      <c r="AE446" s="117">
        <f>IF(Z446="","",IFERROR(1/SUMPRODUCT(MAX(($B$6:$B$1005=Z446)*$T$6:$T$1005)),""))</f>
        <v/>
      </c>
      <c r="AF446" s="77">
        <f>IF(AE446="","",SUMIFS($S$6:$S$1005,$B$6:$B$1005,Z446,$I$6:$I$1005,AE446))</f>
        <v/>
      </c>
    </row>
    <row r="447" ht="20" customHeight="1">
      <c r="B447" s="72" t="n"/>
      <c r="C447" s="72" t="n"/>
      <c r="D447" s="72" t="n"/>
      <c r="E447" s="72" t="n"/>
      <c r="F447" s="110" t="n"/>
      <c r="G447" s="73" t="n"/>
      <c r="H447" s="75">
        <f>IF(B447="","",IF(G447&lt;&gt;"",G447,IF(F447&lt;&gt;"",F447*IFERROR(INDEX('Contractors'!$I$6:$I$1005,MATCH(B447,'Contractors'!$B$6:$B$1005,0)),0),"")))</f>
        <v/>
      </c>
      <c r="I447" s="109" t="n"/>
      <c r="J447" s="72" t="n"/>
      <c r="K447" s="109" t="n"/>
      <c r="L447" s="73" t="n"/>
      <c r="M447" s="109" t="n"/>
      <c r="N447" s="73" t="n"/>
      <c r="O447" s="107">
        <f>IF(B447="","",IF(M447&lt;&gt;"","Paid",IF(AND(I447&lt;&gt;"",I447&lt;AsOf),"OVERDUE",IF(OR(K447&lt;&gt;"",L447&lt;&gt;""),"Invoiced","Scheduled"))))</f>
        <v/>
      </c>
      <c r="P447" s="115">
        <f>IF(B447="","",IF(E447&lt;&gt;"",E447,IFERROR(INDEX('Contractors'!$D$6:$D$1005,MATCH(B447,'Contractors'!$B$6:$B$1005,0)),"")))</f>
        <v/>
      </c>
      <c r="Q447" s="79">
        <f>IF(B447="","",IF(D447&lt;&gt;"",D447,IFERROR(INDEX('Contractors'!$E$6:$E$1005,MATCH(B447,'Contractors'!$B$6:$B$1005,0)),"")))</f>
        <v/>
      </c>
      <c r="R447" s="79">
        <f>IF(O447="","",IF(O447="OVERDUE",2,IF(O447="Paid",0,IF(AND(I447&lt;&gt;"",I447&lt;=AsOf+AlertDays),1,0))))</f>
        <v/>
      </c>
      <c r="S447" s="79">
        <f>IF(AND(B447&lt;&gt;"",M447="",I447&lt;&gt;""),IF(L447&lt;&gt;"",L447,IF(H447="",0,H447)),0)</f>
        <v/>
      </c>
      <c r="T447" s="79">
        <f>IF(AND(B447&lt;&gt;"",M447="",I447&lt;&gt;""),1/I447,0)</f>
        <v/>
      </c>
      <c r="U447" s="112">
        <f>IF(AND(B447&lt;&gt;"",M447="",I447&lt;&gt;""),I447,"")</f>
        <v/>
      </c>
      <c r="V447" s="79">
        <f>IF(U447="","",IF(U447&lt;AsOf,1,IF(U447&lt;=AsOf+AlertDays,2,IF(U447&lt;=AsOf+2*AlertDays,3,""))))</f>
        <v/>
      </c>
      <c r="W447" s="79">
        <f>IF(V447="","",IF(O447="OVERDUE","Overdue payment: ","Payment due: ")&amp;B447&amp;" — "&amp;C447&amp;" ("&amp;CurSym&amp;" "&amp;FIXED(S447,0)&amp;")")</f>
        <v/>
      </c>
      <c r="Z447" s="116">
        <f>IF('Contractors'!B447="","",'Contractors'!B447)</f>
        <v/>
      </c>
      <c r="AA447" s="77">
        <f>IF(Z447="","",'Contractors'!K447)</f>
        <v/>
      </c>
      <c r="AB447" s="77">
        <f>IF(Z447="","",SUMIFS($L$6:$L$1005,$B$6:$B$1005,Z447))</f>
        <v/>
      </c>
      <c r="AC447" s="77">
        <f>IF(Z447="","",SUMIFS($N$6:$N$1005,$B$6:$B$1005,Z447))</f>
        <v/>
      </c>
      <c r="AD447" s="76">
        <f>IF(Z447="","",AA447-AC447)</f>
        <v/>
      </c>
      <c r="AE447" s="117">
        <f>IF(Z447="","",IFERROR(1/SUMPRODUCT(MAX(($B$6:$B$1005=Z447)*$T$6:$T$1005)),""))</f>
        <v/>
      </c>
      <c r="AF447" s="77">
        <f>IF(AE447="","",SUMIFS($S$6:$S$1005,$B$6:$B$1005,Z447,$I$6:$I$1005,AE447))</f>
        <v/>
      </c>
    </row>
    <row r="448" ht="20" customHeight="1">
      <c r="B448" s="72" t="n"/>
      <c r="C448" s="72" t="n"/>
      <c r="D448" s="72" t="n"/>
      <c r="E448" s="72" t="n"/>
      <c r="F448" s="110" t="n"/>
      <c r="G448" s="73" t="n"/>
      <c r="H448" s="75">
        <f>IF(B448="","",IF(G448&lt;&gt;"",G448,IF(F448&lt;&gt;"",F448*IFERROR(INDEX('Contractors'!$I$6:$I$1005,MATCH(B448,'Contractors'!$B$6:$B$1005,0)),0),"")))</f>
        <v/>
      </c>
      <c r="I448" s="109" t="n"/>
      <c r="J448" s="72" t="n"/>
      <c r="K448" s="109" t="n"/>
      <c r="L448" s="73" t="n"/>
      <c r="M448" s="109" t="n"/>
      <c r="N448" s="73" t="n"/>
      <c r="O448" s="107">
        <f>IF(B448="","",IF(M448&lt;&gt;"","Paid",IF(AND(I448&lt;&gt;"",I448&lt;AsOf),"OVERDUE",IF(OR(K448&lt;&gt;"",L448&lt;&gt;""),"Invoiced","Scheduled"))))</f>
        <v/>
      </c>
      <c r="P448" s="115">
        <f>IF(B448="","",IF(E448&lt;&gt;"",E448,IFERROR(INDEX('Contractors'!$D$6:$D$1005,MATCH(B448,'Contractors'!$B$6:$B$1005,0)),"")))</f>
        <v/>
      </c>
      <c r="Q448" s="79">
        <f>IF(B448="","",IF(D448&lt;&gt;"",D448,IFERROR(INDEX('Contractors'!$E$6:$E$1005,MATCH(B448,'Contractors'!$B$6:$B$1005,0)),"")))</f>
        <v/>
      </c>
      <c r="R448" s="79">
        <f>IF(O448="","",IF(O448="OVERDUE",2,IF(O448="Paid",0,IF(AND(I448&lt;&gt;"",I448&lt;=AsOf+AlertDays),1,0))))</f>
        <v/>
      </c>
      <c r="S448" s="79">
        <f>IF(AND(B448&lt;&gt;"",M448="",I448&lt;&gt;""),IF(L448&lt;&gt;"",L448,IF(H448="",0,H448)),0)</f>
        <v/>
      </c>
      <c r="T448" s="79">
        <f>IF(AND(B448&lt;&gt;"",M448="",I448&lt;&gt;""),1/I448,0)</f>
        <v/>
      </c>
      <c r="U448" s="112">
        <f>IF(AND(B448&lt;&gt;"",M448="",I448&lt;&gt;""),I448,"")</f>
        <v/>
      </c>
      <c r="V448" s="79">
        <f>IF(U448="","",IF(U448&lt;AsOf,1,IF(U448&lt;=AsOf+AlertDays,2,IF(U448&lt;=AsOf+2*AlertDays,3,""))))</f>
        <v/>
      </c>
      <c r="W448" s="79">
        <f>IF(V448="","",IF(O448="OVERDUE","Overdue payment: ","Payment due: ")&amp;B448&amp;" — "&amp;C448&amp;" ("&amp;CurSym&amp;" "&amp;FIXED(S448,0)&amp;")")</f>
        <v/>
      </c>
      <c r="Z448" s="116">
        <f>IF('Contractors'!B448="","",'Contractors'!B448)</f>
        <v/>
      </c>
      <c r="AA448" s="77">
        <f>IF(Z448="","",'Contractors'!K448)</f>
        <v/>
      </c>
      <c r="AB448" s="77">
        <f>IF(Z448="","",SUMIFS($L$6:$L$1005,$B$6:$B$1005,Z448))</f>
        <v/>
      </c>
      <c r="AC448" s="77">
        <f>IF(Z448="","",SUMIFS($N$6:$N$1005,$B$6:$B$1005,Z448))</f>
        <v/>
      </c>
      <c r="AD448" s="76">
        <f>IF(Z448="","",AA448-AC448)</f>
        <v/>
      </c>
      <c r="AE448" s="117">
        <f>IF(Z448="","",IFERROR(1/SUMPRODUCT(MAX(($B$6:$B$1005=Z448)*$T$6:$T$1005)),""))</f>
        <v/>
      </c>
      <c r="AF448" s="77">
        <f>IF(AE448="","",SUMIFS($S$6:$S$1005,$B$6:$B$1005,Z448,$I$6:$I$1005,AE448))</f>
        <v/>
      </c>
    </row>
    <row r="449" ht="20" customHeight="1">
      <c r="B449" s="72" t="n"/>
      <c r="C449" s="72" t="n"/>
      <c r="D449" s="72" t="n"/>
      <c r="E449" s="72" t="n"/>
      <c r="F449" s="110" t="n"/>
      <c r="G449" s="73" t="n"/>
      <c r="H449" s="75">
        <f>IF(B449="","",IF(G449&lt;&gt;"",G449,IF(F449&lt;&gt;"",F449*IFERROR(INDEX('Contractors'!$I$6:$I$1005,MATCH(B449,'Contractors'!$B$6:$B$1005,0)),0),"")))</f>
        <v/>
      </c>
      <c r="I449" s="109" t="n"/>
      <c r="J449" s="72" t="n"/>
      <c r="K449" s="109" t="n"/>
      <c r="L449" s="73" t="n"/>
      <c r="M449" s="109" t="n"/>
      <c r="N449" s="73" t="n"/>
      <c r="O449" s="107">
        <f>IF(B449="","",IF(M449&lt;&gt;"","Paid",IF(AND(I449&lt;&gt;"",I449&lt;AsOf),"OVERDUE",IF(OR(K449&lt;&gt;"",L449&lt;&gt;""),"Invoiced","Scheduled"))))</f>
        <v/>
      </c>
      <c r="P449" s="115">
        <f>IF(B449="","",IF(E449&lt;&gt;"",E449,IFERROR(INDEX('Contractors'!$D$6:$D$1005,MATCH(B449,'Contractors'!$B$6:$B$1005,0)),"")))</f>
        <v/>
      </c>
      <c r="Q449" s="79">
        <f>IF(B449="","",IF(D449&lt;&gt;"",D449,IFERROR(INDEX('Contractors'!$E$6:$E$1005,MATCH(B449,'Contractors'!$B$6:$B$1005,0)),"")))</f>
        <v/>
      </c>
      <c r="R449" s="79">
        <f>IF(O449="","",IF(O449="OVERDUE",2,IF(O449="Paid",0,IF(AND(I449&lt;&gt;"",I449&lt;=AsOf+AlertDays),1,0))))</f>
        <v/>
      </c>
      <c r="S449" s="79">
        <f>IF(AND(B449&lt;&gt;"",M449="",I449&lt;&gt;""),IF(L449&lt;&gt;"",L449,IF(H449="",0,H449)),0)</f>
        <v/>
      </c>
      <c r="T449" s="79">
        <f>IF(AND(B449&lt;&gt;"",M449="",I449&lt;&gt;""),1/I449,0)</f>
        <v/>
      </c>
      <c r="U449" s="112">
        <f>IF(AND(B449&lt;&gt;"",M449="",I449&lt;&gt;""),I449,"")</f>
        <v/>
      </c>
      <c r="V449" s="79">
        <f>IF(U449="","",IF(U449&lt;AsOf,1,IF(U449&lt;=AsOf+AlertDays,2,IF(U449&lt;=AsOf+2*AlertDays,3,""))))</f>
        <v/>
      </c>
      <c r="W449" s="79">
        <f>IF(V449="","",IF(O449="OVERDUE","Overdue payment: ","Payment due: ")&amp;B449&amp;" — "&amp;C449&amp;" ("&amp;CurSym&amp;" "&amp;FIXED(S449,0)&amp;")")</f>
        <v/>
      </c>
      <c r="Z449" s="116">
        <f>IF('Contractors'!B449="","",'Contractors'!B449)</f>
        <v/>
      </c>
      <c r="AA449" s="77">
        <f>IF(Z449="","",'Contractors'!K449)</f>
        <v/>
      </c>
      <c r="AB449" s="77">
        <f>IF(Z449="","",SUMIFS($L$6:$L$1005,$B$6:$B$1005,Z449))</f>
        <v/>
      </c>
      <c r="AC449" s="77">
        <f>IF(Z449="","",SUMIFS($N$6:$N$1005,$B$6:$B$1005,Z449))</f>
        <v/>
      </c>
      <c r="AD449" s="76">
        <f>IF(Z449="","",AA449-AC449)</f>
        <v/>
      </c>
      <c r="AE449" s="117">
        <f>IF(Z449="","",IFERROR(1/SUMPRODUCT(MAX(($B$6:$B$1005=Z449)*$T$6:$T$1005)),""))</f>
        <v/>
      </c>
      <c r="AF449" s="77">
        <f>IF(AE449="","",SUMIFS($S$6:$S$1005,$B$6:$B$1005,Z449,$I$6:$I$1005,AE449))</f>
        <v/>
      </c>
    </row>
    <row r="450" ht="20" customHeight="1">
      <c r="B450" s="72" t="n"/>
      <c r="C450" s="72" t="n"/>
      <c r="D450" s="72" t="n"/>
      <c r="E450" s="72" t="n"/>
      <c r="F450" s="110" t="n"/>
      <c r="G450" s="73" t="n"/>
      <c r="H450" s="75">
        <f>IF(B450="","",IF(G450&lt;&gt;"",G450,IF(F450&lt;&gt;"",F450*IFERROR(INDEX('Contractors'!$I$6:$I$1005,MATCH(B450,'Contractors'!$B$6:$B$1005,0)),0),"")))</f>
        <v/>
      </c>
      <c r="I450" s="109" t="n"/>
      <c r="J450" s="72" t="n"/>
      <c r="K450" s="109" t="n"/>
      <c r="L450" s="73" t="n"/>
      <c r="M450" s="109" t="n"/>
      <c r="N450" s="73" t="n"/>
      <c r="O450" s="107">
        <f>IF(B450="","",IF(M450&lt;&gt;"","Paid",IF(AND(I450&lt;&gt;"",I450&lt;AsOf),"OVERDUE",IF(OR(K450&lt;&gt;"",L450&lt;&gt;""),"Invoiced","Scheduled"))))</f>
        <v/>
      </c>
      <c r="P450" s="115">
        <f>IF(B450="","",IF(E450&lt;&gt;"",E450,IFERROR(INDEX('Contractors'!$D$6:$D$1005,MATCH(B450,'Contractors'!$B$6:$B$1005,0)),"")))</f>
        <v/>
      </c>
      <c r="Q450" s="79">
        <f>IF(B450="","",IF(D450&lt;&gt;"",D450,IFERROR(INDEX('Contractors'!$E$6:$E$1005,MATCH(B450,'Contractors'!$B$6:$B$1005,0)),"")))</f>
        <v/>
      </c>
      <c r="R450" s="79">
        <f>IF(O450="","",IF(O450="OVERDUE",2,IF(O450="Paid",0,IF(AND(I450&lt;&gt;"",I450&lt;=AsOf+AlertDays),1,0))))</f>
        <v/>
      </c>
      <c r="S450" s="79">
        <f>IF(AND(B450&lt;&gt;"",M450="",I450&lt;&gt;""),IF(L450&lt;&gt;"",L450,IF(H450="",0,H450)),0)</f>
        <v/>
      </c>
      <c r="T450" s="79">
        <f>IF(AND(B450&lt;&gt;"",M450="",I450&lt;&gt;""),1/I450,0)</f>
        <v/>
      </c>
      <c r="U450" s="112">
        <f>IF(AND(B450&lt;&gt;"",M450="",I450&lt;&gt;""),I450,"")</f>
        <v/>
      </c>
      <c r="V450" s="79">
        <f>IF(U450="","",IF(U450&lt;AsOf,1,IF(U450&lt;=AsOf+AlertDays,2,IF(U450&lt;=AsOf+2*AlertDays,3,""))))</f>
        <v/>
      </c>
      <c r="W450" s="79">
        <f>IF(V450="","",IF(O450="OVERDUE","Overdue payment: ","Payment due: ")&amp;B450&amp;" — "&amp;C450&amp;" ("&amp;CurSym&amp;" "&amp;FIXED(S450,0)&amp;")")</f>
        <v/>
      </c>
      <c r="Z450" s="116">
        <f>IF('Contractors'!B450="","",'Contractors'!B450)</f>
        <v/>
      </c>
      <c r="AA450" s="77">
        <f>IF(Z450="","",'Contractors'!K450)</f>
        <v/>
      </c>
      <c r="AB450" s="77">
        <f>IF(Z450="","",SUMIFS($L$6:$L$1005,$B$6:$B$1005,Z450))</f>
        <v/>
      </c>
      <c r="AC450" s="77">
        <f>IF(Z450="","",SUMIFS($N$6:$N$1005,$B$6:$B$1005,Z450))</f>
        <v/>
      </c>
      <c r="AD450" s="76">
        <f>IF(Z450="","",AA450-AC450)</f>
        <v/>
      </c>
      <c r="AE450" s="117">
        <f>IF(Z450="","",IFERROR(1/SUMPRODUCT(MAX(($B$6:$B$1005=Z450)*$T$6:$T$1005)),""))</f>
        <v/>
      </c>
      <c r="AF450" s="77">
        <f>IF(AE450="","",SUMIFS($S$6:$S$1005,$B$6:$B$1005,Z450,$I$6:$I$1005,AE450))</f>
        <v/>
      </c>
    </row>
    <row r="451" ht="20" customHeight="1">
      <c r="B451" s="72" t="n"/>
      <c r="C451" s="72" t="n"/>
      <c r="D451" s="72" t="n"/>
      <c r="E451" s="72" t="n"/>
      <c r="F451" s="110" t="n"/>
      <c r="G451" s="73" t="n"/>
      <c r="H451" s="75">
        <f>IF(B451="","",IF(G451&lt;&gt;"",G451,IF(F451&lt;&gt;"",F451*IFERROR(INDEX('Contractors'!$I$6:$I$1005,MATCH(B451,'Contractors'!$B$6:$B$1005,0)),0),"")))</f>
        <v/>
      </c>
      <c r="I451" s="109" t="n"/>
      <c r="J451" s="72" t="n"/>
      <c r="K451" s="109" t="n"/>
      <c r="L451" s="73" t="n"/>
      <c r="M451" s="109" t="n"/>
      <c r="N451" s="73" t="n"/>
      <c r="O451" s="107">
        <f>IF(B451="","",IF(M451&lt;&gt;"","Paid",IF(AND(I451&lt;&gt;"",I451&lt;AsOf),"OVERDUE",IF(OR(K451&lt;&gt;"",L451&lt;&gt;""),"Invoiced","Scheduled"))))</f>
        <v/>
      </c>
      <c r="P451" s="115">
        <f>IF(B451="","",IF(E451&lt;&gt;"",E451,IFERROR(INDEX('Contractors'!$D$6:$D$1005,MATCH(B451,'Contractors'!$B$6:$B$1005,0)),"")))</f>
        <v/>
      </c>
      <c r="Q451" s="79">
        <f>IF(B451="","",IF(D451&lt;&gt;"",D451,IFERROR(INDEX('Contractors'!$E$6:$E$1005,MATCH(B451,'Contractors'!$B$6:$B$1005,0)),"")))</f>
        <v/>
      </c>
      <c r="R451" s="79">
        <f>IF(O451="","",IF(O451="OVERDUE",2,IF(O451="Paid",0,IF(AND(I451&lt;&gt;"",I451&lt;=AsOf+AlertDays),1,0))))</f>
        <v/>
      </c>
      <c r="S451" s="79">
        <f>IF(AND(B451&lt;&gt;"",M451="",I451&lt;&gt;""),IF(L451&lt;&gt;"",L451,IF(H451="",0,H451)),0)</f>
        <v/>
      </c>
      <c r="T451" s="79">
        <f>IF(AND(B451&lt;&gt;"",M451="",I451&lt;&gt;""),1/I451,0)</f>
        <v/>
      </c>
      <c r="U451" s="112">
        <f>IF(AND(B451&lt;&gt;"",M451="",I451&lt;&gt;""),I451,"")</f>
        <v/>
      </c>
      <c r="V451" s="79">
        <f>IF(U451="","",IF(U451&lt;AsOf,1,IF(U451&lt;=AsOf+AlertDays,2,IF(U451&lt;=AsOf+2*AlertDays,3,""))))</f>
        <v/>
      </c>
      <c r="W451" s="79">
        <f>IF(V451="","",IF(O451="OVERDUE","Overdue payment: ","Payment due: ")&amp;B451&amp;" — "&amp;C451&amp;" ("&amp;CurSym&amp;" "&amp;FIXED(S451,0)&amp;")")</f>
        <v/>
      </c>
      <c r="Z451" s="116">
        <f>IF('Contractors'!B451="","",'Contractors'!B451)</f>
        <v/>
      </c>
      <c r="AA451" s="77">
        <f>IF(Z451="","",'Contractors'!K451)</f>
        <v/>
      </c>
      <c r="AB451" s="77">
        <f>IF(Z451="","",SUMIFS($L$6:$L$1005,$B$6:$B$1005,Z451))</f>
        <v/>
      </c>
      <c r="AC451" s="77">
        <f>IF(Z451="","",SUMIFS($N$6:$N$1005,$B$6:$B$1005,Z451))</f>
        <v/>
      </c>
      <c r="AD451" s="76">
        <f>IF(Z451="","",AA451-AC451)</f>
        <v/>
      </c>
      <c r="AE451" s="117">
        <f>IF(Z451="","",IFERROR(1/SUMPRODUCT(MAX(($B$6:$B$1005=Z451)*$T$6:$T$1005)),""))</f>
        <v/>
      </c>
      <c r="AF451" s="77">
        <f>IF(AE451="","",SUMIFS($S$6:$S$1005,$B$6:$B$1005,Z451,$I$6:$I$1005,AE451))</f>
        <v/>
      </c>
    </row>
    <row r="452" ht="20" customHeight="1">
      <c r="B452" s="72" t="n"/>
      <c r="C452" s="72" t="n"/>
      <c r="D452" s="72" t="n"/>
      <c r="E452" s="72" t="n"/>
      <c r="F452" s="110" t="n"/>
      <c r="G452" s="73" t="n"/>
      <c r="H452" s="75">
        <f>IF(B452="","",IF(G452&lt;&gt;"",G452,IF(F452&lt;&gt;"",F452*IFERROR(INDEX('Contractors'!$I$6:$I$1005,MATCH(B452,'Contractors'!$B$6:$B$1005,0)),0),"")))</f>
        <v/>
      </c>
      <c r="I452" s="109" t="n"/>
      <c r="J452" s="72" t="n"/>
      <c r="K452" s="109" t="n"/>
      <c r="L452" s="73" t="n"/>
      <c r="M452" s="109" t="n"/>
      <c r="N452" s="73" t="n"/>
      <c r="O452" s="107">
        <f>IF(B452="","",IF(M452&lt;&gt;"","Paid",IF(AND(I452&lt;&gt;"",I452&lt;AsOf),"OVERDUE",IF(OR(K452&lt;&gt;"",L452&lt;&gt;""),"Invoiced","Scheduled"))))</f>
        <v/>
      </c>
      <c r="P452" s="115">
        <f>IF(B452="","",IF(E452&lt;&gt;"",E452,IFERROR(INDEX('Contractors'!$D$6:$D$1005,MATCH(B452,'Contractors'!$B$6:$B$1005,0)),"")))</f>
        <v/>
      </c>
      <c r="Q452" s="79">
        <f>IF(B452="","",IF(D452&lt;&gt;"",D452,IFERROR(INDEX('Contractors'!$E$6:$E$1005,MATCH(B452,'Contractors'!$B$6:$B$1005,0)),"")))</f>
        <v/>
      </c>
      <c r="R452" s="79">
        <f>IF(O452="","",IF(O452="OVERDUE",2,IF(O452="Paid",0,IF(AND(I452&lt;&gt;"",I452&lt;=AsOf+AlertDays),1,0))))</f>
        <v/>
      </c>
      <c r="S452" s="79">
        <f>IF(AND(B452&lt;&gt;"",M452="",I452&lt;&gt;""),IF(L452&lt;&gt;"",L452,IF(H452="",0,H452)),0)</f>
        <v/>
      </c>
      <c r="T452" s="79">
        <f>IF(AND(B452&lt;&gt;"",M452="",I452&lt;&gt;""),1/I452,0)</f>
        <v/>
      </c>
      <c r="U452" s="112">
        <f>IF(AND(B452&lt;&gt;"",M452="",I452&lt;&gt;""),I452,"")</f>
        <v/>
      </c>
      <c r="V452" s="79">
        <f>IF(U452="","",IF(U452&lt;AsOf,1,IF(U452&lt;=AsOf+AlertDays,2,IF(U452&lt;=AsOf+2*AlertDays,3,""))))</f>
        <v/>
      </c>
      <c r="W452" s="79">
        <f>IF(V452="","",IF(O452="OVERDUE","Overdue payment: ","Payment due: ")&amp;B452&amp;" — "&amp;C452&amp;" ("&amp;CurSym&amp;" "&amp;FIXED(S452,0)&amp;")")</f>
        <v/>
      </c>
      <c r="Z452" s="116">
        <f>IF('Contractors'!B452="","",'Contractors'!B452)</f>
        <v/>
      </c>
      <c r="AA452" s="77">
        <f>IF(Z452="","",'Contractors'!K452)</f>
        <v/>
      </c>
      <c r="AB452" s="77">
        <f>IF(Z452="","",SUMIFS($L$6:$L$1005,$B$6:$B$1005,Z452))</f>
        <v/>
      </c>
      <c r="AC452" s="77">
        <f>IF(Z452="","",SUMIFS($N$6:$N$1005,$B$6:$B$1005,Z452))</f>
        <v/>
      </c>
      <c r="AD452" s="76">
        <f>IF(Z452="","",AA452-AC452)</f>
        <v/>
      </c>
      <c r="AE452" s="117">
        <f>IF(Z452="","",IFERROR(1/SUMPRODUCT(MAX(($B$6:$B$1005=Z452)*$T$6:$T$1005)),""))</f>
        <v/>
      </c>
      <c r="AF452" s="77">
        <f>IF(AE452="","",SUMIFS($S$6:$S$1005,$B$6:$B$1005,Z452,$I$6:$I$1005,AE452))</f>
        <v/>
      </c>
    </row>
    <row r="453" ht="20" customHeight="1">
      <c r="B453" s="72" t="n"/>
      <c r="C453" s="72" t="n"/>
      <c r="D453" s="72" t="n"/>
      <c r="E453" s="72" t="n"/>
      <c r="F453" s="110" t="n"/>
      <c r="G453" s="73" t="n"/>
      <c r="H453" s="75">
        <f>IF(B453="","",IF(G453&lt;&gt;"",G453,IF(F453&lt;&gt;"",F453*IFERROR(INDEX('Contractors'!$I$6:$I$1005,MATCH(B453,'Contractors'!$B$6:$B$1005,0)),0),"")))</f>
        <v/>
      </c>
      <c r="I453" s="109" t="n"/>
      <c r="J453" s="72" t="n"/>
      <c r="K453" s="109" t="n"/>
      <c r="L453" s="73" t="n"/>
      <c r="M453" s="109" t="n"/>
      <c r="N453" s="73" t="n"/>
      <c r="O453" s="107">
        <f>IF(B453="","",IF(M453&lt;&gt;"","Paid",IF(AND(I453&lt;&gt;"",I453&lt;AsOf),"OVERDUE",IF(OR(K453&lt;&gt;"",L453&lt;&gt;""),"Invoiced","Scheduled"))))</f>
        <v/>
      </c>
      <c r="P453" s="115">
        <f>IF(B453="","",IF(E453&lt;&gt;"",E453,IFERROR(INDEX('Contractors'!$D$6:$D$1005,MATCH(B453,'Contractors'!$B$6:$B$1005,0)),"")))</f>
        <v/>
      </c>
      <c r="Q453" s="79">
        <f>IF(B453="","",IF(D453&lt;&gt;"",D453,IFERROR(INDEX('Contractors'!$E$6:$E$1005,MATCH(B453,'Contractors'!$B$6:$B$1005,0)),"")))</f>
        <v/>
      </c>
      <c r="R453" s="79">
        <f>IF(O453="","",IF(O453="OVERDUE",2,IF(O453="Paid",0,IF(AND(I453&lt;&gt;"",I453&lt;=AsOf+AlertDays),1,0))))</f>
        <v/>
      </c>
      <c r="S453" s="79">
        <f>IF(AND(B453&lt;&gt;"",M453="",I453&lt;&gt;""),IF(L453&lt;&gt;"",L453,IF(H453="",0,H453)),0)</f>
        <v/>
      </c>
      <c r="T453" s="79">
        <f>IF(AND(B453&lt;&gt;"",M453="",I453&lt;&gt;""),1/I453,0)</f>
        <v/>
      </c>
      <c r="U453" s="112">
        <f>IF(AND(B453&lt;&gt;"",M453="",I453&lt;&gt;""),I453,"")</f>
        <v/>
      </c>
      <c r="V453" s="79">
        <f>IF(U453="","",IF(U453&lt;AsOf,1,IF(U453&lt;=AsOf+AlertDays,2,IF(U453&lt;=AsOf+2*AlertDays,3,""))))</f>
        <v/>
      </c>
      <c r="W453" s="79">
        <f>IF(V453="","",IF(O453="OVERDUE","Overdue payment: ","Payment due: ")&amp;B453&amp;" — "&amp;C453&amp;" ("&amp;CurSym&amp;" "&amp;FIXED(S453,0)&amp;")")</f>
        <v/>
      </c>
      <c r="Z453" s="116">
        <f>IF('Contractors'!B453="","",'Contractors'!B453)</f>
        <v/>
      </c>
      <c r="AA453" s="77">
        <f>IF(Z453="","",'Contractors'!K453)</f>
        <v/>
      </c>
      <c r="AB453" s="77">
        <f>IF(Z453="","",SUMIFS($L$6:$L$1005,$B$6:$B$1005,Z453))</f>
        <v/>
      </c>
      <c r="AC453" s="77">
        <f>IF(Z453="","",SUMIFS($N$6:$N$1005,$B$6:$B$1005,Z453))</f>
        <v/>
      </c>
      <c r="AD453" s="76">
        <f>IF(Z453="","",AA453-AC453)</f>
        <v/>
      </c>
      <c r="AE453" s="117">
        <f>IF(Z453="","",IFERROR(1/SUMPRODUCT(MAX(($B$6:$B$1005=Z453)*$T$6:$T$1005)),""))</f>
        <v/>
      </c>
      <c r="AF453" s="77">
        <f>IF(AE453="","",SUMIFS($S$6:$S$1005,$B$6:$B$1005,Z453,$I$6:$I$1005,AE453))</f>
        <v/>
      </c>
    </row>
    <row r="454" ht="20" customHeight="1">
      <c r="B454" s="72" t="n"/>
      <c r="C454" s="72" t="n"/>
      <c r="D454" s="72" t="n"/>
      <c r="E454" s="72" t="n"/>
      <c r="F454" s="110" t="n"/>
      <c r="G454" s="73" t="n"/>
      <c r="H454" s="75">
        <f>IF(B454="","",IF(G454&lt;&gt;"",G454,IF(F454&lt;&gt;"",F454*IFERROR(INDEX('Contractors'!$I$6:$I$1005,MATCH(B454,'Contractors'!$B$6:$B$1005,0)),0),"")))</f>
        <v/>
      </c>
      <c r="I454" s="109" t="n"/>
      <c r="J454" s="72" t="n"/>
      <c r="K454" s="109" t="n"/>
      <c r="L454" s="73" t="n"/>
      <c r="M454" s="109" t="n"/>
      <c r="N454" s="73" t="n"/>
      <c r="O454" s="107">
        <f>IF(B454="","",IF(M454&lt;&gt;"","Paid",IF(AND(I454&lt;&gt;"",I454&lt;AsOf),"OVERDUE",IF(OR(K454&lt;&gt;"",L454&lt;&gt;""),"Invoiced","Scheduled"))))</f>
        <v/>
      </c>
      <c r="P454" s="115">
        <f>IF(B454="","",IF(E454&lt;&gt;"",E454,IFERROR(INDEX('Contractors'!$D$6:$D$1005,MATCH(B454,'Contractors'!$B$6:$B$1005,0)),"")))</f>
        <v/>
      </c>
      <c r="Q454" s="79">
        <f>IF(B454="","",IF(D454&lt;&gt;"",D454,IFERROR(INDEX('Contractors'!$E$6:$E$1005,MATCH(B454,'Contractors'!$B$6:$B$1005,0)),"")))</f>
        <v/>
      </c>
      <c r="R454" s="79">
        <f>IF(O454="","",IF(O454="OVERDUE",2,IF(O454="Paid",0,IF(AND(I454&lt;&gt;"",I454&lt;=AsOf+AlertDays),1,0))))</f>
        <v/>
      </c>
      <c r="S454" s="79">
        <f>IF(AND(B454&lt;&gt;"",M454="",I454&lt;&gt;""),IF(L454&lt;&gt;"",L454,IF(H454="",0,H454)),0)</f>
        <v/>
      </c>
      <c r="T454" s="79">
        <f>IF(AND(B454&lt;&gt;"",M454="",I454&lt;&gt;""),1/I454,0)</f>
        <v/>
      </c>
      <c r="U454" s="112">
        <f>IF(AND(B454&lt;&gt;"",M454="",I454&lt;&gt;""),I454,"")</f>
        <v/>
      </c>
      <c r="V454" s="79">
        <f>IF(U454="","",IF(U454&lt;AsOf,1,IF(U454&lt;=AsOf+AlertDays,2,IF(U454&lt;=AsOf+2*AlertDays,3,""))))</f>
        <v/>
      </c>
      <c r="W454" s="79">
        <f>IF(V454="","",IF(O454="OVERDUE","Overdue payment: ","Payment due: ")&amp;B454&amp;" — "&amp;C454&amp;" ("&amp;CurSym&amp;" "&amp;FIXED(S454,0)&amp;")")</f>
        <v/>
      </c>
      <c r="Z454" s="116">
        <f>IF('Contractors'!B454="","",'Contractors'!B454)</f>
        <v/>
      </c>
      <c r="AA454" s="77">
        <f>IF(Z454="","",'Contractors'!K454)</f>
        <v/>
      </c>
      <c r="AB454" s="77">
        <f>IF(Z454="","",SUMIFS($L$6:$L$1005,$B$6:$B$1005,Z454))</f>
        <v/>
      </c>
      <c r="AC454" s="77">
        <f>IF(Z454="","",SUMIFS($N$6:$N$1005,$B$6:$B$1005,Z454))</f>
        <v/>
      </c>
      <c r="AD454" s="76">
        <f>IF(Z454="","",AA454-AC454)</f>
        <v/>
      </c>
      <c r="AE454" s="117">
        <f>IF(Z454="","",IFERROR(1/SUMPRODUCT(MAX(($B$6:$B$1005=Z454)*$T$6:$T$1005)),""))</f>
        <v/>
      </c>
      <c r="AF454" s="77">
        <f>IF(AE454="","",SUMIFS($S$6:$S$1005,$B$6:$B$1005,Z454,$I$6:$I$1005,AE454))</f>
        <v/>
      </c>
    </row>
    <row r="455" ht="20" customHeight="1">
      <c r="B455" s="72" t="n"/>
      <c r="C455" s="72" t="n"/>
      <c r="D455" s="72" t="n"/>
      <c r="E455" s="72" t="n"/>
      <c r="F455" s="110" t="n"/>
      <c r="G455" s="73" t="n"/>
      <c r="H455" s="75">
        <f>IF(B455="","",IF(G455&lt;&gt;"",G455,IF(F455&lt;&gt;"",F455*IFERROR(INDEX('Contractors'!$I$6:$I$1005,MATCH(B455,'Contractors'!$B$6:$B$1005,0)),0),"")))</f>
        <v/>
      </c>
      <c r="I455" s="109" t="n"/>
      <c r="J455" s="72" t="n"/>
      <c r="K455" s="109" t="n"/>
      <c r="L455" s="73" t="n"/>
      <c r="M455" s="109" t="n"/>
      <c r="N455" s="73" t="n"/>
      <c r="O455" s="107">
        <f>IF(B455="","",IF(M455&lt;&gt;"","Paid",IF(AND(I455&lt;&gt;"",I455&lt;AsOf),"OVERDUE",IF(OR(K455&lt;&gt;"",L455&lt;&gt;""),"Invoiced","Scheduled"))))</f>
        <v/>
      </c>
      <c r="P455" s="115">
        <f>IF(B455="","",IF(E455&lt;&gt;"",E455,IFERROR(INDEX('Contractors'!$D$6:$D$1005,MATCH(B455,'Contractors'!$B$6:$B$1005,0)),"")))</f>
        <v/>
      </c>
      <c r="Q455" s="79">
        <f>IF(B455="","",IF(D455&lt;&gt;"",D455,IFERROR(INDEX('Contractors'!$E$6:$E$1005,MATCH(B455,'Contractors'!$B$6:$B$1005,0)),"")))</f>
        <v/>
      </c>
      <c r="R455" s="79">
        <f>IF(O455="","",IF(O455="OVERDUE",2,IF(O455="Paid",0,IF(AND(I455&lt;&gt;"",I455&lt;=AsOf+AlertDays),1,0))))</f>
        <v/>
      </c>
      <c r="S455" s="79">
        <f>IF(AND(B455&lt;&gt;"",M455="",I455&lt;&gt;""),IF(L455&lt;&gt;"",L455,IF(H455="",0,H455)),0)</f>
        <v/>
      </c>
      <c r="T455" s="79">
        <f>IF(AND(B455&lt;&gt;"",M455="",I455&lt;&gt;""),1/I455,0)</f>
        <v/>
      </c>
      <c r="U455" s="112">
        <f>IF(AND(B455&lt;&gt;"",M455="",I455&lt;&gt;""),I455,"")</f>
        <v/>
      </c>
      <c r="V455" s="79">
        <f>IF(U455="","",IF(U455&lt;AsOf,1,IF(U455&lt;=AsOf+AlertDays,2,IF(U455&lt;=AsOf+2*AlertDays,3,""))))</f>
        <v/>
      </c>
      <c r="W455" s="79">
        <f>IF(V455="","",IF(O455="OVERDUE","Overdue payment: ","Payment due: ")&amp;B455&amp;" — "&amp;C455&amp;" ("&amp;CurSym&amp;" "&amp;FIXED(S455,0)&amp;")")</f>
        <v/>
      </c>
      <c r="Z455" s="116">
        <f>IF('Contractors'!B455="","",'Contractors'!B455)</f>
        <v/>
      </c>
      <c r="AA455" s="77">
        <f>IF(Z455="","",'Contractors'!K455)</f>
        <v/>
      </c>
      <c r="AB455" s="77">
        <f>IF(Z455="","",SUMIFS($L$6:$L$1005,$B$6:$B$1005,Z455))</f>
        <v/>
      </c>
      <c r="AC455" s="77">
        <f>IF(Z455="","",SUMIFS($N$6:$N$1005,$B$6:$B$1005,Z455))</f>
        <v/>
      </c>
      <c r="AD455" s="76">
        <f>IF(Z455="","",AA455-AC455)</f>
        <v/>
      </c>
      <c r="AE455" s="117">
        <f>IF(Z455="","",IFERROR(1/SUMPRODUCT(MAX(($B$6:$B$1005=Z455)*$T$6:$T$1005)),""))</f>
        <v/>
      </c>
      <c r="AF455" s="77">
        <f>IF(AE455="","",SUMIFS($S$6:$S$1005,$B$6:$B$1005,Z455,$I$6:$I$1005,AE455))</f>
        <v/>
      </c>
    </row>
    <row r="456" ht="20" customHeight="1">
      <c r="B456" s="72" t="n"/>
      <c r="C456" s="72" t="n"/>
      <c r="D456" s="72" t="n"/>
      <c r="E456" s="72" t="n"/>
      <c r="F456" s="110" t="n"/>
      <c r="G456" s="73" t="n"/>
      <c r="H456" s="75">
        <f>IF(B456="","",IF(G456&lt;&gt;"",G456,IF(F456&lt;&gt;"",F456*IFERROR(INDEX('Contractors'!$I$6:$I$1005,MATCH(B456,'Contractors'!$B$6:$B$1005,0)),0),"")))</f>
        <v/>
      </c>
      <c r="I456" s="109" t="n"/>
      <c r="J456" s="72" t="n"/>
      <c r="K456" s="109" t="n"/>
      <c r="L456" s="73" t="n"/>
      <c r="M456" s="109" t="n"/>
      <c r="N456" s="73" t="n"/>
      <c r="O456" s="107">
        <f>IF(B456="","",IF(M456&lt;&gt;"","Paid",IF(AND(I456&lt;&gt;"",I456&lt;AsOf),"OVERDUE",IF(OR(K456&lt;&gt;"",L456&lt;&gt;""),"Invoiced","Scheduled"))))</f>
        <v/>
      </c>
      <c r="P456" s="115">
        <f>IF(B456="","",IF(E456&lt;&gt;"",E456,IFERROR(INDEX('Contractors'!$D$6:$D$1005,MATCH(B456,'Contractors'!$B$6:$B$1005,0)),"")))</f>
        <v/>
      </c>
      <c r="Q456" s="79">
        <f>IF(B456="","",IF(D456&lt;&gt;"",D456,IFERROR(INDEX('Contractors'!$E$6:$E$1005,MATCH(B456,'Contractors'!$B$6:$B$1005,0)),"")))</f>
        <v/>
      </c>
      <c r="R456" s="79">
        <f>IF(O456="","",IF(O456="OVERDUE",2,IF(O456="Paid",0,IF(AND(I456&lt;&gt;"",I456&lt;=AsOf+AlertDays),1,0))))</f>
        <v/>
      </c>
      <c r="S456" s="79">
        <f>IF(AND(B456&lt;&gt;"",M456="",I456&lt;&gt;""),IF(L456&lt;&gt;"",L456,IF(H456="",0,H456)),0)</f>
        <v/>
      </c>
      <c r="T456" s="79">
        <f>IF(AND(B456&lt;&gt;"",M456="",I456&lt;&gt;""),1/I456,0)</f>
        <v/>
      </c>
      <c r="U456" s="112">
        <f>IF(AND(B456&lt;&gt;"",M456="",I456&lt;&gt;""),I456,"")</f>
        <v/>
      </c>
      <c r="V456" s="79">
        <f>IF(U456="","",IF(U456&lt;AsOf,1,IF(U456&lt;=AsOf+AlertDays,2,IF(U456&lt;=AsOf+2*AlertDays,3,""))))</f>
        <v/>
      </c>
      <c r="W456" s="79">
        <f>IF(V456="","",IF(O456="OVERDUE","Overdue payment: ","Payment due: ")&amp;B456&amp;" — "&amp;C456&amp;" ("&amp;CurSym&amp;" "&amp;FIXED(S456,0)&amp;")")</f>
        <v/>
      </c>
      <c r="Z456" s="116">
        <f>IF('Contractors'!B456="","",'Contractors'!B456)</f>
        <v/>
      </c>
      <c r="AA456" s="77">
        <f>IF(Z456="","",'Contractors'!K456)</f>
        <v/>
      </c>
      <c r="AB456" s="77">
        <f>IF(Z456="","",SUMIFS($L$6:$L$1005,$B$6:$B$1005,Z456))</f>
        <v/>
      </c>
      <c r="AC456" s="77">
        <f>IF(Z456="","",SUMIFS($N$6:$N$1005,$B$6:$B$1005,Z456))</f>
        <v/>
      </c>
      <c r="AD456" s="76">
        <f>IF(Z456="","",AA456-AC456)</f>
        <v/>
      </c>
      <c r="AE456" s="117">
        <f>IF(Z456="","",IFERROR(1/SUMPRODUCT(MAX(($B$6:$B$1005=Z456)*$T$6:$T$1005)),""))</f>
        <v/>
      </c>
      <c r="AF456" s="77">
        <f>IF(AE456="","",SUMIFS($S$6:$S$1005,$B$6:$B$1005,Z456,$I$6:$I$1005,AE456))</f>
        <v/>
      </c>
    </row>
    <row r="457" ht="20" customHeight="1">
      <c r="B457" s="72" t="n"/>
      <c r="C457" s="72" t="n"/>
      <c r="D457" s="72" t="n"/>
      <c r="E457" s="72" t="n"/>
      <c r="F457" s="110" t="n"/>
      <c r="G457" s="73" t="n"/>
      <c r="H457" s="75">
        <f>IF(B457="","",IF(G457&lt;&gt;"",G457,IF(F457&lt;&gt;"",F457*IFERROR(INDEX('Contractors'!$I$6:$I$1005,MATCH(B457,'Contractors'!$B$6:$B$1005,0)),0),"")))</f>
        <v/>
      </c>
      <c r="I457" s="109" t="n"/>
      <c r="J457" s="72" t="n"/>
      <c r="K457" s="109" t="n"/>
      <c r="L457" s="73" t="n"/>
      <c r="M457" s="109" t="n"/>
      <c r="N457" s="73" t="n"/>
      <c r="O457" s="107">
        <f>IF(B457="","",IF(M457&lt;&gt;"","Paid",IF(AND(I457&lt;&gt;"",I457&lt;AsOf),"OVERDUE",IF(OR(K457&lt;&gt;"",L457&lt;&gt;""),"Invoiced","Scheduled"))))</f>
        <v/>
      </c>
      <c r="P457" s="115">
        <f>IF(B457="","",IF(E457&lt;&gt;"",E457,IFERROR(INDEX('Contractors'!$D$6:$D$1005,MATCH(B457,'Contractors'!$B$6:$B$1005,0)),"")))</f>
        <v/>
      </c>
      <c r="Q457" s="79">
        <f>IF(B457="","",IF(D457&lt;&gt;"",D457,IFERROR(INDEX('Contractors'!$E$6:$E$1005,MATCH(B457,'Contractors'!$B$6:$B$1005,0)),"")))</f>
        <v/>
      </c>
      <c r="R457" s="79">
        <f>IF(O457="","",IF(O457="OVERDUE",2,IF(O457="Paid",0,IF(AND(I457&lt;&gt;"",I457&lt;=AsOf+AlertDays),1,0))))</f>
        <v/>
      </c>
      <c r="S457" s="79">
        <f>IF(AND(B457&lt;&gt;"",M457="",I457&lt;&gt;""),IF(L457&lt;&gt;"",L457,IF(H457="",0,H457)),0)</f>
        <v/>
      </c>
      <c r="T457" s="79">
        <f>IF(AND(B457&lt;&gt;"",M457="",I457&lt;&gt;""),1/I457,0)</f>
        <v/>
      </c>
      <c r="U457" s="112">
        <f>IF(AND(B457&lt;&gt;"",M457="",I457&lt;&gt;""),I457,"")</f>
        <v/>
      </c>
      <c r="V457" s="79">
        <f>IF(U457="","",IF(U457&lt;AsOf,1,IF(U457&lt;=AsOf+AlertDays,2,IF(U457&lt;=AsOf+2*AlertDays,3,""))))</f>
        <v/>
      </c>
      <c r="W457" s="79">
        <f>IF(V457="","",IF(O457="OVERDUE","Overdue payment: ","Payment due: ")&amp;B457&amp;" — "&amp;C457&amp;" ("&amp;CurSym&amp;" "&amp;FIXED(S457,0)&amp;")")</f>
        <v/>
      </c>
      <c r="Z457" s="116">
        <f>IF('Contractors'!B457="","",'Contractors'!B457)</f>
        <v/>
      </c>
      <c r="AA457" s="77">
        <f>IF(Z457="","",'Contractors'!K457)</f>
        <v/>
      </c>
      <c r="AB457" s="77">
        <f>IF(Z457="","",SUMIFS($L$6:$L$1005,$B$6:$B$1005,Z457))</f>
        <v/>
      </c>
      <c r="AC457" s="77">
        <f>IF(Z457="","",SUMIFS($N$6:$N$1005,$B$6:$B$1005,Z457))</f>
        <v/>
      </c>
      <c r="AD457" s="76">
        <f>IF(Z457="","",AA457-AC457)</f>
        <v/>
      </c>
      <c r="AE457" s="117">
        <f>IF(Z457="","",IFERROR(1/SUMPRODUCT(MAX(($B$6:$B$1005=Z457)*$T$6:$T$1005)),""))</f>
        <v/>
      </c>
      <c r="AF457" s="77">
        <f>IF(AE457="","",SUMIFS($S$6:$S$1005,$B$6:$B$1005,Z457,$I$6:$I$1005,AE457))</f>
        <v/>
      </c>
    </row>
    <row r="458" ht="20" customHeight="1">
      <c r="B458" s="72" t="n"/>
      <c r="C458" s="72" t="n"/>
      <c r="D458" s="72" t="n"/>
      <c r="E458" s="72" t="n"/>
      <c r="F458" s="110" t="n"/>
      <c r="G458" s="73" t="n"/>
      <c r="H458" s="75">
        <f>IF(B458="","",IF(G458&lt;&gt;"",G458,IF(F458&lt;&gt;"",F458*IFERROR(INDEX('Contractors'!$I$6:$I$1005,MATCH(B458,'Contractors'!$B$6:$B$1005,0)),0),"")))</f>
        <v/>
      </c>
      <c r="I458" s="109" t="n"/>
      <c r="J458" s="72" t="n"/>
      <c r="K458" s="109" t="n"/>
      <c r="L458" s="73" t="n"/>
      <c r="M458" s="109" t="n"/>
      <c r="N458" s="73" t="n"/>
      <c r="O458" s="107">
        <f>IF(B458="","",IF(M458&lt;&gt;"","Paid",IF(AND(I458&lt;&gt;"",I458&lt;AsOf),"OVERDUE",IF(OR(K458&lt;&gt;"",L458&lt;&gt;""),"Invoiced","Scheduled"))))</f>
        <v/>
      </c>
      <c r="P458" s="115">
        <f>IF(B458="","",IF(E458&lt;&gt;"",E458,IFERROR(INDEX('Contractors'!$D$6:$D$1005,MATCH(B458,'Contractors'!$B$6:$B$1005,0)),"")))</f>
        <v/>
      </c>
      <c r="Q458" s="79">
        <f>IF(B458="","",IF(D458&lt;&gt;"",D458,IFERROR(INDEX('Contractors'!$E$6:$E$1005,MATCH(B458,'Contractors'!$B$6:$B$1005,0)),"")))</f>
        <v/>
      </c>
      <c r="R458" s="79">
        <f>IF(O458="","",IF(O458="OVERDUE",2,IF(O458="Paid",0,IF(AND(I458&lt;&gt;"",I458&lt;=AsOf+AlertDays),1,0))))</f>
        <v/>
      </c>
      <c r="S458" s="79">
        <f>IF(AND(B458&lt;&gt;"",M458="",I458&lt;&gt;""),IF(L458&lt;&gt;"",L458,IF(H458="",0,H458)),0)</f>
        <v/>
      </c>
      <c r="T458" s="79">
        <f>IF(AND(B458&lt;&gt;"",M458="",I458&lt;&gt;""),1/I458,0)</f>
        <v/>
      </c>
      <c r="U458" s="112">
        <f>IF(AND(B458&lt;&gt;"",M458="",I458&lt;&gt;""),I458,"")</f>
        <v/>
      </c>
      <c r="V458" s="79">
        <f>IF(U458="","",IF(U458&lt;AsOf,1,IF(U458&lt;=AsOf+AlertDays,2,IF(U458&lt;=AsOf+2*AlertDays,3,""))))</f>
        <v/>
      </c>
      <c r="W458" s="79">
        <f>IF(V458="","",IF(O458="OVERDUE","Overdue payment: ","Payment due: ")&amp;B458&amp;" — "&amp;C458&amp;" ("&amp;CurSym&amp;" "&amp;FIXED(S458,0)&amp;")")</f>
        <v/>
      </c>
      <c r="Z458" s="116">
        <f>IF('Contractors'!B458="","",'Contractors'!B458)</f>
        <v/>
      </c>
      <c r="AA458" s="77">
        <f>IF(Z458="","",'Contractors'!K458)</f>
        <v/>
      </c>
      <c r="AB458" s="77">
        <f>IF(Z458="","",SUMIFS($L$6:$L$1005,$B$6:$B$1005,Z458))</f>
        <v/>
      </c>
      <c r="AC458" s="77">
        <f>IF(Z458="","",SUMIFS($N$6:$N$1005,$B$6:$B$1005,Z458))</f>
        <v/>
      </c>
      <c r="AD458" s="76">
        <f>IF(Z458="","",AA458-AC458)</f>
        <v/>
      </c>
      <c r="AE458" s="117">
        <f>IF(Z458="","",IFERROR(1/SUMPRODUCT(MAX(($B$6:$B$1005=Z458)*$T$6:$T$1005)),""))</f>
        <v/>
      </c>
      <c r="AF458" s="77">
        <f>IF(AE458="","",SUMIFS($S$6:$S$1005,$B$6:$B$1005,Z458,$I$6:$I$1005,AE458))</f>
        <v/>
      </c>
    </row>
    <row r="459" ht="20" customHeight="1">
      <c r="B459" s="72" t="n"/>
      <c r="C459" s="72" t="n"/>
      <c r="D459" s="72" t="n"/>
      <c r="E459" s="72" t="n"/>
      <c r="F459" s="110" t="n"/>
      <c r="G459" s="73" t="n"/>
      <c r="H459" s="75">
        <f>IF(B459="","",IF(G459&lt;&gt;"",G459,IF(F459&lt;&gt;"",F459*IFERROR(INDEX('Contractors'!$I$6:$I$1005,MATCH(B459,'Contractors'!$B$6:$B$1005,0)),0),"")))</f>
        <v/>
      </c>
      <c r="I459" s="109" t="n"/>
      <c r="J459" s="72" t="n"/>
      <c r="K459" s="109" t="n"/>
      <c r="L459" s="73" t="n"/>
      <c r="M459" s="109" t="n"/>
      <c r="N459" s="73" t="n"/>
      <c r="O459" s="107">
        <f>IF(B459="","",IF(M459&lt;&gt;"","Paid",IF(AND(I459&lt;&gt;"",I459&lt;AsOf),"OVERDUE",IF(OR(K459&lt;&gt;"",L459&lt;&gt;""),"Invoiced","Scheduled"))))</f>
        <v/>
      </c>
      <c r="P459" s="115">
        <f>IF(B459="","",IF(E459&lt;&gt;"",E459,IFERROR(INDEX('Contractors'!$D$6:$D$1005,MATCH(B459,'Contractors'!$B$6:$B$1005,0)),"")))</f>
        <v/>
      </c>
      <c r="Q459" s="79">
        <f>IF(B459="","",IF(D459&lt;&gt;"",D459,IFERROR(INDEX('Contractors'!$E$6:$E$1005,MATCH(B459,'Contractors'!$B$6:$B$1005,0)),"")))</f>
        <v/>
      </c>
      <c r="R459" s="79">
        <f>IF(O459="","",IF(O459="OVERDUE",2,IF(O459="Paid",0,IF(AND(I459&lt;&gt;"",I459&lt;=AsOf+AlertDays),1,0))))</f>
        <v/>
      </c>
      <c r="S459" s="79">
        <f>IF(AND(B459&lt;&gt;"",M459="",I459&lt;&gt;""),IF(L459&lt;&gt;"",L459,IF(H459="",0,H459)),0)</f>
        <v/>
      </c>
      <c r="T459" s="79">
        <f>IF(AND(B459&lt;&gt;"",M459="",I459&lt;&gt;""),1/I459,0)</f>
        <v/>
      </c>
      <c r="U459" s="112">
        <f>IF(AND(B459&lt;&gt;"",M459="",I459&lt;&gt;""),I459,"")</f>
        <v/>
      </c>
      <c r="V459" s="79">
        <f>IF(U459="","",IF(U459&lt;AsOf,1,IF(U459&lt;=AsOf+AlertDays,2,IF(U459&lt;=AsOf+2*AlertDays,3,""))))</f>
        <v/>
      </c>
      <c r="W459" s="79">
        <f>IF(V459="","",IF(O459="OVERDUE","Overdue payment: ","Payment due: ")&amp;B459&amp;" — "&amp;C459&amp;" ("&amp;CurSym&amp;" "&amp;FIXED(S459,0)&amp;")")</f>
        <v/>
      </c>
      <c r="Z459" s="116">
        <f>IF('Contractors'!B459="","",'Contractors'!B459)</f>
        <v/>
      </c>
      <c r="AA459" s="77">
        <f>IF(Z459="","",'Contractors'!K459)</f>
        <v/>
      </c>
      <c r="AB459" s="77">
        <f>IF(Z459="","",SUMIFS($L$6:$L$1005,$B$6:$B$1005,Z459))</f>
        <v/>
      </c>
      <c r="AC459" s="77">
        <f>IF(Z459="","",SUMIFS($N$6:$N$1005,$B$6:$B$1005,Z459))</f>
        <v/>
      </c>
      <c r="AD459" s="76">
        <f>IF(Z459="","",AA459-AC459)</f>
        <v/>
      </c>
      <c r="AE459" s="117">
        <f>IF(Z459="","",IFERROR(1/SUMPRODUCT(MAX(($B$6:$B$1005=Z459)*$T$6:$T$1005)),""))</f>
        <v/>
      </c>
      <c r="AF459" s="77">
        <f>IF(AE459="","",SUMIFS($S$6:$S$1005,$B$6:$B$1005,Z459,$I$6:$I$1005,AE459))</f>
        <v/>
      </c>
    </row>
    <row r="460" ht="20" customHeight="1">
      <c r="B460" s="72" t="n"/>
      <c r="C460" s="72" t="n"/>
      <c r="D460" s="72" t="n"/>
      <c r="E460" s="72" t="n"/>
      <c r="F460" s="110" t="n"/>
      <c r="G460" s="73" t="n"/>
      <c r="H460" s="75">
        <f>IF(B460="","",IF(G460&lt;&gt;"",G460,IF(F460&lt;&gt;"",F460*IFERROR(INDEX('Contractors'!$I$6:$I$1005,MATCH(B460,'Contractors'!$B$6:$B$1005,0)),0),"")))</f>
        <v/>
      </c>
      <c r="I460" s="109" t="n"/>
      <c r="J460" s="72" t="n"/>
      <c r="K460" s="109" t="n"/>
      <c r="L460" s="73" t="n"/>
      <c r="M460" s="109" t="n"/>
      <c r="N460" s="73" t="n"/>
      <c r="O460" s="107">
        <f>IF(B460="","",IF(M460&lt;&gt;"","Paid",IF(AND(I460&lt;&gt;"",I460&lt;AsOf),"OVERDUE",IF(OR(K460&lt;&gt;"",L460&lt;&gt;""),"Invoiced","Scheduled"))))</f>
        <v/>
      </c>
      <c r="P460" s="115">
        <f>IF(B460="","",IF(E460&lt;&gt;"",E460,IFERROR(INDEX('Contractors'!$D$6:$D$1005,MATCH(B460,'Contractors'!$B$6:$B$1005,0)),"")))</f>
        <v/>
      </c>
      <c r="Q460" s="79">
        <f>IF(B460="","",IF(D460&lt;&gt;"",D460,IFERROR(INDEX('Contractors'!$E$6:$E$1005,MATCH(B460,'Contractors'!$B$6:$B$1005,0)),"")))</f>
        <v/>
      </c>
      <c r="R460" s="79">
        <f>IF(O460="","",IF(O460="OVERDUE",2,IF(O460="Paid",0,IF(AND(I460&lt;&gt;"",I460&lt;=AsOf+AlertDays),1,0))))</f>
        <v/>
      </c>
      <c r="S460" s="79">
        <f>IF(AND(B460&lt;&gt;"",M460="",I460&lt;&gt;""),IF(L460&lt;&gt;"",L460,IF(H460="",0,H460)),0)</f>
        <v/>
      </c>
      <c r="T460" s="79">
        <f>IF(AND(B460&lt;&gt;"",M460="",I460&lt;&gt;""),1/I460,0)</f>
        <v/>
      </c>
      <c r="U460" s="112">
        <f>IF(AND(B460&lt;&gt;"",M460="",I460&lt;&gt;""),I460,"")</f>
        <v/>
      </c>
      <c r="V460" s="79">
        <f>IF(U460="","",IF(U460&lt;AsOf,1,IF(U460&lt;=AsOf+AlertDays,2,IF(U460&lt;=AsOf+2*AlertDays,3,""))))</f>
        <v/>
      </c>
      <c r="W460" s="79">
        <f>IF(V460="","",IF(O460="OVERDUE","Overdue payment: ","Payment due: ")&amp;B460&amp;" — "&amp;C460&amp;" ("&amp;CurSym&amp;" "&amp;FIXED(S460,0)&amp;")")</f>
        <v/>
      </c>
      <c r="Z460" s="116">
        <f>IF('Contractors'!B460="","",'Contractors'!B460)</f>
        <v/>
      </c>
      <c r="AA460" s="77">
        <f>IF(Z460="","",'Contractors'!K460)</f>
        <v/>
      </c>
      <c r="AB460" s="77">
        <f>IF(Z460="","",SUMIFS($L$6:$L$1005,$B$6:$B$1005,Z460))</f>
        <v/>
      </c>
      <c r="AC460" s="77">
        <f>IF(Z460="","",SUMIFS($N$6:$N$1005,$B$6:$B$1005,Z460))</f>
        <v/>
      </c>
      <c r="AD460" s="76">
        <f>IF(Z460="","",AA460-AC460)</f>
        <v/>
      </c>
      <c r="AE460" s="117">
        <f>IF(Z460="","",IFERROR(1/SUMPRODUCT(MAX(($B$6:$B$1005=Z460)*$T$6:$T$1005)),""))</f>
        <v/>
      </c>
      <c r="AF460" s="77">
        <f>IF(AE460="","",SUMIFS($S$6:$S$1005,$B$6:$B$1005,Z460,$I$6:$I$1005,AE460))</f>
        <v/>
      </c>
    </row>
    <row r="461" ht="20" customHeight="1">
      <c r="B461" s="72" t="n"/>
      <c r="C461" s="72" t="n"/>
      <c r="D461" s="72" t="n"/>
      <c r="E461" s="72" t="n"/>
      <c r="F461" s="110" t="n"/>
      <c r="G461" s="73" t="n"/>
      <c r="H461" s="75">
        <f>IF(B461="","",IF(G461&lt;&gt;"",G461,IF(F461&lt;&gt;"",F461*IFERROR(INDEX('Contractors'!$I$6:$I$1005,MATCH(B461,'Contractors'!$B$6:$B$1005,0)),0),"")))</f>
        <v/>
      </c>
      <c r="I461" s="109" t="n"/>
      <c r="J461" s="72" t="n"/>
      <c r="K461" s="109" t="n"/>
      <c r="L461" s="73" t="n"/>
      <c r="M461" s="109" t="n"/>
      <c r="N461" s="73" t="n"/>
      <c r="O461" s="107">
        <f>IF(B461="","",IF(M461&lt;&gt;"","Paid",IF(AND(I461&lt;&gt;"",I461&lt;AsOf),"OVERDUE",IF(OR(K461&lt;&gt;"",L461&lt;&gt;""),"Invoiced","Scheduled"))))</f>
        <v/>
      </c>
      <c r="P461" s="115">
        <f>IF(B461="","",IF(E461&lt;&gt;"",E461,IFERROR(INDEX('Contractors'!$D$6:$D$1005,MATCH(B461,'Contractors'!$B$6:$B$1005,0)),"")))</f>
        <v/>
      </c>
      <c r="Q461" s="79">
        <f>IF(B461="","",IF(D461&lt;&gt;"",D461,IFERROR(INDEX('Contractors'!$E$6:$E$1005,MATCH(B461,'Contractors'!$B$6:$B$1005,0)),"")))</f>
        <v/>
      </c>
      <c r="R461" s="79">
        <f>IF(O461="","",IF(O461="OVERDUE",2,IF(O461="Paid",0,IF(AND(I461&lt;&gt;"",I461&lt;=AsOf+AlertDays),1,0))))</f>
        <v/>
      </c>
      <c r="S461" s="79">
        <f>IF(AND(B461&lt;&gt;"",M461="",I461&lt;&gt;""),IF(L461&lt;&gt;"",L461,IF(H461="",0,H461)),0)</f>
        <v/>
      </c>
      <c r="T461" s="79">
        <f>IF(AND(B461&lt;&gt;"",M461="",I461&lt;&gt;""),1/I461,0)</f>
        <v/>
      </c>
      <c r="U461" s="112">
        <f>IF(AND(B461&lt;&gt;"",M461="",I461&lt;&gt;""),I461,"")</f>
        <v/>
      </c>
      <c r="V461" s="79">
        <f>IF(U461="","",IF(U461&lt;AsOf,1,IF(U461&lt;=AsOf+AlertDays,2,IF(U461&lt;=AsOf+2*AlertDays,3,""))))</f>
        <v/>
      </c>
      <c r="W461" s="79">
        <f>IF(V461="","",IF(O461="OVERDUE","Overdue payment: ","Payment due: ")&amp;B461&amp;" — "&amp;C461&amp;" ("&amp;CurSym&amp;" "&amp;FIXED(S461,0)&amp;")")</f>
        <v/>
      </c>
      <c r="Z461" s="116">
        <f>IF('Contractors'!B461="","",'Contractors'!B461)</f>
        <v/>
      </c>
      <c r="AA461" s="77">
        <f>IF(Z461="","",'Contractors'!K461)</f>
        <v/>
      </c>
      <c r="AB461" s="77">
        <f>IF(Z461="","",SUMIFS($L$6:$L$1005,$B$6:$B$1005,Z461))</f>
        <v/>
      </c>
      <c r="AC461" s="77">
        <f>IF(Z461="","",SUMIFS($N$6:$N$1005,$B$6:$B$1005,Z461))</f>
        <v/>
      </c>
      <c r="AD461" s="76">
        <f>IF(Z461="","",AA461-AC461)</f>
        <v/>
      </c>
      <c r="AE461" s="117">
        <f>IF(Z461="","",IFERROR(1/SUMPRODUCT(MAX(($B$6:$B$1005=Z461)*$T$6:$T$1005)),""))</f>
        <v/>
      </c>
      <c r="AF461" s="77">
        <f>IF(AE461="","",SUMIFS($S$6:$S$1005,$B$6:$B$1005,Z461,$I$6:$I$1005,AE461))</f>
        <v/>
      </c>
    </row>
    <row r="462" ht="20" customHeight="1">
      <c r="B462" s="72" t="n"/>
      <c r="C462" s="72" t="n"/>
      <c r="D462" s="72" t="n"/>
      <c r="E462" s="72" t="n"/>
      <c r="F462" s="110" t="n"/>
      <c r="G462" s="73" t="n"/>
      <c r="H462" s="75">
        <f>IF(B462="","",IF(G462&lt;&gt;"",G462,IF(F462&lt;&gt;"",F462*IFERROR(INDEX('Contractors'!$I$6:$I$1005,MATCH(B462,'Contractors'!$B$6:$B$1005,0)),0),"")))</f>
        <v/>
      </c>
      <c r="I462" s="109" t="n"/>
      <c r="J462" s="72" t="n"/>
      <c r="K462" s="109" t="n"/>
      <c r="L462" s="73" t="n"/>
      <c r="M462" s="109" t="n"/>
      <c r="N462" s="73" t="n"/>
      <c r="O462" s="107">
        <f>IF(B462="","",IF(M462&lt;&gt;"","Paid",IF(AND(I462&lt;&gt;"",I462&lt;AsOf),"OVERDUE",IF(OR(K462&lt;&gt;"",L462&lt;&gt;""),"Invoiced","Scheduled"))))</f>
        <v/>
      </c>
      <c r="P462" s="115">
        <f>IF(B462="","",IF(E462&lt;&gt;"",E462,IFERROR(INDEX('Contractors'!$D$6:$D$1005,MATCH(B462,'Contractors'!$B$6:$B$1005,0)),"")))</f>
        <v/>
      </c>
      <c r="Q462" s="79">
        <f>IF(B462="","",IF(D462&lt;&gt;"",D462,IFERROR(INDEX('Contractors'!$E$6:$E$1005,MATCH(B462,'Contractors'!$B$6:$B$1005,0)),"")))</f>
        <v/>
      </c>
      <c r="R462" s="79">
        <f>IF(O462="","",IF(O462="OVERDUE",2,IF(O462="Paid",0,IF(AND(I462&lt;&gt;"",I462&lt;=AsOf+AlertDays),1,0))))</f>
        <v/>
      </c>
      <c r="S462" s="79">
        <f>IF(AND(B462&lt;&gt;"",M462="",I462&lt;&gt;""),IF(L462&lt;&gt;"",L462,IF(H462="",0,H462)),0)</f>
        <v/>
      </c>
      <c r="T462" s="79">
        <f>IF(AND(B462&lt;&gt;"",M462="",I462&lt;&gt;""),1/I462,0)</f>
        <v/>
      </c>
      <c r="U462" s="112">
        <f>IF(AND(B462&lt;&gt;"",M462="",I462&lt;&gt;""),I462,"")</f>
        <v/>
      </c>
      <c r="V462" s="79">
        <f>IF(U462="","",IF(U462&lt;AsOf,1,IF(U462&lt;=AsOf+AlertDays,2,IF(U462&lt;=AsOf+2*AlertDays,3,""))))</f>
        <v/>
      </c>
      <c r="W462" s="79">
        <f>IF(V462="","",IF(O462="OVERDUE","Overdue payment: ","Payment due: ")&amp;B462&amp;" — "&amp;C462&amp;" ("&amp;CurSym&amp;" "&amp;FIXED(S462,0)&amp;")")</f>
        <v/>
      </c>
      <c r="Z462" s="116">
        <f>IF('Contractors'!B462="","",'Contractors'!B462)</f>
        <v/>
      </c>
      <c r="AA462" s="77">
        <f>IF(Z462="","",'Contractors'!K462)</f>
        <v/>
      </c>
      <c r="AB462" s="77">
        <f>IF(Z462="","",SUMIFS($L$6:$L$1005,$B$6:$B$1005,Z462))</f>
        <v/>
      </c>
      <c r="AC462" s="77">
        <f>IF(Z462="","",SUMIFS($N$6:$N$1005,$B$6:$B$1005,Z462))</f>
        <v/>
      </c>
      <c r="AD462" s="76">
        <f>IF(Z462="","",AA462-AC462)</f>
        <v/>
      </c>
      <c r="AE462" s="117">
        <f>IF(Z462="","",IFERROR(1/SUMPRODUCT(MAX(($B$6:$B$1005=Z462)*$T$6:$T$1005)),""))</f>
        <v/>
      </c>
      <c r="AF462" s="77">
        <f>IF(AE462="","",SUMIFS($S$6:$S$1005,$B$6:$B$1005,Z462,$I$6:$I$1005,AE462))</f>
        <v/>
      </c>
    </row>
    <row r="463" ht="20" customHeight="1">
      <c r="B463" s="72" t="n"/>
      <c r="C463" s="72" t="n"/>
      <c r="D463" s="72" t="n"/>
      <c r="E463" s="72" t="n"/>
      <c r="F463" s="110" t="n"/>
      <c r="G463" s="73" t="n"/>
      <c r="H463" s="75">
        <f>IF(B463="","",IF(G463&lt;&gt;"",G463,IF(F463&lt;&gt;"",F463*IFERROR(INDEX('Contractors'!$I$6:$I$1005,MATCH(B463,'Contractors'!$B$6:$B$1005,0)),0),"")))</f>
        <v/>
      </c>
      <c r="I463" s="109" t="n"/>
      <c r="J463" s="72" t="n"/>
      <c r="K463" s="109" t="n"/>
      <c r="L463" s="73" t="n"/>
      <c r="M463" s="109" t="n"/>
      <c r="N463" s="73" t="n"/>
      <c r="O463" s="107">
        <f>IF(B463="","",IF(M463&lt;&gt;"","Paid",IF(AND(I463&lt;&gt;"",I463&lt;AsOf),"OVERDUE",IF(OR(K463&lt;&gt;"",L463&lt;&gt;""),"Invoiced","Scheduled"))))</f>
        <v/>
      </c>
      <c r="P463" s="115">
        <f>IF(B463="","",IF(E463&lt;&gt;"",E463,IFERROR(INDEX('Contractors'!$D$6:$D$1005,MATCH(B463,'Contractors'!$B$6:$B$1005,0)),"")))</f>
        <v/>
      </c>
      <c r="Q463" s="79">
        <f>IF(B463="","",IF(D463&lt;&gt;"",D463,IFERROR(INDEX('Contractors'!$E$6:$E$1005,MATCH(B463,'Contractors'!$B$6:$B$1005,0)),"")))</f>
        <v/>
      </c>
      <c r="R463" s="79">
        <f>IF(O463="","",IF(O463="OVERDUE",2,IF(O463="Paid",0,IF(AND(I463&lt;&gt;"",I463&lt;=AsOf+AlertDays),1,0))))</f>
        <v/>
      </c>
      <c r="S463" s="79">
        <f>IF(AND(B463&lt;&gt;"",M463="",I463&lt;&gt;""),IF(L463&lt;&gt;"",L463,IF(H463="",0,H463)),0)</f>
        <v/>
      </c>
      <c r="T463" s="79">
        <f>IF(AND(B463&lt;&gt;"",M463="",I463&lt;&gt;""),1/I463,0)</f>
        <v/>
      </c>
      <c r="U463" s="112">
        <f>IF(AND(B463&lt;&gt;"",M463="",I463&lt;&gt;""),I463,"")</f>
        <v/>
      </c>
      <c r="V463" s="79">
        <f>IF(U463="","",IF(U463&lt;AsOf,1,IF(U463&lt;=AsOf+AlertDays,2,IF(U463&lt;=AsOf+2*AlertDays,3,""))))</f>
        <v/>
      </c>
      <c r="W463" s="79">
        <f>IF(V463="","",IF(O463="OVERDUE","Overdue payment: ","Payment due: ")&amp;B463&amp;" — "&amp;C463&amp;" ("&amp;CurSym&amp;" "&amp;FIXED(S463,0)&amp;")")</f>
        <v/>
      </c>
      <c r="Z463" s="116">
        <f>IF('Contractors'!B463="","",'Contractors'!B463)</f>
        <v/>
      </c>
      <c r="AA463" s="77">
        <f>IF(Z463="","",'Contractors'!K463)</f>
        <v/>
      </c>
      <c r="AB463" s="77">
        <f>IF(Z463="","",SUMIFS($L$6:$L$1005,$B$6:$B$1005,Z463))</f>
        <v/>
      </c>
      <c r="AC463" s="77">
        <f>IF(Z463="","",SUMIFS($N$6:$N$1005,$B$6:$B$1005,Z463))</f>
        <v/>
      </c>
      <c r="AD463" s="76">
        <f>IF(Z463="","",AA463-AC463)</f>
        <v/>
      </c>
      <c r="AE463" s="117">
        <f>IF(Z463="","",IFERROR(1/SUMPRODUCT(MAX(($B$6:$B$1005=Z463)*$T$6:$T$1005)),""))</f>
        <v/>
      </c>
      <c r="AF463" s="77">
        <f>IF(AE463="","",SUMIFS($S$6:$S$1005,$B$6:$B$1005,Z463,$I$6:$I$1005,AE463))</f>
        <v/>
      </c>
    </row>
    <row r="464" ht="20" customHeight="1">
      <c r="B464" s="72" t="n"/>
      <c r="C464" s="72" t="n"/>
      <c r="D464" s="72" t="n"/>
      <c r="E464" s="72" t="n"/>
      <c r="F464" s="110" t="n"/>
      <c r="G464" s="73" t="n"/>
      <c r="H464" s="75">
        <f>IF(B464="","",IF(G464&lt;&gt;"",G464,IF(F464&lt;&gt;"",F464*IFERROR(INDEX('Contractors'!$I$6:$I$1005,MATCH(B464,'Contractors'!$B$6:$B$1005,0)),0),"")))</f>
        <v/>
      </c>
      <c r="I464" s="109" t="n"/>
      <c r="J464" s="72" t="n"/>
      <c r="K464" s="109" t="n"/>
      <c r="L464" s="73" t="n"/>
      <c r="M464" s="109" t="n"/>
      <c r="N464" s="73" t="n"/>
      <c r="O464" s="107">
        <f>IF(B464="","",IF(M464&lt;&gt;"","Paid",IF(AND(I464&lt;&gt;"",I464&lt;AsOf),"OVERDUE",IF(OR(K464&lt;&gt;"",L464&lt;&gt;""),"Invoiced","Scheduled"))))</f>
        <v/>
      </c>
      <c r="P464" s="115">
        <f>IF(B464="","",IF(E464&lt;&gt;"",E464,IFERROR(INDEX('Contractors'!$D$6:$D$1005,MATCH(B464,'Contractors'!$B$6:$B$1005,0)),"")))</f>
        <v/>
      </c>
      <c r="Q464" s="79">
        <f>IF(B464="","",IF(D464&lt;&gt;"",D464,IFERROR(INDEX('Contractors'!$E$6:$E$1005,MATCH(B464,'Contractors'!$B$6:$B$1005,0)),"")))</f>
        <v/>
      </c>
      <c r="R464" s="79">
        <f>IF(O464="","",IF(O464="OVERDUE",2,IF(O464="Paid",0,IF(AND(I464&lt;&gt;"",I464&lt;=AsOf+AlertDays),1,0))))</f>
        <v/>
      </c>
      <c r="S464" s="79">
        <f>IF(AND(B464&lt;&gt;"",M464="",I464&lt;&gt;""),IF(L464&lt;&gt;"",L464,IF(H464="",0,H464)),0)</f>
        <v/>
      </c>
      <c r="T464" s="79">
        <f>IF(AND(B464&lt;&gt;"",M464="",I464&lt;&gt;""),1/I464,0)</f>
        <v/>
      </c>
      <c r="U464" s="112">
        <f>IF(AND(B464&lt;&gt;"",M464="",I464&lt;&gt;""),I464,"")</f>
        <v/>
      </c>
      <c r="V464" s="79">
        <f>IF(U464="","",IF(U464&lt;AsOf,1,IF(U464&lt;=AsOf+AlertDays,2,IF(U464&lt;=AsOf+2*AlertDays,3,""))))</f>
        <v/>
      </c>
      <c r="W464" s="79">
        <f>IF(V464="","",IF(O464="OVERDUE","Overdue payment: ","Payment due: ")&amp;B464&amp;" — "&amp;C464&amp;" ("&amp;CurSym&amp;" "&amp;FIXED(S464,0)&amp;")")</f>
        <v/>
      </c>
      <c r="Z464" s="116">
        <f>IF('Contractors'!B464="","",'Contractors'!B464)</f>
        <v/>
      </c>
      <c r="AA464" s="77">
        <f>IF(Z464="","",'Contractors'!K464)</f>
        <v/>
      </c>
      <c r="AB464" s="77">
        <f>IF(Z464="","",SUMIFS($L$6:$L$1005,$B$6:$B$1005,Z464))</f>
        <v/>
      </c>
      <c r="AC464" s="77">
        <f>IF(Z464="","",SUMIFS($N$6:$N$1005,$B$6:$B$1005,Z464))</f>
        <v/>
      </c>
      <c r="AD464" s="76">
        <f>IF(Z464="","",AA464-AC464)</f>
        <v/>
      </c>
      <c r="AE464" s="117">
        <f>IF(Z464="","",IFERROR(1/SUMPRODUCT(MAX(($B$6:$B$1005=Z464)*$T$6:$T$1005)),""))</f>
        <v/>
      </c>
      <c r="AF464" s="77">
        <f>IF(AE464="","",SUMIFS($S$6:$S$1005,$B$6:$B$1005,Z464,$I$6:$I$1005,AE464))</f>
        <v/>
      </c>
    </row>
    <row r="465" ht="20" customHeight="1">
      <c r="B465" s="72" t="n"/>
      <c r="C465" s="72" t="n"/>
      <c r="D465" s="72" t="n"/>
      <c r="E465" s="72" t="n"/>
      <c r="F465" s="110" t="n"/>
      <c r="G465" s="73" t="n"/>
      <c r="H465" s="75">
        <f>IF(B465="","",IF(G465&lt;&gt;"",G465,IF(F465&lt;&gt;"",F465*IFERROR(INDEX('Contractors'!$I$6:$I$1005,MATCH(B465,'Contractors'!$B$6:$B$1005,0)),0),"")))</f>
        <v/>
      </c>
      <c r="I465" s="109" t="n"/>
      <c r="J465" s="72" t="n"/>
      <c r="K465" s="109" t="n"/>
      <c r="L465" s="73" t="n"/>
      <c r="M465" s="109" t="n"/>
      <c r="N465" s="73" t="n"/>
      <c r="O465" s="107">
        <f>IF(B465="","",IF(M465&lt;&gt;"","Paid",IF(AND(I465&lt;&gt;"",I465&lt;AsOf),"OVERDUE",IF(OR(K465&lt;&gt;"",L465&lt;&gt;""),"Invoiced","Scheduled"))))</f>
        <v/>
      </c>
      <c r="P465" s="115">
        <f>IF(B465="","",IF(E465&lt;&gt;"",E465,IFERROR(INDEX('Contractors'!$D$6:$D$1005,MATCH(B465,'Contractors'!$B$6:$B$1005,0)),"")))</f>
        <v/>
      </c>
      <c r="Q465" s="79">
        <f>IF(B465="","",IF(D465&lt;&gt;"",D465,IFERROR(INDEX('Contractors'!$E$6:$E$1005,MATCH(B465,'Contractors'!$B$6:$B$1005,0)),"")))</f>
        <v/>
      </c>
      <c r="R465" s="79">
        <f>IF(O465="","",IF(O465="OVERDUE",2,IF(O465="Paid",0,IF(AND(I465&lt;&gt;"",I465&lt;=AsOf+AlertDays),1,0))))</f>
        <v/>
      </c>
      <c r="S465" s="79">
        <f>IF(AND(B465&lt;&gt;"",M465="",I465&lt;&gt;""),IF(L465&lt;&gt;"",L465,IF(H465="",0,H465)),0)</f>
        <v/>
      </c>
      <c r="T465" s="79">
        <f>IF(AND(B465&lt;&gt;"",M465="",I465&lt;&gt;""),1/I465,0)</f>
        <v/>
      </c>
      <c r="U465" s="112">
        <f>IF(AND(B465&lt;&gt;"",M465="",I465&lt;&gt;""),I465,"")</f>
        <v/>
      </c>
      <c r="V465" s="79">
        <f>IF(U465="","",IF(U465&lt;AsOf,1,IF(U465&lt;=AsOf+AlertDays,2,IF(U465&lt;=AsOf+2*AlertDays,3,""))))</f>
        <v/>
      </c>
      <c r="W465" s="79">
        <f>IF(V465="","",IF(O465="OVERDUE","Overdue payment: ","Payment due: ")&amp;B465&amp;" — "&amp;C465&amp;" ("&amp;CurSym&amp;" "&amp;FIXED(S465,0)&amp;")")</f>
        <v/>
      </c>
      <c r="Z465" s="116">
        <f>IF('Contractors'!B465="","",'Contractors'!B465)</f>
        <v/>
      </c>
      <c r="AA465" s="77">
        <f>IF(Z465="","",'Contractors'!K465)</f>
        <v/>
      </c>
      <c r="AB465" s="77">
        <f>IF(Z465="","",SUMIFS($L$6:$L$1005,$B$6:$B$1005,Z465))</f>
        <v/>
      </c>
      <c r="AC465" s="77">
        <f>IF(Z465="","",SUMIFS($N$6:$N$1005,$B$6:$B$1005,Z465))</f>
        <v/>
      </c>
      <c r="AD465" s="76">
        <f>IF(Z465="","",AA465-AC465)</f>
        <v/>
      </c>
      <c r="AE465" s="117">
        <f>IF(Z465="","",IFERROR(1/SUMPRODUCT(MAX(($B$6:$B$1005=Z465)*$T$6:$T$1005)),""))</f>
        <v/>
      </c>
      <c r="AF465" s="77">
        <f>IF(AE465="","",SUMIFS($S$6:$S$1005,$B$6:$B$1005,Z465,$I$6:$I$1005,AE465))</f>
        <v/>
      </c>
    </row>
    <row r="466" ht="20" customHeight="1">
      <c r="B466" s="72" t="n"/>
      <c r="C466" s="72" t="n"/>
      <c r="D466" s="72" t="n"/>
      <c r="E466" s="72" t="n"/>
      <c r="F466" s="110" t="n"/>
      <c r="G466" s="73" t="n"/>
      <c r="H466" s="75">
        <f>IF(B466="","",IF(G466&lt;&gt;"",G466,IF(F466&lt;&gt;"",F466*IFERROR(INDEX('Contractors'!$I$6:$I$1005,MATCH(B466,'Contractors'!$B$6:$B$1005,0)),0),"")))</f>
        <v/>
      </c>
      <c r="I466" s="109" t="n"/>
      <c r="J466" s="72" t="n"/>
      <c r="K466" s="109" t="n"/>
      <c r="L466" s="73" t="n"/>
      <c r="M466" s="109" t="n"/>
      <c r="N466" s="73" t="n"/>
      <c r="O466" s="107">
        <f>IF(B466="","",IF(M466&lt;&gt;"","Paid",IF(AND(I466&lt;&gt;"",I466&lt;AsOf),"OVERDUE",IF(OR(K466&lt;&gt;"",L466&lt;&gt;""),"Invoiced","Scheduled"))))</f>
        <v/>
      </c>
      <c r="P466" s="115">
        <f>IF(B466="","",IF(E466&lt;&gt;"",E466,IFERROR(INDEX('Contractors'!$D$6:$D$1005,MATCH(B466,'Contractors'!$B$6:$B$1005,0)),"")))</f>
        <v/>
      </c>
      <c r="Q466" s="79">
        <f>IF(B466="","",IF(D466&lt;&gt;"",D466,IFERROR(INDEX('Contractors'!$E$6:$E$1005,MATCH(B466,'Contractors'!$B$6:$B$1005,0)),"")))</f>
        <v/>
      </c>
      <c r="R466" s="79">
        <f>IF(O466="","",IF(O466="OVERDUE",2,IF(O466="Paid",0,IF(AND(I466&lt;&gt;"",I466&lt;=AsOf+AlertDays),1,0))))</f>
        <v/>
      </c>
      <c r="S466" s="79">
        <f>IF(AND(B466&lt;&gt;"",M466="",I466&lt;&gt;""),IF(L466&lt;&gt;"",L466,IF(H466="",0,H466)),0)</f>
        <v/>
      </c>
      <c r="T466" s="79">
        <f>IF(AND(B466&lt;&gt;"",M466="",I466&lt;&gt;""),1/I466,0)</f>
        <v/>
      </c>
      <c r="U466" s="112">
        <f>IF(AND(B466&lt;&gt;"",M466="",I466&lt;&gt;""),I466,"")</f>
        <v/>
      </c>
      <c r="V466" s="79">
        <f>IF(U466="","",IF(U466&lt;AsOf,1,IF(U466&lt;=AsOf+AlertDays,2,IF(U466&lt;=AsOf+2*AlertDays,3,""))))</f>
        <v/>
      </c>
      <c r="W466" s="79">
        <f>IF(V466="","",IF(O466="OVERDUE","Overdue payment: ","Payment due: ")&amp;B466&amp;" — "&amp;C466&amp;" ("&amp;CurSym&amp;" "&amp;FIXED(S466,0)&amp;")")</f>
        <v/>
      </c>
      <c r="Z466" s="116">
        <f>IF('Contractors'!B466="","",'Contractors'!B466)</f>
        <v/>
      </c>
      <c r="AA466" s="77">
        <f>IF(Z466="","",'Contractors'!K466)</f>
        <v/>
      </c>
      <c r="AB466" s="77">
        <f>IF(Z466="","",SUMIFS($L$6:$L$1005,$B$6:$B$1005,Z466))</f>
        <v/>
      </c>
      <c r="AC466" s="77">
        <f>IF(Z466="","",SUMIFS($N$6:$N$1005,$B$6:$B$1005,Z466))</f>
        <v/>
      </c>
      <c r="AD466" s="76">
        <f>IF(Z466="","",AA466-AC466)</f>
        <v/>
      </c>
      <c r="AE466" s="117">
        <f>IF(Z466="","",IFERROR(1/SUMPRODUCT(MAX(($B$6:$B$1005=Z466)*$T$6:$T$1005)),""))</f>
        <v/>
      </c>
      <c r="AF466" s="77">
        <f>IF(AE466="","",SUMIFS($S$6:$S$1005,$B$6:$B$1005,Z466,$I$6:$I$1005,AE466))</f>
        <v/>
      </c>
    </row>
    <row r="467" ht="20" customHeight="1">
      <c r="B467" s="72" t="n"/>
      <c r="C467" s="72" t="n"/>
      <c r="D467" s="72" t="n"/>
      <c r="E467" s="72" t="n"/>
      <c r="F467" s="110" t="n"/>
      <c r="G467" s="73" t="n"/>
      <c r="H467" s="75">
        <f>IF(B467="","",IF(G467&lt;&gt;"",G467,IF(F467&lt;&gt;"",F467*IFERROR(INDEX('Contractors'!$I$6:$I$1005,MATCH(B467,'Contractors'!$B$6:$B$1005,0)),0),"")))</f>
        <v/>
      </c>
      <c r="I467" s="109" t="n"/>
      <c r="J467" s="72" t="n"/>
      <c r="K467" s="109" t="n"/>
      <c r="L467" s="73" t="n"/>
      <c r="M467" s="109" t="n"/>
      <c r="N467" s="73" t="n"/>
      <c r="O467" s="107">
        <f>IF(B467="","",IF(M467&lt;&gt;"","Paid",IF(AND(I467&lt;&gt;"",I467&lt;AsOf),"OVERDUE",IF(OR(K467&lt;&gt;"",L467&lt;&gt;""),"Invoiced","Scheduled"))))</f>
        <v/>
      </c>
      <c r="P467" s="115">
        <f>IF(B467="","",IF(E467&lt;&gt;"",E467,IFERROR(INDEX('Contractors'!$D$6:$D$1005,MATCH(B467,'Contractors'!$B$6:$B$1005,0)),"")))</f>
        <v/>
      </c>
      <c r="Q467" s="79">
        <f>IF(B467="","",IF(D467&lt;&gt;"",D467,IFERROR(INDEX('Contractors'!$E$6:$E$1005,MATCH(B467,'Contractors'!$B$6:$B$1005,0)),"")))</f>
        <v/>
      </c>
      <c r="R467" s="79">
        <f>IF(O467="","",IF(O467="OVERDUE",2,IF(O467="Paid",0,IF(AND(I467&lt;&gt;"",I467&lt;=AsOf+AlertDays),1,0))))</f>
        <v/>
      </c>
      <c r="S467" s="79">
        <f>IF(AND(B467&lt;&gt;"",M467="",I467&lt;&gt;""),IF(L467&lt;&gt;"",L467,IF(H467="",0,H467)),0)</f>
        <v/>
      </c>
      <c r="T467" s="79">
        <f>IF(AND(B467&lt;&gt;"",M467="",I467&lt;&gt;""),1/I467,0)</f>
        <v/>
      </c>
      <c r="U467" s="112">
        <f>IF(AND(B467&lt;&gt;"",M467="",I467&lt;&gt;""),I467,"")</f>
        <v/>
      </c>
      <c r="V467" s="79">
        <f>IF(U467="","",IF(U467&lt;AsOf,1,IF(U467&lt;=AsOf+AlertDays,2,IF(U467&lt;=AsOf+2*AlertDays,3,""))))</f>
        <v/>
      </c>
      <c r="W467" s="79">
        <f>IF(V467="","",IF(O467="OVERDUE","Overdue payment: ","Payment due: ")&amp;B467&amp;" — "&amp;C467&amp;" ("&amp;CurSym&amp;" "&amp;FIXED(S467,0)&amp;")")</f>
        <v/>
      </c>
      <c r="Z467" s="116">
        <f>IF('Contractors'!B467="","",'Contractors'!B467)</f>
        <v/>
      </c>
      <c r="AA467" s="77">
        <f>IF(Z467="","",'Contractors'!K467)</f>
        <v/>
      </c>
      <c r="AB467" s="77">
        <f>IF(Z467="","",SUMIFS($L$6:$L$1005,$B$6:$B$1005,Z467))</f>
        <v/>
      </c>
      <c r="AC467" s="77">
        <f>IF(Z467="","",SUMIFS($N$6:$N$1005,$B$6:$B$1005,Z467))</f>
        <v/>
      </c>
      <c r="AD467" s="76">
        <f>IF(Z467="","",AA467-AC467)</f>
        <v/>
      </c>
      <c r="AE467" s="117">
        <f>IF(Z467="","",IFERROR(1/SUMPRODUCT(MAX(($B$6:$B$1005=Z467)*$T$6:$T$1005)),""))</f>
        <v/>
      </c>
      <c r="AF467" s="77">
        <f>IF(AE467="","",SUMIFS($S$6:$S$1005,$B$6:$B$1005,Z467,$I$6:$I$1005,AE467))</f>
        <v/>
      </c>
    </row>
    <row r="468" ht="20" customHeight="1">
      <c r="B468" s="72" t="n"/>
      <c r="C468" s="72" t="n"/>
      <c r="D468" s="72" t="n"/>
      <c r="E468" s="72" t="n"/>
      <c r="F468" s="110" t="n"/>
      <c r="G468" s="73" t="n"/>
      <c r="H468" s="75">
        <f>IF(B468="","",IF(G468&lt;&gt;"",G468,IF(F468&lt;&gt;"",F468*IFERROR(INDEX('Contractors'!$I$6:$I$1005,MATCH(B468,'Contractors'!$B$6:$B$1005,0)),0),"")))</f>
        <v/>
      </c>
      <c r="I468" s="109" t="n"/>
      <c r="J468" s="72" t="n"/>
      <c r="K468" s="109" t="n"/>
      <c r="L468" s="73" t="n"/>
      <c r="M468" s="109" t="n"/>
      <c r="N468" s="73" t="n"/>
      <c r="O468" s="107">
        <f>IF(B468="","",IF(M468&lt;&gt;"","Paid",IF(AND(I468&lt;&gt;"",I468&lt;AsOf),"OVERDUE",IF(OR(K468&lt;&gt;"",L468&lt;&gt;""),"Invoiced","Scheduled"))))</f>
        <v/>
      </c>
      <c r="P468" s="115">
        <f>IF(B468="","",IF(E468&lt;&gt;"",E468,IFERROR(INDEX('Contractors'!$D$6:$D$1005,MATCH(B468,'Contractors'!$B$6:$B$1005,0)),"")))</f>
        <v/>
      </c>
      <c r="Q468" s="79">
        <f>IF(B468="","",IF(D468&lt;&gt;"",D468,IFERROR(INDEX('Contractors'!$E$6:$E$1005,MATCH(B468,'Contractors'!$B$6:$B$1005,0)),"")))</f>
        <v/>
      </c>
      <c r="R468" s="79">
        <f>IF(O468="","",IF(O468="OVERDUE",2,IF(O468="Paid",0,IF(AND(I468&lt;&gt;"",I468&lt;=AsOf+AlertDays),1,0))))</f>
        <v/>
      </c>
      <c r="S468" s="79">
        <f>IF(AND(B468&lt;&gt;"",M468="",I468&lt;&gt;""),IF(L468&lt;&gt;"",L468,IF(H468="",0,H468)),0)</f>
        <v/>
      </c>
      <c r="T468" s="79">
        <f>IF(AND(B468&lt;&gt;"",M468="",I468&lt;&gt;""),1/I468,0)</f>
        <v/>
      </c>
      <c r="U468" s="112">
        <f>IF(AND(B468&lt;&gt;"",M468="",I468&lt;&gt;""),I468,"")</f>
        <v/>
      </c>
      <c r="V468" s="79">
        <f>IF(U468="","",IF(U468&lt;AsOf,1,IF(U468&lt;=AsOf+AlertDays,2,IF(U468&lt;=AsOf+2*AlertDays,3,""))))</f>
        <v/>
      </c>
      <c r="W468" s="79">
        <f>IF(V468="","",IF(O468="OVERDUE","Overdue payment: ","Payment due: ")&amp;B468&amp;" — "&amp;C468&amp;" ("&amp;CurSym&amp;" "&amp;FIXED(S468,0)&amp;")")</f>
        <v/>
      </c>
      <c r="Z468" s="116">
        <f>IF('Contractors'!B468="","",'Contractors'!B468)</f>
        <v/>
      </c>
      <c r="AA468" s="77">
        <f>IF(Z468="","",'Contractors'!K468)</f>
        <v/>
      </c>
      <c r="AB468" s="77">
        <f>IF(Z468="","",SUMIFS($L$6:$L$1005,$B$6:$B$1005,Z468))</f>
        <v/>
      </c>
      <c r="AC468" s="77">
        <f>IF(Z468="","",SUMIFS($N$6:$N$1005,$B$6:$B$1005,Z468))</f>
        <v/>
      </c>
      <c r="AD468" s="76">
        <f>IF(Z468="","",AA468-AC468)</f>
        <v/>
      </c>
      <c r="AE468" s="117">
        <f>IF(Z468="","",IFERROR(1/SUMPRODUCT(MAX(($B$6:$B$1005=Z468)*$T$6:$T$1005)),""))</f>
        <v/>
      </c>
      <c r="AF468" s="77">
        <f>IF(AE468="","",SUMIFS($S$6:$S$1005,$B$6:$B$1005,Z468,$I$6:$I$1005,AE468))</f>
        <v/>
      </c>
    </row>
    <row r="469" ht="20" customHeight="1">
      <c r="B469" s="72" t="n"/>
      <c r="C469" s="72" t="n"/>
      <c r="D469" s="72" t="n"/>
      <c r="E469" s="72" t="n"/>
      <c r="F469" s="110" t="n"/>
      <c r="G469" s="73" t="n"/>
      <c r="H469" s="75">
        <f>IF(B469="","",IF(G469&lt;&gt;"",G469,IF(F469&lt;&gt;"",F469*IFERROR(INDEX('Contractors'!$I$6:$I$1005,MATCH(B469,'Contractors'!$B$6:$B$1005,0)),0),"")))</f>
        <v/>
      </c>
      <c r="I469" s="109" t="n"/>
      <c r="J469" s="72" t="n"/>
      <c r="K469" s="109" t="n"/>
      <c r="L469" s="73" t="n"/>
      <c r="M469" s="109" t="n"/>
      <c r="N469" s="73" t="n"/>
      <c r="O469" s="107">
        <f>IF(B469="","",IF(M469&lt;&gt;"","Paid",IF(AND(I469&lt;&gt;"",I469&lt;AsOf),"OVERDUE",IF(OR(K469&lt;&gt;"",L469&lt;&gt;""),"Invoiced","Scheduled"))))</f>
        <v/>
      </c>
      <c r="P469" s="115">
        <f>IF(B469="","",IF(E469&lt;&gt;"",E469,IFERROR(INDEX('Contractors'!$D$6:$D$1005,MATCH(B469,'Contractors'!$B$6:$B$1005,0)),"")))</f>
        <v/>
      </c>
      <c r="Q469" s="79">
        <f>IF(B469="","",IF(D469&lt;&gt;"",D469,IFERROR(INDEX('Contractors'!$E$6:$E$1005,MATCH(B469,'Contractors'!$B$6:$B$1005,0)),"")))</f>
        <v/>
      </c>
      <c r="R469" s="79">
        <f>IF(O469="","",IF(O469="OVERDUE",2,IF(O469="Paid",0,IF(AND(I469&lt;&gt;"",I469&lt;=AsOf+AlertDays),1,0))))</f>
        <v/>
      </c>
      <c r="S469" s="79">
        <f>IF(AND(B469&lt;&gt;"",M469="",I469&lt;&gt;""),IF(L469&lt;&gt;"",L469,IF(H469="",0,H469)),0)</f>
        <v/>
      </c>
      <c r="T469" s="79">
        <f>IF(AND(B469&lt;&gt;"",M469="",I469&lt;&gt;""),1/I469,0)</f>
        <v/>
      </c>
      <c r="U469" s="112">
        <f>IF(AND(B469&lt;&gt;"",M469="",I469&lt;&gt;""),I469,"")</f>
        <v/>
      </c>
      <c r="V469" s="79">
        <f>IF(U469="","",IF(U469&lt;AsOf,1,IF(U469&lt;=AsOf+AlertDays,2,IF(U469&lt;=AsOf+2*AlertDays,3,""))))</f>
        <v/>
      </c>
      <c r="W469" s="79">
        <f>IF(V469="","",IF(O469="OVERDUE","Overdue payment: ","Payment due: ")&amp;B469&amp;" — "&amp;C469&amp;" ("&amp;CurSym&amp;" "&amp;FIXED(S469,0)&amp;")")</f>
        <v/>
      </c>
      <c r="Z469" s="116">
        <f>IF('Contractors'!B469="","",'Contractors'!B469)</f>
        <v/>
      </c>
      <c r="AA469" s="77">
        <f>IF(Z469="","",'Contractors'!K469)</f>
        <v/>
      </c>
      <c r="AB469" s="77">
        <f>IF(Z469="","",SUMIFS($L$6:$L$1005,$B$6:$B$1005,Z469))</f>
        <v/>
      </c>
      <c r="AC469" s="77">
        <f>IF(Z469="","",SUMIFS($N$6:$N$1005,$B$6:$B$1005,Z469))</f>
        <v/>
      </c>
      <c r="AD469" s="76">
        <f>IF(Z469="","",AA469-AC469)</f>
        <v/>
      </c>
      <c r="AE469" s="117">
        <f>IF(Z469="","",IFERROR(1/SUMPRODUCT(MAX(($B$6:$B$1005=Z469)*$T$6:$T$1005)),""))</f>
        <v/>
      </c>
      <c r="AF469" s="77">
        <f>IF(AE469="","",SUMIFS($S$6:$S$1005,$B$6:$B$1005,Z469,$I$6:$I$1005,AE469))</f>
        <v/>
      </c>
    </row>
    <row r="470" ht="20" customHeight="1">
      <c r="B470" s="72" t="n"/>
      <c r="C470" s="72" t="n"/>
      <c r="D470" s="72" t="n"/>
      <c r="E470" s="72" t="n"/>
      <c r="F470" s="110" t="n"/>
      <c r="G470" s="73" t="n"/>
      <c r="H470" s="75">
        <f>IF(B470="","",IF(G470&lt;&gt;"",G470,IF(F470&lt;&gt;"",F470*IFERROR(INDEX('Contractors'!$I$6:$I$1005,MATCH(B470,'Contractors'!$B$6:$B$1005,0)),0),"")))</f>
        <v/>
      </c>
      <c r="I470" s="109" t="n"/>
      <c r="J470" s="72" t="n"/>
      <c r="K470" s="109" t="n"/>
      <c r="L470" s="73" t="n"/>
      <c r="M470" s="109" t="n"/>
      <c r="N470" s="73" t="n"/>
      <c r="O470" s="107">
        <f>IF(B470="","",IF(M470&lt;&gt;"","Paid",IF(AND(I470&lt;&gt;"",I470&lt;AsOf),"OVERDUE",IF(OR(K470&lt;&gt;"",L470&lt;&gt;""),"Invoiced","Scheduled"))))</f>
        <v/>
      </c>
      <c r="P470" s="115">
        <f>IF(B470="","",IF(E470&lt;&gt;"",E470,IFERROR(INDEX('Contractors'!$D$6:$D$1005,MATCH(B470,'Contractors'!$B$6:$B$1005,0)),"")))</f>
        <v/>
      </c>
      <c r="Q470" s="79">
        <f>IF(B470="","",IF(D470&lt;&gt;"",D470,IFERROR(INDEX('Contractors'!$E$6:$E$1005,MATCH(B470,'Contractors'!$B$6:$B$1005,0)),"")))</f>
        <v/>
      </c>
      <c r="R470" s="79">
        <f>IF(O470="","",IF(O470="OVERDUE",2,IF(O470="Paid",0,IF(AND(I470&lt;&gt;"",I470&lt;=AsOf+AlertDays),1,0))))</f>
        <v/>
      </c>
      <c r="S470" s="79">
        <f>IF(AND(B470&lt;&gt;"",M470="",I470&lt;&gt;""),IF(L470&lt;&gt;"",L470,IF(H470="",0,H470)),0)</f>
        <v/>
      </c>
      <c r="T470" s="79">
        <f>IF(AND(B470&lt;&gt;"",M470="",I470&lt;&gt;""),1/I470,0)</f>
        <v/>
      </c>
      <c r="U470" s="112">
        <f>IF(AND(B470&lt;&gt;"",M470="",I470&lt;&gt;""),I470,"")</f>
        <v/>
      </c>
      <c r="V470" s="79">
        <f>IF(U470="","",IF(U470&lt;AsOf,1,IF(U470&lt;=AsOf+AlertDays,2,IF(U470&lt;=AsOf+2*AlertDays,3,""))))</f>
        <v/>
      </c>
      <c r="W470" s="79">
        <f>IF(V470="","",IF(O470="OVERDUE","Overdue payment: ","Payment due: ")&amp;B470&amp;" — "&amp;C470&amp;" ("&amp;CurSym&amp;" "&amp;FIXED(S470,0)&amp;")")</f>
        <v/>
      </c>
      <c r="Z470" s="116">
        <f>IF('Contractors'!B470="","",'Contractors'!B470)</f>
        <v/>
      </c>
      <c r="AA470" s="77">
        <f>IF(Z470="","",'Contractors'!K470)</f>
        <v/>
      </c>
      <c r="AB470" s="77">
        <f>IF(Z470="","",SUMIFS($L$6:$L$1005,$B$6:$B$1005,Z470))</f>
        <v/>
      </c>
      <c r="AC470" s="77">
        <f>IF(Z470="","",SUMIFS($N$6:$N$1005,$B$6:$B$1005,Z470))</f>
        <v/>
      </c>
      <c r="AD470" s="76">
        <f>IF(Z470="","",AA470-AC470)</f>
        <v/>
      </c>
      <c r="AE470" s="117">
        <f>IF(Z470="","",IFERROR(1/SUMPRODUCT(MAX(($B$6:$B$1005=Z470)*$T$6:$T$1005)),""))</f>
        <v/>
      </c>
      <c r="AF470" s="77">
        <f>IF(AE470="","",SUMIFS($S$6:$S$1005,$B$6:$B$1005,Z470,$I$6:$I$1005,AE470))</f>
        <v/>
      </c>
    </row>
    <row r="471" ht="20" customHeight="1">
      <c r="B471" s="72" t="n"/>
      <c r="C471" s="72" t="n"/>
      <c r="D471" s="72" t="n"/>
      <c r="E471" s="72" t="n"/>
      <c r="F471" s="110" t="n"/>
      <c r="G471" s="73" t="n"/>
      <c r="H471" s="75">
        <f>IF(B471="","",IF(G471&lt;&gt;"",G471,IF(F471&lt;&gt;"",F471*IFERROR(INDEX('Contractors'!$I$6:$I$1005,MATCH(B471,'Contractors'!$B$6:$B$1005,0)),0),"")))</f>
        <v/>
      </c>
      <c r="I471" s="109" t="n"/>
      <c r="J471" s="72" t="n"/>
      <c r="K471" s="109" t="n"/>
      <c r="L471" s="73" t="n"/>
      <c r="M471" s="109" t="n"/>
      <c r="N471" s="73" t="n"/>
      <c r="O471" s="107">
        <f>IF(B471="","",IF(M471&lt;&gt;"","Paid",IF(AND(I471&lt;&gt;"",I471&lt;AsOf),"OVERDUE",IF(OR(K471&lt;&gt;"",L471&lt;&gt;""),"Invoiced","Scheduled"))))</f>
        <v/>
      </c>
      <c r="P471" s="115">
        <f>IF(B471="","",IF(E471&lt;&gt;"",E471,IFERROR(INDEX('Contractors'!$D$6:$D$1005,MATCH(B471,'Contractors'!$B$6:$B$1005,0)),"")))</f>
        <v/>
      </c>
      <c r="Q471" s="79">
        <f>IF(B471="","",IF(D471&lt;&gt;"",D471,IFERROR(INDEX('Contractors'!$E$6:$E$1005,MATCH(B471,'Contractors'!$B$6:$B$1005,0)),"")))</f>
        <v/>
      </c>
      <c r="R471" s="79">
        <f>IF(O471="","",IF(O471="OVERDUE",2,IF(O471="Paid",0,IF(AND(I471&lt;&gt;"",I471&lt;=AsOf+AlertDays),1,0))))</f>
        <v/>
      </c>
      <c r="S471" s="79">
        <f>IF(AND(B471&lt;&gt;"",M471="",I471&lt;&gt;""),IF(L471&lt;&gt;"",L471,IF(H471="",0,H471)),0)</f>
        <v/>
      </c>
      <c r="T471" s="79">
        <f>IF(AND(B471&lt;&gt;"",M471="",I471&lt;&gt;""),1/I471,0)</f>
        <v/>
      </c>
      <c r="U471" s="112">
        <f>IF(AND(B471&lt;&gt;"",M471="",I471&lt;&gt;""),I471,"")</f>
        <v/>
      </c>
      <c r="V471" s="79">
        <f>IF(U471="","",IF(U471&lt;AsOf,1,IF(U471&lt;=AsOf+AlertDays,2,IF(U471&lt;=AsOf+2*AlertDays,3,""))))</f>
        <v/>
      </c>
      <c r="W471" s="79">
        <f>IF(V471="","",IF(O471="OVERDUE","Overdue payment: ","Payment due: ")&amp;B471&amp;" — "&amp;C471&amp;" ("&amp;CurSym&amp;" "&amp;FIXED(S471,0)&amp;")")</f>
        <v/>
      </c>
      <c r="Z471" s="116">
        <f>IF('Contractors'!B471="","",'Contractors'!B471)</f>
        <v/>
      </c>
      <c r="AA471" s="77">
        <f>IF(Z471="","",'Contractors'!K471)</f>
        <v/>
      </c>
      <c r="AB471" s="77">
        <f>IF(Z471="","",SUMIFS($L$6:$L$1005,$B$6:$B$1005,Z471))</f>
        <v/>
      </c>
      <c r="AC471" s="77">
        <f>IF(Z471="","",SUMIFS($N$6:$N$1005,$B$6:$B$1005,Z471))</f>
        <v/>
      </c>
      <c r="AD471" s="76">
        <f>IF(Z471="","",AA471-AC471)</f>
        <v/>
      </c>
      <c r="AE471" s="117">
        <f>IF(Z471="","",IFERROR(1/SUMPRODUCT(MAX(($B$6:$B$1005=Z471)*$T$6:$T$1005)),""))</f>
        <v/>
      </c>
      <c r="AF471" s="77">
        <f>IF(AE471="","",SUMIFS($S$6:$S$1005,$B$6:$B$1005,Z471,$I$6:$I$1005,AE471))</f>
        <v/>
      </c>
    </row>
    <row r="472" ht="20" customHeight="1">
      <c r="B472" s="72" t="n"/>
      <c r="C472" s="72" t="n"/>
      <c r="D472" s="72" t="n"/>
      <c r="E472" s="72" t="n"/>
      <c r="F472" s="110" t="n"/>
      <c r="G472" s="73" t="n"/>
      <c r="H472" s="75">
        <f>IF(B472="","",IF(G472&lt;&gt;"",G472,IF(F472&lt;&gt;"",F472*IFERROR(INDEX('Contractors'!$I$6:$I$1005,MATCH(B472,'Contractors'!$B$6:$B$1005,0)),0),"")))</f>
        <v/>
      </c>
      <c r="I472" s="109" t="n"/>
      <c r="J472" s="72" t="n"/>
      <c r="K472" s="109" t="n"/>
      <c r="L472" s="73" t="n"/>
      <c r="M472" s="109" t="n"/>
      <c r="N472" s="73" t="n"/>
      <c r="O472" s="107">
        <f>IF(B472="","",IF(M472&lt;&gt;"","Paid",IF(AND(I472&lt;&gt;"",I472&lt;AsOf),"OVERDUE",IF(OR(K472&lt;&gt;"",L472&lt;&gt;""),"Invoiced","Scheduled"))))</f>
        <v/>
      </c>
      <c r="P472" s="115">
        <f>IF(B472="","",IF(E472&lt;&gt;"",E472,IFERROR(INDEX('Contractors'!$D$6:$D$1005,MATCH(B472,'Contractors'!$B$6:$B$1005,0)),"")))</f>
        <v/>
      </c>
      <c r="Q472" s="79">
        <f>IF(B472="","",IF(D472&lt;&gt;"",D472,IFERROR(INDEX('Contractors'!$E$6:$E$1005,MATCH(B472,'Contractors'!$B$6:$B$1005,0)),"")))</f>
        <v/>
      </c>
      <c r="R472" s="79">
        <f>IF(O472="","",IF(O472="OVERDUE",2,IF(O472="Paid",0,IF(AND(I472&lt;&gt;"",I472&lt;=AsOf+AlertDays),1,0))))</f>
        <v/>
      </c>
      <c r="S472" s="79">
        <f>IF(AND(B472&lt;&gt;"",M472="",I472&lt;&gt;""),IF(L472&lt;&gt;"",L472,IF(H472="",0,H472)),0)</f>
        <v/>
      </c>
      <c r="T472" s="79">
        <f>IF(AND(B472&lt;&gt;"",M472="",I472&lt;&gt;""),1/I472,0)</f>
        <v/>
      </c>
      <c r="U472" s="112">
        <f>IF(AND(B472&lt;&gt;"",M472="",I472&lt;&gt;""),I472,"")</f>
        <v/>
      </c>
      <c r="V472" s="79">
        <f>IF(U472="","",IF(U472&lt;AsOf,1,IF(U472&lt;=AsOf+AlertDays,2,IF(U472&lt;=AsOf+2*AlertDays,3,""))))</f>
        <v/>
      </c>
      <c r="W472" s="79">
        <f>IF(V472="","",IF(O472="OVERDUE","Overdue payment: ","Payment due: ")&amp;B472&amp;" — "&amp;C472&amp;" ("&amp;CurSym&amp;" "&amp;FIXED(S472,0)&amp;")")</f>
        <v/>
      </c>
      <c r="Z472" s="116">
        <f>IF('Contractors'!B472="","",'Contractors'!B472)</f>
        <v/>
      </c>
      <c r="AA472" s="77">
        <f>IF(Z472="","",'Contractors'!K472)</f>
        <v/>
      </c>
      <c r="AB472" s="77">
        <f>IF(Z472="","",SUMIFS($L$6:$L$1005,$B$6:$B$1005,Z472))</f>
        <v/>
      </c>
      <c r="AC472" s="77">
        <f>IF(Z472="","",SUMIFS($N$6:$N$1005,$B$6:$B$1005,Z472))</f>
        <v/>
      </c>
      <c r="AD472" s="76">
        <f>IF(Z472="","",AA472-AC472)</f>
        <v/>
      </c>
      <c r="AE472" s="117">
        <f>IF(Z472="","",IFERROR(1/SUMPRODUCT(MAX(($B$6:$B$1005=Z472)*$T$6:$T$1005)),""))</f>
        <v/>
      </c>
      <c r="AF472" s="77">
        <f>IF(AE472="","",SUMIFS($S$6:$S$1005,$B$6:$B$1005,Z472,$I$6:$I$1005,AE472))</f>
        <v/>
      </c>
    </row>
    <row r="473" ht="20" customHeight="1">
      <c r="B473" s="72" t="n"/>
      <c r="C473" s="72" t="n"/>
      <c r="D473" s="72" t="n"/>
      <c r="E473" s="72" t="n"/>
      <c r="F473" s="110" t="n"/>
      <c r="G473" s="73" t="n"/>
      <c r="H473" s="75">
        <f>IF(B473="","",IF(G473&lt;&gt;"",G473,IF(F473&lt;&gt;"",F473*IFERROR(INDEX('Contractors'!$I$6:$I$1005,MATCH(B473,'Contractors'!$B$6:$B$1005,0)),0),"")))</f>
        <v/>
      </c>
      <c r="I473" s="109" t="n"/>
      <c r="J473" s="72" t="n"/>
      <c r="K473" s="109" t="n"/>
      <c r="L473" s="73" t="n"/>
      <c r="M473" s="109" t="n"/>
      <c r="N473" s="73" t="n"/>
      <c r="O473" s="107">
        <f>IF(B473="","",IF(M473&lt;&gt;"","Paid",IF(AND(I473&lt;&gt;"",I473&lt;AsOf),"OVERDUE",IF(OR(K473&lt;&gt;"",L473&lt;&gt;""),"Invoiced","Scheduled"))))</f>
        <v/>
      </c>
      <c r="P473" s="115">
        <f>IF(B473="","",IF(E473&lt;&gt;"",E473,IFERROR(INDEX('Contractors'!$D$6:$D$1005,MATCH(B473,'Contractors'!$B$6:$B$1005,0)),"")))</f>
        <v/>
      </c>
      <c r="Q473" s="79">
        <f>IF(B473="","",IF(D473&lt;&gt;"",D473,IFERROR(INDEX('Contractors'!$E$6:$E$1005,MATCH(B473,'Contractors'!$B$6:$B$1005,0)),"")))</f>
        <v/>
      </c>
      <c r="R473" s="79">
        <f>IF(O473="","",IF(O473="OVERDUE",2,IF(O473="Paid",0,IF(AND(I473&lt;&gt;"",I473&lt;=AsOf+AlertDays),1,0))))</f>
        <v/>
      </c>
      <c r="S473" s="79">
        <f>IF(AND(B473&lt;&gt;"",M473="",I473&lt;&gt;""),IF(L473&lt;&gt;"",L473,IF(H473="",0,H473)),0)</f>
        <v/>
      </c>
      <c r="T473" s="79">
        <f>IF(AND(B473&lt;&gt;"",M473="",I473&lt;&gt;""),1/I473,0)</f>
        <v/>
      </c>
      <c r="U473" s="112">
        <f>IF(AND(B473&lt;&gt;"",M473="",I473&lt;&gt;""),I473,"")</f>
        <v/>
      </c>
      <c r="V473" s="79">
        <f>IF(U473="","",IF(U473&lt;AsOf,1,IF(U473&lt;=AsOf+AlertDays,2,IF(U473&lt;=AsOf+2*AlertDays,3,""))))</f>
        <v/>
      </c>
      <c r="W473" s="79">
        <f>IF(V473="","",IF(O473="OVERDUE","Overdue payment: ","Payment due: ")&amp;B473&amp;" — "&amp;C473&amp;" ("&amp;CurSym&amp;" "&amp;FIXED(S473,0)&amp;")")</f>
        <v/>
      </c>
      <c r="Z473" s="116">
        <f>IF('Contractors'!B473="","",'Contractors'!B473)</f>
        <v/>
      </c>
      <c r="AA473" s="77">
        <f>IF(Z473="","",'Contractors'!K473)</f>
        <v/>
      </c>
      <c r="AB473" s="77">
        <f>IF(Z473="","",SUMIFS($L$6:$L$1005,$B$6:$B$1005,Z473))</f>
        <v/>
      </c>
      <c r="AC473" s="77">
        <f>IF(Z473="","",SUMIFS($N$6:$N$1005,$B$6:$B$1005,Z473))</f>
        <v/>
      </c>
      <c r="AD473" s="76">
        <f>IF(Z473="","",AA473-AC473)</f>
        <v/>
      </c>
      <c r="AE473" s="117">
        <f>IF(Z473="","",IFERROR(1/SUMPRODUCT(MAX(($B$6:$B$1005=Z473)*$T$6:$T$1005)),""))</f>
        <v/>
      </c>
      <c r="AF473" s="77">
        <f>IF(AE473="","",SUMIFS($S$6:$S$1005,$B$6:$B$1005,Z473,$I$6:$I$1005,AE473))</f>
        <v/>
      </c>
    </row>
    <row r="474" ht="20" customHeight="1">
      <c r="B474" s="72" t="n"/>
      <c r="C474" s="72" t="n"/>
      <c r="D474" s="72" t="n"/>
      <c r="E474" s="72" t="n"/>
      <c r="F474" s="110" t="n"/>
      <c r="G474" s="73" t="n"/>
      <c r="H474" s="75">
        <f>IF(B474="","",IF(G474&lt;&gt;"",G474,IF(F474&lt;&gt;"",F474*IFERROR(INDEX('Contractors'!$I$6:$I$1005,MATCH(B474,'Contractors'!$B$6:$B$1005,0)),0),"")))</f>
        <v/>
      </c>
      <c r="I474" s="109" t="n"/>
      <c r="J474" s="72" t="n"/>
      <c r="K474" s="109" t="n"/>
      <c r="L474" s="73" t="n"/>
      <c r="M474" s="109" t="n"/>
      <c r="N474" s="73" t="n"/>
      <c r="O474" s="107">
        <f>IF(B474="","",IF(M474&lt;&gt;"","Paid",IF(AND(I474&lt;&gt;"",I474&lt;AsOf),"OVERDUE",IF(OR(K474&lt;&gt;"",L474&lt;&gt;""),"Invoiced","Scheduled"))))</f>
        <v/>
      </c>
      <c r="P474" s="115">
        <f>IF(B474="","",IF(E474&lt;&gt;"",E474,IFERROR(INDEX('Contractors'!$D$6:$D$1005,MATCH(B474,'Contractors'!$B$6:$B$1005,0)),"")))</f>
        <v/>
      </c>
      <c r="Q474" s="79">
        <f>IF(B474="","",IF(D474&lt;&gt;"",D474,IFERROR(INDEX('Contractors'!$E$6:$E$1005,MATCH(B474,'Contractors'!$B$6:$B$1005,0)),"")))</f>
        <v/>
      </c>
      <c r="R474" s="79">
        <f>IF(O474="","",IF(O474="OVERDUE",2,IF(O474="Paid",0,IF(AND(I474&lt;&gt;"",I474&lt;=AsOf+AlertDays),1,0))))</f>
        <v/>
      </c>
      <c r="S474" s="79">
        <f>IF(AND(B474&lt;&gt;"",M474="",I474&lt;&gt;""),IF(L474&lt;&gt;"",L474,IF(H474="",0,H474)),0)</f>
        <v/>
      </c>
      <c r="T474" s="79">
        <f>IF(AND(B474&lt;&gt;"",M474="",I474&lt;&gt;""),1/I474,0)</f>
        <v/>
      </c>
      <c r="U474" s="112">
        <f>IF(AND(B474&lt;&gt;"",M474="",I474&lt;&gt;""),I474,"")</f>
        <v/>
      </c>
      <c r="V474" s="79">
        <f>IF(U474="","",IF(U474&lt;AsOf,1,IF(U474&lt;=AsOf+AlertDays,2,IF(U474&lt;=AsOf+2*AlertDays,3,""))))</f>
        <v/>
      </c>
      <c r="W474" s="79">
        <f>IF(V474="","",IF(O474="OVERDUE","Overdue payment: ","Payment due: ")&amp;B474&amp;" — "&amp;C474&amp;" ("&amp;CurSym&amp;" "&amp;FIXED(S474,0)&amp;")")</f>
        <v/>
      </c>
      <c r="Z474" s="116">
        <f>IF('Contractors'!B474="","",'Contractors'!B474)</f>
        <v/>
      </c>
      <c r="AA474" s="77">
        <f>IF(Z474="","",'Contractors'!K474)</f>
        <v/>
      </c>
      <c r="AB474" s="77">
        <f>IF(Z474="","",SUMIFS($L$6:$L$1005,$B$6:$B$1005,Z474))</f>
        <v/>
      </c>
      <c r="AC474" s="77">
        <f>IF(Z474="","",SUMIFS($N$6:$N$1005,$B$6:$B$1005,Z474))</f>
        <v/>
      </c>
      <c r="AD474" s="76">
        <f>IF(Z474="","",AA474-AC474)</f>
        <v/>
      </c>
      <c r="AE474" s="117">
        <f>IF(Z474="","",IFERROR(1/SUMPRODUCT(MAX(($B$6:$B$1005=Z474)*$T$6:$T$1005)),""))</f>
        <v/>
      </c>
      <c r="AF474" s="77">
        <f>IF(AE474="","",SUMIFS($S$6:$S$1005,$B$6:$B$1005,Z474,$I$6:$I$1005,AE474))</f>
        <v/>
      </c>
    </row>
    <row r="475" ht="20" customHeight="1">
      <c r="B475" s="72" t="n"/>
      <c r="C475" s="72" t="n"/>
      <c r="D475" s="72" t="n"/>
      <c r="E475" s="72" t="n"/>
      <c r="F475" s="110" t="n"/>
      <c r="G475" s="73" t="n"/>
      <c r="H475" s="75">
        <f>IF(B475="","",IF(G475&lt;&gt;"",G475,IF(F475&lt;&gt;"",F475*IFERROR(INDEX('Contractors'!$I$6:$I$1005,MATCH(B475,'Contractors'!$B$6:$B$1005,0)),0),"")))</f>
        <v/>
      </c>
      <c r="I475" s="109" t="n"/>
      <c r="J475" s="72" t="n"/>
      <c r="K475" s="109" t="n"/>
      <c r="L475" s="73" t="n"/>
      <c r="M475" s="109" t="n"/>
      <c r="N475" s="73" t="n"/>
      <c r="O475" s="107">
        <f>IF(B475="","",IF(M475&lt;&gt;"","Paid",IF(AND(I475&lt;&gt;"",I475&lt;AsOf),"OVERDUE",IF(OR(K475&lt;&gt;"",L475&lt;&gt;""),"Invoiced","Scheduled"))))</f>
        <v/>
      </c>
      <c r="P475" s="115">
        <f>IF(B475="","",IF(E475&lt;&gt;"",E475,IFERROR(INDEX('Contractors'!$D$6:$D$1005,MATCH(B475,'Contractors'!$B$6:$B$1005,0)),"")))</f>
        <v/>
      </c>
      <c r="Q475" s="79">
        <f>IF(B475="","",IF(D475&lt;&gt;"",D475,IFERROR(INDEX('Contractors'!$E$6:$E$1005,MATCH(B475,'Contractors'!$B$6:$B$1005,0)),"")))</f>
        <v/>
      </c>
      <c r="R475" s="79">
        <f>IF(O475="","",IF(O475="OVERDUE",2,IF(O475="Paid",0,IF(AND(I475&lt;&gt;"",I475&lt;=AsOf+AlertDays),1,0))))</f>
        <v/>
      </c>
      <c r="S475" s="79">
        <f>IF(AND(B475&lt;&gt;"",M475="",I475&lt;&gt;""),IF(L475&lt;&gt;"",L475,IF(H475="",0,H475)),0)</f>
        <v/>
      </c>
      <c r="T475" s="79">
        <f>IF(AND(B475&lt;&gt;"",M475="",I475&lt;&gt;""),1/I475,0)</f>
        <v/>
      </c>
      <c r="U475" s="112">
        <f>IF(AND(B475&lt;&gt;"",M475="",I475&lt;&gt;""),I475,"")</f>
        <v/>
      </c>
      <c r="V475" s="79">
        <f>IF(U475="","",IF(U475&lt;AsOf,1,IF(U475&lt;=AsOf+AlertDays,2,IF(U475&lt;=AsOf+2*AlertDays,3,""))))</f>
        <v/>
      </c>
      <c r="W475" s="79">
        <f>IF(V475="","",IF(O475="OVERDUE","Overdue payment: ","Payment due: ")&amp;B475&amp;" — "&amp;C475&amp;" ("&amp;CurSym&amp;" "&amp;FIXED(S475,0)&amp;")")</f>
        <v/>
      </c>
      <c r="Z475" s="116">
        <f>IF('Contractors'!B475="","",'Contractors'!B475)</f>
        <v/>
      </c>
      <c r="AA475" s="77">
        <f>IF(Z475="","",'Contractors'!K475)</f>
        <v/>
      </c>
      <c r="AB475" s="77">
        <f>IF(Z475="","",SUMIFS($L$6:$L$1005,$B$6:$B$1005,Z475))</f>
        <v/>
      </c>
      <c r="AC475" s="77">
        <f>IF(Z475="","",SUMIFS($N$6:$N$1005,$B$6:$B$1005,Z475))</f>
        <v/>
      </c>
      <c r="AD475" s="76">
        <f>IF(Z475="","",AA475-AC475)</f>
        <v/>
      </c>
      <c r="AE475" s="117">
        <f>IF(Z475="","",IFERROR(1/SUMPRODUCT(MAX(($B$6:$B$1005=Z475)*$T$6:$T$1005)),""))</f>
        <v/>
      </c>
      <c r="AF475" s="77">
        <f>IF(AE475="","",SUMIFS($S$6:$S$1005,$B$6:$B$1005,Z475,$I$6:$I$1005,AE475))</f>
        <v/>
      </c>
    </row>
    <row r="476" ht="20" customHeight="1">
      <c r="B476" s="72" t="n"/>
      <c r="C476" s="72" t="n"/>
      <c r="D476" s="72" t="n"/>
      <c r="E476" s="72" t="n"/>
      <c r="F476" s="110" t="n"/>
      <c r="G476" s="73" t="n"/>
      <c r="H476" s="75">
        <f>IF(B476="","",IF(G476&lt;&gt;"",G476,IF(F476&lt;&gt;"",F476*IFERROR(INDEX('Contractors'!$I$6:$I$1005,MATCH(B476,'Contractors'!$B$6:$B$1005,0)),0),"")))</f>
        <v/>
      </c>
      <c r="I476" s="109" t="n"/>
      <c r="J476" s="72" t="n"/>
      <c r="K476" s="109" t="n"/>
      <c r="L476" s="73" t="n"/>
      <c r="M476" s="109" t="n"/>
      <c r="N476" s="73" t="n"/>
      <c r="O476" s="107">
        <f>IF(B476="","",IF(M476&lt;&gt;"","Paid",IF(AND(I476&lt;&gt;"",I476&lt;AsOf),"OVERDUE",IF(OR(K476&lt;&gt;"",L476&lt;&gt;""),"Invoiced","Scheduled"))))</f>
        <v/>
      </c>
      <c r="P476" s="115">
        <f>IF(B476="","",IF(E476&lt;&gt;"",E476,IFERROR(INDEX('Contractors'!$D$6:$D$1005,MATCH(B476,'Contractors'!$B$6:$B$1005,0)),"")))</f>
        <v/>
      </c>
      <c r="Q476" s="79">
        <f>IF(B476="","",IF(D476&lt;&gt;"",D476,IFERROR(INDEX('Contractors'!$E$6:$E$1005,MATCH(B476,'Contractors'!$B$6:$B$1005,0)),"")))</f>
        <v/>
      </c>
      <c r="R476" s="79">
        <f>IF(O476="","",IF(O476="OVERDUE",2,IF(O476="Paid",0,IF(AND(I476&lt;&gt;"",I476&lt;=AsOf+AlertDays),1,0))))</f>
        <v/>
      </c>
      <c r="S476" s="79">
        <f>IF(AND(B476&lt;&gt;"",M476="",I476&lt;&gt;""),IF(L476&lt;&gt;"",L476,IF(H476="",0,H476)),0)</f>
        <v/>
      </c>
      <c r="T476" s="79">
        <f>IF(AND(B476&lt;&gt;"",M476="",I476&lt;&gt;""),1/I476,0)</f>
        <v/>
      </c>
      <c r="U476" s="112">
        <f>IF(AND(B476&lt;&gt;"",M476="",I476&lt;&gt;""),I476,"")</f>
        <v/>
      </c>
      <c r="V476" s="79">
        <f>IF(U476="","",IF(U476&lt;AsOf,1,IF(U476&lt;=AsOf+AlertDays,2,IF(U476&lt;=AsOf+2*AlertDays,3,""))))</f>
        <v/>
      </c>
      <c r="W476" s="79">
        <f>IF(V476="","",IF(O476="OVERDUE","Overdue payment: ","Payment due: ")&amp;B476&amp;" — "&amp;C476&amp;" ("&amp;CurSym&amp;" "&amp;FIXED(S476,0)&amp;")")</f>
        <v/>
      </c>
      <c r="Z476" s="116">
        <f>IF('Contractors'!B476="","",'Contractors'!B476)</f>
        <v/>
      </c>
      <c r="AA476" s="77">
        <f>IF(Z476="","",'Contractors'!K476)</f>
        <v/>
      </c>
      <c r="AB476" s="77">
        <f>IF(Z476="","",SUMIFS($L$6:$L$1005,$B$6:$B$1005,Z476))</f>
        <v/>
      </c>
      <c r="AC476" s="77">
        <f>IF(Z476="","",SUMIFS($N$6:$N$1005,$B$6:$B$1005,Z476))</f>
        <v/>
      </c>
      <c r="AD476" s="76">
        <f>IF(Z476="","",AA476-AC476)</f>
        <v/>
      </c>
      <c r="AE476" s="117">
        <f>IF(Z476="","",IFERROR(1/SUMPRODUCT(MAX(($B$6:$B$1005=Z476)*$T$6:$T$1005)),""))</f>
        <v/>
      </c>
      <c r="AF476" s="77">
        <f>IF(AE476="","",SUMIFS($S$6:$S$1005,$B$6:$B$1005,Z476,$I$6:$I$1005,AE476))</f>
        <v/>
      </c>
    </row>
    <row r="477" ht="20" customHeight="1">
      <c r="B477" s="72" t="n"/>
      <c r="C477" s="72" t="n"/>
      <c r="D477" s="72" t="n"/>
      <c r="E477" s="72" t="n"/>
      <c r="F477" s="110" t="n"/>
      <c r="G477" s="73" t="n"/>
      <c r="H477" s="75">
        <f>IF(B477="","",IF(G477&lt;&gt;"",G477,IF(F477&lt;&gt;"",F477*IFERROR(INDEX('Contractors'!$I$6:$I$1005,MATCH(B477,'Contractors'!$B$6:$B$1005,0)),0),"")))</f>
        <v/>
      </c>
      <c r="I477" s="109" t="n"/>
      <c r="J477" s="72" t="n"/>
      <c r="K477" s="109" t="n"/>
      <c r="L477" s="73" t="n"/>
      <c r="M477" s="109" t="n"/>
      <c r="N477" s="73" t="n"/>
      <c r="O477" s="107">
        <f>IF(B477="","",IF(M477&lt;&gt;"","Paid",IF(AND(I477&lt;&gt;"",I477&lt;AsOf),"OVERDUE",IF(OR(K477&lt;&gt;"",L477&lt;&gt;""),"Invoiced","Scheduled"))))</f>
        <v/>
      </c>
      <c r="P477" s="115">
        <f>IF(B477="","",IF(E477&lt;&gt;"",E477,IFERROR(INDEX('Contractors'!$D$6:$D$1005,MATCH(B477,'Contractors'!$B$6:$B$1005,0)),"")))</f>
        <v/>
      </c>
      <c r="Q477" s="79">
        <f>IF(B477="","",IF(D477&lt;&gt;"",D477,IFERROR(INDEX('Contractors'!$E$6:$E$1005,MATCH(B477,'Contractors'!$B$6:$B$1005,0)),"")))</f>
        <v/>
      </c>
      <c r="R477" s="79">
        <f>IF(O477="","",IF(O477="OVERDUE",2,IF(O477="Paid",0,IF(AND(I477&lt;&gt;"",I477&lt;=AsOf+AlertDays),1,0))))</f>
        <v/>
      </c>
      <c r="S477" s="79">
        <f>IF(AND(B477&lt;&gt;"",M477="",I477&lt;&gt;""),IF(L477&lt;&gt;"",L477,IF(H477="",0,H477)),0)</f>
        <v/>
      </c>
      <c r="T477" s="79">
        <f>IF(AND(B477&lt;&gt;"",M477="",I477&lt;&gt;""),1/I477,0)</f>
        <v/>
      </c>
      <c r="U477" s="112">
        <f>IF(AND(B477&lt;&gt;"",M477="",I477&lt;&gt;""),I477,"")</f>
        <v/>
      </c>
      <c r="V477" s="79">
        <f>IF(U477="","",IF(U477&lt;AsOf,1,IF(U477&lt;=AsOf+AlertDays,2,IF(U477&lt;=AsOf+2*AlertDays,3,""))))</f>
        <v/>
      </c>
      <c r="W477" s="79">
        <f>IF(V477="","",IF(O477="OVERDUE","Overdue payment: ","Payment due: ")&amp;B477&amp;" — "&amp;C477&amp;" ("&amp;CurSym&amp;" "&amp;FIXED(S477,0)&amp;")")</f>
        <v/>
      </c>
      <c r="Z477" s="116">
        <f>IF('Contractors'!B477="","",'Contractors'!B477)</f>
        <v/>
      </c>
      <c r="AA477" s="77">
        <f>IF(Z477="","",'Contractors'!K477)</f>
        <v/>
      </c>
      <c r="AB477" s="77">
        <f>IF(Z477="","",SUMIFS($L$6:$L$1005,$B$6:$B$1005,Z477))</f>
        <v/>
      </c>
      <c r="AC477" s="77">
        <f>IF(Z477="","",SUMIFS($N$6:$N$1005,$B$6:$B$1005,Z477))</f>
        <v/>
      </c>
      <c r="AD477" s="76">
        <f>IF(Z477="","",AA477-AC477)</f>
        <v/>
      </c>
      <c r="AE477" s="117">
        <f>IF(Z477="","",IFERROR(1/SUMPRODUCT(MAX(($B$6:$B$1005=Z477)*$T$6:$T$1005)),""))</f>
        <v/>
      </c>
      <c r="AF477" s="77">
        <f>IF(AE477="","",SUMIFS($S$6:$S$1005,$B$6:$B$1005,Z477,$I$6:$I$1005,AE477))</f>
        <v/>
      </c>
    </row>
    <row r="478" ht="20" customHeight="1">
      <c r="B478" s="72" t="n"/>
      <c r="C478" s="72" t="n"/>
      <c r="D478" s="72" t="n"/>
      <c r="E478" s="72" t="n"/>
      <c r="F478" s="110" t="n"/>
      <c r="G478" s="73" t="n"/>
      <c r="H478" s="75">
        <f>IF(B478="","",IF(G478&lt;&gt;"",G478,IF(F478&lt;&gt;"",F478*IFERROR(INDEX('Contractors'!$I$6:$I$1005,MATCH(B478,'Contractors'!$B$6:$B$1005,0)),0),"")))</f>
        <v/>
      </c>
      <c r="I478" s="109" t="n"/>
      <c r="J478" s="72" t="n"/>
      <c r="K478" s="109" t="n"/>
      <c r="L478" s="73" t="n"/>
      <c r="M478" s="109" t="n"/>
      <c r="N478" s="73" t="n"/>
      <c r="O478" s="107">
        <f>IF(B478="","",IF(M478&lt;&gt;"","Paid",IF(AND(I478&lt;&gt;"",I478&lt;AsOf),"OVERDUE",IF(OR(K478&lt;&gt;"",L478&lt;&gt;""),"Invoiced","Scheduled"))))</f>
        <v/>
      </c>
      <c r="P478" s="115">
        <f>IF(B478="","",IF(E478&lt;&gt;"",E478,IFERROR(INDEX('Contractors'!$D$6:$D$1005,MATCH(B478,'Contractors'!$B$6:$B$1005,0)),"")))</f>
        <v/>
      </c>
      <c r="Q478" s="79">
        <f>IF(B478="","",IF(D478&lt;&gt;"",D478,IFERROR(INDEX('Contractors'!$E$6:$E$1005,MATCH(B478,'Contractors'!$B$6:$B$1005,0)),"")))</f>
        <v/>
      </c>
      <c r="R478" s="79">
        <f>IF(O478="","",IF(O478="OVERDUE",2,IF(O478="Paid",0,IF(AND(I478&lt;&gt;"",I478&lt;=AsOf+AlertDays),1,0))))</f>
        <v/>
      </c>
      <c r="S478" s="79">
        <f>IF(AND(B478&lt;&gt;"",M478="",I478&lt;&gt;""),IF(L478&lt;&gt;"",L478,IF(H478="",0,H478)),0)</f>
        <v/>
      </c>
      <c r="T478" s="79">
        <f>IF(AND(B478&lt;&gt;"",M478="",I478&lt;&gt;""),1/I478,0)</f>
        <v/>
      </c>
      <c r="U478" s="112">
        <f>IF(AND(B478&lt;&gt;"",M478="",I478&lt;&gt;""),I478,"")</f>
        <v/>
      </c>
      <c r="V478" s="79">
        <f>IF(U478="","",IF(U478&lt;AsOf,1,IF(U478&lt;=AsOf+AlertDays,2,IF(U478&lt;=AsOf+2*AlertDays,3,""))))</f>
        <v/>
      </c>
      <c r="W478" s="79">
        <f>IF(V478="","",IF(O478="OVERDUE","Overdue payment: ","Payment due: ")&amp;B478&amp;" — "&amp;C478&amp;" ("&amp;CurSym&amp;" "&amp;FIXED(S478,0)&amp;")")</f>
        <v/>
      </c>
      <c r="Z478" s="116">
        <f>IF('Contractors'!B478="","",'Contractors'!B478)</f>
        <v/>
      </c>
      <c r="AA478" s="77">
        <f>IF(Z478="","",'Contractors'!K478)</f>
        <v/>
      </c>
      <c r="AB478" s="77">
        <f>IF(Z478="","",SUMIFS($L$6:$L$1005,$B$6:$B$1005,Z478))</f>
        <v/>
      </c>
      <c r="AC478" s="77">
        <f>IF(Z478="","",SUMIFS($N$6:$N$1005,$B$6:$B$1005,Z478))</f>
        <v/>
      </c>
      <c r="AD478" s="76">
        <f>IF(Z478="","",AA478-AC478)</f>
        <v/>
      </c>
      <c r="AE478" s="117">
        <f>IF(Z478="","",IFERROR(1/SUMPRODUCT(MAX(($B$6:$B$1005=Z478)*$T$6:$T$1005)),""))</f>
        <v/>
      </c>
      <c r="AF478" s="77">
        <f>IF(AE478="","",SUMIFS($S$6:$S$1005,$B$6:$B$1005,Z478,$I$6:$I$1005,AE478))</f>
        <v/>
      </c>
    </row>
    <row r="479" ht="20" customHeight="1">
      <c r="B479" s="72" t="n"/>
      <c r="C479" s="72" t="n"/>
      <c r="D479" s="72" t="n"/>
      <c r="E479" s="72" t="n"/>
      <c r="F479" s="110" t="n"/>
      <c r="G479" s="73" t="n"/>
      <c r="H479" s="75">
        <f>IF(B479="","",IF(G479&lt;&gt;"",G479,IF(F479&lt;&gt;"",F479*IFERROR(INDEX('Contractors'!$I$6:$I$1005,MATCH(B479,'Contractors'!$B$6:$B$1005,0)),0),"")))</f>
        <v/>
      </c>
      <c r="I479" s="109" t="n"/>
      <c r="J479" s="72" t="n"/>
      <c r="K479" s="109" t="n"/>
      <c r="L479" s="73" t="n"/>
      <c r="M479" s="109" t="n"/>
      <c r="N479" s="73" t="n"/>
      <c r="O479" s="107">
        <f>IF(B479="","",IF(M479&lt;&gt;"","Paid",IF(AND(I479&lt;&gt;"",I479&lt;AsOf),"OVERDUE",IF(OR(K479&lt;&gt;"",L479&lt;&gt;""),"Invoiced","Scheduled"))))</f>
        <v/>
      </c>
      <c r="P479" s="115">
        <f>IF(B479="","",IF(E479&lt;&gt;"",E479,IFERROR(INDEX('Contractors'!$D$6:$D$1005,MATCH(B479,'Contractors'!$B$6:$B$1005,0)),"")))</f>
        <v/>
      </c>
      <c r="Q479" s="79">
        <f>IF(B479="","",IF(D479&lt;&gt;"",D479,IFERROR(INDEX('Contractors'!$E$6:$E$1005,MATCH(B479,'Contractors'!$B$6:$B$1005,0)),"")))</f>
        <v/>
      </c>
      <c r="R479" s="79">
        <f>IF(O479="","",IF(O479="OVERDUE",2,IF(O479="Paid",0,IF(AND(I479&lt;&gt;"",I479&lt;=AsOf+AlertDays),1,0))))</f>
        <v/>
      </c>
      <c r="S479" s="79">
        <f>IF(AND(B479&lt;&gt;"",M479="",I479&lt;&gt;""),IF(L479&lt;&gt;"",L479,IF(H479="",0,H479)),0)</f>
        <v/>
      </c>
      <c r="T479" s="79">
        <f>IF(AND(B479&lt;&gt;"",M479="",I479&lt;&gt;""),1/I479,0)</f>
        <v/>
      </c>
      <c r="U479" s="112">
        <f>IF(AND(B479&lt;&gt;"",M479="",I479&lt;&gt;""),I479,"")</f>
        <v/>
      </c>
      <c r="V479" s="79">
        <f>IF(U479="","",IF(U479&lt;AsOf,1,IF(U479&lt;=AsOf+AlertDays,2,IF(U479&lt;=AsOf+2*AlertDays,3,""))))</f>
        <v/>
      </c>
      <c r="W479" s="79">
        <f>IF(V479="","",IF(O479="OVERDUE","Overdue payment: ","Payment due: ")&amp;B479&amp;" — "&amp;C479&amp;" ("&amp;CurSym&amp;" "&amp;FIXED(S479,0)&amp;")")</f>
        <v/>
      </c>
      <c r="Z479" s="116">
        <f>IF('Contractors'!B479="","",'Contractors'!B479)</f>
        <v/>
      </c>
      <c r="AA479" s="77">
        <f>IF(Z479="","",'Contractors'!K479)</f>
        <v/>
      </c>
      <c r="AB479" s="77">
        <f>IF(Z479="","",SUMIFS($L$6:$L$1005,$B$6:$B$1005,Z479))</f>
        <v/>
      </c>
      <c r="AC479" s="77">
        <f>IF(Z479="","",SUMIFS($N$6:$N$1005,$B$6:$B$1005,Z479))</f>
        <v/>
      </c>
      <c r="AD479" s="76">
        <f>IF(Z479="","",AA479-AC479)</f>
        <v/>
      </c>
      <c r="AE479" s="117">
        <f>IF(Z479="","",IFERROR(1/SUMPRODUCT(MAX(($B$6:$B$1005=Z479)*$T$6:$T$1005)),""))</f>
        <v/>
      </c>
      <c r="AF479" s="77">
        <f>IF(AE479="","",SUMIFS($S$6:$S$1005,$B$6:$B$1005,Z479,$I$6:$I$1005,AE479))</f>
        <v/>
      </c>
    </row>
    <row r="480" ht="20" customHeight="1">
      <c r="B480" s="72" t="n"/>
      <c r="C480" s="72" t="n"/>
      <c r="D480" s="72" t="n"/>
      <c r="E480" s="72" t="n"/>
      <c r="F480" s="110" t="n"/>
      <c r="G480" s="73" t="n"/>
      <c r="H480" s="75">
        <f>IF(B480="","",IF(G480&lt;&gt;"",G480,IF(F480&lt;&gt;"",F480*IFERROR(INDEX('Contractors'!$I$6:$I$1005,MATCH(B480,'Contractors'!$B$6:$B$1005,0)),0),"")))</f>
        <v/>
      </c>
      <c r="I480" s="109" t="n"/>
      <c r="J480" s="72" t="n"/>
      <c r="K480" s="109" t="n"/>
      <c r="L480" s="73" t="n"/>
      <c r="M480" s="109" t="n"/>
      <c r="N480" s="73" t="n"/>
      <c r="O480" s="107">
        <f>IF(B480="","",IF(M480&lt;&gt;"","Paid",IF(AND(I480&lt;&gt;"",I480&lt;AsOf),"OVERDUE",IF(OR(K480&lt;&gt;"",L480&lt;&gt;""),"Invoiced","Scheduled"))))</f>
        <v/>
      </c>
      <c r="P480" s="115">
        <f>IF(B480="","",IF(E480&lt;&gt;"",E480,IFERROR(INDEX('Contractors'!$D$6:$D$1005,MATCH(B480,'Contractors'!$B$6:$B$1005,0)),"")))</f>
        <v/>
      </c>
      <c r="Q480" s="79">
        <f>IF(B480="","",IF(D480&lt;&gt;"",D480,IFERROR(INDEX('Contractors'!$E$6:$E$1005,MATCH(B480,'Contractors'!$B$6:$B$1005,0)),"")))</f>
        <v/>
      </c>
      <c r="R480" s="79">
        <f>IF(O480="","",IF(O480="OVERDUE",2,IF(O480="Paid",0,IF(AND(I480&lt;&gt;"",I480&lt;=AsOf+AlertDays),1,0))))</f>
        <v/>
      </c>
      <c r="S480" s="79">
        <f>IF(AND(B480&lt;&gt;"",M480="",I480&lt;&gt;""),IF(L480&lt;&gt;"",L480,IF(H480="",0,H480)),0)</f>
        <v/>
      </c>
      <c r="T480" s="79">
        <f>IF(AND(B480&lt;&gt;"",M480="",I480&lt;&gt;""),1/I480,0)</f>
        <v/>
      </c>
      <c r="U480" s="112">
        <f>IF(AND(B480&lt;&gt;"",M480="",I480&lt;&gt;""),I480,"")</f>
        <v/>
      </c>
      <c r="V480" s="79">
        <f>IF(U480="","",IF(U480&lt;AsOf,1,IF(U480&lt;=AsOf+AlertDays,2,IF(U480&lt;=AsOf+2*AlertDays,3,""))))</f>
        <v/>
      </c>
      <c r="W480" s="79">
        <f>IF(V480="","",IF(O480="OVERDUE","Overdue payment: ","Payment due: ")&amp;B480&amp;" — "&amp;C480&amp;" ("&amp;CurSym&amp;" "&amp;FIXED(S480,0)&amp;")")</f>
        <v/>
      </c>
      <c r="Z480" s="116">
        <f>IF('Contractors'!B480="","",'Contractors'!B480)</f>
        <v/>
      </c>
      <c r="AA480" s="77">
        <f>IF(Z480="","",'Contractors'!K480)</f>
        <v/>
      </c>
      <c r="AB480" s="77">
        <f>IF(Z480="","",SUMIFS($L$6:$L$1005,$B$6:$B$1005,Z480))</f>
        <v/>
      </c>
      <c r="AC480" s="77">
        <f>IF(Z480="","",SUMIFS($N$6:$N$1005,$B$6:$B$1005,Z480))</f>
        <v/>
      </c>
      <c r="AD480" s="76">
        <f>IF(Z480="","",AA480-AC480)</f>
        <v/>
      </c>
      <c r="AE480" s="117">
        <f>IF(Z480="","",IFERROR(1/SUMPRODUCT(MAX(($B$6:$B$1005=Z480)*$T$6:$T$1005)),""))</f>
        <v/>
      </c>
      <c r="AF480" s="77">
        <f>IF(AE480="","",SUMIFS($S$6:$S$1005,$B$6:$B$1005,Z480,$I$6:$I$1005,AE480))</f>
        <v/>
      </c>
    </row>
    <row r="481" ht="20" customHeight="1">
      <c r="B481" s="72" t="n"/>
      <c r="C481" s="72" t="n"/>
      <c r="D481" s="72" t="n"/>
      <c r="E481" s="72" t="n"/>
      <c r="F481" s="110" t="n"/>
      <c r="G481" s="73" t="n"/>
      <c r="H481" s="75">
        <f>IF(B481="","",IF(G481&lt;&gt;"",G481,IF(F481&lt;&gt;"",F481*IFERROR(INDEX('Contractors'!$I$6:$I$1005,MATCH(B481,'Contractors'!$B$6:$B$1005,0)),0),"")))</f>
        <v/>
      </c>
      <c r="I481" s="109" t="n"/>
      <c r="J481" s="72" t="n"/>
      <c r="K481" s="109" t="n"/>
      <c r="L481" s="73" t="n"/>
      <c r="M481" s="109" t="n"/>
      <c r="N481" s="73" t="n"/>
      <c r="O481" s="107">
        <f>IF(B481="","",IF(M481&lt;&gt;"","Paid",IF(AND(I481&lt;&gt;"",I481&lt;AsOf),"OVERDUE",IF(OR(K481&lt;&gt;"",L481&lt;&gt;""),"Invoiced","Scheduled"))))</f>
        <v/>
      </c>
      <c r="P481" s="115">
        <f>IF(B481="","",IF(E481&lt;&gt;"",E481,IFERROR(INDEX('Contractors'!$D$6:$D$1005,MATCH(B481,'Contractors'!$B$6:$B$1005,0)),"")))</f>
        <v/>
      </c>
      <c r="Q481" s="79">
        <f>IF(B481="","",IF(D481&lt;&gt;"",D481,IFERROR(INDEX('Contractors'!$E$6:$E$1005,MATCH(B481,'Contractors'!$B$6:$B$1005,0)),"")))</f>
        <v/>
      </c>
      <c r="R481" s="79">
        <f>IF(O481="","",IF(O481="OVERDUE",2,IF(O481="Paid",0,IF(AND(I481&lt;&gt;"",I481&lt;=AsOf+AlertDays),1,0))))</f>
        <v/>
      </c>
      <c r="S481" s="79">
        <f>IF(AND(B481&lt;&gt;"",M481="",I481&lt;&gt;""),IF(L481&lt;&gt;"",L481,IF(H481="",0,H481)),0)</f>
        <v/>
      </c>
      <c r="T481" s="79">
        <f>IF(AND(B481&lt;&gt;"",M481="",I481&lt;&gt;""),1/I481,0)</f>
        <v/>
      </c>
      <c r="U481" s="112">
        <f>IF(AND(B481&lt;&gt;"",M481="",I481&lt;&gt;""),I481,"")</f>
        <v/>
      </c>
      <c r="V481" s="79">
        <f>IF(U481="","",IF(U481&lt;AsOf,1,IF(U481&lt;=AsOf+AlertDays,2,IF(U481&lt;=AsOf+2*AlertDays,3,""))))</f>
        <v/>
      </c>
      <c r="W481" s="79">
        <f>IF(V481="","",IF(O481="OVERDUE","Overdue payment: ","Payment due: ")&amp;B481&amp;" — "&amp;C481&amp;" ("&amp;CurSym&amp;" "&amp;FIXED(S481,0)&amp;")")</f>
        <v/>
      </c>
      <c r="Z481" s="116">
        <f>IF('Contractors'!B481="","",'Contractors'!B481)</f>
        <v/>
      </c>
      <c r="AA481" s="77">
        <f>IF(Z481="","",'Contractors'!K481)</f>
        <v/>
      </c>
      <c r="AB481" s="77">
        <f>IF(Z481="","",SUMIFS($L$6:$L$1005,$B$6:$B$1005,Z481))</f>
        <v/>
      </c>
      <c r="AC481" s="77">
        <f>IF(Z481="","",SUMIFS($N$6:$N$1005,$B$6:$B$1005,Z481))</f>
        <v/>
      </c>
      <c r="AD481" s="76">
        <f>IF(Z481="","",AA481-AC481)</f>
        <v/>
      </c>
      <c r="AE481" s="117">
        <f>IF(Z481="","",IFERROR(1/SUMPRODUCT(MAX(($B$6:$B$1005=Z481)*$T$6:$T$1005)),""))</f>
        <v/>
      </c>
      <c r="AF481" s="77">
        <f>IF(AE481="","",SUMIFS($S$6:$S$1005,$B$6:$B$1005,Z481,$I$6:$I$1005,AE481))</f>
        <v/>
      </c>
    </row>
    <row r="482" ht="20" customHeight="1">
      <c r="B482" s="72" t="n"/>
      <c r="C482" s="72" t="n"/>
      <c r="D482" s="72" t="n"/>
      <c r="E482" s="72" t="n"/>
      <c r="F482" s="110" t="n"/>
      <c r="G482" s="73" t="n"/>
      <c r="H482" s="75">
        <f>IF(B482="","",IF(G482&lt;&gt;"",G482,IF(F482&lt;&gt;"",F482*IFERROR(INDEX('Contractors'!$I$6:$I$1005,MATCH(B482,'Contractors'!$B$6:$B$1005,0)),0),"")))</f>
        <v/>
      </c>
      <c r="I482" s="109" t="n"/>
      <c r="J482" s="72" t="n"/>
      <c r="K482" s="109" t="n"/>
      <c r="L482" s="73" t="n"/>
      <c r="M482" s="109" t="n"/>
      <c r="N482" s="73" t="n"/>
      <c r="O482" s="107">
        <f>IF(B482="","",IF(M482&lt;&gt;"","Paid",IF(AND(I482&lt;&gt;"",I482&lt;AsOf),"OVERDUE",IF(OR(K482&lt;&gt;"",L482&lt;&gt;""),"Invoiced","Scheduled"))))</f>
        <v/>
      </c>
      <c r="P482" s="115">
        <f>IF(B482="","",IF(E482&lt;&gt;"",E482,IFERROR(INDEX('Contractors'!$D$6:$D$1005,MATCH(B482,'Contractors'!$B$6:$B$1005,0)),"")))</f>
        <v/>
      </c>
      <c r="Q482" s="79">
        <f>IF(B482="","",IF(D482&lt;&gt;"",D482,IFERROR(INDEX('Contractors'!$E$6:$E$1005,MATCH(B482,'Contractors'!$B$6:$B$1005,0)),"")))</f>
        <v/>
      </c>
      <c r="R482" s="79">
        <f>IF(O482="","",IF(O482="OVERDUE",2,IF(O482="Paid",0,IF(AND(I482&lt;&gt;"",I482&lt;=AsOf+AlertDays),1,0))))</f>
        <v/>
      </c>
      <c r="S482" s="79">
        <f>IF(AND(B482&lt;&gt;"",M482="",I482&lt;&gt;""),IF(L482&lt;&gt;"",L482,IF(H482="",0,H482)),0)</f>
        <v/>
      </c>
      <c r="T482" s="79">
        <f>IF(AND(B482&lt;&gt;"",M482="",I482&lt;&gt;""),1/I482,0)</f>
        <v/>
      </c>
      <c r="U482" s="112">
        <f>IF(AND(B482&lt;&gt;"",M482="",I482&lt;&gt;""),I482,"")</f>
        <v/>
      </c>
      <c r="V482" s="79">
        <f>IF(U482="","",IF(U482&lt;AsOf,1,IF(U482&lt;=AsOf+AlertDays,2,IF(U482&lt;=AsOf+2*AlertDays,3,""))))</f>
        <v/>
      </c>
      <c r="W482" s="79">
        <f>IF(V482="","",IF(O482="OVERDUE","Overdue payment: ","Payment due: ")&amp;B482&amp;" — "&amp;C482&amp;" ("&amp;CurSym&amp;" "&amp;FIXED(S482,0)&amp;")")</f>
        <v/>
      </c>
      <c r="Z482" s="116">
        <f>IF('Contractors'!B482="","",'Contractors'!B482)</f>
        <v/>
      </c>
      <c r="AA482" s="77">
        <f>IF(Z482="","",'Contractors'!K482)</f>
        <v/>
      </c>
      <c r="AB482" s="77">
        <f>IF(Z482="","",SUMIFS($L$6:$L$1005,$B$6:$B$1005,Z482))</f>
        <v/>
      </c>
      <c r="AC482" s="77">
        <f>IF(Z482="","",SUMIFS($N$6:$N$1005,$B$6:$B$1005,Z482))</f>
        <v/>
      </c>
      <c r="AD482" s="76">
        <f>IF(Z482="","",AA482-AC482)</f>
        <v/>
      </c>
      <c r="AE482" s="117">
        <f>IF(Z482="","",IFERROR(1/SUMPRODUCT(MAX(($B$6:$B$1005=Z482)*$T$6:$T$1005)),""))</f>
        <v/>
      </c>
      <c r="AF482" s="77">
        <f>IF(AE482="","",SUMIFS($S$6:$S$1005,$B$6:$B$1005,Z482,$I$6:$I$1005,AE482))</f>
        <v/>
      </c>
    </row>
    <row r="483" ht="20" customHeight="1">
      <c r="B483" s="72" t="n"/>
      <c r="C483" s="72" t="n"/>
      <c r="D483" s="72" t="n"/>
      <c r="E483" s="72" t="n"/>
      <c r="F483" s="110" t="n"/>
      <c r="G483" s="73" t="n"/>
      <c r="H483" s="75">
        <f>IF(B483="","",IF(G483&lt;&gt;"",G483,IF(F483&lt;&gt;"",F483*IFERROR(INDEX('Contractors'!$I$6:$I$1005,MATCH(B483,'Contractors'!$B$6:$B$1005,0)),0),"")))</f>
        <v/>
      </c>
      <c r="I483" s="109" t="n"/>
      <c r="J483" s="72" t="n"/>
      <c r="K483" s="109" t="n"/>
      <c r="L483" s="73" t="n"/>
      <c r="M483" s="109" t="n"/>
      <c r="N483" s="73" t="n"/>
      <c r="O483" s="107">
        <f>IF(B483="","",IF(M483&lt;&gt;"","Paid",IF(AND(I483&lt;&gt;"",I483&lt;AsOf),"OVERDUE",IF(OR(K483&lt;&gt;"",L483&lt;&gt;""),"Invoiced","Scheduled"))))</f>
        <v/>
      </c>
      <c r="P483" s="115">
        <f>IF(B483="","",IF(E483&lt;&gt;"",E483,IFERROR(INDEX('Contractors'!$D$6:$D$1005,MATCH(B483,'Contractors'!$B$6:$B$1005,0)),"")))</f>
        <v/>
      </c>
      <c r="Q483" s="79">
        <f>IF(B483="","",IF(D483&lt;&gt;"",D483,IFERROR(INDEX('Contractors'!$E$6:$E$1005,MATCH(B483,'Contractors'!$B$6:$B$1005,0)),"")))</f>
        <v/>
      </c>
      <c r="R483" s="79">
        <f>IF(O483="","",IF(O483="OVERDUE",2,IF(O483="Paid",0,IF(AND(I483&lt;&gt;"",I483&lt;=AsOf+AlertDays),1,0))))</f>
        <v/>
      </c>
      <c r="S483" s="79">
        <f>IF(AND(B483&lt;&gt;"",M483="",I483&lt;&gt;""),IF(L483&lt;&gt;"",L483,IF(H483="",0,H483)),0)</f>
        <v/>
      </c>
      <c r="T483" s="79">
        <f>IF(AND(B483&lt;&gt;"",M483="",I483&lt;&gt;""),1/I483,0)</f>
        <v/>
      </c>
      <c r="U483" s="112">
        <f>IF(AND(B483&lt;&gt;"",M483="",I483&lt;&gt;""),I483,"")</f>
        <v/>
      </c>
      <c r="V483" s="79">
        <f>IF(U483="","",IF(U483&lt;AsOf,1,IF(U483&lt;=AsOf+AlertDays,2,IF(U483&lt;=AsOf+2*AlertDays,3,""))))</f>
        <v/>
      </c>
      <c r="W483" s="79">
        <f>IF(V483="","",IF(O483="OVERDUE","Overdue payment: ","Payment due: ")&amp;B483&amp;" — "&amp;C483&amp;" ("&amp;CurSym&amp;" "&amp;FIXED(S483,0)&amp;")")</f>
        <v/>
      </c>
      <c r="Z483" s="116">
        <f>IF('Contractors'!B483="","",'Contractors'!B483)</f>
        <v/>
      </c>
      <c r="AA483" s="77">
        <f>IF(Z483="","",'Contractors'!K483)</f>
        <v/>
      </c>
      <c r="AB483" s="77">
        <f>IF(Z483="","",SUMIFS($L$6:$L$1005,$B$6:$B$1005,Z483))</f>
        <v/>
      </c>
      <c r="AC483" s="77">
        <f>IF(Z483="","",SUMIFS($N$6:$N$1005,$B$6:$B$1005,Z483))</f>
        <v/>
      </c>
      <c r="AD483" s="76">
        <f>IF(Z483="","",AA483-AC483)</f>
        <v/>
      </c>
      <c r="AE483" s="117">
        <f>IF(Z483="","",IFERROR(1/SUMPRODUCT(MAX(($B$6:$B$1005=Z483)*$T$6:$T$1005)),""))</f>
        <v/>
      </c>
      <c r="AF483" s="77">
        <f>IF(AE483="","",SUMIFS($S$6:$S$1005,$B$6:$B$1005,Z483,$I$6:$I$1005,AE483))</f>
        <v/>
      </c>
    </row>
    <row r="484" ht="20" customHeight="1">
      <c r="B484" s="72" t="n"/>
      <c r="C484" s="72" t="n"/>
      <c r="D484" s="72" t="n"/>
      <c r="E484" s="72" t="n"/>
      <c r="F484" s="110" t="n"/>
      <c r="G484" s="73" t="n"/>
      <c r="H484" s="75">
        <f>IF(B484="","",IF(G484&lt;&gt;"",G484,IF(F484&lt;&gt;"",F484*IFERROR(INDEX('Contractors'!$I$6:$I$1005,MATCH(B484,'Contractors'!$B$6:$B$1005,0)),0),"")))</f>
        <v/>
      </c>
      <c r="I484" s="109" t="n"/>
      <c r="J484" s="72" t="n"/>
      <c r="K484" s="109" t="n"/>
      <c r="L484" s="73" t="n"/>
      <c r="M484" s="109" t="n"/>
      <c r="N484" s="73" t="n"/>
      <c r="O484" s="107">
        <f>IF(B484="","",IF(M484&lt;&gt;"","Paid",IF(AND(I484&lt;&gt;"",I484&lt;AsOf),"OVERDUE",IF(OR(K484&lt;&gt;"",L484&lt;&gt;""),"Invoiced","Scheduled"))))</f>
        <v/>
      </c>
      <c r="P484" s="115">
        <f>IF(B484="","",IF(E484&lt;&gt;"",E484,IFERROR(INDEX('Contractors'!$D$6:$D$1005,MATCH(B484,'Contractors'!$B$6:$B$1005,0)),"")))</f>
        <v/>
      </c>
      <c r="Q484" s="79">
        <f>IF(B484="","",IF(D484&lt;&gt;"",D484,IFERROR(INDEX('Contractors'!$E$6:$E$1005,MATCH(B484,'Contractors'!$B$6:$B$1005,0)),"")))</f>
        <v/>
      </c>
      <c r="R484" s="79">
        <f>IF(O484="","",IF(O484="OVERDUE",2,IF(O484="Paid",0,IF(AND(I484&lt;&gt;"",I484&lt;=AsOf+AlertDays),1,0))))</f>
        <v/>
      </c>
      <c r="S484" s="79">
        <f>IF(AND(B484&lt;&gt;"",M484="",I484&lt;&gt;""),IF(L484&lt;&gt;"",L484,IF(H484="",0,H484)),0)</f>
        <v/>
      </c>
      <c r="T484" s="79">
        <f>IF(AND(B484&lt;&gt;"",M484="",I484&lt;&gt;""),1/I484,0)</f>
        <v/>
      </c>
      <c r="U484" s="112">
        <f>IF(AND(B484&lt;&gt;"",M484="",I484&lt;&gt;""),I484,"")</f>
        <v/>
      </c>
      <c r="V484" s="79">
        <f>IF(U484="","",IF(U484&lt;AsOf,1,IF(U484&lt;=AsOf+AlertDays,2,IF(U484&lt;=AsOf+2*AlertDays,3,""))))</f>
        <v/>
      </c>
      <c r="W484" s="79">
        <f>IF(V484="","",IF(O484="OVERDUE","Overdue payment: ","Payment due: ")&amp;B484&amp;" — "&amp;C484&amp;" ("&amp;CurSym&amp;" "&amp;FIXED(S484,0)&amp;")")</f>
        <v/>
      </c>
      <c r="Z484" s="116">
        <f>IF('Contractors'!B484="","",'Contractors'!B484)</f>
        <v/>
      </c>
      <c r="AA484" s="77">
        <f>IF(Z484="","",'Contractors'!K484)</f>
        <v/>
      </c>
      <c r="AB484" s="77">
        <f>IF(Z484="","",SUMIFS($L$6:$L$1005,$B$6:$B$1005,Z484))</f>
        <v/>
      </c>
      <c r="AC484" s="77">
        <f>IF(Z484="","",SUMIFS($N$6:$N$1005,$B$6:$B$1005,Z484))</f>
        <v/>
      </c>
      <c r="AD484" s="76">
        <f>IF(Z484="","",AA484-AC484)</f>
        <v/>
      </c>
      <c r="AE484" s="117">
        <f>IF(Z484="","",IFERROR(1/SUMPRODUCT(MAX(($B$6:$B$1005=Z484)*$T$6:$T$1005)),""))</f>
        <v/>
      </c>
      <c r="AF484" s="77">
        <f>IF(AE484="","",SUMIFS($S$6:$S$1005,$B$6:$B$1005,Z484,$I$6:$I$1005,AE484))</f>
        <v/>
      </c>
    </row>
    <row r="485" ht="20" customHeight="1">
      <c r="B485" s="72" t="n"/>
      <c r="C485" s="72" t="n"/>
      <c r="D485" s="72" t="n"/>
      <c r="E485" s="72" t="n"/>
      <c r="F485" s="110" t="n"/>
      <c r="G485" s="73" t="n"/>
      <c r="H485" s="75">
        <f>IF(B485="","",IF(G485&lt;&gt;"",G485,IF(F485&lt;&gt;"",F485*IFERROR(INDEX('Contractors'!$I$6:$I$1005,MATCH(B485,'Contractors'!$B$6:$B$1005,0)),0),"")))</f>
        <v/>
      </c>
      <c r="I485" s="109" t="n"/>
      <c r="J485" s="72" t="n"/>
      <c r="K485" s="109" t="n"/>
      <c r="L485" s="73" t="n"/>
      <c r="M485" s="109" t="n"/>
      <c r="N485" s="73" t="n"/>
      <c r="O485" s="107">
        <f>IF(B485="","",IF(M485&lt;&gt;"","Paid",IF(AND(I485&lt;&gt;"",I485&lt;AsOf),"OVERDUE",IF(OR(K485&lt;&gt;"",L485&lt;&gt;""),"Invoiced","Scheduled"))))</f>
        <v/>
      </c>
      <c r="P485" s="115">
        <f>IF(B485="","",IF(E485&lt;&gt;"",E485,IFERROR(INDEX('Contractors'!$D$6:$D$1005,MATCH(B485,'Contractors'!$B$6:$B$1005,0)),"")))</f>
        <v/>
      </c>
      <c r="Q485" s="79">
        <f>IF(B485="","",IF(D485&lt;&gt;"",D485,IFERROR(INDEX('Contractors'!$E$6:$E$1005,MATCH(B485,'Contractors'!$B$6:$B$1005,0)),"")))</f>
        <v/>
      </c>
      <c r="R485" s="79">
        <f>IF(O485="","",IF(O485="OVERDUE",2,IF(O485="Paid",0,IF(AND(I485&lt;&gt;"",I485&lt;=AsOf+AlertDays),1,0))))</f>
        <v/>
      </c>
      <c r="S485" s="79">
        <f>IF(AND(B485&lt;&gt;"",M485="",I485&lt;&gt;""),IF(L485&lt;&gt;"",L485,IF(H485="",0,H485)),0)</f>
        <v/>
      </c>
      <c r="T485" s="79">
        <f>IF(AND(B485&lt;&gt;"",M485="",I485&lt;&gt;""),1/I485,0)</f>
        <v/>
      </c>
      <c r="U485" s="112">
        <f>IF(AND(B485&lt;&gt;"",M485="",I485&lt;&gt;""),I485,"")</f>
        <v/>
      </c>
      <c r="V485" s="79">
        <f>IF(U485="","",IF(U485&lt;AsOf,1,IF(U485&lt;=AsOf+AlertDays,2,IF(U485&lt;=AsOf+2*AlertDays,3,""))))</f>
        <v/>
      </c>
      <c r="W485" s="79">
        <f>IF(V485="","",IF(O485="OVERDUE","Overdue payment: ","Payment due: ")&amp;B485&amp;" — "&amp;C485&amp;" ("&amp;CurSym&amp;" "&amp;FIXED(S485,0)&amp;")")</f>
        <v/>
      </c>
      <c r="Z485" s="116">
        <f>IF('Contractors'!B485="","",'Contractors'!B485)</f>
        <v/>
      </c>
      <c r="AA485" s="77">
        <f>IF(Z485="","",'Contractors'!K485)</f>
        <v/>
      </c>
      <c r="AB485" s="77">
        <f>IF(Z485="","",SUMIFS($L$6:$L$1005,$B$6:$B$1005,Z485))</f>
        <v/>
      </c>
      <c r="AC485" s="77">
        <f>IF(Z485="","",SUMIFS($N$6:$N$1005,$B$6:$B$1005,Z485))</f>
        <v/>
      </c>
      <c r="AD485" s="76">
        <f>IF(Z485="","",AA485-AC485)</f>
        <v/>
      </c>
      <c r="AE485" s="117">
        <f>IF(Z485="","",IFERROR(1/SUMPRODUCT(MAX(($B$6:$B$1005=Z485)*$T$6:$T$1005)),""))</f>
        <v/>
      </c>
      <c r="AF485" s="77">
        <f>IF(AE485="","",SUMIFS($S$6:$S$1005,$B$6:$B$1005,Z485,$I$6:$I$1005,AE485))</f>
        <v/>
      </c>
    </row>
    <row r="486" ht="20" customHeight="1">
      <c r="B486" s="72" t="n"/>
      <c r="C486" s="72" t="n"/>
      <c r="D486" s="72" t="n"/>
      <c r="E486" s="72" t="n"/>
      <c r="F486" s="110" t="n"/>
      <c r="G486" s="73" t="n"/>
      <c r="H486" s="75">
        <f>IF(B486="","",IF(G486&lt;&gt;"",G486,IF(F486&lt;&gt;"",F486*IFERROR(INDEX('Contractors'!$I$6:$I$1005,MATCH(B486,'Contractors'!$B$6:$B$1005,0)),0),"")))</f>
        <v/>
      </c>
      <c r="I486" s="109" t="n"/>
      <c r="J486" s="72" t="n"/>
      <c r="K486" s="109" t="n"/>
      <c r="L486" s="73" t="n"/>
      <c r="M486" s="109" t="n"/>
      <c r="N486" s="73" t="n"/>
      <c r="O486" s="107">
        <f>IF(B486="","",IF(M486&lt;&gt;"","Paid",IF(AND(I486&lt;&gt;"",I486&lt;AsOf),"OVERDUE",IF(OR(K486&lt;&gt;"",L486&lt;&gt;""),"Invoiced","Scheduled"))))</f>
        <v/>
      </c>
      <c r="P486" s="115">
        <f>IF(B486="","",IF(E486&lt;&gt;"",E486,IFERROR(INDEX('Contractors'!$D$6:$D$1005,MATCH(B486,'Contractors'!$B$6:$B$1005,0)),"")))</f>
        <v/>
      </c>
      <c r="Q486" s="79">
        <f>IF(B486="","",IF(D486&lt;&gt;"",D486,IFERROR(INDEX('Contractors'!$E$6:$E$1005,MATCH(B486,'Contractors'!$B$6:$B$1005,0)),"")))</f>
        <v/>
      </c>
      <c r="R486" s="79">
        <f>IF(O486="","",IF(O486="OVERDUE",2,IF(O486="Paid",0,IF(AND(I486&lt;&gt;"",I486&lt;=AsOf+AlertDays),1,0))))</f>
        <v/>
      </c>
      <c r="S486" s="79">
        <f>IF(AND(B486&lt;&gt;"",M486="",I486&lt;&gt;""),IF(L486&lt;&gt;"",L486,IF(H486="",0,H486)),0)</f>
        <v/>
      </c>
      <c r="T486" s="79">
        <f>IF(AND(B486&lt;&gt;"",M486="",I486&lt;&gt;""),1/I486,0)</f>
        <v/>
      </c>
      <c r="U486" s="112">
        <f>IF(AND(B486&lt;&gt;"",M486="",I486&lt;&gt;""),I486,"")</f>
        <v/>
      </c>
      <c r="V486" s="79">
        <f>IF(U486="","",IF(U486&lt;AsOf,1,IF(U486&lt;=AsOf+AlertDays,2,IF(U486&lt;=AsOf+2*AlertDays,3,""))))</f>
        <v/>
      </c>
      <c r="W486" s="79">
        <f>IF(V486="","",IF(O486="OVERDUE","Overdue payment: ","Payment due: ")&amp;B486&amp;" — "&amp;C486&amp;" ("&amp;CurSym&amp;" "&amp;FIXED(S486,0)&amp;")")</f>
        <v/>
      </c>
      <c r="Z486" s="116">
        <f>IF('Contractors'!B486="","",'Contractors'!B486)</f>
        <v/>
      </c>
      <c r="AA486" s="77">
        <f>IF(Z486="","",'Contractors'!K486)</f>
        <v/>
      </c>
      <c r="AB486" s="77">
        <f>IF(Z486="","",SUMIFS($L$6:$L$1005,$B$6:$B$1005,Z486))</f>
        <v/>
      </c>
      <c r="AC486" s="77">
        <f>IF(Z486="","",SUMIFS($N$6:$N$1005,$B$6:$B$1005,Z486))</f>
        <v/>
      </c>
      <c r="AD486" s="76">
        <f>IF(Z486="","",AA486-AC486)</f>
        <v/>
      </c>
      <c r="AE486" s="117">
        <f>IF(Z486="","",IFERROR(1/SUMPRODUCT(MAX(($B$6:$B$1005=Z486)*$T$6:$T$1005)),""))</f>
        <v/>
      </c>
      <c r="AF486" s="77">
        <f>IF(AE486="","",SUMIFS($S$6:$S$1005,$B$6:$B$1005,Z486,$I$6:$I$1005,AE486))</f>
        <v/>
      </c>
    </row>
    <row r="487" ht="20" customHeight="1">
      <c r="B487" s="72" t="n"/>
      <c r="C487" s="72" t="n"/>
      <c r="D487" s="72" t="n"/>
      <c r="E487" s="72" t="n"/>
      <c r="F487" s="110" t="n"/>
      <c r="G487" s="73" t="n"/>
      <c r="H487" s="75">
        <f>IF(B487="","",IF(G487&lt;&gt;"",G487,IF(F487&lt;&gt;"",F487*IFERROR(INDEX('Contractors'!$I$6:$I$1005,MATCH(B487,'Contractors'!$B$6:$B$1005,0)),0),"")))</f>
        <v/>
      </c>
      <c r="I487" s="109" t="n"/>
      <c r="J487" s="72" t="n"/>
      <c r="K487" s="109" t="n"/>
      <c r="L487" s="73" t="n"/>
      <c r="M487" s="109" t="n"/>
      <c r="N487" s="73" t="n"/>
      <c r="O487" s="107">
        <f>IF(B487="","",IF(M487&lt;&gt;"","Paid",IF(AND(I487&lt;&gt;"",I487&lt;AsOf),"OVERDUE",IF(OR(K487&lt;&gt;"",L487&lt;&gt;""),"Invoiced","Scheduled"))))</f>
        <v/>
      </c>
      <c r="P487" s="115">
        <f>IF(B487="","",IF(E487&lt;&gt;"",E487,IFERROR(INDEX('Contractors'!$D$6:$D$1005,MATCH(B487,'Contractors'!$B$6:$B$1005,0)),"")))</f>
        <v/>
      </c>
      <c r="Q487" s="79">
        <f>IF(B487="","",IF(D487&lt;&gt;"",D487,IFERROR(INDEX('Contractors'!$E$6:$E$1005,MATCH(B487,'Contractors'!$B$6:$B$1005,0)),"")))</f>
        <v/>
      </c>
      <c r="R487" s="79">
        <f>IF(O487="","",IF(O487="OVERDUE",2,IF(O487="Paid",0,IF(AND(I487&lt;&gt;"",I487&lt;=AsOf+AlertDays),1,0))))</f>
        <v/>
      </c>
      <c r="S487" s="79">
        <f>IF(AND(B487&lt;&gt;"",M487="",I487&lt;&gt;""),IF(L487&lt;&gt;"",L487,IF(H487="",0,H487)),0)</f>
        <v/>
      </c>
      <c r="T487" s="79">
        <f>IF(AND(B487&lt;&gt;"",M487="",I487&lt;&gt;""),1/I487,0)</f>
        <v/>
      </c>
      <c r="U487" s="112">
        <f>IF(AND(B487&lt;&gt;"",M487="",I487&lt;&gt;""),I487,"")</f>
        <v/>
      </c>
      <c r="V487" s="79">
        <f>IF(U487="","",IF(U487&lt;AsOf,1,IF(U487&lt;=AsOf+AlertDays,2,IF(U487&lt;=AsOf+2*AlertDays,3,""))))</f>
        <v/>
      </c>
      <c r="W487" s="79">
        <f>IF(V487="","",IF(O487="OVERDUE","Overdue payment: ","Payment due: ")&amp;B487&amp;" — "&amp;C487&amp;" ("&amp;CurSym&amp;" "&amp;FIXED(S487,0)&amp;")")</f>
        <v/>
      </c>
      <c r="Z487" s="116">
        <f>IF('Contractors'!B487="","",'Contractors'!B487)</f>
        <v/>
      </c>
      <c r="AA487" s="77">
        <f>IF(Z487="","",'Contractors'!K487)</f>
        <v/>
      </c>
      <c r="AB487" s="77">
        <f>IF(Z487="","",SUMIFS($L$6:$L$1005,$B$6:$B$1005,Z487))</f>
        <v/>
      </c>
      <c r="AC487" s="77">
        <f>IF(Z487="","",SUMIFS($N$6:$N$1005,$B$6:$B$1005,Z487))</f>
        <v/>
      </c>
      <c r="AD487" s="76">
        <f>IF(Z487="","",AA487-AC487)</f>
        <v/>
      </c>
      <c r="AE487" s="117">
        <f>IF(Z487="","",IFERROR(1/SUMPRODUCT(MAX(($B$6:$B$1005=Z487)*$T$6:$T$1005)),""))</f>
        <v/>
      </c>
      <c r="AF487" s="77">
        <f>IF(AE487="","",SUMIFS($S$6:$S$1005,$B$6:$B$1005,Z487,$I$6:$I$1005,AE487))</f>
        <v/>
      </c>
    </row>
    <row r="488" ht="20" customHeight="1">
      <c r="B488" s="72" t="n"/>
      <c r="C488" s="72" t="n"/>
      <c r="D488" s="72" t="n"/>
      <c r="E488" s="72" t="n"/>
      <c r="F488" s="110" t="n"/>
      <c r="G488" s="73" t="n"/>
      <c r="H488" s="75">
        <f>IF(B488="","",IF(G488&lt;&gt;"",G488,IF(F488&lt;&gt;"",F488*IFERROR(INDEX('Contractors'!$I$6:$I$1005,MATCH(B488,'Contractors'!$B$6:$B$1005,0)),0),"")))</f>
        <v/>
      </c>
      <c r="I488" s="109" t="n"/>
      <c r="J488" s="72" t="n"/>
      <c r="K488" s="109" t="n"/>
      <c r="L488" s="73" t="n"/>
      <c r="M488" s="109" t="n"/>
      <c r="N488" s="73" t="n"/>
      <c r="O488" s="107">
        <f>IF(B488="","",IF(M488&lt;&gt;"","Paid",IF(AND(I488&lt;&gt;"",I488&lt;AsOf),"OVERDUE",IF(OR(K488&lt;&gt;"",L488&lt;&gt;""),"Invoiced","Scheduled"))))</f>
        <v/>
      </c>
      <c r="P488" s="115">
        <f>IF(B488="","",IF(E488&lt;&gt;"",E488,IFERROR(INDEX('Contractors'!$D$6:$D$1005,MATCH(B488,'Contractors'!$B$6:$B$1005,0)),"")))</f>
        <v/>
      </c>
      <c r="Q488" s="79">
        <f>IF(B488="","",IF(D488&lt;&gt;"",D488,IFERROR(INDEX('Contractors'!$E$6:$E$1005,MATCH(B488,'Contractors'!$B$6:$B$1005,0)),"")))</f>
        <v/>
      </c>
      <c r="R488" s="79">
        <f>IF(O488="","",IF(O488="OVERDUE",2,IF(O488="Paid",0,IF(AND(I488&lt;&gt;"",I488&lt;=AsOf+AlertDays),1,0))))</f>
        <v/>
      </c>
      <c r="S488" s="79">
        <f>IF(AND(B488&lt;&gt;"",M488="",I488&lt;&gt;""),IF(L488&lt;&gt;"",L488,IF(H488="",0,H488)),0)</f>
        <v/>
      </c>
      <c r="T488" s="79">
        <f>IF(AND(B488&lt;&gt;"",M488="",I488&lt;&gt;""),1/I488,0)</f>
        <v/>
      </c>
      <c r="U488" s="112">
        <f>IF(AND(B488&lt;&gt;"",M488="",I488&lt;&gt;""),I488,"")</f>
        <v/>
      </c>
      <c r="V488" s="79">
        <f>IF(U488="","",IF(U488&lt;AsOf,1,IF(U488&lt;=AsOf+AlertDays,2,IF(U488&lt;=AsOf+2*AlertDays,3,""))))</f>
        <v/>
      </c>
      <c r="W488" s="79">
        <f>IF(V488="","",IF(O488="OVERDUE","Overdue payment: ","Payment due: ")&amp;B488&amp;" — "&amp;C488&amp;" ("&amp;CurSym&amp;" "&amp;FIXED(S488,0)&amp;")")</f>
        <v/>
      </c>
      <c r="Z488" s="116">
        <f>IF('Contractors'!B488="","",'Contractors'!B488)</f>
        <v/>
      </c>
      <c r="AA488" s="77">
        <f>IF(Z488="","",'Contractors'!K488)</f>
        <v/>
      </c>
      <c r="AB488" s="77">
        <f>IF(Z488="","",SUMIFS($L$6:$L$1005,$B$6:$B$1005,Z488))</f>
        <v/>
      </c>
      <c r="AC488" s="77">
        <f>IF(Z488="","",SUMIFS($N$6:$N$1005,$B$6:$B$1005,Z488))</f>
        <v/>
      </c>
      <c r="AD488" s="76">
        <f>IF(Z488="","",AA488-AC488)</f>
        <v/>
      </c>
      <c r="AE488" s="117">
        <f>IF(Z488="","",IFERROR(1/SUMPRODUCT(MAX(($B$6:$B$1005=Z488)*$T$6:$T$1005)),""))</f>
        <v/>
      </c>
      <c r="AF488" s="77">
        <f>IF(AE488="","",SUMIFS($S$6:$S$1005,$B$6:$B$1005,Z488,$I$6:$I$1005,AE488))</f>
        <v/>
      </c>
    </row>
    <row r="489" ht="20" customHeight="1">
      <c r="B489" s="72" t="n"/>
      <c r="C489" s="72" t="n"/>
      <c r="D489" s="72" t="n"/>
      <c r="E489" s="72" t="n"/>
      <c r="F489" s="110" t="n"/>
      <c r="G489" s="73" t="n"/>
      <c r="H489" s="75">
        <f>IF(B489="","",IF(G489&lt;&gt;"",G489,IF(F489&lt;&gt;"",F489*IFERROR(INDEX('Contractors'!$I$6:$I$1005,MATCH(B489,'Contractors'!$B$6:$B$1005,0)),0),"")))</f>
        <v/>
      </c>
      <c r="I489" s="109" t="n"/>
      <c r="J489" s="72" t="n"/>
      <c r="K489" s="109" t="n"/>
      <c r="L489" s="73" t="n"/>
      <c r="M489" s="109" t="n"/>
      <c r="N489" s="73" t="n"/>
      <c r="O489" s="107">
        <f>IF(B489="","",IF(M489&lt;&gt;"","Paid",IF(AND(I489&lt;&gt;"",I489&lt;AsOf),"OVERDUE",IF(OR(K489&lt;&gt;"",L489&lt;&gt;""),"Invoiced","Scheduled"))))</f>
        <v/>
      </c>
      <c r="P489" s="115">
        <f>IF(B489="","",IF(E489&lt;&gt;"",E489,IFERROR(INDEX('Contractors'!$D$6:$D$1005,MATCH(B489,'Contractors'!$B$6:$B$1005,0)),"")))</f>
        <v/>
      </c>
      <c r="Q489" s="79">
        <f>IF(B489="","",IF(D489&lt;&gt;"",D489,IFERROR(INDEX('Contractors'!$E$6:$E$1005,MATCH(B489,'Contractors'!$B$6:$B$1005,0)),"")))</f>
        <v/>
      </c>
      <c r="R489" s="79">
        <f>IF(O489="","",IF(O489="OVERDUE",2,IF(O489="Paid",0,IF(AND(I489&lt;&gt;"",I489&lt;=AsOf+AlertDays),1,0))))</f>
        <v/>
      </c>
      <c r="S489" s="79">
        <f>IF(AND(B489&lt;&gt;"",M489="",I489&lt;&gt;""),IF(L489&lt;&gt;"",L489,IF(H489="",0,H489)),0)</f>
        <v/>
      </c>
      <c r="T489" s="79">
        <f>IF(AND(B489&lt;&gt;"",M489="",I489&lt;&gt;""),1/I489,0)</f>
        <v/>
      </c>
      <c r="U489" s="112">
        <f>IF(AND(B489&lt;&gt;"",M489="",I489&lt;&gt;""),I489,"")</f>
        <v/>
      </c>
      <c r="V489" s="79">
        <f>IF(U489="","",IF(U489&lt;AsOf,1,IF(U489&lt;=AsOf+AlertDays,2,IF(U489&lt;=AsOf+2*AlertDays,3,""))))</f>
        <v/>
      </c>
      <c r="W489" s="79">
        <f>IF(V489="","",IF(O489="OVERDUE","Overdue payment: ","Payment due: ")&amp;B489&amp;" — "&amp;C489&amp;" ("&amp;CurSym&amp;" "&amp;FIXED(S489,0)&amp;")")</f>
        <v/>
      </c>
      <c r="Z489" s="116">
        <f>IF('Contractors'!B489="","",'Contractors'!B489)</f>
        <v/>
      </c>
      <c r="AA489" s="77">
        <f>IF(Z489="","",'Contractors'!K489)</f>
        <v/>
      </c>
      <c r="AB489" s="77">
        <f>IF(Z489="","",SUMIFS($L$6:$L$1005,$B$6:$B$1005,Z489))</f>
        <v/>
      </c>
      <c r="AC489" s="77">
        <f>IF(Z489="","",SUMIFS($N$6:$N$1005,$B$6:$B$1005,Z489))</f>
        <v/>
      </c>
      <c r="AD489" s="76">
        <f>IF(Z489="","",AA489-AC489)</f>
        <v/>
      </c>
      <c r="AE489" s="117">
        <f>IF(Z489="","",IFERROR(1/SUMPRODUCT(MAX(($B$6:$B$1005=Z489)*$T$6:$T$1005)),""))</f>
        <v/>
      </c>
      <c r="AF489" s="77">
        <f>IF(AE489="","",SUMIFS($S$6:$S$1005,$B$6:$B$1005,Z489,$I$6:$I$1005,AE489))</f>
        <v/>
      </c>
    </row>
    <row r="490" ht="20" customHeight="1">
      <c r="B490" s="72" t="n"/>
      <c r="C490" s="72" t="n"/>
      <c r="D490" s="72" t="n"/>
      <c r="E490" s="72" t="n"/>
      <c r="F490" s="110" t="n"/>
      <c r="G490" s="73" t="n"/>
      <c r="H490" s="75">
        <f>IF(B490="","",IF(G490&lt;&gt;"",G490,IF(F490&lt;&gt;"",F490*IFERROR(INDEX('Contractors'!$I$6:$I$1005,MATCH(B490,'Contractors'!$B$6:$B$1005,0)),0),"")))</f>
        <v/>
      </c>
      <c r="I490" s="109" t="n"/>
      <c r="J490" s="72" t="n"/>
      <c r="K490" s="109" t="n"/>
      <c r="L490" s="73" t="n"/>
      <c r="M490" s="109" t="n"/>
      <c r="N490" s="73" t="n"/>
      <c r="O490" s="107">
        <f>IF(B490="","",IF(M490&lt;&gt;"","Paid",IF(AND(I490&lt;&gt;"",I490&lt;AsOf),"OVERDUE",IF(OR(K490&lt;&gt;"",L490&lt;&gt;""),"Invoiced","Scheduled"))))</f>
        <v/>
      </c>
      <c r="P490" s="115">
        <f>IF(B490="","",IF(E490&lt;&gt;"",E490,IFERROR(INDEX('Contractors'!$D$6:$D$1005,MATCH(B490,'Contractors'!$B$6:$B$1005,0)),"")))</f>
        <v/>
      </c>
      <c r="Q490" s="79">
        <f>IF(B490="","",IF(D490&lt;&gt;"",D490,IFERROR(INDEX('Contractors'!$E$6:$E$1005,MATCH(B490,'Contractors'!$B$6:$B$1005,0)),"")))</f>
        <v/>
      </c>
      <c r="R490" s="79">
        <f>IF(O490="","",IF(O490="OVERDUE",2,IF(O490="Paid",0,IF(AND(I490&lt;&gt;"",I490&lt;=AsOf+AlertDays),1,0))))</f>
        <v/>
      </c>
      <c r="S490" s="79">
        <f>IF(AND(B490&lt;&gt;"",M490="",I490&lt;&gt;""),IF(L490&lt;&gt;"",L490,IF(H490="",0,H490)),0)</f>
        <v/>
      </c>
      <c r="T490" s="79">
        <f>IF(AND(B490&lt;&gt;"",M490="",I490&lt;&gt;""),1/I490,0)</f>
        <v/>
      </c>
      <c r="U490" s="112">
        <f>IF(AND(B490&lt;&gt;"",M490="",I490&lt;&gt;""),I490,"")</f>
        <v/>
      </c>
      <c r="V490" s="79">
        <f>IF(U490="","",IF(U490&lt;AsOf,1,IF(U490&lt;=AsOf+AlertDays,2,IF(U490&lt;=AsOf+2*AlertDays,3,""))))</f>
        <v/>
      </c>
      <c r="W490" s="79">
        <f>IF(V490="","",IF(O490="OVERDUE","Overdue payment: ","Payment due: ")&amp;B490&amp;" — "&amp;C490&amp;" ("&amp;CurSym&amp;" "&amp;FIXED(S490,0)&amp;")")</f>
        <v/>
      </c>
      <c r="Z490" s="116">
        <f>IF('Contractors'!B490="","",'Contractors'!B490)</f>
        <v/>
      </c>
      <c r="AA490" s="77">
        <f>IF(Z490="","",'Contractors'!K490)</f>
        <v/>
      </c>
      <c r="AB490" s="77">
        <f>IF(Z490="","",SUMIFS($L$6:$L$1005,$B$6:$B$1005,Z490))</f>
        <v/>
      </c>
      <c r="AC490" s="77">
        <f>IF(Z490="","",SUMIFS($N$6:$N$1005,$B$6:$B$1005,Z490))</f>
        <v/>
      </c>
      <c r="AD490" s="76">
        <f>IF(Z490="","",AA490-AC490)</f>
        <v/>
      </c>
      <c r="AE490" s="117">
        <f>IF(Z490="","",IFERROR(1/SUMPRODUCT(MAX(($B$6:$B$1005=Z490)*$T$6:$T$1005)),""))</f>
        <v/>
      </c>
      <c r="AF490" s="77">
        <f>IF(AE490="","",SUMIFS($S$6:$S$1005,$B$6:$B$1005,Z490,$I$6:$I$1005,AE490))</f>
        <v/>
      </c>
    </row>
    <row r="491" ht="20" customHeight="1">
      <c r="B491" s="72" t="n"/>
      <c r="C491" s="72" t="n"/>
      <c r="D491" s="72" t="n"/>
      <c r="E491" s="72" t="n"/>
      <c r="F491" s="110" t="n"/>
      <c r="G491" s="73" t="n"/>
      <c r="H491" s="75">
        <f>IF(B491="","",IF(G491&lt;&gt;"",G491,IF(F491&lt;&gt;"",F491*IFERROR(INDEX('Contractors'!$I$6:$I$1005,MATCH(B491,'Contractors'!$B$6:$B$1005,0)),0),"")))</f>
        <v/>
      </c>
      <c r="I491" s="109" t="n"/>
      <c r="J491" s="72" t="n"/>
      <c r="K491" s="109" t="n"/>
      <c r="L491" s="73" t="n"/>
      <c r="M491" s="109" t="n"/>
      <c r="N491" s="73" t="n"/>
      <c r="O491" s="107">
        <f>IF(B491="","",IF(M491&lt;&gt;"","Paid",IF(AND(I491&lt;&gt;"",I491&lt;AsOf),"OVERDUE",IF(OR(K491&lt;&gt;"",L491&lt;&gt;""),"Invoiced","Scheduled"))))</f>
        <v/>
      </c>
      <c r="P491" s="115">
        <f>IF(B491="","",IF(E491&lt;&gt;"",E491,IFERROR(INDEX('Contractors'!$D$6:$D$1005,MATCH(B491,'Contractors'!$B$6:$B$1005,0)),"")))</f>
        <v/>
      </c>
      <c r="Q491" s="79">
        <f>IF(B491="","",IF(D491&lt;&gt;"",D491,IFERROR(INDEX('Contractors'!$E$6:$E$1005,MATCH(B491,'Contractors'!$B$6:$B$1005,0)),"")))</f>
        <v/>
      </c>
      <c r="R491" s="79">
        <f>IF(O491="","",IF(O491="OVERDUE",2,IF(O491="Paid",0,IF(AND(I491&lt;&gt;"",I491&lt;=AsOf+AlertDays),1,0))))</f>
        <v/>
      </c>
      <c r="S491" s="79">
        <f>IF(AND(B491&lt;&gt;"",M491="",I491&lt;&gt;""),IF(L491&lt;&gt;"",L491,IF(H491="",0,H491)),0)</f>
        <v/>
      </c>
      <c r="T491" s="79">
        <f>IF(AND(B491&lt;&gt;"",M491="",I491&lt;&gt;""),1/I491,0)</f>
        <v/>
      </c>
      <c r="U491" s="112">
        <f>IF(AND(B491&lt;&gt;"",M491="",I491&lt;&gt;""),I491,"")</f>
        <v/>
      </c>
      <c r="V491" s="79">
        <f>IF(U491="","",IF(U491&lt;AsOf,1,IF(U491&lt;=AsOf+AlertDays,2,IF(U491&lt;=AsOf+2*AlertDays,3,""))))</f>
        <v/>
      </c>
      <c r="W491" s="79">
        <f>IF(V491="","",IF(O491="OVERDUE","Overdue payment: ","Payment due: ")&amp;B491&amp;" — "&amp;C491&amp;" ("&amp;CurSym&amp;" "&amp;FIXED(S491,0)&amp;")")</f>
        <v/>
      </c>
      <c r="Z491" s="116">
        <f>IF('Contractors'!B491="","",'Contractors'!B491)</f>
        <v/>
      </c>
      <c r="AA491" s="77">
        <f>IF(Z491="","",'Contractors'!K491)</f>
        <v/>
      </c>
      <c r="AB491" s="77">
        <f>IF(Z491="","",SUMIFS($L$6:$L$1005,$B$6:$B$1005,Z491))</f>
        <v/>
      </c>
      <c r="AC491" s="77">
        <f>IF(Z491="","",SUMIFS($N$6:$N$1005,$B$6:$B$1005,Z491))</f>
        <v/>
      </c>
      <c r="AD491" s="76">
        <f>IF(Z491="","",AA491-AC491)</f>
        <v/>
      </c>
      <c r="AE491" s="117">
        <f>IF(Z491="","",IFERROR(1/SUMPRODUCT(MAX(($B$6:$B$1005=Z491)*$T$6:$T$1005)),""))</f>
        <v/>
      </c>
      <c r="AF491" s="77">
        <f>IF(AE491="","",SUMIFS($S$6:$S$1005,$B$6:$B$1005,Z491,$I$6:$I$1005,AE491))</f>
        <v/>
      </c>
    </row>
    <row r="492" ht="20" customHeight="1">
      <c r="B492" s="72" t="n"/>
      <c r="C492" s="72" t="n"/>
      <c r="D492" s="72" t="n"/>
      <c r="E492" s="72" t="n"/>
      <c r="F492" s="110" t="n"/>
      <c r="G492" s="73" t="n"/>
      <c r="H492" s="75">
        <f>IF(B492="","",IF(G492&lt;&gt;"",G492,IF(F492&lt;&gt;"",F492*IFERROR(INDEX('Contractors'!$I$6:$I$1005,MATCH(B492,'Contractors'!$B$6:$B$1005,0)),0),"")))</f>
        <v/>
      </c>
      <c r="I492" s="109" t="n"/>
      <c r="J492" s="72" t="n"/>
      <c r="K492" s="109" t="n"/>
      <c r="L492" s="73" t="n"/>
      <c r="M492" s="109" t="n"/>
      <c r="N492" s="73" t="n"/>
      <c r="O492" s="107">
        <f>IF(B492="","",IF(M492&lt;&gt;"","Paid",IF(AND(I492&lt;&gt;"",I492&lt;AsOf),"OVERDUE",IF(OR(K492&lt;&gt;"",L492&lt;&gt;""),"Invoiced","Scheduled"))))</f>
        <v/>
      </c>
      <c r="P492" s="115">
        <f>IF(B492="","",IF(E492&lt;&gt;"",E492,IFERROR(INDEX('Contractors'!$D$6:$D$1005,MATCH(B492,'Contractors'!$B$6:$B$1005,0)),"")))</f>
        <v/>
      </c>
      <c r="Q492" s="79">
        <f>IF(B492="","",IF(D492&lt;&gt;"",D492,IFERROR(INDEX('Contractors'!$E$6:$E$1005,MATCH(B492,'Contractors'!$B$6:$B$1005,0)),"")))</f>
        <v/>
      </c>
      <c r="R492" s="79">
        <f>IF(O492="","",IF(O492="OVERDUE",2,IF(O492="Paid",0,IF(AND(I492&lt;&gt;"",I492&lt;=AsOf+AlertDays),1,0))))</f>
        <v/>
      </c>
      <c r="S492" s="79">
        <f>IF(AND(B492&lt;&gt;"",M492="",I492&lt;&gt;""),IF(L492&lt;&gt;"",L492,IF(H492="",0,H492)),0)</f>
        <v/>
      </c>
      <c r="T492" s="79">
        <f>IF(AND(B492&lt;&gt;"",M492="",I492&lt;&gt;""),1/I492,0)</f>
        <v/>
      </c>
      <c r="U492" s="112">
        <f>IF(AND(B492&lt;&gt;"",M492="",I492&lt;&gt;""),I492,"")</f>
        <v/>
      </c>
      <c r="V492" s="79">
        <f>IF(U492="","",IF(U492&lt;AsOf,1,IF(U492&lt;=AsOf+AlertDays,2,IF(U492&lt;=AsOf+2*AlertDays,3,""))))</f>
        <v/>
      </c>
      <c r="W492" s="79">
        <f>IF(V492="","",IF(O492="OVERDUE","Overdue payment: ","Payment due: ")&amp;B492&amp;" — "&amp;C492&amp;" ("&amp;CurSym&amp;" "&amp;FIXED(S492,0)&amp;")")</f>
        <v/>
      </c>
      <c r="Z492" s="116">
        <f>IF('Contractors'!B492="","",'Contractors'!B492)</f>
        <v/>
      </c>
      <c r="AA492" s="77">
        <f>IF(Z492="","",'Contractors'!K492)</f>
        <v/>
      </c>
      <c r="AB492" s="77">
        <f>IF(Z492="","",SUMIFS($L$6:$L$1005,$B$6:$B$1005,Z492))</f>
        <v/>
      </c>
      <c r="AC492" s="77">
        <f>IF(Z492="","",SUMIFS($N$6:$N$1005,$B$6:$B$1005,Z492))</f>
        <v/>
      </c>
      <c r="AD492" s="76">
        <f>IF(Z492="","",AA492-AC492)</f>
        <v/>
      </c>
      <c r="AE492" s="117">
        <f>IF(Z492="","",IFERROR(1/SUMPRODUCT(MAX(($B$6:$B$1005=Z492)*$T$6:$T$1005)),""))</f>
        <v/>
      </c>
      <c r="AF492" s="77">
        <f>IF(AE492="","",SUMIFS($S$6:$S$1005,$B$6:$B$1005,Z492,$I$6:$I$1005,AE492))</f>
        <v/>
      </c>
    </row>
    <row r="493" ht="20" customHeight="1">
      <c r="B493" s="72" t="n"/>
      <c r="C493" s="72" t="n"/>
      <c r="D493" s="72" t="n"/>
      <c r="E493" s="72" t="n"/>
      <c r="F493" s="110" t="n"/>
      <c r="G493" s="73" t="n"/>
      <c r="H493" s="75">
        <f>IF(B493="","",IF(G493&lt;&gt;"",G493,IF(F493&lt;&gt;"",F493*IFERROR(INDEX('Contractors'!$I$6:$I$1005,MATCH(B493,'Contractors'!$B$6:$B$1005,0)),0),"")))</f>
        <v/>
      </c>
      <c r="I493" s="109" t="n"/>
      <c r="J493" s="72" t="n"/>
      <c r="K493" s="109" t="n"/>
      <c r="L493" s="73" t="n"/>
      <c r="M493" s="109" t="n"/>
      <c r="N493" s="73" t="n"/>
      <c r="O493" s="107">
        <f>IF(B493="","",IF(M493&lt;&gt;"","Paid",IF(AND(I493&lt;&gt;"",I493&lt;AsOf),"OVERDUE",IF(OR(K493&lt;&gt;"",L493&lt;&gt;""),"Invoiced","Scheduled"))))</f>
        <v/>
      </c>
      <c r="P493" s="115">
        <f>IF(B493="","",IF(E493&lt;&gt;"",E493,IFERROR(INDEX('Contractors'!$D$6:$D$1005,MATCH(B493,'Contractors'!$B$6:$B$1005,0)),"")))</f>
        <v/>
      </c>
      <c r="Q493" s="79">
        <f>IF(B493="","",IF(D493&lt;&gt;"",D493,IFERROR(INDEX('Contractors'!$E$6:$E$1005,MATCH(B493,'Contractors'!$B$6:$B$1005,0)),"")))</f>
        <v/>
      </c>
      <c r="R493" s="79">
        <f>IF(O493="","",IF(O493="OVERDUE",2,IF(O493="Paid",0,IF(AND(I493&lt;&gt;"",I493&lt;=AsOf+AlertDays),1,0))))</f>
        <v/>
      </c>
      <c r="S493" s="79">
        <f>IF(AND(B493&lt;&gt;"",M493="",I493&lt;&gt;""),IF(L493&lt;&gt;"",L493,IF(H493="",0,H493)),0)</f>
        <v/>
      </c>
      <c r="T493" s="79">
        <f>IF(AND(B493&lt;&gt;"",M493="",I493&lt;&gt;""),1/I493,0)</f>
        <v/>
      </c>
      <c r="U493" s="112">
        <f>IF(AND(B493&lt;&gt;"",M493="",I493&lt;&gt;""),I493,"")</f>
        <v/>
      </c>
      <c r="V493" s="79">
        <f>IF(U493="","",IF(U493&lt;AsOf,1,IF(U493&lt;=AsOf+AlertDays,2,IF(U493&lt;=AsOf+2*AlertDays,3,""))))</f>
        <v/>
      </c>
      <c r="W493" s="79">
        <f>IF(V493="","",IF(O493="OVERDUE","Overdue payment: ","Payment due: ")&amp;B493&amp;" — "&amp;C493&amp;" ("&amp;CurSym&amp;" "&amp;FIXED(S493,0)&amp;")")</f>
        <v/>
      </c>
      <c r="Z493" s="116">
        <f>IF('Contractors'!B493="","",'Contractors'!B493)</f>
        <v/>
      </c>
      <c r="AA493" s="77">
        <f>IF(Z493="","",'Contractors'!K493)</f>
        <v/>
      </c>
      <c r="AB493" s="77">
        <f>IF(Z493="","",SUMIFS($L$6:$L$1005,$B$6:$B$1005,Z493))</f>
        <v/>
      </c>
      <c r="AC493" s="77">
        <f>IF(Z493="","",SUMIFS($N$6:$N$1005,$B$6:$B$1005,Z493))</f>
        <v/>
      </c>
      <c r="AD493" s="76">
        <f>IF(Z493="","",AA493-AC493)</f>
        <v/>
      </c>
      <c r="AE493" s="117">
        <f>IF(Z493="","",IFERROR(1/SUMPRODUCT(MAX(($B$6:$B$1005=Z493)*$T$6:$T$1005)),""))</f>
        <v/>
      </c>
      <c r="AF493" s="77">
        <f>IF(AE493="","",SUMIFS($S$6:$S$1005,$B$6:$B$1005,Z493,$I$6:$I$1005,AE493))</f>
        <v/>
      </c>
    </row>
    <row r="494" ht="20" customHeight="1">
      <c r="B494" s="72" t="n"/>
      <c r="C494" s="72" t="n"/>
      <c r="D494" s="72" t="n"/>
      <c r="E494" s="72" t="n"/>
      <c r="F494" s="110" t="n"/>
      <c r="G494" s="73" t="n"/>
      <c r="H494" s="75">
        <f>IF(B494="","",IF(G494&lt;&gt;"",G494,IF(F494&lt;&gt;"",F494*IFERROR(INDEX('Contractors'!$I$6:$I$1005,MATCH(B494,'Contractors'!$B$6:$B$1005,0)),0),"")))</f>
        <v/>
      </c>
      <c r="I494" s="109" t="n"/>
      <c r="J494" s="72" t="n"/>
      <c r="K494" s="109" t="n"/>
      <c r="L494" s="73" t="n"/>
      <c r="M494" s="109" t="n"/>
      <c r="N494" s="73" t="n"/>
      <c r="O494" s="107">
        <f>IF(B494="","",IF(M494&lt;&gt;"","Paid",IF(AND(I494&lt;&gt;"",I494&lt;AsOf),"OVERDUE",IF(OR(K494&lt;&gt;"",L494&lt;&gt;""),"Invoiced","Scheduled"))))</f>
        <v/>
      </c>
      <c r="P494" s="115">
        <f>IF(B494="","",IF(E494&lt;&gt;"",E494,IFERROR(INDEX('Contractors'!$D$6:$D$1005,MATCH(B494,'Contractors'!$B$6:$B$1005,0)),"")))</f>
        <v/>
      </c>
      <c r="Q494" s="79">
        <f>IF(B494="","",IF(D494&lt;&gt;"",D494,IFERROR(INDEX('Contractors'!$E$6:$E$1005,MATCH(B494,'Contractors'!$B$6:$B$1005,0)),"")))</f>
        <v/>
      </c>
      <c r="R494" s="79">
        <f>IF(O494="","",IF(O494="OVERDUE",2,IF(O494="Paid",0,IF(AND(I494&lt;&gt;"",I494&lt;=AsOf+AlertDays),1,0))))</f>
        <v/>
      </c>
      <c r="S494" s="79">
        <f>IF(AND(B494&lt;&gt;"",M494="",I494&lt;&gt;""),IF(L494&lt;&gt;"",L494,IF(H494="",0,H494)),0)</f>
        <v/>
      </c>
      <c r="T494" s="79">
        <f>IF(AND(B494&lt;&gt;"",M494="",I494&lt;&gt;""),1/I494,0)</f>
        <v/>
      </c>
      <c r="U494" s="112">
        <f>IF(AND(B494&lt;&gt;"",M494="",I494&lt;&gt;""),I494,"")</f>
        <v/>
      </c>
      <c r="V494" s="79">
        <f>IF(U494="","",IF(U494&lt;AsOf,1,IF(U494&lt;=AsOf+AlertDays,2,IF(U494&lt;=AsOf+2*AlertDays,3,""))))</f>
        <v/>
      </c>
      <c r="W494" s="79">
        <f>IF(V494="","",IF(O494="OVERDUE","Overdue payment: ","Payment due: ")&amp;B494&amp;" — "&amp;C494&amp;" ("&amp;CurSym&amp;" "&amp;FIXED(S494,0)&amp;")")</f>
        <v/>
      </c>
      <c r="Z494" s="116">
        <f>IF('Contractors'!B494="","",'Contractors'!B494)</f>
        <v/>
      </c>
      <c r="AA494" s="77">
        <f>IF(Z494="","",'Contractors'!K494)</f>
        <v/>
      </c>
      <c r="AB494" s="77">
        <f>IF(Z494="","",SUMIFS($L$6:$L$1005,$B$6:$B$1005,Z494))</f>
        <v/>
      </c>
      <c r="AC494" s="77">
        <f>IF(Z494="","",SUMIFS($N$6:$N$1005,$B$6:$B$1005,Z494))</f>
        <v/>
      </c>
      <c r="AD494" s="76">
        <f>IF(Z494="","",AA494-AC494)</f>
        <v/>
      </c>
      <c r="AE494" s="117">
        <f>IF(Z494="","",IFERROR(1/SUMPRODUCT(MAX(($B$6:$B$1005=Z494)*$T$6:$T$1005)),""))</f>
        <v/>
      </c>
      <c r="AF494" s="77">
        <f>IF(AE494="","",SUMIFS($S$6:$S$1005,$B$6:$B$1005,Z494,$I$6:$I$1005,AE494))</f>
        <v/>
      </c>
    </row>
    <row r="495" ht="20" customHeight="1">
      <c r="B495" s="72" t="n"/>
      <c r="C495" s="72" t="n"/>
      <c r="D495" s="72" t="n"/>
      <c r="E495" s="72" t="n"/>
      <c r="F495" s="110" t="n"/>
      <c r="G495" s="73" t="n"/>
      <c r="H495" s="75">
        <f>IF(B495="","",IF(G495&lt;&gt;"",G495,IF(F495&lt;&gt;"",F495*IFERROR(INDEX('Contractors'!$I$6:$I$1005,MATCH(B495,'Contractors'!$B$6:$B$1005,0)),0),"")))</f>
        <v/>
      </c>
      <c r="I495" s="109" t="n"/>
      <c r="J495" s="72" t="n"/>
      <c r="K495" s="109" t="n"/>
      <c r="L495" s="73" t="n"/>
      <c r="M495" s="109" t="n"/>
      <c r="N495" s="73" t="n"/>
      <c r="O495" s="107">
        <f>IF(B495="","",IF(M495&lt;&gt;"","Paid",IF(AND(I495&lt;&gt;"",I495&lt;AsOf),"OVERDUE",IF(OR(K495&lt;&gt;"",L495&lt;&gt;""),"Invoiced","Scheduled"))))</f>
        <v/>
      </c>
      <c r="P495" s="115">
        <f>IF(B495="","",IF(E495&lt;&gt;"",E495,IFERROR(INDEX('Contractors'!$D$6:$D$1005,MATCH(B495,'Contractors'!$B$6:$B$1005,0)),"")))</f>
        <v/>
      </c>
      <c r="Q495" s="79">
        <f>IF(B495="","",IF(D495&lt;&gt;"",D495,IFERROR(INDEX('Contractors'!$E$6:$E$1005,MATCH(B495,'Contractors'!$B$6:$B$1005,0)),"")))</f>
        <v/>
      </c>
      <c r="R495" s="79">
        <f>IF(O495="","",IF(O495="OVERDUE",2,IF(O495="Paid",0,IF(AND(I495&lt;&gt;"",I495&lt;=AsOf+AlertDays),1,0))))</f>
        <v/>
      </c>
      <c r="S495" s="79">
        <f>IF(AND(B495&lt;&gt;"",M495="",I495&lt;&gt;""),IF(L495&lt;&gt;"",L495,IF(H495="",0,H495)),0)</f>
        <v/>
      </c>
      <c r="T495" s="79">
        <f>IF(AND(B495&lt;&gt;"",M495="",I495&lt;&gt;""),1/I495,0)</f>
        <v/>
      </c>
      <c r="U495" s="112">
        <f>IF(AND(B495&lt;&gt;"",M495="",I495&lt;&gt;""),I495,"")</f>
        <v/>
      </c>
      <c r="V495" s="79">
        <f>IF(U495="","",IF(U495&lt;AsOf,1,IF(U495&lt;=AsOf+AlertDays,2,IF(U495&lt;=AsOf+2*AlertDays,3,""))))</f>
        <v/>
      </c>
      <c r="W495" s="79">
        <f>IF(V495="","",IF(O495="OVERDUE","Overdue payment: ","Payment due: ")&amp;B495&amp;" — "&amp;C495&amp;" ("&amp;CurSym&amp;" "&amp;FIXED(S495,0)&amp;")")</f>
        <v/>
      </c>
      <c r="Z495" s="116">
        <f>IF('Contractors'!B495="","",'Contractors'!B495)</f>
        <v/>
      </c>
      <c r="AA495" s="77">
        <f>IF(Z495="","",'Contractors'!K495)</f>
        <v/>
      </c>
      <c r="AB495" s="77">
        <f>IF(Z495="","",SUMIFS($L$6:$L$1005,$B$6:$B$1005,Z495))</f>
        <v/>
      </c>
      <c r="AC495" s="77">
        <f>IF(Z495="","",SUMIFS($N$6:$N$1005,$B$6:$B$1005,Z495))</f>
        <v/>
      </c>
      <c r="AD495" s="76">
        <f>IF(Z495="","",AA495-AC495)</f>
        <v/>
      </c>
      <c r="AE495" s="117">
        <f>IF(Z495="","",IFERROR(1/SUMPRODUCT(MAX(($B$6:$B$1005=Z495)*$T$6:$T$1005)),""))</f>
        <v/>
      </c>
      <c r="AF495" s="77">
        <f>IF(AE495="","",SUMIFS($S$6:$S$1005,$B$6:$B$1005,Z495,$I$6:$I$1005,AE495))</f>
        <v/>
      </c>
    </row>
    <row r="496" ht="20" customHeight="1">
      <c r="B496" s="72" t="n"/>
      <c r="C496" s="72" t="n"/>
      <c r="D496" s="72" t="n"/>
      <c r="E496" s="72" t="n"/>
      <c r="F496" s="110" t="n"/>
      <c r="G496" s="73" t="n"/>
      <c r="H496" s="75">
        <f>IF(B496="","",IF(G496&lt;&gt;"",G496,IF(F496&lt;&gt;"",F496*IFERROR(INDEX('Contractors'!$I$6:$I$1005,MATCH(B496,'Contractors'!$B$6:$B$1005,0)),0),"")))</f>
        <v/>
      </c>
      <c r="I496" s="109" t="n"/>
      <c r="J496" s="72" t="n"/>
      <c r="K496" s="109" t="n"/>
      <c r="L496" s="73" t="n"/>
      <c r="M496" s="109" t="n"/>
      <c r="N496" s="73" t="n"/>
      <c r="O496" s="107">
        <f>IF(B496="","",IF(M496&lt;&gt;"","Paid",IF(AND(I496&lt;&gt;"",I496&lt;AsOf),"OVERDUE",IF(OR(K496&lt;&gt;"",L496&lt;&gt;""),"Invoiced","Scheduled"))))</f>
        <v/>
      </c>
      <c r="P496" s="115">
        <f>IF(B496="","",IF(E496&lt;&gt;"",E496,IFERROR(INDEX('Contractors'!$D$6:$D$1005,MATCH(B496,'Contractors'!$B$6:$B$1005,0)),"")))</f>
        <v/>
      </c>
      <c r="Q496" s="79">
        <f>IF(B496="","",IF(D496&lt;&gt;"",D496,IFERROR(INDEX('Contractors'!$E$6:$E$1005,MATCH(B496,'Contractors'!$B$6:$B$1005,0)),"")))</f>
        <v/>
      </c>
      <c r="R496" s="79">
        <f>IF(O496="","",IF(O496="OVERDUE",2,IF(O496="Paid",0,IF(AND(I496&lt;&gt;"",I496&lt;=AsOf+AlertDays),1,0))))</f>
        <v/>
      </c>
      <c r="S496" s="79">
        <f>IF(AND(B496&lt;&gt;"",M496="",I496&lt;&gt;""),IF(L496&lt;&gt;"",L496,IF(H496="",0,H496)),0)</f>
        <v/>
      </c>
      <c r="T496" s="79">
        <f>IF(AND(B496&lt;&gt;"",M496="",I496&lt;&gt;""),1/I496,0)</f>
        <v/>
      </c>
      <c r="U496" s="112">
        <f>IF(AND(B496&lt;&gt;"",M496="",I496&lt;&gt;""),I496,"")</f>
        <v/>
      </c>
      <c r="V496" s="79">
        <f>IF(U496="","",IF(U496&lt;AsOf,1,IF(U496&lt;=AsOf+AlertDays,2,IF(U496&lt;=AsOf+2*AlertDays,3,""))))</f>
        <v/>
      </c>
      <c r="W496" s="79">
        <f>IF(V496="","",IF(O496="OVERDUE","Overdue payment: ","Payment due: ")&amp;B496&amp;" — "&amp;C496&amp;" ("&amp;CurSym&amp;" "&amp;FIXED(S496,0)&amp;")")</f>
        <v/>
      </c>
      <c r="Z496" s="116">
        <f>IF('Contractors'!B496="","",'Contractors'!B496)</f>
        <v/>
      </c>
      <c r="AA496" s="77">
        <f>IF(Z496="","",'Contractors'!K496)</f>
        <v/>
      </c>
      <c r="AB496" s="77">
        <f>IF(Z496="","",SUMIFS($L$6:$L$1005,$B$6:$B$1005,Z496))</f>
        <v/>
      </c>
      <c r="AC496" s="77">
        <f>IF(Z496="","",SUMIFS($N$6:$N$1005,$B$6:$B$1005,Z496))</f>
        <v/>
      </c>
      <c r="AD496" s="76">
        <f>IF(Z496="","",AA496-AC496)</f>
        <v/>
      </c>
      <c r="AE496" s="117">
        <f>IF(Z496="","",IFERROR(1/SUMPRODUCT(MAX(($B$6:$B$1005=Z496)*$T$6:$T$1005)),""))</f>
        <v/>
      </c>
      <c r="AF496" s="77">
        <f>IF(AE496="","",SUMIFS($S$6:$S$1005,$B$6:$B$1005,Z496,$I$6:$I$1005,AE496))</f>
        <v/>
      </c>
    </row>
    <row r="497" ht="20" customHeight="1">
      <c r="B497" s="72" t="n"/>
      <c r="C497" s="72" t="n"/>
      <c r="D497" s="72" t="n"/>
      <c r="E497" s="72" t="n"/>
      <c r="F497" s="110" t="n"/>
      <c r="G497" s="73" t="n"/>
      <c r="H497" s="75">
        <f>IF(B497="","",IF(G497&lt;&gt;"",G497,IF(F497&lt;&gt;"",F497*IFERROR(INDEX('Contractors'!$I$6:$I$1005,MATCH(B497,'Contractors'!$B$6:$B$1005,0)),0),"")))</f>
        <v/>
      </c>
      <c r="I497" s="109" t="n"/>
      <c r="J497" s="72" t="n"/>
      <c r="K497" s="109" t="n"/>
      <c r="L497" s="73" t="n"/>
      <c r="M497" s="109" t="n"/>
      <c r="N497" s="73" t="n"/>
      <c r="O497" s="107">
        <f>IF(B497="","",IF(M497&lt;&gt;"","Paid",IF(AND(I497&lt;&gt;"",I497&lt;AsOf),"OVERDUE",IF(OR(K497&lt;&gt;"",L497&lt;&gt;""),"Invoiced","Scheduled"))))</f>
        <v/>
      </c>
      <c r="P497" s="115">
        <f>IF(B497="","",IF(E497&lt;&gt;"",E497,IFERROR(INDEX('Contractors'!$D$6:$D$1005,MATCH(B497,'Contractors'!$B$6:$B$1005,0)),"")))</f>
        <v/>
      </c>
      <c r="Q497" s="79">
        <f>IF(B497="","",IF(D497&lt;&gt;"",D497,IFERROR(INDEX('Contractors'!$E$6:$E$1005,MATCH(B497,'Contractors'!$B$6:$B$1005,0)),"")))</f>
        <v/>
      </c>
      <c r="R497" s="79">
        <f>IF(O497="","",IF(O497="OVERDUE",2,IF(O497="Paid",0,IF(AND(I497&lt;&gt;"",I497&lt;=AsOf+AlertDays),1,0))))</f>
        <v/>
      </c>
      <c r="S497" s="79">
        <f>IF(AND(B497&lt;&gt;"",M497="",I497&lt;&gt;""),IF(L497&lt;&gt;"",L497,IF(H497="",0,H497)),0)</f>
        <v/>
      </c>
      <c r="T497" s="79">
        <f>IF(AND(B497&lt;&gt;"",M497="",I497&lt;&gt;""),1/I497,0)</f>
        <v/>
      </c>
      <c r="U497" s="112">
        <f>IF(AND(B497&lt;&gt;"",M497="",I497&lt;&gt;""),I497,"")</f>
        <v/>
      </c>
      <c r="V497" s="79">
        <f>IF(U497="","",IF(U497&lt;AsOf,1,IF(U497&lt;=AsOf+AlertDays,2,IF(U497&lt;=AsOf+2*AlertDays,3,""))))</f>
        <v/>
      </c>
      <c r="W497" s="79">
        <f>IF(V497="","",IF(O497="OVERDUE","Overdue payment: ","Payment due: ")&amp;B497&amp;" — "&amp;C497&amp;" ("&amp;CurSym&amp;" "&amp;FIXED(S497,0)&amp;")")</f>
        <v/>
      </c>
      <c r="Z497" s="116">
        <f>IF('Contractors'!B497="","",'Contractors'!B497)</f>
        <v/>
      </c>
      <c r="AA497" s="77">
        <f>IF(Z497="","",'Contractors'!K497)</f>
        <v/>
      </c>
      <c r="AB497" s="77">
        <f>IF(Z497="","",SUMIFS($L$6:$L$1005,$B$6:$B$1005,Z497))</f>
        <v/>
      </c>
      <c r="AC497" s="77">
        <f>IF(Z497="","",SUMIFS($N$6:$N$1005,$B$6:$B$1005,Z497))</f>
        <v/>
      </c>
      <c r="AD497" s="76">
        <f>IF(Z497="","",AA497-AC497)</f>
        <v/>
      </c>
      <c r="AE497" s="117">
        <f>IF(Z497="","",IFERROR(1/SUMPRODUCT(MAX(($B$6:$B$1005=Z497)*$T$6:$T$1005)),""))</f>
        <v/>
      </c>
      <c r="AF497" s="77">
        <f>IF(AE497="","",SUMIFS($S$6:$S$1005,$B$6:$B$1005,Z497,$I$6:$I$1005,AE497))</f>
        <v/>
      </c>
    </row>
    <row r="498" ht="20" customHeight="1">
      <c r="B498" s="72" t="n"/>
      <c r="C498" s="72" t="n"/>
      <c r="D498" s="72" t="n"/>
      <c r="E498" s="72" t="n"/>
      <c r="F498" s="110" t="n"/>
      <c r="G498" s="73" t="n"/>
      <c r="H498" s="75">
        <f>IF(B498="","",IF(G498&lt;&gt;"",G498,IF(F498&lt;&gt;"",F498*IFERROR(INDEX('Contractors'!$I$6:$I$1005,MATCH(B498,'Contractors'!$B$6:$B$1005,0)),0),"")))</f>
        <v/>
      </c>
      <c r="I498" s="109" t="n"/>
      <c r="J498" s="72" t="n"/>
      <c r="K498" s="109" t="n"/>
      <c r="L498" s="73" t="n"/>
      <c r="M498" s="109" t="n"/>
      <c r="N498" s="73" t="n"/>
      <c r="O498" s="107">
        <f>IF(B498="","",IF(M498&lt;&gt;"","Paid",IF(AND(I498&lt;&gt;"",I498&lt;AsOf),"OVERDUE",IF(OR(K498&lt;&gt;"",L498&lt;&gt;""),"Invoiced","Scheduled"))))</f>
        <v/>
      </c>
      <c r="P498" s="115">
        <f>IF(B498="","",IF(E498&lt;&gt;"",E498,IFERROR(INDEX('Contractors'!$D$6:$D$1005,MATCH(B498,'Contractors'!$B$6:$B$1005,0)),"")))</f>
        <v/>
      </c>
      <c r="Q498" s="79">
        <f>IF(B498="","",IF(D498&lt;&gt;"",D498,IFERROR(INDEX('Contractors'!$E$6:$E$1005,MATCH(B498,'Contractors'!$B$6:$B$1005,0)),"")))</f>
        <v/>
      </c>
      <c r="R498" s="79">
        <f>IF(O498="","",IF(O498="OVERDUE",2,IF(O498="Paid",0,IF(AND(I498&lt;&gt;"",I498&lt;=AsOf+AlertDays),1,0))))</f>
        <v/>
      </c>
      <c r="S498" s="79">
        <f>IF(AND(B498&lt;&gt;"",M498="",I498&lt;&gt;""),IF(L498&lt;&gt;"",L498,IF(H498="",0,H498)),0)</f>
        <v/>
      </c>
      <c r="T498" s="79">
        <f>IF(AND(B498&lt;&gt;"",M498="",I498&lt;&gt;""),1/I498,0)</f>
        <v/>
      </c>
      <c r="U498" s="112">
        <f>IF(AND(B498&lt;&gt;"",M498="",I498&lt;&gt;""),I498,"")</f>
        <v/>
      </c>
      <c r="V498" s="79">
        <f>IF(U498="","",IF(U498&lt;AsOf,1,IF(U498&lt;=AsOf+AlertDays,2,IF(U498&lt;=AsOf+2*AlertDays,3,""))))</f>
        <v/>
      </c>
      <c r="W498" s="79">
        <f>IF(V498="","",IF(O498="OVERDUE","Overdue payment: ","Payment due: ")&amp;B498&amp;" — "&amp;C498&amp;" ("&amp;CurSym&amp;" "&amp;FIXED(S498,0)&amp;")")</f>
        <v/>
      </c>
      <c r="Z498" s="116">
        <f>IF('Contractors'!B498="","",'Contractors'!B498)</f>
        <v/>
      </c>
      <c r="AA498" s="77">
        <f>IF(Z498="","",'Contractors'!K498)</f>
        <v/>
      </c>
      <c r="AB498" s="77">
        <f>IF(Z498="","",SUMIFS($L$6:$L$1005,$B$6:$B$1005,Z498))</f>
        <v/>
      </c>
      <c r="AC498" s="77">
        <f>IF(Z498="","",SUMIFS($N$6:$N$1005,$B$6:$B$1005,Z498))</f>
        <v/>
      </c>
      <c r="AD498" s="76">
        <f>IF(Z498="","",AA498-AC498)</f>
        <v/>
      </c>
      <c r="AE498" s="117">
        <f>IF(Z498="","",IFERROR(1/SUMPRODUCT(MAX(($B$6:$B$1005=Z498)*$T$6:$T$1005)),""))</f>
        <v/>
      </c>
      <c r="AF498" s="77">
        <f>IF(AE498="","",SUMIFS($S$6:$S$1005,$B$6:$B$1005,Z498,$I$6:$I$1005,AE498))</f>
        <v/>
      </c>
    </row>
    <row r="499" ht="20" customHeight="1">
      <c r="B499" s="72" t="n"/>
      <c r="C499" s="72" t="n"/>
      <c r="D499" s="72" t="n"/>
      <c r="E499" s="72" t="n"/>
      <c r="F499" s="110" t="n"/>
      <c r="G499" s="73" t="n"/>
      <c r="H499" s="75">
        <f>IF(B499="","",IF(G499&lt;&gt;"",G499,IF(F499&lt;&gt;"",F499*IFERROR(INDEX('Contractors'!$I$6:$I$1005,MATCH(B499,'Contractors'!$B$6:$B$1005,0)),0),"")))</f>
        <v/>
      </c>
      <c r="I499" s="109" t="n"/>
      <c r="J499" s="72" t="n"/>
      <c r="K499" s="109" t="n"/>
      <c r="L499" s="73" t="n"/>
      <c r="M499" s="109" t="n"/>
      <c r="N499" s="73" t="n"/>
      <c r="O499" s="107">
        <f>IF(B499="","",IF(M499&lt;&gt;"","Paid",IF(AND(I499&lt;&gt;"",I499&lt;AsOf),"OVERDUE",IF(OR(K499&lt;&gt;"",L499&lt;&gt;""),"Invoiced","Scheduled"))))</f>
        <v/>
      </c>
      <c r="P499" s="115">
        <f>IF(B499="","",IF(E499&lt;&gt;"",E499,IFERROR(INDEX('Contractors'!$D$6:$D$1005,MATCH(B499,'Contractors'!$B$6:$B$1005,0)),"")))</f>
        <v/>
      </c>
      <c r="Q499" s="79">
        <f>IF(B499="","",IF(D499&lt;&gt;"",D499,IFERROR(INDEX('Contractors'!$E$6:$E$1005,MATCH(B499,'Contractors'!$B$6:$B$1005,0)),"")))</f>
        <v/>
      </c>
      <c r="R499" s="79">
        <f>IF(O499="","",IF(O499="OVERDUE",2,IF(O499="Paid",0,IF(AND(I499&lt;&gt;"",I499&lt;=AsOf+AlertDays),1,0))))</f>
        <v/>
      </c>
      <c r="S499" s="79">
        <f>IF(AND(B499&lt;&gt;"",M499="",I499&lt;&gt;""),IF(L499&lt;&gt;"",L499,IF(H499="",0,H499)),0)</f>
        <v/>
      </c>
      <c r="T499" s="79">
        <f>IF(AND(B499&lt;&gt;"",M499="",I499&lt;&gt;""),1/I499,0)</f>
        <v/>
      </c>
      <c r="U499" s="112">
        <f>IF(AND(B499&lt;&gt;"",M499="",I499&lt;&gt;""),I499,"")</f>
        <v/>
      </c>
      <c r="V499" s="79">
        <f>IF(U499="","",IF(U499&lt;AsOf,1,IF(U499&lt;=AsOf+AlertDays,2,IF(U499&lt;=AsOf+2*AlertDays,3,""))))</f>
        <v/>
      </c>
      <c r="W499" s="79">
        <f>IF(V499="","",IF(O499="OVERDUE","Overdue payment: ","Payment due: ")&amp;B499&amp;" — "&amp;C499&amp;" ("&amp;CurSym&amp;" "&amp;FIXED(S499,0)&amp;")")</f>
        <v/>
      </c>
      <c r="Z499" s="116">
        <f>IF('Contractors'!B499="","",'Contractors'!B499)</f>
        <v/>
      </c>
      <c r="AA499" s="77">
        <f>IF(Z499="","",'Contractors'!K499)</f>
        <v/>
      </c>
      <c r="AB499" s="77">
        <f>IF(Z499="","",SUMIFS($L$6:$L$1005,$B$6:$B$1005,Z499))</f>
        <v/>
      </c>
      <c r="AC499" s="77">
        <f>IF(Z499="","",SUMIFS($N$6:$N$1005,$B$6:$B$1005,Z499))</f>
        <v/>
      </c>
      <c r="AD499" s="76">
        <f>IF(Z499="","",AA499-AC499)</f>
        <v/>
      </c>
      <c r="AE499" s="117">
        <f>IF(Z499="","",IFERROR(1/SUMPRODUCT(MAX(($B$6:$B$1005=Z499)*$T$6:$T$1005)),""))</f>
        <v/>
      </c>
      <c r="AF499" s="77">
        <f>IF(AE499="","",SUMIFS($S$6:$S$1005,$B$6:$B$1005,Z499,$I$6:$I$1005,AE499))</f>
        <v/>
      </c>
    </row>
    <row r="500" ht="20" customHeight="1">
      <c r="B500" s="72" t="n"/>
      <c r="C500" s="72" t="n"/>
      <c r="D500" s="72" t="n"/>
      <c r="E500" s="72" t="n"/>
      <c r="F500" s="110" t="n"/>
      <c r="G500" s="73" t="n"/>
      <c r="H500" s="75">
        <f>IF(B500="","",IF(G500&lt;&gt;"",G500,IF(F500&lt;&gt;"",F500*IFERROR(INDEX('Contractors'!$I$6:$I$1005,MATCH(B500,'Contractors'!$B$6:$B$1005,0)),0),"")))</f>
        <v/>
      </c>
      <c r="I500" s="109" t="n"/>
      <c r="J500" s="72" t="n"/>
      <c r="K500" s="109" t="n"/>
      <c r="L500" s="73" t="n"/>
      <c r="M500" s="109" t="n"/>
      <c r="N500" s="73" t="n"/>
      <c r="O500" s="107">
        <f>IF(B500="","",IF(M500&lt;&gt;"","Paid",IF(AND(I500&lt;&gt;"",I500&lt;AsOf),"OVERDUE",IF(OR(K500&lt;&gt;"",L500&lt;&gt;""),"Invoiced","Scheduled"))))</f>
        <v/>
      </c>
      <c r="P500" s="115">
        <f>IF(B500="","",IF(E500&lt;&gt;"",E500,IFERROR(INDEX('Contractors'!$D$6:$D$1005,MATCH(B500,'Contractors'!$B$6:$B$1005,0)),"")))</f>
        <v/>
      </c>
      <c r="Q500" s="79">
        <f>IF(B500="","",IF(D500&lt;&gt;"",D500,IFERROR(INDEX('Contractors'!$E$6:$E$1005,MATCH(B500,'Contractors'!$B$6:$B$1005,0)),"")))</f>
        <v/>
      </c>
      <c r="R500" s="79">
        <f>IF(O500="","",IF(O500="OVERDUE",2,IF(O500="Paid",0,IF(AND(I500&lt;&gt;"",I500&lt;=AsOf+AlertDays),1,0))))</f>
        <v/>
      </c>
      <c r="S500" s="79">
        <f>IF(AND(B500&lt;&gt;"",M500="",I500&lt;&gt;""),IF(L500&lt;&gt;"",L500,IF(H500="",0,H500)),0)</f>
        <v/>
      </c>
      <c r="T500" s="79">
        <f>IF(AND(B500&lt;&gt;"",M500="",I500&lt;&gt;""),1/I500,0)</f>
        <v/>
      </c>
      <c r="U500" s="112">
        <f>IF(AND(B500&lt;&gt;"",M500="",I500&lt;&gt;""),I500,"")</f>
        <v/>
      </c>
      <c r="V500" s="79">
        <f>IF(U500="","",IF(U500&lt;AsOf,1,IF(U500&lt;=AsOf+AlertDays,2,IF(U500&lt;=AsOf+2*AlertDays,3,""))))</f>
        <v/>
      </c>
      <c r="W500" s="79">
        <f>IF(V500="","",IF(O500="OVERDUE","Overdue payment: ","Payment due: ")&amp;B500&amp;" — "&amp;C500&amp;" ("&amp;CurSym&amp;" "&amp;FIXED(S500,0)&amp;")")</f>
        <v/>
      </c>
      <c r="Z500" s="116">
        <f>IF('Contractors'!B500="","",'Contractors'!B500)</f>
        <v/>
      </c>
      <c r="AA500" s="77">
        <f>IF(Z500="","",'Contractors'!K500)</f>
        <v/>
      </c>
      <c r="AB500" s="77">
        <f>IF(Z500="","",SUMIFS($L$6:$L$1005,$B$6:$B$1005,Z500))</f>
        <v/>
      </c>
      <c r="AC500" s="77">
        <f>IF(Z500="","",SUMIFS($N$6:$N$1005,$B$6:$B$1005,Z500))</f>
        <v/>
      </c>
      <c r="AD500" s="76">
        <f>IF(Z500="","",AA500-AC500)</f>
        <v/>
      </c>
      <c r="AE500" s="117">
        <f>IF(Z500="","",IFERROR(1/SUMPRODUCT(MAX(($B$6:$B$1005=Z500)*$T$6:$T$1005)),""))</f>
        <v/>
      </c>
      <c r="AF500" s="77">
        <f>IF(AE500="","",SUMIFS($S$6:$S$1005,$B$6:$B$1005,Z500,$I$6:$I$1005,AE500))</f>
        <v/>
      </c>
    </row>
    <row r="501" ht="20" customHeight="1">
      <c r="B501" s="72" t="n"/>
      <c r="C501" s="72" t="n"/>
      <c r="D501" s="72" t="n"/>
      <c r="E501" s="72" t="n"/>
      <c r="F501" s="110" t="n"/>
      <c r="G501" s="73" t="n"/>
      <c r="H501" s="75">
        <f>IF(B501="","",IF(G501&lt;&gt;"",G501,IF(F501&lt;&gt;"",F501*IFERROR(INDEX('Contractors'!$I$6:$I$1005,MATCH(B501,'Contractors'!$B$6:$B$1005,0)),0),"")))</f>
        <v/>
      </c>
      <c r="I501" s="109" t="n"/>
      <c r="J501" s="72" t="n"/>
      <c r="K501" s="109" t="n"/>
      <c r="L501" s="73" t="n"/>
      <c r="M501" s="109" t="n"/>
      <c r="N501" s="73" t="n"/>
      <c r="O501" s="107">
        <f>IF(B501="","",IF(M501&lt;&gt;"","Paid",IF(AND(I501&lt;&gt;"",I501&lt;AsOf),"OVERDUE",IF(OR(K501&lt;&gt;"",L501&lt;&gt;""),"Invoiced","Scheduled"))))</f>
        <v/>
      </c>
      <c r="P501" s="115">
        <f>IF(B501="","",IF(E501&lt;&gt;"",E501,IFERROR(INDEX('Contractors'!$D$6:$D$1005,MATCH(B501,'Contractors'!$B$6:$B$1005,0)),"")))</f>
        <v/>
      </c>
      <c r="Q501" s="79">
        <f>IF(B501="","",IF(D501&lt;&gt;"",D501,IFERROR(INDEX('Contractors'!$E$6:$E$1005,MATCH(B501,'Contractors'!$B$6:$B$1005,0)),"")))</f>
        <v/>
      </c>
      <c r="R501" s="79">
        <f>IF(O501="","",IF(O501="OVERDUE",2,IF(O501="Paid",0,IF(AND(I501&lt;&gt;"",I501&lt;=AsOf+AlertDays),1,0))))</f>
        <v/>
      </c>
      <c r="S501" s="79">
        <f>IF(AND(B501&lt;&gt;"",M501="",I501&lt;&gt;""),IF(L501&lt;&gt;"",L501,IF(H501="",0,H501)),0)</f>
        <v/>
      </c>
      <c r="T501" s="79">
        <f>IF(AND(B501&lt;&gt;"",M501="",I501&lt;&gt;""),1/I501,0)</f>
        <v/>
      </c>
      <c r="U501" s="112">
        <f>IF(AND(B501&lt;&gt;"",M501="",I501&lt;&gt;""),I501,"")</f>
        <v/>
      </c>
      <c r="V501" s="79">
        <f>IF(U501="","",IF(U501&lt;AsOf,1,IF(U501&lt;=AsOf+AlertDays,2,IF(U501&lt;=AsOf+2*AlertDays,3,""))))</f>
        <v/>
      </c>
      <c r="W501" s="79">
        <f>IF(V501="","",IF(O501="OVERDUE","Overdue payment: ","Payment due: ")&amp;B501&amp;" — "&amp;C501&amp;" ("&amp;CurSym&amp;" "&amp;FIXED(S501,0)&amp;")")</f>
        <v/>
      </c>
      <c r="Z501" s="116">
        <f>IF('Contractors'!B501="","",'Contractors'!B501)</f>
        <v/>
      </c>
      <c r="AA501" s="77">
        <f>IF(Z501="","",'Contractors'!K501)</f>
        <v/>
      </c>
      <c r="AB501" s="77">
        <f>IF(Z501="","",SUMIFS($L$6:$L$1005,$B$6:$B$1005,Z501))</f>
        <v/>
      </c>
      <c r="AC501" s="77">
        <f>IF(Z501="","",SUMIFS($N$6:$N$1005,$B$6:$B$1005,Z501))</f>
        <v/>
      </c>
      <c r="AD501" s="76">
        <f>IF(Z501="","",AA501-AC501)</f>
        <v/>
      </c>
      <c r="AE501" s="117">
        <f>IF(Z501="","",IFERROR(1/SUMPRODUCT(MAX(($B$6:$B$1005=Z501)*$T$6:$T$1005)),""))</f>
        <v/>
      </c>
      <c r="AF501" s="77">
        <f>IF(AE501="","",SUMIFS($S$6:$S$1005,$B$6:$B$1005,Z501,$I$6:$I$1005,AE501))</f>
        <v/>
      </c>
    </row>
    <row r="502" ht="20" customHeight="1">
      <c r="B502" s="72" t="n"/>
      <c r="C502" s="72" t="n"/>
      <c r="D502" s="72" t="n"/>
      <c r="E502" s="72" t="n"/>
      <c r="F502" s="110" t="n"/>
      <c r="G502" s="73" t="n"/>
      <c r="H502" s="75">
        <f>IF(B502="","",IF(G502&lt;&gt;"",G502,IF(F502&lt;&gt;"",F502*IFERROR(INDEX('Contractors'!$I$6:$I$1005,MATCH(B502,'Contractors'!$B$6:$B$1005,0)),0),"")))</f>
        <v/>
      </c>
      <c r="I502" s="109" t="n"/>
      <c r="J502" s="72" t="n"/>
      <c r="K502" s="109" t="n"/>
      <c r="L502" s="73" t="n"/>
      <c r="M502" s="109" t="n"/>
      <c r="N502" s="73" t="n"/>
      <c r="O502" s="107">
        <f>IF(B502="","",IF(M502&lt;&gt;"","Paid",IF(AND(I502&lt;&gt;"",I502&lt;AsOf),"OVERDUE",IF(OR(K502&lt;&gt;"",L502&lt;&gt;""),"Invoiced","Scheduled"))))</f>
        <v/>
      </c>
      <c r="P502" s="115">
        <f>IF(B502="","",IF(E502&lt;&gt;"",E502,IFERROR(INDEX('Contractors'!$D$6:$D$1005,MATCH(B502,'Contractors'!$B$6:$B$1005,0)),"")))</f>
        <v/>
      </c>
      <c r="Q502" s="79">
        <f>IF(B502="","",IF(D502&lt;&gt;"",D502,IFERROR(INDEX('Contractors'!$E$6:$E$1005,MATCH(B502,'Contractors'!$B$6:$B$1005,0)),"")))</f>
        <v/>
      </c>
      <c r="R502" s="79">
        <f>IF(O502="","",IF(O502="OVERDUE",2,IF(O502="Paid",0,IF(AND(I502&lt;&gt;"",I502&lt;=AsOf+AlertDays),1,0))))</f>
        <v/>
      </c>
      <c r="S502" s="79">
        <f>IF(AND(B502&lt;&gt;"",M502="",I502&lt;&gt;""),IF(L502&lt;&gt;"",L502,IF(H502="",0,H502)),0)</f>
        <v/>
      </c>
      <c r="T502" s="79">
        <f>IF(AND(B502&lt;&gt;"",M502="",I502&lt;&gt;""),1/I502,0)</f>
        <v/>
      </c>
      <c r="U502" s="112">
        <f>IF(AND(B502&lt;&gt;"",M502="",I502&lt;&gt;""),I502,"")</f>
        <v/>
      </c>
      <c r="V502" s="79">
        <f>IF(U502="","",IF(U502&lt;AsOf,1,IF(U502&lt;=AsOf+AlertDays,2,IF(U502&lt;=AsOf+2*AlertDays,3,""))))</f>
        <v/>
      </c>
      <c r="W502" s="79">
        <f>IF(V502="","",IF(O502="OVERDUE","Overdue payment: ","Payment due: ")&amp;B502&amp;" — "&amp;C502&amp;" ("&amp;CurSym&amp;" "&amp;FIXED(S502,0)&amp;")")</f>
        <v/>
      </c>
      <c r="Z502" s="116">
        <f>IF('Contractors'!B502="","",'Contractors'!B502)</f>
        <v/>
      </c>
      <c r="AA502" s="77">
        <f>IF(Z502="","",'Contractors'!K502)</f>
        <v/>
      </c>
      <c r="AB502" s="77">
        <f>IF(Z502="","",SUMIFS($L$6:$L$1005,$B$6:$B$1005,Z502))</f>
        <v/>
      </c>
      <c r="AC502" s="77">
        <f>IF(Z502="","",SUMIFS($N$6:$N$1005,$B$6:$B$1005,Z502))</f>
        <v/>
      </c>
      <c r="AD502" s="76">
        <f>IF(Z502="","",AA502-AC502)</f>
        <v/>
      </c>
      <c r="AE502" s="117">
        <f>IF(Z502="","",IFERROR(1/SUMPRODUCT(MAX(($B$6:$B$1005=Z502)*$T$6:$T$1005)),""))</f>
        <v/>
      </c>
      <c r="AF502" s="77">
        <f>IF(AE502="","",SUMIFS($S$6:$S$1005,$B$6:$B$1005,Z502,$I$6:$I$1005,AE502))</f>
        <v/>
      </c>
    </row>
    <row r="503" ht="20" customHeight="1">
      <c r="B503" s="72" t="n"/>
      <c r="C503" s="72" t="n"/>
      <c r="D503" s="72" t="n"/>
      <c r="E503" s="72" t="n"/>
      <c r="F503" s="110" t="n"/>
      <c r="G503" s="73" t="n"/>
      <c r="H503" s="75">
        <f>IF(B503="","",IF(G503&lt;&gt;"",G503,IF(F503&lt;&gt;"",F503*IFERROR(INDEX('Contractors'!$I$6:$I$1005,MATCH(B503,'Contractors'!$B$6:$B$1005,0)),0),"")))</f>
        <v/>
      </c>
      <c r="I503" s="109" t="n"/>
      <c r="J503" s="72" t="n"/>
      <c r="K503" s="109" t="n"/>
      <c r="L503" s="73" t="n"/>
      <c r="M503" s="109" t="n"/>
      <c r="N503" s="73" t="n"/>
      <c r="O503" s="107">
        <f>IF(B503="","",IF(M503&lt;&gt;"","Paid",IF(AND(I503&lt;&gt;"",I503&lt;AsOf),"OVERDUE",IF(OR(K503&lt;&gt;"",L503&lt;&gt;""),"Invoiced","Scheduled"))))</f>
        <v/>
      </c>
      <c r="P503" s="115">
        <f>IF(B503="","",IF(E503&lt;&gt;"",E503,IFERROR(INDEX('Contractors'!$D$6:$D$1005,MATCH(B503,'Contractors'!$B$6:$B$1005,0)),"")))</f>
        <v/>
      </c>
      <c r="Q503" s="79">
        <f>IF(B503="","",IF(D503&lt;&gt;"",D503,IFERROR(INDEX('Contractors'!$E$6:$E$1005,MATCH(B503,'Contractors'!$B$6:$B$1005,0)),"")))</f>
        <v/>
      </c>
      <c r="R503" s="79">
        <f>IF(O503="","",IF(O503="OVERDUE",2,IF(O503="Paid",0,IF(AND(I503&lt;&gt;"",I503&lt;=AsOf+AlertDays),1,0))))</f>
        <v/>
      </c>
      <c r="S503" s="79">
        <f>IF(AND(B503&lt;&gt;"",M503="",I503&lt;&gt;""),IF(L503&lt;&gt;"",L503,IF(H503="",0,H503)),0)</f>
        <v/>
      </c>
      <c r="T503" s="79">
        <f>IF(AND(B503&lt;&gt;"",M503="",I503&lt;&gt;""),1/I503,0)</f>
        <v/>
      </c>
      <c r="U503" s="112">
        <f>IF(AND(B503&lt;&gt;"",M503="",I503&lt;&gt;""),I503,"")</f>
        <v/>
      </c>
      <c r="V503" s="79">
        <f>IF(U503="","",IF(U503&lt;AsOf,1,IF(U503&lt;=AsOf+AlertDays,2,IF(U503&lt;=AsOf+2*AlertDays,3,""))))</f>
        <v/>
      </c>
      <c r="W503" s="79">
        <f>IF(V503="","",IF(O503="OVERDUE","Overdue payment: ","Payment due: ")&amp;B503&amp;" — "&amp;C503&amp;" ("&amp;CurSym&amp;" "&amp;FIXED(S503,0)&amp;")")</f>
        <v/>
      </c>
      <c r="Z503" s="116">
        <f>IF('Contractors'!B503="","",'Contractors'!B503)</f>
        <v/>
      </c>
      <c r="AA503" s="77">
        <f>IF(Z503="","",'Contractors'!K503)</f>
        <v/>
      </c>
      <c r="AB503" s="77">
        <f>IF(Z503="","",SUMIFS($L$6:$L$1005,$B$6:$B$1005,Z503))</f>
        <v/>
      </c>
      <c r="AC503" s="77">
        <f>IF(Z503="","",SUMIFS($N$6:$N$1005,$B$6:$B$1005,Z503))</f>
        <v/>
      </c>
      <c r="AD503" s="76">
        <f>IF(Z503="","",AA503-AC503)</f>
        <v/>
      </c>
      <c r="AE503" s="117">
        <f>IF(Z503="","",IFERROR(1/SUMPRODUCT(MAX(($B$6:$B$1005=Z503)*$T$6:$T$1005)),""))</f>
        <v/>
      </c>
      <c r="AF503" s="77">
        <f>IF(AE503="","",SUMIFS($S$6:$S$1005,$B$6:$B$1005,Z503,$I$6:$I$1005,AE503))</f>
        <v/>
      </c>
    </row>
    <row r="504" ht="20" customHeight="1">
      <c r="B504" s="72" t="n"/>
      <c r="C504" s="72" t="n"/>
      <c r="D504" s="72" t="n"/>
      <c r="E504" s="72" t="n"/>
      <c r="F504" s="110" t="n"/>
      <c r="G504" s="73" t="n"/>
      <c r="H504" s="75">
        <f>IF(B504="","",IF(G504&lt;&gt;"",G504,IF(F504&lt;&gt;"",F504*IFERROR(INDEX('Contractors'!$I$6:$I$1005,MATCH(B504,'Contractors'!$B$6:$B$1005,0)),0),"")))</f>
        <v/>
      </c>
      <c r="I504" s="109" t="n"/>
      <c r="J504" s="72" t="n"/>
      <c r="K504" s="109" t="n"/>
      <c r="L504" s="73" t="n"/>
      <c r="M504" s="109" t="n"/>
      <c r="N504" s="73" t="n"/>
      <c r="O504" s="107">
        <f>IF(B504="","",IF(M504&lt;&gt;"","Paid",IF(AND(I504&lt;&gt;"",I504&lt;AsOf),"OVERDUE",IF(OR(K504&lt;&gt;"",L504&lt;&gt;""),"Invoiced","Scheduled"))))</f>
        <v/>
      </c>
      <c r="P504" s="115">
        <f>IF(B504="","",IF(E504&lt;&gt;"",E504,IFERROR(INDEX('Contractors'!$D$6:$D$1005,MATCH(B504,'Contractors'!$B$6:$B$1005,0)),"")))</f>
        <v/>
      </c>
      <c r="Q504" s="79">
        <f>IF(B504="","",IF(D504&lt;&gt;"",D504,IFERROR(INDEX('Contractors'!$E$6:$E$1005,MATCH(B504,'Contractors'!$B$6:$B$1005,0)),"")))</f>
        <v/>
      </c>
      <c r="R504" s="79">
        <f>IF(O504="","",IF(O504="OVERDUE",2,IF(O504="Paid",0,IF(AND(I504&lt;&gt;"",I504&lt;=AsOf+AlertDays),1,0))))</f>
        <v/>
      </c>
      <c r="S504" s="79">
        <f>IF(AND(B504&lt;&gt;"",M504="",I504&lt;&gt;""),IF(L504&lt;&gt;"",L504,IF(H504="",0,H504)),0)</f>
        <v/>
      </c>
      <c r="T504" s="79">
        <f>IF(AND(B504&lt;&gt;"",M504="",I504&lt;&gt;""),1/I504,0)</f>
        <v/>
      </c>
      <c r="U504" s="112">
        <f>IF(AND(B504&lt;&gt;"",M504="",I504&lt;&gt;""),I504,"")</f>
        <v/>
      </c>
      <c r="V504" s="79">
        <f>IF(U504="","",IF(U504&lt;AsOf,1,IF(U504&lt;=AsOf+AlertDays,2,IF(U504&lt;=AsOf+2*AlertDays,3,""))))</f>
        <v/>
      </c>
      <c r="W504" s="79">
        <f>IF(V504="","",IF(O504="OVERDUE","Overdue payment: ","Payment due: ")&amp;B504&amp;" — "&amp;C504&amp;" ("&amp;CurSym&amp;" "&amp;FIXED(S504,0)&amp;")")</f>
        <v/>
      </c>
      <c r="Z504" s="116">
        <f>IF('Contractors'!B504="","",'Contractors'!B504)</f>
        <v/>
      </c>
      <c r="AA504" s="77">
        <f>IF(Z504="","",'Contractors'!K504)</f>
        <v/>
      </c>
      <c r="AB504" s="77">
        <f>IF(Z504="","",SUMIFS($L$6:$L$1005,$B$6:$B$1005,Z504))</f>
        <v/>
      </c>
      <c r="AC504" s="77">
        <f>IF(Z504="","",SUMIFS($N$6:$N$1005,$B$6:$B$1005,Z504))</f>
        <v/>
      </c>
      <c r="AD504" s="76">
        <f>IF(Z504="","",AA504-AC504)</f>
        <v/>
      </c>
      <c r="AE504" s="117">
        <f>IF(Z504="","",IFERROR(1/SUMPRODUCT(MAX(($B$6:$B$1005=Z504)*$T$6:$T$1005)),""))</f>
        <v/>
      </c>
      <c r="AF504" s="77">
        <f>IF(AE504="","",SUMIFS($S$6:$S$1005,$B$6:$B$1005,Z504,$I$6:$I$1005,AE504))</f>
        <v/>
      </c>
    </row>
    <row r="505" ht="20" customHeight="1">
      <c r="B505" s="72" t="n"/>
      <c r="C505" s="72" t="n"/>
      <c r="D505" s="72" t="n"/>
      <c r="E505" s="72" t="n"/>
      <c r="F505" s="110" t="n"/>
      <c r="G505" s="73" t="n"/>
      <c r="H505" s="75">
        <f>IF(B505="","",IF(G505&lt;&gt;"",G505,IF(F505&lt;&gt;"",F505*IFERROR(INDEX('Contractors'!$I$6:$I$1005,MATCH(B505,'Contractors'!$B$6:$B$1005,0)),0),"")))</f>
        <v/>
      </c>
      <c r="I505" s="109" t="n"/>
      <c r="J505" s="72" t="n"/>
      <c r="K505" s="109" t="n"/>
      <c r="L505" s="73" t="n"/>
      <c r="M505" s="109" t="n"/>
      <c r="N505" s="73" t="n"/>
      <c r="O505" s="107">
        <f>IF(B505="","",IF(M505&lt;&gt;"","Paid",IF(AND(I505&lt;&gt;"",I505&lt;AsOf),"OVERDUE",IF(OR(K505&lt;&gt;"",L505&lt;&gt;""),"Invoiced","Scheduled"))))</f>
        <v/>
      </c>
      <c r="P505" s="115">
        <f>IF(B505="","",IF(E505&lt;&gt;"",E505,IFERROR(INDEX('Contractors'!$D$6:$D$1005,MATCH(B505,'Contractors'!$B$6:$B$1005,0)),"")))</f>
        <v/>
      </c>
      <c r="Q505" s="79">
        <f>IF(B505="","",IF(D505&lt;&gt;"",D505,IFERROR(INDEX('Contractors'!$E$6:$E$1005,MATCH(B505,'Contractors'!$B$6:$B$1005,0)),"")))</f>
        <v/>
      </c>
      <c r="R505" s="79">
        <f>IF(O505="","",IF(O505="OVERDUE",2,IF(O505="Paid",0,IF(AND(I505&lt;&gt;"",I505&lt;=AsOf+AlertDays),1,0))))</f>
        <v/>
      </c>
      <c r="S505" s="79">
        <f>IF(AND(B505&lt;&gt;"",M505="",I505&lt;&gt;""),IF(L505&lt;&gt;"",L505,IF(H505="",0,H505)),0)</f>
        <v/>
      </c>
      <c r="T505" s="79">
        <f>IF(AND(B505&lt;&gt;"",M505="",I505&lt;&gt;""),1/I505,0)</f>
        <v/>
      </c>
      <c r="U505" s="112">
        <f>IF(AND(B505&lt;&gt;"",M505="",I505&lt;&gt;""),I505,"")</f>
        <v/>
      </c>
      <c r="V505" s="79">
        <f>IF(U505="","",IF(U505&lt;AsOf,1,IF(U505&lt;=AsOf+AlertDays,2,IF(U505&lt;=AsOf+2*AlertDays,3,""))))</f>
        <v/>
      </c>
      <c r="W505" s="79">
        <f>IF(V505="","",IF(O505="OVERDUE","Overdue payment: ","Payment due: ")&amp;B505&amp;" — "&amp;C505&amp;" ("&amp;CurSym&amp;" "&amp;FIXED(S505,0)&amp;")")</f>
        <v/>
      </c>
      <c r="Z505" s="116">
        <f>IF('Contractors'!B505="","",'Contractors'!B505)</f>
        <v/>
      </c>
      <c r="AA505" s="77">
        <f>IF(Z505="","",'Contractors'!K505)</f>
        <v/>
      </c>
      <c r="AB505" s="77">
        <f>IF(Z505="","",SUMIFS($L$6:$L$1005,$B$6:$B$1005,Z505))</f>
        <v/>
      </c>
      <c r="AC505" s="77">
        <f>IF(Z505="","",SUMIFS($N$6:$N$1005,$B$6:$B$1005,Z505))</f>
        <v/>
      </c>
      <c r="AD505" s="76">
        <f>IF(Z505="","",AA505-AC505)</f>
        <v/>
      </c>
      <c r="AE505" s="117">
        <f>IF(Z505="","",IFERROR(1/SUMPRODUCT(MAX(($B$6:$B$1005=Z505)*$T$6:$T$1005)),""))</f>
        <v/>
      </c>
      <c r="AF505" s="77">
        <f>IF(AE505="","",SUMIFS($S$6:$S$1005,$B$6:$B$1005,Z505,$I$6:$I$1005,AE505))</f>
        <v/>
      </c>
    </row>
    <row r="506" ht="20" customHeight="1">
      <c r="B506" s="72" t="n"/>
      <c r="C506" s="72" t="n"/>
      <c r="D506" s="72" t="n"/>
      <c r="E506" s="72" t="n"/>
      <c r="F506" s="110" t="n"/>
      <c r="G506" s="73" t="n"/>
      <c r="H506" s="75">
        <f>IF(B506="","",IF(G506&lt;&gt;"",G506,IF(F506&lt;&gt;"",F506*IFERROR(INDEX('Contractors'!$I$6:$I$1005,MATCH(B506,'Contractors'!$B$6:$B$1005,0)),0),"")))</f>
        <v/>
      </c>
      <c r="I506" s="109" t="n"/>
      <c r="J506" s="72" t="n"/>
      <c r="K506" s="109" t="n"/>
      <c r="L506" s="73" t="n"/>
      <c r="M506" s="109" t="n"/>
      <c r="N506" s="73" t="n"/>
      <c r="O506" s="107">
        <f>IF(B506="","",IF(M506&lt;&gt;"","Paid",IF(AND(I506&lt;&gt;"",I506&lt;AsOf),"OVERDUE",IF(OR(K506&lt;&gt;"",L506&lt;&gt;""),"Invoiced","Scheduled"))))</f>
        <v/>
      </c>
      <c r="P506" s="115">
        <f>IF(B506="","",IF(E506&lt;&gt;"",E506,IFERROR(INDEX('Contractors'!$D$6:$D$1005,MATCH(B506,'Contractors'!$B$6:$B$1005,0)),"")))</f>
        <v/>
      </c>
      <c r="Q506" s="79">
        <f>IF(B506="","",IF(D506&lt;&gt;"",D506,IFERROR(INDEX('Contractors'!$E$6:$E$1005,MATCH(B506,'Contractors'!$B$6:$B$1005,0)),"")))</f>
        <v/>
      </c>
      <c r="R506" s="79">
        <f>IF(O506="","",IF(O506="OVERDUE",2,IF(O506="Paid",0,IF(AND(I506&lt;&gt;"",I506&lt;=AsOf+AlertDays),1,0))))</f>
        <v/>
      </c>
      <c r="S506" s="79">
        <f>IF(AND(B506&lt;&gt;"",M506="",I506&lt;&gt;""),IF(L506&lt;&gt;"",L506,IF(H506="",0,H506)),0)</f>
        <v/>
      </c>
      <c r="T506" s="79">
        <f>IF(AND(B506&lt;&gt;"",M506="",I506&lt;&gt;""),1/I506,0)</f>
        <v/>
      </c>
      <c r="U506" s="112">
        <f>IF(AND(B506&lt;&gt;"",M506="",I506&lt;&gt;""),I506,"")</f>
        <v/>
      </c>
      <c r="V506" s="79">
        <f>IF(U506="","",IF(U506&lt;AsOf,1,IF(U506&lt;=AsOf+AlertDays,2,IF(U506&lt;=AsOf+2*AlertDays,3,""))))</f>
        <v/>
      </c>
      <c r="W506" s="79">
        <f>IF(V506="","",IF(O506="OVERDUE","Overdue payment: ","Payment due: ")&amp;B506&amp;" — "&amp;C506&amp;" ("&amp;CurSym&amp;" "&amp;FIXED(S506,0)&amp;")")</f>
        <v/>
      </c>
      <c r="Z506" s="116">
        <f>IF('Contractors'!B506="","",'Contractors'!B506)</f>
        <v/>
      </c>
      <c r="AA506" s="77">
        <f>IF(Z506="","",'Contractors'!K506)</f>
        <v/>
      </c>
      <c r="AB506" s="77">
        <f>IF(Z506="","",SUMIFS($L$6:$L$1005,$B$6:$B$1005,Z506))</f>
        <v/>
      </c>
      <c r="AC506" s="77">
        <f>IF(Z506="","",SUMIFS($N$6:$N$1005,$B$6:$B$1005,Z506))</f>
        <v/>
      </c>
      <c r="AD506" s="76">
        <f>IF(Z506="","",AA506-AC506)</f>
        <v/>
      </c>
      <c r="AE506" s="117">
        <f>IF(Z506="","",IFERROR(1/SUMPRODUCT(MAX(($B$6:$B$1005=Z506)*$T$6:$T$1005)),""))</f>
        <v/>
      </c>
      <c r="AF506" s="77">
        <f>IF(AE506="","",SUMIFS($S$6:$S$1005,$B$6:$B$1005,Z506,$I$6:$I$1005,AE506))</f>
        <v/>
      </c>
    </row>
    <row r="507" ht="20" customHeight="1">
      <c r="B507" s="72" t="n"/>
      <c r="C507" s="72" t="n"/>
      <c r="D507" s="72" t="n"/>
      <c r="E507" s="72" t="n"/>
      <c r="F507" s="110" t="n"/>
      <c r="G507" s="73" t="n"/>
      <c r="H507" s="75">
        <f>IF(B507="","",IF(G507&lt;&gt;"",G507,IF(F507&lt;&gt;"",F507*IFERROR(INDEX('Contractors'!$I$6:$I$1005,MATCH(B507,'Contractors'!$B$6:$B$1005,0)),0),"")))</f>
        <v/>
      </c>
      <c r="I507" s="109" t="n"/>
      <c r="J507" s="72" t="n"/>
      <c r="K507" s="109" t="n"/>
      <c r="L507" s="73" t="n"/>
      <c r="M507" s="109" t="n"/>
      <c r="N507" s="73" t="n"/>
      <c r="O507" s="107">
        <f>IF(B507="","",IF(M507&lt;&gt;"","Paid",IF(AND(I507&lt;&gt;"",I507&lt;AsOf),"OVERDUE",IF(OR(K507&lt;&gt;"",L507&lt;&gt;""),"Invoiced","Scheduled"))))</f>
        <v/>
      </c>
      <c r="P507" s="115">
        <f>IF(B507="","",IF(E507&lt;&gt;"",E507,IFERROR(INDEX('Contractors'!$D$6:$D$1005,MATCH(B507,'Contractors'!$B$6:$B$1005,0)),"")))</f>
        <v/>
      </c>
      <c r="Q507" s="79">
        <f>IF(B507="","",IF(D507&lt;&gt;"",D507,IFERROR(INDEX('Contractors'!$E$6:$E$1005,MATCH(B507,'Contractors'!$B$6:$B$1005,0)),"")))</f>
        <v/>
      </c>
      <c r="R507" s="79">
        <f>IF(O507="","",IF(O507="OVERDUE",2,IF(O507="Paid",0,IF(AND(I507&lt;&gt;"",I507&lt;=AsOf+AlertDays),1,0))))</f>
        <v/>
      </c>
      <c r="S507" s="79">
        <f>IF(AND(B507&lt;&gt;"",M507="",I507&lt;&gt;""),IF(L507&lt;&gt;"",L507,IF(H507="",0,H507)),0)</f>
        <v/>
      </c>
      <c r="T507" s="79">
        <f>IF(AND(B507&lt;&gt;"",M507="",I507&lt;&gt;""),1/I507,0)</f>
        <v/>
      </c>
      <c r="U507" s="112">
        <f>IF(AND(B507&lt;&gt;"",M507="",I507&lt;&gt;""),I507,"")</f>
        <v/>
      </c>
      <c r="V507" s="79">
        <f>IF(U507="","",IF(U507&lt;AsOf,1,IF(U507&lt;=AsOf+AlertDays,2,IF(U507&lt;=AsOf+2*AlertDays,3,""))))</f>
        <v/>
      </c>
      <c r="W507" s="79">
        <f>IF(V507="","",IF(O507="OVERDUE","Overdue payment: ","Payment due: ")&amp;B507&amp;" — "&amp;C507&amp;" ("&amp;CurSym&amp;" "&amp;FIXED(S507,0)&amp;")")</f>
        <v/>
      </c>
      <c r="Z507" s="116">
        <f>IF('Contractors'!B507="","",'Contractors'!B507)</f>
        <v/>
      </c>
      <c r="AA507" s="77">
        <f>IF(Z507="","",'Contractors'!K507)</f>
        <v/>
      </c>
      <c r="AB507" s="77">
        <f>IF(Z507="","",SUMIFS($L$6:$L$1005,$B$6:$B$1005,Z507))</f>
        <v/>
      </c>
      <c r="AC507" s="77">
        <f>IF(Z507="","",SUMIFS($N$6:$N$1005,$B$6:$B$1005,Z507))</f>
        <v/>
      </c>
      <c r="AD507" s="76">
        <f>IF(Z507="","",AA507-AC507)</f>
        <v/>
      </c>
      <c r="AE507" s="117">
        <f>IF(Z507="","",IFERROR(1/SUMPRODUCT(MAX(($B$6:$B$1005=Z507)*$T$6:$T$1005)),""))</f>
        <v/>
      </c>
      <c r="AF507" s="77">
        <f>IF(AE507="","",SUMIFS($S$6:$S$1005,$B$6:$B$1005,Z507,$I$6:$I$1005,AE507))</f>
        <v/>
      </c>
    </row>
    <row r="508" ht="20" customHeight="1">
      <c r="B508" s="72" t="n"/>
      <c r="C508" s="72" t="n"/>
      <c r="D508" s="72" t="n"/>
      <c r="E508" s="72" t="n"/>
      <c r="F508" s="110" t="n"/>
      <c r="G508" s="73" t="n"/>
      <c r="H508" s="75">
        <f>IF(B508="","",IF(G508&lt;&gt;"",G508,IF(F508&lt;&gt;"",F508*IFERROR(INDEX('Contractors'!$I$6:$I$1005,MATCH(B508,'Contractors'!$B$6:$B$1005,0)),0),"")))</f>
        <v/>
      </c>
      <c r="I508" s="109" t="n"/>
      <c r="J508" s="72" t="n"/>
      <c r="K508" s="109" t="n"/>
      <c r="L508" s="73" t="n"/>
      <c r="M508" s="109" t="n"/>
      <c r="N508" s="73" t="n"/>
      <c r="O508" s="107">
        <f>IF(B508="","",IF(M508&lt;&gt;"","Paid",IF(AND(I508&lt;&gt;"",I508&lt;AsOf),"OVERDUE",IF(OR(K508&lt;&gt;"",L508&lt;&gt;""),"Invoiced","Scheduled"))))</f>
        <v/>
      </c>
      <c r="P508" s="115">
        <f>IF(B508="","",IF(E508&lt;&gt;"",E508,IFERROR(INDEX('Contractors'!$D$6:$D$1005,MATCH(B508,'Contractors'!$B$6:$B$1005,0)),"")))</f>
        <v/>
      </c>
      <c r="Q508" s="79">
        <f>IF(B508="","",IF(D508&lt;&gt;"",D508,IFERROR(INDEX('Contractors'!$E$6:$E$1005,MATCH(B508,'Contractors'!$B$6:$B$1005,0)),"")))</f>
        <v/>
      </c>
      <c r="R508" s="79">
        <f>IF(O508="","",IF(O508="OVERDUE",2,IF(O508="Paid",0,IF(AND(I508&lt;&gt;"",I508&lt;=AsOf+AlertDays),1,0))))</f>
        <v/>
      </c>
      <c r="S508" s="79">
        <f>IF(AND(B508&lt;&gt;"",M508="",I508&lt;&gt;""),IF(L508&lt;&gt;"",L508,IF(H508="",0,H508)),0)</f>
        <v/>
      </c>
      <c r="T508" s="79">
        <f>IF(AND(B508&lt;&gt;"",M508="",I508&lt;&gt;""),1/I508,0)</f>
        <v/>
      </c>
      <c r="U508" s="112">
        <f>IF(AND(B508&lt;&gt;"",M508="",I508&lt;&gt;""),I508,"")</f>
        <v/>
      </c>
      <c r="V508" s="79">
        <f>IF(U508="","",IF(U508&lt;AsOf,1,IF(U508&lt;=AsOf+AlertDays,2,IF(U508&lt;=AsOf+2*AlertDays,3,""))))</f>
        <v/>
      </c>
      <c r="W508" s="79">
        <f>IF(V508="","",IF(O508="OVERDUE","Overdue payment: ","Payment due: ")&amp;B508&amp;" — "&amp;C508&amp;" ("&amp;CurSym&amp;" "&amp;FIXED(S508,0)&amp;")")</f>
        <v/>
      </c>
      <c r="Z508" s="116">
        <f>IF('Contractors'!B508="","",'Contractors'!B508)</f>
        <v/>
      </c>
      <c r="AA508" s="77">
        <f>IF(Z508="","",'Contractors'!K508)</f>
        <v/>
      </c>
      <c r="AB508" s="77">
        <f>IF(Z508="","",SUMIFS($L$6:$L$1005,$B$6:$B$1005,Z508))</f>
        <v/>
      </c>
      <c r="AC508" s="77">
        <f>IF(Z508="","",SUMIFS($N$6:$N$1005,$B$6:$B$1005,Z508))</f>
        <v/>
      </c>
      <c r="AD508" s="76">
        <f>IF(Z508="","",AA508-AC508)</f>
        <v/>
      </c>
      <c r="AE508" s="117">
        <f>IF(Z508="","",IFERROR(1/SUMPRODUCT(MAX(($B$6:$B$1005=Z508)*$T$6:$T$1005)),""))</f>
        <v/>
      </c>
      <c r="AF508" s="77">
        <f>IF(AE508="","",SUMIFS($S$6:$S$1005,$B$6:$B$1005,Z508,$I$6:$I$1005,AE508))</f>
        <v/>
      </c>
    </row>
    <row r="509" ht="20" customHeight="1">
      <c r="B509" s="72" t="n"/>
      <c r="C509" s="72" t="n"/>
      <c r="D509" s="72" t="n"/>
      <c r="E509" s="72" t="n"/>
      <c r="F509" s="110" t="n"/>
      <c r="G509" s="73" t="n"/>
      <c r="H509" s="75">
        <f>IF(B509="","",IF(G509&lt;&gt;"",G509,IF(F509&lt;&gt;"",F509*IFERROR(INDEX('Contractors'!$I$6:$I$1005,MATCH(B509,'Contractors'!$B$6:$B$1005,0)),0),"")))</f>
        <v/>
      </c>
      <c r="I509" s="109" t="n"/>
      <c r="J509" s="72" t="n"/>
      <c r="K509" s="109" t="n"/>
      <c r="L509" s="73" t="n"/>
      <c r="M509" s="109" t="n"/>
      <c r="N509" s="73" t="n"/>
      <c r="O509" s="107">
        <f>IF(B509="","",IF(M509&lt;&gt;"","Paid",IF(AND(I509&lt;&gt;"",I509&lt;AsOf),"OVERDUE",IF(OR(K509&lt;&gt;"",L509&lt;&gt;""),"Invoiced","Scheduled"))))</f>
        <v/>
      </c>
      <c r="P509" s="115">
        <f>IF(B509="","",IF(E509&lt;&gt;"",E509,IFERROR(INDEX('Contractors'!$D$6:$D$1005,MATCH(B509,'Contractors'!$B$6:$B$1005,0)),"")))</f>
        <v/>
      </c>
      <c r="Q509" s="79">
        <f>IF(B509="","",IF(D509&lt;&gt;"",D509,IFERROR(INDEX('Contractors'!$E$6:$E$1005,MATCH(B509,'Contractors'!$B$6:$B$1005,0)),"")))</f>
        <v/>
      </c>
      <c r="R509" s="79">
        <f>IF(O509="","",IF(O509="OVERDUE",2,IF(O509="Paid",0,IF(AND(I509&lt;&gt;"",I509&lt;=AsOf+AlertDays),1,0))))</f>
        <v/>
      </c>
      <c r="S509" s="79">
        <f>IF(AND(B509&lt;&gt;"",M509="",I509&lt;&gt;""),IF(L509&lt;&gt;"",L509,IF(H509="",0,H509)),0)</f>
        <v/>
      </c>
      <c r="T509" s="79">
        <f>IF(AND(B509&lt;&gt;"",M509="",I509&lt;&gt;""),1/I509,0)</f>
        <v/>
      </c>
      <c r="U509" s="112">
        <f>IF(AND(B509&lt;&gt;"",M509="",I509&lt;&gt;""),I509,"")</f>
        <v/>
      </c>
      <c r="V509" s="79">
        <f>IF(U509="","",IF(U509&lt;AsOf,1,IF(U509&lt;=AsOf+AlertDays,2,IF(U509&lt;=AsOf+2*AlertDays,3,""))))</f>
        <v/>
      </c>
      <c r="W509" s="79">
        <f>IF(V509="","",IF(O509="OVERDUE","Overdue payment: ","Payment due: ")&amp;B509&amp;" — "&amp;C509&amp;" ("&amp;CurSym&amp;" "&amp;FIXED(S509,0)&amp;")")</f>
        <v/>
      </c>
      <c r="Z509" s="116">
        <f>IF('Contractors'!B509="","",'Contractors'!B509)</f>
        <v/>
      </c>
      <c r="AA509" s="77">
        <f>IF(Z509="","",'Contractors'!K509)</f>
        <v/>
      </c>
      <c r="AB509" s="77">
        <f>IF(Z509="","",SUMIFS($L$6:$L$1005,$B$6:$B$1005,Z509))</f>
        <v/>
      </c>
      <c r="AC509" s="77">
        <f>IF(Z509="","",SUMIFS($N$6:$N$1005,$B$6:$B$1005,Z509))</f>
        <v/>
      </c>
      <c r="AD509" s="76">
        <f>IF(Z509="","",AA509-AC509)</f>
        <v/>
      </c>
      <c r="AE509" s="117">
        <f>IF(Z509="","",IFERROR(1/SUMPRODUCT(MAX(($B$6:$B$1005=Z509)*$T$6:$T$1005)),""))</f>
        <v/>
      </c>
      <c r="AF509" s="77">
        <f>IF(AE509="","",SUMIFS($S$6:$S$1005,$B$6:$B$1005,Z509,$I$6:$I$1005,AE509))</f>
        <v/>
      </c>
    </row>
    <row r="510" ht="20" customHeight="1">
      <c r="B510" s="72" t="n"/>
      <c r="C510" s="72" t="n"/>
      <c r="D510" s="72" t="n"/>
      <c r="E510" s="72" t="n"/>
      <c r="F510" s="110" t="n"/>
      <c r="G510" s="73" t="n"/>
      <c r="H510" s="75">
        <f>IF(B510="","",IF(G510&lt;&gt;"",G510,IF(F510&lt;&gt;"",F510*IFERROR(INDEX('Contractors'!$I$6:$I$1005,MATCH(B510,'Contractors'!$B$6:$B$1005,0)),0),"")))</f>
        <v/>
      </c>
      <c r="I510" s="109" t="n"/>
      <c r="J510" s="72" t="n"/>
      <c r="K510" s="109" t="n"/>
      <c r="L510" s="73" t="n"/>
      <c r="M510" s="109" t="n"/>
      <c r="N510" s="73" t="n"/>
      <c r="O510" s="107">
        <f>IF(B510="","",IF(M510&lt;&gt;"","Paid",IF(AND(I510&lt;&gt;"",I510&lt;AsOf),"OVERDUE",IF(OR(K510&lt;&gt;"",L510&lt;&gt;""),"Invoiced","Scheduled"))))</f>
        <v/>
      </c>
      <c r="P510" s="115">
        <f>IF(B510="","",IF(E510&lt;&gt;"",E510,IFERROR(INDEX('Contractors'!$D$6:$D$1005,MATCH(B510,'Contractors'!$B$6:$B$1005,0)),"")))</f>
        <v/>
      </c>
      <c r="Q510" s="79">
        <f>IF(B510="","",IF(D510&lt;&gt;"",D510,IFERROR(INDEX('Contractors'!$E$6:$E$1005,MATCH(B510,'Contractors'!$B$6:$B$1005,0)),"")))</f>
        <v/>
      </c>
      <c r="R510" s="79">
        <f>IF(O510="","",IF(O510="OVERDUE",2,IF(O510="Paid",0,IF(AND(I510&lt;&gt;"",I510&lt;=AsOf+AlertDays),1,0))))</f>
        <v/>
      </c>
      <c r="S510" s="79">
        <f>IF(AND(B510&lt;&gt;"",M510="",I510&lt;&gt;""),IF(L510&lt;&gt;"",L510,IF(H510="",0,H510)),0)</f>
        <v/>
      </c>
      <c r="T510" s="79">
        <f>IF(AND(B510&lt;&gt;"",M510="",I510&lt;&gt;""),1/I510,0)</f>
        <v/>
      </c>
      <c r="U510" s="112">
        <f>IF(AND(B510&lt;&gt;"",M510="",I510&lt;&gt;""),I510,"")</f>
        <v/>
      </c>
      <c r="V510" s="79">
        <f>IF(U510="","",IF(U510&lt;AsOf,1,IF(U510&lt;=AsOf+AlertDays,2,IF(U510&lt;=AsOf+2*AlertDays,3,""))))</f>
        <v/>
      </c>
      <c r="W510" s="79">
        <f>IF(V510="","",IF(O510="OVERDUE","Overdue payment: ","Payment due: ")&amp;B510&amp;" — "&amp;C510&amp;" ("&amp;CurSym&amp;" "&amp;FIXED(S510,0)&amp;")")</f>
        <v/>
      </c>
      <c r="Z510" s="116">
        <f>IF('Contractors'!B510="","",'Contractors'!B510)</f>
        <v/>
      </c>
      <c r="AA510" s="77">
        <f>IF(Z510="","",'Contractors'!K510)</f>
        <v/>
      </c>
      <c r="AB510" s="77">
        <f>IF(Z510="","",SUMIFS($L$6:$L$1005,$B$6:$B$1005,Z510))</f>
        <v/>
      </c>
      <c r="AC510" s="77">
        <f>IF(Z510="","",SUMIFS($N$6:$N$1005,$B$6:$B$1005,Z510))</f>
        <v/>
      </c>
      <c r="AD510" s="76">
        <f>IF(Z510="","",AA510-AC510)</f>
        <v/>
      </c>
      <c r="AE510" s="117">
        <f>IF(Z510="","",IFERROR(1/SUMPRODUCT(MAX(($B$6:$B$1005=Z510)*$T$6:$T$1005)),""))</f>
        <v/>
      </c>
      <c r="AF510" s="77">
        <f>IF(AE510="","",SUMIFS($S$6:$S$1005,$B$6:$B$1005,Z510,$I$6:$I$1005,AE510))</f>
        <v/>
      </c>
    </row>
    <row r="511" ht="20" customHeight="1">
      <c r="B511" s="72" t="n"/>
      <c r="C511" s="72" t="n"/>
      <c r="D511" s="72" t="n"/>
      <c r="E511" s="72" t="n"/>
      <c r="F511" s="110" t="n"/>
      <c r="G511" s="73" t="n"/>
      <c r="H511" s="75">
        <f>IF(B511="","",IF(G511&lt;&gt;"",G511,IF(F511&lt;&gt;"",F511*IFERROR(INDEX('Contractors'!$I$6:$I$1005,MATCH(B511,'Contractors'!$B$6:$B$1005,0)),0),"")))</f>
        <v/>
      </c>
      <c r="I511" s="109" t="n"/>
      <c r="J511" s="72" t="n"/>
      <c r="K511" s="109" t="n"/>
      <c r="L511" s="73" t="n"/>
      <c r="M511" s="109" t="n"/>
      <c r="N511" s="73" t="n"/>
      <c r="O511" s="107">
        <f>IF(B511="","",IF(M511&lt;&gt;"","Paid",IF(AND(I511&lt;&gt;"",I511&lt;AsOf),"OVERDUE",IF(OR(K511&lt;&gt;"",L511&lt;&gt;""),"Invoiced","Scheduled"))))</f>
        <v/>
      </c>
      <c r="P511" s="115">
        <f>IF(B511="","",IF(E511&lt;&gt;"",E511,IFERROR(INDEX('Contractors'!$D$6:$D$1005,MATCH(B511,'Contractors'!$B$6:$B$1005,0)),"")))</f>
        <v/>
      </c>
      <c r="Q511" s="79">
        <f>IF(B511="","",IF(D511&lt;&gt;"",D511,IFERROR(INDEX('Contractors'!$E$6:$E$1005,MATCH(B511,'Contractors'!$B$6:$B$1005,0)),"")))</f>
        <v/>
      </c>
      <c r="R511" s="79">
        <f>IF(O511="","",IF(O511="OVERDUE",2,IF(O511="Paid",0,IF(AND(I511&lt;&gt;"",I511&lt;=AsOf+AlertDays),1,0))))</f>
        <v/>
      </c>
      <c r="S511" s="79">
        <f>IF(AND(B511&lt;&gt;"",M511="",I511&lt;&gt;""),IF(L511&lt;&gt;"",L511,IF(H511="",0,H511)),0)</f>
        <v/>
      </c>
      <c r="T511" s="79">
        <f>IF(AND(B511&lt;&gt;"",M511="",I511&lt;&gt;""),1/I511,0)</f>
        <v/>
      </c>
      <c r="U511" s="112">
        <f>IF(AND(B511&lt;&gt;"",M511="",I511&lt;&gt;""),I511,"")</f>
        <v/>
      </c>
      <c r="V511" s="79">
        <f>IF(U511="","",IF(U511&lt;AsOf,1,IF(U511&lt;=AsOf+AlertDays,2,IF(U511&lt;=AsOf+2*AlertDays,3,""))))</f>
        <v/>
      </c>
      <c r="W511" s="79">
        <f>IF(V511="","",IF(O511="OVERDUE","Overdue payment: ","Payment due: ")&amp;B511&amp;" — "&amp;C511&amp;" ("&amp;CurSym&amp;" "&amp;FIXED(S511,0)&amp;")")</f>
        <v/>
      </c>
      <c r="Z511" s="116">
        <f>IF('Contractors'!B511="","",'Contractors'!B511)</f>
        <v/>
      </c>
      <c r="AA511" s="77">
        <f>IF(Z511="","",'Contractors'!K511)</f>
        <v/>
      </c>
      <c r="AB511" s="77">
        <f>IF(Z511="","",SUMIFS($L$6:$L$1005,$B$6:$B$1005,Z511))</f>
        <v/>
      </c>
      <c r="AC511" s="77">
        <f>IF(Z511="","",SUMIFS($N$6:$N$1005,$B$6:$B$1005,Z511))</f>
        <v/>
      </c>
      <c r="AD511" s="76">
        <f>IF(Z511="","",AA511-AC511)</f>
        <v/>
      </c>
      <c r="AE511" s="117">
        <f>IF(Z511="","",IFERROR(1/SUMPRODUCT(MAX(($B$6:$B$1005=Z511)*$T$6:$T$1005)),""))</f>
        <v/>
      </c>
      <c r="AF511" s="77">
        <f>IF(AE511="","",SUMIFS($S$6:$S$1005,$B$6:$B$1005,Z511,$I$6:$I$1005,AE511))</f>
        <v/>
      </c>
    </row>
    <row r="512" ht="20" customHeight="1">
      <c r="B512" s="72" t="n"/>
      <c r="C512" s="72" t="n"/>
      <c r="D512" s="72" t="n"/>
      <c r="E512" s="72" t="n"/>
      <c r="F512" s="110" t="n"/>
      <c r="G512" s="73" t="n"/>
      <c r="H512" s="75">
        <f>IF(B512="","",IF(G512&lt;&gt;"",G512,IF(F512&lt;&gt;"",F512*IFERROR(INDEX('Contractors'!$I$6:$I$1005,MATCH(B512,'Contractors'!$B$6:$B$1005,0)),0),"")))</f>
        <v/>
      </c>
      <c r="I512" s="109" t="n"/>
      <c r="J512" s="72" t="n"/>
      <c r="K512" s="109" t="n"/>
      <c r="L512" s="73" t="n"/>
      <c r="M512" s="109" t="n"/>
      <c r="N512" s="73" t="n"/>
      <c r="O512" s="107">
        <f>IF(B512="","",IF(M512&lt;&gt;"","Paid",IF(AND(I512&lt;&gt;"",I512&lt;AsOf),"OVERDUE",IF(OR(K512&lt;&gt;"",L512&lt;&gt;""),"Invoiced","Scheduled"))))</f>
        <v/>
      </c>
      <c r="P512" s="115">
        <f>IF(B512="","",IF(E512&lt;&gt;"",E512,IFERROR(INDEX('Contractors'!$D$6:$D$1005,MATCH(B512,'Contractors'!$B$6:$B$1005,0)),"")))</f>
        <v/>
      </c>
      <c r="Q512" s="79">
        <f>IF(B512="","",IF(D512&lt;&gt;"",D512,IFERROR(INDEX('Contractors'!$E$6:$E$1005,MATCH(B512,'Contractors'!$B$6:$B$1005,0)),"")))</f>
        <v/>
      </c>
      <c r="R512" s="79">
        <f>IF(O512="","",IF(O512="OVERDUE",2,IF(O512="Paid",0,IF(AND(I512&lt;&gt;"",I512&lt;=AsOf+AlertDays),1,0))))</f>
        <v/>
      </c>
      <c r="S512" s="79">
        <f>IF(AND(B512&lt;&gt;"",M512="",I512&lt;&gt;""),IF(L512&lt;&gt;"",L512,IF(H512="",0,H512)),0)</f>
        <v/>
      </c>
      <c r="T512" s="79">
        <f>IF(AND(B512&lt;&gt;"",M512="",I512&lt;&gt;""),1/I512,0)</f>
        <v/>
      </c>
      <c r="U512" s="112">
        <f>IF(AND(B512&lt;&gt;"",M512="",I512&lt;&gt;""),I512,"")</f>
        <v/>
      </c>
      <c r="V512" s="79">
        <f>IF(U512="","",IF(U512&lt;AsOf,1,IF(U512&lt;=AsOf+AlertDays,2,IF(U512&lt;=AsOf+2*AlertDays,3,""))))</f>
        <v/>
      </c>
      <c r="W512" s="79">
        <f>IF(V512="","",IF(O512="OVERDUE","Overdue payment: ","Payment due: ")&amp;B512&amp;" — "&amp;C512&amp;" ("&amp;CurSym&amp;" "&amp;FIXED(S512,0)&amp;")")</f>
        <v/>
      </c>
      <c r="Z512" s="116">
        <f>IF('Contractors'!B512="","",'Contractors'!B512)</f>
        <v/>
      </c>
      <c r="AA512" s="77">
        <f>IF(Z512="","",'Contractors'!K512)</f>
        <v/>
      </c>
      <c r="AB512" s="77">
        <f>IF(Z512="","",SUMIFS($L$6:$L$1005,$B$6:$B$1005,Z512))</f>
        <v/>
      </c>
      <c r="AC512" s="77">
        <f>IF(Z512="","",SUMIFS($N$6:$N$1005,$B$6:$B$1005,Z512))</f>
        <v/>
      </c>
      <c r="AD512" s="76">
        <f>IF(Z512="","",AA512-AC512)</f>
        <v/>
      </c>
      <c r="AE512" s="117">
        <f>IF(Z512="","",IFERROR(1/SUMPRODUCT(MAX(($B$6:$B$1005=Z512)*$T$6:$T$1005)),""))</f>
        <v/>
      </c>
      <c r="AF512" s="77">
        <f>IF(AE512="","",SUMIFS($S$6:$S$1005,$B$6:$B$1005,Z512,$I$6:$I$1005,AE512))</f>
        <v/>
      </c>
    </row>
    <row r="513" ht="20" customHeight="1">
      <c r="B513" s="72" t="n"/>
      <c r="C513" s="72" t="n"/>
      <c r="D513" s="72" t="n"/>
      <c r="E513" s="72" t="n"/>
      <c r="F513" s="110" t="n"/>
      <c r="G513" s="73" t="n"/>
      <c r="H513" s="75">
        <f>IF(B513="","",IF(G513&lt;&gt;"",G513,IF(F513&lt;&gt;"",F513*IFERROR(INDEX('Contractors'!$I$6:$I$1005,MATCH(B513,'Contractors'!$B$6:$B$1005,0)),0),"")))</f>
        <v/>
      </c>
      <c r="I513" s="109" t="n"/>
      <c r="J513" s="72" t="n"/>
      <c r="K513" s="109" t="n"/>
      <c r="L513" s="73" t="n"/>
      <c r="M513" s="109" t="n"/>
      <c r="N513" s="73" t="n"/>
      <c r="O513" s="107">
        <f>IF(B513="","",IF(M513&lt;&gt;"","Paid",IF(AND(I513&lt;&gt;"",I513&lt;AsOf),"OVERDUE",IF(OR(K513&lt;&gt;"",L513&lt;&gt;""),"Invoiced","Scheduled"))))</f>
        <v/>
      </c>
      <c r="P513" s="115">
        <f>IF(B513="","",IF(E513&lt;&gt;"",E513,IFERROR(INDEX('Contractors'!$D$6:$D$1005,MATCH(B513,'Contractors'!$B$6:$B$1005,0)),"")))</f>
        <v/>
      </c>
      <c r="Q513" s="79">
        <f>IF(B513="","",IF(D513&lt;&gt;"",D513,IFERROR(INDEX('Contractors'!$E$6:$E$1005,MATCH(B513,'Contractors'!$B$6:$B$1005,0)),"")))</f>
        <v/>
      </c>
      <c r="R513" s="79">
        <f>IF(O513="","",IF(O513="OVERDUE",2,IF(O513="Paid",0,IF(AND(I513&lt;&gt;"",I513&lt;=AsOf+AlertDays),1,0))))</f>
        <v/>
      </c>
      <c r="S513" s="79">
        <f>IF(AND(B513&lt;&gt;"",M513="",I513&lt;&gt;""),IF(L513&lt;&gt;"",L513,IF(H513="",0,H513)),0)</f>
        <v/>
      </c>
      <c r="T513" s="79">
        <f>IF(AND(B513&lt;&gt;"",M513="",I513&lt;&gt;""),1/I513,0)</f>
        <v/>
      </c>
      <c r="U513" s="112">
        <f>IF(AND(B513&lt;&gt;"",M513="",I513&lt;&gt;""),I513,"")</f>
        <v/>
      </c>
      <c r="V513" s="79">
        <f>IF(U513="","",IF(U513&lt;AsOf,1,IF(U513&lt;=AsOf+AlertDays,2,IF(U513&lt;=AsOf+2*AlertDays,3,""))))</f>
        <v/>
      </c>
      <c r="W513" s="79">
        <f>IF(V513="","",IF(O513="OVERDUE","Overdue payment: ","Payment due: ")&amp;B513&amp;" — "&amp;C513&amp;" ("&amp;CurSym&amp;" "&amp;FIXED(S513,0)&amp;")")</f>
        <v/>
      </c>
      <c r="Z513" s="116">
        <f>IF('Contractors'!B513="","",'Contractors'!B513)</f>
        <v/>
      </c>
      <c r="AA513" s="77">
        <f>IF(Z513="","",'Contractors'!K513)</f>
        <v/>
      </c>
      <c r="AB513" s="77">
        <f>IF(Z513="","",SUMIFS($L$6:$L$1005,$B$6:$B$1005,Z513))</f>
        <v/>
      </c>
      <c r="AC513" s="77">
        <f>IF(Z513="","",SUMIFS($N$6:$N$1005,$B$6:$B$1005,Z513))</f>
        <v/>
      </c>
      <c r="AD513" s="76">
        <f>IF(Z513="","",AA513-AC513)</f>
        <v/>
      </c>
      <c r="AE513" s="117">
        <f>IF(Z513="","",IFERROR(1/SUMPRODUCT(MAX(($B$6:$B$1005=Z513)*$T$6:$T$1005)),""))</f>
        <v/>
      </c>
      <c r="AF513" s="77">
        <f>IF(AE513="","",SUMIFS($S$6:$S$1005,$B$6:$B$1005,Z513,$I$6:$I$1005,AE513))</f>
        <v/>
      </c>
    </row>
    <row r="514" ht="20" customHeight="1">
      <c r="B514" s="72" t="n"/>
      <c r="C514" s="72" t="n"/>
      <c r="D514" s="72" t="n"/>
      <c r="E514" s="72" t="n"/>
      <c r="F514" s="110" t="n"/>
      <c r="G514" s="73" t="n"/>
      <c r="H514" s="75">
        <f>IF(B514="","",IF(G514&lt;&gt;"",G514,IF(F514&lt;&gt;"",F514*IFERROR(INDEX('Contractors'!$I$6:$I$1005,MATCH(B514,'Contractors'!$B$6:$B$1005,0)),0),"")))</f>
        <v/>
      </c>
      <c r="I514" s="109" t="n"/>
      <c r="J514" s="72" t="n"/>
      <c r="K514" s="109" t="n"/>
      <c r="L514" s="73" t="n"/>
      <c r="M514" s="109" t="n"/>
      <c r="N514" s="73" t="n"/>
      <c r="O514" s="107">
        <f>IF(B514="","",IF(M514&lt;&gt;"","Paid",IF(AND(I514&lt;&gt;"",I514&lt;AsOf),"OVERDUE",IF(OR(K514&lt;&gt;"",L514&lt;&gt;""),"Invoiced","Scheduled"))))</f>
        <v/>
      </c>
      <c r="P514" s="115">
        <f>IF(B514="","",IF(E514&lt;&gt;"",E514,IFERROR(INDEX('Contractors'!$D$6:$D$1005,MATCH(B514,'Contractors'!$B$6:$B$1005,0)),"")))</f>
        <v/>
      </c>
      <c r="Q514" s="79">
        <f>IF(B514="","",IF(D514&lt;&gt;"",D514,IFERROR(INDEX('Contractors'!$E$6:$E$1005,MATCH(B514,'Contractors'!$B$6:$B$1005,0)),"")))</f>
        <v/>
      </c>
      <c r="R514" s="79">
        <f>IF(O514="","",IF(O514="OVERDUE",2,IF(O514="Paid",0,IF(AND(I514&lt;&gt;"",I514&lt;=AsOf+AlertDays),1,0))))</f>
        <v/>
      </c>
      <c r="S514" s="79">
        <f>IF(AND(B514&lt;&gt;"",M514="",I514&lt;&gt;""),IF(L514&lt;&gt;"",L514,IF(H514="",0,H514)),0)</f>
        <v/>
      </c>
      <c r="T514" s="79">
        <f>IF(AND(B514&lt;&gt;"",M514="",I514&lt;&gt;""),1/I514,0)</f>
        <v/>
      </c>
      <c r="U514" s="112">
        <f>IF(AND(B514&lt;&gt;"",M514="",I514&lt;&gt;""),I514,"")</f>
        <v/>
      </c>
      <c r="V514" s="79">
        <f>IF(U514="","",IF(U514&lt;AsOf,1,IF(U514&lt;=AsOf+AlertDays,2,IF(U514&lt;=AsOf+2*AlertDays,3,""))))</f>
        <v/>
      </c>
      <c r="W514" s="79">
        <f>IF(V514="","",IF(O514="OVERDUE","Overdue payment: ","Payment due: ")&amp;B514&amp;" — "&amp;C514&amp;" ("&amp;CurSym&amp;" "&amp;FIXED(S514,0)&amp;")")</f>
        <v/>
      </c>
      <c r="Z514" s="116">
        <f>IF('Contractors'!B514="","",'Contractors'!B514)</f>
        <v/>
      </c>
      <c r="AA514" s="77">
        <f>IF(Z514="","",'Contractors'!K514)</f>
        <v/>
      </c>
      <c r="AB514" s="77">
        <f>IF(Z514="","",SUMIFS($L$6:$L$1005,$B$6:$B$1005,Z514))</f>
        <v/>
      </c>
      <c r="AC514" s="77">
        <f>IF(Z514="","",SUMIFS($N$6:$N$1005,$B$6:$B$1005,Z514))</f>
        <v/>
      </c>
      <c r="AD514" s="76">
        <f>IF(Z514="","",AA514-AC514)</f>
        <v/>
      </c>
      <c r="AE514" s="117">
        <f>IF(Z514="","",IFERROR(1/SUMPRODUCT(MAX(($B$6:$B$1005=Z514)*$T$6:$T$1005)),""))</f>
        <v/>
      </c>
      <c r="AF514" s="77">
        <f>IF(AE514="","",SUMIFS($S$6:$S$1005,$B$6:$B$1005,Z514,$I$6:$I$1005,AE514))</f>
        <v/>
      </c>
    </row>
    <row r="515" ht="20" customHeight="1">
      <c r="B515" s="72" t="n"/>
      <c r="C515" s="72" t="n"/>
      <c r="D515" s="72" t="n"/>
      <c r="E515" s="72" t="n"/>
      <c r="F515" s="110" t="n"/>
      <c r="G515" s="73" t="n"/>
      <c r="H515" s="75">
        <f>IF(B515="","",IF(G515&lt;&gt;"",G515,IF(F515&lt;&gt;"",F515*IFERROR(INDEX('Contractors'!$I$6:$I$1005,MATCH(B515,'Contractors'!$B$6:$B$1005,0)),0),"")))</f>
        <v/>
      </c>
      <c r="I515" s="109" t="n"/>
      <c r="J515" s="72" t="n"/>
      <c r="K515" s="109" t="n"/>
      <c r="L515" s="73" t="n"/>
      <c r="M515" s="109" t="n"/>
      <c r="N515" s="73" t="n"/>
      <c r="O515" s="107">
        <f>IF(B515="","",IF(M515&lt;&gt;"","Paid",IF(AND(I515&lt;&gt;"",I515&lt;AsOf),"OVERDUE",IF(OR(K515&lt;&gt;"",L515&lt;&gt;""),"Invoiced","Scheduled"))))</f>
        <v/>
      </c>
      <c r="P515" s="115">
        <f>IF(B515="","",IF(E515&lt;&gt;"",E515,IFERROR(INDEX('Contractors'!$D$6:$D$1005,MATCH(B515,'Contractors'!$B$6:$B$1005,0)),"")))</f>
        <v/>
      </c>
      <c r="Q515" s="79">
        <f>IF(B515="","",IF(D515&lt;&gt;"",D515,IFERROR(INDEX('Contractors'!$E$6:$E$1005,MATCH(B515,'Contractors'!$B$6:$B$1005,0)),"")))</f>
        <v/>
      </c>
      <c r="R515" s="79">
        <f>IF(O515="","",IF(O515="OVERDUE",2,IF(O515="Paid",0,IF(AND(I515&lt;&gt;"",I515&lt;=AsOf+AlertDays),1,0))))</f>
        <v/>
      </c>
      <c r="S515" s="79">
        <f>IF(AND(B515&lt;&gt;"",M515="",I515&lt;&gt;""),IF(L515&lt;&gt;"",L515,IF(H515="",0,H515)),0)</f>
        <v/>
      </c>
      <c r="T515" s="79">
        <f>IF(AND(B515&lt;&gt;"",M515="",I515&lt;&gt;""),1/I515,0)</f>
        <v/>
      </c>
      <c r="U515" s="112">
        <f>IF(AND(B515&lt;&gt;"",M515="",I515&lt;&gt;""),I515,"")</f>
        <v/>
      </c>
      <c r="V515" s="79">
        <f>IF(U515="","",IF(U515&lt;AsOf,1,IF(U515&lt;=AsOf+AlertDays,2,IF(U515&lt;=AsOf+2*AlertDays,3,""))))</f>
        <v/>
      </c>
      <c r="W515" s="79">
        <f>IF(V515="","",IF(O515="OVERDUE","Overdue payment: ","Payment due: ")&amp;B515&amp;" — "&amp;C515&amp;" ("&amp;CurSym&amp;" "&amp;FIXED(S515,0)&amp;")")</f>
        <v/>
      </c>
      <c r="Z515" s="116">
        <f>IF('Contractors'!B515="","",'Contractors'!B515)</f>
        <v/>
      </c>
      <c r="AA515" s="77">
        <f>IF(Z515="","",'Contractors'!K515)</f>
        <v/>
      </c>
      <c r="AB515" s="77">
        <f>IF(Z515="","",SUMIFS($L$6:$L$1005,$B$6:$B$1005,Z515))</f>
        <v/>
      </c>
      <c r="AC515" s="77">
        <f>IF(Z515="","",SUMIFS($N$6:$N$1005,$B$6:$B$1005,Z515))</f>
        <v/>
      </c>
      <c r="AD515" s="76">
        <f>IF(Z515="","",AA515-AC515)</f>
        <v/>
      </c>
      <c r="AE515" s="117">
        <f>IF(Z515="","",IFERROR(1/SUMPRODUCT(MAX(($B$6:$B$1005=Z515)*$T$6:$T$1005)),""))</f>
        <v/>
      </c>
      <c r="AF515" s="77">
        <f>IF(AE515="","",SUMIFS($S$6:$S$1005,$B$6:$B$1005,Z515,$I$6:$I$1005,AE515))</f>
        <v/>
      </c>
    </row>
    <row r="516" ht="20" customHeight="1">
      <c r="B516" s="72" t="n"/>
      <c r="C516" s="72" t="n"/>
      <c r="D516" s="72" t="n"/>
      <c r="E516" s="72" t="n"/>
      <c r="F516" s="110" t="n"/>
      <c r="G516" s="73" t="n"/>
      <c r="H516" s="75">
        <f>IF(B516="","",IF(G516&lt;&gt;"",G516,IF(F516&lt;&gt;"",F516*IFERROR(INDEX('Contractors'!$I$6:$I$1005,MATCH(B516,'Contractors'!$B$6:$B$1005,0)),0),"")))</f>
        <v/>
      </c>
      <c r="I516" s="109" t="n"/>
      <c r="J516" s="72" t="n"/>
      <c r="K516" s="109" t="n"/>
      <c r="L516" s="73" t="n"/>
      <c r="M516" s="109" t="n"/>
      <c r="N516" s="73" t="n"/>
      <c r="O516" s="107">
        <f>IF(B516="","",IF(M516&lt;&gt;"","Paid",IF(AND(I516&lt;&gt;"",I516&lt;AsOf),"OVERDUE",IF(OR(K516&lt;&gt;"",L516&lt;&gt;""),"Invoiced","Scheduled"))))</f>
        <v/>
      </c>
      <c r="P516" s="115">
        <f>IF(B516="","",IF(E516&lt;&gt;"",E516,IFERROR(INDEX('Contractors'!$D$6:$D$1005,MATCH(B516,'Contractors'!$B$6:$B$1005,0)),"")))</f>
        <v/>
      </c>
      <c r="Q516" s="79">
        <f>IF(B516="","",IF(D516&lt;&gt;"",D516,IFERROR(INDEX('Contractors'!$E$6:$E$1005,MATCH(B516,'Contractors'!$B$6:$B$1005,0)),"")))</f>
        <v/>
      </c>
      <c r="R516" s="79">
        <f>IF(O516="","",IF(O516="OVERDUE",2,IF(O516="Paid",0,IF(AND(I516&lt;&gt;"",I516&lt;=AsOf+AlertDays),1,0))))</f>
        <v/>
      </c>
      <c r="S516" s="79">
        <f>IF(AND(B516&lt;&gt;"",M516="",I516&lt;&gt;""),IF(L516&lt;&gt;"",L516,IF(H516="",0,H516)),0)</f>
        <v/>
      </c>
      <c r="T516" s="79">
        <f>IF(AND(B516&lt;&gt;"",M516="",I516&lt;&gt;""),1/I516,0)</f>
        <v/>
      </c>
      <c r="U516" s="112">
        <f>IF(AND(B516&lt;&gt;"",M516="",I516&lt;&gt;""),I516,"")</f>
        <v/>
      </c>
      <c r="V516" s="79">
        <f>IF(U516="","",IF(U516&lt;AsOf,1,IF(U516&lt;=AsOf+AlertDays,2,IF(U516&lt;=AsOf+2*AlertDays,3,""))))</f>
        <v/>
      </c>
      <c r="W516" s="79">
        <f>IF(V516="","",IF(O516="OVERDUE","Overdue payment: ","Payment due: ")&amp;B516&amp;" — "&amp;C516&amp;" ("&amp;CurSym&amp;" "&amp;FIXED(S516,0)&amp;")")</f>
        <v/>
      </c>
      <c r="Z516" s="116">
        <f>IF('Contractors'!B516="","",'Contractors'!B516)</f>
        <v/>
      </c>
      <c r="AA516" s="77">
        <f>IF(Z516="","",'Contractors'!K516)</f>
        <v/>
      </c>
      <c r="AB516" s="77">
        <f>IF(Z516="","",SUMIFS($L$6:$L$1005,$B$6:$B$1005,Z516))</f>
        <v/>
      </c>
      <c r="AC516" s="77">
        <f>IF(Z516="","",SUMIFS($N$6:$N$1005,$B$6:$B$1005,Z516))</f>
        <v/>
      </c>
      <c r="AD516" s="76">
        <f>IF(Z516="","",AA516-AC516)</f>
        <v/>
      </c>
      <c r="AE516" s="117">
        <f>IF(Z516="","",IFERROR(1/SUMPRODUCT(MAX(($B$6:$B$1005=Z516)*$T$6:$T$1005)),""))</f>
        <v/>
      </c>
      <c r="AF516" s="77">
        <f>IF(AE516="","",SUMIFS($S$6:$S$1005,$B$6:$B$1005,Z516,$I$6:$I$1005,AE516))</f>
        <v/>
      </c>
    </row>
    <row r="517" ht="20" customHeight="1">
      <c r="B517" s="72" t="n"/>
      <c r="C517" s="72" t="n"/>
      <c r="D517" s="72" t="n"/>
      <c r="E517" s="72" t="n"/>
      <c r="F517" s="110" t="n"/>
      <c r="G517" s="73" t="n"/>
      <c r="H517" s="75">
        <f>IF(B517="","",IF(G517&lt;&gt;"",G517,IF(F517&lt;&gt;"",F517*IFERROR(INDEX('Contractors'!$I$6:$I$1005,MATCH(B517,'Contractors'!$B$6:$B$1005,0)),0),"")))</f>
        <v/>
      </c>
      <c r="I517" s="109" t="n"/>
      <c r="J517" s="72" t="n"/>
      <c r="K517" s="109" t="n"/>
      <c r="L517" s="73" t="n"/>
      <c r="M517" s="109" t="n"/>
      <c r="N517" s="73" t="n"/>
      <c r="O517" s="107">
        <f>IF(B517="","",IF(M517&lt;&gt;"","Paid",IF(AND(I517&lt;&gt;"",I517&lt;AsOf),"OVERDUE",IF(OR(K517&lt;&gt;"",L517&lt;&gt;""),"Invoiced","Scheduled"))))</f>
        <v/>
      </c>
      <c r="P517" s="115">
        <f>IF(B517="","",IF(E517&lt;&gt;"",E517,IFERROR(INDEX('Contractors'!$D$6:$D$1005,MATCH(B517,'Contractors'!$B$6:$B$1005,0)),"")))</f>
        <v/>
      </c>
      <c r="Q517" s="79">
        <f>IF(B517="","",IF(D517&lt;&gt;"",D517,IFERROR(INDEX('Contractors'!$E$6:$E$1005,MATCH(B517,'Contractors'!$B$6:$B$1005,0)),"")))</f>
        <v/>
      </c>
      <c r="R517" s="79">
        <f>IF(O517="","",IF(O517="OVERDUE",2,IF(O517="Paid",0,IF(AND(I517&lt;&gt;"",I517&lt;=AsOf+AlertDays),1,0))))</f>
        <v/>
      </c>
      <c r="S517" s="79">
        <f>IF(AND(B517&lt;&gt;"",M517="",I517&lt;&gt;""),IF(L517&lt;&gt;"",L517,IF(H517="",0,H517)),0)</f>
        <v/>
      </c>
      <c r="T517" s="79">
        <f>IF(AND(B517&lt;&gt;"",M517="",I517&lt;&gt;""),1/I517,0)</f>
        <v/>
      </c>
      <c r="U517" s="112">
        <f>IF(AND(B517&lt;&gt;"",M517="",I517&lt;&gt;""),I517,"")</f>
        <v/>
      </c>
      <c r="V517" s="79">
        <f>IF(U517="","",IF(U517&lt;AsOf,1,IF(U517&lt;=AsOf+AlertDays,2,IF(U517&lt;=AsOf+2*AlertDays,3,""))))</f>
        <v/>
      </c>
      <c r="W517" s="79">
        <f>IF(V517="","",IF(O517="OVERDUE","Overdue payment: ","Payment due: ")&amp;B517&amp;" — "&amp;C517&amp;" ("&amp;CurSym&amp;" "&amp;FIXED(S517,0)&amp;")")</f>
        <v/>
      </c>
      <c r="Z517" s="116">
        <f>IF('Contractors'!B517="","",'Contractors'!B517)</f>
        <v/>
      </c>
      <c r="AA517" s="77">
        <f>IF(Z517="","",'Contractors'!K517)</f>
        <v/>
      </c>
      <c r="AB517" s="77">
        <f>IF(Z517="","",SUMIFS($L$6:$L$1005,$B$6:$B$1005,Z517))</f>
        <v/>
      </c>
      <c r="AC517" s="77">
        <f>IF(Z517="","",SUMIFS($N$6:$N$1005,$B$6:$B$1005,Z517))</f>
        <v/>
      </c>
      <c r="AD517" s="76">
        <f>IF(Z517="","",AA517-AC517)</f>
        <v/>
      </c>
      <c r="AE517" s="117">
        <f>IF(Z517="","",IFERROR(1/SUMPRODUCT(MAX(($B$6:$B$1005=Z517)*$T$6:$T$1005)),""))</f>
        <v/>
      </c>
      <c r="AF517" s="77">
        <f>IF(AE517="","",SUMIFS($S$6:$S$1005,$B$6:$B$1005,Z517,$I$6:$I$1005,AE517))</f>
        <v/>
      </c>
    </row>
    <row r="518" ht="20" customHeight="1">
      <c r="B518" s="72" t="n"/>
      <c r="C518" s="72" t="n"/>
      <c r="D518" s="72" t="n"/>
      <c r="E518" s="72" t="n"/>
      <c r="F518" s="110" t="n"/>
      <c r="G518" s="73" t="n"/>
      <c r="H518" s="75">
        <f>IF(B518="","",IF(G518&lt;&gt;"",G518,IF(F518&lt;&gt;"",F518*IFERROR(INDEX('Contractors'!$I$6:$I$1005,MATCH(B518,'Contractors'!$B$6:$B$1005,0)),0),"")))</f>
        <v/>
      </c>
      <c r="I518" s="109" t="n"/>
      <c r="J518" s="72" t="n"/>
      <c r="K518" s="109" t="n"/>
      <c r="L518" s="73" t="n"/>
      <c r="M518" s="109" t="n"/>
      <c r="N518" s="73" t="n"/>
      <c r="O518" s="107">
        <f>IF(B518="","",IF(M518&lt;&gt;"","Paid",IF(AND(I518&lt;&gt;"",I518&lt;AsOf),"OVERDUE",IF(OR(K518&lt;&gt;"",L518&lt;&gt;""),"Invoiced","Scheduled"))))</f>
        <v/>
      </c>
      <c r="P518" s="115">
        <f>IF(B518="","",IF(E518&lt;&gt;"",E518,IFERROR(INDEX('Contractors'!$D$6:$D$1005,MATCH(B518,'Contractors'!$B$6:$B$1005,0)),"")))</f>
        <v/>
      </c>
      <c r="Q518" s="79">
        <f>IF(B518="","",IF(D518&lt;&gt;"",D518,IFERROR(INDEX('Contractors'!$E$6:$E$1005,MATCH(B518,'Contractors'!$B$6:$B$1005,0)),"")))</f>
        <v/>
      </c>
      <c r="R518" s="79">
        <f>IF(O518="","",IF(O518="OVERDUE",2,IF(O518="Paid",0,IF(AND(I518&lt;&gt;"",I518&lt;=AsOf+AlertDays),1,0))))</f>
        <v/>
      </c>
      <c r="S518" s="79">
        <f>IF(AND(B518&lt;&gt;"",M518="",I518&lt;&gt;""),IF(L518&lt;&gt;"",L518,IF(H518="",0,H518)),0)</f>
        <v/>
      </c>
      <c r="T518" s="79">
        <f>IF(AND(B518&lt;&gt;"",M518="",I518&lt;&gt;""),1/I518,0)</f>
        <v/>
      </c>
      <c r="U518" s="112">
        <f>IF(AND(B518&lt;&gt;"",M518="",I518&lt;&gt;""),I518,"")</f>
        <v/>
      </c>
      <c r="V518" s="79">
        <f>IF(U518="","",IF(U518&lt;AsOf,1,IF(U518&lt;=AsOf+AlertDays,2,IF(U518&lt;=AsOf+2*AlertDays,3,""))))</f>
        <v/>
      </c>
      <c r="W518" s="79">
        <f>IF(V518="","",IF(O518="OVERDUE","Overdue payment: ","Payment due: ")&amp;B518&amp;" — "&amp;C518&amp;" ("&amp;CurSym&amp;" "&amp;FIXED(S518,0)&amp;")")</f>
        <v/>
      </c>
      <c r="Z518" s="116">
        <f>IF('Contractors'!B518="","",'Contractors'!B518)</f>
        <v/>
      </c>
      <c r="AA518" s="77">
        <f>IF(Z518="","",'Contractors'!K518)</f>
        <v/>
      </c>
      <c r="AB518" s="77">
        <f>IF(Z518="","",SUMIFS($L$6:$L$1005,$B$6:$B$1005,Z518))</f>
        <v/>
      </c>
      <c r="AC518" s="77">
        <f>IF(Z518="","",SUMIFS($N$6:$N$1005,$B$6:$B$1005,Z518))</f>
        <v/>
      </c>
      <c r="AD518" s="76">
        <f>IF(Z518="","",AA518-AC518)</f>
        <v/>
      </c>
      <c r="AE518" s="117">
        <f>IF(Z518="","",IFERROR(1/SUMPRODUCT(MAX(($B$6:$B$1005=Z518)*$T$6:$T$1005)),""))</f>
        <v/>
      </c>
      <c r="AF518" s="77">
        <f>IF(AE518="","",SUMIFS($S$6:$S$1005,$B$6:$B$1005,Z518,$I$6:$I$1005,AE518))</f>
        <v/>
      </c>
    </row>
    <row r="519" ht="20" customHeight="1">
      <c r="B519" s="72" t="n"/>
      <c r="C519" s="72" t="n"/>
      <c r="D519" s="72" t="n"/>
      <c r="E519" s="72" t="n"/>
      <c r="F519" s="110" t="n"/>
      <c r="G519" s="73" t="n"/>
      <c r="H519" s="75">
        <f>IF(B519="","",IF(G519&lt;&gt;"",G519,IF(F519&lt;&gt;"",F519*IFERROR(INDEX('Contractors'!$I$6:$I$1005,MATCH(B519,'Contractors'!$B$6:$B$1005,0)),0),"")))</f>
        <v/>
      </c>
      <c r="I519" s="109" t="n"/>
      <c r="J519" s="72" t="n"/>
      <c r="K519" s="109" t="n"/>
      <c r="L519" s="73" t="n"/>
      <c r="M519" s="109" t="n"/>
      <c r="N519" s="73" t="n"/>
      <c r="O519" s="107">
        <f>IF(B519="","",IF(M519&lt;&gt;"","Paid",IF(AND(I519&lt;&gt;"",I519&lt;AsOf),"OVERDUE",IF(OR(K519&lt;&gt;"",L519&lt;&gt;""),"Invoiced","Scheduled"))))</f>
        <v/>
      </c>
      <c r="P519" s="115">
        <f>IF(B519="","",IF(E519&lt;&gt;"",E519,IFERROR(INDEX('Contractors'!$D$6:$D$1005,MATCH(B519,'Contractors'!$B$6:$B$1005,0)),"")))</f>
        <v/>
      </c>
      <c r="Q519" s="79">
        <f>IF(B519="","",IF(D519&lt;&gt;"",D519,IFERROR(INDEX('Contractors'!$E$6:$E$1005,MATCH(B519,'Contractors'!$B$6:$B$1005,0)),"")))</f>
        <v/>
      </c>
      <c r="R519" s="79">
        <f>IF(O519="","",IF(O519="OVERDUE",2,IF(O519="Paid",0,IF(AND(I519&lt;&gt;"",I519&lt;=AsOf+AlertDays),1,0))))</f>
        <v/>
      </c>
      <c r="S519" s="79">
        <f>IF(AND(B519&lt;&gt;"",M519="",I519&lt;&gt;""),IF(L519&lt;&gt;"",L519,IF(H519="",0,H519)),0)</f>
        <v/>
      </c>
      <c r="T519" s="79">
        <f>IF(AND(B519&lt;&gt;"",M519="",I519&lt;&gt;""),1/I519,0)</f>
        <v/>
      </c>
      <c r="U519" s="112">
        <f>IF(AND(B519&lt;&gt;"",M519="",I519&lt;&gt;""),I519,"")</f>
        <v/>
      </c>
      <c r="V519" s="79">
        <f>IF(U519="","",IF(U519&lt;AsOf,1,IF(U519&lt;=AsOf+AlertDays,2,IF(U519&lt;=AsOf+2*AlertDays,3,""))))</f>
        <v/>
      </c>
      <c r="W519" s="79">
        <f>IF(V519="","",IF(O519="OVERDUE","Overdue payment: ","Payment due: ")&amp;B519&amp;" — "&amp;C519&amp;" ("&amp;CurSym&amp;" "&amp;FIXED(S519,0)&amp;")")</f>
        <v/>
      </c>
      <c r="Z519" s="116">
        <f>IF('Contractors'!B519="","",'Contractors'!B519)</f>
        <v/>
      </c>
      <c r="AA519" s="77">
        <f>IF(Z519="","",'Contractors'!K519)</f>
        <v/>
      </c>
      <c r="AB519" s="77">
        <f>IF(Z519="","",SUMIFS($L$6:$L$1005,$B$6:$B$1005,Z519))</f>
        <v/>
      </c>
      <c r="AC519" s="77">
        <f>IF(Z519="","",SUMIFS($N$6:$N$1005,$B$6:$B$1005,Z519))</f>
        <v/>
      </c>
      <c r="AD519" s="76">
        <f>IF(Z519="","",AA519-AC519)</f>
        <v/>
      </c>
      <c r="AE519" s="117">
        <f>IF(Z519="","",IFERROR(1/SUMPRODUCT(MAX(($B$6:$B$1005=Z519)*$T$6:$T$1005)),""))</f>
        <v/>
      </c>
      <c r="AF519" s="77">
        <f>IF(AE519="","",SUMIFS($S$6:$S$1005,$B$6:$B$1005,Z519,$I$6:$I$1005,AE519))</f>
        <v/>
      </c>
    </row>
    <row r="520" ht="20" customHeight="1">
      <c r="B520" s="72" t="n"/>
      <c r="C520" s="72" t="n"/>
      <c r="D520" s="72" t="n"/>
      <c r="E520" s="72" t="n"/>
      <c r="F520" s="110" t="n"/>
      <c r="G520" s="73" t="n"/>
      <c r="H520" s="75">
        <f>IF(B520="","",IF(G520&lt;&gt;"",G520,IF(F520&lt;&gt;"",F520*IFERROR(INDEX('Contractors'!$I$6:$I$1005,MATCH(B520,'Contractors'!$B$6:$B$1005,0)),0),"")))</f>
        <v/>
      </c>
      <c r="I520" s="109" t="n"/>
      <c r="J520" s="72" t="n"/>
      <c r="K520" s="109" t="n"/>
      <c r="L520" s="73" t="n"/>
      <c r="M520" s="109" t="n"/>
      <c r="N520" s="73" t="n"/>
      <c r="O520" s="107">
        <f>IF(B520="","",IF(M520&lt;&gt;"","Paid",IF(AND(I520&lt;&gt;"",I520&lt;AsOf),"OVERDUE",IF(OR(K520&lt;&gt;"",L520&lt;&gt;""),"Invoiced","Scheduled"))))</f>
        <v/>
      </c>
      <c r="P520" s="115">
        <f>IF(B520="","",IF(E520&lt;&gt;"",E520,IFERROR(INDEX('Contractors'!$D$6:$D$1005,MATCH(B520,'Contractors'!$B$6:$B$1005,0)),"")))</f>
        <v/>
      </c>
      <c r="Q520" s="79">
        <f>IF(B520="","",IF(D520&lt;&gt;"",D520,IFERROR(INDEX('Contractors'!$E$6:$E$1005,MATCH(B520,'Contractors'!$B$6:$B$1005,0)),"")))</f>
        <v/>
      </c>
      <c r="R520" s="79">
        <f>IF(O520="","",IF(O520="OVERDUE",2,IF(O520="Paid",0,IF(AND(I520&lt;&gt;"",I520&lt;=AsOf+AlertDays),1,0))))</f>
        <v/>
      </c>
      <c r="S520" s="79">
        <f>IF(AND(B520&lt;&gt;"",M520="",I520&lt;&gt;""),IF(L520&lt;&gt;"",L520,IF(H520="",0,H520)),0)</f>
        <v/>
      </c>
      <c r="T520" s="79">
        <f>IF(AND(B520&lt;&gt;"",M520="",I520&lt;&gt;""),1/I520,0)</f>
        <v/>
      </c>
      <c r="U520" s="112">
        <f>IF(AND(B520&lt;&gt;"",M520="",I520&lt;&gt;""),I520,"")</f>
        <v/>
      </c>
      <c r="V520" s="79">
        <f>IF(U520="","",IF(U520&lt;AsOf,1,IF(U520&lt;=AsOf+AlertDays,2,IF(U520&lt;=AsOf+2*AlertDays,3,""))))</f>
        <v/>
      </c>
      <c r="W520" s="79">
        <f>IF(V520="","",IF(O520="OVERDUE","Overdue payment: ","Payment due: ")&amp;B520&amp;" — "&amp;C520&amp;" ("&amp;CurSym&amp;" "&amp;FIXED(S520,0)&amp;")")</f>
        <v/>
      </c>
      <c r="Z520" s="116">
        <f>IF('Contractors'!B520="","",'Contractors'!B520)</f>
        <v/>
      </c>
      <c r="AA520" s="77">
        <f>IF(Z520="","",'Contractors'!K520)</f>
        <v/>
      </c>
      <c r="AB520" s="77">
        <f>IF(Z520="","",SUMIFS($L$6:$L$1005,$B$6:$B$1005,Z520))</f>
        <v/>
      </c>
      <c r="AC520" s="77">
        <f>IF(Z520="","",SUMIFS($N$6:$N$1005,$B$6:$B$1005,Z520))</f>
        <v/>
      </c>
      <c r="AD520" s="76">
        <f>IF(Z520="","",AA520-AC520)</f>
        <v/>
      </c>
      <c r="AE520" s="117">
        <f>IF(Z520="","",IFERROR(1/SUMPRODUCT(MAX(($B$6:$B$1005=Z520)*$T$6:$T$1005)),""))</f>
        <v/>
      </c>
      <c r="AF520" s="77">
        <f>IF(AE520="","",SUMIFS($S$6:$S$1005,$B$6:$B$1005,Z520,$I$6:$I$1005,AE520))</f>
        <v/>
      </c>
    </row>
    <row r="521" ht="20" customHeight="1">
      <c r="B521" s="72" t="n"/>
      <c r="C521" s="72" t="n"/>
      <c r="D521" s="72" t="n"/>
      <c r="E521" s="72" t="n"/>
      <c r="F521" s="110" t="n"/>
      <c r="G521" s="73" t="n"/>
      <c r="H521" s="75">
        <f>IF(B521="","",IF(G521&lt;&gt;"",G521,IF(F521&lt;&gt;"",F521*IFERROR(INDEX('Contractors'!$I$6:$I$1005,MATCH(B521,'Contractors'!$B$6:$B$1005,0)),0),"")))</f>
        <v/>
      </c>
      <c r="I521" s="109" t="n"/>
      <c r="J521" s="72" t="n"/>
      <c r="K521" s="109" t="n"/>
      <c r="L521" s="73" t="n"/>
      <c r="M521" s="109" t="n"/>
      <c r="N521" s="73" t="n"/>
      <c r="O521" s="107">
        <f>IF(B521="","",IF(M521&lt;&gt;"","Paid",IF(AND(I521&lt;&gt;"",I521&lt;AsOf),"OVERDUE",IF(OR(K521&lt;&gt;"",L521&lt;&gt;""),"Invoiced","Scheduled"))))</f>
        <v/>
      </c>
      <c r="P521" s="115">
        <f>IF(B521="","",IF(E521&lt;&gt;"",E521,IFERROR(INDEX('Contractors'!$D$6:$D$1005,MATCH(B521,'Contractors'!$B$6:$B$1005,0)),"")))</f>
        <v/>
      </c>
      <c r="Q521" s="79">
        <f>IF(B521="","",IF(D521&lt;&gt;"",D521,IFERROR(INDEX('Contractors'!$E$6:$E$1005,MATCH(B521,'Contractors'!$B$6:$B$1005,0)),"")))</f>
        <v/>
      </c>
      <c r="R521" s="79">
        <f>IF(O521="","",IF(O521="OVERDUE",2,IF(O521="Paid",0,IF(AND(I521&lt;&gt;"",I521&lt;=AsOf+AlertDays),1,0))))</f>
        <v/>
      </c>
      <c r="S521" s="79">
        <f>IF(AND(B521&lt;&gt;"",M521="",I521&lt;&gt;""),IF(L521&lt;&gt;"",L521,IF(H521="",0,H521)),0)</f>
        <v/>
      </c>
      <c r="T521" s="79">
        <f>IF(AND(B521&lt;&gt;"",M521="",I521&lt;&gt;""),1/I521,0)</f>
        <v/>
      </c>
      <c r="U521" s="112">
        <f>IF(AND(B521&lt;&gt;"",M521="",I521&lt;&gt;""),I521,"")</f>
        <v/>
      </c>
      <c r="V521" s="79">
        <f>IF(U521="","",IF(U521&lt;AsOf,1,IF(U521&lt;=AsOf+AlertDays,2,IF(U521&lt;=AsOf+2*AlertDays,3,""))))</f>
        <v/>
      </c>
      <c r="W521" s="79">
        <f>IF(V521="","",IF(O521="OVERDUE","Overdue payment: ","Payment due: ")&amp;B521&amp;" — "&amp;C521&amp;" ("&amp;CurSym&amp;" "&amp;FIXED(S521,0)&amp;")")</f>
        <v/>
      </c>
      <c r="Z521" s="116">
        <f>IF('Contractors'!B521="","",'Contractors'!B521)</f>
        <v/>
      </c>
      <c r="AA521" s="77">
        <f>IF(Z521="","",'Contractors'!K521)</f>
        <v/>
      </c>
      <c r="AB521" s="77">
        <f>IF(Z521="","",SUMIFS($L$6:$L$1005,$B$6:$B$1005,Z521))</f>
        <v/>
      </c>
      <c r="AC521" s="77">
        <f>IF(Z521="","",SUMIFS($N$6:$N$1005,$B$6:$B$1005,Z521))</f>
        <v/>
      </c>
      <c r="AD521" s="76">
        <f>IF(Z521="","",AA521-AC521)</f>
        <v/>
      </c>
      <c r="AE521" s="117">
        <f>IF(Z521="","",IFERROR(1/SUMPRODUCT(MAX(($B$6:$B$1005=Z521)*$T$6:$T$1005)),""))</f>
        <v/>
      </c>
      <c r="AF521" s="77">
        <f>IF(AE521="","",SUMIFS($S$6:$S$1005,$B$6:$B$1005,Z521,$I$6:$I$1005,AE521))</f>
        <v/>
      </c>
    </row>
    <row r="522" ht="20" customHeight="1">
      <c r="B522" s="72" t="n"/>
      <c r="C522" s="72" t="n"/>
      <c r="D522" s="72" t="n"/>
      <c r="E522" s="72" t="n"/>
      <c r="F522" s="110" t="n"/>
      <c r="G522" s="73" t="n"/>
      <c r="H522" s="75">
        <f>IF(B522="","",IF(G522&lt;&gt;"",G522,IF(F522&lt;&gt;"",F522*IFERROR(INDEX('Contractors'!$I$6:$I$1005,MATCH(B522,'Contractors'!$B$6:$B$1005,0)),0),"")))</f>
        <v/>
      </c>
      <c r="I522" s="109" t="n"/>
      <c r="J522" s="72" t="n"/>
      <c r="K522" s="109" t="n"/>
      <c r="L522" s="73" t="n"/>
      <c r="M522" s="109" t="n"/>
      <c r="N522" s="73" t="n"/>
      <c r="O522" s="107">
        <f>IF(B522="","",IF(M522&lt;&gt;"","Paid",IF(AND(I522&lt;&gt;"",I522&lt;AsOf),"OVERDUE",IF(OR(K522&lt;&gt;"",L522&lt;&gt;""),"Invoiced","Scheduled"))))</f>
        <v/>
      </c>
      <c r="P522" s="115">
        <f>IF(B522="","",IF(E522&lt;&gt;"",E522,IFERROR(INDEX('Contractors'!$D$6:$D$1005,MATCH(B522,'Contractors'!$B$6:$B$1005,0)),"")))</f>
        <v/>
      </c>
      <c r="Q522" s="79">
        <f>IF(B522="","",IF(D522&lt;&gt;"",D522,IFERROR(INDEX('Contractors'!$E$6:$E$1005,MATCH(B522,'Contractors'!$B$6:$B$1005,0)),"")))</f>
        <v/>
      </c>
      <c r="R522" s="79">
        <f>IF(O522="","",IF(O522="OVERDUE",2,IF(O522="Paid",0,IF(AND(I522&lt;&gt;"",I522&lt;=AsOf+AlertDays),1,0))))</f>
        <v/>
      </c>
      <c r="S522" s="79">
        <f>IF(AND(B522&lt;&gt;"",M522="",I522&lt;&gt;""),IF(L522&lt;&gt;"",L522,IF(H522="",0,H522)),0)</f>
        <v/>
      </c>
      <c r="T522" s="79">
        <f>IF(AND(B522&lt;&gt;"",M522="",I522&lt;&gt;""),1/I522,0)</f>
        <v/>
      </c>
      <c r="U522" s="112">
        <f>IF(AND(B522&lt;&gt;"",M522="",I522&lt;&gt;""),I522,"")</f>
        <v/>
      </c>
      <c r="V522" s="79">
        <f>IF(U522="","",IF(U522&lt;AsOf,1,IF(U522&lt;=AsOf+AlertDays,2,IF(U522&lt;=AsOf+2*AlertDays,3,""))))</f>
        <v/>
      </c>
      <c r="W522" s="79">
        <f>IF(V522="","",IF(O522="OVERDUE","Overdue payment: ","Payment due: ")&amp;B522&amp;" — "&amp;C522&amp;" ("&amp;CurSym&amp;" "&amp;FIXED(S522,0)&amp;")")</f>
        <v/>
      </c>
      <c r="Z522" s="116">
        <f>IF('Contractors'!B522="","",'Contractors'!B522)</f>
        <v/>
      </c>
      <c r="AA522" s="77">
        <f>IF(Z522="","",'Contractors'!K522)</f>
        <v/>
      </c>
      <c r="AB522" s="77">
        <f>IF(Z522="","",SUMIFS($L$6:$L$1005,$B$6:$B$1005,Z522))</f>
        <v/>
      </c>
      <c r="AC522" s="77">
        <f>IF(Z522="","",SUMIFS($N$6:$N$1005,$B$6:$B$1005,Z522))</f>
        <v/>
      </c>
      <c r="AD522" s="76">
        <f>IF(Z522="","",AA522-AC522)</f>
        <v/>
      </c>
      <c r="AE522" s="117">
        <f>IF(Z522="","",IFERROR(1/SUMPRODUCT(MAX(($B$6:$B$1005=Z522)*$T$6:$T$1005)),""))</f>
        <v/>
      </c>
      <c r="AF522" s="77">
        <f>IF(AE522="","",SUMIFS($S$6:$S$1005,$B$6:$B$1005,Z522,$I$6:$I$1005,AE522))</f>
        <v/>
      </c>
    </row>
    <row r="523" ht="20" customHeight="1">
      <c r="B523" s="72" t="n"/>
      <c r="C523" s="72" t="n"/>
      <c r="D523" s="72" t="n"/>
      <c r="E523" s="72" t="n"/>
      <c r="F523" s="110" t="n"/>
      <c r="G523" s="73" t="n"/>
      <c r="H523" s="75">
        <f>IF(B523="","",IF(G523&lt;&gt;"",G523,IF(F523&lt;&gt;"",F523*IFERROR(INDEX('Contractors'!$I$6:$I$1005,MATCH(B523,'Contractors'!$B$6:$B$1005,0)),0),"")))</f>
        <v/>
      </c>
      <c r="I523" s="109" t="n"/>
      <c r="J523" s="72" t="n"/>
      <c r="K523" s="109" t="n"/>
      <c r="L523" s="73" t="n"/>
      <c r="M523" s="109" t="n"/>
      <c r="N523" s="73" t="n"/>
      <c r="O523" s="107">
        <f>IF(B523="","",IF(M523&lt;&gt;"","Paid",IF(AND(I523&lt;&gt;"",I523&lt;AsOf),"OVERDUE",IF(OR(K523&lt;&gt;"",L523&lt;&gt;""),"Invoiced","Scheduled"))))</f>
        <v/>
      </c>
      <c r="P523" s="115">
        <f>IF(B523="","",IF(E523&lt;&gt;"",E523,IFERROR(INDEX('Contractors'!$D$6:$D$1005,MATCH(B523,'Contractors'!$B$6:$B$1005,0)),"")))</f>
        <v/>
      </c>
      <c r="Q523" s="79">
        <f>IF(B523="","",IF(D523&lt;&gt;"",D523,IFERROR(INDEX('Contractors'!$E$6:$E$1005,MATCH(B523,'Contractors'!$B$6:$B$1005,0)),"")))</f>
        <v/>
      </c>
      <c r="R523" s="79">
        <f>IF(O523="","",IF(O523="OVERDUE",2,IF(O523="Paid",0,IF(AND(I523&lt;&gt;"",I523&lt;=AsOf+AlertDays),1,0))))</f>
        <v/>
      </c>
      <c r="S523" s="79">
        <f>IF(AND(B523&lt;&gt;"",M523="",I523&lt;&gt;""),IF(L523&lt;&gt;"",L523,IF(H523="",0,H523)),0)</f>
        <v/>
      </c>
      <c r="T523" s="79">
        <f>IF(AND(B523&lt;&gt;"",M523="",I523&lt;&gt;""),1/I523,0)</f>
        <v/>
      </c>
      <c r="U523" s="112">
        <f>IF(AND(B523&lt;&gt;"",M523="",I523&lt;&gt;""),I523,"")</f>
        <v/>
      </c>
      <c r="V523" s="79">
        <f>IF(U523="","",IF(U523&lt;AsOf,1,IF(U523&lt;=AsOf+AlertDays,2,IF(U523&lt;=AsOf+2*AlertDays,3,""))))</f>
        <v/>
      </c>
      <c r="W523" s="79">
        <f>IF(V523="","",IF(O523="OVERDUE","Overdue payment: ","Payment due: ")&amp;B523&amp;" — "&amp;C523&amp;" ("&amp;CurSym&amp;" "&amp;FIXED(S523,0)&amp;")")</f>
        <v/>
      </c>
      <c r="Z523" s="116">
        <f>IF('Contractors'!B523="","",'Contractors'!B523)</f>
        <v/>
      </c>
      <c r="AA523" s="77">
        <f>IF(Z523="","",'Contractors'!K523)</f>
        <v/>
      </c>
      <c r="AB523" s="77">
        <f>IF(Z523="","",SUMIFS($L$6:$L$1005,$B$6:$B$1005,Z523))</f>
        <v/>
      </c>
      <c r="AC523" s="77">
        <f>IF(Z523="","",SUMIFS($N$6:$N$1005,$B$6:$B$1005,Z523))</f>
        <v/>
      </c>
      <c r="AD523" s="76">
        <f>IF(Z523="","",AA523-AC523)</f>
        <v/>
      </c>
      <c r="AE523" s="117">
        <f>IF(Z523="","",IFERROR(1/SUMPRODUCT(MAX(($B$6:$B$1005=Z523)*$T$6:$T$1005)),""))</f>
        <v/>
      </c>
      <c r="AF523" s="77">
        <f>IF(AE523="","",SUMIFS($S$6:$S$1005,$B$6:$B$1005,Z523,$I$6:$I$1005,AE523))</f>
        <v/>
      </c>
    </row>
    <row r="524" ht="20" customHeight="1">
      <c r="B524" s="72" t="n"/>
      <c r="C524" s="72" t="n"/>
      <c r="D524" s="72" t="n"/>
      <c r="E524" s="72" t="n"/>
      <c r="F524" s="110" t="n"/>
      <c r="G524" s="73" t="n"/>
      <c r="H524" s="75">
        <f>IF(B524="","",IF(G524&lt;&gt;"",G524,IF(F524&lt;&gt;"",F524*IFERROR(INDEX('Contractors'!$I$6:$I$1005,MATCH(B524,'Contractors'!$B$6:$B$1005,0)),0),"")))</f>
        <v/>
      </c>
      <c r="I524" s="109" t="n"/>
      <c r="J524" s="72" t="n"/>
      <c r="K524" s="109" t="n"/>
      <c r="L524" s="73" t="n"/>
      <c r="M524" s="109" t="n"/>
      <c r="N524" s="73" t="n"/>
      <c r="O524" s="107">
        <f>IF(B524="","",IF(M524&lt;&gt;"","Paid",IF(AND(I524&lt;&gt;"",I524&lt;AsOf),"OVERDUE",IF(OR(K524&lt;&gt;"",L524&lt;&gt;""),"Invoiced","Scheduled"))))</f>
        <v/>
      </c>
      <c r="P524" s="115">
        <f>IF(B524="","",IF(E524&lt;&gt;"",E524,IFERROR(INDEX('Contractors'!$D$6:$D$1005,MATCH(B524,'Contractors'!$B$6:$B$1005,0)),"")))</f>
        <v/>
      </c>
      <c r="Q524" s="79">
        <f>IF(B524="","",IF(D524&lt;&gt;"",D524,IFERROR(INDEX('Contractors'!$E$6:$E$1005,MATCH(B524,'Contractors'!$B$6:$B$1005,0)),"")))</f>
        <v/>
      </c>
      <c r="R524" s="79">
        <f>IF(O524="","",IF(O524="OVERDUE",2,IF(O524="Paid",0,IF(AND(I524&lt;&gt;"",I524&lt;=AsOf+AlertDays),1,0))))</f>
        <v/>
      </c>
      <c r="S524" s="79">
        <f>IF(AND(B524&lt;&gt;"",M524="",I524&lt;&gt;""),IF(L524&lt;&gt;"",L524,IF(H524="",0,H524)),0)</f>
        <v/>
      </c>
      <c r="T524" s="79">
        <f>IF(AND(B524&lt;&gt;"",M524="",I524&lt;&gt;""),1/I524,0)</f>
        <v/>
      </c>
      <c r="U524" s="112">
        <f>IF(AND(B524&lt;&gt;"",M524="",I524&lt;&gt;""),I524,"")</f>
        <v/>
      </c>
      <c r="V524" s="79">
        <f>IF(U524="","",IF(U524&lt;AsOf,1,IF(U524&lt;=AsOf+AlertDays,2,IF(U524&lt;=AsOf+2*AlertDays,3,""))))</f>
        <v/>
      </c>
      <c r="W524" s="79">
        <f>IF(V524="","",IF(O524="OVERDUE","Overdue payment: ","Payment due: ")&amp;B524&amp;" — "&amp;C524&amp;" ("&amp;CurSym&amp;" "&amp;FIXED(S524,0)&amp;")")</f>
        <v/>
      </c>
      <c r="Z524" s="116">
        <f>IF('Contractors'!B524="","",'Contractors'!B524)</f>
        <v/>
      </c>
      <c r="AA524" s="77">
        <f>IF(Z524="","",'Contractors'!K524)</f>
        <v/>
      </c>
      <c r="AB524" s="77">
        <f>IF(Z524="","",SUMIFS($L$6:$L$1005,$B$6:$B$1005,Z524))</f>
        <v/>
      </c>
      <c r="AC524" s="77">
        <f>IF(Z524="","",SUMIFS($N$6:$N$1005,$B$6:$B$1005,Z524))</f>
        <v/>
      </c>
      <c r="AD524" s="76">
        <f>IF(Z524="","",AA524-AC524)</f>
        <v/>
      </c>
      <c r="AE524" s="117">
        <f>IF(Z524="","",IFERROR(1/SUMPRODUCT(MAX(($B$6:$B$1005=Z524)*$T$6:$T$1005)),""))</f>
        <v/>
      </c>
      <c r="AF524" s="77">
        <f>IF(AE524="","",SUMIFS($S$6:$S$1005,$B$6:$B$1005,Z524,$I$6:$I$1005,AE524))</f>
        <v/>
      </c>
    </row>
    <row r="525" ht="20" customHeight="1">
      <c r="B525" s="72" t="n"/>
      <c r="C525" s="72" t="n"/>
      <c r="D525" s="72" t="n"/>
      <c r="E525" s="72" t="n"/>
      <c r="F525" s="110" t="n"/>
      <c r="G525" s="73" t="n"/>
      <c r="H525" s="75">
        <f>IF(B525="","",IF(G525&lt;&gt;"",G525,IF(F525&lt;&gt;"",F525*IFERROR(INDEX('Contractors'!$I$6:$I$1005,MATCH(B525,'Contractors'!$B$6:$B$1005,0)),0),"")))</f>
        <v/>
      </c>
      <c r="I525" s="109" t="n"/>
      <c r="J525" s="72" t="n"/>
      <c r="K525" s="109" t="n"/>
      <c r="L525" s="73" t="n"/>
      <c r="M525" s="109" t="n"/>
      <c r="N525" s="73" t="n"/>
      <c r="O525" s="107">
        <f>IF(B525="","",IF(M525&lt;&gt;"","Paid",IF(AND(I525&lt;&gt;"",I525&lt;AsOf),"OVERDUE",IF(OR(K525&lt;&gt;"",L525&lt;&gt;""),"Invoiced","Scheduled"))))</f>
        <v/>
      </c>
      <c r="P525" s="115">
        <f>IF(B525="","",IF(E525&lt;&gt;"",E525,IFERROR(INDEX('Contractors'!$D$6:$D$1005,MATCH(B525,'Contractors'!$B$6:$B$1005,0)),"")))</f>
        <v/>
      </c>
      <c r="Q525" s="79">
        <f>IF(B525="","",IF(D525&lt;&gt;"",D525,IFERROR(INDEX('Contractors'!$E$6:$E$1005,MATCH(B525,'Contractors'!$B$6:$B$1005,0)),"")))</f>
        <v/>
      </c>
      <c r="R525" s="79">
        <f>IF(O525="","",IF(O525="OVERDUE",2,IF(O525="Paid",0,IF(AND(I525&lt;&gt;"",I525&lt;=AsOf+AlertDays),1,0))))</f>
        <v/>
      </c>
      <c r="S525" s="79">
        <f>IF(AND(B525&lt;&gt;"",M525="",I525&lt;&gt;""),IF(L525&lt;&gt;"",L525,IF(H525="",0,H525)),0)</f>
        <v/>
      </c>
      <c r="T525" s="79">
        <f>IF(AND(B525&lt;&gt;"",M525="",I525&lt;&gt;""),1/I525,0)</f>
        <v/>
      </c>
      <c r="U525" s="112">
        <f>IF(AND(B525&lt;&gt;"",M525="",I525&lt;&gt;""),I525,"")</f>
        <v/>
      </c>
      <c r="V525" s="79">
        <f>IF(U525="","",IF(U525&lt;AsOf,1,IF(U525&lt;=AsOf+AlertDays,2,IF(U525&lt;=AsOf+2*AlertDays,3,""))))</f>
        <v/>
      </c>
      <c r="W525" s="79">
        <f>IF(V525="","",IF(O525="OVERDUE","Overdue payment: ","Payment due: ")&amp;B525&amp;" — "&amp;C525&amp;" ("&amp;CurSym&amp;" "&amp;FIXED(S525,0)&amp;")")</f>
        <v/>
      </c>
      <c r="Z525" s="116">
        <f>IF('Contractors'!B525="","",'Contractors'!B525)</f>
        <v/>
      </c>
      <c r="AA525" s="77">
        <f>IF(Z525="","",'Contractors'!K525)</f>
        <v/>
      </c>
      <c r="AB525" s="77">
        <f>IF(Z525="","",SUMIFS($L$6:$L$1005,$B$6:$B$1005,Z525))</f>
        <v/>
      </c>
      <c r="AC525" s="77">
        <f>IF(Z525="","",SUMIFS($N$6:$N$1005,$B$6:$B$1005,Z525))</f>
        <v/>
      </c>
      <c r="AD525" s="76">
        <f>IF(Z525="","",AA525-AC525)</f>
        <v/>
      </c>
      <c r="AE525" s="117">
        <f>IF(Z525="","",IFERROR(1/SUMPRODUCT(MAX(($B$6:$B$1005=Z525)*$T$6:$T$1005)),""))</f>
        <v/>
      </c>
      <c r="AF525" s="77">
        <f>IF(AE525="","",SUMIFS($S$6:$S$1005,$B$6:$B$1005,Z525,$I$6:$I$1005,AE525))</f>
        <v/>
      </c>
    </row>
    <row r="526" ht="20" customHeight="1">
      <c r="B526" s="72" t="n"/>
      <c r="C526" s="72" t="n"/>
      <c r="D526" s="72" t="n"/>
      <c r="E526" s="72" t="n"/>
      <c r="F526" s="110" t="n"/>
      <c r="G526" s="73" t="n"/>
      <c r="H526" s="75">
        <f>IF(B526="","",IF(G526&lt;&gt;"",G526,IF(F526&lt;&gt;"",F526*IFERROR(INDEX('Contractors'!$I$6:$I$1005,MATCH(B526,'Contractors'!$B$6:$B$1005,0)),0),"")))</f>
        <v/>
      </c>
      <c r="I526" s="109" t="n"/>
      <c r="J526" s="72" t="n"/>
      <c r="K526" s="109" t="n"/>
      <c r="L526" s="73" t="n"/>
      <c r="M526" s="109" t="n"/>
      <c r="N526" s="73" t="n"/>
      <c r="O526" s="107">
        <f>IF(B526="","",IF(M526&lt;&gt;"","Paid",IF(AND(I526&lt;&gt;"",I526&lt;AsOf),"OVERDUE",IF(OR(K526&lt;&gt;"",L526&lt;&gt;""),"Invoiced","Scheduled"))))</f>
        <v/>
      </c>
      <c r="P526" s="115">
        <f>IF(B526="","",IF(E526&lt;&gt;"",E526,IFERROR(INDEX('Contractors'!$D$6:$D$1005,MATCH(B526,'Contractors'!$B$6:$B$1005,0)),"")))</f>
        <v/>
      </c>
      <c r="Q526" s="79">
        <f>IF(B526="","",IF(D526&lt;&gt;"",D526,IFERROR(INDEX('Contractors'!$E$6:$E$1005,MATCH(B526,'Contractors'!$B$6:$B$1005,0)),"")))</f>
        <v/>
      </c>
      <c r="R526" s="79">
        <f>IF(O526="","",IF(O526="OVERDUE",2,IF(O526="Paid",0,IF(AND(I526&lt;&gt;"",I526&lt;=AsOf+AlertDays),1,0))))</f>
        <v/>
      </c>
      <c r="S526" s="79">
        <f>IF(AND(B526&lt;&gt;"",M526="",I526&lt;&gt;""),IF(L526&lt;&gt;"",L526,IF(H526="",0,H526)),0)</f>
        <v/>
      </c>
      <c r="T526" s="79">
        <f>IF(AND(B526&lt;&gt;"",M526="",I526&lt;&gt;""),1/I526,0)</f>
        <v/>
      </c>
      <c r="U526" s="112">
        <f>IF(AND(B526&lt;&gt;"",M526="",I526&lt;&gt;""),I526,"")</f>
        <v/>
      </c>
      <c r="V526" s="79">
        <f>IF(U526="","",IF(U526&lt;AsOf,1,IF(U526&lt;=AsOf+AlertDays,2,IF(U526&lt;=AsOf+2*AlertDays,3,""))))</f>
        <v/>
      </c>
      <c r="W526" s="79">
        <f>IF(V526="","",IF(O526="OVERDUE","Overdue payment: ","Payment due: ")&amp;B526&amp;" — "&amp;C526&amp;" ("&amp;CurSym&amp;" "&amp;FIXED(S526,0)&amp;")")</f>
        <v/>
      </c>
      <c r="Z526" s="116">
        <f>IF('Contractors'!B526="","",'Contractors'!B526)</f>
        <v/>
      </c>
      <c r="AA526" s="77">
        <f>IF(Z526="","",'Contractors'!K526)</f>
        <v/>
      </c>
      <c r="AB526" s="77">
        <f>IF(Z526="","",SUMIFS($L$6:$L$1005,$B$6:$B$1005,Z526))</f>
        <v/>
      </c>
      <c r="AC526" s="77">
        <f>IF(Z526="","",SUMIFS($N$6:$N$1005,$B$6:$B$1005,Z526))</f>
        <v/>
      </c>
      <c r="AD526" s="76">
        <f>IF(Z526="","",AA526-AC526)</f>
        <v/>
      </c>
      <c r="AE526" s="117">
        <f>IF(Z526="","",IFERROR(1/SUMPRODUCT(MAX(($B$6:$B$1005=Z526)*$T$6:$T$1005)),""))</f>
        <v/>
      </c>
      <c r="AF526" s="77">
        <f>IF(AE526="","",SUMIFS($S$6:$S$1005,$B$6:$B$1005,Z526,$I$6:$I$1005,AE526))</f>
        <v/>
      </c>
    </row>
    <row r="527" ht="20" customHeight="1">
      <c r="B527" s="72" t="n"/>
      <c r="C527" s="72" t="n"/>
      <c r="D527" s="72" t="n"/>
      <c r="E527" s="72" t="n"/>
      <c r="F527" s="110" t="n"/>
      <c r="G527" s="73" t="n"/>
      <c r="H527" s="75">
        <f>IF(B527="","",IF(G527&lt;&gt;"",G527,IF(F527&lt;&gt;"",F527*IFERROR(INDEX('Contractors'!$I$6:$I$1005,MATCH(B527,'Contractors'!$B$6:$B$1005,0)),0),"")))</f>
        <v/>
      </c>
      <c r="I527" s="109" t="n"/>
      <c r="J527" s="72" t="n"/>
      <c r="K527" s="109" t="n"/>
      <c r="L527" s="73" t="n"/>
      <c r="M527" s="109" t="n"/>
      <c r="N527" s="73" t="n"/>
      <c r="O527" s="107">
        <f>IF(B527="","",IF(M527&lt;&gt;"","Paid",IF(AND(I527&lt;&gt;"",I527&lt;AsOf),"OVERDUE",IF(OR(K527&lt;&gt;"",L527&lt;&gt;""),"Invoiced","Scheduled"))))</f>
        <v/>
      </c>
      <c r="P527" s="115">
        <f>IF(B527="","",IF(E527&lt;&gt;"",E527,IFERROR(INDEX('Contractors'!$D$6:$D$1005,MATCH(B527,'Contractors'!$B$6:$B$1005,0)),"")))</f>
        <v/>
      </c>
      <c r="Q527" s="79">
        <f>IF(B527="","",IF(D527&lt;&gt;"",D527,IFERROR(INDEX('Contractors'!$E$6:$E$1005,MATCH(B527,'Contractors'!$B$6:$B$1005,0)),"")))</f>
        <v/>
      </c>
      <c r="R527" s="79">
        <f>IF(O527="","",IF(O527="OVERDUE",2,IF(O527="Paid",0,IF(AND(I527&lt;&gt;"",I527&lt;=AsOf+AlertDays),1,0))))</f>
        <v/>
      </c>
      <c r="S527" s="79">
        <f>IF(AND(B527&lt;&gt;"",M527="",I527&lt;&gt;""),IF(L527&lt;&gt;"",L527,IF(H527="",0,H527)),0)</f>
        <v/>
      </c>
      <c r="T527" s="79">
        <f>IF(AND(B527&lt;&gt;"",M527="",I527&lt;&gt;""),1/I527,0)</f>
        <v/>
      </c>
      <c r="U527" s="112">
        <f>IF(AND(B527&lt;&gt;"",M527="",I527&lt;&gt;""),I527,"")</f>
        <v/>
      </c>
      <c r="V527" s="79">
        <f>IF(U527="","",IF(U527&lt;AsOf,1,IF(U527&lt;=AsOf+AlertDays,2,IF(U527&lt;=AsOf+2*AlertDays,3,""))))</f>
        <v/>
      </c>
      <c r="W527" s="79">
        <f>IF(V527="","",IF(O527="OVERDUE","Overdue payment: ","Payment due: ")&amp;B527&amp;" — "&amp;C527&amp;" ("&amp;CurSym&amp;" "&amp;FIXED(S527,0)&amp;")")</f>
        <v/>
      </c>
      <c r="Z527" s="116">
        <f>IF('Contractors'!B527="","",'Contractors'!B527)</f>
        <v/>
      </c>
      <c r="AA527" s="77">
        <f>IF(Z527="","",'Contractors'!K527)</f>
        <v/>
      </c>
      <c r="AB527" s="77">
        <f>IF(Z527="","",SUMIFS($L$6:$L$1005,$B$6:$B$1005,Z527))</f>
        <v/>
      </c>
      <c r="AC527" s="77">
        <f>IF(Z527="","",SUMIFS($N$6:$N$1005,$B$6:$B$1005,Z527))</f>
        <v/>
      </c>
      <c r="AD527" s="76">
        <f>IF(Z527="","",AA527-AC527)</f>
        <v/>
      </c>
      <c r="AE527" s="117">
        <f>IF(Z527="","",IFERROR(1/SUMPRODUCT(MAX(($B$6:$B$1005=Z527)*$T$6:$T$1005)),""))</f>
        <v/>
      </c>
      <c r="AF527" s="77">
        <f>IF(AE527="","",SUMIFS($S$6:$S$1005,$B$6:$B$1005,Z527,$I$6:$I$1005,AE527))</f>
        <v/>
      </c>
    </row>
    <row r="528" ht="20" customHeight="1">
      <c r="B528" s="72" t="n"/>
      <c r="C528" s="72" t="n"/>
      <c r="D528" s="72" t="n"/>
      <c r="E528" s="72" t="n"/>
      <c r="F528" s="110" t="n"/>
      <c r="G528" s="73" t="n"/>
      <c r="H528" s="75">
        <f>IF(B528="","",IF(G528&lt;&gt;"",G528,IF(F528&lt;&gt;"",F528*IFERROR(INDEX('Contractors'!$I$6:$I$1005,MATCH(B528,'Contractors'!$B$6:$B$1005,0)),0),"")))</f>
        <v/>
      </c>
      <c r="I528" s="109" t="n"/>
      <c r="J528" s="72" t="n"/>
      <c r="K528" s="109" t="n"/>
      <c r="L528" s="73" t="n"/>
      <c r="M528" s="109" t="n"/>
      <c r="N528" s="73" t="n"/>
      <c r="O528" s="107">
        <f>IF(B528="","",IF(M528&lt;&gt;"","Paid",IF(AND(I528&lt;&gt;"",I528&lt;AsOf),"OVERDUE",IF(OR(K528&lt;&gt;"",L528&lt;&gt;""),"Invoiced","Scheduled"))))</f>
        <v/>
      </c>
      <c r="P528" s="115">
        <f>IF(B528="","",IF(E528&lt;&gt;"",E528,IFERROR(INDEX('Contractors'!$D$6:$D$1005,MATCH(B528,'Contractors'!$B$6:$B$1005,0)),"")))</f>
        <v/>
      </c>
      <c r="Q528" s="79">
        <f>IF(B528="","",IF(D528&lt;&gt;"",D528,IFERROR(INDEX('Contractors'!$E$6:$E$1005,MATCH(B528,'Contractors'!$B$6:$B$1005,0)),"")))</f>
        <v/>
      </c>
      <c r="R528" s="79">
        <f>IF(O528="","",IF(O528="OVERDUE",2,IF(O528="Paid",0,IF(AND(I528&lt;&gt;"",I528&lt;=AsOf+AlertDays),1,0))))</f>
        <v/>
      </c>
      <c r="S528" s="79">
        <f>IF(AND(B528&lt;&gt;"",M528="",I528&lt;&gt;""),IF(L528&lt;&gt;"",L528,IF(H528="",0,H528)),0)</f>
        <v/>
      </c>
      <c r="T528" s="79">
        <f>IF(AND(B528&lt;&gt;"",M528="",I528&lt;&gt;""),1/I528,0)</f>
        <v/>
      </c>
      <c r="U528" s="112">
        <f>IF(AND(B528&lt;&gt;"",M528="",I528&lt;&gt;""),I528,"")</f>
        <v/>
      </c>
      <c r="V528" s="79">
        <f>IF(U528="","",IF(U528&lt;AsOf,1,IF(U528&lt;=AsOf+AlertDays,2,IF(U528&lt;=AsOf+2*AlertDays,3,""))))</f>
        <v/>
      </c>
      <c r="W528" s="79">
        <f>IF(V528="","",IF(O528="OVERDUE","Overdue payment: ","Payment due: ")&amp;B528&amp;" — "&amp;C528&amp;" ("&amp;CurSym&amp;" "&amp;FIXED(S528,0)&amp;")")</f>
        <v/>
      </c>
      <c r="Z528" s="116">
        <f>IF('Contractors'!B528="","",'Contractors'!B528)</f>
        <v/>
      </c>
      <c r="AA528" s="77">
        <f>IF(Z528="","",'Contractors'!K528)</f>
        <v/>
      </c>
      <c r="AB528" s="77">
        <f>IF(Z528="","",SUMIFS($L$6:$L$1005,$B$6:$B$1005,Z528))</f>
        <v/>
      </c>
      <c r="AC528" s="77">
        <f>IF(Z528="","",SUMIFS($N$6:$N$1005,$B$6:$B$1005,Z528))</f>
        <v/>
      </c>
      <c r="AD528" s="76">
        <f>IF(Z528="","",AA528-AC528)</f>
        <v/>
      </c>
      <c r="AE528" s="117">
        <f>IF(Z528="","",IFERROR(1/SUMPRODUCT(MAX(($B$6:$B$1005=Z528)*$T$6:$T$1005)),""))</f>
        <v/>
      </c>
      <c r="AF528" s="77">
        <f>IF(AE528="","",SUMIFS($S$6:$S$1005,$B$6:$B$1005,Z528,$I$6:$I$1005,AE528))</f>
        <v/>
      </c>
    </row>
    <row r="529" ht="20" customHeight="1">
      <c r="B529" s="72" t="n"/>
      <c r="C529" s="72" t="n"/>
      <c r="D529" s="72" t="n"/>
      <c r="E529" s="72" t="n"/>
      <c r="F529" s="110" t="n"/>
      <c r="G529" s="73" t="n"/>
      <c r="H529" s="75">
        <f>IF(B529="","",IF(G529&lt;&gt;"",G529,IF(F529&lt;&gt;"",F529*IFERROR(INDEX('Contractors'!$I$6:$I$1005,MATCH(B529,'Contractors'!$B$6:$B$1005,0)),0),"")))</f>
        <v/>
      </c>
      <c r="I529" s="109" t="n"/>
      <c r="J529" s="72" t="n"/>
      <c r="K529" s="109" t="n"/>
      <c r="L529" s="73" t="n"/>
      <c r="M529" s="109" t="n"/>
      <c r="N529" s="73" t="n"/>
      <c r="O529" s="107">
        <f>IF(B529="","",IF(M529&lt;&gt;"","Paid",IF(AND(I529&lt;&gt;"",I529&lt;AsOf),"OVERDUE",IF(OR(K529&lt;&gt;"",L529&lt;&gt;""),"Invoiced","Scheduled"))))</f>
        <v/>
      </c>
      <c r="P529" s="115">
        <f>IF(B529="","",IF(E529&lt;&gt;"",E529,IFERROR(INDEX('Contractors'!$D$6:$D$1005,MATCH(B529,'Contractors'!$B$6:$B$1005,0)),"")))</f>
        <v/>
      </c>
      <c r="Q529" s="79">
        <f>IF(B529="","",IF(D529&lt;&gt;"",D529,IFERROR(INDEX('Contractors'!$E$6:$E$1005,MATCH(B529,'Contractors'!$B$6:$B$1005,0)),"")))</f>
        <v/>
      </c>
      <c r="R529" s="79">
        <f>IF(O529="","",IF(O529="OVERDUE",2,IF(O529="Paid",0,IF(AND(I529&lt;&gt;"",I529&lt;=AsOf+AlertDays),1,0))))</f>
        <v/>
      </c>
      <c r="S529" s="79">
        <f>IF(AND(B529&lt;&gt;"",M529="",I529&lt;&gt;""),IF(L529&lt;&gt;"",L529,IF(H529="",0,H529)),0)</f>
        <v/>
      </c>
      <c r="T529" s="79">
        <f>IF(AND(B529&lt;&gt;"",M529="",I529&lt;&gt;""),1/I529,0)</f>
        <v/>
      </c>
      <c r="U529" s="112">
        <f>IF(AND(B529&lt;&gt;"",M529="",I529&lt;&gt;""),I529,"")</f>
        <v/>
      </c>
      <c r="V529" s="79">
        <f>IF(U529="","",IF(U529&lt;AsOf,1,IF(U529&lt;=AsOf+AlertDays,2,IF(U529&lt;=AsOf+2*AlertDays,3,""))))</f>
        <v/>
      </c>
      <c r="W529" s="79">
        <f>IF(V529="","",IF(O529="OVERDUE","Overdue payment: ","Payment due: ")&amp;B529&amp;" — "&amp;C529&amp;" ("&amp;CurSym&amp;" "&amp;FIXED(S529,0)&amp;")")</f>
        <v/>
      </c>
      <c r="Z529" s="116">
        <f>IF('Contractors'!B529="","",'Contractors'!B529)</f>
        <v/>
      </c>
      <c r="AA529" s="77">
        <f>IF(Z529="","",'Contractors'!K529)</f>
        <v/>
      </c>
      <c r="AB529" s="77">
        <f>IF(Z529="","",SUMIFS($L$6:$L$1005,$B$6:$B$1005,Z529))</f>
        <v/>
      </c>
      <c r="AC529" s="77">
        <f>IF(Z529="","",SUMIFS($N$6:$N$1005,$B$6:$B$1005,Z529))</f>
        <v/>
      </c>
      <c r="AD529" s="76">
        <f>IF(Z529="","",AA529-AC529)</f>
        <v/>
      </c>
      <c r="AE529" s="117">
        <f>IF(Z529="","",IFERROR(1/SUMPRODUCT(MAX(($B$6:$B$1005=Z529)*$T$6:$T$1005)),""))</f>
        <v/>
      </c>
      <c r="AF529" s="77">
        <f>IF(AE529="","",SUMIFS($S$6:$S$1005,$B$6:$B$1005,Z529,$I$6:$I$1005,AE529))</f>
        <v/>
      </c>
    </row>
    <row r="530" ht="20" customHeight="1">
      <c r="B530" s="72" t="n"/>
      <c r="C530" s="72" t="n"/>
      <c r="D530" s="72" t="n"/>
      <c r="E530" s="72" t="n"/>
      <c r="F530" s="110" t="n"/>
      <c r="G530" s="73" t="n"/>
      <c r="H530" s="75">
        <f>IF(B530="","",IF(G530&lt;&gt;"",G530,IF(F530&lt;&gt;"",F530*IFERROR(INDEX('Contractors'!$I$6:$I$1005,MATCH(B530,'Contractors'!$B$6:$B$1005,0)),0),"")))</f>
        <v/>
      </c>
      <c r="I530" s="109" t="n"/>
      <c r="J530" s="72" t="n"/>
      <c r="K530" s="109" t="n"/>
      <c r="L530" s="73" t="n"/>
      <c r="M530" s="109" t="n"/>
      <c r="N530" s="73" t="n"/>
      <c r="O530" s="107">
        <f>IF(B530="","",IF(M530&lt;&gt;"","Paid",IF(AND(I530&lt;&gt;"",I530&lt;AsOf),"OVERDUE",IF(OR(K530&lt;&gt;"",L530&lt;&gt;""),"Invoiced","Scheduled"))))</f>
        <v/>
      </c>
      <c r="P530" s="115">
        <f>IF(B530="","",IF(E530&lt;&gt;"",E530,IFERROR(INDEX('Contractors'!$D$6:$D$1005,MATCH(B530,'Contractors'!$B$6:$B$1005,0)),"")))</f>
        <v/>
      </c>
      <c r="Q530" s="79">
        <f>IF(B530="","",IF(D530&lt;&gt;"",D530,IFERROR(INDEX('Contractors'!$E$6:$E$1005,MATCH(B530,'Contractors'!$B$6:$B$1005,0)),"")))</f>
        <v/>
      </c>
      <c r="R530" s="79">
        <f>IF(O530="","",IF(O530="OVERDUE",2,IF(O530="Paid",0,IF(AND(I530&lt;&gt;"",I530&lt;=AsOf+AlertDays),1,0))))</f>
        <v/>
      </c>
      <c r="S530" s="79">
        <f>IF(AND(B530&lt;&gt;"",M530="",I530&lt;&gt;""),IF(L530&lt;&gt;"",L530,IF(H530="",0,H530)),0)</f>
        <v/>
      </c>
      <c r="T530" s="79">
        <f>IF(AND(B530&lt;&gt;"",M530="",I530&lt;&gt;""),1/I530,0)</f>
        <v/>
      </c>
      <c r="U530" s="112">
        <f>IF(AND(B530&lt;&gt;"",M530="",I530&lt;&gt;""),I530,"")</f>
        <v/>
      </c>
      <c r="V530" s="79">
        <f>IF(U530="","",IF(U530&lt;AsOf,1,IF(U530&lt;=AsOf+AlertDays,2,IF(U530&lt;=AsOf+2*AlertDays,3,""))))</f>
        <v/>
      </c>
      <c r="W530" s="79">
        <f>IF(V530="","",IF(O530="OVERDUE","Overdue payment: ","Payment due: ")&amp;B530&amp;" — "&amp;C530&amp;" ("&amp;CurSym&amp;" "&amp;FIXED(S530,0)&amp;")")</f>
        <v/>
      </c>
      <c r="Z530" s="116">
        <f>IF('Contractors'!B530="","",'Contractors'!B530)</f>
        <v/>
      </c>
      <c r="AA530" s="77">
        <f>IF(Z530="","",'Contractors'!K530)</f>
        <v/>
      </c>
      <c r="AB530" s="77">
        <f>IF(Z530="","",SUMIFS($L$6:$L$1005,$B$6:$B$1005,Z530))</f>
        <v/>
      </c>
      <c r="AC530" s="77">
        <f>IF(Z530="","",SUMIFS($N$6:$N$1005,$B$6:$B$1005,Z530))</f>
        <v/>
      </c>
      <c r="AD530" s="76">
        <f>IF(Z530="","",AA530-AC530)</f>
        <v/>
      </c>
      <c r="AE530" s="117">
        <f>IF(Z530="","",IFERROR(1/SUMPRODUCT(MAX(($B$6:$B$1005=Z530)*$T$6:$T$1005)),""))</f>
        <v/>
      </c>
      <c r="AF530" s="77">
        <f>IF(AE530="","",SUMIFS($S$6:$S$1005,$B$6:$B$1005,Z530,$I$6:$I$1005,AE530))</f>
        <v/>
      </c>
    </row>
    <row r="531" ht="20" customHeight="1">
      <c r="B531" s="72" t="n"/>
      <c r="C531" s="72" t="n"/>
      <c r="D531" s="72" t="n"/>
      <c r="E531" s="72" t="n"/>
      <c r="F531" s="110" t="n"/>
      <c r="G531" s="73" t="n"/>
      <c r="H531" s="75">
        <f>IF(B531="","",IF(G531&lt;&gt;"",G531,IF(F531&lt;&gt;"",F531*IFERROR(INDEX('Contractors'!$I$6:$I$1005,MATCH(B531,'Contractors'!$B$6:$B$1005,0)),0),"")))</f>
        <v/>
      </c>
      <c r="I531" s="109" t="n"/>
      <c r="J531" s="72" t="n"/>
      <c r="K531" s="109" t="n"/>
      <c r="L531" s="73" t="n"/>
      <c r="M531" s="109" t="n"/>
      <c r="N531" s="73" t="n"/>
      <c r="O531" s="107">
        <f>IF(B531="","",IF(M531&lt;&gt;"","Paid",IF(AND(I531&lt;&gt;"",I531&lt;AsOf),"OVERDUE",IF(OR(K531&lt;&gt;"",L531&lt;&gt;""),"Invoiced","Scheduled"))))</f>
        <v/>
      </c>
      <c r="P531" s="115">
        <f>IF(B531="","",IF(E531&lt;&gt;"",E531,IFERROR(INDEX('Contractors'!$D$6:$D$1005,MATCH(B531,'Contractors'!$B$6:$B$1005,0)),"")))</f>
        <v/>
      </c>
      <c r="Q531" s="79">
        <f>IF(B531="","",IF(D531&lt;&gt;"",D531,IFERROR(INDEX('Contractors'!$E$6:$E$1005,MATCH(B531,'Contractors'!$B$6:$B$1005,0)),"")))</f>
        <v/>
      </c>
      <c r="R531" s="79">
        <f>IF(O531="","",IF(O531="OVERDUE",2,IF(O531="Paid",0,IF(AND(I531&lt;&gt;"",I531&lt;=AsOf+AlertDays),1,0))))</f>
        <v/>
      </c>
      <c r="S531" s="79">
        <f>IF(AND(B531&lt;&gt;"",M531="",I531&lt;&gt;""),IF(L531&lt;&gt;"",L531,IF(H531="",0,H531)),0)</f>
        <v/>
      </c>
      <c r="T531" s="79">
        <f>IF(AND(B531&lt;&gt;"",M531="",I531&lt;&gt;""),1/I531,0)</f>
        <v/>
      </c>
      <c r="U531" s="112">
        <f>IF(AND(B531&lt;&gt;"",M531="",I531&lt;&gt;""),I531,"")</f>
        <v/>
      </c>
      <c r="V531" s="79">
        <f>IF(U531="","",IF(U531&lt;AsOf,1,IF(U531&lt;=AsOf+AlertDays,2,IF(U531&lt;=AsOf+2*AlertDays,3,""))))</f>
        <v/>
      </c>
      <c r="W531" s="79">
        <f>IF(V531="","",IF(O531="OVERDUE","Overdue payment: ","Payment due: ")&amp;B531&amp;" — "&amp;C531&amp;" ("&amp;CurSym&amp;" "&amp;FIXED(S531,0)&amp;")")</f>
        <v/>
      </c>
      <c r="Z531" s="116">
        <f>IF('Contractors'!B531="","",'Contractors'!B531)</f>
        <v/>
      </c>
      <c r="AA531" s="77">
        <f>IF(Z531="","",'Contractors'!K531)</f>
        <v/>
      </c>
      <c r="AB531" s="77">
        <f>IF(Z531="","",SUMIFS($L$6:$L$1005,$B$6:$B$1005,Z531))</f>
        <v/>
      </c>
      <c r="AC531" s="77">
        <f>IF(Z531="","",SUMIFS($N$6:$N$1005,$B$6:$B$1005,Z531))</f>
        <v/>
      </c>
      <c r="AD531" s="76">
        <f>IF(Z531="","",AA531-AC531)</f>
        <v/>
      </c>
      <c r="AE531" s="117">
        <f>IF(Z531="","",IFERROR(1/SUMPRODUCT(MAX(($B$6:$B$1005=Z531)*$T$6:$T$1005)),""))</f>
        <v/>
      </c>
      <c r="AF531" s="77">
        <f>IF(AE531="","",SUMIFS($S$6:$S$1005,$B$6:$B$1005,Z531,$I$6:$I$1005,AE531))</f>
        <v/>
      </c>
    </row>
    <row r="532" ht="20" customHeight="1">
      <c r="B532" s="72" t="n"/>
      <c r="C532" s="72" t="n"/>
      <c r="D532" s="72" t="n"/>
      <c r="E532" s="72" t="n"/>
      <c r="F532" s="110" t="n"/>
      <c r="G532" s="73" t="n"/>
      <c r="H532" s="75">
        <f>IF(B532="","",IF(G532&lt;&gt;"",G532,IF(F532&lt;&gt;"",F532*IFERROR(INDEX('Contractors'!$I$6:$I$1005,MATCH(B532,'Contractors'!$B$6:$B$1005,0)),0),"")))</f>
        <v/>
      </c>
      <c r="I532" s="109" t="n"/>
      <c r="J532" s="72" t="n"/>
      <c r="K532" s="109" t="n"/>
      <c r="L532" s="73" t="n"/>
      <c r="M532" s="109" t="n"/>
      <c r="N532" s="73" t="n"/>
      <c r="O532" s="107">
        <f>IF(B532="","",IF(M532&lt;&gt;"","Paid",IF(AND(I532&lt;&gt;"",I532&lt;AsOf),"OVERDUE",IF(OR(K532&lt;&gt;"",L532&lt;&gt;""),"Invoiced","Scheduled"))))</f>
        <v/>
      </c>
      <c r="P532" s="115">
        <f>IF(B532="","",IF(E532&lt;&gt;"",E532,IFERROR(INDEX('Contractors'!$D$6:$D$1005,MATCH(B532,'Contractors'!$B$6:$B$1005,0)),"")))</f>
        <v/>
      </c>
      <c r="Q532" s="79">
        <f>IF(B532="","",IF(D532&lt;&gt;"",D532,IFERROR(INDEX('Contractors'!$E$6:$E$1005,MATCH(B532,'Contractors'!$B$6:$B$1005,0)),"")))</f>
        <v/>
      </c>
      <c r="R532" s="79">
        <f>IF(O532="","",IF(O532="OVERDUE",2,IF(O532="Paid",0,IF(AND(I532&lt;&gt;"",I532&lt;=AsOf+AlertDays),1,0))))</f>
        <v/>
      </c>
      <c r="S532" s="79">
        <f>IF(AND(B532&lt;&gt;"",M532="",I532&lt;&gt;""),IF(L532&lt;&gt;"",L532,IF(H532="",0,H532)),0)</f>
        <v/>
      </c>
      <c r="T532" s="79">
        <f>IF(AND(B532&lt;&gt;"",M532="",I532&lt;&gt;""),1/I532,0)</f>
        <v/>
      </c>
      <c r="U532" s="112">
        <f>IF(AND(B532&lt;&gt;"",M532="",I532&lt;&gt;""),I532,"")</f>
        <v/>
      </c>
      <c r="V532" s="79">
        <f>IF(U532="","",IF(U532&lt;AsOf,1,IF(U532&lt;=AsOf+AlertDays,2,IF(U532&lt;=AsOf+2*AlertDays,3,""))))</f>
        <v/>
      </c>
      <c r="W532" s="79">
        <f>IF(V532="","",IF(O532="OVERDUE","Overdue payment: ","Payment due: ")&amp;B532&amp;" — "&amp;C532&amp;" ("&amp;CurSym&amp;" "&amp;FIXED(S532,0)&amp;")")</f>
        <v/>
      </c>
      <c r="Z532" s="116">
        <f>IF('Contractors'!B532="","",'Contractors'!B532)</f>
        <v/>
      </c>
      <c r="AA532" s="77">
        <f>IF(Z532="","",'Contractors'!K532)</f>
        <v/>
      </c>
      <c r="AB532" s="77">
        <f>IF(Z532="","",SUMIFS($L$6:$L$1005,$B$6:$B$1005,Z532))</f>
        <v/>
      </c>
      <c r="AC532" s="77">
        <f>IF(Z532="","",SUMIFS($N$6:$N$1005,$B$6:$B$1005,Z532))</f>
        <v/>
      </c>
      <c r="AD532" s="76">
        <f>IF(Z532="","",AA532-AC532)</f>
        <v/>
      </c>
      <c r="AE532" s="117">
        <f>IF(Z532="","",IFERROR(1/SUMPRODUCT(MAX(($B$6:$B$1005=Z532)*$T$6:$T$1005)),""))</f>
        <v/>
      </c>
      <c r="AF532" s="77">
        <f>IF(AE532="","",SUMIFS($S$6:$S$1005,$B$6:$B$1005,Z532,$I$6:$I$1005,AE532))</f>
        <v/>
      </c>
    </row>
    <row r="533" ht="20" customHeight="1">
      <c r="B533" s="72" t="n"/>
      <c r="C533" s="72" t="n"/>
      <c r="D533" s="72" t="n"/>
      <c r="E533" s="72" t="n"/>
      <c r="F533" s="110" t="n"/>
      <c r="G533" s="73" t="n"/>
      <c r="H533" s="75">
        <f>IF(B533="","",IF(G533&lt;&gt;"",G533,IF(F533&lt;&gt;"",F533*IFERROR(INDEX('Contractors'!$I$6:$I$1005,MATCH(B533,'Contractors'!$B$6:$B$1005,0)),0),"")))</f>
        <v/>
      </c>
      <c r="I533" s="109" t="n"/>
      <c r="J533" s="72" t="n"/>
      <c r="K533" s="109" t="n"/>
      <c r="L533" s="73" t="n"/>
      <c r="M533" s="109" t="n"/>
      <c r="N533" s="73" t="n"/>
      <c r="O533" s="107">
        <f>IF(B533="","",IF(M533&lt;&gt;"","Paid",IF(AND(I533&lt;&gt;"",I533&lt;AsOf),"OVERDUE",IF(OR(K533&lt;&gt;"",L533&lt;&gt;""),"Invoiced","Scheduled"))))</f>
        <v/>
      </c>
      <c r="P533" s="115">
        <f>IF(B533="","",IF(E533&lt;&gt;"",E533,IFERROR(INDEX('Contractors'!$D$6:$D$1005,MATCH(B533,'Contractors'!$B$6:$B$1005,0)),"")))</f>
        <v/>
      </c>
      <c r="Q533" s="79">
        <f>IF(B533="","",IF(D533&lt;&gt;"",D533,IFERROR(INDEX('Contractors'!$E$6:$E$1005,MATCH(B533,'Contractors'!$B$6:$B$1005,0)),"")))</f>
        <v/>
      </c>
      <c r="R533" s="79">
        <f>IF(O533="","",IF(O533="OVERDUE",2,IF(O533="Paid",0,IF(AND(I533&lt;&gt;"",I533&lt;=AsOf+AlertDays),1,0))))</f>
        <v/>
      </c>
      <c r="S533" s="79">
        <f>IF(AND(B533&lt;&gt;"",M533="",I533&lt;&gt;""),IF(L533&lt;&gt;"",L533,IF(H533="",0,H533)),0)</f>
        <v/>
      </c>
      <c r="T533" s="79">
        <f>IF(AND(B533&lt;&gt;"",M533="",I533&lt;&gt;""),1/I533,0)</f>
        <v/>
      </c>
      <c r="U533" s="112">
        <f>IF(AND(B533&lt;&gt;"",M533="",I533&lt;&gt;""),I533,"")</f>
        <v/>
      </c>
      <c r="V533" s="79">
        <f>IF(U533="","",IF(U533&lt;AsOf,1,IF(U533&lt;=AsOf+AlertDays,2,IF(U533&lt;=AsOf+2*AlertDays,3,""))))</f>
        <v/>
      </c>
      <c r="W533" s="79">
        <f>IF(V533="","",IF(O533="OVERDUE","Overdue payment: ","Payment due: ")&amp;B533&amp;" — "&amp;C533&amp;" ("&amp;CurSym&amp;" "&amp;FIXED(S533,0)&amp;")")</f>
        <v/>
      </c>
      <c r="Z533" s="116">
        <f>IF('Contractors'!B533="","",'Contractors'!B533)</f>
        <v/>
      </c>
      <c r="AA533" s="77">
        <f>IF(Z533="","",'Contractors'!K533)</f>
        <v/>
      </c>
      <c r="AB533" s="77">
        <f>IF(Z533="","",SUMIFS($L$6:$L$1005,$B$6:$B$1005,Z533))</f>
        <v/>
      </c>
      <c r="AC533" s="77">
        <f>IF(Z533="","",SUMIFS($N$6:$N$1005,$B$6:$B$1005,Z533))</f>
        <v/>
      </c>
      <c r="AD533" s="76">
        <f>IF(Z533="","",AA533-AC533)</f>
        <v/>
      </c>
      <c r="AE533" s="117">
        <f>IF(Z533="","",IFERROR(1/SUMPRODUCT(MAX(($B$6:$B$1005=Z533)*$T$6:$T$1005)),""))</f>
        <v/>
      </c>
      <c r="AF533" s="77">
        <f>IF(AE533="","",SUMIFS($S$6:$S$1005,$B$6:$B$1005,Z533,$I$6:$I$1005,AE533))</f>
        <v/>
      </c>
    </row>
    <row r="534" ht="20" customHeight="1">
      <c r="B534" s="72" t="n"/>
      <c r="C534" s="72" t="n"/>
      <c r="D534" s="72" t="n"/>
      <c r="E534" s="72" t="n"/>
      <c r="F534" s="110" t="n"/>
      <c r="G534" s="73" t="n"/>
      <c r="H534" s="75">
        <f>IF(B534="","",IF(G534&lt;&gt;"",G534,IF(F534&lt;&gt;"",F534*IFERROR(INDEX('Contractors'!$I$6:$I$1005,MATCH(B534,'Contractors'!$B$6:$B$1005,0)),0),"")))</f>
        <v/>
      </c>
      <c r="I534" s="109" t="n"/>
      <c r="J534" s="72" t="n"/>
      <c r="K534" s="109" t="n"/>
      <c r="L534" s="73" t="n"/>
      <c r="M534" s="109" t="n"/>
      <c r="N534" s="73" t="n"/>
      <c r="O534" s="107">
        <f>IF(B534="","",IF(M534&lt;&gt;"","Paid",IF(AND(I534&lt;&gt;"",I534&lt;AsOf),"OVERDUE",IF(OR(K534&lt;&gt;"",L534&lt;&gt;""),"Invoiced","Scheduled"))))</f>
        <v/>
      </c>
      <c r="P534" s="115">
        <f>IF(B534="","",IF(E534&lt;&gt;"",E534,IFERROR(INDEX('Contractors'!$D$6:$D$1005,MATCH(B534,'Contractors'!$B$6:$B$1005,0)),"")))</f>
        <v/>
      </c>
      <c r="Q534" s="79">
        <f>IF(B534="","",IF(D534&lt;&gt;"",D534,IFERROR(INDEX('Contractors'!$E$6:$E$1005,MATCH(B534,'Contractors'!$B$6:$B$1005,0)),"")))</f>
        <v/>
      </c>
      <c r="R534" s="79">
        <f>IF(O534="","",IF(O534="OVERDUE",2,IF(O534="Paid",0,IF(AND(I534&lt;&gt;"",I534&lt;=AsOf+AlertDays),1,0))))</f>
        <v/>
      </c>
      <c r="S534" s="79">
        <f>IF(AND(B534&lt;&gt;"",M534="",I534&lt;&gt;""),IF(L534&lt;&gt;"",L534,IF(H534="",0,H534)),0)</f>
        <v/>
      </c>
      <c r="T534" s="79">
        <f>IF(AND(B534&lt;&gt;"",M534="",I534&lt;&gt;""),1/I534,0)</f>
        <v/>
      </c>
      <c r="U534" s="112">
        <f>IF(AND(B534&lt;&gt;"",M534="",I534&lt;&gt;""),I534,"")</f>
        <v/>
      </c>
      <c r="V534" s="79">
        <f>IF(U534="","",IF(U534&lt;AsOf,1,IF(U534&lt;=AsOf+AlertDays,2,IF(U534&lt;=AsOf+2*AlertDays,3,""))))</f>
        <v/>
      </c>
      <c r="W534" s="79">
        <f>IF(V534="","",IF(O534="OVERDUE","Overdue payment: ","Payment due: ")&amp;B534&amp;" — "&amp;C534&amp;" ("&amp;CurSym&amp;" "&amp;FIXED(S534,0)&amp;")")</f>
        <v/>
      </c>
      <c r="Z534" s="116">
        <f>IF('Contractors'!B534="","",'Contractors'!B534)</f>
        <v/>
      </c>
      <c r="AA534" s="77">
        <f>IF(Z534="","",'Contractors'!K534)</f>
        <v/>
      </c>
      <c r="AB534" s="77">
        <f>IF(Z534="","",SUMIFS($L$6:$L$1005,$B$6:$B$1005,Z534))</f>
        <v/>
      </c>
      <c r="AC534" s="77">
        <f>IF(Z534="","",SUMIFS($N$6:$N$1005,$B$6:$B$1005,Z534))</f>
        <v/>
      </c>
      <c r="AD534" s="76">
        <f>IF(Z534="","",AA534-AC534)</f>
        <v/>
      </c>
      <c r="AE534" s="117">
        <f>IF(Z534="","",IFERROR(1/SUMPRODUCT(MAX(($B$6:$B$1005=Z534)*$T$6:$T$1005)),""))</f>
        <v/>
      </c>
      <c r="AF534" s="77">
        <f>IF(AE534="","",SUMIFS($S$6:$S$1005,$B$6:$B$1005,Z534,$I$6:$I$1005,AE534))</f>
        <v/>
      </c>
    </row>
    <row r="535" ht="20" customHeight="1">
      <c r="B535" s="72" t="n"/>
      <c r="C535" s="72" t="n"/>
      <c r="D535" s="72" t="n"/>
      <c r="E535" s="72" t="n"/>
      <c r="F535" s="110" t="n"/>
      <c r="G535" s="73" t="n"/>
      <c r="H535" s="75">
        <f>IF(B535="","",IF(G535&lt;&gt;"",G535,IF(F535&lt;&gt;"",F535*IFERROR(INDEX('Contractors'!$I$6:$I$1005,MATCH(B535,'Contractors'!$B$6:$B$1005,0)),0),"")))</f>
        <v/>
      </c>
      <c r="I535" s="109" t="n"/>
      <c r="J535" s="72" t="n"/>
      <c r="K535" s="109" t="n"/>
      <c r="L535" s="73" t="n"/>
      <c r="M535" s="109" t="n"/>
      <c r="N535" s="73" t="n"/>
      <c r="O535" s="107">
        <f>IF(B535="","",IF(M535&lt;&gt;"","Paid",IF(AND(I535&lt;&gt;"",I535&lt;AsOf),"OVERDUE",IF(OR(K535&lt;&gt;"",L535&lt;&gt;""),"Invoiced","Scheduled"))))</f>
        <v/>
      </c>
      <c r="P535" s="115">
        <f>IF(B535="","",IF(E535&lt;&gt;"",E535,IFERROR(INDEX('Contractors'!$D$6:$D$1005,MATCH(B535,'Contractors'!$B$6:$B$1005,0)),"")))</f>
        <v/>
      </c>
      <c r="Q535" s="79">
        <f>IF(B535="","",IF(D535&lt;&gt;"",D535,IFERROR(INDEX('Contractors'!$E$6:$E$1005,MATCH(B535,'Contractors'!$B$6:$B$1005,0)),"")))</f>
        <v/>
      </c>
      <c r="R535" s="79">
        <f>IF(O535="","",IF(O535="OVERDUE",2,IF(O535="Paid",0,IF(AND(I535&lt;&gt;"",I535&lt;=AsOf+AlertDays),1,0))))</f>
        <v/>
      </c>
      <c r="S535" s="79">
        <f>IF(AND(B535&lt;&gt;"",M535="",I535&lt;&gt;""),IF(L535&lt;&gt;"",L535,IF(H535="",0,H535)),0)</f>
        <v/>
      </c>
      <c r="T535" s="79">
        <f>IF(AND(B535&lt;&gt;"",M535="",I535&lt;&gt;""),1/I535,0)</f>
        <v/>
      </c>
      <c r="U535" s="112">
        <f>IF(AND(B535&lt;&gt;"",M535="",I535&lt;&gt;""),I535,"")</f>
        <v/>
      </c>
      <c r="V535" s="79">
        <f>IF(U535="","",IF(U535&lt;AsOf,1,IF(U535&lt;=AsOf+AlertDays,2,IF(U535&lt;=AsOf+2*AlertDays,3,""))))</f>
        <v/>
      </c>
      <c r="W535" s="79">
        <f>IF(V535="","",IF(O535="OVERDUE","Overdue payment: ","Payment due: ")&amp;B535&amp;" — "&amp;C535&amp;" ("&amp;CurSym&amp;" "&amp;FIXED(S535,0)&amp;")")</f>
        <v/>
      </c>
      <c r="Z535" s="116">
        <f>IF('Contractors'!B535="","",'Contractors'!B535)</f>
        <v/>
      </c>
      <c r="AA535" s="77">
        <f>IF(Z535="","",'Contractors'!K535)</f>
        <v/>
      </c>
      <c r="AB535" s="77">
        <f>IF(Z535="","",SUMIFS($L$6:$L$1005,$B$6:$B$1005,Z535))</f>
        <v/>
      </c>
      <c r="AC535" s="77">
        <f>IF(Z535="","",SUMIFS($N$6:$N$1005,$B$6:$B$1005,Z535))</f>
        <v/>
      </c>
      <c r="AD535" s="76">
        <f>IF(Z535="","",AA535-AC535)</f>
        <v/>
      </c>
      <c r="AE535" s="117">
        <f>IF(Z535="","",IFERROR(1/SUMPRODUCT(MAX(($B$6:$B$1005=Z535)*$T$6:$T$1005)),""))</f>
        <v/>
      </c>
      <c r="AF535" s="77">
        <f>IF(AE535="","",SUMIFS($S$6:$S$1005,$B$6:$B$1005,Z535,$I$6:$I$1005,AE535))</f>
        <v/>
      </c>
    </row>
    <row r="536" ht="20" customHeight="1">
      <c r="B536" s="72" t="n"/>
      <c r="C536" s="72" t="n"/>
      <c r="D536" s="72" t="n"/>
      <c r="E536" s="72" t="n"/>
      <c r="F536" s="110" t="n"/>
      <c r="G536" s="73" t="n"/>
      <c r="H536" s="75">
        <f>IF(B536="","",IF(G536&lt;&gt;"",G536,IF(F536&lt;&gt;"",F536*IFERROR(INDEX('Contractors'!$I$6:$I$1005,MATCH(B536,'Contractors'!$B$6:$B$1005,0)),0),"")))</f>
        <v/>
      </c>
      <c r="I536" s="109" t="n"/>
      <c r="J536" s="72" t="n"/>
      <c r="K536" s="109" t="n"/>
      <c r="L536" s="73" t="n"/>
      <c r="M536" s="109" t="n"/>
      <c r="N536" s="73" t="n"/>
      <c r="O536" s="107">
        <f>IF(B536="","",IF(M536&lt;&gt;"","Paid",IF(AND(I536&lt;&gt;"",I536&lt;AsOf),"OVERDUE",IF(OR(K536&lt;&gt;"",L536&lt;&gt;""),"Invoiced","Scheduled"))))</f>
        <v/>
      </c>
      <c r="P536" s="115">
        <f>IF(B536="","",IF(E536&lt;&gt;"",E536,IFERROR(INDEX('Contractors'!$D$6:$D$1005,MATCH(B536,'Contractors'!$B$6:$B$1005,0)),"")))</f>
        <v/>
      </c>
      <c r="Q536" s="79">
        <f>IF(B536="","",IF(D536&lt;&gt;"",D536,IFERROR(INDEX('Contractors'!$E$6:$E$1005,MATCH(B536,'Contractors'!$B$6:$B$1005,0)),"")))</f>
        <v/>
      </c>
      <c r="R536" s="79">
        <f>IF(O536="","",IF(O536="OVERDUE",2,IF(O536="Paid",0,IF(AND(I536&lt;&gt;"",I536&lt;=AsOf+AlertDays),1,0))))</f>
        <v/>
      </c>
      <c r="S536" s="79">
        <f>IF(AND(B536&lt;&gt;"",M536="",I536&lt;&gt;""),IF(L536&lt;&gt;"",L536,IF(H536="",0,H536)),0)</f>
        <v/>
      </c>
      <c r="T536" s="79">
        <f>IF(AND(B536&lt;&gt;"",M536="",I536&lt;&gt;""),1/I536,0)</f>
        <v/>
      </c>
      <c r="U536" s="112">
        <f>IF(AND(B536&lt;&gt;"",M536="",I536&lt;&gt;""),I536,"")</f>
        <v/>
      </c>
      <c r="V536" s="79">
        <f>IF(U536="","",IF(U536&lt;AsOf,1,IF(U536&lt;=AsOf+AlertDays,2,IF(U536&lt;=AsOf+2*AlertDays,3,""))))</f>
        <v/>
      </c>
      <c r="W536" s="79">
        <f>IF(V536="","",IF(O536="OVERDUE","Overdue payment: ","Payment due: ")&amp;B536&amp;" — "&amp;C536&amp;" ("&amp;CurSym&amp;" "&amp;FIXED(S536,0)&amp;")")</f>
        <v/>
      </c>
      <c r="Z536" s="116">
        <f>IF('Contractors'!B536="","",'Contractors'!B536)</f>
        <v/>
      </c>
      <c r="AA536" s="77">
        <f>IF(Z536="","",'Contractors'!K536)</f>
        <v/>
      </c>
      <c r="AB536" s="77">
        <f>IF(Z536="","",SUMIFS($L$6:$L$1005,$B$6:$B$1005,Z536))</f>
        <v/>
      </c>
      <c r="AC536" s="77">
        <f>IF(Z536="","",SUMIFS($N$6:$N$1005,$B$6:$B$1005,Z536))</f>
        <v/>
      </c>
      <c r="AD536" s="76">
        <f>IF(Z536="","",AA536-AC536)</f>
        <v/>
      </c>
      <c r="AE536" s="117">
        <f>IF(Z536="","",IFERROR(1/SUMPRODUCT(MAX(($B$6:$B$1005=Z536)*$T$6:$T$1005)),""))</f>
        <v/>
      </c>
      <c r="AF536" s="77">
        <f>IF(AE536="","",SUMIFS($S$6:$S$1005,$B$6:$B$1005,Z536,$I$6:$I$1005,AE536))</f>
        <v/>
      </c>
    </row>
    <row r="537" ht="20" customHeight="1">
      <c r="B537" s="72" t="n"/>
      <c r="C537" s="72" t="n"/>
      <c r="D537" s="72" t="n"/>
      <c r="E537" s="72" t="n"/>
      <c r="F537" s="110" t="n"/>
      <c r="G537" s="73" t="n"/>
      <c r="H537" s="75">
        <f>IF(B537="","",IF(G537&lt;&gt;"",G537,IF(F537&lt;&gt;"",F537*IFERROR(INDEX('Contractors'!$I$6:$I$1005,MATCH(B537,'Contractors'!$B$6:$B$1005,0)),0),"")))</f>
        <v/>
      </c>
      <c r="I537" s="109" t="n"/>
      <c r="J537" s="72" t="n"/>
      <c r="K537" s="109" t="n"/>
      <c r="L537" s="73" t="n"/>
      <c r="M537" s="109" t="n"/>
      <c r="N537" s="73" t="n"/>
      <c r="O537" s="107">
        <f>IF(B537="","",IF(M537&lt;&gt;"","Paid",IF(AND(I537&lt;&gt;"",I537&lt;AsOf),"OVERDUE",IF(OR(K537&lt;&gt;"",L537&lt;&gt;""),"Invoiced","Scheduled"))))</f>
        <v/>
      </c>
      <c r="P537" s="115">
        <f>IF(B537="","",IF(E537&lt;&gt;"",E537,IFERROR(INDEX('Contractors'!$D$6:$D$1005,MATCH(B537,'Contractors'!$B$6:$B$1005,0)),"")))</f>
        <v/>
      </c>
      <c r="Q537" s="79">
        <f>IF(B537="","",IF(D537&lt;&gt;"",D537,IFERROR(INDEX('Contractors'!$E$6:$E$1005,MATCH(B537,'Contractors'!$B$6:$B$1005,0)),"")))</f>
        <v/>
      </c>
      <c r="R537" s="79">
        <f>IF(O537="","",IF(O537="OVERDUE",2,IF(O537="Paid",0,IF(AND(I537&lt;&gt;"",I537&lt;=AsOf+AlertDays),1,0))))</f>
        <v/>
      </c>
      <c r="S537" s="79">
        <f>IF(AND(B537&lt;&gt;"",M537="",I537&lt;&gt;""),IF(L537&lt;&gt;"",L537,IF(H537="",0,H537)),0)</f>
        <v/>
      </c>
      <c r="T537" s="79">
        <f>IF(AND(B537&lt;&gt;"",M537="",I537&lt;&gt;""),1/I537,0)</f>
        <v/>
      </c>
      <c r="U537" s="112">
        <f>IF(AND(B537&lt;&gt;"",M537="",I537&lt;&gt;""),I537,"")</f>
        <v/>
      </c>
      <c r="V537" s="79">
        <f>IF(U537="","",IF(U537&lt;AsOf,1,IF(U537&lt;=AsOf+AlertDays,2,IF(U537&lt;=AsOf+2*AlertDays,3,""))))</f>
        <v/>
      </c>
      <c r="W537" s="79">
        <f>IF(V537="","",IF(O537="OVERDUE","Overdue payment: ","Payment due: ")&amp;B537&amp;" — "&amp;C537&amp;" ("&amp;CurSym&amp;" "&amp;FIXED(S537,0)&amp;")")</f>
        <v/>
      </c>
      <c r="Z537" s="116">
        <f>IF('Contractors'!B537="","",'Contractors'!B537)</f>
        <v/>
      </c>
      <c r="AA537" s="77">
        <f>IF(Z537="","",'Contractors'!K537)</f>
        <v/>
      </c>
      <c r="AB537" s="77">
        <f>IF(Z537="","",SUMIFS($L$6:$L$1005,$B$6:$B$1005,Z537))</f>
        <v/>
      </c>
      <c r="AC537" s="77">
        <f>IF(Z537="","",SUMIFS($N$6:$N$1005,$B$6:$B$1005,Z537))</f>
        <v/>
      </c>
      <c r="AD537" s="76">
        <f>IF(Z537="","",AA537-AC537)</f>
        <v/>
      </c>
      <c r="AE537" s="117">
        <f>IF(Z537="","",IFERROR(1/SUMPRODUCT(MAX(($B$6:$B$1005=Z537)*$T$6:$T$1005)),""))</f>
        <v/>
      </c>
      <c r="AF537" s="77">
        <f>IF(AE537="","",SUMIFS($S$6:$S$1005,$B$6:$B$1005,Z537,$I$6:$I$1005,AE537))</f>
        <v/>
      </c>
    </row>
    <row r="538" ht="20" customHeight="1">
      <c r="B538" s="72" t="n"/>
      <c r="C538" s="72" t="n"/>
      <c r="D538" s="72" t="n"/>
      <c r="E538" s="72" t="n"/>
      <c r="F538" s="110" t="n"/>
      <c r="G538" s="73" t="n"/>
      <c r="H538" s="75">
        <f>IF(B538="","",IF(G538&lt;&gt;"",G538,IF(F538&lt;&gt;"",F538*IFERROR(INDEX('Contractors'!$I$6:$I$1005,MATCH(B538,'Contractors'!$B$6:$B$1005,0)),0),"")))</f>
        <v/>
      </c>
      <c r="I538" s="109" t="n"/>
      <c r="J538" s="72" t="n"/>
      <c r="K538" s="109" t="n"/>
      <c r="L538" s="73" t="n"/>
      <c r="M538" s="109" t="n"/>
      <c r="N538" s="73" t="n"/>
      <c r="O538" s="107">
        <f>IF(B538="","",IF(M538&lt;&gt;"","Paid",IF(AND(I538&lt;&gt;"",I538&lt;AsOf),"OVERDUE",IF(OR(K538&lt;&gt;"",L538&lt;&gt;""),"Invoiced","Scheduled"))))</f>
        <v/>
      </c>
      <c r="P538" s="115">
        <f>IF(B538="","",IF(E538&lt;&gt;"",E538,IFERROR(INDEX('Contractors'!$D$6:$D$1005,MATCH(B538,'Contractors'!$B$6:$B$1005,0)),"")))</f>
        <v/>
      </c>
      <c r="Q538" s="79">
        <f>IF(B538="","",IF(D538&lt;&gt;"",D538,IFERROR(INDEX('Contractors'!$E$6:$E$1005,MATCH(B538,'Contractors'!$B$6:$B$1005,0)),"")))</f>
        <v/>
      </c>
      <c r="R538" s="79">
        <f>IF(O538="","",IF(O538="OVERDUE",2,IF(O538="Paid",0,IF(AND(I538&lt;&gt;"",I538&lt;=AsOf+AlertDays),1,0))))</f>
        <v/>
      </c>
      <c r="S538" s="79">
        <f>IF(AND(B538&lt;&gt;"",M538="",I538&lt;&gt;""),IF(L538&lt;&gt;"",L538,IF(H538="",0,H538)),0)</f>
        <v/>
      </c>
      <c r="T538" s="79">
        <f>IF(AND(B538&lt;&gt;"",M538="",I538&lt;&gt;""),1/I538,0)</f>
        <v/>
      </c>
      <c r="U538" s="112">
        <f>IF(AND(B538&lt;&gt;"",M538="",I538&lt;&gt;""),I538,"")</f>
        <v/>
      </c>
      <c r="V538" s="79">
        <f>IF(U538="","",IF(U538&lt;AsOf,1,IF(U538&lt;=AsOf+AlertDays,2,IF(U538&lt;=AsOf+2*AlertDays,3,""))))</f>
        <v/>
      </c>
      <c r="W538" s="79">
        <f>IF(V538="","",IF(O538="OVERDUE","Overdue payment: ","Payment due: ")&amp;B538&amp;" — "&amp;C538&amp;" ("&amp;CurSym&amp;" "&amp;FIXED(S538,0)&amp;")")</f>
        <v/>
      </c>
      <c r="Z538" s="116">
        <f>IF('Contractors'!B538="","",'Contractors'!B538)</f>
        <v/>
      </c>
      <c r="AA538" s="77">
        <f>IF(Z538="","",'Contractors'!K538)</f>
        <v/>
      </c>
      <c r="AB538" s="77">
        <f>IF(Z538="","",SUMIFS($L$6:$L$1005,$B$6:$B$1005,Z538))</f>
        <v/>
      </c>
      <c r="AC538" s="77">
        <f>IF(Z538="","",SUMIFS($N$6:$N$1005,$B$6:$B$1005,Z538))</f>
        <v/>
      </c>
      <c r="AD538" s="76">
        <f>IF(Z538="","",AA538-AC538)</f>
        <v/>
      </c>
      <c r="AE538" s="117">
        <f>IF(Z538="","",IFERROR(1/SUMPRODUCT(MAX(($B$6:$B$1005=Z538)*$T$6:$T$1005)),""))</f>
        <v/>
      </c>
      <c r="AF538" s="77">
        <f>IF(AE538="","",SUMIFS($S$6:$S$1005,$B$6:$B$1005,Z538,$I$6:$I$1005,AE538))</f>
        <v/>
      </c>
    </row>
    <row r="539" ht="20" customHeight="1">
      <c r="B539" s="72" t="n"/>
      <c r="C539" s="72" t="n"/>
      <c r="D539" s="72" t="n"/>
      <c r="E539" s="72" t="n"/>
      <c r="F539" s="110" t="n"/>
      <c r="G539" s="73" t="n"/>
      <c r="H539" s="75">
        <f>IF(B539="","",IF(G539&lt;&gt;"",G539,IF(F539&lt;&gt;"",F539*IFERROR(INDEX('Contractors'!$I$6:$I$1005,MATCH(B539,'Contractors'!$B$6:$B$1005,0)),0),"")))</f>
        <v/>
      </c>
      <c r="I539" s="109" t="n"/>
      <c r="J539" s="72" t="n"/>
      <c r="K539" s="109" t="n"/>
      <c r="L539" s="73" t="n"/>
      <c r="M539" s="109" t="n"/>
      <c r="N539" s="73" t="n"/>
      <c r="O539" s="107">
        <f>IF(B539="","",IF(M539&lt;&gt;"","Paid",IF(AND(I539&lt;&gt;"",I539&lt;AsOf),"OVERDUE",IF(OR(K539&lt;&gt;"",L539&lt;&gt;""),"Invoiced","Scheduled"))))</f>
        <v/>
      </c>
      <c r="P539" s="115">
        <f>IF(B539="","",IF(E539&lt;&gt;"",E539,IFERROR(INDEX('Contractors'!$D$6:$D$1005,MATCH(B539,'Contractors'!$B$6:$B$1005,0)),"")))</f>
        <v/>
      </c>
      <c r="Q539" s="79">
        <f>IF(B539="","",IF(D539&lt;&gt;"",D539,IFERROR(INDEX('Contractors'!$E$6:$E$1005,MATCH(B539,'Contractors'!$B$6:$B$1005,0)),"")))</f>
        <v/>
      </c>
      <c r="R539" s="79">
        <f>IF(O539="","",IF(O539="OVERDUE",2,IF(O539="Paid",0,IF(AND(I539&lt;&gt;"",I539&lt;=AsOf+AlertDays),1,0))))</f>
        <v/>
      </c>
      <c r="S539" s="79">
        <f>IF(AND(B539&lt;&gt;"",M539="",I539&lt;&gt;""),IF(L539&lt;&gt;"",L539,IF(H539="",0,H539)),0)</f>
        <v/>
      </c>
      <c r="T539" s="79">
        <f>IF(AND(B539&lt;&gt;"",M539="",I539&lt;&gt;""),1/I539,0)</f>
        <v/>
      </c>
      <c r="U539" s="112">
        <f>IF(AND(B539&lt;&gt;"",M539="",I539&lt;&gt;""),I539,"")</f>
        <v/>
      </c>
      <c r="V539" s="79">
        <f>IF(U539="","",IF(U539&lt;AsOf,1,IF(U539&lt;=AsOf+AlertDays,2,IF(U539&lt;=AsOf+2*AlertDays,3,""))))</f>
        <v/>
      </c>
      <c r="W539" s="79">
        <f>IF(V539="","",IF(O539="OVERDUE","Overdue payment: ","Payment due: ")&amp;B539&amp;" — "&amp;C539&amp;" ("&amp;CurSym&amp;" "&amp;FIXED(S539,0)&amp;")")</f>
        <v/>
      </c>
      <c r="Z539" s="116">
        <f>IF('Contractors'!B539="","",'Contractors'!B539)</f>
        <v/>
      </c>
      <c r="AA539" s="77">
        <f>IF(Z539="","",'Contractors'!K539)</f>
        <v/>
      </c>
      <c r="AB539" s="77">
        <f>IF(Z539="","",SUMIFS($L$6:$L$1005,$B$6:$B$1005,Z539))</f>
        <v/>
      </c>
      <c r="AC539" s="77">
        <f>IF(Z539="","",SUMIFS($N$6:$N$1005,$B$6:$B$1005,Z539))</f>
        <v/>
      </c>
      <c r="AD539" s="76">
        <f>IF(Z539="","",AA539-AC539)</f>
        <v/>
      </c>
      <c r="AE539" s="117">
        <f>IF(Z539="","",IFERROR(1/SUMPRODUCT(MAX(($B$6:$B$1005=Z539)*$T$6:$T$1005)),""))</f>
        <v/>
      </c>
      <c r="AF539" s="77">
        <f>IF(AE539="","",SUMIFS($S$6:$S$1005,$B$6:$B$1005,Z539,$I$6:$I$1005,AE539))</f>
        <v/>
      </c>
    </row>
    <row r="540" ht="20" customHeight="1">
      <c r="B540" s="72" t="n"/>
      <c r="C540" s="72" t="n"/>
      <c r="D540" s="72" t="n"/>
      <c r="E540" s="72" t="n"/>
      <c r="F540" s="110" t="n"/>
      <c r="G540" s="73" t="n"/>
      <c r="H540" s="75">
        <f>IF(B540="","",IF(G540&lt;&gt;"",G540,IF(F540&lt;&gt;"",F540*IFERROR(INDEX('Contractors'!$I$6:$I$1005,MATCH(B540,'Contractors'!$B$6:$B$1005,0)),0),"")))</f>
        <v/>
      </c>
      <c r="I540" s="109" t="n"/>
      <c r="J540" s="72" t="n"/>
      <c r="K540" s="109" t="n"/>
      <c r="L540" s="73" t="n"/>
      <c r="M540" s="109" t="n"/>
      <c r="N540" s="73" t="n"/>
      <c r="O540" s="107">
        <f>IF(B540="","",IF(M540&lt;&gt;"","Paid",IF(AND(I540&lt;&gt;"",I540&lt;AsOf),"OVERDUE",IF(OR(K540&lt;&gt;"",L540&lt;&gt;""),"Invoiced","Scheduled"))))</f>
        <v/>
      </c>
      <c r="P540" s="115">
        <f>IF(B540="","",IF(E540&lt;&gt;"",E540,IFERROR(INDEX('Contractors'!$D$6:$D$1005,MATCH(B540,'Contractors'!$B$6:$B$1005,0)),"")))</f>
        <v/>
      </c>
      <c r="Q540" s="79">
        <f>IF(B540="","",IF(D540&lt;&gt;"",D540,IFERROR(INDEX('Contractors'!$E$6:$E$1005,MATCH(B540,'Contractors'!$B$6:$B$1005,0)),"")))</f>
        <v/>
      </c>
      <c r="R540" s="79">
        <f>IF(O540="","",IF(O540="OVERDUE",2,IF(O540="Paid",0,IF(AND(I540&lt;&gt;"",I540&lt;=AsOf+AlertDays),1,0))))</f>
        <v/>
      </c>
      <c r="S540" s="79">
        <f>IF(AND(B540&lt;&gt;"",M540="",I540&lt;&gt;""),IF(L540&lt;&gt;"",L540,IF(H540="",0,H540)),0)</f>
        <v/>
      </c>
      <c r="T540" s="79">
        <f>IF(AND(B540&lt;&gt;"",M540="",I540&lt;&gt;""),1/I540,0)</f>
        <v/>
      </c>
      <c r="U540" s="112">
        <f>IF(AND(B540&lt;&gt;"",M540="",I540&lt;&gt;""),I540,"")</f>
        <v/>
      </c>
      <c r="V540" s="79">
        <f>IF(U540="","",IF(U540&lt;AsOf,1,IF(U540&lt;=AsOf+AlertDays,2,IF(U540&lt;=AsOf+2*AlertDays,3,""))))</f>
        <v/>
      </c>
      <c r="W540" s="79">
        <f>IF(V540="","",IF(O540="OVERDUE","Overdue payment: ","Payment due: ")&amp;B540&amp;" — "&amp;C540&amp;" ("&amp;CurSym&amp;" "&amp;FIXED(S540,0)&amp;")")</f>
        <v/>
      </c>
      <c r="Z540" s="116">
        <f>IF('Contractors'!B540="","",'Contractors'!B540)</f>
        <v/>
      </c>
      <c r="AA540" s="77">
        <f>IF(Z540="","",'Contractors'!K540)</f>
        <v/>
      </c>
      <c r="AB540" s="77">
        <f>IF(Z540="","",SUMIFS($L$6:$L$1005,$B$6:$B$1005,Z540))</f>
        <v/>
      </c>
      <c r="AC540" s="77">
        <f>IF(Z540="","",SUMIFS($N$6:$N$1005,$B$6:$B$1005,Z540))</f>
        <v/>
      </c>
      <c r="AD540" s="76">
        <f>IF(Z540="","",AA540-AC540)</f>
        <v/>
      </c>
      <c r="AE540" s="117">
        <f>IF(Z540="","",IFERROR(1/SUMPRODUCT(MAX(($B$6:$B$1005=Z540)*$T$6:$T$1005)),""))</f>
        <v/>
      </c>
      <c r="AF540" s="77">
        <f>IF(AE540="","",SUMIFS($S$6:$S$1005,$B$6:$B$1005,Z540,$I$6:$I$1005,AE540))</f>
        <v/>
      </c>
    </row>
    <row r="541" ht="20" customHeight="1">
      <c r="B541" s="72" t="n"/>
      <c r="C541" s="72" t="n"/>
      <c r="D541" s="72" t="n"/>
      <c r="E541" s="72" t="n"/>
      <c r="F541" s="110" t="n"/>
      <c r="G541" s="73" t="n"/>
      <c r="H541" s="75">
        <f>IF(B541="","",IF(G541&lt;&gt;"",G541,IF(F541&lt;&gt;"",F541*IFERROR(INDEX('Contractors'!$I$6:$I$1005,MATCH(B541,'Contractors'!$B$6:$B$1005,0)),0),"")))</f>
        <v/>
      </c>
      <c r="I541" s="109" t="n"/>
      <c r="J541" s="72" t="n"/>
      <c r="K541" s="109" t="n"/>
      <c r="L541" s="73" t="n"/>
      <c r="M541" s="109" t="n"/>
      <c r="N541" s="73" t="n"/>
      <c r="O541" s="107">
        <f>IF(B541="","",IF(M541&lt;&gt;"","Paid",IF(AND(I541&lt;&gt;"",I541&lt;AsOf),"OVERDUE",IF(OR(K541&lt;&gt;"",L541&lt;&gt;""),"Invoiced","Scheduled"))))</f>
        <v/>
      </c>
      <c r="P541" s="115">
        <f>IF(B541="","",IF(E541&lt;&gt;"",E541,IFERROR(INDEX('Contractors'!$D$6:$D$1005,MATCH(B541,'Contractors'!$B$6:$B$1005,0)),"")))</f>
        <v/>
      </c>
      <c r="Q541" s="79">
        <f>IF(B541="","",IF(D541&lt;&gt;"",D541,IFERROR(INDEX('Contractors'!$E$6:$E$1005,MATCH(B541,'Contractors'!$B$6:$B$1005,0)),"")))</f>
        <v/>
      </c>
      <c r="R541" s="79">
        <f>IF(O541="","",IF(O541="OVERDUE",2,IF(O541="Paid",0,IF(AND(I541&lt;&gt;"",I541&lt;=AsOf+AlertDays),1,0))))</f>
        <v/>
      </c>
      <c r="S541" s="79">
        <f>IF(AND(B541&lt;&gt;"",M541="",I541&lt;&gt;""),IF(L541&lt;&gt;"",L541,IF(H541="",0,H541)),0)</f>
        <v/>
      </c>
      <c r="T541" s="79">
        <f>IF(AND(B541&lt;&gt;"",M541="",I541&lt;&gt;""),1/I541,0)</f>
        <v/>
      </c>
      <c r="U541" s="112">
        <f>IF(AND(B541&lt;&gt;"",M541="",I541&lt;&gt;""),I541,"")</f>
        <v/>
      </c>
      <c r="V541" s="79">
        <f>IF(U541="","",IF(U541&lt;AsOf,1,IF(U541&lt;=AsOf+AlertDays,2,IF(U541&lt;=AsOf+2*AlertDays,3,""))))</f>
        <v/>
      </c>
      <c r="W541" s="79">
        <f>IF(V541="","",IF(O541="OVERDUE","Overdue payment: ","Payment due: ")&amp;B541&amp;" — "&amp;C541&amp;" ("&amp;CurSym&amp;" "&amp;FIXED(S541,0)&amp;")")</f>
        <v/>
      </c>
      <c r="Z541" s="116">
        <f>IF('Contractors'!B541="","",'Contractors'!B541)</f>
        <v/>
      </c>
      <c r="AA541" s="77">
        <f>IF(Z541="","",'Contractors'!K541)</f>
        <v/>
      </c>
      <c r="AB541" s="77">
        <f>IF(Z541="","",SUMIFS($L$6:$L$1005,$B$6:$B$1005,Z541))</f>
        <v/>
      </c>
      <c r="AC541" s="77">
        <f>IF(Z541="","",SUMIFS($N$6:$N$1005,$B$6:$B$1005,Z541))</f>
        <v/>
      </c>
      <c r="AD541" s="76">
        <f>IF(Z541="","",AA541-AC541)</f>
        <v/>
      </c>
      <c r="AE541" s="117">
        <f>IF(Z541="","",IFERROR(1/SUMPRODUCT(MAX(($B$6:$B$1005=Z541)*$T$6:$T$1005)),""))</f>
        <v/>
      </c>
      <c r="AF541" s="77">
        <f>IF(AE541="","",SUMIFS($S$6:$S$1005,$B$6:$B$1005,Z541,$I$6:$I$1005,AE541))</f>
        <v/>
      </c>
    </row>
    <row r="542" ht="20" customHeight="1">
      <c r="B542" s="72" t="n"/>
      <c r="C542" s="72" t="n"/>
      <c r="D542" s="72" t="n"/>
      <c r="E542" s="72" t="n"/>
      <c r="F542" s="110" t="n"/>
      <c r="G542" s="73" t="n"/>
      <c r="H542" s="75">
        <f>IF(B542="","",IF(G542&lt;&gt;"",G542,IF(F542&lt;&gt;"",F542*IFERROR(INDEX('Contractors'!$I$6:$I$1005,MATCH(B542,'Contractors'!$B$6:$B$1005,0)),0),"")))</f>
        <v/>
      </c>
      <c r="I542" s="109" t="n"/>
      <c r="J542" s="72" t="n"/>
      <c r="K542" s="109" t="n"/>
      <c r="L542" s="73" t="n"/>
      <c r="M542" s="109" t="n"/>
      <c r="N542" s="73" t="n"/>
      <c r="O542" s="107">
        <f>IF(B542="","",IF(M542&lt;&gt;"","Paid",IF(AND(I542&lt;&gt;"",I542&lt;AsOf),"OVERDUE",IF(OR(K542&lt;&gt;"",L542&lt;&gt;""),"Invoiced","Scheduled"))))</f>
        <v/>
      </c>
      <c r="P542" s="115">
        <f>IF(B542="","",IF(E542&lt;&gt;"",E542,IFERROR(INDEX('Contractors'!$D$6:$D$1005,MATCH(B542,'Contractors'!$B$6:$B$1005,0)),"")))</f>
        <v/>
      </c>
      <c r="Q542" s="79">
        <f>IF(B542="","",IF(D542&lt;&gt;"",D542,IFERROR(INDEX('Contractors'!$E$6:$E$1005,MATCH(B542,'Contractors'!$B$6:$B$1005,0)),"")))</f>
        <v/>
      </c>
      <c r="R542" s="79">
        <f>IF(O542="","",IF(O542="OVERDUE",2,IF(O542="Paid",0,IF(AND(I542&lt;&gt;"",I542&lt;=AsOf+AlertDays),1,0))))</f>
        <v/>
      </c>
      <c r="S542" s="79">
        <f>IF(AND(B542&lt;&gt;"",M542="",I542&lt;&gt;""),IF(L542&lt;&gt;"",L542,IF(H542="",0,H542)),0)</f>
        <v/>
      </c>
      <c r="T542" s="79">
        <f>IF(AND(B542&lt;&gt;"",M542="",I542&lt;&gt;""),1/I542,0)</f>
        <v/>
      </c>
      <c r="U542" s="112">
        <f>IF(AND(B542&lt;&gt;"",M542="",I542&lt;&gt;""),I542,"")</f>
        <v/>
      </c>
      <c r="V542" s="79">
        <f>IF(U542="","",IF(U542&lt;AsOf,1,IF(U542&lt;=AsOf+AlertDays,2,IF(U542&lt;=AsOf+2*AlertDays,3,""))))</f>
        <v/>
      </c>
      <c r="W542" s="79">
        <f>IF(V542="","",IF(O542="OVERDUE","Overdue payment: ","Payment due: ")&amp;B542&amp;" — "&amp;C542&amp;" ("&amp;CurSym&amp;" "&amp;FIXED(S542,0)&amp;")")</f>
        <v/>
      </c>
      <c r="Z542" s="116">
        <f>IF('Contractors'!B542="","",'Contractors'!B542)</f>
        <v/>
      </c>
      <c r="AA542" s="77">
        <f>IF(Z542="","",'Contractors'!K542)</f>
        <v/>
      </c>
      <c r="AB542" s="77">
        <f>IF(Z542="","",SUMIFS($L$6:$L$1005,$B$6:$B$1005,Z542))</f>
        <v/>
      </c>
      <c r="AC542" s="77">
        <f>IF(Z542="","",SUMIFS($N$6:$N$1005,$B$6:$B$1005,Z542))</f>
        <v/>
      </c>
      <c r="AD542" s="76">
        <f>IF(Z542="","",AA542-AC542)</f>
        <v/>
      </c>
      <c r="AE542" s="117">
        <f>IF(Z542="","",IFERROR(1/SUMPRODUCT(MAX(($B$6:$B$1005=Z542)*$T$6:$T$1005)),""))</f>
        <v/>
      </c>
      <c r="AF542" s="77">
        <f>IF(AE542="","",SUMIFS($S$6:$S$1005,$B$6:$B$1005,Z542,$I$6:$I$1005,AE542))</f>
        <v/>
      </c>
    </row>
    <row r="543" ht="20" customHeight="1">
      <c r="B543" s="72" t="n"/>
      <c r="C543" s="72" t="n"/>
      <c r="D543" s="72" t="n"/>
      <c r="E543" s="72" t="n"/>
      <c r="F543" s="110" t="n"/>
      <c r="G543" s="73" t="n"/>
      <c r="H543" s="75">
        <f>IF(B543="","",IF(G543&lt;&gt;"",G543,IF(F543&lt;&gt;"",F543*IFERROR(INDEX('Contractors'!$I$6:$I$1005,MATCH(B543,'Contractors'!$B$6:$B$1005,0)),0),"")))</f>
        <v/>
      </c>
      <c r="I543" s="109" t="n"/>
      <c r="J543" s="72" t="n"/>
      <c r="K543" s="109" t="n"/>
      <c r="L543" s="73" t="n"/>
      <c r="M543" s="109" t="n"/>
      <c r="N543" s="73" t="n"/>
      <c r="O543" s="107">
        <f>IF(B543="","",IF(M543&lt;&gt;"","Paid",IF(AND(I543&lt;&gt;"",I543&lt;AsOf),"OVERDUE",IF(OR(K543&lt;&gt;"",L543&lt;&gt;""),"Invoiced","Scheduled"))))</f>
        <v/>
      </c>
      <c r="P543" s="115">
        <f>IF(B543="","",IF(E543&lt;&gt;"",E543,IFERROR(INDEX('Contractors'!$D$6:$D$1005,MATCH(B543,'Contractors'!$B$6:$B$1005,0)),"")))</f>
        <v/>
      </c>
      <c r="Q543" s="79">
        <f>IF(B543="","",IF(D543&lt;&gt;"",D543,IFERROR(INDEX('Contractors'!$E$6:$E$1005,MATCH(B543,'Contractors'!$B$6:$B$1005,0)),"")))</f>
        <v/>
      </c>
      <c r="R543" s="79">
        <f>IF(O543="","",IF(O543="OVERDUE",2,IF(O543="Paid",0,IF(AND(I543&lt;&gt;"",I543&lt;=AsOf+AlertDays),1,0))))</f>
        <v/>
      </c>
      <c r="S543" s="79">
        <f>IF(AND(B543&lt;&gt;"",M543="",I543&lt;&gt;""),IF(L543&lt;&gt;"",L543,IF(H543="",0,H543)),0)</f>
        <v/>
      </c>
      <c r="T543" s="79">
        <f>IF(AND(B543&lt;&gt;"",M543="",I543&lt;&gt;""),1/I543,0)</f>
        <v/>
      </c>
      <c r="U543" s="112">
        <f>IF(AND(B543&lt;&gt;"",M543="",I543&lt;&gt;""),I543,"")</f>
        <v/>
      </c>
      <c r="V543" s="79">
        <f>IF(U543="","",IF(U543&lt;AsOf,1,IF(U543&lt;=AsOf+AlertDays,2,IF(U543&lt;=AsOf+2*AlertDays,3,""))))</f>
        <v/>
      </c>
      <c r="W543" s="79">
        <f>IF(V543="","",IF(O543="OVERDUE","Overdue payment: ","Payment due: ")&amp;B543&amp;" — "&amp;C543&amp;" ("&amp;CurSym&amp;" "&amp;FIXED(S543,0)&amp;")")</f>
        <v/>
      </c>
      <c r="Z543" s="116">
        <f>IF('Contractors'!B543="","",'Contractors'!B543)</f>
        <v/>
      </c>
      <c r="AA543" s="77">
        <f>IF(Z543="","",'Contractors'!K543)</f>
        <v/>
      </c>
      <c r="AB543" s="77">
        <f>IF(Z543="","",SUMIFS($L$6:$L$1005,$B$6:$B$1005,Z543))</f>
        <v/>
      </c>
      <c r="AC543" s="77">
        <f>IF(Z543="","",SUMIFS($N$6:$N$1005,$B$6:$B$1005,Z543))</f>
        <v/>
      </c>
      <c r="AD543" s="76">
        <f>IF(Z543="","",AA543-AC543)</f>
        <v/>
      </c>
      <c r="AE543" s="117">
        <f>IF(Z543="","",IFERROR(1/SUMPRODUCT(MAX(($B$6:$B$1005=Z543)*$T$6:$T$1005)),""))</f>
        <v/>
      </c>
      <c r="AF543" s="77">
        <f>IF(AE543="","",SUMIFS($S$6:$S$1005,$B$6:$B$1005,Z543,$I$6:$I$1005,AE543))</f>
        <v/>
      </c>
    </row>
    <row r="544" ht="20" customHeight="1">
      <c r="B544" s="72" t="n"/>
      <c r="C544" s="72" t="n"/>
      <c r="D544" s="72" t="n"/>
      <c r="E544" s="72" t="n"/>
      <c r="F544" s="110" t="n"/>
      <c r="G544" s="73" t="n"/>
      <c r="H544" s="75">
        <f>IF(B544="","",IF(G544&lt;&gt;"",G544,IF(F544&lt;&gt;"",F544*IFERROR(INDEX('Contractors'!$I$6:$I$1005,MATCH(B544,'Contractors'!$B$6:$B$1005,0)),0),"")))</f>
        <v/>
      </c>
      <c r="I544" s="109" t="n"/>
      <c r="J544" s="72" t="n"/>
      <c r="K544" s="109" t="n"/>
      <c r="L544" s="73" t="n"/>
      <c r="M544" s="109" t="n"/>
      <c r="N544" s="73" t="n"/>
      <c r="O544" s="107">
        <f>IF(B544="","",IF(M544&lt;&gt;"","Paid",IF(AND(I544&lt;&gt;"",I544&lt;AsOf),"OVERDUE",IF(OR(K544&lt;&gt;"",L544&lt;&gt;""),"Invoiced","Scheduled"))))</f>
        <v/>
      </c>
      <c r="P544" s="115">
        <f>IF(B544="","",IF(E544&lt;&gt;"",E544,IFERROR(INDEX('Contractors'!$D$6:$D$1005,MATCH(B544,'Contractors'!$B$6:$B$1005,0)),"")))</f>
        <v/>
      </c>
      <c r="Q544" s="79">
        <f>IF(B544="","",IF(D544&lt;&gt;"",D544,IFERROR(INDEX('Contractors'!$E$6:$E$1005,MATCH(B544,'Contractors'!$B$6:$B$1005,0)),"")))</f>
        <v/>
      </c>
      <c r="R544" s="79">
        <f>IF(O544="","",IF(O544="OVERDUE",2,IF(O544="Paid",0,IF(AND(I544&lt;&gt;"",I544&lt;=AsOf+AlertDays),1,0))))</f>
        <v/>
      </c>
      <c r="S544" s="79">
        <f>IF(AND(B544&lt;&gt;"",M544="",I544&lt;&gt;""),IF(L544&lt;&gt;"",L544,IF(H544="",0,H544)),0)</f>
        <v/>
      </c>
      <c r="T544" s="79">
        <f>IF(AND(B544&lt;&gt;"",M544="",I544&lt;&gt;""),1/I544,0)</f>
        <v/>
      </c>
      <c r="U544" s="112">
        <f>IF(AND(B544&lt;&gt;"",M544="",I544&lt;&gt;""),I544,"")</f>
        <v/>
      </c>
      <c r="V544" s="79">
        <f>IF(U544="","",IF(U544&lt;AsOf,1,IF(U544&lt;=AsOf+AlertDays,2,IF(U544&lt;=AsOf+2*AlertDays,3,""))))</f>
        <v/>
      </c>
      <c r="W544" s="79">
        <f>IF(V544="","",IF(O544="OVERDUE","Overdue payment: ","Payment due: ")&amp;B544&amp;" — "&amp;C544&amp;" ("&amp;CurSym&amp;" "&amp;FIXED(S544,0)&amp;")")</f>
        <v/>
      </c>
      <c r="Z544" s="116">
        <f>IF('Contractors'!B544="","",'Contractors'!B544)</f>
        <v/>
      </c>
      <c r="AA544" s="77">
        <f>IF(Z544="","",'Contractors'!K544)</f>
        <v/>
      </c>
      <c r="AB544" s="77">
        <f>IF(Z544="","",SUMIFS($L$6:$L$1005,$B$6:$B$1005,Z544))</f>
        <v/>
      </c>
      <c r="AC544" s="77">
        <f>IF(Z544="","",SUMIFS($N$6:$N$1005,$B$6:$B$1005,Z544))</f>
        <v/>
      </c>
      <c r="AD544" s="76">
        <f>IF(Z544="","",AA544-AC544)</f>
        <v/>
      </c>
      <c r="AE544" s="117">
        <f>IF(Z544="","",IFERROR(1/SUMPRODUCT(MAX(($B$6:$B$1005=Z544)*$T$6:$T$1005)),""))</f>
        <v/>
      </c>
      <c r="AF544" s="77">
        <f>IF(AE544="","",SUMIFS($S$6:$S$1005,$B$6:$B$1005,Z544,$I$6:$I$1005,AE544))</f>
        <v/>
      </c>
    </row>
    <row r="545" ht="20" customHeight="1">
      <c r="B545" s="72" t="n"/>
      <c r="C545" s="72" t="n"/>
      <c r="D545" s="72" t="n"/>
      <c r="E545" s="72" t="n"/>
      <c r="F545" s="110" t="n"/>
      <c r="G545" s="73" t="n"/>
      <c r="H545" s="75">
        <f>IF(B545="","",IF(G545&lt;&gt;"",G545,IF(F545&lt;&gt;"",F545*IFERROR(INDEX('Contractors'!$I$6:$I$1005,MATCH(B545,'Contractors'!$B$6:$B$1005,0)),0),"")))</f>
        <v/>
      </c>
      <c r="I545" s="109" t="n"/>
      <c r="J545" s="72" t="n"/>
      <c r="K545" s="109" t="n"/>
      <c r="L545" s="73" t="n"/>
      <c r="M545" s="109" t="n"/>
      <c r="N545" s="73" t="n"/>
      <c r="O545" s="107">
        <f>IF(B545="","",IF(M545&lt;&gt;"","Paid",IF(AND(I545&lt;&gt;"",I545&lt;AsOf),"OVERDUE",IF(OR(K545&lt;&gt;"",L545&lt;&gt;""),"Invoiced","Scheduled"))))</f>
        <v/>
      </c>
      <c r="P545" s="115">
        <f>IF(B545="","",IF(E545&lt;&gt;"",E545,IFERROR(INDEX('Contractors'!$D$6:$D$1005,MATCH(B545,'Contractors'!$B$6:$B$1005,0)),"")))</f>
        <v/>
      </c>
      <c r="Q545" s="79">
        <f>IF(B545="","",IF(D545&lt;&gt;"",D545,IFERROR(INDEX('Contractors'!$E$6:$E$1005,MATCH(B545,'Contractors'!$B$6:$B$1005,0)),"")))</f>
        <v/>
      </c>
      <c r="R545" s="79">
        <f>IF(O545="","",IF(O545="OVERDUE",2,IF(O545="Paid",0,IF(AND(I545&lt;&gt;"",I545&lt;=AsOf+AlertDays),1,0))))</f>
        <v/>
      </c>
      <c r="S545" s="79">
        <f>IF(AND(B545&lt;&gt;"",M545="",I545&lt;&gt;""),IF(L545&lt;&gt;"",L545,IF(H545="",0,H545)),0)</f>
        <v/>
      </c>
      <c r="T545" s="79">
        <f>IF(AND(B545&lt;&gt;"",M545="",I545&lt;&gt;""),1/I545,0)</f>
        <v/>
      </c>
      <c r="U545" s="112">
        <f>IF(AND(B545&lt;&gt;"",M545="",I545&lt;&gt;""),I545,"")</f>
        <v/>
      </c>
      <c r="V545" s="79">
        <f>IF(U545="","",IF(U545&lt;AsOf,1,IF(U545&lt;=AsOf+AlertDays,2,IF(U545&lt;=AsOf+2*AlertDays,3,""))))</f>
        <v/>
      </c>
      <c r="W545" s="79">
        <f>IF(V545="","",IF(O545="OVERDUE","Overdue payment: ","Payment due: ")&amp;B545&amp;" — "&amp;C545&amp;" ("&amp;CurSym&amp;" "&amp;FIXED(S545,0)&amp;")")</f>
        <v/>
      </c>
      <c r="Z545" s="116">
        <f>IF('Contractors'!B545="","",'Contractors'!B545)</f>
        <v/>
      </c>
      <c r="AA545" s="77">
        <f>IF(Z545="","",'Contractors'!K545)</f>
        <v/>
      </c>
      <c r="AB545" s="77">
        <f>IF(Z545="","",SUMIFS($L$6:$L$1005,$B$6:$B$1005,Z545))</f>
        <v/>
      </c>
      <c r="AC545" s="77">
        <f>IF(Z545="","",SUMIFS($N$6:$N$1005,$B$6:$B$1005,Z545))</f>
        <v/>
      </c>
      <c r="AD545" s="76">
        <f>IF(Z545="","",AA545-AC545)</f>
        <v/>
      </c>
      <c r="AE545" s="117">
        <f>IF(Z545="","",IFERROR(1/SUMPRODUCT(MAX(($B$6:$B$1005=Z545)*$T$6:$T$1005)),""))</f>
        <v/>
      </c>
      <c r="AF545" s="77">
        <f>IF(AE545="","",SUMIFS($S$6:$S$1005,$B$6:$B$1005,Z545,$I$6:$I$1005,AE545))</f>
        <v/>
      </c>
    </row>
    <row r="546" ht="20" customHeight="1">
      <c r="B546" s="72" t="n"/>
      <c r="C546" s="72" t="n"/>
      <c r="D546" s="72" t="n"/>
      <c r="E546" s="72" t="n"/>
      <c r="F546" s="110" t="n"/>
      <c r="G546" s="73" t="n"/>
      <c r="H546" s="75">
        <f>IF(B546="","",IF(G546&lt;&gt;"",G546,IF(F546&lt;&gt;"",F546*IFERROR(INDEX('Contractors'!$I$6:$I$1005,MATCH(B546,'Contractors'!$B$6:$B$1005,0)),0),"")))</f>
        <v/>
      </c>
      <c r="I546" s="109" t="n"/>
      <c r="J546" s="72" t="n"/>
      <c r="K546" s="109" t="n"/>
      <c r="L546" s="73" t="n"/>
      <c r="M546" s="109" t="n"/>
      <c r="N546" s="73" t="n"/>
      <c r="O546" s="107">
        <f>IF(B546="","",IF(M546&lt;&gt;"","Paid",IF(AND(I546&lt;&gt;"",I546&lt;AsOf),"OVERDUE",IF(OR(K546&lt;&gt;"",L546&lt;&gt;""),"Invoiced","Scheduled"))))</f>
        <v/>
      </c>
      <c r="P546" s="115">
        <f>IF(B546="","",IF(E546&lt;&gt;"",E546,IFERROR(INDEX('Contractors'!$D$6:$D$1005,MATCH(B546,'Contractors'!$B$6:$B$1005,0)),"")))</f>
        <v/>
      </c>
      <c r="Q546" s="79">
        <f>IF(B546="","",IF(D546&lt;&gt;"",D546,IFERROR(INDEX('Contractors'!$E$6:$E$1005,MATCH(B546,'Contractors'!$B$6:$B$1005,0)),"")))</f>
        <v/>
      </c>
      <c r="R546" s="79">
        <f>IF(O546="","",IF(O546="OVERDUE",2,IF(O546="Paid",0,IF(AND(I546&lt;&gt;"",I546&lt;=AsOf+AlertDays),1,0))))</f>
        <v/>
      </c>
      <c r="S546" s="79">
        <f>IF(AND(B546&lt;&gt;"",M546="",I546&lt;&gt;""),IF(L546&lt;&gt;"",L546,IF(H546="",0,H546)),0)</f>
        <v/>
      </c>
      <c r="T546" s="79">
        <f>IF(AND(B546&lt;&gt;"",M546="",I546&lt;&gt;""),1/I546,0)</f>
        <v/>
      </c>
      <c r="U546" s="112">
        <f>IF(AND(B546&lt;&gt;"",M546="",I546&lt;&gt;""),I546,"")</f>
        <v/>
      </c>
      <c r="V546" s="79">
        <f>IF(U546="","",IF(U546&lt;AsOf,1,IF(U546&lt;=AsOf+AlertDays,2,IF(U546&lt;=AsOf+2*AlertDays,3,""))))</f>
        <v/>
      </c>
      <c r="W546" s="79">
        <f>IF(V546="","",IF(O546="OVERDUE","Overdue payment: ","Payment due: ")&amp;B546&amp;" — "&amp;C546&amp;" ("&amp;CurSym&amp;" "&amp;FIXED(S546,0)&amp;")")</f>
        <v/>
      </c>
      <c r="Z546" s="116">
        <f>IF('Contractors'!B546="","",'Contractors'!B546)</f>
        <v/>
      </c>
      <c r="AA546" s="77">
        <f>IF(Z546="","",'Contractors'!K546)</f>
        <v/>
      </c>
      <c r="AB546" s="77">
        <f>IF(Z546="","",SUMIFS($L$6:$L$1005,$B$6:$B$1005,Z546))</f>
        <v/>
      </c>
      <c r="AC546" s="77">
        <f>IF(Z546="","",SUMIFS($N$6:$N$1005,$B$6:$B$1005,Z546))</f>
        <v/>
      </c>
      <c r="AD546" s="76">
        <f>IF(Z546="","",AA546-AC546)</f>
        <v/>
      </c>
      <c r="AE546" s="117">
        <f>IF(Z546="","",IFERROR(1/SUMPRODUCT(MAX(($B$6:$B$1005=Z546)*$T$6:$T$1005)),""))</f>
        <v/>
      </c>
      <c r="AF546" s="77">
        <f>IF(AE546="","",SUMIFS($S$6:$S$1005,$B$6:$B$1005,Z546,$I$6:$I$1005,AE546))</f>
        <v/>
      </c>
    </row>
    <row r="547" ht="20" customHeight="1">
      <c r="B547" s="72" t="n"/>
      <c r="C547" s="72" t="n"/>
      <c r="D547" s="72" t="n"/>
      <c r="E547" s="72" t="n"/>
      <c r="F547" s="110" t="n"/>
      <c r="G547" s="73" t="n"/>
      <c r="H547" s="75">
        <f>IF(B547="","",IF(G547&lt;&gt;"",G547,IF(F547&lt;&gt;"",F547*IFERROR(INDEX('Contractors'!$I$6:$I$1005,MATCH(B547,'Contractors'!$B$6:$B$1005,0)),0),"")))</f>
        <v/>
      </c>
      <c r="I547" s="109" t="n"/>
      <c r="J547" s="72" t="n"/>
      <c r="K547" s="109" t="n"/>
      <c r="L547" s="73" t="n"/>
      <c r="M547" s="109" t="n"/>
      <c r="N547" s="73" t="n"/>
      <c r="O547" s="107">
        <f>IF(B547="","",IF(M547&lt;&gt;"","Paid",IF(AND(I547&lt;&gt;"",I547&lt;AsOf),"OVERDUE",IF(OR(K547&lt;&gt;"",L547&lt;&gt;""),"Invoiced","Scheduled"))))</f>
        <v/>
      </c>
      <c r="P547" s="115">
        <f>IF(B547="","",IF(E547&lt;&gt;"",E547,IFERROR(INDEX('Contractors'!$D$6:$D$1005,MATCH(B547,'Contractors'!$B$6:$B$1005,0)),"")))</f>
        <v/>
      </c>
      <c r="Q547" s="79">
        <f>IF(B547="","",IF(D547&lt;&gt;"",D547,IFERROR(INDEX('Contractors'!$E$6:$E$1005,MATCH(B547,'Contractors'!$B$6:$B$1005,0)),"")))</f>
        <v/>
      </c>
      <c r="R547" s="79">
        <f>IF(O547="","",IF(O547="OVERDUE",2,IF(O547="Paid",0,IF(AND(I547&lt;&gt;"",I547&lt;=AsOf+AlertDays),1,0))))</f>
        <v/>
      </c>
      <c r="S547" s="79">
        <f>IF(AND(B547&lt;&gt;"",M547="",I547&lt;&gt;""),IF(L547&lt;&gt;"",L547,IF(H547="",0,H547)),0)</f>
        <v/>
      </c>
      <c r="T547" s="79">
        <f>IF(AND(B547&lt;&gt;"",M547="",I547&lt;&gt;""),1/I547,0)</f>
        <v/>
      </c>
      <c r="U547" s="112">
        <f>IF(AND(B547&lt;&gt;"",M547="",I547&lt;&gt;""),I547,"")</f>
        <v/>
      </c>
      <c r="V547" s="79">
        <f>IF(U547="","",IF(U547&lt;AsOf,1,IF(U547&lt;=AsOf+AlertDays,2,IF(U547&lt;=AsOf+2*AlertDays,3,""))))</f>
        <v/>
      </c>
      <c r="W547" s="79">
        <f>IF(V547="","",IF(O547="OVERDUE","Overdue payment: ","Payment due: ")&amp;B547&amp;" — "&amp;C547&amp;" ("&amp;CurSym&amp;" "&amp;FIXED(S547,0)&amp;")")</f>
        <v/>
      </c>
      <c r="Z547" s="116">
        <f>IF('Contractors'!B547="","",'Contractors'!B547)</f>
        <v/>
      </c>
      <c r="AA547" s="77">
        <f>IF(Z547="","",'Contractors'!K547)</f>
        <v/>
      </c>
      <c r="AB547" s="77">
        <f>IF(Z547="","",SUMIFS($L$6:$L$1005,$B$6:$B$1005,Z547))</f>
        <v/>
      </c>
      <c r="AC547" s="77">
        <f>IF(Z547="","",SUMIFS($N$6:$N$1005,$B$6:$B$1005,Z547))</f>
        <v/>
      </c>
      <c r="AD547" s="76">
        <f>IF(Z547="","",AA547-AC547)</f>
        <v/>
      </c>
      <c r="AE547" s="117">
        <f>IF(Z547="","",IFERROR(1/SUMPRODUCT(MAX(($B$6:$B$1005=Z547)*$T$6:$T$1005)),""))</f>
        <v/>
      </c>
      <c r="AF547" s="77">
        <f>IF(AE547="","",SUMIFS($S$6:$S$1005,$B$6:$B$1005,Z547,$I$6:$I$1005,AE547))</f>
        <v/>
      </c>
    </row>
    <row r="548" ht="20" customHeight="1">
      <c r="B548" s="72" t="n"/>
      <c r="C548" s="72" t="n"/>
      <c r="D548" s="72" t="n"/>
      <c r="E548" s="72" t="n"/>
      <c r="F548" s="110" t="n"/>
      <c r="G548" s="73" t="n"/>
      <c r="H548" s="75">
        <f>IF(B548="","",IF(G548&lt;&gt;"",G548,IF(F548&lt;&gt;"",F548*IFERROR(INDEX('Contractors'!$I$6:$I$1005,MATCH(B548,'Contractors'!$B$6:$B$1005,0)),0),"")))</f>
        <v/>
      </c>
      <c r="I548" s="109" t="n"/>
      <c r="J548" s="72" t="n"/>
      <c r="K548" s="109" t="n"/>
      <c r="L548" s="73" t="n"/>
      <c r="M548" s="109" t="n"/>
      <c r="N548" s="73" t="n"/>
      <c r="O548" s="107">
        <f>IF(B548="","",IF(M548&lt;&gt;"","Paid",IF(AND(I548&lt;&gt;"",I548&lt;AsOf),"OVERDUE",IF(OR(K548&lt;&gt;"",L548&lt;&gt;""),"Invoiced","Scheduled"))))</f>
        <v/>
      </c>
      <c r="P548" s="115">
        <f>IF(B548="","",IF(E548&lt;&gt;"",E548,IFERROR(INDEX('Contractors'!$D$6:$D$1005,MATCH(B548,'Contractors'!$B$6:$B$1005,0)),"")))</f>
        <v/>
      </c>
      <c r="Q548" s="79">
        <f>IF(B548="","",IF(D548&lt;&gt;"",D548,IFERROR(INDEX('Contractors'!$E$6:$E$1005,MATCH(B548,'Contractors'!$B$6:$B$1005,0)),"")))</f>
        <v/>
      </c>
      <c r="R548" s="79">
        <f>IF(O548="","",IF(O548="OVERDUE",2,IF(O548="Paid",0,IF(AND(I548&lt;&gt;"",I548&lt;=AsOf+AlertDays),1,0))))</f>
        <v/>
      </c>
      <c r="S548" s="79">
        <f>IF(AND(B548&lt;&gt;"",M548="",I548&lt;&gt;""),IF(L548&lt;&gt;"",L548,IF(H548="",0,H548)),0)</f>
        <v/>
      </c>
      <c r="T548" s="79">
        <f>IF(AND(B548&lt;&gt;"",M548="",I548&lt;&gt;""),1/I548,0)</f>
        <v/>
      </c>
      <c r="U548" s="112">
        <f>IF(AND(B548&lt;&gt;"",M548="",I548&lt;&gt;""),I548,"")</f>
        <v/>
      </c>
      <c r="V548" s="79">
        <f>IF(U548="","",IF(U548&lt;AsOf,1,IF(U548&lt;=AsOf+AlertDays,2,IF(U548&lt;=AsOf+2*AlertDays,3,""))))</f>
        <v/>
      </c>
      <c r="W548" s="79">
        <f>IF(V548="","",IF(O548="OVERDUE","Overdue payment: ","Payment due: ")&amp;B548&amp;" — "&amp;C548&amp;" ("&amp;CurSym&amp;" "&amp;FIXED(S548,0)&amp;")")</f>
        <v/>
      </c>
      <c r="Z548" s="116">
        <f>IF('Contractors'!B548="","",'Contractors'!B548)</f>
        <v/>
      </c>
      <c r="AA548" s="77">
        <f>IF(Z548="","",'Contractors'!K548)</f>
        <v/>
      </c>
      <c r="AB548" s="77">
        <f>IF(Z548="","",SUMIFS($L$6:$L$1005,$B$6:$B$1005,Z548))</f>
        <v/>
      </c>
      <c r="AC548" s="77">
        <f>IF(Z548="","",SUMIFS($N$6:$N$1005,$B$6:$B$1005,Z548))</f>
        <v/>
      </c>
      <c r="AD548" s="76">
        <f>IF(Z548="","",AA548-AC548)</f>
        <v/>
      </c>
      <c r="AE548" s="117">
        <f>IF(Z548="","",IFERROR(1/SUMPRODUCT(MAX(($B$6:$B$1005=Z548)*$T$6:$T$1005)),""))</f>
        <v/>
      </c>
      <c r="AF548" s="77">
        <f>IF(AE548="","",SUMIFS($S$6:$S$1005,$B$6:$B$1005,Z548,$I$6:$I$1005,AE548))</f>
        <v/>
      </c>
    </row>
    <row r="549" ht="20" customHeight="1">
      <c r="B549" s="72" t="n"/>
      <c r="C549" s="72" t="n"/>
      <c r="D549" s="72" t="n"/>
      <c r="E549" s="72" t="n"/>
      <c r="F549" s="110" t="n"/>
      <c r="G549" s="73" t="n"/>
      <c r="H549" s="75">
        <f>IF(B549="","",IF(G549&lt;&gt;"",G549,IF(F549&lt;&gt;"",F549*IFERROR(INDEX('Contractors'!$I$6:$I$1005,MATCH(B549,'Contractors'!$B$6:$B$1005,0)),0),"")))</f>
        <v/>
      </c>
      <c r="I549" s="109" t="n"/>
      <c r="J549" s="72" t="n"/>
      <c r="K549" s="109" t="n"/>
      <c r="L549" s="73" t="n"/>
      <c r="M549" s="109" t="n"/>
      <c r="N549" s="73" t="n"/>
      <c r="O549" s="107">
        <f>IF(B549="","",IF(M549&lt;&gt;"","Paid",IF(AND(I549&lt;&gt;"",I549&lt;AsOf),"OVERDUE",IF(OR(K549&lt;&gt;"",L549&lt;&gt;""),"Invoiced","Scheduled"))))</f>
        <v/>
      </c>
      <c r="P549" s="115">
        <f>IF(B549="","",IF(E549&lt;&gt;"",E549,IFERROR(INDEX('Contractors'!$D$6:$D$1005,MATCH(B549,'Contractors'!$B$6:$B$1005,0)),"")))</f>
        <v/>
      </c>
      <c r="Q549" s="79">
        <f>IF(B549="","",IF(D549&lt;&gt;"",D549,IFERROR(INDEX('Contractors'!$E$6:$E$1005,MATCH(B549,'Contractors'!$B$6:$B$1005,0)),"")))</f>
        <v/>
      </c>
      <c r="R549" s="79">
        <f>IF(O549="","",IF(O549="OVERDUE",2,IF(O549="Paid",0,IF(AND(I549&lt;&gt;"",I549&lt;=AsOf+AlertDays),1,0))))</f>
        <v/>
      </c>
      <c r="S549" s="79">
        <f>IF(AND(B549&lt;&gt;"",M549="",I549&lt;&gt;""),IF(L549&lt;&gt;"",L549,IF(H549="",0,H549)),0)</f>
        <v/>
      </c>
      <c r="T549" s="79">
        <f>IF(AND(B549&lt;&gt;"",M549="",I549&lt;&gt;""),1/I549,0)</f>
        <v/>
      </c>
      <c r="U549" s="112">
        <f>IF(AND(B549&lt;&gt;"",M549="",I549&lt;&gt;""),I549,"")</f>
        <v/>
      </c>
      <c r="V549" s="79">
        <f>IF(U549="","",IF(U549&lt;AsOf,1,IF(U549&lt;=AsOf+AlertDays,2,IF(U549&lt;=AsOf+2*AlertDays,3,""))))</f>
        <v/>
      </c>
      <c r="W549" s="79">
        <f>IF(V549="","",IF(O549="OVERDUE","Overdue payment: ","Payment due: ")&amp;B549&amp;" — "&amp;C549&amp;" ("&amp;CurSym&amp;" "&amp;FIXED(S549,0)&amp;")")</f>
        <v/>
      </c>
      <c r="Z549" s="116">
        <f>IF('Contractors'!B549="","",'Contractors'!B549)</f>
        <v/>
      </c>
      <c r="AA549" s="77">
        <f>IF(Z549="","",'Contractors'!K549)</f>
        <v/>
      </c>
      <c r="AB549" s="77">
        <f>IF(Z549="","",SUMIFS($L$6:$L$1005,$B$6:$B$1005,Z549))</f>
        <v/>
      </c>
      <c r="AC549" s="77">
        <f>IF(Z549="","",SUMIFS($N$6:$N$1005,$B$6:$B$1005,Z549))</f>
        <v/>
      </c>
      <c r="AD549" s="76">
        <f>IF(Z549="","",AA549-AC549)</f>
        <v/>
      </c>
      <c r="AE549" s="117">
        <f>IF(Z549="","",IFERROR(1/SUMPRODUCT(MAX(($B$6:$B$1005=Z549)*$T$6:$T$1005)),""))</f>
        <v/>
      </c>
      <c r="AF549" s="77">
        <f>IF(AE549="","",SUMIFS($S$6:$S$1005,$B$6:$B$1005,Z549,$I$6:$I$1005,AE549))</f>
        <v/>
      </c>
    </row>
    <row r="550" ht="20" customHeight="1">
      <c r="B550" s="72" t="n"/>
      <c r="C550" s="72" t="n"/>
      <c r="D550" s="72" t="n"/>
      <c r="E550" s="72" t="n"/>
      <c r="F550" s="110" t="n"/>
      <c r="G550" s="73" t="n"/>
      <c r="H550" s="75">
        <f>IF(B550="","",IF(G550&lt;&gt;"",G550,IF(F550&lt;&gt;"",F550*IFERROR(INDEX('Contractors'!$I$6:$I$1005,MATCH(B550,'Contractors'!$B$6:$B$1005,0)),0),"")))</f>
        <v/>
      </c>
      <c r="I550" s="109" t="n"/>
      <c r="J550" s="72" t="n"/>
      <c r="K550" s="109" t="n"/>
      <c r="L550" s="73" t="n"/>
      <c r="M550" s="109" t="n"/>
      <c r="N550" s="73" t="n"/>
      <c r="O550" s="107">
        <f>IF(B550="","",IF(M550&lt;&gt;"","Paid",IF(AND(I550&lt;&gt;"",I550&lt;AsOf),"OVERDUE",IF(OR(K550&lt;&gt;"",L550&lt;&gt;""),"Invoiced","Scheduled"))))</f>
        <v/>
      </c>
      <c r="P550" s="115">
        <f>IF(B550="","",IF(E550&lt;&gt;"",E550,IFERROR(INDEX('Contractors'!$D$6:$D$1005,MATCH(B550,'Contractors'!$B$6:$B$1005,0)),"")))</f>
        <v/>
      </c>
      <c r="Q550" s="79">
        <f>IF(B550="","",IF(D550&lt;&gt;"",D550,IFERROR(INDEX('Contractors'!$E$6:$E$1005,MATCH(B550,'Contractors'!$B$6:$B$1005,0)),"")))</f>
        <v/>
      </c>
      <c r="R550" s="79">
        <f>IF(O550="","",IF(O550="OVERDUE",2,IF(O550="Paid",0,IF(AND(I550&lt;&gt;"",I550&lt;=AsOf+AlertDays),1,0))))</f>
        <v/>
      </c>
      <c r="S550" s="79">
        <f>IF(AND(B550&lt;&gt;"",M550="",I550&lt;&gt;""),IF(L550&lt;&gt;"",L550,IF(H550="",0,H550)),0)</f>
        <v/>
      </c>
      <c r="T550" s="79">
        <f>IF(AND(B550&lt;&gt;"",M550="",I550&lt;&gt;""),1/I550,0)</f>
        <v/>
      </c>
      <c r="U550" s="112">
        <f>IF(AND(B550&lt;&gt;"",M550="",I550&lt;&gt;""),I550,"")</f>
        <v/>
      </c>
      <c r="V550" s="79">
        <f>IF(U550="","",IF(U550&lt;AsOf,1,IF(U550&lt;=AsOf+AlertDays,2,IF(U550&lt;=AsOf+2*AlertDays,3,""))))</f>
        <v/>
      </c>
      <c r="W550" s="79">
        <f>IF(V550="","",IF(O550="OVERDUE","Overdue payment: ","Payment due: ")&amp;B550&amp;" — "&amp;C550&amp;" ("&amp;CurSym&amp;" "&amp;FIXED(S550,0)&amp;")")</f>
        <v/>
      </c>
      <c r="Z550" s="116">
        <f>IF('Contractors'!B550="","",'Contractors'!B550)</f>
        <v/>
      </c>
      <c r="AA550" s="77">
        <f>IF(Z550="","",'Contractors'!K550)</f>
        <v/>
      </c>
      <c r="AB550" s="77">
        <f>IF(Z550="","",SUMIFS($L$6:$L$1005,$B$6:$B$1005,Z550))</f>
        <v/>
      </c>
      <c r="AC550" s="77">
        <f>IF(Z550="","",SUMIFS($N$6:$N$1005,$B$6:$B$1005,Z550))</f>
        <v/>
      </c>
      <c r="AD550" s="76">
        <f>IF(Z550="","",AA550-AC550)</f>
        <v/>
      </c>
      <c r="AE550" s="117">
        <f>IF(Z550="","",IFERROR(1/SUMPRODUCT(MAX(($B$6:$B$1005=Z550)*$T$6:$T$1005)),""))</f>
        <v/>
      </c>
      <c r="AF550" s="77">
        <f>IF(AE550="","",SUMIFS($S$6:$S$1005,$B$6:$B$1005,Z550,$I$6:$I$1005,AE550))</f>
        <v/>
      </c>
    </row>
    <row r="551" ht="20" customHeight="1">
      <c r="B551" s="72" t="n"/>
      <c r="C551" s="72" t="n"/>
      <c r="D551" s="72" t="n"/>
      <c r="E551" s="72" t="n"/>
      <c r="F551" s="110" t="n"/>
      <c r="G551" s="73" t="n"/>
      <c r="H551" s="75">
        <f>IF(B551="","",IF(G551&lt;&gt;"",G551,IF(F551&lt;&gt;"",F551*IFERROR(INDEX('Contractors'!$I$6:$I$1005,MATCH(B551,'Contractors'!$B$6:$B$1005,0)),0),"")))</f>
        <v/>
      </c>
      <c r="I551" s="109" t="n"/>
      <c r="J551" s="72" t="n"/>
      <c r="K551" s="109" t="n"/>
      <c r="L551" s="73" t="n"/>
      <c r="M551" s="109" t="n"/>
      <c r="N551" s="73" t="n"/>
      <c r="O551" s="107">
        <f>IF(B551="","",IF(M551&lt;&gt;"","Paid",IF(AND(I551&lt;&gt;"",I551&lt;AsOf),"OVERDUE",IF(OR(K551&lt;&gt;"",L551&lt;&gt;""),"Invoiced","Scheduled"))))</f>
        <v/>
      </c>
      <c r="P551" s="115">
        <f>IF(B551="","",IF(E551&lt;&gt;"",E551,IFERROR(INDEX('Contractors'!$D$6:$D$1005,MATCH(B551,'Contractors'!$B$6:$B$1005,0)),"")))</f>
        <v/>
      </c>
      <c r="Q551" s="79">
        <f>IF(B551="","",IF(D551&lt;&gt;"",D551,IFERROR(INDEX('Contractors'!$E$6:$E$1005,MATCH(B551,'Contractors'!$B$6:$B$1005,0)),"")))</f>
        <v/>
      </c>
      <c r="R551" s="79">
        <f>IF(O551="","",IF(O551="OVERDUE",2,IF(O551="Paid",0,IF(AND(I551&lt;&gt;"",I551&lt;=AsOf+AlertDays),1,0))))</f>
        <v/>
      </c>
      <c r="S551" s="79">
        <f>IF(AND(B551&lt;&gt;"",M551="",I551&lt;&gt;""),IF(L551&lt;&gt;"",L551,IF(H551="",0,H551)),0)</f>
        <v/>
      </c>
      <c r="T551" s="79">
        <f>IF(AND(B551&lt;&gt;"",M551="",I551&lt;&gt;""),1/I551,0)</f>
        <v/>
      </c>
      <c r="U551" s="112">
        <f>IF(AND(B551&lt;&gt;"",M551="",I551&lt;&gt;""),I551,"")</f>
        <v/>
      </c>
      <c r="V551" s="79">
        <f>IF(U551="","",IF(U551&lt;AsOf,1,IF(U551&lt;=AsOf+AlertDays,2,IF(U551&lt;=AsOf+2*AlertDays,3,""))))</f>
        <v/>
      </c>
      <c r="W551" s="79">
        <f>IF(V551="","",IF(O551="OVERDUE","Overdue payment: ","Payment due: ")&amp;B551&amp;" — "&amp;C551&amp;" ("&amp;CurSym&amp;" "&amp;FIXED(S551,0)&amp;")")</f>
        <v/>
      </c>
      <c r="Z551" s="116">
        <f>IF('Contractors'!B551="","",'Contractors'!B551)</f>
        <v/>
      </c>
      <c r="AA551" s="77">
        <f>IF(Z551="","",'Contractors'!K551)</f>
        <v/>
      </c>
      <c r="AB551" s="77">
        <f>IF(Z551="","",SUMIFS($L$6:$L$1005,$B$6:$B$1005,Z551))</f>
        <v/>
      </c>
      <c r="AC551" s="77">
        <f>IF(Z551="","",SUMIFS($N$6:$N$1005,$B$6:$B$1005,Z551))</f>
        <v/>
      </c>
      <c r="AD551" s="76">
        <f>IF(Z551="","",AA551-AC551)</f>
        <v/>
      </c>
      <c r="AE551" s="117">
        <f>IF(Z551="","",IFERROR(1/SUMPRODUCT(MAX(($B$6:$B$1005=Z551)*$T$6:$T$1005)),""))</f>
        <v/>
      </c>
      <c r="AF551" s="77">
        <f>IF(AE551="","",SUMIFS($S$6:$S$1005,$B$6:$B$1005,Z551,$I$6:$I$1005,AE551))</f>
        <v/>
      </c>
    </row>
    <row r="552" ht="20" customHeight="1">
      <c r="B552" s="72" t="n"/>
      <c r="C552" s="72" t="n"/>
      <c r="D552" s="72" t="n"/>
      <c r="E552" s="72" t="n"/>
      <c r="F552" s="110" t="n"/>
      <c r="G552" s="73" t="n"/>
      <c r="H552" s="75">
        <f>IF(B552="","",IF(G552&lt;&gt;"",G552,IF(F552&lt;&gt;"",F552*IFERROR(INDEX('Contractors'!$I$6:$I$1005,MATCH(B552,'Contractors'!$B$6:$B$1005,0)),0),"")))</f>
        <v/>
      </c>
      <c r="I552" s="109" t="n"/>
      <c r="J552" s="72" t="n"/>
      <c r="K552" s="109" t="n"/>
      <c r="L552" s="73" t="n"/>
      <c r="M552" s="109" t="n"/>
      <c r="N552" s="73" t="n"/>
      <c r="O552" s="107">
        <f>IF(B552="","",IF(M552&lt;&gt;"","Paid",IF(AND(I552&lt;&gt;"",I552&lt;AsOf),"OVERDUE",IF(OR(K552&lt;&gt;"",L552&lt;&gt;""),"Invoiced","Scheduled"))))</f>
        <v/>
      </c>
      <c r="P552" s="115">
        <f>IF(B552="","",IF(E552&lt;&gt;"",E552,IFERROR(INDEX('Contractors'!$D$6:$D$1005,MATCH(B552,'Contractors'!$B$6:$B$1005,0)),"")))</f>
        <v/>
      </c>
      <c r="Q552" s="79">
        <f>IF(B552="","",IF(D552&lt;&gt;"",D552,IFERROR(INDEX('Contractors'!$E$6:$E$1005,MATCH(B552,'Contractors'!$B$6:$B$1005,0)),"")))</f>
        <v/>
      </c>
      <c r="R552" s="79">
        <f>IF(O552="","",IF(O552="OVERDUE",2,IF(O552="Paid",0,IF(AND(I552&lt;&gt;"",I552&lt;=AsOf+AlertDays),1,0))))</f>
        <v/>
      </c>
      <c r="S552" s="79">
        <f>IF(AND(B552&lt;&gt;"",M552="",I552&lt;&gt;""),IF(L552&lt;&gt;"",L552,IF(H552="",0,H552)),0)</f>
        <v/>
      </c>
      <c r="T552" s="79">
        <f>IF(AND(B552&lt;&gt;"",M552="",I552&lt;&gt;""),1/I552,0)</f>
        <v/>
      </c>
      <c r="U552" s="112">
        <f>IF(AND(B552&lt;&gt;"",M552="",I552&lt;&gt;""),I552,"")</f>
        <v/>
      </c>
      <c r="V552" s="79">
        <f>IF(U552="","",IF(U552&lt;AsOf,1,IF(U552&lt;=AsOf+AlertDays,2,IF(U552&lt;=AsOf+2*AlertDays,3,""))))</f>
        <v/>
      </c>
      <c r="W552" s="79">
        <f>IF(V552="","",IF(O552="OVERDUE","Overdue payment: ","Payment due: ")&amp;B552&amp;" — "&amp;C552&amp;" ("&amp;CurSym&amp;" "&amp;FIXED(S552,0)&amp;")")</f>
        <v/>
      </c>
      <c r="Z552" s="116">
        <f>IF('Contractors'!B552="","",'Contractors'!B552)</f>
        <v/>
      </c>
      <c r="AA552" s="77">
        <f>IF(Z552="","",'Contractors'!K552)</f>
        <v/>
      </c>
      <c r="AB552" s="77">
        <f>IF(Z552="","",SUMIFS($L$6:$L$1005,$B$6:$B$1005,Z552))</f>
        <v/>
      </c>
      <c r="AC552" s="77">
        <f>IF(Z552="","",SUMIFS($N$6:$N$1005,$B$6:$B$1005,Z552))</f>
        <v/>
      </c>
      <c r="AD552" s="76">
        <f>IF(Z552="","",AA552-AC552)</f>
        <v/>
      </c>
      <c r="AE552" s="117">
        <f>IF(Z552="","",IFERROR(1/SUMPRODUCT(MAX(($B$6:$B$1005=Z552)*$T$6:$T$1005)),""))</f>
        <v/>
      </c>
      <c r="AF552" s="77">
        <f>IF(AE552="","",SUMIFS($S$6:$S$1005,$B$6:$B$1005,Z552,$I$6:$I$1005,AE552))</f>
        <v/>
      </c>
    </row>
    <row r="553" ht="20" customHeight="1">
      <c r="B553" s="72" t="n"/>
      <c r="C553" s="72" t="n"/>
      <c r="D553" s="72" t="n"/>
      <c r="E553" s="72" t="n"/>
      <c r="F553" s="110" t="n"/>
      <c r="G553" s="73" t="n"/>
      <c r="H553" s="75">
        <f>IF(B553="","",IF(G553&lt;&gt;"",G553,IF(F553&lt;&gt;"",F553*IFERROR(INDEX('Contractors'!$I$6:$I$1005,MATCH(B553,'Contractors'!$B$6:$B$1005,0)),0),"")))</f>
        <v/>
      </c>
      <c r="I553" s="109" t="n"/>
      <c r="J553" s="72" t="n"/>
      <c r="K553" s="109" t="n"/>
      <c r="L553" s="73" t="n"/>
      <c r="M553" s="109" t="n"/>
      <c r="N553" s="73" t="n"/>
      <c r="O553" s="107">
        <f>IF(B553="","",IF(M553&lt;&gt;"","Paid",IF(AND(I553&lt;&gt;"",I553&lt;AsOf),"OVERDUE",IF(OR(K553&lt;&gt;"",L553&lt;&gt;""),"Invoiced","Scheduled"))))</f>
        <v/>
      </c>
      <c r="P553" s="115">
        <f>IF(B553="","",IF(E553&lt;&gt;"",E553,IFERROR(INDEX('Contractors'!$D$6:$D$1005,MATCH(B553,'Contractors'!$B$6:$B$1005,0)),"")))</f>
        <v/>
      </c>
      <c r="Q553" s="79">
        <f>IF(B553="","",IF(D553&lt;&gt;"",D553,IFERROR(INDEX('Contractors'!$E$6:$E$1005,MATCH(B553,'Contractors'!$B$6:$B$1005,0)),"")))</f>
        <v/>
      </c>
      <c r="R553" s="79">
        <f>IF(O553="","",IF(O553="OVERDUE",2,IF(O553="Paid",0,IF(AND(I553&lt;&gt;"",I553&lt;=AsOf+AlertDays),1,0))))</f>
        <v/>
      </c>
      <c r="S553" s="79">
        <f>IF(AND(B553&lt;&gt;"",M553="",I553&lt;&gt;""),IF(L553&lt;&gt;"",L553,IF(H553="",0,H553)),0)</f>
        <v/>
      </c>
      <c r="T553" s="79">
        <f>IF(AND(B553&lt;&gt;"",M553="",I553&lt;&gt;""),1/I553,0)</f>
        <v/>
      </c>
      <c r="U553" s="112">
        <f>IF(AND(B553&lt;&gt;"",M553="",I553&lt;&gt;""),I553,"")</f>
        <v/>
      </c>
      <c r="V553" s="79">
        <f>IF(U553="","",IF(U553&lt;AsOf,1,IF(U553&lt;=AsOf+AlertDays,2,IF(U553&lt;=AsOf+2*AlertDays,3,""))))</f>
        <v/>
      </c>
      <c r="W553" s="79">
        <f>IF(V553="","",IF(O553="OVERDUE","Overdue payment: ","Payment due: ")&amp;B553&amp;" — "&amp;C553&amp;" ("&amp;CurSym&amp;" "&amp;FIXED(S553,0)&amp;")")</f>
        <v/>
      </c>
      <c r="Z553" s="116">
        <f>IF('Contractors'!B553="","",'Contractors'!B553)</f>
        <v/>
      </c>
      <c r="AA553" s="77">
        <f>IF(Z553="","",'Contractors'!K553)</f>
        <v/>
      </c>
      <c r="AB553" s="77">
        <f>IF(Z553="","",SUMIFS($L$6:$L$1005,$B$6:$B$1005,Z553))</f>
        <v/>
      </c>
      <c r="AC553" s="77">
        <f>IF(Z553="","",SUMIFS($N$6:$N$1005,$B$6:$B$1005,Z553))</f>
        <v/>
      </c>
      <c r="AD553" s="76">
        <f>IF(Z553="","",AA553-AC553)</f>
        <v/>
      </c>
      <c r="AE553" s="117">
        <f>IF(Z553="","",IFERROR(1/SUMPRODUCT(MAX(($B$6:$B$1005=Z553)*$T$6:$T$1005)),""))</f>
        <v/>
      </c>
      <c r="AF553" s="77">
        <f>IF(AE553="","",SUMIFS($S$6:$S$1005,$B$6:$B$1005,Z553,$I$6:$I$1005,AE553))</f>
        <v/>
      </c>
    </row>
    <row r="554" ht="20" customHeight="1">
      <c r="B554" s="72" t="n"/>
      <c r="C554" s="72" t="n"/>
      <c r="D554" s="72" t="n"/>
      <c r="E554" s="72" t="n"/>
      <c r="F554" s="110" t="n"/>
      <c r="G554" s="73" t="n"/>
      <c r="H554" s="75">
        <f>IF(B554="","",IF(G554&lt;&gt;"",G554,IF(F554&lt;&gt;"",F554*IFERROR(INDEX('Contractors'!$I$6:$I$1005,MATCH(B554,'Contractors'!$B$6:$B$1005,0)),0),"")))</f>
        <v/>
      </c>
      <c r="I554" s="109" t="n"/>
      <c r="J554" s="72" t="n"/>
      <c r="K554" s="109" t="n"/>
      <c r="L554" s="73" t="n"/>
      <c r="M554" s="109" t="n"/>
      <c r="N554" s="73" t="n"/>
      <c r="O554" s="107">
        <f>IF(B554="","",IF(M554&lt;&gt;"","Paid",IF(AND(I554&lt;&gt;"",I554&lt;AsOf),"OVERDUE",IF(OR(K554&lt;&gt;"",L554&lt;&gt;""),"Invoiced","Scheduled"))))</f>
        <v/>
      </c>
      <c r="P554" s="115">
        <f>IF(B554="","",IF(E554&lt;&gt;"",E554,IFERROR(INDEX('Contractors'!$D$6:$D$1005,MATCH(B554,'Contractors'!$B$6:$B$1005,0)),"")))</f>
        <v/>
      </c>
      <c r="Q554" s="79">
        <f>IF(B554="","",IF(D554&lt;&gt;"",D554,IFERROR(INDEX('Contractors'!$E$6:$E$1005,MATCH(B554,'Contractors'!$B$6:$B$1005,0)),"")))</f>
        <v/>
      </c>
      <c r="R554" s="79">
        <f>IF(O554="","",IF(O554="OVERDUE",2,IF(O554="Paid",0,IF(AND(I554&lt;&gt;"",I554&lt;=AsOf+AlertDays),1,0))))</f>
        <v/>
      </c>
      <c r="S554" s="79">
        <f>IF(AND(B554&lt;&gt;"",M554="",I554&lt;&gt;""),IF(L554&lt;&gt;"",L554,IF(H554="",0,H554)),0)</f>
        <v/>
      </c>
      <c r="T554" s="79">
        <f>IF(AND(B554&lt;&gt;"",M554="",I554&lt;&gt;""),1/I554,0)</f>
        <v/>
      </c>
      <c r="U554" s="112">
        <f>IF(AND(B554&lt;&gt;"",M554="",I554&lt;&gt;""),I554,"")</f>
        <v/>
      </c>
      <c r="V554" s="79">
        <f>IF(U554="","",IF(U554&lt;AsOf,1,IF(U554&lt;=AsOf+AlertDays,2,IF(U554&lt;=AsOf+2*AlertDays,3,""))))</f>
        <v/>
      </c>
      <c r="W554" s="79">
        <f>IF(V554="","",IF(O554="OVERDUE","Overdue payment: ","Payment due: ")&amp;B554&amp;" — "&amp;C554&amp;" ("&amp;CurSym&amp;" "&amp;FIXED(S554,0)&amp;")")</f>
        <v/>
      </c>
      <c r="Z554" s="116">
        <f>IF('Contractors'!B554="","",'Contractors'!B554)</f>
        <v/>
      </c>
      <c r="AA554" s="77">
        <f>IF(Z554="","",'Contractors'!K554)</f>
        <v/>
      </c>
      <c r="AB554" s="77">
        <f>IF(Z554="","",SUMIFS($L$6:$L$1005,$B$6:$B$1005,Z554))</f>
        <v/>
      </c>
      <c r="AC554" s="77">
        <f>IF(Z554="","",SUMIFS($N$6:$N$1005,$B$6:$B$1005,Z554))</f>
        <v/>
      </c>
      <c r="AD554" s="76">
        <f>IF(Z554="","",AA554-AC554)</f>
        <v/>
      </c>
      <c r="AE554" s="117">
        <f>IF(Z554="","",IFERROR(1/SUMPRODUCT(MAX(($B$6:$B$1005=Z554)*$T$6:$T$1005)),""))</f>
        <v/>
      </c>
      <c r="AF554" s="77">
        <f>IF(AE554="","",SUMIFS($S$6:$S$1005,$B$6:$B$1005,Z554,$I$6:$I$1005,AE554))</f>
        <v/>
      </c>
    </row>
    <row r="555" ht="20" customHeight="1">
      <c r="B555" s="72" t="n"/>
      <c r="C555" s="72" t="n"/>
      <c r="D555" s="72" t="n"/>
      <c r="E555" s="72" t="n"/>
      <c r="F555" s="110" t="n"/>
      <c r="G555" s="73" t="n"/>
      <c r="H555" s="75">
        <f>IF(B555="","",IF(G555&lt;&gt;"",G555,IF(F555&lt;&gt;"",F555*IFERROR(INDEX('Contractors'!$I$6:$I$1005,MATCH(B555,'Contractors'!$B$6:$B$1005,0)),0),"")))</f>
        <v/>
      </c>
      <c r="I555" s="109" t="n"/>
      <c r="J555" s="72" t="n"/>
      <c r="K555" s="109" t="n"/>
      <c r="L555" s="73" t="n"/>
      <c r="M555" s="109" t="n"/>
      <c r="N555" s="73" t="n"/>
      <c r="O555" s="107">
        <f>IF(B555="","",IF(M555&lt;&gt;"","Paid",IF(AND(I555&lt;&gt;"",I555&lt;AsOf),"OVERDUE",IF(OR(K555&lt;&gt;"",L555&lt;&gt;""),"Invoiced","Scheduled"))))</f>
        <v/>
      </c>
      <c r="P555" s="115">
        <f>IF(B555="","",IF(E555&lt;&gt;"",E555,IFERROR(INDEX('Contractors'!$D$6:$D$1005,MATCH(B555,'Contractors'!$B$6:$B$1005,0)),"")))</f>
        <v/>
      </c>
      <c r="Q555" s="79">
        <f>IF(B555="","",IF(D555&lt;&gt;"",D555,IFERROR(INDEX('Contractors'!$E$6:$E$1005,MATCH(B555,'Contractors'!$B$6:$B$1005,0)),"")))</f>
        <v/>
      </c>
      <c r="R555" s="79">
        <f>IF(O555="","",IF(O555="OVERDUE",2,IF(O555="Paid",0,IF(AND(I555&lt;&gt;"",I555&lt;=AsOf+AlertDays),1,0))))</f>
        <v/>
      </c>
      <c r="S555" s="79">
        <f>IF(AND(B555&lt;&gt;"",M555="",I555&lt;&gt;""),IF(L555&lt;&gt;"",L555,IF(H555="",0,H555)),0)</f>
        <v/>
      </c>
      <c r="T555" s="79">
        <f>IF(AND(B555&lt;&gt;"",M555="",I555&lt;&gt;""),1/I555,0)</f>
        <v/>
      </c>
      <c r="U555" s="112">
        <f>IF(AND(B555&lt;&gt;"",M555="",I555&lt;&gt;""),I555,"")</f>
        <v/>
      </c>
      <c r="V555" s="79">
        <f>IF(U555="","",IF(U555&lt;AsOf,1,IF(U555&lt;=AsOf+AlertDays,2,IF(U555&lt;=AsOf+2*AlertDays,3,""))))</f>
        <v/>
      </c>
      <c r="W555" s="79">
        <f>IF(V555="","",IF(O555="OVERDUE","Overdue payment: ","Payment due: ")&amp;B555&amp;" — "&amp;C555&amp;" ("&amp;CurSym&amp;" "&amp;FIXED(S555,0)&amp;")")</f>
        <v/>
      </c>
      <c r="Z555" s="116">
        <f>IF('Contractors'!B555="","",'Contractors'!B555)</f>
        <v/>
      </c>
      <c r="AA555" s="77">
        <f>IF(Z555="","",'Contractors'!K555)</f>
        <v/>
      </c>
      <c r="AB555" s="77">
        <f>IF(Z555="","",SUMIFS($L$6:$L$1005,$B$6:$B$1005,Z555))</f>
        <v/>
      </c>
      <c r="AC555" s="77">
        <f>IF(Z555="","",SUMIFS($N$6:$N$1005,$B$6:$B$1005,Z555))</f>
        <v/>
      </c>
      <c r="AD555" s="76">
        <f>IF(Z555="","",AA555-AC555)</f>
        <v/>
      </c>
      <c r="AE555" s="117">
        <f>IF(Z555="","",IFERROR(1/SUMPRODUCT(MAX(($B$6:$B$1005=Z555)*$T$6:$T$1005)),""))</f>
        <v/>
      </c>
      <c r="AF555" s="77">
        <f>IF(AE555="","",SUMIFS($S$6:$S$1005,$B$6:$B$1005,Z555,$I$6:$I$1005,AE555))</f>
        <v/>
      </c>
    </row>
    <row r="556" ht="20" customHeight="1">
      <c r="B556" s="72" t="n"/>
      <c r="C556" s="72" t="n"/>
      <c r="D556" s="72" t="n"/>
      <c r="E556" s="72" t="n"/>
      <c r="F556" s="110" t="n"/>
      <c r="G556" s="73" t="n"/>
      <c r="H556" s="75">
        <f>IF(B556="","",IF(G556&lt;&gt;"",G556,IF(F556&lt;&gt;"",F556*IFERROR(INDEX('Contractors'!$I$6:$I$1005,MATCH(B556,'Contractors'!$B$6:$B$1005,0)),0),"")))</f>
        <v/>
      </c>
      <c r="I556" s="109" t="n"/>
      <c r="J556" s="72" t="n"/>
      <c r="K556" s="109" t="n"/>
      <c r="L556" s="73" t="n"/>
      <c r="M556" s="109" t="n"/>
      <c r="N556" s="73" t="n"/>
      <c r="O556" s="107">
        <f>IF(B556="","",IF(M556&lt;&gt;"","Paid",IF(AND(I556&lt;&gt;"",I556&lt;AsOf),"OVERDUE",IF(OR(K556&lt;&gt;"",L556&lt;&gt;""),"Invoiced","Scheduled"))))</f>
        <v/>
      </c>
      <c r="P556" s="115">
        <f>IF(B556="","",IF(E556&lt;&gt;"",E556,IFERROR(INDEX('Contractors'!$D$6:$D$1005,MATCH(B556,'Contractors'!$B$6:$B$1005,0)),"")))</f>
        <v/>
      </c>
      <c r="Q556" s="79">
        <f>IF(B556="","",IF(D556&lt;&gt;"",D556,IFERROR(INDEX('Contractors'!$E$6:$E$1005,MATCH(B556,'Contractors'!$B$6:$B$1005,0)),"")))</f>
        <v/>
      </c>
      <c r="R556" s="79">
        <f>IF(O556="","",IF(O556="OVERDUE",2,IF(O556="Paid",0,IF(AND(I556&lt;&gt;"",I556&lt;=AsOf+AlertDays),1,0))))</f>
        <v/>
      </c>
      <c r="S556" s="79">
        <f>IF(AND(B556&lt;&gt;"",M556="",I556&lt;&gt;""),IF(L556&lt;&gt;"",L556,IF(H556="",0,H556)),0)</f>
        <v/>
      </c>
      <c r="T556" s="79">
        <f>IF(AND(B556&lt;&gt;"",M556="",I556&lt;&gt;""),1/I556,0)</f>
        <v/>
      </c>
      <c r="U556" s="112">
        <f>IF(AND(B556&lt;&gt;"",M556="",I556&lt;&gt;""),I556,"")</f>
        <v/>
      </c>
      <c r="V556" s="79">
        <f>IF(U556="","",IF(U556&lt;AsOf,1,IF(U556&lt;=AsOf+AlertDays,2,IF(U556&lt;=AsOf+2*AlertDays,3,""))))</f>
        <v/>
      </c>
      <c r="W556" s="79">
        <f>IF(V556="","",IF(O556="OVERDUE","Overdue payment: ","Payment due: ")&amp;B556&amp;" — "&amp;C556&amp;" ("&amp;CurSym&amp;" "&amp;FIXED(S556,0)&amp;")")</f>
        <v/>
      </c>
      <c r="Z556" s="116">
        <f>IF('Contractors'!B556="","",'Contractors'!B556)</f>
        <v/>
      </c>
      <c r="AA556" s="77">
        <f>IF(Z556="","",'Contractors'!K556)</f>
        <v/>
      </c>
      <c r="AB556" s="77">
        <f>IF(Z556="","",SUMIFS($L$6:$L$1005,$B$6:$B$1005,Z556))</f>
        <v/>
      </c>
      <c r="AC556" s="77">
        <f>IF(Z556="","",SUMIFS($N$6:$N$1005,$B$6:$B$1005,Z556))</f>
        <v/>
      </c>
      <c r="AD556" s="76">
        <f>IF(Z556="","",AA556-AC556)</f>
        <v/>
      </c>
      <c r="AE556" s="117">
        <f>IF(Z556="","",IFERROR(1/SUMPRODUCT(MAX(($B$6:$B$1005=Z556)*$T$6:$T$1005)),""))</f>
        <v/>
      </c>
      <c r="AF556" s="77">
        <f>IF(AE556="","",SUMIFS($S$6:$S$1005,$B$6:$B$1005,Z556,$I$6:$I$1005,AE556))</f>
        <v/>
      </c>
    </row>
    <row r="557" ht="20" customHeight="1">
      <c r="B557" s="72" t="n"/>
      <c r="C557" s="72" t="n"/>
      <c r="D557" s="72" t="n"/>
      <c r="E557" s="72" t="n"/>
      <c r="F557" s="110" t="n"/>
      <c r="G557" s="73" t="n"/>
      <c r="H557" s="75">
        <f>IF(B557="","",IF(G557&lt;&gt;"",G557,IF(F557&lt;&gt;"",F557*IFERROR(INDEX('Contractors'!$I$6:$I$1005,MATCH(B557,'Contractors'!$B$6:$B$1005,0)),0),"")))</f>
        <v/>
      </c>
      <c r="I557" s="109" t="n"/>
      <c r="J557" s="72" t="n"/>
      <c r="K557" s="109" t="n"/>
      <c r="L557" s="73" t="n"/>
      <c r="M557" s="109" t="n"/>
      <c r="N557" s="73" t="n"/>
      <c r="O557" s="107">
        <f>IF(B557="","",IF(M557&lt;&gt;"","Paid",IF(AND(I557&lt;&gt;"",I557&lt;AsOf),"OVERDUE",IF(OR(K557&lt;&gt;"",L557&lt;&gt;""),"Invoiced","Scheduled"))))</f>
        <v/>
      </c>
      <c r="P557" s="115">
        <f>IF(B557="","",IF(E557&lt;&gt;"",E557,IFERROR(INDEX('Contractors'!$D$6:$D$1005,MATCH(B557,'Contractors'!$B$6:$B$1005,0)),"")))</f>
        <v/>
      </c>
      <c r="Q557" s="79">
        <f>IF(B557="","",IF(D557&lt;&gt;"",D557,IFERROR(INDEX('Contractors'!$E$6:$E$1005,MATCH(B557,'Contractors'!$B$6:$B$1005,0)),"")))</f>
        <v/>
      </c>
      <c r="R557" s="79">
        <f>IF(O557="","",IF(O557="OVERDUE",2,IF(O557="Paid",0,IF(AND(I557&lt;&gt;"",I557&lt;=AsOf+AlertDays),1,0))))</f>
        <v/>
      </c>
      <c r="S557" s="79">
        <f>IF(AND(B557&lt;&gt;"",M557="",I557&lt;&gt;""),IF(L557&lt;&gt;"",L557,IF(H557="",0,H557)),0)</f>
        <v/>
      </c>
      <c r="T557" s="79">
        <f>IF(AND(B557&lt;&gt;"",M557="",I557&lt;&gt;""),1/I557,0)</f>
        <v/>
      </c>
      <c r="U557" s="112">
        <f>IF(AND(B557&lt;&gt;"",M557="",I557&lt;&gt;""),I557,"")</f>
        <v/>
      </c>
      <c r="V557" s="79">
        <f>IF(U557="","",IF(U557&lt;AsOf,1,IF(U557&lt;=AsOf+AlertDays,2,IF(U557&lt;=AsOf+2*AlertDays,3,""))))</f>
        <v/>
      </c>
      <c r="W557" s="79">
        <f>IF(V557="","",IF(O557="OVERDUE","Overdue payment: ","Payment due: ")&amp;B557&amp;" — "&amp;C557&amp;" ("&amp;CurSym&amp;" "&amp;FIXED(S557,0)&amp;")")</f>
        <v/>
      </c>
      <c r="Z557" s="116">
        <f>IF('Contractors'!B557="","",'Contractors'!B557)</f>
        <v/>
      </c>
      <c r="AA557" s="77">
        <f>IF(Z557="","",'Contractors'!K557)</f>
        <v/>
      </c>
      <c r="AB557" s="77">
        <f>IF(Z557="","",SUMIFS($L$6:$L$1005,$B$6:$B$1005,Z557))</f>
        <v/>
      </c>
      <c r="AC557" s="77">
        <f>IF(Z557="","",SUMIFS($N$6:$N$1005,$B$6:$B$1005,Z557))</f>
        <v/>
      </c>
      <c r="AD557" s="76">
        <f>IF(Z557="","",AA557-AC557)</f>
        <v/>
      </c>
      <c r="AE557" s="117">
        <f>IF(Z557="","",IFERROR(1/SUMPRODUCT(MAX(($B$6:$B$1005=Z557)*$T$6:$T$1005)),""))</f>
        <v/>
      </c>
      <c r="AF557" s="77">
        <f>IF(AE557="","",SUMIFS($S$6:$S$1005,$B$6:$B$1005,Z557,$I$6:$I$1005,AE557))</f>
        <v/>
      </c>
    </row>
    <row r="558" ht="20" customHeight="1">
      <c r="B558" s="72" t="n"/>
      <c r="C558" s="72" t="n"/>
      <c r="D558" s="72" t="n"/>
      <c r="E558" s="72" t="n"/>
      <c r="F558" s="110" t="n"/>
      <c r="G558" s="73" t="n"/>
      <c r="H558" s="75">
        <f>IF(B558="","",IF(G558&lt;&gt;"",G558,IF(F558&lt;&gt;"",F558*IFERROR(INDEX('Contractors'!$I$6:$I$1005,MATCH(B558,'Contractors'!$B$6:$B$1005,0)),0),"")))</f>
        <v/>
      </c>
      <c r="I558" s="109" t="n"/>
      <c r="J558" s="72" t="n"/>
      <c r="K558" s="109" t="n"/>
      <c r="L558" s="73" t="n"/>
      <c r="M558" s="109" t="n"/>
      <c r="N558" s="73" t="n"/>
      <c r="O558" s="107">
        <f>IF(B558="","",IF(M558&lt;&gt;"","Paid",IF(AND(I558&lt;&gt;"",I558&lt;AsOf),"OVERDUE",IF(OR(K558&lt;&gt;"",L558&lt;&gt;""),"Invoiced","Scheduled"))))</f>
        <v/>
      </c>
      <c r="P558" s="115">
        <f>IF(B558="","",IF(E558&lt;&gt;"",E558,IFERROR(INDEX('Contractors'!$D$6:$D$1005,MATCH(B558,'Contractors'!$B$6:$B$1005,0)),"")))</f>
        <v/>
      </c>
      <c r="Q558" s="79">
        <f>IF(B558="","",IF(D558&lt;&gt;"",D558,IFERROR(INDEX('Contractors'!$E$6:$E$1005,MATCH(B558,'Contractors'!$B$6:$B$1005,0)),"")))</f>
        <v/>
      </c>
      <c r="R558" s="79">
        <f>IF(O558="","",IF(O558="OVERDUE",2,IF(O558="Paid",0,IF(AND(I558&lt;&gt;"",I558&lt;=AsOf+AlertDays),1,0))))</f>
        <v/>
      </c>
      <c r="S558" s="79">
        <f>IF(AND(B558&lt;&gt;"",M558="",I558&lt;&gt;""),IF(L558&lt;&gt;"",L558,IF(H558="",0,H558)),0)</f>
        <v/>
      </c>
      <c r="T558" s="79">
        <f>IF(AND(B558&lt;&gt;"",M558="",I558&lt;&gt;""),1/I558,0)</f>
        <v/>
      </c>
      <c r="U558" s="112">
        <f>IF(AND(B558&lt;&gt;"",M558="",I558&lt;&gt;""),I558,"")</f>
        <v/>
      </c>
      <c r="V558" s="79">
        <f>IF(U558="","",IF(U558&lt;AsOf,1,IF(U558&lt;=AsOf+AlertDays,2,IF(U558&lt;=AsOf+2*AlertDays,3,""))))</f>
        <v/>
      </c>
      <c r="W558" s="79">
        <f>IF(V558="","",IF(O558="OVERDUE","Overdue payment: ","Payment due: ")&amp;B558&amp;" — "&amp;C558&amp;" ("&amp;CurSym&amp;" "&amp;FIXED(S558,0)&amp;")")</f>
        <v/>
      </c>
      <c r="Z558" s="116">
        <f>IF('Contractors'!B558="","",'Contractors'!B558)</f>
        <v/>
      </c>
      <c r="AA558" s="77">
        <f>IF(Z558="","",'Contractors'!K558)</f>
        <v/>
      </c>
      <c r="AB558" s="77">
        <f>IF(Z558="","",SUMIFS($L$6:$L$1005,$B$6:$B$1005,Z558))</f>
        <v/>
      </c>
      <c r="AC558" s="77">
        <f>IF(Z558="","",SUMIFS($N$6:$N$1005,$B$6:$B$1005,Z558))</f>
        <v/>
      </c>
      <c r="AD558" s="76">
        <f>IF(Z558="","",AA558-AC558)</f>
        <v/>
      </c>
      <c r="AE558" s="117">
        <f>IF(Z558="","",IFERROR(1/SUMPRODUCT(MAX(($B$6:$B$1005=Z558)*$T$6:$T$1005)),""))</f>
        <v/>
      </c>
      <c r="AF558" s="77">
        <f>IF(AE558="","",SUMIFS($S$6:$S$1005,$B$6:$B$1005,Z558,$I$6:$I$1005,AE558))</f>
        <v/>
      </c>
    </row>
    <row r="559" ht="20" customHeight="1">
      <c r="B559" s="72" t="n"/>
      <c r="C559" s="72" t="n"/>
      <c r="D559" s="72" t="n"/>
      <c r="E559" s="72" t="n"/>
      <c r="F559" s="110" t="n"/>
      <c r="G559" s="73" t="n"/>
      <c r="H559" s="75">
        <f>IF(B559="","",IF(G559&lt;&gt;"",G559,IF(F559&lt;&gt;"",F559*IFERROR(INDEX('Contractors'!$I$6:$I$1005,MATCH(B559,'Contractors'!$B$6:$B$1005,0)),0),"")))</f>
        <v/>
      </c>
      <c r="I559" s="109" t="n"/>
      <c r="J559" s="72" t="n"/>
      <c r="K559" s="109" t="n"/>
      <c r="L559" s="73" t="n"/>
      <c r="M559" s="109" t="n"/>
      <c r="N559" s="73" t="n"/>
      <c r="O559" s="107">
        <f>IF(B559="","",IF(M559&lt;&gt;"","Paid",IF(AND(I559&lt;&gt;"",I559&lt;AsOf),"OVERDUE",IF(OR(K559&lt;&gt;"",L559&lt;&gt;""),"Invoiced","Scheduled"))))</f>
        <v/>
      </c>
      <c r="P559" s="115">
        <f>IF(B559="","",IF(E559&lt;&gt;"",E559,IFERROR(INDEX('Contractors'!$D$6:$D$1005,MATCH(B559,'Contractors'!$B$6:$B$1005,0)),"")))</f>
        <v/>
      </c>
      <c r="Q559" s="79">
        <f>IF(B559="","",IF(D559&lt;&gt;"",D559,IFERROR(INDEX('Contractors'!$E$6:$E$1005,MATCH(B559,'Contractors'!$B$6:$B$1005,0)),"")))</f>
        <v/>
      </c>
      <c r="R559" s="79">
        <f>IF(O559="","",IF(O559="OVERDUE",2,IF(O559="Paid",0,IF(AND(I559&lt;&gt;"",I559&lt;=AsOf+AlertDays),1,0))))</f>
        <v/>
      </c>
      <c r="S559" s="79">
        <f>IF(AND(B559&lt;&gt;"",M559="",I559&lt;&gt;""),IF(L559&lt;&gt;"",L559,IF(H559="",0,H559)),0)</f>
        <v/>
      </c>
      <c r="T559" s="79">
        <f>IF(AND(B559&lt;&gt;"",M559="",I559&lt;&gt;""),1/I559,0)</f>
        <v/>
      </c>
      <c r="U559" s="112">
        <f>IF(AND(B559&lt;&gt;"",M559="",I559&lt;&gt;""),I559,"")</f>
        <v/>
      </c>
      <c r="V559" s="79">
        <f>IF(U559="","",IF(U559&lt;AsOf,1,IF(U559&lt;=AsOf+AlertDays,2,IF(U559&lt;=AsOf+2*AlertDays,3,""))))</f>
        <v/>
      </c>
      <c r="W559" s="79">
        <f>IF(V559="","",IF(O559="OVERDUE","Overdue payment: ","Payment due: ")&amp;B559&amp;" — "&amp;C559&amp;" ("&amp;CurSym&amp;" "&amp;FIXED(S559,0)&amp;")")</f>
        <v/>
      </c>
      <c r="Z559" s="116">
        <f>IF('Contractors'!B559="","",'Contractors'!B559)</f>
        <v/>
      </c>
      <c r="AA559" s="77">
        <f>IF(Z559="","",'Contractors'!K559)</f>
        <v/>
      </c>
      <c r="AB559" s="77">
        <f>IF(Z559="","",SUMIFS($L$6:$L$1005,$B$6:$B$1005,Z559))</f>
        <v/>
      </c>
      <c r="AC559" s="77">
        <f>IF(Z559="","",SUMIFS($N$6:$N$1005,$B$6:$B$1005,Z559))</f>
        <v/>
      </c>
      <c r="AD559" s="76">
        <f>IF(Z559="","",AA559-AC559)</f>
        <v/>
      </c>
      <c r="AE559" s="117">
        <f>IF(Z559="","",IFERROR(1/SUMPRODUCT(MAX(($B$6:$B$1005=Z559)*$T$6:$T$1005)),""))</f>
        <v/>
      </c>
      <c r="AF559" s="77">
        <f>IF(AE559="","",SUMIFS($S$6:$S$1005,$B$6:$B$1005,Z559,$I$6:$I$1005,AE559))</f>
        <v/>
      </c>
    </row>
    <row r="560" ht="20" customHeight="1">
      <c r="B560" s="72" t="n"/>
      <c r="C560" s="72" t="n"/>
      <c r="D560" s="72" t="n"/>
      <c r="E560" s="72" t="n"/>
      <c r="F560" s="110" t="n"/>
      <c r="G560" s="73" t="n"/>
      <c r="H560" s="75">
        <f>IF(B560="","",IF(G560&lt;&gt;"",G560,IF(F560&lt;&gt;"",F560*IFERROR(INDEX('Contractors'!$I$6:$I$1005,MATCH(B560,'Contractors'!$B$6:$B$1005,0)),0),"")))</f>
        <v/>
      </c>
      <c r="I560" s="109" t="n"/>
      <c r="J560" s="72" t="n"/>
      <c r="K560" s="109" t="n"/>
      <c r="L560" s="73" t="n"/>
      <c r="M560" s="109" t="n"/>
      <c r="N560" s="73" t="n"/>
      <c r="O560" s="107">
        <f>IF(B560="","",IF(M560&lt;&gt;"","Paid",IF(AND(I560&lt;&gt;"",I560&lt;AsOf),"OVERDUE",IF(OR(K560&lt;&gt;"",L560&lt;&gt;""),"Invoiced","Scheduled"))))</f>
        <v/>
      </c>
      <c r="P560" s="115">
        <f>IF(B560="","",IF(E560&lt;&gt;"",E560,IFERROR(INDEX('Contractors'!$D$6:$D$1005,MATCH(B560,'Contractors'!$B$6:$B$1005,0)),"")))</f>
        <v/>
      </c>
      <c r="Q560" s="79">
        <f>IF(B560="","",IF(D560&lt;&gt;"",D560,IFERROR(INDEX('Contractors'!$E$6:$E$1005,MATCH(B560,'Contractors'!$B$6:$B$1005,0)),"")))</f>
        <v/>
      </c>
      <c r="R560" s="79">
        <f>IF(O560="","",IF(O560="OVERDUE",2,IF(O560="Paid",0,IF(AND(I560&lt;&gt;"",I560&lt;=AsOf+AlertDays),1,0))))</f>
        <v/>
      </c>
      <c r="S560" s="79">
        <f>IF(AND(B560&lt;&gt;"",M560="",I560&lt;&gt;""),IF(L560&lt;&gt;"",L560,IF(H560="",0,H560)),0)</f>
        <v/>
      </c>
      <c r="T560" s="79">
        <f>IF(AND(B560&lt;&gt;"",M560="",I560&lt;&gt;""),1/I560,0)</f>
        <v/>
      </c>
      <c r="U560" s="112">
        <f>IF(AND(B560&lt;&gt;"",M560="",I560&lt;&gt;""),I560,"")</f>
        <v/>
      </c>
      <c r="V560" s="79">
        <f>IF(U560="","",IF(U560&lt;AsOf,1,IF(U560&lt;=AsOf+AlertDays,2,IF(U560&lt;=AsOf+2*AlertDays,3,""))))</f>
        <v/>
      </c>
      <c r="W560" s="79">
        <f>IF(V560="","",IF(O560="OVERDUE","Overdue payment: ","Payment due: ")&amp;B560&amp;" — "&amp;C560&amp;" ("&amp;CurSym&amp;" "&amp;FIXED(S560,0)&amp;")")</f>
        <v/>
      </c>
      <c r="Z560" s="116">
        <f>IF('Contractors'!B560="","",'Contractors'!B560)</f>
        <v/>
      </c>
      <c r="AA560" s="77">
        <f>IF(Z560="","",'Contractors'!K560)</f>
        <v/>
      </c>
      <c r="AB560" s="77">
        <f>IF(Z560="","",SUMIFS($L$6:$L$1005,$B$6:$B$1005,Z560))</f>
        <v/>
      </c>
      <c r="AC560" s="77">
        <f>IF(Z560="","",SUMIFS($N$6:$N$1005,$B$6:$B$1005,Z560))</f>
        <v/>
      </c>
      <c r="AD560" s="76">
        <f>IF(Z560="","",AA560-AC560)</f>
        <v/>
      </c>
      <c r="AE560" s="117">
        <f>IF(Z560="","",IFERROR(1/SUMPRODUCT(MAX(($B$6:$B$1005=Z560)*$T$6:$T$1005)),""))</f>
        <v/>
      </c>
      <c r="AF560" s="77">
        <f>IF(AE560="","",SUMIFS($S$6:$S$1005,$B$6:$B$1005,Z560,$I$6:$I$1005,AE560))</f>
        <v/>
      </c>
    </row>
    <row r="561" ht="20" customHeight="1">
      <c r="B561" s="72" t="n"/>
      <c r="C561" s="72" t="n"/>
      <c r="D561" s="72" t="n"/>
      <c r="E561" s="72" t="n"/>
      <c r="F561" s="110" t="n"/>
      <c r="G561" s="73" t="n"/>
      <c r="H561" s="75">
        <f>IF(B561="","",IF(G561&lt;&gt;"",G561,IF(F561&lt;&gt;"",F561*IFERROR(INDEX('Contractors'!$I$6:$I$1005,MATCH(B561,'Contractors'!$B$6:$B$1005,0)),0),"")))</f>
        <v/>
      </c>
      <c r="I561" s="109" t="n"/>
      <c r="J561" s="72" t="n"/>
      <c r="K561" s="109" t="n"/>
      <c r="L561" s="73" t="n"/>
      <c r="M561" s="109" t="n"/>
      <c r="N561" s="73" t="n"/>
      <c r="O561" s="107">
        <f>IF(B561="","",IF(M561&lt;&gt;"","Paid",IF(AND(I561&lt;&gt;"",I561&lt;AsOf),"OVERDUE",IF(OR(K561&lt;&gt;"",L561&lt;&gt;""),"Invoiced","Scheduled"))))</f>
        <v/>
      </c>
      <c r="P561" s="115">
        <f>IF(B561="","",IF(E561&lt;&gt;"",E561,IFERROR(INDEX('Contractors'!$D$6:$D$1005,MATCH(B561,'Contractors'!$B$6:$B$1005,0)),"")))</f>
        <v/>
      </c>
      <c r="Q561" s="79">
        <f>IF(B561="","",IF(D561&lt;&gt;"",D561,IFERROR(INDEX('Contractors'!$E$6:$E$1005,MATCH(B561,'Contractors'!$B$6:$B$1005,0)),"")))</f>
        <v/>
      </c>
      <c r="R561" s="79">
        <f>IF(O561="","",IF(O561="OVERDUE",2,IF(O561="Paid",0,IF(AND(I561&lt;&gt;"",I561&lt;=AsOf+AlertDays),1,0))))</f>
        <v/>
      </c>
      <c r="S561" s="79">
        <f>IF(AND(B561&lt;&gt;"",M561="",I561&lt;&gt;""),IF(L561&lt;&gt;"",L561,IF(H561="",0,H561)),0)</f>
        <v/>
      </c>
      <c r="T561" s="79">
        <f>IF(AND(B561&lt;&gt;"",M561="",I561&lt;&gt;""),1/I561,0)</f>
        <v/>
      </c>
      <c r="U561" s="112">
        <f>IF(AND(B561&lt;&gt;"",M561="",I561&lt;&gt;""),I561,"")</f>
        <v/>
      </c>
      <c r="V561" s="79">
        <f>IF(U561="","",IF(U561&lt;AsOf,1,IF(U561&lt;=AsOf+AlertDays,2,IF(U561&lt;=AsOf+2*AlertDays,3,""))))</f>
        <v/>
      </c>
      <c r="W561" s="79">
        <f>IF(V561="","",IF(O561="OVERDUE","Overdue payment: ","Payment due: ")&amp;B561&amp;" — "&amp;C561&amp;" ("&amp;CurSym&amp;" "&amp;FIXED(S561,0)&amp;")")</f>
        <v/>
      </c>
      <c r="Z561" s="116">
        <f>IF('Contractors'!B561="","",'Contractors'!B561)</f>
        <v/>
      </c>
      <c r="AA561" s="77">
        <f>IF(Z561="","",'Contractors'!K561)</f>
        <v/>
      </c>
      <c r="AB561" s="77">
        <f>IF(Z561="","",SUMIFS($L$6:$L$1005,$B$6:$B$1005,Z561))</f>
        <v/>
      </c>
      <c r="AC561" s="77">
        <f>IF(Z561="","",SUMIFS($N$6:$N$1005,$B$6:$B$1005,Z561))</f>
        <v/>
      </c>
      <c r="AD561" s="76">
        <f>IF(Z561="","",AA561-AC561)</f>
        <v/>
      </c>
      <c r="AE561" s="117">
        <f>IF(Z561="","",IFERROR(1/SUMPRODUCT(MAX(($B$6:$B$1005=Z561)*$T$6:$T$1005)),""))</f>
        <v/>
      </c>
      <c r="AF561" s="77">
        <f>IF(AE561="","",SUMIFS($S$6:$S$1005,$B$6:$B$1005,Z561,$I$6:$I$1005,AE561))</f>
        <v/>
      </c>
    </row>
    <row r="562" ht="20" customHeight="1">
      <c r="B562" s="72" t="n"/>
      <c r="C562" s="72" t="n"/>
      <c r="D562" s="72" t="n"/>
      <c r="E562" s="72" t="n"/>
      <c r="F562" s="110" t="n"/>
      <c r="G562" s="73" t="n"/>
      <c r="H562" s="75">
        <f>IF(B562="","",IF(G562&lt;&gt;"",G562,IF(F562&lt;&gt;"",F562*IFERROR(INDEX('Contractors'!$I$6:$I$1005,MATCH(B562,'Contractors'!$B$6:$B$1005,0)),0),"")))</f>
        <v/>
      </c>
      <c r="I562" s="109" t="n"/>
      <c r="J562" s="72" t="n"/>
      <c r="K562" s="109" t="n"/>
      <c r="L562" s="73" t="n"/>
      <c r="M562" s="109" t="n"/>
      <c r="N562" s="73" t="n"/>
      <c r="O562" s="107">
        <f>IF(B562="","",IF(M562&lt;&gt;"","Paid",IF(AND(I562&lt;&gt;"",I562&lt;AsOf),"OVERDUE",IF(OR(K562&lt;&gt;"",L562&lt;&gt;""),"Invoiced","Scheduled"))))</f>
        <v/>
      </c>
      <c r="P562" s="115">
        <f>IF(B562="","",IF(E562&lt;&gt;"",E562,IFERROR(INDEX('Contractors'!$D$6:$D$1005,MATCH(B562,'Contractors'!$B$6:$B$1005,0)),"")))</f>
        <v/>
      </c>
      <c r="Q562" s="79">
        <f>IF(B562="","",IF(D562&lt;&gt;"",D562,IFERROR(INDEX('Contractors'!$E$6:$E$1005,MATCH(B562,'Contractors'!$B$6:$B$1005,0)),"")))</f>
        <v/>
      </c>
      <c r="R562" s="79">
        <f>IF(O562="","",IF(O562="OVERDUE",2,IF(O562="Paid",0,IF(AND(I562&lt;&gt;"",I562&lt;=AsOf+AlertDays),1,0))))</f>
        <v/>
      </c>
      <c r="S562" s="79">
        <f>IF(AND(B562&lt;&gt;"",M562="",I562&lt;&gt;""),IF(L562&lt;&gt;"",L562,IF(H562="",0,H562)),0)</f>
        <v/>
      </c>
      <c r="T562" s="79">
        <f>IF(AND(B562&lt;&gt;"",M562="",I562&lt;&gt;""),1/I562,0)</f>
        <v/>
      </c>
      <c r="U562" s="112">
        <f>IF(AND(B562&lt;&gt;"",M562="",I562&lt;&gt;""),I562,"")</f>
        <v/>
      </c>
      <c r="V562" s="79">
        <f>IF(U562="","",IF(U562&lt;AsOf,1,IF(U562&lt;=AsOf+AlertDays,2,IF(U562&lt;=AsOf+2*AlertDays,3,""))))</f>
        <v/>
      </c>
      <c r="W562" s="79">
        <f>IF(V562="","",IF(O562="OVERDUE","Overdue payment: ","Payment due: ")&amp;B562&amp;" — "&amp;C562&amp;" ("&amp;CurSym&amp;" "&amp;FIXED(S562,0)&amp;")")</f>
        <v/>
      </c>
      <c r="Z562" s="116">
        <f>IF('Contractors'!B562="","",'Contractors'!B562)</f>
        <v/>
      </c>
      <c r="AA562" s="77">
        <f>IF(Z562="","",'Contractors'!K562)</f>
        <v/>
      </c>
      <c r="AB562" s="77">
        <f>IF(Z562="","",SUMIFS($L$6:$L$1005,$B$6:$B$1005,Z562))</f>
        <v/>
      </c>
      <c r="AC562" s="77">
        <f>IF(Z562="","",SUMIFS($N$6:$N$1005,$B$6:$B$1005,Z562))</f>
        <v/>
      </c>
      <c r="AD562" s="76">
        <f>IF(Z562="","",AA562-AC562)</f>
        <v/>
      </c>
      <c r="AE562" s="117">
        <f>IF(Z562="","",IFERROR(1/SUMPRODUCT(MAX(($B$6:$B$1005=Z562)*$T$6:$T$1005)),""))</f>
        <v/>
      </c>
      <c r="AF562" s="77">
        <f>IF(AE562="","",SUMIFS($S$6:$S$1005,$B$6:$B$1005,Z562,$I$6:$I$1005,AE562))</f>
        <v/>
      </c>
    </row>
    <row r="563" ht="20" customHeight="1">
      <c r="B563" s="72" t="n"/>
      <c r="C563" s="72" t="n"/>
      <c r="D563" s="72" t="n"/>
      <c r="E563" s="72" t="n"/>
      <c r="F563" s="110" t="n"/>
      <c r="G563" s="73" t="n"/>
      <c r="H563" s="75">
        <f>IF(B563="","",IF(G563&lt;&gt;"",G563,IF(F563&lt;&gt;"",F563*IFERROR(INDEX('Contractors'!$I$6:$I$1005,MATCH(B563,'Contractors'!$B$6:$B$1005,0)),0),"")))</f>
        <v/>
      </c>
      <c r="I563" s="109" t="n"/>
      <c r="J563" s="72" t="n"/>
      <c r="K563" s="109" t="n"/>
      <c r="L563" s="73" t="n"/>
      <c r="M563" s="109" t="n"/>
      <c r="N563" s="73" t="n"/>
      <c r="O563" s="107">
        <f>IF(B563="","",IF(M563&lt;&gt;"","Paid",IF(AND(I563&lt;&gt;"",I563&lt;AsOf),"OVERDUE",IF(OR(K563&lt;&gt;"",L563&lt;&gt;""),"Invoiced","Scheduled"))))</f>
        <v/>
      </c>
      <c r="P563" s="115">
        <f>IF(B563="","",IF(E563&lt;&gt;"",E563,IFERROR(INDEX('Contractors'!$D$6:$D$1005,MATCH(B563,'Contractors'!$B$6:$B$1005,0)),"")))</f>
        <v/>
      </c>
      <c r="Q563" s="79">
        <f>IF(B563="","",IF(D563&lt;&gt;"",D563,IFERROR(INDEX('Contractors'!$E$6:$E$1005,MATCH(B563,'Contractors'!$B$6:$B$1005,0)),"")))</f>
        <v/>
      </c>
      <c r="R563" s="79">
        <f>IF(O563="","",IF(O563="OVERDUE",2,IF(O563="Paid",0,IF(AND(I563&lt;&gt;"",I563&lt;=AsOf+AlertDays),1,0))))</f>
        <v/>
      </c>
      <c r="S563" s="79">
        <f>IF(AND(B563&lt;&gt;"",M563="",I563&lt;&gt;""),IF(L563&lt;&gt;"",L563,IF(H563="",0,H563)),0)</f>
        <v/>
      </c>
      <c r="T563" s="79">
        <f>IF(AND(B563&lt;&gt;"",M563="",I563&lt;&gt;""),1/I563,0)</f>
        <v/>
      </c>
      <c r="U563" s="112">
        <f>IF(AND(B563&lt;&gt;"",M563="",I563&lt;&gt;""),I563,"")</f>
        <v/>
      </c>
      <c r="V563" s="79">
        <f>IF(U563="","",IF(U563&lt;AsOf,1,IF(U563&lt;=AsOf+AlertDays,2,IF(U563&lt;=AsOf+2*AlertDays,3,""))))</f>
        <v/>
      </c>
      <c r="W563" s="79">
        <f>IF(V563="","",IF(O563="OVERDUE","Overdue payment: ","Payment due: ")&amp;B563&amp;" — "&amp;C563&amp;" ("&amp;CurSym&amp;" "&amp;FIXED(S563,0)&amp;")")</f>
        <v/>
      </c>
      <c r="Z563" s="116">
        <f>IF('Contractors'!B563="","",'Contractors'!B563)</f>
        <v/>
      </c>
      <c r="AA563" s="77">
        <f>IF(Z563="","",'Contractors'!K563)</f>
        <v/>
      </c>
      <c r="AB563" s="77">
        <f>IF(Z563="","",SUMIFS($L$6:$L$1005,$B$6:$B$1005,Z563))</f>
        <v/>
      </c>
      <c r="AC563" s="77">
        <f>IF(Z563="","",SUMIFS($N$6:$N$1005,$B$6:$B$1005,Z563))</f>
        <v/>
      </c>
      <c r="AD563" s="76">
        <f>IF(Z563="","",AA563-AC563)</f>
        <v/>
      </c>
      <c r="AE563" s="117">
        <f>IF(Z563="","",IFERROR(1/SUMPRODUCT(MAX(($B$6:$B$1005=Z563)*$T$6:$T$1005)),""))</f>
        <v/>
      </c>
      <c r="AF563" s="77">
        <f>IF(AE563="","",SUMIFS($S$6:$S$1005,$B$6:$B$1005,Z563,$I$6:$I$1005,AE563))</f>
        <v/>
      </c>
    </row>
    <row r="564" ht="20" customHeight="1">
      <c r="B564" s="72" t="n"/>
      <c r="C564" s="72" t="n"/>
      <c r="D564" s="72" t="n"/>
      <c r="E564" s="72" t="n"/>
      <c r="F564" s="110" t="n"/>
      <c r="G564" s="73" t="n"/>
      <c r="H564" s="75">
        <f>IF(B564="","",IF(G564&lt;&gt;"",G564,IF(F564&lt;&gt;"",F564*IFERROR(INDEX('Contractors'!$I$6:$I$1005,MATCH(B564,'Contractors'!$B$6:$B$1005,0)),0),"")))</f>
        <v/>
      </c>
      <c r="I564" s="109" t="n"/>
      <c r="J564" s="72" t="n"/>
      <c r="K564" s="109" t="n"/>
      <c r="L564" s="73" t="n"/>
      <c r="M564" s="109" t="n"/>
      <c r="N564" s="73" t="n"/>
      <c r="O564" s="107">
        <f>IF(B564="","",IF(M564&lt;&gt;"","Paid",IF(AND(I564&lt;&gt;"",I564&lt;AsOf),"OVERDUE",IF(OR(K564&lt;&gt;"",L564&lt;&gt;""),"Invoiced","Scheduled"))))</f>
        <v/>
      </c>
      <c r="P564" s="115">
        <f>IF(B564="","",IF(E564&lt;&gt;"",E564,IFERROR(INDEX('Contractors'!$D$6:$D$1005,MATCH(B564,'Contractors'!$B$6:$B$1005,0)),"")))</f>
        <v/>
      </c>
      <c r="Q564" s="79">
        <f>IF(B564="","",IF(D564&lt;&gt;"",D564,IFERROR(INDEX('Contractors'!$E$6:$E$1005,MATCH(B564,'Contractors'!$B$6:$B$1005,0)),"")))</f>
        <v/>
      </c>
      <c r="R564" s="79">
        <f>IF(O564="","",IF(O564="OVERDUE",2,IF(O564="Paid",0,IF(AND(I564&lt;&gt;"",I564&lt;=AsOf+AlertDays),1,0))))</f>
        <v/>
      </c>
      <c r="S564" s="79">
        <f>IF(AND(B564&lt;&gt;"",M564="",I564&lt;&gt;""),IF(L564&lt;&gt;"",L564,IF(H564="",0,H564)),0)</f>
        <v/>
      </c>
      <c r="T564" s="79">
        <f>IF(AND(B564&lt;&gt;"",M564="",I564&lt;&gt;""),1/I564,0)</f>
        <v/>
      </c>
      <c r="U564" s="112">
        <f>IF(AND(B564&lt;&gt;"",M564="",I564&lt;&gt;""),I564,"")</f>
        <v/>
      </c>
      <c r="V564" s="79">
        <f>IF(U564="","",IF(U564&lt;AsOf,1,IF(U564&lt;=AsOf+AlertDays,2,IF(U564&lt;=AsOf+2*AlertDays,3,""))))</f>
        <v/>
      </c>
      <c r="W564" s="79">
        <f>IF(V564="","",IF(O564="OVERDUE","Overdue payment: ","Payment due: ")&amp;B564&amp;" — "&amp;C564&amp;" ("&amp;CurSym&amp;" "&amp;FIXED(S564,0)&amp;")")</f>
        <v/>
      </c>
      <c r="Z564" s="116">
        <f>IF('Contractors'!B564="","",'Contractors'!B564)</f>
        <v/>
      </c>
      <c r="AA564" s="77">
        <f>IF(Z564="","",'Contractors'!K564)</f>
        <v/>
      </c>
      <c r="AB564" s="77">
        <f>IF(Z564="","",SUMIFS($L$6:$L$1005,$B$6:$B$1005,Z564))</f>
        <v/>
      </c>
      <c r="AC564" s="77">
        <f>IF(Z564="","",SUMIFS($N$6:$N$1005,$B$6:$B$1005,Z564))</f>
        <v/>
      </c>
      <c r="AD564" s="76">
        <f>IF(Z564="","",AA564-AC564)</f>
        <v/>
      </c>
      <c r="AE564" s="117">
        <f>IF(Z564="","",IFERROR(1/SUMPRODUCT(MAX(($B$6:$B$1005=Z564)*$T$6:$T$1005)),""))</f>
        <v/>
      </c>
      <c r="AF564" s="77">
        <f>IF(AE564="","",SUMIFS($S$6:$S$1005,$B$6:$B$1005,Z564,$I$6:$I$1005,AE564))</f>
        <v/>
      </c>
    </row>
    <row r="565" ht="20" customHeight="1">
      <c r="B565" s="72" t="n"/>
      <c r="C565" s="72" t="n"/>
      <c r="D565" s="72" t="n"/>
      <c r="E565" s="72" t="n"/>
      <c r="F565" s="110" t="n"/>
      <c r="G565" s="73" t="n"/>
      <c r="H565" s="75">
        <f>IF(B565="","",IF(G565&lt;&gt;"",G565,IF(F565&lt;&gt;"",F565*IFERROR(INDEX('Contractors'!$I$6:$I$1005,MATCH(B565,'Contractors'!$B$6:$B$1005,0)),0),"")))</f>
        <v/>
      </c>
      <c r="I565" s="109" t="n"/>
      <c r="J565" s="72" t="n"/>
      <c r="K565" s="109" t="n"/>
      <c r="L565" s="73" t="n"/>
      <c r="M565" s="109" t="n"/>
      <c r="N565" s="73" t="n"/>
      <c r="O565" s="107">
        <f>IF(B565="","",IF(M565&lt;&gt;"","Paid",IF(AND(I565&lt;&gt;"",I565&lt;AsOf),"OVERDUE",IF(OR(K565&lt;&gt;"",L565&lt;&gt;""),"Invoiced","Scheduled"))))</f>
        <v/>
      </c>
      <c r="P565" s="115">
        <f>IF(B565="","",IF(E565&lt;&gt;"",E565,IFERROR(INDEX('Contractors'!$D$6:$D$1005,MATCH(B565,'Contractors'!$B$6:$B$1005,0)),"")))</f>
        <v/>
      </c>
      <c r="Q565" s="79">
        <f>IF(B565="","",IF(D565&lt;&gt;"",D565,IFERROR(INDEX('Contractors'!$E$6:$E$1005,MATCH(B565,'Contractors'!$B$6:$B$1005,0)),"")))</f>
        <v/>
      </c>
      <c r="R565" s="79">
        <f>IF(O565="","",IF(O565="OVERDUE",2,IF(O565="Paid",0,IF(AND(I565&lt;&gt;"",I565&lt;=AsOf+AlertDays),1,0))))</f>
        <v/>
      </c>
      <c r="S565" s="79">
        <f>IF(AND(B565&lt;&gt;"",M565="",I565&lt;&gt;""),IF(L565&lt;&gt;"",L565,IF(H565="",0,H565)),0)</f>
        <v/>
      </c>
      <c r="T565" s="79">
        <f>IF(AND(B565&lt;&gt;"",M565="",I565&lt;&gt;""),1/I565,0)</f>
        <v/>
      </c>
      <c r="U565" s="112">
        <f>IF(AND(B565&lt;&gt;"",M565="",I565&lt;&gt;""),I565,"")</f>
        <v/>
      </c>
      <c r="V565" s="79">
        <f>IF(U565="","",IF(U565&lt;AsOf,1,IF(U565&lt;=AsOf+AlertDays,2,IF(U565&lt;=AsOf+2*AlertDays,3,""))))</f>
        <v/>
      </c>
      <c r="W565" s="79">
        <f>IF(V565="","",IF(O565="OVERDUE","Overdue payment: ","Payment due: ")&amp;B565&amp;" — "&amp;C565&amp;" ("&amp;CurSym&amp;" "&amp;FIXED(S565,0)&amp;")")</f>
        <v/>
      </c>
      <c r="Z565" s="116">
        <f>IF('Contractors'!B565="","",'Contractors'!B565)</f>
        <v/>
      </c>
      <c r="AA565" s="77">
        <f>IF(Z565="","",'Contractors'!K565)</f>
        <v/>
      </c>
      <c r="AB565" s="77">
        <f>IF(Z565="","",SUMIFS($L$6:$L$1005,$B$6:$B$1005,Z565))</f>
        <v/>
      </c>
      <c r="AC565" s="77">
        <f>IF(Z565="","",SUMIFS($N$6:$N$1005,$B$6:$B$1005,Z565))</f>
        <v/>
      </c>
      <c r="AD565" s="76">
        <f>IF(Z565="","",AA565-AC565)</f>
        <v/>
      </c>
      <c r="AE565" s="117">
        <f>IF(Z565="","",IFERROR(1/SUMPRODUCT(MAX(($B$6:$B$1005=Z565)*$T$6:$T$1005)),""))</f>
        <v/>
      </c>
      <c r="AF565" s="77">
        <f>IF(AE565="","",SUMIFS($S$6:$S$1005,$B$6:$B$1005,Z565,$I$6:$I$1005,AE565))</f>
        <v/>
      </c>
    </row>
    <row r="566" ht="20" customHeight="1">
      <c r="B566" s="72" t="n"/>
      <c r="C566" s="72" t="n"/>
      <c r="D566" s="72" t="n"/>
      <c r="E566" s="72" t="n"/>
      <c r="F566" s="110" t="n"/>
      <c r="G566" s="73" t="n"/>
      <c r="H566" s="75">
        <f>IF(B566="","",IF(G566&lt;&gt;"",G566,IF(F566&lt;&gt;"",F566*IFERROR(INDEX('Contractors'!$I$6:$I$1005,MATCH(B566,'Contractors'!$B$6:$B$1005,0)),0),"")))</f>
        <v/>
      </c>
      <c r="I566" s="109" t="n"/>
      <c r="J566" s="72" t="n"/>
      <c r="K566" s="109" t="n"/>
      <c r="L566" s="73" t="n"/>
      <c r="M566" s="109" t="n"/>
      <c r="N566" s="73" t="n"/>
      <c r="O566" s="107">
        <f>IF(B566="","",IF(M566&lt;&gt;"","Paid",IF(AND(I566&lt;&gt;"",I566&lt;AsOf),"OVERDUE",IF(OR(K566&lt;&gt;"",L566&lt;&gt;""),"Invoiced","Scheduled"))))</f>
        <v/>
      </c>
      <c r="P566" s="115">
        <f>IF(B566="","",IF(E566&lt;&gt;"",E566,IFERROR(INDEX('Contractors'!$D$6:$D$1005,MATCH(B566,'Contractors'!$B$6:$B$1005,0)),"")))</f>
        <v/>
      </c>
      <c r="Q566" s="79">
        <f>IF(B566="","",IF(D566&lt;&gt;"",D566,IFERROR(INDEX('Contractors'!$E$6:$E$1005,MATCH(B566,'Contractors'!$B$6:$B$1005,0)),"")))</f>
        <v/>
      </c>
      <c r="R566" s="79">
        <f>IF(O566="","",IF(O566="OVERDUE",2,IF(O566="Paid",0,IF(AND(I566&lt;&gt;"",I566&lt;=AsOf+AlertDays),1,0))))</f>
        <v/>
      </c>
      <c r="S566" s="79">
        <f>IF(AND(B566&lt;&gt;"",M566="",I566&lt;&gt;""),IF(L566&lt;&gt;"",L566,IF(H566="",0,H566)),0)</f>
        <v/>
      </c>
      <c r="T566" s="79">
        <f>IF(AND(B566&lt;&gt;"",M566="",I566&lt;&gt;""),1/I566,0)</f>
        <v/>
      </c>
      <c r="U566" s="112">
        <f>IF(AND(B566&lt;&gt;"",M566="",I566&lt;&gt;""),I566,"")</f>
        <v/>
      </c>
      <c r="V566" s="79">
        <f>IF(U566="","",IF(U566&lt;AsOf,1,IF(U566&lt;=AsOf+AlertDays,2,IF(U566&lt;=AsOf+2*AlertDays,3,""))))</f>
        <v/>
      </c>
      <c r="W566" s="79">
        <f>IF(V566="","",IF(O566="OVERDUE","Overdue payment: ","Payment due: ")&amp;B566&amp;" — "&amp;C566&amp;" ("&amp;CurSym&amp;" "&amp;FIXED(S566,0)&amp;")")</f>
        <v/>
      </c>
      <c r="Z566" s="116">
        <f>IF('Contractors'!B566="","",'Contractors'!B566)</f>
        <v/>
      </c>
      <c r="AA566" s="77">
        <f>IF(Z566="","",'Contractors'!K566)</f>
        <v/>
      </c>
      <c r="AB566" s="77">
        <f>IF(Z566="","",SUMIFS($L$6:$L$1005,$B$6:$B$1005,Z566))</f>
        <v/>
      </c>
      <c r="AC566" s="77">
        <f>IF(Z566="","",SUMIFS($N$6:$N$1005,$B$6:$B$1005,Z566))</f>
        <v/>
      </c>
      <c r="AD566" s="76">
        <f>IF(Z566="","",AA566-AC566)</f>
        <v/>
      </c>
      <c r="AE566" s="117">
        <f>IF(Z566="","",IFERROR(1/SUMPRODUCT(MAX(($B$6:$B$1005=Z566)*$T$6:$T$1005)),""))</f>
        <v/>
      </c>
      <c r="AF566" s="77">
        <f>IF(AE566="","",SUMIFS($S$6:$S$1005,$B$6:$B$1005,Z566,$I$6:$I$1005,AE566))</f>
        <v/>
      </c>
    </row>
    <row r="567" ht="20" customHeight="1">
      <c r="B567" s="72" t="n"/>
      <c r="C567" s="72" t="n"/>
      <c r="D567" s="72" t="n"/>
      <c r="E567" s="72" t="n"/>
      <c r="F567" s="110" t="n"/>
      <c r="G567" s="73" t="n"/>
      <c r="H567" s="75">
        <f>IF(B567="","",IF(G567&lt;&gt;"",G567,IF(F567&lt;&gt;"",F567*IFERROR(INDEX('Contractors'!$I$6:$I$1005,MATCH(B567,'Contractors'!$B$6:$B$1005,0)),0),"")))</f>
        <v/>
      </c>
      <c r="I567" s="109" t="n"/>
      <c r="J567" s="72" t="n"/>
      <c r="K567" s="109" t="n"/>
      <c r="L567" s="73" t="n"/>
      <c r="M567" s="109" t="n"/>
      <c r="N567" s="73" t="n"/>
      <c r="O567" s="107">
        <f>IF(B567="","",IF(M567&lt;&gt;"","Paid",IF(AND(I567&lt;&gt;"",I567&lt;AsOf),"OVERDUE",IF(OR(K567&lt;&gt;"",L567&lt;&gt;""),"Invoiced","Scheduled"))))</f>
        <v/>
      </c>
      <c r="P567" s="115">
        <f>IF(B567="","",IF(E567&lt;&gt;"",E567,IFERROR(INDEX('Contractors'!$D$6:$D$1005,MATCH(B567,'Contractors'!$B$6:$B$1005,0)),"")))</f>
        <v/>
      </c>
      <c r="Q567" s="79">
        <f>IF(B567="","",IF(D567&lt;&gt;"",D567,IFERROR(INDEX('Contractors'!$E$6:$E$1005,MATCH(B567,'Contractors'!$B$6:$B$1005,0)),"")))</f>
        <v/>
      </c>
      <c r="R567" s="79">
        <f>IF(O567="","",IF(O567="OVERDUE",2,IF(O567="Paid",0,IF(AND(I567&lt;&gt;"",I567&lt;=AsOf+AlertDays),1,0))))</f>
        <v/>
      </c>
      <c r="S567" s="79">
        <f>IF(AND(B567&lt;&gt;"",M567="",I567&lt;&gt;""),IF(L567&lt;&gt;"",L567,IF(H567="",0,H567)),0)</f>
        <v/>
      </c>
      <c r="T567" s="79">
        <f>IF(AND(B567&lt;&gt;"",M567="",I567&lt;&gt;""),1/I567,0)</f>
        <v/>
      </c>
      <c r="U567" s="112">
        <f>IF(AND(B567&lt;&gt;"",M567="",I567&lt;&gt;""),I567,"")</f>
        <v/>
      </c>
      <c r="V567" s="79">
        <f>IF(U567="","",IF(U567&lt;AsOf,1,IF(U567&lt;=AsOf+AlertDays,2,IF(U567&lt;=AsOf+2*AlertDays,3,""))))</f>
        <v/>
      </c>
      <c r="W567" s="79">
        <f>IF(V567="","",IF(O567="OVERDUE","Overdue payment: ","Payment due: ")&amp;B567&amp;" — "&amp;C567&amp;" ("&amp;CurSym&amp;" "&amp;FIXED(S567,0)&amp;")")</f>
        <v/>
      </c>
      <c r="Z567" s="116">
        <f>IF('Contractors'!B567="","",'Contractors'!B567)</f>
        <v/>
      </c>
      <c r="AA567" s="77">
        <f>IF(Z567="","",'Contractors'!K567)</f>
        <v/>
      </c>
      <c r="AB567" s="77">
        <f>IF(Z567="","",SUMIFS($L$6:$L$1005,$B$6:$B$1005,Z567))</f>
        <v/>
      </c>
      <c r="AC567" s="77">
        <f>IF(Z567="","",SUMIFS($N$6:$N$1005,$B$6:$B$1005,Z567))</f>
        <v/>
      </c>
      <c r="AD567" s="76">
        <f>IF(Z567="","",AA567-AC567)</f>
        <v/>
      </c>
      <c r="AE567" s="117">
        <f>IF(Z567="","",IFERROR(1/SUMPRODUCT(MAX(($B$6:$B$1005=Z567)*$T$6:$T$1005)),""))</f>
        <v/>
      </c>
      <c r="AF567" s="77">
        <f>IF(AE567="","",SUMIFS($S$6:$S$1005,$B$6:$B$1005,Z567,$I$6:$I$1005,AE567))</f>
        <v/>
      </c>
    </row>
    <row r="568" ht="20" customHeight="1">
      <c r="B568" s="72" t="n"/>
      <c r="C568" s="72" t="n"/>
      <c r="D568" s="72" t="n"/>
      <c r="E568" s="72" t="n"/>
      <c r="F568" s="110" t="n"/>
      <c r="G568" s="73" t="n"/>
      <c r="H568" s="75">
        <f>IF(B568="","",IF(G568&lt;&gt;"",G568,IF(F568&lt;&gt;"",F568*IFERROR(INDEX('Contractors'!$I$6:$I$1005,MATCH(B568,'Contractors'!$B$6:$B$1005,0)),0),"")))</f>
        <v/>
      </c>
      <c r="I568" s="109" t="n"/>
      <c r="J568" s="72" t="n"/>
      <c r="K568" s="109" t="n"/>
      <c r="L568" s="73" t="n"/>
      <c r="M568" s="109" t="n"/>
      <c r="N568" s="73" t="n"/>
      <c r="O568" s="107">
        <f>IF(B568="","",IF(M568&lt;&gt;"","Paid",IF(AND(I568&lt;&gt;"",I568&lt;AsOf),"OVERDUE",IF(OR(K568&lt;&gt;"",L568&lt;&gt;""),"Invoiced","Scheduled"))))</f>
        <v/>
      </c>
      <c r="P568" s="115">
        <f>IF(B568="","",IF(E568&lt;&gt;"",E568,IFERROR(INDEX('Contractors'!$D$6:$D$1005,MATCH(B568,'Contractors'!$B$6:$B$1005,0)),"")))</f>
        <v/>
      </c>
      <c r="Q568" s="79">
        <f>IF(B568="","",IF(D568&lt;&gt;"",D568,IFERROR(INDEX('Contractors'!$E$6:$E$1005,MATCH(B568,'Contractors'!$B$6:$B$1005,0)),"")))</f>
        <v/>
      </c>
      <c r="R568" s="79">
        <f>IF(O568="","",IF(O568="OVERDUE",2,IF(O568="Paid",0,IF(AND(I568&lt;&gt;"",I568&lt;=AsOf+AlertDays),1,0))))</f>
        <v/>
      </c>
      <c r="S568" s="79">
        <f>IF(AND(B568&lt;&gt;"",M568="",I568&lt;&gt;""),IF(L568&lt;&gt;"",L568,IF(H568="",0,H568)),0)</f>
        <v/>
      </c>
      <c r="T568" s="79">
        <f>IF(AND(B568&lt;&gt;"",M568="",I568&lt;&gt;""),1/I568,0)</f>
        <v/>
      </c>
      <c r="U568" s="112">
        <f>IF(AND(B568&lt;&gt;"",M568="",I568&lt;&gt;""),I568,"")</f>
        <v/>
      </c>
      <c r="V568" s="79">
        <f>IF(U568="","",IF(U568&lt;AsOf,1,IF(U568&lt;=AsOf+AlertDays,2,IF(U568&lt;=AsOf+2*AlertDays,3,""))))</f>
        <v/>
      </c>
      <c r="W568" s="79">
        <f>IF(V568="","",IF(O568="OVERDUE","Overdue payment: ","Payment due: ")&amp;B568&amp;" — "&amp;C568&amp;" ("&amp;CurSym&amp;" "&amp;FIXED(S568,0)&amp;")")</f>
        <v/>
      </c>
      <c r="Z568" s="116">
        <f>IF('Contractors'!B568="","",'Contractors'!B568)</f>
        <v/>
      </c>
      <c r="AA568" s="77">
        <f>IF(Z568="","",'Contractors'!K568)</f>
        <v/>
      </c>
      <c r="AB568" s="77">
        <f>IF(Z568="","",SUMIFS($L$6:$L$1005,$B$6:$B$1005,Z568))</f>
        <v/>
      </c>
      <c r="AC568" s="77">
        <f>IF(Z568="","",SUMIFS($N$6:$N$1005,$B$6:$B$1005,Z568))</f>
        <v/>
      </c>
      <c r="AD568" s="76">
        <f>IF(Z568="","",AA568-AC568)</f>
        <v/>
      </c>
      <c r="AE568" s="117">
        <f>IF(Z568="","",IFERROR(1/SUMPRODUCT(MAX(($B$6:$B$1005=Z568)*$T$6:$T$1005)),""))</f>
        <v/>
      </c>
      <c r="AF568" s="77">
        <f>IF(AE568="","",SUMIFS($S$6:$S$1005,$B$6:$B$1005,Z568,$I$6:$I$1005,AE568))</f>
        <v/>
      </c>
    </row>
    <row r="569" ht="20" customHeight="1">
      <c r="B569" s="72" t="n"/>
      <c r="C569" s="72" t="n"/>
      <c r="D569" s="72" t="n"/>
      <c r="E569" s="72" t="n"/>
      <c r="F569" s="110" t="n"/>
      <c r="G569" s="73" t="n"/>
      <c r="H569" s="75">
        <f>IF(B569="","",IF(G569&lt;&gt;"",G569,IF(F569&lt;&gt;"",F569*IFERROR(INDEX('Contractors'!$I$6:$I$1005,MATCH(B569,'Contractors'!$B$6:$B$1005,0)),0),"")))</f>
        <v/>
      </c>
      <c r="I569" s="109" t="n"/>
      <c r="J569" s="72" t="n"/>
      <c r="K569" s="109" t="n"/>
      <c r="L569" s="73" t="n"/>
      <c r="M569" s="109" t="n"/>
      <c r="N569" s="73" t="n"/>
      <c r="O569" s="107">
        <f>IF(B569="","",IF(M569&lt;&gt;"","Paid",IF(AND(I569&lt;&gt;"",I569&lt;AsOf),"OVERDUE",IF(OR(K569&lt;&gt;"",L569&lt;&gt;""),"Invoiced","Scheduled"))))</f>
        <v/>
      </c>
      <c r="P569" s="115">
        <f>IF(B569="","",IF(E569&lt;&gt;"",E569,IFERROR(INDEX('Contractors'!$D$6:$D$1005,MATCH(B569,'Contractors'!$B$6:$B$1005,0)),"")))</f>
        <v/>
      </c>
      <c r="Q569" s="79">
        <f>IF(B569="","",IF(D569&lt;&gt;"",D569,IFERROR(INDEX('Contractors'!$E$6:$E$1005,MATCH(B569,'Contractors'!$B$6:$B$1005,0)),"")))</f>
        <v/>
      </c>
      <c r="R569" s="79">
        <f>IF(O569="","",IF(O569="OVERDUE",2,IF(O569="Paid",0,IF(AND(I569&lt;&gt;"",I569&lt;=AsOf+AlertDays),1,0))))</f>
        <v/>
      </c>
      <c r="S569" s="79">
        <f>IF(AND(B569&lt;&gt;"",M569="",I569&lt;&gt;""),IF(L569&lt;&gt;"",L569,IF(H569="",0,H569)),0)</f>
        <v/>
      </c>
      <c r="T569" s="79">
        <f>IF(AND(B569&lt;&gt;"",M569="",I569&lt;&gt;""),1/I569,0)</f>
        <v/>
      </c>
      <c r="U569" s="112">
        <f>IF(AND(B569&lt;&gt;"",M569="",I569&lt;&gt;""),I569,"")</f>
        <v/>
      </c>
      <c r="V569" s="79">
        <f>IF(U569="","",IF(U569&lt;AsOf,1,IF(U569&lt;=AsOf+AlertDays,2,IF(U569&lt;=AsOf+2*AlertDays,3,""))))</f>
        <v/>
      </c>
      <c r="W569" s="79">
        <f>IF(V569="","",IF(O569="OVERDUE","Overdue payment: ","Payment due: ")&amp;B569&amp;" — "&amp;C569&amp;" ("&amp;CurSym&amp;" "&amp;FIXED(S569,0)&amp;")")</f>
        <v/>
      </c>
      <c r="Z569" s="116">
        <f>IF('Contractors'!B569="","",'Contractors'!B569)</f>
        <v/>
      </c>
      <c r="AA569" s="77">
        <f>IF(Z569="","",'Contractors'!K569)</f>
        <v/>
      </c>
      <c r="AB569" s="77">
        <f>IF(Z569="","",SUMIFS($L$6:$L$1005,$B$6:$B$1005,Z569))</f>
        <v/>
      </c>
      <c r="AC569" s="77">
        <f>IF(Z569="","",SUMIFS($N$6:$N$1005,$B$6:$B$1005,Z569))</f>
        <v/>
      </c>
      <c r="AD569" s="76">
        <f>IF(Z569="","",AA569-AC569)</f>
        <v/>
      </c>
      <c r="AE569" s="117">
        <f>IF(Z569="","",IFERROR(1/SUMPRODUCT(MAX(($B$6:$B$1005=Z569)*$T$6:$T$1005)),""))</f>
        <v/>
      </c>
      <c r="AF569" s="77">
        <f>IF(AE569="","",SUMIFS($S$6:$S$1005,$B$6:$B$1005,Z569,$I$6:$I$1005,AE569))</f>
        <v/>
      </c>
    </row>
    <row r="570" ht="20" customHeight="1">
      <c r="B570" s="72" t="n"/>
      <c r="C570" s="72" t="n"/>
      <c r="D570" s="72" t="n"/>
      <c r="E570" s="72" t="n"/>
      <c r="F570" s="110" t="n"/>
      <c r="G570" s="73" t="n"/>
      <c r="H570" s="75">
        <f>IF(B570="","",IF(G570&lt;&gt;"",G570,IF(F570&lt;&gt;"",F570*IFERROR(INDEX('Contractors'!$I$6:$I$1005,MATCH(B570,'Contractors'!$B$6:$B$1005,0)),0),"")))</f>
        <v/>
      </c>
      <c r="I570" s="109" t="n"/>
      <c r="J570" s="72" t="n"/>
      <c r="K570" s="109" t="n"/>
      <c r="L570" s="73" t="n"/>
      <c r="M570" s="109" t="n"/>
      <c r="N570" s="73" t="n"/>
      <c r="O570" s="107">
        <f>IF(B570="","",IF(M570&lt;&gt;"","Paid",IF(AND(I570&lt;&gt;"",I570&lt;AsOf),"OVERDUE",IF(OR(K570&lt;&gt;"",L570&lt;&gt;""),"Invoiced","Scheduled"))))</f>
        <v/>
      </c>
      <c r="P570" s="115">
        <f>IF(B570="","",IF(E570&lt;&gt;"",E570,IFERROR(INDEX('Contractors'!$D$6:$D$1005,MATCH(B570,'Contractors'!$B$6:$B$1005,0)),"")))</f>
        <v/>
      </c>
      <c r="Q570" s="79">
        <f>IF(B570="","",IF(D570&lt;&gt;"",D570,IFERROR(INDEX('Contractors'!$E$6:$E$1005,MATCH(B570,'Contractors'!$B$6:$B$1005,0)),"")))</f>
        <v/>
      </c>
      <c r="R570" s="79">
        <f>IF(O570="","",IF(O570="OVERDUE",2,IF(O570="Paid",0,IF(AND(I570&lt;&gt;"",I570&lt;=AsOf+AlertDays),1,0))))</f>
        <v/>
      </c>
      <c r="S570" s="79">
        <f>IF(AND(B570&lt;&gt;"",M570="",I570&lt;&gt;""),IF(L570&lt;&gt;"",L570,IF(H570="",0,H570)),0)</f>
        <v/>
      </c>
      <c r="T570" s="79">
        <f>IF(AND(B570&lt;&gt;"",M570="",I570&lt;&gt;""),1/I570,0)</f>
        <v/>
      </c>
      <c r="U570" s="112">
        <f>IF(AND(B570&lt;&gt;"",M570="",I570&lt;&gt;""),I570,"")</f>
        <v/>
      </c>
      <c r="V570" s="79">
        <f>IF(U570="","",IF(U570&lt;AsOf,1,IF(U570&lt;=AsOf+AlertDays,2,IF(U570&lt;=AsOf+2*AlertDays,3,""))))</f>
        <v/>
      </c>
      <c r="W570" s="79">
        <f>IF(V570="","",IF(O570="OVERDUE","Overdue payment: ","Payment due: ")&amp;B570&amp;" — "&amp;C570&amp;" ("&amp;CurSym&amp;" "&amp;FIXED(S570,0)&amp;")")</f>
        <v/>
      </c>
      <c r="Z570" s="116">
        <f>IF('Contractors'!B570="","",'Contractors'!B570)</f>
        <v/>
      </c>
      <c r="AA570" s="77">
        <f>IF(Z570="","",'Contractors'!K570)</f>
        <v/>
      </c>
      <c r="AB570" s="77">
        <f>IF(Z570="","",SUMIFS($L$6:$L$1005,$B$6:$B$1005,Z570))</f>
        <v/>
      </c>
      <c r="AC570" s="77">
        <f>IF(Z570="","",SUMIFS($N$6:$N$1005,$B$6:$B$1005,Z570))</f>
        <v/>
      </c>
      <c r="AD570" s="76">
        <f>IF(Z570="","",AA570-AC570)</f>
        <v/>
      </c>
      <c r="AE570" s="117">
        <f>IF(Z570="","",IFERROR(1/SUMPRODUCT(MAX(($B$6:$B$1005=Z570)*$T$6:$T$1005)),""))</f>
        <v/>
      </c>
      <c r="AF570" s="77">
        <f>IF(AE570="","",SUMIFS($S$6:$S$1005,$B$6:$B$1005,Z570,$I$6:$I$1005,AE570))</f>
        <v/>
      </c>
    </row>
    <row r="571" ht="20" customHeight="1">
      <c r="B571" s="72" t="n"/>
      <c r="C571" s="72" t="n"/>
      <c r="D571" s="72" t="n"/>
      <c r="E571" s="72" t="n"/>
      <c r="F571" s="110" t="n"/>
      <c r="G571" s="73" t="n"/>
      <c r="H571" s="75">
        <f>IF(B571="","",IF(G571&lt;&gt;"",G571,IF(F571&lt;&gt;"",F571*IFERROR(INDEX('Contractors'!$I$6:$I$1005,MATCH(B571,'Contractors'!$B$6:$B$1005,0)),0),"")))</f>
        <v/>
      </c>
      <c r="I571" s="109" t="n"/>
      <c r="J571" s="72" t="n"/>
      <c r="K571" s="109" t="n"/>
      <c r="L571" s="73" t="n"/>
      <c r="M571" s="109" t="n"/>
      <c r="N571" s="73" t="n"/>
      <c r="O571" s="107">
        <f>IF(B571="","",IF(M571&lt;&gt;"","Paid",IF(AND(I571&lt;&gt;"",I571&lt;AsOf),"OVERDUE",IF(OR(K571&lt;&gt;"",L571&lt;&gt;""),"Invoiced","Scheduled"))))</f>
        <v/>
      </c>
      <c r="P571" s="115">
        <f>IF(B571="","",IF(E571&lt;&gt;"",E571,IFERROR(INDEX('Contractors'!$D$6:$D$1005,MATCH(B571,'Contractors'!$B$6:$B$1005,0)),"")))</f>
        <v/>
      </c>
      <c r="Q571" s="79">
        <f>IF(B571="","",IF(D571&lt;&gt;"",D571,IFERROR(INDEX('Contractors'!$E$6:$E$1005,MATCH(B571,'Contractors'!$B$6:$B$1005,0)),"")))</f>
        <v/>
      </c>
      <c r="R571" s="79">
        <f>IF(O571="","",IF(O571="OVERDUE",2,IF(O571="Paid",0,IF(AND(I571&lt;&gt;"",I571&lt;=AsOf+AlertDays),1,0))))</f>
        <v/>
      </c>
      <c r="S571" s="79">
        <f>IF(AND(B571&lt;&gt;"",M571="",I571&lt;&gt;""),IF(L571&lt;&gt;"",L571,IF(H571="",0,H571)),0)</f>
        <v/>
      </c>
      <c r="T571" s="79">
        <f>IF(AND(B571&lt;&gt;"",M571="",I571&lt;&gt;""),1/I571,0)</f>
        <v/>
      </c>
      <c r="U571" s="112">
        <f>IF(AND(B571&lt;&gt;"",M571="",I571&lt;&gt;""),I571,"")</f>
        <v/>
      </c>
      <c r="V571" s="79">
        <f>IF(U571="","",IF(U571&lt;AsOf,1,IF(U571&lt;=AsOf+AlertDays,2,IF(U571&lt;=AsOf+2*AlertDays,3,""))))</f>
        <v/>
      </c>
      <c r="W571" s="79">
        <f>IF(V571="","",IF(O571="OVERDUE","Overdue payment: ","Payment due: ")&amp;B571&amp;" — "&amp;C571&amp;" ("&amp;CurSym&amp;" "&amp;FIXED(S571,0)&amp;")")</f>
        <v/>
      </c>
      <c r="Z571" s="116">
        <f>IF('Contractors'!B571="","",'Contractors'!B571)</f>
        <v/>
      </c>
      <c r="AA571" s="77">
        <f>IF(Z571="","",'Contractors'!K571)</f>
        <v/>
      </c>
      <c r="AB571" s="77">
        <f>IF(Z571="","",SUMIFS($L$6:$L$1005,$B$6:$B$1005,Z571))</f>
        <v/>
      </c>
      <c r="AC571" s="77">
        <f>IF(Z571="","",SUMIFS($N$6:$N$1005,$B$6:$B$1005,Z571))</f>
        <v/>
      </c>
      <c r="AD571" s="76">
        <f>IF(Z571="","",AA571-AC571)</f>
        <v/>
      </c>
      <c r="AE571" s="117">
        <f>IF(Z571="","",IFERROR(1/SUMPRODUCT(MAX(($B$6:$B$1005=Z571)*$T$6:$T$1005)),""))</f>
        <v/>
      </c>
      <c r="AF571" s="77">
        <f>IF(AE571="","",SUMIFS($S$6:$S$1005,$B$6:$B$1005,Z571,$I$6:$I$1005,AE571))</f>
        <v/>
      </c>
    </row>
    <row r="572" ht="20" customHeight="1">
      <c r="B572" s="72" t="n"/>
      <c r="C572" s="72" t="n"/>
      <c r="D572" s="72" t="n"/>
      <c r="E572" s="72" t="n"/>
      <c r="F572" s="110" t="n"/>
      <c r="G572" s="73" t="n"/>
      <c r="H572" s="75">
        <f>IF(B572="","",IF(G572&lt;&gt;"",G572,IF(F572&lt;&gt;"",F572*IFERROR(INDEX('Contractors'!$I$6:$I$1005,MATCH(B572,'Contractors'!$B$6:$B$1005,0)),0),"")))</f>
        <v/>
      </c>
      <c r="I572" s="109" t="n"/>
      <c r="J572" s="72" t="n"/>
      <c r="K572" s="109" t="n"/>
      <c r="L572" s="73" t="n"/>
      <c r="M572" s="109" t="n"/>
      <c r="N572" s="73" t="n"/>
      <c r="O572" s="107">
        <f>IF(B572="","",IF(M572&lt;&gt;"","Paid",IF(AND(I572&lt;&gt;"",I572&lt;AsOf),"OVERDUE",IF(OR(K572&lt;&gt;"",L572&lt;&gt;""),"Invoiced","Scheduled"))))</f>
        <v/>
      </c>
      <c r="P572" s="115">
        <f>IF(B572="","",IF(E572&lt;&gt;"",E572,IFERROR(INDEX('Contractors'!$D$6:$D$1005,MATCH(B572,'Contractors'!$B$6:$B$1005,0)),"")))</f>
        <v/>
      </c>
      <c r="Q572" s="79">
        <f>IF(B572="","",IF(D572&lt;&gt;"",D572,IFERROR(INDEX('Contractors'!$E$6:$E$1005,MATCH(B572,'Contractors'!$B$6:$B$1005,0)),"")))</f>
        <v/>
      </c>
      <c r="R572" s="79">
        <f>IF(O572="","",IF(O572="OVERDUE",2,IF(O572="Paid",0,IF(AND(I572&lt;&gt;"",I572&lt;=AsOf+AlertDays),1,0))))</f>
        <v/>
      </c>
      <c r="S572" s="79">
        <f>IF(AND(B572&lt;&gt;"",M572="",I572&lt;&gt;""),IF(L572&lt;&gt;"",L572,IF(H572="",0,H572)),0)</f>
        <v/>
      </c>
      <c r="T572" s="79">
        <f>IF(AND(B572&lt;&gt;"",M572="",I572&lt;&gt;""),1/I572,0)</f>
        <v/>
      </c>
      <c r="U572" s="112">
        <f>IF(AND(B572&lt;&gt;"",M572="",I572&lt;&gt;""),I572,"")</f>
        <v/>
      </c>
      <c r="V572" s="79">
        <f>IF(U572="","",IF(U572&lt;AsOf,1,IF(U572&lt;=AsOf+AlertDays,2,IF(U572&lt;=AsOf+2*AlertDays,3,""))))</f>
        <v/>
      </c>
      <c r="W572" s="79">
        <f>IF(V572="","",IF(O572="OVERDUE","Overdue payment: ","Payment due: ")&amp;B572&amp;" — "&amp;C572&amp;" ("&amp;CurSym&amp;" "&amp;FIXED(S572,0)&amp;")")</f>
        <v/>
      </c>
      <c r="Z572" s="116">
        <f>IF('Contractors'!B572="","",'Contractors'!B572)</f>
        <v/>
      </c>
      <c r="AA572" s="77">
        <f>IF(Z572="","",'Contractors'!K572)</f>
        <v/>
      </c>
      <c r="AB572" s="77">
        <f>IF(Z572="","",SUMIFS($L$6:$L$1005,$B$6:$B$1005,Z572))</f>
        <v/>
      </c>
      <c r="AC572" s="77">
        <f>IF(Z572="","",SUMIFS($N$6:$N$1005,$B$6:$B$1005,Z572))</f>
        <v/>
      </c>
      <c r="AD572" s="76">
        <f>IF(Z572="","",AA572-AC572)</f>
        <v/>
      </c>
      <c r="AE572" s="117">
        <f>IF(Z572="","",IFERROR(1/SUMPRODUCT(MAX(($B$6:$B$1005=Z572)*$T$6:$T$1005)),""))</f>
        <v/>
      </c>
      <c r="AF572" s="77">
        <f>IF(AE572="","",SUMIFS($S$6:$S$1005,$B$6:$B$1005,Z572,$I$6:$I$1005,AE572))</f>
        <v/>
      </c>
    </row>
    <row r="573" ht="20" customHeight="1">
      <c r="B573" s="72" t="n"/>
      <c r="C573" s="72" t="n"/>
      <c r="D573" s="72" t="n"/>
      <c r="E573" s="72" t="n"/>
      <c r="F573" s="110" t="n"/>
      <c r="G573" s="73" t="n"/>
      <c r="H573" s="75">
        <f>IF(B573="","",IF(G573&lt;&gt;"",G573,IF(F573&lt;&gt;"",F573*IFERROR(INDEX('Contractors'!$I$6:$I$1005,MATCH(B573,'Contractors'!$B$6:$B$1005,0)),0),"")))</f>
        <v/>
      </c>
      <c r="I573" s="109" t="n"/>
      <c r="J573" s="72" t="n"/>
      <c r="K573" s="109" t="n"/>
      <c r="L573" s="73" t="n"/>
      <c r="M573" s="109" t="n"/>
      <c r="N573" s="73" t="n"/>
      <c r="O573" s="107">
        <f>IF(B573="","",IF(M573&lt;&gt;"","Paid",IF(AND(I573&lt;&gt;"",I573&lt;AsOf),"OVERDUE",IF(OR(K573&lt;&gt;"",L573&lt;&gt;""),"Invoiced","Scheduled"))))</f>
        <v/>
      </c>
      <c r="P573" s="115">
        <f>IF(B573="","",IF(E573&lt;&gt;"",E573,IFERROR(INDEX('Contractors'!$D$6:$D$1005,MATCH(B573,'Contractors'!$B$6:$B$1005,0)),"")))</f>
        <v/>
      </c>
      <c r="Q573" s="79">
        <f>IF(B573="","",IF(D573&lt;&gt;"",D573,IFERROR(INDEX('Contractors'!$E$6:$E$1005,MATCH(B573,'Contractors'!$B$6:$B$1005,0)),"")))</f>
        <v/>
      </c>
      <c r="R573" s="79">
        <f>IF(O573="","",IF(O573="OVERDUE",2,IF(O573="Paid",0,IF(AND(I573&lt;&gt;"",I573&lt;=AsOf+AlertDays),1,0))))</f>
        <v/>
      </c>
      <c r="S573" s="79">
        <f>IF(AND(B573&lt;&gt;"",M573="",I573&lt;&gt;""),IF(L573&lt;&gt;"",L573,IF(H573="",0,H573)),0)</f>
        <v/>
      </c>
      <c r="T573" s="79">
        <f>IF(AND(B573&lt;&gt;"",M573="",I573&lt;&gt;""),1/I573,0)</f>
        <v/>
      </c>
      <c r="U573" s="112">
        <f>IF(AND(B573&lt;&gt;"",M573="",I573&lt;&gt;""),I573,"")</f>
        <v/>
      </c>
      <c r="V573" s="79">
        <f>IF(U573="","",IF(U573&lt;AsOf,1,IF(U573&lt;=AsOf+AlertDays,2,IF(U573&lt;=AsOf+2*AlertDays,3,""))))</f>
        <v/>
      </c>
      <c r="W573" s="79">
        <f>IF(V573="","",IF(O573="OVERDUE","Overdue payment: ","Payment due: ")&amp;B573&amp;" — "&amp;C573&amp;" ("&amp;CurSym&amp;" "&amp;FIXED(S573,0)&amp;")")</f>
        <v/>
      </c>
      <c r="Z573" s="116">
        <f>IF('Contractors'!B573="","",'Contractors'!B573)</f>
        <v/>
      </c>
      <c r="AA573" s="77">
        <f>IF(Z573="","",'Contractors'!K573)</f>
        <v/>
      </c>
      <c r="AB573" s="77">
        <f>IF(Z573="","",SUMIFS($L$6:$L$1005,$B$6:$B$1005,Z573))</f>
        <v/>
      </c>
      <c r="AC573" s="77">
        <f>IF(Z573="","",SUMIFS($N$6:$N$1005,$B$6:$B$1005,Z573))</f>
        <v/>
      </c>
      <c r="AD573" s="76">
        <f>IF(Z573="","",AA573-AC573)</f>
        <v/>
      </c>
      <c r="AE573" s="117">
        <f>IF(Z573="","",IFERROR(1/SUMPRODUCT(MAX(($B$6:$B$1005=Z573)*$T$6:$T$1005)),""))</f>
        <v/>
      </c>
      <c r="AF573" s="77">
        <f>IF(AE573="","",SUMIFS($S$6:$S$1005,$B$6:$B$1005,Z573,$I$6:$I$1005,AE573))</f>
        <v/>
      </c>
    </row>
    <row r="574" ht="20" customHeight="1">
      <c r="B574" s="72" t="n"/>
      <c r="C574" s="72" t="n"/>
      <c r="D574" s="72" t="n"/>
      <c r="E574" s="72" t="n"/>
      <c r="F574" s="110" t="n"/>
      <c r="G574" s="73" t="n"/>
      <c r="H574" s="75">
        <f>IF(B574="","",IF(G574&lt;&gt;"",G574,IF(F574&lt;&gt;"",F574*IFERROR(INDEX('Contractors'!$I$6:$I$1005,MATCH(B574,'Contractors'!$B$6:$B$1005,0)),0),"")))</f>
        <v/>
      </c>
      <c r="I574" s="109" t="n"/>
      <c r="J574" s="72" t="n"/>
      <c r="K574" s="109" t="n"/>
      <c r="L574" s="73" t="n"/>
      <c r="M574" s="109" t="n"/>
      <c r="N574" s="73" t="n"/>
      <c r="O574" s="107">
        <f>IF(B574="","",IF(M574&lt;&gt;"","Paid",IF(AND(I574&lt;&gt;"",I574&lt;AsOf),"OVERDUE",IF(OR(K574&lt;&gt;"",L574&lt;&gt;""),"Invoiced","Scheduled"))))</f>
        <v/>
      </c>
      <c r="P574" s="115">
        <f>IF(B574="","",IF(E574&lt;&gt;"",E574,IFERROR(INDEX('Contractors'!$D$6:$D$1005,MATCH(B574,'Contractors'!$B$6:$B$1005,0)),"")))</f>
        <v/>
      </c>
      <c r="Q574" s="79">
        <f>IF(B574="","",IF(D574&lt;&gt;"",D574,IFERROR(INDEX('Contractors'!$E$6:$E$1005,MATCH(B574,'Contractors'!$B$6:$B$1005,0)),"")))</f>
        <v/>
      </c>
      <c r="R574" s="79">
        <f>IF(O574="","",IF(O574="OVERDUE",2,IF(O574="Paid",0,IF(AND(I574&lt;&gt;"",I574&lt;=AsOf+AlertDays),1,0))))</f>
        <v/>
      </c>
      <c r="S574" s="79">
        <f>IF(AND(B574&lt;&gt;"",M574="",I574&lt;&gt;""),IF(L574&lt;&gt;"",L574,IF(H574="",0,H574)),0)</f>
        <v/>
      </c>
      <c r="T574" s="79">
        <f>IF(AND(B574&lt;&gt;"",M574="",I574&lt;&gt;""),1/I574,0)</f>
        <v/>
      </c>
      <c r="U574" s="112">
        <f>IF(AND(B574&lt;&gt;"",M574="",I574&lt;&gt;""),I574,"")</f>
        <v/>
      </c>
      <c r="V574" s="79">
        <f>IF(U574="","",IF(U574&lt;AsOf,1,IF(U574&lt;=AsOf+AlertDays,2,IF(U574&lt;=AsOf+2*AlertDays,3,""))))</f>
        <v/>
      </c>
      <c r="W574" s="79">
        <f>IF(V574="","",IF(O574="OVERDUE","Overdue payment: ","Payment due: ")&amp;B574&amp;" — "&amp;C574&amp;" ("&amp;CurSym&amp;" "&amp;FIXED(S574,0)&amp;")")</f>
        <v/>
      </c>
      <c r="Z574" s="116">
        <f>IF('Contractors'!B574="","",'Contractors'!B574)</f>
        <v/>
      </c>
      <c r="AA574" s="77">
        <f>IF(Z574="","",'Contractors'!K574)</f>
        <v/>
      </c>
      <c r="AB574" s="77">
        <f>IF(Z574="","",SUMIFS($L$6:$L$1005,$B$6:$B$1005,Z574))</f>
        <v/>
      </c>
      <c r="AC574" s="77">
        <f>IF(Z574="","",SUMIFS($N$6:$N$1005,$B$6:$B$1005,Z574))</f>
        <v/>
      </c>
      <c r="AD574" s="76">
        <f>IF(Z574="","",AA574-AC574)</f>
        <v/>
      </c>
      <c r="AE574" s="117">
        <f>IF(Z574="","",IFERROR(1/SUMPRODUCT(MAX(($B$6:$B$1005=Z574)*$T$6:$T$1005)),""))</f>
        <v/>
      </c>
      <c r="AF574" s="77">
        <f>IF(AE574="","",SUMIFS($S$6:$S$1005,$B$6:$B$1005,Z574,$I$6:$I$1005,AE574))</f>
        <v/>
      </c>
    </row>
    <row r="575" ht="20" customHeight="1">
      <c r="B575" s="72" t="n"/>
      <c r="C575" s="72" t="n"/>
      <c r="D575" s="72" t="n"/>
      <c r="E575" s="72" t="n"/>
      <c r="F575" s="110" t="n"/>
      <c r="G575" s="73" t="n"/>
      <c r="H575" s="75">
        <f>IF(B575="","",IF(G575&lt;&gt;"",G575,IF(F575&lt;&gt;"",F575*IFERROR(INDEX('Contractors'!$I$6:$I$1005,MATCH(B575,'Contractors'!$B$6:$B$1005,0)),0),"")))</f>
        <v/>
      </c>
      <c r="I575" s="109" t="n"/>
      <c r="J575" s="72" t="n"/>
      <c r="K575" s="109" t="n"/>
      <c r="L575" s="73" t="n"/>
      <c r="M575" s="109" t="n"/>
      <c r="N575" s="73" t="n"/>
      <c r="O575" s="107">
        <f>IF(B575="","",IF(M575&lt;&gt;"","Paid",IF(AND(I575&lt;&gt;"",I575&lt;AsOf),"OVERDUE",IF(OR(K575&lt;&gt;"",L575&lt;&gt;""),"Invoiced","Scheduled"))))</f>
        <v/>
      </c>
      <c r="P575" s="115">
        <f>IF(B575="","",IF(E575&lt;&gt;"",E575,IFERROR(INDEX('Contractors'!$D$6:$D$1005,MATCH(B575,'Contractors'!$B$6:$B$1005,0)),"")))</f>
        <v/>
      </c>
      <c r="Q575" s="79">
        <f>IF(B575="","",IF(D575&lt;&gt;"",D575,IFERROR(INDEX('Contractors'!$E$6:$E$1005,MATCH(B575,'Contractors'!$B$6:$B$1005,0)),"")))</f>
        <v/>
      </c>
      <c r="R575" s="79">
        <f>IF(O575="","",IF(O575="OVERDUE",2,IF(O575="Paid",0,IF(AND(I575&lt;&gt;"",I575&lt;=AsOf+AlertDays),1,0))))</f>
        <v/>
      </c>
      <c r="S575" s="79">
        <f>IF(AND(B575&lt;&gt;"",M575="",I575&lt;&gt;""),IF(L575&lt;&gt;"",L575,IF(H575="",0,H575)),0)</f>
        <v/>
      </c>
      <c r="T575" s="79">
        <f>IF(AND(B575&lt;&gt;"",M575="",I575&lt;&gt;""),1/I575,0)</f>
        <v/>
      </c>
      <c r="U575" s="112">
        <f>IF(AND(B575&lt;&gt;"",M575="",I575&lt;&gt;""),I575,"")</f>
        <v/>
      </c>
      <c r="V575" s="79">
        <f>IF(U575="","",IF(U575&lt;AsOf,1,IF(U575&lt;=AsOf+AlertDays,2,IF(U575&lt;=AsOf+2*AlertDays,3,""))))</f>
        <v/>
      </c>
      <c r="W575" s="79">
        <f>IF(V575="","",IF(O575="OVERDUE","Overdue payment: ","Payment due: ")&amp;B575&amp;" — "&amp;C575&amp;" ("&amp;CurSym&amp;" "&amp;FIXED(S575,0)&amp;")")</f>
        <v/>
      </c>
      <c r="Z575" s="116">
        <f>IF('Contractors'!B575="","",'Contractors'!B575)</f>
        <v/>
      </c>
      <c r="AA575" s="77">
        <f>IF(Z575="","",'Contractors'!K575)</f>
        <v/>
      </c>
      <c r="AB575" s="77">
        <f>IF(Z575="","",SUMIFS($L$6:$L$1005,$B$6:$B$1005,Z575))</f>
        <v/>
      </c>
      <c r="AC575" s="77">
        <f>IF(Z575="","",SUMIFS($N$6:$N$1005,$B$6:$B$1005,Z575))</f>
        <v/>
      </c>
      <c r="AD575" s="76">
        <f>IF(Z575="","",AA575-AC575)</f>
        <v/>
      </c>
      <c r="AE575" s="117">
        <f>IF(Z575="","",IFERROR(1/SUMPRODUCT(MAX(($B$6:$B$1005=Z575)*$T$6:$T$1005)),""))</f>
        <v/>
      </c>
      <c r="AF575" s="77">
        <f>IF(AE575="","",SUMIFS($S$6:$S$1005,$B$6:$B$1005,Z575,$I$6:$I$1005,AE575))</f>
        <v/>
      </c>
    </row>
    <row r="576" ht="20" customHeight="1">
      <c r="B576" s="72" t="n"/>
      <c r="C576" s="72" t="n"/>
      <c r="D576" s="72" t="n"/>
      <c r="E576" s="72" t="n"/>
      <c r="F576" s="110" t="n"/>
      <c r="G576" s="73" t="n"/>
      <c r="H576" s="75">
        <f>IF(B576="","",IF(G576&lt;&gt;"",G576,IF(F576&lt;&gt;"",F576*IFERROR(INDEX('Contractors'!$I$6:$I$1005,MATCH(B576,'Contractors'!$B$6:$B$1005,0)),0),"")))</f>
        <v/>
      </c>
      <c r="I576" s="109" t="n"/>
      <c r="J576" s="72" t="n"/>
      <c r="K576" s="109" t="n"/>
      <c r="L576" s="73" t="n"/>
      <c r="M576" s="109" t="n"/>
      <c r="N576" s="73" t="n"/>
      <c r="O576" s="107">
        <f>IF(B576="","",IF(M576&lt;&gt;"","Paid",IF(AND(I576&lt;&gt;"",I576&lt;AsOf),"OVERDUE",IF(OR(K576&lt;&gt;"",L576&lt;&gt;""),"Invoiced","Scheduled"))))</f>
        <v/>
      </c>
      <c r="P576" s="115">
        <f>IF(B576="","",IF(E576&lt;&gt;"",E576,IFERROR(INDEX('Contractors'!$D$6:$D$1005,MATCH(B576,'Contractors'!$B$6:$B$1005,0)),"")))</f>
        <v/>
      </c>
      <c r="Q576" s="79">
        <f>IF(B576="","",IF(D576&lt;&gt;"",D576,IFERROR(INDEX('Contractors'!$E$6:$E$1005,MATCH(B576,'Contractors'!$B$6:$B$1005,0)),"")))</f>
        <v/>
      </c>
      <c r="R576" s="79">
        <f>IF(O576="","",IF(O576="OVERDUE",2,IF(O576="Paid",0,IF(AND(I576&lt;&gt;"",I576&lt;=AsOf+AlertDays),1,0))))</f>
        <v/>
      </c>
      <c r="S576" s="79">
        <f>IF(AND(B576&lt;&gt;"",M576="",I576&lt;&gt;""),IF(L576&lt;&gt;"",L576,IF(H576="",0,H576)),0)</f>
        <v/>
      </c>
      <c r="T576" s="79">
        <f>IF(AND(B576&lt;&gt;"",M576="",I576&lt;&gt;""),1/I576,0)</f>
        <v/>
      </c>
      <c r="U576" s="112">
        <f>IF(AND(B576&lt;&gt;"",M576="",I576&lt;&gt;""),I576,"")</f>
        <v/>
      </c>
      <c r="V576" s="79">
        <f>IF(U576="","",IF(U576&lt;AsOf,1,IF(U576&lt;=AsOf+AlertDays,2,IF(U576&lt;=AsOf+2*AlertDays,3,""))))</f>
        <v/>
      </c>
      <c r="W576" s="79">
        <f>IF(V576="","",IF(O576="OVERDUE","Overdue payment: ","Payment due: ")&amp;B576&amp;" — "&amp;C576&amp;" ("&amp;CurSym&amp;" "&amp;FIXED(S576,0)&amp;")")</f>
        <v/>
      </c>
      <c r="Z576" s="116">
        <f>IF('Contractors'!B576="","",'Contractors'!B576)</f>
        <v/>
      </c>
      <c r="AA576" s="77">
        <f>IF(Z576="","",'Contractors'!K576)</f>
        <v/>
      </c>
      <c r="AB576" s="77">
        <f>IF(Z576="","",SUMIFS($L$6:$L$1005,$B$6:$B$1005,Z576))</f>
        <v/>
      </c>
      <c r="AC576" s="77">
        <f>IF(Z576="","",SUMIFS($N$6:$N$1005,$B$6:$B$1005,Z576))</f>
        <v/>
      </c>
      <c r="AD576" s="76">
        <f>IF(Z576="","",AA576-AC576)</f>
        <v/>
      </c>
      <c r="AE576" s="117">
        <f>IF(Z576="","",IFERROR(1/SUMPRODUCT(MAX(($B$6:$B$1005=Z576)*$T$6:$T$1005)),""))</f>
        <v/>
      </c>
      <c r="AF576" s="77">
        <f>IF(AE576="","",SUMIFS($S$6:$S$1005,$B$6:$B$1005,Z576,$I$6:$I$1005,AE576))</f>
        <v/>
      </c>
    </row>
    <row r="577" ht="20" customHeight="1">
      <c r="B577" s="72" t="n"/>
      <c r="C577" s="72" t="n"/>
      <c r="D577" s="72" t="n"/>
      <c r="E577" s="72" t="n"/>
      <c r="F577" s="110" t="n"/>
      <c r="G577" s="73" t="n"/>
      <c r="H577" s="75">
        <f>IF(B577="","",IF(G577&lt;&gt;"",G577,IF(F577&lt;&gt;"",F577*IFERROR(INDEX('Contractors'!$I$6:$I$1005,MATCH(B577,'Contractors'!$B$6:$B$1005,0)),0),"")))</f>
        <v/>
      </c>
      <c r="I577" s="109" t="n"/>
      <c r="J577" s="72" t="n"/>
      <c r="K577" s="109" t="n"/>
      <c r="L577" s="73" t="n"/>
      <c r="M577" s="109" t="n"/>
      <c r="N577" s="73" t="n"/>
      <c r="O577" s="107">
        <f>IF(B577="","",IF(M577&lt;&gt;"","Paid",IF(AND(I577&lt;&gt;"",I577&lt;AsOf),"OVERDUE",IF(OR(K577&lt;&gt;"",L577&lt;&gt;""),"Invoiced","Scheduled"))))</f>
        <v/>
      </c>
      <c r="P577" s="115">
        <f>IF(B577="","",IF(E577&lt;&gt;"",E577,IFERROR(INDEX('Contractors'!$D$6:$D$1005,MATCH(B577,'Contractors'!$B$6:$B$1005,0)),"")))</f>
        <v/>
      </c>
      <c r="Q577" s="79">
        <f>IF(B577="","",IF(D577&lt;&gt;"",D577,IFERROR(INDEX('Contractors'!$E$6:$E$1005,MATCH(B577,'Contractors'!$B$6:$B$1005,0)),"")))</f>
        <v/>
      </c>
      <c r="R577" s="79">
        <f>IF(O577="","",IF(O577="OVERDUE",2,IF(O577="Paid",0,IF(AND(I577&lt;&gt;"",I577&lt;=AsOf+AlertDays),1,0))))</f>
        <v/>
      </c>
      <c r="S577" s="79">
        <f>IF(AND(B577&lt;&gt;"",M577="",I577&lt;&gt;""),IF(L577&lt;&gt;"",L577,IF(H577="",0,H577)),0)</f>
        <v/>
      </c>
      <c r="T577" s="79">
        <f>IF(AND(B577&lt;&gt;"",M577="",I577&lt;&gt;""),1/I577,0)</f>
        <v/>
      </c>
      <c r="U577" s="112">
        <f>IF(AND(B577&lt;&gt;"",M577="",I577&lt;&gt;""),I577,"")</f>
        <v/>
      </c>
      <c r="V577" s="79">
        <f>IF(U577="","",IF(U577&lt;AsOf,1,IF(U577&lt;=AsOf+AlertDays,2,IF(U577&lt;=AsOf+2*AlertDays,3,""))))</f>
        <v/>
      </c>
      <c r="W577" s="79">
        <f>IF(V577="","",IF(O577="OVERDUE","Overdue payment: ","Payment due: ")&amp;B577&amp;" — "&amp;C577&amp;" ("&amp;CurSym&amp;" "&amp;FIXED(S577,0)&amp;")")</f>
        <v/>
      </c>
      <c r="Z577" s="116">
        <f>IF('Contractors'!B577="","",'Contractors'!B577)</f>
        <v/>
      </c>
      <c r="AA577" s="77">
        <f>IF(Z577="","",'Contractors'!K577)</f>
        <v/>
      </c>
      <c r="AB577" s="77">
        <f>IF(Z577="","",SUMIFS($L$6:$L$1005,$B$6:$B$1005,Z577))</f>
        <v/>
      </c>
      <c r="AC577" s="77">
        <f>IF(Z577="","",SUMIFS($N$6:$N$1005,$B$6:$B$1005,Z577))</f>
        <v/>
      </c>
      <c r="AD577" s="76">
        <f>IF(Z577="","",AA577-AC577)</f>
        <v/>
      </c>
      <c r="AE577" s="117">
        <f>IF(Z577="","",IFERROR(1/SUMPRODUCT(MAX(($B$6:$B$1005=Z577)*$T$6:$T$1005)),""))</f>
        <v/>
      </c>
      <c r="AF577" s="77">
        <f>IF(AE577="","",SUMIFS($S$6:$S$1005,$B$6:$B$1005,Z577,$I$6:$I$1005,AE577))</f>
        <v/>
      </c>
    </row>
    <row r="578" ht="20" customHeight="1">
      <c r="B578" s="72" t="n"/>
      <c r="C578" s="72" t="n"/>
      <c r="D578" s="72" t="n"/>
      <c r="E578" s="72" t="n"/>
      <c r="F578" s="110" t="n"/>
      <c r="G578" s="73" t="n"/>
      <c r="H578" s="75">
        <f>IF(B578="","",IF(G578&lt;&gt;"",G578,IF(F578&lt;&gt;"",F578*IFERROR(INDEX('Contractors'!$I$6:$I$1005,MATCH(B578,'Contractors'!$B$6:$B$1005,0)),0),"")))</f>
        <v/>
      </c>
      <c r="I578" s="109" t="n"/>
      <c r="J578" s="72" t="n"/>
      <c r="K578" s="109" t="n"/>
      <c r="L578" s="73" t="n"/>
      <c r="M578" s="109" t="n"/>
      <c r="N578" s="73" t="n"/>
      <c r="O578" s="107">
        <f>IF(B578="","",IF(M578&lt;&gt;"","Paid",IF(AND(I578&lt;&gt;"",I578&lt;AsOf),"OVERDUE",IF(OR(K578&lt;&gt;"",L578&lt;&gt;""),"Invoiced","Scheduled"))))</f>
        <v/>
      </c>
      <c r="P578" s="115">
        <f>IF(B578="","",IF(E578&lt;&gt;"",E578,IFERROR(INDEX('Contractors'!$D$6:$D$1005,MATCH(B578,'Contractors'!$B$6:$B$1005,0)),"")))</f>
        <v/>
      </c>
      <c r="Q578" s="79">
        <f>IF(B578="","",IF(D578&lt;&gt;"",D578,IFERROR(INDEX('Contractors'!$E$6:$E$1005,MATCH(B578,'Contractors'!$B$6:$B$1005,0)),"")))</f>
        <v/>
      </c>
      <c r="R578" s="79">
        <f>IF(O578="","",IF(O578="OVERDUE",2,IF(O578="Paid",0,IF(AND(I578&lt;&gt;"",I578&lt;=AsOf+AlertDays),1,0))))</f>
        <v/>
      </c>
      <c r="S578" s="79">
        <f>IF(AND(B578&lt;&gt;"",M578="",I578&lt;&gt;""),IF(L578&lt;&gt;"",L578,IF(H578="",0,H578)),0)</f>
        <v/>
      </c>
      <c r="T578" s="79">
        <f>IF(AND(B578&lt;&gt;"",M578="",I578&lt;&gt;""),1/I578,0)</f>
        <v/>
      </c>
      <c r="U578" s="112">
        <f>IF(AND(B578&lt;&gt;"",M578="",I578&lt;&gt;""),I578,"")</f>
        <v/>
      </c>
      <c r="V578" s="79">
        <f>IF(U578="","",IF(U578&lt;AsOf,1,IF(U578&lt;=AsOf+AlertDays,2,IF(U578&lt;=AsOf+2*AlertDays,3,""))))</f>
        <v/>
      </c>
      <c r="W578" s="79">
        <f>IF(V578="","",IF(O578="OVERDUE","Overdue payment: ","Payment due: ")&amp;B578&amp;" — "&amp;C578&amp;" ("&amp;CurSym&amp;" "&amp;FIXED(S578,0)&amp;")")</f>
        <v/>
      </c>
      <c r="Z578" s="116">
        <f>IF('Contractors'!B578="","",'Contractors'!B578)</f>
        <v/>
      </c>
      <c r="AA578" s="77">
        <f>IF(Z578="","",'Contractors'!K578)</f>
        <v/>
      </c>
      <c r="AB578" s="77">
        <f>IF(Z578="","",SUMIFS($L$6:$L$1005,$B$6:$B$1005,Z578))</f>
        <v/>
      </c>
      <c r="AC578" s="77">
        <f>IF(Z578="","",SUMIFS($N$6:$N$1005,$B$6:$B$1005,Z578))</f>
        <v/>
      </c>
      <c r="AD578" s="76">
        <f>IF(Z578="","",AA578-AC578)</f>
        <v/>
      </c>
      <c r="AE578" s="117">
        <f>IF(Z578="","",IFERROR(1/SUMPRODUCT(MAX(($B$6:$B$1005=Z578)*$T$6:$T$1005)),""))</f>
        <v/>
      </c>
      <c r="AF578" s="77">
        <f>IF(AE578="","",SUMIFS($S$6:$S$1005,$B$6:$B$1005,Z578,$I$6:$I$1005,AE578))</f>
        <v/>
      </c>
    </row>
    <row r="579" ht="20" customHeight="1">
      <c r="B579" s="72" t="n"/>
      <c r="C579" s="72" t="n"/>
      <c r="D579" s="72" t="n"/>
      <c r="E579" s="72" t="n"/>
      <c r="F579" s="110" t="n"/>
      <c r="G579" s="73" t="n"/>
      <c r="H579" s="75">
        <f>IF(B579="","",IF(G579&lt;&gt;"",G579,IF(F579&lt;&gt;"",F579*IFERROR(INDEX('Contractors'!$I$6:$I$1005,MATCH(B579,'Contractors'!$B$6:$B$1005,0)),0),"")))</f>
        <v/>
      </c>
      <c r="I579" s="109" t="n"/>
      <c r="J579" s="72" t="n"/>
      <c r="K579" s="109" t="n"/>
      <c r="L579" s="73" t="n"/>
      <c r="M579" s="109" t="n"/>
      <c r="N579" s="73" t="n"/>
      <c r="O579" s="107">
        <f>IF(B579="","",IF(M579&lt;&gt;"","Paid",IF(AND(I579&lt;&gt;"",I579&lt;AsOf),"OVERDUE",IF(OR(K579&lt;&gt;"",L579&lt;&gt;""),"Invoiced","Scheduled"))))</f>
        <v/>
      </c>
      <c r="P579" s="115">
        <f>IF(B579="","",IF(E579&lt;&gt;"",E579,IFERROR(INDEX('Contractors'!$D$6:$D$1005,MATCH(B579,'Contractors'!$B$6:$B$1005,0)),"")))</f>
        <v/>
      </c>
      <c r="Q579" s="79">
        <f>IF(B579="","",IF(D579&lt;&gt;"",D579,IFERROR(INDEX('Contractors'!$E$6:$E$1005,MATCH(B579,'Contractors'!$B$6:$B$1005,0)),"")))</f>
        <v/>
      </c>
      <c r="R579" s="79">
        <f>IF(O579="","",IF(O579="OVERDUE",2,IF(O579="Paid",0,IF(AND(I579&lt;&gt;"",I579&lt;=AsOf+AlertDays),1,0))))</f>
        <v/>
      </c>
      <c r="S579" s="79">
        <f>IF(AND(B579&lt;&gt;"",M579="",I579&lt;&gt;""),IF(L579&lt;&gt;"",L579,IF(H579="",0,H579)),0)</f>
        <v/>
      </c>
      <c r="T579" s="79">
        <f>IF(AND(B579&lt;&gt;"",M579="",I579&lt;&gt;""),1/I579,0)</f>
        <v/>
      </c>
      <c r="U579" s="112">
        <f>IF(AND(B579&lt;&gt;"",M579="",I579&lt;&gt;""),I579,"")</f>
        <v/>
      </c>
      <c r="V579" s="79">
        <f>IF(U579="","",IF(U579&lt;AsOf,1,IF(U579&lt;=AsOf+AlertDays,2,IF(U579&lt;=AsOf+2*AlertDays,3,""))))</f>
        <v/>
      </c>
      <c r="W579" s="79">
        <f>IF(V579="","",IF(O579="OVERDUE","Overdue payment: ","Payment due: ")&amp;B579&amp;" — "&amp;C579&amp;" ("&amp;CurSym&amp;" "&amp;FIXED(S579,0)&amp;")")</f>
        <v/>
      </c>
      <c r="Z579" s="116">
        <f>IF('Contractors'!B579="","",'Contractors'!B579)</f>
        <v/>
      </c>
      <c r="AA579" s="77">
        <f>IF(Z579="","",'Contractors'!K579)</f>
        <v/>
      </c>
      <c r="AB579" s="77">
        <f>IF(Z579="","",SUMIFS($L$6:$L$1005,$B$6:$B$1005,Z579))</f>
        <v/>
      </c>
      <c r="AC579" s="77">
        <f>IF(Z579="","",SUMIFS($N$6:$N$1005,$B$6:$B$1005,Z579))</f>
        <v/>
      </c>
      <c r="AD579" s="76">
        <f>IF(Z579="","",AA579-AC579)</f>
        <v/>
      </c>
      <c r="AE579" s="117">
        <f>IF(Z579="","",IFERROR(1/SUMPRODUCT(MAX(($B$6:$B$1005=Z579)*$T$6:$T$1005)),""))</f>
        <v/>
      </c>
      <c r="AF579" s="77">
        <f>IF(AE579="","",SUMIFS($S$6:$S$1005,$B$6:$B$1005,Z579,$I$6:$I$1005,AE579))</f>
        <v/>
      </c>
    </row>
    <row r="580" ht="20" customHeight="1">
      <c r="B580" s="72" t="n"/>
      <c r="C580" s="72" t="n"/>
      <c r="D580" s="72" t="n"/>
      <c r="E580" s="72" t="n"/>
      <c r="F580" s="110" t="n"/>
      <c r="G580" s="73" t="n"/>
      <c r="H580" s="75">
        <f>IF(B580="","",IF(G580&lt;&gt;"",G580,IF(F580&lt;&gt;"",F580*IFERROR(INDEX('Contractors'!$I$6:$I$1005,MATCH(B580,'Contractors'!$B$6:$B$1005,0)),0),"")))</f>
        <v/>
      </c>
      <c r="I580" s="109" t="n"/>
      <c r="J580" s="72" t="n"/>
      <c r="K580" s="109" t="n"/>
      <c r="L580" s="73" t="n"/>
      <c r="M580" s="109" t="n"/>
      <c r="N580" s="73" t="n"/>
      <c r="O580" s="107">
        <f>IF(B580="","",IF(M580&lt;&gt;"","Paid",IF(AND(I580&lt;&gt;"",I580&lt;AsOf),"OVERDUE",IF(OR(K580&lt;&gt;"",L580&lt;&gt;""),"Invoiced","Scheduled"))))</f>
        <v/>
      </c>
      <c r="P580" s="115">
        <f>IF(B580="","",IF(E580&lt;&gt;"",E580,IFERROR(INDEX('Contractors'!$D$6:$D$1005,MATCH(B580,'Contractors'!$B$6:$B$1005,0)),"")))</f>
        <v/>
      </c>
      <c r="Q580" s="79">
        <f>IF(B580="","",IF(D580&lt;&gt;"",D580,IFERROR(INDEX('Contractors'!$E$6:$E$1005,MATCH(B580,'Contractors'!$B$6:$B$1005,0)),"")))</f>
        <v/>
      </c>
      <c r="R580" s="79">
        <f>IF(O580="","",IF(O580="OVERDUE",2,IF(O580="Paid",0,IF(AND(I580&lt;&gt;"",I580&lt;=AsOf+AlertDays),1,0))))</f>
        <v/>
      </c>
      <c r="S580" s="79">
        <f>IF(AND(B580&lt;&gt;"",M580="",I580&lt;&gt;""),IF(L580&lt;&gt;"",L580,IF(H580="",0,H580)),0)</f>
        <v/>
      </c>
      <c r="T580" s="79">
        <f>IF(AND(B580&lt;&gt;"",M580="",I580&lt;&gt;""),1/I580,0)</f>
        <v/>
      </c>
      <c r="U580" s="112">
        <f>IF(AND(B580&lt;&gt;"",M580="",I580&lt;&gt;""),I580,"")</f>
        <v/>
      </c>
      <c r="V580" s="79">
        <f>IF(U580="","",IF(U580&lt;AsOf,1,IF(U580&lt;=AsOf+AlertDays,2,IF(U580&lt;=AsOf+2*AlertDays,3,""))))</f>
        <v/>
      </c>
      <c r="W580" s="79">
        <f>IF(V580="","",IF(O580="OVERDUE","Overdue payment: ","Payment due: ")&amp;B580&amp;" — "&amp;C580&amp;" ("&amp;CurSym&amp;" "&amp;FIXED(S580,0)&amp;")")</f>
        <v/>
      </c>
      <c r="Z580" s="116">
        <f>IF('Contractors'!B580="","",'Contractors'!B580)</f>
        <v/>
      </c>
      <c r="AA580" s="77">
        <f>IF(Z580="","",'Contractors'!K580)</f>
        <v/>
      </c>
      <c r="AB580" s="77">
        <f>IF(Z580="","",SUMIFS($L$6:$L$1005,$B$6:$B$1005,Z580))</f>
        <v/>
      </c>
      <c r="AC580" s="77">
        <f>IF(Z580="","",SUMIFS($N$6:$N$1005,$B$6:$B$1005,Z580))</f>
        <v/>
      </c>
      <c r="AD580" s="76">
        <f>IF(Z580="","",AA580-AC580)</f>
        <v/>
      </c>
      <c r="AE580" s="117">
        <f>IF(Z580="","",IFERROR(1/SUMPRODUCT(MAX(($B$6:$B$1005=Z580)*$T$6:$T$1005)),""))</f>
        <v/>
      </c>
      <c r="AF580" s="77">
        <f>IF(AE580="","",SUMIFS($S$6:$S$1005,$B$6:$B$1005,Z580,$I$6:$I$1005,AE580))</f>
        <v/>
      </c>
    </row>
    <row r="581" ht="20" customHeight="1">
      <c r="B581" s="72" t="n"/>
      <c r="C581" s="72" t="n"/>
      <c r="D581" s="72" t="n"/>
      <c r="E581" s="72" t="n"/>
      <c r="F581" s="110" t="n"/>
      <c r="G581" s="73" t="n"/>
      <c r="H581" s="75">
        <f>IF(B581="","",IF(G581&lt;&gt;"",G581,IF(F581&lt;&gt;"",F581*IFERROR(INDEX('Contractors'!$I$6:$I$1005,MATCH(B581,'Contractors'!$B$6:$B$1005,0)),0),"")))</f>
        <v/>
      </c>
      <c r="I581" s="109" t="n"/>
      <c r="J581" s="72" t="n"/>
      <c r="K581" s="109" t="n"/>
      <c r="L581" s="73" t="n"/>
      <c r="M581" s="109" t="n"/>
      <c r="N581" s="73" t="n"/>
      <c r="O581" s="107">
        <f>IF(B581="","",IF(M581&lt;&gt;"","Paid",IF(AND(I581&lt;&gt;"",I581&lt;AsOf),"OVERDUE",IF(OR(K581&lt;&gt;"",L581&lt;&gt;""),"Invoiced","Scheduled"))))</f>
        <v/>
      </c>
      <c r="P581" s="115">
        <f>IF(B581="","",IF(E581&lt;&gt;"",E581,IFERROR(INDEX('Contractors'!$D$6:$D$1005,MATCH(B581,'Contractors'!$B$6:$B$1005,0)),"")))</f>
        <v/>
      </c>
      <c r="Q581" s="79">
        <f>IF(B581="","",IF(D581&lt;&gt;"",D581,IFERROR(INDEX('Contractors'!$E$6:$E$1005,MATCH(B581,'Contractors'!$B$6:$B$1005,0)),"")))</f>
        <v/>
      </c>
      <c r="R581" s="79">
        <f>IF(O581="","",IF(O581="OVERDUE",2,IF(O581="Paid",0,IF(AND(I581&lt;&gt;"",I581&lt;=AsOf+AlertDays),1,0))))</f>
        <v/>
      </c>
      <c r="S581" s="79">
        <f>IF(AND(B581&lt;&gt;"",M581="",I581&lt;&gt;""),IF(L581&lt;&gt;"",L581,IF(H581="",0,H581)),0)</f>
        <v/>
      </c>
      <c r="T581" s="79">
        <f>IF(AND(B581&lt;&gt;"",M581="",I581&lt;&gt;""),1/I581,0)</f>
        <v/>
      </c>
      <c r="U581" s="112">
        <f>IF(AND(B581&lt;&gt;"",M581="",I581&lt;&gt;""),I581,"")</f>
        <v/>
      </c>
      <c r="V581" s="79">
        <f>IF(U581="","",IF(U581&lt;AsOf,1,IF(U581&lt;=AsOf+AlertDays,2,IF(U581&lt;=AsOf+2*AlertDays,3,""))))</f>
        <v/>
      </c>
      <c r="W581" s="79">
        <f>IF(V581="","",IF(O581="OVERDUE","Overdue payment: ","Payment due: ")&amp;B581&amp;" — "&amp;C581&amp;" ("&amp;CurSym&amp;" "&amp;FIXED(S581,0)&amp;")")</f>
        <v/>
      </c>
      <c r="Z581" s="116">
        <f>IF('Contractors'!B581="","",'Contractors'!B581)</f>
        <v/>
      </c>
      <c r="AA581" s="77">
        <f>IF(Z581="","",'Contractors'!K581)</f>
        <v/>
      </c>
      <c r="AB581" s="77">
        <f>IF(Z581="","",SUMIFS($L$6:$L$1005,$B$6:$B$1005,Z581))</f>
        <v/>
      </c>
      <c r="AC581" s="77">
        <f>IF(Z581="","",SUMIFS($N$6:$N$1005,$B$6:$B$1005,Z581))</f>
        <v/>
      </c>
      <c r="AD581" s="76">
        <f>IF(Z581="","",AA581-AC581)</f>
        <v/>
      </c>
      <c r="AE581" s="117">
        <f>IF(Z581="","",IFERROR(1/SUMPRODUCT(MAX(($B$6:$B$1005=Z581)*$T$6:$T$1005)),""))</f>
        <v/>
      </c>
      <c r="AF581" s="77">
        <f>IF(AE581="","",SUMIFS($S$6:$S$1005,$B$6:$B$1005,Z581,$I$6:$I$1005,AE581))</f>
        <v/>
      </c>
    </row>
    <row r="582" ht="20" customHeight="1">
      <c r="B582" s="72" t="n"/>
      <c r="C582" s="72" t="n"/>
      <c r="D582" s="72" t="n"/>
      <c r="E582" s="72" t="n"/>
      <c r="F582" s="110" t="n"/>
      <c r="G582" s="73" t="n"/>
      <c r="H582" s="75">
        <f>IF(B582="","",IF(G582&lt;&gt;"",G582,IF(F582&lt;&gt;"",F582*IFERROR(INDEX('Contractors'!$I$6:$I$1005,MATCH(B582,'Contractors'!$B$6:$B$1005,0)),0),"")))</f>
        <v/>
      </c>
      <c r="I582" s="109" t="n"/>
      <c r="J582" s="72" t="n"/>
      <c r="K582" s="109" t="n"/>
      <c r="L582" s="73" t="n"/>
      <c r="M582" s="109" t="n"/>
      <c r="N582" s="73" t="n"/>
      <c r="O582" s="107">
        <f>IF(B582="","",IF(M582&lt;&gt;"","Paid",IF(AND(I582&lt;&gt;"",I582&lt;AsOf),"OVERDUE",IF(OR(K582&lt;&gt;"",L582&lt;&gt;""),"Invoiced","Scheduled"))))</f>
        <v/>
      </c>
      <c r="P582" s="115">
        <f>IF(B582="","",IF(E582&lt;&gt;"",E582,IFERROR(INDEX('Contractors'!$D$6:$D$1005,MATCH(B582,'Contractors'!$B$6:$B$1005,0)),"")))</f>
        <v/>
      </c>
      <c r="Q582" s="79">
        <f>IF(B582="","",IF(D582&lt;&gt;"",D582,IFERROR(INDEX('Contractors'!$E$6:$E$1005,MATCH(B582,'Contractors'!$B$6:$B$1005,0)),"")))</f>
        <v/>
      </c>
      <c r="R582" s="79">
        <f>IF(O582="","",IF(O582="OVERDUE",2,IF(O582="Paid",0,IF(AND(I582&lt;&gt;"",I582&lt;=AsOf+AlertDays),1,0))))</f>
        <v/>
      </c>
      <c r="S582" s="79">
        <f>IF(AND(B582&lt;&gt;"",M582="",I582&lt;&gt;""),IF(L582&lt;&gt;"",L582,IF(H582="",0,H582)),0)</f>
        <v/>
      </c>
      <c r="T582" s="79">
        <f>IF(AND(B582&lt;&gt;"",M582="",I582&lt;&gt;""),1/I582,0)</f>
        <v/>
      </c>
      <c r="U582" s="112">
        <f>IF(AND(B582&lt;&gt;"",M582="",I582&lt;&gt;""),I582,"")</f>
        <v/>
      </c>
      <c r="V582" s="79">
        <f>IF(U582="","",IF(U582&lt;AsOf,1,IF(U582&lt;=AsOf+AlertDays,2,IF(U582&lt;=AsOf+2*AlertDays,3,""))))</f>
        <v/>
      </c>
      <c r="W582" s="79">
        <f>IF(V582="","",IF(O582="OVERDUE","Overdue payment: ","Payment due: ")&amp;B582&amp;" — "&amp;C582&amp;" ("&amp;CurSym&amp;" "&amp;FIXED(S582,0)&amp;")")</f>
        <v/>
      </c>
      <c r="Z582" s="116">
        <f>IF('Contractors'!B582="","",'Contractors'!B582)</f>
        <v/>
      </c>
      <c r="AA582" s="77">
        <f>IF(Z582="","",'Contractors'!K582)</f>
        <v/>
      </c>
      <c r="AB582" s="77">
        <f>IF(Z582="","",SUMIFS($L$6:$L$1005,$B$6:$B$1005,Z582))</f>
        <v/>
      </c>
      <c r="AC582" s="77">
        <f>IF(Z582="","",SUMIFS($N$6:$N$1005,$B$6:$B$1005,Z582))</f>
        <v/>
      </c>
      <c r="AD582" s="76">
        <f>IF(Z582="","",AA582-AC582)</f>
        <v/>
      </c>
      <c r="AE582" s="117">
        <f>IF(Z582="","",IFERROR(1/SUMPRODUCT(MAX(($B$6:$B$1005=Z582)*$T$6:$T$1005)),""))</f>
        <v/>
      </c>
      <c r="AF582" s="77">
        <f>IF(AE582="","",SUMIFS($S$6:$S$1005,$B$6:$B$1005,Z582,$I$6:$I$1005,AE582))</f>
        <v/>
      </c>
    </row>
    <row r="583" ht="20" customHeight="1">
      <c r="B583" s="72" t="n"/>
      <c r="C583" s="72" t="n"/>
      <c r="D583" s="72" t="n"/>
      <c r="E583" s="72" t="n"/>
      <c r="F583" s="110" t="n"/>
      <c r="G583" s="73" t="n"/>
      <c r="H583" s="75">
        <f>IF(B583="","",IF(G583&lt;&gt;"",G583,IF(F583&lt;&gt;"",F583*IFERROR(INDEX('Contractors'!$I$6:$I$1005,MATCH(B583,'Contractors'!$B$6:$B$1005,0)),0),"")))</f>
        <v/>
      </c>
      <c r="I583" s="109" t="n"/>
      <c r="J583" s="72" t="n"/>
      <c r="K583" s="109" t="n"/>
      <c r="L583" s="73" t="n"/>
      <c r="M583" s="109" t="n"/>
      <c r="N583" s="73" t="n"/>
      <c r="O583" s="107">
        <f>IF(B583="","",IF(M583&lt;&gt;"","Paid",IF(AND(I583&lt;&gt;"",I583&lt;AsOf),"OVERDUE",IF(OR(K583&lt;&gt;"",L583&lt;&gt;""),"Invoiced","Scheduled"))))</f>
        <v/>
      </c>
      <c r="P583" s="115">
        <f>IF(B583="","",IF(E583&lt;&gt;"",E583,IFERROR(INDEX('Contractors'!$D$6:$D$1005,MATCH(B583,'Contractors'!$B$6:$B$1005,0)),"")))</f>
        <v/>
      </c>
      <c r="Q583" s="79">
        <f>IF(B583="","",IF(D583&lt;&gt;"",D583,IFERROR(INDEX('Contractors'!$E$6:$E$1005,MATCH(B583,'Contractors'!$B$6:$B$1005,0)),"")))</f>
        <v/>
      </c>
      <c r="R583" s="79">
        <f>IF(O583="","",IF(O583="OVERDUE",2,IF(O583="Paid",0,IF(AND(I583&lt;&gt;"",I583&lt;=AsOf+AlertDays),1,0))))</f>
        <v/>
      </c>
      <c r="S583" s="79">
        <f>IF(AND(B583&lt;&gt;"",M583="",I583&lt;&gt;""),IF(L583&lt;&gt;"",L583,IF(H583="",0,H583)),0)</f>
        <v/>
      </c>
      <c r="T583" s="79">
        <f>IF(AND(B583&lt;&gt;"",M583="",I583&lt;&gt;""),1/I583,0)</f>
        <v/>
      </c>
      <c r="U583" s="112">
        <f>IF(AND(B583&lt;&gt;"",M583="",I583&lt;&gt;""),I583,"")</f>
        <v/>
      </c>
      <c r="V583" s="79">
        <f>IF(U583="","",IF(U583&lt;AsOf,1,IF(U583&lt;=AsOf+AlertDays,2,IF(U583&lt;=AsOf+2*AlertDays,3,""))))</f>
        <v/>
      </c>
      <c r="W583" s="79">
        <f>IF(V583="","",IF(O583="OVERDUE","Overdue payment: ","Payment due: ")&amp;B583&amp;" — "&amp;C583&amp;" ("&amp;CurSym&amp;" "&amp;FIXED(S583,0)&amp;")")</f>
        <v/>
      </c>
      <c r="Z583" s="116">
        <f>IF('Contractors'!B583="","",'Contractors'!B583)</f>
        <v/>
      </c>
      <c r="AA583" s="77">
        <f>IF(Z583="","",'Contractors'!K583)</f>
        <v/>
      </c>
      <c r="AB583" s="77">
        <f>IF(Z583="","",SUMIFS($L$6:$L$1005,$B$6:$B$1005,Z583))</f>
        <v/>
      </c>
      <c r="AC583" s="77">
        <f>IF(Z583="","",SUMIFS($N$6:$N$1005,$B$6:$B$1005,Z583))</f>
        <v/>
      </c>
      <c r="AD583" s="76">
        <f>IF(Z583="","",AA583-AC583)</f>
        <v/>
      </c>
      <c r="AE583" s="117">
        <f>IF(Z583="","",IFERROR(1/SUMPRODUCT(MAX(($B$6:$B$1005=Z583)*$T$6:$T$1005)),""))</f>
        <v/>
      </c>
      <c r="AF583" s="77">
        <f>IF(AE583="","",SUMIFS($S$6:$S$1005,$B$6:$B$1005,Z583,$I$6:$I$1005,AE583))</f>
        <v/>
      </c>
    </row>
    <row r="584" ht="20" customHeight="1">
      <c r="B584" s="72" t="n"/>
      <c r="C584" s="72" t="n"/>
      <c r="D584" s="72" t="n"/>
      <c r="E584" s="72" t="n"/>
      <c r="F584" s="110" t="n"/>
      <c r="G584" s="73" t="n"/>
      <c r="H584" s="75">
        <f>IF(B584="","",IF(G584&lt;&gt;"",G584,IF(F584&lt;&gt;"",F584*IFERROR(INDEX('Contractors'!$I$6:$I$1005,MATCH(B584,'Contractors'!$B$6:$B$1005,0)),0),"")))</f>
        <v/>
      </c>
      <c r="I584" s="109" t="n"/>
      <c r="J584" s="72" t="n"/>
      <c r="K584" s="109" t="n"/>
      <c r="L584" s="73" t="n"/>
      <c r="M584" s="109" t="n"/>
      <c r="N584" s="73" t="n"/>
      <c r="O584" s="107">
        <f>IF(B584="","",IF(M584&lt;&gt;"","Paid",IF(AND(I584&lt;&gt;"",I584&lt;AsOf),"OVERDUE",IF(OR(K584&lt;&gt;"",L584&lt;&gt;""),"Invoiced","Scheduled"))))</f>
        <v/>
      </c>
      <c r="P584" s="115">
        <f>IF(B584="","",IF(E584&lt;&gt;"",E584,IFERROR(INDEX('Contractors'!$D$6:$D$1005,MATCH(B584,'Contractors'!$B$6:$B$1005,0)),"")))</f>
        <v/>
      </c>
      <c r="Q584" s="79">
        <f>IF(B584="","",IF(D584&lt;&gt;"",D584,IFERROR(INDEX('Contractors'!$E$6:$E$1005,MATCH(B584,'Contractors'!$B$6:$B$1005,0)),"")))</f>
        <v/>
      </c>
      <c r="R584" s="79">
        <f>IF(O584="","",IF(O584="OVERDUE",2,IF(O584="Paid",0,IF(AND(I584&lt;&gt;"",I584&lt;=AsOf+AlertDays),1,0))))</f>
        <v/>
      </c>
      <c r="S584" s="79">
        <f>IF(AND(B584&lt;&gt;"",M584="",I584&lt;&gt;""),IF(L584&lt;&gt;"",L584,IF(H584="",0,H584)),0)</f>
        <v/>
      </c>
      <c r="T584" s="79">
        <f>IF(AND(B584&lt;&gt;"",M584="",I584&lt;&gt;""),1/I584,0)</f>
        <v/>
      </c>
      <c r="U584" s="112">
        <f>IF(AND(B584&lt;&gt;"",M584="",I584&lt;&gt;""),I584,"")</f>
        <v/>
      </c>
      <c r="V584" s="79">
        <f>IF(U584="","",IF(U584&lt;AsOf,1,IF(U584&lt;=AsOf+AlertDays,2,IF(U584&lt;=AsOf+2*AlertDays,3,""))))</f>
        <v/>
      </c>
      <c r="W584" s="79">
        <f>IF(V584="","",IF(O584="OVERDUE","Overdue payment: ","Payment due: ")&amp;B584&amp;" — "&amp;C584&amp;" ("&amp;CurSym&amp;" "&amp;FIXED(S584,0)&amp;")")</f>
        <v/>
      </c>
      <c r="Z584" s="116">
        <f>IF('Contractors'!B584="","",'Contractors'!B584)</f>
        <v/>
      </c>
      <c r="AA584" s="77">
        <f>IF(Z584="","",'Contractors'!K584)</f>
        <v/>
      </c>
      <c r="AB584" s="77">
        <f>IF(Z584="","",SUMIFS($L$6:$L$1005,$B$6:$B$1005,Z584))</f>
        <v/>
      </c>
      <c r="AC584" s="77">
        <f>IF(Z584="","",SUMIFS($N$6:$N$1005,$B$6:$B$1005,Z584))</f>
        <v/>
      </c>
      <c r="AD584" s="76">
        <f>IF(Z584="","",AA584-AC584)</f>
        <v/>
      </c>
      <c r="AE584" s="117">
        <f>IF(Z584="","",IFERROR(1/SUMPRODUCT(MAX(($B$6:$B$1005=Z584)*$T$6:$T$1005)),""))</f>
        <v/>
      </c>
      <c r="AF584" s="77">
        <f>IF(AE584="","",SUMIFS($S$6:$S$1005,$B$6:$B$1005,Z584,$I$6:$I$1005,AE584))</f>
        <v/>
      </c>
    </row>
    <row r="585" ht="20" customHeight="1">
      <c r="B585" s="72" t="n"/>
      <c r="C585" s="72" t="n"/>
      <c r="D585" s="72" t="n"/>
      <c r="E585" s="72" t="n"/>
      <c r="F585" s="110" t="n"/>
      <c r="G585" s="73" t="n"/>
      <c r="H585" s="75">
        <f>IF(B585="","",IF(G585&lt;&gt;"",G585,IF(F585&lt;&gt;"",F585*IFERROR(INDEX('Contractors'!$I$6:$I$1005,MATCH(B585,'Contractors'!$B$6:$B$1005,0)),0),"")))</f>
        <v/>
      </c>
      <c r="I585" s="109" t="n"/>
      <c r="J585" s="72" t="n"/>
      <c r="K585" s="109" t="n"/>
      <c r="L585" s="73" t="n"/>
      <c r="M585" s="109" t="n"/>
      <c r="N585" s="73" t="n"/>
      <c r="O585" s="107">
        <f>IF(B585="","",IF(M585&lt;&gt;"","Paid",IF(AND(I585&lt;&gt;"",I585&lt;AsOf),"OVERDUE",IF(OR(K585&lt;&gt;"",L585&lt;&gt;""),"Invoiced","Scheduled"))))</f>
        <v/>
      </c>
      <c r="P585" s="115">
        <f>IF(B585="","",IF(E585&lt;&gt;"",E585,IFERROR(INDEX('Contractors'!$D$6:$D$1005,MATCH(B585,'Contractors'!$B$6:$B$1005,0)),"")))</f>
        <v/>
      </c>
      <c r="Q585" s="79">
        <f>IF(B585="","",IF(D585&lt;&gt;"",D585,IFERROR(INDEX('Contractors'!$E$6:$E$1005,MATCH(B585,'Contractors'!$B$6:$B$1005,0)),"")))</f>
        <v/>
      </c>
      <c r="R585" s="79">
        <f>IF(O585="","",IF(O585="OVERDUE",2,IF(O585="Paid",0,IF(AND(I585&lt;&gt;"",I585&lt;=AsOf+AlertDays),1,0))))</f>
        <v/>
      </c>
      <c r="S585" s="79">
        <f>IF(AND(B585&lt;&gt;"",M585="",I585&lt;&gt;""),IF(L585&lt;&gt;"",L585,IF(H585="",0,H585)),0)</f>
        <v/>
      </c>
      <c r="T585" s="79">
        <f>IF(AND(B585&lt;&gt;"",M585="",I585&lt;&gt;""),1/I585,0)</f>
        <v/>
      </c>
      <c r="U585" s="112">
        <f>IF(AND(B585&lt;&gt;"",M585="",I585&lt;&gt;""),I585,"")</f>
        <v/>
      </c>
      <c r="V585" s="79">
        <f>IF(U585="","",IF(U585&lt;AsOf,1,IF(U585&lt;=AsOf+AlertDays,2,IF(U585&lt;=AsOf+2*AlertDays,3,""))))</f>
        <v/>
      </c>
      <c r="W585" s="79">
        <f>IF(V585="","",IF(O585="OVERDUE","Overdue payment: ","Payment due: ")&amp;B585&amp;" — "&amp;C585&amp;" ("&amp;CurSym&amp;" "&amp;FIXED(S585,0)&amp;")")</f>
        <v/>
      </c>
      <c r="Z585" s="116">
        <f>IF('Contractors'!B585="","",'Contractors'!B585)</f>
        <v/>
      </c>
      <c r="AA585" s="77">
        <f>IF(Z585="","",'Contractors'!K585)</f>
        <v/>
      </c>
      <c r="AB585" s="77">
        <f>IF(Z585="","",SUMIFS($L$6:$L$1005,$B$6:$B$1005,Z585))</f>
        <v/>
      </c>
      <c r="AC585" s="77">
        <f>IF(Z585="","",SUMIFS($N$6:$N$1005,$B$6:$B$1005,Z585))</f>
        <v/>
      </c>
      <c r="AD585" s="76">
        <f>IF(Z585="","",AA585-AC585)</f>
        <v/>
      </c>
      <c r="AE585" s="117">
        <f>IF(Z585="","",IFERROR(1/SUMPRODUCT(MAX(($B$6:$B$1005=Z585)*$T$6:$T$1005)),""))</f>
        <v/>
      </c>
      <c r="AF585" s="77">
        <f>IF(AE585="","",SUMIFS($S$6:$S$1005,$B$6:$B$1005,Z585,$I$6:$I$1005,AE585))</f>
        <v/>
      </c>
    </row>
    <row r="586" ht="20" customHeight="1">
      <c r="B586" s="72" t="n"/>
      <c r="C586" s="72" t="n"/>
      <c r="D586" s="72" t="n"/>
      <c r="E586" s="72" t="n"/>
      <c r="F586" s="110" t="n"/>
      <c r="G586" s="73" t="n"/>
      <c r="H586" s="75">
        <f>IF(B586="","",IF(G586&lt;&gt;"",G586,IF(F586&lt;&gt;"",F586*IFERROR(INDEX('Contractors'!$I$6:$I$1005,MATCH(B586,'Contractors'!$B$6:$B$1005,0)),0),"")))</f>
        <v/>
      </c>
      <c r="I586" s="109" t="n"/>
      <c r="J586" s="72" t="n"/>
      <c r="K586" s="109" t="n"/>
      <c r="L586" s="73" t="n"/>
      <c r="M586" s="109" t="n"/>
      <c r="N586" s="73" t="n"/>
      <c r="O586" s="107">
        <f>IF(B586="","",IF(M586&lt;&gt;"","Paid",IF(AND(I586&lt;&gt;"",I586&lt;AsOf),"OVERDUE",IF(OR(K586&lt;&gt;"",L586&lt;&gt;""),"Invoiced","Scheduled"))))</f>
        <v/>
      </c>
      <c r="P586" s="115">
        <f>IF(B586="","",IF(E586&lt;&gt;"",E586,IFERROR(INDEX('Contractors'!$D$6:$D$1005,MATCH(B586,'Contractors'!$B$6:$B$1005,0)),"")))</f>
        <v/>
      </c>
      <c r="Q586" s="79">
        <f>IF(B586="","",IF(D586&lt;&gt;"",D586,IFERROR(INDEX('Contractors'!$E$6:$E$1005,MATCH(B586,'Contractors'!$B$6:$B$1005,0)),"")))</f>
        <v/>
      </c>
      <c r="R586" s="79">
        <f>IF(O586="","",IF(O586="OVERDUE",2,IF(O586="Paid",0,IF(AND(I586&lt;&gt;"",I586&lt;=AsOf+AlertDays),1,0))))</f>
        <v/>
      </c>
      <c r="S586" s="79">
        <f>IF(AND(B586&lt;&gt;"",M586="",I586&lt;&gt;""),IF(L586&lt;&gt;"",L586,IF(H586="",0,H586)),0)</f>
        <v/>
      </c>
      <c r="T586" s="79">
        <f>IF(AND(B586&lt;&gt;"",M586="",I586&lt;&gt;""),1/I586,0)</f>
        <v/>
      </c>
      <c r="U586" s="112">
        <f>IF(AND(B586&lt;&gt;"",M586="",I586&lt;&gt;""),I586,"")</f>
        <v/>
      </c>
      <c r="V586" s="79">
        <f>IF(U586="","",IF(U586&lt;AsOf,1,IF(U586&lt;=AsOf+AlertDays,2,IF(U586&lt;=AsOf+2*AlertDays,3,""))))</f>
        <v/>
      </c>
      <c r="W586" s="79">
        <f>IF(V586="","",IF(O586="OVERDUE","Overdue payment: ","Payment due: ")&amp;B586&amp;" — "&amp;C586&amp;" ("&amp;CurSym&amp;" "&amp;FIXED(S586,0)&amp;")")</f>
        <v/>
      </c>
      <c r="Z586" s="116">
        <f>IF('Contractors'!B586="","",'Contractors'!B586)</f>
        <v/>
      </c>
      <c r="AA586" s="77">
        <f>IF(Z586="","",'Contractors'!K586)</f>
        <v/>
      </c>
      <c r="AB586" s="77">
        <f>IF(Z586="","",SUMIFS($L$6:$L$1005,$B$6:$B$1005,Z586))</f>
        <v/>
      </c>
      <c r="AC586" s="77">
        <f>IF(Z586="","",SUMIFS($N$6:$N$1005,$B$6:$B$1005,Z586))</f>
        <v/>
      </c>
      <c r="AD586" s="76">
        <f>IF(Z586="","",AA586-AC586)</f>
        <v/>
      </c>
      <c r="AE586" s="117">
        <f>IF(Z586="","",IFERROR(1/SUMPRODUCT(MAX(($B$6:$B$1005=Z586)*$T$6:$T$1005)),""))</f>
        <v/>
      </c>
      <c r="AF586" s="77">
        <f>IF(AE586="","",SUMIFS($S$6:$S$1005,$B$6:$B$1005,Z586,$I$6:$I$1005,AE586))</f>
        <v/>
      </c>
    </row>
    <row r="587" ht="20" customHeight="1">
      <c r="B587" s="72" t="n"/>
      <c r="C587" s="72" t="n"/>
      <c r="D587" s="72" t="n"/>
      <c r="E587" s="72" t="n"/>
      <c r="F587" s="110" t="n"/>
      <c r="G587" s="73" t="n"/>
      <c r="H587" s="75">
        <f>IF(B587="","",IF(G587&lt;&gt;"",G587,IF(F587&lt;&gt;"",F587*IFERROR(INDEX('Contractors'!$I$6:$I$1005,MATCH(B587,'Contractors'!$B$6:$B$1005,0)),0),"")))</f>
        <v/>
      </c>
      <c r="I587" s="109" t="n"/>
      <c r="J587" s="72" t="n"/>
      <c r="K587" s="109" t="n"/>
      <c r="L587" s="73" t="n"/>
      <c r="M587" s="109" t="n"/>
      <c r="N587" s="73" t="n"/>
      <c r="O587" s="107">
        <f>IF(B587="","",IF(M587&lt;&gt;"","Paid",IF(AND(I587&lt;&gt;"",I587&lt;AsOf),"OVERDUE",IF(OR(K587&lt;&gt;"",L587&lt;&gt;""),"Invoiced","Scheduled"))))</f>
        <v/>
      </c>
      <c r="P587" s="115">
        <f>IF(B587="","",IF(E587&lt;&gt;"",E587,IFERROR(INDEX('Contractors'!$D$6:$D$1005,MATCH(B587,'Contractors'!$B$6:$B$1005,0)),"")))</f>
        <v/>
      </c>
      <c r="Q587" s="79">
        <f>IF(B587="","",IF(D587&lt;&gt;"",D587,IFERROR(INDEX('Contractors'!$E$6:$E$1005,MATCH(B587,'Contractors'!$B$6:$B$1005,0)),"")))</f>
        <v/>
      </c>
      <c r="R587" s="79">
        <f>IF(O587="","",IF(O587="OVERDUE",2,IF(O587="Paid",0,IF(AND(I587&lt;&gt;"",I587&lt;=AsOf+AlertDays),1,0))))</f>
        <v/>
      </c>
      <c r="S587" s="79">
        <f>IF(AND(B587&lt;&gt;"",M587="",I587&lt;&gt;""),IF(L587&lt;&gt;"",L587,IF(H587="",0,H587)),0)</f>
        <v/>
      </c>
      <c r="T587" s="79">
        <f>IF(AND(B587&lt;&gt;"",M587="",I587&lt;&gt;""),1/I587,0)</f>
        <v/>
      </c>
      <c r="U587" s="112">
        <f>IF(AND(B587&lt;&gt;"",M587="",I587&lt;&gt;""),I587,"")</f>
        <v/>
      </c>
      <c r="V587" s="79">
        <f>IF(U587="","",IF(U587&lt;AsOf,1,IF(U587&lt;=AsOf+AlertDays,2,IF(U587&lt;=AsOf+2*AlertDays,3,""))))</f>
        <v/>
      </c>
      <c r="W587" s="79">
        <f>IF(V587="","",IF(O587="OVERDUE","Overdue payment: ","Payment due: ")&amp;B587&amp;" — "&amp;C587&amp;" ("&amp;CurSym&amp;" "&amp;FIXED(S587,0)&amp;")")</f>
        <v/>
      </c>
      <c r="Z587" s="116">
        <f>IF('Contractors'!B587="","",'Contractors'!B587)</f>
        <v/>
      </c>
      <c r="AA587" s="77">
        <f>IF(Z587="","",'Contractors'!K587)</f>
        <v/>
      </c>
      <c r="AB587" s="77">
        <f>IF(Z587="","",SUMIFS($L$6:$L$1005,$B$6:$B$1005,Z587))</f>
        <v/>
      </c>
      <c r="AC587" s="77">
        <f>IF(Z587="","",SUMIFS($N$6:$N$1005,$B$6:$B$1005,Z587))</f>
        <v/>
      </c>
      <c r="AD587" s="76">
        <f>IF(Z587="","",AA587-AC587)</f>
        <v/>
      </c>
      <c r="AE587" s="117">
        <f>IF(Z587="","",IFERROR(1/SUMPRODUCT(MAX(($B$6:$B$1005=Z587)*$T$6:$T$1005)),""))</f>
        <v/>
      </c>
      <c r="AF587" s="77">
        <f>IF(AE587="","",SUMIFS($S$6:$S$1005,$B$6:$B$1005,Z587,$I$6:$I$1005,AE587))</f>
        <v/>
      </c>
    </row>
    <row r="588" ht="20" customHeight="1">
      <c r="B588" s="72" t="n"/>
      <c r="C588" s="72" t="n"/>
      <c r="D588" s="72" t="n"/>
      <c r="E588" s="72" t="n"/>
      <c r="F588" s="110" t="n"/>
      <c r="G588" s="73" t="n"/>
      <c r="H588" s="75">
        <f>IF(B588="","",IF(G588&lt;&gt;"",G588,IF(F588&lt;&gt;"",F588*IFERROR(INDEX('Contractors'!$I$6:$I$1005,MATCH(B588,'Contractors'!$B$6:$B$1005,0)),0),"")))</f>
        <v/>
      </c>
      <c r="I588" s="109" t="n"/>
      <c r="J588" s="72" t="n"/>
      <c r="K588" s="109" t="n"/>
      <c r="L588" s="73" t="n"/>
      <c r="M588" s="109" t="n"/>
      <c r="N588" s="73" t="n"/>
      <c r="O588" s="107">
        <f>IF(B588="","",IF(M588&lt;&gt;"","Paid",IF(AND(I588&lt;&gt;"",I588&lt;AsOf),"OVERDUE",IF(OR(K588&lt;&gt;"",L588&lt;&gt;""),"Invoiced","Scheduled"))))</f>
        <v/>
      </c>
      <c r="P588" s="115">
        <f>IF(B588="","",IF(E588&lt;&gt;"",E588,IFERROR(INDEX('Contractors'!$D$6:$D$1005,MATCH(B588,'Contractors'!$B$6:$B$1005,0)),"")))</f>
        <v/>
      </c>
      <c r="Q588" s="79">
        <f>IF(B588="","",IF(D588&lt;&gt;"",D588,IFERROR(INDEX('Contractors'!$E$6:$E$1005,MATCH(B588,'Contractors'!$B$6:$B$1005,0)),"")))</f>
        <v/>
      </c>
      <c r="R588" s="79">
        <f>IF(O588="","",IF(O588="OVERDUE",2,IF(O588="Paid",0,IF(AND(I588&lt;&gt;"",I588&lt;=AsOf+AlertDays),1,0))))</f>
        <v/>
      </c>
      <c r="S588" s="79">
        <f>IF(AND(B588&lt;&gt;"",M588="",I588&lt;&gt;""),IF(L588&lt;&gt;"",L588,IF(H588="",0,H588)),0)</f>
        <v/>
      </c>
      <c r="T588" s="79">
        <f>IF(AND(B588&lt;&gt;"",M588="",I588&lt;&gt;""),1/I588,0)</f>
        <v/>
      </c>
      <c r="U588" s="112">
        <f>IF(AND(B588&lt;&gt;"",M588="",I588&lt;&gt;""),I588,"")</f>
        <v/>
      </c>
      <c r="V588" s="79">
        <f>IF(U588="","",IF(U588&lt;AsOf,1,IF(U588&lt;=AsOf+AlertDays,2,IF(U588&lt;=AsOf+2*AlertDays,3,""))))</f>
        <v/>
      </c>
      <c r="W588" s="79">
        <f>IF(V588="","",IF(O588="OVERDUE","Overdue payment: ","Payment due: ")&amp;B588&amp;" — "&amp;C588&amp;" ("&amp;CurSym&amp;" "&amp;FIXED(S588,0)&amp;")")</f>
        <v/>
      </c>
      <c r="Z588" s="116">
        <f>IF('Contractors'!B588="","",'Contractors'!B588)</f>
        <v/>
      </c>
      <c r="AA588" s="77">
        <f>IF(Z588="","",'Contractors'!K588)</f>
        <v/>
      </c>
      <c r="AB588" s="77">
        <f>IF(Z588="","",SUMIFS($L$6:$L$1005,$B$6:$B$1005,Z588))</f>
        <v/>
      </c>
      <c r="AC588" s="77">
        <f>IF(Z588="","",SUMIFS($N$6:$N$1005,$B$6:$B$1005,Z588))</f>
        <v/>
      </c>
      <c r="AD588" s="76">
        <f>IF(Z588="","",AA588-AC588)</f>
        <v/>
      </c>
      <c r="AE588" s="117">
        <f>IF(Z588="","",IFERROR(1/SUMPRODUCT(MAX(($B$6:$B$1005=Z588)*$T$6:$T$1005)),""))</f>
        <v/>
      </c>
      <c r="AF588" s="77">
        <f>IF(AE588="","",SUMIFS($S$6:$S$1005,$B$6:$B$1005,Z588,$I$6:$I$1005,AE588))</f>
        <v/>
      </c>
    </row>
    <row r="589" ht="20" customHeight="1">
      <c r="B589" s="72" t="n"/>
      <c r="C589" s="72" t="n"/>
      <c r="D589" s="72" t="n"/>
      <c r="E589" s="72" t="n"/>
      <c r="F589" s="110" t="n"/>
      <c r="G589" s="73" t="n"/>
      <c r="H589" s="75">
        <f>IF(B589="","",IF(G589&lt;&gt;"",G589,IF(F589&lt;&gt;"",F589*IFERROR(INDEX('Contractors'!$I$6:$I$1005,MATCH(B589,'Contractors'!$B$6:$B$1005,0)),0),"")))</f>
        <v/>
      </c>
      <c r="I589" s="109" t="n"/>
      <c r="J589" s="72" t="n"/>
      <c r="K589" s="109" t="n"/>
      <c r="L589" s="73" t="n"/>
      <c r="M589" s="109" t="n"/>
      <c r="N589" s="73" t="n"/>
      <c r="O589" s="107">
        <f>IF(B589="","",IF(M589&lt;&gt;"","Paid",IF(AND(I589&lt;&gt;"",I589&lt;AsOf),"OVERDUE",IF(OR(K589&lt;&gt;"",L589&lt;&gt;""),"Invoiced","Scheduled"))))</f>
        <v/>
      </c>
      <c r="P589" s="115">
        <f>IF(B589="","",IF(E589&lt;&gt;"",E589,IFERROR(INDEX('Contractors'!$D$6:$D$1005,MATCH(B589,'Contractors'!$B$6:$B$1005,0)),"")))</f>
        <v/>
      </c>
      <c r="Q589" s="79">
        <f>IF(B589="","",IF(D589&lt;&gt;"",D589,IFERROR(INDEX('Contractors'!$E$6:$E$1005,MATCH(B589,'Contractors'!$B$6:$B$1005,0)),"")))</f>
        <v/>
      </c>
      <c r="R589" s="79">
        <f>IF(O589="","",IF(O589="OVERDUE",2,IF(O589="Paid",0,IF(AND(I589&lt;&gt;"",I589&lt;=AsOf+AlertDays),1,0))))</f>
        <v/>
      </c>
      <c r="S589" s="79">
        <f>IF(AND(B589&lt;&gt;"",M589="",I589&lt;&gt;""),IF(L589&lt;&gt;"",L589,IF(H589="",0,H589)),0)</f>
        <v/>
      </c>
      <c r="T589" s="79">
        <f>IF(AND(B589&lt;&gt;"",M589="",I589&lt;&gt;""),1/I589,0)</f>
        <v/>
      </c>
      <c r="U589" s="112">
        <f>IF(AND(B589&lt;&gt;"",M589="",I589&lt;&gt;""),I589,"")</f>
        <v/>
      </c>
      <c r="V589" s="79">
        <f>IF(U589="","",IF(U589&lt;AsOf,1,IF(U589&lt;=AsOf+AlertDays,2,IF(U589&lt;=AsOf+2*AlertDays,3,""))))</f>
        <v/>
      </c>
      <c r="W589" s="79">
        <f>IF(V589="","",IF(O589="OVERDUE","Overdue payment: ","Payment due: ")&amp;B589&amp;" — "&amp;C589&amp;" ("&amp;CurSym&amp;" "&amp;FIXED(S589,0)&amp;")")</f>
        <v/>
      </c>
      <c r="Z589" s="116">
        <f>IF('Contractors'!B589="","",'Contractors'!B589)</f>
        <v/>
      </c>
      <c r="AA589" s="77">
        <f>IF(Z589="","",'Contractors'!K589)</f>
        <v/>
      </c>
      <c r="AB589" s="77">
        <f>IF(Z589="","",SUMIFS($L$6:$L$1005,$B$6:$B$1005,Z589))</f>
        <v/>
      </c>
      <c r="AC589" s="77">
        <f>IF(Z589="","",SUMIFS($N$6:$N$1005,$B$6:$B$1005,Z589))</f>
        <v/>
      </c>
      <c r="AD589" s="76">
        <f>IF(Z589="","",AA589-AC589)</f>
        <v/>
      </c>
      <c r="AE589" s="117">
        <f>IF(Z589="","",IFERROR(1/SUMPRODUCT(MAX(($B$6:$B$1005=Z589)*$T$6:$T$1005)),""))</f>
        <v/>
      </c>
      <c r="AF589" s="77">
        <f>IF(AE589="","",SUMIFS($S$6:$S$1005,$B$6:$B$1005,Z589,$I$6:$I$1005,AE589))</f>
        <v/>
      </c>
    </row>
    <row r="590" ht="20" customHeight="1">
      <c r="B590" s="72" t="n"/>
      <c r="C590" s="72" t="n"/>
      <c r="D590" s="72" t="n"/>
      <c r="E590" s="72" t="n"/>
      <c r="F590" s="110" t="n"/>
      <c r="G590" s="73" t="n"/>
      <c r="H590" s="75">
        <f>IF(B590="","",IF(G590&lt;&gt;"",G590,IF(F590&lt;&gt;"",F590*IFERROR(INDEX('Contractors'!$I$6:$I$1005,MATCH(B590,'Contractors'!$B$6:$B$1005,0)),0),"")))</f>
        <v/>
      </c>
      <c r="I590" s="109" t="n"/>
      <c r="J590" s="72" t="n"/>
      <c r="K590" s="109" t="n"/>
      <c r="L590" s="73" t="n"/>
      <c r="M590" s="109" t="n"/>
      <c r="N590" s="73" t="n"/>
      <c r="O590" s="107">
        <f>IF(B590="","",IF(M590&lt;&gt;"","Paid",IF(AND(I590&lt;&gt;"",I590&lt;AsOf),"OVERDUE",IF(OR(K590&lt;&gt;"",L590&lt;&gt;""),"Invoiced","Scheduled"))))</f>
        <v/>
      </c>
      <c r="P590" s="115">
        <f>IF(B590="","",IF(E590&lt;&gt;"",E590,IFERROR(INDEX('Contractors'!$D$6:$D$1005,MATCH(B590,'Contractors'!$B$6:$B$1005,0)),"")))</f>
        <v/>
      </c>
      <c r="Q590" s="79">
        <f>IF(B590="","",IF(D590&lt;&gt;"",D590,IFERROR(INDEX('Contractors'!$E$6:$E$1005,MATCH(B590,'Contractors'!$B$6:$B$1005,0)),"")))</f>
        <v/>
      </c>
      <c r="R590" s="79">
        <f>IF(O590="","",IF(O590="OVERDUE",2,IF(O590="Paid",0,IF(AND(I590&lt;&gt;"",I590&lt;=AsOf+AlertDays),1,0))))</f>
        <v/>
      </c>
      <c r="S590" s="79">
        <f>IF(AND(B590&lt;&gt;"",M590="",I590&lt;&gt;""),IF(L590&lt;&gt;"",L590,IF(H590="",0,H590)),0)</f>
        <v/>
      </c>
      <c r="T590" s="79">
        <f>IF(AND(B590&lt;&gt;"",M590="",I590&lt;&gt;""),1/I590,0)</f>
        <v/>
      </c>
      <c r="U590" s="112">
        <f>IF(AND(B590&lt;&gt;"",M590="",I590&lt;&gt;""),I590,"")</f>
        <v/>
      </c>
      <c r="V590" s="79">
        <f>IF(U590="","",IF(U590&lt;AsOf,1,IF(U590&lt;=AsOf+AlertDays,2,IF(U590&lt;=AsOf+2*AlertDays,3,""))))</f>
        <v/>
      </c>
      <c r="W590" s="79">
        <f>IF(V590="","",IF(O590="OVERDUE","Overdue payment: ","Payment due: ")&amp;B590&amp;" — "&amp;C590&amp;" ("&amp;CurSym&amp;" "&amp;FIXED(S590,0)&amp;")")</f>
        <v/>
      </c>
      <c r="Z590" s="116">
        <f>IF('Contractors'!B590="","",'Contractors'!B590)</f>
        <v/>
      </c>
      <c r="AA590" s="77">
        <f>IF(Z590="","",'Contractors'!K590)</f>
        <v/>
      </c>
      <c r="AB590" s="77">
        <f>IF(Z590="","",SUMIFS($L$6:$L$1005,$B$6:$B$1005,Z590))</f>
        <v/>
      </c>
      <c r="AC590" s="77">
        <f>IF(Z590="","",SUMIFS($N$6:$N$1005,$B$6:$B$1005,Z590))</f>
        <v/>
      </c>
      <c r="AD590" s="76">
        <f>IF(Z590="","",AA590-AC590)</f>
        <v/>
      </c>
      <c r="AE590" s="117">
        <f>IF(Z590="","",IFERROR(1/SUMPRODUCT(MAX(($B$6:$B$1005=Z590)*$T$6:$T$1005)),""))</f>
        <v/>
      </c>
      <c r="AF590" s="77">
        <f>IF(AE590="","",SUMIFS($S$6:$S$1005,$B$6:$B$1005,Z590,$I$6:$I$1005,AE590))</f>
        <v/>
      </c>
    </row>
    <row r="591" ht="20" customHeight="1">
      <c r="B591" s="72" t="n"/>
      <c r="C591" s="72" t="n"/>
      <c r="D591" s="72" t="n"/>
      <c r="E591" s="72" t="n"/>
      <c r="F591" s="110" t="n"/>
      <c r="G591" s="73" t="n"/>
      <c r="H591" s="75">
        <f>IF(B591="","",IF(G591&lt;&gt;"",G591,IF(F591&lt;&gt;"",F591*IFERROR(INDEX('Contractors'!$I$6:$I$1005,MATCH(B591,'Contractors'!$B$6:$B$1005,0)),0),"")))</f>
        <v/>
      </c>
      <c r="I591" s="109" t="n"/>
      <c r="J591" s="72" t="n"/>
      <c r="K591" s="109" t="n"/>
      <c r="L591" s="73" t="n"/>
      <c r="M591" s="109" t="n"/>
      <c r="N591" s="73" t="n"/>
      <c r="O591" s="107">
        <f>IF(B591="","",IF(M591&lt;&gt;"","Paid",IF(AND(I591&lt;&gt;"",I591&lt;AsOf),"OVERDUE",IF(OR(K591&lt;&gt;"",L591&lt;&gt;""),"Invoiced","Scheduled"))))</f>
        <v/>
      </c>
      <c r="P591" s="115">
        <f>IF(B591="","",IF(E591&lt;&gt;"",E591,IFERROR(INDEX('Contractors'!$D$6:$D$1005,MATCH(B591,'Contractors'!$B$6:$B$1005,0)),"")))</f>
        <v/>
      </c>
      <c r="Q591" s="79">
        <f>IF(B591="","",IF(D591&lt;&gt;"",D591,IFERROR(INDEX('Contractors'!$E$6:$E$1005,MATCH(B591,'Contractors'!$B$6:$B$1005,0)),"")))</f>
        <v/>
      </c>
      <c r="R591" s="79">
        <f>IF(O591="","",IF(O591="OVERDUE",2,IF(O591="Paid",0,IF(AND(I591&lt;&gt;"",I591&lt;=AsOf+AlertDays),1,0))))</f>
        <v/>
      </c>
      <c r="S591" s="79">
        <f>IF(AND(B591&lt;&gt;"",M591="",I591&lt;&gt;""),IF(L591&lt;&gt;"",L591,IF(H591="",0,H591)),0)</f>
        <v/>
      </c>
      <c r="T591" s="79">
        <f>IF(AND(B591&lt;&gt;"",M591="",I591&lt;&gt;""),1/I591,0)</f>
        <v/>
      </c>
      <c r="U591" s="112">
        <f>IF(AND(B591&lt;&gt;"",M591="",I591&lt;&gt;""),I591,"")</f>
        <v/>
      </c>
      <c r="V591" s="79">
        <f>IF(U591="","",IF(U591&lt;AsOf,1,IF(U591&lt;=AsOf+AlertDays,2,IF(U591&lt;=AsOf+2*AlertDays,3,""))))</f>
        <v/>
      </c>
      <c r="W591" s="79">
        <f>IF(V591="","",IF(O591="OVERDUE","Overdue payment: ","Payment due: ")&amp;B591&amp;" — "&amp;C591&amp;" ("&amp;CurSym&amp;" "&amp;FIXED(S591,0)&amp;")")</f>
        <v/>
      </c>
      <c r="Z591" s="116">
        <f>IF('Contractors'!B591="","",'Contractors'!B591)</f>
        <v/>
      </c>
      <c r="AA591" s="77">
        <f>IF(Z591="","",'Contractors'!K591)</f>
        <v/>
      </c>
      <c r="AB591" s="77">
        <f>IF(Z591="","",SUMIFS($L$6:$L$1005,$B$6:$B$1005,Z591))</f>
        <v/>
      </c>
      <c r="AC591" s="77">
        <f>IF(Z591="","",SUMIFS($N$6:$N$1005,$B$6:$B$1005,Z591))</f>
        <v/>
      </c>
      <c r="AD591" s="76">
        <f>IF(Z591="","",AA591-AC591)</f>
        <v/>
      </c>
      <c r="AE591" s="117">
        <f>IF(Z591="","",IFERROR(1/SUMPRODUCT(MAX(($B$6:$B$1005=Z591)*$T$6:$T$1005)),""))</f>
        <v/>
      </c>
      <c r="AF591" s="77">
        <f>IF(AE591="","",SUMIFS($S$6:$S$1005,$B$6:$B$1005,Z591,$I$6:$I$1005,AE591))</f>
        <v/>
      </c>
    </row>
    <row r="592" ht="20" customHeight="1">
      <c r="B592" s="72" t="n"/>
      <c r="C592" s="72" t="n"/>
      <c r="D592" s="72" t="n"/>
      <c r="E592" s="72" t="n"/>
      <c r="F592" s="110" t="n"/>
      <c r="G592" s="73" t="n"/>
      <c r="H592" s="75">
        <f>IF(B592="","",IF(G592&lt;&gt;"",G592,IF(F592&lt;&gt;"",F592*IFERROR(INDEX('Contractors'!$I$6:$I$1005,MATCH(B592,'Contractors'!$B$6:$B$1005,0)),0),"")))</f>
        <v/>
      </c>
      <c r="I592" s="109" t="n"/>
      <c r="J592" s="72" t="n"/>
      <c r="K592" s="109" t="n"/>
      <c r="L592" s="73" t="n"/>
      <c r="M592" s="109" t="n"/>
      <c r="N592" s="73" t="n"/>
      <c r="O592" s="107">
        <f>IF(B592="","",IF(M592&lt;&gt;"","Paid",IF(AND(I592&lt;&gt;"",I592&lt;AsOf),"OVERDUE",IF(OR(K592&lt;&gt;"",L592&lt;&gt;""),"Invoiced","Scheduled"))))</f>
        <v/>
      </c>
      <c r="P592" s="115">
        <f>IF(B592="","",IF(E592&lt;&gt;"",E592,IFERROR(INDEX('Contractors'!$D$6:$D$1005,MATCH(B592,'Contractors'!$B$6:$B$1005,0)),"")))</f>
        <v/>
      </c>
      <c r="Q592" s="79">
        <f>IF(B592="","",IF(D592&lt;&gt;"",D592,IFERROR(INDEX('Contractors'!$E$6:$E$1005,MATCH(B592,'Contractors'!$B$6:$B$1005,0)),"")))</f>
        <v/>
      </c>
      <c r="R592" s="79">
        <f>IF(O592="","",IF(O592="OVERDUE",2,IF(O592="Paid",0,IF(AND(I592&lt;&gt;"",I592&lt;=AsOf+AlertDays),1,0))))</f>
        <v/>
      </c>
      <c r="S592" s="79">
        <f>IF(AND(B592&lt;&gt;"",M592="",I592&lt;&gt;""),IF(L592&lt;&gt;"",L592,IF(H592="",0,H592)),0)</f>
        <v/>
      </c>
      <c r="T592" s="79">
        <f>IF(AND(B592&lt;&gt;"",M592="",I592&lt;&gt;""),1/I592,0)</f>
        <v/>
      </c>
      <c r="U592" s="112">
        <f>IF(AND(B592&lt;&gt;"",M592="",I592&lt;&gt;""),I592,"")</f>
        <v/>
      </c>
      <c r="V592" s="79">
        <f>IF(U592="","",IF(U592&lt;AsOf,1,IF(U592&lt;=AsOf+AlertDays,2,IF(U592&lt;=AsOf+2*AlertDays,3,""))))</f>
        <v/>
      </c>
      <c r="W592" s="79">
        <f>IF(V592="","",IF(O592="OVERDUE","Overdue payment: ","Payment due: ")&amp;B592&amp;" — "&amp;C592&amp;" ("&amp;CurSym&amp;" "&amp;FIXED(S592,0)&amp;")")</f>
        <v/>
      </c>
      <c r="Z592" s="116">
        <f>IF('Contractors'!B592="","",'Contractors'!B592)</f>
        <v/>
      </c>
      <c r="AA592" s="77">
        <f>IF(Z592="","",'Contractors'!K592)</f>
        <v/>
      </c>
      <c r="AB592" s="77">
        <f>IF(Z592="","",SUMIFS($L$6:$L$1005,$B$6:$B$1005,Z592))</f>
        <v/>
      </c>
      <c r="AC592" s="77">
        <f>IF(Z592="","",SUMIFS($N$6:$N$1005,$B$6:$B$1005,Z592))</f>
        <v/>
      </c>
      <c r="AD592" s="76">
        <f>IF(Z592="","",AA592-AC592)</f>
        <v/>
      </c>
      <c r="AE592" s="117">
        <f>IF(Z592="","",IFERROR(1/SUMPRODUCT(MAX(($B$6:$B$1005=Z592)*$T$6:$T$1005)),""))</f>
        <v/>
      </c>
      <c r="AF592" s="77">
        <f>IF(AE592="","",SUMIFS($S$6:$S$1005,$B$6:$B$1005,Z592,$I$6:$I$1005,AE592))</f>
        <v/>
      </c>
    </row>
    <row r="593" ht="20" customHeight="1">
      <c r="B593" s="72" t="n"/>
      <c r="C593" s="72" t="n"/>
      <c r="D593" s="72" t="n"/>
      <c r="E593" s="72" t="n"/>
      <c r="F593" s="110" t="n"/>
      <c r="G593" s="73" t="n"/>
      <c r="H593" s="75">
        <f>IF(B593="","",IF(G593&lt;&gt;"",G593,IF(F593&lt;&gt;"",F593*IFERROR(INDEX('Contractors'!$I$6:$I$1005,MATCH(B593,'Contractors'!$B$6:$B$1005,0)),0),"")))</f>
        <v/>
      </c>
      <c r="I593" s="109" t="n"/>
      <c r="J593" s="72" t="n"/>
      <c r="K593" s="109" t="n"/>
      <c r="L593" s="73" t="n"/>
      <c r="M593" s="109" t="n"/>
      <c r="N593" s="73" t="n"/>
      <c r="O593" s="107">
        <f>IF(B593="","",IF(M593&lt;&gt;"","Paid",IF(AND(I593&lt;&gt;"",I593&lt;AsOf),"OVERDUE",IF(OR(K593&lt;&gt;"",L593&lt;&gt;""),"Invoiced","Scheduled"))))</f>
        <v/>
      </c>
      <c r="P593" s="115">
        <f>IF(B593="","",IF(E593&lt;&gt;"",E593,IFERROR(INDEX('Contractors'!$D$6:$D$1005,MATCH(B593,'Contractors'!$B$6:$B$1005,0)),"")))</f>
        <v/>
      </c>
      <c r="Q593" s="79">
        <f>IF(B593="","",IF(D593&lt;&gt;"",D593,IFERROR(INDEX('Contractors'!$E$6:$E$1005,MATCH(B593,'Contractors'!$B$6:$B$1005,0)),"")))</f>
        <v/>
      </c>
      <c r="R593" s="79">
        <f>IF(O593="","",IF(O593="OVERDUE",2,IF(O593="Paid",0,IF(AND(I593&lt;&gt;"",I593&lt;=AsOf+AlertDays),1,0))))</f>
        <v/>
      </c>
      <c r="S593" s="79">
        <f>IF(AND(B593&lt;&gt;"",M593="",I593&lt;&gt;""),IF(L593&lt;&gt;"",L593,IF(H593="",0,H593)),0)</f>
        <v/>
      </c>
      <c r="T593" s="79">
        <f>IF(AND(B593&lt;&gt;"",M593="",I593&lt;&gt;""),1/I593,0)</f>
        <v/>
      </c>
      <c r="U593" s="112">
        <f>IF(AND(B593&lt;&gt;"",M593="",I593&lt;&gt;""),I593,"")</f>
        <v/>
      </c>
      <c r="V593" s="79">
        <f>IF(U593="","",IF(U593&lt;AsOf,1,IF(U593&lt;=AsOf+AlertDays,2,IF(U593&lt;=AsOf+2*AlertDays,3,""))))</f>
        <v/>
      </c>
      <c r="W593" s="79">
        <f>IF(V593="","",IF(O593="OVERDUE","Overdue payment: ","Payment due: ")&amp;B593&amp;" — "&amp;C593&amp;" ("&amp;CurSym&amp;" "&amp;FIXED(S593,0)&amp;")")</f>
        <v/>
      </c>
      <c r="Z593" s="116">
        <f>IF('Contractors'!B593="","",'Contractors'!B593)</f>
        <v/>
      </c>
      <c r="AA593" s="77">
        <f>IF(Z593="","",'Contractors'!K593)</f>
        <v/>
      </c>
      <c r="AB593" s="77">
        <f>IF(Z593="","",SUMIFS($L$6:$L$1005,$B$6:$B$1005,Z593))</f>
        <v/>
      </c>
      <c r="AC593" s="77">
        <f>IF(Z593="","",SUMIFS($N$6:$N$1005,$B$6:$B$1005,Z593))</f>
        <v/>
      </c>
      <c r="AD593" s="76">
        <f>IF(Z593="","",AA593-AC593)</f>
        <v/>
      </c>
      <c r="AE593" s="117">
        <f>IF(Z593="","",IFERROR(1/SUMPRODUCT(MAX(($B$6:$B$1005=Z593)*$T$6:$T$1005)),""))</f>
        <v/>
      </c>
      <c r="AF593" s="77">
        <f>IF(AE593="","",SUMIFS($S$6:$S$1005,$B$6:$B$1005,Z593,$I$6:$I$1005,AE593))</f>
        <v/>
      </c>
    </row>
    <row r="594" ht="20" customHeight="1">
      <c r="B594" s="72" t="n"/>
      <c r="C594" s="72" t="n"/>
      <c r="D594" s="72" t="n"/>
      <c r="E594" s="72" t="n"/>
      <c r="F594" s="110" t="n"/>
      <c r="G594" s="73" t="n"/>
      <c r="H594" s="75">
        <f>IF(B594="","",IF(G594&lt;&gt;"",G594,IF(F594&lt;&gt;"",F594*IFERROR(INDEX('Contractors'!$I$6:$I$1005,MATCH(B594,'Contractors'!$B$6:$B$1005,0)),0),"")))</f>
        <v/>
      </c>
      <c r="I594" s="109" t="n"/>
      <c r="J594" s="72" t="n"/>
      <c r="K594" s="109" t="n"/>
      <c r="L594" s="73" t="n"/>
      <c r="M594" s="109" t="n"/>
      <c r="N594" s="73" t="n"/>
      <c r="O594" s="107">
        <f>IF(B594="","",IF(M594&lt;&gt;"","Paid",IF(AND(I594&lt;&gt;"",I594&lt;AsOf),"OVERDUE",IF(OR(K594&lt;&gt;"",L594&lt;&gt;""),"Invoiced","Scheduled"))))</f>
        <v/>
      </c>
      <c r="P594" s="115">
        <f>IF(B594="","",IF(E594&lt;&gt;"",E594,IFERROR(INDEX('Contractors'!$D$6:$D$1005,MATCH(B594,'Contractors'!$B$6:$B$1005,0)),"")))</f>
        <v/>
      </c>
      <c r="Q594" s="79">
        <f>IF(B594="","",IF(D594&lt;&gt;"",D594,IFERROR(INDEX('Contractors'!$E$6:$E$1005,MATCH(B594,'Contractors'!$B$6:$B$1005,0)),"")))</f>
        <v/>
      </c>
      <c r="R594" s="79">
        <f>IF(O594="","",IF(O594="OVERDUE",2,IF(O594="Paid",0,IF(AND(I594&lt;&gt;"",I594&lt;=AsOf+AlertDays),1,0))))</f>
        <v/>
      </c>
      <c r="S594" s="79">
        <f>IF(AND(B594&lt;&gt;"",M594="",I594&lt;&gt;""),IF(L594&lt;&gt;"",L594,IF(H594="",0,H594)),0)</f>
        <v/>
      </c>
      <c r="T594" s="79">
        <f>IF(AND(B594&lt;&gt;"",M594="",I594&lt;&gt;""),1/I594,0)</f>
        <v/>
      </c>
      <c r="U594" s="112">
        <f>IF(AND(B594&lt;&gt;"",M594="",I594&lt;&gt;""),I594,"")</f>
        <v/>
      </c>
      <c r="V594" s="79">
        <f>IF(U594="","",IF(U594&lt;AsOf,1,IF(U594&lt;=AsOf+AlertDays,2,IF(U594&lt;=AsOf+2*AlertDays,3,""))))</f>
        <v/>
      </c>
      <c r="W594" s="79">
        <f>IF(V594="","",IF(O594="OVERDUE","Overdue payment: ","Payment due: ")&amp;B594&amp;" — "&amp;C594&amp;" ("&amp;CurSym&amp;" "&amp;FIXED(S594,0)&amp;")")</f>
        <v/>
      </c>
      <c r="Z594" s="116">
        <f>IF('Contractors'!B594="","",'Contractors'!B594)</f>
        <v/>
      </c>
      <c r="AA594" s="77">
        <f>IF(Z594="","",'Contractors'!K594)</f>
        <v/>
      </c>
      <c r="AB594" s="77">
        <f>IF(Z594="","",SUMIFS($L$6:$L$1005,$B$6:$B$1005,Z594))</f>
        <v/>
      </c>
      <c r="AC594" s="77">
        <f>IF(Z594="","",SUMIFS($N$6:$N$1005,$B$6:$B$1005,Z594))</f>
        <v/>
      </c>
      <c r="AD594" s="76">
        <f>IF(Z594="","",AA594-AC594)</f>
        <v/>
      </c>
      <c r="AE594" s="117">
        <f>IF(Z594="","",IFERROR(1/SUMPRODUCT(MAX(($B$6:$B$1005=Z594)*$T$6:$T$1005)),""))</f>
        <v/>
      </c>
      <c r="AF594" s="77">
        <f>IF(AE594="","",SUMIFS($S$6:$S$1005,$B$6:$B$1005,Z594,$I$6:$I$1005,AE594))</f>
        <v/>
      </c>
    </row>
    <row r="595" ht="20" customHeight="1">
      <c r="B595" s="72" t="n"/>
      <c r="C595" s="72" t="n"/>
      <c r="D595" s="72" t="n"/>
      <c r="E595" s="72" t="n"/>
      <c r="F595" s="110" t="n"/>
      <c r="G595" s="73" t="n"/>
      <c r="H595" s="75">
        <f>IF(B595="","",IF(G595&lt;&gt;"",G595,IF(F595&lt;&gt;"",F595*IFERROR(INDEX('Contractors'!$I$6:$I$1005,MATCH(B595,'Contractors'!$B$6:$B$1005,0)),0),"")))</f>
        <v/>
      </c>
      <c r="I595" s="109" t="n"/>
      <c r="J595" s="72" t="n"/>
      <c r="K595" s="109" t="n"/>
      <c r="L595" s="73" t="n"/>
      <c r="M595" s="109" t="n"/>
      <c r="N595" s="73" t="n"/>
      <c r="O595" s="107">
        <f>IF(B595="","",IF(M595&lt;&gt;"","Paid",IF(AND(I595&lt;&gt;"",I595&lt;AsOf),"OVERDUE",IF(OR(K595&lt;&gt;"",L595&lt;&gt;""),"Invoiced","Scheduled"))))</f>
        <v/>
      </c>
      <c r="P595" s="115">
        <f>IF(B595="","",IF(E595&lt;&gt;"",E595,IFERROR(INDEX('Contractors'!$D$6:$D$1005,MATCH(B595,'Contractors'!$B$6:$B$1005,0)),"")))</f>
        <v/>
      </c>
      <c r="Q595" s="79">
        <f>IF(B595="","",IF(D595&lt;&gt;"",D595,IFERROR(INDEX('Contractors'!$E$6:$E$1005,MATCH(B595,'Contractors'!$B$6:$B$1005,0)),"")))</f>
        <v/>
      </c>
      <c r="R595" s="79">
        <f>IF(O595="","",IF(O595="OVERDUE",2,IF(O595="Paid",0,IF(AND(I595&lt;&gt;"",I595&lt;=AsOf+AlertDays),1,0))))</f>
        <v/>
      </c>
      <c r="S595" s="79">
        <f>IF(AND(B595&lt;&gt;"",M595="",I595&lt;&gt;""),IF(L595&lt;&gt;"",L595,IF(H595="",0,H595)),0)</f>
        <v/>
      </c>
      <c r="T595" s="79">
        <f>IF(AND(B595&lt;&gt;"",M595="",I595&lt;&gt;""),1/I595,0)</f>
        <v/>
      </c>
      <c r="U595" s="112">
        <f>IF(AND(B595&lt;&gt;"",M595="",I595&lt;&gt;""),I595,"")</f>
        <v/>
      </c>
      <c r="V595" s="79">
        <f>IF(U595="","",IF(U595&lt;AsOf,1,IF(U595&lt;=AsOf+AlertDays,2,IF(U595&lt;=AsOf+2*AlertDays,3,""))))</f>
        <v/>
      </c>
      <c r="W595" s="79">
        <f>IF(V595="","",IF(O595="OVERDUE","Overdue payment: ","Payment due: ")&amp;B595&amp;" — "&amp;C595&amp;" ("&amp;CurSym&amp;" "&amp;FIXED(S595,0)&amp;")")</f>
        <v/>
      </c>
      <c r="Z595" s="116">
        <f>IF('Contractors'!B595="","",'Contractors'!B595)</f>
        <v/>
      </c>
      <c r="AA595" s="77">
        <f>IF(Z595="","",'Contractors'!K595)</f>
        <v/>
      </c>
      <c r="AB595" s="77">
        <f>IF(Z595="","",SUMIFS($L$6:$L$1005,$B$6:$B$1005,Z595))</f>
        <v/>
      </c>
      <c r="AC595" s="77">
        <f>IF(Z595="","",SUMIFS($N$6:$N$1005,$B$6:$B$1005,Z595))</f>
        <v/>
      </c>
      <c r="AD595" s="76">
        <f>IF(Z595="","",AA595-AC595)</f>
        <v/>
      </c>
      <c r="AE595" s="117">
        <f>IF(Z595="","",IFERROR(1/SUMPRODUCT(MAX(($B$6:$B$1005=Z595)*$T$6:$T$1005)),""))</f>
        <v/>
      </c>
      <c r="AF595" s="77">
        <f>IF(AE595="","",SUMIFS($S$6:$S$1005,$B$6:$B$1005,Z595,$I$6:$I$1005,AE595))</f>
        <v/>
      </c>
    </row>
    <row r="596" ht="20" customHeight="1">
      <c r="B596" s="72" t="n"/>
      <c r="C596" s="72" t="n"/>
      <c r="D596" s="72" t="n"/>
      <c r="E596" s="72" t="n"/>
      <c r="F596" s="110" t="n"/>
      <c r="G596" s="73" t="n"/>
      <c r="H596" s="75">
        <f>IF(B596="","",IF(G596&lt;&gt;"",G596,IF(F596&lt;&gt;"",F596*IFERROR(INDEX('Contractors'!$I$6:$I$1005,MATCH(B596,'Contractors'!$B$6:$B$1005,0)),0),"")))</f>
        <v/>
      </c>
      <c r="I596" s="109" t="n"/>
      <c r="J596" s="72" t="n"/>
      <c r="K596" s="109" t="n"/>
      <c r="L596" s="73" t="n"/>
      <c r="M596" s="109" t="n"/>
      <c r="N596" s="73" t="n"/>
      <c r="O596" s="107">
        <f>IF(B596="","",IF(M596&lt;&gt;"","Paid",IF(AND(I596&lt;&gt;"",I596&lt;AsOf),"OVERDUE",IF(OR(K596&lt;&gt;"",L596&lt;&gt;""),"Invoiced","Scheduled"))))</f>
        <v/>
      </c>
      <c r="P596" s="115">
        <f>IF(B596="","",IF(E596&lt;&gt;"",E596,IFERROR(INDEX('Contractors'!$D$6:$D$1005,MATCH(B596,'Contractors'!$B$6:$B$1005,0)),"")))</f>
        <v/>
      </c>
      <c r="Q596" s="79">
        <f>IF(B596="","",IF(D596&lt;&gt;"",D596,IFERROR(INDEX('Contractors'!$E$6:$E$1005,MATCH(B596,'Contractors'!$B$6:$B$1005,0)),"")))</f>
        <v/>
      </c>
      <c r="R596" s="79">
        <f>IF(O596="","",IF(O596="OVERDUE",2,IF(O596="Paid",0,IF(AND(I596&lt;&gt;"",I596&lt;=AsOf+AlertDays),1,0))))</f>
        <v/>
      </c>
      <c r="S596" s="79">
        <f>IF(AND(B596&lt;&gt;"",M596="",I596&lt;&gt;""),IF(L596&lt;&gt;"",L596,IF(H596="",0,H596)),0)</f>
        <v/>
      </c>
      <c r="T596" s="79">
        <f>IF(AND(B596&lt;&gt;"",M596="",I596&lt;&gt;""),1/I596,0)</f>
        <v/>
      </c>
      <c r="U596" s="112">
        <f>IF(AND(B596&lt;&gt;"",M596="",I596&lt;&gt;""),I596,"")</f>
        <v/>
      </c>
      <c r="V596" s="79">
        <f>IF(U596="","",IF(U596&lt;AsOf,1,IF(U596&lt;=AsOf+AlertDays,2,IF(U596&lt;=AsOf+2*AlertDays,3,""))))</f>
        <v/>
      </c>
      <c r="W596" s="79">
        <f>IF(V596="","",IF(O596="OVERDUE","Overdue payment: ","Payment due: ")&amp;B596&amp;" — "&amp;C596&amp;" ("&amp;CurSym&amp;" "&amp;FIXED(S596,0)&amp;")")</f>
        <v/>
      </c>
      <c r="Z596" s="116">
        <f>IF('Contractors'!B596="","",'Contractors'!B596)</f>
        <v/>
      </c>
      <c r="AA596" s="77">
        <f>IF(Z596="","",'Contractors'!K596)</f>
        <v/>
      </c>
      <c r="AB596" s="77">
        <f>IF(Z596="","",SUMIFS($L$6:$L$1005,$B$6:$B$1005,Z596))</f>
        <v/>
      </c>
      <c r="AC596" s="77">
        <f>IF(Z596="","",SUMIFS($N$6:$N$1005,$B$6:$B$1005,Z596))</f>
        <v/>
      </c>
      <c r="AD596" s="76">
        <f>IF(Z596="","",AA596-AC596)</f>
        <v/>
      </c>
      <c r="AE596" s="117">
        <f>IF(Z596="","",IFERROR(1/SUMPRODUCT(MAX(($B$6:$B$1005=Z596)*$T$6:$T$1005)),""))</f>
        <v/>
      </c>
      <c r="AF596" s="77">
        <f>IF(AE596="","",SUMIFS($S$6:$S$1005,$B$6:$B$1005,Z596,$I$6:$I$1005,AE596))</f>
        <v/>
      </c>
    </row>
    <row r="597" ht="20" customHeight="1">
      <c r="B597" s="72" t="n"/>
      <c r="C597" s="72" t="n"/>
      <c r="D597" s="72" t="n"/>
      <c r="E597" s="72" t="n"/>
      <c r="F597" s="110" t="n"/>
      <c r="G597" s="73" t="n"/>
      <c r="H597" s="75">
        <f>IF(B597="","",IF(G597&lt;&gt;"",G597,IF(F597&lt;&gt;"",F597*IFERROR(INDEX('Contractors'!$I$6:$I$1005,MATCH(B597,'Contractors'!$B$6:$B$1005,0)),0),"")))</f>
        <v/>
      </c>
      <c r="I597" s="109" t="n"/>
      <c r="J597" s="72" t="n"/>
      <c r="K597" s="109" t="n"/>
      <c r="L597" s="73" t="n"/>
      <c r="M597" s="109" t="n"/>
      <c r="N597" s="73" t="n"/>
      <c r="O597" s="107">
        <f>IF(B597="","",IF(M597&lt;&gt;"","Paid",IF(AND(I597&lt;&gt;"",I597&lt;AsOf),"OVERDUE",IF(OR(K597&lt;&gt;"",L597&lt;&gt;""),"Invoiced","Scheduled"))))</f>
        <v/>
      </c>
      <c r="P597" s="115">
        <f>IF(B597="","",IF(E597&lt;&gt;"",E597,IFERROR(INDEX('Contractors'!$D$6:$D$1005,MATCH(B597,'Contractors'!$B$6:$B$1005,0)),"")))</f>
        <v/>
      </c>
      <c r="Q597" s="79">
        <f>IF(B597="","",IF(D597&lt;&gt;"",D597,IFERROR(INDEX('Contractors'!$E$6:$E$1005,MATCH(B597,'Contractors'!$B$6:$B$1005,0)),"")))</f>
        <v/>
      </c>
      <c r="R597" s="79">
        <f>IF(O597="","",IF(O597="OVERDUE",2,IF(O597="Paid",0,IF(AND(I597&lt;&gt;"",I597&lt;=AsOf+AlertDays),1,0))))</f>
        <v/>
      </c>
      <c r="S597" s="79">
        <f>IF(AND(B597&lt;&gt;"",M597="",I597&lt;&gt;""),IF(L597&lt;&gt;"",L597,IF(H597="",0,H597)),0)</f>
        <v/>
      </c>
      <c r="T597" s="79">
        <f>IF(AND(B597&lt;&gt;"",M597="",I597&lt;&gt;""),1/I597,0)</f>
        <v/>
      </c>
      <c r="U597" s="112">
        <f>IF(AND(B597&lt;&gt;"",M597="",I597&lt;&gt;""),I597,"")</f>
        <v/>
      </c>
      <c r="V597" s="79">
        <f>IF(U597="","",IF(U597&lt;AsOf,1,IF(U597&lt;=AsOf+AlertDays,2,IF(U597&lt;=AsOf+2*AlertDays,3,""))))</f>
        <v/>
      </c>
      <c r="W597" s="79">
        <f>IF(V597="","",IF(O597="OVERDUE","Overdue payment: ","Payment due: ")&amp;B597&amp;" — "&amp;C597&amp;" ("&amp;CurSym&amp;" "&amp;FIXED(S597,0)&amp;")")</f>
        <v/>
      </c>
      <c r="Z597" s="116">
        <f>IF('Contractors'!B597="","",'Contractors'!B597)</f>
        <v/>
      </c>
      <c r="AA597" s="77">
        <f>IF(Z597="","",'Contractors'!K597)</f>
        <v/>
      </c>
      <c r="AB597" s="77">
        <f>IF(Z597="","",SUMIFS($L$6:$L$1005,$B$6:$B$1005,Z597))</f>
        <v/>
      </c>
      <c r="AC597" s="77">
        <f>IF(Z597="","",SUMIFS($N$6:$N$1005,$B$6:$B$1005,Z597))</f>
        <v/>
      </c>
      <c r="AD597" s="76">
        <f>IF(Z597="","",AA597-AC597)</f>
        <v/>
      </c>
      <c r="AE597" s="117">
        <f>IF(Z597="","",IFERROR(1/SUMPRODUCT(MAX(($B$6:$B$1005=Z597)*$T$6:$T$1005)),""))</f>
        <v/>
      </c>
      <c r="AF597" s="77">
        <f>IF(AE597="","",SUMIFS($S$6:$S$1005,$B$6:$B$1005,Z597,$I$6:$I$1005,AE597))</f>
        <v/>
      </c>
    </row>
    <row r="598" ht="20" customHeight="1">
      <c r="B598" s="72" t="n"/>
      <c r="C598" s="72" t="n"/>
      <c r="D598" s="72" t="n"/>
      <c r="E598" s="72" t="n"/>
      <c r="F598" s="110" t="n"/>
      <c r="G598" s="73" t="n"/>
      <c r="H598" s="75">
        <f>IF(B598="","",IF(G598&lt;&gt;"",G598,IF(F598&lt;&gt;"",F598*IFERROR(INDEX('Contractors'!$I$6:$I$1005,MATCH(B598,'Contractors'!$B$6:$B$1005,0)),0),"")))</f>
        <v/>
      </c>
      <c r="I598" s="109" t="n"/>
      <c r="J598" s="72" t="n"/>
      <c r="K598" s="109" t="n"/>
      <c r="L598" s="73" t="n"/>
      <c r="M598" s="109" t="n"/>
      <c r="N598" s="73" t="n"/>
      <c r="O598" s="107">
        <f>IF(B598="","",IF(M598&lt;&gt;"","Paid",IF(AND(I598&lt;&gt;"",I598&lt;AsOf),"OVERDUE",IF(OR(K598&lt;&gt;"",L598&lt;&gt;""),"Invoiced","Scheduled"))))</f>
        <v/>
      </c>
      <c r="P598" s="115">
        <f>IF(B598="","",IF(E598&lt;&gt;"",E598,IFERROR(INDEX('Contractors'!$D$6:$D$1005,MATCH(B598,'Contractors'!$B$6:$B$1005,0)),"")))</f>
        <v/>
      </c>
      <c r="Q598" s="79">
        <f>IF(B598="","",IF(D598&lt;&gt;"",D598,IFERROR(INDEX('Contractors'!$E$6:$E$1005,MATCH(B598,'Contractors'!$B$6:$B$1005,0)),"")))</f>
        <v/>
      </c>
      <c r="R598" s="79">
        <f>IF(O598="","",IF(O598="OVERDUE",2,IF(O598="Paid",0,IF(AND(I598&lt;&gt;"",I598&lt;=AsOf+AlertDays),1,0))))</f>
        <v/>
      </c>
      <c r="S598" s="79">
        <f>IF(AND(B598&lt;&gt;"",M598="",I598&lt;&gt;""),IF(L598&lt;&gt;"",L598,IF(H598="",0,H598)),0)</f>
        <v/>
      </c>
      <c r="T598" s="79">
        <f>IF(AND(B598&lt;&gt;"",M598="",I598&lt;&gt;""),1/I598,0)</f>
        <v/>
      </c>
      <c r="U598" s="112">
        <f>IF(AND(B598&lt;&gt;"",M598="",I598&lt;&gt;""),I598,"")</f>
        <v/>
      </c>
      <c r="V598" s="79">
        <f>IF(U598="","",IF(U598&lt;AsOf,1,IF(U598&lt;=AsOf+AlertDays,2,IF(U598&lt;=AsOf+2*AlertDays,3,""))))</f>
        <v/>
      </c>
      <c r="W598" s="79">
        <f>IF(V598="","",IF(O598="OVERDUE","Overdue payment: ","Payment due: ")&amp;B598&amp;" — "&amp;C598&amp;" ("&amp;CurSym&amp;" "&amp;FIXED(S598,0)&amp;")")</f>
        <v/>
      </c>
      <c r="Z598" s="116">
        <f>IF('Contractors'!B598="","",'Contractors'!B598)</f>
        <v/>
      </c>
      <c r="AA598" s="77">
        <f>IF(Z598="","",'Contractors'!K598)</f>
        <v/>
      </c>
      <c r="AB598" s="77">
        <f>IF(Z598="","",SUMIFS($L$6:$L$1005,$B$6:$B$1005,Z598))</f>
        <v/>
      </c>
      <c r="AC598" s="77">
        <f>IF(Z598="","",SUMIFS($N$6:$N$1005,$B$6:$B$1005,Z598))</f>
        <v/>
      </c>
      <c r="AD598" s="76">
        <f>IF(Z598="","",AA598-AC598)</f>
        <v/>
      </c>
      <c r="AE598" s="117">
        <f>IF(Z598="","",IFERROR(1/SUMPRODUCT(MAX(($B$6:$B$1005=Z598)*$T$6:$T$1005)),""))</f>
        <v/>
      </c>
      <c r="AF598" s="77">
        <f>IF(AE598="","",SUMIFS($S$6:$S$1005,$B$6:$B$1005,Z598,$I$6:$I$1005,AE598))</f>
        <v/>
      </c>
    </row>
    <row r="599" ht="20" customHeight="1">
      <c r="B599" s="72" t="n"/>
      <c r="C599" s="72" t="n"/>
      <c r="D599" s="72" t="n"/>
      <c r="E599" s="72" t="n"/>
      <c r="F599" s="110" t="n"/>
      <c r="G599" s="73" t="n"/>
      <c r="H599" s="75">
        <f>IF(B599="","",IF(G599&lt;&gt;"",G599,IF(F599&lt;&gt;"",F599*IFERROR(INDEX('Contractors'!$I$6:$I$1005,MATCH(B599,'Contractors'!$B$6:$B$1005,0)),0),"")))</f>
        <v/>
      </c>
      <c r="I599" s="109" t="n"/>
      <c r="J599" s="72" t="n"/>
      <c r="K599" s="109" t="n"/>
      <c r="L599" s="73" t="n"/>
      <c r="M599" s="109" t="n"/>
      <c r="N599" s="73" t="n"/>
      <c r="O599" s="107">
        <f>IF(B599="","",IF(M599&lt;&gt;"","Paid",IF(AND(I599&lt;&gt;"",I599&lt;AsOf),"OVERDUE",IF(OR(K599&lt;&gt;"",L599&lt;&gt;""),"Invoiced","Scheduled"))))</f>
        <v/>
      </c>
      <c r="P599" s="115">
        <f>IF(B599="","",IF(E599&lt;&gt;"",E599,IFERROR(INDEX('Contractors'!$D$6:$D$1005,MATCH(B599,'Contractors'!$B$6:$B$1005,0)),"")))</f>
        <v/>
      </c>
      <c r="Q599" s="79">
        <f>IF(B599="","",IF(D599&lt;&gt;"",D599,IFERROR(INDEX('Contractors'!$E$6:$E$1005,MATCH(B599,'Contractors'!$B$6:$B$1005,0)),"")))</f>
        <v/>
      </c>
      <c r="R599" s="79">
        <f>IF(O599="","",IF(O599="OVERDUE",2,IF(O599="Paid",0,IF(AND(I599&lt;&gt;"",I599&lt;=AsOf+AlertDays),1,0))))</f>
        <v/>
      </c>
      <c r="S599" s="79">
        <f>IF(AND(B599&lt;&gt;"",M599="",I599&lt;&gt;""),IF(L599&lt;&gt;"",L599,IF(H599="",0,H599)),0)</f>
        <v/>
      </c>
      <c r="T599" s="79">
        <f>IF(AND(B599&lt;&gt;"",M599="",I599&lt;&gt;""),1/I599,0)</f>
        <v/>
      </c>
      <c r="U599" s="112">
        <f>IF(AND(B599&lt;&gt;"",M599="",I599&lt;&gt;""),I599,"")</f>
        <v/>
      </c>
      <c r="V599" s="79">
        <f>IF(U599="","",IF(U599&lt;AsOf,1,IF(U599&lt;=AsOf+AlertDays,2,IF(U599&lt;=AsOf+2*AlertDays,3,""))))</f>
        <v/>
      </c>
      <c r="W599" s="79">
        <f>IF(V599="","",IF(O599="OVERDUE","Overdue payment: ","Payment due: ")&amp;B599&amp;" — "&amp;C599&amp;" ("&amp;CurSym&amp;" "&amp;FIXED(S599,0)&amp;")")</f>
        <v/>
      </c>
      <c r="Z599" s="116">
        <f>IF('Contractors'!B599="","",'Contractors'!B599)</f>
        <v/>
      </c>
      <c r="AA599" s="77">
        <f>IF(Z599="","",'Contractors'!K599)</f>
        <v/>
      </c>
      <c r="AB599" s="77">
        <f>IF(Z599="","",SUMIFS($L$6:$L$1005,$B$6:$B$1005,Z599))</f>
        <v/>
      </c>
      <c r="AC599" s="77">
        <f>IF(Z599="","",SUMIFS($N$6:$N$1005,$B$6:$B$1005,Z599))</f>
        <v/>
      </c>
      <c r="AD599" s="76">
        <f>IF(Z599="","",AA599-AC599)</f>
        <v/>
      </c>
      <c r="AE599" s="117">
        <f>IF(Z599="","",IFERROR(1/SUMPRODUCT(MAX(($B$6:$B$1005=Z599)*$T$6:$T$1005)),""))</f>
        <v/>
      </c>
      <c r="AF599" s="77">
        <f>IF(AE599="","",SUMIFS($S$6:$S$1005,$B$6:$B$1005,Z599,$I$6:$I$1005,AE599))</f>
        <v/>
      </c>
    </row>
    <row r="600" ht="20" customHeight="1">
      <c r="B600" s="72" t="n"/>
      <c r="C600" s="72" t="n"/>
      <c r="D600" s="72" t="n"/>
      <c r="E600" s="72" t="n"/>
      <c r="F600" s="110" t="n"/>
      <c r="G600" s="73" t="n"/>
      <c r="H600" s="75">
        <f>IF(B600="","",IF(G600&lt;&gt;"",G600,IF(F600&lt;&gt;"",F600*IFERROR(INDEX('Contractors'!$I$6:$I$1005,MATCH(B600,'Contractors'!$B$6:$B$1005,0)),0),"")))</f>
        <v/>
      </c>
      <c r="I600" s="109" t="n"/>
      <c r="J600" s="72" t="n"/>
      <c r="K600" s="109" t="n"/>
      <c r="L600" s="73" t="n"/>
      <c r="M600" s="109" t="n"/>
      <c r="N600" s="73" t="n"/>
      <c r="O600" s="107">
        <f>IF(B600="","",IF(M600&lt;&gt;"","Paid",IF(AND(I600&lt;&gt;"",I600&lt;AsOf),"OVERDUE",IF(OR(K600&lt;&gt;"",L600&lt;&gt;""),"Invoiced","Scheduled"))))</f>
        <v/>
      </c>
      <c r="P600" s="115">
        <f>IF(B600="","",IF(E600&lt;&gt;"",E600,IFERROR(INDEX('Contractors'!$D$6:$D$1005,MATCH(B600,'Contractors'!$B$6:$B$1005,0)),"")))</f>
        <v/>
      </c>
      <c r="Q600" s="79">
        <f>IF(B600="","",IF(D600&lt;&gt;"",D600,IFERROR(INDEX('Contractors'!$E$6:$E$1005,MATCH(B600,'Contractors'!$B$6:$B$1005,0)),"")))</f>
        <v/>
      </c>
      <c r="R600" s="79">
        <f>IF(O600="","",IF(O600="OVERDUE",2,IF(O600="Paid",0,IF(AND(I600&lt;&gt;"",I600&lt;=AsOf+AlertDays),1,0))))</f>
        <v/>
      </c>
      <c r="S600" s="79">
        <f>IF(AND(B600&lt;&gt;"",M600="",I600&lt;&gt;""),IF(L600&lt;&gt;"",L600,IF(H600="",0,H600)),0)</f>
        <v/>
      </c>
      <c r="T600" s="79">
        <f>IF(AND(B600&lt;&gt;"",M600="",I600&lt;&gt;""),1/I600,0)</f>
        <v/>
      </c>
      <c r="U600" s="112">
        <f>IF(AND(B600&lt;&gt;"",M600="",I600&lt;&gt;""),I600,"")</f>
        <v/>
      </c>
      <c r="V600" s="79">
        <f>IF(U600="","",IF(U600&lt;AsOf,1,IF(U600&lt;=AsOf+AlertDays,2,IF(U600&lt;=AsOf+2*AlertDays,3,""))))</f>
        <v/>
      </c>
      <c r="W600" s="79">
        <f>IF(V600="","",IF(O600="OVERDUE","Overdue payment: ","Payment due: ")&amp;B600&amp;" — "&amp;C600&amp;" ("&amp;CurSym&amp;" "&amp;FIXED(S600,0)&amp;")")</f>
        <v/>
      </c>
      <c r="Z600" s="116">
        <f>IF('Contractors'!B600="","",'Contractors'!B600)</f>
        <v/>
      </c>
      <c r="AA600" s="77">
        <f>IF(Z600="","",'Contractors'!K600)</f>
        <v/>
      </c>
      <c r="AB600" s="77">
        <f>IF(Z600="","",SUMIFS($L$6:$L$1005,$B$6:$B$1005,Z600))</f>
        <v/>
      </c>
      <c r="AC600" s="77">
        <f>IF(Z600="","",SUMIFS($N$6:$N$1005,$B$6:$B$1005,Z600))</f>
        <v/>
      </c>
      <c r="AD600" s="76">
        <f>IF(Z600="","",AA600-AC600)</f>
        <v/>
      </c>
      <c r="AE600" s="117">
        <f>IF(Z600="","",IFERROR(1/SUMPRODUCT(MAX(($B$6:$B$1005=Z600)*$T$6:$T$1005)),""))</f>
        <v/>
      </c>
      <c r="AF600" s="77">
        <f>IF(AE600="","",SUMIFS($S$6:$S$1005,$B$6:$B$1005,Z600,$I$6:$I$1005,AE600))</f>
        <v/>
      </c>
    </row>
    <row r="601" ht="20" customHeight="1">
      <c r="B601" s="72" t="n"/>
      <c r="C601" s="72" t="n"/>
      <c r="D601" s="72" t="n"/>
      <c r="E601" s="72" t="n"/>
      <c r="F601" s="110" t="n"/>
      <c r="G601" s="73" t="n"/>
      <c r="H601" s="75">
        <f>IF(B601="","",IF(G601&lt;&gt;"",G601,IF(F601&lt;&gt;"",F601*IFERROR(INDEX('Contractors'!$I$6:$I$1005,MATCH(B601,'Contractors'!$B$6:$B$1005,0)),0),"")))</f>
        <v/>
      </c>
      <c r="I601" s="109" t="n"/>
      <c r="J601" s="72" t="n"/>
      <c r="K601" s="109" t="n"/>
      <c r="L601" s="73" t="n"/>
      <c r="M601" s="109" t="n"/>
      <c r="N601" s="73" t="n"/>
      <c r="O601" s="107">
        <f>IF(B601="","",IF(M601&lt;&gt;"","Paid",IF(AND(I601&lt;&gt;"",I601&lt;AsOf),"OVERDUE",IF(OR(K601&lt;&gt;"",L601&lt;&gt;""),"Invoiced","Scheduled"))))</f>
        <v/>
      </c>
      <c r="P601" s="115">
        <f>IF(B601="","",IF(E601&lt;&gt;"",E601,IFERROR(INDEX('Contractors'!$D$6:$D$1005,MATCH(B601,'Contractors'!$B$6:$B$1005,0)),"")))</f>
        <v/>
      </c>
      <c r="Q601" s="79">
        <f>IF(B601="","",IF(D601&lt;&gt;"",D601,IFERROR(INDEX('Contractors'!$E$6:$E$1005,MATCH(B601,'Contractors'!$B$6:$B$1005,0)),"")))</f>
        <v/>
      </c>
      <c r="R601" s="79">
        <f>IF(O601="","",IF(O601="OVERDUE",2,IF(O601="Paid",0,IF(AND(I601&lt;&gt;"",I601&lt;=AsOf+AlertDays),1,0))))</f>
        <v/>
      </c>
      <c r="S601" s="79">
        <f>IF(AND(B601&lt;&gt;"",M601="",I601&lt;&gt;""),IF(L601&lt;&gt;"",L601,IF(H601="",0,H601)),0)</f>
        <v/>
      </c>
      <c r="T601" s="79">
        <f>IF(AND(B601&lt;&gt;"",M601="",I601&lt;&gt;""),1/I601,0)</f>
        <v/>
      </c>
      <c r="U601" s="112">
        <f>IF(AND(B601&lt;&gt;"",M601="",I601&lt;&gt;""),I601,"")</f>
        <v/>
      </c>
      <c r="V601" s="79">
        <f>IF(U601="","",IF(U601&lt;AsOf,1,IF(U601&lt;=AsOf+AlertDays,2,IF(U601&lt;=AsOf+2*AlertDays,3,""))))</f>
        <v/>
      </c>
      <c r="W601" s="79">
        <f>IF(V601="","",IF(O601="OVERDUE","Overdue payment: ","Payment due: ")&amp;B601&amp;" — "&amp;C601&amp;" ("&amp;CurSym&amp;" "&amp;FIXED(S601,0)&amp;")")</f>
        <v/>
      </c>
      <c r="Z601" s="116">
        <f>IF('Contractors'!B601="","",'Contractors'!B601)</f>
        <v/>
      </c>
      <c r="AA601" s="77">
        <f>IF(Z601="","",'Contractors'!K601)</f>
        <v/>
      </c>
      <c r="AB601" s="77">
        <f>IF(Z601="","",SUMIFS($L$6:$L$1005,$B$6:$B$1005,Z601))</f>
        <v/>
      </c>
      <c r="AC601" s="77">
        <f>IF(Z601="","",SUMIFS($N$6:$N$1005,$B$6:$B$1005,Z601))</f>
        <v/>
      </c>
      <c r="AD601" s="76">
        <f>IF(Z601="","",AA601-AC601)</f>
        <v/>
      </c>
      <c r="AE601" s="117">
        <f>IF(Z601="","",IFERROR(1/SUMPRODUCT(MAX(($B$6:$B$1005=Z601)*$T$6:$T$1005)),""))</f>
        <v/>
      </c>
      <c r="AF601" s="77">
        <f>IF(AE601="","",SUMIFS($S$6:$S$1005,$B$6:$B$1005,Z601,$I$6:$I$1005,AE601))</f>
        <v/>
      </c>
    </row>
    <row r="602" ht="20" customHeight="1">
      <c r="B602" s="72" t="n"/>
      <c r="C602" s="72" t="n"/>
      <c r="D602" s="72" t="n"/>
      <c r="E602" s="72" t="n"/>
      <c r="F602" s="110" t="n"/>
      <c r="G602" s="73" t="n"/>
      <c r="H602" s="75">
        <f>IF(B602="","",IF(G602&lt;&gt;"",G602,IF(F602&lt;&gt;"",F602*IFERROR(INDEX('Contractors'!$I$6:$I$1005,MATCH(B602,'Contractors'!$B$6:$B$1005,0)),0),"")))</f>
        <v/>
      </c>
      <c r="I602" s="109" t="n"/>
      <c r="J602" s="72" t="n"/>
      <c r="K602" s="109" t="n"/>
      <c r="L602" s="73" t="n"/>
      <c r="M602" s="109" t="n"/>
      <c r="N602" s="73" t="n"/>
      <c r="O602" s="107">
        <f>IF(B602="","",IF(M602&lt;&gt;"","Paid",IF(AND(I602&lt;&gt;"",I602&lt;AsOf),"OVERDUE",IF(OR(K602&lt;&gt;"",L602&lt;&gt;""),"Invoiced","Scheduled"))))</f>
        <v/>
      </c>
      <c r="P602" s="115">
        <f>IF(B602="","",IF(E602&lt;&gt;"",E602,IFERROR(INDEX('Contractors'!$D$6:$D$1005,MATCH(B602,'Contractors'!$B$6:$B$1005,0)),"")))</f>
        <v/>
      </c>
      <c r="Q602" s="79">
        <f>IF(B602="","",IF(D602&lt;&gt;"",D602,IFERROR(INDEX('Contractors'!$E$6:$E$1005,MATCH(B602,'Contractors'!$B$6:$B$1005,0)),"")))</f>
        <v/>
      </c>
      <c r="R602" s="79">
        <f>IF(O602="","",IF(O602="OVERDUE",2,IF(O602="Paid",0,IF(AND(I602&lt;&gt;"",I602&lt;=AsOf+AlertDays),1,0))))</f>
        <v/>
      </c>
      <c r="S602" s="79">
        <f>IF(AND(B602&lt;&gt;"",M602="",I602&lt;&gt;""),IF(L602&lt;&gt;"",L602,IF(H602="",0,H602)),0)</f>
        <v/>
      </c>
      <c r="T602" s="79">
        <f>IF(AND(B602&lt;&gt;"",M602="",I602&lt;&gt;""),1/I602,0)</f>
        <v/>
      </c>
      <c r="U602" s="112">
        <f>IF(AND(B602&lt;&gt;"",M602="",I602&lt;&gt;""),I602,"")</f>
        <v/>
      </c>
      <c r="V602" s="79">
        <f>IF(U602="","",IF(U602&lt;AsOf,1,IF(U602&lt;=AsOf+AlertDays,2,IF(U602&lt;=AsOf+2*AlertDays,3,""))))</f>
        <v/>
      </c>
      <c r="W602" s="79">
        <f>IF(V602="","",IF(O602="OVERDUE","Overdue payment: ","Payment due: ")&amp;B602&amp;" — "&amp;C602&amp;" ("&amp;CurSym&amp;" "&amp;FIXED(S602,0)&amp;")")</f>
        <v/>
      </c>
      <c r="Z602" s="116">
        <f>IF('Contractors'!B602="","",'Contractors'!B602)</f>
        <v/>
      </c>
      <c r="AA602" s="77">
        <f>IF(Z602="","",'Contractors'!K602)</f>
        <v/>
      </c>
      <c r="AB602" s="77">
        <f>IF(Z602="","",SUMIFS($L$6:$L$1005,$B$6:$B$1005,Z602))</f>
        <v/>
      </c>
      <c r="AC602" s="77">
        <f>IF(Z602="","",SUMIFS($N$6:$N$1005,$B$6:$B$1005,Z602))</f>
        <v/>
      </c>
      <c r="AD602" s="76">
        <f>IF(Z602="","",AA602-AC602)</f>
        <v/>
      </c>
      <c r="AE602" s="117">
        <f>IF(Z602="","",IFERROR(1/SUMPRODUCT(MAX(($B$6:$B$1005=Z602)*$T$6:$T$1005)),""))</f>
        <v/>
      </c>
      <c r="AF602" s="77">
        <f>IF(AE602="","",SUMIFS($S$6:$S$1005,$B$6:$B$1005,Z602,$I$6:$I$1005,AE602))</f>
        <v/>
      </c>
    </row>
    <row r="603" ht="20" customHeight="1">
      <c r="B603" s="72" t="n"/>
      <c r="C603" s="72" t="n"/>
      <c r="D603" s="72" t="n"/>
      <c r="E603" s="72" t="n"/>
      <c r="F603" s="110" t="n"/>
      <c r="G603" s="73" t="n"/>
      <c r="H603" s="75">
        <f>IF(B603="","",IF(G603&lt;&gt;"",G603,IF(F603&lt;&gt;"",F603*IFERROR(INDEX('Contractors'!$I$6:$I$1005,MATCH(B603,'Contractors'!$B$6:$B$1005,0)),0),"")))</f>
        <v/>
      </c>
      <c r="I603" s="109" t="n"/>
      <c r="J603" s="72" t="n"/>
      <c r="K603" s="109" t="n"/>
      <c r="L603" s="73" t="n"/>
      <c r="M603" s="109" t="n"/>
      <c r="N603" s="73" t="n"/>
      <c r="O603" s="107">
        <f>IF(B603="","",IF(M603&lt;&gt;"","Paid",IF(AND(I603&lt;&gt;"",I603&lt;AsOf),"OVERDUE",IF(OR(K603&lt;&gt;"",L603&lt;&gt;""),"Invoiced","Scheduled"))))</f>
        <v/>
      </c>
      <c r="P603" s="115">
        <f>IF(B603="","",IF(E603&lt;&gt;"",E603,IFERROR(INDEX('Contractors'!$D$6:$D$1005,MATCH(B603,'Contractors'!$B$6:$B$1005,0)),"")))</f>
        <v/>
      </c>
      <c r="Q603" s="79">
        <f>IF(B603="","",IF(D603&lt;&gt;"",D603,IFERROR(INDEX('Contractors'!$E$6:$E$1005,MATCH(B603,'Contractors'!$B$6:$B$1005,0)),"")))</f>
        <v/>
      </c>
      <c r="R603" s="79">
        <f>IF(O603="","",IF(O603="OVERDUE",2,IF(O603="Paid",0,IF(AND(I603&lt;&gt;"",I603&lt;=AsOf+AlertDays),1,0))))</f>
        <v/>
      </c>
      <c r="S603" s="79">
        <f>IF(AND(B603&lt;&gt;"",M603="",I603&lt;&gt;""),IF(L603&lt;&gt;"",L603,IF(H603="",0,H603)),0)</f>
        <v/>
      </c>
      <c r="T603" s="79">
        <f>IF(AND(B603&lt;&gt;"",M603="",I603&lt;&gt;""),1/I603,0)</f>
        <v/>
      </c>
      <c r="U603" s="112">
        <f>IF(AND(B603&lt;&gt;"",M603="",I603&lt;&gt;""),I603,"")</f>
        <v/>
      </c>
      <c r="V603" s="79">
        <f>IF(U603="","",IF(U603&lt;AsOf,1,IF(U603&lt;=AsOf+AlertDays,2,IF(U603&lt;=AsOf+2*AlertDays,3,""))))</f>
        <v/>
      </c>
      <c r="W603" s="79">
        <f>IF(V603="","",IF(O603="OVERDUE","Overdue payment: ","Payment due: ")&amp;B603&amp;" — "&amp;C603&amp;" ("&amp;CurSym&amp;" "&amp;FIXED(S603,0)&amp;")")</f>
        <v/>
      </c>
      <c r="Z603" s="116">
        <f>IF('Contractors'!B603="","",'Contractors'!B603)</f>
        <v/>
      </c>
      <c r="AA603" s="77">
        <f>IF(Z603="","",'Contractors'!K603)</f>
        <v/>
      </c>
      <c r="AB603" s="77">
        <f>IF(Z603="","",SUMIFS($L$6:$L$1005,$B$6:$B$1005,Z603))</f>
        <v/>
      </c>
      <c r="AC603" s="77">
        <f>IF(Z603="","",SUMIFS($N$6:$N$1005,$B$6:$B$1005,Z603))</f>
        <v/>
      </c>
      <c r="AD603" s="76">
        <f>IF(Z603="","",AA603-AC603)</f>
        <v/>
      </c>
      <c r="AE603" s="117">
        <f>IF(Z603="","",IFERROR(1/SUMPRODUCT(MAX(($B$6:$B$1005=Z603)*$T$6:$T$1005)),""))</f>
        <v/>
      </c>
      <c r="AF603" s="77">
        <f>IF(AE603="","",SUMIFS($S$6:$S$1005,$B$6:$B$1005,Z603,$I$6:$I$1005,AE603))</f>
        <v/>
      </c>
    </row>
    <row r="604" ht="20" customHeight="1">
      <c r="B604" s="72" t="n"/>
      <c r="C604" s="72" t="n"/>
      <c r="D604" s="72" t="n"/>
      <c r="E604" s="72" t="n"/>
      <c r="F604" s="110" t="n"/>
      <c r="G604" s="73" t="n"/>
      <c r="H604" s="75">
        <f>IF(B604="","",IF(G604&lt;&gt;"",G604,IF(F604&lt;&gt;"",F604*IFERROR(INDEX('Contractors'!$I$6:$I$1005,MATCH(B604,'Contractors'!$B$6:$B$1005,0)),0),"")))</f>
        <v/>
      </c>
      <c r="I604" s="109" t="n"/>
      <c r="J604" s="72" t="n"/>
      <c r="K604" s="109" t="n"/>
      <c r="L604" s="73" t="n"/>
      <c r="M604" s="109" t="n"/>
      <c r="N604" s="73" t="n"/>
      <c r="O604" s="107">
        <f>IF(B604="","",IF(M604&lt;&gt;"","Paid",IF(AND(I604&lt;&gt;"",I604&lt;AsOf),"OVERDUE",IF(OR(K604&lt;&gt;"",L604&lt;&gt;""),"Invoiced","Scheduled"))))</f>
        <v/>
      </c>
      <c r="P604" s="115">
        <f>IF(B604="","",IF(E604&lt;&gt;"",E604,IFERROR(INDEX('Contractors'!$D$6:$D$1005,MATCH(B604,'Contractors'!$B$6:$B$1005,0)),"")))</f>
        <v/>
      </c>
      <c r="Q604" s="79">
        <f>IF(B604="","",IF(D604&lt;&gt;"",D604,IFERROR(INDEX('Contractors'!$E$6:$E$1005,MATCH(B604,'Contractors'!$B$6:$B$1005,0)),"")))</f>
        <v/>
      </c>
      <c r="R604" s="79">
        <f>IF(O604="","",IF(O604="OVERDUE",2,IF(O604="Paid",0,IF(AND(I604&lt;&gt;"",I604&lt;=AsOf+AlertDays),1,0))))</f>
        <v/>
      </c>
      <c r="S604" s="79">
        <f>IF(AND(B604&lt;&gt;"",M604="",I604&lt;&gt;""),IF(L604&lt;&gt;"",L604,IF(H604="",0,H604)),0)</f>
        <v/>
      </c>
      <c r="T604" s="79">
        <f>IF(AND(B604&lt;&gt;"",M604="",I604&lt;&gt;""),1/I604,0)</f>
        <v/>
      </c>
      <c r="U604" s="112">
        <f>IF(AND(B604&lt;&gt;"",M604="",I604&lt;&gt;""),I604,"")</f>
        <v/>
      </c>
      <c r="V604" s="79">
        <f>IF(U604="","",IF(U604&lt;AsOf,1,IF(U604&lt;=AsOf+AlertDays,2,IF(U604&lt;=AsOf+2*AlertDays,3,""))))</f>
        <v/>
      </c>
      <c r="W604" s="79">
        <f>IF(V604="","",IF(O604="OVERDUE","Overdue payment: ","Payment due: ")&amp;B604&amp;" — "&amp;C604&amp;" ("&amp;CurSym&amp;" "&amp;FIXED(S604,0)&amp;")")</f>
        <v/>
      </c>
      <c r="Z604" s="116">
        <f>IF('Contractors'!B604="","",'Contractors'!B604)</f>
        <v/>
      </c>
      <c r="AA604" s="77">
        <f>IF(Z604="","",'Contractors'!K604)</f>
        <v/>
      </c>
      <c r="AB604" s="77">
        <f>IF(Z604="","",SUMIFS($L$6:$L$1005,$B$6:$B$1005,Z604))</f>
        <v/>
      </c>
      <c r="AC604" s="77">
        <f>IF(Z604="","",SUMIFS($N$6:$N$1005,$B$6:$B$1005,Z604))</f>
        <v/>
      </c>
      <c r="AD604" s="76">
        <f>IF(Z604="","",AA604-AC604)</f>
        <v/>
      </c>
      <c r="AE604" s="117">
        <f>IF(Z604="","",IFERROR(1/SUMPRODUCT(MAX(($B$6:$B$1005=Z604)*$T$6:$T$1005)),""))</f>
        <v/>
      </c>
      <c r="AF604" s="77">
        <f>IF(AE604="","",SUMIFS($S$6:$S$1005,$B$6:$B$1005,Z604,$I$6:$I$1005,AE604))</f>
        <v/>
      </c>
    </row>
    <row r="605" ht="20" customHeight="1">
      <c r="B605" s="72" t="n"/>
      <c r="C605" s="72" t="n"/>
      <c r="D605" s="72" t="n"/>
      <c r="E605" s="72" t="n"/>
      <c r="F605" s="110" t="n"/>
      <c r="G605" s="73" t="n"/>
      <c r="H605" s="75">
        <f>IF(B605="","",IF(G605&lt;&gt;"",G605,IF(F605&lt;&gt;"",F605*IFERROR(INDEX('Contractors'!$I$6:$I$1005,MATCH(B605,'Contractors'!$B$6:$B$1005,0)),0),"")))</f>
        <v/>
      </c>
      <c r="I605" s="109" t="n"/>
      <c r="J605" s="72" t="n"/>
      <c r="K605" s="109" t="n"/>
      <c r="L605" s="73" t="n"/>
      <c r="M605" s="109" t="n"/>
      <c r="N605" s="73" t="n"/>
      <c r="O605" s="107">
        <f>IF(B605="","",IF(M605&lt;&gt;"","Paid",IF(AND(I605&lt;&gt;"",I605&lt;AsOf),"OVERDUE",IF(OR(K605&lt;&gt;"",L605&lt;&gt;""),"Invoiced","Scheduled"))))</f>
        <v/>
      </c>
      <c r="P605" s="115">
        <f>IF(B605="","",IF(E605&lt;&gt;"",E605,IFERROR(INDEX('Contractors'!$D$6:$D$1005,MATCH(B605,'Contractors'!$B$6:$B$1005,0)),"")))</f>
        <v/>
      </c>
      <c r="Q605" s="79">
        <f>IF(B605="","",IF(D605&lt;&gt;"",D605,IFERROR(INDEX('Contractors'!$E$6:$E$1005,MATCH(B605,'Contractors'!$B$6:$B$1005,0)),"")))</f>
        <v/>
      </c>
      <c r="R605" s="79">
        <f>IF(O605="","",IF(O605="OVERDUE",2,IF(O605="Paid",0,IF(AND(I605&lt;&gt;"",I605&lt;=AsOf+AlertDays),1,0))))</f>
        <v/>
      </c>
      <c r="S605" s="79">
        <f>IF(AND(B605&lt;&gt;"",M605="",I605&lt;&gt;""),IF(L605&lt;&gt;"",L605,IF(H605="",0,H605)),0)</f>
        <v/>
      </c>
      <c r="T605" s="79">
        <f>IF(AND(B605&lt;&gt;"",M605="",I605&lt;&gt;""),1/I605,0)</f>
        <v/>
      </c>
      <c r="U605" s="112">
        <f>IF(AND(B605&lt;&gt;"",M605="",I605&lt;&gt;""),I605,"")</f>
        <v/>
      </c>
      <c r="V605" s="79">
        <f>IF(U605="","",IF(U605&lt;AsOf,1,IF(U605&lt;=AsOf+AlertDays,2,IF(U605&lt;=AsOf+2*AlertDays,3,""))))</f>
        <v/>
      </c>
      <c r="W605" s="79">
        <f>IF(V605="","",IF(O605="OVERDUE","Overdue payment: ","Payment due: ")&amp;B605&amp;" — "&amp;C605&amp;" ("&amp;CurSym&amp;" "&amp;FIXED(S605,0)&amp;")")</f>
        <v/>
      </c>
      <c r="Z605" s="116">
        <f>IF('Contractors'!B605="","",'Contractors'!B605)</f>
        <v/>
      </c>
      <c r="AA605" s="77">
        <f>IF(Z605="","",'Contractors'!K605)</f>
        <v/>
      </c>
      <c r="AB605" s="77">
        <f>IF(Z605="","",SUMIFS($L$6:$L$1005,$B$6:$B$1005,Z605))</f>
        <v/>
      </c>
      <c r="AC605" s="77">
        <f>IF(Z605="","",SUMIFS($N$6:$N$1005,$B$6:$B$1005,Z605))</f>
        <v/>
      </c>
      <c r="AD605" s="76">
        <f>IF(Z605="","",AA605-AC605)</f>
        <v/>
      </c>
      <c r="AE605" s="117">
        <f>IF(Z605="","",IFERROR(1/SUMPRODUCT(MAX(($B$6:$B$1005=Z605)*$T$6:$T$1005)),""))</f>
        <v/>
      </c>
      <c r="AF605" s="77">
        <f>IF(AE605="","",SUMIFS($S$6:$S$1005,$B$6:$B$1005,Z605,$I$6:$I$1005,AE605))</f>
        <v/>
      </c>
    </row>
    <row r="606" ht="20" customHeight="1">
      <c r="B606" s="72" t="n"/>
      <c r="C606" s="72" t="n"/>
      <c r="D606" s="72" t="n"/>
      <c r="E606" s="72" t="n"/>
      <c r="F606" s="110" t="n"/>
      <c r="G606" s="73" t="n"/>
      <c r="H606" s="75">
        <f>IF(B606="","",IF(G606&lt;&gt;"",G606,IF(F606&lt;&gt;"",F606*IFERROR(INDEX('Contractors'!$I$6:$I$1005,MATCH(B606,'Contractors'!$B$6:$B$1005,0)),0),"")))</f>
        <v/>
      </c>
      <c r="I606" s="109" t="n"/>
      <c r="J606" s="72" t="n"/>
      <c r="K606" s="109" t="n"/>
      <c r="L606" s="73" t="n"/>
      <c r="M606" s="109" t="n"/>
      <c r="N606" s="73" t="n"/>
      <c r="O606" s="107">
        <f>IF(B606="","",IF(M606&lt;&gt;"","Paid",IF(AND(I606&lt;&gt;"",I606&lt;AsOf),"OVERDUE",IF(OR(K606&lt;&gt;"",L606&lt;&gt;""),"Invoiced","Scheduled"))))</f>
        <v/>
      </c>
      <c r="P606" s="115">
        <f>IF(B606="","",IF(E606&lt;&gt;"",E606,IFERROR(INDEX('Contractors'!$D$6:$D$1005,MATCH(B606,'Contractors'!$B$6:$B$1005,0)),"")))</f>
        <v/>
      </c>
      <c r="Q606" s="79">
        <f>IF(B606="","",IF(D606&lt;&gt;"",D606,IFERROR(INDEX('Contractors'!$E$6:$E$1005,MATCH(B606,'Contractors'!$B$6:$B$1005,0)),"")))</f>
        <v/>
      </c>
      <c r="R606" s="79">
        <f>IF(O606="","",IF(O606="OVERDUE",2,IF(O606="Paid",0,IF(AND(I606&lt;&gt;"",I606&lt;=AsOf+AlertDays),1,0))))</f>
        <v/>
      </c>
      <c r="S606" s="79">
        <f>IF(AND(B606&lt;&gt;"",M606="",I606&lt;&gt;""),IF(L606&lt;&gt;"",L606,IF(H606="",0,H606)),0)</f>
        <v/>
      </c>
      <c r="T606" s="79">
        <f>IF(AND(B606&lt;&gt;"",M606="",I606&lt;&gt;""),1/I606,0)</f>
        <v/>
      </c>
      <c r="U606" s="112">
        <f>IF(AND(B606&lt;&gt;"",M606="",I606&lt;&gt;""),I606,"")</f>
        <v/>
      </c>
      <c r="V606" s="79">
        <f>IF(U606="","",IF(U606&lt;AsOf,1,IF(U606&lt;=AsOf+AlertDays,2,IF(U606&lt;=AsOf+2*AlertDays,3,""))))</f>
        <v/>
      </c>
      <c r="W606" s="79">
        <f>IF(V606="","",IF(O606="OVERDUE","Overdue payment: ","Payment due: ")&amp;B606&amp;" — "&amp;C606&amp;" ("&amp;CurSym&amp;" "&amp;FIXED(S606,0)&amp;")")</f>
        <v/>
      </c>
      <c r="Z606" s="116">
        <f>IF('Contractors'!B606="","",'Contractors'!B606)</f>
        <v/>
      </c>
      <c r="AA606" s="77">
        <f>IF(Z606="","",'Contractors'!K606)</f>
        <v/>
      </c>
      <c r="AB606" s="77">
        <f>IF(Z606="","",SUMIFS($L$6:$L$1005,$B$6:$B$1005,Z606))</f>
        <v/>
      </c>
      <c r="AC606" s="77">
        <f>IF(Z606="","",SUMIFS($N$6:$N$1005,$B$6:$B$1005,Z606))</f>
        <v/>
      </c>
      <c r="AD606" s="76">
        <f>IF(Z606="","",AA606-AC606)</f>
        <v/>
      </c>
      <c r="AE606" s="117">
        <f>IF(Z606="","",IFERROR(1/SUMPRODUCT(MAX(($B$6:$B$1005=Z606)*$T$6:$T$1005)),""))</f>
        <v/>
      </c>
      <c r="AF606" s="77">
        <f>IF(AE606="","",SUMIFS($S$6:$S$1005,$B$6:$B$1005,Z606,$I$6:$I$1005,AE606))</f>
        <v/>
      </c>
    </row>
    <row r="607" ht="20" customHeight="1">
      <c r="B607" s="72" t="n"/>
      <c r="C607" s="72" t="n"/>
      <c r="D607" s="72" t="n"/>
      <c r="E607" s="72" t="n"/>
      <c r="F607" s="110" t="n"/>
      <c r="G607" s="73" t="n"/>
      <c r="H607" s="75">
        <f>IF(B607="","",IF(G607&lt;&gt;"",G607,IF(F607&lt;&gt;"",F607*IFERROR(INDEX('Contractors'!$I$6:$I$1005,MATCH(B607,'Contractors'!$B$6:$B$1005,0)),0),"")))</f>
        <v/>
      </c>
      <c r="I607" s="109" t="n"/>
      <c r="J607" s="72" t="n"/>
      <c r="K607" s="109" t="n"/>
      <c r="L607" s="73" t="n"/>
      <c r="M607" s="109" t="n"/>
      <c r="N607" s="73" t="n"/>
      <c r="O607" s="107">
        <f>IF(B607="","",IF(M607&lt;&gt;"","Paid",IF(AND(I607&lt;&gt;"",I607&lt;AsOf),"OVERDUE",IF(OR(K607&lt;&gt;"",L607&lt;&gt;""),"Invoiced","Scheduled"))))</f>
        <v/>
      </c>
      <c r="P607" s="115">
        <f>IF(B607="","",IF(E607&lt;&gt;"",E607,IFERROR(INDEX('Contractors'!$D$6:$D$1005,MATCH(B607,'Contractors'!$B$6:$B$1005,0)),"")))</f>
        <v/>
      </c>
      <c r="Q607" s="79">
        <f>IF(B607="","",IF(D607&lt;&gt;"",D607,IFERROR(INDEX('Contractors'!$E$6:$E$1005,MATCH(B607,'Contractors'!$B$6:$B$1005,0)),"")))</f>
        <v/>
      </c>
      <c r="R607" s="79">
        <f>IF(O607="","",IF(O607="OVERDUE",2,IF(O607="Paid",0,IF(AND(I607&lt;&gt;"",I607&lt;=AsOf+AlertDays),1,0))))</f>
        <v/>
      </c>
      <c r="S607" s="79">
        <f>IF(AND(B607&lt;&gt;"",M607="",I607&lt;&gt;""),IF(L607&lt;&gt;"",L607,IF(H607="",0,H607)),0)</f>
        <v/>
      </c>
      <c r="T607" s="79">
        <f>IF(AND(B607&lt;&gt;"",M607="",I607&lt;&gt;""),1/I607,0)</f>
        <v/>
      </c>
      <c r="U607" s="112">
        <f>IF(AND(B607&lt;&gt;"",M607="",I607&lt;&gt;""),I607,"")</f>
        <v/>
      </c>
      <c r="V607" s="79">
        <f>IF(U607="","",IF(U607&lt;AsOf,1,IF(U607&lt;=AsOf+AlertDays,2,IF(U607&lt;=AsOf+2*AlertDays,3,""))))</f>
        <v/>
      </c>
      <c r="W607" s="79">
        <f>IF(V607="","",IF(O607="OVERDUE","Overdue payment: ","Payment due: ")&amp;B607&amp;" — "&amp;C607&amp;" ("&amp;CurSym&amp;" "&amp;FIXED(S607,0)&amp;")")</f>
        <v/>
      </c>
      <c r="Z607" s="116">
        <f>IF('Contractors'!B607="","",'Contractors'!B607)</f>
        <v/>
      </c>
      <c r="AA607" s="77">
        <f>IF(Z607="","",'Contractors'!K607)</f>
        <v/>
      </c>
      <c r="AB607" s="77">
        <f>IF(Z607="","",SUMIFS($L$6:$L$1005,$B$6:$B$1005,Z607))</f>
        <v/>
      </c>
      <c r="AC607" s="77">
        <f>IF(Z607="","",SUMIFS($N$6:$N$1005,$B$6:$B$1005,Z607))</f>
        <v/>
      </c>
      <c r="AD607" s="76">
        <f>IF(Z607="","",AA607-AC607)</f>
        <v/>
      </c>
      <c r="AE607" s="117">
        <f>IF(Z607="","",IFERROR(1/SUMPRODUCT(MAX(($B$6:$B$1005=Z607)*$T$6:$T$1005)),""))</f>
        <v/>
      </c>
      <c r="AF607" s="77">
        <f>IF(AE607="","",SUMIFS($S$6:$S$1005,$B$6:$B$1005,Z607,$I$6:$I$1005,AE607))</f>
        <v/>
      </c>
    </row>
    <row r="608" ht="20" customHeight="1">
      <c r="B608" s="72" t="n"/>
      <c r="C608" s="72" t="n"/>
      <c r="D608" s="72" t="n"/>
      <c r="E608" s="72" t="n"/>
      <c r="F608" s="110" t="n"/>
      <c r="G608" s="73" t="n"/>
      <c r="H608" s="75">
        <f>IF(B608="","",IF(G608&lt;&gt;"",G608,IF(F608&lt;&gt;"",F608*IFERROR(INDEX('Contractors'!$I$6:$I$1005,MATCH(B608,'Contractors'!$B$6:$B$1005,0)),0),"")))</f>
        <v/>
      </c>
      <c r="I608" s="109" t="n"/>
      <c r="J608" s="72" t="n"/>
      <c r="K608" s="109" t="n"/>
      <c r="L608" s="73" t="n"/>
      <c r="M608" s="109" t="n"/>
      <c r="N608" s="73" t="n"/>
      <c r="O608" s="107">
        <f>IF(B608="","",IF(M608&lt;&gt;"","Paid",IF(AND(I608&lt;&gt;"",I608&lt;AsOf),"OVERDUE",IF(OR(K608&lt;&gt;"",L608&lt;&gt;""),"Invoiced","Scheduled"))))</f>
        <v/>
      </c>
      <c r="P608" s="115">
        <f>IF(B608="","",IF(E608&lt;&gt;"",E608,IFERROR(INDEX('Contractors'!$D$6:$D$1005,MATCH(B608,'Contractors'!$B$6:$B$1005,0)),"")))</f>
        <v/>
      </c>
      <c r="Q608" s="79">
        <f>IF(B608="","",IF(D608&lt;&gt;"",D608,IFERROR(INDEX('Contractors'!$E$6:$E$1005,MATCH(B608,'Contractors'!$B$6:$B$1005,0)),"")))</f>
        <v/>
      </c>
      <c r="R608" s="79">
        <f>IF(O608="","",IF(O608="OVERDUE",2,IF(O608="Paid",0,IF(AND(I608&lt;&gt;"",I608&lt;=AsOf+AlertDays),1,0))))</f>
        <v/>
      </c>
      <c r="S608" s="79">
        <f>IF(AND(B608&lt;&gt;"",M608="",I608&lt;&gt;""),IF(L608&lt;&gt;"",L608,IF(H608="",0,H608)),0)</f>
        <v/>
      </c>
      <c r="T608" s="79">
        <f>IF(AND(B608&lt;&gt;"",M608="",I608&lt;&gt;""),1/I608,0)</f>
        <v/>
      </c>
      <c r="U608" s="112">
        <f>IF(AND(B608&lt;&gt;"",M608="",I608&lt;&gt;""),I608,"")</f>
        <v/>
      </c>
      <c r="V608" s="79">
        <f>IF(U608="","",IF(U608&lt;AsOf,1,IF(U608&lt;=AsOf+AlertDays,2,IF(U608&lt;=AsOf+2*AlertDays,3,""))))</f>
        <v/>
      </c>
      <c r="W608" s="79">
        <f>IF(V608="","",IF(O608="OVERDUE","Overdue payment: ","Payment due: ")&amp;B608&amp;" — "&amp;C608&amp;" ("&amp;CurSym&amp;" "&amp;FIXED(S608,0)&amp;")")</f>
        <v/>
      </c>
      <c r="Z608" s="116">
        <f>IF('Contractors'!B608="","",'Contractors'!B608)</f>
        <v/>
      </c>
      <c r="AA608" s="77">
        <f>IF(Z608="","",'Contractors'!K608)</f>
        <v/>
      </c>
      <c r="AB608" s="77">
        <f>IF(Z608="","",SUMIFS($L$6:$L$1005,$B$6:$B$1005,Z608))</f>
        <v/>
      </c>
      <c r="AC608" s="77">
        <f>IF(Z608="","",SUMIFS($N$6:$N$1005,$B$6:$B$1005,Z608))</f>
        <v/>
      </c>
      <c r="AD608" s="76">
        <f>IF(Z608="","",AA608-AC608)</f>
        <v/>
      </c>
      <c r="AE608" s="117">
        <f>IF(Z608="","",IFERROR(1/SUMPRODUCT(MAX(($B$6:$B$1005=Z608)*$T$6:$T$1005)),""))</f>
        <v/>
      </c>
      <c r="AF608" s="77">
        <f>IF(AE608="","",SUMIFS($S$6:$S$1005,$B$6:$B$1005,Z608,$I$6:$I$1005,AE608))</f>
        <v/>
      </c>
    </row>
    <row r="609" ht="20" customHeight="1">
      <c r="B609" s="72" t="n"/>
      <c r="C609" s="72" t="n"/>
      <c r="D609" s="72" t="n"/>
      <c r="E609" s="72" t="n"/>
      <c r="F609" s="110" t="n"/>
      <c r="G609" s="73" t="n"/>
      <c r="H609" s="75">
        <f>IF(B609="","",IF(G609&lt;&gt;"",G609,IF(F609&lt;&gt;"",F609*IFERROR(INDEX('Contractors'!$I$6:$I$1005,MATCH(B609,'Contractors'!$B$6:$B$1005,0)),0),"")))</f>
        <v/>
      </c>
      <c r="I609" s="109" t="n"/>
      <c r="J609" s="72" t="n"/>
      <c r="K609" s="109" t="n"/>
      <c r="L609" s="73" t="n"/>
      <c r="M609" s="109" t="n"/>
      <c r="N609" s="73" t="n"/>
      <c r="O609" s="107">
        <f>IF(B609="","",IF(M609&lt;&gt;"","Paid",IF(AND(I609&lt;&gt;"",I609&lt;AsOf),"OVERDUE",IF(OR(K609&lt;&gt;"",L609&lt;&gt;""),"Invoiced","Scheduled"))))</f>
        <v/>
      </c>
      <c r="P609" s="115">
        <f>IF(B609="","",IF(E609&lt;&gt;"",E609,IFERROR(INDEX('Contractors'!$D$6:$D$1005,MATCH(B609,'Contractors'!$B$6:$B$1005,0)),"")))</f>
        <v/>
      </c>
      <c r="Q609" s="79">
        <f>IF(B609="","",IF(D609&lt;&gt;"",D609,IFERROR(INDEX('Contractors'!$E$6:$E$1005,MATCH(B609,'Contractors'!$B$6:$B$1005,0)),"")))</f>
        <v/>
      </c>
      <c r="R609" s="79">
        <f>IF(O609="","",IF(O609="OVERDUE",2,IF(O609="Paid",0,IF(AND(I609&lt;&gt;"",I609&lt;=AsOf+AlertDays),1,0))))</f>
        <v/>
      </c>
      <c r="S609" s="79">
        <f>IF(AND(B609&lt;&gt;"",M609="",I609&lt;&gt;""),IF(L609&lt;&gt;"",L609,IF(H609="",0,H609)),0)</f>
        <v/>
      </c>
      <c r="T609" s="79">
        <f>IF(AND(B609&lt;&gt;"",M609="",I609&lt;&gt;""),1/I609,0)</f>
        <v/>
      </c>
      <c r="U609" s="112">
        <f>IF(AND(B609&lt;&gt;"",M609="",I609&lt;&gt;""),I609,"")</f>
        <v/>
      </c>
      <c r="V609" s="79">
        <f>IF(U609="","",IF(U609&lt;AsOf,1,IF(U609&lt;=AsOf+AlertDays,2,IF(U609&lt;=AsOf+2*AlertDays,3,""))))</f>
        <v/>
      </c>
      <c r="W609" s="79">
        <f>IF(V609="","",IF(O609="OVERDUE","Overdue payment: ","Payment due: ")&amp;B609&amp;" — "&amp;C609&amp;" ("&amp;CurSym&amp;" "&amp;FIXED(S609,0)&amp;")")</f>
        <v/>
      </c>
      <c r="Z609" s="116">
        <f>IF('Contractors'!B609="","",'Contractors'!B609)</f>
        <v/>
      </c>
      <c r="AA609" s="77">
        <f>IF(Z609="","",'Contractors'!K609)</f>
        <v/>
      </c>
      <c r="AB609" s="77">
        <f>IF(Z609="","",SUMIFS($L$6:$L$1005,$B$6:$B$1005,Z609))</f>
        <v/>
      </c>
      <c r="AC609" s="77">
        <f>IF(Z609="","",SUMIFS($N$6:$N$1005,$B$6:$B$1005,Z609))</f>
        <v/>
      </c>
      <c r="AD609" s="76">
        <f>IF(Z609="","",AA609-AC609)</f>
        <v/>
      </c>
      <c r="AE609" s="117">
        <f>IF(Z609="","",IFERROR(1/SUMPRODUCT(MAX(($B$6:$B$1005=Z609)*$T$6:$T$1005)),""))</f>
        <v/>
      </c>
      <c r="AF609" s="77">
        <f>IF(AE609="","",SUMIFS($S$6:$S$1005,$B$6:$B$1005,Z609,$I$6:$I$1005,AE609))</f>
        <v/>
      </c>
    </row>
    <row r="610" ht="20" customHeight="1">
      <c r="B610" s="72" t="n"/>
      <c r="C610" s="72" t="n"/>
      <c r="D610" s="72" t="n"/>
      <c r="E610" s="72" t="n"/>
      <c r="F610" s="110" t="n"/>
      <c r="G610" s="73" t="n"/>
      <c r="H610" s="75">
        <f>IF(B610="","",IF(G610&lt;&gt;"",G610,IF(F610&lt;&gt;"",F610*IFERROR(INDEX('Contractors'!$I$6:$I$1005,MATCH(B610,'Contractors'!$B$6:$B$1005,0)),0),"")))</f>
        <v/>
      </c>
      <c r="I610" s="109" t="n"/>
      <c r="J610" s="72" t="n"/>
      <c r="K610" s="109" t="n"/>
      <c r="L610" s="73" t="n"/>
      <c r="M610" s="109" t="n"/>
      <c r="N610" s="73" t="n"/>
      <c r="O610" s="107">
        <f>IF(B610="","",IF(M610&lt;&gt;"","Paid",IF(AND(I610&lt;&gt;"",I610&lt;AsOf),"OVERDUE",IF(OR(K610&lt;&gt;"",L610&lt;&gt;""),"Invoiced","Scheduled"))))</f>
        <v/>
      </c>
      <c r="P610" s="115">
        <f>IF(B610="","",IF(E610&lt;&gt;"",E610,IFERROR(INDEX('Contractors'!$D$6:$D$1005,MATCH(B610,'Contractors'!$B$6:$B$1005,0)),"")))</f>
        <v/>
      </c>
      <c r="Q610" s="79">
        <f>IF(B610="","",IF(D610&lt;&gt;"",D610,IFERROR(INDEX('Contractors'!$E$6:$E$1005,MATCH(B610,'Contractors'!$B$6:$B$1005,0)),"")))</f>
        <v/>
      </c>
      <c r="R610" s="79">
        <f>IF(O610="","",IF(O610="OVERDUE",2,IF(O610="Paid",0,IF(AND(I610&lt;&gt;"",I610&lt;=AsOf+AlertDays),1,0))))</f>
        <v/>
      </c>
      <c r="S610" s="79">
        <f>IF(AND(B610&lt;&gt;"",M610="",I610&lt;&gt;""),IF(L610&lt;&gt;"",L610,IF(H610="",0,H610)),0)</f>
        <v/>
      </c>
      <c r="T610" s="79">
        <f>IF(AND(B610&lt;&gt;"",M610="",I610&lt;&gt;""),1/I610,0)</f>
        <v/>
      </c>
      <c r="U610" s="112">
        <f>IF(AND(B610&lt;&gt;"",M610="",I610&lt;&gt;""),I610,"")</f>
        <v/>
      </c>
      <c r="V610" s="79">
        <f>IF(U610="","",IF(U610&lt;AsOf,1,IF(U610&lt;=AsOf+AlertDays,2,IF(U610&lt;=AsOf+2*AlertDays,3,""))))</f>
        <v/>
      </c>
      <c r="W610" s="79">
        <f>IF(V610="","",IF(O610="OVERDUE","Overdue payment: ","Payment due: ")&amp;B610&amp;" — "&amp;C610&amp;" ("&amp;CurSym&amp;" "&amp;FIXED(S610,0)&amp;")")</f>
        <v/>
      </c>
      <c r="Z610" s="116">
        <f>IF('Contractors'!B610="","",'Contractors'!B610)</f>
        <v/>
      </c>
      <c r="AA610" s="77">
        <f>IF(Z610="","",'Contractors'!K610)</f>
        <v/>
      </c>
      <c r="AB610" s="77">
        <f>IF(Z610="","",SUMIFS($L$6:$L$1005,$B$6:$B$1005,Z610))</f>
        <v/>
      </c>
      <c r="AC610" s="77">
        <f>IF(Z610="","",SUMIFS($N$6:$N$1005,$B$6:$B$1005,Z610))</f>
        <v/>
      </c>
      <c r="AD610" s="76">
        <f>IF(Z610="","",AA610-AC610)</f>
        <v/>
      </c>
      <c r="AE610" s="117">
        <f>IF(Z610="","",IFERROR(1/SUMPRODUCT(MAX(($B$6:$B$1005=Z610)*$T$6:$T$1005)),""))</f>
        <v/>
      </c>
      <c r="AF610" s="77">
        <f>IF(AE610="","",SUMIFS($S$6:$S$1005,$B$6:$B$1005,Z610,$I$6:$I$1005,AE610))</f>
        <v/>
      </c>
    </row>
    <row r="611" ht="20" customHeight="1">
      <c r="B611" s="72" t="n"/>
      <c r="C611" s="72" t="n"/>
      <c r="D611" s="72" t="n"/>
      <c r="E611" s="72" t="n"/>
      <c r="F611" s="110" t="n"/>
      <c r="G611" s="73" t="n"/>
      <c r="H611" s="75">
        <f>IF(B611="","",IF(G611&lt;&gt;"",G611,IF(F611&lt;&gt;"",F611*IFERROR(INDEX('Contractors'!$I$6:$I$1005,MATCH(B611,'Contractors'!$B$6:$B$1005,0)),0),"")))</f>
        <v/>
      </c>
      <c r="I611" s="109" t="n"/>
      <c r="J611" s="72" t="n"/>
      <c r="K611" s="109" t="n"/>
      <c r="L611" s="73" t="n"/>
      <c r="M611" s="109" t="n"/>
      <c r="N611" s="73" t="n"/>
      <c r="O611" s="107">
        <f>IF(B611="","",IF(M611&lt;&gt;"","Paid",IF(AND(I611&lt;&gt;"",I611&lt;AsOf),"OVERDUE",IF(OR(K611&lt;&gt;"",L611&lt;&gt;""),"Invoiced","Scheduled"))))</f>
        <v/>
      </c>
      <c r="P611" s="115">
        <f>IF(B611="","",IF(E611&lt;&gt;"",E611,IFERROR(INDEX('Contractors'!$D$6:$D$1005,MATCH(B611,'Contractors'!$B$6:$B$1005,0)),"")))</f>
        <v/>
      </c>
      <c r="Q611" s="79">
        <f>IF(B611="","",IF(D611&lt;&gt;"",D611,IFERROR(INDEX('Contractors'!$E$6:$E$1005,MATCH(B611,'Contractors'!$B$6:$B$1005,0)),"")))</f>
        <v/>
      </c>
      <c r="R611" s="79">
        <f>IF(O611="","",IF(O611="OVERDUE",2,IF(O611="Paid",0,IF(AND(I611&lt;&gt;"",I611&lt;=AsOf+AlertDays),1,0))))</f>
        <v/>
      </c>
      <c r="S611" s="79">
        <f>IF(AND(B611&lt;&gt;"",M611="",I611&lt;&gt;""),IF(L611&lt;&gt;"",L611,IF(H611="",0,H611)),0)</f>
        <v/>
      </c>
      <c r="T611" s="79">
        <f>IF(AND(B611&lt;&gt;"",M611="",I611&lt;&gt;""),1/I611,0)</f>
        <v/>
      </c>
      <c r="U611" s="112">
        <f>IF(AND(B611&lt;&gt;"",M611="",I611&lt;&gt;""),I611,"")</f>
        <v/>
      </c>
      <c r="V611" s="79">
        <f>IF(U611="","",IF(U611&lt;AsOf,1,IF(U611&lt;=AsOf+AlertDays,2,IF(U611&lt;=AsOf+2*AlertDays,3,""))))</f>
        <v/>
      </c>
      <c r="W611" s="79">
        <f>IF(V611="","",IF(O611="OVERDUE","Overdue payment: ","Payment due: ")&amp;B611&amp;" — "&amp;C611&amp;" ("&amp;CurSym&amp;" "&amp;FIXED(S611,0)&amp;")")</f>
        <v/>
      </c>
      <c r="Z611" s="116">
        <f>IF('Contractors'!B611="","",'Contractors'!B611)</f>
        <v/>
      </c>
      <c r="AA611" s="77">
        <f>IF(Z611="","",'Contractors'!K611)</f>
        <v/>
      </c>
      <c r="AB611" s="77">
        <f>IF(Z611="","",SUMIFS($L$6:$L$1005,$B$6:$B$1005,Z611))</f>
        <v/>
      </c>
      <c r="AC611" s="77">
        <f>IF(Z611="","",SUMIFS($N$6:$N$1005,$B$6:$B$1005,Z611))</f>
        <v/>
      </c>
      <c r="AD611" s="76">
        <f>IF(Z611="","",AA611-AC611)</f>
        <v/>
      </c>
      <c r="AE611" s="117">
        <f>IF(Z611="","",IFERROR(1/SUMPRODUCT(MAX(($B$6:$B$1005=Z611)*$T$6:$T$1005)),""))</f>
        <v/>
      </c>
      <c r="AF611" s="77">
        <f>IF(AE611="","",SUMIFS($S$6:$S$1005,$B$6:$B$1005,Z611,$I$6:$I$1005,AE611))</f>
        <v/>
      </c>
    </row>
    <row r="612" ht="20" customHeight="1">
      <c r="B612" s="72" t="n"/>
      <c r="C612" s="72" t="n"/>
      <c r="D612" s="72" t="n"/>
      <c r="E612" s="72" t="n"/>
      <c r="F612" s="110" t="n"/>
      <c r="G612" s="73" t="n"/>
      <c r="H612" s="75">
        <f>IF(B612="","",IF(G612&lt;&gt;"",G612,IF(F612&lt;&gt;"",F612*IFERROR(INDEX('Contractors'!$I$6:$I$1005,MATCH(B612,'Contractors'!$B$6:$B$1005,0)),0),"")))</f>
        <v/>
      </c>
      <c r="I612" s="109" t="n"/>
      <c r="J612" s="72" t="n"/>
      <c r="K612" s="109" t="n"/>
      <c r="L612" s="73" t="n"/>
      <c r="M612" s="109" t="n"/>
      <c r="N612" s="73" t="n"/>
      <c r="O612" s="107">
        <f>IF(B612="","",IF(M612&lt;&gt;"","Paid",IF(AND(I612&lt;&gt;"",I612&lt;AsOf),"OVERDUE",IF(OR(K612&lt;&gt;"",L612&lt;&gt;""),"Invoiced","Scheduled"))))</f>
        <v/>
      </c>
      <c r="P612" s="115">
        <f>IF(B612="","",IF(E612&lt;&gt;"",E612,IFERROR(INDEX('Contractors'!$D$6:$D$1005,MATCH(B612,'Contractors'!$B$6:$B$1005,0)),"")))</f>
        <v/>
      </c>
      <c r="Q612" s="79">
        <f>IF(B612="","",IF(D612&lt;&gt;"",D612,IFERROR(INDEX('Contractors'!$E$6:$E$1005,MATCH(B612,'Contractors'!$B$6:$B$1005,0)),"")))</f>
        <v/>
      </c>
      <c r="R612" s="79">
        <f>IF(O612="","",IF(O612="OVERDUE",2,IF(O612="Paid",0,IF(AND(I612&lt;&gt;"",I612&lt;=AsOf+AlertDays),1,0))))</f>
        <v/>
      </c>
      <c r="S612" s="79">
        <f>IF(AND(B612&lt;&gt;"",M612="",I612&lt;&gt;""),IF(L612&lt;&gt;"",L612,IF(H612="",0,H612)),0)</f>
        <v/>
      </c>
      <c r="T612" s="79">
        <f>IF(AND(B612&lt;&gt;"",M612="",I612&lt;&gt;""),1/I612,0)</f>
        <v/>
      </c>
      <c r="U612" s="112">
        <f>IF(AND(B612&lt;&gt;"",M612="",I612&lt;&gt;""),I612,"")</f>
        <v/>
      </c>
      <c r="V612" s="79">
        <f>IF(U612="","",IF(U612&lt;AsOf,1,IF(U612&lt;=AsOf+AlertDays,2,IF(U612&lt;=AsOf+2*AlertDays,3,""))))</f>
        <v/>
      </c>
      <c r="W612" s="79">
        <f>IF(V612="","",IF(O612="OVERDUE","Overdue payment: ","Payment due: ")&amp;B612&amp;" — "&amp;C612&amp;" ("&amp;CurSym&amp;" "&amp;FIXED(S612,0)&amp;")")</f>
        <v/>
      </c>
      <c r="Z612" s="116">
        <f>IF('Contractors'!B612="","",'Contractors'!B612)</f>
        <v/>
      </c>
      <c r="AA612" s="77">
        <f>IF(Z612="","",'Contractors'!K612)</f>
        <v/>
      </c>
      <c r="AB612" s="77">
        <f>IF(Z612="","",SUMIFS($L$6:$L$1005,$B$6:$B$1005,Z612))</f>
        <v/>
      </c>
      <c r="AC612" s="77">
        <f>IF(Z612="","",SUMIFS($N$6:$N$1005,$B$6:$B$1005,Z612))</f>
        <v/>
      </c>
      <c r="AD612" s="76">
        <f>IF(Z612="","",AA612-AC612)</f>
        <v/>
      </c>
      <c r="AE612" s="117">
        <f>IF(Z612="","",IFERROR(1/SUMPRODUCT(MAX(($B$6:$B$1005=Z612)*$T$6:$T$1005)),""))</f>
        <v/>
      </c>
      <c r="AF612" s="77">
        <f>IF(AE612="","",SUMIFS($S$6:$S$1005,$B$6:$B$1005,Z612,$I$6:$I$1005,AE612))</f>
        <v/>
      </c>
    </row>
    <row r="613" ht="20" customHeight="1">
      <c r="B613" s="72" t="n"/>
      <c r="C613" s="72" t="n"/>
      <c r="D613" s="72" t="n"/>
      <c r="E613" s="72" t="n"/>
      <c r="F613" s="110" t="n"/>
      <c r="G613" s="73" t="n"/>
      <c r="H613" s="75">
        <f>IF(B613="","",IF(G613&lt;&gt;"",G613,IF(F613&lt;&gt;"",F613*IFERROR(INDEX('Contractors'!$I$6:$I$1005,MATCH(B613,'Contractors'!$B$6:$B$1005,0)),0),"")))</f>
        <v/>
      </c>
      <c r="I613" s="109" t="n"/>
      <c r="J613" s="72" t="n"/>
      <c r="K613" s="109" t="n"/>
      <c r="L613" s="73" t="n"/>
      <c r="M613" s="109" t="n"/>
      <c r="N613" s="73" t="n"/>
      <c r="O613" s="107">
        <f>IF(B613="","",IF(M613&lt;&gt;"","Paid",IF(AND(I613&lt;&gt;"",I613&lt;AsOf),"OVERDUE",IF(OR(K613&lt;&gt;"",L613&lt;&gt;""),"Invoiced","Scheduled"))))</f>
        <v/>
      </c>
      <c r="P613" s="115">
        <f>IF(B613="","",IF(E613&lt;&gt;"",E613,IFERROR(INDEX('Contractors'!$D$6:$D$1005,MATCH(B613,'Contractors'!$B$6:$B$1005,0)),"")))</f>
        <v/>
      </c>
      <c r="Q613" s="79">
        <f>IF(B613="","",IF(D613&lt;&gt;"",D613,IFERROR(INDEX('Contractors'!$E$6:$E$1005,MATCH(B613,'Contractors'!$B$6:$B$1005,0)),"")))</f>
        <v/>
      </c>
      <c r="R613" s="79">
        <f>IF(O613="","",IF(O613="OVERDUE",2,IF(O613="Paid",0,IF(AND(I613&lt;&gt;"",I613&lt;=AsOf+AlertDays),1,0))))</f>
        <v/>
      </c>
      <c r="S613" s="79">
        <f>IF(AND(B613&lt;&gt;"",M613="",I613&lt;&gt;""),IF(L613&lt;&gt;"",L613,IF(H613="",0,H613)),0)</f>
        <v/>
      </c>
      <c r="T613" s="79">
        <f>IF(AND(B613&lt;&gt;"",M613="",I613&lt;&gt;""),1/I613,0)</f>
        <v/>
      </c>
      <c r="U613" s="112">
        <f>IF(AND(B613&lt;&gt;"",M613="",I613&lt;&gt;""),I613,"")</f>
        <v/>
      </c>
      <c r="V613" s="79">
        <f>IF(U613="","",IF(U613&lt;AsOf,1,IF(U613&lt;=AsOf+AlertDays,2,IF(U613&lt;=AsOf+2*AlertDays,3,""))))</f>
        <v/>
      </c>
      <c r="W613" s="79">
        <f>IF(V613="","",IF(O613="OVERDUE","Overdue payment: ","Payment due: ")&amp;B613&amp;" — "&amp;C613&amp;" ("&amp;CurSym&amp;" "&amp;FIXED(S613,0)&amp;")")</f>
        <v/>
      </c>
      <c r="Z613" s="116">
        <f>IF('Contractors'!B613="","",'Contractors'!B613)</f>
        <v/>
      </c>
      <c r="AA613" s="77">
        <f>IF(Z613="","",'Contractors'!K613)</f>
        <v/>
      </c>
      <c r="AB613" s="77">
        <f>IF(Z613="","",SUMIFS($L$6:$L$1005,$B$6:$B$1005,Z613))</f>
        <v/>
      </c>
      <c r="AC613" s="77">
        <f>IF(Z613="","",SUMIFS($N$6:$N$1005,$B$6:$B$1005,Z613))</f>
        <v/>
      </c>
      <c r="AD613" s="76">
        <f>IF(Z613="","",AA613-AC613)</f>
        <v/>
      </c>
      <c r="AE613" s="117">
        <f>IF(Z613="","",IFERROR(1/SUMPRODUCT(MAX(($B$6:$B$1005=Z613)*$T$6:$T$1005)),""))</f>
        <v/>
      </c>
      <c r="AF613" s="77">
        <f>IF(AE613="","",SUMIFS($S$6:$S$1005,$B$6:$B$1005,Z613,$I$6:$I$1005,AE613))</f>
        <v/>
      </c>
    </row>
    <row r="614" ht="20" customHeight="1">
      <c r="B614" s="72" t="n"/>
      <c r="C614" s="72" t="n"/>
      <c r="D614" s="72" t="n"/>
      <c r="E614" s="72" t="n"/>
      <c r="F614" s="110" t="n"/>
      <c r="G614" s="73" t="n"/>
      <c r="H614" s="75">
        <f>IF(B614="","",IF(G614&lt;&gt;"",G614,IF(F614&lt;&gt;"",F614*IFERROR(INDEX('Contractors'!$I$6:$I$1005,MATCH(B614,'Contractors'!$B$6:$B$1005,0)),0),"")))</f>
        <v/>
      </c>
      <c r="I614" s="109" t="n"/>
      <c r="J614" s="72" t="n"/>
      <c r="K614" s="109" t="n"/>
      <c r="L614" s="73" t="n"/>
      <c r="M614" s="109" t="n"/>
      <c r="N614" s="73" t="n"/>
      <c r="O614" s="107">
        <f>IF(B614="","",IF(M614&lt;&gt;"","Paid",IF(AND(I614&lt;&gt;"",I614&lt;AsOf),"OVERDUE",IF(OR(K614&lt;&gt;"",L614&lt;&gt;""),"Invoiced","Scheduled"))))</f>
        <v/>
      </c>
      <c r="P614" s="115">
        <f>IF(B614="","",IF(E614&lt;&gt;"",E614,IFERROR(INDEX('Contractors'!$D$6:$D$1005,MATCH(B614,'Contractors'!$B$6:$B$1005,0)),"")))</f>
        <v/>
      </c>
      <c r="Q614" s="79">
        <f>IF(B614="","",IF(D614&lt;&gt;"",D614,IFERROR(INDEX('Contractors'!$E$6:$E$1005,MATCH(B614,'Contractors'!$B$6:$B$1005,0)),"")))</f>
        <v/>
      </c>
      <c r="R614" s="79">
        <f>IF(O614="","",IF(O614="OVERDUE",2,IF(O614="Paid",0,IF(AND(I614&lt;&gt;"",I614&lt;=AsOf+AlertDays),1,0))))</f>
        <v/>
      </c>
      <c r="S614" s="79">
        <f>IF(AND(B614&lt;&gt;"",M614="",I614&lt;&gt;""),IF(L614&lt;&gt;"",L614,IF(H614="",0,H614)),0)</f>
        <v/>
      </c>
      <c r="T614" s="79">
        <f>IF(AND(B614&lt;&gt;"",M614="",I614&lt;&gt;""),1/I614,0)</f>
        <v/>
      </c>
      <c r="U614" s="112">
        <f>IF(AND(B614&lt;&gt;"",M614="",I614&lt;&gt;""),I614,"")</f>
        <v/>
      </c>
      <c r="V614" s="79">
        <f>IF(U614="","",IF(U614&lt;AsOf,1,IF(U614&lt;=AsOf+AlertDays,2,IF(U614&lt;=AsOf+2*AlertDays,3,""))))</f>
        <v/>
      </c>
      <c r="W614" s="79">
        <f>IF(V614="","",IF(O614="OVERDUE","Overdue payment: ","Payment due: ")&amp;B614&amp;" — "&amp;C614&amp;" ("&amp;CurSym&amp;" "&amp;FIXED(S614,0)&amp;")")</f>
        <v/>
      </c>
      <c r="Z614" s="116">
        <f>IF('Contractors'!B614="","",'Contractors'!B614)</f>
        <v/>
      </c>
      <c r="AA614" s="77">
        <f>IF(Z614="","",'Contractors'!K614)</f>
        <v/>
      </c>
      <c r="AB614" s="77">
        <f>IF(Z614="","",SUMIFS($L$6:$L$1005,$B$6:$B$1005,Z614))</f>
        <v/>
      </c>
      <c r="AC614" s="77">
        <f>IF(Z614="","",SUMIFS($N$6:$N$1005,$B$6:$B$1005,Z614))</f>
        <v/>
      </c>
      <c r="AD614" s="76">
        <f>IF(Z614="","",AA614-AC614)</f>
        <v/>
      </c>
      <c r="AE614" s="117">
        <f>IF(Z614="","",IFERROR(1/SUMPRODUCT(MAX(($B$6:$B$1005=Z614)*$T$6:$T$1005)),""))</f>
        <v/>
      </c>
      <c r="AF614" s="77">
        <f>IF(AE614="","",SUMIFS($S$6:$S$1005,$B$6:$B$1005,Z614,$I$6:$I$1005,AE614))</f>
        <v/>
      </c>
    </row>
    <row r="615" ht="20" customHeight="1">
      <c r="B615" s="72" t="n"/>
      <c r="C615" s="72" t="n"/>
      <c r="D615" s="72" t="n"/>
      <c r="E615" s="72" t="n"/>
      <c r="F615" s="110" t="n"/>
      <c r="G615" s="73" t="n"/>
      <c r="H615" s="75">
        <f>IF(B615="","",IF(G615&lt;&gt;"",G615,IF(F615&lt;&gt;"",F615*IFERROR(INDEX('Contractors'!$I$6:$I$1005,MATCH(B615,'Contractors'!$B$6:$B$1005,0)),0),"")))</f>
        <v/>
      </c>
      <c r="I615" s="109" t="n"/>
      <c r="J615" s="72" t="n"/>
      <c r="K615" s="109" t="n"/>
      <c r="L615" s="73" t="n"/>
      <c r="M615" s="109" t="n"/>
      <c r="N615" s="73" t="n"/>
      <c r="O615" s="107">
        <f>IF(B615="","",IF(M615&lt;&gt;"","Paid",IF(AND(I615&lt;&gt;"",I615&lt;AsOf),"OVERDUE",IF(OR(K615&lt;&gt;"",L615&lt;&gt;""),"Invoiced","Scheduled"))))</f>
        <v/>
      </c>
      <c r="P615" s="115">
        <f>IF(B615="","",IF(E615&lt;&gt;"",E615,IFERROR(INDEX('Contractors'!$D$6:$D$1005,MATCH(B615,'Contractors'!$B$6:$B$1005,0)),"")))</f>
        <v/>
      </c>
      <c r="Q615" s="79">
        <f>IF(B615="","",IF(D615&lt;&gt;"",D615,IFERROR(INDEX('Contractors'!$E$6:$E$1005,MATCH(B615,'Contractors'!$B$6:$B$1005,0)),"")))</f>
        <v/>
      </c>
      <c r="R615" s="79">
        <f>IF(O615="","",IF(O615="OVERDUE",2,IF(O615="Paid",0,IF(AND(I615&lt;&gt;"",I615&lt;=AsOf+AlertDays),1,0))))</f>
        <v/>
      </c>
      <c r="S615" s="79">
        <f>IF(AND(B615&lt;&gt;"",M615="",I615&lt;&gt;""),IF(L615&lt;&gt;"",L615,IF(H615="",0,H615)),0)</f>
        <v/>
      </c>
      <c r="T615" s="79">
        <f>IF(AND(B615&lt;&gt;"",M615="",I615&lt;&gt;""),1/I615,0)</f>
        <v/>
      </c>
      <c r="U615" s="112">
        <f>IF(AND(B615&lt;&gt;"",M615="",I615&lt;&gt;""),I615,"")</f>
        <v/>
      </c>
      <c r="V615" s="79">
        <f>IF(U615="","",IF(U615&lt;AsOf,1,IF(U615&lt;=AsOf+AlertDays,2,IF(U615&lt;=AsOf+2*AlertDays,3,""))))</f>
        <v/>
      </c>
      <c r="W615" s="79">
        <f>IF(V615="","",IF(O615="OVERDUE","Overdue payment: ","Payment due: ")&amp;B615&amp;" — "&amp;C615&amp;" ("&amp;CurSym&amp;" "&amp;FIXED(S615,0)&amp;")")</f>
        <v/>
      </c>
      <c r="Z615" s="116">
        <f>IF('Contractors'!B615="","",'Contractors'!B615)</f>
        <v/>
      </c>
      <c r="AA615" s="77">
        <f>IF(Z615="","",'Contractors'!K615)</f>
        <v/>
      </c>
      <c r="AB615" s="77">
        <f>IF(Z615="","",SUMIFS($L$6:$L$1005,$B$6:$B$1005,Z615))</f>
        <v/>
      </c>
      <c r="AC615" s="77">
        <f>IF(Z615="","",SUMIFS($N$6:$N$1005,$B$6:$B$1005,Z615))</f>
        <v/>
      </c>
      <c r="AD615" s="76">
        <f>IF(Z615="","",AA615-AC615)</f>
        <v/>
      </c>
      <c r="AE615" s="117">
        <f>IF(Z615="","",IFERROR(1/SUMPRODUCT(MAX(($B$6:$B$1005=Z615)*$T$6:$T$1005)),""))</f>
        <v/>
      </c>
      <c r="AF615" s="77">
        <f>IF(AE615="","",SUMIFS($S$6:$S$1005,$B$6:$B$1005,Z615,$I$6:$I$1005,AE615))</f>
        <v/>
      </c>
    </row>
    <row r="616" ht="20" customHeight="1">
      <c r="B616" s="72" t="n"/>
      <c r="C616" s="72" t="n"/>
      <c r="D616" s="72" t="n"/>
      <c r="E616" s="72" t="n"/>
      <c r="F616" s="110" t="n"/>
      <c r="G616" s="73" t="n"/>
      <c r="H616" s="75">
        <f>IF(B616="","",IF(G616&lt;&gt;"",G616,IF(F616&lt;&gt;"",F616*IFERROR(INDEX('Contractors'!$I$6:$I$1005,MATCH(B616,'Contractors'!$B$6:$B$1005,0)),0),"")))</f>
        <v/>
      </c>
      <c r="I616" s="109" t="n"/>
      <c r="J616" s="72" t="n"/>
      <c r="K616" s="109" t="n"/>
      <c r="L616" s="73" t="n"/>
      <c r="M616" s="109" t="n"/>
      <c r="N616" s="73" t="n"/>
      <c r="O616" s="107">
        <f>IF(B616="","",IF(M616&lt;&gt;"","Paid",IF(AND(I616&lt;&gt;"",I616&lt;AsOf),"OVERDUE",IF(OR(K616&lt;&gt;"",L616&lt;&gt;""),"Invoiced","Scheduled"))))</f>
        <v/>
      </c>
      <c r="P616" s="115">
        <f>IF(B616="","",IF(E616&lt;&gt;"",E616,IFERROR(INDEX('Contractors'!$D$6:$D$1005,MATCH(B616,'Contractors'!$B$6:$B$1005,0)),"")))</f>
        <v/>
      </c>
      <c r="Q616" s="79">
        <f>IF(B616="","",IF(D616&lt;&gt;"",D616,IFERROR(INDEX('Contractors'!$E$6:$E$1005,MATCH(B616,'Contractors'!$B$6:$B$1005,0)),"")))</f>
        <v/>
      </c>
      <c r="R616" s="79">
        <f>IF(O616="","",IF(O616="OVERDUE",2,IF(O616="Paid",0,IF(AND(I616&lt;&gt;"",I616&lt;=AsOf+AlertDays),1,0))))</f>
        <v/>
      </c>
      <c r="S616" s="79">
        <f>IF(AND(B616&lt;&gt;"",M616="",I616&lt;&gt;""),IF(L616&lt;&gt;"",L616,IF(H616="",0,H616)),0)</f>
        <v/>
      </c>
      <c r="T616" s="79">
        <f>IF(AND(B616&lt;&gt;"",M616="",I616&lt;&gt;""),1/I616,0)</f>
        <v/>
      </c>
      <c r="U616" s="112">
        <f>IF(AND(B616&lt;&gt;"",M616="",I616&lt;&gt;""),I616,"")</f>
        <v/>
      </c>
      <c r="V616" s="79">
        <f>IF(U616="","",IF(U616&lt;AsOf,1,IF(U616&lt;=AsOf+AlertDays,2,IF(U616&lt;=AsOf+2*AlertDays,3,""))))</f>
        <v/>
      </c>
      <c r="W616" s="79">
        <f>IF(V616="","",IF(O616="OVERDUE","Overdue payment: ","Payment due: ")&amp;B616&amp;" — "&amp;C616&amp;" ("&amp;CurSym&amp;" "&amp;FIXED(S616,0)&amp;")")</f>
        <v/>
      </c>
      <c r="Z616" s="116">
        <f>IF('Contractors'!B616="","",'Contractors'!B616)</f>
        <v/>
      </c>
      <c r="AA616" s="77">
        <f>IF(Z616="","",'Contractors'!K616)</f>
        <v/>
      </c>
      <c r="AB616" s="77">
        <f>IF(Z616="","",SUMIFS($L$6:$L$1005,$B$6:$B$1005,Z616))</f>
        <v/>
      </c>
      <c r="AC616" s="77">
        <f>IF(Z616="","",SUMIFS($N$6:$N$1005,$B$6:$B$1005,Z616))</f>
        <v/>
      </c>
      <c r="AD616" s="76">
        <f>IF(Z616="","",AA616-AC616)</f>
        <v/>
      </c>
      <c r="AE616" s="117">
        <f>IF(Z616="","",IFERROR(1/SUMPRODUCT(MAX(($B$6:$B$1005=Z616)*$T$6:$T$1005)),""))</f>
        <v/>
      </c>
      <c r="AF616" s="77">
        <f>IF(AE616="","",SUMIFS($S$6:$S$1005,$B$6:$B$1005,Z616,$I$6:$I$1005,AE616))</f>
        <v/>
      </c>
    </row>
    <row r="617" ht="20" customHeight="1">
      <c r="B617" s="72" t="n"/>
      <c r="C617" s="72" t="n"/>
      <c r="D617" s="72" t="n"/>
      <c r="E617" s="72" t="n"/>
      <c r="F617" s="110" t="n"/>
      <c r="G617" s="73" t="n"/>
      <c r="H617" s="75">
        <f>IF(B617="","",IF(G617&lt;&gt;"",G617,IF(F617&lt;&gt;"",F617*IFERROR(INDEX('Contractors'!$I$6:$I$1005,MATCH(B617,'Contractors'!$B$6:$B$1005,0)),0),"")))</f>
        <v/>
      </c>
      <c r="I617" s="109" t="n"/>
      <c r="J617" s="72" t="n"/>
      <c r="K617" s="109" t="n"/>
      <c r="L617" s="73" t="n"/>
      <c r="M617" s="109" t="n"/>
      <c r="N617" s="73" t="n"/>
      <c r="O617" s="107">
        <f>IF(B617="","",IF(M617&lt;&gt;"","Paid",IF(AND(I617&lt;&gt;"",I617&lt;AsOf),"OVERDUE",IF(OR(K617&lt;&gt;"",L617&lt;&gt;""),"Invoiced","Scheduled"))))</f>
        <v/>
      </c>
      <c r="P617" s="115">
        <f>IF(B617="","",IF(E617&lt;&gt;"",E617,IFERROR(INDEX('Contractors'!$D$6:$D$1005,MATCH(B617,'Contractors'!$B$6:$B$1005,0)),"")))</f>
        <v/>
      </c>
      <c r="Q617" s="79">
        <f>IF(B617="","",IF(D617&lt;&gt;"",D617,IFERROR(INDEX('Contractors'!$E$6:$E$1005,MATCH(B617,'Contractors'!$B$6:$B$1005,0)),"")))</f>
        <v/>
      </c>
      <c r="R617" s="79">
        <f>IF(O617="","",IF(O617="OVERDUE",2,IF(O617="Paid",0,IF(AND(I617&lt;&gt;"",I617&lt;=AsOf+AlertDays),1,0))))</f>
        <v/>
      </c>
      <c r="S617" s="79">
        <f>IF(AND(B617&lt;&gt;"",M617="",I617&lt;&gt;""),IF(L617&lt;&gt;"",L617,IF(H617="",0,H617)),0)</f>
        <v/>
      </c>
      <c r="T617" s="79">
        <f>IF(AND(B617&lt;&gt;"",M617="",I617&lt;&gt;""),1/I617,0)</f>
        <v/>
      </c>
      <c r="U617" s="112">
        <f>IF(AND(B617&lt;&gt;"",M617="",I617&lt;&gt;""),I617,"")</f>
        <v/>
      </c>
      <c r="V617" s="79">
        <f>IF(U617="","",IF(U617&lt;AsOf,1,IF(U617&lt;=AsOf+AlertDays,2,IF(U617&lt;=AsOf+2*AlertDays,3,""))))</f>
        <v/>
      </c>
      <c r="W617" s="79">
        <f>IF(V617="","",IF(O617="OVERDUE","Overdue payment: ","Payment due: ")&amp;B617&amp;" — "&amp;C617&amp;" ("&amp;CurSym&amp;" "&amp;FIXED(S617,0)&amp;")")</f>
        <v/>
      </c>
      <c r="Z617" s="116">
        <f>IF('Contractors'!B617="","",'Contractors'!B617)</f>
        <v/>
      </c>
      <c r="AA617" s="77">
        <f>IF(Z617="","",'Contractors'!K617)</f>
        <v/>
      </c>
      <c r="AB617" s="77">
        <f>IF(Z617="","",SUMIFS($L$6:$L$1005,$B$6:$B$1005,Z617))</f>
        <v/>
      </c>
      <c r="AC617" s="77">
        <f>IF(Z617="","",SUMIFS($N$6:$N$1005,$B$6:$B$1005,Z617))</f>
        <v/>
      </c>
      <c r="AD617" s="76">
        <f>IF(Z617="","",AA617-AC617)</f>
        <v/>
      </c>
      <c r="AE617" s="117">
        <f>IF(Z617="","",IFERROR(1/SUMPRODUCT(MAX(($B$6:$B$1005=Z617)*$T$6:$T$1005)),""))</f>
        <v/>
      </c>
      <c r="AF617" s="77">
        <f>IF(AE617="","",SUMIFS($S$6:$S$1005,$B$6:$B$1005,Z617,$I$6:$I$1005,AE617))</f>
        <v/>
      </c>
    </row>
    <row r="618" ht="20" customHeight="1">
      <c r="B618" s="72" t="n"/>
      <c r="C618" s="72" t="n"/>
      <c r="D618" s="72" t="n"/>
      <c r="E618" s="72" t="n"/>
      <c r="F618" s="110" t="n"/>
      <c r="G618" s="73" t="n"/>
      <c r="H618" s="75">
        <f>IF(B618="","",IF(G618&lt;&gt;"",G618,IF(F618&lt;&gt;"",F618*IFERROR(INDEX('Contractors'!$I$6:$I$1005,MATCH(B618,'Contractors'!$B$6:$B$1005,0)),0),"")))</f>
        <v/>
      </c>
      <c r="I618" s="109" t="n"/>
      <c r="J618" s="72" t="n"/>
      <c r="K618" s="109" t="n"/>
      <c r="L618" s="73" t="n"/>
      <c r="M618" s="109" t="n"/>
      <c r="N618" s="73" t="n"/>
      <c r="O618" s="107">
        <f>IF(B618="","",IF(M618&lt;&gt;"","Paid",IF(AND(I618&lt;&gt;"",I618&lt;AsOf),"OVERDUE",IF(OR(K618&lt;&gt;"",L618&lt;&gt;""),"Invoiced","Scheduled"))))</f>
        <v/>
      </c>
      <c r="P618" s="115">
        <f>IF(B618="","",IF(E618&lt;&gt;"",E618,IFERROR(INDEX('Contractors'!$D$6:$D$1005,MATCH(B618,'Contractors'!$B$6:$B$1005,0)),"")))</f>
        <v/>
      </c>
      <c r="Q618" s="79">
        <f>IF(B618="","",IF(D618&lt;&gt;"",D618,IFERROR(INDEX('Contractors'!$E$6:$E$1005,MATCH(B618,'Contractors'!$B$6:$B$1005,0)),"")))</f>
        <v/>
      </c>
      <c r="R618" s="79">
        <f>IF(O618="","",IF(O618="OVERDUE",2,IF(O618="Paid",0,IF(AND(I618&lt;&gt;"",I618&lt;=AsOf+AlertDays),1,0))))</f>
        <v/>
      </c>
      <c r="S618" s="79">
        <f>IF(AND(B618&lt;&gt;"",M618="",I618&lt;&gt;""),IF(L618&lt;&gt;"",L618,IF(H618="",0,H618)),0)</f>
        <v/>
      </c>
      <c r="T618" s="79">
        <f>IF(AND(B618&lt;&gt;"",M618="",I618&lt;&gt;""),1/I618,0)</f>
        <v/>
      </c>
      <c r="U618" s="112">
        <f>IF(AND(B618&lt;&gt;"",M618="",I618&lt;&gt;""),I618,"")</f>
        <v/>
      </c>
      <c r="V618" s="79">
        <f>IF(U618="","",IF(U618&lt;AsOf,1,IF(U618&lt;=AsOf+AlertDays,2,IF(U618&lt;=AsOf+2*AlertDays,3,""))))</f>
        <v/>
      </c>
      <c r="W618" s="79">
        <f>IF(V618="","",IF(O618="OVERDUE","Overdue payment: ","Payment due: ")&amp;B618&amp;" — "&amp;C618&amp;" ("&amp;CurSym&amp;" "&amp;FIXED(S618,0)&amp;")")</f>
        <v/>
      </c>
      <c r="Z618" s="116">
        <f>IF('Contractors'!B618="","",'Contractors'!B618)</f>
        <v/>
      </c>
      <c r="AA618" s="77">
        <f>IF(Z618="","",'Contractors'!K618)</f>
        <v/>
      </c>
      <c r="AB618" s="77">
        <f>IF(Z618="","",SUMIFS($L$6:$L$1005,$B$6:$B$1005,Z618))</f>
        <v/>
      </c>
      <c r="AC618" s="77">
        <f>IF(Z618="","",SUMIFS($N$6:$N$1005,$B$6:$B$1005,Z618))</f>
        <v/>
      </c>
      <c r="AD618" s="76">
        <f>IF(Z618="","",AA618-AC618)</f>
        <v/>
      </c>
      <c r="AE618" s="117">
        <f>IF(Z618="","",IFERROR(1/SUMPRODUCT(MAX(($B$6:$B$1005=Z618)*$T$6:$T$1005)),""))</f>
        <v/>
      </c>
      <c r="AF618" s="77">
        <f>IF(AE618="","",SUMIFS($S$6:$S$1005,$B$6:$B$1005,Z618,$I$6:$I$1005,AE618))</f>
        <v/>
      </c>
    </row>
    <row r="619" ht="20" customHeight="1">
      <c r="B619" s="72" t="n"/>
      <c r="C619" s="72" t="n"/>
      <c r="D619" s="72" t="n"/>
      <c r="E619" s="72" t="n"/>
      <c r="F619" s="110" t="n"/>
      <c r="G619" s="73" t="n"/>
      <c r="H619" s="75">
        <f>IF(B619="","",IF(G619&lt;&gt;"",G619,IF(F619&lt;&gt;"",F619*IFERROR(INDEX('Contractors'!$I$6:$I$1005,MATCH(B619,'Contractors'!$B$6:$B$1005,0)),0),"")))</f>
        <v/>
      </c>
      <c r="I619" s="109" t="n"/>
      <c r="J619" s="72" t="n"/>
      <c r="K619" s="109" t="n"/>
      <c r="L619" s="73" t="n"/>
      <c r="M619" s="109" t="n"/>
      <c r="N619" s="73" t="n"/>
      <c r="O619" s="107">
        <f>IF(B619="","",IF(M619&lt;&gt;"","Paid",IF(AND(I619&lt;&gt;"",I619&lt;AsOf),"OVERDUE",IF(OR(K619&lt;&gt;"",L619&lt;&gt;""),"Invoiced","Scheduled"))))</f>
        <v/>
      </c>
      <c r="P619" s="115">
        <f>IF(B619="","",IF(E619&lt;&gt;"",E619,IFERROR(INDEX('Contractors'!$D$6:$D$1005,MATCH(B619,'Contractors'!$B$6:$B$1005,0)),"")))</f>
        <v/>
      </c>
      <c r="Q619" s="79">
        <f>IF(B619="","",IF(D619&lt;&gt;"",D619,IFERROR(INDEX('Contractors'!$E$6:$E$1005,MATCH(B619,'Contractors'!$B$6:$B$1005,0)),"")))</f>
        <v/>
      </c>
      <c r="R619" s="79">
        <f>IF(O619="","",IF(O619="OVERDUE",2,IF(O619="Paid",0,IF(AND(I619&lt;&gt;"",I619&lt;=AsOf+AlertDays),1,0))))</f>
        <v/>
      </c>
      <c r="S619" s="79">
        <f>IF(AND(B619&lt;&gt;"",M619="",I619&lt;&gt;""),IF(L619&lt;&gt;"",L619,IF(H619="",0,H619)),0)</f>
        <v/>
      </c>
      <c r="T619" s="79">
        <f>IF(AND(B619&lt;&gt;"",M619="",I619&lt;&gt;""),1/I619,0)</f>
        <v/>
      </c>
      <c r="U619" s="112">
        <f>IF(AND(B619&lt;&gt;"",M619="",I619&lt;&gt;""),I619,"")</f>
        <v/>
      </c>
      <c r="V619" s="79">
        <f>IF(U619="","",IF(U619&lt;AsOf,1,IF(U619&lt;=AsOf+AlertDays,2,IF(U619&lt;=AsOf+2*AlertDays,3,""))))</f>
        <v/>
      </c>
      <c r="W619" s="79">
        <f>IF(V619="","",IF(O619="OVERDUE","Overdue payment: ","Payment due: ")&amp;B619&amp;" — "&amp;C619&amp;" ("&amp;CurSym&amp;" "&amp;FIXED(S619,0)&amp;")")</f>
        <v/>
      </c>
      <c r="Z619" s="116">
        <f>IF('Contractors'!B619="","",'Contractors'!B619)</f>
        <v/>
      </c>
      <c r="AA619" s="77">
        <f>IF(Z619="","",'Contractors'!K619)</f>
        <v/>
      </c>
      <c r="AB619" s="77">
        <f>IF(Z619="","",SUMIFS($L$6:$L$1005,$B$6:$B$1005,Z619))</f>
        <v/>
      </c>
      <c r="AC619" s="77">
        <f>IF(Z619="","",SUMIFS($N$6:$N$1005,$B$6:$B$1005,Z619))</f>
        <v/>
      </c>
      <c r="AD619" s="76">
        <f>IF(Z619="","",AA619-AC619)</f>
        <v/>
      </c>
      <c r="AE619" s="117">
        <f>IF(Z619="","",IFERROR(1/SUMPRODUCT(MAX(($B$6:$B$1005=Z619)*$T$6:$T$1005)),""))</f>
        <v/>
      </c>
      <c r="AF619" s="77">
        <f>IF(AE619="","",SUMIFS($S$6:$S$1005,$B$6:$B$1005,Z619,$I$6:$I$1005,AE619))</f>
        <v/>
      </c>
    </row>
    <row r="620" ht="20" customHeight="1">
      <c r="B620" s="72" t="n"/>
      <c r="C620" s="72" t="n"/>
      <c r="D620" s="72" t="n"/>
      <c r="E620" s="72" t="n"/>
      <c r="F620" s="110" t="n"/>
      <c r="G620" s="73" t="n"/>
      <c r="H620" s="75">
        <f>IF(B620="","",IF(G620&lt;&gt;"",G620,IF(F620&lt;&gt;"",F620*IFERROR(INDEX('Contractors'!$I$6:$I$1005,MATCH(B620,'Contractors'!$B$6:$B$1005,0)),0),"")))</f>
        <v/>
      </c>
      <c r="I620" s="109" t="n"/>
      <c r="J620" s="72" t="n"/>
      <c r="K620" s="109" t="n"/>
      <c r="L620" s="73" t="n"/>
      <c r="M620" s="109" t="n"/>
      <c r="N620" s="73" t="n"/>
      <c r="O620" s="107">
        <f>IF(B620="","",IF(M620&lt;&gt;"","Paid",IF(AND(I620&lt;&gt;"",I620&lt;AsOf),"OVERDUE",IF(OR(K620&lt;&gt;"",L620&lt;&gt;""),"Invoiced","Scheduled"))))</f>
        <v/>
      </c>
      <c r="P620" s="115">
        <f>IF(B620="","",IF(E620&lt;&gt;"",E620,IFERROR(INDEX('Contractors'!$D$6:$D$1005,MATCH(B620,'Contractors'!$B$6:$B$1005,0)),"")))</f>
        <v/>
      </c>
      <c r="Q620" s="79">
        <f>IF(B620="","",IF(D620&lt;&gt;"",D620,IFERROR(INDEX('Contractors'!$E$6:$E$1005,MATCH(B620,'Contractors'!$B$6:$B$1005,0)),"")))</f>
        <v/>
      </c>
      <c r="R620" s="79">
        <f>IF(O620="","",IF(O620="OVERDUE",2,IF(O620="Paid",0,IF(AND(I620&lt;&gt;"",I620&lt;=AsOf+AlertDays),1,0))))</f>
        <v/>
      </c>
      <c r="S620" s="79">
        <f>IF(AND(B620&lt;&gt;"",M620="",I620&lt;&gt;""),IF(L620&lt;&gt;"",L620,IF(H620="",0,H620)),0)</f>
        <v/>
      </c>
      <c r="T620" s="79">
        <f>IF(AND(B620&lt;&gt;"",M620="",I620&lt;&gt;""),1/I620,0)</f>
        <v/>
      </c>
      <c r="U620" s="112">
        <f>IF(AND(B620&lt;&gt;"",M620="",I620&lt;&gt;""),I620,"")</f>
        <v/>
      </c>
      <c r="V620" s="79">
        <f>IF(U620="","",IF(U620&lt;AsOf,1,IF(U620&lt;=AsOf+AlertDays,2,IF(U620&lt;=AsOf+2*AlertDays,3,""))))</f>
        <v/>
      </c>
      <c r="W620" s="79">
        <f>IF(V620="","",IF(O620="OVERDUE","Overdue payment: ","Payment due: ")&amp;B620&amp;" — "&amp;C620&amp;" ("&amp;CurSym&amp;" "&amp;FIXED(S620,0)&amp;")")</f>
        <v/>
      </c>
      <c r="Z620" s="116">
        <f>IF('Contractors'!B620="","",'Contractors'!B620)</f>
        <v/>
      </c>
      <c r="AA620" s="77">
        <f>IF(Z620="","",'Contractors'!K620)</f>
        <v/>
      </c>
      <c r="AB620" s="77">
        <f>IF(Z620="","",SUMIFS($L$6:$L$1005,$B$6:$B$1005,Z620))</f>
        <v/>
      </c>
      <c r="AC620" s="77">
        <f>IF(Z620="","",SUMIFS($N$6:$N$1005,$B$6:$B$1005,Z620))</f>
        <v/>
      </c>
      <c r="AD620" s="76">
        <f>IF(Z620="","",AA620-AC620)</f>
        <v/>
      </c>
      <c r="AE620" s="117">
        <f>IF(Z620="","",IFERROR(1/SUMPRODUCT(MAX(($B$6:$B$1005=Z620)*$T$6:$T$1005)),""))</f>
        <v/>
      </c>
      <c r="AF620" s="77">
        <f>IF(AE620="","",SUMIFS($S$6:$S$1005,$B$6:$B$1005,Z620,$I$6:$I$1005,AE620))</f>
        <v/>
      </c>
    </row>
    <row r="621" ht="20" customHeight="1">
      <c r="B621" s="72" t="n"/>
      <c r="C621" s="72" t="n"/>
      <c r="D621" s="72" t="n"/>
      <c r="E621" s="72" t="n"/>
      <c r="F621" s="110" t="n"/>
      <c r="G621" s="73" t="n"/>
      <c r="H621" s="75">
        <f>IF(B621="","",IF(G621&lt;&gt;"",G621,IF(F621&lt;&gt;"",F621*IFERROR(INDEX('Contractors'!$I$6:$I$1005,MATCH(B621,'Contractors'!$B$6:$B$1005,0)),0),"")))</f>
        <v/>
      </c>
      <c r="I621" s="109" t="n"/>
      <c r="J621" s="72" t="n"/>
      <c r="K621" s="109" t="n"/>
      <c r="L621" s="73" t="n"/>
      <c r="M621" s="109" t="n"/>
      <c r="N621" s="73" t="n"/>
      <c r="O621" s="107">
        <f>IF(B621="","",IF(M621&lt;&gt;"","Paid",IF(AND(I621&lt;&gt;"",I621&lt;AsOf),"OVERDUE",IF(OR(K621&lt;&gt;"",L621&lt;&gt;""),"Invoiced","Scheduled"))))</f>
        <v/>
      </c>
      <c r="P621" s="115">
        <f>IF(B621="","",IF(E621&lt;&gt;"",E621,IFERROR(INDEX('Contractors'!$D$6:$D$1005,MATCH(B621,'Contractors'!$B$6:$B$1005,0)),"")))</f>
        <v/>
      </c>
      <c r="Q621" s="79">
        <f>IF(B621="","",IF(D621&lt;&gt;"",D621,IFERROR(INDEX('Contractors'!$E$6:$E$1005,MATCH(B621,'Contractors'!$B$6:$B$1005,0)),"")))</f>
        <v/>
      </c>
      <c r="R621" s="79">
        <f>IF(O621="","",IF(O621="OVERDUE",2,IF(O621="Paid",0,IF(AND(I621&lt;&gt;"",I621&lt;=AsOf+AlertDays),1,0))))</f>
        <v/>
      </c>
      <c r="S621" s="79">
        <f>IF(AND(B621&lt;&gt;"",M621="",I621&lt;&gt;""),IF(L621&lt;&gt;"",L621,IF(H621="",0,H621)),0)</f>
        <v/>
      </c>
      <c r="T621" s="79">
        <f>IF(AND(B621&lt;&gt;"",M621="",I621&lt;&gt;""),1/I621,0)</f>
        <v/>
      </c>
      <c r="U621" s="112">
        <f>IF(AND(B621&lt;&gt;"",M621="",I621&lt;&gt;""),I621,"")</f>
        <v/>
      </c>
      <c r="V621" s="79">
        <f>IF(U621="","",IF(U621&lt;AsOf,1,IF(U621&lt;=AsOf+AlertDays,2,IF(U621&lt;=AsOf+2*AlertDays,3,""))))</f>
        <v/>
      </c>
      <c r="W621" s="79">
        <f>IF(V621="","",IF(O621="OVERDUE","Overdue payment: ","Payment due: ")&amp;B621&amp;" — "&amp;C621&amp;" ("&amp;CurSym&amp;" "&amp;FIXED(S621,0)&amp;")")</f>
        <v/>
      </c>
      <c r="Z621" s="116">
        <f>IF('Contractors'!B621="","",'Contractors'!B621)</f>
        <v/>
      </c>
      <c r="AA621" s="77">
        <f>IF(Z621="","",'Contractors'!K621)</f>
        <v/>
      </c>
      <c r="AB621" s="77">
        <f>IF(Z621="","",SUMIFS($L$6:$L$1005,$B$6:$B$1005,Z621))</f>
        <v/>
      </c>
      <c r="AC621" s="77">
        <f>IF(Z621="","",SUMIFS($N$6:$N$1005,$B$6:$B$1005,Z621))</f>
        <v/>
      </c>
      <c r="AD621" s="76">
        <f>IF(Z621="","",AA621-AC621)</f>
        <v/>
      </c>
      <c r="AE621" s="117">
        <f>IF(Z621="","",IFERROR(1/SUMPRODUCT(MAX(($B$6:$B$1005=Z621)*$T$6:$T$1005)),""))</f>
        <v/>
      </c>
      <c r="AF621" s="77">
        <f>IF(AE621="","",SUMIFS($S$6:$S$1005,$B$6:$B$1005,Z621,$I$6:$I$1005,AE621))</f>
        <v/>
      </c>
    </row>
    <row r="622" ht="20" customHeight="1">
      <c r="B622" s="72" t="n"/>
      <c r="C622" s="72" t="n"/>
      <c r="D622" s="72" t="n"/>
      <c r="E622" s="72" t="n"/>
      <c r="F622" s="110" t="n"/>
      <c r="G622" s="73" t="n"/>
      <c r="H622" s="75">
        <f>IF(B622="","",IF(G622&lt;&gt;"",G622,IF(F622&lt;&gt;"",F622*IFERROR(INDEX('Contractors'!$I$6:$I$1005,MATCH(B622,'Contractors'!$B$6:$B$1005,0)),0),"")))</f>
        <v/>
      </c>
      <c r="I622" s="109" t="n"/>
      <c r="J622" s="72" t="n"/>
      <c r="K622" s="109" t="n"/>
      <c r="L622" s="73" t="n"/>
      <c r="M622" s="109" t="n"/>
      <c r="N622" s="73" t="n"/>
      <c r="O622" s="107">
        <f>IF(B622="","",IF(M622&lt;&gt;"","Paid",IF(AND(I622&lt;&gt;"",I622&lt;AsOf),"OVERDUE",IF(OR(K622&lt;&gt;"",L622&lt;&gt;""),"Invoiced","Scheduled"))))</f>
        <v/>
      </c>
      <c r="P622" s="115">
        <f>IF(B622="","",IF(E622&lt;&gt;"",E622,IFERROR(INDEX('Contractors'!$D$6:$D$1005,MATCH(B622,'Contractors'!$B$6:$B$1005,0)),"")))</f>
        <v/>
      </c>
      <c r="Q622" s="79">
        <f>IF(B622="","",IF(D622&lt;&gt;"",D622,IFERROR(INDEX('Contractors'!$E$6:$E$1005,MATCH(B622,'Contractors'!$B$6:$B$1005,0)),"")))</f>
        <v/>
      </c>
      <c r="R622" s="79">
        <f>IF(O622="","",IF(O622="OVERDUE",2,IF(O622="Paid",0,IF(AND(I622&lt;&gt;"",I622&lt;=AsOf+AlertDays),1,0))))</f>
        <v/>
      </c>
      <c r="S622" s="79">
        <f>IF(AND(B622&lt;&gt;"",M622="",I622&lt;&gt;""),IF(L622&lt;&gt;"",L622,IF(H622="",0,H622)),0)</f>
        <v/>
      </c>
      <c r="T622" s="79">
        <f>IF(AND(B622&lt;&gt;"",M622="",I622&lt;&gt;""),1/I622,0)</f>
        <v/>
      </c>
      <c r="U622" s="112">
        <f>IF(AND(B622&lt;&gt;"",M622="",I622&lt;&gt;""),I622,"")</f>
        <v/>
      </c>
      <c r="V622" s="79">
        <f>IF(U622="","",IF(U622&lt;AsOf,1,IF(U622&lt;=AsOf+AlertDays,2,IF(U622&lt;=AsOf+2*AlertDays,3,""))))</f>
        <v/>
      </c>
      <c r="W622" s="79">
        <f>IF(V622="","",IF(O622="OVERDUE","Overdue payment: ","Payment due: ")&amp;B622&amp;" — "&amp;C622&amp;" ("&amp;CurSym&amp;" "&amp;FIXED(S622,0)&amp;")")</f>
        <v/>
      </c>
      <c r="Z622" s="116">
        <f>IF('Contractors'!B622="","",'Contractors'!B622)</f>
        <v/>
      </c>
      <c r="AA622" s="77">
        <f>IF(Z622="","",'Contractors'!K622)</f>
        <v/>
      </c>
      <c r="AB622" s="77">
        <f>IF(Z622="","",SUMIFS($L$6:$L$1005,$B$6:$B$1005,Z622))</f>
        <v/>
      </c>
      <c r="AC622" s="77">
        <f>IF(Z622="","",SUMIFS($N$6:$N$1005,$B$6:$B$1005,Z622))</f>
        <v/>
      </c>
      <c r="AD622" s="76">
        <f>IF(Z622="","",AA622-AC622)</f>
        <v/>
      </c>
      <c r="AE622" s="117">
        <f>IF(Z622="","",IFERROR(1/SUMPRODUCT(MAX(($B$6:$B$1005=Z622)*$T$6:$T$1005)),""))</f>
        <v/>
      </c>
      <c r="AF622" s="77">
        <f>IF(AE622="","",SUMIFS($S$6:$S$1005,$B$6:$B$1005,Z622,$I$6:$I$1005,AE622))</f>
        <v/>
      </c>
    </row>
    <row r="623" ht="20" customHeight="1">
      <c r="B623" s="72" t="n"/>
      <c r="C623" s="72" t="n"/>
      <c r="D623" s="72" t="n"/>
      <c r="E623" s="72" t="n"/>
      <c r="F623" s="110" t="n"/>
      <c r="G623" s="73" t="n"/>
      <c r="H623" s="75">
        <f>IF(B623="","",IF(G623&lt;&gt;"",G623,IF(F623&lt;&gt;"",F623*IFERROR(INDEX('Contractors'!$I$6:$I$1005,MATCH(B623,'Contractors'!$B$6:$B$1005,0)),0),"")))</f>
        <v/>
      </c>
      <c r="I623" s="109" t="n"/>
      <c r="J623" s="72" t="n"/>
      <c r="K623" s="109" t="n"/>
      <c r="L623" s="73" t="n"/>
      <c r="M623" s="109" t="n"/>
      <c r="N623" s="73" t="n"/>
      <c r="O623" s="107">
        <f>IF(B623="","",IF(M623&lt;&gt;"","Paid",IF(AND(I623&lt;&gt;"",I623&lt;AsOf),"OVERDUE",IF(OR(K623&lt;&gt;"",L623&lt;&gt;""),"Invoiced","Scheduled"))))</f>
        <v/>
      </c>
      <c r="P623" s="115">
        <f>IF(B623="","",IF(E623&lt;&gt;"",E623,IFERROR(INDEX('Contractors'!$D$6:$D$1005,MATCH(B623,'Contractors'!$B$6:$B$1005,0)),"")))</f>
        <v/>
      </c>
      <c r="Q623" s="79">
        <f>IF(B623="","",IF(D623&lt;&gt;"",D623,IFERROR(INDEX('Contractors'!$E$6:$E$1005,MATCH(B623,'Contractors'!$B$6:$B$1005,0)),"")))</f>
        <v/>
      </c>
      <c r="R623" s="79">
        <f>IF(O623="","",IF(O623="OVERDUE",2,IF(O623="Paid",0,IF(AND(I623&lt;&gt;"",I623&lt;=AsOf+AlertDays),1,0))))</f>
        <v/>
      </c>
      <c r="S623" s="79">
        <f>IF(AND(B623&lt;&gt;"",M623="",I623&lt;&gt;""),IF(L623&lt;&gt;"",L623,IF(H623="",0,H623)),0)</f>
        <v/>
      </c>
      <c r="T623" s="79">
        <f>IF(AND(B623&lt;&gt;"",M623="",I623&lt;&gt;""),1/I623,0)</f>
        <v/>
      </c>
      <c r="U623" s="112">
        <f>IF(AND(B623&lt;&gt;"",M623="",I623&lt;&gt;""),I623,"")</f>
        <v/>
      </c>
      <c r="V623" s="79">
        <f>IF(U623="","",IF(U623&lt;AsOf,1,IF(U623&lt;=AsOf+AlertDays,2,IF(U623&lt;=AsOf+2*AlertDays,3,""))))</f>
        <v/>
      </c>
      <c r="W623" s="79">
        <f>IF(V623="","",IF(O623="OVERDUE","Overdue payment: ","Payment due: ")&amp;B623&amp;" — "&amp;C623&amp;" ("&amp;CurSym&amp;" "&amp;FIXED(S623,0)&amp;")")</f>
        <v/>
      </c>
      <c r="Z623" s="116">
        <f>IF('Contractors'!B623="","",'Contractors'!B623)</f>
        <v/>
      </c>
      <c r="AA623" s="77">
        <f>IF(Z623="","",'Contractors'!K623)</f>
        <v/>
      </c>
      <c r="AB623" s="77">
        <f>IF(Z623="","",SUMIFS($L$6:$L$1005,$B$6:$B$1005,Z623))</f>
        <v/>
      </c>
      <c r="AC623" s="77">
        <f>IF(Z623="","",SUMIFS($N$6:$N$1005,$B$6:$B$1005,Z623))</f>
        <v/>
      </c>
      <c r="AD623" s="76">
        <f>IF(Z623="","",AA623-AC623)</f>
        <v/>
      </c>
      <c r="AE623" s="117">
        <f>IF(Z623="","",IFERROR(1/SUMPRODUCT(MAX(($B$6:$B$1005=Z623)*$T$6:$T$1005)),""))</f>
        <v/>
      </c>
      <c r="AF623" s="77">
        <f>IF(AE623="","",SUMIFS($S$6:$S$1005,$B$6:$B$1005,Z623,$I$6:$I$1005,AE623))</f>
        <v/>
      </c>
    </row>
    <row r="624" ht="20" customHeight="1">
      <c r="B624" s="72" t="n"/>
      <c r="C624" s="72" t="n"/>
      <c r="D624" s="72" t="n"/>
      <c r="E624" s="72" t="n"/>
      <c r="F624" s="110" t="n"/>
      <c r="G624" s="73" t="n"/>
      <c r="H624" s="75">
        <f>IF(B624="","",IF(G624&lt;&gt;"",G624,IF(F624&lt;&gt;"",F624*IFERROR(INDEX('Contractors'!$I$6:$I$1005,MATCH(B624,'Contractors'!$B$6:$B$1005,0)),0),"")))</f>
        <v/>
      </c>
      <c r="I624" s="109" t="n"/>
      <c r="J624" s="72" t="n"/>
      <c r="K624" s="109" t="n"/>
      <c r="L624" s="73" t="n"/>
      <c r="M624" s="109" t="n"/>
      <c r="N624" s="73" t="n"/>
      <c r="O624" s="107">
        <f>IF(B624="","",IF(M624&lt;&gt;"","Paid",IF(AND(I624&lt;&gt;"",I624&lt;AsOf),"OVERDUE",IF(OR(K624&lt;&gt;"",L624&lt;&gt;""),"Invoiced","Scheduled"))))</f>
        <v/>
      </c>
      <c r="P624" s="115">
        <f>IF(B624="","",IF(E624&lt;&gt;"",E624,IFERROR(INDEX('Contractors'!$D$6:$D$1005,MATCH(B624,'Contractors'!$B$6:$B$1005,0)),"")))</f>
        <v/>
      </c>
      <c r="Q624" s="79">
        <f>IF(B624="","",IF(D624&lt;&gt;"",D624,IFERROR(INDEX('Contractors'!$E$6:$E$1005,MATCH(B624,'Contractors'!$B$6:$B$1005,0)),"")))</f>
        <v/>
      </c>
      <c r="R624" s="79">
        <f>IF(O624="","",IF(O624="OVERDUE",2,IF(O624="Paid",0,IF(AND(I624&lt;&gt;"",I624&lt;=AsOf+AlertDays),1,0))))</f>
        <v/>
      </c>
      <c r="S624" s="79">
        <f>IF(AND(B624&lt;&gt;"",M624="",I624&lt;&gt;""),IF(L624&lt;&gt;"",L624,IF(H624="",0,H624)),0)</f>
        <v/>
      </c>
      <c r="T624" s="79">
        <f>IF(AND(B624&lt;&gt;"",M624="",I624&lt;&gt;""),1/I624,0)</f>
        <v/>
      </c>
      <c r="U624" s="112">
        <f>IF(AND(B624&lt;&gt;"",M624="",I624&lt;&gt;""),I624,"")</f>
        <v/>
      </c>
      <c r="V624" s="79">
        <f>IF(U624="","",IF(U624&lt;AsOf,1,IF(U624&lt;=AsOf+AlertDays,2,IF(U624&lt;=AsOf+2*AlertDays,3,""))))</f>
        <v/>
      </c>
      <c r="W624" s="79">
        <f>IF(V624="","",IF(O624="OVERDUE","Overdue payment: ","Payment due: ")&amp;B624&amp;" — "&amp;C624&amp;" ("&amp;CurSym&amp;" "&amp;FIXED(S624,0)&amp;")")</f>
        <v/>
      </c>
      <c r="Z624" s="116">
        <f>IF('Contractors'!B624="","",'Contractors'!B624)</f>
        <v/>
      </c>
      <c r="AA624" s="77">
        <f>IF(Z624="","",'Contractors'!K624)</f>
        <v/>
      </c>
      <c r="AB624" s="77">
        <f>IF(Z624="","",SUMIFS($L$6:$L$1005,$B$6:$B$1005,Z624))</f>
        <v/>
      </c>
      <c r="AC624" s="77">
        <f>IF(Z624="","",SUMIFS($N$6:$N$1005,$B$6:$B$1005,Z624))</f>
        <v/>
      </c>
      <c r="AD624" s="76">
        <f>IF(Z624="","",AA624-AC624)</f>
        <v/>
      </c>
      <c r="AE624" s="117">
        <f>IF(Z624="","",IFERROR(1/SUMPRODUCT(MAX(($B$6:$B$1005=Z624)*$T$6:$T$1005)),""))</f>
        <v/>
      </c>
      <c r="AF624" s="77">
        <f>IF(AE624="","",SUMIFS($S$6:$S$1005,$B$6:$B$1005,Z624,$I$6:$I$1005,AE624))</f>
        <v/>
      </c>
    </row>
    <row r="625" ht="20" customHeight="1">
      <c r="B625" s="72" t="n"/>
      <c r="C625" s="72" t="n"/>
      <c r="D625" s="72" t="n"/>
      <c r="E625" s="72" t="n"/>
      <c r="F625" s="110" t="n"/>
      <c r="G625" s="73" t="n"/>
      <c r="H625" s="75">
        <f>IF(B625="","",IF(G625&lt;&gt;"",G625,IF(F625&lt;&gt;"",F625*IFERROR(INDEX('Contractors'!$I$6:$I$1005,MATCH(B625,'Contractors'!$B$6:$B$1005,0)),0),"")))</f>
        <v/>
      </c>
      <c r="I625" s="109" t="n"/>
      <c r="J625" s="72" t="n"/>
      <c r="K625" s="109" t="n"/>
      <c r="L625" s="73" t="n"/>
      <c r="M625" s="109" t="n"/>
      <c r="N625" s="73" t="n"/>
      <c r="O625" s="107">
        <f>IF(B625="","",IF(M625&lt;&gt;"","Paid",IF(AND(I625&lt;&gt;"",I625&lt;AsOf),"OVERDUE",IF(OR(K625&lt;&gt;"",L625&lt;&gt;""),"Invoiced","Scheduled"))))</f>
        <v/>
      </c>
      <c r="P625" s="115">
        <f>IF(B625="","",IF(E625&lt;&gt;"",E625,IFERROR(INDEX('Contractors'!$D$6:$D$1005,MATCH(B625,'Contractors'!$B$6:$B$1005,0)),"")))</f>
        <v/>
      </c>
      <c r="Q625" s="79">
        <f>IF(B625="","",IF(D625&lt;&gt;"",D625,IFERROR(INDEX('Contractors'!$E$6:$E$1005,MATCH(B625,'Contractors'!$B$6:$B$1005,0)),"")))</f>
        <v/>
      </c>
      <c r="R625" s="79">
        <f>IF(O625="","",IF(O625="OVERDUE",2,IF(O625="Paid",0,IF(AND(I625&lt;&gt;"",I625&lt;=AsOf+AlertDays),1,0))))</f>
        <v/>
      </c>
      <c r="S625" s="79">
        <f>IF(AND(B625&lt;&gt;"",M625="",I625&lt;&gt;""),IF(L625&lt;&gt;"",L625,IF(H625="",0,H625)),0)</f>
        <v/>
      </c>
      <c r="T625" s="79">
        <f>IF(AND(B625&lt;&gt;"",M625="",I625&lt;&gt;""),1/I625,0)</f>
        <v/>
      </c>
      <c r="U625" s="112">
        <f>IF(AND(B625&lt;&gt;"",M625="",I625&lt;&gt;""),I625,"")</f>
        <v/>
      </c>
      <c r="V625" s="79">
        <f>IF(U625="","",IF(U625&lt;AsOf,1,IF(U625&lt;=AsOf+AlertDays,2,IF(U625&lt;=AsOf+2*AlertDays,3,""))))</f>
        <v/>
      </c>
      <c r="W625" s="79">
        <f>IF(V625="","",IF(O625="OVERDUE","Overdue payment: ","Payment due: ")&amp;B625&amp;" — "&amp;C625&amp;" ("&amp;CurSym&amp;" "&amp;FIXED(S625,0)&amp;")")</f>
        <v/>
      </c>
      <c r="Z625" s="116">
        <f>IF('Contractors'!B625="","",'Contractors'!B625)</f>
        <v/>
      </c>
      <c r="AA625" s="77">
        <f>IF(Z625="","",'Contractors'!K625)</f>
        <v/>
      </c>
      <c r="AB625" s="77">
        <f>IF(Z625="","",SUMIFS($L$6:$L$1005,$B$6:$B$1005,Z625))</f>
        <v/>
      </c>
      <c r="AC625" s="77">
        <f>IF(Z625="","",SUMIFS($N$6:$N$1005,$B$6:$B$1005,Z625))</f>
        <v/>
      </c>
      <c r="AD625" s="76">
        <f>IF(Z625="","",AA625-AC625)</f>
        <v/>
      </c>
      <c r="AE625" s="117">
        <f>IF(Z625="","",IFERROR(1/SUMPRODUCT(MAX(($B$6:$B$1005=Z625)*$T$6:$T$1005)),""))</f>
        <v/>
      </c>
      <c r="AF625" s="77">
        <f>IF(AE625="","",SUMIFS($S$6:$S$1005,$B$6:$B$1005,Z625,$I$6:$I$1005,AE625))</f>
        <v/>
      </c>
    </row>
    <row r="626" ht="20" customHeight="1">
      <c r="B626" s="72" t="n"/>
      <c r="C626" s="72" t="n"/>
      <c r="D626" s="72" t="n"/>
      <c r="E626" s="72" t="n"/>
      <c r="F626" s="110" t="n"/>
      <c r="G626" s="73" t="n"/>
      <c r="H626" s="75">
        <f>IF(B626="","",IF(G626&lt;&gt;"",G626,IF(F626&lt;&gt;"",F626*IFERROR(INDEX('Contractors'!$I$6:$I$1005,MATCH(B626,'Contractors'!$B$6:$B$1005,0)),0),"")))</f>
        <v/>
      </c>
      <c r="I626" s="109" t="n"/>
      <c r="J626" s="72" t="n"/>
      <c r="K626" s="109" t="n"/>
      <c r="L626" s="73" t="n"/>
      <c r="M626" s="109" t="n"/>
      <c r="N626" s="73" t="n"/>
      <c r="O626" s="107">
        <f>IF(B626="","",IF(M626&lt;&gt;"","Paid",IF(AND(I626&lt;&gt;"",I626&lt;AsOf),"OVERDUE",IF(OR(K626&lt;&gt;"",L626&lt;&gt;""),"Invoiced","Scheduled"))))</f>
        <v/>
      </c>
      <c r="P626" s="115">
        <f>IF(B626="","",IF(E626&lt;&gt;"",E626,IFERROR(INDEX('Contractors'!$D$6:$D$1005,MATCH(B626,'Contractors'!$B$6:$B$1005,0)),"")))</f>
        <v/>
      </c>
      <c r="Q626" s="79">
        <f>IF(B626="","",IF(D626&lt;&gt;"",D626,IFERROR(INDEX('Contractors'!$E$6:$E$1005,MATCH(B626,'Contractors'!$B$6:$B$1005,0)),"")))</f>
        <v/>
      </c>
      <c r="R626" s="79">
        <f>IF(O626="","",IF(O626="OVERDUE",2,IF(O626="Paid",0,IF(AND(I626&lt;&gt;"",I626&lt;=AsOf+AlertDays),1,0))))</f>
        <v/>
      </c>
      <c r="S626" s="79">
        <f>IF(AND(B626&lt;&gt;"",M626="",I626&lt;&gt;""),IF(L626&lt;&gt;"",L626,IF(H626="",0,H626)),0)</f>
        <v/>
      </c>
      <c r="T626" s="79">
        <f>IF(AND(B626&lt;&gt;"",M626="",I626&lt;&gt;""),1/I626,0)</f>
        <v/>
      </c>
      <c r="U626" s="112">
        <f>IF(AND(B626&lt;&gt;"",M626="",I626&lt;&gt;""),I626,"")</f>
        <v/>
      </c>
      <c r="V626" s="79">
        <f>IF(U626="","",IF(U626&lt;AsOf,1,IF(U626&lt;=AsOf+AlertDays,2,IF(U626&lt;=AsOf+2*AlertDays,3,""))))</f>
        <v/>
      </c>
      <c r="W626" s="79">
        <f>IF(V626="","",IF(O626="OVERDUE","Overdue payment: ","Payment due: ")&amp;B626&amp;" — "&amp;C626&amp;" ("&amp;CurSym&amp;" "&amp;FIXED(S626,0)&amp;")")</f>
        <v/>
      </c>
      <c r="Z626" s="116">
        <f>IF('Contractors'!B626="","",'Contractors'!B626)</f>
        <v/>
      </c>
      <c r="AA626" s="77">
        <f>IF(Z626="","",'Contractors'!K626)</f>
        <v/>
      </c>
      <c r="AB626" s="77">
        <f>IF(Z626="","",SUMIFS($L$6:$L$1005,$B$6:$B$1005,Z626))</f>
        <v/>
      </c>
      <c r="AC626" s="77">
        <f>IF(Z626="","",SUMIFS($N$6:$N$1005,$B$6:$B$1005,Z626))</f>
        <v/>
      </c>
      <c r="AD626" s="76">
        <f>IF(Z626="","",AA626-AC626)</f>
        <v/>
      </c>
      <c r="AE626" s="117">
        <f>IF(Z626="","",IFERROR(1/SUMPRODUCT(MAX(($B$6:$B$1005=Z626)*$T$6:$T$1005)),""))</f>
        <v/>
      </c>
      <c r="AF626" s="77">
        <f>IF(AE626="","",SUMIFS($S$6:$S$1005,$B$6:$B$1005,Z626,$I$6:$I$1005,AE626))</f>
        <v/>
      </c>
    </row>
    <row r="627" ht="20" customHeight="1">
      <c r="B627" s="72" t="n"/>
      <c r="C627" s="72" t="n"/>
      <c r="D627" s="72" t="n"/>
      <c r="E627" s="72" t="n"/>
      <c r="F627" s="110" t="n"/>
      <c r="G627" s="73" t="n"/>
      <c r="H627" s="75">
        <f>IF(B627="","",IF(G627&lt;&gt;"",G627,IF(F627&lt;&gt;"",F627*IFERROR(INDEX('Contractors'!$I$6:$I$1005,MATCH(B627,'Contractors'!$B$6:$B$1005,0)),0),"")))</f>
        <v/>
      </c>
      <c r="I627" s="109" t="n"/>
      <c r="J627" s="72" t="n"/>
      <c r="K627" s="109" t="n"/>
      <c r="L627" s="73" t="n"/>
      <c r="M627" s="109" t="n"/>
      <c r="N627" s="73" t="n"/>
      <c r="O627" s="107">
        <f>IF(B627="","",IF(M627&lt;&gt;"","Paid",IF(AND(I627&lt;&gt;"",I627&lt;AsOf),"OVERDUE",IF(OR(K627&lt;&gt;"",L627&lt;&gt;""),"Invoiced","Scheduled"))))</f>
        <v/>
      </c>
      <c r="P627" s="115">
        <f>IF(B627="","",IF(E627&lt;&gt;"",E627,IFERROR(INDEX('Contractors'!$D$6:$D$1005,MATCH(B627,'Contractors'!$B$6:$B$1005,0)),"")))</f>
        <v/>
      </c>
      <c r="Q627" s="79">
        <f>IF(B627="","",IF(D627&lt;&gt;"",D627,IFERROR(INDEX('Contractors'!$E$6:$E$1005,MATCH(B627,'Contractors'!$B$6:$B$1005,0)),"")))</f>
        <v/>
      </c>
      <c r="R627" s="79">
        <f>IF(O627="","",IF(O627="OVERDUE",2,IF(O627="Paid",0,IF(AND(I627&lt;&gt;"",I627&lt;=AsOf+AlertDays),1,0))))</f>
        <v/>
      </c>
      <c r="S627" s="79">
        <f>IF(AND(B627&lt;&gt;"",M627="",I627&lt;&gt;""),IF(L627&lt;&gt;"",L627,IF(H627="",0,H627)),0)</f>
        <v/>
      </c>
      <c r="T627" s="79">
        <f>IF(AND(B627&lt;&gt;"",M627="",I627&lt;&gt;""),1/I627,0)</f>
        <v/>
      </c>
      <c r="U627" s="112">
        <f>IF(AND(B627&lt;&gt;"",M627="",I627&lt;&gt;""),I627,"")</f>
        <v/>
      </c>
      <c r="V627" s="79">
        <f>IF(U627="","",IF(U627&lt;AsOf,1,IF(U627&lt;=AsOf+AlertDays,2,IF(U627&lt;=AsOf+2*AlertDays,3,""))))</f>
        <v/>
      </c>
      <c r="W627" s="79">
        <f>IF(V627="","",IF(O627="OVERDUE","Overdue payment: ","Payment due: ")&amp;B627&amp;" — "&amp;C627&amp;" ("&amp;CurSym&amp;" "&amp;FIXED(S627,0)&amp;")")</f>
        <v/>
      </c>
      <c r="Z627" s="116">
        <f>IF('Contractors'!B627="","",'Contractors'!B627)</f>
        <v/>
      </c>
      <c r="AA627" s="77">
        <f>IF(Z627="","",'Contractors'!K627)</f>
        <v/>
      </c>
      <c r="AB627" s="77">
        <f>IF(Z627="","",SUMIFS($L$6:$L$1005,$B$6:$B$1005,Z627))</f>
        <v/>
      </c>
      <c r="AC627" s="77">
        <f>IF(Z627="","",SUMIFS($N$6:$N$1005,$B$6:$B$1005,Z627))</f>
        <v/>
      </c>
      <c r="AD627" s="76">
        <f>IF(Z627="","",AA627-AC627)</f>
        <v/>
      </c>
      <c r="AE627" s="117">
        <f>IF(Z627="","",IFERROR(1/SUMPRODUCT(MAX(($B$6:$B$1005=Z627)*$T$6:$T$1005)),""))</f>
        <v/>
      </c>
      <c r="AF627" s="77">
        <f>IF(AE627="","",SUMIFS($S$6:$S$1005,$B$6:$B$1005,Z627,$I$6:$I$1005,AE627))</f>
        <v/>
      </c>
    </row>
    <row r="628" ht="20" customHeight="1">
      <c r="B628" s="72" t="n"/>
      <c r="C628" s="72" t="n"/>
      <c r="D628" s="72" t="n"/>
      <c r="E628" s="72" t="n"/>
      <c r="F628" s="110" t="n"/>
      <c r="G628" s="73" t="n"/>
      <c r="H628" s="75">
        <f>IF(B628="","",IF(G628&lt;&gt;"",G628,IF(F628&lt;&gt;"",F628*IFERROR(INDEX('Contractors'!$I$6:$I$1005,MATCH(B628,'Contractors'!$B$6:$B$1005,0)),0),"")))</f>
        <v/>
      </c>
      <c r="I628" s="109" t="n"/>
      <c r="J628" s="72" t="n"/>
      <c r="K628" s="109" t="n"/>
      <c r="L628" s="73" t="n"/>
      <c r="M628" s="109" t="n"/>
      <c r="N628" s="73" t="n"/>
      <c r="O628" s="107">
        <f>IF(B628="","",IF(M628&lt;&gt;"","Paid",IF(AND(I628&lt;&gt;"",I628&lt;AsOf),"OVERDUE",IF(OR(K628&lt;&gt;"",L628&lt;&gt;""),"Invoiced","Scheduled"))))</f>
        <v/>
      </c>
      <c r="P628" s="115">
        <f>IF(B628="","",IF(E628&lt;&gt;"",E628,IFERROR(INDEX('Contractors'!$D$6:$D$1005,MATCH(B628,'Contractors'!$B$6:$B$1005,0)),"")))</f>
        <v/>
      </c>
      <c r="Q628" s="79">
        <f>IF(B628="","",IF(D628&lt;&gt;"",D628,IFERROR(INDEX('Contractors'!$E$6:$E$1005,MATCH(B628,'Contractors'!$B$6:$B$1005,0)),"")))</f>
        <v/>
      </c>
      <c r="R628" s="79">
        <f>IF(O628="","",IF(O628="OVERDUE",2,IF(O628="Paid",0,IF(AND(I628&lt;&gt;"",I628&lt;=AsOf+AlertDays),1,0))))</f>
        <v/>
      </c>
      <c r="S628" s="79">
        <f>IF(AND(B628&lt;&gt;"",M628="",I628&lt;&gt;""),IF(L628&lt;&gt;"",L628,IF(H628="",0,H628)),0)</f>
        <v/>
      </c>
      <c r="T628" s="79">
        <f>IF(AND(B628&lt;&gt;"",M628="",I628&lt;&gt;""),1/I628,0)</f>
        <v/>
      </c>
      <c r="U628" s="112">
        <f>IF(AND(B628&lt;&gt;"",M628="",I628&lt;&gt;""),I628,"")</f>
        <v/>
      </c>
      <c r="V628" s="79">
        <f>IF(U628="","",IF(U628&lt;AsOf,1,IF(U628&lt;=AsOf+AlertDays,2,IF(U628&lt;=AsOf+2*AlertDays,3,""))))</f>
        <v/>
      </c>
      <c r="W628" s="79">
        <f>IF(V628="","",IF(O628="OVERDUE","Overdue payment: ","Payment due: ")&amp;B628&amp;" — "&amp;C628&amp;" ("&amp;CurSym&amp;" "&amp;FIXED(S628,0)&amp;")")</f>
        <v/>
      </c>
      <c r="Z628" s="116">
        <f>IF('Contractors'!B628="","",'Contractors'!B628)</f>
        <v/>
      </c>
      <c r="AA628" s="77">
        <f>IF(Z628="","",'Contractors'!K628)</f>
        <v/>
      </c>
      <c r="AB628" s="77">
        <f>IF(Z628="","",SUMIFS($L$6:$L$1005,$B$6:$B$1005,Z628))</f>
        <v/>
      </c>
      <c r="AC628" s="77">
        <f>IF(Z628="","",SUMIFS($N$6:$N$1005,$B$6:$B$1005,Z628))</f>
        <v/>
      </c>
      <c r="AD628" s="76">
        <f>IF(Z628="","",AA628-AC628)</f>
        <v/>
      </c>
      <c r="AE628" s="117">
        <f>IF(Z628="","",IFERROR(1/SUMPRODUCT(MAX(($B$6:$B$1005=Z628)*$T$6:$T$1005)),""))</f>
        <v/>
      </c>
      <c r="AF628" s="77">
        <f>IF(AE628="","",SUMIFS($S$6:$S$1005,$B$6:$B$1005,Z628,$I$6:$I$1005,AE628))</f>
        <v/>
      </c>
    </row>
    <row r="629" ht="20" customHeight="1">
      <c r="B629" s="72" t="n"/>
      <c r="C629" s="72" t="n"/>
      <c r="D629" s="72" t="n"/>
      <c r="E629" s="72" t="n"/>
      <c r="F629" s="110" t="n"/>
      <c r="G629" s="73" t="n"/>
      <c r="H629" s="75">
        <f>IF(B629="","",IF(G629&lt;&gt;"",G629,IF(F629&lt;&gt;"",F629*IFERROR(INDEX('Contractors'!$I$6:$I$1005,MATCH(B629,'Contractors'!$B$6:$B$1005,0)),0),"")))</f>
        <v/>
      </c>
      <c r="I629" s="109" t="n"/>
      <c r="J629" s="72" t="n"/>
      <c r="K629" s="109" t="n"/>
      <c r="L629" s="73" t="n"/>
      <c r="M629" s="109" t="n"/>
      <c r="N629" s="73" t="n"/>
      <c r="O629" s="107">
        <f>IF(B629="","",IF(M629&lt;&gt;"","Paid",IF(AND(I629&lt;&gt;"",I629&lt;AsOf),"OVERDUE",IF(OR(K629&lt;&gt;"",L629&lt;&gt;""),"Invoiced","Scheduled"))))</f>
        <v/>
      </c>
      <c r="P629" s="115">
        <f>IF(B629="","",IF(E629&lt;&gt;"",E629,IFERROR(INDEX('Contractors'!$D$6:$D$1005,MATCH(B629,'Contractors'!$B$6:$B$1005,0)),"")))</f>
        <v/>
      </c>
      <c r="Q629" s="79">
        <f>IF(B629="","",IF(D629&lt;&gt;"",D629,IFERROR(INDEX('Contractors'!$E$6:$E$1005,MATCH(B629,'Contractors'!$B$6:$B$1005,0)),"")))</f>
        <v/>
      </c>
      <c r="R629" s="79">
        <f>IF(O629="","",IF(O629="OVERDUE",2,IF(O629="Paid",0,IF(AND(I629&lt;&gt;"",I629&lt;=AsOf+AlertDays),1,0))))</f>
        <v/>
      </c>
      <c r="S629" s="79">
        <f>IF(AND(B629&lt;&gt;"",M629="",I629&lt;&gt;""),IF(L629&lt;&gt;"",L629,IF(H629="",0,H629)),0)</f>
        <v/>
      </c>
      <c r="T629" s="79">
        <f>IF(AND(B629&lt;&gt;"",M629="",I629&lt;&gt;""),1/I629,0)</f>
        <v/>
      </c>
      <c r="U629" s="112">
        <f>IF(AND(B629&lt;&gt;"",M629="",I629&lt;&gt;""),I629,"")</f>
        <v/>
      </c>
      <c r="V629" s="79">
        <f>IF(U629="","",IF(U629&lt;AsOf,1,IF(U629&lt;=AsOf+AlertDays,2,IF(U629&lt;=AsOf+2*AlertDays,3,""))))</f>
        <v/>
      </c>
      <c r="W629" s="79">
        <f>IF(V629="","",IF(O629="OVERDUE","Overdue payment: ","Payment due: ")&amp;B629&amp;" — "&amp;C629&amp;" ("&amp;CurSym&amp;" "&amp;FIXED(S629,0)&amp;")")</f>
        <v/>
      </c>
      <c r="Z629" s="116">
        <f>IF('Contractors'!B629="","",'Contractors'!B629)</f>
        <v/>
      </c>
      <c r="AA629" s="77">
        <f>IF(Z629="","",'Contractors'!K629)</f>
        <v/>
      </c>
      <c r="AB629" s="77">
        <f>IF(Z629="","",SUMIFS($L$6:$L$1005,$B$6:$B$1005,Z629))</f>
        <v/>
      </c>
      <c r="AC629" s="77">
        <f>IF(Z629="","",SUMIFS($N$6:$N$1005,$B$6:$B$1005,Z629))</f>
        <v/>
      </c>
      <c r="AD629" s="76">
        <f>IF(Z629="","",AA629-AC629)</f>
        <v/>
      </c>
      <c r="AE629" s="117">
        <f>IF(Z629="","",IFERROR(1/SUMPRODUCT(MAX(($B$6:$B$1005=Z629)*$T$6:$T$1005)),""))</f>
        <v/>
      </c>
      <c r="AF629" s="77">
        <f>IF(AE629="","",SUMIFS($S$6:$S$1005,$B$6:$B$1005,Z629,$I$6:$I$1005,AE629))</f>
        <v/>
      </c>
    </row>
    <row r="630" ht="20" customHeight="1">
      <c r="B630" s="72" t="n"/>
      <c r="C630" s="72" t="n"/>
      <c r="D630" s="72" t="n"/>
      <c r="E630" s="72" t="n"/>
      <c r="F630" s="110" t="n"/>
      <c r="G630" s="73" t="n"/>
      <c r="H630" s="75">
        <f>IF(B630="","",IF(G630&lt;&gt;"",G630,IF(F630&lt;&gt;"",F630*IFERROR(INDEX('Contractors'!$I$6:$I$1005,MATCH(B630,'Contractors'!$B$6:$B$1005,0)),0),"")))</f>
        <v/>
      </c>
      <c r="I630" s="109" t="n"/>
      <c r="J630" s="72" t="n"/>
      <c r="K630" s="109" t="n"/>
      <c r="L630" s="73" t="n"/>
      <c r="M630" s="109" t="n"/>
      <c r="N630" s="73" t="n"/>
      <c r="O630" s="107">
        <f>IF(B630="","",IF(M630&lt;&gt;"","Paid",IF(AND(I630&lt;&gt;"",I630&lt;AsOf),"OVERDUE",IF(OR(K630&lt;&gt;"",L630&lt;&gt;""),"Invoiced","Scheduled"))))</f>
        <v/>
      </c>
      <c r="P630" s="115">
        <f>IF(B630="","",IF(E630&lt;&gt;"",E630,IFERROR(INDEX('Contractors'!$D$6:$D$1005,MATCH(B630,'Contractors'!$B$6:$B$1005,0)),"")))</f>
        <v/>
      </c>
      <c r="Q630" s="79">
        <f>IF(B630="","",IF(D630&lt;&gt;"",D630,IFERROR(INDEX('Contractors'!$E$6:$E$1005,MATCH(B630,'Contractors'!$B$6:$B$1005,0)),"")))</f>
        <v/>
      </c>
      <c r="R630" s="79">
        <f>IF(O630="","",IF(O630="OVERDUE",2,IF(O630="Paid",0,IF(AND(I630&lt;&gt;"",I630&lt;=AsOf+AlertDays),1,0))))</f>
        <v/>
      </c>
      <c r="S630" s="79">
        <f>IF(AND(B630&lt;&gt;"",M630="",I630&lt;&gt;""),IF(L630&lt;&gt;"",L630,IF(H630="",0,H630)),0)</f>
        <v/>
      </c>
      <c r="T630" s="79">
        <f>IF(AND(B630&lt;&gt;"",M630="",I630&lt;&gt;""),1/I630,0)</f>
        <v/>
      </c>
      <c r="U630" s="112">
        <f>IF(AND(B630&lt;&gt;"",M630="",I630&lt;&gt;""),I630,"")</f>
        <v/>
      </c>
      <c r="V630" s="79">
        <f>IF(U630="","",IF(U630&lt;AsOf,1,IF(U630&lt;=AsOf+AlertDays,2,IF(U630&lt;=AsOf+2*AlertDays,3,""))))</f>
        <v/>
      </c>
      <c r="W630" s="79">
        <f>IF(V630="","",IF(O630="OVERDUE","Overdue payment: ","Payment due: ")&amp;B630&amp;" — "&amp;C630&amp;" ("&amp;CurSym&amp;" "&amp;FIXED(S630,0)&amp;")")</f>
        <v/>
      </c>
      <c r="Z630" s="116">
        <f>IF('Contractors'!B630="","",'Contractors'!B630)</f>
        <v/>
      </c>
      <c r="AA630" s="77">
        <f>IF(Z630="","",'Contractors'!K630)</f>
        <v/>
      </c>
      <c r="AB630" s="77">
        <f>IF(Z630="","",SUMIFS($L$6:$L$1005,$B$6:$B$1005,Z630))</f>
        <v/>
      </c>
      <c r="AC630" s="77">
        <f>IF(Z630="","",SUMIFS($N$6:$N$1005,$B$6:$B$1005,Z630))</f>
        <v/>
      </c>
      <c r="AD630" s="76">
        <f>IF(Z630="","",AA630-AC630)</f>
        <v/>
      </c>
      <c r="AE630" s="117">
        <f>IF(Z630="","",IFERROR(1/SUMPRODUCT(MAX(($B$6:$B$1005=Z630)*$T$6:$T$1005)),""))</f>
        <v/>
      </c>
      <c r="AF630" s="77">
        <f>IF(AE630="","",SUMIFS($S$6:$S$1005,$B$6:$B$1005,Z630,$I$6:$I$1005,AE630))</f>
        <v/>
      </c>
    </row>
    <row r="631" ht="20" customHeight="1">
      <c r="B631" s="72" t="n"/>
      <c r="C631" s="72" t="n"/>
      <c r="D631" s="72" t="n"/>
      <c r="E631" s="72" t="n"/>
      <c r="F631" s="110" t="n"/>
      <c r="G631" s="73" t="n"/>
      <c r="H631" s="75">
        <f>IF(B631="","",IF(G631&lt;&gt;"",G631,IF(F631&lt;&gt;"",F631*IFERROR(INDEX('Contractors'!$I$6:$I$1005,MATCH(B631,'Contractors'!$B$6:$B$1005,0)),0),"")))</f>
        <v/>
      </c>
      <c r="I631" s="109" t="n"/>
      <c r="J631" s="72" t="n"/>
      <c r="K631" s="109" t="n"/>
      <c r="L631" s="73" t="n"/>
      <c r="M631" s="109" t="n"/>
      <c r="N631" s="73" t="n"/>
      <c r="O631" s="107">
        <f>IF(B631="","",IF(M631&lt;&gt;"","Paid",IF(AND(I631&lt;&gt;"",I631&lt;AsOf),"OVERDUE",IF(OR(K631&lt;&gt;"",L631&lt;&gt;""),"Invoiced","Scheduled"))))</f>
        <v/>
      </c>
      <c r="P631" s="115">
        <f>IF(B631="","",IF(E631&lt;&gt;"",E631,IFERROR(INDEX('Contractors'!$D$6:$D$1005,MATCH(B631,'Contractors'!$B$6:$B$1005,0)),"")))</f>
        <v/>
      </c>
      <c r="Q631" s="79">
        <f>IF(B631="","",IF(D631&lt;&gt;"",D631,IFERROR(INDEX('Contractors'!$E$6:$E$1005,MATCH(B631,'Contractors'!$B$6:$B$1005,0)),"")))</f>
        <v/>
      </c>
      <c r="R631" s="79">
        <f>IF(O631="","",IF(O631="OVERDUE",2,IF(O631="Paid",0,IF(AND(I631&lt;&gt;"",I631&lt;=AsOf+AlertDays),1,0))))</f>
        <v/>
      </c>
      <c r="S631" s="79">
        <f>IF(AND(B631&lt;&gt;"",M631="",I631&lt;&gt;""),IF(L631&lt;&gt;"",L631,IF(H631="",0,H631)),0)</f>
        <v/>
      </c>
      <c r="T631" s="79">
        <f>IF(AND(B631&lt;&gt;"",M631="",I631&lt;&gt;""),1/I631,0)</f>
        <v/>
      </c>
      <c r="U631" s="112">
        <f>IF(AND(B631&lt;&gt;"",M631="",I631&lt;&gt;""),I631,"")</f>
        <v/>
      </c>
      <c r="V631" s="79">
        <f>IF(U631="","",IF(U631&lt;AsOf,1,IF(U631&lt;=AsOf+AlertDays,2,IF(U631&lt;=AsOf+2*AlertDays,3,""))))</f>
        <v/>
      </c>
      <c r="W631" s="79">
        <f>IF(V631="","",IF(O631="OVERDUE","Overdue payment: ","Payment due: ")&amp;B631&amp;" — "&amp;C631&amp;" ("&amp;CurSym&amp;" "&amp;FIXED(S631,0)&amp;")")</f>
        <v/>
      </c>
      <c r="Z631" s="116">
        <f>IF('Contractors'!B631="","",'Contractors'!B631)</f>
        <v/>
      </c>
      <c r="AA631" s="77">
        <f>IF(Z631="","",'Contractors'!K631)</f>
        <v/>
      </c>
      <c r="AB631" s="77">
        <f>IF(Z631="","",SUMIFS($L$6:$L$1005,$B$6:$B$1005,Z631))</f>
        <v/>
      </c>
      <c r="AC631" s="77">
        <f>IF(Z631="","",SUMIFS($N$6:$N$1005,$B$6:$B$1005,Z631))</f>
        <v/>
      </c>
      <c r="AD631" s="76">
        <f>IF(Z631="","",AA631-AC631)</f>
        <v/>
      </c>
      <c r="AE631" s="117">
        <f>IF(Z631="","",IFERROR(1/SUMPRODUCT(MAX(($B$6:$B$1005=Z631)*$T$6:$T$1005)),""))</f>
        <v/>
      </c>
      <c r="AF631" s="77">
        <f>IF(AE631="","",SUMIFS($S$6:$S$1005,$B$6:$B$1005,Z631,$I$6:$I$1005,AE631))</f>
        <v/>
      </c>
    </row>
    <row r="632" ht="20" customHeight="1">
      <c r="B632" s="72" t="n"/>
      <c r="C632" s="72" t="n"/>
      <c r="D632" s="72" t="n"/>
      <c r="E632" s="72" t="n"/>
      <c r="F632" s="110" t="n"/>
      <c r="G632" s="73" t="n"/>
      <c r="H632" s="75">
        <f>IF(B632="","",IF(G632&lt;&gt;"",G632,IF(F632&lt;&gt;"",F632*IFERROR(INDEX('Contractors'!$I$6:$I$1005,MATCH(B632,'Contractors'!$B$6:$B$1005,0)),0),"")))</f>
        <v/>
      </c>
      <c r="I632" s="109" t="n"/>
      <c r="J632" s="72" t="n"/>
      <c r="K632" s="109" t="n"/>
      <c r="L632" s="73" t="n"/>
      <c r="M632" s="109" t="n"/>
      <c r="N632" s="73" t="n"/>
      <c r="O632" s="107">
        <f>IF(B632="","",IF(M632&lt;&gt;"","Paid",IF(AND(I632&lt;&gt;"",I632&lt;AsOf),"OVERDUE",IF(OR(K632&lt;&gt;"",L632&lt;&gt;""),"Invoiced","Scheduled"))))</f>
        <v/>
      </c>
      <c r="P632" s="115">
        <f>IF(B632="","",IF(E632&lt;&gt;"",E632,IFERROR(INDEX('Contractors'!$D$6:$D$1005,MATCH(B632,'Contractors'!$B$6:$B$1005,0)),"")))</f>
        <v/>
      </c>
      <c r="Q632" s="79">
        <f>IF(B632="","",IF(D632&lt;&gt;"",D632,IFERROR(INDEX('Contractors'!$E$6:$E$1005,MATCH(B632,'Contractors'!$B$6:$B$1005,0)),"")))</f>
        <v/>
      </c>
      <c r="R632" s="79">
        <f>IF(O632="","",IF(O632="OVERDUE",2,IF(O632="Paid",0,IF(AND(I632&lt;&gt;"",I632&lt;=AsOf+AlertDays),1,0))))</f>
        <v/>
      </c>
      <c r="S632" s="79">
        <f>IF(AND(B632&lt;&gt;"",M632="",I632&lt;&gt;""),IF(L632&lt;&gt;"",L632,IF(H632="",0,H632)),0)</f>
        <v/>
      </c>
      <c r="T632" s="79">
        <f>IF(AND(B632&lt;&gt;"",M632="",I632&lt;&gt;""),1/I632,0)</f>
        <v/>
      </c>
      <c r="U632" s="112">
        <f>IF(AND(B632&lt;&gt;"",M632="",I632&lt;&gt;""),I632,"")</f>
        <v/>
      </c>
      <c r="V632" s="79">
        <f>IF(U632="","",IF(U632&lt;AsOf,1,IF(U632&lt;=AsOf+AlertDays,2,IF(U632&lt;=AsOf+2*AlertDays,3,""))))</f>
        <v/>
      </c>
      <c r="W632" s="79">
        <f>IF(V632="","",IF(O632="OVERDUE","Overdue payment: ","Payment due: ")&amp;B632&amp;" — "&amp;C632&amp;" ("&amp;CurSym&amp;" "&amp;FIXED(S632,0)&amp;")")</f>
        <v/>
      </c>
      <c r="Z632" s="116">
        <f>IF('Contractors'!B632="","",'Contractors'!B632)</f>
        <v/>
      </c>
      <c r="AA632" s="77">
        <f>IF(Z632="","",'Contractors'!K632)</f>
        <v/>
      </c>
      <c r="AB632" s="77">
        <f>IF(Z632="","",SUMIFS($L$6:$L$1005,$B$6:$B$1005,Z632))</f>
        <v/>
      </c>
      <c r="AC632" s="77">
        <f>IF(Z632="","",SUMIFS($N$6:$N$1005,$B$6:$B$1005,Z632))</f>
        <v/>
      </c>
      <c r="AD632" s="76">
        <f>IF(Z632="","",AA632-AC632)</f>
        <v/>
      </c>
      <c r="AE632" s="117">
        <f>IF(Z632="","",IFERROR(1/SUMPRODUCT(MAX(($B$6:$B$1005=Z632)*$T$6:$T$1005)),""))</f>
        <v/>
      </c>
      <c r="AF632" s="77">
        <f>IF(AE632="","",SUMIFS($S$6:$S$1005,$B$6:$B$1005,Z632,$I$6:$I$1005,AE632))</f>
        <v/>
      </c>
    </row>
    <row r="633" ht="20" customHeight="1">
      <c r="B633" s="72" t="n"/>
      <c r="C633" s="72" t="n"/>
      <c r="D633" s="72" t="n"/>
      <c r="E633" s="72" t="n"/>
      <c r="F633" s="110" t="n"/>
      <c r="G633" s="73" t="n"/>
      <c r="H633" s="75">
        <f>IF(B633="","",IF(G633&lt;&gt;"",G633,IF(F633&lt;&gt;"",F633*IFERROR(INDEX('Contractors'!$I$6:$I$1005,MATCH(B633,'Contractors'!$B$6:$B$1005,0)),0),"")))</f>
        <v/>
      </c>
      <c r="I633" s="109" t="n"/>
      <c r="J633" s="72" t="n"/>
      <c r="K633" s="109" t="n"/>
      <c r="L633" s="73" t="n"/>
      <c r="M633" s="109" t="n"/>
      <c r="N633" s="73" t="n"/>
      <c r="O633" s="107">
        <f>IF(B633="","",IF(M633&lt;&gt;"","Paid",IF(AND(I633&lt;&gt;"",I633&lt;AsOf),"OVERDUE",IF(OR(K633&lt;&gt;"",L633&lt;&gt;""),"Invoiced","Scheduled"))))</f>
        <v/>
      </c>
      <c r="P633" s="115">
        <f>IF(B633="","",IF(E633&lt;&gt;"",E633,IFERROR(INDEX('Contractors'!$D$6:$D$1005,MATCH(B633,'Contractors'!$B$6:$B$1005,0)),"")))</f>
        <v/>
      </c>
      <c r="Q633" s="79">
        <f>IF(B633="","",IF(D633&lt;&gt;"",D633,IFERROR(INDEX('Contractors'!$E$6:$E$1005,MATCH(B633,'Contractors'!$B$6:$B$1005,0)),"")))</f>
        <v/>
      </c>
      <c r="R633" s="79">
        <f>IF(O633="","",IF(O633="OVERDUE",2,IF(O633="Paid",0,IF(AND(I633&lt;&gt;"",I633&lt;=AsOf+AlertDays),1,0))))</f>
        <v/>
      </c>
      <c r="S633" s="79">
        <f>IF(AND(B633&lt;&gt;"",M633="",I633&lt;&gt;""),IF(L633&lt;&gt;"",L633,IF(H633="",0,H633)),0)</f>
        <v/>
      </c>
      <c r="T633" s="79">
        <f>IF(AND(B633&lt;&gt;"",M633="",I633&lt;&gt;""),1/I633,0)</f>
        <v/>
      </c>
      <c r="U633" s="112">
        <f>IF(AND(B633&lt;&gt;"",M633="",I633&lt;&gt;""),I633,"")</f>
        <v/>
      </c>
      <c r="V633" s="79">
        <f>IF(U633="","",IF(U633&lt;AsOf,1,IF(U633&lt;=AsOf+AlertDays,2,IF(U633&lt;=AsOf+2*AlertDays,3,""))))</f>
        <v/>
      </c>
      <c r="W633" s="79">
        <f>IF(V633="","",IF(O633="OVERDUE","Overdue payment: ","Payment due: ")&amp;B633&amp;" — "&amp;C633&amp;" ("&amp;CurSym&amp;" "&amp;FIXED(S633,0)&amp;")")</f>
        <v/>
      </c>
      <c r="Z633" s="116">
        <f>IF('Contractors'!B633="","",'Contractors'!B633)</f>
        <v/>
      </c>
      <c r="AA633" s="77">
        <f>IF(Z633="","",'Contractors'!K633)</f>
        <v/>
      </c>
      <c r="AB633" s="77">
        <f>IF(Z633="","",SUMIFS($L$6:$L$1005,$B$6:$B$1005,Z633))</f>
        <v/>
      </c>
      <c r="AC633" s="77">
        <f>IF(Z633="","",SUMIFS($N$6:$N$1005,$B$6:$B$1005,Z633))</f>
        <v/>
      </c>
      <c r="AD633" s="76">
        <f>IF(Z633="","",AA633-AC633)</f>
        <v/>
      </c>
      <c r="AE633" s="117">
        <f>IF(Z633="","",IFERROR(1/SUMPRODUCT(MAX(($B$6:$B$1005=Z633)*$T$6:$T$1005)),""))</f>
        <v/>
      </c>
      <c r="AF633" s="77">
        <f>IF(AE633="","",SUMIFS($S$6:$S$1005,$B$6:$B$1005,Z633,$I$6:$I$1005,AE633))</f>
        <v/>
      </c>
    </row>
    <row r="634" ht="20" customHeight="1">
      <c r="B634" s="72" t="n"/>
      <c r="C634" s="72" t="n"/>
      <c r="D634" s="72" t="n"/>
      <c r="E634" s="72" t="n"/>
      <c r="F634" s="110" t="n"/>
      <c r="G634" s="73" t="n"/>
      <c r="H634" s="75">
        <f>IF(B634="","",IF(G634&lt;&gt;"",G634,IF(F634&lt;&gt;"",F634*IFERROR(INDEX('Contractors'!$I$6:$I$1005,MATCH(B634,'Contractors'!$B$6:$B$1005,0)),0),"")))</f>
        <v/>
      </c>
      <c r="I634" s="109" t="n"/>
      <c r="J634" s="72" t="n"/>
      <c r="K634" s="109" t="n"/>
      <c r="L634" s="73" t="n"/>
      <c r="M634" s="109" t="n"/>
      <c r="N634" s="73" t="n"/>
      <c r="O634" s="107">
        <f>IF(B634="","",IF(M634&lt;&gt;"","Paid",IF(AND(I634&lt;&gt;"",I634&lt;AsOf),"OVERDUE",IF(OR(K634&lt;&gt;"",L634&lt;&gt;""),"Invoiced","Scheduled"))))</f>
        <v/>
      </c>
      <c r="P634" s="115">
        <f>IF(B634="","",IF(E634&lt;&gt;"",E634,IFERROR(INDEX('Contractors'!$D$6:$D$1005,MATCH(B634,'Contractors'!$B$6:$B$1005,0)),"")))</f>
        <v/>
      </c>
      <c r="Q634" s="79">
        <f>IF(B634="","",IF(D634&lt;&gt;"",D634,IFERROR(INDEX('Contractors'!$E$6:$E$1005,MATCH(B634,'Contractors'!$B$6:$B$1005,0)),"")))</f>
        <v/>
      </c>
      <c r="R634" s="79">
        <f>IF(O634="","",IF(O634="OVERDUE",2,IF(O634="Paid",0,IF(AND(I634&lt;&gt;"",I634&lt;=AsOf+AlertDays),1,0))))</f>
        <v/>
      </c>
      <c r="S634" s="79">
        <f>IF(AND(B634&lt;&gt;"",M634="",I634&lt;&gt;""),IF(L634&lt;&gt;"",L634,IF(H634="",0,H634)),0)</f>
        <v/>
      </c>
      <c r="T634" s="79">
        <f>IF(AND(B634&lt;&gt;"",M634="",I634&lt;&gt;""),1/I634,0)</f>
        <v/>
      </c>
      <c r="U634" s="112">
        <f>IF(AND(B634&lt;&gt;"",M634="",I634&lt;&gt;""),I634,"")</f>
        <v/>
      </c>
      <c r="V634" s="79">
        <f>IF(U634="","",IF(U634&lt;AsOf,1,IF(U634&lt;=AsOf+AlertDays,2,IF(U634&lt;=AsOf+2*AlertDays,3,""))))</f>
        <v/>
      </c>
      <c r="W634" s="79">
        <f>IF(V634="","",IF(O634="OVERDUE","Overdue payment: ","Payment due: ")&amp;B634&amp;" — "&amp;C634&amp;" ("&amp;CurSym&amp;" "&amp;FIXED(S634,0)&amp;")")</f>
        <v/>
      </c>
      <c r="Z634" s="116">
        <f>IF('Contractors'!B634="","",'Contractors'!B634)</f>
        <v/>
      </c>
      <c r="AA634" s="77">
        <f>IF(Z634="","",'Contractors'!K634)</f>
        <v/>
      </c>
      <c r="AB634" s="77">
        <f>IF(Z634="","",SUMIFS($L$6:$L$1005,$B$6:$B$1005,Z634))</f>
        <v/>
      </c>
      <c r="AC634" s="77">
        <f>IF(Z634="","",SUMIFS($N$6:$N$1005,$B$6:$B$1005,Z634))</f>
        <v/>
      </c>
      <c r="AD634" s="76">
        <f>IF(Z634="","",AA634-AC634)</f>
        <v/>
      </c>
      <c r="AE634" s="117">
        <f>IF(Z634="","",IFERROR(1/SUMPRODUCT(MAX(($B$6:$B$1005=Z634)*$T$6:$T$1005)),""))</f>
        <v/>
      </c>
      <c r="AF634" s="77">
        <f>IF(AE634="","",SUMIFS($S$6:$S$1005,$B$6:$B$1005,Z634,$I$6:$I$1005,AE634))</f>
        <v/>
      </c>
    </row>
    <row r="635" ht="20" customHeight="1">
      <c r="B635" s="72" t="n"/>
      <c r="C635" s="72" t="n"/>
      <c r="D635" s="72" t="n"/>
      <c r="E635" s="72" t="n"/>
      <c r="F635" s="110" t="n"/>
      <c r="G635" s="73" t="n"/>
      <c r="H635" s="75">
        <f>IF(B635="","",IF(G635&lt;&gt;"",G635,IF(F635&lt;&gt;"",F635*IFERROR(INDEX('Contractors'!$I$6:$I$1005,MATCH(B635,'Contractors'!$B$6:$B$1005,0)),0),"")))</f>
        <v/>
      </c>
      <c r="I635" s="109" t="n"/>
      <c r="J635" s="72" t="n"/>
      <c r="K635" s="109" t="n"/>
      <c r="L635" s="73" t="n"/>
      <c r="M635" s="109" t="n"/>
      <c r="N635" s="73" t="n"/>
      <c r="O635" s="107">
        <f>IF(B635="","",IF(M635&lt;&gt;"","Paid",IF(AND(I635&lt;&gt;"",I635&lt;AsOf),"OVERDUE",IF(OR(K635&lt;&gt;"",L635&lt;&gt;""),"Invoiced","Scheduled"))))</f>
        <v/>
      </c>
      <c r="P635" s="115">
        <f>IF(B635="","",IF(E635&lt;&gt;"",E635,IFERROR(INDEX('Contractors'!$D$6:$D$1005,MATCH(B635,'Contractors'!$B$6:$B$1005,0)),"")))</f>
        <v/>
      </c>
      <c r="Q635" s="79">
        <f>IF(B635="","",IF(D635&lt;&gt;"",D635,IFERROR(INDEX('Contractors'!$E$6:$E$1005,MATCH(B635,'Contractors'!$B$6:$B$1005,0)),"")))</f>
        <v/>
      </c>
      <c r="R635" s="79">
        <f>IF(O635="","",IF(O635="OVERDUE",2,IF(O635="Paid",0,IF(AND(I635&lt;&gt;"",I635&lt;=AsOf+AlertDays),1,0))))</f>
        <v/>
      </c>
      <c r="S635" s="79">
        <f>IF(AND(B635&lt;&gt;"",M635="",I635&lt;&gt;""),IF(L635&lt;&gt;"",L635,IF(H635="",0,H635)),0)</f>
        <v/>
      </c>
      <c r="T635" s="79">
        <f>IF(AND(B635&lt;&gt;"",M635="",I635&lt;&gt;""),1/I635,0)</f>
        <v/>
      </c>
      <c r="U635" s="112">
        <f>IF(AND(B635&lt;&gt;"",M635="",I635&lt;&gt;""),I635,"")</f>
        <v/>
      </c>
      <c r="V635" s="79">
        <f>IF(U635="","",IF(U635&lt;AsOf,1,IF(U635&lt;=AsOf+AlertDays,2,IF(U635&lt;=AsOf+2*AlertDays,3,""))))</f>
        <v/>
      </c>
      <c r="W635" s="79">
        <f>IF(V635="","",IF(O635="OVERDUE","Overdue payment: ","Payment due: ")&amp;B635&amp;" — "&amp;C635&amp;" ("&amp;CurSym&amp;" "&amp;FIXED(S635,0)&amp;")")</f>
        <v/>
      </c>
      <c r="Z635" s="116">
        <f>IF('Contractors'!B635="","",'Contractors'!B635)</f>
        <v/>
      </c>
      <c r="AA635" s="77">
        <f>IF(Z635="","",'Contractors'!K635)</f>
        <v/>
      </c>
      <c r="AB635" s="77">
        <f>IF(Z635="","",SUMIFS($L$6:$L$1005,$B$6:$B$1005,Z635))</f>
        <v/>
      </c>
      <c r="AC635" s="77">
        <f>IF(Z635="","",SUMIFS($N$6:$N$1005,$B$6:$B$1005,Z635))</f>
        <v/>
      </c>
      <c r="AD635" s="76">
        <f>IF(Z635="","",AA635-AC635)</f>
        <v/>
      </c>
      <c r="AE635" s="117">
        <f>IF(Z635="","",IFERROR(1/SUMPRODUCT(MAX(($B$6:$B$1005=Z635)*$T$6:$T$1005)),""))</f>
        <v/>
      </c>
      <c r="AF635" s="77">
        <f>IF(AE635="","",SUMIFS($S$6:$S$1005,$B$6:$B$1005,Z635,$I$6:$I$1005,AE635))</f>
        <v/>
      </c>
    </row>
    <row r="636" ht="20" customHeight="1">
      <c r="B636" s="72" t="n"/>
      <c r="C636" s="72" t="n"/>
      <c r="D636" s="72" t="n"/>
      <c r="E636" s="72" t="n"/>
      <c r="F636" s="110" t="n"/>
      <c r="G636" s="73" t="n"/>
      <c r="H636" s="75">
        <f>IF(B636="","",IF(G636&lt;&gt;"",G636,IF(F636&lt;&gt;"",F636*IFERROR(INDEX('Contractors'!$I$6:$I$1005,MATCH(B636,'Contractors'!$B$6:$B$1005,0)),0),"")))</f>
        <v/>
      </c>
      <c r="I636" s="109" t="n"/>
      <c r="J636" s="72" t="n"/>
      <c r="K636" s="109" t="n"/>
      <c r="L636" s="73" t="n"/>
      <c r="M636" s="109" t="n"/>
      <c r="N636" s="73" t="n"/>
      <c r="O636" s="107">
        <f>IF(B636="","",IF(M636&lt;&gt;"","Paid",IF(AND(I636&lt;&gt;"",I636&lt;AsOf),"OVERDUE",IF(OR(K636&lt;&gt;"",L636&lt;&gt;""),"Invoiced","Scheduled"))))</f>
        <v/>
      </c>
      <c r="P636" s="115">
        <f>IF(B636="","",IF(E636&lt;&gt;"",E636,IFERROR(INDEX('Contractors'!$D$6:$D$1005,MATCH(B636,'Contractors'!$B$6:$B$1005,0)),"")))</f>
        <v/>
      </c>
      <c r="Q636" s="79">
        <f>IF(B636="","",IF(D636&lt;&gt;"",D636,IFERROR(INDEX('Contractors'!$E$6:$E$1005,MATCH(B636,'Contractors'!$B$6:$B$1005,0)),"")))</f>
        <v/>
      </c>
      <c r="R636" s="79">
        <f>IF(O636="","",IF(O636="OVERDUE",2,IF(O636="Paid",0,IF(AND(I636&lt;&gt;"",I636&lt;=AsOf+AlertDays),1,0))))</f>
        <v/>
      </c>
      <c r="S636" s="79">
        <f>IF(AND(B636&lt;&gt;"",M636="",I636&lt;&gt;""),IF(L636&lt;&gt;"",L636,IF(H636="",0,H636)),0)</f>
        <v/>
      </c>
      <c r="T636" s="79">
        <f>IF(AND(B636&lt;&gt;"",M636="",I636&lt;&gt;""),1/I636,0)</f>
        <v/>
      </c>
      <c r="U636" s="112">
        <f>IF(AND(B636&lt;&gt;"",M636="",I636&lt;&gt;""),I636,"")</f>
        <v/>
      </c>
      <c r="V636" s="79">
        <f>IF(U636="","",IF(U636&lt;AsOf,1,IF(U636&lt;=AsOf+AlertDays,2,IF(U636&lt;=AsOf+2*AlertDays,3,""))))</f>
        <v/>
      </c>
      <c r="W636" s="79">
        <f>IF(V636="","",IF(O636="OVERDUE","Overdue payment: ","Payment due: ")&amp;B636&amp;" — "&amp;C636&amp;" ("&amp;CurSym&amp;" "&amp;FIXED(S636,0)&amp;")")</f>
        <v/>
      </c>
      <c r="Z636" s="116">
        <f>IF('Contractors'!B636="","",'Contractors'!B636)</f>
        <v/>
      </c>
      <c r="AA636" s="77">
        <f>IF(Z636="","",'Contractors'!K636)</f>
        <v/>
      </c>
      <c r="AB636" s="77">
        <f>IF(Z636="","",SUMIFS($L$6:$L$1005,$B$6:$B$1005,Z636))</f>
        <v/>
      </c>
      <c r="AC636" s="77">
        <f>IF(Z636="","",SUMIFS($N$6:$N$1005,$B$6:$B$1005,Z636))</f>
        <v/>
      </c>
      <c r="AD636" s="76">
        <f>IF(Z636="","",AA636-AC636)</f>
        <v/>
      </c>
      <c r="AE636" s="117">
        <f>IF(Z636="","",IFERROR(1/SUMPRODUCT(MAX(($B$6:$B$1005=Z636)*$T$6:$T$1005)),""))</f>
        <v/>
      </c>
      <c r="AF636" s="77">
        <f>IF(AE636="","",SUMIFS($S$6:$S$1005,$B$6:$B$1005,Z636,$I$6:$I$1005,AE636))</f>
        <v/>
      </c>
    </row>
    <row r="637" ht="20" customHeight="1">
      <c r="B637" s="72" t="n"/>
      <c r="C637" s="72" t="n"/>
      <c r="D637" s="72" t="n"/>
      <c r="E637" s="72" t="n"/>
      <c r="F637" s="110" t="n"/>
      <c r="G637" s="73" t="n"/>
      <c r="H637" s="75">
        <f>IF(B637="","",IF(G637&lt;&gt;"",G637,IF(F637&lt;&gt;"",F637*IFERROR(INDEX('Contractors'!$I$6:$I$1005,MATCH(B637,'Contractors'!$B$6:$B$1005,0)),0),"")))</f>
        <v/>
      </c>
      <c r="I637" s="109" t="n"/>
      <c r="J637" s="72" t="n"/>
      <c r="K637" s="109" t="n"/>
      <c r="L637" s="73" t="n"/>
      <c r="M637" s="109" t="n"/>
      <c r="N637" s="73" t="n"/>
      <c r="O637" s="107">
        <f>IF(B637="","",IF(M637&lt;&gt;"","Paid",IF(AND(I637&lt;&gt;"",I637&lt;AsOf),"OVERDUE",IF(OR(K637&lt;&gt;"",L637&lt;&gt;""),"Invoiced","Scheduled"))))</f>
        <v/>
      </c>
      <c r="P637" s="115">
        <f>IF(B637="","",IF(E637&lt;&gt;"",E637,IFERROR(INDEX('Contractors'!$D$6:$D$1005,MATCH(B637,'Contractors'!$B$6:$B$1005,0)),"")))</f>
        <v/>
      </c>
      <c r="Q637" s="79">
        <f>IF(B637="","",IF(D637&lt;&gt;"",D637,IFERROR(INDEX('Contractors'!$E$6:$E$1005,MATCH(B637,'Contractors'!$B$6:$B$1005,0)),"")))</f>
        <v/>
      </c>
      <c r="R637" s="79">
        <f>IF(O637="","",IF(O637="OVERDUE",2,IF(O637="Paid",0,IF(AND(I637&lt;&gt;"",I637&lt;=AsOf+AlertDays),1,0))))</f>
        <v/>
      </c>
      <c r="S637" s="79">
        <f>IF(AND(B637&lt;&gt;"",M637="",I637&lt;&gt;""),IF(L637&lt;&gt;"",L637,IF(H637="",0,H637)),0)</f>
        <v/>
      </c>
      <c r="T637" s="79">
        <f>IF(AND(B637&lt;&gt;"",M637="",I637&lt;&gt;""),1/I637,0)</f>
        <v/>
      </c>
      <c r="U637" s="112">
        <f>IF(AND(B637&lt;&gt;"",M637="",I637&lt;&gt;""),I637,"")</f>
        <v/>
      </c>
      <c r="V637" s="79">
        <f>IF(U637="","",IF(U637&lt;AsOf,1,IF(U637&lt;=AsOf+AlertDays,2,IF(U637&lt;=AsOf+2*AlertDays,3,""))))</f>
        <v/>
      </c>
      <c r="W637" s="79">
        <f>IF(V637="","",IF(O637="OVERDUE","Overdue payment: ","Payment due: ")&amp;B637&amp;" — "&amp;C637&amp;" ("&amp;CurSym&amp;" "&amp;FIXED(S637,0)&amp;")")</f>
        <v/>
      </c>
      <c r="Z637" s="116">
        <f>IF('Contractors'!B637="","",'Contractors'!B637)</f>
        <v/>
      </c>
      <c r="AA637" s="77">
        <f>IF(Z637="","",'Contractors'!K637)</f>
        <v/>
      </c>
      <c r="AB637" s="77">
        <f>IF(Z637="","",SUMIFS($L$6:$L$1005,$B$6:$B$1005,Z637))</f>
        <v/>
      </c>
      <c r="AC637" s="77">
        <f>IF(Z637="","",SUMIFS($N$6:$N$1005,$B$6:$B$1005,Z637))</f>
        <v/>
      </c>
      <c r="AD637" s="76">
        <f>IF(Z637="","",AA637-AC637)</f>
        <v/>
      </c>
      <c r="AE637" s="117">
        <f>IF(Z637="","",IFERROR(1/SUMPRODUCT(MAX(($B$6:$B$1005=Z637)*$T$6:$T$1005)),""))</f>
        <v/>
      </c>
      <c r="AF637" s="77">
        <f>IF(AE637="","",SUMIFS($S$6:$S$1005,$B$6:$B$1005,Z637,$I$6:$I$1005,AE637))</f>
        <v/>
      </c>
    </row>
    <row r="638" ht="20" customHeight="1">
      <c r="B638" s="72" t="n"/>
      <c r="C638" s="72" t="n"/>
      <c r="D638" s="72" t="n"/>
      <c r="E638" s="72" t="n"/>
      <c r="F638" s="110" t="n"/>
      <c r="G638" s="73" t="n"/>
      <c r="H638" s="75">
        <f>IF(B638="","",IF(G638&lt;&gt;"",G638,IF(F638&lt;&gt;"",F638*IFERROR(INDEX('Contractors'!$I$6:$I$1005,MATCH(B638,'Contractors'!$B$6:$B$1005,0)),0),"")))</f>
        <v/>
      </c>
      <c r="I638" s="109" t="n"/>
      <c r="J638" s="72" t="n"/>
      <c r="K638" s="109" t="n"/>
      <c r="L638" s="73" t="n"/>
      <c r="M638" s="109" t="n"/>
      <c r="N638" s="73" t="n"/>
      <c r="O638" s="107">
        <f>IF(B638="","",IF(M638&lt;&gt;"","Paid",IF(AND(I638&lt;&gt;"",I638&lt;AsOf),"OVERDUE",IF(OR(K638&lt;&gt;"",L638&lt;&gt;""),"Invoiced","Scheduled"))))</f>
        <v/>
      </c>
      <c r="P638" s="115">
        <f>IF(B638="","",IF(E638&lt;&gt;"",E638,IFERROR(INDEX('Contractors'!$D$6:$D$1005,MATCH(B638,'Contractors'!$B$6:$B$1005,0)),"")))</f>
        <v/>
      </c>
      <c r="Q638" s="79">
        <f>IF(B638="","",IF(D638&lt;&gt;"",D638,IFERROR(INDEX('Contractors'!$E$6:$E$1005,MATCH(B638,'Contractors'!$B$6:$B$1005,0)),"")))</f>
        <v/>
      </c>
      <c r="R638" s="79">
        <f>IF(O638="","",IF(O638="OVERDUE",2,IF(O638="Paid",0,IF(AND(I638&lt;&gt;"",I638&lt;=AsOf+AlertDays),1,0))))</f>
        <v/>
      </c>
      <c r="S638" s="79">
        <f>IF(AND(B638&lt;&gt;"",M638="",I638&lt;&gt;""),IF(L638&lt;&gt;"",L638,IF(H638="",0,H638)),0)</f>
        <v/>
      </c>
      <c r="T638" s="79">
        <f>IF(AND(B638&lt;&gt;"",M638="",I638&lt;&gt;""),1/I638,0)</f>
        <v/>
      </c>
      <c r="U638" s="112">
        <f>IF(AND(B638&lt;&gt;"",M638="",I638&lt;&gt;""),I638,"")</f>
        <v/>
      </c>
      <c r="V638" s="79">
        <f>IF(U638="","",IF(U638&lt;AsOf,1,IF(U638&lt;=AsOf+AlertDays,2,IF(U638&lt;=AsOf+2*AlertDays,3,""))))</f>
        <v/>
      </c>
      <c r="W638" s="79">
        <f>IF(V638="","",IF(O638="OVERDUE","Overdue payment: ","Payment due: ")&amp;B638&amp;" — "&amp;C638&amp;" ("&amp;CurSym&amp;" "&amp;FIXED(S638,0)&amp;")")</f>
        <v/>
      </c>
      <c r="Z638" s="116">
        <f>IF('Contractors'!B638="","",'Contractors'!B638)</f>
        <v/>
      </c>
      <c r="AA638" s="77">
        <f>IF(Z638="","",'Contractors'!K638)</f>
        <v/>
      </c>
      <c r="AB638" s="77">
        <f>IF(Z638="","",SUMIFS($L$6:$L$1005,$B$6:$B$1005,Z638))</f>
        <v/>
      </c>
      <c r="AC638" s="77">
        <f>IF(Z638="","",SUMIFS($N$6:$N$1005,$B$6:$B$1005,Z638))</f>
        <v/>
      </c>
      <c r="AD638" s="76">
        <f>IF(Z638="","",AA638-AC638)</f>
        <v/>
      </c>
      <c r="AE638" s="117">
        <f>IF(Z638="","",IFERROR(1/SUMPRODUCT(MAX(($B$6:$B$1005=Z638)*$T$6:$T$1005)),""))</f>
        <v/>
      </c>
      <c r="AF638" s="77">
        <f>IF(AE638="","",SUMIFS($S$6:$S$1005,$B$6:$B$1005,Z638,$I$6:$I$1005,AE638))</f>
        <v/>
      </c>
    </row>
    <row r="639" ht="20" customHeight="1">
      <c r="B639" s="72" t="n"/>
      <c r="C639" s="72" t="n"/>
      <c r="D639" s="72" t="n"/>
      <c r="E639" s="72" t="n"/>
      <c r="F639" s="110" t="n"/>
      <c r="G639" s="73" t="n"/>
      <c r="H639" s="75">
        <f>IF(B639="","",IF(G639&lt;&gt;"",G639,IF(F639&lt;&gt;"",F639*IFERROR(INDEX('Contractors'!$I$6:$I$1005,MATCH(B639,'Contractors'!$B$6:$B$1005,0)),0),"")))</f>
        <v/>
      </c>
      <c r="I639" s="109" t="n"/>
      <c r="J639" s="72" t="n"/>
      <c r="K639" s="109" t="n"/>
      <c r="L639" s="73" t="n"/>
      <c r="M639" s="109" t="n"/>
      <c r="N639" s="73" t="n"/>
      <c r="O639" s="107">
        <f>IF(B639="","",IF(M639&lt;&gt;"","Paid",IF(AND(I639&lt;&gt;"",I639&lt;AsOf),"OVERDUE",IF(OR(K639&lt;&gt;"",L639&lt;&gt;""),"Invoiced","Scheduled"))))</f>
        <v/>
      </c>
      <c r="P639" s="115">
        <f>IF(B639="","",IF(E639&lt;&gt;"",E639,IFERROR(INDEX('Contractors'!$D$6:$D$1005,MATCH(B639,'Contractors'!$B$6:$B$1005,0)),"")))</f>
        <v/>
      </c>
      <c r="Q639" s="79">
        <f>IF(B639="","",IF(D639&lt;&gt;"",D639,IFERROR(INDEX('Contractors'!$E$6:$E$1005,MATCH(B639,'Contractors'!$B$6:$B$1005,0)),"")))</f>
        <v/>
      </c>
      <c r="R639" s="79">
        <f>IF(O639="","",IF(O639="OVERDUE",2,IF(O639="Paid",0,IF(AND(I639&lt;&gt;"",I639&lt;=AsOf+AlertDays),1,0))))</f>
        <v/>
      </c>
      <c r="S639" s="79">
        <f>IF(AND(B639&lt;&gt;"",M639="",I639&lt;&gt;""),IF(L639&lt;&gt;"",L639,IF(H639="",0,H639)),0)</f>
        <v/>
      </c>
      <c r="T639" s="79">
        <f>IF(AND(B639&lt;&gt;"",M639="",I639&lt;&gt;""),1/I639,0)</f>
        <v/>
      </c>
      <c r="U639" s="112">
        <f>IF(AND(B639&lt;&gt;"",M639="",I639&lt;&gt;""),I639,"")</f>
        <v/>
      </c>
      <c r="V639" s="79">
        <f>IF(U639="","",IF(U639&lt;AsOf,1,IF(U639&lt;=AsOf+AlertDays,2,IF(U639&lt;=AsOf+2*AlertDays,3,""))))</f>
        <v/>
      </c>
      <c r="W639" s="79">
        <f>IF(V639="","",IF(O639="OVERDUE","Overdue payment: ","Payment due: ")&amp;B639&amp;" — "&amp;C639&amp;" ("&amp;CurSym&amp;" "&amp;FIXED(S639,0)&amp;")")</f>
        <v/>
      </c>
      <c r="Z639" s="116">
        <f>IF('Contractors'!B639="","",'Contractors'!B639)</f>
        <v/>
      </c>
      <c r="AA639" s="77">
        <f>IF(Z639="","",'Contractors'!K639)</f>
        <v/>
      </c>
      <c r="AB639" s="77">
        <f>IF(Z639="","",SUMIFS($L$6:$L$1005,$B$6:$B$1005,Z639))</f>
        <v/>
      </c>
      <c r="AC639" s="77">
        <f>IF(Z639="","",SUMIFS($N$6:$N$1005,$B$6:$B$1005,Z639))</f>
        <v/>
      </c>
      <c r="AD639" s="76">
        <f>IF(Z639="","",AA639-AC639)</f>
        <v/>
      </c>
      <c r="AE639" s="117">
        <f>IF(Z639="","",IFERROR(1/SUMPRODUCT(MAX(($B$6:$B$1005=Z639)*$T$6:$T$1005)),""))</f>
        <v/>
      </c>
      <c r="AF639" s="77">
        <f>IF(AE639="","",SUMIFS($S$6:$S$1005,$B$6:$B$1005,Z639,$I$6:$I$1005,AE639))</f>
        <v/>
      </c>
    </row>
    <row r="640" ht="20" customHeight="1">
      <c r="B640" s="72" t="n"/>
      <c r="C640" s="72" t="n"/>
      <c r="D640" s="72" t="n"/>
      <c r="E640" s="72" t="n"/>
      <c r="F640" s="110" t="n"/>
      <c r="G640" s="73" t="n"/>
      <c r="H640" s="75">
        <f>IF(B640="","",IF(G640&lt;&gt;"",G640,IF(F640&lt;&gt;"",F640*IFERROR(INDEX('Contractors'!$I$6:$I$1005,MATCH(B640,'Contractors'!$B$6:$B$1005,0)),0),"")))</f>
        <v/>
      </c>
      <c r="I640" s="109" t="n"/>
      <c r="J640" s="72" t="n"/>
      <c r="K640" s="109" t="n"/>
      <c r="L640" s="73" t="n"/>
      <c r="M640" s="109" t="n"/>
      <c r="N640" s="73" t="n"/>
      <c r="O640" s="107">
        <f>IF(B640="","",IF(M640&lt;&gt;"","Paid",IF(AND(I640&lt;&gt;"",I640&lt;AsOf),"OVERDUE",IF(OR(K640&lt;&gt;"",L640&lt;&gt;""),"Invoiced","Scheduled"))))</f>
        <v/>
      </c>
      <c r="P640" s="115">
        <f>IF(B640="","",IF(E640&lt;&gt;"",E640,IFERROR(INDEX('Contractors'!$D$6:$D$1005,MATCH(B640,'Contractors'!$B$6:$B$1005,0)),"")))</f>
        <v/>
      </c>
      <c r="Q640" s="79">
        <f>IF(B640="","",IF(D640&lt;&gt;"",D640,IFERROR(INDEX('Contractors'!$E$6:$E$1005,MATCH(B640,'Contractors'!$B$6:$B$1005,0)),"")))</f>
        <v/>
      </c>
      <c r="R640" s="79">
        <f>IF(O640="","",IF(O640="OVERDUE",2,IF(O640="Paid",0,IF(AND(I640&lt;&gt;"",I640&lt;=AsOf+AlertDays),1,0))))</f>
        <v/>
      </c>
      <c r="S640" s="79">
        <f>IF(AND(B640&lt;&gt;"",M640="",I640&lt;&gt;""),IF(L640&lt;&gt;"",L640,IF(H640="",0,H640)),0)</f>
        <v/>
      </c>
      <c r="T640" s="79">
        <f>IF(AND(B640&lt;&gt;"",M640="",I640&lt;&gt;""),1/I640,0)</f>
        <v/>
      </c>
      <c r="U640" s="112">
        <f>IF(AND(B640&lt;&gt;"",M640="",I640&lt;&gt;""),I640,"")</f>
        <v/>
      </c>
      <c r="V640" s="79">
        <f>IF(U640="","",IF(U640&lt;AsOf,1,IF(U640&lt;=AsOf+AlertDays,2,IF(U640&lt;=AsOf+2*AlertDays,3,""))))</f>
        <v/>
      </c>
      <c r="W640" s="79">
        <f>IF(V640="","",IF(O640="OVERDUE","Overdue payment: ","Payment due: ")&amp;B640&amp;" — "&amp;C640&amp;" ("&amp;CurSym&amp;" "&amp;FIXED(S640,0)&amp;")")</f>
        <v/>
      </c>
      <c r="Z640" s="116">
        <f>IF('Contractors'!B640="","",'Contractors'!B640)</f>
        <v/>
      </c>
      <c r="AA640" s="77">
        <f>IF(Z640="","",'Contractors'!K640)</f>
        <v/>
      </c>
      <c r="AB640" s="77">
        <f>IF(Z640="","",SUMIFS($L$6:$L$1005,$B$6:$B$1005,Z640))</f>
        <v/>
      </c>
      <c r="AC640" s="77">
        <f>IF(Z640="","",SUMIFS($N$6:$N$1005,$B$6:$B$1005,Z640))</f>
        <v/>
      </c>
      <c r="AD640" s="76">
        <f>IF(Z640="","",AA640-AC640)</f>
        <v/>
      </c>
      <c r="AE640" s="117">
        <f>IF(Z640="","",IFERROR(1/SUMPRODUCT(MAX(($B$6:$B$1005=Z640)*$T$6:$T$1005)),""))</f>
        <v/>
      </c>
      <c r="AF640" s="77">
        <f>IF(AE640="","",SUMIFS($S$6:$S$1005,$B$6:$B$1005,Z640,$I$6:$I$1005,AE640))</f>
        <v/>
      </c>
    </row>
    <row r="641" ht="20" customHeight="1">
      <c r="B641" s="72" t="n"/>
      <c r="C641" s="72" t="n"/>
      <c r="D641" s="72" t="n"/>
      <c r="E641" s="72" t="n"/>
      <c r="F641" s="110" t="n"/>
      <c r="G641" s="73" t="n"/>
      <c r="H641" s="75">
        <f>IF(B641="","",IF(G641&lt;&gt;"",G641,IF(F641&lt;&gt;"",F641*IFERROR(INDEX('Contractors'!$I$6:$I$1005,MATCH(B641,'Contractors'!$B$6:$B$1005,0)),0),"")))</f>
        <v/>
      </c>
      <c r="I641" s="109" t="n"/>
      <c r="J641" s="72" t="n"/>
      <c r="K641" s="109" t="n"/>
      <c r="L641" s="73" t="n"/>
      <c r="M641" s="109" t="n"/>
      <c r="N641" s="73" t="n"/>
      <c r="O641" s="107">
        <f>IF(B641="","",IF(M641&lt;&gt;"","Paid",IF(AND(I641&lt;&gt;"",I641&lt;AsOf),"OVERDUE",IF(OR(K641&lt;&gt;"",L641&lt;&gt;""),"Invoiced","Scheduled"))))</f>
        <v/>
      </c>
      <c r="P641" s="115">
        <f>IF(B641="","",IF(E641&lt;&gt;"",E641,IFERROR(INDEX('Contractors'!$D$6:$D$1005,MATCH(B641,'Contractors'!$B$6:$B$1005,0)),"")))</f>
        <v/>
      </c>
      <c r="Q641" s="79">
        <f>IF(B641="","",IF(D641&lt;&gt;"",D641,IFERROR(INDEX('Contractors'!$E$6:$E$1005,MATCH(B641,'Contractors'!$B$6:$B$1005,0)),"")))</f>
        <v/>
      </c>
      <c r="R641" s="79">
        <f>IF(O641="","",IF(O641="OVERDUE",2,IF(O641="Paid",0,IF(AND(I641&lt;&gt;"",I641&lt;=AsOf+AlertDays),1,0))))</f>
        <v/>
      </c>
      <c r="S641" s="79">
        <f>IF(AND(B641&lt;&gt;"",M641="",I641&lt;&gt;""),IF(L641&lt;&gt;"",L641,IF(H641="",0,H641)),0)</f>
        <v/>
      </c>
      <c r="T641" s="79">
        <f>IF(AND(B641&lt;&gt;"",M641="",I641&lt;&gt;""),1/I641,0)</f>
        <v/>
      </c>
      <c r="U641" s="112">
        <f>IF(AND(B641&lt;&gt;"",M641="",I641&lt;&gt;""),I641,"")</f>
        <v/>
      </c>
      <c r="V641" s="79">
        <f>IF(U641="","",IF(U641&lt;AsOf,1,IF(U641&lt;=AsOf+AlertDays,2,IF(U641&lt;=AsOf+2*AlertDays,3,""))))</f>
        <v/>
      </c>
      <c r="W641" s="79">
        <f>IF(V641="","",IF(O641="OVERDUE","Overdue payment: ","Payment due: ")&amp;B641&amp;" — "&amp;C641&amp;" ("&amp;CurSym&amp;" "&amp;FIXED(S641,0)&amp;")")</f>
        <v/>
      </c>
      <c r="Z641" s="116">
        <f>IF('Contractors'!B641="","",'Contractors'!B641)</f>
        <v/>
      </c>
      <c r="AA641" s="77">
        <f>IF(Z641="","",'Contractors'!K641)</f>
        <v/>
      </c>
      <c r="AB641" s="77">
        <f>IF(Z641="","",SUMIFS($L$6:$L$1005,$B$6:$B$1005,Z641))</f>
        <v/>
      </c>
      <c r="AC641" s="77">
        <f>IF(Z641="","",SUMIFS($N$6:$N$1005,$B$6:$B$1005,Z641))</f>
        <v/>
      </c>
      <c r="AD641" s="76">
        <f>IF(Z641="","",AA641-AC641)</f>
        <v/>
      </c>
      <c r="AE641" s="117">
        <f>IF(Z641="","",IFERROR(1/SUMPRODUCT(MAX(($B$6:$B$1005=Z641)*$T$6:$T$1005)),""))</f>
        <v/>
      </c>
      <c r="AF641" s="77">
        <f>IF(AE641="","",SUMIFS($S$6:$S$1005,$B$6:$B$1005,Z641,$I$6:$I$1005,AE641))</f>
        <v/>
      </c>
    </row>
    <row r="642" ht="20" customHeight="1">
      <c r="B642" s="72" t="n"/>
      <c r="C642" s="72" t="n"/>
      <c r="D642" s="72" t="n"/>
      <c r="E642" s="72" t="n"/>
      <c r="F642" s="110" t="n"/>
      <c r="G642" s="73" t="n"/>
      <c r="H642" s="75">
        <f>IF(B642="","",IF(G642&lt;&gt;"",G642,IF(F642&lt;&gt;"",F642*IFERROR(INDEX('Contractors'!$I$6:$I$1005,MATCH(B642,'Contractors'!$B$6:$B$1005,0)),0),"")))</f>
        <v/>
      </c>
      <c r="I642" s="109" t="n"/>
      <c r="J642" s="72" t="n"/>
      <c r="K642" s="109" t="n"/>
      <c r="L642" s="73" t="n"/>
      <c r="M642" s="109" t="n"/>
      <c r="N642" s="73" t="n"/>
      <c r="O642" s="107">
        <f>IF(B642="","",IF(M642&lt;&gt;"","Paid",IF(AND(I642&lt;&gt;"",I642&lt;AsOf),"OVERDUE",IF(OR(K642&lt;&gt;"",L642&lt;&gt;""),"Invoiced","Scheduled"))))</f>
        <v/>
      </c>
      <c r="P642" s="115">
        <f>IF(B642="","",IF(E642&lt;&gt;"",E642,IFERROR(INDEX('Contractors'!$D$6:$D$1005,MATCH(B642,'Contractors'!$B$6:$B$1005,0)),"")))</f>
        <v/>
      </c>
      <c r="Q642" s="79">
        <f>IF(B642="","",IF(D642&lt;&gt;"",D642,IFERROR(INDEX('Contractors'!$E$6:$E$1005,MATCH(B642,'Contractors'!$B$6:$B$1005,0)),"")))</f>
        <v/>
      </c>
      <c r="R642" s="79">
        <f>IF(O642="","",IF(O642="OVERDUE",2,IF(O642="Paid",0,IF(AND(I642&lt;&gt;"",I642&lt;=AsOf+AlertDays),1,0))))</f>
        <v/>
      </c>
      <c r="S642" s="79">
        <f>IF(AND(B642&lt;&gt;"",M642="",I642&lt;&gt;""),IF(L642&lt;&gt;"",L642,IF(H642="",0,H642)),0)</f>
        <v/>
      </c>
      <c r="T642" s="79">
        <f>IF(AND(B642&lt;&gt;"",M642="",I642&lt;&gt;""),1/I642,0)</f>
        <v/>
      </c>
      <c r="U642" s="112">
        <f>IF(AND(B642&lt;&gt;"",M642="",I642&lt;&gt;""),I642,"")</f>
        <v/>
      </c>
      <c r="V642" s="79">
        <f>IF(U642="","",IF(U642&lt;AsOf,1,IF(U642&lt;=AsOf+AlertDays,2,IF(U642&lt;=AsOf+2*AlertDays,3,""))))</f>
        <v/>
      </c>
      <c r="W642" s="79">
        <f>IF(V642="","",IF(O642="OVERDUE","Overdue payment: ","Payment due: ")&amp;B642&amp;" — "&amp;C642&amp;" ("&amp;CurSym&amp;" "&amp;FIXED(S642,0)&amp;")")</f>
        <v/>
      </c>
      <c r="Z642" s="116">
        <f>IF('Contractors'!B642="","",'Contractors'!B642)</f>
        <v/>
      </c>
      <c r="AA642" s="77">
        <f>IF(Z642="","",'Contractors'!K642)</f>
        <v/>
      </c>
      <c r="AB642" s="77">
        <f>IF(Z642="","",SUMIFS($L$6:$L$1005,$B$6:$B$1005,Z642))</f>
        <v/>
      </c>
      <c r="AC642" s="77">
        <f>IF(Z642="","",SUMIFS($N$6:$N$1005,$B$6:$B$1005,Z642))</f>
        <v/>
      </c>
      <c r="AD642" s="76">
        <f>IF(Z642="","",AA642-AC642)</f>
        <v/>
      </c>
      <c r="AE642" s="117">
        <f>IF(Z642="","",IFERROR(1/SUMPRODUCT(MAX(($B$6:$B$1005=Z642)*$T$6:$T$1005)),""))</f>
        <v/>
      </c>
      <c r="AF642" s="77">
        <f>IF(AE642="","",SUMIFS($S$6:$S$1005,$B$6:$B$1005,Z642,$I$6:$I$1005,AE642))</f>
        <v/>
      </c>
    </row>
    <row r="643" ht="20" customHeight="1">
      <c r="B643" s="72" t="n"/>
      <c r="C643" s="72" t="n"/>
      <c r="D643" s="72" t="n"/>
      <c r="E643" s="72" t="n"/>
      <c r="F643" s="110" t="n"/>
      <c r="G643" s="73" t="n"/>
      <c r="H643" s="75">
        <f>IF(B643="","",IF(G643&lt;&gt;"",G643,IF(F643&lt;&gt;"",F643*IFERROR(INDEX('Contractors'!$I$6:$I$1005,MATCH(B643,'Contractors'!$B$6:$B$1005,0)),0),"")))</f>
        <v/>
      </c>
      <c r="I643" s="109" t="n"/>
      <c r="J643" s="72" t="n"/>
      <c r="K643" s="109" t="n"/>
      <c r="L643" s="73" t="n"/>
      <c r="M643" s="109" t="n"/>
      <c r="N643" s="73" t="n"/>
      <c r="O643" s="107">
        <f>IF(B643="","",IF(M643&lt;&gt;"","Paid",IF(AND(I643&lt;&gt;"",I643&lt;AsOf),"OVERDUE",IF(OR(K643&lt;&gt;"",L643&lt;&gt;""),"Invoiced","Scheduled"))))</f>
        <v/>
      </c>
      <c r="P643" s="115">
        <f>IF(B643="","",IF(E643&lt;&gt;"",E643,IFERROR(INDEX('Contractors'!$D$6:$D$1005,MATCH(B643,'Contractors'!$B$6:$B$1005,0)),"")))</f>
        <v/>
      </c>
      <c r="Q643" s="79">
        <f>IF(B643="","",IF(D643&lt;&gt;"",D643,IFERROR(INDEX('Contractors'!$E$6:$E$1005,MATCH(B643,'Contractors'!$B$6:$B$1005,0)),"")))</f>
        <v/>
      </c>
      <c r="R643" s="79">
        <f>IF(O643="","",IF(O643="OVERDUE",2,IF(O643="Paid",0,IF(AND(I643&lt;&gt;"",I643&lt;=AsOf+AlertDays),1,0))))</f>
        <v/>
      </c>
      <c r="S643" s="79">
        <f>IF(AND(B643&lt;&gt;"",M643="",I643&lt;&gt;""),IF(L643&lt;&gt;"",L643,IF(H643="",0,H643)),0)</f>
        <v/>
      </c>
      <c r="T643" s="79">
        <f>IF(AND(B643&lt;&gt;"",M643="",I643&lt;&gt;""),1/I643,0)</f>
        <v/>
      </c>
      <c r="U643" s="112">
        <f>IF(AND(B643&lt;&gt;"",M643="",I643&lt;&gt;""),I643,"")</f>
        <v/>
      </c>
      <c r="V643" s="79">
        <f>IF(U643="","",IF(U643&lt;AsOf,1,IF(U643&lt;=AsOf+AlertDays,2,IF(U643&lt;=AsOf+2*AlertDays,3,""))))</f>
        <v/>
      </c>
      <c r="W643" s="79">
        <f>IF(V643="","",IF(O643="OVERDUE","Overdue payment: ","Payment due: ")&amp;B643&amp;" — "&amp;C643&amp;" ("&amp;CurSym&amp;" "&amp;FIXED(S643,0)&amp;")")</f>
        <v/>
      </c>
      <c r="Z643" s="116">
        <f>IF('Contractors'!B643="","",'Contractors'!B643)</f>
        <v/>
      </c>
      <c r="AA643" s="77">
        <f>IF(Z643="","",'Contractors'!K643)</f>
        <v/>
      </c>
      <c r="AB643" s="77">
        <f>IF(Z643="","",SUMIFS($L$6:$L$1005,$B$6:$B$1005,Z643))</f>
        <v/>
      </c>
      <c r="AC643" s="77">
        <f>IF(Z643="","",SUMIFS($N$6:$N$1005,$B$6:$B$1005,Z643))</f>
        <v/>
      </c>
      <c r="AD643" s="76">
        <f>IF(Z643="","",AA643-AC643)</f>
        <v/>
      </c>
      <c r="AE643" s="117">
        <f>IF(Z643="","",IFERROR(1/SUMPRODUCT(MAX(($B$6:$B$1005=Z643)*$T$6:$T$1005)),""))</f>
        <v/>
      </c>
      <c r="AF643" s="77">
        <f>IF(AE643="","",SUMIFS($S$6:$S$1005,$B$6:$B$1005,Z643,$I$6:$I$1005,AE643))</f>
        <v/>
      </c>
    </row>
    <row r="644" ht="20" customHeight="1">
      <c r="B644" s="72" t="n"/>
      <c r="C644" s="72" t="n"/>
      <c r="D644" s="72" t="n"/>
      <c r="E644" s="72" t="n"/>
      <c r="F644" s="110" t="n"/>
      <c r="G644" s="73" t="n"/>
      <c r="H644" s="75">
        <f>IF(B644="","",IF(G644&lt;&gt;"",G644,IF(F644&lt;&gt;"",F644*IFERROR(INDEX('Contractors'!$I$6:$I$1005,MATCH(B644,'Contractors'!$B$6:$B$1005,0)),0),"")))</f>
        <v/>
      </c>
      <c r="I644" s="109" t="n"/>
      <c r="J644" s="72" t="n"/>
      <c r="K644" s="109" t="n"/>
      <c r="L644" s="73" t="n"/>
      <c r="M644" s="109" t="n"/>
      <c r="N644" s="73" t="n"/>
      <c r="O644" s="107">
        <f>IF(B644="","",IF(M644&lt;&gt;"","Paid",IF(AND(I644&lt;&gt;"",I644&lt;AsOf),"OVERDUE",IF(OR(K644&lt;&gt;"",L644&lt;&gt;""),"Invoiced","Scheduled"))))</f>
        <v/>
      </c>
      <c r="P644" s="115">
        <f>IF(B644="","",IF(E644&lt;&gt;"",E644,IFERROR(INDEX('Contractors'!$D$6:$D$1005,MATCH(B644,'Contractors'!$B$6:$B$1005,0)),"")))</f>
        <v/>
      </c>
      <c r="Q644" s="79">
        <f>IF(B644="","",IF(D644&lt;&gt;"",D644,IFERROR(INDEX('Contractors'!$E$6:$E$1005,MATCH(B644,'Contractors'!$B$6:$B$1005,0)),"")))</f>
        <v/>
      </c>
      <c r="R644" s="79">
        <f>IF(O644="","",IF(O644="OVERDUE",2,IF(O644="Paid",0,IF(AND(I644&lt;&gt;"",I644&lt;=AsOf+AlertDays),1,0))))</f>
        <v/>
      </c>
      <c r="S644" s="79">
        <f>IF(AND(B644&lt;&gt;"",M644="",I644&lt;&gt;""),IF(L644&lt;&gt;"",L644,IF(H644="",0,H644)),0)</f>
        <v/>
      </c>
      <c r="T644" s="79">
        <f>IF(AND(B644&lt;&gt;"",M644="",I644&lt;&gt;""),1/I644,0)</f>
        <v/>
      </c>
      <c r="U644" s="112">
        <f>IF(AND(B644&lt;&gt;"",M644="",I644&lt;&gt;""),I644,"")</f>
        <v/>
      </c>
      <c r="V644" s="79">
        <f>IF(U644="","",IF(U644&lt;AsOf,1,IF(U644&lt;=AsOf+AlertDays,2,IF(U644&lt;=AsOf+2*AlertDays,3,""))))</f>
        <v/>
      </c>
      <c r="W644" s="79">
        <f>IF(V644="","",IF(O644="OVERDUE","Overdue payment: ","Payment due: ")&amp;B644&amp;" — "&amp;C644&amp;" ("&amp;CurSym&amp;" "&amp;FIXED(S644,0)&amp;")")</f>
        <v/>
      </c>
      <c r="Z644" s="116">
        <f>IF('Contractors'!B644="","",'Contractors'!B644)</f>
        <v/>
      </c>
      <c r="AA644" s="77">
        <f>IF(Z644="","",'Contractors'!K644)</f>
        <v/>
      </c>
      <c r="AB644" s="77">
        <f>IF(Z644="","",SUMIFS($L$6:$L$1005,$B$6:$B$1005,Z644))</f>
        <v/>
      </c>
      <c r="AC644" s="77">
        <f>IF(Z644="","",SUMIFS($N$6:$N$1005,$B$6:$B$1005,Z644))</f>
        <v/>
      </c>
      <c r="AD644" s="76">
        <f>IF(Z644="","",AA644-AC644)</f>
        <v/>
      </c>
      <c r="AE644" s="117">
        <f>IF(Z644="","",IFERROR(1/SUMPRODUCT(MAX(($B$6:$B$1005=Z644)*$T$6:$T$1005)),""))</f>
        <v/>
      </c>
      <c r="AF644" s="77">
        <f>IF(AE644="","",SUMIFS($S$6:$S$1005,$B$6:$B$1005,Z644,$I$6:$I$1005,AE644))</f>
        <v/>
      </c>
    </row>
    <row r="645" ht="20" customHeight="1">
      <c r="B645" s="72" t="n"/>
      <c r="C645" s="72" t="n"/>
      <c r="D645" s="72" t="n"/>
      <c r="E645" s="72" t="n"/>
      <c r="F645" s="110" t="n"/>
      <c r="G645" s="73" t="n"/>
      <c r="H645" s="75">
        <f>IF(B645="","",IF(G645&lt;&gt;"",G645,IF(F645&lt;&gt;"",F645*IFERROR(INDEX('Contractors'!$I$6:$I$1005,MATCH(B645,'Contractors'!$B$6:$B$1005,0)),0),"")))</f>
        <v/>
      </c>
      <c r="I645" s="109" t="n"/>
      <c r="J645" s="72" t="n"/>
      <c r="K645" s="109" t="n"/>
      <c r="L645" s="73" t="n"/>
      <c r="M645" s="109" t="n"/>
      <c r="N645" s="73" t="n"/>
      <c r="O645" s="107">
        <f>IF(B645="","",IF(M645&lt;&gt;"","Paid",IF(AND(I645&lt;&gt;"",I645&lt;AsOf),"OVERDUE",IF(OR(K645&lt;&gt;"",L645&lt;&gt;""),"Invoiced","Scheduled"))))</f>
        <v/>
      </c>
      <c r="P645" s="115">
        <f>IF(B645="","",IF(E645&lt;&gt;"",E645,IFERROR(INDEX('Contractors'!$D$6:$D$1005,MATCH(B645,'Contractors'!$B$6:$B$1005,0)),"")))</f>
        <v/>
      </c>
      <c r="Q645" s="79">
        <f>IF(B645="","",IF(D645&lt;&gt;"",D645,IFERROR(INDEX('Contractors'!$E$6:$E$1005,MATCH(B645,'Contractors'!$B$6:$B$1005,0)),"")))</f>
        <v/>
      </c>
      <c r="R645" s="79">
        <f>IF(O645="","",IF(O645="OVERDUE",2,IF(O645="Paid",0,IF(AND(I645&lt;&gt;"",I645&lt;=AsOf+AlertDays),1,0))))</f>
        <v/>
      </c>
      <c r="S645" s="79">
        <f>IF(AND(B645&lt;&gt;"",M645="",I645&lt;&gt;""),IF(L645&lt;&gt;"",L645,IF(H645="",0,H645)),0)</f>
        <v/>
      </c>
      <c r="T645" s="79">
        <f>IF(AND(B645&lt;&gt;"",M645="",I645&lt;&gt;""),1/I645,0)</f>
        <v/>
      </c>
      <c r="U645" s="112">
        <f>IF(AND(B645&lt;&gt;"",M645="",I645&lt;&gt;""),I645,"")</f>
        <v/>
      </c>
      <c r="V645" s="79">
        <f>IF(U645="","",IF(U645&lt;AsOf,1,IF(U645&lt;=AsOf+AlertDays,2,IF(U645&lt;=AsOf+2*AlertDays,3,""))))</f>
        <v/>
      </c>
      <c r="W645" s="79">
        <f>IF(V645="","",IF(O645="OVERDUE","Overdue payment: ","Payment due: ")&amp;B645&amp;" — "&amp;C645&amp;" ("&amp;CurSym&amp;" "&amp;FIXED(S645,0)&amp;")")</f>
        <v/>
      </c>
      <c r="Z645" s="116">
        <f>IF('Contractors'!B645="","",'Contractors'!B645)</f>
        <v/>
      </c>
      <c r="AA645" s="77">
        <f>IF(Z645="","",'Contractors'!K645)</f>
        <v/>
      </c>
      <c r="AB645" s="77">
        <f>IF(Z645="","",SUMIFS($L$6:$L$1005,$B$6:$B$1005,Z645))</f>
        <v/>
      </c>
      <c r="AC645" s="77">
        <f>IF(Z645="","",SUMIFS($N$6:$N$1005,$B$6:$B$1005,Z645))</f>
        <v/>
      </c>
      <c r="AD645" s="76">
        <f>IF(Z645="","",AA645-AC645)</f>
        <v/>
      </c>
      <c r="AE645" s="117">
        <f>IF(Z645="","",IFERROR(1/SUMPRODUCT(MAX(($B$6:$B$1005=Z645)*$T$6:$T$1005)),""))</f>
        <v/>
      </c>
      <c r="AF645" s="77">
        <f>IF(AE645="","",SUMIFS($S$6:$S$1005,$B$6:$B$1005,Z645,$I$6:$I$1005,AE645))</f>
        <v/>
      </c>
    </row>
    <row r="646" ht="20" customHeight="1">
      <c r="B646" s="72" t="n"/>
      <c r="C646" s="72" t="n"/>
      <c r="D646" s="72" t="n"/>
      <c r="E646" s="72" t="n"/>
      <c r="F646" s="110" t="n"/>
      <c r="G646" s="73" t="n"/>
      <c r="H646" s="75">
        <f>IF(B646="","",IF(G646&lt;&gt;"",G646,IF(F646&lt;&gt;"",F646*IFERROR(INDEX('Contractors'!$I$6:$I$1005,MATCH(B646,'Contractors'!$B$6:$B$1005,0)),0),"")))</f>
        <v/>
      </c>
      <c r="I646" s="109" t="n"/>
      <c r="J646" s="72" t="n"/>
      <c r="K646" s="109" t="n"/>
      <c r="L646" s="73" t="n"/>
      <c r="M646" s="109" t="n"/>
      <c r="N646" s="73" t="n"/>
      <c r="O646" s="107">
        <f>IF(B646="","",IF(M646&lt;&gt;"","Paid",IF(AND(I646&lt;&gt;"",I646&lt;AsOf),"OVERDUE",IF(OR(K646&lt;&gt;"",L646&lt;&gt;""),"Invoiced","Scheduled"))))</f>
        <v/>
      </c>
      <c r="P646" s="115">
        <f>IF(B646="","",IF(E646&lt;&gt;"",E646,IFERROR(INDEX('Contractors'!$D$6:$D$1005,MATCH(B646,'Contractors'!$B$6:$B$1005,0)),"")))</f>
        <v/>
      </c>
      <c r="Q646" s="79">
        <f>IF(B646="","",IF(D646&lt;&gt;"",D646,IFERROR(INDEX('Contractors'!$E$6:$E$1005,MATCH(B646,'Contractors'!$B$6:$B$1005,0)),"")))</f>
        <v/>
      </c>
      <c r="R646" s="79">
        <f>IF(O646="","",IF(O646="OVERDUE",2,IF(O646="Paid",0,IF(AND(I646&lt;&gt;"",I646&lt;=AsOf+AlertDays),1,0))))</f>
        <v/>
      </c>
      <c r="S646" s="79">
        <f>IF(AND(B646&lt;&gt;"",M646="",I646&lt;&gt;""),IF(L646&lt;&gt;"",L646,IF(H646="",0,H646)),0)</f>
        <v/>
      </c>
      <c r="T646" s="79">
        <f>IF(AND(B646&lt;&gt;"",M646="",I646&lt;&gt;""),1/I646,0)</f>
        <v/>
      </c>
      <c r="U646" s="112">
        <f>IF(AND(B646&lt;&gt;"",M646="",I646&lt;&gt;""),I646,"")</f>
        <v/>
      </c>
      <c r="V646" s="79">
        <f>IF(U646="","",IF(U646&lt;AsOf,1,IF(U646&lt;=AsOf+AlertDays,2,IF(U646&lt;=AsOf+2*AlertDays,3,""))))</f>
        <v/>
      </c>
      <c r="W646" s="79">
        <f>IF(V646="","",IF(O646="OVERDUE","Overdue payment: ","Payment due: ")&amp;B646&amp;" — "&amp;C646&amp;" ("&amp;CurSym&amp;" "&amp;FIXED(S646,0)&amp;")")</f>
        <v/>
      </c>
      <c r="Z646" s="116">
        <f>IF('Contractors'!B646="","",'Contractors'!B646)</f>
        <v/>
      </c>
      <c r="AA646" s="77">
        <f>IF(Z646="","",'Contractors'!K646)</f>
        <v/>
      </c>
      <c r="AB646" s="77">
        <f>IF(Z646="","",SUMIFS($L$6:$L$1005,$B$6:$B$1005,Z646))</f>
        <v/>
      </c>
      <c r="AC646" s="77">
        <f>IF(Z646="","",SUMIFS($N$6:$N$1005,$B$6:$B$1005,Z646))</f>
        <v/>
      </c>
      <c r="AD646" s="76">
        <f>IF(Z646="","",AA646-AC646)</f>
        <v/>
      </c>
      <c r="AE646" s="117">
        <f>IF(Z646="","",IFERROR(1/SUMPRODUCT(MAX(($B$6:$B$1005=Z646)*$T$6:$T$1005)),""))</f>
        <v/>
      </c>
      <c r="AF646" s="77">
        <f>IF(AE646="","",SUMIFS($S$6:$S$1005,$B$6:$B$1005,Z646,$I$6:$I$1005,AE646))</f>
        <v/>
      </c>
    </row>
    <row r="647" ht="20" customHeight="1">
      <c r="B647" s="72" t="n"/>
      <c r="C647" s="72" t="n"/>
      <c r="D647" s="72" t="n"/>
      <c r="E647" s="72" t="n"/>
      <c r="F647" s="110" t="n"/>
      <c r="G647" s="73" t="n"/>
      <c r="H647" s="75">
        <f>IF(B647="","",IF(G647&lt;&gt;"",G647,IF(F647&lt;&gt;"",F647*IFERROR(INDEX('Contractors'!$I$6:$I$1005,MATCH(B647,'Contractors'!$B$6:$B$1005,0)),0),"")))</f>
        <v/>
      </c>
      <c r="I647" s="109" t="n"/>
      <c r="J647" s="72" t="n"/>
      <c r="K647" s="109" t="n"/>
      <c r="L647" s="73" t="n"/>
      <c r="M647" s="109" t="n"/>
      <c r="N647" s="73" t="n"/>
      <c r="O647" s="107">
        <f>IF(B647="","",IF(M647&lt;&gt;"","Paid",IF(AND(I647&lt;&gt;"",I647&lt;AsOf),"OVERDUE",IF(OR(K647&lt;&gt;"",L647&lt;&gt;""),"Invoiced","Scheduled"))))</f>
        <v/>
      </c>
      <c r="P647" s="115">
        <f>IF(B647="","",IF(E647&lt;&gt;"",E647,IFERROR(INDEX('Contractors'!$D$6:$D$1005,MATCH(B647,'Contractors'!$B$6:$B$1005,0)),"")))</f>
        <v/>
      </c>
      <c r="Q647" s="79">
        <f>IF(B647="","",IF(D647&lt;&gt;"",D647,IFERROR(INDEX('Contractors'!$E$6:$E$1005,MATCH(B647,'Contractors'!$B$6:$B$1005,0)),"")))</f>
        <v/>
      </c>
      <c r="R647" s="79">
        <f>IF(O647="","",IF(O647="OVERDUE",2,IF(O647="Paid",0,IF(AND(I647&lt;&gt;"",I647&lt;=AsOf+AlertDays),1,0))))</f>
        <v/>
      </c>
      <c r="S647" s="79">
        <f>IF(AND(B647&lt;&gt;"",M647="",I647&lt;&gt;""),IF(L647&lt;&gt;"",L647,IF(H647="",0,H647)),0)</f>
        <v/>
      </c>
      <c r="T647" s="79">
        <f>IF(AND(B647&lt;&gt;"",M647="",I647&lt;&gt;""),1/I647,0)</f>
        <v/>
      </c>
      <c r="U647" s="112">
        <f>IF(AND(B647&lt;&gt;"",M647="",I647&lt;&gt;""),I647,"")</f>
        <v/>
      </c>
      <c r="V647" s="79">
        <f>IF(U647="","",IF(U647&lt;AsOf,1,IF(U647&lt;=AsOf+AlertDays,2,IF(U647&lt;=AsOf+2*AlertDays,3,""))))</f>
        <v/>
      </c>
      <c r="W647" s="79">
        <f>IF(V647="","",IF(O647="OVERDUE","Overdue payment: ","Payment due: ")&amp;B647&amp;" — "&amp;C647&amp;" ("&amp;CurSym&amp;" "&amp;FIXED(S647,0)&amp;")")</f>
        <v/>
      </c>
      <c r="Z647" s="116">
        <f>IF('Contractors'!B647="","",'Contractors'!B647)</f>
        <v/>
      </c>
      <c r="AA647" s="77">
        <f>IF(Z647="","",'Contractors'!K647)</f>
        <v/>
      </c>
      <c r="AB647" s="77">
        <f>IF(Z647="","",SUMIFS($L$6:$L$1005,$B$6:$B$1005,Z647))</f>
        <v/>
      </c>
      <c r="AC647" s="77">
        <f>IF(Z647="","",SUMIFS($N$6:$N$1005,$B$6:$B$1005,Z647))</f>
        <v/>
      </c>
      <c r="AD647" s="76">
        <f>IF(Z647="","",AA647-AC647)</f>
        <v/>
      </c>
      <c r="AE647" s="117">
        <f>IF(Z647="","",IFERROR(1/SUMPRODUCT(MAX(($B$6:$B$1005=Z647)*$T$6:$T$1005)),""))</f>
        <v/>
      </c>
      <c r="AF647" s="77">
        <f>IF(AE647="","",SUMIFS($S$6:$S$1005,$B$6:$B$1005,Z647,$I$6:$I$1005,AE647))</f>
        <v/>
      </c>
    </row>
    <row r="648" ht="20" customHeight="1">
      <c r="B648" s="72" t="n"/>
      <c r="C648" s="72" t="n"/>
      <c r="D648" s="72" t="n"/>
      <c r="E648" s="72" t="n"/>
      <c r="F648" s="110" t="n"/>
      <c r="G648" s="73" t="n"/>
      <c r="H648" s="75">
        <f>IF(B648="","",IF(G648&lt;&gt;"",G648,IF(F648&lt;&gt;"",F648*IFERROR(INDEX('Contractors'!$I$6:$I$1005,MATCH(B648,'Contractors'!$B$6:$B$1005,0)),0),"")))</f>
        <v/>
      </c>
      <c r="I648" s="109" t="n"/>
      <c r="J648" s="72" t="n"/>
      <c r="K648" s="109" t="n"/>
      <c r="L648" s="73" t="n"/>
      <c r="M648" s="109" t="n"/>
      <c r="N648" s="73" t="n"/>
      <c r="O648" s="107">
        <f>IF(B648="","",IF(M648&lt;&gt;"","Paid",IF(AND(I648&lt;&gt;"",I648&lt;AsOf),"OVERDUE",IF(OR(K648&lt;&gt;"",L648&lt;&gt;""),"Invoiced","Scheduled"))))</f>
        <v/>
      </c>
      <c r="P648" s="115">
        <f>IF(B648="","",IF(E648&lt;&gt;"",E648,IFERROR(INDEX('Contractors'!$D$6:$D$1005,MATCH(B648,'Contractors'!$B$6:$B$1005,0)),"")))</f>
        <v/>
      </c>
      <c r="Q648" s="79">
        <f>IF(B648="","",IF(D648&lt;&gt;"",D648,IFERROR(INDEX('Contractors'!$E$6:$E$1005,MATCH(B648,'Contractors'!$B$6:$B$1005,0)),"")))</f>
        <v/>
      </c>
      <c r="R648" s="79">
        <f>IF(O648="","",IF(O648="OVERDUE",2,IF(O648="Paid",0,IF(AND(I648&lt;&gt;"",I648&lt;=AsOf+AlertDays),1,0))))</f>
        <v/>
      </c>
      <c r="S648" s="79">
        <f>IF(AND(B648&lt;&gt;"",M648="",I648&lt;&gt;""),IF(L648&lt;&gt;"",L648,IF(H648="",0,H648)),0)</f>
        <v/>
      </c>
      <c r="T648" s="79">
        <f>IF(AND(B648&lt;&gt;"",M648="",I648&lt;&gt;""),1/I648,0)</f>
        <v/>
      </c>
      <c r="U648" s="112">
        <f>IF(AND(B648&lt;&gt;"",M648="",I648&lt;&gt;""),I648,"")</f>
        <v/>
      </c>
      <c r="V648" s="79">
        <f>IF(U648="","",IF(U648&lt;AsOf,1,IF(U648&lt;=AsOf+AlertDays,2,IF(U648&lt;=AsOf+2*AlertDays,3,""))))</f>
        <v/>
      </c>
      <c r="W648" s="79">
        <f>IF(V648="","",IF(O648="OVERDUE","Overdue payment: ","Payment due: ")&amp;B648&amp;" — "&amp;C648&amp;" ("&amp;CurSym&amp;" "&amp;FIXED(S648,0)&amp;")")</f>
        <v/>
      </c>
      <c r="Z648" s="116">
        <f>IF('Contractors'!B648="","",'Contractors'!B648)</f>
        <v/>
      </c>
      <c r="AA648" s="77">
        <f>IF(Z648="","",'Contractors'!K648)</f>
        <v/>
      </c>
      <c r="AB648" s="77">
        <f>IF(Z648="","",SUMIFS($L$6:$L$1005,$B$6:$B$1005,Z648))</f>
        <v/>
      </c>
      <c r="AC648" s="77">
        <f>IF(Z648="","",SUMIFS($N$6:$N$1005,$B$6:$B$1005,Z648))</f>
        <v/>
      </c>
      <c r="AD648" s="76">
        <f>IF(Z648="","",AA648-AC648)</f>
        <v/>
      </c>
      <c r="AE648" s="117">
        <f>IF(Z648="","",IFERROR(1/SUMPRODUCT(MAX(($B$6:$B$1005=Z648)*$T$6:$T$1005)),""))</f>
        <v/>
      </c>
      <c r="AF648" s="77">
        <f>IF(AE648="","",SUMIFS($S$6:$S$1005,$B$6:$B$1005,Z648,$I$6:$I$1005,AE648))</f>
        <v/>
      </c>
    </row>
    <row r="649" ht="20" customHeight="1">
      <c r="B649" s="72" t="n"/>
      <c r="C649" s="72" t="n"/>
      <c r="D649" s="72" t="n"/>
      <c r="E649" s="72" t="n"/>
      <c r="F649" s="110" t="n"/>
      <c r="G649" s="73" t="n"/>
      <c r="H649" s="75">
        <f>IF(B649="","",IF(G649&lt;&gt;"",G649,IF(F649&lt;&gt;"",F649*IFERROR(INDEX('Contractors'!$I$6:$I$1005,MATCH(B649,'Contractors'!$B$6:$B$1005,0)),0),"")))</f>
        <v/>
      </c>
      <c r="I649" s="109" t="n"/>
      <c r="J649" s="72" t="n"/>
      <c r="K649" s="109" t="n"/>
      <c r="L649" s="73" t="n"/>
      <c r="M649" s="109" t="n"/>
      <c r="N649" s="73" t="n"/>
      <c r="O649" s="107">
        <f>IF(B649="","",IF(M649&lt;&gt;"","Paid",IF(AND(I649&lt;&gt;"",I649&lt;AsOf),"OVERDUE",IF(OR(K649&lt;&gt;"",L649&lt;&gt;""),"Invoiced","Scheduled"))))</f>
        <v/>
      </c>
      <c r="P649" s="115">
        <f>IF(B649="","",IF(E649&lt;&gt;"",E649,IFERROR(INDEX('Contractors'!$D$6:$D$1005,MATCH(B649,'Contractors'!$B$6:$B$1005,0)),"")))</f>
        <v/>
      </c>
      <c r="Q649" s="79">
        <f>IF(B649="","",IF(D649&lt;&gt;"",D649,IFERROR(INDEX('Contractors'!$E$6:$E$1005,MATCH(B649,'Contractors'!$B$6:$B$1005,0)),"")))</f>
        <v/>
      </c>
      <c r="R649" s="79">
        <f>IF(O649="","",IF(O649="OVERDUE",2,IF(O649="Paid",0,IF(AND(I649&lt;&gt;"",I649&lt;=AsOf+AlertDays),1,0))))</f>
        <v/>
      </c>
      <c r="S649" s="79">
        <f>IF(AND(B649&lt;&gt;"",M649="",I649&lt;&gt;""),IF(L649&lt;&gt;"",L649,IF(H649="",0,H649)),0)</f>
        <v/>
      </c>
      <c r="T649" s="79">
        <f>IF(AND(B649&lt;&gt;"",M649="",I649&lt;&gt;""),1/I649,0)</f>
        <v/>
      </c>
      <c r="U649" s="112">
        <f>IF(AND(B649&lt;&gt;"",M649="",I649&lt;&gt;""),I649,"")</f>
        <v/>
      </c>
      <c r="V649" s="79">
        <f>IF(U649="","",IF(U649&lt;AsOf,1,IF(U649&lt;=AsOf+AlertDays,2,IF(U649&lt;=AsOf+2*AlertDays,3,""))))</f>
        <v/>
      </c>
      <c r="W649" s="79">
        <f>IF(V649="","",IF(O649="OVERDUE","Overdue payment: ","Payment due: ")&amp;B649&amp;" — "&amp;C649&amp;" ("&amp;CurSym&amp;" "&amp;FIXED(S649,0)&amp;")")</f>
        <v/>
      </c>
      <c r="Z649" s="116">
        <f>IF('Contractors'!B649="","",'Contractors'!B649)</f>
        <v/>
      </c>
      <c r="AA649" s="77">
        <f>IF(Z649="","",'Contractors'!K649)</f>
        <v/>
      </c>
      <c r="AB649" s="77">
        <f>IF(Z649="","",SUMIFS($L$6:$L$1005,$B$6:$B$1005,Z649))</f>
        <v/>
      </c>
      <c r="AC649" s="77">
        <f>IF(Z649="","",SUMIFS($N$6:$N$1005,$B$6:$B$1005,Z649))</f>
        <v/>
      </c>
      <c r="AD649" s="76">
        <f>IF(Z649="","",AA649-AC649)</f>
        <v/>
      </c>
      <c r="AE649" s="117">
        <f>IF(Z649="","",IFERROR(1/SUMPRODUCT(MAX(($B$6:$B$1005=Z649)*$T$6:$T$1005)),""))</f>
        <v/>
      </c>
      <c r="AF649" s="77">
        <f>IF(AE649="","",SUMIFS($S$6:$S$1005,$B$6:$B$1005,Z649,$I$6:$I$1005,AE649))</f>
        <v/>
      </c>
    </row>
    <row r="650" ht="20" customHeight="1">
      <c r="B650" s="72" t="n"/>
      <c r="C650" s="72" t="n"/>
      <c r="D650" s="72" t="n"/>
      <c r="E650" s="72" t="n"/>
      <c r="F650" s="110" t="n"/>
      <c r="G650" s="73" t="n"/>
      <c r="H650" s="75">
        <f>IF(B650="","",IF(G650&lt;&gt;"",G650,IF(F650&lt;&gt;"",F650*IFERROR(INDEX('Contractors'!$I$6:$I$1005,MATCH(B650,'Contractors'!$B$6:$B$1005,0)),0),"")))</f>
        <v/>
      </c>
      <c r="I650" s="109" t="n"/>
      <c r="J650" s="72" t="n"/>
      <c r="K650" s="109" t="n"/>
      <c r="L650" s="73" t="n"/>
      <c r="M650" s="109" t="n"/>
      <c r="N650" s="73" t="n"/>
      <c r="O650" s="107">
        <f>IF(B650="","",IF(M650&lt;&gt;"","Paid",IF(AND(I650&lt;&gt;"",I650&lt;AsOf),"OVERDUE",IF(OR(K650&lt;&gt;"",L650&lt;&gt;""),"Invoiced","Scheduled"))))</f>
        <v/>
      </c>
      <c r="P650" s="115">
        <f>IF(B650="","",IF(E650&lt;&gt;"",E650,IFERROR(INDEX('Contractors'!$D$6:$D$1005,MATCH(B650,'Contractors'!$B$6:$B$1005,0)),"")))</f>
        <v/>
      </c>
      <c r="Q650" s="79">
        <f>IF(B650="","",IF(D650&lt;&gt;"",D650,IFERROR(INDEX('Contractors'!$E$6:$E$1005,MATCH(B650,'Contractors'!$B$6:$B$1005,0)),"")))</f>
        <v/>
      </c>
      <c r="R650" s="79">
        <f>IF(O650="","",IF(O650="OVERDUE",2,IF(O650="Paid",0,IF(AND(I650&lt;&gt;"",I650&lt;=AsOf+AlertDays),1,0))))</f>
        <v/>
      </c>
      <c r="S650" s="79">
        <f>IF(AND(B650&lt;&gt;"",M650="",I650&lt;&gt;""),IF(L650&lt;&gt;"",L650,IF(H650="",0,H650)),0)</f>
        <v/>
      </c>
      <c r="T650" s="79">
        <f>IF(AND(B650&lt;&gt;"",M650="",I650&lt;&gt;""),1/I650,0)</f>
        <v/>
      </c>
      <c r="U650" s="112">
        <f>IF(AND(B650&lt;&gt;"",M650="",I650&lt;&gt;""),I650,"")</f>
        <v/>
      </c>
      <c r="V650" s="79">
        <f>IF(U650="","",IF(U650&lt;AsOf,1,IF(U650&lt;=AsOf+AlertDays,2,IF(U650&lt;=AsOf+2*AlertDays,3,""))))</f>
        <v/>
      </c>
      <c r="W650" s="79">
        <f>IF(V650="","",IF(O650="OVERDUE","Overdue payment: ","Payment due: ")&amp;B650&amp;" — "&amp;C650&amp;" ("&amp;CurSym&amp;" "&amp;FIXED(S650,0)&amp;")")</f>
        <v/>
      </c>
      <c r="Z650" s="116">
        <f>IF('Contractors'!B650="","",'Contractors'!B650)</f>
        <v/>
      </c>
      <c r="AA650" s="77">
        <f>IF(Z650="","",'Contractors'!K650)</f>
        <v/>
      </c>
      <c r="AB650" s="77">
        <f>IF(Z650="","",SUMIFS($L$6:$L$1005,$B$6:$B$1005,Z650))</f>
        <v/>
      </c>
      <c r="AC650" s="77">
        <f>IF(Z650="","",SUMIFS($N$6:$N$1005,$B$6:$B$1005,Z650))</f>
        <v/>
      </c>
      <c r="AD650" s="76">
        <f>IF(Z650="","",AA650-AC650)</f>
        <v/>
      </c>
      <c r="AE650" s="117">
        <f>IF(Z650="","",IFERROR(1/SUMPRODUCT(MAX(($B$6:$B$1005=Z650)*$T$6:$T$1005)),""))</f>
        <v/>
      </c>
      <c r="AF650" s="77">
        <f>IF(AE650="","",SUMIFS($S$6:$S$1005,$B$6:$B$1005,Z650,$I$6:$I$1005,AE650))</f>
        <v/>
      </c>
    </row>
    <row r="651" ht="20" customHeight="1">
      <c r="B651" s="72" t="n"/>
      <c r="C651" s="72" t="n"/>
      <c r="D651" s="72" t="n"/>
      <c r="E651" s="72" t="n"/>
      <c r="F651" s="110" t="n"/>
      <c r="G651" s="73" t="n"/>
      <c r="H651" s="75">
        <f>IF(B651="","",IF(G651&lt;&gt;"",G651,IF(F651&lt;&gt;"",F651*IFERROR(INDEX('Contractors'!$I$6:$I$1005,MATCH(B651,'Contractors'!$B$6:$B$1005,0)),0),"")))</f>
        <v/>
      </c>
      <c r="I651" s="109" t="n"/>
      <c r="J651" s="72" t="n"/>
      <c r="K651" s="109" t="n"/>
      <c r="L651" s="73" t="n"/>
      <c r="M651" s="109" t="n"/>
      <c r="N651" s="73" t="n"/>
      <c r="O651" s="107">
        <f>IF(B651="","",IF(M651&lt;&gt;"","Paid",IF(AND(I651&lt;&gt;"",I651&lt;AsOf),"OVERDUE",IF(OR(K651&lt;&gt;"",L651&lt;&gt;""),"Invoiced","Scheduled"))))</f>
        <v/>
      </c>
      <c r="P651" s="115">
        <f>IF(B651="","",IF(E651&lt;&gt;"",E651,IFERROR(INDEX('Contractors'!$D$6:$D$1005,MATCH(B651,'Contractors'!$B$6:$B$1005,0)),"")))</f>
        <v/>
      </c>
      <c r="Q651" s="79">
        <f>IF(B651="","",IF(D651&lt;&gt;"",D651,IFERROR(INDEX('Contractors'!$E$6:$E$1005,MATCH(B651,'Contractors'!$B$6:$B$1005,0)),"")))</f>
        <v/>
      </c>
      <c r="R651" s="79">
        <f>IF(O651="","",IF(O651="OVERDUE",2,IF(O651="Paid",0,IF(AND(I651&lt;&gt;"",I651&lt;=AsOf+AlertDays),1,0))))</f>
        <v/>
      </c>
      <c r="S651" s="79">
        <f>IF(AND(B651&lt;&gt;"",M651="",I651&lt;&gt;""),IF(L651&lt;&gt;"",L651,IF(H651="",0,H651)),0)</f>
        <v/>
      </c>
      <c r="T651" s="79">
        <f>IF(AND(B651&lt;&gt;"",M651="",I651&lt;&gt;""),1/I651,0)</f>
        <v/>
      </c>
      <c r="U651" s="112">
        <f>IF(AND(B651&lt;&gt;"",M651="",I651&lt;&gt;""),I651,"")</f>
        <v/>
      </c>
      <c r="V651" s="79">
        <f>IF(U651="","",IF(U651&lt;AsOf,1,IF(U651&lt;=AsOf+AlertDays,2,IF(U651&lt;=AsOf+2*AlertDays,3,""))))</f>
        <v/>
      </c>
      <c r="W651" s="79">
        <f>IF(V651="","",IF(O651="OVERDUE","Overdue payment: ","Payment due: ")&amp;B651&amp;" — "&amp;C651&amp;" ("&amp;CurSym&amp;" "&amp;FIXED(S651,0)&amp;")")</f>
        <v/>
      </c>
      <c r="Z651" s="116">
        <f>IF('Contractors'!B651="","",'Contractors'!B651)</f>
        <v/>
      </c>
      <c r="AA651" s="77">
        <f>IF(Z651="","",'Contractors'!K651)</f>
        <v/>
      </c>
      <c r="AB651" s="77">
        <f>IF(Z651="","",SUMIFS($L$6:$L$1005,$B$6:$B$1005,Z651))</f>
        <v/>
      </c>
      <c r="AC651" s="77">
        <f>IF(Z651="","",SUMIFS($N$6:$N$1005,$B$6:$B$1005,Z651))</f>
        <v/>
      </c>
      <c r="AD651" s="76">
        <f>IF(Z651="","",AA651-AC651)</f>
        <v/>
      </c>
      <c r="AE651" s="117">
        <f>IF(Z651="","",IFERROR(1/SUMPRODUCT(MAX(($B$6:$B$1005=Z651)*$T$6:$T$1005)),""))</f>
        <v/>
      </c>
      <c r="AF651" s="77">
        <f>IF(AE651="","",SUMIFS($S$6:$S$1005,$B$6:$B$1005,Z651,$I$6:$I$1005,AE651))</f>
        <v/>
      </c>
    </row>
    <row r="652" ht="20" customHeight="1">
      <c r="B652" s="72" t="n"/>
      <c r="C652" s="72" t="n"/>
      <c r="D652" s="72" t="n"/>
      <c r="E652" s="72" t="n"/>
      <c r="F652" s="110" t="n"/>
      <c r="G652" s="73" t="n"/>
      <c r="H652" s="75">
        <f>IF(B652="","",IF(G652&lt;&gt;"",G652,IF(F652&lt;&gt;"",F652*IFERROR(INDEX('Contractors'!$I$6:$I$1005,MATCH(B652,'Contractors'!$B$6:$B$1005,0)),0),"")))</f>
        <v/>
      </c>
      <c r="I652" s="109" t="n"/>
      <c r="J652" s="72" t="n"/>
      <c r="K652" s="109" t="n"/>
      <c r="L652" s="73" t="n"/>
      <c r="M652" s="109" t="n"/>
      <c r="N652" s="73" t="n"/>
      <c r="O652" s="107">
        <f>IF(B652="","",IF(M652&lt;&gt;"","Paid",IF(AND(I652&lt;&gt;"",I652&lt;AsOf),"OVERDUE",IF(OR(K652&lt;&gt;"",L652&lt;&gt;""),"Invoiced","Scheduled"))))</f>
        <v/>
      </c>
      <c r="P652" s="115">
        <f>IF(B652="","",IF(E652&lt;&gt;"",E652,IFERROR(INDEX('Contractors'!$D$6:$D$1005,MATCH(B652,'Contractors'!$B$6:$B$1005,0)),"")))</f>
        <v/>
      </c>
      <c r="Q652" s="79">
        <f>IF(B652="","",IF(D652&lt;&gt;"",D652,IFERROR(INDEX('Contractors'!$E$6:$E$1005,MATCH(B652,'Contractors'!$B$6:$B$1005,0)),"")))</f>
        <v/>
      </c>
      <c r="R652" s="79">
        <f>IF(O652="","",IF(O652="OVERDUE",2,IF(O652="Paid",0,IF(AND(I652&lt;&gt;"",I652&lt;=AsOf+AlertDays),1,0))))</f>
        <v/>
      </c>
      <c r="S652" s="79">
        <f>IF(AND(B652&lt;&gt;"",M652="",I652&lt;&gt;""),IF(L652&lt;&gt;"",L652,IF(H652="",0,H652)),0)</f>
        <v/>
      </c>
      <c r="T652" s="79">
        <f>IF(AND(B652&lt;&gt;"",M652="",I652&lt;&gt;""),1/I652,0)</f>
        <v/>
      </c>
      <c r="U652" s="112">
        <f>IF(AND(B652&lt;&gt;"",M652="",I652&lt;&gt;""),I652,"")</f>
        <v/>
      </c>
      <c r="V652" s="79">
        <f>IF(U652="","",IF(U652&lt;AsOf,1,IF(U652&lt;=AsOf+AlertDays,2,IF(U652&lt;=AsOf+2*AlertDays,3,""))))</f>
        <v/>
      </c>
      <c r="W652" s="79">
        <f>IF(V652="","",IF(O652="OVERDUE","Overdue payment: ","Payment due: ")&amp;B652&amp;" — "&amp;C652&amp;" ("&amp;CurSym&amp;" "&amp;FIXED(S652,0)&amp;")")</f>
        <v/>
      </c>
      <c r="Z652" s="116">
        <f>IF('Contractors'!B652="","",'Contractors'!B652)</f>
        <v/>
      </c>
      <c r="AA652" s="77">
        <f>IF(Z652="","",'Contractors'!K652)</f>
        <v/>
      </c>
      <c r="AB652" s="77">
        <f>IF(Z652="","",SUMIFS($L$6:$L$1005,$B$6:$B$1005,Z652))</f>
        <v/>
      </c>
      <c r="AC652" s="77">
        <f>IF(Z652="","",SUMIFS($N$6:$N$1005,$B$6:$B$1005,Z652))</f>
        <v/>
      </c>
      <c r="AD652" s="76">
        <f>IF(Z652="","",AA652-AC652)</f>
        <v/>
      </c>
      <c r="AE652" s="117">
        <f>IF(Z652="","",IFERROR(1/SUMPRODUCT(MAX(($B$6:$B$1005=Z652)*$T$6:$T$1005)),""))</f>
        <v/>
      </c>
      <c r="AF652" s="77">
        <f>IF(AE652="","",SUMIFS($S$6:$S$1005,$B$6:$B$1005,Z652,$I$6:$I$1005,AE652))</f>
        <v/>
      </c>
    </row>
    <row r="653" ht="20" customHeight="1">
      <c r="B653" s="72" t="n"/>
      <c r="C653" s="72" t="n"/>
      <c r="D653" s="72" t="n"/>
      <c r="E653" s="72" t="n"/>
      <c r="F653" s="110" t="n"/>
      <c r="G653" s="73" t="n"/>
      <c r="H653" s="75">
        <f>IF(B653="","",IF(G653&lt;&gt;"",G653,IF(F653&lt;&gt;"",F653*IFERROR(INDEX('Contractors'!$I$6:$I$1005,MATCH(B653,'Contractors'!$B$6:$B$1005,0)),0),"")))</f>
        <v/>
      </c>
      <c r="I653" s="109" t="n"/>
      <c r="J653" s="72" t="n"/>
      <c r="K653" s="109" t="n"/>
      <c r="L653" s="73" t="n"/>
      <c r="M653" s="109" t="n"/>
      <c r="N653" s="73" t="n"/>
      <c r="O653" s="107">
        <f>IF(B653="","",IF(M653&lt;&gt;"","Paid",IF(AND(I653&lt;&gt;"",I653&lt;AsOf),"OVERDUE",IF(OR(K653&lt;&gt;"",L653&lt;&gt;""),"Invoiced","Scheduled"))))</f>
        <v/>
      </c>
      <c r="P653" s="115">
        <f>IF(B653="","",IF(E653&lt;&gt;"",E653,IFERROR(INDEX('Contractors'!$D$6:$D$1005,MATCH(B653,'Contractors'!$B$6:$B$1005,0)),"")))</f>
        <v/>
      </c>
      <c r="Q653" s="79">
        <f>IF(B653="","",IF(D653&lt;&gt;"",D653,IFERROR(INDEX('Contractors'!$E$6:$E$1005,MATCH(B653,'Contractors'!$B$6:$B$1005,0)),"")))</f>
        <v/>
      </c>
      <c r="R653" s="79">
        <f>IF(O653="","",IF(O653="OVERDUE",2,IF(O653="Paid",0,IF(AND(I653&lt;&gt;"",I653&lt;=AsOf+AlertDays),1,0))))</f>
        <v/>
      </c>
      <c r="S653" s="79">
        <f>IF(AND(B653&lt;&gt;"",M653="",I653&lt;&gt;""),IF(L653&lt;&gt;"",L653,IF(H653="",0,H653)),0)</f>
        <v/>
      </c>
      <c r="T653" s="79">
        <f>IF(AND(B653&lt;&gt;"",M653="",I653&lt;&gt;""),1/I653,0)</f>
        <v/>
      </c>
      <c r="U653" s="112">
        <f>IF(AND(B653&lt;&gt;"",M653="",I653&lt;&gt;""),I653,"")</f>
        <v/>
      </c>
      <c r="V653" s="79">
        <f>IF(U653="","",IF(U653&lt;AsOf,1,IF(U653&lt;=AsOf+AlertDays,2,IF(U653&lt;=AsOf+2*AlertDays,3,""))))</f>
        <v/>
      </c>
      <c r="W653" s="79">
        <f>IF(V653="","",IF(O653="OVERDUE","Overdue payment: ","Payment due: ")&amp;B653&amp;" — "&amp;C653&amp;" ("&amp;CurSym&amp;" "&amp;FIXED(S653,0)&amp;")")</f>
        <v/>
      </c>
      <c r="Z653" s="116">
        <f>IF('Contractors'!B653="","",'Contractors'!B653)</f>
        <v/>
      </c>
      <c r="AA653" s="77">
        <f>IF(Z653="","",'Contractors'!K653)</f>
        <v/>
      </c>
      <c r="AB653" s="77">
        <f>IF(Z653="","",SUMIFS($L$6:$L$1005,$B$6:$B$1005,Z653))</f>
        <v/>
      </c>
      <c r="AC653" s="77">
        <f>IF(Z653="","",SUMIFS($N$6:$N$1005,$B$6:$B$1005,Z653))</f>
        <v/>
      </c>
      <c r="AD653" s="76">
        <f>IF(Z653="","",AA653-AC653)</f>
        <v/>
      </c>
      <c r="AE653" s="117">
        <f>IF(Z653="","",IFERROR(1/SUMPRODUCT(MAX(($B$6:$B$1005=Z653)*$T$6:$T$1005)),""))</f>
        <v/>
      </c>
      <c r="AF653" s="77">
        <f>IF(AE653="","",SUMIFS($S$6:$S$1005,$B$6:$B$1005,Z653,$I$6:$I$1005,AE653))</f>
        <v/>
      </c>
    </row>
    <row r="654" ht="20" customHeight="1">
      <c r="B654" s="72" t="n"/>
      <c r="C654" s="72" t="n"/>
      <c r="D654" s="72" t="n"/>
      <c r="E654" s="72" t="n"/>
      <c r="F654" s="110" t="n"/>
      <c r="G654" s="73" t="n"/>
      <c r="H654" s="75">
        <f>IF(B654="","",IF(G654&lt;&gt;"",G654,IF(F654&lt;&gt;"",F654*IFERROR(INDEX('Contractors'!$I$6:$I$1005,MATCH(B654,'Contractors'!$B$6:$B$1005,0)),0),"")))</f>
        <v/>
      </c>
      <c r="I654" s="109" t="n"/>
      <c r="J654" s="72" t="n"/>
      <c r="K654" s="109" t="n"/>
      <c r="L654" s="73" t="n"/>
      <c r="M654" s="109" t="n"/>
      <c r="N654" s="73" t="n"/>
      <c r="O654" s="107">
        <f>IF(B654="","",IF(M654&lt;&gt;"","Paid",IF(AND(I654&lt;&gt;"",I654&lt;AsOf),"OVERDUE",IF(OR(K654&lt;&gt;"",L654&lt;&gt;""),"Invoiced","Scheduled"))))</f>
        <v/>
      </c>
      <c r="P654" s="115">
        <f>IF(B654="","",IF(E654&lt;&gt;"",E654,IFERROR(INDEX('Contractors'!$D$6:$D$1005,MATCH(B654,'Contractors'!$B$6:$B$1005,0)),"")))</f>
        <v/>
      </c>
      <c r="Q654" s="79">
        <f>IF(B654="","",IF(D654&lt;&gt;"",D654,IFERROR(INDEX('Contractors'!$E$6:$E$1005,MATCH(B654,'Contractors'!$B$6:$B$1005,0)),"")))</f>
        <v/>
      </c>
      <c r="R654" s="79">
        <f>IF(O654="","",IF(O654="OVERDUE",2,IF(O654="Paid",0,IF(AND(I654&lt;&gt;"",I654&lt;=AsOf+AlertDays),1,0))))</f>
        <v/>
      </c>
      <c r="S654" s="79">
        <f>IF(AND(B654&lt;&gt;"",M654="",I654&lt;&gt;""),IF(L654&lt;&gt;"",L654,IF(H654="",0,H654)),0)</f>
        <v/>
      </c>
      <c r="T654" s="79">
        <f>IF(AND(B654&lt;&gt;"",M654="",I654&lt;&gt;""),1/I654,0)</f>
        <v/>
      </c>
      <c r="U654" s="112">
        <f>IF(AND(B654&lt;&gt;"",M654="",I654&lt;&gt;""),I654,"")</f>
        <v/>
      </c>
      <c r="V654" s="79">
        <f>IF(U654="","",IF(U654&lt;AsOf,1,IF(U654&lt;=AsOf+AlertDays,2,IF(U654&lt;=AsOf+2*AlertDays,3,""))))</f>
        <v/>
      </c>
      <c r="W654" s="79">
        <f>IF(V654="","",IF(O654="OVERDUE","Overdue payment: ","Payment due: ")&amp;B654&amp;" — "&amp;C654&amp;" ("&amp;CurSym&amp;" "&amp;FIXED(S654,0)&amp;")")</f>
        <v/>
      </c>
      <c r="Z654" s="116">
        <f>IF('Contractors'!B654="","",'Contractors'!B654)</f>
        <v/>
      </c>
      <c r="AA654" s="77">
        <f>IF(Z654="","",'Contractors'!K654)</f>
        <v/>
      </c>
      <c r="AB654" s="77">
        <f>IF(Z654="","",SUMIFS($L$6:$L$1005,$B$6:$B$1005,Z654))</f>
        <v/>
      </c>
      <c r="AC654" s="77">
        <f>IF(Z654="","",SUMIFS($N$6:$N$1005,$B$6:$B$1005,Z654))</f>
        <v/>
      </c>
      <c r="AD654" s="76">
        <f>IF(Z654="","",AA654-AC654)</f>
        <v/>
      </c>
      <c r="AE654" s="117">
        <f>IF(Z654="","",IFERROR(1/SUMPRODUCT(MAX(($B$6:$B$1005=Z654)*$T$6:$T$1005)),""))</f>
        <v/>
      </c>
      <c r="AF654" s="77">
        <f>IF(AE654="","",SUMIFS($S$6:$S$1005,$B$6:$B$1005,Z654,$I$6:$I$1005,AE654))</f>
        <v/>
      </c>
    </row>
    <row r="655" ht="20" customHeight="1">
      <c r="B655" s="72" t="n"/>
      <c r="C655" s="72" t="n"/>
      <c r="D655" s="72" t="n"/>
      <c r="E655" s="72" t="n"/>
      <c r="F655" s="110" t="n"/>
      <c r="G655" s="73" t="n"/>
      <c r="H655" s="75">
        <f>IF(B655="","",IF(G655&lt;&gt;"",G655,IF(F655&lt;&gt;"",F655*IFERROR(INDEX('Contractors'!$I$6:$I$1005,MATCH(B655,'Contractors'!$B$6:$B$1005,0)),0),"")))</f>
        <v/>
      </c>
      <c r="I655" s="109" t="n"/>
      <c r="J655" s="72" t="n"/>
      <c r="K655" s="109" t="n"/>
      <c r="L655" s="73" t="n"/>
      <c r="M655" s="109" t="n"/>
      <c r="N655" s="73" t="n"/>
      <c r="O655" s="107">
        <f>IF(B655="","",IF(M655&lt;&gt;"","Paid",IF(AND(I655&lt;&gt;"",I655&lt;AsOf),"OVERDUE",IF(OR(K655&lt;&gt;"",L655&lt;&gt;""),"Invoiced","Scheduled"))))</f>
        <v/>
      </c>
      <c r="P655" s="115">
        <f>IF(B655="","",IF(E655&lt;&gt;"",E655,IFERROR(INDEX('Contractors'!$D$6:$D$1005,MATCH(B655,'Contractors'!$B$6:$B$1005,0)),"")))</f>
        <v/>
      </c>
      <c r="Q655" s="79">
        <f>IF(B655="","",IF(D655&lt;&gt;"",D655,IFERROR(INDEX('Contractors'!$E$6:$E$1005,MATCH(B655,'Contractors'!$B$6:$B$1005,0)),"")))</f>
        <v/>
      </c>
      <c r="R655" s="79">
        <f>IF(O655="","",IF(O655="OVERDUE",2,IF(O655="Paid",0,IF(AND(I655&lt;&gt;"",I655&lt;=AsOf+AlertDays),1,0))))</f>
        <v/>
      </c>
      <c r="S655" s="79">
        <f>IF(AND(B655&lt;&gt;"",M655="",I655&lt;&gt;""),IF(L655&lt;&gt;"",L655,IF(H655="",0,H655)),0)</f>
        <v/>
      </c>
      <c r="T655" s="79">
        <f>IF(AND(B655&lt;&gt;"",M655="",I655&lt;&gt;""),1/I655,0)</f>
        <v/>
      </c>
      <c r="U655" s="112">
        <f>IF(AND(B655&lt;&gt;"",M655="",I655&lt;&gt;""),I655,"")</f>
        <v/>
      </c>
      <c r="V655" s="79">
        <f>IF(U655="","",IF(U655&lt;AsOf,1,IF(U655&lt;=AsOf+AlertDays,2,IF(U655&lt;=AsOf+2*AlertDays,3,""))))</f>
        <v/>
      </c>
      <c r="W655" s="79">
        <f>IF(V655="","",IF(O655="OVERDUE","Overdue payment: ","Payment due: ")&amp;B655&amp;" — "&amp;C655&amp;" ("&amp;CurSym&amp;" "&amp;FIXED(S655,0)&amp;")")</f>
        <v/>
      </c>
      <c r="Z655" s="116">
        <f>IF('Contractors'!B655="","",'Contractors'!B655)</f>
        <v/>
      </c>
      <c r="AA655" s="77">
        <f>IF(Z655="","",'Contractors'!K655)</f>
        <v/>
      </c>
      <c r="AB655" s="77">
        <f>IF(Z655="","",SUMIFS($L$6:$L$1005,$B$6:$B$1005,Z655))</f>
        <v/>
      </c>
      <c r="AC655" s="77">
        <f>IF(Z655="","",SUMIFS($N$6:$N$1005,$B$6:$B$1005,Z655))</f>
        <v/>
      </c>
      <c r="AD655" s="76">
        <f>IF(Z655="","",AA655-AC655)</f>
        <v/>
      </c>
      <c r="AE655" s="117">
        <f>IF(Z655="","",IFERROR(1/SUMPRODUCT(MAX(($B$6:$B$1005=Z655)*$T$6:$T$1005)),""))</f>
        <v/>
      </c>
      <c r="AF655" s="77">
        <f>IF(AE655="","",SUMIFS($S$6:$S$1005,$B$6:$B$1005,Z655,$I$6:$I$1005,AE655))</f>
        <v/>
      </c>
    </row>
    <row r="656" ht="20" customHeight="1">
      <c r="B656" s="72" t="n"/>
      <c r="C656" s="72" t="n"/>
      <c r="D656" s="72" t="n"/>
      <c r="E656" s="72" t="n"/>
      <c r="F656" s="110" t="n"/>
      <c r="G656" s="73" t="n"/>
      <c r="H656" s="75">
        <f>IF(B656="","",IF(G656&lt;&gt;"",G656,IF(F656&lt;&gt;"",F656*IFERROR(INDEX('Contractors'!$I$6:$I$1005,MATCH(B656,'Contractors'!$B$6:$B$1005,0)),0),"")))</f>
        <v/>
      </c>
      <c r="I656" s="109" t="n"/>
      <c r="J656" s="72" t="n"/>
      <c r="K656" s="109" t="n"/>
      <c r="L656" s="73" t="n"/>
      <c r="M656" s="109" t="n"/>
      <c r="N656" s="73" t="n"/>
      <c r="O656" s="107">
        <f>IF(B656="","",IF(M656&lt;&gt;"","Paid",IF(AND(I656&lt;&gt;"",I656&lt;AsOf),"OVERDUE",IF(OR(K656&lt;&gt;"",L656&lt;&gt;""),"Invoiced","Scheduled"))))</f>
        <v/>
      </c>
      <c r="P656" s="115">
        <f>IF(B656="","",IF(E656&lt;&gt;"",E656,IFERROR(INDEX('Contractors'!$D$6:$D$1005,MATCH(B656,'Contractors'!$B$6:$B$1005,0)),"")))</f>
        <v/>
      </c>
      <c r="Q656" s="79">
        <f>IF(B656="","",IF(D656&lt;&gt;"",D656,IFERROR(INDEX('Contractors'!$E$6:$E$1005,MATCH(B656,'Contractors'!$B$6:$B$1005,0)),"")))</f>
        <v/>
      </c>
      <c r="R656" s="79">
        <f>IF(O656="","",IF(O656="OVERDUE",2,IF(O656="Paid",0,IF(AND(I656&lt;&gt;"",I656&lt;=AsOf+AlertDays),1,0))))</f>
        <v/>
      </c>
      <c r="S656" s="79">
        <f>IF(AND(B656&lt;&gt;"",M656="",I656&lt;&gt;""),IF(L656&lt;&gt;"",L656,IF(H656="",0,H656)),0)</f>
        <v/>
      </c>
      <c r="T656" s="79">
        <f>IF(AND(B656&lt;&gt;"",M656="",I656&lt;&gt;""),1/I656,0)</f>
        <v/>
      </c>
      <c r="U656" s="112">
        <f>IF(AND(B656&lt;&gt;"",M656="",I656&lt;&gt;""),I656,"")</f>
        <v/>
      </c>
      <c r="V656" s="79">
        <f>IF(U656="","",IF(U656&lt;AsOf,1,IF(U656&lt;=AsOf+AlertDays,2,IF(U656&lt;=AsOf+2*AlertDays,3,""))))</f>
        <v/>
      </c>
      <c r="W656" s="79">
        <f>IF(V656="","",IF(O656="OVERDUE","Overdue payment: ","Payment due: ")&amp;B656&amp;" — "&amp;C656&amp;" ("&amp;CurSym&amp;" "&amp;FIXED(S656,0)&amp;")")</f>
        <v/>
      </c>
      <c r="Z656" s="116">
        <f>IF('Contractors'!B656="","",'Contractors'!B656)</f>
        <v/>
      </c>
      <c r="AA656" s="77">
        <f>IF(Z656="","",'Contractors'!K656)</f>
        <v/>
      </c>
      <c r="AB656" s="77">
        <f>IF(Z656="","",SUMIFS($L$6:$L$1005,$B$6:$B$1005,Z656))</f>
        <v/>
      </c>
      <c r="AC656" s="77">
        <f>IF(Z656="","",SUMIFS($N$6:$N$1005,$B$6:$B$1005,Z656))</f>
        <v/>
      </c>
      <c r="AD656" s="76">
        <f>IF(Z656="","",AA656-AC656)</f>
        <v/>
      </c>
      <c r="AE656" s="117">
        <f>IF(Z656="","",IFERROR(1/SUMPRODUCT(MAX(($B$6:$B$1005=Z656)*$T$6:$T$1005)),""))</f>
        <v/>
      </c>
      <c r="AF656" s="77">
        <f>IF(AE656="","",SUMIFS($S$6:$S$1005,$B$6:$B$1005,Z656,$I$6:$I$1005,AE656))</f>
        <v/>
      </c>
    </row>
    <row r="657" ht="20" customHeight="1">
      <c r="B657" s="72" t="n"/>
      <c r="C657" s="72" t="n"/>
      <c r="D657" s="72" t="n"/>
      <c r="E657" s="72" t="n"/>
      <c r="F657" s="110" t="n"/>
      <c r="G657" s="73" t="n"/>
      <c r="H657" s="75">
        <f>IF(B657="","",IF(G657&lt;&gt;"",G657,IF(F657&lt;&gt;"",F657*IFERROR(INDEX('Contractors'!$I$6:$I$1005,MATCH(B657,'Contractors'!$B$6:$B$1005,0)),0),"")))</f>
        <v/>
      </c>
      <c r="I657" s="109" t="n"/>
      <c r="J657" s="72" t="n"/>
      <c r="K657" s="109" t="n"/>
      <c r="L657" s="73" t="n"/>
      <c r="M657" s="109" t="n"/>
      <c r="N657" s="73" t="n"/>
      <c r="O657" s="107">
        <f>IF(B657="","",IF(M657&lt;&gt;"","Paid",IF(AND(I657&lt;&gt;"",I657&lt;AsOf),"OVERDUE",IF(OR(K657&lt;&gt;"",L657&lt;&gt;""),"Invoiced","Scheduled"))))</f>
        <v/>
      </c>
      <c r="P657" s="115">
        <f>IF(B657="","",IF(E657&lt;&gt;"",E657,IFERROR(INDEX('Contractors'!$D$6:$D$1005,MATCH(B657,'Contractors'!$B$6:$B$1005,0)),"")))</f>
        <v/>
      </c>
      <c r="Q657" s="79">
        <f>IF(B657="","",IF(D657&lt;&gt;"",D657,IFERROR(INDEX('Contractors'!$E$6:$E$1005,MATCH(B657,'Contractors'!$B$6:$B$1005,0)),"")))</f>
        <v/>
      </c>
      <c r="R657" s="79">
        <f>IF(O657="","",IF(O657="OVERDUE",2,IF(O657="Paid",0,IF(AND(I657&lt;&gt;"",I657&lt;=AsOf+AlertDays),1,0))))</f>
        <v/>
      </c>
      <c r="S657" s="79">
        <f>IF(AND(B657&lt;&gt;"",M657="",I657&lt;&gt;""),IF(L657&lt;&gt;"",L657,IF(H657="",0,H657)),0)</f>
        <v/>
      </c>
      <c r="T657" s="79">
        <f>IF(AND(B657&lt;&gt;"",M657="",I657&lt;&gt;""),1/I657,0)</f>
        <v/>
      </c>
      <c r="U657" s="112">
        <f>IF(AND(B657&lt;&gt;"",M657="",I657&lt;&gt;""),I657,"")</f>
        <v/>
      </c>
      <c r="V657" s="79">
        <f>IF(U657="","",IF(U657&lt;AsOf,1,IF(U657&lt;=AsOf+AlertDays,2,IF(U657&lt;=AsOf+2*AlertDays,3,""))))</f>
        <v/>
      </c>
      <c r="W657" s="79">
        <f>IF(V657="","",IF(O657="OVERDUE","Overdue payment: ","Payment due: ")&amp;B657&amp;" — "&amp;C657&amp;" ("&amp;CurSym&amp;" "&amp;FIXED(S657,0)&amp;")")</f>
        <v/>
      </c>
      <c r="Z657" s="116">
        <f>IF('Contractors'!B657="","",'Contractors'!B657)</f>
        <v/>
      </c>
      <c r="AA657" s="77">
        <f>IF(Z657="","",'Contractors'!K657)</f>
        <v/>
      </c>
      <c r="AB657" s="77">
        <f>IF(Z657="","",SUMIFS($L$6:$L$1005,$B$6:$B$1005,Z657))</f>
        <v/>
      </c>
      <c r="AC657" s="77">
        <f>IF(Z657="","",SUMIFS($N$6:$N$1005,$B$6:$B$1005,Z657))</f>
        <v/>
      </c>
      <c r="AD657" s="76">
        <f>IF(Z657="","",AA657-AC657)</f>
        <v/>
      </c>
      <c r="AE657" s="117">
        <f>IF(Z657="","",IFERROR(1/SUMPRODUCT(MAX(($B$6:$B$1005=Z657)*$T$6:$T$1005)),""))</f>
        <v/>
      </c>
      <c r="AF657" s="77">
        <f>IF(AE657="","",SUMIFS($S$6:$S$1005,$B$6:$B$1005,Z657,$I$6:$I$1005,AE657))</f>
        <v/>
      </c>
    </row>
    <row r="658" ht="20" customHeight="1">
      <c r="B658" s="72" t="n"/>
      <c r="C658" s="72" t="n"/>
      <c r="D658" s="72" t="n"/>
      <c r="E658" s="72" t="n"/>
      <c r="F658" s="110" t="n"/>
      <c r="G658" s="73" t="n"/>
      <c r="H658" s="75">
        <f>IF(B658="","",IF(G658&lt;&gt;"",G658,IF(F658&lt;&gt;"",F658*IFERROR(INDEX('Contractors'!$I$6:$I$1005,MATCH(B658,'Contractors'!$B$6:$B$1005,0)),0),"")))</f>
        <v/>
      </c>
      <c r="I658" s="109" t="n"/>
      <c r="J658" s="72" t="n"/>
      <c r="K658" s="109" t="n"/>
      <c r="L658" s="73" t="n"/>
      <c r="M658" s="109" t="n"/>
      <c r="N658" s="73" t="n"/>
      <c r="O658" s="107">
        <f>IF(B658="","",IF(M658&lt;&gt;"","Paid",IF(AND(I658&lt;&gt;"",I658&lt;AsOf),"OVERDUE",IF(OR(K658&lt;&gt;"",L658&lt;&gt;""),"Invoiced","Scheduled"))))</f>
        <v/>
      </c>
      <c r="P658" s="115">
        <f>IF(B658="","",IF(E658&lt;&gt;"",E658,IFERROR(INDEX('Contractors'!$D$6:$D$1005,MATCH(B658,'Contractors'!$B$6:$B$1005,0)),"")))</f>
        <v/>
      </c>
      <c r="Q658" s="79">
        <f>IF(B658="","",IF(D658&lt;&gt;"",D658,IFERROR(INDEX('Contractors'!$E$6:$E$1005,MATCH(B658,'Contractors'!$B$6:$B$1005,0)),"")))</f>
        <v/>
      </c>
      <c r="R658" s="79">
        <f>IF(O658="","",IF(O658="OVERDUE",2,IF(O658="Paid",0,IF(AND(I658&lt;&gt;"",I658&lt;=AsOf+AlertDays),1,0))))</f>
        <v/>
      </c>
      <c r="S658" s="79">
        <f>IF(AND(B658&lt;&gt;"",M658="",I658&lt;&gt;""),IF(L658&lt;&gt;"",L658,IF(H658="",0,H658)),0)</f>
        <v/>
      </c>
      <c r="T658" s="79">
        <f>IF(AND(B658&lt;&gt;"",M658="",I658&lt;&gt;""),1/I658,0)</f>
        <v/>
      </c>
      <c r="U658" s="112">
        <f>IF(AND(B658&lt;&gt;"",M658="",I658&lt;&gt;""),I658,"")</f>
        <v/>
      </c>
      <c r="V658" s="79">
        <f>IF(U658="","",IF(U658&lt;AsOf,1,IF(U658&lt;=AsOf+AlertDays,2,IF(U658&lt;=AsOf+2*AlertDays,3,""))))</f>
        <v/>
      </c>
      <c r="W658" s="79">
        <f>IF(V658="","",IF(O658="OVERDUE","Overdue payment: ","Payment due: ")&amp;B658&amp;" — "&amp;C658&amp;" ("&amp;CurSym&amp;" "&amp;FIXED(S658,0)&amp;")")</f>
        <v/>
      </c>
      <c r="Z658" s="116">
        <f>IF('Contractors'!B658="","",'Contractors'!B658)</f>
        <v/>
      </c>
      <c r="AA658" s="77">
        <f>IF(Z658="","",'Contractors'!K658)</f>
        <v/>
      </c>
      <c r="AB658" s="77">
        <f>IF(Z658="","",SUMIFS($L$6:$L$1005,$B$6:$B$1005,Z658))</f>
        <v/>
      </c>
      <c r="AC658" s="77">
        <f>IF(Z658="","",SUMIFS($N$6:$N$1005,$B$6:$B$1005,Z658))</f>
        <v/>
      </c>
      <c r="AD658" s="76">
        <f>IF(Z658="","",AA658-AC658)</f>
        <v/>
      </c>
      <c r="AE658" s="117">
        <f>IF(Z658="","",IFERROR(1/SUMPRODUCT(MAX(($B$6:$B$1005=Z658)*$T$6:$T$1005)),""))</f>
        <v/>
      </c>
      <c r="AF658" s="77">
        <f>IF(AE658="","",SUMIFS($S$6:$S$1005,$B$6:$B$1005,Z658,$I$6:$I$1005,AE658))</f>
        <v/>
      </c>
    </row>
    <row r="659" ht="20" customHeight="1">
      <c r="B659" s="72" t="n"/>
      <c r="C659" s="72" t="n"/>
      <c r="D659" s="72" t="n"/>
      <c r="E659" s="72" t="n"/>
      <c r="F659" s="110" t="n"/>
      <c r="G659" s="73" t="n"/>
      <c r="H659" s="75">
        <f>IF(B659="","",IF(G659&lt;&gt;"",G659,IF(F659&lt;&gt;"",F659*IFERROR(INDEX('Contractors'!$I$6:$I$1005,MATCH(B659,'Contractors'!$B$6:$B$1005,0)),0),"")))</f>
        <v/>
      </c>
      <c r="I659" s="109" t="n"/>
      <c r="J659" s="72" t="n"/>
      <c r="K659" s="109" t="n"/>
      <c r="L659" s="73" t="n"/>
      <c r="M659" s="109" t="n"/>
      <c r="N659" s="73" t="n"/>
      <c r="O659" s="107">
        <f>IF(B659="","",IF(M659&lt;&gt;"","Paid",IF(AND(I659&lt;&gt;"",I659&lt;AsOf),"OVERDUE",IF(OR(K659&lt;&gt;"",L659&lt;&gt;""),"Invoiced","Scheduled"))))</f>
        <v/>
      </c>
      <c r="P659" s="115">
        <f>IF(B659="","",IF(E659&lt;&gt;"",E659,IFERROR(INDEX('Contractors'!$D$6:$D$1005,MATCH(B659,'Contractors'!$B$6:$B$1005,0)),"")))</f>
        <v/>
      </c>
      <c r="Q659" s="79">
        <f>IF(B659="","",IF(D659&lt;&gt;"",D659,IFERROR(INDEX('Contractors'!$E$6:$E$1005,MATCH(B659,'Contractors'!$B$6:$B$1005,0)),"")))</f>
        <v/>
      </c>
      <c r="R659" s="79">
        <f>IF(O659="","",IF(O659="OVERDUE",2,IF(O659="Paid",0,IF(AND(I659&lt;&gt;"",I659&lt;=AsOf+AlertDays),1,0))))</f>
        <v/>
      </c>
      <c r="S659" s="79">
        <f>IF(AND(B659&lt;&gt;"",M659="",I659&lt;&gt;""),IF(L659&lt;&gt;"",L659,IF(H659="",0,H659)),0)</f>
        <v/>
      </c>
      <c r="T659" s="79">
        <f>IF(AND(B659&lt;&gt;"",M659="",I659&lt;&gt;""),1/I659,0)</f>
        <v/>
      </c>
      <c r="U659" s="112">
        <f>IF(AND(B659&lt;&gt;"",M659="",I659&lt;&gt;""),I659,"")</f>
        <v/>
      </c>
      <c r="V659" s="79">
        <f>IF(U659="","",IF(U659&lt;AsOf,1,IF(U659&lt;=AsOf+AlertDays,2,IF(U659&lt;=AsOf+2*AlertDays,3,""))))</f>
        <v/>
      </c>
      <c r="W659" s="79">
        <f>IF(V659="","",IF(O659="OVERDUE","Overdue payment: ","Payment due: ")&amp;B659&amp;" — "&amp;C659&amp;" ("&amp;CurSym&amp;" "&amp;FIXED(S659,0)&amp;")")</f>
        <v/>
      </c>
      <c r="Z659" s="116">
        <f>IF('Contractors'!B659="","",'Contractors'!B659)</f>
        <v/>
      </c>
      <c r="AA659" s="77">
        <f>IF(Z659="","",'Contractors'!K659)</f>
        <v/>
      </c>
      <c r="AB659" s="77">
        <f>IF(Z659="","",SUMIFS($L$6:$L$1005,$B$6:$B$1005,Z659))</f>
        <v/>
      </c>
      <c r="AC659" s="77">
        <f>IF(Z659="","",SUMIFS($N$6:$N$1005,$B$6:$B$1005,Z659))</f>
        <v/>
      </c>
      <c r="AD659" s="76">
        <f>IF(Z659="","",AA659-AC659)</f>
        <v/>
      </c>
      <c r="AE659" s="117">
        <f>IF(Z659="","",IFERROR(1/SUMPRODUCT(MAX(($B$6:$B$1005=Z659)*$T$6:$T$1005)),""))</f>
        <v/>
      </c>
      <c r="AF659" s="77">
        <f>IF(AE659="","",SUMIFS($S$6:$S$1005,$B$6:$B$1005,Z659,$I$6:$I$1005,AE659))</f>
        <v/>
      </c>
    </row>
    <row r="660" ht="20" customHeight="1">
      <c r="B660" s="72" t="n"/>
      <c r="C660" s="72" t="n"/>
      <c r="D660" s="72" t="n"/>
      <c r="E660" s="72" t="n"/>
      <c r="F660" s="110" t="n"/>
      <c r="G660" s="73" t="n"/>
      <c r="H660" s="75">
        <f>IF(B660="","",IF(G660&lt;&gt;"",G660,IF(F660&lt;&gt;"",F660*IFERROR(INDEX('Contractors'!$I$6:$I$1005,MATCH(B660,'Contractors'!$B$6:$B$1005,0)),0),"")))</f>
        <v/>
      </c>
      <c r="I660" s="109" t="n"/>
      <c r="J660" s="72" t="n"/>
      <c r="K660" s="109" t="n"/>
      <c r="L660" s="73" t="n"/>
      <c r="M660" s="109" t="n"/>
      <c r="N660" s="73" t="n"/>
      <c r="O660" s="107">
        <f>IF(B660="","",IF(M660&lt;&gt;"","Paid",IF(AND(I660&lt;&gt;"",I660&lt;AsOf),"OVERDUE",IF(OR(K660&lt;&gt;"",L660&lt;&gt;""),"Invoiced","Scheduled"))))</f>
        <v/>
      </c>
      <c r="P660" s="115">
        <f>IF(B660="","",IF(E660&lt;&gt;"",E660,IFERROR(INDEX('Contractors'!$D$6:$D$1005,MATCH(B660,'Contractors'!$B$6:$B$1005,0)),"")))</f>
        <v/>
      </c>
      <c r="Q660" s="79">
        <f>IF(B660="","",IF(D660&lt;&gt;"",D660,IFERROR(INDEX('Contractors'!$E$6:$E$1005,MATCH(B660,'Contractors'!$B$6:$B$1005,0)),"")))</f>
        <v/>
      </c>
      <c r="R660" s="79">
        <f>IF(O660="","",IF(O660="OVERDUE",2,IF(O660="Paid",0,IF(AND(I660&lt;&gt;"",I660&lt;=AsOf+AlertDays),1,0))))</f>
        <v/>
      </c>
      <c r="S660" s="79">
        <f>IF(AND(B660&lt;&gt;"",M660="",I660&lt;&gt;""),IF(L660&lt;&gt;"",L660,IF(H660="",0,H660)),0)</f>
        <v/>
      </c>
      <c r="T660" s="79">
        <f>IF(AND(B660&lt;&gt;"",M660="",I660&lt;&gt;""),1/I660,0)</f>
        <v/>
      </c>
      <c r="U660" s="112">
        <f>IF(AND(B660&lt;&gt;"",M660="",I660&lt;&gt;""),I660,"")</f>
        <v/>
      </c>
      <c r="V660" s="79">
        <f>IF(U660="","",IF(U660&lt;AsOf,1,IF(U660&lt;=AsOf+AlertDays,2,IF(U660&lt;=AsOf+2*AlertDays,3,""))))</f>
        <v/>
      </c>
      <c r="W660" s="79">
        <f>IF(V660="","",IF(O660="OVERDUE","Overdue payment: ","Payment due: ")&amp;B660&amp;" — "&amp;C660&amp;" ("&amp;CurSym&amp;" "&amp;FIXED(S660,0)&amp;")")</f>
        <v/>
      </c>
      <c r="Z660" s="116">
        <f>IF('Contractors'!B660="","",'Contractors'!B660)</f>
        <v/>
      </c>
      <c r="AA660" s="77">
        <f>IF(Z660="","",'Contractors'!K660)</f>
        <v/>
      </c>
      <c r="AB660" s="77">
        <f>IF(Z660="","",SUMIFS($L$6:$L$1005,$B$6:$B$1005,Z660))</f>
        <v/>
      </c>
      <c r="AC660" s="77">
        <f>IF(Z660="","",SUMIFS($N$6:$N$1005,$B$6:$B$1005,Z660))</f>
        <v/>
      </c>
      <c r="AD660" s="76">
        <f>IF(Z660="","",AA660-AC660)</f>
        <v/>
      </c>
      <c r="AE660" s="117">
        <f>IF(Z660="","",IFERROR(1/SUMPRODUCT(MAX(($B$6:$B$1005=Z660)*$T$6:$T$1005)),""))</f>
        <v/>
      </c>
      <c r="AF660" s="77">
        <f>IF(AE660="","",SUMIFS($S$6:$S$1005,$B$6:$B$1005,Z660,$I$6:$I$1005,AE660))</f>
        <v/>
      </c>
    </row>
    <row r="661" ht="20" customHeight="1">
      <c r="B661" s="72" t="n"/>
      <c r="C661" s="72" t="n"/>
      <c r="D661" s="72" t="n"/>
      <c r="E661" s="72" t="n"/>
      <c r="F661" s="110" t="n"/>
      <c r="G661" s="73" t="n"/>
      <c r="H661" s="75">
        <f>IF(B661="","",IF(G661&lt;&gt;"",G661,IF(F661&lt;&gt;"",F661*IFERROR(INDEX('Contractors'!$I$6:$I$1005,MATCH(B661,'Contractors'!$B$6:$B$1005,0)),0),"")))</f>
        <v/>
      </c>
      <c r="I661" s="109" t="n"/>
      <c r="J661" s="72" t="n"/>
      <c r="K661" s="109" t="n"/>
      <c r="L661" s="73" t="n"/>
      <c r="M661" s="109" t="n"/>
      <c r="N661" s="73" t="n"/>
      <c r="O661" s="107">
        <f>IF(B661="","",IF(M661&lt;&gt;"","Paid",IF(AND(I661&lt;&gt;"",I661&lt;AsOf),"OVERDUE",IF(OR(K661&lt;&gt;"",L661&lt;&gt;""),"Invoiced","Scheduled"))))</f>
        <v/>
      </c>
      <c r="P661" s="115">
        <f>IF(B661="","",IF(E661&lt;&gt;"",E661,IFERROR(INDEX('Contractors'!$D$6:$D$1005,MATCH(B661,'Contractors'!$B$6:$B$1005,0)),"")))</f>
        <v/>
      </c>
      <c r="Q661" s="79">
        <f>IF(B661="","",IF(D661&lt;&gt;"",D661,IFERROR(INDEX('Contractors'!$E$6:$E$1005,MATCH(B661,'Contractors'!$B$6:$B$1005,0)),"")))</f>
        <v/>
      </c>
      <c r="R661" s="79">
        <f>IF(O661="","",IF(O661="OVERDUE",2,IF(O661="Paid",0,IF(AND(I661&lt;&gt;"",I661&lt;=AsOf+AlertDays),1,0))))</f>
        <v/>
      </c>
      <c r="S661" s="79">
        <f>IF(AND(B661&lt;&gt;"",M661="",I661&lt;&gt;""),IF(L661&lt;&gt;"",L661,IF(H661="",0,H661)),0)</f>
        <v/>
      </c>
      <c r="T661" s="79">
        <f>IF(AND(B661&lt;&gt;"",M661="",I661&lt;&gt;""),1/I661,0)</f>
        <v/>
      </c>
      <c r="U661" s="112">
        <f>IF(AND(B661&lt;&gt;"",M661="",I661&lt;&gt;""),I661,"")</f>
        <v/>
      </c>
      <c r="V661" s="79">
        <f>IF(U661="","",IF(U661&lt;AsOf,1,IF(U661&lt;=AsOf+AlertDays,2,IF(U661&lt;=AsOf+2*AlertDays,3,""))))</f>
        <v/>
      </c>
      <c r="W661" s="79">
        <f>IF(V661="","",IF(O661="OVERDUE","Overdue payment: ","Payment due: ")&amp;B661&amp;" — "&amp;C661&amp;" ("&amp;CurSym&amp;" "&amp;FIXED(S661,0)&amp;")")</f>
        <v/>
      </c>
      <c r="Z661" s="116">
        <f>IF('Contractors'!B661="","",'Contractors'!B661)</f>
        <v/>
      </c>
      <c r="AA661" s="77">
        <f>IF(Z661="","",'Contractors'!K661)</f>
        <v/>
      </c>
      <c r="AB661" s="77">
        <f>IF(Z661="","",SUMIFS($L$6:$L$1005,$B$6:$B$1005,Z661))</f>
        <v/>
      </c>
      <c r="AC661" s="77">
        <f>IF(Z661="","",SUMIFS($N$6:$N$1005,$B$6:$B$1005,Z661))</f>
        <v/>
      </c>
      <c r="AD661" s="76">
        <f>IF(Z661="","",AA661-AC661)</f>
        <v/>
      </c>
      <c r="AE661" s="117">
        <f>IF(Z661="","",IFERROR(1/SUMPRODUCT(MAX(($B$6:$B$1005=Z661)*$T$6:$T$1005)),""))</f>
        <v/>
      </c>
      <c r="AF661" s="77">
        <f>IF(AE661="","",SUMIFS($S$6:$S$1005,$B$6:$B$1005,Z661,$I$6:$I$1005,AE661))</f>
        <v/>
      </c>
    </row>
    <row r="662" ht="20" customHeight="1">
      <c r="B662" s="72" t="n"/>
      <c r="C662" s="72" t="n"/>
      <c r="D662" s="72" t="n"/>
      <c r="E662" s="72" t="n"/>
      <c r="F662" s="110" t="n"/>
      <c r="G662" s="73" t="n"/>
      <c r="H662" s="75">
        <f>IF(B662="","",IF(G662&lt;&gt;"",G662,IF(F662&lt;&gt;"",F662*IFERROR(INDEX('Contractors'!$I$6:$I$1005,MATCH(B662,'Contractors'!$B$6:$B$1005,0)),0),"")))</f>
        <v/>
      </c>
      <c r="I662" s="109" t="n"/>
      <c r="J662" s="72" t="n"/>
      <c r="K662" s="109" t="n"/>
      <c r="L662" s="73" t="n"/>
      <c r="M662" s="109" t="n"/>
      <c r="N662" s="73" t="n"/>
      <c r="O662" s="107">
        <f>IF(B662="","",IF(M662&lt;&gt;"","Paid",IF(AND(I662&lt;&gt;"",I662&lt;AsOf),"OVERDUE",IF(OR(K662&lt;&gt;"",L662&lt;&gt;""),"Invoiced","Scheduled"))))</f>
        <v/>
      </c>
      <c r="P662" s="115">
        <f>IF(B662="","",IF(E662&lt;&gt;"",E662,IFERROR(INDEX('Contractors'!$D$6:$D$1005,MATCH(B662,'Contractors'!$B$6:$B$1005,0)),"")))</f>
        <v/>
      </c>
      <c r="Q662" s="79">
        <f>IF(B662="","",IF(D662&lt;&gt;"",D662,IFERROR(INDEX('Contractors'!$E$6:$E$1005,MATCH(B662,'Contractors'!$B$6:$B$1005,0)),"")))</f>
        <v/>
      </c>
      <c r="R662" s="79">
        <f>IF(O662="","",IF(O662="OVERDUE",2,IF(O662="Paid",0,IF(AND(I662&lt;&gt;"",I662&lt;=AsOf+AlertDays),1,0))))</f>
        <v/>
      </c>
      <c r="S662" s="79">
        <f>IF(AND(B662&lt;&gt;"",M662="",I662&lt;&gt;""),IF(L662&lt;&gt;"",L662,IF(H662="",0,H662)),0)</f>
        <v/>
      </c>
      <c r="T662" s="79">
        <f>IF(AND(B662&lt;&gt;"",M662="",I662&lt;&gt;""),1/I662,0)</f>
        <v/>
      </c>
      <c r="U662" s="112">
        <f>IF(AND(B662&lt;&gt;"",M662="",I662&lt;&gt;""),I662,"")</f>
        <v/>
      </c>
      <c r="V662" s="79">
        <f>IF(U662="","",IF(U662&lt;AsOf,1,IF(U662&lt;=AsOf+AlertDays,2,IF(U662&lt;=AsOf+2*AlertDays,3,""))))</f>
        <v/>
      </c>
      <c r="W662" s="79">
        <f>IF(V662="","",IF(O662="OVERDUE","Overdue payment: ","Payment due: ")&amp;B662&amp;" — "&amp;C662&amp;" ("&amp;CurSym&amp;" "&amp;FIXED(S662,0)&amp;")")</f>
        <v/>
      </c>
      <c r="Z662" s="116">
        <f>IF('Contractors'!B662="","",'Contractors'!B662)</f>
        <v/>
      </c>
      <c r="AA662" s="77">
        <f>IF(Z662="","",'Contractors'!K662)</f>
        <v/>
      </c>
      <c r="AB662" s="77">
        <f>IF(Z662="","",SUMIFS($L$6:$L$1005,$B$6:$B$1005,Z662))</f>
        <v/>
      </c>
      <c r="AC662" s="77">
        <f>IF(Z662="","",SUMIFS($N$6:$N$1005,$B$6:$B$1005,Z662))</f>
        <v/>
      </c>
      <c r="AD662" s="76">
        <f>IF(Z662="","",AA662-AC662)</f>
        <v/>
      </c>
      <c r="AE662" s="117">
        <f>IF(Z662="","",IFERROR(1/SUMPRODUCT(MAX(($B$6:$B$1005=Z662)*$T$6:$T$1005)),""))</f>
        <v/>
      </c>
      <c r="AF662" s="77">
        <f>IF(AE662="","",SUMIFS($S$6:$S$1005,$B$6:$B$1005,Z662,$I$6:$I$1005,AE662))</f>
        <v/>
      </c>
    </row>
    <row r="663" ht="20" customHeight="1">
      <c r="B663" s="72" t="n"/>
      <c r="C663" s="72" t="n"/>
      <c r="D663" s="72" t="n"/>
      <c r="E663" s="72" t="n"/>
      <c r="F663" s="110" t="n"/>
      <c r="G663" s="73" t="n"/>
      <c r="H663" s="75">
        <f>IF(B663="","",IF(G663&lt;&gt;"",G663,IF(F663&lt;&gt;"",F663*IFERROR(INDEX('Contractors'!$I$6:$I$1005,MATCH(B663,'Contractors'!$B$6:$B$1005,0)),0),"")))</f>
        <v/>
      </c>
      <c r="I663" s="109" t="n"/>
      <c r="J663" s="72" t="n"/>
      <c r="K663" s="109" t="n"/>
      <c r="L663" s="73" t="n"/>
      <c r="M663" s="109" t="n"/>
      <c r="N663" s="73" t="n"/>
      <c r="O663" s="107">
        <f>IF(B663="","",IF(M663&lt;&gt;"","Paid",IF(AND(I663&lt;&gt;"",I663&lt;AsOf),"OVERDUE",IF(OR(K663&lt;&gt;"",L663&lt;&gt;""),"Invoiced","Scheduled"))))</f>
        <v/>
      </c>
      <c r="P663" s="115">
        <f>IF(B663="","",IF(E663&lt;&gt;"",E663,IFERROR(INDEX('Contractors'!$D$6:$D$1005,MATCH(B663,'Contractors'!$B$6:$B$1005,0)),"")))</f>
        <v/>
      </c>
      <c r="Q663" s="79">
        <f>IF(B663="","",IF(D663&lt;&gt;"",D663,IFERROR(INDEX('Contractors'!$E$6:$E$1005,MATCH(B663,'Contractors'!$B$6:$B$1005,0)),"")))</f>
        <v/>
      </c>
      <c r="R663" s="79">
        <f>IF(O663="","",IF(O663="OVERDUE",2,IF(O663="Paid",0,IF(AND(I663&lt;&gt;"",I663&lt;=AsOf+AlertDays),1,0))))</f>
        <v/>
      </c>
      <c r="S663" s="79">
        <f>IF(AND(B663&lt;&gt;"",M663="",I663&lt;&gt;""),IF(L663&lt;&gt;"",L663,IF(H663="",0,H663)),0)</f>
        <v/>
      </c>
      <c r="T663" s="79">
        <f>IF(AND(B663&lt;&gt;"",M663="",I663&lt;&gt;""),1/I663,0)</f>
        <v/>
      </c>
      <c r="U663" s="112">
        <f>IF(AND(B663&lt;&gt;"",M663="",I663&lt;&gt;""),I663,"")</f>
        <v/>
      </c>
      <c r="V663" s="79">
        <f>IF(U663="","",IF(U663&lt;AsOf,1,IF(U663&lt;=AsOf+AlertDays,2,IF(U663&lt;=AsOf+2*AlertDays,3,""))))</f>
        <v/>
      </c>
      <c r="W663" s="79">
        <f>IF(V663="","",IF(O663="OVERDUE","Overdue payment: ","Payment due: ")&amp;B663&amp;" — "&amp;C663&amp;" ("&amp;CurSym&amp;" "&amp;FIXED(S663,0)&amp;")")</f>
        <v/>
      </c>
      <c r="Z663" s="116">
        <f>IF('Contractors'!B663="","",'Contractors'!B663)</f>
        <v/>
      </c>
      <c r="AA663" s="77">
        <f>IF(Z663="","",'Contractors'!K663)</f>
        <v/>
      </c>
      <c r="AB663" s="77">
        <f>IF(Z663="","",SUMIFS($L$6:$L$1005,$B$6:$B$1005,Z663))</f>
        <v/>
      </c>
      <c r="AC663" s="77">
        <f>IF(Z663="","",SUMIFS($N$6:$N$1005,$B$6:$B$1005,Z663))</f>
        <v/>
      </c>
      <c r="AD663" s="76">
        <f>IF(Z663="","",AA663-AC663)</f>
        <v/>
      </c>
      <c r="AE663" s="117">
        <f>IF(Z663="","",IFERROR(1/SUMPRODUCT(MAX(($B$6:$B$1005=Z663)*$T$6:$T$1005)),""))</f>
        <v/>
      </c>
      <c r="AF663" s="77">
        <f>IF(AE663="","",SUMIFS($S$6:$S$1005,$B$6:$B$1005,Z663,$I$6:$I$1005,AE663))</f>
        <v/>
      </c>
    </row>
    <row r="664" ht="20" customHeight="1">
      <c r="B664" s="72" t="n"/>
      <c r="C664" s="72" t="n"/>
      <c r="D664" s="72" t="n"/>
      <c r="E664" s="72" t="n"/>
      <c r="F664" s="110" t="n"/>
      <c r="G664" s="73" t="n"/>
      <c r="H664" s="75">
        <f>IF(B664="","",IF(G664&lt;&gt;"",G664,IF(F664&lt;&gt;"",F664*IFERROR(INDEX('Contractors'!$I$6:$I$1005,MATCH(B664,'Contractors'!$B$6:$B$1005,0)),0),"")))</f>
        <v/>
      </c>
      <c r="I664" s="109" t="n"/>
      <c r="J664" s="72" t="n"/>
      <c r="K664" s="109" t="n"/>
      <c r="L664" s="73" t="n"/>
      <c r="M664" s="109" t="n"/>
      <c r="N664" s="73" t="n"/>
      <c r="O664" s="107">
        <f>IF(B664="","",IF(M664&lt;&gt;"","Paid",IF(AND(I664&lt;&gt;"",I664&lt;AsOf),"OVERDUE",IF(OR(K664&lt;&gt;"",L664&lt;&gt;""),"Invoiced","Scheduled"))))</f>
        <v/>
      </c>
      <c r="P664" s="115">
        <f>IF(B664="","",IF(E664&lt;&gt;"",E664,IFERROR(INDEX('Contractors'!$D$6:$D$1005,MATCH(B664,'Contractors'!$B$6:$B$1005,0)),"")))</f>
        <v/>
      </c>
      <c r="Q664" s="79">
        <f>IF(B664="","",IF(D664&lt;&gt;"",D664,IFERROR(INDEX('Contractors'!$E$6:$E$1005,MATCH(B664,'Contractors'!$B$6:$B$1005,0)),"")))</f>
        <v/>
      </c>
      <c r="R664" s="79">
        <f>IF(O664="","",IF(O664="OVERDUE",2,IF(O664="Paid",0,IF(AND(I664&lt;&gt;"",I664&lt;=AsOf+AlertDays),1,0))))</f>
        <v/>
      </c>
      <c r="S664" s="79">
        <f>IF(AND(B664&lt;&gt;"",M664="",I664&lt;&gt;""),IF(L664&lt;&gt;"",L664,IF(H664="",0,H664)),0)</f>
        <v/>
      </c>
      <c r="T664" s="79">
        <f>IF(AND(B664&lt;&gt;"",M664="",I664&lt;&gt;""),1/I664,0)</f>
        <v/>
      </c>
      <c r="U664" s="112">
        <f>IF(AND(B664&lt;&gt;"",M664="",I664&lt;&gt;""),I664,"")</f>
        <v/>
      </c>
      <c r="V664" s="79">
        <f>IF(U664="","",IF(U664&lt;AsOf,1,IF(U664&lt;=AsOf+AlertDays,2,IF(U664&lt;=AsOf+2*AlertDays,3,""))))</f>
        <v/>
      </c>
      <c r="W664" s="79">
        <f>IF(V664="","",IF(O664="OVERDUE","Overdue payment: ","Payment due: ")&amp;B664&amp;" — "&amp;C664&amp;" ("&amp;CurSym&amp;" "&amp;FIXED(S664,0)&amp;")")</f>
        <v/>
      </c>
      <c r="Z664" s="116">
        <f>IF('Contractors'!B664="","",'Contractors'!B664)</f>
        <v/>
      </c>
      <c r="AA664" s="77">
        <f>IF(Z664="","",'Contractors'!K664)</f>
        <v/>
      </c>
      <c r="AB664" s="77">
        <f>IF(Z664="","",SUMIFS($L$6:$L$1005,$B$6:$B$1005,Z664))</f>
        <v/>
      </c>
      <c r="AC664" s="77">
        <f>IF(Z664="","",SUMIFS($N$6:$N$1005,$B$6:$B$1005,Z664))</f>
        <v/>
      </c>
      <c r="AD664" s="76">
        <f>IF(Z664="","",AA664-AC664)</f>
        <v/>
      </c>
      <c r="AE664" s="117">
        <f>IF(Z664="","",IFERROR(1/SUMPRODUCT(MAX(($B$6:$B$1005=Z664)*$T$6:$T$1005)),""))</f>
        <v/>
      </c>
      <c r="AF664" s="77">
        <f>IF(AE664="","",SUMIFS($S$6:$S$1005,$B$6:$B$1005,Z664,$I$6:$I$1005,AE664))</f>
        <v/>
      </c>
    </row>
    <row r="665" ht="20" customHeight="1">
      <c r="B665" s="72" t="n"/>
      <c r="C665" s="72" t="n"/>
      <c r="D665" s="72" t="n"/>
      <c r="E665" s="72" t="n"/>
      <c r="F665" s="110" t="n"/>
      <c r="G665" s="73" t="n"/>
      <c r="H665" s="75">
        <f>IF(B665="","",IF(G665&lt;&gt;"",G665,IF(F665&lt;&gt;"",F665*IFERROR(INDEX('Contractors'!$I$6:$I$1005,MATCH(B665,'Contractors'!$B$6:$B$1005,0)),0),"")))</f>
        <v/>
      </c>
      <c r="I665" s="109" t="n"/>
      <c r="J665" s="72" t="n"/>
      <c r="K665" s="109" t="n"/>
      <c r="L665" s="73" t="n"/>
      <c r="M665" s="109" t="n"/>
      <c r="N665" s="73" t="n"/>
      <c r="O665" s="107">
        <f>IF(B665="","",IF(M665&lt;&gt;"","Paid",IF(AND(I665&lt;&gt;"",I665&lt;AsOf),"OVERDUE",IF(OR(K665&lt;&gt;"",L665&lt;&gt;""),"Invoiced","Scheduled"))))</f>
        <v/>
      </c>
      <c r="P665" s="115">
        <f>IF(B665="","",IF(E665&lt;&gt;"",E665,IFERROR(INDEX('Contractors'!$D$6:$D$1005,MATCH(B665,'Contractors'!$B$6:$B$1005,0)),"")))</f>
        <v/>
      </c>
      <c r="Q665" s="79">
        <f>IF(B665="","",IF(D665&lt;&gt;"",D665,IFERROR(INDEX('Contractors'!$E$6:$E$1005,MATCH(B665,'Contractors'!$B$6:$B$1005,0)),"")))</f>
        <v/>
      </c>
      <c r="R665" s="79">
        <f>IF(O665="","",IF(O665="OVERDUE",2,IF(O665="Paid",0,IF(AND(I665&lt;&gt;"",I665&lt;=AsOf+AlertDays),1,0))))</f>
        <v/>
      </c>
      <c r="S665" s="79">
        <f>IF(AND(B665&lt;&gt;"",M665="",I665&lt;&gt;""),IF(L665&lt;&gt;"",L665,IF(H665="",0,H665)),0)</f>
        <v/>
      </c>
      <c r="T665" s="79">
        <f>IF(AND(B665&lt;&gt;"",M665="",I665&lt;&gt;""),1/I665,0)</f>
        <v/>
      </c>
      <c r="U665" s="112">
        <f>IF(AND(B665&lt;&gt;"",M665="",I665&lt;&gt;""),I665,"")</f>
        <v/>
      </c>
      <c r="V665" s="79">
        <f>IF(U665="","",IF(U665&lt;AsOf,1,IF(U665&lt;=AsOf+AlertDays,2,IF(U665&lt;=AsOf+2*AlertDays,3,""))))</f>
        <v/>
      </c>
      <c r="W665" s="79">
        <f>IF(V665="","",IF(O665="OVERDUE","Overdue payment: ","Payment due: ")&amp;B665&amp;" — "&amp;C665&amp;" ("&amp;CurSym&amp;" "&amp;FIXED(S665,0)&amp;")")</f>
        <v/>
      </c>
      <c r="Z665" s="116">
        <f>IF('Contractors'!B665="","",'Contractors'!B665)</f>
        <v/>
      </c>
      <c r="AA665" s="77">
        <f>IF(Z665="","",'Contractors'!K665)</f>
        <v/>
      </c>
      <c r="AB665" s="77">
        <f>IF(Z665="","",SUMIFS($L$6:$L$1005,$B$6:$B$1005,Z665))</f>
        <v/>
      </c>
      <c r="AC665" s="77">
        <f>IF(Z665="","",SUMIFS($N$6:$N$1005,$B$6:$B$1005,Z665))</f>
        <v/>
      </c>
      <c r="AD665" s="76">
        <f>IF(Z665="","",AA665-AC665)</f>
        <v/>
      </c>
      <c r="AE665" s="117">
        <f>IF(Z665="","",IFERROR(1/SUMPRODUCT(MAX(($B$6:$B$1005=Z665)*$T$6:$T$1005)),""))</f>
        <v/>
      </c>
      <c r="AF665" s="77">
        <f>IF(AE665="","",SUMIFS($S$6:$S$1005,$B$6:$B$1005,Z665,$I$6:$I$1005,AE665))</f>
        <v/>
      </c>
    </row>
    <row r="666" ht="20" customHeight="1">
      <c r="B666" s="72" t="n"/>
      <c r="C666" s="72" t="n"/>
      <c r="D666" s="72" t="n"/>
      <c r="E666" s="72" t="n"/>
      <c r="F666" s="110" t="n"/>
      <c r="G666" s="73" t="n"/>
      <c r="H666" s="75">
        <f>IF(B666="","",IF(G666&lt;&gt;"",G666,IF(F666&lt;&gt;"",F666*IFERROR(INDEX('Contractors'!$I$6:$I$1005,MATCH(B666,'Contractors'!$B$6:$B$1005,0)),0),"")))</f>
        <v/>
      </c>
      <c r="I666" s="109" t="n"/>
      <c r="J666" s="72" t="n"/>
      <c r="K666" s="109" t="n"/>
      <c r="L666" s="73" t="n"/>
      <c r="M666" s="109" t="n"/>
      <c r="N666" s="73" t="n"/>
      <c r="O666" s="107">
        <f>IF(B666="","",IF(M666&lt;&gt;"","Paid",IF(AND(I666&lt;&gt;"",I666&lt;AsOf),"OVERDUE",IF(OR(K666&lt;&gt;"",L666&lt;&gt;""),"Invoiced","Scheduled"))))</f>
        <v/>
      </c>
      <c r="P666" s="115">
        <f>IF(B666="","",IF(E666&lt;&gt;"",E666,IFERROR(INDEX('Contractors'!$D$6:$D$1005,MATCH(B666,'Contractors'!$B$6:$B$1005,0)),"")))</f>
        <v/>
      </c>
      <c r="Q666" s="79">
        <f>IF(B666="","",IF(D666&lt;&gt;"",D666,IFERROR(INDEX('Contractors'!$E$6:$E$1005,MATCH(B666,'Contractors'!$B$6:$B$1005,0)),"")))</f>
        <v/>
      </c>
      <c r="R666" s="79">
        <f>IF(O666="","",IF(O666="OVERDUE",2,IF(O666="Paid",0,IF(AND(I666&lt;&gt;"",I666&lt;=AsOf+AlertDays),1,0))))</f>
        <v/>
      </c>
      <c r="S666" s="79">
        <f>IF(AND(B666&lt;&gt;"",M666="",I666&lt;&gt;""),IF(L666&lt;&gt;"",L666,IF(H666="",0,H666)),0)</f>
        <v/>
      </c>
      <c r="T666" s="79">
        <f>IF(AND(B666&lt;&gt;"",M666="",I666&lt;&gt;""),1/I666,0)</f>
        <v/>
      </c>
      <c r="U666" s="112">
        <f>IF(AND(B666&lt;&gt;"",M666="",I666&lt;&gt;""),I666,"")</f>
        <v/>
      </c>
      <c r="V666" s="79">
        <f>IF(U666="","",IF(U666&lt;AsOf,1,IF(U666&lt;=AsOf+AlertDays,2,IF(U666&lt;=AsOf+2*AlertDays,3,""))))</f>
        <v/>
      </c>
      <c r="W666" s="79">
        <f>IF(V666="","",IF(O666="OVERDUE","Overdue payment: ","Payment due: ")&amp;B666&amp;" — "&amp;C666&amp;" ("&amp;CurSym&amp;" "&amp;FIXED(S666,0)&amp;")")</f>
        <v/>
      </c>
      <c r="Z666" s="116">
        <f>IF('Contractors'!B666="","",'Contractors'!B666)</f>
        <v/>
      </c>
      <c r="AA666" s="77">
        <f>IF(Z666="","",'Contractors'!K666)</f>
        <v/>
      </c>
      <c r="AB666" s="77">
        <f>IF(Z666="","",SUMIFS($L$6:$L$1005,$B$6:$B$1005,Z666))</f>
        <v/>
      </c>
      <c r="AC666" s="77">
        <f>IF(Z666="","",SUMIFS($N$6:$N$1005,$B$6:$B$1005,Z666))</f>
        <v/>
      </c>
      <c r="AD666" s="76">
        <f>IF(Z666="","",AA666-AC666)</f>
        <v/>
      </c>
      <c r="AE666" s="117">
        <f>IF(Z666="","",IFERROR(1/SUMPRODUCT(MAX(($B$6:$B$1005=Z666)*$T$6:$T$1005)),""))</f>
        <v/>
      </c>
      <c r="AF666" s="77">
        <f>IF(AE666="","",SUMIFS($S$6:$S$1005,$B$6:$B$1005,Z666,$I$6:$I$1005,AE666))</f>
        <v/>
      </c>
    </row>
    <row r="667" ht="20" customHeight="1">
      <c r="B667" s="72" t="n"/>
      <c r="C667" s="72" t="n"/>
      <c r="D667" s="72" t="n"/>
      <c r="E667" s="72" t="n"/>
      <c r="F667" s="110" t="n"/>
      <c r="G667" s="73" t="n"/>
      <c r="H667" s="75">
        <f>IF(B667="","",IF(G667&lt;&gt;"",G667,IF(F667&lt;&gt;"",F667*IFERROR(INDEX('Contractors'!$I$6:$I$1005,MATCH(B667,'Contractors'!$B$6:$B$1005,0)),0),"")))</f>
        <v/>
      </c>
      <c r="I667" s="109" t="n"/>
      <c r="J667" s="72" t="n"/>
      <c r="K667" s="109" t="n"/>
      <c r="L667" s="73" t="n"/>
      <c r="M667" s="109" t="n"/>
      <c r="N667" s="73" t="n"/>
      <c r="O667" s="107">
        <f>IF(B667="","",IF(M667&lt;&gt;"","Paid",IF(AND(I667&lt;&gt;"",I667&lt;AsOf),"OVERDUE",IF(OR(K667&lt;&gt;"",L667&lt;&gt;""),"Invoiced","Scheduled"))))</f>
        <v/>
      </c>
      <c r="P667" s="115">
        <f>IF(B667="","",IF(E667&lt;&gt;"",E667,IFERROR(INDEX('Contractors'!$D$6:$D$1005,MATCH(B667,'Contractors'!$B$6:$B$1005,0)),"")))</f>
        <v/>
      </c>
      <c r="Q667" s="79">
        <f>IF(B667="","",IF(D667&lt;&gt;"",D667,IFERROR(INDEX('Contractors'!$E$6:$E$1005,MATCH(B667,'Contractors'!$B$6:$B$1005,0)),"")))</f>
        <v/>
      </c>
      <c r="R667" s="79">
        <f>IF(O667="","",IF(O667="OVERDUE",2,IF(O667="Paid",0,IF(AND(I667&lt;&gt;"",I667&lt;=AsOf+AlertDays),1,0))))</f>
        <v/>
      </c>
      <c r="S667" s="79">
        <f>IF(AND(B667&lt;&gt;"",M667="",I667&lt;&gt;""),IF(L667&lt;&gt;"",L667,IF(H667="",0,H667)),0)</f>
        <v/>
      </c>
      <c r="T667" s="79">
        <f>IF(AND(B667&lt;&gt;"",M667="",I667&lt;&gt;""),1/I667,0)</f>
        <v/>
      </c>
      <c r="U667" s="112">
        <f>IF(AND(B667&lt;&gt;"",M667="",I667&lt;&gt;""),I667,"")</f>
        <v/>
      </c>
      <c r="V667" s="79">
        <f>IF(U667="","",IF(U667&lt;AsOf,1,IF(U667&lt;=AsOf+AlertDays,2,IF(U667&lt;=AsOf+2*AlertDays,3,""))))</f>
        <v/>
      </c>
      <c r="W667" s="79">
        <f>IF(V667="","",IF(O667="OVERDUE","Overdue payment: ","Payment due: ")&amp;B667&amp;" — "&amp;C667&amp;" ("&amp;CurSym&amp;" "&amp;FIXED(S667,0)&amp;")")</f>
        <v/>
      </c>
      <c r="Z667" s="116">
        <f>IF('Contractors'!B667="","",'Contractors'!B667)</f>
        <v/>
      </c>
      <c r="AA667" s="77">
        <f>IF(Z667="","",'Contractors'!K667)</f>
        <v/>
      </c>
      <c r="AB667" s="77">
        <f>IF(Z667="","",SUMIFS($L$6:$L$1005,$B$6:$B$1005,Z667))</f>
        <v/>
      </c>
      <c r="AC667" s="77">
        <f>IF(Z667="","",SUMIFS($N$6:$N$1005,$B$6:$B$1005,Z667))</f>
        <v/>
      </c>
      <c r="AD667" s="76">
        <f>IF(Z667="","",AA667-AC667)</f>
        <v/>
      </c>
      <c r="AE667" s="117">
        <f>IF(Z667="","",IFERROR(1/SUMPRODUCT(MAX(($B$6:$B$1005=Z667)*$T$6:$T$1005)),""))</f>
        <v/>
      </c>
      <c r="AF667" s="77">
        <f>IF(AE667="","",SUMIFS($S$6:$S$1005,$B$6:$B$1005,Z667,$I$6:$I$1005,AE667))</f>
        <v/>
      </c>
    </row>
    <row r="668" ht="20" customHeight="1">
      <c r="B668" s="72" t="n"/>
      <c r="C668" s="72" t="n"/>
      <c r="D668" s="72" t="n"/>
      <c r="E668" s="72" t="n"/>
      <c r="F668" s="110" t="n"/>
      <c r="G668" s="73" t="n"/>
      <c r="H668" s="75">
        <f>IF(B668="","",IF(G668&lt;&gt;"",G668,IF(F668&lt;&gt;"",F668*IFERROR(INDEX('Contractors'!$I$6:$I$1005,MATCH(B668,'Contractors'!$B$6:$B$1005,0)),0),"")))</f>
        <v/>
      </c>
      <c r="I668" s="109" t="n"/>
      <c r="J668" s="72" t="n"/>
      <c r="K668" s="109" t="n"/>
      <c r="L668" s="73" t="n"/>
      <c r="M668" s="109" t="n"/>
      <c r="N668" s="73" t="n"/>
      <c r="O668" s="107">
        <f>IF(B668="","",IF(M668&lt;&gt;"","Paid",IF(AND(I668&lt;&gt;"",I668&lt;AsOf),"OVERDUE",IF(OR(K668&lt;&gt;"",L668&lt;&gt;""),"Invoiced","Scheduled"))))</f>
        <v/>
      </c>
      <c r="P668" s="115">
        <f>IF(B668="","",IF(E668&lt;&gt;"",E668,IFERROR(INDEX('Contractors'!$D$6:$D$1005,MATCH(B668,'Contractors'!$B$6:$B$1005,0)),"")))</f>
        <v/>
      </c>
      <c r="Q668" s="79">
        <f>IF(B668="","",IF(D668&lt;&gt;"",D668,IFERROR(INDEX('Contractors'!$E$6:$E$1005,MATCH(B668,'Contractors'!$B$6:$B$1005,0)),"")))</f>
        <v/>
      </c>
      <c r="R668" s="79">
        <f>IF(O668="","",IF(O668="OVERDUE",2,IF(O668="Paid",0,IF(AND(I668&lt;&gt;"",I668&lt;=AsOf+AlertDays),1,0))))</f>
        <v/>
      </c>
      <c r="S668" s="79">
        <f>IF(AND(B668&lt;&gt;"",M668="",I668&lt;&gt;""),IF(L668&lt;&gt;"",L668,IF(H668="",0,H668)),0)</f>
        <v/>
      </c>
      <c r="T668" s="79">
        <f>IF(AND(B668&lt;&gt;"",M668="",I668&lt;&gt;""),1/I668,0)</f>
        <v/>
      </c>
      <c r="U668" s="112">
        <f>IF(AND(B668&lt;&gt;"",M668="",I668&lt;&gt;""),I668,"")</f>
        <v/>
      </c>
      <c r="V668" s="79">
        <f>IF(U668="","",IF(U668&lt;AsOf,1,IF(U668&lt;=AsOf+AlertDays,2,IF(U668&lt;=AsOf+2*AlertDays,3,""))))</f>
        <v/>
      </c>
      <c r="W668" s="79">
        <f>IF(V668="","",IF(O668="OVERDUE","Overdue payment: ","Payment due: ")&amp;B668&amp;" — "&amp;C668&amp;" ("&amp;CurSym&amp;" "&amp;FIXED(S668,0)&amp;")")</f>
        <v/>
      </c>
      <c r="Z668" s="116">
        <f>IF('Contractors'!B668="","",'Contractors'!B668)</f>
        <v/>
      </c>
      <c r="AA668" s="77">
        <f>IF(Z668="","",'Contractors'!K668)</f>
        <v/>
      </c>
      <c r="AB668" s="77">
        <f>IF(Z668="","",SUMIFS($L$6:$L$1005,$B$6:$B$1005,Z668))</f>
        <v/>
      </c>
      <c r="AC668" s="77">
        <f>IF(Z668="","",SUMIFS($N$6:$N$1005,$B$6:$B$1005,Z668))</f>
        <v/>
      </c>
      <c r="AD668" s="76">
        <f>IF(Z668="","",AA668-AC668)</f>
        <v/>
      </c>
      <c r="AE668" s="117">
        <f>IF(Z668="","",IFERROR(1/SUMPRODUCT(MAX(($B$6:$B$1005=Z668)*$T$6:$T$1005)),""))</f>
        <v/>
      </c>
      <c r="AF668" s="77">
        <f>IF(AE668="","",SUMIFS($S$6:$S$1005,$B$6:$B$1005,Z668,$I$6:$I$1005,AE668))</f>
        <v/>
      </c>
    </row>
    <row r="669" ht="20" customHeight="1">
      <c r="B669" s="72" t="n"/>
      <c r="C669" s="72" t="n"/>
      <c r="D669" s="72" t="n"/>
      <c r="E669" s="72" t="n"/>
      <c r="F669" s="110" t="n"/>
      <c r="G669" s="73" t="n"/>
      <c r="H669" s="75">
        <f>IF(B669="","",IF(G669&lt;&gt;"",G669,IF(F669&lt;&gt;"",F669*IFERROR(INDEX('Contractors'!$I$6:$I$1005,MATCH(B669,'Contractors'!$B$6:$B$1005,0)),0),"")))</f>
        <v/>
      </c>
      <c r="I669" s="109" t="n"/>
      <c r="J669" s="72" t="n"/>
      <c r="K669" s="109" t="n"/>
      <c r="L669" s="73" t="n"/>
      <c r="M669" s="109" t="n"/>
      <c r="N669" s="73" t="n"/>
      <c r="O669" s="107">
        <f>IF(B669="","",IF(M669&lt;&gt;"","Paid",IF(AND(I669&lt;&gt;"",I669&lt;AsOf),"OVERDUE",IF(OR(K669&lt;&gt;"",L669&lt;&gt;""),"Invoiced","Scheduled"))))</f>
        <v/>
      </c>
      <c r="P669" s="115">
        <f>IF(B669="","",IF(E669&lt;&gt;"",E669,IFERROR(INDEX('Contractors'!$D$6:$D$1005,MATCH(B669,'Contractors'!$B$6:$B$1005,0)),"")))</f>
        <v/>
      </c>
      <c r="Q669" s="79">
        <f>IF(B669="","",IF(D669&lt;&gt;"",D669,IFERROR(INDEX('Contractors'!$E$6:$E$1005,MATCH(B669,'Contractors'!$B$6:$B$1005,0)),"")))</f>
        <v/>
      </c>
      <c r="R669" s="79">
        <f>IF(O669="","",IF(O669="OVERDUE",2,IF(O669="Paid",0,IF(AND(I669&lt;&gt;"",I669&lt;=AsOf+AlertDays),1,0))))</f>
        <v/>
      </c>
      <c r="S669" s="79">
        <f>IF(AND(B669&lt;&gt;"",M669="",I669&lt;&gt;""),IF(L669&lt;&gt;"",L669,IF(H669="",0,H669)),0)</f>
        <v/>
      </c>
      <c r="T669" s="79">
        <f>IF(AND(B669&lt;&gt;"",M669="",I669&lt;&gt;""),1/I669,0)</f>
        <v/>
      </c>
      <c r="U669" s="112">
        <f>IF(AND(B669&lt;&gt;"",M669="",I669&lt;&gt;""),I669,"")</f>
        <v/>
      </c>
      <c r="V669" s="79">
        <f>IF(U669="","",IF(U669&lt;AsOf,1,IF(U669&lt;=AsOf+AlertDays,2,IF(U669&lt;=AsOf+2*AlertDays,3,""))))</f>
        <v/>
      </c>
      <c r="W669" s="79">
        <f>IF(V669="","",IF(O669="OVERDUE","Overdue payment: ","Payment due: ")&amp;B669&amp;" — "&amp;C669&amp;" ("&amp;CurSym&amp;" "&amp;FIXED(S669,0)&amp;")")</f>
        <v/>
      </c>
      <c r="Z669" s="116">
        <f>IF('Contractors'!B669="","",'Contractors'!B669)</f>
        <v/>
      </c>
      <c r="AA669" s="77">
        <f>IF(Z669="","",'Contractors'!K669)</f>
        <v/>
      </c>
      <c r="AB669" s="77">
        <f>IF(Z669="","",SUMIFS($L$6:$L$1005,$B$6:$B$1005,Z669))</f>
        <v/>
      </c>
      <c r="AC669" s="77">
        <f>IF(Z669="","",SUMIFS($N$6:$N$1005,$B$6:$B$1005,Z669))</f>
        <v/>
      </c>
      <c r="AD669" s="76">
        <f>IF(Z669="","",AA669-AC669)</f>
        <v/>
      </c>
      <c r="AE669" s="117">
        <f>IF(Z669="","",IFERROR(1/SUMPRODUCT(MAX(($B$6:$B$1005=Z669)*$T$6:$T$1005)),""))</f>
        <v/>
      </c>
      <c r="AF669" s="77">
        <f>IF(AE669="","",SUMIFS($S$6:$S$1005,$B$6:$B$1005,Z669,$I$6:$I$1005,AE669))</f>
        <v/>
      </c>
    </row>
    <row r="670" ht="20" customHeight="1">
      <c r="B670" s="72" t="n"/>
      <c r="C670" s="72" t="n"/>
      <c r="D670" s="72" t="n"/>
      <c r="E670" s="72" t="n"/>
      <c r="F670" s="110" t="n"/>
      <c r="G670" s="73" t="n"/>
      <c r="H670" s="75">
        <f>IF(B670="","",IF(G670&lt;&gt;"",G670,IF(F670&lt;&gt;"",F670*IFERROR(INDEX('Contractors'!$I$6:$I$1005,MATCH(B670,'Contractors'!$B$6:$B$1005,0)),0),"")))</f>
        <v/>
      </c>
      <c r="I670" s="109" t="n"/>
      <c r="J670" s="72" t="n"/>
      <c r="K670" s="109" t="n"/>
      <c r="L670" s="73" t="n"/>
      <c r="M670" s="109" t="n"/>
      <c r="N670" s="73" t="n"/>
      <c r="O670" s="107">
        <f>IF(B670="","",IF(M670&lt;&gt;"","Paid",IF(AND(I670&lt;&gt;"",I670&lt;AsOf),"OVERDUE",IF(OR(K670&lt;&gt;"",L670&lt;&gt;""),"Invoiced","Scheduled"))))</f>
        <v/>
      </c>
      <c r="P670" s="115">
        <f>IF(B670="","",IF(E670&lt;&gt;"",E670,IFERROR(INDEX('Contractors'!$D$6:$D$1005,MATCH(B670,'Contractors'!$B$6:$B$1005,0)),"")))</f>
        <v/>
      </c>
      <c r="Q670" s="79">
        <f>IF(B670="","",IF(D670&lt;&gt;"",D670,IFERROR(INDEX('Contractors'!$E$6:$E$1005,MATCH(B670,'Contractors'!$B$6:$B$1005,0)),"")))</f>
        <v/>
      </c>
      <c r="R670" s="79">
        <f>IF(O670="","",IF(O670="OVERDUE",2,IF(O670="Paid",0,IF(AND(I670&lt;&gt;"",I670&lt;=AsOf+AlertDays),1,0))))</f>
        <v/>
      </c>
      <c r="S670" s="79">
        <f>IF(AND(B670&lt;&gt;"",M670="",I670&lt;&gt;""),IF(L670&lt;&gt;"",L670,IF(H670="",0,H670)),0)</f>
        <v/>
      </c>
      <c r="T670" s="79">
        <f>IF(AND(B670&lt;&gt;"",M670="",I670&lt;&gt;""),1/I670,0)</f>
        <v/>
      </c>
      <c r="U670" s="112">
        <f>IF(AND(B670&lt;&gt;"",M670="",I670&lt;&gt;""),I670,"")</f>
        <v/>
      </c>
      <c r="V670" s="79">
        <f>IF(U670="","",IF(U670&lt;AsOf,1,IF(U670&lt;=AsOf+AlertDays,2,IF(U670&lt;=AsOf+2*AlertDays,3,""))))</f>
        <v/>
      </c>
      <c r="W670" s="79">
        <f>IF(V670="","",IF(O670="OVERDUE","Overdue payment: ","Payment due: ")&amp;B670&amp;" — "&amp;C670&amp;" ("&amp;CurSym&amp;" "&amp;FIXED(S670,0)&amp;")")</f>
        <v/>
      </c>
      <c r="Z670" s="116">
        <f>IF('Contractors'!B670="","",'Contractors'!B670)</f>
        <v/>
      </c>
      <c r="AA670" s="77">
        <f>IF(Z670="","",'Contractors'!K670)</f>
        <v/>
      </c>
      <c r="AB670" s="77">
        <f>IF(Z670="","",SUMIFS($L$6:$L$1005,$B$6:$B$1005,Z670))</f>
        <v/>
      </c>
      <c r="AC670" s="77">
        <f>IF(Z670="","",SUMIFS($N$6:$N$1005,$B$6:$B$1005,Z670))</f>
        <v/>
      </c>
      <c r="AD670" s="76">
        <f>IF(Z670="","",AA670-AC670)</f>
        <v/>
      </c>
      <c r="AE670" s="117">
        <f>IF(Z670="","",IFERROR(1/SUMPRODUCT(MAX(($B$6:$B$1005=Z670)*$T$6:$T$1005)),""))</f>
        <v/>
      </c>
      <c r="AF670" s="77">
        <f>IF(AE670="","",SUMIFS($S$6:$S$1005,$B$6:$B$1005,Z670,$I$6:$I$1005,AE670))</f>
        <v/>
      </c>
    </row>
    <row r="671" ht="20" customHeight="1">
      <c r="B671" s="72" t="n"/>
      <c r="C671" s="72" t="n"/>
      <c r="D671" s="72" t="n"/>
      <c r="E671" s="72" t="n"/>
      <c r="F671" s="110" t="n"/>
      <c r="G671" s="73" t="n"/>
      <c r="H671" s="75">
        <f>IF(B671="","",IF(G671&lt;&gt;"",G671,IF(F671&lt;&gt;"",F671*IFERROR(INDEX('Contractors'!$I$6:$I$1005,MATCH(B671,'Contractors'!$B$6:$B$1005,0)),0),"")))</f>
        <v/>
      </c>
      <c r="I671" s="109" t="n"/>
      <c r="J671" s="72" t="n"/>
      <c r="K671" s="109" t="n"/>
      <c r="L671" s="73" t="n"/>
      <c r="M671" s="109" t="n"/>
      <c r="N671" s="73" t="n"/>
      <c r="O671" s="107">
        <f>IF(B671="","",IF(M671&lt;&gt;"","Paid",IF(AND(I671&lt;&gt;"",I671&lt;AsOf),"OVERDUE",IF(OR(K671&lt;&gt;"",L671&lt;&gt;""),"Invoiced","Scheduled"))))</f>
        <v/>
      </c>
      <c r="P671" s="115">
        <f>IF(B671="","",IF(E671&lt;&gt;"",E671,IFERROR(INDEX('Contractors'!$D$6:$D$1005,MATCH(B671,'Contractors'!$B$6:$B$1005,0)),"")))</f>
        <v/>
      </c>
      <c r="Q671" s="79">
        <f>IF(B671="","",IF(D671&lt;&gt;"",D671,IFERROR(INDEX('Contractors'!$E$6:$E$1005,MATCH(B671,'Contractors'!$B$6:$B$1005,0)),"")))</f>
        <v/>
      </c>
      <c r="R671" s="79">
        <f>IF(O671="","",IF(O671="OVERDUE",2,IF(O671="Paid",0,IF(AND(I671&lt;&gt;"",I671&lt;=AsOf+AlertDays),1,0))))</f>
        <v/>
      </c>
      <c r="S671" s="79">
        <f>IF(AND(B671&lt;&gt;"",M671="",I671&lt;&gt;""),IF(L671&lt;&gt;"",L671,IF(H671="",0,H671)),0)</f>
        <v/>
      </c>
      <c r="T671" s="79">
        <f>IF(AND(B671&lt;&gt;"",M671="",I671&lt;&gt;""),1/I671,0)</f>
        <v/>
      </c>
      <c r="U671" s="112">
        <f>IF(AND(B671&lt;&gt;"",M671="",I671&lt;&gt;""),I671,"")</f>
        <v/>
      </c>
      <c r="V671" s="79">
        <f>IF(U671="","",IF(U671&lt;AsOf,1,IF(U671&lt;=AsOf+AlertDays,2,IF(U671&lt;=AsOf+2*AlertDays,3,""))))</f>
        <v/>
      </c>
      <c r="W671" s="79">
        <f>IF(V671="","",IF(O671="OVERDUE","Overdue payment: ","Payment due: ")&amp;B671&amp;" — "&amp;C671&amp;" ("&amp;CurSym&amp;" "&amp;FIXED(S671,0)&amp;")")</f>
        <v/>
      </c>
      <c r="Z671" s="116">
        <f>IF('Contractors'!B671="","",'Contractors'!B671)</f>
        <v/>
      </c>
      <c r="AA671" s="77">
        <f>IF(Z671="","",'Contractors'!K671)</f>
        <v/>
      </c>
      <c r="AB671" s="77">
        <f>IF(Z671="","",SUMIFS($L$6:$L$1005,$B$6:$B$1005,Z671))</f>
        <v/>
      </c>
      <c r="AC671" s="77">
        <f>IF(Z671="","",SUMIFS($N$6:$N$1005,$B$6:$B$1005,Z671))</f>
        <v/>
      </c>
      <c r="AD671" s="76">
        <f>IF(Z671="","",AA671-AC671)</f>
        <v/>
      </c>
      <c r="AE671" s="117">
        <f>IF(Z671="","",IFERROR(1/SUMPRODUCT(MAX(($B$6:$B$1005=Z671)*$T$6:$T$1005)),""))</f>
        <v/>
      </c>
      <c r="AF671" s="77">
        <f>IF(AE671="","",SUMIFS($S$6:$S$1005,$B$6:$B$1005,Z671,$I$6:$I$1005,AE671))</f>
        <v/>
      </c>
    </row>
    <row r="672" ht="20" customHeight="1">
      <c r="B672" s="72" t="n"/>
      <c r="C672" s="72" t="n"/>
      <c r="D672" s="72" t="n"/>
      <c r="E672" s="72" t="n"/>
      <c r="F672" s="110" t="n"/>
      <c r="G672" s="73" t="n"/>
      <c r="H672" s="75">
        <f>IF(B672="","",IF(G672&lt;&gt;"",G672,IF(F672&lt;&gt;"",F672*IFERROR(INDEX('Contractors'!$I$6:$I$1005,MATCH(B672,'Contractors'!$B$6:$B$1005,0)),0),"")))</f>
        <v/>
      </c>
      <c r="I672" s="109" t="n"/>
      <c r="J672" s="72" t="n"/>
      <c r="K672" s="109" t="n"/>
      <c r="L672" s="73" t="n"/>
      <c r="M672" s="109" t="n"/>
      <c r="N672" s="73" t="n"/>
      <c r="O672" s="107">
        <f>IF(B672="","",IF(M672&lt;&gt;"","Paid",IF(AND(I672&lt;&gt;"",I672&lt;AsOf),"OVERDUE",IF(OR(K672&lt;&gt;"",L672&lt;&gt;""),"Invoiced","Scheduled"))))</f>
        <v/>
      </c>
      <c r="P672" s="115">
        <f>IF(B672="","",IF(E672&lt;&gt;"",E672,IFERROR(INDEX('Contractors'!$D$6:$D$1005,MATCH(B672,'Contractors'!$B$6:$B$1005,0)),"")))</f>
        <v/>
      </c>
      <c r="Q672" s="79">
        <f>IF(B672="","",IF(D672&lt;&gt;"",D672,IFERROR(INDEX('Contractors'!$E$6:$E$1005,MATCH(B672,'Contractors'!$B$6:$B$1005,0)),"")))</f>
        <v/>
      </c>
      <c r="R672" s="79">
        <f>IF(O672="","",IF(O672="OVERDUE",2,IF(O672="Paid",0,IF(AND(I672&lt;&gt;"",I672&lt;=AsOf+AlertDays),1,0))))</f>
        <v/>
      </c>
      <c r="S672" s="79">
        <f>IF(AND(B672&lt;&gt;"",M672="",I672&lt;&gt;""),IF(L672&lt;&gt;"",L672,IF(H672="",0,H672)),0)</f>
        <v/>
      </c>
      <c r="T672" s="79">
        <f>IF(AND(B672&lt;&gt;"",M672="",I672&lt;&gt;""),1/I672,0)</f>
        <v/>
      </c>
      <c r="U672" s="112">
        <f>IF(AND(B672&lt;&gt;"",M672="",I672&lt;&gt;""),I672,"")</f>
        <v/>
      </c>
      <c r="V672" s="79">
        <f>IF(U672="","",IF(U672&lt;AsOf,1,IF(U672&lt;=AsOf+AlertDays,2,IF(U672&lt;=AsOf+2*AlertDays,3,""))))</f>
        <v/>
      </c>
      <c r="W672" s="79">
        <f>IF(V672="","",IF(O672="OVERDUE","Overdue payment: ","Payment due: ")&amp;B672&amp;" — "&amp;C672&amp;" ("&amp;CurSym&amp;" "&amp;FIXED(S672,0)&amp;")")</f>
        <v/>
      </c>
      <c r="Z672" s="116">
        <f>IF('Contractors'!B672="","",'Contractors'!B672)</f>
        <v/>
      </c>
      <c r="AA672" s="77">
        <f>IF(Z672="","",'Contractors'!K672)</f>
        <v/>
      </c>
      <c r="AB672" s="77">
        <f>IF(Z672="","",SUMIFS($L$6:$L$1005,$B$6:$B$1005,Z672))</f>
        <v/>
      </c>
      <c r="AC672" s="77">
        <f>IF(Z672="","",SUMIFS($N$6:$N$1005,$B$6:$B$1005,Z672))</f>
        <v/>
      </c>
      <c r="AD672" s="76">
        <f>IF(Z672="","",AA672-AC672)</f>
        <v/>
      </c>
      <c r="AE672" s="117">
        <f>IF(Z672="","",IFERROR(1/SUMPRODUCT(MAX(($B$6:$B$1005=Z672)*$T$6:$T$1005)),""))</f>
        <v/>
      </c>
      <c r="AF672" s="77">
        <f>IF(AE672="","",SUMIFS($S$6:$S$1005,$B$6:$B$1005,Z672,$I$6:$I$1005,AE672))</f>
        <v/>
      </c>
    </row>
    <row r="673" ht="20" customHeight="1">
      <c r="B673" s="72" t="n"/>
      <c r="C673" s="72" t="n"/>
      <c r="D673" s="72" t="n"/>
      <c r="E673" s="72" t="n"/>
      <c r="F673" s="110" t="n"/>
      <c r="G673" s="73" t="n"/>
      <c r="H673" s="75">
        <f>IF(B673="","",IF(G673&lt;&gt;"",G673,IF(F673&lt;&gt;"",F673*IFERROR(INDEX('Contractors'!$I$6:$I$1005,MATCH(B673,'Contractors'!$B$6:$B$1005,0)),0),"")))</f>
        <v/>
      </c>
      <c r="I673" s="109" t="n"/>
      <c r="J673" s="72" t="n"/>
      <c r="K673" s="109" t="n"/>
      <c r="L673" s="73" t="n"/>
      <c r="M673" s="109" t="n"/>
      <c r="N673" s="73" t="n"/>
      <c r="O673" s="107">
        <f>IF(B673="","",IF(M673&lt;&gt;"","Paid",IF(AND(I673&lt;&gt;"",I673&lt;AsOf),"OVERDUE",IF(OR(K673&lt;&gt;"",L673&lt;&gt;""),"Invoiced","Scheduled"))))</f>
        <v/>
      </c>
      <c r="P673" s="115">
        <f>IF(B673="","",IF(E673&lt;&gt;"",E673,IFERROR(INDEX('Contractors'!$D$6:$D$1005,MATCH(B673,'Contractors'!$B$6:$B$1005,0)),"")))</f>
        <v/>
      </c>
      <c r="Q673" s="79">
        <f>IF(B673="","",IF(D673&lt;&gt;"",D673,IFERROR(INDEX('Contractors'!$E$6:$E$1005,MATCH(B673,'Contractors'!$B$6:$B$1005,0)),"")))</f>
        <v/>
      </c>
      <c r="R673" s="79">
        <f>IF(O673="","",IF(O673="OVERDUE",2,IF(O673="Paid",0,IF(AND(I673&lt;&gt;"",I673&lt;=AsOf+AlertDays),1,0))))</f>
        <v/>
      </c>
      <c r="S673" s="79">
        <f>IF(AND(B673&lt;&gt;"",M673="",I673&lt;&gt;""),IF(L673&lt;&gt;"",L673,IF(H673="",0,H673)),0)</f>
        <v/>
      </c>
      <c r="T673" s="79">
        <f>IF(AND(B673&lt;&gt;"",M673="",I673&lt;&gt;""),1/I673,0)</f>
        <v/>
      </c>
      <c r="U673" s="112">
        <f>IF(AND(B673&lt;&gt;"",M673="",I673&lt;&gt;""),I673,"")</f>
        <v/>
      </c>
      <c r="V673" s="79">
        <f>IF(U673="","",IF(U673&lt;AsOf,1,IF(U673&lt;=AsOf+AlertDays,2,IF(U673&lt;=AsOf+2*AlertDays,3,""))))</f>
        <v/>
      </c>
      <c r="W673" s="79">
        <f>IF(V673="","",IF(O673="OVERDUE","Overdue payment: ","Payment due: ")&amp;B673&amp;" — "&amp;C673&amp;" ("&amp;CurSym&amp;" "&amp;FIXED(S673,0)&amp;")")</f>
        <v/>
      </c>
      <c r="Z673" s="116">
        <f>IF('Contractors'!B673="","",'Contractors'!B673)</f>
        <v/>
      </c>
      <c r="AA673" s="77">
        <f>IF(Z673="","",'Contractors'!K673)</f>
        <v/>
      </c>
      <c r="AB673" s="77">
        <f>IF(Z673="","",SUMIFS($L$6:$L$1005,$B$6:$B$1005,Z673))</f>
        <v/>
      </c>
      <c r="AC673" s="77">
        <f>IF(Z673="","",SUMIFS($N$6:$N$1005,$B$6:$B$1005,Z673))</f>
        <v/>
      </c>
      <c r="AD673" s="76">
        <f>IF(Z673="","",AA673-AC673)</f>
        <v/>
      </c>
      <c r="AE673" s="117">
        <f>IF(Z673="","",IFERROR(1/SUMPRODUCT(MAX(($B$6:$B$1005=Z673)*$T$6:$T$1005)),""))</f>
        <v/>
      </c>
      <c r="AF673" s="77">
        <f>IF(AE673="","",SUMIFS($S$6:$S$1005,$B$6:$B$1005,Z673,$I$6:$I$1005,AE673))</f>
        <v/>
      </c>
    </row>
    <row r="674" ht="20" customHeight="1">
      <c r="B674" s="72" t="n"/>
      <c r="C674" s="72" t="n"/>
      <c r="D674" s="72" t="n"/>
      <c r="E674" s="72" t="n"/>
      <c r="F674" s="110" t="n"/>
      <c r="G674" s="73" t="n"/>
      <c r="H674" s="75">
        <f>IF(B674="","",IF(G674&lt;&gt;"",G674,IF(F674&lt;&gt;"",F674*IFERROR(INDEX('Contractors'!$I$6:$I$1005,MATCH(B674,'Contractors'!$B$6:$B$1005,0)),0),"")))</f>
        <v/>
      </c>
      <c r="I674" s="109" t="n"/>
      <c r="J674" s="72" t="n"/>
      <c r="K674" s="109" t="n"/>
      <c r="L674" s="73" t="n"/>
      <c r="M674" s="109" t="n"/>
      <c r="N674" s="73" t="n"/>
      <c r="O674" s="107">
        <f>IF(B674="","",IF(M674&lt;&gt;"","Paid",IF(AND(I674&lt;&gt;"",I674&lt;AsOf),"OVERDUE",IF(OR(K674&lt;&gt;"",L674&lt;&gt;""),"Invoiced","Scheduled"))))</f>
        <v/>
      </c>
      <c r="P674" s="115">
        <f>IF(B674="","",IF(E674&lt;&gt;"",E674,IFERROR(INDEX('Contractors'!$D$6:$D$1005,MATCH(B674,'Contractors'!$B$6:$B$1005,0)),"")))</f>
        <v/>
      </c>
      <c r="Q674" s="79">
        <f>IF(B674="","",IF(D674&lt;&gt;"",D674,IFERROR(INDEX('Contractors'!$E$6:$E$1005,MATCH(B674,'Contractors'!$B$6:$B$1005,0)),"")))</f>
        <v/>
      </c>
      <c r="R674" s="79">
        <f>IF(O674="","",IF(O674="OVERDUE",2,IF(O674="Paid",0,IF(AND(I674&lt;&gt;"",I674&lt;=AsOf+AlertDays),1,0))))</f>
        <v/>
      </c>
      <c r="S674" s="79">
        <f>IF(AND(B674&lt;&gt;"",M674="",I674&lt;&gt;""),IF(L674&lt;&gt;"",L674,IF(H674="",0,H674)),0)</f>
        <v/>
      </c>
      <c r="T674" s="79">
        <f>IF(AND(B674&lt;&gt;"",M674="",I674&lt;&gt;""),1/I674,0)</f>
        <v/>
      </c>
      <c r="U674" s="112">
        <f>IF(AND(B674&lt;&gt;"",M674="",I674&lt;&gt;""),I674,"")</f>
        <v/>
      </c>
      <c r="V674" s="79">
        <f>IF(U674="","",IF(U674&lt;AsOf,1,IF(U674&lt;=AsOf+AlertDays,2,IF(U674&lt;=AsOf+2*AlertDays,3,""))))</f>
        <v/>
      </c>
      <c r="W674" s="79">
        <f>IF(V674="","",IF(O674="OVERDUE","Overdue payment: ","Payment due: ")&amp;B674&amp;" — "&amp;C674&amp;" ("&amp;CurSym&amp;" "&amp;FIXED(S674,0)&amp;")")</f>
        <v/>
      </c>
      <c r="Z674" s="116">
        <f>IF('Contractors'!B674="","",'Contractors'!B674)</f>
        <v/>
      </c>
      <c r="AA674" s="77">
        <f>IF(Z674="","",'Contractors'!K674)</f>
        <v/>
      </c>
      <c r="AB674" s="77">
        <f>IF(Z674="","",SUMIFS($L$6:$L$1005,$B$6:$B$1005,Z674))</f>
        <v/>
      </c>
      <c r="AC674" s="77">
        <f>IF(Z674="","",SUMIFS($N$6:$N$1005,$B$6:$B$1005,Z674))</f>
        <v/>
      </c>
      <c r="AD674" s="76">
        <f>IF(Z674="","",AA674-AC674)</f>
        <v/>
      </c>
      <c r="AE674" s="117">
        <f>IF(Z674="","",IFERROR(1/SUMPRODUCT(MAX(($B$6:$B$1005=Z674)*$T$6:$T$1005)),""))</f>
        <v/>
      </c>
      <c r="AF674" s="77">
        <f>IF(AE674="","",SUMIFS($S$6:$S$1005,$B$6:$B$1005,Z674,$I$6:$I$1005,AE674))</f>
        <v/>
      </c>
    </row>
    <row r="675" ht="20" customHeight="1">
      <c r="B675" s="72" t="n"/>
      <c r="C675" s="72" t="n"/>
      <c r="D675" s="72" t="n"/>
      <c r="E675" s="72" t="n"/>
      <c r="F675" s="110" t="n"/>
      <c r="G675" s="73" t="n"/>
      <c r="H675" s="75">
        <f>IF(B675="","",IF(G675&lt;&gt;"",G675,IF(F675&lt;&gt;"",F675*IFERROR(INDEX('Contractors'!$I$6:$I$1005,MATCH(B675,'Contractors'!$B$6:$B$1005,0)),0),"")))</f>
        <v/>
      </c>
      <c r="I675" s="109" t="n"/>
      <c r="J675" s="72" t="n"/>
      <c r="K675" s="109" t="n"/>
      <c r="L675" s="73" t="n"/>
      <c r="M675" s="109" t="n"/>
      <c r="N675" s="73" t="n"/>
      <c r="O675" s="107">
        <f>IF(B675="","",IF(M675&lt;&gt;"","Paid",IF(AND(I675&lt;&gt;"",I675&lt;AsOf),"OVERDUE",IF(OR(K675&lt;&gt;"",L675&lt;&gt;""),"Invoiced","Scheduled"))))</f>
        <v/>
      </c>
      <c r="P675" s="115">
        <f>IF(B675="","",IF(E675&lt;&gt;"",E675,IFERROR(INDEX('Contractors'!$D$6:$D$1005,MATCH(B675,'Contractors'!$B$6:$B$1005,0)),"")))</f>
        <v/>
      </c>
      <c r="Q675" s="79">
        <f>IF(B675="","",IF(D675&lt;&gt;"",D675,IFERROR(INDEX('Contractors'!$E$6:$E$1005,MATCH(B675,'Contractors'!$B$6:$B$1005,0)),"")))</f>
        <v/>
      </c>
      <c r="R675" s="79">
        <f>IF(O675="","",IF(O675="OVERDUE",2,IF(O675="Paid",0,IF(AND(I675&lt;&gt;"",I675&lt;=AsOf+AlertDays),1,0))))</f>
        <v/>
      </c>
      <c r="S675" s="79">
        <f>IF(AND(B675&lt;&gt;"",M675="",I675&lt;&gt;""),IF(L675&lt;&gt;"",L675,IF(H675="",0,H675)),0)</f>
        <v/>
      </c>
      <c r="T675" s="79">
        <f>IF(AND(B675&lt;&gt;"",M675="",I675&lt;&gt;""),1/I675,0)</f>
        <v/>
      </c>
      <c r="U675" s="112">
        <f>IF(AND(B675&lt;&gt;"",M675="",I675&lt;&gt;""),I675,"")</f>
        <v/>
      </c>
      <c r="V675" s="79">
        <f>IF(U675="","",IF(U675&lt;AsOf,1,IF(U675&lt;=AsOf+AlertDays,2,IF(U675&lt;=AsOf+2*AlertDays,3,""))))</f>
        <v/>
      </c>
      <c r="W675" s="79">
        <f>IF(V675="","",IF(O675="OVERDUE","Overdue payment: ","Payment due: ")&amp;B675&amp;" — "&amp;C675&amp;" ("&amp;CurSym&amp;" "&amp;FIXED(S675,0)&amp;")")</f>
        <v/>
      </c>
      <c r="Z675" s="116">
        <f>IF('Contractors'!B675="","",'Contractors'!B675)</f>
        <v/>
      </c>
      <c r="AA675" s="77">
        <f>IF(Z675="","",'Contractors'!K675)</f>
        <v/>
      </c>
      <c r="AB675" s="77">
        <f>IF(Z675="","",SUMIFS($L$6:$L$1005,$B$6:$B$1005,Z675))</f>
        <v/>
      </c>
      <c r="AC675" s="77">
        <f>IF(Z675="","",SUMIFS($N$6:$N$1005,$B$6:$B$1005,Z675))</f>
        <v/>
      </c>
      <c r="AD675" s="76">
        <f>IF(Z675="","",AA675-AC675)</f>
        <v/>
      </c>
      <c r="AE675" s="117">
        <f>IF(Z675="","",IFERROR(1/SUMPRODUCT(MAX(($B$6:$B$1005=Z675)*$T$6:$T$1005)),""))</f>
        <v/>
      </c>
      <c r="AF675" s="77">
        <f>IF(AE675="","",SUMIFS($S$6:$S$1005,$B$6:$B$1005,Z675,$I$6:$I$1005,AE675))</f>
        <v/>
      </c>
    </row>
    <row r="676" ht="20" customHeight="1">
      <c r="B676" s="72" t="n"/>
      <c r="C676" s="72" t="n"/>
      <c r="D676" s="72" t="n"/>
      <c r="E676" s="72" t="n"/>
      <c r="F676" s="110" t="n"/>
      <c r="G676" s="73" t="n"/>
      <c r="H676" s="75">
        <f>IF(B676="","",IF(G676&lt;&gt;"",G676,IF(F676&lt;&gt;"",F676*IFERROR(INDEX('Contractors'!$I$6:$I$1005,MATCH(B676,'Contractors'!$B$6:$B$1005,0)),0),"")))</f>
        <v/>
      </c>
      <c r="I676" s="109" t="n"/>
      <c r="J676" s="72" t="n"/>
      <c r="K676" s="109" t="n"/>
      <c r="L676" s="73" t="n"/>
      <c r="M676" s="109" t="n"/>
      <c r="N676" s="73" t="n"/>
      <c r="O676" s="107">
        <f>IF(B676="","",IF(M676&lt;&gt;"","Paid",IF(AND(I676&lt;&gt;"",I676&lt;AsOf),"OVERDUE",IF(OR(K676&lt;&gt;"",L676&lt;&gt;""),"Invoiced","Scheduled"))))</f>
        <v/>
      </c>
      <c r="P676" s="115">
        <f>IF(B676="","",IF(E676&lt;&gt;"",E676,IFERROR(INDEX('Contractors'!$D$6:$D$1005,MATCH(B676,'Contractors'!$B$6:$B$1005,0)),"")))</f>
        <v/>
      </c>
      <c r="Q676" s="79">
        <f>IF(B676="","",IF(D676&lt;&gt;"",D676,IFERROR(INDEX('Contractors'!$E$6:$E$1005,MATCH(B676,'Contractors'!$B$6:$B$1005,0)),"")))</f>
        <v/>
      </c>
      <c r="R676" s="79">
        <f>IF(O676="","",IF(O676="OVERDUE",2,IF(O676="Paid",0,IF(AND(I676&lt;&gt;"",I676&lt;=AsOf+AlertDays),1,0))))</f>
        <v/>
      </c>
      <c r="S676" s="79">
        <f>IF(AND(B676&lt;&gt;"",M676="",I676&lt;&gt;""),IF(L676&lt;&gt;"",L676,IF(H676="",0,H676)),0)</f>
        <v/>
      </c>
      <c r="T676" s="79">
        <f>IF(AND(B676&lt;&gt;"",M676="",I676&lt;&gt;""),1/I676,0)</f>
        <v/>
      </c>
      <c r="U676" s="112">
        <f>IF(AND(B676&lt;&gt;"",M676="",I676&lt;&gt;""),I676,"")</f>
        <v/>
      </c>
      <c r="V676" s="79">
        <f>IF(U676="","",IF(U676&lt;AsOf,1,IF(U676&lt;=AsOf+AlertDays,2,IF(U676&lt;=AsOf+2*AlertDays,3,""))))</f>
        <v/>
      </c>
      <c r="W676" s="79">
        <f>IF(V676="","",IF(O676="OVERDUE","Overdue payment: ","Payment due: ")&amp;B676&amp;" — "&amp;C676&amp;" ("&amp;CurSym&amp;" "&amp;FIXED(S676,0)&amp;")")</f>
        <v/>
      </c>
      <c r="Z676" s="116">
        <f>IF('Contractors'!B676="","",'Contractors'!B676)</f>
        <v/>
      </c>
      <c r="AA676" s="77">
        <f>IF(Z676="","",'Contractors'!K676)</f>
        <v/>
      </c>
      <c r="AB676" s="77">
        <f>IF(Z676="","",SUMIFS($L$6:$L$1005,$B$6:$B$1005,Z676))</f>
        <v/>
      </c>
      <c r="AC676" s="77">
        <f>IF(Z676="","",SUMIFS($N$6:$N$1005,$B$6:$B$1005,Z676))</f>
        <v/>
      </c>
      <c r="AD676" s="76">
        <f>IF(Z676="","",AA676-AC676)</f>
        <v/>
      </c>
      <c r="AE676" s="117">
        <f>IF(Z676="","",IFERROR(1/SUMPRODUCT(MAX(($B$6:$B$1005=Z676)*$T$6:$T$1005)),""))</f>
        <v/>
      </c>
      <c r="AF676" s="77">
        <f>IF(AE676="","",SUMIFS($S$6:$S$1005,$B$6:$B$1005,Z676,$I$6:$I$1005,AE676))</f>
        <v/>
      </c>
    </row>
    <row r="677" ht="20" customHeight="1">
      <c r="B677" s="72" t="n"/>
      <c r="C677" s="72" t="n"/>
      <c r="D677" s="72" t="n"/>
      <c r="E677" s="72" t="n"/>
      <c r="F677" s="110" t="n"/>
      <c r="G677" s="73" t="n"/>
      <c r="H677" s="75">
        <f>IF(B677="","",IF(G677&lt;&gt;"",G677,IF(F677&lt;&gt;"",F677*IFERROR(INDEX('Contractors'!$I$6:$I$1005,MATCH(B677,'Contractors'!$B$6:$B$1005,0)),0),"")))</f>
        <v/>
      </c>
      <c r="I677" s="109" t="n"/>
      <c r="J677" s="72" t="n"/>
      <c r="K677" s="109" t="n"/>
      <c r="L677" s="73" t="n"/>
      <c r="M677" s="109" t="n"/>
      <c r="N677" s="73" t="n"/>
      <c r="O677" s="107">
        <f>IF(B677="","",IF(M677&lt;&gt;"","Paid",IF(AND(I677&lt;&gt;"",I677&lt;AsOf),"OVERDUE",IF(OR(K677&lt;&gt;"",L677&lt;&gt;""),"Invoiced","Scheduled"))))</f>
        <v/>
      </c>
      <c r="P677" s="115">
        <f>IF(B677="","",IF(E677&lt;&gt;"",E677,IFERROR(INDEX('Contractors'!$D$6:$D$1005,MATCH(B677,'Contractors'!$B$6:$B$1005,0)),"")))</f>
        <v/>
      </c>
      <c r="Q677" s="79">
        <f>IF(B677="","",IF(D677&lt;&gt;"",D677,IFERROR(INDEX('Contractors'!$E$6:$E$1005,MATCH(B677,'Contractors'!$B$6:$B$1005,0)),"")))</f>
        <v/>
      </c>
      <c r="R677" s="79">
        <f>IF(O677="","",IF(O677="OVERDUE",2,IF(O677="Paid",0,IF(AND(I677&lt;&gt;"",I677&lt;=AsOf+AlertDays),1,0))))</f>
        <v/>
      </c>
      <c r="S677" s="79">
        <f>IF(AND(B677&lt;&gt;"",M677="",I677&lt;&gt;""),IF(L677&lt;&gt;"",L677,IF(H677="",0,H677)),0)</f>
        <v/>
      </c>
      <c r="T677" s="79">
        <f>IF(AND(B677&lt;&gt;"",M677="",I677&lt;&gt;""),1/I677,0)</f>
        <v/>
      </c>
      <c r="U677" s="112">
        <f>IF(AND(B677&lt;&gt;"",M677="",I677&lt;&gt;""),I677,"")</f>
        <v/>
      </c>
      <c r="V677" s="79">
        <f>IF(U677="","",IF(U677&lt;AsOf,1,IF(U677&lt;=AsOf+AlertDays,2,IF(U677&lt;=AsOf+2*AlertDays,3,""))))</f>
        <v/>
      </c>
      <c r="W677" s="79">
        <f>IF(V677="","",IF(O677="OVERDUE","Overdue payment: ","Payment due: ")&amp;B677&amp;" — "&amp;C677&amp;" ("&amp;CurSym&amp;" "&amp;FIXED(S677,0)&amp;")")</f>
        <v/>
      </c>
      <c r="Z677" s="116">
        <f>IF('Contractors'!B677="","",'Contractors'!B677)</f>
        <v/>
      </c>
      <c r="AA677" s="77">
        <f>IF(Z677="","",'Contractors'!K677)</f>
        <v/>
      </c>
      <c r="AB677" s="77">
        <f>IF(Z677="","",SUMIFS($L$6:$L$1005,$B$6:$B$1005,Z677))</f>
        <v/>
      </c>
      <c r="AC677" s="77">
        <f>IF(Z677="","",SUMIFS($N$6:$N$1005,$B$6:$B$1005,Z677))</f>
        <v/>
      </c>
      <c r="AD677" s="76">
        <f>IF(Z677="","",AA677-AC677)</f>
        <v/>
      </c>
      <c r="AE677" s="117">
        <f>IF(Z677="","",IFERROR(1/SUMPRODUCT(MAX(($B$6:$B$1005=Z677)*$T$6:$T$1005)),""))</f>
        <v/>
      </c>
      <c r="AF677" s="77">
        <f>IF(AE677="","",SUMIFS($S$6:$S$1005,$B$6:$B$1005,Z677,$I$6:$I$1005,AE677))</f>
        <v/>
      </c>
    </row>
    <row r="678" ht="20" customHeight="1">
      <c r="B678" s="72" t="n"/>
      <c r="C678" s="72" t="n"/>
      <c r="D678" s="72" t="n"/>
      <c r="E678" s="72" t="n"/>
      <c r="F678" s="110" t="n"/>
      <c r="G678" s="73" t="n"/>
      <c r="H678" s="75">
        <f>IF(B678="","",IF(G678&lt;&gt;"",G678,IF(F678&lt;&gt;"",F678*IFERROR(INDEX('Contractors'!$I$6:$I$1005,MATCH(B678,'Contractors'!$B$6:$B$1005,0)),0),"")))</f>
        <v/>
      </c>
      <c r="I678" s="109" t="n"/>
      <c r="J678" s="72" t="n"/>
      <c r="K678" s="109" t="n"/>
      <c r="L678" s="73" t="n"/>
      <c r="M678" s="109" t="n"/>
      <c r="N678" s="73" t="n"/>
      <c r="O678" s="107">
        <f>IF(B678="","",IF(M678&lt;&gt;"","Paid",IF(AND(I678&lt;&gt;"",I678&lt;AsOf),"OVERDUE",IF(OR(K678&lt;&gt;"",L678&lt;&gt;""),"Invoiced","Scheduled"))))</f>
        <v/>
      </c>
      <c r="P678" s="115">
        <f>IF(B678="","",IF(E678&lt;&gt;"",E678,IFERROR(INDEX('Contractors'!$D$6:$D$1005,MATCH(B678,'Contractors'!$B$6:$B$1005,0)),"")))</f>
        <v/>
      </c>
      <c r="Q678" s="79">
        <f>IF(B678="","",IF(D678&lt;&gt;"",D678,IFERROR(INDEX('Contractors'!$E$6:$E$1005,MATCH(B678,'Contractors'!$B$6:$B$1005,0)),"")))</f>
        <v/>
      </c>
      <c r="R678" s="79">
        <f>IF(O678="","",IF(O678="OVERDUE",2,IF(O678="Paid",0,IF(AND(I678&lt;&gt;"",I678&lt;=AsOf+AlertDays),1,0))))</f>
        <v/>
      </c>
      <c r="S678" s="79">
        <f>IF(AND(B678&lt;&gt;"",M678="",I678&lt;&gt;""),IF(L678&lt;&gt;"",L678,IF(H678="",0,H678)),0)</f>
        <v/>
      </c>
      <c r="T678" s="79">
        <f>IF(AND(B678&lt;&gt;"",M678="",I678&lt;&gt;""),1/I678,0)</f>
        <v/>
      </c>
      <c r="U678" s="112">
        <f>IF(AND(B678&lt;&gt;"",M678="",I678&lt;&gt;""),I678,"")</f>
        <v/>
      </c>
      <c r="V678" s="79">
        <f>IF(U678="","",IF(U678&lt;AsOf,1,IF(U678&lt;=AsOf+AlertDays,2,IF(U678&lt;=AsOf+2*AlertDays,3,""))))</f>
        <v/>
      </c>
      <c r="W678" s="79">
        <f>IF(V678="","",IF(O678="OVERDUE","Overdue payment: ","Payment due: ")&amp;B678&amp;" — "&amp;C678&amp;" ("&amp;CurSym&amp;" "&amp;FIXED(S678,0)&amp;")")</f>
        <v/>
      </c>
      <c r="Z678" s="116">
        <f>IF('Contractors'!B678="","",'Contractors'!B678)</f>
        <v/>
      </c>
      <c r="AA678" s="77">
        <f>IF(Z678="","",'Contractors'!K678)</f>
        <v/>
      </c>
      <c r="AB678" s="77">
        <f>IF(Z678="","",SUMIFS($L$6:$L$1005,$B$6:$B$1005,Z678))</f>
        <v/>
      </c>
      <c r="AC678" s="77">
        <f>IF(Z678="","",SUMIFS($N$6:$N$1005,$B$6:$B$1005,Z678))</f>
        <v/>
      </c>
      <c r="AD678" s="76">
        <f>IF(Z678="","",AA678-AC678)</f>
        <v/>
      </c>
      <c r="AE678" s="117">
        <f>IF(Z678="","",IFERROR(1/SUMPRODUCT(MAX(($B$6:$B$1005=Z678)*$T$6:$T$1005)),""))</f>
        <v/>
      </c>
      <c r="AF678" s="77">
        <f>IF(AE678="","",SUMIFS($S$6:$S$1005,$B$6:$B$1005,Z678,$I$6:$I$1005,AE678))</f>
        <v/>
      </c>
    </row>
    <row r="679" ht="20" customHeight="1">
      <c r="B679" s="72" t="n"/>
      <c r="C679" s="72" t="n"/>
      <c r="D679" s="72" t="n"/>
      <c r="E679" s="72" t="n"/>
      <c r="F679" s="110" t="n"/>
      <c r="G679" s="73" t="n"/>
      <c r="H679" s="75">
        <f>IF(B679="","",IF(G679&lt;&gt;"",G679,IF(F679&lt;&gt;"",F679*IFERROR(INDEX('Contractors'!$I$6:$I$1005,MATCH(B679,'Contractors'!$B$6:$B$1005,0)),0),"")))</f>
        <v/>
      </c>
      <c r="I679" s="109" t="n"/>
      <c r="J679" s="72" t="n"/>
      <c r="K679" s="109" t="n"/>
      <c r="L679" s="73" t="n"/>
      <c r="M679" s="109" t="n"/>
      <c r="N679" s="73" t="n"/>
      <c r="O679" s="107">
        <f>IF(B679="","",IF(M679&lt;&gt;"","Paid",IF(AND(I679&lt;&gt;"",I679&lt;AsOf),"OVERDUE",IF(OR(K679&lt;&gt;"",L679&lt;&gt;""),"Invoiced","Scheduled"))))</f>
        <v/>
      </c>
      <c r="P679" s="115">
        <f>IF(B679="","",IF(E679&lt;&gt;"",E679,IFERROR(INDEX('Contractors'!$D$6:$D$1005,MATCH(B679,'Contractors'!$B$6:$B$1005,0)),"")))</f>
        <v/>
      </c>
      <c r="Q679" s="79">
        <f>IF(B679="","",IF(D679&lt;&gt;"",D679,IFERROR(INDEX('Contractors'!$E$6:$E$1005,MATCH(B679,'Contractors'!$B$6:$B$1005,0)),"")))</f>
        <v/>
      </c>
      <c r="R679" s="79">
        <f>IF(O679="","",IF(O679="OVERDUE",2,IF(O679="Paid",0,IF(AND(I679&lt;&gt;"",I679&lt;=AsOf+AlertDays),1,0))))</f>
        <v/>
      </c>
      <c r="S679" s="79">
        <f>IF(AND(B679&lt;&gt;"",M679="",I679&lt;&gt;""),IF(L679&lt;&gt;"",L679,IF(H679="",0,H679)),0)</f>
        <v/>
      </c>
      <c r="T679" s="79">
        <f>IF(AND(B679&lt;&gt;"",M679="",I679&lt;&gt;""),1/I679,0)</f>
        <v/>
      </c>
      <c r="U679" s="112">
        <f>IF(AND(B679&lt;&gt;"",M679="",I679&lt;&gt;""),I679,"")</f>
        <v/>
      </c>
      <c r="V679" s="79">
        <f>IF(U679="","",IF(U679&lt;AsOf,1,IF(U679&lt;=AsOf+AlertDays,2,IF(U679&lt;=AsOf+2*AlertDays,3,""))))</f>
        <v/>
      </c>
      <c r="W679" s="79">
        <f>IF(V679="","",IF(O679="OVERDUE","Overdue payment: ","Payment due: ")&amp;B679&amp;" — "&amp;C679&amp;" ("&amp;CurSym&amp;" "&amp;FIXED(S679,0)&amp;")")</f>
        <v/>
      </c>
      <c r="Z679" s="116">
        <f>IF('Contractors'!B679="","",'Contractors'!B679)</f>
        <v/>
      </c>
      <c r="AA679" s="77">
        <f>IF(Z679="","",'Contractors'!K679)</f>
        <v/>
      </c>
      <c r="AB679" s="77">
        <f>IF(Z679="","",SUMIFS($L$6:$L$1005,$B$6:$B$1005,Z679))</f>
        <v/>
      </c>
      <c r="AC679" s="77">
        <f>IF(Z679="","",SUMIFS($N$6:$N$1005,$B$6:$B$1005,Z679))</f>
        <v/>
      </c>
      <c r="AD679" s="76">
        <f>IF(Z679="","",AA679-AC679)</f>
        <v/>
      </c>
      <c r="AE679" s="117">
        <f>IF(Z679="","",IFERROR(1/SUMPRODUCT(MAX(($B$6:$B$1005=Z679)*$T$6:$T$1005)),""))</f>
        <v/>
      </c>
      <c r="AF679" s="77">
        <f>IF(AE679="","",SUMIFS($S$6:$S$1005,$B$6:$B$1005,Z679,$I$6:$I$1005,AE679))</f>
        <v/>
      </c>
    </row>
    <row r="680" ht="20" customHeight="1">
      <c r="B680" s="72" t="n"/>
      <c r="C680" s="72" t="n"/>
      <c r="D680" s="72" t="n"/>
      <c r="E680" s="72" t="n"/>
      <c r="F680" s="110" t="n"/>
      <c r="G680" s="73" t="n"/>
      <c r="H680" s="75">
        <f>IF(B680="","",IF(G680&lt;&gt;"",G680,IF(F680&lt;&gt;"",F680*IFERROR(INDEX('Contractors'!$I$6:$I$1005,MATCH(B680,'Contractors'!$B$6:$B$1005,0)),0),"")))</f>
        <v/>
      </c>
      <c r="I680" s="109" t="n"/>
      <c r="J680" s="72" t="n"/>
      <c r="K680" s="109" t="n"/>
      <c r="L680" s="73" t="n"/>
      <c r="M680" s="109" t="n"/>
      <c r="N680" s="73" t="n"/>
      <c r="O680" s="107">
        <f>IF(B680="","",IF(M680&lt;&gt;"","Paid",IF(AND(I680&lt;&gt;"",I680&lt;AsOf),"OVERDUE",IF(OR(K680&lt;&gt;"",L680&lt;&gt;""),"Invoiced","Scheduled"))))</f>
        <v/>
      </c>
      <c r="P680" s="115">
        <f>IF(B680="","",IF(E680&lt;&gt;"",E680,IFERROR(INDEX('Contractors'!$D$6:$D$1005,MATCH(B680,'Contractors'!$B$6:$B$1005,0)),"")))</f>
        <v/>
      </c>
      <c r="Q680" s="79">
        <f>IF(B680="","",IF(D680&lt;&gt;"",D680,IFERROR(INDEX('Contractors'!$E$6:$E$1005,MATCH(B680,'Contractors'!$B$6:$B$1005,0)),"")))</f>
        <v/>
      </c>
      <c r="R680" s="79">
        <f>IF(O680="","",IF(O680="OVERDUE",2,IF(O680="Paid",0,IF(AND(I680&lt;&gt;"",I680&lt;=AsOf+AlertDays),1,0))))</f>
        <v/>
      </c>
      <c r="S680" s="79">
        <f>IF(AND(B680&lt;&gt;"",M680="",I680&lt;&gt;""),IF(L680&lt;&gt;"",L680,IF(H680="",0,H680)),0)</f>
        <v/>
      </c>
      <c r="T680" s="79">
        <f>IF(AND(B680&lt;&gt;"",M680="",I680&lt;&gt;""),1/I680,0)</f>
        <v/>
      </c>
      <c r="U680" s="112">
        <f>IF(AND(B680&lt;&gt;"",M680="",I680&lt;&gt;""),I680,"")</f>
        <v/>
      </c>
      <c r="V680" s="79">
        <f>IF(U680="","",IF(U680&lt;AsOf,1,IF(U680&lt;=AsOf+AlertDays,2,IF(U680&lt;=AsOf+2*AlertDays,3,""))))</f>
        <v/>
      </c>
      <c r="W680" s="79">
        <f>IF(V680="","",IF(O680="OVERDUE","Overdue payment: ","Payment due: ")&amp;B680&amp;" — "&amp;C680&amp;" ("&amp;CurSym&amp;" "&amp;FIXED(S680,0)&amp;")")</f>
        <v/>
      </c>
      <c r="Z680" s="116">
        <f>IF('Contractors'!B680="","",'Contractors'!B680)</f>
        <v/>
      </c>
      <c r="AA680" s="77">
        <f>IF(Z680="","",'Contractors'!K680)</f>
        <v/>
      </c>
      <c r="AB680" s="77">
        <f>IF(Z680="","",SUMIFS($L$6:$L$1005,$B$6:$B$1005,Z680))</f>
        <v/>
      </c>
      <c r="AC680" s="77">
        <f>IF(Z680="","",SUMIFS($N$6:$N$1005,$B$6:$B$1005,Z680))</f>
        <v/>
      </c>
      <c r="AD680" s="76">
        <f>IF(Z680="","",AA680-AC680)</f>
        <v/>
      </c>
      <c r="AE680" s="117">
        <f>IF(Z680="","",IFERROR(1/SUMPRODUCT(MAX(($B$6:$B$1005=Z680)*$T$6:$T$1005)),""))</f>
        <v/>
      </c>
      <c r="AF680" s="77">
        <f>IF(AE680="","",SUMIFS($S$6:$S$1005,$B$6:$B$1005,Z680,$I$6:$I$1005,AE680))</f>
        <v/>
      </c>
    </row>
    <row r="681" ht="20" customHeight="1">
      <c r="B681" s="72" t="n"/>
      <c r="C681" s="72" t="n"/>
      <c r="D681" s="72" t="n"/>
      <c r="E681" s="72" t="n"/>
      <c r="F681" s="110" t="n"/>
      <c r="G681" s="73" t="n"/>
      <c r="H681" s="75">
        <f>IF(B681="","",IF(G681&lt;&gt;"",G681,IF(F681&lt;&gt;"",F681*IFERROR(INDEX('Contractors'!$I$6:$I$1005,MATCH(B681,'Contractors'!$B$6:$B$1005,0)),0),"")))</f>
        <v/>
      </c>
      <c r="I681" s="109" t="n"/>
      <c r="J681" s="72" t="n"/>
      <c r="K681" s="109" t="n"/>
      <c r="L681" s="73" t="n"/>
      <c r="M681" s="109" t="n"/>
      <c r="N681" s="73" t="n"/>
      <c r="O681" s="107">
        <f>IF(B681="","",IF(M681&lt;&gt;"","Paid",IF(AND(I681&lt;&gt;"",I681&lt;AsOf),"OVERDUE",IF(OR(K681&lt;&gt;"",L681&lt;&gt;""),"Invoiced","Scheduled"))))</f>
        <v/>
      </c>
      <c r="P681" s="115">
        <f>IF(B681="","",IF(E681&lt;&gt;"",E681,IFERROR(INDEX('Contractors'!$D$6:$D$1005,MATCH(B681,'Contractors'!$B$6:$B$1005,0)),"")))</f>
        <v/>
      </c>
      <c r="Q681" s="79">
        <f>IF(B681="","",IF(D681&lt;&gt;"",D681,IFERROR(INDEX('Contractors'!$E$6:$E$1005,MATCH(B681,'Contractors'!$B$6:$B$1005,0)),"")))</f>
        <v/>
      </c>
      <c r="R681" s="79">
        <f>IF(O681="","",IF(O681="OVERDUE",2,IF(O681="Paid",0,IF(AND(I681&lt;&gt;"",I681&lt;=AsOf+AlertDays),1,0))))</f>
        <v/>
      </c>
      <c r="S681" s="79">
        <f>IF(AND(B681&lt;&gt;"",M681="",I681&lt;&gt;""),IF(L681&lt;&gt;"",L681,IF(H681="",0,H681)),0)</f>
        <v/>
      </c>
      <c r="T681" s="79">
        <f>IF(AND(B681&lt;&gt;"",M681="",I681&lt;&gt;""),1/I681,0)</f>
        <v/>
      </c>
      <c r="U681" s="112">
        <f>IF(AND(B681&lt;&gt;"",M681="",I681&lt;&gt;""),I681,"")</f>
        <v/>
      </c>
      <c r="V681" s="79">
        <f>IF(U681="","",IF(U681&lt;AsOf,1,IF(U681&lt;=AsOf+AlertDays,2,IF(U681&lt;=AsOf+2*AlertDays,3,""))))</f>
        <v/>
      </c>
      <c r="W681" s="79">
        <f>IF(V681="","",IF(O681="OVERDUE","Overdue payment: ","Payment due: ")&amp;B681&amp;" — "&amp;C681&amp;" ("&amp;CurSym&amp;" "&amp;FIXED(S681,0)&amp;")")</f>
        <v/>
      </c>
      <c r="Z681" s="116">
        <f>IF('Contractors'!B681="","",'Contractors'!B681)</f>
        <v/>
      </c>
      <c r="AA681" s="77">
        <f>IF(Z681="","",'Contractors'!K681)</f>
        <v/>
      </c>
      <c r="AB681" s="77">
        <f>IF(Z681="","",SUMIFS($L$6:$L$1005,$B$6:$B$1005,Z681))</f>
        <v/>
      </c>
      <c r="AC681" s="77">
        <f>IF(Z681="","",SUMIFS($N$6:$N$1005,$B$6:$B$1005,Z681))</f>
        <v/>
      </c>
      <c r="AD681" s="76">
        <f>IF(Z681="","",AA681-AC681)</f>
        <v/>
      </c>
      <c r="AE681" s="117">
        <f>IF(Z681="","",IFERROR(1/SUMPRODUCT(MAX(($B$6:$B$1005=Z681)*$T$6:$T$1005)),""))</f>
        <v/>
      </c>
      <c r="AF681" s="77">
        <f>IF(AE681="","",SUMIFS($S$6:$S$1005,$B$6:$B$1005,Z681,$I$6:$I$1005,AE681))</f>
        <v/>
      </c>
    </row>
    <row r="682" ht="20" customHeight="1">
      <c r="B682" s="72" t="n"/>
      <c r="C682" s="72" t="n"/>
      <c r="D682" s="72" t="n"/>
      <c r="E682" s="72" t="n"/>
      <c r="F682" s="110" t="n"/>
      <c r="G682" s="73" t="n"/>
      <c r="H682" s="75">
        <f>IF(B682="","",IF(G682&lt;&gt;"",G682,IF(F682&lt;&gt;"",F682*IFERROR(INDEX('Contractors'!$I$6:$I$1005,MATCH(B682,'Contractors'!$B$6:$B$1005,0)),0),"")))</f>
        <v/>
      </c>
      <c r="I682" s="109" t="n"/>
      <c r="J682" s="72" t="n"/>
      <c r="K682" s="109" t="n"/>
      <c r="L682" s="73" t="n"/>
      <c r="M682" s="109" t="n"/>
      <c r="N682" s="73" t="n"/>
      <c r="O682" s="107">
        <f>IF(B682="","",IF(M682&lt;&gt;"","Paid",IF(AND(I682&lt;&gt;"",I682&lt;AsOf),"OVERDUE",IF(OR(K682&lt;&gt;"",L682&lt;&gt;""),"Invoiced","Scheduled"))))</f>
        <v/>
      </c>
      <c r="P682" s="115">
        <f>IF(B682="","",IF(E682&lt;&gt;"",E682,IFERROR(INDEX('Contractors'!$D$6:$D$1005,MATCH(B682,'Contractors'!$B$6:$B$1005,0)),"")))</f>
        <v/>
      </c>
      <c r="Q682" s="79">
        <f>IF(B682="","",IF(D682&lt;&gt;"",D682,IFERROR(INDEX('Contractors'!$E$6:$E$1005,MATCH(B682,'Contractors'!$B$6:$B$1005,0)),"")))</f>
        <v/>
      </c>
      <c r="R682" s="79">
        <f>IF(O682="","",IF(O682="OVERDUE",2,IF(O682="Paid",0,IF(AND(I682&lt;&gt;"",I682&lt;=AsOf+AlertDays),1,0))))</f>
        <v/>
      </c>
      <c r="S682" s="79">
        <f>IF(AND(B682&lt;&gt;"",M682="",I682&lt;&gt;""),IF(L682&lt;&gt;"",L682,IF(H682="",0,H682)),0)</f>
        <v/>
      </c>
      <c r="T682" s="79">
        <f>IF(AND(B682&lt;&gt;"",M682="",I682&lt;&gt;""),1/I682,0)</f>
        <v/>
      </c>
      <c r="U682" s="112">
        <f>IF(AND(B682&lt;&gt;"",M682="",I682&lt;&gt;""),I682,"")</f>
        <v/>
      </c>
      <c r="V682" s="79">
        <f>IF(U682="","",IF(U682&lt;AsOf,1,IF(U682&lt;=AsOf+AlertDays,2,IF(U682&lt;=AsOf+2*AlertDays,3,""))))</f>
        <v/>
      </c>
      <c r="W682" s="79">
        <f>IF(V682="","",IF(O682="OVERDUE","Overdue payment: ","Payment due: ")&amp;B682&amp;" — "&amp;C682&amp;" ("&amp;CurSym&amp;" "&amp;FIXED(S682,0)&amp;")")</f>
        <v/>
      </c>
      <c r="Z682" s="116">
        <f>IF('Contractors'!B682="","",'Contractors'!B682)</f>
        <v/>
      </c>
      <c r="AA682" s="77">
        <f>IF(Z682="","",'Contractors'!K682)</f>
        <v/>
      </c>
      <c r="AB682" s="77">
        <f>IF(Z682="","",SUMIFS($L$6:$L$1005,$B$6:$B$1005,Z682))</f>
        <v/>
      </c>
      <c r="AC682" s="77">
        <f>IF(Z682="","",SUMIFS($N$6:$N$1005,$B$6:$B$1005,Z682))</f>
        <v/>
      </c>
      <c r="AD682" s="76">
        <f>IF(Z682="","",AA682-AC682)</f>
        <v/>
      </c>
      <c r="AE682" s="117">
        <f>IF(Z682="","",IFERROR(1/SUMPRODUCT(MAX(($B$6:$B$1005=Z682)*$T$6:$T$1005)),""))</f>
        <v/>
      </c>
      <c r="AF682" s="77">
        <f>IF(AE682="","",SUMIFS($S$6:$S$1005,$B$6:$B$1005,Z682,$I$6:$I$1005,AE682))</f>
        <v/>
      </c>
    </row>
    <row r="683" ht="20" customHeight="1">
      <c r="B683" s="72" t="n"/>
      <c r="C683" s="72" t="n"/>
      <c r="D683" s="72" t="n"/>
      <c r="E683" s="72" t="n"/>
      <c r="F683" s="110" t="n"/>
      <c r="G683" s="73" t="n"/>
      <c r="H683" s="75">
        <f>IF(B683="","",IF(G683&lt;&gt;"",G683,IF(F683&lt;&gt;"",F683*IFERROR(INDEX('Contractors'!$I$6:$I$1005,MATCH(B683,'Contractors'!$B$6:$B$1005,0)),0),"")))</f>
        <v/>
      </c>
      <c r="I683" s="109" t="n"/>
      <c r="J683" s="72" t="n"/>
      <c r="K683" s="109" t="n"/>
      <c r="L683" s="73" t="n"/>
      <c r="M683" s="109" t="n"/>
      <c r="N683" s="73" t="n"/>
      <c r="O683" s="107">
        <f>IF(B683="","",IF(M683&lt;&gt;"","Paid",IF(AND(I683&lt;&gt;"",I683&lt;AsOf),"OVERDUE",IF(OR(K683&lt;&gt;"",L683&lt;&gt;""),"Invoiced","Scheduled"))))</f>
        <v/>
      </c>
      <c r="P683" s="115">
        <f>IF(B683="","",IF(E683&lt;&gt;"",E683,IFERROR(INDEX('Contractors'!$D$6:$D$1005,MATCH(B683,'Contractors'!$B$6:$B$1005,0)),"")))</f>
        <v/>
      </c>
      <c r="Q683" s="79">
        <f>IF(B683="","",IF(D683&lt;&gt;"",D683,IFERROR(INDEX('Contractors'!$E$6:$E$1005,MATCH(B683,'Contractors'!$B$6:$B$1005,0)),"")))</f>
        <v/>
      </c>
      <c r="R683" s="79">
        <f>IF(O683="","",IF(O683="OVERDUE",2,IF(O683="Paid",0,IF(AND(I683&lt;&gt;"",I683&lt;=AsOf+AlertDays),1,0))))</f>
        <v/>
      </c>
      <c r="S683" s="79">
        <f>IF(AND(B683&lt;&gt;"",M683="",I683&lt;&gt;""),IF(L683&lt;&gt;"",L683,IF(H683="",0,H683)),0)</f>
        <v/>
      </c>
      <c r="T683" s="79">
        <f>IF(AND(B683&lt;&gt;"",M683="",I683&lt;&gt;""),1/I683,0)</f>
        <v/>
      </c>
      <c r="U683" s="112">
        <f>IF(AND(B683&lt;&gt;"",M683="",I683&lt;&gt;""),I683,"")</f>
        <v/>
      </c>
      <c r="V683" s="79">
        <f>IF(U683="","",IF(U683&lt;AsOf,1,IF(U683&lt;=AsOf+AlertDays,2,IF(U683&lt;=AsOf+2*AlertDays,3,""))))</f>
        <v/>
      </c>
      <c r="W683" s="79">
        <f>IF(V683="","",IF(O683="OVERDUE","Overdue payment: ","Payment due: ")&amp;B683&amp;" — "&amp;C683&amp;" ("&amp;CurSym&amp;" "&amp;FIXED(S683,0)&amp;")")</f>
        <v/>
      </c>
      <c r="Z683" s="116">
        <f>IF('Contractors'!B683="","",'Contractors'!B683)</f>
        <v/>
      </c>
      <c r="AA683" s="77">
        <f>IF(Z683="","",'Contractors'!K683)</f>
        <v/>
      </c>
      <c r="AB683" s="77">
        <f>IF(Z683="","",SUMIFS($L$6:$L$1005,$B$6:$B$1005,Z683))</f>
        <v/>
      </c>
      <c r="AC683" s="77">
        <f>IF(Z683="","",SUMIFS($N$6:$N$1005,$B$6:$B$1005,Z683))</f>
        <v/>
      </c>
      <c r="AD683" s="76">
        <f>IF(Z683="","",AA683-AC683)</f>
        <v/>
      </c>
      <c r="AE683" s="117">
        <f>IF(Z683="","",IFERROR(1/SUMPRODUCT(MAX(($B$6:$B$1005=Z683)*$T$6:$T$1005)),""))</f>
        <v/>
      </c>
      <c r="AF683" s="77">
        <f>IF(AE683="","",SUMIFS($S$6:$S$1005,$B$6:$B$1005,Z683,$I$6:$I$1005,AE683))</f>
        <v/>
      </c>
    </row>
    <row r="684" ht="20" customHeight="1">
      <c r="B684" s="72" t="n"/>
      <c r="C684" s="72" t="n"/>
      <c r="D684" s="72" t="n"/>
      <c r="E684" s="72" t="n"/>
      <c r="F684" s="110" t="n"/>
      <c r="G684" s="73" t="n"/>
      <c r="H684" s="75">
        <f>IF(B684="","",IF(G684&lt;&gt;"",G684,IF(F684&lt;&gt;"",F684*IFERROR(INDEX('Contractors'!$I$6:$I$1005,MATCH(B684,'Contractors'!$B$6:$B$1005,0)),0),"")))</f>
        <v/>
      </c>
      <c r="I684" s="109" t="n"/>
      <c r="J684" s="72" t="n"/>
      <c r="K684" s="109" t="n"/>
      <c r="L684" s="73" t="n"/>
      <c r="M684" s="109" t="n"/>
      <c r="N684" s="73" t="n"/>
      <c r="O684" s="107">
        <f>IF(B684="","",IF(M684&lt;&gt;"","Paid",IF(AND(I684&lt;&gt;"",I684&lt;AsOf),"OVERDUE",IF(OR(K684&lt;&gt;"",L684&lt;&gt;""),"Invoiced","Scheduled"))))</f>
        <v/>
      </c>
      <c r="P684" s="115">
        <f>IF(B684="","",IF(E684&lt;&gt;"",E684,IFERROR(INDEX('Contractors'!$D$6:$D$1005,MATCH(B684,'Contractors'!$B$6:$B$1005,0)),"")))</f>
        <v/>
      </c>
      <c r="Q684" s="79">
        <f>IF(B684="","",IF(D684&lt;&gt;"",D684,IFERROR(INDEX('Contractors'!$E$6:$E$1005,MATCH(B684,'Contractors'!$B$6:$B$1005,0)),"")))</f>
        <v/>
      </c>
      <c r="R684" s="79">
        <f>IF(O684="","",IF(O684="OVERDUE",2,IF(O684="Paid",0,IF(AND(I684&lt;&gt;"",I684&lt;=AsOf+AlertDays),1,0))))</f>
        <v/>
      </c>
      <c r="S684" s="79">
        <f>IF(AND(B684&lt;&gt;"",M684="",I684&lt;&gt;""),IF(L684&lt;&gt;"",L684,IF(H684="",0,H684)),0)</f>
        <v/>
      </c>
      <c r="T684" s="79">
        <f>IF(AND(B684&lt;&gt;"",M684="",I684&lt;&gt;""),1/I684,0)</f>
        <v/>
      </c>
      <c r="U684" s="112">
        <f>IF(AND(B684&lt;&gt;"",M684="",I684&lt;&gt;""),I684,"")</f>
        <v/>
      </c>
      <c r="V684" s="79">
        <f>IF(U684="","",IF(U684&lt;AsOf,1,IF(U684&lt;=AsOf+AlertDays,2,IF(U684&lt;=AsOf+2*AlertDays,3,""))))</f>
        <v/>
      </c>
      <c r="W684" s="79">
        <f>IF(V684="","",IF(O684="OVERDUE","Overdue payment: ","Payment due: ")&amp;B684&amp;" — "&amp;C684&amp;" ("&amp;CurSym&amp;" "&amp;FIXED(S684,0)&amp;")")</f>
        <v/>
      </c>
      <c r="Z684" s="116">
        <f>IF('Contractors'!B684="","",'Contractors'!B684)</f>
        <v/>
      </c>
      <c r="AA684" s="77">
        <f>IF(Z684="","",'Contractors'!K684)</f>
        <v/>
      </c>
      <c r="AB684" s="77">
        <f>IF(Z684="","",SUMIFS($L$6:$L$1005,$B$6:$B$1005,Z684))</f>
        <v/>
      </c>
      <c r="AC684" s="77">
        <f>IF(Z684="","",SUMIFS($N$6:$N$1005,$B$6:$B$1005,Z684))</f>
        <v/>
      </c>
      <c r="AD684" s="76">
        <f>IF(Z684="","",AA684-AC684)</f>
        <v/>
      </c>
      <c r="AE684" s="117">
        <f>IF(Z684="","",IFERROR(1/SUMPRODUCT(MAX(($B$6:$B$1005=Z684)*$T$6:$T$1005)),""))</f>
        <v/>
      </c>
      <c r="AF684" s="77">
        <f>IF(AE684="","",SUMIFS($S$6:$S$1005,$B$6:$B$1005,Z684,$I$6:$I$1005,AE684))</f>
        <v/>
      </c>
    </row>
    <row r="685" ht="20" customHeight="1">
      <c r="B685" s="72" t="n"/>
      <c r="C685" s="72" t="n"/>
      <c r="D685" s="72" t="n"/>
      <c r="E685" s="72" t="n"/>
      <c r="F685" s="110" t="n"/>
      <c r="G685" s="73" t="n"/>
      <c r="H685" s="75">
        <f>IF(B685="","",IF(G685&lt;&gt;"",G685,IF(F685&lt;&gt;"",F685*IFERROR(INDEX('Contractors'!$I$6:$I$1005,MATCH(B685,'Contractors'!$B$6:$B$1005,0)),0),"")))</f>
        <v/>
      </c>
      <c r="I685" s="109" t="n"/>
      <c r="J685" s="72" t="n"/>
      <c r="K685" s="109" t="n"/>
      <c r="L685" s="73" t="n"/>
      <c r="M685" s="109" t="n"/>
      <c r="N685" s="73" t="n"/>
      <c r="O685" s="107">
        <f>IF(B685="","",IF(M685&lt;&gt;"","Paid",IF(AND(I685&lt;&gt;"",I685&lt;AsOf),"OVERDUE",IF(OR(K685&lt;&gt;"",L685&lt;&gt;""),"Invoiced","Scheduled"))))</f>
        <v/>
      </c>
      <c r="P685" s="115">
        <f>IF(B685="","",IF(E685&lt;&gt;"",E685,IFERROR(INDEX('Contractors'!$D$6:$D$1005,MATCH(B685,'Contractors'!$B$6:$B$1005,0)),"")))</f>
        <v/>
      </c>
      <c r="Q685" s="79">
        <f>IF(B685="","",IF(D685&lt;&gt;"",D685,IFERROR(INDEX('Contractors'!$E$6:$E$1005,MATCH(B685,'Contractors'!$B$6:$B$1005,0)),"")))</f>
        <v/>
      </c>
      <c r="R685" s="79">
        <f>IF(O685="","",IF(O685="OVERDUE",2,IF(O685="Paid",0,IF(AND(I685&lt;&gt;"",I685&lt;=AsOf+AlertDays),1,0))))</f>
        <v/>
      </c>
      <c r="S685" s="79">
        <f>IF(AND(B685&lt;&gt;"",M685="",I685&lt;&gt;""),IF(L685&lt;&gt;"",L685,IF(H685="",0,H685)),0)</f>
        <v/>
      </c>
      <c r="T685" s="79">
        <f>IF(AND(B685&lt;&gt;"",M685="",I685&lt;&gt;""),1/I685,0)</f>
        <v/>
      </c>
      <c r="U685" s="112">
        <f>IF(AND(B685&lt;&gt;"",M685="",I685&lt;&gt;""),I685,"")</f>
        <v/>
      </c>
      <c r="V685" s="79">
        <f>IF(U685="","",IF(U685&lt;AsOf,1,IF(U685&lt;=AsOf+AlertDays,2,IF(U685&lt;=AsOf+2*AlertDays,3,""))))</f>
        <v/>
      </c>
      <c r="W685" s="79">
        <f>IF(V685="","",IF(O685="OVERDUE","Overdue payment: ","Payment due: ")&amp;B685&amp;" — "&amp;C685&amp;" ("&amp;CurSym&amp;" "&amp;FIXED(S685,0)&amp;")")</f>
        <v/>
      </c>
      <c r="Z685" s="116">
        <f>IF('Contractors'!B685="","",'Contractors'!B685)</f>
        <v/>
      </c>
      <c r="AA685" s="77">
        <f>IF(Z685="","",'Contractors'!K685)</f>
        <v/>
      </c>
      <c r="AB685" s="77">
        <f>IF(Z685="","",SUMIFS($L$6:$L$1005,$B$6:$B$1005,Z685))</f>
        <v/>
      </c>
      <c r="AC685" s="77">
        <f>IF(Z685="","",SUMIFS($N$6:$N$1005,$B$6:$B$1005,Z685))</f>
        <v/>
      </c>
      <c r="AD685" s="76">
        <f>IF(Z685="","",AA685-AC685)</f>
        <v/>
      </c>
      <c r="AE685" s="117">
        <f>IF(Z685="","",IFERROR(1/SUMPRODUCT(MAX(($B$6:$B$1005=Z685)*$T$6:$T$1005)),""))</f>
        <v/>
      </c>
      <c r="AF685" s="77">
        <f>IF(AE685="","",SUMIFS($S$6:$S$1005,$B$6:$B$1005,Z685,$I$6:$I$1005,AE685))</f>
        <v/>
      </c>
    </row>
    <row r="686" ht="20" customHeight="1">
      <c r="B686" s="72" t="n"/>
      <c r="C686" s="72" t="n"/>
      <c r="D686" s="72" t="n"/>
      <c r="E686" s="72" t="n"/>
      <c r="F686" s="110" t="n"/>
      <c r="G686" s="73" t="n"/>
      <c r="H686" s="75">
        <f>IF(B686="","",IF(G686&lt;&gt;"",G686,IF(F686&lt;&gt;"",F686*IFERROR(INDEX('Contractors'!$I$6:$I$1005,MATCH(B686,'Contractors'!$B$6:$B$1005,0)),0),"")))</f>
        <v/>
      </c>
      <c r="I686" s="109" t="n"/>
      <c r="J686" s="72" t="n"/>
      <c r="K686" s="109" t="n"/>
      <c r="L686" s="73" t="n"/>
      <c r="M686" s="109" t="n"/>
      <c r="N686" s="73" t="n"/>
      <c r="O686" s="107">
        <f>IF(B686="","",IF(M686&lt;&gt;"","Paid",IF(AND(I686&lt;&gt;"",I686&lt;AsOf),"OVERDUE",IF(OR(K686&lt;&gt;"",L686&lt;&gt;""),"Invoiced","Scheduled"))))</f>
        <v/>
      </c>
      <c r="P686" s="115">
        <f>IF(B686="","",IF(E686&lt;&gt;"",E686,IFERROR(INDEX('Contractors'!$D$6:$D$1005,MATCH(B686,'Contractors'!$B$6:$B$1005,0)),"")))</f>
        <v/>
      </c>
      <c r="Q686" s="79">
        <f>IF(B686="","",IF(D686&lt;&gt;"",D686,IFERROR(INDEX('Contractors'!$E$6:$E$1005,MATCH(B686,'Contractors'!$B$6:$B$1005,0)),"")))</f>
        <v/>
      </c>
      <c r="R686" s="79">
        <f>IF(O686="","",IF(O686="OVERDUE",2,IF(O686="Paid",0,IF(AND(I686&lt;&gt;"",I686&lt;=AsOf+AlertDays),1,0))))</f>
        <v/>
      </c>
      <c r="S686" s="79">
        <f>IF(AND(B686&lt;&gt;"",M686="",I686&lt;&gt;""),IF(L686&lt;&gt;"",L686,IF(H686="",0,H686)),0)</f>
        <v/>
      </c>
      <c r="T686" s="79">
        <f>IF(AND(B686&lt;&gt;"",M686="",I686&lt;&gt;""),1/I686,0)</f>
        <v/>
      </c>
      <c r="U686" s="112">
        <f>IF(AND(B686&lt;&gt;"",M686="",I686&lt;&gt;""),I686,"")</f>
        <v/>
      </c>
      <c r="V686" s="79">
        <f>IF(U686="","",IF(U686&lt;AsOf,1,IF(U686&lt;=AsOf+AlertDays,2,IF(U686&lt;=AsOf+2*AlertDays,3,""))))</f>
        <v/>
      </c>
      <c r="W686" s="79">
        <f>IF(V686="","",IF(O686="OVERDUE","Overdue payment: ","Payment due: ")&amp;B686&amp;" — "&amp;C686&amp;" ("&amp;CurSym&amp;" "&amp;FIXED(S686,0)&amp;")")</f>
        <v/>
      </c>
      <c r="Z686" s="116">
        <f>IF('Contractors'!B686="","",'Contractors'!B686)</f>
        <v/>
      </c>
      <c r="AA686" s="77">
        <f>IF(Z686="","",'Contractors'!K686)</f>
        <v/>
      </c>
      <c r="AB686" s="77">
        <f>IF(Z686="","",SUMIFS($L$6:$L$1005,$B$6:$B$1005,Z686))</f>
        <v/>
      </c>
      <c r="AC686" s="77">
        <f>IF(Z686="","",SUMIFS($N$6:$N$1005,$B$6:$B$1005,Z686))</f>
        <v/>
      </c>
      <c r="AD686" s="76">
        <f>IF(Z686="","",AA686-AC686)</f>
        <v/>
      </c>
      <c r="AE686" s="117">
        <f>IF(Z686="","",IFERROR(1/SUMPRODUCT(MAX(($B$6:$B$1005=Z686)*$T$6:$T$1005)),""))</f>
        <v/>
      </c>
      <c r="AF686" s="77">
        <f>IF(AE686="","",SUMIFS($S$6:$S$1005,$B$6:$B$1005,Z686,$I$6:$I$1005,AE686))</f>
        <v/>
      </c>
    </row>
    <row r="687" ht="20" customHeight="1">
      <c r="B687" s="72" t="n"/>
      <c r="C687" s="72" t="n"/>
      <c r="D687" s="72" t="n"/>
      <c r="E687" s="72" t="n"/>
      <c r="F687" s="110" t="n"/>
      <c r="G687" s="73" t="n"/>
      <c r="H687" s="75">
        <f>IF(B687="","",IF(G687&lt;&gt;"",G687,IF(F687&lt;&gt;"",F687*IFERROR(INDEX('Contractors'!$I$6:$I$1005,MATCH(B687,'Contractors'!$B$6:$B$1005,0)),0),"")))</f>
        <v/>
      </c>
      <c r="I687" s="109" t="n"/>
      <c r="J687" s="72" t="n"/>
      <c r="K687" s="109" t="n"/>
      <c r="L687" s="73" t="n"/>
      <c r="M687" s="109" t="n"/>
      <c r="N687" s="73" t="n"/>
      <c r="O687" s="107">
        <f>IF(B687="","",IF(M687&lt;&gt;"","Paid",IF(AND(I687&lt;&gt;"",I687&lt;AsOf),"OVERDUE",IF(OR(K687&lt;&gt;"",L687&lt;&gt;""),"Invoiced","Scheduled"))))</f>
        <v/>
      </c>
      <c r="P687" s="115">
        <f>IF(B687="","",IF(E687&lt;&gt;"",E687,IFERROR(INDEX('Contractors'!$D$6:$D$1005,MATCH(B687,'Contractors'!$B$6:$B$1005,0)),"")))</f>
        <v/>
      </c>
      <c r="Q687" s="79">
        <f>IF(B687="","",IF(D687&lt;&gt;"",D687,IFERROR(INDEX('Contractors'!$E$6:$E$1005,MATCH(B687,'Contractors'!$B$6:$B$1005,0)),"")))</f>
        <v/>
      </c>
      <c r="R687" s="79">
        <f>IF(O687="","",IF(O687="OVERDUE",2,IF(O687="Paid",0,IF(AND(I687&lt;&gt;"",I687&lt;=AsOf+AlertDays),1,0))))</f>
        <v/>
      </c>
      <c r="S687" s="79">
        <f>IF(AND(B687&lt;&gt;"",M687="",I687&lt;&gt;""),IF(L687&lt;&gt;"",L687,IF(H687="",0,H687)),0)</f>
        <v/>
      </c>
      <c r="T687" s="79">
        <f>IF(AND(B687&lt;&gt;"",M687="",I687&lt;&gt;""),1/I687,0)</f>
        <v/>
      </c>
      <c r="U687" s="112">
        <f>IF(AND(B687&lt;&gt;"",M687="",I687&lt;&gt;""),I687,"")</f>
        <v/>
      </c>
      <c r="V687" s="79">
        <f>IF(U687="","",IF(U687&lt;AsOf,1,IF(U687&lt;=AsOf+AlertDays,2,IF(U687&lt;=AsOf+2*AlertDays,3,""))))</f>
        <v/>
      </c>
      <c r="W687" s="79">
        <f>IF(V687="","",IF(O687="OVERDUE","Overdue payment: ","Payment due: ")&amp;B687&amp;" — "&amp;C687&amp;" ("&amp;CurSym&amp;" "&amp;FIXED(S687,0)&amp;")")</f>
        <v/>
      </c>
      <c r="Z687" s="116">
        <f>IF('Contractors'!B687="","",'Contractors'!B687)</f>
        <v/>
      </c>
      <c r="AA687" s="77">
        <f>IF(Z687="","",'Contractors'!K687)</f>
        <v/>
      </c>
      <c r="AB687" s="77">
        <f>IF(Z687="","",SUMIFS($L$6:$L$1005,$B$6:$B$1005,Z687))</f>
        <v/>
      </c>
      <c r="AC687" s="77">
        <f>IF(Z687="","",SUMIFS($N$6:$N$1005,$B$6:$B$1005,Z687))</f>
        <v/>
      </c>
      <c r="AD687" s="76">
        <f>IF(Z687="","",AA687-AC687)</f>
        <v/>
      </c>
      <c r="AE687" s="117">
        <f>IF(Z687="","",IFERROR(1/SUMPRODUCT(MAX(($B$6:$B$1005=Z687)*$T$6:$T$1005)),""))</f>
        <v/>
      </c>
      <c r="AF687" s="77">
        <f>IF(AE687="","",SUMIFS($S$6:$S$1005,$B$6:$B$1005,Z687,$I$6:$I$1005,AE687))</f>
        <v/>
      </c>
    </row>
    <row r="688" ht="20" customHeight="1">
      <c r="B688" s="72" t="n"/>
      <c r="C688" s="72" t="n"/>
      <c r="D688" s="72" t="n"/>
      <c r="E688" s="72" t="n"/>
      <c r="F688" s="110" t="n"/>
      <c r="G688" s="73" t="n"/>
      <c r="H688" s="75">
        <f>IF(B688="","",IF(G688&lt;&gt;"",G688,IF(F688&lt;&gt;"",F688*IFERROR(INDEX('Contractors'!$I$6:$I$1005,MATCH(B688,'Contractors'!$B$6:$B$1005,0)),0),"")))</f>
        <v/>
      </c>
      <c r="I688" s="109" t="n"/>
      <c r="J688" s="72" t="n"/>
      <c r="K688" s="109" t="n"/>
      <c r="L688" s="73" t="n"/>
      <c r="M688" s="109" t="n"/>
      <c r="N688" s="73" t="n"/>
      <c r="O688" s="107">
        <f>IF(B688="","",IF(M688&lt;&gt;"","Paid",IF(AND(I688&lt;&gt;"",I688&lt;AsOf),"OVERDUE",IF(OR(K688&lt;&gt;"",L688&lt;&gt;""),"Invoiced","Scheduled"))))</f>
        <v/>
      </c>
      <c r="P688" s="115">
        <f>IF(B688="","",IF(E688&lt;&gt;"",E688,IFERROR(INDEX('Contractors'!$D$6:$D$1005,MATCH(B688,'Contractors'!$B$6:$B$1005,0)),"")))</f>
        <v/>
      </c>
      <c r="Q688" s="79">
        <f>IF(B688="","",IF(D688&lt;&gt;"",D688,IFERROR(INDEX('Contractors'!$E$6:$E$1005,MATCH(B688,'Contractors'!$B$6:$B$1005,0)),"")))</f>
        <v/>
      </c>
      <c r="R688" s="79">
        <f>IF(O688="","",IF(O688="OVERDUE",2,IF(O688="Paid",0,IF(AND(I688&lt;&gt;"",I688&lt;=AsOf+AlertDays),1,0))))</f>
        <v/>
      </c>
      <c r="S688" s="79">
        <f>IF(AND(B688&lt;&gt;"",M688="",I688&lt;&gt;""),IF(L688&lt;&gt;"",L688,IF(H688="",0,H688)),0)</f>
        <v/>
      </c>
      <c r="T688" s="79">
        <f>IF(AND(B688&lt;&gt;"",M688="",I688&lt;&gt;""),1/I688,0)</f>
        <v/>
      </c>
      <c r="U688" s="112">
        <f>IF(AND(B688&lt;&gt;"",M688="",I688&lt;&gt;""),I688,"")</f>
        <v/>
      </c>
      <c r="V688" s="79">
        <f>IF(U688="","",IF(U688&lt;AsOf,1,IF(U688&lt;=AsOf+AlertDays,2,IF(U688&lt;=AsOf+2*AlertDays,3,""))))</f>
        <v/>
      </c>
      <c r="W688" s="79">
        <f>IF(V688="","",IF(O688="OVERDUE","Overdue payment: ","Payment due: ")&amp;B688&amp;" — "&amp;C688&amp;" ("&amp;CurSym&amp;" "&amp;FIXED(S688,0)&amp;")")</f>
        <v/>
      </c>
      <c r="Z688" s="116">
        <f>IF('Contractors'!B688="","",'Contractors'!B688)</f>
        <v/>
      </c>
      <c r="AA688" s="77">
        <f>IF(Z688="","",'Contractors'!K688)</f>
        <v/>
      </c>
      <c r="AB688" s="77">
        <f>IF(Z688="","",SUMIFS($L$6:$L$1005,$B$6:$B$1005,Z688))</f>
        <v/>
      </c>
      <c r="AC688" s="77">
        <f>IF(Z688="","",SUMIFS($N$6:$N$1005,$B$6:$B$1005,Z688))</f>
        <v/>
      </c>
      <c r="AD688" s="76">
        <f>IF(Z688="","",AA688-AC688)</f>
        <v/>
      </c>
      <c r="AE688" s="117">
        <f>IF(Z688="","",IFERROR(1/SUMPRODUCT(MAX(($B$6:$B$1005=Z688)*$T$6:$T$1005)),""))</f>
        <v/>
      </c>
      <c r="AF688" s="77">
        <f>IF(AE688="","",SUMIFS($S$6:$S$1005,$B$6:$B$1005,Z688,$I$6:$I$1005,AE688))</f>
        <v/>
      </c>
    </row>
    <row r="689" ht="20" customHeight="1">
      <c r="B689" s="72" t="n"/>
      <c r="C689" s="72" t="n"/>
      <c r="D689" s="72" t="n"/>
      <c r="E689" s="72" t="n"/>
      <c r="F689" s="110" t="n"/>
      <c r="G689" s="73" t="n"/>
      <c r="H689" s="75">
        <f>IF(B689="","",IF(G689&lt;&gt;"",G689,IF(F689&lt;&gt;"",F689*IFERROR(INDEX('Contractors'!$I$6:$I$1005,MATCH(B689,'Contractors'!$B$6:$B$1005,0)),0),"")))</f>
        <v/>
      </c>
      <c r="I689" s="109" t="n"/>
      <c r="J689" s="72" t="n"/>
      <c r="K689" s="109" t="n"/>
      <c r="L689" s="73" t="n"/>
      <c r="M689" s="109" t="n"/>
      <c r="N689" s="73" t="n"/>
      <c r="O689" s="107">
        <f>IF(B689="","",IF(M689&lt;&gt;"","Paid",IF(AND(I689&lt;&gt;"",I689&lt;AsOf),"OVERDUE",IF(OR(K689&lt;&gt;"",L689&lt;&gt;""),"Invoiced","Scheduled"))))</f>
        <v/>
      </c>
      <c r="P689" s="115">
        <f>IF(B689="","",IF(E689&lt;&gt;"",E689,IFERROR(INDEX('Contractors'!$D$6:$D$1005,MATCH(B689,'Contractors'!$B$6:$B$1005,0)),"")))</f>
        <v/>
      </c>
      <c r="Q689" s="79">
        <f>IF(B689="","",IF(D689&lt;&gt;"",D689,IFERROR(INDEX('Contractors'!$E$6:$E$1005,MATCH(B689,'Contractors'!$B$6:$B$1005,0)),"")))</f>
        <v/>
      </c>
      <c r="R689" s="79">
        <f>IF(O689="","",IF(O689="OVERDUE",2,IF(O689="Paid",0,IF(AND(I689&lt;&gt;"",I689&lt;=AsOf+AlertDays),1,0))))</f>
        <v/>
      </c>
      <c r="S689" s="79">
        <f>IF(AND(B689&lt;&gt;"",M689="",I689&lt;&gt;""),IF(L689&lt;&gt;"",L689,IF(H689="",0,H689)),0)</f>
        <v/>
      </c>
      <c r="T689" s="79">
        <f>IF(AND(B689&lt;&gt;"",M689="",I689&lt;&gt;""),1/I689,0)</f>
        <v/>
      </c>
      <c r="U689" s="112">
        <f>IF(AND(B689&lt;&gt;"",M689="",I689&lt;&gt;""),I689,"")</f>
        <v/>
      </c>
      <c r="V689" s="79">
        <f>IF(U689="","",IF(U689&lt;AsOf,1,IF(U689&lt;=AsOf+AlertDays,2,IF(U689&lt;=AsOf+2*AlertDays,3,""))))</f>
        <v/>
      </c>
      <c r="W689" s="79">
        <f>IF(V689="","",IF(O689="OVERDUE","Overdue payment: ","Payment due: ")&amp;B689&amp;" — "&amp;C689&amp;" ("&amp;CurSym&amp;" "&amp;FIXED(S689,0)&amp;")")</f>
        <v/>
      </c>
      <c r="Z689" s="116">
        <f>IF('Contractors'!B689="","",'Contractors'!B689)</f>
        <v/>
      </c>
      <c r="AA689" s="77">
        <f>IF(Z689="","",'Contractors'!K689)</f>
        <v/>
      </c>
      <c r="AB689" s="77">
        <f>IF(Z689="","",SUMIFS($L$6:$L$1005,$B$6:$B$1005,Z689))</f>
        <v/>
      </c>
      <c r="AC689" s="77">
        <f>IF(Z689="","",SUMIFS($N$6:$N$1005,$B$6:$B$1005,Z689))</f>
        <v/>
      </c>
      <c r="AD689" s="76">
        <f>IF(Z689="","",AA689-AC689)</f>
        <v/>
      </c>
      <c r="AE689" s="117">
        <f>IF(Z689="","",IFERROR(1/SUMPRODUCT(MAX(($B$6:$B$1005=Z689)*$T$6:$T$1005)),""))</f>
        <v/>
      </c>
      <c r="AF689" s="77">
        <f>IF(AE689="","",SUMIFS($S$6:$S$1005,$B$6:$B$1005,Z689,$I$6:$I$1005,AE689))</f>
        <v/>
      </c>
    </row>
    <row r="690" ht="20" customHeight="1">
      <c r="B690" s="72" t="n"/>
      <c r="C690" s="72" t="n"/>
      <c r="D690" s="72" t="n"/>
      <c r="E690" s="72" t="n"/>
      <c r="F690" s="110" t="n"/>
      <c r="G690" s="73" t="n"/>
      <c r="H690" s="75">
        <f>IF(B690="","",IF(G690&lt;&gt;"",G690,IF(F690&lt;&gt;"",F690*IFERROR(INDEX('Contractors'!$I$6:$I$1005,MATCH(B690,'Contractors'!$B$6:$B$1005,0)),0),"")))</f>
        <v/>
      </c>
      <c r="I690" s="109" t="n"/>
      <c r="J690" s="72" t="n"/>
      <c r="K690" s="109" t="n"/>
      <c r="L690" s="73" t="n"/>
      <c r="M690" s="109" t="n"/>
      <c r="N690" s="73" t="n"/>
      <c r="O690" s="107">
        <f>IF(B690="","",IF(M690&lt;&gt;"","Paid",IF(AND(I690&lt;&gt;"",I690&lt;AsOf),"OVERDUE",IF(OR(K690&lt;&gt;"",L690&lt;&gt;""),"Invoiced","Scheduled"))))</f>
        <v/>
      </c>
      <c r="P690" s="115">
        <f>IF(B690="","",IF(E690&lt;&gt;"",E690,IFERROR(INDEX('Contractors'!$D$6:$D$1005,MATCH(B690,'Contractors'!$B$6:$B$1005,0)),"")))</f>
        <v/>
      </c>
      <c r="Q690" s="79">
        <f>IF(B690="","",IF(D690&lt;&gt;"",D690,IFERROR(INDEX('Contractors'!$E$6:$E$1005,MATCH(B690,'Contractors'!$B$6:$B$1005,0)),"")))</f>
        <v/>
      </c>
      <c r="R690" s="79">
        <f>IF(O690="","",IF(O690="OVERDUE",2,IF(O690="Paid",0,IF(AND(I690&lt;&gt;"",I690&lt;=AsOf+AlertDays),1,0))))</f>
        <v/>
      </c>
      <c r="S690" s="79">
        <f>IF(AND(B690&lt;&gt;"",M690="",I690&lt;&gt;""),IF(L690&lt;&gt;"",L690,IF(H690="",0,H690)),0)</f>
        <v/>
      </c>
      <c r="T690" s="79">
        <f>IF(AND(B690&lt;&gt;"",M690="",I690&lt;&gt;""),1/I690,0)</f>
        <v/>
      </c>
      <c r="U690" s="112">
        <f>IF(AND(B690&lt;&gt;"",M690="",I690&lt;&gt;""),I690,"")</f>
        <v/>
      </c>
      <c r="V690" s="79">
        <f>IF(U690="","",IF(U690&lt;AsOf,1,IF(U690&lt;=AsOf+AlertDays,2,IF(U690&lt;=AsOf+2*AlertDays,3,""))))</f>
        <v/>
      </c>
      <c r="W690" s="79">
        <f>IF(V690="","",IF(O690="OVERDUE","Overdue payment: ","Payment due: ")&amp;B690&amp;" — "&amp;C690&amp;" ("&amp;CurSym&amp;" "&amp;FIXED(S690,0)&amp;")")</f>
        <v/>
      </c>
      <c r="Z690" s="116">
        <f>IF('Contractors'!B690="","",'Contractors'!B690)</f>
        <v/>
      </c>
      <c r="AA690" s="77">
        <f>IF(Z690="","",'Contractors'!K690)</f>
        <v/>
      </c>
      <c r="AB690" s="77">
        <f>IF(Z690="","",SUMIFS($L$6:$L$1005,$B$6:$B$1005,Z690))</f>
        <v/>
      </c>
      <c r="AC690" s="77">
        <f>IF(Z690="","",SUMIFS($N$6:$N$1005,$B$6:$B$1005,Z690))</f>
        <v/>
      </c>
      <c r="AD690" s="76">
        <f>IF(Z690="","",AA690-AC690)</f>
        <v/>
      </c>
      <c r="AE690" s="117">
        <f>IF(Z690="","",IFERROR(1/SUMPRODUCT(MAX(($B$6:$B$1005=Z690)*$T$6:$T$1005)),""))</f>
        <v/>
      </c>
      <c r="AF690" s="77">
        <f>IF(AE690="","",SUMIFS($S$6:$S$1005,$B$6:$B$1005,Z690,$I$6:$I$1005,AE690))</f>
        <v/>
      </c>
    </row>
    <row r="691" ht="20" customHeight="1">
      <c r="B691" s="72" t="n"/>
      <c r="C691" s="72" t="n"/>
      <c r="D691" s="72" t="n"/>
      <c r="E691" s="72" t="n"/>
      <c r="F691" s="110" t="n"/>
      <c r="G691" s="73" t="n"/>
      <c r="H691" s="75">
        <f>IF(B691="","",IF(G691&lt;&gt;"",G691,IF(F691&lt;&gt;"",F691*IFERROR(INDEX('Contractors'!$I$6:$I$1005,MATCH(B691,'Contractors'!$B$6:$B$1005,0)),0),"")))</f>
        <v/>
      </c>
      <c r="I691" s="109" t="n"/>
      <c r="J691" s="72" t="n"/>
      <c r="K691" s="109" t="n"/>
      <c r="L691" s="73" t="n"/>
      <c r="M691" s="109" t="n"/>
      <c r="N691" s="73" t="n"/>
      <c r="O691" s="107">
        <f>IF(B691="","",IF(M691&lt;&gt;"","Paid",IF(AND(I691&lt;&gt;"",I691&lt;AsOf),"OVERDUE",IF(OR(K691&lt;&gt;"",L691&lt;&gt;""),"Invoiced","Scheduled"))))</f>
        <v/>
      </c>
      <c r="P691" s="115">
        <f>IF(B691="","",IF(E691&lt;&gt;"",E691,IFERROR(INDEX('Contractors'!$D$6:$D$1005,MATCH(B691,'Contractors'!$B$6:$B$1005,0)),"")))</f>
        <v/>
      </c>
      <c r="Q691" s="79">
        <f>IF(B691="","",IF(D691&lt;&gt;"",D691,IFERROR(INDEX('Contractors'!$E$6:$E$1005,MATCH(B691,'Contractors'!$B$6:$B$1005,0)),"")))</f>
        <v/>
      </c>
      <c r="R691" s="79">
        <f>IF(O691="","",IF(O691="OVERDUE",2,IF(O691="Paid",0,IF(AND(I691&lt;&gt;"",I691&lt;=AsOf+AlertDays),1,0))))</f>
        <v/>
      </c>
      <c r="S691" s="79">
        <f>IF(AND(B691&lt;&gt;"",M691="",I691&lt;&gt;""),IF(L691&lt;&gt;"",L691,IF(H691="",0,H691)),0)</f>
        <v/>
      </c>
      <c r="T691" s="79">
        <f>IF(AND(B691&lt;&gt;"",M691="",I691&lt;&gt;""),1/I691,0)</f>
        <v/>
      </c>
      <c r="U691" s="112">
        <f>IF(AND(B691&lt;&gt;"",M691="",I691&lt;&gt;""),I691,"")</f>
        <v/>
      </c>
      <c r="V691" s="79">
        <f>IF(U691="","",IF(U691&lt;AsOf,1,IF(U691&lt;=AsOf+AlertDays,2,IF(U691&lt;=AsOf+2*AlertDays,3,""))))</f>
        <v/>
      </c>
      <c r="W691" s="79">
        <f>IF(V691="","",IF(O691="OVERDUE","Overdue payment: ","Payment due: ")&amp;B691&amp;" — "&amp;C691&amp;" ("&amp;CurSym&amp;" "&amp;FIXED(S691,0)&amp;")")</f>
        <v/>
      </c>
      <c r="Z691" s="116">
        <f>IF('Contractors'!B691="","",'Contractors'!B691)</f>
        <v/>
      </c>
      <c r="AA691" s="77">
        <f>IF(Z691="","",'Contractors'!K691)</f>
        <v/>
      </c>
      <c r="AB691" s="77">
        <f>IF(Z691="","",SUMIFS($L$6:$L$1005,$B$6:$B$1005,Z691))</f>
        <v/>
      </c>
      <c r="AC691" s="77">
        <f>IF(Z691="","",SUMIFS($N$6:$N$1005,$B$6:$B$1005,Z691))</f>
        <v/>
      </c>
      <c r="AD691" s="76">
        <f>IF(Z691="","",AA691-AC691)</f>
        <v/>
      </c>
      <c r="AE691" s="117">
        <f>IF(Z691="","",IFERROR(1/SUMPRODUCT(MAX(($B$6:$B$1005=Z691)*$T$6:$T$1005)),""))</f>
        <v/>
      </c>
      <c r="AF691" s="77">
        <f>IF(AE691="","",SUMIFS($S$6:$S$1005,$B$6:$B$1005,Z691,$I$6:$I$1005,AE691))</f>
        <v/>
      </c>
    </row>
    <row r="692" ht="20" customHeight="1">
      <c r="B692" s="72" t="n"/>
      <c r="C692" s="72" t="n"/>
      <c r="D692" s="72" t="n"/>
      <c r="E692" s="72" t="n"/>
      <c r="F692" s="110" t="n"/>
      <c r="G692" s="73" t="n"/>
      <c r="H692" s="75">
        <f>IF(B692="","",IF(G692&lt;&gt;"",G692,IF(F692&lt;&gt;"",F692*IFERROR(INDEX('Contractors'!$I$6:$I$1005,MATCH(B692,'Contractors'!$B$6:$B$1005,0)),0),"")))</f>
        <v/>
      </c>
      <c r="I692" s="109" t="n"/>
      <c r="J692" s="72" t="n"/>
      <c r="K692" s="109" t="n"/>
      <c r="L692" s="73" t="n"/>
      <c r="M692" s="109" t="n"/>
      <c r="N692" s="73" t="n"/>
      <c r="O692" s="107">
        <f>IF(B692="","",IF(M692&lt;&gt;"","Paid",IF(AND(I692&lt;&gt;"",I692&lt;AsOf),"OVERDUE",IF(OR(K692&lt;&gt;"",L692&lt;&gt;""),"Invoiced","Scheduled"))))</f>
        <v/>
      </c>
      <c r="P692" s="115">
        <f>IF(B692="","",IF(E692&lt;&gt;"",E692,IFERROR(INDEX('Contractors'!$D$6:$D$1005,MATCH(B692,'Contractors'!$B$6:$B$1005,0)),"")))</f>
        <v/>
      </c>
      <c r="Q692" s="79">
        <f>IF(B692="","",IF(D692&lt;&gt;"",D692,IFERROR(INDEX('Contractors'!$E$6:$E$1005,MATCH(B692,'Contractors'!$B$6:$B$1005,0)),"")))</f>
        <v/>
      </c>
      <c r="R692" s="79">
        <f>IF(O692="","",IF(O692="OVERDUE",2,IF(O692="Paid",0,IF(AND(I692&lt;&gt;"",I692&lt;=AsOf+AlertDays),1,0))))</f>
        <v/>
      </c>
      <c r="S692" s="79">
        <f>IF(AND(B692&lt;&gt;"",M692="",I692&lt;&gt;""),IF(L692&lt;&gt;"",L692,IF(H692="",0,H692)),0)</f>
        <v/>
      </c>
      <c r="T692" s="79">
        <f>IF(AND(B692&lt;&gt;"",M692="",I692&lt;&gt;""),1/I692,0)</f>
        <v/>
      </c>
      <c r="U692" s="112">
        <f>IF(AND(B692&lt;&gt;"",M692="",I692&lt;&gt;""),I692,"")</f>
        <v/>
      </c>
      <c r="V692" s="79">
        <f>IF(U692="","",IF(U692&lt;AsOf,1,IF(U692&lt;=AsOf+AlertDays,2,IF(U692&lt;=AsOf+2*AlertDays,3,""))))</f>
        <v/>
      </c>
      <c r="W692" s="79">
        <f>IF(V692="","",IF(O692="OVERDUE","Overdue payment: ","Payment due: ")&amp;B692&amp;" — "&amp;C692&amp;" ("&amp;CurSym&amp;" "&amp;FIXED(S692,0)&amp;")")</f>
        <v/>
      </c>
      <c r="Z692" s="116">
        <f>IF('Contractors'!B692="","",'Contractors'!B692)</f>
        <v/>
      </c>
      <c r="AA692" s="77">
        <f>IF(Z692="","",'Contractors'!K692)</f>
        <v/>
      </c>
      <c r="AB692" s="77">
        <f>IF(Z692="","",SUMIFS($L$6:$L$1005,$B$6:$B$1005,Z692))</f>
        <v/>
      </c>
      <c r="AC692" s="77">
        <f>IF(Z692="","",SUMIFS($N$6:$N$1005,$B$6:$B$1005,Z692))</f>
        <v/>
      </c>
      <c r="AD692" s="76">
        <f>IF(Z692="","",AA692-AC692)</f>
        <v/>
      </c>
      <c r="AE692" s="117">
        <f>IF(Z692="","",IFERROR(1/SUMPRODUCT(MAX(($B$6:$B$1005=Z692)*$T$6:$T$1005)),""))</f>
        <v/>
      </c>
      <c r="AF692" s="77">
        <f>IF(AE692="","",SUMIFS($S$6:$S$1005,$B$6:$B$1005,Z692,$I$6:$I$1005,AE692))</f>
        <v/>
      </c>
    </row>
    <row r="693" ht="20" customHeight="1">
      <c r="B693" s="72" t="n"/>
      <c r="C693" s="72" t="n"/>
      <c r="D693" s="72" t="n"/>
      <c r="E693" s="72" t="n"/>
      <c r="F693" s="110" t="n"/>
      <c r="G693" s="73" t="n"/>
      <c r="H693" s="75">
        <f>IF(B693="","",IF(G693&lt;&gt;"",G693,IF(F693&lt;&gt;"",F693*IFERROR(INDEX('Contractors'!$I$6:$I$1005,MATCH(B693,'Contractors'!$B$6:$B$1005,0)),0),"")))</f>
        <v/>
      </c>
      <c r="I693" s="109" t="n"/>
      <c r="J693" s="72" t="n"/>
      <c r="K693" s="109" t="n"/>
      <c r="L693" s="73" t="n"/>
      <c r="M693" s="109" t="n"/>
      <c r="N693" s="73" t="n"/>
      <c r="O693" s="107">
        <f>IF(B693="","",IF(M693&lt;&gt;"","Paid",IF(AND(I693&lt;&gt;"",I693&lt;AsOf),"OVERDUE",IF(OR(K693&lt;&gt;"",L693&lt;&gt;""),"Invoiced","Scheduled"))))</f>
        <v/>
      </c>
      <c r="P693" s="115">
        <f>IF(B693="","",IF(E693&lt;&gt;"",E693,IFERROR(INDEX('Contractors'!$D$6:$D$1005,MATCH(B693,'Contractors'!$B$6:$B$1005,0)),"")))</f>
        <v/>
      </c>
      <c r="Q693" s="79">
        <f>IF(B693="","",IF(D693&lt;&gt;"",D693,IFERROR(INDEX('Contractors'!$E$6:$E$1005,MATCH(B693,'Contractors'!$B$6:$B$1005,0)),"")))</f>
        <v/>
      </c>
      <c r="R693" s="79">
        <f>IF(O693="","",IF(O693="OVERDUE",2,IF(O693="Paid",0,IF(AND(I693&lt;&gt;"",I693&lt;=AsOf+AlertDays),1,0))))</f>
        <v/>
      </c>
      <c r="S693" s="79">
        <f>IF(AND(B693&lt;&gt;"",M693="",I693&lt;&gt;""),IF(L693&lt;&gt;"",L693,IF(H693="",0,H693)),0)</f>
        <v/>
      </c>
      <c r="T693" s="79">
        <f>IF(AND(B693&lt;&gt;"",M693="",I693&lt;&gt;""),1/I693,0)</f>
        <v/>
      </c>
      <c r="U693" s="112">
        <f>IF(AND(B693&lt;&gt;"",M693="",I693&lt;&gt;""),I693,"")</f>
        <v/>
      </c>
      <c r="V693" s="79">
        <f>IF(U693="","",IF(U693&lt;AsOf,1,IF(U693&lt;=AsOf+AlertDays,2,IF(U693&lt;=AsOf+2*AlertDays,3,""))))</f>
        <v/>
      </c>
      <c r="W693" s="79">
        <f>IF(V693="","",IF(O693="OVERDUE","Overdue payment: ","Payment due: ")&amp;B693&amp;" — "&amp;C693&amp;" ("&amp;CurSym&amp;" "&amp;FIXED(S693,0)&amp;")")</f>
        <v/>
      </c>
      <c r="Z693" s="116">
        <f>IF('Contractors'!B693="","",'Contractors'!B693)</f>
        <v/>
      </c>
      <c r="AA693" s="77">
        <f>IF(Z693="","",'Contractors'!K693)</f>
        <v/>
      </c>
      <c r="AB693" s="77">
        <f>IF(Z693="","",SUMIFS($L$6:$L$1005,$B$6:$B$1005,Z693))</f>
        <v/>
      </c>
      <c r="AC693" s="77">
        <f>IF(Z693="","",SUMIFS($N$6:$N$1005,$B$6:$B$1005,Z693))</f>
        <v/>
      </c>
      <c r="AD693" s="76">
        <f>IF(Z693="","",AA693-AC693)</f>
        <v/>
      </c>
      <c r="AE693" s="117">
        <f>IF(Z693="","",IFERROR(1/SUMPRODUCT(MAX(($B$6:$B$1005=Z693)*$T$6:$T$1005)),""))</f>
        <v/>
      </c>
      <c r="AF693" s="77">
        <f>IF(AE693="","",SUMIFS($S$6:$S$1005,$B$6:$B$1005,Z693,$I$6:$I$1005,AE693))</f>
        <v/>
      </c>
    </row>
    <row r="694" ht="20" customHeight="1">
      <c r="B694" s="72" t="n"/>
      <c r="C694" s="72" t="n"/>
      <c r="D694" s="72" t="n"/>
      <c r="E694" s="72" t="n"/>
      <c r="F694" s="110" t="n"/>
      <c r="G694" s="73" t="n"/>
      <c r="H694" s="75">
        <f>IF(B694="","",IF(G694&lt;&gt;"",G694,IF(F694&lt;&gt;"",F694*IFERROR(INDEX('Contractors'!$I$6:$I$1005,MATCH(B694,'Contractors'!$B$6:$B$1005,0)),0),"")))</f>
        <v/>
      </c>
      <c r="I694" s="109" t="n"/>
      <c r="J694" s="72" t="n"/>
      <c r="K694" s="109" t="n"/>
      <c r="L694" s="73" t="n"/>
      <c r="M694" s="109" t="n"/>
      <c r="N694" s="73" t="n"/>
      <c r="O694" s="107">
        <f>IF(B694="","",IF(M694&lt;&gt;"","Paid",IF(AND(I694&lt;&gt;"",I694&lt;AsOf),"OVERDUE",IF(OR(K694&lt;&gt;"",L694&lt;&gt;""),"Invoiced","Scheduled"))))</f>
        <v/>
      </c>
      <c r="P694" s="115">
        <f>IF(B694="","",IF(E694&lt;&gt;"",E694,IFERROR(INDEX('Contractors'!$D$6:$D$1005,MATCH(B694,'Contractors'!$B$6:$B$1005,0)),"")))</f>
        <v/>
      </c>
      <c r="Q694" s="79">
        <f>IF(B694="","",IF(D694&lt;&gt;"",D694,IFERROR(INDEX('Contractors'!$E$6:$E$1005,MATCH(B694,'Contractors'!$B$6:$B$1005,0)),"")))</f>
        <v/>
      </c>
      <c r="R694" s="79">
        <f>IF(O694="","",IF(O694="OVERDUE",2,IF(O694="Paid",0,IF(AND(I694&lt;&gt;"",I694&lt;=AsOf+AlertDays),1,0))))</f>
        <v/>
      </c>
      <c r="S694" s="79">
        <f>IF(AND(B694&lt;&gt;"",M694="",I694&lt;&gt;""),IF(L694&lt;&gt;"",L694,IF(H694="",0,H694)),0)</f>
        <v/>
      </c>
      <c r="T694" s="79">
        <f>IF(AND(B694&lt;&gt;"",M694="",I694&lt;&gt;""),1/I694,0)</f>
        <v/>
      </c>
      <c r="U694" s="112">
        <f>IF(AND(B694&lt;&gt;"",M694="",I694&lt;&gt;""),I694,"")</f>
        <v/>
      </c>
      <c r="V694" s="79">
        <f>IF(U694="","",IF(U694&lt;AsOf,1,IF(U694&lt;=AsOf+AlertDays,2,IF(U694&lt;=AsOf+2*AlertDays,3,""))))</f>
        <v/>
      </c>
      <c r="W694" s="79">
        <f>IF(V694="","",IF(O694="OVERDUE","Overdue payment: ","Payment due: ")&amp;B694&amp;" — "&amp;C694&amp;" ("&amp;CurSym&amp;" "&amp;FIXED(S694,0)&amp;")")</f>
        <v/>
      </c>
      <c r="Z694" s="116">
        <f>IF('Contractors'!B694="","",'Contractors'!B694)</f>
        <v/>
      </c>
      <c r="AA694" s="77">
        <f>IF(Z694="","",'Contractors'!K694)</f>
        <v/>
      </c>
      <c r="AB694" s="77">
        <f>IF(Z694="","",SUMIFS($L$6:$L$1005,$B$6:$B$1005,Z694))</f>
        <v/>
      </c>
      <c r="AC694" s="77">
        <f>IF(Z694="","",SUMIFS($N$6:$N$1005,$B$6:$B$1005,Z694))</f>
        <v/>
      </c>
      <c r="AD694" s="76">
        <f>IF(Z694="","",AA694-AC694)</f>
        <v/>
      </c>
      <c r="AE694" s="117">
        <f>IF(Z694="","",IFERROR(1/SUMPRODUCT(MAX(($B$6:$B$1005=Z694)*$T$6:$T$1005)),""))</f>
        <v/>
      </c>
      <c r="AF694" s="77">
        <f>IF(AE694="","",SUMIFS($S$6:$S$1005,$B$6:$B$1005,Z694,$I$6:$I$1005,AE694))</f>
        <v/>
      </c>
    </row>
    <row r="695" ht="20" customHeight="1">
      <c r="B695" s="72" t="n"/>
      <c r="C695" s="72" t="n"/>
      <c r="D695" s="72" t="n"/>
      <c r="E695" s="72" t="n"/>
      <c r="F695" s="110" t="n"/>
      <c r="G695" s="73" t="n"/>
      <c r="H695" s="75">
        <f>IF(B695="","",IF(G695&lt;&gt;"",G695,IF(F695&lt;&gt;"",F695*IFERROR(INDEX('Contractors'!$I$6:$I$1005,MATCH(B695,'Contractors'!$B$6:$B$1005,0)),0),"")))</f>
        <v/>
      </c>
      <c r="I695" s="109" t="n"/>
      <c r="J695" s="72" t="n"/>
      <c r="K695" s="109" t="n"/>
      <c r="L695" s="73" t="n"/>
      <c r="M695" s="109" t="n"/>
      <c r="N695" s="73" t="n"/>
      <c r="O695" s="107">
        <f>IF(B695="","",IF(M695&lt;&gt;"","Paid",IF(AND(I695&lt;&gt;"",I695&lt;AsOf),"OVERDUE",IF(OR(K695&lt;&gt;"",L695&lt;&gt;""),"Invoiced","Scheduled"))))</f>
        <v/>
      </c>
      <c r="P695" s="115">
        <f>IF(B695="","",IF(E695&lt;&gt;"",E695,IFERROR(INDEX('Contractors'!$D$6:$D$1005,MATCH(B695,'Contractors'!$B$6:$B$1005,0)),"")))</f>
        <v/>
      </c>
      <c r="Q695" s="79">
        <f>IF(B695="","",IF(D695&lt;&gt;"",D695,IFERROR(INDEX('Contractors'!$E$6:$E$1005,MATCH(B695,'Contractors'!$B$6:$B$1005,0)),"")))</f>
        <v/>
      </c>
      <c r="R695" s="79">
        <f>IF(O695="","",IF(O695="OVERDUE",2,IF(O695="Paid",0,IF(AND(I695&lt;&gt;"",I695&lt;=AsOf+AlertDays),1,0))))</f>
        <v/>
      </c>
      <c r="S695" s="79">
        <f>IF(AND(B695&lt;&gt;"",M695="",I695&lt;&gt;""),IF(L695&lt;&gt;"",L695,IF(H695="",0,H695)),0)</f>
        <v/>
      </c>
      <c r="T695" s="79">
        <f>IF(AND(B695&lt;&gt;"",M695="",I695&lt;&gt;""),1/I695,0)</f>
        <v/>
      </c>
      <c r="U695" s="112">
        <f>IF(AND(B695&lt;&gt;"",M695="",I695&lt;&gt;""),I695,"")</f>
        <v/>
      </c>
      <c r="V695" s="79">
        <f>IF(U695="","",IF(U695&lt;AsOf,1,IF(U695&lt;=AsOf+AlertDays,2,IF(U695&lt;=AsOf+2*AlertDays,3,""))))</f>
        <v/>
      </c>
      <c r="W695" s="79">
        <f>IF(V695="","",IF(O695="OVERDUE","Overdue payment: ","Payment due: ")&amp;B695&amp;" — "&amp;C695&amp;" ("&amp;CurSym&amp;" "&amp;FIXED(S695,0)&amp;")")</f>
        <v/>
      </c>
      <c r="Z695" s="116">
        <f>IF('Contractors'!B695="","",'Contractors'!B695)</f>
        <v/>
      </c>
      <c r="AA695" s="77">
        <f>IF(Z695="","",'Contractors'!K695)</f>
        <v/>
      </c>
      <c r="AB695" s="77">
        <f>IF(Z695="","",SUMIFS($L$6:$L$1005,$B$6:$B$1005,Z695))</f>
        <v/>
      </c>
      <c r="AC695" s="77">
        <f>IF(Z695="","",SUMIFS($N$6:$N$1005,$B$6:$B$1005,Z695))</f>
        <v/>
      </c>
      <c r="AD695" s="76">
        <f>IF(Z695="","",AA695-AC695)</f>
        <v/>
      </c>
      <c r="AE695" s="117">
        <f>IF(Z695="","",IFERROR(1/SUMPRODUCT(MAX(($B$6:$B$1005=Z695)*$T$6:$T$1005)),""))</f>
        <v/>
      </c>
      <c r="AF695" s="77">
        <f>IF(AE695="","",SUMIFS($S$6:$S$1005,$B$6:$B$1005,Z695,$I$6:$I$1005,AE695))</f>
        <v/>
      </c>
    </row>
    <row r="696" ht="20" customHeight="1">
      <c r="B696" s="72" t="n"/>
      <c r="C696" s="72" t="n"/>
      <c r="D696" s="72" t="n"/>
      <c r="E696" s="72" t="n"/>
      <c r="F696" s="110" t="n"/>
      <c r="G696" s="73" t="n"/>
      <c r="H696" s="75">
        <f>IF(B696="","",IF(G696&lt;&gt;"",G696,IF(F696&lt;&gt;"",F696*IFERROR(INDEX('Contractors'!$I$6:$I$1005,MATCH(B696,'Contractors'!$B$6:$B$1005,0)),0),"")))</f>
        <v/>
      </c>
      <c r="I696" s="109" t="n"/>
      <c r="J696" s="72" t="n"/>
      <c r="K696" s="109" t="n"/>
      <c r="L696" s="73" t="n"/>
      <c r="M696" s="109" t="n"/>
      <c r="N696" s="73" t="n"/>
      <c r="O696" s="107">
        <f>IF(B696="","",IF(M696&lt;&gt;"","Paid",IF(AND(I696&lt;&gt;"",I696&lt;AsOf),"OVERDUE",IF(OR(K696&lt;&gt;"",L696&lt;&gt;""),"Invoiced","Scheduled"))))</f>
        <v/>
      </c>
      <c r="P696" s="115">
        <f>IF(B696="","",IF(E696&lt;&gt;"",E696,IFERROR(INDEX('Contractors'!$D$6:$D$1005,MATCH(B696,'Contractors'!$B$6:$B$1005,0)),"")))</f>
        <v/>
      </c>
      <c r="Q696" s="79">
        <f>IF(B696="","",IF(D696&lt;&gt;"",D696,IFERROR(INDEX('Contractors'!$E$6:$E$1005,MATCH(B696,'Contractors'!$B$6:$B$1005,0)),"")))</f>
        <v/>
      </c>
      <c r="R696" s="79">
        <f>IF(O696="","",IF(O696="OVERDUE",2,IF(O696="Paid",0,IF(AND(I696&lt;&gt;"",I696&lt;=AsOf+AlertDays),1,0))))</f>
        <v/>
      </c>
      <c r="S696" s="79">
        <f>IF(AND(B696&lt;&gt;"",M696="",I696&lt;&gt;""),IF(L696&lt;&gt;"",L696,IF(H696="",0,H696)),0)</f>
        <v/>
      </c>
      <c r="T696" s="79">
        <f>IF(AND(B696&lt;&gt;"",M696="",I696&lt;&gt;""),1/I696,0)</f>
        <v/>
      </c>
      <c r="U696" s="112">
        <f>IF(AND(B696&lt;&gt;"",M696="",I696&lt;&gt;""),I696,"")</f>
        <v/>
      </c>
      <c r="V696" s="79">
        <f>IF(U696="","",IF(U696&lt;AsOf,1,IF(U696&lt;=AsOf+AlertDays,2,IF(U696&lt;=AsOf+2*AlertDays,3,""))))</f>
        <v/>
      </c>
      <c r="W696" s="79">
        <f>IF(V696="","",IF(O696="OVERDUE","Overdue payment: ","Payment due: ")&amp;B696&amp;" — "&amp;C696&amp;" ("&amp;CurSym&amp;" "&amp;FIXED(S696,0)&amp;")")</f>
        <v/>
      </c>
      <c r="Z696" s="116">
        <f>IF('Contractors'!B696="","",'Contractors'!B696)</f>
        <v/>
      </c>
      <c r="AA696" s="77">
        <f>IF(Z696="","",'Contractors'!K696)</f>
        <v/>
      </c>
      <c r="AB696" s="77">
        <f>IF(Z696="","",SUMIFS($L$6:$L$1005,$B$6:$B$1005,Z696))</f>
        <v/>
      </c>
      <c r="AC696" s="77">
        <f>IF(Z696="","",SUMIFS($N$6:$N$1005,$B$6:$B$1005,Z696))</f>
        <v/>
      </c>
      <c r="AD696" s="76">
        <f>IF(Z696="","",AA696-AC696)</f>
        <v/>
      </c>
      <c r="AE696" s="117">
        <f>IF(Z696="","",IFERROR(1/SUMPRODUCT(MAX(($B$6:$B$1005=Z696)*$T$6:$T$1005)),""))</f>
        <v/>
      </c>
      <c r="AF696" s="77">
        <f>IF(AE696="","",SUMIFS($S$6:$S$1005,$B$6:$B$1005,Z696,$I$6:$I$1005,AE696))</f>
        <v/>
      </c>
    </row>
    <row r="697" ht="20" customHeight="1">
      <c r="B697" s="72" t="n"/>
      <c r="C697" s="72" t="n"/>
      <c r="D697" s="72" t="n"/>
      <c r="E697" s="72" t="n"/>
      <c r="F697" s="110" t="n"/>
      <c r="G697" s="73" t="n"/>
      <c r="H697" s="75">
        <f>IF(B697="","",IF(G697&lt;&gt;"",G697,IF(F697&lt;&gt;"",F697*IFERROR(INDEX('Contractors'!$I$6:$I$1005,MATCH(B697,'Contractors'!$B$6:$B$1005,0)),0),"")))</f>
        <v/>
      </c>
      <c r="I697" s="109" t="n"/>
      <c r="J697" s="72" t="n"/>
      <c r="K697" s="109" t="n"/>
      <c r="L697" s="73" t="n"/>
      <c r="M697" s="109" t="n"/>
      <c r="N697" s="73" t="n"/>
      <c r="O697" s="107">
        <f>IF(B697="","",IF(M697&lt;&gt;"","Paid",IF(AND(I697&lt;&gt;"",I697&lt;AsOf),"OVERDUE",IF(OR(K697&lt;&gt;"",L697&lt;&gt;""),"Invoiced","Scheduled"))))</f>
        <v/>
      </c>
      <c r="P697" s="115">
        <f>IF(B697="","",IF(E697&lt;&gt;"",E697,IFERROR(INDEX('Contractors'!$D$6:$D$1005,MATCH(B697,'Contractors'!$B$6:$B$1005,0)),"")))</f>
        <v/>
      </c>
      <c r="Q697" s="79">
        <f>IF(B697="","",IF(D697&lt;&gt;"",D697,IFERROR(INDEX('Contractors'!$E$6:$E$1005,MATCH(B697,'Contractors'!$B$6:$B$1005,0)),"")))</f>
        <v/>
      </c>
      <c r="R697" s="79">
        <f>IF(O697="","",IF(O697="OVERDUE",2,IF(O697="Paid",0,IF(AND(I697&lt;&gt;"",I697&lt;=AsOf+AlertDays),1,0))))</f>
        <v/>
      </c>
      <c r="S697" s="79">
        <f>IF(AND(B697&lt;&gt;"",M697="",I697&lt;&gt;""),IF(L697&lt;&gt;"",L697,IF(H697="",0,H697)),0)</f>
        <v/>
      </c>
      <c r="T697" s="79">
        <f>IF(AND(B697&lt;&gt;"",M697="",I697&lt;&gt;""),1/I697,0)</f>
        <v/>
      </c>
      <c r="U697" s="112">
        <f>IF(AND(B697&lt;&gt;"",M697="",I697&lt;&gt;""),I697,"")</f>
        <v/>
      </c>
      <c r="V697" s="79">
        <f>IF(U697="","",IF(U697&lt;AsOf,1,IF(U697&lt;=AsOf+AlertDays,2,IF(U697&lt;=AsOf+2*AlertDays,3,""))))</f>
        <v/>
      </c>
      <c r="W697" s="79">
        <f>IF(V697="","",IF(O697="OVERDUE","Overdue payment: ","Payment due: ")&amp;B697&amp;" — "&amp;C697&amp;" ("&amp;CurSym&amp;" "&amp;FIXED(S697,0)&amp;")")</f>
        <v/>
      </c>
      <c r="Z697" s="116">
        <f>IF('Contractors'!B697="","",'Contractors'!B697)</f>
        <v/>
      </c>
      <c r="AA697" s="77">
        <f>IF(Z697="","",'Contractors'!K697)</f>
        <v/>
      </c>
      <c r="AB697" s="77">
        <f>IF(Z697="","",SUMIFS($L$6:$L$1005,$B$6:$B$1005,Z697))</f>
        <v/>
      </c>
      <c r="AC697" s="77">
        <f>IF(Z697="","",SUMIFS($N$6:$N$1005,$B$6:$B$1005,Z697))</f>
        <v/>
      </c>
      <c r="AD697" s="76">
        <f>IF(Z697="","",AA697-AC697)</f>
        <v/>
      </c>
      <c r="AE697" s="117">
        <f>IF(Z697="","",IFERROR(1/SUMPRODUCT(MAX(($B$6:$B$1005=Z697)*$T$6:$T$1005)),""))</f>
        <v/>
      </c>
      <c r="AF697" s="77">
        <f>IF(AE697="","",SUMIFS($S$6:$S$1005,$B$6:$B$1005,Z697,$I$6:$I$1005,AE697))</f>
        <v/>
      </c>
    </row>
    <row r="698" ht="20" customHeight="1">
      <c r="B698" s="72" t="n"/>
      <c r="C698" s="72" t="n"/>
      <c r="D698" s="72" t="n"/>
      <c r="E698" s="72" t="n"/>
      <c r="F698" s="110" t="n"/>
      <c r="G698" s="73" t="n"/>
      <c r="H698" s="75">
        <f>IF(B698="","",IF(G698&lt;&gt;"",G698,IF(F698&lt;&gt;"",F698*IFERROR(INDEX('Contractors'!$I$6:$I$1005,MATCH(B698,'Contractors'!$B$6:$B$1005,0)),0),"")))</f>
        <v/>
      </c>
      <c r="I698" s="109" t="n"/>
      <c r="J698" s="72" t="n"/>
      <c r="K698" s="109" t="n"/>
      <c r="L698" s="73" t="n"/>
      <c r="M698" s="109" t="n"/>
      <c r="N698" s="73" t="n"/>
      <c r="O698" s="107">
        <f>IF(B698="","",IF(M698&lt;&gt;"","Paid",IF(AND(I698&lt;&gt;"",I698&lt;AsOf),"OVERDUE",IF(OR(K698&lt;&gt;"",L698&lt;&gt;""),"Invoiced","Scheduled"))))</f>
        <v/>
      </c>
      <c r="P698" s="115">
        <f>IF(B698="","",IF(E698&lt;&gt;"",E698,IFERROR(INDEX('Contractors'!$D$6:$D$1005,MATCH(B698,'Contractors'!$B$6:$B$1005,0)),"")))</f>
        <v/>
      </c>
      <c r="Q698" s="79">
        <f>IF(B698="","",IF(D698&lt;&gt;"",D698,IFERROR(INDEX('Contractors'!$E$6:$E$1005,MATCH(B698,'Contractors'!$B$6:$B$1005,0)),"")))</f>
        <v/>
      </c>
      <c r="R698" s="79">
        <f>IF(O698="","",IF(O698="OVERDUE",2,IF(O698="Paid",0,IF(AND(I698&lt;&gt;"",I698&lt;=AsOf+AlertDays),1,0))))</f>
        <v/>
      </c>
      <c r="S698" s="79">
        <f>IF(AND(B698&lt;&gt;"",M698="",I698&lt;&gt;""),IF(L698&lt;&gt;"",L698,IF(H698="",0,H698)),0)</f>
        <v/>
      </c>
      <c r="T698" s="79">
        <f>IF(AND(B698&lt;&gt;"",M698="",I698&lt;&gt;""),1/I698,0)</f>
        <v/>
      </c>
      <c r="U698" s="112">
        <f>IF(AND(B698&lt;&gt;"",M698="",I698&lt;&gt;""),I698,"")</f>
        <v/>
      </c>
      <c r="V698" s="79">
        <f>IF(U698="","",IF(U698&lt;AsOf,1,IF(U698&lt;=AsOf+AlertDays,2,IF(U698&lt;=AsOf+2*AlertDays,3,""))))</f>
        <v/>
      </c>
      <c r="W698" s="79">
        <f>IF(V698="","",IF(O698="OVERDUE","Overdue payment: ","Payment due: ")&amp;B698&amp;" — "&amp;C698&amp;" ("&amp;CurSym&amp;" "&amp;FIXED(S698,0)&amp;")")</f>
        <v/>
      </c>
      <c r="Z698" s="116">
        <f>IF('Contractors'!B698="","",'Contractors'!B698)</f>
        <v/>
      </c>
      <c r="AA698" s="77">
        <f>IF(Z698="","",'Contractors'!K698)</f>
        <v/>
      </c>
      <c r="AB698" s="77">
        <f>IF(Z698="","",SUMIFS($L$6:$L$1005,$B$6:$B$1005,Z698))</f>
        <v/>
      </c>
      <c r="AC698" s="77">
        <f>IF(Z698="","",SUMIFS($N$6:$N$1005,$B$6:$B$1005,Z698))</f>
        <v/>
      </c>
      <c r="AD698" s="76">
        <f>IF(Z698="","",AA698-AC698)</f>
        <v/>
      </c>
      <c r="AE698" s="117">
        <f>IF(Z698="","",IFERROR(1/SUMPRODUCT(MAX(($B$6:$B$1005=Z698)*$T$6:$T$1005)),""))</f>
        <v/>
      </c>
      <c r="AF698" s="77">
        <f>IF(AE698="","",SUMIFS($S$6:$S$1005,$B$6:$B$1005,Z698,$I$6:$I$1005,AE698))</f>
        <v/>
      </c>
    </row>
    <row r="699" ht="20" customHeight="1">
      <c r="B699" s="72" t="n"/>
      <c r="C699" s="72" t="n"/>
      <c r="D699" s="72" t="n"/>
      <c r="E699" s="72" t="n"/>
      <c r="F699" s="110" t="n"/>
      <c r="G699" s="73" t="n"/>
      <c r="H699" s="75">
        <f>IF(B699="","",IF(G699&lt;&gt;"",G699,IF(F699&lt;&gt;"",F699*IFERROR(INDEX('Contractors'!$I$6:$I$1005,MATCH(B699,'Contractors'!$B$6:$B$1005,0)),0),"")))</f>
        <v/>
      </c>
      <c r="I699" s="109" t="n"/>
      <c r="J699" s="72" t="n"/>
      <c r="K699" s="109" t="n"/>
      <c r="L699" s="73" t="n"/>
      <c r="M699" s="109" t="n"/>
      <c r="N699" s="73" t="n"/>
      <c r="O699" s="107">
        <f>IF(B699="","",IF(M699&lt;&gt;"","Paid",IF(AND(I699&lt;&gt;"",I699&lt;AsOf),"OVERDUE",IF(OR(K699&lt;&gt;"",L699&lt;&gt;""),"Invoiced","Scheduled"))))</f>
        <v/>
      </c>
      <c r="P699" s="115">
        <f>IF(B699="","",IF(E699&lt;&gt;"",E699,IFERROR(INDEX('Contractors'!$D$6:$D$1005,MATCH(B699,'Contractors'!$B$6:$B$1005,0)),"")))</f>
        <v/>
      </c>
      <c r="Q699" s="79">
        <f>IF(B699="","",IF(D699&lt;&gt;"",D699,IFERROR(INDEX('Contractors'!$E$6:$E$1005,MATCH(B699,'Contractors'!$B$6:$B$1005,0)),"")))</f>
        <v/>
      </c>
      <c r="R699" s="79">
        <f>IF(O699="","",IF(O699="OVERDUE",2,IF(O699="Paid",0,IF(AND(I699&lt;&gt;"",I699&lt;=AsOf+AlertDays),1,0))))</f>
        <v/>
      </c>
      <c r="S699" s="79">
        <f>IF(AND(B699&lt;&gt;"",M699="",I699&lt;&gt;""),IF(L699&lt;&gt;"",L699,IF(H699="",0,H699)),0)</f>
        <v/>
      </c>
      <c r="T699" s="79">
        <f>IF(AND(B699&lt;&gt;"",M699="",I699&lt;&gt;""),1/I699,0)</f>
        <v/>
      </c>
      <c r="U699" s="112">
        <f>IF(AND(B699&lt;&gt;"",M699="",I699&lt;&gt;""),I699,"")</f>
        <v/>
      </c>
      <c r="V699" s="79">
        <f>IF(U699="","",IF(U699&lt;AsOf,1,IF(U699&lt;=AsOf+AlertDays,2,IF(U699&lt;=AsOf+2*AlertDays,3,""))))</f>
        <v/>
      </c>
      <c r="W699" s="79">
        <f>IF(V699="","",IF(O699="OVERDUE","Overdue payment: ","Payment due: ")&amp;B699&amp;" — "&amp;C699&amp;" ("&amp;CurSym&amp;" "&amp;FIXED(S699,0)&amp;")")</f>
        <v/>
      </c>
      <c r="Z699" s="116">
        <f>IF('Contractors'!B699="","",'Contractors'!B699)</f>
        <v/>
      </c>
      <c r="AA699" s="77">
        <f>IF(Z699="","",'Contractors'!K699)</f>
        <v/>
      </c>
      <c r="AB699" s="77">
        <f>IF(Z699="","",SUMIFS($L$6:$L$1005,$B$6:$B$1005,Z699))</f>
        <v/>
      </c>
      <c r="AC699" s="77">
        <f>IF(Z699="","",SUMIFS($N$6:$N$1005,$B$6:$B$1005,Z699))</f>
        <v/>
      </c>
      <c r="AD699" s="76">
        <f>IF(Z699="","",AA699-AC699)</f>
        <v/>
      </c>
      <c r="AE699" s="117">
        <f>IF(Z699="","",IFERROR(1/SUMPRODUCT(MAX(($B$6:$B$1005=Z699)*$T$6:$T$1005)),""))</f>
        <v/>
      </c>
      <c r="AF699" s="77">
        <f>IF(AE699="","",SUMIFS($S$6:$S$1005,$B$6:$B$1005,Z699,$I$6:$I$1005,AE699))</f>
        <v/>
      </c>
    </row>
    <row r="700" ht="20" customHeight="1">
      <c r="B700" s="72" t="n"/>
      <c r="C700" s="72" t="n"/>
      <c r="D700" s="72" t="n"/>
      <c r="E700" s="72" t="n"/>
      <c r="F700" s="110" t="n"/>
      <c r="G700" s="73" t="n"/>
      <c r="H700" s="75">
        <f>IF(B700="","",IF(G700&lt;&gt;"",G700,IF(F700&lt;&gt;"",F700*IFERROR(INDEX('Contractors'!$I$6:$I$1005,MATCH(B700,'Contractors'!$B$6:$B$1005,0)),0),"")))</f>
        <v/>
      </c>
      <c r="I700" s="109" t="n"/>
      <c r="J700" s="72" t="n"/>
      <c r="K700" s="109" t="n"/>
      <c r="L700" s="73" t="n"/>
      <c r="M700" s="109" t="n"/>
      <c r="N700" s="73" t="n"/>
      <c r="O700" s="107">
        <f>IF(B700="","",IF(M700&lt;&gt;"","Paid",IF(AND(I700&lt;&gt;"",I700&lt;AsOf),"OVERDUE",IF(OR(K700&lt;&gt;"",L700&lt;&gt;""),"Invoiced","Scheduled"))))</f>
        <v/>
      </c>
      <c r="P700" s="115">
        <f>IF(B700="","",IF(E700&lt;&gt;"",E700,IFERROR(INDEX('Contractors'!$D$6:$D$1005,MATCH(B700,'Contractors'!$B$6:$B$1005,0)),"")))</f>
        <v/>
      </c>
      <c r="Q700" s="79">
        <f>IF(B700="","",IF(D700&lt;&gt;"",D700,IFERROR(INDEX('Contractors'!$E$6:$E$1005,MATCH(B700,'Contractors'!$B$6:$B$1005,0)),"")))</f>
        <v/>
      </c>
      <c r="R700" s="79">
        <f>IF(O700="","",IF(O700="OVERDUE",2,IF(O700="Paid",0,IF(AND(I700&lt;&gt;"",I700&lt;=AsOf+AlertDays),1,0))))</f>
        <v/>
      </c>
      <c r="S700" s="79">
        <f>IF(AND(B700&lt;&gt;"",M700="",I700&lt;&gt;""),IF(L700&lt;&gt;"",L700,IF(H700="",0,H700)),0)</f>
        <v/>
      </c>
      <c r="T700" s="79">
        <f>IF(AND(B700&lt;&gt;"",M700="",I700&lt;&gt;""),1/I700,0)</f>
        <v/>
      </c>
      <c r="U700" s="112">
        <f>IF(AND(B700&lt;&gt;"",M700="",I700&lt;&gt;""),I700,"")</f>
        <v/>
      </c>
      <c r="V700" s="79">
        <f>IF(U700="","",IF(U700&lt;AsOf,1,IF(U700&lt;=AsOf+AlertDays,2,IF(U700&lt;=AsOf+2*AlertDays,3,""))))</f>
        <v/>
      </c>
      <c r="W700" s="79">
        <f>IF(V700="","",IF(O700="OVERDUE","Overdue payment: ","Payment due: ")&amp;B700&amp;" — "&amp;C700&amp;" ("&amp;CurSym&amp;" "&amp;FIXED(S700,0)&amp;")")</f>
        <v/>
      </c>
      <c r="Z700" s="116">
        <f>IF('Contractors'!B700="","",'Contractors'!B700)</f>
        <v/>
      </c>
      <c r="AA700" s="77">
        <f>IF(Z700="","",'Contractors'!K700)</f>
        <v/>
      </c>
      <c r="AB700" s="77">
        <f>IF(Z700="","",SUMIFS($L$6:$L$1005,$B$6:$B$1005,Z700))</f>
        <v/>
      </c>
      <c r="AC700" s="77">
        <f>IF(Z700="","",SUMIFS($N$6:$N$1005,$B$6:$B$1005,Z700))</f>
        <v/>
      </c>
      <c r="AD700" s="76">
        <f>IF(Z700="","",AA700-AC700)</f>
        <v/>
      </c>
      <c r="AE700" s="117">
        <f>IF(Z700="","",IFERROR(1/SUMPRODUCT(MAX(($B$6:$B$1005=Z700)*$T$6:$T$1005)),""))</f>
        <v/>
      </c>
      <c r="AF700" s="77">
        <f>IF(AE700="","",SUMIFS($S$6:$S$1005,$B$6:$B$1005,Z700,$I$6:$I$1005,AE700))</f>
        <v/>
      </c>
    </row>
    <row r="701" ht="20" customHeight="1">
      <c r="B701" s="72" t="n"/>
      <c r="C701" s="72" t="n"/>
      <c r="D701" s="72" t="n"/>
      <c r="E701" s="72" t="n"/>
      <c r="F701" s="110" t="n"/>
      <c r="G701" s="73" t="n"/>
      <c r="H701" s="75">
        <f>IF(B701="","",IF(G701&lt;&gt;"",G701,IF(F701&lt;&gt;"",F701*IFERROR(INDEX('Contractors'!$I$6:$I$1005,MATCH(B701,'Contractors'!$B$6:$B$1005,0)),0),"")))</f>
        <v/>
      </c>
      <c r="I701" s="109" t="n"/>
      <c r="J701" s="72" t="n"/>
      <c r="K701" s="109" t="n"/>
      <c r="L701" s="73" t="n"/>
      <c r="M701" s="109" t="n"/>
      <c r="N701" s="73" t="n"/>
      <c r="O701" s="107">
        <f>IF(B701="","",IF(M701&lt;&gt;"","Paid",IF(AND(I701&lt;&gt;"",I701&lt;AsOf),"OVERDUE",IF(OR(K701&lt;&gt;"",L701&lt;&gt;""),"Invoiced","Scheduled"))))</f>
        <v/>
      </c>
      <c r="P701" s="115">
        <f>IF(B701="","",IF(E701&lt;&gt;"",E701,IFERROR(INDEX('Contractors'!$D$6:$D$1005,MATCH(B701,'Contractors'!$B$6:$B$1005,0)),"")))</f>
        <v/>
      </c>
      <c r="Q701" s="79">
        <f>IF(B701="","",IF(D701&lt;&gt;"",D701,IFERROR(INDEX('Contractors'!$E$6:$E$1005,MATCH(B701,'Contractors'!$B$6:$B$1005,0)),"")))</f>
        <v/>
      </c>
      <c r="R701" s="79">
        <f>IF(O701="","",IF(O701="OVERDUE",2,IF(O701="Paid",0,IF(AND(I701&lt;&gt;"",I701&lt;=AsOf+AlertDays),1,0))))</f>
        <v/>
      </c>
      <c r="S701" s="79">
        <f>IF(AND(B701&lt;&gt;"",M701="",I701&lt;&gt;""),IF(L701&lt;&gt;"",L701,IF(H701="",0,H701)),0)</f>
        <v/>
      </c>
      <c r="T701" s="79">
        <f>IF(AND(B701&lt;&gt;"",M701="",I701&lt;&gt;""),1/I701,0)</f>
        <v/>
      </c>
      <c r="U701" s="112">
        <f>IF(AND(B701&lt;&gt;"",M701="",I701&lt;&gt;""),I701,"")</f>
        <v/>
      </c>
      <c r="V701" s="79">
        <f>IF(U701="","",IF(U701&lt;AsOf,1,IF(U701&lt;=AsOf+AlertDays,2,IF(U701&lt;=AsOf+2*AlertDays,3,""))))</f>
        <v/>
      </c>
      <c r="W701" s="79">
        <f>IF(V701="","",IF(O701="OVERDUE","Overdue payment: ","Payment due: ")&amp;B701&amp;" — "&amp;C701&amp;" ("&amp;CurSym&amp;" "&amp;FIXED(S701,0)&amp;")")</f>
        <v/>
      </c>
      <c r="Z701" s="116">
        <f>IF('Contractors'!B701="","",'Contractors'!B701)</f>
        <v/>
      </c>
      <c r="AA701" s="77">
        <f>IF(Z701="","",'Contractors'!K701)</f>
        <v/>
      </c>
      <c r="AB701" s="77">
        <f>IF(Z701="","",SUMIFS($L$6:$L$1005,$B$6:$B$1005,Z701))</f>
        <v/>
      </c>
      <c r="AC701" s="77">
        <f>IF(Z701="","",SUMIFS($N$6:$N$1005,$B$6:$B$1005,Z701))</f>
        <v/>
      </c>
      <c r="AD701" s="76">
        <f>IF(Z701="","",AA701-AC701)</f>
        <v/>
      </c>
      <c r="AE701" s="117">
        <f>IF(Z701="","",IFERROR(1/SUMPRODUCT(MAX(($B$6:$B$1005=Z701)*$T$6:$T$1005)),""))</f>
        <v/>
      </c>
      <c r="AF701" s="77">
        <f>IF(AE701="","",SUMIFS($S$6:$S$1005,$B$6:$B$1005,Z701,$I$6:$I$1005,AE701))</f>
        <v/>
      </c>
    </row>
    <row r="702" ht="20" customHeight="1">
      <c r="B702" s="72" t="n"/>
      <c r="C702" s="72" t="n"/>
      <c r="D702" s="72" t="n"/>
      <c r="E702" s="72" t="n"/>
      <c r="F702" s="110" t="n"/>
      <c r="G702" s="73" t="n"/>
      <c r="H702" s="75">
        <f>IF(B702="","",IF(G702&lt;&gt;"",G702,IF(F702&lt;&gt;"",F702*IFERROR(INDEX('Contractors'!$I$6:$I$1005,MATCH(B702,'Contractors'!$B$6:$B$1005,0)),0),"")))</f>
        <v/>
      </c>
      <c r="I702" s="109" t="n"/>
      <c r="J702" s="72" t="n"/>
      <c r="K702" s="109" t="n"/>
      <c r="L702" s="73" t="n"/>
      <c r="M702" s="109" t="n"/>
      <c r="N702" s="73" t="n"/>
      <c r="O702" s="107">
        <f>IF(B702="","",IF(M702&lt;&gt;"","Paid",IF(AND(I702&lt;&gt;"",I702&lt;AsOf),"OVERDUE",IF(OR(K702&lt;&gt;"",L702&lt;&gt;""),"Invoiced","Scheduled"))))</f>
        <v/>
      </c>
      <c r="P702" s="115">
        <f>IF(B702="","",IF(E702&lt;&gt;"",E702,IFERROR(INDEX('Contractors'!$D$6:$D$1005,MATCH(B702,'Contractors'!$B$6:$B$1005,0)),"")))</f>
        <v/>
      </c>
      <c r="Q702" s="79">
        <f>IF(B702="","",IF(D702&lt;&gt;"",D702,IFERROR(INDEX('Contractors'!$E$6:$E$1005,MATCH(B702,'Contractors'!$B$6:$B$1005,0)),"")))</f>
        <v/>
      </c>
      <c r="R702" s="79">
        <f>IF(O702="","",IF(O702="OVERDUE",2,IF(O702="Paid",0,IF(AND(I702&lt;&gt;"",I702&lt;=AsOf+AlertDays),1,0))))</f>
        <v/>
      </c>
      <c r="S702" s="79">
        <f>IF(AND(B702&lt;&gt;"",M702="",I702&lt;&gt;""),IF(L702&lt;&gt;"",L702,IF(H702="",0,H702)),0)</f>
        <v/>
      </c>
      <c r="T702" s="79">
        <f>IF(AND(B702&lt;&gt;"",M702="",I702&lt;&gt;""),1/I702,0)</f>
        <v/>
      </c>
      <c r="U702" s="112">
        <f>IF(AND(B702&lt;&gt;"",M702="",I702&lt;&gt;""),I702,"")</f>
        <v/>
      </c>
      <c r="V702" s="79">
        <f>IF(U702="","",IF(U702&lt;AsOf,1,IF(U702&lt;=AsOf+AlertDays,2,IF(U702&lt;=AsOf+2*AlertDays,3,""))))</f>
        <v/>
      </c>
      <c r="W702" s="79">
        <f>IF(V702="","",IF(O702="OVERDUE","Overdue payment: ","Payment due: ")&amp;B702&amp;" — "&amp;C702&amp;" ("&amp;CurSym&amp;" "&amp;FIXED(S702,0)&amp;")")</f>
        <v/>
      </c>
      <c r="Z702" s="116">
        <f>IF('Contractors'!B702="","",'Contractors'!B702)</f>
        <v/>
      </c>
      <c r="AA702" s="77">
        <f>IF(Z702="","",'Contractors'!K702)</f>
        <v/>
      </c>
      <c r="AB702" s="77">
        <f>IF(Z702="","",SUMIFS($L$6:$L$1005,$B$6:$B$1005,Z702))</f>
        <v/>
      </c>
      <c r="AC702" s="77">
        <f>IF(Z702="","",SUMIFS($N$6:$N$1005,$B$6:$B$1005,Z702))</f>
        <v/>
      </c>
      <c r="AD702" s="76">
        <f>IF(Z702="","",AA702-AC702)</f>
        <v/>
      </c>
      <c r="AE702" s="117">
        <f>IF(Z702="","",IFERROR(1/SUMPRODUCT(MAX(($B$6:$B$1005=Z702)*$T$6:$T$1005)),""))</f>
        <v/>
      </c>
      <c r="AF702" s="77">
        <f>IF(AE702="","",SUMIFS($S$6:$S$1005,$B$6:$B$1005,Z702,$I$6:$I$1005,AE702))</f>
        <v/>
      </c>
    </row>
    <row r="703" ht="20" customHeight="1">
      <c r="B703" s="72" t="n"/>
      <c r="C703" s="72" t="n"/>
      <c r="D703" s="72" t="n"/>
      <c r="E703" s="72" t="n"/>
      <c r="F703" s="110" t="n"/>
      <c r="G703" s="73" t="n"/>
      <c r="H703" s="75">
        <f>IF(B703="","",IF(G703&lt;&gt;"",G703,IF(F703&lt;&gt;"",F703*IFERROR(INDEX('Contractors'!$I$6:$I$1005,MATCH(B703,'Contractors'!$B$6:$B$1005,0)),0),"")))</f>
        <v/>
      </c>
      <c r="I703" s="109" t="n"/>
      <c r="J703" s="72" t="n"/>
      <c r="K703" s="109" t="n"/>
      <c r="L703" s="73" t="n"/>
      <c r="M703" s="109" t="n"/>
      <c r="N703" s="73" t="n"/>
      <c r="O703" s="107">
        <f>IF(B703="","",IF(M703&lt;&gt;"","Paid",IF(AND(I703&lt;&gt;"",I703&lt;AsOf),"OVERDUE",IF(OR(K703&lt;&gt;"",L703&lt;&gt;""),"Invoiced","Scheduled"))))</f>
        <v/>
      </c>
      <c r="P703" s="115">
        <f>IF(B703="","",IF(E703&lt;&gt;"",E703,IFERROR(INDEX('Contractors'!$D$6:$D$1005,MATCH(B703,'Contractors'!$B$6:$B$1005,0)),"")))</f>
        <v/>
      </c>
      <c r="Q703" s="79">
        <f>IF(B703="","",IF(D703&lt;&gt;"",D703,IFERROR(INDEX('Contractors'!$E$6:$E$1005,MATCH(B703,'Contractors'!$B$6:$B$1005,0)),"")))</f>
        <v/>
      </c>
      <c r="R703" s="79">
        <f>IF(O703="","",IF(O703="OVERDUE",2,IF(O703="Paid",0,IF(AND(I703&lt;&gt;"",I703&lt;=AsOf+AlertDays),1,0))))</f>
        <v/>
      </c>
      <c r="S703" s="79">
        <f>IF(AND(B703&lt;&gt;"",M703="",I703&lt;&gt;""),IF(L703&lt;&gt;"",L703,IF(H703="",0,H703)),0)</f>
        <v/>
      </c>
      <c r="T703" s="79">
        <f>IF(AND(B703&lt;&gt;"",M703="",I703&lt;&gt;""),1/I703,0)</f>
        <v/>
      </c>
      <c r="U703" s="112">
        <f>IF(AND(B703&lt;&gt;"",M703="",I703&lt;&gt;""),I703,"")</f>
        <v/>
      </c>
      <c r="V703" s="79">
        <f>IF(U703="","",IF(U703&lt;AsOf,1,IF(U703&lt;=AsOf+AlertDays,2,IF(U703&lt;=AsOf+2*AlertDays,3,""))))</f>
        <v/>
      </c>
      <c r="W703" s="79">
        <f>IF(V703="","",IF(O703="OVERDUE","Overdue payment: ","Payment due: ")&amp;B703&amp;" — "&amp;C703&amp;" ("&amp;CurSym&amp;" "&amp;FIXED(S703,0)&amp;")")</f>
        <v/>
      </c>
      <c r="Z703" s="116">
        <f>IF('Contractors'!B703="","",'Contractors'!B703)</f>
        <v/>
      </c>
      <c r="AA703" s="77">
        <f>IF(Z703="","",'Contractors'!K703)</f>
        <v/>
      </c>
      <c r="AB703" s="77">
        <f>IF(Z703="","",SUMIFS($L$6:$L$1005,$B$6:$B$1005,Z703))</f>
        <v/>
      </c>
      <c r="AC703" s="77">
        <f>IF(Z703="","",SUMIFS($N$6:$N$1005,$B$6:$B$1005,Z703))</f>
        <v/>
      </c>
      <c r="AD703" s="76">
        <f>IF(Z703="","",AA703-AC703)</f>
        <v/>
      </c>
      <c r="AE703" s="117">
        <f>IF(Z703="","",IFERROR(1/SUMPRODUCT(MAX(($B$6:$B$1005=Z703)*$T$6:$T$1005)),""))</f>
        <v/>
      </c>
      <c r="AF703" s="77">
        <f>IF(AE703="","",SUMIFS($S$6:$S$1005,$B$6:$B$1005,Z703,$I$6:$I$1005,AE703))</f>
        <v/>
      </c>
    </row>
    <row r="704" ht="20" customHeight="1">
      <c r="B704" s="72" t="n"/>
      <c r="C704" s="72" t="n"/>
      <c r="D704" s="72" t="n"/>
      <c r="E704" s="72" t="n"/>
      <c r="F704" s="110" t="n"/>
      <c r="G704" s="73" t="n"/>
      <c r="H704" s="75">
        <f>IF(B704="","",IF(G704&lt;&gt;"",G704,IF(F704&lt;&gt;"",F704*IFERROR(INDEX('Contractors'!$I$6:$I$1005,MATCH(B704,'Contractors'!$B$6:$B$1005,0)),0),"")))</f>
        <v/>
      </c>
      <c r="I704" s="109" t="n"/>
      <c r="J704" s="72" t="n"/>
      <c r="K704" s="109" t="n"/>
      <c r="L704" s="73" t="n"/>
      <c r="M704" s="109" t="n"/>
      <c r="N704" s="73" t="n"/>
      <c r="O704" s="107">
        <f>IF(B704="","",IF(M704&lt;&gt;"","Paid",IF(AND(I704&lt;&gt;"",I704&lt;AsOf),"OVERDUE",IF(OR(K704&lt;&gt;"",L704&lt;&gt;""),"Invoiced","Scheduled"))))</f>
        <v/>
      </c>
      <c r="P704" s="115">
        <f>IF(B704="","",IF(E704&lt;&gt;"",E704,IFERROR(INDEX('Contractors'!$D$6:$D$1005,MATCH(B704,'Contractors'!$B$6:$B$1005,0)),"")))</f>
        <v/>
      </c>
      <c r="Q704" s="79">
        <f>IF(B704="","",IF(D704&lt;&gt;"",D704,IFERROR(INDEX('Contractors'!$E$6:$E$1005,MATCH(B704,'Contractors'!$B$6:$B$1005,0)),"")))</f>
        <v/>
      </c>
      <c r="R704" s="79">
        <f>IF(O704="","",IF(O704="OVERDUE",2,IF(O704="Paid",0,IF(AND(I704&lt;&gt;"",I704&lt;=AsOf+AlertDays),1,0))))</f>
        <v/>
      </c>
      <c r="S704" s="79">
        <f>IF(AND(B704&lt;&gt;"",M704="",I704&lt;&gt;""),IF(L704&lt;&gt;"",L704,IF(H704="",0,H704)),0)</f>
        <v/>
      </c>
      <c r="T704" s="79">
        <f>IF(AND(B704&lt;&gt;"",M704="",I704&lt;&gt;""),1/I704,0)</f>
        <v/>
      </c>
      <c r="U704" s="112">
        <f>IF(AND(B704&lt;&gt;"",M704="",I704&lt;&gt;""),I704,"")</f>
        <v/>
      </c>
      <c r="V704" s="79">
        <f>IF(U704="","",IF(U704&lt;AsOf,1,IF(U704&lt;=AsOf+AlertDays,2,IF(U704&lt;=AsOf+2*AlertDays,3,""))))</f>
        <v/>
      </c>
      <c r="W704" s="79">
        <f>IF(V704="","",IF(O704="OVERDUE","Overdue payment: ","Payment due: ")&amp;B704&amp;" — "&amp;C704&amp;" ("&amp;CurSym&amp;" "&amp;FIXED(S704,0)&amp;")")</f>
        <v/>
      </c>
      <c r="Z704" s="116">
        <f>IF('Contractors'!B704="","",'Contractors'!B704)</f>
        <v/>
      </c>
      <c r="AA704" s="77">
        <f>IF(Z704="","",'Contractors'!K704)</f>
        <v/>
      </c>
      <c r="AB704" s="77">
        <f>IF(Z704="","",SUMIFS($L$6:$L$1005,$B$6:$B$1005,Z704))</f>
        <v/>
      </c>
      <c r="AC704" s="77">
        <f>IF(Z704="","",SUMIFS($N$6:$N$1005,$B$6:$B$1005,Z704))</f>
        <v/>
      </c>
      <c r="AD704" s="76">
        <f>IF(Z704="","",AA704-AC704)</f>
        <v/>
      </c>
      <c r="AE704" s="117">
        <f>IF(Z704="","",IFERROR(1/SUMPRODUCT(MAX(($B$6:$B$1005=Z704)*$T$6:$T$1005)),""))</f>
        <v/>
      </c>
      <c r="AF704" s="77">
        <f>IF(AE704="","",SUMIFS($S$6:$S$1005,$B$6:$B$1005,Z704,$I$6:$I$1005,AE704))</f>
        <v/>
      </c>
    </row>
    <row r="705" ht="20" customHeight="1">
      <c r="B705" s="72" t="n"/>
      <c r="C705" s="72" t="n"/>
      <c r="D705" s="72" t="n"/>
      <c r="E705" s="72" t="n"/>
      <c r="F705" s="110" t="n"/>
      <c r="G705" s="73" t="n"/>
      <c r="H705" s="75">
        <f>IF(B705="","",IF(G705&lt;&gt;"",G705,IF(F705&lt;&gt;"",F705*IFERROR(INDEX('Contractors'!$I$6:$I$1005,MATCH(B705,'Contractors'!$B$6:$B$1005,0)),0),"")))</f>
        <v/>
      </c>
      <c r="I705" s="109" t="n"/>
      <c r="J705" s="72" t="n"/>
      <c r="K705" s="109" t="n"/>
      <c r="L705" s="73" t="n"/>
      <c r="M705" s="109" t="n"/>
      <c r="N705" s="73" t="n"/>
      <c r="O705" s="107">
        <f>IF(B705="","",IF(M705&lt;&gt;"","Paid",IF(AND(I705&lt;&gt;"",I705&lt;AsOf),"OVERDUE",IF(OR(K705&lt;&gt;"",L705&lt;&gt;""),"Invoiced","Scheduled"))))</f>
        <v/>
      </c>
      <c r="P705" s="115">
        <f>IF(B705="","",IF(E705&lt;&gt;"",E705,IFERROR(INDEX('Contractors'!$D$6:$D$1005,MATCH(B705,'Contractors'!$B$6:$B$1005,0)),"")))</f>
        <v/>
      </c>
      <c r="Q705" s="79">
        <f>IF(B705="","",IF(D705&lt;&gt;"",D705,IFERROR(INDEX('Contractors'!$E$6:$E$1005,MATCH(B705,'Contractors'!$B$6:$B$1005,0)),"")))</f>
        <v/>
      </c>
      <c r="R705" s="79">
        <f>IF(O705="","",IF(O705="OVERDUE",2,IF(O705="Paid",0,IF(AND(I705&lt;&gt;"",I705&lt;=AsOf+AlertDays),1,0))))</f>
        <v/>
      </c>
      <c r="S705" s="79">
        <f>IF(AND(B705&lt;&gt;"",M705="",I705&lt;&gt;""),IF(L705&lt;&gt;"",L705,IF(H705="",0,H705)),0)</f>
        <v/>
      </c>
      <c r="T705" s="79">
        <f>IF(AND(B705&lt;&gt;"",M705="",I705&lt;&gt;""),1/I705,0)</f>
        <v/>
      </c>
      <c r="U705" s="112">
        <f>IF(AND(B705&lt;&gt;"",M705="",I705&lt;&gt;""),I705,"")</f>
        <v/>
      </c>
      <c r="V705" s="79">
        <f>IF(U705="","",IF(U705&lt;AsOf,1,IF(U705&lt;=AsOf+AlertDays,2,IF(U705&lt;=AsOf+2*AlertDays,3,""))))</f>
        <v/>
      </c>
      <c r="W705" s="79">
        <f>IF(V705="","",IF(O705="OVERDUE","Overdue payment: ","Payment due: ")&amp;B705&amp;" — "&amp;C705&amp;" ("&amp;CurSym&amp;" "&amp;FIXED(S705,0)&amp;")")</f>
        <v/>
      </c>
      <c r="Z705" s="116">
        <f>IF('Contractors'!B705="","",'Contractors'!B705)</f>
        <v/>
      </c>
      <c r="AA705" s="77">
        <f>IF(Z705="","",'Contractors'!K705)</f>
        <v/>
      </c>
      <c r="AB705" s="77">
        <f>IF(Z705="","",SUMIFS($L$6:$L$1005,$B$6:$B$1005,Z705))</f>
        <v/>
      </c>
      <c r="AC705" s="77">
        <f>IF(Z705="","",SUMIFS($N$6:$N$1005,$B$6:$B$1005,Z705))</f>
        <v/>
      </c>
      <c r="AD705" s="76">
        <f>IF(Z705="","",AA705-AC705)</f>
        <v/>
      </c>
      <c r="AE705" s="117">
        <f>IF(Z705="","",IFERROR(1/SUMPRODUCT(MAX(($B$6:$B$1005=Z705)*$T$6:$T$1005)),""))</f>
        <v/>
      </c>
      <c r="AF705" s="77">
        <f>IF(AE705="","",SUMIFS($S$6:$S$1005,$B$6:$B$1005,Z705,$I$6:$I$1005,AE705))</f>
        <v/>
      </c>
    </row>
    <row r="706" ht="20" customHeight="1">
      <c r="B706" s="72" t="n"/>
      <c r="C706" s="72" t="n"/>
      <c r="D706" s="72" t="n"/>
      <c r="E706" s="72" t="n"/>
      <c r="F706" s="110" t="n"/>
      <c r="G706" s="73" t="n"/>
      <c r="H706" s="75">
        <f>IF(B706="","",IF(G706&lt;&gt;"",G706,IF(F706&lt;&gt;"",F706*IFERROR(INDEX('Contractors'!$I$6:$I$1005,MATCH(B706,'Contractors'!$B$6:$B$1005,0)),0),"")))</f>
        <v/>
      </c>
      <c r="I706" s="109" t="n"/>
      <c r="J706" s="72" t="n"/>
      <c r="K706" s="109" t="n"/>
      <c r="L706" s="73" t="n"/>
      <c r="M706" s="109" t="n"/>
      <c r="N706" s="73" t="n"/>
      <c r="O706" s="107">
        <f>IF(B706="","",IF(M706&lt;&gt;"","Paid",IF(AND(I706&lt;&gt;"",I706&lt;AsOf),"OVERDUE",IF(OR(K706&lt;&gt;"",L706&lt;&gt;""),"Invoiced","Scheduled"))))</f>
        <v/>
      </c>
      <c r="P706" s="115">
        <f>IF(B706="","",IF(E706&lt;&gt;"",E706,IFERROR(INDEX('Contractors'!$D$6:$D$1005,MATCH(B706,'Contractors'!$B$6:$B$1005,0)),"")))</f>
        <v/>
      </c>
      <c r="Q706" s="79">
        <f>IF(B706="","",IF(D706&lt;&gt;"",D706,IFERROR(INDEX('Contractors'!$E$6:$E$1005,MATCH(B706,'Contractors'!$B$6:$B$1005,0)),"")))</f>
        <v/>
      </c>
      <c r="R706" s="79">
        <f>IF(O706="","",IF(O706="OVERDUE",2,IF(O706="Paid",0,IF(AND(I706&lt;&gt;"",I706&lt;=AsOf+AlertDays),1,0))))</f>
        <v/>
      </c>
      <c r="S706" s="79">
        <f>IF(AND(B706&lt;&gt;"",M706="",I706&lt;&gt;""),IF(L706&lt;&gt;"",L706,IF(H706="",0,H706)),0)</f>
        <v/>
      </c>
      <c r="T706" s="79">
        <f>IF(AND(B706&lt;&gt;"",M706="",I706&lt;&gt;""),1/I706,0)</f>
        <v/>
      </c>
      <c r="U706" s="112">
        <f>IF(AND(B706&lt;&gt;"",M706="",I706&lt;&gt;""),I706,"")</f>
        <v/>
      </c>
      <c r="V706" s="79">
        <f>IF(U706="","",IF(U706&lt;AsOf,1,IF(U706&lt;=AsOf+AlertDays,2,IF(U706&lt;=AsOf+2*AlertDays,3,""))))</f>
        <v/>
      </c>
      <c r="W706" s="79">
        <f>IF(V706="","",IF(O706="OVERDUE","Overdue payment: ","Payment due: ")&amp;B706&amp;" — "&amp;C706&amp;" ("&amp;CurSym&amp;" "&amp;FIXED(S706,0)&amp;")")</f>
        <v/>
      </c>
      <c r="Z706" s="116">
        <f>IF('Contractors'!B706="","",'Contractors'!B706)</f>
        <v/>
      </c>
      <c r="AA706" s="77">
        <f>IF(Z706="","",'Contractors'!K706)</f>
        <v/>
      </c>
      <c r="AB706" s="77">
        <f>IF(Z706="","",SUMIFS($L$6:$L$1005,$B$6:$B$1005,Z706))</f>
        <v/>
      </c>
      <c r="AC706" s="77">
        <f>IF(Z706="","",SUMIFS($N$6:$N$1005,$B$6:$B$1005,Z706))</f>
        <v/>
      </c>
      <c r="AD706" s="76">
        <f>IF(Z706="","",AA706-AC706)</f>
        <v/>
      </c>
      <c r="AE706" s="117">
        <f>IF(Z706="","",IFERROR(1/SUMPRODUCT(MAX(($B$6:$B$1005=Z706)*$T$6:$T$1005)),""))</f>
        <v/>
      </c>
      <c r="AF706" s="77">
        <f>IF(AE706="","",SUMIFS($S$6:$S$1005,$B$6:$B$1005,Z706,$I$6:$I$1005,AE706))</f>
        <v/>
      </c>
    </row>
    <row r="707" ht="20" customHeight="1">
      <c r="B707" s="72" t="n"/>
      <c r="C707" s="72" t="n"/>
      <c r="D707" s="72" t="n"/>
      <c r="E707" s="72" t="n"/>
      <c r="F707" s="110" t="n"/>
      <c r="G707" s="73" t="n"/>
      <c r="H707" s="75">
        <f>IF(B707="","",IF(G707&lt;&gt;"",G707,IF(F707&lt;&gt;"",F707*IFERROR(INDEX('Contractors'!$I$6:$I$1005,MATCH(B707,'Contractors'!$B$6:$B$1005,0)),0),"")))</f>
        <v/>
      </c>
      <c r="I707" s="109" t="n"/>
      <c r="J707" s="72" t="n"/>
      <c r="K707" s="109" t="n"/>
      <c r="L707" s="73" t="n"/>
      <c r="M707" s="109" t="n"/>
      <c r="N707" s="73" t="n"/>
      <c r="O707" s="107">
        <f>IF(B707="","",IF(M707&lt;&gt;"","Paid",IF(AND(I707&lt;&gt;"",I707&lt;AsOf),"OVERDUE",IF(OR(K707&lt;&gt;"",L707&lt;&gt;""),"Invoiced","Scheduled"))))</f>
        <v/>
      </c>
      <c r="P707" s="115">
        <f>IF(B707="","",IF(E707&lt;&gt;"",E707,IFERROR(INDEX('Contractors'!$D$6:$D$1005,MATCH(B707,'Contractors'!$B$6:$B$1005,0)),"")))</f>
        <v/>
      </c>
      <c r="Q707" s="79">
        <f>IF(B707="","",IF(D707&lt;&gt;"",D707,IFERROR(INDEX('Contractors'!$E$6:$E$1005,MATCH(B707,'Contractors'!$B$6:$B$1005,0)),"")))</f>
        <v/>
      </c>
      <c r="R707" s="79">
        <f>IF(O707="","",IF(O707="OVERDUE",2,IF(O707="Paid",0,IF(AND(I707&lt;&gt;"",I707&lt;=AsOf+AlertDays),1,0))))</f>
        <v/>
      </c>
      <c r="S707" s="79">
        <f>IF(AND(B707&lt;&gt;"",M707="",I707&lt;&gt;""),IF(L707&lt;&gt;"",L707,IF(H707="",0,H707)),0)</f>
        <v/>
      </c>
      <c r="T707" s="79">
        <f>IF(AND(B707&lt;&gt;"",M707="",I707&lt;&gt;""),1/I707,0)</f>
        <v/>
      </c>
      <c r="U707" s="112">
        <f>IF(AND(B707&lt;&gt;"",M707="",I707&lt;&gt;""),I707,"")</f>
        <v/>
      </c>
      <c r="V707" s="79">
        <f>IF(U707="","",IF(U707&lt;AsOf,1,IF(U707&lt;=AsOf+AlertDays,2,IF(U707&lt;=AsOf+2*AlertDays,3,""))))</f>
        <v/>
      </c>
      <c r="W707" s="79">
        <f>IF(V707="","",IF(O707="OVERDUE","Overdue payment: ","Payment due: ")&amp;B707&amp;" — "&amp;C707&amp;" ("&amp;CurSym&amp;" "&amp;FIXED(S707,0)&amp;")")</f>
        <v/>
      </c>
      <c r="Z707" s="116">
        <f>IF('Contractors'!B707="","",'Contractors'!B707)</f>
        <v/>
      </c>
      <c r="AA707" s="77">
        <f>IF(Z707="","",'Contractors'!K707)</f>
        <v/>
      </c>
      <c r="AB707" s="77">
        <f>IF(Z707="","",SUMIFS($L$6:$L$1005,$B$6:$B$1005,Z707))</f>
        <v/>
      </c>
      <c r="AC707" s="77">
        <f>IF(Z707="","",SUMIFS($N$6:$N$1005,$B$6:$B$1005,Z707))</f>
        <v/>
      </c>
      <c r="AD707" s="76">
        <f>IF(Z707="","",AA707-AC707)</f>
        <v/>
      </c>
      <c r="AE707" s="117">
        <f>IF(Z707="","",IFERROR(1/SUMPRODUCT(MAX(($B$6:$B$1005=Z707)*$T$6:$T$1005)),""))</f>
        <v/>
      </c>
      <c r="AF707" s="77">
        <f>IF(AE707="","",SUMIFS($S$6:$S$1005,$B$6:$B$1005,Z707,$I$6:$I$1005,AE707))</f>
        <v/>
      </c>
    </row>
    <row r="708" ht="20" customHeight="1">
      <c r="B708" s="72" t="n"/>
      <c r="C708" s="72" t="n"/>
      <c r="D708" s="72" t="n"/>
      <c r="E708" s="72" t="n"/>
      <c r="F708" s="110" t="n"/>
      <c r="G708" s="73" t="n"/>
      <c r="H708" s="75">
        <f>IF(B708="","",IF(G708&lt;&gt;"",G708,IF(F708&lt;&gt;"",F708*IFERROR(INDEX('Contractors'!$I$6:$I$1005,MATCH(B708,'Contractors'!$B$6:$B$1005,0)),0),"")))</f>
        <v/>
      </c>
      <c r="I708" s="109" t="n"/>
      <c r="J708" s="72" t="n"/>
      <c r="K708" s="109" t="n"/>
      <c r="L708" s="73" t="n"/>
      <c r="M708" s="109" t="n"/>
      <c r="N708" s="73" t="n"/>
      <c r="O708" s="107">
        <f>IF(B708="","",IF(M708&lt;&gt;"","Paid",IF(AND(I708&lt;&gt;"",I708&lt;AsOf),"OVERDUE",IF(OR(K708&lt;&gt;"",L708&lt;&gt;""),"Invoiced","Scheduled"))))</f>
        <v/>
      </c>
      <c r="P708" s="115">
        <f>IF(B708="","",IF(E708&lt;&gt;"",E708,IFERROR(INDEX('Contractors'!$D$6:$D$1005,MATCH(B708,'Contractors'!$B$6:$B$1005,0)),"")))</f>
        <v/>
      </c>
      <c r="Q708" s="79">
        <f>IF(B708="","",IF(D708&lt;&gt;"",D708,IFERROR(INDEX('Contractors'!$E$6:$E$1005,MATCH(B708,'Contractors'!$B$6:$B$1005,0)),"")))</f>
        <v/>
      </c>
      <c r="R708" s="79">
        <f>IF(O708="","",IF(O708="OVERDUE",2,IF(O708="Paid",0,IF(AND(I708&lt;&gt;"",I708&lt;=AsOf+AlertDays),1,0))))</f>
        <v/>
      </c>
      <c r="S708" s="79">
        <f>IF(AND(B708&lt;&gt;"",M708="",I708&lt;&gt;""),IF(L708&lt;&gt;"",L708,IF(H708="",0,H708)),0)</f>
        <v/>
      </c>
      <c r="T708" s="79">
        <f>IF(AND(B708&lt;&gt;"",M708="",I708&lt;&gt;""),1/I708,0)</f>
        <v/>
      </c>
      <c r="U708" s="112">
        <f>IF(AND(B708&lt;&gt;"",M708="",I708&lt;&gt;""),I708,"")</f>
        <v/>
      </c>
      <c r="V708" s="79">
        <f>IF(U708="","",IF(U708&lt;AsOf,1,IF(U708&lt;=AsOf+AlertDays,2,IF(U708&lt;=AsOf+2*AlertDays,3,""))))</f>
        <v/>
      </c>
      <c r="W708" s="79">
        <f>IF(V708="","",IF(O708="OVERDUE","Overdue payment: ","Payment due: ")&amp;B708&amp;" — "&amp;C708&amp;" ("&amp;CurSym&amp;" "&amp;FIXED(S708,0)&amp;")")</f>
        <v/>
      </c>
      <c r="Z708" s="116">
        <f>IF('Contractors'!B708="","",'Contractors'!B708)</f>
        <v/>
      </c>
      <c r="AA708" s="77">
        <f>IF(Z708="","",'Contractors'!K708)</f>
        <v/>
      </c>
      <c r="AB708" s="77">
        <f>IF(Z708="","",SUMIFS($L$6:$L$1005,$B$6:$B$1005,Z708))</f>
        <v/>
      </c>
      <c r="AC708" s="77">
        <f>IF(Z708="","",SUMIFS($N$6:$N$1005,$B$6:$B$1005,Z708))</f>
        <v/>
      </c>
      <c r="AD708" s="76">
        <f>IF(Z708="","",AA708-AC708)</f>
        <v/>
      </c>
      <c r="AE708" s="117">
        <f>IF(Z708="","",IFERROR(1/SUMPRODUCT(MAX(($B$6:$B$1005=Z708)*$T$6:$T$1005)),""))</f>
        <v/>
      </c>
      <c r="AF708" s="77">
        <f>IF(AE708="","",SUMIFS($S$6:$S$1005,$B$6:$B$1005,Z708,$I$6:$I$1005,AE708))</f>
        <v/>
      </c>
    </row>
    <row r="709" ht="20" customHeight="1">
      <c r="B709" s="72" t="n"/>
      <c r="C709" s="72" t="n"/>
      <c r="D709" s="72" t="n"/>
      <c r="E709" s="72" t="n"/>
      <c r="F709" s="110" t="n"/>
      <c r="G709" s="73" t="n"/>
      <c r="H709" s="75">
        <f>IF(B709="","",IF(G709&lt;&gt;"",G709,IF(F709&lt;&gt;"",F709*IFERROR(INDEX('Contractors'!$I$6:$I$1005,MATCH(B709,'Contractors'!$B$6:$B$1005,0)),0),"")))</f>
        <v/>
      </c>
      <c r="I709" s="109" t="n"/>
      <c r="J709" s="72" t="n"/>
      <c r="K709" s="109" t="n"/>
      <c r="L709" s="73" t="n"/>
      <c r="M709" s="109" t="n"/>
      <c r="N709" s="73" t="n"/>
      <c r="O709" s="107">
        <f>IF(B709="","",IF(M709&lt;&gt;"","Paid",IF(AND(I709&lt;&gt;"",I709&lt;AsOf),"OVERDUE",IF(OR(K709&lt;&gt;"",L709&lt;&gt;""),"Invoiced","Scheduled"))))</f>
        <v/>
      </c>
      <c r="P709" s="115">
        <f>IF(B709="","",IF(E709&lt;&gt;"",E709,IFERROR(INDEX('Contractors'!$D$6:$D$1005,MATCH(B709,'Contractors'!$B$6:$B$1005,0)),"")))</f>
        <v/>
      </c>
      <c r="Q709" s="79">
        <f>IF(B709="","",IF(D709&lt;&gt;"",D709,IFERROR(INDEX('Contractors'!$E$6:$E$1005,MATCH(B709,'Contractors'!$B$6:$B$1005,0)),"")))</f>
        <v/>
      </c>
      <c r="R709" s="79">
        <f>IF(O709="","",IF(O709="OVERDUE",2,IF(O709="Paid",0,IF(AND(I709&lt;&gt;"",I709&lt;=AsOf+AlertDays),1,0))))</f>
        <v/>
      </c>
      <c r="S709" s="79">
        <f>IF(AND(B709&lt;&gt;"",M709="",I709&lt;&gt;""),IF(L709&lt;&gt;"",L709,IF(H709="",0,H709)),0)</f>
        <v/>
      </c>
      <c r="T709" s="79">
        <f>IF(AND(B709&lt;&gt;"",M709="",I709&lt;&gt;""),1/I709,0)</f>
        <v/>
      </c>
      <c r="U709" s="112">
        <f>IF(AND(B709&lt;&gt;"",M709="",I709&lt;&gt;""),I709,"")</f>
        <v/>
      </c>
      <c r="V709" s="79">
        <f>IF(U709="","",IF(U709&lt;AsOf,1,IF(U709&lt;=AsOf+AlertDays,2,IF(U709&lt;=AsOf+2*AlertDays,3,""))))</f>
        <v/>
      </c>
      <c r="W709" s="79">
        <f>IF(V709="","",IF(O709="OVERDUE","Overdue payment: ","Payment due: ")&amp;B709&amp;" — "&amp;C709&amp;" ("&amp;CurSym&amp;" "&amp;FIXED(S709,0)&amp;")")</f>
        <v/>
      </c>
      <c r="Z709" s="116">
        <f>IF('Contractors'!B709="","",'Contractors'!B709)</f>
        <v/>
      </c>
      <c r="AA709" s="77">
        <f>IF(Z709="","",'Contractors'!K709)</f>
        <v/>
      </c>
      <c r="AB709" s="77">
        <f>IF(Z709="","",SUMIFS($L$6:$L$1005,$B$6:$B$1005,Z709))</f>
        <v/>
      </c>
      <c r="AC709" s="77">
        <f>IF(Z709="","",SUMIFS($N$6:$N$1005,$B$6:$B$1005,Z709))</f>
        <v/>
      </c>
      <c r="AD709" s="76">
        <f>IF(Z709="","",AA709-AC709)</f>
        <v/>
      </c>
      <c r="AE709" s="117">
        <f>IF(Z709="","",IFERROR(1/SUMPRODUCT(MAX(($B$6:$B$1005=Z709)*$T$6:$T$1005)),""))</f>
        <v/>
      </c>
      <c r="AF709" s="77">
        <f>IF(AE709="","",SUMIFS($S$6:$S$1005,$B$6:$B$1005,Z709,$I$6:$I$1005,AE709))</f>
        <v/>
      </c>
    </row>
    <row r="710" ht="20" customHeight="1">
      <c r="B710" s="72" t="n"/>
      <c r="C710" s="72" t="n"/>
      <c r="D710" s="72" t="n"/>
      <c r="E710" s="72" t="n"/>
      <c r="F710" s="110" t="n"/>
      <c r="G710" s="73" t="n"/>
      <c r="H710" s="75">
        <f>IF(B710="","",IF(G710&lt;&gt;"",G710,IF(F710&lt;&gt;"",F710*IFERROR(INDEX('Contractors'!$I$6:$I$1005,MATCH(B710,'Contractors'!$B$6:$B$1005,0)),0),"")))</f>
        <v/>
      </c>
      <c r="I710" s="109" t="n"/>
      <c r="J710" s="72" t="n"/>
      <c r="K710" s="109" t="n"/>
      <c r="L710" s="73" t="n"/>
      <c r="M710" s="109" t="n"/>
      <c r="N710" s="73" t="n"/>
      <c r="O710" s="107">
        <f>IF(B710="","",IF(M710&lt;&gt;"","Paid",IF(AND(I710&lt;&gt;"",I710&lt;AsOf),"OVERDUE",IF(OR(K710&lt;&gt;"",L710&lt;&gt;""),"Invoiced","Scheduled"))))</f>
        <v/>
      </c>
      <c r="P710" s="115">
        <f>IF(B710="","",IF(E710&lt;&gt;"",E710,IFERROR(INDEX('Contractors'!$D$6:$D$1005,MATCH(B710,'Contractors'!$B$6:$B$1005,0)),"")))</f>
        <v/>
      </c>
      <c r="Q710" s="79">
        <f>IF(B710="","",IF(D710&lt;&gt;"",D710,IFERROR(INDEX('Contractors'!$E$6:$E$1005,MATCH(B710,'Contractors'!$B$6:$B$1005,0)),"")))</f>
        <v/>
      </c>
      <c r="R710" s="79">
        <f>IF(O710="","",IF(O710="OVERDUE",2,IF(O710="Paid",0,IF(AND(I710&lt;&gt;"",I710&lt;=AsOf+AlertDays),1,0))))</f>
        <v/>
      </c>
      <c r="S710" s="79">
        <f>IF(AND(B710&lt;&gt;"",M710="",I710&lt;&gt;""),IF(L710&lt;&gt;"",L710,IF(H710="",0,H710)),0)</f>
        <v/>
      </c>
      <c r="T710" s="79">
        <f>IF(AND(B710&lt;&gt;"",M710="",I710&lt;&gt;""),1/I710,0)</f>
        <v/>
      </c>
      <c r="U710" s="112">
        <f>IF(AND(B710&lt;&gt;"",M710="",I710&lt;&gt;""),I710,"")</f>
        <v/>
      </c>
      <c r="V710" s="79">
        <f>IF(U710="","",IF(U710&lt;AsOf,1,IF(U710&lt;=AsOf+AlertDays,2,IF(U710&lt;=AsOf+2*AlertDays,3,""))))</f>
        <v/>
      </c>
      <c r="W710" s="79">
        <f>IF(V710="","",IF(O710="OVERDUE","Overdue payment: ","Payment due: ")&amp;B710&amp;" — "&amp;C710&amp;" ("&amp;CurSym&amp;" "&amp;FIXED(S710,0)&amp;")")</f>
        <v/>
      </c>
      <c r="Z710" s="116">
        <f>IF('Contractors'!B710="","",'Contractors'!B710)</f>
        <v/>
      </c>
      <c r="AA710" s="77">
        <f>IF(Z710="","",'Contractors'!K710)</f>
        <v/>
      </c>
      <c r="AB710" s="77">
        <f>IF(Z710="","",SUMIFS($L$6:$L$1005,$B$6:$B$1005,Z710))</f>
        <v/>
      </c>
      <c r="AC710" s="77">
        <f>IF(Z710="","",SUMIFS($N$6:$N$1005,$B$6:$B$1005,Z710))</f>
        <v/>
      </c>
      <c r="AD710" s="76">
        <f>IF(Z710="","",AA710-AC710)</f>
        <v/>
      </c>
      <c r="AE710" s="117">
        <f>IF(Z710="","",IFERROR(1/SUMPRODUCT(MAX(($B$6:$B$1005=Z710)*$T$6:$T$1005)),""))</f>
        <v/>
      </c>
      <c r="AF710" s="77">
        <f>IF(AE710="","",SUMIFS($S$6:$S$1005,$B$6:$B$1005,Z710,$I$6:$I$1005,AE710))</f>
        <v/>
      </c>
    </row>
    <row r="711" ht="20" customHeight="1">
      <c r="B711" s="72" t="n"/>
      <c r="C711" s="72" t="n"/>
      <c r="D711" s="72" t="n"/>
      <c r="E711" s="72" t="n"/>
      <c r="F711" s="110" t="n"/>
      <c r="G711" s="73" t="n"/>
      <c r="H711" s="75">
        <f>IF(B711="","",IF(G711&lt;&gt;"",G711,IF(F711&lt;&gt;"",F711*IFERROR(INDEX('Contractors'!$I$6:$I$1005,MATCH(B711,'Contractors'!$B$6:$B$1005,0)),0),"")))</f>
        <v/>
      </c>
      <c r="I711" s="109" t="n"/>
      <c r="J711" s="72" t="n"/>
      <c r="K711" s="109" t="n"/>
      <c r="L711" s="73" t="n"/>
      <c r="M711" s="109" t="n"/>
      <c r="N711" s="73" t="n"/>
      <c r="O711" s="107">
        <f>IF(B711="","",IF(M711&lt;&gt;"","Paid",IF(AND(I711&lt;&gt;"",I711&lt;AsOf),"OVERDUE",IF(OR(K711&lt;&gt;"",L711&lt;&gt;""),"Invoiced","Scheduled"))))</f>
        <v/>
      </c>
      <c r="P711" s="115">
        <f>IF(B711="","",IF(E711&lt;&gt;"",E711,IFERROR(INDEX('Contractors'!$D$6:$D$1005,MATCH(B711,'Contractors'!$B$6:$B$1005,0)),"")))</f>
        <v/>
      </c>
      <c r="Q711" s="79">
        <f>IF(B711="","",IF(D711&lt;&gt;"",D711,IFERROR(INDEX('Contractors'!$E$6:$E$1005,MATCH(B711,'Contractors'!$B$6:$B$1005,0)),"")))</f>
        <v/>
      </c>
      <c r="R711" s="79">
        <f>IF(O711="","",IF(O711="OVERDUE",2,IF(O711="Paid",0,IF(AND(I711&lt;&gt;"",I711&lt;=AsOf+AlertDays),1,0))))</f>
        <v/>
      </c>
      <c r="S711" s="79">
        <f>IF(AND(B711&lt;&gt;"",M711="",I711&lt;&gt;""),IF(L711&lt;&gt;"",L711,IF(H711="",0,H711)),0)</f>
        <v/>
      </c>
      <c r="T711" s="79">
        <f>IF(AND(B711&lt;&gt;"",M711="",I711&lt;&gt;""),1/I711,0)</f>
        <v/>
      </c>
      <c r="U711" s="112">
        <f>IF(AND(B711&lt;&gt;"",M711="",I711&lt;&gt;""),I711,"")</f>
        <v/>
      </c>
      <c r="V711" s="79">
        <f>IF(U711="","",IF(U711&lt;AsOf,1,IF(U711&lt;=AsOf+AlertDays,2,IF(U711&lt;=AsOf+2*AlertDays,3,""))))</f>
        <v/>
      </c>
      <c r="W711" s="79">
        <f>IF(V711="","",IF(O711="OVERDUE","Overdue payment: ","Payment due: ")&amp;B711&amp;" — "&amp;C711&amp;" ("&amp;CurSym&amp;" "&amp;FIXED(S711,0)&amp;")")</f>
        <v/>
      </c>
      <c r="Z711" s="116">
        <f>IF('Contractors'!B711="","",'Contractors'!B711)</f>
        <v/>
      </c>
      <c r="AA711" s="77">
        <f>IF(Z711="","",'Contractors'!K711)</f>
        <v/>
      </c>
      <c r="AB711" s="77">
        <f>IF(Z711="","",SUMIFS($L$6:$L$1005,$B$6:$B$1005,Z711))</f>
        <v/>
      </c>
      <c r="AC711" s="77">
        <f>IF(Z711="","",SUMIFS($N$6:$N$1005,$B$6:$B$1005,Z711))</f>
        <v/>
      </c>
      <c r="AD711" s="76">
        <f>IF(Z711="","",AA711-AC711)</f>
        <v/>
      </c>
      <c r="AE711" s="117">
        <f>IF(Z711="","",IFERROR(1/SUMPRODUCT(MAX(($B$6:$B$1005=Z711)*$T$6:$T$1005)),""))</f>
        <v/>
      </c>
      <c r="AF711" s="77">
        <f>IF(AE711="","",SUMIFS($S$6:$S$1005,$B$6:$B$1005,Z711,$I$6:$I$1005,AE711))</f>
        <v/>
      </c>
    </row>
    <row r="712" ht="20" customHeight="1">
      <c r="B712" s="72" t="n"/>
      <c r="C712" s="72" t="n"/>
      <c r="D712" s="72" t="n"/>
      <c r="E712" s="72" t="n"/>
      <c r="F712" s="110" t="n"/>
      <c r="G712" s="73" t="n"/>
      <c r="H712" s="75">
        <f>IF(B712="","",IF(G712&lt;&gt;"",G712,IF(F712&lt;&gt;"",F712*IFERROR(INDEX('Contractors'!$I$6:$I$1005,MATCH(B712,'Contractors'!$B$6:$B$1005,0)),0),"")))</f>
        <v/>
      </c>
      <c r="I712" s="109" t="n"/>
      <c r="J712" s="72" t="n"/>
      <c r="K712" s="109" t="n"/>
      <c r="L712" s="73" t="n"/>
      <c r="M712" s="109" t="n"/>
      <c r="N712" s="73" t="n"/>
      <c r="O712" s="107">
        <f>IF(B712="","",IF(M712&lt;&gt;"","Paid",IF(AND(I712&lt;&gt;"",I712&lt;AsOf),"OVERDUE",IF(OR(K712&lt;&gt;"",L712&lt;&gt;""),"Invoiced","Scheduled"))))</f>
        <v/>
      </c>
      <c r="P712" s="115">
        <f>IF(B712="","",IF(E712&lt;&gt;"",E712,IFERROR(INDEX('Contractors'!$D$6:$D$1005,MATCH(B712,'Contractors'!$B$6:$B$1005,0)),"")))</f>
        <v/>
      </c>
      <c r="Q712" s="79">
        <f>IF(B712="","",IF(D712&lt;&gt;"",D712,IFERROR(INDEX('Contractors'!$E$6:$E$1005,MATCH(B712,'Contractors'!$B$6:$B$1005,0)),"")))</f>
        <v/>
      </c>
      <c r="R712" s="79">
        <f>IF(O712="","",IF(O712="OVERDUE",2,IF(O712="Paid",0,IF(AND(I712&lt;&gt;"",I712&lt;=AsOf+AlertDays),1,0))))</f>
        <v/>
      </c>
      <c r="S712" s="79">
        <f>IF(AND(B712&lt;&gt;"",M712="",I712&lt;&gt;""),IF(L712&lt;&gt;"",L712,IF(H712="",0,H712)),0)</f>
        <v/>
      </c>
      <c r="T712" s="79">
        <f>IF(AND(B712&lt;&gt;"",M712="",I712&lt;&gt;""),1/I712,0)</f>
        <v/>
      </c>
      <c r="U712" s="112">
        <f>IF(AND(B712&lt;&gt;"",M712="",I712&lt;&gt;""),I712,"")</f>
        <v/>
      </c>
      <c r="V712" s="79">
        <f>IF(U712="","",IF(U712&lt;AsOf,1,IF(U712&lt;=AsOf+AlertDays,2,IF(U712&lt;=AsOf+2*AlertDays,3,""))))</f>
        <v/>
      </c>
      <c r="W712" s="79">
        <f>IF(V712="","",IF(O712="OVERDUE","Overdue payment: ","Payment due: ")&amp;B712&amp;" — "&amp;C712&amp;" ("&amp;CurSym&amp;" "&amp;FIXED(S712,0)&amp;")")</f>
        <v/>
      </c>
      <c r="Z712" s="116">
        <f>IF('Contractors'!B712="","",'Contractors'!B712)</f>
        <v/>
      </c>
      <c r="AA712" s="77">
        <f>IF(Z712="","",'Contractors'!K712)</f>
        <v/>
      </c>
      <c r="AB712" s="77">
        <f>IF(Z712="","",SUMIFS($L$6:$L$1005,$B$6:$B$1005,Z712))</f>
        <v/>
      </c>
      <c r="AC712" s="77">
        <f>IF(Z712="","",SUMIFS($N$6:$N$1005,$B$6:$B$1005,Z712))</f>
        <v/>
      </c>
      <c r="AD712" s="76">
        <f>IF(Z712="","",AA712-AC712)</f>
        <v/>
      </c>
      <c r="AE712" s="117">
        <f>IF(Z712="","",IFERROR(1/SUMPRODUCT(MAX(($B$6:$B$1005=Z712)*$T$6:$T$1005)),""))</f>
        <v/>
      </c>
      <c r="AF712" s="77">
        <f>IF(AE712="","",SUMIFS($S$6:$S$1005,$B$6:$B$1005,Z712,$I$6:$I$1005,AE712))</f>
        <v/>
      </c>
    </row>
    <row r="713" ht="20" customHeight="1">
      <c r="B713" s="72" t="n"/>
      <c r="C713" s="72" t="n"/>
      <c r="D713" s="72" t="n"/>
      <c r="E713" s="72" t="n"/>
      <c r="F713" s="110" t="n"/>
      <c r="G713" s="73" t="n"/>
      <c r="H713" s="75">
        <f>IF(B713="","",IF(G713&lt;&gt;"",G713,IF(F713&lt;&gt;"",F713*IFERROR(INDEX('Contractors'!$I$6:$I$1005,MATCH(B713,'Contractors'!$B$6:$B$1005,0)),0),"")))</f>
        <v/>
      </c>
      <c r="I713" s="109" t="n"/>
      <c r="J713" s="72" t="n"/>
      <c r="K713" s="109" t="n"/>
      <c r="L713" s="73" t="n"/>
      <c r="M713" s="109" t="n"/>
      <c r="N713" s="73" t="n"/>
      <c r="O713" s="107">
        <f>IF(B713="","",IF(M713&lt;&gt;"","Paid",IF(AND(I713&lt;&gt;"",I713&lt;AsOf),"OVERDUE",IF(OR(K713&lt;&gt;"",L713&lt;&gt;""),"Invoiced","Scheduled"))))</f>
        <v/>
      </c>
      <c r="P713" s="115">
        <f>IF(B713="","",IF(E713&lt;&gt;"",E713,IFERROR(INDEX('Contractors'!$D$6:$D$1005,MATCH(B713,'Contractors'!$B$6:$B$1005,0)),"")))</f>
        <v/>
      </c>
      <c r="Q713" s="79">
        <f>IF(B713="","",IF(D713&lt;&gt;"",D713,IFERROR(INDEX('Contractors'!$E$6:$E$1005,MATCH(B713,'Contractors'!$B$6:$B$1005,0)),"")))</f>
        <v/>
      </c>
      <c r="R713" s="79">
        <f>IF(O713="","",IF(O713="OVERDUE",2,IF(O713="Paid",0,IF(AND(I713&lt;&gt;"",I713&lt;=AsOf+AlertDays),1,0))))</f>
        <v/>
      </c>
      <c r="S713" s="79">
        <f>IF(AND(B713&lt;&gt;"",M713="",I713&lt;&gt;""),IF(L713&lt;&gt;"",L713,IF(H713="",0,H713)),0)</f>
        <v/>
      </c>
      <c r="T713" s="79">
        <f>IF(AND(B713&lt;&gt;"",M713="",I713&lt;&gt;""),1/I713,0)</f>
        <v/>
      </c>
      <c r="U713" s="112">
        <f>IF(AND(B713&lt;&gt;"",M713="",I713&lt;&gt;""),I713,"")</f>
        <v/>
      </c>
      <c r="V713" s="79">
        <f>IF(U713="","",IF(U713&lt;AsOf,1,IF(U713&lt;=AsOf+AlertDays,2,IF(U713&lt;=AsOf+2*AlertDays,3,""))))</f>
        <v/>
      </c>
      <c r="W713" s="79">
        <f>IF(V713="","",IF(O713="OVERDUE","Overdue payment: ","Payment due: ")&amp;B713&amp;" — "&amp;C713&amp;" ("&amp;CurSym&amp;" "&amp;FIXED(S713,0)&amp;")")</f>
        <v/>
      </c>
      <c r="Z713" s="116">
        <f>IF('Contractors'!B713="","",'Contractors'!B713)</f>
        <v/>
      </c>
      <c r="AA713" s="77">
        <f>IF(Z713="","",'Contractors'!K713)</f>
        <v/>
      </c>
      <c r="AB713" s="77">
        <f>IF(Z713="","",SUMIFS($L$6:$L$1005,$B$6:$B$1005,Z713))</f>
        <v/>
      </c>
      <c r="AC713" s="77">
        <f>IF(Z713="","",SUMIFS($N$6:$N$1005,$B$6:$B$1005,Z713))</f>
        <v/>
      </c>
      <c r="AD713" s="76">
        <f>IF(Z713="","",AA713-AC713)</f>
        <v/>
      </c>
      <c r="AE713" s="117">
        <f>IF(Z713="","",IFERROR(1/SUMPRODUCT(MAX(($B$6:$B$1005=Z713)*$T$6:$T$1005)),""))</f>
        <v/>
      </c>
      <c r="AF713" s="77">
        <f>IF(AE713="","",SUMIFS($S$6:$S$1005,$B$6:$B$1005,Z713,$I$6:$I$1005,AE713))</f>
        <v/>
      </c>
    </row>
    <row r="714" ht="20" customHeight="1">
      <c r="B714" s="72" t="n"/>
      <c r="C714" s="72" t="n"/>
      <c r="D714" s="72" t="n"/>
      <c r="E714" s="72" t="n"/>
      <c r="F714" s="110" t="n"/>
      <c r="G714" s="73" t="n"/>
      <c r="H714" s="75">
        <f>IF(B714="","",IF(G714&lt;&gt;"",G714,IF(F714&lt;&gt;"",F714*IFERROR(INDEX('Contractors'!$I$6:$I$1005,MATCH(B714,'Contractors'!$B$6:$B$1005,0)),0),"")))</f>
        <v/>
      </c>
      <c r="I714" s="109" t="n"/>
      <c r="J714" s="72" t="n"/>
      <c r="K714" s="109" t="n"/>
      <c r="L714" s="73" t="n"/>
      <c r="M714" s="109" t="n"/>
      <c r="N714" s="73" t="n"/>
      <c r="O714" s="107">
        <f>IF(B714="","",IF(M714&lt;&gt;"","Paid",IF(AND(I714&lt;&gt;"",I714&lt;AsOf),"OVERDUE",IF(OR(K714&lt;&gt;"",L714&lt;&gt;""),"Invoiced","Scheduled"))))</f>
        <v/>
      </c>
      <c r="P714" s="115">
        <f>IF(B714="","",IF(E714&lt;&gt;"",E714,IFERROR(INDEX('Contractors'!$D$6:$D$1005,MATCH(B714,'Contractors'!$B$6:$B$1005,0)),"")))</f>
        <v/>
      </c>
      <c r="Q714" s="79">
        <f>IF(B714="","",IF(D714&lt;&gt;"",D714,IFERROR(INDEX('Contractors'!$E$6:$E$1005,MATCH(B714,'Contractors'!$B$6:$B$1005,0)),"")))</f>
        <v/>
      </c>
      <c r="R714" s="79">
        <f>IF(O714="","",IF(O714="OVERDUE",2,IF(O714="Paid",0,IF(AND(I714&lt;&gt;"",I714&lt;=AsOf+AlertDays),1,0))))</f>
        <v/>
      </c>
      <c r="S714" s="79">
        <f>IF(AND(B714&lt;&gt;"",M714="",I714&lt;&gt;""),IF(L714&lt;&gt;"",L714,IF(H714="",0,H714)),0)</f>
        <v/>
      </c>
      <c r="T714" s="79">
        <f>IF(AND(B714&lt;&gt;"",M714="",I714&lt;&gt;""),1/I714,0)</f>
        <v/>
      </c>
      <c r="U714" s="112">
        <f>IF(AND(B714&lt;&gt;"",M714="",I714&lt;&gt;""),I714,"")</f>
        <v/>
      </c>
      <c r="V714" s="79">
        <f>IF(U714="","",IF(U714&lt;AsOf,1,IF(U714&lt;=AsOf+AlertDays,2,IF(U714&lt;=AsOf+2*AlertDays,3,""))))</f>
        <v/>
      </c>
      <c r="W714" s="79">
        <f>IF(V714="","",IF(O714="OVERDUE","Overdue payment: ","Payment due: ")&amp;B714&amp;" — "&amp;C714&amp;" ("&amp;CurSym&amp;" "&amp;FIXED(S714,0)&amp;")")</f>
        <v/>
      </c>
      <c r="Z714" s="116">
        <f>IF('Contractors'!B714="","",'Contractors'!B714)</f>
        <v/>
      </c>
      <c r="AA714" s="77">
        <f>IF(Z714="","",'Contractors'!K714)</f>
        <v/>
      </c>
      <c r="AB714" s="77">
        <f>IF(Z714="","",SUMIFS($L$6:$L$1005,$B$6:$B$1005,Z714))</f>
        <v/>
      </c>
      <c r="AC714" s="77">
        <f>IF(Z714="","",SUMIFS($N$6:$N$1005,$B$6:$B$1005,Z714))</f>
        <v/>
      </c>
      <c r="AD714" s="76">
        <f>IF(Z714="","",AA714-AC714)</f>
        <v/>
      </c>
      <c r="AE714" s="117">
        <f>IF(Z714="","",IFERROR(1/SUMPRODUCT(MAX(($B$6:$B$1005=Z714)*$T$6:$T$1005)),""))</f>
        <v/>
      </c>
      <c r="AF714" s="77">
        <f>IF(AE714="","",SUMIFS($S$6:$S$1005,$B$6:$B$1005,Z714,$I$6:$I$1005,AE714))</f>
        <v/>
      </c>
    </row>
    <row r="715" ht="20" customHeight="1">
      <c r="B715" s="72" t="n"/>
      <c r="C715" s="72" t="n"/>
      <c r="D715" s="72" t="n"/>
      <c r="E715" s="72" t="n"/>
      <c r="F715" s="110" t="n"/>
      <c r="G715" s="73" t="n"/>
      <c r="H715" s="75">
        <f>IF(B715="","",IF(G715&lt;&gt;"",G715,IF(F715&lt;&gt;"",F715*IFERROR(INDEX('Contractors'!$I$6:$I$1005,MATCH(B715,'Contractors'!$B$6:$B$1005,0)),0),"")))</f>
        <v/>
      </c>
      <c r="I715" s="109" t="n"/>
      <c r="J715" s="72" t="n"/>
      <c r="K715" s="109" t="n"/>
      <c r="L715" s="73" t="n"/>
      <c r="M715" s="109" t="n"/>
      <c r="N715" s="73" t="n"/>
      <c r="O715" s="107">
        <f>IF(B715="","",IF(M715&lt;&gt;"","Paid",IF(AND(I715&lt;&gt;"",I715&lt;AsOf),"OVERDUE",IF(OR(K715&lt;&gt;"",L715&lt;&gt;""),"Invoiced","Scheduled"))))</f>
        <v/>
      </c>
      <c r="P715" s="115">
        <f>IF(B715="","",IF(E715&lt;&gt;"",E715,IFERROR(INDEX('Contractors'!$D$6:$D$1005,MATCH(B715,'Contractors'!$B$6:$B$1005,0)),"")))</f>
        <v/>
      </c>
      <c r="Q715" s="79">
        <f>IF(B715="","",IF(D715&lt;&gt;"",D715,IFERROR(INDEX('Contractors'!$E$6:$E$1005,MATCH(B715,'Contractors'!$B$6:$B$1005,0)),"")))</f>
        <v/>
      </c>
      <c r="R715" s="79">
        <f>IF(O715="","",IF(O715="OVERDUE",2,IF(O715="Paid",0,IF(AND(I715&lt;&gt;"",I715&lt;=AsOf+AlertDays),1,0))))</f>
        <v/>
      </c>
      <c r="S715" s="79">
        <f>IF(AND(B715&lt;&gt;"",M715="",I715&lt;&gt;""),IF(L715&lt;&gt;"",L715,IF(H715="",0,H715)),0)</f>
        <v/>
      </c>
      <c r="T715" s="79">
        <f>IF(AND(B715&lt;&gt;"",M715="",I715&lt;&gt;""),1/I715,0)</f>
        <v/>
      </c>
      <c r="U715" s="112">
        <f>IF(AND(B715&lt;&gt;"",M715="",I715&lt;&gt;""),I715,"")</f>
        <v/>
      </c>
      <c r="V715" s="79">
        <f>IF(U715="","",IF(U715&lt;AsOf,1,IF(U715&lt;=AsOf+AlertDays,2,IF(U715&lt;=AsOf+2*AlertDays,3,""))))</f>
        <v/>
      </c>
      <c r="W715" s="79">
        <f>IF(V715="","",IF(O715="OVERDUE","Overdue payment: ","Payment due: ")&amp;B715&amp;" — "&amp;C715&amp;" ("&amp;CurSym&amp;" "&amp;FIXED(S715,0)&amp;")")</f>
        <v/>
      </c>
      <c r="Z715" s="116">
        <f>IF('Contractors'!B715="","",'Contractors'!B715)</f>
        <v/>
      </c>
      <c r="AA715" s="77">
        <f>IF(Z715="","",'Contractors'!K715)</f>
        <v/>
      </c>
      <c r="AB715" s="77">
        <f>IF(Z715="","",SUMIFS($L$6:$L$1005,$B$6:$B$1005,Z715))</f>
        <v/>
      </c>
      <c r="AC715" s="77">
        <f>IF(Z715="","",SUMIFS($N$6:$N$1005,$B$6:$B$1005,Z715))</f>
        <v/>
      </c>
      <c r="AD715" s="76">
        <f>IF(Z715="","",AA715-AC715)</f>
        <v/>
      </c>
      <c r="AE715" s="117">
        <f>IF(Z715="","",IFERROR(1/SUMPRODUCT(MAX(($B$6:$B$1005=Z715)*$T$6:$T$1005)),""))</f>
        <v/>
      </c>
      <c r="AF715" s="77">
        <f>IF(AE715="","",SUMIFS($S$6:$S$1005,$B$6:$B$1005,Z715,$I$6:$I$1005,AE715))</f>
        <v/>
      </c>
    </row>
    <row r="716" ht="20" customHeight="1">
      <c r="B716" s="72" t="n"/>
      <c r="C716" s="72" t="n"/>
      <c r="D716" s="72" t="n"/>
      <c r="E716" s="72" t="n"/>
      <c r="F716" s="110" t="n"/>
      <c r="G716" s="73" t="n"/>
      <c r="H716" s="75">
        <f>IF(B716="","",IF(G716&lt;&gt;"",G716,IF(F716&lt;&gt;"",F716*IFERROR(INDEX('Contractors'!$I$6:$I$1005,MATCH(B716,'Contractors'!$B$6:$B$1005,0)),0),"")))</f>
        <v/>
      </c>
      <c r="I716" s="109" t="n"/>
      <c r="J716" s="72" t="n"/>
      <c r="K716" s="109" t="n"/>
      <c r="L716" s="73" t="n"/>
      <c r="M716" s="109" t="n"/>
      <c r="N716" s="73" t="n"/>
      <c r="O716" s="107">
        <f>IF(B716="","",IF(M716&lt;&gt;"","Paid",IF(AND(I716&lt;&gt;"",I716&lt;AsOf),"OVERDUE",IF(OR(K716&lt;&gt;"",L716&lt;&gt;""),"Invoiced","Scheduled"))))</f>
        <v/>
      </c>
      <c r="P716" s="115">
        <f>IF(B716="","",IF(E716&lt;&gt;"",E716,IFERROR(INDEX('Contractors'!$D$6:$D$1005,MATCH(B716,'Contractors'!$B$6:$B$1005,0)),"")))</f>
        <v/>
      </c>
      <c r="Q716" s="79">
        <f>IF(B716="","",IF(D716&lt;&gt;"",D716,IFERROR(INDEX('Contractors'!$E$6:$E$1005,MATCH(B716,'Contractors'!$B$6:$B$1005,0)),"")))</f>
        <v/>
      </c>
      <c r="R716" s="79">
        <f>IF(O716="","",IF(O716="OVERDUE",2,IF(O716="Paid",0,IF(AND(I716&lt;&gt;"",I716&lt;=AsOf+AlertDays),1,0))))</f>
        <v/>
      </c>
      <c r="S716" s="79">
        <f>IF(AND(B716&lt;&gt;"",M716="",I716&lt;&gt;""),IF(L716&lt;&gt;"",L716,IF(H716="",0,H716)),0)</f>
        <v/>
      </c>
      <c r="T716" s="79">
        <f>IF(AND(B716&lt;&gt;"",M716="",I716&lt;&gt;""),1/I716,0)</f>
        <v/>
      </c>
      <c r="U716" s="112">
        <f>IF(AND(B716&lt;&gt;"",M716="",I716&lt;&gt;""),I716,"")</f>
        <v/>
      </c>
      <c r="V716" s="79">
        <f>IF(U716="","",IF(U716&lt;AsOf,1,IF(U716&lt;=AsOf+AlertDays,2,IF(U716&lt;=AsOf+2*AlertDays,3,""))))</f>
        <v/>
      </c>
      <c r="W716" s="79">
        <f>IF(V716="","",IF(O716="OVERDUE","Overdue payment: ","Payment due: ")&amp;B716&amp;" — "&amp;C716&amp;" ("&amp;CurSym&amp;" "&amp;FIXED(S716,0)&amp;")")</f>
        <v/>
      </c>
      <c r="Z716" s="116">
        <f>IF('Contractors'!B716="","",'Contractors'!B716)</f>
        <v/>
      </c>
      <c r="AA716" s="77">
        <f>IF(Z716="","",'Contractors'!K716)</f>
        <v/>
      </c>
      <c r="AB716" s="77">
        <f>IF(Z716="","",SUMIFS($L$6:$L$1005,$B$6:$B$1005,Z716))</f>
        <v/>
      </c>
      <c r="AC716" s="77">
        <f>IF(Z716="","",SUMIFS($N$6:$N$1005,$B$6:$B$1005,Z716))</f>
        <v/>
      </c>
      <c r="AD716" s="76">
        <f>IF(Z716="","",AA716-AC716)</f>
        <v/>
      </c>
      <c r="AE716" s="117">
        <f>IF(Z716="","",IFERROR(1/SUMPRODUCT(MAX(($B$6:$B$1005=Z716)*$T$6:$T$1005)),""))</f>
        <v/>
      </c>
      <c r="AF716" s="77">
        <f>IF(AE716="","",SUMIFS($S$6:$S$1005,$B$6:$B$1005,Z716,$I$6:$I$1005,AE716))</f>
        <v/>
      </c>
    </row>
    <row r="717" ht="20" customHeight="1">
      <c r="B717" s="72" t="n"/>
      <c r="C717" s="72" t="n"/>
      <c r="D717" s="72" t="n"/>
      <c r="E717" s="72" t="n"/>
      <c r="F717" s="110" t="n"/>
      <c r="G717" s="73" t="n"/>
      <c r="H717" s="75">
        <f>IF(B717="","",IF(G717&lt;&gt;"",G717,IF(F717&lt;&gt;"",F717*IFERROR(INDEX('Contractors'!$I$6:$I$1005,MATCH(B717,'Contractors'!$B$6:$B$1005,0)),0),"")))</f>
        <v/>
      </c>
      <c r="I717" s="109" t="n"/>
      <c r="J717" s="72" t="n"/>
      <c r="K717" s="109" t="n"/>
      <c r="L717" s="73" t="n"/>
      <c r="M717" s="109" t="n"/>
      <c r="N717" s="73" t="n"/>
      <c r="O717" s="107">
        <f>IF(B717="","",IF(M717&lt;&gt;"","Paid",IF(AND(I717&lt;&gt;"",I717&lt;AsOf),"OVERDUE",IF(OR(K717&lt;&gt;"",L717&lt;&gt;""),"Invoiced","Scheduled"))))</f>
        <v/>
      </c>
      <c r="P717" s="115">
        <f>IF(B717="","",IF(E717&lt;&gt;"",E717,IFERROR(INDEX('Contractors'!$D$6:$D$1005,MATCH(B717,'Contractors'!$B$6:$B$1005,0)),"")))</f>
        <v/>
      </c>
      <c r="Q717" s="79">
        <f>IF(B717="","",IF(D717&lt;&gt;"",D717,IFERROR(INDEX('Contractors'!$E$6:$E$1005,MATCH(B717,'Contractors'!$B$6:$B$1005,0)),"")))</f>
        <v/>
      </c>
      <c r="R717" s="79">
        <f>IF(O717="","",IF(O717="OVERDUE",2,IF(O717="Paid",0,IF(AND(I717&lt;&gt;"",I717&lt;=AsOf+AlertDays),1,0))))</f>
        <v/>
      </c>
      <c r="S717" s="79">
        <f>IF(AND(B717&lt;&gt;"",M717="",I717&lt;&gt;""),IF(L717&lt;&gt;"",L717,IF(H717="",0,H717)),0)</f>
        <v/>
      </c>
      <c r="T717" s="79">
        <f>IF(AND(B717&lt;&gt;"",M717="",I717&lt;&gt;""),1/I717,0)</f>
        <v/>
      </c>
      <c r="U717" s="112">
        <f>IF(AND(B717&lt;&gt;"",M717="",I717&lt;&gt;""),I717,"")</f>
        <v/>
      </c>
      <c r="V717" s="79">
        <f>IF(U717="","",IF(U717&lt;AsOf,1,IF(U717&lt;=AsOf+AlertDays,2,IF(U717&lt;=AsOf+2*AlertDays,3,""))))</f>
        <v/>
      </c>
      <c r="W717" s="79">
        <f>IF(V717="","",IF(O717="OVERDUE","Overdue payment: ","Payment due: ")&amp;B717&amp;" — "&amp;C717&amp;" ("&amp;CurSym&amp;" "&amp;FIXED(S717,0)&amp;")")</f>
        <v/>
      </c>
      <c r="Z717" s="116">
        <f>IF('Contractors'!B717="","",'Contractors'!B717)</f>
        <v/>
      </c>
      <c r="AA717" s="77">
        <f>IF(Z717="","",'Contractors'!K717)</f>
        <v/>
      </c>
      <c r="AB717" s="77">
        <f>IF(Z717="","",SUMIFS($L$6:$L$1005,$B$6:$B$1005,Z717))</f>
        <v/>
      </c>
      <c r="AC717" s="77">
        <f>IF(Z717="","",SUMIFS($N$6:$N$1005,$B$6:$B$1005,Z717))</f>
        <v/>
      </c>
      <c r="AD717" s="76">
        <f>IF(Z717="","",AA717-AC717)</f>
        <v/>
      </c>
      <c r="AE717" s="117">
        <f>IF(Z717="","",IFERROR(1/SUMPRODUCT(MAX(($B$6:$B$1005=Z717)*$T$6:$T$1005)),""))</f>
        <v/>
      </c>
      <c r="AF717" s="77">
        <f>IF(AE717="","",SUMIFS($S$6:$S$1005,$B$6:$B$1005,Z717,$I$6:$I$1005,AE717))</f>
        <v/>
      </c>
    </row>
    <row r="718" ht="20" customHeight="1">
      <c r="B718" s="72" t="n"/>
      <c r="C718" s="72" t="n"/>
      <c r="D718" s="72" t="n"/>
      <c r="E718" s="72" t="n"/>
      <c r="F718" s="110" t="n"/>
      <c r="G718" s="73" t="n"/>
      <c r="H718" s="75">
        <f>IF(B718="","",IF(G718&lt;&gt;"",G718,IF(F718&lt;&gt;"",F718*IFERROR(INDEX('Contractors'!$I$6:$I$1005,MATCH(B718,'Contractors'!$B$6:$B$1005,0)),0),"")))</f>
        <v/>
      </c>
      <c r="I718" s="109" t="n"/>
      <c r="J718" s="72" t="n"/>
      <c r="K718" s="109" t="n"/>
      <c r="L718" s="73" t="n"/>
      <c r="M718" s="109" t="n"/>
      <c r="N718" s="73" t="n"/>
      <c r="O718" s="107">
        <f>IF(B718="","",IF(M718&lt;&gt;"","Paid",IF(AND(I718&lt;&gt;"",I718&lt;AsOf),"OVERDUE",IF(OR(K718&lt;&gt;"",L718&lt;&gt;""),"Invoiced","Scheduled"))))</f>
        <v/>
      </c>
      <c r="P718" s="115">
        <f>IF(B718="","",IF(E718&lt;&gt;"",E718,IFERROR(INDEX('Contractors'!$D$6:$D$1005,MATCH(B718,'Contractors'!$B$6:$B$1005,0)),"")))</f>
        <v/>
      </c>
      <c r="Q718" s="79">
        <f>IF(B718="","",IF(D718&lt;&gt;"",D718,IFERROR(INDEX('Contractors'!$E$6:$E$1005,MATCH(B718,'Contractors'!$B$6:$B$1005,0)),"")))</f>
        <v/>
      </c>
      <c r="R718" s="79">
        <f>IF(O718="","",IF(O718="OVERDUE",2,IF(O718="Paid",0,IF(AND(I718&lt;&gt;"",I718&lt;=AsOf+AlertDays),1,0))))</f>
        <v/>
      </c>
      <c r="S718" s="79">
        <f>IF(AND(B718&lt;&gt;"",M718="",I718&lt;&gt;""),IF(L718&lt;&gt;"",L718,IF(H718="",0,H718)),0)</f>
        <v/>
      </c>
      <c r="T718" s="79">
        <f>IF(AND(B718&lt;&gt;"",M718="",I718&lt;&gt;""),1/I718,0)</f>
        <v/>
      </c>
      <c r="U718" s="112">
        <f>IF(AND(B718&lt;&gt;"",M718="",I718&lt;&gt;""),I718,"")</f>
        <v/>
      </c>
      <c r="V718" s="79">
        <f>IF(U718="","",IF(U718&lt;AsOf,1,IF(U718&lt;=AsOf+AlertDays,2,IF(U718&lt;=AsOf+2*AlertDays,3,""))))</f>
        <v/>
      </c>
      <c r="W718" s="79">
        <f>IF(V718="","",IF(O718="OVERDUE","Overdue payment: ","Payment due: ")&amp;B718&amp;" — "&amp;C718&amp;" ("&amp;CurSym&amp;" "&amp;FIXED(S718,0)&amp;")")</f>
        <v/>
      </c>
      <c r="Z718" s="116">
        <f>IF('Contractors'!B718="","",'Contractors'!B718)</f>
        <v/>
      </c>
      <c r="AA718" s="77">
        <f>IF(Z718="","",'Contractors'!K718)</f>
        <v/>
      </c>
      <c r="AB718" s="77">
        <f>IF(Z718="","",SUMIFS($L$6:$L$1005,$B$6:$B$1005,Z718))</f>
        <v/>
      </c>
      <c r="AC718" s="77">
        <f>IF(Z718="","",SUMIFS($N$6:$N$1005,$B$6:$B$1005,Z718))</f>
        <v/>
      </c>
      <c r="AD718" s="76">
        <f>IF(Z718="","",AA718-AC718)</f>
        <v/>
      </c>
      <c r="AE718" s="117">
        <f>IF(Z718="","",IFERROR(1/SUMPRODUCT(MAX(($B$6:$B$1005=Z718)*$T$6:$T$1005)),""))</f>
        <v/>
      </c>
      <c r="AF718" s="77">
        <f>IF(AE718="","",SUMIFS($S$6:$S$1005,$B$6:$B$1005,Z718,$I$6:$I$1005,AE718))</f>
        <v/>
      </c>
    </row>
    <row r="719" ht="20" customHeight="1">
      <c r="B719" s="72" t="n"/>
      <c r="C719" s="72" t="n"/>
      <c r="D719" s="72" t="n"/>
      <c r="E719" s="72" t="n"/>
      <c r="F719" s="110" t="n"/>
      <c r="G719" s="73" t="n"/>
      <c r="H719" s="75">
        <f>IF(B719="","",IF(G719&lt;&gt;"",G719,IF(F719&lt;&gt;"",F719*IFERROR(INDEX('Contractors'!$I$6:$I$1005,MATCH(B719,'Contractors'!$B$6:$B$1005,0)),0),"")))</f>
        <v/>
      </c>
      <c r="I719" s="109" t="n"/>
      <c r="J719" s="72" t="n"/>
      <c r="K719" s="109" t="n"/>
      <c r="L719" s="73" t="n"/>
      <c r="M719" s="109" t="n"/>
      <c r="N719" s="73" t="n"/>
      <c r="O719" s="107">
        <f>IF(B719="","",IF(M719&lt;&gt;"","Paid",IF(AND(I719&lt;&gt;"",I719&lt;AsOf),"OVERDUE",IF(OR(K719&lt;&gt;"",L719&lt;&gt;""),"Invoiced","Scheduled"))))</f>
        <v/>
      </c>
      <c r="P719" s="115">
        <f>IF(B719="","",IF(E719&lt;&gt;"",E719,IFERROR(INDEX('Contractors'!$D$6:$D$1005,MATCH(B719,'Contractors'!$B$6:$B$1005,0)),"")))</f>
        <v/>
      </c>
      <c r="Q719" s="79">
        <f>IF(B719="","",IF(D719&lt;&gt;"",D719,IFERROR(INDEX('Contractors'!$E$6:$E$1005,MATCH(B719,'Contractors'!$B$6:$B$1005,0)),"")))</f>
        <v/>
      </c>
      <c r="R719" s="79">
        <f>IF(O719="","",IF(O719="OVERDUE",2,IF(O719="Paid",0,IF(AND(I719&lt;&gt;"",I719&lt;=AsOf+AlertDays),1,0))))</f>
        <v/>
      </c>
      <c r="S719" s="79">
        <f>IF(AND(B719&lt;&gt;"",M719="",I719&lt;&gt;""),IF(L719&lt;&gt;"",L719,IF(H719="",0,H719)),0)</f>
        <v/>
      </c>
      <c r="T719" s="79">
        <f>IF(AND(B719&lt;&gt;"",M719="",I719&lt;&gt;""),1/I719,0)</f>
        <v/>
      </c>
      <c r="U719" s="112">
        <f>IF(AND(B719&lt;&gt;"",M719="",I719&lt;&gt;""),I719,"")</f>
        <v/>
      </c>
      <c r="V719" s="79">
        <f>IF(U719="","",IF(U719&lt;AsOf,1,IF(U719&lt;=AsOf+AlertDays,2,IF(U719&lt;=AsOf+2*AlertDays,3,""))))</f>
        <v/>
      </c>
      <c r="W719" s="79">
        <f>IF(V719="","",IF(O719="OVERDUE","Overdue payment: ","Payment due: ")&amp;B719&amp;" — "&amp;C719&amp;" ("&amp;CurSym&amp;" "&amp;FIXED(S719,0)&amp;")")</f>
        <v/>
      </c>
      <c r="Z719" s="116">
        <f>IF('Contractors'!B719="","",'Contractors'!B719)</f>
        <v/>
      </c>
      <c r="AA719" s="77">
        <f>IF(Z719="","",'Contractors'!K719)</f>
        <v/>
      </c>
      <c r="AB719" s="77">
        <f>IF(Z719="","",SUMIFS($L$6:$L$1005,$B$6:$B$1005,Z719))</f>
        <v/>
      </c>
      <c r="AC719" s="77">
        <f>IF(Z719="","",SUMIFS($N$6:$N$1005,$B$6:$B$1005,Z719))</f>
        <v/>
      </c>
      <c r="AD719" s="76">
        <f>IF(Z719="","",AA719-AC719)</f>
        <v/>
      </c>
      <c r="AE719" s="117">
        <f>IF(Z719="","",IFERROR(1/SUMPRODUCT(MAX(($B$6:$B$1005=Z719)*$T$6:$T$1005)),""))</f>
        <v/>
      </c>
      <c r="AF719" s="77">
        <f>IF(AE719="","",SUMIFS($S$6:$S$1005,$B$6:$B$1005,Z719,$I$6:$I$1005,AE719))</f>
        <v/>
      </c>
    </row>
    <row r="720" ht="20" customHeight="1">
      <c r="B720" s="72" t="n"/>
      <c r="C720" s="72" t="n"/>
      <c r="D720" s="72" t="n"/>
      <c r="E720" s="72" t="n"/>
      <c r="F720" s="110" t="n"/>
      <c r="G720" s="73" t="n"/>
      <c r="H720" s="75">
        <f>IF(B720="","",IF(G720&lt;&gt;"",G720,IF(F720&lt;&gt;"",F720*IFERROR(INDEX('Contractors'!$I$6:$I$1005,MATCH(B720,'Contractors'!$B$6:$B$1005,0)),0),"")))</f>
        <v/>
      </c>
      <c r="I720" s="109" t="n"/>
      <c r="J720" s="72" t="n"/>
      <c r="K720" s="109" t="n"/>
      <c r="L720" s="73" t="n"/>
      <c r="M720" s="109" t="n"/>
      <c r="N720" s="73" t="n"/>
      <c r="O720" s="107">
        <f>IF(B720="","",IF(M720&lt;&gt;"","Paid",IF(AND(I720&lt;&gt;"",I720&lt;AsOf),"OVERDUE",IF(OR(K720&lt;&gt;"",L720&lt;&gt;""),"Invoiced","Scheduled"))))</f>
        <v/>
      </c>
      <c r="P720" s="115">
        <f>IF(B720="","",IF(E720&lt;&gt;"",E720,IFERROR(INDEX('Contractors'!$D$6:$D$1005,MATCH(B720,'Contractors'!$B$6:$B$1005,0)),"")))</f>
        <v/>
      </c>
      <c r="Q720" s="79">
        <f>IF(B720="","",IF(D720&lt;&gt;"",D720,IFERROR(INDEX('Contractors'!$E$6:$E$1005,MATCH(B720,'Contractors'!$B$6:$B$1005,0)),"")))</f>
        <v/>
      </c>
      <c r="R720" s="79">
        <f>IF(O720="","",IF(O720="OVERDUE",2,IF(O720="Paid",0,IF(AND(I720&lt;&gt;"",I720&lt;=AsOf+AlertDays),1,0))))</f>
        <v/>
      </c>
      <c r="S720" s="79">
        <f>IF(AND(B720&lt;&gt;"",M720="",I720&lt;&gt;""),IF(L720&lt;&gt;"",L720,IF(H720="",0,H720)),0)</f>
        <v/>
      </c>
      <c r="T720" s="79">
        <f>IF(AND(B720&lt;&gt;"",M720="",I720&lt;&gt;""),1/I720,0)</f>
        <v/>
      </c>
      <c r="U720" s="112">
        <f>IF(AND(B720&lt;&gt;"",M720="",I720&lt;&gt;""),I720,"")</f>
        <v/>
      </c>
      <c r="V720" s="79">
        <f>IF(U720="","",IF(U720&lt;AsOf,1,IF(U720&lt;=AsOf+AlertDays,2,IF(U720&lt;=AsOf+2*AlertDays,3,""))))</f>
        <v/>
      </c>
      <c r="W720" s="79">
        <f>IF(V720="","",IF(O720="OVERDUE","Overdue payment: ","Payment due: ")&amp;B720&amp;" — "&amp;C720&amp;" ("&amp;CurSym&amp;" "&amp;FIXED(S720,0)&amp;")")</f>
        <v/>
      </c>
      <c r="Z720" s="116">
        <f>IF('Contractors'!B720="","",'Contractors'!B720)</f>
        <v/>
      </c>
      <c r="AA720" s="77">
        <f>IF(Z720="","",'Contractors'!K720)</f>
        <v/>
      </c>
      <c r="AB720" s="77">
        <f>IF(Z720="","",SUMIFS($L$6:$L$1005,$B$6:$B$1005,Z720))</f>
        <v/>
      </c>
      <c r="AC720" s="77">
        <f>IF(Z720="","",SUMIFS($N$6:$N$1005,$B$6:$B$1005,Z720))</f>
        <v/>
      </c>
      <c r="AD720" s="76">
        <f>IF(Z720="","",AA720-AC720)</f>
        <v/>
      </c>
      <c r="AE720" s="117">
        <f>IF(Z720="","",IFERROR(1/SUMPRODUCT(MAX(($B$6:$B$1005=Z720)*$T$6:$T$1005)),""))</f>
        <v/>
      </c>
      <c r="AF720" s="77">
        <f>IF(AE720="","",SUMIFS($S$6:$S$1005,$B$6:$B$1005,Z720,$I$6:$I$1005,AE720))</f>
        <v/>
      </c>
    </row>
    <row r="721" ht="20" customHeight="1">
      <c r="B721" s="72" t="n"/>
      <c r="C721" s="72" t="n"/>
      <c r="D721" s="72" t="n"/>
      <c r="E721" s="72" t="n"/>
      <c r="F721" s="110" t="n"/>
      <c r="G721" s="73" t="n"/>
      <c r="H721" s="75">
        <f>IF(B721="","",IF(G721&lt;&gt;"",G721,IF(F721&lt;&gt;"",F721*IFERROR(INDEX('Contractors'!$I$6:$I$1005,MATCH(B721,'Contractors'!$B$6:$B$1005,0)),0),"")))</f>
        <v/>
      </c>
      <c r="I721" s="109" t="n"/>
      <c r="J721" s="72" t="n"/>
      <c r="K721" s="109" t="n"/>
      <c r="L721" s="73" t="n"/>
      <c r="M721" s="109" t="n"/>
      <c r="N721" s="73" t="n"/>
      <c r="O721" s="107">
        <f>IF(B721="","",IF(M721&lt;&gt;"","Paid",IF(AND(I721&lt;&gt;"",I721&lt;AsOf),"OVERDUE",IF(OR(K721&lt;&gt;"",L721&lt;&gt;""),"Invoiced","Scheduled"))))</f>
        <v/>
      </c>
      <c r="P721" s="115">
        <f>IF(B721="","",IF(E721&lt;&gt;"",E721,IFERROR(INDEX('Contractors'!$D$6:$D$1005,MATCH(B721,'Contractors'!$B$6:$B$1005,0)),"")))</f>
        <v/>
      </c>
      <c r="Q721" s="79">
        <f>IF(B721="","",IF(D721&lt;&gt;"",D721,IFERROR(INDEX('Contractors'!$E$6:$E$1005,MATCH(B721,'Contractors'!$B$6:$B$1005,0)),"")))</f>
        <v/>
      </c>
      <c r="R721" s="79">
        <f>IF(O721="","",IF(O721="OVERDUE",2,IF(O721="Paid",0,IF(AND(I721&lt;&gt;"",I721&lt;=AsOf+AlertDays),1,0))))</f>
        <v/>
      </c>
      <c r="S721" s="79">
        <f>IF(AND(B721&lt;&gt;"",M721="",I721&lt;&gt;""),IF(L721&lt;&gt;"",L721,IF(H721="",0,H721)),0)</f>
        <v/>
      </c>
      <c r="T721" s="79">
        <f>IF(AND(B721&lt;&gt;"",M721="",I721&lt;&gt;""),1/I721,0)</f>
        <v/>
      </c>
      <c r="U721" s="112">
        <f>IF(AND(B721&lt;&gt;"",M721="",I721&lt;&gt;""),I721,"")</f>
        <v/>
      </c>
      <c r="V721" s="79">
        <f>IF(U721="","",IF(U721&lt;AsOf,1,IF(U721&lt;=AsOf+AlertDays,2,IF(U721&lt;=AsOf+2*AlertDays,3,""))))</f>
        <v/>
      </c>
      <c r="W721" s="79">
        <f>IF(V721="","",IF(O721="OVERDUE","Overdue payment: ","Payment due: ")&amp;B721&amp;" — "&amp;C721&amp;" ("&amp;CurSym&amp;" "&amp;FIXED(S721,0)&amp;")")</f>
        <v/>
      </c>
      <c r="Z721" s="116">
        <f>IF('Contractors'!B721="","",'Contractors'!B721)</f>
        <v/>
      </c>
      <c r="AA721" s="77">
        <f>IF(Z721="","",'Contractors'!K721)</f>
        <v/>
      </c>
      <c r="AB721" s="77">
        <f>IF(Z721="","",SUMIFS($L$6:$L$1005,$B$6:$B$1005,Z721))</f>
        <v/>
      </c>
      <c r="AC721" s="77">
        <f>IF(Z721="","",SUMIFS($N$6:$N$1005,$B$6:$B$1005,Z721))</f>
        <v/>
      </c>
      <c r="AD721" s="76">
        <f>IF(Z721="","",AA721-AC721)</f>
        <v/>
      </c>
      <c r="AE721" s="117">
        <f>IF(Z721="","",IFERROR(1/SUMPRODUCT(MAX(($B$6:$B$1005=Z721)*$T$6:$T$1005)),""))</f>
        <v/>
      </c>
      <c r="AF721" s="77">
        <f>IF(AE721="","",SUMIFS($S$6:$S$1005,$B$6:$B$1005,Z721,$I$6:$I$1005,AE721))</f>
        <v/>
      </c>
    </row>
    <row r="722" ht="20" customHeight="1">
      <c r="B722" s="72" t="n"/>
      <c r="C722" s="72" t="n"/>
      <c r="D722" s="72" t="n"/>
      <c r="E722" s="72" t="n"/>
      <c r="F722" s="110" t="n"/>
      <c r="G722" s="73" t="n"/>
      <c r="H722" s="75">
        <f>IF(B722="","",IF(G722&lt;&gt;"",G722,IF(F722&lt;&gt;"",F722*IFERROR(INDEX('Contractors'!$I$6:$I$1005,MATCH(B722,'Contractors'!$B$6:$B$1005,0)),0),"")))</f>
        <v/>
      </c>
      <c r="I722" s="109" t="n"/>
      <c r="J722" s="72" t="n"/>
      <c r="K722" s="109" t="n"/>
      <c r="L722" s="73" t="n"/>
      <c r="M722" s="109" t="n"/>
      <c r="N722" s="73" t="n"/>
      <c r="O722" s="107">
        <f>IF(B722="","",IF(M722&lt;&gt;"","Paid",IF(AND(I722&lt;&gt;"",I722&lt;AsOf),"OVERDUE",IF(OR(K722&lt;&gt;"",L722&lt;&gt;""),"Invoiced","Scheduled"))))</f>
        <v/>
      </c>
      <c r="P722" s="115">
        <f>IF(B722="","",IF(E722&lt;&gt;"",E722,IFERROR(INDEX('Contractors'!$D$6:$D$1005,MATCH(B722,'Contractors'!$B$6:$B$1005,0)),"")))</f>
        <v/>
      </c>
      <c r="Q722" s="79">
        <f>IF(B722="","",IF(D722&lt;&gt;"",D722,IFERROR(INDEX('Contractors'!$E$6:$E$1005,MATCH(B722,'Contractors'!$B$6:$B$1005,0)),"")))</f>
        <v/>
      </c>
      <c r="R722" s="79">
        <f>IF(O722="","",IF(O722="OVERDUE",2,IF(O722="Paid",0,IF(AND(I722&lt;&gt;"",I722&lt;=AsOf+AlertDays),1,0))))</f>
        <v/>
      </c>
      <c r="S722" s="79">
        <f>IF(AND(B722&lt;&gt;"",M722="",I722&lt;&gt;""),IF(L722&lt;&gt;"",L722,IF(H722="",0,H722)),0)</f>
        <v/>
      </c>
      <c r="T722" s="79">
        <f>IF(AND(B722&lt;&gt;"",M722="",I722&lt;&gt;""),1/I722,0)</f>
        <v/>
      </c>
      <c r="U722" s="112">
        <f>IF(AND(B722&lt;&gt;"",M722="",I722&lt;&gt;""),I722,"")</f>
        <v/>
      </c>
      <c r="V722" s="79">
        <f>IF(U722="","",IF(U722&lt;AsOf,1,IF(U722&lt;=AsOf+AlertDays,2,IF(U722&lt;=AsOf+2*AlertDays,3,""))))</f>
        <v/>
      </c>
      <c r="W722" s="79">
        <f>IF(V722="","",IF(O722="OVERDUE","Overdue payment: ","Payment due: ")&amp;B722&amp;" — "&amp;C722&amp;" ("&amp;CurSym&amp;" "&amp;FIXED(S722,0)&amp;")")</f>
        <v/>
      </c>
      <c r="Z722" s="116">
        <f>IF('Contractors'!B722="","",'Contractors'!B722)</f>
        <v/>
      </c>
      <c r="AA722" s="77">
        <f>IF(Z722="","",'Contractors'!K722)</f>
        <v/>
      </c>
      <c r="AB722" s="77">
        <f>IF(Z722="","",SUMIFS($L$6:$L$1005,$B$6:$B$1005,Z722))</f>
        <v/>
      </c>
      <c r="AC722" s="77">
        <f>IF(Z722="","",SUMIFS($N$6:$N$1005,$B$6:$B$1005,Z722))</f>
        <v/>
      </c>
      <c r="AD722" s="76">
        <f>IF(Z722="","",AA722-AC722)</f>
        <v/>
      </c>
      <c r="AE722" s="117">
        <f>IF(Z722="","",IFERROR(1/SUMPRODUCT(MAX(($B$6:$B$1005=Z722)*$T$6:$T$1005)),""))</f>
        <v/>
      </c>
      <c r="AF722" s="77">
        <f>IF(AE722="","",SUMIFS($S$6:$S$1005,$B$6:$B$1005,Z722,$I$6:$I$1005,AE722))</f>
        <v/>
      </c>
    </row>
    <row r="723" ht="20" customHeight="1">
      <c r="B723" s="72" t="n"/>
      <c r="C723" s="72" t="n"/>
      <c r="D723" s="72" t="n"/>
      <c r="E723" s="72" t="n"/>
      <c r="F723" s="110" t="n"/>
      <c r="G723" s="73" t="n"/>
      <c r="H723" s="75">
        <f>IF(B723="","",IF(G723&lt;&gt;"",G723,IF(F723&lt;&gt;"",F723*IFERROR(INDEX('Contractors'!$I$6:$I$1005,MATCH(B723,'Contractors'!$B$6:$B$1005,0)),0),"")))</f>
        <v/>
      </c>
      <c r="I723" s="109" t="n"/>
      <c r="J723" s="72" t="n"/>
      <c r="K723" s="109" t="n"/>
      <c r="L723" s="73" t="n"/>
      <c r="M723" s="109" t="n"/>
      <c r="N723" s="73" t="n"/>
      <c r="O723" s="107">
        <f>IF(B723="","",IF(M723&lt;&gt;"","Paid",IF(AND(I723&lt;&gt;"",I723&lt;AsOf),"OVERDUE",IF(OR(K723&lt;&gt;"",L723&lt;&gt;""),"Invoiced","Scheduled"))))</f>
        <v/>
      </c>
      <c r="P723" s="115">
        <f>IF(B723="","",IF(E723&lt;&gt;"",E723,IFERROR(INDEX('Contractors'!$D$6:$D$1005,MATCH(B723,'Contractors'!$B$6:$B$1005,0)),"")))</f>
        <v/>
      </c>
      <c r="Q723" s="79">
        <f>IF(B723="","",IF(D723&lt;&gt;"",D723,IFERROR(INDEX('Contractors'!$E$6:$E$1005,MATCH(B723,'Contractors'!$B$6:$B$1005,0)),"")))</f>
        <v/>
      </c>
      <c r="R723" s="79">
        <f>IF(O723="","",IF(O723="OVERDUE",2,IF(O723="Paid",0,IF(AND(I723&lt;&gt;"",I723&lt;=AsOf+AlertDays),1,0))))</f>
        <v/>
      </c>
      <c r="S723" s="79">
        <f>IF(AND(B723&lt;&gt;"",M723="",I723&lt;&gt;""),IF(L723&lt;&gt;"",L723,IF(H723="",0,H723)),0)</f>
        <v/>
      </c>
      <c r="T723" s="79">
        <f>IF(AND(B723&lt;&gt;"",M723="",I723&lt;&gt;""),1/I723,0)</f>
        <v/>
      </c>
      <c r="U723" s="112">
        <f>IF(AND(B723&lt;&gt;"",M723="",I723&lt;&gt;""),I723,"")</f>
        <v/>
      </c>
      <c r="V723" s="79">
        <f>IF(U723="","",IF(U723&lt;AsOf,1,IF(U723&lt;=AsOf+AlertDays,2,IF(U723&lt;=AsOf+2*AlertDays,3,""))))</f>
        <v/>
      </c>
      <c r="W723" s="79">
        <f>IF(V723="","",IF(O723="OVERDUE","Overdue payment: ","Payment due: ")&amp;B723&amp;" — "&amp;C723&amp;" ("&amp;CurSym&amp;" "&amp;FIXED(S723,0)&amp;")")</f>
        <v/>
      </c>
      <c r="Z723" s="116">
        <f>IF('Contractors'!B723="","",'Contractors'!B723)</f>
        <v/>
      </c>
      <c r="AA723" s="77">
        <f>IF(Z723="","",'Contractors'!K723)</f>
        <v/>
      </c>
      <c r="AB723" s="77">
        <f>IF(Z723="","",SUMIFS($L$6:$L$1005,$B$6:$B$1005,Z723))</f>
        <v/>
      </c>
      <c r="AC723" s="77">
        <f>IF(Z723="","",SUMIFS($N$6:$N$1005,$B$6:$B$1005,Z723))</f>
        <v/>
      </c>
      <c r="AD723" s="76">
        <f>IF(Z723="","",AA723-AC723)</f>
        <v/>
      </c>
      <c r="AE723" s="117">
        <f>IF(Z723="","",IFERROR(1/SUMPRODUCT(MAX(($B$6:$B$1005=Z723)*$T$6:$T$1005)),""))</f>
        <v/>
      </c>
      <c r="AF723" s="77">
        <f>IF(AE723="","",SUMIFS($S$6:$S$1005,$B$6:$B$1005,Z723,$I$6:$I$1005,AE723))</f>
        <v/>
      </c>
    </row>
    <row r="724" ht="20" customHeight="1">
      <c r="B724" s="72" t="n"/>
      <c r="C724" s="72" t="n"/>
      <c r="D724" s="72" t="n"/>
      <c r="E724" s="72" t="n"/>
      <c r="F724" s="110" t="n"/>
      <c r="G724" s="73" t="n"/>
      <c r="H724" s="75">
        <f>IF(B724="","",IF(G724&lt;&gt;"",G724,IF(F724&lt;&gt;"",F724*IFERROR(INDEX('Contractors'!$I$6:$I$1005,MATCH(B724,'Contractors'!$B$6:$B$1005,0)),0),"")))</f>
        <v/>
      </c>
      <c r="I724" s="109" t="n"/>
      <c r="J724" s="72" t="n"/>
      <c r="K724" s="109" t="n"/>
      <c r="L724" s="73" t="n"/>
      <c r="M724" s="109" t="n"/>
      <c r="N724" s="73" t="n"/>
      <c r="O724" s="107">
        <f>IF(B724="","",IF(M724&lt;&gt;"","Paid",IF(AND(I724&lt;&gt;"",I724&lt;AsOf),"OVERDUE",IF(OR(K724&lt;&gt;"",L724&lt;&gt;""),"Invoiced","Scheduled"))))</f>
        <v/>
      </c>
      <c r="P724" s="115">
        <f>IF(B724="","",IF(E724&lt;&gt;"",E724,IFERROR(INDEX('Contractors'!$D$6:$D$1005,MATCH(B724,'Contractors'!$B$6:$B$1005,0)),"")))</f>
        <v/>
      </c>
      <c r="Q724" s="79">
        <f>IF(B724="","",IF(D724&lt;&gt;"",D724,IFERROR(INDEX('Contractors'!$E$6:$E$1005,MATCH(B724,'Contractors'!$B$6:$B$1005,0)),"")))</f>
        <v/>
      </c>
      <c r="R724" s="79">
        <f>IF(O724="","",IF(O724="OVERDUE",2,IF(O724="Paid",0,IF(AND(I724&lt;&gt;"",I724&lt;=AsOf+AlertDays),1,0))))</f>
        <v/>
      </c>
      <c r="S724" s="79">
        <f>IF(AND(B724&lt;&gt;"",M724="",I724&lt;&gt;""),IF(L724&lt;&gt;"",L724,IF(H724="",0,H724)),0)</f>
        <v/>
      </c>
      <c r="T724" s="79">
        <f>IF(AND(B724&lt;&gt;"",M724="",I724&lt;&gt;""),1/I724,0)</f>
        <v/>
      </c>
      <c r="U724" s="112">
        <f>IF(AND(B724&lt;&gt;"",M724="",I724&lt;&gt;""),I724,"")</f>
        <v/>
      </c>
      <c r="V724" s="79">
        <f>IF(U724="","",IF(U724&lt;AsOf,1,IF(U724&lt;=AsOf+AlertDays,2,IF(U724&lt;=AsOf+2*AlertDays,3,""))))</f>
        <v/>
      </c>
      <c r="W724" s="79">
        <f>IF(V724="","",IF(O724="OVERDUE","Overdue payment: ","Payment due: ")&amp;B724&amp;" — "&amp;C724&amp;" ("&amp;CurSym&amp;" "&amp;FIXED(S724,0)&amp;")")</f>
        <v/>
      </c>
      <c r="Z724" s="116">
        <f>IF('Contractors'!B724="","",'Contractors'!B724)</f>
        <v/>
      </c>
      <c r="AA724" s="77">
        <f>IF(Z724="","",'Contractors'!K724)</f>
        <v/>
      </c>
      <c r="AB724" s="77">
        <f>IF(Z724="","",SUMIFS($L$6:$L$1005,$B$6:$B$1005,Z724))</f>
        <v/>
      </c>
      <c r="AC724" s="77">
        <f>IF(Z724="","",SUMIFS($N$6:$N$1005,$B$6:$B$1005,Z724))</f>
        <v/>
      </c>
      <c r="AD724" s="76">
        <f>IF(Z724="","",AA724-AC724)</f>
        <v/>
      </c>
      <c r="AE724" s="117">
        <f>IF(Z724="","",IFERROR(1/SUMPRODUCT(MAX(($B$6:$B$1005=Z724)*$T$6:$T$1005)),""))</f>
        <v/>
      </c>
      <c r="AF724" s="77">
        <f>IF(AE724="","",SUMIFS($S$6:$S$1005,$B$6:$B$1005,Z724,$I$6:$I$1005,AE724))</f>
        <v/>
      </c>
    </row>
    <row r="725" ht="20" customHeight="1">
      <c r="B725" s="72" t="n"/>
      <c r="C725" s="72" t="n"/>
      <c r="D725" s="72" t="n"/>
      <c r="E725" s="72" t="n"/>
      <c r="F725" s="110" t="n"/>
      <c r="G725" s="73" t="n"/>
      <c r="H725" s="75">
        <f>IF(B725="","",IF(G725&lt;&gt;"",G725,IF(F725&lt;&gt;"",F725*IFERROR(INDEX('Contractors'!$I$6:$I$1005,MATCH(B725,'Contractors'!$B$6:$B$1005,0)),0),"")))</f>
        <v/>
      </c>
      <c r="I725" s="109" t="n"/>
      <c r="J725" s="72" t="n"/>
      <c r="K725" s="109" t="n"/>
      <c r="L725" s="73" t="n"/>
      <c r="M725" s="109" t="n"/>
      <c r="N725" s="73" t="n"/>
      <c r="O725" s="107">
        <f>IF(B725="","",IF(M725&lt;&gt;"","Paid",IF(AND(I725&lt;&gt;"",I725&lt;AsOf),"OVERDUE",IF(OR(K725&lt;&gt;"",L725&lt;&gt;""),"Invoiced","Scheduled"))))</f>
        <v/>
      </c>
      <c r="P725" s="115">
        <f>IF(B725="","",IF(E725&lt;&gt;"",E725,IFERROR(INDEX('Contractors'!$D$6:$D$1005,MATCH(B725,'Contractors'!$B$6:$B$1005,0)),"")))</f>
        <v/>
      </c>
      <c r="Q725" s="79">
        <f>IF(B725="","",IF(D725&lt;&gt;"",D725,IFERROR(INDEX('Contractors'!$E$6:$E$1005,MATCH(B725,'Contractors'!$B$6:$B$1005,0)),"")))</f>
        <v/>
      </c>
      <c r="R725" s="79">
        <f>IF(O725="","",IF(O725="OVERDUE",2,IF(O725="Paid",0,IF(AND(I725&lt;&gt;"",I725&lt;=AsOf+AlertDays),1,0))))</f>
        <v/>
      </c>
      <c r="S725" s="79">
        <f>IF(AND(B725&lt;&gt;"",M725="",I725&lt;&gt;""),IF(L725&lt;&gt;"",L725,IF(H725="",0,H725)),0)</f>
        <v/>
      </c>
      <c r="T725" s="79">
        <f>IF(AND(B725&lt;&gt;"",M725="",I725&lt;&gt;""),1/I725,0)</f>
        <v/>
      </c>
      <c r="U725" s="112">
        <f>IF(AND(B725&lt;&gt;"",M725="",I725&lt;&gt;""),I725,"")</f>
        <v/>
      </c>
      <c r="V725" s="79">
        <f>IF(U725="","",IF(U725&lt;AsOf,1,IF(U725&lt;=AsOf+AlertDays,2,IF(U725&lt;=AsOf+2*AlertDays,3,""))))</f>
        <v/>
      </c>
      <c r="W725" s="79">
        <f>IF(V725="","",IF(O725="OVERDUE","Overdue payment: ","Payment due: ")&amp;B725&amp;" — "&amp;C725&amp;" ("&amp;CurSym&amp;" "&amp;FIXED(S725,0)&amp;")")</f>
        <v/>
      </c>
      <c r="Z725" s="116">
        <f>IF('Contractors'!B725="","",'Contractors'!B725)</f>
        <v/>
      </c>
      <c r="AA725" s="77">
        <f>IF(Z725="","",'Contractors'!K725)</f>
        <v/>
      </c>
      <c r="AB725" s="77">
        <f>IF(Z725="","",SUMIFS($L$6:$L$1005,$B$6:$B$1005,Z725))</f>
        <v/>
      </c>
      <c r="AC725" s="77">
        <f>IF(Z725="","",SUMIFS($N$6:$N$1005,$B$6:$B$1005,Z725))</f>
        <v/>
      </c>
      <c r="AD725" s="76">
        <f>IF(Z725="","",AA725-AC725)</f>
        <v/>
      </c>
      <c r="AE725" s="117">
        <f>IF(Z725="","",IFERROR(1/SUMPRODUCT(MAX(($B$6:$B$1005=Z725)*$T$6:$T$1005)),""))</f>
        <v/>
      </c>
      <c r="AF725" s="77">
        <f>IF(AE725="","",SUMIFS($S$6:$S$1005,$B$6:$B$1005,Z725,$I$6:$I$1005,AE725))</f>
        <v/>
      </c>
    </row>
    <row r="726" ht="20" customHeight="1">
      <c r="B726" s="72" t="n"/>
      <c r="C726" s="72" t="n"/>
      <c r="D726" s="72" t="n"/>
      <c r="E726" s="72" t="n"/>
      <c r="F726" s="110" t="n"/>
      <c r="G726" s="73" t="n"/>
      <c r="H726" s="75">
        <f>IF(B726="","",IF(G726&lt;&gt;"",G726,IF(F726&lt;&gt;"",F726*IFERROR(INDEX('Contractors'!$I$6:$I$1005,MATCH(B726,'Contractors'!$B$6:$B$1005,0)),0),"")))</f>
        <v/>
      </c>
      <c r="I726" s="109" t="n"/>
      <c r="J726" s="72" t="n"/>
      <c r="K726" s="109" t="n"/>
      <c r="L726" s="73" t="n"/>
      <c r="M726" s="109" t="n"/>
      <c r="N726" s="73" t="n"/>
      <c r="O726" s="107">
        <f>IF(B726="","",IF(M726&lt;&gt;"","Paid",IF(AND(I726&lt;&gt;"",I726&lt;AsOf),"OVERDUE",IF(OR(K726&lt;&gt;"",L726&lt;&gt;""),"Invoiced","Scheduled"))))</f>
        <v/>
      </c>
      <c r="P726" s="115">
        <f>IF(B726="","",IF(E726&lt;&gt;"",E726,IFERROR(INDEX('Contractors'!$D$6:$D$1005,MATCH(B726,'Contractors'!$B$6:$B$1005,0)),"")))</f>
        <v/>
      </c>
      <c r="Q726" s="79">
        <f>IF(B726="","",IF(D726&lt;&gt;"",D726,IFERROR(INDEX('Contractors'!$E$6:$E$1005,MATCH(B726,'Contractors'!$B$6:$B$1005,0)),"")))</f>
        <v/>
      </c>
      <c r="R726" s="79">
        <f>IF(O726="","",IF(O726="OVERDUE",2,IF(O726="Paid",0,IF(AND(I726&lt;&gt;"",I726&lt;=AsOf+AlertDays),1,0))))</f>
        <v/>
      </c>
      <c r="S726" s="79">
        <f>IF(AND(B726&lt;&gt;"",M726="",I726&lt;&gt;""),IF(L726&lt;&gt;"",L726,IF(H726="",0,H726)),0)</f>
        <v/>
      </c>
      <c r="T726" s="79">
        <f>IF(AND(B726&lt;&gt;"",M726="",I726&lt;&gt;""),1/I726,0)</f>
        <v/>
      </c>
      <c r="U726" s="112">
        <f>IF(AND(B726&lt;&gt;"",M726="",I726&lt;&gt;""),I726,"")</f>
        <v/>
      </c>
      <c r="V726" s="79">
        <f>IF(U726="","",IF(U726&lt;AsOf,1,IF(U726&lt;=AsOf+AlertDays,2,IF(U726&lt;=AsOf+2*AlertDays,3,""))))</f>
        <v/>
      </c>
      <c r="W726" s="79">
        <f>IF(V726="","",IF(O726="OVERDUE","Overdue payment: ","Payment due: ")&amp;B726&amp;" — "&amp;C726&amp;" ("&amp;CurSym&amp;" "&amp;FIXED(S726,0)&amp;")")</f>
        <v/>
      </c>
      <c r="Z726" s="116">
        <f>IF('Contractors'!B726="","",'Contractors'!B726)</f>
        <v/>
      </c>
      <c r="AA726" s="77">
        <f>IF(Z726="","",'Contractors'!K726)</f>
        <v/>
      </c>
      <c r="AB726" s="77">
        <f>IF(Z726="","",SUMIFS($L$6:$L$1005,$B$6:$B$1005,Z726))</f>
        <v/>
      </c>
      <c r="AC726" s="77">
        <f>IF(Z726="","",SUMIFS($N$6:$N$1005,$B$6:$B$1005,Z726))</f>
        <v/>
      </c>
      <c r="AD726" s="76">
        <f>IF(Z726="","",AA726-AC726)</f>
        <v/>
      </c>
      <c r="AE726" s="117">
        <f>IF(Z726="","",IFERROR(1/SUMPRODUCT(MAX(($B$6:$B$1005=Z726)*$T$6:$T$1005)),""))</f>
        <v/>
      </c>
      <c r="AF726" s="77">
        <f>IF(AE726="","",SUMIFS($S$6:$S$1005,$B$6:$B$1005,Z726,$I$6:$I$1005,AE726))</f>
        <v/>
      </c>
    </row>
    <row r="727" ht="20" customHeight="1">
      <c r="B727" s="72" t="n"/>
      <c r="C727" s="72" t="n"/>
      <c r="D727" s="72" t="n"/>
      <c r="E727" s="72" t="n"/>
      <c r="F727" s="110" t="n"/>
      <c r="G727" s="73" t="n"/>
      <c r="H727" s="75">
        <f>IF(B727="","",IF(G727&lt;&gt;"",G727,IF(F727&lt;&gt;"",F727*IFERROR(INDEX('Contractors'!$I$6:$I$1005,MATCH(B727,'Contractors'!$B$6:$B$1005,0)),0),"")))</f>
        <v/>
      </c>
      <c r="I727" s="109" t="n"/>
      <c r="J727" s="72" t="n"/>
      <c r="K727" s="109" t="n"/>
      <c r="L727" s="73" t="n"/>
      <c r="M727" s="109" t="n"/>
      <c r="N727" s="73" t="n"/>
      <c r="O727" s="107">
        <f>IF(B727="","",IF(M727&lt;&gt;"","Paid",IF(AND(I727&lt;&gt;"",I727&lt;AsOf),"OVERDUE",IF(OR(K727&lt;&gt;"",L727&lt;&gt;""),"Invoiced","Scheduled"))))</f>
        <v/>
      </c>
      <c r="P727" s="115">
        <f>IF(B727="","",IF(E727&lt;&gt;"",E727,IFERROR(INDEX('Contractors'!$D$6:$D$1005,MATCH(B727,'Contractors'!$B$6:$B$1005,0)),"")))</f>
        <v/>
      </c>
      <c r="Q727" s="79">
        <f>IF(B727="","",IF(D727&lt;&gt;"",D727,IFERROR(INDEX('Contractors'!$E$6:$E$1005,MATCH(B727,'Contractors'!$B$6:$B$1005,0)),"")))</f>
        <v/>
      </c>
      <c r="R727" s="79">
        <f>IF(O727="","",IF(O727="OVERDUE",2,IF(O727="Paid",0,IF(AND(I727&lt;&gt;"",I727&lt;=AsOf+AlertDays),1,0))))</f>
        <v/>
      </c>
      <c r="S727" s="79">
        <f>IF(AND(B727&lt;&gt;"",M727="",I727&lt;&gt;""),IF(L727&lt;&gt;"",L727,IF(H727="",0,H727)),0)</f>
        <v/>
      </c>
      <c r="T727" s="79">
        <f>IF(AND(B727&lt;&gt;"",M727="",I727&lt;&gt;""),1/I727,0)</f>
        <v/>
      </c>
      <c r="U727" s="112">
        <f>IF(AND(B727&lt;&gt;"",M727="",I727&lt;&gt;""),I727,"")</f>
        <v/>
      </c>
      <c r="V727" s="79">
        <f>IF(U727="","",IF(U727&lt;AsOf,1,IF(U727&lt;=AsOf+AlertDays,2,IF(U727&lt;=AsOf+2*AlertDays,3,""))))</f>
        <v/>
      </c>
      <c r="W727" s="79">
        <f>IF(V727="","",IF(O727="OVERDUE","Overdue payment: ","Payment due: ")&amp;B727&amp;" — "&amp;C727&amp;" ("&amp;CurSym&amp;" "&amp;FIXED(S727,0)&amp;")")</f>
        <v/>
      </c>
      <c r="Z727" s="116">
        <f>IF('Contractors'!B727="","",'Contractors'!B727)</f>
        <v/>
      </c>
      <c r="AA727" s="77">
        <f>IF(Z727="","",'Contractors'!K727)</f>
        <v/>
      </c>
      <c r="AB727" s="77">
        <f>IF(Z727="","",SUMIFS($L$6:$L$1005,$B$6:$B$1005,Z727))</f>
        <v/>
      </c>
      <c r="AC727" s="77">
        <f>IF(Z727="","",SUMIFS($N$6:$N$1005,$B$6:$B$1005,Z727))</f>
        <v/>
      </c>
      <c r="AD727" s="76">
        <f>IF(Z727="","",AA727-AC727)</f>
        <v/>
      </c>
      <c r="AE727" s="117">
        <f>IF(Z727="","",IFERROR(1/SUMPRODUCT(MAX(($B$6:$B$1005=Z727)*$T$6:$T$1005)),""))</f>
        <v/>
      </c>
      <c r="AF727" s="77">
        <f>IF(AE727="","",SUMIFS($S$6:$S$1005,$B$6:$B$1005,Z727,$I$6:$I$1005,AE727))</f>
        <v/>
      </c>
    </row>
    <row r="728" ht="20" customHeight="1">
      <c r="B728" s="72" t="n"/>
      <c r="C728" s="72" t="n"/>
      <c r="D728" s="72" t="n"/>
      <c r="E728" s="72" t="n"/>
      <c r="F728" s="110" t="n"/>
      <c r="G728" s="73" t="n"/>
      <c r="H728" s="75">
        <f>IF(B728="","",IF(G728&lt;&gt;"",G728,IF(F728&lt;&gt;"",F728*IFERROR(INDEX('Contractors'!$I$6:$I$1005,MATCH(B728,'Contractors'!$B$6:$B$1005,0)),0),"")))</f>
        <v/>
      </c>
      <c r="I728" s="109" t="n"/>
      <c r="J728" s="72" t="n"/>
      <c r="K728" s="109" t="n"/>
      <c r="L728" s="73" t="n"/>
      <c r="M728" s="109" t="n"/>
      <c r="N728" s="73" t="n"/>
      <c r="O728" s="107">
        <f>IF(B728="","",IF(M728&lt;&gt;"","Paid",IF(AND(I728&lt;&gt;"",I728&lt;AsOf),"OVERDUE",IF(OR(K728&lt;&gt;"",L728&lt;&gt;""),"Invoiced","Scheduled"))))</f>
        <v/>
      </c>
      <c r="P728" s="115">
        <f>IF(B728="","",IF(E728&lt;&gt;"",E728,IFERROR(INDEX('Contractors'!$D$6:$D$1005,MATCH(B728,'Contractors'!$B$6:$B$1005,0)),"")))</f>
        <v/>
      </c>
      <c r="Q728" s="79">
        <f>IF(B728="","",IF(D728&lt;&gt;"",D728,IFERROR(INDEX('Contractors'!$E$6:$E$1005,MATCH(B728,'Contractors'!$B$6:$B$1005,0)),"")))</f>
        <v/>
      </c>
      <c r="R728" s="79">
        <f>IF(O728="","",IF(O728="OVERDUE",2,IF(O728="Paid",0,IF(AND(I728&lt;&gt;"",I728&lt;=AsOf+AlertDays),1,0))))</f>
        <v/>
      </c>
      <c r="S728" s="79">
        <f>IF(AND(B728&lt;&gt;"",M728="",I728&lt;&gt;""),IF(L728&lt;&gt;"",L728,IF(H728="",0,H728)),0)</f>
        <v/>
      </c>
      <c r="T728" s="79">
        <f>IF(AND(B728&lt;&gt;"",M728="",I728&lt;&gt;""),1/I728,0)</f>
        <v/>
      </c>
      <c r="U728" s="112">
        <f>IF(AND(B728&lt;&gt;"",M728="",I728&lt;&gt;""),I728,"")</f>
        <v/>
      </c>
      <c r="V728" s="79">
        <f>IF(U728="","",IF(U728&lt;AsOf,1,IF(U728&lt;=AsOf+AlertDays,2,IF(U728&lt;=AsOf+2*AlertDays,3,""))))</f>
        <v/>
      </c>
      <c r="W728" s="79">
        <f>IF(V728="","",IF(O728="OVERDUE","Overdue payment: ","Payment due: ")&amp;B728&amp;" — "&amp;C728&amp;" ("&amp;CurSym&amp;" "&amp;FIXED(S728,0)&amp;")")</f>
        <v/>
      </c>
      <c r="Z728" s="116">
        <f>IF('Contractors'!B728="","",'Contractors'!B728)</f>
        <v/>
      </c>
      <c r="AA728" s="77">
        <f>IF(Z728="","",'Contractors'!K728)</f>
        <v/>
      </c>
      <c r="AB728" s="77">
        <f>IF(Z728="","",SUMIFS($L$6:$L$1005,$B$6:$B$1005,Z728))</f>
        <v/>
      </c>
      <c r="AC728" s="77">
        <f>IF(Z728="","",SUMIFS($N$6:$N$1005,$B$6:$B$1005,Z728))</f>
        <v/>
      </c>
      <c r="AD728" s="76">
        <f>IF(Z728="","",AA728-AC728)</f>
        <v/>
      </c>
      <c r="AE728" s="117">
        <f>IF(Z728="","",IFERROR(1/SUMPRODUCT(MAX(($B$6:$B$1005=Z728)*$T$6:$T$1005)),""))</f>
        <v/>
      </c>
      <c r="AF728" s="77">
        <f>IF(AE728="","",SUMIFS($S$6:$S$1005,$B$6:$B$1005,Z728,$I$6:$I$1005,AE728))</f>
        <v/>
      </c>
    </row>
    <row r="729" ht="20" customHeight="1">
      <c r="B729" s="72" t="n"/>
      <c r="C729" s="72" t="n"/>
      <c r="D729" s="72" t="n"/>
      <c r="E729" s="72" t="n"/>
      <c r="F729" s="110" t="n"/>
      <c r="G729" s="73" t="n"/>
      <c r="H729" s="75">
        <f>IF(B729="","",IF(G729&lt;&gt;"",G729,IF(F729&lt;&gt;"",F729*IFERROR(INDEX('Contractors'!$I$6:$I$1005,MATCH(B729,'Contractors'!$B$6:$B$1005,0)),0),"")))</f>
        <v/>
      </c>
      <c r="I729" s="109" t="n"/>
      <c r="J729" s="72" t="n"/>
      <c r="K729" s="109" t="n"/>
      <c r="L729" s="73" t="n"/>
      <c r="M729" s="109" t="n"/>
      <c r="N729" s="73" t="n"/>
      <c r="O729" s="107">
        <f>IF(B729="","",IF(M729&lt;&gt;"","Paid",IF(AND(I729&lt;&gt;"",I729&lt;AsOf),"OVERDUE",IF(OR(K729&lt;&gt;"",L729&lt;&gt;""),"Invoiced","Scheduled"))))</f>
        <v/>
      </c>
      <c r="P729" s="115">
        <f>IF(B729="","",IF(E729&lt;&gt;"",E729,IFERROR(INDEX('Contractors'!$D$6:$D$1005,MATCH(B729,'Contractors'!$B$6:$B$1005,0)),"")))</f>
        <v/>
      </c>
      <c r="Q729" s="79">
        <f>IF(B729="","",IF(D729&lt;&gt;"",D729,IFERROR(INDEX('Contractors'!$E$6:$E$1005,MATCH(B729,'Contractors'!$B$6:$B$1005,0)),"")))</f>
        <v/>
      </c>
      <c r="R729" s="79">
        <f>IF(O729="","",IF(O729="OVERDUE",2,IF(O729="Paid",0,IF(AND(I729&lt;&gt;"",I729&lt;=AsOf+AlertDays),1,0))))</f>
        <v/>
      </c>
      <c r="S729" s="79">
        <f>IF(AND(B729&lt;&gt;"",M729="",I729&lt;&gt;""),IF(L729&lt;&gt;"",L729,IF(H729="",0,H729)),0)</f>
        <v/>
      </c>
      <c r="T729" s="79">
        <f>IF(AND(B729&lt;&gt;"",M729="",I729&lt;&gt;""),1/I729,0)</f>
        <v/>
      </c>
      <c r="U729" s="112">
        <f>IF(AND(B729&lt;&gt;"",M729="",I729&lt;&gt;""),I729,"")</f>
        <v/>
      </c>
      <c r="V729" s="79">
        <f>IF(U729="","",IF(U729&lt;AsOf,1,IF(U729&lt;=AsOf+AlertDays,2,IF(U729&lt;=AsOf+2*AlertDays,3,""))))</f>
        <v/>
      </c>
      <c r="W729" s="79">
        <f>IF(V729="","",IF(O729="OVERDUE","Overdue payment: ","Payment due: ")&amp;B729&amp;" — "&amp;C729&amp;" ("&amp;CurSym&amp;" "&amp;FIXED(S729,0)&amp;")")</f>
        <v/>
      </c>
      <c r="Z729" s="116">
        <f>IF('Contractors'!B729="","",'Contractors'!B729)</f>
        <v/>
      </c>
      <c r="AA729" s="77">
        <f>IF(Z729="","",'Contractors'!K729)</f>
        <v/>
      </c>
      <c r="AB729" s="77">
        <f>IF(Z729="","",SUMIFS($L$6:$L$1005,$B$6:$B$1005,Z729))</f>
        <v/>
      </c>
      <c r="AC729" s="77">
        <f>IF(Z729="","",SUMIFS($N$6:$N$1005,$B$6:$B$1005,Z729))</f>
        <v/>
      </c>
      <c r="AD729" s="76">
        <f>IF(Z729="","",AA729-AC729)</f>
        <v/>
      </c>
      <c r="AE729" s="117">
        <f>IF(Z729="","",IFERROR(1/SUMPRODUCT(MAX(($B$6:$B$1005=Z729)*$T$6:$T$1005)),""))</f>
        <v/>
      </c>
      <c r="AF729" s="77">
        <f>IF(AE729="","",SUMIFS($S$6:$S$1005,$B$6:$B$1005,Z729,$I$6:$I$1005,AE729))</f>
        <v/>
      </c>
    </row>
    <row r="730" ht="20" customHeight="1">
      <c r="B730" s="72" t="n"/>
      <c r="C730" s="72" t="n"/>
      <c r="D730" s="72" t="n"/>
      <c r="E730" s="72" t="n"/>
      <c r="F730" s="110" t="n"/>
      <c r="G730" s="73" t="n"/>
      <c r="H730" s="75">
        <f>IF(B730="","",IF(G730&lt;&gt;"",G730,IF(F730&lt;&gt;"",F730*IFERROR(INDEX('Contractors'!$I$6:$I$1005,MATCH(B730,'Contractors'!$B$6:$B$1005,0)),0),"")))</f>
        <v/>
      </c>
      <c r="I730" s="109" t="n"/>
      <c r="J730" s="72" t="n"/>
      <c r="K730" s="109" t="n"/>
      <c r="L730" s="73" t="n"/>
      <c r="M730" s="109" t="n"/>
      <c r="N730" s="73" t="n"/>
      <c r="O730" s="107">
        <f>IF(B730="","",IF(M730&lt;&gt;"","Paid",IF(AND(I730&lt;&gt;"",I730&lt;AsOf),"OVERDUE",IF(OR(K730&lt;&gt;"",L730&lt;&gt;""),"Invoiced","Scheduled"))))</f>
        <v/>
      </c>
      <c r="P730" s="115">
        <f>IF(B730="","",IF(E730&lt;&gt;"",E730,IFERROR(INDEX('Contractors'!$D$6:$D$1005,MATCH(B730,'Contractors'!$B$6:$B$1005,0)),"")))</f>
        <v/>
      </c>
      <c r="Q730" s="79">
        <f>IF(B730="","",IF(D730&lt;&gt;"",D730,IFERROR(INDEX('Contractors'!$E$6:$E$1005,MATCH(B730,'Contractors'!$B$6:$B$1005,0)),"")))</f>
        <v/>
      </c>
      <c r="R730" s="79">
        <f>IF(O730="","",IF(O730="OVERDUE",2,IF(O730="Paid",0,IF(AND(I730&lt;&gt;"",I730&lt;=AsOf+AlertDays),1,0))))</f>
        <v/>
      </c>
      <c r="S730" s="79">
        <f>IF(AND(B730&lt;&gt;"",M730="",I730&lt;&gt;""),IF(L730&lt;&gt;"",L730,IF(H730="",0,H730)),0)</f>
        <v/>
      </c>
      <c r="T730" s="79">
        <f>IF(AND(B730&lt;&gt;"",M730="",I730&lt;&gt;""),1/I730,0)</f>
        <v/>
      </c>
      <c r="U730" s="112">
        <f>IF(AND(B730&lt;&gt;"",M730="",I730&lt;&gt;""),I730,"")</f>
        <v/>
      </c>
      <c r="V730" s="79">
        <f>IF(U730="","",IF(U730&lt;AsOf,1,IF(U730&lt;=AsOf+AlertDays,2,IF(U730&lt;=AsOf+2*AlertDays,3,""))))</f>
        <v/>
      </c>
      <c r="W730" s="79">
        <f>IF(V730="","",IF(O730="OVERDUE","Overdue payment: ","Payment due: ")&amp;B730&amp;" — "&amp;C730&amp;" ("&amp;CurSym&amp;" "&amp;FIXED(S730,0)&amp;")")</f>
        <v/>
      </c>
      <c r="Z730" s="116">
        <f>IF('Contractors'!B730="","",'Contractors'!B730)</f>
        <v/>
      </c>
      <c r="AA730" s="77">
        <f>IF(Z730="","",'Contractors'!K730)</f>
        <v/>
      </c>
      <c r="AB730" s="77">
        <f>IF(Z730="","",SUMIFS($L$6:$L$1005,$B$6:$B$1005,Z730))</f>
        <v/>
      </c>
      <c r="AC730" s="77">
        <f>IF(Z730="","",SUMIFS($N$6:$N$1005,$B$6:$B$1005,Z730))</f>
        <v/>
      </c>
      <c r="AD730" s="76">
        <f>IF(Z730="","",AA730-AC730)</f>
        <v/>
      </c>
      <c r="AE730" s="117">
        <f>IF(Z730="","",IFERROR(1/SUMPRODUCT(MAX(($B$6:$B$1005=Z730)*$T$6:$T$1005)),""))</f>
        <v/>
      </c>
      <c r="AF730" s="77">
        <f>IF(AE730="","",SUMIFS($S$6:$S$1005,$B$6:$B$1005,Z730,$I$6:$I$1005,AE730))</f>
        <v/>
      </c>
    </row>
    <row r="731" ht="20" customHeight="1">
      <c r="B731" s="72" t="n"/>
      <c r="C731" s="72" t="n"/>
      <c r="D731" s="72" t="n"/>
      <c r="E731" s="72" t="n"/>
      <c r="F731" s="110" t="n"/>
      <c r="G731" s="73" t="n"/>
      <c r="H731" s="75">
        <f>IF(B731="","",IF(G731&lt;&gt;"",G731,IF(F731&lt;&gt;"",F731*IFERROR(INDEX('Contractors'!$I$6:$I$1005,MATCH(B731,'Contractors'!$B$6:$B$1005,0)),0),"")))</f>
        <v/>
      </c>
      <c r="I731" s="109" t="n"/>
      <c r="J731" s="72" t="n"/>
      <c r="K731" s="109" t="n"/>
      <c r="L731" s="73" t="n"/>
      <c r="M731" s="109" t="n"/>
      <c r="N731" s="73" t="n"/>
      <c r="O731" s="107">
        <f>IF(B731="","",IF(M731&lt;&gt;"","Paid",IF(AND(I731&lt;&gt;"",I731&lt;AsOf),"OVERDUE",IF(OR(K731&lt;&gt;"",L731&lt;&gt;""),"Invoiced","Scheduled"))))</f>
        <v/>
      </c>
      <c r="P731" s="115">
        <f>IF(B731="","",IF(E731&lt;&gt;"",E731,IFERROR(INDEX('Contractors'!$D$6:$D$1005,MATCH(B731,'Contractors'!$B$6:$B$1005,0)),"")))</f>
        <v/>
      </c>
      <c r="Q731" s="79">
        <f>IF(B731="","",IF(D731&lt;&gt;"",D731,IFERROR(INDEX('Contractors'!$E$6:$E$1005,MATCH(B731,'Contractors'!$B$6:$B$1005,0)),"")))</f>
        <v/>
      </c>
      <c r="R731" s="79">
        <f>IF(O731="","",IF(O731="OVERDUE",2,IF(O731="Paid",0,IF(AND(I731&lt;&gt;"",I731&lt;=AsOf+AlertDays),1,0))))</f>
        <v/>
      </c>
      <c r="S731" s="79">
        <f>IF(AND(B731&lt;&gt;"",M731="",I731&lt;&gt;""),IF(L731&lt;&gt;"",L731,IF(H731="",0,H731)),0)</f>
        <v/>
      </c>
      <c r="T731" s="79">
        <f>IF(AND(B731&lt;&gt;"",M731="",I731&lt;&gt;""),1/I731,0)</f>
        <v/>
      </c>
      <c r="U731" s="112">
        <f>IF(AND(B731&lt;&gt;"",M731="",I731&lt;&gt;""),I731,"")</f>
        <v/>
      </c>
      <c r="V731" s="79">
        <f>IF(U731="","",IF(U731&lt;AsOf,1,IF(U731&lt;=AsOf+AlertDays,2,IF(U731&lt;=AsOf+2*AlertDays,3,""))))</f>
        <v/>
      </c>
      <c r="W731" s="79">
        <f>IF(V731="","",IF(O731="OVERDUE","Overdue payment: ","Payment due: ")&amp;B731&amp;" — "&amp;C731&amp;" ("&amp;CurSym&amp;" "&amp;FIXED(S731,0)&amp;")")</f>
        <v/>
      </c>
      <c r="Z731" s="116">
        <f>IF('Contractors'!B731="","",'Contractors'!B731)</f>
        <v/>
      </c>
      <c r="AA731" s="77">
        <f>IF(Z731="","",'Contractors'!K731)</f>
        <v/>
      </c>
      <c r="AB731" s="77">
        <f>IF(Z731="","",SUMIFS($L$6:$L$1005,$B$6:$B$1005,Z731))</f>
        <v/>
      </c>
      <c r="AC731" s="77">
        <f>IF(Z731="","",SUMIFS($N$6:$N$1005,$B$6:$B$1005,Z731))</f>
        <v/>
      </c>
      <c r="AD731" s="76">
        <f>IF(Z731="","",AA731-AC731)</f>
        <v/>
      </c>
      <c r="AE731" s="117">
        <f>IF(Z731="","",IFERROR(1/SUMPRODUCT(MAX(($B$6:$B$1005=Z731)*$T$6:$T$1005)),""))</f>
        <v/>
      </c>
      <c r="AF731" s="77">
        <f>IF(AE731="","",SUMIFS($S$6:$S$1005,$B$6:$B$1005,Z731,$I$6:$I$1005,AE731))</f>
        <v/>
      </c>
    </row>
    <row r="732" ht="20" customHeight="1">
      <c r="B732" s="72" t="n"/>
      <c r="C732" s="72" t="n"/>
      <c r="D732" s="72" t="n"/>
      <c r="E732" s="72" t="n"/>
      <c r="F732" s="110" t="n"/>
      <c r="G732" s="73" t="n"/>
      <c r="H732" s="75">
        <f>IF(B732="","",IF(G732&lt;&gt;"",G732,IF(F732&lt;&gt;"",F732*IFERROR(INDEX('Contractors'!$I$6:$I$1005,MATCH(B732,'Contractors'!$B$6:$B$1005,0)),0),"")))</f>
        <v/>
      </c>
      <c r="I732" s="109" t="n"/>
      <c r="J732" s="72" t="n"/>
      <c r="K732" s="109" t="n"/>
      <c r="L732" s="73" t="n"/>
      <c r="M732" s="109" t="n"/>
      <c r="N732" s="73" t="n"/>
      <c r="O732" s="107">
        <f>IF(B732="","",IF(M732&lt;&gt;"","Paid",IF(AND(I732&lt;&gt;"",I732&lt;AsOf),"OVERDUE",IF(OR(K732&lt;&gt;"",L732&lt;&gt;""),"Invoiced","Scheduled"))))</f>
        <v/>
      </c>
      <c r="P732" s="115">
        <f>IF(B732="","",IF(E732&lt;&gt;"",E732,IFERROR(INDEX('Contractors'!$D$6:$D$1005,MATCH(B732,'Contractors'!$B$6:$B$1005,0)),"")))</f>
        <v/>
      </c>
      <c r="Q732" s="79">
        <f>IF(B732="","",IF(D732&lt;&gt;"",D732,IFERROR(INDEX('Contractors'!$E$6:$E$1005,MATCH(B732,'Contractors'!$B$6:$B$1005,0)),"")))</f>
        <v/>
      </c>
      <c r="R732" s="79">
        <f>IF(O732="","",IF(O732="OVERDUE",2,IF(O732="Paid",0,IF(AND(I732&lt;&gt;"",I732&lt;=AsOf+AlertDays),1,0))))</f>
        <v/>
      </c>
      <c r="S732" s="79">
        <f>IF(AND(B732&lt;&gt;"",M732="",I732&lt;&gt;""),IF(L732&lt;&gt;"",L732,IF(H732="",0,H732)),0)</f>
        <v/>
      </c>
      <c r="T732" s="79">
        <f>IF(AND(B732&lt;&gt;"",M732="",I732&lt;&gt;""),1/I732,0)</f>
        <v/>
      </c>
      <c r="U732" s="112">
        <f>IF(AND(B732&lt;&gt;"",M732="",I732&lt;&gt;""),I732,"")</f>
        <v/>
      </c>
      <c r="V732" s="79">
        <f>IF(U732="","",IF(U732&lt;AsOf,1,IF(U732&lt;=AsOf+AlertDays,2,IF(U732&lt;=AsOf+2*AlertDays,3,""))))</f>
        <v/>
      </c>
      <c r="W732" s="79">
        <f>IF(V732="","",IF(O732="OVERDUE","Overdue payment: ","Payment due: ")&amp;B732&amp;" — "&amp;C732&amp;" ("&amp;CurSym&amp;" "&amp;FIXED(S732,0)&amp;")")</f>
        <v/>
      </c>
      <c r="Z732" s="116">
        <f>IF('Contractors'!B732="","",'Contractors'!B732)</f>
        <v/>
      </c>
      <c r="AA732" s="77">
        <f>IF(Z732="","",'Contractors'!K732)</f>
        <v/>
      </c>
      <c r="AB732" s="77">
        <f>IF(Z732="","",SUMIFS($L$6:$L$1005,$B$6:$B$1005,Z732))</f>
        <v/>
      </c>
      <c r="AC732" s="77">
        <f>IF(Z732="","",SUMIFS($N$6:$N$1005,$B$6:$B$1005,Z732))</f>
        <v/>
      </c>
      <c r="AD732" s="76">
        <f>IF(Z732="","",AA732-AC732)</f>
        <v/>
      </c>
      <c r="AE732" s="117">
        <f>IF(Z732="","",IFERROR(1/SUMPRODUCT(MAX(($B$6:$B$1005=Z732)*$T$6:$T$1005)),""))</f>
        <v/>
      </c>
      <c r="AF732" s="77">
        <f>IF(AE732="","",SUMIFS($S$6:$S$1005,$B$6:$B$1005,Z732,$I$6:$I$1005,AE732))</f>
        <v/>
      </c>
    </row>
    <row r="733" ht="20" customHeight="1">
      <c r="B733" s="72" t="n"/>
      <c r="C733" s="72" t="n"/>
      <c r="D733" s="72" t="n"/>
      <c r="E733" s="72" t="n"/>
      <c r="F733" s="110" t="n"/>
      <c r="G733" s="73" t="n"/>
      <c r="H733" s="75">
        <f>IF(B733="","",IF(G733&lt;&gt;"",G733,IF(F733&lt;&gt;"",F733*IFERROR(INDEX('Contractors'!$I$6:$I$1005,MATCH(B733,'Contractors'!$B$6:$B$1005,0)),0),"")))</f>
        <v/>
      </c>
      <c r="I733" s="109" t="n"/>
      <c r="J733" s="72" t="n"/>
      <c r="K733" s="109" t="n"/>
      <c r="L733" s="73" t="n"/>
      <c r="M733" s="109" t="n"/>
      <c r="N733" s="73" t="n"/>
      <c r="O733" s="107">
        <f>IF(B733="","",IF(M733&lt;&gt;"","Paid",IF(AND(I733&lt;&gt;"",I733&lt;AsOf),"OVERDUE",IF(OR(K733&lt;&gt;"",L733&lt;&gt;""),"Invoiced","Scheduled"))))</f>
        <v/>
      </c>
      <c r="P733" s="115">
        <f>IF(B733="","",IF(E733&lt;&gt;"",E733,IFERROR(INDEX('Contractors'!$D$6:$D$1005,MATCH(B733,'Contractors'!$B$6:$B$1005,0)),"")))</f>
        <v/>
      </c>
      <c r="Q733" s="79">
        <f>IF(B733="","",IF(D733&lt;&gt;"",D733,IFERROR(INDEX('Contractors'!$E$6:$E$1005,MATCH(B733,'Contractors'!$B$6:$B$1005,0)),"")))</f>
        <v/>
      </c>
      <c r="R733" s="79">
        <f>IF(O733="","",IF(O733="OVERDUE",2,IF(O733="Paid",0,IF(AND(I733&lt;&gt;"",I733&lt;=AsOf+AlertDays),1,0))))</f>
        <v/>
      </c>
      <c r="S733" s="79">
        <f>IF(AND(B733&lt;&gt;"",M733="",I733&lt;&gt;""),IF(L733&lt;&gt;"",L733,IF(H733="",0,H733)),0)</f>
        <v/>
      </c>
      <c r="T733" s="79">
        <f>IF(AND(B733&lt;&gt;"",M733="",I733&lt;&gt;""),1/I733,0)</f>
        <v/>
      </c>
      <c r="U733" s="112">
        <f>IF(AND(B733&lt;&gt;"",M733="",I733&lt;&gt;""),I733,"")</f>
        <v/>
      </c>
      <c r="V733" s="79">
        <f>IF(U733="","",IF(U733&lt;AsOf,1,IF(U733&lt;=AsOf+AlertDays,2,IF(U733&lt;=AsOf+2*AlertDays,3,""))))</f>
        <v/>
      </c>
      <c r="W733" s="79">
        <f>IF(V733="","",IF(O733="OVERDUE","Overdue payment: ","Payment due: ")&amp;B733&amp;" — "&amp;C733&amp;" ("&amp;CurSym&amp;" "&amp;FIXED(S733,0)&amp;")")</f>
        <v/>
      </c>
      <c r="Z733" s="116">
        <f>IF('Contractors'!B733="","",'Contractors'!B733)</f>
        <v/>
      </c>
      <c r="AA733" s="77">
        <f>IF(Z733="","",'Contractors'!K733)</f>
        <v/>
      </c>
      <c r="AB733" s="77">
        <f>IF(Z733="","",SUMIFS($L$6:$L$1005,$B$6:$B$1005,Z733))</f>
        <v/>
      </c>
      <c r="AC733" s="77">
        <f>IF(Z733="","",SUMIFS($N$6:$N$1005,$B$6:$B$1005,Z733))</f>
        <v/>
      </c>
      <c r="AD733" s="76">
        <f>IF(Z733="","",AA733-AC733)</f>
        <v/>
      </c>
      <c r="AE733" s="117">
        <f>IF(Z733="","",IFERROR(1/SUMPRODUCT(MAX(($B$6:$B$1005=Z733)*$T$6:$T$1005)),""))</f>
        <v/>
      </c>
      <c r="AF733" s="77">
        <f>IF(AE733="","",SUMIFS($S$6:$S$1005,$B$6:$B$1005,Z733,$I$6:$I$1005,AE733))</f>
        <v/>
      </c>
    </row>
    <row r="734" ht="20" customHeight="1">
      <c r="B734" s="72" t="n"/>
      <c r="C734" s="72" t="n"/>
      <c r="D734" s="72" t="n"/>
      <c r="E734" s="72" t="n"/>
      <c r="F734" s="110" t="n"/>
      <c r="G734" s="73" t="n"/>
      <c r="H734" s="75">
        <f>IF(B734="","",IF(G734&lt;&gt;"",G734,IF(F734&lt;&gt;"",F734*IFERROR(INDEX('Contractors'!$I$6:$I$1005,MATCH(B734,'Contractors'!$B$6:$B$1005,0)),0),"")))</f>
        <v/>
      </c>
      <c r="I734" s="109" t="n"/>
      <c r="J734" s="72" t="n"/>
      <c r="K734" s="109" t="n"/>
      <c r="L734" s="73" t="n"/>
      <c r="M734" s="109" t="n"/>
      <c r="N734" s="73" t="n"/>
      <c r="O734" s="107">
        <f>IF(B734="","",IF(M734&lt;&gt;"","Paid",IF(AND(I734&lt;&gt;"",I734&lt;AsOf),"OVERDUE",IF(OR(K734&lt;&gt;"",L734&lt;&gt;""),"Invoiced","Scheduled"))))</f>
        <v/>
      </c>
      <c r="P734" s="115">
        <f>IF(B734="","",IF(E734&lt;&gt;"",E734,IFERROR(INDEX('Contractors'!$D$6:$D$1005,MATCH(B734,'Contractors'!$B$6:$B$1005,0)),"")))</f>
        <v/>
      </c>
      <c r="Q734" s="79">
        <f>IF(B734="","",IF(D734&lt;&gt;"",D734,IFERROR(INDEX('Contractors'!$E$6:$E$1005,MATCH(B734,'Contractors'!$B$6:$B$1005,0)),"")))</f>
        <v/>
      </c>
      <c r="R734" s="79">
        <f>IF(O734="","",IF(O734="OVERDUE",2,IF(O734="Paid",0,IF(AND(I734&lt;&gt;"",I734&lt;=AsOf+AlertDays),1,0))))</f>
        <v/>
      </c>
      <c r="S734" s="79">
        <f>IF(AND(B734&lt;&gt;"",M734="",I734&lt;&gt;""),IF(L734&lt;&gt;"",L734,IF(H734="",0,H734)),0)</f>
        <v/>
      </c>
      <c r="T734" s="79">
        <f>IF(AND(B734&lt;&gt;"",M734="",I734&lt;&gt;""),1/I734,0)</f>
        <v/>
      </c>
      <c r="U734" s="112">
        <f>IF(AND(B734&lt;&gt;"",M734="",I734&lt;&gt;""),I734,"")</f>
        <v/>
      </c>
      <c r="V734" s="79">
        <f>IF(U734="","",IF(U734&lt;AsOf,1,IF(U734&lt;=AsOf+AlertDays,2,IF(U734&lt;=AsOf+2*AlertDays,3,""))))</f>
        <v/>
      </c>
      <c r="W734" s="79">
        <f>IF(V734="","",IF(O734="OVERDUE","Overdue payment: ","Payment due: ")&amp;B734&amp;" — "&amp;C734&amp;" ("&amp;CurSym&amp;" "&amp;FIXED(S734,0)&amp;")")</f>
        <v/>
      </c>
      <c r="Z734" s="116">
        <f>IF('Contractors'!B734="","",'Contractors'!B734)</f>
        <v/>
      </c>
      <c r="AA734" s="77">
        <f>IF(Z734="","",'Contractors'!K734)</f>
        <v/>
      </c>
      <c r="AB734" s="77">
        <f>IF(Z734="","",SUMIFS($L$6:$L$1005,$B$6:$B$1005,Z734))</f>
        <v/>
      </c>
      <c r="AC734" s="77">
        <f>IF(Z734="","",SUMIFS($N$6:$N$1005,$B$6:$B$1005,Z734))</f>
        <v/>
      </c>
      <c r="AD734" s="76">
        <f>IF(Z734="","",AA734-AC734)</f>
        <v/>
      </c>
      <c r="AE734" s="117">
        <f>IF(Z734="","",IFERROR(1/SUMPRODUCT(MAX(($B$6:$B$1005=Z734)*$T$6:$T$1005)),""))</f>
        <v/>
      </c>
      <c r="AF734" s="77">
        <f>IF(AE734="","",SUMIFS($S$6:$S$1005,$B$6:$B$1005,Z734,$I$6:$I$1005,AE734))</f>
        <v/>
      </c>
    </row>
    <row r="735" ht="20" customHeight="1">
      <c r="B735" s="72" t="n"/>
      <c r="C735" s="72" t="n"/>
      <c r="D735" s="72" t="n"/>
      <c r="E735" s="72" t="n"/>
      <c r="F735" s="110" t="n"/>
      <c r="G735" s="73" t="n"/>
      <c r="H735" s="75">
        <f>IF(B735="","",IF(G735&lt;&gt;"",G735,IF(F735&lt;&gt;"",F735*IFERROR(INDEX('Contractors'!$I$6:$I$1005,MATCH(B735,'Contractors'!$B$6:$B$1005,0)),0),"")))</f>
        <v/>
      </c>
      <c r="I735" s="109" t="n"/>
      <c r="J735" s="72" t="n"/>
      <c r="K735" s="109" t="n"/>
      <c r="L735" s="73" t="n"/>
      <c r="M735" s="109" t="n"/>
      <c r="N735" s="73" t="n"/>
      <c r="O735" s="107">
        <f>IF(B735="","",IF(M735&lt;&gt;"","Paid",IF(AND(I735&lt;&gt;"",I735&lt;AsOf),"OVERDUE",IF(OR(K735&lt;&gt;"",L735&lt;&gt;""),"Invoiced","Scheduled"))))</f>
        <v/>
      </c>
      <c r="P735" s="115">
        <f>IF(B735="","",IF(E735&lt;&gt;"",E735,IFERROR(INDEX('Contractors'!$D$6:$D$1005,MATCH(B735,'Contractors'!$B$6:$B$1005,0)),"")))</f>
        <v/>
      </c>
      <c r="Q735" s="79">
        <f>IF(B735="","",IF(D735&lt;&gt;"",D735,IFERROR(INDEX('Contractors'!$E$6:$E$1005,MATCH(B735,'Contractors'!$B$6:$B$1005,0)),"")))</f>
        <v/>
      </c>
      <c r="R735" s="79">
        <f>IF(O735="","",IF(O735="OVERDUE",2,IF(O735="Paid",0,IF(AND(I735&lt;&gt;"",I735&lt;=AsOf+AlertDays),1,0))))</f>
        <v/>
      </c>
      <c r="S735" s="79">
        <f>IF(AND(B735&lt;&gt;"",M735="",I735&lt;&gt;""),IF(L735&lt;&gt;"",L735,IF(H735="",0,H735)),0)</f>
        <v/>
      </c>
      <c r="T735" s="79">
        <f>IF(AND(B735&lt;&gt;"",M735="",I735&lt;&gt;""),1/I735,0)</f>
        <v/>
      </c>
      <c r="U735" s="112">
        <f>IF(AND(B735&lt;&gt;"",M735="",I735&lt;&gt;""),I735,"")</f>
        <v/>
      </c>
      <c r="V735" s="79">
        <f>IF(U735="","",IF(U735&lt;AsOf,1,IF(U735&lt;=AsOf+AlertDays,2,IF(U735&lt;=AsOf+2*AlertDays,3,""))))</f>
        <v/>
      </c>
      <c r="W735" s="79">
        <f>IF(V735="","",IF(O735="OVERDUE","Overdue payment: ","Payment due: ")&amp;B735&amp;" — "&amp;C735&amp;" ("&amp;CurSym&amp;" "&amp;FIXED(S735,0)&amp;")")</f>
        <v/>
      </c>
      <c r="Z735" s="116">
        <f>IF('Contractors'!B735="","",'Contractors'!B735)</f>
        <v/>
      </c>
      <c r="AA735" s="77">
        <f>IF(Z735="","",'Contractors'!K735)</f>
        <v/>
      </c>
      <c r="AB735" s="77">
        <f>IF(Z735="","",SUMIFS($L$6:$L$1005,$B$6:$B$1005,Z735))</f>
        <v/>
      </c>
      <c r="AC735" s="77">
        <f>IF(Z735="","",SUMIFS($N$6:$N$1005,$B$6:$B$1005,Z735))</f>
        <v/>
      </c>
      <c r="AD735" s="76">
        <f>IF(Z735="","",AA735-AC735)</f>
        <v/>
      </c>
      <c r="AE735" s="117">
        <f>IF(Z735="","",IFERROR(1/SUMPRODUCT(MAX(($B$6:$B$1005=Z735)*$T$6:$T$1005)),""))</f>
        <v/>
      </c>
      <c r="AF735" s="77">
        <f>IF(AE735="","",SUMIFS($S$6:$S$1005,$B$6:$B$1005,Z735,$I$6:$I$1005,AE735))</f>
        <v/>
      </c>
    </row>
    <row r="736" ht="20" customHeight="1">
      <c r="B736" s="72" t="n"/>
      <c r="C736" s="72" t="n"/>
      <c r="D736" s="72" t="n"/>
      <c r="E736" s="72" t="n"/>
      <c r="F736" s="110" t="n"/>
      <c r="G736" s="73" t="n"/>
      <c r="H736" s="75">
        <f>IF(B736="","",IF(G736&lt;&gt;"",G736,IF(F736&lt;&gt;"",F736*IFERROR(INDEX('Contractors'!$I$6:$I$1005,MATCH(B736,'Contractors'!$B$6:$B$1005,0)),0),"")))</f>
        <v/>
      </c>
      <c r="I736" s="109" t="n"/>
      <c r="J736" s="72" t="n"/>
      <c r="K736" s="109" t="n"/>
      <c r="L736" s="73" t="n"/>
      <c r="M736" s="109" t="n"/>
      <c r="N736" s="73" t="n"/>
      <c r="O736" s="107">
        <f>IF(B736="","",IF(M736&lt;&gt;"","Paid",IF(AND(I736&lt;&gt;"",I736&lt;AsOf),"OVERDUE",IF(OR(K736&lt;&gt;"",L736&lt;&gt;""),"Invoiced","Scheduled"))))</f>
        <v/>
      </c>
      <c r="P736" s="115">
        <f>IF(B736="","",IF(E736&lt;&gt;"",E736,IFERROR(INDEX('Contractors'!$D$6:$D$1005,MATCH(B736,'Contractors'!$B$6:$B$1005,0)),"")))</f>
        <v/>
      </c>
      <c r="Q736" s="79">
        <f>IF(B736="","",IF(D736&lt;&gt;"",D736,IFERROR(INDEX('Contractors'!$E$6:$E$1005,MATCH(B736,'Contractors'!$B$6:$B$1005,0)),"")))</f>
        <v/>
      </c>
      <c r="R736" s="79">
        <f>IF(O736="","",IF(O736="OVERDUE",2,IF(O736="Paid",0,IF(AND(I736&lt;&gt;"",I736&lt;=AsOf+AlertDays),1,0))))</f>
        <v/>
      </c>
      <c r="S736" s="79">
        <f>IF(AND(B736&lt;&gt;"",M736="",I736&lt;&gt;""),IF(L736&lt;&gt;"",L736,IF(H736="",0,H736)),0)</f>
        <v/>
      </c>
      <c r="T736" s="79">
        <f>IF(AND(B736&lt;&gt;"",M736="",I736&lt;&gt;""),1/I736,0)</f>
        <v/>
      </c>
      <c r="U736" s="112">
        <f>IF(AND(B736&lt;&gt;"",M736="",I736&lt;&gt;""),I736,"")</f>
        <v/>
      </c>
      <c r="V736" s="79">
        <f>IF(U736="","",IF(U736&lt;AsOf,1,IF(U736&lt;=AsOf+AlertDays,2,IF(U736&lt;=AsOf+2*AlertDays,3,""))))</f>
        <v/>
      </c>
      <c r="W736" s="79">
        <f>IF(V736="","",IF(O736="OVERDUE","Overdue payment: ","Payment due: ")&amp;B736&amp;" — "&amp;C736&amp;" ("&amp;CurSym&amp;" "&amp;FIXED(S736,0)&amp;")")</f>
        <v/>
      </c>
      <c r="Z736" s="116">
        <f>IF('Contractors'!B736="","",'Contractors'!B736)</f>
        <v/>
      </c>
      <c r="AA736" s="77">
        <f>IF(Z736="","",'Contractors'!K736)</f>
        <v/>
      </c>
      <c r="AB736" s="77">
        <f>IF(Z736="","",SUMIFS($L$6:$L$1005,$B$6:$B$1005,Z736))</f>
        <v/>
      </c>
      <c r="AC736" s="77">
        <f>IF(Z736="","",SUMIFS($N$6:$N$1005,$B$6:$B$1005,Z736))</f>
        <v/>
      </c>
      <c r="AD736" s="76">
        <f>IF(Z736="","",AA736-AC736)</f>
        <v/>
      </c>
      <c r="AE736" s="117">
        <f>IF(Z736="","",IFERROR(1/SUMPRODUCT(MAX(($B$6:$B$1005=Z736)*$T$6:$T$1005)),""))</f>
        <v/>
      </c>
      <c r="AF736" s="77">
        <f>IF(AE736="","",SUMIFS($S$6:$S$1005,$B$6:$B$1005,Z736,$I$6:$I$1005,AE736))</f>
        <v/>
      </c>
    </row>
    <row r="737" ht="20" customHeight="1">
      <c r="B737" s="72" t="n"/>
      <c r="C737" s="72" t="n"/>
      <c r="D737" s="72" t="n"/>
      <c r="E737" s="72" t="n"/>
      <c r="F737" s="110" t="n"/>
      <c r="G737" s="73" t="n"/>
      <c r="H737" s="75">
        <f>IF(B737="","",IF(G737&lt;&gt;"",G737,IF(F737&lt;&gt;"",F737*IFERROR(INDEX('Contractors'!$I$6:$I$1005,MATCH(B737,'Contractors'!$B$6:$B$1005,0)),0),"")))</f>
        <v/>
      </c>
      <c r="I737" s="109" t="n"/>
      <c r="J737" s="72" t="n"/>
      <c r="K737" s="109" t="n"/>
      <c r="L737" s="73" t="n"/>
      <c r="M737" s="109" t="n"/>
      <c r="N737" s="73" t="n"/>
      <c r="O737" s="107">
        <f>IF(B737="","",IF(M737&lt;&gt;"","Paid",IF(AND(I737&lt;&gt;"",I737&lt;AsOf),"OVERDUE",IF(OR(K737&lt;&gt;"",L737&lt;&gt;""),"Invoiced","Scheduled"))))</f>
        <v/>
      </c>
      <c r="P737" s="115">
        <f>IF(B737="","",IF(E737&lt;&gt;"",E737,IFERROR(INDEX('Contractors'!$D$6:$D$1005,MATCH(B737,'Contractors'!$B$6:$B$1005,0)),"")))</f>
        <v/>
      </c>
      <c r="Q737" s="79">
        <f>IF(B737="","",IF(D737&lt;&gt;"",D737,IFERROR(INDEX('Contractors'!$E$6:$E$1005,MATCH(B737,'Contractors'!$B$6:$B$1005,0)),"")))</f>
        <v/>
      </c>
      <c r="R737" s="79">
        <f>IF(O737="","",IF(O737="OVERDUE",2,IF(O737="Paid",0,IF(AND(I737&lt;&gt;"",I737&lt;=AsOf+AlertDays),1,0))))</f>
        <v/>
      </c>
      <c r="S737" s="79">
        <f>IF(AND(B737&lt;&gt;"",M737="",I737&lt;&gt;""),IF(L737&lt;&gt;"",L737,IF(H737="",0,H737)),0)</f>
        <v/>
      </c>
      <c r="T737" s="79">
        <f>IF(AND(B737&lt;&gt;"",M737="",I737&lt;&gt;""),1/I737,0)</f>
        <v/>
      </c>
      <c r="U737" s="112">
        <f>IF(AND(B737&lt;&gt;"",M737="",I737&lt;&gt;""),I737,"")</f>
        <v/>
      </c>
      <c r="V737" s="79">
        <f>IF(U737="","",IF(U737&lt;AsOf,1,IF(U737&lt;=AsOf+AlertDays,2,IF(U737&lt;=AsOf+2*AlertDays,3,""))))</f>
        <v/>
      </c>
      <c r="W737" s="79">
        <f>IF(V737="","",IF(O737="OVERDUE","Overdue payment: ","Payment due: ")&amp;B737&amp;" — "&amp;C737&amp;" ("&amp;CurSym&amp;" "&amp;FIXED(S737,0)&amp;")")</f>
        <v/>
      </c>
      <c r="Z737" s="116">
        <f>IF('Contractors'!B737="","",'Contractors'!B737)</f>
        <v/>
      </c>
      <c r="AA737" s="77">
        <f>IF(Z737="","",'Contractors'!K737)</f>
        <v/>
      </c>
      <c r="AB737" s="77">
        <f>IF(Z737="","",SUMIFS($L$6:$L$1005,$B$6:$B$1005,Z737))</f>
        <v/>
      </c>
      <c r="AC737" s="77">
        <f>IF(Z737="","",SUMIFS($N$6:$N$1005,$B$6:$B$1005,Z737))</f>
        <v/>
      </c>
      <c r="AD737" s="76">
        <f>IF(Z737="","",AA737-AC737)</f>
        <v/>
      </c>
      <c r="AE737" s="117">
        <f>IF(Z737="","",IFERROR(1/SUMPRODUCT(MAX(($B$6:$B$1005=Z737)*$T$6:$T$1005)),""))</f>
        <v/>
      </c>
      <c r="AF737" s="77">
        <f>IF(AE737="","",SUMIFS($S$6:$S$1005,$B$6:$B$1005,Z737,$I$6:$I$1005,AE737))</f>
        <v/>
      </c>
    </row>
    <row r="738" ht="20" customHeight="1">
      <c r="B738" s="72" t="n"/>
      <c r="C738" s="72" t="n"/>
      <c r="D738" s="72" t="n"/>
      <c r="E738" s="72" t="n"/>
      <c r="F738" s="110" t="n"/>
      <c r="G738" s="73" t="n"/>
      <c r="H738" s="75">
        <f>IF(B738="","",IF(G738&lt;&gt;"",G738,IF(F738&lt;&gt;"",F738*IFERROR(INDEX('Contractors'!$I$6:$I$1005,MATCH(B738,'Contractors'!$B$6:$B$1005,0)),0),"")))</f>
        <v/>
      </c>
      <c r="I738" s="109" t="n"/>
      <c r="J738" s="72" t="n"/>
      <c r="K738" s="109" t="n"/>
      <c r="L738" s="73" t="n"/>
      <c r="M738" s="109" t="n"/>
      <c r="N738" s="73" t="n"/>
      <c r="O738" s="107">
        <f>IF(B738="","",IF(M738&lt;&gt;"","Paid",IF(AND(I738&lt;&gt;"",I738&lt;AsOf),"OVERDUE",IF(OR(K738&lt;&gt;"",L738&lt;&gt;""),"Invoiced","Scheduled"))))</f>
        <v/>
      </c>
      <c r="P738" s="115">
        <f>IF(B738="","",IF(E738&lt;&gt;"",E738,IFERROR(INDEX('Contractors'!$D$6:$D$1005,MATCH(B738,'Contractors'!$B$6:$B$1005,0)),"")))</f>
        <v/>
      </c>
      <c r="Q738" s="79">
        <f>IF(B738="","",IF(D738&lt;&gt;"",D738,IFERROR(INDEX('Contractors'!$E$6:$E$1005,MATCH(B738,'Contractors'!$B$6:$B$1005,0)),"")))</f>
        <v/>
      </c>
      <c r="R738" s="79">
        <f>IF(O738="","",IF(O738="OVERDUE",2,IF(O738="Paid",0,IF(AND(I738&lt;&gt;"",I738&lt;=AsOf+AlertDays),1,0))))</f>
        <v/>
      </c>
      <c r="S738" s="79">
        <f>IF(AND(B738&lt;&gt;"",M738="",I738&lt;&gt;""),IF(L738&lt;&gt;"",L738,IF(H738="",0,H738)),0)</f>
        <v/>
      </c>
      <c r="T738" s="79">
        <f>IF(AND(B738&lt;&gt;"",M738="",I738&lt;&gt;""),1/I738,0)</f>
        <v/>
      </c>
      <c r="U738" s="112">
        <f>IF(AND(B738&lt;&gt;"",M738="",I738&lt;&gt;""),I738,"")</f>
        <v/>
      </c>
      <c r="V738" s="79">
        <f>IF(U738="","",IF(U738&lt;AsOf,1,IF(U738&lt;=AsOf+AlertDays,2,IF(U738&lt;=AsOf+2*AlertDays,3,""))))</f>
        <v/>
      </c>
      <c r="W738" s="79">
        <f>IF(V738="","",IF(O738="OVERDUE","Overdue payment: ","Payment due: ")&amp;B738&amp;" — "&amp;C738&amp;" ("&amp;CurSym&amp;" "&amp;FIXED(S738,0)&amp;")")</f>
        <v/>
      </c>
      <c r="Z738" s="116">
        <f>IF('Contractors'!B738="","",'Contractors'!B738)</f>
        <v/>
      </c>
      <c r="AA738" s="77">
        <f>IF(Z738="","",'Contractors'!K738)</f>
        <v/>
      </c>
      <c r="AB738" s="77">
        <f>IF(Z738="","",SUMIFS($L$6:$L$1005,$B$6:$B$1005,Z738))</f>
        <v/>
      </c>
      <c r="AC738" s="77">
        <f>IF(Z738="","",SUMIFS($N$6:$N$1005,$B$6:$B$1005,Z738))</f>
        <v/>
      </c>
      <c r="AD738" s="76">
        <f>IF(Z738="","",AA738-AC738)</f>
        <v/>
      </c>
      <c r="AE738" s="117">
        <f>IF(Z738="","",IFERROR(1/SUMPRODUCT(MAX(($B$6:$B$1005=Z738)*$T$6:$T$1005)),""))</f>
        <v/>
      </c>
      <c r="AF738" s="77">
        <f>IF(AE738="","",SUMIFS($S$6:$S$1005,$B$6:$B$1005,Z738,$I$6:$I$1005,AE738))</f>
        <v/>
      </c>
    </row>
    <row r="739" ht="20" customHeight="1">
      <c r="B739" s="72" t="n"/>
      <c r="C739" s="72" t="n"/>
      <c r="D739" s="72" t="n"/>
      <c r="E739" s="72" t="n"/>
      <c r="F739" s="110" t="n"/>
      <c r="G739" s="73" t="n"/>
      <c r="H739" s="75">
        <f>IF(B739="","",IF(G739&lt;&gt;"",G739,IF(F739&lt;&gt;"",F739*IFERROR(INDEX('Contractors'!$I$6:$I$1005,MATCH(B739,'Contractors'!$B$6:$B$1005,0)),0),"")))</f>
        <v/>
      </c>
      <c r="I739" s="109" t="n"/>
      <c r="J739" s="72" t="n"/>
      <c r="K739" s="109" t="n"/>
      <c r="L739" s="73" t="n"/>
      <c r="M739" s="109" t="n"/>
      <c r="N739" s="73" t="n"/>
      <c r="O739" s="107">
        <f>IF(B739="","",IF(M739&lt;&gt;"","Paid",IF(AND(I739&lt;&gt;"",I739&lt;AsOf),"OVERDUE",IF(OR(K739&lt;&gt;"",L739&lt;&gt;""),"Invoiced","Scheduled"))))</f>
        <v/>
      </c>
      <c r="P739" s="115">
        <f>IF(B739="","",IF(E739&lt;&gt;"",E739,IFERROR(INDEX('Contractors'!$D$6:$D$1005,MATCH(B739,'Contractors'!$B$6:$B$1005,0)),"")))</f>
        <v/>
      </c>
      <c r="Q739" s="79">
        <f>IF(B739="","",IF(D739&lt;&gt;"",D739,IFERROR(INDEX('Contractors'!$E$6:$E$1005,MATCH(B739,'Contractors'!$B$6:$B$1005,0)),"")))</f>
        <v/>
      </c>
      <c r="R739" s="79">
        <f>IF(O739="","",IF(O739="OVERDUE",2,IF(O739="Paid",0,IF(AND(I739&lt;&gt;"",I739&lt;=AsOf+AlertDays),1,0))))</f>
        <v/>
      </c>
      <c r="S739" s="79">
        <f>IF(AND(B739&lt;&gt;"",M739="",I739&lt;&gt;""),IF(L739&lt;&gt;"",L739,IF(H739="",0,H739)),0)</f>
        <v/>
      </c>
      <c r="T739" s="79">
        <f>IF(AND(B739&lt;&gt;"",M739="",I739&lt;&gt;""),1/I739,0)</f>
        <v/>
      </c>
      <c r="U739" s="112">
        <f>IF(AND(B739&lt;&gt;"",M739="",I739&lt;&gt;""),I739,"")</f>
        <v/>
      </c>
      <c r="V739" s="79">
        <f>IF(U739="","",IF(U739&lt;AsOf,1,IF(U739&lt;=AsOf+AlertDays,2,IF(U739&lt;=AsOf+2*AlertDays,3,""))))</f>
        <v/>
      </c>
      <c r="W739" s="79">
        <f>IF(V739="","",IF(O739="OVERDUE","Overdue payment: ","Payment due: ")&amp;B739&amp;" — "&amp;C739&amp;" ("&amp;CurSym&amp;" "&amp;FIXED(S739,0)&amp;")")</f>
        <v/>
      </c>
      <c r="Z739" s="116">
        <f>IF('Contractors'!B739="","",'Contractors'!B739)</f>
        <v/>
      </c>
      <c r="AA739" s="77">
        <f>IF(Z739="","",'Contractors'!K739)</f>
        <v/>
      </c>
      <c r="AB739" s="77">
        <f>IF(Z739="","",SUMIFS($L$6:$L$1005,$B$6:$B$1005,Z739))</f>
        <v/>
      </c>
      <c r="AC739" s="77">
        <f>IF(Z739="","",SUMIFS($N$6:$N$1005,$B$6:$B$1005,Z739))</f>
        <v/>
      </c>
      <c r="AD739" s="76">
        <f>IF(Z739="","",AA739-AC739)</f>
        <v/>
      </c>
      <c r="AE739" s="117">
        <f>IF(Z739="","",IFERROR(1/SUMPRODUCT(MAX(($B$6:$B$1005=Z739)*$T$6:$T$1005)),""))</f>
        <v/>
      </c>
      <c r="AF739" s="77">
        <f>IF(AE739="","",SUMIFS($S$6:$S$1005,$B$6:$B$1005,Z739,$I$6:$I$1005,AE739))</f>
        <v/>
      </c>
    </row>
    <row r="740" ht="20" customHeight="1">
      <c r="B740" s="72" t="n"/>
      <c r="C740" s="72" t="n"/>
      <c r="D740" s="72" t="n"/>
      <c r="E740" s="72" t="n"/>
      <c r="F740" s="110" t="n"/>
      <c r="G740" s="73" t="n"/>
      <c r="H740" s="75">
        <f>IF(B740="","",IF(G740&lt;&gt;"",G740,IF(F740&lt;&gt;"",F740*IFERROR(INDEX('Contractors'!$I$6:$I$1005,MATCH(B740,'Contractors'!$B$6:$B$1005,0)),0),"")))</f>
        <v/>
      </c>
      <c r="I740" s="109" t="n"/>
      <c r="J740" s="72" t="n"/>
      <c r="K740" s="109" t="n"/>
      <c r="L740" s="73" t="n"/>
      <c r="M740" s="109" t="n"/>
      <c r="N740" s="73" t="n"/>
      <c r="O740" s="107">
        <f>IF(B740="","",IF(M740&lt;&gt;"","Paid",IF(AND(I740&lt;&gt;"",I740&lt;AsOf),"OVERDUE",IF(OR(K740&lt;&gt;"",L740&lt;&gt;""),"Invoiced","Scheduled"))))</f>
        <v/>
      </c>
      <c r="P740" s="115">
        <f>IF(B740="","",IF(E740&lt;&gt;"",E740,IFERROR(INDEX('Contractors'!$D$6:$D$1005,MATCH(B740,'Contractors'!$B$6:$B$1005,0)),"")))</f>
        <v/>
      </c>
      <c r="Q740" s="79">
        <f>IF(B740="","",IF(D740&lt;&gt;"",D740,IFERROR(INDEX('Contractors'!$E$6:$E$1005,MATCH(B740,'Contractors'!$B$6:$B$1005,0)),"")))</f>
        <v/>
      </c>
      <c r="R740" s="79">
        <f>IF(O740="","",IF(O740="OVERDUE",2,IF(O740="Paid",0,IF(AND(I740&lt;&gt;"",I740&lt;=AsOf+AlertDays),1,0))))</f>
        <v/>
      </c>
      <c r="S740" s="79">
        <f>IF(AND(B740&lt;&gt;"",M740="",I740&lt;&gt;""),IF(L740&lt;&gt;"",L740,IF(H740="",0,H740)),0)</f>
        <v/>
      </c>
      <c r="T740" s="79">
        <f>IF(AND(B740&lt;&gt;"",M740="",I740&lt;&gt;""),1/I740,0)</f>
        <v/>
      </c>
      <c r="U740" s="112">
        <f>IF(AND(B740&lt;&gt;"",M740="",I740&lt;&gt;""),I740,"")</f>
        <v/>
      </c>
      <c r="V740" s="79">
        <f>IF(U740="","",IF(U740&lt;AsOf,1,IF(U740&lt;=AsOf+AlertDays,2,IF(U740&lt;=AsOf+2*AlertDays,3,""))))</f>
        <v/>
      </c>
      <c r="W740" s="79">
        <f>IF(V740="","",IF(O740="OVERDUE","Overdue payment: ","Payment due: ")&amp;B740&amp;" — "&amp;C740&amp;" ("&amp;CurSym&amp;" "&amp;FIXED(S740,0)&amp;")")</f>
        <v/>
      </c>
      <c r="Z740" s="116">
        <f>IF('Contractors'!B740="","",'Contractors'!B740)</f>
        <v/>
      </c>
      <c r="AA740" s="77">
        <f>IF(Z740="","",'Contractors'!K740)</f>
        <v/>
      </c>
      <c r="AB740" s="77">
        <f>IF(Z740="","",SUMIFS($L$6:$L$1005,$B$6:$B$1005,Z740))</f>
        <v/>
      </c>
      <c r="AC740" s="77">
        <f>IF(Z740="","",SUMIFS($N$6:$N$1005,$B$6:$B$1005,Z740))</f>
        <v/>
      </c>
      <c r="AD740" s="76">
        <f>IF(Z740="","",AA740-AC740)</f>
        <v/>
      </c>
      <c r="AE740" s="117">
        <f>IF(Z740="","",IFERROR(1/SUMPRODUCT(MAX(($B$6:$B$1005=Z740)*$T$6:$T$1005)),""))</f>
        <v/>
      </c>
      <c r="AF740" s="77">
        <f>IF(AE740="","",SUMIFS($S$6:$S$1005,$B$6:$B$1005,Z740,$I$6:$I$1005,AE740))</f>
        <v/>
      </c>
    </row>
    <row r="741" ht="20" customHeight="1">
      <c r="B741" s="72" t="n"/>
      <c r="C741" s="72" t="n"/>
      <c r="D741" s="72" t="n"/>
      <c r="E741" s="72" t="n"/>
      <c r="F741" s="110" t="n"/>
      <c r="G741" s="73" t="n"/>
      <c r="H741" s="75">
        <f>IF(B741="","",IF(G741&lt;&gt;"",G741,IF(F741&lt;&gt;"",F741*IFERROR(INDEX('Contractors'!$I$6:$I$1005,MATCH(B741,'Contractors'!$B$6:$B$1005,0)),0),"")))</f>
        <v/>
      </c>
      <c r="I741" s="109" t="n"/>
      <c r="J741" s="72" t="n"/>
      <c r="K741" s="109" t="n"/>
      <c r="L741" s="73" t="n"/>
      <c r="M741" s="109" t="n"/>
      <c r="N741" s="73" t="n"/>
      <c r="O741" s="107">
        <f>IF(B741="","",IF(M741&lt;&gt;"","Paid",IF(AND(I741&lt;&gt;"",I741&lt;AsOf),"OVERDUE",IF(OR(K741&lt;&gt;"",L741&lt;&gt;""),"Invoiced","Scheduled"))))</f>
        <v/>
      </c>
      <c r="P741" s="115">
        <f>IF(B741="","",IF(E741&lt;&gt;"",E741,IFERROR(INDEX('Contractors'!$D$6:$D$1005,MATCH(B741,'Contractors'!$B$6:$B$1005,0)),"")))</f>
        <v/>
      </c>
      <c r="Q741" s="79">
        <f>IF(B741="","",IF(D741&lt;&gt;"",D741,IFERROR(INDEX('Contractors'!$E$6:$E$1005,MATCH(B741,'Contractors'!$B$6:$B$1005,0)),"")))</f>
        <v/>
      </c>
      <c r="R741" s="79">
        <f>IF(O741="","",IF(O741="OVERDUE",2,IF(O741="Paid",0,IF(AND(I741&lt;&gt;"",I741&lt;=AsOf+AlertDays),1,0))))</f>
        <v/>
      </c>
      <c r="S741" s="79">
        <f>IF(AND(B741&lt;&gt;"",M741="",I741&lt;&gt;""),IF(L741&lt;&gt;"",L741,IF(H741="",0,H741)),0)</f>
        <v/>
      </c>
      <c r="T741" s="79">
        <f>IF(AND(B741&lt;&gt;"",M741="",I741&lt;&gt;""),1/I741,0)</f>
        <v/>
      </c>
      <c r="U741" s="112">
        <f>IF(AND(B741&lt;&gt;"",M741="",I741&lt;&gt;""),I741,"")</f>
        <v/>
      </c>
      <c r="V741" s="79">
        <f>IF(U741="","",IF(U741&lt;AsOf,1,IF(U741&lt;=AsOf+AlertDays,2,IF(U741&lt;=AsOf+2*AlertDays,3,""))))</f>
        <v/>
      </c>
      <c r="W741" s="79">
        <f>IF(V741="","",IF(O741="OVERDUE","Overdue payment: ","Payment due: ")&amp;B741&amp;" — "&amp;C741&amp;" ("&amp;CurSym&amp;" "&amp;FIXED(S741,0)&amp;")")</f>
        <v/>
      </c>
      <c r="Z741" s="116">
        <f>IF('Contractors'!B741="","",'Contractors'!B741)</f>
        <v/>
      </c>
      <c r="AA741" s="77">
        <f>IF(Z741="","",'Contractors'!K741)</f>
        <v/>
      </c>
      <c r="AB741" s="77">
        <f>IF(Z741="","",SUMIFS($L$6:$L$1005,$B$6:$B$1005,Z741))</f>
        <v/>
      </c>
      <c r="AC741" s="77">
        <f>IF(Z741="","",SUMIFS($N$6:$N$1005,$B$6:$B$1005,Z741))</f>
        <v/>
      </c>
      <c r="AD741" s="76">
        <f>IF(Z741="","",AA741-AC741)</f>
        <v/>
      </c>
      <c r="AE741" s="117">
        <f>IF(Z741="","",IFERROR(1/SUMPRODUCT(MAX(($B$6:$B$1005=Z741)*$T$6:$T$1005)),""))</f>
        <v/>
      </c>
      <c r="AF741" s="77">
        <f>IF(AE741="","",SUMIFS($S$6:$S$1005,$B$6:$B$1005,Z741,$I$6:$I$1005,AE741))</f>
        <v/>
      </c>
    </row>
    <row r="742" ht="20" customHeight="1">
      <c r="B742" s="72" t="n"/>
      <c r="C742" s="72" t="n"/>
      <c r="D742" s="72" t="n"/>
      <c r="E742" s="72" t="n"/>
      <c r="F742" s="110" t="n"/>
      <c r="G742" s="73" t="n"/>
      <c r="H742" s="75">
        <f>IF(B742="","",IF(G742&lt;&gt;"",G742,IF(F742&lt;&gt;"",F742*IFERROR(INDEX('Contractors'!$I$6:$I$1005,MATCH(B742,'Contractors'!$B$6:$B$1005,0)),0),"")))</f>
        <v/>
      </c>
      <c r="I742" s="109" t="n"/>
      <c r="J742" s="72" t="n"/>
      <c r="K742" s="109" t="n"/>
      <c r="L742" s="73" t="n"/>
      <c r="M742" s="109" t="n"/>
      <c r="N742" s="73" t="n"/>
      <c r="O742" s="107">
        <f>IF(B742="","",IF(M742&lt;&gt;"","Paid",IF(AND(I742&lt;&gt;"",I742&lt;AsOf),"OVERDUE",IF(OR(K742&lt;&gt;"",L742&lt;&gt;""),"Invoiced","Scheduled"))))</f>
        <v/>
      </c>
      <c r="P742" s="115">
        <f>IF(B742="","",IF(E742&lt;&gt;"",E742,IFERROR(INDEX('Contractors'!$D$6:$D$1005,MATCH(B742,'Contractors'!$B$6:$B$1005,0)),"")))</f>
        <v/>
      </c>
      <c r="Q742" s="79">
        <f>IF(B742="","",IF(D742&lt;&gt;"",D742,IFERROR(INDEX('Contractors'!$E$6:$E$1005,MATCH(B742,'Contractors'!$B$6:$B$1005,0)),"")))</f>
        <v/>
      </c>
      <c r="R742" s="79">
        <f>IF(O742="","",IF(O742="OVERDUE",2,IF(O742="Paid",0,IF(AND(I742&lt;&gt;"",I742&lt;=AsOf+AlertDays),1,0))))</f>
        <v/>
      </c>
      <c r="S742" s="79">
        <f>IF(AND(B742&lt;&gt;"",M742="",I742&lt;&gt;""),IF(L742&lt;&gt;"",L742,IF(H742="",0,H742)),0)</f>
        <v/>
      </c>
      <c r="T742" s="79">
        <f>IF(AND(B742&lt;&gt;"",M742="",I742&lt;&gt;""),1/I742,0)</f>
        <v/>
      </c>
      <c r="U742" s="112">
        <f>IF(AND(B742&lt;&gt;"",M742="",I742&lt;&gt;""),I742,"")</f>
        <v/>
      </c>
      <c r="V742" s="79">
        <f>IF(U742="","",IF(U742&lt;AsOf,1,IF(U742&lt;=AsOf+AlertDays,2,IF(U742&lt;=AsOf+2*AlertDays,3,""))))</f>
        <v/>
      </c>
      <c r="W742" s="79">
        <f>IF(V742="","",IF(O742="OVERDUE","Overdue payment: ","Payment due: ")&amp;B742&amp;" — "&amp;C742&amp;" ("&amp;CurSym&amp;" "&amp;FIXED(S742,0)&amp;")")</f>
        <v/>
      </c>
      <c r="Z742" s="116">
        <f>IF('Contractors'!B742="","",'Contractors'!B742)</f>
        <v/>
      </c>
      <c r="AA742" s="77">
        <f>IF(Z742="","",'Contractors'!K742)</f>
        <v/>
      </c>
      <c r="AB742" s="77">
        <f>IF(Z742="","",SUMIFS($L$6:$L$1005,$B$6:$B$1005,Z742))</f>
        <v/>
      </c>
      <c r="AC742" s="77">
        <f>IF(Z742="","",SUMIFS($N$6:$N$1005,$B$6:$B$1005,Z742))</f>
        <v/>
      </c>
      <c r="AD742" s="76">
        <f>IF(Z742="","",AA742-AC742)</f>
        <v/>
      </c>
      <c r="AE742" s="117">
        <f>IF(Z742="","",IFERROR(1/SUMPRODUCT(MAX(($B$6:$B$1005=Z742)*$T$6:$T$1005)),""))</f>
        <v/>
      </c>
      <c r="AF742" s="77">
        <f>IF(AE742="","",SUMIFS($S$6:$S$1005,$B$6:$B$1005,Z742,$I$6:$I$1005,AE742))</f>
        <v/>
      </c>
    </row>
    <row r="743" ht="20" customHeight="1">
      <c r="B743" s="72" t="n"/>
      <c r="C743" s="72" t="n"/>
      <c r="D743" s="72" t="n"/>
      <c r="E743" s="72" t="n"/>
      <c r="F743" s="110" t="n"/>
      <c r="G743" s="73" t="n"/>
      <c r="H743" s="75">
        <f>IF(B743="","",IF(G743&lt;&gt;"",G743,IF(F743&lt;&gt;"",F743*IFERROR(INDEX('Contractors'!$I$6:$I$1005,MATCH(B743,'Contractors'!$B$6:$B$1005,0)),0),"")))</f>
        <v/>
      </c>
      <c r="I743" s="109" t="n"/>
      <c r="J743" s="72" t="n"/>
      <c r="K743" s="109" t="n"/>
      <c r="L743" s="73" t="n"/>
      <c r="M743" s="109" t="n"/>
      <c r="N743" s="73" t="n"/>
      <c r="O743" s="107">
        <f>IF(B743="","",IF(M743&lt;&gt;"","Paid",IF(AND(I743&lt;&gt;"",I743&lt;AsOf),"OVERDUE",IF(OR(K743&lt;&gt;"",L743&lt;&gt;""),"Invoiced","Scheduled"))))</f>
        <v/>
      </c>
      <c r="P743" s="115">
        <f>IF(B743="","",IF(E743&lt;&gt;"",E743,IFERROR(INDEX('Contractors'!$D$6:$D$1005,MATCH(B743,'Contractors'!$B$6:$B$1005,0)),"")))</f>
        <v/>
      </c>
      <c r="Q743" s="79">
        <f>IF(B743="","",IF(D743&lt;&gt;"",D743,IFERROR(INDEX('Contractors'!$E$6:$E$1005,MATCH(B743,'Contractors'!$B$6:$B$1005,0)),"")))</f>
        <v/>
      </c>
      <c r="R743" s="79">
        <f>IF(O743="","",IF(O743="OVERDUE",2,IF(O743="Paid",0,IF(AND(I743&lt;&gt;"",I743&lt;=AsOf+AlertDays),1,0))))</f>
        <v/>
      </c>
      <c r="S743" s="79">
        <f>IF(AND(B743&lt;&gt;"",M743="",I743&lt;&gt;""),IF(L743&lt;&gt;"",L743,IF(H743="",0,H743)),0)</f>
        <v/>
      </c>
      <c r="T743" s="79">
        <f>IF(AND(B743&lt;&gt;"",M743="",I743&lt;&gt;""),1/I743,0)</f>
        <v/>
      </c>
      <c r="U743" s="112">
        <f>IF(AND(B743&lt;&gt;"",M743="",I743&lt;&gt;""),I743,"")</f>
        <v/>
      </c>
      <c r="V743" s="79">
        <f>IF(U743="","",IF(U743&lt;AsOf,1,IF(U743&lt;=AsOf+AlertDays,2,IF(U743&lt;=AsOf+2*AlertDays,3,""))))</f>
        <v/>
      </c>
      <c r="W743" s="79">
        <f>IF(V743="","",IF(O743="OVERDUE","Overdue payment: ","Payment due: ")&amp;B743&amp;" — "&amp;C743&amp;" ("&amp;CurSym&amp;" "&amp;FIXED(S743,0)&amp;")")</f>
        <v/>
      </c>
      <c r="Z743" s="116">
        <f>IF('Contractors'!B743="","",'Contractors'!B743)</f>
        <v/>
      </c>
      <c r="AA743" s="77">
        <f>IF(Z743="","",'Contractors'!K743)</f>
        <v/>
      </c>
      <c r="AB743" s="77">
        <f>IF(Z743="","",SUMIFS($L$6:$L$1005,$B$6:$B$1005,Z743))</f>
        <v/>
      </c>
      <c r="AC743" s="77">
        <f>IF(Z743="","",SUMIFS($N$6:$N$1005,$B$6:$B$1005,Z743))</f>
        <v/>
      </c>
      <c r="AD743" s="76">
        <f>IF(Z743="","",AA743-AC743)</f>
        <v/>
      </c>
      <c r="AE743" s="117">
        <f>IF(Z743="","",IFERROR(1/SUMPRODUCT(MAX(($B$6:$B$1005=Z743)*$T$6:$T$1005)),""))</f>
        <v/>
      </c>
      <c r="AF743" s="77">
        <f>IF(AE743="","",SUMIFS($S$6:$S$1005,$B$6:$B$1005,Z743,$I$6:$I$1005,AE743))</f>
        <v/>
      </c>
    </row>
    <row r="744" ht="20" customHeight="1">
      <c r="B744" s="72" t="n"/>
      <c r="C744" s="72" t="n"/>
      <c r="D744" s="72" t="n"/>
      <c r="E744" s="72" t="n"/>
      <c r="F744" s="110" t="n"/>
      <c r="G744" s="73" t="n"/>
      <c r="H744" s="75">
        <f>IF(B744="","",IF(G744&lt;&gt;"",G744,IF(F744&lt;&gt;"",F744*IFERROR(INDEX('Contractors'!$I$6:$I$1005,MATCH(B744,'Contractors'!$B$6:$B$1005,0)),0),"")))</f>
        <v/>
      </c>
      <c r="I744" s="109" t="n"/>
      <c r="J744" s="72" t="n"/>
      <c r="K744" s="109" t="n"/>
      <c r="L744" s="73" t="n"/>
      <c r="M744" s="109" t="n"/>
      <c r="N744" s="73" t="n"/>
      <c r="O744" s="107">
        <f>IF(B744="","",IF(M744&lt;&gt;"","Paid",IF(AND(I744&lt;&gt;"",I744&lt;AsOf),"OVERDUE",IF(OR(K744&lt;&gt;"",L744&lt;&gt;""),"Invoiced","Scheduled"))))</f>
        <v/>
      </c>
      <c r="P744" s="115">
        <f>IF(B744="","",IF(E744&lt;&gt;"",E744,IFERROR(INDEX('Contractors'!$D$6:$D$1005,MATCH(B744,'Contractors'!$B$6:$B$1005,0)),"")))</f>
        <v/>
      </c>
      <c r="Q744" s="79">
        <f>IF(B744="","",IF(D744&lt;&gt;"",D744,IFERROR(INDEX('Contractors'!$E$6:$E$1005,MATCH(B744,'Contractors'!$B$6:$B$1005,0)),"")))</f>
        <v/>
      </c>
      <c r="R744" s="79">
        <f>IF(O744="","",IF(O744="OVERDUE",2,IF(O744="Paid",0,IF(AND(I744&lt;&gt;"",I744&lt;=AsOf+AlertDays),1,0))))</f>
        <v/>
      </c>
      <c r="S744" s="79">
        <f>IF(AND(B744&lt;&gt;"",M744="",I744&lt;&gt;""),IF(L744&lt;&gt;"",L744,IF(H744="",0,H744)),0)</f>
        <v/>
      </c>
      <c r="T744" s="79">
        <f>IF(AND(B744&lt;&gt;"",M744="",I744&lt;&gt;""),1/I744,0)</f>
        <v/>
      </c>
      <c r="U744" s="112">
        <f>IF(AND(B744&lt;&gt;"",M744="",I744&lt;&gt;""),I744,"")</f>
        <v/>
      </c>
      <c r="V744" s="79">
        <f>IF(U744="","",IF(U744&lt;AsOf,1,IF(U744&lt;=AsOf+AlertDays,2,IF(U744&lt;=AsOf+2*AlertDays,3,""))))</f>
        <v/>
      </c>
      <c r="W744" s="79">
        <f>IF(V744="","",IF(O744="OVERDUE","Overdue payment: ","Payment due: ")&amp;B744&amp;" — "&amp;C744&amp;" ("&amp;CurSym&amp;" "&amp;FIXED(S744,0)&amp;")")</f>
        <v/>
      </c>
      <c r="Z744" s="116">
        <f>IF('Contractors'!B744="","",'Contractors'!B744)</f>
        <v/>
      </c>
      <c r="AA744" s="77">
        <f>IF(Z744="","",'Contractors'!K744)</f>
        <v/>
      </c>
      <c r="AB744" s="77">
        <f>IF(Z744="","",SUMIFS($L$6:$L$1005,$B$6:$B$1005,Z744))</f>
        <v/>
      </c>
      <c r="AC744" s="77">
        <f>IF(Z744="","",SUMIFS($N$6:$N$1005,$B$6:$B$1005,Z744))</f>
        <v/>
      </c>
      <c r="AD744" s="76">
        <f>IF(Z744="","",AA744-AC744)</f>
        <v/>
      </c>
      <c r="AE744" s="117">
        <f>IF(Z744="","",IFERROR(1/SUMPRODUCT(MAX(($B$6:$B$1005=Z744)*$T$6:$T$1005)),""))</f>
        <v/>
      </c>
      <c r="AF744" s="77">
        <f>IF(AE744="","",SUMIFS($S$6:$S$1005,$B$6:$B$1005,Z744,$I$6:$I$1005,AE744))</f>
        <v/>
      </c>
    </row>
    <row r="745" ht="20" customHeight="1">
      <c r="B745" s="72" t="n"/>
      <c r="C745" s="72" t="n"/>
      <c r="D745" s="72" t="n"/>
      <c r="E745" s="72" t="n"/>
      <c r="F745" s="110" t="n"/>
      <c r="G745" s="73" t="n"/>
      <c r="H745" s="75">
        <f>IF(B745="","",IF(G745&lt;&gt;"",G745,IF(F745&lt;&gt;"",F745*IFERROR(INDEX('Contractors'!$I$6:$I$1005,MATCH(B745,'Contractors'!$B$6:$B$1005,0)),0),"")))</f>
        <v/>
      </c>
      <c r="I745" s="109" t="n"/>
      <c r="J745" s="72" t="n"/>
      <c r="K745" s="109" t="n"/>
      <c r="L745" s="73" t="n"/>
      <c r="M745" s="109" t="n"/>
      <c r="N745" s="73" t="n"/>
      <c r="O745" s="107">
        <f>IF(B745="","",IF(M745&lt;&gt;"","Paid",IF(AND(I745&lt;&gt;"",I745&lt;AsOf),"OVERDUE",IF(OR(K745&lt;&gt;"",L745&lt;&gt;""),"Invoiced","Scheduled"))))</f>
        <v/>
      </c>
      <c r="P745" s="115">
        <f>IF(B745="","",IF(E745&lt;&gt;"",E745,IFERROR(INDEX('Contractors'!$D$6:$D$1005,MATCH(B745,'Contractors'!$B$6:$B$1005,0)),"")))</f>
        <v/>
      </c>
      <c r="Q745" s="79">
        <f>IF(B745="","",IF(D745&lt;&gt;"",D745,IFERROR(INDEX('Contractors'!$E$6:$E$1005,MATCH(B745,'Contractors'!$B$6:$B$1005,0)),"")))</f>
        <v/>
      </c>
      <c r="R745" s="79">
        <f>IF(O745="","",IF(O745="OVERDUE",2,IF(O745="Paid",0,IF(AND(I745&lt;&gt;"",I745&lt;=AsOf+AlertDays),1,0))))</f>
        <v/>
      </c>
      <c r="S745" s="79">
        <f>IF(AND(B745&lt;&gt;"",M745="",I745&lt;&gt;""),IF(L745&lt;&gt;"",L745,IF(H745="",0,H745)),0)</f>
        <v/>
      </c>
      <c r="T745" s="79">
        <f>IF(AND(B745&lt;&gt;"",M745="",I745&lt;&gt;""),1/I745,0)</f>
        <v/>
      </c>
      <c r="U745" s="112">
        <f>IF(AND(B745&lt;&gt;"",M745="",I745&lt;&gt;""),I745,"")</f>
        <v/>
      </c>
      <c r="V745" s="79">
        <f>IF(U745="","",IF(U745&lt;AsOf,1,IF(U745&lt;=AsOf+AlertDays,2,IF(U745&lt;=AsOf+2*AlertDays,3,""))))</f>
        <v/>
      </c>
      <c r="W745" s="79">
        <f>IF(V745="","",IF(O745="OVERDUE","Overdue payment: ","Payment due: ")&amp;B745&amp;" — "&amp;C745&amp;" ("&amp;CurSym&amp;" "&amp;FIXED(S745,0)&amp;")")</f>
        <v/>
      </c>
      <c r="Z745" s="116">
        <f>IF('Contractors'!B745="","",'Contractors'!B745)</f>
        <v/>
      </c>
      <c r="AA745" s="77">
        <f>IF(Z745="","",'Contractors'!K745)</f>
        <v/>
      </c>
      <c r="AB745" s="77">
        <f>IF(Z745="","",SUMIFS($L$6:$L$1005,$B$6:$B$1005,Z745))</f>
        <v/>
      </c>
      <c r="AC745" s="77">
        <f>IF(Z745="","",SUMIFS($N$6:$N$1005,$B$6:$B$1005,Z745))</f>
        <v/>
      </c>
      <c r="AD745" s="76">
        <f>IF(Z745="","",AA745-AC745)</f>
        <v/>
      </c>
      <c r="AE745" s="117">
        <f>IF(Z745="","",IFERROR(1/SUMPRODUCT(MAX(($B$6:$B$1005=Z745)*$T$6:$T$1005)),""))</f>
        <v/>
      </c>
      <c r="AF745" s="77">
        <f>IF(AE745="","",SUMIFS($S$6:$S$1005,$B$6:$B$1005,Z745,$I$6:$I$1005,AE745))</f>
        <v/>
      </c>
    </row>
    <row r="746" ht="20" customHeight="1">
      <c r="B746" s="72" t="n"/>
      <c r="C746" s="72" t="n"/>
      <c r="D746" s="72" t="n"/>
      <c r="E746" s="72" t="n"/>
      <c r="F746" s="110" t="n"/>
      <c r="G746" s="73" t="n"/>
      <c r="H746" s="75">
        <f>IF(B746="","",IF(G746&lt;&gt;"",G746,IF(F746&lt;&gt;"",F746*IFERROR(INDEX('Contractors'!$I$6:$I$1005,MATCH(B746,'Contractors'!$B$6:$B$1005,0)),0),"")))</f>
        <v/>
      </c>
      <c r="I746" s="109" t="n"/>
      <c r="J746" s="72" t="n"/>
      <c r="K746" s="109" t="n"/>
      <c r="L746" s="73" t="n"/>
      <c r="M746" s="109" t="n"/>
      <c r="N746" s="73" t="n"/>
      <c r="O746" s="107">
        <f>IF(B746="","",IF(M746&lt;&gt;"","Paid",IF(AND(I746&lt;&gt;"",I746&lt;AsOf),"OVERDUE",IF(OR(K746&lt;&gt;"",L746&lt;&gt;""),"Invoiced","Scheduled"))))</f>
        <v/>
      </c>
      <c r="P746" s="115">
        <f>IF(B746="","",IF(E746&lt;&gt;"",E746,IFERROR(INDEX('Contractors'!$D$6:$D$1005,MATCH(B746,'Contractors'!$B$6:$B$1005,0)),"")))</f>
        <v/>
      </c>
      <c r="Q746" s="79">
        <f>IF(B746="","",IF(D746&lt;&gt;"",D746,IFERROR(INDEX('Contractors'!$E$6:$E$1005,MATCH(B746,'Contractors'!$B$6:$B$1005,0)),"")))</f>
        <v/>
      </c>
      <c r="R746" s="79">
        <f>IF(O746="","",IF(O746="OVERDUE",2,IF(O746="Paid",0,IF(AND(I746&lt;&gt;"",I746&lt;=AsOf+AlertDays),1,0))))</f>
        <v/>
      </c>
      <c r="S746" s="79">
        <f>IF(AND(B746&lt;&gt;"",M746="",I746&lt;&gt;""),IF(L746&lt;&gt;"",L746,IF(H746="",0,H746)),0)</f>
        <v/>
      </c>
      <c r="T746" s="79">
        <f>IF(AND(B746&lt;&gt;"",M746="",I746&lt;&gt;""),1/I746,0)</f>
        <v/>
      </c>
      <c r="U746" s="112">
        <f>IF(AND(B746&lt;&gt;"",M746="",I746&lt;&gt;""),I746,"")</f>
        <v/>
      </c>
      <c r="V746" s="79">
        <f>IF(U746="","",IF(U746&lt;AsOf,1,IF(U746&lt;=AsOf+AlertDays,2,IF(U746&lt;=AsOf+2*AlertDays,3,""))))</f>
        <v/>
      </c>
      <c r="W746" s="79">
        <f>IF(V746="","",IF(O746="OVERDUE","Overdue payment: ","Payment due: ")&amp;B746&amp;" — "&amp;C746&amp;" ("&amp;CurSym&amp;" "&amp;FIXED(S746,0)&amp;")")</f>
        <v/>
      </c>
      <c r="Z746" s="116">
        <f>IF('Contractors'!B746="","",'Contractors'!B746)</f>
        <v/>
      </c>
      <c r="AA746" s="77">
        <f>IF(Z746="","",'Contractors'!K746)</f>
        <v/>
      </c>
      <c r="AB746" s="77">
        <f>IF(Z746="","",SUMIFS($L$6:$L$1005,$B$6:$B$1005,Z746))</f>
        <v/>
      </c>
      <c r="AC746" s="77">
        <f>IF(Z746="","",SUMIFS($N$6:$N$1005,$B$6:$B$1005,Z746))</f>
        <v/>
      </c>
      <c r="AD746" s="76">
        <f>IF(Z746="","",AA746-AC746)</f>
        <v/>
      </c>
      <c r="AE746" s="117">
        <f>IF(Z746="","",IFERROR(1/SUMPRODUCT(MAX(($B$6:$B$1005=Z746)*$T$6:$T$1005)),""))</f>
        <v/>
      </c>
      <c r="AF746" s="77">
        <f>IF(AE746="","",SUMIFS($S$6:$S$1005,$B$6:$B$1005,Z746,$I$6:$I$1005,AE746))</f>
        <v/>
      </c>
    </row>
    <row r="747" ht="20" customHeight="1">
      <c r="B747" s="72" t="n"/>
      <c r="C747" s="72" t="n"/>
      <c r="D747" s="72" t="n"/>
      <c r="E747" s="72" t="n"/>
      <c r="F747" s="110" t="n"/>
      <c r="G747" s="73" t="n"/>
      <c r="H747" s="75">
        <f>IF(B747="","",IF(G747&lt;&gt;"",G747,IF(F747&lt;&gt;"",F747*IFERROR(INDEX('Contractors'!$I$6:$I$1005,MATCH(B747,'Contractors'!$B$6:$B$1005,0)),0),"")))</f>
        <v/>
      </c>
      <c r="I747" s="109" t="n"/>
      <c r="J747" s="72" t="n"/>
      <c r="K747" s="109" t="n"/>
      <c r="L747" s="73" t="n"/>
      <c r="M747" s="109" t="n"/>
      <c r="N747" s="73" t="n"/>
      <c r="O747" s="107">
        <f>IF(B747="","",IF(M747&lt;&gt;"","Paid",IF(AND(I747&lt;&gt;"",I747&lt;AsOf),"OVERDUE",IF(OR(K747&lt;&gt;"",L747&lt;&gt;""),"Invoiced","Scheduled"))))</f>
        <v/>
      </c>
      <c r="P747" s="115">
        <f>IF(B747="","",IF(E747&lt;&gt;"",E747,IFERROR(INDEX('Contractors'!$D$6:$D$1005,MATCH(B747,'Contractors'!$B$6:$B$1005,0)),"")))</f>
        <v/>
      </c>
      <c r="Q747" s="79">
        <f>IF(B747="","",IF(D747&lt;&gt;"",D747,IFERROR(INDEX('Contractors'!$E$6:$E$1005,MATCH(B747,'Contractors'!$B$6:$B$1005,0)),"")))</f>
        <v/>
      </c>
      <c r="R747" s="79">
        <f>IF(O747="","",IF(O747="OVERDUE",2,IF(O747="Paid",0,IF(AND(I747&lt;&gt;"",I747&lt;=AsOf+AlertDays),1,0))))</f>
        <v/>
      </c>
      <c r="S747" s="79">
        <f>IF(AND(B747&lt;&gt;"",M747="",I747&lt;&gt;""),IF(L747&lt;&gt;"",L747,IF(H747="",0,H747)),0)</f>
        <v/>
      </c>
      <c r="T747" s="79">
        <f>IF(AND(B747&lt;&gt;"",M747="",I747&lt;&gt;""),1/I747,0)</f>
        <v/>
      </c>
      <c r="U747" s="112">
        <f>IF(AND(B747&lt;&gt;"",M747="",I747&lt;&gt;""),I747,"")</f>
        <v/>
      </c>
      <c r="V747" s="79">
        <f>IF(U747="","",IF(U747&lt;AsOf,1,IF(U747&lt;=AsOf+AlertDays,2,IF(U747&lt;=AsOf+2*AlertDays,3,""))))</f>
        <v/>
      </c>
      <c r="W747" s="79">
        <f>IF(V747="","",IF(O747="OVERDUE","Overdue payment: ","Payment due: ")&amp;B747&amp;" — "&amp;C747&amp;" ("&amp;CurSym&amp;" "&amp;FIXED(S747,0)&amp;")")</f>
        <v/>
      </c>
      <c r="Z747" s="116">
        <f>IF('Contractors'!B747="","",'Contractors'!B747)</f>
        <v/>
      </c>
      <c r="AA747" s="77">
        <f>IF(Z747="","",'Contractors'!K747)</f>
        <v/>
      </c>
      <c r="AB747" s="77">
        <f>IF(Z747="","",SUMIFS($L$6:$L$1005,$B$6:$B$1005,Z747))</f>
        <v/>
      </c>
      <c r="AC747" s="77">
        <f>IF(Z747="","",SUMIFS($N$6:$N$1005,$B$6:$B$1005,Z747))</f>
        <v/>
      </c>
      <c r="AD747" s="76">
        <f>IF(Z747="","",AA747-AC747)</f>
        <v/>
      </c>
      <c r="AE747" s="117">
        <f>IF(Z747="","",IFERROR(1/SUMPRODUCT(MAX(($B$6:$B$1005=Z747)*$T$6:$T$1005)),""))</f>
        <v/>
      </c>
      <c r="AF747" s="77">
        <f>IF(AE747="","",SUMIFS($S$6:$S$1005,$B$6:$B$1005,Z747,$I$6:$I$1005,AE747))</f>
        <v/>
      </c>
    </row>
    <row r="748" ht="20" customHeight="1">
      <c r="B748" s="72" t="n"/>
      <c r="C748" s="72" t="n"/>
      <c r="D748" s="72" t="n"/>
      <c r="E748" s="72" t="n"/>
      <c r="F748" s="110" t="n"/>
      <c r="G748" s="73" t="n"/>
      <c r="H748" s="75">
        <f>IF(B748="","",IF(G748&lt;&gt;"",G748,IF(F748&lt;&gt;"",F748*IFERROR(INDEX('Contractors'!$I$6:$I$1005,MATCH(B748,'Contractors'!$B$6:$B$1005,0)),0),"")))</f>
        <v/>
      </c>
      <c r="I748" s="109" t="n"/>
      <c r="J748" s="72" t="n"/>
      <c r="K748" s="109" t="n"/>
      <c r="L748" s="73" t="n"/>
      <c r="M748" s="109" t="n"/>
      <c r="N748" s="73" t="n"/>
      <c r="O748" s="107">
        <f>IF(B748="","",IF(M748&lt;&gt;"","Paid",IF(AND(I748&lt;&gt;"",I748&lt;AsOf),"OVERDUE",IF(OR(K748&lt;&gt;"",L748&lt;&gt;""),"Invoiced","Scheduled"))))</f>
        <v/>
      </c>
      <c r="P748" s="115">
        <f>IF(B748="","",IF(E748&lt;&gt;"",E748,IFERROR(INDEX('Contractors'!$D$6:$D$1005,MATCH(B748,'Contractors'!$B$6:$B$1005,0)),"")))</f>
        <v/>
      </c>
      <c r="Q748" s="79">
        <f>IF(B748="","",IF(D748&lt;&gt;"",D748,IFERROR(INDEX('Contractors'!$E$6:$E$1005,MATCH(B748,'Contractors'!$B$6:$B$1005,0)),"")))</f>
        <v/>
      </c>
      <c r="R748" s="79">
        <f>IF(O748="","",IF(O748="OVERDUE",2,IF(O748="Paid",0,IF(AND(I748&lt;&gt;"",I748&lt;=AsOf+AlertDays),1,0))))</f>
        <v/>
      </c>
      <c r="S748" s="79">
        <f>IF(AND(B748&lt;&gt;"",M748="",I748&lt;&gt;""),IF(L748&lt;&gt;"",L748,IF(H748="",0,H748)),0)</f>
        <v/>
      </c>
      <c r="T748" s="79">
        <f>IF(AND(B748&lt;&gt;"",M748="",I748&lt;&gt;""),1/I748,0)</f>
        <v/>
      </c>
      <c r="U748" s="112">
        <f>IF(AND(B748&lt;&gt;"",M748="",I748&lt;&gt;""),I748,"")</f>
        <v/>
      </c>
      <c r="V748" s="79">
        <f>IF(U748="","",IF(U748&lt;AsOf,1,IF(U748&lt;=AsOf+AlertDays,2,IF(U748&lt;=AsOf+2*AlertDays,3,""))))</f>
        <v/>
      </c>
      <c r="W748" s="79">
        <f>IF(V748="","",IF(O748="OVERDUE","Overdue payment: ","Payment due: ")&amp;B748&amp;" — "&amp;C748&amp;" ("&amp;CurSym&amp;" "&amp;FIXED(S748,0)&amp;")")</f>
        <v/>
      </c>
      <c r="Z748" s="116">
        <f>IF('Contractors'!B748="","",'Contractors'!B748)</f>
        <v/>
      </c>
      <c r="AA748" s="77">
        <f>IF(Z748="","",'Contractors'!K748)</f>
        <v/>
      </c>
      <c r="AB748" s="77">
        <f>IF(Z748="","",SUMIFS($L$6:$L$1005,$B$6:$B$1005,Z748))</f>
        <v/>
      </c>
      <c r="AC748" s="77">
        <f>IF(Z748="","",SUMIFS($N$6:$N$1005,$B$6:$B$1005,Z748))</f>
        <v/>
      </c>
      <c r="AD748" s="76">
        <f>IF(Z748="","",AA748-AC748)</f>
        <v/>
      </c>
      <c r="AE748" s="117">
        <f>IF(Z748="","",IFERROR(1/SUMPRODUCT(MAX(($B$6:$B$1005=Z748)*$T$6:$T$1005)),""))</f>
        <v/>
      </c>
      <c r="AF748" s="77">
        <f>IF(AE748="","",SUMIFS($S$6:$S$1005,$B$6:$B$1005,Z748,$I$6:$I$1005,AE748))</f>
        <v/>
      </c>
    </row>
    <row r="749" ht="20" customHeight="1">
      <c r="B749" s="72" t="n"/>
      <c r="C749" s="72" t="n"/>
      <c r="D749" s="72" t="n"/>
      <c r="E749" s="72" t="n"/>
      <c r="F749" s="110" t="n"/>
      <c r="G749" s="73" t="n"/>
      <c r="H749" s="75">
        <f>IF(B749="","",IF(G749&lt;&gt;"",G749,IF(F749&lt;&gt;"",F749*IFERROR(INDEX('Contractors'!$I$6:$I$1005,MATCH(B749,'Contractors'!$B$6:$B$1005,0)),0),"")))</f>
        <v/>
      </c>
      <c r="I749" s="109" t="n"/>
      <c r="J749" s="72" t="n"/>
      <c r="K749" s="109" t="n"/>
      <c r="L749" s="73" t="n"/>
      <c r="M749" s="109" t="n"/>
      <c r="N749" s="73" t="n"/>
      <c r="O749" s="107">
        <f>IF(B749="","",IF(M749&lt;&gt;"","Paid",IF(AND(I749&lt;&gt;"",I749&lt;AsOf),"OVERDUE",IF(OR(K749&lt;&gt;"",L749&lt;&gt;""),"Invoiced","Scheduled"))))</f>
        <v/>
      </c>
      <c r="P749" s="115">
        <f>IF(B749="","",IF(E749&lt;&gt;"",E749,IFERROR(INDEX('Contractors'!$D$6:$D$1005,MATCH(B749,'Contractors'!$B$6:$B$1005,0)),"")))</f>
        <v/>
      </c>
      <c r="Q749" s="79">
        <f>IF(B749="","",IF(D749&lt;&gt;"",D749,IFERROR(INDEX('Contractors'!$E$6:$E$1005,MATCH(B749,'Contractors'!$B$6:$B$1005,0)),"")))</f>
        <v/>
      </c>
      <c r="R749" s="79">
        <f>IF(O749="","",IF(O749="OVERDUE",2,IF(O749="Paid",0,IF(AND(I749&lt;&gt;"",I749&lt;=AsOf+AlertDays),1,0))))</f>
        <v/>
      </c>
      <c r="S749" s="79">
        <f>IF(AND(B749&lt;&gt;"",M749="",I749&lt;&gt;""),IF(L749&lt;&gt;"",L749,IF(H749="",0,H749)),0)</f>
        <v/>
      </c>
      <c r="T749" s="79">
        <f>IF(AND(B749&lt;&gt;"",M749="",I749&lt;&gt;""),1/I749,0)</f>
        <v/>
      </c>
      <c r="U749" s="112">
        <f>IF(AND(B749&lt;&gt;"",M749="",I749&lt;&gt;""),I749,"")</f>
        <v/>
      </c>
      <c r="V749" s="79">
        <f>IF(U749="","",IF(U749&lt;AsOf,1,IF(U749&lt;=AsOf+AlertDays,2,IF(U749&lt;=AsOf+2*AlertDays,3,""))))</f>
        <v/>
      </c>
      <c r="W749" s="79">
        <f>IF(V749="","",IF(O749="OVERDUE","Overdue payment: ","Payment due: ")&amp;B749&amp;" — "&amp;C749&amp;" ("&amp;CurSym&amp;" "&amp;FIXED(S749,0)&amp;")")</f>
        <v/>
      </c>
      <c r="Z749" s="116">
        <f>IF('Contractors'!B749="","",'Contractors'!B749)</f>
        <v/>
      </c>
      <c r="AA749" s="77">
        <f>IF(Z749="","",'Contractors'!K749)</f>
        <v/>
      </c>
      <c r="AB749" s="77">
        <f>IF(Z749="","",SUMIFS($L$6:$L$1005,$B$6:$B$1005,Z749))</f>
        <v/>
      </c>
      <c r="AC749" s="77">
        <f>IF(Z749="","",SUMIFS($N$6:$N$1005,$B$6:$B$1005,Z749))</f>
        <v/>
      </c>
      <c r="AD749" s="76">
        <f>IF(Z749="","",AA749-AC749)</f>
        <v/>
      </c>
      <c r="AE749" s="117">
        <f>IF(Z749="","",IFERROR(1/SUMPRODUCT(MAX(($B$6:$B$1005=Z749)*$T$6:$T$1005)),""))</f>
        <v/>
      </c>
      <c r="AF749" s="77">
        <f>IF(AE749="","",SUMIFS($S$6:$S$1005,$B$6:$B$1005,Z749,$I$6:$I$1005,AE749))</f>
        <v/>
      </c>
    </row>
    <row r="750" ht="20" customHeight="1">
      <c r="B750" s="72" t="n"/>
      <c r="C750" s="72" t="n"/>
      <c r="D750" s="72" t="n"/>
      <c r="E750" s="72" t="n"/>
      <c r="F750" s="110" t="n"/>
      <c r="G750" s="73" t="n"/>
      <c r="H750" s="75">
        <f>IF(B750="","",IF(G750&lt;&gt;"",G750,IF(F750&lt;&gt;"",F750*IFERROR(INDEX('Contractors'!$I$6:$I$1005,MATCH(B750,'Contractors'!$B$6:$B$1005,0)),0),"")))</f>
        <v/>
      </c>
      <c r="I750" s="109" t="n"/>
      <c r="J750" s="72" t="n"/>
      <c r="K750" s="109" t="n"/>
      <c r="L750" s="73" t="n"/>
      <c r="M750" s="109" t="n"/>
      <c r="N750" s="73" t="n"/>
      <c r="O750" s="107">
        <f>IF(B750="","",IF(M750&lt;&gt;"","Paid",IF(AND(I750&lt;&gt;"",I750&lt;AsOf),"OVERDUE",IF(OR(K750&lt;&gt;"",L750&lt;&gt;""),"Invoiced","Scheduled"))))</f>
        <v/>
      </c>
      <c r="P750" s="115">
        <f>IF(B750="","",IF(E750&lt;&gt;"",E750,IFERROR(INDEX('Contractors'!$D$6:$D$1005,MATCH(B750,'Contractors'!$B$6:$B$1005,0)),"")))</f>
        <v/>
      </c>
      <c r="Q750" s="79">
        <f>IF(B750="","",IF(D750&lt;&gt;"",D750,IFERROR(INDEX('Contractors'!$E$6:$E$1005,MATCH(B750,'Contractors'!$B$6:$B$1005,0)),"")))</f>
        <v/>
      </c>
      <c r="R750" s="79">
        <f>IF(O750="","",IF(O750="OVERDUE",2,IF(O750="Paid",0,IF(AND(I750&lt;&gt;"",I750&lt;=AsOf+AlertDays),1,0))))</f>
        <v/>
      </c>
      <c r="S750" s="79">
        <f>IF(AND(B750&lt;&gt;"",M750="",I750&lt;&gt;""),IF(L750&lt;&gt;"",L750,IF(H750="",0,H750)),0)</f>
        <v/>
      </c>
      <c r="T750" s="79">
        <f>IF(AND(B750&lt;&gt;"",M750="",I750&lt;&gt;""),1/I750,0)</f>
        <v/>
      </c>
      <c r="U750" s="112">
        <f>IF(AND(B750&lt;&gt;"",M750="",I750&lt;&gt;""),I750,"")</f>
        <v/>
      </c>
      <c r="V750" s="79">
        <f>IF(U750="","",IF(U750&lt;AsOf,1,IF(U750&lt;=AsOf+AlertDays,2,IF(U750&lt;=AsOf+2*AlertDays,3,""))))</f>
        <v/>
      </c>
      <c r="W750" s="79">
        <f>IF(V750="","",IF(O750="OVERDUE","Overdue payment: ","Payment due: ")&amp;B750&amp;" — "&amp;C750&amp;" ("&amp;CurSym&amp;" "&amp;FIXED(S750,0)&amp;")")</f>
        <v/>
      </c>
      <c r="Z750" s="116">
        <f>IF('Contractors'!B750="","",'Contractors'!B750)</f>
        <v/>
      </c>
      <c r="AA750" s="77">
        <f>IF(Z750="","",'Contractors'!K750)</f>
        <v/>
      </c>
      <c r="AB750" s="77">
        <f>IF(Z750="","",SUMIFS($L$6:$L$1005,$B$6:$B$1005,Z750))</f>
        <v/>
      </c>
      <c r="AC750" s="77">
        <f>IF(Z750="","",SUMIFS($N$6:$N$1005,$B$6:$B$1005,Z750))</f>
        <v/>
      </c>
      <c r="AD750" s="76">
        <f>IF(Z750="","",AA750-AC750)</f>
        <v/>
      </c>
      <c r="AE750" s="117">
        <f>IF(Z750="","",IFERROR(1/SUMPRODUCT(MAX(($B$6:$B$1005=Z750)*$T$6:$T$1005)),""))</f>
        <v/>
      </c>
      <c r="AF750" s="77">
        <f>IF(AE750="","",SUMIFS($S$6:$S$1005,$B$6:$B$1005,Z750,$I$6:$I$1005,AE750))</f>
        <v/>
      </c>
    </row>
    <row r="751" ht="20" customHeight="1">
      <c r="B751" s="72" t="n"/>
      <c r="C751" s="72" t="n"/>
      <c r="D751" s="72" t="n"/>
      <c r="E751" s="72" t="n"/>
      <c r="F751" s="110" t="n"/>
      <c r="G751" s="73" t="n"/>
      <c r="H751" s="75">
        <f>IF(B751="","",IF(G751&lt;&gt;"",G751,IF(F751&lt;&gt;"",F751*IFERROR(INDEX('Contractors'!$I$6:$I$1005,MATCH(B751,'Contractors'!$B$6:$B$1005,0)),0),"")))</f>
        <v/>
      </c>
      <c r="I751" s="109" t="n"/>
      <c r="J751" s="72" t="n"/>
      <c r="K751" s="109" t="n"/>
      <c r="L751" s="73" t="n"/>
      <c r="M751" s="109" t="n"/>
      <c r="N751" s="73" t="n"/>
      <c r="O751" s="107">
        <f>IF(B751="","",IF(M751&lt;&gt;"","Paid",IF(AND(I751&lt;&gt;"",I751&lt;AsOf),"OVERDUE",IF(OR(K751&lt;&gt;"",L751&lt;&gt;""),"Invoiced","Scheduled"))))</f>
        <v/>
      </c>
      <c r="P751" s="115">
        <f>IF(B751="","",IF(E751&lt;&gt;"",E751,IFERROR(INDEX('Contractors'!$D$6:$D$1005,MATCH(B751,'Contractors'!$B$6:$B$1005,0)),"")))</f>
        <v/>
      </c>
      <c r="Q751" s="79">
        <f>IF(B751="","",IF(D751&lt;&gt;"",D751,IFERROR(INDEX('Contractors'!$E$6:$E$1005,MATCH(B751,'Contractors'!$B$6:$B$1005,0)),"")))</f>
        <v/>
      </c>
      <c r="R751" s="79">
        <f>IF(O751="","",IF(O751="OVERDUE",2,IF(O751="Paid",0,IF(AND(I751&lt;&gt;"",I751&lt;=AsOf+AlertDays),1,0))))</f>
        <v/>
      </c>
      <c r="S751" s="79">
        <f>IF(AND(B751&lt;&gt;"",M751="",I751&lt;&gt;""),IF(L751&lt;&gt;"",L751,IF(H751="",0,H751)),0)</f>
        <v/>
      </c>
      <c r="T751" s="79">
        <f>IF(AND(B751&lt;&gt;"",M751="",I751&lt;&gt;""),1/I751,0)</f>
        <v/>
      </c>
      <c r="U751" s="112">
        <f>IF(AND(B751&lt;&gt;"",M751="",I751&lt;&gt;""),I751,"")</f>
        <v/>
      </c>
      <c r="V751" s="79">
        <f>IF(U751="","",IF(U751&lt;AsOf,1,IF(U751&lt;=AsOf+AlertDays,2,IF(U751&lt;=AsOf+2*AlertDays,3,""))))</f>
        <v/>
      </c>
      <c r="W751" s="79">
        <f>IF(V751="","",IF(O751="OVERDUE","Overdue payment: ","Payment due: ")&amp;B751&amp;" — "&amp;C751&amp;" ("&amp;CurSym&amp;" "&amp;FIXED(S751,0)&amp;")")</f>
        <v/>
      </c>
      <c r="Z751" s="116">
        <f>IF('Contractors'!B751="","",'Contractors'!B751)</f>
        <v/>
      </c>
      <c r="AA751" s="77">
        <f>IF(Z751="","",'Contractors'!K751)</f>
        <v/>
      </c>
      <c r="AB751" s="77">
        <f>IF(Z751="","",SUMIFS($L$6:$L$1005,$B$6:$B$1005,Z751))</f>
        <v/>
      </c>
      <c r="AC751" s="77">
        <f>IF(Z751="","",SUMIFS($N$6:$N$1005,$B$6:$B$1005,Z751))</f>
        <v/>
      </c>
      <c r="AD751" s="76">
        <f>IF(Z751="","",AA751-AC751)</f>
        <v/>
      </c>
      <c r="AE751" s="117">
        <f>IF(Z751="","",IFERROR(1/SUMPRODUCT(MAX(($B$6:$B$1005=Z751)*$T$6:$T$1005)),""))</f>
        <v/>
      </c>
      <c r="AF751" s="77">
        <f>IF(AE751="","",SUMIFS($S$6:$S$1005,$B$6:$B$1005,Z751,$I$6:$I$1005,AE751))</f>
        <v/>
      </c>
    </row>
    <row r="752" ht="20" customHeight="1">
      <c r="B752" s="72" t="n"/>
      <c r="C752" s="72" t="n"/>
      <c r="D752" s="72" t="n"/>
      <c r="E752" s="72" t="n"/>
      <c r="F752" s="110" t="n"/>
      <c r="G752" s="73" t="n"/>
      <c r="H752" s="75">
        <f>IF(B752="","",IF(G752&lt;&gt;"",G752,IF(F752&lt;&gt;"",F752*IFERROR(INDEX('Contractors'!$I$6:$I$1005,MATCH(B752,'Contractors'!$B$6:$B$1005,0)),0),"")))</f>
        <v/>
      </c>
      <c r="I752" s="109" t="n"/>
      <c r="J752" s="72" t="n"/>
      <c r="K752" s="109" t="n"/>
      <c r="L752" s="73" t="n"/>
      <c r="M752" s="109" t="n"/>
      <c r="N752" s="73" t="n"/>
      <c r="O752" s="107">
        <f>IF(B752="","",IF(M752&lt;&gt;"","Paid",IF(AND(I752&lt;&gt;"",I752&lt;AsOf),"OVERDUE",IF(OR(K752&lt;&gt;"",L752&lt;&gt;""),"Invoiced","Scheduled"))))</f>
        <v/>
      </c>
      <c r="P752" s="115">
        <f>IF(B752="","",IF(E752&lt;&gt;"",E752,IFERROR(INDEX('Contractors'!$D$6:$D$1005,MATCH(B752,'Contractors'!$B$6:$B$1005,0)),"")))</f>
        <v/>
      </c>
      <c r="Q752" s="79">
        <f>IF(B752="","",IF(D752&lt;&gt;"",D752,IFERROR(INDEX('Contractors'!$E$6:$E$1005,MATCH(B752,'Contractors'!$B$6:$B$1005,0)),"")))</f>
        <v/>
      </c>
      <c r="R752" s="79">
        <f>IF(O752="","",IF(O752="OVERDUE",2,IF(O752="Paid",0,IF(AND(I752&lt;&gt;"",I752&lt;=AsOf+AlertDays),1,0))))</f>
        <v/>
      </c>
      <c r="S752" s="79">
        <f>IF(AND(B752&lt;&gt;"",M752="",I752&lt;&gt;""),IF(L752&lt;&gt;"",L752,IF(H752="",0,H752)),0)</f>
        <v/>
      </c>
      <c r="T752" s="79">
        <f>IF(AND(B752&lt;&gt;"",M752="",I752&lt;&gt;""),1/I752,0)</f>
        <v/>
      </c>
      <c r="U752" s="112">
        <f>IF(AND(B752&lt;&gt;"",M752="",I752&lt;&gt;""),I752,"")</f>
        <v/>
      </c>
      <c r="V752" s="79">
        <f>IF(U752="","",IF(U752&lt;AsOf,1,IF(U752&lt;=AsOf+AlertDays,2,IF(U752&lt;=AsOf+2*AlertDays,3,""))))</f>
        <v/>
      </c>
      <c r="W752" s="79">
        <f>IF(V752="","",IF(O752="OVERDUE","Overdue payment: ","Payment due: ")&amp;B752&amp;" — "&amp;C752&amp;" ("&amp;CurSym&amp;" "&amp;FIXED(S752,0)&amp;")")</f>
        <v/>
      </c>
      <c r="Z752" s="116">
        <f>IF('Contractors'!B752="","",'Contractors'!B752)</f>
        <v/>
      </c>
      <c r="AA752" s="77">
        <f>IF(Z752="","",'Contractors'!K752)</f>
        <v/>
      </c>
      <c r="AB752" s="77">
        <f>IF(Z752="","",SUMIFS($L$6:$L$1005,$B$6:$B$1005,Z752))</f>
        <v/>
      </c>
      <c r="AC752" s="77">
        <f>IF(Z752="","",SUMIFS($N$6:$N$1005,$B$6:$B$1005,Z752))</f>
        <v/>
      </c>
      <c r="AD752" s="76">
        <f>IF(Z752="","",AA752-AC752)</f>
        <v/>
      </c>
      <c r="AE752" s="117">
        <f>IF(Z752="","",IFERROR(1/SUMPRODUCT(MAX(($B$6:$B$1005=Z752)*$T$6:$T$1005)),""))</f>
        <v/>
      </c>
      <c r="AF752" s="77">
        <f>IF(AE752="","",SUMIFS($S$6:$S$1005,$B$6:$B$1005,Z752,$I$6:$I$1005,AE752))</f>
        <v/>
      </c>
    </row>
    <row r="753" ht="20" customHeight="1">
      <c r="B753" s="72" t="n"/>
      <c r="C753" s="72" t="n"/>
      <c r="D753" s="72" t="n"/>
      <c r="E753" s="72" t="n"/>
      <c r="F753" s="110" t="n"/>
      <c r="G753" s="73" t="n"/>
      <c r="H753" s="75">
        <f>IF(B753="","",IF(G753&lt;&gt;"",G753,IF(F753&lt;&gt;"",F753*IFERROR(INDEX('Contractors'!$I$6:$I$1005,MATCH(B753,'Contractors'!$B$6:$B$1005,0)),0),"")))</f>
        <v/>
      </c>
      <c r="I753" s="109" t="n"/>
      <c r="J753" s="72" t="n"/>
      <c r="K753" s="109" t="n"/>
      <c r="L753" s="73" t="n"/>
      <c r="M753" s="109" t="n"/>
      <c r="N753" s="73" t="n"/>
      <c r="O753" s="107">
        <f>IF(B753="","",IF(M753&lt;&gt;"","Paid",IF(AND(I753&lt;&gt;"",I753&lt;AsOf),"OVERDUE",IF(OR(K753&lt;&gt;"",L753&lt;&gt;""),"Invoiced","Scheduled"))))</f>
        <v/>
      </c>
      <c r="P753" s="115">
        <f>IF(B753="","",IF(E753&lt;&gt;"",E753,IFERROR(INDEX('Contractors'!$D$6:$D$1005,MATCH(B753,'Contractors'!$B$6:$B$1005,0)),"")))</f>
        <v/>
      </c>
      <c r="Q753" s="79">
        <f>IF(B753="","",IF(D753&lt;&gt;"",D753,IFERROR(INDEX('Contractors'!$E$6:$E$1005,MATCH(B753,'Contractors'!$B$6:$B$1005,0)),"")))</f>
        <v/>
      </c>
      <c r="R753" s="79">
        <f>IF(O753="","",IF(O753="OVERDUE",2,IF(O753="Paid",0,IF(AND(I753&lt;&gt;"",I753&lt;=AsOf+AlertDays),1,0))))</f>
        <v/>
      </c>
      <c r="S753" s="79">
        <f>IF(AND(B753&lt;&gt;"",M753="",I753&lt;&gt;""),IF(L753&lt;&gt;"",L753,IF(H753="",0,H753)),0)</f>
        <v/>
      </c>
      <c r="T753" s="79">
        <f>IF(AND(B753&lt;&gt;"",M753="",I753&lt;&gt;""),1/I753,0)</f>
        <v/>
      </c>
      <c r="U753" s="112">
        <f>IF(AND(B753&lt;&gt;"",M753="",I753&lt;&gt;""),I753,"")</f>
        <v/>
      </c>
      <c r="V753" s="79">
        <f>IF(U753="","",IF(U753&lt;AsOf,1,IF(U753&lt;=AsOf+AlertDays,2,IF(U753&lt;=AsOf+2*AlertDays,3,""))))</f>
        <v/>
      </c>
      <c r="W753" s="79">
        <f>IF(V753="","",IF(O753="OVERDUE","Overdue payment: ","Payment due: ")&amp;B753&amp;" — "&amp;C753&amp;" ("&amp;CurSym&amp;" "&amp;FIXED(S753,0)&amp;")")</f>
        <v/>
      </c>
      <c r="Z753" s="116">
        <f>IF('Contractors'!B753="","",'Contractors'!B753)</f>
        <v/>
      </c>
      <c r="AA753" s="77">
        <f>IF(Z753="","",'Contractors'!K753)</f>
        <v/>
      </c>
      <c r="AB753" s="77">
        <f>IF(Z753="","",SUMIFS($L$6:$L$1005,$B$6:$B$1005,Z753))</f>
        <v/>
      </c>
      <c r="AC753" s="77">
        <f>IF(Z753="","",SUMIFS($N$6:$N$1005,$B$6:$B$1005,Z753))</f>
        <v/>
      </c>
      <c r="AD753" s="76">
        <f>IF(Z753="","",AA753-AC753)</f>
        <v/>
      </c>
      <c r="AE753" s="117">
        <f>IF(Z753="","",IFERROR(1/SUMPRODUCT(MAX(($B$6:$B$1005=Z753)*$T$6:$T$1005)),""))</f>
        <v/>
      </c>
      <c r="AF753" s="77">
        <f>IF(AE753="","",SUMIFS($S$6:$S$1005,$B$6:$B$1005,Z753,$I$6:$I$1005,AE753))</f>
        <v/>
      </c>
    </row>
    <row r="754" ht="20" customHeight="1">
      <c r="B754" s="72" t="n"/>
      <c r="C754" s="72" t="n"/>
      <c r="D754" s="72" t="n"/>
      <c r="E754" s="72" t="n"/>
      <c r="F754" s="110" t="n"/>
      <c r="G754" s="73" t="n"/>
      <c r="H754" s="75">
        <f>IF(B754="","",IF(G754&lt;&gt;"",G754,IF(F754&lt;&gt;"",F754*IFERROR(INDEX('Contractors'!$I$6:$I$1005,MATCH(B754,'Contractors'!$B$6:$B$1005,0)),0),"")))</f>
        <v/>
      </c>
      <c r="I754" s="109" t="n"/>
      <c r="J754" s="72" t="n"/>
      <c r="K754" s="109" t="n"/>
      <c r="L754" s="73" t="n"/>
      <c r="M754" s="109" t="n"/>
      <c r="N754" s="73" t="n"/>
      <c r="O754" s="107">
        <f>IF(B754="","",IF(M754&lt;&gt;"","Paid",IF(AND(I754&lt;&gt;"",I754&lt;AsOf),"OVERDUE",IF(OR(K754&lt;&gt;"",L754&lt;&gt;""),"Invoiced","Scheduled"))))</f>
        <v/>
      </c>
      <c r="P754" s="115">
        <f>IF(B754="","",IF(E754&lt;&gt;"",E754,IFERROR(INDEX('Contractors'!$D$6:$D$1005,MATCH(B754,'Contractors'!$B$6:$B$1005,0)),"")))</f>
        <v/>
      </c>
      <c r="Q754" s="79">
        <f>IF(B754="","",IF(D754&lt;&gt;"",D754,IFERROR(INDEX('Contractors'!$E$6:$E$1005,MATCH(B754,'Contractors'!$B$6:$B$1005,0)),"")))</f>
        <v/>
      </c>
      <c r="R754" s="79">
        <f>IF(O754="","",IF(O754="OVERDUE",2,IF(O754="Paid",0,IF(AND(I754&lt;&gt;"",I754&lt;=AsOf+AlertDays),1,0))))</f>
        <v/>
      </c>
      <c r="S754" s="79">
        <f>IF(AND(B754&lt;&gt;"",M754="",I754&lt;&gt;""),IF(L754&lt;&gt;"",L754,IF(H754="",0,H754)),0)</f>
        <v/>
      </c>
      <c r="T754" s="79">
        <f>IF(AND(B754&lt;&gt;"",M754="",I754&lt;&gt;""),1/I754,0)</f>
        <v/>
      </c>
      <c r="U754" s="112">
        <f>IF(AND(B754&lt;&gt;"",M754="",I754&lt;&gt;""),I754,"")</f>
        <v/>
      </c>
      <c r="V754" s="79">
        <f>IF(U754="","",IF(U754&lt;AsOf,1,IF(U754&lt;=AsOf+AlertDays,2,IF(U754&lt;=AsOf+2*AlertDays,3,""))))</f>
        <v/>
      </c>
      <c r="W754" s="79">
        <f>IF(V754="","",IF(O754="OVERDUE","Overdue payment: ","Payment due: ")&amp;B754&amp;" — "&amp;C754&amp;" ("&amp;CurSym&amp;" "&amp;FIXED(S754,0)&amp;")")</f>
        <v/>
      </c>
      <c r="Z754" s="116">
        <f>IF('Contractors'!B754="","",'Contractors'!B754)</f>
        <v/>
      </c>
      <c r="AA754" s="77">
        <f>IF(Z754="","",'Contractors'!K754)</f>
        <v/>
      </c>
      <c r="AB754" s="77">
        <f>IF(Z754="","",SUMIFS($L$6:$L$1005,$B$6:$B$1005,Z754))</f>
        <v/>
      </c>
      <c r="AC754" s="77">
        <f>IF(Z754="","",SUMIFS($N$6:$N$1005,$B$6:$B$1005,Z754))</f>
        <v/>
      </c>
      <c r="AD754" s="76">
        <f>IF(Z754="","",AA754-AC754)</f>
        <v/>
      </c>
      <c r="AE754" s="117">
        <f>IF(Z754="","",IFERROR(1/SUMPRODUCT(MAX(($B$6:$B$1005=Z754)*$T$6:$T$1005)),""))</f>
        <v/>
      </c>
      <c r="AF754" s="77">
        <f>IF(AE754="","",SUMIFS($S$6:$S$1005,$B$6:$B$1005,Z754,$I$6:$I$1005,AE754))</f>
        <v/>
      </c>
    </row>
    <row r="755" ht="20" customHeight="1">
      <c r="B755" s="72" t="n"/>
      <c r="C755" s="72" t="n"/>
      <c r="D755" s="72" t="n"/>
      <c r="E755" s="72" t="n"/>
      <c r="F755" s="110" t="n"/>
      <c r="G755" s="73" t="n"/>
      <c r="H755" s="75">
        <f>IF(B755="","",IF(G755&lt;&gt;"",G755,IF(F755&lt;&gt;"",F755*IFERROR(INDEX('Contractors'!$I$6:$I$1005,MATCH(B755,'Contractors'!$B$6:$B$1005,0)),0),"")))</f>
        <v/>
      </c>
      <c r="I755" s="109" t="n"/>
      <c r="J755" s="72" t="n"/>
      <c r="K755" s="109" t="n"/>
      <c r="L755" s="73" t="n"/>
      <c r="M755" s="109" t="n"/>
      <c r="N755" s="73" t="n"/>
      <c r="O755" s="107">
        <f>IF(B755="","",IF(M755&lt;&gt;"","Paid",IF(AND(I755&lt;&gt;"",I755&lt;AsOf),"OVERDUE",IF(OR(K755&lt;&gt;"",L755&lt;&gt;""),"Invoiced","Scheduled"))))</f>
        <v/>
      </c>
      <c r="P755" s="115">
        <f>IF(B755="","",IF(E755&lt;&gt;"",E755,IFERROR(INDEX('Contractors'!$D$6:$D$1005,MATCH(B755,'Contractors'!$B$6:$B$1005,0)),"")))</f>
        <v/>
      </c>
      <c r="Q755" s="79">
        <f>IF(B755="","",IF(D755&lt;&gt;"",D755,IFERROR(INDEX('Contractors'!$E$6:$E$1005,MATCH(B755,'Contractors'!$B$6:$B$1005,0)),"")))</f>
        <v/>
      </c>
      <c r="R755" s="79">
        <f>IF(O755="","",IF(O755="OVERDUE",2,IF(O755="Paid",0,IF(AND(I755&lt;&gt;"",I755&lt;=AsOf+AlertDays),1,0))))</f>
        <v/>
      </c>
      <c r="S755" s="79">
        <f>IF(AND(B755&lt;&gt;"",M755="",I755&lt;&gt;""),IF(L755&lt;&gt;"",L755,IF(H755="",0,H755)),0)</f>
        <v/>
      </c>
      <c r="T755" s="79">
        <f>IF(AND(B755&lt;&gt;"",M755="",I755&lt;&gt;""),1/I755,0)</f>
        <v/>
      </c>
      <c r="U755" s="112">
        <f>IF(AND(B755&lt;&gt;"",M755="",I755&lt;&gt;""),I755,"")</f>
        <v/>
      </c>
      <c r="V755" s="79">
        <f>IF(U755="","",IF(U755&lt;AsOf,1,IF(U755&lt;=AsOf+AlertDays,2,IF(U755&lt;=AsOf+2*AlertDays,3,""))))</f>
        <v/>
      </c>
      <c r="W755" s="79">
        <f>IF(V755="","",IF(O755="OVERDUE","Overdue payment: ","Payment due: ")&amp;B755&amp;" — "&amp;C755&amp;" ("&amp;CurSym&amp;" "&amp;FIXED(S755,0)&amp;")")</f>
        <v/>
      </c>
      <c r="Z755" s="116">
        <f>IF('Contractors'!B755="","",'Contractors'!B755)</f>
        <v/>
      </c>
      <c r="AA755" s="77">
        <f>IF(Z755="","",'Contractors'!K755)</f>
        <v/>
      </c>
      <c r="AB755" s="77">
        <f>IF(Z755="","",SUMIFS($L$6:$L$1005,$B$6:$B$1005,Z755))</f>
        <v/>
      </c>
      <c r="AC755" s="77">
        <f>IF(Z755="","",SUMIFS($N$6:$N$1005,$B$6:$B$1005,Z755))</f>
        <v/>
      </c>
      <c r="AD755" s="76">
        <f>IF(Z755="","",AA755-AC755)</f>
        <v/>
      </c>
      <c r="AE755" s="117">
        <f>IF(Z755="","",IFERROR(1/SUMPRODUCT(MAX(($B$6:$B$1005=Z755)*$T$6:$T$1005)),""))</f>
        <v/>
      </c>
      <c r="AF755" s="77">
        <f>IF(AE755="","",SUMIFS($S$6:$S$1005,$B$6:$B$1005,Z755,$I$6:$I$1005,AE755))</f>
        <v/>
      </c>
    </row>
    <row r="756" ht="20" customHeight="1">
      <c r="B756" s="72" t="n"/>
      <c r="C756" s="72" t="n"/>
      <c r="D756" s="72" t="n"/>
      <c r="E756" s="72" t="n"/>
      <c r="F756" s="110" t="n"/>
      <c r="G756" s="73" t="n"/>
      <c r="H756" s="75">
        <f>IF(B756="","",IF(G756&lt;&gt;"",G756,IF(F756&lt;&gt;"",F756*IFERROR(INDEX('Contractors'!$I$6:$I$1005,MATCH(B756,'Contractors'!$B$6:$B$1005,0)),0),"")))</f>
        <v/>
      </c>
      <c r="I756" s="109" t="n"/>
      <c r="J756" s="72" t="n"/>
      <c r="K756" s="109" t="n"/>
      <c r="L756" s="73" t="n"/>
      <c r="M756" s="109" t="n"/>
      <c r="N756" s="73" t="n"/>
      <c r="O756" s="107">
        <f>IF(B756="","",IF(M756&lt;&gt;"","Paid",IF(AND(I756&lt;&gt;"",I756&lt;AsOf),"OVERDUE",IF(OR(K756&lt;&gt;"",L756&lt;&gt;""),"Invoiced","Scheduled"))))</f>
        <v/>
      </c>
      <c r="P756" s="115">
        <f>IF(B756="","",IF(E756&lt;&gt;"",E756,IFERROR(INDEX('Contractors'!$D$6:$D$1005,MATCH(B756,'Contractors'!$B$6:$B$1005,0)),"")))</f>
        <v/>
      </c>
      <c r="Q756" s="79">
        <f>IF(B756="","",IF(D756&lt;&gt;"",D756,IFERROR(INDEX('Contractors'!$E$6:$E$1005,MATCH(B756,'Contractors'!$B$6:$B$1005,0)),"")))</f>
        <v/>
      </c>
      <c r="R756" s="79">
        <f>IF(O756="","",IF(O756="OVERDUE",2,IF(O756="Paid",0,IF(AND(I756&lt;&gt;"",I756&lt;=AsOf+AlertDays),1,0))))</f>
        <v/>
      </c>
      <c r="S756" s="79">
        <f>IF(AND(B756&lt;&gt;"",M756="",I756&lt;&gt;""),IF(L756&lt;&gt;"",L756,IF(H756="",0,H756)),0)</f>
        <v/>
      </c>
      <c r="T756" s="79">
        <f>IF(AND(B756&lt;&gt;"",M756="",I756&lt;&gt;""),1/I756,0)</f>
        <v/>
      </c>
      <c r="U756" s="112">
        <f>IF(AND(B756&lt;&gt;"",M756="",I756&lt;&gt;""),I756,"")</f>
        <v/>
      </c>
      <c r="V756" s="79">
        <f>IF(U756="","",IF(U756&lt;AsOf,1,IF(U756&lt;=AsOf+AlertDays,2,IF(U756&lt;=AsOf+2*AlertDays,3,""))))</f>
        <v/>
      </c>
      <c r="W756" s="79">
        <f>IF(V756="","",IF(O756="OVERDUE","Overdue payment: ","Payment due: ")&amp;B756&amp;" — "&amp;C756&amp;" ("&amp;CurSym&amp;" "&amp;FIXED(S756,0)&amp;")")</f>
        <v/>
      </c>
      <c r="Z756" s="116">
        <f>IF('Contractors'!B756="","",'Contractors'!B756)</f>
        <v/>
      </c>
      <c r="AA756" s="77">
        <f>IF(Z756="","",'Contractors'!K756)</f>
        <v/>
      </c>
      <c r="AB756" s="77">
        <f>IF(Z756="","",SUMIFS($L$6:$L$1005,$B$6:$B$1005,Z756))</f>
        <v/>
      </c>
      <c r="AC756" s="77">
        <f>IF(Z756="","",SUMIFS($N$6:$N$1005,$B$6:$B$1005,Z756))</f>
        <v/>
      </c>
      <c r="AD756" s="76">
        <f>IF(Z756="","",AA756-AC756)</f>
        <v/>
      </c>
      <c r="AE756" s="117">
        <f>IF(Z756="","",IFERROR(1/SUMPRODUCT(MAX(($B$6:$B$1005=Z756)*$T$6:$T$1005)),""))</f>
        <v/>
      </c>
      <c r="AF756" s="77">
        <f>IF(AE756="","",SUMIFS($S$6:$S$1005,$B$6:$B$1005,Z756,$I$6:$I$1005,AE756))</f>
        <v/>
      </c>
    </row>
    <row r="757" ht="20" customHeight="1">
      <c r="B757" s="72" t="n"/>
      <c r="C757" s="72" t="n"/>
      <c r="D757" s="72" t="n"/>
      <c r="E757" s="72" t="n"/>
      <c r="F757" s="110" t="n"/>
      <c r="G757" s="73" t="n"/>
      <c r="H757" s="75">
        <f>IF(B757="","",IF(G757&lt;&gt;"",G757,IF(F757&lt;&gt;"",F757*IFERROR(INDEX('Contractors'!$I$6:$I$1005,MATCH(B757,'Contractors'!$B$6:$B$1005,0)),0),"")))</f>
        <v/>
      </c>
      <c r="I757" s="109" t="n"/>
      <c r="J757" s="72" t="n"/>
      <c r="K757" s="109" t="n"/>
      <c r="L757" s="73" t="n"/>
      <c r="M757" s="109" t="n"/>
      <c r="N757" s="73" t="n"/>
      <c r="O757" s="107">
        <f>IF(B757="","",IF(M757&lt;&gt;"","Paid",IF(AND(I757&lt;&gt;"",I757&lt;AsOf),"OVERDUE",IF(OR(K757&lt;&gt;"",L757&lt;&gt;""),"Invoiced","Scheduled"))))</f>
        <v/>
      </c>
      <c r="P757" s="115">
        <f>IF(B757="","",IF(E757&lt;&gt;"",E757,IFERROR(INDEX('Contractors'!$D$6:$D$1005,MATCH(B757,'Contractors'!$B$6:$B$1005,0)),"")))</f>
        <v/>
      </c>
      <c r="Q757" s="79">
        <f>IF(B757="","",IF(D757&lt;&gt;"",D757,IFERROR(INDEX('Contractors'!$E$6:$E$1005,MATCH(B757,'Contractors'!$B$6:$B$1005,0)),"")))</f>
        <v/>
      </c>
      <c r="R757" s="79">
        <f>IF(O757="","",IF(O757="OVERDUE",2,IF(O757="Paid",0,IF(AND(I757&lt;&gt;"",I757&lt;=AsOf+AlertDays),1,0))))</f>
        <v/>
      </c>
      <c r="S757" s="79">
        <f>IF(AND(B757&lt;&gt;"",M757="",I757&lt;&gt;""),IF(L757&lt;&gt;"",L757,IF(H757="",0,H757)),0)</f>
        <v/>
      </c>
      <c r="T757" s="79">
        <f>IF(AND(B757&lt;&gt;"",M757="",I757&lt;&gt;""),1/I757,0)</f>
        <v/>
      </c>
      <c r="U757" s="112">
        <f>IF(AND(B757&lt;&gt;"",M757="",I757&lt;&gt;""),I757,"")</f>
        <v/>
      </c>
      <c r="V757" s="79">
        <f>IF(U757="","",IF(U757&lt;AsOf,1,IF(U757&lt;=AsOf+AlertDays,2,IF(U757&lt;=AsOf+2*AlertDays,3,""))))</f>
        <v/>
      </c>
      <c r="W757" s="79">
        <f>IF(V757="","",IF(O757="OVERDUE","Overdue payment: ","Payment due: ")&amp;B757&amp;" — "&amp;C757&amp;" ("&amp;CurSym&amp;" "&amp;FIXED(S757,0)&amp;")")</f>
        <v/>
      </c>
      <c r="Z757" s="116">
        <f>IF('Contractors'!B757="","",'Contractors'!B757)</f>
        <v/>
      </c>
      <c r="AA757" s="77">
        <f>IF(Z757="","",'Contractors'!K757)</f>
        <v/>
      </c>
      <c r="AB757" s="77">
        <f>IF(Z757="","",SUMIFS($L$6:$L$1005,$B$6:$B$1005,Z757))</f>
        <v/>
      </c>
      <c r="AC757" s="77">
        <f>IF(Z757="","",SUMIFS($N$6:$N$1005,$B$6:$B$1005,Z757))</f>
        <v/>
      </c>
      <c r="AD757" s="76">
        <f>IF(Z757="","",AA757-AC757)</f>
        <v/>
      </c>
      <c r="AE757" s="117">
        <f>IF(Z757="","",IFERROR(1/SUMPRODUCT(MAX(($B$6:$B$1005=Z757)*$T$6:$T$1005)),""))</f>
        <v/>
      </c>
      <c r="AF757" s="77">
        <f>IF(AE757="","",SUMIFS($S$6:$S$1005,$B$6:$B$1005,Z757,$I$6:$I$1005,AE757))</f>
        <v/>
      </c>
    </row>
    <row r="758" ht="20" customHeight="1">
      <c r="B758" s="72" t="n"/>
      <c r="C758" s="72" t="n"/>
      <c r="D758" s="72" t="n"/>
      <c r="E758" s="72" t="n"/>
      <c r="F758" s="110" t="n"/>
      <c r="G758" s="73" t="n"/>
      <c r="H758" s="75">
        <f>IF(B758="","",IF(G758&lt;&gt;"",G758,IF(F758&lt;&gt;"",F758*IFERROR(INDEX('Contractors'!$I$6:$I$1005,MATCH(B758,'Contractors'!$B$6:$B$1005,0)),0),"")))</f>
        <v/>
      </c>
      <c r="I758" s="109" t="n"/>
      <c r="J758" s="72" t="n"/>
      <c r="K758" s="109" t="n"/>
      <c r="L758" s="73" t="n"/>
      <c r="M758" s="109" t="n"/>
      <c r="N758" s="73" t="n"/>
      <c r="O758" s="107">
        <f>IF(B758="","",IF(M758&lt;&gt;"","Paid",IF(AND(I758&lt;&gt;"",I758&lt;AsOf),"OVERDUE",IF(OR(K758&lt;&gt;"",L758&lt;&gt;""),"Invoiced","Scheduled"))))</f>
        <v/>
      </c>
      <c r="P758" s="115">
        <f>IF(B758="","",IF(E758&lt;&gt;"",E758,IFERROR(INDEX('Contractors'!$D$6:$D$1005,MATCH(B758,'Contractors'!$B$6:$B$1005,0)),"")))</f>
        <v/>
      </c>
      <c r="Q758" s="79">
        <f>IF(B758="","",IF(D758&lt;&gt;"",D758,IFERROR(INDEX('Contractors'!$E$6:$E$1005,MATCH(B758,'Contractors'!$B$6:$B$1005,0)),"")))</f>
        <v/>
      </c>
      <c r="R758" s="79">
        <f>IF(O758="","",IF(O758="OVERDUE",2,IF(O758="Paid",0,IF(AND(I758&lt;&gt;"",I758&lt;=AsOf+AlertDays),1,0))))</f>
        <v/>
      </c>
      <c r="S758" s="79">
        <f>IF(AND(B758&lt;&gt;"",M758="",I758&lt;&gt;""),IF(L758&lt;&gt;"",L758,IF(H758="",0,H758)),0)</f>
        <v/>
      </c>
      <c r="T758" s="79">
        <f>IF(AND(B758&lt;&gt;"",M758="",I758&lt;&gt;""),1/I758,0)</f>
        <v/>
      </c>
      <c r="U758" s="112">
        <f>IF(AND(B758&lt;&gt;"",M758="",I758&lt;&gt;""),I758,"")</f>
        <v/>
      </c>
      <c r="V758" s="79">
        <f>IF(U758="","",IF(U758&lt;AsOf,1,IF(U758&lt;=AsOf+AlertDays,2,IF(U758&lt;=AsOf+2*AlertDays,3,""))))</f>
        <v/>
      </c>
      <c r="W758" s="79">
        <f>IF(V758="","",IF(O758="OVERDUE","Overdue payment: ","Payment due: ")&amp;B758&amp;" — "&amp;C758&amp;" ("&amp;CurSym&amp;" "&amp;FIXED(S758,0)&amp;")")</f>
        <v/>
      </c>
      <c r="Z758" s="116">
        <f>IF('Contractors'!B758="","",'Contractors'!B758)</f>
        <v/>
      </c>
      <c r="AA758" s="77">
        <f>IF(Z758="","",'Contractors'!K758)</f>
        <v/>
      </c>
      <c r="AB758" s="77">
        <f>IF(Z758="","",SUMIFS($L$6:$L$1005,$B$6:$B$1005,Z758))</f>
        <v/>
      </c>
      <c r="AC758" s="77">
        <f>IF(Z758="","",SUMIFS($N$6:$N$1005,$B$6:$B$1005,Z758))</f>
        <v/>
      </c>
      <c r="AD758" s="76">
        <f>IF(Z758="","",AA758-AC758)</f>
        <v/>
      </c>
      <c r="AE758" s="117">
        <f>IF(Z758="","",IFERROR(1/SUMPRODUCT(MAX(($B$6:$B$1005=Z758)*$T$6:$T$1005)),""))</f>
        <v/>
      </c>
      <c r="AF758" s="77">
        <f>IF(AE758="","",SUMIFS($S$6:$S$1005,$B$6:$B$1005,Z758,$I$6:$I$1005,AE758))</f>
        <v/>
      </c>
    </row>
    <row r="759" ht="20" customHeight="1">
      <c r="B759" s="72" t="n"/>
      <c r="C759" s="72" t="n"/>
      <c r="D759" s="72" t="n"/>
      <c r="E759" s="72" t="n"/>
      <c r="F759" s="110" t="n"/>
      <c r="G759" s="73" t="n"/>
      <c r="H759" s="75">
        <f>IF(B759="","",IF(G759&lt;&gt;"",G759,IF(F759&lt;&gt;"",F759*IFERROR(INDEX('Contractors'!$I$6:$I$1005,MATCH(B759,'Contractors'!$B$6:$B$1005,0)),0),"")))</f>
        <v/>
      </c>
      <c r="I759" s="109" t="n"/>
      <c r="J759" s="72" t="n"/>
      <c r="K759" s="109" t="n"/>
      <c r="L759" s="73" t="n"/>
      <c r="M759" s="109" t="n"/>
      <c r="N759" s="73" t="n"/>
      <c r="O759" s="107">
        <f>IF(B759="","",IF(M759&lt;&gt;"","Paid",IF(AND(I759&lt;&gt;"",I759&lt;AsOf),"OVERDUE",IF(OR(K759&lt;&gt;"",L759&lt;&gt;""),"Invoiced","Scheduled"))))</f>
        <v/>
      </c>
      <c r="P759" s="115">
        <f>IF(B759="","",IF(E759&lt;&gt;"",E759,IFERROR(INDEX('Contractors'!$D$6:$D$1005,MATCH(B759,'Contractors'!$B$6:$B$1005,0)),"")))</f>
        <v/>
      </c>
      <c r="Q759" s="79">
        <f>IF(B759="","",IF(D759&lt;&gt;"",D759,IFERROR(INDEX('Contractors'!$E$6:$E$1005,MATCH(B759,'Contractors'!$B$6:$B$1005,0)),"")))</f>
        <v/>
      </c>
      <c r="R759" s="79">
        <f>IF(O759="","",IF(O759="OVERDUE",2,IF(O759="Paid",0,IF(AND(I759&lt;&gt;"",I759&lt;=AsOf+AlertDays),1,0))))</f>
        <v/>
      </c>
      <c r="S759" s="79">
        <f>IF(AND(B759&lt;&gt;"",M759="",I759&lt;&gt;""),IF(L759&lt;&gt;"",L759,IF(H759="",0,H759)),0)</f>
        <v/>
      </c>
      <c r="T759" s="79">
        <f>IF(AND(B759&lt;&gt;"",M759="",I759&lt;&gt;""),1/I759,0)</f>
        <v/>
      </c>
      <c r="U759" s="112">
        <f>IF(AND(B759&lt;&gt;"",M759="",I759&lt;&gt;""),I759,"")</f>
        <v/>
      </c>
      <c r="V759" s="79">
        <f>IF(U759="","",IF(U759&lt;AsOf,1,IF(U759&lt;=AsOf+AlertDays,2,IF(U759&lt;=AsOf+2*AlertDays,3,""))))</f>
        <v/>
      </c>
      <c r="W759" s="79">
        <f>IF(V759="","",IF(O759="OVERDUE","Overdue payment: ","Payment due: ")&amp;B759&amp;" — "&amp;C759&amp;" ("&amp;CurSym&amp;" "&amp;FIXED(S759,0)&amp;")")</f>
        <v/>
      </c>
      <c r="Z759" s="116">
        <f>IF('Contractors'!B759="","",'Contractors'!B759)</f>
        <v/>
      </c>
      <c r="AA759" s="77">
        <f>IF(Z759="","",'Contractors'!K759)</f>
        <v/>
      </c>
      <c r="AB759" s="77">
        <f>IF(Z759="","",SUMIFS($L$6:$L$1005,$B$6:$B$1005,Z759))</f>
        <v/>
      </c>
      <c r="AC759" s="77">
        <f>IF(Z759="","",SUMIFS($N$6:$N$1005,$B$6:$B$1005,Z759))</f>
        <v/>
      </c>
      <c r="AD759" s="76">
        <f>IF(Z759="","",AA759-AC759)</f>
        <v/>
      </c>
      <c r="AE759" s="117">
        <f>IF(Z759="","",IFERROR(1/SUMPRODUCT(MAX(($B$6:$B$1005=Z759)*$T$6:$T$1005)),""))</f>
        <v/>
      </c>
      <c r="AF759" s="77">
        <f>IF(AE759="","",SUMIFS($S$6:$S$1005,$B$6:$B$1005,Z759,$I$6:$I$1005,AE759))</f>
        <v/>
      </c>
    </row>
    <row r="760" ht="20" customHeight="1">
      <c r="B760" s="72" t="n"/>
      <c r="C760" s="72" t="n"/>
      <c r="D760" s="72" t="n"/>
      <c r="E760" s="72" t="n"/>
      <c r="F760" s="110" t="n"/>
      <c r="G760" s="73" t="n"/>
      <c r="H760" s="75">
        <f>IF(B760="","",IF(G760&lt;&gt;"",G760,IF(F760&lt;&gt;"",F760*IFERROR(INDEX('Contractors'!$I$6:$I$1005,MATCH(B760,'Contractors'!$B$6:$B$1005,0)),0),"")))</f>
        <v/>
      </c>
      <c r="I760" s="109" t="n"/>
      <c r="J760" s="72" t="n"/>
      <c r="K760" s="109" t="n"/>
      <c r="L760" s="73" t="n"/>
      <c r="M760" s="109" t="n"/>
      <c r="N760" s="73" t="n"/>
      <c r="O760" s="107">
        <f>IF(B760="","",IF(M760&lt;&gt;"","Paid",IF(AND(I760&lt;&gt;"",I760&lt;AsOf),"OVERDUE",IF(OR(K760&lt;&gt;"",L760&lt;&gt;""),"Invoiced","Scheduled"))))</f>
        <v/>
      </c>
      <c r="P760" s="115">
        <f>IF(B760="","",IF(E760&lt;&gt;"",E760,IFERROR(INDEX('Contractors'!$D$6:$D$1005,MATCH(B760,'Contractors'!$B$6:$B$1005,0)),"")))</f>
        <v/>
      </c>
      <c r="Q760" s="79">
        <f>IF(B760="","",IF(D760&lt;&gt;"",D760,IFERROR(INDEX('Contractors'!$E$6:$E$1005,MATCH(B760,'Contractors'!$B$6:$B$1005,0)),"")))</f>
        <v/>
      </c>
      <c r="R760" s="79">
        <f>IF(O760="","",IF(O760="OVERDUE",2,IF(O760="Paid",0,IF(AND(I760&lt;&gt;"",I760&lt;=AsOf+AlertDays),1,0))))</f>
        <v/>
      </c>
      <c r="S760" s="79">
        <f>IF(AND(B760&lt;&gt;"",M760="",I760&lt;&gt;""),IF(L760&lt;&gt;"",L760,IF(H760="",0,H760)),0)</f>
        <v/>
      </c>
      <c r="T760" s="79">
        <f>IF(AND(B760&lt;&gt;"",M760="",I760&lt;&gt;""),1/I760,0)</f>
        <v/>
      </c>
      <c r="U760" s="112">
        <f>IF(AND(B760&lt;&gt;"",M760="",I760&lt;&gt;""),I760,"")</f>
        <v/>
      </c>
      <c r="V760" s="79">
        <f>IF(U760="","",IF(U760&lt;AsOf,1,IF(U760&lt;=AsOf+AlertDays,2,IF(U760&lt;=AsOf+2*AlertDays,3,""))))</f>
        <v/>
      </c>
      <c r="W760" s="79">
        <f>IF(V760="","",IF(O760="OVERDUE","Overdue payment: ","Payment due: ")&amp;B760&amp;" — "&amp;C760&amp;" ("&amp;CurSym&amp;" "&amp;FIXED(S760,0)&amp;")")</f>
        <v/>
      </c>
      <c r="Z760" s="116">
        <f>IF('Contractors'!B760="","",'Contractors'!B760)</f>
        <v/>
      </c>
      <c r="AA760" s="77">
        <f>IF(Z760="","",'Contractors'!K760)</f>
        <v/>
      </c>
      <c r="AB760" s="77">
        <f>IF(Z760="","",SUMIFS($L$6:$L$1005,$B$6:$B$1005,Z760))</f>
        <v/>
      </c>
      <c r="AC760" s="77">
        <f>IF(Z760="","",SUMIFS($N$6:$N$1005,$B$6:$B$1005,Z760))</f>
        <v/>
      </c>
      <c r="AD760" s="76">
        <f>IF(Z760="","",AA760-AC760)</f>
        <v/>
      </c>
      <c r="AE760" s="117">
        <f>IF(Z760="","",IFERROR(1/SUMPRODUCT(MAX(($B$6:$B$1005=Z760)*$T$6:$T$1005)),""))</f>
        <v/>
      </c>
      <c r="AF760" s="77">
        <f>IF(AE760="","",SUMIFS($S$6:$S$1005,$B$6:$B$1005,Z760,$I$6:$I$1005,AE760))</f>
        <v/>
      </c>
    </row>
    <row r="761" ht="20" customHeight="1">
      <c r="B761" s="72" t="n"/>
      <c r="C761" s="72" t="n"/>
      <c r="D761" s="72" t="n"/>
      <c r="E761" s="72" t="n"/>
      <c r="F761" s="110" t="n"/>
      <c r="G761" s="73" t="n"/>
      <c r="H761" s="75">
        <f>IF(B761="","",IF(G761&lt;&gt;"",G761,IF(F761&lt;&gt;"",F761*IFERROR(INDEX('Contractors'!$I$6:$I$1005,MATCH(B761,'Contractors'!$B$6:$B$1005,0)),0),"")))</f>
        <v/>
      </c>
      <c r="I761" s="109" t="n"/>
      <c r="J761" s="72" t="n"/>
      <c r="K761" s="109" t="n"/>
      <c r="L761" s="73" t="n"/>
      <c r="M761" s="109" t="n"/>
      <c r="N761" s="73" t="n"/>
      <c r="O761" s="107">
        <f>IF(B761="","",IF(M761&lt;&gt;"","Paid",IF(AND(I761&lt;&gt;"",I761&lt;AsOf),"OVERDUE",IF(OR(K761&lt;&gt;"",L761&lt;&gt;""),"Invoiced","Scheduled"))))</f>
        <v/>
      </c>
      <c r="P761" s="115">
        <f>IF(B761="","",IF(E761&lt;&gt;"",E761,IFERROR(INDEX('Contractors'!$D$6:$D$1005,MATCH(B761,'Contractors'!$B$6:$B$1005,0)),"")))</f>
        <v/>
      </c>
      <c r="Q761" s="79">
        <f>IF(B761="","",IF(D761&lt;&gt;"",D761,IFERROR(INDEX('Contractors'!$E$6:$E$1005,MATCH(B761,'Contractors'!$B$6:$B$1005,0)),"")))</f>
        <v/>
      </c>
      <c r="R761" s="79">
        <f>IF(O761="","",IF(O761="OVERDUE",2,IF(O761="Paid",0,IF(AND(I761&lt;&gt;"",I761&lt;=AsOf+AlertDays),1,0))))</f>
        <v/>
      </c>
      <c r="S761" s="79">
        <f>IF(AND(B761&lt;&gt;"",M761="",I761&lt;&gt;""),IF(L761&lt;&gt;"",L761,IF(H761="",0,H761)),0)</f>
        <v/>
      </c>
      <c r="T761" s="79">
        <f>IF(AND(B761&lt;&gt;"",M761="",I761&lt;&gt;""),1/I761,0)</f>
        <v/>
      </c>
      <c r="U761" s="112">
        <f>IF(AND(B761&lt;&gt;"",M761="",I761&lt;&gt;""),I761,"")</f>
        <v/>
      </c>
      <c r="V761" s="79">
        <f>IF(U761="","",IF(U761&lt;AsOf,1,IF(U761&lt;=AsOf+AlertDays,2,IF(U761&lt;=AsOf+2*AlertDays,3,""))))</f>
        <v/>
      </c>
      <c r="W761" s="79">
        <f>IF(V761="","",IF(O761="OVERDUE","Overdue payment: ","Payment due: ")&amp;B761&amp;" — "&amp;C761&amp;" ("&amp;CurSym&amp;" "&amp;FIXED(S761,0)&amp;")")</f>
        <v/>
      </c>
      <c r="Z761" s="116">
        <f>IF('Contractors'!B761="","",'Contractors'!B761)</f>
        <v/>
      </c>
      <c r="AA761" s="77">
        <f>IF(Z761="","",'Contractors'!K761)</f>
        <v/>
      </c>
      <c r="AB761" s="77">
        <f>IF(Z761="","",SUMIFS($L$6:$L$1005,$B$6:$B$1005,Z761))</f>
        <v/>
      </c>
      <c r="AC761" s="77">
        <f>IF(Z761="","",SUMIFS($N$6:$N$1005,$B$6:$B$1005,Z761))</f>
        <v/>
      </c>
      <c r="AD761" s="76">
        <f>IF(Z761="","",AA761-AC761)</f>
        <v/>
      </c>
      <c r="AE761" s="117">
        <f>IF(Z761="","",IFERROR(1/SUMPRODUCT(MAX(($B$6:$B$1005=Z761)*$T$6:$T$1005)),""))</f>
        <v/>
      </c>
      <c r="AF761" s="77">
        <f>IF(AE761="","",SUMIFS($S$6:$S$1005,$B$6:$B$1005,Z761,$I$6:$I$1005,AE761))</f>
        <v/>
      </c>
    </row>
    <row r="762" ht="20" customHeight="1">
      <c r="B762" s="72" t="n"/>
      <c r="C762" s="72" t="n"/>
      <c r="D762" s="72" t="n"/>
      <c r="E762" s="72" t="n"/>
      <c r="F762" s="110" t="n"/>
      <c r="G762" s="73" t="n"/>
      <c r="H762" s="75">
        <f>IF(B762="","",IF(G762&lt;&gt;"",G762,IF(F762&lt;&gt;"",F762*IFERROR(INDEX('Contractors'!$I$6:$I$1005,MATCH(B762,'Contractors'!$B$6:$B$1005,0)),0),"")))</f>
        <v/>
      </c>
      <c r="I762" s="109" t="n"/>
      <c r="J762" s="72" t="n"/>
      <c r="K762" s="109" t="n"/>
      <c r="L762" s="73" t="n"/>
      <c r="M762" s="109" t="n"/>
      <c r="N762" s="73" t="n"/>
      <c r="O762" s="107">
        <f>IF(B762="","",IF(M762&lt;&gt;"","Paid",IF(AND(I762&lt;&gt;"",I762&lt;AsOf),"OVERDUE",IF(OR(K762&lt;&gt;"",L762&lt;&gt;""),"Invoiced","Scheduled"))))</f>
        <v/>
      </c>
      <c r="P762" s="115">
        <f>IF(B762="","",IF(E762&lt;&gt;"",E762,IFERROR(INDEX('Contractors'!$D$6:$D$1005,MATCH(B762,'Contractors'!$B$6:$B$1005,0)),"")))</f>
        <v/>
      </c>
      <c r="Q762" s="79">
        <f>IF(B762="","",IF(D762&lt;&gt;"",D762,IFERROR(INDEX('Contractors'!$E$6:$E$1005,MATCH(B762,'Contractors'!$B$6:$B$1005,0)),"")))</f>
        <v/>
      </c>
      <c r="R762" s="79">
        <f>IF(O762="","",IF(O762="OVERDUE",2,IF(O762="Paid",0,IF(AND(I762&lt;&gt;"",I762&lt;=AsOf+AlertDays),1,0))))</f>
        <v/>
      </c>
      <c r="S762" s="79">
        <f>IF(AND(B762&lt;&gt;"",M762="",I762&lt;&gt;""),IF(L762&lt;&gt;"",L762,IF(H762="",0,H762)),0)</f>
        <v/>
      </c>
      <c r="T762" s="79">
        <f>IF(AND(B762&lt;&gt;"",M762="",I762&lt;&gt;""),1/I762,0)</f>
        <v/>
      </c>
      <c r="U762" s="112">
        <f>IF(AND(B762&lt;&gt;"",M762="",I762&lt;&gt;""),I762,"")</f>
        <v/>
      </c>
      <c r="V762" s="79">
        <f>IF(U762="","",IF(U762&lt;AsOf,1,IF(U762&lt;=AsOf+AlertDays,2,IF(U762&lt;=AsOf+2*AlertDays,3,""))))</f>
        <v/>
      </c>
      <c r="W762" s="79">
        <f>IF(V762="","",IF(O762="OVERDUE","Overdue payment: ","Payment due: ")&amp;B762&amp;" — "&amp;C762&amp;" ("&amp;CurSym&amp;" "&amp;FIXED(S762,0)&amp;")")</f>
        <v/>
      </c>
      <c r="Z762" s="116">
        <f>IF('Contractors'!B762="","",'Contractors'!B762)</f>
        <v/>
      </c>
      <c r="AA762" s="77">
        <f>IF(Z762="","",'Contractors'!K762)</f>
        <v/>
      </c>
      <c r="AB762" s="77">
        <f>IF(Z762="","",SUMIFS($L$6:$L$1005,$B$6:$B$1005,Z762))</f>
        <v/>
      </c>
      <c r="AC762" s="77">
        <f>IF(Z762="","",SUMIFS($N$6:$N$1005,$B$6:$B$1005,Z762))</f>
        <v/>
      </c>
      <c r="AD762" s="76">
        <f>IF(Z762="","",AA762-AC762)</f>
        <v/>
      </c>
      <c r="AE762" s="117">
        <f>IF(Z762="","",IFERROR(1/SUMPRODUCT(MAX(($B$6:$B$1005=Z762)*$T$6:$T$1005)),""))</f>
        <v/>
      </c>
      <c r="AF762" s="77">
        <f>IF(AE762="","",SUMIFS($S$6:$S$1005,$B$6:$B$1005,Z762,$I$6:$I$1005,AE762))</f>
        <v/>
      </c>
    </row>
    <row r="763" ht="20" customHeight="1">
      <c r="B763" s="72" t="n"/>
      <c r="C763" s="72" t="n"/>
      <c r="D763" s="72" t="n"/>
      <c r="E763" s="72" t="n"/>
      <c r="F763" s="110" t="n"/>
      <c r="G763" s="73" t="n"/>
      <c r="H763" s="75">
        <f>IF(B763="","",IF(G763&lt;&gt;"",G763,IF(F763&lt;&gt;"",F763*IFERROR(INDEX('Contractors'!$I$6:$I$1005,MATCH(B763,'Contractors'!$B$6:$B$1005,0)),0),"")))</f>
        <v/>
      </c>
      <c r="I763" s="109" t="n"/>
      <c r="J763" s="72" t="n"/>
      <c r="K763" s="109" t="n"/>
      <c r="L763" s="73" t="n"/>
      <c r="M763" s="109" t="n"/>
      <c r="N763" s="73" t="n"/>
      <c r="O763" s="107">
        <f>IF(B763="","",IF(M763&lt;&gt;"","Paid",IF(AND(I763&lt;&gt;"",I763&lt;AsOf),"OVERDUE",IF(OR(K763&lt;&gt;"",L763&lt;&gt;""),"Invoiced","Scheduled"))))</f>
        <v/>
      </c>
      <c r="P763" s="115">
        <f>IF(B763="","",IF(E763&lt;&gt;"",E763,IFERROR(INDEX('Contractors'!$D$6:$D$1005,MATCH(B763,'Contractors'!$B$6:$B$1005,0)),"")))</f>
        <v/>
      </c>
      <c r="Q763" s="79">
        <f>IF(B763="","",IF(D763&lt;&gt;"",D763,IFERROR(INDEX('Contractors'!$E$6:$E$1005,MATCH(B763,'Contractors'!$B$6:$B$1005,0)),"")))</f>
        <v/>
      </c>
      <c r="R763" s="79">
        <f>IF(O763="","",IF(O763="OVERDUE",2,IF(O763="Paid",0,IF(AND(I763&lt;&gt;"",I763&lt;=AsOf+AlertDays),1,0))))</f>
        <v/>
      </c>
      <c r="S763" s="79">
        <f>IF(AND(B763&lt;&gt;"",M763="",I763&lt;&gt;""),IF(L763&lt;&gt;"",L763,IF(H763="",0,H763)),0)</f>
        <v/>
      </c>
      <c r="T763" s="79">
        <f>IF(AND(B763&lt;&gt;"",M763="",I763&lt;&gt;""),1/I763,0)</f>
        <v/>
      </c>
      <c r="U763" s="112">
        <f>IF(AND(B763&lt;&gt;"",M763="",I763&lt;&gt;""),I763,"")</f>
        <v/>
      </c>
      <c r="V763" s="79">
        <f>IF(U763="","",IF(U763&lt;AsOf,1,IF(U763&lt;=AsOf+AlertDays,2,IF(U763&lt;=AsOf+2*AlertDays,3,""))))</f>
        <v/>
      </c>
      <c r="W763" s="79">
        <f>IF(V763="","",IF(O763="OVERDUE","Overdue payment: ","Payment due: ")&amp;B763&amp;" — "&amp;C763&amp;" ("&amp;CurSym&amp;" "&amp;FIXED(S763,0)&amp;")")</f>
        <v/>
      </c>
      <c r="Z763" s="116">
        <f>IF('Contractors'!B763="","",'Contractors'!B763)</f>
        <v/>
      </c>
      <c r="AA763" s="77">
        <f>IF(Z763="","",'Contractors'!K763)</f>
        <v/>
      </c>
      <c r="AB763" s="77">
        <f>IF(Z763="","",SUMIFS($L$6:$L$1005,$B$6:$B$1005,Z763))</f>
        <v/>
      </c>
      <c r="AC763" s="77">
        <f>IF(Z763="","",SUMIFS($N$6:$N$1005,$B$6:$B$1005,Z763))</f>
        <v/>
      </c>
      <c r="AD763" s="76">
        <f>IF(Z763="","",AA763-AC763)</f>
        <v/>
      </c>
      <c r="AE763" s="117">
        <f>IF(Z763="","",IFERROR(1/SUMPRODUCT(MAX(($B$6:$B$1005=Z763)*$T$6:$T$1005)),""))</f>
        <v/>
      </c>
      <c r="AF763" s="77">
        <f>IF(AE763="","",SUMIFS($S$6:$S$1005,$B$6:$B$1005,Z763,$I$6:$I$1005,AE763))</f>
        <v/>
      </c>
    </row>
    <row r="764" ht="20" customHeight="1">
      <c r="B764" s="72" t="n"/>
      <c r="C764" s="72" t="n"/>
      <c r="D764" s="72" t="n"/>
      <c r="E764" s="72" t="n"/>
      <c r="F764" s="110" t="n"/>
      <c r="G764" s="73" t="n"/>
      <c r="H764" s="75">
        <f>IF(B764="","",IF(G764&lt;&gt;"",G764,IF(F764&lt;&gt;"",F764*IFERROR(INDEX('Contractors'!$I$6:$I$1005,MATCH(B764,'Contractors'!$B$6:$B$1005,0)),0),"")))</f>
        <v/>
      </c>
      <c r="I764" s="109" t="n"/>
      <c r="J764" s="72" t="n"/>
      <c r="K764" s="109" t="n"/>
      <c r="L764" s="73" t="n"/>
      <c r="M764" s="109" t="n"/>
      <c r="N764" s="73" t="n"/>
      <c r="O764" s="107">
        <f>IF(B764="","",IF(M764&lt;&gt;"","Paid",IF(AND(I764&lt;&gt;"",I764&lt;AsOf),"OVERDUE",IF(OR(K764&lt;&gt;"",L764&lt;&gt;""),"Invoiced","Scheduled"))))</f>
        <v/>
      </c>
      <c r="P764" s="115">
        <f>IF(B764="","",IF(E764&lt;&gt;"",E764,IFERROR(INDEX('Contractors'!$D$6:$D$1005,MATCH(B764,'Contractors'!$B$6:$B$1005,0)),"")))</f>
        <v/>
      </c>
      <c r="Q764" s="79">
        <f>IF(B764="","",IF(D764&lt;&gt;"",D764,IFERROR(INDEX('Contractors'!$E$6:$E$1005,MATCH(B764,'Contractors'!$B$6:$B$1005,0)),"")))</f>
        <v/>
      </c>
      <c r="R764" s="79">
        <f>IF(O764="","",IF(O764="OVERDUE",2,IF(O764="Paid",0,IF(AND(I764&lt;&gt;"",I764&lt;=AsOf+AlertDays),1,0))))</f>
        <v/>
      </c>
      <c r="S764" s="79">
        <f>IF(AND(B764&lt;&gt;"",M764="",I764&lt;&gt;""),IF(L764&lt;&gt;"",L764,IF(H764="",0,H764)),0)</f>
        <v/>
      </c>
      <c r="T764" s="79">
        <f>IF(AND(B764&lt;&gt;"",M764="",I764&lt;&gt;""),1/I764,0)</f>
        <v/>
      </c>
      <c r="U764" s="112">
        <f>IF(AND(B764&lt;&gt;"",M764="",I764&lt;&gt;""),I764,"")</f>
        <v/>
      </c>
      <c r="V764" s="79">
        <f>IF(U764="","",IF(U764&lt;AsOf,1,IF(U764&lt;=AsOf+AlertDays,2,IF(U764&lt;=AsOf+2*AlertDays,3,""))))</f>
        <v/>
      </c>
      <c r="W764" s="79">
        <f>IF(V764="","",IF(O764="OVERDUE","Overdue payment: ","Payment due: ")&amp;B764&amp;" — "&amp;C764&amp;" ("&amp;CurSym&amp;" "&amp;FIXED(S764,0)&amp;")")</f>
        <v/>
      </c>
      <c r="Z764" s="116">
        <f>IF('Contractors'!B764="","",'Contractors'!B764)</f>
        <v/>
      </c>
      <c r="AA764" s="77">
        <f>IF(Z764="","",'Contractors'!K764)</f>
        <v/>
      </c>
      <c r="AB764" s="77">
        <f>IF(Z764="","",SUMIFS($L$6:$L$1005,$B$6:$B$1005,Z764))</f>
        <v/>
      </c>
      <c r="AC764" s="77">
        <f>IF(Z764="","",SUMIFS($N$6:$N$1005,$B$6:$B$1005,Z764))</f>
        <v/>
      </c>
      <c r="AD764" s="76">
        <f>IF(Z764="","",AA764-AC764)</f>
        <v/>
      </c>
      <c r="AE764" s="117">
        <f>IF(Z764="","",IFERROR(1/SUMPRODUCT(MAX(($B$6:$B$1005=Z764)*$T$6:$T$1005)),""))</f>
        <v/>
      </c>
      <c r="AF764" s="77">
        <f>IF(AE764="","",SUMIFS($S$6:$S$1005,$B$6:$B$1005,Z764,$I$6:$I$1005,AE764))</f>
        <v/>
      </c>
    </row>
    <row r="765" ht="20" customHeight="1">
      <c r="B765" s="72" t="n"/>
      <c r="C765" s="72" t="n"/>
      <c r="D765" s="72" t="n"/>
      <c r="E765" s="72" t="n"/>
      <c r="F765" s="110" t="n"/>
      <c r="G765" s="73" t="n"/>
      <c r="H765" s="75">
        <f>IF(B765="","",IF(G765&lt;&gt;"",G765,IF(F765&lt;&gt;"",F765*IFERROR(INDEX('Contractors'!$I$6:$I$1005,MATCH(B765,'Contractors'!$B$6:$B$1005,0)),0),"")))</f>
        <v/>
      </c>
      <c r="I765" s="109" t="n"/>
      <c r="J765" s="72" t="n"/>
      <c r="K765" s="109" t="n"/>
      <c r="L765" s="73" t="n"/>
      <c r="M765" s="109" t="n"/>
      <c r="N765" s="73" t="n"/>
      <c r="O765" s="107">
        <f>IF(B765="","",IF(M765&lt;&gt;"","Paid",IF(AND(I765&lt;&gt;"",I765&lt;AsOf),"OVERDUE",IF(OR(K765&lt;&gt;"",L765&lt;&gt;""),"Invoiced","Scheduled"))))</f>
        <v/>
      </c>
      <c r="P765" s="115">
        <f>IF(B765="","",IF(E765&lt;&gt;"",E765,IFERROR(INDEX('Contractors'!$D$6:$D$1005,MATCH(B765,'Contractors'!$B$6:$B$1005,0)),"")))</f>
        <v/>
      </c>
      <c r="Q765" s="79">
        <f>IF(B765="","",IF(D765&lt;&gt;"",D765,IFERROR(INDEX('Contractors'!$E$6:$E$1005,MATCH(B765,'Contractors'!$B$6:$B$1005,0)),"")))</f>
        <v/>
      </c>
      <c r="R765" s="79">
        <f>IF(O765="","",IF(O765="OVERDUE",2,IF(O765="Paid",0,IF(AND(I765&lt;&gt;"",I765&lt;=AsOf+AlertDays),1,0))))</f>
        <v/>
      </c>
      <c r="S765" s="79">
        <f>IF(AND(B765&lt;&gt;"",M765="",I765&lt;&gt;""),IF(L765&lt;&gt;"",L765,IF(H765="",0,H765)),0)</f>
        <v/>
      </c>
      <c r="T765" s="79">
        <f>IF(AND(B765&lt;&gt;"",M765="",I765&lt;&gt;""),1/I765,0)</f>
        <v/>
      </c>
      <c r="U765" s="112">
        <f>IF(AND(B765&lt;&gt;"",M765="",I765&lt;&gt;""),I765,"")</f>
        <v/>
      </c>
      <c r="V765" s="79">
        <f>IF(U765="","",IF(U765&lt;AsOf,1,IF(U765&lt;=AsOf+AlertDays,2,IF(U765&lt;=AsOf+2*AlertDays,3,""))))</f>
        <v/>
      </c>
      <c r="W765" s="79">
        <f>IF(V765="","",IF(O765="OVERDUE","Overdue payment: ","Payment due: ")&amp;B765&amp;" — "&amp;C765&amp;" ("&amp;CurSym&amp;" "&amp;FIXED(S765,0)&amp;")")</f>
        <v/>
      </c>
      <c r="Z765" s="116">
        <f>IF('Contractors'!B765="","",'Contractors'!B765)</f>
        <v/>
      </c>
      <c r="AA765" s="77">
        <f>IF(Z765="","",'Contractors'!K765)</f>
        <v/>
      </c>
      <c r="AB765" s="77">
        <f>IF(Z765="","",SUMIFS($L$6:$L$1005,$B$6:$B$1005,Z765))</f>
        <v/>
      </c>
      <c r="AC765" s="77">
        <f>IF(Z765="","",SUMIFS($N$6:$N$1005,$B$6:$B$1005,Z765))</f>
        <v/>
      </c>
      <c r="AD765" s="76">
        <f>IF(Z765="","",AA765-AC765)</f>
        <v/>
      </c>
      <c r="AE765" s="117">
        <f>IF(Z765="","",IFERROR(1/SUMPRODUCT(MAX(($B$6:$B$1005=Z765)*$T$6:$T$1005)),""))</f>
        <v/>
      </c>
      <c r="AF765" s="77">
        <f>IF(AE765="","",SUMIFS($S$6:$S$1005,$B$6:$B$1005,Z765,$I$6:$I$1005,AE765))</f>
        <v/>
      </c>
    </row>
    <row r="766" ht="20" customHeight="1">
      <c r="B766" s="72" t="n"/>
      <c r="C766" s="72" t="n"/>
      <c r="D766" s="72" t="n"/>
      <c r="E766" s="72" t="n"/>
      <c r="F766" s="110" t="n"/>
      <c r="G766" s="73" t="n"/>
      <c r="H766" s="75">
        <f>IF(B766="","",IF(G766&lt;&gt;"",G766,IF(F766&lt;&gt;"",F766*IFERROR(INDEX('Contractors'!$I$6:$I$1005,MATCH(B766,'Contractors'!$B$6:$B$1005,0)),0),"")))</f>
        <v/>
      </c>
      <c r="I766" s="109" t="n"/>
      <c r="J766" s="72" t="n"/>
      <c r="K766" s="109" t="n"/>
      <c r="L766" s="73" t="n"/>
      <c r="M766" s="109" t="n"/>
      <c r="N766" s="73" t="n"/>
      <c r="O766" s="107">
        <f>IF(B766="","",IF(M766&lt;&gt;"","Paid",IF(AND(I766&lt;&gt;"",I766&lt;AsOf),"OVERDUE",IF(OR(K766&lt;&gt;"",L766&lt;&gt;""),"Invoiced","Scheduled"))))</f>
        <v/>
      </c>
      <c r="P766" s="115">
        <f>IF(B766="","",IF(E766&lt;&gt;"",E766,IFERROR(INDEX('Contractors'!$D$6:$D$1005,MATCH(B766,'Contractors'!$B$6:$B$1005,0)),"")))</f>
        <v/>
      </c>
      <c r="Q766" s="79">
        <f>IF(B766="","",IF(D766&lt;&gt;"",D766,IFERROR(INDEX('Contractors'!$E$6:$E$1005,MATCH(B766,'Contractors'!$B$6:$B$1005,0)),"")))</f>
        <v/>
      </c>
      <c r="R766" s="79">
        <f>IF(O766="","",IF(O766="OVERDUE",2,IF(O766="Paid",0,IF(AND(I766&lt;&gt;"",I766&lt;=AsOf+AlertDays),1,0))))</f>
        <v/>
      </c>
      <c r="S766" s="79">
        <f>IF(AND(B766&lt;&gt;"",M766="",I766&lt;&gt;""),IF(L766&lt;&gt;"",L766,IF(H766="",0,H766)),0)</f>
        <v/>
      </c>
      <c r="T766" s="79">
        <f>IF(AND(B766&lt;&gt;"",M766="",I766&lt;&gt;""),1/I766,0)</f>
        <v/>
      </c>
      <c r="U766" s="112">
        <f>IF(AND(B766&lt;&gt;"",M766="",I766&lt;&gt;""),I766,"")</f>
        <v/>
      </c>
      <c r="V766" s="79">
        <f>IF(U766="","",IF(U766&lt;AsOf,1,IF(U766&lt;=AsOf+AlertDays,2,IF(U766&lt;=AsOf+2*AlertDays,3,""))))</f>
        <v/>
      </c>
      <c r="W766" s="79">
        <f>IF(V766="","",IF(O766="OVERDUE","Overdue payment: ","Payment due: ")&amp;B766&amp;" — "&amp;C766&amp;" ("&amp;CurSym&amp;" "&amp;FIXED(S766,0)&amp;")")</f>
        <v/>
      </c>
      <c r="Z766" s="116">
        <f>IF('Contractors'!B766="","",'Contractors'!B766)</f>
        <v/>
      </c>
      <c r="AA766" s="77">
        <f>IF(Z766="","",'Contractors'!K766)</f>
        <v/>
      </c>
      <c r="AB766" s="77">
        <f>IF(Z766="","",SUMIFS($L$6:$L$1005,$B$6:$B$1005,Z766))</f>
        <v/>
      </c>
      <c r="AC766" s="77">
        <f>IF(Z766="","",SUMIFS($N$6:$N$1005,$B$6:$B$1005,Z766))</f>
        <v/>
      </c>
      <c r="AD766" s="76">
        <f>IF(Z766="","",AA766-AC766)</f>
        <v/>
      </c>
      <c r="AE766" s="117">
        <f>IF(Z766="","",IFERROR(1/SUMPRODUCT(MAX(($B$6:$B$1005=Z766)*$T$6:$T$1005)),""))</f>
        <v/>
      </c>
      <c r="AF766" s="77">
        <f>IF(AE766="","",SUMIFS($S$6:$S$1005,$B$6:$B$1005,Z766,$I$6:$I$1005,AE766))</f>
        <v/>
      </c>
    </row>
    <row r="767" ht="20" customHeight="1">
      <c r="B767" s="72" t="n"/>
      <c r="C767" s="72" t="n"/>
      <c r="D767" s="72" t="n"/>
      <c r="E767" s="72" t="n"/>
      <c r="F767" s="110" t="n"/>
      <c r="G767" s="73" t="n"/>
      <c r="H767" s="75">
        <f>IF(B767="","",IF(G767&lt;&gt;"",G767,IF(F767&lt;&gt;"",F767*IFERROR(INDEX('Contractors'!$I$6:$I$1005,MATCH(B767,'Contractors'!$B$6:$B$1005,0)),0),"")))</f>
        <v/>
      </c>
      <c r="I767" s="109" t="n"/>
      <c r="J767" s="72" t="n"/>
      <c r="K767" s="109" t="n"/>
      <c r="L767" s="73" t="n"/>
      <c r="M767" s="109" t="n"/>
      <c r="N767" s="73" t="n"/>
      <c r="O767" s="107">
        <f>IF(B767="","",IF(M767&lt;&gt;"","Paid",IF(AND(I767&lt;&gt;"",I767&lt;AsOf),"OVERDUE",IF(OR(K767&lt;&gt;"",L767&lt;&gt;""),"Invoiced","Scheduled"))))</f>
        <v/>
      </c>
      <c r="P767" s="115">
        <f>IF(B767="","",IF(E767&lt;&gt;"",E767,IFERROR(INDEX('Contractors'!$D$6:$D$1005,MATCH(B767,'Contractors'!$B$6:$B$1005,0)),"")))</f>
        <v/>
      </c>
      <c r="Q767" s="79">
        <f>IF(B767="","",IF(D767&lt;&gt;"",D767,IFERROR(INDEX('Contractors'!$E$6:$E$1005,MATCH(B767,'Contractors'!$B$6:$B$1005,0)),"")))</f>
        <v/>
      </c>
      <c r="R767" s="79">
        <f>IF(O767="","",IF(O767="OVERDUE",2,IF(O767="Paid",0,IF(AND(I767&lt;&gt;"",I767&lt;=AsOf+AlertDays),1,0))))</f>
        <v/>
      </c>
      <c r="S767" s="79">
        <f>IF(AND(B767&lt;&gt;"",M767="",I767&lt;&gt;""),IF(L767&lt;&gt;"",L767,IF(H767="",0,H767)),0)</f>
        <v/>
      </c>
      <c r="T767" s="79">
        <f>IF(AND(B767&lt;&gt;"",M767="",I767&lt;&gt;""),1/I767,0)</f>
        <v/>
      </c>
      <c r="U767" s="112">
        <f>IF(AND(B767&lt;&gt;"",M767="",I767&lt;&gt;""),I767,"")</f>
        <v/>
      </c>
      <c r="V767" s="79">
        <f>IF(U767="","",IF(U767&lt;AsOf,1,IF(U767&lt;=AsOf+AlertDays,2,IF(U767&lt;=AsOf+2*AlertDays,3,""))))</f>
        <v/>
      </c>
      <c r="W767" s="79">
        <f>IF(V767="","",IF(O767="OVERDUE","Overdue payment: ","Payment due: ")&amp;B767&amp;" — "&amp;C767&amp;" ("&amp;CurSym&amp;" "&amp;FIXED(S767,0)&amp;")")</f>
        <v/>
      </c>
      <c r="Z767" s="116">
        <f>IF('Contractors'!B767="","",'Contractors'!B767)</f>
        <v/>
      </c>
      <c r="AA767" s="77">
        <f>IF(Z767="","",'Contractors'!K767)</f>
        <v/>
      </c>
      <c r="AB767" s="77">
        <f>IF(Z767="","",SUMIFS($L$6:$L$1005,$B$6:$B$1005,Z767))</f>
        <v/>
      </c>
      <c r="AC767" s="77">
        <f>IF(Z767="","",SUMIFS($N$6:$N$1005,$B$6:$B$1005,Z767))</f>
        <v/>
      </c>
      <c r="AD767" s="76">
        <f>IF(Z767="","",AA767-AC767)</f>
        <v/>
      </c>
      <c r="AE767" s="117">
        <f>IF(Z767="","",IFERROR(1/SUMPRODUCT(MAX(($B$6:$B$1005=Z767)*$T$6:$T$1005)),""))</f>
        <v/>
      </c>
      <c r="AF767" s="77">
        <f>IF(AE767="","",SUMIFS($S$6:$S$1005,$B$6:$B$1005,Z767,$I$6:$I$1005,AE767))</f>
        <v/>
      </c>
    </row>
    <row r="768" ht="20" customHeight="1">
      <c r="B768" s="72" t="n"/>
      <c r="C768" s="72" t="n"/>
      <c r="D768" s="72" t="n"/>
      <c r="E768" s="72" t="n"/>
      <c r="F768" s="110" t="n"/>
      <c r="G768" s="73" t="n"/>
      <c r="H768" s="75">
        <f>IF(B768="","",IF(G768&lt;&gt;"",G768,IF(F768&lt;&gt;"",F768*IFERROR(INDEX('Contractors'!$I$6:$I$1005,MATCH(B768,'Contractors'!$B$6:$B$1005,0)),0),"")))</f>
        <v/>
      </c>
      <c r="I768" s="109" t="n"/>
      <c r="J768" s="72" t="n"/>
      <c r="K768" s="109" t="n"/>
      <c r="L768" s="73" t="n"/>
      <c r="M768" s="109" t="n"/>
      <c r="N768" s="73" t="n"/>
      <c r="O768" s="107">
        <f>IF(B768="","",IF(M768&lt;&gt;"","Paid",IF(AND(I768&lt;&gt;"",I768&lt;AsOf),"OVERDUE",IF(OR(K768&lt;&gt;"",L768&lt;&gt;""),"Invoiced","Scheduled"))))</f>
        <v/>
      </c>
      <c r="P768" s="115">
        <f>IF(B768="","",IF(E768&lt;&gt;"",E768,IFERROR(INDEX('Contractors'!$D$6:$D$1005,MATCH(B768,'Contractors'!$B$6:$B$1005,0)),"")))</f>
        <v/>
      </c>
      <c r="Q768" s="79">
        <f>IF(B768="","",IF(D768&lt;&gt;"",D768,IFERROR(INDEX('Contractors'!$E$6:$E$1005,MATCH(B768,'Contractors'!$B$6:$B$1005,0)),"")))</f>
        <v/>
      </c>
      <c r="R768" s="79">
        <f>IF(O768="","",IF(O768="OVERDUE",2,IF(O768="Paid",0,IF(AND(I768&lt;&gt;"",I768&lt;=AsOf+AlertDays),1,0))))</f>
        <v/>
      </c>
      <c r="S768" s="79">
        <f>IF(AND(B768&lt;&gt;"",M768="",I768&lt;&gt;""),IF(L768&lt;&gt;"",L768,IF(H768="",0,H768)),0)</f>
        <v/>
      </c>
      <c r="T768" s="79">
        <f>IF(AND(B768&lt;&gt;"",M768="",I768&lt;&gt;""),1/I768,0)</f>
        <v/>
      </c>
      <c r="U768" s="112">
        <f>IF(AND(B768&lt;&gt;"",M768="",I768&lt;&gt;""),I768,"")</f>
        <v/>
      </c>
      <c r="V768" s="79">
        <f>IF(U768="","",IF(U768&lt;AsOf,1,IF(U768&lt;=AsOf+AlertDays,2,IF(U768&lt;=AsOf+2*AlertDays,3,""))))</f>
        <v/>
      </c>
      <c r="W768" s="79">
        <f>IF(V768="","",IF(O768="OVERDUE","Overdue payment: ","Payment due: ")&amp;B768&amp;" — "&amp;C768&amp;" ("&amp;CurSym&amp;" "&amp;FIXED(S768,0)&amp;")")</f>
        <v/>
      </c>
      <c r="Z768" s="116">
        <f>IF('Contractors'!B768="","",'Contractors'!B768)</f>
        <v/>
      </c>
      <c r="AA768" s="77">
        <f>IF(Z768="","",'Contractors'!K768)</f>
        <v/>
      </c>
      <c r="AB768" s="77">
        <f>IF(Z768="","",SUMIFS($L$6:$L$1005,$B$6:$B$1005,Z768))</f>
        <v/>
      </c>
      <c r="AC768" s="77">
        <f>IF(Z768="","",SUMIFS($N$6:$N$1005,$B$6:$B$1005,Z768))</f>
        <v/>
      </c>
      <c r="AD768" s="76">
        <f>IF(Z768="","",AA768-AC768)</f>
        <v/>
      </c>
      <c r="AE768" s="117">
        <f>IF(Z768="","",IFERROR(1/SUMPRODUCT(MAX(($B$6:$B$1005=Z768)*$T$6:$T$1005)),""))</f>
        <v/>
      </c>
      <c r="AF768" s="77">
        <f>IF(AE768="","",SUMIFS($S$6:$S$1005,$B$6:$B$1005,Z768,$I$6:$I$1005,AE768))</f>
        <v/>
      </c>
    </row>
    <row r="769" ht="20" customHeight="1">
      <c r="B769" s="72" t="n"/>
      <c r="C769" s="72" t="n"/>
      <c r="D769" s="72" t="n"/>
      <c r="E769" s="72" t="n"/>
      <c r="F769" s="110" t="n"/>
      <c r="G769" s="73" t="n"/>
      <c r="H769" s="75">
        <f>IF(B769="","",IF(G769&lt;&gt;"",G769,IF(F769&lt;&gt;"",F769*IFERROR(INDEX('Contractors'!$I$6:$I$1005,MATCH(B769,'Contractors'!$B$6:$B$1005,0)),0),"")))</f>
        <v/>
      </c>
      <c r="I769" s="109" t="n"/>
      <c r="J769" s="72" t="n"/>
      <c r="K769" s="109" t="n"/>
      <c r="L769" s="73" t="n"/>
      <c r="M769" s="109" t="n"/>
      <c r="N769" s="73" t="n"/>
      <c r="O769" s="107">
        <f>IF(B769="","",IF(M769&lt;&gt;"","Paid",IF(AND(I769&lt;&gt;"",I769&lt;AsOf),"OVERDUE",IF(OR(K769&lt;&gt;"",L769&lt;&gt;""),"Invoiced","Scheduled"))))</f>
        <v/>
      </c>
      <c r="P769" s="115">
        <f>IF(B769="","",IF(E769&lt;&gt;"",E769,IFERROR(INDEX('Contractors'!$D$6:$D$1005,MATCH(B769,'Contractors'!$B$6:$B$1005,0)),"")))</f>
        <v/>
      </c>
      <c r="Q769" s="79">
        <f>IF(B769="","",IF(D769&lt;&gt;"",D769,IFERROR(INDEX('Contractors'!$E$6:$E$1005,MATCH(B769,'Contractors'!$B$6:$B$1005,0)),"")))</f>
        <v/>
      </c>
      <c r="R769" s="79">
        <f>IF(O769="","",IF(O769="OVERDUE",2,IF(O769="Paid",0,IF(AND(I769&lt;&gt;"",I769&lt;=AsOf+AlertDays),1,0))))</f>
        <v/>
      </c>
      <c r="S769" s="79">
        <f>IF(AND(B769&lt;&gt;"",M769="",I769&lt;&gt;""),IF(L769&lt;&gt;"",L769,IF(H769="",0,H769)),0)</f>
        <v/>
      </c>
      <c r="T769" s="79">
        <f>IF(AND(B769&lt;&gt;"",M769="",I769&lt;&gt;""),1/I769,0)</f>
        <v/>
      </c>
      <c r="U769" s="112">
        <f>IF(AND(B769&lt;&gt;"",M769="",I769&lt;&gt;""),I769,"")</f>
        <v/>
      </c>
      <c r="V769" s="79">
        <f>IF(U769="","",IF(U769&lt;AsOf,1,IF(U769&lt;=AsOf+AlertDays,2,IF(U769&lt;=AsOf+2*AlertDays,3,""))))</f>
        <v/>
      </c>
      <c r="W769" s="79">
        <f>IF(V769="","",IF(O769="OVERDUE","Overdue payment: ","Payment due: ")&amp;B769&amp;" — "&amp;C769&amp;" ("&amp;CurSym&amp;" "&amp;FIXED(S769,0)&amp;")")</f>
        <v/>
      </c>
      <c r="Z769" s="116">
        <f>IF('Contractors'!B769="","",'Contractors'!B769)</f>
        <v/>
      </c>
      <c r="AA769" s="77">
        <f>IF(Z769="","",'Contractors'!K769)</f>
        <v/>
      </c>
      <c r="AB769" s="77">
        <f>IF(Z769="","",SUMIFS($L$6:$L$1005,$B$6:$B$1005,Z769))</f>
        <v/>
      </c>
      <c r="AC769" s="77">
        <f>IF(Z769="","",SUMIFS($N$6:$N$1005,$B$6:$B$1005,Z769))</f>
        <v/>
      </c>
      <c r="AD769" s="76">
        <f>IF(Z769="","",AA769-AC769)</f>
        <v/>
      </c>
      <c r="AE769" s="117">
        <f>IF(Z769="","",IFERROR(1/SUMPRODUCT(MAX(($B$6:$B$1005=Z769)*$T$6:$T$1005)),""))</f>
        <v/>
      </c>
      <c r="AF769" s="77">
        <f>IF(AE769="","",SUMIFS($S$6:$S$1005,$B$6:$B$1005,Z769,$I$6:$I$1005,AE769))</f>
        <v/>
      </c>
    </row>
    <row r="770" ht="20" customHeight="1">
      <c r="B770" s="72" t="n"/>
      <c r="C770" s="72" t="n"/>
      <c r="D770" s="72" t="n"/>
      <c r="E770" s="72" t="n"/>
      <c r="F770" s="110" t="n"/>
      <c r="G770" s="73" t="n"/>
      <c r="H770" s="75">
        <f>IF(B770="","",IF(G770&lt;&gt;"",G770,IF(F770&lt;&gt;"",F770*IFERROR(INDEX('Contractors'!$I$6:$I$1005,MATCH(B770,'Contractors'!$B$6:$B$1005,0)),0),"")))</f>
        <v/>
      </c>
      <c r="I770" s="109" t="n"/>
      <c r="J770" s="72" t="n"/>
      <c r="K770" s="109" t="n"/>
      <c r="L770" s="73" t="n"/>
      <c r="M770" s="109" t="n"/>
      <c r="N770" s="73" t="n"/>
      <c r="O770" s="107">
        <f>IF(B770="","",IF(M770&lt;&gt;"","Paid",IF(AND(I770&lt;&gt;"",I770&lt;AsOf),"OVERDUE",IF(OR(K770&lt;&gt;"",L770&lt;&gt;""),"Invoiced","Scheduled"))))</f>
        <v/>
      </c>
      <c r="P770" s="115">
        <f>IF(B770="","",IF(E770&lt;&gt;"",E770,IFERROR(INDEX('Contractors'!$D$6:$D$1005,MATCH(B770,'Contractors'!$B$6:$B$1005,0)),"")))</f>
        <v/>
      </c>
      <c r="Q770" s="79">
        <f>IF(B770="","",IF(D770&lt;&gt;"",D770,IFERROR(INDEX('Contractors'!$E$6:$E$1005,MATCH(B770,'Contractors'!$B$6:$B$1005,0)),"")))</f>
        <v/>
      </c>
      <c r="R770" s="79">
        <f>IF(O770="","",IF(O770="OVERDUE",2,IF(O770="Paid",0,IF(AND(I770&lt;&gt;"",I770&lt;=AsOf+AlertDays),1,0))))</f>
        <v/>
      </c>
      <c r="S770" s="79">
        <f>IF(AND(B770&lt;&gt;"",M770="",I770&lt;&gt;""),IF(L770&lt;&gt;"",L770,IF(H770="",0,H770)),0)</f>
        <v/>
      </c>
      <c r="T770" s="79">
        <f>IF(AND(B770&lt;&gt;"",M770="",I770&lt;&gt;""),1/I770,0)</f>
        <v/>
      </c>
      <c r="U770" s="112">
        <f>IF(AND(B770&lt;&gt;"",M770="",I770&lt;&gt;""),I770,"")</f>
        <v/>
      </c>
      <c r="V770" s="79">
        <f>IF(U770="","",IF(U770&lt;AsOf,1,IF(U770&lt;=AsOf+AlertDays,2,IF(U770&lt;=AsOf+2*AlertDays,3,""))))</f>
        <v/>
      </c>
      <c r="W770" s="79">
        <f>IF(V770="","",IF(O770="OVERDUE","Overdue payment: ","Payment due: ")&amp;B770&amp;" — "&amp;C770&amp;" ("&amp;CurSym&amp;" "&amp;FIXED(S770,0)&amp;")")</f>
        <v/>
      </c>
      <c r="Z770" s="116">
        <f>IF('Contractors'!B770="","",'Contractors'!B770)</f>
        <v/>
      </c>
      <c r="AA770" s="77">
        <f>IF(Z770="","",'Contractors'!K770)</f>
        <v/>
      </c>
      <c r="AB770" s="77">
        <f>IF(Z770="","",SUMIFS($L$6:$L$1005,$B$6:$B$1005,Z770))</f>
        <v/>
      </c>
      <c r="AC770" s="77">
        <f>IF(Z770="","",SUMIFS($N$6:$N$1005,$B$6:$B$1005,Z770))</f>
        <v/>
      </c>
      <c r="AD770" s="76">
        <f>IF(Z770="","",AA770-AC770)</f>
        <v/>
      </c>
      <c r="AE770" s="117">
        <f>IF(Z770="","",IFERROR(1/SUMPRODUCT(MAX(($B$6:$B$1005=Z770)*$T$6:$T$1005)),""))</f>
        <v/>
      </c>
      <c r="AF770" s="77">
        <f>IF(AE770="","",SUMIFS($S$6:$S$1005,$B$6:$B$1005,Z770,$I$6:$I$1005,AE770))</f>
        <v/>
      </c>
    </row>
    <row r="771" ht="20" customHeight="1">
      <c r="B771" s="72" t="n"/>
      <c r="C771" s="72" t="n"/>
      <c r="D771" s="72" t="n"/>
      <c r="E771" s="72" t="n"/>
      <c r="F771" s="110" t="n"/>
      <c r="G771" s="73" t="n"/>
      <c r="H771" s="75">
        <f>IF(B771="","",IF(G771&lt;&gt;"",G771,IF(F771&lt;&gt;"",F771*IFERROR(INDEX('Contractors'!$I$6:$I$1005,MATCH(B771,'Contractors'!$B$6:$B$1005,0)),0),"")))</f>
        <v/>
      </c>
      <c r="I771" s="109" t="n"/>
      <c r="J771" s="72" t="n"/>
      <c r="K771" s="109" t="n"/>
      <c r="L771" s="73" t="n"/>
      <c r="M771" s="109" t="n"/>
      <c r="N771" s="73" t="n"/>
      <c r="O771" s="107">
        <f>IF(B771="","",IF(M771&lt;&gt;"","Paid",IF(AND(I771&lt;&gt;"",I771&lt;AsOf),"OVERDUE",IF(OR(K771&lt;&gt;"",L771&lt;&gt;""),"Invoiced","Scheduled"))))</f>
        <v/>
      </c>
      <c r="P771" s="115">
        <f>IF(B771="","",IF(E771&lt;&gt;"",E771,IFERROR(INDEX('Contractors'!$D$6:$D$1005,MATCH(B771,'Contractors'!$B$6:$B$1005,0)),"")))</f>
        <v/>
      </c>
      <c r="Q771" s="79">
        <f>IF(B771="","",IF(D771&lt;&gt;"",D771,IFERROR(INDEX('Contractors'!$E$6:$E$1005,MATCH(B771,'Contractors'!$B$6:$B$1005,0)),"")))</f>
        <v/>
      </c>
      <c r="R771" s="79">
        <f>IF(O771="","",IF(O771="OVERDUE",2,IF(O771="Paid",0,IF(AND(I771&lt;&gt;"",I771&lt;=AsOf+AlertDays),1,0))))</f>
        <v/>
      </c>
      <c r="S771" s="79">
        <f>IF(AND(B771&lt;&gt;"",M771="",I771&lt;&gt;""),IF(L771&lt;&gt;"",L771,IF(H771="",0,H771)),0)</f>
        <v/>
      </c>
      <c r="T771" s="79">
        <f>IF(AND(B771&lt;&gt;"",M771="",I771&lt;&gt;""),1/I771,0)</f>
        <v/>
      </c>
      <c r="U771" s="112">
        <f>IF(AND(B771&lt;&gt;"",M771="",I771&lt;&gt;""),I771,"")</f>
        <v/>
      </c>
      <c r="V771" s="79">
        <f>IF(U771="","",IF(U771&lt;AsOf,1,IF(U771&lt;=AsOf+AlertDays,2,IF(U771&lt;=AsOf+2*AlertDays,3,""))))</f>
        <v/>
      </c>
      <c r="W771" s="79">
        <f>IF(V771="","",IF(O771="OVERDUE","Overdue payment: ","Payment due: ")&amp;B771&amp;" — "&amp;C771&amp;" ("&amp;CurSym&amp;" "&amp;FIXED(S771,0)&amp;")")</f>
        <v/>
      </c>
      <c r="Z771" s="116">
        <f>IF('Contractors'!B771="","",'Contractors'!B771)</f>
        <v/>
      </c>
      <c r="AA771" s="77">
        <f>IF(Z771="","",'Contractors'!K771)</f>
        <v/>
      </c>
      <c r="AB771" s="77">
        <f>IF(Z771="","",SUMIFS($L$6:$L$1005,$B$6:$B$1005,Z771))</f>
        <v/>
      </c>
      <c r="AC771" s="77">
        <f>IF(Z771="","",SUMIFS($N$6:$N$1005,$B$6:$B$1005,Z771))</f>
        <v/>
      </c>
      <c r="AD771" s="76">
        <f>IF(Z771="","",AA771-AC771)</f>
        <v/>
      </c>
      <c r="AE771" s="117">
        <f>IF(Z771="","",IFERROR(1/SUMPRODUCT(MAX(($B$6:$B$1005=Z771)*$T$6:$T$1005)),""))</f>
        <v/>
      </c>
      <c r="AF771" s="77">
        <f>IF(AE771="","",SUMIFS($S$6:$S$1005,$B$6:$B$1005,Z771,$I$6:$I$1005,AE771))</f>
        <v/>
      </c>
    </row>
    <row r="772" ht="20" customHeight="1">
      <c r="B772" s="72" t="n"/>
      <c r="C772" s="72" t="n"/>
      <c r="D772" s="72" t="n"/>
      <c r="E772" s="72" t="n"/>
      <c r="F772" s="110" t="n"/>
      <c r="G772" s="73" t="n"/>
      <c r="H772" s="75">
        <f>IF(B772="","",IF(G772&lt;&gt;"",G772,IF(F772&lt;&gt;"",F772*IFERROR(INDEX('Contractors'!$I$6:$I$1005,MATCH(B772,'Contractors'!$B$6:$B$1005,0)),0),"")))</f>
        <v/>
      </c>
      <c r="I772" s="109" t="n"/>
      <c r="J772" s="72" t="n"/>
      <c r="K772" s="109" t="n"/>
      <c r="L772" s="73" t="n"/>
      <c r="M772" s="109" t="n"/>
      <c r="N772" s="73" t="n"/>
      <c r="O772" s="107">
        <f>IF(B772="","",IF(M772&lt;&gt;"","Paid",IF(AND(I772&lt;&gt;"",I772&lt;AsOf),"OVERDUE",IF(OR(K772&lt;&gt;"",L772&lt;&gt;""),"Invoiced","Scheduled"))))</f>
        <v/>
      </c>
      <c r="P772" s="115">
        <f>IF(B772="","",IF(E772&lt;&gt;"",E772,IFERROR(INDEX('Contractors'!$D$6:$D$1005,MATCH(B772,'Contractors'!$B$6:$B$1005,0)),"")))</f>
        <v/>
      </c>
      <c r="Q772" s="79">
        <f>IF(B772="","",IF(D772&lt;&gt;"",D772,IFERROR(INDEX('Contractors'!$E$6:$E$1005,MATCH(B772,'Contractors'!$B$6:$B$1005,0)),"")))</f>
        <v/>
      </c>
      <c r="R772" s="79">
        <f>IF(O772="","",IF(O772="OVERDUE",2,IF(O772="Paid",0,IF(AND(I772&lt;&gt;"",I772&lt;=AsOf+AlertDays),1,0))))</f>
        <v/>
      </c>
      <c r="S772" s="79">
        <f>IF(AND(B772&lt;&gt;"",M772="",I772&lt;&gt;""),IF(L772&lt;&gt;"",L772,IF(H772="",0,H772)),0)</f>
        <v/>
      </c>
      <c r="T772" s="79">
        <f>IF(AND(B772&lt;&gt;"",M772="",I772&lt;&gt;""),1/I772,0)</f>
        <v/>
      </c>
      <c r="U772" s="112">
        <f>IF(AND(B772&lt;&gt;"",M772="",I772&lt;&gt;""),I772,"")</f>
        <v/>
      </c>
      <c r="V772" s="79">
        <f>IF(U772="","",IF(U772&lt;AsOf,1,IF(U772&lt;=AsOf+AlertDays,2,IF(U772&lt;=AsOf+2*AlertDays,3,""))))</f>
        <v/>
      </c>
      <c r="W772" s="79">
        <f>IF(V772="","",IF(O772="OVERDUE","Overdue payment: ","Payment due: ")&amp;B772&amp;" — "&amp;C772&amp;" ("&amp;CurSym&amp;" "&amp;FIXED(S772,0)&amp;")")</f>
        <v/>
      </c>
      <c r="Z772" s="116">
        <f>IF('Contractors'!B772="","",'Contractors'!B772)</f>
        <v/>
      </c>
      <c r="AA772" s="77">
        <f>IF(Z772="","",'Contractors'!K772)</f>
        <v/>
      </c>
      <c r="AB772" s="77">
        <f>IF(Z772="","",SUMIFS($L$6:$L$1005,$B$6:$B$1005,Z772))</f>
        <v/>
      </c>
      <c r="AC772" s="77">
        <f>IF(Z772="","",SUMIFS($N$6:$N$1005,$B$6:$B$1005,Z772))</f>
        <v/>
      </c>
      <c r="AD772" s="76">
        <f>IF(Z772="","",AA772-AC772)</f>
        <v/>
      </c>
      <c r="AE772" s="117">
        <f>IF(Z772="","",IFERROR(1/SUMPRODUCT(MAX(($B$6:$B$1005=Z772)*$T$6:$T$1005)),""))</f>
        <v/>
      </c>
      <c r="AF772" s="77">
        <f>IF(AE772="","",SUMIFS($S$6:$S$1005,$B$6:$B$1005,Z772,$I$6:$I$1005,AE772))</f>
        <v/>
      </c>
    </row>
    <row r="773" ht="20" customHeight="1">
      <c r="B773" s="72" t="n"/>
      <c r="C773" s="72" t="n"/>
      <c r="D773" s="72" t="n"/>
      <c r="E773" s="72" t="n"/>
      <c r="F773" s="110" t="n"/>
      <c r="G773" s="73" t="n"/>
      <c r="H773" s="75">
        <f>IF(B773="","",IF(G773&lt;&gt;"",G773,IF(F773&lt;&gt;"",F773*IFERROR(INDEX('Contractors'!$I$6:$I$1005,MATCH(B773,'Contractors'!$B$6:$B$1005,0)),0),"")))</f>
        <v/>
      </c>
      <c r="I773" s="109" t="n"/>
      <c r="J773" s="72" t="n"/>
      <c r="K773" s="109" t="n"/>
      <c r="L773" s="73" t="n"/>
      <c r="M773" s="109" t="n"/>
      <c r="N773" s="73" t="n"/>
      <c r="O773" s="107">
        <f>IF(B773="","",IF(M773&lt;&gt;"","Paid",IF(AND(I773&lt;&gt;"",I773&lt;AsOf),"OVERDUE",IF(OR(K773&lt;&gt;"",L773&lt;&gt;""),"Invoiced","Scheduled"))))</f>
        <v/>
      </c>
      <c r="P773" s="115">
        <f>IF(B773="","",IF(E773&lt;&gt;"",E773,IFERROR(INDEX('Contractors'!$D$6:$D$1005,MATCH(B773,'Contractors'!$B$6:$B$1005,0)),"")))</f>
        <v/>
      </c>
      <c r="Q773" s="79">
        <f>IF(B773="","",IF(D773&lt;&gt;"",D773,IFERROR(INDEX('Contractors'!$E$6:$E$1005,MATCH(B773,'Contractors'!$B$6:$B$1005,0)),"")))</f>
        <v/>
      </c>
      <c r="R773" s="79">
        <f>IF(O773="","",IF(O773="OVERDUE",2,IF(O773="Paid",0,IF(AND(I773&lt;&gt;"",I773&lt;=AsOf+AlertDays),1,0))))</f>
        <v/>
      </c>
      <c r="S773" s="79">
        <f>IF(AND(B773&lt;&gt;"",M773="",I773&lt;&gt;""),IF(L773&lt;&gt;"",L773,IF(H773="",0,H773)),0)</f>
        <v/>
      </c>
      <c r="T773" s="79">
        <f>IF(AND(B773&lt;&gt;"",M773="",I773&lt;&gt;""),1/I773,0)</f>
        <v/>
      </c>
      <c r="U773" s="112">
        <f>IF(AND(B773&lt;&gt;"",M773="",I773&lt;&gt;""),I773,"")</f>
        <v/>
      </c>
      <c r="V773" s="79">
        <f>IF(U773="","",IF(U773&lt;AsOf,1,IF(U773&lt;=AsOf+AlertDays,2,IF(U773&lt;=AsOf+2*AlertDays,3,""))))</f>
        <v/>
      </c>
      <c r="W773" s="79">
        <f>IF(V773="","",IF(O773="OVERDUE","Overdue payment: ","Payment due: ")&amp;B773&amp;" — "&amp;C773&amp;" ("&amp;CurSym&amp;" "&amp;FIXED(S773,0)&amp;")")</f>
        <v/>
      </c>
      <c r="Z773" s="116">
        <f>IF('Contractors'!B773="","",'Contractors'!B773)</f>
        <v/>
      </c>
      <c r="AA773" s="77">
        <f>IF(Z773="","",'Contractors'!K773)</f>
        <v/>
      </c>
      <c r="AB773" s="77">
        <f>IF(Z773="","",SUMIFS($L$6:$L$1005,$B$6:$B$1005,Z773))</f>
        <v/>
      </c>
      <c r="AC773" s="77">
        <f>IF(Z773="","",SUMIFS($N$6:$N$1005,$B$6:$B$1005,Z773))</f>
        <v/>
      </c>
      <c r="AD773" s="76">
        <f>IF(Z773="","",AA773-AC773)</f>
        <v/>
      </c>
      <c r="AE773" s="117">
        <f>IF(Z773="","",IFERROR(1/SUMPRODUCT(MAX(($B$6:$B$1005=Z773)*$T$6:$T$1005)),""))</f>
        <v/>
      </c>
      <c r="AF773" s="77">
        <f>IF(AE773="","",SUMIFS($S$6:$S$1005,$B$6:$B$1005,Z773,$I$6:$I$1005,AE773))</f>
        <v/>
      </c>
    </row>
    <row r="774" ht="20" customHeight="1">
      <c r="B774" s="72" t="n"/>
      <c r="C774" s="72" t="n"/>
      <c r="D774" s="72" t="n"/>
      <c r="E774" s="72" t="n"/>
      <c r="F774" s="110" t="n"/>
      <c r="G774" s="73" t="n"/>
      <c r="H774" s="75">
        <f>IF(B774="","",IF(G774&lt;&gt;"",G774,IF(F774&lt;&gt;"",F774*IFERROR(INDEX('Contractors'!$I$6:$I$1005,MATCH(B774,'Contractors'!$B$6:$B$1005,0)),0),"")))</f>
        <v/>
      </c>
      <c r="I774" s="109" t="n"/>
      <c r="J774" s="72" t="n"/>
      <c r="K774" s="109" t="n"/>
      <c r="L774" s="73" t="n"/>
      <c r="M774" s="109" t="n"/>
      <c r="N774" s="73" t="n"/>
      <c r="O774" s="107">
        <f>IF(B774="","",IF(M774&lt;&gt;"","Paid",IF(AND(I774&lt;&gt;"",I774&lt;AsOf),"OVERDUE",IF(OR(K774&lt;&gt;"",L774&lt;&gt;""),"Invoiced","Scheduled"))))</f>
        <v/>
      </c>
      <c r="P774" s="115">
        <f>IF(B774="","",IF(E774&lt;&gt;"",E774,IFERROR(INDEX('Contractors'!$D$6:$D$1005,MATCH(B774,'Contractors'!$B$6:$B$1005,0)),"")))</f>
        <v/>
      </c>
      <c r="Q774" s="79">
        <f>IF(B774="","",IF(D774&lt;&gt;"",D774,IFERROR(INDEX('Contractors'!$E$6:$E$1005,MATCH(B774,'Contractors'!$B$6:$B$1005,0)),"")))</f>
        <v/>
      </c>
      <c r="R774" s="79">
        <f>IF(O774="","",IF(O774="OVERDUE",2,IF(O774="Paid",0,IF(AND(I774&lt;&gt;"",I774&lt;=AsOf+AlertDays),1,0))))</f>
        <v/>
      </c>
      <c r="S774" s="79">
        <f>IF(AND(B774&lt;&gt;"",M774="",I774&lt;&gt;""),IF(L774&lt;&gt;"",L774,IF(H774="",0,H774)),0)</f>
        <v/>
      </c>
      <c r="T774" s="79">
        <f>IF(AND(B774&lt;&gt;"",M774="",I774&lt;&gt;""),1/I774,0)</f>
        <v/>
      </c>
      <c r="U774" s="112">
        <f>IF(AND(B774&lt;&gt;"",M774="",I774&lt;&gt;""),I774,"")</f>
        <v/>
      </c>
      <c r="V774" s="79">
        <f>IF(U774="","",IF(U774&lt;AsOf,1,IF(U774&lt;=AsOf+AlertDays,2,IF(U774&lt;=AsOf+2*AlertDays,3,""))))</f>
        <v/>
      </c>
      <c r="W774" s="79">
        <f>IF(V774="","",IF(O774="OVERDUE","Overdue payment: ","Payment due: ")&amp;B774&amp;" — "&amp;C774&amp;" ("&amp;CurSym&amp;" "&amp;FIXED(S774,0)&amp;")")</f>
        <v/>
      </c>
      <c r="Z774" s="116">
        <f>IF('Contractors'!B774="","",'Contractors'!B774)</f>
        <v/>
      </c>
      <c r="AA774" s="77">
        <f>IF(Z774="","",'Contractors'!K774)</f>
        <v/>
      </c>
      <c r="AB774" s="77">
        <f>IF(Z774="","",SUMIFS($L$6:$L$1005,$B$6:$B$1005,Z774))</f>
        <v/>
      </c>
      <c r="AC774" s="77">
        <f>IF(Z774="","",SUMIFS($N$6:$N$1005,$B$6:$B$1005,Z774))</f>
        <v/>
      </c>
      <c r="AD774" s="76">
        <f>IF(Z774="","",AA774-AC774)</f>
        <v/>
      </c>
      <c r="AE774" s="117">
        <f>IF(Z774="","",IFERROR(1/SUMPRODUCT(MAX(($B$6:$B$1005=Z774)*$T$6:$T$1005)),""))</f>
        <v/>
      </c>
      <c r="AF774" s="77">
        <f>IF(AE774="","",SUMIFS($S$6:$S$1005,$B$6:$B$1005,Z774,$I$6:$I$1005,AE774))</f>
        <v/>
      </c>
    </row>
    <row r="775" ht="20" customHeight="1">
      <c r="B775" s="72" t="n"/>
      <c r="C775" s="72" t="n"/>
      <c r="D775" s="72" t="n"/>
      <c r="E775" s="72" t="n"/>
      <c r="F775" s="110" t="n"/>
      <c r="G775" s="73" t="n"/>
      <c r="H775" s="75">
        <f>IF(B775="","",IF(G775&lt;&gt;"",G775,IF(F775&lt;&gt;"",F775*IFERROR(INDEX('Contractors'!$I$6:$I$1005,MATCH(B775,'Contractors'!$B$6:$B$1005,0)),0),"")))</f>
        <v/>
      </c>
      <c r="I775" s="109" t="n"/>
      <c r="J775" s="72" t="n"/>
      <c r="K775" s="109" t="n"/>
      <c r="L775" s="73" t="n"/>
      <c r="M775" s="109" t="n"/>
      <c r="N775" s="73" t="n"/>
      <c r="O775" s="107">
        <f>IF(B775="","",IF(M775&lt;&gt;"","Paid",IF(AND(I775&lt;&gt;"",I775&lt;AsOf),"OVERDUE",IF(OR(K775&lt;&gt;"",L775&lt;&gt;""),"Invoiced","Scheduled"))))</f>
        <v/>
      </c>
      <c r="P775" s="115">
        <f>IF(B775="","",IF(E775&lt;&gt;"",E775,IFERROR(INDEX('Contractors'!$D$6:$D$1005,MATCH(B775,'Contractors'!$B$6:$B$1005,0)),"")))</f>
        <v/>
      </c>
      <c r="Q775" s="79">
        <f>IF(B775="","",IF(D775&lt;&gt;"",D775,IFERROR(INDEX('Contractors'!$E$6:$E$1005,MATCH(B775,'Contractors'!$B$6:$B$1005,0)),"")))</f>
        <v/>
      </c>
      <c r="R775" s="79">
        <f>IF(O775="","",IF(O775="OVERDUE",2,IF(O775="Paid",0,IF(AND(I775&lt;&gt;"",I775&lt;=AsOf+AlertDays),1,0))))</f>
        <v/>
      </c>
      <c r="S775" s="79">
        <f>IF(AND(B775&lt;&gt;"",M775="",I775&lt;&gt;""),IF(L775&lt;&gt;"",L775,IF(H775="",0,H775)),0)</f>
        <v/>
      </c>
      <c r="T775" s="79">
        <f>IF(AND(B775&lt;&gt;"",M775="",I775&lt;&gt;""),1/I775,0)</f>
        <v/>
      </c>
      <c r="U775" s="112">
        <f>IF(AND(B775&lt;&gt;"",M775="",I775&lt;&gt;""),I775,"")</f>
        <v/>
      </c>
      <c r="V775" s="79">
        <f>IF(U775="","",IF(U775&lt;AsOf,1,IF(U775&lt;=AsOf+AlertDays,2,IF(U775&lt;=AsOf+2*AlertDays,3,""))))</f>
        <v/>
      </c>
      <c r="W775" s="79">
        <f>IF(V775="","",IF(O775="OVERDUE","Overdue payment: ","Payment due: ")&amp;B775&amp;" — "&amp;C775&amp;" ("&amp;CurSym&amp;" "&amp;FIXED(S775,0)&amp;")")</f>
        <v/>
      </c>
      <c r="Z775" s="116">
        <f>IF('Contractors'!B775="","",'Contractors'!B775)</f>
        <v/>
      </c>
      <c r="AA775" s="77">
        <f>IF(Z775="","",'Contractors'!K775)</f>
        <v/>
      </c>
      <c r="AB775" s="77">
        <f>IF(Z775="","",SUMIFS($L$6:$L$1005,$B$6:$B$1005,Z775))</f>
        <v/>
      </c>
      <c r="AC775" s="77">
        <f>IF(Z775="","",SUMIFS($N$6:$N$1005,$B$6:$B$1005,Z775))</f>
        <v/>
      </c>
      <c r="AD775" s="76">
        <f>IF(Z775="","",AA775-AC775)</f>
        <v/>
      </c>
      <c r="AE775" s="117">
        <f>IF(Z775="","",IFERROR(1/SUMPRODUCT(MAX(($B$6:$B$1005=Z775)*$T$6:$T$1005)),""))</f>
        <v/>
      </c>
      <c r="AF775" s="77">
        <f>IF(AE775="","",SUMIFS($S$6:$S$1005,$B$6:$B$1005,Z775,$I$6:$I$1005,AE775))</f>
        <v/>
      </c>
    </row>
    <row r="776" ht="20" customHeight="1">
      <c r="B776" s="72" t="n"/>
      <c r="C776" s="72" t="n"/>
      <c r="D776" s="72" t="n"/>
      <c r="E776" s="72" t="n"/>
      <c r="F776" s="110" t="n"/>
      <c r="G776" s="73" t="n"/>
      <c r="H776" s="75">
        <f>IF(B776="","",IF(G776&lt;&gt;"",G776,IF(F776&lt;&gt;"",F776*IFERROR(INDEX('Contractors'!$I$6:$I$1005,MATCH(B776,'Contractors'!$B$6:$B$1005,0)),0),"")))</f>
        <v/>
      </c>
      <c r="I776" s="109" t="n"/>
      <c r="J776" s="72" t="n"/>
      <c r="K776" s="109" t="n"/>
      <c r="L776" s="73" t="n"/>
      <c r="M776" s="109" t="n"/>
      <c r="N776" s="73" t="n"/>
      <c r="O776" s="107">
        <f>IF(B776="","",IF(M776&lt;&gt;"","Paid",IF(AND(I776&lt;&gt;"",I776&lt;AsOf),"OVERDUE",IF(OR(K776&lt;&gt;"",L776&lt;&gt;""),"Invoiced","Scheduled"))))</f>
        <v/>
      </c>
      <c r="P776" s="115">
        <f>IF(B776="","",IF(E776&lt;&gt;"",E776,IFERROR(INDEX('Contractors'!$D$6:$D$1005,MATCH(B776,'Contractors'!$B$6:$B$1005,0)),"")))</f>
        <v/>
      </c>
      <c r="Q776" s="79">
        <f>IF(B776="","",IF(D776&lt;&gt;"",D776,IFERROR(INDEX('Contractors'!$E$6:$E$1005,MATCH(B776,'Contractors'!$B$6:$B$1005,0)),"")))</f>
        <v/>
      </c>
      <c r="R776" s="79">
        <f>IF(O776="","",IF(O776="OVERDUE",2,IF(O776="Paid",0,IF(AND(I776&lt;&gt;"",I776&lt;=AsOf+AlertDays),1,0))))</f>
        <v/>
      </c>
      <c r="S776" s="79">
        <f>IF(AND(B776&lt;&gt;"",M776="",I776&lt;&gt;""),IF(L776&lt;&gt;"",L776,IF(H776="",0,H776)),0)</f>
        <v/>
      </c>
      <c r="T776" s="79">
        <f>IF(AND(B776&lt;&gt;"",M776="",I776&lt;&gt;""),1/I776,0)</f>
        <v/>
      </c>
      <c r="U776" s="112">
        <f>IF(AND(B776&lt;&gt;"",M776="",I776&lt;&gt;""),I776,"")</f>
        <v/>
      </c>
      <c r="V776" s="79">
        <f>IF(U776="","",IF(U776&lt;AsOf,1,IF(U776&lt;=AsOf+AlertDays,2,IF(U776&lt;=AsOf+2*AlertDays,3,""))))</f>
        <v/>
      </c>
      <c r="W776" s="79">
        <f>IF(V776="","",IF(O776="OVERDUE","Overdue payment: ","Payment due: ")&amp;B776&amp;" — "&amp;C776&amp;" ("&amp;CurSym&amp;" "&amp;FIXED(S776,0)&amp;")")</f>
        <v/>
      </c>
      <c r="Z776" s="116">
        <f>IF('Contractors'!B776="","",'Contractors'!B776)</f>
        <v/>
      </c>
      <c r="AA776" s="77">
        <f>IF(Z776="","",'Contractors'!K776)</f>
        <v/>
      </c>
      <c r="AB776" s="77">
        <f>IF(Z776="","",SUMIFS($L$6:$L$1005,$B$6:$B$1005,Z776))</f>
        <v/>
      </c>
      <c r="AC776" s="77">
        <f>IF(Z776="","",SUMIFS($N$6:$N$1005,$B$6:$B$1005,Z776))</f>
        <v/>
      </c>
      <c r="AD776" s="76">
        <f>IF(Z776="","",AA776-AC776)</f>
        <v/>
      </c>
      <c r="AE776" s="117">
        <f>IF(Z776="","",IFERROR(1/SUMPRODUCT(MAX(($B$6:$B$1005=Z776)*$T$6:$T$1005)),""))</f>
        <v/>
      </c>
      <c r="AF776" s="77">
        <f>IF(AE776="","",SUMIFS($S$6:$S$1005,$B$6:$B$1005,Z776,$I$6:$I$1005,AE776))</f>
        <v/>
      </c>
    </row>
    <row r="777" ht="20" customHeight="1">
      <c r="B777" s="72" t="n"/>
      <c r="C777" s="72" t="n"/>
      <c r="D777" s="72" t="n"/>
      <c r="E777" s="72" t="n"/>
      <c r="F777" s="110" t="n"/>
      <c r="G777" s="73" t="n"/>
      <c r="H777" s="75">
        <f>IF(B777="","",IF(G777&lt;&gt;"",G777,IF(F777&lt;&gt;"",F777*IFERROR(INDEX('Contractors'!$I$6:$I$1005,MATCH(B777,'Contractors'!$B$6:$B$1005,0)),0),"")))</f>
        <v/>
      </c>
      <c r="I777" s="109" t="n"/>
      <c r="J777" s="72" t="n"/>
      <c r="K777" s="109" t="n"/>
      <c r="L777" s="73" t="n"/>
      <c r="M777" s="109" t="n"/>
      <c r="N777" s="73" t="n"/>
      <c r="O777" s="107">
        <f>IF(B777="","",IF(M777&lt;&gt;"","Paid",IF(AND(I777&lt;&gt;"",I777&lt;AsOf),"OVERDUE",IF(OR(K777&lt;&gt;"",L777&lt;&gt;""),"Invoiced","Scheduled"))))</f>
        <v/>
      </c>
      <c r="P777" s="115">
        <f>IF(B777="","",IF(E777&lt;&gt;"",E777,IFERROR(INDEX('Contractors'!$D$6:$D$1005,MATCH(B777,'Contractors'!$B$6:$B$1005,0)),"")))</f>
        <v/>
      </c>
      <c r="Q777" s="79">
        <f>IF(B777="","",IF(D777&lt;&gt;"",D777,IFERROR(INDEX('Contractors'!$E$6:$E$1005,MATCH(B777,'Contractors'!$B$6:$B$1005,0)),"")))</f>
        <v/>
      </c>
      <c r="R777" s="79">
        <f>IF(O777="","",IF(O777="OVERDUE",2,IF(O777="Paid",0,IF(AND(I777&lt;&gt;"",I777&lt;=AsOf+AlertDays),1,0))))</f>
        <v/>
      </c>
      <c r="S777" s="79">
        <f>IF(AND(B777&lt;&gt;"",M777="",I777&lt;&gt;""),IF(L777&lt;&gt;"",L777,IF(H777="",0,H777)),0)</f>
        <v/>
      </c>
      <c r="T777" s="79">
        <f>IF(AND(B777&lt;&gt;"",M777="",I777&lt;&gt;""),1/I777,0)</f>
        <v/>
      </c>
      <c r="U777" s="112">
        <f>IF(AND(B777&lt;&gt;"",M777="",I777&lt;&gt;""),I777,"")</f>
        <v/>
      </c>
      <c r="V777" s="79">
        <f>IF(U777="","",IF(U777&lt;AsOf,1,IF(U777&lt;=AsOf+AlertDays,2,IF(U777&lt;=AsOf+2*AlertDays,3,""))))</f>
        <v/>
      </c>
      <c r="W777" s="79">
        <f>IF(V777="","",IF(O777="OVERDUE","Overdue payment: ","Payment due: ")&amp;B777&amp;" — "&amp;C777&amp;" ("&amp;CurSym&amp;" "&amp;FIXED(S777,0)&amp;")")</f>
        <v/>
      </c>
      <c r="Z777" s="116">
        <f>IF('Contractors'!B777="","",'Contractors'!B777)</f>
        <v/>
      </c>
      <c r="AA777" s="77">
        <f>IF(Z777="","",'Contractors'!K777)</f>
        <v/>
      </c>
      <c r="AB777" s="77">
        <f>IF(Z777="","",SUMIFS($L$6:$L$1005,$B$6:$B$1005,Z777))</f>
        <v/>
      </c>
      <c r="AC777" s="77">
        <f>IF(Z777="","",SUMIFS($N$6:$N$1005,$B$6:$B$1005,Z777))</f>
        <v/>
      </c>
      <c r="AD777" s="76">
        <f>IF(Z777="","",AA777-AC777)</f>
        <v/>
      </c>
      <c r="AE777" s="117">
        <f>IF(Z777="","",IFERROR(1/SUMPRODUCT(MAX(($B$6:$B$1005=Z777)*$T$6:$T$1005)),""))</f>
        <v/>
      </c>
      <c r="AF777" s="77">
        <f>IF(AE777="","",SUMIFS($S$6:$S$1005,$B$6:$B$1005,Z777,$I$6:$I$1005,AE777))</f>
        <v/>
      </c>
    </row>
    <row r="778" ht="20" customHeight="1">
      <c r="B778" s="72" t="n"/>
      <c r="C778" s="72" t="n"/>
      <c r="D778" s="72" t="n"/>
      <c r="E778" s="72" t="n"/>
      <c r="F778" s="110" t="n"/>
      <c r="G778" s="73" t="n"/>
      <c r="H778" s="75">
        <f>IF(B778="","",IF(G778&lt;&gt;"",G778,IF(F778&lt;&gt;"",F778*IFERROR(INDEX('Contractors'!$I$6:$I$1005,MATCH(B778,'Contractors'!$B$6:$B$1005,0)),0),"")))</f>
        <v/>
      </c>
      <c r="I778" s="109" t="n"/>
      <c r="J778" s="72" t="n"/>
      <c r="K778" s="109" t="n"/>
      <c r="L778" s="73" t="n"/>
      <c r="M778" s="109" t="n"/>
      <c r="N778" s="73" t="n"/>
      <c r="O778" s="107">
        <f>IF(B778="","",IF(M778&lt;&gt;"","Paid",IF(AND(I778&lt;&gt;"",I778&lt;AsOf),"OVERDUE",IF(OR(K778&lt;&gt;"",L778&lt;&gt;""),"Invoiced","Scheduled"))))</f>
        <v/>
      </c>
      <c r="P778" s="115">
        <f>IF(B778="","",IF(E778&lt;&gt;"",E778,IFERROR(INDEX('Contractors'!$D$6:$D$1005,MATCH(B778,'Contractors'!$B$6:$B$1005,0)),"")))</f>
        <v/>
      </c>
      <c r="Q778" s="79">
        <f>IF(B778="","",IF(D778&lt;&gt;"",D778,IFERROR(INDEX('Contractors'!$E$6:$E$1005,MATCH(B778,'Contractors'!$B$6:$B$1005,0)),"")))</f>
        <v/>
      </c>
      <c r="R778" s="79">
        <f>IF(O778="","",IF(O778="OVERDUE",2,IF(O778="Paid",0,IF(AND(I778&lt;&gt;"",I778&lt;=AsOf+AlertDays),1,0))))</f>
        <v/>
      </c>
      <c r="S778" s="79">
        <f>IF(AND(B778&lt;&gt;"",M778="",I778&lt;&gt;""),IF(L778&lt;&gt;"",L778,IF(H778="",0,H778)),0)</f>
        <v/>
      </c>
      <c r="T778" s="79">
        <f>IF(AND(B778&lt;&gt;"",M778="",I778&lt;&gt;""),1/I778,0)</f>
        <v/>
      </c>
      <c r="U778" s="112">
        <f>IF(AND(B778&lt;&gt;"",M778="",I778&lt;&gt;""),I778,"")</f>
        <v/>
      </c>
      <c r="V778" s="79">
        <f>IF(U778="","",IF(U778&lt;AsOf,1,IF(U778&lt;=AsOf+AlertDays,2,IF(U778&lt;=AsOf+2*AlertDays,3,""))))</f>
        <v/>
      </c>
      <c r="W778" s="79">
        <f>IF(V778="","",IF(O778="OVERDUE","Overdue payment: ","Payment due: ")&amp;B778&amp;" — "&amp;C778&amp;" ("&amp;CurSym&amp;" "&amp;FIXED(S778,0)&amp;")")</f>
        <v/>
      </c>
      <c r="Z778" s="116">
        <f>IF('Contractors'!B778="","",'Contractors'!B778)</f>
        <v/>
      </c>
      <c r="AA778" s="77">
        <f>IF(Z778="","",'Contractors'!K778)</f>
        <v/>
      </c>
      <c r="AB778" s="77">
        <f>IF(Z778="","",SUMIFS($L$6:$L$1005,$B$6:$B$1005,Z778))</f>
        <v/>
      </c>
      <c r="AC778" s="77">
        <f>IF(Z778="","",SUMIFS($N$6:$N$1005,$B$6:$B$1005,Z778))</f>
        <v/>
      </c>
      <c r="AD778" s="76">
        <f>IF(Z778="","",AA778-AC778)</f>
        <v/>
      </c>
      <c r="AE778" s="117">
        <f>IF(Z778="","",IFERROR(1/SUMPRODUCT(MAX(($B$6:$B$1005=Z778)*$T$6:$T$1005)),""))</f>
        <v/>
      </c>
      <c r="AF778" s="77">
        <f>IF(AE778="","",SUMIFS($S$6:$S$1005,$B$6:$B$1005,Z778,$I$6:$I$1005,AE778))</f>
        <v/>
      </c>
    </row>
    <row r="779" ht="20" customHeight="1">
      <c r="B779" s="72" t="n"/>
      <c r="C779" s="72" t="n"/>
      <c r="D779" s="72" t="n"/>
      <c r="E779" s="72" t="n"/>
      <c r="F779" s="110" t="n"/>
      <c r="G779" s="73" t="n"/>
      <c r="H779" s="75">
        <f>IF(B779="","",IF(G779&lt;&gt;"",G779,IF(F779&lt;&gt;"",F779*IFERROR(INDEX('Contractors'!$I$6:$I$1005,MATCH(B779,'Contractors'!$B$6:$B$1005,0)),0),"")))</f>
        <v/>
      </c>
      <c r="I779" s="109" t="n"/>
      <c r="J779" s="72" t="n"/>
      <c r="K779" s="109" t="n"/>
      <c r="L779" s="73" t="n"/>
      <c r="M779" s="109" t="n"/>
      <c r="N779" s="73" t="n"/>
      <c r="O779" s="107">
        <f>IF(B779="","",IF(M779&lt;&gt;"","Paid",IF(AND(I779&lt;&gt;"",I779&lt;AsOf),"OVERDUE",IF(OR(K779&lt;&gt;"",L779&lt;&gt;""),"Invoiced","Scheduled"))))</f>
        <v/>
      </c>
      <c r="P779" s="115">
        <f>IF(B779="","",IF(E779&lt;&gt;"",E779,IFERROR(INDEX('Contractors'!$D$6:$D$1005,MATCH(B779,'Contractors'!$B$6:$B$1005,0)),"")))</f>
        <v/>
      </c>
      <c r="Q779" s="79">
        <f>IF(B779="","",IF(D779&lt;&gt;"",D779,IFERROR(INDEX('Contractors'!$E$6:$E$1005,MATCH(B779,'Contractors'!$B$6:$B$1005,0)),"")))</f>
        <v/>
      </c>
      <c r="R779" s="79">
        <f>IF(O779="","",IF(O779="OVERDUE",2,IF(O779="Paid",0,IF(AND(I779&lt;&gt;"",I779&lt;=AsOf+AlertDays),1,0))))</f>
        <v/>
      </c>
      <c r="S779" s="79">
        <f>IF(AND(B779&lt;&gt;"",M779="",I779&lt;&gt;""),IF(L779&lt;&gt;"",L779,IF(H779="",0,H779)),0)</f>
        <v/>
      </c>
      <c r="T779" s="79">
        <f>IF(AND(B779&lt;&gt;"",M779="",I779&lt;&gt;""),1/I779,0)</f>
        <v/>
      </c>
      <c r="U779" s="112">
        <f>IF(AND(B779&lt;&gt;"",M779="",I779&lt;&gt;""),I779,"")</f>
        <v/>
      </c>
      <c r="V779" s="79">
        <f>IF(U779="","",IF(U779&lt;AsOf,1,IF(U779&lt;=AsOf+AlertDays,2,IF(U779&lt;=AsOf+2*AlertDays,3,""))))</f>
        <v/>
      </c>
      <c r="W779" s="79">
        <f>IF(V779="","",IF(O779="OVERDUE","Overdue payment: ","Payment due: ")&amp;B779&amp;" — "&amp;C779&amp;" ("&amp;CurSym&amp;" "&amp;FIXED(S779,0)&amp;")")</f>
        <v/>
      </c>
      <c r="Z779" s="116">
        <f>IF('Contractors'!B779="","",'Contractors'!B779)</f>
        <v/>
      </c>
      <c r="AA779" s="77">
        <f>IF(Z779="","",'Contractors'!K779)</f>
        <v/>
      </c>
      <c r="AB779" s="77">
        <f>IF(Z779="","",SUMIFS($L$6:$L$1005,$B$6:$B$1005,Z779))</f>
        <v/>
      </c>
      <c r="AC779" s="77">
        <f>IF(Z779="","",SUMIFS($N$6:$N$1005,$B$6:$B$1005,Z779))</f>
        <v/>
      </c>
      <c r="AD779" s="76">
        <f>IF(Z779="","",AA779-AC779)</f>
        <v/>
      </c>
      <c r="AE779" s="117">
        <f>IF(Z779="","",IFERROR(1/SUMPRODUCT(MAX(($B$6:$B$1005=Z779)*$T$6:$T$1005)),""))</f>
        <v/>
      </c>
      <c r="AF779" s="77">
        <f>IF(AE779="","",SUMIFS($S$6:$S$1005,$B$6:$B$1005,Z779,$I$6:$I$1005,AE779))</f>
        <v/>
      </c>
    </row>
    <row r="780" ht="20" customHeight="1">
      <c r="B780" s="72" t="n"/>
      <c r="C780" s="72" t="n"/>
      <c r="D780" s="72" t="n"/>
      <c r="E780" s="72" t="n"/>
      <c r="F780" s="110" t="n"/>
      <c r="G780" s="73" t="n"/>
      <c r="H780" s="75">
        <f>IF(B780="","",IF(G780&lt;&gt;"",G780,IF(F780&lt;&gt;"",F780*IFERROR(INDEX('Contractors'!$I$6:$I$1005,MATCH(B780,'Contractors'!$B$6:$B$1005,0)),0),"")))</f>
        <v/>
      </c>
      <c r="I780" s="109" t="n"/>
      <c r="J780" s="72" t="n"/>
      <c r="K780" s="109" t="n"/>
      <c r="L780" s="73" t="n"/>
      <c r="M780" s="109" t="n"/>
      <c r="N780" s="73" t="n"/>
      <c r="O780" s="107">
        <f>IF(B780="","",IF(M780&lt;&gt;"","Paid",IF(AND(I780&lt;&gt;"",I780&lt;AsOf),"OVERDUE",IF(OR(K780&lt;&gt;"",L780&lt;&gt;""),"Invoiced","Scheduled"))))</f>
        <v/>
      </c>
      <c r="P780" s="115">
        <f>IF(B780="","",IF(E780&lt;&gt;"",E780,IFERROR(INDEX('Contractors'!$D$6:$D$1005,MATCH(B780,'Contractors'!$B$6:$B$1005,0)),"")))</f>
        <v/>
      </c>
      <c r="Q780" s="79">
        <f>IF(B780="","",IF(D780&lt;&gt;"",D780,IFERROR(INDEX('Contractors'!$E$6:$E$1005,MATCH(B780,'Contractors'!$B$6:$B$1005,0)),"")))</f>
        <v/>
      </c>
      <c r="R780" s="79">
        <f>IF(O780="","",IF(O780="OVERDUE",2,IF(O780="Paid",0,IF(AND(I780&lt;&gt;"",I780&lt;=AsOf+AlertDays),1,0))))</f>
        <v/>
      </c>
      <c r="S780" s="79">
        <f>IF(AND(B780&lt;&gt;"",M780="",I780&lt;&gt;""),IF(L780&lt;&gt;"",L780,IF(H780="",0,H780)),0)</f>
        <v/>
      </c>
      <c r="T780" s="79">
        <f>IF(AND(B780&lt;&gt;"",M780="",I780&lt;&gt;""),1/I780,0)</f>
        <v/>
      </c>
      <c r="U780" s="112">
        <f>IF(AND(B780&lt;&gt;"",M780="",I780&lt;&gt;""),I780,"")</f>
        <v/>
      </c>
      <c r="V780" s="79">
        <f>IF(U780="","",IF(U780&lt;AsOf,1,IF(U780&lt;=AsOf+AlertDays,2,IF(U780&lt;=AsOf+2*AlertDays,3,""))))</f>
        <v/>
      </c>
      <c r="W780" s="79">
        <f>IF(V780="","",IF(O780="OVERDUE","Overdue payment: ","Payment due: ")&amp;B780&amp;" — "&amp;C780&amp;" ("&amp;CurSym&amp;" "&amp;FIXED(S780,0)&amp;")")</f>
        <v/>
      </c>
      <c r="Z780" s="116">
        <f>IF('Contractors'!B780="","",'Contractors'!B780)</f>
        <v/>
      </c>
      <c r="AA780" s="77">
        <f>IF(Z780="","",'Contractors'!K780)</f>
        <v/>
      </c>
      <c r="AB780" s="77">
        <f>IF(Z780="","",SUMIFS($L$6:$L$1005,$B$6:$B$1005,Z780))</f>
        <v/>
      </c>
      <c r="AC780" s="77">
        <f>IF(Z780="","",SUMIFS($N$6:$N$1005,$B$6:$B$1005,Z780))</f>
        <v/>
      </c>
      <c r="AD780" s="76">
        <f>IF(Z780="","",AA780-AC780)</f>
        <v/>
      </c>
      <c r="AE780" s="117">
        <f>IF(Z780="","",IFERROR(1/SUMPRODUCT(MAX(($B$6:$B$1005=Z780)*$T$6:$T$1005)),""))</f>
        <v/>
      </c>
      <c r="AF780" s="77">
        <f>IF(AE780="","",SUMIFS($S$6:$S$1005,$B$6:$B$1005,Z780,$I$6:$I$1005,AE780))</f>
        <v/>
      </c>
    </row>
    <row r="781" ht="20" customHeight="1">
      <c r="B781" s="72" t="n"/>
      <c r="C781" s="72" t="n"/>
      <c r="D781" s="72" t="n"/>
      <c r="E781" s="72" t="n"/>
      <c r="F781" s="110" t="n"/>
      <c r="G781" s="73" t="n"/>
      <c r="H781" s="75">
        <f>IF(B781="","",IF(G781&lt;&gt;"",G781,IF(F781&lt;&gt;"",F781*IFERROR(INDEX('Contractors'!$I$6:$I$1005,MATCH(B781,'Contractors'!$B$6:$B$1005,0)),0),"")))</f>
        <v/>
      </c>
      <c r="I781" s="109" t="n"/>
      <c r="J781" s="72" t="n"/>
      <c r="K781" s="109" t="n"/>
      <c r="L781" s="73" t="n"/>
      <c r="M781" s="109" t="n"/>
      <c r="N781" s="73" t="n"/>
      <c r="O781" s="107">
        <f>IF(B781="","",IF(M781&lt;&gt;"","Paid",IF(AND(I781&lt;&gt;"",I781&lt;AsOf),"OVERDUE",IF(OR(K781&lt;&gt;"",L781&lt;&gt;""),"Invoiced","Scheduled"))))</f>
        <v/>
      </c>
      <c r="P781" s="115">
        <f>IF(B781="","",IF(E781&lt;&gt;"",E781,IFERROR(INDEX('Contractors'!$D$6:$D$1005,MATCH(B781,'Contractors'!$B$6:$B$1005,0)),"")))</f>
        <v/>
      </c>
      <c r="Q781" s="79">
        <f>IF(B781="","",IF(D781&lt;&gt;"",D781,IFERROR(INDEX('Contractors'!$E$6:$E$1005,MATCH(B781,'Contractors'!$B$6:$B$1005,0)),"")))</f>
        <v/>
      </c>
      <c r="R781" s="79">
        <f>IF(O781="","",IF(O781="OVERDUE",2,IF(O781="Paid",0,IF(AND(I781&lt;&gt;"",I781&lt;=AsOf+AlertDays),1,0))))</f>
        <v/>
      </c>
      <c r="S781" s="79">
        <f>IF(AND(B781&lt;&gt;"",M781="",I781&lt;&gt;""),IF(L781&lt;&gt;"",L781,IF(H781="",0,H781)),0)</f>
        <v/>
      </c>
      <c r="T781" s="79">
        <f>IF(AND(B781&lt;&gt;"",M781="",I781&lt;&gt;""),1/I781,0)</f>
        <v/>
      </c>
      <c r="U781" s="112">
        <f>IF(AND(B781&lt;&gt;"",M781="",I781&lt;&gt;""),I781,"")</f>
        <v/>
      </c>
      <c r="V781" s="79">
        <f>IF(U781="","",IF(U781&lt;AsOf,1,IF(U781&lt;=AsOf+AlertDays,2,IF(U781&lt;=AsOf+2*AlertDays,3,""))))</f>
        <v/>
      </c>
      <c r="W781" s="79">
        <f>IF(V781="","",IF(O781="OVERDUE","Overdue payment: ","Payment due: ")&amp;B781&amp;" — "&amp;C781&amp;" ("&amp;CurSym&amp;" "&amp;FIXED(S781,0)&amp;")")</f>
        <v/>
      </c>
      <c r="Z781" s="116">
        <f>IF('Contractors'!B781="","",'Contractors'!B781)</f>
        <v/>
      </c>
      <c r="AA781" s="77">
        <f>IF(Z781="","",'Contractors'!K781)</f>
        <v/>
      </c>
      <c r="AB781" s="77">
        <f>IF(Z781="","",SUMIFS($L$6:$L$1005,$B$6:$B$1005,Z781))</f>
        <v/>
      </c>
      <c r="AC781" s="77">
        <f>IF(Z781="","",SUMIFS($N$6:$N$1005,$B$6:$B$1005,Z781))</f>
        <v/>
      </c>
      <c r="AD781" s="76">
        <f>IF(Z781="","",AA781-AC781)</f>
        <v/>
      </c>
      <c r="AE781" s="117">
        <f>IF(Z781="","",IFERROR(1/SUMPRODUCT(MAX(($B$6:$B$1005=Z781)*$T$6:$T$1005)),""))</f>
        <v/>
      </c>
      <c r="AF781" s="77">
        <f>IF(AE781="","",SUMIFS($S$6:$S$1005,$B$6:$B$1005,Z781,$I$6:$I$1005,AE781))</f>
        <v/>
      </c>
    </row>
    <row r="782" ht="20" customHeight="1">
      <c r="B782" s="72" t="n"/>
      <c r="C782" s="72" t="n"/>
      <c r="D782" s="72" t="n"/>
      <c r="E782" s="72" t="n"/>
      <c r="F782" s="110" t="n"/>
      <c r="G782" s="73" t="n"/>
      <c r="H782" s="75">
        <f>IF(B782="","",IF(G782&lt;&gt;"",G782,IF(F782&lt;&gt;"",F782*IFERROR(INDEX('Contractors'!$I$6:$I$1005,MATCH(B782,'Contractors'!$B$6:$B$1005,0)),0),"")))</f>
        <v/>
      </c>
      <c r="I782" s="109" t="n"/>
      <c r="J782" s="72" t="n"/>
      <c r="K782" s="109" t="n"/>
      <c r="L782" s="73" t="n"/>
      <c r="M782" s="109" t="n"/>
      <c r="N782" s="73" t="n"/>
      <c r="O782" s="107">
        <f>IF(B782="","",IF(M782&lt;&gt;"","Paid",IF(AND(I782&lt;&gt;"",I782&lt;AsOf),"OVERDUE",IF(OR(K782&lt;&gt;"",L782&lt;&gt;""),"Invoiced","Scheduled"))))</f>
        <v/>
      </c>
      <c r="P782" s="115">
        <f>IF(B782="","",IF(E782&lt;&gt;"",E782,IFERROR(INDEX('Contractors'!$D$6:$D$1005,MATCH(B782,'Contractors'!$B$6:$B$1005,0)),"")))</f>
        <v/>
      </c>
      <c r="Q782" s="79">
        <f>IF(B782="","",IF(D782&lt;&gt;"",D782,IFERROR(INDEX('Contractors'!$E$6:$E$1005,MATCH(B782,'Contractors'!$B$6:$B$1005,0)),"")))</f>
        <v/>
      </c>
      <c r="R782" s="79">
        <f>IF(O782="","",IF(O782="OVERDUE",2,IF(O782="Paid",0,IF(AND(I782&lt;&gt;"",I782&lt;=AsOf+AlertDays),1,0))))</f>
        <v/>
      </c>
      <c r="S782" s="79">
        <f>IF(AND(B782&lt;&gt;"",M782="",I782&lt;&gt;""),IF(L782&lt;&gt;"",L782,IF(H782="",0,H782)),0)</f>
        <v/>
      </c>
      <c r="T782" s="79">
        <f>IF(AND(B782&lt;&gt;"",M782="",I782&lt;&gt;""),1/I782,0)</f>
        <v/>
      </c>
      <c r="U782" s="112">
        <f>IF(AND(B782&lt;&gt;"",M782="",I782&lt;&gt;""),I782,"")</f>
        <v/>
      </c>
      <c r="V782" s="79">
        <f>IF(U782="","",IF(U782&lt;AsOf,1,IF(U782&lt;=AsOf+AlertDays,2,IF(U782&lt;=AsOf+2*AlertDays,3,""))))</f>
        <v/>
      </c>
      <c r="W782" s="79">
        <f>IF(V782="","",IF(O782="OVERDUE","Overdue payment: ","Payment due: ")&amp;B782&amp;" — "&amp;C782&amp;" ("&amp;CurSym&amp;" "&amp;FIXED(S782,0)&amp;")")</f>
        <v/>
      </c>
      <c r="Z782" s="116">
        <f>IF('Contractors'!B782="","",'Contractors'!B782)</f>
        <v/>
      </c>
      <c r="AA782" s="77">
        <f>IF(Z782="","",'Contractors'!K782)</f>
        <v/>
      </c>
      <c r="AB782" s="77">
        <f>IF(Z782="","",SUMIFS($L$6:$L$1005,$B$6:$B$1005,Z782))</f>
        <v/>
      </c>
      <c r="AC782" s="77">
        <f>IF(Z782="","",SUMIFS($N$6:$N$1005,$B$6:$B$1005,Z782))</f>
        <v/>
      </c>
      <c r="AD782" s="76">
        <f>IF(Z782="","",AA782-AC782)</f>
        <v/>
      </c>
      <c r="AE782" s="117">
        <f>IF(Z782="","",IFERROR(1/SUMPRODUCT(MAX(($B$6:$B$1005=Z782)*$T$6:$T$1005)),""))</f>
        <v/>
      </c>
      <c r="AF782" s="77">
        <f>IF(AE782="","",SUMIFS($S$6:$S$1005,$B$6:$B$1005,Z782,$I$6:$I$1005,AE782))</f>
        <v/>
      </c>
    </row>
    <row r="783" ht="20" customHeight="1">
      <c r="B783" s="72" t="n"/>
      <c r="C783" s="72" t="n"/>
      <c r="D783" s="72" t="n"/>
      <c r="E783" s="72" t="n"/>
      <c r="F783" s="110" t="n"/>
      <c r="G783" s="73" t="n"/>
      <c r="H783" s="75">
        <f>IF(B783="","",IF(G783&lt;&gt;"",G783,IF(F783&lt;&gt;"",F783*IFERROR(INDEX('Contractors'!$I$6:$I$1005,MATCH(B783,'Contractors'!$B$6:$B$1005,0)),0),"")))</f>
        <v/>
      </c>
      <c r="I783" s="109" t="n"/>
      <c r="J783" s="72" t="n"/>
      <c r="K783" s="109" t="n"/>
      <c r="L783" s="73" t="n"/>
      <c r="M783" s="109" t="n"/>
      <c r="N783" s="73" t="n"/>
      <c r="O783" s="107">
        <f>IF(B783="","",IF(M783&lt;&gt;"","Paid",IF(AND(I783&lt;&gt;"",I783&lt;AsOf),"OVERDUE",IF(OR(K783&lt;&gt;"",L783&lt;&gt;""),"Invoiced","Scheduled"))))</f>
        <v/>
      </c>
      <c r="P783" s="115">
        <f>IF(B783="","",IF(E783&lt;&gt;"",E783,IFERROR(INDEX('Contractors'!$D$6:$D$1005,MATCH(B783,'Contractors'!$B$6:$B$1005,0)),"")))</f>
        <v/>
      </c>
      <c r="Q783" s="79">
        <f>IF(B783="","",IF(D783&lt;&gt;"",D783,IFERROR(INDEX('Contractors'!$E$6:$E$1005,MATCH(B783,'Contractors'!$B$6:$B$1005,0)),"")))</f>
        <v/>
      </c>
      <c r="R783" s="79">
        <f>IF(O783="","",IF(O783="OVERDUE",2,IF(O783="Paid",0,IF(AND(I783&lt;&gt;"",I783&lt;=AsOf+AlertDays),1,0))))</f>
        <v/>
      </c>
      <c r="S783" s="79">
        <f>IF(AND(B783&lt;&gt;"",M783="",I783&lt;&gt;""),IF(L783&lt;&gt;"",L783,IF(H783="",0,H783)),0)</f>
        <v/>
      </c>
      <c r="T783" s="79">
        <f>IF(AND(B783&lt;&gt;"",M783="",I783&lt;&gt;""),1/I783,0)</f>
        <v/>
      </c>
      <c r="U783" s="112">
        <f>IF(AND(B783&lt;&gt;"",M783="",I783&lt;&gt;""),I783,"")</f>
        <v/>
      </c>
      <c r="V783" s="79">
        <f>IF(U783="","",IF(U783&lt;AsOf,1,IF(U783&lt;=AsOf+AlertDays,2,IF(U783&lt;=AsOf+2*AlertDays,3,""))))</f>
        <v/>
      </c>
      <c r="W783" s="79">
        <f>IF(V783="","",IF(O783="OVERDUE","Overdue payment: ","Payment due: ")&amp;B783&amp;" — "&amp;C783&amp;" ("&amp;CurSym&amp;" "&amp;FIXED(S783,0)&amp;")")</f>
        <v/>
      </c>
      <c r="Z783" s="116">
        <f>IF('Contractors'!B783="","",'Contractors'!B783)</f>
        <v/>
      </c>
      <c r="AA783" s="77">
        <f>IF(Z783="","",'Contractors'!K783)</f>
        <v/>
      </c>
      <c r="AB783" s="77">
        <f>IF(Z783="","",SUMIFS($L$6:$L$1005,$B$6:$B$1005,Z783))</f>
        <v/>
      </c>
      <c r="AC783" s="77">
        <f>IF(Z783="","",SUMIFS($N$6:$N$1005,$B$6:$B$1005,Z783))</f>
        <v/>
      </c>
      <c r="AD783" s="76">
        <f>IF(Z783="","",AA783-AC783)</f>
        <v/>
      </c>
      <c r="AE783" s="117">
        <f>IF(Z783="","",IFERROR(1/SUMPRODUCT(MAX(($B$6:$B$1005=Z783)*$T$6:$T$1005)),""))</f>
        <v/>
      </c>
      <c r="AF783" s="77">
        <f>IF(AE783="","",SUMIFS($S$6:$S$1005,$B$6:$B$1005,Z783,$I$6:$I$1005,AE783))</f>
        <v/>
      </c>
    </row>
    <row r="784" ht="20" customHeight="1">
      <c r="B784" s="72" t="n"/>
      <c r="C784" s="72" t="n"/>
      <c r="D784" s="72" t="n"/>
      <c r="E784" s="72" t="n"/>
      <c r="F784" s="110" t="n"/>
      <c r="G784" s="73" t="n"/>
      <c r="H784" s="75">
        <f>IF(B784="","",IF(G784&lt;&gt;"",G784,IF(F784&lt;&gt;"",F784*IFERROR(INDEX('Contractors'!$I$6:$I$1005,MATCH(B784,'Contractors'!$B$6:$B$1005,0)),0),"")))</f>
        <v/>
      </c>
      <c r="I784" s="109" t="n"/>
      <c r="J784" s="72" t="n"/>
      <c r="K784" s="109" t="n"/>
      <c r="L784" s="73" t="n"/>
      <c r="M784" s="109" t="n"/>
      <c r="N784" s="73" t="n"/>
      <c r="O784" s="107">
        <f>IF(B784="","",IF(M784&lt;&gt;"","Paid",IF(AND(I784&lt;&gt;"",I784&lt;AsOf),"OVERDUE",IF(OR(K784&lt;&gt;"",L784&lt;&gt;""),"Invoiced","Scheduled"))))</f>
        <v/>
      </c>
      <c r="P784" s="115">
        <f>IF(B784="","",IF(E784&lt;&gt;"",E784,IFERROR(INDEX('Contractors'!$D$6:$D$1005,MATCH(B784,'Contractors'!$B$6:$B$1005,0)),"")))</f>
        <v/>
      </c>
      <c r="Q784" s="79">
        <f>IF(B784="","",IF(D784&lt;&gt;"",D784,IFERROR(INDEX('Contractors'!$E$6:$E$1005,MATCH(B784,'Contractors'!$B$6:$B$1005,0)),"")))</f>
        <v/>
      </c>
      <c r="R784" s="79">
        <f>IF(O784="","",IF(O784="OVERDUE",2,IF(O784="Paid",0,IF(AND(I784&lt;&gt;"",I784&lt;=AsOf+AlertDays),1,0))))</f>
        <v/>
      </c>
      <c r="S784" s="79">
        <f>IF(AND(B784&lt;&gt;"",M784="",I784&lt;&gt;""),IF(L784&lt;&gt;"",L784,IF(H784="",0,H784)),0)</f>
        <v/>
      </c>
      <c r="T784" s="79">
        <f>IF(AND(B784&lt;&gt;"",M784="",I784&lt;&gt;""),1/I784,0)</f>
        <v/>
      </c>
      <c r="U784" s="112">
        <f>IF(AND(B784&lt;&gt;"",M784="",I784&lt;&gt;""),I784,"")</f>
        <v/>
      </c>
      <c r="V784" s="79">
        <f>IF(U784="","",IF(U784&lt;AsOf,1,IF(U784&lt;=AsOf+AlertDays,2,IF(U784&lt;=AsOf+2*AlertDays,3,""))))</f>
        <v/>
      </c>
      <c r="W784" s="79">
        <f>IF(V784="","",IF(O784="OVERDUE","Overdue payment: ","Payment due: ")&amp;B784&amp;" — "&amp;C784&amp;" ("&amp;CurSym&amp;" "&amp;FIXED(S784,0)&amp;")")</f>
        <v/>
      </c>
      <c r="Z784" s="116">
        <f>IF('Contractors'!B784="","",'Contractors'!B784)</f>
        <v/>
      </c>
      <c r="AA784" s="77">
        <f>IF(Z784="","",'Contractors'!K784)</f>
        <v/>
      </c>
      <c r="AB784" s="77">
        <f>IF(Z784="","",SUMIFS($L$6:$L$1005,$B$6:$B$1005,Z784))</f>
        <v/>
      </c>
      <c r="AC784" s="77">
        <f>IF(Z784="","",SUMIFS($N$6:$N$1005,$B$6:$B$1005,Z784))</f>
        <v/>
      </c>
      <c r="AD784" s="76">
        <f>IF(Z784="","",AA784-AC784)</f>
        <v/>
      </c>
      <c r="AE784" s="117">
        <f>IF(Z784="","",IFERROR(1/SUMPRODUCT(MAX(($B$6:$B$1005=Z784)*$T$6:$T$1005)),""))</f>
        <v/>
      </c>
      <c r="AF784" s="77">
        <f>IF(AE784="","",SUMIFS($S$6:$S$1005,$B$6:$B$1005,Z784,$I$6:$I$1005,AE784))</f>
        <v/>
      </c>
    </row>
    <row r="785" ht="20" customHeight="1">
      <c r="B785" s="72" t="n"/>
      <c r="C785" s="72" t="n"/>
      <c r="D785" s="72" t="n"/>
      <c r="E785" s="72" t="n"/>
      <c r="F785" s="110" t="n"/>
      <c r="G785" s="73" t="n"/>
      <c r="H785" s="75">
        <f>IF(B785="","",IF(G785&lt;&gt;"",G785,IF(F785&lt;&gt;"",F785*IFERROR(INDEX('Contractors'!$I$6:$I$1005,MATCH(B785,'Contractors'!$B$6:$B$1005,0)),0),"")))</f>
        <v/>
      </c>
      <c r="I785" s="109" t="n"/>
      <c r="J785" s="72" t="n"/>
      <c r="K785" s="109" t="n"/>
      <c r="L785" s="73" t="n"/>
      <c r="M785" s="109" t="n"/>
      <c r="N785" s="73" t="n"/>
      <c r="O785" s="107">
        <f>IF(B785="","",IF(M785&lt;&gt;"","Paid",IF(AND(I785&lt;&gt;"",I785&lt;AsOf),"OVERDUE",IF(OR(K785&lt;&gt;"",L785&lt;&gt;""),"Invoiced","Scheduled"))))</f>
        <v/>
      </c>
      <c r="P785" s="115">
        <f>IF(B785="","",IF(E785&lt;&gt;"",E785,IFERROR(INDEX('Contractors'!$D$6:$D$1005,MATCH(B785,'Contractors'!$B$6:$B$1005,0)),"")))</f>
        <v/>
      </c>
      <c r="Q785" s="79">
        <f>IF(B785="","",IF(D785&lt;&gt;"",D785,IFERROR(INDEX('Contractors'!$E$6:$E$1005,MATCH(B785,'Contractors'!$B$6:$B$1005,0)),"")))</f>
        <v/>
      </c>
      <c r="R785" s="79">
        <f>IF(O785="","",IF(O785="OVERDUE",2,IF(O785="Paid",0,IF(AND(I785&lt;&gt;"",I785&lt;=AsOf+AlertDays),1,0))))</f>
        <v/>
      </c>
      <c r="S785" s="79">
        <f>IF(AND(B785&lt;&gt;"",M785="",I785&lt;&gt;""),IF(L785&lt;&gt;"",L785,IF(H785="",0,H785)),0)</f>
        <v/>
      </c>
      <c r="T785" s="79">
        <f>IF(AND(B785&lt;&gt;"",M785="",I785&lt;&gt;""),1/I785,0)</f>
        <v/>
      </c>
      <c r="U785" s="112">
        <f>IF(AND(B785&lt;&gt;"",M785="",I785&lt;&gt;""),I785,"")</f>
        <v/>
      </c>
      <c r="V785" s="79">
        <f>IF(U785="","",IF(U785&lt;AsOf,1,IF(U785&lt;=AsOf+AlertDays,2,IF(U785&lt;=AsOf+2*AlertDays,3,""))))</f>
        <v/>
      </c>
      <c r="W785" s="79">
        <f>IF(V785="","",IF(O785="OVERDUE","Overdue payment: ","Payment due: ")&amp;B785&amp;" — "&amp;C785&amp;" ("&amp;CurSym&amp;" "&amp;FIXED(S785,0)&amp;")")</f>
        <v/>
      </c>
      <c r="Z785" s="116">
        <f>IF('Contractors'!B785="","",'Contractors'!B785)</f>
        <v/>
      </c>
      <c r="AA785" s="77">
        <f>IF(Z785="","",'Contractors'!K785)</f>
        <v/>
      </c>
      <c r="AB785" s="77">
        <f>IF(Z785="","",SUMIFS($L$6:$L$1005,$B$6:$B$1005,Z785))</f>
        <v/>
      </c>
      <c r="AC785" s="77">
        <f>IF(Z785="","",SUMIFS($N$6:$N$1005,$B$6:$B$1005,Z785))</f>
        <v/>
      </c>
      <c r="AD785" s="76">
        <f>IF(Z785="","",AA785-AC785)</f>
        <v/>
      </c>
      <c r="AE785" s="117">
        <f>IF(Z785="","",IFERROR(1/SUMPRODUCT(MAX(($B$6:$B$1005=Z785)*$T$6:$T$1005)),""))</f>
        <v/>
      </c>
      <c r="AF785" s="77">
        <f>IF(AE785="","",SUMIFS($S$6:$S$1005,$B$6:$B$1005,Z785,$I$6:$I$1005,AE785))</f>
        <v/>
      </c>
    </row>
    <row r="786" ht="20" customHeight="1">
      <c r="B786" s="72" t="n"/>
      <c r="C786" s="72" t="n"/>
      <c r="D786" s="72" t="n"/>
      <c r="E786" s="72" t="n"/>
      <c r="F786" s="110" t="n"/>
      <c r="G786" s="73" t="n"/>
      <c r="H786" s="75">
        <f>IF(B786="","",IF(G786&lt;&gt;"",G786,IF(F786&lt;&gt;"",F786*IFERROR(INDEX('Contractors'!$I$6:$I$1005,MATCH(B786,'Contractors'!$B$6:$B$1005,0)),0),"")))</f>
        <v/>
      </c>
      <c r="I786" s="109" t="n"/>
      <c r="J786" s="72" t="n"/>
      <c r="K786" s="109" t="n"/>
      <c r="L786" s="73" t="n"/>
      <c r="M786" s="109" t="n"/>
      <c r="N786" s="73" t="n"/>
      <c r="O786" s="107">
        <f>IF(B786="","",IF(M786&lt;&gt;"","Paid",IF(AND(I786&lt;&gt;"",I786&lt;AsOf),"OVERDUE",IF(OR(K786&lt;&gt;"",L786&lt;&gt;""),"Invoiced","Scheduled"))))</f>
        <v/>
      </c>
      <c r="P786" s="115">
        <f>IF(B786="","",IF(E786&lt;&gt;"",E786,IFERROR(INDEX('Contractors'!$D$6:$D$1005,MATCH(B786,'Contractors'!$B$6:$B$1005,0)),"")))</f>
        <v/>
      </c>
      <c r="Q786" s="79">
        <f>IF(B786="","",IF(D786&lt;&gt;"",D786,IFERROR(INDEX('Contractors'!$E$6:$E$1005,MATCH(B786,'Contractors'!$B$6:$B$1005,0)),"")))</f>
        <v/>
      </c>
      <c r="R786" s="79">
        <f>IF(O786="","",IF(O786="OVERDUE",2,IF(O786="Paid",0,IF(AND(I786&lt;&gt;"",I786&lt;=AsOf+AlertDays),1,0))))</f>
        <v/>
      </c>
      <c r="S786" s="79">
        <f>IF(AND(B786&lt;&gt;"",M786="",I786&lt;&gt;""),IF(L786&lt;&gt;"",L786,IF(H786="",0,H786)),0)</f>
        <v/>
      </c>
      <c r="T786" s="79">
        <f>IF(AND(B786&lt;&gt;"",M786="",I786&lt;&gt;""),1/I786,0)</f>
        <v/>
      </c>
      <c r="U786" s="112">
        <f>IF(AND(B786&lt;&gt;"",M786="",I786&lt;&gt;""),I786,"")</f>
        <v/>
      </c>
      <c r="V786" s="79">
        <f>IF(U786="","",IF(U786&lt;AsOf,1,IF(U786&lt;=AsOf+AlertDays,2,IF(U786&lt;=AsOf+2*AlertDays,3,""))))</f>
        <v/>
      </c>
      <c r="W786" s="79">
        <f>IF(V786="","",IF(O786="OVERDUE","Overdue payment: ","Payment due: ")&amp;B786&amp;" — "&amp;C786&amp;" ("&amp;CurSym&amp;" "&amp;FIXED(S786,0)&amp;")")</f>
        <v/>
      </c>
      <c r="Z786" s="116">
        <f>IF('Contractors'!B786="","",'Contractors'!B786)</f>
        <v/>
      </c>
      <c r="AA786" s="77">
        <f>IF(Z786="","",'Contractors'!K786)</f>
        <v/>
      </c>
      <c r="AB786" s="77">
        <f>IF(Z786="","",SUMIFS($L$6:$L$1005,$B$6:$B$1005,Z786))</f>
        <v/>
      </c>
      <c r="AC786" s="77">
        <f>IF(Z786="","",SUMIFS($N$6:$N$1005,$B$6:$B$1005,Z786))</f>
        <v/>
      </c>
      <c r="AD786" s="76">
        <f>IF(Z786="","",AA786-AC786)</f>
        <v/>
      </c>
      <c r="AE786" s="117">
        <f>IF(Z786="","",IFERROR(1/SUMPRODUCT(MAX(($B$6:$B$1005=Z786)*$T$6:$T$1005)),""))</f>
        <v/>
      </c>
      <c r="AF786" s="77">
        <f>IF(AE786="","",SUMIFS($S$6:$S$1005,$B$6:$B$1005,Z786,$I$6:$I$1005,AE786))</f>
        <v/>
      </c>
    </row>
    <row r="787" ht="20" customHeight="1">
      <c r="B787" s="72" t="n"/>
      <c r="C787" s="72" t="n"/>
      <c r="D787" s="72" t="n"/>
      <c r="E787" s="72" t="n"/>
      <c r="F787" s="110" t="n"/>
      <c r="G787" s="73" t="n"/>
      <c r="H787" s="75">
        <f>IF(B787="","",IF(G787&lt;&gt;"",G787,IF(F787&lt;&gt;"",F787*IFERROR(INDEX('Contractors'!$I$6:$I$1005,MATCH(B787,'Contractors'!$B$6:$B$1005,0)),0),"")))</f>
        <v/>
      </c>
      <c r="I787" s="109" t="n"/>
      <c r="J787" s="72" t="n"/>
      <c r="K787" s="109" t="n"/>
      <c r="L787" s="73" t="n"/>
      <c r="M787" s="109" t="n"/>
      <c r="N787" s="73" t="n"/>
      <c r="O787" s="107">
        <f>IF(B787="","",IF(M787&lt;&gt;"","Paid",IF(AND(I787&lt;&gt;"",I787&lt;AsOf),"OVERDUE",IF(OR(K787&lt;&gt;"",L787&lt;&gt;""),"Invoiced","Scheduled"))))</f>
        <v/>
      </c>
      <c r="P787" s="115">
        <f>IF(B787="","",IF(E787&lt;&gt;"",E787,IFERROR(INDEX('Contractors'!$D$6:$D$1005,MATCH(B787,'Contractors'!$B$6:$B$1005,0)),"")))</f>
        <v/>
      </c>
      <c r="Q787" s="79">
        <f>IF(B787="","",IF(D787&lt;&gt;"",D787,IFERROR(INDEX('Contractors'!$E$6:$E$1005,MATCH(B787,'Contractors'!$B$6:$B$1005,0)),"")))</f>
        <v/>
      </c>
      <c r="R787" s="79">
        <f>IF(O787="","",IF(O787="OVERDUE",2,IF(O787="Paid",0,IF(AND(I787&lt;&gt;"",I787&lt;=AsOf+AlertDays),1,0))))</f>
        <v/>
      </c>
      <c r="S787" s="79">
        <f>IF(AND(B787&lt;&gt;"",M787="",I787&lt;&gt;""),IF(L787&lt;&gt;"",L787,IF(H787="",0,H787)),0)</f>
        <v/>
      </c>
      <c r="T787" s="79">
        <f>IF(AND(B787&lt;&gt;"",M787="",I787&lt;&gt;""),1/I787,0)</f>
        <v/>
      </c>
      <c r="U787" s="112">
        <f>IF(AND(B787&lt;&gt;"",M787="",I787&lt;&gt;""),I787,"")</f>
        <v/>
      </c>
      <c r="V787" s="79">
        <f>IF(U787="","",IF(U787&lt;AsOf,1,IF(U787&lt;=AsOf+AlertDays,2,IF(U787&lt;=AsOf+2*AlertDays,3,""))))</f>
        <v/>
      </c>
      <c r="W787" s="79">
        <f>IF(V787="","",IF(O787="OVERDUE","Overdue payment: ","Payment due: ")&amp;B787&amp;" — "&amp;C787&amp;" ("&amp;CurSym&amp;" "&amp;FIXED(S787,0)&amp;")")</f>
        <v/>
      </c>
      <c r="Z787" s="116">
        <f>IF('Contractors'!B787="","",'Contractors'!B787)</f>
        <v/>
      </c>
      <c r="AA787" s="77">
        <f>IF(Z787="","",'Contractors'!K787)</f>
        <v/>
      </c>
      <c r="AB787" s="77">
        <f>IF(Z787="","",SUMIFS($L$6:$L$1005,$B$6:$B$1005,Z787))</f>
        <v/>
      </c>
      <c r="AC787" s="77">
        <f>IF(Z787="","",SUMIFS($N$6:$N$1005,$B$6:$B$1005,Z787))</f>
        <v/>
      </c>
      <c r="AD787" s="76">
        <f>IF(Z787="","",AA787-AC787)</f>
        <v/>
      </c>
      <c r="AE787" s="117">
        <f>IF(Z787="","",IFERROR(1/SUMPRODUCT(MAX(($B$6:$B$1005=Z787)*$T$6:$T$1005)),""))</f>
        <v/>
      </c>
      <c r="AF787" s="77">
        <f>IF(AE787="","",SUMIFS($S$6:$S$1005,$B$6:$B$1005,Z787,$I$6:$I$1005,AE787))</f>
        <v/>
      </c>
    </row>
    <row r="788" ht="20" customHeight="1">
      <c r="B788" s="72" t="n"/>
      <c r="C788" s="72" t="n"/>
      <c r="D788" s="72" t="n"/>
      <c r="E788" s="72" t="n"/>
      <c r="F788" s="110" t="n"/>
      <c r="G788" s="73" t="n"/>
      <c r="H788" s="75">
        <f>IF(B788="","",IF(G788&lt;&gt;"",G788,IF(F788&lt;&gt;"",F788*IFERROR(INDEX('Contractors'!$I$6:$I$1005,MATCH(B788,'Contractors'!$B$6:$B$1005,0)),0),"")))</f>
        <v/>
      </c>
      <c r="I788" s="109" t="n"/>
      <c r="J788" s="72" t="n"/>
      <c r="K788" s="109" t="n"/>
      <c r="L788" s="73" t="n"/>
      <c r="M788" s="109" t="n"/>
      <c r="N788" s="73" t="n"/>
      <c r="O788" s="107">
        <f>IF(B788="","",IF(M788&lt;&gt;"","Paid",IF(AND(I788&lt;&gt;"",I788&lt;AsOf),"OVERDUE",IF(OR(K788&lt;&gt;"",L788&lt;&gt;""),"Invoiced","Scheduled"))))</f>
        <v/>
      </c>
      <c r="P788" s="115">
        <f>IF(B788="","",IF(E788&lt;&gt;"",E788,IFERROR(INDEX('Contractors'!$D$6:$D$1005,MATCH(B788,'Contractors'!$B$6:$B$1005,0)),"")))</f>
        <v/>
      </c>
      <c r="Q788" s="79">
        <f>IF(B788="","",IF(D788&lt;&gt;"",D788,IFERROR(INDEX('Contractors'!$E$6:$E$1005,MATCH(B788,'Contractors'!$B$6:$B$1005,0)),"")))</f>
        <v/>
      </c>
      <c r="R788" s="79">
        <f>IF(O788="","",IF(O788="OVERDUE",2,IF(O788="Paid",0,IF(AND(I788&lt;&gt;"",I788&lt;=AsOf+AlertDays),1,0))))</f>
        <v/>
      </c>
      <c r="S788" s="79">
        <f>IF(AND(B788&lt;&gt;"",M788="",I788&lt;&gt;""),IF(L788&lt;&gt;"",L788,IF(H788="",0,H788)),0)</f>
        <v/>
      </c>
      <c r="T788" s="79">
        <f>IF(AND(B788&lt;&gt;"",M788="",I788&lt;&gt;""),1/I788,0)</f>
        <v/>
      </c>
      <c r="U788" s="112">
        <f>IF(AND(B788&lt;&gt;"",M788="",I788&lt;&gt;""),I788,"")</f>
        <v/>
      </c>
      <c r="V788" s="79">
        <f>IF(U788="","",IF(U788&lt;AsOf,1,IF(U788&lt;=AsOf+AlertDays,2,IF(U788&lt;=AsOf+2*AlertDays,3,""))))</f>
        <v/>
      </c>
      <c r="W788" s="79">
        <f>IF(V788="","",IF(O788="OVERDUE","Overdue payment: ","Payment due: ")&amp;B788&amp;" — "&amp;C788&amp;" ("&amp;CurSym&amp;" "&amp;FIXED(S788,0)&amp;")")</f>
        <v/>
      </c>
      <c r="Z788" s="116">
        <f>IF('Contractors'!B788="","",'Contractors'!B788)</f>
        <v/>
      </c>
      <c r="AA788" s="77">
        <f>IF(Z788="","",'Contractors'!K788)</f>
        <v/>
      </c>
      <c r="AB788" s="77">
        <f>IF(Z788="","",SUMIFS($L$6:$L$1005,$B$6:$B$1005,Z788))</f>
        <v/>
      </c>
      <c r="AC788" s="77">
        <f>IF(Z788="","",SUMIFS($N$6:$N$1005,$B$6:$B$1005,Z788))</f>
        <v/>
      </c>
      <c r="AD788" s="76">
        <f>IF(Z788="","",AA788-AC788)</f>
        <v/>
      </c>
      <c r="AE788" s="117">
        <f>IF(Z788="","",IFERROR(1/SUMPRODUCT(MAX(($B$6:$B$1005=Z788)*$T$6:$T$1005)),""))</f>
        <v/>
      </c>
      <c r="AF788" s="77">
        <f>IF(AE788="","",SUMIFS($S$6:$S$1005,$B$6:$B$1005,Z788,$I$6:$I$1005,AE788))</f>
        <v/>
      </c>
    </row>
    <row r="789" ht="20" customHeight="1">
      <c r="B789" s="72" t="n"/>
      <c r="C789" s="72" t="n"/>
      <c r="D789" s="72" t="n"/>
      <c r="E789" s="72" t="n"/>
      <c r="F789" s="110" t="n"/>
      <c r="G789" s="73" t="n"/>
      <c r="H789" s="75">
        <f>IF(B789="","",IF(G789&lt;&gt;"",G789,IF(F789&lt;&gt;"",F789*IFERROR(INDEX('Contractors'!$I$6:$I$1005,MATCH(B789,'Contractors'!$B$6:$B$1005,0)),0),"")))</f>
        <v/>
      </c>
      <c r="I789" s="109" t="n"/>
      <c r="J789" s="72" t="n"/>
      <c r="K789" s="109" t="n"/>
      <c r="L789" s="73" t="n"/>
      <c r="M789" s="109" t="n"/>
      <c r="N789" s="73" t="n"/>
      <c r="O789" s="107">
        <f>IF(B789="","",IF(M789&lt;&gt;"","Paid",IF(AND(I789&lt;&gt;"",I789&lt;AsOf),"OVERDUE",IF(OR(K789&lt;&gt;"",L789&lt;&gt;""),"Invoiced","Scheduled"))))</f>
        <v/>
      </c>
      <c r="P789" s="115">
        <f>IF(B789="","",IF(E789&lt;&gt;"",E789,IFERROR(INDEX('Contractors'!$D$6:$D$1005,MATCH(B789,'Contractors'!$B$6:$B$1005,0)),"")))</f>
        <v/>
      </c>
      <c r="Q789" s="79">
        <f>IF(B789="","",IF(D789&lt;&gt;"",D789,IFERROR(INDEX('Contractors'!$E$6:$E$1005,MATCH(B789,'Contractors'!$B$6:$B$1005,0)),"")))</f>
        <v/>
      </c>
      <c r="R789" s="79">
        <f>IF(O789="","",IF(O789="OVERDUE",2,IF(O789="Paid",0,IF(AND(I789&lt;&gt;"",I789&lt;=AsOf+AlertDays),1,0))))</f>
        <v/>
      </c>
      <c r="S789" s="79">
        <f>IF(AND(B789&lt;&gt;"",M789="",I789&lt;&gt;""),IF(L789&lt;&gt;"",L789,IF(H789="",0,H789)),0)</f>
        <v/>
      </c>
      <c r="T789" s="79">
        <f>IF(AND(B789&lt;&gt;"",M789="",I789&lt;&gt;""),1/I789,0)</f>
        <v/>
      </c>
      <c r="U789" s="112">
        <f>IF(AND(B789&lt;&gt;"",M789="",I789&lt;&gt;""),I789,"")</f>
        <v/>
      </c>
      <c r="V789" s="79">
        <f>IF(U789="","",IF(U789&lt;AsOf,1,IF(U789&lt;=AsOf+AlertDays,2,IF(U789&lt;=AsOf+2*AlertDays,3,""))))</f>
        <v/>
      </c>
      <c r="W789" s="79">
        <f>IF(V789="","",IF(O789="OVERDUE","Overdue payment: ","Payment due: ")&amp;B789&amp;" — "&amp;C789&amp;" ("&amp;CurSym&amp;" "&amp;FIXED(S789,0)&amp;")")</f>
        <v/>
      </c>
      <c r="Z789" s="116">
        <f>IF('Contractors'!B789="","",'Contractors'!B789)</f>
        <v/>
      </c>
      <c r="AA789" s="77">
        <f>IF(Z789="","",'Contractors'!K789)</f>
        <v/>
      </c>
      <c r="AB789" s="77">
        <f>IF(Z789="","",SUMIFS($L$6:$L$1005,$B$6:$B$1005,Z789))</f>
        <v/>
      </c>
      <c r="AC789" s="77">
        <f>IF(Z789="","",SUMIFS($N$6:$N$1005,$B$6:$B$1005,Z789))</f>
        <v/>
      </c>
      <c r="AD789" s="76">
        <f>IF(Z789="","",AA789-AC789)</f>
        <v/>
      </c>
      <c r="AE789" s="117">
        <f>IF(Z789="","",IFERROR(1/SUMPRODUCT(MAX(($B$6:$B$1005=Z789)*$T$6:$T$1005)),""))</f>
        <v/>
      </c>
      <c r="AF789" s="77">
        <f>IF(AE789="","",SUMIFS($S$6:$S$1005,$B$6:$B$1005,Z789,$I$6:$I$1005,AE789))</f>
        <v/>
      </c>
    </row>
    <row r="790" ht="20" customHeight="1">
      <c r="B790" s="72" t="n"/>
      <c r="C790" s="72" t="n"/>
      <c r="D790" s="72" t="n"/>
      <c r="E790" s="72" t="n"/>
      <c r="F790" s="110" t="n"/>
      <c r="G790" s="73" t="n"/>
      <c r="H790" s="75">
        <f>IF(B790="","",IF(G790&lt;&gt;"",G790,IF(F790&lt;&gt;"",F790*IFERROR(INDEX('Contractors'!$I$6:$I$1005,MATCH(B790,'Contractors'!$B$6:$B$1005,0)),0),"")))</f>
        <v/>
      </c>
      <c r="I790" s="109" t="n"/>
      <c r="J790" s="72" t="n"/>
      <c r="K790" s="109" t="n"/>
      <c r="L790" s="73" t="n"/>
      <c r="M790" s="109" t="n"/>
      <c r="N790" s="73" t="n"/>
      <c r="O790" s="107">
        <f>IF(B790="","",IF(M790&lt;&gt;"","Paid",IF(AND(I790&lt;&gt;"",I790&lt;AsOf),"OVERDUE",IF(OR(K790&lt;&gt;"",L790&lt;&gt;""),"Invoiced","Scheduled"))))</f>
        <v/>
      </c>
      <c r="P790" s="115">
        <f>IF(B790="","",IF(E790&lt;&gt;"",E790,IFERROR(INDEX('Contractors'!$D$6:$D$1005,MATCH(B790,'Contractors'!$B$6:$B$1005,0)),"")))</f>
        <v/>
      </c>
      <c r="Q790" s="79">
        <f>IF(B790="","",IF(D790&lt;&gt;"",D790,IFERROR(INDEX('Contractors'!$E$6:$E$1005,MATCH(B790,'Contractors'!$B$6:$B$1005,0)),"")))</f>
        <v/>
      </c>
      <c r="R790" s="79">
        <f>IF(O790="","",IF(O790="OVERDUE",2,IF(O790="Paid",0,IF(AND(I790&lt;&gt;"",I790&lt;=AsOf+AlertDays),1,0))))</f>
        <v/>
      </c>
      <c r="S790" s="79">
        <f>IF(AND(B790&lt;&gt;"",M790="",I790&lt;&gt;""),IF(L790&lt;&gt;"",L790,IF(H790="",0,H790)),0)</f>
        <v/>
      </c>
      <c r="T790" s="79">
        <f>IF(AND(B790&lt;&gt;"",M790="",I790&lt;&gt;""),1/I790,0)</f>
        <v/>
      </c>
      <c r="U790" s="112">
        <f>IF(AND(B790&lt;&gt;"",M790="",I790&lt;&gt;""),I790,"")</f>
        <v/>
      </c>
      <c r="V790" s="79">
        <f>IF(U790="","",IF(U790&lt;AsOf,1,IF(U790&lt;=AsOf+AlertDays,2,IF(U790&lt;=AsOf+2*AlertDays,3,""))))</f>
        <v/>
      </c>
      <c r="W790" s="79">
        <f>IF(V790="","",IF(O790="OVERDUE","Overdue payment: ","Payment due: ")&amp;B790&amp;" — "&amp;C790&amp;" ("&amp;CurSym&amp;" "&amp;FIXED(S790,0)&amp;")")</f>
        <v/>
      </c>
      <c r="Z790" s="116">
        <f>IF('Contractors'!B790="","",'Contractors'!B790)</f>
        <v/>
      </c>
      <c r="AA790" s="77">
        <f>IF(Z790="","",'Contractors'!K790)</f>
        <v/>
      </c>
      <c r="AB790" s="77">
        <f>IF(Z790="","",SUMIFS($L$6:$L$1005,$B$6:$B$1005,Z790))</f>
        <v/>
      </c>
      <c r="AC790" s="77">
        <f>IF(Z790="","",SUMIFS($N$6:$N$1005,$B$6:$B$1005,Z790))</f>
        <v/>
      </c>
      <c r="AD790" s="76">
        <f>IF(Z790="","",AA790-AC790)</f>
        <v/>
      </c>
      <c r="AE790" s="117">
        <f>IF(Z790="","",IFERROR(1/SUMPRODUCT(MAX(($B$6:$B$1005=Z790)*$T$6:$T$1005)),""))</f>
        <v/>
      </c>
      <c r="AF790" s="77">
        <f>IF(AE790="","",SUMIFS($S$6:$S$1005,$B$6:$B$1005,Z790,$I$6:$I$1005,AE790))</f>
        <v/>
      </c>
    </row>
    <row r="791" ht="20" customHeight="1">
      <c r="B791" s="72" t="n"/>
      <c r="C791" s="72" t="n"/>
      <c r="D791" s="72" t="n"/>
      <c r="E791" s="72" t="n"/>
      <c r="F791" s="110" t="n"/>
      <c r="G791" s="73" t="n"/>
      <c r="H791" s="75">
        <f>IF(B791="","",IF(G791&lt;&gt;"",G791,IF(F791&lt;&gt;"",F791*IFERROR(INDEX('Contractors'!$I$6:$I$1005,MATCH(B791,'Contractors'!$B$6:$B$1005,0)),0),"")))</f>
        <v/>
      </c>
      <c r="I791" s="109" t="n"/>
      <c r="J791" s="72" t="n"/>
      <c r="K791" s="109" t="n"/>
      <c r="L791" s="73" t="n"/>
      <c r="M791" s="109" t="n"/>
      <c r="N791" s="73" t="n"/>
      <c r="O791" s="107">
        <f>IF(B791="","",IF(M791&lt;&gt;"","Paid",IF(AND(I791&lt;&gt;"",I791&lt;AsOf),"OVERDUE",IF(OR(K791&lt;&gt;"",L791&lt;&gt;""),"Invoiced","Scheduled"))))</f>
        <v/>
      </c>
      <c r="P791" s="115">
        <f>IF(B791="","",IF(E791&lt;&gt;"",E791,IFERROR(INDEX('Contractors'!$D$6:$D$1005,MATCH(B791,'Contractors'!$B$6:$B$1005,0)),"")))</f>
        <v/>
      </c>
      <c r="Q791" s="79">
        <f>IF(B791="","",IF(D791&lt;&gt;"",D791,IFERROR(INDEX('Contractors'!$E$6:$E$1005,MATCH(B791,'Contractors'!$B$6:$B$1005,0)),"")))</f>
        <v/>
      </c>
      <c r="R791" s="79">
        <f>IF(O791="","",IF(O791="OVERDUE",2,IF(O791="Paid",0,IF(AND(I791&lt;&gt;"",I791&lt;=AsOf+AlertDays),1,0))))</f>
        <v/>
      </c>
      <c r="S791" s="79">
        <f>IF(AND(B791&lt;&gt;"",M791="",I791&lt;&gt;""),IF(L791&lt;&gt;"",L791,IF(H791="",0,H791)),0)</f>
        <v/>
      </c>
      <c r="T791" s="79">
        <f>IF(AND(B791&lt;&gt;"",M791="",I791&lt;&gt;""),1/I791,0)</f>
        <v/>
      </c>
      <c r="U791" s="112">
        <f>IF(AND(B791&lt;&gt;"",M791="",I791&lt;&gt;""),I791,"")</f>
        <v/>
      </c>
      <c r="V791" s="79">
        <f>IF(U791="","",IF(U791&lt;AsOf,1,IF(U791&lt;=AsOf+AlertDays,2,IF(U791&lt;=AsOf+2*AlertDays,3,""))))</f>
        <v/>
      </c>
      <c r="W791" s="79">
        <f>IF(V791="","",IF(O791="OVERDUE","Overdue payment: ","Payment due: ")&amp;B791&amp;" — "&amp;C791&amp;" ("&amp;CurSym&amp;" "&amp;FIXED(S791,0)&amp;")")</f>
        <v/>
      </c>
      <c r="Z791" s="116">
        <f>IF('Contractors'!B791="","",'Contractors'!B791)</f>
        <v/>
      </c>
      <c r="AA791" s="77">
        <f>IF(Z791="","",'Contractors'!K791)</f>
        <v/>
      </c>
      <c r="AB791" s="77">
        <f>IF(Z791="","",SUMIFS($L$6:$L$1005,$B$6:$B$1005,Z791))</f>
        <v/>
      </c>
      <c r="AC791" s="77">
        <f>IF(Z791="","",SUMIFS($N$6:$N$1005,$B$6:$B$1005,Z791))</f>
        <v/>
      </c>
      <c r="AD791" s="76">
        <f>IF(Z791="","",AA791-AC791)</f>
        <v/>
      </c>
      <c r="AE791" s="117">
        <f>IF(Z791="","",IFERROR(1/SUMPRODUCT(MAX(($B$6:$B$1005=Z791)*$T$6:$T$1005)),""))</f>
        <v/>
      </c>
      <c r="AF791" s="77">
        <f>IF(AE791="","",SUMIFS($S$6:$S$1005,$B$6:$B$1005,Z791,$I$6:$I$1005,AE791))</f>
        <v/>
      </c>
    </row>
    <row r="792" ht="20" customHeight="1">
      <c r="B792" s="72" t="n"/>
      <c r="C792" s="72" t="n"/>
      <c r="D792" s="72" t="n"/>
      <c r="E792" s="72" t="n"/>
      <c r="F792" s="110" t="n"/>
      <c r="G792" s="73" t="n"/>
      <c r="H792" s="75">
        <f>IF(B792="","",IF(G792&lt;&gt;"",G792,IF(F792&lt;&gt;"",F792*IFERROR(INDEX('Contractors'!$I$6:$I$1005,MATCH(B792,'Contractors'!$B$6:$B$1005,0)),0),"")))</f>
        <v/>
      </c>
      <c r="I792" s="109" t="n"/>
      <c r="J792" s="72" t="n"/>
      <c r="K792" s="109" t="n"/>
      <c r="L792" s="73" t="n"/>
      <c r="M792" s="109" t="n"/>
      <c r="N792" s="73" t="n"/>
      <c r="O792" s="107">
        <f>IF(B792="","",IF(M792&lt;&gt;"","Paid",IF(AND(I792&lt;&gt;"",I792&lt;AsOf),"OVERDUE",IF(OR(K792&lt;&gt;"",L792&lt;&gt;""),"Invoiced","Scheduled"))))</f>
        <v/>
      </c>
      <c r="P792" s="115">
        <f>IF(B792="","",IF(E792&lt;&gt;"",E792,IFERROR(INDEX('Contractors'!$D$6:$D$1005,MATCH(B792,'Contractors'!$B$6:$B$1005,0)),"")))</f>
        <v/>
      </c>
      <c r="Q792" s="79">
        <f>IF(B792="","",IF(D792&lt;&gt;"",D792,IFERROR(INDEX('Contractors'!$E$6:$E$1005,MATCH(B792,'Contractors'!$B$6:$B$1005,0)),"")))</f>
        <v/>
      </c>
      <c r="R792" s="79">
        <f>IF(O792="","",IF(O792="OVERDUE",2,IF(O792="Paid",0,IF(AND(I792&lt;&gt;"",I792&lt;=AsOf+AlertDays),1,0))))</f>
        <v/>
      </c>
      <c r="S792" s="79">
        <f>IF(AND(B792&lt;&gt;"",M792="",I792&lt;&gt;""),IF(L792&lt;&gt;"",L792,IF(H792="",0,H792)),0)</f>
        <v/>
      </c>
      <c r="T792" s="79">
        <f>IF(AND(B792&lt;&gt;"",M792="",I792&lt;&gt;""),1/I792,0)</f>
        <v/>
      </c>
      <c r="U792" s="112">
        <f>IF(AND(B792&lt;&gt;"",M792="",I792&lt;&gt;""),I792,"")</f>
        <v/>
      </c>
      <c r="V792" s="79">
        <f>IF(U792="","",IF(U792&lt;AsOf,1,IF(U792&lt;=AsOf+AlertDays,2,IF(U792&lt;=AsOf+2*AlertDays,3,""))))</f>
        <v/>
      </c>
      <c r="W792" s="79">
        <f>IF(V792="","",IF(O792="OVERDUE","Overdue payment: ","Payment due: ")&amp;B792&amp;" — "&amp;C792&amp;" ("&amp;CurSym&amp;" "&amp;FIXED(S792,0)&amp;")")</f>
        <v/>
      </c>
      <c r="Z792" s="116">
        <f>IF('Contractors'!B792="","",'Contractors'!B792)</f>
        <v/>
      </c>
      <c r="AA792" s="77">
        <f>IF(Z792="","",'Contractors'!K792)</f>
        <v/>
      </c>
      <c r="AB792" s="77">
        <f>IF(Z792="","",SUMIFS($L$6:$L$1005,$B$6:$B$1005,Z792))</f>
        <v/>
      </c>
      <c r="AC792" s="77">
        <f>IF(Z792="","",SUMIFS($N$6:$N$1005,$B$6:$B$1005,Z792))</f>
        <v/>
      </c>
      <c r="AD792" s="76">
        <f>IF(Z792="","",AA792-AC792)</f>
        <v/>
      </c>
      <c r="AE792" s="117">
        <f>IF(Z792="","",IFERROR(1/SUMPRODUCT(MAX(($B$6:$B$1005=Z792)*$T$6:$T$1005)),""))</f>
        <v/>
      </c>
      <c r="AF792" s="77">
        <f>IF(AE792="","",SUMIFS($S$6:$S$1005,$B$6:$B$1005,Z792,$I$6:$I$1005,AE792))</f>
        <v/>
      </c>
    </row>
    <row r="793" ht="20" customHeight="1">
      <c r="B793" s="72" t="n"/>
      <c r="C793" s="72" t="n"/>
      <c r="D793" s="72" t="n"/>
      <c r="E793" s="72" t="n"/>
      <c r="F793" s="110" t="n"/>
      <c r="G793" s="73" t="n"/>
      <c r="H793" s="75">
        <f>IF(B793="","",IF(G793&lt;&gt;"",G793,IF(F793&lt;&gt;"",F793*IFERROR(INDEX('Contractors'!$I$6:$I$1005,MATCH(B793,'Contractors'!$B$6:$B$1005,0)),0),"")))</f>
        <v/>
      </c>
      <c r="I793" s="109" t="n"/>
      <c r="J793" s="72" t="n"/>
      <c r="K793" s="109" t="n"/>
      <c r="L793" s="73" t="n"/>
      <c r="M793" s="109" t="n"/>
      <c r="N793" s="73" t="n"/>
      <c r="O793" s="107">
        <f>IF(B793="","",IF(M793&lt;&gt;"","Paid",IF(AND(I793&lt;&gt;"",I793&lt;AsOf),"OVERDUE",IF(OR(K793&lt;&gt;"",L793&lt;&gt;""),"Invoiced","Scheduled"))))</f>
        <v/>
      </c>
      <c r="P793" s="115">
        <f>IF(B793="","",IF(E793&lt;&gt;"",E793,IFERROR(INDEX('Contractors'!$D$6:$D$1005,MATCH(B793,'Contractors'!$B$6:$B$1005,0)),"")))</f>
        <v/>
      </c>
      <c r="Q793" s="79">
        <f>IF(B793="","",IF(D793&lt;&gt;"",D793,IFERROR(INDEX('Contractors'!$E$6:$E$1005,MATCH(B793,'Contractors'!$B$6:$B$1005,0)),"")))</f>
        <v/>
      </c>
      <c r="R793" s="79">
        <f>IF(O793="","",IF(O793="OVERDUE",2,IF(O793="Paid",0,IF(AND(I793&lt;&gt;"",I793&lt;=AsOf+AlertDays),1,0))))</f>
        <v/>
      </c>
      <c r="S793" s="79">
        <f>IF(AND(B793&lt;&gt;"",M793="",I793&lt;&gt;""),IF(L793&lt;&gt;"",L793,IF(H793="",0,H793)),0)</f>
        <v/>
      </c>
      <c r="T793" s="79">
        <f>IF(AND(B793&lt;&gt;"",M793="",I793&lt;&gt;""),1/I793,0)</f>
        <v/>
      </c>
      <c r="U793" s="112">
        <f>IF(AND(B793&lt;&gt;"",M793="",I793&lt;&gt;""),I793,"")</f>
        <v/>
      </c>
      <c r="V793" s="79">
        <f>IF(U793="","",IF(U793&lt;AsOf,1,IF(U793&lt;=AsOf+AlertDays,2,IF(U793&lt;=AsOf+2*AlertDays,3,""))))</f>
        <v/>
      </c>
      <c r="W793" s="79">
        <f>IF(V793="","",IF(O793="OVERDUE","Overdue payment: ","Payment due: ")&amp;B793&amp;" — "&amp;C793&amp;" ("&amp;CurSym&amp;" "&amp;FIXED(S793,0)&amp;")")</f>
        <v/>
      </c>
      <c r="Z793" s="116">
        <f>IF('Contractors'!B793="","",'Contractors'!B793)</f>
        <v/>
      </c>
      <c r="AA793" s="77">
        <f>IF(Z793="","",'Contractors'!K793)</f>
        <v/>
      </c>
      <c r="AB793" s="77">
        <f>IF(Z793="","",SUMIFS($L$6:$L$1005,$B$6:$B$1005,Z793))</f>
        <v/>
      </c>
      <c r="AC793" s="77">
        <f>IF(Z793="","",SUMIFS($N$6:$N$1005,$B$6:$B$1005,Z793))</f>
        <v/>
      </c>
      <c r="AD793" s="76">
        <f>IF(Z793="","",AA793-AC793)</f>
        <v/>
      </c>
      <c r="AE793" s="117">
        <f>IF(Z793="","",IFERROR(1/SUMPRODUCT(MAX(($B$6:$B$1005=Z793)*$T$6:$T$1005)),""))</f>
        <v/>
      </c>
      <c r="AF793" s="77">
        <f>IF(AE793="","",SUMIFS($S$6:$S$1005,$B$6:$B$1005,Z793,$I$6:$I$1005,AE793))</f>
        <v/>
      </c>
    </row>
    <row r="794" ht="20" customHeight="1">
      <c r="B794" s="72" t="n"/>
      <c r="C794" s="72" t="n"/>
      <c r="D794" s="72" t="n"/>
      <c r="E794" s="72" t="n"/>
      <c r="F794" s="110" t="n"/>
      <c r="G794" s="73" t="n"/>
      <c r="H794" s="75">
        <f>IF(B794="","",IF(G794&lt;&gt;"",G794,IF(F794&lt;&gt;"",F794*IFERROR(INDEX('Contractors'!$I$6:$I$1005,MATCH(B794,'Contractors'!$B$6:$B$1005,0)),0),"")))</f>
        <v/>
      </c>
      <c r="I794" s="109" t="n"/>
      <c r="J794" s="72" t="n"/>
      <c r="K794" s="109" t="n"/>
      <c r="L794" s="73" t="n"/>
      <c r="M794" s="109" t="n"/>
      <c r="N794" s="73" t="n"/>
      <c r="O794" s="107">
        <f>IF(B794="","",IF(M794&lt;&gt;"","Paid",IF(AND(I794&lt;&gt;"",I794&lt;AsOf),"OVERDUE",IF(OR(K794&lt;&gt;"",L794&lt;&gt;""),"Invoiced","Scheduled"))))</f>
        <v/>
      </c>
      <c r="P794" s="115">
        <f>IF(B794="","",IF(E794&lt;&gt;"",E794,IFERROR(INDEX('Contractors'!$D$6:$D$1005,MATCH(B794,'Contractors'!$B$6:$B$1005,0)),"")))</f>
        <v/>
      </c>
      <c r="Q794" s="79">
        <f>IF(B794="","",IF(D794&lt;&gt;"",D794,IFERROR(INDEX('Contractors'!$E$6:$E$1005,MATCH(B794,'Contractors'!$B$6:$B$1005,0)),"")))</f>
        <v/>
      </c>
      <c r="R794" s="79">
        <f>IF(O794="","",IF(O794="OVERDUE",2,IF(O794="Paid",0,IF(AND(I794&lt;&gt;"",I794&lt;=AsOf+AlertDays),1,0))))</f>
        <v/>
      </c>
      <c r="S794" s="79">
        <f>IF(AND(B794&lt;&gt;"",M794="",I794&lt;&gt;""),IF(L794&lt;&gt;"",L794,IF(H794="",0,H794)),0)</f>
        <v/>
      </c>
      <c r="T794" s="79">
        <f>IF(AND(B794&lt;&gt;"",M794="",I794&lt;&gt;""),1/I794,0)</f>
        <v/>
      </c>
      <c r="U794" s="112">
        <f>IF(AND(B794&lt;&gt;"",M794="",I794&lt;&gt;""),I794,"")</f>
        <v/>
      </c>
      <c r="V794" s="79">
        <f>IF(U794="","",IF(U794&lt;AsOf,1,IF(U794&lt;=AsOf+AlertDays,2,IF(U794&lt;=AsOf+2*AlertDays,3,""))))</f>
        <v/>
      </c>
      <c r="W794" s="79">
        <f>IF(V794="","",IF(O794="OVERDUE","Overdue payment: ","Payment due: ")&amp;B794&amp;" — "&amp;C794&amp;" ("&amp;CurSym&amp;" "&amp;FIXED(S794,0)&amp;")")</f>
        <v/>
      </c>
      <c r="Z794" s="116">
        <f>IF('Contractors'!B794="","",'Contractors'!B794)</f>
        <v/>
      </c>
      <c r="AA794" s="77">
        <f>IF(Z794="","",'Contractors'!K794)</f>
        <v/>
      </c>
      <c r="AB794" s="77">
        <f>IF(Z794="","",SUMIFS($L$6:$L$1005,$B$6:$B$1005,Z794))</f>
        <v/>
      </c>
      <c r="AC794" s="77">
        <f>IF(Z794="","",SUMIFS($N$6:$N$1005,$B$6:$B$1005,Z794))</f>
        <v/>
      </c>
      <c r="AD794" s="76">
        <f>IF(Z794="","",AA794-AC794)</f>
        <v/>
      </c>
      <c r="AE794" s="117">
        <f>IF(Z794="","",IFERROR(1/SUMPRODUCT(MAX(($B$6:$B$1005=Z794)*$T$6:$T$1005)),""))</f>
        <v/>
      </c>
      <c r="AF794" s="77">
        <f>IF(AE794="","",SUMIFS($S$6:$S$1005,$B$6:$B$1005,Z794,$I$6:$I$1005,AE794))</f>
        <v/>
      </c>
    </row>
    <row r="795" ht="20" customHeight="1">
      <c r="B795" s="72" t="n"/>
      <c r="C795" s="72" t="n"/>
      <c r="D795" s="72" t="n"/>
      <c r="E795" s="72" t="n"/>
      <c r="F795" s="110" t="n"/>
      <c r="G795" s="73" t="n"/>
      <c r="H795" s="75">
        <f>IF(B795="","",IF(G795&lt;&gt;"",G795,IF(F795&lt;&gt;"",F795*IFERROR(INDEX('Contractors'!$I$6:$I$1005,MATCH(B795,'Contractors'!$B$6:$B$1005,0)),0),"")))</f>
        <v/>
      </c>
      <c r="I795" s="109" t="n"/>
      <c r="J795" s="72" t="n"/>
      <c r="K795" s="109" t="n"/>
      <c r="L795" s="73" t="n"/>
      <c r="M795" s="109" t="n"/>
      <c r="N795" s="73" t="n"/>
      <c r="O795" s="107">
        <f>IF(B795="","",IF(M795&lt;&gt;"","Paid",IF(AND(I795&lt;&gt;"",I795&lt;AsOf),"OVERDUE",IF(OR(K795&lt;&gt;"",L795&lt;&gt;""),"Invoiced","Scheduled"))))</f>
        <v/>
      </c>
      <c r="P795" s="115">
        <f>IF(B795="","",IF(E795&lt;&gt;"",E795,IFERROR(INDEX('Contractors'!$D$6:$D$1005,MATCH(B795,'Contractors'!$B$6:$B$1005,0)),"")))</f>
        <v/>
      </c>
      <c r="Q795" s="79">
        <f>IF(B795="","",IF(D795&lt;&gt;"",D795,IFERROR(INDEX('Contractors'!$E$6:$E$1005,MATCH(B795,'Contractors'!$B$6:$B$1005,0)),"")))</f>
        <v/>
      </c>
      <c r="R795" s="79">
        <f>IF(O795="","",IF(O795="OVERDUE",2,IF(O795="Paid",0,IF(AND(I795&lt;&gt;"",I795&lt;=AsOf+AlertDays),1,0))))</f>
        <v/>
      </c>
      <c r="S795" s="79">
        <f>IF(AND(B795&lt;&gt;"",M795="",I795&lt;&gt;""),IF(L795&lt;&gt;"",L795,IF(H795="",0,H795)),0)</f>
        <v/>
      </c>
      <c r="T795" s="79">
        <f>IF(AND(B795&lt;&gt;"",M795="",I795&lt;&gt;""),1/I795,0)</f>
        <v/>
      </c>
      <c r="U795" s="112">
        <f>IF(AND(B795&lt;&gt;"",M795="",I795&lt;&gt;""),I795,"")</f>
        <v/>
      </c>
      <c r="V795" s="79">
        <f>IF(U795="","",IF(U795&lt;AsOf,1,IF(U795&lt;=AsOf+AlertDays,2,IF(U795&lt;=AsOf+2*AlertDays,3,""))))</f>
        <v/>
      </c>
      <c r="W795" s="79">
        <f>IF(V795="","",IF(O795="OVERDUE","Overdue payment: ","Payment due: ")&amp;B795&amp;" — "&amp;C795&amp;" ("&amp;CurSym&amp;" "&amp;FIXED(S795,0)&amp;")")</f>
        <v/>
      </c>
      <c r="Z795" s="116">
        <f>IF('Contractors'!B795="","",'Contractors'!B795)</f>
        <v/>
      </c>
      <c r="AA795" s="77">
        <f>IF(Z795="","",'Contractors'!K795)</f>
        <v/>
      </c>
      <c r="AB795" s="77">
        <f>IF(Z795="","",SUMIFS($L$6:$L$1005,$B$6:$B$1005,Z795))</f>
        <v/>
      </c>
      <c r="AC795" s="77">
        <f>IF(Z795="","",SUMIFS($N$6:$N$1005,$B$6:$B$1005,Z795))</f>
        <v/>
      </c>
      <c r="AD795" s="76">
        <f>IF(Z795="","",AA795-AC795)</f>
        <v/>
      </c>
      <c r="AE795" s="117">
        <f>IF(Z795="","",IFERROR(1/SUMPRODUCT(MAX(($B$6:$B$1005=Z795)*$T$6:$T$1005)),""))</f>
        <v/>
      </c>
      <c r="AF795" s="77">
        <f>IF(AE795="","",SUMIFS($S$6:$S$1005,$B$6:$B$1005,Z795,$I$6:$I$1005,AE795))</f>
        <v/>
      </c>
    </row>
    <row r="796" ht="20" customHeight="1">
      <c r="B796" s="72" t="n"/>
      <c r="C796" s="72" t="n"/>
      <c r="D796" s="72" t="n"/>
      <c r="E796" s="72" t="n"/>
      <c r="F796" s="110" t="n"/>
      <c r="G796" s="73" t="n"/>
      <c r="H796" s="75">
        <f>IF(B796="","",IF(G796&lt;&gt;"",G796,IF(F796&lt;&gt;"",F796*IFERROR(INDEX('Contractors'!$I$6:$I$1005,MATCH(B796,'Contractors'!$B$6:$B$1005,0)),0),"")))</f>
        <v/>
      </c>
      <c r="I796" s="109" t="n"/>
      <c r="J796" s="72" t="n"/>
      <c r="K796" s="109" t="n"/>
      <c r="L796" s="73" t="n"/>
      <c r="M796" s="109" t="n"/>
      <c r="N796" s="73" t="n"/>
      <c r="O796" s="107">
        <f>IF(B796="","",IF(M796&lt;&gt;"","Paid",IF(AND(I796&lt;&gt;"",I796&lt;AsOf),"OVERDUE",IF(OR(K796&lt;&gt;"",L796&lt;&gt;""),"Invoiced","Scheduled"))))</f>
        <v/>
      </c>
      <c r="P796" s="115">
        <f>IF(B796="","",IF(E796&lt;&gt;"",E796,IFERROR(INDEX('Contractors'!$D$6:$D$1005,MATCH(B796,'Contractors'!$B$6:$B$1005,0)),"")))</f>
        <v/>
      </c>
      <c r="Q796" s="79">
        <f>IF(B796="","",IF(D796&lt;&gt;"",D796,IFERROR(INDEX('Contractors'!$E$6:$E$1005,MATCH(B796,'Contractors'!$B$6:$B$1005,0)),"")))</f>
        <v/>
      </c>
      <c r="R796" s="79">
        <f>IF(O796="","",IF(O796="OVERDUE",2,IF(O796="Paid",0,IF(AND(I796&lt;&gt;"",I796&lt;=AsOf+AlertDays),1,0))))</f>
        <v/>
      </c>
      <c r="S796" s="79">
        <f>IF(AND(B796&lt;&gt;"",M796="",I796&lt;&gt;""),IF(L796&lt;&gt;"",L796,IF(H796="",0,H796)),0)</f>
        <v/>
      </c>
      <c r="T796" s="79">
        <f>IF(AND(B796&lt;&gt;"",M796="",I796&lt;&gt;""),1/I796,0)</f>
        <v/>
      </c>
      <c r="U796" s="112">
        <f>IF(AND(B796&lt;&gt;"",M796="",I796&lt;&gt;""),I796,"")</f>
        <v/>
      </c>
      <c r="V796" s="79">
        <f>IF(U796="","",IF(U796&lt;AsOf,1,IF(U796&lt;=AsOf+AlertDays,2,IF(U796&lt;=AsOf+2*AlertDays,3,""))))</f>
        <v/>
      </c>
      <c r="W796" s="79">
        <f>IF(V796="","",IF(O796="OVERDUE","Overdue payment: ","Payment due: ")&amp;B796&amp;" — "&amp;C796&amp;" ("&amp;CurSym&amp;" "&amp;FIXED(S796,0)&amp;")")</f>
        <v/>
      </c>
      <c r="Z796" s="116">
        <f>IF('Contractors'!B796="","",'Contractors'!B796)</f>
        <v/>
      </c>
      <c r="AA796" s="77">
        <f>IF(Z796="","",'Contractors'!K796)</f>
        <v/>
      </c>
      <c r="AB796" s="77">
        <f>IF(Z796="","",SUMIFS($L$6:$L$1005,$B$6:$B$1005,Z796))</f>
        <v/>
      </c>
      <c r="AC796" s="77">
        <f>IF(Z796="","",SUMIFS($N$6:$N$1005,$B$6:$B$1005,Z796))</f>
        <v/>
      </c>
      <c r="AD796" s="76">
        <f>IF(Z796="","",AA796-AC796)</f>
        <v/>
      </c>
      <c r="AE796" s="117">
        <f>IF(Z796="","",IFERROR(1/SUMPRODUCT(MAX(($B$6:$B$1005=Z796)*$T$6:$T$1005)),""))</f>
        <v/>
      </c>
      <c r="AF796" s="77">
        <f>IF(AE796="","",SUMIFS($S$6:$S$1005,$B$6:$B$1005,Z796,$I$6:$I$1005,AE796))</f>
        <v/>
      </c>
    </row>
    <row r="797" ht="20" customHeight="1">
      <c r="B797" s="72" t="n"/>
      <c r="C797" s="72" t="n"/>
      <c r="D797" s="72" t="n"/>
      <c r="E797" s="72" t="n"/>
      <c r="F797" s="110" t="n"/>
      <c r="G797" s="73" t="n"/>
      <c r="H797" s="75">
        <f>IF(B797="","",IF(G797&lt;&gt;"",G797,IF(F797&lt;&gt;"",F797*IFERROR(INDEX('Contractors'!$I$6:$I$1005,MATCH(B797,'Contractors'!$B$6:$B$1005,0)),0),"")))</f>
        <v/>
      </c>
      <c r="I797" s="109" t="n"/>
      <c r="J797" s="72" t="n"/>
      <c r="K797" s="109" t="n"/>
      <c r="L797" s="73" t="n"/>
      <c r="M797" s="109" t="n"/>
      <c r="N797" s="73" t="n"/>
      <c r="O797" s="107">
        <f>IF(B797="","",IF(M797&lt;&gt;"","Paid",IF(AND(I797&lt;&gt;"",I797&lt;AsOf),"OVERDUE",IF(OR(K797&lt;&gt;"",L797&lt;&gt;""),"Invoiced","Scheduled"))))</f>
        <v/>
      </c>
      <c r="P797" s="115">
        <f>IF(B797="","",IF(E797&lt;&gt;"",E797,IFERROR(INDEX('Contractors'!$D$6:$D$1005,MATCH(B797,'Contractors'!$B$6:$B$1005,0)),"")))</f>
        <v/>
      </c>
      <c r="Q797" s="79">
        <f>IF(B797="","",IF(D797&lt;&gt;"",D797,IFERROR(INDEX('Contractors'!$E$6:$E$1005,MATCH(B797,'Contractors'!$B$6:$B$1005,0)),"")))</f>
        <v/>
      </c>
      <c r="R797" s="79">
        <f>IF(O797="","",IF(O797="OVERDUE",2,IF(O797="Paid",0,IF(AND(I797&lt;&gt;"",I797&lt;=AsOf+AlertDays),1,0))))</f>
        <v/>
      </c>
      <c r="S797" s="79">
        <f>IF(AND(B797&lt;&gt;"",M797="",I797&lt;&gt;""),IF(L797&lt;&gt;"",L797,IF(H797="",0,H797)),0)</f>
        <v/>
      </c>
      <c r="T797" s="79">
        <f>IF(AND(B797&lt;&gt;"",M797="",I797&lt;&gt;""),1/I797,0)</f>
        <v/>
      </c>
      <c r="U797" s="112">
        <f>IF(AND(B797&lt;&gt;"",M797="",I797&lt;&gt;""),I797,"")</f>
        <v/>
      </c>
      <c r="V797" s="79">
        <f>IF(U797="","",IF(U797&lt;AsOf,1,IF(U797&lt;=AsOf+AlertDays,2,IF(U797&lt;=AsOf+2*AlertDays,3,""))))</f>
        <v/>
      </c>
      <c r="W797" s="79">
        <f>IF(V797="","",IF(O797="OVERDUE","Overdue payment: ","Payment due: ")&amp;B797&amp;" — "&amp;C797&amp;" ("&amp;CurSym&amp;" "&amp;FIXED(S797,0)&amp;")")</f>
        <v/>
      </c>
      <c r="Z797" s="116">
        <f>IF('Contractors'!B797="","",'Contractors'!B797)</f>
        <v/>
      </c>
      <c r="AA797" s="77">
        <f>IF(Z797="","",'Contractors'!K797)</f>
        <v/>
      </c>
      <c r="AB797" s="77">
        <f>IF(Z797="","",SUMIFS($L$6:$L$1005,$B$6:$B$1005,Z797))</f>
        <v/>
      </c>
      <c r="AC797" s="77">
        <f>IF(Z797="","",SUMIFS($N$6:$N$1005,$B$6:$B$1005,Z797))</f>
        <v/>
      </c>
      <c r="AD797" s="76">
        <f>IF(Z797="","",AA797-AC797)</f>
        <v/>
      </c>
      <c r="AE797" s="117">
        <f>IF(Z797="","",IFERROR(1/SUMPRODUCT(MAX(($B$6:$B$1005=Z797)*$T$6:$T$1005)),""))</f>
        <v/>
      </c>
      <c r="AF797" s="77">
        <f>IF(AE797="","",SUMIFS($S$6:$S$1005,$B$6:$B$1005,Z797,$I$6:$I$1005,AE797))</f>
        <v/>
      </c>
    </row>
    <row r="798" ht="20" customHeight="1">
      <c r="B798" s="72" t="n"/>
      <c r="C798" s="72" t="n"/>
      <c r="D798" s="72" t="n"/>
      <c r="E798" s="72" t="n"/>
      <c r="F798" s="110" t="n"/>
      <c r="G798" s="73" t="n"/>
      <c r="H798" s="75">
        <f>IF(B798="","",IF(G798&lt;&gt;"",G798,IF(F798&lt;&gt;"",F798*IFERROR(INDEX('Contractors'!$I$6:$I$1005,MATCH(B798,'Contractors'!$B$6:$B$1005,0)),0),"")))</f>
        <v/>
      </c>
      <c r="I798" s="109" t="n"/>
      <c r="J798" s="72" t="n"/>
      <c r="K798" s="109" t="n"/>
      <c r="L798" s="73" t="n"/>
      <c r="M798" s="109" t="n"/>
      <c r="N798" s="73" t="n"/>
      <c r="O798" s="107">
        <f>IF(B798="","",IF(M798&lt;&gt;"","Paid",IF(AND(I798&lt;&gt;"",I798&lt;AsOf),"OVERDUE",IF(OR(K798&lt;&gt;"",L798&lt;&gt;""),"Invoiced","Scheduled"))))</f>
        <v/>
      </c>
      <c r="P798" s="115">
        <f>IF(B798="","",IF(E798&lt;&gt;"",E798,IFERROR(INDEX('Contractors'!$D$6:$D$1005,MATCH(B798,'Contractors'!$B$6:$B$1005,0)),"")))</f>
        <v/>
      </c>
      <c r="Q798" s="79">
        <f>IF(B798="","",IF(D798&lt;&gt;"",D798,IFERROR(INDEX('Contractors'!$E$6:$E$1005,MATCH(B798,'Contractors'!$B$6:$B$1005,0)),"")))</f>
        <v/>
      </c>
      <c r="R798" s="79">
        <f>IF(O798="","",IF(O798="OVERDUE",2,IF(O798="Paid",0,IF(AND(I798&lt;&gt;"",I798&lt;=AsOf+AlertDays),1,0))))</f>
        <v/>
      </c>
      <c r="S798" s="79">
        <f>IF(AND(B798&lt;&gt;"",M798="",I798&lt;&gt;""),IF(L798&lt;&gt;"",L798,IF(H798="",0,H798)),0)</f>
        <v/>
      </c>
      <c r="T798" s="79">
        <f>IF(AND(B798&lt;&gt;"",M798="",I798&lt;&gt;""),1/I798,0)</f>
        <v/>
      </c>
      <c r="U798" s="112">
        <f>IF(AND(B798&lt;&gt;"",M798="",I798&lt;&gt;""),I798,"")</f>
        <v/>
      </c>
      <c r="V798" s="79">
        <f>IF(U798="","",IF(U798&lt;AsOf,1,IF(U798&lt;=AsOf+AlertDays,2,IF(U798&lt;=AsOf+2*AlertDays,3,""))))</f>
        <v/>
      </c>
      <c r="W798" s="79">
        <f>IF(V798="","",IF(O798="OVERDUE","Overdue payment: ","Payment due: ")&amp;B798&amp;" — "&amp;C798&amp;" ("&amp;CurSym&amp;" "&amp;FIXED(S798,0)&amp;")")</f>
        <v/>
      </c>
      <c r="Z798" s="116">
        <f>IF('Contractors'!B798="","",'Contractors'!B798)</f>
        <v/>
      </c>
      <c r="AA798" s="77">
        <f>IF(Z798="","",'Contractors'!K798)</f>
        <v/>
      </c>
      <c r="AB798" s="77">
        <f>IF(Z798="","",SUMIFS($L$6:$L$1005,$B$6:$B$1005,Z798))</f>
        <v/>
      </c>
      <c r="AC798" s="77">
        <f>IF(Z798="","",SUMIFS($N$6:$N$1005,$B$6:$B$1005,Z798))</f>
        <v/>
      </c>
      <c r="AD798" s="76">
        <f>IF(Z798="","",AA798-AC798)</f>
        <v/>
      </c>
      <c r="AE798" s="117">
        <f>IF(Z798="","",IFERROR(1/SUMPRODUCT(MAX(($B$6:$B$1005=Z798)*$T$6:$T$1005)),""))</f>
        <v/>
      </c>
      <c r="AF798" s="77">
        <f>IF(AE798="","",SUMIFS($S$6:$S$1005,$B$6:$B$1005,Z798,$I$6:$I$1005,AE798))</f>
        <v/>
      </c>
    </row>
    <row r="799" ht="20" customHeight="1">
      <c r="B799" s="72" t="n"/>
      <c r="C799" s="72" t="n"/>
      <c r="D799" s="72" t="n"/>
      <c r="E799" s="72" t="n"/>
      <c r="F799" s="110" t="n"/>
      <c r="G799" s="73" t="n"/>
      <c r="H799" s="75">
        <f>IF(B799="","",IF(G799&lt;&gt;"",G799,IF(F799&lt;&gt;"",F799*IFERROR(INDEX('Contractors'!$I$6:$I$1005,MATCH(B799,'Contractors'!$B$6:$B$1005,0)),0),"")))</f>
        <v/>
      </c>
      <c r="I799" s="109" t="n"/>
      <c r="J799" s="72" t="n"/>
      <c r="K799" s="109" t="n"/>
      <c r="L799" s="73" t="n"/>
      <c r="M799" s="109" t="n"/>
      <c r="N799" s="73" t="n"/>
      <c r="O799" s="107">
        <f>IF(B799="","",IF(M799&lt;&gt;"","Paid",IF(AND(I799&lt;&gt;"",I799&lt;AsOf),"OVERDUE",IF(OR(K799&lt;&gt;"",L799&lt;&gt;""),"Invoiced","Scheduled"))))</f>
        <v/>
      </c>
      <c r="P799" s="115">
        <f>IF(B799="","",IF(E799&lt;&gt;"",E799,IFERROR(INDEX('Contractors'!$D$6:$D$1005,MATCH(B799,'Contractors'!$B$6:$B$1005,0)),"")))</f>
        <v/>
      </c>
      <c r="Q799" s="79">
        <f>IF(B799="","",IF(D799&lt;&gt;"",D799,IFERROR(INDEX('Contractors'!$E$6:$E$1005,MATCH(B799,'Contractors'!$B$6:$B$1005,0)),"")))</f>
        <v/>
      </c>
      <c r="R799" s="79">
        <f>IF(O799="","",IF(O799="OVERDUE",2,IF(O799="Paid",0,IF(AND(I799&lt;&gt;"",I799&lt;=AsOf+AlertDays),1,0))))</f>
        <v/>
      </c>
      <c r="S799" s="79">
        <f>IF(AND(B799&lt;&gt;"",M799="",I799&lt;&gt;""),IF(L799&lt;&gt;"",L799,IF(H799="",0,H799)),0)</f>
        <v/>
      </c>
      <c r="T799" s="79">
        <f>IF(AND(B799&lt;&gt;"",M799="",I799&lt;&gt;""),1/I799,0)</f>
        <v/>
      </c>
      <c r="U799" s="112">
        <f>IF(AND(B799&lt;&gt;"",M799="",I799&lt;&gt;""),I799,"")</f>
        <v/>
      </c>
      <c r="V799" s="79">
        <f>IF(U799="","",IF(U799&lt;AsOf,1,IF(U799&lt;=AsOf+AlertDays,2,IF(U799&lt;=AsOf+2*AlertDays,3,""))))</f>
        <v/>
      </c>
      <c r="W799" s="79">
        <f>IF(V799="","",IF(O799="OVERDUE","Overdue payment: ","Payment due: ")&amp;B799&amp;" — "&amp;C799&amp;" ("&amp;CurSym&amp;" "&amp;FIXED(S799,0)&amp;")")</f>
        <v/>
      </c>
      <c r="Z799" s="116">
        <f>IF('Contractors'!B799="","",'Contractors'!B799)</f>
        <v/>
      </c>
      <c r="AA799" s="77">
        <f>IF(Z799="","",'Contractors'!K799)</f>
        <v/>
      </c>
      <c r="AB799" s="77">
        <f>IF(Z799="","",SUMIFS($L$6:$L$1005,$B$6:$B$1005,Z799))</f>
        <v/>
      </c>
      <c r="AC799" s="77">
        <f>IF(Z799="","",SUMIFS($N$6:$N$1005,$B$6:$B$1005,Z799))</f>
        <v/>
      </c>
      <c r="AD799" s="76">
        <f>IF(Z799="","",AA799-AC799)</f>
        <v/>
      </c>
      <c r="AE799" s="117">
        <f>IF(Z799="","",IFERROR(1/SUMPRODUCT(MAX(($B$6:$B$1005=Z799)*$T$6:$T$1005)),""))</f>
        <v/>
      </c>
      <c r="AF799" s="77">
        <f>IF(AE799="","",SUMIFS($S$6:$S$1005,$B$6:$B$1005,Z799,$I$6:$I$1005,AE799))</f>
        <v/>
      </c>
    </row>
    <row r="800" ht="20" customHeight="1">
      <c r="B800" s="72" t="n"/>
      <c r="C800" s="72" t="n"/>
      <c r="D800" s="72" t="n"/>
      <c r="E800" s="72" t="n"/>
      <c r="F800" s="110" t="n"/>
      <c r="G800" s="73" t="n"/>
      <c r="H800" s="75">
        <f>IF(B800="","",IF(G800&lt;&gt;"",G800,IF(F800&lt;&gt;"",F800*IFERROR(INDEX('Contractors'!$I$6:$I$1005,MATCH(B800,'Contractors'!$B$6:$B$1005,0)),0),"")))</f>
        <v/>
      </c>
      <c r="I800" s="109" t="n"/>
      <c r="J800" s="72" t="n"/>
      <c r="K800" s="109" t="n"/>
      <c r="L800" s="73" t="n"/>
      <c r="M800" s="109" t="n"/>
      <c r="N800" s="73" t="n"/>
      <c r="O800" s="107">
        <f>IF(B800="","",IF(M800&lt;&gt;"","Paid",IF(AND(I800&lt;&gt;"",I800&lt;AsOf),"OVERDUE",IF(OR(K800&lt;&gt;"",L800&lt;&gt;""),"Invoiced","Scheduled"))))</f>
        <v/>
      </c>
      <c r="P800" s="115">
        <f>IF(B800="","",IF(E800&lt;&gt;"",E800,IFERROR(INDEX('Contractors'!$D$6:$D$1005,MATCH(B800,'Contractors'!$B$6:$B$1005,0)),"")))</f>
        <v/>
      </c>
      <c r="Q800" s="79">
        <f>IF(B800="","",IF(D800&lt;&gt;"",D800,IFERROR(INDEX('Contractors'!$E$6:$E$1005,MATCH(B800,'Contractors'!$B$6:$B$1005,0)),"")))</f>
        <v/>
      </c>
      <c r="R800" s="79">
        <f>IF(O800="","",IF(O800="OVERDUE",2,IF(O800="Paid",0,IF(AND(I800&lt;&gt;"",I800&lt;=AsOf+AlertDays),1,0))))</f>
        <v/>
      </c>
      <c r="S800" s="79">
        <f>IF(AND(B800&lt;&gt;"",M800="",I800&lt;&gt;""),IF(L800&lt;&gt;"",L800,IF(H800="",0,H800)),0)</f>
        <v/>
      </c>
      <c r="T800" s="79">
        <f>IF(AND(B800&lt;&gt;"",M800="",I800&lt;&gt;""),1/I800,0)</f>
        <v/>
      </c>
      <c r="U800" s="112">
        <f>IF(AND(B800&lt;&gt;"",M800="",I800&lt;&gt;""),I800,"")</f>
        <v/>
      </c>
      <c r="V800" s="79">
        <f>IF(U800="","",IF(U800&lt;AsOf,1,IF(U800&lt;=AsOf+AlertDays,2,IF(U800&lt;=AsOf+2*AlertDays,3,""))))</f>
        <v/>
      </c>
      <c r="W800" s="79">
        <f>IF(V800="","",IF(O800="OVERDUE","Overdue payment: ","Payment due: ")&amp;B800&amp;" — "&amp;C800&amp;" ("&amp;CurSym&amp;" "&amp;FIXED(S800,0)&amp;")")</f>
        <v/>
      </c>
      <c r="Z800" s="116">
        <f>IF('Contractors'!B800="","",'Contractors'!B800)</f>
        <v/>
      </c>
      <c r="AA800" s="77">
        <f>IF(Z800="","",'Contractors'!K800)</f>
        <v/>
      </c>
      <c r="AB800" s="77">
        <f>IF(Z800="","",SUMIFS($L$6:$L$1005,$B$6:$B$1005,Z800))</f>
        <v/>
      </c>
      <c r="AC800" s="77">
        <f>IF(Z800="","",SUMIFS($N$6:$N$1005,$B$6:$B$1005,Z800))</f>
        <v/>
      </c>
      <c r="AD800" s="76">
        <f>IF(Z800="","",AA800-AC800)</f>
        <v/>
      </c>
      <c r="AE800" s="117">
        <f>IF(Z800="","",IFERROR(1/SUMPRODUCT(MAX(($B$6:$B$1005=Z800)*$T$6:$T$1005)),""))</f>
        <v/>
      </c>
      <c r="AF800" s="77">
        <f>IF(AE800="","",SUMIFS($S$6:$S$1005,$B$6:$B$1005,Z800,$I$6:$I$1005,AE800))</f>
        <v/>
      </c>
    </row>
    <row r="801" ht="20" customHeight="1">
      <c r="B801" s="72" t="n"/>
      <c r="C801" s="72" t="n"/>
      <c r="D801" s="72" t="n"/>
      <c r="E801" s="72" t="n"/>
      <c r="F801" s="110" t="n"/>
      <c r="G801" s="73" t="n"/>
      <c r="H801" s="75">
        <f>IF(B801="","",IF(G801&lt;&gt;"",G801,IF(F801&lt;&gt;"",F801*IFERROR(INDEX('Contractors'!$I$6:$I$1005,MATCH(B801,'Contractors'!$B$6:$B$1005,0)),0),"")))</f>
        <v/>
      </c>
      <c r="I801" s="109" t="n"/>
      <c r="J801" s="72" t="n"/>
      <c r="K801" s="109" t="n"/>
      <c r="L801" s="73" t="n"/>
      <c r="M801" s="109" t="n"/>
      <c r="N801" s="73" t="n"/>
      <c r="O801" s="107">
        <f>IF(B801="","",IF(M801&lt;&gt;"","Paid",IF(AND(I801&lt;&gt;"",I801&lt;AsOf),"OVERDUE",IF(OR(K801&lt;&gt;"",L801&lt;&gt;""),"Invoiced","Scheduled"))))</f>
        <v/>
      </c>
      <c r="P801" s="115">
        <f>IF(B801="","",IF(E801&lt;&gt;"",E801,IFERROR(INDEX('Contractors'!$D$6:$D$1005,MATCH(B801,'Contractors'!$B$6:$B$1005,0)),"")))</f>
        <v/>
      </c>
      <c r="Q801" s="79">
        <f>IF(B801="","",IF(D801&lt;&gt;"",D801,IFERROR(INDEX('Contractors'!$E$6:$E$1005,MATCH(B801,'Contractors'!$B$6:$B$1005,0)),"")))</f>
        <v/>
      </c>
      <c r="R801" s="79">
        <f>IF(O801="","",IF(O801="OVERDUE",2,IF(O801="Paid",0,IF(AND(I801&lt;&gt;"",I801&lt;=AsOf+AlertDays),1,0))))</f>
        <v/>
      </c>
      <c r="S801" s="79">
        <f>IF(AND(B801&lt;&gt;"",M801="",I801&lt;&gt;""),IF(L801&lt;&gt;"",L801,IF(H801="",0,H801)),0)</f>
        <v/>
      </c>
      <c r="T801" s="79">
        <f>IF(AND(B801&lt;&gt;"",M801="",I801&lt;&gt;""),1/I801,0)</f>
        <v/>
      </c>
      <c r="U801" s="112">
        <f>IF(AND(B801&lt;&gt;"",M801="",I801&lt;&gt;""),I801,"")</f>
        <v/>
      </c>
      <c r="V801" s="79">
        <f>IF(U801="","",IF(U801&lt;AsOf,1,IF(U801&lt;=AsOf+AlertDays,2,IF(U801&lt;=AsOf+2*AlertDays,3,""))))</f>
        <v/>
      </c>
      <c r="W801" s="79">
        <f>IF(V801="","",IF(O801="OVERDUE","Overdue payment: ","Payment due: ")&amp;B801&amp;" — "&amp;C801&amp;" ("&amp;CurSym&amp;" "&amp;FIXED(S801,0)&amp;")")</f>
        <v/>
      </c>
      <c r="Z801" s="116">
        <f>IF('Contractors'!B801="","",'Contractors'!B801)</f>
        <v/>
      </c>
      <c r="AA801" s="77">
        <f>IF(Z801="","",'Contractors'!K801)</f>
        <v/>
      </c>
      <c r="AB801" s="77">
        <f>IF(Z801="","",SUMIFS($L$6:$L$1005,$B$6:$B$1005,Z801))</f>
        <v/>
      </c>
      <c r="AC801" s="77">
        <f>IF(Z801="","",SUMIFS($N$6:$N$1005,$B$6:$B$1005,Z801))</f>
        <v/>
      </c>
      <c r="AD801" s="76">
        <f>IF(Z801="","",AA801-AC801)</f>
        <v/>
      </c>
      <c r="AE801" s="117">
        <f>IF(Z801="","",IFERROR(1/SUMPRODUCT(MAX(($B$6:$B$1005=Z801)*$T$6:$T$1005)),""))</f>
        <v/>
      </c>
      <c r="AF801" s="77">
        <f>IF(AE801="","",SUMIFS($S$6:$S$1005,$B$6:$B$1005,Z801,$I$6:$I$1005,AE801))</f>
        <v/>
      </c>
    </row>
    <row r="802" ht="20" customHeight="1">
      <c r="B802" s="72" t="n"/>
      <c r="C802" s="72" t="n"/>
      <c r="D802" s="72" t="n"/>
      <c r="E802" s="72" t="n"/>
      <c r="F802" s="110" t="n"/>
      <c r="G802" s="73" t="n"/>
      <c r="H802" s="75">
        <f>IF(B802="","",IF(G802&lt;&gt;"",G802,IF(F802&lt;&gt;"",F802*IFERROR(INDEX('Contractors'!$I$6:$I$1005,MATCH(B802,'Contractors'!$B$6:$B$1005,0)),0),"")))</f>
        <v/>
      </c>
      <c r="I802" s="109" t="n"/>
      <c r="J802" s="72" t="n"/>
      <c r="K802" s="109" t="n"/>
      <c r="L802" s="73" t="n"/>
      <c r="M802" s="109" t="n"/>
      <c r="N802" s="73" t="n"/>
      <c r="O802" s="107">
        <f>IF(B802="","",IF(M802&lt;&gt;"","Paid",IF(AND(I802&lt;&gt;"",I802&lt;AsOf),"OVERDUE",IF(OR(K802&lt;&gt;"",L802&lt;&gt;""),"Invoiced","Scheduled"))))</f>
        <v/>
      </c>
      <c r="P802" s="115">
        <f>IF(B802="","",IF(E802&lt;&gt;"",E802,IFERROR(INDEX('Contractors'!$D$6:$D$1005,MATCH(B802,'Contractors'!$B$6:$B$1005,0)),"")))</f>
        <v/>
      </c>
      <c r="Q802" s="79">
        <f>IF(B802="","",IF(D802&lt;&gt;"",D802,IFERROR(INDEX('Contractors'!$E$6:$E$1005,MATCH(B802,'Contractors'!$B$6:$B$1005,0)),"")))</f>
        <v/>
      </c>
      <c r="R802" s="79">
        <f>IF(O802="","",IF(O802="OVERDUE",2,IF(O802="Paid",0,IF(AND(I802&lt;&gt;"",I802&lt;=AsOf+AlertDays),1,0))))</f>
        <v/>
      </c>
      <c r="S802" s="79">
        <f>IF(AND(B802&lt;&gt;"",M802="",I802&lt;&gt;""),IF(L802&lt;&gt;"",L802,IF(H802="",0,H802)),0)</f>
        <v/>
      </c>
      <c r="T802" s="79">
        <f>IF(AND(B802&lt;&gt;"",M802="",I802&lt;&gt;""),1/I802,0)</f>
        <v/>
      </c>
      <c r="U802" s="112">
        <f>IF(AND(B802&lt;&gt;"",M802="",I802&lt;&gt;""),I802,"")</f>
        <v/>
      </c>
      <c r="V802" s="79">
        <f>IF(U802="","",IF(U802&lt;AsOf,1,IF(U802&lt;=AsOf+AlertDays,2,IF(U802&lt;=AsOf+2*AlertDays,3,""))))</f>
        <v/>
      </c>
      <c r="W802" s="79">
        <f>IF(V802="","",IF(O802="OVERDUE","Overdue payment: ","Payment due: ")&amp;B802&amp;" — "&amp;C802&amp;" ("&amp;CurSym&amp;" "&amp;FIXED(S802,0)&amp;")")</f>
        <v/>
      </c>
      <c r="Z802" s="116">
        <f>IF('Contractors'!B802="","",'Contractors'!B802)</f>
        <v/>
      </c>
      <c r="AA802" s="77">
        <f>IF(Z802="","",'Contractors'!K802)</f>
        <v/>
      </c>
      <c r="AB802" s="77">
        <f>IF(Z802="","",SUMIFS($L$6:$L$1005,$B$6:$B$1005,Z802))</f>
        <v/>
      </c>
      <c r="AC802" s="77">
        <f>IF(Z802="","",SUMIFS($N$6:$N$1005,$B$6:$B$1005,Z802))</f>
        <v/>
      </c>
      <c r="AD802" s="76">
        <f>IF(Z802="","",AA802-AC802)</f>
        <v/>
      </c>
      <c r="AE802" s="117">
        <f>IF(Z802="","",IFERROR(1/SUMPRODUCT(MAX(($B$6:$B$1005=Z802)*$T$6:$T$1005)),""))</f>
        <v/>
      </c>
      <c r="AF802" s="77">
        <f>IF(AE802="","",SUMIFS($S$6:$S$1005,$B$6:$B$1005,Z802,$I$6:$I$1005,AE802))</f>
        <v/>
      </c>
    </row>
    <row r="803" ht="20" customHeight="1">
      <c r="B803" s="72" t="n"/>
      <c r="C803" s="72" t="n"/>
      <c r="D803" s="72" t="n"/>
      <c r="E803" s="72" t="n"/>
      <c r="F803" s="110" t="n"/>
      <c r="G803" s="73" t="n"/>
      <c r="H803" s="75">
        <f>IF(B803="","",IF(G803&lt;&gt;"",G803,IF(F803&lt;&gt;"",F803*IFERROR(INDEX('Contractors'!$I$6:$I$1005,MATCH(B803,'Contractors'!$B$6:$B$1005,0)),0),"")))</f>
        <v/>
      </c>
      <c r="I803" s="109" t="n"/>
      <c r="J803" s="72" t="n"/>
      <c r="K803" s="109" t="n"/>
      <c r="L803" s="73" t="n"/>
      <c r="M803" s="109" t="n"/>
      <c r="N803" s="73" t="n"/>
      <c r="O803" s="107">
        <f>IF(B803="","",IF(M803&lt;&gt;"","Paid",IF(AND(I803&lt;&gt;"",I803&lt;AsOf),"OVERDUE",IF(OR(K803&lt;&gt;"",L803&lt;&gt;""),"Invoiced","Scheduled"))))</f>
        <v/>
      </c>
      <c r="P803" s="115">
        <f>IF(B803="","",IF(E803&lt;&gt;"",E803,IFERROR(INDEX('Contractors'!$D$6:$D$1005,MATCH(B803,'Contractors'!$B$6:$B$1005,0)),"")))</f>
        <v/>
      </c>
      <c r="Q803" s="79">
        <f>IF(B803="","",IF(D803&lt;&gt;"",D803,IFERROR(INDEX('Contractors'!$E$6:$E$1005,MATCH(B803,'Contractors'!$B$6:$B$1005,0)),"")))</f>
        <v/>
      </c>
      <c r="R803" s="79">
        <f>IF(O803="","",IF(O803="OVERDUE",2,IF(O803="Paid",0,IF(AND(I803&lt;&gt;"",I803&lt;=AsOf+AlertDays),1,0))))</f>
        <v/>
      </c>
      <c r="S803" s="79">
        <f>IF(AND(B803&lt;&gt;"",M803="",I803&lt;&gt;""),IF(L803&lt;&gt;"",L803,IF(H803="",0,H803)),0)</f>
        <v/>
      </c>
      <c r="T803" s="79">
        <f>IF(AND(B803&lt;&gt;"",M803="",I803&lt;&gt;""),1/I803,0)</f>
        <v/>
      </c>
      <c r="U803" s="112">
        <f>IF(AND(B803&lt;&gt;"",M803="",I803&lt;&gt;""),I803,"")</f>
        <v/>
      </c>
      <c r="V803" s="79">
        <f>IF(U803="","",IF(U803&lt;AsOf,1,IF(U803&lt;=AsOf+AlertDays,2,IF(U803&lt;=AsOf+2*AlertDays,3,""))))</f>
        <v/>
      </c>
      <c r="W803" s="79">
        <f>IF(V803="","",IF(O803="OVERDUE","Overdue payment: ","Payment due: ")&amp;B803&amp;" — "&amp;C803&amp;" ("&amp;CurSym&amp;" "&amp;FIXED(S803,0)&amp;")")</f>
        <v/>
      </c>
      <c r="Z803" s="116">
        <f>IF('Contractors'!B803="","",'Contractors'!B803)</f>
        <v/>
      </c>
      <c r="AA803" s="77">
        <f>IF(Z803="","",'Contractors'!K803)</f>
        <v/>
      </c>
      <c r="AB803" s="77">
        <f>IF(Z803="","",SUMIFS($L$6:$L$1005,$B$6:$B$1005,Z803))</f>
        <v/>
      </c>
      <c r="AC803" s="77">
        <f>IF(Z803="","",SUMIFS($N$6:$N$1005,$B$6:$B$1005,Z803))</f>
        <v/>
      </c>
      <c r="AD803" s="76">
        <f>IF(Z803="","",AA803-AC803)</f>
        <v/>
      </c>
      <c r="AE803" s="117">
        <f>IF(Z803="","",IFERROR(1/SUMPRODUCT(MAX(($B$6:$B$1005=Z803)*$T$6:$T$1005)),""))</f>
        <v/>
      </c>
      <c r="AF803" s="77">
        <f>IF(AE803="","",SUMIFS($S$6:$S$1005,$B$6:$B$1005,Z803,$I$6:$I$1005,AE803))</f>
        <v/>
      </c>
    </row>
    <row r="804" ht="20" customHeight="1">
      <c r="B804" s="72" t="n"/>
      <c r="C804" s="72" t="n"/>
      <c r="D804" s="72" t="n"/>
      <c r="E804" s="72" t="n"/>
      <c r="F804" s="110" t="n"/>
      <c r="G804" s="73" t="n"/>
      <c r="H804" s="75">
        <f>IF(B804="","",IF(G804&lt;&gt;"",G804,IF(F804&lt;&gt;"",F804*IFERROR(INDEX('Contractors'!$I$6:$I$1005,MATCH(B804,'Contractors'!$B$6:$B$1005,0)),0),"")))</f>
        <v/>
      </c>
      <c r="I804" s="109" t="n"/>
      <c r="J804" s="72" t="n"/>
      <c r="K804" s="109" t="n"/>
      <c r="L804" s="73" t="n"/>
      <c r="M804" s="109" t="n"/>
      <c r="N804" s="73" t="n"/>
      <c r="O804" s="107">
        <f>IF(B804="","",IF(M804&lt;&gt;"","Paid",IF(AND(I804&lt;&gt;"",I804&lt;AsOf),"OVERDUE",IF(OR(K804&lt;&gt;"",L804&lt;&gt;""),"Invoiced","Scheduled"))))</f>
        <v/>
      </c>
      <c r="P804" s="115">
        <f>IF(B804="","",IF(E804&lt;&gt;"",E804,IFERROR(INDEX('Contractors'!$D$6:$D$1005,MATCH(B804,'Contractors'!$B$6:$B$1005,0)),"")))</f>
        <v/>
      </c>
      <c r="Q804" s="79">
        <f>IF(B804="","",IF(D804&lt;&gt;"",D804,IFERROR(INDEX('Contractors'!$E$6:$E$1005,MATCH(B804,'Contractors'!$B$6:$B$1005,0)),"")))</f>
        <v/>
      </c>
      <c r="R804" s="79">
        <f>IF(O804="","",IF(O804="OVERDUE",2,IF(O804="Paid",0,IF(AND(I804&lt;&gt;"",I804&lt;=AsOf+AlertDays),1,0))))</f>
        <v/>
      </c>
      <c r="S804" s="79">
        <f>IF(AND(B804&lt;&gt;"",M804="",I804&lt;&gt;""),IF(L804&lt;&gt;"",L804,IF(H804="",0,H804)),0)</f>
        <v/>
      </c>
      <c r="T804" s="79">
        <f>IF(AND(B804&lt;&gt;"",M804="",I804&lt;&gt;""),1/I804,0)</f>
        <v/>
      </c>
      <c r="U804" s="112">
        <f>IF(AND(B804&lt;&gt;"",M804="",I804&lt;&gt;""),I804,"")</f>
        <v/>
      </c>
      <c r="V804" s="79">
        <f>IF(U804="","",IF(U804&lt;AsOf,1,IF(U804&lt;=AsOf+AlertDays,2,IF(U804&lt;=AsOf+2*AlertDays,3,""))))</f>
        <v/>
      </c>
      <c r="W804" s="79">
        <f>IF(V804="","",IF(O804="OVERDUE","Overdue payment: ","Payment due: ")&amp;B804&amp;" — "&amp;C804&amp;" ("&amp;CurSym&amp;" "&amp;FIXED(S804,0)&amp;")")</f>
        <v/>
      </c>
      <c r="Z804" s="116">
        <f>IF('Contractors'!B804="","",'Contractors'!B804)</f>
        <v/>
      </c>
      <c r="AA804" s="77">
        <f>IF(Z804="","",'Contractors'!K804)</f>
        <v/>
      </c>
      <c r="AB804" s="77">
        <f>IF(Z804="","",SUMIFS($L$6:$L$1005,$B$6:$B$1005,Z804))</f>
        <v/>
      </c>
      <c r="AC804" s="77">
        <f>IF(Z804="","",SUMIFS($N$6:$N$1005,$B$6:$B$1005,Z804))</f>
        <v/>
      </c>
      <c r="AD804" s="76">
        <f>IF(Z804="","",AA804-AC804)</f>
        <v/>
      </c>
      <c r="AE804" s="117">
        <f>IF(Z804="","",IFERROR(1/SUMPRODUCT(MAX(($B$6:$B$1005=Z804)*$T$6:$T$1005)),""))</f>
        <v/>
      </c>
      <c r="AF804" s="77">
        <f>IF(AE804="","",SUMIFS($S$6:$S$1005,$B$6:$B$1005,Z804,$I$6:$I$1005,AE804))</f>
        <v/>
      </c>
    </row>
    <row r="805" ht="20" customHeight="1">
      <c r="B805" s="72" t="n"/>
      <c r="C805" s="72" t="n"/>
      <c r="D805" s="72" t="n"/>
      <c r="E805" s="72" t="n"/>
      <c r="F805" s="110" t="n"/>
      <c r="G805" s="73" t="n"/>
      <c r="H805" s="75">
        <f>IF(B805="","",IF(G805&lt;&gt;"",G805,IF(F805&lt;&gt;"",F805*IFERROR(INDEX('Contractors'!$I$6:$I$1005,MATCH(B805,'Contractors'!$B$6:$B$1005,0)),0),"")))</f>
        <v/>
      </c>
      <c r="I805" s="109" t="n"/>
      <c r="J805" s="72" t="n"/>
      <c r="K805" s="109" t="n"/>
      <c r="L805" s="73" t="n"/>
      <c r="M805" s="109" t="n"/>
      <c r="N805" s="73" t="n"/>
      <c r="O805" s="107">
        <f>IF(B805="","",IF(M805&lt;&gt;"","Paid",IF(AND(I805&lt;&gt;"",I805&lt;AsOf),"OVERDUE",IF(OR(K805&lt;&gt;"",L805&lt;&gt;""),"Invoiced","Scheduled"))))</f>
        <v/>
      </c>
      <c r="P805" s="115">
        <f>IF(B805="","",IF(E805&lt;&gt;"",E805,IFERROR(INDEX('Contractors'!$D$6:$D$1005,MATCH(B805,'Contractors'!$B$6:$B$1005,0)),"")))</f>
        <v/>
      </c>
      <c r="Q805" s="79">
        <f>IF(B805="","",IF(D805&lt;&gt;"",D805,IFERROR(INDEX('Contractors'!$E$6:$E$1005,MATCH(B805,'Contractors'!$B$6:$B$1005,0)),"")))</f>
        <v/>
      </c>
      <c r="R805" s="79">
        <f>IF(O805="","",IF(O805="OVERDUE",2,IF(O805="Paid",0,IF(AND(I805&lt;&gt;"",I805&lt;=AsOf+AlertDays),1,0))))</f>
        <v/>
      </c>
      <c r="S805" s="79">
        <f>IF(AND(B805&lt;&gt;"",M805="",I805&lt;&gt;""),IF(L805&lt;&gt;"",L805,IF(H805="",0,H805)),0)</f>
        <v/>
      </c>
      <c r="T805" s="79">
        <f>IF(AND(B805&lt;&gt;"",M805="",I805&lt;&gt;""),1/I805,0)</f>
        <v/>
      </c>
      <c r="U805" s="112">
        <f>IF(AND(B805&lt;&gt;"",M805="",I805&lt;&gt;""),I805,"")</f>
        <v/>
      </c>
      <c r="V805" s="79">
        <f>IF(U805="","",IF(U805&lt;AsOf,1,IF(U805&lt;=AsOf+AlertDays,2,IF(U805&lt;=AsOf+2*AlertDays,3,""))))</f>
        <v/>
      </c>
      <c r="W805" s="79">
        <f>IF(V805="","",IF(O805="OVERDUE","Overdue payment: ","Payment due: ")&amp;B805&amp;" — "&amp;C805&amp;" ("&amp;CurSym&amp;" "&amp;FIXED(S805,0)&amp;")")</f>
        <v/>
      </c>
      <c r="Z805" s="116">
        <f>IF('Contractors'!B805="","",'Contractors'!B805)</f>
        <v/>
      </c>
      <c r="AA805" s="77">
        <f>IF(Z805="","",'Contractors'!K805)</f>
        <v/>
      </c>
      <c r="AB805" s="77">
        <f>IF(Z805="","",SUMIFS($L$6:$L$1005,$B$6:$B$1005,Z805))</f>
        <v/>
      </c>
      <c r="AC805" s="77">
        <f>IF(Z805="","",SUMIFS($N$6:$N$1005,$B$6:$B$1005,Z805))</f>
        <v/>
      </c>
      <c r="AD805" s="76">
        <f>IF(Z805="","",AA805-AC805)</f>
        <v/>
      </c>
      <c r="AE805" s="117">
        <f>IF(Z805="","",IFERROR(1/SUMPRODUCT(MAX(($B$6:$B$1005=Z805)*$T$6:$T$1005)),""))</f>
        <v/>
      </c>
      <c r="AF805" s="77">
        <f>IF(AE805="","",SUMIFS($S$6:$S$1005,$B$6:$B$1005,Z805,$I$6:$I$1005,AE805))</f>
        <v/>
      </c>
    </row>
    <row r="806" ht="20" customHeight="1">
      <c r="B806" s="72" t="n"/>
      <c r="C806" s="72" t="n"/>
      <c r="D806" s="72" t="n"/>
      <c r="E806" s="72" t="n"/>
      <c r="F806" s="110" t="n"/>
      <c r="G806" s="73" t="n"/>
      <c r="H806" s="75">
        <f>IF(B806="","",IF(G806&lt;&gt;"",G806,IF(F806&lt;&gt;"",F806*IFERROR(INDEX('Contractors'!$I$6:$I$1005,MATCH(B806,'Contractors'!$B$6:$B$1005,0)),0),"")))</f>
        <v/>
      </c>
      <c r="I806" s="109" t="n"/>
      <c r="J806" s="72" t="n"/>
      <c r="K806" s="109" t="n"/>
      <c r="L806" s="73" t="n"/>
      <c r="M806" s="109" t="n"/>
      <c r="N806" s="73" t="n"/>
      <c r="O806" s="107">
        <f>IF(B806="","",IF(M806&lt;&gt;"","Paid",IF(AND(I806&lt;&gt;"",I806&lt;AsOf),"OVERDUE",IF(OR(K806&lt;&gt;"",L806&lt;&gt;""),"Invoiced","Scheduled"))))</f>
        <v/>
      </c>
      <c r="P806" s="115">
        <f>IF(B806="","",IF(E806&lt;&gt;"",E806,IFERROR(INDEX('Contractors'!$D$6:$D$1005,MATCH(B806,'Contractors'!$B$6:$B$1005,0)),"")))</f>
        <v/>
      </c>
      <c r="Q806" s="79">
        <f>IF(B806="","",IF(D806&lt;&gt;"",D806,IFERROR(INDEX('Contractors'!$E$6:$E$1005,MATCH(B806,'Contractors'!$B$6:$B$1005,0)),"")))</f>
        <v/>
      </c>
      <c r="R806" s="79">
        <f>IF(O806="","",IF(O806="OVERDUE",2,IF(O806="Paid",0,IF(AND(I806&lt;&gt;"",I806&lt;=AsOf+AlertDays),1,0))))</f>
        <v/>
      </c>
      <c r="S806" s="79">
        <f>IF(AND(B806&lt;&gt;"",M806="",I806&lt;&gt;""),IF(L806&lt;&gt;"",L806,IF(H806="",0,H806)),0)</f>
        <v/>
      </c>
      <c r="T806" s="79">
        <f>IF(AND(B806&lt;&gt;"",M806="",I806&lt;&gt;""),1/I806,0)</f>
        <v/>
      </c>
      <c r="U806" s="112">
        <f>IF(AND(B806&lt;&gt;"",M806="",I806&lt;&gt;""),I806,"")</f>
        <v/>
      </c>
      <c r="V806" s="79">
        <f>IF(U806="","",IF(U806&lt;AsOf,1,IF(U806&lt;=AsOf+AlertDays,2,IF(U806&lt;=AsOf+2*AlertDays,3,""))))</f>
        <v/>
      </c>
      <c r="W806" s="79">
        <f>IF(V806="","",IF(O806="OVERDUE","Overdue payment: ","Payment due: ")&amp;B806&amp;" — "&amp;C806&amp;" ("&amp;CurSym&amp;" "&amp;FIXED(S806,0)&amp;")")</f>
        <v/>
      </c>
      <c r="Z806" s="116">
        <f>IF('Contractors'!B806="","",'Contractors'!B806)</f>
        <v/>
      </c>
      <c r="AA806" s="77">
        <f>IF(Z806="","",'Contractors'!K806)</f>
        <v/>
      </c>
      <c r="AB806" s="77">
        <f>IF(Z806="","",SUMIFS($L$6:$L$1005,$B$6:$B$1005,Z806))</f>
        <v/>
      </c>
      <c r="AC806" s="77">
        <f>IF(Z806="","",SUMIFS($N$6:$N$1005,$B$6:$B$1005,Z806))</f>
        <v/>
      </c>
      <c r="AD806" s="76">
        <f>IF(Z806="","",AA806-AC806)</f>
        <v/>
      </c>
      <c r="AE806" s="117">
        <f>IF(Z806="","",IFERROR(1/SUMPRODUCT(MAX(($B$6:$B$1005=Z806)*$T$6:$T$1005)),""))</f>
        <v/>
      </c>
      <c r="AF806" s="77">
        <f>IF(AE806="","",SUMIFS($S$6:$S$1005,$B$6:$B$1005,Z806,$I$6:$I$1005,AE806))</f>
        <v/>
      </c>
    </row>
    <row r="807" ht="20" customHeight="1">
      <c r="B807" s="72" t="n"/>
      <c r="C807" s="72" t="n"/>
      <c r="D807" s="72" t="n"/>
      <c r="E807" s="72" t="n"/>
      <c r="F807" s="110" t="n"/>
      <c r="G807" s="73" t="n"/>
      <c r="H807" s="75">
        <f>IF(B807="","",IF(G807&lt;&gt;"",G807,IF(F807&lt;&gt;"",F807*IFERROR(INDEX('Contractors'!$I$6:$I$1005,MATCH(B807,'Contractors'!$B$6:$B$1005,0)),0),"")))</f>
        <v/>
      </c>
      <c r="I807" s="109" t="n"/>
      <c r="J807" s="72" t="n"/>
      <c r="K807" s="109" t="n"/>
      <c r="L807" s="73" t="n"/>
      <c r="M807" s="109" t="n"/>
      <c r="N807" s="73" t="n"/>
      <c r="O807" s="107">
        <f>IF(B807="","",IF(M807&lt;&gt;"","Paid",IF(AND(I807&lt;&gt;"",I807&lt;AsOf),"OVERDUE",IF(OR(K807&lt;&gt;"",L807&lt;&gt;""),"Invoiced","Scheduled"))))</f>
        <v/>
      </c>
      <c r="P807" s="115">
        <f>IF(B807="","",IF(E807&lt;&gt;"",E807,IFERROR(INDEX('Contractors'!$D$6:$D$1005,MATCH(B807,'Contractors'!$B$6:$B$1005,0)),"")))</f>
        <v/>
      </c>
      <c r="Q807" s="79">
        <f>IF(B807="","",IF(D807&lt;&gt;"",D807,IFERROR(INDEX('Contractors'!$E$6:$E$1005,MATCH(B807,'Contractors'!$B$6:$B$1005,0)),"")))</f>
        <v/>
      </c>
      <c r="R807" s="79">
        <f>IF(O807="","",IF(O807="OVERDUE",2,IF(O807="Paid",0,IF(AND(I807&lt;&gt;"",I807&lt;=AsOf+AlertDays),1,0))))</f>
        <v/>
      </c>
      <c r="S807" s="79">
        <f>IF(AND(B807&lt;&gt;"",M807="",I807&lt;&gt;""),IF(L807&lt;&gt;"",L807,IF(H807="",0,H807)),0)</f>
        <v/>
      </c>
      <c r="T807" s="79">
        <f>IF(AND(B807&lt;&gt;"",M807="",I807&lt;&gt;""),1/I807,0)</f>
        <v/>
      </c>
      <c r="U807" s="112">
        <f>IF(AND(B807&lt;&gt;"",M807="",I807&lt;&gt;""),I807,"")</f>
        <v/>
      </c>
      <c r="V807" s="79">
        <f>IF(U807="","",IF(U807&lt;AsOf,1,IF(U807&lt;=AsOf+AlertDays,2,IF(U807&lt;=AsOf+2*AlertDays,3,""))))</f>
        <v/>
      </c>
      <c r="W807" s="79">
        <f>IF(V807="","",IF(O807="OVERDUE","Overdue payment: ","Payment due: ")&amp;B807&amp;" — "&amp;C807&amp;" ("&amp;CurSym&amp;" "&amp;FIXED(S807,0)&amp;")")</f>
        <v/>
      </c>
      <c r="Z807" s="116">
        <f>IF('Contractors'!B807="","",'Contractors'!B807)</f>
        <v/>
      </c>
      <c r="AA807" s="77">
        <f>IF(Z807="","",'Contractors'!K807)</f>
        <v/>
      </c>
      <c r="AB807" s="77">
        <f>IF(Z807="","",SUMIFS($L$6:$L$1005,$B$6:$B$1005,Z807))</f>
        <v/>
      </c>
      <c r="AC807" s="77">
        <f>IF(Z807="","",SUMIFS($N$6:$N$1005,$B$6:$B$1005,Z807))</f>
        <v/>
      </c>
      <c r="AD807" s="76">
        <f>IF(Z807="","",AA807-AC807)</f>
        <v/>
      </c>
      <c r="AE807" s="117">
        <f>IF(Z807="","",IFERROR(1/SUMPRODUCT(MAX(($B$6:$B$1005=Z807)*$T$6:$T$1005)),""))</f>
        <v/>
      </c>
      <c r="AF807" s="77">
        <f>IF(AE807="","",SUMIFS($S$6:$S$1005,$B$6:$B$1005,Z807,$I$6:$I$1005,AE807))</f>
        <v/>
      </c>
    </row>
    <row r="808" ht="20" customHeight="1">
      <c r="B808" s="72" t="n"/>
      <c r="C808" s="72" t="n"/>
      <c r="D808" s="72" t="n"/>
      <c r="E808" s="72" t="n"/>
      <c r="F808" s="110" t="n"/>
      <c r="G808" s="73" t="n"/>
      <c r="H808" s="75">
        <f>IF(B808="","",IF(G808&lt;&gt;"",G808,IF(F808&lt;&gt;"",F808*IFERROR(INDEX('Contractors'!$I$6:$I$1005,MATCH(B808,'Contractors'!$B$6:$B$1005,0)),0),"")))</f>
        <v/>
      </c>
      <c r="I808" s="109" t="n"/>
      <c r="J808" s="72" t="n"/>
      <c r="K808" s="109" t="n"/>
      <c r="L808" s="73" t="n"/>
      <c r="M808" s="109" t="n"/>
      <c r="N808" s="73" t="n"/>
      <c r="O808" s="107">
        <f>IF(B808="","",IF(M808&lt;&gt;"","Paid",IF(AND(I808&lt;&gt;"",I808&lt;AsOf),"OVERDUE",IF(OR(K808&lt;&gt;"",L808&lt;&gt;""),"Invoiced","Scheduled"))))</f>
        <v/>
      </c>
      <c r="P808" s="115">
        <f>IF(B808="","",IF(E808&lt;&gt;"",E808,IFERROR(INDEX('Contractors'!$D$6:$D$1005,MATCH(B808,'Contractors'!$B$6:$B$1005,0)),"")))</f>
        <v/>
      </c>
      <c r="Q808" s="79">
        <f>IF(B808="","",IF(D808&lt;&gt;"",D808,IFERROR(INDEX('Contractors'!$E$6:$E$1005,MATCH(B808,'Contractors'!$B$6:$B$1005,0)),"")))</f>
        <v/>
      </c>
      <c r="R808" s="79">
        <f>IF(O808="","",IF(O808="OVERDUE",2,IF(O808="Paid",0,IF(AND(I808&lt;&gt;"",I808&lt;=AsOf+AlertDays),1,0))))</f>
        <v/>
      </c>
      <c r="S808" s="79">
        <f>IF(AND(B808&lt;&gt;"",M808="",I808&lt;&gt;""),IF(L808&lt;&gt;"",L808,IF(H808="",0,H808)),0)</f>
        <v/>
      </c>
      <c r="T808" s="79">
        <f>IF(AND(B808&lt;&gt;"",M808="",I808&lt;&gt;""),1/I808,0)</f>
        <v/>
      </c>
      <c r="U808" s="112">
        <f>IF(AND(B808&lt;&gt;"",M808="",I808&lt;&gt;""),I808,"")</f>
        <v/>
      </c>
      <c r="V808" s="79">
        <f>IF(U808="","",IF(U808&lt;AsOf,1,IF(U808&lt;=AsOf+AlertDays,2,IF(U808&lt;=AsOf+2*AlertDays,3,""))))</f>
        <v/>
      </c>
      <c r="W808" s="79">
        <f>IF(V808="","",IF(O808="OVERDUE","Overdue payment: ","Payment due: ")&amp;B808&amp;" — "&amp;C808&amp;" ("&amp;CurSym&amp;" "&amp;FIXED(S808,0)&amp;")")</f>
        <v/>
      </c>
      <c r="Z808" s="116">
        <f>IF('Contractors'!B808="","",'Contractors'!B808)</f>
        <v/>
      </c>
      <c r="AA808" s="77">
        <f>IF(Z808="","",'Contractors'!K808)</f>
        <v/>
      </c>
      <c r="AB808" s="77">
        <f>IF(Z808="","",SUMIFS($L$6:$L$1005,$B$6:$B$1005,Z808))</f>
        <v/>
      </c>
      <c r="AC808" s="77">
        <f>IF(Z808="","",SUMIFS($N$6:$N$1005,$B$6:$B$1005,Z808))</f>
        <v/>
      </c>
      <c r="AD808" s="76">
        <f>IF(Z808="","",AA808-AC808)</f>
        <v/>
      </c>
      <c r="AE808" s="117">
        <f>IF(Z808="","",IFERROR(1/SUMPRODUCT(MAX(($B$6:$B$1005=Z808)*$T$6:$T$1005)),""))</f>
        <v/>
      </c>
      <c r="AF808" s="77">
        <f>IF(AE808="","",SUMIFS($S$6:$S$1005,$B$6:$B$1005,Z808,$I$6:$I$1005,AE808))</f>
        <v/>
      </c>
    </row>
    <row r="809" ht="20" customHeight="1">
      <c r="B809" s="72" t="n"/>
      <c r="C809" s="72" t="n"/>
      <c r="D809" s="72" t="n"/>
      <c r="E809" s="72" t="n"/>
      <c r="F809" s="110" t="n"/>
      <c r="G809" s="73" t="n"/>
      <c r="H809" s="75">
        <f>IF(B809="","",IF(G809&lt;&gt;"",G809,IF(F809&lt;&gt;"",F809*IFERROR(INDEX('Contractors'!$I$6:$I$1005,MATCH(B809,'Contractors'!$B$6:$B$1005,0)),0),"")))</f>
        <v/>
      </c>
      <c r="I809" s="109" t="n"/>
      <c r="J809" s="72" t="n"/>
      <c r="K809" s="109" t="n"/>
      <c r="L809" s="73" t="n"/>
      <c r="M809" s="109" t="n"/>
      <c r="N809" s="73" t="n"/>
      <c r="O809" s="107">
        <f>IF(B809="","",IF(M809&lt;&gt;"","Paid",IF(AND(I809&lt;&gt;"",I809&lt;AsOf),"OVERDUE",IF(OR(K809&lt;&gt;"",L809&lt;&gt;""),"Invoiced","Scheduled"))))</f>
        <v/>
      </c>
      <c r="P809" s="115">
        <f>IF(B809="","",IF(E809&lt;&gt;"",E809,IFERROR(INDEX('Contractors'!$D$6:$D$1005,MATCH(B809,'Contractors'!$B$6:$B$1005,0)),"")))</f>
        <v/>
      </c>
      <c r="Q809" s="79">
        <f>IF(B809="","",IF(D809&lt;&gt;"",D809,IFERROR(INDEX('Contractors'!$E$6:$E$1005,MATCH(B809,'Contractors'!$B$6:$B$1005,0)),"")))</f>
        <v/>
      </c>
      <c r="R809" s="79">
        <f>IF(O809="","",IF(O809="OVERDUE",2,IF(O809="Paid",0,IF(AND(I809&lt;&gt;"",I809&lt;=AsOf+AlertDays),1,0))))</f>
        <v/>
      </c>
      <c r="S809" s="79">
        <f>IF(AND(B809&lt;&gt;"",M809="",I809&lt;&gt;""),IF(L809&lt;&gt;"",L809,IF(H809="",0,H809)),0)</f>
        <v/>
      </c>
      <c r="T809" s="79">
        <f>IF(AND(B809&lt;&gt;"",M809="",I809&lt;&gt;""),1/I809,0)</f>
        <v/>
      </c>
      <c r="U809" s="112">
        <f>IF(AND(B809&lt;&gt;"",M809="",I809&lt;&gt;""),I809,"")</f>
        <v/>
      </c>
      <c r="V809" s="79">
        <f>IF(U809="","",IF(U809&lt;AsOf,1,IF(U809&lt;=AsOf+AlertDays,2,IF(U809&lt;=AsOf+2*AlertDays,3,""))))</f>
        <v/>
      </c>
      <c r="W809" s="79">
        <f>IF(V809="","",IF(O809="OVERDUE","Overdue payment: ","Payment due: ")&amp;B809&amp;" — "&amp;C809&amp;" ("&amp;CurSym&amp;" "&amp;FIXED(S809,0)&amp;")")</f>
        <v/>
      </c>
      <c r="Z809" s="116">
        <f>IF('Contractors'!B809="","",'Contractors'!B809)</f>
        <v/>
      </c>
      <c r="AA809" s="77">
        <f>IF(Z809="","",'Contractors'!K809)</f>
        <v/>
      </c>
      <c r="AB809" s="77">
        <f>IF(Z809="","",SUMIFS($L$6:$L$1005,$B$6:$B$1005,Z809))</f>
        <v/>
      </c>
      <c r="AC809" s="77">
        <f>IF(Z809="","",SUMIFS($N$6:$N$1005,$B$6:$B$1005,Z809))</f>
        <v/>
      </c>
      <c r="AD809" s="76">
        <f>IF(Z809="","",AA809-AC809)</f>
        <v/>
      </c>
      <c r="AE809" s="117">
        <f>IF(Z809="","",IFERROR(1/SUMPRODUCT(MAX(($B$6:$B$1005=Z809)*$T$6:$T$1005)),""))</f>
        <v/>
      </c>
      <c r="AF809" s="77">
        <f>IF(AE809="","",SUMIFS($S$6:$S$1005,$B$6:$B$1005,Z809,$I$6:$I$1005,AE809))</f>
        <v/>
      </c>
    </row>
    <row r="810" ht="20" customHeight="1">
      <c r="B810" s="72" t="n"/>
      <c r="C810" s="72" t="n"/>
      <c r="D810" s="72" t="n"/>
      <c r="E810" s="72" t="n"/>
      <c r="F810" s="110" t="n"/>
      <c r="G810" s="73" t="n"/>
      <c r="H810" s="75">
        <f>IF(B810="","",IF(G810&lt;&gt;"",G810,IF(F810&lt;&gt;"",F810*IFERROR(INDEX('Contractors'!$I$6:$I$1005,MATCH(B810,'Contractors'!$B$6:$B$1005,0)),0),"")))</f>
        <v/>
      </c>
      <c r="I810" s="109" t="n"/>
      <c r="J810" s="72" t="n"/>
      <c r="K810" s="109" t="n"/>
      <c r="L810" s="73" t="n"/>
      <c r="M810" s="109" t="n"/>
      <c r="N810" s="73" t="n"/>
      <c r="O810" s="107">
        <f>IF(B810="","",IF(M810&lt;&gt;"","Paid",IF(AND(I810&lt;&gt;"",I810&lt;AsOf),"OVERDUE",IF(OR(K810&lt;&gt;"",L810&lt;&gt;""),"Invoiced","Scheduled"))))</f>
        <v/>
      </c>
      <c r="P810" s="115">
        <f>IF(B810="","",IF(E810&lt;&gt;"",E810,IFERROR(INDEX('Contractors'!$D$6:$D$1005,MATCH(B810,'Contractors'!$B$6:$B$1005,0)),"")))</f>
        <v/>
      </c>
      <c r="Q810" s="79">
        <f>IF(B810="","",IF(D810&lt;&gt;"",D810,IFERROR(INDEX('Contractors'!$E$6:$E$1005,MATCH(B810,'Contractors'!$B$6:$B$1005,0)),"")))</f>
        <v/>
      </c>
      <c r="R810" s="79">
        <f>IF(O810="","",IF(O810="OVERDUE",2,IF(O810="Paid",0,IF(AND(I810&lt;&gt;"",I810&lt;=AsOf+AlertDays),1,0))))</f>
        <v/>
      </c>
      <c r="S810" s="79">
        <f>IF(AND(B810&lt;&gt;"",M810="",I810&lt;&gt;""),IF(L810&lt;&gt;"",L810,IF(H810="",0,H810)),0)</f>
        <v/>
      </c>
      <c r="T810" s="79">
        <f>IF(AND(B810&lt;&gt;"",M810="",I810&lt;&gt;""),1/I810,0)</f>
        <v/>
      </c>
      <c r="U810" s="112">
        <f>IF(AND(B810&lt;&gt;"",M810="",I810&lt;&gt;""),I810,"")</f>
        <v/>
      </c>
      <c r="V810" s="79">
        <f>IF(U810="","",IF(U810&lt;AsOf,1,IF(U810&lt;=AsOf+AlertDays,2,IF(U810&lt;=AsOf+2*AlertDays,3,""))))</f>
        <v/>
      </c>
      <c r="W810" s="79">
        <f>IF(V810="","",IF(O810="OVERDUE","Overdue payment: ","Payment due: ")&amp;B810&amp;" — "&amp;C810&amp;" ("&amp;CurSym&amp;" "&amp;FIXED(S810,0)&amp;")")</f>
        <v/>
      </c>
      <c r="Z810" s="116">
        <f>IF('Contractors'!B810="","",'Contractors'!B810)</f>
        <v/>
      </c>
      <c r="AA810" s="77">
        <f>IF(Z810="","",'Contractors'!K810)</f>
        <v/>
      </c>
      <c r="AB810" s="77">
        <f>IF(Z810="","",SUMIFS($L$6:$L$1005,$B$6:$B$1005,Z810))</f>
        <v/>
      </c>
      <c r="AC810" s="77">
        <f>IF(Z810="","",SUMIFS($N$6:$N$1005,$B$6:$B$1005,Z810))</f>
        <v/>
      </c>
      <c r="AD810" s="76">
        <f>IF(Z810="","",AA810-AC810)</f>
        <v/>
      </c>
      <c r="AE810" s="117">
        <f>IF(Z810="","",IFERROR(1/SUMPRODUCT(MAX(($B$6:$B$1005=Z810)*$T$6:$T$1005)),""))</f>
        <v/>
      </c>
      <c r="AF810" s="77">
        <f>IF(AE810="","",SUMIFS($S$6:$S$1005,$B$6:$B$1005,Z810,$I$6:$I$1005,AE810))</f>
        <v/>
      </c>
    </row>
    <row r="811" ht="20" customHeight="1">
      <c r="B811" s="72" t="n"/>
      <c r="C811" s="72" t="n"/>
      <c r="D811" s="72" t="n"/>
      <c r="E811" s="72" t="n"/>
      <c r="F811" s="110" t="n"/>
      <c r="G811" s="73" t="n"/>
      <c r="H811" s="75">
        <f>IF(B811="","",IF(G811&lt;&gt;"",G811,IF(F811&lt;&gt;"",F811*IFERROR(INDEX('Contractors'!$I$6:$I$1005,MATCH(B811,'Contractors'!$B$6:$B$1005,0)),0),"")))</f>
        <v/>
      </c>
      <c r="I811" s="109" t="n"/>
      <c r="J811" s="72" t="n"/>
      <c r="K811" s="109" t="n"/>
      <c r="L811" s="73" t="n"/>
      <c r="M811" s="109" t="n"/>
      <c r="N811" s="73" t="n"/>
      <c r="O811" s="107">
        <f>IF(B811="","",IF(M811&lt;&gt;"","Paid",IF(AND(I811&lt;&gt;"",I811&lt;AsOf),"OVERDUE",IF(OR(K811&lt;&gt;"",L811&lt;&gt;""),"Invoiced","Scheduled"))))</f>
        <v/>
      </c>
      <c r="P811" s="115">
        <f>IF(B811="","",IF(E811&lt;&gt;"",E811,IFERROR(INDEX('Contractors'!$D$6:$D$1005,MATCH(B811,'Contractors'!$B$6:$B$1005,0)),"")))</f>
        <v/>
      </c>
      <c r="Q811" s="79">
        <f>IF(B811="","",IF(D811&lt;&gt;"",D811,IFERROR(INDEX('Contractors'!$E$6:$E$1005,MATCH(B811,'Contractors'!$B$6:$B$1005,0)),"")))</f>
        <v/>
      </c>
      <c r="R811" s="79">
        <f>IF(O811="","",IF(O811="OVERDUE",2,IF(O811="Paid",0,IF(AND(I811&lt;&gt;"",I811&lt;=AsOf+AlertDays),1,0))))</f>
        <v/>
      </c>
      <c r="S811" s="79">
        <f>IF(AND(B811&lt;&gt;"",M811="",I811&lt;&gt;""),IF(L811&lt;&gt;"",L811,IF(H811="",0,H811)),0)</f>
        <v/>
      </c>
      <c r="T811" s="79">
        <f>IF(AND(B811&lt;&gt;"",M811="",I811&lt;&gt;""),1/I811,0)</f>
        <v/>
      </c>
      <c r="U811" s="112">
        <f>IF(AND(B811&lt;&gt;"",M811="",I811&lt;&gt;""),I811,"")</f>
        <v/>
      </c>
      <c r="V811" s="79">
        <f>IF(U811="","",IF(U811&lt;AsOf,1,IF(U811&lt;=AsOf+AlertDays,2,IF(U811&lt;=AsOf+2*AlertDays,3,""))))</f>
        <v/>
      </c>
      <c r="W811" s="79">
        <f>IF(V811="","",IF(O811="OVERDUE","Overdue payment: ","Payment due: ")&amp;B811&amp;" — "&amp;C811&amp;" ("&amp;CurSym&amp;" "&amp;FIXED(S811,0)&amp;")")</f>
        <v/>
      </c>
      <c r="Z811" s="116">
        <f>IF('Contractors'!B811="","",'Contractors'!B811)</f>
        <v/>
      </c>
      <c r="AA811" s="77">
        <f>IF(Z811="","",'Contractors'!K811)</f>
        <v/>
      </c>
      <c r="AB811" s="77">
        <f>IF(Z811="","",SUMIFS($L$6:$L$1005,$B$6:$B$1005,Z811))</f>
        <v/>
      </c>
      <c r="AC811" s="77">
        <f>IF(Z811="","",SUMIFS($N$6:$N$1005,$B$6:$B$1005,Z811))</f>
        <v/>
      </c>
      <c r="AD811" s="76">
        <f>IF(Z811="","",AA811-AC811)</f>
        <v/>
      </c>
      <c r="AE811" s="117">
        <f>IF(Z811="","",IFERROR(1/SUMPRODUCT(MAX(($B$6:$B$1005=Z811)*$T$6:$T$1005)),""))</f>
        <v/>
      </c>
      <c r="AF811" s="77">
        <f>IF(AE811="","",SUMIFS($S$6:$S$1005,$B$6:$B$1005,Z811,$I$6:$I$1005,AE811))</f>
        <v/>
      </c>
    </row>
    <row r="812" ht="20" customHeight="1">
      <c r="B812" s="72" t="n"/>
      <c r="C812" s="72" t="n"/>
      <c r="D812" s="72" t="n"/>
      <c r="E812" s="72" t="n"/>
      <c r="F812" s="110" t="n"/>
      <c r="G812" s="73" t="n"/>
      <c r="H812" s="75">
        <f>IF(B812="","",IF(G812&lt;&gt;"",G812,IF(F812&lt;&gt;"",F812*IFERROR(INDEX('Contractors'!$I$6:$I$1005,MATCH(B812,'Contractors'!$B$6:$B$1005,0)),0),"")))</f>
        <v/>
      </c>
      <c r="I812" s="109" t="n"/>
      <c r="J812" s="72" t="n"/>
      <c r="K812" s="109" t="n"/>
      <c r="L812" s="73" t="n"/>
      <c r="M812" s="109" t="n"/>
      <c r="N812" s="73" t="n"/>
      <c r="O812" s="107">
        <f>IF(B812="","",IF(M812&lt;&gt;"","Paid",IF(AND(I812&lt;&gt;"",I812&lt;AsOf),"OVERDUE",IF(OR(K812&lt;&gt;"",L812&lt;&gt;""),"Invoiced","Scheduled"))))</f>
        <v/>
      </c>
      <c r="P812" s="115">
        <f>IF(B812="","",IF(E812&lt;&gt;"",E812,IFERROR(INDEX('Contractors'!$D$6:$D$1005,MATCH(B812,'Contractors'!$B$6:$B$1005,0)),"")))</f>
        <v/>
      </c>
      <c r="Q812" s="79">
        <f>IF(B812="","",IF(D812&lt;&gt;"",D812,IFERROR(INDEX('Contractors'!$E$6:$E$1005,MATCH(B812,'Contractors'!$B$6:$B$1005,0)),"")))</f>
        <v/>
      </c>
      <c r="R812" s="79">
        <f>IF(O812="","",IF(O812="OVERDUE",2,IF(O812="Paid",0,IF(AND(I812&lt;&gt;"",I812&lt;=AsOf+AlertDays),1,0))))</f>
        <v/>
      </c>
      <c r="S812" s="79">
        <f>IF(AND(B812&lt;&gt;"",M812="",I812&lt;&gt;""),IF(L812&lt;&gt;"",L812,IF(H812="",0,H812)),0)</f>
        <v/>
      </c>
      <c r="T812" s="79">
        <f>IF(AND(B812&lt;&gt;"",M812="",I812&lt;&gt;""),1/I812,0)</f>
        <v/>
      </c>
      <c r="U812" s="112">
        <f>IF(AND(B812&lt;&gt;"",M812="",I812&lt;&gt;""),I812,"")</f>
        <v/>
      </c>
      <c r="V812" s="79">
        <f>IF(U812="","",IF(U812&lt;AsOf,1,IF(U812&lt;=AsOf+AlertDays,2,IF(U812&lt;=AsOf+2*AlertDays,3,""))))</f>
        <v/>
      </c>
      <c r="W812" s="79">
        <f>IF(V812="","",IF(O812="OVERDUE","Overdue payment: ","Payment due: ")&amp;B812&amp;" — "&amp;C812&amp;" ("&amp;CurSym&amp;" "&amp;FIXED(S812,0)&amp;")")</f>
        <v/>
      </c>
      <c r="Z812" s="116">
        <f>IF('Contractors'!B812="","",'Contractors'!B812)</f>
        <v/>
      </c>
      <c r="AA812" s="77">
        <f>IF(Z812="","",'Contractors'!K812)</f>
        <v/>
      </c>
      <c r="AB812" s="77">
        <f>IF(Z812="","",SUMIFS($L$6:$L$1005,$B$6:$B$1005,Z812))</f>
        <v/>
      </c>
      <c r="AC812" s="77">
        <f>IF(Z812="","",SUMIFS($N$6:$N$1005,$B$6:$B$1005,Z812))</f>
        <v/>
      </c>
      <c r="AD812" s="76">
        <f>IF(Z812="","",AA812-AC812)</f>
        <v/>
      </c>
      <c r="AE812" s="117">
        <f>IF(Z812="","",IFERROR(1/SUMPRODUCT(MAX(($B$6:$B$1005=Z812)*$T$6:$T$1005)),""))</f>
        <v/>
      </c>
      <c r="AF812" s="77">
        <f>IF(AE812="","",SUMIFS($S$6:$S$1005,$B$6:$B$1005,Z812,$I$6:$I$1005,AE812))</f>
        <v/>
      </c>
    </row>
    <row r="813" ht="20" customHeight="1">
      <c r="B813" s="72" t="n"/>
      <c r="C813" s="72" t="n"/>
      <c r="D813" s="72" t="n"/>
      <c r="E813" s="72" t="n"/>
      <c r="F813" s="110" t="n"/>
      <c r="G813" s="73" t="n"/>
      <c r="H813" s="75">
        <f>IF(B813="","",IF(G813&lt;&gt;"",G813,IF(F813&lt;&gt;"",F813*IFERROR(INDEX('Contractors'!$I$6:$I$1005,MATCH(B813,'Contractors'!$B$6:$B$1005,0)),0),"")))</f>
        <v/>
      </c>
      <c r="I813" s="109" t="n"/>
      <c r="J813" s="72" t="n"/>
      <c r="K813" s="109" t="n"/>
      <c r="L813" s="73" t="n"/>
      <c r="M813" s="109" t="n"/>
      <c r="N813" s="73" t="n"/>
      <c r="O813" s="107">
        <f>IF(B813="","",IF(M813&lt;&gt;"","Paid",IF(AND(I813&lt;&gt;"",I813&lt;AsOf),"OVERDUE",IF(OR(K813&lt;&gt;"",L813&lt;&gt;""),"Invoiced","Scheduled"))))</f>
        <v/>
      </c>
      <c r="P813" s="115">
        <f>IF(B813="","",IF(E813&lt;&gt;"",E813,IFERROR(INDEX('Contractors'!$D$6:$D$1005,MATCH(B813,'Contractors'!$B$6:$B$1005,0)),"")))</f>
        <v/>
      </c>
      <c r="Q813" s="79">
        <f>IF(B813="","",IF(D813&lt;&gt;"",D813,IFERROR(INDEX('Contractors'!$E$6:$E$1005,MATCH(B813,'Contractors'!$B$6:$B$1005,0)),"")))</f>
        <v/>
      </c>
      <c r="R813" s="79">
        <f>IF(O813="","",IF(O813="OVERDUE",2,IF(O813="Paid",0,IF(AND(I813&lt;&gt;"",I813&lt;=AsOf+AlertDays),1,0))))</f>
        <v/>
      </c>
      <c r="S813" s="79">
        <f>IF(AND(B813&lt;&gt;"",M813="",I813&lt;&gt;""),IF(L813&lt;&gt;"",L813,IF(H813="",0,H813)),0)</f>
        <v/>
      </c>
      <c r="T813" s="79">
        <f>IF(AND(B813&lt;&gt;"",M813="",I813&lt;&gt;""),1/I813,0)</f>
        <v/>
      </c>
      <c r="U813" s="112">
        <f>IF(AND(B813&lt;&gt;"",M813="",I813&lt;&gt;""),I813,"")</f>
        <v/>
      </c>
      <c r="V813" s="79">
        <f>IF(U813="","",IF(U813&lt;AsOf,1,IF(U813&lt;=AsOf+AlertDays,2,IF(U813&lt;=AsOf+2*AlertDays,3,""))))</f>
        <v/>
      </c>
      <c r="W813" s="79">
        <f>IF(V813="","",IF(O813="OVERDUE","Overdue payment: ","Payment due: ")&amp;B813&amp;" — "&amp;C813&amp;" ("&amp;CurSym&amp;" "&amp;FIXED(S813,0)&amp;")")</f>
        <v/>
      </c>
      <c r="Z813" s="116">
        <f>IF('Contractors'!B813="","",'Contractors'!B813)</f>
        <v/>
      </c>
      <c r="AA813" s="77">
        <f>IF(Z813="","",'Contractors'!K813)</f>
        <v/>
      </c>
      <c r="AB813" s="77">
        <f>IF(Z813="","",SUMIFS($L$6:$L$1005,$B$6:$B$1005,Z813))</f>
        <v/>
      </c>
      <c r="AC813" s="77">
        <f>IF(Z813="","",SUMIFS($N$6:$N$1005,$B$6:$B$1005,Z813))</f>
        <v/>
      </c>
      <c r="AD813" s="76">
        <f>IF(Z813="","",AA813-AC813)</f>
        <v/>
      </c>
      <c r="AE813" s="117">
        <f>IF(Z813="","",IFERROR(1/SUMPRODUCT(MAX(($B$6:$B$1005=Z813)*$T$6:$T$1005)),""))</f>
        <v/>
      </c>
      <c r="AF813" s="77">
        <f>IF(AE813="","",SUMIFS($S$6:$S$1005,$B$6:$B$1005,Z813,$I$6:$I$1005,AE813))</f>
        <v/>
      </c>
    </row>
    <row r="814" ht="20" customHeight="1">
      <c r="B814" s="72" t="n"/>
      <c r="C814" s="72" t="n"/>
      <c r="D814" s="72" t="n"/>
      <c r="E814" s="72" t="n"/>
      <c r="F814" s="110" t="n"/>
      <c r="G814" s="73" t="n"/>
      <c r="H814" s="75">
        <f>IF(B814="","",IF(G814&lt;&gt;"",G814,IF(F814&lt;&gt;"",F814*IFERROR(INDEX('Contractors'!$I$6:$I$1005,MATCH(B814,'Contractors'!$B$6:$B$1005,0)),0),"")))</f>
        <v/>
      </c>
      <c r="I814" s="109" t="n"/>
      <c r="J814" s="72" t="n"/>
      <c r="K814" s="109" t="n"/>
      <c r="L814" s="73" t="n"/>
      <c r="M814" s="109" t="n"/>
      <c r="N814" s="73" t="n"/>
      <c r="O814" s="107">
        <f>IF(B814="","",IF(M814&lt;&gt;"","Paid",IF(AND(I814&lt;&gt;"",I814&lt;AsOf),"OVERDUE",IF(OR(K814&lt;&gt;"",L814&lt;&gt;""),"Invoiced","Scheduled"))))</f>
        <v/>
      </c>
      <c r="P814" s="115">
        <f>IF(B814="","",IF(E814&lt;&gt;"",E814,IFERROR(INDEX('Contractors'!$D$6:$D$1005,MATCH(B814,'Contractors'!$B$6:$B$1005,0)),"")))</f>
        <v/>
      </c>
      <c r="Q814" s="79">
        <f>IF(B814="","",IF(D814&lt;&gt;"",D814,IFERROR(INDEX('Contractors'!$E$6:$E$1005,MATCH(B814,'Contractors'!$B$6:$B$1005,0)),"")))</f>
        <v/>
      </c>
      <c r="R814" s="79">
        <f>IF(O814="","",IF(O814="OVERDUE",2,IF(O814="Paid",0,IF(AND(I814&lt;&gt;"",I814&lt;=AsOf+AlertDays),1,0))))</f>
        <v/>
      </c>
      <c r="S814" s="79">
        <f>IF(AND(B814&lt;&gt;"",M814="",I814&lt;&gt;""),IF(L814&lt;&gt;"",L814,IF(H814="",0,H814)),0)</f>
        <v/>
      </c>
      <c r="T814" s="79">
        <f>IF(AND(B814&lt;&gt;"",M814="",I814&lt;&gt;""),1/I814,0)</f>
        <v/>
      </c>
      <c r="U814" s="112">
        <f>IF(AND(B814&lt;&gt;"",M814="",I814&lt;&gt;""),I814,"")</f>
        <v/>
      </c>
      <c r="V814" s="79">
        <f>IF(U814="","",IF(U814&lt;AsOf,1,IF(U814&lt;=AsOf+AlertDays,2,IF(U814&lt;=AsOf+2*AlertDays,3,""))))</f>
        <v/>
      </c>
      <c r="W814" s="79">
        <f>IF(V814="","",IF(O814="OVERDUE","Overdue payment: ","Payment due: ")&amp;B814&amp;" — "&amp;C814&amp;" ("&amp;CurSym&amp;" "&amp;FIXED(S814,0)&amp;")")</f>
        <v/>
      </c>
      <c r="Z814" s="116">
        <f>IF('Contractors'!B814="","",'Contractors'!B814)</f>
        <v/>
      </c>
      <c r="AA814" s="77">
        <f>IF(Z814="","",'Contractors'!K814)</f>
        <v/>
      </c>
      <c r="AB814" s="77">
        <f>IF(Z814="","",SUMIFS($L$6:$L$1005,$B$6:$B$1005,Z814))</f>
        <v/>
      </c>
      <c r="AC814" s="77">
        <f>IF(Z814="","",SUMIFS($N$6:$N$1005,$B$6:$B$1005,Z814))</f>
        <v/>
      </c>
      <c r="AD814" s="76">
        <f>IF(Z814="","",AA814-AC814)</f>
        <v/>
      </c>
      <c r="AE814" s="117">
        <f>IF(Z814="","",IFERROR(1/SUMPRODUCT(MAX(($B$6:$B$1005=Z814)*$T$6:$T$1005)),""))</f>
        <v/>
      </c>
      <c r="AF814" s="77">
        <f>IF(AE814="","",SUMIFS($S$6:$S$1005,$B$6:$B$1005,Z814,$I$6:$I$1005,AE814))</f>
        <v/>
      </c>
    </row>
    <row r="815" ht="20" customHeight="1">
      <c r="B815" s="72" t="n"/>
      <c r="C815" s="72" t="n"/>
      <c r="D815" s="72" t="n"/>
      <c r="E815" s="72" t="n"/>
      <c r="F815" s="110" t="n"/>
      <c r="G815" s="73" t="n"/>
      <c r="H815" s="75">
        <f>IF(B815="","",IF(G815&lt;&gt;"",G815,IF(F815&lt;&gt;"",F815*IFERROR(INDEX('Contractors'!$I$6:$I$1005,MATCH(B815,'Contractors'!$B$6:$B$1005,0)),0),"")))</f>
        <v/>
      </c>
      <c r="I815" s="109" t="n"/>
      <c r="J815" s="72" t="n"/>
      <c r="K815" s="109" t="n"/>
      <c r="L815" s="73" t="n"/>
      <c r="M815" s="109" t="n"/>
      <c r="N815" s="73" t="n"/>
      <c r="O815" s="107">
        <f>IF(B815="","",IF(M815&lt;&gt;"","Paid",IF(AND(I815&lt;&gt;"",I815&lt;AsOf),"OVERDUE",IF(OR(K815&lt;&gt;"",L815&lt;&gt;""),"Invoiced","Scheduled"))))</f>
        <v/>
      </c>
      <c r="P815" s="115">
        <f>IF(B815="","",IF(E815&lt;&gt;"",E815,IFERROR(INDEX('Contractors'!$D$6:$D$1005,MATCH(B815,'Contractors'!$B$6:$B$1005,0)),"")))</f>
        <v/>
      </c>
      <c r="Q815" s="79">
        <f>IF(B815="","",IF(D815&lt;&gt;"",D815,IFERROR(INDEX('Contractors'!$E$6:$E$1005,MATCH(B815,'Contractors'!$B$6:$B$1005,0)),"")))</f>
        <v/>
      </c>
      <c r="R815" s="79">
        <f>IF(O815="","",IF(O815="OVERDUE",2,IF(O815="Paid",0,IF(AND(I815&lt;&gt;"",I815&lt;=AsOf+AlertDays),1,0))))</f>
        <v/>
      </c>
      <c r="S815" s="79">
        <f>IF(AND(B815&lt;&gt;"",M815="",I815&lt;&gt;""),IF(L815&lt;&gt;"",L815,IF(H815="",0,H815)),0)</f>
        <v/>
      </c>
      <c r="T815" s="79">
        <f>IF(AND(B815&lt;&gt;"",M815="",I815&lt;&gt;""),1/I815,0)</f>
        <v/>
      </c>
      <c r="U815" s="112">
        <f>IF(AND(B815&lt;&gt;"",M815="",I815&lt;&gt;""),I815,"")</f>
        <v/>
      </c>
      <c r="V815" s="79">
        <f>IF(U815="","",IF(U815&lt;AsOf,1,IF(U815&lt;=AsOf+AlertDays,2,IF(U815&lt;=AsOf+2*AlertDays,3,""))))</f>
        <v/>
      </c>
      <c r="W815" s="79">
        <f>IF(V815="","",IF(O815="OVERDUE","Overdue payment: ","Payment due: ")&amp;B815&amp;" — "&amp;C815&amp;" ("&amp;CurSym&amp;" "&amp;FIXED(S815,0)&amp;")")</f>
        <v/>
      </c>
      <c r="Z815" s="116">
        <f>IF('Contractors'!B815="","",'Contractors'!B815)</f>
        <v/>
      </c>
      <c r="AA815" s="77">
        <f>IF(Z815="","",'Contractors'!K815)</f>
        <v/>
      </c>
      <c r="AB815" s="77">
        <f>IF(Z815="","",SUMIFS($L$6:$L$1005,$B$6:$B$1005,Z815))</f>
        <v/>
      </c>
      <c r="AC815" s="77">
        <f>IF(Z815="","",SUMIFS($N$6:$N$1005,$B$6:$B$1005,Z815))</f>
        <v/>
      </c>
      <c r="AD815" s="76">
        <f>IF(Z815="","",AA815-AC815)</f>
        <v/>
      </c>
      <c r="AE815" s="117">
        <f>IF(Z815="","",IFERROR(1/SUMPRODUCT(MAX(($B$6:$B$1005=Z815)*$T$6:$T$1005)),""))</f>
        <v/>
      </c>
      <c r="AF815" s="77">
        <f>IF(AE815="","",SUMIFS($S$6:$S$1005,$B$6:$B$1005,Z815,$I$6:$I$1005,AE815))</f>
        <v/>
      </c>
    </row>
    <row r="816" ht="20" customHeight="1">
      <c r="B816" s="72" t="n"/>
      <c r="C816" s="72" t="n"/>
      <c r="D816" s="72" t="n"/>
      <c r="E816" s="72" t="n"/>
      <c r="F816" s="110" t="n"/>
      <c r="G816" s="73" t="n"/>
      <c r="H816" s="75">
        <f>IF(B816="","",IF(G816&lt;&gt;"",G816,IF(F816&lt;&gt;"",F816*IFERROR(INDEX('Contractors'!$I$6:$I$1005,MATCH(B816,'Contractors'!$B$6:$B$1005,0)),0),"")))</f>
        <v/>
      </c>
      <c r="I816" s="109" t="n"/>
      <c r="J816" s="72" t="n"/>
      <c r="K816" s="109" t="n"/>
      <c r="L816" s="73" t="n"/>
      <c r="M816" s="109" t="n"/>
      <c r="N816" s="73" t="n"/>
      <c r="O816" s="107">
        <f>IF(B816="","",IF(M816&lt;&gt;"","Paid",IF(AND(I816&lt;&gt;"",I816&lt;AsOf),"OVERDUE",IF(OR(K816&lt;&gt;"",L816&lt;&gt;""),"Invoiced","Scheduled"))))</f>
        <v/>
      </c>
      <c r="P816" s="115">
        <f>IF(B816="","",IF(E816&lt;&gt;"",E816,IFERROR(INDEX('Contractors'!$D$6:$D$1005,MATCH(B816,'Contractors'!$B$6:$B$1005,0)),"")))</f>
        <v/>
      </c>
      <c r="Q816" s="79">
        <f>IF(B816="","",IF(D816&lt;&gt;"",D816,IFERROR(INDEX('Contractors'!$E$6:$E$1005,MATCH(B816,'Contractors'!$B$6:$B$1005,0)),"")))</f>
        <v/>
      </c>
      <c r="R816" s="79">
        <f>IF(O816="","",IF(O816="OVERDUE",2,IF(O816="Paid",0,IF(AND(I816&lt;&gt;"",I816&lt;=AsOf+AlertDays),1,0))))</f>
        <v/>
      </c>
      <c r="S816" s="79">
        <f>IF(AND(B816&lt;&gt;"",M816="",I816&lt;&gt;""),IF(L816&lt;&gt;"",L816,IF(H816="",0,H816)),0)</f>
        <v/>
      </c>
      <c r="T816" s="79">
        <f>IF(AND(B816&lt;&gt;"",M816="",I816&lt;&gt;""),1/I816,0)</f>
        <v/>
      </c>
      <c r="U816" s="112">
        <f>IF(AND(B816&lt;&gt;"",M816="",I816&lt;&gt;""),I816,"")</f>
        <v/>
      </c>
      <c r="V816" s="79">
        <f>IF(U816="","",IF(U816&lt;AsOf,1,IF(U816&lt;=AsOf+AlertDays,2,IF(U816&lt;=AsOf+2*AlertDays,3,""))))</f>
        <v/>
      </c>
      <c r="W816" s="79">
        <f>IF(V816="","",IF(O816="OVERDUE","Overdue payment: ","Payment due: ")&amp;B816&amp;" — "&amp;C816&amp;" ("&amp;CurSym&amp;" "&amp;FIXED(S816,0)&amp;")")</f>
        <v/>
      </c>
      <c r="Z816" s="116">
        <f>IF('Contractors'!B816="","",'Contractors'!B816)</f>
        <v/>
      </c>
      <c r="AA816" s="77">
        <f>IF(Z816="","",'Contractors'!K816)</f>
        <v/>
      </c>
      <c r="AB816" s="77">
        <f>IF(Z816="","",SUMIFS($L$6:$L$1005,$B$6:$B$1005,Z816))</f>
        <v/>
      </c>
      <c r="AC816" s="77">
        <f>IF(Z816="","",SUMIFS($N$6:$N$1005,$B$6:$B$1005,Z816))</f>
        <v/>
      </c>
      <c r="AD816" s="76">
        <f>IF(Z816="","",AA816-AC816)</f>
        <v/>
      </c>
      <c r="AE816" s="117">
        <f>IF(Z816="","",IFERROR(1/SUMPRODUCT(MAX(($B$6:$B$1005=Z816)*$T$6:$T$1005)),""))</f>
        <v/>
      </c>
      <c r="AF816" s="77">
        <f>IF(AE816="","",SUMIFS($S$6:$S$1005,$B$6:$B$1005,Z816,$I$6:$I$1005,AE816))</f>
        <v/>
      </c>
    </row>
    <row r="817" ht="20" customHeight="1">
      <c r="B817" s="72" t="n"/>
      <c r="C817" s="72" t="n"/>
      <c r="D817" s="72" t="n"/>
      <c r="E817" s="72" t="n"/>
      <c r="F817" s="110" t="n"/>
      <c r="G817" s="73" t="n"/>
      <c r="H817" s="75">
        <f>IF(B817="","",IF(G817&lt;&gt;"",G817,IF(F817&lt;&gt;"",F817*IFERROR(INDEX('Contractors'!$I$6:$I$1005,MATCH(B817,'Contractors'!$B$6:$B$1005,0)),0),"")))</f>
        <v/>
      </c>
      <c r="I817" s="109" t="n"/>
      <c r="J817" s="72" t="n"/>
      <c r="K817" s="109" t="n"/>
      <c r="L817" s="73" t="n"/>
      <c r="M817" s="109" t="n"/>
      <c r="N817" s="73" t="n"/>
      <c r="O817" s="107">
        <f>IF(B817="","",IF(M817&lt;&gt;"","Paid",IF(AND(I817&lt;&gt;"",I817&lt;AsOf),"OVERDUE",IF(OR(K817&lt;&gt;"",L817&lt;&gt;""),"Invoiced","Scheduled"))))</f>
        <v/>
      </c>
      <c r="P817" s="115">
        <f>IF(B817="","",IF(E817&lt;&gt;"",E817,IFERROR(INDEX('Contractors'!$D$6:$D$1005,MATCH(B817,'Contractors'!$B$6:$B$1005,0)),"")))</f>
        <v/>
      </c>
      <c r="Q817" s="79">
        <f>IF(B817="","",IF(D817&lt;&gt;"",D817,IFERROR(INDEX('Contractors'!$E$6:$E$1005,MATCH(B817,'Contractors'!$B$6:$B$1005,0)),"")))</f>
        <v/>
      </c>
      <c r="R817" s="79">
        <f>IF(O817="","",IF(O817="OVERDUE",2,IF(O817="Paid",0,IF(AND(I817&lt;&gt;"",I817&lt;=AsOf+AlertDays),1,0))))</f>
        <v/>
      </c>
      <c r="S817" s="79">
        <f>IF(AND(B817&lt;&gt;"",M817="",I817&lt;&gt;""),IF(L817&lt;&gt;"",L817,IF(H817="",0,H817)),0)</f>
        <v/>
      </c>
      <c r="T817" s="79">
        <f>IF(AND(B817&lt;&gt;"",M817="",I817&lt;&gt;""),1/I817,0)</f>
        <v/>
      </c>
      <c r="U817" s="112">
        <f>IF(AND(B817&lt;&gt;"",M817="",I817&lt;&gt;""),I817,"")</f>
        <v/>
      </c>
      <c r="V817" s="79">
        <f>IF(U817="","",IF(U817&lt;AsOf,1,IF(U817&lt;=AsOf+AlertDays,2,IF(U817&lt;=AsOf+2*AlertDays,3,""))))</f>
        <v/>
      </c>
      <c r="W817" s="79">
        <f>IF(V817="","",IF(O817="OVERDUE","Overdue payment: ","Payment due: ")&amp;B817&amp;" — "&amp;C817&amp;" ("&amp;CurSym&amp;" "&amp;FIXED(S817,0)&amp;")")</f>
        <v/>
      </c>
      <c r="Z817" s="116">
        <f>IF('Contractors'!B817="","",'Contractors'!B817)</f>
        <v/>
      </c>
      <c r="AA817" s="77">
        <f>IF(Z817="","",'Contractors'!K817)</f>
        <v/>
      </c>
      <c r="AB817" s="77">
        <f>IF(Z817="","",SUMIFS($L$6:$L$1005,$B$6:$B$1005,Z817))</f>
        <v/>
      </c>
      <c r="AC817" s="77">
        <f>IF(Z817="","",SUMIFS($N$6:$N$1005,$B$6:$B$1005,Z817))</f>
        <v/>
      </c>
      <c r="AD817" s="76">
        <f>IF(Z817="","",AA817-AC817)</f>
        <v/>
      </c>
      <c r="AE817" s="117">
        <f>IF(Z817="","",IFERROR(1/SUMPRODUCT(MAX(($B$6:$B$1005=Z817)*$T$6:$T$1005)),""))</f>
        <v/>
      </c>
      <c r="AF817" s="77">
        <f>IF(AE817="","",SUMIFS($S$6:$S$1005,$B$6:$B$1005,Z817,$I$6:$I$1005,AE817))</f>
        <v/>
      </c>
    </row>
    <row r="818" ht="20" customHeight="1">
      <c r="B818" s="72" t="n"/>
      <c r="C818" s="72" t="n"/>
      <c r="D818" s="72" t="n"/>
      <c r="E818" s="72" t="n"/>
      <c r="F818" s="110" t="n"/>
      <c r="G818" s="73" t="n"/>
      <c r="H818" s="75">
        <f>IF(B818="","",IF(G818&lt;&gt;"",G818,IF(F818&lt;&gt;"",F818*IFERROR(INDEX('Contractors'!$I$6:$I$1005,MATCH(B818,'Contractors'!$B$6:$B$1005,0)),0),"")))</f>
        <v/>
      </c>
      <c r="I818" s="109" t="n"/>
      <c r="J818" s="72" t="n"/>
      <c r="K818" s="109" t="n"/>
      <c r="L818" s="73" t="n"/>
      <c r="M818" s="109" t="n"/>
      <c r="N818" s="73" t="n"/>
      <c r="O818" s="107">
        <f>IF(B818="","",IF(M818&lt;&gt;"","Paid",IF(AND(I818&lt;&gt;"",I818&lt;AsOf),"OVERDUE",IF(OR(K818&lt;&gt;"",L818&lt;&gt;""),"Invoiced","Scheduled"))))</f>
        <v/>
      </c>
      <c r="P818" s="115">
        <f>IF(B818="","",IF(E818&lt;&gt;"",E818,IFERROR(INDEX('Contractors'!$D$6:$D$1005,MATCH(B818,'Contractors'!$B$6:$B$1005,0)),"")))</f>
        <v/>
      </c>
      <c r="Q818" s="79">
        <f>IF(B818="","",IF(D818&lt;&gt;"",D818,IFERROR(INDEX('Contractors'!$E$6:$E$1005,MATCH(B818,'Contractors'!$B$6:$B$1005,0)),"")))</f>
        <v/>
      </c>
      <c r="R818" s="79">
        <f>IF(O818="","",IF(O818="OVERDUE",2,IF(O818="Paid",0,IF(AND(I818&lt;&gt;"",I818&lt;=AsOf+AlertDays),1,0))))</f>
        <v/>
      </c>
      <c r="S818" s="79">
        <f>IF(AND(B818&lt;&gt;"",M818="",I818&lt;&gt;""),IF(L818&lt;&gt;"",L818,IF(H818="",0,H818)),0)</f>
        <v/>
      </c>
      <c r="T818" s="79">
        <f>IF(AND(B818&lt;&gt;"",M818="",I818&lt;&gt;""),1/I818,0)</f>
        <v/>
      </c>
      <c r="U818" s="112">
        <f>IF(AND(B818&lt;&gt;"",M818="",I818&lt;&gt;""),I818,"")</f>
        <v/>
      </c>
      <c r="V818" s="79">
        <f>IF(U818="","",IF(U818&lt;AsOf,1,IF(U818&lt;=AsOf+AlertDays,2,IF(U818&lt;=AsOf+2*AlertDays,3,""))))</f>
        <v/>
      </c>
      <c r="W818" s="79">
        <f>IF(V818="","",IF(O818="OVERDUE","Overdue payment: ","Payment due: ")&amp;B818&amp;" — "&amp;C818&amp;" ("&amp;CurSym&amp;" "&amp;FIXED(S818,0)&amp;")")</f>
        <v/>
      </c>
      <c r="Z818" s="116">
        <f>IF('Contractors'!B818="","",'Contractors'!B818)</f>
        <v/>
      </c>
      <c r="AA818" s="77">
        <f>IF(Z818="","",'Contractors'!K818)</f>
        <v/>
      </c>
      <c r="AB818" s="77">
        <f>IF(Z818="","",SUMIFS($L$6:$L$1005,$B$6:$B$1005,Z818))</f>
        <v/>
      </c>
      <c r="AC818" s="77">
        <f>IF(Z818="","",SUMIFS($N$6:$N$1005,$B$6:$B$1005,Z818))</f>
        <v/>
      </c>
      <c r="AD818" s="76">
        <f>IF(Z818="","",AA818-AC818)</f>
        <v/>
      </c>
      <c r="AE818" s="117">
        <f>IF(Z818="","",IFERROR(1/SUMPRODUCT(MAX(($B$6:$B$1005=Z818)*$T$6:$T$1005)),""))</f>
        <v/>
      </c>
      <c r="AF818" s="77">
        <f>IF(AE818="","",SUMIFS($S$6:$S$1005,$B$6:$B$1005,Z818,$I$6:$I$1005,AE818))</f>
        <v/>
      </c>
    </row>
    <row r="819" ht="20" customHeight="1">
      <c r="B819" s="72" t="n"/>
      <c r="C819" s="72" t="n"/>
      <c r="D819" s="72" t="n"/>
      <c r="E819" s="72" t="n"/>
      <c r="F819" s="110" t="n"/>
      <c r="G819" s="73" t="n"/>
      <c r="H819" s="75">
        <f>IF(B819="","",IF(G819&lt;&gt;"",G819,IF(F819&lt;&gt;"",F819*IFERROR(INDEX('Contractors'!$I$6:$I$1005,MATCH(B819,'Contractors'!$B$6:$B$1005,0)),0),"")))</f>
        <v/>
      </c>
      <c r="I819" s="109" t="n"/>
      <c r="J819" s="72" t="n"/>
      <c r="K819" s="109" t="n"/>
      <c r="L819" s="73" t="n"/>
      <c r="M819" s="109" t="n"/>
      <c r="N819" s="73" t="n"/>
      <c r="O819" s="107">
        <f>IF(B819="","",IF(M819&lt;&gt;"","Paid",IF(AND(I819&lt;&gt;"",I819&lt;AsOf),"OVERDUE",IF(OR(K819&lt;&gt;"",L819&lt;&gt;""),"Invoiced","Scheduled"))))</f>
        <v/>
      </c>
      <c r="P819" s="115">
        <f>IF(B819="","",IF(E819&lt;&gt;"",E819,IFERROR(INDEX('Contractors'!$D$6:$D$1005,MATCH(B819,'Contractors'!$B$6:$B$1005,0)),"")))</f>
        <v/>
      </c>
      <c r="Q819" s="79">
        <f>IF(B819="","",IF(D819&lt;&gt;"",D819,IFERROR(INDEX('Contractors'!$E$6:$E$1005,MATCH(B819,'Contractors'!$B$6:$B$1005,0)),"")))</f>
        <v/>
      </c>
      <c r="R819" s="79">
        <f>IF(O819="","",IF(O819="OVERDUE",2,IF(O819="Paid",0,IF(AND(I819&lt;&gt;"",I819&lt;=AsOf+AlertDays),1,0))))</f>
        <v/>
      </c>
      <c r="S819" s="79">
        <f>IF(AND(B819&lt;&gt;"",M819="",I819&lt;&gt;""),IF(L819&lt;&gt;"",L819,IF(H819="",0,H819)),0)</f>
        <v/>
      </c>
      <c r="T819" s="79">
        <f>IF(AND(B819&lt;&gt;"",M819="",I819&lt;&gt;""),1/I819,0)</f>
        <v/>
      </c>
      <c r="U819" s="112">
        <f>IF(AND(B819&lt;&gt;"",M819="",I819&lt;&gt;""),I819,"")</f>
        <v/>
      </c>
      <c r="V819" s="79">
        <f>IF(U819="","",IF(U819&lt;AsOf,1,IF(U819&lt;=AsOf+AlertDays,2,IF(U819&lt;=AsOf+2*AlertDays,3,""))))</f>
        <v/>
      </c>
      <c r="W819" s="79">
        <f>IF(V819="","",IF(O819="OVERDUE","Overdue payment: ","Payment due: ")&amp;B819&amp;" — "&amp;C819&amp;" ("&amp;CurSym&amp;" "&amp;FIXED(S819,0)&amp;")")</f>
        <v/>
      </c>
      <c r="Z819" s="116">
        <f>IF('Contractors'!B819="","",'Contractors'!B819)</f>
        <v/>
      </c>
      <c r="AA819" s="77">
        <f>IF(Z819="","",'Contractors'!K819)</f>
        <v/>
      </c>
      <c r="AB819" s="77">
        <f>IF(Z819="","",SUMIFS($L$6:$L$1005,$B$6:$B$1005,Z819))</f>
        <v/>
      </c>
      <c r="AC819" s="77">
        <f>IF(Z819="","",SUMIFS($N$6:$N$1005,$B$6:$B$1005,Z819))</f>
        <v/>
      </c>
      <c r="AD819" s="76">
        <f>IF(Z819="","",AA819-AC819)</f>
        <v/>
      </c>
      <c r="AE819" s="117">
        <f>IF(Z819="","",IFERROR(1/SUMPRODUCT(MAX(($B$6:$B$1005=Z819)*$T$6:$T$1005)),""))</f>
        <v/>
      </c>
      <c r="AF819" s="77">
        <f>IF(AE819="","",SUMIFS($S$6:$S$1005,$B$6:$B$1005,Z819,$I$6:$I$1005,AE819))</f>
        <v/>
      </c>
    </row>
    <row r="820" ht="20" customHeight="1">
      <c r="B820" s="72" t="n"/>
      <c r="C820" s="72" t="n"/>
      <c r="D820" s="72" t="n"/>
      <c r="E820" s="72" t="n"/>
      <c r="F820" s="110" t="n"/>
      <c r="G820" s="73" t="n"/>
      <c r="H820" s="75">
        <f>IF(B820="","",IF(G820&lt;&gt;"",G820,IF(F820&lt;&gt;"",F820*IFERROR(INDEX('Contractors'!$I$6:$I$1005,MATCH(B820,'Contractors'!$B$6:$B$1005,0)),0),"")))</f>
        <v/>
      </c>
      <c r="I820" s="109" t="n"/>
      <c r="J820" s="72" t="n"/>
      <c r="K820" s="109" t="n"/>
      <c r="L820" s="73" t="n"/>
      <c r="M820" s="109" t="n"/>
      <c r="N820" s="73" t="n"/>
      <c r="O820" s="107">
        <f>IF(B820="","",IF(M820&lt;&gt;"","Paid",IF(AND(I820&lt;&gt;"",I820&lt;AsOf),"OVERDUE",IF(OR(K820&lt;&gt;"",L820&lt;&gt;""),"Invoiced","Scheduled"))))</f>
        <v/>
      </c>
      <c r="P820" s="115">
        <f>IF(B820="","",IF(E820&lt;&gt;"",E820,IFERROR(INDEX('Contractors'!$D$6:$D$1005,MATCH(B820,'Contractors'!$B$6:$B$1005,0)),"")))</f>
        <v/>
      </c>
      <c r="Q820" s="79">
        <f>IF(B820="","",IF(D820&lt;&gt;"",D820,IFERROR(INDEX('Contractors'!$E$6:$E$1005,MATCH(B820,'Contractors'!$B$6:$B$1005,0)),"")))</f>
        <v/>
      </c>
      <c r="R820" s="79">
        <f>IF(O820="","",IF(O820="OVERDUE",2,IF(O820="Paid",0,IF(AND(I820&lt;&gt;"",I820&lt;=AsOf+AlertDays),1,0))))</f>
        <v/>
      </c>
      <c r="S820" s="79">
        <f>IF(AND(B820&lt;&gt;"",M820="",I820&lt;&gt;""),IF(L820&lt;&gt;"",L820,IF(H820="",0,H820)),0)</f>
        <v/>
      </c>
      <c r="T820" s="79">
        <f>IF(AND(B820&lt;&gt;"",M820="",I820&lt;&gt;""),1/I820,0)</f>
        <v/>
      </c>
      <c r="U820" s="112">
        <f>IF(AND(B820&lt;&gt;"",M820="",I820&lt;&gt;""),I820,"")</f>
        <v/>
      </c>
      <c r="V820" s="79">
        <f>IF(U820="","",IF(U820&lt;AsOf,1,IF(U820&lt;=AsOf+AlertDays,2,IF(U820&lt;=AsOf+2*AlertDays,3,""))))</f>
        <v/>
      </c>
      <c r="W820" s="79">
        <f>IF(V820="","",IF(O820="OVERDUE","Overdue payment: ","Payment due: ")&amp;B820&amp;" — "&amp;C820&amp;" ("&amp;CurSym&amp;" "&amp;FIXED(S820,0)&amp;")")</f>
        <v/>
      </c>
      <c r="Z820" s="116">
        <f>IF('Contractors'!B820="","",'Contractors'!B820)</f>
        <v/>
      </c>
      <c r="AA820" s="77">
        <f>IF(Z820="","",'Contractors'!K820)</f>
        <v/>
      </c>
      <c r="AB820" s="77">
        <f>IF(Z820="","",SUMIFS($L$6:$L$1005,$B$6:$B$1005,Z820))</f>
        <v/>
      </c>
      <c r="AC820" s="77">
        <f>IF(Z820="","",SUMIFS($N$6:$N$1005,$B$6:$B$1005,Z820))</f>
        <v/>
      </c>
      <c r="AD820" s="76">
        <f>IF(Z820="","",AA820-AC820)</f>
        <v/>
      </c>
      <c r="AE820" s="117">
        <f>IF(Z820="","",IFERROR(1/SUMPRODUCT(MAX(($B$6:$B$1005=Z820)*$T$6:$T$1005)),""))</f>
        <v/>
      </c>
      <c r="AF820" s="77">
        <f>IF(AE820="","",SUMIFS($S$6:$S$1005,$B$6:$B$1005,Z820,$I$6:$I$1005,AE820))</f>
        <v/>
      </c>
    </row>
    <row r="821" ht="20" customHeight="1">
      <c r="B821" s="72" t="n"/>
      <c r="C821" s="72" t="n"/>
      <c r="D821" s="72" t="n"/>
      <c r="E821" s="72" t="n"/>
      <c r="F821" s="110" t="n"/>
      <c r="G821" s="73" t="n"/>
      <c r="H821" s="75">
        <f>IF(B821="","",IF(G821&lt;&gt;"",G821,IF(F821&lt;&gt;"",F821*IFERROR(INDEX('Contractors'!$I$6:$I$1005,MATCH(B821,'Contractors'!$B$6:$B$1005,0)),0),"")))</f>
        <v/>
      </c>
      <c r="I821" s="109" t="n"/>
      <c r="J821" s="72" t="n"/>
      <c r="K821" s="109" t="n"/>
      <c r="L821" s="73" t="n"/>
      <c r="M821" s="109" t="n"/>
      <c r="N821" s="73" t="n"/>
      <c r="O821" s="107">
        <f>IF(B821="","",IF(M821&lt;&gt;"","Paid",IF(AND(I821&lt;&gt;"",I821&lt;AsOf),"OVERDUE",IF(OR(K821&lt;&gt;"",L821&lt;&gt;""),"Invoiced","Scheduled"))))</f>
        <v/>
      </c>
      <c r="P821" s="115">
        <f>IF(B821="","",IF(E821&lt;&gt;"",E821,IFERROR(INDEX('Contractors'!$D$6:$D$1005,MATCH(B821,'Contractors'!$B$6:$B$1005,0)),"")))</f>
        <v/>
      </c>
      <c r="Q821" s="79">
        <f>IF(B821="","",IF(D821&lt;&gt;"",D821,IFERROR(INDEX('Contractors'!$E$6:$E$1005,MATCH(B821,'Contractors'!$B$6:$B$1005,0)),"")))</f>
        <v/>
      </c>
      <c r="R821" s="79">
        <f>IF(O821="","",IF(O821="OVERDUE",2,IF(O821="Paid",0,IF(AND(I821&lt;&gt;"",I821&lt;=AsOf+AlertDays),1,0))))</f>
        <v/>
      </c>
      <c r="S821" s="79">
        <f>IF(AND(B821&lt;&gt;"",M821="",I821&lt;&gt;""),IF(L821&lt;&gt;"",L821,IF(H821="",0,H821)),0)</f>
        <v/>
      </c>
      <c r="T821" s="79">
        <f>IF(AND(B821&lt;&gt;"",M821="",I821&lt;&gt;""),1/I821,0)</f>
        <v/>
      </c>
      <c r="U821" s="112">
        <f>IF(AND(B821&lt;&gt;"",M821="",I821&lt;&gt;""),I821,"")</f>
        <v/>
      </c>
      <c r="V821" s="79">
        <f>IF(U821="","",IF(U821&lt;AsOf,1,IF(U821&lt;=AsOf+AlertDays,2,IF(U821&lt;=AsOf+2*AlertDays,3,""))))</f>
        <v/>
      </c>
      <c r="W821" s="79">
        <f>IF(V821="","",IF(O821="OVERDUE","Overdue payment: ","Payment due: ")&amp;B821&amp;" — "&amp;C821&amp;" ("&amp;CurSym&amp;" "&amp;FIXED(S821,0)&amp;")")</f>
        <v/>
      </c>
      <c r="Z821" s="116">
        <f>IF('Contractors'!B821="","",'Contractors'!B821)</f>
        <v/>
      </c>
      <c r="AA821" s="77">
        <f>IF(Z821="","",'Contractors'!K821)</f>
        <v/>
      </c>
      <c r="AB821" s="77">
        <f>IF(Z821="","",SUMIFS($L$6:$L$1005,$B$6:$B$1005,Z821))</f>
        <v/>
      </c>
      <c r="AC821" s="77">
        <f>IF(Z821="","",SUMIFS($N$6:$N$1005,$B$6:$B$1005,Z821))</f>
        <v/>
      </c>
      <c r="AD821" s="76">
        <f>IF(Z821="","",AA821-AC821)</f>
        <v/>
      </c>
      <c r="AE821" s="117">
        <f>IF(Z821="","",IFERROR(1/SUMPRODUCT(MAX(($B$6:$B$1005=Z821)*$T$6:$T$1005)),""))</f>
        <v/>
      </c>
      <c r="AF821" s="77">
        <f>IF(AE821="","",SUMIFS($S$6:$S$1005,$B$6:$B$1005,Z821,$I$6:$I$1005,AE821))</f>
        <v/>
      </c>
    </row>
    <row r="822" ht="20" customHeight="1">
      <c r="B822" s="72" t="n"/>
      <c r="C822" s="72" t="n"/>
      <c r="D822" s="72" t="n"/>
      <c r="E822" s="72" t="n"/>
      <c r="F822" s="110" t="n"/>
      <c r="G822" s="73" t="n"/>
      <c r="H822" s="75">
        <f>IF(B822="","",IF(G822&lt;&gt;"",G822,IF(F822&lt;&gt;"",F822*IFERROR(INDEX('Contractors'!$I$6:$I$1005,MATCH(B822,'Contractors'!$B$6:$B$1005,0)),0),"")))</f>
        <v/>
      </c>
      <c r="I822" s="109" t="n"/>
      <c r="J822" s="72" t="n"/>
      <c r="K822" s="109" t="n"/>
      <c r="L822" s="73" t="n"/>
      <c r="M822" s="109" t="n"/>
      <c r="N822" s="73" t="n"/>
      <c r="O822" s="107">
        <f>IF(B822="","",IF(M822&lt;&gt;"","Paid",IF(AND(I822&lt;&gt;"",I822&lt;AsOf),"OVERDUE",IF(OR(K822&lt;&gt;"",L822&lt;&gt;""),"Invoiced","Scheduled"))))</f>
        <v/>
      </c>
      <c r="P822" s="115">
        <f>IF(B822="","",IF(E822&lt;&gt;"",E822,IFERROR(INDEX('Contractors'!$D$6:$D$1005,MATCH(B822,'Contractors'!$B$6:$B$1005,0)),"")))</f>
        <v/>
      </c>
      <c r="Q822" s="79">
        <f>IF(B822="","",IF(D822&lt;&gt;"",D822,IFERROR(INDEX('Contractors'!$E$6:$E$1005,MATCH(B822,'Contractors'!$B$6:$B$1005,0)),"")))</f>
        <v/>
      </c>
      <c r="R822" s="79">
        <f>IF(O822="","",IF(O822="OVERDUE",2,IF(O822="Paid",0,IF(AND(I822&lt;&gt;"",I822&lt;=AsOf+AlertDays),1,0))))</f>
        <v/>
      </c>
      <c r="S822" s="79">
        <f>IF(AND(B822&lt;&gt;"",M822="",I822&lt;&gt;""),IF(L822&lt;&gt;"",L822,IF(H822="",0,H822)),0)</f>
        <v/>
      </c>
      <c r="T822" s="79">
        <f>IF(AND(B822&lt;&gt;"",M822="",I822&lt;&gt;""),1/I822,0)</f>
        <v/>
      </c>
      <c r="U822" s="112">
        <f>IF(AND(B822&lt;&gt;"",M822="",I822&lt;&gt;""),I822,"")</f>
        <v/>
      </c>
      <c r="V822" s="79">
        <f>IF(U822="","",IF(U822&lt;AsOf,1,IF(U822&lt;=AsOf+AlertDays,2,IF(U822&lt;=AsOf+2*AlertDays,3,""))))</f>
        <v/>
      </c>
      <c r="W822" s="79">
        <f>IF(V822="","",IF(O822="OVERDUE","Overdue payment: ","Payment due: ")&amp;B822&amp;" — "&amp;C822&amp;" ("&amp;CurSym&amp;" "&amp;FIXED(S822,0)&amp;")")</f>
        <v/>
      </c>
      <c r="Z822" s="116">
        <f>IF('Contractors'!B822="","",'Contractors'!B822)</f>
        <v/>
      </c>
      <c r="AA822" s="77">
        <f>IF(Z822="","",'Contractors'!K822)</f>
        <v/>
      </c>
      <c r="AB822" s="77">
        <f>IF(Z822="","",SUMIFS($L$6:$L$1005,$B$6:$B$1005,Z822))</f>
        <v/>
      </c>
      <c r="AC822" s="77">
        <f>IF(Z822="","",SUMIFS($N$6:$N$1005,$B$6:$B$1005,Z822))</f>
        <v/>
      </c>
      <c r="AD822" s="76">
        <f>IF(Z822="","",AA822-AC822)</f>
        <v/>
      </c>
      <c r="AE822" s="117">
        <f>IF(Z822="","",IFERROR(1/SUMPRODUCT(MAX(($B$6:$B$1005=Z822)*$T$6:$T$1005)),""))</f>
        <v/>
      </c>
      <c r="AF822" s="77">
        <f>IF(AE822="","",SUMIFS($S$6:$S$1005,$B$6:$B$1005,Z822,$I$6:$I$1005,AE822))</f>
        <v/>
      </c>
    </row>
    <row r="823" ht="20" customHeight="1">
      <c r="B823" s="72" t="n"/>
      <c r="C823" s="72" t="n"/>
      <c r="D823" s="72" t="n"/>
      <c r="E823" s="72" t="n"/>
      <c r="F823" s="110" t="n"/>
      <c r="G823" s="73" t="n"/>
      <c r="H823" s="75">
        <f>IF(B823="","",IF(G823&lt;&gt;"",G823,IF(F823&lt;&gt;"",F823*IFERROR(INDEX('Contractors'!$I$6:$I$1005,MATCH(B823,'Contractors'!$B$6:$B$1005,0)),0),"")))</f>
        <v/>
      </c>
      <c r="I823" s="109" t="n"/>
      <c r="J823" s="72" t="n"/>
      <c r="K823" s="109" t="n"/>
      <c r="L823" s="73" t="n"/>
      <c r="M823" s="109" t="n"/>
      <c r="N823" s="73" t="n"/>
      <c r="O823" s="107">
        <f>IF(B823="","",IF(M823&lt;&gt;"","Paid",IF(AND(I823&lt;&gt;"",I823&lt;AsOf),"OVERDUE",IF(OR(K823&lt;&gt;"",L823&lt;&gt;""),"Invoiced","Scheduled"))))</f>
        <v/>
      </c>
      <c r="P823" s="115">
        <f>IF(B823="","",IF(E823&lt;&gt;"",E823,IFERROR(INDEX('Contractors'!$D$6:$D$1005,MATCH(B823,'Contractors'!$B$6:$B$1005,0)),"")))</f>
        <v/>
      </c>
      <c r="Q823" s="79">
        <f>IF(B823="","",IF(D823&lt;&gt;"",D823,IFERROR(INDEX('Contractors'!$E$6:$E$1005,MATCH(B823,'Contractors'!$B$6:$B$1005,0)),"")))</f>
        <v/>
      </c>
      <c r="R823" s="79">
        <f>IF(O823="","",IF(O823="OVERDUE",2,IF(O823="Paid",0,IF(AND(I823&lt;&gt;"",I823&lt;=AsOf+AlertDays),1,0))))</f>
        <v/>
      </c>
      <c r="S823" s="79">
        <f>IF(AND(B823&lt;&gt;"",M823="",I823&lt;&gt;""),IF(L823&lt;&gt;"",L823,IF(H823="",0,H823)),0)</f>
        <v/>
      </c>
      <c r="T823" s="79">
        <f>IF(AND(B823&lt;&gt;"",M823="",I823&lt;&gt;""),1/I823,0)</f>
        <v/>
      </c>
      <c r="U823" s="112">
        <f>IF(AND(B823&lt;&gt;"",M823="",I823&lt;&gt;""),I823,"")</f>
        <v/>
      </c>
      <c r="V823" s="79">
        <f>IF(U823="","",IF(U823&lt;AsOf,1,IF(U823&lt;=AsOf+AlertDays,2,IF(U823&lt;=AsOf+2*AlertDays,3,""))))</f>
        <v/>
      </c>
      <c r="W823" s="79">
        <f>IF(V823="","",IF(O823="OVERDUE","Overdue payment: ","Payment due: ")&amp;B823&amp;" — "&amp;C823&amp;" ("&amp;CurSym&amp;" "&amp;FIXED(S823,0)&amp;")")</f>
        <v/>
      </c>
      <c r="Z823" s="116">
        <f>IF('Contractors'!B823="","",'Contractors'!B823)</f>
        <v/>
      </c>
      <c r="AA823" s="77">
        <f>IF(Z823="","",'Contractors'!K823)</f>
        <v/>
      </c>
      <c r="AB823" s="77">
        <f>IF(Z823="","",SUMIFS($L$6:$L$1005,$B$6:$B$1005,Z823))</f>
        <v/>
      </c>
      <c r="AC823" s="77">
        <f>IF(Z823="","",SUMIFS($N$6:$N$1005,$B$6:$B$1005,Z823))</f>
        <v/>
      </c>
      <c r="AD823" s="76">
        <f>IF(Z823="","",AA823-AC823)</f>
        <v/>
      </c>
      <c r="AE823" s="117">
        <f>IF(Z823="","",IFERROR(1/SUMPRODUCT(MAX(($B$6:$B$1005=Z823)*$T$6:$T$1005)),""))</f>
        <v/>
      </c>
      <c r="AF823" s="77">
        <f>IF(AE823="","",SUMIFS($S$6:$S$1005,$B$6:$B$1005,Z823,$I$6:$I$1005,AE823))</f>
        <v/>
      </c>
    </row>
    <row r="824" ht="20" customHeight="1">
      <c r="B824" s="72" t="n"/>
      <c r="C824" s="72" t="n"/>
      <c r="D824" s="72" t="n"/>
      <c r="E824" s="72" t="n"/>
      <c r="F824" s="110" t="n"/>
      <c r="G824" s="73" t="n"/>
      <c r="H824" s="75">
        <f>IF(B824="","",IF(G824&lt;&gt;"",G824,IF(F824&lt;&gt;"",F824*IFERROR(INDEX('Contractors'!$I$6:$I$1005,MATCH(B824,'Contractors'!$B$6:$B$1005,0)),0),"")))</f>
        <v/>
      </c>
      <c r="I824" s="109" t="n"/>
      <c r="J824" s="72" t="n"/>
      <c r="K824" s="109" t="n"/>
      <c r="L824" s="73" t="n"/>
      <c r="M824" s="109" t="n"/>
      <c r="N824" s="73" t="n"/>
      <c r="O824" s="107">
        <f>IF(B824="","",IF(M824&lt;&gt;"","Paid",IF(AND(I824&lt;&gt;"",I824&lt;AsOf),"OVERDUE",IF(OR(K824&lt;&gt;"",L824&lt;&gt;""),"Invoiced","Scheduled"))))</f>
        <v/>
      </c>
      <c r="P824" s="115">
        <f>IF(B824="","",IF(E824&lt;&gt;"",E824,IFERROR(INDEX('Contractors'!$D$6:$D$1005,MATCH(B824,'Contractors'!$B$6:$B$1005,0)),"")))</f>
        <v/>
      </c>
      <c r="Q824" s="79">
        <f>IF(B824="","",IF(D824&lt;&gt;"",D824,IFERROR(INDEX('Contractors'!$E$6:$E$1005,MATCH(B824,'Contractors'!$B$6:$B$1005,0)),"")))</f>
        <v/>
      </c>
      <c r="R824" s="79">
        <f>IF(O824="","",IF(O824="OVERDUE",2,IF(O824="Paid",0,IF(AND(I824&lt;&gt;"",I824&lt;=AsOf+AlertDays),1,0))))</f>
        <v/>
      </c>
      <c r="S824" s="79">
        <f>IF(AND(B824&lt;&gt;"",M824="",I824&lt;&gt;""),IF(L824&lt;&gt;"",L824,IF(H824="",0,H824)),0)</f>
        <v/>
      </c>
      <c r="T824" s="79">
        <f>IF(AND(B824&lt;&gt;"",M824="",I824&lt;&gt;""),1/I824,0)</f>
        <v/>
      </c>
      <c r="U824" s="112">
        <f>IF(AND(B824&lt;&gt;"",M824="",I824&lt;&gt;""),I824,"")</f>
        <v/>
      </c>
      <c r="V824" s="79">
        <f>IF(U824="","",IF(U824&lt;AsOf,1,IF(U824&lt;=AsOf+AlertDays,2,IF(U824&lt;=AsOf+2*AlertDays,3,""))))</f>
        <v/>
      </c>
      <c r="W824" s="79">
        <f>IF(V824="","",IF(O824="OVERDUE","Overdue payment: ","Payment due: ")&amp;B824&amp;" — "&amp;C824&amp;" ("&amp;CurSym&amp;" "&amp;FIXED(S824,0)&amp;")")</f>
        <v/>
      </c>
      <c r="Z824" s="116">
        <f>IF('Contractors'!B824="","",'Contractors'!B824)</f>
        <v/>
      </c>
      <c r="AA824" s="77">
        <f>IF(Z824="","",'Contractors'!K824)</f>
        <v/>
      </c>
      <c r="AB824" s="77">
        <f>IF(Z824="","",SUMIFS($L$6:$L$1005,$B$6:$B$1005,Z824))</f>
        <v/>
      </c>
      <c r="AC824" s="77">
        <f>IF(Z824="","",SUMIFS($N$6:$N$1005,$B$6:$B$1005,Z824))</f>
        <v/>
      </c>
      <c r="AD824" s="76">
        <f>IF(Z824="","",AA824-AC824)</f>
        <v/>
      </c>
      <c r="AE824" s="117">
        <f>IF(Z824="","",IFERROR(1/SUMPRODUCT(MAX(($B$6:$B$1005=Z824)*$T$6:$T$1005)),""))</f>
        <v/>
      </c>
      <c r="AF824" s="77">
        <f>IF(AE824="","",SUMIFS($S$6:$S$1005,$B$6:$B$1005,Z824,$I$6:$I$1005,AE824))</f>
        <v/>
      </c>
    </row>
    <row r="825" ht="20" customHeight="1">
      <c r="B825" s="72" t="n"/>
      <c r="C825" s="72" t="n"/>
      <c r="D825" s="72" t="n"/>
      <c r="E825" s="72" t="n"/>
      <c r="F825" s="110" t="n"/>
      <c r="G825" s="73" t="n"/>
      <c r="H825" s="75">
        <f>IF(B825="","",IF(G825&lt;&gt;"",G825,IF(F825&lt;&gt;"",F825*IFERROR(INDEX('Contractors'!$I$6:$I$1005,MATCH(B825,'Contractors'!$B$6:$B$1005,0)),0),"")))</f>
        <v/>
      </c>
      <c r="I825" s="109" t="n"/>
      <c r="J825" s="72" t="n"/>
      <c r="K825" s="109" t="n"/>
      <c r="L825" s="73" t="n"/>
      <c r="M825" s="109" t="n"/>
      <c r="N825" s="73" t="n"/>
      <c r="O825" s="107">
        <f>IF(B825="","",IF(M825&lt;&gt;"","Paid",IF(AND(I825&lt;&gt;"",I825&lt;AsOf),"OVERDUE",IF(OR(K825&lt;&gt;"",L825&lt;&gt;""),"Invoiced","Scheduled"))))</f>
        <v/>
      </c>
      <c r="P825" s="115">
        <f>IF(B825="","",IF(E825&lt;&gt;"",E825,IFERROR(INDEX('Contractors'!$D$6:$D$1005,MATCH(B825,'Contractors'!$B$6:$B$1005,0)),"")))</f>
        <v/>
      </c>
      <c r="Q825" s="79">
        <f>IF(B825="","",IF(D825&lt;&gt;"",D825,IFERROR(INDEX('Contractors'!$E$6:$E$1005,MATCH(B825,'Contractors'!$B$6:$B$1005,0)),"")))</f>
        <v/>
      </c>
      <c r="R825" s="79">
        <f>IF(O825="","",IF(O825="OVERDUE",2,IF(O825="Paid",0,IF(AND(I825&lt;&gt;"",I825&lt;=AsOf+AlertDays),1,0))))</f>
        <v/>
      </c>
      <c r="S825" s="79">
        <f>IF(AND(B825&lt;&gt;"",M825="",I825&lt;&gt;""),IF(L825&lt;&gt;"",L825,IF(H825="",0,H825)),0)</f>
        <v/>
      </c>
      <c r="T825" s="79">
        <f>IF(AND(B825&lt;&gt;"",M825="",I825&lt;&gt;""),1/I825,0)</f>
        <v/>
      </c>
      <c r="U825" s="112">
        <f>IF(AND(B825&lt;&gt;"",M825="",I825&lt;&gt;""),I825,"")</f>
        <v/>
      </c>
      <c r="V825" s="79">
        <f>IF(U825="","",IF(U825&lt;AsOf,1,IF(U825&lt;=AsOf+AlertDays,2,IF(U825&lt;=AsOf+2*AlertDays,3,""))))</f>
        <v/>
      </c>
      <c r="W825" s="79">
        <f>IF(V825="","",IF(O825="OVERDUE","Overdue payment: ","Payment due: ")&amp;B825&amp;" — "&amp;C825&amp;" ("&amp;CurSym&amp;" "&amp;FIXED(S825,0)&amp;")")</f>
        <v/>
      </c>
      <c r="Z825" s="116">
        <f>IF('Contractors'!B825="","",'Contractors'!B825)</f>
        <v/>
      </c>
      <c r="AA825" s="77">
        <f>IF(Z825="","",'Contractors'!K825)</f>
        <v/>
      </c>
      <c r="AB825" s="77">
        <f>IF(Z825="","",SUMIFS($L$6:$L$1005,$B$6:$B$1005,Z825))</f>
        <v/>
      </c>
      <c r="AC825" s="77">
        <f>IF(Z825="","",SUMIFS($N$6:$N$1005,$B$6:$B$1005,Z825))</f>
        <v/>
      </c>
      <c r="AD825" s="76">
        <f>IF(Z825="","",AA825-AC825)</f>
        <v/>
      </c>
      <c r="AE825" s="117">
        <f>IF(Z825="","",IFERROR(1/SUMPRODUCT(MAX(($B$6:$B$1005=Z825)*$T$6:$T$1005)),""))</f>
        <v/>
      </c>
      <c r="AF825" s="77">
        <f>IF(AE825="","",SUMIFS($S$6:$S$1005,$B$6:$B$1005,Z825,$I$6:$I$1005,AE825))</f>
        <v/>
      </c>
    </row>
    <row r="826" ht="20" customHeight="1">
      <c r="B826" s="72" t="n"/>
      <c r="C826" s="72" t="n"/>
      <c r="D826" s="72" t="n"/>
      <c r="E826" s="72" t="n"/>
      <c r="F826" s="110" t="n"/>
      <c r="G826" s="73" t="n"/>
      <c r="H826" s="75">
        <f>IF(B826="","",IF(G826&lt;&gt;"",G826,IF(F826&lt;&gt;"",F826*IFERROR(INDEX('Contractors'!$I$6:$I$1005,MATCH(B826,'Contractors'!$B$6:$B$1005,0)),0),"")))</f>
        <v/>
      </c>
      <c r="I826" s="109" t="n"/>
      <c r="J826" s="72" t="n"/>
      <c r="K826" s="109" t="n"/>
      <c r="L826" s="73" t="n"/>
      <c r="M826" s="109" t="n"/>
      <c r="N826" s="73" t="n"/>
      <c r="O826" s="107">
        <f>IF(B826="","",IF(M826&lt;&gt;"","Paid",IF(AND(I826&lt;&gt;"",I826&lt;AsOf),"OVERDUE",IF(OR(K826&lt;&gt;"",L826&lt;&gt;""),"Invoiced","Scheduled"))))</f>
        <v/>
      </c>
      <c r="P826" s="115">
        <f>IF(B826="","",IF(E826&lt;&gt;"",E826,IFERROR(INDEX('Contractors'!$D$6:$D$1005,MATCH(B826,'Contractors'!$B$6:$B$1005,0)),"")))</f>
        <v/>
      </c>
      <c r="Q826" s="79">
        <f>IF(B826="","",IF(D826&lt;&gt;"",D826,IFERROR(INDEX('Contractors'!$E$6:$E$1005,MATCH(B826,'Contractors'!$B$6:$B$1005,0)),"")))</f>
        <v/>
      </c>
      <c r="R826" s="79">
        <f>IF(O826="","",IF(O826="OVERDUE",2,IF(O826="Paid",0,IF(AND(I826&lt;&gt;"",I826&lt;=AsOf+AlertDays),1,0))))</f>
        <v/>
      </c>
      <c r="S826" s="79">
        <f>IF(AND(B826&lt;&gt;"",M826="",I826&lt;&gt;""),IF(L826&lt;&gt;"",L826,IF(H826="",0,H826)),0)</f>
        <v/>
      </c>
      <c r="T826" s="79">
        <f>IF(AND(B826&lt;&gt;"",M826="",I826&lt;&gt;""),1/I826,0)</f>
        <v/>
      </c>
      <c r="U826" s="112">
        <f>IF(AND(B826&lt;&gt;"",M826="",I826&lt;&gt;""),I826,"")</f>
        <v/>
      </c>
      <c r="V826" s="79">
        <f>IF(U826="","",IF(U826&lt;AsOf,1,IF(U826&lt;=AsOf+AlertDays,2,IF(U826&lt;=AsOf+2*AlertDays,3,""))))</f>
        <v/>
      </c>
      <c r="W826" s="79">
        <f>IF(V826="","",IF(O826="OVERDUE","Overdue payment: ","Payment due: ")&amp;B826&amp;" — "&amp;C826&amp;" ("&amp;CurSym&amp;" "&amp;FIXED(S826,0)&amp;")")</f>
        <v/>
      </c>
      <c r="Z826" s="116">
        <f>IF('Contractors'!B826="","",'Contractors'!B826)</f>
        <v/>
      </c>
      <c r="AA826" s="77">
        <f>IF(Z826="","",'Contractors'!K826)</f>
        <v/>
      </c>
      <c r="AB826" s="77">
        <f>IF(Z826="","",SUMIFS($L$6:$L$1005,$B$6:$B$1005,Z826))</f>
        <v/>
      </c>
      <c r="AC826" s="77">
        <f>IF(Z826="","",SUMIFS($N$6:$N$1005,$B$6:$B$1005,Z826))</f>
        <v/>
      </c>
      <c r="AD826" s="76">
        <f>IF(Z826="","",AA826-AC826)</f>
        <v/>
      </c>
      <c r="AE826" s="117">
        <f>IF(Z826="","",IFERROR(1/SUMPRODUCT(MAX(($B$6:$B$1005=Z826)*$T$6:$T$1005)),""))</f>
        <v/>
      </c>
      <c r="AF826" s="77">
        <f>IF(AE826="","",SUMIFS($S$6:$S$1005,$B$6:$B$1005,Z826,$I$6:$I$1005,AE826))</f>
        <v/>
      </c>
    </row>
    <row r="827" ht="20" customHeight="1">
      <c r="B827" s="72" t="n"/>
      <c r="C827" s="72" t="n"/>
      <c r="D827" s="72" t="n"/>
      <c r="E827" s="72" t="n"/>
      <c r="F827" s="110" t="n"/>
      <c r="G827" s="73" t="n"/>
      <c r="H827" s="75">
        <f>IF(B827="","",IF(G827&lt;&gt;"",G827,IF(F827&lt;&gt;"",F827*IFERROR(INDEX('Contractors'!$I$6:$I$1005,MATCH(B827,'Contractors'!$B$6:$B$1005,0)),0),"")))</f>
        <v/>
      </c>
      <c r="I827" s="109" t="n"/>
      <c r="J827" s="72" t="n"/>
      <c r="K827" s="109" t="n"/>
      <c r="L827" s="73" t="n"/>
      <c r="M827" s="109" t="n"/>
      <c r="N827" s="73" t="n"/>
      <c r="O827" s="107">
        <f>IF(B827="","",IF(M827&lt;&gt;"","Paid",IF(AND(I827&lt;&gt;"",I827&lt;AsOf),"OVERDUE",IF(OR(K827&lt;&gt;"",L827&lt;&gt;""),"Invoiced","Scheduled"))))</f>
        <v/>
      </c>
      <c r="P827" s="115">
        <f>IF(B827="","",IF(E827&lt;&gt;"",E827,IFERROR(INDEX('Contractors'!$D$6:$D$1005,MATCH(B827,'Contractors'!$B$6:$B$1005,0)),"")))</f>
        <v/>
      </c>
      <c r="Q827" s="79">
        <f>IF(B827="","",IF(D827&lt;&gt;"",D827,IFERROR(INDEX('Contractors'!$E$6:$E$1005,MATCH(B827,'Contractors'!$B$6:$B$1005,0)),"")))</f>
        <v/>
      </c>
      <c r="R827" s="79">
        <f>IF(O827="","",IF(O827="OVERDUE",2,IF(O827="Paid",0,IF(AND(I827&lt;&gt;"",I827&lt;=AsOf+AlertDays),1,0))))</f>
        <v/>
      </c>
      <c r="S827" s="79">
        <f>IF(AND(B827&lt;&gt;"",M827="",I827&lt;&gt;""),IF(L827&lt;&gt;"",L827,IF(H827="",0,H827)),0)</f>
        <v/>
      </c>
      <c r="T827" s="79">
        <f>IF(AND(B827&lt;&gt;"",M827="",I827&lt;&gt;""),1/I827,0)</f>
        <v/>
      </c>
      <c r="U827" s="112">
        <f>IF(AND(B827&lt;&gt;"",M827="",I827&lt;&gt;""),I827,"")</f>
        <v/>
      </c>
      <c r="V827" s="79">
        <f>IF(U827="","",IF(U827&lt;AsOf,1,IF(U827&lt;=AsOf+AlertDays,2,IF(U827&lt;=AsOf+2*AlertDays,3,""))))</f>
        <v/>
      </c>
      <c r="W827" s="79">
        <f>IF(V827="","",IF(O827="OVERDUE","Overdue payment: ","Payment due: ")&amp;B827&amp;" — "&amp;C827&amp;" ("&amp;CurSym&amp;" "&amp;FIXED(S827,0)&amp;")")</f>
        <v/>
      </c>
      <c r="Z827" s="116">
        <f>IF('Contractors'!B827="","",'Contractors'!B827)</f>
        <v/>
      </c>
      <c r="AA827" s="77">
        <f>IF(Z827="","",'Contractors'!K827)</f>
        <v/>
      </c>
      <c r="AB827" s="77">
        <f>IF(Z827="","",SUMIFS($L$6:$L$1005,$B$6:$B$1005,Z827))</f>
        <v/>
      </c>
      <c r="AC827" s="77">
        <f>IF(Z827="","",SUMIFS($N$6:$N$1005,$B$6:$B$1005,Z827))</f>
        <v/>
      </c>
      <c r="AD827" s="76">
        <f>IF(Z827="","",AA827-AC827)</f>
        <v/>
      </c>
      <c r="AE827" s="117">
        <f>IF(Z827="","",IFERROR(1/SUMPRODUCT(MAX(($B$6:$B$1005=Z827)*$T$6:$T$1005)),""))</f>
        <v/>
      </c>
      <c r="AF827" s="77">
        <f>IF(AE827="","",SUMIFS($S$6:$S$1005,$B$6:$B$1005,Z827,$I$6:$I$1005,AE827))</f>
        <v/>
      </c>
    </row>
    <row r="828" ht="20" customHeight="1">
      <c r="B828" s="72" t="n"/>
      <c r="C828" s="72" t="n"/>
      <c r="D828" s="72" t="n"/>
      <c r="E828" s="72" t="n"/>
      <c r="F828" s="110" t="n"/>
      <c r="G828" s="73" t="n"/>
      <c r="H828" s="75">
        <f>IF(B828="","",IF(G828&lt;&gt;"",G828,IF(F828&lt;&gt;"",F828*IFERROR(INDEX('Contractors'!$I$6:$I$1005,MATCH(B828,'Contractors'!$B$6:$B$1005,0)),0),"")))</f>
        <v/>
      </c>
      <c r="I828" s="109" t="n"/>
      <c r="J828" s="72" t="n"/>
      <c r="K828" s="109" t="n"/>
      <c r="L828" s="73" t="n"/>
      <c r="M828" s="109" t="n"/>
      <c r="N828" s="73" t="n"/>
      <c r="O828" s="107">
        <f>IF(B828="","",IF(M828&lt;&gt;"","Paid",IF(AND(I828&lt;&gt;"",I828&lt;AsOf),"OVERDUE",IF(OR(K828&lt;&gt;"",L828&lt;&gt;""),"Invoiced","Scheduled"))))</f>
        <v/>
      </c>
      <c r="P828" s="115">
        <f>IF(B828="","",IF(E828&lt;&gt;"",E828,IFERROR(INDEX('Contractors'!$D$6:$D$1005,MATCH(B828,'Contractors'!$B$6:$B$1005,0)),"")))</f>
        <v/>
      </c>
      <c r="Q828" s="79">
        <f>IF(B828="","",IF(D828&lt;&gt;"",D828,IFERROR(INDEX('Contractors'!$E$6:$E$1005,MATCH(B828,'Contractors'!$B$6:$B$1005,0)),"")))</f>
        <v/>
      </c>
      <c r="R828" s="79">
        <f>IF(O828="","",IF(O828="OVERDUE",2,IF(O828="Paid",0,IF(AND(I828&lt;&gt;"",I828&lt;=AsOf+AlertDays),1,0))))</f>
        <v/>
      </c>
      <c r="S828" s="79">
        <f>IF(AND(B828&lt;&gt;"",M828="",I828&lt;&gt;""),IF(L828&lt;&gt;"",L828,IF(H828="",0,H828)),0)</f>
        <v/>
      </c>
      <c r="T828" s="79">
        <f>IF(AND(B828&lt;&gt;"",M828="",I828&lt;&gt;""),1/I828,0)</f>
        <v/>
      </c>
      <c r="U828" s="112">
        <f>IF(AND(B828&lt;&gt;"",M828="",I828&lt;&gt;""),I828,"")</f>
        <v/>
      </c>
      <c r="V828" s="79">
        <f>IF(U828="","",IF(U828&lt;AsOf,1,IF(U828&lt;=AsOf+AlertDays,2,IF(U828&lt;=AsOf+2*AlertDays,3,""))))</f>
        <v/>
      </c>
      <c r="W828" s="79">
        <f>IF(V828="","",IF(O828="OVERDUE","Overdue payment: ","Payment due: ")&amp;B828&amp;" — "&amp;C828&amp;" ("&amp;CurSym&amp;" "&amp;FIXED(S828,0)&amp;")")</f>
        <v/>
      </c>
      <c r="Z828" s="116">
        <f>IF('Contractors'!B828="","",'Contractors'!B828)</f>
        <v/>
      </c>
      <c r="AA828" s="77">
        <f>IF(Z828="","",'Contractors'!K828)</f>
        <v/>
      </c>
      <c r="AB828" s="77">
        <f>IF(Z828="","",SUMIFS($L$6:$L$1005,$B$6:$B$1005,Z828))</f>
        <v/>
      </c>
      <c r="AC828" s="77">
        <f>IF(Z828="","",SUMIFS($N$6:$N$1005,$B$6:$B$1005,Z828))</f>
        <v/>
      </c>
      <c r="AD828" s="76">
        <f>IF(Z828="","",AA828-AC828)</f>
        <v/>
      </c>
      <c r="AE828" s="117">
        <f>IF(Z828="","",IFERROR(1/SUMPRODUCT(MAX(($B$6:$B$1005=Z828)*$T$6:$T$1005)),""))</f>
        <v/>
      </c>
      <c r="AF828" s="77">
        <f>IF(AE828="","",SUMIFS($S$6:$S$1005,$B$6:$B$1005,Z828,$I$6:$I$1005,AE828))</f>
        <v/>
      </c>
    </row>
    <row r="829" ht="20" customHeight="1">
      <c r="B829" s="72" t="n"/>
      <c r="C829" s="72" t="n"/>
      <c r="D829" s="72" t="n"/>
      <c r="E829" s="72" t="n"/>
      <c r="F829" s="110" t="n"/>
      <c r="G829" s="73" t="n"/>
      <c r="H829" s="75">
        <f>IF(B829="","",IF(G829&lt;&gt;"",G829,IF(F829&lt;&gt;"",F829*IFERROR(INDEX('Contractors'!$I$6:$I$1005,MATCH(B829,'Contractors'!$B$6:$B$1005,0)),0),"")))</f>
        <v/>
      </c>
      <c r="I829" s="109" t="n"/>
      <c r="J829" s="72" t="n"/>
      <c r="K829" s="109" t="n"/>
      <c r="L829" s="73" t="n"/>
      <c r="M829" s="109" t="n"/>
      <c r="N829" s="73" t="n"/>
      <c r="O829" s="107">
        <f>IF(B829="","",IF(M829&lt;&gt;"","Paid",IF(AND(I829&lt;&gt;"",I829&lt;AsOf),"OVERDUE",IF(OR(K829&lt;&gt;"",L829&lt;&gt;""),"Invoiced","Scheduled"))))</f>
        <v/>
      </c>
      <c r="P829" s="115">
        <f>IF(B829="","",IF(E829&lt;&gt;"",E829,IFERROR(INDEX('Contractors'!$D$6:$D$1005,MATCH(B829,'Contractors'!$B$6:$B$1005,0)),"")))</f>
        <v/>
      </c>
      <c r="Q829" s="79">
        <f>IF(B829="","",IF(D829&lt;&gt;"",D829,IFERROR(INDEX('Contractors'!$E$6:$E$1005,MATCH(B829,'Contractors'!$B$6:$B$1005,0)),"")))</f>
        <v/>
      </c>
      <c r="R829" s="79">
        <f>IF(O829="","",IF(O829="OVERDUE",2,IF(O829="Paid",0,IF(AND(I829&lt;&gt;"",I829&lt;=AsOf+AlertDays),1,0))))</f>
        <v/>
      </c>
      <c r="S829" s="79">
        <f>IF(AND(B829&lt;&gt;"",M829="",I829&lt;&gt;""),IF(L829&lt;&gt;"",L829,IF(H829="",0,H829)),0)</f>
        <v/>
      </c>
      <c r="T829" s="79">
        <f>IF(AND(B829&lt;&gt;"",M829="",I829&lt;&gt;""),1/I829,0)</f>
        <v/>
      </c>
      <c r="U829" s="112">
        <f>IF(AND(B829&lt;&gt;"",M829="",I829&lt;&gt;""),I829,"")</f>
        <v/>
      </c>
      <c r="V829" s="79">
        <f>IF(U829="","",IF(U829&lt;AsOf,1,IF(U829&lt;=AsOf+AlertDays,2,IF(U829&lt;=AsOf+2*AlertDays,3,""))))</f>
        <v/>
      </c>
      <c r="W829" s="79">
        <f>IF(V829="","",IF(O829="OVERDUE","Overdue payment: ","Payment due: ")&amp;B829&amp;" — "&amp;C829&amp;" ("&amp;CurSym&amp;" "&amp;FIXED(S829,0)&amp;")")</f>
        <v/>
      </c>
      <c r="Z829" s="116">
        <f>IF('Contractors'!B829="","",'Contractors'!B829)</f>
        <v/>
      </c>
      <c r="AA829" s="77">
        <f>IF(Z829="","",'Contractors'!K829)</f>
        <v/>
      </c>
      <c r="AB829" s="77">
        <f>IF(Z829="","",SUMIFS($L$6:$L$1005,$B$6:$B$1005,Z829))</f>
        <v/>
      </c>
      <c r="AC829" s="77">
        <f>IF(Z829="","",SUMIFS($N$6:$N$1005,$B$6:$B$1005,Z829))</f>
        <v/>
      </c>
      <c r="AD829" s="76">
        <f>IF(Z829="","",AA829-AC829)</f>
        <v/>
      </c>
      <c r="AE829" s="117">
        <f>IF(Z829="","",IFERROR(1/SUMPRODUCT(MAX(($B$6:$B$1005=Z829)*$T$6:$T$1005)),""))</f>
        <v/>
      </c>
      <c r="AF829" s="77">
        <f>IF(AE829="","",SUMIFS($S$6:$S$1005,$B$6:$B$1005,Z829,$I$6:$I$1005,AE829))</f>
        <v/>
      </c>
    </row>
    <row r="830" ht="20" customHeight="1">
      <c r="B830" s="72" t="n"/>
      <c r="C830" s="72" t="n"/>
      <c r="D830" s="72" t="n"/>
      <c r="E830" s="72" t="n"/>
      <c r="F830" s="110" t="n"/>
      <c r="G830" s="73" t="n"/>
      <c r="H830" s="75">
        <f>IF(B830="","",IF(G830&lt;&gt;"",G830,IF(F830&lt;&gt;"",F830*IFERROR(INDEX('Contractors'!$I$6:$I$1005,MATCH(B830,'Contractors'!$B$6:$B$1005,0)),0),"")))</f>
        <v/>
      </c>
      <c r="I830" s="109" t="n"/>
      <c r="J830" s="72" t="n"/>
      <c r="K830" s="109" t="n"/>
      <c r="L830" s="73" t="n"/>
      <c r="M830" s="109" t="n"/>
      <c r="N830" s="73" t="n"/>
      <c r="O830" s="107">
        <f>IF(B830="","",IF(M830&lt;&gt;"","Paid",IF(AND(I830&lt;&gt;"",I830&lt;AsOf),"OVERDUE",IF(OR(K830&lt;&gt;"",L830&lt;&gt;""),"Invoiced","Scheduled"))))</f>
        <v/>
      </c>
      <c r="P830" s="115">
        <f>IF(B830="","",IF(E830&lt;&gt;"",E830,IFERROR(INDEX('Contractors'!$D$6:$D$1005,MATCH(B830,'Contractors'!$B$6:$B$1005,0)),"")))</f>
        <v/>
      </c>
      <c r="Q830" s="79">
        <f>IF(B830="","",IF(D830&lt;&gt;"",D830,IFERROR(INDEX('Contractors'!$E$6:$E$1005,MATCH(B830,'Contractors'!$B$6:$B$1005,0)),"")))</f>
        <v/>
      </c>
      <c r="R830" s="79">
        <f>IF(O830="","",IF(O830="OVERDUE",2,IF(O830="Paid",0,IF(AND(I830&lt;&gt;"",I830&lt;=AsOf+AlertDays),1,0))))</f>
        <v/>
      </c>
      <c r="S830" s="79">
        <f>IF(AND(B830&lt;&gt;"",M830="",I830&lt;&gt;""),IF(L830&lt;&gt;"",L830,IF(H830="",0,H830)),0)</f>
        <v/>
      </c>
      <c r="T830" s="79">
        <f>IF(AND(B830&lt;&gt;"",M830="",I830&lt;&gt;""),1/I830,0)</f>
        <v/>
      </c>
      <c r="U830" s="112">
        <f>IF(AND(B830&lt;&gt;"",M830="",I830&lt;&gt;""),I830,"")</f>
        <v/>
      </c>
      <c r="V830" s="79">
        <f>IF(U830="","",IF(U830&lt;AsOf,1,IF(U830&lt;=AsOf+AlertDays,2,IF(U830&lt;=AsOf+2*AlertDays,3,""))))</f>
        <v/>
      </c>
      <c r="W830" s="79">
        <f>IF(V830="","",IF(O830="OVERDUE","Overdue payment: ","Payment due: ")&amp;B830&amp;" — "&amp;C830&amp;" ("&amp;CurSym&amp;" "&amp;FIXED(S830,0)&amp;")")</f>
        <v/>
      </c>
      <c r="Z830" s="116">
        <f>IF('Contractors'!B830="","",'Contractors'!B830)</f>
        <v/>
      </c>
      <c r="AA830" s="77">
        <f>IF(Z830="","",'Contractors'!K830)</f>
        <v/>
      </c>
      <c r="AB830" s="77">
        <f>IF(Z830="","",SUMIFS($L$6:$L$1005,$B$6:$B$1005,Z830))</f>
        <v/>
      </c>
      <c r="AC830" s="77">
        <f>IF(Z830="","",SUMIFS($N$6:$N$1005,$B$6:$B$1005,Z830))</f>
        <v/>
      </c>
      <c r="AD830" s="76">
        <f>IF(Z830="","",AA830-AC830)</f>
        <v/>
      </c>
      <c r="AE830" s="117">
        <f>IF(Z830="","",IFERROR(1/SUMPRODUCT(MAX(($B$6:$B$1005=Z830)*$T$6:$T$1005)),""))</f>
        <v/>
      </c>
      <c r="AF830" s="77">
        <f>IF(AE830="","",SUMIFS($S$6:$S$1005,$B$6:$B$1005,Z830,$I$6:$I$1005,AE830))</f>
        <v/>
      </c>
    </row>
    <row r="831" ht="20" customHeight="1">
      <c r="B831" s="72" t="n"/>
      <c r="C831" s="72" t="n"/>
      <c r="D831" s="72" t="n"/>
      <c r="E831" s="72" t="n"/>
      <c r="F831" s="110" t="n"/>
      <c r="G831" s="73" t="n"/>
      <c r="H831" s="75">
        <f>IF(B831="","",IF(G831&lt;&gt;"",G831,IF(F831&lt;&gt;"",F831*IFERROR(INDEX('Contractors'!$I$6:$I$1005,MATCH(B831,'Contractors'!$B$6:$B$1005,0)),0),"")))</f>
        <v/>
      </c>
      <c r="I831" s="109" t="n"/>
      <c r="J831" s="72" t="n"/>
      <c r="K831" s="109" t="n"/>
      <c r="L831" s="73" t="n"/>
      <c r="M831" s="109" t="n"/>
      <c r="N831" s="73" t="n"/>
      <c r="O831" s="107">
        <f>IF(B831="","",IF(M831&lt;&gt;"","Paid",IF(AND(I831&lt;&gt;"",I831&lt;AsOf),"OVERDUE",IF(OR(K831&lt;&gt;"",L831&lt;&gt;""),"Invoiced","Scheduled"))))</f>
        <v/>
      </c>
      <c r="P831" s="115">
        <f>IF(B831="","",IF(E831&lt;&gt;"",E831,IFERROR(INDEX('Contractors'!$D$6:$D$1005,MATCH(B831,'Contractors'!$B$6:$B$1005,0)),"")))</f>
        <v/>
      </c>
      <c r="Q831" s="79">
        <f>IF(B831="","",IF(D831&lt;&gt;"",D831,IFERROR(INDEX('Contractors'!$E$6:$E$1005,MATCH(B831,'Contractors'!$B$6:$B$1005,0)),"")))</f>
        <v/>
      </c>
      <c r="R831" s="79">
        <f>IF(O831="","",IF(O831="OVERDUE",2,IF(O831="Paid",0,IF(AND(I831&lt;&gt;"",I831&lt;=AsOf+AlertDays),1,0))))</f>
        <v/>
      </c>
      <c r="S831" s="79">
        <f>IF(AND(B831&lt;&gt;"",M831="",I831&lt;&gt;""),IF(L831&lt;&gt;"",L831,IF(H831="",0,H831)),0)</f>
        <v/>
      </c>
      <c r="T831" s="79">
        <f>IF(AND(B831&lt;&gt;"",M831="",I831&lt;&gt;""),1/I831,0)</f>
        <v/>
      </c>
      <c r="U831" s="112">
        <f>IF(AND(B831&lt;&gt;"",M831="",I831&lt;&gt;""),I831,"")</f>
        <v/>
      </c>
      <c r="V831" s="79">
        <f>IF(U831="","",IF(U831&lt;AsOf,1,IF(U831&lt;=AsOf+AlertDays,2,IF(U831&lt;=AsOf+2*AlertDays,3,""))))</f>
        <v/>
      </c>
      <c r="W831" s="79">
        <f>IF(V831="","",IF(O831="OVERDUE","Overdue payment: ","Payment due: ")&amp;B831&amp;" — "&amp;C831&amp;" ("&amp;CurSym&amp;" "&amp;FIXED(S831,0)&amp;")")</f>
        <v/>
      </c>
      <c r="Z831" s="116">
        <f>IF('Contractors'!B831="","",'Contractors'!B831)</f>
        <v/>
      </c>
      <c r="AA831" s="77">
        <f>IF(Z831="","",'Contractors'!K831)</f>
        <v/>
      </c>
      <c r="AB831" s="77">
        <f>IF(Z831="","",SUMIFS($L$6:$L$1005,$B$6:$B$1005,Z831))</f>
        <v/>
      </c>
      <c r="AC831" s="77">
        <f>IF(Z831="","",SUMIFS($N$6:$N$1005,$B$6:$B$1005,Z831))</f>
        <v/>
      </c>
      <c r="AD831" s="76">
        <f>IF(Z831="","",AA831-AC831)</f>
        <v/>
      </c>
      <c r="AE831" s="117">
        <f>IF(Z831="","",IFERROR(1/SUMPRODUCT(MAX(($B$6:$B$1005=Z831)*$T$6:$T$1005)),""))</f>
        <v/>
      </c>
      <c r="AF831" s="77">
        <f>IF(AE831="","",SUMIFS($S$6:$S$1005,$B$6:$B$1005,Z831,$I$6:$I$1005,AE831))</f>
        <v/>
      </c>
    </row>
    <row r="832" ht="20" customHeight="1">
      <c r="B832" s="72" t="n"/>
      <c r="C832" s="72" t="n"/>
      <c r="D832" s="72" t="n"/>
      <c r="E832" s="72" t="n"/>
      <c r="F832" s="110" t="n"/>
      <c r="G832" s="73" t="n"/>
      <c r="H832" s="75">
        <f>IF(B832="","",IF(G832&lt;&gt;"",G832,IF(F832&lt;&gt;"",F832*IFERROR(INDEX('Contractors'!$I$6:$I$1005,MATCH(B832,'Contractors'!$B$6:$B$1005,0)),0),"")))</f>
        <v/>
      </c>
      <c r="I832" s="109" t="n"/>
      <c r="J832" s="72" t="n"/>
      <c r="K832" s="109" t="n"/>
      <c r="L832" s="73" t="n"/>
      <c r="M832" s="109" t="n"/>
      <c r="N832" s="73" t="n"/>
      <c r="O832" s="107">
        <f>IF(B832="","",IF(M832&lt;&gt;"","Paid",IF(AND(I832&lt;&gt;"",I832&lt;AsOf),"OVERDUE",IF(OR(K832&lt;&gt;"",L832&lt;&gt;""),"Invoiced","Scheduled"))))</f>
        <v/>
      </c>
      <c r="P832" s="115">
        <f>IF(B832="","",IF(E832&lt;&gt;"",E832,IFERROR(INDEX('Contractors'!$D$6:$D$1005,MATCH(B832,'Contractors'!$B$6:$B$1005,0)),"")))</f>
        <v/>
      </c>
      <c r="Q832" s="79">
        <f>IF(B832="","",IF(D832&lt;&gt;"",D832,IFERROR(INDEX('Contractors'!$E$6:$E$1005,MATCH(B832,'Contractors'!$B$6:$B$1005,0)),"")))</f>
        <v/>
      </c>
      <c r="R832" s="79">
        <f>IF(O832="","",IF(O832="OVERDUE",2,IF(O832="Paid",0,IF(AND(I832&lt;&gt;"",I832&lt;=AsOf+AlertDays),1,0))))</f>
        <v/>
      </c>
      <c r="S832" s="79">
        <f>IF(AND(B832&lt;&gt;"",M832="",I832&lt;&gt;""),IF(L832&lt;&gt;"",L832,IF(H832="",0,H832)),0)</f>
        <v/>
      </c>
      <c r="T832" s="79">
        <f>IF(AND(B832&lt;&gt;"",M832="",I832&lt;&gt;""),1/I832,0)</f>
        <v/>
      </c>
      <c r="U832" s="112">
        <f>IF(AND(B832&lt;&gt;"",M832="",I832&lt;&gt;""),I832,"")</f>
        <v/>
      </c>
      <c r="V832" s="79">
        <f>IF(U832="","",IF(U832&lt;AsOf,1,IF(U832&lt;=AsOf+AlertDays,2,IF(U832&lt;=AsOf+2*AlertDays,3,""))))</f>
        <v/>
      </c>
      <c r="W832" s="79">
        <f>IF(V832="","",IF(O832="OVERDUE","Overdue payment: ","Payment due: ")&amp;B832&amp;" — "&amp;C832&amp;" ("&amp;CurSym&amp;" "&amp;FIXED(S832,0)&amp;")")</f>
        <v/>
      </c>
      <c r="Z832" s="116">
        <f>IF('Contractors'!B832="","",'Contractors'!B832)</f>
        <v/>
      </c>
      <c r="AA832" s="77">
        <f>IF(Z832="","",'Contractors'!K832)</f>
        <v/>
      </c>
      <c r="AB832" s="77">
        <f>IF(Z832="","",SUMIFS($L$6:$L$1005,$B$6:$B$1005,Z832))</f>
        <v/>
      </c>
      <c r="AC832" s="77">
        <f>IF(Z832="","",SUMIFS($N$6:$N$1005,$B$6:$B$1005,Z832))</f>
        <v/>
      </c>
      <c r="AD832" s="76">
        <f>IF(Z832="","",AA832-AC832)</f>
        <v/>
      </c>
      <c r="AE832" s="117">
        <f>IF(Z832="","",IFERROR(1/SUMPRODUCT(MAX(($B$6:$B$1005=Z832)*$T$6:$T$1005)),""))</f>
        <v/>
      </c>
      <c r="AF832" s="77">
        <f>IF(AE832="","",SUMIFS($S$6:$S$1005,$B$6:$B$1005,Z832,$I$6:$I$1005,AE832))</f>
        <v/>
      </c>
    </row>
    <row r="833" ht="20" customHeight="1">
      <c r="B833" s="72" t="n"/>
      <c r="C833" s="72" t="n"/>
      <c r="D833" s="72" t="n"/>
      <c r="E833" s="72" t="n"/>
      <c r="F833" s="110" t="n"/>
      <c r="G833" s="73" t="n"/>
      <c r="H833" s="75">
        <f>IF(B833="","",IF(G833&lt;&gt;"",G833,IF(F833&lt;&gt;"",F833*IFERROR(INDEX('Contractors'!$I$6:$I$1005,MATCH(B833,'Contractors'!$B$6:$B$1005,0)),0),"")))</f>
        <v/>
      </c>
      <c r="I833" s="109" t="n"/>
      <c r="J833" s="72" t="n"/>
      <c r="K833" s="109" t="n"/>
      <c r="L833" s="73" t="n"/>
      <c r="M833" s="109" t="n"/>
      <c r="N833" s="73" t="n"/>
      <c r="O833" s="107">
        <f>IF(B833="","",IF(M833&lt;&gt;"","Paid",IF(AND(I833&lt;&gt;"",I833&lt;AsOf),"OVERDUE",IF(OR(K833&lt;&gt;"",L833&lt;&gt;""),"Invoiced","Scheduled"))))</f>
        <v/>
      </c>
      <c r="P833" s="115">
        <f>IF(B833="","",IF(E833&lt;&gt;"",E833,IFERROR(INDEX('Contractors'!$D$6:$D$1005,MATCH(B833,'Contractors'!$B$6:$B$1005,0)),"")))</f>
        <v/>
      </c>
      <c r="Q833" s="79">
        <f>IF(B833="","",IF(D833&lt;&gt;"",D833,IFERROR(INDEX('Contractors'!$E$6:$E$1005,MATCH(B833,'Contractors'!$B$6:$B$1005,0)),"")))</f>
        <v/>
      </c>
      <c r="R833" s="79">
        <f>IF(O833="","",IF(O833="OVERDUE",2,IF(O833="Paid",0,IF(AND(I833&lt;&gt;"",I833&lt;=AsOf+AlertDays),1,0))))</f>
        <v/>
      </c>
      <c r="S833" s="79">
        <f>IF(AND(B833&lt;&gt;"",M833="",I833&lt;&gt;""),IF(L833&lt;&gt;"",L833,IF(H833="",0,H833)),0)</f>
        <v/>
      </c>
      <c r="T833" s="79">
        <f>IF(AND(B833&lt;&gt;"",M833="",I833&lt;&gt;""),1/I833,0)</f>
        <v/>
      </c>
      <c r="U833" s="112">
        <f>IF(AND(B833&lt;&gt;"",M833="",I833&lt;&gt;""),I833,"")</f>
        <v/>
      </c>
      <c r="V833" s="79">
        <f>IF(U833="","",IF(U833&lt;AsOf,1,IF(U833&lt;=AsOf+AlertDays,2,IF(U833&lt;=AsOf+2*AlertDays,3,""))))</f>
        <v/>
      </c>
      <c r="W833" s="79">
        <f>IF(V833="","",IF(O833="OVERDUE","Overdue payment: ","Payment due: ")&amp;B833&amp;" — "&amp;C833&amp;" ("&amp;CurSym&amp;" "&amp;FIXED(S833,0)&amp;")")</f>
        <v/>
      </c>
      <c r="Z833" s="116">
        <f>IF('Contractors'!B833="","",'Contractors'!B833)</f>
        <v/>
      </c>
      <c r="AA833" s="77">
        <f>IF(Z833="","",'Contractors'!K833)</f>
        <v/>
      </c>
      <c r="AB833" s="77">
        <f>IF(Z833="","",SUMIFS($L$6:$L$1005,$B$6:$B$1005,Z833))</f>
        <v/>
      </c>
      <c r="AC833" s="77">
        <f>IF(Z833="","",SUMIFS($N$6:$N$1005,$B$6:$B$1005,Z833))</f>
        <v/>
      </c>
      <c r="AD833" s="76">
        <f>IF(Z833="","",AA833-AC833)</f>
        <v/>
      </c>
      <c r="AE833" s="117">
        <f>IF(Z833="","",IFERROR(1/SUMPRODUCT(MAX(($B$6:$B$1005=Z833)*$T$6:$T$1005)),""))</f>
        <v/>
      </c>
      <c r="AF833" s="77">
        <f>IF(AE833="","",SUMIFS($S$6:$S$1005,$B$6:$B$1005,Z833,$I$6:$I$1005,AE833))</f>
        <v/>
      </c>
    </row>
    <row r="834" ht="20" customHeight="1">
      <c r="B834" s="72" t="n"/>
      <c r="C834" s="72" t="n"/>
      <c r="D834" s="72" t="n"/>
      <c r="E834" s="72" t="n"/>
      <c r="F834" s="110" t="n"/>
      <c r="G834" s="73" t="n"/>
      <c r="H834" s="75">
        <f>IF(B834="","",IF(G834&lt;&gt;"",G834,IF(F834&lt;&gt;"",F834*IFERROR(INDEX('Contractors'!$I$6:$I$1005,MATCH(B834,'Contractors'!$B$6:$B$1005,0)),0),"")))</f>
        <v/>
      </c>
      <c r="I834" s="109" t="n"/>
      <c r="J834" s="72" t="n"/>
      <c r="K834" s="109" t="n"/>
      <c r="L834" s="73" t="n"/>
      <c r="M834" s="109" t="n"/>
      <c r="N834" s="73" t="n"/>
      <c r="O834" s="107">
        <f>IF(B834="","",IF(M834&lt;&gt;"","Paid",IF(AND(I834&lt;&gt;"",I834&lt;AsOf),"OVERDUE",IF(OR(K834&lt;&gt;"",L834&lt;&gt;""),"Invoiced","Scheduled"))))</f>
        <v/>
      </c>
      <c r="P834" s="115">
        <f>IF(B834="","",IF(E834&lt;&gt;"",E834,IFERROR(INDEX('Contractors'!$D$6:$D$1005,MATCH(B834,'Contractors'!$B$6:$B$1005,0)),"")))</f>
        <v/>
      </c>
      <c r="Q834" s="79">
        <f>IF(B834="","",IF(D834&lt;&gt;"",D834,IFERROR(INDEX('Contractors'!$E$6:$E$1005,MATCH(B834,'Contractors'!$B$6:$B$1005,0)),"")))</f>
        <v/>
      </c>
      <c r="R834" s="79">
        <f>IF(O834="","",IF(O834="OVERDUE",2,IF(O834="Paid",0,IF(AND(I834&lt;&gt;"",I834&lt;=AsOf+AlertDays),1,0))))</f>
        <v/>
      </c>
      <c r="S834" s="79">
        <f>IF(AND(B834&lt;&gt;"",M834="",I834&lt;&gt;""),IF(L834&lt;&gt;"",L834,IF(H834="",0,H834)),0)</f>
        <v/>
      </c>
      <c r="T834" s="79">
        <f>IF(AND(B834&lt;&gt;"",M834="",I834&lt;&gt;""),1/I834,0)</f>
        <v/>
      </c>
      <c r="U834" s="112">
        <f>IF(AND(B834&lt;&gt;"",M834="",I834&lt;&gt;""),I834,"")</f>
        <v/>
      </c>
      <c r="V834" s="79">
        <f>IF(U834="","",IF(U834&lt;AsOf,1,IF(U834&lt;=AsOf+AlertDays,2,IF(U834&lt;=AsOf+2*AlertDays,3,""))))</f>
        <v/>
      </c>
      <c r="W834" s="79">
        <f>IF(V834="","",IF(O834="OVERDUE","Overdue payment: ","Payment due: ")&amp;B834&amp;" — "&amp;C834&amp;" ("&amp;CurSym&amp;" "&amp;FIXED(S834,0)&amp;")")</f>
        <v/>
      </c>
      <c r="Z834" s="116">
        <f>IF('Contractors'!B834="","",'Contractors'!B834)</f>
        <v/>
      </c>
      <c r="AA834" s="77">
        <f>IF(Z834="","",'Contractors'!K834)</f>
        <v/>
      </c>
      <c r="AB834" s="77">
        <f>IF(Z834="","",SUMIFS($L$6:$L$1005,$B$6:$B$1005,Z834))</f>
        <v/>
      </c>
      <c r="AC834" s="77">
        <f>IF(Z834="","",SUMIFS($N$6:$N$1005,$B$6:$B$1005,Z834))</f>
        <v/>
      </c>
      <c r="AD834" s="76">
        <f>IF(Z834="","",AA834-AC834)</f>
        <v/>
      </c>
      <c r="AE834" s="117">
        <f>IF(Z834="","",IFERROR(1/SUMPRODUCT(MAX(($B$6:$B$1005=Z834)*$T$6:$T$1005)),""))</f>
        <v/>
      </c>
      <c r="AF834" s="77">
        <f>IF(AE834="","",SUMIFS($S$6:$S$1005,$B$6:$B$1005,Z834,$I$6:$I$1005,AE834))</f>
        <v/>
      </c>
    </row>
    <row r="835" ht="20" customHeight="1">
      <c r="B835" s="72" t="n"/>
      <c r="C835" s="72" t="n"/>
      <c r="D835" s="72" t="n"/>
      <c r="E835" s="72" t="n"/>
      <c r="F835" s="110" t="n"/>
      <c r="G835" s="73" t="n"/>
      <c r="H835" s="75">
        <f>IF(B835="","",IF(G835&lt;&gt;"",G835,IF(F835&lt;&gt;"",F835*IFERROR(INDEX('Contractors'!$I$6:$I$1005,MATCH(B835,'Contractors'!$B$6:$B$1005,0)),0),"")))</f>
        <v/>
      </c>
      <c r="I835" s="109" t="n"/>
      <c r="J835" s="72" t="n"/>
      <c r="K835" s="109" t="n"/>
      <c r="L835" s="73" t="n"/>
      <c r="M835" s="109" t="n"/>
      <c r="N835" s="73" t="n"/>
      <c r="O835" s="107">
        <f>IF(B835="","",IF(M835&lt;&gt;"","Paid",IF(AND(I835&lt;&gt;"",I835&lt;AsOf),"OVERDUE",IF(OR(K835&lt;&gt;"",L835&lt;&gt;""),"Invoiced","Scheduled"))))</f>
        <v/>
      </c>
      <c r="P835" s="115">
        <f>IF(B835="","",IF(E835&lt;&gt;"",E835,IFERROR(INDEX('Contractors'!$D$6:$D$1005,MATCH(B835,'Contractors'!$B$6:$B$1005,0)),"")))</f>
        <v/>
      </c>
      <c r="Q835" s="79">
        <f>IF(B835="","",IF(D835&lt;&gt;"",D835,IFERROR(INDEX('Contractors'!$E$6:$E$1005,MATCH(B835,'Contractors'!$B$6:$B$1005,0)),"")))</f>
        <v/>
      </c>
      <c r="R835" s="79">
        <f>IF(O835="","",IF(O835="OVERDUE",2,IF(O835="Paid",0,IF(AND(I835&lt;&gt;"",I835&lt;=AsOf+AlertDays),1,0))))</f>
        <v/>
      </c>
      <c r="S835" s="79">
        <f>IF(AND(B835&lt;&gt;"",M835="",I835&lt;&gt;""),IF(L835&lt;&gt;"",L835,IF(H835="",0,H835)),0)</f>
        <v/>
      </c>
      <c r="T835" s="79">
        <f>IF(AND(B835&lt;&gt;"",M835="",I835&lt;&gt;""),1/I835,0)</f>
        <v/>
      </c>
      <c r="U835" s="112">
        <f>IF(AND(B835&lt;&gt;"",M835="",I835&lt;&gt;""),I835,"")</f>
        <v/>
      </c>
      <c r="V835" s="79">
        <f>IF(U835="","",IF(U835&lt;AsOf,1,IF(U835&lt;=AsOf+AlertDays,2,IF(U835&lt;=AsOf+2*AlertDays,3,""))))</f>
        <v/>
      </c>
      <c r="W835" s="79">
        <f>IF(V835="","",IF(O835="OVERDUE","Overdue payment: ","Payment due: ")&amp;B835&amp;" — "&amp;C835&amp;" ("&amp;CurSym&amp;" "&amp;FIXED(S835,0)&amp;")")</f>
        <v/>
      </c>
      <c r="Z835" s="116">
        <f>IF('Contractors'!B835="","",'Contractors'!B835)</f>
        <v/>
      </c>
      <c r="AA835" s="77">
        <f>IF(Z835="","",'Contractors'!K835)</f>
        <v/>
      </c>
      <c r="AB835" s="77">
        <f>IF(Z835="","",SUMIFS($L$6:$L$1005,$B$6:$B$1005,Z835))</f>
        <v/>
      </c>
      <c r="AC835" s="77">
        <f>IF(Z835="","",SUMIFS($N$6:$N$1005,$B$6:$B$1005,Z835))</f>
        <v/>
      </c>
      <c r="AD835" s="76">
        <f>IF(Z835="","",AA835-AC835)</f>
        <v/>
      </c>
      <c r="AE835" s="117">
        <f>IF(Z835="","",IFERROR(1/SUMPRODUCT(MAX(($B$6:$B$1005=Z835)*$T$6:$T$1005)),""))</f>
        <v/>
      </c>
      <c r="AF835" s="77">
        <f>IF(AE835="","",SUMIFS($S$6:$S$1005,$B$6:$B$1005,Z835,$I$6:$I$1005,AE835))</f>
        <v/>
      </c>
    </row>
    <row r="836" ht="20" customHeight="1">
      <c r="B836" s="72" t="n"/>
      <c r="C836" s="72" t="n"/>
      <c r="D836" s="72" t="n"/>
      <c r="E836" s="72" t="n"/>
      <c r="F836" s="110" t="n"/>
      <c r="G836" s="73" t="n"/>
      <c r="H836" s="75">
        <f>IF(B836="","",IF(G836&lt;&gt;"",G836,IF(F836&lt;&gt;"",F836*IFERROR(INDEX('Contractors'!$I$6:$I$1005,MATCH(B836,'Contractors'!$B$6:$B$1005,0)),0),"")))</f>
        <v/>
      </c>
      <c r="I836" s="109" t="n"/>
      <c r="J836" s="72" t="n"/>
      <c r="K836" s="109" t="n"/>
      <c r="L836" s="73" t="n"/>
      <c r="M836" s="109" t="n"/>
      <c r="N836" s="73" t="n"/>
      <c r="O836" s="107">
        <f>IF(B836="","",IF(M836&lt;&gt;"","Paid",IF(AND(I836&lt;&gt;"",I836&lt;AsOf),"OVERDUE",IF(OR(K836&lt;&gt;"",L836&lt;&gt;""),"Invoiced","Scheduled"))))</f>
        <v/>
      </c>
      <c r="P836" s="115">
        <f>IF(B836="","",IF(E836&lt;&gt;"",E836,IFERROR(INDEX('Contractors'!$D$6:$D$1005,MATCH(B836,'Contractors'!$B$6:$B$1005,0)),"")))</f>
        <v/>
      </c>
      <c r="Q836" s="79">
        <f>IF(B836="","",IF(D836&lt;&gt;"",D836,IFERROR(INDEX('Contractors'!$E$6:$E$1005,MATCH(B836,'Contractors'!$B$6:$B$1005,0)),"")))</f>
        <v/>
      </c>
      <c r="R836" s="79">
        <f>IF(O836="","",IF(O836="OVERDUE",2,IF(O836="Paid",0,IF(AND(I836&lt;&gt;"",I836&lt;=AsOf+AlertDays),1,0))))</f>
        <v/>
      </c>
      <c r="S836" s="79">
        <f>IF(AND(B836&lt;&gt;"",M836="",I836&lt;&gt;""),IF(L836&lt;&gt;"",L836,IF(H836="",0,H836)),0)</f>
        <v/>
      </c>
      <c r="T836" s="79">
        <f>IF(AND(B836&lt;&gt;"",M836="",I836&lt;&gt;""),1/I836,0)</f>
        <v/>
      </c>
      <c r="U836" s="112">
        <f>IF(AND(B836&lt;&gt;"",M836="",I836&lt;&gt;""),I836,"")</f>
        <v/>
      </c>
      <c r="V836" s="79">
        <f>IF(U836="","",IF(U836&lt;AsOf,1,IF(U836&lt;=AsOf+AlertDays,2,IF(U836&lt;=AsOf+2*AlertDays,3,""))))</f>
        <v/>
      </c>
      <c r="W836" s="79">
        <f>IF(V836="","",IF(O836="OVERDUE","Overdue payment: ","Payment due: ")&amp;B836&amp;" — "&amp;C836&amp;" ("&amp;CurSym&amp;" "&amp;FIXED(S836,0)&amp;")")</f>
        <v/>
      </c>
      <c r="Z836" s="116">
        <f>IF('Contractors'!B836="","",'Contractors'!B836)</f>
        <v/>
      </c>
      <c r="AA836" s="77">
        <f>IF(Z836="","",'Contractors'!K836)</f>
        <v/>
      </c>
      <c r="AB836" s="77">
        <f>IF(Z836="","",SUMIFS($L$6:$L$1005,$B$6:$B$1005,Z836))</f>
        <v/>
      </c>
      <c r="AC836" s="77">
        <f>IF(Z836="","",SUMIFS($N$6:$N$1005,$B$6:$B$1005,Z836))</f>
        <v/>
      </c>
      <c r="AD836" s="76">
        <f>IF(Z836="","",AA836-AC836)</f>
        <v/>
      </c>
      <c r="AE836" s="117">
        <f>IF(Z836="","",IFERROR(1/SUMPRODUCT(MAX(($B$6:$B$1005=Z836)*$T$6:$T$1005)),""))</f>
        <v/>
      </c>
      <c r="AF836" s="77">
        <f>IF(AE836="","",SUMIFS($S$6:$S$1005,$B$6:$B$1005,Z836,$I$6:$I$1005,AE836))</f>
        <v/>
      </c>
    </row>
    <row r="837" ht="20" customHeight="1">
      <c r="B837" s="72" t="n"/>
      <c r="C837" s="72" t="n"/>
      <c r="D837" s="72" t="n"/>
      <c r="E837" s="72" t="n"/>
      <c r="F837" s="110" t="n"/>
      <c r="G837" s="73" t="n"/>
      <c r="H837" s="75">
        <f>IF(B837="","",IF(G837&lt;&gt;"",G837,IF(F837&lt;&gt;"",F837*IFERROR(INDEX('Contractors'!$I$6:$I$1005,MATCH(B837,'Contractors'!$B$6:$B$1005,0)),0),"")))</f>
        <v/>
      </c>
      <c r="I837" s="109" t="n"/>
      <c r="J837" s="72" t="n"/>
      <c r="K837" s="109" t="n"/>
      <c r="L837" s="73" t="n"/>
      <c r="M837" s="109" t="n"/>
      <c r="N837" s="73" t="n"/>
      <c r="O837" s="107">
        <f>IF(B837="","",IF(M837&lt;&gt;"","Paid",IF(AND(I837&lt;&gt;"",I837&lt;AsOf),"OVERDUE",IF(OR(K837&lt;&gt;"",L837&lt;&gt;""),"Invoiced","Scheduled"))))</f>
        <v/>
      </c>
      <c r="P837" s="115">
        <f>IF(B837="","",IF(E837&lt;&gt;"",E837,IFERROR(INDEX('Contractors'!$D$6:$D$1005,MATCH(B837,'Contractors'!$B$6:$B$1005,0)),"")))</f>
        <v/>
      </c>
      <c r="Q837" s="79">
        <f>IF(B837="","",IF(D837&lt;&gt;"",D837,IFERROR(INDEX('Contractors'!$E$6:$E$1005,MATCH(B837,'Contractors'!$B$6:$B$1005,0)),"")))</f>
        <v/>
      </c>
      <c r="R837" s="79">
        <f>IF(O837="","",IF(O837="OVERDUE",2,IF(O837="Paid",0,IF(AND(I837&lt;&gt;"",I837&lt;=AsOf+AlertDays),1,0))))</f>
        <v/>
      </c>
      <c r="S837" s="79">
        <f>IF(AND(B837&lt;&gt;"",M837="",I837&lt;&gt;""),IF(L837&lt;&gt;"",L837,IF(H837="",0,H837)),0)</f>
        <v/>
      </c>
      <c r="T837" s="79">
        <f>IF(AND(B837&lt;&gt;"",M837="",I837&lt;&gt;""),1/I837,0)</f>
        <v/>
      </c>
      <c r="U837" s="112">
        <f>IF(AND(B837&lt;&gt;"",M837="",I837&lt;&gt;""),I837,"")</f>
        <v/>
      </c>
      <c r="V837" s="79">
        <f>IF(U837="","",IF(U837&lt;AsOf,1,IF(U837&lt;=AsOf+AlertDays,2,IF(U837&lt;=AsOf+2*AlertDays,3,""))))</f>
        <v/>
      </c>
      <c r="W837" s="79">
        <f>IF(V837="","",IF(O837="OVERDUE","Overdue payment: ","Payment due: ")&amp;B837&amp;" — "&amp;C837&amp;" ("&amp;CurSym&amp;" "&amp;FIXED(S837,0)&amp;")")</f>
        <v/>
      </c>
      <c r="Z837" s="116">
        <f>IF('Contractors'!B837="","",'Contractors'!B837)</f>
        <v/>
      </c>
      <c r="AA837" s="77">
        <f>IF(Z837="","",'Contractors'!K837)</f>
        <v/>
      </c>
      <c r="AB837" s="77">
        <f>IF(Z837="","",SUMIFS($L$6:$L$1005,$B$6:$B$1005,Z837))</f>
        <v/>
      </c>
      <c r="AC837" s="77">
        <f>IF(Z837="","",SUMIFS($N$6:$N$1005,$B$6:$B$1005,Z837))</f>
        <v/>
      </c>
      <c r="AD837" s="76">
        <f>IF(Z837="","",AA837-AC837)</f>
        <v/>
      </c>
      <c r="AE837" s="117">
        <f>IF(Z837="","",IFERROR(1/SUMPRODUCT(MAX(($B$6:$B$1005=Z837)*$T$6:$T$1005)),""))</f>
        <v/>
      </c>
      <c r="AF837" s="77">
        <f>IF(AE837="","",SUMIFS($S$6:$S$1005,$B$6:$B$1005,Z837,$I$6:$I$1005,AE837))</f>
        <v/>
      </c>
    </row>
    <row r="838" ht="20" customHeight="1">
      <c r="B838" s="72" t="n"/>
      <c r="C838" s="72" t="n"/>
      <c r="D838" s="72" t="n"/>
      <c r="E838" s="72" t="n"/>
      <c r="F838" s="110" t="n"/>
      <c r="G838" s="73" t="n"/>
      <c r="H838" s="75">
        <f>IF(B838="","",IF(G838&lt;&gt;"",G838,IF(F838&lt;&gt;"",F838*IFERROR(INDEX('Contractors'!$I$6:$I$1005,MATCH(B838,'Contractors'!$B$6:$B$1005,0)),0),"")))</f>
        <v/>
      </c>
      <c r="I838" s="109" t="n"/>
      <c r="J838" s="72" t="n"/>
      <c r="K838" s="109" t="n"/>
      <c r="L838" s="73" t="n"/>
      <c r="M838" s="109" t="n"/>
      <c r="N838" s="73" t="n"/>
      <c r="O838" s="107">
        <f>IF(B838="","",IF(M838&lt;&gt;"","Paid",IF(AND(I838&lt;&gt;"",I838&lt;AsOf),"OVERDUE",IF(OR(K838&lt;&gt;"",L838&lt;&gt;""),"Invoiced","Scheduled"))))</f>
        <v/>
      </c>
      <c r="P838" s="115">
        <f>IF(B838="","",IF(E838&lt;&gt;"",E838,IFERROR(INDEX('Contractors'!$D$6:$D$1005,MATCH(B838,'Contractors'!$B$6:$B$1005,0)),"")))</f>
        <v/>
      </c>
      <c r="Q838" s="79">
        <f>IF(B838="","",IF(D838&lt;&gt;"",D838,IFERROR(INDEX('Contractors'!$E$6:$E$1005,MATCH(B838,'Contractors'!$B$6:$B$1005,0)),"")))</f>
        <v/>
      </c>
      <c r="R838" s="79">
        <f>IF(O838="","",IF(O838="OVERDUE",2,IF(O838="Paid",0,IF(AND(I838&lt;&gt;"",I838&lt;=AsOf+AlertDays),1,0))))</f>
        <v/>
      </c>
      <c r="S838" s="79">
        <f>IF(AND(B838&lt;&gt;"",M838="",I838&lt;&gt;""),IF(L838&lt;&gt;"",L838,IF(H838="",0,H838)),0)</f>
        <v/>
      </c>
      <c r="T838" s="79">
        <f>IF(AND(B838&lt;&gt;"",M838="",I838&lt;&gt;""),1/I838,0)</f>
        <v/>
      </c>
      <c r="U838" s="112">
        <f>IF(AND(B838&lt;&gt;"",M838="",I838&lt;&gt;""),I838,"")</f>
        <v/>
      </c>
      <c r="V838" s="79">
        <f>IF(U838="","",IF(U838&lt;AsOf,1,IF(U838&lt;=AsOf+AlertDays,2,IF(U838&lt;=AsOf+2*AlertDays,3,""))))</f>
        <v/>
      </c>
      <c r="W838" s="79">
        <f>IF(V838="","",IF(O838="OVERDUE","Overdue payment: ","Payment due: ")&amp;B838&amp;" — "&amp;C838&amp;" ("&amp;CurSym&amp;" "&amp;FIXED(S838,0)&amp;")")</f>
        <v/>
      </c>
      <c r="Z838" s="116">
        <f>IF('Contractors'!B838="","",'Contractors'!B838)</f>
        <v/>
      </c>
      <c r="AA838" s="77">
        <f>IF(Z838="","",'Contractors'!K838)</f>
        <v/>
      </c>
      <c r="AB838" s="77">
        <f>IF(Z838="","",SUMIFS($L$6:$L$1005,$B$6:$B$1005,Z838))</f>
        <v/>
      </c>
      <c r="AC838" s="77">
        <f>IF(Z838="","",SUMIFS($N$6:$N$1005,$B$6:$B$1005,Z838))</f>
        <v/>
      </c>
      <c r="AD838" s="76">
        <f>IF(Z838="","",AA838-AC838)</f>
        <v/>
      </c>
      <c r="AE838" s="117">
        <f>IF(Z838="","",IFERROR(1/SUMPRODUCT(MAX(($B$6:$B$1005=Z838)*$T$6:$T$1005)),""))</f>
        <v/>
      </c>
      <c r="AF838" s="77">
        <f>IF(AE838="","",SUMIFS($S$6:$S$1005,$B$6:$B$1005,Z838,$I$6:$I$1005,AE838))</f>
        <v/>
      </c>
    </row>
    <row r="839" ht="20" customHeight="1">
      <c r="B839" s="72" t="n"/>
      <c r="C839" s="72" t="n"/>
      <c r="D839" s="72" t="n"/>
      <c r="E839" s="72" t="n"/>
      <c r="F839" s="110" t="n"/>
      <c r="G839" s="73" t="n"/>
      <c r="H839" s="75">
        <f>IF(B839="","",IF(G839&lt;&gt;"",G839,IF(F839&lt;&gt;"",F839*IFERROR(INDEX('Contractors'!$I$6:$I$1005,MATCH(B839,'Contractors'!$B$6:$B$1005,0)),0),"")))</f>
        <v/>
      </c>
      <c r="I839" s="109" t="n"/>
      <c r="J839" s="72" t="n"/>
      <c r="K839" s="109" t="n"/>
      <c r="L839" s="73" t="n"/>
      <c r="M839" s="109" t="n"/>
      <c r="N839" s="73" t="n"/>
      <c r="O839" s="107">
        <f>IF(B839="","",IF(M839&lt;&gt;"","Paid",IF(AND(I839&lt;&gt;"",I839&lt;AsOf),"OVERDUE",IF(OR(K839&lt;&gt;"",L839&lt;&gt;""),"Invoiced","Scheduled"))))</f>
        <v/>
      </c>
      <c r="P839" s="115">
        <f>IF(B839="","",IF(E839&lt;&gt;"",E839,IFERROR(INDEX('Contractors'!$D$6:$D$1005,MATCH(B839,'Contractors'!$B$6:$B$1005,0)),"")))</f>
        <v/>
      </c>
      <c r="Q839" s="79">
        <f>IF(B839="","",IF(D839&lt;&gt;"",D839,IFERROR(INDEX('Contractors'!$E$6:$E$1005,MATCH(B839,'Contractors'!$B$6:$B$1005,0)),"")))</f>
        <v/>
      </c>
      <c r="R839" s="79">
        <f>IF(O839="","",IF(O839="OVERDUE",2,IF(O839="Paid",0,IF(AND(I839&lt;&gt;"",I839&lt;=AsOf+AlertDays),1,0))))</f>
        <v/>
      </c>
      <c r="S839" s="79">
        <f>IF(AND(B839&lt;&gt;"",M839="",I839&lt;&gt;""),IF(L839&lt;&gt;"",L839,IF(H839="",0,H839)),0)</f>
        <v/>
      </c>
      <c r="T839" s="79">
        <f>IF(AND(B839&lt;&gt;"",M839="",I839&lt;&gt;""),1/I839,0)</f>
        <v/>
      </c>
      <c r="U839" s="112">
        <f>IF(AND(B839&lt;&gt;"",M839="",I839&lt;&gt;""),I839,"")</f>
        <v/>
      </c>
      <c r="V839" s="79">
        <f>IF(U839="","",IF(U839&lt;AsOf,1,IF(U839&lt;=AsOf+AlertDays,2,IF(U839&lt;=AsOf+2*AlertDays,3,""))))</f>
        <v/>
      </c>
      <c r="W839" s="79">
        <f>IF(V839="","",IF(O839="OVERDUE","Overdue payment: ","Payment due: ")&amp;B839&amp;" — "&amp;C839&amp;" ("&amp;CurSym&amp;" "&amp;FIXED(S839,0)&amp;")")</f>
        <v/>
      </c>
      <c r="Z839" s="116">
        <f>IF('Contractors'!B839="","",'Contractors'!B839)</f>
        <v/>
      </c>
      <c r="AA839" s="77">
        <f>IF(Z839="","",'Contractors'!K839)</f>
        <v/>
      </c>
      <c r="AB839" s="77">
        <f>IF(Z839="","",SUMIFS($L$6:$L$1005,$B$6:$B$1005,Z839))</f>
        <v/>
      </c>
      <c r="AC839" s="77">
        <f>IF(Z839="","",SUMIFS($N$6:$N$1005,$B$6:$B$1005,Z839))</f>
        <v/>
      </c>
      <c r="AD839" s="76">
        <f>IF(Z839="","",AA839-AC839)</f>
        <v/>
      </c>
      <c r="AE839" s="117">
        <f>IF(Z839="","",IFERROR(1/SUMPRODUCT(MAX(($B$6:$B$1005=Z839)*$T$6:$T$1005)),""))</f>
        <v/>
      </c>
      <c r="AF839" s="77">
        <f>IF(AE839="","",SUMIFS($S$6:$S$1005,$B$6:$B$1005,Z839,$I$6:$I$1005,AE839))</f>
        <v/>
      </c>
    </row>
    <row r="840" ht="20" customHeight="1">
      <c r="B840" s="72" t="n"/>
      <c r="C840" s="72" t="n"/>
      <c r="D840" s="72" t="n"/>
      <c r="E840" s="72" t="n"/>
      <c r="F840" s="110" t="n"/>
      <c r="G840" s="73" t="n"/>
      <c r="H840" s="75">
        <f>IF(B840="","",IF(G840&lt;&gt;"",G840,IF(F840&lt;&gt;"",F840*IFERROR(INDEX('Contractors'!$I$6:$I$1005,MATCH(B840,'Contractors'!$B$6:$B$1005,0)),0),"")))</f>
        <v/>
      </c>
      <c r="I840" s="109" t="n"/>
      <c r="J840" s="72" t="n"/>
      <c r="K840" s="109" t="n"/>
      <c r="L840" s="73" t="n"/>
      <c r="M840" s="109" t="n"/>
      <c r="N840" s="73" t="n"/>
      <c r="O840" s="107">
        <f>IF(B840="","",IF(M840&lt;&gt;"","Paid",IF(AND(I840&lt;&gt;"",I840&lt;AsOf),"OVERDUE",IF(OR(K840&lt;&gt;"",L840&lt;&gt;""),"Invoiced","Scheduled"))))</f>
        <v/>
      </c>
      <c r="P840" s="115">
        <f>IF(B840="","",IF(E840&lt;&gt;"",E840,IFERROR(INDEX('Contractors'!$D$6:$D$1005,MATCH(B840,'Contractors'!$B$6:$B$1005,0)),"")))</f>
        <v/>
      </c>
      <c r="Q840" s="79">
        <f>IF(B840="","",IF(D840&lt;&gt;"",D840,IFERROR(INDEX('Contractors'!$E$6:$E$1005,MATCH(B840,'Contractors'!$B$6:$B$1005,0)),"")))</f>
        <v/>
      </c>
      <c r="R840" s="79">
        <f>IF(O840="","",IF(O840="OVERDUE",2,IF(O840="Paid",0,IF(AND(I840&lt;&gt;"",I840&lt;=AsOf+AlertDays),1,0))))</f>
        <v/>
      </c>
      <c r="S840" s="79">
        <f>IF(AND(B840&lt;&gt;"",M840="",I840&lt;&gt;""),IF(L840&lt;&gt;"",L840,IF(H840="",0,H840)),0)</f>
        <v/>
      </c>
      <c r="T840" s="79">
        <f>IF(AND(B840&lt;&gt;"",M840="",I840&lt;&gt;""),1/I840,0)</f>
        <v/>
      </c>
      <c r="U840" s="112">
        <f>IF(AND(B840&lt;&gt;"",M840="",I840&lt;&gt;""),I840,"")</f>
        <v/>
      </c>
      <c r="V840" s="79">
        <f>IF(U840="","",IF(U840&lt;AsOf,1,IF(U840&lt;=AsOf+AlertDays,2,IF(U840&lt;=AsOf+2*AlertDays,3,""))))</f>
        <v/>
      </c>
      <c r="W840" s="79">
        <f>IF(V840="","",IF(O840="OVERDUE","Overdue payment: ","Payment due: ")&amp;B840&amp;" — "&amp;C840&amp;" ("&amp;CurSym&amp;" "&amp;FIXED(S840,0)&amp;")")</f>
        <v/>
      </c>
      <c r="Z840" s="116">
        <f>IF('Contractors'!B840="","",'Contractors'!B840)</f>
        <v/>
      </c>
      <c r="AA840" s="77">
        <f>IF(Z840="","",'Contractors'!K840)</f>
        <v/>
      </c>
      <c r="AB840" s="77">
        <f>IF(Z840="","",SUMIFS($L$6:$L$1005,$B$6:$B$1005,Z840))</f>
        <v/>
      </c>
      <c r="AC840" s="77">
        <f>IF(Z840="","",SUMIFS($N$6:$N$1005,$B$6:$B$1005,Z840))</f>
        <v/>
      </c>
      <c r="AD840" s="76">
        <f>IF(Z840="","",AA840-AC840)</f>
        <v/>
      </c>
      <c r="AE840" s="117">
        <f>IF(Z840="","",IFERROR(1/SUMPRODUCT(MAX(($B$6:$B$1005=Z840)*$T$6:$T$1005)),""))</f>
        <v/>
      </c>
      <c r="AF840" s="77">
        <f>IF(AE840="","",SUMIFS($S$6:$S$1005,$B$6:$B$1005,Z840,$I$6:$I$1005,AE840))</f>
        <v/>
      </c>
    </row>
    <row r="841" ht="20" customHeight="1">
      <c r="B841" s="72" t="n"/>
      <c r="C841" s="72" t="n"/>
      <c r="D841" s="72" t="n"/>
      <c r="E841" s="72" t="n"/>
      <c r="F841" s="110" t="n"/>
      <c r="G841" s="73" t="n"/>
      <c r="H841" s="75">
        <f>IF(B841="","",IF(G841&lt;&gt;"",G841,IF(F841&lt;&gt;"",F841*IFERROR(INDEX('Contractors'!$I$6:$I$1005,MATCH(B841,'Contractors'!$B$6:$B$1005,0)),0),"")))</f>
        <v/>
      </c>
      <c r="I841" s="109" t="n"/>
      <c r="J841" s="72" t="n"/>
      <c r="K841" s="109" t="n"/>
      <c r="L841" s="73" t="n"/>
      <c r="M841" s="109" t="n"/>
      <c r="N841" s="73" t="n"/>
      <c r="O841" s="107">
        <f>IF(B841="","",IF(M841&lt;&gt;"","Paid",IF(AND(I841&lt;&gt;"",I841&lt;AsOf),"OVERDUE",IF(OR(K841&lt;&gt;"",L841&lt;&gt;""),"Invoiced","Scheduled"))))</f>
        <v/>
      </c>
      <c r="P841" s="115">
        <f>IF(B841="","",IF(E841&lt;&gt;"",E841,IFERROR(INDEX('Contractors'!$D$6:$D$1005,MATCH(B841,'Contractors'!$B$6:$B$1005,0)),"")))</f>
        <v/>
      </c>
      <c r="Q841" s="79">
        <f>IF(B841="","",IF(D841&lt;&gt;"",D841,IFERROR(INDEX('Contractors'!$E$6:$E$1005,MATCH(B841,'Contractors'!$B$6:$B$1005,0)),"")))</f>
        <v/>
      </c>
      <c r="R841" s="79">
        <f>IF(O841="","",IF(O841="OVERDUE",2,IF(O841="Paid",0,IF(AND(I841&lt;&gt;"",I841&lt;=AsOf+AlertDays),1,0))))</f>
        <v/>
      </c>
      <c r="S841" s="79">
        <f>IF(AND(B841&lt;&gt;"",M841="",I841&lt;&gt;""),IF(L841&lt;&gt;"",L841,IF(H841="",0,H841)),0)</f>
        <v/>
      </c>
      <c r="T841" s="79">
        <f>IF(AND(B841&lt;&gt;"",M841="",I841&lt;&gt;""),1/I841,0)</f>
        <v/>
      </c>
      <c r="U841" s="112">
        <f>IF(AND(B841&lt;&gt;"",M841="",I841&lt;&gt;""),I841,"")</f>
        <v/>
      </c>
      <c r="V841" s="79">
        <f>IF(U841="","",IF(U841&lt;AsOf,1,IF(U841&lt;=AsOf+AlertDays,2,IF(U841&lt;=AsOf+2*AlertDays,3,""))))</f>
        <v/>
      </c>
      <c r="W841" s="79">
        <f>IF(V841="","",IF(O841="OVERDUE","Overdue payment: ","Payment due: ")&amp;B841&amp;" — "&amp;C841&amp;" ("&amp;CurSym&amp;" "&amp;FIXED(S841,0)&amp;")")</f>
        <v/>
      </c>
      <c r="Z841" s="116">
        <f>IF('Contractors'!B841="","",'Contractors'!B841)</f>
        <v/>
      </c>
      <c r="AA841" s="77">
        <f>IF(Z841="","",'Contractors'!K841)</f>
        <v/>
      </c>
      <c r="AB841" s="77">
        <f>IF(Z841="","",SUMIFS($L$6:$L$1005,$B$6:$B$1005,Z841))</f>
        <v/>
      </c>
      <c r="AC841" s="77">
        <f>IF(Z841="","",SUMIFS($N$6:$N$1005,$B$6:$B$1005,Z841))</f>
        <v/>
      </c>
      <c r="AD841" s="76">
        <f>IF(Z841="","",AA841-AC841)</f>
        <v/>
      </c>
      <c r="AE841" s="117">
        <f>IF(Z841="","",IFERROR(1/SUMPRODUCT(MAX(($B$6:$B$1005=Z841)*$T$6:$T$1005)),""))</f>
        <v/>
      </c>
      <c r="AF841" s="77">
        <f>IF(AE841="","",SUMIFS($S$6:$S$1005,$B$6:$B$1005,Z841,$I$6:$I$1005,AE841))</f>
        <v/>
      </c>
    </row>
    <row r="842" ht="20" customHeight="1">
      <c r="B842" s="72" t="n"/>
      <c r="C842" s="72" t="n"/>
      <c r="D842" s="72" t="n"/>
      <c r="E842" s="72" t="n"/>
      <c r="F842" s="110" t="n"/>
      <c r="G842" s="73" t="n"/>
      <c r="H842" s="75">
        <f>IF(B842="","",IF(G842&lt;&gt;"",G842,IF(F842&lt;&gt;"",F842*IFERROR(INDEX('Contractors'!$I$6:$I$1005,MATCH(B842,'Contractors'!$B$6:$B$1005,0)),0),"")))</f>
        <v/>
      </c>
      <c r="I842" s="109" t="n"/>
      <c r="J842" s="72" t="n"/>
      <c r="K842" s="109" t="n"/>
      <c r="L842" s="73" t="n"/>
      <c r="M842" s="109" t="n"/>
      <c r="N842" s="73" t="n"/>
      <c r="O842" s="107">
        <f>IF(B842="","",IF(M842&lt;&gt;"","Paid",IF(AND(I842&lt;&gt;"",I842&lt;AsOf),"OVERDUE",IF(OR(K842&lt;&gt;"",L842&lt;&gt;""),"Invoiced","Scheduled"))))</f>
        <v/>
      </c>
      <c r="P842" s="115">
        <f>IF(B842="","",IF(E842&lt;&gt;"",E842,IFERROR(INDEX('Contractors'!$D$6:$D$1005,MATCH(B842,'Contractors'!$B$6:$B$1005,0)),"")))</f>
        <v/>
      </c>
      <c r="Q842" s="79">
        <f>IF(B842="","",IF(D842&lt;&gt;"",D842,IFERROR(INDEX('Contractors'!$E$6:$E$1005,MATCH(B842,'Contractors'!$B$6:$B$1005,0)),"")))</f>
        <v/>
      </c>
      <c r="R842" s="79">
        <f>IF(O842="","",IF(O842="OVERDUE",2,IF(O842="Paid",0,IF(AND(I842&lt;&gt;"",I842&lt;=AsOf+AlertDays),1,0))))</f>
        <v/>
      </c>
      <c r="S842" s="79">
        <f>IF(AND(B842&lt;&gt;"",M842="",I842&lt;&gt;""),IF(L842&lt;&gt;"",L842,IF(H842="",0,H842)),0)</f>
        <v/>
      </c>
      <c r="T842" s="79">
        <f>IF(AND(B842&lt;&gt;"",M842="",I842&lt;&gt;""),1/I842,0)</f>
        <v/>
      </c>
      <c r="U842" s="112">
        <f>IF(AND(B842&lt;&gt;"",M842="",I842&lt;&gt;""),I842,"")</f>
        <v/>
      </c>
      <c r="V842" s="79">
        <f>IF(U842="","",IF(U842&lt;AsOf,1,IF(U842&lt;=AsOf+AlertDays,2,IF(U842&lt;=AsOf+2*AlertDays,3,""))))</f>
        <v/>
      </c>
      <c r="W842" s="79">
        <f>IF(V842="","",IF(O842="OVERDUE","Overdue payment: ","Payment due: ")&amp;B842&amp;" — "&amp;C842&amp;" ("&amp;CurSym&amp;" "&amp;FIXED(S842,0)&amp;")")</f>
        <v/>
      </c>
      <c r="Z842" s="116">
        <f>IF('Contractors'!B842="","",'Contractors'!B842)</f>
        <v/>
      </c>
      <c r="AA842" s="77">
        <f>IF(Z842="","",'Contractors'!K842)</f>
        <v/>
      </c>
      <c r="AB842" s="77">
        <f>IF(Z842="","",SUMIFS($L$6:$L$1005,$B$6:$B$1005,Z842))</f>
        <v/>
      </c>
      <c r="AC842" s="77">
        <f>IF(Z842="","",SUMIFS($N$6:$N$1005,$B$6:$B$1005,Z842))</f>
        <v/>
      </c>
      <c r="AD842" s="76">
        <f>IF(Z842="","",AA842-AC842)</f>
        <v/>
      </c>
      <c r="AE842" s="117">
        <f>IF(Z842="","",IFERROR(1/SUMPRODUCT(MAX(($B$6:$B$1005=Z842)*$T$6:$T$1005)),""))</f>
        <v/>
      </c>
      <c r="AF842" s="77">
        <f>IF(AE842="","",SUMIFS($S$6:$S$1005,$B$6:$B$1005,Z842,$I$6:$I$1005,AE842))</f>
        <v/>
      </c>
    </row>
    <row r="843" ht="20" customHeight="1">
      <c r="B843" s="72" t="n"/>
      <c r="C843" s="72" t="n"/>
      <c r="D843" s="72" t="n"/>
      <c r="E843" s="72" t="n"/>
      <c r="F843" s="110" t="n"/>
      <c r="G843" s="73" t="n"/>
      <c r="H843" s="75">
        <f>IF(B843="","",IF(G843&lt;&gt;"",G843,IF(F843&lt;&gt;"",F843*IFERROR(INDEX('Contractors'!$I$6:$I$1005,MATCH(B843,'Contractors'!$B$6:$B$1005,0)),0),"")))</f>
        <v/>
      </c>
      <c r="I843" s="109" t="n"/>
      <c r="J843" s="72" t="n"/>
      <c r="K843" s="109" t="n"/>
      <c r="L843" s="73" t="n"/>
      <c r="M843" s="109" t="n"/>
      <c r="N843" s="73" t="n"/>
      <c r="O843" s="107">
        <f>IF(B843="","",IF(M843&lt;&gt;"","Paid",IF(AND(I843&lt;&gt;"",I843&lt;AsOf),"OVERDUE",IF(OR(K843&lt;&gt;"",L843&lt;&gt;""),"Invoiced","Scheduled"))))</f>
        <v/>
      </c>
      <c r="P843" s="115">
        <f>IF(B843="","",IF(E843&lt;&gt;"",E843,IFERROR(INDEX('Contractors'!$D$6:$D$1005,MATCH(B843,'Contractors'!$B$6:$B$1005,0)),"")))</f>
        <v/>
      </c>
      <c r="Q843" s="79">
        <f>IF(B843="","",IF(D843&lt;&gt;"",D843,IFERROR(INDEX('Contractors'!$E$6:$E$1005,MATCH(B843,'Contractors'!$B$6:$B$1005,0)),"")))</f>
        <v/>
      </c>
      <c r="R843" s="79">
        <f>IF(O843="","",IF(O843="OVERDUE",2,IF(O843="Paid",0,IF(AND(I843&lt;&gt;"",I843&lt;=AsOf+AlertDays),1,0))))</f>
        <v/>
      </c>
      <c r="S843" s="79">
        <f>IF(AND(B843&lt;&gt;"",M843="",I843&lt;&gt;""),IF(L843&lt;&gt;"",L843,IF(H843="",0,H843)),0)</f>
        <v/>
      </c>
      <c r="T843" s="79">
        <f>IF(AND(B843&lt;&gt;"",M843="",I843&lt;&gt;""),1/I843,0)</f>
        <v/>
      </c>
      <c r="U843" s="112">
        <f>IF(AND(B843&lt;&gt;"",M843="",I843&lt;&gt;""),I843,"")</f>
        <v/>
      </c>
      <c r="V843" s="79">
        <f>IF(U843="","",IF(U843&lt;AsOf,1,IF(U843&lt;=AsOf+AlertDays,2,IF(U843&lt;=AsOf+2*AlertDays,3,""))))</f>
        <v/>
      </c>
      <c r="W843" s="79">
        <f>IF(V843="","",IF(O843="OVERDUE","Overdue payment: ","Payment due: ")&amp;B843&amp;" — "&amp;C843&amp;" ("&amp;CurSym&amp;" "&amp;FIXED(S843,0)&amp;")")</f>
        <v/>
      </c>
      <c r="Z843" s="116">
        <f>IF('Contractors'!B843="","",'Contractors'!B843)</f>
        <v/>
      </c>
      <c r="AA843" s="77">
        <f>IF(Z843="","",'Contractors'!K843)</f>
        <v/>
      </c>
      <c r="AB843" s="77">
        <f>IF(Z843="","",SUMIFS($L$6:$L$1005,$B$6:$B$1005,Z843))</f>
        <v/>
      </c>
      <c r="AC843" s="77">
        <f>IF(Z843="","",SUMIFS($N$6:$N$1005,$B$6:$B$1005,Z843))</f>
        <v/>
      </c>
      <c r="AD843" s="76">
        <f>IF(Z843="","",AA843-AC843)</f>
        <v/>
      </c>
      <c r="AE843" s="117">
        <f>IF(Z843="","",IFERROR(1/SUMPRODUCT(MAX(($B$6:$B$1005=Z843)*$T$6:$T$1005)),""))</f>
        <v/>
      </c>
      <c r="AF843" s="77">
        <f>IF(AE843="","",SUMIFS($S$6:$S$1005,$B$6:$B$1005,Z843,$I$6:$I$1005,AE843))</f>
        <v/>
      </c>
    </row>
    <row r="844" ht="20" customHeight="1">
      <c r="B844" s="72" t="n"/>
      <c r="C844" s="72" t="n"/>
      <c r="D844" s="72" t="n"/>
      <c r="E844" s="72" t="n"/>
      <c r="F844" s="110" t="n"/>
      <c r="G844" s="73" t="n"/>
      <c r="H844" s="75">
        <f>IF(B844="","",IF(G844&lt;&gt;"",G844,IF(F844&lt;&gt;"",F844*IFERROR(INDEX('Contractors'!$I$6:$I$1005,MATCH(B844,'Contractors'!$B$6:$B$1005,0)),0),"")))</f>
        <v/>
      </c>
      <c r="I844" s="109" t="n"/>
      <c r="J844" s="72" t="n"/>
      <c r="K844" s="109" t="n"/>
      <c r="L844" s="73" t="n"/>
      <c r="M844" s="109" t="n"/>
      <c r="N844" s="73" t="n"/>
      <c r="O844" s="107">
        <f>IF(B844="","",IF(M844&lt;&gt;"","Paid",IF(AND(I844&lt;&gt;"",I844&lt;AsOf),"OVERDUE",IF(OR(K844&lt;&gt;"",L844&lt;&gt;""),"Invoiced","Scheduled"))))</f>
        <v/>
      </c>
      <c r="P844" s="115">
        <f>IF(B844="","",IF(E844&lt;&gt;"",E844,IFERROR(INDEX('Contractors'!$D$6:$D$1005,MATCH(B844,'Contractors'!$B$6:$B$1005,0)),"")))</f>
        <v/>
      </c>
      <c r="Q844" s="79">
        <f>IF(B844="","",IF(D844&lt;&gt;"",D844,IFERROR(INDEX('Contractors'!$E$6:$E$1005,MATCH(B844,'Contractors'!$B$6:$B$1005,0)),"")))</f>
        <v/>
      </c>
      <c r="R844" s="79">
        <f>IF(O844="","",IF(O844="OVERDUE",2,IF(O844="Paid",0,IF(AND(I844&lt;&gt;"",I844&lt;=AsOf+AlertDays),1,0))))</f>
        <v/>
      </c>
      <c r="S844" s="79">
        <f>IF(AND(B844&lt;&gt;"",M844="",I844&lt;&gt;""),IF(L844&lt;&gt;"",L844,IF(H844="",0,H844)),0)</f>
        <v/>
      </c>
      <c r="T844" s="79">
        <f>IF(AND(B844&lt;&gt;"",M844="",I844&lt;&gt;""),1/I844,0)</f>
        <v/>
      </c>
      <c r="U844" s="112">
        <f>IF(AND(B844&lt;&gt;"",M844="",I844&lt;&gt;""),I844,"")</f>
        <v/>
      </c>
      <c r="V844" s="79">
        <f>IF(U844="","",IF(U844&lt;AsOf,1,IF(U844&lt;=AsOf+AlertDays,2,IF(U844&lt;=AsOf+2*AlertDays,3,""))))</f>
        <v/>
      </c>
      <c r="W844" s="79">
        <f>IF(V844="","",IF(O844="OVERDUE","Overdue payment: ","Payment due: ")&amp;B844&amp;" — "&amp;C844&amp;" ("&amp;CurSym&amp;" "&amp;FIXED(S844,0)&amp;")")</f>
        <v/>
      </c>
      <c r="Z844" s="116">
        <f>IF('Contractors'!B844="","",'Contractors'!B844)</f>
        <v/>
      </c>
      <c r="AA844" s="77">
        <f>IF(Z844="","",'Contractors'!K844)</f>
        <v/>
      </c>
      <c r="AB844" s="77">
        <f>IF(Z844="","",SUMIFS($L$6:$L$1005,$B$6:$B$1005,Z844))</f>
        <v/>
      </c>
      <c r="AC844" s="77">
        <f>IF(Z844="","",SUMIFS($N$6:$N$1005,$B$6:$B$1005,Z844))</f>
        <v/>
      </c>
      <c r="AD844" s="76">
        <f>IF(Z844="","",AA844-AC844)</f>
        <v/>
      </c>
      <c r="AE844" s="117">
        <f>IF(Z844="","",IFERROR(1/SUMPRODUCT(MAX(($B$6:$B$1005=Z844)*$T$6:$T$1005)),""))</f>
        <v/>
      </c>
      <c r="AF844" s="77">
        <f>IF(AE844="","",SUMIFS($S$6:$S$1005,$B$6:$B$1005,Z844,$I$6:$I$1005,AE844))</f>
        <v/>
      </c>
    </row>
    <row r="845" ht="20" customHeight="1">
      <c r="B845" s="72" t="n"/>
      <c r="C845" s="72" t="n"/>
      <c r="D845" s="72" t="n"/>
      <c r="E845" s="72" t="n"/>
      <c r="F845" s="110" t="n"/>
      <c r="G845" s="73" t="n"/>
      <c r="H845" s="75">
        <f>IF(B845="","",IF(G845&lt;&gt;"",G845,IF(F845&lt;&gt;"",F845*IFERROR(INDEX('Contractors'!$I$6:$I$1005,MATCH(B845,'Contractors'!$B$6:$B$1005,0)),0),"")))</f>
        <v/>
      </c>
      <c r="I845" s="109" t="n"/>
      <c r="J845" s="72" t="n"/>
      <c r="K845" s="109" t="n"/>
      <c r="L845" s="73" t="n"/>
      <c r="M845" s="109" t="n"/>
      <c r="N845" s="73" t="n"/>
      <c r="O845" s="107">
        <f>IF(B845="","",IF(M845&lt;&gt;"","Paid",IF(AND(I845&lt;&gt;"",I845&lt;AsOf),"OVERDUE",IF(OR(K845&lt;&gt;"",L845&lt;&gt;""),"Invoiced","Scheduled"))))</f>
        <v/>
      </c>
      <c r="P845" s="115">
        <f>IF(B845="","",IF(E845&lt;&gt;"",E845,IFERROR(INDEX('Contractors'!$D$6:$D$1005,MATCH(B845,'Contractors'!$B$6:$B$1005,0)),"")))</f>
        <v/>
      </c>
      <c r="Q845" s="79">
        <f>IF(B845="","",IF(D845&lt;&gt;"",D845,IFERROR(INDEX('Contractors'!$E$6:$E$1005,MATCH(B845,'Contractors'!$B$6:$B$1005,0)),"")))</f>
        <v/>
      </c>
      <c r="R845" s="79">
        <f>IF(O845="","",IF(O845="OVERDUE",2,IF(O845="Paid",0,IF(AND(I845&lt;&gt;"",I845&lt;=AsOf+AlertDays),1,0))))</f>
        <v/>
      </c>
      <c r="S845" s="79">
        <f>IF(AND(B845&lt;&gt;"",M845="",I845&lt;&gt;""),IF(L845&lt;&gt;"",L845,IF(H845="",0,H845)),0)</f>
        <v/>
      </c>
      <c r="T845" s="79">
        <f>IF(AND(B845&lt;&gt;"",M845="",I845&lt;&gt;""),1/I845,0)</f>
        <v/>
      </c>
      <c r="U845" s="112">
        <f>IF(AND(B845&lt;&gt;"",M845="",I845&lt;&gt;""),I845,"")</f>
        <v/>
      </c>
      <c r="V845" s="79">
        <f>IF(U845="","",IF(U845&lt;AsOf,1,IF(U845&lt;=AsOf+AlertDays,2,IF(U845&lt;=AsOf+2*AlertDays,3,""))))</f>
        <v/>
      </c>
      <c r="W845" s="79">
        <f>IF(V845="","",IF(O845="OVERDUE","Overdue payment: ","Payment due: ")&amp;B845&amp;" — "&amp;C845&amp;" ("&amp;CurSym&amp;" "&amp;FIXED(S845,0)&amp;")")</f>
        <v/>
      </c>
      <c r="Z845" s="116">
        <f>IF('Contractors'!B845="","",'Contractors'!B845)</f>
        <v/>
      </c>
      <c r="AA845" s="77">
        <f>IF(Z845="","",'Contractors'!K845)</f>
        <v/>
      </c>
      <c r="AB845" s="77">
        <f>IF(Z845="","",SUMIFS($L$6:$L$1005,$B$6:$B$1005,Z845))</f>
        <v/>
      </c>
      <c r="AC845" s="77">
        <f>IF(Z845="","",SUMIFS($N$6:$N$1005,$B$6:$B$1005,Z845))</f>
        <v/>
      </c>
      <c r="AD845" s="76">
        <f>IF(Z845="","",AA845-AC845)</f>
        <v/>
      </c>
      <c r="AE845" s="117">
        <f>IF(Z845="","",IFERROR(1/SUMPRODUCT(MAX(($B$6:$B$1005=Z845)*$T$6:$T$1005)),""))</f>
        <v/>
      </c>
      <c r="AF845" s="77">
        <f>IF(AE845="","",SUMIFS($S$6:$S$1005,$B$6:$B$1005,Z845,$I$6:$I$1005,AE845))</f>
        <v/>
      </c>
    </row>
    <row r="846" ht="20" customHeight="1">
      <c r="B846" s="72" t="n"/>
      <c r="C846" s="72" t="n"/>
      <c r="D846" s="72" t="n"/>
      <c r="E846" s="72" t="n"/>
      <c r="F846" s="110" t="n"/>
      <c r="G846" s="73" t="n"/>
      <c r="H846" s="75">
        <f>IF(B846="","",IF(G846&lt;&gt;"",G846,IF(F846&lt;&gt;"",F846*IFERROR(INDEX('Contractors'!$I$6:$I$1005,MATCH(B846,'Contractors'!$B$6:$B$1005,0)),0),"")))</f>
        <v/>
      </c>
      <c r="I846" s="109" t="n"/>
      <c r="J846" s="72" t="n"/>
      <c r="K846" s="109" t="n"/>
      <c r="L846" s="73" t="n"/>
      <c r="M846" s="109" t="n"/>
      <c r="N846" s="73" t="n"/>
      <c r="O846" s="107">
        <f>IF(B846="","",IF(M846&lt;&gt;"","Paid",IF(AND(I846&lt;&gt;"",I846&lt;AsOf),"OVERDUE",IF(OR(K846&lt;&gt;"",L846&lt;&gt;""),"Invoiced","Scheduled"))))</f>
        <v/>
      </c>
      <c r="P846" s="115">
        <f>IF(B846="","",IF(E846&lt;&gt;"",E846,IFERROR(INDEX('Contractors'!$D$6:$D$1005,MATCH(B846,'Contractors'!$B$6:$B$1005,0)),"")))</f>
        <v/>
      </c>
      <c r="Q846" s="79">
        <f>IF(B846="","",IF(D846&lt;&gt;"",D846,IFERROR(INDEX('Contractors'!$E$6:$E$1005,MATCH(B846,'Contractors'!$B$6:$B$1005,0)),"")))</f>
        <v/>
      </c>
      <c r="R846" s="79">
        <f>IF(O846="","",IF(O846="OVERDUE",2,IF(O846="Paid",0,IF(AND(I846&lt;&gt;"",I846&lt;=AsOf+AlertDays),1,0))))</f>
        <v/>
      </c>
      <c r="S846" s="79">
        <f>IF(AND(B846&lt;&gt;"",M846="",I846&lt;&gt;""),IF(L846&lt;&gt;"",L846,IF(H846="",0,H846)),0)</f>
        <v/>
      </c>
      <c r="T846" s="79">
        <f>IF(AND(B846&lt;&gt;"",M846="",I846&lt;&gt;""),1/I846,0)</f>
        <v/>
      </c>
      <c r="U846" s="112">
        <f>IF(AND(B846&lt;&gt;"",M846="",I846&lt;&gt;""),I846,"")</f>
        <v/>
      </c>
      <c r="V846" s="79">
        <f>IF(U846="","",IF(U846&lt;AsOf,1,IF(U846&lt;=AsOf+AlertDays,2,IF(U846&lt;=AsOf+2*AlertDays,3,""))))</f>
        <v/>
      </c>
      <c r="W846" s="79">
        <f>IF(V846="","",IF(O846="OVERDUE","Overdue payment: ","Payment due: ")&amp;B846&amp;" — "&amp;C846&amp;" ("&amp;CurSym&amp;" "&amp;FIXED(S846,0)&amp;")")</f>
        <v/>
      </c>
      <c r="Z846" s="116">
        <f>IF('Contractors'!B846="","",'Contractors'!B846)</f>
        <v/>
      </c>
      <c r="AA846" s="77">
        <f>IF(Z846="","",'Contractors'!K846)</f>
        <v/>
      </c>
      <c r="AB846" s="77">
        <f>IF(Z846="","",SUMIFS($L$6:$L$1005,$B$6:$B$1005,Z846))</f>
        <v/>
      </c>
      <c r="AC846" s="77">
        <f>IF(Z846="","",SUMIFS($N$6:$N$1005,$B$6:$B$1005,Z846))</f>
        <v/>
      </c>
      <c r="AD846" s="76">
        <f>IF(Z846="","",AA846-AC846)</f>
        <v/>
      </c>
      <c r="AE846" s="117">
        <f>IF(Z846="","",IFERROR(1/SUMPRODUCT(MAX(($B$6:$B$1005=Z846)*$T$6:$T$1005)),""))</f>
        <v/>
      </c>
      <c r="AF846" s="77">
        <f>IF(AE846="","",SUMIFS($S$6:$S$1005,$B$6:$B$1005,Z846,$I$6:$I$1005,AE846))</f>
        <v/>
      </c>
    </row>
    <row r="847" ht="20" customHeight="1">
      <c r="B847" s="72" t="n"/>
      <c r="C847" s="72" t="n"/>
      <c r="D847" s="72" t="n"/>
      <c r="E847" s="72" t="n"/>
      <c r="F847" s="110" t="n"/>
      <c r="G847" s="73" t="n"/>
      <c r="H847" s="75">
        <f>IF(B847="","",IF(G847&lt;&gt;"",G847,IF(F847&lt;&gt;"",F847*IFERROR(INDEX('Contractors'!$I$6:$I$1005,MATCH(B847,'Contractors'!$B$6:$B$1005,0)),0),"")))</f>
        <v/>
      </c>
      <c r="I847" s="109" t="n"/>
      <c r="J847" s="72" t="n"/>
      <c r="K847" s="109" t="n"/>
      <c r="L847" s="73" t="n"/>
      <c r="M847" s="109" t="n"/>
      <c r="N847" s="73" t="n"/>
      <c r="O847" s="107">
        <f>IF(B847="","",IF(M847&lt;&gt;"","Paid",IF(AND(I847&lt;&gt;"",I847&lt;AsOf),"OVERDUE",IF(OR(K847&lt;&gt;"",L847&lt;&gt;""),"Invoiced","Scheduled"))))</f>
        <v/>
      </c>
      <c r="P847" s="115">
        <f>IF(B847="","",IF(E847&lt;&gt;"",E847,IFERROR(INDEX('Contractors'!$D$6:$D$1005,MATCH(B847,'Contractors'!$B$6:$B$1005,0)),"")))</f>
        <v/>
      </c>
      <c r="Q847" s="79">
        <f>IF(B847="","",IF(D847&lt;&gt;"",D847,IFERROR(INDEX('Contractors'!$E$6:$E$1005,MATCH(B847,'Contractors'!$B$6:$B$1005,0)),"")))</f>
        <v/>
      </c>
      <c r="R847" s="79">
        <f>IF(O847="","",IF(O847="OVERDUE",2,IF(O847="Paid",0,IF(AND(I847&lt;&gt;"",I847&lt;=AsOf+AlertDays),1,0))))</f>
        <v/>
      </c>
      <c r="S847" s="79">
        <f>IF(AND(B847&lt;&gt;"",M847="",I847&lt;&gt;""),IF(L847&lt;&gt;"",L847,IF(H847="",0,H847)),0)</f>
        <v/>
      </c>
      <c r="T847" s="79">
        <f>IF(AND(B847&lt;&gt;"",M847="",I847&lt;&gt;""),1/I847,0)</f>
        <v/>
      </c>
      <c r="U847" s="112">
        <f>IF(AND(B847&lt;&gt;"",M847="",I847&lt;&gt;""),I847,"")</f>
        <v/>
      </c>
      <c r="V847" s="79">
        <f>IF(U847="","",IF(U847&lt;AsOf,1,IF(U847&lt;=AsOf+AlertDays,2,IF(U847&lt;=AsOf+2*AlertDays,3,""))))</f>
        <v/>
      </c>
      <c r="W847" s="79">
        <f>IF(V847="","",IF(O847="OVERDUE","Overdue payment: ","Payment due: ")&amp;B847&amp;" — "&amp;C847&amp;" ("&amp;CurSym&amp;" "&amp;FIXED(S847,0)&amp;")")</f>
        <v/>
      </c>
      <c r="Z847" s="116">
        <f>IF('Contractors'!B847="","",'Contractors'!B847)</f>
        <v/>
      </c>
      <c r="AA847" s="77">
        <f>IF(Z847="","",'Contractors'!K847)</f>
        <v/>
      </c>
      <c r="AB847" s="77">
        <f>IF(Z847="","",SUMIFS($L$6:$L$1005,$B$6:$B$1005,Z847))</f>
        <v/>
      </c>
      <c r="AC847" s="77">
        <f>IF(Z847="","",SUMIFS($N$6:$N$1005,$B$6:$B$1005,Z847))</f>
        <v/>
      </c>
      <c r="AD847" s="76">
        <f>IF(Z847="","",AA847-AC847)</f>
        <v/>
      </c>
      <c r="AE847" s="117">
        <f>IF(Z847="","",IFERROR(1/SUMPRODUCT(MAX(($B$6:$B$1005=Z847)*$T$6:$T$1005)),""))</f>
        <v/>
      </c>
      <c r="AF847" s="77">
        <f>IF(AE847="","",SUMIFS($S$6:$S$1005,$B$6:$B$1005,Z847,$I$6:$I$1005,AE847))</f>
        <v/>
      </c>
    </row>
    <row r="848" ht="20" customHeight="1">
      <c r="B848" s="72" t="n"/>
      <c r="C848" s="72" t="n"/>
      <c r="D848" s="72" t="n"/>
      <c r="E848" s="72" t="n"/>
      <c r="F848" s="110" t="n"/>
      <c r="G848" s="73" t="n"/>
      <c r="H848" s="75">
        <f>IF(B848="","",IF(G848&lt;&gt;"",G848,IF(F848&lt;&gt;"",F848*IFERROR(INDEX('Contractors'!$I$6:$I$1005,MATCH(B848,'Contractors'!$B$6:$B$1005,0)),0),"")))</f>
        <v/>
      </c>
      <c r="I848" s="109" t="n"/>
      <c r="J848" s="72" t="n"/>
      <c r="K848" s="109" t="n"/>
      <c r="L848" s="73" t="n"/>
      <c r="M848" s="109" t="n"/>
      <c r="N848" s="73" t="n"/>
      <c r="O848" s="107">
        <f>IF(B848="","",IF(M848&lt;&gt;"","Paid",IF(AND(I848&lt;&gt;"",I848&lt;AsOf),"OVERDUE",IF(OR(K848&lt;&gt;"",L848&lt;&gt;""),"Invoiced","Scheduled"))))</f>
        <v/>
      </c>
      <c r="P848" s="115">
        <f>IF(B848="","",IF(E848&lt;&gt;"",E848,IFERROR(INDEX('Contractors'!$D$6:$D$1005,MATCH(B848,'Contractors'!$B$6:$B$1005,0)),"")))</f>
        <v/>
      </c>
      <c r="Q848" s="79">
        <f>IF(B848="","",IF(D848&lt;&gt;"",D848,IFERROR(INDEX('Contractors'!$E$6:$E$1005,MATCH(B848,'Contractors'!$B$6:$B$1005,0)),"")))</f>
        <v/>
      </c>
      <c r="R848" s="79">
        <f>IF(O848="","",IF(O848="OVERDUE",2,IF(O848="Paid",0,IF(AND(I848&lt;&gt;"",I848&lt;=AsOf+AlertDays),1,0))))</f>
        <v/>
      </c>
      <c r="S848" s="79">
        <f>IF(AND(B848&lt;&gt;"",M848="",I848&lt;&gt;""),IF(L848&lt;&gt;"",L848,IF(H848="",0,H848)),0)</f>
        <v/>
      </c>
      <c r="T848" s="79">
        <f>IF(AND(B848&lt;&gt;"",M848="",I848&lt;&gt;""),1/I848,0)</f>
        <v/>
      </c>
      <c r="U848" s="112">
        <f>IF(AND(B848&lt;&gt;"",M848="",I848&lt;&gt;""),I848,"")</f>
        <v/>
      </c>
      <c r="V848" s="79">
        <f>IF(U848="","",IF(U848&lt;AsOf,1,IF(U848&lt;=AsOf+AlertDays,2,IF(U848&lt;=AsOf+2*AlertDays,3,""))))</f>
        <v/>
      </c>
      <c r="W848" s="79">
        <f>IF(V848="","",IF(O848="OVERDUE","Overdue payment: ","Payment due: ")&amp;B848&amp;" — "&amp;C848&amp;" ("&amp;CurSym&amp;" "&amp;FIXED(S848,0)&amp;")")</f>
        <v/>
      </c>
      <c r="Z848" s="116">
        <f>IF('Contractors'!B848="","",'Contractors'!B848)</f>
        <v/>
      </c>
      <c r="AA848" s="77">
        <f>IF(Z848="","",'Contractors'!K848)</f>
        <v/>
      </c>
      <c r="AB848" s="77">
        <f>IF(Z848="","",SUMIFS($L$6:$L$1005,$B$6:$B$1005,Z848))</f>
        <v/>
      </c>
      <c r="AC848" s="77">
        <f>IF(Z848="","",SUMIFS($N$6:$N$1005,$B$6:$B$1005,Z848))</f>
        <v/>
      </c>
      <c r="AD848" s="76">
        <f>IF(Z848="","",AA848-AC848)</f>
        <v/>
      </c>
      <c r="AE848" s="117">
        <f>IF(Z848="","",IFERROR(1/SUMPRODUCT(MAX(($B$6:$B$1005=Z848)*$T$6:$T$1005)),""))</f>
        <v/>
      </c>
      <c r="AF848" s="77">
        <f>IF(AE848="","",SUMIFS($S$6:$S$1005,$B$6:$B$1005,Z848,$I$6:$I$1005,AE848))</f>
        <v/>
      </c>
    </row>
    <row r="849" ht="20" customHeight="1">
      <c r="B849" s="72" t="n"/>
      <c r="C849" s="72" t="n"/>
      <c r="D849" s="72" t="n"/>
      <c r="E849" s="72" t="n"/>
      <c r="F849" s="110" t="n"/>
      <c r="G849" s="73" t="n"/>
      <c r="H849" s="75">
        <f>IF(B849="","",IF(G849&lt;&gt;"",G849,IF(F849&lt;&gt;"",F849*IFERROR(INDEX('Contractors'!$I$6:$I$1005,MATCH(B849,'Contractors'!$B$6:$B$1005,0)),0),"")))</f>
        <v/>
      </c>
      <c r="I849" s="109" t="n"/>
      <c r="J849" s="72" t="n"/>
      <c r="K849" s="109" t="n"/>
      <c r="L849" s="73" t="n"/>
      <c r="M849" s="109" t="n"/>
      <c r="N849" s="73" t="n"/>
      <c r="O849" s="107">
        <f>IF(B849="","",IF(M849&lt;&gt;"","Paid",IF(AND(I849&lt;&gt;"",I849&lt;AsOf),"OVERDUE",IF(OR(K849&lt;&gt;"",L849&lt;&gt;""),"Invoiced","Scheduled"))))</f>
        <v/>
      </c>
      <c r="P849" s="115">
        <f>IF(B849="","",IF(E849&lt;&gt;"",E849,IFERROR(INDEX('Contractors'!$D$6:$D$1005,MATCH(B849,'Contractors'!$B$6:$B$1005,0)),"")))</f>
        <v/>
      </c>
      <c r="Q849" s="79">
        <f>IF(B849="","",IF(D849&lt;&gt;"",D849,IFERROR(INDEX('Contractors'!$E$6:$E$1005,MATCH(B849,'Contractors'!$B$6:$B$1005,0)),"")))</f>
        <v/>
      </c>
      <c r="R849" s="79">
        <f>IF(O849="","",IF(O849="OVERDUE",2,IF(O849="Paid",0,IF(AND(I849&lt;&gt;"",I849&lt;=AsOf+AlertDays),1,0))))</f>
        <v/>
      </c>
      <c r="S849" s="79">
        <f>IF(AND(B849&lt;&gt;"",M849="",I849&lt;&gt;""),IF(L849&lt;&gt;"",L849,IF(H849="",0,H849)),0)</f>
        <v/>
      </c>
      <c r="T849" s="79">
        <f>IF(AND(B849&lt;&gt;"",M849="",I849&lt;&gt;""),1/I849,0)</f>
        <v/>
      </c>
      <c r="U849" s="112">
        <f>IF(AND(B849&lt;&gt;"",M849="",I849&lt;&gt;""),I849,"")</f>
        <v/>
      </c>
      <c r="V849" s="79">
        <f>IF(U849="","",IF(U849&lt;AsOf,1,IF(U849&lt;=AsOf+AlertDays,2,IF(U849&lt;=AsOf+2*AlertDays,3,""))))</f>
        <v/>
      </c>
      <c r="W849" s="79">
        <f>IF(V849="","",IF(O849="OVERDUE","Overdue payment: ","Payment due: ")&amp;B849&amp;" — "&amp;C849&amp;" ("&amp;CurSym&amp;" "&amp;FIXED(S849,0)&amp;")")</f>
        <v/>
      </c>
      <c r="Z849" s="116">
        <f>IF('Contractors'!B849="","",'Contractors'!B849)</f>
        <v/>
      </c>
      <c r="AA849" s="77">
        <f>IF(Z849="","",'Contractors'!K849)</f>
        <v/>
      </c>
      <c r="AB849" s="77">
        <f>IF(Z849="","",SUMIFS($L$6:$L$1005,$B$6:$B$1005,Z849))</f>
        <v/>
      </c>
      <c r="AC849" s="77">
        <f>IF(Z849="","",SUMIFS($N$6:$N$1005,$B$6:$B$1005,Z849))</f>
        <v/>
      </c>
      <c r="AD849" s="76">
        <f>IF(Z849="","",AA849-AC849)</f>
        <v/>
      </c>
      <c r="AE849" s="117">
        <f>IF(Z849="","",IFERROR(1/SUMPRODUCT(MAX(($B$6:$B$1005=Z849)*$T$6:$T$1005)),""))</f>
        <v/>
      </c>
      <c r="AF849" s="77">
        <f>IF(AE849="","",SUMIFS($S$6:$S$1005,$B$6:$B$1005,Z849,$I$6:$I$1005,AE849))</f>
        <v/>
      </c>
    </row>
    <row r="850" ht="20" customHeight="1">
      <c r="B850" s="72" t="n"/>
      <c r="C850" s="72" t="n"/>
      <c r="D850" s="72" t="n"/>
      <c r="E850" s="72" t="n"/>
      <c r="F850" s="110" t="n"/>
      <c r="G850" s="73" t="n"/>
      <c r="H850" s="75">
        <f>IF(B850="","",IF(G850&lt;&gt;"",G850,IF(F850&lt;&gt;"",F850*IFERROR(INDEX('Contractors'!$I$6:$I$1005,MATCH(B850,'Contractors'!$B$6:$B$1005,0)),0),"")))</f>
        <v/>
      </c>
      <c r="I850" s="109" t="n"/>
      <c r="J850" s="72" t="n"/>
      <c r="K850" s="109" t="n"/>
      <c r="L850" s="73" t="n"/>
      <c r="M850" s="109" t="n"/>
      <c r="N850" s="73" t="n"/>
      <c r="O850" s="107">
        <f>IF(B850="","",IF(M850&lt;&gt;"","Paid",IF(AND(I850&lt;&gt;"",I850&lt;AsOf),"OVERDUE",IF(OR(K850&lt;&gt;"",L850&lt;&gt;""),"Invoiced","Scheduled"))))</f>
        <v/>
      </c>
      <c r="P850" s="115">
        <f>IF(B850="","",IF(E850&lt;&gt;"",E850,IFERROR(INDEX('Contractors'!$D$6:$D$1005,MATCH(B850,'Contractors'!$B$6:$B$1005,0)),"")))</f>
        <v/>
      </c>
      <c r="Q850" s="79">
        <f>IF(B850="","",IF(D850&lt;&gt;"",D850,IFERROR(INDEX('Contractors'!$E$6:$E$1005,MATCH(B850,'Contractors'!$B$6:$B$1005,0)),"")))</f>
        <v/>
      </c>
      <c r="R850" s="79">
        <f>IF(O850="","",IF(O850="OVERDUE",2,IF(O850="Paid",0,IF(AND(I850&lt;&gt;"",I850&lt;=AsOf+AlertDays),1,0))))</f>
        <v/>
      </c>
      <c r="S850" s="79">
        <f>IF(AND(B850&lt;&gt;"",M850="",I850&lt;&gt;""),IF(L850&lt;&gt;"",L850,IF(H850="",0,H850)),0)</f>
        <v/>
      </c>
      <c r="T850" s="79">
        <f>IF(AND(B850&lt;&gt;"",M850="",I850&lt;&gt;""),1/I850,0)</f>
        <v/>
      </c>
      <c r="U850" s="112">
        <f>IF(AND(B850&lt;&gt;"",M850="",I850&lt;&gt;""),I850,"")</f>
        <v/>
      </c>
      <c r="V850" s="79">
        <f>IF(U850="","",IF(U850&lt;AsOf,1,IF(U850&lt;=AsOf+AlertDays,2,IF(U850&lt;=AsOf+2*AlertDays,3,""))))</f>
        <v/>
      </c>
      <c r="W850" s="79">
        <f>IF(V850="","",IF(O850="OVERDUE","Overdue payment: ","Payment due: ")&amp;B850&amp;" — "&amp;C850&amp;" ("&amp;CurSym&amp;" "&amp;FIXED(S850,0)&amp;")")</f>
        <v/>
      </c>
      <c r="Z850" s="116">
        <f>IF('Contractors'!B850="","",'Contractors'!B850)</f>
        <v/>
      </c>
      <c r="AA850" s="77">
        <f>IF(Z850="","",'Contractors'!K850)</f>
        <v/>
      </c>
      <c r="AB850" s="77">
        <f>IF(Z850="","",SUMIFS($L$6:$L$1005,$B$6:$B$1005,Z850))</f>
        <v/>
      </c>
      <c r="AC850" s="77">
        <f>IF(Z850="","",SUMIFS($N$6:$N$1005,$B$6:$B$1005,Z850))</f>
        <v/>
      </c>
      <c r="AD850" s="76">
        <f>IF(Z850="","",AA850-AC850)</f>
        <v/>
      </c>
      <c r="AE850" s="117">
        <f>IF(Z850="","",IFERROR(1/SUMPRODUCT(MAX(($B$6:$B$1005=Z850)*$T$6:$T$1005)),""))</f>
        <v/>
      </c>
      <c r="AF850" s="77">
        <f>IF(AE850="","",SUMIFS($S$6:$S$1005,$B$6:$B$1005,Z850,$I$6:$I$1005,AE850))</f>
        <v/>
      </c>
    </row>
    <row r="851" ht="20" customHeight="1">
      <c r="B851" s="72" t="n"/>
      <c r="C851" s="72" t="n"/>
      <c r="D851" s="72" t="n"/>
      <c r="E851" s="72" t="n"/>
      <c r="F851" s="110" t="n"/>
      <c r="G851" s="73" t="n"/>
      <c r="H851" s="75">
        <f>IF(B851="","",IF(G851&lt;&gt;"",G851,IF(F851&lt;&gt;"",F851*IFERROR(INDEX('Contractors'!$I$6:$I$1005,MATCH(B851,'Contractors'!$B$6:$B$1005,0)),0),"")))</f>
        <v/>
      </c>
      <c r="I851" s="109" t="n"/>
      <c r="J851" s="72" t="n"/>
      <c r="K851" s="109" t="n"/>
      <c r="L851" s="73" t="n"/>
      <c r="M851" s="109" t="n"/>
      <c r="N851" s="73" t="n"/>
      <c r="O851" s="107">
        <f>IF(B851="","",IF(M851&lt;&gt;"","Paid",IF(AND(I851&lt;&gt;"",I851&lt;AsOf),"OVERDUE",IF(OR(K851&lt;&gt;"",L851&lt;&gt;""),"Invoiced","Scheduled"))))</f>
        <v/>
      </c>
      <c r="P851" s="115">
        <f>IF(B851="","",IF(E851&lt;&gt;"",E851,IFERROR(INDEX('Contractors'!$D$6:$D$1005,MATCH(B851,'Contractors'!$B$6:$B$1005,0)),"")))</f>
        <v/>
      </c>
      <c r="Q851" s="79">
        <f>IF(B851="","",IF(D851&lt;&gt;"",D851,IFERROR(INDEX('Contractors'!$E$6:$E$1005,MATCH(B851,'Contractors'!$B$6:$B$1005,0)),"")))</f>
        <v/>
      </c>
      <c r="R851" s="79">
        <f>IF(O851="","",IF(O851="OVERDUE",2,IF(O851="Paid",0,IF(AND(I851&lt;&gt;"",I851&lt;=AsOf+AlertDays),1,0))))</f>
        <v/>
      </c>
      <c r="S851" s="79">
        <f>IF(AND(B851&lt;&gt;"",M851="",I851&lt;&gt;""),IF(L851&lt;&gt;"",L851,IF(H851="",0,H851)),0)</f>
        <v/>
      </c>
      <c r="T851" s="79">
        <f>IF(AND(B851&lt;&gt;"",M851="",I851&lt;&gt;""),1/I851,0)</f>
        <v/>
      </c>
      <c r="U851" s="112">
        <f>IF(AND(B851&lt;&gt;"",M851="",I851&lt;&gt;""),I851,"")</f>
        <v/>
      </c>
      <c r="V851" s="79">
        <f>IF(U851="","",IF(U851&lt;AsOf,1,IF(U851&lt;=AsOf+AlertDays,2,IF(U851&lt;=AsOf+2*AlertDays,3,""))))</f>
        <v/>
      </c>
      <c r="W851" s="79">
        <f>IF(V851="","",IF(O851="OVERDUE","Overdue payment: ","Payment due: ")&amp;B851&amp;" — "&amp;C851&amp;" ("&amp;CurSym&amp;" "&amp;FIXED(S851,0)&amp;")")</f>
        <v/>
      </c>
      <c r="Z851" s="116">
        <f>IF('Contractors'!B851="","",'Contractors'!B851)</f>
        <v/>
      </c>
      <c r="AA851" s="77">
        <f>IF(Z851="","",'Contractors'!K851)</f>
        <v/>
      </c>
      <c r="AB851" s="77">
        <f>IF(Z851="","",SUMIFS($L$6:$L$1005,$B$6:$B$1005,Z851))</f>
        <v/>
      </c>
      <c r="AC851" s="77">
        <f>IF(Z851="","",SUMIFS($N$6:$N$1005,$B$6:$B$1005,Z851))</f>
        <v/>
      </c>
      <c r="AD851" s="76">
        <f>IF(Z851="","",AA851-AC851)</f>
        <v/>
      </c>
      <c r="AE851" s="117">
        <f>IF(Z851="","",IFERROR(1/SUMPRODUCT(MAX(($B$6:$B$1005=Z851)*$T$6:$T$1005)),""))</f>
        <v/>
      </c>
      <c r="AF851" s="77">
        <f>IF(AE851="","",SUMIFS($S$6:$S$1005,$B$6:$B$1005,Z851,$I$6:$I$1005,AE851))</f>
        <v/>
      </c>
    </row>
    <row r="852" ht="20" customHeight="1">
      <c r="B852" s="72" t="n"/>
      <c r="C852" s="72" t="n"/>
      <c r="D852" s="72" t="n"/>
      <c r="E852" s="72" t="n"/>
      <c r="F852" s="110" t="n"/>
      <c r="G852" s="73" t="n"/>
      <c r="H852" s="75">
        <f>IF(B852="","",IF(G852&lt;&gt;"",G852,IF(F852&lt;&gt;"",F852*IFERROR(INDEX('Contractors'!$I$6:$I$1005,MATCH(B852,'Contractors'!$B$6:$B$1005,0)),0),"")))</f>
        <v/>
      </c>
      <c r="I852" s="109" t="n"/>
      <c r="J852" s="72" t="n"/>
      <c r="K852" s="109" t="n"/>
      <c r="L852" s="73" t="n"/>
      <c r="M852" s="109" t="n"/>
      <c r="N852" s="73" t="n"/>
      <c r="O852" s="107">
        <f>IF(B852="","",IF(M852&lt;&gt;"","Paid",IF(AND(I852&lt;&gt;"",I852&lt;AsOf),"OVERDUE",IF(OR(K852&lt;&gt;"",L852&lt;&gt;""),"Invoiced","Scheduled"))))</f>
        <v/>
      </c>
      <c r="P852" s="115">
        <f>IF(B852="","",IF(E852&lt;&gt;"",E852,IFERROR(INDEX('Contractors'!$D$6:$D$1005,MATCH(B852,'Contractors'!$B$6:$B$1005,0)),"")))</f>
        <v/>
      </c>
      <c r="Q852" s="79">
        <f>IF(B852="","",IF(D852&lt;&gt;"",D852,IFERROR(INDEX('Contractors'!$E$6:$E$1005,MATCH(B852,'Contractors'!$B$6:$B$1005,0)),"")))</f>
        <v/>
      </c>
      <c r="R852" s="79">
        <f>IF(O852="","",IF(O852="OVERDUE",2,IF(O852="Paid",0,IF(AND(I852&lt;&gt;"",I852&lt;=AsOf+AlertDays),1,0))))</f>
        <v/>
      </c>
      <c r="S852" s="79">
        <f>IF(AND(B852&lt;&gt;"",M852="",I852&lt;&gt;""),IF(L852&lt;&gt;"",L852,IF(H852="",0,H852)),0)</f>
        <v/>
      </c>
      <c r="T852" s="79">
        <f>IF(AND(B852&lt;&gt;"",M852="",I852&lt;&gt;""),1/I852,0)</f>
        <v/>
      </c>
      <c r="U852" s="112">
        <f>IF(AND(B852&lt;&gt;"",M852="",I852&lt;&gt;""),I852,"")</f>
        <v/>
      </c>
      <c r="V852" s="79">
        <f>IF(U852="","",IF(U852&lt;AsOf,1,IF(U852&lt;=AsOf+AlertDays,2,IF(U852&lt;=AsOf+2*AlertDays,3,""))))</f>
        <v/>
      </c>
      <c r="W852" s="79">
        <f>IF(V852="","",IF(O852="OVERDUE","Overdue payment: ","Payment due: ")&amp;B852&amp;" — "&amp;C852&amp;" ("&amp;CurSym&amp;" "&amp;FIXED(S852,0)&amp;")")</f>
        <v/>
      </c>
      <c r="Z852" s="116">
        <f>IF('Contractors'!B852="","",'Contractors'!B852)</f>
        <v/>
      </c>
      <c r="AA852" s="77">
        <f>IF(Z852="","",'Contractors'!K852)</f>
        <v/>
      </c>
      <c r="AB852" s="77">
        <f>IF(Z852="","",SUMIFS($L$6:$L$1005,$B$6:$B$1005,Z852))</f>
        <v/>
      </c>
      <c r="AC852" s="77">
        <f>IF(Z852="","",SUMIFS($N$6:$N$1005,$B$6:$B$1005,Z852))</f>
        <v/>
      </c>
      <c r="AD852" s="76">
        <f>IF(Z852="","",AA852-AC852)</f>
        <v/>
      </c>
      <c r="AE852" s="117">
        <f>IF(Z852="","",IFERROR(1/SUMPRODUCT(MAX(($B$6:$B$1005=Z852)*$T$6:$T$1005)),""))</f>
        <v/>
      </c>
      <c r="AF852" s="77">
        <f>IF(AE852="","",SUMIFS($S$6:$S$1005,$B$6:$B$1005,Z852,$I$6:$I$1005,AE852))</f>
        <v/>
      </c>
    </row>
    <row r="853" ht="20" customHeight="1">
      <c r="B853" s="72" t="n"/>
      <c r="C853" s="72" t="n"/>
      <c r="D853" s="72" t="n"/>
      <c r="E853" s="72" t="n"/>
      <c r="F853" s="110" t="n"/>
      <c r="G853" s="73" t="n"/>
      <c r="H853" s="75">
        <f>IF(B853="","",IF(G853&lt;&gt;"",G853,IF(F853&lt;&gt;"",F853*IFERROR(INDEX('Contractors'!$I$6:$I$1005,MATCH(B853,'Contractors'!$B$6:$B$1005,0)),0),"")))</f>
        <v/>
      </c>
      <c r="I853" s="109" t="n"/>
      <c r="J853" s="72" t="n"/>
      <c r="K853" s="109" t="n"/>
      <c r="L853" s="73" t="n"/>
      <c r="M853" s="109" t="n"/>
      <c r="N853" s="73" t="n"/>
      <c r="O853" s="107">
        <f>IF(B853="","",IF(M853&lt;&gt;"","Paid",IF(AND(I853&lt;&gt;"",I853&lt;AsOf),"OVERDUE",IF(OR(K853&lt;&gt;"",L853&lt;&gt;""),"Invoiced","Scheduled"))))</f>
        <v/>
      </c>
      <c r="P853" s="115">
        <f>IF(B853="","",IF(E853&lt;&gt;"",E853,IFERROR(INDEX('Contractors'!$D$6:$D$1005,MATCH(B853,'Contractors'!$B$6:$B$1005,0)),"")))</f>
        <v/>
      </c>
      <c r="Q853" s="79">
        <f>IF(B853="","",IF(D853&lt;&gt;"",D853,IFERROR(INDEX('Contractors'!$E$6:$E$1005,MATCH(B853,'Contractors'!$B$6:$B$1005,0)),"")))</f>
        <v/>
      </c>
      <c r="R853" s="79">
        <f>IF(O853="","",IF(O853="OVERDUE",2,IF(O853="Paid",0,IF(AND(I853&lt;&gt;"",I853&lt;=AsOf+AlertDays),1,0))))</f>
        <v/>
      </c>
      <c r="S853" s="79">
        <f>IF(AND(B853&lt;&gt;"",M853="",I853&lt;&gt;""),IF(L853&lt;&gt;"",L853,IF(H853="",0,H853)),0)</f>
        <v/>
      </c>
      <c r="T853" s="79">
        <f>IF(AND(B853&lt;&gt;"",M853="",I853&lt;&gt;""),1/I853,0)</f>
        <v/>
      </c>
      <c r="U853" s="112">
        <f>IF(AND(B853&lt;&gt;"",M853="",I853&lt;&gt;""),I853,"")</f>
        <v/>
      </c>
      <c r="V853" s="79">
        <f>IF(U853="","",IF(U853&lt;AsOf,1,IF(U853&lt;=AsOf+AlertDays,2,IF(U853&lt;=AsOf+2*AlertDays,3,""))))</f>
        <v/>
      </c>
      <c r="W853" s="79">
        <f>IF(V853="","",IF(O853="OVERDUE","Overdue payment: ","Payment due: ")&amp;B853&amp;" — "&amp;C853&amp;" ("&amp;CurSym&amp;" "&amp;FIXED(S853,0)&amp;")")</f>
        <v/>
      </c>
      <c r="Z853" s="116">
        <f>IF('Contractors'!B853="","",'Contractors'!B853)</f>
        <v/>
      </c>
      <c r="AA853" s="77">
        <f>IF(Z853="","",'Contractors'!K853)</f>
        <v/>
      </c>
      <c r="AB853" s="77">
        <f>IF(Z853="","",SUMIFS($L$6:$L$1005,$B$6:$B$1005,Z853))</f>
        <v/>
      </c>
      <c r="AC853" s="77">
        <f>IF(Z853="","",SUMIFS($N$6:$N$1005,$B$6:$B$1005,Z853))</f>
        <v/>
      </c>
      <c r="AD853" s="76">
        <f>IF(Z853="","",AA853-AC853)</f>
        <v/>
      </c>
      <c r="AE853" s="117">
        <f>IF(Z853="","",IFERROR(1/SUMPRODUCT(MAX(($B$6:$B$1005=Z853)*$T$6:$T$1005)),""))</f>
        <v/>
      </c>
      <c r="AF853" s="77">
        <f>IF(AE853="","",SUMIFS($S$6:$S$1005,$B$6:$B$1005,Z853,$I$6:$I$1005,AE853))</f>
        <v/>
      </c>
    </row>
    <row r="854" ht="20" customHeight="1">
      <c r="B854" s="72" t="n"/>
      <c r="C854" s="72" t="n"/>
      <c r="D854" s="72" t="n"/>
      <c r="E854" s="72" t="n"/>
      <c r="F854" s="110" t="n"/>
      <c r="G854" s="73" t="n"/>
      <c r="H854" s="75">
        <f>IF(B854="","",IF(G854&lt;&gt;"",G854,IF(F854&lt;&gt;"",F854*IFERROR(INDEX('Contractors'!$I$6:$I$1005,MATCH(B854,'Contractors'!$B$6:$B$1005,0)),0),"")))</f>
        <v/>
      </c>
      <c r="I854" s="109" t="n"/>
      <c r="J854" s="72" t="n"/>
      <c r="K854" s="109" t="n"/>
      <c r="L854" s="73" t="n"/>
      <c r="M854" s="109" t="n"/>
      <c r="N854" s="73" t="n"/>
      <c r="O854" s="107">
        <f>IF(B854="","",IF(M854&lt;&gt;"","Paid",IF(AND(I854&lt;&gt;"",I854&lt;AsOf),"OVERDUE",IF(OR(K854&lt;&gt;"",L854&lt;&gt;""),"Invoiced","Scheduled"))))</f>
        <v/>
      </c>
      <c r="P854" s="115">
        <f>IF(B854="","",IF(E854&lt;&gt;"",E854,IFERROR(INDEX('Contractors'!$D$6:$D$1005,MATCH(B854,'Contractors'!$B$6:$B$1005,0)),"")))</f>
        <v/>
      </c>
      <c r="Q854" s="79">
        <f>IF(B854="","",IF(D854&lt;&gt;"",D854,IFERROR(INDEX('Contractors'!$E$6:$E$1005,MATCH(B854,'Contractors'!$B$6:$B$1005,0)),"")))</f>
        <v/>
      </c>
      <c r="R854" s="79">
        <f>IF(O854="","",IF(O854="OVERDUE",2,IF(O854="Paid",0,IF(AND(I854&lt;&gt;"",I854&lt;=AsOf+AlertDays),1,0))))</f>
        <v/>
      </c>
      <c r="S854" s="79">
        <f>IF(AND(B854&lt;&gt;"",M854="",I854&lt;&gt;""),IF(L854&lt;&gt;"",L854,IF(H854="",0,H854)),0)</f>
        <v/>
      </c>
      <c r="T854" s="79">
        <f>IF(AND(B854&lt;&gt;"",M854="",I854&lt;&gt;""),1/I854,0)</f>
        <v/>
      </c>
      <c r="U854" s="112">
        <f>IF(AND(B854&lt;&gt;"",M854="",I854&lt;&gt;""),I854,"")</f>
        <v/>
      </c>
      <c r="V854" s="79">
        <f>IF(U854="","",IF(U854&lt;AsOf,1,IF(U854&lt;=AsOf+AlertDays,2,IF(U854&lt;=AsOf+2*AlertDays,3,""))))</f>
        <v/>
      </c>
      <c r="W854" s="79">
        <f>IF(V854="","",IF(O854="OVERDUE","Overdue payment: ","Payment due: ")&amp;B854&amp;" — "&amp;C854&amp;" ("&amp;CurSym&amp;" "&amp;FIXED(S854,0)&amp;")")</f>
        <v/>
      </c>
      <c r="Z854" s="116">
        <f>IF('Contractors'!B854="","",'Contractors'!B854)</f>
        <v/>
      </c>
      <c r="AA854" s="77">
        <f>IF(Z854="","",'Contractors'!K854)</f>
        <v/>
      </c>
      <c r="AB854" s="77">
        <f>IF(Z854="","",SUMIFS($L$6:$L$1005,$B$6:$B$1005,Z854))</f>
        <v/>
      </c>
      <c r="AC854" s="77">
        <f>IF(Z854="","",SUMIFS($N$6:$N$1005,$B$6:$B$1005,Z854))</f>
        <v/>
      </c>
      <c r="AD854" s="76">
        <f>IF(Z854="","",AA854-AC854)</f>
        <v/>
      </c>
      <c r="AE854" s="117">
        <f>IF(Z854="","",IFERROR(1/SUMPRODUCT(MAX(($B$6:$B$1005=Z854)*$T$6:$T$1005)),""))</f>
        <v/>
      </c>
      <c r="AF854" s="77">
        <f>IF(AE854="","",SUMIFS($S$6:$S$1005,$B$6:$B$1005,Z854,$I$6:$I$1005,AE854))</f>
        <v/>
      </c>
    </row>
    <row r="855" ht="20" customHeight="1">
      <c r="B855" s="72" t="n"/>
      <c r="C855" s="72" t="n"/>
      <c r="D855" s="72" t="n"/>
      <c r="E855" s="72" t="n"/>
      <c r="F855" s="110" t="n"/>
      <c r="G855" s="73" t="n"/>
      <c r="H855" s="75">
        <f>IF(B855="","",IF(G855&lt;&gt;"",G855,IF(F855&lt;&gt;"",F855*IFERROR(INDEX('Contractors'!$I$6:$I$1005,MATCH(B855,'Contractors'!$B$6:$B$1005,0)),0),"")))</f>
        <v/>
      </c>
      <c r="I855" s="109" t="n"/>
      <c r="J855" s="72" t="n"/>
      <c r="K855" s="109" t="n"/>
      <c r="L855" s="73" t="n"/>
      <c r="M855" s="109" t="n"/>
      <c r="N855" s="73" t="n"/>
      <c r="O855" s="107">
        <f>IF(B855="","",IF(M855&lt;&gt;"","Paid",IF(AND(I855&lt;&gt;"",I855&lt;AsOf),"OVERDUE",IF(OR(K855&lt;&gt;"",L855&lt;&gt;""),"Invoiced","Scheduled"))))</f>
        <v/>
      </c>
      <c r="P855" s="115">
        <f>IF(B855="","",IF(E855&lt;&gt;"",E855,IFERROR(INDEX('Contractors'!$D$6:$D$1005,MATCH(B855,'Contractors'!$B$6:$B$1005,0)),"")))</f>
        <v/>
      </c>
      <c r="Q855" s="79">
        <f>IF(B855="","",IF(D855&lt;&gt;"",D855,IFERROR(INDEX('Contractors'!$E$6:$E$1005,MATCH(B855,'Contractors'!$B$6:$B$1005,0)),"")))</f>
        <v/>
      </c>
      <c r="R855" s="79">
        <f>IF(O855="","",IF(O855="OVERDUE",2,IF(O855="Paid",0,IF(AND(I855&lt;&gt;"",I855&lt;=AsOf+AlertDays),1,0))))</f>
        <v/>
      </c>
      <c r="S855" s="79">
        <f>IF(AND(B855&lt;&gt;"",M855="",I855&lt;&gt;""),IF(L855&lt;&gt;"",L855,IF(H855="",0,H855)),0)</f>
        <v/>
      </c>
      <c r="T855" s="79">
        <f>IF(AND(B855&lt;&gt;"",M855="",I855&lt;&gt;""),1/I855,0)</f>
        <v/>
      </c>
      <c r="U855" s="112">
        <f>IF(AND(B855&lt;&gt;"",M855="",I855&lt;&gt;""),I855,"")</f>
        <v/>
      </c>
      <c r="V855" s="79">
        <f>IF(U855="","",IF(U855&lt;AsOf,1,IF(U855&lt;=AsOf+AlertDays,2,IF(U855&lt;=AsOf+2*AlertDays,3,""))))</f>
        <v/>
      </c>
      <c r="W855" s="79">
        <f>IF(V855="","",IF(O855="OVERDUE","Overdue payment: ","Payment due: ")&amp;B855&amp;" — "&amp;C855&amp;" ("&amp;CurSym&amp;" "&amp;FIXED(S855,0)&amp;")")</f>
        <v/>
      </c>
      <c r="Z855" s="116">
        <f>IF('Contractors'!B855="","",'Contractors'!B855)</f>
        <v/>
      </c>
      <c r="AA855" s="77">
        <f>IF(Z855="","",'Contractors'!K855)</f>
        <v/>
      </c>
      <c r="AB855" s="77">
        <f>IF(Z855="","",SUMIFS($L$6:$L$1005,$B$6:$B$1005,Z855))</f>
        <v/>
      </c>
      <c r="AC855" s="77">
        <f>IF(Z855="","",SUMIFS($N$6:$N$1005,$B$6:$B$1005,Z855))</f>
        <v/>
      </c>
      <c r="AD855" s="76">
        <f>IF(Z855="","",AA855-AC855)</f>
        <v/>
      </c>
      <c r="AE855" s="117">
        <f>IF(Z855="","",IFERROR(1/SUMPRODUCT(MAX(($B$6:$B$1005=Z855)*$T$6:$T$1005)),""))</f>
        <v/>
      </c>
      <c r="AF855" s="77">
        <f>IF(AE855="","",SUMIFS($S$6:$S$1005,$B$6:$B$1005,Z855,$I$6:$I$1005,AE855))</f>
        <v/>
      </c>
    </row>
    <row r="856" ht="20" customHeight="1">
      <c r="B856" s="72" t="n"/>
      <c r="C856" s="72" t="n"/>
      <c r="D856" s="72" t="n"/>
      <c r="E856" s="72" t="n"/>
      <c r="F856" s="110" t="n"/>
      <c r="G856" s="73" t="n"/>
      <c r="H856" s="75">
        <f>IF(B856="","",IF(G856&lt;&gt;"",G856,IF(F856&lt;&gt;"",F856*IFERROR(INDEX('Contractors'!$I$6:$I$1005,MATCH(B856,'Contractors'!$B$6:$B$1005,0)),0),"")))</f>
        <v/>
      </c>
      <c r="I856" s="109" t="n"/>
      <c r="J856" s="72" t="n"/>
      <c r="K856" s="109" t="n"/>
      <c r="L856" s="73" t="n"/>
      <c r="M856" s="109" t="n"/>
      <c r="N856" s="73" t="n"/>
      <c r="O856" s="107">
        <f>IF(B856="","",IF(M856&lt;&gt;"","Paid",IF(AND(I856&lt;&gt;"",I856&lt;AsOf),"OVERDUE",IF(OR(K856&lt;&gt;"",L856&lt;&gt;""),"Invoiced","Scheduled"))))</f>
        <v/>
      </c>
      <c r="P856" s="115">
        <f>IF(B856="","",IF(E856&lt;&gt;"",E856,IFERROR(INDEX('Contractors'!$D$6:$D$1005,MATCH(B856,'Contractors'!$B$6:$B$1005,0)),"")))</f>
        <v/>
      </c>
      <c r="Q856" s="79">
        <f>IF(B856="","",IF(D856&lt;&gt;"",D856,IFERROR(INDEX('Contractors'!$E$6:$E$1005,MATCH(B856,'Contractors'!$B$6:$B$1005,0)),"")))</f>
        <v/>
      </c>
      <c r="R856" s="79">
        <f>IF(O856="","",IF(O856="OVERDUE",2,IF(O856="Paid",0,IF(AND(I856&lt;&gt;"",I856&lt;=AsOf+AlertDays),1,0))))</f>
        <v/>
      </c>
      <c r="S856" s="79">
        <f>IF(AND(B856&lt;&gt;"",M856="",I856&lt;&gt;""),IF(L856&lt;&gt;"",L856,IF(H856="",0,H856)),0)</f>
        <v/>
      </c>
      <c r="T856" s="79">
        <f>IF(AND(B856&lt;&gt;"",M856="",I856&lt;&gt;""),1/I856,0)</f>
        <v/>
      </c>
      <c r="U856" s="112">
        <f>IF(AND(B856&lt;&gt;"",M856="",I856&lt;&gt;""),I856,"")</f>
        <v/>
      </c>
      <c r="V856" s="79">
        <f>IF(U856="","",IF(U856&lt;AsOf,1,IF(U856&lt;=AsOf+AlertDays,2,IF(U856&lt;=AsOf+2*AlertDays,3,""))))</f>
        <v/>
      </c>
      <c r="W856" s="79">
        <f>IF(V856="","",IF(O856="OVERDUE","Overdue payment: ","Payment due: ")&amp;B856&amp;" — "&amp;C856&amp;" ("&amp;CurSym&amp;" "&amp;FIXED(S856,0)&amp;")")</f>
        <v/>
      </c>
      <c r="Z856" s="116">
        <f>IF('Contractors'!B856="","",'Contractors'!B856)</f>
        <v/>
      </c>
      <c r="AA856" s="77">
        <f>IF(Z856="","",'Contractors'!K856)</f>
        <v/>
      </c>
      <c r="AB856" s="77">
        <f>IF(Z856="","",SUMIFS($L$6:$L$1005,$B$6:$B$1005,Z856))</f>
        <v/>
      </c>
      <c r="AC856" s="77">
        <f>IF(Z856="","",SUMIFS($N$6:$N$1005,$B$6:$B$1005,Z856))</f>
        <v/>
      </c>
      <c r="AD856" s="76">
        <f>IF(Z856="","",AA856-AC856)</f>
        <v/>
      </c>
      <c r="AE856" s="117">
        <f>IF(Z856="","",IFERROR(1/SUMPRODUCT(MAX(($B$6:$B$1005=Z856)*$T$6:$T$1005)),""))</f>
        <v/>
      </c>
      <c r="AF856" s="77">
        <f>IF(AE856="","",SUMIFS($S$6:$S$1005,$B$6:$B$1005,Z856,$I$6:$I$1005,AE856))</f>
        <v/>
      </c>
    </row>
    <row r="857" ht="20" customHeight="1">
      <c r="B857" s="72" t="n"/>
      <c r="C857" s="72" t="n"/>
      <c r="D857" s="72" t="n"/>
      <c r="E857" s="72" t="n"/>
      <c r="F857" s="110" t="n"/>
      <c r="G857" s="73" t="n"/>
      <c r="H857" s="75">
        <f>IF(B857="","",IF(G857&lt;&gt;"",G857,IF(F857&lt;&gt;"",F857*IFERROR(INDEX('Contractors'!$I$6:$I$1005,MATCH(B857,'Contractors'!$B$6:$B$1005,0)),0),"")))</f>
        <v/>
      </c>
      <c r="I857" s="109" t="n"/>
      <c r="J857" s="72" t="n"/>
      <c r="K857" s="109" t="n"/>
      <c r="L857" s="73" t="n"/>
      <c r="M857" s="109" t="n"/>
      <c r="N857" s="73" t="n"/>
      <c r="O857" s="107">
        <f>IF(B857="","",IF(M857&lt;&gt;"","Paid",IF(AND(I857&lt;&gt;"",I857&lt;AsOf),"OVERDUE",IF(OR(K857&lt;&gt;"",L857&lt;&gt;""),"Invoiced","Scheduled"))))</f>
        <v/>
      </c>
      <c r="P857" s="115">
        <f>IF(B857="","",IF(E857&lt;&gt;"",E857,IFERROR(INDEX('Contractors'!$D$6:$D$1005,MATCH(B857,'Contractors'!$B$6:$B$1005,0)),"")))</f>
        <v/>
      </c>
      <c r="Q857" s="79">
        <f>IF(B857="","",IF(D857&lt;&gt;"",D857,IFERROR(INDEX('Contractors'!$E$6:$E$1005,MATCH(B857,'Contractors'!$B$6:$B$1005,0)),"")))</f>
        <v/>
      </c>
      <c r="R857" s="79">
        <f>IF(O857="","",IF(O857="OVERDUE",2,IF(O857="Paid",0,IF(AND(I857&lt;&gt;"",I857&lt;=AsOf+AlertDays),1,0))))</f>
        <v/>
      </c>
      <c r="S857" s="79">
        <f>IF(AND(B857&lt;&gt;"",M857="",I857&lt;&gt;""),IF(L857&lt;&gt;"",L857,IF(H857="",0,H857)),0)</f>
        <v/>
      </c>
      <c r="T857" s="79">
        <f>IF(AND(B857&lt;&gt;"",M857="",I857&lt;&gt;""),1/I857,0)</f>
        <v/>
      </c>
      <c r="U857" s="112">
        <f>IF(AND(B857&lt;&gt;"",M857="",I857&lt;&gt;""),I857,"")</f>
        <v/>
      </c>
      <c r="V857" s="79">
        <f>IF(U857="","",IF(U857&lt;AsOf,1,IF(U857&lt;=AsOf+AlertDays,2,IF(U857&lt;=AsOf+2*AlertDays,3,""))))</f>
        <v/>
      </c>
      <c r="W857" s="79">
        <f>IF(V857="","",IF(O857="OVERDUE","Overdue payment: ","Payment due: ")&amp;B857&amp;" — "&amp;C857&amp;" ("&amp;CurSym&amp;" "&amp;FIXED(S857,0)&amp;")")</f>
        <v/>
      </c>
      <c r="Z857" s="116">
        <f>IF('Contractors'!B857="","",'Contractors'!B857)</f>
        <v/>
      </c>
      <c r="AA857" s="77">
        <f>IF(Z857="","",'Contractors'!K857)</f>
        <v/>
      </c>
      <c r="AB857" s="77">
        <f>IF(Z857="","",SUMIFS($L$6:$L$1005,$B$6:$B$1005,Z857))</f>
        <v/>
      </c>
      <c r="AC857" s="77">
        <f>IF(Z857="","",SUMIFS($N$6:$N$1005,$B$6:$B$1005,Z857))</f>
        <v/>
      </c>
      <c r="AD857" s="76">
        <f>IF(Z857="","",AA857-AC857)</f>
        <v/>
      </c>
      <c r="AE857" s="117">
        <f>IF(Z857="","",IFERROR(1/SUMPRODUCT(MAX(($B$6:$B$1005=Z857)*$T$6:$T$1005)),""))</f>
        <v/>
      </c>
      <c r="AF857" s="77">
        <f>IF(AE857="","",SUMIFS($S$6:$S$1005,$B$6:$B$1005,Z857,$I$6:$I$1005,AE857))</f>
        <v/>
      </c>
    </row>
    <row r="858" ht="20" customHeight="1">
      <c r="B858" s="72" t="n"/>
      <c r="C858" s="72" t="n"/>
      <c r="D858" s="72" t="n"/>
      <c r="E858" s="72" t="n"/>
      <c r="F858" s="110" t="n"/>
      <c r="G858" s="73" t="n"/>
      <c r="H858" s="75">
        <f>IF(B858="","",IF(G858&lt;&gt;"",G858,IF(F858&lt;&gt;"",F858*IFERROR(INDEX('Contractors'!$I$6:$I$1005,MATCH(B858,'Contractors'!$B$6:$B$1005,0)),0),"")))</f>
        <v/>
      </c>
      <c r="I858" s="109" t="n"/>
      <c r="J858" s="72" t="n"/>
      <c r="K858" s="109" t="n"/>
      <c r="L858" s="73" t="n"/>
      <c r="M858" s="109" t="n"/>
      <c r="N858" s="73" t="n"/>
      <c r="O858" s="107">
        <f>IF(B858="","",IF(M858&lt;&gt;"","Paid",IF(AND(I858&lt;&gt;"",I858&lt;AsOf),"OVERDUE",IF(OR(K858&lt;&gt;"",L858&lt;&gt;""),"Invoiced","Scheduled"))))</f>
        <v/>
      </c>
      <c r="P858" s="115">
        <f>IF(B858="","",IF(E858&lt;&gt;"",E858,IFERROR(INDEX('Contractors'!$D$6:$D$1005,MATCH(B858,'Contractors'!$B$6:$B$1005,0)),"")))</f>
        <v/>
      </c>
      <c r="Q858" s="79">
        <f>IF(B858="","",IF(D858&lt;&gt;"",D858,IFERROR(INDEX('Contractors'!$E$6:$E$1005,MATCH(B858,'Contractors'!$B$6:$B$1005,0)),"")))</f>
        <v/>
      </c>
      <c r="R858" s="79">
        <f>IF(O858="","",IF(O858="OVERDUE",2,IF(O858="Paid",0,IF(AND(I858&lt;&gt;"",I858&lt;=AsOf+AlertDays),1,0))))</f>
        <v/>
      </c>
      <c r="S858" s="79">
        <f>IF(AND(B858&lt;&gt;"",M858="",I858&lt;&gt;""),IF(L858&lt;&gt;"",L858,IF(H858="",0,H858)),0)</f>
        <v/>
      </c>
      <c r="T858" s="79">
        <f>IF(AND(B858&lt;&gt;"",M858="",I858&lt;&gt;""),1/I858,0)</f>
        <v/>
      </c>
      <c r="U858" s="112">
        <f>IF(AND(B858&lt;&gt;"",M858="",I858&lt;&gt;""),I858,"")</f>
        <v/>
      </c>
      <c r="V858" s="79">
        <f>IF(U858="","",IF(U858&lt;AsOf,1,IF(U858&lt;=AsOf+AlertDays,2,IF(U858&lt;=AsOf+2*AlertDays,3,""))))</f>
        <v/>
      </c>
      <c r="W858" s="79">
        <f>IF(V858="","",IF(O858="OVERDUE","Overdue payment: ","Payment due: ")&amp;B858&amp;" — "&amp;C858&amp;" ("&amp;CurSym&amp;" "&amp;FIXED(S858,0)&amp;")")</f>
        <v/>
      </c>
      <c r="Z858" s="116">
        <f>IF('Contractors'!B858="","",'Contractors'!B858)</f>
        <v/>
      </c>
      <c r="AA858" s="77">
        <f>IF(Z858="","",'Contractors'!K858)</f>
        <v/>
      </c>
      <c r="AB858" s="77">
        <f>IF(Z858="","",SUMIFS($L$6:$L$1005,$B$6:$B$1005,Z858))</f>
        <v/>
      </c>
      <c r="AC858" s="77">
        <f>IF(Z858="","",SUMIFS($N$6:$N$1005,$B$6:$B$1005,Z858))</f>
        <v/>
      </c>
      <c r="AD858" s="76">
        <f>IF(Z858="","",AA858-AC858)</f>
        <v/>
      </c>
      <c r="AE858" s="117">
        <f>IF(Z858="","",IFERROR(1/SUMPRODUCT(MAX(($B$6:$B$1005=Z858)*$T$6:$T$1005)),""))</f>
        <v/>
      </c>
      <c r="AF858" s="77">
        <f>IF(AE858="","",SUMIFS($S$6:$S$1005,$B$6:$B$1005,Z858,$I$6:$I$1005,AE858))</f>
        <v/>
      </c>
    </row>
    <row r="859" ht="20" customHeight="1">
      <c r="B859" s="72" t="n"/>
      <c r="C859" s="72" t="n"/>
      <c r="D859" s="72" t="n"/>
      <c r="E859" s="72" t="n"/>
      <c r="F859" s="110" t="n"/>
      <c r="G859" s="73" t="n"/>
      <c r="H859" s="75">
        <f>IF(B859="","",IF(G859&lt;&gt;"",G859,IF(F859&lt;&gt;"",F859*IFERROR(INDEX('Contractors'!$I$6:$I$1005,MATCH(B859,'Contractors'!$B$6:$B$1005,0)),0),"")))</f>
        <v/>
      </c>
      <c r="I859" s="109" t="n"/>
      <c r="J859" s="72" t="n"/>
      <c r="K859" s="109" t="n"/>
      <c r="L859" s="73" t="n"/>
      <c r="M859" s="109" t="n"/>
      <c r="N859" s="73" t="n"/>
      <c r="O859" s="107">
        <f>IF(B859="","",IF(M859&lt;&gt;"","Paid",IF(AND(I859&lt;&gt;"",I859&lt;AsOf),"OVERDUE",IF(OR(K859&lt;&gt;"",L859&lt;&gt;""),"Invoiced","Scheduled"))))</f>
        <v/>
      </c>
      <c r="P859" s="115">
        <f>IF(B859="","",IF(E859&lt;&gt;"",E859,IFERROR(INDEX('Contractors'!$D$6:$D$1005,MATCH(B859,'Contractors'!$B$6:$B$1005,0)),"")))</f>
        <v/>
      </c>
      <c r="Q859" s="79">
        <f>IF(B859="","",IF(D859&lt;&gt;"",D859,IFERROR(INDEX('Contractors'!$E$6:$E$1005,MATCH(B859,'Contractors'!$B$6:$B$1005,0)),"")))</f>
        <v/>
      </c>
      <c r="R859" s="79">
        <f>IF(O859="","",IF(O859="OVERDUE",2,IF(O859="Paid",0,IF(AND(I859&lt;&gt;"",I859&lt;=AsOf+AlertDays),1,0))))</f>
        <v/>
      </c>
      <c r="S859" s="79">
        <f>IF(AND(B859&lt;&gt;"",M859="",I859&lt;&gt;""),IF(L859&lt;&gt;"",L859,IF(H859="",0,H859)),0)</f>
        <v/>
      </c>
      <c r="T859" s="79">
        <f>IF(AND(B859&lt;&gt;"",M859="",I859&lt;&gt;""),1/I859,0)</f>
        <v/>
      </c>
      <c r="U859" s="112">
        <f>IF(AND(B859&lt;&gt;"",M859="",I859&lt;&gt;""),I859,"")</f>
        <v/>
      </c>
      <c r="V859" s="79">
        <f>IF(U859="","",IF(U859&lt;AsOf,1,IF(U859&lt;=AsOf+AlertDays,2,IF(U859&lt;=AsOf+2*AlertDays,3,""))))</f>
        <v/>
      </c>
      <c r="W859" s="79">
        <f>IF(V859="","",IF(O859="OVERDUE","Overdue payment: ","Payment due: ")&amp;B859&amp;" — "&amp;C859&amp;" ("&amp;CurSym&amp;" "&amp;FIXED(S859,0)&amp;")")</f>
        <v/>
      </c>
      <c r="Z859" s="116">
        <f>IF('Contractors'!B859="","",'Contractors'!B859)</f>
        <v/>
      </c>
      <c r="AA859" s="77">
        <f>IF(Z859="","",'Contractors'!K859)</f>
        <v/>
      </c>
      <c r="AB859" s="77">
        <f>IF(Z859="","",SUMIFS($L$6:$L$1005,$B$6:$B$1005,Z859))</f>
        <v/>
      </c>
      <c r="AC859" s="77">
        <f>IF(Z859="","",SUMIFS($N$6:$N$1005,$B$6:$B$1005,Z859))</f>
        <v/>
      </c>
      <c r="AD859" s="76">
        <f>IF(Z859="","",AA859-AC859)</f>
        <v/>
      </c>
      <c r="AE859" s="117">
        <f>IF(Z859="","",IFERROR(1/SUMPRODUCT(MAX(($B$6:$B$1005=Z859)*$T$6:$T$1005)),""))</f>
        <v/>
      </c>
      <c r="AF859" s="77">
        <f>IF(AE859="","",SUMIFS($S$6:$S$1005,$B$6:$B$1005,Z859,$I$6:$I$1005,AE859))</f>
        <v/>
      </c>
    </row>
    <row r="860" ht="20" customHeight="1">
      <c r="B860" s="72" t="n"/>
      <c r="C860" s="72" t="n"/>
      <c r="D860" s="72" t="n"/>
      <c r="E860" s="72" t="n"/>
      <c r="F860" s="110" t="n"/>
      <c r="G860" s="73" t="n"/>
      <c r="H860" s="75">
        <f>IF(B860="","",IF(G860&lt;&gt;"",G860,IF(F860&lt;&gt;"",F860*IFERROR(INDEX('Contractors'!$I$6:$I$1005,MATCH(B860,'Contractors'!$B$6:$B$1005,0)),0),"")))</f>
        <v/>
      </c>
      <c r="I860" s="109" t="n"/>
      <c r="J860" s="72" t="n"/>
      <c r="K860" s="109" t="n"/>
      <c r="L860" s="73" t="n"/>
      <c r="M860" s="109" t="n"/>
      <c r="N860" s="73" t="n"/>
      <c r="O860" s="107">
        <f>IF(B860="","",IF(M860&lt;&gt;"","Paid",IF(AND(I860&lt;&gt;"",I860&lt;AsOf),"OVERDUE",IF(OR(K860&lt;&gt;"",L860&lt;&gt;""),"Invoiced","Scheduled"))))</f>
        <v/>
      </c>
      <c r="P860" s="115">
        <f>IF(B860="","",IF(E860&lt;&gt;"",E860,IFERROR(INDEX('Contractors'!$D$6:$D$1005,MATCH(B860,'Contractors'!$B$6:$B$1005,0)),"")))</f>
        <v/>
      </c>
      <c r="Q860" s="79">
        <f>IF(B860="","",IF(D860&lt;&gt;"",D860,IFERROR(INDEX('Contractors'!$E$6:$E$1005,MATCH(B860,'Contractors'!$B$6:$B$1005,0)),"")))</f>
        <v/>
      </c>
      <c r="R860" s="79">
        <f>IF(O860="","",IF(O860="OVERDUE",2,IF(O860="Paid",0,IF(AND(I860&lt;&gt;"",I860&lt;=AsOf+AlertDays),1,0))))</f>
        <v/>
      </c>
      <c r="S860" s="79">
        <f>IF(AND(B860&lt;&gt;"",M860="",I860&lt;&gt;""),IF(L860&lt;&gt;"",L860,IF(H860="",0,H860)),0)</f>
        <v/>
      </c>
      <c r="T860" s="79">
        <f>IF(AND(B860&lt;&gt;"",M860="",I860&lt;&gt;""),1/I860,0)</f>
        <v/>
      </c>
      <c r="U860" s="112">
        <f>IF(AND(B860&lt;&gt;"",M860="",I860&lt;&gt;""),I860,"")</f>
        <v/>
      </c>
      <c r="V860" s="79">
        <f>IF(U860="","",IF(U860&lt;AsOf,1,IF(U860&lt;=AsOf+AlertDays,2,IF(U860&lt;=AsOf+2*AlertDays,3,""))))</f>
        <v/>
      </c>
      <c r="W860" s="79">
        <f>IF(V860="","",IF(O860="OVERDUE","Overdue payment: ","Payment due: ")&amp;B860&amp;" — "&amp;C860&amp;" ("&amp;CurSym&amp;" "&amp;FIXED(S860,0)&amp;")")</f>
        <v/>
      </c>
      <c r="Z860" s="116">
        <f>IF('Contractors'!B860="","",'Contractors'!B860)</f>
        <v/>
      </c>
      <c r="AA860" s="77">
        <f>IF(Z860="","",'Contractors'!K860)</f>
        <v/>
      </c>
      <c r="AB860" s="77">
        <f>IF(Z860="","",SUMIFS($L$6:$L$1005,$B$6:$B$1005,Z860))</f>
        <v/>
      </c>
      <c r="AC860" s="77">
        <f>IF(Z860="","",SUMIFS($N$6:$N$1005,$B$6:$B$1005,Z860))</f>
        <v/>
      </c>
      <c r="AD860" s="76">
        <f>IF(Z860="","",AA860-AC860)</f>
        <v/>
      </c>
      <c r="AE860" s="117">
        <f>IF(Z860="","",IFERROR(1/SUMPRODUCT(MAX(($B$6:$B$1005=Z860)*$T$6:$T$1005)),""))</f>
        <v/>
      </c>
      <c r="AF860" s="77">
        <f>IF(AE860="","",SUMIFS($S$6:$S$1005,$B$6:$B$1005,Z860,$I$6:$I$1005,AE860))</f>
        <v/>
      </c>
    </row>
    <row r="861" ht="20" customHeight="1">
      <c r="B861" s="72" t="n"/>
      <c r="C861" s="72" t="n"/>
      <c r="D861" s="72" t="n"/>
      <c r="E861" s="72" t="n"/>
      <c r="F861" s="110" t="n"/>
      <c r="G861" s="73" t="n"/>
      <c r="H861" s="75">
        <f>IF(B861="","",IF(G861&lt;&gt;"",G861,IF(F861&lt;&gt;"",F861*IFERROR(INDEX('Contractors'!$I$6:$I$1005,MATCH(B861,'Contractors'!$B$6:$B$1005,0)),0),"")))</f>
        <v/>
      </c>
      <c r="I861" s="109" t="n"/>
      <c r="J861" s="72" t="n"/>
      <c r="K861" s="109" t="n"/>
      <c r="L861" s="73" t="n"/>
      <c r="M861" s="109" t="n"/>
      <c r="N861" s="73" t="n"/>
      <c r="O861" s="107">
        <f>IF(B861="","",IF(M861&lt;&gt;"","Paid",IF(AND(I861&lt;&gt;"",I861&lt;AsOf),"OVERDUE",IF(OR(K861&lt;&gt;"",L861&lt;&gt;""),"Invoiced","Scheduled"))))</f>
        <v/>
      </c>
      <c r="P861" s="115">
        <f>IF(B861="","",IF(E861&lt;&gt;"",E861,IFERROR(INDEX('Contractors'!$D$6:$D$1005,MATCH(B861,'Contractors'!$B$6:$B$1005,0)),"")))</f>
        <v/>
      </c>
      <c r="Q861" s="79">
        <f>IF(B861="","",IF(D861&lt;&gt;"",D861,IFERROR(INDEX('Contractors'!$E$6:$E$1005,MATCH(B861,'Contractors'!$B$6:$B$1005,0)),"")))</f>
        <v/>
      </c>
      <c r="R861" s="79">
        <f>IF(O861="","",IF(O861="OVERDUE",2,IF(O861="Paid",0,IF(AND(I861&lt;&gt;"",I861&lt;=AsOf+AlertDays),1,0))))</f>
        <v/>
      </c>
      <c r="S861" s="79">
        <f>IF(AND(B861&lt;&gt;"",M861="",I861&lt;&gt;""),IF(L861&lt;&gt;"",L861,IF(H861="",0,H861)),0)</f>
        <v/>
      </c>
      <c r="T861" s="79">
        <f>IF(AND(B861&lt;&gt;"",M861="",I861&lt;&gt;""),1/I861,0)</f>
        <v/>
      </c>
      <c r="U861" s="112">
        <f>IF(AND(B861&lt;&gt;"",M861="",I861&lt;&gt;""),I861,"")</f>
        <v/>
      </c>
      <c r="V861" s="79">
        <f>IF(U861="","",IF(U861&lt;AsOf,1,IF(U861&lt;=AsOf+AlertDays,2,IF(U861&lt;=AsOf+2*AlertDays,3,""))))</f>
        <v/>
      </c>
      <c r="W861" s="79">
        <f>IF(V861="","",IF(O861="OVERDUE","Overdue payment: ","Payment due: ")&amp;B861&amp;" — "&amp;C861&amp;" ("&amp;CurSym&amp;" "&amp;FIXED(S861,0)&amp;")")</f>
        <v/>
      </c>
      <c r="Z861" s="116">
        <f>IF('Contractors'!B861="","",'Contractors'!B861)</f>
        <v/>
      </c>
      <c r="AA861" s="77">
        <f>IF(Z861="","",'Contractors'!K861)</f>
        <v/>
      </c>
      <c r="AB861" s="77">
        <f>IF(Z861="","",SUMIFS($L$6:$L$1005,$B$6:$B$1005,Z861))</f>
        <v/>
      </c>
      <c r="AC861" s="77">
        <f>IF(Z861="","",SUMIFS($N$6:$N$1005,$B$6:$B$1005,Z861))</f>
        <v/>
      </c>
      <c r="AD861" s="76">
        <f>IF(Z861="","",AA861-AC861)</f>
        <v/>
      </c>
      <c r="AE861" s="117">
        <f>IF(Z861="","",IFERROR(1/SUMPRODUCT(MAX(($B$6:$B$1005=Z861)*$T$6:$T$1005)),""))</f>
        <v/>
      </c>
      <c r="AF861" s="77">
        <f>IF(AE861="","",SUMIFS($S$6:$S$1005,$B$6:$B$1005,Z861,$I$6:$I$1005,AE861))</f>
        <v/>
      </c>
    </row>
    <row r="862" ht="20" customHeight="1">
      <c r="B862" s="72" t="n"/>
      <c r="C862" s="72" t="n"/>
      <c r="D862" s="72" t="n"/>
      <c r="E862" s="72" t="n"/>
      <c r="F862" s="110" t="n"/>
      <c r="G862" s="73" t="n"/>
      <c r="H862" s="75">
        <f>IF(B862="","",IF(G862&lt;&gt;"",G862,IF(F862&lt;&gt;"",F862*IFERROR(INDEX('Contractors'!$I$6:$I$1005,MATCH(B862,'Contractors'!$B$6:$B$1005,0)),0),"")))</f>
        <v/>
      </c>
      <c r="I862" s="109" t="n"/>
      <c r="J862" s="72" t="n"/>
      <c r="K862" s="109" t="n"/>
      <c r="L862" s="73" t="n"/>
      <c r="M862" s="109" t="n"/>
      <c r="N862" s="73" t="n"/>
      <c r="O862" s="107">
        <f>IF(B862="","",IF(M862&lt;&gt;"","Paid",IF(AND(I862&lt;&gt;"",I862&lt;AsOf),"OVERDUE",IF(OR(K862&lt;&gt;"",L862&lt;&gt;""),"Invoiced","Scheduled"))))</f>
        <v/>
      </c>
      <c r="P862" s="115">
        <f>IF(B862="","",IF(E862&lt;&gt;"",E862,IFERROR(INDEX('Contractors'!$D$6:$D$1005,MATCH(B862,'Contractors'!$B$6:$B$1005,0)),"")))</f>
        <v/>
      </c>
      <c r="Q862" s="79">
        <f>IF(B862="","",IF(D862&lt;&gt;"",D862,IFERROR(INDEX('Contractors'!$E$6:$E$1005,MATCH(B862,'Contractors'!$B$6:$B$1005,0)),"")))</f>
        <v/>
      </c>
      <c r="R862" s="79">
        <f>IF(O862="","",IF(O862="OVERDUE",2,IF(O862="Paid",0,IF(AND(I862&lt;&gt;"",I862&lt;=AsOf+AlertDays),1,0))))</f>
        <v/>
      </c>
      <c r="S862" s="79">
        <f>IF(AND(B862&lt;&gt;"",M862="",I862&lt;&gt;""),IF(L862&lt;&gt;"",L862,IF(H862="",0,H862)),0)</f>
        <v/>
      </c>
      <c r="T862" s="79">
        <f>IF(AND(B862&lt;&gt;"",M862="",I862&lt;&gt;""),1/I862,0)</f>
        <v/>
      </c>
      <c r="U862" s="112">
        <f>IF(AND(B862&lt;&gt;"",M862="",I862&lt;&gt;""),I862,"")</f>
        <v/>
      </c>
      <c r="V862" s="79">
        <f>IF(U862="","",IF(U862&lt;AsOf,1,IF(U862&lt;=AsOf+AlertDays,2,IF(U862&lt;=AsOf+2*AlertDays,3,""))))</f>
        <v/>
      </c>
      <c r="W862" s="79">
        <f>IF(V862="","",IF(O862="OVERDUE","Overdue payment: ","Payment due: ")&amp;B862&amp;" — "&amp;C862&amp;" ("&amp;CurSym&amp;" "&amp;FIXED(S862,0)&amp;")")</f>
        <v/>
      </c>
      <c r="Z862" s="116">
        <f>IF('Contractors'!B862="","",'Contractors'!B862)</f>
        <v/>
      </c>
      <c r="AA862" s="77">
        <f>IF(Z862="","",'Contractors'!K862)</f>
        <v/>
      </c>
      <c r="AB862" s="77">
        <f>IF(Z862="","",SUMIFS($L$6:$L$1005,$B$6:$B$1005,Z862))</f>
        <v/>
      </c>
      <c r="AC862" s="77">
        <f>IF(Z862="","",SUMIFS($N$6:$N$1005,$B$6:$B$1005,Z862))</f>
        <v/>
      </c>
      <c r="AD862" s="76">
        <f>IF(Z862="","",AA862-AC862)</f>
        <v/>
      </c>
      <c r="AE862" s="117">
        <f>IF(Z862="","",IFERROR(1/SUMPRODUCT(MAX(($B$6:$B$1005=Z862)*$T$6:$T$1005)),""))</f>
        <v/>
      </c>
      <c r="AF862" s="77">
        <f>IF(AE862="","",SUMIFS($S$6:$S$1005,$B$6:$B$1005,Z862,$I$6:$I$1005,AE862))</f>
        <v/>
      </c>
    </row>
    <row r="863" ht="20" customHeight="1">
      <c r="B863" s="72" t="n"/>
      <c r="C863" s="72" t="n"/>
      <c r="D863" s="72" t="n"/>
      <c r="E863" s="72" t="n"/>
      <c r="F863" s="110" t="n"/>
      <c r="G863" s="73" t="n"/>
      <c r="H863" s="75">
        <f>IF(B863="","",IF(G863&lt;&gt;"",G863,IF(F863&lt;&gt;"",F863*IFERROR(INDEX('Contractors'!$I$6:$I$1005,MATCH(B863,'Contractors'!$B$6:$B$1005,0)),0),"")))</f>
        <v/>
      </c>
      <c r="I863" s="109" t="n"/>
      <c r="J863" s="72" t="n"/>
      <c r="K863" s="109" t="n"/>
      <c r="L863" s="73" t="n"/>
      <c r="M863" s="109" t="n"/>
      <c r="N863" s="73" t="n"/>
      <c r="O863" s="107">
        <f>IF(B863="","",IF(M863&lt;&gt;"","Paid",IF(AND(I863&lt;&gt;"",I863&lt;AsOf),"OVERDUE",IF(OR(K863&lt;&gt;"",L863&lt;&gt;""),"Invoiced","Scheduled"))))</f>
        <v/>
      </c>
      <c r="P863" s="115">
        <f>IF(B863="","",IF(E863&lt;&gt;"",E863,IFERROR(INDEX('Contractors'!$D$6:$D$1005,MATCH(B863,'Contractors'!$B$6:$B$1005,0)),"")))</f>
        <v/>
      </c>
      <c r="Q863" s="79">
        <f>IF(B863="","",IF(D863&lt;&gt;"",D863,IFERROR(INDEX('Contractors'!$E$6:$E$1005,MATCH(B863,'Contractors'!$B$6:$B$1005,0)),"")))</f>
        <v/>
      </c>
      <c r="R863" s="79">
        <f>IF(O863="","",IF(O863="OVERDUE",2,IF(O863="Paid",0,IF(AND(I863&lt;&gt;"",I863&lt;=AsOf+AlertDays),1,0))))</f>
        <v/>
      </c>
      <c r="S863" s="79">
        <f>IF(AND(B863&lt;&gt;"",M863="",I863&lt;&gt;""),IF(L863&lt;&gt;"",L863,IF(H863="",0,H863)),0)</f>
        <v/>
      </c>
      <c r="T863" s="79">
        <f>IF(AND(B863&lt;&gt;"",M863="",I863&lt;&gt;""),1/I863,0)</f>
        <v/>
      </c>
      <c r="U863" s="112">
        <f>IF(AND(B863&lt;&gt;"",M863="",I863&lt;&gt;""),I863,"")</f>
        <v/>
      </c>
      <c r="V863" s="79">
        <f>IF(U863="","",IF(U863&lt;AsOf,1,IF(U863&lt;=AsOf+AlertDays,2,IF(U863&lt;=AsOf+2*AlertDays,3,""))))</f>
        <v/>
      </c>
      <c r="W863" s="79">
        <f>IF(V863="","",IF(O863="OVERDUE","Overdue payment: ","Payment due: ")&amp;B863&amp;" — "&amp;C863&amp;" ("&amp;CurSym&amp;" "&amp;FIXED(S863,0)&amp;")")</f>
        <v/>
      </c>
      <c r="Z863" s="116">
        <f>IF('Contractors'!B863="","",'Contractors'!B863)</f>
        <v/>
      </c>
      <c r="AA863" s="77">
        <f>IF(Z863="","",'Contractors'!K863)</f>
        <v/>
      </c>
      <c r="AB863" s="77">
        <f>IF(Z863="","",SUMIFS($L$6:$L$1005,$B$6:$B$1005,Z863))</f>
        <v/>
      </c>
      <c r="AC863" s="77">
        <f>IF(Z863="","",SUMIFS($N$6:$N$1005,$B$6:$B$1005,Z863))</f>
        <v/>
      </c>
      <c r="AD863" s="76">
        <f>IF(Z863="","",AA863-AC863)</f>
        <v/>
      </c>
      <c r="AE863" s="117">
        <f>IF(Z863="","",IFERROR(1/SUMPRODUCT(MAX(($B$6:$B$1005=Z863)*$T$6:$T$1005)),""))</f>
        <v/>
      </c>
      <c r="AF863" s="77">
        <f>IF(AE863="","",SUMIFS($S$6:$S$1005,$B$6:$B$1005,Z863,$I$6:$I$1005,AE863))</f>
        <v/>
      </c>
    </row>
    <row r="864" ht="20" customHeight="1">
      <c r="B864" s="72" t="n"/>
      <c r="C864" s="72" t="n"/>
      <c r="D864" s="72" t="n"/>
      <c r="E864" s="72" t="n"/>
      <c r="F864" s="110" t="n"/>
      <c r="G864" s="73" t="n"/>
      <c r="H864" s="75">
        <f>IF(B864="","",IF(G864&lt;&gt;"",G864,IF(F864&lt;&gt;"",F864*IFERROR(INDEX('Contractors'!$I$6:$I$1005,MATCH(B864,'Contractors'!$B$6:$B$1005,0)),0),"")))</f>
        <v/>
      </c>
      <c r="I864" s="109" t="n"/>
      <c r="J864" s="72" t="n"/>
      <c r="K864" s="109" t="n"/>
      <c r="L864" s="73" t="n"/>
      <c r="M864" s="109" t="n"/>
      <c r="N864" s="73" t="n"/>
      <c r="O864" s="107">
        <f>IF(B864="","",IF(M864&lt;&gt;"","Paid",IF(AND(I864&lt;&gt;"",I864&lt;AsOf),"OVERDUE",IF(OR(K864&lt;&gt;"",L864&lt;&gt;""),"Invoiced","Scheduled"))))</f>
        <v/>
      </c>
      <c r="P864" s="115">
        <f>IF(B864="","",IF(E864&lt;&gt;"",E864,IFERROR(INDEX('Contractors'!$D$6:$D$1005,MATCH(B864,'Contractors'!$B$6:$B$1005,0)),"")))</f>
        <v/>
      </c>
      <c r="Q864" s="79">
        <f>IF(B864="","",IF(D864&lt;&gt;"",D864,IFERROR(INDEX('Contractors'!$E$6:$E$1005,MATCH(B864,'Contractors'!$B$6:$B$1005,0)),"")))</f>
        <v/>
      </c>
      <c r="R864" s="79">
        <f>IF(O864="","",IF(O864="OVERDUE",2,IF(O864="Paid",0,IF(AND(I864&lt;&gt;"",I864&lt;=AsOf+AlertDays),1,0))))</f>
        <v/>
      </c>
      <c r="S864" s="79">
        <f>IF(AND(B864&lt;&gt;"",M864="",I864&lt;&gt;""),IF(L864&lt;&gt;"",L864,IF(H864="",0,H864)),0)</f>
        <v/>
      </c>
      <c r="T864" s="79">
        <f>IF(AND(B864&lt;&gt;"",M864="",I864&lt;&gt;""),1/I864,0)</f>
        <v/>
      </c>
      <c r="U864" s="112">
        <f>IF(AND(B864&lt;&gt;"",M864="",I864&lt;&gt;""),I864,"")</f>
        <v/>
      </c>
      <c r="V864" s="79">
        <f>IF(U864="","",IF(U864&lt;AsOf,1,IF(U864&lt;=AsOf+AlertDays,2,IF(U864&lt;=AsOf+2*AlertDays,3,""))))</f>
        <v/>
      </c>
      <c r="W864" s="79">
        <f>IF(V864="","",IF(O864="OVERDUE","Overdue payment: ","Payment due: ")&amp;B864&amp;" — "&amp;C864&amp;" ("&amp;CurSym&amp;" "&amp;FIXED(S864,0)&amp;")")</f>
        <v/>
      </c>
      <c r="Z864" s="116">
        <f>IF('Contractors'!B864="","",'Contractors'!B864)</f>
        <v/>
      </c>
      <c r="AA864" s="77">
        <f>IF(Z864="","",'Contractors'!K864)</f>
        <v/>
      </c>
      <c r="AB864" s="77">
        <f>IF(Z864="","",SUMIFS($L$6:$L$1005,$B$6:$B$1005,Z864))</f>
        <v/>
      </c>
      <c r="AC864" s="77">
        <f>IF(Z864="","",SUMIFS($N$6:$N$1005,$B$6:$B$1005,Z864))</f>
        <v/>
      </c>
      <c r="AD864" s="76">
        <f>IF(Z864="","",AA864-AC864)</f>
        <v/>
      </c>
      <c r="AE864" s="117">
        <f>IF(Z864="","",IFERROR(1/SUMPRODUCT(MAX(($B$6:$B$1005=Z864)*$T$6:$T$1005)),""))</f>
        <v/>
      </c>
      <c r="AF864" s="77">
        <f>IF(AE864="","",SUMIFS($S$6:$S$1005,$B$6:$B$1005,Z864,$I$6:$I$1005,AE864))</f>
        <v/>
      </c>
    </row>
    <row r="865" ht="20" customHeight="1">
      <c r="B865" s="72" t="n"/>
      <c r="C865" s="72" t="n"/>
      <c r="D865" s="72" t="n"/>
      <c r="E865" s="72" t="n"/>
      <c r="F865" s="110" t="n"/>
      <c r="G865" s="73" t="n"/>
      <c r="H865" s="75">
        <f>IF(B865="","",IF(G865&lt;&gt;"",G865,IF(F865&lt;&gt;"",F865*IFERROR(INDEX('Contractors'!$I$6:$I$1005,MATCH(B865,'Contractors'!$B$6:$B$1005,0)),0),"")))</f>
        <v/>
      </c>
      <c r="I865" s="109" t="n"/>
      <c r="J865" s="72" t="n"/>
      <c r="K865" s="109" t="n"/>
      <c r="L865" s="73" t="n"/>
      <c r="M865" s="109" t="n"/>
      <c r="N865" s="73" t="n"/>
      <c r="O865" s="107">
        <f>IF(B865="","",IF(M865&lt;&gt;"","Paid",IF(AND(I865&lt;&gt;"",I865&lt;AsOf),"OVERDUE",IF(OR(K865&lt;&gt;"",L865&lt;&gt;""),"Invoiced","Scheduled"))))</f>
        <v/>
      </c>
      <c r="P865" s="115">
        <f>IF(B865="","",IF(E865&lt;&gt;"",E865,IFERROR(INDEX('Contractors'!$D$6:$D$1005,MATCH(B865,'Contractors'!$B$6:$B$1005,0)),"")))</f>
        <v/>
      </c>
      <c r="Q865" s="79">
        <f>IF(B865="","",IF(D865&lt;&gt;"",D865,IFERROR(INDEX('Contractors'!$E$6:$E$1005,MATCH(B865,'Contractors'!$B$6:$B$1005,0)),"")))</f>
        <v/>
      </c>
      <c r="R865" s="79">
        <f>IF(O865="","",IF(O865="OVERDUE",2,IF(O865="Paid",0,IF(AND(I865&lt;&gt;"",I865&lt;=AsOf+AlertDays),1,0))))</f>
        <v/>
      </c>
      <c r="S865" s="79">
        <f>IF(AND(B865&lt;&gt;"",M865="",I865&lt;&gt;""),IF(L865&lt;&gt;"",L865,IF(H865="",0,H865)),0)</f>
        <v/>
      </c>
      <c r="T865" s="79">
        <f>IF(AND(B865&lt;&gt;"",M865="",I865&lt;&gt;""),1/I865,0)</f>
        <v/>
      </c>
      <c r="U865" s="112">
        <f>IF(AND(B865&lt;&gt;"",M865="",I865&lt;&gt;""),I865,"")</f>
        <v/>
      </c>
      <c r="V865" s="79">
        <f>IF(U865="","",IF(U865&lt;AsOf,1,IF(U865&lt;=AsOf+AlertDays,2,IF(U865&lt;=AsOf+2*AlertDays,3,""))))</f>
        <v/>
      </c>
      <c r="W865" s="79">
        <f>IF(V865="","",IF(O865="OVERDUE","Overdue payment: ","Payment due: ")&amp;B865&amp;" — "&amp;C865&amp;" ("&amp;CurSym&amp;" "&amp;FIXED(S865,0)&amp;")")</f>
        <v/>
      </c>
      <c r="Z865" s="116">
        <f>IF('Contractors'!B865="","",'Contractors'!B865)</f>
        <v/>
      </c>
      <c r="AA865" s="77">
        <f>IF(Z865="","",'Contractors'!K865)</f>
        <v/>
      </c>
      <c r="AB865" s="77">
        <f>IF(Z865="","",SUMIFS($L$6:$L$1005,$B$6:$B$1005,Z865))</f>
        <v/>
      </c>
      <c r="AC865" s="77">
        <f>IF(Z865="","",SUMIFS($N$6:$N$1005,$B$6:$B$1005,Z865))</f>
        <v/>
      </c>
      <c r="AD865" s="76">
        <f>IF(Z865="","",AA865-AC865)</f>
        <v/>
      </c>
      <c r="AE865" s="117">
        <f>IF(Z865="","",IFERROR(1/SUMPRODUCT(MAX(($B$6:$B$1005=Z865)*$T$6:$T$1005)),""))</f>
        <v/>
      </c>
      <c r="AF865" s="77">
        <f>IF(AE865="","",SUMIFS($S$6:$S$1005,$B$6:$B$1005,Z865,$I$6:$I$1005,AE865))</f>
        <v/>
      </c>
    </row>
    <row r="866" ht="20" customHeight="1">
      <c r="B866" s="72" t="n"/>
      <c r="C866" s="72" t="n"/>
      <c r="D866" s="72" t="n"/>
      <c r="E866" s="72" t="n"/>
      <c r="F866" s="110" t="n"/>
      <c r="G866" s="73" t="n"/>
      <c r="H866" s="75">
        <f>IF(B866="","",IF(G866&lt;&gt;"",G866,IF(F866&lt;&gt;"",F866*IFERROR(INDEX('Contractors'!$I$6:$I$1005,MATCH(B866,'Contractors'!$B$6:$B$1005,0)),0),"")))</f>
        <v/>
      </c>
      <c r="I866" s="109" t="n"/>
      <c r="J866" s="72" t="n"/>
      <c r="K866" s="109" t="n"/>
      <c r="L866" s="73" t="n"/>
      <c r="M866" s="109" t="n"/>
      <c r="N866" s="73" t="n"/>
      <c r="O866" s="107">
        <f>IF(B866="","",IF(M866&lt;&gt;"","Paid",IF(AND(I866&lt;&gt;"",I866&lt;AsOf),"OVERDUE",IF(OR(K866&lt;&gt;"",L866&lt;&gt;""),"Invoiced","Scheduled"))))</f>
        <v/>
      </c>
      <c r="P866" s="115">
        <f>IF(B866="","",IF(E866&lt;&gt;"",E866,IFERROR(INDEX('Contractors'!$D$6:$D$1005,MATCH(B866,'Contractors'!$B$6:$B$1005,0)),"")))</f>
        <v/>
      </c>
      <c r="Q866" s="79">
        <f>IF(B866="","",IF(D866&lt;&gt;"",D866,IFERROR(INDEX('Contractors'!$E$6:$E$1005,MATCH(B866,'Contractors'!$B$6:$B$1005,0)),"")))</f>
        <v/>
      </c>
      <c r="R866" s="79">
        <f>IF(O866="","",IF(O866="OVERDUE",2,IF(O866="Paid",0,IF(AND(I866&lt;&gt;"",I866&lt;=AsOf+AlertDays),1,0))))</f>
        <v/>
      </c>
      <c r="S866" s="79">
        <f>IF(AND(B866&lt;&gt;"",M866="",I866&lt;&gt;""),IF(L866&lt;&gt;"",L866,IF(H866="",0,H866)),0)</f>
        <v/>
      </c>
      <c r="T866" s="79">
        <f>IF(AND(B866&lt;&gt;"",M866="",I866&lt;&gt;""),1/I866,0)</f>
        <v/>
      </c>
      <c r="U866" s="112">
        <f>IF(AND(B866&lt;&gt;"",M866="",I866&lt;&gt;""),I866,"")</f>
        <v/>
      </c>
      <c r="V866" s="79">
        <f>IF(U866="","",IF(U866&lt;AsOf,1,IF(U866&lt;=AsOf+AlertDays,2,IF(U866&lt;=AsOf+2*AlertDays,3,""))))</f>
        <v/>
      </c>
      <c r="W866" s="79">
        <f>IF(V866="","",IF(O866="OVERDUE","Overdue payment: ","Payment due: ")&amp;B866&amp;" — "&amp;C866&amp;" ("&amp;CurSym&amp;" "&amp;FIXED(S866,0)&amp;")")</f>
        <v/>
      </c>
      <c r="Z866" s="116">
        <f>IF('Contractors'!B866="","",'Contractors'!B866)</f>
        <v/>
      </c>
      <c r="AA866" s="77">
        <f>IF(Z866="","",'Contractors'!K866)</f>
        <v/>
      </c>
      <c r="AB866" s="77">
        <f>IF(Z866="","",SUMIFS($L$6:$L$1005,$B$6:$B$1005,Z866))</f>
        <v/>
      </c>
      <c r="AC866" s="77">
        <f>IF(Z866="","",SUMIFS($N$6:$N$1005,$B$6:$B$1005,Z866))</f>
        <v/>
      </c>
      <c r="AD866" s="76">
        <f>IF(Z866="","",AA866-AC866)</f>
        <v/>
      </c>
      <c r="AE866" s="117">
        <f>IF(Z866="","",IFERROR(1/SUMPRODUCT(MAX(($B$6:$B$1005=Z866)*$T$6:$T$1005)),""))</f>
        <v/>
      </c>
      <c r="AF866" s="77">
        <f>IF(AE866="","",SUMIFS($S$6:$S$1005,$B$6:$B$1005,Z866,$I$6:$I$1005,AE866))</f>
        <v/>
      </c>
    </row>
    <row r="867" ht="20" customHeight="1">
      <c r="B867" s="72" t="n"/>
      <c r="C867" s="72" t="n"/>
      <c r="D867" s="72" t="n"/>
      <c r="E867" s="72" t="n"/>
      <c r="F867" s="110" t="n"/>
      <c r="G867" s="73" t="n"/>
      <c r="H867" s="75">
        <f>IF(B867="","",IF(G867&lt;&gt;"",G867,IF(F867&lt;&gt;"",F867*IFERROR(INDEX('Contractors'!$I$6:$I$1005,MATCH(B867,'Contractors'!$B$6:$B$1005,0)),0),"")))</f>
        <v/>
      </c>
      <c r="I867" s="109" t="n"/>
      <c r="J867" s="72" t="n"/>
      <c r="K867" s="109" t="n"/>
      <c r="L867" s="73" t="n"/>
      <c r="M867" s="109" t="n"/>
      <c r="N867" s="73" t="n"/>
      <c r="O867" s="107">
        <f>IF(B867="","",IF(M867&lt;&gt;"","Paid",IF(AND(I867&lt;&gt;"",I867&lt;AsOf),"OVERDUE",IF(OR(K867&lt;&gt;"",L867&lt;&gt;""),"Invoiced","Scheduled"))))</f>
        <v/>
      </c>
      <c r="P867" s="115">
        <f>IF(B867="","",IF(E867&lt;&gt;"",E867,IFERROR(INDEX('Contractors'!$D$6:$D$1005,MATCH(B867,'Contractors'!$B$6:$B$1005,0)),"")))</f>
        <v/>
      </c>
      <c r="Q867" s="79">
        <f>IF(B867="","",IF(D867&lt;&gt;"",D867,IFERROR(INDEX('Contractors'!$E$6:$E$1005,MATCH(B867,'Contractors'!$B$6:$B$1005,0)),"")))</f>
        <v/>
      </c>
      <c r="R867" s="79">
        <f>IF(O867="","",IF(O867="OVERDUE",2,IF(O867="Paid",0,IF(AND(I867&lt;&gt;"",I867&lt;=AsOf+AlertDays),1,0))))</f>
        <v/>
      </c>
      <c r="S867" s="79">
        <f>IF(AND(B867&lt;&gt;"",M867="",I867&lt;&gt;""),IF(L867&lt;&gt;"",L867,IF(H867="",0,H867)),0)</f>
        <v/>
      </c>
      <c r="T867" s="79">
        <f>IF(AND(B867&lt;&gt;"",M867="",I867&lt;&gt;""),1/I867,0)</f>
        <v/>
      </c>
      <c r="U867" s="112">
        <f>IF(AND(B867&lt;&gt;"",M867="",I867&lt;&gt;""),I867,"")</f>
        <v/>
      </c>
      <c r="V867" s="79">
        <f>IF(U867="","",IF(U867&lt;AsOf,1,IF(U867&lt;=AsOf+AlertDays,2,IF(U867&lt;=AsOf+2*AlertDays,3,""))))</f>
        <v/>
      </c>
      <c r="W867" s="79">
        <f>IF(V867="","",IF(O867="OVERDUE","Overdue payment: ","Payment due: ")&amp;B867&amp;" — "&amp;C867&amp;" ("&amp;CurSym&amp;" "&amp;FIXED(S867,0)&amp;")")</f>
        <v/>
      </c>
      <c r="Z867" s="116">
        <f>IF('Contractors'!B867="","",'Contractors'!B867)</f>
        <v/>
      </c>
      <c r="AA867" s="77">
        <f>IF(Z867="","",'Contractors'!K867)</f>
        <v/>
      </c>
      <c r="AB867" s="77">
        <f>IF(Z867="","",SUMIFS($L$6:$L$1005,$B$6:$B$1005,Z867))</f>
        <v/>
      </c>
      <c r="AC867" s="77">
        <f>IF(Z867="","",SUMIFS($N$6:$N$1005,$B$6:$B$1005,Z867))</f>
        <v/>
      </c>
      <c r="AD867" s="76">
        <f>IF(Z867="","",AA867-AC867)</f>
        <v/>
      </c>
      <c r="AE867" s="117">
        <f>IF(Z867="","",IFERROR(1/SUMPRODUCT(MAX(($B$6:$B$1005=Z867)*$T$6:$T$1005)),""))</f>
        <v/>
      </c>
      <c r="AF867" s="77">
        <f>IF(AE867="","",SUMIFS($S$6:$S$1005,$B$6:$B$1005,Z867,$I$6:$I$1005,AE867))</f>
        <v/>
      </c>
    </row>
    <row r="868" ht="20" customHeight="1">
      <c r="B868" s="72" t="n"/>
      <c r="C868" s="72" t="n"/>
      <c r="D868" s="72" t="n"/>
      <c r="E868" s="72" t="n"/>
      <c r="F868" s="110" t="n"/>
      <c r="G868" s="73" t="n"/>
      <c r="H868" s="75">
        <f>IF(B868="","",IF(G868&lt;&gt;"",G868,IF(F868&lt;&gt;"",F868*IFERROR(INDEX('Contractors'!$I$6:$I$1005,MATCH(B868,'Contractors'!$B$6:$B$1005,0)),0),"")))</f>
        <v/>
      </c>
      <c r="I868" s="109" t="n"/>
      <c r="J868" s="72" t="n"/>
      <c r="K868" s="109" t="n"/>
      <c r="L868" s="73" t="n"/>
      <c r="M868" s="109" t="n"/>
      <c r="N868" s="73" t="n"/>
      <c r="O868" s="107">
        <f>IF(B868="","",IF(M868&lt;&gt;"","Paid",IF(AND(I868&lt;&gt;"",I868&lt;AsOf),"OVERDUE",IF(OR(K868&lt;&gt;"",L868&lt;&gt;""),"Invoiced","Scheduled"))))</f>
        <v/>
      </c>
      <c r="P868" s="115">
        <f>IF(B868="","",IF(E868&lt;&gt;"",E868,IFERROR(INDEX('Contractors'!$D$6:$D$1005,MATCH(B868,'Contractors'!$B$6:$B$1005,0)),"")))</f>
        <v/>
      </c>
      <c r="Q868" s="79">
        <f>IF(B868="","",IF(D868&lt;&gt;"",D868,IFERROR(INDEX('Contractors'!$E$6:$E$1005,MATCH(B868,'Contractors'!$B$6:$B$1005,0)),"")))</f>
        <v/>
      </c>
      <c r="R868" s="79">
        <f>IF(O868="","",IF(O868="OVERDUE",2,IF(O868="Paid",0,IF(AND(I868&lt;&gt;"",I868&lt;=AsOf+AlertDays),1,0))))</f>
        <v/>
      </c>
      <c r="S868" s="79">
        <f>IF(AND(B868&lt;&gt;"",M868="",I868&lt;&gt;""),IF(L868&lt;&gt;"",L868,IF(H868="",0,H868)),0)</f>
        <v/>
      </c>
      <c r="T868" s="79">
        <f>IF(AND(B868&lt;&gt;"",M868="",I868&lt;&gt;""),1/I868,0)</f>
        <v/>
      </c>
      <c r="U868" s="112">
        <f>IF(AND(B868&lt;&gt;"",M868="",I868&lt;&gt;""),I868,"")</f>
        <v/>
      </c>
      <c r="V868" s="79">
        <f>IF(U868="","",IF(U868&lt;AsOf,1,IF(U868&lt;=AsOf+AlertDays,2,IF(U868&lt;=AsOf+2*AlertDays,3,""))))</f>
        <v/>
      </c>
      <c r="W868" s="79">
        <f>IF(V868="","",IF(O868="OVERDUE","Overdue payment: ","Payment due: ")&amp;B868&amp;" — "&amp;C868&amp;" ("&amp;CurSym&amp;" "&amp;FIXED(S868,0)&amp;")")</f>
        <v/>
      </c>
      <c r="Z868" s="116">
        <f>IF('Contractors'!B868="","",'Contractors'!B868)</f>
        <v/>
      </c>
      <c r="AA868" s="77">
        <f>IF(Z868="","",'Contractors'!K868)</f>
        <v/>
      </c>
      <c r="AB868" s="77">
        <f>IF(Z868="","",SUMIFS($L$6:$L$1005,$B$6:$B$1005,Z868))</f>
        <v/>
      </c>
      <c r="AC868" s="77">
        <f>IF(Z868="","",SUMIFS($N$6:$N$1005,$B$6:$B$1005,Z868))</f>
        <v/>
      </c>
      <c r="AD868" s="76">
        <f>IF(Z868="","",AA868-AC868)</f>
        <v/>
      </c>
      <c r="AE868" s="117">
        <f>IF(Z868="","",IFERROR(1/SUMPRODUCT(MAX(($B$6:$B$1005=Z868)*$T$6:$T$1005)),""))</f>
        <v/>
      </c>
      <c r="AF868" s="77">
        <f>IF(AE868="","",SUMIFS($S$6:$S$1005,$B$6:$B$1005,Z868,$I$6:$I$1005,AE868))</f>
        <v/>
      </c>
    </row>
    <row r="869" ht="20" customHeight="1">
      <c r="B869" s="72" t="n"/>
      <c r="C869" s="72" t="n"/>
      <c r="D869" s="72" t="n"/>
      <c r="E869" s="72" t="n"/>
      <c r="F869" s="110" t="n"/>
      <c r="G869" s="73" t="n"/>
      <c r="H869" s="75">
        <f>IF(B869="","",IF(G869&lt;&gt;"",G869,IF(F869&lt;&gt;"",F869*IFERROR(INDEX('Contractors'!$I$6:$I$1005,MATCH(B869,'Contractors'!$B$6:$B$1005,0)),0),"")))</f>
        <v/>
      </c>
      <c r="I869" s="109" t="n"/>
      <c r="J869" s="72" t="n"/>
      <c r="K869" s="109" t="n"/>
      <c r="L869" s="73" t="n"/>
      <c r="M869" s="109" t="n"/>
      <c r="N869" s="73" t="n"/>
      <c r="O869" s="107">
        <f>IF(B869="","",IF(M869&lt;&gt;"","Paid",IF(AND(I869&lt;&gt;"",I869&lt;AsOf),"OVERDUE",IF(OR(K869&lt;&gt;"",L869&lt;&gt;""),"Invoiced","Scheduled"))))</f>
        <v/>
      </c>
      <c r="P869" s="115">
        <f>IF(B869="","",IF(E869&lt;&gt;"",E869,IFERROR(INDEX('Contractors'!$D$6:$D$1005,MATCH(B869,'Contractors'!$B$6:$B$1005,0)),"")))</f>
        <v/>
      </c>
      <c r="Q869" s="79">
        <f>IF(B869="","",IF(D869&lt;&gt;"",D869,IFERROR(INDEX('Contractors'!$E$6:$E$1005,MATCH(B869,'Contractors'!$B$6:$B$1005,0)),"")))</f>
        <v/>
      </c>
      <c r="R869" s="79">
        <f>IF(O869="","",IF(O869="OVERDUE",2,IF(O869="Paid",0,IF(AND(I869&lt;&gt;"",I869&lt;=AsOf+AlertDays),1,0))))</f>
        <v/>
      </c>
      <c r="S869" s="79">
        <f>IF(AND(B869&lt;&gt;"",M869="",I869&lt;&gt;""),IF(L869&lt;&gt;"",L869,IF(H869="",0,H869)),0)</f>
        <v/>
      </c>
      <c r="T869" s="79">
        <f>IF(AND(B869&lt;&gt;"",M869="",I869&lt;&gt;""),1/I869,0)</f>
        <v/>
      </c>
      <c r="U869" s="112">
        <f>IF(AND(B869&lt;&gt;"",M869="",I869&lt;&gt;""),I869,"")</f>
        <v/>
      </c>
      <c r="V869" s="79">
        <f>IF(U869="","",IF(U869&lt;AsOf,1,IF(U869&lt;=AsOf+AlertDays,2,IF(U869&lt;=AsOf+2*AlertDays,3,""))))</f>
        <v/>
      </c>
      <c r="W869" s="79">
        <f>IF(V869="","",IF(O869="OVERDUE","Overdue payment: ","Payment due: ")&amp;B869&amp;" — "&amp;C869&amp;" ("&amp;CurSym&amp;" "&amp;FIXED(S869,0)&amp;")")</f>
        <v/>
      </c>
      <c r="Z869" s="116">
        <f>IF('Contractors'!B869="","",'Contractors'!B869)</f>
        <v/>
      </c>
      <c r="AA869" s="77">
        <f>IF(Z869="","",'Contractors'!K869)</f>
        <v/>
      </c>
      <c r="AB869" s="77">
        <f>IF(Z869="","",SUMIFS($L$6:$L$1005,$B$6:$B$1005,Z869))</f>
        <v/>
      </c>
      <c r="AC869" s="77">
        <f>IF(Z869="","",SUMIFS($N$6:$N$1005,$B$6:$B$1005,Z869))</f>
        <v/>
      </c>
      <c r="AD869" s="76">
        <f>IF(Z869="","",AA869-AC869)</f>
        <v/>
      </c>
      <c r="AE869" s="117">
        <f>IF(Z869="","",IFERROR(1/SUMPRODUCT(MAX(($B$6:$B$1005=Z869)*$T$6:$T$1005)),""))</f>
        <v/>
      </c>
      <c r="AF869" s="77">
        <f>IF(AE869="","",SUMIFS($S$6:$S$1005,$B$6:$B$1005,Z869,$I$6:$I$1005,AE869))</f>
        <v/>
      </c>
    </row>
    <row r="870" ht="20" customHeight="1">
      <c r="B870" s="72" t="n"/>
      <c r="C870" s="72" t="n"/>
      <c r="D870" s="72" t="n"/>
      <c r="E870" s="72" t="n"/>
      <c r="F870" s="110" t="n"/>
      <c r="G870" s="73" t="n"/>
      <c r="H870" s="75">
        <f>IF(B870="","",IF(G870&lt;&gt;"",G870,IF(F870&lt;&gt;"",F870*IFERROR(INDEX('Contractors'!$I$6:$I$1005,MATCH(B870,'Contractors'!$B$6:$B$1005,0)),0),"")))</f>
        <v/>
      </c>
      <c r="I870" s="109" t="n"/>
      <c r="J870" s="72" t="n"/>
      <c r="K870" s="109" t="n"/>
      <c r="L870" s="73" t="n"/>
      <c r="M870" s="109" t="n"/>
      <c r="N870" s="73" t="n"/>
      <c r="O870" s="107">
        <f>IF(B870="","",IF(M870&lt;&gt;"","Paid",IF(AND(I870&lt;&gt;"",I870&lt;AsOf),"OVERDUE",IF(OR(K870&lt;&gt;"",L870&lt;&gt;""),"Invoiced","Scheduled"))))</f>
        <v/>
      </c>
      <c r="P870" s="115">
        <f>IF(B870="","",IF(E870&lt;&gt;"",E870,IFERROR(INDEX('Contractors'!$D$6:$D$1005,MATCH(B870,'Contractors'!$B$6:$B$1005,0)),"")))</f>
        <v/>
      </c>
      <c r="Q870" s="79">
        <f>IF(B870="","",IF(D870&lt;&gt;"",D870,IFERROR(INDEX('Contractors'!$E$6:$E$1005,MATCH(B870,'Contractors'!$B$6:$B$1005,0)),"")))</f>
        <v/>
      </c>
      <c r="R870" s="79">
        <f>IF(O870="","",IF(O870="OVERDUE",2,IF(O870="Paid",0,IF(AND(I870&lt;&gt;"",I870&lt;=AsOf+AlertDays),1,0))))</f>
        <v/>
      </c>
      <c r="S870" s="79">
        <f>IF(AND(B870&lt;&gt;"",M870="",I870&lt;&gt;""),IF(L870&lt;&gt;"",L870,IF(H870="",0,H870)),0)</f>
        <v/>
      </c>
      <c r="T870" s="79">
        <f>IF(AND(B870&lt;&gt;"",M870="",I870&lt;&gt;""),1/I870,0)</f>
        <v/>
      </c>
      <c r="U870" s="112">
        <f>IF(AND(B870&lt;&gt;"",M870="",I870&lt;&gt;""),I870,"")</f>
        <v/>
      </c>
      <c r="V870" s="79">
        <f>IF(U870="","",IF(U870&lt;AsOf,1,IF(U870&lt;=AsOf+AlertDays,2,IF(U870&lt;=AsOf+2*AlertDays,3,""))))</f>
        <v/>
      </c>
      <c r="W870" s="79">
        <f>IF(V870="","",IF(O870="OVERDUE","Overdue payment: ","Payment due: ")&amp;B870&amp;" — "&amp;C870&amp;" ("&amp;CurSym&amp;" "&amp;FIXED(S870,0)&amp;")")</f>
        <v/>
      </c>
      <c r="Z870" s="116">
        <f>IF('Contractors'!B870="","",'Contractors'!B870)</f>
        <v/>
      </c>
      <c r="AA870" s="77">
        <f>IF(Z870="","",'Contractors'!K870)</f>
        <v/>
      </c>
      <c r="AB870" s="77">
        <f>IF(Z870="","",SUMIFS($L$6:$L$1005,$B$6:$B$1005,Z870))</f>
        <v/>
      </c>
      <c r="AC870" s="77">
        <f>IF(Z870="","",SUMIFS($N$6:$N$1005,$B$6:$B$1005,Z870))</f>
        <v/>
      </c>
      <c r="AD870" s="76">
        <f>IF(Z870="","",AA870-AC870)</f>
        <v/>
      </c>
      <c r="AE870" s="117">
        <f>IF(Z870="","",IFERROR(1/SUMPRODUCT(MAX(($B$6:$B$1005=Z870)*$T$6:$T$1005)),""))</f>
        <v/>
      </c>
      <c r="AF870" s="77">
        <f>IF(AE870="","",SUMIFS($S$6:$S$1005,$B$6:$B$1005,Z870,$I$6:$I$1005,AE870))</f>
        <v/>
      </c>
    </row>
    <row r="871" ht="20" customHeight="1">
      <c r="B871" s="72" t="n"/>
      <c r="C871" s="72" t="n"/>
      <c r="D871" s="72" t="n"/>
      <c r="E871" s="72" t="n"/>
      <c r="F871" s="110" t="n"/>
      <c r="G871" s="73" t="n"/>
      <c r="H871" s="75">
        <f>IF(B871="","",IF(G871&lt;&gt;"",G871,IF(F871&lt;&gt;"",F871*IFERROR(INDEX('Contractors'!$I$6:$I$1005,MATCH(B871,'Contractors'!$B$6:$B$1005,0)),0),"")))</f>
        <v/>
      </c>
      <c r="I871" s="109" t="n"/>
      <c r="J871" s="72" t="n"/>
      <c r="K871" s="109" t="n"/>
      <c r="L871" s="73" t="n"/>
      <c r="M871" s="109" t="n"/>
      <c r="N871" s="73" t="n"/>
      <c r="O871" s="107">
        <f>IF(B871="","",IF(M871&lt;&gt;"","Paid",IF(AND(I871&lt;&gt;"",I871&lt;AsOf),"OVERDUE",IF(OR(K871&lt;&gt;"",L871&lt;&gt;""),"Invoiced","Scheduled"))))</f>
        <v/>
      </c>
      <c r="P871" s="115">
        <f>IF(B871="","",IF(E871&lt;&gt;"",E871,IFERROR(INDEX('Contractors'!$D$6:$D$1005,MATCH(B871,'Contractors'!$B$6:$B$1005,0)),"")))</f>
        <v/>
      </c>
      <c r="Q871" s="79">
        <f>IF(B871="","",IF(D871&lt;&gt;"",D871,IFERROR(INDEX('Contractors'!$E$6:$E$1005,MATCH(B871,'Contractors'!$B$6:$B$1005,0)),"")))</f>
        <v/>
      </c>
      <c r="R871" s="79">
        <f>IF(O871="","",IF(O871="OVERDUE",2,IF(O871="Paid",0,IF(AND(I871&lt;&gt;"",I871&lt;=AsOf+AlertDays),1,0))))</f>
        <v/>
      </c>
      <c r="S871" s="79">
        <f>IF(AND(B871&lt;&gt;"",M871="",I871&lt;&gt;""),IF(L871&lt;&gt;"",L871,IF(H871="",0,H871)),0)</f>
        <v/>
      </c>
      <c r="T871" s="79">
        <f>IF(AND(B871&lt;&gt;"",M871="",I871&lt;&gt;""),1/I871,0)</f>
        <v/>
      </c>
      <c r="U871" s="112">
        <f>IF(AND(B871&lt;&gt;"",M871="",I871&lt;&gt;""),I871,"")</f>
        <v/>
      </c>
      <c r="V871" s="79">
        <f>IF(U871="","",IF(U871&lt;AsOf,1,IF(U871&lt;=AsOf+AlertDays,2,IF(U871&lt;=AsOf+2*AlertDays,3,""))))</f>
        <v/>
      </c>
      <c r="W871" s="79">
        <f>IF(V871="","",IF(O871="OVERDUE","Overdue payment: ","Payment due: ")&amp;B871&amp;" — "&amp;C871&amp;" ("&amp;CurSym&amp;" "&amp;FIXED(S871,0)&amp;")")</f>
        <v/>
      </c>
      <c r="Z871" s="116">
        <f>IF('Contractors'!B871="","",'Contractors'!B871)</f>
        <v/>
      </c>
      <c r="AA871" s="77">
        <f>IF(Z871="","",'Contractors'!K871)</f>
        <v/>
      </c>
      <c r="AB871" s="77">
        <f>IF(Z871="","",SUMIFS($L$6:$L$1005,$B$6:$B$1005,Z871))</f>
        <v/>
      </c>
      <c r="AC871" s="77">
        <f>IF(Z871="","",SUMIFS($N$6:$N$1005,$B$6:$B$1005,Z871))</f>
        <v/>
      </c>
      <c r="AD871" s="76">
        <f>IF(Z871="","",AA871-AC871)</f>
        <v/>
      </c>
      <c r="AE871" s="117">
        <f>IF(Z871="","",IFERROR(1/SUMPRODUCT(MAX(($B$6:$B$1005=Z871)*$T$6:$T$1005)),""))</f>
        <v/>
      </c>
      <c r="AF871" s="77">
        <f>IF(AE871="","",SUMIFS($S$6:$S$1005,$B$6:$B$1005,Z871,$I$6:$I$1005,AE871))</f>
        <v/>
      </c>
    </row>
    <row r="872" ht="20" customHeight="1">
      <c r="B872" s="72" t="n"/>
      <c r="C872" s="72" t="n"/>
      <c r="D872" s="72" t="n"/>
      <c r="E872" s="72" t="n"/>
      <c r="F872" s="110" t="n"/>
      <c r="G872" s="73" t="n"/>
      <c r="H872" s="75">
        <f>IF(B872="","",IF(G872&lt;&gt;"",G872,IF(F872&lt;&gt;"",F872*IFERROR(INDEX('Contractors'!$I$6:$I$1005,MATCH(B872,'Contractors'!$B$6:$B$1005,0)),0),"")))</f>
        <v/>
      </c>
      <c r="I872" s="109" t="n"/>
      <c r="J872" s="72" t="n"/>
      <c r="K872" s="109" t="n"/>
      <c r="L872" s="73" t="n"/>
      <c r="M872" s="109" t="n"/>
      <c r="N872" s="73" t="n"/>
      <c r="O872" s="107">
        <f>IF(B872="","",IF(M872&lt;&gt;"","Paid",IF(AND(I872&lt;&gt;"",I872&lt;AsOf),"OVERDUE",IF(OR(K872&lt;&gt;"",L872&lt;&gt;""),"Invoiced","Scheduled"))))</f>
        <v/>
      </c>
      <c r="P872" s="115">
        <f>IF(B872="","",IF(E872&lt;&gt;"",E872,IFERROR(INDEX('Contractors'!$D$6:$D$1005,MATCH(B872,'Contractors'!$B$6:$B$1005,0)),"")))</f>
        <v/>
      </c>
      <c r="Q872" s="79">
        <f>IF(B872="","",IF(D872&lt;&gt;"",D872,IFERROR(INDEX('Contractors'!$E$6:$E$1005,MATCH(B872,'Contractors'!$B$6:$B$1005,0)),"")))</f>
        <v/>
      </c>
      <c r="R872" s="79">
        <f>IF(O872="","",IF(O872="OVERDUE",2,IF(O872="Paid",0,IF(AND(I872&lt;&gt;"",I872&lt;=AsOf+AlertDays),1,0))))</f>
        <v/>
      </c>
      <c r="S872" s="79">
        <f>IF(AND(B872&lt;&gt;"",M872="",I872&lt;&gt;""),IF(L872&lt;&gt;"",L872,IF(H872="",0,H872)),0)</f>
        <v/>
      </c>
      <c r="T872" s="79">
        <f>IF(AND(B872&lt;&gt;"",M872="",I872&lt;&gt;""),1/I872,0)</f>
        <v/>
      </c>
      <c r="U872" s="112">
        <f>IF(AND(B872&lt;&gt;"",M872="",I872&lt;&gt;""),I872,"")</f>
        <v/>
      </c>
      <c r="V872" s="79">
        <f>IF(U872="","",IF(U872&lt;AsOf,1,IF(U872&lt;=AsOf+AlertDays,2,IF(U872&lt;=AsOf+2*AlertDays,3,""))))</f>
        <v/>
      </c>
      <c r="W872" s="79">
        <f>IF(V872="","",IF(O872="OVERDUE","Overdue payment: ","Payment due: ")&amp;B872&amp;" — "&amp;C872&amp;" ("&amp;CurSym&amp;" "&amp;FIXED(S872,0)&amp;")")</f>
        <v/>
      </c>
      <c r="Z872" s="116">
        <f>IF('Contractors'!B872="","",'Contractors'!B872)</f>
        <v/>
      </c>
      <c r="AA872" s="77">
        <f>IF(Z872="","",'Contractors'!K872)</f>
        <v/>
      </c>
      <c r="AB872" s="77">
        <f>IF(Z872="","",SUMIFS($L$6:$L$1005,$B$6:$B$1005,Z872))</f>
        <v/>
      </c>
      <c r="AC872" s="77">
        <f>IF(Z872="","",SUMIFS($N$6:$N$1005,$B$6:$B$1005,Z872))</f>
        <v/>
      </c>
      <c r="AD872" s="76">
        <f>IF(Z872="","",AA872-AC872)</f>
        <v/>
      </c>
      <c r="AE872" s="117">
        <f>IF(Z872="","",IFERROR(1/SUMPRODUCT(MAX(($B$6:$B$1005=Z872)*$T$6:$T$1005)),""))</f>
        <v/>
      </c>
      <c r="AF872" s="77">
        <f>IF(AE872="","",SUMIFS($S$6:$S$1005,$B$6:$B$1005,Z872,$I$6:$I$1005,AE872))</f>
        <v/>
      </c>
    </row>
    <row r="873" ht="20" customHeight="1">
      <c r="B873" s="72" t="n"/>
      <c r="C873" s="72" t="n"/>
      <c r="D873" s="72" t="n"/>
      <c r="E873" s="72" t="n"/>
      <c r="F873" s="110" t="n"/>
      <c r="G873" s="73" t="n"/>
      <c r="H873" s="75">
        <f>IF(B873="","",IF(G873&lt;&gt;"",G873,IF(F873&lt;&gt;"",F873*IFERROR(INDEX('Contractors'!$I$6:$I$1005,MATCH(B873,'Contractors'!$B$6:$B$1005,0)),0),"")))</f>
        <v/>
      </c>
      <c r="I873" s="109" t="n"/>
      <c r="J873" s="72" t="n"/>
      <c r="K873" s="109" t="n"/>
      <c r="L873" s="73" t="n"/>
      <c r="M873" s="109" t="n"/>
      <c r="N873" s="73" t="n"/>
      <c r="O873" s="107">
        <f>IF(B873="","",IF(M873&lt;&gt;"","Paid",IF(AND(I873&lt;&gt;"",I873&lt;AsOf),"OVERDUE",IF(OR(K873&lt;&gt;"",L873&lt;&gt;""),"Invoiced","Scheduled"))))</f>
        <v/>
      </c>
      <c r="P873" s="115">
        <f>IF(B873="","",IF(E873&lt;&gt;"",E873,IFERROR(INDEX('Contractors'!$D$6:$D$1005,MATCH(B873,'Contractors'!$B$6:$B$1005,0)),"")))</f>
        <v/>
      </c>
      <c r="Q873" s="79">
        <f>IF(B873="","",IF(D873&lt;&gt;"",D873,IFERROR(INDEX('Contractors'!$E$6:$E$1005,MATCH(B873,'Contractors'!$B$6:$B$1005,0)),"")))</f>
        <v/>
      </c>
      <c r="R873" s="79">
        <f>IF(O873="","",IF(O873="OVERDUE",2,IF(O873="Paid",0,IF(AND(I873&lt;&gt;"",I873&lt;=AsOf+AlertDays),1,0))))</f>
        <v/>
      </c>
      <c r="S873" s="79">
        <f>IF(AND(B873&lt;&gt;"",M873="",I873&lt;&gt;""),IF(L873&lt;&gt;"",L873,IF(H873="",0,H873)),0)</f>
        <v/>
      </c>
      <c r="T873" s="79">
        <f>IF(AND(B873&lt;&gt;"",M873="",I873&lt;&gt;""),1/I873,0)</f>
        <v/>
      </c>
      <c r="U873" s="112">
        <f>IF(AND(B873&lt;&gt;"",M873="",I873&lt;&gt;""),I873,"")</f>
        <v/>
      </c>
      <c r="V873" s="79">
        <f>IF(U873="","",IF(U873&lt;AsOf,1,IF(U873&lt;=AsOf+AlertDays,2,IF(U873&lt;=AsOf+2*AlertDays,3,""))))</f>
        <v/>
      </c>
      <c r="W873" s="79">
        <f>IF(V873="","",IF(O873="OVERDUE","Overdue payment: ","Payment due: ")&amp;B873&amp;" — "&amp;C873&amp;" ("&amp;CurSym&amp;" "&amp;FIXED(S873,0)&amp;")")</f>
        <v/>
      </c>
      <c r="Z873" s="116">
        <f>IF('Contractors'!B873="","",'Contractors'!B873)</f>
        <v/>
      </c>
      <c r="AA873" s="77">
        <f>IF(Z873="","",'Contractors'!K873)</f>
        <v/>
      </c>
      <c r="AB873" s="77">
        <f>IF(Z873="","",SUMIFS($L$6:$L$1005,$B$6:$B$1005,Z873))</f>
        <v/>
      </c>
      <c r="AC873" s="77">
        <f>IF(Z873="","",SUMIFS($N$6:$N$1005,$B$6:$B$1005,Z873))</f>
        <v/>
      </c>
      <c r="AD873" s="76">
        <f>IF(Z873="","",AA873-AC873)</f>
        <v/>
      </c>
      <c r="AE873" s="117">
        <f>IF(Z873="","",IFERROR(1/SUMPRODUCT(MAX(($B$6:$B$1005=Z873)*$T$6:$T$1005)),""))</f>
        <v/>
      </c>
      <c r="AF873" s="77">
        <f>IF(AE873="","",SUMIFS($S$6:$S$1005,$B$6:$B$1005,Z873,$I$6:$I$1005,AE873))</f>
        <v/>
      </c>
    </row>
    <row r="874" ht="20" customHeight="1">
      <c r="B874" s="72" t="n"/>
      <c r="C874" s="72" t="n"/>
      <c r="D874" s="72" t="n"/>
      <c r="E874" s="72" t="n"/>
      <c r="F874" s="110" t="n"/>
      <c r="G874" s="73" t="n"/>
      <c r="H874" s="75">
        <f>IF(B874="","",IF(G874&lt;&gt;"",G874,IF(F874&lt;&gt;"",F874*IFERROR(INDEX('Contractors'!$I$6:$I$1005,MATCH(B874,'Contractors'!$B$6:$B$1005,0)),0),"")))</f>
        <v/>
      </c>
      <c r="I874" s="109" t="n"/>
      <c r="J874" s="72" t="n"/>
      <c r="K874" s="109" t="n"/>
      <c r="L874" s="73" t="n"/>
      <c r="M874" s="109" t="n"/>
      <c r="N874" s="73" t="n"/>
      <c r="O874" s="107">
        <f>IF(B874="","",IF(M874&lt;&gt;"","Paid",IF(AND(I874&lt;&gt;"",I874&lt;AsOf),"OVERDUE",IF(OR(K874&lt;&gt;"",L874&lt;&gt;""),"Invoiced","Scheduled"))))</f>
        <v/>
      </c>
      <c r="P874" s="115">
        <f>IF(B874="","",IF(E874&lt;&gt;"",E874,IFERROR(INDEX('Contractors'!$D$6:$D$1005,MATCH(B874,'Contractors'!$B$6:$B$1005,0)),"")))</f>
        <v/>
      </c>
      <c r="Q874" s="79">
        <f>IF(B874="","",IF(D874&lt;&gt;"",D874,IFERROR(INDEX('Contractors'!$E$6:$E$1005,MATCH(B874,'Contractors'!$B$6:$B$1005,0)),"")))</f>
        <v/>
      </c>
      <c r="R874" s="79">
        <f>IF(O874="","",IF(O874="OVERDUE",2,IF(O874="Paid",0,IF(AND(I874&lt;&gt;"",I874&lt;=AsOf+AlertDays),1,0))))</f>
        <v/>
      </c>
      <c r="S874" s="79">
        <f>IF(AND(B874&lt;&gt;"",M874="",I874&lt;&gt;""),IF(L874&lt;&gt;"",L874,IF(H874="",0,H874)),0)</f>
        <v/>
      </c>
      <c r="T874" s="79">
        <f>IF(AND(B874&lt;&gt;"",M874="",I874&lt;&gt;""),1/I874,0)</f>
        <v/>
      </c>
      <c r="U874" s="112">
        <f>IF(AND(B874&lt;&gt;"",M874="",I874&lt;&gt;""),I874,"")</f>
        <v/>
      </c>
      <c r="V874" s="79">
        <f>IF(U874="","",IF(U874&lt;AsOf,1,IF(U874&lt;=AsOf+AlertDays,2,IF(U874&lt;=AsOf+2*AlertDays,3,""))))</f>
        <v/>
      </c>
      <c r="W874" s="79">
        <f>IF(V874="","",IF(O874="OVERDUE","Overdue payment: ","Payment due: ")&amp;B874&amp;" — "&amp;C874&amp;" ("&amp;CurSym&amp;" "&amp;FIXED(S874,0)&amp;")")</f>
        <v/>
      </c>
      <c r="Z874" s="116">
        <f>IF('Contractors'!B874="","",'Contractors'!B874)</f>
        <v/>
      </c>
      <c r="AA874" s="77">
        <f>IF(Z874="","",'Contractors'!K874)</f>
        <v/>
      </c>
      <c r="AB874" s="77">
        <f>IF(Z874="","",SUMIFS($L$6:$L$1005,$B$6:$B$1005,Z874))</f>
        <v/>
      </c>
      <c r="AC874" s="77">
        <f>IF(Z874="","",SUMIFS($N$6:$N$1005,$B$6:$B$1005,Z874))</f>
        <v/>
      </c>
      <c r="AD874" s="76">
        <f>IF(Z874="","",AA874-AC874)</f>
        <v/>
      </c>
      <c r="AE874" s="117">
        <f>IF(Z874="","",IFERROR(1/SUMPRODUCT(MAX(($B$6:$B$1005=Z874)*$T$6:$T$1005)),""))</f>
        <v/>
      </c>
      <c r="AF874" s="77">
        <f>IF(AE874="","",SUMIFS($S$6:$S$1005,$B$6:$B$1005,Z874,$I$6:$I$1005,AE874))</f>
        <v/>
      </c>
    </row>
    <row r="875" ht="20" customHeight="1">
      <c r="B875" s="72" t="n"/>
      <c r="C875" s="72" t="n"/>
      <c r="D875" s="72" t="n"/>
      <c r="E875" s="72" t="n"/>
      <c r="F875" s="110" t="n"/>
      <c r="G875" s="73" t="n"/>
      <c r="H875" s="75">
        <f>IF(B875="","",IF(G875&lt;&gt;"",G875,IF(F875&lt;&gt;"",F875*IFERROR(INDEX('Contractors'!$I$6:$I$1005,MATCH(B875,'Contractors'!$B$6:$B$1005,0)),0),"")))</f>
        <v/>
      </c>
      <c r="I875" s="109" t="n"/>
      <c r="J875" s="72" t="n"/>
      <c r="K875" s="109" t="n"/>
      <c r="L875" s="73" t="n"/>
      <c r="M875" s="109" t="n"/>
      <c r="N875" s="73" t="n"/>
      <c r="O875" s="107">
        <f>IF(B875="","",IF(M875&lt;&gt;"","Paid",IF(AND(I875&lt;&gt;"",I875&lt;AsOf),"OVERDUE",IF(OR(K875&lt;&gt;"",L875&lt;&gt;""),"Invoiced","Scheduled"))))</f>
        <v/>
      </c>
      <c r="P875" s="115">
        <f>IF(B875="","",IF(E875&lt;&gt;"",E875,IFERROR(INDEX('Contractors'!$D$6:$D$1005,MATCH(B875,'Contractors'!$B$6:$B$1005,0)),"")))</f>
        <v/>
      </c>
      <c r="Q875" s="79">
        <f>IF(B875="","",IF(D875&lt;&gt;"",D875,IFERROR(INDEX('Contractors'!$E$6:$E$1005,MATCH(B875,'Contractors'!$B$6:$B$1005,0)),"")))</f>
        <v/>
      </c>
      <c r="R875" s="79">
        <f>IF(O875="","",IF(O875="OVERDUE",2,IF(O875="Paid",0,IF(AND(I875&lt;&gt;"",I875&lt;=AsOf+AlertDays),1,0))))</f>
        <v/>
      </c>
      <c r="S875" s="79">
        <f>IF(AND(B875&lt;&gt;"",M875="",I875&lt;&gt;""),IF(L875&lt;&gt;"",L875,IF(H875="",0,H875)),0)</f>
        <v/>
      </c>
      <c r="T875" s="79">
        <f>IF(AND(B875&lt;&gt;"",M875="",I875&lt;&gt;""),1/I875,0)</f>
        <v/>
      </c>
      <c r="U875" s="112">
        <f>IF(AND(B875&lt;&gt;"",M875="",I875&lt;&gt;""),I875,"")</f>
        <v/>
      </c>
      <c r="V875" s="79">
        <f>IF(U875="","",IF(U875&lt;AsOf,1,IF(U875&lt;=AsOf+AlertDays,2,IF(U875&lt;=AsOf+2*AlertDays,3,""))))</f>
        <v/>
      </c>
      <c r="W875" s="79">
        <f>IF(V875="","",IF(O875="OVERDUE","Overdue payment: ","Payment due: ")&amp;B875&amp;" — "&amp;C875&amp;" ("&amp;CurSym&amp;" "&amp;FIXED(S875,0)&amp;")")</f>
        <v/>
      </c>
      <c r="Z875" s="116">
        <f>IF('Contractors'!B875="","",'Contractors'!B875)</f>
        <v/>
      </c>
      <c r="AA875" s="77">
        <f>IF(Z875="","",'Contractors'!K875)</f>
        <v/>
      </c>
      <c r="AB875" s="77">
        <f>IF(Z875="","",SUMIFS($L$6:$L$1005,$B$6:$B$1005,Z875))</f>
        <v/>
      </c>
      <c r="AC875" s="77">
        <f>IF(Z875="","",SUMIFS($N$6:$N$1005,$B$6:$B$1005,Z875))</f>
        <v/>
      </c>
      <c r="AD875" s="76">
        <f>IF(Z875="","",AA875-AC875)</f>
        <v/>
      </c>
      <c r="AE875" s="117">
        <f>IF(Z875="","",IFERROR(1/SUMPRODUCT(MAX(($B$6:$B$1005=Z875)*$T$6:$T$1005)),""))</f>
        <v/>
      </c>
      <c r="AF875" s="77">
        <f>IF(AE875="","",SUMIFS($S$6:$S$1005,$B$6:$B$1005,Z875,$I$6:$I$1005,AE875))</f>
        <v/>
      </c>
    </row>
    <row r="876" ht="20" customHeight="1">
      <c r="B876" s="72" t="n"/>
      <c r="C876" s="72" t="n"/>
      <c r="D876" s="72" t="n"/>
      <c r="E876" s="72" t="n"/>
      <c r="F876" s="110" t="n"/>
      <c r="G876" s="73" t="n"/>
      <c r="H876" s="75">
        <f>IF(B876="","",IF(G876&lt;&gt;"",G876,IF(F876&lt;&gt;"",F876*IFERROR(INDEX('Contractors'!$I$6:$I$1005,MATCH(B876,'Contractors'!$B$6:$B$1005,0)),0),"")))</f>
        <v/>
      </c>
      <c r="I876" s="109" t="n"/>
      <c r="J876" s="72" t="n"/>
      <c r="K876" s="109" t="n"/>
      <c r="L876" s="73" t="n"/>
      <c r="M876" s="109" t="n"/>
      <c r="N876" s="73" t="n"/>
      <c r="O876" s="107">
        <f>IF(B876="","",IF(M876&lt;&gt;"","Paid",IF(AND(I876&lt;&gt;"",I876&lt;AsOf),"OVERDUE",IF(OR(K876&lt;&gt;"",L876&lt;&gt;""),"Invoiced","Scheduled"))))</f>
        <v/>
      </c>
      <c r="P876" s="115">
        <f>IF(B876="","",IF(E876&lt;&gt;"",E876,IFERROR(INDEX('Contractors'!$D$6:$D$1005,MATCH(B876,'Contractors'!$B$6:$B$1005,0)),"")))</f>
        <v/>
      </c>
      <c r="Q876" s="79">
        <f>IF(B876="","",IF(D876&lt;&gt;"",D876,IFERROR(INDEX('Contractors'!$E$6:$E$1005,MATCH(B876,'Contractors'!$B$6:$B$1005,0)),"")))</f>
        <v/>
      </c>
      <c r="R876" s="79">
        <f>IF(O876="","",IF(O876="OVERDUE",2,IF(O876="Paid",0,IF(AND(I876&lt;&gt;"",I876&lt;=AsOf+AlertDays),1,0))))</f>
        <v/>
      </c>
      <c r="S876" s="79">
        <f>IF(AND(B876&lt;&gt;"",M876="",I876&lt;&gt;""),IF(L876&lt;&gt;"",L876,IF(H876="",0,H876)),0)</f>
        <v/>
      </c>
      <c r="T876" s="79">
        <f>IF(AND(B876&lt;&gt;"",M876="",I876&lt;&gt;""),1/I876,0)</f>
        <v/>
      </c>
      <c r="U876" s="112">
        <f>IF(AND(B876&lt;&gt;"",M876="",I876&lt;&gt;""),I876,"")</f>
        <v/>
      </c>
      <c r="V876" s="79">
        <f>IF(U876="","",IF(U876&lt;AsOf,1,IF(U876&lt;=AsOf+AlertDays,2,IF(U876&lt;=AsOf+2*AlertDays,3,""))))</f>
        <v/>
      </c>
      <c r="W876" s="79">
        <f>IF(V876="","",IF(O876="OVERDUE","Overdue payment: ","Payment due: ")&amp;B876&amp;" — "&amp;C876&amp;" ("&amp;CurSym&amp;" "&amp;FIXED(S876,0)&amp;")")</f>
        <v/>
      </c>
      <c r="Z876" s="116">
        <f>IF('Contractors'!B876="","",'Contractors'!B876)</f>
        <v/>
      </c>
      <c r="AA876" s="77">
        <f>IF(Z876="","",'Contractors'!K876)</f>
        <v/>
      </c>
      <c r="AB876" s="77">
        <f>IF(Z876="","",SUMIFS($L$6:$L$1005,$B$6:$B$1005,Z876))</f>
        <v/>
      </c>
      <c r="AC876" s="77">
        <f>IF(Z876="","",SUMIFS($N$6:$N$1005,$B$6:$B$1005,Z876))</f>
        <v/>
      </c>
      <c r="AD876" s="76">
        <f>IF(Z876="","",AA876-AC876)</f>
        <v/>
      </c>
      <c r="AE876" s="117">
        <f>IF(Z876="","",IFERROR(1/SUMPRODUCT(MAX(($B$6:$B$1005=Z876)*$T$6:$T$1005)),""))</f>
        <v/>
      </c>
      <c r="AF876" s="77">
        <f>IF(AE876="","",SUMIFS($S$6:$S$1005,$B$6:$B$1005,Z876,$I$6:$I$1005,AE876))</f>
        <v/>
      </c>
    </row>
    <row r="877" ht="20" customHeight="1">
      <c r="B877" s="72" t="n"/>
      <c r="C877" s="72" t="n"/>
      <c r="D877" s="72" t="n"/>
      <c r="E877" s="72" t="n"/>
      <c r="F877" s="110" t="n"/>
      <c r="G877" s="73" t="n"/>
      <c r="H877" s="75">
        <f>IF(B877="","",IF(G877&lt;&gt;"",G877,IF(F877&lt;&gt;"",F877*IFERROR(INDEX('Contractors'!$I$6:$I$1005,MATCH(B877,'Contractors'!$B$6:$B$1005,0)),0),"")))</f>
        <v/>
      </c>
      <c r="I877" s="109" t="n"/>
      <c r="J877" s="72" t="n"/>
      <c r="K877" s="109" t="n"/>
      <c r="L877" s="73" t="n"/>
      <c r="M877" s="109" t="n"/>
      <c r="N877" s="73" t="n"/>
      <c r="O877" s="107">
        <f>IF(B877="","",IF(M877&lt;&gt;"","Paid",IF(AND(I877&lt;&gt;"",I877&lt;AsOf),"OVERDUE",IF(OR(K877&lt;&gt;"",L877&lt;&gt;""),"Invoiced","Scheduled"))))</f>
        <v/>
      </c>
      <c r="P877" s="115">
        <f>IF(B877="","",IF(E877&lt;&gt;"",E877,IFERROR(INDEX('Contractors'!$D$6:$D$1005,MATCH(B877,'Contractors'!$B$6:$B$1005,0)),"")))</f>
        <v/>
      </c>
      <c r="Q877" s="79">
        <f>IF(B877="","",IF(D877&lt;&gt;"",D877,IFERROR(INDEX('Contractors'!$E$6:$E$1005,MATCH(B877,'Contractors'!$B$6:$B$1005,0)),"")))</f>
        <v/>
      </c>
      <c r="R877" s="79">
        <f>IF(O877="","",IF(O877="OVERDUE",2,IF(O877="Paid",0,IF(AND(I877&lt;&gt;"",I877&lt;=AsOf+AlertDays),1,0))))</f>
        <v/>
      </c>
      <c r="S877" s="79">
        <f>IF(AND(B877&lt;&gt;"",M877="",I877&lt;&gt;""),IF(L877&lt;&gt;"",L877,IF(H877="",0,H877)),0)</f>
        <v/>
      </c>
      <c r="T877" s="79">
        <f>IF(AND(B877&lt;&gt;"",M877="",I877&lt;&gt;""),1/I877,0)</f>
        <v/>
      </c>
      <c r="U877" s="112">
        <f>IF(AND(B877&lt;&gt;"",M877="",I877&lt;&gt;""),I877,"")</f>
        <v/>
      </c>
      <c r="V877" s="79">
        <f>IF(U877="","",IF(U877&lt;AsOf,1,IF(U877&lt;=AsOf+AlertDays,2,IF(U877&lt;=AsOf+2*AlertDays,3,""))))</f>
        <v/>
      </c>
      <c r="W877" s="79">
        <f>IF(V877="","",IF(O877="OVERDUE","Overdue payment: ","Payment due: ")&amp;B877&amp;" — "&amp;C877&amp;" ("&amp;CurSym&amp;" "&amp;FIXED(S877,0)&amp;")")</f>
        <v/>
      </c>
      <c r="Z877" s="116">
        <f>IF('Contractors'!B877="","",'Contractors'!B877)</f>
        <v/>
      </c>
      <c r="AA877" s="77">
        <f>IF(Z877="","",'Contractors'!K877)</f>
        <v/>
      </c>
      <c r="AB877" s="77">
        <f>IF(Z877="","",SUMIFS($L$6:$L$1005,$B$6:$B$1005,Z877))</f>
        <v/>
      </c>
      <c r="AC877" s="77">
        <f>IF(Z877="","",SUMIFS($N$6:$N$1005,$B$6:$B$1005,Z877))</f>
        <v/>
      </c>
      <c r="AD877" s="76">
        <f>IF(Z877="","",AA877-AC877)</f>
        <v/>
      </c>
      <c r="AE877" s="117">
        <f>IF(Z877="","",IFERROR(1/SUMPRODUCT(MAX(($B$6:$B$1005=Z877)*$T$6:$T$1005)),""))</f>
        <v/>
      </c>
      <c r="AF877" s="77">
        <f>IF(AE877="","",SUMIFS($S$6:$S$1005,$B$6:$B$1005,Z877,$I$6:$I$1005,AE877))</f>
        <v/>
      </c>
    </row>
    <row r="878" ht="20" customHeight="1">
      <c r="B878" s="72" t="n"/>
      <c r="C878" s="72" t="n"/>
      <c r="D878" s="72" t="n"/>
      <c r="E878" s="72" t="n"/>
      <c r="F878" s="110" t="n"/>
      <c r="G878" s="73" t="n"/>
      <c r="H878" s="75">
        <f>IF(B878="","",IF(G878&lt;&gt;"",G878,IF(F878&lt;&gt;"",F878*IFERROR(INDEX('Contractors'!$I$6:$I$1005,MATCH(B878,'Contractors'!$B$6:$B$1005,0)),0),"")))</f>
        <v/>
      </c>
      <c r="I878" s="109" t="n"/>
      <c r="J878" s="72" t="n"/>
      <c r="K878" s="109" t="n"/>
      <c r="L878" s="73" t="n"/>
      <c r="M878" s="109" t="n"/>
      <c r="N878" s="73" t="n"/>
      <c r="O878" s="107">
        <f>IF(B878="","",IF(M878&lt;&gt;"","Paid",IF(AND(I878&lt;&gt;"",I878&lt;AsOf),"OVERDUE",IF(OR(K878&lt;&gt;"",L878&lt;&gt;""),"Invoiced","Scheduled"))))</f>
        <v/>
      </c>
      <c r="P878" s="115">
        <f>IF(B878="","",IF(E878&lt;&gt;"",E878,IFERROR(INDEX('Contractors'!$D$6:$D$1005,MATCH(B878,'Contractors'!$B$6:$B$1005,0)),"")))</f>
        <v/>
      </c>
      <c r="Q878" s="79">
        <f>IF(B878="","",IF(D878&lt;&gt;"",D878,IFERROR(INDEX('Contractors'!$E$6:$E$1005,MATCH(B878,'Contractors'!$B$6:$B$1005,0)),"")))</f>
        <v/>
      </c>
      <c r="R878" s="79">
        <f>IF(O878="","",IF(O878="OVERDUE",2,IF(O878="Paid",0,IF(AND(I878&lt;&gt;"",I878&lt;=AsOf+AlertDays),1,0))))</f>
        <v/>
      </c>
      <c r="S878" s="79">
        <f>IF(AND(B878&lt;&gt;"",M878="",I878&lt;&gt;""),IF(L878&lt;&gt;"",L878,IF(H878="",0,H878)),0)</f>
        <v/>
      </c>
      <c r="T878" s="79">
        <f>IF(AND(B878&lt;&gt;"",M878="",I878&lt;&gt;""),1/I878,0)</f>
        <v/>
      </c>
      <c r="U878" s="112">
        <f>IF(AND(B878&lt;&gt;"",M878="",I878&lt;&gt;""),I878,"")</f>
        <v/>
      </c>
      <c r="V878" s="79">
        <f>IF(U878="","",IF(U878&lt;AsOf,1,IF(U878&lt;=AsOf+AlertDays,2,IF(U878&lt;=AsOf+2*AlertDays,3,""))))</f>
        <v/>
      </c>
      <c r="W878" s="79">
        <f>IF(V878="","",IF(O878="OVERDUE","Overdue payment: ","Payment due: ")&amp;B878&amp;" — "&amp;C878&amp;" ("&amp;CurSym&amp;" "&amp;FIXED(S878,0)&amp;")")</f>
        <v/>
      </c>
      <c r="Z878" s="116">
        <f>IF('Contractors'!B878="","",'Contractors'!B878)</f>
        <v/>
      </c>
      <c r="AA878" s="77">
        <f>IF(Z878="","",'Contractors'!K878)</f>
        <v/>
      </c>
      <c r="AB878" s="77">
        <f>IF(Z878="","",SUMIFS($L$6:$L$1005,$B$6:$B$1005,Z878))</f>
        <v/>
      </c>
      <c r="AC878" s="77">
        <f>IF(Z878="","",SUMIFS($N$6:$N$1005,$B$6:$B$1005,Z878))</f>
        <v/>
      </c>
      <c r="AD878" s="76">
        <f>IF(Z878="","",AA878-AC878)</f>
        <v/>
      </c>
      <c r="AE878" s="117">
        <f>IF(Z878="","",IFERROR(1/SUMPRODUCT(MAX(($B$6:$B$1005=Z878)*$T$6:$T$1005)),""))</f>
        <v/>
      </c>
      <c r="AF878" s="77">
        <f>IF(AE878="","",SUMIFS($S$6:$S$1005,$B$6:$B$1005,Z878,$I$6:$I$1005,AE878))</f>
        <v/>
      </c>
    </row>
    <row r="879" ht="20" customHeight="1">
      <c r="B879" s="72" t="n"/>
      <c r="C879" s="72" t="n"/>
      <c r="D879" s="72" t="n"/>
      <c r="E879" s="72" t="n"/>
      <c r="F879" s="110" t="n"/>
      <c r="G879" s="73" t="n"/>
      <c r="H879" s="75">
        <f>IF(B879="","",IF(G879&lt;&gt;"",G879,IF(F879&lt;&gt;"",F879*IFERROR(INDEX('Contractors'!$I$6:$I$1005,MATCH(B879,'Contractors'!$B$6:$B$1005,0)),0),"")))</f>
        <v/>
      </c>
      <c r="I879" s="109" t="n"/>
      <c r="J879" s="72" t="n"/>
      <c r="K879" s="109" t="n"/>
      <c r="L879" s="73" t="n"/>
      <c r="M879" s="109" t="n"/>
      <c r="N879" s="73" t="n"/>
      <c r="O879" s="107">
        <f>IF(B879="","",IF(M879&lt;&gt;"","Paid",IF(AND(I879&lt;&gt;"",I879&lt;AsOf),"OVERDUE",IF(OR(K879&lt;&gt;"",L879&lt;&gt;""),"Invoiced","Scheduled"))))</f>
        <v/>
      </c>
      <c r="P879" s="115">
        <f>IF(B879="","",IF(E879&lt;&gt;"",E879,IFERROR(INDEX('Contractors'!$D$6:$D$1005,MATCH(B879,'Contractors'!$B$6:$B$1005,0)),"")))</f>
        <v/>
      </c>
      <c r="Q879" s="79">
        <f>IF(B879="","",IF(D879&lt;&gt;"",D879,IFERROR(INDEX('Contractors'!$E$6:$E$1005,MATCH(B879,'Contractors'!$B$6:$B$1005,0)),"")))</f>
        <v/>
      </c>
      <c r="R879" s="79">
        <f>IF(O879="","",IF(O879="OVERDUE",2,IF(O879="Paid",0,IF(AND(I879&lt;&gt;"",I879&lt;=AsOf+AlertDays),1,0))))</f>
        <v/>
      </c>
      <c r="S879" s="79">
        <f>IF(AND(B879&lt;&gt;"",M879="",I879&lt;&gt;""),IF(L879&lt;&gt;"",L879,IF(H879="",0,H879)),0)</f>
        <v/>
      </c>
      <c r="T879" s="79">
        <f>IF(AND(B879&lt;&gt;"",M879="",I879&lt;&gt;""),1/I879,0)</f>
        <v/>
      </c>
      <c r="U879" s="112">
        <f>IF(AND(B879&lt;&gt;"",M879="",I879&lt;&gt;""),I879,"")</f>
        <v/>
      </c>
      <c r="V879" s="79">
        <f>IF(U879="","",IF(U879&lt;AsOf,1,IF(U879&lt;=AsOf+AlertDays,2,IF(U879&lt;=AsOf+2*AlertDays,3,""))))</f>
        <v/>
      </c>
      <c r="W879" s="79">
        <f>IF(V879="","",IF(O879="OVERDUE","Overdue payment: ","Payment due: ")&amp;B879&amp;" — "&amp;C879&amp;" ("&amp;CurSym&amp;" "&amp;FIXED(S879,0)&amp;")")</f>
        <v/>
      </c>
      <c r="Z879" s="116">
        <f>IF('Contractors'!B879="","",'Contractors'!B879)</f>
        <v/>
      </c>
      <c r="AA879" s="77">
        <f>IF(Z879="","",'Contractors'!K879)</f>
        <v/>
      </c>
      <c r="AB879" s="77">
        <f>IF(Z879="","",SUMIFS($L$6:$L$1005,$B$6:$B$1005,Z879))</f>
        <v/>
      </c>
      <c r="AC879" s="77">
        <f>IF(Z879="","",SUMIFS($N$6:$N$1005,$B$6:$B$1005,Z879))</f>
        <v/>
      </c>
      <c r="AD879" s="76">
        <f>IF(Z879="","",AA879-AC879)</f>
        <v/>
      </c>
      <c r="AE879" s="117">
        <f>IF(Z879="","",IFERROR(1/SUMPRODUCT(MAX(($B$6:$B$1005=Z879)*$T$6:$T$1005)),""))</f>
        <v/>
      </c>
      <c r="AF879" s="77">
        <f>IF(AE879="","",SUMIFS($S$6:$S$1005,$B$6:$B$1005,Z879,$I$6:$I$1005,AE879))</f>
        <v/>
      </c>
    </row>
    <row r="880" ht="20" customHeight="1">
      <c r="B880" s="72" t="n"/>
      <c r="C880" s="72" t="n"/>
      <c r="D880" s="72" t="n"/>
      <c r="E880" s="72" t="n"/>
      <c r="F880" s="110" t="n"/>
      <c r="G880" s="73" t="n"/>
      <c r="H880" s="75">
        <f>IF(B880="","",IF(G880&lt;&gt;"",G880,IF(F880&lt;&gt;"",F880*IFERROR(INDEX('Contractors'!$I$6:$I$1005,MATCH(B880,'Contractors'!$B$6:$B$1005,0)),0),"")))</f>
        <v/>
      </c>
      <c r="I880" s="109" t="n"/>
      <c r="J880" s="72" t="n"/>
      <c r="K880" s="109" t="n"/>
      <c r="L880" s="73" t="n"/>
      <c r="M880" s="109" t="n"/>
      <c r="N880" s="73" t="n"/>
      <c r="O880" s="107">
        <f>IF(B880="","",IF(M880&lt;&gt;"","Paid",IF(AND(I880&lt;&gt;"",I880&lt;AsOf),"OVERDUE",IF(OR(K880&lt;&gt;"",L880&lt;&gt;""),"Invoiced","Scheduled"))))</f>
        <v/>
      </c>
      <c r="P880" s="115">
        <f>IF(B880="","",IF(E880&lt;&gt;"",E880,IFERROR(INDEX('Contractors'!$D$6:$D$1005,MATCH(B880,'Contractors'!$B$6:$B$1005,0)),"")))</f>
        <v/>
      </c>
      <c r="Q880" s="79">
        <f>IF(B880="","",IF(D880&lt;&gt;"",D880,IFERROR(INDEX('Contractors'!$E$6:$E$1005,MATCH(B880,'Contractors'!$B$6:$B$1005,0)),"")))</f>
        <v/>
      </c>
      <c r="R880" s="79">
        <f>IF(O880="","",IF(O880="OVERDUE",2,IF(O880="Paid",0,IF(AND(I880&lt;&gt;"",I880&lt;=AsOf+AlertDays),1,0))))</f>
        <v/>
      </c>
      <c r="S880" s="79">
        <f>IF(AND(B880&lt;&gt;"",M880="",I880&lt;&gt;""),IF(L880&lt;&gt;"",L880,IF(H880="",0,H880)),0)</f>
        <v/>
      </c>
      <c r="T880" s="79">
        <f>IF(AND(B880&lt;&gt;"",M880="",I880&lt;&gt;""),1/I880,0)</f>
        <v/>
      </c>
      <c r="U880" s="112">
        <f>IF(AND(B880&lt;&gt;"",M880="",I880&lt;&gt;""),I880,"")</f>
        <v/>
      </c>
      <c r="V880" s="79">
        <f>IF(U880="","",IF(U880&lt;AsOf,1,IF(U880&lt;=AsOf+AlertDays,2,IF(U880&lt;=AsOf+2*AlertDays,3,""))))</f>
        <v/>
      </c>
      <c r="W880" s="79">
        <f>IF(V880="","",IF(O880="OVERDUE","Overdue payment: ","Payment due: ")&amp;B880&amp;" — "&amp;C880&amp;" ("&amp;CurSym&amp;" "&amp;FIXED(S880,0)&amp;")")</f>
        <v/>
      </c>
      <c r="Z880" s="116">
        <f>IF('Contractors'!B880="","",'Contractors'!B880)</f>
        <v/>
      </c>
      <c r="AA880" s="77">
        <f>IF(Z880="","",'Contractors'!K880)</f>
        <v/>
      </c>
      <c r="AB880" s="77">
        <f>IF(Z880="","",SUMIFS($L$6:$L$1005,$B$6:$B$1005,Z880))</f>
        <v/>
      </c>
      <c r="AC880" s="77">
        <f>IF(Z880="","",SUMIFS($N$6:$N$1005,$B$6:$B$1005,Z880))</f>
        <v/>
      </c>
      <c r="AD880" s="76">
        <f>IF(Z880="","",AA880-AC880)</f>
        <v/>
      </c>
      <c r="AE880" s="117">
        <f>IF(Z880="","",IFERROR(1/SUMPRODUCT(MAX(($B$6:$B$1005=Z880)*$T$6:$T$1005)),""))</f>
        <v/>
      </c>
      <c r="AF880" s="77">
        <f>IF(AE880="","",SUMIFS($S$6:$S$1005,$B$6:$B$1005,Z880,$I$6:$I$1005,AE880))</f>
        <v/>
      </c>
    </row>
    <row r="881" ht="20" customHeight="1">
      <c r="B881" s="72" t="n"/>
      <c r="C881" s="72" t="n"/>
      <c r="D881" s="72" t="n"/>
      <c r="E881" s="72" t="n"/>
      <c r="F881" s="110" t="n"/>
      <c r="G881" s="73" t="n"/>
      <c r="H881" s="75">
        <f>IF(B881="","",IF(G881&lt;&gt;"",G881,IF(F881&lt;&gt;"",F881*IFERROR(INDEX('Contractors'!$I$6:$I$1005,MATCH(B881,'Contractors'!$B$6:$B$1005,0)),0),"")))</f>
        <v/>
      </c>
      <c r="I881" s="109" t="n"/>
      <c r="J881" s="72" t="n"/>
      <c r="K881" s="109" t="n"/>
      <c r="L881" s="73" t="n"/>
      <c r="M881" s="109" t="n"/>
      <c r="N881" s="73" t="n"/>
      <c r="O881" s="107">
        <f>IF(B881="","",IF(M881&lt;&gt;"","Paid",IF(AND(I881&lt;&gt;"",I881&lt;AsOf),"OVERDUE",IF(OR(K881&lt;&gt;"",L881&lt;&gt;""),"Invoiced","Scheduled"))))</f>
        <v/>
      </c>
      <c r="P881" s="115">
        <f>IF(B881="","",IF(E881&lt;&gt;"",E881,IFERROR(INDEX('Contractors'!$D$6:$D$1005,MATCH(B881,'Contractors'!$B$6:$B$1005,0)),"")))</f>
        <v/>
      </c>
      <c r="Q881" s="79">
        <f>IF(B881="","",IF(D881&lt;&gt;"",D881,IFERROR(INDEX('Contractors'!$E$6:$E$1005,MATCH(B881,'Contractors'!$B$6:$B$1005,0)),"")))</f>
        <v/>
      </c>
      <c r="R881" s="79">
        <f>IF(O881="","",IF(O881="OVERDUE",2,IF(O881="Paid",0,IF(AND(I881&lt;&gt;"",I881&lt;=AsOf+AlertDays),1,0))))</f>
        <v/>
      </c>
      <c r="S881" s="79">
        <f>IF(AND(B881&lt;&gt;"",M881="",I881&lt;&gt;""),IF(L881&lt;&gt;"",L881,IF(H881="",0,H881)),0)</f>
        <v/>
      </c>
      <c r="T881" s="79">
        <f>IF(AND(B881&lt;&gt;"",M881="",I881&lt;&gt;""),1/I881,0)</f>
        <v/>
      </c>
      <c r="U881" s="112">
        <f>IF(AND(B881&lt;&gt;"",M881="",I881&lt;&gt;""),I881,"")</f>
        <v/>
      </c>
      <c r="V881" s="79">
        <f>IF(U881="","",IF(U881&lt;AsOf,1,IF(U881&lt;=AsOf+AlertDays,2,IF(U881&lt;=AsOf+2*AlertDays,3,""))))</f>
        <v/>
      </c>
      <c r="W881" s="79">
        <f>IF(V881="","",IF(O881="OVERDUE","Overdue payment: ","Payment due: ")&amp;B881&amp;" — "&amp;C881&amp;" ("&amp;CurSym&amp;" "&amp;FIXED(S881,0)&amp;")")</f>
        <v/>
      </c>
      <c r="Z881" s="116">
        <f>IF('Contractors'!B881="","",'Contractors'!B881)</f>
        <v/>
      </c>
      <c r="AA881" s="77">
        <f>IF(Z881="","",'Contractors'!K881)</f>
        <v/>
      </c>
      <c r="AB881" s="77">
        <f>IF(Z881="","",SUMIFS($L$6:$L$1005,$B$6:$B$1005,Z881))</f>
        <v/>
      </c>
      <c r="AC881" s="77">
        <f>IF(Z881="","",SUMIFS($N$6:$N$1005,$B$6:$B$1005,Z881))</f>
        <v/>
      </c>
      <c r="AD881" s="76">
        <f>IF(Z881="","",AA881-AC881)</f>
        <v/>
      </c>
      <c r="AE881" s="117">
        <f>IF(Z881="","",IFERROR(1/SUMPRODUCT(MAX(($B$6:$B$1005=Z881)*$T$6:$T$1005)),""))</f>
        <v/>
      </c>
      <c r="AF881" s="77">
        <f>IF(AE881="","",SUMIFS($S$6:$S$1005,$B$6:$B$1005,Z881,$I$6:$I$1005,AE881))</f>
        <v/>
      </c>
    </row>
    <row r="882" ht="20" customHeight="1">
      <c r="B882" s="72" t="n"/>
      <c r="C882" s="72" t="n"/>
      <c r="D882" s="72" t="n"/>
      <c r="E882" s="72" t="n"/>
      <c r="F882" s="110" t="n"/>
      <c r="G882" s="73" t="n"/>
      <c r="H882" s="75">
        <f>IF(B882="","",IF(G882&lt;&gt;"",G882,IF(F882&lt;&gt;"",F882*IFERROR(INDEX('Contractors'!$I$6:$I$1005,MATCH(B882,'Contractors'!$B$6:$B$1005,0)),0),"")))</f>
        <v/>
      </c>
      <c r="I882" s="109" t="n"/>
      <c r="J882" s="72" t="n"/>
      <c r="K882" s="109" t="n"/>
      <c r="L882" s="73" t="n"/>
      <c r="M882" s="109" t="n"/>
      <c r="N882" s="73" t="n"/>
      <c r="O882" s="107">
        <f>IF(B882="","",IF(M882&lt;&gt;"","Paid",IF(AND(I882&lt;&gt;"",I882&lt;AsOf),"OVERDUE",IF(OR(K882&lt;&gt;"",L882&lt;&gt;""),"Invoiced","Scheduled"))))</f>
        <v/>
      </c>
      <c r="P882" s="115">
        <f>IF(B882="","",IF(E882&lt;&gt;"",E882,IFERROR(INDEX('Contractors'!$D$6:$D$1005,MATCH(B882,'Contractors'!$B$6:$B$1005,0)),"")))</f>
        <v/>
      </c>
      <c r="Q882" s="79">
        <f>IF(B882="","",IF(D882&lt;&gt;"",D882,IFERROR(INDEX('Contractors'!$E$6:$E$1005,MATCH(B882,'Contractors'!$B$6:$B$1005,0)),"")))</f>
        <v/>
      </c>
      <c r="R882" s="79">
        <f>IF(O882="","",IF(O882="OVERDUE",2,IF(O882="Paid",0,IF(AND(I882&lt;&gt;"",I882&lt;=AsOf+AlertDays),1,0))))</f>
        <v/>
      </c>
      <c r="S882" s="79">
        <f>IF(AND(B882&lt;&gt;"",M882="",I882&lt;&gt;""),IF(L882&lt;&gt;"",L882,IF(H882="",0,H882)),0)</f>
        <v/>
      </c>
      <c r="T882" s="79">
        <f>IF(AND(B882&lt;&gt;"",M882="",I882&lt;&gt;""),1/I882,0)</f>
        <v/>
      </c>
      <c r="U882" s="112">
        <f>IF(AND(B882&lt;&gt;"",M882="",I882&lt;&gt;""),I882,"")</f>
        <v/>
      </c>
      <c r="V882" s="79">
        <f>IF(U882="","",IF(U882&lt;AsOf,1,IF(U882&lt;=AsOf+AlertDays,2,IF(U882&lt;=AsOf+2*AlertDays,3,""))))</f>
        <v/>
      </c>
      <c r="W882" s="79">
        <f>IF(V882="","",IF(O882="OVERDUE","Overdue payment: ","Payment due: ")&amp;B882&amp;" — "&amp;C882&amp;" ("&amp;CurSym&amp;" "&amp;FIXED(S882,0)&amp;")")</f>
        <v/>
      </c>
      <c r="Z882" s="116">
        <f>IF('Contractors'!B882="","",'Contractors'!B882)</f>
        <v/>
      </c>
      <c r="AA882" s="77">
        <f>IF(Z882="","",'Contractors'!K882)</f>
        <v/>
      </c>
      <c r="AB882" s="77">
        <f>IF(Z882="","",SUMIFS($L$6:$L$1005,$B$6:$B$1005,Z882))</f>
        <v/>
      </c>
      <c r="AC882" s="77">
        <f>IF(Z882="","",SUMIFS($N$6:$N$1005,$B$6:$B$1005,Z882))</f>
        <v/>
      </c>
      <c r="AD882" s="76">
        <f>IF(Z882="","",AA882-AC882)</f>
        <v/>
      </c>
      <c r="AE882" s="117">
        <f>IF(Z882="","",IFERROR(1/SUMPRODUCT(MAX(($B$6:$B$1005=Z882)*$T$6:$T$1005)),""))</f>
        <v/>
      </c>
      <c r="AF882" s="77">
        <f>IF(AE882="","",SUMIFS($S$6:$S$1005,$B$6:$B$1005,Z882,$I$6:$I$1005,AE882))</f>
        <v/>
      </c>
    </row>
    <row r="883" ht="20" customHeight="1">
      <c r="B883" s="72" t="n"/>
      <c r="C883" s="72" t="n"/>
      <c r="D883" s="72" t="n"/>
      <c r="E883" s="72" t="n"/>
      <c r="F883" s="110" t="n"/>
      <c r="G883" s="73" t="n"/>
      <c r="H883" s="75">
        <f>IF(B883="","",IF(G883&lt;&gt;"",G883,IF(F883&lt;&gt;"",F883*IFERROR(INDEX('Contractors'!$I$6:$I$1005,MATCH(B883,'Contractors'!$B$6:$B$1005,0)),0),"")))</f>
        <v/>
      </c>
      <c r="I883" s="109" t="n"/>
      <c r="J883" s="72" t="n"/>
      <c r="K883" s="109" t="n"/>
      <c r="L883" s="73" t="n"/>
      <c r="M883" s="109" t="n"/>
      <c r="N883" s="73" t="n"/>
      <c r="O883" s="107">
        <f>IF(B883="","",IF(M883&lt;&gt;"","Paid",IF(AND(I883&lt;&gt;"",I883&lt;AsOf),"OVERDUE",IF(OR(K883&lt;&gt;"",L883&lt;&gt;""),"Invoiced","Scheduled"))))</f>
        <v/>
      </c>
      <c r="P883" s="115">
        <f>IF(B883="","",IF(E883&lt;&gt;"",E883,IFERROR(INDEX('Contractors'!$D$6:$D$1005,MATCH(B883,'Contractors'!$B$6:$B$1005,0)),"")))</f>
        <v/>
      </c>
      <c r="Q883" s="79">
        <f>IF(B883="","",IF(D883&lt;&gt;"",D883,IFERROR(INDEX('Contractors'!$E$6:$E$1005,MATCH(B883,'Contractors'!$B$6:$B$1005,0)),"")))</f>
        <v/>
      </c>
      <c r="R883" s="79">
        <f>IF(O883="","",IF(O883="OVERDUE",2,IF(O883="Paid",0,IF(AND(I883&lt;&gt;"",I883&lt;=AsOf+AlertDays),1,0))))</f>
        <v/>
      </c>
      <c r="S883" s="79">
        <f>IF(AND(B883&lt;&gt;"",M883="",I883&lt;&gt;""),IF(L883&lt;&gt;"",L883,IF(H883="",0,H883)),0)</f>
        <v/>
      </c>
      <c r="T883" s="79">
        <f>IF(AND(B883&lt;&gt;"",M883="",I883&lt;&gt;""),1/I883,0)</f>
        <v/>
      </c>
      <c r="U883" s="112">
        <f>IF(AND(B883&lt;&gt;"",M883="",I883&lt;&gt;""),I883,"")</f>
        <v/>
      </c>
      <c r="V883" s="79">
        <f>IF(U883="","",IF(U883&lt;AsOf,1,IF(U883&lt;=AsOf+AlertDays,2,IF(U883&lt;=AsOf+2*AlertDays,3,""))))</f>
        <v/>
      </c>
      <c r="W883" s="79">
        <f>IF(V883="","",IF(O883="OVERDUE","Overdue payment: ","Payment due: ")&amp;B883&amp;" — "&amp;C883&amp;" ("&amp;CurSym&amp;" "&amp;FIXED(S883,0)&amp;")")</f>
        <v/>
      </c>
      <c r="Z883" s="116">
        <f>IF('Contractors'!B883="","",'Contractors'!B883)</f>
        <v/>
      </c>
      <c r="AA883" s="77">
        <f>IF(Z883="","",'Contractors'!K883)</f>
        <v/>
      </c>
      <c r="AB883" s="77">
        <f>IF(Z883="","",SUMIFS($L$6:$L$1005,$B$6:$B$1005,Z883))</f>
        <v/>
      </c>
      <c r="AC883" s="77">
        <f>IF(Z883="","",SUMIFS($N$6:$N$1005,$B$6:$B$1005,Z883))</f>
        <v/>
      </c>
      <c r="AD883" s="76">
        <f>IF(Z883="","",AA883-AC883)</f>
        <v/>
      </c>
      <c r="AE883" s="117">
        <f>IF(Z883="","",IFERROR(1/SUMPRODUCT(MAX(($B$6:$B$1005=Z883)*$T$6:$T$1005)),""))</f>
        <v/>
      </c>
      <c r="AF883" s="77">
        <f>IF(AE883="","",SUMIFS($S$6:$S$1005,$B$6:$B$1005,Z883,$I$6:$I$1005,AE883))</f>
        <v/>
      </c>
    </row>
    <row r="884" ht="20" customHeight="1">
      <c r="B884" s="72" t="n"/>
      <c r="C884" s="72" t="n"/>
      <c r="D884" s="72" t="n"/>
      <c r="E884" s="72" t="n"/>
      <c r="F884" s="110" t="n"/>
      <c r="G884" s="73" t="n"/>
      <c r="H884" s="75">
        <f>IF(B884="","",IF(G884&lt;&gt;"",G884,IF(F884&lt;&gt;"",F884*IFERROR(INDEX('Contractors'!$I$6:$I$1005,MATCH(B884,'Contractors'!$B$6:$B$1005,0)),0),"")))</f>
        <v/>
      </c>
      <c r="I884" s="109" t="n"/>
      <c r="J884" s="72" t="n"/>
      <c r="K884" s="109" t="n"/>
      <c r="L884" s="73" t="n"/>
      <c r="M884" s="109" t="n"/>
      <c r="N884" s="73" t="n"/>
      <c r="O884" s="107">
        <f>IF(B884="","",IF(M884&lt;&gt;"","Paid",IF(AND(I884&lt;&gt;"",I884&lt;AsOf),"OVERDUE",IF(OR(K884&lt;&gt;"",L884&lt;&gt;""),"Invoiced","Scheduled"))))</f>
        <v/>
      </c>
      <c r="P884" s="115">
        <f>IF(B884="","",IF(E884&lt;&gt;"",E884,IFERROR(INDEX('Contractors'!$D$6:$D$1005,MATCH(B884,'Contractors'!$B$6:$B$1005,0)),"")))</f>
        <v/>
      </c>
      <c r="Q884" s="79">
        <f>IF(B884="","",IF(D884&lt;&gt;"",D884,IFERROR(INDEX('Contractors'!$E$6:$E$1005,MATCH(B884,'Contractors'!$B$6:$B$1005,0)),"")))</f>
        <v/>
      </c>
      <c r="R884" s="79">
        <f>IF(O884="","",IF(O884="OVERDUE",2,IF(O884="Paid",0,IF(AND(I884&lt;&gt;"",I884&lt;=AsOf+AlertDays),1,0))))</f>
        <v/>
      </c>
      <c r="S884" s="79">
        <f>IF(AND(B884&lt;&gt;"",M884="",I884&lt;&gt;""),IF(L884&lt;&gt;"",L884,IF(H884="",0,H884)),0)</f>
        <v/>
      </c>
      <c r="T884" s="79">
        <f>IF(AND(B884&lt;&gt;"",M884="",I884&lt;&gt;""),1/I884,0)</f>
        <v/>
      </c>
      <c r="U884" s="112">
        <f>IF(AND(B884&lt;&gt;"",M884="",I884&lt;&gt;""),I884,"")</f>
        <v/>
      </c>
      <c r="V884" s="79">
        <f>IF(U884="","",IF(U884&lt;AsOf,1,IF(U884&lt;=AsOf+AlertDays,2,IF(U884&lt;=AsOf+2*AlertDays,3,""))))</f>
        <v/>
      </c>
      <c r="W884" s="79">
        <f>IF(V884="","",IF(O884="OVERDUE","Overdue payment: ","Payment due: ")&amp;B884&amp;" — "&amp;C884&amp;" ("&amp;CurSym&amp;" "&amp;FIXED(S884,0)&amp;")")</f>
        <v/>
      </c>
      <c r="Z884" s="116">
        <f>IF('Contractors'!B884="","",'Contractors'!B884)</f>
        <v/>
      </c>
      <c r="AA884" s="77">
        <f>IF(Z884="","",'Contractors'!K884)</f>
        <v/>
      </c>
      <c r="AB884" s="77">
        <f>IF(Z884="","",SUMIFS($L$6:$L$1005,$B$6:$B$1005,Z884))</f>
        <v/>
      </c>
      <c r="AC884" s="77">
        <f>IF(Z884="","",SUMIFS($N$6:$N$1005,$B$6:$B$1005,Z884))</f>
        <v/>
      </c>
      <c r="AD884" s="76">
        <f>IF(Z884="","",AA884-AC884)</f>
        <v/>
      </c>
      <c r="AE884" s="117">
        <f>IF(Z884="","",IFERROR(1/SUMPRODUCT(MAX(($B$6:$B$1005=Z884)*$T$6:$T$1005)),""))</f>
        <v/>
      </c>
      <c r="AF884" s="77">
        <f>IF(AE884="","",SUMIFS($S$6:$S$1005,$B$6:$B$1005,Z884,$I$6:$I$1005,AE884))</f>
        <v/>
      </c>
    </row>
    <row r="885" ht="20" customHeight="1">
      <c r="B885" s="72" t="n"/>
      <c r="C885" s="72" t="n"/>
      <c r="D885" s="72" t="n"/>
      <c r="E885" s="72" t="n"/>
      <c r="F885" s="110" t="n"/>
      <c r="G885" s="73" t="n"/>
      <c r="H885" s="75">
        <f>IF(B885="","",IF(G885&lt;&gt;"",G885,IF(F885&lt;&gt;"",F885*IFERROR(INDEX('Contractors'!$I$6:$I$1005,MATCH(B885,'Contractors'!$B$6:$B$1005,0)),0),"")))</f>
        <v/>
      </c>
      <c r="I885" s="109" t="n"/>
      <c r="J885" s="72" t="n"/>
      <c r="K885" s="109" t="n"/>
      <c r="L885" s="73" t="n"/>
      <c r="M885" s="109" t="n"/>
      <c r="N885" s="73" t="n"/>
      <c r="O885" s="107">
        <f>IF(B885="","",IF(M885&lt;&gt;"","Paid",IF(AND(I885&lt;&gt;"",I885&lt;AsOf),"OVERDUE",IF(OR(K885&lt;&gt;"",L885&lt;&gt;""),"Invoiced","Scheduled"))))</f>
        <v/>
      </c>
      <c r="P885" s="115">
        <f>IF(B885="","",IF(E885&lt;&gt;"",E885,IFERROR(INDEX('Contractors'!$D$6:$D$1005,MATCH(B885,'Contractors'!$B$6:$B$1005,0)),"")))</f>
        <v/>
      </c>
      <c r="Q885" s="79">
        <f>IF(B885="","",IF(D885&lt;&gt;"",D885,IFERROR(INDEX('Contractors'!$E$6:$E$1005,MATCH(B885,'Contractors'!$B$6:$B$1005,0)),"")))</f>
        <v/>
      </c>
      <c r="R885" s="79">
        <f>IF(O885="","",IF(O885="OVERDUE",2,IF(O885="Paid",0,IF(AND(I885&lt;&gt;"",I885&lt;=AsOf+AlertDays),1,0))))</f>
        <v/>
      </c>
      <c r="S885" s="79">
        <f>IF(AND(B885&lt;&gt;"",M885="",I885&lt;&gt;""),IF(L885&lt;&gt;"",L885,IF(H885="",0,H885)),0)</f>
        <v/>
      </c>
      <c r="T885" s="79">
        <f>IF(AND(B885&lt;&gt;"",M885="",I885&lt;&gt;""),1/I885,0)</f>
        <v/>
      </c>
      <c r="U885" s="112">
        <f>IF(AND(B885&lt;&gt;"",M885="",I885&lt;&gt;""),I885,"")</f>
        <v/>
      </c>
      <c r="V885" s="79">
        <f>IF(U885="","",IF(U885&lt;AsOf,1,IF(U885&lt;=AsOf+AlertDays,2,IF(U885&lt;=AsOf+2*AlertDays,3,""))))</f>
        <v/>
      </c>
      <c r="W885" s="79">
        <f>IF(V885="","",IF(O885="OVERDUE","Overdue payment: ","Payment due: ")&amp;B885&amp;" — "&amp;C885&amp;" ("&amp;CurSym&amp;" "&amp;FIXED(S885,0)&amp;")")</f>
        <v/>
      </c>
      <c r="Z885" s="116">
        <f>IF('Contractors'!B885="","",'Contractors'!B885)</f>
        <v/>
      </c>
      <c r="AA885" s="77">
        <f>IF(Z885="","",'Contractors'!K885)</f>
        <v/>
      </c>
      <c r="AB885" s="77">
        <f>IF(Z885="","",SUMIFS($L$6:$L$1005,$B$6:$B$1005,Z885))</f>
        <v/>
      </c>
      <c r="AC885" s="77">
        <f>IF(Z885="","",SUMIFS($N$6:$N$1005,$B$6:$B$1005,Z885))</f>
        <v/>
      </c>
      <c r="AD885" s="76">
        <f>IF(Z885="","",AA885-AC885)</f>
        <v/>
      </c>
      <c r="AE885" s="117">
        <f>IF(Z885="","",IFERROR(1/SUMPRODUCT(MAX(($B$6:$B$1005=Z885)*$T$6:$T$1005)),""))</f>
        <v/>
      </c>
      <c r="AF885" s="77">
        <f>IF(AE885="","",SUMIFS($S$6:$S$1005,$B$6:$B$1005,Z885,$I$6:$I$1005,AE885))</f>
        <v/>
      </c>
    </row>
    <row r="886" ht="20" customHeight="1">
      <c r="B886" s="72" t="n"/>
      <c r="C886" s="72" t="n"/>
      <c r="D886" s="72" t="n"/>
      <c r="E886" s="72" t="n"/>
      <c r="F886" s="110" t="n"/>
      <c r="G886" s="73" t="n"/>
      <c r="H886" s="75">
        <f>IF(B886="","",IF(G886&lt;&gt;"",G886,IF(F886&lt;&gt;"",F886*IFERROR(INDEX('Contractors'!$I$6:$I$1005,MATCH(B886,'Contractors'!$B$6:$B$1005,0)),0),"")))</f>
        <v/>
      </c>
      <c r="I886" s="109" t="n"/>
      <c r="J886" s="72" t="n"/>
      <c r="K886" s="109" t="n"/>
      <c r="L886" s="73" t="n"/>
      <c r="M886" s="109" t="n"/>
      <c r="N886" s="73" t="n"/>
      <c r="O886" s="107">
        <f>IF(B886="","",IF(M886&lt;&gt;"","Paid",IF(AND(I886&lt;&gt;"",I886&lt;AsOf),"OVERDUE",IF(OR(K886&lt;&gt;"",L886&lt;&gt;""),"Invoiced","Scheduled"))))</f>
        <v/>
      </c>
      <c r="P886" s="115">
        <f>IF(B886="","",IF(E886&lt;&gt;"",E886,IFERROR(INDEX('Contractors'!$D$6:$D$1005,MATCH(B886,'Contractors'!$B$6:$B$1005,0)),"")))</f>
        <v/>
      </c>
      <c r="Q886" s="79">
        <f>IF(B886="","",IF(D886&lt;&gt;"",D886,IFERROR(INDEX('Contractors'!$E$6:$E$1005,MATCH(B886,'Contractors'!$B$6:$B$1005,0)),"")))</f>
        <v/>
      </c>
      <c r="R886" s="79">
        <f>IF(O886="","",IF(O886="OVERDUE",2,IF(O886="Paid",0,IF(AND(I886&lt;&gt;"",I886&lt;=AsOf+AlertDays),1,0))))</f>
        <v/>
      </c>
      <c r="S886" s="79">
        <f>IF(AND(B886&lt;&gt;"",M886="",I886&lt;&gt;""),IF(L886&lt;&gt;"",L886,IF(H886="",0,H886)),0)</f>
        <v/>
      </c>
      <c r="T886" s="79">
        <f>IF(AND(B886&lt;&gt;"",M886="",I886&lt;&gt;""),1/I886,0)</f>
        <v/>
      </c>
      <c r="U886" s="112">
        <f>IF(AND(B886&lt;&gt;"",M886="",I886&lt;&gt;""),I886,"")</f>
        <v/>
      </c>
      <c r="V886" s="79">
        <f>IF(U886="","",IF(U886&lt;AsOf,1,IF(U886&lt;=AsOf+AlertDays,2,IF(U886&lt;=AsOf+2*AlertDays,3,""))))</f>
        <v/>
      </c>
      <c r="W886" s="79">
        <f>IF(V886="","",IF(O886="OVERDUE","Overdue payment: ","Payment due: ")&amp;B886&amp;" — "&amp;C886&amp;" ("&amp;CurSym&amp;" "&amp;FIXED(S886,0)&amp;")")</f>
        <v/>
      </c>
      <c r="Z886" s="116">
        <f>IF('Contractors'!B886="","",'Contractors'!B886)</f>
        <v/>
      </c>
      <c r="AA886" s="77">
        <f>IF(Z886="","",'Contractors'!K886)</f>
        <v/>
      </c>
      <c r="AB886" s="77">
        <f>IF(Z886="","",SUMIFS($L$6:$L$1005,$B$6:$B$1005,Z886))</f>
        <v/>
      </c>
      <c r="AC886" s="77">
        <f>IF(Z886="","",SUMIFS($N$6:$N$1005,$B$6:$B$1005,Z886))</f>
        <v/>
      </c>
      <c r="AD886" s="76">
        <f>IF(Z886="","",AA886-AC886)</f>
        <v/>
      </c>
      <c r="AE886" s="117">
        <f>IF(Z886="","",IFERROR(1/SUMPRODUCT(MAX(($B$6:$B$1005=Z886)*$T$6:$T$1005)),""))</f>
        <v/>
      </c>
      <c r="AF886" s="77">
        <f>IF(AE886="","",SUMIFS($S$6:$S$1005,$B$6:$B$1005,Z886,$I$6:$I$1005,AE886))</f>
        <v/>
      </c>
    </row>
    <row r="887" ht="20" customHeight="1">
      <c r="B887" s="72" t="n"/>
      <c r="C887" s="72" t="n"/>
      <c r="D887" s="72" t="n"/>
      <c r="E887" s="72" t="n"/>
      <c r="F887" s="110" t="n"/>
      <c r="G887" s="73" t="n"/>
      <c r="H887" s="75">
        <f>IF(B887="","",IF(G887&lt;&gt;"",G887,IF(F887&lt;&gt;"",F887*IFERROR(INDEX('Contractors'!$I$6:$I$1005,MATCH(B887,'Contractors'!$B$6:$B$1005,0)),0),"")))</f>
        <v/>
      </c>
      <c r="I887" s="109" t="n"/>
      <c r="J887" s="72" t="n"/>
      <c r="K887" s="109" t="n"/>
      <c r="L887" s="73" t="n"/>
      <c r="M887" s="109" t="n"/>
      <c r="N887" s="73" t="n"/>
      <c r="O887" s="107">
        <f>IF(B887="","",IF(M887&lt;&gt;"","Paid",IF(AND(I887&lt;&gt;"",I887&lt;AsOf),"OVERDUE",IF(OR(K887&lt;&gt;"",L887&lt;&gt;""),"Invoiced","Scheduled"))))</f>
        <v/>
      </c>
      <c r="P887" s="115">
        <f>IF(B887="","",IF(E887&lt;&gt;"",E887,IFERROR(INDEX('Contractors'!$D$6:$D$1005,MATCH(B887,'Contractors'!$B$6:$B$1005,0)),"")))</f>
        <v/>
      </c>
      <c r="Q887" s="79">
        <f>IF(B887="","",IF(D887&lt;&gt;"",D887,IFERROR(INDEX('Contractors'!$E$6:$E$1005,MATCH(B887,'Contractors'!$B$6:$B$1005,0)),"")))</f>
        <v/>
      </c>
      <c r="R887" s="79">
        <f>IF(O887="","",IF(O887="OVERDUE",2,IF(O887="Paid",0,IF(AND(I887&lt;&gt;"",I887&lt;=AsOf+AlertDays),1,0))))</f>
        <v/>
      </c>
      <c r="S887" s="79">
        <f>IF(AND(B887&lt;&gt;"",M887="",I887&lt;&gt;""),IF(L887&lt;&gt;"",L887,IF(H887="",0,H887)),0)</f>
        <v/>
      </c>
      <c r="T887" s="79">
        <f>IF(AND(B887&lt;&gt;"",M887="",I887&lt;&gt;""),1/I887,0)</f>
        <v/>
      </c>
      <c r="U887" s="112">
        <f>IF(AND(B887&lt;&gt;"",M887="",I887&lt;&gt;""),I887,"")</f>
        <v/>
      </c>
      <c r="V887" s="79">
        <f>IF(U887="","",IF(U887&lt;AsOf,1,IF(U887&lt;=AsOf+AlertDays,2,IF(U887&lt;=AsOf+2*AlertDays,3,""))))</f>
        <v/>
      </c>
      <c r="W887" s="79">
        <f>IF(V887="","",IF(O887="OVERDUE","Overdue payment: ","Payment due: ")&amp;B887&amp;" — "&amp;C887&amp;" ("&amp;CurSym&amp;" "&amp;FIXED(S887,0)&amp;")")</f>
        <v/>
      </c>
      <c r="Z887" s="116">
        <f>IF('Contractors'!B887="","",'Contractors'!B887)</f>
        <v/>
      </c>
      <c r="AA887" s="77">
        <f>IF(Z887="","",'Contractors'!K887)</f>
        <v/>
      </c>
      <c r="AB887" s="77">
        <f>IF(Z887="","",SUMIFS($L$6:$L$1005,$B$6:$B$1005,Z887))</f>
        <v/>
      </c>
      <c r="AC887" s="77">
        <f>IF(Z887="","",SUMIFS($N$6:$N$1005,$B$6:$B$1005,Z887))</f>
        <v/>
      </c>
      <c r="AD887" s="76">
        <f>IF(Z887="","",AA887-AC887)</f>
        <v/>
      </c>
      <c r="AE887" s="117">
        <f>IF(Z887="","",IFERROR(1/SUMPRODUCT(MAX(($B$6:$B$1005=Z887)*$T$6:$T$1005)),""))</f>
        <v/>
      </c>
      <c r="AF887" s="77">
        <f>IF(AE887="","",SUMIFS($S$6:$S$1005,$B$6:$B$1005,Z887,$I$6:$I$1005,AE887))</f>
        <v/>
      </c>
    </row>
    <row r="888" ht="20" customHeight="1">
      <c r="B888" s="72" t="n"/>
      <c r="C888" s="72" t="n"/>
      <c r="D888" s="72" t="n"/>
      <c r="E888" s="72" t="n"/>
      <c r="F888" s="110" t="n"/>
      <c r="G888" s="73" t="n"/>
      <c r="H888" s="75">
        <f>IF(B888="","",IF(G888&lt;&gt;"",G888,IF(F888&lt;&gt;"",F888*IFERROR(INDEX('Contractors'!$I$6:$I$1005,MATCH(B888,'Contractors'!$B$6:$B$1005,0)),0),"")))</f>
        <v/>
      </c>
      <c r="I888" s="109" t="n"/>
      <c r="J888" s="72" t="n"/>
      <c r="K888" s="109" t="n"/>
      <c r="L888" s="73" t="n"/>
      <c r="M888" s="109" t="n"/>
      <c r="N888" s="73" t="n"/>
      <c r="O888" s="107">
        <f>IF(B888="","",IF(M888&lt;&gt;"","Paid",IF(AND(I888&lt;&gt;"",I888&lt;AsOf),"OVERDUE",IF(OR(K888&lt;&gt;"",L888&lt;&gt;""),"Invoiced","Scheduled"))))</f>
        <v/>
      </c>
      <c r="P888" s="115">
        <f>IF(B888="","",IF(E888&lt;&gt;"",E888,IFERROR(INDEX('Contractors'!$D$6:$D$1005,MATCH(B888,'Contractors'!$B$6:$B$1005,0)),"")))</f>
        <v/>
      </c>
      <c r="Q888" s="79">
        <f>IF(B888="","",IF(D888&lt;&gt;"",D888,IFERROR(INDEX('Contractors'!$E$6:$E$1005,MATCH(B888,'Contractors'!$B$6:$B$1005,0)),"")))</f>
        <v/>
      </c>
      <c r="R888" s="79">
        <f>IF(O888="","",IF(O888="OVERDUE",2,IF(O888="Paid",0,IF(AND(I888&lt;&gt;"",I888&lt;=AsOf+AlertDays),1,0))))</f>
        <v/>
      </c>
      <c r="S888" s="79">
        <f>IF(AND(B888&lt;&gt;"",M888="",I888&lt;&gt;""),IF(L888&lt;&gt;"",L888,IF(H888="",0,H888)),0)</f>
        <v/>
      </c>
      <c r="T888" s="79">
        <f>IF(AND(B888&lt;&gt;"",M888="",I888&lt;&gt;""),1/I888,0)</f>
        <v/>
      </c>
      <c r="U888" s="112">
        <f>IF(AND(B888&lt;&gt;"",M888="",I888&lt;&gt;""),I888,"")</f>
        <v/>
      </c>
      <c r="V888" s="79">
        <f>IF(U888="","",IF(U888&lt;AsOf,1,IF(U888&lt;=AsOf+AlertDays,2,IF(U888&lt;=AsOf+2*AlertDays,3,""))))</f>
        <v/>
      </c>
      <c r="W888" s="79">
        <f>IF(V888="","",IF(O888="OVERDUE","Overdue payment: ","Payment due: ")&amp;B888&amp;" — "&amp;C888&amp;" ("&amp;CurSym&amp;" "&amp;FIXED(S888,0)&amp;")")</f>
        <v/>
      </c>
      <c r="Z888" s="116">
        <f>IF('Contractors'!B888="","",'Contractors'!B888)</f>
        <v/>
      </c>
      <c r="AA888" s="77">
        <f>IF(Z888="","",'Contractors'!K888)</f>
        <v/>
      </c>
      <c r="AB888" s="77">
        <f>IF(Z888="","",SUMIFS($L$6:$L$1005,$B$6:$B$1005,Z888))</f>
        <v/>
      </c>
      <c r="AC888" s="77">
        <f>IF(Z888="","",SUMIFS($N$6:$N$1005,$B$6:$B$1005,Z888))</f>
        <v/>
      </c>
      <c r="AD888" s="76">
        <f>IF(Z888="","",AA888-AC888)</f>
        <v/>
      </c>
      <c r="AE888" s="117">
        <f>IF(Z888="","",IFERROR(1/SUMPRODUCT(MAX(($B$6:$B$1005=Z888)*$T$6:$T$1005)),""))</f>
        <v/>
      </c>
      <c r="AF888" s="77">
        <f>IF(AE888="","",SUMIFS($S$6:$S$1005,$B$6:$B$1005,Z888,$I$6:$I$1005,AE888))</f>
        <v/>
      </c>
    </row>
    <row r="889" ht="20" customHeight="1">
      <c r="B889" s="72" t="n"/>
      <c r="C889" s="72" t="n"/>
      <c r="D889" s="72" t="n"/>
      <c r="E889" s="72" t="n"/>
      <c r="F889" s="110" t="n"/>
      <c r="G889" s="73" t="n"/>
      <c r="H889" s="75">
        <f>IF(B889="","",IF(G889&lt;&gt;"",G889,IF(F889&lt;&gt;"",F889*IFERROR(INDEX('Contractors'!$I$6:$I$1005,MATCH(B889,'Contractors'!$B$6:$B$1005,0)),0),"")))</f>
        <v/>
      </c>
      <c r="I889" s="109" t="n"/>
      <c r="J889" s="72" t="n"/>
      <c r="K889" s="109" t="n"/>
      <c r="L889" s="73" t="n"/>
      <c r="M889" s="109" t="n"/>
      <c r="N889" s="73" t="n"/>
      <c r="O889" s="107">
        <f>IF(B889="","",IF(M889&lt;&gt;"","Paid",IF(AND(I889&lt;&gt;"",I889&lt;AsOf),"OVERDUE",IF(OR(K889&lt;&gt;"",L889&lt;&gt;""),"Invoiced","Scheduled"))))</f>
        <v/>
      </c>
      <c r="P889" s="115">
        <f>IF(B889="","",IF(E889&lt;&gt;"",E889,IFERROR(INDEX('Contractors'!$D$6:$D$1005,MATCH(B889,'Contractors'!$B$6:$B$1005,0)),"")))</f>
        <v/>
      </c>
      <c r="Q889" s="79">
        <f>IF(B889="","",IF(D889&lt;&gt;"",D889,IFERROR(INDEX('Contractors'!$E$6:$E$1005,MATCH(B889,'Contractors'!$B$6:$B$1005,0)),"")))</f>
        <v/>
      </c>
      <c r="R889" s="79">
        <f>IF(O889="","",IF(O889="OVERDUE",2,IF(O889="Paid",0,IF(AND(I889&lt;&gt;"",I889&lt;=AsOf+AlertDays),1,0))))</f>
        <v/>
      </c>
      <c r="S889" s="79">
        <f>IF(AND(B889&lt;&gt;"",M889="",I889&lt;&gt;""),IF(L889&lt;&gt;"",L889,IF(H889="",0,H889)),0)</f>
        <v/>
      </c>
      <c r="T889" s="79">
        <f>IF(AND(B889&lt;&gt;"",M889="",I889&lt;&gt;""),1/I889,0)</f>
        <v/>
      </c>
      <c r="U889" s="112">
        <f>IF(AND(B889&lt;&gt;"",M889="",I889&lt;&gt;""),I889,"")</f>
        <v/>
      </c>
      <c r="V889" s="79">
        <f>IF(U889="","",IF(U889&lt;AsOf,1,IF(U889&lt;=AsOf+AlertDays,2,IF(U889&lt;=AsOf+2*AlertDays,3,""))))</f>
        <v/>
      </c>
      <c r="W889" s="79">
        <f>IF(V889="","",IF(O889="OVERDUE","Overdue payment: ","Payment due: ")&amp;B889&amp;" — "&amp;C889&amp;" ("&amp;CurSym&amp;" "&amp;FIXED(S889,0)&amp;")")</f>
        <v/>
      </c>
      <c r="Z889" s="116">
        <f>IF('Contractors'!B889="","",'Contractors'!B889)</f>
        <v/>
      </c>
      <c r="AA889" s="77">
        <f>IF(Z889="","",'Contractors'!K889)</f>
        <v/>
      </c>
      <c r="AB889" s="77">
        <f>IF(Z889="","",SUMIFS($L$6:$L$1005,$B$6:$B$1005,Z889))</f>
        <v/>
      </c>
      <c r="AC889" s="77">
        <f>IF(Z889="","",SUMIFS($N$6:$N$1005,$B$6:$B$1005,Z889))</f>
        <v/>
      </c>
      <c r="AD889" s="76">
        <f>IF(Z889="","",AA889-AC889)</f>
        <v/>
      </c>
      <c r="AE889" s="117">
        <f>IF(Z889="","",IFERROR(1/SUMPRODUCT(MAX(($B$6:$B$1005=Z889)*$T$6:$T$1005)),""))</f>
        <v/>
      </c>
      <c r="AF889" s="77">
        <f>IF(AE889="","",SUMIFS($S$6:$S$1005,$B$6:$B$1005,Z889,$I$6:$I$1005,AE889))</f>
        <v/>
      </c>
    </row>
    <row r="890" ht="20" customHeight="1">
      <c r="B890" s="72" t="n"/>
      <c r="C890" s="72" t="n"/>
      <c r="D890" s="72" t="n"/>
      <c r="E890" s="72" t="n"/>
      <c r="F890" s="110" t="n"/>
      <c r="G890" s="73" t="n"/>
      <c r="H890" s="75">
        <f>IF(B890="","",IF(G890&lt;&gt;"",G890,IF(F890&lt;&gt;"",F890*IFERROR(INDEX('Contractors'!$I$6:$I$1005,MATCH(B890,'Contractors'!$B$6:$B$1005,0)),0),"")))</f>
        <v/>
      </c>
      <c r="I890" s="109" t="n"/>
      <c r="J890" s="72" t="n"/>
      <c r="K890" s="109" t="n"/>
      <c r="L890" s="73" t="n"/>
      <c r="M890" s="109" t="n"/>
      <c r="N890" s="73" t="n"/>
      <c r="O890" s="107">
        <f>IF(B890="","",IF(M890&lt;&gt;"","Paid",IF(AND(I890&lt;&gt;"",I890&lt;AsOf),"OVERDUE",IF(OR(K890&lt;&gt;"",L890&lt;&gt;""),"Invoiced","Scheduled"))))</f>
        <v/>
      </c>
      <c r="P890" s="115">
        <f>IF(B890="","",IF(E890&lt;&gt;"",E890,IFERROR(INDEX('Contractors'!$D$6:$D$1005,MATCH(B890,'Contractors'!$B$6:$B$1005,0)),"")))</f>
        <v/>
      </c>
      <c r="Q890" s="79">
        <f>IF(B890="","",IF(D890&lt;&gt;"",D890,IFERROR(INDEX('Contractors'!$E$6:$E$1005,MATCH(B890,'Contractors'!$B$6:$B$1005,0)),"")))</f>
        <v/>
      </c>
      <c r="R890" s="79">
        <f>IF(O890="","",IF(O890="OVERDUE",2,IF(O890="Paid",0,IF(AND(I890&lt;&gt;"",I890&lt;=AsOf+AlertDays),1,0))))</f>
        <v/>
      </c>
      <c r="S890" s="79">
        <f>IF(AND(B890&lt;&gt;"",M890="",I890&lt;&gt;""),IF(L890&lt;&gt;"",L890,IF(H890="",0,H890)),0)</f>
        <v/>
      </c>
      <c r="T890" s="79">
        <f>IF(AND(B890&lt;&gt;"",M890="",I890&lt;&gt;""),1/I890,0)</f>
        <v/>
      </c>
      <c r="U890" s="112">
        <f>IF(AND(B890&lt;&gt;"",M890="",I890&lt;&gt;""),I890,"")</f>
        <v/>
      </c>
      <c r="V890" s="79">
        <f>IF(U890="","",IF(U890&lt;AsOf,1,IF(U890&lt;=AsOf+AlertDays,2,IF(U890&lt;=AsOf+2*AlertDays,3,""))))</f>
        <v/>
      </c>
      <c r="W890" s="79">
        <f>IF(V890="","",IF(O890="OVERDUE","Overdue payment: ","Payment due: ")&amp;B890&amp;" — "&amp;C890&amp;" ("&amp;CurSym&amp;" "&amp;FIXED(S890,0)&amp;")")</f>
        <v/>
      </c>
      <c r="Z890" s="116">
        <f>IF('Contractors'!B890="","",'Contractors'!B890)</f>
        <v/>
      </c>
      <c r="AA890" s="77">
        <f>IF(Z890="","",'Contractors'!K890)</f>
        <v/>
      </c>
      <c r="AB890" s="77">
        <f>IF(Z890="","",SUMIFS($L$6:$L$1005,$B$6:$B$1005,Z890))</f>
        <v/>
      </c>
      <c r="AC890" s="77">
        <f>IF(Z890="","",SUMIFS($N$6:$N$1005,$B$6:$B$1005,Z890))</f>
        <v/>
      </c>
      <c r="AD890" s="76">
        <f>IF(Z890="","",AA890-AC890)</f>
        <v/>
      </c>
      <c r="AE890" s="117">
        <f>IF(Z890="","",IFERROR(1/SUMPRODUCT(MAX(($B$6:$B$1005=Z890)*$T$6:$T$1005)),""))</f>
        <v/>
      </c>
      <c r="AF890" s="77">
        <f>IF(AE890="","",SUMIFS($S$6:$S$1005,$B$6:$B$1005,Z890,$I$6:$I$1005,AE890))</f>
        <v/>
      </c>
    </row>
    <row r="891" ht="20" customHeight="1">
      <c r="B891" s="72" t="n"/>
      <c r="C891" s="72" t="n"/>
      <c r="D891" s="72" t="n"/>
      <c r="E891" s="72" t="n"/>
      <c r="F891" s="110" t="n"/>
      <c r="G891" s="73" t="n"/>
      <c r="H891" s="75">
        <f>IF(B891="","",IF(G891&lt;&gt;"",G891,IF(F891&lt;&gt;"",F891*IFERROR(INDEX('Contractors'!$I$6:$I$1005,MATCH(B891,'Contractors'!$B$6:$B$1005,0)),0),"")))</f>
        <v/>
      </c>
      <c r="I891" s="109" t="n"/>
      <c r="J891" s="72" t="n"/>
      <c r="K891" s="109" t="n"/>
      <c r="L891" s="73" t="n"/>
      <c r="M891" s="109" t="n"/>
      <c r="N891" s="73" t="n"/>
      <c r="O891" s="107">
        <f>IF(B891="","",IF(M891&lt;&gt;"","Paid",IF(AND(I891&lt;&gt;"",I891&lt;AsOf),"OVERDUE",IF(OR(K891&lt;&gt;"",L891&lt;&gt;""),"Invoiced","Scheduled"))))</f>
        <v/>
      </c>
      <c r="P891" s="115">
        <f>IF(B891="","",IF(E891&lt;&gt;"",E891,IFERROR(INDEX('Contractors'!$D$6:$D$1005,MATCH(B891,'Contractors'!$B$6:$B$1005,0)),"")))</f>
        <v/>
      </c>
      <c r="Q891" s="79">
        <f>IF(B891="","",IF(D891&lt;&gt;"",D891,IFERROR(INDEX('Contractors'!$E$6:$E$1005,MATCH(B891,'Contractors'!$B$6:$B$1005,0)),"")))</f>
        <v/>
      </c>
      <c r="R891" s="79">
        <f>IF(O891="","",IF(O891="OVERDUE",2,IF(O891="Paid",0,IF(AND(I891&lt;&gt;"",I891&lt;=AsOf+AlertDays),1,0))))</f>
        <v/>
      </c>
      <c r="S891" s="79">
        <f>IF(AND(B891&lt;&gt;"",M891="",I891&lt;&gt;""),IF(L891&lt;&gt;"",L891,IF(H891="",0,H891)),0)</f>
        <v/>
      </c>
      <c r="T891" s="79">
        <f>IF(AND(B891&lt;&gt;"",M891="",I891&lt;&gt;""),1/I891,0)</f>
        <v/>
      </c>
      <c r="U891" s="112">
        <f>IF(AND(B891&lt;&gt;"",M891="",I891&lt;&gt;""),I891,"")</f>
        <v/>
      </c>
      <c r="V891" s="79">
        <f>IF(U891="","",IF(U891&lt;AsOf,1,IF(U891&lt;=AsOf+AlertDays,2,IF(U891&lt;=AsOf+2*AlertDays,3,""))))</f>
        <v/>
      </c>
      <c r="W891" s="79">
        <f>IF(V891="","",IF(O891="OVERDUE","Overdue payment: ","Payment due: ")&amp;B891&amp;" — "&amp;C891&amp;" ("&amp;CurSym&amp;" "&amp;FIXED(S891,0)&amp;")")</f>
        <v/>
      </c>
      <c r="Z891" s="116">
        <f>IF('Contractors'!B891="","",'Contractors'!B891)</f>
        <v/>
      </c>
      <c r="AA891" s="77">
        <f>IF(Z891="","",'Contractors'!K891)</f>
        <v/>
      </c>
      <c r="AB891" s="77">
        <f>IF(Z891="","",SUMIFS($L$6:$L$1005,$B$6:$B$1005,Z891))</f>
        <v/>
      </c>
      <c r="AC891" s="77">
        <f>IF(Z891="","",SUMIFS($N$6:$N$1005,$B$6:$B$1005,Z891))</f>
        <v/>
      </c>
      <c r="AD891" s="76">
        <f>IF(Z891="","",AA891-AC891)</f>
        <v/>
      </c>
      <c r="AE891" s="117">
        <f>IF(Z891="","",IFERROR(1/SUMPRODUCT(MAX(($B$6:$B$1005=Z891)*$T$6:$T$1005)),""))</f>
        <v/>
      </c>
      <c r="AF891" s="77">
        <f>IF(AE891="","",SUMIFS($S$6:$S$1005,$B$6:$B$1005,Z891,$I$6:$I$1005,AE891))</f>
        <v/>
      </c>
    </row>
    <row r="892" ht="20" customHeight="1">
      <c r="B892" s="72" t="n"/>
      <c r="C892" s="72" t="n"/>
      <c r="D892" s="72" t="n"/>
      <c r="E892" s="72" t="n"/>
      <c r="F892" s="110" t="n"/>
      <c r="G892" s="73" t="n"/>
      <c r="H892" s="75">
        <f>IF(B892="","",IF(G892&lt;&gt;"",G892,IF(F892&lt;&gt;"",F892*IFERROR(INDEX('Contractors'!$I$6:$I$1005,MATCH(B892,'Contractors'!$B$6:$B$1005,0)),0),"")))</f>
        <v/>
      </c>
      <c r="I892" s="109" t="n"/>
      <c r="J892" s="72" t="n"/>
      <c r="K892" s="109" t="n"/>
      <c r="L892" s="73" t="n"/>
      <c r="M892" s="109" t="n"/>
      <c r="N892" s="73" t="n"/>
      <c r="O892" s="107">
        <f>IF(B892="","",IF(M892&lt;&gt;"","Paid",IF(AND(I892&lt;&gt;"",I892&lt;AsOf),"OVERDUE",IF(OR(K892&lt;&gt;"",L892&lt;&gt;""),"Invoiced","Scheduled"))))</f>
        <v/>
      </c>
      <c r="P892" s="115">
        <f>IF(B892="","",IF(E892&lt;&gt;"",E892,IFERROR(INDEX('Contractors'!$D$6:$D$1005,MATCH(B892,'Contractors'!$B$6:$B$1005,0)),"")))</f>
        <v/>
      </c>
      <c r="Q892" s="79">
        <f>IF(B892="","",IF(D892&lt;&gt;"",D892,IFERROR(INDEX('Contractors'!$E$6:$E$1005,MATCH(B892,'Contractors'!$B$6:$B$1005,0)),"")))</f>
        <v/>
      </c>
      <c r="R892" s="79">
        <f>IF(O892="","",IF(O892="OVERDUE",2,IF(O892="Paid",0,IF(AND(I892&lt;&gt;"",I892&lt;=AsOf+AlertDays),1,0))))</f>
        <v/>
      </c>
      <c r="S892" s="79">
        <f>IF(AND(B892&lt;&gt;"",M892="",I892&lt;&gt;""),IF(L892&lt;&gt;"",L892,IF(H892="",0,H892)),0)</f>
        <v/>
      </c>
      <c r="T892" s="79">
        <f>IF(AND(B892&lt;&gt;"",M892="",I892&lt;&gt;""),1/I892,0)</f>
        <v/>
      </c>
      <c r="U892" s="112">
        <f>IF(AND(B892&lt;&gt;"",M892="",I892&lt;&gt;""),I892,"")</f>
        <v/>
      </c>
      <c r="V892" s="79">
        <f>IF(U892="","",IF(U892&lt;AsOf,1,IF(U892&lt;=AsOf+AlertDays,2,IF(U892&lt;=AsOf+2*AlertDays,3,""))))</f>
        <v/>
      </c>
      <c r="W892" s="79">
        <f>IF(V892="","",IF(O892="OVERDUE","Overdue payment: ","Payment due: ")&amp;B892&amp;" — "&amp;C892&amp;" ("&amp;CurSym&amp;" "&amp;FIXED(S892,0)&amp;")")</f>
        <v/>
      </c>
      <c r="Z892" s="116">
        <f>IF('Contractors'!B892="","",'Contractors'!B892)</f>
        <v/>
      </c>
      <c r="AA892" s="77">
        <f>IF(Z892="","",'Contractors'!K892)</f>
        <v/>
      </c>
      <c r="AB892" s="77">
        <f>IF(Z892="","",SUMIFS($L$6:$L$1005,$B$6:$B$1005,Z892))</f>
        <v/>
      </c>
      <c r="AC892" s="77">
        <f>IF(Z892="","",SUMIFS($N$6:$N$1005,$B$6:$B$1005,Z892))</f>
        <v/>
      </c>
      <c r="AD892" s="76">
        <f>IF(Z892="","",AA892-AC892)</f>
        <v/>
      </c>
      <c r="AE892" s="117">
        <f>IF(Z892="","",IFERROR(1/SUMPRODUCT(MAX(($B$6:$B$1005=Z892)*$T$6:$T$1005)),""))</f>
        <v/>
      </c>
      <c r="AF892" s="77">
        <f>IF(AE892="","",SUMIFS($S$6:$S$1005,$B$6:$B$1005,Z892,$I$6:$I$1005,AE892))</f>
        <v/>
      </c>
    </row>
    <row r="893" ht="20" customHeight="1">
      <c r="B893" s="72" t="n"/>
      <c r="C893" s="72" t="n"/>
      <c r="D893" s="72" t="n"/>
      <c r="E893" s="72" t="n"/>
      <c r="F893" s="110" t="n"/>
      <c r="G893" s="73" t="n"/>
      <c r="H893" s="75">
        <f>IF(B893="","",IF(G893&lt;&gt;"",G893,IF(F893&lt;&gt;"",F893*IFERROR(INDEX('Contractors'!$I$6:$I$1005,MATCH(B893,'Contractors'!$B$6:$B$1005,0)),0),"")))</f>
        <v/>
      </c>
      <c r="I893" s="109" t="n"/>
      <c r="J893" s="72" t="n"/>
      <c r="K893" s="109" t="n"/>
      <c r="L893" s="73" t="n"/>
      <c r="M893" s="109" t="n"/>
      <c r="N893" s="73" t="n"/>
      <c r="O893" s="107">
        <f>IF(B893="","",IF(M893&lt;&gt;"","Paid",IF(AND(I893&lt;&gt;"",I893&lt;AsOf),"OVERDUE",IF(OR(K893&lt;&gt;"",L893&lt;&gt;""),"Invoiced","Scheduled"))))</f>
        <v/>
      </c>
      <c r="P893" s="115">
        <f>IF(B893="","",IF(E893&lt;&gt;"",E893,IFERROR(INDEX('Contractors'!$D$6:$D$1005,MATCH(B893,'Contractors'!$B$6:$B$1005,0)),"")))</f>
        <v/>
      </c>
      <c r="Q893" s="79">
        <f>IF(B893="","",IF(D893&lt;&gt;"",D893,IFERROR(INDEX('Contractors'!$E$6:$E$1005,MATCH(B893,'Contractors'!$B$6:$B$1005,0)),"")))</f>
        <v/>
      </c>
      <c r="R893" s="79">
        <f>IF(O893="","",IF(O893="OVERDUE",2,IF(O893="Paid",0,IF(AND(I893&lt;&gt;"",I893&lt;=AsOf+AlertDays),1,0))))</f>
        <v/>
      </c>
      <c r="S893" s="79">
        <f>IF(AND(B893&lt;&gt;"",M893="",I893&lt;&gt;""),IF(L893&lt;&gt;"",L893,IF(H893="",0,H893)),0)</f>
        <v/>
      </c>
      <c r="T893" s="79">
        <f>IF(AND(B893&lt;&gt;"",M893="",I893&lt;&gt;""),1/I893,0)</f>
        <v/>
      </c>
      <c r="U893" s="112">
        <f>IF(AND(B893&lt;&gt;"",M893="",I893&lt;&gt;""),I893,"")</f>
        <v/>
      </c>
      <c r="V893" s="79">
        <f>IF(U893="","",IF(U893&lt;AsOf,1,IF(U893&lt;=AsOf+AlertDays,2,IF(U893&lt;=AsOf+2*AlertDays,3,""))))</f>
        <v/>
      </c>
      <c r="W893" s="79">
        <f>IF(V893="","",IF(O893="OVERDUE","Overdue payment: ","Payment due: ")&amp;B893&amp;" — "&amp;C893&amp;" ("&amp;CurSym&amp;" "&amp;FIXED(S893,0)&amp;")")</f>
        <v/>
      </c>
      <c r="Z893" s="116">
        <f>IF('Contractors'!B893="","",'Contractors'!B893)</f>
        <v/>
      </c>
      <c r="AA893" s="77">
        <f>IF(Z893="","",'Contractors'!K893)</f>
        <v/>
      </c>
      <c r="AB893" s="77">
        <f>IF(Z893="","",SUMIFS($L$6:$L$1005,$B$6:$B$1005,Z893))</f>
        <v/>
      </c>
      <c r="AC893" s="77">
        <f>IF(Z893="","",SUMIFS($N$6:$N$1005,$B$6:$B$1005,Z893))</f>
        <v/>
      </c>
      <c r="AD893" s="76">
        <f>IF(Z893="","",AA893-AC893)</f>
        <v/>
      </c>
      <c r="AE893" s="117">
        <f>IF(Z893="","",IFERROR(1/SUMPRODUCT(MAX(($B$6:$B$1005=Z893)*$T$6:$T$1005)),""))</f>
        <v/>
      </c>
      <c r="AF893" s="77">
        <f>IF(AE893="","",SUMIFS($S$6:$S$1005,$B$6:$B$1005,Z893,$I$6:$I$1005,AE893))</f>
        <v/>
      </c>
    </row>
    <row r="894" ht="20" customHeight="1">
      <c r="B894" s="72" t="n"/>
      <c r="C894" s="72" t="n"/>
      <c r="D894" s="72" t="n"/>
      <c r="E894" s="72" t="n"/>
      <c r="F894" s="110" t="n"/>
      <c r="G894" s="73" t="n"/>
      <c r="H894" s="75">
        <f>IF(B894="","",IF(G894&lt;&gt;"",G894,IF(F894&lt;&gt;"",F894*IFERROR(INDEX('Contractors'!$I$6:$I$1005,MATCH(B894,'Contractors'!$B$6:$B$1005,0)),0),"")))</f>
        <v/>
      </c>
      <c r="I894" s="109" t="n"/>
      <c r="J894" s="72" t="n"/>
      <c r="K894" s="109" t="n"/>
      <c r="L894" s="73" t="n"/>
      <c r="M894" s="109" t="n"/>
      <c r="N894" s="73" t="n"/>
      <c r="O894" s="107">
        <f>IF(B894="","",IF(M894&lt;&gt;"","Paid",IF(AND(I894&lt;&gt;"",I894&lt;AsOf),"OVERDUE",IF(OR(K894&lt;&gt;"",L894&lt;&gt;""),"Invoiced","Scheduled"))))</f>
        <v/>
      </c>
      <c r="P894" s="115">
        <f>IF(B894="","",IF(E894&lt;&gt;"",E894,IFERROR(INDEX('Contractors'!$D$6:$D$1005,MATCH(B894,'Contractors'!$B$6:$B$1005,0)),"")))</f>
        <v/>
      </c>
      <c r="Q894" s="79">
        <f>IF(B894="","",IF(D894&lt;&gt;"",D894,IFERROR(INDEX('Contractors'!$E$6:$E$1005,MATCH(B894,'Contractors'!$B$6:$B$1005,0)),"")))</f>
        <v/>
      </c>
      <c r="R894" s="79">
        <f>IF(O894="","",IF(O894="OVERDUE",2,IF(O894="Paid",0,IF(AND(I894&lt;&gt;"",I894&lt;=AsOf+AlertDays),1,0))))</f>
        <v/>
      </c>
      <c r="S894" s="79">
        <f>IF(AND(B894&lt;&gt;"",M894="",I894&lt;&gt;""),IF(L894&lt;&gt;"",L894,IF(H894="",0,H894)),0)</f>
        <v/>
      </c>
      <c r="T894" s="79">
        <f>IF(AND(B894&lt;&gt;"",M894="",I894&lt;&gt;""),1/I894,0)</f>
        <v/>
      </c>
      <c r="U894" s="112">
        <f>IF(AND(B894&lt;&gt;"",M894="",I894&lt;&gt;""),I894,"")</f>
        <v/>
      </c>
      <c r="V894" s="79">
        <f>IF(U894="","",IF(U894&lt;AsOf,1,IF(U894&lt;=AsOf+AlertDays,2,IF(U894&lt;=AsOf+2*AlertDays,3,""))))</f>
        <v/>
      </c>
      <c r="W894" s="79">
        <f>IF(V894="","",IF(O894="OVERDUE","Overdue payment: ","Payment due: ")&amp;B894&amp;" — "&amp;C894&amp;" ("&amp;CurSym&amp;" "&amp;FIXED(S894,0)&amp;")")</f>
        <v/>
      </c>
      <c r="Z894" s="116">
        <f>IF('Contractors'!B894="","",'Contractors'!B894)</f>
        <v/>
      </c>
      <c r="AA894" s="77">
        <f>IF(Z894="","",'Contractors'!K894)</f>
        <v/>
      </c>
      <c r="AB894" s="77">
        <f>IF(Z894="","",SUMIFS($L$6:$L$1005,$B$6:$B$1005,Z894))</f>
        <v/>
      </c>
      <c r="AC894" s="77">
        <f>IF(Z894="","",SUMIFS($N$6:$N$1005,$B$6:$B$1005,Z894))</f>
        <v/>
      </c>
      <c r="AD894" s="76">
        <f>IF(Z894="","",AA894-AC894)</f>
        <v/>
      </c>
      <c r="AE894" s="117">
        <f>IF(Z894="","",IFERROR(1/SUMPRODUCT(MAX(($B$6:$B$1005=Z894)*$T$6:$T$1005)),""))</f>
        <v/>
      </c>
      <c r="AF894" s="77">
        <f>IF(AE894="","",SUMIFS($S$6:$S$1005,$B$6:$B$1005,Z894,$I$6:$I$1005,AE894))</f>
        <v/>
      </c>
    </row>
    <row r="895" ht="20" customHeight="1">
      <c r="B895" s="72" t="n"/>
      <c r="C895" s="72" t="n"/>
      <c r="D895" s="72" t="n"/>
      <c r="E895" s="72" t="n"/>
      <c r="F895" s="110" t="n"/>
      <c r="G895" s="73" t="n"/>
      <c r="H895" s="75">
        <f>IF(B895="","",IF(G895&lt;&gt;"",G895,IF(F895&lt;&gt;"",F895*IFERROR(INDEX('Contractors'!$I$6:$I$1005,MATCH(B895,'Contractors'!$B$6:$B$1005,0)),0),"")))</f>
        <v/>
      </c>
      <c r="I895" s="109" t="n"/>
      <c r="J895" s="72" t="n"/>
      <c r="K895" s="109" t="n"/>
      <c r="L895" s="73" t="n"/>
      <c r="M895" s="109" t="n"/>
      <c r="N895" s="73" t="n"/>
      <c r="O895" s="107">
        <f>IF(B895="","",IF(M895&lt;&gt;"","Paid",IF(AND(I895&lt;&gt;"",I895&lt;AsOf),"OVERDUE",IF(OR(K895&lt;&gt;"",L895&lt;&gt;""),"Invoiced","Scheduled"))))</f>
        <v/>
      </c>
      <c r="P895" s="115">
        <f>IF(B895="","",IF(E895&lt;&gt;"",E895,IFERROR(INDEX('Contractors'!$D$6:$D$1005,MATCH(B895,'Contractors'!$B$6:$B$1005,0)),"")))</f>
        <v/>
      </c>
      <c r="Q895" s="79">
        <f>IF(B895="","",IF(D895&lt;&gt;"",D895,IFERROR(INDEX('Contractors'!$E$6:$E$1005,MATCH(B895,'Contractors'!$B$6:$B$1005,0)),"")))</f>
        <v/>
      </c>
      <c r="R895" s="79">
        <f>IF(O895="","",IF(O895="OVERDUE",2,IF(O895="Paid",0,IF(AND(I895&lt;&gt;"",I895&lt;=AsOf+AlertDays),1,0))))</f>
        <v/>
      </c>
      <c r="S895" s="79">
        <f>IF(AND(B895&lt;&gt;"",M895="",I895&lt;&gt;""),IF(L895&lt;&gt;"",L895,IF(H895="",0,H895)),0)</f>
        <v/>
      </c>
      <c r="T895" s="79">
        <f>IF(AND(B895&lt;&gt;"",M895="",I895&lt;&gt;""),1/I895,0)</f>
        <v/>
      </c>
      <c r="U895" s="112">
        <f>IF(AND(B895&lt;&gt;"",M895="",I895&lt;&gt;""),I895,"")</f>
        <v/>
      </c>
      <c r="V895" s="79">
        <f>IF(U895="","",IF(U895&lt;AsOf,1,IF(U895&lt;=AsOf+AlertDays,2,IF(U895&lt;=AsOf+2*AlertDays,3,""))))</f>
        <v/>
      </c>
      <c r="W895" s="79">
        <f>IF(V895="","",IF(O895="OVERDUE","Overdue payment: ","Payment due: ")&amp;B895&amp;" — "&amp;C895&amp;" ("&amp;CurSym&amp;" "&amp;FIXED(S895,0)&amp;")")</f>
        <v/>
      </c>
      <c r="Z895" s="116">
        <f>IF('Contractors'!B895="","",'Contractors'!B895)</f>
        <v/>
      </c>
      <c r="AA895" s="77">
        <f>IF(Z895="","",'Contractors'!K895)</f>
        <v/>
      </c>
      <c r="AB895" s="77">
        <f>IF(Z895="","",SUMIFS($L$6:$L$1005,$B$6:$B$1005,Z895))</f>
        <v/>
      </c>
      <c r="AC895" s="77">
        <f>IF(Z895="","",SUMIFS($N$6:$N$1005,$B$6:$B$1005,Z895))</f>
        <v/>
      </c>
      <c r="AD895" s="76">
        <f>IF(Z895="","",AA895-AC895)</f>
        <v/>
      </c>
      <c r="AE895" s="117">
        <f>IF(Z895="","",IFERROR(1/SUMPRODUCT(MAX(($B$6:$B$1005=Z895)*$T$6:$T$1005)),""))</f>
        <v/>
      </c>
      <c r="AF895" s="77">
        <f>IF(AE895="","",SUMIFS($S$6:$S$1005,$B$6:$B$1005,Z895,$I$6:$I$1005,AE895))</f>
        <v/>
      </c>
    </row>
    <row r="896" ht="20" customHeight="1">
      <c r="B896" s="72" t="n"/>
      <c r="C896" s="72" t="n"/>
      <c r="D896" s="72" t="n"/>
      <c r="E896" s="72" t="n"/>
      <c r="F896" s="110" t="n"/>
      <c r="G896" s="73" t="n"/>
      <c r="H896" s="75">
        <f>IF(B896="","",IF(G896&lt;&gt;"",G896,IF(F896&lt;&gt;"",F896*IFERROR(INDEX('Contractors'!$I$6:$I$1005,MATCH(B896,'Contractors'!$B$6:$B$1005,0)),0),"")))</f>
        <v/>
      </c>
      <c r="I896" s="109" t="n"/>
      <c r="J896" s="72" t="n"/>
      <c r="K896" s="109" t="n"/>
      <c r="L896" s="73" t="n"/>
      <c r="M896" s="109" t="n"/>
      <c r="N896" s="73" t="n"/>
      <c r="O896" s="107">
        <f>IF(B896="","",IF(M896&lt;&gt;"","Paid",IF(AND(I896&lt;&gt;"",I896&lt;AsOf),"OVERDUE",IF(OR(K896&lt;&gt;"",L896&lt;&gt;""),"Invoiced","Scheduled"))))</f>
        <v/>
      </c>
      <c r="P896" s="115">
        <f>IF(B896="","",IF(E896&lt;&gt;"",E896,IFERROR(INDEX('Contractors'!$D$6:$D$1005,MATCH(B896,'Contractors'!$B$6:$B$1005,0)),"")))</f>
        <v/>
      </c>
      <c r="Q896" s="79">
        <f>IF(B896="","",IF(D896&lt;&gt;"",D896,IFERROR(INDEX('Contractors'!$E$6:$E$1005,MATCH(B896,'Contractors'!$B$6:$B$1005,0)),"")))</f>
        <v/>
      </c>
      <c r="R896" s="79">
        <f>IF(O896="","",IF(O896="OVERDUE",2,IF(O896="Paid",0,IF(AND(I896&lt;&gt;"",I896&lt;=AsOf+AlertDays),1,0))))</f>
        <v/>
      </c>
      <c r="S896" s="79">
        <f>IF(AND(B896&lt;&gt;"",M896="",I896&lt;&gt;""),IF(L896&lt;&gt;"",L896,IF(H896="",0,H896)),0)</f>
        <v/>
      </c>
      <c r="T896" s="79">
        <f>IF(AND(B896&lt;&gt;"",M896="",I896&lt;&gt;""),1/I896,0)</f>
        <v/>
      </c>
      <c r="U896" s="112">
        <f>IF(AND(B896&lt;&gt;"",M896="",I896&lt;&gt;""),I896,"")</f>
        <v/>
      </c>
      <c r="V896" s="79">
        <f>IF(U896="","",IF(U896&lt;AsOf,1,IF(U896&lt;=AsOf+AlertDays,2,IF(U896&lt;=AsOf+2*AlertDays,3,""))))</f>
        <v/>
      </c>
      <c r="W896" s="79">
        <f>IF(V896="","",IF(O896="OVERDUE","Overdue payment: ","Payment due: ")&amp;B896&amp;" — "&amp;C896&amp;" ("&amp;CurSym&amp;" "&amp;FIXED(S896,0)&amp;")")</f>
        <v/>
      </c>
      <c r="Z896" s="116">
        <f>IF('Contractors'!B896="","",'Contractors'!B896)</f>
        <v/>
      </c>
      <c r="AA896" s="77">
        <f>IF(Z896="","",'Contractors'!K896)</f>
        <v/>
      </c>
      <c r="AB896" s="77">
        <f>IF(Z896="","",SUMIFS($L$6:$L$1005,$B$6:$B$1005,Z896))</f>
        <v/>
      </c>
      <c r="AC896" s="77">
        <f>IF(Z896="","",SUMIFS($N$6:$N$1005,$B$6:$B$1005,Z896))</f>
        <v/>
      </c>
      <c r="AD896" s="76">
        <f>IF(Z896="","",AA896-AC896)</f>
        <v/>
      </c>
      <c r="AE896" s="117">
        <f>IF(Z896="","",IFERROR(1/SUMPRODUCT(MAX(($B$6:$B$1005=Z896)*$T$6:$T$1005)),""))</f>
        <v/>
      </c>
      <c r="AF896" s="77">
        <f>IF(AE896="","",SUMIFS($S$6:$S$1005,$B$6:$B$1005,Z896,$I$6:$I$1005,AE896))</f>
        <v/>
      </c>
    </row>
    <row r="897" ht="20" customHeight="1">
      <c r="B897" s="72" t="n"/>
      <c r="C897" s="72" t="n"/>
      <c r="D897" s="72" t="n"/>
      <c r="E897" s="72" t="n"/>
      <c r="F897" s="110" t="n"/>
      <c r="G897" s="73" t="n"/>
      <c r="H897" s="75">
        <f>IF(B897="","",IF(G897&lt;&gt;"",G897,IF(F897&lt;&gt;"",F897*IFERROR(INDEX('Contractors'!$I$6:$I$1005,MATCH(B897,'Contractors'!$B$6:$B$1005,0)),0),"")))</f>
        <v/>
      </c>
      <c r="I897" s="109" t="n"/>
      <c r="J897" s="72" t="n"/>
      <c r="K897" s="109" t="n"/>
      <c r="L897" s="73" t="n"/>
      <c r="M897" s="109" t="n"/>
      <c r="N897" s="73" t="n"/>
      <c r="O897" s="107">
        <f>IF(B897="","",IF(M897&lt;&gt;"","Paid",IF(AND(I897&lt;&gt;"",I897&lt;AsOf),"OVERDUE",IF(OR(K897&lt;&gt;"",L897&lt;&gt;""),"Invoiced","Scheduled"))))</f>
        <v/>
      </c>
      <c r="P897" s="115">
        <f>IF(B897="","",IF(E897&lt;&gt;"",E897,IFERROR(INDEX('Contractors'!$D$6:$D$1005,MATCH(B897,'Contractors'!$B$6:$B$1005,0)),"")))</f>
        <v/>
      </c>
      <c r="Q897" s="79">
        <f>IF(B897="","",IF(D897&lt;&gt;"",D897,IFERROR(INDEX('Contractors'!$E$6:$E$1005,MATCH(B897,'Contractors'!$B$6:$B$1005,0)),"")))</f>
        <v/>
      </c>
      <c r="R897" s="79">
        <f>IF(O897="","",IF(O897="OVERDUE",2,IF(O897="Paid",0,IF(AND(I897&lt;&gt;"",I897&lt;=AsOf+AlertDays),1,0))))</f>
        <v/>
      </c>
      <c r="S897" s="79">
        <f>IF(AND(B897&lt;&gt;"",M897="",I897&lt;&gt;""),IF(L897&lt;&gt;"",L897,IF(H897="",0,H897)),0)</f>
        <v/>
      </c>
      <c r="T897" s="79">
        <f>IF(AND(B897&lt;&gt;"",M897="",I897&lt;&gt;""),1/I897,0)</f>
        <v/>
      </c>
      <c r="U897" s="112">
        <f>IF(AND(B897&lt;&gt;"",M897="",I897&lt;&gt;""),I897,"")</f>
        <v/>
      </c>
      <c r="V897" s="79">
        <f>IF(U897="","",IF(U897&lt;AsOf,1,IF(U897&lt;=AsOf+AlertDays,2,IF(U897&lt;=AsOf+2*AlertDays,3,""))))</f>
        <v/>
      </c>
      <c r="W897" s="79">
        <f>IF(V897="","",IF(O897="OVERDUE","Overdue payment: ","Payment due: ")&amp;B897&amp;" — "&amp;C897&amp;" ("&amp;CurSym&amp;" "&amp;FIXED(S897,0)&amp;")")</f>
        <v/>
      </c>
      <c r="Z897" s="116">
        <f>IF('Contractors'!B897="","",'Contractors'!B897)</f>
        <v/>
      </c>
      <c r="AA897" s="77">
        <f>IF(Z897="","",'Contractors'!K897)</f>
        <v/>
      </c>
      <c r="AB897" s="77">
        <f>IF(Z897="","",SUMIFS($L$6:$L$1005,$B$6:$B$1005,Z897))</f>
        <v/>
      </c>
      <c r="AC897" s="77">
        <f>IF(Z897="","",SUMIFS($N$6:$N$1005,$B$6:$B$1005,Z897))</f>
        <v/>
      </c>
      <c r="AD897" s="76">
        <f>IF(Z897="","",AA897-AC897)</f>
        <v/>
      </c>
      <c r="AE897" s="117">
        <f>IF(Z897="","",IFERROR(1/SUMPRODUCT(MAX(($B$6:$B$1005=Z897)*$T$6:$T$1005)),""))</f>
        <v/>
      </c>
      <c r="AF897" s="77">
        <f>IF(AE897="","",SUMIFS($S$6:$S$1005,$B$6:$B$1005,Z897,$I$6:$I$1005,AE897))</f>
        <v/>
      </c>
    </row>
    <row r="898" ht="20" customHeight="1">
      <c r="B898" s="72" t="n"/>
      <c r="C898" s="72" t="n"/>
      <c r="D898" s="72" t="n"/>
      <c r="E898" s="72" t="n"/>
      <c r="F898" s="110" t="n"/>
      <c r="G898" s="73" t="n"/>
      <c r="H898" s="75">
        <f>IF(B898="","",IF(G898&lt;&gt;"",G898,IF(F898&lt;&gt;"",F898*IFERROR(INDEX('Contractors'!$I$6:$I$1005,MATCH(B898,'Contractors'!$B$6:$B$1005,0)),0),"")))</f>
        <v/>
      </c>
      <c r="I898" s="109" t="n"/>
      <c r="J898" s="72" t="n"/>
      <c r="K898" s="109" t="n"/>
      <c r="L898" s="73" t="n"/>
      <c r="M898" s="109" t="n"/>
      <c r="N898" s="73" t="n"/>
      <c r="O898" s="107">
        <f>IF(B898="","",IF(M898&lt;&gt;"","Paid",IF(AND(I898&lt;&gt;"",I898&lt;AsOf),"OVERDUE",IF(OR(K898&lt;&gt;"",L898&lt;&gt;""),"Invoiced","Scheduled"))))</f>
        <v/>
      </c>
      <c r="P898" s="115">
        <f>IF(B898="","",IF(E898&lt;&gt;"",E898,IFERROR(INDEX('Contractors'!$D$6:$D$1005,MATCH(B898,'Contractors'!$B$6:$B$1005,0)),"")))</f>
        <v/>
      </c>
      <c r="Q898" s="79">
        <f>IF(B898="","",IF(D898&lt;&gt;"",D898,IFERROR(INDEX('Contractors'!$E$6:$E$1005,MATCH(B898,'Contractors'!$B$6:$B$1005,0)),"")))</f>
        <v/>
      </c>
      <c r="R898" s="79">
        <f>IF(O898="","",IF(O898="OVERDUE",2,IF(O898="Paid",0,IF(AND(I898&lt;&gt;"",I898&lt;=AsOf+AlertDays),1,0))))</f>
        <v/>
      </c>
      <c r="S898" s="79">
        <f>IF(AND(B898&lt;&gt;"",M898="",I898&lt;&gt;""),IF(L898&lt;&gt;"",L898,IF(H898="",0,H898)),0)</f>
        <v/>
      </c>
      <c r="T898" s="79">
        <f>IF(AND(B898&lt;&gt;"",M898="",I898&lt;&gt;""),1/I898,0)</f>
        <v/>
      </c>
      <c r="U898" s="112">
        <f>IF(AND(B898&lt;&gt;"",M898="",I898&lt;&gt;""),I898,"")</f>
        <v/>
      </c>
      <c r="V898" s="79">
        <f>IF(U898="","",IF(U898&lt;AsOf,1,IF(U898&lt;=AsOf+AlertDays,2,IF(U898&lt;=AsOf+2*AlertDays,3,""))))</f>
        <v/>
      </c>
      <c r="W898" s="79">
        <f>IF(V898="","",IF(O898="OVERDUE","Overdue payment: ","Payment due: ")&amp;B898&amp;" — "&amp;C898&amp;" ("&amp;CurSym&amp;" "&amp;FIXED(S898,0)&amp;")")</f>
        <v/>
      </c>
      <c r="Z898" s="116">
        <f>IF('Contractors'!B898="","",'Contractors'!B898)</f>
        <v/>
      </c>
      <c r="AA898" s="77">
        <f>IF(Z898="","",'Contractors'!K898)</f>
        <v/>
      </c>
      <c r="AB898" s="77">
        <f>IF(Z898="","",SUMIFS($L$6:$L$1005,$B$6:$B$1005,Z898))</f>
        <v/>
      </c>
      <c r="AC898" s="77">
        <f>IF(Z898="","",SUMIFS($N$6:$N$1005,$B$6:$B$1005,Z898))</f>
        <v/>
      </c>
      <c r="AD898" s="76">
        <f>IF(Z898="","",AA898-AC898)</f>
        <v/>
      </c>
      <c r="AE898" s="117">
        <f>IF(Z898="","",IFERROR(1/SUMPRODUCT(MAX(($B$6:$B$1005=Z898)*$T$6:$T$1005)),""))</f>
        <v/>
      </c>
      <c r="AF898" s="77">
        <f>IF(AE898="","",SUMIFS($S$6:$S$1005,$B$6:$B$1005,Z898,$I$6:$I$1005,AE898))</f>
        <v/>
      </c>
    </row>
    <row r="899" ht="20" customHeight="1">
      <c r="B899" s="72" t="n"/>
      <c r="C899" s="72" t="n"/>
      <c r="D899" s="72" t="n"/>
      <c r="E899" s="72" t="n"/>
      <c r="F899" s="110" t="n"/>
      <c r="G899" s="73" t="n"/>
      <c r="H899" s="75">
        <f>IF(B899="","",IF(G899&lt;&gt;"",G899,IF(F899&lt;&gt;"",F899*IFERROR(INDEX('Contractors'!$I$6:$I$1005,MATCH(B899,'Contractors'!$B$6:$B$1005,0)),0),"")))</f>
        <v/>
      </c>
      <c r="I899" s="109" t="n"/>
      <c r="J899" s="72" t="n"/>
      <c r="K899" s="109" t="n"/>
      <c r="L899" s="73" t="n"/>
      <c r="M899" s="109" t="n"/>
      <c r="N899" s="73" t="n"/>
      <c r="O899" s="107">
        <f>IF(B899="","",IF(M899&lt;&gt;"","Paid",IF(AND(I899&lt;&gt;"",I899&lt;AsOf),"OVERDUE",IF(OR(K899&lt;&gt;"",L899&lt;&gt;""),"Invoiced","Scheduled"))))</f>
        <v/>
      </c>
      <c r="P899" s="115">
        <f>IF(B899="","",IF(E899&lt;&gt;"",E899,IFERROR(INDEX('Contractors'!$D$6:$D$1005,MATCH(B899,'Contractors'!$B$6:$B$1005,0)),"")))</f>
        <v/>
      </c>
      <c r="Q899" s="79">
        <f>IF(B899="","",IF(D899&lt;&gt;"",D899,IFERROR(INDEX('Contractors'!$E$6:$E$1005,MATCH(B899,'Contractors'!$B$6:$B$1005,0)),"")))</f>
        <v/>
      </c>
      <c r="R899" s="79">
        <f>IF(O899="","",IF(O899="OVERDUE",2,IF(O899="Paid",0,IF(AND(I899&lt;&gt;"",I899&lt;=AsOf+AlertDays),1,0))))</f>
        <v/>
      </c>
      <c r="S899" s="79">
        <f>IF(AND(B899&lt;&gt;"",M899="",I899&lt;&gt;""),IF(L899&lt;&gt;"",L899,IF(H899="",0,H899)),0)</f>
        <v/>
      </c>
      <c r="T899" s="79">
        <f>IF(AND(B899&lt;&gt;"",M899="",I899&lt;&gt;""),1/I899,0)</f>
        <v/>
      </c>
      <c r="U899" s="112">
        <f>IF(AND(B899&lt;&gt;"",M899="",I899&lt;&gt;""),I899,"")</f>
        <v/>
      </c>
      <c r="V899" s="79">
        <f>IF(U899="","",IF(U899&lt;AsOf,1,IF(U899&lt;=AsOf+AlertDays,2,IF(U899&lt;=AsOf+2*AlertDays,3,""))))</f>
        <v/>
      </c>
      <c r="W899" s="79">
        <f>IF(V899="","",IF(O899="OVERDUE","Overdue payment: ","Payment due: ")&amp;B899&amp;" — "&amp;C899&amp;" ("&amp;CurSym&amp;" "&amp;FIXED(S899,0)&amp;")")</f>
        <v/>
      </c>
      <c r="Z899" s="116">
        <f>IF('Contractors'!B899="","",'Contractors'!B899)</f>
        <v/>
      </c>
      <c r="AA899" s="77">
        <f>IF(Z899="","",'Contractors'!K899)</f>
        <v/>
      </c>
      <c r="AB899" s="77">
        <f>IF(Z899="","",SUMIFS($L$6:$L$1005,$B$6:$B$1005,Z899))</f>
        <v/>
      </c>
      <c r="AC899" s="77">
        <f>IF(Z899="","",SUMIFS($N$6:$N$1005,$B$6:$B$1005,Z899))</f>
        <v/>
      </c>
      <c r="AD899" s="76">
        <f>IF(Z899="","",AA899-AC899)</f>
        <v/>
      </c>
      <c r="AE899" s="117">
        <f>IF(Z899="","",IFERROR(1/SUMPRODUCT(MAX(($B$6:$B$1005=Z899)*$T$6:$T$1005)),""))</f>
        <v/>
      </c>
      <c r="AF899" s="77">
        <f>IF(AE899="","",SUMIFS($S$6:$S$1005,$B$6:$B$1005,Z899,$I$6:$I$1005,AE899))</f>
        <v/>
      </c>
    </row>
    <row r="900" ht="20" customHeight="1">
      <c r="B900" s="72" t="n"/>
      <c r="C900" s="72" t="n"/>
      <c r="D900" s="72" t="n"/>
      <c r="E900" s="72" t="n"/>
      <c r="F900" s="110" t="n"/>
      <c r="G900" s="73" t="n"/>
      <c r="H900" s="75">
        <f>IF(B900="","",IF(G900&lt;&gt;"",G900,IF(F900&lt;&gt;"",F900*IFERROR(INDEX('Contractors'!$I$6:$I$1005,MATCH(B900,'Contractors'!$B$6:$B$1005,0)),0),"")))</f>
        <v/>
      </c>
      <c r="I900" s="109" t="n"/>
      <c r="J900" s="72" t="n"/>
      <c r="K900" s="109" t="n"/>
      <c r="L900" s="73" t="n"/>
      <c r="M900" s="109" t="n"/>
      <c r="N900" s="73" t="n"/>
      <c r="O900" s="107">
        <f>IF(B900="","",IF(M900&lt;&gt;"","Paid",IF(AND(I900&lt;&gt;"",I900&lt;AsOf),"OVERDUE",IF(OR(K900&lt;&gt;"",L900&lt;&gt;""),"Invoiced","Scheduled"))))</f>
        <v/>
      </c>
      <c r="P900" s="115">
        <f>IF(B900="","",IF(E900&lt;&gt;"",E900,IFERROR(INDEX('Contractors'!$D$6:$D$1005,MATCH(B900,'Contractors'!$B$6:$B$1005,0)),"")))</f>
        <v/>
      </c>
      <c r="Q900" s="79">
        <f>IF(B900="","",IF(D900&lt;&gt;"",D900,IFERROR(INDEX('Contractors'!$E$6:$E$1005,MATCH(B900,'Contractors'!$B$6:$B$1005,0)),"")))</f>
        <v/>
      </c>
      <c r="R900" s="79">
        <f>IF(O900="","",IF(O900="OVERDUE",2,IF(O900="Paid",0,IF(AND(I900&lt;&gt;"",I900&lt;=AsOf+AlertDays),1,0))))</f>
        <v/>
      </c>
      <c r="S900" s="79">
        <f>IF(AND(B900&lt;&gt;"",M900="",I900&lt;&gt;""),IF(L900&lt;&gt;"",L900,IF(H900="",0,H900)),0)</f>
        <v/>
      </c>
      <c r="T900" s="79">
        <f>IF(AND(B900&lt;&gt;"",M900="",I900&lt;&gt;""),1/I900,0)</f>
        <v/>
      </c>
      <c r="U900" s="112">
        <f>IF(AND(B900&lt;&gt;"",M900="",I900&lt;&gt;""),I900,"")</f>
        <v/>
      </c>
      <c r="V900" s="79">
        <f>IF(U900="","",IF(U900&lt;AsOf,1,IF(U900&lt;=AsOf+AlertDays,2,IF(U900&lt;=AsOf+2*AlertDays,3,""))))</f>
        <v/>
      </c>
      <c r="W900" s="79">
        <f>IF(V900="","",IF(O900="OVERDUE","Overdue payment: ","Payment due: ")&amp;B900&amp;" — "&amp;C900&amp;" ("&amp;CurSym&amp;" "&amp;FIXED(S900,0)&amp;")")</f>
        <v/>
      </c>
      <c r="Z900" s="116">
        <f>IF('Contractors'!B900="","",'Contractors'!B900)</f>
        <v/>
      </c>
      <c r="AA900" s="77">
        <f>IF(Z900="","",'Contractors'!K900)</f>
        <v/>
      </c>
      <c r="AB900" s="77">
        <f>IF(Z900="","",SUMIFS($L$6:$L$1005,$B$6:$B$1005,Z900))</f>
        <v/>
      </c>
      <c r="AC900" s="77">
        <f>IF(Z900="","",SUMIFS($N$6:$N$1005,$B$6:$B$1005,Z900))</f>
        <v/>
      </c>
      <c r="AD900" s="76">
        <f>IF(Z900="","",AA900-AC900)</f>
        <v/>
      </c>
      <c r="AE900" s="117">
        <f>IF(Z900="","",IFERROR(1/SUMPRODUCT(MAX(($B$6:$B$1005=Z900)*$T$6:$T$1005)),""))</f>
        <v/>
      </c>
      <c r="AF900" s="77">
        <f>IF(AE900="","",SUMIFS($S$6:$S$1005,$B$6:$B$1005,Z900,$I$6:$I$1005,AE900))</f>
        <v/>
      </c>
    </row>
    <row r="901" ht="20" customHeight="1">
      <c r="B901" s="72" t="n"/>
      <c r="C901" s="72" t="n"/>
      <c r="D901" s="72" t="n"/>
      <c r="E901" s="72" t="n"/>
      <c r="F901" s="110" t="n"/>
      <c r="G901" s="73" t="n"/>
      <c r="H901" s="75">
        <f>IF(B901="","",IF(G901&lt;&gt;"",G901,IF(F901&lt;&gt;"",F901*IFERROR(INDEX('Contractors'!$I$6:$I$1005,MATCH(B901,'Contractors'!$B$6:$B$1005,0)),0),"")))</f>
        <v/>
      </c>
      <c r="I901" s="109" t="n"/>
      <c r="J901" s="72" t="n"/>
      <c r="K901" s="109" t="n"/>
      <c r="L901" s="73" t="n"/>
      <c r="M901" s="109" t="n"/>
      <c r="N901" s="73" t="n"/>
      <c r="O901" s="107">
        <f>IF(B901="","",IF(M901&lt;&gt;"","Paid",IF(AND(I901&lt;&gt;"",I901&lt;AsOf),"OVERDUE",IF(OR(K901&lt;&gt;"",L901&lt;&gt;""),"Invoiced","Scheduled"))))</f>
        <v/>
      </c>
      <c r="P901" s="115">
        <f>IF(B901="","",IF(E901&lt;&gt;"",E901,IFERROR(INDEX('Contractors'!$D$6:$D$1005,MATCH(B901,'Contractors'!$B$6:$B$1005,0)),"")))</f>
        <v/>
      </c>
      <c r="Q901" s="79">
        <f>IF(B901="","",IF(D901&lt;&gt;"",D901,IFERROR(INDEX('Contractors'!$E$6:$E$1005,MATCH(B901,'Contractors'!$B$6:$B$1005,0)),"")))</f>
        <v/>
      </c>
      <c r="R901" s="79">
        <f>IF(O901="","",IF(O901="OVERDUE",2,IF(O901="Paid",0,IF(AND(I901&lt;&gt;"",I901&lt;=AsOf+AlertDays),1,0))))</f>
        <v/>
      </c>
      <c r="S901" s="79">
        <f>IF(AND(B901&lt;&gt;"",M901="",I901&lt;&gt;""),IF(L901&lt;&gt;"",L901,IF(H901="",0,H901)),0)</f>
        <v/>
      </c>
      <c r="T901" s="79">
        <f>IF(AND(B901&lt;&gt;"",M901="",I901&lt;&gt;""),1/I901,0)</f>
        <v/>
      </c>
      <c r="U901" s="112">
        <f>IF(AND(B901&lt;&gt;"",M901="",I901&lt;&gt;""),I901,"")</f>
        <v/>
      </c>
      <c r="V901" s="79">
        <f>IF(U901="","",IF(U901&lt;AsOf,1,IF(U901&lt;=AsOf+AlertDays,2,IF(U901&lt;=AsOf+2*AlertDays,3,""))))</f>
        <v/>
      </c>
      <c r="W901" s="79">
        <f>IF(V901="","",IF(O901="OVERDUE","Overdue payment: ","Payment due: ")&amp;B901&amp;" — "&amp;C901&amp;" ("&amp;CurSym&amp;" "&amp;FIXED(S901,0)&amp;")")</f>
        <v/>
      </c>
      <c r="Z901" s="116">
        <f>IF('Contractors'!B901="","",'Contractors'!B901)</f>
        <v/>
      </c>
      <c r="AA901" s="77">
        <f>IF(Z901="","",'Contractors'!K901)</f>
        <v/>
      </c>
      <c r="AB901" s="77">
        <f>IF(Z901="","",SUMIFS($L$6:$L$1005,$B$6:$B$1005,Z901))</f>
        <v/>
      </c>
      <c r="AC901" s="77">
        <f>IF(Z901="","",SUMIFS($N$6:$N$1005,$B$6:$B$1005,Z901))</f>
        <v/>
      </c>
      <c r="AD901" s="76">
        <f>IF(Z901="","",AA901-AC901)</f>
        <v/>
      </c>
      <c r="AE901" s="117">
        <f>IF(Z901="","",IFERROR(1/SUMPRODUCT(MAX(($B$6:$B$1005=Z901)*$T$6:$T$1005)),""))</f>
        <v/>
      </c>
      <c r="AF901" s="77">
        <f>IF(AE901="","",SUMIFS($S$6:$S$1005,$B$6:$B$1005,Z901,$I$6:$I$1005,AE901))</f>
        <v/>
      </c>
    </row>
    <row r="902" ht="20" customHeight="1">
      <c r="B902" s="72" t="n"/>
      <c r="C902" s="72" t="n"/>
      <c r="D902" s="72" t="n"/>
      <c r="E902" s="72" t="n"/>
      <c r="F902" s="110" t="n"/>
      <c r="G902" s="73" t="n"/>
      <c r="H902" s="75">
        <f>IF(B902="","",IF(G902&lt;&gt;"",G902,IF(F902&lt;&gt;"",F902*IFERROR(INDEX('Contractors'!$I$6:$I$1005,MATCH(B902,'Contractors'!$B$6:$B$1005,0)),0),"")))</f>
        <v/>
      </c>
      <c r="I902" s="109" t="n"/>
      <c r="J902" s="72" t="n"/>
      <c r="K902" s="109" t="n"/>
      <c r="L902" s="73" t="n"/>
      <c r="M902" s="109" t="n"/>
      <c r="N902" s="73" t="n"/>
      <c r="O902" s="107">
        <f>IF(B902="","",IF(M902&lt;&gt;"","Paid",IF(AND(I902&lt;&gt;"",I902&lt;AsOf),"OVERDUE",IF(OR(K902&lt;&gt;"",L902&lt;&gt;""),"Invoiced","Scheduled"))))</f>
        <v/>
      </c>
      <c r="P902" s="115">
        <f>IF(B902="","",IF(E902&lt;&gt;"",E902,IFERROR(INDEX('Contractors'!$D$6:$D$1005,MATCH(B902,'Contractors'!$B$6:$B$1005,0)),"")))</f>
        <v/>
      </c>
      <c r="Q902" s="79">
        <f>IF(B902="","",IF(D902&lt;&gt;"",D902,IFERROR(INDEX('Contractors'!$E$6:$E$1005,MATCH(B902,'Contractors'!$B$6:$B$1005,0)),"")))</f>
        <v/>
      </c>
      <c r="R902" s="79">
        <f>IF(O902="","",IF(O902="OVERDUE",2,IF(O902="Paid",0,IF(AND(I902&lt;&gt;"",I902&lt;=AsOf+AlertDays),1,0))))</f>
        <v/>
      </c>
      <c r="S902" s="79">
        <f>IF(AND(B902&lt;&gt;"",M902="",I902&lt;&gt;""),IF(L902&lt;&gt;"",L902,IF(H902="",0,H902)),0)</f>
        <v/>
      </c>
      <c r="T902" s="79">
        <f>IF(AND(B902&lt;&gt;"",M902="",I902&lt;&gt;""),1/I902,0)</f>
        <v/>
      </c>
      <c r="U902" s="112">
        <f>IF(AND(B902&lt;&gt;"",M902="",I902&lt;&gt;""),I902,"")</f>
        <v/>
      </c>
      <c r="V902" s="79">
        <f>IF(U902="","",IF(U902&lt;AsOf,1,IF(U902&lt;=AsOf+AlertDays,2,IF(U902&lt;=AsOf+2*AlertDays,3,""))))</f>
        <v/>
      </c>
      <c r="W902" s="79">
        <f>IF(V902="","",IF(O902="OVERDUE","Overdue payment: ","Payment due: ")&amp;B902&amp;" — "&amp;C902&amp;" ("&amp;CurSym&amp;" "&amp;FIXED(S902,0)&amp;")")</f>
        <v/>
      </c>
      <c r="Z902" s="116">
        <f>IF('Contractors'!B902="","",'Contractors'!B902)</f>
        <v/>
      </c>
      <c r="AA902" s="77">
        <f>IF(Z902="","",'Contractors'!K902)</f>
        <v/>
      </c>
      <c r="AB902" s="77">
        <f>IF(Z902="","",SUMIFS($L$6:$L$1005,$B$6:$B$1005,Z902))</f>
        <v/>
      </c>
      <c r="AC902" s="77">
        <f>IF(Z902="","",SUMIFS($N$6:$N$1005,$B$6:$B$1005,Z902))</f>
        <v/>
      </c>
      <c r="AD902" s="76">
        <f>IF(Z902="","",AA902-AC902)</f>
        <v/>
      </c>
      <c r="AE902" s="117">
        <f>IF(Z902="","",IFERROR(1/SUMPRODUCT(MAX(($B$6:$B$1005=Z902)*$T$6:$T$1005)),""))</f>
        <v/>
      </c>
      <c r="AF902" s="77">
        <f>IF(AE902="","",SUMIFS($S$6:$S$1005,$B$6:$B$1005,Z902,$I$6:$I$1005,AE902))</f>
        <v/>
      </c>
    </row>
    <row r="903" ht="20" customHeight="1">
      <c r="B903" s="72" t="n"/>
      <c r="C903" s="72" t="n"/>
      <c r="D903" s="72" t="n"/>
      <c r="E903" s="72" t="n"/>
      <c r="F903" s="110" t="n"/>
      <c r="G903" s="73" t="n"/>
      <c r="H903" s="75">
        <f>IF(B903="","",IF(G903&lt;&gt;"",G903,IF(F903&lt;&gt;"",F903*IFERROR(INDEX('Contractors'!$I$6:$I$1005,MATCH(B903,'Contractors'!$B$6:$B$1005,0)),0),"")))</f>
        <v/>
      </c>
      <c r="I903" s="109" t="n"/>
      <c r="J903" s="72" t="n"/>
      <c r="K903" s="109" t="n"/>
      <c r="L903" s="73" t="n"/>
      <c r="M903" s="109" t="n"/>
      <c r="N903" s="73" t="n"/>
      <c r="O903" s="107">
        <f>IF(B903="","",IF(M903&lt;&gt;"","Paid",IF(AND(I903&lt;&gt;"",I903&lt;AsOf),"OVERDUE",IF(OR(K903&lt;&gt;"",L903&lt;&gt;""),"Invoiced","Scheduled"))))</f>
        <v/>
      </c>
      <c r="P903" s="115">
        <f>IF(B903="","",IF(E903&lt;&gt;"",E903,IFERROR(INDEX('Contractors'!$D$6:$D$1005,MATCH(B903,'Contractors'!$B$6:$B$1005,0)),"")))</f>
        <v/>
      </c>
      <c r="Q903" s="79">
        <f>IF(B903="","",IF(D903&lt;&gt;"",D903,IFERROR(INDEX('Contractors'!$E$6:$E$1005,MATCH(B903,'Contractors'!$B$6:$B$1005,0)),"")))</f>
        <v/>
      </c>
      <c r="R903" s="79">
        <f>IF(O903="","",IF(O903="OVERDUE",2,IF(O903="Paid",0,IF(AND(I903&lt;&gt;"",I903&lt;=AsOf+AlertDays),1,0))))</f>
        <v/>
      </c>
      <c r="S903" s="79">
        <f>IF(AND(B903&lt;&gt;"",M903="",I903&lt;&gt;""),IF(L903&lt;&gt;"",L903,IF(H903="",0,H903)),0)</f>
        <v/>
      </c>
      <c r="T903" s="79">
        <f>IF(AND(B903&lt;&gt;"",M903="",I903&lt;&gt;""),1/I903,0)</f>
        <v/>
      </c>
      <c r="U903" s="112">
        <f>IF(AND(B903&lt;&gt;"",M903="",I903&lt;&gt;""),I903,"")</f>
        <v/>
      </c>
      <c r="V903" s="79">
        <f>IF(U903="","",IF(U903&lt;AsOf,1,IF(U903&lt;=AsOf+AlertDays,2,IF(U903&lt;=AsOf+2*AlertDays,3,""))))</f>
        <v/>
      </c>
      <c r="W903" s="79">
        <f>IF(V903="","",IF(O903="OVERDUE","Overdue payment: ","Payment due: ")&amp;B903&amp;" — "&amp;C903&amp;" ("&amp;CurSym&amp;" "&amp;FIXED(S903,0)&amp;")")</f>
        <v/>
      </c>
      <c r="Z903" s="116">
        <f>IF('Contractors'!B903="","",'Contractors'!B903)</f>
        <v/>
      </c>
      <c r="AA903" s="77">
        <f>IF(Z903="","",'Contractors'!K903)</f>
        <v/>
      </c>
      <c r="AB903" s="77">
        <f>IF(Z903="","",SUMIFS($L$6:$L$1005,$B$6:$B$1005,Z903))</f>
        <v/>
      </c>
      <c r="AC903" s="77">
        <f>IF(Z903="","",SUMIFS($N$6:$N$1005,$B$6:$B$1005,Z903))</f>
        <v/>
      </c>
      <c r="AD903" s="76">
        <f>IF(Z903="","",AA903-AC903)</f>
        <v/>
      </c>
      <c r="AE903" s="117">
        <f>IF(Z903="","",IFERROR(1/SUMPRODUCT(MAX(($B$6:$B$1005=Z903)*$T$6:$T$1005)),""))</f>
        <v/>
      </c>
      <c r="AF903" s="77">
        <f>IF(AE903="","",SUMIFS($S$6:$S$1005,$B$6:$B$1005,Z903,$I$6:$I$1005,AE903))</f>
        <v/>
      </c>
    </row>
    <row r="904" ht="20" customHeight="1">
      <c r="B904" s="72" t="n"/>
      <c r="C904" s="72" t="n"/>
      <c r="D904" s="72" t="n"/>
      <c r="E904" s="72" t="n"/>
      <c r="F904" s="110" t="n"/>
      <c r="G904" s="73" t="n"/>
      <c r="H904" s="75">
        <f>IF(B904="","",IF(G904&lt;&gt;"",G904,IF(F904&lt;&gt;"",F904*IFERROR(INDEX('Contractors'!$I$6:$I$1005,MATCH(B904,'Contractors'!$B$6:$B$1005,0)),0),"")))</f>
        <v/>
      </c>
      <c r="I904" s="109" t="n"/>
      <c r="J904" s="72" t="n"/>
      <c r="K904" s="109" t="n"/>
      <c r="L904" s="73" t="n"/>
      <c r="M904" s="109" t="n"/>
      <c r="N904" s="73" t="n"/>
      <c r="O904" s="107">
        <f>IF(B904="","",IF(M904&lt;&gt;"","Paid",IF(AND(I904&lt;&gt;"",I904&lt;AsOf),"OVERDUE",IF(OR(K904&lt;&gt;"",L904&lt;&gt;""),"Invoiced","Scheduled"))))</f>
        <v/>
      </c>
      <c r="P904" s="115">
        <f>IF(B904="","",IF(E904&lt;&gt;"",E904,IFERROR(INDEX('Contractors'!$D$6:$D$1005,MATCH(B904,'Contractors'!$B$6:$B$1005,0)),"")))</f>
        <v/>
      </c>
      <c r="Q904" s="79">
        <f>IF(B904="","",IF(D904&lt;&gt;"",D904,IFERROR(INDEX('Contractors'!$E$6:$E$1005,MATCH(B904,'Contractors'!$B$6:$B$1005,0)),"")))</f>
        <v/>
      </c>
      <c r="R904" s="79">
        <f>IF(O904="","",IF(O904="OVERDUE",2,IF(O904="Paid",0,IF(AND(I904&lt;&gt;"",I904&lt;=AsOf+AlertDays),1,0))))</f>
        <v/>
      </c>
      <c r="S904" s="79">
        <f>IF(AND(B904&lt;&gt;"",M904="",I904&lt;&gt;""),IF(L904&lt;&gt;"",L904,IF(H904="",0,H904)),0)</f>
        <v/>
      </c>
      <c r="T904" s="79">
        <f>IF(AND(B904&lt;&gt;"",M904="",I904&lt;&gt;""),1/I904,0)</f>
        <v/>
      </c>
      <c r="U904" s="112">
        <f>IF(AND(B904&lt;&gt;"",M904="",I904&lt;&gt;""),I904,"")</f>
        <v/>
      </c>
      <c r="V904" s="79">
        <f>IF(U904="","",IF(U904&lt;AsOf,1,IF(U904&lt;=AsOf+AlertDays,2,IF(U904&lt;=AsOf+2*AlertDays,3,""))))</f>
        <v/>
      </c>
      <c r="W904" s="79">
        <f>IF(V904="","",IF(O904="OVERDUE","Overdue payment: ","Payment due: ")&amp;B904&amp;" — "&amp;C904&amp;" ("&amp;CurSym&amp;" "&amp;FIXED(S904,0)&amp;")")</f>
        <v/>
      </c>
      <c r="Z904" s="116">
        <f>IF('Contractors'!B904="","",'Contractors'!B904)</f>
        <v/>
      </c>
      <c r="AA904" s="77">
        <f>IF(Z904="","",'Contractors'!K904)</f>
        <v/>
      </c>
      <c r="AB904" s="77">
        <f>IF(Z904="","",SUMIFS($L$6:$L$1005,$B$6:$B$1005,Z904))</f>
        <v/>
      </c>
      <c r="AC904" s="77">
        <f>IF(Z904="","",SUMIFS($N$6:$N$1005,$B$6:$B$1005,Z904))</f>
        <v/>
      </c>
      <c r="AD904" s="76">
        <f>IF(Z904="","",AA904-AC904)</f>
        <v/>
      </c>
      <c r="AE904" s="117">
        <f>IF(Z904="","",IFERROR(1/SUMPRODUCT(MAX(($B$6:$B$1005=Z904)*$T$6:$T$1005)),""))</f>
        <v/>
      </c>
      <c r="AF904" s="77">
        <f>IF(AE904="","",SUMIFS($S$6:$S$1005,$B$6:$B$1005,Z904,$I$6:$I$1005,AE904))</f>
        <v/>
      </c>
    </row>
    <row r="905" ht="20" customHeight="1">
      <c r="B905" s="72" t="n"/>
      <c r="C905" s="72" t="n"/>
      <c r="D905" s="72" t="n"/>
      <c r="E905" s="72" t="n"/>
      <c r="F905" s="110" t="n"/>
      <c r="G905" s="73" t="n"/>
      <c r="H905" s="75">
        <f>IF(B905="","",IF(G905&lt;&gt;"",G905,IF(F905&lt;&gt;"",F905*IFERROR(INDEX('Contractors'!$I$6:$I$1005,MATCH(B905,'Contractors'!$B$6:$B$1005,0)),0),"")))</f>
        <v/>
      </c>
      <c r="I905" s="109" t="n"/>
      <c r="J905" s="72" t="n"/>
      <c r="K905" s="109" t="n"/>
      <c r="L905" s="73" t="n"/>
      <c r="M905" s="109" t="n"/>
      <c r="N905" s="73" t="n"/>
      <c r="O905" s="107">
        <f>IF(B905="","",IF(M905&lt;&gt;"","Paid",IF(AND(I905&lt;&gt;"",I905&lt;AsOf),"OVERDUE",IF(OR(K905&lt;&gt;"",L905&lt;&gt;""),"Invoiced","Scheduled"))))</f>
        <v/>
      </c>
      <c r="P905" s="115">
        <f>IF(B905="","",IF(E905&lt;&gt;"",E905,IFERROR(INDEX('Contractors'!$D$6:$D$1005,MATCH(B905,'Contractors'!$B$6:$B$1005,0)),"")))</f>
        <v/>
      </c>
      <c r="Q905" s="79">
        <f>IF(B905="","",IF(D905&lt;&gt;"",D905,IFERROR(INDEX('Contractors'!$E$6:$E$1005,MATCH(B905,'Contractors'!$B$6:$B$1005,0)),"")))</f>
        <v/>
      </c>
      <c r="R905" s="79">
        <f>IF(O905="","",IF(O905="OVERDUE",2,IF(O905="Paid",0,IF(AND(I905&lt;&gt;"",I905&lt;=AsOf+AlertDays),1,0))))</f>
        <v/>
      </c>
      <c r="S905" s="79">
        <f>IF(AND(B905&lt;&gt;"",M905="",I905&lt;&gt;""),IF(L905&lt;&gt;"",L905,IF(H905="",0,H905)),0)</f>
        <v/>
      </c>
      <c r="T905" s="79">
        <f>IF(AND(B905&lt;&gt;"",M905="",I905&lt;&gt;""),1/I905,0)</f>
        <v/>
      </c>
      <c r="U905" s="112">
        <f>IF(AND(B905&lt;&gt;"",M905="",I905&lt;&gt;""),I905,"")</f>
        <v/>
      </c>
      <c r="V905" s="79">
        <f>IF(U905="","",IF(U905&lt;AsOf,1,IF(U905&lt;=AsOf+AlertDays,2,IF(U905&lt;=AsOf+2*AlertDays,3,""))))</f>
        <v/>
      </c>
      <c r="W905" s="79">
        <f>IF(V905="","",IF(O905="OVERDUE","Overdue payment: ","Payment due: ")&amp;B905&amp;" — "&amp;C905&amp;" ("&amp;CurSym&amp;" "&amp;FIXED(S905,0)&amp;")")</f>
        <v/>
      </c>
      <c r="Z905" s="116">
        <f>IF('Contractors'!B905="","",'Contractors'!B905)</f>
        <v/>
      </c>
      <c r="AA905" s="77">
        <f>IF(Z905="","",'Contractors'!K905)</f>
        <v/>
      </c>
      <c r="AB905" s="77">
        <f>IF(Z905="","",SUMIFS($L$6:$L$1005,$B$6:$B$1005,Z905))</f>
        <v/>
      </c>
      <c r="AC905" s="77">
        <f>IF(Z905="","",SUMIFS($N$6:$N$1005,$B$6:$B$1005,Z905))</f>
        <v/>
      </c>
      <c r="AD905" s="76">
        <f>IF(Z905="","",AA905-AC905)</f>
        <v/>
      </c>
      <c r="AE905" s="117">
        <f>IF(Z905="","",IFERROR(1/SUMPRODUCT(MAX(($B$6:$B$1005=Z905)*$T$6:$T$1005)),""))</f>
        <v/>
      </c>
      <c r="AF905" s="77">
        <f>IF(AE905="","",SUMIFS($S$6:$S$1005,$B$6:$B$1005,Z905,$I$6:$I$1005,AE905))</f>
        <v/>
      </c>
    </row>
    <row r="906" ht="20" customHeight="1">
      <c r="B906" s="72" t="n"/>
      <c r="C906" s="72" t="n"/>
      <c r="D906" s="72" t="n"/>
      <c r="E906" s="72" t="n"/>
      <c r="F906" s="110" t="n"/>
      <c r="G906" s="73" t="n"/>
      <c r="H906" s="75">
        <f>IF(B906="","",IF(G906&lt;&gt;"",G906,IF(F906&lt;&gt;"",F906*IFERROR(INDEX('Contractors'!$I$6:$I$1005,MATCH(B906,'Contractors'!$B$6:$B$1005,0)),0),"")))</f>
        <v/>
      </c>
      <c r="I906" s="109" t="n"/>
      <c r="J906" s="72" t="n"/>
      <c r="K906" s="109" t="n"/>
      <c r="L906" s="73" t="n"/>
      <c r="M906" s="109" t="n"/>
      <c r="N906" s="73" t="n"/>
      <c r="O906" s="107">
        <f>IF(B906="","",IF(M906&lt;&gt;"","Paid",IF(AND(I906&lt;&gt;"",I906&lt;AsOf),"OVERDUE",IF(OR(K906&lt;&gt;"",L906&lt;&gt;""),"Invoiced","Scheduled"))))</f>
        <v/>
      </c>
      <c r="P906" s="115">
        <f>IF(B906="","",IF(E906&lt;&gt;"",E906,IFERROR(INDEX('Contractors'!$D$6:$D$1005,MATCH(B906,'Contractors'!$B$6:$B$1005,0)),"")))</f>
        <v/>
      </c>
      <c r="Q906" s="79">
        <f>IF(B906="","",IF(D906&lt;&gt;"",D906,IFERROR(INDEX('Contractors'!$E$6:$E$1005,MATCH(B906,'Contractors'!$B$6:$B$1005,0)),"")))</f>
        <v/>
      </c>
      <c r="R906" s="79">
        <f>IF(O906="","",IF(O906="OVERDUE",2,IF(O906="Paid",0,IF(AND(I906&lt;&gt;"",I906&lt;=AsOf+AlertDays),1,0))))</f>
        <v/>
      </c>
      <c r="S906" s="79">
        <f>IF(AND(B906&lt;&gt;"",M906="",I906&lt;&gt;""),IF(L906&lt;&gt;"",L906,IF(H906="",0,H906)),0)</f>
        <v/>
      </c>
      <c r="T906" s="79">
        <f>IF(AND(B906&lt;&gt;"",M906="",I906&lt;&gt;""),1/I906,0)</f>
        <v/>
      </c>
      <c r="U906" s="112">
        <f>IF(AND(B906&lt;&gt;"",M906="",I906&lt;&gt;""),I906,"")</f>
        <v/>
      </c>
      <c r="V906" s="79">
        <f>IF(U906="","",IF(U906&lt;AsOf,1,IF(U906&lt;=AsOf+AlertDays,2,IF(U906&lt;=AsOf+2*AlertDays,3,""))))</f>
        <v/>
      </c>
      <c r="W906" s="79">
        <f>IF(V906="","",IF(O906="OVERDUE","Overdue payment: ","Payment due: ")&amp;B906&amp;" — "&amp;C906&amp;" ("&amp;CurSym&amp;" "&amp;FIXED(S906,0)&amp;")")</f>
        <v/>
      </c>
      <c r="Z906" s="116">
        <f>IF('Contractors'!B906="","",'Contractors'!B906)</f>
        <v/>
      </c>
      <c r="AA906" s="77">
        <f>IF(Z906="","",'Contractors'!K906)</f>
        <v/>
      </c>
      <c r="AB906" s="77">
        <f>IF(Z906="","",SUMIFS($L$6:$L$1005,$B$6:$B$1005,Z906))</f>
        <v/>
      </c>
      <c r="AC906" s="77">
        <f>IF(Z906="","",SUMIFS($N$6:$N$1005,$B$6:$B$1005,Z906))</f>
        <v/>
      </c>
      <c r="AD906" s="76">
        <f>IF(Z906="","",AA906-AC906)</f>
        <v/>
      </c>
      <c r="AE906" s="117">
        <f>IF(Z906="","",IFERROR(1/SUMPRODUCT(MAX(($B$6:$B$1005=Z906)*$T$6:$T$1005)),""))</f>
        <v/>
      </c>
      <c r="AF906" s="77">
        <f>IF(AE906="","",SUMIFS($S$6:$S$1005,$B$6:$B$1005,Z906,$I$6:$I$1005,AE906))</f>
        <v/>
      </c>
    </row>
    <row r="907" ht="20" customHeight="1">
      <c r="B907" s="72" t="n"/>
      <c r="C907" s="72" t="n"/>
      <c r="D907" s="72" t="n"/>
      <c r="E907" s="72" t="n"/>
      <c r="F907" s="110" t="n"/>
      <c r="G907" s="73" t="n"/>
      <c r="H907" s="75">
        <f>IF(B907="","",IF(G907&lt;&gt;"",G907,IF(F907&lt;&gt;"",F907*IFERROR(INDEX('Contractors'!$I$6:$I$1005,MATCH(B907,'Contractors'!$B$6:$B$1005,0)),0),"")))</f>
        <v/>
      </c>
      <c r="I907" s="109" t="n"/>
      <c r="J907" s="72" t="n"/>
      <c r="K907" s="109" t="n"/>
      <c r="L907" s="73" t="n"/>
      <c r="M907" s="109" t="n"/>
      <c r="N907" s="73" t="n"/>
      <c r="O907" s="107">
        <f>IF(B907="","",IF(M907&lt;&gt;"","Paid",IF(AND(I907&lt;&gt;"",I907&lt;AsOf),"OVERDUE",IF(OR(K907&lt;&gt;"",L907&lt;&gt;""),"Invoiced","Scheduled"))))</f>
        <v/>
      </c>
      <c r="P907" s="115">
        <f>IF(B907="","",IF(E907&lt;&gt;"",E907,IFERROR(INDEX('Contractors'!$D$6:$D$1005,MATCH(B907,'Contractors'!$B$6:$B$1005,0)),"")))</f>
        <v/>
      </c>
      <c r="Q907" s="79">
        <f>IF(B907="","",IF(D907&lt;&gt;"",D907,IFERROR(INDEX('Contractors'!$E$6:$E$1005,MATCH(B907,'Contractors'!$B$6:$B$1005,0)),"")))</f>
        <v/>
      </c>
      <c r="R907" s="79">
        <f>IF(O907="","",IF(O907="OVERDUE",2,IF(O907="Paid",0,IF(AND(I907&lt;&gt;"",I907&lt;=AsOf+AlertDays),1,0))))</f>
        <v/>
      </c>
      <c r="S907" s="79">
        <f>IF(AND(B907&lt;&gt;"",M907="",I907&lt;&gt;""),IF(L907&lt;&gt;"",L907,IF(H907="",0,H907)),0)</f>
        <v/>
      </c>
      <c r="T907" s="79">
        <f>IF(AND(B907&lt;&gt;"",M907="",I907&lt;&gt;""),1/I907,0)</f>
        <v/>
      </c>
      <c r="U907" s="112">
        <f>IF(AND(B907&lt;&gt;"",M907="",I907&lt;&gt;""),I907,"")</f>
        <v/>
      </c>
      <c r="V907" s="79">
        <f>IF(U907="","",IF(U907&lt;AsOf,1,IF(U907&lt;=AsOf+AlertDays,2,IF(U907&lt;=AsOf+2*AlertDays,3,""))))</f>
        <v/>
      </c>
      <c r="W907" s="79">
        <f>IF(V907="","",IF(O907="OVERDUE","Overdue payment: ","Payment due: ")&amp;B907&amp;" — "&amp;C907&amp;" ("&amp;CurSym&amp;" "&amp;FIXED(S907,0)&amp;")")</f>
        <v/>
      </c>
      <c r="Z907" s="116">
        <f>IF('Contractors'!B907="","",'Contractors'!B907)</f>
        <v/>
      </c>
      <c r="AA907" s="77">
        <f>IF(Z907="","",'Contractors'!K907)</f>
        <v/>
      </c>
      <c r="AB907" s="77">
        <f>IF(Z907="","",SUMIFS($L$6:$L$1005,$B$6:$B$1005,Z907))</f>
        <v/>
      </c>
      <c r="AC907" s="77">
        <f>IF(Z907="","",SUMIFS($N$6:$N$1005,$B$6:$B$1005,Z907))</f>
        <v/>
      </c>
      <c r="AD907" s="76">
        <f>IF(Z907="","",AA907-AC907)</f>
        <v/>
      </c>
      <c r="AE907" s="117">
        <f>IF(Z907="","",IFERROR(1/SUMPRODUCT(MAX(($B$6:$B$1005=Z907)*$T$6:$T$1005)),""))</f>
        <v/>
      </c>
      <c r="AF907" s="77">
        <f>IF(AE907="","",SUMIFS($S$6:$S$1005,$B$6:$B$1005,Z907,$I$6:$I$1005,AE907))</f>
        <v/>
      </c>
    </row>
    <row r="908" ht="20" customHeight="1">
      <c r="B908" s="72" t="n"/>
      <c r="C908" s="72" t="n"/>
      <c r="D908" s="72" t="n"/>
      <c r="E908" s="72" t="n"/>
      <c r="F908" s="110" t="n"/>
      <c r="G908" s="73" t="n"/>
      <c r="H908" s="75">
        <f>IF(B908="","",IF(G908&lt;&gt;"",G908,IF(F908&lt;&gt;"",F908*IFERROR(INDEX('Contractors'!$I$6:$I$1005,MATCH(B908,'Contractors'!$B$6:$B$1005,0)),0),"")))</f>
        <v/>
      </c>
      <c r="I908" s="109" t="n"/>
      <c r="J908" s="72" t="n"/>
      <c r="K908" s="109" t="n"/>
      <c r="L908" s="73" t="n"/>
      <c r="M908" s="109" t="n"/>
      <c r="N908" s="73" t="n"/>
      <c r="O908" s="107">
        <f>IF(B908="","",IF(M908&lt;&gt;"","Paid",IF(AND(I908&lt;&gt;"",I908&lt;AsOf),"OVERDUE",IF(OR(K908&lt;&gt;"",L908&lt;&gt;""),"Invoiced","Scheduled"))))</f>
        <v/>
      </c>
      <c r="P908" s="115">
        <f>IF(B908="","",IF(E908&lt;&gt;"",E908,IFERROR(INDEX('Contractors'!$D$6:$D$1005,MATCH(B908,'Contractors'!$B$6:$B$1005,0)),"")))</f>
        <v/>
      </c>
      <c r="Q908" s="79">
        <f>IF(B908="","",IF(D908&lt;&gt;"",D908,IFERROR(INDEX('Contractors'!$E$6:$E$1005,MATCH(B908,'Contractors'!$B$6:$B$1005,0)),"")))</f>
        <v/>
      </c>
      <c r="R908" s="79">
        <f>IF(O908="","",IF(O908="OVERDUE",2,IF(O908="Paid",0,IF(AND(I908&lt;&gt;"",I908&lt;=AsOf+AlertDays),1,0))))</f>
        <v/>
      </c>
      <c r="S908" s="79">
        <f>IF(AND(B908&lt;&gt;"",M908="",I908&lt;&gt;""),IF(L908&lt;&gt;"",L908,IF(H908="",0,H908)),0)</f>
        <v/>
      </c>
      <c r="T908" s="79">
        <f>IF(AND(B908&lt;&gt;"",M908="",I908&lt;&gt;""),1/I908,0)</f>
        <v/>
      </c>
      <c r="U908" s="112">
        <f>IF(AND(B908&lt;&gt;"",M908="",I908&lt;&gt;""),I908,"")</f>
        <v/>
      </c>
      <c r="V908" s="79">
        <f>IF(U908="","",IF(U908&lt;AsOf,1,IF(U908&lt;=AsOf+AlertDays,2,IF(U908&lt;=AsOf+2*AlertDays,3,""))))</f>
        <v/>
      </c>
      <c r="W908" s="79">
        <f>IF(V908="","",IF(O908="OVERDUE","Overdue payment: ","Payment due: ")&amp;B908&amp;" — "&amp;C908&amp;" ("&amp;CurSym&amp;" "&amp;FIXED(S908,0)&amp;")")</f>
        <v/>
      </c>
      <c r="Z908" s="116">
        <f>IF('Contractors'!B908="","",'Contractors'!B908)</f>
        <v/>
      </c>
      <c r="AA908" s="77">
        <f>IF(Z908="","",'Contractors'!K908)</f>
        <v/>
      </c>
      <c r="AB908" s="77">
        <f>IF(Z908="","",SUMIFS($L$6:$L$1005,$B$6:$B$1005,Z908))</f>
        <v/>
      </c>
      <c r="AC908" s="77">
        <f>IF(Z908="","",SUMIFS($N$6:$N$1005,$B$6:$B$1005,Z908))</f>
        <v/>
      </c>
      <c r="AD908" s="76">
        <f>IF(Z908="","",AA908-AC908)</f>
        <v/>
      </c>
      <c r="AE908" s="117">
        <f>IF(Z908="","",IFERROR(1/SUMPRODUCT(MAX(($B$6:$B$1005=Z908)*$T$6:$T$1005)),""))</f>
        <v/>
      </c>
      <c r="AF908" s="77">
        <f>IF(AE908="","",SUMIFS($S$6:$S$1005,$B$6:$B$1005,Z908,$I$6:$I$1005,AE908))</f>
        <v/>
      </c>
    </row>
    <row r="909" ht="20" customHeight="1">
      <c r="B909" s="72" t="n"/>
      <c r="C909" s="72" t="n"/>
      <c r="D909" s="72" t="n"/>
      <c r="E909" s="72" t="n"/>
      <c r="F909" s="110" t="n"/>
      <c r="G909" s="73" t="n"/>
      <c r="H909" s="75">
        <f>IF(B909="","",IF(G909&lt;&gt;"",G909,IF(F909&lt;&gt;"",F909*IFERROR(INDEX('Contractors'!$I$6:$I$1005,MATCH(B909,'Contractors'!$B$6:$B$1005,0)),0),"")))</f>
        <v/>
      </c>
      <c r="I909" s="109" t="n"/>
      <c r="J909" s="72" t="n"/>
      <c r="K909" s="109" t="n"/>
      <c r="L909" s="73" t="n"/>
      <c r="M909" s="109" t="n"/>
      <c r="N909" s="73" t="n"/>
      <c r="O909" s="107">
        <f>IF(B909="","",IF(M909&lt;&gt;"","Paid",IF(AND(I909&lt;&gt;"",I909&lt;AsOf),"OVERDUE",IF(OR(K909&lt;&gt;"",L909&lt;&gt;""),"Invoiced","Scheduled"))))</f>
        <v/>
      </c>
      <c r="P909" s="115">
        <f>IF(B909="","",IF(E909&lt;&gt;"",E909,IFERROR(INDEX('Contractors'!$D$6:$D$1005,MATCH(B909,'Contractors'!$B$6:$B$1005,0)),"")))</f>
        <v/>
      </c>
      <c r="Q909" s="79">
        <f>IF(B909="","",IF(D909&lt;&gt;"",D909,IFERROR(INDEX('Contractors'!$E$6:$E$1005,MATCH(B909,'Contractors'!$B$6:$B$1005,0)),"")))</f>
        <v/>
      </c>
      <c r="R909" s="79">
        <f>IF(O909="","",IF(O909="OVERDUE",2,IF(O909="Paid",0,IF(AND(I909&lt;&gt;"",I909&lt;=AsOf+AlertDays),1,0))))</f>
        <v/>
      </c>
      <c r="S909" s="79">
        <f>IF(AND(B909&lt;&gt;"",M909="",I909&lt;&gt;""),IF(L909&lt;&gt;"",L909,IF(H909="",0,H909)),0)</f>
        <v/>
      </c>
      <c r="T909" s="79">
        <f>IF(AND(B909&lt;&gt;"",M909="",I909&lt;&gt;""),1/I909,0)</f>
        <v/>
      </c>
      <c r="U909" s="112">
        <f>IF(AND(B909&lt;&gt;"",M909="",I909&lt;&gt;""),I909,"")</f>
        <v/>
      </c>
      <c r="V909" s="79">
        <f>IF(U909="","",IF(U909&lt;AsOf,1,IF(U909&lt;=AsOf+AlertDays,2,IF(U909&lt;=AsOf+2*AlertDays,3,""))))</f>
        <v/>
      </c>
      <c r="W909" s="79">
        <f>IF(V909="","",IF(O909="OVERDUE","Overdue payment: ","Payment due: ")&amp;B909&amp;" — "&amp;C909&amp;" ("&amp;CurSym&amp;" "&amp;FIXED(S909,0)&amp;")")</f>
        <v/>
      </c>
      <c r="Z909" s="116">
        <f>IF('Contractors'!B909="","",'Contractors'!B909)</f>
        <v/>
      </c>
      <c r="AA909" s="77">
        <f>IF(Z909="","",'Contractors'!K909)</f>
        <v/>
      </c>
      <c r="AB909" s="77">
        <f>IF(Z909="","",SUMIFS($L$6:$L$1005,$B$6:$B$1005,Z909))</f>
        <v/>
      </c>
      <c r="AC909" s="77">
        <f>IF(Z909="","",SUMIFS($N$6:$N$1005,$B$6:$B$1005,Z909))</f>
        <v/>
      </c>
      <c r="AD909" s="76">
        <f>IF(Z909="","",AA909-AC909)</f>
        <v/>
      </c>
      <c r="AE909" s="117">
        <f>IF(Z909="","",IFERROR(1/SUMPRODUCT(MAX(($B$6:$B$1005=Z909)*$T$6:$T$1005)),""))</f>
        <v/>
      </c>
      <c r="AF909" s="77">
        <f>IF(AE909="","",SUMIFS($S$6:$S$1005,$B$6:$B$1005,Z909,$I$6:$I$1005,AE909))</f>
        <v/>
      </c>
    </row>
    <row r="910" ht="20" customHeight="1">
      <c r="B910" s="72" t="n"/>
      <c r="C910" s="72" t="n"/>
      <c r="D910" s="72" t="n"/>
      <c r="E910" s="72" t="n"/>
      <c r="F910" s="110" t="n"/>
      <c r="G910" s="73" t="n"/>
      <c r="H910" s="75">
        <f>IF(B910="","",IF(G910&lt;&gt;"",G910,IF(F910&lt;&gt;"",F910*IFERROR(INDEX('Contractors'!$I$6:$I$1005,MATCH(B910,'Contractors'!$B$6:$B$1005,0)),0),"")))</f>
        <v/>
      </c>
      <c r="I910" s="109" t="n"/>
      <c r="J910" s="72" t="n"/>
      <c r="K910" s="109" t="n"/>
      <c r="L910" s="73" t="n"/>
      <c r="M910" s="109" t="n"/>
      <c r="N910" s="73" t="n"/>
      <c r="O910" s="107">
        <f>IF(B910="","",IF(M910&lt;&gt;"","Paid",IF(AND(I910&lt;&gt;"",I910&lt;AsOf),"OVERDUE",IF(OR(K910&lt;&gt;"",L910&lt;&gt;""),"Invoiced","Scheduled"))))</f>
        <v/>
      </c>
      <c r="P910" s="115">
        <f>IF(B910="","",IF(E910&lt;&gt;"",E910,IFERROR(INDEX('Contractors'!$D$6:$D$1005,MATCH(B910,'Contractors'!$B$6:$B$1005,0)),"")))</f>
        <v/>
      </c>
      <c r="Q910" s="79">
        <f>IF(B910="","",IF(D910&lt;&gt;"",D910,IFERROR(INDEX('Contractors'!$E$6:$E$1005,MATCH(B910,'Contractors'!$B$6:$B$1005,0)),"")))</f>
        <v/>
      </c>
      <c r="R910" s="79">
        <f>IF(O910="","",IF(O910="OVERDUE",2,IF(O910="Paid",0,IF(AND(I910&lt;&gt;"",I910&lt;=AsOf+AlertDays),1,0))))</f>
        <v/>
      </c>
      <c r="S910" s="79">
        <f>IF(AND(B910&lt;&gt;"",M910="",I910&lt;&gt;""),IF(L910&lt;&gt;"",L910,IF(H910="",0,H910)),0)</f>
        <v/>
      </c>
      <c r="T910" s="79">
        <f>IF(AND(B910&lt;&gt;"",M910="",I910&lt;&gt;""),1/I910,0)</f>
        <v/>
      </c>
      <c r="U910" s="112">
        <f>IF(AND(B910&lt;&gt;"",M910="",I910&lt;&gt;""),I910,"")</f>
        <v/>
      </c>
      <c r="V910" s="79">
        <f>IF(U910="","",IF(U910&lt;AsOf,1,IF(U910&lt;=AsOf+AlertDays,2,IF(U910&lt;=AsOf+2*AlertDays,3,""))))</f>
        <v/>
      </c>
      <c r="W910" s="79">
        <f>IF(V910="","",IF(O910="OVERDUE","Overdue payment: ","Payment due: ")&amp;B910&amp;" — "&amp;C910&amp;" ("&amp;CurSym&amp;" "&amp;FIXED(S910,0)&amp;")")</f>
        <v/>
      </c>
      <c r="Z910" s="116">
        <f>IF('Contractors'!B910="","",'Contractors'!B910)</f>
        <v/>
      </c>
      <c r="AA910" s="77">
        <f>IF(Z910="","",'Contractors'!K910)</f>
        <v/>
      </c>
      <c r="AB910" s="77">
        <f>IF(Z910="","",SUMIFS($L$6:$L$1005,$B$6:$B$1005,Z910))</f>
        <v/>
      </c>
      <c r="AC910" s="77">
        <f>IF(Z910="","",SUMIFS($N$6:$N$1005,$B$6:$B$1005,Z910))</f>
        <v/>
      </c>
      <c r="AD910" s="76">
        <f>IF(Z910="","",AA910-AC910)</f>
        <v/>
      </c>
      <c r="AE910" s="117">
        <f>IF(Z910="","",IFERROR(1/SUMPRODUCT(MAX(($B$6:$B$1005=Z910)*$T$6:$T$1005)),""))</f>
        <v/>
      </c>
      <c r="AF910" s="77">
        <f>IF(AE910="","",SUMIFS($S$6:$S$1005,$B$6:$B$1005,Z910,$I$6:$I$1005,AE910))</f>
        <v/>
      </c>
    </row>
    <row r="911" ht="20" customHeight="1">
      <c r="B911" s="72" t="n"/>
      <c r="C911" s="72" t="n"/>
      <c r="D911" s="72" t="n"/>
      <c r="E911" s="72" t="n"/>
      <c r="F911" s="110" t="n"/>
      <c r="G911" s="73" t="n"/>
      <c r="H911" s="75">
        <f>IF(B911="","",IF(G911&lt;&gt;"",G911,IF(F911&lt;&gt;"",F911*IFERROR(INDEX('Contractors'!$I$6:$I$1005,MATCH(B911,'Contractors'!$B$6:$B$1005,0)),0),"")))</f>
        <v/>
      </c>
      <c r="I911" s="109" t="n"/>
      <c r="J911" s="72" t="n"/>
      <c r="K911" s="109" t="n"/>
      <c r="L911" s="73" t="n"/>
      <c r="M911" s="109" t="n"/>
      <c r="N911" s="73" t="n"/>
      <c r="O911" s="107">
        <f>IF(B911="","",IF(M911&lt;&gt;"","Paid",IF(AND(I911&lt;&gt;"",I911&lt;AsOf),"OVERDUE",IF(OR(K911&lt;&gt;"",L911&lt;&gt;""),"Invoiced","Scheduled"))))</f>
        <v/>
      </c>
      <c r="P911" s="115">
        <f>IF(B911="","",IF(E911&lt;&gt;"",E911,IFERROR(INDEX('Contractors'!$D$6:$D$1005,MATCH(B911,'Contractors'!$B$6:$B$1005,0)),"")))</f>
        <v/>
      </c>
      <c r="Q911" s="79">
        <f>IF(B911="","",IF(D911&lt;&gt;"",D911,IFERROR(INDEX('Contractors'!$E$6:$E$1005,MATCH(B911,'Contractors'!$B$6:$B$1005,0)),"")))</f>
        <v/>
      </c>
      <c r="R911" s="79">
        <f>IF(O911="","",IF(O911="OVERDUE",2,IF(O911="Paid",0,IF(AND(I911&lt;&gt;"",I911&lt;=AsOf+AlertDays),1,0))))</f>
        <v/>
      </c>
      <c r="S911" s="79">
        <f>IF(AND(B911&lt;&gt;"",M911="",I911&lt;&gt;""),IF(L911&lt;&gt;"",L911,IF(H911="",0,H911)),0)</f>
        <v/>
      </c>
      <c r="T911" s="79">
        <f>IF(AND(B911&lt;&gt;"",M911="",I911&lt;&gt;""),1/I911,0)</f>
        <v/>
      </c>
      <c r="U911" s="112">
        <f>IF(AND(B911&lt;&gt;"",M911="",I911&lt;&gt;""),I911,"")</f>
        <v/>
      </c>
      <c r="V911" s="79">
        <f>IF(U911="","",IF(U911&lt;AsOf,1,IF(U911&lt;=AsOf+AlertDays,2,IF(U911&lt;=AsOf+2*AlertDays,3,""))))</f>
        <v/>
      </c>
      <c r="W911" s="79">
        <f>IF(V911="","",IF(O911="OVERDUE","Overdue payment: ","Payment due: ")&amp;B911&amp;" — "&amp;C911&amp;" ("&amp;CurSym&amp;" "&amp;FIXED(S911,0)&amp;")")</f>
        <v/>
      </c>
      <c r="Z911" s="116">
        <f>IF('Contractors'!B911="","",'Contractors'!B911)</f>
        <v/>
      </c>
      <c r="AA911" s="77">
        <f>IF(Z911="","",'Contractors'!K911)</f>
        <v/>
      </c>
      <c r="AB911" s="77">
        <f>IF(Z911="","",SUMIFS($L$6:$L$1005,$B$6:$B$1005,Z911))</f>
        <v/>
      </c>
      <c r="AC911" s="77">
        <f>IF(Z911="","",SUMIFS($N$6:$N$1005,$B$6:$B$1005,Z911))</f>
        <v/>
      </c>
      <c r="AD911" s="76">
        <f>IF(Z911="","",AA911-AC911)</f>
        <v/>
      </c>
      <c r="AE911" s="117">
        <f>IF(Z911="","",IFERROR(1/SUMPRODUCT(MAX(($B$6:$B$1005=Z911)*$T$6:$T$1005)),""))</f>
        <v/>
      </c>
      <c r="AF911" s="77">
        <f>IF(AE911="","",SUMIFS($S$6:$S$1005,$B$6:$B$1005,Z911,$I$6:$I$1005,AE911))</f>
        <v/>
      </c>
    </row>
    <row r="912" ht="20" customHeight="1">
      <c r="B912" s="72" t="n"/>
      <c r="C912" s="72" t="n"/>
      <c r="D912" s="72" t="n"/>
      <c r="E912" s="72" t="n"/>
      <c r="F912" s="110" t="n"/>
      <c r="G912" s="73" t="n"/>
      <c r="H912" s="75">
        <f>IF(B912="","",IF(G912&lt;&gt;"",G912,IF(F912&lt;&gt;"",F912*IFERROR(INDEX('Contractors'!$I$6:$I$1005,MATCH(B912,'Contractors'!$B$6:$B$1005,0)),0),"")))</f>
        <v/>
      </c>
      <c r="I912" s="109" t="n"/>
      <c r="J912" s="72" t="n"/>
      <c r="K912" s="109" t="n"/>
      <c r="L912" s="73" t="n"/>
      <c r="M912" s="109" t="n"/>
      <c r="N912" s="73" t="n"/>
      <c r="O912" s="107">
        <f>IF(B912="","",IF(M912&lt;&gt;"","Paid",IF(AND(I912&lt;&gt;"",I912&lt;AsOf),"OVERDUE",IF(OR(K912&lt;&gt;"",L912&lt;&gt;""),"Invoiced","Scheduled"))))</f>
        <v/>
      </c>
      <c r="P912" s="115">
        <f>IF(B912="","",IF(E912&lt;&gt;"",E912,IFERROR(INDEX('Contractors'!$D$6:$D$1005,MATCH(B912,'Contractors'!$B$6:$B$1005,0)),"")))</f>
        <v/>
      </c>
      <c r="Q912" s="79">
        <f>IF(B912="","",IF(D912&lt;&gt;"",D912,IFERROR(INDEX('Contractors'!$E$6:$E$1005,MATCH(B912,'Contractors'!$B$6:$B$1005,0)),"")))</f>
        <v/>
      </c>
      <c r="R912" s="79">
        <f>IF(O912="","",IF(O912="OVERDUE",2,IF(O912="Paid",0,IF(AND(I912&lt;&gt;"",I912&lt;=AsOf+AlertDays),1,0))))</f>
        <v/>
      </c>
      <c r="S912" s="79">
        <f>IF(AND(B912&lt;&gt;"",M912="",I912&lt;&gt;""),IF(L912&lt;&gt;"",L912,IF(H912="",0,H912)),0)</f>
        <v/>
      </c>
      <c r="T912" s="79">
        <f>IF(AND(B912&lt;&gt;"",M912="",I912&lt;&gt;""),1/I912,0)</f>
        <v/>
      </c>
      <c r="U912" s="112">
        <f>IF(AND(B912&lt;&gt;"",M912="",I912&lt;&gt;""),I912,"")</f>
        <v/>
      </c>
      <c r="V912" s="79">
        <f>IF(U912="","",IF(U912&lt;AsOf,1,IF(U912&lt;=AsOf+AlertDays,2,IF(U912&lt;=AsOf+2*AlertDays,3,""))))</f>
        <v/>
      </c>
      <c r="W912" s="79">
        <f>IF(V912="","",IF(O912="OVERDUE","Overdue payment: ","Payment due: ")&amp;B912&amp;" — "&amp;C912&amp;" ("&amp;CurSym&amp;" "&amp;FIXED(S912,0)&amp;")")</f>
        <v/>
      </c>
      <c r="Z912" s="116">
        <f>IF('Contractors'!B912="","",'Contractors'!B912)</f>
        <v/>
      </c>
      <c r="AA912" s="77">
        <f>IF(Z912="","",'Contractors'!K912)</f>
        <v/>
      </c>
      <c r="AB912" s="77">
        <f>IF(Z912="","",SUMIFS($L$6:$L$1005,$B$6:$B$1005,Z912))</f>
        <v/>
      </c>
      <c r="AC912" s="77">
        <f>IF(Z912="","",SUMIFS($N$6:$N$1005,$B$6:$B$1005,Z912))</f>
        <v/>
      </c>
      <c r="AD912" s="76">
        <f>IF(Z912="","",AA912-AC912)</f>
        <v/>
      </c>
      <c r="AE912" s="117">
        <f>IF(Z912="","",IFERROR(1/SUMPRODUCT(MAX(($B$6:$B$1005=Z912)*$T$6:$T$1005)),""))</f>
        <v/>
      </c>
      <c r="AF912" s="77">
        <f>IF(AE912="","",SUMIFS($S$6:$S$1005,$B$6:$B$1005,Z912,$I$6:$I$1005,AE912))</f>
        <v/>
      </c>
    </row>
    <row r="913" ht="20" customHeight="1">
      <c r="B913" s="72" t="n"/>
      <c r="C913" s="72" t="n"/>
      <c r="D913" s="72" t="n"/>
      <c r="E913" s="72" t="n"/>
      <c r="F913" s="110" t="n"/>
      <c r="G913" s="73" t="n"/>
      <c r="H913" s="75">
        <f>IF(B913="","",IF(G913&lt;&gt;"",G913,IF(F913&lt;&gt;"",F913*IFERROR(INDEX('Contractors'!$I$6:$I$1005,MATCH(B913,'Contractors'!$B$6:$B$1005,0)),0),"")))</f>
        <v/>
      </c>
      <c r="I913" s="109" t="n"/>
      <c r="J913" s="72" t="n"/>
      <c r="K913" s="109" t="n"/>
      <c r="L913" s="73" t="n"/>
      <c r="M913" s="109" t="n"/>
      <c r="N913" s="73" t="n"/>
      <c r="O913" s="107">
        <f>IF(B913="","",IF(M913&lt;&gt;"","Paid",IF(AND(I913&lt;&gt;"",I913&lt;AsOf),"OVERDUE",IF(OR(K913&lt;&gt;"",L913&lt;&gt;""),"Invoiced","Scheduled"))))</f>
        <v/>
      </c>
      <c r="P913" s="115">
        <f>IF(B913="","",IF(E913&lt;&gt;"",E913,IFERROR(INDEX('Contractors'!$D$6:$D$1005,MATCH(B913,'Contractors'!$B$6:$B$1005,0)),"")))</f>
        <v/>
      </c>
      <c r="Q913" s="79">
        <f>IF(B913="","",IF(D913&lt;&gt;"",D913,IFERROR(INDEX('Contractors'!$E$6:$E$1005,MATCH(B913,'Contractors'!$B$6:$B$1005,0)),"")))</f>
        <v/>
      </c>
      <c r="R913" s="79">
        <f>IF(O913="","",IF(O913="OVERDUE",2,IF(O913="Paid",0,IF(AND(I913&lt;&gt;"",I913&lt;=AsOf+AlertDays),1,0))))</f>
        <v/>
      </c>
      <c r="S913" s="79">
        <f>IF(AND(B913&lt;&gt;"",M913="",I913&lt;&gt;""),IF(L913&lt;&gt;"",L913,IF(H913="",0,H913)),0)</f>
        <v/>
      </c>
      <c r="T913" s="79">
        <f>IF(AND(B913&lt;&gt;"",M913="",I913&lt;&gt;""),1/I913,0)</f>
        <v/>
      </c>
      <c r="U913" s="112">
        <f>IF(AND(B913&lt;&gt;"",M913="",I913&lt;&gt;""),I913,"")</f>
        <v/>
      </c>
      <c r="V913" s="79">
        <f>IF(U913="","",IF(U913&lt;AsOf,1,IF(U913&lt;=AsOf+AlertDays,2,IF(U913&lt;=AsOf+2*AlertDays,3,""))))</f>
        <v/>
      </c>
      <c r="W913" s="79">
        <f>IF(V913="","",IF(O913="OVERDUE","Overdue payment: ","Payment due: ")&amp;B913&amp;" — "&amp;C913&amp;" ("&amp;CurSym&amp;" "&amp;FIXED(S913,0)&amp;")")</f>
        <v/>
      </c>
      <c r="Z913" s="116">
        <f>IF('Contractors'!B913="","",'Contractors'!B913)</f>
        <v/>
      </c>
      <c r="AA913" s="77">
        <f>IF(Z913="","",'Contractors'!K913)</f>
        <v/>
      </c>
      <c r="AB913" s="77">
        <f>IF(Z913="","",SUMIFS($L$6:$L$1005,$B$6:$B$1005,Z913))</f>
        <v/>
      </c>
      <c r="AC913" s="77">
        <f>IF(Z913="","",SUMIFS($N$6:$N$1005,$B$6:$B$1005,Z913))</f>
        <v/>
      </c>
      <c r="AD913" s="76">
        <f>IF(Z913="","",AA913-AC913)</f>
        <v/>
      </c>
      <c r="AE913" s="117">
        <f>IF(Z913="","",IFERROR(1/SUMPRODUCT(MAX(($B$6:$B$1005=Z913)*$T$6:$T$1005)),""))</f>
        <v/>
      </c>
      <c r="AF913" s="77">
        <f>IF(AE913="","",SUMIFS($S$6:$S$1005,$B$6:$B$1005,Z913,$I$6:$I$1005,AE913))</f>
        <v/>
      </c>
    </row>
    <row r="914" ht="20" customHeight="1">
      <c r="B914" s="72" t="n"/>
      <c r="C914" s="72" t="n"/>
      <c r="D914" s="72" t="n"/>
      <c r="E914" s="72" t="n"/>
      <c r="F914" s="110" t="n"/>
      <c r="G914" s="73" t="n"/>
      <c r="H914" s="75">
        <f>IF(B914="","",IF(G914&lt;&gt;"",G914,IF(F914&lt;&gt;"",F914*IFERROR(INDEX('Contractors'!$I$6:$I$1005,MATCH(B914,'Contractors'!$B$6:$B$1005,0)),0),"")))</f>
        <v/>
      </c>
      <c r="I914" s="109" t="n"/>
      <c r="J914" s="72" t="n"/>
      <c r="K914" s="109" t="n"/>
      <c r="L914" s="73" t="n"/>
      <c r="M914" s="109" t="n"/>
      <c r="N914" s="73" t="n"/>
      <c r="O914" s="107">
        <f>IF(B914="","",IF(M914&lt;&gt;"","Paid",IF(AND(I914&lt;&gt;"",I914&lt;AsOf),"OVERDUE",IF(OR(K914&lt;&gt;"",L914&lt;&gt;""),"Invoiced","Scheduled"))))</f>
        <v/>
      </c>
      <c r="P914" s="115">
        <f>IF(B914="","",IF(E914&lt;&gt;"",E914,IFERROR(INDEX('Contractors'!$D$6:$D$1005,MATCH(B914,'Contractors'!$B$6:$B$1005,0)),"")))</f>
        <v/>
      </c>
      <c r="Q914" s="79">
        <f>IF(B914="","",IF(D914&lt;&gt;"",D914,IFERROR(INDEX('Contractors'!$E$6:$E$1005,MATCH(B914,'Contractors'!$B$6:$B$1005,0)),"")))</f>
        <v/>
      </c>
      <c r="R914" s="79">
        <f>IF(O914="","",IF(O914="OVERDUE",2,IF(O914="Paid",0,IF(AND(I914&lt;&gt;"",I914&lt;=AsOf+AlertDays),1,0))))</f>
        <v/>
      </c>
      <c r="S914" s="79">
        <f>IF(AND(B914&lt;&gt;"",M914="",I914&lt;&gt;""),IF(L914&lt;&gt;"",L914,IF(H914="",0,H914)),0)</f>
        <v/>
      </c>
      <c r="T914" s="79">
        <f>IF(AND(B914&lt;&gt;"",M914="",I914&lt;&gt;""),1/I914,0)</f>
        <v/>
      </c>
      <c r="U914" s="112">
        <f>IF(AND(B914&lt;&gt;"",M914="",I914&lt;&gt;""),I914,"")</f>
        <v/>
      </c>
      <c r="V914" s="79">
        <f>IF(U914="","",IF(U914&lt;AsOf,1,IF(U914&lt;=AsOf+AlertDays,2,IF(U914&lt;=AsOf+2*AlertDays,3,""))))</f>
        <v/>
      </c>
      <c r="W914" s="79">
        <f>IF(V914="","",IF(O914="OVERDUE","Overdue payment: ","Payment due: ")&amp;B914&amp;" — "&amp;C914&amp;" ("&amp;CurSym&amp;" "&amp;FIXED(S914,0)&amp;")")</f>
        <v/>
      </c>
      <c r="Z914" s="116">
        <f>IF('Contractors'!B914="","",'Contractors'!B914)</f>
        <v/>
      </c>
      <c r="AA914" s="77">
        <f>IF(Z914="","",'Contractors'!K914)</f>
        <v/>
      </c>
      <c r="AB914" s="77">
        <f>IF(Z914="","",SUMIFS($L$6:$L$1005,$B$6:$B$1005,Z914))</f>
        <v/>
      </c>
      <c r="AC914" s="77">
        <f>IF(Z914="","",SUMIFS($N$6:$N$1005,$B$6:$B$1005,Z914))</f>
        <v/>
      </c>
      <c r="AD914" s="76">
        <f>IF(Z914="","",AA914-AC914)</f>
        <v/>
      </c>
      <c r="AE914" s="117">
        <f>IF(Z914="","",IFERROR(1/SUMPRODUCT(MAX(($B$6:$B$1005=Z914)*$T$6:$T$1005)),""))</f>
        <v/>
      </c>
      <c r="AF914" s="77">
        <f>IF(AE914="","",SUMIFS($S$6:$S$1005,$B$6:$B$1005,Z914,$I$6:$I$1005,AE914))</f>
        <v/>
      </c>
    </row>
    <row r="915" ht="20" customHeight="1">
      <c r="B915" s="72" t="n"/>
      <c r="C915" s="72" t="n"/>
      <c r="D915" s="72" t="n"/>
      <c r="E915" s="72" t="n"/>
      <c r="F915" s="110" t="n"/>
      <c r="G915" s="73" t="n"/>
      <c r="H915" s="75">
        <f>IF(B915="","",IF(G915&lt;&gt;"",G915,IF(F915&lt;&gt;"",F915*IFERROR(INDEX('Contractors'!$I$6:$I$1005,MATCH(B915,'Contractors'!$B$6:$B$1005,0)),0),"")))</f>
        <v/>
      </c>
      <c r="I915" s="109" t="n"/>
      <c r="J915" s="72" t="n"/>
      <c r="K915" s="109" t="n"/>
      <c r="L915" s="73" t="n"/>
      <c r="M915" s="109" t="n"/>
      <c r="N915" s="73" t="n"/>
      <c r="O915" s="107">
        <f>IF(B915="","",IF(M915&lt;&gt;"","Paid",IF(AND(I915&lt;&gt;"",I915&lt;AsOf),"OVERDUE",IF(OR(K915&lt;&gt;"",L915&lt;&gt;""),"Invoiced","Scheduled"))))</f>
        <v/>
      </c>
      <c r="P915" s="115">
        <f>IF(B915="","",IF(E915&lt;&gt;"",E915,IFERROR(INDEX('Contractors'!$D$6:$D$1005,MATCH(B915,'Contractors'!$B$6:$B$1005,0)),"")))</f>
        <v/>
      </c>
      <c r="Q915" s="79">
        <f>IF(B915="","",IF(D915&lt;&gt;"",D915,IFERROR(INDEX('Contractors'!$E$6:$E$1005,MATCH(B915,'Contractors'!$B$6:$B$1005,0)),"")))</f>
        <v/>
      </c>
      <c r="R915" s="79">
        <f>IF(O915="","",IF(O915="OVERDUE",2,IF(O915="Paid",0,IF(AND(I915&lt;&gt;"",I915&lt;=AsOf+AlertDays),1,0))))</f>
        <v/>
      </c>
      <c r="S915" s="79">
        <f>IF(AND(B915&lt;&gt;"",M915="",I915&lt;&gt;""),IF(L915&lt;&gt;"",L915,IF(H915="",0,H915)),0)</f>
        <v/>
      </c>
      <c r="T915" s="79">
        <f>IF(AND(B915&lt;&gt;"",M915="",I915&lt;&gt;""),1/I915,0)</f>
        <v/>
      </c>
      <c r="U915" s="112">
        <f>IF(AND(B915&lt;&gt;"",M915="",I915&lt;&gt;""),I915,"")</f>
        <v/>
      </c>
      <c r="V915" s="79">
        <f>IF(U915="","",IF(U915&lt;AsOf,1,IF(U915&lt;=AsOf+AlertDays,2,IF(U915&lt;=AsOf+2*AlertDays,3,""))))</f>
        <v/>
      </c>
      <c r="W915" s="79">
        <f>IF(V915="","",IF(O915="OVERDUE","Overdue payment: ","Payment due: ")&amp;B915&amp;" — "&amp;C915&amp;" ("&amp;CurSym&amp;" "&amp;FIXED(S915,0)&amp;")")</f>
        <v/>
      </c>
      <c r="Z915" s="116">
        <f>IF('Contractors'!B915="","",'Contractors'!B915)</f>
        <v/>
      </c>
      <c r="AA915" s="77">
        <f>IF(Z915="","",'Contractors'!K915)</f>
        <v/>
      </c>
      <c r="AB915" s="77">
        <f>IF(Z915="","",SUMIFS($L$6:$L$1005,$B$6:$B$1005,Z915))</f>
        <v/>
      </c>
      <c r="AC915" s="77">
        <f>IF(Z915="","",SUMIFS($N$6:$N$1005,$B$6:$B$1005,Z915))</f>
        <v/>
      </c>
      <c r="AD915" s="76">
        <f>IF(Z915="","",AA915-AC915)</f>
        <v/>
      </c>
      <c r="AE915" s="117">
        <f>IF(Z915="","",IFERROR(1/SUMPRODUCT(MAX(($B$6:$B$1005=Z915)*$T$6:$T$1005)),""))</f>
        <v/>
      </c>
      <c r="AF915" s="77">
        <f>IF(AE915="","",SUMIFS($S$6:$S$1005,$B$6:$B$1005,Z915,$I$6:$I$1005,AE915))</f>
        <v/>
      </c>
    </row>
    <row r="916" ht="20" customHeight="1">
      <c r="B916" s="72" t="n"/>
      <c r="C916" s="72" t="n"/>
      <c r="D916" s="72" t="n"/>
      <c r="E916" s="72" t="n"/>
      <c r="F916" s="110" t="n"/>
      <c r="G916" s="73" t="n"/>
      <c r="H916" s="75">
        <f>IF(B916="","",IF(G916&lt;&gt;"",G916,IF(F916&lt;&gt;"",F916*IFERROR(INDEX('Contractors'!$I$6:$I$1005,MATCH(B916,'Contractors'!$B$6:$B$1005,0)),0),"")))</f>
        <v/>
      </c>
      <c r="I916" s="109" t="n"/>
      <c r="J916" s="72" t="n"/>
      <c r="K916" s="109" t="n"/>
      <c r="L916" s="73" t="n"/>
      <c r="M916" s="109" t="n"/>
      <c r="N916" s="73" t="n"/>
      <c r="O916" s="107">
        <f>IF(B916="","",IF(M916&lt;&gt;"","Paid",IF(AND(I916&lt;&gt;"",I916&lt;AsOf),"OVERDUE",IF(OR(K916&lt;&gt;"",L916&lt;&gt;""),"Invoiced","Scheduled"))))</f>
        <v/>
      </c>
      <c r="P916" s="115">
        <f>IF(B916="","",IF(E916&lt;&gt;"",E916,IFERROR(INDEX('Contractors'!$D$6:$D$1005,MATCH(B916,'Contractors'!$B$6:$B$1005,0)),"")))</f>
        <v/>
      </c>
      <c r="Q916" s="79">
        <f>IF(B916="","",IF(D916&lt;&gt;"",D916,IFERROR(INDEX('Contractors'!$E$6:$E$1005,MATCH(B916,'Contractors'!$B$6:$B$1005,0)),"")))</f>
        <v/>
      </c>
      <c r="R916" s="79">
        <f>IF(O916="","",IF(O916="OVERDUE",2,IF(O916="Paid",0,IF(AND(I916&lt;&gt;"",I916&lt;=AsOf+AlertDays),1,0))))</f>
        <v/>
      </c>
      <c r="S916" s="79">
        <f>IF(AND(B916&lt;&gt;"",M916="",I916&lt;&gt;""),IF(L916&lt;&gt;"",L916,IF(H916="",0,H916)),0)</f>
        <v/>
      </c>
      <c r="T916" s="79">
        <f>IF(AND(B916&lt;&gt;"",M916="",I916&lt;&gt;""),1/I916,0)</f>
        <v/>
      </c>
      <c r="U916" s="112">
        <f>IF(AND(B916&lt;&gt;"",M916="",I916&lt;&gt;""),I916,"")</f>
        <v/>
      </c>
      <c r="V916" s="79">
        <f>IF(U916="","",IF(U916&lt;AsOf,1,IF(U916&lt;=AsOf+AlertDays,2,IF(U916&lt;=AsOf+2*AlertDays,3,""))))</f>
        <v/>
      </c>
      <c r="W916" s="79">
        <f>IF(V916="","",IF(O916="OVERDUE","Overdue payment: ","Payment due: ")&amp;B916&amp;" — "&amp;C916&amp;" ("&amp;CurSym&amp;" "&amp;FIXED(S916,0)&amp;")")</f>
        <v/>
      </c>
      <c r="Z916" s="116">
        <f>IF('Contractors'!B916="","",'Contractors'!B916)</f>
        <v/>
      </c>
      <c r="AA916" s="77">
        <f>IF(Z916="","",'Contractors'!K916)</f>
        <v/>
      </c>
      <c r="AB916" s="77">
        <f>IF(Z916="","",SUMIFS($L$6:$L$1005,$B$6:$B$1005,Z916))</f>
        <v/>
      </c>
      <c r="AC916" s="77">
        <f>IF(Z916="","",SUMIFS($N$6:$N$1005,$B$6:$B$1005,Z916))</f>
        <v/>
      </c>
      <c r="AD916" s="76">
        <f>IF(Z916="","",AA916-AC916)</f>
        <v/>
      </c>
      <c r="AE916" s="117">
        <f>IF(Z916="","",IFERROR(1/SUMPRODUCT(MAX(($B$6:$B$1005=Z916)*$T$6:$T$1005)),""))</f>
        <v/>
      </c>
      <c r="AF916" s="77">
        <f>IF(AE916="","",SUMIFS($S$6:$S$1005,$B$6:$B$1005,Z916,$I$6:$I$1005,AE916))</f>
        <v/>
      </c>
    </row>
    <row r="917" ht="20" customHeight="1">
      <c r="B917" s="72" t="n"/>
      <c r="C917" s="72" t="n"/>
      <c r="D917" s="72" t="n"/>
      <c r="E917" s="72" t="n"/>
      <c r="F917" s="110" t="n"/>
      <c r="G917" s="73" t="n"/>
      <c r="H917" s="75">
        <f>IF(B917="","",IF(G917&lt;&gt;"",G917,IF(F917&lt;&gt;"",F917*IFERROR(INDEX('Contractors'!$I$6:$I$1005,MATCH(B917,'Contractors'!$B$6:$B$1005,0)),0),"")))</f>
        <v/>
      </c>
      <c r="I917" s="109" t="n"/>
      <c r="J917" s="72" t="n"/>
      <c r="K917" s="109" t="n"/>
      <c r="L917" s="73" t="n"/>
      <c r="M917" s="109" t="n"/>
      <c r="N917" s="73" t="n"/>
      <c r="O917" s="107">
        <f>IF(B917="","",IF(M917&lt;&gt;"","Paid",IF(AND(I917&lt;&gt;"",I917&lt;AsOf),"OVERDUE",IF(OR(K917&lt;&gt;"",L917&lt;&gt;""),"Invoiced","Scheduled"))))</f>
        <v/>
      </c>
      <c r="P917" s="115">
        <f>IF(B917="","",IF(E917&lt;&gt;"",E917,IFERROR(INDEX('Contractors'!$D$6:$D$1005,MATCH(B917,'Contractors'!$B$6:$B$1005,0)),"")))</f>
        <v/>
      </c>
      <c r="Q917" s="79">
        <f>IF(B917="","",IF(D917&lt;&gt;"",D917,IFERROR(INDEX('Contractors'!$E$6:$E$1005,MATCH(B917,'Contractors'!$B$6:$B$1005,0)),"")))</f>
        <v/>
      </c>
      <c r="R917" s="79">
        <f>IF(O917="","",IF(O917="OVERDUE",2,IF(O917="Paid",0,IF(AND(I917&lt;&gt;"",I917&lt;=AsOf+AlertDays),1,0))))</f>
        <v/>
      </c>
      <c r="S917" s="79">
        <f>IF(AND(B917&lt;&gt;"",M917="",I917&lt;&gt;""),IF(L917&lt;&gt;"",L917,IF(H917="",0,H917)),0)</f>
        <v/>
      </c>
      <c r="T917" s="79">
        <f>IF(AND(B917&lt;&gt;"",M917="",I917&lt;&gt;""),1/I917,0)</f>
        <v/>
      </c>
      <c r="U917" s="112">
        <f>IF(AND(B917&lt;&gt;"",M917="",I917&lt;&gt;""),I917,"")</f>
        <v/>
      </c>
      <c r="V917" s="79">
        <f>IF(U917="","",IF(U917&lt;AsOf,1,IF(U917&lt;=AsOf+AlertDays,2,IF(U917&lt;=AsOf+2*AlertDays,3,""))))</f>
        <v/>
      </c>
      <c r="W917" s="79">
        <f>IF(V917="","",IF(O917="OVERDUE","Overdue payment: ","Payment due: ")&amp;B917&amp;" — "&amp;C917&amp;" ("&amp;CurSym&amp;" "&amp;FIXED(S917,0)&amp;")")</f>
        <v/>
      </c>
      <c r="Z917" s="116">
        <f>IF('Contractors'!B917="","",'Contractors'!B917)</f>
        <v/>
      </c>
      <c r="AA917" s="77">
        <f>IF(Z917="","",'Contractors'!K917)</f>
        <v/>
      </c>
      <c r="AB917" s="77">
        <f>IF(Z917="","",SUMIFS($L$6:$L$1005,$B$6:$B$1005,Z917))</f>
        <v/>
      </c>
      <c r="AC917" s="77">
        <f>IF(Z917="","",SUMIFS($N$6:$N$1005,$B$6:$B$1005,Z917))</f>
        <v/>
      </c>
      <c r="AD917" s="76">
        <f>IF(Z917="","",AA917-AC917)</f>
        <v/>
      </c>
      <c r="AE917" s="117">
        <f>IF(Z917="","",IFERROR(1/SUMPRODUCT(MAX(($B$6:$B$1005=Z917)*$T$6:$T$1005)),""))</f>
        <v/>
      </c>
      <c r="AF917" s="77">
        <f>IF(AE917="","",SUMIFS($S$6:$S$1005,$B$6:$B$1005,Z917,$I$6:$I$1005,AE917))</f>
        <v/>
      </c>
    </row>
    <row r="918" ht="20" customHeight="1">
      <c r="B918" s="72" t="n"/>
      <c r="C918" s="72" t="n"/>
      <c r="D918" s="72" t="n"/>
      <c r="E918" s="72" t="n"/>
      <c r="F918" s="110" t="n"/>
      <c r="G918" s="73" t="n"/>
      <c r="H918" s="75">
        <f>IF(B918="","",IF(G918&lt;&gt;"",G918,IF(F918&lt;&gt;"",F918*IFERROR(INDEX('Contractors'!$I$6:$I$1005,MATCH(B918,'Contractors'!$B$6:$B$1005,0)),0),"")))</f>
        <v/>
      </c>
      <c r="I918" s="109" t="n"/>
      <c r="J918" s="72" t="n"/>
      <c r="K918" s="109" t="n"/>
      <c r="L918" s="73" t="n"/>
      <c r="M918" s="109" t="n"/>
      <c r="N918" s="73" t="n"/>
      <c r="O918" s="107">
        <f>IF(B918="","",IF(M918&lt;&gt;"","Paid",IF(AND(I918&lt;&gt;"",I918&lt;AsOf),"OVERDUE",IF(OR(K918&lt;&gt;"",L918&lt;&gt;""),"Invoiced","Scheduled"))))</f>
        <v/>
      </c>
      <c r="P918" s="115">
        <f>IF(B918="","",IF(E918&lt;&gt;"",E918,IFERROR(INDEX('Contractors'!$D$6:$D$1005,MATCH(B918,'Contractors'!$B$6:$B$1005,0)),"")))</f>
        <v/>
      </c>
      <c r="Q918" s="79">
        <f>IF(B918="","",IF(D918&lt;&gt;"",D918,IFERROR(INDEX('Contractors'!$E$6:$E$1005,MATCH(B918,'Contractors'!$B$6:$B$1005,0)),"")))</f>
        <v/>
      </c>
      <c r="R918" s="79">
        <f>IF(O918="","",IF(O918="OVERDUE",2,IF(O918="Paid",0,IF(AND(I918&lt;&gt;"",I918&lt;=AsOf+AlertDays),1,0))))</f>
        <v/>
      </c>
      <c r="S918" s="79">
        <f>IF(AND(B918&lt;&gt;"",M918="",I918&lt;&gt;""),IF(L918&lt;&gt;"",L918,IF(H918="",0,H918)),0)</f>
        <v/>
      </c>
      <c r="T918" s="79">
        <f>IF(AND(B918&lt;&gt;"",M918="",I918&lt;&gt;""),1/I918,0)</f>
        <v/>
      </c>
      <c r="U918" s="112">
        <f>IF(AND(B918&lt;&gt;"",M918="",I918&lt;&gt;""),I918,"")</f>
        <v/>
      </c>
      <c r="V918" s="79">
        <f>IF(U918="","",IF(U918&lt;AsOf,1,IF(U918&lt;=AsOf+AlertDays,2,IF(U918&lt;=AsOf+2*AlertDays,3,""))))</f>
        <v/>
      </c>
      <c r="W918" s="79">
        <f>IF(V918="","",IF(O918="OVERDUE","Overdue payment: ","Payment due: ")&amp;B918&amp;" — "&amp;C918&amp;" ("&amp;CurSym&amp;" "&amp;FIXED(S918,0)&amp;")")</f>
        <v/>
      </c>
      <c r="Z918" s="116">
        <f>IF('Contractors'!B918="","",'Contractors'!B918)</f>
        <v/>
      </c>
      <c r="AA918" s="77">
        <f>IF(Z918="","",'Contractors'!K918)</f>
        <v/>
      </c>
      <c r="AB918" s="77">
        <f>IF(Z918="","",SUMIFS($L$6:$L$1005,$B$6:$B$1005,Z918))</f>
        <v/>
      </c>
      <c r="AC918" s="77">
        <f>IF(Z918="","",SUMIFS($N$6:$N$1005,$B$6:$B$1005,Z918))</f>
        <v/>
      </c>
      <c r="AD918" s="76">
        <f>IF(Z918="","",AA918-AC918)</f>
        <v/>
      </c>
      <c r="AE918" s="117">
        <f>IF(Z918="","",IFERROR(1/SUMPRODUCT(MAX(($B$6:$B$1005=Z918)*$T$6:$T$1005)),""))</f>
        <v/>
      </c>
      <c r="AF918" s="77">
        <f>IF(AE918="","",SUMIFS($S$6:$S$1005,$B$6:$B$1005,Z918,$I$6:$I$1005,AE918))</f>
        <v/>
      </c>
    </row>
    <row r="919" ht="20" customHeight="1">
      <c r="B919" s="72" t="n"/>
      <c r="C919" s="72" t="n"/>
      <c r="D919" s="72" t="n"/>
      <c r="E919" s="72" t="n"/>
      <c r="F919" s="110" t="n"/>
      <c r="G919" s="73" t="n"/>
      <c r="H919" s="75">
        <f>IF(B919="","",IF(G919&lt;&gt;"",G919,IF(F919&lt;&gt;"",F919*IFERROR(INDEX('Contractors'!$I$6:$I$1005,MATCH(B919,'Contractors'!$B$6:$B$1005,0)),0),"")))</f>
        <v/>
      </c>
      <c r="I919" s="109" t="n"/>
      <c r="J919" s="72" t="n"/>
      <c r="K919" s="109" t="n"/>
      <c r="L919" s="73" t="n"/>
      <c r="M919" s="109" t="n"/>
      <c r="N919" s="73" t="n"/>
      <c r="O919" s="107">
        <f>IF(B919="","",IF(M919&lt;&gt;"","Paid",IF(AND(I919&lt;&gt;"",I919&lt;AsOf),"OVERDUE",IF(OR(K919&lt;&gt;"",L919&lt;&gt;""),"Invoiced","Scheduled"))))</f>
        <v/>
      </c>
      <c r="P919" s="115">
        <f>IF(B919="","",IF(E919&lt;&gt;"",E919,IFERROR(INDEX('Contractors'!$D$6:$D$1005,MATCH(B919,'Contractors'!$B$6:$B$1005,0)),"")))</f>
        <v/>
      </c>
      <c r="Q919" s="79">
        <f>IF(B919="","",IF(D919&lt;&gt;"",D919,IFERROR(INDEX('Contractors'!$E$6:$E$1005,MATCH(B919,'Contractors'!$B$6:$B$1005,0)),"")))</f>
        <v/>
      </c>
      <c r="R919" s="79">
        <f>IF(O919="","",IF(O919="OVERDUE",2,IF(O919="Paid",0,IF(AND(I919&lt;&gt;"",I919&lt;=AsOf+AlertDays),1,0))))</f>
        <v/>
      </c>
      <c r="S919" s="79">
        <f>IF(AND(B919&lt;&gt;"",M919="",I919&lt;&gt;""),IF(L919&lt;&gt;"",L919,IF(H919="",0,H919)),0)</f>
        <v/>
      </c>
      <c r="T919" s="79">
        <f>IF(AND(B919&lt;&gt;"",M919="",I919&lt;&gt;""),1/I919,0)</f>
        <v/>
      </c>
      <c r="U919" s="112">
        <f>IF(AND(B919&lt;&gt;"",M919="",I919&lt;&gt;""),I919,"")</f>
        <v/>
      </c>
      <c r="V919" s="79">
        <f>IF(U919="","",IF(U919&lt;AsOf,1,IF(U919&lt;=AsOf+AlertDays,2,IF(U919&lt;=AsOf+2*AlertDays,3,""))))</f>
        <v/>
      </c>
      <c r="W919" s="79">
        <f>IF(V919="","",IF(O919="OVERDUE","Overdue payment: ","Payment due: ")&amp;B919&amp;" — "&amp;C919&amp;" ("&amp;CurSym&amp;" "&amp;FIXED(S919,0)&amp;")")</f>
        <v/>
      </c>
      <c r="Z919" s="116">
        <f>IF('Contractors'!B919="","",'Contractors'!B919)</f>
        <v/>
      </c>
      <c r="AA919" s="77">
        <f>IF(Z919="","",'Contractors'!K919)</f>
        <v/>
      </c>
      <c r="AB919" s="77">
        <f>IF(Z919="","",SUMIFS($L$6:$L$1005,$B$6:$B$1005,Z919))</f>
        <v/>
      </c>
      <c r="AC919" s="77">
        <f>IF(Z919="","",SUMIFS($N$6:$N$1005,$B$6:$B$1005,Z919))</f>
        <v/>
      </c>
      <c r="AD919" s="76">
        <f>IF(Z919="","",AA919-AC919)</f>
        <v/>
      </c>
      <c r="AE919" s="117">
        <f>IF(Z919="","",IFERROR(1/SUMPRODUCT(MAX(($B$6:$B$1005=Z919)*$T$6:$T$1005)),""))</f>
        <v/>
      </c>
      <c r="AF919" s="77">
        <f>IF(AE919="","",SUMIFS($S$6:$S$1005,$B$6:$B$1005,Z919,$I$6:$I$1005,AE919))</f>
        <v/>
      </c>
    </row>
    <row r="920" ht="20" customHeight="1">
      <c r="B920" s="72" t="n"/>
      <c r="C920" s="72" t="n"/>
      <c r="D920" s="72" t="n"/>
      <c r="E920" s="72" t="n"/>
      <c r="F920" s="110" t="n"/>
      <c r="G920" s="73" t="n"/>
      <c r="H920" s="75">
        <f>IF(B920="","",IF(G920&lt;&gt;"",G920,IF(F920&lt;&gt;"",F920*IFERROR(INDEX('Contractors'!$I$6:$I$1005,MATCH(B920,'Contractors'!$B$6:$B$1005,0)),0),"")))</f>
        <v/>
      </c>
      <c r="I920" s="109" t="n"/>
      <c r="J920" s="72" t="n"/>
      <c r="K920" s="109" t="n"/>
      <c r="L920" s="73" t="n"/>
      <c r="M920" s="109" t="n"/>
      <c r="N920" s="73" t="n"/>
      <c r="O920" s="107">
        <f>IF(B920="","",IF(M920&lt;&gt;"","Paid",IF(AND(I920&lt;&gt;"",I920&lt;AsOf),"OVERDUE",IF(OR(K920&lt;&gt;"",L920&lt;&gt;""),"Invoiced","Scheduled"))))</f>
        <v/>
      </c>
      <c r="P920" s="115">
        <f>IF(B920="","",IF(E920&lt;&gt;"",E920,IFERROR(INDEX('Contractors'!$D$6:$D$1005,MATCH(B920,'Contractors'!$B$6:$B$1005,0)),"")))</f>
        <v/>
      </c>
      <c r="Q920" s="79">
        <f>IF(B920="","",IF(D920&lt;&gt;"",D920,IFERROR(INDEX('Contractors'!$E$6:$E$1005,MATCH(B920,'Contractors'!$B$6:$B$1005,0)),"")))</f>
        <v/>
      </c>
      <c r="R920" s="79">
        <f>IF(O920="","",IF(O920="OVERDUE",2,IF(O920="Paid",0,IF(AND(I920&lt;&gt;"",I920&lt;=AsOf+AlertDays),1,0))))</f>
        <v/>
      </c>
      <c r="S920" s="79">
        <f>IF(AND(B920&lt;&gt;"",M920="",I920&lt;&gt;""),IF(L920&lt;&gt;"",L920,IF(H920="",0,H920)),0)</f>
        <v/>
      </c>
      <c r="T920" s="79">
        <f>IF(AND(B920&lt;&gt;"",M920="",I920&lt;&gt;""),1/I920,0)</f>
        <v/>
      </c>
      <c r="U920" s="112">
        <f>IF(AND(B920&lt;&gt;"",M920="",I920&lt;&gt;""),I920,"")</f>
        <v/>
      </c>
      <c r="V920" s="79">
        <f>IF(U920="","",IF(U920&lt;AsOf,1,IF(U920&lt;=AsOf+AlertDays,2,IF(U920&lt;=AsOf+2*AlertDays,3,""))))</f>
        <v/>
      </c>
      <c r="W920" s="79">
        <f>IF(V920="","",IF(O920="OVERDUE","Overdue payment: ","Payment due: ")&amp;B920&amp;" — "&amp;C920&amp;" ("&amp;CurSym&amp;" "&amp;FIXED(S920,0)&amp;")")</f>
        <v/>
      </c>
      <c r="Z920" s="116">
        <f>IF('Contractors'!B920="","",'Contractors'!B920)</f>
        <v/>
      </c>
      <c r="AA920" s="77">
        <f>IF(Z920="","",'Contractors'!K920)</f>
        <v/>
      </c>
      <c r="AB920" s="77">
        <f>IF(Z920="","",SUMIFS($L$6:$L$1005,$B$6:$B$1005,Z920))</f>
        <v/>
      </c>
      <c r="AC920" s="77">
        <f>IF(Z920="","",SUMIFS($N$6:$N$1005,$B$6:$B$1005,Z920))</f>
        <v/>
      </c>
      <c r="AD920" s="76">
        <f>IF(Z920="","",AA920-AC920)</f>
        <v/>
      </c>
      <c r="AE920" s="117">
        <f>IF(Z920="","",IFERROR(1/SUMPRODUCT(MAX(($B$6:$B$1005=Z920)*$T$6:$T$1005)),""))</f>
        <v/>
      </c>
      <c r="AF920" s="77">
        <f>IF(AE920="","",SUMIFS($S$6:$S$1005,$B$6:$B$1005,Z920,$I$6:$I$1005,AE920))</f>
        <v/>
      </c>
    </row>
    <row r="921" ht="20" customHeight="1">
      <c r="B921" s="72" t="n"/>
      <c r="C921" s="72" t="n"/>
      <c r="D921" s="72" t="n"/>
      <c r="E921" s="72" t="n"/>
      <c r="F921" s="110" t="n"/>
      <c r="G921" s="73" t="n"/>
      <c r="H921" s="75">
        <f>IF(B921="","",IF(G921&lt;&gt;"",G921,IF(F921&lt;&gt;"",F921*IFERROR(INDEX('Contractors'!$I$6:$I$1005,MATCH(B921,'Contractors'!$B$6:$B$1005,0)),0),"")))</f>
        <v/>
      </c>
      <c r="I921" s="109" t="n"/>
      <c r="J921" s="72" t="n"/>
      <c r="K921" s="109" t="n"/>
      <c r="L921" s="73" t="n"/>
      <c r="M921" s="109" t="n"/>
      <c r="N921" s="73" t="n"/>
      <c r="O921" s="107">
        <f>IF(B921="","",IF(M921&lt;&gt;"","Paid",IF(AND(I921&lt;&gt;"",I921&lt;AsOf),"OVERDUE",IF(OR(K921&lt;&gt;"",L921&lt;&gt;""),"Invoiced","Scheduled"))))</f>
        <v/>
      </c>
      <c r="P921" s="115">
        <f>IF(B921="","",IF(E921&lt;&gt;"",E921,IFERROR(INDEX('Contractors'!$D$6:$D$1005,MATCH(B921,'Contractors'!$B$6:$B$1005,0)),"")))</f>
        <v/>
      </c>
      <c r="Q921" s="79">
        <f>IF(B921="","",IF(D921&lt;&gt;"",D921,IFERROR(INDEX('Contractors'!$E$6:$E$1005,MATCH(B921,'Contractors'!$B$6:$B$1005,0)),"")))</f>
        <v/>
      </c>
      <c r="R921" s="79">
        <f>IF(O921="","",IF(O921="OVERDUE",2,IF(O921="Paid",0,IF(AND(I921&lt;&gt;"",I921&lt;=AsOf+AlertDays),1,0))))</f>
        <v/>
      </c>
      <c r="S921" s="79">
        <f>IF(AND(B921&lt;&gt;"",M921="",I921&lt;&gt;""),IF(L921&lt;&gt;"",L921,IF(H921="",0,H921)),0)</f>
        <v/>
      </c>
      <c r="T921" s="79">
        <f>IF(AND(B921&lt;&gt;"",M921="",I921&lt;&gt;""),1/I921,0)</f>
        <v/>
      </c>
      <c r="U921" s="112">
        <f>IF(AND(B921&lt;&gt;"",M921="",I921&lt;&gt;""),I921,"")</f>
        <v/>
      </c>
      <c r="V921" s="79">
        <f>IF(U921="","",IF(U921&lt;AsOf,1,IF(U921&lt;=AsOf+AlertDays,2,IF(U921&lt;=AsOf+2*AlertDays,3,""))))</f>
        <v/>
      </c>
      <c r="W921" s="79">
        <f>IF(V921="","",IF(O921="OVERDUE","Overdue payment: ","Payment due: ")&amp;B921&amp;" — "&amp;C921&amp;" ("&amp;CurSym&amp;" "&amp;FIXED(S921,0)&amp;")")</f>
        <v/>
      </c>
      <c r="Z921" s="116">
        <f>IF('Contractors'!B921="","",'Contractors'!B921)</f>
        <v/>
      </c>
      <c r="AA921" s="77">
        <f>IF(Z921="","",'Contractors'!K921)</f>
        <v/>
      </c>
      <c r="AB921" s="77">
        <f>IF(Z921="","",SUMIFS($L$6:$L$1005,$B$6:$B$1005,Z921))</f>
        <v/>
      </c>
      <c r="AC921" s="77">
        <f>IF(Z921="","",SUMIFS($N$6:$N$1005,$B$6:$B$1005,Z921))</f>
        <v/>
      </c>
      <c r="AD921" s="76">
        <f>IF(Z921="","",AA921-AC921)</f>
        <v/>
      </c>
      <c r="AE921" s="117">
        <f>IF(Z921="","",IFERROR(1/SUMPRODUCT(MAX(($B$6:$B$1005=Z921)*$T$6:$T$1005)),""))</f>
        <v/>
      </c>
      <c r="AF921" s="77">
        <f>IF(AE921="","",SUMIFS($S$6:$S$1005,$B$6:$B$1005,Z921,$I$6:$I$1005,AE921))</f>
        <v/>
      </c>
    </row>
    <row r="922" ht="20" customHeight="1">
      <c r="B922" s="72" t="n"/>
      <c r="C922" s="72" t="n"/>
      <c r="D922" s="72" t="n"/>
      <c r="E922" s="72" t="n"/>
      <c r="F922" s="110" t="n"/>
      <c r="G922" s="73" t="n"/>
      <c r="H922" s="75">
        <f>IF(B922="","",IF(G922&lt;&gt;"",G922,IF(F922&lt;&gt;"",F922*IFERROR(INDEX('Contractors'!$I$6:$I$1005,MATCH(B922,'Contractors'!$B$6:$B$1005,0)),0),"")))</f>
        <v/>
      </c>
      <c r="I922" s="109" t="n"/>
      <c r="J922" s="72" t="n"/>
      <c r="K922" s="109" t="n"/>
      <c r="L922" s="73" t="n"/>
      <c r="M922" s="109" t="n"/>
      <c r="N922" s="73" t="n"/>
      <c r="O922" s="107">
        <f>IF(B922="","",IF(M922&lt;&gt;"","Paid",IF(AND(I922&lt;&gt;"",I922&lt;AsOf),"OVERDUE",IF(OR(K922&lt;&gt;"",L922&lt;&gt;""),"Invoiced","Scheduled"))))</f>
        <v/>
      </c>
      <c r="P922" s="115">
        <f>IF(B922="","",IF(E922&lt;&gt;"",E922,IFERROR(INDEX('Contractors'!$D$6:$D$1005,MATCH(B922,'Contractors'!$B$6:$B$1005,0)),"")))</f>
        <v/>
      </c>
      <c r="Q922" s="79">
        <f>IF(B922="","",IF(D922&lt;&gt;"",D922,IFERROR(INDEX('Contractors'!$E$6:$E$1005,MATCH(B922,'Contractors'!$B$6:$B$1005,0)),"")))</f>
        <v/>
      </c>
      <c r="R922" s="79">
        <f>IF(O922="","",IF(O922="OVERDUE",2,IF(O922="Paid",0,IF(AND(I922&lt;&gt;"",I922&lt;=AsOf+AlertDays),1,0))))</f>
        <v/>
      </c>
      <c r="S922" s="79">
        <f>IF(AND(B922&lt;&gt;"",M922="",I922&lt;&gt;""),IF(L922&lt;&gt;"",L922,IF(H922="",0,H922)),0)</f>
        <v/>
      </c>
      <c r="T922" s="79">
        <f>IF(AND(B922&lt;&gt;"",M922="",I922&lt;&gt;""),1/I922,0)</f>
        <v/>
      </c>
      <c r="U922" s="112">
        <f>IF(AND(B922&lt;&gt;"",M922="",I922&lt;&gt;""),I922,"")</f>
        <v/>
      </c>
      <c r="V922" s="79">
        <f>IF(U922="","",IF(U922&lt;AsOf,1,IF(U922&lt;=AsOf+AlertDays,2,IF(U922&lt;=AsOf+2*AlertDays,3,""))))</f>
        <v/>
      </c>
      <c r="W922" s="79">
        <f>IF(V922="","",IF(O922="OVERDUE","Overdue payment: ","Payment due: ")&amp;B922&amp;" — "&amp;C922&amp;" ("&amp;CurSym&amp;" "&amp;FIXED(S922,0)&amp;")")</f>
        <v/>
      </c>
      <c r="Z922" s="116">
        <f>IF('Contractors'!B922="","",'Contractors'!B922)</f>
        <v/>
      </c>
      <c r="AA922" s="77">
        <f>IF(Z922="","",'Contractors'!K922)</f>
        <v/>
      </c>
      <c r="AB922" s="77">
        <f>IF(Z922="","",SUMIFS($L$6:$L$1005,$B$6:$B$1005,Z922))</f>
        <v/>
      </c>
      <c r="AC922" s="77">
        <f>IF(Z922="","",SUMIFS($N$6:$N$1005,$B$6:$B$1005,Z922))</f>
        <v/>
      </c>
      <c r="AD922" s="76">
        <f>IF(Z922="","",AA922-AC922)</f>
        <v/>
      </c>
      <c r="AE922" s="117">
        <f>IF(Z922="","",IFERROR(1/SUMPRODUCT(MAX(($B$6:$B$1005=Z922)*$T$6:$T$1005)),""))</f>
        <v/>
      </c>
      <c r="AF922" s="77">
        <f>IF(AE922="","",SUMIFS($S$6:$S$1005,$B$6:$B$1005,Z922,$I$6:$I$1005,AE922))</f>
        <v/>
      </c>
    </row>
    <row r="923" ht="20" customHeight="1">
      <c r="B923" s="72" t="n"/>
      <c r="C923" s="72" t="n"/>
      <c r="D923" s="72" t="n"/>
      <c r="E923" s="72" t="n"/>
      <c r="F923" s="110" t="n"/>
      <c r="G923" s="73" t="n"/>
      <c r="H923" s="75">
        <f>IF(B923="","",IF(G923&lt;&gt;"",G923,IF(F923&lt;&gt;"",F923*IFERROR(INDEX('Contractors'!$I$6:$I$1005,MATCH(B923,'Contractors'!$B$6:$B$1005,0)),0),"")))</f>
        <v/>
      </c>
      <c r="I923" s="109" t="n"/>
      <c r="J923" s="72" t="n"/>
      <c r="K923" s="109" t="n"/>
      <c r="L923" s="73" t="n"/>
      <c r="M923" s="109" t="n"/>
      <c r="N923" s="73" t="n"/>
      <c r="O923" s="107">
        <f>IF(B923="","",IF(M923&lt;&gt;"","Paid",IF(AND(I923&lt;&gt;"",I923&lt;AsOf),"OVERDUE",IF(OR(K923&lt;&gt;"",L923&lt;&gt;""),"Invoiced","Scheduled"))))</f>
        <v/>
      </c>
      <c r="P923" s="115">
        <f>IF(B923="","",IF(E923&lt;&gt;"",E923,IFERROR(INDEX('Contractors'!$D$6:$D$1005,MATCH(B923,'Contractors'!$B$6:$B$1005,0)),"")))</f>
        <v/>
      </c>
      <c r="Q923" s="79">
        <f>IF(B923="","",IF(D923&lt;&gt;"",D923,IFERROR(INDEX('Contractors'!$E$6:$E$1005,MATCH(B923,'Contractors'!$B$6:$B$1005,0)),"")))</f>
        <v/>
      </c>
      <c r="R923" s="79">
        <f>IF(O923="","",IF(O923="OVERDUE",2,IF(O923="Paid",0,IF(AND(I923&lt;&gt;"",I923&lt;=AsOf+AlertDays),1,0))))</f>
        <v/>
      </c>
      <c r="S923" s="79">
        <f>IF(AND(B923&lt;&gt;"",M923="",I923&lt;&gt;""),IF(L923&lt;&gt;"",L923,IF(H923="",0,H923)),0)</f>
        <v/>
      </c>
      <c r="T923" s="79">
        <f>IF(AND(B923&lt;&gt;"",M923="",I923&lt;&gt;""),1/I923,0)</f>
        <v/>
      </c>
      <c r="U923" s="112">
        <f>IF(AND(B923&lt;&gt;"",M923="",I923&lt;&gt;""),I923,"")</f>
        <v/>
      </c>
      <c r="V923" s="79">
        <f>IF(U923="","",IF(U923&lt;AsOf,1,IF(U923&lt;=AsOf+AlertDays,2,IF(U923&lt;=AsOf+2*AlertDays,3,""))))</f>
        <v/>
      </c>
      <c r="W923" s="79">
        <f>IF(V923="","",IF(O923="OVERDUE","Overdue payment: ","Payment due: ")&amp;B923&amp;" — "&amp;C923&amp;" ("&amp;CurSym&amp;" "&amp;FIXED(S923,0)&amp;")")</f>
        <v/>
      </c>
      <c r="Z923" s="116">
        <f>IF('Contractors'!B923="","",'Contractors'!B923)</f>
        <v/>
      </c>
      <c r="AA923" s="77">
        <f>IF(Z923="","",'Contractors'!K923)</f>
        <v/>
      </c>
      <c r="AB923" s="77">
        <f>IF(Z923="","",SUMIFS($L$6:$L$1005,$B$6:$B$1005,Z923))</f>
        <v/>
      </c>
      <c r="AC923" s="77">
        <f>IF(Z923="","",SUMIFS($N$6:$N$1005,$B$6:$B$1005,Z923))</f>
        <v/>
      </c>
      <c r="AD923" s="76">
        <f>IF(Z923="","",AA923-AC923)</f>
        <v/>
      </c>
      <c r="AE923" s="117">
        <f>IF(Z923="","",IFERROR(1/SUMPRODUCT(MAX(($B$6:$B$1005=Z923)*$T$6:$T$1005)),""))</f>
        <v/>
      </c>
      <c r="AF923" s="77">
        <f>IF(AE923="","",SUMIFS($S$6:$S$1005,$B$6:$B$1005,Z923,$I$6:$I$1005,AE923))</f>
        <v/>
      </c>
    </row>
    <row r="924" ht="20" customHeight="1">
      <c r="B924" s="72" t="n"/>
      <c r="C924" s="72" t="n"/>
      <c r="D924" s="72" t="n"/>
      <c r="E924" s="72" t="n"/>
      <c r="F924" s="110" t="n"/>
      <c r="G924" s="73" t="n"/>
      <c r="H924" s="75">
        <f>IF(B924="","",IF(G924&lt;&gt;"",G924,IF(F924&lt;&gt;"",F924*IFERROR(INDEX('Contractors'!$I$6:$I$1005,MATCH(B924,'Contractors'!$B$6:$B$1005,0)),0),"")))</f>
        <v/>
      </c>
      <c r="I924" s="109" t="n"/>
      <c r="J924" s="72" t="n"/>
      <c r="K924" s="109" t="n"/>
      <c r="L924" s="73" t="n"/>
      <c r="M924" s="109" t="n"/>
      <c r="N924" s="73" t="n"/>
      <c r="O924" s="107">
        <f>IF(B924="","",IF(M924&lt;&gt;"","Paid",IF(AND(I924&lt;&gt;"",I924&lt;AsOf),"OVERDUE",IF(OR(K924&lt;&gt;"",L924&lt;&gt;""),"Invoiced","Scheduled"))))</f>
        <v/>
      </c>
      <c r="P924" s="115">
        <f>IF(B924="","",IF(E924&lt;&gt;"",E924,IFERROR(INDEX('Contractors'!$D$6:$D$1005,MATCH(B924,'Contractors'!$B$6:$B$1005,0)),"")))</f>
        <v/>
      </c>
      <c r="Q924" s="79">
        <f>IF(B924="","",IF(D924&lt;&gt;"",D924,IFERROR(INDEX('Contractors'!$E$6:$E$1005,MATCH(B924,'Contractors'!$B$6:$B$1005,0)),"")))</f>
        <v/>
      </c>
      <c r="R924" s="79">
        <f>IF(O924="","",IF(O924="OVERDUE",2,IF(O924="Paid",0,IF(AND(I924&lt;&gt;"",I924&lt;=AsOf+AlertDays),1,0))))</f>
        <v/>
      </c>
      <c r="S924" s="79">
        <f>IF(AND(B924&lt;&gt;"",M924="",I924&lt;&gt;""),IF(L924&lt;&gt;"",L924,IF(H924="",0,H924)),0)</f>
        <v/>
      </c>
      <c r="T924" s="79">
        <f>IF(AND(B924&lt;&gt;"",M924="",I924&lt;&gt;""),1/I924,0)</f>
        <v/>
      </c>
      <c r="U924" s="112">
        <f>IF(AND(B924&lt;&gt;"",M924="",I924&lt;&gt;""),I924,"")</f>
        <v/>
      </c>
      <c r="V924" s="79">
        <f>IF(U924="","",IF(U924&lt;AsOf,1,IF(U924&lt;=AsOf+AlertDays,2,IF(U924&lt;=AsOf+2*AlertDays,3,""))))</f>
        <v/>
      </c>
      <c r="W924" s="79">
        <f>IF(V924="","",IF(O924="OVERDUE","Overdue payment: ","Payment due: ")&amp;B924&amp;" — "&amp;C924&amp;" ("&amp;CurSym&amp;" "&amp;FIXED(S924,0)&amp;")")</f>
        <v/>
      </c>
      <c r="Z924" s="116">
        <f>IF('Contractors'!B924="","",'Contractors'!B924)</f>
        <v/>
      </c>
      <c r="AA924" s="77">
        <f>IF(Z924="","",'Contractors'!K924)</f>
        <v/>
      </c>
      <c r="AB924" s="77">
        <f>IF(Z924="","",SUMIFS($L$6:$L$1005,$B$6:$B$1005,Z924))</f>
        <v/>
      </c>
      <c r="AC924" s="77">
        <f>IF(Z924="","",SUMIFS($N$6:$N$1005,$B$6:$B$1005,Z924))</f>
        <v/>
      </c>
      <c r="AD924" s="76">
        <f>IF(Z924="","",AA924-AC924)</f>
        <v/>
      </c>
      <c r="AE924" s="117">
        <f>IF(Z924="","",IFERROR(1/SUMPRODUCT(MAX(($B$6:$B$1005=Z924)*$T$6:$T$1005)),""))</f>
        <v/>
      </c>
      <c r="AF924" s="77">
        <f>IF(AE924="","",SUMIFS($S$6:$S$1005,$B$6:$B$1005,Z924,$I$6:$I$1005,AE924))</f>
        <v/>
      </c>
    </row>
    <row r="925" ht="20" customHeight="1">
      <c r="B925" s="72" t="n"/>
      <c r="C925" s="72" t="n"/>
      <c r="D925" s="72" t="n"/>
      <c r="E925" s="72" t="n"/>
      <c r="F925" s="110" t="n"/>
      <c r="G925" s="73" t="n"/>
      <c r="H925" s="75">
        <f>IF(B925="","",IF(G925&lt;&gt;"",G925,IF(F925&lt;&gt;"",F925*IFERROR(INDEX('Contractors'!$I$6:$I$1005,MATCH(B925,'Contractors'!$B$6:$B$1005,0)),0),"")))</f>
        <v/>
      </c>
      <c r="I925" s="109" t="n"/>
      <c r="J925" s="72" t="n"/>
      <c r="K925" s="109" t="n"/>
      <c r="L925" s="73" t="n"/>
      <c r="M925" s="109" t="n"/>
      <c r="N925" s="73" t="n"/>
      <c r="O925" s="107">
        <f>IF(B925="","",IF(M925&lt;&gt;"","Paid",IF(AND(I925&lt;&gt;"",I925&lt;AsOf),"OVERDUE",IF(OR(K925&lt;&gt;"",L925&lt;&gt;""),"Invoiced","Scheduled"))))</f>
        <v/>
      </c>
      <c r="P925" s="115">
        <f>IF(B925="","",IF(E925&lt;&gt;"",E925,IFERROR(INDEX('Contractors'!$D$6:$D$1005,MATCH(B925,'Contractors'!$B$6:$B$1005,0)),"")))</f>
        <v/>
      </c>
      <c r="Q925" s="79">
        <f>IF(B925="","",IF(D925&lt;&gt;"",D925,IFERROR(INDEX('Contractors'!$E$6:$E$1005,MATCH(B925,'Contractors'!$B$6:$B$1005,0)),"")))</f>
        <v/>
      </c>
      <c r="R925" s="79">
        <f>IF(O925="","",IF(O925="OVERDUE",2,IF(O925="Paid",0,IF(AND(I925&lt;&gt;"",I925&lt;=AsOf+AlertDays),1,0))))</f>
        <v/>
      </c>
      <c r="S925" s="79">
        <f>IF(AND(B925&lt;&gt;"",M925="",I925&lt;&gt;""),IF(L925&lt;&gt;"",L925,IF(H925="",0,H925)),0)</f>
        <v/>
      </c>
      <c r="T925" s="79">
        <f>IF(AND(B925&lt;&gt;"",M925="",I925&lt;&gt;""),1/I925,0)</f>
        <v/>
      </c>
      <c r="U925" s="112">
        <f>IF(AND(B925&lt;&gt;"",M925="",I925&lt;&gt;""),I925,"")</f>
        <v/>
      </c>
      <c r="V925" s="79">
        <f>IF(U925="","",IF(U925&lt;AsOf,1,IF(U925&lt;=AsOf+AlertDays,2,IF(U925&lt;=AsOf+2*AlertDays,3,""))))</f>
        <v/>
      </c>
      <c r="W925" s="79">
        <f>IF(V925="","",IF(O925="OVERDUE","Overdue payment: ","Payment due: ")&amp;B925&amp;" — "&amp;C925&amp;" ("&amp;CurSym&amp;" "&amp;FIXED(S925,0)&amp;")")</f>
        <v/>
      </c>
      <c r="Z925" s="116">
        <f>IF('Contractors'!B925="","",'Contractors'!B925)</f>
        <v/>
      </c>
      <c r="AA925" s="77">
        <f>IF(Z925="","",'Contractors'!K925)</f>
        <v/>
      </c>
      <c r="AB925" s="77">
        <f>IF(Z925="","",SUMIFS($L$6:$L$1005,$B$6:$B$1005,Z925))</f>
        <v/>
      </c>
      <c r="AC925" s="77">
        <f>IF(Z925="","",SUMIFS($N$6:$N$1005,$B$6:$B$1005,Z925))</f>
        <v/>
      </c>
      <c r="AD925" s="76">
        <f>IF(Z925="","",AA925-AC925)</f>
        <v/>
      </c>
      <c r="AE925" s="117">
        <f>IF(Z925="","",IFERROR(1/SUMPRODUCT(MAX(($B$6:$B$1005=Z925)*$T$6:$T$1005)),""))</f>
        <v/>
      </c>
      <c r="AF925" s="77">
        <f>IF(AE925="","",SUMIFS($S$6:$S$1005,$B$6:$B$1005,Z925,$I$6:$I$1005,AE925))</f>
        <v/>
      </c>
    </row>
    <row r="926" ht="20" customHeight="1">
      <c r="B926" s="72" t="n"/>
      <c r="C926" s="72" t="n"/>
      <c r="D926" s="72" t="n"/>
      <c r="E926" s="72" t="n"/>
      <c r="F926" s="110" t="n"/>
      <c r="G926" s="73" t="n"/>
      <c r="H926" s="75">
        <f>IF(B926="","",IF(G926&lt;&gt;"",G926,IF(F926&lt;&gt;"",F926*IFERROR(INDEX('Contractors'!$I$6:$I$1005,MATCH(B926,'Contractors'!$B$6:$B$1005,0)),0),"")))</f>
        <v/>
      </c>
      <c r="I926" s="109" t="n"/>
      <c r="J926" s="72" t="n"/>
      <c r="K926" s="109" t="n"/>
      <c r="L926" s="73" t="n"/>
      <c r="M926" s="109" t="n"/>
      <c r="N926" s="73" t="n"/>
      <c r="O926" s="107">
        <f>IF(B926="","",IF(M926&lt;&gt;"","Paid",IF(AND(I926&lt;&gt;"",I926&lt;AsOf),"OVERDUE",IF(OR(K926&lt;&gt;"",L926&lt;&gt;""),"Invoiced","Scheduled"))))</f>
        <v/>
      </c>
      <c r="P926" s="115">
        <f>IF(B926="","",IF(E926&lt;&gt;"",E926,IFERROR(INDEX('Contractors'!$D$6:$D$1005,MATCH(B926,'Contractors'!$B$6:$B$1005,0)),"")))</f>
        <v/>
      </c>
      <c r="Q926" s="79">
        <f>IF(B926="","",IF(D926&lt;&gt;"",D926,IFERROR(INDEX('Contractors'!$E$6:$E$1005,MATCH(B926,'Contractors'!$B$6:$B$1005,0)),"")))</f>
        <v/>
      </c>
      <c r="R926" s="79">
        <f>IF(O926="","",IF(O926="OVERDUE",2,IF(O926="Paid",0,IF(AND(I926&lt;&gt;"",I926&lt;=AsOf+AlertDays),1,0))))</f>
        <v/>
      </c>
      <c r="S926" s="79">
        <f>IF(AND(B926&lt;&gt;"",M926="",I926&lt;&gt;""),IF(L926&lt;&gt;"",L926,IF(H926="",0,H926)),0)</f>
        <v/>
      </c>
      <c r="T926" s="79">
        <f>IF(AND(B926&lt;&gt;"",M926="",I926&lt;&gt;""),1/I926,0)</f>
        <v/>
      </c>
      <c r="U926" s="112">
        <f>IF(AND(B926&lt;&gt;"",M926="",I926&lt;&gt;""),I926,"")</f>
        <v/>
      </c>
      <c r="V926" s="79">
        <f>IF(U926="","",IF(U926&lt;AsOf,1,IF(U926&lt;=AsOf+AlertDays,2,IF(U926&lt;=AsOf+2*AlertDays,3,""))))</f>
        <v/>
      </c>
      <c r="W926" s="79">
        <f>IF(V926="","",IF(O926="OVERDUE","Overdue payment: ","Payment due: ")&amp;B926&amp;" — "&amp;C926&amp;" ("&amp;CurSym&amp;" "&amp;FIXED(S926,0)&amp;")")</f>
        <v/>
      </c>
      <c r="Z926" s="116">
        <f>IF('Contractors'!B926="","",'Contractors'!B926)</f>
        <v/>
      </c>
      <c r="AA926" s="77">
        <f>IF(Z926="","",'Contractors'!K926)</f>
        <v/>
      </c>
      <c r="AB926" s="77">
        <f>IF(Z926="","",SUMIFS($L$6:$L$1005,$B$6:$B$1005,Z926))</f>
        <v/>
      </c>
      <c r="AC926" s="77">
        <f>IF(Z926="","",SUMIFS($N$6:$N$1005,$B$6:$B$1005,Z926))</f>
        <v/>
      </c>
      <c r="AD926" s="76">
        <f>IF(Z926="","",AA926-AC926)</f>
        <v/>
      </c>
      <c r="AE926" s="117">
        <f>IF(Z926="","",IFERROR(1/SUMPRODUCT(MAX(($B$6:$B$1005=Z926)*$T$6:$T$1005)),""))</f>
        <v/>
      </c>
      <c r="AF926" s="77">
        <f>IF(AE926="","",SUMIFS($S$6:$S$1005,$B$6:$B$1005,Z926,$I$6:$I$1005,AE926))</f>
        <v/>
      </c>
    </row>
    <row r="927" ht="20" customHeight="1">
      <c r="B927" s="72" t="n"/>
      <c r="C927" s="72" t="n"/>
      <c r="D927" s="72" t="n"/>
      <c r="E927" s="72" t="n"/>
      <c r="F927" s="110" t="n"/>
      <c r="G927" s="73" t="n"/>
      <c r="H927" s="75">
        <f>IF(B927="","",IF(G927&lt;&gt;"",G927,IF(F927&lt;&gt;"",F927*IFERROR(INDEX('Contractors'!$I$6:$I$1005,MATCH(B927,'Contractors'!$B$6:$B$1005,0)),0),"")))</f>
        <v/>
      </c>
      <c r="I927" s="109" t="n"/>
      <c r="J927" s="72" t="n"/>
      <c r="K927" s="109" t="n"/>
      <c r="L927" s="73" t="n"/>
      <c r="M927" s="109" t="n"/>
      <c r="N927" s="73" t="n"/>
      <c r="O927" s="107">
        <f>IF(B927="","",IF(M927&lt;&gt;"","Paid",IF(AND(I927&lt;&gt;"",I927&lt;AsOf),"OVERDUE",IF(OR(K927&lt;&gt;"",L927&lt;&gt;""),"Invoiced","Scheduled"))))</f>
        <v/>
      </c>
      <c r="P927" s="115">
        <f>IF(B927="","",IF(E927&lt;&gt;"",E927,IFERROR(INDEX('Contractors'!$D$6:$D$1005,MATCH(B927,'Contractors'!$B$6:$B$1005,0)),"")))</f>
        <v/>
      </c>
      <c r="Q927" s="79">
        <f>IF(B927="","",IF(D927&lt;&gt;"",D927,IFERROR(INDEX('Contractors'!$E$6:$E$1005,MATCH(B927,'Contractors'!$B$6:$B$1005,0)),"")))</f>
        <v/>
      </c>
      <c r="R927" s="79">
        <f>IF(O927="","",IF(O927="OVERDUE",2,IF(O927="Paid",0,IF(AND(I927&lt;&gt;"",I927&lt;=AsOf+AlertDays),1,0))))</f>
        <v/>
      </c>
      <c r="S927" s="79">
        <f>IF(AND(B927&lt;&gt;"",M927="",I927&lt;&gt;""),IF(L927&lt;&gt;"",L927,IF(H927="",0,H927)),0)</f>
        <v/>
      </c>
      <c r="T927" s="79">
        <f>IF(AND(B927&lt;&gt;"",M927="",I927&lt;&gt;""),1/I927,0)</f>
        <v/>
      </c>
      <c r="U927" s="112">
        <f>IF(AND(B927&lt;&gt;"",M927="",I927&lt;&gt;""),I927,"")</f>
        <v/>
      </c>
      <c r="V927" s="79">
        <f>IF(U927="","",IF(U927&lt;AsOf,1,IF(U927&lt;=AsOf+AlertDays,2,IF(U927&lt;=AsOf+2*AlertDays,3,""))))</f>
        <v/>
      </c>
      <c r="W927" s="79">
        <f>IF(V927="","",IF(O927="OVERDUE","Overdue payment: ","Payment due: ")&amp;B927&amp;" — "&amp;C927&amp;" ("&amp;CurSym&amp;" "&amp;FIXED(S927,0)&amp;")")</f>
        <v/>
      </c>
      <c r="Z927" s="116">
        <f>IF('Contractors'!B927="","",'Contractors'!B927)</f>
        <v/>
      </c>
      <c r="AA927" s="77">
        <f>IF(Z927="","",'Contractors'!K927)</f>
        <v/>
      </c>
      <c r="AB927" s="77">
        <f>IF(Z927="","",SUMIFS($L$6:$L$1005,$B$6:$B$1005,Z927))</f>
        <v/>
      </c>
      <c r="AC927" s="77">
        <f>IF(Z927="","",SUMIFS($N$6:$N$1005,$B$6:$B$1005,Z927))</f>
        <v/>
      </c>
      <c r="AD927" s="76">
        <f>IF(Z927="","",AA927-AC927)</f>
        <v/>
      </c>
      <c r="AE927" s="117">
        <f>IF(Z927="","",IFERROR(1/SUMPRODUCT(MAX(($B$6:$B$1005=Z927)*$T$6:$T$1005)),""))</f>
        <v/>
      </c>
      <c r="AF927" s="77">
        <f>IF(AE927="","",SUMIFS($S$6:$S$1005,$B$6:$B$1005,Z927,$I$6:$I$1005,AE927))</f>
        <v/>
      </c>
    </row>
    <row r="928" ht="20" customHeight="1">
      <c r="B928" s="72" t="n"/>
      <c r="C928" s="72" t="n"/>
      <c r="D928" s="72" t="n"/>
      <c r="E928" s="72" t="n"/>
      <c r="F928" s="110" t="n"/>
      <c r="G928" s="73" t="n"/>
      <c r="H928" s="75">
        <f>IF(B928="","",IF(G928&lt;&gt;"",G928,IF(F928&lt;&gt;"",F928*IFERROR(INDEX('Contractors'!$I$6:$I$1005,MATCH(B928,'Contractors'!$B$6:$B$1005,0)),0),"")))</f>
        <v/>
      </c>
      <c r="I928" s="109" t="n"/>
      <c r="J928" s="72" t="n"/>
      <c r="K928" s="109" t="n"/>
      <c r="L928" s="73" t="n"/>
      <c r="M928" s="109" t="n"/>
      <c r="N928" s="73" t="n"/>
      <c r="O928" s="107">
        <f>IF(B928="","",IF(M928&lt;&gt;"","Paid",IF(AND(I928&lt;&gt;"",I928&lt;AsOf),"OVERDUE",IF(OR(K928&lt;&gt;"",L928&lt;&gt;""),"Invoiced","Scheduled"))))</f>
        <v/>
      </c>
      <c r="P928" s="115">
        <f>IF(B928="","",IF(E928&lt;&gt;"",E928,IFERROR(INDEX('Contractors'!$D$6:$D$1005,MATCH(B928,'Contractors'!$B$6:$B$1005,0)),"")))</f>
        <v/>
      </c>
      <c r="Q928" s="79">
        <f>IF(B928="","",IF(D928&lt;&gt;"",D928,IFERROR(INDEX('Contractors'!$E$6:$E$1005,MATCH(B928,'Contractors'!$B$6:$B$1005,0)),"")))</f>
        <v/>
      </c>
      <c r="R928" s="79">
        <f>IF(O928="","",IF(O928="OVERDUE",2,IF(O928="Paid",0,IF(AND(I928&lt;&gt;"",I928&lt;=AsOf+AlertDays),1,0))))</f>
        <v/>
      </c>
      <c r="S928" s="79">
        <f>IF(AND(B928&lt;&gt;"",M928="",I928&lt;&gt;""),IF(L928&lt;&gt;"",L928,IF(H928="",0,H928)),0)</f>
        <v/>
      </c>
      <c r="T928" s="79">
        <f>IF(AND(B928&lt;&gt;"",M928="",I928&lt;&gt;""),1/I928,0)</f>
        <v/>
      </c>
      <c r="U928" s="112">
        <f>IF(AND(B928&lt;&gt;"",M928="",I928&lt;&gt;""),I928,"")</f>
        <v/>
      </c>
      <c r="V928" s="79">
        <f>IF(U928="","",IF(U928&lt;AsOf,1,IF(U928&lt;=AsOf+AlertDays,2,IF(U928&lt;=AsOf+2*AlertDays,3,""))))</f>
        <v/>
      </c>
      <c r="W928" s="79">
        <f>IF(V928="","",IF(O928="OVERDUE","Overdue payment: ","Payment due: ")&amp;B928&amp;" — "&amp;C928&amp;" ("&amp;CurSym&amp;" "&amp;FIXED(S928,0)&amp;")")</f>
        <v/>
      </c>
      <c r="Z928" s="116">
        <f>IF('Contractors'!B928="","",'Contractors'!B928)</f>
        <v/>
      </c>
      <c r="AA928" s="77">
        <f>IF(Z928="","",'Contractors'!K928)</f>
        <v/>
      </c>
      <c r="AB928" s="77">
        <f>IF(Z928="","",SUMIFS($L$6:$L$1005,$B$6:$B$1005,Z928))</f>
        <v/>
      </c>
      <c r="AC928" s="77">
        <f>IF(Z928="","",SUMIFS($N$6:$N$1005,$B$6:$B$1005,Z928))</f>
        <v/>
      </c>
      <c r="AD928" s="76">
        <f>IF(Z928="","",AA928-AC928)</f>
        <v/>
      </c>
      <c r="AE928" s="117">
        <f>IF(Z928="","",IFERROR(1/SUMPRODUCT(MAX(($B$6:$B$1005=Z928)*$T$6:$T$1005)),""))</f>
        <v/>
      </c>
      <c r="AF928" s="77">
        <f>IF(AE928="","",SUMIFS($S$6:$S$1005,$B$6:$B$1005,Z928,$I$6:$I$1005,AE928))</f>
        <v/>
      </c>
    </row>
    <row r="929" ht="20" customHeight="1">
      <c r="B929" s="72" t="n"/>
      <c r="C929" s="72" t="n"/>
      <c r="D929" s="72" t="n"/>
      <c r="E929" s="72" t="n"/>
      <c r="F929" s="110" t="n"/>
      <c r="G929" s="73" t="n"/>
      <c r="H929" s="75">
        <f>IF(B929="","",IF(G929&lt;&gt;"",G929,IF(F929&lt;&gt;"",F929*IFERROR(INDEX('Contractors'!$I$6:$I$1005,MATCH(B929,'Contractors'!$B$6:$B$1005,0)),0),"")))</f>
        <v/>
      </c>
      <c r="I929" s="109" t="n"/>
      <c r="J929" s="72" t="n"/>
      <c r="K929" s="109" t="n"/>
      <c r="L929" s="73" t="n"/>
      <c r="M929" s="109" t="n"/>
      <c r="N929" s="73" t="n"/>
      <c r="O929" s="107">
        <f>IF(B929="","",IF(M929&lt;&gt;"","Paid",IF(AND(I929&lt;&gt;"",I929&lt;AsOf),"OVERDUE",IF(OR(K929&lt;&gt;"",L929&lt;&gt;""),"Invoiced","Scheduled"))))</f>
        <v/>
      </c>
      <c r="P929" s="115">
        <f>IF(B929="","",IF(E929&lt;&gt;"",E929,IFERROR(INDEX('Contractors'!$D$6:$D$1005,MATCH(B929,'Contractors'!$B$6:$B$1005,0)),"")))</f>
        <v/>
      </c>
      <c r="Q929" s="79">
        <f>IF(B929="","",IF(D929&lt;&gt;"",D929,IFERROR(INDEX('Contractors'!$E$6:$E$1005,MATCH(B929,'Contractors'!$B$6:$B$1005,0)),"")))</f>
        <v/>
      </c>
      <c r="R929" s="79">
        <f>IF(O929="","",IF(O929="OVERDUE",2,IF(O929="Paid",0,IF(AND(I929&lt;&gt;"",I929&lt;=AsOf+AlertDays),1,0))))</f>
        <v/>
      </c>
      <c r="S929" s="79">
        <f>IF(AND(B929&lt;&gt;"",M929="",I929&lt;&gt;""),IF(L929&lt;&gt;"",L929,IF(H929="",0,H929)),0)</f>
        <v/>
      </c>
      <c r="T929" s="79">
        <f>IF(AND(B929&lt;&gt;"",M929="",I929&lt;&gt;""),1/I929,0)</f>
        <v/>
      </c>
      <c r="U929" s="112">
        <f>IF(AND(B929&lt;&gt;"",M929="",I929&lt;&gt;""),I929,"")</f>
        <v/>
      </c>
      <c r="V929" s="79">
        <f>IF(U929="","",IF(U929&lt;AsOf,1,IF(U929&lt;=AsOf+AlertDays,2,IF(U929&lt;=AsOf+2*AlertDays,3,""))))</f>
        <v/>
      </c>
      <c r="W929" s="79">
        <f>IF(V929="","",IF(O929="OVERDUE","Overdue payment: ","Payment due: ")&amp;B929&amp;" — "&amp;C929&amp;" ("&amp;CurSym&amp;" "&amp;FIXED(S929,0)&amp;")")</f>
        <v/>
      </c>
      <c r="Z929" s="116">
        <f>IF('Contractors'!B929="","",'Contractors'!B929)</f>
        <v/>
      </c>
      <c r="AA929" s="77">
        <f>IF(Z929="","",'Contractors'!K929)</f>
        <v/>
      </c>
      <c r="AB929" s="77">
        <f>IF(Z929="","",SUMIFS($L$6:$L$1005,$B$6:$B$1005,Z929))</f>
        <v/>
      </c>
      <c r="AC929" s="77">
        <f>IF(Z929="","",SUMIFS($N$6:$N$1005,$B$6:$B$1005,Z929))</f>
        <v/>
      </c>
      <c r="AD929" s="76">
        <f>IF(Z929="","",AA929-AC929)</f>
        <v/>
      </c>
      <c r="AE929" s="117">
        <f>IF(Z929="","",IFERROR(1/SUMPRODUCT(MAX(($B$6:$B$1005=Z929)*$T$6:$T$1005)),""))</f>
        <v/>
      </c>
      <c r="AF929" s="77">
        <f>IF(AE929="","",SUMIFS($S$6:$S$1005,$B$6:$B$1005,Z929,$I$6:$I$1005,AE929))</f>
        <v/>
      </c>
    </row>
    <row r="930" ht="20" customHeight="1">
      <c r="B930" s="72" t="n"/>
      <c r="C930" s="72" t="n"/>
      <c r="D930" s="72" t="n"/>
      <c r="E930" s="72" t="n"/>
      <c r="F930" s="110" t="n"/>
      <c r="G930" s="73" t="n"/>
      <c r="H930" s="75">
        <f>IF(B930="","",IF(G930&lt;&gt;"",G930,IF(F930&lt;&gt;"",F930*IFERROR(INDEX('Contractors'!$I$6:$I$1005,MATCH(B930,'Contractors'!$B$6:$B$1005,0)),0),"")))</f>
        <v/>
      </c>
      <c r="I930" s="109" t="n"/>
      <c r="J930" s="72" t="n"/>
      <c r="K930" s="109" t="n"/>
      <c r="L930" s="73" t="n"/>
      <c r="M930" s="109" t="n"/>
      <c r="N930" s="73" t="n"/>
      <c r="O930" s="107">
        <f>IF(B930="","",IF(M930&lt;&gt;"","Paid",IF(AND(I930&lt;&gt;"",I930&lt;AsOf),"OVERDUE",IF(OR(K930&lt;&gt;"",L930&lt;&gt;""),"Invoiced","Scheduled"))))</f>
        <v/>
      </c>
      <c r="P930" s="115">
        <f>IF(B930="","",IF(E930&lt;&gt;"",E930,IFERROR(INDEX('Contractors'!$D$6:$D$1005,MATCH(B930,'Contractors'!$B$6:$B$1005,0)),"")))</f>
        <v/>
      </c>
      <c r="Q930" s="79">
        <f>IF(B930="","",IF(D930&lt;&gt;"",D930,IFERROR(INDEX('Contractors'!$E$6:$E$1005,MATCH(B930,'Contractors'!$B$6:$B$1005,0)),"")))</f>
        <v/>
      </c>
      <c r="R930" s="79">
        <f>IF(O930="","",IF(O930="OVERDUE",2,IF(O930="Paid",0,IF(AND(I930&lt;&gt;"",I930&lt;=AsOf+AlertDays),1,0))))</f>
        <v/>
      </c>
      <c r="S930" s="79">
        <f>IF(AND(B930&lt;&gt;"",M930="",I930&lt;&gt;""),IF(L930&lt;&gt;"",L930,IF(H930="",0,H930)),0)</f>
        <v/>
      </c>
      <c r="T930" s="79">
        <f>IF(AND(B930&lt;&gt;"",M930="",I930&lt;&gt;""),1/I930,0)</f>
        <v/>
      </c>
      <c r="U930" s="112">
        <f>IF(AND(B930&lt;&gt;"",M930="",I930&lt;&gt;""),I930,"")</f>
        <v/>
      </c>
      <c r="V930" s="79">
        <f>IF(U930="","",IF(U930&lt;AsOf,1,IF(U930&lt;=AsOf+AlertDays,2,IF(U930&lt;=AsOf+2*AlertDays,3,""))))</f>
        <v/>
      </c>
      <c r="W930" s="79">
        <f>IF(V930="","",IF(O930="OVERDUE","Overdue payment: ","Payment due: ")&amp;B930&amp;" — "&amp;C930&amp;" ("&amp;CurSym&amp;" "&amp;FIXED(S930,0)&amp;")")</f>
        <v/>
      </c>
      <c r="Z930" s="116">
        <f>IF('Contractors'!B930="","",'Contractors'!B930)</f>
        <v/>
      </c>
      <c r="AA930" s="77">
        <f>IF(Z930="","",'Contractors'!K930)</f>
        <v/>
      </c>
      <c r="AB930" s="77">
        <f>IF(Z930="","",SUMIFS($L$6:$L$1005,$B$6:$B$1005,Z930))</f>
        <v/>
      </c>
      <c r="AC930" s="77">
        <f>IF(Z930="","",SUMIFS($N$6:$N$1005,$B$6:$B$1005,Z930))</f>
        <v/>
      </c>
      <c r="AD930" s="76">
        <f>IF(Z930="","",AA930-AC930)</f>
        <v/>
      </c>
      <c r="AE930" s="117">
        <f>IF(Z930="","",IFERROR(1/SUMPRODUCT(MAX(($B$6:$B$1005=Z930)*$T$6:$T$1005)),""))</f>
        <v/>
      </c>
      <c r="AF930" s="77">
        <f>IF(AE930="","",SUMIFS($S$6:$S$1005,$B$6:$B$1005,Z930,$I$6:$I$1005,AE930))</f>
        <v/>
      </c>
    </row>
    <row r="931" ht="20" customHeight="1">
      <c r="B931" s="72" t="n"/>
      <c r="C931" s="72" t="n"/>
      <c r="D931" s="72" t="n"/>
      <c r="E931" s="72" t="n"/>
      <c r="F931" s="110" t="n"/>
      <c r="G931" s="73" t="n"/>
      <c r="H931" s="75">
        <f>IF(B931="","",IF(G931&lt;&gt;"",G931,IF(F931&lt;&gt;"",F931*IFERROR(INDEX('Contractors'!$I$6:$I$1005,MATCH(B931,'Contractors'!$B$6:$B$1005,0)),0),"")))</f>
        <v/>
      </c>
      <c r="I931" s="109" t="n"/>
      <c r="J931" s="72" t="n"/>
      <c r="K931" s="109" t="n"/>
      <c r="L931" s="73" t="n"/>
      <c r="M931" s="109" t="n"/>
      <c r="N931" s="73" t="n"/>
      <c r="O931" s="107">
        <f>IF(B931="","",IF(M931&lt;&gt;"","Paid",IF(AND(I931&lt;&gt;"",I931&lt;AsOf),"OVERDUE",IF(OR(K931&lt;&gt;"",L931&lt;&gt;""),"Invoiced","Scheduled"))))</f>
        <v/>
      </c>
      <c r="P931" s="115">
        <f>IF(B931="","",IF(E931&lt;&gt;"",E931,IFERROR(INDEX('Contractors'!$D$6:$D$1005,MATCH(B931,'Contractors'!$B$6:$B$1005,0)),"")))</f>
        <v/>
      </c>
      <c r="Q931" s="79">
        <f>IF(B931="","",IF(D931&lt;&gt;"",D931,IFERROR(INDEX('Contractors'!$E$6:$E$1005,MATCH(B931,'Contractors'!$B$6:$B$1005,0)),"")))</f>
        <v/>
      </c>
      <c r="R931" s="79">
        <f>IF(O931="","",IF(O931="OVERDUE",2,IF(O931="Paid",0,IF(AND(I931&lt;&gt;"",I931&lt;=AsOf+AlertDays),1,0))))</f>
        <v/>
      </c>
      <c r="S931" s="79">
        <f>IF(AND(B931&lt;&gt;"",M931="",I931&lt;&gt;""),IF(L931&lt;&gt;"",L931,IF(H931="",0,H931)),0)</f>
        <v/>
      </c>
      <c r="T931" s="79">
        <f>IF(AND(B931&lt;&gt;"",M931="",I931&lt;&gt;""),1/I931,0)</f>
        <v/>
      </c>
      <c r="U931" s="112">
        <f>IF(AND(B931&lt;&gt;"",M931="",I931&lt;&gt;""),I931,"")</f>
        <v/>
      </c>
      <c r="V931" s="79">
        <f>IF(U931="","",IF(U931&lt;AsOf,1,IF(U931&lt;=AsOf+AlertDays,2,IF(U931&lt;=AsOf+2*AlertDays,3,""))))</f>
        <v/>
      </c>
      <c r="W931" s="79">
        <f>IF(V931="","",IF(O931="OVERDUE","Overdue payment: ","Payment due: ")&amp;B931&amp;" — "&amp;C931&amp;" ("&amp;CurSym&amp;" "&amp;FIXED(S931,0)&amp;")")</f>
        <v/>
      </c>
      <c r="Z931" s="116">
        <f>IF('Contractors'!B931="","",'Contractors'!B931)</f>
        <v/>
      </c>
      <c r="AA931" s="77">
        <f>IF(Z931="","",'Contractors'!K931)</f>
        <v/>
      </c>
      <c r="AB931" s="77">
        <f>IF(Z931="","",SUMIFS($L$6:$L$1005,$B$6:$B$1005,Z931))</f>
        <v/>
      </c>
      <c r="AC931" s="77">
        <f>IF(Z931="","",SUMIFS($N$6:$N$1005,$B$6:$B$1005,Z931))</f>
        <v/>
      </c>
      <c r="AD931" s="76">
        <f>IF(Z931="","",AA931-AC931)</f>
        <v/>
      </c>
      <c r="AE931" s="117">
        <f>IF(Z931="","",IFERROR(1/SUMPRODUCT(MAX(($B$6:$B$1005=Z931)*$T$6:$T$1005)),""))</f>
        <v/>
      </c>
      <c r="AF931" s="77">
        <f>IF(AE931="","",SUMIFS($S$6:$S$1005,$B$6:$B$1005,Z931,$I$6:$I$1005,AE931))</f>
        <v/>
      </c>
    </row>
    <row r="932" ht="20" customHeight="1">
      <c r="B932" s="72" t="n"/>
      <c r="C932" s="72" t="n"/>
      <c r="D932" s="72" t="n"/>
      <c r="E932" s="72" t="n"/>
      <c r="F932" s="110" t="n"/>
      <c r="G932" s="73" t="n"/>
      <c r="H932" s="75">
        <f>IF(B932="","",IF(G932&lt;&gt;"",G932,IF(F932&lt;&gt;"",F932*IFERROR(INDEX('Contractors'!$I$6:$I$1005,MATCH(B932,'Contractors'!$B$6:$B$1005,0)),0),"")))</f>
        <v/>
      </c>
      <c r="I932" s="109" t="n"/>
      <c r="J932" s="72" t="n"/>
      <c r="K932" s="109" t="n"/>
      <c r="L932" s="73" t="n"/>
      <c r="M932" s="109" t="n"/>
      <c r="N932" s="73" t="n"/>
      <c r="O932" s="107">
        <f>IF(B932="","",IF(M932&lt;&gt;"","Paid",IF(AND(I932&lt;&gt;"",I932&lt;AsOf),"OVERDUE",IF(OR(K932&lt;&gt;"",L932&lt;&gt;""),"Invoiced","Scheduled"))))</f>
        <v/>
      </c>
      <c r="P932" s="115">
        <f>IF(B932="","",IF(E932&lt;&gt;"",E932,IFERROR(INDEX('Contractors'!$D$6:$D$1005,MATCH(B932,'Contractors'!$B$6:$B$1005,0)),"")))</f>
        <v/>
      </c>
      <c r="Q932" s="79">
        <f>IF(B932="","",IF(D932&lt;&gt;"",D932,IFERROR(INDEX('Contractors'!$E$6:$E$1005,MATCH(B932,'Contractors'!$B$6:$B$1005,0)),"")))</f>
        <v/>
      </c>
      <c r="R932" s="79">
        <f>IF(O932="","",IF(O932="OVERDUE",2,IF(O932="Paid",0,IF(AND(I932&lt;&gt;"",I932&lt;=AsOf+AlertDays),1,0))))</f>
        <v/>
      </c>
      <c r="S932" s="79">
        <f>IF(AND(B932&lt;&gt;"",M932="",I932&lt;&gt;""),IF(L932&lt;&gt;"",L932,IF(H932="",0,H932)),0)</f>
        <v/>
      </c>
      <c r="T932" s="79">
        <f>IF(AND(B932&lt;&gt;"",M932="",I932&lt;&gt;""),1/I932,0)</f>
        <v/>
      </c>
      <c r="U932" s="112">
        <f>IF(AND(B932&lt;&gt;"",M932="",I932&lt;&gt;""),I932,"")</f>
        <v/>
      </c>
      <c r="V932" s="79">
        <f>IF(U932="","",IF(U932&lt;AsOf,1,IF(U932&lt;=AsOf+AlertDays,2,IF(U932&lt;=AsOf+2*AlertDays,3,""))))</f>
        <v/>
      </c>
      <c r="W932" s="79">
        <f>IF(V932="","",IF(O932="OVERDUE","Overdue payment: ","Payment due: ")&amp;B932&amp;" — "&amp;C932&amp;" ("&amp;CurSym&amp;" "&amp;FIXED(S932,0)&amp;")")</f>
        <v/>
      </c>
      <c r="Z932" s="116">
        <f>IF('Contractors'!B932="","",'Contractors'!B932)</f>
        <v/>
      </c>
      <c r="AA932" s="77">
        <f>IF(Z932="","",'Contractors'!K932)</f>
        <v/>
      </c>
      <c r="AB932" s="77">
        <f>IF(Z932="","",SUMIFS($L$6:$L$1005,$B$6:$B$1005,Z932))</f>
        <v/>
      </c>
      <c r="AC932" s="77">
        <f>IF(Z932="","",SUMIFS($N$6:$N$1005,$B$6:$B$1005,Z932))</f>
        <v/>
      </c>
      <c r="AD932" s="76">
        <f>IF(Z932="","",AA932-AC932)</f>
        <v/>
      </c>
      <c r="AE932" s="117">
        <f>IF(Z932="","",IFERROR(1/SUMPRODUCT(MAX(($B$6:$B$1005=Z932)*$T$6:$T$1005)),""))</f>
        <v/>
      </c>
      <c r="AF932" s="77">
        <f>IF(AE932="","",SUMIFS($S$6:$S$1005,$B$6:$B$1005,Z932,$I$6:$I$1005,AE932))</f>
        <v/>
      </c>
    </row>
    <row r="933" ht="20" customHeight="1">
      <c r="B933" s="72" t="n"/>
      <c r="C933" s="72" t="n"/>
      <c r="D933" s="72" t="n"/>
      <c r="E933" s="72" t="n"/>
      <c r="F933" s="110" t="n"/>
      <c r="G933" s="73" t="n"/>
      <c r="H933" s="75">
        <f>IF(B933="","",IF(G933&lt;&gt;"",G933,IF(F933&lt;&gt;"",F933*IFERROR(INDEX('Contractors'!$I$6:$I$1005,MATCH(B933,'Contractors'!$B$6:$B$1005,0)),0),"")))</f>
        <v/>
      </c>
      <c r="I933" s="109" t="n"/>
      <c r="J933" s="72" t="n"/>
      <c r="K933" s="109" t="n"/>
      <c r="L933" s="73" t="n"/>
      <c r="M933" s="109" t="n"/>
      <c r="N933" s="73" t="n"/>
      <c r="O933" s="107">
        <f>IF(B933="","",IF(M933&lt;&gt;"","Paid",IF(AND(I933&lt;&gt;"",I933&lt;AsOf),"OVERDUE",IF(OR(K933&lt;&gt;"",L933&lt;&gt;""),"Invoiced","Scheduled"))))</f>
        <v/>
      </c>
      <c r="P933" s="115">
        <f>IF(B933="","",IF(E933&lt;&gt;"",E933,IFERROR(INDEX('Contractors'!$D$6:$D$1005,MATCH(B933,'Contractors'!$B$6:$B$1005,0)),"")))</f>
        <v/>
      </c>
      <c r="Q933" s="79">
        <f>IF(B933="","",IF(D933&lt;&gt;"",D933,IFERROR(INDEX('Contractors'!$E$6:$E$1005,MATCH(B933,'Contractors'!$B$6:$B$1005,0)),"")))</f>
        <v/>
      </c>
      <c r="R933" s="79">
        <f>IF(O933="","",IF(O933="OVERDUE",2,IF(O933="Paid",0,IF(AND(I933&lt;&gt;"",I933&lt;=AsOf+AlertDays),1,0))))</f>
        <v/>
      </c>
      <c r="S933" s="79">
        <f>IF(AND(B933&lt;&gt;"",M933="",I933&lt;&gt;""),IF(L933&lt;&gt;"",L933,IF(H933="",0,H933)),0)</f>
        <v/>
      </c>
      <c r="T933" s="79">
        <f>IF(AND(B933&lt;&gt;"",M933="",I933&lt;&gt;""),1/I933,0)</f>
        <v/>
      </c>
      <c r="U933" s="112">
        <f>IF(AND(B933&lt;&gt;"",M933="",I933&lt;&gt;""),I933,"")</f>
        <v/>
      </c>
      <c r="V933" s="79">
        <f>IF(U933="","",IF(U933&lt;AsOf,1,IF(U933&lt;=AsOf+AlertDays,2,IF(U933&lt;=AsOf+2*AlertDays,3,""))))</f>
        <v/>
      </c>
      <c r="W933" s="79">
        <f>IF(V933="","",IF(O933="OVERDUE","Overdue payment: ","Payment due: ")&amp;B933&amp;" — "&amp;C933&amp;" ("&amp;CurSym&amp;" "&amp;FIXED(S933,0)&amp;")")</f>
        <v/>
      </c>
      <c r="Z933" s="116">
        <f>IF('Contractors'!B933="","",'Contractors'!B933)</f>
        <v/>
      </c>
      <c r="AA933" s="77">
        <f>IF(Z933="","",'Contractors'!K933)</f>
        <v/>
      </c>
      <c r="AB933" s="77">
        <f>IF(Z933="","",SUMIFS($L$6:$L$1005,$B$6:$B$1005,Z933))</f>
        <v/>
      </c>
      <c r="AC933" s="77">
        <f>IF(Z933="","",SUMIFS($N$6:$N$1005,$B$6:$B$1005,Z933))</f>
        <v/>
      </c>
      <c r="AD933" s="76">
        <f>IF(Z933="","",AA933-AC933)</f>
        <v/>
      </c>
      <c r="AE933" s="117">
        <f>IF(Z933="","",IFERROR(1/SUMPRODUCT(MAX(($B$6:$B$1005=Z933)*$T$6:$T$1005)),""))</f>
        <v/>
      </c>
      <c r="AF933" s="77">
        <f>IF(AE933="","",SUMIFS($S$6:$S$1005,$B$6:$B$1005,Z933,$I$6:$I$1005,AE933))</f>
        <v/>
      </c>
    </row>
    <row r="934" ht="20" customHeight="1">
      <c r="B934" s="72" t="n"/>
      <c r="C934" s="72" t="n"/>
      <c r="D934" s="72" t="n"/>
      <c r="E934" s="72" t="n"/>
      <c r="F934" s="110" t="n"/>
      <c r="G934" s="73" t="n"/>
      <c r="H934" s="75">
        <f>IF(B934="","",IF(G934&lt;&gt;"",G934,IF(F934&lt;&gt;"",F934*IFERROR(INDEX('Contractors'!$I$6:$I$1005,MATCH(B934,'Contractors'!$B$6:$B$1005,0)),0),"")))</f>
        <v/>
      </c>
      <c r="I934" s="109" t="n"/>
      <c r="J934" s="72" t="n"/>
      <c r="K934" s="109" t="n"/>
      <c r="L934" s="73" t="n"/>
      <c r="M934" s="109" t="n"/>
      <c r="N934" s="73" t="n"/>
      <c r="O934" s="107">
        <f>IF(B934="","",IF(M934&lt;&gt;"","Paid",IF(AND(I934&lt;&gt;"",I934&lt;AsOf),"OVERDUE",IF(OR(K934&lt;&gt;"",L934&lt;&gt;""),"Invoiced","Scheduled"))))</f>
        <v/>
      </c>
      <c r="P934" s="115">
        <f>IF(B934="","",IF(E934&lt;&gt;"",E934,IFERROR(INDEX('Contractors'!$D$6:$D$1005,MATCH(B934,'Contractors'!$B$6:$B$1005,0)),"")))</f>
        <v/>
      </c>
      <c r="Q934" s="79">
        <f>IF(B934="","",IF(D934&lt;&gt;"",D934,IFERROR(INDEX('Contractors'!$E$6:$E$1005,MATCH(B934,'Contractors'!$B$6:$B$1005,0)),"")))</f>
        <v/>
      </c>
      <c r="R934" s="79">
        <f>IF(O934="","",IF(O934="OVERDUE",2,IF(O934="Paid",0,IF(AND(I934&lt;&gt;"",I934&lt;=AsOf+AlertDays),1,0))))</f>
        <v/>
      </c>
      <c r="S934" s="79">
        <f>IF(AND(B934&lt;&gt;"",M934="",I934&lt;&gt;""),IF(L934&lt;&gt;"",L934,IF(H934="",0,H934)),0)</f>
        <v/>
      </c>
      <c r="T934" s="79">
        <f>IF(AND(B934&lt;&gt;"",M934="",I934&lt;&gt;""),1/I934,0)</f>
        <v/>
      </c>
      <c r="U934" s="112">
        <f>IF(AND(B934&lt;&gt;"",M934="",I934&lt;&gt;""),I934,"")</f>
        <v/>
      </c>
      <c r="V934" s="79">
        <f>IF(U934="","",IF(U934&lt;AsOf,1,IF(U934&lt;=AsOf+AlertDays,2,IF(U934&lt;=AsOf+2*AlertDays,3,""))))</f>
        <v/>
      </c>
      <c r="W934" s="79">
        <f>IF(V934="","",IF(O934="OVERDUE","Overdue payment: ","Payment due: ")&amp;B934&amp;" — "&amp;C934&amp;" ("&amp;CurSym&amp;" "&amp;FIXED(S934,0)&amp;")")</f>
        <v/>
      </c>
      <c r="Z934" s="116">
        <f>IF('Contractors'!B934="","",'Contractors'!B934)</f>
        <v/>
      </c>
      <c r="AA934" s="77">
        <f>IF(Z934="","",'Contractors'!K934)</f>
        <v/>
      </c>
      <c r="AB934" s="77">
        <f>IF(Z934="","",SUMIFS($L$6:$L$1005,$B$6:$B$1005,Z934))</f>
        <v/>
      </c>
      <c r="AC934" s="77">
        <f>IF(Z934="","",SUMIFS($N$6:$N$1005,$B$6:$B$1005,Z934))</f>
        <v/>
      </c>
      <c r="AD934" s="76">
        <f>IF(Z934="","",AA934-AC934)</f>
        <v/>
      </c>
      <c r="AE934" s="117">
        <f>IF(Z934="","",IFERROR(1/SUMPRODUCT(MAX(($B$6:$B$1005=Z934)*$T$6:$T$1005)),""))</f>
        <v/>
      </c>
      <c r="AF934" s="77">
        <f>IF(AE934="","",SUMIFS($S$6:$S$1005,$B$6:$B$1005,Z934,$I$6:$I$1005,AE934))</f>
        <v/>
      </c>
    </row>
    <row r="935" ht="20" customHeight="1">
      <c r="B935" s="72" t="n"/>
      <c r="C935" s="72" t="n"/>
      <c r="D935" s="72" t="n"/>
      <c r="E935" s="72" t="n"/>
      <c r="F935" s="110" t="n"/>
      <c r="G935" s="73" t="n"/>
      <c r="H935" s="75">
        <f>IF(B935="","",IF(G935&lt;&gt;"",G935,IF(F935&lt;&gt;"",F935*IFERROR(INDEX('Contractors'!$I$6:$I$1005,MATCH(B935,'Contractors'!$B$6:$B$1005,0)),0),"")))</f>
        <v/>
      </c>
      <c r="I935" s="109" t="n"/>
      <c r="J935" s="72" t="n"/>
      <c r="K935" s="109" t="n"/>
      <c r="L935" s="73" t="n"/>
      <c r="M935" s="109" t="n"/>
      <c r="N935" s="73" t="n"/>
      <c r="O935" s="107">
        <f>IF(B935="","",IF(M935&lt;&gt;"","Paid",IF(AND(I935&lt;&gt;"",I935&lt;AsOf),"OVERDUE",IF(OR(K935&lt;&gt;"",L935&lt;&gt;""),"Invoiced","Scheduled"))))</f>
        <v/>
      </c>
      <c r="P935" s="115">
        <f>IF(B935="","",IF(E935&lt;&gt;"",E935,IFERROR(INDEX('Contractors'!$D$6:$D$1005,MATCH(B935,'Contractors'!$B$6:$B$1005,0)),"")))</f>
        <v/>
      </c>
      <c r="Q935" s="79">
        <f>IF(B935="","",IF(D935&lt;&gt;"",D935,IFERROR(INDEX('Contractors'!$E$6:$E$1005,MATCH(B935,'Contractors'!$B$6:$B$1005,0)),"")))</f>
        <v/>
      </c>
      <c r="R935" s="79">
        <f>IF(O935="","",IF(O935="OVERDUE",2,IF(O935="Paid",0,IF(AND(I935&lt;&gt;"",I935&lt;=AsOf+AlertDays),1,0))))</f>
        <v/>
      </c>
      <c r="S935" s="79">
        <f>IF(AND(B935&lt;&gt;"",M935="",I935&lt;&gt;""),IF(L935&lt;&gt;"",L935,IF(H935="",0,H935)),0)</f>
        <v/>
      </c>
      <c r="T935" s="79">
        <f>IF(AND(B935&lt;&gt;"",M935="",I935&lt;&gt;""),1/I935,0)</f>
        <v/>
      </c>
      <c r="U935" s="112">
        <f>IF(AND(B935&lt;&gt;"",M935="",I935&lt;&gt;""),I935,"")</f>
        <v/>
      </c>
      <c r="V935" s="79">
        <f>IF(U935="","",IF(U935&lt;AsOf,1,IF(U935&lt;=AsOf+AlertDays,2,IF(U935&lt;=AsOf+2*AlertDays,3,""))))</f>
        <v/>
      </c>
      <c r="W935" s="79">
        <f>IF(V935="","",IF(O935="OVERDUE","Overdue payment: ","Payment due: ")&amp;B935&amp;" — "&amp;C935&amp;" ("&amp;CurSym&amp;" "&amp;FIXED(S935,0)&amp;")")</f>
        <v/>
      </c>
      <c r="Z935" s="116">
        <f>IF('Contractors'!B935="","",'Contractors'!B935)</f>
        <v/>
      </c>
      <c r="AA935" s="77">
        <f>IF(Z935="","",'Contractors'!K935)</f>
        <v/>
      </c>
      <c r="AB935" s="77">
        <f>IF(Z935="","",SUMIFS($L$6:$L$1005,$B$6:$B$1005,Z935))</f>
        <v/>
      </c>
      <c r="AC935" s="77">
        <f>IF(Z935="","",SUMIFS($N$6:$N$1005,$B$6:$B$1005,Z935))</f>
        <v/>
      </c>
      <c r="AD935" s="76">
        <f>IF(Z935="","",AA935-AC935)</f>
        <v/>
      </c>
      <c r="AE935" s="117">
        <f>IF(Z935="","",IFERROR(1/SUMPRODUCT(MAX(($B$6:$B$1005=Z935)*$T$6:$T$1005)),""))</f>
        <v/>
      </c>
      <c r="AF935" s="77">
        <f>IF(AE935="","",SUMIFS($S$6:$S$1005,$B$6:$B$1005,Z935,$I$6:$I$1005,AE935))</f>
        <v/>
      </c>
    </row>
    <row r="936" ht="20" customHeight="1">
      <c r="B936" s="72" t="n"/>
      <c r="C936" s="72" t="n"/>
      <c r="D936" s="72" t="n"/>
      <c r="E936" s="72" t="n"/>
      <c r="F936" s="110" t="n"/>
      <c r="G936" s="73" t="n"/>
      <c r="H936" s="75">
        <f>IF(B936="","",IF(G936&lt;&gt;"",G936,IF(F936&lt;&gt;"",F936*IFERROR(INDEX('Contractors'!$I$6:$I$1005,MATCH(B936,'Contractors'!$B$6:$B$1005,0)),0),"")))</f>
        <v/>
      </c>
      <c r="I936" s="109" t="n"/>
      <c r="J936" s="72" t="n"/>
      <c r="K936" s="109" t="n"/>
      <c r="L936" s="73" t="n"/>
      <c r="M936" s="109" t="n"/>
      <c r="N936" s="73" t="n"/>
      <c r="O936" s="107">
        <f>IF(B936="","",IF(M936&lt;&gt;"","Paid",IF(AND(I936&lt;&gt;"",I936&lt;AsOf),"OVERDUE",IF(OR(K936&lt;&gt;"",L936&lt;&gt;""),"Invoiced","Scheduled"))))</f>
        <v/>
      </c>
      <c r="P936" s="115">
        <f>IF(B936="","",IF(E936&lt;&gt;"",E936,IFERROR(INDEX('Contractors'!$D$6:$D$1005,MATCH(B936,'Contractors'!$B$6:$B$1005,0)),"")))</f>
        <v/>
      </c>
      <c r="Q936" s="79">
        <f>IF(B936="","",IF(D936&lt;&gt;"",D936,IFERROR(INDEX('Contractors'!$E$6:$E$1005,MATCH(B936,'Contractors'!$B$6:$B$1005,0)),"")))</f>
        <v/>
      </c>
      <c r="R936" s="79">
        <f>IF(O936="","",IF(O936="OVERDUE",2,IF(O936="Paid",0,IF(AND(I936&lt;&gt;"",I936&lt;=AsOf+AlertDays),1,0))))</f>
        <v/>
      </c>
      <c r="S936" s="79">
        <f>IF(AND(B936&lt;&gt;"",M936="",I936&lt;&gt;""),IF(L936&lt;&gt;"",L936,IF(H936="",0,H936)),0)</f>
        <v/>
      </c>
      <c r="T936" s="79">
        <f>IF(AND(B936&lt;&gt;"",M936="",I936&lt;&gt;""),1/I936,0)</f>
        <v/>
      </c>
      <c r="U936" s="112">
        <f>IF(AND(B936&lt;&gt;"",M936="",I936&lt;&gt;""),I936,"")</f>
        <v/>
      </c>
      <c r="V936" s="79">
        <f>IF(U936="","",IF(U936&lt;AsOf,1,IF(U936&lt;=AsOf+AlertDays,2,IF(U936&lt;=AsOf+2*AlertDays,3,""))))</f>
        <v/>
      </c>
      <c r="W936" s="79">
        <f>IF(V936="","",IF(O936="OVERDUE","Overdue payment: ","Payment due: ")&amp;B936&amp;" — "&amp;C936&amp;" ("&amp;CurSym&amp;" "&amp;FIXED(S936,0)&amp;")")</f>
        <v/>
      </c>
      <c r="Z936" s="116">
        <f>IF('Contractors'!B936="","",'Contractors'!B936)</f>
        <v/>
      </c>
      <c r="AA936" s="77">
        <f>IF(Z936="","",'Contractors'!K936)</f>
        <v/>
      </c>
      <c r="AB936" s="77">
        <f>IF(Z936="","",SUMIFS($L$6:$L$1005,$B$6:$B$1005,Z936))</f>
        <v/>
      </c>
      <c r="AC936" s="77">
        <f>IF(Z936="","",SUMIFS($N$6:$N$1005,$B$6:$B$1005,Z936))</f>
        <v/>
      </c>
      <c r="AD936" s="76">
        <f>IF(Z936="","",AA936-AC936)</f>
        <v/>
      </c>
      <c r="AE936" s="117">
        <f>IF(Z936="","",IFERROR(1/SUMPRODUCT(MAX(($B$6:$B$1005=Z936)*$T$6:$T$1005)),""))</f>
        <v/>
      </c>
      <c r="AF936" s="77">
        <f>IF(AE936="","",SUMIFS($S$6:$S$1005,$B$6:$B$1005,Z936,$I$6:$I$1005,AE936))</f>
        <v/>
      </c>
    </row>
    <row r="937" ht="20" customHeight="1">
      <c r="B937" s="72" t="n"/>
      <c r="C937" s="72" t="n"/>
      <c r="D937" s="72" t="n"/>
      <c r="E937" s="72" t="n"/>
      <c r="F937" s="110" t="n"/>
      <c r="G937" s="73" t="n"/>
      <c r="H937" s="75">
        <f>IF(B937="","",IF(G937&lt;&gt;"",G937,IF(F937&lt;&gt;"",F937*IFERROR(INDEX('Contractors'!$I$6:$I$1005,MATCH(B937,'Contractors'!$B$6:$B$1005,0)),0),"")))</f>
        <v/>
      </c>
      <c r="I937" s="109" t="n"/>
      <c r="J937" s="72" t="n"/>
      <c r="K937" s="109" t="n"/>
      <c r="L937" s="73" t="n"/>
      <c r="M937" s="109" t="n"/>
      <c r="N937" s="73" t="n"/>
      <c r="O937" s="107">
        <f>IF(B937="","",IF(M937&lt;&gt;"","Paid",IF(AND(I937&lt;&gt;"",I937&lt;AsOf),"OVERDUE",IF(OR(K937&lt;&gt;"",L937&lt;&gt;""),"Invoiced","Scheduled"))))</f>
        <v/>
      </c>
      <c r="P937" s="115">
        <f>IF(B937="","",IF(E937&lt;&gt;"",E937,IFERROR(INDEX('Contractors'!$D$6:$D$1005,MATCH(B937,'Contractors'!$B$6:$B$1005,0)),"")))</f>
        <v/>
      </c>
      <c r="Q937" s="79">
        <f>IF(B937="","",IF(D937&lt;&gt;"",D937,IFERROR(INDEX('Contractors'!$E$6:$E$1005,MATCH(B937,'Contractors'!$B$6:$B$1005,0)),"")))</f>
        <v/>
      </c>
      <c r="R937" s="79">
        <f>IF(O937="","",IF(O937="OVERDUE",2,IF(O937="Paid",0,IF(AND(I937&lt;&gt;"",I937&lt;=AsOf+AlertDays),1,0))))</f>
        <v/>
      </c>
      <c r="S937" s="79">
        <f>IF(AND(B937&lt;&gt;"",M937="",I937&lt;&gt;""),IF(L937&lt;&gt;"",L937,IF(H937="",0,H937)),0)</f>
        <v/>
      </c>
      <c r="T937" s="79">
        <f>IF(AND(B937&lt;&gt;"",M937="",I937&lt;&gt;""),1/I937,0)</f>
        <v/>
      </c>
      <c r="U937" s="112">
        <f>IF(AND(B937&lt;&gt;"",M937="",I937&lt;&gt;""),I937,"")</f>
        <v/>
      </c>
      <c r="V937" s="79">
        <f>IF(U937="","",IF(U937&lt;AsOf,1,IF(U937&lt;=AsOf+AlertDays,2,IF(U937&lt;=AsOf+2*AlertDays,3,""))))</f>
        <v/>
      </c>
      <c r="W937" s="79">
        <f>IF(V937="","",IF(O937="OVERDUE","Overdue payment: ","Payment due: ")&amp;B937&amp;" — "&amp;C937&amp;" ("&amp;CurSym&amp;" "&amp;FIXED(S937,0)&amp;")")</f>
        <v/>
      </c>
      <c r="Z937" s="116">
        <f>IF('Contractors'!B937="","",'Contractors'!B937)</f>
        <v/>
      </c>
      <c r="AA937" s="77">
        <f>IF(Z937="","",'Contractors'!K937)</f>
        <v/>
      </c>
      <c r="AB937" s="77">
        <f>IF(Z937="","",SUMIFS($L$6:$L$1005,$B$6:$B$1005,Z937))</f>
        <v/>
      </c>
      <c r="AC937" s="77">
        <f>IF(Z937="","",SUMIFS($N$6:$N$1005,$B$6:$B$1005,Z937))</f>
        <v/>
      </c>
      <c r="AD937" s="76">
        <f>IF(Z937="","",AA937-AC937)</f>
        <v/>
      </c>
      <c r="AE937" s="117">
        <f>IF(Z937="","",IFERROR(1/SUMPRODUCT(MAX(($B$6:$B$1005=Z937)*$T$6:$T$1005)),""))</f>
        <v/>
      </c>
      <c r="AF937" s="77">
        <f>IF(AE937="","",SUMIFS($S$6:$S$1005,$B$6:$B$1005,Z937,$I$6:$I$1005,AE937))</f>
        <v/>
      </c>
    </row>
    <row r="938" ht="20" customHeight="1">
      <c r="B938" s="72" t="n"/>
      <c r="C938" s="72" t="n"/>
      <c r="D938" s="72" t="n"/>
      <c r="E938" s="72" t="n"/>
      <c r="F938" s="110" t="n"/>
      <c r="G938" s="73" t="n"/>
      <c r="H938" s="75">
        <f>IF(B938="","",IF(G938&lt;&gt;"",G938,IF(F938&lt;&gt;"",F938*IFERROR(INDEX('Contractors'!$I$6:$I$1005,MATCH(B938,'Contractors'!$B$6:$B$1005,0)),0),"")))</f>
        <v/>
      </c>
      <c r="I938" s="109" t="n"/>
      <c r="J938" s="72" t="n"/>
      <c r="K938" s="109" t="n"/>
      <c r="L938" s="73" t="n"/>
      <c r="M938" s="109" t="n"/>
      <c r="N938" s="73" t="n"/>
      <c r="O938" s="107">
        <f>IF(B938="","",IF(M938&lt;&gt;"","Paid",IF(AND(I938&lt;&gt;"",I938&lt;AsOf),"OVERDUE",IF(OR(K938&lt;&gt;"",L938&lt;&gt;""),"Invoiced","Scheduled"))))</f>
        <v/>
      </c>
      <c r="P938" s="115">
        <f>IF(B938="","",IF(E938&lt;&gt;"",E938,IFERROR(INDEX('Contractors'!$D$6:$D$1005,MATCH(B938,'Contractors'!$B$6:$B$1005,0)),"")))</f>
        <v/>
      </c>
      <c r="Q938" s="79">
        <f>IF(B938="","",IF(D938&lt;&gt;"",D938,IFERROR(INDEX('Contractors'!$E$6:$E$1005,MATCH(B938,'Contractors'!$B$6:$B$1005,0)),"")))</f>
        <v/>
      </c>
      <c r="R938" s="79">
        <f>IF(O938="","",IF(O938="OVERDUE",2,IF(O938="Paid",0,IF(AND(I938&lt;&gt;"",I938&lt;=AsOf+AlertDays),1,0))))</f>
        <v/>
      </c>
      <c r="S938" s="79">
        <f>IF(AND(B938&lt;&gt;"",M938="",I938&lt;&gt;""),IF(L938&lt;&gt;"",L938,IF(H938="",0,H938)),0)</f>
        <v/>
      </c>
      <c r="T938" s="79">
        <f>IF(AND(B938&lt;&gt;"",M938="",I938&lt;&gt;""),1/I938,0)</f>
        <v/>
      </c>
      <c r="U938" s="112">
        <f>IF(AND(B938&lt;&gt;"",M938="",I938&lt;&gt;""),I938,"")</f>
        <v/>
      </c>
      <c r="V938" s="79">
        <f>IF(U938="","",IF(U938&lt;AsOf,1,IF(U938&lt;=AsOf+AlertDays,2,IF(U938&lt;=AsOf+2*AlertDays,3,""))))</f>
        <v/>
      </c>
      <c r="W938" s="79">
        <f>IF(V938="","",IF(O938="OVERDUE","Overdue payment: ","Payment due: ")&amp;B938&amp;" — "&amp;C938&amp;" ("&amp;CurSym&amp;" "&amp;FIXED(S938,0)&amp;")")</f>
        <v/>
      </c>
      <c r="Z938" s="116">
        <f>IF('Contractors'!B938="","",'Contractors'!B938)</f>
        <v/>
      </c>
      <c r="AA938" s="77">
        <f>IF(Z938="","",'Contractors'!K938)</f>
        <v/>
      </c>
      <c r="AB938" s="77">
        <f>IF(Z938="","",SUMIFS($L$6:$L$1005,$B$6:$B$1005,Z938))</f>
        <v/>
      </c>
      <c r="AC938" s="77">
        <f>IF(Z938="","",SUMIFS($N$6:$N$1005,$B$6:$B$1005,Z938))</f>
        <v/>
      </c>
      <c r="AD938" s="76">
        <f>IF(Z938="","",AA938-AC938)</f>
        <v/>
      </c>
      <c r="AE938" s="117">
        <f>IF(Z938="","",IFERROR(1/SUMPRODUCT(MAX(($B$6:$B$1005=Z938)*$T$6:$T$1005)),""))</f>
        <v/>
      </c>
      <c r="AF938" s="77">
        <f>IF(AE938="","",SUMIFS($S$6:$S$1005,$B$6:$B$1005,Z938,$I$6:$I$1005,AE938))</f>
        <v/>
      </c>
    </row>
    <row r="939" ht="20" customHeight="1">
      <c r="B939" s="72" t="n"/>
      <c r="C939" s="72" t="n"/>
      <c r="D939" s="72" t="n"/>
      <c r="E939" s="72" t="n"/>
      <c r="F939" s="110" t="n"/>
      <c r="G939" s="73" t="n"/>
      <c r="H939" s="75">
        <f>IF(B939="","",IF(G939&lt;&gt;"",G939,IF(F939&lt;&gt;"",F939*IFERROR(INDEX('Contractors'!$I$6:$I$1005,MATCH(B939,'Contractors'!$B$6:$B$1005,0)),0),"")))</f>
        <v/>
      </c>
      <c r="I939" s="109" t="n"/>
      <c r="J939" s="72" t="n"/>
      <c r="K939" s="109" t="n"/>
      <c r="L939" s="73" t="n"/>
      <c r="M939" s="109" t="n"/>
      <c r="N939" s="73" t="n"/>
      <c r="O939" s="107">
        <f>IF(B939="","",IF(M939&lt;&gt;"","Paid",IF(AND(I939&lt;&gt;"",I939&lt;AsOf),"OVERDUE",IF(OR(K939&lt;&gt;"",L939&lt;&gt;""),"Invoiced","Scheduled"))))</f>
        <v/>
      </c>
      <c r="P939" s="115">
        <f>IF(B939="","",IF(E939&lt;&gt;"",E939,IFERROR(INDEX('Contractors'!$D$6:$D$1005,MATCH(B939,'Contractors'!$B$6:$B$1005,0)),"")))</f>
        <v/>
      </c>
      <c r="Q939" s="79">
        <f>IF(B939="","",IF(D939&lt;&gt;"",D939,IFERROR(INDEX('Contractors'!$E$6:$E$1005,MATCH(B939,'Contractors'!$B$6:$B$1005,0)),"")))</f>
        <v/>
      </c>
      <c r="R939" s="79">
        <f>IF(O939="","",IF(O939="OVERDUE",2,IF(O939="Paid",0,IF(AND(I939&lt;&gt;"",I939&lt;=AsOf+AlertDays),1,0))))</f>
        <v/>
      </c>
      <c r="S939" s="79">
        <f>IF(AND(B939&lt;&gt;"",M939="",I939&lt;&gt;""),IF(L939&lt;&gt;"",L939,IF(H939="",0,H939)),0)</f>
        <v/>
      </c>
      <c r="T939" s="79">
        <f>IF(AND(B939&lt;&gt;"",M939="",I939&lt;&gt;""),1/I939,0)</f>
        <v/>
      </c>
      <c r="U939" s="112">
        <f>IF(AND(B939&lt;&gt;"",M939="",I939&lt;&gt;""),I939,"")</f>
        <v/>
      </c>
      <c r="V939" s="79">
        <f>IF(U939="","",IF(U939&lt;AsOf,1,IF(U939&lt;=AsOf+AlertDays,2,IF(U939&lt;=AsOf+2*AlertDays,3,""))))</f>
        <v/>
      </c>
      <c r="W939" s="79">
        <f>IF(V939="","",IF(O939="OVERDUE","Overdue payment: ","Payment due: ")&amp;B939&amp;" — "&amp;C939&amp;" ("&amp;CurSym&amp;" "&amp;FIXED(S939,0)&amp;")")</f>
        <v/>
      </c>
      <c r="Z939" s="116">
        <f>IF('Contractors'!B939="","",'Contractors'!B939)</f>
        <v/>
      </c>
      <c r="AA939" s="77">
        <f>IF(Z939="","",'Contractors'!K939)</f>
        <v/>
      </c>
      <c r="AB939" s="77">
        <f>IF(Z939="","",SUMIFS($L$6:$L$1005,$B$6:$B$1005,Z939))</f>
        <v/>
      </c>
      <c r="AC939" s="77">
        <f>IF(Z939="","",SUMIFS($N$6:$N$1005,$B$6:$B$1005,Z939))</f>
        <v/>
      </c>
      <c r="AD939" s="76">
        <f>IF(Z939="","",AA939-AC939)</f>
        <v/>
      </c>
      <c r="AE939" s="117">
        <f>IF(Z939="","",IFERROR(1/SUMPRODUCT(MAX(($B$6:$B$1005=Z939)*$T$6:$T$1005)),""))</f>
        <v/>
      </c>
      <c r="AF939" s="77">
        <f>IF(AE939="","",SUMIFS($S$6:$S$1005,$B$6:$B$1005,Z939,$I$6:$I$1005,AE939))</f>
        <v/>
      </c>
    </row>
    <row r="940" ht="20" customHeight="1">
      <c r="B940" s="72" t="n"/>
      <c r="C940" s="72" t="n"/>
      <c r="D940" s="72" t="n"/>
      <c r="E940" s="72" t="n"/>
      <c r="F940" s="110" t="n"/>
      <c r="G940" s="73" t="n"/>
      <c r="H940" s="75">
        <f>IF(B940="","",IF(G940&lt;&gt;"",G940,IF(F940&lt;&gt;"",F940*IFERROR(INDEX('Contractors'!$I$6:$I$1005,MATCH(B940,'Contractors'!$B$6:$B$1005,0)),0),"")))</f>
        <v/>
      </c>
      <c r="I940" s="109" t="n"/>
      <c r="J940" s="72" t="n"/>
      <c r="K940" s="109" t="n"/>
      <c r="L940" s="73" t="n"/>
      <c r="M940" s="109" t="n"/>
      <c r="N940" s="73" t="n"/>
      <c r="O940" s="107">
        <f>IF(B940="","",IF(M940&lt;&gt;"","Paid",IF(AND(I940&lt;&gt;"",I940&lt;AsOf),"OVERDUE",IF(OR(K940&lt;&gt;"",L940&lt;&gt;""),"Invoiced","Scheduled"))))</f>
        <v/>
      </c>
      <c r="P940" s="115">
        <f>IF(B940="","",IF(E940&lt;&gt;"",E940,IFERROR(INDEX('Contractors'!$D$6:$D$1005,MATCH(B940,'Contractors'!$B$6:$B$1005,0)),"")))</f>
        <v/>
      </c>
      <c r="Q940" s="79">
        <f>IF(B940="","",IF(D940&lt;&gt;"",D940,IFERROR(INDEX('Contractors'!$E$6:$E$1005,MATCH(B940,'Contractors'!$B$6:$B$1005,0)),"")))</f>
        <v/>
      </c>
      <c r="R940" s="79">
        <f>IF(O940="","",IF(O940="OVERDUE",2,IF(O940="Paid",0,IF(AND(I940&lt;&gt;"",I940&lt;=AsOf+AlertDays),1,0))))</f>
        <v/>
      </c>
      <c r="S940" s="79">
        <f>IF(AND(B940&lt;&gt;"",M940="",I940&lt;&gt;""),IF(L940&lt;&gt;"",L940,IF(H940="",0,H940)),0)</f>
        <v/>
      </c>
      <c r="T940" s="79">
        <f>IF(AND(B940&lt;&gt;"",M940="",I940&lt;&gt;""),1/I940,0)</f>
        <v/>
      </c>
      <c r="U940" s="112">
        <f>IF(AND(B940&lt;&gt;"",M940="",I940&lt;&gt;""),I940,"")</f>
        <v/>
      </c>
      <c r="V940" s="79">
        <f>IF(U940="","",IF(U940&lt;AsOf,1,IF(U940&lt;=AsOf+AlertDays,2,IF(U940&lt;=AsOf+2*AlertDays,3,""))))</f>
        <v/>
      </c>
      <c r="W940" s="79">
        <f>IF(V940="","",IF(O940="OVERDUE","Overdue payment: ","Payment due: ")&amp;B940&amp;" — "&amp;C940&amp;" ("&amp;CurSym&amp;" "&amp;FIXED(S940,0)&amp;")")</f>
        <v/>
      </c>
      <c r="Z940" s="116">
        <f>IF('Contractors'!B940="","",'Contractors'!B940)</f>
        <v/>
      </c>
      <c r="AA940" s="77">
        <f>IF(Z940="","",'Contractors'!K940)</f>
        <v/>
      </c>
      <c r="AB940" s="77">
        <f>IF(Z940="","",SUMIFS($L$6:$L$1005,$B$6:$B$1005,Z940))</f>
        <v/>
      </c>
      <c r="AC940" s="77">
        <f>IF(Z940="","",SUMIFS($N$6:$N$1005,$B$6:$B$1005,Z940))</f>
        <v/>
      </c>
      <c r="AD940" s="76">
        <f>IF(Z940="","",AA940-AC940)</f>
        <v/>
      </c>
      <c r="AE940" s="117">
        <f>IF(Z940="","",IFERROR(1/SUMPRODUCT(MAX(($B$6:$B$1005=Z940)*$T$6:$T$1005)),""))</f>
        <v/>
      </c>
      <c r="AF940" s="77">
        <f>IF(AE940="","",SUMIFS($S$6:$S$1005,$B$6:$B$1005,Z940,$I$6:$I$1005,AE940))</f>
        <v/>
      </c>
    </row>
    <row r="941" ht="20" customHeight="1">
      <c r="B941" s="72" t="n"/>
      <c r="C941" s="72" t="n"/>
      <c r="D941" s="72" t="n"/>
      <c r="E941" s="72" t="n"/>
      <c r="F941" s="110" t="n"/>
      <c r="G941" s="73" t="n"/>
      <c r="H941" s="75">
        <f>IF(B941="","",IF(G941&lt;&gt;"",G941,IF(F941&lt;&gt;"",F941*IFERROR(INDEX('Contractors'!$I$6:$I$1005,MATCH(B941,'Contractors'!$B$6:$B$1005,0)),0),"")))</f>
        <v/>
      </c>
      <c r="I941" s="109" t="n"/>
      <c r="J941" s="72" t="n"/>
      <c r="K941" s="109" t="n"/>
      <c r="L941" s="73" t="n"/>
      <c r="M941" s="109" t="n"/>
      <c r="N941" s="73" t="n"/>
      <c r="O941" s="107">
        <f>IF(B941="","",IF(M941&lt;&gt;"","Paid",IF(AND(I941&lt;&gt;"",I941&lt;AsOf),"OVERDUE",IF(OR(K941&lt;&gt;"",L941&lt;&gt;""),"Invoiced","Scheduled"))))</f>
        <v/>
      </c>
      <c r="P941" s="115">
        <f>IF(B941="","",IF(E941&lt;&gt;"",E941,IFERROR(INDEX('Contractors'!$D$6:$D$1005,MATCH(B941,'Contractors'!$B$6:$B$1005,0)),"")))</f>
        <v/>
      </c>
      <c r="Q941" s="79">
        <f>IF(B941="","",IF(D941&lt;&gt;"",D941,IFERROR(INDEX('Contractors'!$E$6:$E$1005,MATCH(B941,'Contractors'!$B$6:$B$1005,0)),"")))</f>
        <v/>
      </c>
      <c r="R941" s="79">
        <f>IF(O941="","",IF(O941="OVERDUE",2,IF(O941="Paid",0,IF(AND(I941&lt;&gt;"",I941&lt;=AsOf+AlertDays),1,0))))</f>
        <v/>
      </c>
      <c r="S941" s="79">
        <f>IF(AND(B941&lt;&gt;"",M941="",I941&lt;&gt;""),IF(L941&lt;&gt;"",L941,IF(H941="",0,H941)),0)</f>
        <v/>
      </c>
      <c r="T941" s="79">
        <f>IF(AND(B941&lt;&gt;"",M941="",I941&lt;&gt;""),1/I941,0)</f>
        <v/>
      </c>
      <c r="U941" s="112">
        <f>IF(AND(B941&lt;&gt;"",M941="",I941&lt;&gt;""),I941,"")</f>
        <v/>
      </c>
      <c r="V941" s="79">
        <f>IF(U941="","",IF(U941&lt;AsOf,1,IF(U941&lt;=AsOf+AlertDays,2,IF(U941&lt;=AsOf+2*AlertDays,3,""))))</f>
        <v/>
      </c>
      <c r="W941" s="79">
        <f>IF(V941="","",IF(O941="OVERDUE","Overdue payment: ","Payment due: ")&amp;B941&amp;" — "&amp;C941&amp;" ("&amp;CurSym&amp;" "&amp;FIXED(S941,0)&amp;")")</f>
        <v/>
      </c>
      <c r="Z941" s="116">
        <f>IF('Contractors'!B941="","",'Contractors'!B941)</f>
        <v/>
      </c>
      <c r="AA941" s="77">
        <f>IF(Z941="","",'Contractors'!K941)</f>
        <v/>
      </c>
      <c r="AB941" s="77">
        <f>IF(Z941="","",SUMIFS($L$6:$L$1005,$B$6:$B$1005,Z941))</f>
        <v/>
      </c>
      <c r="AC941" s="77">
        <f>IF(Z941="","",SUMIFS($N$6:$N$1005,$B$6:$B$1005,Z941))</f>
        <v/>
      </c>
      <c r="AD941" s="76">
        <f>IF(Z941="","",AA941-AC941)</f>
        <v/>
      </c>
      <c r="AE941" s="117">
        <f>IF(Z941="","",IFERROR(1/SUMPRODUCT(MAX(($B$6:$B$1005=Z941)*$T$6:$T$1005)),""))</f>
        <v/>
      </c>
      <c r="AF941" s="77">
        <f>IF(AE941="","",SUMIFS($S$6:$S$1005,$B$6:$B$1005,Z941,$I$6:$I$1005,AE941))</f>
        <v/>
      </c>
    </row>
    <row r="942" ht="20" customHeight="1">
      <c r="B942" s="72" t="n"/>
      <c r="C942" s="72" t="n"/>
      <c r="D942" s="72" t="n"/>
      <c r="E942" s="72" t="n"/>
      <c r="F942" s="110" t="n"/>
      <c r="G942" s="73" t="n"/>
      <c r="H942" s="75">
        <f>IF(B942="","",IF(G942&lt;&gt;"",G942,IF(F942&lt;&gt;"",F942*IFERROR(INDEX('Contractors'!$I$6:$I$1005,MATCH(B942,'Contractors'!$B$6:$B$1005,0)),0),"")))</f>
        <v/>
      </c>
      <c r="I942" s="109" t="n"/>
      <c r="J942" s="72" t="n"/>
      <c r="K942" s="109" t="n"/>
      <c r="L942" s="73" t="n"/>
      <c r="M942" s="109" t="n"/>
      <c r="N942" s="73" t="n"/>
      <c r="O942" s="107">
        <f>IF(B942="","",IF(M942&lt;&gt;"","Paid",IF(AND(I942&lt;&gt;"",I942&lt;AsOf),"OVERDUE",IF(OR(K942&lt;&gt;"",L942&lt;&gt;""),"Invoiced","Scheduled"))))</f>
        <v/>
      </c>
      <c r="P942" s="115">
        <f>IF(B942="","",IF(E942&lt;&gt;"",E942,IFERROR(INDEX('Contractors'!$D$6:$D$1005,MATCH(B942,'Contractors'!$B$6:$B$1005,0)),"")))</f>
        <v/>
      </c>
      <c r="Q942" s="79">
        <f>IF(B942="","",IF(D942&lt;&gt;"",D942,IFERROR(INDEX('Contractors'!$E$6:$E$1005,MATCH(B942,'Contractors'!$B$6:$B$1005,0)),"")))</f>
        <v/>
      </c>
      <c r="R942" s="79">
        <f>IF(O942="","",IF(O942="OVERDUE",2,IF(O942="Paid",0,IF(AND(I942&lt;&gt;"",I942&lt;=AsOf+AlertDays),1,0))))</f>
        <v/>
      </c>
      <c r="S942" s="79">
        <f>IF(AND(B942&lt;&gt;"",M942="",I942&lt;&gt;""),IF(L942&lt;&gt;"",L942,IF(H942="",0,H942)),0)</f>
        <v/>
      </c>
      <c r="T942" s="79">
        <f>IF(AND(B942&lt;&gt;"",M942="",I942&lt;&gt;""),1/I942,0)</f>
        <v/>
      </c>
      <c r="U942" s="112">
        <f>IF(AND(B942&lt;&gt;"",M942="",I942&lt;&gt;""),I942,"")</f>
        <v/>
      </c>
      <c r="V942" s="79">
        <f>IF(U942="","",IF(U942&lt;AsOf,1,IF(U942&lt;=AsOf+AlertDays,2,IF(U942&lt;=AsOf+2*AlertDays,3,""))))</f>
        <v/>
      </c>
      <c r="W942" s="79">
        <f>IF(V942="","",IF(O942="OVERDUE","Overdue payment: ","Payment due: ")&amp;B942&amp;" — "&amp;C942&amp;" ("&amp;CurSym&amp;" "&amp;FIXED(S942,0)&amp;")")</f>
        <v/>
      </c>
      <c r="Z942" s="116">
        <f>IF('Contractors'!B942="","",'Contractors'!B942)</f>
        <v/>
      </c>
      <c r="AA942" s="77">
        <f>IF(Z942="","",'Contractors'!K942)</f>
        <v/>
      </c>
      <c r="AB942" s="77">
        <f>IF(Z942="","",SUMIFS($L$6:$L$1005,$B$6:$B$1005,Z942))</f>
        <v/>
      </c>
      <c r="AC942" s="77">
        <f>IF(Z942="","",SUMIFS($N$6:$N$1005,$B$6:$B$1005,Z942))</f>
        <v/>
      </c>
      <c r="AD942" s="76">
        <f>IF(Z942="","",AA942-AC942)</f>
        <v/>
      </c>
      <c r="AE942" s="117">
        <f>IF(Z942="","",IFERROR(1/SUMPRODUCT(MAX(($B$6:$B$1005=Z942)*$T$6:$T$1005)),""))</f>
        <v/>
      </c>
      <c r="AF942" s="77">
        <f>IF(AE942="","",SUMIFS($S$6:$S$1005,$B$6:$B$1005,Z942,$I$6:$I$1005,AE942))</f>
        <v/>
      </c>
    </row>
    <row r="943" ht="20" customHeight="1">
      <c r="B943" s="72" t="n"/>
      <c r="C943" s="72" t="n"/>
      <c r="D943" s="72" t="n"/>
      <c r="E943" s="72" t="n"/>
      <c r="F943" s="110" t="n"/>
      <c r="G943" s="73" t="n"/>
      <c r="H943" s="75">
        <f>IF(B943="","",IF(G943&lt;&gt;"",G943,IF(F943&lt;&gt;"",F943*IFERROR(INDEX('Contractors'!$I$6:$I$1005,MATCH(B943,'Contractors'!$B$6:$B$1005,0)),0),"")))</f>
        <v/>
      </c>
      <c r="I943" s="109" t="n"/>
      <c r="J943" s="72" t="n"/>
      <c r="K943" s="109" t="n"/>
      <c r="L943" s="73" t="n"/>
      <c r="M943" s="109" t="n"/>
      <c r="N943" s="73" t="n"/>
      <c r="O943" s="107">
        <f>IF(B943="","",IF(M943&lt;&gt;"","Paid",IF(AND(I943&lt;&gt;"",I943&lt;AsOf),"OVERDUE",IF(OR(K943&lt;&gt;"",L943&lt;&gt;""),"Invoiced","Scheduled"))))</f>
        <v/>
      </c>
      <c r="P943" s="115">
        <f>IF(B943="","",IF(E943&lt;&gt;"",E943,IFERROR(INDEX('Contractors'!$D$6:$D$1005,MATCH(B943,'Contractors'!$B$6:$B$1005,0)),"")))</f>
        <v/>
      </c>
      <c r="Q943" s="79">
        <f>IF(B943="","",IF(D943&lt;&gt;"",D943,IFERROR(INDEX('Contractors'!$E$6:$E$1005,MATCH(B943,'Contractors'!$B$6:$B$1005,0)),"")))</f>
        <v/>
      </c>
      <c r="R943" s="79">
        <f>IF(O943="","",IF(O943="OVERDUE",2,IF(O943="Paid",0,IF(AND(I943&lt;&gt;"",I943&lt;=AsOf+AlertDays),1,0))))</f>
        <v/>
      </c>
      <c r="S943" s="79">
        <f>IF(AND(B943&lt;&gt;"",M943="",I943&lt;&gt;""),IF(L943&lt;&gt;"",L943,IF(H943="",0,H943)),0)</f>
        <v/>
      </c>
      <c r="T943" s="79">
        <f>IF(AND(B943&lt;&gt;"",M943="",I943&lt;&gt;""),1/I943,0)</f>
        <v/>
      </c>
      <c r="U943" s="112">
        <f>IF(AND(B943&lt;&gt;"",M943="",I943&lt;&gt;""),I943,"")</f>
        <v/>
      </c>
      <c r="V943" s="79">
        <f>IF(U943="","",IF(U943&lt;AsOf,1,IF(U943&lt;=AsOf+AlertDays,2,IF(U943&lt;=AsOf+2*AlertDays,3,""))))</f>
        <v/>
      </c>
      <c r="W943" s="79">
        <f>IF(V943="","",IF(O943="OVERDUE","Overdue payment: ","Payment due: ")&amp;B943&amp;" — "&amp;C943&amp;" ("&amp;CurSym&amp;" "&amp;FIXED(S943,0)&amp;")")</f>
        <v/>
      </c>
      <c r="Z943" s="116">
        <f>IF('Contractors'!B943="","",'Contractors'!B943)</f>
        <v/>
      </c>
      <c r="AA943" s="77">
        <f>IF(Z943="","",'Contractors'!K943)</f>
        <v/>
      </c>
      <c r="AB943" s="77">
        <f>IF(Z943="","",SUMIFS($L$6:$L$1005,$B$6:$B$1005,Z943))</f>
        <v/>
      </c>
      <c r="AC943" s="77">
        <f>IF(Z943="","",SUMIFS($N$6:$N$1005,$B$6:$B$1005,Z943))</f>
        <v/>
      </c>
      <c r="AD943" s="76">
        <f>IF(Z943="","",AA943-AC943)</f>
        <v/>
      </c>
      <c r="AE943" s="117">
        <f>IF(Z943="","",IFERROR(1/SUMPRODUCT(MAX(($B$6:$B$1005=Z943)*$T$6:$T$1005)),""))</f>
        <v/>
      </c>
      <c r="AF943" s="77">
        <f>IF(AE943="","",SUMIFS($S$6:$S$1005,$B$6:$B$1005,Z943,$I$6:$I$1005,AE943))</f>
        <v/>
      </c>
    </row>
    <row r="944" ht="20" customHeight="1">
      <c r="B944" s="72" t="n"/>
      <c r="C944" s="72" t="n"/>
      <c r="D944" s="72" t="n"/>
      <c r="E944" s="72" t="n"/>
      <c r="F944" s="110" t="n"/>
      <c r="G944" s="73" t="n"/>
      <c r="H944" s="75">
        <f>IF(B944="","",IF(G944&lt;&gt;"",G944,IF(F944&lt;&gt;"",F944*IFERROR(INDEX('Contractors'!$I$6:$I$1005,MATCH(B944,'Contractors'!$B$6:$B$1005,0)),0),"")))</f>
        <v/>
      </c>
      <c r="I944" s="109" t="n"/>
      <c r="J944" s="72" t="n"/>
      <c r="K944" s="109" t="n"/>
      <c r="L944" s="73" t="n"/>
      <c r="M944" s="109" t="n"/>
      <c r="N944" s="73" t="n"/>
      <c r="O944" s="107">
        <f>IF(B944="","",IF(M944&lt;&gt;"","Paid",IF(AND(I944&lt;&gt;"",I944&lt;AsOf),"OVERDUE",IF(OR(K944&lt;&gt;"",L944&lt;&gt;""),"Invoiced","Scheduled"))))</f>
        <v/>
      </c>
      <c r="P944" s="115">
        <f>IF(B944="","",IF(E944&lt;&gt;"",E944,IFERROR(INDEX('Contractors'!$D$6:$D$1005,MATCH(B944,'Contractors'!$B$6:$B$1005,0)),"")))</f>
        <v/>
      </c>
      <c r="Q944" s="79">
        <f>IF(B944="","",IF(D944&lt;&gt;"",D944,IFERROR(INDEX('Contractors'!$E$6:$E$1005,MATCH(B944,'Contractors'!$B$6:$B$1005,0)),"")))</f>
        <v/>
      </c>
      <c r="R944" s="79">
        <f>IF(O944="","",IF(O944="OVERDUE",2,IF(O944="Paid",0,IF(AND(I944&lt;&gt;"",I944&lt;=AsOf+AlertDays),1,0))))</f>
        <v/>
      </c>
      <c r="S944" s="79">
        <f>IF(AND(B944&lt;&gt;"",M944="",I944&lt;&gt;""),IF(L944&lt;&gt;"",L944,IF(H944="",0,H944)),0)</f>
        <v/>
      </c>
      <c r="T944" s="79">
        <f>IF(AND(B944&lt;&gt;"",M944="",I944&lt;&gt;""),1/I944,0)</f>
        <v/>
      </c>
      <c r="U944" s="112">
        <f>IF(AND(B944&lt;&gt;"",M944="",I944&lt;&gt;""),I944,"")</f>
        <v/>
      </c>
      <c r="V944" s="79">
        <f>IF(U944="","",IF(U944&lt;AsOf,1,IF(U944&lt;=AsOf+AlertDays,2,IF(U944&lt;=AsOf+2*AlertDays,3,""))))</f>
        <v/>
      </c>
      <c r="W944" s="79">
        <f>IF(V944="","",IF(O944="OVERDUE","Overdue payment: ","Payment due: ")&amp;B944&amp;" — "&amp;C944&amp;" ("&amp;CurSym&amp;" "&amp;FIXED(S944,0)&amp;")")</f>
        <v/>
      </c>
      <c r="Z944" s="116">
        <f>IF('Contractors'!B944="","",'Contractors'!B944)</f>
        <v/>
      </c>
      <c r="AA944" s="77">
        <f>IF(Z944="","",'Contractors'!K944)</f>
        <v/>
      </c>
      <c r="AB944" s="77">
        <f>IF(Z944="","",SUMIFS($L$6:$L$1005,$B$6:$B$1005,Z944))</f>
        <v/>
      </c>
      <c r="AC944" s="77">
        <f>IF(Z944="","",SUMIFS($N$6:$N$1005,$B$6:$B$1005,Z944))</f>
        <v/>
      </c>
      <c r="AD944" s="76">
        <f>IF(Z944="","",AA944-AC944)</f>
        <v/>
      </c>
      <c r="AE944" s="117">
        <f>IF(Z944="","",IFERROR(1/SUMPRODUCT(MAX(($B$6:$B$1005=Z944)*$T$6:$T$1005)),""))</f>
        <v/>
      </c>
      <c r="AF944" s="77">
        <f>IF(AE944="","",SUMIFS($S$6:$S$1005,$B$6:$B$1005,Z944,$I$6:$I$1005,AE944))</f>
        <v/>
      </c>
    </row>
    <row r="945" ht="20" customHeight="1">
      <c r="B945" s="72" t="n"/>
      <c r="C945" s="72" t="n"/>
      <c r="D945" s="72" t="n"/>
      <c r="E945" s="72" t="n"/>
      <c r="F945" s="110" t="n"/>
      <c r="G945" s="73" t="n"/>
      <c r="H945" s="75">
        <f>IF(B945="","",IF(G945&lt;&gt;"",G945,IF(F945&lt;&gt;"",F945*IFERROR(INDEX('Contractors'!$I$6:$I$1005,MATCH(B945,'Contractors'!$B$6:$B$1005,0)),0),"")))</f>
        <v/>
      </c>
      <c r="I945" s="109" t="n"/>
      <c r="J945" s="72" t="n"/>
      <c r="K945" s="109" t="n"/>
      <c r="L945" s="73" t="n"/>
      <c r="M945" s="109" t="n"/>
      <c r="N945" s="73" t="n"/>
      <c r="O945" s="107">
        <f>IF(B945="","",IF(M945&lt;&gt;"","Paid",IF(AND(I945&lt;&gt;"",I945&lt;AsOf),"OVERDUE",IF(OR(K945&lt;&gt;"",L945&lt;&gt;""),"Invoiced","Scheduled"))))</f>
        <v/>
      </c>
      <c r="P945" s="115">
        <f>IF(B945="","",IF(E945&lt;&gt;"",E945,IFERROR(INDEX('Contractors'!$D$6:$D$1005,MATCH(B945,'Contractors'!$B$6:$B$1005,0)),"")))</f>
        <v/>
      </c>
      <c r="Q945" s="79">
        <f>IF(B945="","",IF(D945&lt;&gt;"",D945,IFERROR(INDEX('Contractors'!$E$6:$E$1005,MATCH(B945,'Contractors'!$B$6:$B$1005,0)),"")))</f>
        <v/>
      </c>
      <c r="R945" s="79">
        <f>IF(O945="","",IF(O945="OVERDUE",2,IF(O945="Paid",0,IF(AND(I945&lt;&gt;"",I945&lt;=AsOf+AlertDays),1,0))))</f>
        <v/>
      </c>
      <c r="S945" s="79">
        <f>IF(AND(B945&lt;&gt;"",M945="",I945&lt;&gt;""),IF(L945&lt;&gt;"",L945,IF(H945="",0,H945)),0)</f>
        <v/>
      </c>
      <c r="T945" s="79">
        <f>IF(AND(B945&lt;&gt;"",M945="",I945&lt;&gt;""),1/I945,0)</f>
        <v/>
      </c>
      <c r="U945" s="112">
        <f>IF(AND(B945&lt;&gt;"",M945="",I945&lt;&gt;""),I945,"")</f>
        <v/>
      </c>
      <c r="V945" s="79">
        <f>IF(U945="","",IF(U945&lt;AsOf,1,IF(U945&lt;=AsOf+AlertDays,2,IF(U945&lt;=AsOf+2*AlertDays,3,""))))</f>
        <v/>
      </c>
      <c r="W945" s="79">
        <f>IF(V945="","",IF(O945="OVERDUE","Overdue payment: ","Payment due: ")&amp;B945&amp;" — "&amp;C945&amp;" ("&amp;CurSym&amp;" "&amp;FIXED(S945,0)&amp;")")</f>
        <v/>
      </c>
      <c r="Z945" s="116">
        <f>IF('Contractors'!B945="","",'Contractors'!B945)</f>
        <v/>
      </c>
      <c r="AA945" s="77">
        <f>IF(Z945="","",'Contractors'!K945)</f>
        <v/>
      </c>
      <c r="AB945" s="77">
        <f>IF(Z945="","",SUMIFS($L$6:$L$1005,$B$6:$B$1005,Z945))</f>
        <v/>
      </c>
      <c r="AC945" s="77">
        <f>IF(Z945="","",SUMIFS($N$6:$N$1005,$B$6:$B$1005,Z945))</f>
        <v/>
      </c>
      <c r="AD945" s="76">
        <f>IF(Z945="","",AA945-AC945)</f>
        <v/>
      </c>
      <c r="AE945" s="117">
        <f>IF(Z945="","",IFERROR(1/SUMPRODUCT(MAX(($B$6:$B$1005=Z945)*$T$6:$T$1005)),""))</f>
        <v/>
      </c>
      <c r="AF945" s="77">
        <f>IF(AE945="","",SUMIFS($S$6:$S$1005,$B$6:$B$1005,Z945,$I$6:$I$1005,AE945))</f>
        <v/>
      </c>
    </row>
    <row r="946" ht="20" customHeight="1">
      <c r="B946" s="72" t="n"/>
      <c r="C946" s="72" t="n"/>
      <c r="D946" s="72" t="n"/>
      <c r="E946" s="72" t="n"/>
      <c r="F946" s="110" t="n"/>
      <c r="G946" s="73" t="n"/>
      <c r="H946" s="75">
        <f>IF(B946="","",IF(G946&lt;&gt;"",G946,IF(F946&lt;&gt;"",F946*IFERROR(INDEX('Contractors'!$I$6:$I$1005,MATCH(B946,'Contractors'!$B$6:$B$1005,0)),0),"")))</f>
        <v/>
      </c>
      <c r="I946" s="109" t="n"/>
      <c r="J946" s="72" t="n"/>
      <c r="K946" s="109" t="n"/>
      <c r="L946" s="73" t="n"/>
      <c r="M946" s="109" t="n"/>
      <c r="N946" s="73" t="n"/>
      <c r="O946" s="107">
        <f>IF(B946="","",IF(M946&lt;&gt;"","Paid",IF(AND(I946&lt;&gt;"",I946&lt;AsOf),"OVERDUE",IF(OR(K946&lt;&gt;"",L946&lt;&gt;""),"Invoiced","Scheduled"))))</f>
        <v/>
      </c>
      <c r="P946" s="115">
        <f>IF(B946="","",IF(E946&lt;&gt;"",E946,IFERROR(INDEX('Contractors'!$D$6:$D$1005,MATCH(B946,'Contractors'!$B$6:$B$1005,0)),"")))</f>
        <v/>
      </c>
      <c r="Q946" s="79">
        <f>IF(B946="","",IF(D946&lt;&gt;"",D946,IFERROR(INDEX('Contractors'!$E$6:$E$1005,MATCH(B946,'Contractors'!$B$6:$B$1005,0)),"")))</f>
        <v/>
      </c>
      <c r="R946" s="79">
        <f>IF(O946="","",IF(O946="OVERDUE",2,IF(O946="Paid",0,IF(AND(I946&lt;&gt;"",I946&lt;=AsOf+AlertDays),1,0))))</f>
        <v/>
      </c>
      <c r="S946" s="79">
        <f>IF(AND(B946&lt;&gt;"",M946="",I946&lt;&gt;""),IF(L946&lt;&gt;"",L946,IF(H946="",0,H946)),0)</f>
        <v/>
      </c>
      <c r="T946" s="79">
        <f>IF(AND(B946&lt;&gt;"",M946="",I946&lt;&gt;""),1/I946,0)</f>
        <v/>
      </c>
      <c r="U946" s="112">
        <f>IF(AND(B946&lt;&gt;"",M946="",I946&lt;&gt;""),I946,"")</f>
        <v/>
      </c>
      <c r="V946" s="79">
        <f>IF(U946="","",IF(U946&lt;AsOf,1,IF(U946&lt;=AsOf+AlertDays,2,IF(U946&lt;=AsOf+2*AlertDays,3,""))))</f>
        <v/>
      </c>
      <c r="W946" s="79">
        <f>IF(V946="","",IF(O946="OVERDUE","Overdue payment: ","Payment due: ")&amp;B946&amp;" — "&amp;C946&amp;" ("&amp;CurSym&amp;" "&amp;FIXED(S946,0)&amp;")")</f>
        <v/>
      </c>
      <c r="Z946" s="116">
        <f>IF('Contractors'!B946="","",'Contractors'!B946)</f>
        <v/>
      </c>
      <c r="AA946" s="77">
        <f>IF(Z946="","",'Contractors'!K946)</f>
        <v/>
      </c>
      <c r="AB946" s="77">
        <f>IF(Z946="","",SUMIFS($L$6:$L$1005,$B$6:$B$1005,Z946))</f>
        <v/>
      </c>
      <c r="AC946" s="77">
        <f>IF(Z946="","",SUMIFS($N$6:$N$1005,$B$6:$B$1005,Z946))</f>
        <v/>
      </c>
      <c r="AD946" s="76">
        <f>IF(Z946="","",AA946-AC946)</f>
        <v/>
      </c>
      <c r="AE946" s="117">
        <f>IF(Z946="","",IFERROR(1/SUMPRODUCT(MAX(($B$6:$B$1005=Z946)*$T$6:$T$1005)),""))</f>
        <v/>
      </c>
      <c r="AF946" s="77">
        <f>IF(AE946="","",SUMIFS($S$6:$S$1005,$B$6:$B$1005,Z946,$I$6:$I$1005,AE946))</f>
        <v/>
      </c>
    </row>
    <row r="947" ht="20" customHeight="1">
      <c r="B947" s="72" t="n"/>
      <c r="C947" s="72" t="n"/>
      <c r="D947" s="72" t="n"/>
      <c r="E947" s="72" t="n"/>
      <c r="F947" s="110" t="n"/>
      <c r="G947" s="73" t="n"/>
      <c r="H947" s="75">
        <f>IF(B947="","",IF(G947&lt;&gt;"",G947,IF(F947&lt;&gt;"",F947*IFERROR(INDEX('Contractors'!$I$6:$I$1005,MATCH(B947,'Contractors'!$B$6:$B$1005,0)),0),"")))</f>
        <v/>
      </c>
      <c r="I947" s="109" t="n"/>
      <c r="J947" s="72" t="n"/>
      <c r="K947" s="109" t="n"/>
      <c r="L947" s="73" t="n"/>
      <c r="M947" s="109" t="n"/>
      <c r="N947" s="73" t="n"/>
      <c r="O947" s="107">
        <f>IF(B947="","",IF(M947&lt;&gt;"","Paid",IF(AND(I947&lt;&gt;"",I947&lt;AsOf),"OVERDUE",IF(OR(K947&lt;&gt;"",L947&lt;&gt;""),"Invoiced","Scheduled"))))</f>
        <v/>
      </c>
      <c r="P947" s="115">
        <f>IF(B947="","",IF(E947&lt;&gt;"",E947,IFERROR(INDEX('Contractors'!$D$6:$D$1005,MATCH(B947,'Contractors'!$B$6:$B$1005,0)),"")))</f>
        <v/>
      </c>
      <c r="Q947" s="79">
        <f>IF(B947="","",IF(D947&lt;&gt;"",D947,IFERROR(INDEX('Contractors'!$E$6:$E$1005,MATCH(B947,'Contractors'!$B$6:$B$1005,0)),"")))</f>
        <v/>
      </c>
      <c r="R947" s="79">
        <f>IF(O947="","",IF(O947="OVERDUE",2,IF(O947="Paid",0,IF(AND(I947&lt;&gt;"",I947&lt;=AsOf+AlertDays),1,0))))</f>
        <v/>
      </c>
      <c r="S947" s="79">
        <f>IF(AND(B947&lt;&gt;"",M947="",I947&lt;&gt;""),IF(L947&lt;&gt;"",L947,IF(H947="",0,H947)),0)</f>
        <v/>
      </c>
      <c r="T947" s="79">
        <f>IF(AND(B947&lt;&gt;"",M947="",I947&lt;&gt;""),1/I947,0)</f>
        <v/>
      </c>
      <c r="U947" s="112">
        <f>IF(AND(B947&lt;&gt;"",M947="",I947&lt;&gt;""),I947,"")</f>
        <v/>
      </c>
      <c r="V947" s="79">
        <f>IF(U947="","",IF(U947&lt;AsOf,1,IF(U947&lt;=AsOf+AlertDays,2,IF(U947&lt;=AsOf+2*AlertDays,3,""))))</f>
        <v/>
      </c>
      <c r="W947" s="79">
        <f>IF(V947="","",IF(O947="OVERDUE","Overdue payment: ","Payment due: ")&amp;B947&amp;" — "&amp;C947&amp;" ("&amp;CurSym&amp;" "&amp;FIXED(S947,0)&amp;")")</f>
        <v/>
      </c>
      <c r="Z947" s="116">
        <f>IF('Contractors'!B947="","",'Contractors'!B947)</f>
        <v/>
      </c>
      <c r="AA947" s="77">
        <f>IF(Z947="","",'Contractors'!K947)</f>
        <v/>
      </c>
      <c r="AB947" s="77">
        <f>IF(Z947="","",SUMIFS($L$6:$L$1005,$B$6:$B$1005,Z947))</f>
        <v/>
      </c>
      <c r="AC947" s="77">
        <f>IF(Z947="","",SUMIFS($N$6:$N$1005,$B$6:$B$1005,Z947))</f>
        <v/>
      </c>
      <c r="AD947" s="76">
        <f>IF(Z947="","",AA947-AC947)</f>
        <v/>
      </c>
      <c r="AE947" s="117">
        <f>IF(Z947="","",IFERROR(1/SUMPRODUCT(MAX(($B$6:$B$1005=Z947)*$T$6:$T$1005)),""))</f>
        <v/>
      </c>
      <c r="AF947" s="77">
        <f>IF(AE947="","",SUMIFS($S$6:$S$1005,$B$6:$B$1005,Z947,$I$6:$I$1005,AE947))</f>
        <v/>
      </c>
    </row>
    <row r="948" ht="20" customHeight="1">
      <c r="B948" s="72" t="n"/>
      <c r="C948" s="72" t="n"/>
      <c r="D948" s="72" t="n"/>
      <c r="E948" s="72" t="n"/>
      <c r="F948" s="110" t="n"/>
      <c r="G948" s="73" t="n"/>
      <c r="H948" s="75">
        <f>IF(B948="","",IF(G948&lt;&gt;"",G948,IF(F948&lt;&gt;"",F948*IFERROR(INDEX('Contractors'!$I$6:$I$1005,MATCH(B948,'Contractors'!$B$6:$B$1005,0)),0),"")))</f>
        <v/>
      </c>
      <c r="I948" s="109" t="n"/>
      <c r="J948" s="72" t="n"/>
      <c r="K948" s="109" t="n"/>
      <c r="L948" s="73" t="n"/>
      <c r="M948" s="109" t="n"/>
      <c r="N948" s="73" t="n"/>
      <c r="O948" s="107">
        <f>IF(B948="","",IF(M948&lt;&gt;"","Paid",IF(AND(I948&lt;&gt;"",I948&lt;AsOf),"OVERDUE",IF(OR(K948&lt;&gt;"",L948&lt;&gt;""),"Invoiced","Scheduled"))))</f>
        <v/>
      </c>
      <c r="P948" s="115">
        <f>IF(B948="","",IF(E948&lt;&gt;"",E948,IFERROR(INDEX('Contractors'!$D$6:$D$1005,MATCH(B948,'Contractors'!$B$6:$B$1005,0)),"")))</f>
        <v/>
      </c>
      <c r="Q948" s="79">
        <f>IF(B948="","",IF(D948&lt;&gt;"",D948,IFERROR(INDEX('Contractors'!$E$6:$E$1005,MATCH(B948,'Contractors'!$B$6:$B$1005,0)),"")))</f>
        <v/>
      </c>
      <c r="R948" s="79">
        <f>IF(O948="","",IF(O948="OVERDUE",2,IF(O948="Paid",0,IF(AND(I948&lt;&gt;"",I948&lt;=AsOf+AlertDays),1,0))))</f>
        <v/>
      </c>
      <c r="S948" s="79">
        <f>IF(AND(B948&lt;&gt;"",M948="",I948&lt;&gt;""),IF(L948&lt;&gt;"",L948,IF(H948="",0,H948)),0)</f>
        <v/>
      </c>
      <c r="T948" s="79">
        <f>IF(AND(B948&lt;&gt;"",M948="",I948&lt;&gt;""),1/I948,0)</f>
        <v/>
      </c>
      <c r="U948" s="112">
        <f>IF(AND(B948&lt;&gt;"",M948="",I948&lt;&gt;""),I948,"")</f>
        <v/>
      </c>
      <c r="V948" s="79">
        <f>IF(U948="","",IF(U948&lt;AsOf,1,IF(U948&lt;=AsOf+AlertDays,2,IF(U948&lt;=AsOf+2*AlertDays,3,""))))</f>
        <v/>
      </c>
      <c r="W948" s="79">
        <f>IF(V948="","",IF(O948="OVERDUE","Overdue payment: ","Payment due: ")&amp;B948&amp;" — "&amp;C948&amp;" ("&amp;CurSym&amp;" "&amp;FIXED(S948,0)&amp;")")</f>
        <v/>
      </c>
      <c r="Z948" s="116">
        <f>IF('Contractors'!B948="","",'Contractors'!B948)</f>
        <v/>
      </c>
      <c r="AA948" s="77">
        <f>IF(Z948="","",'Contractors'!K948)</f>
        <v/>
      </c>
      <c r="AB948" s="77">
        <f>IF(Z948="","",SUMIFS($L$6:$L$1005,$B$6:$B$1005,Z948))</f>
        <v/>
      </c>
      <c r="AC948" s="77">
        <f>IF(Z948="","",SUMIFS($N$6:$N$1005,$B$6:$B$1005,Z948))</f>
        <v/>
      </c>
      <c r="AD948" s="76">
        <f>IF(Z948="","",AA948-AC948)</f>
        <v/>
      </c>
      <c r="AE948" s="117">
        <f>IF(Z948="","",IFERROR(1/SUMPRODUCT(MAX(($B$6:$B$1005=Z948)*$T$6:$T$1005)),""))</f>
        <v/>
      </c>
      <c r="AF948" s="77">
        <f>IF(AE948="","",SUMIFS($S$6:$S$1005,$B$6:$B$1005,Z948,$I$6:$I$1005,AE948))</f>
        <v/>
      </c>
    </row>
    <row r="949" ht="20" customHeight="1">
      <c r="B949" s="72" t="n"/>
      <c r="C949" s="72" t="n"/>
      <c r="D949" s="72" t="n"/>
      <c r="E949" s="72" t="n"/>
      <c r="F949" s="110" t="n"/>
      <c r="G949" s="73" t="n"/>
      <c r="H949" s="75">
        <f>IF(B949="","",IF(G949&lt;&gt;"",G949,IF(F949&lt;&gt;"",F949*IFERROR(INDEX('Contractors'!$I$6:$I$1005,MATCH(B949,'Contractors'!$B$6:$B$1005,0)),0),"")))</f>
        <v/>
      </c>
      <c r="I949" s="109" t="n"/>
      <c r="J949" s="72" t="n"/>
      <c r="K949" s="109" t="n"/>
      <c r="L949" s="73" t="n"/>
      <c r="M949" s="109" t="n"/>
      <c r="N949" s="73" t="n"/>
      <c r="O949" s="107">
        <f>IF(B949="","",IF(M949&lt;&gt;"","Paid",IF(AND(I949&lt;&gt;"",I949&lt;AsOf),"OVERDUE",IF(OR(K949&lt;&gt;"",L949&lt;&gt;""),"Invoiced","Scheduled"))))</f>
        <v/>
      </c>
      <c r="P949" s="115">
        <f>IF(B949="","",IF(E949&lt;&gt;"",E949,IFERROR(INDEX('Contractors'!$D$6:$D$1005,MATCH(B949,'Contractors'!$B$6:$B$1005,0)),"")))</f>
        <v/>
      </c>
      <c r="Q949" s="79">
        <f>IF(B949="","",IF(D949&lt;&gt;"",D949,IFERROR(INDEX('Contractors'!$E$6:$E$1005,MATCH(B949,'Contractors'!$B$6:$B$1005,0)),"")))</f>
        <v/>
      </c>
      <c r="R949" s="79">
        <f>IF(O949="","",IF(O949="OVERDUE",2,IF(O949="Paid",0,IF(AND(I949&lt;&gt;"",I949&lt;=AsOf+AlertDays),1,0))))</f>
        <v/>
      </c>
      <c r="S949" s="79">
        <f>IF(AND(B949&lt;&gt;"",M949="",I949&lt;&gt;""),IF(L949&lt;&gt;"",L949,IF(H949="",0,H949)),0)</f>
        <v/>
      </c>
      <c r="T949" s="79">
        <f>IF(AND(B949&lt;&gt;"",M949="",I949&lt;&gt;""),1/I949,0)</f>
        <v/>
      </c>
      <c r="U949" s="112">
        <f>IF(AND(B949&lt;&gt;"",M949="",I949&lt;&gt;""),I949,"")</f>
        <v/>
      </c>
      <c r="V949" s="79">
        <f>IF(U949="","",IF(U949&lt;AsOf,1,IF(U949&lt;=AsOf+AlertDays,2,IF(U949&lt;=AsOf+2*AlertDays,3,""))))</f>
        <v/>
      </c>
      <c r="W949" s="79">
        <f>IF(V949="","",IF(O949="OVERDUE","Overdue payment: ","Payment due: ")&amp;B949&amp;" — "&amp;C949&amp;" ("&amp;CurSym&amp;" "&amp;FIXED(S949,0)&amp;")")</f>
        <v/>
      </c>
      <c r="Z949" s="116">
        <f>IF('Contractors'!B949="","",'Contractors'!B949)</f>
        <v/>
      </c>
      <c r="AA949" s="77">
        <f>IF(Z949="","",'Contractors'!K949)</f>
        <v/>
      </c>
      <c r="AB949" s="77">
        <f>IF(Z949="","",SUMIFS($L$6:$L$1005,$B$6:$B$1005,Z949))</f>
        <v/>
      </c>
      <c r="AC949" s="77">
        <f>IF(Z949="","",SUMIFS($N$6:$N$1005,$B$6:$B$1005,Z949))</f>
        <v/>
      </c>
      <c r="AD949" s="76">
        <f>IF(Z949="","",AA949-AC949)</f>
        <v/>
      </c>
      <c r="AE949" s="117">
        <f>IF(Z949="","",IFERROR(1/SUMPRODUCT(MAX(($B$6:$B$1005=Z949)*$T$6:$T$1005)),""))</f>
        <v/>
      </c>
      <c r="AF949" s="77">
        <f>IF(AE949="","",SUMIFS($S$6:$S$1005,$B$6:$B$1005,Z949,$I$6:$I$1005,AE949))</f>
        <v/>
      </c>
    </row>
    <row r="950" ht="20" customHeight="1">
      <c r="B950" s="72" t="n"/>
      <c r="C950" s="72" t="n"/>
      <c r="D950" s="72" t="n"/>
      <c r="E950" s="72" t="n"/>
      <c r="F950" s="110" t="n"/>
      <c r="G950" s="73" t="n"/>
      <c r="H950" s="75">
        <f>IF(B950="","",IF(G950&lt;&gt;"",G950,IF(F950&lt;&gt;"",F950*IFERROR(INDEX('Contractors'!$I$6:$I$1005,MATCH(B950,'Contractors'!$B$6:$B$1005,0)),0),"")))</f>
        <v/>
      </c>
      <c r="I950" s="109" t="n"/>
      <c r="J950" s="72" t="n"/>
      <c r="K950" s="109" t="n"/>
      <c r="L950" s="73" t="n"/>
      <c r="M950" s="109" t="n"/>
      <c r="N950" s="73" t="n"/>
      <c r="O950" s="107">
        <f>IF(B950="","",IF(M950&lt;&gt;"","Paid",IF(AND(I950&lt;&gt;"",I950&lt;AsOf),"OVERDUE",IF(OR(K950&lt;&gt;"",L950&lt;&gt;""),"Invoiced","Scheduled"))))</f>
        <v/>
      </c>
      <c r="P950" s="115">
        <f>IF(B950="","",IF(E950&lt;&gt;"",E950,IFERROR(INDEX('Contractors'!$D$6:$D$1005,MATCH(B950,'Contractors'!$B$6:$B$1005,0)),"")))</f>
        <v/>
      </c>
      <c r="Q950" s="79">
        <f>IF(B950="","",IF(D950&lt;&gt;"",D950,IFERROR(INDEX('Contractors'!$E$6:$E$1005,MATCH(B950,'Contractors'!$B$6:$B$1005,0)),"")))</f>
        <v/>
      </c>
      <c r="R950" s="79">
        <f>IF(O950="","",IF(O950="OVERDUE",2,IF(O950="Paid",0,IF(AND(I950&lt;&gt;"",I950&lt;=AsOf+AlertDays),1,0))))</f>
        <v/>
      </c>
      <c r="S950" s="79">
        <f>IF(AND(B950&lt;&gt;"",M950="",I950&lt;&gt;""),IF(L950&lt;&gt;"",L950,IF(H950="",0,H950)),0)</f>
        <v/>
      </c>
      <c r="T950" s="79">
        <f>IF(AND(B950&lt;&gt;"",M950="",I950&lt;&gt;""),1/I950,0)</f>
        <v/>
      </c>
      <c r="U950" s="112">
        <f>IF(AND(B950&lt;&gt;"",M950="",I950&lt;&gt;""),I950,"")</f>
        <v/>
      </c>
      <c r="V950" s="79">
        <f>IF(U950="","",IF(U950&lt;AsOf,1,IF(U950&lt;=AsOf+AlertDays,2,IF(U950&lt;=AsOf+2*AlertDays,3,""))))</f>
        <v/>
      </c>
      <c r="W950" s="79">
        <f>IF(V950="","",IF(O950="OVERDUE","Overdue payment: ","Payment due: ")&amp;B950&amp;" — "&amp;C950&amp;" ("&amp;CurSym&amp;" "&amp;FIXED(S950,0)&amp;")")</f>
        <v/>
      </c>
      <c r="Z950" s="116">
        <f>IF('Contractors'!B950="","",'Contractors'!B950)</f>
        <v/>
      </c>
      <c r="AA950" s="77">
        <f>IF(Z950="","",'Contractors'!K950)</f>
        <v/>
      </c>
      <c r="AB950" s="77">
        <f>IF(Z950="","",SUMIFS($L$6:$L$1005,$B$6:$B$1005,Z950))</f>
        <v/>
      </c>
      <c r="AC950" s="77">
        <f>IF(Z950="","",SUMIFS($N$6:$N$1005,$B$6:$B$1005,Z950))</f>
        <v/>
      </c>
      <c r="AD950" s="76">
        <f>IF(Z950="","",AA950-AC950)</f>
        <v/>
      </c>
      <c r="AE950" s="117">
        <f>IF(Z950="","",IFERROR(1/SUMPRODUCT(MAX(($B$6:$B$1005=Z950)*$T$6:$T$1005)),""))</f>
        <v/>
      </c>
      <c r="AF950" s="77">
        <f>IF(AE950="","",SUMIFS($S$6:$S$1005,$B$6:$B$1005,Z950,$I$6:$I$1005,AE950))</f>
        <v/>
      </c>
    </row>
    <row r="951" ht="20" customHeight="1">
      <c r="B951" s="72" t="n"/>
      <c r="C951" s="72" t="n"/>
      <c r="D951" s="72" t="n"/>
      <c r="E951" s="72" t="n"/>
      <c r="F951" s="110" t="n"/>
      <c r="G951" s="73" t="n"/>
      <c r="H951" s="75">
        <f>IF(B951="","",IF(G951&lt;&gt;"",G951,IF(F951&lt;&gt;"",F951*IFERROR(INDEX('Contractors'!$I$6:$I$1005,MATCH(B951,'Contractors'!$B$6:$B$1005,0)),0),"")))</f>
        <v/>
      </c>
      <c r="I951" s="109" t="n"/>
      <c r="J951" s="72" t="n"/>
      <c r="K951" s="109" t="n"/>
      <c r="L951" s="73" t="n"/>
      <c r="M951" s="109" t="n"/>
      <c r="N951" s="73" t="n"/>
      <c r="O951" s="107">
        <f>IF(B951="","",IF(M951&lt;&gt;"","Paid",IF(AND(I951&lt;&gt;"",I951&lt;AsOf),"OVERDUE",IF(OR(K951&lt;&gt;"",L951&lt;&gt;""),"Invoiced","Scheduled"))))</f>
        <v/>
      </c>
      <c r="P951" s="115">
        <f>IF(B951="","",IF(E951&lt;&gt;"",E951,IFERROR(INDEX('Contractors'!$D$6:$D$1005,MATCH(B951,'Contractors'!$B$6:$B$1005,0)),"")))</f>
        <v/>
      </c>
      <c r="Q951" s="79">
        <f>IF(B951="","",IF(D951&lt;&gt;"",D951,IFERROR(INDEX('Contractors'!$E$6:$E$1005,MATCH(B951,'Contractors'!$B$6:$B$1005,0)),"")))</f>
        <v/>
      </c>
      <c r="R951" s="79">
        <f>IF(O951="","",IF(O951="OVERDUE",2,IF(O951="Paid",0,IF(AND(I951&lt;&gt;"",I951&lt;=AsOf+AlertDays),1,0))))</f>
        <v/>
      </c>
      <c r="S951" s="79">
        <f>IF(AND(B951&lt;&gt;"",M951="",I951&lt;&gt;""),IF(L951&lt;&gt;"",L951,IF(H951="",0,H951)),0)</f>
        <v/>
      </c>
      <c r="T951" s="79">
        <f>IF(AND(B951&lt;&gt;"",M951="",I951&lt;&gt;""),1/I951,0)</f>
        <v/>
      </c>
      <c r="U951" s="112">
        <f>IF(AND(B951&lt;&gt;"",M951="",I951&lt;&gt;""),I951,"")</f>
        <v/>
      </c>
      <c r="V951" s="79">
        <f>IF(U951="","",IF(U951&lt;AsOf,1,IF(U951&lt;=AsOf+AlertDays,2,IF(U951&lt;=AsOf+2*AlertDays,3,""))))</f>
        <v/>
      </c>
      <c r="W951" s="79">
        <f>IF(V951="","",IF(O951="OVERDUE","Overdue payment: ","Payment due: ")&amp;B951&amp;" — "&amp;C951&amp;" ("&amp;CurSym&amp;" "&amp;FIXED(S951,0)&amp;")")</f>
        <v/>
      </c>
      <c r="Z951" s="116">
        <f>IF('Contractors'!B951="","",'Contractors'!B951)</f>
        <v/>
      </c>
      <c r="AA951" s="77">
        <f>IF(Z951="","",'Contractors'!K951)</f>
        <v/>
      </c>
      <c r="AB951" s="77">
        <f>IF(Z951="","",SUMIFS($L$6:$L$1005,$B$6:$B$1005,Z951))</f>
        <v/>
      </c>
      <c r="AC951" s="77">
        <f>IF(Z951="","",SUMIFS($N$6:$N$1005,$B$6:$B$1005,Z951))</f>
        <v/>
      </c>
      <c r="AD951" s="76">
        <f>IF(Z951="","",AA951-AC951)</f>
        <v/>
      </c>
      <c r="AE951" s="117">
        <f>IF(Z951="","",IFERROR(1/SUMPRODUCT(MAX(($B$6:$B$1005=Z951)*$T$6:$T$1005)),""))</f>
        <v/>
      </c>
      <c r="AF951" s="77">
        <f>IF(AE951="","",SUMIFS($S$6:$S$1005,$B$6:$B$1005,Z951,$I$6:$I$1005,AE951))</f>
        <v/>
      </c>
    </row>
    <row r="952" ht="20" customHeight="1">
      <c r="B952" s="72" t="n"/>
      <c r="C952" s="72" t="n"/>
      <c r="D952" s="72" t="n"/>
      <c r="E952" s="72" t="n"/>
      <c r="F952" s="110" t="n"/>
      <c r="G952" s="73" t="n"/>
      <c r="H952" s="75">
        <f>IF(B952="","",IF(G952&lt;&gt;"",G952,IF(F952&lt;&gt;"",F952*IFERROR(INDEX('Contractors'!$I$6:$I$1005,MATCH(B952,'Contractors'!$B$6:$B$1005,0)),0),"")))</f>
        <v/>
      </c>
      <c r="I952" s="109" t="n"/>
      <c r="J952" s="72" t="n"/>
      <c r="K952" s="109" t="n"/>
      <c r="L952" s="73" t="n"/>
      <c r="M952" s="109" t="n"/>
      <c r="N952" s="73" t="n"/>
      <c r="O952" s="107">
        <f>IF(B952="","",IF(M952&lt;&gt;"","Paid",IF(AND(I952&lt;&gt;"",I952&lt;AsOf),"OVERDUE",IF(OR(K952&lt;&gt;"",L952&lt;&gt;""),"Invoiced","Scheduled"))))</f>
        <v/>
      </c>
      <c r="P952" s="115">
        <f>IF(B952="","",IF(E952&lt;&gt;"",E952,IFERROR(INDEX('Contractors'!$D$6:$D$1005,MATCH(B952,'Contractors'!$B$6:$B$1005,0)),"")))</f>
        <v/>
      </c>
      <c r="Q952" s="79">
        <f>IF(B952="","",IF(D952&lt;&gt;"",D952,IFERROR(INDEX('Contractors'!$E$6:$E$1005,MATCH(B952,'Contractors'!$B$6:$B$1005,0)),"")))</f>
        <v/>
      </c>
      <c r="R952" s="79">
        <f>IF(O952="","",IF(O952="OVERDUE",2,IF(O952="Paid",0,IF(AND(I952&lt;&gt;"",I952&lt;=AsOf+AlertDays),1,0))))</f>
        <v/>
      </c>
      <c r="S952" s="79">
        <f>IF(AND(B952&lt;&gt;"",M952="",I952&lt;&gt;""),IF(L952&lt;&gt;"",L952,IF(H952="",0,H952)),0)</f>
        <v/>
      </c>
      <c r="T952" s="79">
        <f>IF(AND(B952&lt;&gt;"",M952="",I952&lt;&gt;""),1/I952,0)</f>
        <v/>
      </c>
      <c r="U952" s="112">
        <f>IF(AND(B952&lt;&gt;"",M952="",I952&lt;&gt;""),I952,"")</f>
        <v/>
      </c>
      <c r="V952" s="79">
        <f>IF(U952="","",IF(U952&lt;AsOf,1,IF(U952&lt;=AsOf+AlertDays,2,IF(U952&lt;=AsOf+2*AlertDays,3,""))))</f>
        <v/>
      </c>
      <c r="W952" s="79">
        <f>IF(V952="","",IF(O952="OVERDUE","Overdue payment: ","Payment due: ")&amp;B952&amp;" — "&amp;C952&amp;" ("&amp;CurSym&amp;" "&amp;FIXED(S952,0)&amp;")")</f>
        <v/>
      </c>
      <c r="Z952" s="116">
        <f>IF('Contractors'!B952="","",'Contractors'!B952)</f>
        <v/>
      </c>
      <c r="AA952" s="77">
        <f>IF(Z952="","",'Contractors'!K952)</f>
        <v/>
      </c>
      <c r="AB952" s="77">
        <f>IF(Z952="","",SUMIFS($L$6:$L$1005,$B$6:$B$1005,Z952))</f>
        <v/>
      </c>
      <c r="AC952" s="77">
        <f>IF(Z952="","",SUMIFS($N$6:$N$1005,$B$6:$B$1005,Z952))</f>
        <v/>
      </c>
      <c r="AD952" s="76">
        <f>IF(Z952="","",AA952-AC952)</f>
        <v/>
      </c>
      <c r="AE952" s="117">
        <f>IF(Z952="","",IFERROR(1/SUMPRODUCT(MAX(($B$6:$B$1005=Z952)*$T$6:$T$1005)),""))</f>
        <v/>
      </c>
      <c r="AF952" s="77">
        <f>IF(AE952="","",SUMIFS($S$6:$S$1005,$B$6:$B$1005,Z952,$I$6:$I$1005,AE952))</f>
        <v/>
      </c>
    </row>
    <row r="953" ht="20" customHeight="1">
      <c r="B953" s="72" t="n"/>
      <c r="C953" s="72" t="n"/>
      <c r="D953" s="72" t="n"/>
      <c r="E953" s="72" t="n"/>
      <c r="F953" s="110" t="n"/>
      <c r="G953" s="73" t="n"/>
      <c r="H953" s="75">
        <f>IF(B953="","",IF(G953&lt;&gt;"",G953,IF(F953&lt;&gt;"",F953*IFERROR(INDEX('Contractors'!$I$6:$I$1005,MATCH(B953,'Contractors'!$B$6:$B$1005,0)),0),"")))</f>
        <v/>
      </c>
      <c r="I953" s="109" t="n"/>
      <c r="J953" s="72" t="n"/>
      <c r="K953" s="109" t="n"/>
      <c r="L953" s="73" t="n"/>
      <c r="M953" s="109" t="n"/>
      <c r="N953" s="73" t="n"/>
      <c r="O953" s="107">
        <f>IF(B953="","",IF(M953&lt;&gt;"","Paid",IF(AND(I953&lt;&gt;"",I953&lt;AsOf),"OVERDUE",IF(OR(K953&lt;&gt;"",L953&lt;&gt;""),"Invoiced","Scheduled"))))</f>
        <v/>
      </c>
      <c r="P953" s="115">
        <f>IF(B953="","",IF(E953&lt;&gt;"",E953,IFERROR(INDEX('Contractors'!$D$6:$D$1005,MATCH(B953,'Contractors'!$B$6:$B$1005,0)),"")))</f>
        <v/>
      </c>
      <c r="Q953" s="79">
        <f>IF(B953="","",IF(D953&lt;&gt;"",D953,IFERROR(INDEX('Contractors'!$E$6:$E$1005,MATCH(B953,'Contractors'!$B$6:$B$1005,0)),"")))</f>
        <v/>
      </c>
      <c r="R953" s="79">
        <f>IF(O953="","",IF(O953="OVERDUE",2,IF(O953="Paid",0,IF(AND(I953&lt;&gt;"",I953&lt;=AsOf+AlertDays),1,0))))</f>
        <v/>
      </c>
      <c r="S953" s="79">
        <f>IF(AND(B953&lt;&gt;"",M953="",I953&lt;&gt;""),IF(L953&lt;&gt;"",L953,IF(H953="",0,H953)),0)</f>
        <v/>
      </c>
      <c r="T953" s="79">
        <f>IF(AND(B953&lt;&gt;"",M953="",I953&lt;&gt;""),1/I953,0)</f>
        <v/>
      </c>
      <c r="U953" s="112">
        <f>IF(AND(B953&lt;&gt;"",M953="",I953&lt;&gt;""),I953,"")</f>
        <v/>
      </c>
      <c r="V953" s="79">
        <f>IF(U953="","",IF(U953&lt;AsOf,1,IF(U953&lt;=AsOf+AlertDays,2,IF(U953&lt;=AsOf+2*AlertDays,3,""))))</f>
        <v/>
      </c>
      <c r="W953" s="79">
        <f>IF(V953="","",IF(O953="OVERDUE","Overdue payment: ","Payment due: ")&amp;B953&amp;" — "&amp;C953&amp;" ("&amp;CurSym&amp;" "&amp;FIXED(S953,0)&amp;")")</f>
        <v/>
      </c>
      <c r="Z953" s="116">
        <f>IF('Contractors'!B953="","",'Contractors'!B953)</f>
        <v/>
      </c>
      <c r="AA953" s="77">
        <f>IF(Z953="","",'Contractors'!K953)</f>
        <v/>
      </c>
      <c r="AB953" s="77">
        <f>IF(Z953="","",SUMIFS($L$6:$L$1005,$B$6:$B$1005,Z953))</f>
        <v/>
      </c>
      <c r="AC953" s="77">
        <f>IF(Z953="","",SUMIFS($N$6:$N$1005,$B$6:$B$1005,Z953))</f>
        <v/>
      </c>
      <c r="AD953" s="76">
        <f>IF(Z953="","",AA953-AC953)</f>
        <v/>
      </c>
      <c r="AE953" s="117">
        <f>IF(Z953="","",IFERROR(1/SUMPRODUCT(MAX(($B$6:$B$1005=Z953)*$T$6:$T$1005)),""))</f>
        <v/>
      </c>
      <c r="AF953" s="77">
        <f>IF(AE953="","",SUMIFS($S$6:$S$1005,$B$6:$B$1005,Z953,$I$6:$I$1005,AE953))</f>
        <v/>
      </c>
    </row>
    <row r="954" ht="20" customHeight="1">
      <c r="B954" s="72" t="n"/>
      <c r="C954" s="72" t="n"/>
      <c r="D954" s="72" t="n"/>
      <c r="E954" s="72" t="n"/>
      <c r="F954" s="110" t="n"/>
      <c r="G954" s="73" t="n"/>
      <c r="H954" s="75">
        <f>IF(B954="","",IF(G954&lt;&gt;"",G954,IF(F954&lt;&gt;"",F954*IFERROR(INDEX('Contractors'!$I$6:$I$1005,MATCH(B954,'Contractors'!$B$6:$B$1005,0)),0),"")))</f>
        <v/>
      </c>
      <c r="I954" s="109" t="n"/>
      <c r="J954" s="72" t="n"/>
      <c r="K954" s="109" t="n"/>
      <c r="L954" s="73" t="n"/>
      <c r="M954" s="109" t="n"/>
      <c r="N954" s="73" t="n"/>
      <c r="O954" s="107">
        <f>IF(B954="","",IF(M954&lt;&gt;"","Paid",IF(AND(I954&lt;&gt;"",I954&lt;AsOf),"OVERDUE",IF(OR(K954&lt;&gt;"",L954&lt;&gt;""),"Invoiced","Scheduled"))))</f>
        <v/>
      </c>
      <c r="P954" s="115">
        <f>IF(B954="","",IF(E954&lt;&gt;"",E954,IFERROR(INDEX('Contractors'!$D$6:$D$1005,MATCH(B954,'Contractors'!$B$6:$B$1005,0)),"")))</f>
        <v/>
      </c>
      <c r="Q954" s="79">
        <f>IF(B954="","",IF(D954&lt;&gt;"",D954,IFERROR(INDEX('Contractors'!$E$6:$E$1005,MATCH(B954,'Contractors'!$B$6:$B$1005,0)),"")))</f>
        <v/>
      </c>
      <c r="R954" s="79">
        <f>IF(O954="","",IF(O954="OVERDUE",2,IF(O954="Paid",0,IF(AND(I954&lt;&gt;"",I954&lt;=AsOf+AlertDays),1,0))))</f>
        <v/>
      </c>
      <c r="S954" s="79">
        <f>IF(AND(B954&lt;&gt;"",M954="",I954&lt;&gt;""),IF(L954&lt;&gt;"",L954,IF(H954="",0,H954)),0)</f>
        <v/>
      </c>
      <c r="T954" s="79">
        <f>IF(AND(B954&lt;&gt;"",M954="",I954&lt;&gt;""),1/I954,0)</f>
        <v/>
      </c>
      <c r="U954" s="112">
        <f>IF(AND(B954&lt;&gt;"",M954="",I954&lt;&gt;""),I954,"")</f>
        <v/>
      </c>
      <c r="V954" s="79">
        <f>IF(U954="","",IF(U954&lt;AsOf,1,IF(U954&lt;=AsOf+AlertDays,2,IF(U954&lt;=AsOf+2*AlertDays,3,""))))</f>
        <v/>
      </c>
      <c r="W954" s="79">
        <f>IF(V954="","",IF(O954="OVERDUE","Overdue payment: ","Payment due: ")&amp;B954&amp;" — "&amp;C954&amp;" ("&amp;CurSym&amp;" "&amp;FIXED(S954,0)&amp;")")</f>
        <v/>
      </c>
      <c r="Z954" s="116">
        <f>IF('Contractors'!B954="","",'Contractors'!B954)</f>
        <v/>
      </c>
      <c r="AA954" s="77">
        <f>IF(Z954="","",'Contractors'!K954)</f>
        <v/>
      </c>
      <c r="AB954" s="77">
        <f>IF(Z954="","",SUMIFS($L$6:$L$1005,$B$6:$B$1005,Z954))</f>
        <v/>
      </c>
      <c r="AC954" s="77">
        <f>IF(Z954="","",SUMIFS($N$6:$N$1005,$B$6:$B$1005,Z954))</f>
        <v/>
      </c>
      <c r="AD954" s="76">
        <f>IF(Z954="","",AA954-AC954)</f>
        <v/>
      </c>
      <c r="AE954" s="117">
        <f>IF(Z954="","",IFERROR(1/SUMPRODUCT(MAX(($B$6:$B$1005=Z954)*$T$6:$T$1005)),""))</f>
        <v/>
      </c>
      <c r="AF954" s="77">
        <f>IF(AE954="","",SUMIFS($S$6:$S$1005,$B$6:$B$1005,Z954,$I$6:$I$1005,AE954))</f>
        <v/>
      </c>
    </row>
    <row r="955" ht="20" customHeight="1">
      <c r="B955" s="72" t="n"/>
      <c r="C955" s="72" t="n"/>
      <c r="D955" s="72" t="n"/>
      <c r="E955" s="72" t="n"/>
      <c r="F955" s="110" t="n"/>
      <c r="G955" s="73" t="n"/>
      <c r="H955" s="75">
        <f>IF(B955="","",IF(G955&lt;&gt;"",G955,IF(F955&lt;&gt;"",F955*IFERROR(INDEX('Contractors'!$I$6:$I$1005,MATCH(B955,'Contractors'!$B$6:$B$1005,0)),0),"")))</f>
        <v/>
      </c>
      <c r="I955" s="109" t="n"/>
      <c r="J955" s="72" t="n"/>
      <c r="K955" s="109" t="n"/>
      <c r="L955" s="73" t="n"/>
      <c r="M955" s="109" t="n"/>
      <c r="N955" s="73" t="n"/>
      <c r="O955" s="107">
        <f>IF(B955="","",IF(M955&lt;&gt;"","Paid",IF(AND(I955&lt;&gt;"",I955&lt;AsOf),"OVERDUE",IF(OR(K955&lt;&gt;"",L955&lt;&gt;""),"Invoiced","Scheduled"))))</f>
        <v/>
      </c>
      <c r="P955" s="115">
        <f>IF(B955="","",IF(E955&lt;&gt;"",E955,IFERROR(INDEX('Contractors'!$D$6:$D$1005,MATCH(B955,'Contractors'!$B$6:$B$1005,0)),"")))</f>
        <v/>
      </c>
      <c r="Q955" s="79">
        <f>IF(B955="","",IF(D955&lt;&gt;"",D955,IFERROR(INDEX('Contractors'!$E$6:$E$1005,MATCH(B955,'Contractors'!$B$6:$B$1005,0)),"")))</f>
        <v/>
      </c>
      <c r="R955" s="79">
        <f>IF(O955="","",IF(O955="OVERDUE",2,IF(O955="Paid",0,IF(AND(I955&lt;&gt;"",I955&lt;=AsOf+AlertDays),1,0))))</f>
        <v/>
      </c>
      <c r="S955" s="79">
        <f>IF(AND(B955&lt;&gt;"",M955="",I955&lt;&gt;""),IF(L955&lt;&gt;"",L955,IF(H955="",0,H955)),0)</f>
        <v/>
      </c>
      <c r="T955" s="79">
        <f>IF(AND(B955&lt;&gt;"",M955="",I955&lt;&gt;""),1/I955,0)</f>
        <v/>
      </c>
      <c r="U955" s="112">
        <f>IF(AND(B955&lt;&gt;"",M955="",I955&lt;&gt;""),I955,"")</f>
        <v/>
      </c>
      <c r="V955" s="79">
        <f>IF(U955="","",IF(U955&lt;AsOf,1,IF(U955&lt;=AsOf+AlertDays,2,IF(U955&lt;=AsOf+2*AlertDays,3,""))))</f>
        <v/>
      </c>
      <c r="W955" s="79">
        <f>IF(V955="","",IF(O955="OVERDUE","Overdue payment: ","Payment due: ")&amp;B955&amp;" — "&amp;C955&amp;" ("&amp;CurSym&amp;" "&amp;FIXED(S955,0)&amp;")")</f>
        <v/>
      </c>
      <c r="Z955" s="116">
        <f>IF('Contractors'!B955="","",'Contractors'!B955)</f>
        <v/>
      </c>
      <c r="AA955" s="77">
        <f>IF(Z955="","",'Contractors'!K955)</f>
        <v/>
      </c>
      <c r="AB955" s="77">
        <f>IF(Z955="","",SUMIFS($L$6:$L$1005,$B$6:$B$1005,Z955))</f>
        <v/>
      </c>
      <c r="AC955" s="77">
        <f>IF(Z955="","",SUMIFS($N$6:$N$1005,$B$6:$B$1005,Z955))</f>
        <v/>
      </c>
      <c r="AD955" s="76">
        <f>IF(Z955="","",AA955-AC955)</f>
        <v/>
      </c>
      <c r="AE955" s="117">
        <f>IF(Z955="","",IFERROR(1/SUMPRODUCT(MAX(($B$6:$B$1005=Z955)*$T$6:$T$1005)),""))</f>
        <v/>
      </c>
      <c r="AF955" s="77">
        <f>IF(AE955="","",SUMIFS($S$6:$S$1005,$B$6:$B$1005,Z955,$I$6:$I$1005,AE955))</f>
        <v/>
      </c>
    </row>
    <row r="956" ht="20" customHeight="1">
      <c r="B956" s="72" t="n"/>
      <c r="C956" s="72" t="n"/>
      <c r="D956" s="72" t="n"/>
      <c r="E956" s="72" t="n"/>
      <c r="F956" s="110" t="n"/>
      <c r="G956" s="73" t="n"/>
      <c r="H956" s="75">
        <f>IF(B956="","",IF(G956&lt;&gt;"",G956,IF(F956&lt;&gt;"",F956*IFERROR(INDEX('Contractors'!$I$6:$I$1005,MATCH(B956,'Contractors'!$B$6:$B$1005,0)),0),"")))</f>
        <v/>
      </c>
      <c r="I956" s="109" t="n"/>
      <c r="J956" s="72" t="n"/>
      <c r="K956" s="109" t="n"/>
      <c r="L956" s="73" t="n"/>
      <c r="M956" s="109" t="n"/>
      <c r="N956" s="73" t="n"/>
      <c r="O956" s="107">
        <f>IF(B956="","",IF(M956&lt;&gt;"","Paid",IF(AND(I956&lt;&gt;"",I956&lt;AsOf),"OVERDUE",IF(OR(K956&lt;&gt;"",L956&lt;&gt;""),"Invoiced","Scheduled"))))</f>
        <v/>
      </c>
      <c r="P956" s="115">
        <f>IF(B956="","",IF(E956&lt;&gt;"",E956,IFERROR(INDEX('Contractors'!$D$6:$D$1005,MATCH(B956,'Contractors'!$B$6:$B$1005,0)),"")))</f>
        <v/>
      </c>
      <c r="Q956" s="79">
        <f>IF(B956="","",IF(D956&lt;&gt;"",D956,IFERROR(INDEX('Contractors'!$E$6:$E$1005,MATCH(B956,'Contractors'!$B$6:$B$1005,0)),"")))</f>
        <v/>
      </c>
      <c r="R956" s="79">
        <f>IF(O956="","",IF(O956="OVERDUE",2,IF(O956="Paid",0,IF(AND(I956&lt;&gt;"",I956&lt;=AsOf+AlertDays),1,0))))</f>
        <v/>
      </c>
      <c r="S956" s="79">
        <f>IF(AND(B956&lt;&gt;"",M956="",I956&lt;&gt;""),IF(L956&lt;&gt;"",L956,IF(H956="",0,H956)),0)</f>
        <v/>
      </c>
      <c r="T956" s="79">
        <f>IF(AND(B956&lt;&gt;"",M956="",I956&lt;&gt;""),1/I956,0)</f>
        <v/>
      </c>
      <c r="U956" s="112">
        <f>IF(AND(B956&lt;&gt;"",M956="",I956&lt;&gt;""),I956,"")</f>
        <v/>
      </c>
      <c r="V956" s="79">
        <f>IF(U956="","",IF(U956&lt;AsOf,1,IF(U956&lt;=AsOf+AlertDays,2,IF(U956&lt;=AsOf+2*AlertDays,3,""))))</f>
        <v/>
      </c>
      <c r="W956" s="79">
        <f>IF(V956="","",IF(O956="OVERDUE","Overdue payment: ","Payment due: ")&amp;B956&amp;" — "&amp;C956&amp;" ("&amp;CurSym&amp;" "&amp;FIXED(S956,0)&amp;")")</f>
        <v/>
      </c>
      <c r="Z956" s="116">
        <f>IF('Contractors'!B956="","",'Contractors'!B956)</f>
        <v/>
      </c>
      <c r="AA956" s="77">
        <f>IF(Z956="","",'Contractors'!K956)</f>
        <v/>
      </c>
      <c r="AB956" s="77">
        <f>IF(Z956="","",SUMIFS($L$6:$L$1005,$B$6:$B$1005,Z956))</f>
        <v/>
      </c>
      <c r="AC956" s="77">
        <f>IF(Z956="","",SUMIFS($N$6:$N$1005,$B$6:$B$1005,Z956))</f>
        <v/>
      </c>
      <c r="AD956" s="76">
        <f>IF(Z956="","",AA956-AC956)</f>
        <v/>
      </c>
      <c r="AE956" s="117">
        <f>IF(Z956="","",IFERROR(1/SUMPRODUCT(MAX(($B$6:$B$1005=Z956)*$T$6:$T$1005)),""))</f>
        <v/>
      </c>
      <c r="AF956" s="77">
        <f>IF(AE956="","",SUMIFS($S$6:$S$1005,$B$6:$B$1005,Z956,$I$6:$I$1005,AE956))</f>
        <v/>
      </c>
    </row>
    <row r="957" ht="20" customHeight="1">
      <c r="B957" s="72" t="n"/>
      <c r="C957" s="72" t="n"/>
      <c r="D957" s="72" t="n"/>
      <c r="E957" s="72" t="n"/>
      <c r="F957" s="110" t="n"/>
      <c r="G957" s="73" t="n"/>
      <c r="H957" s="75">
        <f>IF(B957="","",IF(G957&lt;&gt;"",G957,IF(F957&lt;&gt;"",F957*IFERROR(INDEX('Contractors'!$I$6:$I$1005,MATCH(B957,'Contractors'!$B$6:$B$1005,0)),0),"")))</f>
        <v/>
      </c>
      <c r="I957" s="109" t="n"/>
      <c r="J957" s="72" t="n"/>
      <c r="K957" s="109" t="n"/>
      <c r="L957" s="73" t="n"/>
      <c r="M957" s="109" t="n"/>
      <c r="N957" s="73" t="n"/>
      <c r="O957" s="107">
        <f>IF(B957="","",IF(M957&lt;&gt;"","Paid",IF(AND(I957&lt;&gt;"",I957&lt;AsOf),"OVERDUE",IF(OR(K957&lt;&gt;"",L957&lt;&gt;""),"Invoiced","Scheduled"))))</f>
        <v/>
      </c>
      <c r="P957" s="115">
        <f>IF(B957="","",IF(E957&lt;&gt;"",E957,IFERROR(INDEX('Contractors'!$D$6:$D$1005,MATCH(B957,'Contractors'!$B$6:$B$1005,0)),"")))</f>
        <v/>
      </c>
      <c r="Q957" s="79">
        <f>IF(B957="","",IF(D957&lt;&gt;"",D957,IFERROR(INDEX('Contractors'!$E$6:$E$1005,MATCH(B957,'Contractors'!$B$6:$B$1005,0)),"")))</f>
        <v/>
      </c>
      <c r="R957" s="79">
        <f>IF(O957="","",IF(O957="OVERDUE",2,IF(O957="Paid",0,IF(AND(I957&lt;&gt;"",I957&lt;=AsOf+AlertDays),1,0))))</f>
        <v/>
      </c>
      <c r="S957" s="79">
        <f>IF(AND(B957&lt;&gt;"",M957="",I957&lt;&gt;""),IF(L957&lt;&gt;"",L957,IF(H957="",0,H957)),0)</f>
        <v/>
      </c>
      <c r="T957" s="79">
        <f>IF(AND(B957&lt;&gt;"",M957="",I957&lt;&gt;""),1/I957,0)</f>
        <v/>
      </c>
      <c r="U957" s="112">
        <f>IF(AND(B957&lt;&gt;"",M957="",I957&lt;&gt;""),I957,"")</f>
        <v/>
      </c>
      <c r="V957" s="79">
        <f>IF(U957="","",IF(U957&lt;AsOf,1,IF(U957&lt;=AsOf+AlertDays,2,IF(U957&lt;=AsOf+2*AlertDays,3,""))))</f>
        <v/>
      </c>
      <c r="W957" s="79">
        <f>IF(V957="","",IF(O957="OVERDUE","Overdue payment: ","Payment due: ")&amp;B957&amp;" — "&amp;C957&amp;" ("&amp;CurSym&amp;" "&amp;FIXED(S957,0)&amp;")")</f>
        <v/>
      </c>
      <c r="Z957" s="116">
        <f>IF('Contractors'!B957="","",'Contractors'!B957)</f>
        <v/>
      </c>
      <c r="AA957" s="77">
        <f>IF(Z957="","",'Contractors'!K957)</f>
        <v/>
      </c>
      <c r="AB957" s="77">
        <f>IF(Z957="","",SUMIFS($L$6:$L$1005,$B$6:$B$1005,Z957))</f>
        <v/>
      </c>
      <c r="AC957" s="77">
        <f>IF(Z957="","",SUMIFS($N$6:$N$1005,$B$6:$B$1005,Z957))</f>
        <v/>
      </c>
      <c r="AD957" s="76">
        <f>IF(Z957="","",AA957-AC957)</f>
        <v/>
      </c>
      <c r="AE957" s="117">
        <f>IF(Z957="","",IFERROR(1/SUMPRODUCT(MAX(($B$6:$B$1005=Z957)*$T$6:$T$1005)),""))</f>
        <v/>
      </c>
      <c r="AF957" s="77">
        <f>IF(AE957="","",SUMIFS($S$6:$S$1005,$B$6:$B$1005,Z957,$I$6:$I$1005,AE957))</f>
        <v/>
      </c>
    </row>
    <row r="958" ht="20" customHeight="1">
      <c r="B958" s="72" t="n"/>
      <c r="C958" s="72" t="n"/>
      <c r="D958" s="72" t="n"/>
      <c r="E958" s="72" t="n"/>
      <c r="F958" s="110" t="n"/>
      <c r="G958" s="73" t="n"/>
      <c r="H958" s="75">
        <f>IF(B958="","",IF(G958&lt;&gt;"",G958,IF(F958&lt;&gt;"",F958*IFERROR(INDEX('Contractors'!$I$6:$I$1005,MATCH(B958,'Contractors'!$B$6:$B$1005,0)),0),"")))</f>
        <v/>
      </c>
      <c r="I958" s="109" t="n"/>
      <c r="J958" s="72" t="n"/>
      <c r="K958" s="109" t="n"/>
      <c r="L958" s="73" t="n"/>
      <c r="M958" s="109" t="n"/>
      <c r="N958" s="73" t="n"/>
      <c r="O958" s="107">
        <f>IF(B958="","",IF(M958&lt;&gt;"","Paid",IF(AND(I958&lt;&gt;"",I958&lt;AsOf),"OVERDUE",IF(OR(K958&lt;&gt;"",L958&lt;&gt;""),"Invoiced","Scheduled"))))</f>
        <v/>
      </c>
      <c r="P958" s="115">
        <f>IF(B958="","",IF(E958&lt;&gt;"",E958,IFERROR(INDEX('Contractors'!$D$6:$D$1005,MATCH(B958,'Contractors'!$B$6:$B$1005,0)),"")))</f>
        <v/>
      </c>
      <c r="Q958" s="79">
        <f>IF(B958="","",IF(D958&lt;&gt;"",D958,IFERROR(INDEX('Contractors'!$E$6:$E$1005,MATCH(B958,'Contractors'!$B$6:$B$1005,0)),"")))</f>
        <v/>
      </c>
      <c r="R958" s="79">
        <f>IF(O958="","",IF(O958="OVERDUE",2,IF(O958="Paid",0,IF(AND(I958&lt;&gt;"",I958&lt;=AsOf+AlertDays),1,0))))</f>
        <v/>
      </c>
      <c r="S958" s="79">
        <f>IF(AND(B958&lt;&gt;"",M958="",I958&lt;&gt;""),IF(L958&lt;&gt;"",L958,IF(H958="",0,H958)),0)</f>
        <v/>
      </c>
      <c r="T958" s="79">
        <f>IF(AND(B958&lt;&gt;"",M958="",I958&lt;&gt;""),1/I958,0)</f>
        <v/>
      </c>
      <c r="U958" s="112">
        <f>IF(AND(B958&lt;&gt;"",M958="",I958&lt;&gt;""),I958,"")</f>
        <v/>
      </c>
      <c r="V958" s="79">
        <f>IF(U958="","",IF(U958&lt;AsOf,1,IF(U958&lt;=AsOf+AlertDays,2,IF(U958&lt;=AsOf+2*AlertDays,3,""))))</f>
        <v/>
      </c>
      <c r="W958" s="79">
        <f>IF(V958="","",IF(O958="OVERDUE","Overdue payment: ","Payment due: ")&amp;B958&amp;" — "&amp;C958&amp;" ("&amp;CurSym&amp;" "&amp;FIXED(S958,0)&amp;")")</f>
        <v/>
      </c>
      <c r="Z958" s="116">
        <f>IF('Contractors'!B958="","",'Contractors'!B958)</f>
        <v/>
      </c>
      <c r="AA958" s="77">
        <f>IF(Z958="","",'Contractors'!K958)</f>
        <v/>
      </c>
      <c r="AB958" s="77">
        <f>IF(Z958="","",SUMIFS($L$6:$L$1005,$B$6:$B$1005,Z958))</f>
        <v/>
      </c>
      <c r="AC958" s="77">
        <f>IF(Z958="","",SUMIFS($N$6:$N$1005,$B$6:$B$1005,Z958))</f>
        <v/>
      </c>
      <c r="AD958" s="76">
        <f>IF(Z958="","",AA958-AC958)</f>
        <v/>
      </c>
      <c r="AE958" s="117">
        <f>IF(Z958="","",IFERROR(1/SUMPRODUCT(MAX(($B$6:$B$1005=Z958)*$T$6:$T$1005)),""))</f>
        <v/>
      </c>
      <c r="AF958" s="77">
        <f>IF(AE958="","",SUMIFS($S$6:$S$1005,$B$6:$B$1005,Z958,$I$6:$I$1005,AE958))</f>
        <v/>
      </c>
    </row>
    <row r="959" ht="20" customHeight="1">
      <c r="B959" s="72" t="n"/>
      <c r="C959" s="72" t="n"/>
      <c r="D959" s="72" t="n"/>
      <c r="E959" s="72" t="n"/>
      <c r="F959" s="110" t="n"/>
      <c r="G959" s="73" t="n"/>
      <c r="H959" s="75">
        <f>IF(B959="","",IF(G959&lt;&gt;"",G959,IF(F959&lt;&gt;"",F959*IFERROR(INDEX('Contractors'!$I$6:$I$1005,MATCH(B959,'Contractors'!$B$6:$B$1005,0)),0),"")))</f>
        <v/>
      </c>
      <c r="I959" s="109" t="n"/>
      <c r="J959" s="72" t="n"/>
      <c r="K959" s="109" t="n"/>
      <c r="L959" s="73" t="n"/>
      <c r="M959" s="109" t="n"/>
      <c r="N959" s="73" t="n"/>
      <c r="O959" s="107">
        <f>IF(B959="","",IF(M959&lt;&gt;"","Paid",IF(AND(I959&lt;&gt;"",I959&lt;AsOf),"OVERDUE",IF(OR(K959&lt;&gt;"",L959&lt;&gt;""),"Invoiced","Scheduled"))))</f>
        <v/>
      </c>
      <c r="P959" s="115">
        <f>IF(B959="","",IF(E959&lt;&gt;"",E959,IFERROR(INDEX('Contractors'!$D$6:$D$1005,MATCH(B959,'Contractors'!$B$6:$B$1005,0)),"")))</f>
        <v/>
      </c>
      <c r="Q959" s="79">
        <f>IF(B959="","",IF(D959&lt;&gt;"",D959,IFERROR(INDEX('Contractors'!$E$6:$E$1005,MATCH(B959,'Contractors'!$B$6:$B$1005,0)),"")))</f>
        <v/>
      </c>
      <c r="R959" s="79">
        <f>IF(O959="","",IF(O959="OVERDUE",2,IF(O959="Paid",0,IF(AND(I959&lt;&gt;"",I959&lt;=AsOf+AlertDays),1,0))))</f>
        <v/>
      </c>
      <c r="S959" s="79">
        <f>IF(AND(B959&lt;&gt;"",M959="",I959&lt;&gt;""),IF(L959&lt;&gt;"",L959,IF(H959="",0,H959)),0)</f>
        <v/>
      </c>
      <c r="T959" s="79">
        <f>IF(AND(B959&lt;&gt;"",M959="",I959&lt;&gt;""),1/I959,0)</f>
        <v/>
      </c>
      <c r="U959" s="112">
        <f>IF(AND(B959&lt;&gt;"",M959="",I959&lt;&gt;""),I959,"")</f>
        <v/>
      </c>
      <c r="V959" s="79">
        <f>IF(U959="","",IF(U959&lt;AsOf,1,IF(U959&lt;=AsOf+AlertDays,2,IF(U959&lt;=AsOf+2*AlertDays,3,""))))</f>
        <v/>
      </c>
      <c r="W959" s="79">
        <f>IF(V959="","",IF(O959="OVERDUE","Overdue payment: ","Payment due: ")&amp;B959&amp;" — "&amp;C959&amp;" ("&amp;CurSym&amp;" "&amp;FIXED(S959,0)&amp;")")</f>
        <v/>
      </c>
      <c r="Z959" s="116">
        <f>IF('Contractors'!B959="","",'Contractors'!B959)</f>
        <v/>
      </c>
      <c r="AA959" s="77">
        <f>IF(Z959="","",'Contractors'!K959)</f>
        <v/>
      </c>
      <c r="AB959" s="77">
        <f>IF(Z959="","",SUMIFS($L$6:$L$1005,$B$6:$B$1005,Z959))</f>
        <v/>
      </c>
      <c r="AC959" s="77">
        <f>IF(Z959="","",SUMIFS($N$6:$N$1005,$B$6:$B$1005,Z959))</f>
        <v/>
      </c>
      <c r="AD959" s="76">
        <f>IF(Z959="","",AA959-AC959)</f>
        <v/>
      </c>
      <c r="AE959" s="117">
        <f>IF(Z959="","",IFERROR(1/SUMPRODUCT(MAX(($B$6:$B$1005=Z959)*$T$6:$T$1005)),""))</f>
        <v/>
      </c>
      <c r="AF959" s="77">
        <f>IF(AE959="","",SUMIFS($S$6:$S$1005,$B$6:$B$1005,Z959,$I$6:$I$1005,AE959))</f>
        <v/>
      </c>
    </row>
    <row r="960" ht="20" customHeight="1">
      <c r="B960" s="72" t="n"/>
      <c r="C960" s="72" t="n"/>
      <c r="D960" s="72" t="n"/>
      <c r="E960" s="72" t="n"/>
      <c r="F960" s="110" t="n"/>
      <c r="G960" s="73" t="n"/>
      <c r="H960" s="75">
        <f>IF(B960="","",IF(G960&lt;&gt;"",G960,IF(F960&lt;&gt;"",F960*IFERROR(INDEX('Contractors'!$I$6:$I$1005,MATCH(B960,'Contractors'!$B$6:$B$1005,0)),0),"")))</f>
        <v/>
      </c>
      <c r="I960" s="109" t="n"/>
      <c r="J960" s="72" t="n"/>
      <c r="K960" s="109" t="n"/>
      <c r="L960" s="73" t="n"/>
      <c r="M960" s="109" t="n"/>
      <c r="N960" s="73" t="n"/>
      <c r="O960" s="107">
        <f>IF(B960="","",IF(M960&lt;&gt;"","Paid",IF(AND(I960&lt;&gt;"",I960&lt;AsOf),"OVERDUE",IF(OR(K960&lt;&gt;"",L960&lt;&gt;""),"Invoiced","Scheduled"))))</f>
        <v/>
      </c>
      <c r="P960" s="115">
        <f>IF(B960="","",IF(E960&lt;&gt;"",E960,IFERROR(INDEX('Contractors'!$D$6:$D$1005,MATCH(B960,'Contractors'!$B$6:$B$1005,0)),"")))</f>
        <v/>
      </c>
      <c r="Q960" s="79">
        <f>IF(B960="","",IF(D960&lt;&gt;"",D960,IFERROR(INDEX('Contractors'!$E$6:$E$1005,MATCH(B960,'Contractors'!$B$6:$B$1005,0)),"")))</f>
        <v/>
      </c>
      <c r="R960" s="79">
        <f>IF(O960="","",IF(O960="OVERDUE",2,IF(O960="Paid",0,IF(AND(I960&lt;&gt;"",I960&lt;=AsOf+AlertDays),1,0))))</f>
        <v/>
      </c>
      <c r="S960" s="79">
        <f>IF(AND(B960&lt;&gt;"",M960="",I960&lt;&gt;""),IF(L960&lt;&gt;"",L960,IF(H960="",0,H960)),0)</f>
        <v/>
      </c>
      <c r="T960" s="79">
        <f>IF(AND(B960&lt;&gt;"",M960="",I960&lt;&gt;""),1/I960,0)</f>
        <v/>
      </c>
      <c r="U960" s="112">
        <f>IF(AND(B960&lt;&gt;"",M960="",I960&lt;&gt;""),I960,"")</f>
        <v/>
      </c>
      <c r="V960" s="79">
        <f>IF(U960="","",IF(U960&lt;AsOf,1,IF(U960&lt;=AsOf+AlertDays,2,IF(U960&lt;=AsOf+2*AlertDays,3,""))))</f>
        <v/>
      </c>
      <c r="W960" s="79">
        <f>IF(V960="","",IF(O960="OVERDUE","Overdue payment: ","Payment due: ")&amp;B960&amp;" — "&amp;C960&amp;" ("&amp;CurSym&amp;" "&amp;FIXED(S960,0)&amp;")")</f>
        <v/>
      </c>
      <c r="Z960" s="116">
        <f>IF('Contractors'!B960="","",'Contractors'!B960)</f>
        <v/>
      </c>
      <c r="AA960" s="77">
        <f>IF(Z960="","",'Contractors'!K960)</f>
        <v/>
      </c>
      <c r="AB960" s="77">
        <f>IF(Z960="","",SUMIFS($L$6:$L$1005,$B$6:$B$1005,Z960))</f>
        <v/>
      </c>
      <c r="AC960" s="77">
        <f>IF(Z960="","",SUMIFS($N$6:$N$1005,$B$6:$B$1005,Z960))</f>
        <v/>
      </c>
      <c r="AD960" s="76">
        <f>IF(Z960="","",AA960-AC960)</f>
        <v/>
      </c>
      <c r="AE960" s="117">
        <f>IF(Z960="","",IFERROR(1/SUMPRODUCT(MAX(($B$6:$B$1005=Z960)*$T$6:$T$1005)),""))</f>
        <v/>
      </c>
      <c r="AF960" s="77">
        <f>IF(AE960="","",SUMIFS($S$6:$S$1005,$B$6:$B$1005,Z960,$I$6:$I$1005,AE960))</f>
        <v/>
      </c>
    </row>
    <row r="961" ht="20" customHeight="1">
      <c r="B961" s="72" t="n"/>
      <c r="C961" s="72" t="n"/>
      <c r="D961" s="72" t="n"/>
      <c r="E961" s="72" t="n"/>
      <c r="F961" s="110" t="n"/>
      <c r="G961" s="73" t="n"/>
      <c r="H961" s="75">
        <f>IF(B961="","",IF(G961&lt;&gt;"",G961,IF(F961&lt;&gt;"",F961*IFERROR(INDEX('Contractors'!$I$6:$I$1005,MATCH(B961,'Contractors'!$B$6:$B$1005,0)),0),"")))</f>
        <v/>
      </c>
      <c r="I961" s="109" t="n"/>
      <c r="J961" s="72" t="n"/>
      <c r="K961" s="109" t="n"/>
      <c r="L961" s="73" t="n"/>
      <c r="M961" s="109" t="n"/>
      <c r="N961" s="73" t="n"/>
      <c r="O961" s="107">
        <f>IF(B961="","",IF(M961&lt;&gt;"","Paid",IF(AND(I961&lt;&gt;"",I961&lt;AsOf),"OVERDUE",IF(OR(K961&lt;&gt;"",L961&lt;&gt;""),"Invoiced","Scheduled"))))</f>
        <v/>
      </c>
      <c r="P961" s="115">
        <f>IF(B961="","",IF(E961&lt;&gt;"",E961,IFERROR(INDEX('Contractors'!$D$6:$D$1005,MATCH(B961,'Contractors'!$B$6:$B$1005,0)),"")))</f>
        <v/>
      </c>
      <c r="Q961" s="79">
        <f>IF(B961="","",IF(D961&lt;&gt;"",D961,IFERROR(INDEX('Contractors'!$E$6:$E$1005,MATCH(B961,'Contractors'!$B$6:$B$1005,0)),"")))</f>
        <v/>
      </c>
      <c r="R961" s="79">
        <f>IF(O961="","",IF(O961="OVERDUE",2,IF(O961="Paid",0,IF(AND(I961&lt;&gt;"",I961&lt;=AsOf+AlertDays),1,0))))</f>
        <v/>
      </c>
      <c r="S961" s="79">
        <f>IF(AND(B961&lt;&gt;"",M961="",I961&lt;&gt;""),IF(L961&lt;&gt;"",L961,IF(H961="",0,H961)),0)</f>
        <v/>
      </c>
      <c r="T961" s="79">
        <f>IF(AND(B961&lt;&gt;"",M961="",I961&lt;&gt;""),1/I961,0)</f>
        <v/>
      </c>
      <c r="U961" s="112">
        <f>IF(AND(B961&lt;&gt;"",M961="",I961&lt;&gt;""),I961,"")</f>
        <v/>
      </c>
      <c r="V961" s="79">
        <f>IF(U961="","",IF(U961&lt;AsOf,1,IF(U961&lt;=AsOf+AlertDays,2,IF(U961&lt;=AsOf+2*AlertDays,3,""))))</f>
        <v/>
      </c>
      <c r="W961" s="79">
        <f>IF(V961="","",IF(O961="OVERDUE","Overdue payment: ","Payment due: ")&amp;B961&amp;" — "&amp;C961&amp;" ("&amp;CurSym&amp;" "&amp;FIXED(S961,0)&amp;")")</f>
        <v/>
      </c>
      <c r="Z961" s="116">
        <f>IF('Contractors'!B961="","",'Contractors'!B961)</f>
        <v/>
      </c>
      <c r="AA961" s="77">
        <f>IF(Z961="","",'Contractors'!K961)</f>
        <v/>
      </c>
      <c r="AB961" s="77">
        <f>IF(Z961="","",SUMIFS($L$6:$L$1005,$B$6:$B$1005,Z961))</f>
        <v/>
      </c>
      <c r="AC961" s="77">
        <f>IF(Z961="","",SUMIFS($N$6:$N$1005,$B$6:$B$1005,Z961))</f>
        <v/>
      </c>
      <c r="AD961" s="76">
        <f>IF(Z961="","",AA961-AC961)</f>
        <v/>
      </c>
      <c r="AE961" s="117">
        <f>IF(Z961="","",IFERROR(1/SUMPRODUCT(MAX(($B$6:$B$1005=Z961)*$T$6:$T$1005)),""))</f>
        <v/>
      </c>
      <c r="AF961" s="77">
        <f>IF(AE961="","",SUMIFS($S$6:$S$1005,$B$6:$B$1005,Z961,$I$6:$I$1005,AE961))</f>
        <v/>
      </c>
    </row>
    <row r="962" ht="20" customHeight="1">
      <c r="B962" s="72" t="n"/>
      <c r="C962" s="72" t="n"/>
      <c r="D962" s="72" t="n"/>
      <c r="E962" s="72" t="n"/>
      <c r="F962" s="110" t="n"/>
      <c r="G962" s="73" t="n"/>
      <c r="H962" s="75">
        <f>IF(B962="","",IF(G962&lt;&gt;"",G962,IF(F962&lt;&gt;"",F962*IFERROR(INDEX('Contractors'!$I$6:$I$1005,MATCH(B962,'Contractors'!$B$6:$B$1005,0)),0),"")))</f>
        <v/>
      </c>
      <c r="I962" s="109" t="n"/>
      <c r="J962" s="72" t="n"/>
      <c r="K962" s="109" t="n"/>
      <c r="L962" s="73" t="n"/>
      <c r="M962" s="109" t="n"/>
      <c r="N962" s="73" t="n"/>
      <c r="O962" s="107">
        <f>IF(B962="","",IF(M962&lt;&gt;"","Paid",IF(AND(I962&lt;&gt;"",I962&lt;AsOf),"OVERDUE",IF(OR(K962&lt;&gt;"",L962&lt;&gt;""),"Invoiced","Scheduled"))))</f>
        <v/>
      </c>
      <c r="P962" s="115">
        <f>IF(B962="","",IF(E962&lt;&gt;"",E962,IFERROR(INDEX('Contractors'!$D$6:$D$1005,MATCH(B962,'Contractors'!$B$6:$B$1005,0)),"")))</f>
        <v/>
      </c>
      <c r="Q962" s="79">
        <f>IF(B962="","",IF(D962&lt;&gt;"",D962,IFERROR(INDEX('Contractors'!$E$6:$E$1005,MATCH(B962,'Contractors'!$B$6:$B$1005,0)),"")))</f>
        <v/>
      </c>
      <c r="R962" s="79">
        <f>IF(O962="","",IF(O962="OVERDUE",2,IF(O962="Paid",0,IF(AND(I962&lt;&gt;"",I962&lt;=AsOf+AlertDays),1,0))))</f>
        <v/>
      </c>
      <c r="S962" s="79">
        <f>IF(AND(B962&lt;&gt;"",M962="",I962&lt;&gt;""),IF(L962&lt;&gt;"",L962,IF(H962="",0,H962)),0)</f>
        <v/>
      </c>
      <c r="T962" s="79">
        <f>IF(AND(B962&lt;&gt;"",M962="",I962&lt;&gt;""),1/I962,0)</f>
        <v/>
      </c>
      <c r="U962" s="112">
        <f>IF(AND(B962&lt;&gt;"",M962="",I962&lt;&gt;""),I962,"")</f>
        <v/>
      </c>
      <c r="V962" s="79">
        <f>IF(U962="","",IF(U962&lt;AsOf,1,IF(U962&lt;=AsOf+AlertDays,2,IF(U962&lt;=AsOf+2*AlertDays,3,""))))</f>
        <v/>
      </c>
      <c r="W962" s="79">
        <f>IF(V962="","",IF(O962="OVERDUE","Overdue payment: ","Payment due: ")&amp;B962&amp;" — "&amp;C962&amp;" ("&amp;CurSym&amp;" "&amp;FIXED(S962,0)&amp;")")</f>
        <v/>
      </c>
      <c r="Z962" s="116">
        <f>IF('Contractors'!B962="","",'Contractors'!B962)</f>
        <v/>
      </c>
      <c r="AA962" s="77">
        <f>IF(Z962="","",'Contractors'!K962)</f>
        <v/>
      </c>
      <c r="AB962" s="77">
        <f>IF(Z962="","",SUMIFS($L$6:$L$1005,$B$6:$B$1005,Z962))</f>
        <v/>
      </c>
      <c r="AC962" s="77">
        <f>IF(Z962="","",SUMIFS($N$6:$N$1005,$B$6:$B$1005,Z962))</f>
        <v/>
      </c>
      <c r="AD962" s="76">
        <f>IF(Z962="","",AA962-AC962)</f>
        <v/>
      </c>
      <c r="AE962" s="117">
        <f>IF(Z962="","",IFERROR(1/SUMPRODUCT(MAX(($B$6:$B$1005=Z962)*$T$6:$T$1005)),""))</f>
        <v/>
      </c>
      <c r="AF962" s="77">
        <f>IF(AE962="","",SUMIFS($S$6:$S$1005,$B$6:$B$1005,Z962,$I$6:$I$1005,AE962))</f>
        <v/>
      </c>
    </row>
    <row r="963" ht="20" customHeight="1">
      <c r="B963" s="72" t="n"/>
      <c r="C963" s="72" t="n"/>
      <c r="D963" s="72" t="n"/>
      <c r="E963" s="72" t="n"/>
      <c r="F963" s="110" t="n"/>
      <c r="G963" s="73" t="n"/>
      <c r="H963" s="75">
        <f>IF(B963="","",IF(G963&lt;&gt;"",G963,IF(F963&lt;&gt;"",F963*IFERROR(INDEX('Contractors'!$I$6:$I$1005,MATCH(B963,'Contractors'!$B$6:$B$1005,0)),0),"")))</f>
        <v/>
      </c>
      <c r="I963" s="109" t="n"/>
      <c r="J963" s="72" t="n"/>
      <c r="K963" s="109" t="n"/>
      <c r="L963" s="73" t="n"/>
      <c r="M963" s="109" t="n"/>
      <c r="N963" s="73" t="n"/>
      <c r="O963" s="107">
        <f>IF(B963="","",IF(M963&lt;&gt;"","Paid",IF(AND(I963&lt;&gt;"",I963&lt;AsOf),"OVERDUE",IF(OR(K963&lt;&gt;"",L963&lt;&gt;""),"Invoiced","Scheduled"))))</f>
        <v/>
      </c>
      <c r="P963" s="115">
        <f>IF(B963="","",IF(E963&lt;&gt;"",E963,IFERROR(INDEX('Contractors'!$D$6:$D$1005,MATCH(B963,'Contractors'!$B$6:$B$1005,0)),"")))</f>
        <v/>
      </c>
      <c r="Q963" s="79">
        <f>IF(B963="","",IF(D963&lt;&gt;"",D963,IFERROR(INDEX('Contractors'!$E$6:$E$1005,MATCH(B963,'Contractors'!$B$6:$B$1005,0)),"")))</f>
        <v/>
      </c>
      <c r="R963" s="79">
        <f>IF(O963="","",IF(O963="OVERDUE",2,IF(O963="Paid",0,IF(AND(I963&lt;&gt;"",I963&lt;=AsOf+AlertDays),1,0))))</f>
        <v/>
      </c>
      <c r="S963" s="79">
        <f>IF(AND(B963&lt;&gt;"",M963="",I963&lt;&gt;""),IF(L963&lt;&gt;"",L963,IF(H963="",0,H963)),0)</f>
        <v/>
      </c>
      <c r="T963" s="79">
        <f>IF(AND(B963&lt;&gt;"",M963="",I963&lt;&gt;""),1/I963,0)</f>
        <v/>
      </c>
      <c r="U963" s="112">
        <f>IF(AND(B963&lt;&gt;"",M963="",I963&lt;&gt;""),I963,"")</f>
        <v/>
      </c>
      <c r="V963" s="79">
        <f>IF(U963="","",IF(U963&lt;AsOf,1,IF(U963&lt;=AsOf+AlertDays,2,IF(U963&lt;=AsOf+2*AlertDays,3,""))))</f>
        <v/>
      </c>
      <c r="W963" s="79">
        <f>IF(V963="","",IF(O963="OVERDUE","Overdue payment: ","Payment due: ")&amp;B963&amp;" — "&amp;C963&amp;" ("&amp;CurSym&amp;" "&amp;FIXED(S963,0)&amp;")")</f>
        <v/>
      </c>
      <c r="Z963" s="116">
        <f>IF('Contractors'!B963="","",'Contractors'!B963)</f>
        <v/>
      </c>
      <c r="AA963" s="77">
        <f>IF(Z963="","",'Contractors'!K963)</f>
        <v/>
      </c>
      <c r="AB963" s="77">
        <f>IF(Z963="","",SUMIFS($L$6:$L$1005,$B$6:$B$1005,Z963))</f>
        <v/>
      </c>
      <c r="AC963" s="77">
        <f>IF(Z963="","",SUMIFS($N$6:$N$1005,$B$6:$B$1005,Z963))</f>
        <v/>
      </c>
      <c r="AD963" s="76">
        <f>IF(Z963="","",AA963-AC963)</f>
        <v/>
      </c>
      <c r="AE963" s="117">
        <f>IF(Z963="","",IFERROR(1/SUMPRODUCT(MAX(($B$6:$B$1005=Z963)*$T$6:$T$1005)),""))</f>
        <v/>
      </c>
      <c r="AF963" s="77">
        <f>IF(AE963="","",SUMIFS($S$6:$S$1005,$B$6:$B$1005,Z963,$I$6:$I$1005,AE963))</f>
        <v/>
      </c>
    </row>
    <row r="964" ht="20" customHeight="1">
      <c r="B964" s="72" t="n"/>
      <c r="C964" s="72" t="n"/>
      <c r="D964" s="72" t="n"/>
      <c r="E964" s="72" t="n"/>
      <c r="F964" s="110" t="n"/>
      <c r="G964" s="73" t="n"/>
      <c r="H964" s="75">
        <f>IF(B964="","",IF(G964&lt;&gt;"",G964,IF(F964&lt;&gt;"",F964*IFERROR(INDEX('Contractors'!$I$6:$I$1005,MATCH(B964,'Contractors'!$B$6:$B$1005,0)),0),"")))</f>
        <v/>
      </c>
      <c r="I964" s="109" t="n"/>
      <c r="J964" s="72" t="n"/>
      <c r="K964" s="109" t="n"/>
      <c r="L964" s="73" t="n"/>
      <c r="M964" s="109" t="n"/>
      <c r="N964" s="73" t="n"/>
      <c r="O964" s="107">
        <f>IF(B964="","",IF(M964&lt;&gt;"","Paid",IF(AND(I964&lt;&gt;"",I964&lt;AsOf),"OVERDUE",IF(OR(K964&lt;&gt;"",L964&lt;&gt;""),"Invoiced","Scheduled"))))</f>
        <v/>
      </c>
      <c r="P964" s="115">
        <f>IF(B964="","",IF(E964&lt;&gt;"",E964,IFERROR(INDEX('Contractors'!$D$6:$D$1005,MATCH(B964,'Contractors'!$B$6:$B$1005,0)),"")))</f>
        <v/>
      </c>
      <c r="Q964" s="79">
        <f>IF(B964="","",IF(D964&lt;&gt;"",D964,IFERROR(INDEX('Contractors'!$E$6:$E$1005,MATCH(B964,'Contractors'!$B$6:$B$1005,0)),"")))</f>
        <v/>
      </c>
      <c r="R964" s="79">
        <f>IF(O964="","",IF(O964="OVERDUE",2,IF(O964="Paid",0,IF(AND(I964&lt;&gt;"",I964&lt;=AsOf+AlertDays),1,0))))</f>
        <v/>
      </c>
      <c r="S964" s="79">
        <f>IF(AND(B964&lt;&gt;"",M964="",I964&lt;&gt;""),IF(L964&lt;&gt;"",L964,IF(H964="",0,H964)),0)</f>
        <v/>
      </c>
      <c r="T964" s="79">
        <f>IF(AND(B964&lt;&gt;"",M964="",I964&lt;&gt;""),1/I964,0)</f>
        <v/>
      </c>
      <c r="U964" s="112">
        <f>IF(AND(B964&lt;&gt;"",M964="",I964&lt;&gt;""),I964,"")</f>
        <v/>
      </c>
      <c r="V964" s="79">
        <f>IF(U964="","",IF(U964&lt;AsOf,1,IF(U964&lt;=AsOf+AlertDays,2,IF(U964&lt;=AsOf+2*AlertDays,3,""))))</f>
        <v/>
      </c>
      <c r="W964" s="79">
        <f>IF(V964="","",IF(O964="OVERDUE","Overdue payment: ","Payment due: ")&amp;B964&amp;" — "&amp;C964&amp;" ("&amp;CurSym&amp;" "&amp;FIXED(S964,0)&amp;")")</f>
        <v/>
      </c>
      <c r="Z964" s="116">
        <f>IF('Contractors'!B964="","",'Contractors'!B964)</f>
        <v/>
      </c>
      <c r="AA964" s="77">
        <f>IF(Z964="","",'Contractors'!K964)</f>
        <v/>
      </c>
      <c r="AB964" s="77">
        <f>IF(Z964="","",SUMIFS($L$6:$L$1005,$B$6:$B$1005,Z964))</f>
        <v/>
      </c>
      <c r="AC964" s="77">
        <f>IF(Z964="","",SUMIFS($N$6:$N$1005,$B$6:$B$1005,Z964))</f>
        <v/>
      </c>
      <c r="AD964" s="76">
        <f>IF(Z964="","",AA964-AC964)</f>
        <v/>
      </c>
      <c r="AE964" s="117">
        <f>IF(Z964="","",IFERROR(1/SUMPRODUCT(MAX(($B$6:$B$1005=Z964)*$T$6:$T$1005)),""))</f>
        <v/>
      </c>
      <c r="AF964" s="77">
        <f>IF(AE964="","",SUMIFS($S$6:$S$1005,$B$6:$B$1005,Z964,$I$6:$I$1005,AE964))</f>
        <v/>
      </c>
    </row>
    <row r="965" ht="20" customHeight="1">
      <c r="B965" s="72" t="n"/>
      <c r="C965" s="72" t="n"/>
      <c r="D965" s="72" t="n"/>
      <c r="E965" s="72" t="n"/>
      <c r="F965" s="110" t="n"/>
      <c r="G965" s="73" t="n"/>
      <c r="H965" s="75">
        <f>IF(B965="","",IF(G965&lt;&gt;"",G965,IF(F965&lt;&gt;"",F965*IFERROR(INDEX('Contractors'!$I$6:$I$1005,MATCH(B965,'Contractors'!$B$6:$B$1005,0)),0),"")))</f>
        <v/>
      </c>
      <c r="I965" s="109" t="n"/>
      <c r="J965" s="72" t="n"/>
      <c r="K965" s="109" t="n"/>
      <c r="L965" s="73" t="n"/>
      <c r="M965" s="109" t="n"/>
      <c r="N965" s="73" t="n"/>
      <c r="O965" s="107">
        <f>IF(B965="","",IF(M965&lt;&gt;"","Paid",IF(AND(I965&lt;&gt;"",I965&lt;AsOf),"OVERDUE",IF(OR(K965&lt;&gt;"",L965&lt;&gt;""),"Invoiced","Scheduled"))))</f>
        <v/>
      </c>
      <c r="P965" s="115">
        <f>IF(B965="","",IF(E965&lt;&gt;"",E965,IFERROR(INDEX('Contractors'!$D$6:$D$1005,MATCH(B965,'Contractors'!$B$6:$B$1005,0)),"")))</f>
        <v/>
      </c>
      <c r="Q965" s="79">
        <f>IF(B965="","",IF(D965&lt;&gt;"",D965,IFERROR(INDEX('Contractors'!$E$6:$E$1005,MATCH(B965,'Contractors'!$B$6:$B$1005,0)),"")))</f>
        <v/>
      </c>
      <c r="R965" s="79">
        <f>IF(O965="","",IF(O965="OVERDUE",2,IF(O965="Paid",0,IF(AND(I965&lt;&gt;"",I965&lt;=AsOf+AlertDays),1,0))))</f>
        <v/>
      </c>
      <c r="S965" s="79">
        <f>IF(AND(B965&lt;&gt;"",M965="",I965&lt;&gt;""),IF(L965&lt;&gt;"",L965,IF(H965="",0,H965)),0)</f>
        <v/>
      </c>
      <c r="T965" s="79">
        <f>IF(AND(B965&lt;&gt;"",M965="",I965&lt;&gt;""),1/I965,0)</f>
        <v/>
      </c>
      <c r="U965" s="112">
        <f>IF(AND(B965&lt;&gt;"",M965="",I965&lt;&gt;""),I965,"")</f>
        <v/>
      </c>
      <c r="V965" s="79">
        <f>IF(U965="","",IF(U965&lt;AsOf,1,IF(U965&lt;=AsOf+AlertDays,2,IF(U965&lt;=AsOf+2*AlertDays,3,""))))</f>
        <v/>
      </c>
      <c r="W965" s="79">
        <f>IF(V965="","",IF(O965="OVERDUE","Overdue payment: ","Payment due: ")&amp;B965&amp;" — "&amp;C965&amp;" ("&amp;CurSym&amp;" "&amp;FIXED(S965,0)&amp;")")</f>
        <v/>
      </c>
      <c r="Z965" s="116">
        <f>IF('Contractors'!B965="","",'Contractors'!B965)</f>
        <v/>
      </c>
      <c r="AA965" s="77">
        <f>IF(Z965="","",'Contractors'!K965)</f>
        <v/>
      </c>
      <c r="AB965" s="77">
        <f>IF(Z965="","",SUMIFS($L$6:$L$1005,$B$6:$B$1005,Z965))</f>
        <v/>
      </c>
      <c r="AC965" s="77">
        <f>IF(Z965="","",SUMIFS($N$6:$N$1005,$B$6:$B$1005,Z965))</f>
        <v/>
      </c>
      <c r="AD965" s="76">
        <f>IF(Z965="","",AA965-AC965)</f>
        <v/>
      </c>
      <c r="AE965" s="117">
        <f>IF(Z965="","",IFERROR(1/SUMPRODUCT(MAX(($B$6:$B$1005=Z965)*$T$6:$T$1005)),""))</f>
        <v/>
      </c>
      <c r="AF965" s="77">
        <f>IF(AE965="","",SUMIFS($S$6:$S$1005,$B$6:$B$1005,Z965,$I$6:$I$1005,AE965))</f>
        <v/>
      </c>
    </row>
    <row r="966" ht="20" customHeight="1">
      <c r="B966" s="72" t="n"/>
      <c r="C966" s="72" t="n"/>
      <c r="D966" s="72" t="n"/>
      <c r="E966" s="72" t="n"/>
      <c r="F966" s="110" t="n"/>
      <c r="G966" s="73" t="n"/>
      <c r="H966" s="75">
        <f>IF(B966="","",IF(G966&lt;&gt;"",G966,IF(F966&lt;&gt;"",F966*IFERROR(INDEX('Contractors'!$I$6:$I$1005,MATCH(B966,'Contractors'!$B$6:$B$1005,0)),0),"")))</f>
        <v/>
      </c>
      <c r="I966" s="109" t="n"/>
      <c r="J966" s="72" t="n"/>
      <c r="K966" s="109" t="n"/>
      <c r="L966" s="73" t="n"/>
      <c r="M966" s="109" t="n"/>
      <c r="N966" s="73" t="n"/>
      <c r="O966" s="107">
        <f>IF(B966="","",IF(M966&lt;&gt;"","Paid",IF(AND(I966&lt;&gt;"",I966&lt;AsOf),"OVERDUE",IF(OR(K966&lt;&gt;"",L966&lt;&gt;""),"Invoiced","Scheduled"))))</f>
        <v/>
      </c>
      <c r="P966" s="115">
        <f>IF(B966="","",IF(E966&lt;&gt;"",E966,IFERROR(INDEX('Contractors'!$D$6:$D$1005,MATCH(B966,'Contractors'!$B$6:$B$1005,0)),"")))</f>
        <v/>
      </c>
      <c r="Q966" s="79">
        <f>IF(B966="","",IF(D966&lt;&gt;"",D966,IFERROR(INDEX('Contractors'!$E$6:$E$1005,MATCH(B966,'Contractors'!$B$6:$B$1005,0)),"")))</f>
        <v/>
      </c>
      <c r="R966" s="79">
        <f>IF(O966="","",IF(O966="OVERDUE",2,IF(O966="Paid",0,IF(AND(I966&lt;&gt;"",I966&lt;=AsOf+AlertDays),1,0))))</f>
        <v/>
      </c>
      <c r="S966" s="79">
        <f>IF(AND(B966&lt;&gt;"",M966="",I966&lt;&gt;""),IF(L966&lt;&gt;"",L966,IF(H966="",0,H966)),0)</f>
        <v/>
      </c>
      <c r="T966" s="79">
        <f>IF(AND(B966&lt;&gt;"",M966="",I966&lt;&gt;""),1/I966,0)</f>
        <v/>
      </c>
      <c r="U966" s="112">
        <f>IF(AND(B966&lt;&gt;"",M966="",I966&lt;&gt;""),I966,"")</f>
        <v/>
      </c>
      <c r="V966" s="79">
        <f>IF(U966="","",IF(U966&lt;AsOf,1,IF(U966&lt;=AsOf+AlertDays,2,IF(U966&lt;=AsOf+2*AlertDays,3,""))))</f>
        <v/>
      </c>
      <c r="W966" s="79">
        <f>IF(V966="","",IF(O966="OVERDUE","Overdue payment: ","Payment due: ")&amp;B966&amp;" — "&amp;C966&amp;" ("&amp;CurSym&amp;" "&amp;FIXED(S966,0)&amp;")")</f>
        <v/>
      </c>
      <c r="Z966" s="116">
        <f>IF('Contractors'!B966="","",'Contractors'!B966)</f>
        <v/>
      </c>
      <c r="AA966" s="77">
        <f>IF(Z966="","",'Contractors'!K966)</f>
        <v/>
      </c>
      <c r="AB966" s="77">
        <f>IF(Z966="","",SUMIFS($L$6:$L$1005,$B$6:$B$1005,Z966))</f>
        <v/>
      </c>
      <c r="AC966" s="77">
        <f>IF(Z966="","",SUMIFS($N$6:$N$1005,$B$6:$B$1005,Z966))</f>
        <v/>
      </c>
      <c r="AD966" s="76">
        <f>IF(Z966="","",AA966-AC966)</f>
        <v/>
      </c>
      <c r="AE966" s="117">
        <f>IF(Z966="","",IFERROR(1/SUMPRODUCT(MAX(($B$6:$B$1005=Z966)*$T$6:$T$1005)),""))</f>
        <v/>
      </c>
      <c r="AF966" s="77">
        <f>IF(AE966="","",SUMIFS($S$6:$S$1005,$B$6:$B$1005,Z966,$I$6:$I$1005,AE966))</f>
        <v/>
      </c>
    </row>
    <row r="967" ht="20" customHeight="1">
      <c r="B967" s="72" t="n"/>
      <c r="C967" s="72" t="n"/>
      <c r="D967" s="72" t="n"/>
      <c r="E967" s="72" t="n"/>
      <c r="F967" s="110" t="n"/>
      <c r="G967" s="73" t="n"/>
      <c r="H967" s="75">
        <f>IF(B967="","",IF(G967&lt;&gt;"",G967,IF(F967&lt;&gt;"",F967*IFERROR(INDEX('Contractors'!$I$6:$I$1005,MATCH(B967,'Contractors'!$B$6:$B$1005,0)),0),"")))</f>
        <v/>
      </c>
      <c r="I967" s="109" t="n"/>
      <c r="J967" s="72" t="n"/>
      <c r="K967" s="109" t="n"/>
      <c r="L967" s="73" t="n"/>
      <c r="M967" s="109" t="n"/>
      <c r="N967" s="73" t="n"/>
      <c r="O967" s="107">
        <f>IF(B967="","",IF(M967&lt;&gt;"","Paid",IF(AND(I967&lt;&gt;"",I967&lt;AsOf),"OVERDUE",IF(OR(K967&lt;&gt;"",L967&lt;&gt;""),"Invoiced","Scheduled"))))</f>
        <v/>
      </c>
      <c r="P967" s="115">
        <f>IF(B967="","",IF(E967&lt;&gt;"",E967,IFERROR(INDEX('Contractors'!$D$6:$D$1005,MATCH(B967,'Contractors'!$B$6:$B$1005,0)),"")))</f>
        <v/>
      </c>
      <c r="Q967" s="79">
        <f>IF(B967="","",IF(D967&lt;&gt;"",D967,IFERROR(INDEX('Contractors'!$E$6:$E$1005,MATCH(B967,'Contractors'!$B$6:$B$1005,0)),"")))</f>
        <v/>
      </c>
      <c r="R967" s="79">
        <f>IF(O967="","",IF(O967="OVERDUE",2,IF(O967="Paid",0,IF(AND(I967&lt;&gt;"",I967&lt;=AsOf+AlertDays),1,0))))</f>
        <v/>
      </c>
      <c r="S967" s="79">
        <f>IF(AND(B967&lt;&gt;"",M967="",I967&lt;&gt;""),IF(L967&lt;&gt;"",L967,IF(H967="",0,H967)),0)</f>
        <v/>
      </c>
      <c r="T967" s="79">
        <f>IF(AND(B967&lt;&gt;"",M967="",I967&lt;&gt;""),1/I967,0)</f>
        <v/>
      </c>
      <c r="U967" s="112">
        <f>IF(AND(B967&lt;&gt;"",M967="",I967&lt;&gt;""),I967,"")</f>
        <v/>
      </c>
      <c r="V967" s="79">
        <f>IF(U967="","",IF(U967&lt;AsOf,1,IF(U967&lt;=AsOf+AlertDays,2,IF(U967&lt;=AsOf+2*AlertDays,3,""))))</f>
        <v/>
      </c>
      <c r="W967" s="79">
        <f>IF(V967="","",IF(O967="OVERDUE","Overdue payment: ","Payment due: ")&amp;B967&amp;" — "&amp;C967&amp;" ("&amp;CurSym&amp;" "&amp;FIXED(S967,0)&amp;")")</f>
        <v/>
      </c>
      <c r="Z967" s="116">
        <f>IF('Contractors'!B967="","",'Contractors'!B967)</f>
        <v/>
      </c>
      <c r="AA967" s="77">
        <f>IF(Z967="","",'Contractors'!K967)</f>
        <v/>
      </c>
      <c r="AB967" s="77">
        <f>IF(Z967="","",SUMIFS($L$6:$L$1005,$B$6:$B$1005,Z967))</f>
        <v/>
      </c>
      <c r="AC967" s="77">
        <f>IF(Z967="","",SUMIFS($N$6:$N$1005,$B$6:$B$1005,Z967))</f>
        <v/>
      </c>
      <c r="AD967" s="76">
        <f>IF(Z967="","",AA967-AC967)</f>
        <v/>
      </c>
      <c r="AE967" s="117">
        <f>IF(Z967="","",IFERROR(1/SUMPRODUCT(MAX(($B$6:$B$1005=Z967)*$T$6:$T$1005)),""))</f>
        <v/>
      </c>
      <c r="AF967" s="77">
        <f>IF(AE967="","",SUMIFS($S$6:$S$1005,$B$6:$B$1005,Z967,$I$6:$I$1005,AE967))</f>
        <v/>
      </c>
    </row>
    <row r="968" ht="20" customHeight="1">
      <c r="B968" s="72" t="n"/>
      <c r="C968" s="72" t="n"/>
      <c r="D968" s="72" t="n"/>
      <c r="E968" s="72" t="n"/>
      <c r="F968" s="110" t="n"/>
      <c r="G968" s="73" t="n"/>
      <c r="H968" s="75">
        <f>IF(B968="","",IF(G968&lt;&gt;"",G968,IF(F968&lt;&gt;"",F968*IFERROR(INDEX('Contractors'!$I$6:$I$1005,MATCH(B968,'Contractors'!$B$6:$B$1005,0)),0),"")))</f>
        <v/>
      </c>
      <c r="I968" s="109" t="n"/>
      <c r="J968" s="72" t="n"/>
      <c r="K968" s="109" t="n"/>
      <c r="L968" s="73" t="n"/>
      <c r="M968" s="109" t="n"/>
      <c r="N968" s="73" t="n"/>
      <c r="O968" s="107">
        <f>IF(B968="","",IF(M968&lt;&gt;"","Paid",IF(AND(I968&lt;&gt;"",I968&lt;AsOf),"OVERDUE",IF(OR(K968&lt;&gt;"",L968&lt;&gt;""),"Invoiced","Scheduled"))))</f>
        <v/>
      </c>
      <c r="P968" s="115">
        <f>IF(B968="","",IF(E968&lt;&gt;"",E968,IFERROR(INDEX('Contractors'!$D$6:$D$1005,MATCH(B968,'Contractors'!$B$6:$B$1005,0)),"")))</f>
        <v/>
      </c>
      <c r="Q968" s="79">
        <f>IF(B968="","",IF(D968&lt;&gt;"",D968,IFERROR(INDEX('Contractors'!$E$6:$E$1005,MATCH(B968,'Contractors'!$B$6:$B$1005,0)),"")))</f>
        <v/>
      </c>
      <c r="R968" s="79">
        <f>IF(O968="","",IF(O968="OVERDUE",2,IF(O968="Paid",0,IF(AND(I968&lt;&gt;"",I968&lt;=AsOf+AlertDays),1,0))))</f>
        <v/>
      </c>
      <c r="S968" s="79">
        <f>IF(AND(B968&lt;&gt;"",M968="",I968&lt;&gt;""),IF(L968&lt;&gt;"",L968,IF(H968="",0,H968)),0)</f>
        <v/>
      </c>
      <c r="T968" s="79">
        <f>IF(AND(B968&lt;&gt;"",M968="",I968&lt;&gt;""),1/I968,0)</f>
        <v/>
      </c>
      <c r="U968" s="112">
        <f>IF(AND(B968&lt;&gt;"",M968="",I968&lt;&gt;""),I968,"")</f>
        <v/>
      </c>
      <c r="V968" s="79">
        <f>IF(U968="","",IF(U968&lt;AsOf,1,IF(U968&lt;=AsOf+AlertDays,2,IF(U968&lt;=AsOf+2*AlertDays,3,""))))</f>
        <v/>
      </c>
      <c r="W968" s="79">
        <f>IF(V968="","",IF(O968="OVERDUE","Overdue payment: ","Payment due: ")&amp;B968&amp;" — "&amp;C968&amp;" ("&amp;CurSym&amp;" "&amp;FIXED(S968,0)&amp;")")</f>
        <v/>
      </c>
      <c r="Z968" s="116">
        <f>IF('Contractors'!B968="","",'Contractors'!B968)</f>
        <v/>
      </c>
      <c r="AA968" s="77">
        <f>IF(Z968="","",'Contractors'!K968)</f>
        <v/>
      </c>
      <c r="AB968" s="77">
        <f>IF(Z968="","",SUMIFS($L$6:$L$1005,$B$6:$B$1005,Z968))</f>
        <v/>
      </c>
      <c r="AC968" s="77">
        <f>IF(Z968="","",SUMIFS($N$6:$N$1005,$B$6:$B$1005,Z968))</f>
        <v/>
      </c>
      <c r="AD968" s="76">
        <f>IF(Z968="","",AA968-AC968)</f>
        <v/>
      </c>
      <c r="AE968" s="117">
        <f>IF(Z968="","",IFERROR(1/SUMPRODUCT(MAX(($B$6:$B$1005=Z968)*$T$6:$T$1005)),""))</f>
        <v/>
      </c>
      <c r="AF968" s="77">
        <f>IF(AE968="","",SUMIFS($S$6:$S$1005,$B$6:$B$1005,Z968,$I$6:$I$1005,AE968))</f>
        <v/>
      </c>
    </row>
    <row r="969" ht="20" customHeight="1">
      <c r="B969" s="72" t="n"/>
      <c r="C969" s="72" t="n"/>
      <c r="D969" s="72" t="n"/>
      <c r="E969" s="72" t="n"/>
      <c r="F969" s="110" t="n"/>
      <c r="G969" s="73" t="n"/>
      <c r="H969" s="75">
        <f>IF(B969="","",IF(G969&lt;&gt;"",G969,IF(F969&lt;&gt;"",F969*IFERROR(INDEX('Contractors'!$I$6:$I$1005,MATCH(B969,'Contractors'!$B$6:$B$1005,0)),0),"")))</f>
        <v/>
      </c>
      <c r="I969" s="109" t="n"/>
      <c r="J969" s="72" t="n"/>
      <c r="K969" s="109" t="n"/>
      <c r="L969" s="73" t="n"/>
      <c r="M969" s="109" t="n"/>
      <c r="N969" s="73" t="n"/>
      <c r="O969" s="107">
        <f>IF(B969="","",IF(M969&lt;&gt;"","Paid",IF(AND(I969&lt;&gt;"",I969&lt;AsOf),"OVERDUE",IF(OR(K969&lt;&gt;"",L969&lt;&gt;""),"Invoiced","Scheduled"))))</f>
        <v/>
      </c>
      <c r="P969" s="115">
        <f>IF(B969="","",IF(E969&lt;&gt;"",E969,IFERROR(INDEX('Contractors'!$D$6:$D$1005,MATCH(B969,'Contractors'!$B$6:$B$1005,0)),"")))</f>
        <v/>
      </c>
      <c r="Q969" s="79">
        <f>IF(B969="","",IF(D969&lt;&gt;"",D969,IFERROR(INDEX('Contractors'!$E$6:$E$1005,MATCH(B969,'Contractors'!$B$6:$B$1005,0)),"")))</f>
        <v/>
      </c>
      <c r="R969" s="79">
        <f>IF(O969="","",IF(O969="OVERDUE",2,IF(O969="Paid",0,IF(AND(I969&lt;&gt;"",I969&lt;=AsOf+AlertDays),1,0))))</f>
        <v/>
      </c>
      <c r="S969" s="79">
        <f>IF(AND(B969&lt;&gt;"",M969="",I969&lt;&gt;""),IF(L969&lt;&gt;"",L969,IF(H969="",0,H969)),0)</f>
        <v/>
      </c>
      <c r="T969" s="79">
        <f>IF(AND(B969&lt;&gt;"",M969="",I969&lt;&gt;""),1/I969,0)</f>
        <v/>
      </c>
      <c r="U969" s="112">
        <f>IF(AND(B969&lt;&gt;"",M969="",I969&lt;&gt;""),I969,"")</f>
        <v/>
      </c>
      <c r="V969" s="79">
        <f>IF(U969="","",IF(U969&lt;AsOf,1,IF(U969&lt;=AsOf+AlertDays,2,IF(U969&lt;=AsOf+2*AlertDays,3,""))))</f>
        <v/>
      </c>
      <c r="W969" s="79">
        <f>IF(V969="","",IF(O969="OVERDUE","Overdue payment: ","Payment due: ")&amp;B969&amp;" — "&amp;C969&amp;" ("&amp;CurSym&amp;" "&amp;FIXED(S969,0)&amp;")")</f>
        <v/>
      </c>
      <c r="Z969" s="116">
        <f>IF('Contractors'!B969="","",'Contractors'!B969)</f>
        <v/>
      </c>
      <c r="AA969" s="77">
        <f>IF(Z969="","",'Contractors'!K969)</f>
        <v/>
      </c>
      <c r="AB969" s="77">
        <f>IF(Z969="","",SUMIFS($L$6:$L$1005,$B$6:$B$1005,Z969))</f>
        <v/>
      </c>
      <c r="AC969" s="77">
        <f>IF(Z969="","",SUMIFS($N$6:$N$1005,$B$6:$B$1005,Z969))</f>
        <v/>
      </c>
      <c r="AD969" s="76">
        <f>IF(Z969="","",AA969-AC969)</f>
        <v/>
      </c>
      <c r="AE969" s="117">
        <f>IF(Z969="","",IFERROR(1/SUMPRODUCT(MAX(($B$6:$B$1005=Z969)*$T$6:$T$1005)),""))</f>
        <v/>
      </c>
      <c r="AF969" s="77">
        <f>IF(AE969="","",SUMIFS($S$6:$S$1005,$B$6:$B$1005,Z969,$I$6:$I$1005,AE969))</f>
        <v/>
      </c>
    </row>
    <row r="970" ht="20" customHeight="1">
      <c r="B970" s="72" t="n"/>
      <c r="C970" s="72" t="n"/>
      <c r="D970" s="72" t="n"/>
      <c r="E970" s="72" t="n"/>
      <c r="F970" s="110" t="n"/>
      <c r="G970" s="73" t="n"/>
      <c r="H970" s="75">
        <f>IF(B970="","",IF(G970&lt;&gt;"",G970,IF(F970&lt;&gt;"",F970*IFERROR(INDEX('Contractors'!$I$6:$I$1005,MATCH(B970,'Contractors'!$B$6:$B$1005,0)),0),"")))</f>
        <v/>
      </c>
      <c r="I970" s="109" t="n"/>
      <c r="J970" s="72" t="n"/>
      <c r="K970" s="109" t="n"/>
      <c r="L970" s="73" t="n"/>
      <c r="M970" s="109" t="n"/>
      <c r="N970" s="73" t="n"/>
      <c r="O970" s="107">
        <f>IF(B970="","",IF(M970&lt;&gt;"","Paid",IF(AND(I970&lt;&gt;"",I970&lt;AsOf),"OVERDUE",IF(OR(K970&lt;&gt;"",L970&lt;&gt;""),"Invoiced","Scheduled"))))</f>
        <v/>
      </c>
      <c r="P970" s="115">
        <f>IF(B970="","",IF(E970&lt;&gt;"",E970,IFERROR(INDEX('Contractors'!$D$6:$D$1005,MATCH(B970,'Contractors'!$B$6:$B$1005,0)),"")))</f>
        <v/>
      </c>
      <c r="Q970" s="79">
        <f>IF(B970="","",IF(D970&lt;&gt;"",D970,IFERROR(INDEX('Contractors'!$E$6:$E$1005,MATCH(B970,'Contractors'!$B$6:$B$1005,0)),"")))</f>
        <v/>
      </c>
      <c r="R970" s="79">
        <f>IF(O970="","",IF(O970="OVERDUE",2,IF(O970="Paid",0,IF(AND(I970&lt;&gt;"",I970&lt;=AsOf+AlertDays),1,0))))</f>
        <v/>
      </c>
      <c r="S970" s="79">
        <f>IF(AND(B970&lt;&gt;"",M970="",I970&lt;&gt;""),IF(L970&lt;&gt;"",L970,IF(H970="",0,H970)),0)</f>
        <v/>
      </c>
      <c r="T970" s="79">
        <f>IF(AND(B970&lt;&gt;"",M970="",I970&lt;&gt;""),1/I970,0)</f>
        <v/>
      </c>
      <c r="U970" s="112">
        <f>IF(AND(B970&lt;&gt;"",M970="",I970&lt;&gt;""),I970,"")</f>
        <v/>
      </c>
      <c r="V970" s="79">
        <f>IF(U970="","",IF(U970&lt;AsOf,1,IF(U970&lt;=AsOf+AlertDays,2,IF(U970&lt;=AsOf+2*AlertDays,3,""))))</f>
        <v/>
      </c>
      <c r="W970" s="79">
        <f>IF(V970="","",IF(O970="OVERDUE","Overdue payment: ","Payment due: ")&amp;B970&amp;" — "&amp;C970&amp;" ("&amp;CurSym&amp;" "&amp;FIXED(S970,0)&amp;")")</f>
        <v/>
      </c>
      <c r="Z970" s="116">
        <f>IF('Contractors'!B970="","",'Contractors'!B970)</f>
        <v/>
      </c>
      <c r="AA970" s="77">
        <f>IF(Z970="","",'Contractors'!K970)</f>
        <v/>
      </c>
      <c r="AB970" s="77">
        <f>IF(Z970="","",SUMIFS($L$6:$L$1005,$B$6:$B$1005,Z970))</f>
        <v/>
      </c>
      <c r="AC970" s="77">
        <f>IF(Z970="","",SUMIFS($N$6:$N$1005,$B$6:$B$1005,Z970))</f>
        <v/>
      </c>
      <c r="AD970" s="76">
        <f>IF(Z970="","",AA970-AC970)</f>
        <v/>
      </c>
      <c r="AE970" s="117">
        <f>IF(Z970="","",IFERROR(1/SUMPRODUCT(MAX(($B$6:$B$1005=Z970)*$T$6:$T$1005)),""))</f>
        <v/>
      </c>
      <c r="AF970" s="77">
        <f>IF(AE970="","",SUMIFS($S$6:$S$1005,$B$6:$B$1005,Z970,$I$6:$I$1005,AE970))</f>
        <v/>
      </c>
    </row>
    <row r="971" ht="20" customHeight="1">
      <c r="B971" s="72" t="n"/>
      <c r="C971" s="72" t="n"/>
      <c r="D971" s="72" t="n"/>
      <c r="E971" s="72" t="n"/>
      <c r="F971" s="110" t="n"/>
      <c r="G971" s="73" t="n"/>
      <c r="H971" s="75">
        <f>IF(B971="","",IF(G971&lt;&gt;"",G971,IF(F971&lt;&gt;"",F971*IFERROR(INDEX('Contractors'!$I$6:$I$1005,MATCH(B971,'Contractors'!$B$6:$B$1005,0)),0),"")))</f>
        <v/>
      </c>
      <c r="I971" s="109" t="n"/>
      <c r="J971" s="72" t="n"/>
      <c r="K971" s="109" t="n"/>
      <c r="L971" s="73" t="n"/>
      <c r="M971" s="109" t="n"/>
      <c r="N971" s="73" t="n"/>
      <c r="O971" s="107">
        <f>IF(B971="","",IF(M971&lt;&gt;"","Paid",IF(AND(I971&lt;&gt;"",I971&lt;AsOf),"OVERDUE",IF(OR(K971&lt;&gt;"",L971&lt;&gt;""),"Invoiced","Scheduled"))))</f>
        <v/>
      </c>
      <c r="P971" s="115">
        <f>IF(B971="","",IF(E971&lt;&gt;"",E971,IFERROR(INDEX('Contractors'!$D$6:$D$1005,MATCH(B971,'Contractors'!$B$6:$B$1005,0)),"")))</f>
        <v/>
      </c>
      <c r="Q971" s="79">
        <f>IF(B971="","",IF(D971&lt;&gt;"",D971,IFERROR(INDEX('Contractors'!$E$6:$E$1005,MATCH(B971,'Contractors'!$B$6:$B$1005,0)),"")))</f>
        <v/>
      </c>
      <c r="R971" s="79">
        <f>IF(O971="","",IF(O971="OVERDUE",2,IF(O971="Paid",0,IF(AND(I971&lt;&gt;"",I971&lt;=AsOf+AlertDays),1,0))))</f>
        <v/>
      </c>
      <c r="S971" s="79">
        <f>IF(AND(B971&lt;&gt;"",M971="",I971&lt;&gt;""),IF(L971&lt;&gt;"",L971,IF(H971="",0,H971)),0)</f>
        <v/>
      </c>
      <c r="T971" s="79">
        <f>IF(AND(B971&lt;&gt;"",M971="",I971&lt;&gt;""),1/I971,0)</f>
        <v/>
      </c>
      <c r="U971" s="112">
        <f>IF(AND(B971&lt;&gt;"",M971="",I971&lt;&gt;""),I971,"")</f>
        <v/>
      </c>
      <c r="V971" s="79">
        <f>IF(U971="","",IF(U971&lt;AsOf,1,IF(U971&lt;=AsOf+AlertDays,2,IF(U971&lt;=AsOf+2*AlertDays,3,""))))</f>
        <v/>
      </c>
      <c r="W971" s="79">
        <f>IF(V971="","",IF(O971="OVERDUE","Overdue payment: ","Payment due: ")&amp;B971&amp;" — "&amp;C971&amp;" ("&amp;CurSym&amp;" "&amp;FIXED(S971,0)&amp;")")</f>
        <v/>
      </c>
      <c r="Z971" s="116">
        <f>IF('Contractors'!B971="","",'Contractors'!B971)</f>
        <v/>
      </c>
      <c r="AA971" s="77">
        <f>IF(Z971="","",'Contractors'!K971)</f>
        <v/>
      </c>
      <c r="AB971" s="77">
        <f>IF(Z971="","",SUMIFS($L$6:$L$1005,$B$6:$B$1005,Z971))</f>
        <v/>
      </c>
      <c r="AC971" s="77">
        <f>IF(Z971="","",SUMIFS($N$6:$N$1005,$B$6:$B$1005,Z971))</f>
        <v/>
      </c>
      <c r="AD971" s="76">
        <f>IF(Z971="","",AA971-AC971)</f>
        <v/>
      </c>
      <c r="AE971" s="117">
        <f>IF(Z971="","",IFERROR(1/SUMPRODUCT(MAX(($B$6:$B$1005=Z971)*$T$6:$T$1005)),""))</f>
        <v/>
      </c>
      <c r="AF971" s="77">
        <f>IF(AE971="","",SUMIFS($S$6:$S$1005,$B$6:$B$1005,Z971,$I$6:$I$1005,AE971))</f>
        <v/>
      </c>
    </row>
    <row r="972" ht="20" customHeight="1">
      <c r="B972" s="72" t="n"/>
      <c r="C972" s="72" t="n"/>
      <c r="D972" s="72" t="n"/>
      <c r="E972" s="72" t="n"/>
      <c r="F972" s="110" t="n"/>
      <c r="G972" s="73" t="n"/>
      <c r="H972" s="75">
        <f>IF(B972="","",IF(G972&lt;&gt;"",G972,IF(F972&lt;&gt;"",F972*IFERROR(INDEX('Contractors'!$I$6:$I$1005,MATCH(B972,'Contractors'!$B$6:$B$1005,0)),0),"")))</f>
        <v/>
      </c>
      <c r="I972" s="109" t="n"/>
      <c r="J972" s="72" t="n"/>
      <c r="K972" s="109" t="n"/>
      <c r="L972" s="73" t="n"/>
      <c r="M972" s="109" t="n"/>
      <c r="N972" s="73" t="n"/>
      <c r="O972" s="107">
        <f>IF(B972="","",IF(M972&lt;&gt;"","Paid",IF(AND(I972&lt;&gt;"",I972&lt;AsOf),"OVERDUE",IF(OR(K972&lt;&gt;"",L972&lt;&gt;""),"Invoiced","Scheduled"))))</f>
        <v/>
      </c>
      <c r="P972" s="115">
        <f>IF(B972="","",IF(E972&lt;&gt;"",E972,IFERROR(INDEX('Contractors'!$D$6:$D$1005,MATCH(B972,'Contractors'!$B$6:$B$1005,0)),"")))</f>
        <v/>
      </c>
      <c r="Q972" s="79">
        <f>IF(B972="","",IF(D972&lt;&gt;"",D972,IFERROR(INDEX('Contractors'!$E$6:$E$1005,MATCH(B972,'Contractors'!$B$6:$B$1005,0)),"")))</f>
        <v/>
      </c>
      <c r="R972" s="79">
        <f>IF(O972="","",IF(O972="OVERDUE",2,IF(O972="Paid",0,IF(AND(I972&lt;&gt;"",I972&lt;=AsOf+AlertDays),1,0))))</f>
        <v/>
      </c>
      <c r="S972" s="79">
        <f>IF(AND(B972&lt;&gt;"",M972="",I972&lt;&gt;""),IF(L972&lt;&gt;"",L972,IF(H972="",0,H972)),0)</f>
        <v/>
      </c>
      <c r="T972" s="79">
        <f>IF(AND(B972&lt;&gt;"",M972="",I972&lt;&gt;""),1/I972,0)</f>
        <v/>
      </c>
      <c r="U972" s="112">
        <f>IF(AND(B972&lt;&gt;"",M972="",I972&lt;&gt;""),I972,"")</f>
        <v/>
      </c>
      <c r="V972" s="79">
        <f>IF(U972="","",IF(U972&lt;AsOf,1,IF(U972&lt;=AsOf+AlertDays,2,IF(U972&lt;=AsOf+2*AlertDays,3,""))))</f>
        <v/>
      </c>
      <c r="W972" s="79">
        <f>IF(V972="","",IF(O972="OVERDUE","Overdue payment: ","Payment due: ")&amp;B972&amp;" — "&amp;C972&amp;" ("&amp;CurSym&amp;" "&amp;FIXED(S972,0)&amp;")")</f>
        <v/>
      </c>
      <c r="Z972" s="116">
        <f>IF('Contractors'!B972="","",'Contractors'!B972)</f>
        <v/>
      </c>
      <c r="AA972" s="77">
        <f>IF(Z972="","",'Contractors'!K972)</f>
        <v/>
      </c>
      <c r="AB972" s="77">
        <f>IF(Z972="","",SUMIFS($L$6:$L$1005,$B$6:$B$1005,Z972))</f>
        <v/>
      </c>
      <c r="AC972" s="77">
        <f>IF(Z972="","",SUMIFS($N$6:$N$1005,$B$6:$B$1005,Z972))</f>
        <v/>
      </c>
      <c r="AD972" s="76">
        <f>IF(Z972="","",AA972-AC972)</f>
        <v/>
      </c>
      <c r="AE972" s="117">
        <f>IF(Z972="","",IFERROR(1/SUMPRODUCT(MAX(($B$6:$B$1005=Z972)*$T$6:$T$1005)),""))</f>
        <v/>
      </c>
      <c r="AF972" s="77">
        <f>IF(AE972="","",SUMIFS($S$6:$S$1005,$B$6:$B$1005,Z972,$I$6:$I$1005,AE972))</f>
        <v/>
      </c>
    </row>
    <row r="973" ht="20" customHeight="1">
      <c r="B973" s="72" t="n"/>
      <c r="C973" s="72" t="n"/>
      <c r="D973" s="72" t="n"/>
      <c r="E973" s="72" t="n"/>
      <c r="F973" s="110" t="n"/>
      <c r="G973" s="73" t="n"/>
      <c r="H973" s="75">
        <f>IF(B973="","",IF(G973&lt;&gt;"",G973,IF(F973&lt;&gt;"",F973*IFERROR(INDEX('Contractors'!$I$6:$I$1005,MATCH(B973,'Contractors'!$B$6:$B$1005,0)),0),"")))</f>
        <v/>
      </c>
      <c r="I973" s="109" t="n"/>
      <c r="J973" s="72" t="n"/>
      <c r="K973" s="109" t="n"/>
      <c r="L973" s="73" t="n"/>
      <c r="M973" s="109" t="n"/>
      <c r="N973" s="73" t="n"/>
      <c r="O973" s="107">
        <f>IF(B973="","",IF(M973&lt;&gt;"","Paid",IF(AND(I973&lt;&gt;"",I973&lt;AsOf),"OVERDUE",IF(OR(K973&lt;&gt;"",L973&lt;&gt;""),"Invoiced","Scheduled"))))</f>
        <v/>
      </c>
      <c r="P973" s="115">
        <f>IF(B973="","",IF(E973&lt;&gt;"",E973,IFERROR(INDEX('Contractors'!$D$6:$D$1005,MATCH(B973,'Contractors'!$B$6:$B$1005,0)),"")))</f>
        <v/>
      </c>
      <c r="Q973" s="79">
        <f>IF(B973="","",IF(D973&lt;&gt;"",D973,IFERROR(INDEX('Contractors'!$E$6:$E$1005,MATCH(B973,'Contractors'!$B$6:$B$1005,0)),"")))</f>
        <v/>
      </c>
      <c r="R973" s="79">
        <f>IF(O973="","",IF(O973="OVERDUE",2,IF(O973="Paid",0,IF(AND(I973&lt;&gt;"",I973&lt;=AsOf+AlertDays),1,0))))</f>
        <v/>
      </c>
      <c r="S973" s="79">
        <f>IF(AND(B973&lt;&gt;"",M973="",I973&lt;&gt;""),IF(L973&lt;&gt;"",L973,IF(H973="",0,H973)),0)</f>
        <v/>
      </c>
      <c r="T973" s="79">
        <f>IF(AND(B973&lt;&gt;"",M973="",I973&lt;&gt;""),1/I973,0)</f>
        <v/>
      </c>
      <c r="U973" s="112">
        <f>IF(AND(B973&lt;&gt;"",M973="",I973&lt;&gt;""),I973,"")</f>
        <v/>
      </c>
      <c r="V973" s="79">
        <f>IF(U973="","",IF(U973&lt;AsOf,1,IF(U973&lt;=AsOf+AlertDays,2,IF(U973&lt;=AsOf+2*AlertDays,3,""))))</f>
        <v/>
      </c>
      <c r="W973" s="79">
        <f>IF(V973="","",IF(O973="OVERDUE","Overdue payment: ","Payment due: ")&amp;B973&amp;" — "&amp;C973&amp;" ("&amp;CurSym&amp;" "&amp;FIXED(S973,0)&amp;")")</f>
        <v/>
      </c>
      <c r="Z973" s="116">
        <f>IF('Contractors'!B973="","",'Contractors'!B973)</f>
        <v/>
      </c>
      <c r="AA973" s="77">
        <f>IF(Z973="","",'Contractors'!K973)</f>
        <v/>
      </c>
      <c r="AB973" s="77">
        <f>IF(Z973="","",SUMIFS($L$6:$L$1005,$B$6:$B$1005,Z973))</f>
        <v/>
      </c>
      <c r="AC973" s="77">
        <f>IF(Z973="","",SUMIFS($N$6:$N$1005,$B$6:$B$1005,Z973))</f>
        <v/>
      </c>
      <c r="AD973" s="76">
        <f>IF(Z973="","",AA973-AC973)</f>
        <v/>
      </c>
      <c r="AE973" s="117">
        <f>IF(Z973="","",IFERROR(1/SUMPRODUCT(MAX(($B$6:$B$1005=Z973)*$T$6:$T$1005)),""))</f>
        <v/>
      </c>
      <c r="AF973" s="77">
        <f>IF(AE973="","",SUMIFS($S$6:$S$1005,$B$6:$B$1005,Z973,$I$6:$I$1005,AE973))</f>
        <v/>
      </c>
    </row>
    <row r="974" ht="20" customHeight="1">
      <c r="B974" s="72" t="n"/>
      <c r="C974" s="72" t="n"/>
      <c r="D974" s="72" t="n"/>
      <c r="E974" s="72" t="n"/>
      <c r="F974" s="110" t="n"/>
      <c r="G974" s="73" t="n"/>
      <c r="H974" s="75">
        <f>IF(B974="","",IF(G974&lt;&gt;"",G974,IF(F974&lt;&gt;"",F974*IFERROR(INDEX('Contractors'!$I$6:$I$1005,MATCH(B974,'Contractors'!$B$6:$B$1005,0)),0),"")))</f>
        <v/>
      </c>
      <c r="I974" s="109" t="n"/>
      <c r="J974" s="72" t="n"/>
      <c r="K974" s="109" t="n"/>
      <c r="L974" s="73" t="n"/>
      <c r="M974" s="109" t="n"/>
      <c r="N974" s="73" t="n"/>
      <c r="O974" s="107">
        <f>IF(B974="","",IF(M974&lt;&gt;"","Paid",IF(AND(I974&lt;&gt;"",I974&lt;AsOf),"OVERDUE",IF(OR(K974&lt;&gt;"",L974&lt;&gt;""),"Invoiced","Scheduled"))))</f>
        <v/>
      </c>
      <c r="P974" s="115">
        <f>IF(B974="","",IF(E974&lt;&gt;"",E974,IFERROR(INDEX('Contractors'!$D$6:$D$1005,MATCH(B974,'Contractors'!$B$6:$B$1005,0)),"")))</f>
        <v/>
      </c>
      <c r="Q974" s="79">
        <f>IF(B974="","",IF(D974&lt;&gt;"",D974,IFERROR(INDEX('Contractors'!$E$6:$E$1005,MATCH(B974,'Contractors'!$B$6:$B$1005,0)),"")))</f>
        <v/>
      </c>
      <c r="R974" s="79">
        <f>IF(O974="","",IF(O974="OVERDUE",2,IF(O974="Paid",0,IF(AND(I974&lt;&gt;"",I974&lt;=AsOf+AlertDays),1,0))))</f>
        <v/>
      </c>
      <c r="S974" s="79">
        <f>IF(AND(B974&lt;&gt;"",M974="",I974&lt;&gt;""),IF(L974&lt;&gt;"",L974,IF(H974="",0,H974)),0)</f>
        <v/>
      </c>
      <c r="T974" s="79">
        <f>IF(AND(B974&lt;&gt;"",M974="",I974&lt;&gt;""),1/I974,0)</f>
        <v/>
      </c>
      <c r="U974" s="112">
        <f>IF(AND(B974&lt;&gt;"",M974="",I974&lt;&gt;""),I974,"")</f>
        <v/>
      </c>
      <c r="V974" s="79">
        <f>IF(U974="","",IF(U974&lt;AsOf,1,IF(U974&lt;=AsOf+AlertDays,2,IF(U974&lt;=AsOf+2*AlertDays,3,""))))</f>
        <v/>
      </c>
      <c r="W974" s="79">
        <f>IF(V974="","",IF(O974="OVERDUE","Overdue payment: ","Payment due: ")&amp;B974&amp;" — "&amp;C974&amp;" ("&amp;CurSym&amp;" "&amp;FIXED(S974,0)&amp;")")</f>
        <v/>
      </c>
      <c r="Z974" s="116">
        <f>IF('Contractors'!B974="","",'Contractors'!B974)</f>
        <v/>
      </c>
      <c r="AA974" s="77">
        <f>IF(Z974="","",'Contractors'!K974)</f>
        <v/>
      </c>
      <c r="AB974" s="77">
        <f>IF(Z974="","",SUMIFS($L$6:$L$1005,$B$6:$B$1005,Z974))</f>
        <v/>
      </c>
      <c r="AC974" s="77">
        <f>IF(Z974="","",SUMIFS($N$6:$N$1005,$B$6:$B$1005,Z974))</f>
        <v/>
      </c>
      <c r="AD974" s="76">
        <f>IF(Z974="","",AA974-AC974)</f>
        <v/>
      </c>
      <c r="AE974" s="117">
        <f>IF(Z974="","",IFERROR(1/SUMPRODUCT(MAX(($B$6:$B$1005=Z974)*$T$6:$T$1005)),""))</f>
        <v/>
      </c>
      <c r="AF974" s="77">
        <f>IF(AE974="","",SUMIFS($S$6:$S$1005,$B$6:$B$1005,Z974,$I$6:$I$1005,AE974))</f>
        <v/>
      </c>
    </row>
    <row r="975" ht="20" customHeight="1">
      <c r="B975" s="72" t="n"/>
      <c r="C975" s="72" t="n"/>
      <c r="D975" s="72" t="n"/>
      <c r="E975" s="72" t="n"/>
      <c r="F975" s="110" t="n"/>
      <c r="G975" s="73" t="n"/>
      <c r="H975" s="75">
        <f>IF(B975="","",IF(G975&lt;&gt;"",G975,IF(F975&lt;&gt;"",F975*IFERROR(INDEX('Contractors'!$I$6:$I$1005,MATCH(B975,'Contractors'!$B$6:$B$1005,0)),0),"")))</f>
        <v/>
      </c>
      <c r="I975" s="109" t="n"/>
      <c r="J975" s="72" t="n"/>
      <c r="K975" s="109" t="n"/>
      <c r="L975" s="73" t="n"/>
      <c r="M975" s="109" t="n"/>
      <c r="N975" s="73" t="n"/>
      <c r="O975" s="107">
        <f>IF(B975="","",IF(M975&lt;&gt;"","Paid",IF(AND(I975&lt;&gt;"",I975&lt;AsOf),"OVERDUE",IF(OR(K975&lt;&gt;"",L975&lt;&gt;""),"Invoiced","Scheduled"))))</f>
        <v/>
      </c>
      <c r="P975" s="115">
        <f>IF(B975="","",IF(E975&lt;&gt;"",E975,IFERROR(INDEX('Contractors'!$D$6:$D$1005,MATCH(B975,'Contractors'!$B$6:$B$1005,0)),"")))</f>
        <v/>
      </c>
      <c r="Q975" s="79">
        <f>IF(B975="","",IF(D975&lt;&gt;"",D975,IFERROR(INDEX('Contractors'!$E$6:$E$1005,MATCH(B975,'Contractors'!$B$6:$B$1005,0)),"")))</f>
        <v/>
      </c>
      <c r="R975" s="79">
        <f>IF(O975="","",IF(O975="OVERDUE",2,IF(O975="Paid",0,IF(AND(I975&lt;&gt;"",I975&lt;=AsOf+AlertDays),1,0))))</f>
        <v/>
      </c>
      <c r="S975" s="79">
        <f>IF(AND(B975&lt;&gt;"",M975="",I975&lt;&gt;""),IF(L975&lt;&gt;"",L975,IF(H975="",0,H975)),0)</f>
        <v/>
      </c>
      <c r="T975" s="79">
        <f>IF(AND(B975&lt;&gt;"",M975="",I975&lt;&gt;""),1/I975,0)</f>
        <v/>
      </c>
      <c r="U975" s="112">
        <f>IF(AND(B975&lt;&gt;"",M975="",I975&lt;&gt;""),I975,"")</f>
        <v/>
      </c>
      <c r="V975" s="79">
        <f>IF(U975="","",IF(U975&lt;AsOf,1,IF(U975&lt;=AsOf+AlertDays,2,IF(U975&lt;=AsOf+2*AlertDays,3,""))))</f>
        <v/>
      </c>
      <c r="W975" s="79">
        <f>IF(V975="","",IF(O975="OVERDUE","Overdue payment: ","Payment due: ")&amp;B975&amp;" — "&amp;C975&amp;" ("&amp;CurSym&amp;" "&amp;FIXED(S975,0)&amp;")")</f>
        <v/>
      </c>
      <c r="Z975" s="116">
        <f>IF('Contractors'!B975="","",'Contractors'!B975)</f>
        <v/>
      </c>
      <c r="AA975" s="77">
        <f>IF(Z975="","",'Contractors'!K975)</f>
        <v/>
      </c>
      <c r="AB975" s="77">
        <f>IF(Z975="","",SUMIFS($L$6:$L$1005,$B$6:$B$1005,Z975))</f>
        <v/>
      </c>
      <c r="AC975" s="77">
        <f>IF(Z975="","",SUMIFS($N$6:$N$1005,$B$6:$B$1005,Z975))</f>
        <v/>
      </c>
      <c r="AD975" s="76">
        <f>IF(Z975="","",AA975-AC975)</f>
        <v/>
      </c>
      <c r="AE975" s="117">
        <f>IF(Z975="","",IFERROR(1/SUMPRODUCT(MAX(($B$6:$B$1005=Z975)*$T$6:$T$1005)),""))</f>
        <v/>
      </c>
      <c r="AF975" s="77">
        <f>IF(AE975="","",SUMIFS($S$6:$S$1005,$B$6:$B$1005,Z975,$I$6:$I$1005,AE975))</f>
        <v/>
      </c>
    </row>
    <row r="976" ht="20" customHeight="1">
      <c r="B976" s="72" t="n"/>
      <c r="C976" s="72" t="n"/>
      <c r="D976" s="72" t="n"/>
      <c r="E976" s="72" t="n"/>
      <c r="F976" s="110" t="n"/>
      <c r="G976" s="73" t="n"/>
      <c r="H976" s="75">
        <f>IF(B976="","",IF(G976&lt;&gt;"",G976,IF(F976&lt;&gt;"",F976*IFERROR(INDEX('Contractors'!$I$6:$I$1005,MATCH(B976,'Contractors'!$B$6:$B$1005,0)),0),"")))</f>
        <v/>
      </c>
      <c r="I976" s="109" t="n"/>
      <c r="J976" s="72" t="n"/>
      <c r="K976" s="109" t="n"/>
      <c r="L976" s="73" t="n"/>
      <c r="M976" s="109" t="n"/>
      <c r="N976" s="73" t="n"/>
      <c r="O976" s="107">
        <f>IF(B976="","",IF(M976&lt;&gt;"","Paid",IF(AND(I976&lt;&gt;"",I976&lt;AsOf),"OVERDUE",IF(OR(K976&lt;&gt;"",L976&lt;&gt;""),"Invoiced","Scheduled"))))</f>
        <v/>
      </c>
      <c r="P976" s="115">
        <f>IF(B976="","",IF(E976&lt;&gt;"",E976,IFERROR(INDEX('Contractors'!$D$6:$D$1005,MATCH(B976,'Contractors'!$B$6:$B$1005,0)),"")))</f>
        <v/>
      </c>
      <c r="Q976" s="79">
        <f>IF(B976="","",IF(D976&lt;&gt;"",D976,IFERROR(INDEX('Contractors'!$E$6:$E$1005,MATCH(B976,'Contractors'!$B$6:$B$1005,0)),"")))</f>
        <v/>
      </c>
      <c r="R976" s="79">
        <f>IF(O976="","",IF(O976="OVERDUE",2,IF(O976="Paid",0,IF(AND(I976&lt;&gt;"",I976&lt;=AsOf+AlertDays),1,0))))</f>
        <v/>
      </c>
      <c r="S976" s="79">
        <f>IF(AND(B976&lt;&gt;"",M976="",I976&lt;&gt;""),IF(L976&lt;&gt;"",L976,IF(H976="",0,H976)),0)</f>
        <v/>
      </c>
      <c r="T976" s="79">
        <f>IF(AND(B976&lt;&gt;"",M976="",I976&lt;&gt;""),1/I976,0)</f>
        <v/>
      </c>
      <c r="U976" s="112">
        <f>IF(AND(B976&lt;&gt;"",M976="",I976&lt;&gt;""),I976,"")</f>
        <v/>
      </c>
      <c r="V976" s="79">
        <f>IF(U976="","",IF(U976&lt;AsOf,1,IF(U976&lt;=AsOf+AlertDays,2,IF(U976&lt;=AsOf+2*AlertDays,3,""))))</f>
        <v/>
      </c>
      <c r="W976" s="79">
        <f>IF(V976="","",IF(O976="OVERDUE","Overdue payment: ","Payment due: ")&amp;B976&amp;" — "&amp;C976&amp;" ("&amp;CurSym&amp;" "&amp;FIXED(S976,0)&amp;")")</f>
        <v/>
      </c>
      <c r="Z976" s="116">
        <f>IF('Contractors'!B976="","",'Contractors'!B976)</f>
        <v/>
      </c>
      <c r="AA976" s="77">
        <f>IF(Z976="","",'Contractors'!K976)</f>
        <v/>
      </c>
      <c r="AB976" s="77">
        <f>IF(Z976="","",SUMIFS($L$6:$L$1005,$B$6:$B$1005,Z976))</f>
        <v/>
      </c>
      <c r="AC976" s="77">
        <f>IF(Z976="","",SUMIFS($N$6:$N$1005,$B$6:$B$1005,Z976))</f>
        <v/>
      </c>
      <c r="AD976" s="76">
        <f>IF(Z976="","",AA976-AC976)</f>
        <v/>
      </c>
      <c r="AE976" s="117">
        <f>IF(Z976="","",IFERROR(1/SUMPRODUCT(MAX(($B$6:$B$1005=Z976)*$T$6:$T$1005)),""))</f>
        <v/>
      </c>
      <c r="AF976" s="77">
        <f>IF(AE976="","",SUMIFS($S$6:$S$1005,$B$6:$B$1005,Z976,$I$6:$I$1005,AE976))</f>
        <v/>
      </c>
    </row>
    <row r="977" ht="20" customHeight="1">
      <c r="B977" s="72" t="n"/>
      <c r="C977" s="72" t="n"/>
      <c r="D977" s="72" t="n"/>
      <c r="E977" s="72" t="n"/>
      <c r="F977" s="110" t="n"/>
      <c r="G977" s="73" t="n"/>
      <c r="H977" s="75">
        <f>IF(B977="","",IF(G977&lt;&gt;"",G977,IF(F977&lt;&gt;"",F977*IFERROR(INDEX('Contractors'!$I$6:$I$1005,MATCH(B977,'Contractors'!$B$6:$B$1005,0)),0),"")))</f>
        <v/>
      </c>
      <c r="I977" s="109" t="n"/>
      <c r="J977" s="72" t="n"/>
      <c r="K977" s="109" t="n"/>
      <c r="L977" s="73" t="n"/>
      <c r="M977" s="109" t="n"/>
      <c r="N977" s="73" t="n"/>
      <c r="O977" s="107">
        <f>IF(B977="","",IF(M977&lt;&gt;"","Paid",IF(AND(I977&lt;&gt;"",I977&lt;AsOf),"OVERDUE",IF(OR(K977&lt;&gt;"",L977&lt;&gt;""),"Invoiced","Scheduled"))))</f>
        <v/>
      </c>
      <c r="P977" s="115">
        <f>IF(B977="","",IF(E977&lt;&gt;"",E977,IFERROR(INDEX('Contractors'!$D$6:$D$1005,MATCH(B977,'Contractors'!$B$6:$B$1005,0)),"")))</f>
        <v/>
      </c>
      <c r="Q977" s="79">
        <f>IF(B977="","",IF(D977&lt;&gt;"",D977,IFERROR(INDEX('Contractors'!$E$6:$E$1005,MATCH(B977,'Contractors'!$B$6:$B$1005,0)),"")))</f>
        <v/>
      </c>
      <c r="R977" s="79">
        <f>IF(O977="","",IF(O977="OVERDUE",2,IF(O977="Paid",0,IF(AND(I977&lt;&gt;"",I977&lt;=AsOf+AlertDays),1,0))))</f>
        <v/>
      </c>
      <c r="S977" s="79">
        <f>IF(AND(B977&lt;&gt;"",M977="",I977&lt;&gt;""),IF(L977&lt;&gt;"",L977,IF(H977="",0,H977)),0)</f>
        <v/>
      </c>
      <c r="T977" s="79">
        <f>IF(AND(B977&lt;&gt;"",M977="",I977&lt;&gt;""),1/I977,0)</f>
        <v/>
      </c>
      <c r="U977" s="112">
        <f>IF(AND(B977&lt;&gt;"",M977="",I977&lt;&gt;""),I977,"")</f>
        <v/>
      </c>
      <c r="V977" s="79">
        <f>IF(U977="","",IF(U977&lt;AsOf,1,IF(U977&lt;=AsOf+AlertDays,2,IF(U977&lt;=AsOf+2*AlertDays,3,""))))</f>
        <v/>
      </c>
      <c r="W977" s="79">
        <f>IF(V977="","",IF(O977="OVERDUE","Overdue payment: ","Payment due: ")&amp;B977&amp;" — "&amp;C977&amp;" ("&amp;CurSym&amp;" "&amp;FIXED(S977,0)&amp;")")</f>
        <v/>
      </c>
      <c r="Z977" s="116">
        <f>IF('Contractors'!B977="","",'Contractors'!B977)</f>
        <v/>
      </c>
      <c r="AA977" s="77">
        <f>IF(Z977="","",'Contractors'!K977)</f>
        <v/>
      </c>
      <c r="AB977" s="77">
        <f>IF(Z977="","",SUMIFS($L$6:$L$1005,$B$6:$B$1005,Z977))</f>
        <v/>
      </c>
      <c r="AC977" s="77">
        <f>IF(Z977="","",SUMIFS($N$6:$N$1005,$B$6:$B$1005,Z977))</f>
        <v/>
      </c>
      <c r="AD977" s="76">
        <f>IF(Z977="","",AA977-AC977)</f>
        <v/>
      </c>
      <c r="AE977" s="117">
        <f>IF(Z977="","",IFERROR(1/SUMPRODUCT(MAX(($B$6:$B$1005=Z977)*$T$6:$T$1005)),""))</f>
        <v/>
      </c>
      <c r="AF977" s="77">
        <f>IF(AE977="","",SUMIFS($S$6:$S$1005,$B$6:$B$1005,Z977,$I$6:$I$1005,AE977))</f>
        <v/>
      </c>
    </row>
    <row r="978" ht="20" customHeight="1">
      <c r="B978" s="72" t="n"/>
      <c r="C978" s="72" t="n"/>
      <c r="D978" s="72" t="n"/>
      <c r="E978" s="72" t="n"/>
      <c r="F978" s="110" t="n"/>
      <c r="G978" s="73" t="n"/>
      <c r="H978" s="75">
        <f>IF(B978="","",IF(G978&lt;&gt;"",G978,IF(F978&lt;&gt;"",F978*IFERROR(INDEX('Contractors'!$I$6:$I$1005,MATCH(B978,'Contractors'!$B$6:$B$1005,0)),0),"")))</f>
        <v/>
      </c>
      <c r="I978" s="109" t="n"/>
      <c r="J978" s="72" t="n"/>
      <c r="K978" s="109" t="n"/>
      <c r="L978" s="73" t="n"/>
      <c r="M978" s="109" t="n"/>
      <c r="N978" s="73" t="n"/>
      <c r="O978" s="107">
        <f>IF(B978="","",IF(M978&lt;&gt;"","Paid",IF(AND(I978&lt;&gt;"",I978&lt;AsOf),"OVERDUE",IF(OR(K978&lt;&gt;"",L978&lt;&gt;""),"Invoiced","Scheduled"))))</f>
        <v/>
      </c>
      <c r="P978" s="115">
        <f>IF(B978="","",IF(E978&lt;&gt;"",E978,IFERROR(INDEX('Contractors'!$D$6:$D$1005,MATCH(B978,'Contractors'!$B$6:$B$1005,0)),"")))</f>
        <v/>
      </c>
      <c r="Q978" s="79">
        <f>IF(B978="","",IF(D978&lt;&gt;"",D978,IFERROR(INDEX('Contractors'!$E$6:$E$1005,MATCH(B978,'Contractors'!$B$6:$B$1005,0)),"")))</f>
        <v/>
      </c>
      <c r="R978" s="79">
        <f>IF(O978="","",IF(O978="OVERDUE",2,IF(O978="Paid",0,IF(AND(I978&lt;&gt;"",I978&lt;=AsOf+AlertDays),1,0))))</f>
        <v/>
      </c>
      <c r="S978" s="79">
        <f>IF(AND(B978&lt;&gt;"",M978="",I978&lt;&gt;""),IF(L978&lt;&gt;"",L978,IF(H978="",0,H978)),0)</f>
        <v/>
      </c>
      <c r="T978" s="79">
        <f>IF(AND(B978&lt;&gt;"",M978="",I978&lt;&gt;""),1/I978,0)</f>
        <v/>
      </c>
      <c r="U978" s="112">
        <f>IF(AND(B978&lt;&gt;"",M978="",I978&lt;&gt;""),I978,"")</f>
        <v/>
      </c>
      <c r="V978" s="79">
        <f>IF(U978="","",IF(U978&lt;AsOf,1,IF(U978&lt;=AsOf+AlertDays,2,IF(U978&lt;=AsOf+2*AlertDays,3,""))))</f>
        <v/>
      </c>
      <c r="W978" s="79">
        <f>IF(V978="","",IF(O978="OVERDUE","Overdue payment: ","Payment due: ")&amp;B978&amp;" — "&amp;C978&amp;" ("&amp;CurSym&amp;" "&amp;FIXED(S978,0)&amp;")")</f>
        <v/>
      </c>
      <c r="Z978" s="116">
        <f>IF('Contractors'!B978="","",'Contractors'!B978)</f>
        <v/>
      </c>
      <c r="AA978" s="77">
        <f>IF(Z978="","",'Contractors'!K978)</f>
        <v/>
      </c>
      <c r="AB978" s="77">
        <f>IF(Z978="","",SUMIFS($L$6:$L$1005,$B$6:$B$1005,Z978))</f>
        <v/>
      </c>
      <c r="AC978" s="77">
        <f>IF(Z978="","",SUMIFS($N$6:$N$1005,$B$6:$B$1005,Z978))</f>
        <v/>
      </c>
      <c r="AD978" s="76">
        <f>IF(Z978="","",AA978-AC978)</f>
        <v/>
      </c>
      <c r="AE978" s="117">
        <f>IF(Z978="","",IFERROR(1/SUMPRODUCT(MAX(($B$6:$B$1005=Z978)*$T$6:$T$1005)),""))</f>
        <v/>
      </c>
      <c r="AF978" s="77">
        <f>IF(AE978="","",SUMIFS($S$6:$S$1005,$B$6:$B$1005,Z978,$I$6:$I$1005,AE978))</f>
        <v/>
      </c>
    </row>
    <row r="979" ht="20" customHeight="1">
      <c r="B979" s="72" t="n"/>
      <c r="C979" s="72" t="n"/>
      <c r="D979" s="72" t="n"/>
      <c r="E979" s="72" t="n"/>
      <c r="F979" s="110" t="n"/>
      <c r="G979" s="73" t="n"/>
      <c r="H979" s="75">
        <f>IF(B979="","",IF(G979&lt;&gt;"",G979,IF(F979&lt;&gt;"",F979*IFERROR(INDEX('Contractors'!$I$6:$I$1005,MATCH(B979,'Contractors'!$B$6:$B$1005,0)),0),"")))</f>
        <v/>
      </c>
      <c r="I979" s="109" t="n"/>
      <c r="J979" s="72" t="n"/>
      <c r="K979" s="109" t="n"/>
      <c r="L979" s="73" t="n"/>
      <c r="M979" s="109" t="n"/>
      <c r="N979" s="73" t="n"/>
      <c r="O979" s="107">
        <f>IF(B979="","",IF(M979&lt;&gt;"","Paid",IF(AND(I979&lt;&gt;"",I979&lt;AsOf),"OVERDUE",IF(OR(K979&lt;&gt;"",L979&lt;&gt;""),"Invoiced","Scheduled"))))</f>
        <v/>
      </c>
      <c r="P979" s="115">
        <f>IF(B979="","",IF(E979&lt;&gt;"",E979,IFERROR(INDEX('Contractors'!$D$6:$D$1005,MATCH(B979,'Contractors'!$B$6:$B$1005,0)),"")))</f>
        <v/>
      </c>
      <c r="Q979" s="79">
        <f>IF(B979="","",IF(D979&lt;&gt;"",D979,IFERROR(INDEX('Contractors'!$E$6:$E$1005,MATCH(B979,'Contractors'!$B$6:$B$1005,0)),"")))</f>
        <v/>
      </c>
      <c r="R979" s="79">
        <f>IF(O979="","",IF(O979="OVERDUE",2,IF(O979="Paid",0,IF(AND(I979&lt;&gt;"",I979&lt;=AsOf+AlertDays),1,0))))</f>
        <v/>
      </c>
      <c r="S979" s="79">
        <f>IF(AND(B979&lt;&gt;"",M979="",I979&lt;&gt;""),IF(L979&lt;&gt;"",L979,IF(H979="",0,H979)),0)</f>
        <v/>
      </c>
      <c r="T979" s="79">
        <f>IF(AND(B979&lt;&gt;"",M979="",I979&lt;&gt;""),1/I979,0)</f>
        <v/>
      </c>
      <c r="U979" s="112">
        <f>IF(AND(B979&lt;&gt;"",M979="",I979&lt;&gt;""),I979,"")</f>
        <v/>
      </c>
      <c r="V979" s="79">
        <f>IF(U979="","",IF(U979&lt;AsOf,1,IF(U979&lt;=AsOf+AlertDays,2,IF(U979&lt;=AsOf+2*AlertDays,3,""))))</f>
        <v/>
      </c>
      <c r="W979" s="79">
        <f>IF(V979="","",IF(O979="OVERDUE","Overdue payment: ","Payment due: ")&amp;B979&amp;" — "&amp;C979&amp;" ("&amp;CurSym&amp;" "&amp;FIXED(S979,0)&amp;")")</f>
        <v/>
      </c>
      <c r="Z979" s="116">
        <f>IF('Contractors'!B979="","",'Contractors'!B979)</f>
        <v/>
      </c>
      <c r="AA979" s="77">
        <f>IF(Z979="","",'Contractors'!K979)</f>
        <v/>
      </c>
      <c r="AB979" s="77">
        <f>IF(Z979="","",SUMIFS($L$6:$L$1005,$B$6:$B$1005,Z979))</f>
        <v/>
      </c>
      <c r="AC979" s="77">
        <f>IF(Z979="","",SUMIFS($N$6:$N$1005,$B$6:$B$1005,Z979))</f>
        <v/>
      </c>
      <c r="AD979" s="76">
        <f>IF(Z979="","",AA979-AC979)</f>
        <v/>
      </c>
      <c r="AE979" s="117">
        <f>IF(Z979="","",IFERROR(1/SUMPRODUCT(MAX(($B$6:$B$1005=Z979)*$T$6:$T$1005)),""))</f>
        <v/>
      </c>
      <c r="AF979" s="77">
        <f>IF(AE979="","",SUMIFS($S$6:$S$1005,$B$6:$B$1005,Z979,$I$6:$I$1005,AE979))</f>
        <v/>
      </c>
    </row>
    <row r="980" ht="20" customHeight="1">
      <c r="B980" s="72" t="n"/>
      <c r="C980" s="72" t="n"/>
      <c r="D980" s="72" t="n"/>
      <c r="E980" s="72" t="n"/>
      <c r="F980" s="110" t="n"/>
      <c r="G980" s="73" t="n"/>
      <c r="H980" s="75">
        <f>IF(B980="","",IF(G980&lt;&gt;"",G980,IF(F980&lt;&gt;"",F980*IFERROR(INDEX('Contractors'!$I$6:$I$1005,MATCH(B980,'Contractors'!$B$6:$B$1005,0)),0),"")))</f>
        <v/>
      </c>
      <c r="I980" s="109" t="n"/>
      <c r="J980" s="72" t="n"/>
      <c r="K980" s="109" t="n"/>
      <c r="L980" s="73" t="n"/>
      <c r="M980" s="109" t="n"/>
      <c r="N980" s="73" t="n"/>
      <c r="O980" s="107">
        <f>IF(B980="","",IF(M980&lt;&gt;"","Paid",IF(AND(I980&lt;&gt;"",I980&lt;AsOf),"OVERDUE",IF(OR(K980&lt;&gt;"",L980&lt;&gt;""),"Invoiced","Scheduled"))))</f>
        <v/>
      </c>
      <c r="P980" s="115">
        <f>IF(B980="","",IF(E980&lt;&gt;"",E980,IFERROR(INDEX('Contractors'!$D$6:$D$1005,MATCH(B980,'Contractors'!$B$6:$B$1005,0)),"")))</f>
        <v/>
      </c>
      <c r="Q980" s="79">
        <f>IF(B980="","",IF(D980&lt;&gt;"",D980,IFERROR(INDEX('Contractors'!$E$6:$E$1005,MATCH(B980,'Contractors'!$B$6:$B$1005,0)),"")))</f>
        <v/>
      </c>
      <c r="R980" s="79">
        <f>IF(O980="","",IF(O980="OVERDUE",2,IF(O980="Paid",0,IF(AND(I980&lt;&gt;"",I980&lt;=AsOf+AlertDays),1,0))))</f>
        <v/>
      </c>
      <c r="S980" s="79">
        <f>IF(AND(B980&lt;&gt;"",M980="",I980&lt;&gt;""),IF(L980&lt;&gt;"",L980,IF(H980="",0,H980)),0)</f>
        <v/>
      </c>
      <c r="T980" s="79">
        <f>IF(AND(B980&lt;&gt;"",M980="",I980&lt;&gt;""),1/I980,0)</f>
        <v/>
      </c>
      <c r="U980" s="112">
        <f>IF(AND(B980&lt;&gt;"",M980="",I980&lt;&gt;""),I980,"")</f>
        <v/>
      </c>
      <c r="V980" s="79">
        <f>IF(U980="","",IF(U980&lt;AsOf,1,IF(U980&lt;=AsOf+AlertDays,2,IF(U980&lt;=AsOf+2*AlertDays,3,""))))</f>
        <v/>
      </c>
      <c r="W980" s="79">
        <f>IF(V980="","",IF(O980="OVERDUE","Overdue payment: ","Payment due: ")&amp;B980&amp;" — "&amp;C980&amp;" ("&amp;CurSym&amp;" "&amp;FIXED(S980,0)&amp;")")</f>
        <v/>
      </c>
      <c r="Z980" s="116">
        <f>IF('Contractors'!B980="","",'Contractors'!B980)</f>
        <v/>
      </c>
      <c r="AA980" s="77">
        <f>IF(Z980="","",'Contractors'!K980)</f>
        <v/>
      </c>
      <c r="AB980" s="77">
        <f>IF(Z980="","",SUMIFS($L$6:$L$1005,$B$6:$B$1005,Z980))</f>
        <v/>
      </c>
      <c r="AC980" s="77">
        <f>IF(Z980="","",SUMIFS($N$6:$N$1005,$B$6:$B$1005,Z980))</f>
        <v/>
      </c>
      <c r="AD980" s="76">
        <f>IF(Z980="","",AA980-AC980)</f>
        <v/>
      </c>
      <c r="AE980" s="117">
        <f>IF(Z980="","",IFERROR(1/SUMPRODUCT(MAX(($B$6:$B$1005=Z980)*$T$6:$T$1005)),""))</f>
        <v/>
      </c>
      <c r="AF980" s="77">
        <f>IF(AE980="","",SUMIFS($S$6:$S$1005,$B$6:$B$1005,Z980,$I$6:$I$1005,AE980))</f>
        <v/>
      </c>
    </row>
    <row r="981" ht="20" customHeight="1">
      <c r="B981" s="72" t="n"/>
      <c r="C981" s="72" t="n"/>
      <c r="D981" s="72" t="n"/>
      <c r="E981" s="72" t="n"/>
      <c r="F981" s="110" t="n"/>
      <c r="G981" s="73" t="n"/>
      <c r="H981" s="75">
        <f>IF(B981="","",IF(G981&lt;&gt;"",G981,IF(F981&lt;&gt;"",F981*IFERROR(INDEX('Contractors'!$I$6:$I$1005,MATCH(B981,'Contractors'!$B$6:$B$1005,0)),0),"")))</f>
        <v/>
      </c>
      <c r="I981" s="109" t="n"/>
      <c r="J981" s="72" t="n"/>
      <c r="K981" s="109" t="n"/>
      <c r="L981" s="73" t="n"/>
      <c r="M981" s="109" t="n"/>
      <c r="N981" s="73" t="n"/>
      <c r="O981" s="107">
        <f>IF(B981="","",IF(M981&lt;&gt;"","Paid",IF(AND(I981&lt;&gt;"",I981&lt;AsOf),"OVERDUE",IF(OR(K981&lt;&gt;"",L981&lt;&gt;""),"Invoiced","Scheduled"))))</f>
        <v/>
      </c>
      <c r="P981" s="115">
        <f>IF(B981="","",IF(E981&lt;&gt;"",E981,IFERROR(INDEX('Contractors'!$D$6:$D$1005,MATCH(B981,'Contractors'!$B$6:$B$1005,0)),"")))</f>
        <v/>
      </c>
      <c r="Q981" s="79">
        <f>IF(B981="","",IF(D981&lt;&gt;"",D981,IFERROR(INDEX('Contractors'!$E$6:$E$1005,MATCH(B981,'Contractors'!$B$6:$B$1005,0)),"")))</f>
        <v/>
      </c>
      <c r="R981" s="79">
        <f>IF(O981="","",IF(O981="OVERDUE",2,IF(O981="Paid",0,IF(AND(I981&lt;&gt;"",I981&lt;=AsOf+AlertDays),1,0))))</f>
        <v/>
      </c>
      <c r="S981" s="79">
        <f>IF(AND(B981&lt;&gt;"",M981="",I981&lt;&gt;""),IF(L981&lt;&gt;"",L981,IF(H981="",0,H981)),0)</f>
        <v/>
      </c>
      <c r="T981" s="79">
        <f>IF(AND(B981&lt;&gt;"",M981="",I981&lt;&gt;""),1/I981,0)</f>
        <v/>
      </c>
      <c r="U981" s="112">
        <f>IF(AND(B981&lt;&gt;"",M981="",I981&lt;&gt;""),I981,"")</f>
        <v/>
      </c>
      <c r="V981" s="79">
        <f>IF(U981="","",IF(U981&lt;AsOf,1,IF(U981&lt;=AsOf+AlertDays,2,IF(U981&lt;=AsOf+2*AlertDays,3,""))))</f>
        <v/>
      </c>
      <c r="W981" s="79">
        <f>IF(V981="","",IF(O981="OVERDUE","Overdue payment: ","Payment due: ")&amp;B981&amp;" — "&amp;C981&amp;" ("&amp;CurSym&amp;" "&amp;FIXED(S981,0)&amp;")")</f>
        <v/>
      </c>
      <c r="Z981" s="116">
        <f>IF('Contractors'!B981="","",'Contractors'!B981)</f>
        <v/>
      </c>
      <c r="AA981" s="77">
        <f>IF(Z981="","",'Contractors'!K981)</f>
        <v/>
      </c>
      <c r="AB981" s="77">
        <f>IF(Z981="","",SUMIFS($L$6:$L$1005,$B$6:$B$1005,Z981))</f>
        <v/>
      </c>
      <c r="AC981" s="77">
        <f>IF(Z981="","",SUMIFS($N$6:$N$1005,$B$6:$B$1005,Z981))</f>
        <v/>
      </c>
      <c r="AD981" s="76">
        <f>IF(Z981="","",AA981-AC981)</f>
        <v/>
      </c>
      <c r="AE981" s="117">
        <f>IF(Z981="","",IFERROR(1/SUMPRODUCT(MAX(($B$6:$B$1005=Z981)*$T$6:$T$1005)),""))</f>
        <v/>
      </c>
      <c r="AF981" s="77">
        <f>IF(AE981="","",SUMIFS($S$6:$S$1005,$B$6:$B$1005,Z981,$I$6:$I$1005,AE981))</f>
        <v/>
      </c>
    </row>
    <row r="982" ht="20" customHeight="1">
      <c r="B982" s="72" t="n"/>
      <c r="C982" s="72" t="n"/>
      <c r="D982" s="72" t="n"/>
      <c r="E982" s="72" t="n"/>
      <c r="F982" s="110" t="n"/>
      <c r="G982" s="73" t="n"/>
      <c r="H982" s="75">
        <f>IF(B982="","",IF(G982&lt;&gt;"",G982,IF(F982&lt;&gt;"",F982*IFERROR(INDEX('Contractors'!$I$6:$I$1005,MATCH(B982,'Contractors'!$B$6:$B$1005,0)),0),"")))</f>
        <v/>
      </c>
      <c r="I982" s="109" t="n"/>
      <c r="J982" s="72" t="n"/>
      <c r="K982" s="109" t="n"/>
      <c r="L982" s="73" t="n"/>
      <c r="M982" s="109" t="n"/>
      <c r="N982" s="73" t="n"/>
      <c r="O982" s="107">
        <f>IF(B982="","",IF(M982&lt;&gt;"","Paid",IF(AND(I982&lt;&gt;"",I982&lt;AsOf),"OVERDUE",IF(OR(K982&lt;&gt;"",L982&lt;&gt;""),"Invoiced","Scheduled"))))</f>
        <v/>
      </c>
      <c r="P982" s="115">
        <f>IF(B982="","",IF(E982&lt;&gt;"",E982,IFERROR(INDEX('Contractors'!$D$6:$D$1005,MATCH(B982,'Contractors'!$B$6:$B$1005,0)),"")))</f>
        <v/>
      </c>
      <c r="Q982" s="79">
        <f>IF(B982="","",IF(D982&lt;&gt;"",D982,IFERROR(INDEX('Contractors'!$E$6:$E$1005,MATCH(B982,'Contractors'!$B$6:$B$1005,0)),"")))</f>
        <v/>
      </c>
      <c r="R982" s="79">
        <f>IF(O982="","",IF(O982="OVERDUE",2,IF(O982="Paid",0,IF(AND(I982&lt;&gt;"",I982&lt;=AsOf+AlertDays),1,0))))</f>
        <v/>
      </c>
      <c r="S982" s="79">
        <f>IF(AND(B982&lt;&gt;"",M982="",I982&lt;&gt;""),IF(L982&lt;&gt;"",L982,IF(H982="",0,H982)),0)</f>
        <v/>
      </c>
      <c r="T982" s="79">
        <f>IF(AND(B982&lt;&gt;"",M982="",I982&lt;&gt;""),1/I982,0)</f>
        <v/>
      </c>
      <c r="U982" s="112">
        <f>IF(AND(B982&lt;&gt;"",M982="",I982&lt;&gt;""),I982,"")</f>
        <v/>
      </c>
      <c r="V982" s="79">
        <f>IF(U982="","",IF(U982&lt;AsOf,1,IF(U982&lt;=AsOf+AlertDays,2,IF(U982&lt;=AsOf+2*AlertDays,3,""))))</f>
        <v/>
      </c>
      <c r="W982" s="79">
        <f>IF(V982="","",IF(O982="OVERDUE","Overdue payment: ","Payment due: ")&amp;B982&amp;" — "&amp;C982&amp;" ("&amp;CurSym&amp;" "&amp;FIXED(S982,0)&amp;")")</f>
        <v/>
      </c>
      <c r="Z982" s="116">
        <f>IF('Contractors'!B982="","",'Contractors'!B982)</f>
        <v/>
      </c>
      <c r="AA982" s="77">
        <f>IF(Z982="","",'Contractors'!K982)</f>
        <v/>
      </c>
      <c r="AB982" s="77">
        <f>IF(Z982="","",SUMIFS($L$6:$L$1005,$B$6:$B$1005,Z982))</f>
        <v/>
      </c>
      <c r="AC982" s="77">
        <f>IF(Z982="","",SUMIFS($N$6:$N$1005,$B$6:$B$1005,Z982))</f>
        <v/>
      </c>
      <c r="AD982" s="76">
        <f>IF(Z982="","",AA982-AC982)</f>
        <v/>
      </c>
      <c r="AE982" s="117">
        <f>IF(Z982="","",IFERROR(1/SUMPRODUCT(MAX(($B$6:$B$1005=Z982)*$T$6:$T$1005)),""))</f>
        <v/>
      </c>
      <c r="AF982" s="77">
        <f>IF(AE982="","",SUMIFS($S$6:$S$1005,$B$6:$B$1005,Z982,$I$6:$I$1005,AE982))</f>
        <v/>
      </c>
    </row>
    <row r="983" ht="20" customHeight="1">
      <c r="B983" s="72" t="n"/>
      <c r="C983" s="72" t="n"/>
      <c r="D983" s="72" t="n"/>
      <c r="E983" s="72" t="n"/>
      <c r="F983" s="110" t="n"/>
      <c r="G983" s="73" t="n"/>
      <c r="H983" s="75">
        <f>IF(B983="","",IF(G983&lt;&gt;"",G983,IF(F983&lt;&gt;"",F983*IFERROR(INDEX('Contractors'!$I$6:$I$1005,MATCH(B983,'Contractors'!$B$6:$B$1005,0)),0),"")))</f>
        <v/>
      </c>
      <c r="I983" s="109" t="n"/>
      <c r="J983" s="72" t="n"/>
      <c r="K983" s="109" t="n"/>
      <c r="L983" s="73" t="n"/>
      <c r="M983" s="109" t="n"/>
      <c r="N983" s="73" t="n"/>
      <c r="O983" s="107">
        <f>IF(B983="","",IF(M983&lt;&gt;"","Paid",IF(AND(I983&lt;&gt;"",I983&lt;AsOf),"OVERDUE",IF(OR(K983&lt;&gt;"",L983&lt;&gt;""),"Invoiced","Scheduled"))))</f>
        <v/>
      </c>
      <c r="P983" s="115">
        <f>IF(B983="","",IF(E983&lt;&gt;"",E983,IFERROR(INDEX('Contractors'!$D$6:$D$1005,MATCH(B983,'Contractors'!$B$6:$B$1005,0)),"")))</f>
        <v/>
      </c>
      <c r="Q983" s="79">
        <f>IF(B983="","",IF(D983&lt;&gt;"",D983,IFERROR(INDEX('Contractors'!$E$6:$E$1005,MATCH(B983,'Contractors'!$B$6:$B$1005,0)),"")))</f>
        <v/>
      </c>
      <c r="R983" s="79">
        <f>IF(O983="","",IF(O983="OVERDUE",2,IF(O983="Paid",0,IF(AND(I983&lt;&gt;"",I983&lt;=AsOf+AlertDays),1,0))))</f>
        <v/>
      </c>
      <c r="S983" s="79">
        <f>IF(AND(B983&lt;&gt;"",M983="",I983&lt;&gt;""),IF(L983&lt;&gt;"",L983,IF(H983="",0,H983)),0)</f>
        <v/>
      </c>
      <c r="T983" s="79">
        <f>IF(AND(B983&lt;&gt;"",M983="",I983&lt;&gt;""),1/I983,0)</f>
        <v/>
      </c>
      <c r="U983" s="112">
        <f>IF(AND(B983&lt;&gt;"",M983="",I983&lt;&gt;""),I983,"")</f>
        <v/>
      </c>
      <c r="V983" s="79">
        <f>IF(U983="","",IF(U983&lt;AsOf,1,IF(U983&lt;=AsOf+AlertDays,2,IF(U983&lt;=AsOf+2*AlertDays,3,""))))</f>
        <v/>
      </c>
      <c r="W983" s="79">
        <f>IF(V983="","",IF(O983="OVERDUE","Overdue payment: ","Payment due: ")&amp;B983&amp;" — "&amp;C983&amp;" ("&amp;CurSym&amp;" "&amp;FIXED(S983,0)&amp;")")</f>
        <v/>
      </c>
      <c r="Z983" s="116">
        <f>IF('Contractors'!B983="","",'Contractors'!B983)</f>
        <v/>
      </c>
      <c r="AA983" s="77">
        <f>IF(Z983="","",'Contractors'!K983)</f>
        <v/>
      </c>
      <c r="AB983" s="77">
        <f>IF(Z983="","",SUMIFS($L$6:$L$1005,$B$6:$B$1005,Z983))</f>
        <v/>
      </c>
      <c r="AC983" s="77">
        <f>IF(Z983="","",SUMIFS($N$6:$N$1005,$B$6:$B$1005,Z983))</f>
        <v/>
      </c>
      <c r="AD983" s="76">
        <f>IF(Z983="","",AA983-AC983)</f>
        <v/>
      </c>
      <c r="AE983" s="117">
        <f>IF(Z983="","",IFERROR(1/SUMPRODUCT(MAX(($B$6:$B$1005=Z983)*$T$6:$T$1005)),""))</f>
        <v/>
      </c>
      <c r="AF983" s="77">
        <f>IF(AE983="","",SUMIFS($S$6:$S$1005,$B$6:$B$1005,Z983,$I$6:$I$1005,AE983))</f>
        <v/>
      </c>
    </row>
    <row r="984" ht="20" customHeight="1">
      <c r="B984" s="72" t="n"/>
      <c r="C984" s="72" t="n"/>
      <c r="D984" s="72" t="n"/>
      <c r="E984" s="72" t="n"/>
      <c r="F984" s="110" t="n"/>
      <c r="G984" s="73" t="n"/>
      <c r="H984" s="75">
        <f>IF(B984="","",IF(G984&lt;&gt;"",G984,IF(F984&lt;&gt;"",F984*IFERROR(INDEX('Contractors'!$I$6:$I$1005,MATCH(B984,'Contractors'!$B$6:$B$1005,0)),0),"")))</f>
        <v/>
      </c>
      <c r="I984" s="109" t="n"/>
      <c r="J984" s="72" t="n"/>
      <c r="K984" s="109" t="n"/>
      <c r="L984" s="73" t="n"/>
      <c r="M984" s="109" t="n"/>
      <c r="N984" s="73" t="n"/>
      <c r="O984" s="107">
        <f>IF(B984="","",IF(M984&lt;&gt;"","Paid",IF(AND(I984&lt;&gt;"",I984&lt;AsOf),"OVERDUE",IF(OR(K984&lt;&gt;"",L984&lt;&gt;""),"Invoiced","Scheduled"))))</f>
        <v/>
      </c>
      <c r="P984" s="115">
        <f>IF(B984="","",IF(E984&lt;&gt;"",E984,IFERROR(INDEX('Contractors'!$D$6:$D$1005,MATCH(B984,'Contractors'!$B$6:$B$1005,0)),"")))</f>
        <v/>
      </c>
      <c r="Q984" s="79">
        <f>IF(B984="","",IF(D984&lt;&gt;"",D984,IFERROR(INDEX('Contractors'!$E$6:$E$1005,MATCH(B984,'Contractors'!$B$6:$B$1005,0)),"")))</f>
        <v/>
      </c>
      <c r="R984" s="79">
        <f>IF(O984="","",IF(O984="OVERDUE",2,IF(O984="Paid",0,IF(AND(I984&lt;&gt;"",I984&lt;=AsOf+AlertDays),1,0))))</f>
        <v/>
      </c>
      <c r="S984" s="79">
        <f>IF(AND(B984&lt;&gt;"",M984="",I984&lt;&gt;""),IF(L984&lt;&gt;"",L984,IF(H984="",0,H984)),0)</f>
        <v/>
      </c>
      <c r="T984" s="79">
        <f>IF(AND(B984&lt;&gt;"",M984="",I984&lt;&gt;""),1/I984,0)</f>
        <v/>
      </c>
      <c r="U984" s="112">
        <f>IF(AND(B984&lt;&gt;"",M984="",I984&lt;&gt;""),I984,"")</f>
        <v/>
      </c>
      <c r="V984" s="79">
        <f>IF(U984="","",IF(U984&lt;AsOf,1,IF(U984&lt;=AsOf+AlertDays,2,IF(U984&lt;=AsOf+2*AlertDays,3,""))))</f>
        <v/>
      </c>
      <c r="W984" s="79">
        <f>IF(V984="","",IF(O984="OVERDUE","Overdue payment: ","Payment due: ")&amp;B984&amp;" — "&amp;C984&amp;" ("&amp;CurSym&amp;" "&amp;FIXED(S984,0)&amp;")")</f>
        <v/>
      </c>
      <c r="Z984" s="116">
        <f>IF('Contractors'!B984="","",'Contractors'!B984)</f>
        <v/>
      </c>
      <c r="AA984" s="77">
        <f>IF(Z984="","",'Contractors'!K984)</f>
        <v/>
      </c>
      <c r="AB984" s="77">
        <f>IF(Z984="","",SUMIFS($L$6:$L$1005,$B$6:$B$1005,Z984))</f>
        <v/>
      </c>
      <c r="AC984" s="77">
        <f>IF(Z984="","",SUMIFS($N$6:$N$1005,$B$6:$B$1005,Z984))</f>
        <v/>
      </c>
      <c r="AD984" s="76">
        <f>IF(Z984="","",AA984-AC984)</f>
        <v/>
      </c>
      <c r="AE984" s="117">
        <f>IF(Z984="","",IFERROR(1/SUMPRODUCT(MAX(($B$6:$B$1005=Z984)*$T$6:$T$1005)),""))</f>
        <v/>
      </c>
      <c r="AF984" s="77">
        <f>IF(AE984="","",SUMIFS($S$6:$S$1005,$B$6:$B$1005,Z984,$I$6:$I$1005,AE984))</f>
        <v/>
      </c>
    </row>
    <row r="985" ht="20" customHeight="1">
      <c r="B985" s="72" t="n"/>
      <c r="C985" s="72" t="n"/>
      <c r="D985" s="72" t="n"/>
      <c r="E985" s="72" t="n"/>
      <c r="F985" s="110" t="n"/>
      <c r="G985" s="73" t="n"/>
      <c r="H985" s="75">
        <f>IF(B985="","",IF(G985&lt;&gt;"",G985,IF(F985&lt;&gt;"",F985*IFERROR(INDEX('Contractors'!$I$6:$I$1005,MATCH(B985,'Contractors'!$B$6:$B$1005,0)),0),"")))</f>
        <v/>
      </c>
      <c r="I985" s="109" t="n"/>
      <c r="J985" s="72" t="n"/>
      <c r="K985" s="109" t="n"/>
      <c r="L985" s="73" t="n"/>
      <c r="M985" s="109" t="n"/>
      <c r="N985" s="73" t="n"/>
      <c r="O985" s="107">
        <f>IF(B985="","",IF(M985&lt;&gt;"","Paid",IF(AND(I985&lt;&gt;"",I985&lt;AsOf),"OVERDUE",IF(OR(K985&lt;&gt;"",L985&lt;&gt;""),"Invoiced","Scheduled"))))</f>
        <v/>
      </c>
      <c r="P985" s="115">
        <f>IF(B985="","",IF(E985&lt;&gt;"",E985,IFERROR(INDEX('Contractors'!$D$6:$D$1005,MATCH(B985,'Contractors'!$B$6:$B$1005,0)),"")))</f>
        <v/>
      </c>
      <c r="Q985" s="79">
        <f>IF(B985="","",IF(D985&lt;&gt;"",D985,IFERROR(INDEX('Contractors'!$E$6:$E$1005,MATCH(B985,'Contractors'!$B$6:$B$1005,0)),"")))</f>
        <v/>
      </c>
      <c r="R985" s="79">
        <f>IF(O985="","",IF(O985="OVERDUE",2,IF(O985="Paid",0,IF(AND(I985&lt;&gt;"",I985&lt;=AsOf+AlertDays),1,0))))</f>
        <v/>
      </c>
      <c r="S985" s="79">
        <f>IF(AND(B985&lt;&gt;"",M985="",I985&lt;&gt;""),IF(L985&lt;&gt;"",L985,IF(H985="",0,H985)),0)</f>
        <v/>
      </c>
      <c r="T985" s="79">
        <f>IF(AND(B985&lt;&gt;"",M985="",I985&lt;&gt;""),1/I985,0)</f>
        <v/>
      </c>
      <c r="U985" s="112">
        <f>IF(AND(B985&lt;&gt;"",M985="",I985&lt;&gt;""),I985,"")</f>
        <v/>
      </c>
      <c r="V985" s="79">
        <f>IF(U985="","",IF(U985&lt;AsOf,1,IF(U985&lt;=AsOf+AlertDays,2,IF(U985&lt;=AsOf+2*AlertDays,3,""))))</f>
        <v/>
      </c>
      <c r="W985" s="79">
        <f>IF(V985="","",IF(O985="OVERDUE","Overdue payment: ","Payment due: ")&amp;B985&amp;" — "&amp;C985&amp;" ("&amp;CurSym&amp;" "&amp;FIXED(S985,0)&amp;")")</f>
        <v/>
      </c>
      <c r="Z985" s="116">
        <f>IF('Contractors'!B985="","",'Contractors'!B985)</f>
        <v/>
      </c>
      <c r="AA985" s="77">
        <f>IF(Z985="","",'Contractors'!K985)</f>
        <v/>
      </c>
      <c r="AB985" s="77">
        <f>IF(Z985="","",SUMIFS($L$6:$L$1005,$B$6:$B$1005,Z985))</f>
        <v/>
      </c>
      <c r="AC985" s="77">
        <f>IF(Z985="","",SUMIFS($N$6:$N$1005,$B$6:$B$1005,Z985))</f>
        <v/>
      </c>
      <c r="AD985" s="76">
        <f>IF(Z985="","",AA985-AC985)</f>
        <v/>
      </c>
      <c r="AE985" s="117">
        <f>IF(Z985="","",IFERROR(1/SUMPRODUCT(MAX(($B$6:$B$1005=Z985)*$T$6:$T$1005)),""))</f>
        <v/>
      </c>
      <c r="AF985" s="77">
        <f>IF(AE985="","",SUMIFS($S$6:$S$1005,$B$6:$B$1005,Z985,$I$6:$I$1005,AE985))</f>
        <v/>
      </c>
    </row>
    <row r="986" ht="20" customHeight="1">
      <c r="B986" s="72" t="n"/>
      <c r="C986" s="72" t="n"/>
      <c r="D986" s="72" t="n"/>
      <c r="E986" s="72" t="n"/>
      <c r="F986" s="110" t="n"/>
      <c r="G986" s="73" t="n"/>
      <c r="H986" s="75">
        <f>IF(B986="","",IF(G986&lt;&gt;"",G986,IF(F986&lt;&gt;"",F986*IFERROR(INDEX('Contractors'!$I$6:$I$1005,MATCH(B986,'Contractors'!$B$6:$B$1005,0)),0),"")))</f>
        <v/>
      </c>
      <c r="I986" s="109" t="n"/>
      <c r="J986" s="72" t="n"/>
      <c r="K986" s="109" t="n"/>
      <c r="L986" s="73" t="n"/>
      <c r="M986" s="109" t="n"/>
      <c r="N986" s="73" t="n"/>
      <c r="O986" s="107">
        <f>IF(B986="","",IF(M986&lt;&gt;"","Paid",IF(AND(I986&lt;&gt;"",I986&lt;AsOf),"OVERDUE",IF(OR(K986&lt;&gt;"",L986&lt;&gt;""),"Invoiced","Scheduled"))))</f>
        <v/>
      </c>
      <c r="P986" s="115">
        <f>IF(B986="","",IF(E986&lt;&gt;"",E986,IFERROR(INDEX('Contractors'!$D$6:$D$1005,MATCH(B986,'Contractors'!$B$6:$B$1005,0)),"")))</f>
        <v/>
      </c>
      <c r="Q986" s="79">
        <f>IF(B986="","",IF(D986&lt;&gt;"",D986,IFERROR(INDEX('Contractors'!$E$6:$E$1005,MATCH(B986,'Contractors'!$B$6:$B$1005,0)),"")))</f>
        <v/>
      </c>
      <c r="R986" s="79">
        <f>IF(O986="","",IF(O986="OVERDUE",2,IF(O986="Paid",0,IF(AND(I986&lt;&gt;"",I986&lt;=AsOf+AlertDays),1,0))))</f>
        <v/>
      </c>
      <c r="S986" s="79">
        <f>IF(AND(B986&lt;&gt;"",M986="",I986&lt;&gt;""),IF(L986&lt;&gt;"",L986,IF(H986="",0,H986)),0)</f>
        <v/>
      </c>
      <c r="T986" s="79">
        <f>IF(AND(B986&lt;&gt;"",M986="",I986&lt;&gt;""),1/I986,0)</f>
        <v/>
      </c>
      <c r="U986" s="112">
        <f>IF(AND(B986&lt;&gt;"",M986="",I986&lt;&gt;""),I986,"")</f>
        <v/>
      </c>
      <c r="V986" s="79">
        <f>IF(U986="","",IF(U986&lt;AsOf,1,IF(U986&lt;=AsOf+AlertDays,2,IF(U986&lt;=AsOf+2*AlertDays,3,""))))</f>
        <v/>
      </c>
      <c r="W986" s="79">
        <f>IF(V986="","",IF(O986="OVERDUE","Overdue payment: ","Payment due: ")&amp;B986&amp;" — "&amp;C986&amp;" ("&amp;CurSym&amp;" "&amp;FIXED(S986,0)&amp;")")</f>
        <v/>
      </c>
      <c r="Z986" s="116">
        <f>IF('Contractors'!B986="","",'Contractors'!B986)</f>
        <v/>
      </c>
      <c r="AA986" s="77">
        <f>IF(Z986="","",'Contractors'!K986)</f>
        <v/>
      </c>
      <c r="AB986" s="77">
        <f>IF(Z986="","",SUMIFS($L$6:$L$1005,$B$6:$B$1005,Z986))</f>
        <v/>
      </c>
      <c r="AC986" s="77">
        <f>IF(Z986="","",SUMIFS($N$6:$N$1005,$B$6:$B$1005,Z986))</f>
        <v/>
      </c>
      <c r="AD986" s="76">
        <f>IF(Z986="","",AA986-AC986)</f>
        <v/>
      </c>
      <c r="AE986" s="117">
        <f>IF(Z986="","",IFERROR(1/SUMPRODUCT(MAX(($B$6:$B$1005=Z986)*$T$6:$T$1005)),""))</f>
        <v/>
      </c>
      <c r="AF986" s="77">
        <f>IF(AE986="","",SUMIFS($S$6:$S$1005,$B$6:$B$1005,Z986,$I$6:$I$1005,AE986))</f>
        <v/>
      </c>
    </row>
    <row r="987" ht="20" customHeight="1">
      <c r="B987" s="72" t="n"/>
      <c r="C987" s="72" t="n"/>
      <c r="D987" s="72" t="n"/>
      <c r="E987" s="72" t="n"/>
      <c r="F987" s="110" t="n"/>
      <c r="G987" s="73" t="n"/>
      <c r="H987" s="75">
        <f>IF(B987="","",IF(G987&lt;&gt;"",G987,IF(F987&lt;&gt;"",F987*IFERROR(INDEX('Contractors'!$I$6:$I$1005,MATCH(B987,'Contractors'!$B$6:$B$1005,0)),0),"")))</f>
        <v/>
      </c>
      <c r="I987" s="109" t="n"/>
      <c r="J987" s="72" t="n"/>
      <c r="K987" s="109" t="n"/>
      <c r="L987" s="73" t="n"/>
      <c r="M987" s="109" t="n"/>
      <c r="N987" s="73" t="n"/>
      <c r="O987" s="107">
        <f>IF(B987="","",IF(M987&lt;&gt;"","Paid",IF(AND(I987&lt;&gt;"",I987&lt;AsOf),"OVERDUE",IF(OR(K987&lt;&gt;"",L987&lt;&gt;""),"Invoiced","Scheduled"))))</f>
        <v/>
      </c>
      <c r="P987" s="115">
        <f>IF(B987="","",IF(E987&lt;&gt;"",E987,IFERROR(INDEX('Contractors'!$D$6:$D$1005,MATCH(B987,'Contractors'!$B$6:$B$1005,0)),"")))</f>
        <v/>
      </c>
      <c r="Q987" s="79">
        <f>IF(B987="","",IF(D987&lt;&gt;"",D987,IFERROR(INDEX('Contractors'!$E$6:$E$1005,MATCH(B987,'Contractors'!$B$6:$B$1005,0)),"")))</f>
        <v/>
      </c>
      <c r="R987" s="79">
        <f>IF(O987="","",IF(O987="OVERDUE",2,IF(O987="Paid",0,IF(AND(I987&lt;&gt;"",I987&lt;=AsOf+AlertDays),1,0))))</f>
        <v/>
      </c>
      <c r="S987" s="79">
        <f>IF(AND(B987&lt;&gt;"",M987="",I987&lt;&gt;""),IF(L987&lt;&gt;"",L987,IF(H987="",0,H987)),0)</f>
        <v/>
      </c>
      <c r="T987" s="79">
        <f>IF(AND(B987&lt;&gt;"",M987="",I987&lt;&gt;""),1/I987,0)</f>
        <v/>
      </c>
      <c r="U987" s="112">
        <f>IF(AND(B987&lt;&gt;"",M987="",I987&lt;&gt;""),I987,"")</f>
        <v/>
      </c>
      <c r="V987" s="79">
        <f>IF(U987="","",IF(U987&lt;AsOf,1,IF(U987&lt;=AsOf+AlertDays,2,IF(U987&lt;=AsOf+2*AlertDays,3,""))))</f>
        <v/>
      </c>
      <c r="W987" s="79">
        <f>IF(V987="","",IF(O987="OVERDUE","Overdue payment: ","Payment due: ")&amp;B987&amp;" — "&amp;C987&amp;" ("&amp;CurSym&amp;" "&amp;FIXED(S987,0)&amp;")")</f>
        <v/>
      </c>
      <c r="Z987" s="116">
        <f>IF('Contractors'!B987="","",'Contractors'!B987)</f>
        <v/>
      </c>
      <c r="AA987" s="77">
        <f>IF(Z987="","",'Contractors'!K987)</f>
        <v/>
      </c>
      <c r="AB987" s="77">
        <f>IF(Z987="","",SUMIFS($L$6:$L$1005,$B$6:$B$1005,Z987))</f>
        <v/>
      </c>
      <c r="AC987" s="77">
        <f>IF(Z987="","",SUMIFS($N$6:$N$1005,$B$6:$B$1005,Z987))</f>
        <v/>
      </c>
      <c r="AD987" s="76">
        <f>IF(Z987="","",AA987-AC987)</f>
        <v/>
      </c>
      <c r="AE987" s="117">
        <f>IF(Z987="","",IFERROR(1/SUMPRODUCT(MAX(($B$6:$B$1005=Z987)*$T$6:$T$1005)),""))</f>
        <v/>
      </c>
      <c r="AF987" s="77">
        <f>IF(AE987="","",SUMIFS($S$6:$S$1005,$B$6:$B$1005,Z987,$I$6:$I$1005,AE987))</f>
        <v/>
      </c>
    </row>
    <row r="988" ht="20" customHeight="1">
      <c r="B988" s="72" t="n"/>
      <c r="C988" s="72" t="n"/>
      <c r="D988" s="72" t="n"/>
      <c r="E988" s="72" t="n"/>
      <c r="F988" s="110" t="n"/>
      <c r="G988" s="73" t="n"/>
      <c r="H988" s="75">
        <f>IF(B988="","",IF(G988&lt;&gt;"",G988,IF(F988&lt;&gt;"",F988*IFERROR(INDEX('Contractors'!$I$6:$I$1005,MATCH(B988,'Contractors'!$B$6:$B$1005,0)),0),"")))</f>
        <v/>
      </c>
      <c r="I988" s="109" t="n"/>
      <c r="J988" s="72" t="n"/>
      <c r="K988" s="109" t="n"/>
      <c r="L988" s="73" t="n"/>
      <c r="M988" s="109" t="n"/>
      <c r="N988" s="73" t="n"/>
      <c r="O988" s="107">
        <f>IF(B988="","",IF(M988&lt;&gt;"","Paid",IF(AND(I988&lt;&gt;"",I988&lt;AsOf),"OVERDUE",IF(OR(K988&lt;&gt;"",L988&lt;&gt;""),"Invoiced","Scheduled"))))</f>
        <v/>
      </c>
      <c r="P988" s="115">
        <f>IF(B988="","",IF(E988&lt;&gt;"",E988,IFERROR(INDEX('Contractors'!$D$6:$D$1005,MATCH(B988,'Contractors'!$B$6:$B$1005,0)),"")))</f>
        <v/>
      </c>
      <c r="Q988" s="79">
        <f>IF(B988="","",IF(D988&lt;&gt;"",D988,IFERROR(INDEX('Contractors'!$E$6:$E$1005,MATCH(B988,'Contractors'!$B$6:$B$1005,0)),"")))</f>
        <v/>
      </c>
      <c r="R988" s="79">
        <f>IF(O988="","",IF(O988="OVERDUE",2,IF(O988="Paid",0,IF(AND(I988&lt;&gt;"",I988&lt;=AsOf+AlertDays),1,0))))</f>
        <v/>
      </c>
      <c r="S988" s="79">
        <f>IF(AND(B988&lt;&gt;"",M988="",I988&lt;&gt;""),IF(L988&lt;&gt;"",L988,IF(H988="",0,H988)),0)</f>
        <v/>
      </c>
      <c r="T988" s="79">
        <f>IF(AND(B988&lt;&gt;"",M988="",I988&lt;&gt;""),1/I988,0)</f>
        <v/>
      </c>
      <c r="U988" s="112">
        <f>IF(AND(B988&lt;&gt;"",M988="",I988&lt;&gt;""),I988,"")</f>
        <v/>
      </c>
      <c r="V988" s="79">
        <f>IF(U988="","",IF(U988&lt;AsOf,1,IF(U988&lt;=AsOf+AlertDays,2,IF(U988&lt;=AsOf+2*AlertDays,3,""))))</f>
        <v/>
      </c>
      <c r="W988" s="79">
        <f>IF(V988="","",IF(O988="OVERDUE","Overdue payment: ","Payment due: ")&amp;B988&amp;" — "&amp;C988&amp;" ("&amp;CurSym&amp;" "&amp;FIXED(S988,0)&amp;")")</f>
        <v/>
      </c>
      <c r="Z988" s="116">
        <f>IF('Contractors'!B988="","",'Contractors'!B988)</f>
        <v/>
      </c>
      <c r="AA988" s="77">
        <f>IF(Z988="","",'Contractors'!K988)</f>
        <v/>
      </c>
      <c r="AB988" s="77">
        <f>IF(Z988="","",SUMIFS($L$6:$L$1005,$B$6:$B$1005,Z988))</f>
        <v/>
      </c>
      <c r="AC988" s="77">
        <f>IF(Z988="","",SUMIFS($N$6:$N$1005,$B$6:$B$1005,Z988))</f>
        <v/>
      </c>
      <c r="AD988" s="76">
        <f>IF(Z988="","",AA988-AC988)</f>
        <v/>
      </c>
      <c r="AE988" s="117">
        <f>IF(Z988="","",IFERROR(1/SUMPRODUCT(MAX(($B$6:$B$1005=Z988)*$T$6:$T$1005)),""))</f>
        <v/>
      </c>
      <c r="AF988" s="77">
        <f>IF(AE988="","",SUMIFS($S$6:$S$1005,$B$6:$B$1005,Z988,$I$6:$I$1005,AE988))</f>
        <v/>
      </c>
    </row>
    <row r="989" ht="20" customHeight="1">
      <c r="B989" s="72" t="n"/>
      <c r="C989" s="72" t="n"/>
      <c r="D989" s="72" t="n"/>
      <c r="E989" s="72" t="n"/>
      <c r="F989" s="110" t="n"/>
      <c r="G989" s="73" t="n"/>
      <c r="H989" s="75">
        <f>IF(B989="","",IF(G989&lt;&gt;"",G989,IF(F989&lt;&gt;"",F989*IFERROR(INDEX('Contractors'!$I$6:$I$1005,MATCH(B989,'Contractors'!$B$6:$B$1005,0)),0),"")))</f>
        <v/>
      </c>
      <c r="I989" s="109" t="n"/>
      <c r="J989" s="72" t="n"/>
      <c r="K989" s="109" t="n"/>
      <c r="L989" s="73" t="n"/>
      <c r="M989" s="109" t="n"/>
      <c r="N989" s="73" t="n"/>
      <c r="O989" s="107">
        <f>IF(B989="","",IF(M989&lt;&gt;"","Paid",IF(AND(I989&lt;&gt;"",I989&lt;AsOf),"OVERDUE",IF(OR(K989&lt;&gt;"",L989&lt;&gt;""),"Invoiced","Scheduled"))))</f>
        <v/>
      </c>
      <c r="P989" s="115">
        <f>IF(B989="","",IF(E989&lt;&gt;"",E989,IFERROR(INDEX('Contractors'!$D$6:$D$1005,MATCH(B989,'Contractors'!$B$6:$B$1005,0)),"")))</f>
        <v/>
      </c>
      <c r="Q989" s="79">
        <f>IF(B989="","",IF(D989&lt;&gt;"",D989,IFERROR(INDEX('Contractors'!$E$6:$E$1005,MATCH(B989,'Contractors'!$B$6:$B$1005,0)),"")))</f>
        <v/>
      </c>
      <c r="R989" s="79">
        <f>IF(O989="","",IF(O989="OVERDUE",2,IF(O989="Paid",0,IF(AND(I989&lt;&gt;"",I989&lt;=AsOf+AlertDays),1,0))))</f>
        <v/>
      </c>
      <c r="S989" s="79">
        <f>IF(AND(B989&lt;&gt;"",M989="",I989&lt;&gt;""),IF(L989&lt;&gt;"",L989,IF(H989="",0,H989)),0)</f>
        <v/>
      </c>
      <c r="T989" s="79">
        <f>IF(AND(B989&lt;&gt;"",M989="",I989&lt;&gt;""),1/I989,0)</f>
        <v/>
      </c>
      <c r="U989" s="112">
        <f>IF(AND(B989&lt;&gt;"",M989="",I989&lt;&gt;""),I989,"")</f>
        <v/>
      </c>
      <c r="V989" s="79">
        <f>IF(U989="","",IF(U989&lt;AsOf,1,IF(U989&lt;=AsOf+AlertDays,2,IF(U989&lt;=AsOf+2*AlertDays,3,""))))</f>
        <v/>
      </c>
      <c r="W989" s="79">
        <f>IF(V989="","",IF(O989="OVERDUE","Overdue payment: ","Payment due: ")&amp;B989&amp;" — "&amp;C989&amp;" ("&amp;CurSym&amp;" "&amp;FIXED(S989,0)&amp;")")</f>
        <v/>
      </c>
      <c r="Z989" s="116">
        <f>IF('Contractors'!B989="","",'Contractors'!B989)</f>
        <v/>
      </c>
      <c r="AA989" s="77">
        <f>IF(Z989="","",'Contractors'!K989)</f>
        <v/>
      </c>
      <c r="AB989" s="77">
        <f>IF(Z989="","",SUMIFS($L$6:$L$1005,$B$6:$B$1005,Z989))</f>
        <v/>
      </c>
      <c r="AC989" s="77">
        <f>IF(Z989="","",SUMIFS($N$6:$N$1005,$B$6:$B$1005,Z989))</f>
        <v/>
      </c>
      <c r="AD989" s="76">
        <f>IF(Z989="","",AA989-AC989)</f>
        <v/>
      </c>
      <c r="AE989" s="117">
        <f>IF(Z989="","",IFERROR(1/SUMPRODUCT(MAX(($B$6:$B$1005=Z989)*$T$6:$T$1005)),""))</f>
        <v/>
      </c>
      <c r="AF989" s="77">
        <f>IF(AE989="","",SUMIFS($S$6:$S$1005,$B$6:$B$1005,Z989,$I$6:$I$1005,AE989))</f>
        <v/>
      </c>
    </row>
    <row r="990" ht="20" customHeight="1">
      <c r="B990" s="72" t="n"/>
      <c r="C990" s="72" t="n"/>
      <c r="D990" s="72" t="n"/>
      <c r="E990" s="72" t="n"/>
      <c r="F990" s="110" t="n"/>
      <c r="G990" s="73" t="n"/>
      <c r="H990" s="75">
        <f>IF(B990="","",IF(G990&lt;&gt;"",G990,IF(F990&lt;&gt;"",F990*IFERROR(INDEX('Contractors'!$I$6:$I$1005,MATCH(B990,'Contractors'!$B$6:$B$1005,0)),0),"")))</f>
        <v/>
      </c>
      <c r="I990" s="109" t="n"/>
      <c r="J990" s="72" t="n"/>
      <c r="K990" s="109" t="n"/>
      <c r="L990" s="73" t="n"/>
      <c r="M990" s="109" t="n"/>
      <c r="N990" s="73" t="n"/>
      <c r="O990" s="107">
        <f>IF(B990="","",IF(M990&lt;&gt;"","Paid",IF(AND(I990&lt;&gt;"",I990&lt;AsOf),"OVERDUE",IF(OR(K990&lt;&gt;"",L990&lt;&gt;""),"Invoiced","Scheduled"))))</f>
        <v/>
      </c>
      <c r="P990" s="115">
        <f>IF(B990="","",IF(E990&lt;&gt;"",E990,IFERROR(INDEX('Contractors'!$D$6:$D$1005,MATCH(B990,'Contractors'!$B$6:$B$1005,0)),"")))</f>
        <v/>
      </c>
      <c r="Q990" s="79">
        <f>IF(B990="","",IF(D990&lt;&gt;"",D990,IFERROR(INDEX('Contractors'!$E$6:$E$1005,MATCH(B990,'Contractors'!$B$6:$B$1005,0)),"")))</f>
        <v/>
      </c>
      <c r="R990" s="79">
        <f>IF(O990="","",IF(O990="OVERDUE",2,IF(O990="Paid",0,IF(AND(I990&lt;&gt;"",I990&lt;=AsOf+AlertDays),1,0))))</f>
        <v/>
      </c>
      <c r="S990" s="79">
        <f>IF(AND(B990&lt;&gt;"",M990="",I990&lt;&gt;""),IF(L990&lt;&gt;"",L990,IF(H990="",0,H990)),0)</f>
        <v/>
      </c>
      <c r="T990" s="79">
        <f>IF(AND(B990&lt;&gt;"",M990="",I990&lt;&gt;""),1/I990,0)</f>
        <v/>
      </c>
      <c r="U990" s="112">
        <f>IF(AND(B990&lt;&gt;"",M990="",I990&lt;&gt;""),I990,"")</f>
        <v/>
      </c>
      <c r="V990" s="79">
        <f>IF(U990="","",IF(U990&lt;AsOf,1,IF(U990&lt;=AsOf+AlertDays,2,IF(U990&lt;=AsOf+2*AlertDays,3,""))))</f>
        <v/>
      </c>
      <c r="W990" s="79">
        <f>IF(V990="","",IF(O990="OVERDUE","Overdue payment: ","Payment due: ")&amp;B990&amp;" — "&amp;C990&amp;" ("&amp;CurSym&amp;" "&amp;FIXED(S990,0)&amp;")")</f>
        <v/>
      </c>
      <c r="Z990" s="116">
        <f>IF('Contractors'!B990="","",'Contractors'!B990)</f>
        <v/>
      </c>
      <c r="AA990" s="77">
        <f>IF(Z990="","",'Contractors'!K990)</f>
        <v/>
      </c>
      <c r="AB990" s="77">
        <f>IF(Z990="","",SUMIFS($L$6:$L$1005,$B$6:$B$1005,Z990))</f>
        <v/>
      </c>
      <c r="AC990" s="77">
        <f>IF(Z990="","",SUMIFS($N$6:$N$1005,$B$6:$B$1005,Z990))</f>
        <v/>
      </c>
      <c r="AD990" s="76">
        <f>IF(Z990="","",AA990-AC990)</f>
        <v/>
      </c>
      <c r="AE990" s="117">
        <f>IF(Z990="","",IFERROR(1/SUMPRODUCT(MAX(($B$6:$B$1005=Z990)*$T$6:$T$1005)),""))</f>
        <v/>
      </c>
      <c r="AF990" s="77">
        <f>IF(AE990="","",SUMIFS($S$6:$S$1005,$B$6:$B$1005,Z990,$I$6:$I$1005,AE990))</f>
        <v/>
      </c>
    </row>
    <row r="991" ht="20" customHeight="1">
      <c r="B991" s="72" t="n"/>
      <c r="C991" s="72" t="n"/>
      <c r="D991" s="72" t="n"/>
      <c r="E991" s="72" t="n"/>
      <c r="F991" s="110" t="n"/>
      <c r="G991" s="73" t="n"/>
      <c r="H991" s="75">
        <f>IF(B991="","",IF(G991&lt;&gt;"",G991,IF(F991&lt;&gt;"",F991*IFERROR(INDEX('Contractors'!$I$6:$I$1005,MATCH(B991,'Contractors'!$B$6:$B$1005,0)),0),"")))</f>
        <v/>
      </c>
      <c r="I991" s="109" t="n"/>
      <c r="J991" s="72" t="n"/>
      <c r="K991" s="109" t="n"/>
      <c r="L991" s="73" t="n"/>
      <c r="M991" s="109" t="n"/>
      <c r="N991" s="73" t="n"/>
      <c r="O991" s="107">
        <f>IF(B991="","",IF(M991&lt;&gt;"","Paid",IF(AND(I991&lt;&gt;"",I991&lt;AsOf),"OVERDUE",IF(OR(K991&lt;&gt;"",L991&lt;&gt;""),"Invoiced","Scheduled"))))</f>
        <v/>
      </c>
      <c r="P991" s="115">
        <f>IF(B991="","",IF(E991&lt;&gt;"",E991,IFERROR(INDEX('Contractors'!$D$6:$D$1005,MATCH(B991,'Contractors'!$B$6:$B$1005,0)),"")))</f>
        <v/>
      </c>
      <c r="Q991" s="79">
        <f>IF(B991="","",IF(D991&lt;&gt;"",D991,IFERROR(INDEX('Contractors'!$E$6:$E$1005,MATCH(B991,'Contractors'!$B$6:$B$1005,0)),"")))</f>
        <v/>
      </c>
      <c r="R991" s="79">
        <f>IF(O991="","",IF(O991="OVERDUE",2,IF(O991="Paid",0,IF(AND(I991&lt;&gt;"",I991&lt;=AsOf+AlertDays),1,0))))</f>
        <v/>
      </c>
      <c r="S991" s="79">
        <f>IF(AND(B991&lt;&gt;"",M991="",I991&lt;&gt;""),IF(L991&lt;&gt;"",L991,IF(H991="",0,H991)),0)</f>
        <v/>
      </c>
      <c r="T991" s="79">
        <f>IF(AND(B991&lt;&gt;"",M991="",I991&lt;&gt;""),1/I991,0)</f>
        <v/>
      </c>
      <c r="U991" s="112">
        <f>IF(AND(B991&lt;&gt;"",M991="",I991&lt;&gt;""),I991,"")</f>
        <v/>
      </c>
      <c r="V991" s="79">
        <f>IF(U991="","",IF(U991&lt;AsOf,1,IF(U991&lt;=AsOf+AlertDays,2,IF(U991&lt;=AsOf+2*AlertDays,3,""))))</f>
        <v/>
      </c>
      <c r="W991" s="79">
        <f>IF(V991="","",IF(O991="OVERDUE","Overdue payment: ","Payment due: ")&amp;B991&amp;" — "&amp;C991&amp;" ("&amp;CurSym&amp;" "&amp;FIXED(S991,0)&amp;")")</f>
        <v/>
      </c>
      <c r="Z991" s="116">
        <f>IF('Contractors'!B991="","",'Contractors'!B991)</f>
        <v/>
      </c>
      <c r="AA991" s="77">
        <f>IF(Z991="","",'Contractors'!K991)</f>
        <v/>
      </c>
      <c r="AB991" s="77">
        <f>IF(Z991="","",SUMIFS($L$6:$L$1005,$B$6:$B$1005,Z991))</f>
        <v/>
      </c>
      <c r="AC991" s="77">
        <f>IF(Z991="","",SUMIFS($N$6:$N$1005,$B$6:$B$1005,Z991))</f>
        <v/>
      </c>
      <c r="AD991" s="76">
        <f>IF(Z991="","",AA991-AC991)</f>
        <v/>
      </c>
      <c r="AE991" s="117">
        <f>IF(Z991="","",IFERROR(1/SUMPRODUCT(MAX(($B$6:$B$1005=Z991)*$T$6:$T$1005)),""))</f>
        <v/>
      </c>
      <c r="AF991" s="77">
        <f>IF(AE991="","",SUMIFS($S$6:$S$1005,$B$6:$B$1005,Z991,$I$6:$I$1005,AE991))</f>
        <v/>
      </c>
    </row>
    <row r="992" ht="20" customHeight="1">
      <c r="B992" s="72" t="n"/>
      <c r="C992" s="72" t="n"/>
      <c r="D992" s="72" t="n"/>
      <c r="E992" s="72" t="n"/>
      <c r="F992" s="110" t="n"/>
      <c r="G992" s="73" t="n"/>
      <c r="H992" s="75">
        <f>IF(B992="","",IF(G992&lt;&gt;"",G992,IF(F992&lt;&gt;"",F992*IFERROR(INDEX('Contractors'!$I$6:$I$1005,MATCH(B992,'Contractors'!$B$6:$B$1005,0)),0),"")))</f>
        <v/>
      </c>
      <c r="I992" s="109" t="n"/>
      <c r="J992" s="72" t="n"/>
      <c r="K992" s="109" t="n"/>
      <c r="L992" s="73" t="n"/>
      <c r="M992" s="109" t="n"/>
      <c r="N992" s="73" t="n"/>
      <c r="O992" s="107">
        <f>IF(B992="","",IF(M992&lt;&gt;"","Paid",IF(AND(I992&lt;&gt;"",I992&lt;AsOf),"OVERDUE",IF(OR(K992&lt;&gt;"",L992&lt;&gt;""),"Invoiced","Scheduled"))))</f>
        <v/>
      </c>
      <c r="P992" s="115">
        <f>IF(B992="","",IF(E992&lt;&gt;"",E992,IFERROR(INDEX('Contractors'!$D$6:$D$1005,MATCH(B992,'Contractors'!$B$6:$B$1005,0)),"")))</f>
        <v/>
      </c>
      <c r="Q992" s="79">
        <f>IF(B992="","",IF(D992&lt;&gt;"",D992,IFERROR(INDEX('Contractors'!$E$6:$E$1005,MATCH(B992,'Contractors'!$B$6:$B$1005,0)),"")))</f>
        <v/>
      </c>
      <c r="R992" s="79">
        <f>IF(O992="","",IF(O992="OVERDUE",2,IF(O992="Paid",0,IF(AND(I992&lt;&gt;"",I992&lt;=AsOf+AlertDays),1,0))))</f>
        <v/>
      </c>
      <c r="S992" s="79">
        <f>IF(AND(B992&lt;&gt;"",M992="",I992&lt;&gt;""),IF(L992&lt;&gt;"",L992,IF(H992="",0,H992)),0)</f>
        <v/>
      </c>
      <c r="T992" s="79">
        <f>IF(AND(B992&lt;&gt;"",M992="",I992&lt;&gt;""),1/I992,0)</f>
        <v/>
      </c>
      <c r="U992" s="112">
        <f>IF(AND(B992&lt;&gt;"",M992="",I992&lt;&gt;""),I992,"")</f>
        <v/>
      </c>
      <c r="V992" s="79">
        <f>IF(U992="","",IF(U992&lt;AsOf,1,IF(U992&lt;=AsOf+AlertDays,2,IF(U992&lt;=AsOf+2*AlertDays,3,""))))</f>
        <v/>
      </c>
      <c r="W992" s="79">
        <f>IF(V992="","",IF(O992="OVERDUE","Overdue payment: ","Payment due: ")&amp;B992&amp;" — "&amp;C992&amp;" ("&amp;CurSym&amp;" "&amp;FIXED(S992,0)&amp;")")</f>
        <v/>
      </c>
      <c r="Z992" s="116">
        <f>IF('Contractors'!B992="","",'Contractors'!B992)</f>
        <v/>
      </c>
      <c r="AA992" s="77">
        <f>IF(Z992="","",'Contractors'!K992)</f>
        <v/>
      </c>
      <c r="AB992" s="77">
        <f>IF(Z992="","",SUMIFS($L$6:$L$1005,$B$6:$B$1005,Z992))</f>
        <v/>
      </c>
      <c r="AC992" s="77">
        <f>IF(Z992="","",SUMIFS($N$6:$N$1005,$B$6:$B$1005,Z992))</f>
        <v/>
      </c>
      <c r="AD992" s="76">
        <f>IF(Z992="","",AA992-AC992)</f>
        <v/>
      </c>
      <c r="AE992" s="117">
        <f>IF(Z992="","",IFERROR(1/SUMPRODUCT(MAX(($B$6:$B$1005=Z992)*$T$6:$T$1005)),""))</f>
        <v/>
      </c>
      <c r="AF992" s="77">
        <f>IF(AE992="","",SUMIFS($S$6:$S$1005,$B$6:$B$1005,Z992,$I$6:$I$1005,AE992))</f>
        <v/>
      </c>
    </row>
    <row r="993" ht="20" customHeight="1">
      <c r="B993" s="72" t="n"/>
      <c r="C993" s="72" t="n"/>
      <c r="D993" s="72" t="n"/>
      <c r="E993" s="72" t="n"/>
      <c r="F993" s="110" t="n"/>
      <c r="G993" s="73" t="n"/>
      <c r="H993" s="75">
        <f>IF(B993="","",IF(G993&lt;&gt;"",G993,IF(F993&lt;&gt;"",F993*IFERROR(INDEX('Contractors'!$I$6:$I$1005,MATCH(B993,'Contractors'!$B$6:$B$1005,0)),0),"")))</f>
        <v/>
      </c>
      <c r="I993" s="109" t="n"/>
      <c r="J993" s="72" t="n"/>
      <c r="K993" s="109" t="n"/>
      <c r="L993" s="73" t="n"/>
      <c r="M993" s="109" t="n"/>
      <c r="N993" s="73" t="n"/>
      <c r="O993" s="107">
        <f>IF(B993="","",IF(M993&lt;&gt;"","Paid",IF(AND(I993&lt;&gt;"",I993&lt;AsOf),"OVERDUE",IF(OR(K993&lt;&gt;"",L993&lt;&gt;""),"Invoiced","Scheduled"))))</f>
        <v/>
      </c>
      <c r="P993" s="115">
        <f>IF(B993="","",IF(E993&lt;&gt;"",E993,IFERROR(INDEX('Contractors'!$D$6:$D$1005,MATCH(B993,'Contractors'!$B$6:$B$1005,0)),"")))</f>
        <v/>
      </c>
      <c r="Q993" s="79">
        <f>IF(B993="","",IF(D993&lt;&gt;"",D993,IFERROR(INDEX('Contractors'!$E$6:$E$1005,MATCH(B993,'Contractors'!$B$6:$B$1005,0)),"")))</f>
        <v/>
      </c>
      <c r="R993" s="79">
        <f>IF(O993="","",IF(O993="OVERDUE",2,IF(O993="Paid",0,IF(AND(I993&lt;&gt;"",I993&lt;=AsOf+AlertDays),1,0))))</f>
        <v/>
      </c>
      <c r="S993" s="79">
        <f>IF(AND(B993&lt;&gt;"",M993="",I993&lt;&gt;""),IF(L993&lt;&gt;"",L993,IF(H993="",0,H993)),0)</f>
        <v/>
      </c>
      <c r="T993" s="79">
        <f>IF(AND(B993&lt;&gt;"",M993="",I993&lt;&gt;""),1/I993,0)</f>
        <v/>
      </c>
      <c r="U993" s="112">
        <f>IF(AND(B993&lt;&gt;"",M993="",I993&lt;&gt;""),I993,"")</f>
        <v/>
      </c>
      <c r="V993" s="79">
        <f>IF(U993="","",IF(U993&lt;AsOf,1,IF(U993&lt;=AsOf+AlertDays,2,IF(U993&lt;=AsOf+2*AlertDays,3,""))))</f>
        <v/>
      </c>
      <c r="W993" s="79">
        <f>IF(V993="","",IF(O993="OVERDUE","Overdue payment: ","Payment due: ")&amp;B993&amp;" — "&amp;C993&amp;" ("&amp;CurSym&amp;" "&amp;FIXED(S993,0)&amp;")")</f>
        <v/>
      </c>
      <c r="Z993" s="116">
        <f>IF('Contractors'!B993="","",'Contractors'!B993)</f>
        <v/>
      </c>
      <c r="AA993" s="77">
        <f>IF(Z993="","",'Contractors'!K993)</f>
        <v/>
      </c>
      <c r="AB993" s="77">
        <f>IF(Z993="","",SUMIFS($L$6:$L$1005,$B$6:$B$1005,Z993))</f>
        <v/>
      </c>
      <c r="AC993" s="77">
        <f>IF(Z993="","",SUMIFS($N$6:$N$1005,$B$6:$B$1005,Z993))</f>
        <v/>
      </c>
      <c r="AD993" s="76">
        <f>IF(Z993="","",AA993-AC993)</f>
        <v/>
      </c>
      <c r="AE993" s="117">
        <f>IF(Z993="","",IFERROR(1/SUMPRODUCT(MAX(($B$6:$B$1005=Z993)*$T$6:$T$1005)),""))</f>
        <v/>
      </c>
      <c r="AF993" s="77">
        <f>IF(AE993="","",SUMIFS($S$6:$S$1005,$B$6:$B$1005,Z993,$I$6:$I$1005,AE993))</f>
        <v/>
      </c>
    </row>
    <row r="994" ht="20" customHeight="1">
      <c r="B994" s="72" t="n"/>
      <c r="C994" s="72" t="n"/>
      <c r="D994" s="72" t="n"/>
      <c r="E994" s="72" t="n"/>
      <c r="F994" s="110" t="n"/>
      <c r="G994" s="73" t="n"/>
      <c r="H994" s="75">
        <f>IF(B994="","",IF(G994&lt;&gt;"",G994,IF(F994&lt;&gt;"",F994*IFERROR(INDEX('Contractors'!$I$6:$I$1005,MATCH(B994,'Contractors'!$B$6:$B$1005,0)),0),"")))</f>
        <v/>
      </c>
      <c r="I994" s="109" t="n"/>
      <c r="J994" s="72" t="n"/>
      <c r="K994" s="109" t="n"/>
      <c r="L994" s="73" t="n"/>
      <c r="M994" s="109" t="n"/>
      <c r="N994" s="73" t="n"/>
      <c r="O994" s="107">
        <f>IF(B994="","",IF(M994&lt;&gt;"","Paid",IF(AND(I994&lt;&gt;"",I994&lt;AsOf),"OVERDUE",IF(OR(K994&lt;&gt;"",L994&lt;&gt;""),"Invoiced","Scheduled"))))</f>
        <v/>
      </c>
      <c r="P994" s="115">
        <f>IF(B994="","",IF(E994&lt;&gt;"",E994,IFERROR(INDEX('Contractors'!$D$6:$D$1005,MATCH(B994,'Contractors'!$B$6:$B$1005,0)),"")))</f>
        <v/>
      </c>
      <c r="Q994" s="79">
        <f>IF(B994="","",IF(D994&lt;&gt;"",D994,IFERROR(INDEX('Contractors'!$E$6:$E$1005,MATCH(B994,'Contractors'!$B$6:$B$1005,0)),"")))</f>
        <v/>
      </c>
      <c r="R994" s="79">
        <f>IF(O994="","",IF(O994="OVERDUE",2,IF(O994="Paid",0,IF(AND(I994&lt;&gt;"",I994&lt;=AsOf+AlertDays),1,0))))</f>
        <v/>
      </c>
      <c r="S994" s="79">
        <f>IF(AND(B994&lt;&gt;"",M994="",I994&lt;&gt;""),IF(L994&lt;&gt;"",L994,IF(H994="",0,H994)),0)</f>
        <v/>
      </c>
      <c r="T994" s="79">
        <f>IF(AND(B994&lt;&gt;"",M994="",I994&lt;&gt;""),1/I994,0)</f>
        <v/>
      </c>
      <c r="U994" s="112">
        <f>IF(AND(B994&lt;&gt;"",M994="",I994&lt;&gt;""),I994,"")</f>
        <v/>
      </c>
      <c r="V994" s="79">
        <f>IF(U994="","",IF(U994&lt;AsOf,1,IF(U994&lt;=AsOf+AlertDays,2,IF(U994&lt;=AsOf+2*AlertDays,3,""))))</f>
        <v/>
      </c>
      <c r="W994" s="79">
        <f>IF(V994="","",IF(O994="OVERDUE","Overdue payment: ","Payment due: ")&amp;B994&amp;" — "&amp;C994&amp;" ("&amp;CurSym&amp;" "&amp;FIXED(S994,0)&amp;")")</f>
        <v/>
      </c>
      <c r="Z994" s="116">
        <f>IF('Contractors'!B994="","",'Contractors'!B994)</f>
        <v/>
      </c>
      <c r="AA994" s="77">
        <f>IF(Z994="","",'Contractors'!K994)</f>
        <v/>
      </c>
      <c r="AB994" s="77">
        <f>IF(Z994="","",SUMIFS($L$6:$L$1005,$B$6:$B$1005,Z994))</f>
        <v/>
      </c>
      <c r="AC994" s="77">
        <f>IF(Z994="","",SUMIFS($N$6:$N$1005,$B$6:$B$1005,Z994))</f>
        <v/>
      </c>
      <c r="AD994" s="76">
        <f>IF(Z994="","",AA994-AC994)</f>
        <v/>
      </c>
      <c r="AE994" s="117">
        <f>IF(Z994="","",IFERROR(1/SUMPRODUCT(MAX(($B$6:$B$1005=Z994)*$T$6:$T$1005)),""))</f>
        <v/>
      </c>
      <c r="AF994" s="77">
        <f>IF(AE994="","",SUMIFS($S$6:$S$1005,$B$6:$B$1005,Z994,$I$6:$I$1005,AE994))</f>
        <v/>
      </c>
    </row>
    <row r="995" ht="20" customHeight="1">
      <c r="B995" s="72" t="n"/>
      <c r="C995" s="72" t="n"/>
      <c r="D995" s="72" t="n"/>
      <c r="E995" s="72" t="n"/>
      <c r="F995" s="110" t="n"/>
      <c r="G995" s="73" t="n"/>
      <c r="H995" s="75">
        <f>IF(B995="","",IF(G995&lt;&gt;"",G995,IF(F995&lt;&gt;"",F995*IFERROR(INDEX('Contractors'!$I$6:$I$1005,MATCH(B995,'Contractors'!$B$6:$B$1005,0)),0),"")))</f>
        <v/>
      </c>
      <c r="I995" s="109" t="n"/>
      <c r="J995" s="72" t="n"/>
      <c r="K995" s="109" t="n"/>
      <c r="L995" s="73" t="n"/>
      <c r="M995" s="109" t="n"/>
      <c r="N995" s="73" t="n"/>
      <c r="O995" s="107">
        <f>IF(B995="","",IF(M995&lt;&gt;"","Paid",IF(AND(I995&lt;&gt;"",I995&lt;AsOf),"OVERDUE",IF(OR(K995&lt;&gt;"",L995&lt;&gt;""),"Invoiced","Scheduled"))))</f>
        <v/>
      </c>
      <c r="P995" s="115">
        <f>IF(B995="","",IF(E995&lt;&gt;"",E995,IFERROR(INDEX('Contractors'!$D$6:$D$1005,MATCH(B995,'Contractors'!$B$6:$B$1005,0)),"")))</f>
        <v/>
      </c>
      <c r="Q995" s="79">
        <f>IF(B995="","",IF(D995&lt;&gt;"",D995,IFERROR(INDEX('Contractors'!$E$6:$E$1005,MATCH(B995,'Contractors'!$B$6:$B$1005,0)),"")))</f>
        <v/>
      </c>
      <c r="R995" s="79">
        <f>IF(O995="","",IF(O995="OVERDUE",2,IF(O995="Paid",0,IF(AND(I995&lt;&gt;"",I995&lt;=AsOf+AlertDays),1,0))))</f>
        <v/>
      </c>
      <c r="S995" s="79">
        <f>IF(AND(B995&lt;&gt;"",M995="",I995&lt;&gt;""),IF(L995&lt;&gt;"",L995,IF(H995="",0,H995)),0)</f>
        <v/>
      </c>
      <c r="T995" s="79">
        <f>IF(AND(B995&lt;&gt;"",M995="",I995&lt;&gt;""),1/I995,0)</f>
        <v/>
      </c>
      <c r="U995" s="112">
        <f>IF(AND(B995&lt;&gt;"",M995="",I995&lt;&gt;""),I995,"")</f>
        <v/>
      </c>
      <c r="V995" s="79">
        <f>IF(U995="","",IF(U995&lt;AsOf,1,IF(U995&lt;=AsOf+AlertDays,2,IF(U995&lt;=AsOf+2*AlertDays,3,""))))</f>
        <v/>
      </c>
      <c r="W995" s="79">
        <f>IF(V995="","",IF(O995="OVERDUE","Overdue payment: ","Payment due: ")&amp;B995&amp;" — "&amp;C995&amp;" ("&amp;CurSym&amp;" "&amp;FIXED(S995,0)&amp;")")</f>
        <v/>
      </c>
      <c r="Z995" s="116">
        <f>IF('Contractors'!B995="","",'Contractors'!B995)</f>
        <v/>
      </c>
      <c r="AA995" s="77">
        <f>IF(Z995="","",'Contractors'!K995)</f>
        <v/>
      </c>
      <c r="AB995" s="77">
        <f>IF(Z995="","",SUMIFS($L$6:$L$1005,$B$6:$B$1005,Z995))</f>
        <v/>
      </c>
      <c r="AC995" s="77">
        <f>IF(Z995="","",SUMIFS($N$6:$N$1005,$B$6:$B$1005,Z995))</f>
        <v/>
      </c>
      <c r="AD995" s="76">
        <f>IF(Z995="","",AA995-AC995)</f>
        <v/>
      </c>
      <c r="AE995" s="117">
        <f>IF(Z995="","",IFERROR(1/SUMPRODUCT(MAX(($B$6:$B$1005=Z995)*$T$6:$T$1005)),""))</f>
        <v/>
      </c>
      <c r="AF995" s="77">
        <f>IF(AE995="","",SUMIFS($S$6:$S$1005,$B$6:$B$1005,Z995,$I$6:$I$1005,AE995))</f>
        <v/>
      </c>
    </row>
    <row r="996" ht="20" customHeight="1">
      <c r="B996" s="72" t="n"/>
      <c r="C996" s="72" t="n"/>
      <c r="D996" s="72" t="n"/>
      <c r="E996" s="72" t="n"/>
      <c r="F996" s="110" t="n"/>
      <c r="G996" s="73" t="n"/>
      <c r="H996" s="75">
        <f>IF(B996="","",IF(G996&lt;&gt;"",G996,IF(F996&lt;&gt;"",F996*IFERROR(INDEX('Contractors'!$I$6:$I$1005,MATCH(B996,'Contractors'!$B$6:$B$1005,0)),0),"")))</f>
        <v/>
      </c>
      <c r="I996" s="109" t="n"/>
      <c r="J996" s="72" t="n"/>
      <c r="K996" s="109" t="n"/>
      <c r="L996" s="73" t="n"/>
      <c r="M996" s="109" t="n"/>
      <c r="N996" s="73" t="n"/>
      <c r="O996" s="107">
        <f>IF(B996="","",IF(M996&lt;&gt;"","Paid",IF(AND(I996&lt;&gt;"",I996&lt;AsOf),"OVERDUE",IF(OR(K996&lt;&gt;"",L996&lt;&gt;""),"Invoiced","Scheduled"))))</f>
        <v/>
      </c>
      <c r="P996" s="115">
        <f>IF(B996="","",IF(E996&lt;&gt;"",E996,IFERROR(INDEX('Contractors'!$D$6:$D$1005,MATCH(B996,'Contractors'!$B$6:$B$1005,0)),"")))</f>
        <v/>
      </c>
      <c r="Q996" s="79">
        <f>IF(B996="","",IF(D996&lt;&gt;"",D996,IFERROR(INDEX('Contractors'!$E$6:$E$1005,MATCH(B996,'Contractors'!$B$6:$B$1005,0)),"")))</f>
        <v/>
      </c>
      <c r="R996" s="79">
        <f>IF(O996="","",IF(O996="OVERDUE",2,IF(O996="Paid",0,IF(AND(I996&lt;&gt;"",I996&lt;=AsOf+AlertDays),1,0))))</f>
        <v/>
      </c>
      <c r="S996" s="79">
        <f>IF(AND(B996&lt;&gt;"",M996="",I996&lt;&gt;""),IF(L996&lt;&gt;"",L996,IF(H996="",0,H996)),0)</f>
        <v/>
      </c>
      <c r="T996" s="79">
        <f>IF(AND(B996&lt;&gt;"",M996="",I996&lt;&gt;""),1/I996,0)</f>
        <v/>
      </c>
      <c r="U996" s="112">
        <f>IF(AND(B996&lt;&gt;"",M996="",I996&lt;&gt;""),I996,"")</f>
        <v/>
      </c>
      <c r="V996" s="79">
        <f>IF(U996="","",IF(U996&lt;AsOf,1,IF(U996&lt;=AsOf+AlertDays,2,IF(U996&lt;=AsOf+2*AlertDays,3,""))))</f>
        <v/>
      </c>
      <c r="W996" s="79">
        <f>IF(V996="","",IF(O996="OVERDUE","Overdue payment: ","Payment due: ")&amp;B996&amp;" — "&amp;C996&amp;" ("&amp;CurSym&amp;" "&amp;FIXED(S996,0)&amp;")")</f>
        <v/>
      </c>
      <c r="Z996" s="116">
        <f>IF('Contractors'!B996="","",'Contractors'!B996)</f>
        <v/>
      </c>
      <c r="AA996" s="77">
        <f>IF(Z996="","",'Contractors'!K996)</f>
        <v/>
      </c>
      <c r="AB996" s="77">
        <f>IF(Z996="","",SUMIFS($L$6:$L$1005,$B$6:$B$1005,Z996))</f>
        <v/>
      </c>
      <c r="AC996" s="77">
        <f>IF(Z996="","",SUMIFS($N$6:$N$1005,$B$6:$B$1005,Z996))</f>
        <v/>
      </c>
      <c r="AD996" s="76">
        <f>IF(Z996="","",AA996-AC996)</f>
        <v/>
      </c>
      <c r="AE996" s="117">
        <f>IF(Z996="","",IFERROR(1/SUMPRODUCT(MAX(($B$6:$B$1005=Z996)*$T$6:$T$1005)),""))</f>
        <v/>
      </c>
      <c r="AF996" s="77">
        <f>IF(AE996="","",SUMIFS($S$6:$S$1005,$B$6:$B$1005,Z996,$I$6:$I$1005,AE996))</f>
        <v/>
      </c>
    </row>
    <row r="997" ht="20" customHeight="1">
      <c r="B997" s="72" t="n"/>
      <c r="C997" s="72" t="n"/>
      <c r="D997" s="72" t="n"/>
      <c r="E997" s="72" t="n"/>
      <c r="F997" s="110" t="n"/>
      <c r="G997" s="73" t="n"/>
      <c r="H997" s="75">
        <f>IF(B997="","",IF(G997&lt;&gt;"",G997,IF(F997&lt;&gt;"",F997*IFERROR(INDEX('Contractors'!$I$6:$I$1005,MATCH(B997,'Contractors'!$B$6:$B$1005,0)),0),"")))</f>
        <v/>
      </c>
      <c r="I997" s="109" t="n"/>
      <c r="J997" s="72" t="n"/>
      <c r="K997" s="109" t="n"/>
      <c r="L997" s="73" t="n"/>
      <c r="M997" s="109" t="n"/>
      <c r="N997" s="73" t="n"/>
      <c r="O997" s="107">
        <f>IF(B997="","",IF(M997&lt;&gt;"","Paid",IF(AND(I997&lt;&gt;"",I997&lt;AsOf),"OVERDUE",IF(OR(K997&lt;&gt;"",L997&lt;&gt;""),"Invoiced","Scheduled"))))</f>
        <v/>
      </c>
      <c r="P997" s="115">
        <f>IF(B997="","",IF(E997&lt;&gt;"",E997,IFERROR(INDEX('Contractors'!$D$6:$D$1005,MATCH(B997,'Contractors'!$B$6:$B$1005,0)),"")))</f>
        <v/>
      </c>
      <c r="Q997" s="79">
        <f>IF(B997="","",IF(D997&lt;&gt;"",D997,IFERROR(INDEX('Contractors'!$E$6:$E$1005,MATCH(B997,'Contractors'!$B$6:$B$1005,0)),"")))</f>
        <v/>
      </c>
      <c r="R997" s="79">
        <f>IF(O997="","",IF(O997="OVERDUE",2,IF(O997="Paid",0,IF(AND(I997&lt;&gt;"",I997&lt;=AsOf+AlertDays),1,0))))</f>
        <v/>
      </c>
      <c r="S997" s="79">
        <f>IF(AND(B997&lt;&gt;"",M997="",I997&lt;&gt;""),IF(L997&lt;&gt;"",L997,IF(H997="",0,H997)),0)</f>
        <v/>
      </c>
      <c r="T997" s="79">
        <f>IF(AND(B997&lt;&gt;"",M997="",I997&lt;&gt;""),1/I997,0)</f>
        <v/>
      </c>
      <c r="U997" s="112">
        <f>IF(AND(B997&lt;&gt;"",M997="",I997&lt;&gt;""),I997,"")</f>
        <v/>
      </c>
      <c r="V997" s="79">
        <f>IF(U997="","",IF(U997&lt;AsOf,1,IF(U997&lt;=AsOf+AlertDays,2,IF(U997&lt;=AsOf+2*AlertDays,3,""))))</f>
        <v/>
      </c>
      <c r="W997" s="79">
        <f>IF(V997="","",IF(O997="OVERDUE","Overdue payment: ","Payment due: ")&amp;B997&amp;" — "&amp;C997&amp;" ("&amp;CurSym&amp;" "&amp;FIXED(S997,0)&amp;")")</f>
        <v/>
      </c>
      <c r="Z997" s="116">
        <f>IF('Contractors'!B997="","",'Contractors'!B997)</f>
        <v/>
      </c>
      <c r="AA997" s="77">
        <f>IF(Z997="","",'Contractors'!K997)</f>
        <v/>
      </c>
      <c r="AB997" s="77">
        <f>IF(Z997="","",SUMIFS($L$6:$L$1005,$B$6:$B$1005,Z997))</f>
        <v/>
      </c>
      <c r="AC997" s="77">
        <f>IF(Z997="","",SUMIFS($N$6:$N$1005,$B$6:$B$1005,Z997))</f>
        <v/>
      </c>
      <c r="AD997" s="76">
        <f>IF(Z997="","",AA997-AC997)</f>
        <v/>
      </c>
      <c r="AE997" s="117">
        <f>IF(Z997="","",IFERROR(1/SUMPRODUCT(MAX(($B$6:$B$1005=Z997)*$T$6:$T$1005)),""))</f>
        <v/>
      </c>
      <c r="AF997" s="77">
        <f>IF(AE997="","",SUMIFS($S$6:$S$1005,$B$6:$B$1005,Z997,$I$6:$I$1005,AE997))</f>
        <v/>
      </c>
    </row>
    <row r="998" ht="20" customHeight="1">
      <c r="B998" s="72" t="n"/>
      <c r="C998" s="72" t="n"/>
      <c r="D998" s="72" t="n"/>
      <c r="E998" s="72" t="n"/>
      <c r="F998" s="110" t="n"/>
      <c r="G998" s="73" t="n"/>
      <c r="H998" s="75">
        <f>IF(B998="","",IF(G998&lt;&gt;"",G998,IF(F998&lt;&gt;"",F998*IFERROR(INDEX('Contractors'!$I$6:$I$1005,MATCH(B998,'Contractors'!$B$6:$B$1005,0)),0),"")))</f>
        <v/>
      </c>
      <c r="I998" s="109" t="n"/>
      <c r="J998" s="72" t="n"/>
      <c r="K998" s="109" t="n"/>
      <c r="L998" s="73" t="n"/>
      <c r="M998" s="109" t="n"/>
      <c r="N998" s="73" t="n"/>
      <c r="O998" s="107">
        <f>IF(B998="","",IF(M998&lt;&gt;"","Paid",IF(AND(I998&lt;&gt;"",I998&lt;AsOf),"OVERDUE",IF(OR(K998&lt;&gt;"",L998&lt;&gt;""),"Invoiced","Scheduled"))))</f>
        <v/>
      </c>
      <c r="P998" s="115">
        <f>IF(B998="","",IF(E998&lt;&gt;"",E998,IFERROR(INDEX('Contractors'!$D$6:$D$1005,MATCH(B998,'Contractors'!$B$6:$B$1005,0)),"")))</f>
        <v/>
      </c>
      <c r="Q998" s="79">
        <f>IF(B998="","",IF(D998&lt;&gt;"",D998,IFERROR(INDEX('Contractors'!$E$6:$E$1005,MATCH(B998,'Contractors'!$B$6:$B$1005,0)),"")))</f>
        <v/>
      </c>
      <c r="R998" s="79">
        <f>IF(O998="","",IF(O998="OVERDUE",2,IF(O998="Paid",0,IF(AND(I998&lt;&gt;"",I998&lt;=AsOf+AlertDays),1,0))))</f>
        <v/>
      </c>
      <c r="S998" s="79">
        <f>IF(AND(B998&lt;&gt;"",M998="",I998&lt;&gt;""),IF(L998&lt;&gt;"",L998,IF(H998="",0,H998)),0)</f>
        <v/>
      </c>
      <c r="T998" s="79">
        <f>IF(AND(B998&lt;&gt;"",M998="",I998&lt;&gt;""),1/I998,0)</f>
        <v/>
      </c>
      <c r="U998" s="112">
        <f>IF(AND(B998&lt;&gt;"",M998="",I998&lt;&gt;""),I998,"")</f>
        <v/>
      </c>
      <c r="V998" s="79">
        <f>IF(U998="","",IF(U998&lt;AsOf,1,IF(U998&lt;=AsOf+AlertDays,2,IF(U998&lt;=AsOf+2*AlertDays,3,""))))</f>
        <v/>
      </c>
      <c r="W998" s="79">
        <f>IF(V998="","",IF(O998="OVERDUE","Overdue payment: ","Payment due: ")&amp;B998&amp;" — "&amp;C998&amp;" ("&amp;CurSym&amp;" "&amp;FIXED(S998,0)&amp;")")</f>
        <v/>
      </c>
      <c r="Z998" s="116">
        <f>IF('Contractors'!B998="","",'Contractors'!B998)</f>
        <v/>
      </c>
      <c r="AA998" s="77">
        <f>IF(Z998="","",'Contractors'!K998)</f>
        <v/>
      </c>
      <c r="AB998" s="77">
        <f>IF(Z998="","",SUMIFS($L$6:$L$1005,$B$6:$B$1005,Z998))</f>
        <v/>
      </c>
      <c r="AC998" s="77">
        <f>IF(Z998="","",SUMIFS($N$6:$N$1005,$B$6:$B$1005,Z998))</f>
        <v/>
      </c>
      <c r="AD998" s="76">
        <f>IF(Z998="","",AA998-AC998)</f>
        <v/>
      </c>
      <c r="AE998" s="117">
        <f>IF(Z998="","",IFERROR(1/SUMPRODUCT(MAX(($B$6:$B$1005=Z998)*$T$6:$T$1005)),""))</f>
        <v/>
      </c>
      <c r="AF998" s="77">
        <f>IF(AE998="","",SUMIFS($S$6:$S$1005,$B$6:$B$1005,Z998,$I$6:$I$1005,AE998))</f>
        <v/>
      </c>
    </row>
    <row r="999" ht="20" customHeight="1">
      <c r="B999" s="72" t="n"/>
      <c r="C999" s="72" t="n"/>
      <c r="D999" s="72" t="n"/>
      <c r="E999" s="72" t="n"/>
      <c r="F999" s="110" t="n"/>
      <c r="G999" s="73" t="n"/>
      <c r="H999" s="75">
        <f>IF(B999="","",IF(G999&lt;&gt;"",G999,IF(F999&lt;&gt;"",F999*IFERROR(INDEX('Contractors'!$I$6:$I$1005,MATCH(B999,'Contractors'!$B$6:$B$1005,0)),0),"")))</f>
        <v/>
      </c>
      <c r="I999" s="109" t="n"/>
      <c r="J999" s="72" t="n"/>
      <c r="K999" s="109" t="n"/>
      <c r="L999" s="73" t="n"/>
      <c r="M999" s="109" t="n"/>
      <c r="N999" s="73" t="n"/>
      <c r="O999" s="107">
        <f>IF(B999="","",IF(M999&lt;&gt;"","Paid",IF(AND(I999&lt;&gt;"",I999&lt;AsOf),"OVERDUE",IF(OR(K999&lt;&gt;"",L999&lt;&gt;""),"Invoiced","Scheduled"))))</f>
        <v/>
      </c>
      <c r="P999" s="115">
        <f>IF(B999="","",IF(E999&lt;&gt;"",E999,IFERROR(INDEX('Contractors'!$D$6:$D$1005,MATCH(B999,'Contractors'!$B$6:$B$1005,0)),"")))</f>
        <v/>
      </c>
      <c r="Q999" s="79">
        <f>IF(B999="","",IF(D999&lt;&gt;"",D999,IFERROR(INDEX('Contractors'!$E$6:$E$1005,MATCH(B999,'Contractors'!$B$6:$B$1005,0)),"")))</f>
        <v/>
      </c>
      <c r="R999" s="79">
        <f>IF(O999="","",IF(O999="OVERDUE",2,IF(O999="Paid",0,IF(AND(I999&lt;&gt;"",I999&lt;=AsOf+AlertDays),1,0))))</f>
        <v/>
      </c>
      <c r="S999" s="79">
        <f>IF(AND(B999&lt;&gt;"",M999="",I999&lt;&gt;""),IF(L999&lt;&gt;"",L999,IF(H999="",0,H999)),0)</f>
        <v/>
      </c>
      <c r="T999" s="79">
        <f>IF(AND(B999&lt;&gt;"",M999="",I999&lt;&gt;""),1/I999,0)</f>
        <v/>
      </c>
      <c r="U999" s="112">
        <f>IF(AND(B999&lt;&gt;"",M999="",I999&lt;&gt;""),I999,"")</f>
        <v/>
      </c>
      <c r="V999" s="79">
        <f>IF(U999="","",IF(U999&lt;AsOf,1,IF(U999&lt;=AsOf+AlertDays,2,IF(U999&lt;=AsOf+2*AlertDays,3,""))))</f>
        <v/>
      </c>
      <c r="W999" s="79">
        <f>IF(V999="","",IF(O999="OVERDUE","Overdue payment: ","Payment due: ")&amp;B999&amp;" — "&amp;C999&amp;" ("&amp;CurSym&amp;" "&amp;FIXED(S999,0)&amp;")")</f>
        <v/>
      </c>
      <c r="Z999" s="116">
        <f>IF('Contractors'!B999="","",'Contractors'!B999)</f>
        <v/>
      </c>
      <c r="AA999" s="77">
        <f>IF(Z999="","",'Contractors'!K999)</f>
        <v/>
      </c>
      <c r="AB999" s="77">
        <f>IF(Z999="","",SUMIFS($L$6:$L$1005,$B$6:$B$1005,Z999))</f>
        <v/>
      </c>
      <c r="AC999" s="77">
        <f>IF(Z999="","",SUMIFS($N$6:$N$1005,$B$6:$B$1005,Z999))</f>
        <v/>
      </c>
      <c r="AD999" s="76">
        <f>IF(Z999="","",AA999-AC999)</f>
        <v/>
      </c>
      <c r="AE999" s="117">
        <f>IF(Z999="","",IFERROR(1/SUMPRODUCT(MAX(($B$6:$B$1005=Z999)*$T$6:$T$1005)),""))</f>
        <v/>
      </c>
      <c r="AF999" s="77">
        <f>IF(AE999="","",SUMIFS($S$6:$S$1005,$B$6:$B$1005,Z999,$I$6:$I$1005,AE999))</f>
        <v/>
      </c>
    </row>
    <row r="1000" ht="20" customHeight="1">
      <c r="B1000" s="72" t="n"/>
      <c r="C1000" s="72" t="n"/>
      <c r="D1000" s="72" t="n"/>
      <c r="E1000" s="72" t="n"/>
      <c r="F1000" s="110" t="n"/>
      <c r="G1000" s="73" t="n"/>
      <c r="H1000" s="75">
        <f>IF(B1000="","",IF(G1000&lt;&gt;"",G1000,IF(F1000&lt;&gt;"",F1000*IFERROR(INDEX('Contractors'!$I$6:$I$1005,MATCH(B1000,'Contractors'!$B$6:$B$1005,0)),0),"")))</f>
        <v/>
      </c>
      <c r="I1000" s="109" t="n"/>
      <c r="J1000" s="72" t="n"/>
      <c r="K1000" s="109" t="n"/>
      <c r="L1000" s="73" t="n"/>
      <c r="M1000" s="109" t="n"/>
      <c r="N1000" s="73" t="n"/>
      <c r="O1000" s="107">
        <f>IF(B1000="","",IF(M1000&lt;&gt;"","Paid",IF(AND(I1000&lt;&gt;"",I1000&lt;AsOf),"OVERDUE",IF(OR(K1000&lt;&gt;"",L1000&lt;&gt;""),"Invoiced","Scheduled"))))</f>
        <v/>
      </c>
      <c r="P1000" s="115">
        <f>IF(B1000="","",IF(E1000&lt;&gt;"",E1000,IFERROR(INDEX('Contractors'!$D$6:$D$1005,MATCH(B1000,'Contractors'!$B$6:$B$1005,0)),"")))</f>
        <v/>
      </c>
      <c r="Q1000" s="79">
        <f>IF(B1000="","",IF(D1000&lt;&gt;"",D1000,IFERROR(INDEX('Contractors'!$E$6:$E$1005,MATCH(B1000,'Contractors'!$B$6:$B$1005,0)),"")))</f>
        <v/>
      </c>
      <c r="R1000" s="79">
        <f>IF(O1000="","",IF(O1000="OVERDUE",2,IF(O1000="Paid",0,IF(AND(I1000&lt;&gt;"",I1000&lt;=AsOf+AlertDays),1,0))))</f>
        <v/>
      </c>
      <c r="S1000" s="79">
        <f>IF(AND(B1000&lt;&gt;"",M1000="",I1000&lt;&gt;""),IF(L1000&lt;&gt;"",L1000,IF(H1000="",0,H1000)),0)</f>
        <v/>
      </c>
      <c r="T1000" s="79">
        <f>IF(AND(B1000&lt;&gt;"",M1000="",I1000&lt;&gt;""),1/I1000,0)</f>
        <v/>
      </c>
      <c r="U1000" s="112">
        <f>IF(AND(B1000&lt;&gt;"",M1000="",I1000&lt;&gt;""),I1000,"")</f>
        <v/>
      </c>
      <c r="V1000" s="79">
        <f>IF(U1000="","",IF(U1000&lt;AsOf,1,IF(U1000&lt;=AsOf+AlertDays,2,IF(U1000&lt;=AsOf+2*AlertDays,3,""))))</f>
        <v/>
      </c>
      <c r="W1000" s="79">
        <f>IF(V1000="","",IF(O1000="OVERDUE","Overdue payment: ","Payment due: ")&amp;B1000&amp;" — "&amp;C1000&amp;" ("&amp;CurSym&amp;" "&amp;FIXED(S1000,0)&amp;")")</f>
        <v/>
      </c>
      <c r="Z1000" s="116">
        <f>IF('Contractors'!B1000="","",'Contractors'!B1000)</f>
        <v/>
      </c>
      <c r="AA1000" s="77">
        <f>IF(Z1000="","",'Contractors'!K1000)</f>
        <v/>
      </c>
      <c r="AB1000" s="77">
        <f>IF(Z1000="","",SUMIFS($L$6:$L$1005,$B$6:$B$1005,Z1000))</f>
        <v/>
      </c>
      <c r="AC1000" s="77">
        <f>IF(Z1000="","",SUMIFS($N$6:$N$1005,$B$6:$B$1005,Z1000))</f>
        <v/>
      </c>
      <c r="AD1000" s="76">
        <f>IF(Z1000="","",AA1000-AC1000)</f>
        <v/>
      </c>
      <c r="AE1000" s="117">
        <f>IF(Z1000="","",IFERROR(1/SUMPRODUCT(MAX(($B$6:$B$1005=Z1000)*$T$6:$T$1005)),""))</f>
        <v/>
      </c>
      <c r="AF1000" s="77">
        <f>IF(AE1000="","",SUMIFS($S$6:$S$1005,$B$6:$B$1005,Z1000,$I$6:$I$1005,AE1000))</f>
        <v/>
      </c>
    </row>
    <row r="1001" ht="20" customHeight="1">
      <c r="B1001" s="72" t="n"/>
      <c r="C1001" s="72" t="n"/>
      <c r="D1001" s="72" t="n"/>
      <c r="E1001" s="72" t="n"/>
      <c r="F1001" s="110" t="n"/>
      <c r="G1001" s="73" t="n"/>
      <c r="H1001" s="75">
        <f>IF(B1001="","",IF(G1001&lt;&gt;"",G1001,IF(F1001&lt;&gt;"",F1001*IFERROR(INDEX('Contractors'!$I$6:$I$1005,MATCH(B1001,'Contractors'!$B$6:$B$1005,0)),0),"")))</f>
        <v/>
      </c>
      <c r="I1001" s="109" t="n"/>
      <c r="J1001" s="72" t="n"/>
      <c r="K1001" s="109" t="n"/>
      <c r="L1001" s="73" t="n"/>
      <c r="M1001" s="109" t="n"/>
      <c r="N1001" s="73" t="n"/>
      <c r="O1001" s="107">
        <f>IF(B1001="","",IF(M1001&lt;&gt;"","Paid",IF(AND(I1001&lt;&gt;"",I1001&lt;AsOf),"OVERDUE",IF(OR(K1001&lt;&gt;"",L1001&lt;&gt;""),"Invoiced","Scheduled"))))</f>
        <v/>
      </c>
      <c r="P1001" s="115">
        <f>IF(B1001="","",IF(E1001&lt;&gt;"",E1001,IFERROR(INDEX('Contractors'!$D$6:$D$1005,MATCH(B1001,'Contractors'!$B$6:$B$1005,0)),"")))</f>
        <v/>
      </c>
      <c r="Q1001" s="79">
        <f>IF(B1001="","",IF(D1001&lt;&gt;"",D1001,IFERROR(INDEX('Contractors'!$E$6:$E$1005,MATCH(B1001,'Contractors'!$B$6:$B$1005,0)),"")))</f>
        <v/>
      </c>
      <c r="R1001" s="79">
        <f>IF(O1001="","",IF(O1001="OVERDUE",2,IF(O1001="Paid",0,IF(AND(I1001&lt;&gt;"",I1001&lt;=AsOf+AlertDays),1,0))))</f>
        <v/>
      </c>
      <c r="S1001" s="79">
        <f>IF(AND(B1001&lt;&gt;"",M1001="",I1001&lt;&gt;""),IF(L1001&lt;&gt;"",L1001,IF(H1001="",0,H1001)),0)</f>
        <v/>
      </c>
      <c r="T1001" s="79">
        <f>IF(AND(B1001&lt;&gt;"",M1001="",I1001&lt;&gt;""),1/I1001,0)</f>
        <v/>
      </c>
      <c r="U1001" s="112">
        <f>IF(AND(B1001&lt;&gt;"",M1001="",I1001&lt;&gt;""),I1001,"")</f>
        <v/>
      </c>
      <c r="V1001" s="79">
        <f>IF(U1001="","",IF(U1001&lt;AsOf,1,IF(U1001&lt;=AsOf+AlertDays,2,IF(U1001&lt;=AsOf+2*AlertDays,3,""))))</f>
        <v/>
      </c>
      <c r="W1001" s="79">
        <f>IF(V1001="","",IF(O1001="OVERDUE","Overdue payment: ","Payment due: ")&amp;B1001&amp;" — "&amp;C1001&amp;" ("&amp;CurSym&amp;" "&amp;FIXED(S1001,0)&amp;")")</f>
        <v/>
      </c>
      <c r="Z1001" s="116">
        <f>IF('Contractors'!B1001="","",'Contractors'!B1001)</f>
        <v/>
      </c>
      <c r="AA1001" s="77">
        <f>IF(Z1001="","",'Contractors'!K1001)</f>
        <v/>
      </c>
      <c r="AB1001" s="77">
        <f>IF(Z1001="","",SUMIFS($L$6:$L$1005,$B$6:$B$1005,Z1001))</f>
        <v/>
      </c>
      <c r="AC1001" s="77">
        <f>IF(Z1001="","",SUMIFS($N$6:$N$1005,$B$6:$B$1005,Z1001))</f>
        <v/>
      </c>
      <c r="AD1001" s="76">
        <f>IF(Z1001="","",AA1001-AC1001)</f>
        <v/>
      </c>
      <c r="AE1001" s="117">
        <f>IF(Z1001="","",IFERROR(1/SUMPRODUCT(MAX(($B$6:$B$1005=Z1001)*$T$6:$T$1005)),""))</f>
        <v/>
      </c>
      <c r="AF1001" s="77">
        <f>IF(AE1001="","",SUMIFS($S$6:$S$1005,$B$6:$B$1005,Z1001,$I$6:$I$1005,AE1001))</f>
        <v/>
      </c>
    </row>
    <row r="1002" ht="20" customHeight="1">
      <c r="B1002" s="72" t="n"/>
      <c r="C1002" s="72" t="n"/>
      <c r="D1002" s="72" t="n"/>
      <c r="E1002" s="72" t="n"/>
      <c r="F1002" s="110" t="n"/>
      <c r="G1002" s="73" t="n"/>
      <c r="H1002" s="75">
        <f>IF(B1002="","",IF(G1002&lt;&gt;"",G1002,IF(F1002&lt;&gt;"",F1002*IFERROR(INDEX('Contractors'!$I$6:$I$1005,MATCH(B1002,'Contractors'!$B$6:$B$1005,0)),0),"")))</f>
        <v/>
      </c>
      <c r="I1002" s="109" t="n"/>
      <c r="J1002" s="72" t="n"/>
      <c r="K1002" s="109" t="n"/>
      <c r="L1002" s="73" t="n"/>
      <c r="M1002" s="109" t="n"/>
      <c r="N1002" s="73" t="n"/>
      <c r="O1002" s="107">
        <f>IF(B1002="","",IF(M1002&lt;&gt;"","Paid",IF(AND(I1002&lt;&gt;"",I1002&lt;AsOf),"OVERDUE",IF(OR(K1002&lt;&gt;"",L1002&lt;&gt;""),"Invoiced","Scheduled"))))</f>
        <v/>
      </c>
      <c r="P1002" s="115">
        <f>IF(B1002="","",IF(E1002&lt;&gt;"",E1002,IFERROR(INDEX('Contractors'!$D$6:$D$1005,MATCH(B1002,'Contractors'!$B$6:$B$1005,0)),"")))</f>
        <v/>
      </c>
      <c r="Q1002" s="79">
        <f>IF(B1002="","",IF(D1002&lt;&gt;"",D1002,IFERROR(INDEX('Contractors'!$E$6:$E$1005,MATCH(B1002,'Contractors'!$B$6:$B$1005,0)),"")))</f>
        <v/>
      </c>
      <c r="R1002" s="79">
        <f>IF(O1002="","",IF(O1002="OVERDUE",2,IF(O1002="Paid",0,IF(AND(I1002&lt;&gt;"",I1002&lt;=AsOf+AlertDays),1,0))))</f>
        <v/>
      </c>
      <c r="S1002" s="79">
        <f>IF(AND(B1002&lt;&gt;"",M1002="",I1002&lt;&gt;""),IF(L1002&lt;&gt;"",L1002,IF(H1002="",0,H1002)),0)</f>
        <v/>
      </c>
      <c r="T1002" s="79">
        <f>IF(AND(B1002&lt;&gt;"",M1002="",I1002&lt;&gt;""),1/I1002,0)</f>
        <v/>
      </c>
      <c r="U1002" s="112">
        <f>IF(AND(B1002&lt;&gt;"",M1002="",I1002&lt;&gt;""),I1002,"")</f>
        <v/>
      </c>
      <c r="V1002" s="79">
        <f>IF(U1002="","",IF(U1002&lt;AsOf,1,IF(U1002&lt;=AsOf+AlertDays,2,IF(U1002&lt;=AsOf+2*AlertDays,3,""))))</f>
        <v/>
      </c>
      <c r="W1002" s="79">
        <f>IF(V1002="","",IF(O1002="OVERDUE","Overdue payment: ","Payment due: ")&amp;B1002&amp;" — "&amp;C1002&amp;" ("&amp;CurSym&amp;" "&amp;FIXED(S1002,0)&amp;")")</f>
        <v/>
      </c>
      <c r="Z1002" s="116">
        <f>IF('Contractors'!B1002="","",'Contractors'!B1002)</f>
        <v/>
      </c>
      <c r="AA1002" s="77">
        <f>IF(Z1002="","",'Contractors'!K1002)</f>
        <v/>
      </c>
      <c r="AB1002" s="77">
        <f>IF(Z1002="","",SUMIFS($L$6:$L$1005,$B$6:$B$1005,Z1002))</f>
        <v/>
      </c>
      <c r="AC1002" s="77">
        <f>IF(Z1002="","",SUMIFS($N$6:$N$1005,$B$6:$B$1005,Z1002))</f>
        <v/>
      </c>
      <c r="AD1002" s="76">
        <f>IF(Z1002="","",AA1002-AC1002)</f>
        <v/>
      </c>
      <c r="AE1002" s="117">
        <f>IF(Z1002="","",IFERROR(1/SUMPRODUCT(MAX(($B$6:$B$1005=Z1002)*$T$6:$T$1005)),""))</f>
        <v/>
      </c>
      <c r="AF1002" s="77">
        <f>IF(AE1002="","",SUMIFS($S$6:$S$1005,$B$6:$B$1005,Z1002,$I$6:$I$1005,AE1002))</f>
        <v/>
      </c>
    </row>
    <row r="1003" ht="20" customHeight="1">
      <c r="B1003" s="72" t="n"/>
      <c r="C1003" s="72" t="n"/>
      <c r="D1003" s="72" t="n"/>
      <c r="E1003" s="72" t="n"/>
      <c r="F1003" s="110" t="n"/>
      <c r="G1003" s="73" t="n"/>
      <c r="H1003" s="75">
        <f>IF(B1003="","",IF(G1003&lt;&gt;"",G1003,IF(F1003&lt;&gt;"",F1003*IFERROR(INDEX('Contractors'!$I$6:$I$1005,MATCH(B1003,'Contractors'!$B$6:$B$1005,0)),0),"")))</f>
        <v/>
      </c>
      <c r="I1003" s="109" t="n"/>
      <c r="J1003" s="72" t="n"/>
      <c r="K1003" s="109" t="n"/>
      <c r="L1003" s="73" t="n"/>
      <c r="M1003" s="109" t="n"/>
      <c r="N1003" s="73" t="n"/>
      <c r="O1003" s="107">
        <f>IF(B1003="","",IF(M1003&lt;&gt;"","Paid",IF(AND(I1003&lt;&gt;"",I1003&lt;AsOf),"OVERDUE",IF(OR(K1003&lt;&gt;"",L1003&lt;&gt;""),"Invoiced","Scheduled"))))</f>
        <v/>
      </c>
      <c r="P1003" s="115">
        <f>IF(B1003="","",IF(E1003&lt;&gt;"",E1003,IFERROR(INDEX('Contractors'!$D$6:$D$1005,MATCH(B1003,'Contractors'!$B$6:$B$1005,0)),"")))</f>
        <v/>
      </c>
      <c r="Q1003" s="79">
        <f>IF(B1003="","",IF(D1003&lt;&gt;"",D1003,IFERROR(INDEX('Contractors'!$E$6:$E$1005,MATCH(B1003,'Contractors'!$B$6:$B$1005,0)),"")))</f>
        <v/>
      </c>
      <c r="R1003" s="79">
        <f>IF(O1003="","",IF(O1003="OVERDUE",2,IF(O1003="Paid",0,IF(AND(I1003&lt;&gt;"",I1003&lt;=AsOf+AlertDays),1,0))))</f>
        <v/>
      </c>
      <c r="S1003" s="79">
        <f>IF(AND(B1003&lt;&gt;"",M1003="",I1003&lt;&gt;""),IF(L1003&lt;&gt;"",L1003,IF(H1003="",0,H1003)),0)</f>
        <v/>
      </c>
      <c r="T1003" s="79">
        <f>IF(AND(B1003&lt;&gt;"",M1003="",I1003&lt;&gt;""),1/I1003,0)</f>
        <v/>
      </c>
      <c r="U1003" s="112">
        <f>IF(AND(B1003&lt;&gt;"",M1003="",I1003&lt;&gt;""),I1003,"")</f>
        <v/>
      </c>
      <c r="V1003" s="79">
        <f>IF(U1003="","",IF(U1003&lt;AsOf,1,IF(U1003&lt;=AsOf+AlertDays,2,IF(U1003&lt;=AsOf+2*AlertDays,3,""))))</f>
        <v/>
      </c>
      <c r="W1003" s="79">
        <f>IF(V1003="","",IF(O1003="OVERDUE","Overdue payment: ","Payment due: ")&amp;B1003&amp;" — "&amp;C1003&amp;" ("&amp;CurSym&amp;" "&amp;FIXED(S1003,0)&amp;")")</f>
        <v/>
      </c>
      <c r="Z1003" s="116">
        <f>IF('Contractors'!B1003="","",'Contractors'!B1003)</f>
        <v/>
      </c>
      <c r="AA1003" s="77">
        <f>IF(Z1003="","",'Contractors'!K1003)</f>
        <v/>
      </c>
      <c r="AB1003" s="77">
        <f>IF(Z1003="","",SUMIFS($L$6:$L$1005,$B$6:$B$1005,Z1003))</f>
        <v/>
      </c>
      <c r="AC1003" s="77">
        <f>IF(Z1003="","",SUMIFS($N$6:$N$1005,$B$6:$B$1005,Z1003))</f>
        <v/>
      </c>
      <c r="AD1003" s="76">
        <f>IF(Z1003="","",AA1003-AC1003)</f>
        <v/>
      </c>
      <c r="AE1003" s="117">
        <f>IF(Z1003="","",IFERROR(1/SUMPRODUCT(MAX(($B$6:$B$1005=Z1003)*$T$6:$T$1005)),""))</f>
        <v/>
      </c>
      <c r="AF1003" s="77">
        <f>IF(AE1003="","",SUMIFS($S$6:$S$1005,$B$6:$B$1005,Z1003,$I$6:$I$1005,AE1003))</f>
        <v/>
      </c>
    </row>
    <row r="1004" ht="20" customHeight="1">
      <c r="B1004" s="72" t="n"/>
      <c r="C1004" s="72" t="n"/>
      <c r="D1004" s="72" t="n"/>
      <c r="E1004" s="72" t="n"/>
      <c r="F1004" s="110" t="n"/>
      <c r="G1004" s="73" t="n"/>
      <c r="H1004" s="75">
        <f>IF(B1004="","",IF(G1004&lt;&gt;"",G1004,IF(F1004&lt;&gt;"",F1004*IFERROR(INDEX('Contractors'!$I$6:$I$1005,MATCH(B1004,'Contractors'!$B$6:$B$1005,0)),0),"")))</f>
        <v/>
      </c>
      <c r="I1004" s="109" t="n"/>
      <c r="J1004" s="72" t="n"/>
      <c r="K1004" s="109" t="n"/>
      <c r="L1004" s="73" t="n"/>
      <c r="M1004" s="109" t="n"/>
      <c r="N1004" s="73" t="n"/>
      <c r="O1004" s="107">
        <f>IF(B1004="","",IF(M1004&lt;&gt;"","Paid",IF(AND(I1004&lt;&gt;"",I1004&lt;AsOf),"OVERDUE",IF(OR(K1004&lt;&gt;"",L1004&lt;&gt;""),"Invoiced","Scheduled"))))</f>
        <v/>
      </c>
      <c r="P1004" s="115">
        <f>IF(B1004="","",IF(E1004&lt;&gt;"",E1004,IFERROR(INDEX('Contractors'!$D$6:$D$1005,MATCH(B1004,'Contractors'!$B$6:$B$1005,0)),"")))</f>
        <v/>
      </c>
      <c r="Q1004" s="79">
        <f>IF(B1004="","",IF(D1004&lt;&gt;"",D1004,IFERROR(INDEX('Contractors'!$E$6:$E$1005,MATCH(B1004,'Contractors'!$B$6:$B$1005,0)),"")))</f>
        <v/>
      </c>
      <c r="R1004" s="79">
        <f>IF(O1004="","",IF(O1004="OVERDUE",2,IF(O1004="Paid",0,IF(AND(I1004&lt;&gt;"",I1004&lt;=AsOf+AlertDays),1,0))))</f>
        <v/>
      </c>
      <c r="S1004" s="79">
        <f>IF(AND(B1004&lt;&gt;"",M1004="",I1004&lt;&gt;""),IF(L1004&lt;&gt;"",L1004,IF(H1004="",0,H1004)),0)</f>
        <v/>
      </c>
      <c r="T1004" s="79">
        <f>IF(AND(B1004&lt;&gt;"",M1004="",I1004&lt;&gt;""),1/I1004,0)</f>
        <v/>
      </c>
      <c r="U1004" s="112">
        <f>IF(AND(B1004&lt;&gt;"",M1004="",I1004&lt;&gt;""),I1004,"")</f>
        <v/>
      </c>
      <c r="V1004" s="79">
        <f>IF(U1004="","",IF(U1004&lt;AsOf,1,IF(U1004&lt;=AsOf+AlertDays,2,IF(U1004&lt;=AsOf+2*AlertDays,3,""))))</f>
        <v/>
      </c>
      <c r="W1004" s="79">
        <f>IF(V1004="","",IF(O1004="OVERDUE","Overdue payment: ","Payment due: ")&amp;B1004&amp;" — "&amp;C1004&amp;" ("&amp;CurSym&amp;" "&amp;FIXED(S1004,0)&amp;")")</f>
        <v/>
      </c>
      <c r="Z1004" s="116">
        <f>IF('Contractors'!B1004="","",'Contractors'!B1004)</f>
        <v/>
      </c>
      <c r="AA1004" s="77">
        <f>IF(Z1004="","",'Contractors'!K1004)</f>
        <v/>
      </c>
      <c r="AB1004" s="77">
        <f>IF(Z1004="","",SUMIFS($L$6:$L$1005,$B$6:$B$1005,Z1004))</f>
        <v/>
      </c>
      <c r="AC1004" s="77">
        <f>IF(Z1004="","",SUMIFS($N$6:$N$1005,$B$6:$B$1005,Z1004))</f>
        <v/>
      </c>
      <c r="AD1004" s="76">
        <f>IF(Z1004="","",AA1004-AC1004)</f>
        <v/>
      </c>
      <c r="AE1004" s="117">
        <f>IF(Z1004="","",IFERROR(1/SUMPRODUCT(MAX(($B$6:$B$1005=Z1004)*$T$6:$T$1005)),""))</f>
        <v/>
      </c>
      <c r="AF1004" s="77">
        <f>IF(AE1004="","",SUMIFS($S$6:$S$1005,$B$6:$B$1005,Z1004,$I$6:$I$1005,AE1004))</f>
        <v/>
      </c>
    </row>
    <row r="1005" ht="20" customHeight="1">
      <c r="B1005" s="72" t="n"/>
      <c r="C1005" s="72" t="n"/>
      <c r="D1005" s="72" t="n"/>
      <c r="E1005" s="72" t="n"/>
      <c r="F1005" s="110" t="n"/>
      <c r="G1005" s="73" t="n"/>
      <c r="H1005" s="75">
        <f>IF(B1005="","",IF(G1005&lt;&gt;"",G1005,IF(F1005&lt;&gt;"",F1005*IFERROR(INDEX('Contractors'!$I$6:$I$1005,MATCH(B1005,'Contractors'!$B$6:$B$1005,0)),0),"")))</f>
        <v/>
      </c>
      <c r="I1005" s="109" t="n"/>
      <c r="J1005" s="72" t="n"/>
      <c r="K1005" s="109" t="n"/>
      <c r="L1005" s="73" t="n"/>
      <c r="M1005" s="109" t="n"/>
      <c r="N1005" s="73" t="n"/>
      <c r="O1005" s="107">
        <f>IF(B1005="","",IF(M1005&lt;&gt;"","Paid",IF(AND(I1005&lt;&gt;"",I1005&lt;AsOf),"OVERDUE",IF(OR(K1005&lt;&gt;"",L1005&lt;&gt;""),"Invoiced","Scheduled"))))</f>
        <v/>
      </c>
      <c r="P1005" s="115">
        <f>IF(B1005="","",IF(E1005&lt;&gt;"",E1005,IFERROR(INDEX('Contractors'!$D$6:$D$1005,MATCH(B1005,'Contractors'!$B$6:$B$1005,0)),"")))</f>
        <v/>
      </c>
      <c r="Q1005" s="79">
        <f>IF(B1005="","",IF(D1005&lt;&gt;"",D1005,IFERROR(INDEX('Contractors'!$E$6:$E$1005,MATCH(B1005,'Contractors'!$B$6:$B$1005,0)),"")))</f>
        <v/>
      </c>
      <c r="R1005" s="79">
        <f>IF(O1005="","",IF(O1005="OVERDUE",2,IF(O1005="Paid",0,IF(AND(I1005&lt;&gt;"",I1005&lt;=AsOf+AlertDays),1,0))))</f>
        <v/>
      </c>
      <c r="S1005" s="79">
        <f>IF(AND(B1005&lt;&gt;"",M1005="",I1005&lt;&gt;""),IF(L1005&lt;&gt;"",L1005,IF(H1005="",0,H1005)),0)</f>
        <v/>
      </c>
      <c r="T1005" s="79">
        <f>IF(AND(B1005&lt;&gt;"",M1005="",I1005&lt;&gt;""),1/I1005,0)</f>
        <v/>
      </c>
      <c r="U1005" s="112">
        <f>IF(AND(B1005&lt;&gt;"",M1005="",I1005&lt;&gt;""),I1005,"")</f>
        <v/>
      </c>
      <c r="V1005" s="79">
        <f>IF(U1005="","",IF(U1005&lt;AsOf,1,IF(U1005&lt;=AsOf+AlertDays,2,IF(U1005&lt;=AsOf+2*AlertDays,3,""))))</f>
        <v/>
      </c>
      <c r="W1005" s="79">
        <f>IF(V1005="","",IF(O1005="OVERDUE","Overdue payment: ","Payment due: ")&amp;B1005&amp;" — "&amp;C1005&amp;" ("&amp;CurSym&amp;" "&amp;FIXED(S1005,0)&amp;")")</f>
        <v/>
      </c>
      <c r="Z1005" s="116">
        <f>IF('Contractors'!B1005="","",'Contractors'!B1005)</f>
        <v/>
      </c>
      <c r="AA1005" s="77">
        <f>IF(Z1005="","",'Contractors'!K1005)</f>
        <v/>
      </c>
      <c r="AB1005" s="77">
        <f>IF(Z1005="","",SUMIFS($L$6:$L$1005,$B$6:$B$1005,Z1005))</f>
        <v/>
      </c>
      <c r="AC1005" s="77">
        <f>IF(Z1005="","",SUMIFS($N$6:$N$1005,$B$6:$B$1005,Z1005))</f>
        <v/>
      </c>
      <c r="AD1005" s="76">
        <f>IF(Z1005="","",AA1005-AC1005)</f>
        <v/>
      </c>
      <c r="AE1005" s="117">
        <f>IF(Z1005="","",IFERROR(1/SUMPRODUCT(MAX(($B$6:$B$1005=Z1005)*$T$6:$T$1005)),""))</f>
        <v/>
      </c>
      <c r="AF1005" s="77">
        <f>IF(AE1005="","",SUMIFS($S$6:$S$1005,$B$6:$B$1005,Z1005,$I$6:$I$1005,AE1005))</f>
        <v/>
      </c>
    </row>
  </sheetData>
  <sheetProtection selectLockedCells="1" selectUnlockedCells="0" sheet="1" objects="0" insertRows="1" insertHyperlinks="1" autoFilter="1" scenarios="0" formatColumns="0" deleteColumns="1" insertColumns="1" pivotTables="1" deleteRows="1" formatCells="1" formatRows="0" sort="1" password="CD61"/>
  <mergeCells count="1">
    <mergeCell ref="AH5:AJ5"/>
  </mergeCells>
  <conditionalFormatting sqref="O6:O1005">
    <cfRule type="expression" priority="1" dxfId="0" stopIfTrue="0">
      <formula>O6="OVERDUE"</formula>
    </cfRule>
    <cfRule type="expression" priority="2" dxfId="3" stopIfTrue="0">
      <formula>O6="Paid"</formula>
    </cfRule>
    <cfRule type="expression" priority="3" dxfId="6" stopIfTrue="0">
      <formula>AND(O6&lt;&gt;"",$R6=1)</formula>
    </cfRule>
  </conditionalFormatting>
  <dataValidations count="3">
    <dataValidation sqref="B6:B1005" showDropDown="0" showInputMessage="0" showErrorMessage="1" allowBlank="1" errorTitle="Renovation OS" error="This name is not in the list. Keep it anyway?" type="list" errorStyle="warning">
      <formula1>='Lists'!$X$2:$X$1001</formula1>
    </dataValidation>
    <dataValidation sqref="D6:D1005" showDropDown="0" showInputMessage="0" showErrorMessage="1" allowBlank="1" errorTitle="Renovation OS" error="Please pick a value from the dropdown list." type="list">
      <formula1>='Lists'!$W$2:$W$12</formula1>
    </dataValidation>
    <dataValidation sqref="E6:E1005" showDropDown="0" showInputMessage="0" showErrorMessage="1" allowBlank="1" errorTitle="Renovation OS" error="Please pick a value from the dropdown list." type="list">
      <formula1>='Lists'!$V$2:$V$51</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2E7D32"/>
    <outlinePr summaryBelow="1" summaryRight="1"/>
    <pageSetUpPr/>
  </sheetPr>
  <dimension ref="A1:U1006"/>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2.5" customWidth="1" min="1" max="1"/>
    <col width="8" customWidth="1" min="2" max="2"/>
    <col width="13" customWidth="1" min="3" max="3"/>
    <col width="14" customWidth="1" min="4" max="4"/>
    <col width="22" customWidth="1" min="5" max="5"/>
    <col width="16" customWidth="1" min="6" max="6"/>
    <col width="14" customWidth="1" min="7" max="7"/>
    <col width="34" customWidth="1" min="8" max="8"/>
    <col width="18" customWidth="1" min="9" max="9"/>
    <col width="12" customWidth="1" min="10" max="10"/>
    <col width="9" customWidth="1" min="11" max="11"/>
    <col width="11" customWidth="1" min="12" max="12"/>
    <col width="13" customWidth="1" min="13" max="13"/>
    <col width="14" customWidth="1" min="14" max="14"/>
    <col width="14" customWidth="1" min="15" max="15"/>
    <col width="14" customWidth="1" min="16" max="16"/>
    <col width="11" customWidth="1" min="17" max="17"/>
    <col hidden="1" width="13" customWidth="1" min="18" max="18"/>
    <col hidden="1" width="13" customWidth="1" min="19" max="19"/>
    <col hidden="1" width="13" customWidth="1" min="20" max="20"/>
    <col hidden="1" width="13" customWidth="1" min="21" max="21"/>
  </cols>
  <sheetData>
    <row r="1" ht="36" customHeight="1">
      <c r="B1" s="1" t="inlineStr">
        <is>
          <t>🔁 Change Orders</t>
        </is>
      </c>
    </row>
    <row r="2" ht="20" customHeight="1">
      <c r="B2" s="2" t="inlineStr">
        <is>
          <t>What this tab does: logs every change to the plan and previews its effect on budget, contingency and move-in date BEFORE you approve it.</t>
        </is>
      </c>
    </row>
    <row r="3">
      <c r="B3" s="3" t="inlineStr">
        <is>
          <t>© 2026 Hang Nguyen — Renovation OS. Licensed to the original purchaser for personal use only. Do not share, copy, resell or redistribute.</t>
        </is>
      </c>
    </row>
    <row r="4" ht="30" customHeight="1">
      <c r="B4" s="119" t="inlineStr">
        <is>
          <t>⚠️  Never approve a change without checking this preview  →  the grey columns show your forecast, contingency and move-in date IF you approve.</t>
        </is>
      </c>
    </row>
    <row r="5"/>
    <row r="6" ht="32" customHeight="1">
      <c r="B6" s="52" t="inlineStr">
        <is>
          <t>CO #</t>
        </is>
      </c>
      <c r="C6" s="52" t="inlineStr">
        <is>
          <t>Date requested</t>
        </is>
      </c>
      <c r="D6" s="52" t="inlineStr">
        <is>
          <t>Requested by</t>
        </is>
      </c>
      <c r="E6" s="52" t="inlineStr">
        <is>
          <t>Contractor</t>
        </is>
      </c>
      <c r="F6" s="52" t="inlineStr">
        <is>
          <t>Budget category</t>
        </is>
      </c>
      <c r="G6" s="52" t="inlineStr">
        <is>
          <t>Room</t>
        </is>
      </c>
      <c r="H6" s="52" t="inlineStr">
        <is>
          <t>What changes</t>
        </is>
      </c>
      <c r="I6" s="52" t="inlineStr">
        <is>
          <t>Reason</t>
        </is>
      </c>
      <c r="J6" s="70">
        <f>"Extra cost ("&amp;CurSym&amp;")"</f>
        <v/>
      </c>
      <c r="K6" s="52" t="inlineStr">
        <is>
          <t>Extra days</t>
        </is>
      </c>
      <c r="L6" s="52" t="inlineStr">
        <is>
          <t>Status</t>
        </is>
      </c>
      <c r="M6" s="52" t="inlineStr">
        <is>
          <t>Decision date</t>
        </is>
      </c>
      <c r="N6" s="70">
        <f>"Forecast if approved ("&amp;CurSym&amp;")"</f>
        <v/>
      </c>
      <c r="O6" s="70">
        <f>"Contingency left if approved ("&amp;CurSym&amp;")"</f>
        <v/>
      </c>
      <c r="P6" s="52" t="inlineStr">
        <is>
          <t>Move-in if approved</t>
        </is>
      </c>
      <c r="Q6" s="52" t="inlineStr">
        <is>
          <t>vs working budget</t>
        </is>
      </c>
      <c r="R6" s="71" t="inlineStr">
        <is>
          <t>lvl</t>
        </is>
      </c>
      <c r="S6" s="71" t="inlineStr">
        <is>
          <t>due</t>
        </is>
      </c>
      <c r="T6" s="71" t="inlineStr">
        <is>
          <t>pri</t>
        </is>
      </c>
      <c r="U6" s="71" t="inlineStr">
        <is>
          <t>text</t>
        </is>
      </c>
    </row>
    <row r="7" ht="24" customHeight="1">
      <c r="B7" s="74" t="inlineStr">
        <is>
          <t>CO-1</t>
        </is>
      </c>
      <c r="C7" s="109" t="n">
        <v>46144</v>
      </c>
      <c r="D7" s="72" t="inlineStr">
        <is>
          <t>Contractor</t>
        </is>
      </c>
      <c r="E7" s="72" t="inlineStr">
        <is>
          <t>Solid Structures Ltd</t>
        </is>
      </c>
      <c r="F7" s="72" t="inlineStr">
        <is>
          <t>Structural</t>
        </is>
      </c>
      <c r="G7" s="72" t="inlineStr">
        <is>
          <t>Living room</t>
        </is>
      </c>
      <c r="H7" s="113" t="inlineStr">
        <is>
          <t>Heavier steel beam required by structural engineer</t>
        </is>
      </c>
      <c r="I7" s="72" t="inlineStr">
        <is>
          <t>Unforeseen condition</t>
        </is>
      </c>
      <c r="J7" s="73" t="n">
        <v>1200</v>
      </c>
      <c r="K7" s="89" t="n">
        <v>2</v>
      </c>
      <c r="L7" s="74" t="inlineStr">
        <is>
          <t>Approved</t>
        </is>
      </c>
      <c r="M7" s="109" t="n">
        <v>46145</v>
      </c>
      <c r="N7" s="68">
        <f>IF(AND(H7="",J7=""),"",ForecastTotal+IF(L7="Approved",0,IF(J7="",0,J7)))</f>
        <v/>
      </c>
      <c r="O7" s="75">
        <f>IF(N7="","",ContAmt-MAX(0,N7-WorkBudget))</f>
        <v/>
      </c>
      <c r="P7" s="120">
        <f>IF(OR(N7="",ForecastEnd=""),"",ForecastEnd+IF(L7="Approved",0,IF(K7="",0,K7)))</f>
        <v/>
      </c>
      <c r="Q7" s="121">
        <f>IF(OR(N7="",WorkBudget=0),"",N7/WorkBudget-1)</f>
        <v/>
      </c>
      <c r="R7" s="79">
        <f>IF(N7="","",IF(N7&lt;=WorkBudget,0,IF(N7&lt;=TotalBudget,1,2)))</f>
        <v/>
      </c>
      <c r="S7" s="112">
        <f>IF(AND(OR(H7&lt;&gt;"",J7&lt;&gt;""),OR(L7="Pending",L7=""),C7&lt;&gt;""),C7+3,"")</f>
        <v/>
      </c>
      <c r="T7" s="79">
        <f>IF(S7="","",IF(AsOf&gt;S7,1,2))</f>
        <v/>
      </c>
      <c r="U7" s="79">
        <f>IF(T7="","","Decide on change order "&amp;B7&amp;": "&amp;H7&amp;" (+"&amp;CurSym&amp;" "&amp;FIXED(IF(J7="",0,J7),0)&amp;")")</f>
        <v/>
      </c>
    </row>
    <row r="8" ht="24" customHeight="1">
      <c r="B8" s="74" t="inlineStr">
        <is>
          <t>CO-2</t>
        </is>
      </c>
      <c r="C8" s="109" t="n">
        <v>46162</v>
      </c>
      <c r="D8" s="72" t="inlineStr">
        <is>
          <t>Owner</t>
        </is>
      </c>
      <c r="E8" s="72" t="inlineStr">
        <is>
          <t>Nordic Kitchens</t>
        </is>
      </c>
      <c r="F8" s="72" t="inlineStr">
        <is>
          <t>Kitchen</t>
        </is>
      </c>
      <c r="G8" s="72" t="inlineStr">
        <is>
          <t>Kitchen</t>
        </is>
      </c>
      <c r="H8" s="113" t="inlineStr">
        <is>
          <t>Add pantry cabinet + soft-close upgrade</t>
        </is>
      </c>
      <c r="I8" s="72" t="inlineStr">
        <is>
          <t>Client choice</t>
        </is>
      </c>
      <c r="J8" s="73" t="n">
        <v>900</v>
      </c>
      <c r="K8" s="89" t="n">
        <v>0</v>
      </c>
      <c r="L8" s="74" t="inlineStr">
        <is>
          <t>Approved</t>
        </is>
      </c>
      <c r="M8" s="109" t="n">
        <v>46164</v>
      </c>
      <c r="N8" s="68">
        <f>IF(AND(H8="",J8=""),"",ForecastTotal+IF(L8="Approved",0,IF(J8="",0,J8)))</f>
        <v/>
      </c>
      <c r="O8" s="75">
        <f>IF(N8="","",ContAmt-MAX(0,N8-WorkBudget))</f>
        <v/>
      </c>
      <c r="P8" s="120">
        <f>IF(OR(N8="",ForecastEnd=""),"",ForecastEnd+IF(L8="Approved",0,IF(K8="",0,K8)))</f>
        <v/>
      </c>
      <c r="Q8" s="121">
        <f>IF(OR(N8="",WorkBudget=0),"",N8/WorkBudget-1)</f>
        <v/>
      </c>
      <c r="R8" s="79">
        <f>IF(N8="","",IF(N8&lt;=WorkBudget,0,IF(N8&lt;=TotalBudget,1,2)))</f>
        <v/>
      </c>
      <c r="S8" s="112">
        <f>IF(AND(OR(H8&lt;&gt;"",J8&lt;&gt;""),OR(L8="Pending",L8=""),C8&lt;&gt;""),C8+3,"")</f>
        <v/>
      </c>
      <c r="T8" s="79">
        <f>IF(S8="","",IF(AsOf&gt;S8,1,2))</f>
        <v/>
      </c>
      <c r="U8" s="79">
        <f>IF(T8="","","Decide on change order "&amp;B8&amp;": "&amp;H8&amp;" (+"&amp;CurSym&amp;" "&amp;FIXED(IF(J8="",0,J8),0)&amp;")")</f>
        <v/>
      </c>
    </row>
    <row r="9" ht="24" customHeight="1">
      <c r="B9" s="74" t="inlineStr">
        <is>
          <t>CO-3</t>
        </is>
      </c>
      <c r="C9" s="109" t="n">
        <v>46167</v>
      </c>
      <c r="D9" s="72" t="inlineStr">
        <is>
          <t>Contractor</t>
        </is>
      </c>
      <c r="E9" s="72" t="inlineStr">
        <is>
          <t>ClearView Windows</t>
        </is>
      </c>
      <c r="F9" s="72" t="inlineStr">
        <is>
          <t>Windows &amp; doors</t>
        </is>
      </c>
      <c r="G9" s="72" t="inlineStr">
        <is>
          <t>Living room</t>
        </is>
      </c>
      <c r="H9" s="113" t="inlineStr">
        <is>
          <t>Upgrade sliding door to triple glazing</t>
        </is>
      </c>
      <c r="I9" s="72" t="inlineStr">
        <is>
          <t>Client choice</t>
        </is>
      </c>
      <c r="J9" s="73" t="n">
        <v>2100</v>
      </c>
      <c r="K9" s="89" t="n">
        <v>5</v>
      </c>
      <c r="L9" s="74" t="inlineStr">
        <is>
          <t>Rejected</t>
        </is>
      </c>
      <c r="M9" s="109" t="n">
        <v>46170</v>
      </c>
      <c r="N9" s="68">
        <f>IF(AND(H9="",J9=""),"",ForecastTotal+IF(L9="Approved",0,IF(J9="",0,J9)))</f>
        <v/>
      </c>
      <c r="O9" s="75">
        <f>IF(N9="","",ContAmt-MAX(0,N9-WorkBudget))</f>
        <v/>
      </c>
      <c r="P9" s="120">
        <f>IF(OR(N9="",ForecastEnd=""),"",ForecastEnd+IF(L9="Approved",0,IF(K9="",0,K9)))</f>
        <v/>
      </c>
      <c r="Q9" s="121">
        <f>IF(OR(N9="",WorkBudget=0),"",N9/WorkBudget-1)</f>
        <v/>
      </c>
      <c r="R9" s="79">
        <f>IF(N9="","",IF(N9&lt;=WorkBudget,0,IF(N9&lt;=TotalBudget,1,2)))</f>
        <v/>
      </c>
      <c r="S9" s="112">
        <f>IF(AND(OR(H9&lt;&gt;"",J9&lt;&gt;""),OR(L9="Pending",L9=""),C9&lt;&gt;""),C9+3,"")</f>
        <v/>
      </c>
      <c r="T9" s="79">
        <f>IF(S9="","",IF(AsOf&gt;S9,1,2))</f>
        <v/>
      </c>
      <c r="U9" s="79">
        <f>IF(T9="","","Decide on change order "&amp;B9&amp;": "&amp;H9&amp;" (+"&amp;CurSym&amp;" "&amp;FIXED(IF(J9="",0,J9),0)&amp;")")</f>
        <v/>
      </c>
    </row>
    <row r="10" ht="24" customHeight="1">
      <c r="B10" s="74" t="inlineStr">
        <is>
          <t>CO-4</t>
        </is>
      </c>
      <c r="C10" s="109" t="n">
        <v>46174</v>
      </c>
      <c r="D10" s="72" t="inlineStr">
        <is>
          <t>Owner</t>
        </is>
      </c>
      <c r="E10" s="72" t="inlineStr">
        <is>
          <t>Aqua Bath Studio</t>
        </is>
      </c>
      <c r="F10" s="72" t="inlineStr">
        <is>
          <t>Bathrooms</t>
        </is>
      </c>
      <c r="G10" s="72" t="inlineStr">
        <is>
          <t>Bathroom 1</t>
        </is>
      </c>
      <c r="H10" s="113" t="inlineStr">
        <is>
          <t>Electric underfloor heating in bathroom 1</t>
        </is>
      </c>
      <c r="I10" s="72" t="inlineStr">
        <is>
          <t>Client choice</t>
        </is>
      </c>
      <c r="J10" s="73" t="n">
        <v>1650</v>
      </c>
      <c r="K10" s="89" t="n">
        <v>1</v>
      </c>
      <c r="L10" s="74" t="inlineStr">
        <is>
          <t>Approved</t>
        </is>
      </c>
      <c r="M10" s="109" t="n">
        <v>46176</v>
      </c>
      <c r="N10" s="68">
        <f>IF(AND(H10="",J10=""),"",ForecastTotal+IF(L10="Approved",0,IF(J10="",0,J10)))</f>
        <v/>
      </c>
      <c r="O10" s="75">
        <f>IF(N10="","",ContAmt-MAX(0,N10-WorkBudget))</f>
        <v/>
      </c>
      <c r="P10" s="120">
        <f>IF(OR(N10="",ForecastEnd=""),"",ForecastEnd+IF(L10="Approved",0,IF(K10="",0,K10)))</f>
        <v/>
      </c>
      <c r="Q10" s="121">
        <f>IF(OR(N10="",WorkBudget=0),"",N10/WorkBudget-1)</f>
        <v/>
      </c>
      <c r="R10" s="79">
        <f>IF(N10="","",IF(N10&lt;=WorkBudget,0,IF(N10&lt;=TotalBudget,1,2)))</f>
        <v/>
      </c>
      <c r="S10" s="112">
        <f>IF(AND(OR(H10&lt;&gt;"",J10&lt;&gt;""),OR(L10="Pending",L10=""),C10&lt;&gt;""),C10+3,"")</f>
        <v/>
      </c>
      <c r="T10" s="79">
        <f>IF(S10="","",IF(AsOf&gt;S10,1,2))</f>
        <v/>
      </c>
      <c r="U10" s="79">
        <f>IF(T10="","","Decide on change order "&amp;B10&amp;": "&amp;H10&amp;" (+"&amp;CurSym&amp;" "&amp;FIXED(IF(J10="",0,J10),0)&amp;")")</f>
        <v/>
      </c>
    </row>
    <row r="11" ht="24" customHeight="1">
      <c r="B11" s="74" t="inlineStr">
        <is>
          <t>CO-5</t>
        </is>
      </c>
      <c r="C11" s="109" t="n">
        <v>46182</v>
      </c>
      <c r="D11" s="72" t="inlineStr">
        <is>
          <t>Contractor</t>
        </is>
      </c>
      <c r="E11" s="72" t="inlineStr">
        <is>
          <t>Bright Spark Electric</t>
        </is>
      </c>
      <c r="F11" s="72" t="inlineStr">
        <is>
          <t>Electrical</t>
        </is>
      </c>
      <c r="G11" s="72" t="inlineStr">
        <is>
          <t>Whole house</t>
        </is>
      </c>
      <c r="H11" s="113" t="inlineStr">
        <is>
          <t>EV charger + 6 extra circuits</t>
        </is>
      </c>
      <c r="I11" s="72" t="inlineStr">
        <is>
          <t>Client choice</t>
        </is>
      </c>
      <c r="J11" s="73" t="n">
        <v>3400</v>
      </c>
      <c r="K11" s="89" t="n">
        <v>5</v>
      </c>
      <c r="L11" s="74" t="inlineStr">
        <is>
          <t>Pending</t>
        </is>
      </c>
      <c r="M11" s="109" t="n"/>
      <c r="N11" s="68">
        <f>IF(AND(H11="",J11=""),"",ForecastTotal+IF(L11="Approved",0,IF(J11="",0,J11)))</f>
        <v/>
      </c>
      <c r="O11" s="75">
        <f>IF(N11="","",ContAmt-MAX(0,N11-WorkBudget))</f>
        <v/>
      </c>
      <c r="P11" s="120">
        <f>IF(OR(N11="",ForecastEnd=""),"",ForecastEnd+IF(L11="Approved",0,IF(K11="",0,K11)))</f>
        <v/>
      </c>
      <c r="Q11" s="121">
        <f>IF(OR(N11="",WorkBudget=0),"",N11/WorkBudget-1)</f>
        <v/>
      </c>
      <c r="R11" s="79">
        <f>IF(N11="","",IF(N11&lt;=WorkBudget,0,IF(N11&lt;=TotalBudget,1,2)))</f>
        <v/>
      </c>
      <c r="S11" s="112">
        <f>IF(AND(OR(H11&lt;&gt;"",J11&lt;&gt;""),OR(L11="Pending",L11=""),C11&lt;&gt;""),C11+3,"")</f>
        <v/>
      </c>
      <c r="T11" s="79">
        <f>IF(S11="","",IF(AsOf&gt;S11,1,2))</f>
        <v/>
      </c>
      <c r="U11" s="79">
        <f>IF(T11="","","Decide on change order "&amp;B11&amp;": "&amp;H11&amp;" (+"&amp;CurSym&amp;" "&amp;FIXED(IF(J11="",0,J11),0)&amp;")")</f>
        <v/>
      </c>
    </row>
    <row r="12" ht="24" customHeight="1">
      <c r="B12" s="74" t="n"/>
      <c r="C12" s="109" t="n"/>
      <c r="D12" s="72" t="n"/>
      <c r="E12" s="72" t="n"/>
      <c r="F12" s="72" t="n"/>
      <c r="G12" s="72" t="n"/>
      <c r="H12" s="113" t="n"/>
      <c r="I12" s="72" t="n"/>
      <c r="J12" s="73" t="n"/>
      <c r="K12" s="89" t="n"/>
      <c r="L12" s="74" t="n"/>
      <c r="M12" s="109" t="n"/>
      <c r="N12" s="68">
        <f>IF(AND(H12="",J12=""),"",ForecastTotal+IF(L12="Approved",0,IF(J12="",0,J12)))</f>
        <v/>
      </c>
      <c r="O12" s="75">
        <f>IF(N12="","",ContAmt-MAX(0,N12-WorkBudget))</f>
        <v/>
      </c>
      <c r="P12" s="120">
        <f>IF(OR(N12="",ForecastEnd=""),"",ForecastEnd+IF(L12="Approved",0,IF(K12="",0,K12)))</f>
        <v/>
      </c>
      <c r="Q12" s="121">
        <f>IF(OR(N12="",WorkBudget=0),"",N12/WorkBudget-1)</f>
        <v/>
      </c>
      <c r="R12" s="79">
        <f>IF(N12="","",IF(N12&lt;=WorkBudget,0,IF(N12&lt;=TotalBudget,1,2)))</f>
        <v/>
      </c>
      <c r="S12" s="112">
        <f>IF(AND(OR(H12&lt;&gt;"",J12&lt;&gt;""),OR(L12="Pending",L12=""),C12&lt;&gt;""),C12+3,"")</f>
        <v/>
      </c>
      <c r="T12" s="79">
        <f>IF(S12="","",IF(AsOf&gt;S12,1,2))</f>
        <v/>
      </c>
      <c r="U12" s="79">
        <f>IF(T12="","","Decide on change order "&amp;B12&amp;": "&amp;H12&amp;" (+"&amp;CurSym&amp;" "&amp;FIXED(IF(J12="",0,J12),0)&amp;")")</f>
        <v/>
      </c>
    </row>
    <row r="13" ht="24" customHeight="1">
      <c r="B13" s="74" t="n"/>
      <c r="C13" s="109" t="n"/>
      <c r="D13" s="72" t="n"/>
      <c r="E13" s="72" t="n"/>
      <c r="F13" s="72" t="n"/>
      <c r="G13" s="72" t="n"/>
      <c r="H13" s="113" t="n"/>
      <c r="I13" s="72" t="n"/>
      <c r="J13" s="73" t="n"/>
      <c r="K13" s="89" t="n"/>
      <c r="L13" s="74" t="n"/>
      <c r="M13" s="109" t="n"/>
      <c r="N13" s="68">
        <f>IF(AND(H13="",J13=""),"",ForecastTotal+IF(L13="Approved",0,IF(J13="",0,J13)))</f>
        <v/>
      </c>
      <c r="O13" s="75">
        <f>IF(N13="","",ContAmt-MAX(0,N13-WorkBudget))</f>
        <v/>
      </c>
      <c r="P13" s="120">
        <f>IF(OR(N13="",ForecastEnd=""),"",ForecastEnd+IF(L13="Approved",0,IF(K13="",0,K13)))</f>
        <v/>
      </c>
      <c r="Q13" s="121">
        <f>IF(OR(N13="",WorkBudget=0),"",N13/WorkBudget-1)</f>
        <v/>
      </c>
      <c r="R13" s="79">
        <f>IF(N13="","",IF(N13&lt;=WorkBudget,0,IF(N13&lt;=TotalBudget,1,2)))</f>
        <v/>
      </c>
      <c r="S13" s="112">
        <f>IF(AND(OR(H13&lt;&gt;"",J13&lt;&gt;""),OR(L13="Pending",L13=""),C13&lt;&gt;""),C13+3,"")</f>
        <v/>
      </c>
      <c r="T13" s="79">
        <f>IF(S13="","",IF(AsOf&gt;S13,1,2))</f>
        <v/>
      </c>
      <c r="U13" s="79">
        <f>IF(T13="","","Decide on change order "&amp;B13&amp;": "&amp;H13&amp;" (+"&amp;CurSym&amp;" "&amp;FIXED(IF(J13="",0,J13),0)&amp;")")</f>
        <v/>
      </c>
    </row>
    <row r="14" ht="24" customHeight="1">
      <c r="B14" s="74" t="n"/>
      <c r="C14" s="109" t="n"/>
      <c r="D14" s="72" t="n"/>
      <c r="E14" s="72" t="n"/>
      <c r="F14" s="72" t="n"/>
      <c r="G14" s="72" t="n"/>
      <c r="H14" s="113" t="n"/>
      <c r="I14" s="72" t="n"/>
      <c r="J14" s="73" t="n"/>
      <c r="K14" s="89" t="n"/>
      <c r="L14" s="74" t="n"/>
      <c r="M14" s="109" t="n"/>
      <c r="N14" s="68">
        <f>IF(AND(H14="",J14=""),"",ForecastTotal+IF(L14="Approved",0,IF(J14="",0,J14)))</f>
        <v/>
      </c>
      <c r="O14" s="75">
        <f>IF(N14="","",ContAmt-MAX(0,N14-WorkBudget))</f>
        <v/>
      </c>
      <c r="P14" s="120">
        <f>IF(OR(N14="",ForecastEnd=""),"",ForecastEnd+IF(L14="Approved",0,IF(K14="",0,K14)))</f>
        <v/>
      </c>
      <c r="Q14" s="121">
        <f>IF(OR(N14="",WorkBudget=0),"",N14/WorkBudget-1)</f>
        <v/>
      </c>
      <c r="R14" s="79">
        <f>IF(N14="","",IF(N14&lt;=WorkBudget,0,IF(N14&lt;=TotalBudget,1,2)))</f>
        <v/>
      </c>
      <c r="S14" s="112">
        <f>IF(AND(OR(H14&lt;&gt;"",J14&lt;&gt;""),OR(L14="Pending",L14=""),C14&lt;&gt;""),C14+3,"")</f>
        <v/>
      </c>
      <c r="T14" s="79">
        <f>IF(S14="","",IF(AsOf&gt;S14,1,2))</f>
        <v/>
      </c>
      <c r="U14" s="79">
        <f>IF(T14="","","Decide on change order "&amp;B14&amp;": "&amp;H14&amp;" (+"&amp;CurSym&amp;" "&amp;FIXED(IF(J14="",0,J14),0)&amp;")")</f>
        <v/>
      </c>
    </row>
    <row r="15" ht="24" customHeight="1">
      <c r="B15" s="74" t="n"/>
      <c r="C15" s="109" t="n"/>
      <c r="D15" s="72" t="n"/>
      <c r="E15" s="72" t="n"/>
      <c r="F15" s="72" t="n"/>
      <c r="G15" s="72" t="n"/>
      <c r="H15" s="113" t="n"/>
      <c r="I15" s="72" t="n"/>
      <c r="J15" s="73" t="n"/>
      <c r="K15" s="89" t="n"/>
      <c r="L15" s="74" t="n"/>
      <c r="M15" s="109" t="n"/>
      <c r="N15" s="68">
        <f>IF(AND(H15="",J15=""),"",ForecastTotal+IF(L15="Approved",0,IF(J15="",0,J15)))</f>
        <v/>
      </c>
      <c r="O15" s="75">
        <f>IF(N15="","",ContAmt-MAX(0,N15-WorkBudget))</f>
        <v/>
      </c>
      <c r="P15" s="120">
        <f>IF(OR(N15="",ForecastEnd=""),"",ForecastEnd+IF(L15="Approved",0,IF(K15="",0,K15)))</f>
        <v/>
      </c>
      <c r="Q15" s="121">
        <f>IF(OR(N15="",WorkBudget=0),"",N15/WorkBudget-1)</f>
        <v/>
      </c>
      <c r="R15" s="79">
        <f>IF(N15="","",IF(N15&lt;=WorkBudget,0,IF(N15&lt;=TotalBudget,1,2)))</f>
        <v/>
      </c>
      <c r="S15" s="112">
        <f>IF(AND(OR(H15&lt;&gt;"",J15&lt;&gt;""),OR(L15="Pending",L15=""),C15&lt;&gt;""),C15+3,"")</f>
        <v/>
      </c>
      <c r="T15" s="79">
        <f>IF(S15="","",IF(AsOf&gt;S15,1,2))</f>
        <v/>
      </c>
      <c r="U15" s="79">
        <f>IF(T15="","","Decide on change order "&amp;B15&amp;": "&amp;H15&amp;" (+"&amp;CurSym&amp;" "&amp;FIXED(IF(J15="",0,J15),0)&amp;")")</f>
        <v/>
      </c>
    </row>
    <row r="16" ht="24" customHeight="1">
      <c r="B16" s="74" t="n"/>
      <c r="C16" s="109" t="n"/>
      <c r="D16" s="72" t="n"/>
      <c r="E16" s="72" t="n"/>
      <c r="F16" s="72" t="n"/>
      <c r="G16" s="72" t="n"/>
      <c r="H16" s="113" t="n"/>
      <c r="I16" s="72" t="n"/>
      <c r="J16" s="73" t="n"/>
      <c r="K16" s="89" t="n"/>
      <c r="L16" s="74" t="n"/>
      <c r="M16" s="109" t="n"/>
      <c r="N16" s="68">
        <f>IF(AND(H16="",J16=""),"",ForecastTotal+IF(L16="Approved",0,IF(J16="",0,J16)))</f>
        <v/>
      </c>
      <c r="O16" s="75">
        <f>IF(N16="","",ContAmt-MAX(0,N16-WorkBudget))</f>
        <v/>
      </c>
      <c r="P16" s="120">
        <f>IF(OR(N16="",ForecastEnd=""),"",ForecastEnd+IF(L16="Approved",0,IF(K16="",0,K16)))</f>
        <v/>
      </c>
      <c r="Q16" s="121">
        <f>IF(OR(N16="",WorkBudget=0),"",N16/WorkBudget-1)</f>
        <v/>
      </c>
      <c r="R16" s="79">
        <f>IF(N16="","",IF(N16&lt;=WorkBudget,0,IF(N16&lt;=TotalBudget,1,2)))</f>
        <v/>
      </c>
      <c r="S16" s="112">
        <f>IF(AND(OR(H16&lt;&gt;"",J16&lt;&gt;""),OR(L16="Pending",L16=""),C16&lt;&gt;""),C16+3,"")</f>
        <v/>
      </c>
      <c r="T16" s="79">
        <f>IF(S16="","",IF(AsOf&gt;S16,1,2))</f>
        <v/>
      </c>
      <c r="U16" s="79">
        <f>IF(T16="","","Decide on change order "&amp;B16&amp;": "&amp;H16&amp;" (+"&amp;CurSym&amp;" "&amp;FIXED(IF(J16="",0,J16),0)&amp;")")</f>
        <v/>
      </c>
    </row>
    <row r="17" ht="24" customHeight="1">
      <c r="B17" s="74" t="n"/>
      <c r="C17" s="109" t="n"/>
      <c r="D17" s="72" t="n"/>
      <c r="E17" s="72" t="n"/>
      <c r="F17" s="72" t="n"/>
      <c r="G17" s="72" t="n"/>
      <c r="H17" s="113" t="n"/>
      <c r="I17" s="72" t="n"/>
      <c r="J17" s="73" t="n"/>
      <c r="K17" s="89" t="n"/>
      <c r="L17" s="74" t="n"/>
      <c r="M17" s="109" t="n"/>
      <c r="N17" s="68">
        <f>IF(AND(H17="",J17=""),"",ForecastTotal+IF(L17="Approved",0,IF(J17="",0,J17)))</f>
        <v/>
      </c>
      <c r="O17" s="75">
        <f>IF(N17="","",ContAmt-MAX(0,N17-WorkBudget))</f>
        <v/>
      </c>
      <c r="P17" s="120">
        <f>IF(OR(N17="",ForecastEnd=""),"",ForecastEnd+IF(L17="Approved",0,IF(K17="",0,K17)))</f>
        <v/>
      </c>
      <c r="Q17" s="121">
        <f>IF(OR(N17="",WorkBudget=0),"",N17/WorkBudget-1)</f>
        <v/>
      </c>
      <c r="R17" s="79">
        <f>IF(N17="","",IF(N17&lt;=WorkBudget,0,IF(N17&lt;=TotalBudget,1,2)))</f>
        <v/>
      </c>
      <c r="S17" s="112">
        <f>IF(AND(OR(H17&lt;&gt;"",J17&lt;&gt;""),OR(L17="Pending",L17=""),C17&lt;&gt;""),C17+3,"")</f>
        <v/>
      </c>
      <c r="T17" s="79">
        <f>IF(S17="","",IF(AsOf&gt;S17,1,2))</f>
        <v/>
      </c>
      <c r="U17" s="79">
        <f>IF(T17="","","Decide on change order "&amp;B17&amp;": "&amp;H17&amp;" (+"&amp;CurSym&amp;" "&amp;FIXED(IF(J17="",0,J17),0)&amp;")")</f>
        <v/>
      </c>
    </row>
    <row r="18" ht="24" customHeight="1">
      <c r="B18" s="74" t="n"/>
      <c r="C18" s="109" t="n"/>
      <c r="D18" s="72" t="n"/>
      <c r="E18" s="72" t="n"/>
      <c r="F18" s="72" t="n"/>
      <c r="G18" s="72" t="n"/>
      <c r="H18" s="113" t="n"/>
      <c r="I18" s="72" t="n"/>
      <c r="J18" s="73" t="n"/>
      <c r="K18" s="89" t="n"/>
      <c r="L18" s="74" t="n"/>
      <c r="M18" s="109" t="n"/>
      <c r="N18" s="68">
        <f>IF(AND(H18="",J18=""),"",ForecastTotal+IF(L18="Approved",0,IF(J18="",0,J18)))</f>
        <v/>
      </c>
      <c r="O18" s="75">
        <f>IF(N18="","",ContAmt-MAX(0,N18-WorkBudget))</f>
        <v/>
      </c>
      <c r="P18" s="120">
        <f>IF(OR(N18="",ForecastEnd=""),"",ForecastEnd+IF(L18="Approved",0,IF(K18="",0,K18)))</f>
        <v/>
      </c>
      <c r="Q18" s="121">
        <f>IF(OR(N18="",WorkBudget=0),"",N18/WorkBudget-1)</f>
        <v/>
      </c>
      <c r="R18" s="79">
        <f>IF(N18="","",IF(N18&lt;=WorkBudget,0,IF(N18&lt;=TotalBudget,1,2)))</f>
        <v/>
      </c>
      <c r="S18" s="112">
        <f>IF(AND(OR(H18&lt;&gt;"",J18&lt;&gt;""),OR(L18="Pending",L18=""),C18&lt;&gt;""),C18+3,"")</f>
        <v/>
      </c>
      <c r="T18" s="79">
        <f>IF(S18="","",IF(AsOf&gt;S18,1,2))</f>
        <v/>
      </c>
      <c r="U18" s="79">
        <f>IF(T18="","","Decide on change order "&amp;B18&amp;": "&amp;H18&amp;" (+"&amp;CurSym&amp;" "&amp;FIXED(IF(J18="",0,J18),0)&amp;")")</f>
        <v/>
      </c>
    </row>
    <row r="19" ht="24" customHeight="1">
      <c r="B19" s="74" t="n"/>
      <c r="C19" s="109" t="n"/>
      <c r="D19" s="72" t="n"/>
      <c r="E19" s="72" t="n"/>
      <c r="F19" s="72" t="n"/>
      <c r="G19" s="72" t="n"/>
      <c r="H19" s="113" t="n"/>
      <c r="I19" s="72" t="n"/>
      <c r="J19" s="73" t="n"/>
      <c r="K19" s="89" t="n"/>
      <c r="L19" s="74" t="n"/>
      <c r="M19" s="109" t="n"/>
      <c r="N19" s="68">
        <f>IF(AND(H19="",J19=""),"",ForecastTotal+IF(L19="Approved",0,IF(J19="",0,J19)))</f>
        <v/>
      </c>
      <c r="O19" s="75">
        <f>IF(N19="","",ContAmt-MAX(0,N19-WorkBudget))</f>
        <v/>
      </c>
      <c r="P19" s="120">
        <f>IF(OR(N19="",ForecastEnd=""),"",ForecastEnd+IF(L19="Approved",0,IF(K19="",0,K19)))</f>
        <v/>
      </c>
      <c r="Q19" s="121">
        <f>IF(OR(N19="",WorkBudget=0),"",N19/WorkBudget-1)</f>
        <v/>
      </c>
      <c r="R19" s="79">
        <f>IF(N19="","",IF(N19&lt;=WorkBudget,0,IF(N19&lt;=TotalBudget,1,2)))</f>
        <v/>
      </c>
      <c r="S19" s="112">
        <f>IF(AND(OR(H19&lt;&gt;"",J19&lt;&gt;""),OR(L19="Pending",L19=""),C19&lt;&gt;""),C19+3,"")</f>
        <v/>
      </c>
      <c r="T19" s="79">
        <f>IF(S19="","",IF(AsOf&gt;S19,1,2))</f>
        <v/>
      </c>
      <c r="U19" s="79">
        <f>IF(T19="","","Decide on change order "&amp;B19&amp;": "&amp;H19&amp;" (+"&amp;CurSym&amp;" "&amp;FIXED(IF(J19="",0,J19),0)&amp;")")</f>
        <v/>
      </c>
    </row>
    <row r="20" ht="24" customHeight="1">
      <c r="B20" s="74" t="n"/>
      <c r="C20" s="109" t="n"/>
      <c r="D20" s="72" t="n"/>
      <c r="E20" s="72" t="n"/>
      <c r="F20" s="72" t="n"/>
      <c r="G20" s="72" t="n"/>
      <c r="H20" s="113" t="n"/>
      <c r="I20" s="72" t="n"/>
      <c r="J20" s="73" t="n"/>
      <c r="K20" s="89" t="n"/>
      <c r="L20" s="74" t="n"/>
      <c r="M20" s="109" t="n"/>
      <c r="N20" s="68">
        <f>IF(AND(H20="",J20=""),"",ForecastTotal+IF(L20="Approved",0,IF(J20="",0,J20)))</f>
        <v/>
      </c>
      <c r="O20" s="75">
        <f>IF(N20="","",ContAmt-MAX(0,N20-WorkBudget))</f>
        <v/>
      </c>
      <c r="P20" s="120">
        <f>IF(OR(N20="",ForecastEnd=""),"",ForecastEnd+IF(L20="Approved",0,IF(K20="",0,K20)))</f>
        <v/>
      </c>
      <c r="Q20" s="121">
        <f>IF(OR(N20="",WorkBudget=0),"",N20/WorkBudget-1)</f>
        <v/>
      </c>
      <c r="R20" s="79">
        <f>IF(N20="","",IF(N20&lt;=WorkBudget,0,IF(N20&lt;=TotalBudget,1,2)))</f>
        <v/>
      </c>
      <c r="S20" s="112">
        <f>IF(AND(OR(H20&lt;&gt;"",J20&lt;&gt;""),OR(L20="Pending",L20=""),C20&lt;&gt;""),C20+3,"")</f>
        <v/>
      </c>
      <c r="T20" s="79">
        <f>IF(S20="","",IF(AsOf&gt;S20,1,2))</f>
        <v/>
      </c>
      <c r="U20" s="79">
        <f>IF(T20="","","Decide on change order "&amp;B20&amp;": "&amp;H20&amp;" (+"&amp;CurSym&amp;" "&amp;FIXED(IF(J20="",0,J20),0)&amp;")")</f>
        <v/>
      </c>
    </row>
    <row r="21" ht="24" customHeight="1">
      <c r="B21" s="74" t="n"/>
      <c r="C21" s="109" t="n"/>
      <c r="D21" s="72" t="n"/>
      <c r="E21" s="72" t="n"/>
      <c r="F21" s="72" t="n"/>
      <c r="G21" s="72" t="n"/>
      <c r="H21" s="113" t="n"/>
      <c r="I21" s="72" t="n"/>
      <c r="J21" s="73" t="n"/>
      <c r="K21" s="89" t="n"/>
      <c r="L21" s="74" t="n"/>
      <c r="M21" s="109" t="n"/>
      <c r="N21" s="68">
        <f>IF(AND(H21="",J21=""),"",ForecastTotal+IF(L21="Approved",0,IF(J21="",0,J21)))</f>
        <v/>
      </c>
      <c r="O21" s="75">
        <f>IF(N21="","",ContAmt-MAX(0,N21-WorkBudget))</f>
        <v/>
      </c>
      <c r="P21" s="120">
        <f>IF(OR(N21="",ForecastEnd=""),"",ForecastEnd+IF(L21="Approved",0,IF(K21="",0,K21)))</f>
        <v/>
      </c>
      <c r="Q21" s="121">
        <f>IF(OR(N21="",WorkBudget=0),"",N21/WorkBudget-1)</f>
        <v/>
      </c>
      <c r="R21" s="79">
        <f>IF(N21="","",IF(N21&lt;=WorkBudget,0,IF(N21&lt;=TotalBudget,1,2)))</f>
        <v/>
      </c>
      <c r="S21" s="112">
        <f>IF(AND(OR(H21&lt;&gt;"",J21&lt;&gt;""),OR(L21="Pending",L21=""),C21&lt;&gt;""),C21+3,"")</f>
        <v/>
      </c>
      <c r="T21" s="79">
        <f>IF(S21="","",IF(AsOf&gt;S21,1,2))</f>
        <v/>
      </c>
      <c r="U21" s="79">
        <f>IF(T21="","","Decide on change order "&amp;B21&amp;": "&amp;H21&amp;" (+"&amp;CurSym&amp;" "&amp;FIXED(IF(J21="",0,J21),0)&amp;")")</f>
        <v/>
      </c>
    </row>
    <row r="22" ht="24" customHeight="1">
      <c r="B22" s="74" t="n"/>
      <c r="C22" s="109" t="n"/>
      <c r="D22" s="72" t="n"/>
      <c r="E22" s="72" t="n"/>
      <c r="F22" s="72" t="n"/>
      <c r="G22" s="72" t="n"/>
      <c r="H22" s="113" t="n"/>
      <c r="I22" s="72" t="n"/>
      <c r="J22" s="73" t="n"/>
      <c r="K22" s="89" t="n"/>
      <c r="L22" s="74" t="n"/>
      <c r="M22" s="109" t="n"/>
      <c r="N22" s="68">
        <f>IF(AND(H22="",J22=""),"",ForecastTotal+IF(L22="Approved",0,IF(J22="",0,J22)))</f>
        <v/>
      </c>
      <c r="O22" s="75">
        <f>IF(N22="","",ContAmt-MAX(0,N22-WorkBudget))</f>
        <v/>
      </c>
      <c r="P22" s="120">
        <f>IF(OR(N22="",ForecastEnd=""),"",ForecastEnd+IF(L22="Approved",0,IF(K22="",0,K22)))</f>
        <v/>
      </c>
      <c r="Q22" s="121">
        <f>IF(OR(N22="",WorkBudget=0),"",N22/WorkBudget-1)</f>
        <v/>
      </c>
      <c r="R22" s="79">
        <f>IF(N22="","",IF(N22&lt;=WorkBudget,0,IF(N22&lt;=TotalBudget,1,2)))</f>
        <v/>
      </c>
      <c r="S22" s="112">
        <f>IF(AND(OR(H22&lt;&gt;"",J22&lt;&gt;""),OR(L22="Pending",L22=""),C22&lt;&gt;""),C22+3,"")</f>
        <v/>
      </c>
      <c r="T22" s="79">
        <f>IF(S22="","",IF(AsOf&gt;S22,1,2))</f>
        <v/>
      </c>
      <c r="U22" s="79">
        <f>IF(T22="","","Decide on change order "&amp;B22&amp;": "&amp;H22&amp;" (+"&amp;CurSym&amp;" "&amp;FIXED(IF(J22="",0,J22),0)&amp;")")</f>
        <v/>
      </c>
    </row>
    <row r="23" ht="24" customHeight="1">
      <c r="B23" s="74" t="n"/>
      <c r="C23" s="109" t="n"/>
      <c r="D23" s="72" t="n"/>
      <c r="E23" s="72" t="n"/>
      <c r="F23" s="72" t="n"/>
      <c r="G23" s="72" t="n"/>
      <c r="H23" s="113" t="n"/>
      <c r="I23" s="72" t="n"/>
      <c r="J23" s="73" t="n"/>
      <c r="K23" s="89" t="n"/>
      <c r="L23" s="74" t="n"/>
      <c r="M23" s="109" t="n"/>
      <c r="N23" s="68">
        <f>IF(AND(H23="",J23=""),"",ForecastTotal+IF(L23="Approved",0,IF(J23="",0,J23)))</f>
        <v/>
      </c>
      <c r="O23" s="75">
        <f>IF(N23="","",ContAmt-MAX(0,N23-WorkBudget))</f>
        <v/>
      </c>
      <c r="P23" s="120">
        <f>IF(OR(N23="",ForecastEnd=""),"",ForecastEnd+IF(L23="Approved",0,IF(K23="",0,K23)))</f>
        <v/>
      </c>
      <c r="Q23" s="121">
        <f>IF(OR(N23="",WorkBudget=0),"",N23/WorkBudget-1)</f>
        <v/>
      </c>
      <c r="R23" s="79">
        <f>IF(N23="","",IF(N23&lt;=WorkBudget,0,IF(N23&lt;=TotalBudget,1,2)))</f>
        <v/>
      </c>
      <c r="S23" s="112">
        <f>IF(AND(OR(H23&lt;&gt;"",J23&lt;&gt;""),OR(L23="Pending",L23=""),C23&lt;&gt;""),C23+3,"")</f>
        <v/>
      </c>
      <c r="T23" s="79">
        <f>IF(S23="","",IF(AsOf&gt;S23,1,2))</f>
        <v/>
      </c>
      <c r="U23" s="79">
        <f>IF(T23="","","Decide on change order "&amp;B23&amp;": "&amp;H23&amp;" (+"&amp;CurSym&amp;" "&amp;FIXED(IF(J23="",0,J23),0)&amp;")")</f>
        <v/>
      </c>
    </row>
    <row r="24" ht="24" customHeight="1">
      <c r="B24" s="74" t="n"/>
      <c r="C24" s="109" t="n"/>
      <c r="D24" s="72" t="n"/>
      <c r="E24" s="72" t="n"/>
      <c r="F24" s="72" t="n"/>
      <c r="G24" s="72" t="n"/>
      <c r="H24" s="113" t="n"/>
      <c r="I24" s="72" t="n"/>
      <c r="J24" s="73" t="n"/>
      <c r="K24" s="89" t="n"/>
      <c r="L24" s="74" t="n"/>
      <c r="M24" s="109" t="n"/>
      <c r="N24" s="68">
        <f>IF(AND(H24="",J24=""),"",ForecastTotal+IF(L24="Approved",0,IF(J24="",0,J24)))</f>
        <v/>
      </c>
      <c r="O24" s="75">
        <f>IF(N24="","",ContAmt-MAX(0,N24-WorkBudget))</f>
        <v/>
      </c>
      <c r="P24" s="120">
        <f>IF(OR(N24="",ForecastEnd=""),"",ForecastEnd+IF(L24="Approved",0,IF(K24="",0,K24)))</f>
        <v/>
      </c>
      <c r="Q24" s="121">
        <f>IF(OR(N24="",WorkBudget=0),"",N24/WorkBudget-1)</f>
        <v/>
      </c>
      <c r="R24" s="79">
        <f>IF(N24="","",IF(N24&lt;=WorkBudget,0,IF(N24&lt;=TotalBudget,1,2)))</f>
        <v/>
      </c>
      <c r="S24" s="112">
        <f>IF(AND(OR(H24&lt;&gt;"",J24&lt;&gt;""),OR(L24="Pending",L24=""),C24&lt;&gt;""),C24+3,"")</f>
        <v/>
      </c>
      <c r="T24" s="79">
        <f>IF(S24="","",IF(AsOf&gt;S24,1,2))</f>
        <v/>
      </c>
      <c r="U24" s="79">
        <f>IF(T24="","","Decide on change order "&amp;B24&amp;": "&amp;H24&amp;" (+"&amp;CurSym&amp;" "&amp;FIXED(IF(J24="",0,J24),0)&amp;")")</f>
        <v/>
      </c>
    </row>
    <row r="25" ht="24" customHeight="1">
      <c r="B25" s="74" t="n"/>
      <c r="C25" s="109" t="n"/>
      <c r="D25" s="72" t="n"/>
      <c r="E25" s="72" t="n"/>
      <c r="F25" s="72" t="n"/>
      <c r="G25" s="72" t="n"/>
      <c r="H25" s="113" t="n"/>
      <c r="I25" s="72" t="n"/>
      <c r="J25" s="73" t="n"/>
      <c r="K25" s="89" t="n"/>
      <c r="L25" s="74" t="n"/>
      <c r="M25" s="109" t="n"/>
      <c r="N25" s="68">
        <f>IF(AND(H25="",J25=""),"",ForecastTotal+IF(L25="Approved",0,IF(J25="",0,J25)))</f>
        <v/>
      </c>
      <c r="O25" s="75">
        <f>IF(N25="","",ContAmt-MAX(0,N25-WorkBudget))</f>
        <v/>
      </c>
      <c r="P25" s="120">
        <f>IF(OR(N25="",ForecastEnd=""),"",ForecastEnd+IF(L25="Approved",0,IF(K25="",0,K25)))</f>
        <v/>
      </c>
      <c r="Q25" s="121">
        <f>IF(OR(N25="",WorkBudget=0),"",N25/WorkBudget-1)</f>
        <v/>
      </c>
      <c r="R25" s="79">
        <f>IF(N25="","",IF(N25&lt;=WorkBudget,0,IF(N25&lt;=TotalBudget,1,2)))</f>
        <v/>
      </c>
      <c r="S25" s="112">
        <f>IF(AND(OR(H25&lt;&gt;"",J25&lt;&gt;""),OR(L25="Pending",L25=""),C25&lt;&gt;""),C25+3,"")</f>
        <v/>
      </c>
      <c r="T25" s="79">
        <f>IF(S25="","",IF(AsOf&gt;S25,1,2))</f>
        <v/>
      </c>
      <c r="U25" s="79">
        <f>IF(T25="","","Decide on change order "&amp;B25&amp;": "&amp;H25&amp;" (+"&amp;CurSym&amp;" "&amp;FIXED(IF(J25="",0,J25),0)&amp;")")</f>
        <v/>
      </c>
    </row>
    <row r="26" ht="24" customHeight="1">
      <c r="B26" s="74" t="n"/>
      <c r="C26" s="109" t="n"/>
      <c r="D26" s="72" t="n"/>
      <c r="E26" s="72" t="n"/>
      <c r="F26" s="72" t="n"/>
      <c r="G26" s="72" t="n"/>
      <c r="H26" s="113" t="n"/>
      <c r="I26" s="72" t="n"/>
      <c r="J26" s="73" t="n"/>
      <c r="K26" s="89" t="n"/>
      <c r="L26" s="74" t="n"/>
      <c r="M26" s="109" t="n"/>
      <c r="N26" s="68">
        <f>IF(AND(H26="",J26=""),"",ForecastTotal+IF(L26="Approved",0,IF(J26="",0,J26)))</f>
        <v/>
      </c>
      <c r="O26" s="75">
        <f>IF(N26="","",ContAmt-MAX(0,N26-WorkBudget))</f>
        <v/>
      </c>
      <c r="P26" s="120">
        <f>IF(OR(N26="",ForecastEnd=""),"",ForecastEnd+IF(L26="Approved",0,IF(K26="",0,K26)))</f>
        <v/>
      </c>
      <c r="Q26" s="121">
        <f>IF(OR(N26="",WorkBudget=0),"",N26/WorkBudget-1)</f>
        <v/>
      </c>
      <c r="R26" s="79">
        <f>IF(N26="","",IF(N26&lt;=WorkBudget,0,IF(N26&lt;=TotalBudget,1,2)))</f>
        <v/>
      </c>
      <c r="S26" s="112">
        <f>IF(AND(OR(H26&lt;&gt;"",J26&lt;&gt;""),OR(L26="Pending",L26=""),C26&lt;&gt;""),C26+3,"")</f>
        <v/>
      </c>
      <c r="T26" s="79">
        <f>IF(S26="","",IF(AsOf&gt;S26,1,2))</f>
        <v/>
      </c>
      <c r="U26" s="79">
        <f>IF(T26="","","Decide on change order "&amp;B26&amp;": "&amp;H26&amp;" (+"&amp;CurSym&amp;" "&amp;FIXED(IF(J26="",0,J26),0)&amp;")")</f>
        <v/>
      </c>
    </row>
    <row r="27" ht="24" customHeight="1">
      <c r="B27" s="74" t="n"/>
      <c r="C27" s="109" t="n"/>
      <c r="D27" s="72" t="n"/>
      <c r="E27" s="72" t="n"/>
      <c r="F27" s="72" t="n"/>
      <c r="G27" s="72" t="n"/>
      <c r="H27" s="113" t="n"/>
      <c r="I27" s="72" t="n"/>
      <c r="J27" s="73" t="n"/>
      <c r="K27" s="89" t="n"/>
      <c r="L27" s="74" t="n"/>
      <c r="M27" s="109" t="n"/>
      <c r="N27" s="68">
        <f>IF(AND(H27="",J27=""),"",ForecastTotal+IF(L27="Approved",0,IF(J27="",0,J27)))</f>
        <v/>
      </c>
      <c r="O27" s="75">
        <f>IF(N27="","",ContAmt-MAX(0,N27-WorkBudget))</f>
        <v/>
      </c>
      <c r="P27" s="120">
        <f>IF(OR(N27="",ForecastEnd=""),"",ForecastEnd+IF(L27="Approved",0,IF(K27="",0,K27)))</f>
        <v/>
      </c>
      <c r="Q27" s="121">
        <f>IF(OR(N27="",WorkBudget=0),"",N27/WorkBudget-1)</f>
        <v/>
      </c>
      <c r="R27" s="79">
        <f>IF(N27="","",IF(N27&lt;=WorkBudget,0,IF(N27&lt;=TotalBudget,1,2)))</f>
        <v/>
      </c>
      <c r="S27" s="112">
        <f>IF(AND(OR(H27&lt;&gt;"",J27&lt;&gt;""),OR(L27="Pending",L27=""),C27&lt;&gt;""),C27+3,"")</f>
        <v/>
      </c>
      <c r="T27" s="79">
        <f>IF(S27="","",IF(AsOf&gt;S27,1,2))</f>
        <v/>
      </c>
      <c r="U27" s="79">
        <f>IF(T27="","","Decide on change order "&amp;B27&amp;": "&amp;H27&amp;" (+"&amp;CurSym&amp;" "&amp;FIXED(IF(J27="",0,J27),0)&amp;")")</f>
        <v/>
      </c>
    </row>
    <row r="28" ht="24" customHeight="1">
      <c r="B28" s="74" t="n"/>
      <c r="C28" s="109" t="n"/>
      <c r="D28" s="72" t="n"/>
      <c r="E28" s="72" t="n"/>
      <c r="F28" s="72" t="n"/>
      <c r="G28" s="72" t="n"/>
      <c r="H28" s="113" t="n"/>
      <c r="I28" s="72" t="n"/>
      <c r="J28" s="73" t="n"/>
      <c r="K28" s="89" t="n"/>
      <c r="L28" s="74" t="n"/>
      <c r="M28" s="109" t="n"/>
      <c r="N28" s="68">
        <f>IF(AND(H28="",J28=""),"",ForecastTotal+IF(L28="Approved",0,IF(J28="",0,J28)))</f>
        <v/>
      </c>
      <c r="O28" s="75">
        <f>IF(N28="","",ContAmt-MAX(0,N28-WorkBudget))</f>
        <v/>
      </c>
      <c r="P28" s="120">
        <f>IF(OR(N28="",ForecastEnd=""),"",ForecastEnd+IF(L28="Approved",0,IF(K28="",0,K28)))</f>
        <v/>
      </c>
      <c r="Q28" s="121">
        <f>IF(OR(N28="",WorkBudget=0),"",N28/WorkBudget-1)</f>
        <v/>
      </c>
      <c r="R28" s="79">
        <f>IF(N28="","",IF(N28&lt;=WorkBudget,0,IF(N28&lt;=TotalBudget,1,2)))</f>
        <v/>
      </c>
      <c r="S28" s="112">
        <f>IF(AND(OR(H28&lt;&gt;"",J28&lt;&gt;""),OR(L28="Pending",L28=""),C28&lt;&gt;""),C28+3,"")</f>
        <v/>
      </c>
      <c r="T28" s="79">
        <f>IF(S28="","",IF(AsOf&gt;S28,1,2))</f>
        <v/>
      </c>
      <c r="U28" s="79">
        <f>IF(T28="","","Decide on change order "&amp;B28&amp;": "&amp;H28&amp;" (+"&amp;CurSym&amp;" "&amp;FIXED(IF(J28="",0,J28),0)&amp;")")</f>
        <v/>
      </c>
    </row>
    <row r="29" ht="24" customHeight="1">
      <c r="B29" s="74" t="n"/>
      <c r="C29" s="109" t="n"/>
      <c r="D29" s="72" t="n"/>
      <c r="E29" s="72" t="n"/>
      <c r="F29" s="72" t="n"/>
      <c r="G29" s="72" t="n"/>
      <c r="H29" s="113" t="n"/>
      <c r="I29" s="72" t="n"/>
      <c r="J29" s="73" t="n"/>
      <c r="K29" s="89" t="n"/>
      <c r="L29" s="74" t="n"/>
      <c r="M29" s="109" t="n"/>
      <c r="N29" s="68">
        <f>IF(AND(H29="",J29=""),"",ForecastTotal+IF(L29="Approved",0,IF(J29="",0,J29)))</f>
        <v/>
      </c>
      <c r="O29" s="75">
        <f>IF(N29="","",ContAmt-MAX(0,N29-WorkBudget))</f>
        <v/>
      </c>
      <c r="P29" s="120">
        <f>IF(OR(N29="",ForecastEnd=""),"",ForecastEnd+IF(L29="Approved",0,IF(K29="",0,K29)))</f>
        <v/>
      </c>
      <c r="Q29" s="121">
        <f>IF(OR(N29="",WorkBudget=0),"",N29/WorkBudget-1)</f>
        <v/>
      </c>
      <c r="R29" s="79">
        <f>IF(N29="","",IF(N29&lt;=WorkBudget,0,IF(N29&lt;=TotalBudget,1,2)))</f>
        <v/>
      </c>
      <c r="S29" s="112">
        <f>IF(AND(OR(H29&lt;&gt;"",J29&lt;&gt;""),OR(L29="Pending",L29=""),C29&lt;&gt;""),C29+3,"")</f>
        <v/>
      </c>
      <c r="T29" s="79">
        <f>IF(S29="","",IF(AsOf&gt;S29,1,2))</f>
        <v/>
      </c>
      <c r="U29" s="79">
        <f>IF(T29="","","Decide on change order "&amp;B29&amp;": "&amp;H29&amp;" (+"&amp;CurSym&amp;" "&amp;FIXED(IF(J29="",0,J29),0)&amp;")")</f>
        <v/>
      </c>
    </row>
    <row r="30" ht="24" customHeight="1">
      <c r="B30" s="74" t="n"/>
      <c r="C30" s="109" t="n"/>
      <c r="D30" s="72" t="n"/>
      <c r="E30" s="72" t="n"/>
      <c r="F30" s="72" t="n"/>
      <c r="G30" s="72" t="n"/>
      <c r="H30" s="113" t="n"/>
      <c r="I30" s="72" t="n"/>
      <c r="J30" s="73" t="n"/>
      <c r="K30" s="89" t="n"/>
      <c r="L30" s="74" t="n"/>
      <c r="M30" s="109" t="n"/>
      <c r="N30" s="68">
        <f>IF(AND(H30="",J30=""),"",ForecastTotal+IF(L30="Approved",0,IF(J30="",0,J30)))</f>
        <v/>
      </c>
      <c r="O30" s="75">
        <f>IF(N30="","",ContAmt-MAX(0,N30-WorkBudget))</f>
        <v/>
      </c>
      <c r="P30" s="120">
        <f>IF(OR(N30="",ForecastEnd=""),"",ForecastEnd+IF(L30="Approved",0,IF(K30="",0,K30)))</f>
        <v/>
      </c>
      <c r="Q30" s="121">
        <f>IF(OR(N30="",WorkBudget=0),"",N30/WorkBudget-1)</f>
        <v/>
      </c>
      <c r="R30" s="79">
        <f>IF(N30="","",IF(N30&lt;=WorkBudget,0,IF(N30&lt;=TotalBudget,1,2)))</f>
        <v/>
      </c>
      <c r="S30" s="112">
        <f>IF(AND(OR(H30&lt;&gt;"",J30&lt;&gt;""),OR(L30="Pending",L30=""),C30&lt;&gt;""),C30+3,"")</f>
        <v/>
      </c>
      <c r="T30" s="79">
        <f>IF(S30="","",IF(AsOf&gt;S30,1,2))</f>
        <v/>
      </c>
      <c r="U30" s="79">
        <f>IF(T30="","","Decide on change order "&amp;B30&amp;": "&amp;H30&amp;" (+"&amp;CurSym&amp;" "&amp;FIXED(IF(J30="",0,J30),0)&amp;")")</f>
        <v/>
      </c>
    </row>
    <row r="31" ht="24" customHeight="1">
      <c r="B31" s="74" t="n"/>
      <c r="C31" s="109" t="n"/>
      <c r="D31" s="72" t="n"/>
      <c r="E31" s="72" t="n"/>
      <c r="F31" s="72" t="n"/>
      <c r="G31" s="72" t="n"/>
      <c r="H31" s="113" t="n"/>
      <c r="I31" s="72" t="n"/>
      <c r="J31" s="73" t="n"/>
      <c r="K31" s="89" t="n"/>
      <c r="L31" s="74" t="n"/>
      <c r="M31" s="109" t="n"/>
      <c r="N31" s="68">
        <f>IF(AND(H31="",J31=""),"",ForecastTotal+IF(L31="Approved",0,IF(J31="",0,J31)))</f>
        <v/>
      </c>
      <c r="O31" s="75">
        <f>IF(N31="","",ContAmt-MAX(0,N31-WorkBudget))</f>
        <v/>
      </c>
      <c r="P31" s="120">
        <f>IF(OR(N31="",ForecastEnd=""),"",ForecastEnd+IF(L31="Approved",0,IF(K31="",0,K31)))</f>
        <v/>
      </c>
      <c r="Q31" s="121">
        <f>IF(OR(N31="",WorkBudget=0),"",N31/WorkBudget-1)</f>
        <v/>
      </c>
      <c r="R31" s="79">
        <f>IF(N31="","",IF(N31&lt;=WorkBudget,0,IF(N31&lt;=TotalBudget,1,2)))</f>
        <v/>
      </c>
      <c r="S31" s="112">
        <f>IF(AND(OR(H31&lt;&gt;"",J31&lt;&gt;""),OR(L31="Pending",L31=""),C31&lt;&gt;""),C31+3,"")</f>
        <v/>
      </c>
      <c r="T31" s="79">
        <f>IF(S31="","",IF(AsOf&gt;S31,1,2))</f>
        <v/>
      </c>
      <c r="U31" s="79">
        <f>IF(T31="","","Decide on change order "&amp;B31&amp;": "&amp;H31&amp;" (+"&amp;CurSym&amp;" "&amp;FIXED(IF(J31="",0,J31),0)&amp;")")</f>
        <v/>
      </c>
    </row>
    <row r="32" ht="24" customHeight="1">
      <c r="B32" s="74" t="n"/>
      <c r="C32" s="109" t="n"/>
      <c r="D32" s="72" t="n"/>
      <c r="E32" s="72" t="n"/>
      <c r="F32" s="72" t="n"/>
      <c r="G32" s="72" t="n"/>
      <c r="H32" s="113" t="n"/>
      <c r="I32" s="72" t="n"/>
      <c r="J32" s="73" t="n"/>
      <c r="K32" s="89" t="n"/>
      <c r="L32" s="74" t="n"/>
      <c r="M32" s="109" t="n"/>
      <c r="N32" s="68">
        <f>IF(AND(H32="",J32=""),"",ForecastTotal+IF(L32="Approved",0,IF(J32="",0,J32)))</f>
        <v/>
      </c>
      <c r="O32" s="75">
        <f>IF(N32="","",ContAmt-MAX(0,N32-WorkBudget))</f>
        <v/>
      </c>
      <c r="P32" s="120">
        <f>IF(OR(N32="",ForecastEnd=""),"",ForecastEnd+IF(L32="Approved",0,IF(K32="",0,K32)))</f>
        <v/>
      </c>
      <c r="Q32" s="121">
        <f>IF(OR(N32="",WorkBudget=0),"",N32/WorkBudget-1)</f>
        <v/>
      </c>
      <c r="R32" s="79">
        <f>IF(N32="","",IF(N32&lt;=WorkBudget,0,IF(N32&lt;=TotalBudget,1,2)))</f>
        <v/>
      </c>
      <c r="S32" s="112">
        <f>IF(AND(OR(H32&lt;&gt;"",J32&lt;&gt;""),OR(L32="Pending",L32=""),C32&lt;&gt;""),C32+3,"")</f>
        <v/>
      </c>
      <c r="T32" s="79">
        <f>IF(S32="","",IF(AsOf&gt;S32,1,2))</f>
        <v/>
      </c>
      <c r="U32" s="79">
        <f>IF(T32="","","Decide on change order "&amp;B32&amp;": "&amp;H32&amp;" (+"&amp;CurSym&amp;" "&amp;FIXED(IF(J32="",0,J32),0)&amp;")")</f>
        <v/>
      </c>
    </row>
    <row r="33" ht="24" customHeight="1">
      <c r="B33" s="74" t="n"/>
      <c r="C33" s="109" t="n"/>
      <c r="D33" s="72" t="n"/>
      <c r="E33" s="72" t="n"/>
      <c r="F33" s="72" t="n"/>
      <c r="G33" s="72" t="n"/>
      <c r="H33" s="113" t="n"/>
      <c r="I33" s="72" t="n"/>
      <c r="J33" s="73" t="n"/>
      <c r="K33" s="89" t="n"/>
      <c r="L33" s="74" t="n"/>
      <c r="M33" s="109" t="n"/>
      <c r="N33" s="68">
        <f>IF(AND(H33="",J33=""),"",ForecastTotal+IF(L33="Approved",0,IF(J33="",0,J33)))</f>
        <v/>
      </c>
      <c r="O33" s="75">
        <f>IF(N33="","",ContAmt-MAX(0,N33-WorkBudget))</f>
        <v/>
      </c>
      <c r="P33" s="120">
        <f>IF(OR(N33="",ForecastEnd=""),"",ForecastEnd+IF(L33="Approved",0,IF(K33="",0,K33)))</f>
        <v/>
      </c>
      <c r="Q33" s="121">
        <f>IF(OR(N33="",WorkBudget=0),"",N33/WorkBudget-1)</f>
        <v/>
      </c>
      <c r="R33" s="79">
        <f>IF(N33="","",IF(N33&lt;=WorkBudget,0,IF(N33&lt;=TotalBudget,1,2)))</f>
        <v/>
      </c>
      <c r="S33" s="112">
        <f>IF(AND(OR(H33&lt;&gt;"",J33&lt;&gt;""),OR(L33="Pending",L33=""),C33&lt;&gt;""),C33+3,"")</f>
        <v/>
      </c>
      <c r="T33" s="79">
        <f>IF(S33="","",IF(AsOf&gt;S33,1,2))</f>
        <v/>
      </c>
      <c r="U33" s="79">
        <f>IF(T33="","","Decide on change order "&amp;B33&amp;": "&amp;H33&amp;" (+"&amp;CurSym&amp;" "&amp;FIXED(IF(J33="",0,J33),0)&amp;")")</f>
        <v/>
      </c>
    </row>
    <row r="34" ht="24" customHeight="1">
      <c r="B34" s="74" t="n"/>
      <c r="C34" s="109" t="n"/>
      <c r="D34" s="72" t="n"/>
      <c r="E34" s="72" t="n"/>
      <c r="F34" s="72" t="n"/>
      <c r="G34" s="72" t="n"/>
      <c r="H34" s="113" t="n"/>
      <c r="I34" s="72" t="n"/>
      <c r="J34" s="73" t="n"/>
      <c r="K34" s="89" t="n"/>
      <c r="L34" s="74" t="n"/>
      <c r="M34" s="109" t="n"/>
      <c r="N34" s="68">
        <f>IF(AND(H34="",J34=""),"",ForecastTotal+IF(L34="Approved",0,IF(J34="",0,J34)))</f>
        <v/>
      </c>
      <c r="O34" s="75">
        <f>IF(N34="","",ContAmt-MAX(0,N34-WorkBudget))</f>
        <v/>
      </c>
      <c r="P34" s="120">
        <f>IF(OR(N34="",ForecastEnd=""),"",ForecastEnd+IF(L34="Approved",0,IF(K34="",0,K34)))</f>
        <v/>
      </c>
      <c r="Q34" s="121">
        <f>IF(OR(N34="",WorkBudget=0),"",N34/WorkBudget-1)</f>
        <v/>
      </c>
      <c r="R34" s="79">
        <f>IF(N34="","",IF(N34&lt;=WorkBudget,0,IF(N34&lt;=TotalBudget,1,2)))</f>
        <v/>
      </c>
      <c r="S34" s="112">
        <f>IF(AND(OR(H34&lt;&gt;"",J34&lt;&gt;""),OR(L34="Pending",L34=""),C34&lt;&gt;""),C34+3,"")</f>
        <v/>
      </c>
      <c r="T34" s="79">
        <f>IF(S34="","",IF(AsOf&gt;S34,1,2))</f>
        <v/>
      </c>
      <c r="U34" s="79">
        <f>IF(T34="","","Decide on change order "&amp;B34&amp;": "&amp;H34&amp;" (+"&amp;CurSym&amp;" "&amp;FIXED(IF(J34="",0,J34),0)&amp;")")</f>
        <v/>
      </c>
    </row>
    <row r="35" ht="24" customHeight="1">
      <c r="B35" s="74" t="n"/>
      <c r="C35" s="109" t="n"/>
      <c r="D35" s="72" t="n"/>
      <c r="E35" s="72" t="n"/>
      <c r="F35" s="72" t="n"/>
      <c r="G35" s="72" t="n"/>
      <c r="H35" s="113" t="n"/>
      <c r="I35" s="72" t="n"/>
      <c r="J35" s="73" t="n"/>
      <c r="K35" s="89" t="n"/>
      <c r="L35" s="74" t="n"/>
      <c r="M35" s="109" t="n"/>
      <c r="N35" s="68">
        <f>IF(AND(H35="",J35=""),"",ForecastTotal+IF(L35="Approved",0,IF(J35="",0,J35)))</f>
        <v/>
      </c>
      <c r="O35" s="75">
        <f>IF(N35="","",ContAmt-MAX(0,N35-WorkBudget))</f>
        <v/>
      </c>
      <c r="P35" s="120">
        <f>IF(OR(N35="",ForecastEnd=""),"",ForecastEnd+IF(L35="Approved",0,IF(K35="",0,K35)))</f>
        <v/>
      </c>
      <c r="Q35" s="121">
        <f>IF(OR(N35="",WorkBudget=0),"",N35/WorkBudget-1)</f>
        <v/>
      </c>
      <c r="R35" s="79">
        <f>IF(N35="","",IF(N35&lt;=WorkBudget,0,IF(N35&lt;=TotalBudget,1,2)))</f>
        <v/>
      </c>
      <c r="S35" s="112">
        <f>IF(AND(OR(H35&lt;&gt;"",J35&lt;&gt;""),OR(L35="Pending",L35=""),C35&lt;&gt;""),C35+3,"")</f>
        <v/>
      </c>
      <c r="T35" s="79">
        <f>IF(S35="","",IF(AsOf&gt;S35,1,2))</f>
        <v/>
      </c>
      <c r="U35" s="79">
        <f>IF(T35="","","Decide on change order "&amp;B35&amp;": "&amp;H35&amp;" (+"&amp;CurSym&amp;" "&amp;FIXED(IF(J35="",0,J35),0)&amp;")")</f>
        <v/>
      </c>
    </row>
    <row r="36" ht="24" customHeight="1">
      <c r="B36" s="74" t="n"/>
      <c r="C36" s="109" t="n"/>
      <c r="D36" s="72" t="n"/>
      <c r="E36" s="72" t="n"/>
      <c r="F36" s="72" t="n"/>
      <c r="G36" s="72" t="n"/>
      <c r="H36" s="113" t="n"/>
      <c r="I36" s="72" t="n"/>
      <c r="J36" s="73" t="n"/>
      <c r="K36" s="89" t="n"/>
      <c r="L36" s="74" t="n"/>
      <c r="M36" s="109" t="n"/>
      <c r="N36" s="68">
        <f>IF(AND(H36="",J36=""),"",ForecastTotal+IF(L36="Approved",0,IF(J36="",0,J36)))</f>
        <v/>
      </c>
      <c r="O36" s="75">
        <f>IF(N36="","",ContAmt-MAX(0,N36-WorkBudget))</f>
        <v/>
      </c>
      <c r="P36" s="120">
        <f>IF(OR(N36="",ForecastEnd=""),"",ForecastEnd+IF(L36="Approved",0,IF(K36="",0,K36)))</f>
        <v/>
      </c>
      <c r="Q36" s="121">
        <f>IF(OR(N36="",WorkBudget=0),"",N36/WorkBudget-1)</f>
        <v/>
      </c>
      <c r="R36" s="79">
        <f>IF(N36="","",IF(N36&lt;=WorkBudget,0,IF(N36&lt;=TotalBudget,1,2)))</f>
        <v/>
      </c>
      <c r="S36" s="112">
        <f>IF(AND(OR(H36&lt;&gt;"",J36&lt;&gt;""),OR(L36="Pending",L36=""),C36&lt;&gt;""),C36+3,"")</f>
        <v/>
      </c>
      <c r="T36" s="79">
        <f>IF(S36="","",IF(AsOf&gt;S36,1,2))</f>
        <v/>
      </c>
      <c r="U36" s="79">
        <f>IF(T36="","","Decide on change order "&amp;B36&amp;": "&amp;H36&amp;" (+"&amp;CurSym&amp;" "&amp;FIXED(IF(J36="",0,J36),0)&amp;")")</f>
        <v/>
      </c>
    </row>
    <row r="37" ht="24" customHeight="1">
      <c r="B37" s="74" t="n"/>
      <c r="C37" s="109" t="n"/>
      <c r="D37" s="72" t="n"/>
      <c r="E37" s="72" t="n"/>
      <c r="F37" s="72" t="n"/>
      <c r="G37" s="72" t="n"/>
      <c r="H37" s="113" t="n"/>
      <c r="I37" s="72" t="n"/>
      <c r="J37" s="73" t="n"/>
      <c r="K37" s="89" t="n"/>
      <c r="L37" s="74" t="n"/>
      <c r="M37" s="109" t="n"/>
      <c r="N37" s="68">
        <f>IF(AND(H37="",J37=""),"",ForecastTotal+IF(L37="Approved",0,IF(J37="",0,J37)))</f>
        <v/>
      </c>
      <c r="O37" s="75">
        <f>IF(N37="","",ContAmt-MAX(0,N37-WorkBudget))</f>
        <v/>
      </c>
      <c r="P37" s="120">
        <f>IF(OR(N37="",ForecastEnd=""),"",ForecastEnd+IF(L37="Approved",0,IF(K37="",0,K37)))</f>
        <v/>
      </c>
      <c r="Q37" s="121">
        <f>IF(OR(N37="",WorkBudget=0),"",N37/WorkBudget-1)</f>
        <v/>
      </c>
      <c r="R37" s="79">
        <f>IF(N37="","",IF(N37&lt;=WorkBudget,0,IF(N37&lt;=TotalBudget,1,2)))</f>
        <v/>
      </c>
      <c r="S37" s="112">
        <f>IF(AND(OR(H37&lt;&gt;"",J37&lt;&gt;""),OR(L37="Pending",L37=""),C37&lt;&gt;""),C37+3,"")</f>
        <v/>
      </c>
      <c r="T37" s="79">
        <f>IF(S37="","",IF(AsOf&gt;S37,1,2))</f>
        <v/>
      </c>
      <c r="U37" s="79">
        <f>IF(T37="","","Decide on change order "&amp;B37&amp;": "&amp;H37&amp;" (+"&amp;CurSym&amp;" "&amp;FIXED(IF(J37="",0,J37),0)&amp;")")</f>
        <v/>
      </c>
    </row>
    <row r="38" ht="24" customHeight="1">
      <c r="B38" s="74" t="n"/>
      <c r="C38" s="109" t="n"/>
      <c r="D38" s="72" t="n"/>
      <c r="E38" s="72" t="n"/>
      <c r="F38" s="72" t="n"/>
      <c r="G38" s="72" t="n"/>
      <c r="H38" s="113" t="n"/>
      <c r="I38" s="72" t="n"/>
      <c r="J38" s="73" t="n"/>
      <c r="K38" s="89" t="n"/>
      <c r="L38" s="74" t="n"/>
      <c r="M38" s="109" t="n"/>
      <c r="N38" s="68">
        <f>IF(AND(H38="",J38=""),"",ForecastTotal+IF(L38="Approved",0,IF(J38="",0,J38)))</f>
        <v/>
      </c>
      <c r="O38" s="75">
        <f>IF(N38="","",ContAmt-MAX(0,N38-WorkBudget))</f>
        <v/>
      </c>
      <c r="P38" s="120">
        <f>IF(OR(N38="",ForecastEnd=""),"",ForecastEnd+IF(L38="Approved",0,IF(K38="",0,K38)))</f>
        <v/>
      </c>
      <c r="Q38" s="121">
        <f>IF(OR(N38="",WorkBudget=0),"",N38/WorkBudget-1)</f>
        <v/>
      </c>
      <c r="R38" s="79">
        <f>IF(N38="","",IF(N38&lt;=WorkBudget,0,IF(N38&lt;=TotalBudget,1,2)))</f>
        <v/>
      </c>
      <c r="S38" s="112">
        <f>IF(AND(OR(H38&lt;&gt;"",J38&lt;&gt;""),OR(L38="Pending",L38=""),C38&lt;&gt;""),C38+3,"")</f>
        <v/>
      </c>
      <c r="T38" s="79">
        <f>IF(S38="","",IF(AsOf&gt;S38,1,2))</f>
        <v/>
      </c>
      <c r="U38" s="79">
        <f>IF(T38="","","Decide on change order "&amp;B38&amp;": "&amp;H38&amp;" (+"&amp;CurSym&amp;" "&amp;FIXED(IF(J38="",0,J38),0)&amp;")")</f>
        <v/>
      </c>
    </row>
    <row r="39" ht="24" customHeight="1">
      <c r="B39" s="74" t="n"/>
      <c r="C39" s="109" t="n"/>
      <c r="D39" s="72" t="n"/>
      <c r="E39" s="72" t="n"/>
      <c r="F39" s="72" t="n"/>
      <c r="G39" s="72" t="n"/>
      <c r="H39" s="113" t="n"/>
      <c r="I39" s="72" t="n"/>
      <c r="J39" s="73" t="n"/>
      <c r="K39" s="89" t="n"/>
      <c r="L39" s="74" t="n"/>
      <c r="M39" s="109" t="n"/>
      <c r="N39" s="68">
        <f>IF(AND(H39="",J39=""),"",ForecastTotal+IF(L39="Approved",0,IF(J39="",0,J39)))</f>
        <v/>
      </c>
      <c r="O39" s="75">
        <f>IF(N39="","",ContAmt-MAX(0,N39-WorkBudget))</f>
        <v/>
      </c>
      <c r="P39" s="120">
        <f>IF(OR(N39="",ForecastEnd=""),"",ForecastEnd+IF(L39="Approved",0,IF(K39="",0,K39)))</f>
        <v/>
      </c>
      <c r="Q39" s="121">
        <f>IF(OR(N39="",WorkBudget=0),"",N39/WorkBudget-1)</f>
        <v/>
      </c>
      <c r="R39" s="79">
        <f>IF(N39="","",IF(N39&lt;=WorkBudget,0,IF(N39&lt;=TotalBudget,1,2)))</f>
        <v/>
      </c>
      <c r="S39" s="112">
        <f>IF(AND(OR(H39&lt;&gt;"",J39&lt;&gt;""),OR(L39="Pending",L39=""),C39&lt;&gt;""),C39+3,"")</f>
        <v/>
      </c>
      <c r="T39" s="79">
        <f>IF(S39="","",IF(AsOf&gt;S39,1,2))</f>
        <v/>
      </c>
      <c r="U39" s="79">
        <f>IF(T39="","","Decide on change order "&amp;B39&amp;": "&amp;H39&amp;" (+"&amp;CurSym&amp;" "&amp;FIXED(IF(J39="",0,J39),0)&amp;")")</f>
        <v/>
      </c>
    </row>
    <row r="40" ht="24" customHeight="1">
      <c r="B40" s="74" t="n"/>
      <c r="C40" s="109" t="n"/>
      <c r="D40" s="72" t="n"/>
      <c r="E40" s="72" t="n"/>
      <c r="F40" s="72" t="n"/>
      <c r="G40" s="72" t="n"/>
      <c r="H40" s="113" t="n"/>
      <c r="I40" s="72" t="n"/>
      <c r="J40" s="73" t="n"/>
      <c r="K40" s="89" t="n"/>
      <c r="L40" s="74" t="n"/>
      <c r="M40" s="109" t="n"/>
      <c r="N40" s="68">
        <f>IF(AND(H40="",J40=""),"",ForecastTotal+IF(L40="Approved",0,IF(J40="",0,J40)))</f>
        <v/>
      </c>
      <c r="O40" s="75">
        <f>IF(N40="","",ContAmt-MAX(0,N40-WorkBudget))</f>
        <v/>
      </c>
      <c r="P40" s="120">
        <f>IF(OR(N40="",ForecastEnd=""),"",ForecastEnd+IF(L40="Approved",0,IF(K40="",0,K40)))</f>
        <v/>
      </c>
      <c r="Q40" s="121">
        <f>IF(OR(N40="",WorkBudget=0),"",N40/WorkBudget-1)</f>
        <v/>
      </c>
      <c r="R40" s="79">
        <f>IF(N40="","",IF(N40&lt;=WorkBudget,0,IF(N40&lt;=TotalBudget,1,2)))</f>
        <v/>
      </c>
      <c r="S40" s="112">
        <f>IF(AND(OR(H40&lt;&gt;"",J40&lt;&gt;""),OR(L40="Pending",L40=""),C40&lt;&gt;""),C40+3,"")</f>
        <v/>
      </c>
      <c r="T40" s="79">
        <f>IF(S40="","",IF(AsOf&gt;S40,1,2))</f>
        <v/>
      </c>
      <c r="U40" s="79">
        <f>IF(T40="","","Decide on change order "&amp;B40&amp;": "&amp;H40&amp;" (+"&amp;CurSym&amp;" "&amp;FIXED(IF(J40="",0,J40),0)&amp;")")</f>
        <v/>
      </c>
    </row>
    <row r="41" ht="24" customHeight="1">
      <c r="B41" s="74" t="n"/>
      <c r="C41" s="109" t="n"/>
      <c r="D41" s="72" t="n"/>
      <c r="E41" s="72" t="n"/>
      <c r="F41" s="72" t="n"/>
      <c r="G41" s="72" t="n"/>
      <c r="H41" s="113" t="n"/>
      <c r="I41" s="72" t="n"/>
      <c r="J41" s="73" t="n"/>
      <c r="K41" s="89" t="n"/>
      <c r="L41" s="74" t="n"/>
      <c r="M41" s="109" t="n"/>
      <c r="N41" s="68">
        <f>IF(AND(H41="",J41=""),"",ForecastTotal+IF(L41="Approved",0,IF(J41="",0,J41)))</f>
        <v/>
      </c>
      <c r="O41" s="75">
        <f>IF(N41="","",ContAmt-MAX(0,N41-WorkBudget))</f>
        <v/>
      </c>
      <c r="P41" s="120">
        <f>IF(OR(N41="",ForecastEnd=""),"",ForecastEnd+IF(L41="Approved",0,IF(K41="",0,K41)))</f>
        <v/>
      </c>
      <c r="Q41" s="121">
        <f>IF(OR(N41="",WorkBudget=0),"",N41/WorkBudget-1)</f>
        <v/>
      </c>
      <c r="R41" s="79">
        <f>IF(N41="","",IF(N41&lt;=WorkBudget,0,IF(N41&lt;=TotalBudget,1,2)))</f>
        <v/>
      </c>
      <c r="S41" s="112">
        <f>IF(AND(OR(H41&lt;&gt;"",J41&lt;&gt;""),OR(L41="Pending",L41=""),C41&lt;&gt;""),C41+3,"")</f>
        <v/>
      </c>
      <c r="T41" s="79">
        <f>IF(S41="","",IF(AsOf&gt;S41,1,2))</f>
        <v/>
      </c>
      <c r="U41" s="79">
        <f>IF(T41="","","Decide on change order "&amp;B41&amp;": "&amp;H41&amp;" (+"&amp;CurSym&amp;" "&amp;FIXED(IF(J41="",0,J41),0)&amp;")")</f>
        <v/>
      </c>
    </row>
    <row r="42" ht="24" customHeight="1">
      <c r="B42" s="74" t="n"/>
      <c r="C42" s="109" t="n"/>
      <c r="D42" s="72" t="n"/>
      <c r="E42" s="72" t="n"/>
      <c r="F42" s="72" t="n"/>
      <c r="G42" s="72" t="n"/>
      <c r="H42" s="113" t="n"/>
      <c r="I42" s="72" t="n"/>
      <c r="J42" s="73" t="n"/>
      <c r="K42" s="89" t="n"/>
      <c r="L42" s="74" t="n"/>
      <c r="M42" s="109" t="n"/>
      <c r="N42" s="68">
        <f>IF(AND(H42="",J42=""),"",ForecastTotal+IF(L42="Approved",0,IF(J42="",0,J42)))</f>
        <v/>
      </c>
      <c r="O42" s="75">
        <f>IF(N42="","",ContAmt-MAX(0,N42-WorkBudget))</f>
        <v/>
      </c>
      <c r="P42" s="120">
        <f>IF(OR(N42="",ForecastEnd=""),"",ForecastEnd+IF(L42="Approved",0,IF(K42="",0,K42)))</f>
        <v/>
      </c>
      <c r="Q42" s="121">
        <f>IF(OR(N42="",WorkBudget=0),"",N42/WorkBudget-1)</f>
        <v/>
      </c>
      <c r="R42" s="79">
        <f>IF(N42="","",IF(N42&lt;=WorkBudget,0,IF(N42&lt;=TotalBudget,1,2)))</f>
        <v/>
      </c>
      <c r="S42" s="112">
        <f>IF(AND(OR(H42&lt;&gt;"",J42&lt;&gt;""),OR(L42="Pending",L42=""),C42&lt;&gt;""),C42+3,"")</f>
        <v/>
      </c>
      <c r="T42" s="79">
        <f>IF(S42="","",IF(AsOf&gt;S42,1,2))</f>
        <v/>
      </c>
      <c r="U42" s="79">
        <f>IF(T42="","","Decide on change order "&amp;B42&amp;": "&amp;H42&amp;" (+"&amp;CurSym&amp;" "&amp;FIXED(IF(J42="",0,J42),0)&amp;")")</f>
        <v/>
      </c>
    </row>
    <row r="43" ht="24" customHeight="1">
      <c r="B43" s="74" t="n"/>
      <c r="C43" s="109" t="n"/>
      <c r="D43" s="72" t="n"/>
      <c r="E43" s="72" t="n"/>
      <c r="F43" s="72" t="n"/>
      <c r="G43" s="72" t="n"/>
      <c r="H43" s="113" t="n"/>
      <c r="I43" s="72" t="n"/>
      <c r="J43" s="73" t="n"/>
      <c r="K43" s="89" t="n"/>
      <c r="L43" s="74" t="n"/>
      <c r="M43" s="109" t="n"/>
      <c r="N43" s="68">
        <f>IF(AND(H43="",J43=""),"",ForecastTotal+IF(L43="Approved",0,IF(J43="",0,J43)))</f>
        <v/>
      </c>
      <c r="O43" s="75">
        <f>IF(N43="","",ContAmt-MAX(0,N43-WorkBudget))</f>
        <v/>
      </c>
      <c r="P43" s="120">
        <f>IF(OR(N43="",ForecastEnd=""),"",ForecastEnd+IF(L43="Approved",0,IF(K43="",0,K43)))</f>
        <v/>
      </c>
      <c r="Q43" s="121">
        <f>IF(OR(N43="",WorkBudget=0),"",N43/WorkBudget-1)</f>
        <v/>
      </c>
      <c r="R43" s="79">
        <f>IF(N43="","",IF(N43&lt;=WorkBudget,0,IF(N43&lt;=TotalBudget,1,2)))</f>
        <v/>
      </c>
      <c r="S43" s="112">
        <f>IF(AND(OR(H43&lt;&gt;"",J43&lt;&gt;""),OR(L43="Pending",L43=""),C43&lt;&gt;""),C43+3,"")</f>
        <v/>
      </c>
      <c r="T43" s="79">
        <f>IF(S43="","",IF(AsOf&gt;S43,1,2))</f>
        <v/>
      </c>
      <c r="U43" s="79">
        <f>IF(T43="","","Decide on change order "&amp;B43&amp;": "&amp;H43&amp;" (+"&amp;CurSym&amp;" "&amp;FIXED(IF(J43="",0,J43),0)&amp;")")</f>
        <v/>
      </c>
    </row>
    <row r="44" ht="24" customHeight="1">
      <c r="B44" s="74" t="n"/>
      <c r="C44" s="109" t="n"/>
      <c r="D44" s="72" t="n"/>
      <c r="E44" s="72" t="n"/>
      <c r="F44" s="72" t="n"/>
      <c r="G44" s="72" t="n"/>
      <c r="H44" s="113" t="n"/>
      <c r="I44" s="72" t="n"/>
      <c r="J44" s="73" t="n"/>
      <c r="K44" s="89" t="n"/>
      <c r="L44" s="74" t="n"/>
      <c r="M44" s="109" t="n"/>
      <c r="N44" s="68">
        <f>IF(AND(H44="",J44=""),"",ForecastTotal+IF(L44="Approved",0,IF(J44="",0,J44)))</f>
        <v/>
      </c>
      <c r="O44" s="75">
        <f>IF(N44="","",ContAmt-MAX(0,N44-WorkBudget))</f>
        <v/>
      </c>
      <c r="P44" s="120">
        <f>IF(OR(N44="",ForecastEnd=""),"",ForecastEnd+IF(L44="Approved",0,IF(K44="",0,K44)))</f>
        <v/>
      </c>
      <c r="Q44" s="121">
        <f>IF(OR(N44="",WorkBudget=0),"",N44/WorkBudget-1)</f>
        <v/>
      </c>
      <c r="R44" s="79">
        <f>IF(N44="","",IF(N44&lt;=WorkBudget,0,IF(N44&lt;=TotalBudget,1,2)))</f>
        <v/>
      </c>
      <c r="S44" s="112">
        <f>IF(AND(OR(H44&lt;&gt;"",J44&lt;&gt;""),OR(L44="Pending",L44=""),C44&lt;&gt;""),C44+3,"")</f>
        <v/>
      </c>
      <c r="T44" s="79">
        <f>IF(S44="","",IF(AsOf&gt;S44,1,2))</f>
        <v/>
      </c>
      <c r="U44" s="79">
        <f>IF(T44="","","Decide on change order "&amp;B44&amp;": "&amp;H44&amp;" (+"&amp;CurSym&amp;" "&amp;FIXED(IF(J44="",0,J44),0)&amp;")")</f>
        <v/>
      </c>
    </row>
    <row r="45" ht="24" customHeight="1">
      <c r="B45" s="74" t="n"/>
      <c r="C45" s="109" t="n"/>
      <c r="D45" s="72" t="n"/>
      <c r="E45" s="72" t="n"/>
      <c r="F45" s="72" t="n"/>
      <c r="G45" s="72" t="n"/>
      <c r="H45" s="113" t="n"/>
      <c r="I45" s="72" t="n"/>
      <c r="J45" s="73" t="n"/>
      <c r="K45" s="89" t="n"/>
      <c r="L45" s="74" t="n"/>
      <c r="M45" s="109" t="n"/>
      <c r="N45" s="68">
        <f>IF(AND(H45="",J45=""),"",ForecastTotal+IF(L45="Approved",0,IF(J45="",0,J45)))</f>
        <v/>
      </c>
      <c r="O45" s="75">
        <f>IF(N45="","",ContAmt-MAX(0,N45-WorkBudget))</f>
        <v/>
      </c>
      <c r="P45" s="120">
        <f>IF(OR(N45="",ForecastEnd=""),"",ForecastEnd+IF(L45="Approved",0,IF(K45="",0,K45)))</f>
        <v/>
      </c>
      <c r="Q45" s="121">
        <f>IF(OR(N45="",WorkBudget=0),"",N45/WorkBudget-1)</f>
        <v/>
      </c>
      <c r="R45" s="79">
        <f>IF(N45="","",IF(N45&lt;=WorkBudget,0,IF(N45&lt;=TotalBudget,1,2)))</f>
        <v/>
      </c>
      <c r="S45" s="112">
        <f>IF(AND(OR(H45&lt;&gt;"",J45&lt;&gt;""),OR(L45="Pending",L45=""),C45&lt;&gt;""),C45+3,"")</f>
        <v/>
      </c>
      <c r="T45" s="79">
        <f>IF(S45="","",IF(AsOf&gt;S45,1,2))</f>
        <v/>
      </c>
      <c r="U45" s="79">
        <f>IF(T45="","","Decide on change order "&amp;B45&amp;": "&amp;H45&amp;" (+"&amp;CurSym&amp;" "&amp;FIXED(IF(J45="",0,J45),0)&amp;")")</f>
        <v/>
      </c>
    </row>
    <row r="46" ht="24" customHeight="1">
      <c r="B46" s="74" t="n"/>
      <c r="C46" s="109" t="n"/>
      <c r="D46" s="72" t="n"/>
      <c r="E46" s="72" t="n"/>
      <c r="F46" s="72" t="n"/>
      <c r="G46" s="72" t="n"/>
      <c r="H46" s="113" t="n"/>
      <c r="I46" s="72" t="n"/>
      <c r="J46" s="73" t="n"/>
      <c r="K46" s="89" t="n"/>
      <c r="L46" s="74" t="n"/>
      <c r="M46" s="109" t="n"/>
      <c r="N46" s="68">
        <f>IF(AND(H46="",J46=""),"",ForecastTotal+IF(L46="Approved",0,IF(J46="",0,J46)))</f>
        <v/>
      </c>
      <c r="O46" s="75">
        <f>IF(N46="","",ContAmt-MAX(0,N46-WorkBudget))</f>
        <v/>
      </c>
      <c r="P46" s="120">
        <f>IF(OR(N46="",ForecastEnd=""),"",ForecastEnd+IF(L46="Approved",0,IF(K46="",0,K46)))</f>
        <v/>
      </c>
      <c r="Q46" s="121">
        <f>IF(OR(N46="",WorkBudget=0),"",N46/WorkBudget-1)</f>
        <v/>
      </c>
      <c r="R46" s="79">
        <f>IF(N46="","",IF(N46&lt;=WorkBudget,0,IF(N46&lt;=TotalBudget,1,2)))</f>
        <v/>
      </c>
      <c r="S46" s="112">
        <f>IF(AND(OR(H46&lt;&gt;"",J46&lt;&gt;""),OR(L46="Pending",L46=""),C46&lt;&gt;""),C46+3,"")</f>
        <v/>
      </c>
      <c r="T46" s="79">
        <f>IF(S46="","",IF(AsOf&gt;S46,1,2))</f>
        <v/>
      </c>
      <c r="U46" s="79">
        <f>IF(T46="","","Decide on change order "&amp;B46&amp;": "&amp;H46&amp;" (+"&amp;CurSym&amp;" "&amp;FIXED(IF(J46="",0,J46),0)&amp;")")</f>
        <v/>
      </c>
    </row>
    <row r="47" ht="24" customHeight="1">
      <c r="B47" s="74" t="n"/>
      <c r="C47" s="109" t="n"/>
      <c r="D47" s="72" t="n"/>
      <c r="E47" s="72" t="n"/>
      <c r="F47" s="72" t="n"/>
      <c r="G47" s="72" t="n"/>
      <c r="H47" s="113" t="n"/>
      <c r="I47" s="72" t="n"/>
      <c r="J47" s="73" t="n"/>
      <c r="K47" s="89" t="n"/>
      <c r="L47" s="74" t="n"/>
      <c r="M47" s="109" t="n"/>
      <c r="N47" s="68">
        <f>IF(AND(H47="",J47=""),"",ForecastTotal+IF(L47="Approved",0,IF(J47="",0,J47)))</f>
        <v/>
      </c>
      <c r="O47" s="75">
        <f>IF(N47="","",ContAmt-MAX(0,N47-WorkBudget))</f>
        <v/>
      </c>
      <c r="P47" s="120">
        <f>IF(OR(N47="",ForecastEnd=""),"",ForecastEnd+IF(L47="Approved",0,IF(K47="",0,K47)))</f>
        <v/>
      </c>
      <c r="Q47" s="121">
        <f>IF(OR(N47="",WorkBudget=0),"",N47/WorkBudget-1)</f>
        <v/>
      </c>
      <c r="R47" s="79">
        <f>IF(N47="","",IF(N47&lt;=WorkBudget,0,IF(N47&lt;=TotalBudget,1,2)))</f>
        <v/>
      </c>
      <c r="S47" s="112">
        <f>IF(AND(OR(H47&lt;&gt;"",J47&lt;&gt;""),OR(L47="Pending",L47=""),C47&lt;&gt;""),C47+3,"")</f>
        <v/>
      </c>
      <c r="T47" s="79">
        <f>IF(S47="","",IF(AsOf&gt;S47,1,2))</f>
        <v/>
      </c>
      <c r="U47" s="79">
        <f>IF(T47="","","Decide on change order "&amp;B47&amp;": "&amp;H47&amp;" (+"&amp;CurSym&amp;" "&amp;FIXED(IF(J47="",0,J47),0)&amp;")")</f>
        <v/>
      </c>
    </row>
    <row r="48" ht="24" customHeight="1">
      <c r="B48" s="74" t="n"/>
      <c r="C48" s="109" t="n"/>
      <c r="D48" s="72" t="n"/>
      <c r="E48" s="72" t="n"/>
      <c r="F48" s="72" t="n"/>
      <c r="G48" s="72" t="n"/>
      <c r="H48" s="113" t="n"/>
      <c r="I48" s="72" t="n"/>
      <c r="J48" s="73" t="n"/>
      <c r="K48" s="89" t="n"/>
      <c r="L48" s="74" t="n"/>
      <c r="M48" s="109" t="n"/>
      <c r="N48" s="68">
        <f>IF(AND(H48="",J48=""),"",ForecastTotal+IF(L48="Approved",0,IF(J48="",0,J48)))</f>
        <v/>
      </c>
      <c r="O48" s="75">
        <f>IF(N48="","",ContAmt-MAX(0,N48-WorkBudget))</f>
        <v/>
      </c>
      <c r="P48" s="120">
        <f>IF(OR(N48="",ForecastEnd=""),"",ForecastEnd+IF(L48="Approved",0,IF(K48="",0,K48)))</f>
        <v/>
      </c>
      <c r="Q48" s="121">
        <f>IF(OR(N48="",WorkBudget=0),"",N48/WorkBudget-1)</f>
        <v/>
      </c>
      <c r="R48" s="79">
        <f>IF(N48="","",IF(N48&lt;=WorkBudget,0,IF(N48&lt;=TotalBudget,1,2)))</f>
        <v/>
      </c>
      <c r="S48" s="112">
        <f>IF(AND(OR(H48&lt;&gt;"",J48&lt;&gt;""),OR(L48="Pending",L48=""),C48&lt;&gt;""),C48+3,"")</f>
        <v/>
      </c>
      <c r="T48" s="79">
        <f>IF(S48="","",IF(AsOf&gt;S48,1,2))</f>
        <v/>
      </c>
      <c r="U48" s="79">
        <f>IF(T48="","","Decide on change order "&amp;B48&amp;": "&amp;H48&amp;" (+"&amp;CurSym&amp;" "&amp;FIXED(IF(J48="",0,J48),0)&amp;")")</f>
        <v/>
      </c>
    </row>
    <row r="49" ht="24" customHeight="1">
      <c r="B49" s="74" t="n"/>
      <c r="C49" s="109" t="n"/>
      <c r="D49" s="72" t="n"/>
      <c r="E49" s="72" t="n"/>
      <c r="F49" s="72" t="n"/>
      <c r="G49" s="72" t="n"/>
      <c r="H49" s="113" t="n"/>
      <c r="I49" s="72" t="n"/>
      <c r="J49" s="73" t="n"/>
      <c r="K49" s="89" t="n"/>
      <c r="L49" s="74" t="n"/>
      <c r="M49" s="109" t="n"/>
      <c r="N49" s="68">
        <f>IF(AND(H49="",J49=""),"",ForecastTotal+IF(L49="Approved",0,IF(J49="",0,J49)))</f>
        <v/>
      </c>
      <c r="O49" s="75">
        <f>IF(N49="","",ContAmt-MAX(0,N49-WorkBudget))</f>
        <v/>
      </c>
      <c r="P49" s="120">
        <f>IF(OR(N49="",ForecastEnd=""),"",ForecastEnd+IF(L49="Approved",0,IF(K49="",0,K49)))</f>
        <v/>
      </c>
      <c r="Q49" s="121">
        <f>IF(OR(N49="",WorkBudget=0),"",N49/WorkBudget-1)</f>
        <v/>
      </c>
      <c r="R49" s="79">
        <f>IF(N49="","",IF(N49&lt;=WorkBudget,0,IF(N49&lt;=TotalBudget,1,2)))</f>
        <v/>
      </c>
      <c r="S49" s="112">
        <f>IF(AND(OR(H49&lt;&gt;"",J49&lt;&gt;""),OR(L49="Pending",L49=""),C49&lt;&gt;""),C49+3,"")</f>
        <v/>
      </c>
      <c r="T49" s="79">
        <f>IF(S49="","",IF(AsOf&gt;S49,1,2))</f>
        <v/>
      </c>
      <c r="U49" s="79">
        <f>IF(T49="","","Decide on change order "&amp;B49&amp;": "&amp;H49&amp;" (+"&amp;CurSym&amp;" "&amp;FIXED(IF(J49="",0,J49),0)&amp;")")</f>
        <v/>
      </c>
    </row>
    <row r="50" ht="24" customHeight="1">
      <c r="B50" s="74" t="n"/>
      <c r="C50" s="109" t="n"/>
      <c r="D50" s="72" t="n"/>
      <c r="E50" s="72" t="n"/>
      <c r="F50" s="72" t="n"/>
      <c r="G50" s="72" t="n"/>
      <c r="H50" s="113" t="n"/>
      <c r="I50" s="72" t="n"/>
      <c r="J50" s="73" t="n"/>
      <c r="K50" s="89" t="n"/>
      <c r="L50" s="74" t="n"/>
      <c r="M50" s="109" t="n"/>
      <c r="N50" s="68">
        <f>IF(AND(H50="",J50=""),"",ForecastTotal+IF(L50="Approved",0,IF(J50="",0,J50)))</f>
        <v/>
      </c>
      <c r="O50" s="75">
        <f>IF(N50="","",ContAmt-MAX(0,N50-WorkBudget))</f>
        <v/>
      </c>
      <c r="P50" s="120">
        <f>IF(OR(N50="",ForecastEnd=""),"",ForecastEnd+IF(L50="Approved",0,IF(K50="",0,K50)))</f>
        <v/>
      </c>
      <c r="Q50" s="121">
        <f>IF(OR(N50="",WorkBudget=0),"",N50/WorkBudget-1)</f>
        <v/>
      </c>
      <c r="R50" s="79">
        <f>IF(N50="","",IF(N50&lt;=WorkBudget,0,IF(N50&lt;=TotalBudget,1,2)))</f>
        <v/>
      </c>
      <c r="S50" s="112">
        <f>IF(AND(OR(H50&lt;&gt;"",J50&lt;&gt;""),OR(L50="Pending",L50=""),C50&lt;&gt;""),C50+3,"")</f>
        <v/>
      </c>
      <c r="T50" s="79">
        <f>IF(S50="","",IF(AsOf&gt;S50,1,2))</f>
        <v/>
      </c>
      <c r="U50" s="79">
        <f>IF(T50="","","Decide on change order "&amp;B50&amp;": "&amp;H50&amp;" (+"&amp;CurSym&amp;" "&amp;FIXED(IF(J50="",0,J50),0)&amp;")")</f>
        <v/>
      </c>
    </row>
    <row r="51" ht="24" customHeight="1">
      <c r="B51" s="74" t="n"/>
      <c r="C51" s="109" t="n"/>
      <c r="D51" s="72" t="n"/>
      <c r="E51" s="72" t="n"/>
      <c r="F51" s="72" t="n"/>
      <c r="G51" s="72" t="n"/>
      <c r="H51" s="113" t="n"/>
      <c r="I51" s="72" t="n"/>
      <c r="J51" s="73" t="n"/>
      <c r="K51" s="89" t="n"/>
      <c r="L51" s="74" t="n"/>
      <c r="M51" s="109" t="n"/>
      <c r="N51" s="68">
        <f>IF(AND(H51="",J51=""),"",ForecastTotal+IF(L51="Approved",0,IF(J51="",0,J51)))</f>
        <v/>
      </c>
      <c r="O51" s="75">
        <f>IF(N51="","",ContAmt-MAX(0,N51-WorkBudget))</f>
        <v/>
      </c>
      <c r="P51" s="120">
        <f>IF(OR(N51="",ForecastEnd=""),"",ForecastEnd+IF(L51="Approved",0,IF(K51="",0,K51)))</f>
        <v/>
      </c>
      <c r="Q51" s="121">
        <f>IF(OR(N51="",WorkBudget=0),"",N51/WorkBudget-1)</f>
        <v/>
      </c>
      <c r="R51" s="79">
        <f>IF(N51="","",IF(N51&lt;=WorkBudget,0,IF(N51&lt;=TotalBudget,1,2)))</f>
        <v/>
      </c>
      <c r="S51" s="112">
        <f>IF(AND(OR(H51&lt;&gt;"",J51&lt;&gt;""),OR(L51="Pending",L51=""),C51&lt;&gt;""),C51+3,"")</f>
        <v/>
      </c>
      <c r="T51" s="79">
        <f>IF(S51="","",IF(AsOf&gt;S51,1,2))</f>
        <v/>
      </c>
      <c r="U51" s="79">
        <f>IF(T51="","","Decide on change order "&amp;B51&amp;": "&amp;H51&amp;" (+"&amp;CurSym&amp;" "&amp;FIXED(IF(J51="",0,J51),0)&amp;")")</f>
        <v/>
      </c>
    </row>
    <row r="52" ht="24" customHeight="1">
      <c r="B52" s="74" t="n"/>
      <c r="C52" s="109" t="n"/>
      <c r="D52" s="72" t="n"/>
      <c r="E52" s="72" t="n"/>
      <c r="F52" s="72" t="n"/>
      <c r="G52" s="72" t="n"/>
      <c r="H52" s="113" t="n"/>
      <c r="I52" s="72" t="n"/>
      <c r="J52" s="73" t="n"/>
      <c r="K52" s="89" t="n"/>
      <c r="L52" s="74" t="n"/>
      <c r="M52" s="109" t="n"/>
      <c r="N52" s="68">
        <f>IF(AND(H52="",J52=""),"",ForecastTotal+IF(L52="Approved",0,IF(J52="",0,J52)))</f>
        <v/>
      </c>
      <c r="O52" s="75">
        <f>IF(N52="","",ContAmt-MAX(0,N52-WorkBudget))</f>
        <v/>
      </c>
      <c r="P52" s="120">
        <f>IF(OR(N52="",ForecastEnd=""),"",ForecastEnd+IF(L52="Approved",0,IF(K52="",0,K52)))</f>
        <v/>
      </c>
      <c r="Q52" s="121">
        <f>IF(OR(N52="",WorkBudget=0),"",N52/WorkBudget-1)</f>
        <v/>
      </c>
      <c r="R52" s="79">
        <f>IF(N52="","",IF(N52&lt;=WorkBudget,0,IF(N52&lt;=TotalBudget,1,2)))</f>
        <v/>
      </c>
      <c r="S52" s="112">
        <f>IF(AND(OR(H52&lt;&gt;"",J52&lt;&gt;""),OR(L52="Pending",L52=""),C52&lt;&gt;""),C52+3,"")</f>
        <v/>
      </c>
      <c r="T52" s="79">
        <f>IF(S52="","",IF(AsOf&gt;S52,1,2))</f>
        <v/>
      </c>
      <c r="U52" s="79">
        <f>IF(T52="","","Decide on change order "&amp;B52&amp;": "&amp;H52&amp;" (+"&amp;CurSym&amp;" "&amp;FIXED(IF(J52="",0,J52),0)&amp;")")</f>
        <v/>
      </c>
    </row>
    <row r="53" ht="24" customHeight="1">
      <c r="B53" s="74" t="n"/>
      <c r="C53" s="109" t="n"/>
      <c r="D53" s="72" t="n"/>
      <c r="E53" s="72" t="n"/>
      <c r="F53" s="72" t="n"/>
      <c r="G53" s="72" t="n"/>
      <c r="H53" s="113" t="n"/>
      <c r="I53" s="72" t="n"/>
      <c r="J53" s="73" t="n"/>
      <c r="K53" s="89" t="n"/>
      <c r="L53" s="74" t="n"/>
      <c r="M53" s="109" t="n"/>
      <c r="N53" s="68">
        <f>IF(AND(H53="",J53=""),"",ForecastTotal+IF(L53="Approved",0,IF(J53="",0,J53)))</f>
        <v/>
      </c>
      <c r="O53" s="75">
        <f>IF(N53="","",ContAmt-MAX(0,N53-WorkBudget))</f>
        <v/>
      </c>
      <c r="P53" s="120">
        <f>IF(OR(N53="",ForecastEnd=""),"",ForecastEnd+IF(L53="Approved",0,IF(K53="",0,K53)))</f>
        <v/>
      </c>
      <c r="Q53" s="121">
        <f>IF(OR(N53="",WorkBudget=0),"",N53/WorkBudget-1)</f>
        <v/>
      </c>
      <c r="R53" s="79">
        <f>IF(N53="","",IF(N53&lt;=WorkBudget,0,IF(N53&lt;=TotalBudget,1,2)))</f>
        <v/>
      </c>
      <c r="S53" s="112">
        <f>IF(AND(OR(H53&lt;&gt;"",J53&lt;&gt;""),OR(L53="Pending",L53=""),C53&lt;&gt;""),C53+3,"")</f>
        <v/>
      </c>
      <c r="T53" s="79">
        <f>IF(S53="","",IF(AsOf&gt;S53,1,2))</f>
        <v/>
      </c>
      <c r="U53" s="79">
        <f>IF(T53="","","Decide on change order "&amp;B53&amp;": "&amp;H53&amp;" (+"&amp;CurSym&amp;" "&amp;FIXED(IF(J53="",0,J53),0)&amp;")")</f>
        <v/>
      </c>
    </row>
    <row r="54" ht="24" customHeight="1">
      <c r="B54" s="74" t="n"/>
      <c r="C54" s="109" t="n"/>
      <c r="D54" s="72" t="n"/>
      <c r="E54" s="72" t="n"/>
      <c r="F54" s="72" t="n"/>
      <c r="G54" s="72" t="n"/>
      <c r="H54" s="113" t="n"/>
      <c r="I54" s="72" t="n"/>
      <c r="J54" s="73" t="n"/>
      <c r="K54" s="89" t="n"/>
      <c r="L54" s="74" t="n"/>
      <c r="M54" s="109" t="n"/>
      <c r="N54" s="68">
        <f>IF(AND(H54="",J54=""),"",ForecastTotal+IF(L54="Approved",0,IF(J54="",0,J54)))</f>
        <v/>
      </c>
      <c r="O54" s="75">
        <f>IF(N54="","",ContAmt-MAX(0,N54-WorkBudget))</f>
        <v/>
      </c>
      <c r="P54" s="120">
        <f>IF(OR(N54="",ForecastEnd=""),"",ForecastEnd+IF(L54="Approved",0,IF(K54="",0,K54)))</f>
        <v/>
      </c>
      <c r="Q54" s="121">
        <f>IF(OR(N54="",WorkBudget=0),"",N54/WorkBudget-1)</f>
        <v/>
      </c>
      <c r="R54" s="79">
        <f>IF(N54="","",IF(N54&lt;=WorkBudget,0,IF(N54&lt;=TotalBudget,1,2)))</f>
        <v/>
      </c>
      <c r="S54" s="112">
        <f>IF(AND(OR(H54&lt;&gt;"",J54&lt;&gt;""),OR(L54="Pending",L54=""),C54&lt;&gt;""),C54+3,"")</f>
        <v/>
      </c>
      <c r="T54" s="79">
        <f>IF(S54="","",IF(AsOf&gt;S54,1,2))</f>
        <v/>
      </c>
      <c r="U54" s="79">
        <f>IF(T54="","","Decide on change order "&amp;B54&amp;": "&amp;H54&amp;" (+"&amp;CurSym&amp;" "&amp;FIXED(IF(J54="",0,J54),0)&amp;")")</f>
        <v/>
      </c>
    </row>
    <row r="55" ht="24" customHeight="1">
      <c r="B55" s="74" t="n"/>
      <c r="C55" s="109" t="n"/>
      <c r="D55" s="72" t="n"/>
      <c r="E55" s="72" t="n"/>
      <c r="F55" s="72" t="n"/>
      <c r="G55" s="72" t="n"/>
      <c r="H55" s="113" t="n"/>
      <c r="I55" s="72" t="n"/>
      <c r="J55" s="73" t="n"/>
      <c r="K55" s="89" t="n"/>
      <c r="L55" s="74" t="n"/>
      <c r="M55" s="109" t="n"/>
      <c r="N55" s="68">
        <f>IF(AND(H55="",J55=""),"",ForecastTotal+IF(L55="Approved",0,IF(J55="",0,J55)))</f>
        <v/>
      </c>
      <c r="O55" s="75">
        <f>IF(N55="","",ContAmt-MAX(0,N55-WorkBudget))</f>
        <v/>
      </c>
      <c r="P55" s="120">
        <f>IF(OR(N55="",ForecastEnd=""),"",ForecastEnd+IF(L55="Approved",0,IF(K55="",0,K55)))</f>
        <v/>
      </c>
      <c r="Q55" s="121">
        <f>IF(OR(N55="",WorkBudget=0),"",N55/WorkBudget-1)</f>
        <v/>
      </c>
      <c r="R55" s="79">
        <f>IF(N55="","",IF(N55&lt;=WorkBudget,0,IF(N55&lt;=TotalBudget,1,2)))</f>
        <v/>
      </c>
      <c r="S55" s="112">
        <f>IF(AND(OR(H55&lt;&gt;"",J55&lt;&gt;""),OR(L55="Pending",L55=""),C55&lt;&gt;""),C55+3,"")</f>
        <v/>
      </c>
      <c r="T55" s="79">
        <f>IF(S55="","",IF(AsOf&gt;S55,1,2))</f>
        <v/>
      </c>
      <c r="U55" s="79">
        <f>IF(T55="","","Decide on change order "&amp;B55&amp;": "&amp;H55&amp;" (+"&amp;CurSym&amp;" "&amp;FIXED(IF(J55="",0,J55),0)&amp;")")</f>
        <v/>
      </c>
    </row>
    <row r="56" ht="24" customHeight="1">
      <c r="B56" s="74" t="n"/>
      <c r="C56" s="109" t="n"/>
      <c r="D56" s="72" t="n"/>
      <c r="E56" s="72" t="n"/>
      <c r="F56" s="72" t="n"/>
      <c r="G56" s="72" t="n"/>
      <c r="H56" s="113" t="n"/>
      <c r="I56" s="72" t="n"/>
      <c r="J56" s="73" t="n"/>
      <c r="K56" s="89" t="n"/>
      <c r="L56" s="74" t="n"/>
      <c r="M56" s="109" t="n"/>
      <c r="N56" s="68">
        <f>IF(AND(H56="",J56=""),"",ForecastTotal+IF(L56="Approved",0,IF(J56="",0,J56)))</f>
        <v/>
      </c>
      <c r="O56" s="75">
        <f>IF(N56="","",ContAmt-MAX(0,N56-WorkBudget))</f>
        <v/>
      </c>
      <c r="P56" s="120">
        <f>IF(OR(N56="",ForecastEnd=""),"",ForecastEnd+IF(L56="Approved",0,IF(K56="",0,K56)))</f>
        <v/>
      </c>
      <c r="Q56" s="121">
        <f>IF(OR(N56="",WorkBudget=0),"",N56/WorkBudget-1)</f>
        <v/>
      </c>
      <c r="R56" s="79">
        <f>IF(N56="","",IF(N56&lt;=WorkBudget,0,IF(N56&lt;=TotalBudget,1,2)))</f>
        <v/>
      </c>
      <c r="S56" s="112">
        <f>IF(AND(OR(H56&lt;&gt;"",J56&lt;&gt;""),OR(L56="Pending",L56=""),C56&lt;&gt;""),C56+3,"")</f>
        <v/>
      </c>
      <c r="T56" s="79">
        <f>IF(S56="","",IF(AsOf&gt;S56,1,2))</f>
        <v/>
      </c>
      <c r="U56" s="79">
        <f>IF(T56="","","Decide on change order "&amp;B56&amp;": "&amp;H56&amp;" (+"&amp;CurSym&amp;" "&amp;FIXED(IF(J56="",0,J56),0)&amp;")")</f>
        <v/>
      </c>
    </row>
    <row r="57" ht="24" customHeight="1">
      <c r="B57" s="74" t="n"/>
      <c r="C57" s="109" t="n"/>
      <c r="D57" s="72" t="n"/>
      <c r="E57" s="72" t="n"/>
      <c r="F57" s="72" t="n"/>
      <c r="G57" s="72" t="n"/>
      <c r="H57" s="113" t="n"/>
      <c r="I57" s="72" t="n"/>
      <c r="J57" s="73" t="n"/>
      <c r="K57" s="89" t="n"/>
      <c r="L57" s="74" t="n"/>
      <c r="M57" s="109" t="n"/>
      <c r="N57" s="68">
        <f>IF(AND(H57="",J57=""),"",ForecastTotal+IF(L57="Approved",0,IF(J57="",0,J57)))</f>
        <v/>
      </c>
      <c r="O57" s="75">
        <f>IF(N57="","",ContAmt-MAX(0,N57-WorkBudget))</f>
        <v/>
      </c>
      <c r="P57" s="120">
        <f>IF(OR(N57="",ForecastEnd=""),"",ForecastEnd+IF(L57="Approved",0,IF(K57="",0,K57)))</f>
        <v/>
      </c>
      <c r="Q57" s="121">
        <f>IF(OR(N57="",WorkBudget=0),"",N57/WorkBudget-1)</f>
        <v/>
      </c>
      <c r="R57" s="79">
        <f>IF(N57="","",IF(N57&lt;=WorkBudget,0,IF(N57&lt;=TotalBudget,1,2)))</f>
        <v/>
      </c>
      <c r="S57" s="112">
        <f>IF(AND(OR(H57&lt;&gt;"",J57&lt;&gt;""),OR(L57="Pending",L57=""),C57&lt;&gt;""),C57+3,"")</f>
        <v/>
      </c>
      <c r="T57" s="79">
        <f>IF(S57="","",IF(AsOf&gt;S57,1,2))</f>
        <v/>
      </c>
      <c r="U57" s="79">
        <f>IF(T57="","","Decide on change order "&amp;B57&amp;": "&amp;H57&amp;" (+"&amp;CurSym&amp;" "&amp;FIXED(IF(J57="",0,J57),0)&amp;")")</f>
        <v/>
      </c>
    </row>
    <row r="58" ht="24" customHeight="1">
      <c r="B58" s="74" t="n"/>
      <c r="C58" s="109" t="n"/>
      <c r="D58" s="72" t="n"/>
      <c r="E58" s="72" t="n"/>
      <c r="F58" s="72" t="n"/>
      <c r="G58" s="72" t="n"/>
      <c r="H58" s="113" t="n"/>
      <c r="I58" s="72" t="n"/>
      <c r="J58" s="73" t="n"/>
      <c r="K58" s="89" t="n"/>
      <c r="L58" s="74" t="n"/>
      <c r="M58" s="109" t="n"/>
      <c r="N58" s="68">
        <f>IF(AND(H58="",J58=""),"",ForecastTotal+IF(L58="Approved",0,IF(J58="",0,J58)))</f>
        <v/>
      </c>
      <c r="O58" s="75">
        <f>IF(N58="","",ContAmt-MAX(0,N58-WorkBudget))</f>
        <v/>
      </c>
      <c r="P58" s="120">
        <f>IF(OR(N58="",ForecastEnd=""),"",ForecastEnd+IF(L58="Approved",0,IF(K58="",0,K58)))</f>
        <v/>
      </c>
      <c r="Q58" s="121">
        <f>IF(OR(N58="",WorkBudget=0),"",N58/WorkBudget-1)</f>
        <v/>
      </c>
      <c r="R58" s="79">
        <f>IF(N58="","",IF(N58&lt;=WorkBudget,0,IF(N58&lt;=TotalBudget,1,2)))</f>
        <v/>
      </c>
      <c r="S58" s="112">
        <f>IF(AND(OR(H58&lt;&gt;"",J58&lt;&gt;""),OR(L58="Pending",L58=""),C58&lt;&gt;""),C58+3,"")</f>
        <v/>
      </c>
      <c r="T58" s="79">
        <f>IF(S58="","",IF(AsOf&gt;S58,1,2))</f>
        <v/>
      </c>
      <c r="U58" s="79">
        <f>IF(T58="","","Decide on change order "&amp;B58&amp;": "&amp;H58&amp;" (+"&amp;CurSym&amp;" "&amp;FIXED(IF(J58="",0,J58),0)&amp;")")</f>
        <v/>
      </c>
    </row>
    <row r="59" ht="24" customHeight="1">
      <c r="B59" s="74" t="n"/>
      <c r="C59" s="109" t="n"/>
      <c r="D59" s="72" t="n"/>
      <c r="E59" s="72" t="n"/>
      <c r="F59" s="72" t="n"/>
      <c r="G59" s="72" t="n"/>
      <c r="H59" s="113" t="n"/>
      <c r="I59" s="72" t="n"/>
      <c r="J59" s="73" t="n"/>
      <c r="K59" s="89" t="n"/>
      <c r="L59" s="74" t="n"/>
      <c r="M59" s="109" t="n"/>
      <c r="N59" s="68">
        <f>IF(AND(H59="",J59=""),"",ForecastTotal+IF(L59="Approved",0,IF(J59="",0,J59)))</f>
        <v/>
      </c>
      <c r="O59" s="75">
        <f>IF(N59="","",ContAmt-MAX(0,N59-WorkBudget))</f>
        <v/>
      </c>
      <c r="P59" s="120">
        <f>IF(OR(N59="",ForecastEnd=""),"",ForecastEnd+IF(L59="Approved",0,IF(K59="",0,K59)))</f>
        <v/>
      </c>
      <c r="Q59" s="121">
        <f>IF(OR(N59="",WorkBudget=0),"",N59/WorkBudget-1)</f>
        <v/>
      </c>
      <c r="R59" s="79">
        <f>IF(N59="","",IF(N59&lt;=WorkBudget,0,IF(N59&lt;=TotalBudget,1,2)))</f>
        <v/>
      </c>
      <c r="S59" s="112">
        <f>IF(AND(OR(H59&lt;&gt;"",J59&lt;&gt;""),OR(L59="Pending",L59=""),C59&lt;&gt;""),C59+3,"")</f>
        <v/>
      </c>
      <c r="T59" s="79">
        <f>IF(S59="","",IF(AsOf&gt;S59,1,2))</f>
        <v/>
      </c>
      <c r="U59" s="79">
        <f>IF(T59="","","Decide on change order "&amp;B59&amp;": "&amp;H59&amp;" (+"&amp;CurSym&amp;" "&amp;FIXED(IF(J59="",0,J59),0)&amp;")")</f>
        <v/>
      </c>
    </row>
    <row r="60" ht="24" customHeight="1">
      <c r="B60" s="74" t="n"/>
      <c r="C60" s="109" t="n"/>
      <c r="D60" s="72" t="n"/>
      <c r="E60" s="72" t="n"/>
      <c r="F60" s="72" t="n"/>
      <c r="G60" s="72" t="n"/>
      <c r="H60" s="113" t="n"/>
      <c r="I60" s="72" t="n"/>
      <c r="J60" s="73" t="n"/>
      <c r="K60" s="89" t="n"/>
      <c r="L60" s="74" t="n"/>
      <c r="M60" s="109" t="n"/>
      <c r="N60" s="68">
        <f>IF(AND(H60="",J60=""),"",ForecastTotal+IF(L60="Approved",0,IF(J60="",0,J60)))</f>
        <v/>
      </c>
      <c r="O60" s="75">
        <f>IF(N60="","",ContAmt-MAX(0,N60-WorkBudget))</f>
        <v/>
      </c>
      <c r="P60" s="120">
        <f>IF(OR(N60="",ForecastEnd=""),"",ForecastEnd+IF(L60="Approved",0,IF(K60="",0,K60)))</f>
        <v/>
      </c>
      <c r="Q60" s="121">
        <f>IF(OR(N60="",WorkBudget=0),"",N60/WorkBudget-1)</f>
        <v/>
      </c>
      <c r="R60" s="79">
        <f>IF(N60="","",IF(N60&lt;=WorkBudget,0,IF(N60&lt;=TotalBudget,1,2)))</f>
        <v/>
      </c>
      <c r="S60" s="112">
        <f>IF(AND(OR(H60&lt;&gt;"",J60&lt;&gt;""),OR(L60="Pending",L60=""),C60&lt;&gt;""),C60+3,"")</f>
        <v/>
      </c>
      <c r="T60" s="79">
        <f>IF(S60="","",IF(AsOf&gt;S60,1,2))</f>
        <v/>
      </c>
      <c r="U60" s="79">
        <f>IF(T60="","","Decide on change order "&amp;B60&amp;": "&amp;H60&amp;" (+"&amp;CurSym&amp;" "&amp;FIXED(IF(J60="",0,J60),0)&amp;")")</f>
        <v/>
      </c>
    </row>
    <row r="61" ht="24" customHeight="1">
      <c r="B61" s="74" t="n"/>
      <c r="C61" s="109" t="n"/>
      <c r="D61" s="72" t="n"/>
      <c r="E61" s="72" t="n"/>
      <c r="F61" s="72" t="n"/>
      <c r="G61" s="72" t="n"/>
      <c r="H61" s="113" t="n"/>
      <c r="I61" s="72" t="n"/>
      <c r="J61" s="73" t="n"/>
      <c r="K61" s="89" t="n"/>
      <c r="L61" s="74" t="n"/>
      <c r="M61" s="109" t="n"/>
      <c r="N61" s="68">
        <f>IF(AND(H61="",J61=""),"",ForecastTotal+IF(L61="Approved",0,IF(J61="",0,J61)))</f>
        <v/>
      </c>
      <c r="O61" s="75">
        <f>IF(N61="","",ContAmt-MAX(0,N61-WorkBudget))</f>
        <v/>
      </c>
      <c r="P61" s="120">
        <f>IF(OR(N61="",ForecastEnd=""),"",ForecastEnd+IF(L61="Approved",0,IF(K61="",0,K61)))</f>
        <v/>
      </c>
      <c r="Q61" s="121">
        <f>IF(OR(N61="",WorkBudget=0),"",N61/WorkBudget-1)</f>
        <v/>
      </c>
      <c r="R61" s="79">
        <f>IF(N61="","",IF(N61&lt;=WorkBudget,0,IF(N61&lt;=TotalBudget,1,2)))</f>
        <v/>
      </c>
      <c r="S61" s="112">
        <f>IF(AND(OR(H61&lt;&gt;"",J61&lt;&gt;""),OR(L61="Pending",L61=""),C61&lt;&gt;""),C61+3,"")</f>
        <v/>
      </c>
      <c r="T61" s="79">
        <f>IF(S61="","",IF(AsOf&gt;S61,1,2))</f>
        <v/>
      </c>
      <c r="U61" s="79">
        <f>IF(T61="","","Decide on change order "&amp;B61&amp;": "&amp;H61&amp;" (+"&amp;CurSym&amp;" "&amp;FIXED(IF(J61="",0,J61),0)&amp;")")</f>
        <v/>
      </c>
    </row>
    <row r="62" ht="24" customHeight="1">
      <c r="B62" s="74" t="n"/>
      <c r="C62" s="109" t="n"/>
      <c r="D62" s="72" t="n"/>
      <c r="E62" s="72" t="n"/>
      <c r="F62" s="72" t="n"/>
      <c r="G62" s="72" t="n"/>
      <c r="H62" s="113" t="n"/>
      <c r="I62" s="72" t="n"/>
      <c r="J62" s="73" t="n"/>
      <c r="K62" s="89" t="n"/>
      <c r="L62" s="74" t="n"/>
      <c r="M62" s="109" t="n"/>
      <c r="N62" s="68">
        <f>IF(AND(H62="",J62=""),"",ForecastTotal+IF(L62="Approved",0,IF(J62="",0,J62)))</f>
        <v/>
      </c>
      <c r="O62" s="75">
        <f>IF(N62="","",ContAmt-MAX(0,N62-WorkBudget))</f>
        <v/>
      </c>
      <c r="P62" s="120">
        <f>IF(OR(N62="",ForecastEnd=""),"",ForecastEnd+IF(L62="Approved",0,IF(K62="",0,K62)))</f>
        <v/>
      </c>
      <c r="Q62" s="121">
        <f>IF(OR(N62="",WorkBudget=0),"",N62/WorkBudget-1)</f>
        <v/>
      </c>
      <c r="R62" s="79">
        <f>IF(N62="","",IF(N62&lt;=WorkBudget,0,IF(N62&lt;=TotalBudget,1,2)))</f>
        <v/>
      </c>
      <c r="S62" s="112">
        <f>IF(AND(OR(H62&lt;&gt;"",J62&lt;&gt;""),OR(L62="Pending",L62=""),C62&lt;&gt;""),C62+3,"")</f>
        <v/>
      </c>
      <c r="T62" s="79">
        <f>IF(S62="","",IF(AsOf&gt;S62,1,2))</f>
        <v/>
      </c>
      <c r="U62" s="79">
        <f>IF(T62="","","Decide on change order "&amp;B62&amp;": "&amp;H62&amp;" (+"&amp;CurSym&amp;" "&amp;FIXED(IF(J62="",0,J62),0)&amp;")")</f>
        <v/>
      </c>
    </row>
    <row r="63" ht="24" customHeight="1">
      <c r="B63" s="74" t="n"/>
      <c r="C63" s="109" t="n"/>
      <c r="D63" s="72" t="n"/>
      <c r="E63" s="72" t="n"/>
      <c r="F63" s="72" t="n"/>
      <c r="G63" s="72" t="n"/>
      <c r="H63" s="113" t="n"/>
      <c r="I63" s="72" t="n"/>
      <c r="J63" s="73" t="n"/>
      <c r="K63" s="89" t="n"/>
      <c r="L63" s="74" t="n"/>
      <c r="M63" s="109" t="n"/>
      <c r="N63" s="68">
        <f>IF(AND(H63="",J63=""),"",ForecastTotal+IF(L63="Approved",0,IF(J63="",0,J63)))</f>
        <v/>
      </c>
      <c r="O63" s="75">
        <f>IF(N63="","",ContAmt-MAX(0,N63-WorkBudget))</f>
        <v/>
      </c>
      <c r="P63" s="120">
        <f>IF(OR(N63="",ForecastEnd=""),"",ForecastEnd+IF(L63="Approved",0,IF(K63="",0,K63)))</f>
        <v/>
      </c>
      <c r="Q63" s="121">
        <f>IF(OR(N63="",WorkBudget=0),"",N63/WorkBudget-1)</f>
        <v/>
      </c>
      <c r="R63" s="79">
        <f>IF(N63="","",IF(N63&lt;=WorkBudget,0,IF(N63&lt;=TotalBudget,1,2)))</f>
        <v/>
      </c>
      <c r="S63" s="112">
        <f>IF(AND(OR(H63&lt;&gt;"",J63&lt;&gt;""),OR(L63="Pending",L63=""),C63&lt;&gt;""),C63+3,"")</f>
        <v/>
      </c>
      <c r="T63" s="79">
        <f>IF(S63="","",IF(AsOf&gt;S63,1,2))</f>
        <v/>
      </c>
      <c r="U63" s="79">
        <f>IF(T63="","","Decide on change order "&amp;B63&amp;": "&amp;H63&amp;" (+"&amp;CurSym&amp;" "&amp;FIXED(IF(J63="",0,J63),0)&amp;")")</f>
        <v/>
      </c>
    </row>
    <row r="64" ht="24" customHeight="1">
      <c r="B64" s="74" t="n"/>
      <c r="C64" s="109" t="n"/>
      <c r="D64" s="72" t="n"/>
      <c r="E64" s="72" t="n"/>
      <c r="F64" s="72" t="n"/>
      <c r="G64" s="72" t="n"/>
      <c r="H64" s="113" t="n"/>
      <c r="I64" s="72" t="n"/>
      <c r="J64" s="73" t="n"/>
      <c r="K64" s="89" t="n"/>
      <c r="L64" s="74" t="n"/>
      <c r="M64" s="109" t="n"/>
      <c r="N64" s="68">
        <f>IF(AND(H64="",J64=""),"",ForecastTotal+IF(L64="Approved",0,IF(J64="",0,J64)))</f>
        <v/>
      </c>
      <c r="O64" s="75">
        <f>IF(N64="","",ContAmt-MAX(0,N64-WorkBudget))</f>
        <v/>
      </c>
      <c r="P64" s="120">
        <f>IF(OR(N64="",ForecastEnd=""),"",ForecastEnd+IF(L64="Approved",0,IF(K64="",0,K64)))</f>
        <v/>
      </c>
      <c r="Q64" s="121">
        <f>IF(OR(N64="",WorkBudget=0),"",N64/WorkBudget-1)</f>
        <v/>
      </c>
      <c r="R64" s="79">
        <f>IF(N64="","",IF(N64&lt;=WorkBudget,0,IF(N64&lt;=TotalBudget,1,2)))</f>
        <v/>
      </c>
      <c r="S64" s="112">
        <f>IF(AND(OR(H64&lt;&gt;"",J64&lt;&gt;""),OR(L64="Pending",L64=""),C64&lt;&gt;""),C64+3,"")</f>
        <v/>
      </c>
      <c r="T64" s="79">
        <f>IF(S64="","",IF(AsOf&gt;S64,1,2))</f>
        <v/>
      </c>
      <c r="U64" s="79">
        <f>IF(T64="","","Decide on change order "&amp;B64&amp;": "&amp;H64&amp;" (+"&amp;CurSym&amp;" "&amp;FIXED(IF(J64="",0,J64),0)&amp;")")</f>
        <v/>
      </c>
    </row>
    <row r="65" ht="24" customHeight="1">
      <c r="B65" s="74" t="n"/>
      <c r="C65" s="109" t="n"/>
      <c r="D65" s="72" t="n"/>
      <c r="E65" s="72" t="n"/>
      <c r="F65" s="72" t="n"/>
      <c r="G65" s="72" t="n"/>
      <c r="H65" s="113" t="n"/>
      <c r="I65" s="72" t="n"/>
      <c r="J65" s="73" t="n"/>
      <c r="K65" s="89" t="n"/>
      <c r="L65" s="74" t="n"/>
      <c r="M65" s="109" t="n"/>
      <c r="N65" s="68">
        <f>IF(AND(H65="",J65=""),"",ForecastTotal+IF(L65="Approved",0,IF(J65="",0,J65)))</f>
        <v/>
      </c>
      <c r="O65" s="75">
        <f>IF(N65="","",ContAmt-MAX(0,N65-WorkBudget))</f>
        <v/>
      </c>
      <c r="P65" s="120">
        <f>IF(OR(N65="",ForecastEnd=""),"",ForecastEnd+IF(L65="Approved",0,IF(K65="",0,K65)))</f>
        <v/>
      </c>
      <c r="Q65" s="121">
        <f>IF(OR(N65="",WorkBudget=0),"",N65/WorkBudget-1)</f>
        <v/>
      </c>
      <c r="R65" s="79">
        <f>IF(N65="","",IF(N65&lt;=WorkBudget,0,IF(N65&lt;=TotalBudget,1,2)))</f>
        <v/>
      </c>
      <c r="S65" s="112">
        <f>IF(AND(OR(H65&lt;&gt;"",J65&lt;&gt;""),OR(L65="Pending",L65=""),C65&lt;&gt;""),C65+3,"")</f>
        <v/>
      </c>
      <c r="T65" s="79">
        <f>IF(S65="","",IF(AsOf&gt;S65,1,2))</f>
        <v/>
      </c>
      <c r="U65" s="79">
        <f>IF(T65="","","Decide on change order "&amp;B65&amp;": "&amp;H65&amp;" (+"&amp;CurSym&amp;" "&amp;FIXED(IF(J65="",0,J65),0)&amp;")")</f>
        <v/>
      </c>
    </row>
    <row r="66" ht="24" customHeight="1">
      <c r="B66" s="74" t="n"/>
      <c r="C66" s="109" t="n"/>
      <c r="D66" s="72" t="n"/>
      <c r="E66" s="72" t="n"/>
      <c r="F66" s="72" t="n"/>
      <c r="G66" s="72" t="n"/>
      <c r="H66" s="113" t="n"/>
      <c r="I66" s="72" t="n"/>
      <c r="J66" s="73" t="n"/>
      <c r="K66" s="89" t="n"/>
      <c r="L66" s="74" t="n"/>
      <c r="M66" s="109" t="n"/>
      <c r="N66" s="68">
        <f>IF(AND(H66="",J66=""),"",ForecastTotal+IF(L66="Approved",0,IF(J66="",0,J66)))</f>
        <v/>
      </c>
      <c r="O66" s="75">
        <f>IF(N66="","",ContAmt-MAX(0,N66-WorkBudget))</f>
        <v/>
      </c>
      <c r="P66" s="120">
        <f>IF(OR(N66="",ForecastEnd=""),"",ForecastEnd+IF(L66="Approved",0,IF(K66="",0,K66)))</f>
        <v/>
      </c>
      <c r="Q66" s="121">
        <f>IF(OR(N66="",WorkBudget=0),"",N66/WorkBudget-1)</f>
        <v/>
      </c>
      <c r="R66" s="79">
        <f>IF(N66="","",IF(N66&lt;=WorkBudget,0,IF(N66&lt;=TotalBudget,1,2)))</f>
        <v/>
      </c>
      <c r="S66" s="112">
        <f>IF(AND(OR(H66&lt;&gt;"",J66&lt;&gt;""),OR(L66="Pending",L66=""),C66&lt;&gt;""),C66+3,"")</f>
        <v/>
      </c>
      <c r="T66" s="79">
        <f>IF(S66="","",IF(AsOf&gt;S66,1,2))</f>
        <v/>
      </c>
      <c r="U66" s="79">
        <f>IF(T66="","","Decide on change order "&amp;B66&amp;": "&amp;H66&amp;" (+"&amp;CurSym&amp;" "&amp;FIXED(IF(J66="",0,J66),0)&amp;")")</f>
        <v/>
      </c>
    </row>
    <row r="67" ht="24" customHeight="1">
      <c r="B67" s="74" t="n"/>
      <c r="C67" s="109" t="n"/>
      <c r="D67" s="72" t="n"/>
      <c r="E67" s="72" t="n"/>
      <c r="F67" s="72" t="n"/>
      <c r="G67" s="72" t="n"/>
      <c r="H67" s="113" t="n"/>
      <c r="I67" s="72" t="n"/>
      <c r="J67" s="73" t="n"/>
      <c r="K67" s="89" t="n"/>
      <c r="L67" s="74" t="n"/>
      <c r="M67" s="109" t="n"/>
      <c r="N67" s="68">
        <f>IF(AND(H67="",J67=""),"",ForecastTotal+IF(L67="Approved",0,IF(J67="",0,J67)))</f>
        <v/>
      </c>
      <c r="O67" s="75">
        <f>IF(N67="","",ContAmt-MAX(0,N67-WorkBudget))</f>
        <v/>
      </c>
      <c r="P67" s="120">
        <f>IF(OR(N67="",ForecastEnd=""),"",ForecastEnd+IF(L67="Approved",0,IF(K67="",0,K67)))</f>
        <v/>
      </c>
      <c r="Q67" s="121">
        <f>IF(OR(N67="",WorkBudget=0),"",N67/WorkBudget-1)</f>
        <v/>
      </c>
      <c r="R67" s="79">
        <f>IF(N67="","",IF(N67&lt;=WorkBudget,0,IF(N67&lt;=TotalBudget,1,2)))</f>
        <v/>
      </c>
      <c r="S67" s="112">
        <f>IF(AND(OR(H67&lt;&gt;"",J67&lt;&gt;""),OR(L67="Pending",L67=""),C67&lt;&gt;""),C67+3,"")</f>
        <v/>
      </c>
      <c r="T67" s="79">
        <f>IF(S67="","",IF(AsOf&gt;S67,1,2))</f>
        <v/>
      </c>
      <c r="U67" s="79">
        <f>IF(T67="","","Decide on change order "&amp;B67&amp;": "&amp;H67&amp;" (+"&amp;CurSym&amp;" "&amp;FIXED(IF(J67="",0,J67),0)&amp;")")</f>
        <v/>
      </c>
    </row>
    <row r="68" ht="24" customHeight="1">
      <c r="B68" s="74" t="n"/>
      <c r="C68" s="109" t="n"/>
      <c r="D68" s="72" t="n"/>
      <c r="E68" s="72" t="n"/>
      <c r="F68" s="72" t="n"/>
      <c r="G68" s="72" t="n"/>
      <c r="H68" s="113" t="n"/>
      <c r="I68" s="72" t="n"/>
      <c r="J68" s="73" t="n"/>
      <c r="K68" s="89" t="n"/>
      <c r="L68" s="74" t="n"/>
      <c r="M68" s="109" t="n"/>
      <c r="N68" s="68">
        <f>IF(AND(H68="",J68=""),"",ForecastTotal+IF(L68="Approved",0,IF(J68="",0,J68)))</f>
        <v/>
      </c>
      <c r="O68" s="75">
        <f>IF(N68="","",ContAmt-MAX(0,N68-WorkBudget))</f>
        <v/>
      </c>
      <c r="P68" s="120">
        <f>IF(OR(N68="",ForecastEnd=""),"",ForecastEnd+IF(L68="Approved",0,IF(K68="",0,K68)))</f>
        <v/>
      </c>
      <c r="Q68" s="121">
        <f>IF(OR(N68="",WorkBudget=0),"",N68/WorkBudget-1)</f>
        <v/>
      </c>
      <c r="R68" s="79">
        <f>IF(N68="","",IF(N68&lt;=WorkBudget,0,IF(N68&lt;=TotalBudget,1,2)))</f>
        <v/>
      </c>
      <c r="S68" s="112">
        <f>IF(AND(OR(H68&lt;&gt;"",J68&lt;&gt;""),OR(L68="Pending",L68=""),C68&lt;&gt;""),C68+3,"")</f>
        <v/>
      </c>
      <c r="T68" s="79">
        <f>IF(S68="","",IF(AsOf&gt;S68,1,2))</f>
        <v/>
      </c>
      <c r="U68" s="79">
        <f>IF(T68="","","Decide on change order "&amp;B68&amp;": "&amp;H68&amp;" (+"&amp;CurSym&amp;" "&amp;FIXED(IF(J68="",0,J68),0)&amp;")")</f>
        <v/>
      </c>
    </row>
    <row r="69" ht="24" customHeight="1">
      <c r="B69" s="74" t="n"/>
      <c r="C69" s="109" t="n"/>
      <c r="D69" s="72" t="n"/>
      <c r="E69" s="72" t="n"/>
      <c r="F69" s="72" t="n"/>
      <c r="G69" s="72" t="n"/>
      <c r="H69" s="113" t="n"/>
      <c r="I69" s="72" t="n"/>
      <c r="J69" s="73" t="n"/>
      <c r="K69" s="89" t="n"/>
      <c r="L69" s="74" t="n"/>
      <c r="M69" s="109" t="n"/>
      <c r="N69" s="68">
        <f>IF(AND(H69="",J69=""),"",ForecastTotal+IF(L69="Approved",0,IF(J69="",0,J69)))</f>
        <v/>
      </c>
      <c r="O69" s="75">
        <f>IF(N69="","",ContAmt-MAX(0,N69-WorkBudget))</f>
        <v/>
      </c>
      <c r="P69" s="120">
        <f>IF(OR(N69="",ForecastEnd=""),"",ForecastEnd+IF(L69="Approved",0,IF(K69="",0,K69)))</f>
        <v/>
      </c>
      <c r="Q69" s="121">
        <f>IF(OR(N69="",WorkBudget=0),"",N69/WorkBudget-1)</f>
        <v/>
      </c>
      <c r="R69" s="79">
        <f>IF(N69="","",IF(N69&lt;=WorkBudget,0,IF(N69&lt;=TotalBudget,1,2)))</f>
        <v/>
      </c>
      <c r="S69" s="112">
        <f>IF(AND(OR(H69&lt;&gt;"",J69&lt;&gt;""),OR(L69="Pending",L69=""),C69&lt;&gt;""),C69+3,"")</f>
        <v/>
      </c>
      <c r="T69" s="79">
        <f>IF(S69="","",IF(AsOf&gt;S69,1,2))</f>
        <v/>
      </c>
      <c r="U69" s="79">
        <f>IF(T69="","","Decide on change order "&amp;B69&amp;": "&amp;H69&amp;" (+"&amp;CurSym&amp;" "&amp;FIXED(IF(J69="",0,J69),0)&amp;")")</f>
        <v/>
      </c>
    </row>
    <row r="70" ht="24" customHeight="1">
      <c r="B70" s="74" t="n"/>
      <c r="C70" s="109" t="n"/>
      <c r="D70" s="72" t="n"/>
      <c r="E70" s="72" t="n"/>
      <c r="F70" s="72" t="n"/>
      <c r="G70" s="72" t="n"/>
      <c r="H70" s="113" t="n"/>
      <c r="I70" s="72" t="n"/>
      <c r="J70" s="73" t="n"/>
      <c r="K70" s="89" t="n"/>
      <c r="L70" s="74" t="n"/>
      <c r="M70" s="109" t="n"/>
      <c r="N70" s="68">
        <f>IF(AND(H70="",J70=""),"",ForecastTotal+IF(L70="Approved",0,IF(J70="",0,J70)))</f>
        <v/>
      </c>
      <c r="O70" s="75">
        <f>IF(N70="","",ContAmt-MAX(0,N70-WorkBudget))</f>
        <v/>
      </c>
      <c r="P70" s="120">
        <f>IF(OR(N70="",ForecastEnd=""),"",ForecastEnd+IF(L70="Approved",0,IF(K70="",0,K70)))</f>
        <v/>
      </c>
      <c r="Q70" s="121">
        <f>IF(OR(N70="",WorkBudget=0),"",N70/WorkBudget-1)</f>
        <v/>
      </c>
      <c r="R70" s="79">
        <f>IF(N70="","",IF(N70&lt;=WorkBudget,0,IF(N70&lt;=TotalBudget,1,2)))</f>
        <v/>
      </c>
      <c r="S70" s="112">
        <f>IF(AND(OR(H70&lt;&gt;"",J70&lt;&gt;""),OR(L70="Pending",L70=""),C70&lt;&gt;""),C70+3,"")</f>
        <v/>
      </c>
      <c r="T70" s="79">
        <f>IF(S70="","",IF(AsOf&gt;S70,1,2))</f>
        <v/>
      </c>
      <c r="U70" s="79">
        <f>IF(T70="","","Decide on change order "&amp;B70&amp;": "&amp;H70&amp;" (+"&amp;CurSym&amp;" "&amp;FIXED(IF(J70="",0,J70),0)&amp;")")</f>
        <v/>
      </c>
    </row>
    <row r="71" ht="24" customHeight="1">
      <c r="B71" s="74" t="n"/>
      <c r="C71" s="109" t="n"/>
      <c r="D71" s="72" t="n"/>
      <c r="E71" s="72" t="n"/>
      <c r="F71" s="72" t="n"/>
      <c r="G71" s="72" t="n"/>
      <c r="H71" s="113" t="n"/>
      <c r="I71" s="72" t="n"/>
      <c r="J71" s="73" t="n"/>
      <c r="K71" s="89" t="n"/>
      <c r="L71" s="74" t="n"/>
      <c r="M71" s="109" t="n"/>
      <c r="N71" s="68">
        <f>IF(AND(H71="",J71=""),"",ForecastTotal+IF(L71="Approved",0,IF(J71="",0,J71)))</f>
        <v/>
      </c>
      <c r="O71" s="75">
        <f>IF(N71="","",ContAmt-MAX(0,N71-WorkBudget))</f>
        <v/>
      </c>
      <c r="P71" s="120">
        <f>IF(OR(N71="",ForecastEnd=""),"",ForecastEnd+IF(L71="Approved",0,IF(K71="",0,K71)))</f>
        <v/>
      </c>
      <c r="Q71" s="121">
        <f>IF(OR(N71="",WorkBudget=0),"",N71/WorkBudget-1)</f>
        <v/>
      </c>
      <c r="R71" s="79">
        <f>IF(N71="","",IF(N71&lt;=WorkBudget,0,IF(N71&lt;=TotalBudget,1,2)))</f>
        <v/>
      </c>
      <c r="S71" s="112">
        <f>IF(AND(OR(H71&lt;&gt;"",J71&lt;&gt;""),OR(L71="Pending",L71=""),C71&lt;&gt;""),C71+3,"")</f>
        <v/>
      </c>
      <c r="T71" s="79">
        <f>IF(S71="","",IF(AsOf&gt;S71,1,2))</f>
        <v/>
      </c>
      <c r="U71" s="79">
        <f>IF(T71="","","Decide on change order "&amp;B71&amp;": "&amp;H71&amp;" (+"&amp;CurSym&amp;" "&amp;FIXED(IF(J71="",0,J71),0)&amp;")")</f>
        <v/>
      </c>
    </row>
    <row r="72" ht="24" customHeight="1">
      <c r="B72" s="74" t="n"/>
      <c r="C72" s="109" t="n"/>
      <c r="D72" s="72" t="n"/>
      <c r="E72" s="72" t="n"/>
      <c r="F72" s="72" t="n"/>
      <c r="G72" s="72" t="n"/>
      <c r="H72" s="113" t="n"/>
      <c r="I72" s="72" t="n"/>
      <c r="J72" s="73" t="n"/>
      <c r="K72" s="89" t="n"/>
      <c r="L72" s="74" t="n"/>
      <c r="M72" s="109" t="n"/>
      <c r="N72" s="68">
        <f>IF(AND(H72="",J72=""),"",ForecastTotal+IF(L72="Approved",0,IF(J72="",0,J72)))</f>
        <v/>
      </c>
      <c r="O72" s="75">
        <f>IF(N72="","",ContAmt-MAX(0,N72-WorkBudget))</f>
        <v/>
      </c>
      <c r="P72" s="120">
        <f>IF(OR(N72="",ForecastEnd=""),"",ForecastEnd+IF(L72="Approved",0,IF(K72="",0,K72)))</f>
        <v/>
      </c>
      <c r="Q72" s="121">
        <f>IF(OR(N72="",WorkBudget=0),"",N72/WorkBudget-1)</f>
        <v/>
      </c>
      <c r="R72" s="79">
        <f>IF(N72="","",IF(N72&lt;=WorkBudget,0,IF(N72&lt;=TotalBudget,1,2)))</f>
        <v/>
      </c>
      <c r="S72" s="112">
        <f>IF(AND(OR(H72&lt;&gt;"",J72&lt;&gt;""),OR(L72="Pending",L72=""),C72&lt;&gt;""),C72+3,"")</f>
        <v/>
      </c>
      <c r="T72" s="79">
        <f>IF(S72="","",IF(AsOf&gt;S72,1,2))</f>
        <v/>
      </c>
      <c r="U72" s="79">
        <f>IF(T72="","","Decide on change order "&amp;B72&amp;": "&amp;H72&amp;" (+"&amp;CurSym&amp;" "&amp;FIXED(IF(J72="",0,J72),0)&amp;")")</f>
        <v/>
      </c>
    </row>
    <row r="73" ht="24" customHeight="1">
      <c r="B73" s="74" t="n"/>
      <c r="C73" s="109" t="n"/>
      <c r="D73" s="72" t="n"/>
      <c r="E73" s="72" t="n"/>
      <c r="F73" s="72" t="n"/>
      <c r="G73" s="72" t="n"/>
      <c r="H73" s="113" t="n"/>
      <c r="I73" s="72" t="n"/>
      <c r="J73" s="73" t="n"/>
      <c r="K73" s="89" t="n"/>
      <c r="L73" s="74" t="n"/>
      <c r="M73" s="109" t="n"/>
      <c r="N73" s="68">
        <f>IF(AND(H73="",J73=""),"",ForecastTotal+IF(L73="Approved",0,IF(J73="",0,J73)))</f>
        <v/>
      </c>
      <c r="O73" s="75">
        <f>IF(N73="","",ContAmt-MAX(0,N73-WorkBudget))</f>
        <v/>
      </c>
      <c r="P73" s="120">
        <f>IF(OR(N73="",ForecastEnd=""),"",ForecastEnd+IF(L73="Approved",0,IF(K73="",0,K73)))</f>
        <v/>
      </c>
      <c r="Q73" s="121">
        <f>IF(OR(N73="",WorkBudget=0),"",N73/WorkBudget-1)</f>
        <v/>
      </c>
      <c r="R73" s="79">
        <f>IF(N73="","",IF(N73&lt;=WorkBudget,0,IF(N73&lt;=TotalBudget,1,2)))</f>
        <v/>
      </c>
      <c r="S73" s="112">
        <f>IF(AND(OR(H73&lt;&gt;"",J73&lt;&gt;""),OR(L73="Pending",L73=""),C73&lt;&gt;""),C73+3,"")</f>
        <v/>
      </c>
      <c r="T73" s="79">
        <f>IF(S73="","",IF(AsOf&gt;S73,1,2))</f>
        <v/>
      </c>
      <c r="U73" s="79">
        <f>IF(T73="","","Decide on change order "&amp;B73&amp;": "&amp;H73&amp;" (+"&amp;CurSym&amp;" "&amp;FIXED(IF(J73="",0,J73),0)&amp;")")</f>
        <v/>
      </c>
    </row>
    <row r="74" ht="24" customHeight="1">
      <c r="B74" s="74" t="n"/>
      <c r="C74" s="109" t="n"/>
      <c r="D74" s="72" t="n"/>
      <c r="E74" s="72" t="n"/>
      <c r="F74" s="72" t="n"/>
      <c r="G74" s="72" t="n"/>
      <c r="H74" s="113" t="n"/>
      <c r="I74" s="72" t="n"/>
      <c r="J74" s="73" t="n"/>
      <c r="K74" s="89" t="n"/>
      <c r="L74" s="74" t="n"/>
      <c r="M74" s="109" t="n"/>
      <c r="N74" s="68">
        <f>IF(AND(H74="",J74=""),"",ForecastTotal+IF(L74="Approved",0,IF(J74="",0,J74)))</f>
        <v/>
      </c>
      <c r="O74" s="75">
        <f>IF(N74="","",ContAmt-MAX(0,N74-WorkBudget))</f>
        <v/>
      </c>
      <c r="P74" s="120">
        <f>IF(OR(N74="",ForecastEnd=""),"",ForecastEnd+IF(L74="Approved",0,IF(K74="",0,K74)))</f>
        <v/>
      </c>
      <c r="Q74" s="121">
        <f>IF(OR(N74="",WorkBudget=0),"",N74/WorkBudget-1)</f>
        <v/>
      </c>
      <c r="R74" s="79">
        <f>IF(N74="","",IF(N74&lt;=WorkBudget,0,IF(N74&lt;=TotalBudget,1,2)))</f>
        <v/>
      </c>
      <c r="S74" s="112">
        <f>IF(AND(OR(H74&lt;&gt;"",J74&lt;&gt;""),OR(L74="Pending",L74=""),C74&lt;&gt;""),C74+3,"")</f>
        <v/>
      </c>
      <c r="T74" s="79">
        <f>IF(S74="","",IF(AsOf&gt;S74,1,2))</f>
        <v/>
      </c>
      <c r="U74" s="79">
        <f>IF(T74="","","Decide on change order "&amp;B74&amp;": "&amp;H74&amp;" (+"&amp;CurSym&amp;" "&amp;FIXED(IF(J74="",0,J74),0)&amp;")")</f>
        <v/>
      </c>
    </row>
    <row r="75" ht="24" customHeight="1">
      <c r="B75" s="74" t="n"/>
      <c r="C75" s="109" t="n"/>
      <c r="D75" s="72" t="n"/>
      <c r="E75" s="72" t="n"/>
      <c r="F75" s="72" t="n"/>
      <c r="G75" s="72" t="n"/>
      <c r="H75" s="113" t="n"/>
      <c r="I75" s="72" t="n"/>
      <c r="J75" s="73" t="n"/>
      <c r="K75" s="89" t="n"/>
      <c r="L75" s="74" t="n"/>
      <c r="M75" s="109" t="n"/>
      <c r="N75" s="68">
        <f>IF(AND(H75="",J75=""),"",ForecastTotal+IF(L75="Approved",0,IF(J75="",0,J75)))</f>
        <v/>
      </c>
      <c r="O75" s="75">
        <f>IF(N75="","",ContAmt-MAX(0,N75-WorkBudget))</f>
        <v/>
      </c>
      <c r="P75" s="120">
        <f>IF(OR(N75="",ForecastEnd=""),"",ForecastEnd+IF(L75="Approved",0,IF(K75="",0,K75)))</f>
        <v/>
      </c>
      <c r="Q75" s="121">
        <f>IF(OR(N75="",WorkBudget=0),"",N75/WorkBudget-1)</f>
        <v/>
      </c>
      <c r="R75" s="79">
        <f>IF(N75="","",IF(N75&lt;=WorkBudget,0,IF(N75&lt;=TotalBudget,1,2)))</f>
        <v/>
      </c>
      <c r="S75" s="112">
        <f>IF(AND(OR(H75&lt;&gt;"",J75&lt;&gt;""),OR(L75="Pending",L75=""),C75&lt;&gt;""),C75+3,"")</f>
        <v/>
      </c>
      <c r="T75" s="79">
        <f>IF(S75="","",IF(AsOf&gt;S75,1,2))</f>
        <v/>
      </c>
      <c r="U75" s="79">
        <f>IF(T75="","","Decide on change order "&amp;B75&amp;": "&amp;H75&amp;" (+"&amp;CurSym&amp;" "&amp;FIXED(IF(J75="",0,J75),0)&amp;")")</f>
        <v/>
      </c>
    </row>
    <row r="76" ht="24" customHeight="1">
      <c r="B76" s="74" t="n"/>
      <c r="C76" s="109" t="n"/>
      <c r="D76" s="72" t="n"/>
      <c r="E76" s="72" t="n"/>
      <c r="F76" s="72" t="n"/>
      <c r="G76" s="72" t="n"/>
      <c r="H76" s="113" t="n"/>
      <c r="I76" s="72" t="n"/>
      <c r="J76" s="73" t="n"/>
      <c r="K76" s="89" t="n"/>
      <c r="L76" s="74" t="n"/>
      <c r="M76" s="109" t="n"/>
      <c r="N76" s="68">
        <f>IF(AND(H76="",J76=""),"",ForecastTotal+IF(L76="Approved",0,IF(J76="",0,J76)))</f>
        <v/>
      </c>
      <c r="O76" s="75">
        <f>IF(N76="","",ContAmt-MAX(0,N76-WorkBudget))</f>
        <v/>
      </c>
      <c r="P76" s="120">
        <f>IF(OR(N76="",ForecastEnd=""),"",ForecastEnd+IF(L76="Approved",0,IF(K76="",0,K76)))</f>
        <v/>
      </c>
      <c r="Q76" s="121">
        <f>IF(OR(N76="",WorkBudget=0),"",N76/WorkBudget-1)</f>
        <v/>
      </c>
      <c r="R76" s="79">
        <f>IF(N76="","",IF(N76&lt;=WorkBudget,0,IF(N76&lt;=TotalBudget,1,2)))</f>
        <v/>
      </c>
      <c r="S76" s="112">
        <f>IF(AND(OR(H76&lt;&gt;"",J76&lt;&gt;""),OR(L76="Pending",L76=""),C76&lt;&gt;""),C76+3,"")</f>
        <v/>
      </c>
      <c r="T76" s="79">
        <f>IF(S76="","",IF(AsOf&gt;S76,1,2))</f>
        <v/>
      </c>
      <c r="U76" s="79">
        <f>IF(T76="","","Decide on change order "&amp;B76&amp;": "&amp;H76&amp;" (+"&amp;CurSym&amp;" "&amp;FIXED(IF(J76="",0,J76),0)&amp;")")</f>
        <v/>
      </c>
    </row>
    <row r="77" ht="24" customHeight="1">
      <c r="B77" s="74" t="n"/>
      <c r="C77" s="109" t="n"/>
      <c r="D77" s="72" t="n"/>
      <c r="E77" s="72" t="n"/>
      <c r="F77" s="72" t="n"/>
      <c r="G77" s="72" t="n"/>
      <c r="H77" s="113" t="n"/>
      <c r="I77" s="72" t="n"/>
      <c r="J77" s="73" t="n"/>
      <c r="K77" s="89" t="n"/>
      <c r="L77" s="74" t="n"/>
      <c r="M77" s="109" t="n"/>
      <c r="N77" s="68">
        <f>IF(AND(H77="",J77=""),"",ForecastTotal+IF(L77="Approved",0,IF(J77="",0,J77)))</f>
        <v/>
      </c>
      <c r="O77" s="75">
        <f>IF(N77="","",ContAmt-MAX(0,N77-WorkBudget))</f>
        <v/>
      </c>
      <c r="P77" s="120">
        <f>IF(OR(N77="",ForecastEnd=""),"",ForecastEnd+IF(L77="Approved",0,IF(K77="",0,K77)))</f>
        <v/>
      </c>
      <c r="Q77" s="121">
        <f>IF(OR(N77="",WorkBudget=0),"",N77/WorkBudget-1)</f>
        <v/>
      </c>
      <c r="R77" s="79">
        <f>IF(N77="","",IF(N77&lt;=WorkBudget,0,IF(N77&lt;=TotalBudget,1,2)))</f>
        <v/>
      </c>
      <c r="S77" s="112">
        <f>IF(AND(OR(H77&lt;&gt;"",J77&lt;&gt;""),OR(L77="Pending",L77=""),C77&lt;&gt;""),C77+3,"")</f>
        <v/>
      </c>
      <c r="T77" s="79">
        <f>IF(S77="","",IF(AsOf&gt;S77,1,2))</f>
        <v/>
      </c>
      <c r="U77" s="79">
        <f>IF(T77="","","Decide on change order "&amp;B77&amp;": "&amp;H77&amp;" (+"&amp;CurSym&amp;" "&amp;FIXED(IF(J77="",0,J77),0)&amp;")")</f>
        <v/>
      </c>
    </row>
    <row r="78" ht="24" customHeight="1">
      <c r="B78" s="74" t="n"/>
      <c r="C78" s="109" t="n"/>
      <c r="D78" s="72" t="n"/>
      <c r="E78" s="72" t="n"/>
      <c r="F78" s="72" t="n"/>
      <c r="G78" s="72" t="n"/>
      <c r="H78" s="113" t="n"/>
      <c r="I78" s="72" t="n"/>
      <c r="J78" s="73" t="n"/>
      <c r="K78" s="89" t="n"/>
      <c r="L78" s="74" t="n"/>
      <c r="M78" s="109" t="n"/>
      <c r="N78" s="68">
        <f>IF(AND(H78="",J78=""),"",ForecastTotal+IF(L78="Approved",0,IF(J78="",0,J78)))</f>
        <v/>
      </c>
      <c r="O78" s="75">
        <f>IF(N78="","",ContAmt-MAX(0,N78-WorkBudget))</f>
        <v/>
      </c>
      <c r="P78" s="120">
        <f>IF(OR(N78="",ForecastEnd=""),"",ForecastEnd+IF(L78="Approved",0,IF(K78="",0,K78)))</f>
        <v/>
      </c>
      <c r="Q78" s="121">
        <f>IF(OR(N78="",WorkBudget=0),"",N78/WorkBudget-1)</f>
        <v/>
      </c>
      <c r="R78" s="79">
        <f>IF(N78="","",IF(N78&lt;=WorkBudget,0,IF(N78&lt;=TotalBudget,1,2)))</f>
        <v/>
      </c>
      <c r="S78" s="112">
        <f>IF(AND(OR(H78&lt;&gt;"",J78&lt;&gt;""),OR(L78="Pending",L78=""),C78&lt;&gt;""),C78+3,"")</f>
        <v/>
      </c>
      <c r="T78" s="79">
        <f>IF(S78="","",IF(AsOf&gt;S78,1,2))</f>
        <v/>
      </c>
      <c r="U78" s="79">
        <f>IF(T78="","","Decide on change order "&amp;B78&amp;": "&amp;H78&amp;" (+"&amp;CurSym&amp;" "&amp;FIXED(IF(J78="",0,J78),0)&amp;")")</f>
        <v/>
      </c>
    </row>
    <row r="79" ht="24" customHeight="1">
      <c r="B79" s="74" t="n"/>
      <c r="C79" s="109" t="n"/>
      <c r="D79" s="72" t="n"/>
      <c r="E79" s="72" t="n"/>
      <c r="F79" s="72" t="n"/>
      <c r="G79" s="72" t="n"/>
      <c r="H79" s="113" t="n"/>
      <c r="I79" s="72" t="n"/>
      <c r="J79" s="73" t="n"/>
      <c r="K79" s="89" t="n"/>
      <c r="L79" s="74" t="n"/>
      <c r="M79" s="109" t="n"/>
      <c r="N79" s="68">
        <f>IF(AND(H79="",J79=""),"",ForecastTotal+IF(L79="Approved",0,IF(J79="",0,J79)))</f>
        <v/>
      </c>
      <c r="O79" s="75">
        <f>IF(N79="","",ContAmt-MAX(0,N79-WorkBudget))</f>
        <v/>
      </c>
      <c r="P79" s="120">
        <f>IF(OR(N79="",ForecastEnd=""),"",ForecastEnd+IF(L79="Approved",0,IF(K79="",0,K79)))</f>
        <v/>
      </c>
      <c r="Q79" s="121">
        <f>IF(OR(N79="",WorkBudget=0),"",N79/WorkBudget-1)</f>
        <v/>
      </c>
      <c r="R79" s="79">
        <f>IF(N79="","",IF(N79&lt;=WorkBudget,0,IF(N79&lt;=TotalBudget,1,2)))</f>
        <v/>
      </c>
      <c r="S79" s="112">
        <f>IF(AND(OR(H79&lt;&gt;"",J79&lt;&gt;""),OR(L79="Pending",L79=""),C79&lt;&gt;""),C79+3,"")</f>
        <v/>
      </c>
      <c r="T79" s="79">
        <f>IF(S79="","",IF(AsOf&gt;S79,1,2))</f>
        <v/>
      </c>
      <c r="U79" s="79">
        <f>IF(T79="","","Decide on change order "&amp;B79&amp;": "&amp;H79&amp;" (+"&amp;CurSym&amp;" "&amp;FIXED(IF(J79="",0,J79),0)&amp;")")</f>
        <v/>
      </c>
    </row>
    <row r="80" ht="24" customHeight="1">
      <c r="B80" s="74" t="n"/>
      <c r="C80" s="109" t="n"/>
      <c r="D80" s="72" t="n"/>
      <c r="E80" s="72" t="n"/>
      <c r="F80" s="72" t="n"/>
      <c r="G80" s="72" t="n"/>
      <c r="H80" s="113" t="n"/>
      <c r="I80" s="72" t="n"/>
      <c r="J80" s="73" t="n"/>
      <c r="K80" s="89" t="n"/>
      <c r="L80" s="74" t="n"/>
      <c r="M80" s="109" t="n"/>
      <c r="N80" s="68">
        <f>IF(AND(H80="",J80=""),"",ForecastTotal+IF(L80="Approved",0,IF(J80="",0,J80)))</f>
        <v/>
      </c>
      <c r="O80" s="75">
        <f>IF(N80="","",ContAmt-MAX(0,N80-WorkBudget))</f>
        <v/>
      </c>
      <c r="P80" s="120">
        <f>IF(OR(N80="",ForecastEnd=""),"",ForecastEnd+IF(L80="Approved",0,IF(K80="",0,K80)))</f>
        <v/>
      </c>
      <c r="Q80" s="121">
        <f>IF(OR(N80="",WorkBudget=0),"",N80/WorkBudget-1)</f>
        <v/>
      </c>
      <c r="R80" s="79">
        <f>IF(N80="","",IF(N80&lt;=WorkBudget,0,IF(N80&lt;=TotalBudget,1,2)))</f>
        <v/>
      </c>
      <c r="S80" s="112">
        <f>IF(AND(OR(H80&lt;&gt;"",J80&lt;&gt;""),OR(L80="Pending",L80=""),C80&lt;&gt;""),C80+3,"")</f>
        <v/>
      </c>
      <c r="T80" s="79">
        <f>IF(S80="","",IF(AsOf&gt;S80,1,2))</f>
        <v/>
      </c>
      <c r="U80" s="79">
        <f>IF(T80="","","Decide on change order "&amp;B80&amp;": "&amp;H80&amp;" (+"&amp;CurSym&amp;" "&amp;FIXED(IF(J80="",0,J80),0)&amp;")")</f>
        <v/>
      </c>
    </row>
    <row r="81" ht="24" customHeight="1">
      <c r="B81" s="74" t="n"/>
      <c r="C81" s="109" t="n"/>
      <c r="D81" s="72" t="n"/>
      <c r="E81" s="72" t="n"/>
      <c r="F81" s="72" t="n"/>
      <c r="G81" s="72" t="n"/>
      <c r="H81" s="113" t="n"/>
      <c r="I81" s="72" t="n"/>
      <c r="J81" s="73" t="n"/>
      <c r="K81" s="89" t="n"/>
      <c r="L81" s="74" t="n"/>
      <c r="M81" s="109" t="n"/>
      <c r="N81" s="68">
        <f>IF(AND(H81="",J81=""),"",ForecastTotal+IF(L81="Approved",0,IF(J81="",0,J81)))</f>
        <v/>
      </c>
      <c r="O81" s="75">
        <f>IF(N81="","",ContAmt-MAX(0,N81-WorkBudget))</f>
        <v/>
      </c>
      <c r="P81" s="120">
        <f>IF(OR(N81="",ForecastEnd=""),"",ForecastEnd+IF(L81="Approved",0,IF(K81="",0,K81)))</f>
        <v/>
      </c>
      <c r="Q81" s="121">
        <f>IF(OR(N81="",WorkBudget=0),"",N81/WorkBudget-1)</f>
        <v/>
      </c>
      <c r="R81" s="79">
        <f>IF(N81="","",IF(N81&lt;=WorkBudget,0,IF(N81&lt;=TotalBudget,1,2)))</f>
        <v/>
      </c>
      <c r="S81" s="112">
        <f>IF(AND(OR(H81&lt;&gt;"",J81&lt;&gt;""),OR(L81="Pending",L81=""),C81&lt;&gt;""),C81+3,"")</f>
        <v/>
      </c>
      <c r="T81" s="79">
        <f>IF(S81="","",IF(AsOf&gt;S81,1,2))</f>
        <v/>
      </c>
      <c r="U81" s="79">
        <f>IF(T81="","","Decide on change order "&amp;B81&amp;": "&amp;H81&amp;" (+"&amp;CurSym&amp;" "&amp;FIXED(IF(J81="",0,J81),0)&amp;")")</f>
        <v/>
      </c>
    </row>
    <row r="82" ht="24" customHeight="1">
      <c r="B82" s="74" t="n"/>
      <c r="C82" s="109" t="n"/>
      <c r="D82" s="72" t="n"/>
      <c r="E82" s="72" t="n"/>
      <c r="F82" s="72" t="n"/>
      <c r="G82" s="72" t="n"/>
      <c r="H82" s="113" t="n"/>
      <c r="I82" s="72" t="n"/>
      <c r="J82" s="73" t="n"/>
      <c r="K82" s="89" t="n"/>
      <c r="L82" s="74" t="n"/>
      <c r="M82" s="109" t="n"/>
      <c r="N82" s="68">
        <f>IF(AND(H82="",J82=""),"",ForecastTotal+IF(L82="Approved",0,IF(J82="",0,J82)))</f>
        <v/>
      </c>
      <c r="O82" s="75">
        <f>IF(N82="","",ContAmt-MAX(0,N82-WorkBudget))</f>
        <v/>
      </c>
      <c r="P82" s="120">
        <f>IF(OR(N82="",ForecastEnd=""),"",ForecastEnd+IF(L82="Approved",0,IF(K82="",0,K82)))</f>
        <v/>
      </c>
      <c r="Q82" s="121">
        <f>IF(OR(N82="",WorkBudget=0),"",N82/WorkBudget-1)</f>
        <v/>
      </c>
      <c r="R82" s="79">
        <f>IF(N82="","",IF(N82&lt;=WorkBudget,0,IF(N82&lt;=TotalBudget,1,2)))</f>
        <v/>
      </c>
      <c r="S82" s="112">
        <f>IF(AND(OR(H82&lt;&gt;"",J82&lt;&gt;""),OR(L82="Pending",L82=""),C82&lt;&gt;""),C82+3,"")</f>
        <v/>
      </c>
      <c r="T82" s="79">
        <f>IF(S82="","",IF(AsOf&gt;S82,1,2))</f>
        <v/>
      </c>
      <c r="U82" s="79">
        <f>IF(T82="","","Decide on change order "&amp;B82&amp;": "&amp;H82&amp;" (+"&amp;CurSym&amp;" "&amp;FIXED(IF(J82="",0,J82),0)&amp;")")</f>
        <v/>
      </c>
    </row>
    <row r="83" ht="24" customHeight="1">
      <c r="B83" s="74" t="n"/>
      <c r="C83" s="109" t="n"/>
      <c r="D83" s="72" t="n"/>
      <c r="E83" s="72" t="n"/>
      <c r="F83" s="72" t="n"/>
      <c r="G83" s="72" t="n"/>
      <c r="H83" s="113" t="n"/>
      <c r="I83" s="72" t="n"/>
      <c r="J83" s="73" t="n"/>
      <c r="K83" s="89" t="n"/>
      <c r="L83" s="74" t="n"/>
      <c r="M83" s="109" t="n"/>
      <c r="N83" s="68">
        <f>IF(AND(H83="",J83=""),"",ForecastTotal+IF(L83="Approved",0,IF(J83="",0,J83)))</f>
        <v/>
      </c>
      <c r="O83" s="75">
        <f>IF(N83="","",ContAmt-MAX(0,N83-WorkBudget))</f>
        <v/>
      </c>
      <c r="P83" s="120">
        <f>IF(OR(N83="",ForecastEnd=""),"",ForecastEnd+IF(L83="Approved",0,IF(K83="",0,K83)))</f>
        <v/>
      </c>
      <c r="Q83" s="121">
        <f>IF(OR(N83="",WorkBudget=0),"",N83/WorkBudget-1)</f>
        <v/>
      </c>
      <c r="R83" s="79">
        <f>IF(N83="","",IF(N83&lt;=WorkBudget,0,IF(N83&lt;=TotalBudget,1,2)))</f>
        <v/>
      </c>
      <c r="S83" s="112">
        <f>IF(AND(OR(H83&lt;&gt;"",J83&lt;&gt;""),OR(L83="Pending",L83=""),C83&lt;&gt;""),C83+3,"")</f>
        <v/>
      </c>
      <c r="T83" s="79">
        <f>IF(S83="","",IF(AsOf&gt;S83,1,2))</f>
        <v/>
      </c>
      <c r="U83" s="79">
        <f>IF(T83="","","Decide on change order "&amp;B83&amp;": "&amp;H83&amp;" (+"&amp;CurSym&amp;" "&amp;FIXED(IF(J83="",0,J83),0)&amp;")")</f>
        <v/>
      </c>
    </row>
    <row r="84" ht="24" customHeight="1">
      <c r="B84" s="74" t="n"/>
      <c r="C84" s="109" t="n"/>
      <c r="D84" s="72" t="n"/>
      <c r="E84" s="72" t="n"/>
      <c r="F84" s="72" t="n"/>
      <c r="G84" s="72" t="n"/>
      <c r="H84" s="113" t="n"/>
      <c r="I84" s="72" t="n"/>
      <c r="J84" s="73" t="n"/>
      <c r="K84" s="89" t="n"/>
      <c r="L84" s="74" t="n"/>
      <c r="M84" s="109" t="n"/>
      <c r="N84" s="68">
        <f>IF(AND(H84="",J84=""),"",ForecastTotal+IF(L84="Approved",0,IF(J84="",0,J84)))</f>
        <v/>
      </c>
      <c r="O84" s="75">
        <f>IF(N84="","",ContAmt-MAX(0,N84-WorkBudget))</f>
        <v/>
      </c>
      <c r="P84" s="120">
        <f>IF(OR(N84="",ForecastEnd=""),"",ForecastEnd+IF(L84="Approved",0,IF(K84="",0,K84)))</f>
        <v/>
      </c>
      <c r="Q84" s="121">
        <f>IF(OR(N84="",WorkBudget=0),"",N84/WorkBudget-1)</f>
        <v/>
      </c>
      <c r="R84" s="79">
        <f>IF(N84="","",IF(N84&lt;=WorkBudget,0,IF(N84&lt;=TotalBudget,1,2)))</f>
        <v/>
      </c>
      <c r="S84" s="112">
        <f>IF(AND(OR(H84&lt;&gt;"",J84&lt;&gt;""),OR(L84="Pending",L84=""),C84&lt;&gt;""),C84+3,"")</f>
        <v/>
      </c>
      <c r="T84" s="79">
        <f>IF(S84="","",IF(AsOf&gt;S84,1,2))</f>
        <v/>
      </c>
      <c r="U84" s="79">
        <f>IF(T84="","","Decide on change order "&amp;B84&amp;": "&amp;H84&amp;" (+"&amp;CurSym&amp;" "&amp;FIXED(IF(J84="",0,J84),0)&amp;")")</f>
        <v/>
      </c>
    </row>
    <row r="85" ht="24" customHeight="1">
      <c r="B85" s="74" t="n"/>
      <c r="C85" s="109" t="n"/>
      <c r="D85" s="72" t="n"/>
      <c r="E85" s="72" t="n"/>
      <c r="F85" s="72" t="n"/>
      <c r="G85" s="72" t="n"/>
      <c r="H85" s="113" t="n"/>
      <c r="I85" s="72" t="n"/>
      <c r="J85" s="73" t="n"/>
      <c r="K85" s="89" t="n"/>
      <c r="L85" s="74" t="n"/>
      <c r="M85" s="109" t="n"/>
      <c r="N85" s="68">
        <f>IF(AND(H85="",J85=""),"",ForecastTotal+IF(L85="Approved",0,IF(J85="",0,J85)))</f>
        <v/>
      </c>
      <c r="O85" s="75">
        <f>IF(N85="","",ContAmt-MAX(0,N85-WorkBudget))</f>
        <v/>
      </c>
      <c r="P85" s="120">
        <f>IF(OR(N85="",ForecastEnd=""),"",ForecastEnd+IF(L85="Approved",0,IF(K85="",0,K85)))</f>
        <v/>
      </c>
      <c r="Q85" s="121">
        <f>IF(OR(N85="",WorkBudget=0),"",N85/WorkBudget-1)</f>
        <v/>
      </c>
      <c r="R85" s="79">
        <f>IF(N85="","",IF(N85&lt;=WorkBudget,0,IF(N85&lt;=TotalBudget,1,2)))</f>
        <v/>
      </c>
      <c r="S85" s="112">
        <f>IF(AND(OR(H85&lt;&gt;"",J85&lt;&gt;""),OR(L85="Pending",L85=""),C85&lt;&gt;""),C85+3,"")</f>
        <v/>
      </c>
      <c r="T85" s="79">
        <f>IF(S85="","",IF(AsOf&gt;S85,1,2))</f>
        <v/>
      </c>
      <c r="U85" s="79">
        <f>IF(T85="","","Decide on change order "&amp;B85&amp;": "&amp;H85&amp;" (+"&amp;CurSym&amp;" "&amp;FIXED(IF(J85="",0,J85),0)&amp;")")</f>
        <v/>
      </c>
    </row>
    <row r="86" ht="24" customHeight="1">
      <c r="B86" s="74" t="n"/>
      <c r="C86" s="109" t="n"/>
      <c r="D86" s="72" t="n"/>
      <c r="E86" s="72" t="n"/>
      <c r="F86" s="72" t="n"/>
      <c r="G86" s="72" t="n"/>
      <c r="H86" s="113" t="n"/>
      <c r="I86" s="72" t="n"/>
      <c r="J86" s="73" t="n"/>
      <c r="K86" s="89" t="n"/>
      <c r="L86" s="74" t="n"/>
      <c r="M86" s="109" t="n"/>
      <c r="N86" s="68">
        <f>IF(AND(H86="",J86=""),"",ForecastTotal+IF(L86="Approved",0,IF(J86="",0,J86)))</f>
        <v/>
      </c>
      <c r="O86" s="75">
        <f>IF(N86="","",ContAmt-MAX(0,N86-WorkBudget))</f>
        <v/>
      </c>
      <c r="P86" s="120">
        <f>IF(OR(N86="",ForecastEnd=""),"",ForecastEnd+IF(L86="Approved",0,IF(K86="",0,K86)))</f>
        <v/>
      </c>
      <c r="Q86" s="121">
        <f>IF(OR(N86="",WorkBudget=0),"",N86/WorkBudget-1)</f>
        <v/>
      </c>
      <c r="R86" s="79">
        <f>IF(N86="","",IF(N86&lt;=WorkBudget,0,IF(N86&lt;=TotalBudget,1,2)))</f>
        <v/>
      </c>
      <c r="S86" s="112">
        <f>IF(AND(OR(H86&lt;&gt;"",J86&lt;&gt;""),OR(L86="Pending",L86=""),C86&lt;&gt;""),C86+3,"")</f>
        <v/>
      </c>
      <c r="T86" s="79">
        <f>IF(S86="","",IF(AsOf&gt;S86,1,2))</f>
        <v/>
      </c>
      <c r="U86" s="79">
        <f>IF(T86="","","Decide on change order "&amp;B86&amp;": "&amp;H86&amp;" (+"&amp;CurSym&amp;" "&amp;FIXED(IF(J86="",0,J86),0)&amp;")")</f>
        <v/>
      </c>
    </row>
    <row r="87" ht="24" customHeight="1">
      <c r="B87" s="74" t="n"/>
      <c r="C87" s="109" t="n"/>
      <c r="D87" s="72" t="n"/>
      <c r="E87" s="72" t="n"/>
      <c r="F87" s="72" t="n"/>
      <c r="G87" s="72" t="n"/>
      <c r="H87" s="113" t="n"/>
      <c r="I87" s="72" t="n"/>
      <c r="J87" s="73" t="n"/>
      <c r="K87" s="89" t="n"/>
      <c r="L87" s="74" t="n"/>
      <c r="M87" s="109" t="n"/>
      <c r="N87" s="68">
        <f>IF(AND(H87="",J87=""),"",ForecastTotal+IF(L87="Approved",0,IF(J87="",0,J87)))</f>
        <v/>
      </c>
      <c r="O87" s="75">
        <f>IF(N87="","",ContAmt-MAX(0,N87-WorkBudget))</f>
        <v/>
      </c>
      <c r="P87" s="120">
        <f>IF(OR(N87="",ForecastEnd=""),"",ForecastEnd+IF(L87="Approved",0,IF(K87="",0,K87)))</f>
        <v/>
      </c>
      <c r="Q87" s="121">
        <f>IF(OR(N87="",WorkBudget=0),"",N87/WorkBudget-1)</f>
        <v/>
      </c>
      <c r="R87" s="79">
        <f>IF(N87="","",IF(N87&lt;=WorkBudget,0,IF(N87&lt;=TotalBudget,1,2)))</f>
        <v/>
      </c>
      <c r="S87" s="112">
        <f>IF(AND(OR(H87&lt;&gt;"",J87&lt;&gt;""),OR(L87="Pending",L87=""),C87&lt;&gt;""),C87+3,"")</f>
        <v/>
      </c>
      <c r="T87" s="79">
        <f>IF(S87="","",IF(AsOf&gt;S87,1,2))</f>
        <v/>
      </c>
      <c r="U87" s="79">
        <f>IF(T87="","","Decide on change order "&amp;B87&amp;": "&amp;H87&amp;" (+"&amp;CurSym&amp;" "&amp;FIXED(IF(J87="",0,J87),0)&amp;")")</f>
        <v/>
      </c>
    </row>
    <row r="88" ht="24" customHeight="1">
      <c r="B88" s="74" t="n"/>
      <c r="C88" s="109" t="n"/>
      <c r="D88" s="72" t="n"/>
      <c r="E88" s="72" t="n"/>
      <c r="F88" s="72" t="n"/>
      <c r="G88" s="72" t="n"/>
      <c r="H88" s="113" t="n"/>
      <c r="I88" s="72" t="n"/>
      <c r="J88" s="73" t="n"/>
      <c r="K88" s="89" t="n"/>
      <c r="L88" s="74" t="n"/>
      <c r="M88" s="109" t="n"/>
      <c r="N88" s="68">
        <f>IF(AND(H88="",J88=""),"",ForecastTotal+IF(L88="Approved",0,IF(J88="",0,J88)))</f>
        <v/>
      </c>
      <c r="O88" s="75">
        <f>IF(N88="","",ContAmt-MAX(0,N88-WorkBudget))</f>
        <v/>
      </c>
      <c r="P88" s="120">
        <f>IF(OR(N88="",ForecastEnd=""),"",ForecastEnd+IF(L88="Approved",0,IF(K88="",0,K88)))</f>
        <v/>
      </c>
      <c r="Q88" s="121">
        <f>IF(OR(N88="",WorkBudget=0),"",N88/WorkBudget-1)</f>
        <v/>
      </c>
      <c r="R88" s="79">
        <f>IF(N88="","",IF(N88&lt;=WorkBudget,0,IF(N88&lt;=TotalBudget,1,2)))</f>
        <v/>
      </c>
      <c r="S88" s="112">
        <f>IF(AND(OR(H88&lt;&gt;"",J88&lt;&gt;""),OR(L88="Pending",L88=""),C88&lt;&gt;""),C88+3,"")</f>
        <v/>
      </c>
      <c r="T88" s="79">
        <f>IF(S88="","",IF(AsOf&gt;S88,1,2))</f>
        <v/>
      </c>
      <c r="U88" s="79">
        <f>IF(T88="","","Decide on change order "&amp;B88&amp;": "&amp;H88&amp;" (+"&amp;CurSym&amp;" "&amp;FIXED(IF(J88="",0,J88),0)&amp;")")</f>
        <v/>
      </c>
    </row>
    <row r="89" ht="24" customHeight="1">
      <c r="B89" s="74" t="n"/>
      <c r="C89" s="109" t="n"/>
      <c r="D89" s="72" t="n"/>
      <c r="E89" s="72" t="n"/>
      <c r="F89" s="72" t="n"/>
      <c r="G89" s="72" t="n"/>
      <c r="H89" s="113" t="n"/>
      <c r="I89" s="72" t="n"/>
      <c r="J89" s="73" t="n"/>
      <c r="K89" s="89" t="n"/>
      <c r="L89" s="74" t="n"/>
      <c r="M89" s="109" t="n"/>
      <c r="N89" s="68">
        <f>IF(AND(H89="",J89=""),"",ForecastTotal+IF(L89="Approved",0,IF(J89="",0,J89)))</f>
        <v/>
      </c>
      <c r="O89" s="75">
        <f>IF(N89="","",ContAmt-MAX(0,N89-WorkBudget))</f>
        <v/>
      </c>
      <c r="P89" s="120">
        <f>IF(OR(N89="",ForecastEnd=""),"",ForecastEnd+IF(L89="Approved",0,IF(K89="",0,K89)))</f>
        <v/>
      </c>
      <c r="Q89" s="121">
        <f>IF(OR(N89="",WorkBudget=0),"",N89/WorkBudget-1)</f>
        <v/>
      </c>
      <c r="R89" s="79">
        <f>IF(N89="","",IF(N89&lt;=WorkBudget,0,IF(N89&lt;=TotalBudget,1,2)))</f>
        <v/>
      </c>
      <c r="S89" s="112">
        <f>IF(AND(OR(H89&lt;&gt;"",J89&lt;&gt;""),OR(L89="Pending",L89=""),C89&lt;&gt;""),C89+3,"")</f>
        <v/>
      </c>
      <c r="T89" s="79">
        <f>IF(S89="","",IF(AsOf&gt;S89,1,2))</f>
        <v/>
      </c>
      <c r="U89" s="79">
        <f>IF(T89="","","Decide on change order "&amp;B89&amp;": "&amp;H89&amp;" (+"&amp;CurSym&amp;" "&amp;FIXED(IF(J89="",0,J89),0)&amp;")")</f>
        <v/>
      </c>
    </row>
    <row r="90" ht="24" customHeight="1">
      <c r="B90" s="74" t="n"/>
      <c r="C90" s="109" t="n"/>
      <c r="D90" s="72" t="n"/>
      <c r="E90" s="72" t="n"/>
      <c r="F90" s="72" t="n"/>
      <c r="G90" s="72" t="n"/>
      <c r="H90" s="113" t="n"/>
      <c r="I90" s="72" t="n"/>
      <c r="J90" s="73" t="n"/>
      <c r="K90" s="89" t="n"/>
      <c r="L90" s="74" t="n"/>
      <c r="M90" s="109" t="n"/>
      <c r="N90" s="68">
        <f>IF(AND(H90="",J90=""),"",ForecastTotal+IF(L90="Approved",0,IF(J90="",0,J90)))</f>
        <v/>
      </c>
      <c r="O90" s="75">
        <f>IF(N90="","",ContAmt-MAX(0,N90-WorkBudget))</f>
        <v/>
      </c>
      <c r="P90" s="120">
        <f>IF(OR(N90="",ForecastEnd=""),"",ForecastEnd+IF(L90="Approved",0,IF(K90="",0,K90)))</f>
        <v/>
      </c>
      <c r="Q90" s="121">
        <f>IF(OR(N90="",WorkBudget=0),"",N90/WorkBudget-1)</f>
        <v/>
      </c>
      <c r="R90" s="79">
        <f>IF(N90="","",IF(N90&lt;=WorkBudget,0,IF(N90&lt;=TotalBudget,1,2)))</f>
        <v/>
      </c>
      <c r="S90" s="112">
        <f>IF(AND(OR(H90&lt;&gt;"",J90&lt;&gt;""),OR(L90="Pending",L90=""),C90&lt;&gt;""),C90+3,"")</f>
        <v/>
      </c>
      <c r="T90" s="79">
        <f>IF(S90="","",IF(AsOf&gt;S90,1,2))</f>
        <v/>
      </c>
      <c r="U90" s="79">
        <f>IF(T90="","","Decide on change order "&amp;B90&amp;": "&amp;H90&amp;" (+"&amp;CurSym&amp;" "&amp;FIXED(IF(J90="",0,J90),0)&amp;")")</f>
        <v/>
      </c>
    </row>
    <row r="91" ht="24" customHeight="1">
      <c r="B91" s="74" t="n"/>
      <c r="C91" s="109" t="n"/>
      <c r="D91" s="72" t="n"/>
      <c r="E91" s="72" t="n"/>
      <c r="F91" s="72" t="n"/>
      <c r="G91" s="72" t="n"/>
      <c r="H91" s="113" t="n"/>
      <c r="I91" s="72" t="n"/>
      <c r="J91" s="73" t="n"/>
      <c r="K91" s="89" t="n"/>
      <c r="L91" s="74" t="n"/>
      <c r="M91" s="109" t="n"/>
      <c r="N91" s="68">
        <f>IF(AND(H91="",J91=""),"",ForecastTotal+IF(L91="Approved",0,IF(J91="",0,J91)))</f>
        <v/>
      </c>
      <c r="O91" s="75">
        <f>IF(N91="","",ContAmt-MAX(0,N91-WorkBudget))</f>
        <v/>
      </c>
      <c r="P91" s="120">
        <f>IF(OR(N91="",ForecastEnd=""),"",ForecastEnd+IF(L91="Approved",0,IF(K91="",0,K91)))</f>
        <v/>
      </c>
      <c r="Q91" s="121">
        <f>IF(OR(N91="",WorkBudget=0),"",N91/WorkBudget-1)</f>
        <v/>
      </c>
      <c r="R91" s="79">
        <f>IF(N91="","",IF(N91&lt;=WorkBudget,0,IF(N91&lt;=TotalBudget,1,2)))</f>
        <v/>
      </c>
      <c r="S91" s="112">
        <f>IF(AND(OR(H91&lt;&gt;"",J91&lt;&gt;""),OR(L91="Pending",L91=""),C91&lt;&gt;""),C91+3,"")</f>
        <v/>
      </c>
      <c r="T91" s="79">
        <f>IF(S91="","",IF(AsOf&gt;S91,1,2))</f>
        <v/>
      </c>
      <c r="U91" s="79">
        <f>IF(T91="","","Decide on change order "&amp;B91&amp;": "&amp;H91&amp;" (+"&amp;CurSym&amp;" "&amp;FIXED(IF(J91="",0,J91),0)&amp;")")</f>
        <v/>
      </c>
    </row>
    <row r="92" ht="24" customHeight="1">
      <c r="B92" s="74" t="n"/>
      <c r="C92" s="109" t="n"/>
      <c r="D92" s="72" t="n"/>
      <c r="E92" s="72" t="n"/>
      <c r="F92" s="72" t="n"/>
      <c r="G92" s="72" t="n"/>
      <c r="H92" s="113" t="n"/>
      <c r="I92" s="72" t="n"/>
      <c r="J92" s="73" t="n"/>
      <c r="K92" s="89" t="n"/>
      <c r="L92" s="74" t="n"/>
      <c r="M92" s="109" t="n"/>
      <c r="N92" s="68">
        <f>IF(AND(H92="",J92=""),"",ForecastTotal+IF(L92="Approved",0,IF(J92="",0,J92)))</f>
        <v/>
      </c>
      <c r="O92" s="75">
        <f>IF(N92="","",ContAmt-MAX(0,N92-WorkBudget))</f>
        <v/>
      </c>
      <c r="P92" s="120">
        <f>IF(OR(N92="",ForecastEnd=""),"",ForecastEnd+IF(L92="Approved",0,IF(K92="",0,K92)))</f>
        <v/>
      </c>
      <c r="Q92" s="121">
        <f>IF(OR(N92="",WorkBudget=0),"",N92/WorkBudget-1)</f>
        <v/>
      </c>
      <c r="R92" s="79">
        <f>IF(N92="","",IF(N92&lt;=WorkBudget,0,IF(N92&lt;=TotalBudget,1,2)))</f>
        <v/>
      </c>
      <c r="S92" s="112">
        <f>IF(AND(OR(H92&lt;&gt;"",J92&lt;&gt;""),OR(L92="Pending",L92=""),C92&lt;&gt;""),C92+3,"")</f>
        <v/>
      </c>
      <c r="T92" s="79">
        <f>IF(S92="","",IF(AsOf&gt;S92,1,2))</f>
        <v/>
      </c>
      <c r="U92" s="79">
        <f>IF(T92="","","Decide on change order "&amp;B92&amp;": "&amp;H92&amp;" (+"&amp;CurSym&amp;" "&amp;FIXED(IF(J92="",0,J92),0)&amp;")")</f>
        <v/>
      </c>
    </row>
    <row r="93" ht="24" customHeight="1">
      <c r="B93" s="74" t="n"/>
      <c r="C93" s="109" t="n"/>
      <c r="D93" s="72" t="n"/>
      <c r="E93" s="72" t="n"/>
      <c r="F93" s="72" t="n"/>
      <c r="G93" s="72" t="n"/>
      <c r="H93" s="113" t="n"/>
      <c r="I93" s="72" t="n"/>
      <c r="J93" s="73" t="n"/>
      <c r="K93" s="89" t="n"/>
      <c r="L93" s="74" t="n"/>
      <c r="M93" s="109" t="n"/>
      <c r="N93" s="68">
        <f>IF(AND(H93="",J93=""),"",ForecastTotal+IF(L93="Approved",0,IF(J93="",0,J93)))</f>
        <v/>
      </c>
      <c r="O93" s="75">
        <f>IF(N93="","",ContAmt-MAX(0,N93-WorkBudget))</f>
        <v/>
      </c>
      <c r="P93" s="120">
        <f>IF(OR(N93="",ForecastEnd=""),"",ForecastEnd+IF(L93="Approved",0,IF(K93="",0,K93)))</f>
        <v/>
      </c>
      <c r="Q93" s="121">
        <f>IF(OR(N93="",WorkBudget=0),"",N93/WorkBudget-1)</f>
        <v/>
      </c>
      <c r="R93" s="79">
        <f>IF(N93="","",IF(N93&lt;=WorkBudget,0,IF(N93&lt;=TotalBudget,1,2)))</f>
        <v/>
      </c>
      <c r="S93" s="112">
        <f>IF(AND(OR(H93&lt;&gt;"",J93&lt;&gt;""),OR(L93="Pending",L93=""),C93&lt;&gt;""),C93+3,"")</f>
        <v/>
      </c>
      <c r="T93" s="79">
        <f>IF(S93="","",IF(AsOf&gt;S93,1,2))</f>
        <v/>
      </c>
      <c r="U93" s="79">
        <f>IF(T93="","","Decide on change order "&amp;B93&amp;": "&amp;H93&amp;" (+"&amp;CurSym&amp;" "&amp;FIXED(IF(J93="",0,J93),0)&amp;")")</f>
        <v/>
      </c>
    </row>
    <row r="94" ht="24" customHeight="1">
      <c r="B94" s="74" t="n"/>
      <c r="C94" s="109" t="n"/>
      <c r="D94" s="72" t="n"/>
      <c r="E94" s="72" t="n"/>
      <c r="F94" s="72" t="n"/>
      <c r="G94" s="72" t="n"/>
      <c r="H94" s="113" t="n"/>
      <c r="I94" s="72" t="n"/>
      <c r="J94" s="73" t="n"/>
      <c r="K94" s="89" t="n"/>
      <c r="L94" s="74" t="n"/>
      <c r="M94" s="109" t="n"/>
      <c r="N94" s="68">
        <f>IF(AND(H94="",J94=""),"",ForecastTotal+IF(L94="Approved",0,IF(J94="",0,J94)))</f>
        <v/>
      </c>
      <c r="O94" s="75">
        <f>IF(N94="","",ContAmt-MAX(0,N94-WorkBudget))</f>
        <v/>
      </c>
      <c r="P94" s="120">
        <f>IF(OR(N94="",ForecastEnd=""),"",ForecastEnd+IF(L94="Approved",0,IF(K94="",0,K94)))</f>
        <v/>
      </c>
      <c r="Q94" s="121">
        <f>IF(OR(N94="",WorkBudget=0),"",N94/WorkBudget-1)</f>
        <v/>
      </c>
      <c r="R94" s="79">
        <f>IF(N94="","",IF(N94&lt;=WorkBudget,0,IF(N94&lt;=TotalBudget,1,2)))</f>
        <v/>
      </c>
      <c r="S94" s="112">
        <f>IF(AND(OR(H94&lt;&gt;"",J94&lt;&gt;""),OR(L94="Pending",L94=""),C94&lt;&gt;""),C94+3,"")</f>
        <v/>
      </c>
      <c r="T94" s="79">
        <f>IF(S94="","",IF(AsOf&gt;S94,1,2))</f>
        <v/>
      </c>
      <c r="U94" s="79">
        <f>IF(T94="","","Decide on change order "&amp;B94&amp;": "&amp;H94&amp;" (+"&amp;CurSym&amp;" "&amp;FIXED(IF(J94="",0,J94),0)&amp;")")</f>
        <v/>
      </c>
    </row>
    <row r="95" ht="24" customHeight="1">
      <c r="B95" s="74" t="n"/>
      <c r="C95" s="109" t="n"/>
      <c r="D95" s="72" t="n"/>
      <c r="E95" s="72" t="n"/>
      <c r="F95" s="72" t="n"/>
      <c r="G95" s="72" t="n"/>
      <c r="H95" s="113" t="n"/>
      <c r="I95" s="72" t="n"/>
      <c r="J95" s="73" t="n"/>
      <c r="K95" s="89" t="n"/>
      <c r="L95" s="74" t="n"/>
      <c r="M95" s="109" t="n"/>
      <c r="N95" s="68">
        <f>IF(AND(H95="",J95=""),"",ForecastTotal+IF(L95="Approved",0,IF(J95="",0,J95)))</f>
        <v/>
      </c>
      <c r="O95" s="75">
        <f>IF(N95="","",ContAmt-MAX(0,N95-WorkBudget))</f>
        <v/>
      </c>
      <c r="P95" s="120">
        <f>IF(OR(N95="",ForecastEnd=""),"",ForecastEnd+IF(L95="Approved",0,IF(K95="",0,K95)))</f>
        <v/>
      </c>
      <c r="Q95" s="121">
        <f>IF(OR(N95="",WorkBudget=0),"",N95/WorkBudget-1)</f>
        <v/>
      </c>
      <c r="R95" s="79">
        <f>IF(N95="","",IF(N95&lt;=WorkBudget,0,IF(N95&lt;=TotalBudget,1,2)))</f>
        <v/>
      </c>
      <c r="S95" s="112">
        <f>IF(AND(OR(H95&lt;&gt;"",J95&lt;&gt;""),OR(L95="Pending",L95=""),C95&lt;&gt;""),C95+3,"")</f>
        <v/>
      </c>
      <c r="T95" s="79">
        <f>IF(S95="","",IF(AsOf&gt;S95,1,2))</f>
        <v/>
      </c>
      <c r="U95" s="79">
        <f>IF(T95="","","Decide on change order "&amp;B95&amp;": "&amp;H95&amp;" (+"&amp;CurSym&amp;" "&amp;FIXED(IF(J95="",0,J95),0)&amp;")")</f>
        <v/>
      </c>
    </row>
    <row r="96" ht="24" customHeight="1">
      <c r="B96" s="74" t="n"/>
      <c r="C96" s="109" t="n"/>
      <c r="D96" s="72" t="n"/>
      <c r="E96" s="72" t="n"/>
      <c r="F96" s="72" t="n"/>
      <c r="G96" s="72" t="n"/>
      <c r="H96" s="113" t="n"/>
      <c r="I96" s="72" t="n"/>
      <c r="J96" s="73" t="n"/>
      <c r="K96" s="89" t="n"/>
      <c r="L96" s="74" t="n"/>
      <c r="M96" s="109" t="n"/>
      <c r="N96" s="68">
        <f>IF(AND(H96="",J96=""),"",ForecastTotal+IF(L96="Approved",0,IF(J96="",0,J96)))</f>
        <v/>
      </c>
      <c r="O96" s="75">
        <f>IF(N96="","",ContAmt-MAX(0,N96-WorkBudget))</f>
        <v/>
      </c>
      <c r="P96" s="120">
        <f>IF(OR(N96="",ForecastEnd=""),"",ForecastEnd+IF(L96="Approved",0,IF(K96="",0,K96)))</f>
        <v/>
      </c>
      <c r="Q96" s="121">
        <f>IF(OR(N96="",WorkBudget=0),"",N96/WorkBudget-1)</f>
        <v/>
      </c>
      <c r="R96" s="79">
        <f>IF(N96="","",IF(N96&lt;=WorkBudget,0,IF(N96&lt;=TotalBudget,1,2)))</f>
        <v/>
      </c>
      <c r="S96" s="112">
        <f>IF(AND(OR(H96&lt;&gt;"",J96&lt;&gt;""),OR(L96="Pending",L96=""),C96&lt;&gt;""),C96+3,"")</f>
        <v/>
      </c>
      <c r="T96" s="79">
        <f>IF(S96="","",IF(AsOf&gt;S96,1,2))</f>
        <v/>
      </c>
      <c r="U96" s="79">
        <f>IF(T96="","","Decide on change order "&amp;B96&amp;": "&amp;H96&amp;" (+"&amp;CurSym&amp;" "&amp;FIXED(IF(J96="",0,J96),0)&amp;")")</f>
        <v/>
      </c>
    </row>
    <row r="97" ht="24" customHeight="1">
      <c r="B97" s="74" t="n"/>
      <c r="C97" s="109" t="n"/>
      <c r="D97" s="72" t="n"/>
      <c r="E97" s="72" t="n"/>
      <c r="F97" s="72" t="n"/>
      <c r="G97" s="72" t="n"/>
      <c r="H97" s="113" t="n"/>
      <c r="I97" s="72" t="n"/>
      <c r="J97" s="73" t="n"/>
      <c r="K97" s="89" t="n"/>
      <c r="L97" s="74" t="n"/>
      <c r="M97" s="109" t="n"/>
      <c r="N97" s="68">
        <f>IF(AND(H97="",J97=""),"",ForecastTotal+IF(L97="Approved",0,IF(J97="",0,J97)))</f>
        <v/>
      </c>
      <c r="O97" s="75">
        <f>IF(N97="","",ContAmt-MAX(0,N97-WorkBudget))</f>
        <v/>
      </c>
      <c r="P97" s="120">
        <f>IF(OR(N97="",ForecastEnd=""),"",ForecastEnd+IF(L97="Approved",0,IF(K97="",0,K97)))</f>
        <v/>
      </c>
      <c r="Q97" s="121">
        <f>IF(OR(N97="",WorkBudget=0),"",N97/WorkBudget-1)</f>
        <v/>
      </c>
      <c r="R97" s="79">
        <f>IF(N97="","",IF(N97&lt;=WorkBudget,0,IF(N97&lt;=TotalBudget,1,2)))</f>
        <v/>
      </c>
      <c r="S97" s="112">
        <f>IF(AND(OR(H97&lt;&gt;"",J97&lt;&gt;""),OR(L97="Pending",L97=""),C97&lt;&gt;""),C97+3,"")</f>
        <v/>
      </c>
      <c r="T97" s="79">
        <f>IF(S97="","",IF(AsOf&gt;S97,1,2))</f>
        <v/>
      </c>
      <c r="U97" s="79">
        <f>IF(T97="","","Decide on change order "&amp;B97&amp;": "&amp;H97&amp;" (+"&amp;CurSym&amp;" "&amp;FIXED(IF(J97="",0,J97),0)&amp;")")</f>
        <v/>
      </c>
    </row>
    <row r="98" ht="24" customHeight="1">
      <c r="B98" s="74" t="n"/>
      <c r="C98" s="109" t="n"/>
      <c r="D98" s="72" t="n"/>
      <c r="E98" s="72" t="n"/>
      <c r="F98" s="72" t="n"/>
      <c r="G98" s="72" t="n"/>
      <c r="H98" s="113" t="n"/>
      <c r="I98" s="72" t="n"/>
      <c r="J98" s="73" t="n"/>
      <c r="K98" s="89" t="n"/>
      <c r="L98" s="74" t="n"/>
      <c r="M98" s="109" t="n"/>
      <c r="N98" s="68">
        <f>IF(AND(H98="",J98=""),"",ForecastTotal+IF(L98="Approved",0,IF(J98="",0,J98)))</f>
        <v/>
      </c>
      <c r="O98" s="75">
        <f>IF(N98="","",ContAmt-MAX(0,N98-WorkBudget))</f>
        <v/>
      </c>
      <c r="P98" s="120">
        <f>IF(OR(N98="",ForecastEnd=""),"",ForecastEnd+IF(L98="Approved",0,IF(K98="",0,K98)))</f>
        <v/>
      </c>
      <c r="Q98" s="121">
        <f>IF(OR(N98="",WorkBudget=0),"",N98/WorkBudget-1)</f>
        <v/>
      </c>
      <c r="R98" s="79">
        <f>IF(N98="","",IF(N98&lt;=WorkBudget,0,IF(N98&lt;=TotalBudget,1,2)))</f>
        <v/>
      </c>
      <c r="S98" s="112">
        <f>IF(AND(OR(H98&lt;&gt;"",J98&lt;&gt;""),OR(L98="Pending",L98=""),C98&lt;&gt;""),C98+3,"")</f>
        <v/>
      </c>
      <c r="T98" s="79">
        <f>IF(S98="","",IF(AsOf&gt;S98,1,2))</f>
        <v/>
      </c>
      <c r="U98" s="79">
        <f>IF(T98="","","Decide on change order "&amp;B98&amp;": "&amp;H98&amp;" (+"&amp;CurSym&amp;" "&amp;FIXED(IF(J98="",0,J98),0)&amp;")")</f>
        <v/>
      </c>
    </row>
    <row r="99" ht="24" customHeight="1">
      <c r="B99" s="74" t="n"/>
      <c r="C99" s="109" t="n"/>
      <c r="D99" s="72" t="n"/>
      <c r="E99" s="72" t="n"/>
      <c r="F99" s="72" t="n"/>
      <c r="G99" s="72" t="n"/>
      <c r="H99" s="113" t="n"/>
      <c r="I99" s="72" t="n"/>
      <c r="J99" s="73" t="n"/>
      <c r="K99" s="89" t="n"/>
      <c r="L99" s="74" t="n"/>
      <c r="M99" s="109" t="n"/>
      <c r="N99" s="68">
        <f>IF(AND(H99="",J99=""),"",ForecastTotal+IF(L99="Approved",0,IF(J99="",0,J99)))</f>
        <v/>
      </c>
      <c r="O99" s="75">
        <f>IF(N99="","",ContAmt-MAX(0,N99-WorkBudget))</f>
        <v/>
      </c>
      <c r="P99" s="120">
        <f>IF(OR(N99="",ForecastEnd=""),"",ForecastEnd+IF(L99="Approved",0,IF(K99="",0,K99)))</f>
        <v/>
      </c>
      <c r="Q99" s="121">
        <f>IF(OR(N99="",WorkBudget=0),"",N99/WorkBudget-1)</f>
        <v/>
      </c>
      <c r="R99" s="79">
        <f>IF(N99="","",IF(N99&lt;=WorkBudget,0,IF(N99&lt;=TotalBudget,1,2)))</f>
        <v/>
      </c>
      <c r="S99" s="112">
        <f>IF(AND(OR(H99&lt;&gt;"",J99&lt;&gt;""),OR(L99="Pending",L99=""),C99&lt;&gt;""),C99+3,"")</f>
        <v/>
      </c>
      <c r="T99" s="79">
        <f>IF(S99="","",IF(AsOf&gt;S99,1,2))</f>
        <v/>
      </c>
      <c r="U99" s="79">
        <f>IF(T99="","","Decide on change order "&amp;B99&amp;": "&amp;H99&amp;" (+"&amp;CurSym&amp;" "&amp;FIXED(IF(J99="",0,J99),0)&amp;")")</f>
        <v/>
      </c>
    </row>
    <row r="100" ht="24" customHeight="1">
      <c r="B100" s="74" t="n"/>
      <c r="C100" s="109" t="n"/>
      <c r="D100" s="72" t="n"/>
      <c r="E100" s="72" t="n"/>
      <c r="F100" s="72" t="n"/>
      <c r="G100" s="72" t="n"/>
      <c r="H100" s="113" t="n"/>
      <c r="I100" s="72" t="n"/>
      <c r="J100" s="73" t="n"/>
      <c r="K100" s="89" t="n"/>
      <c r="L100" s="74" t="n"/>
      <c r="M100" s="109" t="n"/>
      <c r="N100" s="68">
        <f>IF(AND(H100="",J100=""),"",ForecastTotal+IF(L100="Approved",0,IF(J100="",0,J100)))</f>
        <v/>
      </c>
      <c r="O100" s="75">
        <f>IF(N100="","",ContAmt-MAX(0,N100-WorkBudget))</f>
        <v/>
      </c>
      <c r="P100" s="120">
        <f>IF(OR(N100="",ForecastEnd=""),"",ForecastEnd+IF(L100="Approved",0,IF(K100="",0,K100)))</f>
        <v/>
      </c>
      <c r="Q100" s="121">
        <f>IF(OR(N100="",WorkBudget=0),"",N100/WorkBudget-1)</f>
        <v/>
      </c>
      <c r="R100" s="79">
        <f>IF(N100="","",IF(N100&lt;=WorkBudget,0,IF(N100&lt;=TotalBudget,1,2)))</f>
        <v/>
      </c>
      <c r="S100" s="112">
        <f>IF(AND(OR(H100&lt;&gt;"",J100&lt;&gt;""),OR(L100="Pending",L100=""),C100&lt;&gt;""),C100+3,"")</f>
        <v/>
      </c>
      <c r="T100" s="79">
        <f>IF(S100="","",IF(AsOf&gt;S100,1,2))</f>
        <v/>
      </c>
      <c r="U100" s="79">
        <f>IF(T100="","","Decide on change order "&amp;B100&amp;": "&amp;H100&amp;" (+"&amp;CurSym&amp;" "&amp;FIXED(IF(J100="",0,J100),0)&amp;")")</f>
        <v/>
      </c>
    </row>
    <row r="101" ht="24" customHeight="1">
      <c r="B101" s="74" t="n"/>
      <c r="C101" s="109" t="n"/>
      <c r="D101" s="72" t="n"/>
      <c r="E101" s="72" t="n"/>
      <c r="F101" s="72" t="n"/>
      <c r="G101" s="72" t="n"/>
      <c r="H101" s="113" t="n"/>
      <c r="I101" s="72" t="n"/>
      <c r="J101" s="73" t="n"/>
      <c r="K101" s="89" t="n"/>
      <c r="L101" s="74" t="n"/>
      <c r="M101" s="109" t="n"/>
      <c r="N101" s="68">
        <f>IF(AND(H101="",J101=""),"",ForecastTotal+IF(L101="Approved",0,IF(J101="",0,J101)))</f>
        <v/>
      </c>
      <c r="O101" s="75">
        <f>IF(N101="","",ContAmt-MAX(0,N101-WorkBudget))</f>
        <v/>
      </c>
      <c r="P101" s="120">
        <f>IF(OR(N101="",ForecastEnd=""),"",ForecastEnd+IF(L101="Approved",0,IF(K101="",0,K101)))</f>
        <v/>
      </c>
      <c r="Q101" s="121">
        <f>IF(OR(N101="",WorkBudget=0),"",N101/WorkBudget-1)</f>
        <v/>
      </c>
      <c r="R101" s="79">
        <f>IF(N101="","",IF(N101&lt;=WorkBudget,0,IF(N101&lt;=TotalBudget,1,2)))</f>
        <v/>
      </c>
      <c r="S101" s="112">
        <f>IF(AND(OR(H101&lt;&gt;"",J101&lt;&gt;""),OR(L101="Pending",L101=""),C101&lt;&gt;""),C101+3,"")</f>
        <v/>
      </c>
      <c r="T101" s="79">
        <f>IF(S101="","",IF(AsOf&gt;S101,1,2))</f>
        <v/>
      </c>
      <c r="U101" s="79">
        <f>IF(T101="","","Decide on change order "&amp;B101&amp;": "&amp;H101&amp;" (+"&amp;CurSym&amp;" "&amp;FIXED(IF(J101="",0,J101),0)&amp;")")</f>
        <v/>
      </c>
    </row>
    <row r="102" ht="24" customHeight="1">
      <c r="B102" s="74" t="n"/>
      <c r="C102" s="109" t="n"/>
      <c r="D102" s="72" t="n"/>
      <c r="E102" s="72" t="n"/>
      <c r="F102" s="72" t="n"/>
      <c r="G102" s="72" t="n"/>
      <c r="H102" s="113" t="n"/>
      <c r="I102" s="72" t="n"/>
      <c r="J102" s="73" t="n"/>
      <c r="K102" s="89" t="n"/>
      <c r="L102" s="74" t="n"/>
      <c r="M102" s="109" t="n"/>
      <c r="N102" s="68">
        <f>IF(AND(H102="",J102=""),"",ForecastTotal+IF(L102="Approved",0,IF(J102="",0,J102)))</f>
        <v/>
      </c>
      <c r="O102" s="75">
        <f>IF(N102="","",ContAmt-MAX(0,N102-WorkBudget))</f>
        <v/>
      </c>
      <c r="P102" s="120">
        <f>IF(OR(N102="",ForecastEnd=""),"",ForecastEnd+IF(L102="Approved",0,IF(K102="",0,K102)))</f>
        <v/>
      </c>
      <c r="Q102" s="121">
        <f>IF(OR(N102="",WorkBudget=0),"",N102/WorkBudget-1)</f>
        <v/>
      </c>
      <c r="R102" s="79">
        <f>IF(N102="","",IF(N102&lt;=WorkBudget,0,IF(N102&lt;=TotalBudget,1,2)))</f>
        <v/>
      </c>
      <c r="S102" s="112">
        <f>IF(AND(OR(H102&lt;&gt;"",J102&lt;&gt;""),OR(L102="Pending",L102=""),C102&lt;&gt;""),C102+3,"")</f>
        <v/>
      </c>
      <c r="T102" s="79">
        <f>IF(S102="","",IF(AsOf&gt;S102,1,2))</f>
        <v/>
      </c>
      <c r="U102" s="79">
        <f>IF(T102="","","Decide on change order "&amp;B102&amp;": "&amp;H102&amp;" (+"&amp;CurSym&amp;" "&amp;FIXED(IF(J102="",0,J102),0)&amp;")")</f>
        <v/>
      </c>
    </row>
    <row r="103" ht="24" customHeight="1">
      <c r="B103" s="74" t="n"/>
      <c r="C103" s="109" t="n"/>
      <c r="D103" s="72" t="n"/>
      <c r="E103" s="72" t="n"/>
      <c r="F103" s="72" t="n"/>
      <c r="G103" s="72" t="n"/>
      <c r="H103" s="113" t="n"/>
      <c r="I103" s="72" t="n"/>
      <c r="J103" s="73" t="n"/>
      <c r="K103" s="89" t="n"/>
      <c r="L103" s="74" t="n"/>
      <c r="M103" s="109" t="n"/>
      <c r="N103" s="68">
        <f>IF(AND(H103="",J103=""),"",ForecastTotal+IF(L103="Approved",0,IF(J103="",0,J103)))</f>
        <v/>
      </c>
      <c r="O103" s="75">
        <f>IF(N103="","",ContAmt-MAX(0,N103-WorkBudget))</f>
        <v/>
      </c>
      <c r="P103" s="120">
        <f>IF(OR(N103="",ForecastEnd=""),"",ForecastEnd+IF(L103="Approved",0,IF(K103="",0,K103)))</f>
        <v/>
      </c>
      <c r="Q103" s="121">
        <f>IF(OR(N103="",WorkBudget=0),"",N103/WorkBudget-1)</f>
        <v/>
      </c>
      <c r="R103" s="79">
        <f>IF(N103="","",IF(N103&lt;=WorkBudget,0,IF(N103&lt;=TotalBudget,1,2)))</f>
        <v/>
      </c>
      <c r="S103" s="112">
        <f>IF(AND(OR(H103&lt;&gt;"",J103&lt;&gt;""),OR(L103="Pending",L103=""),C103&lt;&gt;""),C103+3,"")</f>
        <v/>
      </c>
      <c r="T103" s="79">
        <f>IF(S103="","",IF(AsOf&gt;S103,1,2))</f>
        <v/>
      </c>
      <c r="U103" s="79">
        <f>IF(T103="","","Decide on change order "&amp;B103&amp;": "&amp;H103&amp;" (+"&amp;CurSym&amp;" "&amp;FIXED(IF(J103="",0,J103),0)&amp;")")</f>
        <v/>
      </c>
    </row>
    <row r="104" ht="24" customHeight="1">
      <c r="B104" s="74" t="n"/>
      <c r="C104" s="109" t="n"/>
      <c r="D104" s="72" t="n"/>
      <c r="E104" s="72" t="n"/>
      <c r="F104" s="72" t="n"/>
      <c r="G104" s="72" t="n"/>
      <c r="H104" s="113" t="n"/>
      <c r="I104" s="72" t="n"/>
      <c r="J104" s="73" t="n"/>
      <c r="K104" s="89" t="n"/>
      <c r="L104" s="74" t="n"/>
      <c r="M104" s="109" t="n"/>
      <c r="N104" s="68">
        <f>IF(AND(H104="",J104=""),"",ForecastTotal+IF(L104="Approved",0,IF(J104="",0,J104)))</f>
        <v/>
      </c>
      <c r="O104" s="75">
        <f>IF(N104="","",ContAmt-MAX(0,N104-WorkBudget))</f>
        <v/>
      </c>
      <c r="P104" s="120">
        <f>IF(OR(N104="",ForecastEnd=""),"",ForecastEnd+IF(L104="Approved",0,IF(K104="",0,K104)))</f>
        <v/>
      </c>
      <c r="Q104" s="121">
        <f>IF(OR(N104="",WorkBudget=0),"",N104/WorkBudget-1)</f>
        <v/>
      </c>
      <c r="R104" s="79">
        <f>IF(N104="","",IF(N104&lt;=WorkBudget,0,IF(N104&lt;=TotalBudget,1,2)))</f>
        <v/>
      </c>
      <c r="S104" s="112">
        <f>IF(AND(OR(H104&lt;&gt;"",J104&lt;&gt;""),OR(L104="Pending",L104=""),C104&lt;&gt;""),C104+3,"")</f>
        <v/>
      </c>
      <c r="T104" s="79">
        <f>IF(S104="","",IF(AsOf&gt;S104,1,2))</f>
        <v/>
      </c>
      <c r="U104" s="79">
        <f>IF(T104="","","Decide on change order "&amp;B104&amp;": "&amp;H104&amp;" (+"&amp;CurSym&amp;" "&amp;FIXED(IF(J104="",0,J104),0)&amp;")")</f>
        <v/>
      </c>
    </row>
    <row r="105" ht="24" customHeight="1">
      <c r="B105" s="74" t="n"/>
      <c r="C105" s="109" t="n"/>
      <c r="D105" s="72" t="n"/>
      <c r="E105" s="72" t="n"/>
      <c r="F105" s="72" t="n"/>
      <c r="G105" s="72" t="n"/>
      <c r="H105" s="113" t="n"/>
      <c r="I105" s="72" t="n"/>
      <c r="J105" s="73" t="n"/>
      <c r="K105" s="89" t="n"/>
      <c r="L105" s="74" t="n"/>
      <c r="M105" s="109" t="n"/>
      <c r="N105" s="68">
        <f>IF(AND(H105="",J105=""),"",ForecastTotal+IF(L105="Approved",0,IF(J105="",0,J105)))</f>
        <v/>
      </c>
      <c r="O105" s="75">
        <f>IF(N105="","",ContAmt-MAX(0,N105-WorkBudget))</f>
        <v/>
      </c>
      <c r="P105" s="120">
        <f>IF(OR(N105="",ForecastEnd=""),"",ForecastEnd+IF(L105="Approved",0,IF(K105="",0,K105)))</f>
        <v/>
      </c>
      <c r="Q105" s="121">
        <f>IF(OR(N105="",WorkBudget=0),"",N105/WorkBudget-1)</f>
        <v/>
      </c>
      <c r="R105" s="79">
        <f>IF(N105="","",IF(N105&lt;=WorkBudget,0,IF(N105&lt;=TotalBudget,1,2)))</f>
        <v/>
      </c>
      <c r="S105" s="112">
        <f>IF(AND(OR(H105&lt;&gt;"",J105&lt;&gt;""),OR(L105="Pending",L105=""),C105&lt;&gt;""),C105+3,"")</f>
        <v/>
      </c>
      <c r="T105" s="79">
        <f>IF(S105="","",IF(AsOf&gt;S105,1,2))</f>
        <v/>
      </c>
      <c r="U105" s="79">
        <f>IF(T105="","","Decide on change order "&amp;B105&amp;": "&amp;H105&amp;" (+"&amp;CurSym&amp;" "&amp;FIXED(IF(J105="",0,J105),0)&amp;")")</f>
        <v/>
      </c>
    </row>
    <row r="106" ht="24" customHeight="1">
      <c r="B106" s="74" t="n"/>
      <c r="C106" s="109" t="n"/>
      <c r="D106" s="72" t="n"/>
      <c r="E106" s="72" t="n"/>
      <c r="F106" s="72" t="n"/>
      <c r="G106" s="72" t="n"/>
      <c r="H106" s="113" t="n"/>
      <c r="I106" s="72" t="n"/>
      <c r="J106" s="73" t="n"/>
      <c r="K106" s="89" t="n"/>
      <c r="L106" s="74" t="n"/>
      <c r="M106" s="109" t="n"/>
      <c r="N106" s="68">
        <f>IF(AND(H106="",J106=""),"",ForecastTotal+IF(L106="Approved",0,IF(J106="",0,J106)))</f>
        <v/>
      </c>
      <c r="O106" s="75">
        <f>IF(N106="","",ContAmt-MAX(0,N106-WorkBudget))</f>
        <v/>
      </c>
      <c r="P106" s="120">
        <f>IF(OR(N106="",ForecastEnd=""),"",ForecastEnd+IF(L106="Approved",0,IF(K106="",0,K106)))</f>
        <v/>
      </c>
      <c r="Q106" s="121">
        <f>IF(OR(N106="",WorkBudget=0),"",N106/WorkBudget-1)</f>
        <v/>
      </c>
      <c r="R106" s="79">
        <f>IF(N106="","",IF(N106&lt;=WorkBudget,0,IF(N106&lt;=TotalBudget,1,2)))</f>
        <v/>
      </c>
      <c r="S106" s="112">
        <f>IF(AND(OR(H106&lt;&gt;"",J106&lt;&gt;""),OR(L106="Pending",L106=""),C106&lt;&gt;""),C106+3,"")</f>
        <v/>
      </c>
      <c r="T106" s="79">
        <f>IF(S106="","",IF(AsOf&gt;S106,1,2))</f>
        <v/>
      </c>
      <c r="U106" s="79">
        <f>IF(T106="","","Decide on change order "&amp;B106&amp;": "&amp;H106&amp;" (+"&amp;CurSym&amp;" "&amp;FIXED(IF(J106="",0,J106),0)&amp;")")</f>
        <v/>
      </c>
    </row>
    <row r="107" ht="24" customHeight="1">
      <c r="B107" s="74" t="n"/>
      <c r="C107" s="109" t="n"/>
      <c r="D107" s="72" t="n"/>
      <c r="E107" s="72" t="n"/>
      <c r="F107" s="72" t="n"/>
      <c r="G107" s="72" t="n"/>
      <c r="H107" s="113" t="n"/>
      <c r="I107" s="72" t="n"/>
      <c r="J107" s="73" t="n"/>
      <c r="K107" s="89" t="n"/>
      <c r="L107" s="74" t="n"/>
      <c r="M107" s="109" t="n"/>
      <c r="N107" s="68">
        <f>IF(AND(H107="",J107=""),"",ForecastTotal+IF(L107="Approved",0,IF(J107="",0,J107)))</f>
        <v/>
      </c>
      <c r="O107" s="75">
        <f>IF(N107="","",ContAmt-MAX(0,N107-WorkBudget))</f>
        <v/>
      </c>
      <c r="P107" s="120">
        <f>IF(OR(N107="",ForecastEnd=""),"",ForecastEnd+IF(L107="Approved",0,IF(K107="",0,K107)))</f>
        <v/>
      </c>
      <c r="Q107" s="121">
        <f>IF(OR(N107="",WorkBudget=0),"",N107/WorkBudget-1)</f>
        <v/>
      </c>
      <c r="R107" s="79">
        <f>IF(N107="","",IF(N107&lt;=WorkBudget,0,IF(N107&lt;=TotalBudget,1,2)))</f>
        <v/>
      </c>
      <c r="S107" s="112">
        <f>IF(AND(OR(H107&lt;&gt;"",J107&lt;&gt;""),OR(L107="Pending",L107=""),C107&lt;&gt;""),C107+3,"")</f>
        <v/>
      </c>
      <c r="T107" s="79">
        <f>IF(S107="","",IF(AsOf&gt;S107,1,2))</f>
        <v/>
      </c>
      <c r="U107" s="79">
        <f>IF(T107="","","Decide on change order "&amp;B107&amp;": "&amp;H107&amp;" (+"&amp;CurSym&amp;" "&amp;FIXED(IF(J107="",0,J107),0)&amp;")")</f>
        <v/>
      </c>
    </row>
    <row r="108" ht="24" customHeight="1">
      <c r="B108" s="74" t="n"/>
      <c r="C108" s="109" t="n"/>
      <c r="D108" s="72" t="n"/>
      <c r="E108" s="72" t="n"/>
      <c r="F108" s="72" t="n"/>
      <c r="G108" s="72" t="n"/>
      <c r="H108" s="113" t="n"/>
      <c r="I108" s="72" t="n"/>
      <c r="J108" s="73" t="n"/>
      <c r="K108" s="89" t="n"/>
      <c r="L108" s="74" t="n"/>
      <c r="M108" s="109" t="n"/>
      <c r="N108" s="68">
        <f>IF(AND(H108="",J108=""),"",ForecastTotal+IF(L108="Approved",0,IF(J108="",0,J108)))</f>
        <v/>
      </c>
      <c r="O108" s="75">
        <f>IF(N108="","",ContAmt-MAX(0,N108-WorkBudget))</f>
        <v/>
      </c>
      <c r="P108" s="120">
        <f>IF(OR(N108="",ForecastEnd=""),"",ForecastEnd+IF(L108="Approved",0,IF(K108="",0,K108)))</f>
        <v/>
      </c>
      <c r="Q108" s="121">
        <f>IF(OR(N108="",WorkBudget=0),"",N108/WorkBudget-1)</f>
        <v/>
      </c>
      <c r="R108" s="79">
        <f>IF(N108="","",IF(N108&lt;=WorkBudget,0,IF(N108&lt;=TotalBudget,1,2)))</f>
        <v/>
      </c>
      <c r="S108" s="112">
        <f>IF(AND(OR(H108&lt;&gt;"",J108&lt;&gt;""),OR(L108="Pending",L108=""),C108&lt;&gt;""),C108+3,"")</f>
        <v/>
      </c>
      <c r="T108" s="79">
        <f>IF(S108="","",IF(AsOf&gt;S108,1,2))</f>
        <v/>
      </c>
      <c r="U108" s="79">
        <f>IF(T108="","","Decide on change order "&amp;B108&amp;": "&amp;H108&amp;" (+"&amp;CurSym&amp;" "&amp;FIXED(IF(J108="",0,J108),0)&amp;")")</f>
        <v/>
      </c>
    </row>
    <row r="109" ht="24" customHeight="1">
      <c r="B109" s="74" t="n"/>
      <c r="C109" s="109" t="n"/>
      <c r="D109" s="72" t="n"/>
      <c r="E109" s="72" t="n"/>
      <c r="F109" s="72" t="n"/>
      <c r="G109" s="72" t="n"/>
      <c r="H109" s="113" t="n"/>
      <c r="I109" s="72" t="n"/>
      <c r="J109" s="73" t="n"/>
      <c r="K109" s="89" t="n"/>
      <c r="L109" s="74" t="n"/>
      <c r="M109" s="109" t="n"/>
      <c r="N109" s="68">
        <f>IF(AND(H109="",J109=""),"",ForecastTotal+IF(L109="Approved",0,IF(J109="",0,J109)))</f>
        <v/>
      </c>
      <c r="O109" s="75">
        <f>IF(N109="","",ContAmt-MAX(0,N109-WorkBudget))</f>
        <v/>
      </c>
      <c r="P109" s="120">
        <f>IF(OR(N109="",ForecastEnd=""),"",ForecastEnd+IF(L109="Approved",0,IF(K109="",0,K109)))</f>
        <v/>
      </c>
      <c r="Q109" s="121">
        <f>IF(OR(N109="",WorkBudget=0),"",N109/WorkBudget-1)</f>
        <v/>
      </c>
      <c r="R109" s="79">
        <f>IF(N109="","",IF(N109&lt;=WorkBudget,0,IF(N109&lt;=TotalBudget,1,2)))</f>
        <v/>
      </c>
      <c r="S109" s="112">
        <f>IF(AND(OR(H109&lt;&gt;"",J109&lt;&gt;""),OR(L109="Pending",L109=""),C109&lt;&gt;""),C109+3,"")</f>
        <v/>
      </c>
      <c r="T109" s="79">
        <f>IF(S109="","",IF(AsOf&gt;S109,1,2))</f>
        <v/>
      </c>
      <c r="U109" s="79">
        <f>IF(T109="","","Decide on change order "&amp;B109&amp;": "&amp;H109&amp;" (+"&amp;CurSym&amp;" "&amp;FIXED(IF(J109="",0,J109),0)&amp;")")</f>
        <v/>
      </c>
    </row>
    <row r="110" ht="24" customHeight="1">
      <c r="B110" s="74" t="n"/>
      <c r="C110" s="109" t="n"/>
      <c r="D110" s="72" t="n"/>
      <c r="E110" s="72" t="n"/>
      <c r="F110" s="72" t="n"/>
      <c r="G110" s="72" t="n"/>
      <c r="H110" s="113" t="n"/>
      <c r="I110" s="72" t="n"/>
      <c r="J110" s="73" t="n"/>
      <c r="K110" s="89" t="n"/>
      <c r="L110" s="74" t="n"/>
      <c r="M110" s="109" t="n"/>
      <c r="N110" s="68">
        <f>IF(AND(H110="",J110=""),"",ForecastTotal+IF(L110="Approved",0,IF(J110="",0,J110)))</f>
        <v/>
      </c>
      <c r="O110" s="75">
        <f>IF(N110="","",ContAmt-MAX(0,N110-WorkBudget))</f>
        <v/>
      </c>
      <c r="P110" s="120">
        <f>IF(OR(N110="",ForecastEnd=""),"",ForecastEnd+IF(L110="Approved",0,IF(K110="",0,K110)))</f>
        <v/>
      </c>
      <c r="Q110" s="121">
        <f>IF(OR(N110="",WorkBudget=0),"",N110/WorkBudget-1)</f>
        <v/>
      </c>
      <c r="R110" s="79">
        <f>IF(N110="","",IF(N110&lt;=WorkBudget,0,IF(N110&lt;=TotalBudget,1,2)))</f>
        <v/>
      </c>
      <c r="S110" s="112">
        <f>IF(AND(OR(H110&lt;&gt;"",J110&lt;&gt;""),OR(L110="Pending",L110=""),C110&lt;&gt;""),C110+3,"")</f>
        <v/>
      </c>
      <c r="T110" s="79">
        <f>IF(S110="","",IF(AsOf&gt;S110,1,2))</f>
        <v/>
      </c>
      <c r="U110" s="79">
        <f>IF(T110="","","Decide on change order "&amp;B110&amp;": "&amp;H110&amp;" (+"&amp;CurSym&amp;" "&amp;FIXED(IF(J110="",0,J110),0)&amp;")")</f>
        <v/>
      </c>
    </row>
    <row r="111" ht="24" customHeight="1">
      <c r="B111" s="74" t="n"/>
      <c r="C111" s="109" t="n"/>
      <c r="D111" s="72" t="n"/>
      <c r="E111" s="72" t="n"/>
      <c r="F111" s="72" t="n"/>
      <c r="G111" s="72" t="n"/>
      <c r="H111" s="113" t="n"/>
      <c r="I111" s="72" t="n"/>
      <c r="J111" s="73" t="n"/>
      <c r="K111" s="89" t="n"/>
      <c r="L111" s="74" t="n"/>
      <c r="M111" s="109" t="n"/>
      <c r="N111" s="68">
        <f>IF(AND(H111="",J111=""),"",ForecastTotal+IF(L111="Approved",0,IF(J111="",0,J111)))</f>
        <v/>
      </c>
      <c r="O111" s="75">
        <f>IF(N111="","",ContAmt-MAX(0,N111-WorkBudget))</f>
        <v/>
      </c>
      <c r="P111" s="120">
        <f>IF(OR(N111="",ForecastEnd=""),"",ForecastEnd+IF(L111="Approved",0,IF(K111="",0,K111)))</f>
        <v/>
      </c>
      <c r="Q111" s="121">
        <f>IF(OR(N111="",WorkBudget=0),"",N111/WorkBudget-1)</f>
        <v/>
      </c>
      <c r="R111" s="79">
        <f>IF(N111="","",IF(N111&lt;=WorkBudget,0,IF(N111&lt;=TotalBudget,1,2)))</f>
        <v/>
      </c>
      <c r="S111" s="112">
        <f>IF(AND(OR(H111&lt;&gt;"",J111&lt;&gt;""),OR(L111="Pending",L111=""),C111&lt;&gt;""),C111+3,"")</f>
        <v/>
      </c>
      <c r="T111" s="79">
        <f>IF(S111="","",IF(AsOf&gt;S111,1,2))</f>
        <v/>
      </c>
      <c r="U111" s="79">
        <f>IF(T111="","","Decide on change order "&amp;B111&amp;": "&amp;H111&amp;" (+"&amp;CurSym&amp;" "&amp;FIXED(IF(J111="",0,J111),0)&amp;")")</f>
        <v/>
      </c>
    </row>
    <row r="112" ht="24" customHeight="1">
      <c r="B112" s="74" t="n"/>
      <c r="C112" s="109" t="n"/>
      <c r="D112" s="72" t="n"/>
      <c r="E112" s="72" t="n"/>
      <c r="F112" s="72" t="n"/>
      <c r="G112" s="72" t="n"/>
      <c r="H112" s="113" t="n"/>
      <c r="I112" s="72" t="n"/>
      <c r="J112" s="73" t="n"/>
      <c r="K112" s="89" t="n"/>
      <c r="L112" s="74" t="n"/>
      <c r="M112" s="109" t="n"/>
      <c r="N112" s="68">
        <f>IF(AND(H112="",J112=""),"",ForecastTotal+IF(L112="Approved",0,IF(J112="",0,J112)))</f>
        <v/>
      </c>
      <c r="O112" s="75">
        <f>IF(N112="","",ContAmt-MAX(0,N112-WorkBudget))</f>
        <v/>
      </c>
      <c r="P112" s="120">
        <f>IF(OR(N112="",ForecastEnd=""),"",ForecastEnd+IF(L112="Approved",0,IF(K112="",0,K112)))</f>
        <v/>
      </c>
      <c r="Q112" s="121">
        <f>IF(OR(N112="",WorkBudget=0),"",N112/WorkBudget-1)</f>
        <v/>
      </c>
      <c r="R112" s="79">
        <f>IF(N112="","",IF(N112&lt;=WorkBudget,0,IF(N112&lt;=TotalBudget,1,2)))</f>
        <v/>
      </c>
      <c r="S112" s="112">
        <f>IF(AND(OR(H112&lt;&gt;"",J112&lt;&gt;""),OR(L112="Pending",L112=""),C112&lt;&gt;""),C112+3,"")</f>
        <v/>
      </c>
      <c r="T112" s="79">
        <f>IF(S112="","",IF(AsOf&gt;S112,1,2))</f>
        <v/>
      </c>
      <c r="U112" s="79">
        <f>IF(T112="","","Decide on change order "&amp;B112&amp;": "&amp;H112&amp;" (+"&amp;CurSym&amp;" "&amp;FIXED(IF(J112="",0,J112),0)&amp;")")</f>
        <v/>
      </c>
    </row>
    <row r="113" ht="24" customHeight="1">
      <c r="B113" s="74" t="n"/>
      <c r="C113" s="109" t="n"/>
      <c r="D113" s="72" t="n"/>
      <c r="E113" s="72" t="n"/>
      <c r="F113" s="72" t="n"/>
      <c r="G113" s="72" t="n"/>
      <c r="H113" s="113" t="n"/>
      <c r="I113" s="72" t="n"/>
      <c r="J113" s="73" t="n"/>
      <c r="K113" s="89" t="n"/>
      <c r="L113" s="74" t="n"/>
      <c r="M113" s="109" t="n"/>
      <c r="N113" s="68">
        <f>IF(AND(H113="",J113=""),"",ForecastTotal+IF(L113="Approved",0,IF(J113="",0,J113)))</f>
        <v/>
      </c>
      <c r="O113" s="75">
        <f>IF(N113="","",ContAmt-MAX(0,N113-WorkBudget))</f>
        <v/>
      </c>
      <c r="P113" s="120">
        <f>IF(OR(N113="",ForecastEnd=""),"",ForecastEnd+IF(L113="Approved",0,IF(K113="",0,K113)))</f>
        <v/>
      </c>
      <c r="Q113" s="121">
        <f>IF(OR(N113="",WorkBudget=0),"",N113/WorkBudget-1)</f>
        <v/>
      </c>
      <c r="R113" s="79">
        <f>IF(N113="","",IF(N113&lt;=WorkBudget,0,IF(N113&lt;=TotalBudget,1,2)))</f>
        <v/>
      </c>
      <c r="S113" s="112">
        <f>IF(AND(OR(H113&lt;&gt;"",J113&lt;&gt;""),OR(L113="Pending",L113=""),C113&lt;&gt;""),C113+3,"")</f>
        <v/>
      </c>
      <c r="T113" s="79">
        <f>IF(S113="","",IF(AsOf&gt;S113,1,2))</f>
        <v/>
      </c>
      <c r="U113" s="79">
        <f>IF(T113="","","Decide on change order "&amp;B113&amp;": "&amp;H113&amp;" (+"&amp;CurSym&amp;" "&amp;FIXED(IF(J113="",0,J113),0)&amp;")")</f>
        <v/>
      </c>
    </row>
    <row r="114" ht="24" customHeight="1">
      <c r="B114" s="74" t="n"/>
      <c r="C114" s="109" t="n"/>
      <c r="D114" s="72" t="n"/>
      <c r="E114" s="72" t="n"/>
      <c r="F114" s="72" t="n"/>
      <c r="G114" s="72" t="n"/>
      <c r="H114" s="113" t="n"/>
      <c r="I114" s="72" t="n"/>
      <c r="J114" s="73" t="n"/>
      <c r="K114" s="89" t="n"/>
      <c r="L114" s="74" t="n"/>
      <c r="M114" s="109" t="n"/>
      <c r="N114" s="68">
        <f>IF(AND(H114="",J114=""),"",ForecastTotal+IF(L114="Approved",0,IF(J114="",0,J114)))</f>
        <v/>
      </c>
      <c r="O114" s="75">
        <f>IF(N114="","",ContAmt-MAX(0,N114-WorkBudget))</f>
        <v/>
      </c>
      <c r="P114" s="120">
        <f>IF(OR(N114="",ForecastEnd=""),"",ForecastEnd+IF(L114="Approved",0,IF(K114="",0,K114)))</f>
        <v/>
      </c>
      <c r="Q114" s="121">
        <f>IF(OR(N114="",WorkBudget=0),"",N114/WorkBudget-1)</f>
        <v/>
      </c>
      <c r="R114" s="79">
        <f>IF(N114="","",IF(N114&lt;=WorkBudget,0,IF(N114&lt;=TotalBudget,1,2)))</f>
        <v/>
      </c>
      <c r="S114" s="112">
        <f>IF(AND(OR(H114&lt;&gt;"",J114&lt;&gt;""),OR(L114="Pending",L114=""),C114&lt;&gt;""),C114+3,"")</f>
        <v/>
      </c>
      <c r="T114" s="79">
        <f>IF(S114="","",IF(AsOf&gt;S114,1,2))</f>
        <v/>
      </c>
      <c r="U114" s="79">
        <f>IF(T114="","","Decide on change order "&amp;B114&amp;": "&amp;H114&amp;" (+"&amp;CurSym&amp;" "&amp;FIXED(IF(J114="",0,J114),0)&amp;")")</f>
        <v/>
      </c>
    </row>
    <row r="115" ht="24" customHeight="1">
      <c r="B115" s="74" t="n"/>
      <c r="C115" s="109" t="n"/>
      <c r="D115" s="72" t="n"/>
      <c r="E115" s="72" t="n"/>
      <c r="F115" s="72" t="n"/>
      <c r="G115" s="72" t="n"/>
      <c r="H115" s="113" t="n"/>
      <c r="I115" s="72" t="n"/>
      <c r="J115" s="73" t="n"/>
      <c r="K115" s="89" t="n"/>
      <c r="L115" s="74" t="n"/>
      <c r="M115" s="109" t="n"/>
      <c r="N115" s="68">
        <f>IF(AND(H115="",J115=""),"",ForecastTotal+IF(L115="Approved",0,IF(J115="",0,J115)))</f>
        <v/>
      </c>
      <c r="O115" s="75">
        <f>IF(N115="","",ContAmt-MAX(0,N115-WorkBudget))</f>
        <v/>
      </c>
      <c r="P115" s="120">
        <f>IF(OR(N115="",ForecastEnd=""),"",ForecastEnd+IF(L115="Approved",0,IF(K115="",0,K115)))</f>
        <v/>
      </c>
      <c r="Q115" s="121">
        <f>IF(OR(N115="",WorkBudget=0),"",N115/WorkBudget-1)</f>
        <v/>
      </c>
      <c r="R115" s="79">
        <f>IF(N115="","",IF(N115&lt;=WorkBudget,0,IF(N115&lt;=TotalBudget,1,2)))</f>
        <v/>
      </c>
      <c r="S115" s="112">
        <f>IF(AND(OR(H115&lt;&gt;"",J115&lt;&gt;""),OR(L115="Pending",L115=""),C115&lt;&gt;""),C115+3,"")</f>
        <v/>
      </c>
      <c r="T115" s="79">
        <f>IF(S115="","",IF(AsOf&gt;S115,1,2))</f>
        <v/>
      </c>
      <c r="U115" s="79">
        <f>IF(T115="","","Decide on change order "&amp;B115&amp;": "&amp;H115&amp;" (+"&amp;CurSym&amp;" "&amp;FIXED(IF(J115="",0,J115),0)&amp;")")</f>
        <v/>
      </c>
    </row>
    <row r="116" ht="24" customHeight="1">
      <c r="B116" s="74" t="n"/>
      <c r="C116" s="109" t="n"/>
      <c r="D116" s="72" t="n"/>
      <c r="E116" s="72" t="n"/>
      <c r="F116" s="72" t="n"/>
      <c r="G116" s="72" t="n"/>
      <c r="H116" s="113" t="n"/>
      <c r="I116" s="72" t="n"/>
      <c r="J116" s="73" t="n"/>
      <c r="K116" s="89" t="n"/>
      <c r="L116" s="74" t="n"/>
      <c r="M116" s="109" t="n"/>
      <c r="N116" s="68">
        <f>IF(AND(H116="",J116=""),"",ForecastTotal+IF(L116="Approved",0,IF(J116="",0,J116)))</f>
        <v/>
      </c>
      <c r="O116" s="75">
        <f>IF(N116="","",ContAmt-MAX(0,N116-WorkBudget))</f>
        <v/>
      </c>
      <c r="P116" s="120">
        <f>IF(OR(N116="",ForecastEnd=""),"",ForecastEnd+IF(L116="Approved",0,IF(K116="",0,K116)))</f>
        <v/>
      </c>
      <c r="Q116" s="121">
        <f>IF(OR(N116="",WorkBudget=0),"",N116/WorkBudget-1)</f>
        <v/>
      </c>
      <c r="R116" s="79">
        <f>IF(N116="","",IF(N116&lt;=WorkBudget,0,IF(N116&lt;=TotalBudget,1,2)))</f>
        <v/>
      </c>
      <c r="S116" s="112">
        <f>IF(AND(OR(H116&lt;&gt;"",J116&lt;&gt;""),OR(L116="Pending",L116=""),C116&lt;&gt;""),C116+3,"")</f>
        <v/>
      </c>
      <c r="T116" s="79">
        <f>IF(S116="","",IF(AsOf&gt;S116,1,2))</f>
        <v/>
      </c>
      <c r="U116" s="79">
        <f>IF(T116="","","Decide on change order "&amp;B116&amp;": "&amp;H116&amp;" (+"&amp;CurSym&amp;" "&amp;FIXED(IF(J116="",0,J116),0)&amp;")")</f>
        <v/>
      </c>
    </row>
    <row r="117" ht="24" customHeight="1">
      <c r="B117" s="74" t="n"/>
      <c r="C117" s="109" t="n"/>
      <c r="D117" s="72" t="n"/>
      <c r="E117" s="72" t="n"/>
      <c r="F117" s="72" t="n"/>
      <c r="G117" s="72" t="n"/>
      <c r="H117" s="113" t="n"/>
      <c r="I117" s="72" t="n"/>
      <c r="J117" s="73" t="n"/>
      <c r="K117" s="89" t="n"/>
      <c r="L117" s="74" t="n"/>
      <c r="M117" s="109" t="n"/>
      <c r="N117" s="68">
        <f>IF(AND(H117="",J117=""),"",ForecastTotal+IF(L117="Approved",0,IF(J117="",0,J117)))</f>
        <v/>
      </c>
      <c r="O117" s="75">
        <f>IF(N117="","",ContAmt-MAX(0,N117-WorkBudget))</f>
        <v/>
      </c>
      <c r="P117" s="120">
        <f>IF(OR(N117="",ForecastEnd=""),"",ForecastEnd+IF(L117="Approved",0,IF(K117="",0,K117)))</f>
        <v/>
      </c>
      <c r="Q117" s="121">
        <f>IF(OR(N117="",WorkBudget=0),"",N117/WorkBudget-1)</f>
        <v/>
      </c>
      <c r="R117" s="79">
        <f>IF(N117="","",IF(N117&lt;=WorkBudget,0,IF(N117&lt;=TotalBudget,1,2)))</f>
        <v/>
      </c>
      <c r="S117" s="112">
        <f>IF(AND(OR(H117&lt;&gt;"",J117&lt;&gt;""),OR(L117="Pending",L117=""),C117&lt;&gt;""),C117+3,"")</f>
        <v/>
      </c>
      <c r="T117" s="79">
        <f>IF(S117="","",IF(AsOf&gt;S117,1,2))</f>
        <v/>
      </c>
      <c r="U117" s="79">
        <f>IF(T117="","","Decide on change order "&amp;B117&amp;": "&amp;H117&amp;" (+"&amp;CurSym&amp;" "&amp;FIXED(IF(J117="",0,J117),0)&amp;")")</f>
        <v/>
      </c>
    </row>
    <row r="118" ht="24" customHeight="1">
      <c r="B118" s="74" t="n"/>
      <c r="C118" s="109" t="n"/>
      <c r="D118" s="72" t="n"/>
      <c r="E118" s="72" t="n"/>
      <c r="F118" s="72" t="n"/>
      <c r="G118" s="72" t="n"/>
      <c r="H118" s="113" t="n"/>
      <c r="I118" s="72" t="n"/>
      <c r="J118" s="73" t="n"/>
      <c r="K118" s="89" t="n"/>
      <c r="L118" s="74" t="n"/>
      <c r="M118" s="109" t="n"/>
      <c r="N118" s="68">
        <f>IF(AND(H118="",J118=""),"",ForecastTotal+IF(L118="Approved",0,IF(J118="",0,J118)))</f>
        <v/>
      </c>
      <c r="O118" s="75">
        <f>IF(N118="","",ContAmt-MAX(0,N118-WorkBudget))</f>
        <v/>
      </c>
      <c r="P118" s="120">
        <f>IF(OR(N118="",ForecastEnd=""),"",ForecastEnd+IF(L118="Approved",0,IF(K118="",0,K118)))</f>
        <v/>
      </c>
      <c r="Q118" s="121">
        <f>IF(OR(N118="",WorkBudget=0),"",N118/WorkBudget-1)</f>
        <v/>
      </c>
      <c r="R118" s="79">
        <f>IF(N118="","",IF(N118&lt;=WorkBudget,0,IF(N118&lt;=TotalBudget,1,2)))</f>
        <v/>
      </c>
      <c r="S118" s="112">
        <f>IF(AND(OR(H118&lt;&gt;"",J118&lt;&gt;""),OR(L118="Pending",L118=""),C118&lt;&gt;""),C118+3,"")</f>
        <v/>
      </c>
      <c r="T118" s="79">
        <f>IF(S118="","",IF(AsOf&gt;S118,1,2))</f>
        <v/>
      </c>
      <c r="U118" s="79">
        <f>IF(T118="","","Decide on change order "&amp;B118&amp;": "&amp;H118&amp;" (+"&amp;CurSym&amp;" "&amp;FIXED(IF(J118="",0,J118),0)&amp;")")</f>
        <v/>
      </c>
    </row>
    <row r="119" ht="24" customHeight="1">
      <c r="B119" s="74" t="n"/>
      <c r="C119" s="109" t="n"/>
      <c r="D119" s="72" t="n"/>
      <c r="E119" s="72" t="n"/>
      <c r="F119" s="72" t="n"/>
      <c r="G119" s="72" t="n"/>
      <c r="H119" s="113" t="n"/>
      <c r="I119" s="72" t="n"/>
      <c r="J119" s="73" t="n"/>
      <c r="K119" s="89" t="n"/>
      <c r="L119" s="74" t="n"/>
      <c r="M119" s="109" t="n"/>
      <c r="N119" s="68">
        <f>IF(AND(H119="",J119=""),"",ForecastTotal+IF(L119="Approved",0,IF(J119="",0,J119)))</f>
        <v/>
      </c>
      <c r="O119" s="75">
        <f>IF(N119="","",ContAmt-MAX(0,N119-WorkBudget))</f>
        <v/>
      </c>
      <c r="P119" s="120">
        <f>IF(OR(N119="",ForecastEnd=""),"",ForecastEnd+IF(L119="Approved",0,IF(K119="",0,K119)))</f>
        <v/>
      </c>
      <c r="Q119" s="121">
        <f>IF(OR(N119="",WorkBudget=0),"",N119/WorkBudget-1)</f>
        <v/>
      </c>
      <c r="R119" s="79">
        <f>IF(N119="","",IF(N119&lt;=WorkBudget,0,IF(N119&lt;=TotalBudget,1,2)))</f>
        <v/>
      </c>
      <c r="S119" s="112">
        <f>IF(AND(OR(H119&lt;&gt;"",J119&lt;&gt;""),OR(L119="Pending",L119=""),C119&lt;&gt;""),C119+3,"")</f>
        <v/>
      </c>
      <c r="T119" s="79">
        <f>IF(S119="","",IF(AsOf&gt;S119,1,2))</f>
        <v/>
      </c>
      <c r="U119" s="79">
        <f>IF(T119="","","Decide on change order "&amp;B119&amp;": "&amp;H119&amp;" (+"&amp;CurSym&amp;" "&amp;FIXED(IF(J119="",0,J119),0)&amp;")")</f>
        <v/>
      </c>
    </row>
    <row r="120" ht="24" customHeight="1">
      <c r="B120" s="74" t="n"/>
      <c r="C120" s="109" t="n"/>
      <c r="D120" s="72" t="n"/>
      <c r="E120" s="72" t="n"/>
      <c r="F120" s="72" t="n"/>
      <c r="G120" s="72" t="n"/>
      <c r="H120" s="113" t="n"/>
      <c r="I120" s="72" t="n"/>
      <c r="J120" s="73" t="n"/>
      <c r="K120" s="89" t="n"/>
      <c r="L120" s="74" t="n"/>
      <c r="M120" s="109" t="n"/>
      <c r="N120" s="68">
        <f>IF(AND(H120="",J120=""),"",ForecastTotal+IF(L120="Approved",0,IF(J120="",0,J120)))</f>
        <v/>
      </c>
      <c r="O120" s="75">
        <f>IF(N120="","",ContAmt-MAX(0,N120-WorkBudget))</f>
        <v/>
      </c>
      <c r="P120" s="120">
        <f>IF(OR(N120="",ForecastEnd=""),"",ForecastEnd+IF(L120="Approved",0,IF(K120="",0,K120)))</f>
        <v/>
      </c>
      <c r="Q120" s="121">
        <f>IF(OR(N120="",WorkBudget=0),"",N120/WorkBudget-1)</f>
        <v/>
      </c>
      <c r="R120" s="79">
        <f>IF(N120="","",IF(N120&lt;=WorkBudget,0,IF(N120&lt;=TotalBudget,1,2)))</f>
        <v/>
      </c>
      <c r="S120" s="112">
        <f>IF(AND(OR(H120&lt;&gt;"",J120&lt;&gt;""),OR(L120="Pending",L120=""),C120&lt;&gt;""),C120+3,"")</f>
        <v/>
      </c>
      <c r="T120" s="79">
        <f>IF(S120="","",IF(AsOf&gt;S120,1,2))</f>
        <v/>
      </c>
      <c r="U120" s="79">
        <f>IF(T120="","","Decide on change order "&amp;B120&amp;": "&amp;H120&amp;" (+"&amp;CurSym&amp;" "&amp;FIXED(IF(J120="",0,J120),0)&amp;")")</f>
        <v/>
      </c>
    </row>
    <row r="121" ht="24" customHeight="1">
      <c r="B121" s="74" t="n"/>
      <c r="C121" s="109" t="n"/>
      <c r="D121" s="72" t="n"/>
      <c r="E121" s="72" t="n"/>
      <c r="F121" s="72" t="n"/>
      <c r="G121" s="72" t="n"/>
      <c r="H121" s="113" t="n"/>
      <c r="I121" s="72" t="n"/>
      <c r="J121" s="73" t="n"/>
      <c r="K121" s="89" t="n"/>
      <c r="L121" s="74" t="n"/>
      <c r="M121" s="109" t="n"/>
      <c r="N121" s="68">
        <f>IF(AND(H121="",J121=""),"",ForecastTotal+IF(L121="Approved",0,IF(J121="",0,J121)))</f>
        <v/>
      </c>
      <c r="O121" s="75">
        <f>IF(N121="","",ContAmt-MAX(0,N121-WorkBudget))</f>
        <v/>
      </c>
      <c r="P121" s="120">
        <f>IF(OR(N121="",ForecastEnd=""),"",ForecastEnd+IF(L121="Approved",0,IF(K121="",0,K121)))</f>
        <v/>
      </c>
      <c r="Q121" s="121">
        <f>IF(OR(N121="",WorkBudget=0),"",N121/WorkBudget-1)</f>
        <v/>
      </c>
      <c r="R121" s="79">
        <f>IF(N121="","",IF(N121&lt;=WorkBudget,0,IF(N121&lt;=TotalBudget,1,2)))</f>
        <v/>
      </c>
      <c r="S121" s="112">
        <f>IF(AND(OR(H121&lt;&gt;"",J121&lt;&gt;""),OR(L121="Pending",L121=""),C121&lt;&gt;""),C121+3,"")</f>
        <v/>
      </c>
      <c r="T121" s="79">
        <f>IF(S121="","",IF(AsOf&gt;S121,1,2))</f>
        <v/>
      </c>
      <c r="U121" s="79">
        <f>IF(T121="","","Decide on change order "&amp;B121&amp;": "&amp;H121&amp;" (+"&amp;CurSym&amp;" "&amp;FIXED(IF(J121="",0,J121),0)&amp;")")</f>
        <v/>
      </c>
    </row>
    <row r="122" ht="24" customHeight="1">
      <c r="B122" s="74" t="n"/>
      <c r="C122" s="109" t="n"/>
      <c r="D122" s="72" t="n"/>
      <c r="E122" s="72" t="n"/>
      <c r="F122" s="72" t="n"/>
      <c r="G122" s="72" t="n"/>
      <c r="H122" s="113" t="n"/>
      <c r="I122" s="72" t="n"/>
      <c r="J122" s="73" t="n"/>
      <c r="K122" s="89" t="n"/>
      <c r="L122" s="74" t="n"/>
      <c r="M122" s="109" t="n"/>
      <c r="N122" s="68">
        <f>IF(AND(H122="",J122=""),"",ForecastTotal+IF(L122="Approved",0,IF(J122="",0,J122)))</f>
        <v/>
      </c>
      <c r="O122" s="75">
        <f>IF(N122="","",ContAmt-MAX(0,N122-WorkBudget))</f>
        <v/>
      </c>
      <c r="P122" s="120">
        <f>IF(OR(N122="",ForecastEnd=""),"",ForecastEnd+IF(L122="Approved",0,IF(K122="",0,K122)))</f>
        <v/>
      </c>
      <c r="Q122" s="121">
        <f>IF(OR(N122="",WorkBudget=0),"",N122/WorkBudget-1)</f>
        <v/>
      </c>
      <c r="R122" s="79">
        <f>IF(N122="","",IF(N122&lt;=WorkBudget,0,IF(N122&lt;=TotalBudget,1,2)))</f>
        <v/>
      </c>
      <c r="S122" s="112">
        <f>IF(AND(OR(H122&lt;&gt;"",J122&lt;&gt;""),OR(L122="Pending",L122=""),C122&lt;&gt;""),C122+3,"")</f>
        <v/>
      </c>
      <c r="T122" s="79">
        <f>IF(S122="","",IF(AsOf&gt;S122,1,2))</f>
        <v/>
      </c>
      <c r="U122" s="79">
        <f>IF(T122="","","Decide on change order "&amp;B122&amp;": "&amp;H122&amp;" (+"&amp;CurSym&amp;" "&amp;FIXED(IF(J122="",0,J122),0)&amp;")")</f>
        <v/>
      </c>
    </row>
    <row r="123" ht="24" customHeight="1">
      <c r="B123" s="74" t="n"/>
      <c r="C123" s="109" t="n"/>
      <c r="D123" s="72" t="n"/>
      <c r="E123" s="72" t="n"/>
      <c r="F123" s="72" t="n"/>
      <c r="G123" s="72" t="n"/>
      <c r="H123" s="113" t="n"/>
      <c r="I123" s="72" t="n"/>
      <c r="J123" s="73" t="n"/>
      <c r="K123" s="89" t="n"/>
      <c r="L123" s="74" t="n"/>
      <c r="M123" s="109" t="n"/>
      <c r="N123" s="68">
        <f>IF(AND(H123="",J123=""),"",ForecastTotal+IF(L123="Approved",0,IF(J123="",0,J123)))</f>
        <v/>
      </c>
      <c r="O123" s="75">
        <f>IF(N123="","",ContAmt-MAX(0,N123-WorkBudget))</f>
        <v/>
      </c>
      <c r="P123" s="120">
        <f>IF(OR(N123="",ForecastEnd=""),"",ForecastEnd+IF(L123="Approved",0,IF(K123="",0,K123)))</f>
        <v/>
      </c>
      <c r="Q123" s="121">
        <f>IF(OR(N123="",WorkBudget=0),"",N123/WorkBudget-1)</f>
        <v/>
      </c>
      <c r="R123" s="79">
        <f>IF(N123="","",IF(N123&lt;=WorkBudget,0,IF(N123&lt;=TotalBudget,1,2)))</f>
        <v/>
      </c>
      <c r="S123" s="112">
        <f>IF(AND(OR(H123&lt;&gt;"",J123&lt;&gt;""),OR(L123="Pending",L123=""),C123&lt;&gt;""),C123+3,"")</f>
        <v/>
      </c>
      <c r="T123" s="79">
        <f>IF(S123="","",IF(AsOf&gt;S123,1,2))</f>
        <v/>
      </c>
      <c r="U123" s="79">
        <f>IF(T123="","","Decide on change order "&amp;B123&amp;": "&amp;H123&amp;" (+"&amp;CurSym&amp;" "&amp;FIXED(IF(J123="",0,J123),0)&amp;")")</f>
        <v/>
      </c>
    </row>
    <row r="124" ht="24" customHeight="1">
      <c r="B124" s="74" t="n"/>
      <c r="C124" s="109" t="n"/>
      <c r="D124" s="72" t="n"/>
      <c r="E124" s="72" t="n"/>
      <c r="F124" s="72" t="n"/>
      <c r="G124" s="72" t="n"/>
      <c r="H124" s="113" t="n"/>
      <c r="I124" s="72" t="n"/>
      <c r="J124" s="73" t="n"/>
      <c r="K124" s="89" t="n"/>
      <c r="L124" s="74" t="n"/>
      <c r="M124" s="109" t="n"/>
      <c r="N124" s="68">
        <f>IF(AND(H124="",J124=""),"",ForecastTotal+IF(L124="Approved",0,IF(J124="",0,J124)))</f>
        <v/>
      </c>
      <c r="O124" s="75">
        <f>IF(N124="","",ContAmt-MAX(0,N124-WorkBudget))</f>
        <v/>
      </c>
      <c r="P124" s="120">
        <f>IF(OR(N124="",ForecastEnd=""),"",ForecastEnd+IF(L124="Approved",0,IF(K124="",0,K124)))</f>
        <v/>
      </c>
      <c r="Q124" s="121">
        <f>IF(OR(N124="",WorkBudget=0),"",N124/WorkBudget-1)</f>
        <v/>
      </c>
      <c r="R124" s="79">
        <f>IF(N124="","",IF(N124&lt;=WorkBudget,0,IF(N124&lt;=TotalBudget,1,2)))</f>
        <v/>
      </c>
      <c r="S124" s="112">
        <f>IF(AND(OR(H124&lt;&gt;"",J124&lt;&gt;""),OR(L124="Pending",L124=""),C124&lt;&gt;""),C124+3,"")</f>
        <v/>
      </c>
      <c r="T124" s="79">
        <f>IF(S124="","",IF(AsOf&gt;S124,1,2))</f>
        <v/>
      </c>
      <c r="U124" s="79">
        <f>IF(T124="","","Decide on change order "&amp;B124&amp;": "&amp;H124&amp;" (+"&amp;CurSym&amp;" "&amp;FIXED(IF(J124="",0,J124),0)&amp;")")</f>
        <v/>
      </c>
    </row>
    <row r="125" ht="24" customHeight="1">
      <c r="B125" s="74" t="n"/>
      <c r="C125" s="109" t="n"/>
      <c r="D125" s="72" t="n"/>
      <c r="E125" s="72" t="n"/>
      <c r="F125" s="72" t="n"/>
      <c r="G125" s="72" t="n"/>
      <c r="H125" s="113" t="n"/>
      <c r="I125" s="72" t="n"/>
      <c r="J125" s="73" t="n"/>
      <c r="K125" s="89" t="n"/>
      <c r="L125" s="74" t="n"/>
      <c r="M125" s="109" t="n"/>
      <c r="N125" s="68">
        <f>IF(AND(H125="",J125=""),"",ForecastTotal+IF(L125="Approved",0,IF(J125="",0,J125)))</f>
        <v/>
      </c>
      <c r="O125" s="75">
        <f>IF(N125="","",ContAmt-MAX(0,N125-WorkBudget))</f>
        <v/>
      </c>
      <c r="P125" s="120">
        <f>IF(OR(N125="",ForecastEnd=""),"",ForecastEnd+IF(L125="Approved",0,IF(K125="",0,K125)))</f>
        <v/>
      </c>
      <c r="Q125" s="121">
        <f>IF(OR(N125="",WorkBudget=0),"",N125/WorkBudget-1)</f>
        <v/>
      </c>
      <c r="R125" s="79">
        <f>IF(N125="","",IF(N125&lt;=WorkBudget,0,IF(N125&lt;=TotalBudget,1,2)))</f>
        <v/>
      </c>
      <c r="S125" s="112">
        <f>IF(AND(OR(H125&lt;&gt;"",J125&lt;&gt;""),OR(L125="Pending",L125=""),C125&lt;&gt;""),C125+3,"")</f>
        <v/>
      </c>
      <c r="T125" s="79">
        <f>IF(S125="","",IF(AsOf&gt;S125,1,2))</f>
        <v/>
      </c>
      <c r="U125" s="79">
        <f>IF(T125="","","Decide on change order "&amp;B125&amp;": "&amp;H125&amp;" (+"&amp;CurSym&amp;" "&amp;FIXED(IF(J125="",0,J125),0)&amp;")")</f>
        <v/>
      </c>
    </row>
    <row r="126" ht="24" customHeight="1">
      <c r="B126" s="74" t="n"/>
      <c r="C126" s="109" t="n"/>
      <c r="D126" s="72" t="n"/>
      <c r="E126" s="72" t="n"/>
      <c r="F126" s="72" t="n"/>
      <c r="G126" s="72" t="n"/>
      <c r="H126" s="113" t="n"/>
      <c r="I126" s="72" t="n"/>
      <c r="J126" s="73" t="n"/>
      <c r="K126" s="89" t="n"/>
      <c r="L126" s="74" t="n"/>
      <c r="M126" s="109" t="n"/>
      <c r="N126" s="68">
        <f>IF(AND(H126="",J126=""),"",ForecastTotal+IF(L126="Approved",0,IF(J126="",0,J126)))</f>
        <v/>
      </c>
      <c r="O126" s="75">
        <f>IF(N126="","",ContAmt-MAX(0,N126-WorkBudget))</f>
        <v/>
      </c>
      <c r="P126" s="120">
        <f>IF(OR(N126="",ForecastEnd=""),"",ForecastEnd+IF(L126="Approved",0,IF(K126="",0,K126)))</f>
        <v/>
      </c>
      <c r="Q126" s="121">
        <f>IF(OR(N126="",WorkBudget=0),"",N126/WorkBudget-1)</f>
        <v/>
      </c>
      <c r="R126" s="79">
        <f>IF(N126="","",IF(N126&lt;=WorkBudget,0,IF(N126&lt;=TotalBudget,1,2)))</f>
        <v/>
      </c>
      <c r="S126" s="112">
        <f>IF(AND(OR(H126&lt;&gt;"",J126&lt;&gt;""),OR(L126="Pending",L126=""),C126&lt;&gt;""),C126+3,"")</f>
        <v/>
      </c>
      <c r="T126" s="79">
        <f>IF(S126="","",IF(AsOf&gt;S126,1,2))</f>
        <v/>
      </c>
      <c r="U126" s="79">
        <f>IF(T126="","","Decide on change order "&amp;B126&amp;": "&amp;H126&amp;" (+"&amp;CurSym&amp;" "&amp;FIXED(IF(J126="",0,J126),0)&amp;")")</f>
        <v/>
      </c>
    </row>
    <row r="127" ht="24" customHeight="1">
      <c r="B127" s="74" t="n"/>
      <c r="C127" s="109" t="n"/>
      <c r="D127" s="72" t="n"/>
      <c r="E127" s="72" t="n"/>
      <c r="F127" s="72" t="n"/>
      <c r="G127" s="72" t="n"/>
      <c r="H127" s="113" t="n"/>
      <c r="I127" s="72" t="n"/>
      <c r="J127" s="73" t="n"/>
      <c r="K127" s="89" t="n"/>
      <c r="L127" s="74" t="n"/>
      <c r="M127" s="109" t="n"/>
      <c r="N127" s="68">
        <f>IF(AND(H127="",J127=""),"",ForecastTotal+IF(L127="Approved",0,IF(J127="",0,J127)))</f>
        <v/>
      </c>
      <c r="O127" s="75">
        <f>IF(N127="","",ContAmt-MAX(0,N127-WorkBudget))</f>
        <v/>
      </c>
      <c r="P127" s="120">
        <f>IF(OR(N127="",ForecastEnd=""),"",ForecastEnd+IF(L127="Approved",0,IF(K127="",0,K127)))</f>
        <v/>
      </c>
      <c r="Q127" s="121">
        <f>IF(OR(N127="",WorkBudget=0),"",N127/WorkBudget-1)</f>
        <v/>
      </c>
      <c r="R127" s="79">
        <f>IF(N127="","",IF(N127&lt;=WorkBudget,0,IF(N127&lt;=TotalBudget,1,2)))</f>
        <v/>
      </c>
      <c r="S127" s="112">
        <f>IF(AND(OR(H127&lt;&gt;"",J127&lt;&gt;""),OR(L127="Pending",L127=""),C127&lt;&gt;""),C127+3,"")</f>
        <v/>
      </c>
      <c r="T127" s="79">
        <f>IF(S127="","",IF(AsOf&gt;S127,1,2))</f>
        <v/>
      </c>
      <c r="U127" s="79">
        <f>IF(T127="","","Decide on change order "&amp;B127&amp;": "&amp;H127&amp;" (+"&amp;CurSym&amp;" "&amp;FIXED(IF(J127="",0,J127),0)&amp;")")</f>
        <v/>
      </c>
    </row>
    <row r="128" ht="24" customHeight="1">
      <c r="B128" s="74" t="n"/>
      <c r="C128" s="109" t="n"/>
      <c r="D128" s="72" t="n"/>
      <c r="E128" s="72" t="n"/>
      <c r="F128" s="72" t="n"/>
      <c r="G128" s="72" t="n"/>
      <c r="H128" s="113" t="n"/>
      <c r="I128" s="72" t="n"/>
      <c r="J128" s="73" t="n"/>
      <c r="K128" s="89" t="n"/>
      <c r="L128" s="74" t="n"/>
      <c r="M128" s="109" t="n"/>
      <c r="N128" s="68">
        <f>IF(AND(H128="",J128=""),"",ForecastTotal+IF(L128="Approved",0,IF(J128="",0,J128)))</f>
        <v/>
      </c>
      <c r="O128" s="75">
        <f>IF(N128="","",ContAmt-MAX(0,N128-WorkBudget))</f>
        <v/>
      </c>
      <c r="P128" s="120">
        <f>IF(OR(N128="",ForecastEnd=""),"",ForecastEnd+IF(L128="Approved",0,IF(K128="",0,K128)))</f>
        <v/>
      </c>
      <c r="Q128" s="121">
        <f>IF(OR(N128="",WorkBudget=0),"",N128/WorkBudget-1)</f>
        <v/>
      </c>
      <c r="R128" s="79">
        <f>IF(N128="","",IF(N128&lt;=WorkBudget,0,IF(N128&lt;=TotalBudget,1,2)))</f>
        <v/>
      </c>
      <c r="S128" s="112">
        <f>IF(AND(OR(H128&lt;&gt;"",J128&lt;&gt;""),OR(L128="Pending",L128=""),C128&lt;&gt;""),C128+3,"")</f>
        <v/>
      </c>
      <c r="T128" s="79">
        <f>IF(S128="","",IF(AsOf&gt;S128,1,2))</f>
        <v/>
      </c>
      <c r="U128" s="79">
        <f>IF(T128="","","Decide on change order "&amp;B128&amp;": "&amp;H128&amp;" (+"&amp;CurSym&amp;" "&amp;FIXED(IF(J128="",0,J128),0)&amp;")")</f>
        <v/>
      </c>
    </row>
    <row r="129" ht="24" customHeight="1">
      <c r="B129" s="74" t="n"/>
      <c r="C129" s="109" t="n"/>
      <c r="D129" s="72" t="n"/>
      <c r="E129" s="72" t="n"/>
      <c r="F129" s="72" t="n"/>
      <c r="G129" s="72" t="n"/>
      <c r="H129" s="113" t="n"/>
      <c r="I129" s="72" t="n"/>
      <c r="J129" s="73" t="n"/>
      <c r="K129" s="89" t="n"/>
      <c r="L129" s="74" t="n"/>
      <c r="M129" s="109" t="n"/>
      <c r="N129" s="68">
        <f>IF(AND(H129="",J129=""),"",ForecastTotal+IF(L129="Approved",0,IF(J129="",0,J129)))</f>
        <v/>
      </c>
      <c r="O129" s="75">
        <f>IF(N129="","",ContAmt-MAX(0,N129-WorkBudget))</f>
        <v/>
      </c>
      <c r="P129" s="120">
        <f>IF(OR(N129="",ForecastEnd=""),"",ForecastEnd+IF(L129="Approved",0,IF(K129="",0,K129)))</f>
        <v/>
      </c>
      <c r="Q129" s="121">
        <f>IF(OR(N129="",WorkBudget=0),"",N129/WorkBudget-1)</f>
        <v/>
      </c>
      <c r="R129" s="79">
        <f>IF(N129="","",IF(N129&lt;=WorkBudget,0,IF(N129&lt;=TotalBudget,1,2)))</f>
        <v/>
      </c>
      <c r="S129" s="112">
        <f>IF(AND(OR(H129&lt;&gt;"",J129&lt;&gt;""),OR(L129="Pending",L129=""),C129&lt;&gt;""),C129+3,"")</f>
        <v/>
      </c>
      <c r="T129" s="79">
        <f>IF(S129="","",IF(AsOf&gt;S129,1,2))</f>
        <v/>
      </c>
      <c r="U129" s="79">
        <f>IF(T129="","","Decide on change order "&amp;B129&amp;": "&amp;H129&amp;" (+"&amp;CurSym&amp;" "&amp;FIXED(IF(J129="",0,J129),0)&amp;")")</f>
        <v/>
      </c>
    </row>
    <row r="130" ht="24" customHeight="1">
      <c r="B130" s="74" t="n"/>
      <c r="C130" s="109" t="n"/>
      <c r="D130" s="72" t="n"/>
      <c r="E130" s="72" t="n"/>
      <c r="F130" s="72" t="n"/>
      <c r="G130" s="72" t="n"/>
      <c r="H130" s="113" t="n"/>
      <c r="I130" s="72" t="n"/>
      <c r="J130" s="73" t="n"/>
      <c r="K130" s="89" t="n"/>
      <c r="L130" s="74" t="n"/>
      <c r="M130" s="109" t="n"/>
      <c r="N130" s="68">
        <f>IF(AND(H130="",J130=""),"",ForecastTotal+IF(L130="Approved",0,IF(J130="",0,J130)))</f>
        <v/>
      </c>
      <c r="O130" s="75">
        <f>IF(N130="","",ContAmt-MAX(0,N130-WorkBudget))</f>
        <v/>
      </c>
      <c r="P130" s="120">
        <f>IF(OR(N130="",ForecastEnd=""),"",ForecastEnd+IF(L130="Approved",0,IF(K130="",0,K130)))</f>
        <v/>
      </c>
      <c r="Q130" s="121">
        <f>IF(OR(N130="",WorkBudget=0),"",N130/WorkBudget-1)</f>
        <v/>
      </c>
      <c r="R130" s="79">
        <f>IF(N130="","",IF(N130&lt;=WorkBudget,0,IF(N130&lt;=TotalBudget,1,2)))</f>
        <v/>
      </c>
      <c r="S130" s="112">
        <f>IF(AND(OR(H130&lt;&gt;"",J130&lt;&gt;""),OR(L130="Pending",L130=""),C130&lt;&gt;""),C130+3,"")</f>
        <v/>
      </c>
      <c r="T130" s="79">
        <f>IF(S130="","",IF(AsOf&gt;S130,1,2))</f>
        <v/>
      </c>
      <c r="U130" s="79">
        <f>IF(T130="","","Decide on change order "&amp;B130&amp;": "&amp;H130&amp;" (+"&amp;CurSym&amp;" "&amp;FIXED(IF(J130="",0,J130),0)&amp;")")</f>
        <v/>
      </c>
    </row>
    <row r="131" ht="24" customHeight="1">
      <c r="B131" s="74" t="n"/>
      <c r="C131" s="109" t="n"/>
      <c r="D131" s="72" t="n"/>
      <c r="E131" s="72" t="n"/>
      <c r="F131" s="72" t="n"/>
      <c r="G131" s="72" t="n"/>
      <c r="H131" s="113" t="n"/>
      <c r="I131" s="72" t="n"/>
      <c r="J131" s="73" t="n"/>
      <c r="K131" s="89" t="n"/>
      <c r="L131" s="74" t="n"/>
      <c r="M131" s="109" t="n"/>
      <c r="N131" s="68">
        <f>IF(AND(H131="",J131=""),"",ForecastTotal+IF(L131="Approved",0,IF(J131="",0,J131)))</f>
        <v/>
      </c>
      <c r="O131" s="75">
        <f>IF(N131="","",ContAmt-MAX(0,N131-WorkBudget))</f>
        <v/>
      </c>
      <c r="P131" s="120">
        <f>IF(OR(N131="",ForecastEnd=""),"",ForecastEnd+IF(L131="Approved",0,IF(K131="",0,K131)))</f>
        <v/>
      </c>
      <c r="Q131" s="121">
        <f>IF(OR(N131="",WorkBudget=0),"",N131/WorkBudget-1)</f>
        <v/>
      </c>
      <c r="R131" s="79">
        <f>IF(N131="","",IF(N131&lt;=WorkBudget,0,IF(N131&lt;=TotalBudget,1,2)))</f>
        <v/>
      </c>
      <c r="S131" s="112">
        <f>IF(AND(OR(H131&lt;&gt;"",J131&lt;&gt;""),OR(L131="Pending",L131=""),C131&lt;&gt;""),C131+3,"")</f>
        <v/>
      </c>
      <c r="T131" s="79">
        <f>IF(S131="","",IF(AsOf&gt;S131,1,2))</f>
        <v/>
      </c>
      <c r="U131" s="79">
        <f>IF(T131="","","Decide on change order "&amp;B131&amp;": "&amp;H131&amp;" (+"&amp;CurSym&amp;" "&amp;FIXED(IF(J131="",0,J131),0)&amp;")")</f>
        <v/>
      </c>
    </row>
    <row r="132" ht="24" customHeight="1">
      <c r="B132" s="74" t="n"/>
      <c r="C132" s="109" t="n"/>
      <c r="D132" s="72" t="n"/>
      <c r="E132" s="72" t="n"/>
      <c r="F132" s="72" t="n"/>
      <c r="G132" s="72" t="n"/>
      <c r="H132" s="113" t="n"/>
      <c r="I132" s="72" t="n"/>
      <c r="J132" s="73" t="n"/>
      <c r="K132" s="89" t="n"/>
      <c r="L132" s="74" t="n"/>
      <c r="M132" s="109" t="n"/>
      <c r="N132" s="68">
        <f>IF(AND(H132="",J132=""),"",ForecastTotal+IF(L132="Approved",0,IF(J132="",0,J132)))</f>
        <v/>
      </c>
      <c r="O132" s="75">
        <f>IF(N132="","",ContAmt-MAX(0,N132-WorkBudget))</f>
        <v/>
      </c>
      <c r="P132" s="120">
        <f>IF(OR(N132="",ForecastEnd=""),"",ForecastEnd+IF(L132="Approved",0,IF(K132="",0,K132)))</f>
        <v/>
      </c>
      <c r="Q132" s="121">
        <f>IF(OR(N132="",WorkBudget=0),"",N132/WorkBudget-1)</f>
        <v/>
      </c>
      <c r="R132" s="79">
        <f>IF(N132="","",IF(N132&lt;=WorkBudget,0,IF(N132&lt;=TotalBudget,1,2)))</f>
        <v/>
      </c>
      <c r="S132" s="112">
        <f>IF(AND(OR(H132&lt;&gt;"",J132&lt;&gt;""),OR(L132="Pending",L132=""),C132&lt;&gt;""),C132+3,"")</f>
        <v/>
      </c>
      <c r="T132" s="79">
        <f>IF(S132="","",IF(AsOf&gt;S132,1,2))</f>
        <v/>
      </c>
      <c r="U132" s="79">
        <f>IF(T132="","","Decide on change order "&amp;B132&amp;": "&amp;H132&amp;" (+"&amp;CurSym&amp;" "&amp;FIXED(IF(J132="",0,J132),0)&amp;")")</f>
        <v/>
      </c>
    </row>
    <row r="133" ht="24" customHeight="1">
      <c r="B133" s="74" t="n"/>
      <c r="C133" s="109" t="n"/>
      <c r="D133" s="72" t="n"/>
      <c r="E133" s="72" t="n"/>
      <c r="F133" s="72" t="n"/>
      <c r="G133" s="72" t="n"/>
      <c r="H133" s="113" t="n"/>
      <c r="I133" s="72" t="n"/>
      <c r="J133" s="73" t="n"/>
      <c r="K133" s="89" t="n"/>
      <c r="L133" s="74" t="n"/>
      <c r="M133" s="109" t="n"/>
      <c r="N133" s="68">
        <f>IF(AND(H133="",J133=""),"",ForecastTotal+IF(L133="Approved",0,IF(J133="",0,J133)))</f>
        <v/>
      </c>
      <c r="O133" s="75">
        <f>IF(N133="","",ContAmt-MAX(0,N133-WorkBudget))</f>
        <v/>
      </c>
      <c r="P133" s="120">
        <f>IF(OR(N133="",ForecastEnd=""),"",ForecastEnd+IF(L133="Approved",0,IF(K133="",0,K133)))</f>
        <v/>
      </c>
      <c r="Q133" s="121">
        <f>IF(OR(N133="",WorkBudget=0),"",N133/WorkBudget-1)</f>
        <v/>
      </c>
      <c r="R133" s="79">
        <f>IF(N133="","",IF(N133&lt;=WorkBudget,0,IF(N133&lt;=TotalBudget,1,2)))</f>
        <v/>
      </c>
      <c r="S133" s="112">
        <f>IF(AND(OR(H133&lt;&gt;"",J133&lt;&gt;""),OR(L133="Pending",L133=""),C133&lt;&gt;""),C133+3,"")</f>
        <v/>
      </c>
      <c r="T133" s="79">
        <f>IF(S133="","",IF(AsOf&gt;S133,1,2))</f>
        <v/>
      </c>
      <c r="U133" s="79">
        <f>IF(T133="","","Decide on change order "&amp;B133&amp;": "&amp;H133&amp;" (+"&amp;CurSym&amp;" "&amp;FIXED(IF(J133="",0,J133),0)&amp;")")</f>
        <v/>
      </c>
    </row>
    <row r="134" ht="24" customHeight="1">
      <c r="B134" s="74" t="n"/>
      <c r="C134" s="109" t="n"/>
      <c r="D134" s="72" t="n"/>
      <c r="E134" s="72" t="n"/>
      <c r="F134" s="72" t="n"/>
      <c r="G134" s="72" t="n"/>
      <c r="H134" s="113" t="n"/>
      <c r="I134" s="72" t="n"/>
      <c r="J134" s="73" t="n"/>
      <c r="K134" s="89" t="n"/>
      <c r="L134" s="74" t="n"/>
      <c r="M134" s="109" t="n"/>
      <c r="N134" s="68">
        <f>IF(AND(H134="",J134=""),"",ForecastTotal+IF(L134="Approved",0,IF(J134="",0,J134)))</f>
        <v/>
      </c>
      <c r="O134" s="75">
        <f>IF(N134="","",ContAmt-MAX(0,N134-WorkBudget))</f>
        <v/>
      </c>
      <c r="P134" s="120">
        <f>IF(OR(N134="",ForecastEnd=""),"",ForecastEnd+IF(L134="Approved",0,IF(K134="",0,K134)))</f>
        <v/>
      </c>
      <c r="Q134" s="121">
        <f>IF(OR(N134="",WorkBudget=0),"",N134/WorkBudget-1)</f>
        <v/>
      </c>
      <c r="R134" s="79">
        <f>IF(N134="","",IF(N134&lt;=WorkBudget,0,IF(N134&lt;=TotalBudget,1,2)))</f>
        <v/>
      </c>
      <c r="S134" s="112">
        <f>IF(AND(OR(H134&lt;&gt;"",J134&lt;&gt;""),OR(L134="Pending",L134=""),C134&lt;&gt;""),C134+3,"")</f>
        <v/>
      </c>
      <c r="T134" s="79">
        <f>IF(S134="","",IF(AsOf&gt;S134,1,2))</f>
        <v/>
      </c>
      <c r="U134" s="79">
        <f>IF(T134="","","Decide on change order "&amp;B134&amp;": "&amp;H134&amp;" (+"&amp;CurSym&amp;" "&amp;FIXED(IF(J134="",0,J134),0)&amp;")")</f>
        <v/>
      </c>
    </row>
    <row r="135" ht="24" customHeight="1">
      <c r="B135" s="74" t="n"/>
      <c r="C135" s="109" t="n"/>
      <c r="D135" s="72" t="n"/>
      <c r="E135" s="72" t="n"/>
      <c r="F135" s="72" t="n"/>
      <c r="G135" s="72" t="n"/>
      <c r="H135" s="113" t="n"/>
      <c r="I135" s="72" t="n"/>
      <c r="J135" s="73" t="n"/>
      <c r="K135" s="89" t="n"/>
      <c r="L135" s="74" t="n"/>
      <c r="M135" s="109" t="n"/>
      <c r="N135" s="68">
        <f>IF(AND(H135="",J135=""),"",ForecastTotal+IF(L135="Approved",0,IF(J135="",0,J135)))</f>
        <v/>
      </c>
      <c r="O135" s="75">
        <f>IF(N135="","",ContAmt-MAX(0,N135-WorkBudget))</f>
        <v/>
      </c>
      <c r="P135" s="120">
        <f>IF(OR(N135="",ForecastEnd=""),"",ForecastEnd+IF(L135="Approved",0,IF(K135="",0,K135)))</f>
        <v/>
      </c>
      <c r="Q135" s="121">
        <f>IF(OR(N135="",WorkBudget=0),"",N135/WorkBudget-1)</f>
        <v/>
      </c>
      <c r="R135" s="79">
        <f>IF(N135="","",IF(N135&lt;=WorkBudget,0,IF(N135&lt;=TotalBudget,1,2)))</f>
        <v/>
      </c>
      <c r="S135" s="112">
        <f>IF(AND(OR(H135&lt;&gt;"",J135&lt;&gt;""),OR(L135="Pending",L135=""),C135&lt;&gt;""),C135+3,"")</f>
        <v/>
      </c>
      <c r="T135" s="79">
        <f>IF(S135="","",IF(AsOf&gt;S135,1,2))</f>
        <v/>
      </c>
      <c r="U135" s="79">
        <f>IF(T135="","","Decide on change order "&amp;B135&amp;": "&amp;H135&amp;" (+"&amp;CurSym&amp;" "&amp;FIXED(IF(J135="",0,J135),0)&amp;")")</f>
        <v/>
      </c>
    </row>
    <row r="136" ht="24" customHeight="1">
      <c r="B136" s="74" t="n"/>
      <c r="C136" s="109" t="n"/>
      <c r="D136" s="72" t="n"/>
      <c r="E136" s="72" t="n"/>
      <c r="F136" s="72" t="n"/>
      <c r="G136" s="72" t="n"/>
      <c r="H136" s="113" t="n"/>
      <c r="I136" s="72" t="n"/>
      <c r="J136" s="73" t="n"/>
      <c r="K136" s="89" t="n"/>
      <c r="L136" s="74" t="n"/>
      <c r="M136" s="109" t="n"/>
      <c r="N136" s="68">
        <f>IF(AND(H136="",J136=""),"",ForecastTotal+IF(L136="Approved",0,IF(J136="",0,J136)))</f>
        <v/>
      </c>
      <c r="O136" s="75">
        <f>IF(N136="","",ContAmt-MAX(0,N136-WorkBudget))</f>
        <v/>
      </c>
      <c r="P136" s="120">
        <f>IF(OR(N136="",ForecastEnd=""),"",ForecastEnd+IF(L136="Approved",0,IF(K136="",0,K136)))</f>
        <v/>
      </c>
      <c r="Q136" s="121">
        <f>IF(OR(N136="",WorkBudget=0),"",N136/WorkBudget-1)</f>
        <v/>
      </c>
      <c r="R136" s="79">
        <f>IF(N136="","",IF(N136&lt;=WorkBudget,0,IF(N136&lt;=TotalBudget,1,2)))</f>
        <v/>
      </c>
      <c r="S136" s="112">
        <f>IF(AND(OR(H136&lt;&gt;"",J136&lt;&gt;""),OR(L136="Pending",L136=""),C136&lt;&gt;""),C136+3,"")</f>
        <v/>
      </c>
      <c r="T136" s="79">
        <f>IF(S136="","",IF(AsOf&gt;S136,1,2))</f>
        <v/>
      </c>
      <c r="U136" s="79">
        <f>IF(T136="","","Decide on change order "&amp;B136&amp;": "&amp;H136&amp;" (+"&amp;CurSym&amp;" "&amp;FIXED(IF(J136="",0,J136),0)&amp;")")</f>
        <v/>
      </c>
    </row>
    <row r="137" ht="24" customHeight="1">
      <c r="B137" s="74" t="n"/>
      <c r="C137" s="109" t="n"/>
      <c r="D137" s="72" t="n"/>
      <c r="E137" s="72" t="n"/>
      <c r="F137" s="72" t="n"/>
      <c r="G137" s="72" t="n"/>
      <c r="H137" s="113" t="n"/>
      <c r="I137" s="72" t="n"/>
      <c r="J137" s="73" t="n"/>
      <c r="K137" s="89" t="n"/>
      <c r="L137" s="74" t="n"/>
      <c r="M137" s="109" t="n"/>
      <c r="N137" s="68">
        <f>IF(AND(H137="",J137=""),"",ForecastTotal+IF(L137="Approved",0,IF(J137="",0,J137)))</f>
        <v/>
      </c>
      <c r="O137" s="75">
        <f>IF(N137="","",ContAmt-MAX(0,N137-WorkBudget))</f>
        <v/>
      </c>
      <c r="P137" s="120">
        <f>IF(OR(N137="",ForecastEnd=""),"",ForecastEnd+IF(L137="Approved",0,IF(K137="",0,K137)))</f>
        <v/>
      </c>
      <c r="Q137" s="121">
        <f>IF(OR(N137="",WorkBudget=0),"",N137/WorkBudget-1)</f>
        <v/>
      </c>
      <c r="R137" s="79">
        <f>IF(N137="","",IF(N137&lt;=WorkBudget,0,IF(N137&lt;=TotalBudget,1,2)))</f>
        <v/>
      </c>
      <c r="S137" s="112">
        <f>IF(AND(OR(H137&lt;&gt;"",J137&lt;&gt;""),OR(L137="Pending",L137=""),C137&lt;&gt;""),C137+3,"")</f>
        <v/>
      </c>
      <c r="T137" s="79">
        <f>IF(S137="","",IF(AsOf&gt;S137,1,2))</f>
        <v/>
      </c>
      <c r="U137" s="79">
        <f>IF(T137="","","Decide on change order "&amp;B137&amp;": "&amp;H137&amp;" (+"&amp;CurSym&amp;" "&amp;FIXED(IF(J137="",0,J137),0)&amp;")")</f>
        <v/>
      </c>
    </row>
    <row r="138" ht="24" customHeight="1">
      <c r="B138" s="74" t="n"/>
      <c r="C138" s="109" t="n"/>
      <c r="D138" s="72" t="n"/>
      <c r="E138" s="72" t="n"/>
      <c r="F138" s="72" t="n"/>
      <c r="G138" s="72" t="n"/>
      <c r="H138" s="113" t="n"/>
      <c r="I138" s="72" t="n"/>
      <c r="J138" s="73" t="n"/>
      <c r="K138" s="89" t="n"/>
      <c r="L138" s="74" t="n"/>
      <c r="M138" s="109" t="n"/>
      <c r="N138" s="68">
        <f>IF(AND(H138="",J138=""),"",ForecastTotal+IF(L138="Approved",0,IF(J138="",0,J138)))</f>
        <v/>
      </c>
      <c r="O138" s="75">
        <f>IF(N138="","",ContAmt-MAX(0,N138-WorkBudget))</f>
        <v/>
      </c>
      <c r="P138" s="120">
        <f>IF(OR(N138="",ForecastEnd=""),"",ForecastEnd+IF(L138="Approved",0,IF(K138="",0,K138)))</f>
        <v/>
      </c>
      <c r="Q138" s="121">
        <f>IF(OR(N138="",WorkBudget=0),"",N138/WorkBudget-1)</f>
        <v/>
      </c>
      <c r="R138" s="79">
        <f>IF(N138="","",IF(N138&lt;=WorkBudget,0,IF(N138&lt;=TotalBudget,1,2)))</f>
        <v/>
      </c>
      <c r="S138" s="112">
        <f>IF(AND(OR(H138&lt;&gt;"",J138&lt;&gt;""),OR(L138="Pending",L138=""),C138&lt;&gt;""),C138+3,"")</f>
        <v/>
      </c>
      <c r="T138" s="79">
        <f>IF(S138="","",IF(AsOf&gt;S138,1,2))</f>
        <v/>
      </c>
      <c r="U138" s="79">
        <f>IF(T138="","","Decide on change order "&amp;B138&amp;": "&amp;H138&amp;" (+"&amp;CurSym&amp;" "&amp;FIXED(IF(J138="",0,J138),0)&amp;")")</f>
        <v/>
      </c>
    </row>
    <row r="139" ht="24" customHeight="1">
      <c r="B139" s="74" t="n"/>
      <c r="C139" s="109" t="n"/>
      <c r="D139" s="72" t="n"/>
      <c r="E139" s="72" t="n"/>
      <c r="F139" s="72" t="n"/>
      <c r="G139" s="72" t="n"/>
      <c r="H139" s="113" t="n"/>
      <c r="I139" s="72" t="n"/>
      <c r="J139" s="73" t="n"/>
      <c r="K139" s="89" t="n"/>
      <c r="L139" s="74" t="n"/>
      <c r="M139" s="109" t="n"/>
      <c r="N139" s="68">
        <f>IF(AND(H139="",J139=""),"",ForecastTotal+IF(L139="Approved",0,IF(J139="",0,J139)))</f>
        <v/>
      </c>
      <c r="O139" s="75">
        <f>IF(N139="","",ContAmt-MAX(0,N139-WorkBudget))</f>
        <v/>
      </c>
      <c r="P139" s="120">
        <f>IF(OR(N139="",ForecastEnd=""),"",ForecastEnd+IF(L139="Approved",0,IF(K139="",0,K139)))</f>
        <v/>
      </c>
      <c r="Q139" s="121">
        <f>IF(OR(N139="",WorkBudget=0),"",N139/WorkBudget-1)</f>
        <v/>
      </c>
      <c r="R139" s="79">
        <f>IF(N139="","",IF(N139&lt;=WorkBudget,0,IF(N139&lt;=TotalBudget,1,2)))</f>
        <v/>
      </c>
      <c r="S139" s="112">
        <f>IF(AND(OR(H139&lt;&gt;"",J139&lt;&gt;""),OR(L139="Pending",L139=""),C139&lt;&gt;""),C139+3,"")</f>
        <v/>
      </c>
      <c r="T139" s="79">
        <f>IF(S139="","",IF(AsOf&gt;S139,1,2))</f>
        <v/>
      </c>
      <c r="U139" s="79">
        <f>IF(T139="","","Decide on change order "&amp;B139&amp;": "&amp;H139&amp;" (+"&amp;CurSym&amp;" "&amp;FIXED(IF(J139="",0,J139),0)&amp;")")</f>
        <v/>
      </c>
    </row>
    <row r="140" ht="24" customHeight="1">
      <c r="B140" s="74" t="n"/>
      <c r="C140" s="109" t="n"/>
      <c r="D140" s="72" t="n"/>
      <c r="E140" s="72" t="n"/>
      <c r="F140" s="72" t="n"/>
      <c r="G140" s="72" t="n"/>
      <c r="H140" s="113" t="n"/>
      <c r="I140" s="72" t="n"/>
      <c r="J140" s="73" t="n"/>
      <c r="K140" s="89" t="n"/>
      <c r="L140" s="74" t="n"/>
      <c r="M140" s="109" t="n"/>
      <c r="N140" s="68">
        <f>IF(AND(H140="",J140=""),"",ForecastTotal+IF(L140="Approved",0,IF(J140="",0,J140)))</f>
        <v/>
      </c>
      <c r="O140" s="75">
        <f>IF(N140="","",ContAmt-MAX(0,N140-WorkBudget))</f>
        <v/>
      </c>
      <c r="P140" s="120">
        <f>IF(OR(N140="",ForecastEnd=""),"",ForecastEnd+IF(L140="Approved",0,IF(K140="",0,K140)))</f>
        <v/>
      </c>
      <c r="Q140" s="121">
        <f>IF(OR(N140="",WorkBudget=0),"",N140/WorkBudget-1)</f>
        <v/>
      </c>
      <c r="R140" s="79">
        <f>IF(N140="","",IF(N140&lt;=WorkBudget,0,IF(N140&lt;=TotalBudget,1,2)))</f>
        <v/>
      </c>
      <c r="S140" s="112">
        <f>IF(AND(OR(H140&lt;&gt;"",J140&lt;&gt;""),OR(L140="Pending",L140=""),C140&lt;&gt;""),C140+3,"")</f>
        <v/>
      </c>
      <c r="T140" s="79">
        <f>IF(S140="","",IF(AsOf&gt;S140,1,2))</f>
        <v/>
      </c>
      <c r="U140" s="79">
        <f>IF(T140="","","Decide on change order "&amp;B140&amp;": "&amp;H140&amp;" (+"&amp;CurSym&amp;" "&amp;FIXED(IF(J140="",0,J140),0)&amp;")")</f>
        <v/>
      </c>
    </row>
    <row r="141" ht="24" customHeight="1">
      <c r="B141" s="74" t="n"/>
      <c r="C141" s="109" t="n"/>
      <c r="D141" s="72" t="n"/>
      <c r="E141" s="72" t="n"/>
      <c r="F141" s="72" t="n"/>
      <c r="G141" s="72" t="n"/>
      <c r="H141" s="113" t="n"/>
      <c r="I141" s="72" t="n"/>
      <c r="J141" s="73" t="n"/>
      <c r="K141" s="89" t="n"/>
      <c r="L141" s="74" t="n"/>
      <c r="M141" s="109" t="n"/>
      <c r="N141" s="68">
        <f>IF(AND(H141="",J141=""),"",ForecastTotal+IF(L141="Approved",0,IF(J141="",0,J141)))</f>
        <v/>
      </c>
      <c r="O141" s="75">
        <f>IF(N141="","",ContAmt-MAX(0,N141-WorkBudget))</f>
        <v/>
      </c>
      <c r="P141" s="120">
        <f>IF(OR(N141="",ForecastEnd=""),"",ForecastEnd+IF(L141="Approved",0,IF(K141="",0,K141)))</f>
        <v/>
      </c>
      <c r="Q141" s="121">
        <f>IF(OR(N141="",WorkBudget=0),"",N141/WorkBudget-1)</f>
        <v/>
      </c>
      <c r="R141" s="79">
        <f>IF(N141="","",IF(N141&lt;=WorkBudget,0,IF(N141&lt;=TotalBudget,1,2)))</f>
        <v/>
      </c>
      <c r="S141" s="112">
        <f>IF(AND(OR(H141&lt;&gt;"",J141&lt;&gt;""),OR(L141="Pending",L141=""),C141&lt;&gt;""),C141+3,"")</f>
        <v/>
      </c>
      <c r="T141" s="79">
        <f>IF(S141="","",IF(AsOf&gt;S141,1,2))</f>
        <v/>
      </c>
      <c r="U141" s="79">
        <f>IF(T141="","","Decide on change order "&amp;B141&amp;": "&amp;H141&amp;" (+"&amp;CurSym&amp;" "&amp;FIXED(IF(J141="",0,J141),0)&amp;")")</f>
        <v/>
      </c>
    </row>
    <row r="142" ht="24" customHeight="1">
      <c r="B142" s="74" t="n"/>
      <c r="C142" s="109" t="n"/>
      <c r="D142" s="72" t="n"/>
      <c r="E142" s="72" t="n"/>
      <c r="F142" s="72" t="n"/>
      <c r="G142" s="72" t="n"/>
      <c r="H142" s="113" t="n"/>
      <c r="I142" s="72" t="n"/>
      <c r="J142" s="73" t="n"/>
      <c r="K142" s="89" t="n"/>
      <c r="L142" s="74" t="n"/>
      <c r="M142" s="109" t="n"/>
      <c r="N142" s="68">
        <f>IF(AND(H142="",J142=""),"",ForecastTotal+IF(L142="Approved",0,IF(J142="",0,J142)))</f>
        <v/>
      </c>
      <c r="O142" s="75">
        <f>IF(N142="","",ContAmt-MAX(0,N142-WorkBudget))</f>
        <v/>
      </c>
      <c r="P142" s="120">
        <f>IF(OR(N142="",ForecastEnd=""),"",ForecastEnd+IF(L142="Approved",0,IF(K142="",0,K142)))</f>
        <v/>
      </c>
      <c r="Q142" s="121">
        <f>IF(OR(N142="",WorkBudget=0),"",N142/WorkBudget-1)</f>
        <v/>
      </c>
      <c r="R142" s="79">
        <f>IF(N142="","",IF(N142&lt;=WorkBudget,0,IF(N142&lt;=TotalBudget,1,2)))</f>
        <v/>
      </c>
      <c r="S142" s="112">
        <f>IF(AND(OR(H142&lt;&gt;"",J142&lt;&gt;""),OR(L142="Pending",L142=""),C142&lt;&gt;""),C142+3,"")</f>
        <v/>
      </c>
      <c r="T142" s="79">
        <f>IF(S142="","",IF(AsOf&gt;S142,1,2))</f>
        <v/>
      </c>
      <c r="U142" s="79">
        <f>IF(T142="","","Decide on change order "&amp;B142&amp;": "&amp;H142&amp;" (+"&amp;CurSym&amp;" "&amp;FIXED(IF(J142="",0,J142),0)&amp;")")</f>
        <v/>
      </c>
    </row>
    <row r="143" ht="24" customHeight="1">
      <c r="B143" s="74" t="n"/>
      <c r="C143" s="109" t="n"/>
      <c r="D143" s="72" t="n"/>
      <c r="E143" s="72" t="n"/>
      <c r="F143" s="72" t="n"/>
      <c r="G143" s="72" t="n"/>
      <c r="H143" s="113" t="n"/>
      <c r="I143" s="72" t="n"/>
      <c r="J143" s="73" t="n"/>
      <c r="K143" s="89" t="n"/>
      <c r="L143" s="74" t="n"/>
      <c r="M143" s="109" t="n"/>
      <c r="N143" s="68">
        <f>IF(AND(H143="",J143=""),"",ForecastTotal+IF(L143="Approved",0,IF(J143="",0,J143)))</f>
        <v/>
      </c>
      <c r="O143" s="75">
        <f>IF(N143="","",ContAmt-MAX(0,N143-WorkBudget))</f>
        <v/>
      </c>
      <c r="P143" s="120">
        <f>IF(OR(N143="",ForecastEnd=""),"",ForecastEnd+IF(L143="Approved",0,IF(K143="",0,K143)))</f>
        <v/>
      </c>
      <c r="Q143" s="121">
        <f>IF(OR(N143="",WorkBudget=0),"",N143/WorkBudget-1)</f>
        <v/>
      </c>
      <c r="R143" s="79">
        <f>IF(N143="","",IF(N143&lt;=WorkBudget,0,IF(N143&lt;=TotalBudget,1,2)))</f>
        <v/>
      </c>
      <c r="S143" s="112">
        <f>IF(AND(OR(H143&lt;&gt;"",J143&lt;&gt;""),OR(L143="Pending",L143=""),C143&lt;&gt;""),C143+3,"")</f>
        <v/>
      </c>
      <c r="T143" s="79">
        <f>IF(S143="","",IF(AsOf&gt;S143,1,2))</f>
        <v/>
      </c>
      <c r="U143" s="79">
        <f>IF(T143="","","Decide on change order "&amp;B143&amp;": "&amp;H143&amp;" (+"&amp;CurSym&amp;" "&amp;FIXED(IF(J143="",0,J143),0)&amp;")")</f>
        <v/>
      </c>
    </row>
    <row r="144" ht="24" customHeight="1">
      <c r="B144" s="74" t="n"/>
      <c r="C144" s="109" t="n"/>
      <c r="D144" s="72" t="n"/>
      <c r="E144" s="72" t="n"/>
      <c r="F144" s="72" t="n"/>
      <c r="G144" s="72" t="n"/>
      <c r="H144" s="113" t="n"/>
      <c r="I144" s="72" t="n"/>
      <c r="J144" s="73" t="n"/>
      <c r="K144" s="89" t="n"/>
      <c r="L144" s="74" t="n"/>
      <c r="M144" s="109" t="n"/>
      <c r="N144" s="68">
        <f>IF(AND(H144="",J144=""),"",ForecastTotal+IF(L144="Approved",0,IF(J144="",0,J144)))</f>
        <v/>
      </c>
      <c r="O144" s="75">
        <f>IF(N144="","",ContAmt-MAX(0,N144-WorkBudget))</f>
        <v/>
      </c>
      <c r="P144" s="120">
        <f>IF(OR(N144="",ForecastEnd=""),"",ForecastEnd+IF(L144="Approved",0,IF(K144="",0,K144)))</f>
        <v/>
      </c>
      <c r="Q144" s="121">
        <f>IF(OR(N144="",WorkBudget=0),"",N144/WorkBudget-1)</f>
        <v/>
      </c>
      <c r="R144" s="79">
        <f>IF(N144="","",IF(N144&lt;=WorkBudget,0,IF(N144&lt;=TotalBudget,1,2)))</f>
        <v/>
      </c>
      <c r="S144" s="112">
        <f>IF(AND(OR(H144&lt;&gt;"",J144&lt;&gt;""),OR(L144="Pending",L144=""),C144&lt;&gt;""),C144+3,"")</f>
        <v/>
      </c>
      <c r="T144" s="79">
        <f>IF(S144="","",IF(AsOf&gt;S144,1,2))</f>
        <v/>
      </c>
      <c r="U144" s="79">
        <f>IF(T144="","","Decide on change order "&amp;B144&amp;": "&amp;H144&amp;" (+"&amp;CurSym&amp;" "&amp;FIXED(IF(J144="",0,J144),0)&amp;")")</f>
        <v/>
      </c>
    </row>
    <row r="145" ht="24" customHeight="1">
      <c r="B145" s="74" t="n"/>
      <c r="C145" s="109" t="n"/>
      <c r="D145" s="72" t="n"/>
      <c r="E145" s="72" t="n"/>
      <c r="F145" s="72" t="n"/>
      <c r="G145" s="72" t="n"/>
      <c r="H145" s="113" t="n"/>
      <c r="I145" s="72" t="n"/>
      <c r="J145" s="73" t="n"/>
      <c r="K145" s="89" t="n"/>
      <c r="L145" s="74" t="n"/>
      <c r="M145" s="109" t="n"/>
      <c r="N145" s="68">
        <f>IF(AND(H145="",J145=""),"",ForecastTotal+IF(L145="Approved",0,IF(J145="",0,J145)))</f>
        <v/>
      </c>
      <c r="O145" s="75">
        <f>IF(N145="","",ContAmt-MAX(0,N145-WorkBudget))</f>
        <v/>
      </c>
      <c r="P145" s="120">
        <f>IF(OR(N145="",ForecastEnd=""),"",ForecastEnd+IF(L145="Approved",0,IF(K145="",0,K145)))</f>
        <v/>
      </c>
      <c r="Q145" s="121">
        <f>IF(OR(N145="",WorkBudget=0),"",N145/WorkBudget-1)</f>
        <v/>
      </c>
      <c r="R145" s="79">
        <f>IF(N145="","",IF(N145&lt;=WorkBudget,0,IF(N145&lt;=TotalBudget,1,2)))</f>
        <v/>
      </c>
      <c r="S145" s="112">
        <f>IF(AND(OR(H145&lt;&gt;"",J145&lt;&gt;""),OR(L145="Pending",L145=""),C145&lt;&gt;""),C145+3,"")</f>
        <v/>
      </c>
      <c r="T145" s="79">
        <f>IF(S145="","",IF(AsOf&gt;S145,1,2))</f>
        <v/>
      </c>
      <c r="U145" s="79">
        <f>IF(T145="","","Decide on change order "&amp;B145&amp;": "&amp;H145&amp;" (+"&amp;CurSym&amp;" "&amp;FIXED(IF(J145="",0,J145),0)&amp;")")</f>
        <v/>
      </c>
    </row>
    <row r="146" ht="24" customHeight="1">
      <c r="B146" s="74" t="n"/>
      <c r="C146" s="109" t="n"/>
      <c r="D146" s="72" t="n"/>
      <c r="E146" s="72" t="n"/>
      <c r="F146" s="72" t="n"/>
      <c r="G146" s="72" t="n"/>
      <c r="H146" s="113" t="n"/>
      <c r="I146" s="72" t="n"/>
      <c r="J146" s="73" t="n"/>
      <c r="K146" s="89" t="n"/>
      <c r="L146" s="74" t="n"/>
      <c r="M146" s="109" t="n"/>
      <c r="N146" s="68">
        <f>IF(AND(H146="",J146=""),"",ForecastTotal+IF(L146="Approved",0,IF(J146="",0,J146)))</f>
        <v/>
      </c>
      <c r="O146" s="75">
        <f>IF(N146="","",ContAmt-MAX(0,N146-WorkBudget))</f>
        <v/>
      </c>
      <c r="P146" s="120">
        <f>IF(OR(N146="",ForecastEnd=""),"",ForecastEnd+IF(L146="Approved",0,IF(K146="",0,K146)))</f>
        <v/>
      </c>
      <c r="Q146" s="121">
        <f>IF(OR(N146="",WorkBudget=0),"",N146/WorkBudget-1)</f>
        <v/>
      </c>
      <c r="R146" s="79">
        <f>IF(N146="","",IF(N146&lt;=WorkBudget,0,IF(N146&lt;=TotalBudget,1,2)))</f>
        <v/>
      </c>
      <c r="S146" s="112">
        <f>IF(AND(OR(H146&lt;&gt;"",J146&lt;&gt;""),OR(L146="Pending",L146=""),C146&lt;&gt;""),C146+3,"")</f>
        <v/>
      </c>
      <c r="T146" s="79">
        <f>IF(S146="","",IF(AsOf&gt;S146,1,2))</f>
        <v/>
      </c>
      <c r="U146" s="79">
        <f>IF(T146="","","Decide on change order "&amp;B146&amp;": "&amp;H146&amp;" (+"&amp;CurSym&amp;" "&amp;FIXED(IF(J146="",0,J146),0)&amp;")")</f>
        <v/>
      </c>
    </row>
    <row r="147" ht="24" customHeight="1">
      <c r="B147" s="74" t="n"/>
      <c r="C147" s="109" t="n"/>
      <c r="D147" s="72" t="n"/>
      <c r="E147" s="72" t="n"/>
      <c r="F147" s="72" t="n"/>
      <c r="G147" s="72" t="n"/>
      <c r="H147" s="113" t="n"/>
      <c r="I147" s="72" t="n"/>
      <c r="J147" s="73" t="n"/>
      <c r="K147" s="89" t="n"/>
      <c r="L147" s="74" t="n"/>
      <c r="M147" s="109" t="n"/>
      <c r="N147" s="68">
        <f>IF(AND(H147="",J147=""),"",ForecastTotal+IF(L147="Approved",0,IF(J147="",0,J147)))</f>
        <v/>
      </c>
      <c r="O147" s="75">
        <f>IF(N147="","",ContAmt-MAX(0,N147-WorkBudget))</f>
        <v/>
      </c>
      <c r="P147" s="120">
        <f>IF(OR(N147="",ForecastEnd=""),"",ForecastEnd+IF(L147="Approved",0,IF(K147="",0,K147)))</f>
        <v/>
      </c>
      <c r="Q147" s="121">
        <f>IF(OR(N147="",WorkBudget=0),"",N147/WorkBudget-1)</f>
        <v/>
      </c>
      <c r="R147" s="79">
        <f>IF(N147="","",IF(N147&lt;=WorkBudget,0,IF(N147&lt;=TotalBudget,1,2)))</f>
        <v/>
      </c>
      <c r="S147" s="112">
        <f>IF(AND(OR(H147&lt;&gt;"",J147&lt;&gt;""),OR(L147="Pending",L147=""),C147&lt;&gt;""),C147+3,"")</f>
        <v/>
      </c>
      <c r="T147" s="79">
        <f>IF(S147="","",IF(AsOf&gt;S147,1,2))</f>
        <v/>
      </c>
      <c r="U147" s="79">
        <f>IF(T147="","","Decide on change order "&amp;B147&amp;": "&amp;H147&amp;" (+"&amp;CurSym&amp;" "&amp;FIXED(IF(J147="",0,J147),0)&amp;")")</f>
        <v/>
      </c>
    </row>
    <row r="148" ht="24" customHeight="1">
      <c r="B148" s="74" t="n"/>
      <c r="C148" s="109" t="n"/>
      <c r="D148" s="72" t="n"/>
      <c r="E148" s="72" t="n"/>
      <c r="F148" s="72" t="n"/>
      <c r="G148" s="72" t="n"/>
      <c r="H148" s="113" t="n"/>
      <c r="I148" s="72" t="n"/>
      <c r="J148" s="73" t="n"/>
      <c r="K148" s="89" t="n"/>
      <c r="L148" s="74" t="n"/>
      <c r="M148" s="109" t="n"/>
      <c r="N148" s="68">
        <f>IF(AND(H148="",J148=""),"",ForecastTotal+IF(L148="Approved",0,IF(J148="",0,J148)))</f>
        <v/>
      </c>
      <c r="O148" s="75">
        <f>IF(N148="","",ContAmt-MAX(0,N148-WorkBudget))</f>
        <v/>
      </c>
      <c r="P148" s="120">
        <f>IF(OR(N148="",ForecastEnd=""),"",ForecastEnd+IF(L148="Approved",0,IF(K148="",0,K148)))</f>
        <v/>
      </c>
      <c r="Q148" s="121">
        <f>IF(OR(N148="",WorkBudget=0),"",N148/WorkBudget-1)</f>
        <v/>
      </c>
      <c r="R148" s="79">
        <f>IF(N148="","",IF(N148&lt;=WorkBudget,0,IF(N148&lt;=TotalBudget,1,2)))</f>
        <v/>
      </c>
      <c r="S148" s="112">
        <f>IF(AND(OR(H148&lt;&gt;"",J148&lt;&gt;""),OR(L148="Pending",L148=""),C148&lt;&gt;""),C148+3,"")</f>
        <v/>
      </c>
      <c r="T148" s="79">
        <f>IF(S148="","",IF(AsOf&gt;S148,1,2))</f>
        <v/>
      </c>
      <c r="U148" s="79">
        <f>IF(T148="","","Decide on change order "&amp;B148&amp;": "&amp;H148&amp;" (+"&amp;CurSym&amp;" "&amp;FIXED(IF(J148="",0,J148),0)&amp;")")</f>
        <v/>
      </c>
    </row>
    <row r="149" ht="24" customHeight="1">
      <c r="B149" s="74" t="n"/>
      <c r="C149" s="109" t="n"/>
      <c r="D149" s="72" t="n"/>
      <c r="E149" s="72" t="n"/>
      <c r="F149" s="72" t="n"/>
      <c r="G149" s="72" t="n"/>
      <c r="H149" s="113" t="n"/>
      <c r="I149" s="72" t="n"/>
      <c r="J149" s="73" t="n"/>
      <c r="K149" s="89" t="n"/>
      <c r="L149" s="74" t="n"/>
      <c r="M149" s="109" t="n"/>
      <c r="N149" s="68">
        <f>IF(AND(H149="",J149=""),"",ForecastTotal+IF(L149="Approved",0,IF(J149="",0,J149)))</f>
        <v/>
      </c>
      <c r="O149" s="75">
        <f>IF(N149="","",ContAmt-MAX(0,N149-WorkBudget))</f>
        <v/>
      </c>
      <c r="P149" s="120">
        <f>IF(OR(N149="",ForecastEnd=""),"",ForecastEnd+IF(L149="Approved",0,IF(K149="",0,K149)))</f>
        <v/>
      </c>
      <c r="Q149" s="121">
        <f>IF(OR(N149="",WorkBudget=0),"",N149/WorkBudget-1)</f>
        <v/>
      </c>
      <c r="R149" s="79">
        <f>IF(N149="","",IF(N149&lt;=WorkBudget,0,IF(N149&lt;=TotalBudget,1,2)))</f>
        <v/>
      </c>
      <c r="S149" s="112">
        <f>IF(AND(OR(H149&lt;&gt;"",J149&lt;&gt;""),OR(L149="Pending",L149=""),C149&lt;&gt;""),C149+3,"")</f>
        <v/>
      </c>
      <c r="T149" s="79">
        <f>IF(S149="","",IF(AsOf&gt;S149,1,2))</f>
        <v/>
      </c>
      <c r="U149" s="79">
        <f>IF(T149="","","Decide on change order "&amp;B149&amp;": "&amp;H149&amp;" (+"&amp;CurSym&amp;" "&amp;FIXED(IF(J149="",0,J149),0)&amp;")")</f>
        <v/>
      </c>
    </row>
    <row r="150" ht="24" customHeight="1">
      <c r="B150" s="74" t="n"/>
      <c r="C150" s="109" t="n"/>
      <c r="D150" s="72" t="n"/>
      <c r="E150" s="72" t="n"/>
      <c r="F150" s="72" t="n"/>
      <c r="G150" s="72" t="n"/>
      <c r="H150" s="113" t="n"/>
      <c r="I150" s="72" t="n"/>
      <c r="J150" s="73" t="n"/>
      <c r="K150" s="89" t="n"/>
      <c r="L150" s="74" t="n"/>
      <c r="M150" s="109" t="n"/>
      <c r="N150" s="68">
        <f>IF(AND(H150="",J150=""),"",ForecastTotal+IF(L150="Approved",0,IF(J150="",0,J150)))</f>
        <v/>
      </c>
      <c r="O150" s="75">
        <f>IF(N150="","",ContAmt-MAX(0,N150-WorkBudget))</f>
        <v/>
      </c>
      <c r="P150" s="120">
        <f>IF(OR(N150="",ForecastEnd=""),"",ForecastEnd+IF(L150="Approved",0,IF(K150="",0,K150)))</f>
        <v/>
      </c>
      <c r="Q150" s="121">
        <f>IF(OR(N150="",WorkBudget=0),"",N150/WorkBudget-1)</f>
        <v/>
      </c>
      <c r="R150" s="79">
        <f>IF(N150="","",IF(N150&lt;=WorkBudget,0,IF(N150&lt;=TotalBudget,1,2)))</f>
        <v/>
      </c>
      <c r="S150" s="112">
        <f>IF(AND(OR(H150&lt;&gt;"",J150&lt;&gt;""),OR(L150="Pending",L150=""),C150&lt;&gt;""),C150+3,"")</f>
        <v/>
      </c>
      <c r="T150" s="79">
        <f>IF(S150="","",IF(AsOf&gt;S150,1,2))</f>
        <v/>
      </c>
      <c r="U150" s="79">
        <f>IF(T150="","","Decide on change order "&amp;B150&amp;": "&amp;H150&amp;" (+"&amp;CurSym&amp;" "&amp;FIXED(IF(J150="",0,J150),0)&amp;")")</f>
        <v/>
      </c>
    </row>
    <row r="151" ht="24" customHeight="1">
      <c r="B151" s="74" t="n"/>
      <c r="C151" s="109" t="n"/>
      <c r="D151" s="72" t="n"/>
      <c r="E151" s="72" t="n"/>
      <c r="F151" s="72" t="n"/>
      <c r="G151" s="72" t="n"/>
      <c r="H151" s="113" t="n"/>
      <c r="I151" s="72" t="n"/>
      <c r="J151" s="73" t="n"/>
      <c r="K151" s="89" t="n"/>
      <c r="L151" s="74" t="n"/>
      <c r="M151" s="109" t="n"/>
      <c r="N151" s="68">
        <f>IF(AND(H151="",J151=""),"",ForecastTotal+IF(L151="Approved",0,IF(J151="",0,J151)))</f>
        <v/>
      </c>
      <c r="O151" s="75">
        <f>IF(N151="","",ContAmt-MAX(0,N151-WorkBudget))</f>
        <v/>
      </c>
      <c r="P151" s="120">
        <f>IF(OR(N151="",ForecastEnd=""),"",ForecastEnd+IF(L151="Approved",0,IF(K151="",0,K151)))</f>
        <v/>
      </c>
      <c r="Q151" s="121">
        <f>IF(OR(N151="",WorkBudget=0),"",N151/WorkBudget-1)</f>
        <v/>
      </c>
      <c r="R151" s="79">
        <f>IF(N151="","",IF(N151&lt;=WorkBudget,0,IF(N151&lt;=TotalBudget,1,2)))</f>
        <v/>
      </c>
      <c r="S151" s="112">
        <f>IF(AND(OR(H151&lt;&gt;"",J151&lt;&gt;""),OR(L151="Pending",L151=""),C151&lt;&gt;""),C151+3,"")</f>
        <v/>
      </c>
      <c r="T151" s="79">
        <f>IF(S151="","",IF(AsOf&gt;S151,1,2))</f>
        <v/>
      </c>
      <c r="U151" s="79">
        <f>IF(T151="","","Decide on change order "&amp;B151&amp;": "&amp;H151&amp;" (+"&amp;CurSym&amp;" "&amp;FIXED(IF(J151="",0,J151),0)&amp;")")</f>
        <v/>
      </c>
    </row>
    <row r="152" ht="24" customHeight="1">
      <c r="B152" s="74" t="n"/>
      <c r="C152" s="109" t="n"/>
      <c r="D152" s="72" t="n"/>
      <c r="E152" s="72" t="n"/>
      <c r="F152" s="72" t="n"/>
      <c r="G152" s="72" t="n"/>
      <c r="H152" s="113" t="n"/>
      <c r="I152" s="72" t="n"/>
      <c r="J152" s="73" t="n"/>
      <c r="K152" s="89" t="n"/>
      <c r="L152" s="74" t="n"/>
      <c r="M152" s="109" t="n"/>
      <c r="N152" s="68">
        <f>IF(AND(H152="",J152=""),"",ForecastTotal+IF(L152="Approved",0,IF(J152="",0,J152)))</f>
        <v/>
      </c>
      <c r="O152" s="75">
        <f>IF(N152="","",ContAmt-MAX(0,N152-WorkBudget))</f>
        <v/>
      </c>
      <c r="P152" s="120">
        <f>IF(OR(N152="",ForecastEnd=""),"",ForecastEnd+IF(L152="Approved",0,IF(K152="",0,K152)))</f>
        <v/>
      </c>
      <c r="Q152" s="121">
        <f>IF(OR(N152="",WorkBudget=0),"",N152/WorkBudget-1)</f>
        <v/>
      </c>
      <c r="R152" s="79">
        <f>IF(N152="","",IF(N152&lt;=WorkBudget,0,IF(N152&lt;=TotalBudget,1,2)))</f>
        <v/>
      </c>
      <c r="S152" s="112">
        <f>IF(AND(OR(H152&lt;&gt;"",J152&lt;&gt;""),OR(L152="Pending",L152=""),C152&lt;&gt;""),C152+3,"")</f>
        <v/>
      </c>
      <c r="T152" s="79">
        <f>IF(S152="","",IF(AsOf&gt;S152,1,2))</f>
        <v/>
      </c>
      <c r="U152" s="79">
        <f>IF(T152="","","Decide on change order "&amp;B152&amp;": "&amp;H152&amp;" (+"&amp;CurSym&amp;" "&amp;FIXED(IF(J152="",0,J152),0)&amp;")")</f>
        <v/>
      </c>
    </row>
    <row r="153" ht="24" customHeight="1">
      <c r="B153" s="74" t="n"/>
      <c r="C153" s="109" t="n"/>
      <c r="D153" s="72" t="n"/>
      <c r="E153" s="72" t="n"/>
      <c r="F153" s="72" t="n"/>
      <c r="G153" s="72" t="n"/>
      <c r="H153" s="113" t="n"/>
      <c r="I153" s="72" t="n"/>
      <c r="J153" s="73" t="n"/>
      <c r="K153" s="89" t="n"/>
      <c r="L153" s="74" t="n"/>
      <c r="M153" s="109" t="n"/>
      <c r="N153" s="68">
        <f>IF(AND(H153="",J153=""),"",ForecastTotal+IF(L153="Approved",0,IF(J153="",0,J153)))</f>
        <v/>
      </c>
      <c r="O153" s="75">
        <f>IF(N153="","",ContAmt-MAX(0,N153-WorkBudget))</f>
        <v/>
      </c>
      <c r="P153" s="120">
        <f>IF(OR(N153="",ForecastEnd=""),"",ForecastEnd+IF(L153="Approved",0,IF(K153="",0,K153)))</f>
        <v/>
      </c>
      <c r="Q153" s="121">
        <f>IF(OR(N153="",WorkBudget=0),"",N153/WorkBudget-1)</f>
        <v/>
      </c>
      <c r="R153" s="79">
        <f>IF(N153="","",IF(N153&lt;=WorkBudget,0,IF(N153&lt;=TotalBudget,1,2)))</f>
        <v/>
      </c>
      <c r="S153" s="112">
        <f>IF(AND(OR(H153&lt;&gt;"",J153&lt;&gt;""),OR(L153="Pending",L153=""),C153&lt;&gt;""),C153+3,"")</f>
        <v/>
      </c>
      <c r="T153" s="79">
        <f>IF(S153="","",IF(AsOf&gt;S153,1,2))</f>
        <v/>
      </c>
      <c r="U153" s="79">
        <f>IF(T153="","","Decide on change order "&amp;B153&amp;": "&amp;H153&amp;" (+"&amp;CurSym&amp;" "&amp;FIXED(IF(J153="",0,J153),0)&amp;")")</f>
        <v/>
      </c>
    </row>
    <row r="154" ht="24" customHeight="1">
      <c r="B154" s="74" t="n"/>
      <c r="C154" s="109" t="n"/>
      <c r="D154" s="72" t="n"/>
      <c r="E154" s="72" t="n"/>
      <c r="F154" s="72" t="n"/>
      <c r="G154" s="72" t="n"/>
      <c r="H154" s="113" t="n"/>
      <c r="I154" s="72" t="n"/>
      <c r="J154" s="73" t="n"/>
      <c r="K154" s="89" t="n"/>
      <c r="L154" s="74" t="n"/>
      <c r="M154" s="109" t="n"/>
      <c r="N154" s="68">
        <f>IF(AND(H154="",J154=""),"",ForecastTotal+IF(L154="Approved",0,IF(J154="",0,J154)))</f>
        <v/>
      </c>
      <c r="O154" s="75">
        <f>IF(N154="","",ContAmt-MAX(0,N154-WorkBudget))</f>
        <v/>
      </c>
      <c r="P154" s="120">
        <f>IF(OR(N154="",ForecastEnd=""),"",ForecastEnd+IF(L154="Approved",0,IF(K154="",0,K154)))</f>
        <v/>
      </c>
      <c r="Q154" s="121">
        <f>IF(OR(N154="",WorkBudget=0),"",N154/WorkBudget-1)</f>
        <v/>
      </c>
      <c r="R154" s="79">
        <f>IF(N154="","",IF(N154&lt;=WorkBudget,0,IF(N154&lt;=TotalBudget,1,2)))</f>
        <v/>
      </c>
      <c r="S154" s="112">
        <f>IF(AND(OR(H154&lt;&gt;"",J154&lt;&gt;""),OR(L154="Pending",L154=""),C154&lt;&gt;""),C154+3,"")</f>
        <v/>
      </c>
      <c r="T154" s="79">
        <f>IF(S154="","",IF(AsOf&gt;S154,1,2))</f>
        <v/>
      </c>
      <c r="U154" s="79">
        <f>IF(T154="","","Decide on change order "&amp;B154&amp;": "&amp;H154&amp;" (+"&amp;CurSym&amp;" "&amp;FIXED(IF(J154="",0,J154),0)&amp;")")</f>
        <v/>
      </c>
    </row>
    <row r="155" ht="24" customHeight="1">
      <c r="B155" s="74" t="n"/>
      <c r="C155" s="109" t="n"/>
      <c r="D155" s="72" t="n"/>
      <c r="E155" s="72" t="n"/>
      <c r="F155" s="72" t="n"/>
      <c r="G155" s="72" t="n"/>
      <c r="H155" s="113" t="n"/>
      <c r="I155" s="72" t="n"/>
      <c r="J155" s="73" t="n"/>
      <c r="K155" s="89" t="n"/>
      <c r="L155" s="74" t="n"/>
      <c r="M155" s="109" t="n"/>
      <c r="N155" s="68">
        <f>IF(AND(H155="",J155=""),"",ForecastTotal+IF(L155="Approved",0,IF(J155="",0,J155)))</f>
        <v/>
      </c>
      <c r="O155" s="75">
        <f>IF(N155="","",ContAmt-MAX(0,N155-WorkBudget))</f>
        <v/>
      </c>
      <c r="P155" s="120">
        <f>IF(OR(N155="",ForecastEnd=""),"",ForecastEnd+IF(L155="Approved",0,IF(K155="",0,K155)))</f>
        <v/>
      </c>
      <c r="Q155" s="121">
        <f>IF(OR(N155="",WorkBudget=0),"",N155/WorkBudget-1)</f>
        <v/>
      </c>
      <c r="R155" s="79">
        <f>IF(N155="","",IF(N155&lt;=WorkBudget,0,IF(N155&lt;=TotalBudget,1,2)))</f>
        <v/>
      </c>
      <c r="S155" s="112">
        <f>IF(AND(OR(H155&lt;&gt;"",J155&lt;&gt;""),OR(L155="Pending",L155=""),C155&lt;&gt;""),C155+3,"")</f>
        <v/>
      </c>
      <c r="T155" s="79">
        <f>IF(S155="","",IF(AsOf&gt;S155,1,2))</f>
        <v/>
      </c>
      <c r="U155" s="79">
        <f>IF(T155="","","Decide on change order "&amp;B155&amp;": "&amp;H155&amp;" (+"&amp;CurSym&amp;" "&amp;FIXED(IF(J155="",0,J155),0)&amp;")")</f>
        <v/>
      </c>
    </row>
    <row r="156" ht="24" customHeight="1">
      <c r="B156" s="74" t="n"/>
      <c r="C156" s="109" t="n"/>
      <c r="D156" s="72" t="n"/>
      <c r="E156" s="72" t="n"/>
      <c r="F156" s="72" t="n"/>
      <c r="G156" s="72" t="n"/>
      <c r="H156" s="113" t="n"/>
      <c r="I156" s="72" t="n"/>
      <c r="J156" s="73" t="n"/>
      <c r="K156" s="89" t="n"/>
      <c r="L156" s="74" t="n"/>
      <c r="M156" s="109" t="n"/>
      <c r="N156" s="68">
        <f>IF(AND(H156="",J156=""),"",ForecastTotal+IF(L156="Approved",0,IF(J156="",0,J156)))</f>
        <v/>
      </c>
      <c r="O156" s="75">
        <f>IF(N156="","",ContAmt-MAX(0,N156-WorkBudget))</f>
        <v/>
      </c>
      <c r="P156" s="120">
        <f>IF(OR(N156="",ForecastEnd=""),"",ForecastEnd+IF(L156="Approved",0,IF(K156="",0,K156)))</f>
        <v/>
      </c>
      <c r="Q156" s="121">
        <f>IF(OR(N156="",WorkBudget=0),"",N156/WorkBudget-1)</f>
        <v/>
      </c>
      <c r="R156" s="79">
        <f>IF(N156="","",IF(N156&lt;=WorkBudget,0,IF(N156&lt;=TotalBudget,1,2)))</f>
        <v/>
      </c>
      <c r="S156" s="112">
        <f>IF(AND(OR(H156&lt;&gt;"",J156&lt;&gt;""),OR(L156="Pending",L156=""),C156&lt;&gt;""),C156+3,"")</f>
        <v/>
      </c>
      <c r="T156" s="79">
        <f>IF(S156="","",IF(AsOf&gt;S156,1,2))</f>
        <v/>
      </c>
      <c r="U156" s="79">
        <f>IF(T156="","","Decide on change order "&amp;B156&amp;": "&amp;H156&amp;" (+"&amp;CurSym&amp;" "&amp;FIXED(IF(J156="",0,J156),0)&amp;")")</f>
        <v/>
      </c>
    </row>
    <row r="157" ht="24" customHeight="1">
      <c r="B157" s="74" t="n"/>
      <c r="C157" s="109" t="n"/>
      <c r="D157" s="72" t="n"/>
      <c r="E157" s="72" t="n"/>
      <c r="F157" s="72" t="n"/>
      <c r="G157" s="72" t="n"/>
      <c r="H157" s="113" t="n"/>
      <c r="I157" s="72" t="n"/>
      <c r="J157" s="73" t="n"/>
      <c r="K157" s="89" t="n"/>
      <c r="L157" s="74" t="n"/>
      <c r="M157" s="109" t="n"/>
      <c r="N157" s="68">
        <f>IF(AND(H157="",J157=""),"",ForecastTotal+IF(L157="Approved",0,IF(J157="",0,J157)))</f>
        <v/>
      </c>
      <c r="O157" s="75">
        <f>IF(N157="","",ContAmt-MAX(0,N157-WorkBudget))</f>
        <v/>
      </c>
      <c r="P157" s="120">
        <f>IF(OR(N157="",ForecastEnd=""),"",ForecastEnd+IF(L157="Approved",0,IF(K157="",0,K157)))</f>
        <v/>
      </c>
      <c r="Q157" s="121">
        <f>IF(OR(N157="",WorkBudget=0),"",N157/WorkBudget-1)</f>
        <v/>
      </c>
      <c r="R157" s="79">
        <f>IF(N157="","",IF(N157&lt;=WorkBudget,0,IF(N157&lt;=TotalBudget,1,2)))</f>
        <v/>
      </c>
      <c r="S157" s="112">
        <f>IF(AND(OR(H157&lt;&gt;"",J157&lt;&gt;""),OR(L157="Pending",L157=""),C157&lt;&gt;""),C157+3,"")</f>
        <v/>
      </c>
      <c r="T157" s="79">
        <f>IF(S157="","",IF(AsOf&gt;S157,1,2))</f>
        <v/>
      </c>
      <c r="U157" s="79">
        <f>IF(T157="","","Decide on change order "&amp;B157&amp;": "&amp;H157&amp;" (+"&amp;CurSym&amp;" "&amp;FIXED(IF(J157="",0,J157),0)&amp;")")</f>
        <v/>
      </c>
    </row>
    <row r="158" ht="24" customHeight="1">
      <c r="B158" s="74" t="n"/>
      <c r="C158" s="109" t="n"/>
      <c r="D158" s="72" t="n"/>
      <c r="E158" s="72" t="n"/>
      <c r="F158" s="72" t="n"/>
      <c r="G158" s="72" t="n"/>
      <c r="H158" s="113" t="n"/>
      <c r="I158" s="72" t="n"/>
      <c r="J158" s="73" t="n"/>
      <c r="K158" s="89" t="n"/>
      <c r="L158" s="74" t="n"/>
      <c r="M158" s="109" t="n"/>
      <c r="N158" s="68">
        <f>IF(AND(H158="",J158=""),"",ForecastTotal+IF(L158="Approved",0,IF(J158="",0,J158)))</f>
        <v/>
      </c>
      <c r="O158" s="75">
        <f>IF(N158="","",ContAmt-MAX(0,N158-WorkBudget))</f>
        <v/>
      </c>
      <c r="P158" s="120">
        <f>IF(OR(N158="",ForecastEnd=""),"",ForecastEnd+IF(L158="Approved",0,IF(K158="",0,K158)))</f>
        <v/>
      </c>
      <c r="Q158" s="121">
        <f>IF(OR(N158="",WorkBudget=0),"",N158/WorkBudget-1)</f>
        <v/>
      </c>
      <c r="R158" s="79">
        <f>IF(N158="","",IF(N158&lt;=WorkBudget,0,IF(N158&lt;=TotalBudget,1,2)))</f>
        <v/>
      </c>
      <c r="S158" s="112">
        <f>IF(AND(OR(H158&lt;&gt;"",J158&lt;&gt;""),OR(L158="Pending",L158=""),C158&lt;&gt;""),C158+3,"")</f>
        <v/>
      </c>
      <c r="T158" s="79">
        <f>IF(S158="","",IF(AsOf&gt;S158,1,2))</f>
        <v/>
      </c>
      <c r="U158" s="79">
        <f>IF(T158="","","Decide on change order "&amp;B158&amp;": "&amp;H158&amp;" (+"&amp;CurSym&amp;" "&amp;FIXED(IF(J158="",0,J158),0)&amp;")")</f>
        <v/>
      </c>
    </row>
    <row r="159" ht="24" customHeight="1">
      <c r="B159" s="74" t="n"/>
      <c r="C159" s="109" t="n"/>
      <c r="D159" s="72" t="n"/>
      <c r="E159" s="72" t="n"/>
      <c r="F159" s="72" t="n"/>
      <c r="G159" s="72" t="n"/>
      <c r="H159" s="113" t="n"/>
      <c r="I159" s="72" t="n"/>
      <c r="J159" s="73" t="n"/>
      <c r="K159" s="89" t="n"/>
      <c r="L159" s="74" t="n"/>
      <c r="M159" s="109" t="n"/>
      <c r="N159" s="68">
        <f>IF(AND(H159="",J159=""),"",ForecastTotal+IF(L159="Approved",0,IF(J159="",0,J159)))</f>
        <v/>
      </c>
      <c r="O159" s="75">
        <f>IF(N159="","",ContAmt-MAX(0,N159-WorkBudget))</f>
        <v/>
      </c>
      <c r="P159" s="120">
        <f>IF(OR(N159="",ForecastEnd=""),"",ForecastEnd+IF(L159="Approved",0,IF(K159="",0,K159)))</f>
        <v/>
      </c>
      <c r="Q159" s="121">
        <f>IF(OR(N159="",WorkBudget=0),"",N159/WorkBudget-1)</f>
        <v/>
      </c>
      <c r="R159" s="79">
        <f>IF(N159="","",IF(N159&lt;=WorkBudget,0,IF(N159&lt;=TotalBudget,1,2)))</f>
        <v/>
      </c>
      <c r="S159" s="112">
        <f>IF(AND(OR(H159&lt;&gt;"",J159&lt;&gt;""),OR(L159="Pending",L159=""),C159&lt;&gt;""),C159+3,"")</f>
        <v/>
      </c>
      <c r="T159" s="79">
        <f>IF(S159="","",IF(AsOf&gt;S159,1,2))</f>
        <v/>
      </c>
      <c r="U159" s="79">
        <f>IF(T159="","","Decide on change order "&amp;B159&amp;": "&amp;H159&amp;" (+"&amp;CurSym&amp;" "&amp;FIXED(IF(J159="",0,J159),0)&amp;")")</f>
        <v/>
      </c>
    </row>
    <row r="160" ht="24" customHeight="1">
      <c r="B160" s="74" t="n"/>
      <c r="C160" s="109" t="n"/>
      <c r="D160" s="72" t="n"/>
      <c r="E160" s="72" t="n"/>
      <c r="F160" s="72" t="n"/>
      <c r="G160" s="72" t="n"/>
      <c r="H160" s="113" t="n"/>
      <c r="I160" s="72" t="n"/>
      <c r="J160" s="73" t="n"/>
      <c r="K160" s="89" t="n"/>
      <c r="L160" s="74" t="n"/>
      <c r="M160" s="109" t="n"/>
      <c r="N160" s="68">
        <f>IF(AND(H160="",J160=""),"",ForecastTotal+IF(L160="Approved",0,IF(J160="",0,J160)))</f>
        <v/>
      </c>
      <c r="O160" s="75">
        <f>IF(N160="","",ContAmt-MAX(0,N160-WorkBudget))</f>
        <v/>
      </c>
      <c r="P160" s="120">
        <f>IF(OR(N160="",ForecastEnd=""),"",ForecastEnd+IF(L160="Approved",0,IF(K160="",0,K160)))</f>
        <v/>
      </c>
      <c r="Q160" s="121">
        <f>IF(OR(N160="",WorkBudget=0),"",N160/WorkBudget-1)</f>
        <v/>
      </c>
      <c r="R160" s="79">
        <f>IF(N160="","",IF(N160&lt;=WorkBudget,0,IF(N160&lt;=TotalBudget,1,2)))</f>
        <v/>
      </c>
      <c r="S160" s="112">
        <f>IF(AND(OR(H160&lt;&gt;"",J160&lt;&gt;""),OR(L160="Pending",L160=""),C160&lt;&gt;""),C160+3,"")</f>
        <v/>
      </c>
      <c r="T160" s="79">
        <f>IF(S160="","",IF(AsOf&gt;S160,1,2))</f>
        <v/>
      </c>
      <c r="U160" s="79">
        <f>IF(T160="","","Decide on change order "&amp;B160&amp;": "&amp;H160&amp;" (+"&amp;CurSym&amp;" "&amp;FIXED(IF(J160="",0,J160),0)&amp;")")</f>
        <v/>
      </c>
    </row>
    <row r="161" ht="24" customHeight="1">
      <c r="B161" s="74" t="n"/>
      <c r="C161" s="109" t="n"/>
      <c r="D161" s="72" t="n"/>
      <c r="E161" s="72" t="n"/>
      <c r="F161" s="72" t="n"/>
      <c r="G161" s="72" t="n"/>
      <c r="H161" s="113" t="n"/>
      <c r="I161" s="72" t="n"/>
      <c r="J161" s="73" t="n"/>
      <c r="K161" s="89" t="n"/>
      <c r="L161" s="74" t="n"/>
      <c r="M161" s="109" t="n"/>
      <c r="N161" s="68">
        <f>IF(AND(H161="",J161=""),"",ForecastTotal+IF(L161="Approved",0,IF(J161="",0,J161)))</f>
        <v/>
      </c>
      <c r="O161" s="75">
        <f>IF(N161="","",ContAmt-MAX(0,N161-WorkBudget))</f>
        <v/>
      </c>
      <c r="P161" s="120">
        <f>IF(OR(N161="",ForecastEnd=""),"",ForecastEnd+IF(L161="Approved",0,IF(K161="",0,K161)))</f>
        <v/>
      </c>
      <c r="Q161" s="121">
        <f>IF(OR(N161="",WorkBudget=0),"",N161/WorkBudget-1)</f>
        <v/>
      </c>
      <c r="R161" s="79">
        <f>IF(N161="","",IF(N161&lt;=WorkBudget,0,IF(N161&lt;=TotalBudget,1,2)))</f>
        <v/>
      </c>
      <c r="S161" s="112">
        <f>IF(AND(OR(H161&lt;&gt;"",J161&lt;&gt;""),OR(L161="Pending",L161=""),C161&lt;&gt;""),C161+3,"")</f>
        <v/>
      </c>
      <c r="T161" s="79">
        <f>IF(S161="","",IF(AsOf&gt;S161,1,2))</f>
        <v/>
      </c>
      <c r="U161" s="79">
        <f>IF(T161="","","Decide on change order "&amp;B161&amp;": "&amp;H161&amp;" (+"&amp;CurSym&amp;" "&amp;FIXED(IF(J161="",0,J161),0)&amp;")")</f>
        <v/>
      </c>
    </row>
    <row r="162" ht="24" customHeight="1">
      <c r="B162" s="74" t="n"/>
      <c r="C162" s="109" t="n"/>
      <c r="D162" s="72" t="n"/>
      <c r="E162" s="72" t="n"/>
      <c r="F162" s="72" t="n"/>
      <c r="G162" s="72" t="n"/>
      <c r="H162" s="113" t="n"/>
      <c r="I162" s="72" t="n"/>
      <c r="J162" s="73" t="n"/>
      <c r="K162" s="89" t="n"/>
      <c r="L162" s="74" t="n"/>
      <c r="M162" s="109" t="n"/>
      <c r="N162" s="68">
        <f>IF(AND(H162="",J162=""),"",ForecastTotal+IF(L162="Approved",0,IF(J162="",0,J162)))</f>
        <v/>
      </c>
      <c r="O162" s="75">
        <f>IF(N162="","",ContAmt-MAX(0,N162-WorkBudget))</f>
        <v/>
      </c>
      <c r="P162" s="120">
        <f>IF(OR(N162="",ForecastEnd=""),"",ForecastEnd+IF(L162="Approved",0,IF(K162="",0,K162)))</f>
        <v/>
      </c>
      <c r="Q162" s="121">
        <f>IF(OR(N162="",WorkBudget=0),"",N162/WorkBudget-1)</f>
        <v/>
      </c>
      <c r="R162" s="79">
        <f>IF(N162="","",IF(N162&lt;=WorkBudget,0,IF(N162&lt;=TotalBudget,1,2)))</f>
        <v/>
      </c>
      <c r="S162" s="112">
        <f>IF(AND(OR(H162&lt;&gt;"",J162&lt;&gt;""),OR(L162="Pending",L162=""),C162&lt;&gt;""),C162+3,"")</f>
        <v/>
      </c>
      <c r="T162" s="79">
        <f>IF(S162="","",IF(AsOf&gt;S162,1,2))</f>
        <v/>
      </c>
      <c r="U162" s="79">
        <f>IF(T162="","","Decide on change order "&amp;B162&amp;": "&amp;H162&amp;" (+"&amp;CurSym&amp;" "&amp;FIXED(IF(J162="",0,J162),0)&amp;")")</f>
        <v/>
      </c>
    </row>
    <row r="163" ht="24" customHeight="1">
      <c r="B163" s="74" t="n"/>
      <c r="C163" s="109" t="n"/>
      <c r="D163" s="72" t="n"/>
      <c r="E163" s="72" t="n"/>
      <c r="F163" s="72" t="n"/>
      <c r="G163" s="72" t="n"/>
      <c r="H163" s="113" t="n"/>
      <c r="I163" s="72" t="n"/>
      <c r="J163" s="73" t="n"/>
      <c r="K163" s="89" t="n"/>
      <c r="L163" s="74" t="n"/>
      <c r="M163" s="109" t="n"/>
      <c r="N163" s="68">
        <f>IF(AND(H163="",J163=""),"",ForecastTotal+IF(L163="Approved",0,IF(J163="",0,J163)))</f>
        <v/>
      </c>
      <c r="O163" s="75">
        <f>IF(N163="","",ContAmt-MAX(0,N163-WorkBudget))</f>
        <v/>
      </c>
      <c r="P163" s="120">
        <f>IF(OR(N163="",ForecastEnd=""),"",ForecastEnd+IF(L163="Approved",0,IF(K163="",0,K163)))</f>
        <v/>
      </c>
      <c r="Q163" s="121">
        <f>IF(OR(N163="",WorkBudget=0),"",N163/WorkBudget-1)</f>
        <v/>
      </c>
      <c r="R163" s="79">
        <f>IF(N163="","",IF(N163&lt;=WorkBudget,0,IF(N163&lt;=TotalBudget,1,2)))</f>
        <v/>
      </c>
      <c r="S163" s="112">
        <f>IF(AND(OR(H163&lt;&gt;"",J163&lt;&gt;""),OR(L163="Pending",L163=""),C163&lt;&gt;""),C163+3,"")</f>
        <v/>
      </c>
      <c r="T163" s="79">
        <f>IF(S163="","",IF(AsOf&gt;S163,1,2))</f>
        <v/>
      </c>
      <c r="U163" s="79">
        <f>IF(T163="","","Decide on change order "&amp;B163&amp;": "&amp;H163&amp;" (+"&amp;CurSym&amp;" "&amp;FIXED(IF(J163="",0,J163),0)&amp;")")</f>
        <v/>
      </c>
    </row>
    <row r="164" ht="24" customHeight="1">
      <c r="B164" s="74" t="n"/>
      <c r="C164" s="109" t="n"/>
      <c r="D164" s="72" t="n"/>
      <c r="E164" s="72" t="n"/>
      <c r="F164" s="72" t="n"/>
      <c r="G164" s="72" t="n"/>
      <c r="H164" s="113" t="n"/>
      <c r="I164" s="72" t="n"/>
      <c r="J164" s="73" t="n"/>
      <c r="K164" s="89" t="n"/>
      <c r="L164" s="74" t="n"/>
      <c r="M164" s="109" t="n"/>
      <c r="N164" s="68">
        <f>IF(AND(H164="",J164=""),"",ForecastTotal+IF(L164="Approved",0,IF(J164="",0,J164)))</f>
        <v/>
      </c>
      <c r="O164" s="75">
        <f>IF(N164="","",ContAmt-MAX(0,N164-WorkBudget))</f>
        <v/>
      </c>
      <c r="P164" s="120">
        <f>IF(OR(N164="",ForecastEnd=""),"",ForecastEnd+IF(L164="Approved",0,IF(K164="",0,K164)))</f>
        <v/>
      </c>
      <c r="Q164" s="121">
        <f>IF(OR(N164="",WorkBudget=0),"",N164/WorkBudget-1)</f>
        <v/>
      </c>
      <c r="R164" s="79">
        <f>IF(N164="","",IF(N164&lt;=WorkBudget,0,IF(N164&lt;=TotalBudget,1,2)))</f>
        <v/>
      </c>
      <c r="S164" s="112">
        <f>IF(AND(OR(H164&lt;&gt;"",J164&lt;&gt;""),OR(L164="Pending",L164=""),C164&lt;&gt;""),C164+3,"")</f>
        <v/>
      </c>
      <c r="T164" s="79">
        <f>IF(S164="","",IF(AsOf&gt;S164,1,2))</f>
        <v/>
      </c>
      <c r="U164" s="79">
        <f>IF(T164="","","Decide on change order "&amp;B164&amp;": "&amp;H164&amp;" (+"&amp;CurSym&amp;" "&amp;FIXED(IF(J164="",0,J164),0)&amp;")")</f>
        <v/>
      </c>
    </row>
    <row r="165" ht="24" customHeight="1">
      <c r="B165" s="74" t="n"/>
      <c r="C165" s="109" t="n"/>
      <c r="D165" s="72" t="n"/>
      <c r="E165" s="72" t="n"/>
      <c r="F165" s="72" t="n"/>
      <c r="G165" s="72" t="n"/>
      <c r="H165" s="113" t="n"/>
      <c r="I165" s="72" t="n"/>
      <c r="J165" s="73" t="n"/>
      <c r="K165" s="89" t="n"/>
      <c r="L165" s="74" t="n"/>
      <c r="M165" s="109" t="n"/>
      <c r="N165" s="68">
        <f>IF(AND(H165="",J165=""),"",ForecastTotal+IF(L165="Approved",0,IF(J165="",0,J165)))</f>
        <v/>
      </c>
      <c r="O165" s="75">
        <f>IF(N165="","",ContAmt-MAX(0,N165-WorkBudget))</f>
        <v/>
      </c>
      <c r="P165" s="120">
        <f>IF(OR(N165="",ForecastEnd=""),"",ForecastEnd+IF(L165="Approved",0,IF(K165="",0,K165)))</f>
        <v/>
      </c>
      <c r="Q165" s="121">
        <f>IF(OR(N165="",WorkBudget=0),"",N165/WorkBudget-1)</f>
        <v/>
      </c>
      <c r="R165" s="79">
        <f>IF(N165="","",IF(N165&lt;=WorkBudget,0,IF(N165&lt;=TotalBudget,1,2)))</f>
        <v/>
      </c>
      <c r="S165" s="112">
        <f>IF(AND(OR(H165&lt;&gt;"",J165&lt;&gt;""),OR(L165="Pending",L165=""),C165&lt;&gt;""),C165+3,"")</f>
        <v/>
      </c>
      <c r="T165" s="79">
        <f>IF(S165="","",IF(AsOf&gt;S165,1,2))</f>
        <v/>
      </c>
      <c r="U165" s="79">
        <f>IF(T165="","","Decide on change order "&amp;B165&amp;": "&amp;H165&amp;" (+"&amp;CurSym&amp;" "&amp;FIXED(IF(J165="",0,J165),0)&amp;")")</f>
        <v/>
      </c>
    </row>
    <row r="166" ht="24" customHeight="1">
      <c r="B166" s="74" t="n"/>
      <c r="C166" s="109" t="n"/>
      <c r="D166" s="72" t="n"/>
      <c r="E166" s="72" t="n"/>
      <c r="F166" s="72" t="n"/>
      <c r="G166" s="72" t="n"/>
      <c r="H166" s="113" t="n"/>
      <c r="I166" s="72" t="n"/>
      <c r="J166" s="73" t="n"/>
      <c r="K166" s="89" t="n"/>
      <c r="L166" s="74" t="n"/>
      <c r="M166" s="109" t="n"/>
      <c r="N166" s="68">
        <f>IF(AND(H166="",J166=""),"",ForecastTotal+IF(L166="Approved",0,IF(J166="",0,J166)))</f>
        <v/>
      </c>
      <c r="O166" s="75">
        <f>IF(N166="","",ContAmt-MAX(0,N166-WorkBudget))</f>
        <v/>
      </c>
      <c r="P166" s="120">
        <f>IF(OR(N166="",ForecastEnd=""),"",ForecastEnd+IF(L166="Approved",0,IF(K166="",0,K166)))</f>
        <v/>
      </c>
      <c r="Q166" s="121">
        <f>IF(OR(N166="",WorkBudget=0),"",N166/WorkBudget-1)</f>
        <v/>
      </c>
      <c r="R166" s="79">
        <f>IF(N166="","",IF(N166&lt;=WorkBudget,0,IF(N166&lt;=TotalBudget,1,2)))</f>
        <v/>
      </c>
      <c r="S166" s="112">
        <f>IF(AND(OR(H166&lt;&gt;"",J166&lt;&gt;""),OR(L166="Pending",L166=""),C166&lt;&gt;""),C166+3,"")</f>
        <v/>
      </c>
      <c r="T166" s="79">
        <f>IF(S166="","",IF(AsOf&gt;S166,1,2))</f>
        <v/>
      </c>
      <c r="U166" s="79">
        <f>IF(T166="","","Decide on change order "&amp;B166&amp;": "&amp;H166&amp;" (+"&amp;CurSym&amp;" "&amp;FIXED(IF(J166="",0,J166),0)&amp;")")</f>
        <v/>
      </c>
    </row>
    <row r="167" ht="24" customHeight="1">
      <c r="B167" s="74" t="n"/>
      <c r="C167" s="109" t="n"/>
      <c r="D167" s="72" t="n"/>
      <c r="E167" s="72" t="n"/>
      <c r="F167" s="72" t="n"/>
      <c r="G167" s="72" t="n"/>
      <c r="H167" s="113" t="n"/>
      <c r="I167" s="72" t="n"/>
      <c r="J167" s="73" t="n"/>
      <c r="K167" s="89" t="n"/>
      <c r="L167" s="74" t="n"/>
      <c r="M167" s="109" t="n"/>
      <c r="N167" s="68">
        <f>IF(AND(H167="",J167=""),"",ForecastTotal+IF(L167="Approved",0,IF(J167="",0,J167)))</f>
        <v/>
      </c>
      <c r="O167" s="75">
        <f>IF(N167="","",ContAmt-MAX(0,N167-WorkBudget))</f>
        <v/>
      </c>
      <c r="P167" s="120">
        <f>IF(OR(N167="",ForecastEnd=""),"",ForecastEnd+IF(L167="Approved",0,IF(K167="",0,K167)))</f>
        <v/>
      </c>
      <c r="Q167" s="121">
        <f>IF(OR(N167="",WorkBudget=0),"",N167/WorkBudget-1)</f>
        <v/>
      </c>
      <c r="R167" s="79">
        <f>IF(N167="","",IF(N167&lt;=WorkBudget,0,IF(N167&lt;=TotalBudget,1,2)))</f>
        <v/>
      </c>
      <c r="S167" s="112">
        <f>IF(AND(OR(H167&lt;&gt;"",J167&lt;&gt;""),OR(L167="Pending",L167=""),C167&lt;&gt;""),C167+3,"")</f>
        <v/>
      </c>
      <c r="T167" s="79">
        <f>IF(S167="","",IF(AsOf&gt;S167,1,2))</f>
        <v/>
      </c>
      <c r="U167" s="79">
        <f>IF(T167="","","Decide on change order "&amp;B167&amp;": "&amp;H167&amp;" (+"&amp;CurSym&amp;" "&amp;FIXED(IF(J167="",0,J167),0)&amp;")")</f>
        <v/>
      </c>
    </row>
    <row r="168" ht="24" customHeight="1">
      <c r="B168" s="74" t="n"/>
      <c r="C168" s="109" t="n"/>
      <c r="D168" s="72" t="n"/>
      <c r="E168" s="72" t="n"/>
      <c r="F168" s="72" t="n"/>
      <c r="G168" s="72" t="n"/>
      <c r="H168" s="113" t="n"/>
      <c r="I168" s="72" t="n"/>
      <c r="J168" s="73" t="n"/>
      <c r="K168" s="89" t="n"/>
      <c r="L168" s="74" t="n"/>
      <c r="M168" s="109" t="n"/>
      <c r="N168" s="68">
        <f>IF(AND(H168="",J168=""),"",ForecastTotal+IF(L168="Approved",0,IF(J168="",0,J168)))</f>
        <v/>
      </c>
      <c r="O168" s="75">
        <f>IF(N168="","",ContAmt-MAX(0,N168-WorkBudget))</f>
        <v/>
      </c>
      <c r="P168" s="120">
        <f>IF(OR(N168="",ForecastEnd=""),"",ForecastEnd+IF(L168="Approved",0,IF(K168="",0,K168)))</f>
        <v/>
      </c>
      <c r="Q168" s="121">
        <f>IF(OR(N168="",WorkBudget=0),"",N168/WorkBudget-1)</f>
        <v/>
      </c>
      <c r="R168" s="79">
        <f>IF(N168="","",IF(N168&lt;=WorkBudget,0,IF(N168&lt;=TotalBudget,1,2)))</f>
        <v/>
      </c>
      <c r="S168" s="112">
        <f>IF(AND(OR(H168&lt;&gt;"",J168&lt;&gt;""),OR(L168="Pending",L168=""),C168&lt;&gt;""),C168+3,"")</f>
        <v/>
      </c>
      <c r="T168" s="79">
        <f>IF(S168="","",IF(AsOf&gt;S168,1,2))</f>
        <v/>
      </c>
      <c r="U168" s="79">
        <f>IF(T168="","","Decide on change order "&amp;B168&amp;": "&amp;H168&amp;" (+"&amp;CurSym&amp;" "&amp;FIXED(IF(J168="",0,J168),0)&amp;")")</f>
        <v/>
      </c>
    </row>
    <row r="169" ht="24" customHeight="1">
      <c r="B169" s="74" t="n"/>
      <c r="C169" s="109" t="n"/>
      <c r="D169" s="72" t="n"/>
      <c r="E169" s="72" t="n"/>
      <c r="F169" s="72" t="n"/>
      <c r="G169" s="72" t="n"/>
      <c r="H169" s="113" t="n"/>
      <c r="I169" s="72" t="n"/>
      <c r="J169" s="73" t="n"/>
      <c r="K169" s="89" t="n"/>
      <c r="L169" s="74" t="n"/>
      <c r="M169" s="109" t="n"/>
      <c r="N169" s="68">
        <f>IF(AND(H169="",J169=""),"",ForecastTotal+IF(L169="Approved",0,IF(J169="",0,J169)))</f>
        <v/>
      </c>
      <c r="O169" s="75">
        <f>IF(N169="","",ContAmt-MAX(0,N169-WorkBudget))</f>
        <v/>
      </c>
      <c r="P169" s="120">
        <f>IF(OR(N169="",ForecastEnd=""),"",ForecastEnd+IF(L169="Approved",0,IF(K169="",0,K169)))</f>
        <v/>
      </c>
      <c r="Q169" s="121">
        <f>IF(OR(N169="",WorkBudget=0),"",N169/WorkBudget-1)</f>
        <v/>
      </c>
      <c r="R169" s="79">
        <f>IF(N169="","",IF(N169&lt;=WorkBudget,0,IF(N169&lt;=TotalBudget,1,2)))</f>
        <v/>
      </c>
      <c r="S169" s="112">
        <f>IF(AND(OR(H169&lt;&gt;"",J169&lt;&gt;""),OR(L169="Pending",L169=""),C169&lt;&gt;""),C169+3,"")</f>
        <v/>
      </c>
      <c r="T169" s="79">
        <f>IF(S169="","",IF(AsOf&gt;S169,1,2))</f>
        <v/>
      </c>
      <c r="U169" s="79">
        <f>IF(T169="","","Decide on change order "&amp;B169&amp;": "&amp;H169&amp;" (+"&amp;CurSym&amp;" "&amp;FIXED(IF(J169="",0,J169),0)&amp;")")</f>
        <v/>
      </c>
    </row>
    <row r="170" ht="24" customHeight="1">
      <c r="B170" s="74" t="n"/>
      <c r="C170" s="109" t="n"/>
      <c r="D170" s="72" t="n"/>
      <c r="E170" s="72" t="n"/>
      <c r="F170" s="72" t="n"/>
      <c r="G170" s="72" t="n"/>
      <c r="H170" s="113" t="n"/>
      <c r="I170" s="72" t="n"/>
      <c r="J170" s="73" t="n"/>
      <c r="K170" s="89" t="n"/>
      <c r="L170" s="74" t="n"/>
      <c r="M170" s="109" t="n"/>
      <c r="N170" s="68">
        <f>IF(AND(H170="",J170=""),"",ForecastTotal+IF(L170="Approved",0,IF(J170="",0,J170)))</f>
        <v/>
      </c>
      <c r="O170" s="75">
        <f>IF(N170="","",ContAmt-MAX(0,N170-WorkBudget))</f>
        <v/>
      </c>
      <c r="P170" s="120">
        <f>IF(OR(N170="",ForecastEnd=""),"",ForecastEnd+IF(L170="Approved",0,IF(K170="",0,K170)))</f>
        <v/>
      </c>
      <c r="Q170" s="121">
        <f>IF(OR(N170="",WorkBudget=0),"",N170/WorkBudget-1)</f>
        <v/>
      </c>
      <c r="R170" s="79">
        <f>IF(N170="","",IF(N170&lt;=WorkBudget,0,IF(N170&lt;=TotalBudget,1,2)))</f>
        <v/>
      </c>
      <c r="S170" s="112">
        <f>IF(AND(OR(H170&lt;&gt;"",J170&lt;&gt;""),OR(L170="Pending",L170=""),C170&lt;&gt;""),C170+3,"")</f>
        <v/>
      </c>
      <c r="T170" s="79">
        <f>IF(S170="","",IF(AsOf&gt;S170,1,2))</f>
        <v/>
      </c>
      <c r="U170" s="79">
        <f>IF(T170="","","Decide on change order "&amp;B170&amp;": "&amp;H170&amp;" (+"&amp;CurSym&amp;" "&amp;FIXED(IF(J170="",0,J170),0)&amp;")")</f>
        <v/>
      </c>
    </row>
    <row r="171" ht="24" customHeight="1">
      <c r="B171" s="74" t="n"/>
      <c r="C171" s="109" t="n"/>
      <c r="D171" s="72" t="n"/>
      <c r="E171" s="72" t="n"/>
      <c r="F171" s="72" t="n"/>
      <c r="G171" s="72" t="n"/>
      <c r="H171" s="113" t="n"/>
      <c r="I171" s="72" t="n"/>
      <c r="J171" s="73" t="n"/>
      <c r="K171" s="89" t="n"/>
      <c r="L171" s="74" t="n"/>
      <c r="M171" s="109" t="n"/>
      <c r="N171" s="68">
        <f>IF(AND(H171="",J171=""),"",ForecastTotal+IF(L171="Approved",0,IF(J171="",0,J171)))</f>
        <v/>
      </c>
      <c r="O171" s="75">
        <f>IF(N171="","",ContAmt-MAX(0,N171-WorkBudget))</f>
        <v/>
      </c>
      <c r="P171" s="120">
        <f>IF(OR(N171="",ForecastEnd=""),"",ForecastEnd+IF(L171="Approved",0,IF(K171="",0,K171)))</f>
        <v/>
      </c>
      <c r="Q171" s="121">
        <f>IF(OR(N171="",WorkBudget=0),"",N171/WorkBudget-1)</f>
        <v/>
      </c>
      <c r="R171" s="79">
        <f>IF(N171="","",IF(N171&lt;=WorkBudget,0,IF(N171&lt;=TotalBudget,1,2)))</f>
        <v/>
      </c>
      <c r="S171" s="112">
        <f>IF(AND(OR(H171&lt;&gt;"",J171&lt;&gt;""),OR(L171="Pending",L171=""),C171&lt;&gt;""),C171+3,"")</f>
        <v/>
      </c>
      <c r="T171" s="79">
        <f>IF(S171="","",IF(AsOf&gt;S171,1,2))</f>
        <v/>
      </c>
      <c r="U171" s="79">
        <f>IF(T171="","","Decide on change order "&amp;B171&amp;": "&amp;H171&amp;" (+"&amp;CurSym&amp;" "&amp;FIXED(IF(J171="",0,J171),0)&amp;")")</f>
        <v/>
      </c>
    </row>
    <row r="172" ht="24" customHeight="1">
      <c r="B172" s="74" t="n"/>
      <c r="C172" s="109" t="n"/>
      <c r="D172" s="72" t="n"/>
      <c r="E172" s="72" t="n"/>
      <c r="F172" s="72" t="n"/>
      <c r="G172" s="72" t="n"/>
      <c r="H172" s="113" t="n"/>
      <c r="I172" s="72" t="n"/>
      <c r="J172" s="73" t="n"/>
      <c r="K172" s="89" t="n"/>
      <c r="L172" s="74" t="n"/>
      <c r="M172" s="109" t="n"/>
      <c r="N172" s="68">
        <f>IF(AND(H172="",J172=""),"",ForecastTotal+IF(L172="Approved",0,IF(J172="",0,J172)))</f>
        <v/>
      </c>
      <c r="O172" s="75">
        <f>IF(N172="","",ContAmt-MAX(0,N172-WorkBudget))</f>
        <v/>
      </c>
      <c r="P172" s="120">
        <f>IF(OR(N172="",ForecastEnd=""),"",ForecastEnd+IF(L172="Approved",0,IF(K172="",0,K172)))</f>
        <v/>
      </c>
      <c r="Q172" s="121">
        <f>IF(OR(N172="",WorkBudget=0),"",N172/WorkBudget-1)</f>
        <v/>
      </c>
      <c r="R172" s="79">
        <f>IF(N172="","",IF(N172&lt;=WorkBudget,0,IF(N172&lt;=TotalBudget,1,2)))</f>
        <v/>
      </c>
      <c r="S172" s="112">
        <f>IF(AND(OR(H172&lt;&gt;"",J172&lt;&gt;""),OR(L172="Pending",L172=""),C172&lt;&gt;""),C172+3,"")</f>
        <v/>
      </c>
      <c r="T172" s="79">
        <f>IF(S172="","",IF(AsOf&gt;S172,1,2))</f>
        <v/>
      </c>
      <c r="U172" s="79">
        <f>IF(T172="","","Decide on change order "&amp;B172&amp;": "&amp;H172&amp;" (+"&amp;CurSym&amp;" "&amp;FIXED(IF(J172="",0,J172),0)&amp;")")</f>
        <v/>
      </c>
    </row>
    <row r="173" ht="24" customHeight="1">
      <c r="B173" s="74" t="n"/>
      <c r="C173" s="109" t="n"/>
      <c r="D173" s="72" t="n"/>
      <c r="E173" s="72" t="n"/>
      <c r="F173" s="72" t="n"/>
      <c r="G173" s="72" t="n"/>
      <c r="H173" s="113" t="n"/>
      <c r="I173" s="72" t="n"/>
      <c r="J173" s="73" t="n"/>
      <c r="K173" s="89" t="n"/>
      <c r="L173" s="74" t="n"/>
      <c r="M173" s="109" t="n"/>
      <c r="N173" s="68">
        <f>IF(AND(H173="",J173=""),"",ForecastTotal+IF(L173="Approved",0,IF(J173="",0,J173)))</f>
        <v/>
      </c>
      <c r="O173" s="75">
        <f>IF(N173="","",ContAmt-MAX(0,N173-WorkBudget))</f>
        <v/>
      </c>
      <c r="P173" s="120">
        <f>IF(OR(N173="",ForecastEnd=""),"",ForecastEnd+IF(L173="Approved",0,IF(K173="",0,K173)))</f>
        <v/>
      </c>
      <c r="Q173" s="121">
        <f>IF(OR(N173="",WorkBudget=0),"",N173/WorkBudget-1)</f>
        <v/>
      </c>
      <c r="R173" s="79">
        <f>IF(N173="","",IF(N173&lt;=WorkBudget,0,IF(N173&lt;=TotalBudget,1,2)))</f>
        <v/>
      </c>
      <c r="S173" s="112">
        <f>IF(AND(OR(H173&lt;&gt;"",J173&lt;&gt;""),OR(L173="Pending",L173=""),C173&lt;&gt;""),C173+3,"")</f>
        <v/>
      </c>
      <c r="T173" s="79">
        <f>IF(S173="","",IF(AsOf&gt;S173,1,2))</f>
        <v/>
      </c>
      <c r="U173" s="79">
        <f>IF(T173="","","Decide on change order "&amp;B173&amp;": "&amp;H173&amp;" (+"&amp;CurSym&amp;" "&amp;FIXED(IF(J173="",0,J173),0)&amp;")")</f>
        <v/>
      </c>
    </row>
    <row r="174" ht="24" customHeight="1">
      <c r="B174" s="74" t="n"/>
      <c r="C174" s="109" t="n"/>
      <c r="D174" s="72" t="n"/>
      <c r="E174" s="72" t="n"/>
      <c r="F174" s="72" t="n"/>
      <c r="G174" s="72" t="n"/>
      <c r="H174" s="113" t="n"/>
      <c r="I174" s="72" t="n"/>
      <c r="J174" s="73" t="n"/>
      <c r="K174" s="89" t="n"/>
      <c r="L174" s="74" t="n"/>
      <c r="M174" s="109" t="n"/>
      <c r="N174" s="68">
        <f>IF(AND(H174="",J174=""),"",ForecastTotal+IF(L174="Approved",0,IF(J174="",0,J174)))</f>
        <v/>
      </c>
      <c r="O174" s="75">
        <f>IF(N174="","",ContAmt-MAX(0,N174-WorkBudget))</f>
        <v/>
      </c>
      <c r="P174" s="120">
        <f>IF(OR(N174="",ForecastEnd=""),"",ForecastEnd+IF(L174="Approved",0,IF(K174="",0,K174)))</f>
        <v/>
      </c>
      <c r="Q174" s="121">
        <f>IF(OR(N174="",WorkBudget=0),"",N174/WorkBudget-1)</f>
        <v/>
      </c>
      <c r="R174" s="79">
        <f>IF(N174="","",IF(N174&lt;=WorkBudget,0,IF(N174&lt;=TotalBudget,1,2)))</f>
        <v/>
      </c>
      <c r="S174" s="112">
        <f>IF(AND(OR(H174&lt;&gt;"",J174&lt;&gt;""),OR(L174="Pending",L174=""),C174&lt;&gt;""),C174+3,"")</f>
        <v/>
      </c>
      <c r="T174" s="79">
        <f>IF(S174="","",IF(AsOf&gt;S174,1,2))</f>
        <v/>
      </c>
      <c r="U174" s="79">
        <f>IF(T174="","","Decide on change order "&amp;B174&amp;": "&amp;H174&amp;" (+"&amp;CurSym&amp;" "&amp;FIXED(IF(J174="",0,J174),0)&amp;")")</f>
        <v/>
      </c>
    </row>
    <row r="175" ht="24" customHeight="1">
      <c r="B175" s="74" t="n"/>
      <c r="C175" s="109" t="n"/>
      <c r="D175" s="72" t="n"/>
      <c r="E175" s="72" t="n"/>
      <c r="F175" s="72" t="n"/>
      <c r="G175" s="72" t="n"/>
      <c r="H175" s="113" t="n"/>
      <c r="I175" s="72" t="n"/>
      <c r="J175" s="73" t="n"/>
      <c r="K175" s="89" t="n"/>
      <c r="L175" s="74" t="n"/>
      <c r="M175" s="109" t="n"/>
      <c r="N175" s="68">
        <f>IF(AND(H175="",J175=""),"",ForecastTotal+IF(L175="Approved",0,IF(J175="",0,J175)))</f>
        <v/>
      </c>
      <c r="O175" s="75">
        <f>IF(N175="","",ContAmt-MAX(0,N175-WorkBudget))</f>
        <v/>
      </c>
      <c r="P175" s="120">
        <f>IF(OR(N175="",ForecastEnd=""),"",ForecastEnd+IF(L175="Approved",0,IF(K175="",0,K175)))</f>
        <v/>
      </c>
      <c r="Q175" s="121">
        <f>IF(OR(N175="",WorkBudget=0),"",N175/WorkBudget-1)</f>
        <v/>
      </c>
      <c r="R175" s="79">
        <f>IF(N175="","",IF(N175&lt;=WorkBudget,0,IF(N175&lt;=TotalBudget,1,2)))</f>
        <v/>
      </c>
      <c r="S175" s="112">
        <f>IF(AND(OR(H175&lt;&gt;"",J175&lt;&gt;""),OR(L175="Pending",L175=""),C175&lt;&gt;""),C175+3,"")</f>
        <v/>
      </c>
      <c r="T175" s="79">
        <f>IF(S175="","",IF(AsOf&gt;S175,1,2))</f>
        <v/>
      </c>
      <c r="U175" s="79">
        <f>IF(T175="","","Decide on change order "&amp;B175&amp;": "&amp;H175&amp;" (+"&amp;CurSym&amp;" "&amp;FIXED(IF(J175="",0,J175),0)&amp;")")</f>
        <v/>
      </c>
    </row>
    <row r="176" ht="24" customHeight="1">
      <c r="B176" s="74" t="n"/>
      <c r="C176" s="109" t="n"/>
      <c r="D176" s="72" t="n"/>
      <c r="E176" s="72" t="n"/>
      <c r="F176" s="72" t="n"/>
      <c r="G176" s="72" t="n"/>
      <c r="H176" s="113" t="n"/>
      <c r="I176" s="72" t="n"/>
      <c r="J176" s="73" t="n"/>
      <c r="K176" s="89" t="n"/>
      <c r="L176" s="74" t="n"/>
      <c r="M176" s="109" t="n"/>
      <c r="N176" s="68">
        <f>IF(AND(H176="",J176=""),"",ForecastTotal+IF(L176="Approved",0,IF(J176="",0,J176)))</f>
        <v/>
      </c>
      <c r="O176" s="75">
        <f>IF(N176="","",ContAmt-MAX(0,N176-WorkBudget))</f>
        <v/>
      </c>
      <c r="P176" s="120">
        <f>IF(OR(N176="",ForecastEnd=""),"",ForecastEnd+IF(L176="Approved",0,IF(K176="",0,K176)))</f>
        <v/>
      </c>
      <c r="Q176" s="121">
        <f>IF(OR(N176="",WorkBudget=0),"",N176/WorkBudget-1)</f>
        <v/>
      </c>
      <c r="R176" s="79">
        <f>IF(N176="","",IF(N176&lt;=WorkBudget,0,IF(N176&lt;=TotalBudget,1,2)))</f>
        <v/>
      </c>
      <c r="S176" s="112">
        <f>IF(AND(OR(H176&lt;&gt;"",J176&lt;&gt;""),OR(L176="Pending",L176=""),C176&lt;&gt;""),C176+3,"")</f>
        <v/>
      </c>
      <c r="T176" s="79">
        <f>IF(S176="","",IF(AsOf&gt;S176,1,2))</f>
        <v/>
      </c>
      <c r="U176" s="79">
        <f>IF(T176="","","Decide on change order "&amp;B176&amp;": "&amp;H176&amp;" (+"&amp;CurSym&amp;" "&amp;FIXED(IF(J176="",0,J176),0)&amp;")")</f>
        <v/>
      </c>
    </row>
    <row r="177" ht="24" customHeight="1">
      <c r="B177" s="74" t="n"/>
      <c r="C177" s="109" t="n"/>
      <c r="D177" s="72" t="n"/>
      <c r="E177" s="72" t="n"/>
      <c r="F177" s="72" t="n"/>
      <c r="G177" s="72" t="n"/>
      <c r="H177" s="113" t="n"/>
      <c r="I177" s="72" t="n"/>
      <c r="J177" s="73" t="n"/>
      <c r="K177" s="89" t="n"/>
      <c r="L177" s="74" t="n"/>
      <c r="M177" s="109" t="n"/>
      <c r="N177" s="68">
        <f>IF(AND(H177="",J177=""),"",ForecastTotal+IF(L177="Approved",0,IF(J177="",0,J177)))</f>
        <v/>
      </c>
      <c r="O177" s="75">
        <f>IF(N177="","",ContAmt-MAX(0,N177-WorkBudget))</f>
        <v/>
      </c>
      <c r="P177" s="120">
        <f>IF(OR(N177="",ForecastEnd=""),"",ForecastEnd+IF(L177="Approved",0,IF(K177="",0,K177)))</f>
        <v/>
      </c>
      <c r="Q177" s="121">
        <f>IF(OR(N177="",WorkBudget=0),"",N177/WorkBudget-1)</f>
        <v/>
      </c>
      <c r="R177" s="79">
        <f>IF(N177="","",IF(N177&lt;=WorkBudget,0,IF(N177&lt;=TotalBudget,1,2)))</f>
        <v/>
      </c>
      <c r="S177" s="112">
        <f>IF(AND(OR(H177&lt;&gt;"",J177&lt;&gt;""),OR(L177="Pending",L177=""),C177&lt;&gt;""),C177+3,"")</f>
        <v/>
      </c>
      <c r="T177" s="79">
        <f>IF(S177="","",IF(AsOf&gt;S177,1,2))</f>
        <v/>
      </c>
      <c r="U177" s="79">
        <f>IF(T177="","","Decide on change order "&amp;B177&amp;": "&amp;H177&amp;" (+"&amp;CurSym&amp;" "&amp;FIXED(IF(J177="",0,J177),0)&amp;")")</f>
        <v/>
      </c>
    </row>
    <row r="178" ht="24" customHeight="1">
      <c r="B178" s="74" t="n"/>
      <c r="C178" s="109" t="n"/>
      <c r="D178" s="72" t="n"/>
      <c r="E178" s="72" t="n"/>
      <c r="F178" s="72" t="n"/>
      <c r="G178" s="72" t="n"/>
      <c r="H178" s="113" t="n"/>
      <c r="I178" s="72" t="n"/>
      <c r="J178" s="73" t="n"/>
      <c r="K178" s="89" t="n"/>
      <c r="L178" s="74" t="n"/>
      <c r="M178" s="109" t="n"/>
      <c r="N178" s="68">
        <f>IF(AND(H178="",J178=""),"",ForecastTotal+IF(L178="Approved",0,IF(J178="",0,J178)))</f>
        <v/>
      </c>
      <c r="O178" s="75">
        <f>IF(N178="","",ContAmt-MAX(0,N178-WorkBudget))</f>
        <v/>
      </c>
      <c r="P178" s="120">
        <f>IF(OR(N178="",ForecastEnd=""),"",ForecastEnd+IF(L178="Approved",0,IF(K178="",0,K178)))</f>
        <v/>
      </c>
      <c r="Q178" s="121">
        <f>IF(OR(N178="",WorkBudget=0),"",N178/WorkBudget-1)</f>
        <v/>
      </c>
      <c r="R178" s="79">
        <f>IF(N178="","",IF(N178&lt;=WorkBudget,0,IF(N178&lt;=TotalBudget,1,2)))</f>
        <v/>
      </c>
      <c r="S178" s="112">
        <f>IF(AND(OR(H178&lt;&gt;"",J178&lt;&gt;""),OR(L178="Pending",L178=""),C178&lt;&gt;""),C178+3,"")</f>
        <v/>
      </c>
      <c r="T178" s="79">
        <f>IF(S178="","",IF(AsOf&gt;S178,1,2))</f>
        <v/>
      </c>
      <c r="U178" s="79">
        <f>IF(T178="","","Decide on change order "&amp;B178&amp;": "&amp;H178&amp;" (+"&amp;CurSym&amp;" "&amp;FIXED(IF(J178="",0,J178),0)&amp;")")</f>
        <v/>
      </c>
    </row>
    <row r="179" ht="24" customHeight="1">
      <c r="B179" s="74" t="n"/>
      <c r="C179" s="109" t="n"/>
      <c r="D179" s="72" t="n"/>
      <c r="E179" s="72" t="n"/>
      <c r="F179" s="72" t="n"/>
      <c r="G179" s="72" t="n"/>
      <c r="H179" s="113" t="n"/>
      <c r="I179" s="72" t="n"/>
      <c r="J179" s="73" t="n"/>
      <c r="K179" s="89" t="n"/>
      <c r="L179" s="74" t="n"/>
      <c r="M179" s="109" t="n"/>
      <c r="N179" s="68">
        <f>IF(AND(H179="",J179=""),"",ForecastTotal+IF(L179="Approved",0,IF(J179="",0,J179)))</f>
        <v/>
      </c>
      <c r="O179" s="75">
        <f>IF(N179="","",ContAmt-MAX(0,N179-WorkBudget))</f>
        <v/>
      </c>
      <c r="P179" s="120">
        <f>IF(OR(N179="",ForecastEnd=""),"",ForecastEnd+IF(L179="Approved",0,IF(K179="",0,K179)))</f>
        <v/>
      </c>
      <c r="Q179" s="121">
        <f>IF(OR(N179="",WorkBudget=0),"",N179/WorkBudget-1)</f>
        <v/>
      </c>
      <c r="R179" s="79">
        <f>IF(N179="","",IF(N179&lt;=WorkBudget,0,IF(N179&lt;=TotalBudget,1,2)))</f>
        <v/>
      </c>
      <c r="S179" s="112">
        <f>IF(AND(OR(H179&lt;&gt;"",J179&lt;&gt;""),OR(L179="Pending",L179=""),C179&lt;&gt;""),C179+3,"")</f>
        <v/>
      </c>
      <c r="T179" s="79">
        <f>IF(S179="","",IF(AsOf&gt;S179,1,2))</f>
        <v/>
      </c>
      <c r="U179" s="79">
        <f>IF(T179="","","Decide on change order "&amp;B179&amp;": "&amp;H179&amp;" (+"&amp;CurSym&amp;" "&amp;FIXED(IF(J179="",0,J179),0)&amp;")")</f>
        <v/>
      </c>
    </row>
    <row r="180" ht="24" customHeight="1">
      <c r="B180" s="74" t="n"/>
      <c r="C180" s="109" t="n"/>
      <c r="D180" s="72" t="n"/>
      <c r="E180" s="72" t="n"/>
      <c r="F180" s="72" t="n"/>
      <c r="G180" s="72" t="n"/>
      <c r="H180" s="113" t="n"/>
      <c r="I180" s="72" t="n"/>
      <c r="J180" s="73" t="n"/>
      <c r="K180" s="89" t="n"/>
      <c r="L180" s="74" t="n"/>
      <c r="M180" s="109" t="n"/>
      <c r="N180" s="68">
        <f>IF(AND(H180="",J180=""),"",ForecastTotal+IF(L180="Approved",0,IF(J180="",0,J180)))</f>
        <v/>
      </c>
      <c r="O180" s="75">
        <f>IF(N180="","",ContAmt-MAX(0,N180-WorkBudget))</f>
        <v/>
      </c>
      <c r="P180" s="120">
        <f>IF(OR(N180="",ForecastEnd=""),"",ForecastEnd+IF(L180="Approved",0,IF(K180="",0,K180)))</f>
        <v/>
      </c>
      <c r="Q180" s="121">
        <f>IF(OR(N180="",WorkBudget=0),"",N180/WorkBudget-1)</f>
        <v/>
      </c>
      <c r="R180" s="79">
        <f>IF(N180="","",IF(N180&lt;=WorkBudget,0,IF(N180&lt;=TotalBudget,1,2)))</f>
        <v/>
      </c>
      <c r="S180" s="112">
        <f>IF(AND(OR(H180&lt;&gt;"",J180&lt;&gt;""),OR(L180="Pending",L180=""),C180&lt;&gt;""),C180+3,"")</f>
        <v/>
      </c>
      <c r="T180" s="79">
        <f>IF(S180="","",IF(AsOf&gt;S180,1,2))</f>
        <v/>
      </c>
      <c r="U180" s="79">
        <f>IF(T180="","","Decide on change order "&amp;B180&amp;": "&amp;H180&amp;" (+"&amp;CurSym&amp;" "&amp;FIXED(IF(J180="",0,J180),0)&amp;")")</f>
        <v/>
      </c>
    </row>
    <row r="181" ht="24" customHeight="1">
      <c r="B181" s="74" t="n"/>
      <c r="C181" s="109" t="n"/>
      <c r="D181" s="72" t="n"/>
      <c r="E181" s="72" t="n"/>
      <c r="F181" s="72" t="n"/>
      <c r="G181" s="72" t="n"/>
      <c r="H181" s="113" t="n"/>
      <c r="I181" s="72" t="n"/>
      <c r="J181" s="73" t="n"/>
      <c r="K181" s="89" t="n"/>
      <c r="L181" s="74" t="n"/>
      <c r="M181" s="109" t="n"/>
      <c r="N181" s="68">
        <f>IF(AND(H181="",J181=""),"",ForecastTotal+IF(L181="Approved",0,IF(J181="",0,J181)))</f>
        <v/>
      </c>
      <c r="O181" s="75">
        <f>IF(N181="","",ContAmt-MAX(0,N181-WorkBudget))</f>
        <v/>
      </c>
      <c r="P181" s="120">
        <f>IF(OR(N181="",ForecastEnd=""),"",ForecastEnd+IF(L181="Approved",0,IF(K181="",0,K181)))</f>
        <v/>
      </c>
      <c r="Q181" s="121">
        <f>IF(OR(N181="",WorkBudget=0),"",N181/WorkBudget-1)</f>
        <v/>
      </c>
      <c r="R181" s="79">
        <f>IF(N181="","",IF(N181&lt;=WorkBudget,0,IF(N181&lt;=TotalBudget,1,2)))</f>
        <v/>
      </c>
      <c r="S181" s="112">
        <f>IF(AND(OR(H181&lt;&gt;"",J181&lt;&gt;""),OR(L181="Pending",L181=""),C181&lt;&gt;""),C181+3,"")</f>
        <v/>
      </c>
      <c r="T181" s="79">
        <f>IF(S181="","",IF(AsOf&gt;S181,1,2))</f>
        <v/>
      </c>
      <c r="U181" s="79">
        <f>IF(T181="","","Decide on change order "&amp;B181&amp;": "&amp;H181&amp;" (+"&amp;CurSym&amp;" "&amp;FIXED(IF(J181="",0,J181),0)&amp;")")</f>
        <v/>
      </c>
    </row>
    <row r="182" ht="24" customHeight="1">
      <c r="B182" s="74" t="n"/>
      <c r="C182" s="109" t="n"/>
      <c r="D182" s="72" t="n"/>
      <c r="E182" s="72" t="n"/>
      <c r="F182" s="72" t="n"/>
      <c r="G182" s="72" t="n"/>
      <c r="H182" s="113" t="n"/>
      <c r="I182" s="72" t="n"/>
      <c r="J182" s="73" t="n"/>
      <c r="K182" s="89" t="n"/>
      <c r="L182" s="74" t="n"/>
      <c r="M182" s="109" t="n"/>
      <c r="N182" s="68">
        <f>IF(AND(H182="",J182=""),"",ForecastTotal+IF(L182="Approved",0,IF(J182="",0,J182)))</f>
        <v/>
      </c>
      <c r="O182" s="75">
        <f>IF(N182="","",ContAmt-MAX(0,N182-WorkBudget))</f>
        <v/>
      </c>
      <c r="P182" s="120">
        <f>IF(OR(N182="",ForecastEnd=""),"",ForecastEnd+IF(L182="Approved",0,IF(K182="",0,K182)))</f>
        <v/>
      </c>
      <c r="Q182" s="121">
        <f>IF(OR(N182="",WorkBudget=0),"",N182/WorkBudget-1)</f>
        <v/>
      </c>
      <c r="R182" s="79">
        <f>IF(N182="","",IF(N182&lt;=WorkBudget,0,IF(N182&lt;=TotalBudget,1,2)))</f>
        <v/>
      </c>
      <c r="S182" s="112">
        <f>IF(AND(OR(H182&lt;&gt;"",J182&lt;&gt;""),OR(L182="Pending",L182=""),C182&lt;&gt;""),C182+3,"")</f>
        <v/>
      </c>
      <c r="T182" s="79">
        <f>IF(S182="","",IF(AsOf&gt;S182,1,2))</f>
        <v/>
      </c>
      <c r="U182" s="79">
        <f>IF(T182="","","Decide on change order "&amp;B182&amp;": "&amp;H182&amp;" (+"&amp;CurSym&amp;" "&amp;FIXED(IF(J182="",0,J182),0)&amp;")")</f>
        <v/>
      </c>
    </row>
    <row r="183" ht="24" customHeight="1">
      <c r="B183" s="74" t="n"/>
      <c r="C183" s="109" t="n"/>
      <c r="D183" s="72" t="n"/>
      <c r="E183" s="72" t="n"/>
      <c r="F183" s="72" t="n"/>
      <c r="G183" s="72" t="n"/>
      <c r="H183" s="113" t="n"/>
      <c r="I183" s="72" t="n"/>
      <c r="J183" s="73" t="n"/>
      <c r="K183" s="89" t="n"/>
      <c r="L183" s="74" t="n"/>
      <c r="M183" s="109" t="n"/>
      <c r="N183" s="68">
        <f>IF(AND(H183="",J183=""),"",ForecastTotal+IF(L183="Approved",0,IF(J183="",0,J183)))</f>
        <v/>
      </c>
      <c r="O183" s="75">
        <f>IF(N183="","",ContAmt-MAX(0,N183-WorkBudget))</f>
        <v/>
      </c>
      <c r="P183" s="120">
        <f>IF(OR(N183="",ForecastEnd=""),"",ForecastEnd+IF(L183="Approved",0,IF(K183="",0,K183)))</f>
        <v/>
      </c>
      <c r="Q183" s="121">
        <f>IF(OR(N183="",WorkBudget=0),"",N183/WorkBudget-1)</f>
        <v/>
      </c>
      <c r="R183" s="79">
        <f>IF(N183="","",IF(N183&lt;=WorkBudget,0,IF(N183&lt;=TotalBudget,1,2)))</f>
        <v/>
      </c>
      <c r="S183" s="112">
        <f>IF(AND(OR(H183&lt;&gt;"",J183&lt;&gt;""),OR(L183="Pending",L183=""),C183&lt;&gt;""),C183+3,"")</f>
        <v/>
      </c>
      <c r="T183" s="79">
        <f>IF(S183="","",IF(AsOf&gt;S183,1,2))</f>
        <v/>
      </c>
      <c r="U183" s="79">
        <f>IF(T183="","","Decide on change order "&amp;B183&amp;": "&amp;H183&amp;" (+"&amp;CurSym&amp;" "&amp;FIXED(IF(J183="",0,J183),0)&amp;")")</f>
        <v/>
      </c>
    </row>
    <row r="184" ht="24" customHeight="1">
      <c r="B184" s="74" t="n"/>
      <c r="C184" s="109" t="n"/>
      <c r="D184" s="72" t="n"/>
      <c r="E184" s="72" t="n"/>
      <c r="F184" s="72" t="n"/>
      <c r="G184" s="72" t="n"/>
      <c r="H184" s="113" t="n"/>
      <c r="I184" s="72" t="n"/>
      <c r="J184" s="73" t="n"/>
      <c r="K184" s="89" t="n"/>
      <c r="L184" s="74" t="n"/>
      <c r="M184" s="109" t="n"/>
      <c r="N184" s="68">
        <f>IF(AND(H184="",J184=""),"",ForecastTotal+IF(L184="Approved",0,IF(J184="",0,J184)))</f>
        <v/>
      </c>
      <c r="O184" s="75">
        <f>IF(N184="","",ContAmt-MAX(0,N184-WorkBudget))</f>
        <v/>
      </c>
      <c r="P184" s="120">
        <f>IF(OR(N184="",ForecastEnd=""),"",ForecastEnd+IF(L184="Approved",0,IF(K184="",0,K184)))</f>
        <v/>
      </c>
      <c r="Q184" s="121">
        <f>IF(OR(N184="",WorkBudget=0),"",N184/WorkBudget-1)</f>
        <v/>
      </c>
      <c r="R184" s="79">
        <f>IF(N184="","",IF(N184&lt;=WorkBudget,0,IF(N184&lt;=TotalBudget,1,2)))</f>
        <v/>
      </c>
      <c r="S184" s="112">
        <f>IF(AND(OR(H184&lt;&gt;"",J184&lt;&gt;""),OR(L184="Pending",L184=""),C184&lt;&gt;""),C184+3,"")</f>
        <v/>
      </c>
      <c r="T184" s="79">
        <f>IF(S184="","",IF(AsOf&gt;S184,1,2))</f>
        <v/>
      </c>
      <c r="U184" s="79">
        <f>IF(T184="","","Decide on change order "&amp;B184&amp;": "&amp;H184&amp;" (+"&amp;CurSym&amp;" "&amp;FIXED(IF(J184="",0,J184),0)&amp;")")</f>
        <v/>
      </c>
    </row>
    <row r="185" ht="24" customHeight="1">
      <c r="B185" s="74" t="n"/>
      <c r="C185" s="109" t="n"/>
      <c r="D185" s="72" t="n"/>
      <c r="E185" s="72" t="n"/>
      <c r="F185" s="72" t="n"/>
      <c r="G185" s="72" t="n"/>
      <c r="H185" s="113" t="n"/>
      <c r="I185" s="72" t="n"/>
      <c r="J185" s="73" t="n"/>
      <c r="K185" s="89" t="n"/>
      <c r="L185" s="74" t="n"/>
      <c r="M185" s="109" t="n"/>
      <c r="N185" s="68">
        <f>IF(AND(H185="",J185=""),"",ForecastTotal+IF(L185="Approved",0,IF(J185="",0,J185)))</f>
        <v/>
      </c>
      <c r="O185" s="75">
        <f>IF(N185="","",ContAmt-MAX(0,N185-WorkBudget))</f>
        <v/>
      </c>
      <c r="P185" s="120">
        <f>IF(OR(N185="",ForecastEnd=""),"",ForecastEnd+IF(L185="Approved",0,IF(K185="",0,K185)))</f>
        <v/>
      </c>
      <c r="Q185" s="121">
        <f>IF(OR(N185="",WorkBudget=0),"",N185/WorkBudget-1)</f>
        <v/>
      </c>
      <c r="R185" s="79">
        <f>IF(N185="","",IF(N185&lt;=WorkBudget,0,IF(N185&lt;=TotalBudget,1,2)))</f>
        <v/>
      </c>
      <c r="S185" s="112">
        <f>IF(AND(OR(H185&lt;&gt;"",J185&lt;&gt;""),OR(L185="Pending",L185=""),C185&lt;&gt;""),C185+3,"")</f>
        <v/>
      </c>
      <c r="T185" s="79">
        <f>IF(S185="","",IF(AsOf&gt;S185,1,2))</f>
        <v/>
      </c>
      <c r="U185" s="79">
        <f>IF(T185="","","Decide on change order "&amp;B185&amp;": "&amp;H185&amp;" (+"&amp;CurSym&amp;" "&amp;FIXED(IF(J185="",0,J185),0)&amp;")")</f>
        <v/>
      </c>
    </row>
    <row r="186" ht="24" customHeight="1">
      <c r="B186" s="74" t="n"/>
      <c r="C186" s="109" t="n"/>
      <c r="D186" s="72" t="n"/>
      <c r="E186" s="72" t="n"/>
      <c r="F186" s="72" t="n"/>
      <c r="G186" s="72" t="n"/>
      <c r="H186" s="113" t="n"/>
      <c r="I186" s="72" t="n"/>
      <c r="J186" s="73" t="n"/>
      <c r="K186" s="89" t="n"/>
      <c r="L186" s="74" t="n"/>
      <c r="M186" s="109" t="n"/>
      <c r="N186" s="68">
        <f>IF(AND(H186="",J186=""),"",ForecastTotal+IF(L186="Approved",0,IF(J186="",0,J186)))</f>
        <v/>
      </c>
      <c r="O186" s="75">
        <f>IF(N186="","",ContAmt-MAX(0,N186-WorkBudget))</f>
        <v/>
      </c>
      <c r="P186" s="120">
        <f>IF(OR(N186="",ForecastEnd=""),"",ForecastEnd+IF(L186="Approved",0,IF(K186="",0,K186)))</f>
        <v/>
      </c>
      <c r="Q186" s="121">
        <f>IF(OR(N186="",WorkBudget=0),"",N186/WorkBudget-1)</f>
        <v/>
      </c>
      <c r="R186" s="79">
        <f>IF(N186="","",IF(N186&lt;=WorkBudget,0,IF(N186&lt;=TotalBudget,1,2)))</f>
        <v/>
      </c>
      <c r="S186" s="112">
        <f>IF(AND(OR(H186&lt;&gt;"",J186&lt;&gt;""),OR(L186="Pending",L186=""),C186&lt;&gt;""),C186+3,"")</f>
        <v/>
      </c>
      <c r="T186" s="79">
        <f>IF(S186="","",IF(AsOf&gt;S186,1,2))</f>
        <v/>
      </c>
      <c r="U186" s="79">
        <f>IF(T186="","","Decide on change order "&amp;B186&amp;": "&amp;H186&amp;" (+"&amp;CurSym&amp;" "&amp;FIXED(IF(J186="",0,J186),0)&amp;")")</f>
        <v/>
      </c>
    </row>
    <row r="187" ht="24" customHeight="1">
      <c r="B187" s="74" t="n"/>
      <c r="C187" s="109" t="n"/>
      <c r="D187" s="72" t="n"/>
      <c r="E187" s="72" t="n"/>
      <c r="F187" s="72" t="n"/>
      <c r="G187" s="72" t="n"/>
      <c r="H187" s="113" t="n"/>
      <c r="I187" s="72" t="n"/>
      <c r="J187" s="73" t="n"/>
      <c r="K187" s="89" t="n"/>
      <c r="L187" s="74" t="n"/>
      <c r="M187" s="109" t="n"/>
      <c r="N187" s="68">
        <f>IF(AND(H187="",J187=""),"",ForecastTotal+IF(L187="Approved",0,IF(J187="",0,J187)))</f>
        <v/>
      </c>
      <c r="O187" s="75">
        <f>IF(N187="","",ContAmt-MAX(0,N187-WorkBudget))</f>
        <v/>
      </c>
      <c r="P187" s="120">
        <f>IF(OR(N187="",ForecastEnd=""),"",ForecastEnd+IF(L187="Approved",0,IF(K187="",0,K187)))</f>
        <v/>
      </c>
      <c r="Q187" s="121">
        <f>IF(OR(N187="",WorkBudget=0),"",N187/WorkBudget-1)</f>
        <v/>
      </c>
      <c r="R187" s="79">
        <f>IF(N187="","",IF(N187&lt;=WorkBudget,0,IF(N187&lt;=TotalBudget,1,2)))</f>
        <v/>
      </c>
      <c r="S187" s="112">
        <f>IF(AND(OR(H187&lt;&gt;"",J187&lt;&gt;""),OR(L187="Pending",L187=""),C187&lt;&gt;""),C187+3,"")</f>
        <v/>
      </c>
      <c r="T187" s="79">
        <f>IF(S187="","",IF(AsOf&gt;S187,1,2))</f>
        <v/>
      </c>
      <c r="U187" s="79">
        <f>IF(T187="","","Decide on change order "&amp;B187&amp;": "&amp;H187&amp;" (+"&amp;CurSym&amp;" "&amp;FIXED(IF(J187="",0,J187),0)&amp;")")</f>
        <v/>
      </c>
    </row>
    <row r="188" ht="24" customHeight="1">
      <c r="B188" s="74" t="n"/>
      <c r="C188" s="109" t="n"/>
      <c r="D188" s="72" t="n"/>
      <c r="E188" s="72" t="n"/>
      <c r="F188" s="72" t="n"/>
      <c r="G188" s="72" t="n"/>
      <c r="H188" s="113" t="n"/>
      <c r="I188" s="72" t="n"/>
      <c r="J188" s="73" t="n"/>
      <c r="K188" s="89" t="n"/>
      <c r="L188" s="74" t="n"/>
      <c r="M188" s="109" t="n"/>
      <c r="N188" s="68">
        <f>IF(AND(H188="",J188=""),"",ForecastTotal+IF(L188="Approved",0,IF(J188="",0,J188)))</f>
        <v/>
      </c>
      <c r="O188" s="75">
        <f>IF(N188="","",ContAmt-MAX(0,N188-WorkBudget))</f>
        <v/>
      </c>
      <c r="P188" s="120">
        <f>IF(OR(N188="",ForecastEnd=""),"",ForecastEnd+IF(L188="Approved",0,IF(K188="",0,K188)))</f>
        <v/>
      </c>
      <c r="Q188" s="121">
        <f>IF(OR(N188="",WorkBudget=0),"",N188/WorkBudget-1)</f>
        <v/>
      </c>
      <c r="R188" s="79">
        <f>IF(N188="","",IF(N188&lt;=WorkBudget,0,IF(N188&lt;=TotalBudget,1,2)))</f>
        <v/>
      </c>
      <c r="S188" s="112">
        <f>IF(AND(OR(H188&lt;&gt;"",J188&lt;&gt;""),OR(L188="Pending",L188=""),C188&lt;&gt;""),C188+3,"")</f>
        <v/>
      </c>
      <c r="T188" s="79">
        <f>IF(S188="","",IF(AsOf&gt;S188,1,2))</f>
        <v/>
      </c>
      <c r="U188" s="79">
        <f>IF(T188="","","Decide on change order "&amp;B188&amp;": "&amp;H188&amp;" (+"&amp;CurSym&amp;" "&amp;FIXED(IF(J188="",0,J188),0)&amp;")")</f>
        <v/>
      </c>
    </row>
    <row r="189" ht="24" customHeight="1">
      <c r="B189" s="74" t="n"/>
      <c r="C189" s="109" t="n"/>
      <c r="D189" s="72" t="n"/>
      <c r="E189" s="72" t="n"/>
      <c r="F189" s="72" t="n"/>
      <c r="G189" s="72" t="n"/>
      <c r="H189" s="113" t="n"/>
      <c r="I189" s="72" t="n"/>
      <c r="J189" s="73" t="n"/>
      <c r="K189" s="89" t="n"/>
      <c r="L189" s="74" t="n"/>
      <c r="M189" s="109" t="n"/>
      <c r="N189" s="68">
        <f>IF(AND(H189="",J189=""),"",ForecastTotal+IF(L189="Approved",0,IF(J189="",0,J189)))</f>
        <v/>
      </c>
      <c r="O189" s="75">
        <f>IF(N189="","",ContAmt-MAX(0,N189-WorkBudget))</f>
        <v/>
      </c>
      <c r="P189" s="120">
        <f>IF(OR(N189="",ForecastEnd=""),"",ForecastEnd+IF(L189="Approved",0,IF(K189="",0,K189)))</f>
        <v/>
      </c>
      <c r="Q189" s="121">
        <f>IF(OR(N189="",WorkBudget=0),"",N189/WorkBudget-1)</f>
        <v/>
      </c>
      <c r="R189" s="79">
        <f>IF(N189="","",IF(N189&lt;=WorkBudget,0,IF(N189&lt;=TotalBudget,1,2)))</f>
        <v/>
      </c>
      <c r="S189" s="112">
        <f>IF(AND(OR(H189&lt;&gt;"",J189&lt;&gt;""),OR(L189="Pending",L189=""),C189&lt;&gt;""),C189+3,"")</f>
        <v/>
      </c>
      <c r="T189" s="79">
        <f>IF(S189="","",IF(AsOf&gt;S189,1,2))</f>
        <v/>
      </c>
      <c r="U189" s="79">
        <f>IF(T189="","","Decide on change order "&amp;B189&amp;": "&amp;H189&amp;" (+"&amp;CurSym&amp;" "&amp;FIXED(IF(J189="",0,J189),0)&amp;")")</f>
        <v/>
      </c>
    </row>
    <row r="190" ht="24" customHeight="1">
      <c r="B190" s="74" t="n"/>
      <c r="C190" s="109" t="n"/>
      <c r="D190" s="72" t="n"/>
      <c r="E190" s="72" t="n"/>
      <c r="F190" s="72" t="n"/>
      <c r="G190" s="72" t="n"/>
      <c r="H190" s="113" t="n"/>
      <c r="I190" s="72" t="n"/>
      <c r="J190" s="73" t="n"/>
      <c r="K190" s="89" t="n"/>
      <c r="L190" s="74" t="n"/>
      <c r="M190" s="109" t="n"/>
      <c r="N190" s="68">
        <f>IF(AND(H190="",J190=""),"",ForecastTotal+IF(L190="Approved",0,IF(J190="",0,J190)))</f>
        <v/>
      </c>
      <c r="O190" s="75">
        <f>IF(N190="","",ContAmt-MAX(0,N190-WorkBudget))</f>
        <v/>
      </c>
      <c r="P190" s="120">
        <f>IF(OR(N190="",ForecastEnd=""),"",ForecastEnd+IF(L190="Approved",0,IF(K190="",0,K190)))</f>
        <v/>
      </c>
      <c r="Q190" s="121">
        <f>IF(OR(N190="",WorkBudget=0),"",N190/WorkBudget-1)</f>
        <v/>
      </c>
      <c r="R190" s="79">
        <f>IF(N190="","",IF(N190&lt;=WorkBudget,0,IF(N190&lt;=TotalBudget,1,2)))</f>
        <v/>
      </c>
      <c r="S190" s="112">
        <f>IF(AND(OR(H190&lt;&gt;"",J190&lt;&gt;""),OR(L190="Pending",L190=""),C190&lt;&gt;""),C190+3,"")</f>
        <v/>
      </c>
      <c r="T190" s="79">
        <f>IF(S190="","",IF(AsOf&gt;S190,1,2))</f>
        <v/>
      </c>
      <c r="U190" s="79">
        <f>IF(T190="","","Decide on change order "&amp;B190&amp;": "&amp;H190&amp;" (+"&amp;CurSym&amp;" "&amp;FIXED(IF(J190="",0,J190),0)&amp;")")</f>
        <v/>
      </c>
    </row>
    <row r="191" ht="24" customHeight="1">
      <c r="B191" s="74" t="n"/>
      <c r="C191" s="109" t="n"/>
      <c r="D191" s="72" t="n"/>
      <c r="E191" s="72" t="n"/>
      <c r="F191" s="72" t="n"/>
      <c r="G191" s="72" t="n"/>
      <c r="H191" s="113" t="n"/>
      <c r="I191" s="72" t="n"/>
      <c r="J191" s="73" t="n"/>
      <c r="K191" s="89" t="n"/>
      <c r="L191" s="74" t="n"/>
      <c r="M191" s="109" t="n"/>
      <c r="N191" s="68">
        <f>IF(AND(H191="",J191=""),"",ForecastTotal+IF(L191="Approved",0,IF(J191="",0,J191)))</f>
        <v/>
      </c>
      <c r="O191" s="75">
        <f>IF(N191="","",ContAmt-MAX(0,N191-WorkBudget))</f>
        <v/>
      </c>
      <c r="P191" s="120">
        <f>IF(OR(N191="",ForecastEnd=""),"",ForecastEnd+IF(L191="Approved",0,IF(K191="",0,K191)))</f>
        <v/>
      </c>
      <c r="Q191" s="121">
        <f>IF(OR(N191="",WorkBudget=0),"",N191/WorkBudget-1)</f>
        <v/>
      </c>
      <c r="R191" s="79">
        <f>IF(N191="","",IF(N191&lt;=WorkBudget,0,IF(N191&lt;=TotalBudget,1,2)))</f>
        <v/>
      </c>
      <c r="S191" s="112">
        <f>IF(AND(OR(H191&lt;&gt;"",J191&lt;&gt;""),OR(L191="Pending",L191=""),C191&lt;&gt;""),C191+3,"")</f>
        <v/>
      </c>
      <c r="T191" s="79">
        <f>IF(S191="","",IF(AsOf&gt;S191,1,2))</f>
        <v/>
      </c>
      <c r="U191" s="79">
        <f>IF(T191="","","Decide on change order "&amp;B191&amp;": "&amp;H191&amp;" (+"&amp;CurSym&amp;" "&amp;FIXED(IF(J191="",0,J191),0)&amp;")")</f>
        <v/>
      </c>
    </row>
    <row r="192" ht="24" customHeight="1">
      <c r="B192" s="74" t="n"/>
      <c r="C192" s="109" t="n"/>
      <c r="D192" s="72" t="n"/>
      <c r="E192" s="72" t="n"/>
      <c r="F192" s="72" t="n"/>
      <c r="G192" s="72" t="n"/>
      <c r="H192" s="113" t="n"/>
      <c r="I192" s="72" t="n"/>
      <c r="J192" s="73" t="n"/>
      <c r="K192" s="89" t="n"/>
      <c r="L192" s="74" t="n"/>
      <c r="M192" s="109" t="n"/>
      <c r="N192" s="68">
        <f>IF(AND(H192="",J192=""),"",ForecastTotal+IF(L192="Approved",0,IF(J192="",0,J192)))</f>
        <v/>
      </c>
      <c r="O192" s="75">
        <f>IF(N192="","",ContAmt-MAX(0,N192-WorkBudget))</f>
        <v/>
      </c>
      <c r="P192" s="120">
        <f>IF(OR(N192="",ForecastEnd=""),"",ForecastEnd+IF(L192="Approved",0,IF(K192="",0,K192)))</f>
        <v/>
      </c>
      <c r="Q192" s="121">
        <f>IF(OR(N192="",WorkBudget=0),"",N192/WorkBudget-1)</f>
        <v/>
      </c>
      <c r="R192" s="79">
        <f>IF(N192="","",IF(N192&lt;=WorkBudget,0,IF(N192&lt;=TotalBudget,1,2)))</f>
        <v/>
      </c>
      <c r="S192" s="112">
        <f>IF(AND(OR(H192&lt;&gt;"",J192&lt;&gt;""),OR(L192="Pending",L192=""),C192&lt;&gt;""),C192+3,"")</f>
        <v/>
      </c>
      <c r="T192" s="79">
        <f>IF(S192="","",IF(AsOf&gt;S192,1,2))</f>
        <v/>
      </c>
      <c r="U192" s="79">
        <f>IF(T192="","","Decide on change order "&amp;B192&amp;": "&amp;H192&amp;" (+"&amp;CurSym&amp;" "&amp;FIXED(IF(J192="",0,J192),0)&amp;")")</f>
        <v/>
      </c>
    </row>
    <row r="193" ht="24" customHeight="1">
      <c r="B193" s="74" t="n"/>
      <c r="C193" s="109" t="n"/>
      <c r="D193" s="72" t="n"/>
      <c r="E193" s="72" t="n"/>
      <c r="F193" s="72" t="n"/>
      <c r="G193" s="72" t="n"/>
      <c r="H193" s="113" t="n"/>
      <c r="I193" s="72" t="n"/>
      <c r="J193" s="73" t="n"/>
      <c r="K193" s="89" t="n"/>
      <c r="L193" s="74" t="n"/>
      <c r="M193" s="109" t="n"/>
      <c r="N193" s="68">
        <f>IF(AND(H193="",J193=""),"",ForecastTotal+IF(L193="Approved",0,IF(J193="",0,J193)))</f>
        <v/>
      </c>
      <c r="O193" s="75">
        <f>IF(N193="","",ContAmt-MAX(0,N193-WorkBudget))</f>
        <v/>
      </c>
      <c r="P193" s="120">
        <f>IF(OR(N193="",ForecastEnd=""),"",ForecastEnd+IF(L193="Approved",0,IF(K193="",0,K193)))</f>
        <v/>
      </c>
      <c r="Q193" s="121">
        <f>IF(OR(N193="",WorkBudget=0),"",N193/WorkBudget-1)</f>
        <v/>
      </c>
      <c r="R193" s="79">
        <f>IF(N193="","",IF(N193&lt;=WorkBudget,0,IF(N193&lt;=TotalBudget,1,2)))</f>
        <v/>
      </c>
      <c r="S193" s="112">
        <f>IF(AND(OR(H193&lt;&gt;"",J193&lt;&gt;""),OR(L193="Pending",L193=""),C193&lt;&gt;""),C193+3,"")</f>
        <v/>
      </c>
      <c r="T193" s="79">
        <f>IF(S193="","",IF(AsOf&gt;S193,1,2))</f>
        <v/>
      </c>
      <c r="U193" s="79">
        <f>IF(T193="","","Decide on change order "&amp;B193&amp;": "&amp;H193&amp;" (+"&amp;CurSym&amp;" "&amp;FIXED(IF(J193="",0,J193),0)&amp;")")</f>
        <v/>
      </c>
    </row>
    <row r="194" ht="24" customHeight="1">
      <c r="B194" s="74" t="n"/>
      <c r="C194" s="109" t="n"/>
      <c r="D194" s="72" t="n"/>
      <c r="E194" s="72" t="n"/>
      <c r="F194" s="72" t="n"/>
      <c r="G194" s="72" t="n"/>
      <c r="H194" s="113" t="n"/>
      <c r="I194" s="72" t="n"/>
      <c r="J194" s="73" t="n"/>
      <c r="K194" s="89" t="n"/>
      <c r="L194" s="74" t="n"/>
      <c r="M194" s="109" t="n"/>
      <c r="N194" s="68">
        <f>IF(AND(H194="",J194=""),"",ForecastTotal+IF(L194="Approved",0,IF(J194="",0,J194)))</f>
        <v/>
      </c>
      <c r="O194" s="75">
        <f>IF(N194="","",ContAmt-MAX(0,N194-WorkBudget))</f>
        <v/>
      </c>
      <c r="P194" s="120">
        <f>IF(OR(N194="",ForecastEnd=""),"",ForecastEnd+IF(L194="Approved",0,IF(K194="",0,K194)))</f>
        <v/>
      </c>
      <c r="Q194" s="121">
        <f>IF(OR(N194="",WorkBudget=0),"",N194/WorkBudget-1)</f>
        <v/>
      </c>
      <c r="R194" s="79">
        <f>IF(N194="","",IF(N194&lt;=WorkBudget,0,IF(N194&lt;=TotalBudget,1,2)))</f>
        <v/>
      </c>
      <c r="S194" s="112">
        <f>IF(AND(OR(H194&lt;&gt;"",J194&lt;&gt;""),OR(L194="Pending",L194=""),C194&lt;&gt;""),C194+3,"")</f>
        <v/>
      </c>
      <c r="T194" s="79">
        <f>IF(S194="","",IF(AsOf&gt;S194,1,2))</f>
        <v/>
      </c>
      <c r="U194" s="79">
        <f>IF(T194="","","Decide on change order "&amp;B194&amp;": "&amp;H194&amp;" (+"&amp;CurSym&amp;" "&amp;FIXED(IF(J194="",0,J194),0)&amp;")")</f>
        <v/>
      </c>
    </row>
    <row r="195" ht="24" customHeight="1">
      <c r="B195" s="74" t="n"/>
      <c r="C195" s="109" t="n"/>
      <c r="D195" s="72" t="n"/>
      <c r="E195" s="72" t="n"/>
      <c r="F195" s="72" t="n"/>
      <c r="G195" s="72" t="n"/>
      <c r="H195" s="113" t="n"/>
      <c r="I195" s="72" t="n"/>
      <c r="J195" s="73" t="n"/>
      <c r="K195" s="89" t="n"/>
      <c r="L195" s="74" t="n"/>
      <c r="M195" s="109" t="n"/>
      <c r="N195" s="68">
        <f>IF(AND(H195="",J195=""),"",ForecastTotal+IF(L195="Approved",0,IF(J195="",0,J195)))</f>
        <v/>
      </c>
      <c r="O195" s="75">
        <f>IF(N195="","",ContAmt-MAX(0,N195-WorkBudget))</f>
        <v/>
      </c>
      <c r="P195" s="120">
        <f>IF(OR(N195="",ForecastEnd=""),"",ForecastEnd+IF(L195="Approved",0,IF(K195="",0,K195)))</f>
        <v/>
      </c>
      <c r="Q195" s="121">
        <f>IF(OR(N195="",WorkBudget=0),"",N195/WorkBudget-1)</f>
        <v/>
      </c>
      <c r="R195" s="79">
        <f>IF(N195="","",IF(N195&lt;=WorkBudget,0,IF(N195&lt;=TotalBudget,1,2)))</f>
        <v/>
      </c>
      <c r="S195" s="112">
        <f>IF(AND(OR(H195&lt;&gt;"",J195&lt;&gt;""),OR(L195="Pending",L195=""),C195&lt;&gt;""),C195+3,"")</f>
        <v/>
      </c>
      <c r="T195" s="79">
        <f>IF(S195="","",IF(AsOf&gt;S195,1,2))</f>
        <v/>
      </c>
      <c r="U195" s="79">
        <f>IF(T195="","","Decide on change order "&amp;B195&amp;": "&amp;H195&amp;" (+"&amp;CurSym&amp;" "&amp;FIXED(IF(J195="",0,J195),0)&amp;")")</f>
        <v/>
      </c>
    </row>
    <row r="196" ht="24" customHeight="1">
      <c r="B196" s="74" t="n"/>
      <c r="C196" s="109" t="n"/>
      <c r="D196" s="72" t="n"/>
      <c r="E196" s="72" t="n"/>
      <c r="F196" s="72" t="n"/>
      <c r="G196" s="72" t="n"/>
      <c r="H196" s="113" t="n"/>
      <c r="I196" s="72" t="n"/>
      <c r="J196" s="73" t="n"/>
      <c r="K196" s="89" t="n"/>
      <c r="L196" s="74" t="n"/>
      <c r="M196" s="109" t="n"/>
      <c r="N196" s="68">
        <f>IF(AND(H196="",J196=""),"",ForecastTotal+IF(L196="Approved",0,IF(J196="",0,J196)))</f>
        <v/>
      </c>
      <c r="O196" s="75">
        <f>IF(N196="","",ContAmt-MAX(0,N196-WorkBudget))</f>
        <v/>
      </c>
      <c r="P196" s="120">
        <f>IF(OR(N196="",ForecastEnd=""),"",ForecastEnd+IF(L196="Approved",0,IF(K196="",0,K196)))</f>
        <v/>
      </c>
      <c r="Q196" s="121">
        <f>IF(OR(N196="",WorkBudget=0),"",N196/WorkBudget-1)</f>
        <v/>
      </c>
      <c r="R196" s="79">
        <f>IF(N196="","",IF(N196&lt;=WorkBudget,0,IF(N196&lt;=TotalBudget,1,2)))</f>
        <v/>
      </c>
      <c r="S196" s="112">
        <f>IF(AND(OR(H196&lt;&gt;"",J196&lt;&gt;""),OR(L196="Pending",L196=""),C196&lt;&gt;""),C196+3,"")</f>
        <v/>
      </c>
      <c r="T196" s="79">
        <f>IF(S196="","",IF(AsOf&gt;S196,1,2))</f>
        <v/>
      </c>
      <c r="U196" s="79">
        <f>IF(T196="","","Decide on change order "&amp;B196&amp;": "&amp;H196&amp;" (+"&amp;CurSym&amp;" "&amp;FIXED(IF(J196="",0,J196),0)&amp;")")</f>
        <v/>
      </c>
    </row>
    <row r="197" ht="24" customHeight="1">
      <c r="B197" s="74" t="n"/>
      <c r="C197" s="109" t="n"/>
      <c r="D197" s="72" t="n"/>
      <c r="E197" s="72" t="n"/>
      <c r="F197" s="72" t="n"/>
      <c r="G197" s="72" t="n"/>
      <c r="H197" s="113" t="n"/>
      <c r="I197" s="72" t="n"/>
      <c r="J197" s="73" t="n"/>
      <c r="K197" s="89" t="n"/>
      <c r="L197" s="74" t="n"/>
      <c r="M197" s="109" t="n"/>
      <c r="N197" s="68">
        <f>IF(AND(H197="",J197=""),"",ForecastTotal+IF(L197="Approved",0,IF(J197="",0,J197)))</f>
        <v/>
      </c>
      <c r="O197" s="75">
        <f>IF(N197="","",ContAmt-MAX(0,N197-WorkBudget))</f>
        <v/>
      </c>
      <c r="P197" s="120">
        <f>IF(OR(N197="",ForecastEnd=""),"",ForecastEnd+IF(L197="Approved",0,IF(K197="",0,K197)))</f>
        <v/>
      </c>
      <c r="Q197" s="121">
        <f>IF(OR(N197="",WorkBudget=0),"",N197/WorkBudget-1)</f>
        <v/>
      </c>
      <c r="R197" s="79">
        <f>IF(N197="","",IF(N197&lt;=WorkBudget,0,IF(N197&lt;=TotalBudget,1,2)))</f>
        <v/>
      </c>
      <c r="S197" s="112">
        <f>IF(AND(OR(H197&lt;&gt;"",J197&lt;&gt;""),OR(L197="Pending",L197=""),C197&lt;&gt;""),C197+3,"")</f>
        <v/>
      </c>
      <c r="T197" s="79">
        <f>IF(S197="","",IF(AsOf&gt;S197,1,2))</f>
        <v/>
      </c>
      <c r="U197" s="79">
        <f>IF(T197="","","Decide on change order "&amp;B197&amp;": "&amp;H197&amp;" (+"&amp;CurSym&amp;" "&amp;FIXED(IF(J197="",0,J197),0)&amp;")")</f>
        <v/>
      </c>
    </row>
    <row r="198" ht="24" customHeight="1">
      <c r="B198" s="74" t="n"/>
      <c r="C198" s="109" t="n"/>
      <c r="D198" s="72" t="n"/>
      <c r="E198" s="72" t="n"/>
      <c r="F198" s="72" t="n"/>
      <c r="G198" s="72" t="n"/>
      <c r="H198" s="113" t="n"/>
      <c r="I198" s="72" t="n"/>
      <c r="J198" s="73" t="n"/>
      <c r="K198" s="89" t="n"/>
      <c r="L198" s="74" t="n"/>
      <c r="M198" s="109" t="n"/>
      <c r="N198" s="68">
        <f>IF(AND(H198="",J198=""),"",ForecastTotal+IF(L198="Approved",0,IF(J198="",0,J198)))</f>
        <v/>
      </c>
      <c r="O198" s="75">
        <f>IF(N198="","",ContAmt-MAX(0,N198-WorkBudget))</f>
        <v/>
      </c>
      <c r="P198" s="120">
        <f>IF(OR(N198="",ForecastEnd=""),"",ForecastEnd+IF(L198="Approved",0,IF(K198="",0,K198)))</f>
        <v/>
      </c>
      <c r="Q198" s="121">
        <f>IF(OR(N198="",WorkBudget=0),"",N198/WorkBudget-1)</f>
        <v/>
      </c>
      <c r="R198" s="79">
        <f>IF(N198="","",IF(N198&lt;=WorkBudget,0,IF(N198&lt;=TotalBudget,1,2)))</f>
        <v/>
      </c>
      <c r="S198" s="112">
        <f>IF(AND(OR(H198&lt;&gt;"",J198&lt;&gt;""),OR(L198="Pending",L198=""),C198&lt;&gt;""),C198+3,"")</f>
        <v/>
      </c>
      <c r="T198" s="79">
        <f>IF(S198="","",IF(AsOf&gt;S198,1,2))</f>
        <v/>
      </c>
      <c r="U198" s="79">
        <f>IF(T198="","","Decide on change order "&amp;B198&amp;": "&amp;H198&amp;" (+"&amp;CurSym&amp;" "&amp;FIXED(IF(J198="",0,J198),0)&amp;")")</f>
        <v/>
      </c>
    </row>
    <row r="199" ht="24" customHeight="1">
      <c r="B199" s="74" t="n"/>
      <c r="C199" s="109" t="n"/>
      <c r="D199" s="72" t="n"/>
      <c r="E199" s="72" t="n"/>
      <c r="F199" s="72" t="n"/>
      <c r="G199" s="72" t="n"/>
      <c r="H199" s="113" t="n"/>
      <c r="I199" s="72" t="n"/>
      <c r="J199" s="73" t="n"/>
      <c r="K199" s="89" t="n"/>
      <c r="L199" s="74" t="n"/>
      <c r="M199" s="109" t="n"/>
      <c r="N199" s="68">
        <f>IF(AND(H199="",J199=""),"",ForecastTotal+IF(L199="Approved",0,IF(J199="",0,J199)))</f>
        <v/>
      </c>
      <c r="O199" s="75">
        <f>IF(N199="","",ContAmt-MAX(0,N199-WorkBudget))</f>
        <v/>
      </c>
      <c r="P199" s="120">
        <f>IF(OR(N199="",ForecastEnd=""),"",ForecastEnd+IF(L199="Approved",0,IF(K199="",0,K199)))</f>
        <v/>
      </c>
      <c r="Q199" s="121">
        <f>IF(OR(N199="",WorkBudget=0),"",N199/WorkBudget-1)</f>
        <v/>
      </c>
      <c r="R199" s="79">
        <f>IF(N199="","",IF(N199&lt;=WorkBudget,0,IF(N199&lt;=TotalBudget,1,2)))</f>
        <v/>
      </c>
      <c r="S199" s="112">
        <f>IF(AND(OR(H199&lt;&gt;"",J199&lt;&gt;""),OR(L199="Pending",L199=""),C199&lt;&gt;""),C199+3,"")</f>
        <v/>
      </c>
      <c r="T199" s="79">
        <f>IF(S199="","",IF(AsOf&gt;S199,1,2))</f>
        <v/>
      </c>
      <c r="U199" s="79">
        <f>IF(T199="","","Decide on change order "&amp;B199&amp;": "&amp;H199&amp;" (+"&amp;CurSym&amp;" "&amp;FIXED(IF(J199="",0,J199),0)&amp;")")</f>
        <v/>
      </c>
    </row>
    <row r="200" ht="24" customHeight="1">
      <c r="B200" s="74" t="n"/>
      <c r="C200" s="109" t="n"/>
      <c r="D200" s="72" t="n"/>
      <c r="E200" s="72" t="n"/>
      <c r="F200" s="72" t="n"/>
      <c r="G200" s="72" t="n"/>
      <c r="H200" s="113" t="n"/>
      <c r="I200" s="72" t="n"/>
      <c r="J200" s="73" t="n"/>
      <c r="K200" s="89" t="n"/>
      <c r="L200" s="74" t="n"/>
      <c r="M200" s="109" t="n"/>
      <c r="N200" s="68">
        <f>IF(AND(H200="",J200=""),"",ForecastTotal+IF(L200="Approved",0,IF(J200="",0,J200)))</f>
        <v/>
      </c>
      <c r="O200" s="75">
        <f>IF(N200="","",ContAmt-MAX(0,N200-WorkBudget))</f>
        <v/>
      </c>
      <c r="P200" s="120">
        <f>IF(OR(N200="",ForecastEnd=""),"",ForecastEnd+IF(L200="Approved",0,IF(K200="",0,K200)))</f>
        <v/>
      </c>
      <c r="Q200" s="121">
        <f>IF(OR(N200="",WorkBudget=0),"",N200/WorkBudget-1)</f>
        <v/>
      </c>
      <c r="R200" s="79">
        <f>IF(N200="","",IF(N200&lt;=WorkBudget,0,IF(N200&lt;=TotalBudget,1,2)))</f>
        <v/>
      </c>
      <c r="S200" s="112">
        <f>IF(AND(OR(H200&lt;&gt;"",J200&lt;&gt;""),OR(L200="Pending",L200=""),C200&lt;&gt;""),C200+3,"")</f>
        <v/>
      </c>
      <c r="T200" s="79">
        <f>IF(S200="","",IF(AsOf&gt;S200,1,2))</f>
        <v/>
      </c>
      <c r="U200" s="79">
        <f>IF(T200="","","Decide on change order "&amp;B200&amp;": "&amp;H200&amp;" (+"&amp;CurSym&amp;" "&amp;FIXED(IF(J200="",0,J200),0)&amp;")")</f>
        <v/>
      </c>
    </row>
    <row r="201" ht="24" customHeight="1">
      <c r="B201" s="74" t="n"/>
      <c r="C201" s="109" t="n"/>
      <c r="D201" s="72" t="n"/>
      <c r="E201" s="72" t="n"/>
      <c r="F201" s="72" t="n"/>
      <c r="G201" s="72" t="n"/>
      <c r="H201" s="113" t="n"/>
      <c r="I201" s="72" t="n"/>
      <c r="J201" s="73" t="n"/>
      <c r="K201" s="89" t="n"/>
      <c r="L201" s="74" t="n"/>
      <c r="M201" s="109" t="n"/>
      <c r="N201" s="68">
        <f>IF(AND(H201="",J201=""),"",ForecastTotal+IF(L201="Approved",0,IF(J201="",0,J201)))</f>
        <v/>
      </c>
      <c r="O201" s="75">
        <f>IF(N201="","",ContAmt-MAX(0,N201-WorkBudget))</f>
        <v/>
      </c>
      <c r="P201" s="120">
        <f>IF(OR(N201="",ForecastEnd=""),"",ForecastEnd+IF(L201="Approved",0,IF(K201="",0,K201)))</f>
        <v/>
      </c>
      <c r="Q201" s="121">
        <f>IF(OR(N201="",WorkBudget=0),"",N201/WorkBudget-1)</f>
        <v/>
      </c>
      <c r="R201" s="79">
        <f>IF(N201="","",IF(N201&lt;=WorkBudget,0,IF(N201&lt;=TotalBudget,1,2)))</f>
        <v/>
      </c>
      <c r="S201" s="112">
        <f>IF(AND(OR(H201&lt;&gt;"",J201&lt;&gt;""),OR(L201="Pending",L201=""),C201&lt;&gt;""),C201+3,"")</f>
        <v/>
      </c>
      <c r="T201" s="79">
        <f>IF(S201="","",IF(AsOf&gt;S201,1,2))</f>
        <v/>
      </c>
      <c r="U201" s="79">
        <f>IF(T201="","","Decide on change order "&amp;B201&amp;": "&amp;H201&amp;" (+"&amp;CurSym&amp;" "&amp;FIXED(IF(J201="",0,J201),0)&amp;")")</f>
        <v/>
      </c>
    </row>
    <row r="202" ht="24" customHeight="1">
      <c r="B202" s="74" t="n"/>
      <c r="C202" s="109" t="n"/>
      <c r="D202" s="72" t="n"/>
      <c r="E202" s="72" t="n"/>
      <c r="F202" s="72" t="n"/>
      <c r="G202" s="72" t="n"/>
      <c r="H202" s="113" t="n"/>
      <c r="I202" s="72" t="n"/>
      <c r="J202" s="73" t="n"/>
      <c r="K202" s="89" t="n"/>
      <c r="L202" s="74" t="n"/>
      <c r="M202" s="109" t="n"/>
      <c r="N202" s="68">
        <f>IF(AND(H202="",J202=""),"",ForecastTotal+IF(L202="Approved",0,IF(J202="",0,J202)))</f>
        <v/>
      </c>
      <c r="O202" s="75">
        <f>IF(N202="","",ContAmt-MAX(0,N202-WorkBudget))</f>
        <v/>
      </c>
      <c r="P202" s="120">
        <f>IF(OR(N202="",ForecastEnd=""),"",ForecastEnd+IF(L202="Approved",0,IF(K202="",0,K202)))</f>
        <v/>
      </c>
      <c r="Q202" s="121">
        <f>IF(OR(N202="",WorkBudget=0),"",N202/WorkBudget-1)</f>
        <v/>
      </c>
      <c r="R202" s="79">
        <f>IF(N202="","",IF(N202&lt;=WorkBudget,0,IF(N202&lt;=TotalBudget,1,2)))</f>
        <v/>
      </c>
      <c r="S202" s="112">
        <f>IF(AND(OR(H202&lt;&gt;"",J202&lt;&gt;""),OR(L202="Pending",L202=""),C202&lt;&gt;""),C202+3,"")</f>
        <v/>
      </c>
      <c r="T202" s="79">
        <f>IF(S202="","",IF(AsOf&gt;S202,1,2))</f>
        <v/>
      </c>
      <c r="U202" s="79">
        <f>IF(T202="","","Decide on change order "&amp;B202&amp;": "&amp;H202&amp;" (+"&amp;CurSym&amp;" "&amp;FIXED(IF(J202="",0,J202),0)&amp;")")</f>
        <v/>
      </c>
    </row>
    <row r="203" ht="24" customHeight="1">
      <c r="B203" s="74" t="n"/>
      <c r="C203" s="109" t="n"/>
      <c r="D203" s="72" t="n"/>
      <c r="E203" s="72" t="n"/>
      <c r="F203" s="72" t="n"/>
      <c r="G203" s="72" t="n"/>
      <c r="H203" s="113" t="n"/>
      <c r="I203" s="72" t="n"/>
      <c r="J203" s="73" t="n"/>
      <c r="K203" s="89" t="n"/>
      <c r="L203" s="74" t="n"/>
      <c r="M203" s="109" t="n"/>
      <c r="N203" s="68">
        <f>IF(AND(H203="",J203=""),"",ForecastTotal+IF(L203="Approved",0,IF(J203="",0,J203)))</f>
        <v/>
      </c>
      <c r="O203" s="75">
        <f>IF(N203="","",ContAmt-MAX(0,N203-WorkBudget))</f>
        <v/>
      </c>
      <c r="P203" s="120">
        <f>IF(OR(N203="",ForecastEnd=""),"",ForecastEnd+IF(L203="Approved",0,IF(K203="",0,K203)))</f>
        <v/>
      </c>
      <c r="Q203" s="121">
        <f>IF(OR(N203="",WorkBudget=0),"",N203/WorkBudget-1)</f>
        <v/>
      </c>
      <c r="R203" s="79">
        <f>IF(N203="","",IF(N203&lt;=WorkBudget,0,IF(N203&lt;=TotalBudget,1,2)))</f>
        <v/>
      </c>
      <c r="S203" s="112">
        <f>IF(AND(OR(H203&lt;&gt;"",J203&lt;&gt;""),OR(L203="Pending",L203=""),C203&lt;&gt;""),C203+3,"")</f>
        <v/>
      </c>
      <c r="T203" s="79">
        <f>IF(S203="","",IF(AsOf&gt;S203,1,2))</f>
        <v/>
      </c>
      <c r="U203" s="79">
        <f>IF(T203="","","Decide on change order "&amp;B203&amp;": "&amp;H203&amp;" (+"&amp;CurSym&amp;" "&amp;FIXED(IF(J203="",0,J203),0)&amp;")")</f>
        <v/>
      </c>
    </row>
    <row r="204" ht="24" customHeight="1">
      <c r="B204" s="74" t="n"/>
      <c r="C204" s="109" t="n"/>
      <c r="D204" s="72" t="n"/>
      <c r="E204" s="72" t="n"/>
      <c r="F204" s="72" t="n"/>
      <c r="G204" s="72" t="n"/>
      <c r="H204" s="113" t="n"/>
      <c r="I204" s="72" t="n"/>
      <c r="J204" s="73" t="n"/>
      <c r="K204" s="89" t="n"/>
      <c r="L204" s="74" t="n"/>
      <c r="M204" s="109" t="n"/>
      <c r="N204" s="68">
        <f>IF(AND(H204="",J204=""),"",ForecastTotal+IF(L204="Approved",0,IF(J204="",0,J204)))</f>
        <v/>
      </c>
      <c r="O204" s="75">
        <f>IF(N204="","",ContAmt-MAX(0,N204-WorkBudget))</f>
        <v/>
      </c>
      <c r="P204" s="120">
        <f>IF(OR(N204="",ForecastEnd=""),"",ForecastEnd+IF(L204="Approved",0,IF(K204="",0,K204)))</f>
        <v/>
      </c>
      <c r="Q204" s="121">
        <f>IF(OR(N204="",WorkBudget=0),"",N204/WorkBudget-1)</f>
        <v/>
      </c>
      <c r="R204" s="79">
        <f>IF(N204="","",IF(N204&lt;=WorkBudget,0,IF(N204&lt;=TotalBudget,1,2)))</f>
        <v/>
      </c>
      <c r="S204" s="112">
        <f>IF(AND(OR(H204&lt;&gt;"",J204&lt;&gt;""),OR(L204="Pending",L204=""),C204&lt;&gt;""),C204+3,"")</f>
        <v/>
      </c>
      <c r="T204" s="79">
        <f>IF(S204="","",IF(AsOf&gt;S204,1,2))</f>
        <v/>
      </c>
      <c r="U204" s="79">
        <f>IF(T204="","","Decide on change order "&amp;B204&amp;": "&amp;H204&amp;" (+"&amp;CurSym&amp;" "&amp;FIXED(IF(J204="",0,J204),0)&amp;")")</f>
        <v/>
      </c>
    </row>
    <row r="205" ht="24" customHeight="1">
      <c r="B205" s="74" t="n"/>
      <c r="C205" s="109" t="n"/>
      <c r="D205" s="72" t="n"/>
      <c r="E205" s="72" t="n"/>
      <c r="F205" s="72" t="n"/>
      <c r="G205" s="72" t="n"/>
      <c r="H205" s="113" t="n"/>
      <c r="I205" s="72" t="n"/>
      <c r="J205" s="73" t="n"/>
      <c r="K205" s="89" t="n"/>
      <c r="L205" s="74" t="n"/>
      <c r="M205" s="109" t="n"/>
      <c r="N205" s="68">
        <f>IF(AND(H205="",J205=""),"",ForecastTotal+IF(L205="Approved",0,IF(J205="",0,J205)))</f>
        <v/>
      </c>
      <c r="O205" s="75">
        <f>IF(N205="","",ContAmt-MAX(0,N205-WorkBudget))</f>
        <v/>
      </c>
      <c r="P205" s="120">
        <f>IF(OR(N205="",ForecastEnd=""),"",ForecastEnd+IF(L205="Approved",0,IF(K205="",0,K205)))</f>
        <v/>
      </c>
      <c r="Q205" s="121">
        <f>IF(OR(N205="",WorkBudget=0),"",N205/WorkBudget-1)</f>
        <v/>
      </c>
      <c r="R205" s="79">
        <f>IF(N205="","",IF(N205&lt;=WorkBudget,0,IF(N205&lt;=TotalBudget,1,2)))</f>
        <v/>
      </c>
      <c r="S205" s="112">
        <f>IF(AND(OR(H205&lt;&gt;"",J205&lt;&gt;""),OR(L205="Pending",L205=""),C205&lt;&gt;""),C205+3,"")</f>
        <v/>
      </c>
      <c r="T205" s="79">
        <f>IF(S205="","",IF(AsOf&gt;S205,1,2))</f>
        <v/>
      </c>
      <c r="U205" s="79">
        <f>IF(T205="","","Decide on change order "&amp;B205&amp;": "&amp;H205&amp;" (+"&amp;CurSym&amp;" "&amp;FIXED(IF(J205="",0,J205),0)&amp;")")</f>
        <v/>
      </c>
    </row>
    <row r="206" ht="24" customHeight="1">
      <c r="B206" s="74" t="n"/>
      <c r="C206" s="109" t="n"/>
      <c r="D206" s="72" t="n"/>
      <c r="E206" s="72" t="n"/>
      <c r="F206" s="72" t="n"/>
      <c r="G206" s="72" t="n"/>
      <c r="H206" s="113" t="n"/>
      <c r="I206" s="72" t="n"/>
      <c r="J206" s="73" t="n"/>
      <c r="K206" s="89" t="n"/>
      <c r="L206" s="74" t="n"/>
      <c r="M206" s="109" t="n"/>
      <c r="N206" s="68">
        <f>IF(AND(H206="",J206=""),"",ForecastTotal+IF(L206="Approved",0,IF(J206="",0,J206)))</f>
        <v/>
      </c>
      <c r="O206" s="75">
        <f>IF(N206="","",ContAmt-MAX(0,N206-WorkBudget))</f>
        <v/>
      </c>
      <c r="P206" s="120">
        <f>IF(OR(N206="",ForecastEnd=""),"",ForecastEnd+IF(L206="Approved",0,IF(K206="",0,K206)))</f>
        <v/>
      </c>
      <c r="Q206" s="121">
        <f>IF(OR(N206="",WorkBudget=0),"",N206/WorkBudget-1)</f>
        <v/>
      </c>
      <c r="R206" s="79">
        <f>IF(N206="","",IF(N206&lt;=WorkBudget,0,IF(N206&lt;=TotalBudget,1,2)))</f>
        <v/>
      </c>
      <c r="S206" s="112">
        <f>IF(AND(OR(H206&lt;&gt;"",J206&lt;&gt;""),OR(L206="Pending",L206=""),C206&lt;&gt;""),C206+3,"")</f>
        <v/>
      </c>
      <c r="T206" s="79">
        <f>IF(S206="","",IF(AsOf&gt;S206,1,2))</f>
        <v/>
      </c>
      <c r="U206" s="79">
        <f>IF(T206="","","Decide on change order "&amp;B206&amp;": "&amp;H206&amp;" (+"&amp;CurSym&amp;" "&amp;FIXED(IF(J206="",0,J206),0)&amp;")")</f>
        <v/>
      </c>
    </row>
    <row r="207" ht="24" customHeight="1">
      <c r="B207" s="74" t="n"/>
      <c r="C207" s="109" t="n"/>
      <c r="D207" s="72" t="n"/>
      <c r="E207" s="72" t="n"/>
      <c r="F207" s="72" t="n"/>
      <c r="G207" s="72" t="n"/>
      <c r="H207" s="113" t="n"/>
      <c r="I207" s="72" t="n"/>
      <c r="J207" s="73" t="n"/>
      <c r="K207" s="89" t="n"/>
      <c r="L207" s="74" t="n"/>
      <c r="M207" s="109" t="n"/>
      <c r="N207" s="68">
        <f>IF(AND(H207="",J207=""),"",ForecastTotal+IF(L207="Approved",0,IF(J207="",0,J207)))</f>
        <v/>
      </c>
      <c r="O207" s="75">
        <f>IF(N207="","",ContAmt-MAX(0,N207-WorkBudget))</f>
        <v/>
      </c>
      <c r="P207" s="120">
        <f>IF(OR(N207="",ForecastEnd=""),"",ForecastEnd+IF(L207="Approved",0,IF(K207="",0,K207)))</f>
        <v/>
      </c>
      <c r="Q207" s="121">
        <f>IF(OR(N207="",WorkBudget=0),"",N207/WorkBudget-1)</f>
        <v/>
      </c>
      <c r="R207" s="79">
        <f>IF(N207="","",IF(N207&lt;=WorkBudget,0,IF(N207&lt;=TotalBudget,1,2)))</f>
        <v/>
      </c>
      <c r="S207" s="112">
        <f>IF(AND(OR(H207&lt;&gt;"",J207&lt;&gt;""),OR(L207="Pending",L207=""),C207&lt;&gt;""),C207+3,"")</f>
        <v/>
      </c>
      <c r="T207" s="79">
        <f>IF(S207="","",IF(AsOf&gt;S207,1,2))</f>
        <v/>
      </c>
      <c r="U207" s="79">
        <f>IF(T207="","","Decide on change order "&amp;B207&amp;": "&amp;H207&amp;" (+"&amp;CurSym&amp;" "&amp;FIXED(IF(J207="",0,J207),0)&amp;")")</f>
        <v/>
      </c>
    </row>
    <row r="208" ht="24" customHeight="1">
      <c r="B208" s="74" t="n"/>
      <c r="C208" s="109" t="n"/>
      <c r="D208" s="72" t="n"/>
      <c r="E208" s="72" t="n"/>
      <c r="F208" s="72" t="n"/>
      <c r="G208" s="72" t="n"/>
      <c r="H208" s="113" t="n"/>
      <c r="I208" s="72" t="n"/>
      <c r="J208" s="73" t="n"/>
      <c r="K208" s="89" t="n"/>
      <c r="L208" s="74" t="n"/>
      <c r="M208" s="109" t="n"/>
      <c r="N208" s="68">
        <f>IF(AND(H208="",J208=""),"",ForecastTotal+IF(L208="Approved",0,IF(J208="",0,J208)))</f>
        <v/>
      </c>
      <c r="O208" s="75">
        <f>IF(N208="","",ContAmt-MAX(0,N208-WorkBudget))</f>
        <v/>
      </c>
      <c r="P208" s="120">
        <f>IF(OR(N208="",ForecastEnd=""),"",ForecastEnd+IF(L208="Approved",0,IF(K208="",0,K208)))</f>
        <v/>
      </c>
      <c r="Q208" s="121">
        <f>IF(OR(N208="",WorkBudget=0),"",N208/WorkBudget-1)</f>
        <v/>
      </c>
      <c r="R208" s="79">
        <f>IF(N208="","",IF(N208&lt;=WorkBudget,0,IF(N208&lt;=TotalBudget,1,2)))</f>
        <v/>
      </c>
      <c r="S208" s="112">
        <f>IF(AND(OR(H208&lt;&gt;"",J208&lt;&gt;""),OR(L208="Pending",L208=""),C208&lt;&gt;""),C208+3,"")</f>
        <v/>
      </c>
      <c r="T208" s="79">
        <f>IF(S208="","",IF(AsOf&gt;S208,1,2))</f>
        <v/>
      </c>
      <c r="U208" s="79">
        <f>IF(T208="","","Decide on change order "&amp;B208&amp;": "&amp;H208&amp;" (+"&amp;CurSym&amp;" "&amp;FIXED(IF(J208="",0,J208),0)&amp;")")</f>
        <v/>
      </c>
    </row>
    <row r="209" ht="24" customHeight="1">
      <c r="B209" s="74" t="n"/>
      <c r="C209" s="109" t="n"/>
      <c r="D209" s="72" t="n"/>
      <c r="E209" s="72" t="n"/>
      <c r="F209" s="72" t="n"/>
      <c r="G209" s="72" t="n"/>
      <c r="H209" s="113" t="n"/>
      <c r="I209" s="72" t="n"/>
      <c r="J209" s="73" t="n"/>
      <c r="K209" s="89" t="n"/>
      <c r="L209" s="74" t="n"/>
      <c r="M209" s="109" t="n"/>
      <c r="N209" s="68">
        <f>IF(AND(H209="",J209=""),"",ForecastTotal+IF(L209="Approved",0,IF(J209="",0,J209)))</f>
        <v/>
      </c>
      <c r="O209" s="75">
        <f>IF(N209="","",ContAmt-MAX(0,N209-WorkBudget))</f>
        <v/>
      </c>
      <c r="P209" s="120">
        <f>IF(OR(N209="",ForecastEnd=""),"",ForecastEnd+IF(L209="Approved",0,IF(K209="",0,K209)))</f>
        <v/>
      </c>
      <c r="Q209" s="121">
        <f>IF(OR(N209="",WorkBudget=0),"",N209/WorkBudget-1)</f>
        <v/>
      </c>
      <c r="R209" s="79">
        <f>IF(N209="","",IF(N209&lt;=WorkBudget,0,IF(N209&lt;=TotalBudget,1,2)))</f>
        <v/>
      </c>
      <c r="S209" s="112">
        <f>IF(AND(OR(H209&lt;&gt;"",J209&lt;&gt;""),OR(L209="Pending",L209=""),C209&lt;&gt;""),C209+3,"")</f>
        <v/>
      </c>
      <c r="T209" s="79">
        <f>IF(S209="","",IF(AsOf&gt;S209,1,2))</f>
        <v/>
      </c>
      <c r="U209" s="79">
        <f>IF(T209="","","Decide on change order "&amp;B209&amp;": "&amp;H209&amp;" (+"&amp;CurSym&amp;" "&amp;FIXED(IF(J209="",0,J209),0)&amp;")")</f>
        <v/>
      </c>
    </row>
    <row r="210" ht="24" customHeight="1">
      <c r="B210" s="74" t="n"/>
      <c r="C210" s="109" t="n"/>
      <c r="D210" s="72" t="n"/>
      <c r="E210" s="72" t="n"/>
      <c r="F210" s="72" t="n"/>
      <c r="G210" s="72" t="n"/>
      <c r="H210" s="113" t="n"/>
      <c r="I210" s="72" t="n"/>
      <c r="J210" s="73" t="n"/>
      <c r="K210" s="89" t="n"/>
      <c r="L210" s="74" t="n"/>
      <c r="M210" s="109" t="n"/>
      <c r="N210" s="68">
        <f>IF(AND(H210="",J210=""),"",ForecastTotal+IF(L210="Approved",0,IF(J210="",0,J210)))</f>
        <v/>
      </c>
      <c r="O210" s="75">
        <f>IF(N210="","",ContAmt-MAX(0,N210-WorkBudget))</f>
        <v/>
      </c>
      <c r="P210" s="120">
        <f>IF(OR(N210="",ForecastEnd=""),"",ForecastEnd+IF(L210="Approved",0,IF(K210="",0,K210)))</f>
        <v/>
      </c>
      <c r="Q210" s="121">
        <f>IF(OR(N210="",WorkBudget=0),"",N210/WorkBudget-1)</f>
        <v/>
      </c>
      <c r="R210" s="79">
        <f>IF(N210="","",IF(N210&lt;=WorkBudget,0,IF(N210&lt;=TotalBudget,1,2)))</f>
        <v/>
      </c>
      <c r="S210" s="112">
        <f>IF(AND(OR(H210&lt;&gt;"",J210&lt;&gt;""),OR(L210="Pending",L210=""),C210&lt;&gt;""),C210+3,"")</f>
        <v/>
      </c>
      <c r="T210" s="79">
        <f>IF(S210="","",IF(AsOf&gt;S210,1,2))</f>
        <v/>
      </c>
      <c r="U210" s="79">
        <f>IF(T210="","","Decide on change order "&amp;B210&amp;": "&amp;H210&amp;" (+"&amp;CurSym&amp;" "&amp;FIXED(IF(J210="",0,J210),0)&amp;")")</f>
        <v/>
      </c>
    </row>
    <row r="211" ht="24" customHeight="1">
      <c r="B211" s="74" t="n"/>
      <c r="C211" s="109" t="n"/>
      <c r="D211" s="72" t="n"/>
      <c r="E211" s="72" t="n"/>
      <c r="F211" s="72" t="n"/>
      <c r="G211" s="72" t="n"/>
      <c r="H211" s="113" t="n"/>
      <c r="I211" s="72" t="n"/>
      <c r="J211" s="73" t="n"/>
      <c r="K211" s="89" t="n"/>
      <c r="L211" s="74" t="n"/>
      <c r="M211" s="109" t="n"/>
      <c r="N211" s="68">
        <f>IF(AND(H211="",J211=""),"",ForecastTotal+IF(L211="Approved",0,IF(J211="",0,J211)))</f>
        <v/>
      </c>
      <c r="O211" s="75">
        <f>IF(N211="","",ContAmt-MAX(0,N211-WorkBudget))</f>
        <v/>
      </c>
      <c r="P211" s="120">
        <f>IF(OR(N211="",ForecastEnd=""),"",ForecastEnd+IF(L211="Approved",0,IF(K211="",0,K211)))</f>
        <v/>
      </c>
      <c r="Q211" s="121">
        <f>IF(OR(N211="",WorkBudget=0),"",N211/WorkBudget-1)</f>
        <v/>
      </c>
      <c r="R211" s="79">
        <f>IF(N211="","",IF(N211&lt;=WorkBudget,0,IF(N211&lt;=TotalBudget,1,2)))</f>
        <v/>
      </c>
      <c r="S211" s="112">
        <f>IF(AND(OR(H211&lt;&gt;"",J211&lt;&gt;""),OR(L211="Pending",L211=""),C211&lt;&gt;""),C211+3,"")</f>
        <v/>
      </c>
      <c r="T211" s="79">
        <f>IF(S211="","",IF(AsOf&gt;S211,1,2))</f>
        <v/>
      </c>
      <c r="U211" s="79">
        <f>IF(T211="","","Decide on change order "&amp;B211&amp;": "&amp;H211&amp;" (+"&amp;CurSym&amp;" "&amp;FIXED(IF(J211="",0,J211),0)&amp;")")</f>
        <v/>
      </c>
    </row>
    <row r="212" ht="24" customHeight="1">
      <c r="B212" s="74" t="n"/>
      <c r="C212" s="109" t="n"/>
      <c r="D212" s="72" t="n"/>
      <c r="E212" s="72" t="n"/>
      <c r="F212" s="72" t="n"/>
      <c r="G212" s="72" t="n"/>
      <c r="H212" s="113" t="n"/>
      <c r="I212" s="72" t="n"/>
      <c r="J212" s="73" t="n"/>
      <c r="K212" s="89" t="n"/>
      <c r="L212" s="74" t="n"/>
      <c r="M212" s="109" t="n"/>
      <c r="N212" s="68">
        <f>IF(AND(H212="",J212=""),"",ForecastTotal+IF(L212="Approved",0,IF(J212="",0,J212)))</f>
        <v/>
      </c>
      <c r="O212" s="75">
        <f>IF(N212="","",ContAmt-MAX(0,N212-WorkBudget))</f>
        <v/>
      </c>
      <c r="P212" s="120">
        <f>IF(OR(N212="",ForecastEnd=""),"",ForecastEnd+IF(L212="Approved",0,IF(K212="",0,K212)))</f>
        <v/>
      </c>
      <c r="Q212" s="121">
        <f>IF(OR(N212="",WorkBudget=0),"",N212/WorkBudget-1)</f>
        <v/>
      </c>
      <c r="R212" s="79">
        <f>IF(N212="","",IF(N212&lt;=WorkBudget,0,IF(N212&lt;=TotalBudget,1,2)))</f>
        <v/>
      </c>
      <c r="S212" s="112">
        <f>IF(AND(OR(H212&lt;&gt;"",J212&lt;&gt;""),OR(L212="Pending",L212=""),C212&lt;&gt;""),C212+3,"")</f>
        <v/>
      </c>
      <c r="T212" s="79">
        <f>IF(S212="","",IF(AsOf&gt;S212,1,2))</f>
        <v/>
      </c>
      <c r="U212" s="79">
        <f>IF(T212="","","Decide on change order "&amp;B212&amp;": "&amp;H212&amp;" (+"&amp;CurSym&amp;" "&amp;FIXED(IF(J212="",0,J212),0)&amp;")")</f>
        <v/>
      </c>
    </row>
    <row r="213" ht="24" customHeight="1">
      <c r="B213" s="74" t="n"/>
      <c r="C213" s="109" t="n"/>
      <c r="D213" s="72" t="n"/>
      <c r="E213" s="72" t="n"/>
      <c r="F213" s="72" t="n"/>
      <c r="G213" s="72" t="n"/>
      <c r="H213" s="113" t="n"/>
      <c r="I213" s="72" t="n"/>
      <c r="J213" s="73" t="n"/>
      <c r="K213" s="89" t="n"/>
      <c r="L213" s="74" t="n"/>
      <c r="M213" s="109" t="n"/>
      <c r="N213" s="68">
        <f>IF(AND(H213="",J213=""),"",ForecastTotal+IF(L213="Approved",0,IF(J213="",0,J213)))</f>
        <v/>
      </c>
      <c r="O213" s="75">
        <f>IF(N213="","",ContAmt-MAX(0,N213-WorkBudget))</f>
        <v/>
      </c>
      <c r="P213" s="120">
        <f>IF(OR(N213="",ForecastEnd=""),"",ForecastEnd+IF(L213="Approved",0,IF(K213="",0,K213)))</f>
        <v/>
      </c>
      <c r="Q213" s="121">
        <f>IF(OR(N213="",WorkBudget=0),"",N213/WorkBudget-1)</f>
        <v/>
      </c>
      <c r="R213" s="79">
        <f>IF(N213="","",IF(N213&lt;=WorkBudget,0,IF(N213&lt;=TotalBudget,1,2)))</f>
        <v/>
      </c>
      <c r="S213" s="112">
        <f>IF(AND(OR(H213&lt;&gt;"",J213&lt;&gt;""),OR(L213="Pending",L213=""),C213&lt;&gt;""),C213+3,"")</f>
        <v/>
      </c>
      <c r="T213" s="79">
        <f>IF(S213="","",IF(AsOf&gt;S213,1,2))</f>
        <v/>
      </c>
      <c r="U213" s="79">
        <f>IF(T213="","","Decide on change order "&amp;B213&amp;": "&amp;H213&amp;" (+"&amp;CurSym&amp;" "&amp;FIXED(IF(J213="",0,J213),0)&amp;")")</f>
        <v/>
      </c>
    </row>
    <row r="214" ht="24" customHeight="1">
      <c r="B214" s="74" t="n"/>
      <c r="C214" s="109" t="n"/>
      <c r="D214" s="72" t="n"/>
      <c r="E214" s="72" t="n"/>
      <c r="F214" s="72" t="n"/>
      <c r="G214" s="72" t="n"/>
      <c r="H214" s="113" t="n"/>
      <c r="I214" s="72" t="n"/>
      <c r="J214" s="73" t="n"/>
      <c r="K214" s="89" t="n"/>
      <c r="L214" s="74" t="n"/>
      <c r="M214" s="109" t="n"/>
      <c r="N214" s="68">
        <f>IF(AND(H214="",J214=""),"",ForecastTotal+IF(L214="Approved",0,IF(J214="",0,J214)))</f>
        <v/>
      </c>
      <c r="O214" s="75">
        <f>IF(N214="","",ContAmt-MAX(0,N214-WorkBudget))</f>
        <v/>
      </c>
      <c r="P214" s="120">
        <f>IF(OR(N214="",ForecastEnd=""),"",ForecastEnd+IF(L214="Approved",0,IF(K214="",0,K214)))</f>
        <v/>
      </c>
      <c r="Q214" s="121">
        <f>IF(OR(N214="",WorkBudget=0),"",N214/WorkBudget-1)</f>
        <v/>
      </c>
      <c r="R214" s="79">
        <f>IF(N214="","",IF(N214&lt;=WorkBudget,0,IF(N214&lt;=TotalBudget,1,2)))</f>
        <v/>
      </c>
      <c r="S214" s="112">
        <f>IF(AND(OR(H214&lt;&gt;"",J214&lt;&gt;""),OR(L214="Pending",L214=""),C214&lt;&gt;""),C214+3,"")</f>
        <v/>
      </c>
      <c r="T214" s="79">
        <f>IF(S214="","",IF(AsOf&gt;S214,1,2))</f>
        <v/>
      </c>
      <c r="U214" s="79">
        <f>IF(T214="","","Decide on change order "&amp;B214&amp;": "&amp;H214&amp;" (+"&amp;CurSym&amp;" "&amp;FIXED(IF(J214="",0,J214),0)&amp;")")</f>
        <v/>
      </c>
    </row>
    <row r="215" ht="24" customHeight="1">
      <c r="B215" s="74" t="n"/>
      <c r="C215" s="109" t="n"/>
      <c r="D215" s="72" t="n"/>
      <c r="E215" s="72" t="n"/>
      <c r="F215" s="72" t="n"/>
      <c r="G215" s="72" t="n"/>
      <c r="H215" s="113" t="n"/>
      <c r="I215" s="72" t="n"/>
      <c r="J215" s="73" t="n"/>
      <c r="K215" s="89" t="n"/>
      <c r="L215" s="74" t="n"/>
      <c r="M215" s="109" t="n"/>
      <c r="N215" s="68">
        <f>IF(AND(H215="",J215=""),"",ForecastTotal+IF(L215="Approved",0,IF(J215="",0,J215)))</f>
        <v/>
      </c>
      <c r="O215" s="75">
        <f>IF(N215="","",ContAmt-MAX(0,N215-WorkBudget))</f>
        <v/>
      </c>
      <c r="P215" s="120">
        <f>IF(OR(N215="",ForecastEnd=""),"",ForecastEnd+IF(L215="Approved",0,IF(K215="",0,K215)))</f>
        <v/>
      </c>
      <c r="Q215" s="121">
        <f>IF(OR(N215="",WorkBudget=0),"",N215/WorkBudget-1)</f>
        <v/>
      </c>
      <c r="R215" s="79">
        <f>IF(N215="","",IF(N215&lt;=WorkBudget,0,IF(N215&lt;=TotalBudget,1,2)))</f>
        <v/>
      </c>
      <c r="S215" s="112">
        <f>IF(AND(OR(H215&lt;&gt;"",J215&lt;&gt;""),OR(L215="Pending",L215=""),C215&lt;&gt;""),C215+3,"")</f>
        <v/>
      </c>
      <c r="T215" s="79">
        <f>IF(S215="","",IF(AsOf&gt;S215,1,2))</f>
        <v/>
      </c>
      <c r="U215" s="79">
        <f>IF(T215="","","Decide on change order "&amp;B215&amp;": "&amp;H215&amp;" (+"&amp;CurSym&amp;" "&amp;FIXED(IF(J215="",0,J215),0)&amp;")")</f>
        <v/>
      </c>
    </row>
    <row r="216" ht="24" customHeight="1">
      <c r="B216" s="74" t="n"/>
      <c r="C216" s="109" t="n"/>
      <c r="D216" s="72" t="n"/>
      <c r="E216" s="72" t="n"/>
      <c r="F216" s="72" t="n"/>
      <c r="G216" s="72" t="n"/>
      <c r="H216" s="113" t="n"/>
      <c r="I216" s="72" t="n"/>
      <c r="J216" s="73" t="n"/>
      <c r="K216" s="89" t="n"/>
      <c r="L216" s="74" t="n"/>
      <c r="M216" s="109" t="n"/>
      <c r="N216" s="68">
        <f>IF(AND(H216="",J216=""),"",ForecastTotal+IF(L216="Approved",0,IF(J216="",0,J216)))</f>
        <v/>
      </c>
      <c r="O216" s="75">
        <f>IF(N216="","",ContAmt-MAX(0,N216-WorkBudget))</f>
        <v/>
      </c>
      <c r="P216" s="120">
        <f>IF(OR(N216="",ForecastEnd=""),"",ForecastEnd+IF(L216="Approved",0,IF(K216="",0,K216)))</f>
        <v/>
      </c>
      <c r="Q216" s="121">
        <f>IF(OR(N216="",WorkBudget=0),"",N216/WorkBudget-1)</f>
        <v/>
      </c>
      <c r="R216" s="79">
        <f>IF(N216="","",IF(N216&lt;=WorkBudget,0,IF(N216&lt;=TotalBudget,1,2)))</f>
        <v/>
      </c>
      <c r="S216" s="112">
        <f>IF(AND(OR(H216&lt;&gt;"",J216&lt;&gt;""),OR(L216="Pending",L216=""),C216&lt;&gt;""),C216+3,"")</f>
        <v/>
      </c>
      <c r="T216" s="79">
        <f>IF(S216="","",IF(AsOf&gt;S216,1,2))</f>
        <v/>
      </c>
      <c r="U216" s="79">
        <f>IF(T216="","","Decide on change order "&amp;B216&amp;": "&amp;H216&amp;" (+"&amp;CurSym&amp;" "&amp;FIXED(IF(J216="",0,J216),0)&amp;")")</f>
        <v/>
      </c>
    </row>
    <row r="217" ht="24" customHeight="1">
      <c r="B217" s="74" t="n"/>
      <c r="C217" s="109" t="n"/>
      <c r="D217" s="72" t="n"/>
      <c r="E217" s="72" t="n"/>
      <c r="F217" s="72" t="n"/>
      <c r="G217" s="72" t="n"/>
      <c r="H217" s="113" t="n"/>
      <c r="I217" s="72" t="n"/>
      <c r="J217" s="73" t="n"/>
      <c r="K217" s="89" t="n"/>
      <c r="L217" s="74" t="n"/>
      <c r="M217" s="109" t="n"/>
      <c r="N217" s="68">
        <f>IF(AND(H217="",J217=""),"",ForecastTotal+IF(L217="Approved",0,IF(J217="",0,J217)))</f>
        <v/>
      </c>
      <c r="O217" s="75">
        <f>IF(N217="","",ContAmt-MAX(0,N217-WorkBudget))</f>
        <v/>
      </c>
      <c r="P217" s="120">
        <f>IF(OR(N217="",ForecastEnd=""),"",ForecastEnd+IF(L217="Approved",0,IF(K217="",0,K217)))</f>
        <v/>
      </c>
      <c r="Q217" s="121">
        <f>IF(OR(N217="",WorkBudget=0),"",N217/WorkBudget-1)</f>
        <v/>
      </c>
      <c r="R217" s="79">
        <f>IF(N217="","",IF(N217&lt;=WorkBudget,0,IF(N217&lt;=TotalBudget,1,2)))</f>
        <v/>
      </c>
      <c r="S217" s="112">
        <f>IF(AND(OR(H217&lt;&gt;"",J217&lt;&gt;""),OR(L217="Pending",L217=""),C217&lt;&gt;""),C217+3,"")</f>
        <v/>
      </c>
      <c r="T217" s="79">
        <f>IF(S217="","",IF(AsOf&gt;S217,1,2))</f>
        <v/>
      </c>
      <c r="U217" s="79">
        <f>IF(T217="","","Decide on change order "&amp;B217&amp;": "&amp;H217&amp;" (+"&amp;CurSym&amp;" "&amp;FIXED(IF(J217="",0,J217),0)&amp;")")</f>
        <v/>
      </c>
    </row>
    <row r="218" ht="24" customHeight="1">
      <c r="B218" s="74" t="n"/>
      <c r="C218" s="109" t="n"/>
      <c r="D218" s="72" t="n"/>
      <c r="E218" s="72" t="n"/>
      <c r="F218" s="72" t="n"/>
      <c r="G218" s="72" t="n"/>
      <c r="H218" s="113" t="n"/>
      <c r="I218" s="72" t="n"/>
      <c r="J218" s="73" t="n"/>
      <c r="K218" s="89" t="n"/>
      <c r="L218" s="74" t="n"/>
      <c r="M218" s="109" t="n"/>
      <c r="N218" s="68">
        <f>IF(AND(H218="",J218=""),"",ForecastTotal+IF(L218="Approved",0,IF(J218="",0,J218)))</f>
        <v/>
      </c>
      <c r="O218" s="75">
        <f>IF(N218="","",ContAmt-MAX(0,N218-WorkBudget))</f>
        <v/>
      </c>
      <c r="P218" s="120">
        <f>IF(OR(N218="",ForecastEnd=""),"",ForecastEnd+IF(L218="Approved",0,IF(K218="",0,K218)))</f>
        <v/>
      </c>
      <c r="Q218" s="121">
        <f>IF(OR(N218="",WorkBudget=0),"",N218/WorkBudget-1)</f>
        <v/>
      </c>
      <c r="R218" s="79">
        <f>IF(N218="","",IF(N218&lt;=WorkBudget,0,IF(N218&lt;=TotalBudget,1,2)))</f>
        <v/>
      </c>
      <c r="S218" s="112">
        <f>IF(AND(OR(H218&lt;&gt;"",J218&lt;&gt;""),OR(L218="Pending",L218=""),C218&lt;&gt;""),C218+3,"")</f>
        <v/>
      </c>
      <c r="T218" s="79">
        <f>IF(S218="","",IF(AsOf&gt;S218,1,2))</f>
        <v/>
      </c>
      <c r="U218" s="79">
        <f>IF(T218="","","Decide on change order "&amp;B218&amp;": "&amp;H218&amp;" (+"&amp;CurSym&amp;" "&amp;FIXED(IF(J218="",0,J218),0)&amp;")")</f>
        <v/>
      </c>
    </row>
    <row r="219" ht="24" customHeight="1">
      <c r="B219" s="74" t="n"/>
      <c r="C219" s="109" t="n"/>
      <c r="D219" s="72" t="n"/>
      <c r="E219" s="72" t="n"/>
      <c r="F219" s="72" t="n"/>
      <c r="G219" s="72" t="n"/>
      <c r="H219" s="113" t="n"/>
      <c r="I219" s="72" t="n"/>
      <c r="J219" s="73" t="n"/>
      <c r="K219" s="89" t="n"/>
      <c r="L219" s="74" t="n"/>
      <c r="M219" s="109" t="n"/>
      <c r="N219" s="68">
        <f>IF(AND(H219="",J219=""),"",ForecastTotal+IF(L219="Approved",0,IF(J219="",0,J219)))</f>
        <v/>
      </c>
      <c r="O219" s="75">
        <f>IF(N219="","",ContAmt-MAX(0,N219-WorkBudget))</f>
        <v/>
      </c>
      <c r="P219" s="120">
        <f>IF(OR(N219="",ForecastEnd=""),"",ForecastEnd+IF(L219="Approved",0,IF(K219="",0,K219)))</f>
        <v/>
      </c>
      <c r="Q219" s="121">
        <f>IF(OR(N219="",WorkBudget=0),"",N219/WorkBudget-1)</f>
        <v/>
      </c>
      <c r="R219" s="79">
        <f>IF(N219="","",IF(N219&lt;=WorkBudget,0,IF(N219&lt;=TotalBudget,1,2)))</f>
        <v/>
      </c>
      <c r="S219" s="112">
        <f>IF(AND(OR(H219&lt;&gt;"",J219&lt;&gt;""),OR(L219="Pending",L219=""),C219&lt;&gt;""),C219+3,"")</f>
        <v/>
      </c>
      <c r="T219" s="79">
        <f>IF(S219="","",IF(AsOf&gt;S219,1,2))</f>
        <v/>
      </c>
      <c r="U219" s="79">
        <f>IF(T219="","","Decide on change order "&amp;B219&amp;": "&amp;H219&amp;" (+"&amp;CurSym&amp;" "&amp;FIXED(IF(J219="",0,J219),0)&amp;")")</f>
        <v/>
      </c>
    </row>
    <row r="220" ht="24" customHeight="1">
      <c r="B220" s="74" t="n"/>
      <c r="C220" s="109" t="n"/>
      <c r="D220" s="72" t="n"/>
      <c r="E220" s="72" t="n"/>
      <c r="F220" s="72" t="n"/>
      <c r="G220" s="72" t="n"/>
      <c r="H220" s="113" t="n"/>
      <c r="I220" s="72" t="n"/>
      <c r="J220" s="73" t="n"/>
      <c r="K220" s="89" t="n"/>
      <c r="L220" s="74" t="n"/>
      <c r="M220" s="109" t="n"/>
      <c r="N220" s="68">
        <f>IF(AND(H220="",J220=""),"",ForecastTotal+IF(L220="Approved",0,IF(J220="",0,J220)))</f>
        <v/>
      </c>
      <c r="O220" s="75">
        <f>IF(N220="","",ContAmt-MAX(0,N220-WorkBudget))</f>
        <v/>
      </c>
      <c r="P220" s="120">
        <f>IF(OR(N220="",ForecastEnd=""),"",ForecastEnd+IF(L220="Approved",0,IF(K220="",0,K220)))</f>
        <v/>
      </c>
      <c r="Q220" s="121">
        <f>IF(OR(N220="",WorkBudget=0),"",N220/WorkBudget-1)</f>
        <v/>
      </c>
      <c r="R220" s="79">
        <f>IF(N220="","",IF(N220&lt;=WorkBudget,0,IF(N220&lt;=TotalBudget,1,2)))</f>
        <v/>
      </c>
      <c r="S220" s="112">
        <f>IF(AND(OR(H220&lt;&gt;"",J220&lt;&gt;""),OR(L220="Pending",L220=""),C220&lt;&gt;""),C220+3,"")</f>
        <v/>
      </c>
      <c r="T220" s="79">
        <f>IF(S220="","",IF(AsOf&gt;S220,1,2))</f>
        <v/>
      </c>
      <c r="U220" s="79">
        <f>IF(T220="","","Decide on change order "&amp;B220&amp;": "&amp;H220&amp;" (+"&amp;CurSym&amp;" "&amp;FIXED(IF(J220="",0,J220),0)&amp;")")</f>
        <v/>
      </c>
    </row>
    <row r="221" ht="24" customHeight="1">
      <c r="B221" s="74" t="n"/>
      <c r="C221" s="109" t="n"/>
      <c r="D221" s="72" t="n"/>
      <c r="E221" s="72" t="n"/>
      <c r="F221" s="72" t="n"/>
      <c r="G221" s="72" t="n"/>
      <c r="H221" s="113" t="n"/>
      <c r="I221" s="72" t="n"/>
      <c r="J221" s="73" t="n"/>
      <c r="K221" s="89" t="n"/>
      <c r="L221" s="74" t="n"/>
      <c r="M221" s="109" t="n"/>
      <c r="N221" s="68">
        <f>IF(AND(H221="",J221=""),"",ForecastTotal+IF(L221="Approved",0,IF(J221="",0,J221)))</f>
        <v/>
      </c>
      <c r="O221" s="75">
        <f>IF(N221="","",ContAmt-MAX(0,N221-WorkBudget))</f>
        <v/>
      </c>
      <c r="P221" s="120">
        <f>IF(OR(N221="",ForecastEnd=""),"",ForecastEnd+IF(L221="Approved",0,IF(K221="",0,K221)))</f>
        <v/>
      </c>
      <c r="Q221" s="121">
        <f>IF(OR(N221="",WorkBudget=0),"",N221/WorkBudget-1)</f>
        <v/>
      </c>
      <c r="R221" s="79">
        <f>IF(N221="","",IF(N221&lt;=WorkBudget,0,IF(N221&lt;=TotalBudget,1,2)))</f>
        <v/>
      </c>
      <c r="S221" s="112">
        <f>IF(AND(OR(H221&lt;&gt;"",J221&lt;&gt;""),OR(L221="Pending",L221=""),C221&lt;&gt;""),C221+3,"")</f>
        <v/>
      </c>
      <c r="T221" s="79">
        <f>IF(S221="","",IF(AsOf&gt;S221,1,2))</f>
        <v/>
      </c>
      <c r="U221" s="79">
        <f>IF(T221="","","Decide on change order "&amp;B221&amp;": "&amp;H221&amp;" (+"&amp;CurSym&amp;" "&amp;FIXED(IF(J221="",0,J221),0)&amp;")")</f>
        <v/>
      </c>
    </row>
    <row r="222" ht="24" customHeight="1">
      <c r="B222" s="74" t="n"/>
      <c r="C222" s="109" t="n"/>
      <c r="D222" s="72" t="n"/>
      <c r="E222" s="72" t="n"/>
      <c r="F222" s="72" t="n"/>
      <c r="G222" s="72" t="n"/>
      <c r="H222" s="113" t="n"/>
      <c r="I222" s="72" t="n"/>
      <c r="J222" s="73" t="n"/>
      <c r="K222" s="89" t="n"/>
      <c r="L222" s="74" t="n"/>
      <c r="M222" s="109" t="n"/>
      <c r="N222" s="68">
        <f>IF(AND(H222="",J222=""),"",ForecastTotal+IF(L222="Approved",0,IF(J222="",0,J222)))</f>
        <v/>
      </c>
      <c r="O222" s="75">
        <f>IF(N222="","",ContAmt-MAX(0,N222-WorkBudget))</f>
        <v/>
      </c>
      <c r="P222" s="120">
        <f>IF(OR(N222="",ForecastEnd=""),"",ForecastEnd+IF(L222="Approved",0,IF(K222="",0,K222)))</f>
        <v/>
      </c>
      <c r="Q222" s="121">
        <f>IF(OR(N222="",WorkBudget=0),"",N222/WorkBudget-1)</f>
        <v/>
      </c>
      <c r="R222" s="79">
        <f>IF(N222="","",IF(N222&lt;=WorkBudget,0,IF(N222&lt;=TotalBudget,1,2)))</f>
        <v/>
      </c>
      <c r="S222" s="112">
        <f>IF(AND(OR(H222&lt;&gt;"",J222&lt;&gt;""),OR(L222="Pending",L222=""),C222&lt;&gt;""),C222+3,"")</f>
        <v/>
      </c>
      <c r="T222" s="79">
        <f>IF(S222="","",IF(AsOf&gt;S222,1,2))</f>
        <v/>
      </c>
      <c r="U222" s="79">
        <f>IF(T222="","","Decide on change order "&amp;B222&amp;": "&amp;H222&amp;" (+"&amp;CurSym&amp;" "&amp;FIXED(IF(J222="",0,J222),0)&amp;")")</f>
        <v/>
      </c>
    </row>
    <row r="223" ht="24" customHeight="1">
      <c r="B223" s="74" t="n"/>
      <c r="C223" s="109" t="n"/>
      <c r="D223" s="72" t="n"/>
      <c r="E223" s="72" t="n"/>
      <c r="F223" s="72" t="n"/>
      <c r="G223" s="72" t="n"/>
      <c r="H223" s="113" t="n"/>
      <c r="I223" s="72" t="n"/>
      <c r="J223" s="73" t="n"/>
      <c r="K223" s="89" t="n"/>
      <c r="L223" s="74" t="n"/>
      <c r="M223" s="109" t="n"/>
      <c r="N223" s="68">
        <f>IF(AND(H223="",J223=""),"",ForecastTotal+IF(L223="Approved",0,IF(J223="",0,J223)))</f>
        <v/>
      </c>
      <c r="O223" s="75">
        <f>IF(N223="","",ContAmt-MAX(0,N223-WorkBudget))</f>
        <v/>
      </c>
      <c r="P223" s="120">
        <f>IF(OR(N223="",ForecastEnd=""),"",ForecastEnd+IF(L223="Approved",0,IF(K223="",0,K223)))</f>
        <v/>
      </c>
      <c r="Q223" s="121">
        <f>IF(OR(N223="",WorkBudget=0),"",N223/WorkBudget-1)</f>
        <v/>
      </c>
      <c r="R223" s="79">
        <f>IF(N223="","",IF(N223&lt;=WorkBudget,0,IF(N223&lt;=TotalBudget,1,2)))</f>
        <v/>
      </c>
      <c r="S223" s="112">
        <f>IF(AND(OR(H223&lt;&gt;"",J223&lt;&gt;""),OR(L223="Pending",L223=""),C223&lt;&gt;""),C223+3,"")</f>
        <v/>
      </c>
      <c r="T223" s="79">
        <f>IF(S223="","",IF(AsOf&gt;S223,1,2))</f>
        <v/>
      </c>
      <c r="U223" s="79">
        <f>IF(T223="","","Decide on change order "&amp;B223&amp;": "&amp;H223&amp;" (+"&amp;CurSym&amp;" "&amp;FIXED(IF(J223="",0,J223),0)&amp;")")</f>
        <v/>
      </c>
    </row>
    <row r="224" ht="24" customHeight="1">
      <c r="B224" s="74" t="n"/>
      <c r="C224" s="109" t="n"/>
      <c r="D224" s="72" t="n"/>
      <c r="E224" s="72" t="n"/>
      <c r="F224" s="72" t="n"/>
      <c r="G224" s="72" t="n"/>
      <c r="H224" s="113" t="n"/>
      <c r="I224" s="72" t="n"/>
      <c r="J224" s="73" t="n"/>
      <c r="K224" s="89" t="n"/>
      <c r="L224" s="74" t="n"/>
      <c r="M224" s="109" t="n"/>
      <c r="N224" s="68">
        <f>IF(AND(H224="",J224=""),"",ForecastTotal+IF(L224="Approved",0,IF(J224="",0,J224)))</f>
        <v/>
      </c>
      <c r="O224" s="75">
        <f>IF(N224="","",ContAmt-MAX(0,N224-WorkBudget))</f>
        <v/>
      </c>
      <c r="P224" s="120">
        <f>IF(OR(N224="",ForecastEnd=""),"",ForecastEnd+IF(L224="Approved",0,IF(K224="",0,K224)))</f>
        <v/>
      </c>
      <c r="Q224" s="121">
        <f>IF(OR(N224="",WorkBudget=0),"",N224/WorkBudget-1)</f>
        <v/>
      </c>
      <c r="R224" s="79">
        <f>IF(N224="","",IF(N224&lt;=WorkBudget,0,IF(N224&lt;=TotalBudget,1,2)))</f>
        <v/>
      </c>
      <c r="S224" s="112">
        <f>IF(AND(OR(H224&lt;&gt;"",J224&lt;&gt;""),OR(L224="Pending",L224=""),C224&lt;&gt;""),C224+3,"")</f>
        <v/>
      </c>
      <c r="T224" s="79">
        <f>IF(S224="","",IF(AsOf&gt;S224,1,2))</f>
        <v/>
      </c>
      <c r="U224" s="79">
        <f>IF(T224="","","Decide on change order "&amp;B224&amp;": "&amp;H224&amp;" (+"&amp;CurSym&amp;" "&amp;FIXED(IF(J224="",0,J224),0)&amp;")")</f>
        <v/>
      </c>
    </row>
    <row r="225" ht="24" customHeight="1">
      <c r="B225" s="74" t="n"/>
      <c r="C225" s="109" t="n"/>
      <c r="D225" s="72" t="n"/>
      <c r="E225" s="72" t="n"/>
      <c r="F225" s="72" t="n"/>
      <c r="G225" s="72" t="n"/>
      <c r="H225" s="113" t="n"/>
      <c r="I225" s="72" t="n"/>
      <c r="J225" s="73" t="n"/>
      <c r="K225" s="89" t="n"/>
      <c r="L225" s="74" t="n"/>
      <c r="M225" s="109" t="n"/>
      <c r="N225" s="68">
        <f>IF(AND(H225="",J225=""),"",ForecastTotal+IF(L225="Approved",0,IF(J225="",0,J225)))</f>
        <v/>
      </c>
      <c r="O225" s="75">
        <f>IF(N225="","",ContAmt-MAX(0,N225-WorkBudget))</f>
        <v/>
      </c>
      <c r="P225" s="120">
        <f>IF(OR(N225="",ForecastEnd=""),"",ForecastEnd+IF(L225="Approved",0,IF(K225="",0,K225)))</f>
        <v/>
      </c>
      <c r="Q225" s="121">
        <f>IF(OR(N225="",WorkBudget=0),"",N225/WorkBudget-1)</f>
        <v/>
      </c>
      <c r="R225" s="79">
        <f>IF(N225="","",IF(N225&lt;=WorkBudget,0,IF(N225&lt;=TotalBudget,1,2)))</f>
        <v/>
      </c>
      <c r="S225" s="112">
        <f>IF(AND(OR(H225&lt;&gt;"",J225&lt;&gt;""),OR(L225="Pending",L225=""),C225&lt;&gt;""),C225+3,"")</f>
        <v/>
      </c>
      <c r="T225" s="79">
        <f>IF(S225="","",IF(AsOf&gt;S225,1,2))</f>
        <v/>
      </c>
      <c r="U225" s="79">
        <f>IF(T225="","","Decide on change order "&amp;B225&amp;": "&amp;H225&amp;" (+"&amp;CurSym&amp;" "&amp;FIXED(IF(J225="",0,J225),0)&amp;")")</f>
        <v/>
      </c>
    </row>
    <row r="226" ht="24" customHeight="1">
      <c r="B226" s="74" t="n"/>
      <c r="C226" s="109" t="n"/>
      <c r="D226" s="72" t="n"/>
      <c r="E226" s="72" t="n"/>
      <c r="F226" s="72" t="n"/>
      <c r="G226" s="72" t="n"/>
      <c r="H226" s="113" t="n"/>
      <c r="I226" s="72" t="n"/>
      <c r="J226" s="73" t="n"/>
      <c r="K226" s="89" t="n"/>
      <c r="L226" s="74" t="n"/>
      <c r="M226" s="109" t="n"/>
      <c r="N226" s="68">
        <f>IF(AND(H226="",J226=""),"",ForecastTotal+IF(L226="Approved",0,IF(J226="",0,J226)))</f>
        <v/>
      </c>
      <c r="O226" s="75">
        <f>IF(N226="","",ContAmt-MAX(0,N226-WorkBudget))</f>
        <v/>
      </c>
      <c r="P226" s="120">
        <f>IF(OR(N226="",ForecastEnd=""),"",ForecastEnd+IF(L226="Approved",0,IF(K226="",0,K226)))</f>
        <v/>
      </c>
      <c r="Q226" s="121">
        <f>IF(OR(N226="",WorkBudget=0),"",N226/WorkBudget-1)</f>
        <v/>
      </c>
      <c r="R226" s="79">
        <f>IF(N226="","",IF(N226&lt;=WorkBudget,0,IF(N226&lt;=TotalBudget,1,2)))</f>
        <v/>
      </c>
      <c r="S226" s="112">
        <f>IF(AND(OR(H226&lt;&gt;"",J226&lt;&gt;""),OR(L226="Pending",L226=""),C226&lt;&gt;""),C226+3,"")</f>
        <v/>
      </c>
      <c r="T226" s="79">
        <f>IF(S226="","",IF(AsOf&gt;S226,1,2))</f>
        <v/>
      </c>
      <c r="U226" s="79">
        <f>IF(T226="","","Decide on change order "&amp;B226&amp;": "&amp;H226&amp;" (+"&amp;CurSym&amp;" "&amp;FIXED(IF(J226="",0,J226),0)&amp;")")</f>
        <v/>
      </c>
    </row>
    <row r="227" ht="24" customHeight="1">
      <c r="B227" s="74" t="n"/>
      <c r="C227" s="109" t="n"/>
      <c r="D227" s="72" t="n"/>
      <c r="E227" s="72" t="n"/>
      <c r="F227" s="72" t="n"/>
      <c r="G227" s="72" t="n"/>
      <c r="H227" s="113" t="n"/>
      <c r="I227" s="72" t="n"/>
      <c r="J227" s="73" t="n"/>
      <c r="K227" s="89" t="n"/>
      <c r="L227" s="74" t="n"/>
      <c r="M227" s="109" t="n"/>
      <c r="N227" s="68">
        <f>IF(AND(H227="",J227=""),"",ForecastTotal+IF(L227="Approved",0,IF(J227="",0,J227)))</f>
        <v/>
      </c>
      <c r="O227" s="75">
        <f>IF(N227="","",ContAmt-MAX(0,N227-WorkBudget))</f>
        <v/>
      </c>
      <c r="P227" s="120">
        <f>IF(OR(N227="",ForecastEnd=""),"",ForecastEnd+IF(L227="Approved",0,IF(K227="",0,K227)))</f>
        <v/>
      </c>
      <c r="Q227" s="121">
        <f>IF(OR(N227="",WorkBudget=0),"",N227/WorkBudget-1)</f>
        <v/>
      </c>
      <c r="R227" s="79">
        <f>IF(N227="","",IF(N227&lt;=WorkBudget,0,IF(N227&lt;=TotalBudget,1,2)))</f>
        <v/>
      </c>
      <c r="S227" s="112">
        <f>IF(AND(OR(H227&lt;&gt;"",J227&lt;&gt;""),OR(L227="Pending",L227=""),C227&lt;&gt;""),C227+3,"")</f>
        <v/>
      </c>
      <c r="T227" s="79">
        <f>IF(S227="","",IF(AsOf&gt;S227,1,2))</f>
        <v/>
      </c>
      <c r="U227" s="79">
        <f>IF(T227="","","Decide on change order "&amp;B227&amp;": "&amp;H227&amp;" (+"&amp;CurSym&amp;" "&amp;FIXED(IF(J227="",0,J227),0)&amp;")")</f>
        <v/>
      </c>
    </row>
    <row r="228" ht="24" customHeight="1">
      <c r="B228" s="74" t="n"/>
      <c r="C228" s="109" t="n"/>
      <c r="D228" s="72" t="n"/>
      <c r="E228" s="72" t="n"/>
      <c r="F228" s="72" t="n"/>
      <c r="G228" s="72" t="n"/>
      <c r="H228" s="113" t="n"/>
      <c r="I228" s="72" t="n"/>
      <c r="J228" s="73" t="n"/>
      <c r="K228" s="89" t="n"/>
      <c r="L228" s="74" t="n"/>
      <c r="M228" s="109" t="n"/>
      <c r="N228" s="68">
        <f>IF(AND(H228="",J228=""),"",ForecastTotal+IF(L228="Approved",0,IF(J228="",0,J228)))</f>
        <v/>
      </c>
      <c r="O228" s="75">
        <f>IF(N228="","",ContAmt-MAX(0,N228-WorkBudget))</f>
        <v/>
      </c>
      <c r="P228" s="120">
        <f>IF(OR(N228="",ForecastEnd=""),"",ForecastEnd+IF(L228="Approved",0,IF(K228="",0,K228)))</f>
        <v/>
      </c>
      <c r="Q228" s="121">
        <f>IF(OR(N228="",WorkBudget=0),"",N228/WorkBudget-1)</f>
        <v/>
      </c>
      <c r="R228" s="79">
        <f>IF(N228="","",IF(N228&lt;=WorkBudget,0,IF(N228&lt;=TotalBudget,1,2)))</f>
        <v/>
      </c>
      <c r="S228" s="112">
        <f>IF(AND(OR(H228&lt;&gt;"",J228&lt;&gt;""),OR(L228="Pending",L228=""),C228&lt;&gt;""),C228+3,"")</f>
        <v/>
      </c>
      <c r="T228" s="79">
        <f>IF(S228="","",IF(AsOf&gt;S228,1,2))</f>
        <v/>
      </c>
      <c r="U228" s="79">
        <f>IF(T228="","","Decide on change order "&amp;B228&amp;": "&amp;H228&amp;" (+"&amp;CurSym&amp;" "&amp;FIXED(IF(J228="",0,J228),0)&amp;")")</f>
        <v/>
      </c>
    </row>
    <row r="229" ht="24" customHeight="1">
      <c r="B229" s="74" t="n"/>
      <c r="C229" s="109" t="n"/>
      <c r="D229" s="72" t="n"/>
      <c r="E229" s="72" t="n"/>
      <c r="F229" s="72" t="n"/>
      <c r="G229" s="72" t="n"/>
      <c r="H229" s="113" t="n"/>
      <c r="I229" s="72" t="n"/>
      <c r="J229" s="73" t="n"/>
      <c r="K229" s="89" t="n"/>
      <c r="L229" s="74" t="n"/>
      <c r="M229" s="109" t="n"/>
      <c r="N229" s="68">
        <f>IF(AND(H229="",J229=""),"",ForecastTotal+IF(L229="Approved",0,IF(J229="",0,J229)))</f>
        <v/>
      </c>
      <c r="O229" s="75">
        <f>IF(N229="","",ContAmt-MAX(0,N229-WorkBudget))</f>
        <v/>
      </c>
      <c r="P229" s="120">
        <f>IF(OR(N229="",ForecastEnd=""),"",ForecastEnd+IF(L229="Approved",0,IF(K229="",0,K229)))</f>
        <v/>
      </c>
      <c r="Q229" s="121">
        <f>IF(OR(N229="",WorkBudget=0),"",N229/WorkBudget-1)</f>
        <v/>
      </c>
      <c r="R229" s="79">
        <f>IF(N229="","",IF(N229&lt;=WorkBudget,0,IF(N229&lt;=TotalBudget,1,2)))</f>
        <v/>
      </c>
      <c r="S229" s="112">
        <f>IF(AND(OR(H229&lt;&gt;"",J229&lt;&gt;""),OR(L229="Pending",L229=""),C229&lt;&gt;""),C229+3,"")</f>
        <v/>
      </c>
      <c r="T229" s="79">
        <f>IF(S229="","",IF(AsOf&gt;S229,1,2))</f>
        <v/>
      </c>
      <c r="U229" s="79">
        <f>IF(T229="","","Decide on change order "&amp;B229&amp;": "&amp;H229&amp;" (+"&amp;CurSym&amp;" "&amp;FIXED(IF(J229="",0,J229),0)&amp;")")</f>
        <v/>
      </c>
    </row>
    <row r="230" ht="24" customHeight="1">
      <c r="B230" s="74" t="n"/>
      <c r="C230" s="109" t="n"/>
      <c r="D230" s="72" t="n"/>
      <c r="E230" s="72" t="n"/>
      <c r="F230" s="72" t="n"/>
      <c r="G230" s="72" t="n"/>
      <c r="H230" s="113" t="n"/>
      <c r="I230" s="72" t="n"/>
      <c r="J230" s="73" t="n"/>
      <c r="K230" s="89" t="n"/>
      <c r="L230" s="74" t="n"/>
      <c r="M230" s="109" t="n"/>
      <c r="N230" s="68">
        <f>IF(AND(H230="",J230=""),"",ForecastTotal+IF(L230="Approved",0,IF(J230="",0,J230)))</f>
        <v/>
      </c>
      <c r="O230" s="75">
        <f>IF(N230="","",ContAmt-MAX(0,N230-WorkBudget))</f>
        <v/>
      </c>
      <c r="P230" s="120">
        <f>IF(OR(N230="",ForecastEnd=""),"",ForecastEnd+IF(L230="Approved",0,IF(K230="",0,K230)))</f>
        <v/>
      </c>
      <c r="Q230" s="121">
        <f>IF(OR(N230="",WorkBudget=0),"",N230/WorkBudget-1)</f>
        <v/>
      </c>
      <c r="R230" s="79">
        <f>IF(N230="","",IF(N230&lt;=WorkBudget,0,IF(N230&lt;=TotalBudget,1,2)))</f>
        <v/>
      </c>
      <c r="S230" s="112">
        <f>IF(AND(OR(H230&lt;&gt;"",J230&lt;&gt;""),OR(L230="Pending",L230=""),C230&lt;&gt;""),C230+3,"")</f>
        <v/>
      </c>
      <c r="T230" s="79">
        <f>IF(S230="","",IF(AsOf&gt;S230,1,2))</f>
        <v/>
      </c>
      <c r="U230" s="79">
        <f>IF(T230="","","Decide on change order "&amp;B230&amp;": "&amp;H230&amp;" (+"&amp;CurSym&amp;" "&amp;FIXED(IF(J230="",0,J230),0)&amp;")")</f>
        <v/>
      </c>
    </row>
    <row r="231" ht="24" customHeight="1">
      <c r="B231" s="74" t="n"/>
      <c r="C231" s="109" t="n"/>
      <c r="D231" s="72" t="n"/>
      <c r="E231" s="72" t="n"/>
      <c r="F231" s="72" t="n"/>
      <c r="G231" s="72" t="n"/>
      <c r="H231" s="113" t="n"/>
      <c r="I231" s="72" t="n"/>
      <c r="J231" s="73" t="n"/>
      <c r="K231" s="89" t="n"/>
      <c r="L231" s="74" t="n"/>
      <c r="M231" s="109" t="n"/>
      <c r="N231" s="68">
        <f>IF(AND(H231="",J231=""),"",ForecastTotal+IF(L231="Approved",0,IF(J231="",0,J231)))</f>
        <v/>
      </c>
      <c r="O231" s="75">
        <f>IF(N231="","",ContAmt-MAX(0,N231-WorkBudget))</f>
        <v/>
      </c>
      <c r="P231" s="120">
        <f>IF(OR(N231="",ForecastEnd=""),"",ForecastEnd+IF(L231="Approved",0,IF(K231="",0,K231)))</f>
        <v/>
      </c>
      <c r="Q231" s="121">
        <f>IF(OR(N231="",WorkBudget=0),"",N231/WorkBudget-1)</f>
        <v/>
      </c>
      <c r="R231" s="79">
        <f>IF(N231="","",IF(N231&lt;=WorkBudget,0,IF(N231&lt;=TotalBudget,1,2)))</f>
        <v/>
      </c>
      <c r="S231" s="112">
        <f>IF(AND(OR(H231&lt;&gt;"",J231&lt;&gt;""),OR(L231="Pending",L231=""),C231&lt;&gt;""),C231+3,"")</f>
        <v/>
      </c>
      <c r="T231" s="79">
        <f>IF(S231="","",IF(AsOf&gt;S231,1,2))</f>
        <v/>
      </c>
      <c r="U231" s="79">
        <f>IF(T231="","","Decide on change order "&amp;B231&amp;": "&amp;H231&amp;" (+"&amp;CurSym&amp;" "&amp;FIXED(IF(J231="",0,J231),0)&amp;")")</f>
        <v/>
      </c>
    </row>
    <row r="232" ht="24" customHeight="1">
      <c r="B232" s="74" t="n"/>
      <c r="C232" s="109" t="n"/>
      <c r="D232" s="72" t="n"/>
      <c r="E232" s="72" t="n"/>
      <c r="F232" s="72" t="n"/>
      <c r="G232" s="72" t="n"/>
      <c r="H232" s="113" t="n"/>
      <c r="I232" s="72" t="n"/>
      <c r="J232" s="73" t="n"/>
      <c r="K232" s="89" t="n"/>
      <c r="L232" s="74" t="n"/>
      <c r="M232" s="109" t="n"/>
      <c r="N232" s="68">
        <f>IF(AND(H232="",J232=""),"",ForecastTotal+IF(L232="Approved",0,IF(J232="",0,J232)))</f>
        <v/>
      </c>
      <c r="O232" s="75">
        <f>IF(N232="","",ContAmt-MAX(0,N232-WorkBudget))</f>
        <v/>
      </c>
      <c r="P232" s="120">
        <f>IF(OR(N232="",ForecastEnd=""),"",ForecastEnd+IF(L232="Approved",0,IF(K232="",0,K232)))</f>
        <v/>
      </c>
      <c r="Q232" s="121">
        <f>IF(OR(N232="",WorkBudget=0),"",N232/WorkBudget-1)</f>
        <v/>
      </c>
      <c r="R232" s="79">
        <f>IF(N232="","",IF(N232&lt;=WorkBudget,0,IF(N232&lt;=TotalBudget,1,2)))</f>
        <v/>
      </c>
      <c r="S232" s="112">
        <f>IF(AND(OR(H232&lt;&gt;"",J232&lt;&gt;""),OR(L232="Pending",L232=""),C232&lt;&gt;""),C232+3,"")</f>
        <v/>
      </c>
      <c r="T232" s="79">
        <f>IF(S232="","",IF(AsOf&gt;S232,1,2))</f>
        <v/>
      </c>
      <c r="U232" s="79">
        <f>IF(T232="","","Decide on change order "&amp;B232&amp;": "&amp;H232&amp;" (+"&amp;CurSym&amp;" "&amp;FIXED(IF(J232="",0,J232),0)&amp;")")</f>
        <v/>
      </c>
    </row>
    <row r="233" ht="24" customHeight="1">
      <c r="B233" s="74" t="n"/>
      <c r="C233" s="109" t="n"/>
      <c r="D233" s="72" t="n"/>
      <c r="E233" s="72" t="n"/>
      <c r="F233" s="72" t="n"/>
      <c r="G233" s="72" t="n"/>
      <c r="H233" s="113" t="n"/>
      <c r="I233" s="72" t="n"/>
      <c r="J233" s="73" t="n"/>
      <c r="K233" s="89" t="n"/>
      <c r="L233" s="74" t="n"/>
      <c r="M233" s="109" t="n"/>
      <c r="N233" s="68">
        <f>IF(AND(H233="",J233=""),"",ForecastTotal+IF(L233="Approved",0,IF(J233="",0,J233)))</f>
        <v/>
      </c>
      <c r="O233" s="75">
        <f>IF(N233="","",ContAmt-MAX(0,N233-WorkBudget))</f>
        <v/>
      </c>
      <c r="P233" s="120">
        <f>IF(OR(N233="",ForecastEnd=""),"",ForecastEnd+IF(L233="Approved",0,IF(K233="",0,K233)))</f>
        <v/>
      </c>
      <c r="Q233" s="121">
        <f>IF(OR(N233="",WorkBudget=0),"",N233/WorkBudget-1)</f>
        <v/>
      </c>
      <c r="R233" s="79">
        <f>IF(N233="","",IF(N233&lt;=WorkBudget,0,IF(N233&lt;=TotalBudget,1,2)))</f>
        <v/>
      </c>
      <c r="S233" s="112">
        <f>IF(AND(OR(H233&lt;&gt;"",J233&lt;&gt;""),OR(L233="Pending",L233=""),C233&lt;&gt;""),C233+3,"")</f>
        <v/>
      </c>
      <c r="T233" s="79">
        <f>IF(S233="","",IF(AsOf&gt;S233,1,2))</f>
        <v/>
      </c>
      <c r="U233" s="79">
        <f>IF(T233="","","Decide on change order "&amp;B233&amp;": "&amp;H233&amp;" (+"&amp;CurSym&amp;" "&amp;FIXED(IF(J233="",0,J233),0)&amp;")")</f>
        <v/>
      </c>
    </row>
    <row r="234" ht="24" customHeight="1">
      <c r="B234" s="74" t="n"/>
      <c r="C234" s="109" t="n"/>
      <c r="D234" s="72" t="n"/>
      <c r="E234" s="72" t="n"/>
      <c r="F234" s="72" t="n"/>
      <c r="G234" s="72" t="n"/>
      <c r="H234" s="113" t="n"/>
      <c r="I234" s="72" t="n"/>
      <c r="J234" s="73" t="n"/>
      <c r="K234" s="89" t="n"/>
      <c r="L234" s="74" t="n"/>
      <c r="M234" s="109" t="n"/>
      <c r="N234" s="68">
        <f>IF(AND(H234="",J234=""),"",ForecastTotal+IF(L234="Approved",0,IF(J234="",0,J234)))</f>
        <v/>
      </c>
      <c r="O234" s="75">
        <f>IF(N234="","",ContAmt-MAX(0,N234-WorkBudget))</f>
        <v/>
      </c>
      <c r="P234" s="120">
        <f>IF(OR(N234="",ForecastEnd=""),"",ForecastEnd+IF(L234="Approved",0,IF(K234="",0,K234)))</f>
        <v/>
      </c>
      <c r="Q234" s="121">
        <f>IF(OR(N234="",WorkBudget=0),"",N234/WorkBudget-1)</f>
        <v/>
      </c>
      <c r="R234" s="79">
        <f>IF(N234="","",IF(N234&lt;=WorkBudget,0,IF(N234&lt;=TotalBudget,1,2)))</f>
        <v/>
      </c>
      <c r="S234" s="112">
        <f>IF(AND(OR(H234&lt;&gt;"",J234&lt;&gt;""),OR(L234="Pending",L234=""),C234&lt;&gt;""),C234+3,"")</f>
        <v/>
      </c>
      <c r="T234" s="79">
        <f>IF(S234="","",IF(AsOf&gt;S234,1,2))</f>
        <v/>
      </c>
      <c r="U234" s="79">
        <f>IF(T234="","","Decide on change order "&amp;B234&amp;": "&amp;H234&amp;" (+"&amp;CurSym&amp;" "&amp;FIXED(IF(J234="",0,J234),0)&amp;")")</f>
        <v/>
      </c>
    </row>
    <row r="235" ht="24" customHeight="1">
      <c r="B235" s="74" t="n"/>
      <c r="C235" s="109" t="n"/>
      <c r="D235" s="72" t="n"/>
      <c r="E235" s="72" t="n"/>
      <c r="F235" s="72" t="n"/>
      <c r="G235" s="72" t="n"/>
      <c r="H235" s="113" t="n"/>
      <c r="I235" s="72" t="n"/>
      <c r="J235" s="73" t="n"/>
      <c r="K235" s="89" t="n"/>
      <c r="L235" s="74" t="n"/>
      <c r="M235" s="109" t="n"/>
      <c r="N235" s="68">
        <f>IF(AND(H235="",J235=""),"",ForecastTotal+IF(L235="Approved",0,IF(J235="",0,J235)))</f>
        <v/>
      </c>
      <c r="O235" s="75">
        <f>IF(N235="","",ContAmt-MAX(0,N235-WorkBudget))</f>
        <v/>
      </c>
      <c r="P235" s="120">
        <f>IF(OR(N235="",ForecastEnd=""),"",ForecastEnd+IF(L235="Approved",0,IF(K235="",0,K235)))</f>
        <v/>
      </c>
      <c r="Q235" s="121">
        <f>IF(OR(N235="",WorkBudget=0),"",N235/WorkBudget-1)</f>
        <v/>
      </c>
      <c r="R235" s="79">
        <f>IF(N235="","",IF(N235&lt;=WorkBudget,0,IF(N235&lt;=TotalBudget,1,2)))</f>
        <v/>
      </c>
      <c r="S235" s="112">
        <f>IF(AND(OR(H235&lt;&gt;"",J235&lt;&gt;""),OR(L235="Pending",L235=""),C235&lt;&gt;""),C235+3,"")</f>
        <v/>
      </c>
      <c r="T235" s="79">
        <f>IF(S235="","",IF(AsOf&gt;S235,1,2))</f>
        <v/>
      </c>
      <c r="U235" s="79">
        <f>IF(T235="","","Decide on change order "&amp;B235&amp;": "&amp;H235&amp;" (+"&amp;CurSym&amp;" "&amp;FIXED(IF(J235="",0,J235),0)&amp;")")</f>
        <v/>
      </c>
    </row>
    <row r="236" ht="24" customHeight="1">
      <c r="B236" s="74" t="n"/>
      <c r="C236" s="109" t="n"/>
      <c r="D236" s="72" t="n"/>
      <c r="E236" s="72" t="n"/>
      <c r="F236" s="72" t="n"/>
      <c r="G236" s="72" t="n"/>
      <c r="H236" s="113" t="n"/>
      <c r="I236" s="72" t="n"/>
      <c r="J236" s="73" t="n"/>
      <c r="K236" s="89" t="n"/>
      <c r="L236" s="74" t="n"/>
      <c r="M236" s="109" t="n"/>
      <c r="N236" s="68">
        <f>IF(AND(H236="",J236=""),"",ForecastTotal+IF(L236="Approved",0,IF(J236="",0,J236)))</f>
        <v/>
      </c>
      <c r="O236" s="75">
        <f>IF(N236="","",ContAmt-MAX(0,N236-WorkBudget))</f>
        <v/>
      </c>
      <c r="P236" s="120">
        <f>IF(OR(N236="",ForecastEnd=""),"",ForecastEnd+IF(L236="Approved",0,IF(K236="",0,K236)))</f>
        <v/>
      </c>
      <c r="Q236" s="121">
        <f>IF(OR(N236="",WorkBudget=0),"",N236/WorkBudget-1)</f>
        <v/>
      </c>
      <c r="R236" s="79">
        <f>IF(N236="","",IF(N236&lt;=WorkBudget,0,IF(N236&lt;=TotalBudget,1,2)))</f>
        <v/>
      </c>
      <c r="S236" s="112">
        <f>IF(AND(OR(H236&lt;&gt;"",J236&lt;&gt;""),OR(L236="Pending",L236=""),C236&lt;&gt;""),C236+3,"")</f>
        <v/>
      </c>
      <c r="T236" s="79">
        <f>IF(S236="","",IF(AsOf&gt;S236,1,2))</f>
        <v/>
      </c>
      <c r="U236" s="79">
        <f>IF(T236="","","Decide on change order "&amp;B236&amp;": "&amp;H236&amp;" (+"&amp;CurSym&amp;" "&amp;FIXED(IF(J236="",0,J236),0)&amp;")")</f>
        <v/>
      </c>
    </row>
    <row r="237" ht="24" customHeight="1">
      <c r="B237" s="74" t="n"/>
      <c r="C237" s="109" t="n"/>
      <c r="D237" s="72" t="n"/>
      <c r="E237" s="72" t="n"/>
      <c r="F237" s="72" t="n"/>
      <c r="G237" s="72" t="n"/>
      <c r="H237" s="113" t="n"/>
      <c r="I237" s="72" t="n"/>
      <c r="J237" s="73" t="n"/>
      <c r="K237" s="89" t="n"/>
      <c r="L237" s="74" t="n"/>
      <c r="M237" s="109" t="n"/>
      <c r="N237" s="68">
        <f>IF(AND(H237="",J237=""),"",ForecastTotal+IF(L237="Approved",0,IF(J237="",0,J237)))</f>
        <v/>
      </c>
      <c r="O237" s="75">
        <f>IF(N237="","",ContAmt-MAX(0,N237-WorkBudget))</f>
        <v/>
      </c>
      <c r="P237" s="120">
        <f>IF(OR(N237="",ForecastEnd=""),"",ForecastEnd+IF(L237="Approved",0,IF(K237="",0,K237)))</f>
        <v/>
      </c>
      <c r="Q237" s="121">
        <f>IF(OR(N237="",WorkBudget=0),"",N237/WorkBudget-1)</f>
        <v/>
      </c>
      <c r="R237" s="79">
        <f>IF(N237="","",IF(N237&lt;=WorkBudget,0,IF(N237&lt;=TotalBudget,1,2)))</f>
        <v/>
      </c>
      <c r="S237" s="112">
        <f>IF(AND(OR(H237&lt;&gt;"",J237&lt;&gt;""),OR(L237="Pending",L237=""),C237&lt;&gt;""),C237+3,"")</f>
        <v/>
      </c>
      <c r="T237" s="79">
        <f>IF(S237="","",IF(AsOf&gt;S237,1,2))</f>
        <v/>
      </c>
      <c r="U237" s="79">
        <f>IF(T237="","","Decide on change order "&amp;B237&amp;": "&amp;H237&amp;" (+"&amp;CurSym&amp;" "&amp;FIXED(IF(J237="",0,J237),0)&amp;")")</f>
        <v/>
      </c>
    </row>
    <row r="238" ht="24" customHeight="1">
      <c r="B238" s="74" t="n"/>
      <c r="C238" s="109" t="n"/>
      <c r="D238" s="72" t="n"/>
      <c r="E238" s="72" t="n"/>
      <c r="F238" s="72" t="n"/>
      <c r="G238" s="72" t="n"/>
      <c r="H238" s="113" t="n"/>
      <c r="I238" s="72" t="n"/>
      <c r="J238" s="73" t="n"/>
      <c r="K238" s="89" t="n"/>
      <c r="L238" s="74" t="n"/>
      <c r="M238" s="109" t="n"/>
      <c r="N238" s="68">
        <f>IF(AND(H238="",J238=""),"",ForecastTotal+IF(L238="Approved",0,IF(J238="",0,J238)))</f>
        <v/>
      </c>
      <c r="O238" s="75">
        <f>IF(N238="","",ContAmt-MAX(0,N238-WorkBudget))</f>
        <v/>
      </c>
      <c r="P238" s="120">
        <f>IF(OR(N238="",ForecastEnd=""),"",ForecastEnd+IF(L238="Approved",0,IF(K238="",0,K238)))</f>
        <v/>
      </c>
      <c r="Q238" s="121">
        <f>IF(OR(N238="",WorkBudget=0),"",N238/WorkBudget-1)</f>
        <v/>
      </c>
      <c r="R238" s="79">
        <f>IF(N238="","",IF(N238&lt;=WorkBudget,0,IF(N238&lt;=TotalBudget,1,2)))</f>
        <v/>
      </c>
      <c r="S238" s="112">
        <f>IF(AND(OR(H238&lt;&gt;"",J238&lt;&gt;""),OR(L238="Pending",L238=""),C238&lt;&gt;""),C238+3,"")</f>
        <v/>
      </c>
      <c r="T238" s="79">
        <f>IF(S238="","",IF(AsOf&gt;S238,1,2))</f>
        <v/>
      </c>
      <c r="U238" s="79">
        <f>IF(T238="","","Decide on change order "&amp;B238&amp;": "&amp;H238&amp;" (+"&amp;CurSym&amp;" "&amp;FIXED(IF(J238="",0,J238),0)&amp;")")</f>
        <v/>
      </c>
    </row>
    <row r="239" ht="24" customHeight="1">
      <c r="B239" s="74" t="n"/>
      <c r="C239" s="109" t="n"/>
      <c r="D239" s="72" t="n"/>
      <c r="E239" s="72" t="n"/>
      <c r="F239" s="72" t="n"/>
      <c r="G239" s="72" t="n"/>
      <c r="H239" s="113" t="n"/>
      <c r="I239" s="72" t="n"/>
      <c r="J239" s="73" t="n"/>
      <c r="K239" s="89" t="n"/>
      <c r="L239" s="74" t="n"/>
      <c r="M239" s="109" t="n"/>
      <c r="N239" s="68">
        <f>IF(AND(H239="",J239=""),"",ForecastTotal+IF(L239="Approved",0,IF(J239="",0,J239)))</f>
        <v/>
      </c>
      <c r="O239" s="75">
        <f>IF(N239="","",ContAmt-MAX(0,N239-WorkBudget))</f>
        <v/>
      </c>
      <c r="P239" s="120">
        <f>IF(OR(N239="",ForecastEnd=""),"",ForecastEnd+IF(L239="Approved",0,IF(K239="",0,K239)))</f>
        <v/>
      </c>
      <c r="Q239" s="121">
        <f>IF(OR(N239="",WorkBudget=0),"",N239/WorkBudget-1)</f>
        <v/>
      </c>
      <c r="R239" s="79">
        <f>IF(N239="","",IF(N239&lt;=WorkBudget,0,IF(N239&lt;=TotalBudget,1,2)))</f>
        <v/>
      </c>
      <c r="S239" s="112">
        <f>IF(AND(OR(H239&lt;&gt;"",J239&lt;&gt;""),OR(L239="Pending",L239=""),C239&lt;&gt;""),C239+3,"")</f>
        <v/>
      </c>
      <c r="T239" s="79">
        <f>IF(S239="","",IF(AsOf&gt;S239,1,2))</f>
        <v/>
      </c>
      <c r="U239" s="79">
        <f>IF(T239="","","Decide on change order "&amp;B239&amp;": "&amp;H239&amp;" (+"&amp;CurSym&amp;" "&amp;FIXED(IF(J239="",0,J239),0)&amp;")")</f>
        <v/>
      </c>
    </row>
    <row r="240" ht="24" customHeight="1">
      <c r="B240" s="74" t="n"/>
      <c r="C240" s="109" t="n"/>
      <c r="D240" s="72" t="n"/>
      <c r="E240" s="72" t="n"/>
      <c r="F240" s="72" t="n"/>
      <c r="G240" s="72" t="n"/>
      <c r="H240" s="113" t="n"/>
      <c r="I240" s="72" t="n"/>
      <c r="J240" s="73" t="n"/>
      <c r="K240" s="89" t="n"/>
      <c r="L240" s="74" t="n"/>
      <c r="M240" s="109" t="n"/>
      <c r="N240" s="68">
        <f>IF(AND(H240="",J240=""),"",ForecastTotal+IF(L240="Approved",0,IF(J240="",0,J240)))</f>
        <v/>
      </c>
      <c r="O240" s="75">
        <f>IF(N240="","",ContAmt-MAX(0,N240-WorkBudget))</f>
        <v/>
      </c>
      <c r="P240" s="120">
        <f>IF(OR(N240="",ForecastEnd=""),"",ForecastEnd+IF(L240="Approved",0,IF(K240="",0,K240)))</f>
        <v/>
      </c>
      <c r="Q240" s="121">
        <f>IF(OR(N240="",WorkBudget=0),"",N240/WorkBudget-1)</f>
        <v/>
      </c>
      <c r="R240" s="79">
        <f>IF(N240="","",IF(N240&lt;=WorkBudget,0,IF(N240&lt;=TotalBudget,1,2)))</f>
        <v/>
      </c>
      <c r="S240" s="112">
        <f>IF(AND(OR(H240&lt;&gt;"",J240&lt;&gt;""),OR(L240="Pending",L240=""),C240&lt;&gt;""),C240+3,"")</f>
        <v/>
      </c>
      <c r="T240" s="79">
        <f>IF(S240="","",IF(AsOf&gt;S240,1,2))</f>
        <v/>
      </c>
      <c r="U240" s="79">
        <f>IF(T240="","","Decide on change order "&amp;B240&amp;": "&amp;H240&amp;" (+"&amp;CurSym&amp;" "&amp;FIXED(IF(J240="",0,J240),0)&amp;")")</f>
        <v/>
      </c>
    </row>
    <row r="241" ht="24" customHeight="1">
      <c r="B241" s="74" t="n"/>
      <c r="C241" s="109" t="n"/>
      <c r="D241" s="72" t="n"/>
      <c r="E241" s="72" t="n"/>
      <c r="F241" s="72" t="n"/>
      <c r="G241" s="72" t="n"/>
      <c r="H241" s="113" t="n"/>
      <c r="I241" s="72" t="n"/>
      <c r="J241" s="73" t="n"/>
      <c r="K241" s="89" t="n"/>
      <c r="L241" s="74" t="n"/>
      <c r="M241" s="109" t="n"/>
      <c r="N241" s="68">
        <f>IF(AND(H241="",J241=""),"",ForecastTotal+IF(L241="Approved",0,IF(J241="",0,J241)))</f>
        <v/>
      </c>
      <c r="O241" s="75">
        <f>IF(N241="","",ContAmt-MAX(0,N241-WorkBudget))</f>
        <v/>
      </c>
      <c r="P241" s="120">
        <f>IF(OR(N241="",ForecastEnd=""),"",ForecastEnd+IF(L241="Approved",0,IF(K241="",0,K241)))</f>
        <v/>
      </c>
      <c r="Q241" s="121">
        <f>IF(OR(N241="",WorkBudget=0),"",N241/WorkBudget-1)</f>
        <v/>
      </c>
      <c r="R241" s="79">
        <f>IF(N241="","",IF(N241&lt;=WorkBudget,0,IF(N241&lt;=TotalBudget,1,2)))</f>
        <v/>
      </c>
      <c r="S241" s="112">
        <f>IF(AND(OR(H241&lt;&gt;"",J241&lt;&gt;""),OR(L241="Pending",L241=""),C241&lt;&gt;""),C241+3,"")</f>
        <v/>
      </c>
      <c r="T241" s="79">
        <f>IF(S241="","",IF(AsOf&gt;S241,1,2))</f>
        <v/>
      </c>
      <c r="U241" s="79">
        <f>IF(T241="","","Decide on change order "&amp;B241&amp;": "&amp;H241&amp;" (+"&amp;CurSym&amp;" "&amp;FIXED(IF(J241="",0,J241),0)&amp;")")</f>
        <v/>
      </c>
    </row>
    <row r="242" ht="24" customHeight="1">
      <c r="B242" s="74" t="n"/>
      <c r="C242" s="109" t="n"/>
      <c r="D242" s="72" t="n"/>
      <c r="E242" s="72" t="n"/>
      <c r="F242" s="72" t="n"/>
      <c r="G242" s="72" t="n"/>
      <c r="H242" s="113" t="n"/>
      <c r="I242" s="72" t="n"/>
      <c r="J242" s="73" t="n"/>
      <c r="K242" s="89" t="n"/>
      <c r="L242" s="74" t="n"/>
      <c r="M242" s="109" t="n"/>
      <c r="N242" s="68">
        <f>IF(AND(H242="",J242=""),"",ForecastTotal+IF(L242="Approved",0,IF(J242="",0,J242)))</f>
        <v/>
      </c>
      <c r="O242" s="75">
        <f>IF(N242="","",ContAmt-MAX(0,N242-WorkBudget))</f>
        <v/>
      </c>
      <c r="P242" s="120">
        <f>IF(OR(N242="",ForecastEnd=""),"",ForecastEnd+IF(L242="Approved",0,IF(K242="",0,K242)))</f>
        <v/>
      </c>
      <c r="Q242" s="121">
        <f>IF(OR(N242="",WorkBudget=0),"",N242/WorkBudget-1)</f>
        <v/>
      </c>
      <c r="R242" s="79">
        <f>IF(N242="","",IF(N242&lt;=WorkBudget,0,IF(N242&lt;=TotalBudget,1,2)))</f>
        <v/>
      </c>
      <c r="S242" s="112">
        <f>IF(AND(OR(H242&lt;&gt;"",J242&lt;&gt;""),OR(L242="Pending",L242=""),C242&lt;&gt;""),C242+3,"")</f>
        <v/>
      </c>
      <c r="T242" s="79">
        <f>IF(S242="","",IF(AsOf&gt;S242,1,2))</f>
        <v/>
      </c>
      <c r="U242" s="79">
        <f>IF(T242="","","Decide on change order "&amp;B242&amp;": "&amp;H242&amp;" (+"&amp;CurSym&amp;" "&amp;FIXED(IF(J242="",0,J242),0)&amp;")")</f>
        <v/>
      </c>
    </row>
    <row r="243" ht="24" customHeight="1">
      <c r="B243" s="74" t="n"/>
      <c r="C243" s="109" t="n"/>
      <c r="D243" s="72" t="n"/>
      <c r="E243" s="72" t="n"/>
      <c r="F243" s="72" t="n"/>
      <c r="G243" s="72" t="n"/>
      <c r="H243" s="113" t="n"/>
      <c r="I243" s="72" t="n"/>
      <c r="J243" s="73" t="n"/>
      <c r="K243" s="89" t="n"/>
      <c r="L243" s="74" t="n"/>
      <c r="M243" s="109" t="n"/>
      <c r="N243" s="68">
        <f>IF(AND(H243="",J243=""),"",ForecastTotal+IF(L243="Approved",0,IF(J243="",0,J243)))</f>
        <v/>
      </c>
      <c r="O243" s="75">
        <f>IF(N243="","",ContAmt-MAX(0,N243-WorkBudget))</f>
        <v/>
      </c>
      <c r="P243" s="120">
        <f>IF(OR(N243="",ForecastEnd=""),"",ForecastEnd+IF(L243="Approved",0,IF(K243="",0,K243)))</f>
        <v/>
      </c>
      <c r="Q243" s="121">
        <f>IF(OR(N243="",WorkBudget=0),"",N243/WorkBudget-1)</f>
        <v/>
      </c>
      <c r="R243" s="79">
        <f>IF(N243="","",IF(N243&lt;=WorkBudget,0,IF(N243&lt;=TotalBudget,1,2)))</f>
        <v/>
      </c>
      <c r="S243" s="112">
        <f>IF(AND(OR(H243&lt;&gt;"",J243&lt;&gt;""),OR(L243="Pending",L243=""),C243&lt;&gt;""),C243+3,"")</f>
        <v/>
      </c>
      <c r="T243" s="79">
        <f>IF(S243="","",IF(AsOf&gt;S243,1,2))</f>
        <v/>
      </c>
      <c r="U243" s="79">
        <f>IF(T243="","","Decide on change order "&amp;B243&amp;": "&amp;H243&amp;" (+"&amp;CurSym&amp;" "&amp;FIXED(IF(J243="",0,J243),0)&amp;")")</f>
        <v/>
      </c>
    </row>
    <row r="244" ht="24" customHeight="1">
      <c r="B244" s="74" t="n"/>
      <c r="C244" s="109" t="n"/>
      <c r="D244" s="72" t="n"/>
      <c r="E244" s="72" t="n"/>
      <c r="F244" s="72" t="n"/>
      <c r="G244" s="72" t="n"/>
      <c r="H244" s="113" t="n"/>
      <c r="I244" s="72" t="n"/>
      <c r="J244" s="73" t="n"/>
      <c r="K244" s="89" t="n"/>
      <c r="L244" s="74" t="n"/>
      <c r="M244" s="109" t="n"/>
      <c r="N244" s="68">
        <f>IF(AND(H244="",J244=""),"",ForecastTotal+IF(L244="Approved",0,IF(J244="",0,J244)))</f>
        <v/>
      </c>
      <c r="O244" s="75">
        <f>IF(N244="","",ContAmt-MAX(0,N244-WorkBudget))</f>
        <v/>
      </c>
      <c r="P244" s="120">
        <f>IF(OR(N244="",ForecastEnd=""),"",ForecastEnd+IF(L244="Approved",0,IF(K244="",0,K244)))</f>
        <v/>
      </c>
      <c r="Q244" s="121">
        <f>IF(OR(N244="",WorkBudget=0),"",N244/WorkBudget-1)</f>
        <v/>
      </c>
      <c r="R244" s="79">
        <f>IF(N244="","",IF(N244&lt;=WorkBudget,0,IF(N244&lt;=TotalBudget,1,2)))</f>
        <v/>
      </c>
      <c r="S244" s="112">
        <f>IF(AND(OR(H244&lt;&gt;"",J244&lt;&gt;""),OR(L244="Pending",L244=""),C244&lt;&gt;""),C244+3,"")</f>
        <v/>
      </c>
      <c r="T244" s="79">
        <f>IF(S244="","",IF(AsOf&gt;S244,1,2))</f>
        <v/>
      </c>
      <c r="U244" s="79">
        <f>IF(T244="","","Decide on change order "&amp;B244&amp;": "&amp;H244&amp;" (+"&amp;CurSym&amp;" "&amp;FIXED(IF(J244="",0,J244),0)&amp;")")</f>
        <v/>
      </c>
    </row>
    <row r="245" ht="24" customHeight="1">
      <c r="B245" s="74" t="n"/>
      <c r="C245" s="109" t="n"/>
      <c r="D245" s="72" t="n"/>
      <c r="E245" s="72" t="n"/>
      <c r="F245" s="72" t="n"/>
      <c r="G245" s="72" t="n"/>
      <c r="H245" s="113" t="n"/>
      <c r="I245" s="72" t="n"/>
      <c r="J245" s="73" t="n"/>
      <c r="K245" s="89" t="n"/>
      <c r="L245" s="74" t="n"/>
      <c r="M245" s="109" t="n"/>
      <c r="N245" s="68">
        <f>IF(AND(H245="",J245=""),"",ForecastTotal+IF(L245="Approved",0,IF(J245="",0,J245)))</f>
        <v/>
      </c>
      <c r="O245" s="75">
        <f>IF(N245="","",ContAmt-MAX(0,N245-WorkBudget))</f>
        <v/>
      </c>
      <c r="P245" s="120">
        <f>IF(OR(N245="",ForecastEnd=""),"",ForecastEnd+IF(L245="Approved",0,IF(K245="",0,K245)))</f>
        <v/>
      </c>
      <c r="Q245" s="121">
        <f>IF(OR(N245="",WorkBudget=0),"",N245/WorkBudget-1)</f>
        <v/>
      </c>
      <c r="R245" s="79">
        <f>IF(N245="","",IF(N245&lt;=WorkBudget,0,IF(N245&lt;=TotalBudget,1,2)))</f>
        <v/>
      </c>
      <c r="S245" s="112">
        <f>IF(AND(OR(H245&lt;&gt;"",J245&lt;&gt;""),OR(L245="Pending",L245=""),C245&lt;&gt;""),C245+3,"")</f>
        <v/>
      </c>
      <c r="T245" s="79">
        <f>IF(S245="","",IF(AsOf&gt;S245,1,2))</f>
        <v/>
      </c>
      <c r="U245" s="79">
        <f>IF(T245="","","Decide on change order "&amp;B245&amp;": "&amp;H245&amp;" (+"&amp;CurSym&amp;" "&amp;FIXED(IF(J245="",0,J245),0)&amp;")")</f>
        <v/>
      </c>
    </row>
    <row r="246" ht="24" customHeight="1">
      <c r="B246" s="74" t="n"/>
      <c r="C246" s="109" t="n"/>
      <c r="D246" s="72" t="n"/>
      <c r="E246" s="72" t="n"/>
      <c r="F246" s="72" t="n"/>
      <c r="G246" s="72" t="n"/>
      <c r="H246" s="113" t="n"/>
      <c r="I246" s="72" t="n"/>
      <c r="J246" s="73" t="n"/>
      <c r="K246" s="89" t="n"/>
      <c r="L246" s="74" t="n"/>
      <c r="M246" s="109" t="n"/>
      <c r="N246" s="68">
        <f>IF(AND(H246="",J246=""),"",ForecastTotal+IF(L246="Approved",0,IF(J246="",0,J246)))</f>
        <v/>
      </c>
      <c r="O246" s="75">
        <f>IF(N246="","",ContAmt-MAX(0,N246-WorkBudget))</f>
        <v/>
      </c>
      <c r="P246" s="120">
        <f>IF(OR(N246="",ForecastEnd=""),"",ForecastEnd+IF(L246="Approved",0,IF(K246="",0,K246)))</f>
        <v/>
      </c>
      <c r="Q246" s="121">
        <f>IF(OR(N246="",WorkBudget=0),"",N246/WorkBudget-1)</f>
        <v/>
      </c>
      <c r="R246" s="79">
        <f>IF(N246="","",IF(N246&lt;=WorkBudget,0,IF(N246&lt;=TotalBudget,1,2)))</f>
        <v/>
      </c>
      <c r="S246" s="112">
        <f>IF(AND(OR(H246&lt;&gt;"",J246&lt;&gt;""),OR(L246="Pending",L246=""),C246&lt;&gt;""),C246+3,"")</f>
        <v/>
      </c>
      <c r="T246" s="79">
        <f>IF(S246="","",IF(AsOf&gt;S246,1,2))</f>
        <v/>
      </c>
      <c r="U246" s="79">
        <f>IF(T246="","","Decide on change order "&amp;B246&amp;": "&amp;H246&amp;" (+"&amp;CurSym&amp;" "&amp;FIXED(IF(J246="",0,J246),0)&amp;")")</f>
        <v/>
      </c>
    </row>
    <row r="247" ht="24" customHeight="1">
      <c r="B247" s="74" t="n"/>
      <c r="C247" s="109" t="n"/>
      <c r="D247" s="72" t="n"/>
      <c r="E247" s="72" t="n"/>
      <c r="F247" s="72" t="n"/>
      <c r="G247" s="72" t="n"/>
      <c r="H247" s="113" t="n"/>
      <c r="I247" s="72" t="n"/>
      <c r="J247" s="73" t="n"/>
      <c r="K247" s="89" t="n"/>
      <c r="L247" s="74" t="n"/>
      <c r="M247" s="109" t="n"/>
      <c r="N247" s="68">
        <f>IF(AND(H247="",J247=""),"",ForecastTotal+IF(L247="Approved",0,IF(J247="",0,J247)))</f>
        <v/>
      </c>
      <c r="O247" s="75">
        <f>IF(N247="","",ContAmt-MAX(0,N247-WorkBudget))</f>
        <v/>
      </c>
      <c r="P247" s="120">
        <f>IF(OR(N247="",ForecastEnd=""),"",ForecastEnd+IF(L247="Approved",0,IF(K247="",0,K247)))</f>
        <v/>
      </c>
      <c r="Q247" s="121">
        <f>IF(OR(N247="",WorkBudget=0),"",N247/WorkBudget-1)</f>
        <v/>
      </c>
      <c r="R247" s="79">
        <f>IF(N247="","",IF(N247&lt;=WorkBudget,0,IF(N247&lt;=TotalBudget,1,2)))</f>
        <v/>
      </c>
      <c r="S247" s="112">
        <f>IF(AND(OR(H247&lt;&gt;"",J247&lt;&gt;""),OR(L247="Pending",L247=""),C247&lt;&gt;""),C247+3,"")</f>
        <v/>
      </c>
      <c r="T247" s="79">
        <f>IF(S247="","",IF(AsOf&gt;S247,1,2))</f>
        <v/>
      </c>
      <c r="U247" s="79">
        <f>IF(T247="","","Decide on change order "&amp;B247&amp;": "&amp;H247&amp;" (+"&amp;CurSym&amp;" "&amp;FIXED(IF(J247="",0,J247),0)&amp;")")</f>
        <v/>
      </c>
    </row>
    <row r="248" ht="24" customHeight="1">
      <c r="B248" s="74" t="n"/>
      <c r="C248" s="109" t="n"/>
      <c r="D248" s="72" t="n"/>
      <c r="E248" s="72" t="n"/>
      <c r="F248" s="72" t="n"/>
      <c r="G248" s="72" t="n"/>
      <c r="H248" s="113" t="n"/>
      <c r="I248" s="72" t="n"/>
      <c r="J248" s="73" t="n"/>
      <c r="K248" s="89" t="n"/>
      <c r="L248" s="74" t="n"/>
      <c r="M248" s="109" t="n"/>
      <c r="N248" s="68">
        <f>IF(AND(H248="",J248=""),"",ForecastTotal+IF(L248="Approved",0,IF(J248="",0,J248)))</f>
        <v/>
      </c>
      <c r="O248" s="75">
        <f>IF(N248="","",ContAmt-MAX(0,N248-WorkBudget))</f>
        <v/>
      </c>
      <c r="P248" s="120">
        <f>IF(OR(N248="",ForecastEnd=""),"",ForecastEnd+IF(L248="Approved",0,IF(K248="",0,K248)))</f>
        <v/>
      </c>
      <c r="Q248" s="121">
        <f>IF(OR(N248="",WorkBudget=0),"",N248/WorkBudget-1)</f>
        <v/>
      </c>
      <c r="R248" s="79">
        <f>IF(N248="","",IF(N248&lt;=WorkBudget,0,IF(N248&lt;=TotalBudget,1,2)))</f>
        <v/>
      </c>
      <c r="S248" s="112">
        <f>IF(AND(OR(H248&lt;&gt;"",J248&lt;&gt;""),OR(L248="Pending",L248=""),C248&lt;&gt;""),C248+3,"")</f>
        <v/>
      </c>
      <c r="T248" s="79">
        <f>IF(S248="","",IF(AsOf&gt;S248,1,2))</f>
        <v/>
      </c>
      <c r="U248" s="79">
        <f>IF(T248="","","Decide on change order "&amp;B248&amp;": "&amp;H248&amp;" (+"&amp;CurSym&amp;" "&amp;FIXED(IF(J248="",0,J248),0)&amp;")")</f>
        <v/>
      </c>
    </row>
    <row r="249" ht="24" customHeight="1">
      <c r="B249" s="74" t="n"/>
      <c r="C249" s="109" t="n"/>
      <c r="D249" s="72" t="n"/>
      <c r="E249" s="72" t="n"/>
      <c r="F249" s="72" t="n"/>
      <c r="G249" s="72" t="n"/>
      <c r="H249" s="113" t="n"/>
      <c r="I249" s="72" t="n"/>
      <c r="J249" s="73" t="n"/>
      <c r="K249" s="89" t="n"/>
      <c r="L249" s="74" t="n"/>
      <c r="M249" s="109" t="n"/>
      <c r="N249" s="68">
        <f>IF(AND(H249="",J249=""),"",ForecastTotal+IF(L249="Approved",0,IF(J249="",0,J249)))</f>
        <v/>
      </c>
      <c r="O249" s="75">
        <f>IF(N249="","",ContAmt-MAX(0,N249-WorkBudget))</f>
        <v/>
      </c>
      <c r="P249" s="120">
        <f>IF(OR(N249="",ForecastEnd=""),"",ForecastEnd+IF(L249="Approved",0,IF(K249="",0,K249)))</f>
        <v/>
      </c>
      <c r="Q249" s="121">
        <f>IF(OR(N249="",WorkBudget=0),"",N249/WorkBudget-1)</f>
        <v/>
      </c>
      <c r="R249" s="79">
        <f>IF(N249="","",IF(N249&lt;=WorkBudget,0,IF(N249&lt;=TotalBudget,1,2)))</f>
        <v/>
      </c>
      <c r="S249" s="112">
        <f>IF(AND(OR(H249&lt;&gt;"",J249&lt;&gt;""),OR(L249="Pending",L249=""),C249&lt;&gt;""),C249+3,"")</f>
        <v/>
      </c>
      <c r="T249" s="79">
        <f>IF(S249="","",IF(AsOf&gt;S249,1,2))</f>
        <v/>
      </c>
      <c r="U249" s="79">
        <f>IF(T249="","","Decide on change order "&amp;B249&amp;": "&amp;H249&amp;" (+"&amp;CurSym&amp;" "&amp;FIXED(IF(J249="",0,J249),0)&amp;")")</f>
        <v/>
      </c>
    </row>
    <row r="250" ht="24" customHeight="1">
      <c r="B250" s="74" t="n"/>
      <c r="C250" s="109" t="n"/>
      <c r="D250" s="72" t="n"/>
      <c r="E250" s="72" t="n"/>
      <c r="F250" s="72" t="n"/>
      <c r="G250" s="72" t="n"/>
      <c r="H250" s="113" t="n"/>
      <c r="I250" s="72" t="n"/>
      <c r="J250" s="73" t="n"/>
      <c r="K250" s="89" t="n"/>
      <c r="L250" s="74" t="n"/>
      <c r="M250" s="109" t="n"/>
      <c r="N250" s="68">
        <f>IF(AND(H250="",J250=""),"",ForecastTotal+IF(L250="Approved",0,IF(J250="",0,J250)))</f>
        <v/>
      </c>
      <c r="O250" s="75">
        <f>IF(N250="","",ContAmt-MAX(0,N250-WorkBudget))</f>
        <v/>
      </c>
      <c r="P250" s="120">
        <f>IF(OR(N250="",ForecastEnd=""),"",ForecastEnd+IF(L250="Approved",0,IF(K250="",0,K250)))</f>
        <v/>
      </c>
      <c r="Q250" s="121">
        <f>IF(OR(N250="",WorkBudget=0),"",N250/WorkBudget-1)</f>
        <v/>
      </c>
      <c r="R250" s="79">
        <f>IF(N250="","",IF(N250&lt;=WorkBudget,0,IF(N250&lt;=TotalBudget,1,2)))</f>
        <v/>
      </c>
      <c r="S250" s="112">
        <f>IF(AND(OR(H250&lt;&gt;"",J250&lt;&gt;""),OR(L250="Pending",L250=""),C250&lt;&gt;""),C250+3,"")</f>
        <v/>
      </c>
      <c r="T250" s="79">
        <f>IF(S250="","",IF(AsOf&gt;S250,1,2))</f>
        <v/>
      </c>
      <c r="U250" s="79">
        <f>IF(T250="","","Decide on change order "&amp;B250&amp;": "&amp;H250&amp;" (+"&amp;CurSym&amp;" "&amp;FIXED(IF(J250="",0,J250),0)&amp;")")</f>
        <v/>
      </c>
    </row>
    <row r="251" ht="24" customHeight="1">
      <c r="B251" s="74" t="n"/>
      <c r="C251" s="109" t="n"/>
      <c r="D251" s="72" t="n"/>
      <c r="E251" s="72" t="n"/>
      <c r="F251" s="72" t="n"/>
      <c r="G251" s="72" t="n"/>
      <c r="H251" s="113" t="n"/>
      <c r="I251" s="72" t="n"/>
      <c r="J251" s="73" t="n"/>
      <c r="K251" s="89" t="n"/>
      <c r="L251" s="74" t="n"/>
      <c r="M251" s="109" t="n"/>
      <c r="N251" s="68">
        <f>IF(AND(H251="",J251=""),"",ForecastTotal+IF(L251="Approved",0,IF(J251="",0,J251)))</f>
        <v/>
      </c>
      <c r="O251" s="75">
        <f>IF(N251="","",ContAmt-MAX(0,N251-WorkBudget))</f>
        <v/>
      </c>
      <c r="P251" s="120">
        <f>IF(OR(N251="",ForecastEnd=""),"",ForecastEnd+IF(L251="Approved",0,IF(K251="",0,K251)))</f>
        <v/>
      </c>
      <c r="Q251" s="121">
        <f>IF(OR(N251="",WorkBudget=0),"",N251/WorkBudget-1)</f>
        <v/>
      </c>
      <c r="R251" s="79">
        <f>IF(N251="","",IF(N251&lt;=WorkBudget,0,IF(N251&lt;=TotalBudget,1,2)))</f>
        <v/>
      </c>
      <c r="S251" s="112">
        <f>IF(AND(OR(H251&lt;&gt;"",J251&lt;&gt;""),OR(L251="Pending",L251=""),C251&lt;&gt;""),C251+3,"")</f>
        <v/>
      </c>
      <c r="T251" s="79">
        <f>IF(S251="","",IF(AsOf&gt;S251,1,2))</f>
        <v/>
      </c>
      <c r="U251" s="79">
        <f>IF(T251="","","Decide on change order "&amp;B251&amp;": "&amp;H251&amp;" (+"&amp;CurSym&amp;" "&amp;FIXED(IF(J251="",0,J251),0)&amp;")")</f>
        <v/>
      </c>
    </row>
    <row r="252" ht="24" customHeight="1">
      <c r="B252" s="74" t="n"/>
      <c r="C252" s="109" t="n"/>
      <c r="D252" s="72" t="n"/>
      <c r="E252" s="72" t="n"/>
      <c r="F252" s="72" t="n"/>
      <c r="G252" s="72" t="n"/>
      <c r="H252" s="113" t="n"/>
      <c r="I252" s="72" t="n"/>
      <c r="J252" s="73" t="n"/>
      <c r="K252" s="89" t="n"/>
      <c r="L252" s="74" t="n"/>
      <c r="M252" s="109" t="n"/>
      <c r="N252" s="68">
        <f>IF(AND(H252="",J252=""),"",ForecastTotal+IF(L252="Approved",0,IF(J252="",0,J252)))</f>
        <v/>
      </c>
      <c r="O252" s="75">
        <f>IF(N252="","",ContAmt-MAX(0,N252-WorkBudget))</f>
        <v/>
      </c>
      <c r="P252" s="120">
        <f>IF(OR(N252="",ForecastEnd=""),"",ForecastEnd+IF(L252="Approved",0,IF(K252="",0,K252)))</f>
        <v/>
      </c>
      <c r="Q252" s="121">
        <f>IF(OR(N252="",WorkBudget=0),"",N252/WorkBudget-1)</f>
        <v/>
      </c>
      <c r="R252" s="79">
        <f>IF(N252="","",IF(N252&lt;=WorkBudget,0,IF(N252&lt;=TotalBudget,1,2)))</f>
        <v/>
      </c>
      <c r="S252" s="112">
        <f>IF(AND(OR(H252&lt;&gt;"",J252&lt;&gt;""),OR(L252="Pending",L252=""),C252&lt;&gt;""),C252+3,"")</f>
        <v/>
      </c>
      <c r="T252" s="79">
        <f>IF(S252="","",IF(AsOf&gt;S252,1,2))</f>
        <v/>
      </c>
      <c r="U252" s="79">
        <f>IF(T252="","","Decide on change order "&amp;B252&amp;": "&amp;H252&amp;" (+"&amp;CurSym&amp;" "&amp;FIXED(IF(J252="",0,J252),0)&amp;")")</f>
        <v/>
      </c>
    </row>
    <row r="253" ht="24" customHeight="1">
      <c r="B253" s="74" t="n"/>
      <c r="C253" s="109" t="n"/>
      <c r="D253" s="72" t="n"/>
      <c r="E253" s="72" t="n"/>
      <c r="F253" s="72" t="n"/>
      <c r="G253" s="72" t="n"/>
      <c r="H253" s="113" t="n"/>
      <c r="I253" s="72" t="n"/>
      <c r="J253" s="73" t="n"/>
      <c r="K253" s="89" t="n"/>
      <c r="L253" s="74" t="n"/>
      <c r="M253" s="109" t="n"/>
      <c r="N253" s="68">
        <f>IF(AND(H253="",J253=""),"",ForecastTotal+IF(L253="Approved",0,IF(J253="",0,J253)))</f>
        <v/>
      </c>
      <c r="O253" s="75">
        <f>IF(N253="","",ContAmt-MAX(0,N253-WorkBudget))</f>
        <v/>
      </c>
      <c r="P253" s="120">
        <f>IF(OR(N253="",ForecastEnd=""),"",ForecastEnd+IF(L253="Approved",0,IF(K253="",0,K253)))</f>
        <v/>
      </c>
      <c r="Q253" s="121">
        <f>IF(OR(N253="",WorkBudget=0),"",N253/WorkBudget-1)</f>
        <v/>
      </c>
      <c r="R253" s="79">
        <f>IF(N253="","",IF(N253&lt;=WorkBudget,0,IF(N253&lt;=TotalBudget,1,2)))</f>
        <v/>
      </c>
      <c r="S253" s="112">
        <f>IF(AND(OR(H253&lt;&gt;"",J253&lt;&gt;""),OR(L253="Pending",L253=""),C253&lt;&gt;""),C253+3,"")</f>
        <v/>
      </c>
      <c r="T253" s="79">
        <f>IF(S253="","",IF(AsOf&gt;S253,1,2))</f>
        <v/>
      </c>
      <c r="U253" s="79">
        <f>IF(T253="","","Decide on change order "&amp;B253&amp;": "&amp;H253&amp;" (+"&amp;CurSym&amp;" "&amp;FIXED(IF(J253="",0,J253),0)&amp;")")</f>
        <v/>
      </c>
    </row>
    <row r="254" ht="24" customHeight="1">
      <c r="B254" s="74" t="n"/>
      <c r="C254" s="109" t="n"/>
      <c r="D254" s="72" t="n"/>
      <c r="E254" s="72" t="n"/>
      <c r="F254" s="72" t="n"/>
      <c r="G254" s="72" t="n"/>
      <c r="H254" s="113" t="n"/>
      <c r="I254" s="72" t="n"/>
      <c r="J254" s="73" t="n"/>
      <c r="K254" s="89" t="n"/>
      <c r="L254" s="74" t="n"/>
      <c r="M254" s="109" t="n"/>
      <c r="N254" s="68">
        <f>IF(AND(H254="",J254=""),"",ForecastTotal+IF(L254="Approved",0,IF(J254="",0,J254)))</f>
        <v/>
      </c>
      <c r="O254" s="75">
        <f>IF(N254="","",ContAmt-MAX(0,N254-WorkBudget))</f>
        <v/>
      </c>
      <c r="P254" s="120">
        <f>IF(OR(N254="",ForecastEnd=""),"",ForecastEnd+IF(L254="Approved",0,IF(K254="",0,K254)))</f>
        <v/>
      </c>
      <c r="Q254" s="121">
        <f>IF(OR(N254="",WorkBudget=0),"",N254/WorkBudget-1)</f>
        <v/>
      </c>
      <c r="R254" s="79">
        <f>IF(N254="","",IF(N254&lt;=WorkBudget,0,IF(N254&lt;=TotalBudget,1,2)))</f>
        <v/>
      </c>
      <c r="S254" s="112">
        <f>IF(AND(OR(H254&lt;&gt;"",J254&lt;&gt;""),OR(L254="Pending",L254=""),C254&lt;&gt;""),C254+3,"")</f>
        <v/>
      </c>
      <c r="T254" s="79">
        <f>IF(S254="","",IF(AsOf&gt;S254,1,2))</f>
        <v/>
      </c>
      <c r="U254" s="79">
        <f>IF(T254="","","Decide on change order "&amp;B254&amp;": "&amp;H254&amp;" (+"&amp;CurSym&amp;" "&amp;FIXED(IF(J254="",0,J254),0)&amp;")")</f>
        <v/>
      </c>
    </row>
    <row r="255" ht="24" customHeight="1">
      <c r="B255" s="74" t="n"/>
      <c r="C255" s="109" t="n"/>
      <c r="D255" s="72" t="n"/>
      <c r="E255" s="72" t="n"/>
      <c r="F255" s="72" t="n"/>
      <c r="G255" s="72" t="n"/>
      <c r="H255" s="113" t="n"/>
      <c r="I255" s="72" t="n"/>
      <c r="J255" s="73" t="n"/>
      <c r="K255" s="89" t="n"/>
      <c r="L255" s="74" t="n"/>
      <c r="M255" s="109" t="n"/>
      <c r="N255" s="68">
        <f>IF(AND(H255="",J255=""),"",ForecastTotal+IF(L255="Approved",0,IF(J255="",0,J255)))</f>
        <v/>
      </c>
      <c r="O255" s="75">
        <f>IF(N255="","",ContAmt-MAX(0,N255-WorkBudget))</f>
        <v/>
      </c>
      <c r="P255" s="120">
        <f>IF(OR(N255="",ForecastEnd=""),"",ForecastEnd+IF(L255="Approved",0,IF(K255="",0,K255)))</f>
        <v/>
      </c>
      <c r="Q255" s="121">
        <f>IF(OR(N255="",WorkBudget=0),"",N255/WorkBudget-1)</f>
        <v/>
      </c>
      <c r="R255" s="79">
        <f>IF(N255="","",IF(N255&lt;=WorkBudget,0,IF(N255&lt;=TotalBudget,1,2)))</f>
        <v/>
      </c>
      <c r="S255" s="112">
        <f>IF(AND(OR(H255&lt;&gt;"",J255&lt;&gt;""),OR(L255="Pending",L255=""),C255&lt;&gt;""),C255+3,"")</f>
        <v/>
      </c>
      <c r="T255" s="79">
        <f>IF(S255="","",IF(AsOf&gt;S255,1,2))</f>
        <v/>
      </c>
      <c r="U255" s="79">
        <f>IF(T255="","","Decide on change order "&amp;B255&amp;": "&amp;H255&amp;" (+"&amp;CurSym&amp;" "&amp;FIXED(IF(J255="",0,J255),0)&amp;")")</f>
        <v/>
      </c>
    </row>
    <row r="256" ht="24" customHeight="1">
      <c r="B256" s="74" t="n"/>
      <c r="C256" s="109" t="n"/>
      <c r="D256" s="72" t="n"/>
      <c r="E256" s="72" t="n"/>
      <c r="F256" s="72" t="n"/>
      <c r="G256" s="72" t="n"/>
      <c r="H256" s="113" t="n"/>
      <c r="I256" s="72" t="n"/>
      <c r="J256" s="73" t="n"/>
      <c r="K256" s="89" t="n"/>
      <c r="L256" s="74" t="n"/>
      <c r="M256" s="109" t="n"/>
      <c r="N256" s="68">
        <f>IF(AND(H256="",J256=""),"",ForecastTotal+IF(L256="Approved",0,IF(J256="",0,J256)))</f>
        <v/>
      </c>
      <c r="O256" s="75">
        <f>IF(N256="","",ContAmt-MAX(0,N256-WorkBudget))</f>
        <v/>
      </c>
      <c r="P256" s="120">
        <f>IF(OR(N256="",ForecastEnd=""),"",ForecastEnd+IF(L256="Approved",0,IF(K256="",0,K256)))</f>
        <v/>
      </c>
      <c r="Q256" s="121">
        <f>IF(OR(N256="",WorkBudget=0),"",N256/WorkBudget-1)</f>
        <v/>
      </c>
      <c r="R256" s="79">
        <f>IF(N256="","",IF(N256&lt;=WorkBudget,0,IF(N256&lt;=TotalBudget,1,2)))</f>
        <v/>
      </c>
      <c r="S256" s="112">
        <f>IF(AND(OR(H256&lt;&gt;"",J256&lt;&gt;""),OR(L256="Pending",L256=""),C256&lt;&gt;""),C256+3,"")</f>
        <v/>
      </c>
      <c r="T256" s="79">
        <f>IF(S256="","",IF(AsOf&gt;S256,1,2))</f>
        <v/>
      </c>
      <c r="U256" s="79">
        <f>IF(T256="","","Decide on change order "&amp;B256&amp;": "&amp;H256&amp;" (+"&amp;CurSym&amp;" "&amp;FIXED(IF(J256="",0,J256),0)&amp;")")</f>
        <v/>
      </c>
    </row>
    <row r="257" ht="24" customHeight="1">
      <c r="B257" s="74" t="n"/>
      <c r="C257" s="109" t="n"/>
      <c r="D257" s="72" t="n"/>
      <c r="E257" s="72" t="n"/>
      <c r="F257" s="72" t="n"/>
      <c r="G257" s="72" t="n"/>
      <c r="H257" s="113" t="n"/>
      <c r="I257" s="72" t="n"/>
      <c r="J257" s="73" t="n"/>
      <c r="K257" s="89" t="n"/>
      <c r="L257" s="74" t="n"/>
      <c r="M257" s="109" t="n"/>
      <c r="N257" s="68">
        <f>IF(AND(H257="",J257=""),"",ForecastTotal+IF(L257="Approved",0,IF(J257="",0,J257)))</f>
        <v/>
      </c>
      <c r="O257" s="75">
        <f>IF(N257="","",ContAmt-MAX(0,N257-WorkBudget))</f>
        <v/>
      </c>
      <c r="P257" s="120">
        <f>IF(OR(N257="",ForecastEnd=""),"",ForecastEnd+IF(L257="Approved",0,IF(K257="",0,K257)))</f>
        <v/>
      </c>
      <c r="Q257" s="121">
        <f>IF(OR(N257="",WorkBudget=0),"",N257/WorkBudget-1)</f>
        <v/>
      </c>
      <c r="R257" s="79">
        <f>IF(N257="","",IF(N257&lt;=WorkBudget,0,IF(N257&lt;=TotalBudget,1,2)))</f>
        <v/>
      </c>
      <c r="S257" s="112">
        <f>IF(AND(OR(H257&lt;&gt;"",J257&lt;&gt;""),OR(L257="Pending",L257=""),C257&lt;&gt;""),C257+3,"")</f>
        <v/>
      </c>
      <c r="T257" s="79">
        <f>IF(S257="","",IF(AsOf&gt;S257,1,2))</f>
        <v/>
      </c>
      <c r="U257" s="79">
        <f>IF(T257="","","Decide on change order "&amp;B257&amp;": "&amp;H257&amp;" (+"&amp;CurSym&amp;" "&amp;FIXED(IF(J257="",0,J257),0)&amp;")")</f>
        <v/>
      </c>
    </row>
    <row r="258" ht="24" customHeight="1">
      <c r="B258" s="74" t="n"/>
      <c r="C258" s="109" t="n"/>
      <c r="D258" s="72" t="n"/>
      <c r="E258" s="72" t="n"/>
      <c r="F258" s="72" t="n"/>
      <c r="G258" s="72" t="n"/>
      <c r="H258" s="113" t="n"/>
      <c r="I258" s="72" t="n"/>
      <c r="J258" s="73" t="n"/>
      <c r="K258" s="89" t="n"/>
      <c r="L258" s="74" t="n"/>
      <c r="M258" s="109" t="n"/>
      <c r="N258" s="68">
        <f>IF(AND(H258="",J258=""),"",ForecastTotal+IF(L258="Approved",0,IF(J258="",0,J258)))</f>
        <v/>
      </c>
      <c r="O258" s="75">
        <f>IF(N258="","",ContAmt-MAX(0,N258-WorkBudget))</f>
        <v/>
      </c>
      <c r="P258" s="120">
        <f>IF(OR(N258="",ForecastEnd=""),"",ForecastEnd+IF(L258="Approved",0,IF(K258="",0,K258)))</f>
        <v/>
      </c>
      <c r="Q258" s="121">
        <f>IF(OR(N258="",WorkBudget=0),"",N258/WorkBudget-1)</f>
        <v/>
      </c>
      <c r="R258" s="79">
        <f>IF(N258="","",IF(N258&lt;=WorkBudget,0,IF(N258&lt;=TotalBudget,1,2)))</f>
        <v/>
      </c>
      <c r="S258" s="112">
        <f>IF(AND(OR(H258&lt;&gt;"",J258&lt;&gt;""),OR(L258="Pending",L258=""),C258&lt;&gt;""),C258+3,"")</f>
        <v/>
      </c>
      <c r="T258" s="79">
        <f>IF(S258="","",IF(AsOf&gt;S258,1,2))</f>
        <v/>
      </c>
      <c r="U258" s="79">
        <f>IF(T258="","","Decide on change order "&amp;B258&amp;": "&amp;H258&amp;" (+"&amp;CurSym&amp;" "&amp;FIXED(IF(J258="",0,J258),0)&amp;")")</f>
        <v/>
      </c>
    </row>
    <row r="259" ht="24" customHeight="1">
      <c r="B259" s="74" t="n"/>
      <c r="C259" s="109" t="n"/>
      <c r="D259" s="72" t="n"/>
      <c r="E259" s="72" t="n"/>
      <c r="F259" s="72" t="n"/>
      <c r="G259" s="72" t="n"/>
      <c r="H259" s="113" t="n"/>
      <c r="I259" s="72" t="n"/>
      <c r="J259" s="73" t="n"/>
      <c r="K259" s="89" t="n"/>
      <c r="L259" s="74" t="n"/>
      <c r="M259" s="109" t="n"/>
      <c r="N259" s="68">
        <f>IF(AND(H259="",J259=""),"",ForecastTotal+IF(L259="Approved",0,IF(J259="",0,J259)))</f>
        <v/>
      </c>
      <c r="O259" s="75">
        <f>IF(N259="","",ContAmt-MAX(0,N259-WorkBudget))</f>
        <v/>
      </c>
      <c r="P259" s="120">
        <f>IF(OR(N259="",ForecastEnd=""),"",ForecastEnd+IF(L259="Approved",0,IF(K259="",0,K259)))</f>
        <v/>
      </c>
      <c r="Q259" s="121">
        <f>IF(OR(N259="",WorkBudget=0),"",N259/WorkBudget-1)</f>
        <v/>
      </c>
      <c r="R259" s="79">
        <f>IF(N259="","",IF(N259&lt;=WorkBudget,0,IF(N259&lt;=TotalBudget,1,2)))</f>
        <v/>
      </c>
      <c r="S259" s="112">
        <f>IF(AND(OR(H259&lt;&gt;"",J259&lt;&gt;""),OR(L259="Pending",L259=""),C259&lt;&gt;""),C259+3,"")</f>
        <v/>
      </c>
      <c r="T259" s="79">
        <f>IF(S259="","",IF(AsOf&gt;S259,1,2))</f>
        <v/>
      </c>
      <c r="U259" s="79">
        <f>IF(T259="","","Decide on change order "&amp;B259&amp;": "&amp;H259&amp;" (+"&amp;CurSym&amp;" "&amp;FIXED(IF(J259="",0,J259),0)&amp;")")</f>
        <v/>
      </c>
    </row>
    <row r="260" ht="24" customHeight="1">
      <c r="B260" s="74" t="n"/>
      <c r="C260" s="109" t="n"/>
      <c r="D260" s="72" t="n"/>
      <c r="E260" s="72" t="n"/>
      <c r="F260" s="72" t="n"/>
      <c r="G260" s="72" t="n"/>
      <c r="H260" s="113" t="n"/>
      <c r="I260" s="72" t="n"/>
      <c r="J260" s="73" t="n"/>
      <c r="K260" s="89" t="n"/>
      <c r="L260" s="74" t="n"/>
      <c r="M260" s="109" t="n"/>
      <c r="N260" s="68">
        <f>IF(AND(H260="",J260=""),"",ForecastTotal+IF(L260="Approved",0,IF(J260="",0,J260)))</f>
        <v/>
      </c>
      <c r="O260" s="75">
        <f>IF(N260="","",ContAmt-MAX(0,N260-WorkBudget))</f>
        <v/>
      </c>
      <c r="P260" s="120">
        <f>IF(OR(N260="",ForecastEnd=""),"",ForecastEnd+IF(L260="Approved",0,IF(K260="",0,K260)))</f>
        <v/>
      </c>
      <c r="Q260" s="121">
        <f>IF(OR(N260="",WorkBudget=0),"",N260/WorkBudget-1)</f>
        <v/>
      </c>
      <c r="R260" s="79">
        <f>IF(N260="","",IF(N260&lt;=WorkBudget,0,IF(N260&lt;=TotalBudget,1,2)))</f>
        <v/>
      </c>
      <c r="S260" s="112">
        <f>IF(AND(OR(H260&lt;&gt;"",J260&lt;&gt;""),OR(L260="Pending",L260=""),C260&lt;&gt;""),C260+3,"")</f>
        <v/>
      </c>
      <c r="T260" s="79">
        <f>IF(S260="","",IF(AsOf&gt;S260,1,2))</f>
        <v/>
      </c>
      <c r="U260" s="79">
        <f>IF(T260="","","Decide on change order "&amp;B260&amp;": "&amp;H260&amp;" (+"&amp;CurSym&amp;" "&amp;FIXED(IF(J260="",0,J260),0)&amp;")")</f>
        <v/>
      </c>
    </row>
    <row r="261" ht="24" customHeight="1">
      <c r="B261" s="74" t="n"/>
      <c r="C261" s="109" t="n"/>
      <c r="D261" s="72" t="n"/>
      <c r="E261" s="72" t="n"/>
      <c r="F261" s="72" t="n"/>
      <c r="G261" s="72" t="n"/>
      <c r="H261" s="113" t="n"/>
      <c r="I261" s="72" t="n"/>
      <c r="J261" s="73" t="n"/>
      <c r="K261" s="89" t="n"/>
      <c r="L261" s="74" t="n"/>
      <c r="M261" s="109" t="n"/>
      <c r="N261" s="68">
        <f>IF(AND(H261="",J261=""),"",ForecastTotal+IF(L261="Approved",0,IF(J261="",0,J261)))</f>
        <v/>
      </c>
      <c r="O261" s="75">
        <f>IF(N261="","",ContAmt-MAX(0,N261-WorkBudget))</f>
        <v/>
      </c>
      <c r="P261" s="120">
        <f>IF(OR(N261="",ForecastEnd=""),"",ForecastEnd+IF(L261="Approved",0,IF(K261="",0,K261)))</f>
        <v/>
      </c>
      <c r="Q261" s="121">
        <f>IF(OR(N261="",WorkBudget=0),"",N261/WorkBudget-1)</f>
        <v/>
      </c>
      <c r="R261" s="79">
        <f>IF(N261="","",IF(N261&lt;=WorkBudget,0,IF(N261&lt;=TotalBudget,1,2)))</f>
        <v/>
      </c>
      <c r="S261" s="112">
        <f>IF(AND(OR(H261&lt;&gt;"",J261&lt;&gt;""),OR(L261="Pending",L261=""),C261&lt;&gt;""),C261+3,"")</f>
        <v/>
      </c>
      <c r="T261" s="79">
        <f>IF(S261="","",IF(AsOf&gt;S261,1,2))</f>
        <v/>
      </c>
      <c r="U261" s="79">
        <f>IF(T261="","","Decide on change order "&amp;B261&amp;": "&amp;H261&amp;" (+"&amp;CurSym&amp;" "&amp;FIXED(IF(J261="",0,J261),0)&amp;")")</f>
        <v/>
      </c>
    </row>
    <row r="262" ht="24" customHeight="1">
      <c r="B262" s="74" t="n"/>
      <c r="C262" s="109" t="n"/>
      <c r="D262" s="72" t="n"/>
      <c r="E262" s="72" t="n"/>
      <c r="F262" s="72" t="n"/>
      <c r="G262" s="72" t="n"/>
      <c r="H262" s="113" t="n"/>
      <c r="I262" s="72" t="n"/>
      <c r="J262" s="73" t="n"/>
      <c r="K262" s="89" t="n"/>
      <c r="L262" s="74" t="n"/>
      <c r="M262" s="109" t="n"/>
      <c r="N262" s="68">
        <f>IF(AND(H262="",J262=""),"",ForecastTotal+IF(L262="Approved",0,IF(J262="",0,J262)))</f>
        <v/>
      </c>
      <c r="O262" s="75">
        <f>IF(N262="","",ContAmt-MAX(0,N262-WorkBudget))</f>
        <v/>
      </c>
      <c r="P262" s="120">
        <f>IF(OR(N262="",ForecastEnd=""),"",ForecastEnd+IF(L262="Approved",0,IF(K262="",0,K262)))</f>
        <v/>
      </c>
      <c r="Q262" s="121">
        <f>IF(OR(N262="",WorkBudget=0),"",N262/WorkBudget-1)</f>
        <v/>
      </c>
      <c r="R262" s="79">
        <f>IF(N262="","",IF(N262&lt;=WorkBudget,0,IF(N262&lt;=TotalBudget,1,2)))</f>
        <v/>
      </c>
      <c r="S262" s="112">
        <f>IF(AND(OR(H262&lt;&gt;"",J262&lt;&gt;""),OR(L262="Pending",L262=""),C262&lt;&gt;""),C262+3,"")</f>
        <v/>
      </c>
      <c r="T262" s="79">
        <f>IF(S262="","",IF(AsOf&gt;S262,1,2))</f>
        <v/>
      </c>
      <c r="U262" s="79">
        <f>IF(T262="","","Decide on change order "&amp;B262&amp;": "&amp;H262&amp;" (+"&amp;CurSym&amp;" "&amp;FIXED(IF(J262="",0,J262),0)&amp;")")</f>
        <v/>
      </c>
    </row>
    <row r="263" ht="24" customHeight="1">
      <c r="B263" s="74" t="n"/>
      <c r="C263" s="109" t="n"/>
      <c r="D263" s="72" t="n"/>
      <c r="E263" s="72" t="n"/>
      <c r="F263" s="72" t="n"/>
      <c r="G263" s="72" t="n"/>
      <c r="H263" s="113" t="n"/>
      <c r="I263" s="72" t="n"/>
      <c r="J263" s="73" t="n"/>
      <c r="K263" s="89" t="n"/>
      <c r="L263" s="74" t="n"/>
      <c r="M263" s="109" t="n"/>
      <c r="N263" s="68">
        <f>IF(AND(H263="",J263=""),"",ForecastTotal+IF(L263="Approved",0,IF(J263="",0,J263)))</f>
        <v/>
      </c>
      <c r="O263" s="75">
        <f>IF(N263="","",ContAmt-MAX(0,N263-WorkBudget))</f>
        <v/>
      </c>
      <c r="P263" s="120">
        <f>IF(OR(N263="",ForecastEnd=""),"",ForecastEnd+IF(L263="Approved",0,IF(K263="",0,K263)))</f>
        <v/>
      </c>
      <c r="Q263" s="121">
        <f>IF(OR(N263="",WorkBudget=0),"",N263/WorkBudget-1)</f>
        <v/>
      </c>
      <c r="R263" s="79">
        <f>IF(N263="","",IF(N263&lt;=WorkBudget,0,IF(N263&lt;=TotalBudget,1,2)))</f>
        <v/>
      </c>
      <c r="S263" s="112">
        <f>IF(AND(OR(H263&lt;&gt;"",J263&lt;&gt;""),OR(L263="Pending",L263=""),C263&lt;&gt;""),C263+3,"")</f>
        <v/>
      </c>
      <c r="T263" s="79">
        <f>IF(S263="","",IF(AsOf&gt;S263,1,2))</f>
        <v/>
      </c>
      <c r="U263" s="79">
        <f>IF(T263="","","Decide on change order "&amp;B263&amp;": "&amp;H263&amp;" (+"&amp;CurSym&amp;" "&amp;FIXED(IF(J263="",0,J263),0)&amp;")")</f>
        <v/>
      </c>
    </row>
    <row r="264" ht="24" customHeight="1">
      <c r="B264" s="74" t="n"/>
      <c r="C264" s="109" t="n"/>
      <c r="D264" s="72" t="n"/>
      <c r="E264" s="72" t="n"/>
      <c r="F264" s="72" t="n"/>
      <c r="G264" s="72" t="n"/>
      <c r="H264" s="113" t="n"/>
      <c r="I264" s="72" t="n"/>
      <c r="J264" s="73" t="n"/>
      <c r="K264" s="89" t="n"/>
      <c r="L264" s="74" t="n"/>
      <c r="M264" s="109" t="n"/>
      <c r="N264" s="68">
        <f>IF(AND(H264="",J264=""),"",ForecastTotal+IF(L264="Approved",0,IF(J264="",0,J264)))</f>
        <v/>
      </c>
      <c r="O264" s="75">
        <f>IF(N264="","",ContAmt-MAX(0,N264-WorkBudget))</f>
        <v/>
      </c>
      <c r="P264" s="120">
        <f>IF(OR(N264="",ForecastEnd=""),"",ForecastEnd+IF(L264="Approved",0,IF(K264="",0,K264)))</f>
        <v/>
      </c>
      <c r="Q264" s="121">
        <f>IF(OR(N264="",WorkBudget=0),"",N264/WorkBudget-1)</f>
        <v/>
      </c>
      <c r="R264" s="79">
        <f>IF(N264="","",IF(N264&lt;=WorkBudget,0,IF(N264&lt;=TotalBudget,1,2)))</f>
        <v/>
      </c>
      <c r="S264" s="112">
        <f>IF(AND(OR(H264&lt;&gt;"",J264&lt;&gt;""),OR(L264="Pending",L264=""),C264&lt;&gt;""),C264+3,"")</f>
        <v/>
      </c>
      <c r="T264" s="79">
        <f>IF(S264="","",IF(AsOf&gt;S264,1,2))</f>
        <v/>
      </c>
      <c r="U264" s="79">
        <f>IF(T264="","","Decide on change order "&amp;B264&amp;": "&amp;H264&amp;" (+"&amp;CurSym&amp;" "&amp;FIXED(IF(J264="",0,J264),0)&amp;")")</f>
        <v/>
      </c>
    </row>
    <row r="265" ht="24" customHeight="1">
      <c r="B265" s="74" t="n"/>
      <c r="C265" s="109" t="n"/>
      <c r="D265" s="72" t="n"/>
      <c r="E265" s="72" t="n"/>
      <c r="F265" s="72" t="n"/>
      <c r="G265" s="72" t="n"/>
      <c r="H265" s="113" t="n"/>
      <c r="I265" s="72" t="n"/>
      <c r="J265" s="73" t="n"/>
      <c r="K265" s="89" t="n"/>
      <c r="L265" s="74" t="n"/>
      <c r="M265" s="109" t="n"/>
      <c r="N265" s="68">
        <f>IF(AND(H265="",J265=""),"",ForecastTotal+IF(L265="Approved",0,IF(J265="",0,J265)))</f>
        <v/>
      </c>
      <c r="O265" s="75">
        <f>IF(N265="","",ContAmt-MAX(0,N265-WorkBudget))</f>
        <v/>
      </c>
      <c r="P265" s="120">
        <f>IF(OR(N265="",ForecastEnd=""),"",ForecastEnd+IF(L265="Approved",0,IF(K265="",0,K265)))</f>
        <v/>
      </c>
      <c r="Q265" s="121">
        <f>IF(OR(N265="",WorkBudget=0),"",N265/WorkBudget-1)</f>
        <v/>
      </c>
      <c r="R265" s="79">
        <f>IF(N265="","",IF(N265&lt;=WorkBudget,0,IF(N265&lt;=TotalBudget,1,2)))</f>
        <v/>
      </c>
      <c r="S265" s="112">
        <f>IF(AND(OR(H265&lt;&gt;"",J265&lt;&gt;""),OR(L265="Pending",L265=""),C265&lt;&gt;""),C265+3,"")</f>
        <v/>
      </c>
      <c r="T265" s="79">
        <f>IF(S265="","",IF(AsOf&gt;S265,1,2))</f>
        <v/>
      </c>
      <c r="U265" s="79">
        <f>IF(T265="","","Decide on change order "&amp;B265&amp;": "&amp;H265&amp;" (+"&amp;CurSym&amp;" "&amp;FIXED(IF(J265="",0,J265),0)&amp;")")</f>
        <v/>
      </c>
    </row>
    <row r="266" ht="24" customHeight="1">
      <c r="B266" s="74" t="n"/>
      <c r="C266" s="109" t="n"/>
      <c r="D266" s="72" t="n"/>
      <c r="E266" s="72" t="n"/>
      <c r="F266" s="72" t="n"/>
      <c r="G266" s="72" t="n"/>
      <c r="H266" s="113" t="n"/>
      <c r="I266" s="72" t="n"/>
      <c r="J266" s="73" t="n"/>
      <c r="K266" s="89" t="n"/>
      <c r="L266" s="74" t="n"/>
      <c r="M266" s="109" t="n"/>
      <c r="N266" s="68">
        <f>IF(AND(H266="",J266=""),"",ForecastTotal+IF(L266="Approved",0,IF(J266="",0,J266)))</f>
        <v/>
      </c>
      <c r="O266" s="75">
        <f>IF(N266="","",ContAmt-MAX(0,N266-WorkBudget))</f>
        <v/>
      </c>
      <c r="P266" s="120">
        <f>IF(OR(N266="",ForecastEnd=""),"",ForecastEnd+IF(L266="Approved",0,IF(K266="",0,K266)))</f>
        <v/>
      </c>
      <c r="Q266" s="121">
        <f>IF(OR(N266="",WorkBudget=0),"",N266/WorkBudget-1)</f>
        <v/>
      </c>
      <c r="R266" s="79">
        <f>IF(N266="","",IF(N266&lt;=WorkBudget,0,IF(N266&lt;=TotalBudget,1,2)))</f>
        <v/>
      </c>
      <c r="S266" s="112">
        <f>IF(AND(OR(H266&lt;&gt;"",J266&lt;&gt;""),OR(L266="Pending",L266=""),C266&lt;&gt;""),C266+3,"")</f>
        <v/>
      </c>
      <c r="T266" s="79">
        <f>IF(S266="","",IF(AsOf&gt;S266,1,2))</f>
        <v/>
      </c>
      <c r="U266" s="79">
        <f>IF(T266="","","Decide on change order "&amp;B266&amp;": "&amp;H266&amp;" (+"&amp;CurSym&amp;" "&amp;FIXED(IF(J266="",0,J266),0)&amp;")")</f>
        <v/>
      </c>
    </row>
    <row r="267" ht="24" customHeight="1">
      <c r="B267" s="74" t="n"/>
      <c r="C267" s="109" t="n"/>
      <c r="D267" s="72" t="n"/>
      <c r="E267" s="72" t="n"/>
      <c r="F267" s="72" t="n"/>
      <c r="G267" s="72" t="n"/>
      <c r="H267" s="113" t="n"/>
      <c r="I267" s="72" t="n"/>
      <c r="J267" s="73" t="n"/>
      <c r="K267" s="89" t="n"/>
      <c r="L267" s="74" t="n"/>
      <c r="M267" s="109" t="n"/>
      <c r="N267" s="68">
        <f>IF(AND(H267="",J267=""),"",ForecastTotal+IF(L267="Approved",0,IF(J267="",0,J267)))</f>
        <v/>
      </c>
      <c r="O267" s="75">
        <f>IF(N267="","",ContAmt-MAX(0,N267-WorkBudget))</f>
        <v/>
      </c>
      <c r="P267" s="120">
        <f>IF(OR(N267="",ForecastEnd=""),"",ForecastEnd+IF(L267="Approved",0,IF(K267="",0,K267)))</f>
        <v/>
      </c>
      <c r="Q267" s="121">
        <f>IF(OR(N267="",WorkBudget=0),"",N267/WorkBudget-1)</f>
        <v/>
      </c>
      <c r="R267" s="79">
        <f>IF(N267="","",IF(N267&lt;=WorkBudget,0,IF(N267&lt;=TotalBudget,1,2)))</f>
        <v/>
      </c>
      <c r="S267" s="112">
        <f>IF(AND(OR(H267&lt;&gt;"",J267&lt;&gt;""),OR(L267="Pending",L267=""),C267&lt;&gt;""),C267+3,"")</f>
        <v/>
      </c>
      <c r="T267" s="79">
        <f>IF(S267="","",IF(AsOf&gt;S267,1,2))</f>
        <v/>
      </c>
      <c r="U267" s="79">
        <f>IF(T267="","","Decide on change order "&amp;B267&amp;": "&amp;H267&amp;" (+"&amp;CurSym&amp;" "&amp;FIXED(IF(J267="",0,J267),0)&amp;")")</f>
        <v/>
      </c>
    </row>
    <row r="268" ht="24" customHeight="1">
      <c r="B268" s="74" t="n"/>
      <c r="C268" s="109" t="n"/>
      <c r="D268" s="72" t="n"/>
      <c r="E268" s="72" t="n"/>
      <c r="F268" s="72" t="n"/>
      <c r="G268" s="72" t="n"/>
      <c r="H268" s="113" t="n"/>
      <c r="I268" s="72" t="n"/>
      <c r="J268" s="73" t="n"/>
      <c r="K268" s="89" t="n"/>
      <c r="L268" s="74" t="n"/>
      <c r="M268" s="109" t="n"/>
      <c r="N268" s="68">
        <f>IF(AND(H268="",J268=""),"",ForecastTotal+IF(L268="Approved",0,IF(J268="",0,J268)))</f>
        <v/>
      </c>
      <c r="O268" s="75">
        <f>IF(N268="","",ContAmt-MAX(0,N268-WorkBudget))</f>
        <v/>
      </c>
      <c r="P268" s="120">
        <f>IF(OR(N268="",ForecastEnd=""),"",ForecastEnd+IF(L268="Approved",0,IF(K268="",0,K268)))</f>
        <v/>
      </c>
      <c r="Q268" s="121">
        <f>IF(OR(N268="",WorkBudget=0),"",N268/WorkBudget-1)</f>
        <v/>
      </c>
      <c r="R268" s="79">
        <f>IF(N268="","",IF(N268&lt;=WorkBudget,0,IF(N268&lt;=TotalBudget,1,2)))</f>
        <v/>
      </c>
      <c r="S268" s="112">
        <f>IF(AND(OR(H268&lt;&gt;"",J268&lt;&gt;""),OR(L268="Pending",L268=""),C268&lt;&gt;""),C268+3,"")</f>
        <v/>
      </c>
      <c r="T268" s="79">
        <f>IF(S268="","",IF(AsOf&gt;S268,1,2))</f>
        <v/>
      </c>
      <c r="U268" s="79">
        <f>IF(T268="","","Decide on change order "&amp;B268&amp;": "&amp;H268&amp;" (+"&amp;CurSym&amp;" "&amp;FIXED(IF(J268="",0,J268),0)&amp;")")</f>
        <v/>
      </c>
    </row>
    <row r="269" ht="24" customHeight="1">
      <c r="B269" s="74" t="n"/>
      <c r="C269" s="109" t="n"/>
      <c r="D269" s="72" t="n"/>
      <c r="E269" s="72" t="n"/>
      <c r="F269" s="72" t="n"/>
      <c r="G269" s="72" t="n"/>
      <c r="H269" s="113" t="n"/>
      <c r="I269" s="72" t="n"/>
      <c r="J269" s="73" t="n"/>
      <c r="K269" s="89" t="n"/>
      <c r="L269" s="74" t="n"/>
      <c r="M269" s="109" t="n"/>
      <c r="N269" s="68">
        <f>IF(AND(H269="",J269=""),"",ForecastTotal+IF(L269="Approved",0,IF(J269="",0,J269)))</f>
        <v/>
      </c>
      <c r="O269" s="75">
        <f>IF(N269="","",ContAmt-MAX(0,N269-WorkBudget))</f>
        <v/>
      </c>
      <c r="P269" s="120">
        <f>IF(OR(N269="",ForecastEnd=""),"",ForecastEnd+IF(L269="Approved",0,IF(K269="",0,K269)))</f>
        <v/>
      </c>
      <c r="Q269" s="121">
        <f>IF(OR(N269="",WorkBudget=0),"",N269/WorkBudget-1)</f>
        <v/>
      </c>
      <c r="R269" s="79">
        <f>IF(N269="","",IF(N269&lt;=WorkBudget,0,IF(N269&lt;=TotalBudget,1,2)))</f>
        <v/>
      </c>
      <c r="S269" s="112">
        <f>IF(AND(OR(H269&lt;&gt;"",J269&lt;&gt;""),OR(L269="Pending",L269=""),C269&lt;&gt;""),C269+3,"")</f>
        <v/>
      </c>
      <c r="T269" s="79">
        <f>IF(S269="","",IF(AsOf&gt;S269,1,2))</f>
        <v/>
      </c>
      <c r="U269" s="79">
        <f>IF(T269="","","Decide on change order "&amp;B269&amp;": "&amp;H269&amp;" (+"&amp;CurSym&amp;" "&amp;FIXED(IF(J269="",0,J269),0)&amp;")")</f>
        <v/>
      </c>
    </row>
    <row r="270" ht="24" customHeight="1">
      <c r="B270" s="74" t="n"/>
      <c r="C270" s="109" t="n"/>
      <c r="D270" s="72" t="n"/>
      <c r="E270" s="72" t="n"/>
      <c r="F270" s="72" t="n"/>
      <c r="G270" s="72" t="n"/>
      <c r="H270" s="113" t="n"/>
      <c r="I270" s="72" t="n"/>
      <c r="J270" s="73" t="n"/>
      <c r="K270" s="89" t="n"/>
      <c r="L270" s="74" t="n"/>
      <c r="M270" s="109" t="n"/>
      <c r="N270" s="68">
        <f>IF(AND(H270="",J270=""),"",ForecastTotal+IF(L270="Approved",0,IF(J270="",0,J270)))</f>
        <v/>
      </c>
      <c r="O270" s="75">
        <f>IF(N270="","",ContAmt-MAX(0,N270-WorkBudget))</f>
        <v/>
      </c>
      <c r="P270" s="120">
        <f>IF(OR(N270="",ForecastEnd=""),"",ForecastEnd+IF(L270="Approved",0,IF(K270="",0,K270)))</f>
        <v/>
      </c>
      <c r="Q270" s="121">
        <f>IF(OR(N270="",WorkBudget=0),"",N270/WorkBudget-1)</f>
        <v/>
      </c>
      <c r="R270" s="79">
        <f>IF(N270="","",IF(N270&lt;=WorkBudget,0,IF(N270&lt;=TotalBudget,1,2)))</f>
        <v/>
      </c>
      <c r="S270" s="112">
        <f>IF(AND(OR(H270&lt;&gt;"",J270&lt;&gt;""),OR(L270="Pending",L270=""),C270&lt;&gt;""),C270+3,"")</f>
        <v/>
      </c>
      <c r="T270" s="79">
        <f>IF(S270="","",IF(AsOf&gt;S270,1,2))</f>
        <v/>
      </c>
      <c r="U270" s="79">
        <f>IF(T270="","","Decide on change order "&amp;B270&amp;": "&amp;H270&amp;" (+"&amp;CurSym&amp;" "&amp;FIXED(IF(J270="",0,J270),0)&amp;")")</f>
        <v/>
      </c>
    </row>
    <row r="271" ht="24" customHeight="1">
      <c r="B271" s="74" t="n"/>
      <c r="C271" s="109" t="n"/>
      <c r="D271" s="72" t="n"/>
      <c r="E271" s="72" t="n"/>
      <c r="F271" s="72" t="n"/>
      <c r="G271" s="72" t="n"/>
      <c r="H271" s="113" t="n"/>
      <c r="I271" s="72" t="n"/>
      <c r="J271" s="73" t="n"/>
      <c r="K271" s="89" t="n"/>
      <c r="L271" s="74" t="n"/>
      <c r="M271" s="109" t="n"/>
      <c r="N271" s="68">
        <f>IF(AND(H271="",J271=""),"",ForecastTotal+IF(L271="Approved",0,IF(J271="",0,J271)))</f>
        <v/>
      </c>
      <c r="O271" s="75">
        <f>IF(N271="","",ContAmt-MAX(0,N271-WorkBudget))</f>
        <v/>
      </c>
      <c r="P271" s="120">
        <f>IF(OR(N271="",ForecastEnd=""),"",ForecastEnd+IF(L271="Approved",0,IF(K271="",0,K271)))</f>
        <v/>
      </c>
      <c r="Q271" s="121">
        <f>IF(OR(N271="",WorkBudget=0),"",N271/WorkBudget-1)</f>
        <v/>
      </c>
      <c r="R271" s="79">
        <f>IF(N271="","",IF(N271&lt;=WorkBudget,0,IF(N271&lt;=TotalBudget,1,2)))</f>
        <v/>
      </c>
      <c r="S271" s="112">
        <f>IF(AND(OR(H271&lt;&gt;"",J271&lt;&gt;""),OR(L271="Pending",L271=""),C271&lt;&gt;""),C271+3,"")</f>
        <v/>
      </c>
      <c r="T271" s="79">
        <f>IF(S271="","",IF(AsOf&gt;S271,1,2))</f>
        <v/>
      </c>
      <c r="U271" s="79">
        <f>IF(T271="","","Decide on change order "&amp;B271&amp;": "&amp;H271&amp;" (+"&amp;CurSym&amp;" "&amp;FIXED(IF(J271="",0,J271),0)&amp;")")</f>
        <v/>
      </c>
    </row>
    <row r="272" ht="24" customHeight="1">
      <c r="B272" s="74" t="n"/>
      <c r="C272" s="109" t="n"/>
      <c r="D272" s="72" t="n"/>
      <c r="E272" s="72" t="n"/>
      <c r="F272" s="72" t="n"/>
      <c r="G272" s="72" t="n"/>
      <c r="H272" s="113" t="n"/>
      <c r="I272" s="72" t="n"/>
      <c r="J272" s="73" t="n"/>
      <c r="K272" s="89" t="n"/>
      <c r="L272" s="74" t="n"/>
      <c r="M272" s="109" t="n"/>
      <c r="N272" s="68">
        <f>IF(AND(H272="",J272=""),"",ForecastTotal+IF(L272="Approved",0,IF(J272="",0,J272)))</f>
        <v/>
      </c>
      <c r="O272" s="75">
        <f>IF(N272="","",ContAmt-MAX(0,N272-WorkBudget))</f>
        <v/>
      </c>
      <c r="P272" s="120">
        <f>IF(OR(N272="",ForecastEnd=""),"",ForecastEnd+IF(L272="Approved",0,IF(K272="",0,K272)))</f>
        <v/>
      </c>
      <c r="Q272" s="121">
        <f>IF(OR(N272="",WorkBudget=0),"",N272/WorkBudget-1)</f>
        <v/>
      </c>
      <c r="R272" s="79">
        <f>IF(N272="","",IF(N272&lt;=WorkBudget,0,IF(N272&lt;=TotalBudget,1,2)))</f>
        <v/>
      </c>
      <c r="S272" s="112">
        <f>IF(AND(OR(H272&lt;&gt;"",J272&lt;&gt;""),OR(L272="Pending",L272=""),C272&lt;&gt;""),C272+3,"")</f>
        <v/>
      </c>
      <c r="T272" s="79">
        <f>IF(S272="","",IF(AsOf&gt;S272,1,2))</f>
        <v/>
      </c>
      <c r="U272" s="79">
        <f>IF(T272="","","Decide on change order "&amp;B272&amp;": "&amp;H272&amp;" (+"&amp;CurSym&amp;" "&amp;FIXED(IF(J272="",0,J272),0)&amp;")")</f>
        <v/>
      </c>
    </row>
    <row r="273" ht="24" customHeight="1">
      <c r="B273" s="74" t="n"/>
      <c r="C273" s="109" t="n"/>
      <c r="D273" s="72" t="n"/>
      <c r="E273" s="72" t="n"/>
      <c r="F273" s="72" t="n"/>
      <c r="G273" s="72" t="n"/>
      <c r="H273" s="113" t="n"/>
      <c r="I273" s="72" t="n"/>
      <c r="J273" s="73" t="n"/>
      <c r="K273" s="89" t="n"/>
      <c r="L273" s="74" t="n"/>
      <c r="M273" s="109" t="n"/>
      <c r="N273" s="68">
        <f>IF(AND(H273="",J273=""),"",ForecastTotal+IF(L273="Approved",0,IF(J273="",0,J273)))</f>
        <v/>
      </c>
      <c r="O273" s="75">
        <f>IF(N273="","",ContAmt-MAX(0,N273-WorkBudget))</f>
        <v/>
      </c>
      <c r="P273" s="120">
        <f>IF(OR(N273="",ForecastEnd=""),"",ForecastEnd+IF(L273="Approved",0,IF(K273="",0,K273)))</f>
        <v/>
      </c>
      <c r="Q273" s="121">
        <f>IF(OR(N273="",WorkBudget=0),"",N273/WorkBudget-1)</f>
        <v/>
      </c>
      <c r="R273" s="79">
        <f>IF(N273="","",IF(N273&lt;=WorkBudget,0,IF(N273&lt;=TotalBudget,1,2)))</f>
        <v/>
      </c>
      <c r="S273" s="112">
        <f>IF(AND(OR(H273&lt;&gt;"",J273&lt;&gt;""),OR(L273="Pending",L273=""),C273&lt;&gt;""),C273+3,"")</f>
        <v/>
      </c>
      <c r="T273" s="79">
        <f>IF(S273="","",IF(AsOf&gt;S273,1,2))</f>
        <v/>
      </c>
      <c r="U273" s="79">
        <f>IF(T273="","","Decide on change order "&amp;B273&amp;": "&amp;H273&amp;" (+"&amp;CurSym&amp;" "&amp;FIXED(IF(J273="",0,J273),0)&amp;")")</f>
        <v/>
      </c>
    </row>
    <row r="274" ht="24" customHeight="1">
      <c r="B274" s="74" t="n"/>
      <c r="C274" s="109" t="n"/>
      <c r="D274" s="72" t="n"/>
      <c r="E274" s="72" t="n"/>
      <c r="F274" s="72" t="n"/>
      <c r="G274" s="72" t="n"/>
      <c r="H274" s="113" t="n"/>
      <c r="I274" s="72" t="n"/>
      <c r="J274" s="73" t="n"/>
      <c r="K274" s="89" t="n"/>
      <c r="L274" s="74" t="n"/>
      <c r="M274" s="109" t="n"/>
      <c r="N274" s="68">
        <f>IF(AND(H274="",J274=""),"",ForecastTotal+IF(L274="Approved",0,IF(J274="",0,J274)))</f>
        <v/>
      </c>
      <c r="O274" s="75">
        <f>IF(N274="","",ContAmt-MAX(0,N274-WorkBudget))</f>
        <v/>
      </c>
      <c r="P274" s="120">
        <f>IF(OR(N274="",ForecastEnd=""),"",ForecastEnd+IF(L274="Approved",0,IF(K274="",0,K274)))</f>
        <v/>
      </c>
      <c r="Q274" s="121">
        <f>IF(OR(N274="",WorkBudget=0),"",N274/WorkBudget-1)</f>
        <v/>
      </c>
      <c r="R274" s="79">
        <f>IF(N274="","",IF(N274&lt;=WorkBudget,0,IF(N274&lt;=TotalBudget,1,2)))</f>
        <v/>
      </c>
      <c r="S274" s="112">
        <f>IF(AND(OR(H274&lt;&gt;"",J274&lt;&gt;""),OR(L274="Pending",L274=""),C274&lt;&gt;""),C274+3,"")</f>
        <v/>
      </c>
      <c r="T274" s="79">
        <f>IF(S274="","",IF(AsOf&gt;S274,1,2))</f>
        <v/>
      </c>
      <c r="U274" s="79">
        <f>IF(T274="","","Decide on change order "&amp;B274&amp;": "&amp;H274&amp;" (+"&amp;CurSym&amp;" "&amp;FIXED(IF(J274="",0,J274),0)&amp;")")</f>
        <v/>
      </c>
    </row>
    <row r="275" ht="24" customHeight="1">
      <c r="B275" s="74" t="n"/>
      <c r="C275" s="109" t="n"/>
      <c r="D275" s="72" t="n"/>
      <c r="E275" s="72" t="n"/>
      <c r="F275" s="72" t="n"/>
      <c r="G275" s="72" t="n"/>
      <c r="H275" s="113" t="n"/>
      <c r="I275" s="72" t="n"/>
      <c r="J275" s="73" t="n"/>
      <c r="K275" s="89" t="n"/>
      <c r="L275" s="74" t="n"/>
      <c r="M275" s="109" t="n"/>
      <c r="N275" s="68">
        <f>IF(AND(H275="",J275=""),"",ForecastTotal+IF(L275="Approved",0,IF(J275="",0,J275)))</f>
        <v/>
      </c>
      <c r="O275" s="75">
        <f>IF(N275="","",ContAmt-MAX(0,N275-WorkBudget))</f>
        <v/>
      </c>
      <c r="P275" s="120">
        <f>IF(OR(N275="",ForecastEnd=""),"",ForecastEnd+IF(L275="Approved",0,IF(K275="",0,K275)))</f>
        <v/>
      </c>
      <c r="Q275" s="121">
        <f>IF(OR(N275="",WorkBudget=0),"",N275/WorkBudget-1)</f>
        <v/>
      </c>
      <c r="R275" s="79">
        <f>IF(N275="","",IF(N275&lt;=WorkBudget,0,IF(N275&lt;=TotalBudget,1,2)))</f>
        <v/>
      </c>
      <c r="S275" s="112">
        <f>IF(AND(OR(H275&lt;&gt;"",J275&lt;&gt;""),OR(L275="Pending",L275=""),C275&lt;&gt;""),C275+3,"")</f>
        <v/>
      </c>
      <c r="T275" s="79">
        <f>IF(S275="","",IF(AsOf&gt;S275,1,2))</f>
        <v/>
      </c>
      <c r="U275" s="79">
        <f>IF(T275="","","Decide on change order "&amp;B275&amp;": "&amp;H275&amp;" (+"&amp;CurSym&amp;" "&amp;FIXED(IF(J275="",0,J275),0)&amp;")")</f>
        <v/>
      </c>
    </row>
    <row r="276" ht="24" customHeight="1">
      <c r="B276" s="74" t="n"/>
      <c r="C276" s="109" t="n"/>
      <c r="D276" s="72" t="n"/>
      <c r="E276" s="72" t="n"/>
      <c r="F276" s="72" t="n"/>
      <c r="G276" s="72" t="n"/>
      <c r="H276" s="113" t="n"/>
      <c r="I276" s="72" t="n"/>
      <c r="J276" s="73" t="n"/>
      <c r="K276" s="89" t="n"/>
      <c r="L276" s="74" t="n"/>
      <c r="M276" s="109" t="n"/>
      <c r="N276" s="68">
        <f>IF(AND(H276="",J276=""),"",ForecastTotal+IF(L276="Approved",0,IF(J276="",0,J276)))</f>
        <v/>
      </c>
      <c r="O276" s="75">
        <f>IF(N276="","",ContAmt-MAX(0,N276-WorkBudget))</f>
        <v/>
      </c>
      <c r="P276" s="120">
        <f>IF(OR(N276="",ForecastEnd=""),"",ForecastEnd+IF(L276="Approved",0,IF(K276="",0,K276)))</f>
        <v/>
      </c>
      <c r="Q276" s="121">
        <f>IF(OR(N276="",WorkBudget=0),"",N276/WorkBudget-1)</f>
        <v/>
      </c>
      <c r="R276" s="79">
        <f>IF(N276="","",IF(N276&lt;=WorkBudget,0,IF(N276&lt;=TotalBudget,1,2)))</f>
        <v/>
      </c>
      <c r="S276" s="112">
        <f>IF(AND(OR(H276&lt;&gt;"",J276&lt;&gt;""),OR(L276="Pending",L276=""),C276&lt;&gt;""),C276+3,"")</f>
        <v/>
      </c>
      <c r="T276" s="79">
        <f>IF(S276="","",IF(AsOf&gt;S276,1,2))</f>
        <v/>
      </c>
      <c r="U276" s="79">
        <f>IF(T276="","","Decide on change order "&amp;B276&amp;": "&amp;H276&amp;" (+"&amp;CurSym&amp;" "&amp;FIXED(IF(J276="",0,J276),0)&amp;")")</f>
        <v/>
      </c>
    </row>
    <row r="277" ht="24" customHeight="1">
      <c r="B277" s="74" t="n"/>
      <c r="C277" s="109" t="n"/>
      <c r="D277" s="72" t="n"/>
      <c r="E277" s="72" t="n"/>
      <c r="F277" s="72" t="n"/>
      <c r="G277" s="72" t="n"/>
      <c r="H277" s="113" t="n"/>
      <c r="I277" s="72" t="n"/>
      <c r="J277" s="73" t="n"/>
      <c r="K277" s="89" t="n"/>
      <c r="L277" s="74" t="n"/>
      <c r="M277" s="109" t="n"/>
      <c r="N277" s="68">
        <f>IF(AND(H277="",J277=""),"",ForecastTotal+IF(L277="Approved",0,IF(J277="",0,J277)))</f>
        <v/>
      </c>
      <c r="O277" s="75">
        <f>IF(N277="","",ContAmt-MAX(0,N277-WorkBudget))</f>
        <v/>
      </c>
      <c r="P277" s="120">
        <f>IF(OR(N277="",ForecastEnd=""),"",ForecastEnd+IF(L277="Approved",0,IF(K277="",0,K277)))</f>
        <v/>
      </c>
      <c r="Q277" s="121">
        <f>IF(OR(N277="",WorkBudget=0),"",N277/WorkBudget-1)</f>
        <v/>
      </c>
      <c r="R277" s="79">
        <f>IF(N277="","",IF(N277&lt;=WorkBudget,0,IF(N277&lt;=TotalBudget,1,2)))</f>
        <v/>
      </c>
      <c r="S277" s="112">
        <f>IF(AND(OR(H277&lt;&gt;"",J277&lt;&gt;""),OR(L277="Pending",L277=""),C277&lt;&gt;""),C277+3,"")</f>
        <v/>
      </c>
      <c r="T277" s="79">
        <f>IF(S277="","",IF(AsOf&gt;S277,1,2))</f>
        <v/>
      </c>
      <c r="U277" s="79">
        <f>IF(T277="","","Decide on change order "&amp;B277&amp;": "&amp;H277&amp;" (+"&amp;CurSym&amp;" "&amp;FIXED(IF(J277="",0,J277),0)&amp;")")</f>
        <v/>
      </c>
    </row>
    <row r="278" ht="24" customHeight="1">
      <c r="B278" s="74" t="n"/>
      <c r="C278" s="109" t="n"/>
      <c r="D278" s="72" t="n"/>
      <c r="E278" s="72" t="n"/>
      <c r="F278" s="72" t="n"/>
      <c r="G278" s="72" t="n"/>
      <c r="H278" s="113" t="n"/>
      <c r="I278" s="72" t="n"/>
      <c r="J278" s="73" t="n"/>
      <c r="K278" s="89" t="n"/>
      <c r="L278" s="74" t="n"/>
      <c r="M278" s="109" t="n"/>
      <c r="N278" s="68">
        <f>IF(AND(H278="",J278=""),"",ForecastTotal+IF(L278="Approved",0,IF(J278="",0,J278)))</f>
        <v/>
      </c>
      <c r="O278" s="75">
        <f>IF(N278="","",ContAmt-MAX(0,N278-WorkBudget))</f>
        <v/>
      </c>
      <c r="P278" s="120">
        <f>IF(OR(N278="",ForecastEnd=""),"",ForecastEnd+IF(L278="Approved",0,IF(K278="",0,K278)))</f>
        <v/>
      </c>
      <c r="Q278" s="121">
        <f>IF(OR(N278="",WorkBudget=0),"",N278/WorkBudget-1)</f>
        <v/>
      </c>
      <c r="R278" s="79">
        <f>IF(N278="","",IF(N278&lt;=WorkBudget,0,IF(N278&lt;=TotalBudget,1,2)))</f>
        <v/>
      </c>
      <c r="S278" s="112">
        <f>IF(AND(OR(H278&lt;&gt;"",J278&lt;&gt;""),OR(L278="Pending",L278=""),C278&lt;&gt;""),C278+3,"")</f>
        <v/>
      </c>
      <c r="T278" s="79">
        <f>IF(S278="","",IF(AsOf&gt;S278,1,2))</f>
        <v/>
      </c>
      <c r="U278" s="79">
        <f>IF(T278="","","Decide on change order "&amp;B278&amp;": "&amp;H278&amp;" (+"&amp;CurSym&amp;" "&amp;FIXED(IF(J278="",0,J278),0)&amp;")")</f>
        <v/>
      </c>
    </row>
    <row r="279" ht="24" customHeight="1">
      <c r="B279" s="74" t="n"/>
      <c r="C279" s="109" t="n"/>
      <c r="D279" s="72" t="n"/>
      <c r="E279" s="72" t="n"/>
      <c r="F279" s="72" t="n"/>
      <c r="G279" s="72" t="n"/>
      <c r="H279" s="113" t="n"/>
      <c r="I279" s="72" t="n"/>
      <c r="J279" s="73" t="n"/>
      <c r="K279" s="89" t="n"/>
      <c r="L279" s="74" t="n"/>
      <c r="M279" s="109" t="n"/>
      <c r="N279" s="68">
        <f>IF(AND(H279="",J279=""),"",ForecastTotal+IF(L279="Approved",0,IF(J279="",0,J279)))</f>
        <v/>
      </c>
      <c r="O279" s="75">
        <f>IF(N279="","",ContAmt-MAX(0,N279-WorkBudget))</f>
        <v/>
      </c>
      <c r="P279" s="120">
        <f>IF(OR(N279="",ForecastEnd=""),"",ForecastEnd+IF(L279="Approved",0,IF(K279="",0,K279)))</f>
        <v/>
      </c>
      <c r="Q279" s="121">
        <f>IF(OR(N279="",WorkBudget=0),"",N279/WorkBudget-1)</f>
        <v/>
      </c>
      <c r="R279" s="79">
        <f>IF(N279="","",IF(N279&lt;=WorkBudget,0,IF(N279&lt;=TotalBudget,1,2)))</f>
        <v/>
      </c>
      <c r="S279" s="112">
        <f>IF(AND(OR(H279&lt;&gt;"",J279&lt;&gt;""),OR(L279="Pending",L279=""),C279&lt;&gt;""),C279+3,"")</f>
        <v/>
      </c>
      <c r="T279" s="79">
        <f>IF(S279="","",IF(AsOf&gt;S279,1,2))</f>
        <v/>
      </c>
      <c r="U279" s="79">
        <f>IF(T279="","","Decide on change order "&amp;B279&amp;": "&amp;H279&amp;" (+"&amp;CurSym&amp;" "&amp;FIXED(IF(J279="",0,J279),0)&amp;")")</f>
        <v/>
      </c>
    </row>
    <row r="280" ht="24" customHeight="1">
      <c r="B280" s="74" t="n"/>
      <c r="C280" s="109" t="n"/>
      <c r="D280" s="72" t="n"/>
      <c r="E280" s="72" t="n"/>
      <c r="F280" s="72" t="n"/>
      <c r="G280" s="72" t="n"/>
      <c r="H280" s="113" t="n"/>
      <c r="I280" s="72" t="n"/>
      <c r="J280" s="73" t="n"/>
      <c r="K280" s="89" t="n"/>
      <c r="L280" s="74" t="n"/>
      <c r="M280" s="109" t="n"/>
      <c r="N280" s="68">
        <f>IF(AND(H280="",J280=""),"",ForecastTotal+IF(L280="Approved",0,IF(J280="",0,J280)))</f>
        <v/>
      </c>
      <c r="O280" s="75">
        <f>IF(N280="","",ContAmt-MAX(0,N280-WorkBudget))</f>
        <v/>
      </c>
      <c r="P280" s="120">
        <f>IF(OR(N280="",ForecastEnd=""),"",ForecastEnd+IF(L280="Approved",0,IF(K280="",0,K280)))</f>
        <v/>
      </c>
      <c r="Q280" s="121">
        <f>IF(OR(N280="",WorkBudget=0),"",N280/WorkBudget-1)</f>
        <v/>
      </c>
      <c r="R280" s="79">
        <f>IF(N280="","",IF(N280&lt;=WorkBudget,0,IF(N280&lt;=TotalBudget,1,2)))</f>
        <v/>
      </c>
      <c r="S280" s="112">
        <f>IF(AND(OR(H280&lt;&gt;"",J280&lt;&gt;""),OR(L280="Pending",L280=""),C280&lt;&gt;""),C280+3,"")</f>
        <v/>
      </c>
      <c r="T280" s="79">
        <f>IF(S280="","",IF(AsOf&gt;S280,1,2))</f>
        <v/>
      </c>
      <c r="U280" s="79">
        <f>IF(T280="","","Decide on change order "&amp;B280&amp;": "&amp;H280&amp;" (+"&amp;CurSym&amp;" "&amp;FIXED(IF(J280="",0,J280),0)&amp;")")</f>
        <v/>
      </c>
    </row>
    <row r="281" ht="24" customHeight="1">
      <c r="B281" s="74" t="n"/>
      <c r="C281" s="109" t="n"/>
      <c r="D281" s="72" t="n"/>
      <c r="E281" s="72" t="n"/>
      <c r="F281" s="72" t="n"/>
      <c r="G281" s="72" t="n"/>
      <c r="H281" s="113" t="n"/>
      <c r="I281" s="72" t="n"/>
      <c r="J281" s="73" t="n"/>
      <c r="K281" s="89" t="n"/>
      <c r="L281" s="74" t="n"/>
      <c r="M281" s="109" t="n"/>
      <c r="N281" s="68">
        <f>IF(AND(H281="",J281=""),"",ForecastTotal+IF(L281="Approved",0,IF(J281="",0,J281)))</f>
        <v/>
      </c>
      <c r="O281" s="75">
        <f>IF(N281="","",ContAmt-MAX(0,N281-WorkBudget))</f>
        <v/>
      </c>
      <c r="P281" s="120">
        <f>IF(OR(N281="",ForecastEnd=""),"",ForecastEnd+IF(L281="Approved",0,IF(K281="",0,K281)))</f>
        <v/>
      </c>
      <c r="Q281" s="121">
        <f>IF(OR(N281="",WorkBudget=0),"",N281/WorkBudget-1)</f>
        <v/>
      </c>
      <c r="R281" s="79">
        <f>IF(N281="","",IF(N281&lt;=WorkBudget,0,IF(N281&lt;=TotalBudget,1,2)))</f>
        <v/>
      </c>
      <c r="S281" s="112">
        <f>IF(AND(OR(H281&lt;&gt;"",J281&lt;&gt;""),OR(L281="Pending",L281=""),C281&lt;&gt;""),C281+3,"")</f>
        <v/>
      </c>
      <c r="T281" s="79">
        <f>IF(S281="","",IF(AsOf&gt;S281,1,2))</f>
        <v/>
      </c>
      <c r="U281" s="79">
        <f>IF(T281="","","Decide on change order "&amp;B281&amp;": "&amp;H281&amp;" (+"&amp;CurSym&amp;" "&amp;FIXED(IF(J281="",0,J281),0)&amp;")")</f>
        <v/>
      </c>
    </row>
    <row r="282" ht="24" customHeight="1">
      <c r="B282" s="74" t="n"/>
      <c r="C282" s="109" t="n"/>
      <c r="D282" s="72" t="n"/>
      <c r="E282" s="72" t="n"/>
      <c r="F282" s="72" t="n"/>
      <c r="G282" s="72" t="n"/>
      <c r="H282" s="113" t="n"/>
      <c r="I282" s="72" t="n"/>
      <c r="J282" s="73" t="n"/>
      <c r="K282" s="89" t="n"/>
      <c r="L282" s="74" t="n"/>
      <c r="M282" s="109" t="n"/>
      <c r="N282" s="68">
        <f>IF(AND(H282="",J282=""),"",ForecastTotal+IF(L282="Approved",0,IF(J282="",0,J282)))</f>
        <v/>
      </c>
      <c r="O282" s="75">
        <f>IF(N282="","",ContAmt-MAX(0,N282-WorkBudget))</f>
        <v/>
      </c>
      <c r="P282" s="120">
        <f>IF(OR(N282="",ForecastEnd=""),"",ForecastEnd+IF(L282="Approved",0,IF(K282="",0,K282)))</f>
        <v/>
      </c>
      <c r="Q282" s="121">
        <f>IF(OR(N282="",WorkBudget=0),"",N282/WorkBudget-1)</f>
        <v/>
      </c>
      <c r="R282" s="79">
        <f>IF(N282="","",IF(N282&lt;=WorkBudget,0,IF(N282&lt;=TotalBudget,1,2)))</f>
        <v/>
      </c>
      <c r="S282" s="112">
        <f>IF(AND(OR(H282&lt;&gt;"",J282&lt;&gt;""),OR(L282="Pending",L282=""),C282&lt;&gt;""),C282+3,"")</f>
        <v/>
      </c>
      <c r="T282" s="79">
        <f>IF(S282="","",IF(AsOf&gt;S282,1,2))</f>
        <v/>
      </c>
      <c r="U282" s="79">
        <f>IF(T282="","","Decide on change order "&amp;B282&amp;": "&amp;H282&amp;" (+"&amp;CurSym&amp;" "&amp;FIXED(IF(J282="",0,J282),0)&amp;")")</f>
        <v/>
      </c>
    </row>
    <row r="283" ht="24" customHeight="1">
      <c r="B283" s="74" t="n"/>
      <c r="C283" s="109" t="n"/>
      <c r="D283" s="72" t="n"/>
      <c r="E283" s="72" t="n"/>
      <c r="F283" s="72" t="n"/>
      <c r="G283" s="72" t="n"/>
      <c r="H283" s="113" t="n"/>
      <c r="I283" s="72" t="n"/>
      <c r="J283" s="73" t="n"/>
      <c r="K283" s="89" t="n"/>
      <c r="L283" s="74" t="n"/>
      <c r="M283" s="109" t="n"/>
      <c r="N283" s="68">
        <f>IF(AND(H283="",J283=""),"",ForecastTotal+IF(L283="Approved",0,IF(J283="",0,J283)))</f>
        <v/>
      </c>
      <c r="O283" s="75">
        <f>IF(N283="","",ContAmt-MAX(0,N283-WorkBudget))</f>
        <v/>
      </c>
      <c r="P283" s="120">
        <f>IF(OR(N283="",ForecastEnd=""),"",ForecastEnd+IF(L283="Approved",0,IF(K283="",0,K283)))</f>
        <v/>
      </c>
      <c r="Q283" s="121">
        <f>IF(OR(N283="",WorkBudget=0),"",N283/WorkBudget-1)</f>
        <v/>
      </c>
      <c r="R283" s="79">
        <f>IF(N283="","",IF(N283&lt;=WorkBudget,0,IF(N283&lt;=TotalBudget,1,2)))</f>
        <v/>
      </c>
      <c r="S283" s="112">
        <f>IF(AND(OR(H283&lt;&gt;"",J283&lt;&gt;""),OR(L283="Pending",L283=""),C283&lt;&gt;""),C283+3,"")</f>
        <v/>
      </c>
      <c r="T283" s="79">
        <f>IF(S283="","",IF(AsOf&gt;S283,1,2))</f>
        <v/>
      </c>
      <c r="U283" s="79">
        <f>IF(T283="","","Decide on change order "&amp;B283&amp;": "&amp;H283&amp;" (+"&amp;CurSym&amp;" "&amp;FIXED(IF(J283="",0,J283),0)&amp;")")</f>
        <v/>
      </c>
    </row>
    <row r="284" ht="24" customHeight="1">
      <c r="B284" s="74" t="n"/>
      <c r="C284" s="109" t="n"/>
      <c r="D284" s="72" t="n"/>
      <c r="E284" s="72" t="n"/>
      <c r="F284" s="72" t="n"/>
      <c r="G284" s="72" t="n"/>
      <c r="H284" s="113" t="n"/>
      <c r="I284" s="72" t="n"/>
      <c r="J284" s="73" t="n"/>
      <c r="K284" s="89" t="n"/>
      <c r="L284" s="74" t="n"/>
      <c r="M284" s="109" t="n"/>
      <c r="N284" s="68">
        <f>IF(AND(H284="",J284=""),"",ForecastTotal+IF(L284="Approved",0,IF(J284="",0,J284)))</f>
        <v/>
      </c>
      <c r="O284" s="75">
        <f>IF(N284="","",ContAmt-MAX(0,N284-WorkBudget))</f>
        <v/>
      </c>
      <c r="P284" s="120">
        <f>IF(OR(N284="",ForecastEnd=""),"",ForecastEnd+IF(L284="Approved",0,IF(K284="",0,K284)))</f>
        <v/>
      </c>
      <c r="Q284" s="121">
        <f>IF(OR(N284="",WorkBudget=0),"",N284/WorkBudget-1)</f>
        <v/>
      </c>
      <c r="R284" s="79">
        <f>IF(N284="","",IF(N284&lt;=WorkBudget,0,IF(N284&lt;=TotalBudget,1,2)))</f>
        <v/>
      </c>
      <c r="S284" s="112">
        <f>IF(AND(OR(H284&lt;&gt;"",J284&lt;&gt;""),OR(L284="Pending",L284=""),C284&lt;&gt;""),C284+3,"")</f>
        <v/>
      </c>
      <c r="T284" s="79">
        <f>IF(S284="","",IF(AsOf&gt;S284,1,2))</f>
        <v/>
      </c>
      <c r="U284" s="79">
        <f>IF(T284="","","Decide on change order "&amp;B284&amp;": "&amp;H284&amp;" (+"&amp;CurSym&amp;" "&amp;FIXED(IF(J284="",0,J284),0)&amp;")")</f>
        <v/>
      </c>
    </row>
    <row r="285" ht="24" customHeight="1">
      <c r="B285" s="74" t="n"/>
      <c r="C285" s="109" t="n"/>
      <c r="D285" s="72" t="n"/>
      <c r="E285" s="72" t="n"/>
      <c r="F285" s="72" t="n"/>
      <c r="G285" s="72" t="n"/>
      <c r="H285" s="113" t="n"/>
      <c r="I285" s="72" t="n"/>
      <c r="J285" s="73" t="n"/>
      <c r="K285" s="89" t="n"/>
      <c r="L285" s="74" t="n"/>
      <c r="M285" s="109" t="n"/>
      <c r="N285" s="68">
        <f>IF(AND(H285="",J285=""),"",ForecastTotal+IF(L285="Approved",0,IF(J285="",0,J285)))</f>
        <v/>
      </c>
      <c r="O285" s="75">
        <f>IF(N285="","",ContAmt-MAX(0,N285-WorkBudget))</f>
        <v/>
      </c>
      <c r="P285" s="120">
        <f>IF(OR(N285="",ForecastEnd=""),"",ForecastEnd+IF(L285="Approved",0,IF(K285="",0,K285)))</f>
        <v/>
      </c>
      <c r="Q285" s="121">
        <f>IF(OR(N285="",WorkBudget=0),"",N285/WorkBudget-1)</f>
        <v/>
      </c>
      <c r="R285" s="79">
        <f>IF(N285="","",IF(N285&lt;=WorkBudget,0,IF(N285&lt;=TotalBudget,1,2)))</f>
        <v/>
      </c>
      <c r="S285" s="112">
        <f>IF(AND(OR(H285&lt;&gt;"",J285&lt;&gt;""),OR(L285="Pending",L285=""),C285&lt;&gt;""),C285+3,"")</f>
        <v/>
      </c>
      <c r="T285" s="79">
        <f>IF(S285="","",IF(AsOf&gt;S285,1,2))</f>
        <v/>
      </c>
      <c r="U285" s="79">
        <f>IF(T285="","","Decide on change order "&amp;B285&amp;": "&amp;H285&amp;" (+"&amp;CurSym&amp;" "&amp;FIXED(IF(J285="",0,J285),0)&amp;")")</f>
        <v/>
      </c>
    </row>
    <row r="286" ht="24" customHeight="1">
      <c r="B286" s="74" t="n"/>
      <c r="C286" s="109" t="n"/>
      <c r="D286" s="72" t="n"/>
      <c r="E286" s="72" t="n"/>
      <c r="F286" s="72" t="n"/>
      <c r="G286" s="72" t="n"/>
      <c r="H286" s="113" t="n"/>
      <c r="I286" s="72" t="n"/>
      <c r="J286" s="73" t="n"/>
      <c r="K286" s="89" t="n"/>
      <c r="L286" s="74" t="n"/>
      <c r="M286" s="109" t="n"/>
      <c r="N286" s="68">
        <f>IF(AND(H286="",J286=""),"",ForecastTotal+IF(L286="Approved",0,IF(J286="",0,J286)))</f>
        <v/>
      </c>
      <c r="O286" s="75">
        <f>IF(N286="","",ContAmt-MAX(0,N286-WorkBudget))</f>
        <v/>
      </c>
      <c r="P286" s="120">
        <f>IF(OR(N286="",ForecastEnd=""),"",ForecastEnd+IF(L286="Approved",0,IF(K286="",0,K286)))</f>
        <v/>
      </c>
      <c r="Q286" s="121">
        <f>IF(OR(N286="",WorkBudget=0),"",N286/WorkBudget-1)</f>
        <v/>
      </c>
      <c r="R286" s="79">
        <f>IF(N286="","",IF(N286&lt;=WorkBudget,0,IF(N286&lt;=TotalBudget,1,2)))</f>
        <v/>
      </c>
      <c r="S286" s="112">
        <f>IF(AND(OR(H286&lt;&gt;"",J286&lt;&gt;""),OR(L286="Pending",L286=""),C286&lt;&gt;""),C286+3,"")</f>
        <v/>
      </c>
      <c r="T286" s="79">
        <f>IF(S286="","",IF(AsOf&gt;S286,1,2))</f>
        <v/>
      </c>
      <c r="U286" s="79">
        <f>IF(T286="","","Decide on change order "&amp;B286&amp;": "&amp;H286&amp;" (+"&amp;CurSym&amp;" "&amp;FIXED(IF(J286="",0,J286),0)&amp;")")</f>
        <v/>
      </c>
    </row>
    <row r="287" ht="24" customHeight="1">
      <c r="B287" s="74" t="n"/>
      <c r="C287" s="109" t="n"/>
      <c r="D287" s="72" t="n"/>
      <c r="E287" s="72" t="n"/>
      <c r="F287" s="72" t="n"/>
      <c r="G287" s="72" t="n"/>
      <c r="H287" s="113" t="n"/>
      <c r="I287" s="72" t="n"/>
      <c r="J287" s="73" t="n"/>
      <c r="K287" s="89" t="n"/>
      <c r="L287" s="74" t="n"/>
      <c r="M287" s="109" t="n"/>
      <c r="N287" s="68">
        <f>IF(AND(H287="",J287=""),"",ForecastTotal+IF(L287="Approved",0,IF(J287="",0,J287)))</f>
        <v/>
      </c>
      <c r="O287" s="75">
        <f>IF(N287="","",ContAmt-MAX(0,N287-WorkBudget))</f>
        <v/>
      </c>
      <c r="P287" s="120">
        <f>IF(OR(N287="",ForecastEnd=""),"",ForecastEnd+IF(L287="Approved",0,IF(K287="",0,K287)))</f>
        <v/>
      </c>
      <c r="Q287" s="121">
        <f>IF(OR(N287="",WorkBudget=0),"",N287/WorkBudget-1)</f>
        <v/>
      </c>
      <c r="R287" s="79">
        <f>IF(N287="","",IF(N287&lt;=WorkBudget,0,IF(N287&lt;=TotalBudget,1,2)))</f>
        <v/>
      </c>
      <c r="S287" s="112">
        <f>IF(AND(OR(H287&lt;&gt;"",J287&lt;&gt;""),OR(L287="Pending",L287=""),C287&lt;&gt;""),C287+3,"")</f>
        <v/>
      </c>
      <c r="T287" s="79">
        <f>IF(S287="","",IF(AsOf&gt;S287,1,2))</f>
        <v/>
      </c>
      <c r="U287" s="79">
        <f>IF(T287="","","Decide on change order "&amp;B287&amp;": "&amp;H287&amp;" (+"&amp;CurSym&amp;" "&amp;FIXED(IF(J287="",0,J287),0)&amp;")")</f>
        <v/>
      </c>
    </row>
    <row r="288" ht="24" customHeight="1">
      <c r="B288" s="74" t="n"/>
      <c r="C288" s="109" t="n"/>
      <c r="D288" s="72" t="n"/>
      <c r="E288" s="72" t="n"/>
      <c r="F288" s="72" t="n"/>
      <c r="G288" s="72" t="n"/>
      <c r="H288" s="113" t="n"/>
      <c r="I288" s="72" t="n"/>
      <c r="J288" s="73" t="n"/>
      <c r="K288" s="89" t="n"/>
      <c r="L288" s="74" t="n"/>
      <c r="M288" s="109" t="n"/>
      <c r="N288" s="68">
        <f>IF(AND(H288="",J288=""),"",ForecastTotal+IF(L288="Approved",0,IF(J288="",0,J288)))</f>
        <v/>
      </c>
      <c r="O288" s="75">
        <f>IF(N288="","",ContAmt-MAX(0,N288-WorkBudget))</f>
        <v/>
      </c>
      <c r="P288" s="120">
        <f>IF(OR(N288="",ForecastEnd=""),"",ForecastEnd+IF(L288="Approved",0,IF(K288="",0,K288)))</f>
        <v/>
      </c>
      <c r="Q288" s="121">
        <f>IF(OR(N288="",WorkBudget=0),"",N288/WorkBudget-1)</f>
        <v/>
      </c>
      <c r="R288" s="79">
        <f>IF(N288="","",IF(N288&lt;=WorkBudget,0,IF(N288&lt;=TotalBudget,1,2)))</f>
        <v/>
      </c>
      <c r="S288" s="112">
        <f>IF(AND(OR(H288&lt;&gt;"",J288&lt;&gt;""),OR(L288="Pending",L288=""),C288&lt;&gt;""),C288+3,"")</f>
        <v/>
      </c>
      <c r="T288" s="79">
        <f>IF(S288="","",IF(AsOf&gt;S288,1,2))</f>
        <v/>
      </c>
      <c r="U288" s="79">
        <f>IF(T288="","","Decide on change order "&amp;B288&amp;": "&amp;H288&amp;" (+"&amp;CurSym&amp;" "&amp;FIXED(IF(J288="",0,J288),0)&amp;")")</f>
        <v/>
      </c>
    </row>
    <row r="289" ht="24" customHeight="1">
      <c r="B289" s="74" t="n"/>
      <c r="C289" s="109" t="n"/>
      <c r="D289" s="72" t="n"/>
      <c r="E289" s="72" t="n"/>
      <c r="F289" s="72" t="n"/>
      <c r="G289" s="72" t="n"/>
      <c r="H289" s="113" t="n"/>
      <c r="I289" s="72" t="n"/>
      <c r="J289" s="73" t="n"/>
      <c r="K289" s="89" t="n"/>
      <c r="L289" s="74" t="n"/>
      <c r="M289" s="109" t="n"/>
      <c r="N289" s="68">
        <f>IF(AND(H289="",J289=""),"",ForecastTotal+IF(L289="Approved",0,IF(J289="",0,J289)))</f>
        <v/>
      </c>
      <c r="O289" s="75">
        <f>IF(N289="","",ContAmt-MAX(0,N289-WorkBudget))</f>
        <v/>
      </c>
      <c r="P289" s="120">
        <f>IF(OR(N289="",ForecastEnd=""),"",ForecastEnd+IF(L289="Approved",0,IF(K289="",0,K289)))</f>
        <v/>
      </c>
      <c r="Q289" s="121">
        <f>IF(OR(N289="",WorkBudget=0),"",N289/WorkBudget-1)</f>
        <v/>
      </c>
      <c r="R289" s="79">
        <f>IF(N289="","",IF(N289&lt;=WorkBudget,0,IF(N289&lt;=TotalBudget,1,2)))</f>
        <v/>
      </c>
      <c r="S289" s="112">
        <f>IF(AND(OR(H289&lt;&gt;"",J289&lt;&gt;""),OR(L289="Pending",L289=""),C289&lt;&gt;""),C289+3,"")</f>
        <v/>
      </c>
      <c r="T289" s="79">
        <f>IF(S289="","",IF(AsOf&gt;S289,1,2))</f>
        <v/>
      </c>
      <c r="U289" s="79">
        <f>IF(T289="","","Decide on change order "&amp;B289&amp;": "&amp;H289&amp;" (+"&amp;CurSym&amp;" "&amp;FIXED(IF(J289="",0,J289),0)&amp;")")</f>
        <v/>
      </c>
    </row>
    <row r="290" ht="24" customHeight="1">
      <c r="B290" s="74" t="n"/>
      <c r="C290" s="109" t="n"/>
      <c r="D290" s="72" t="n"/>
      <c r="E290" s="72" t="n"/>
      <c r="F290" s="72" t="n"/>
      <c r="G290" s="72" t="n"/>
      <c r="H290" s="113" t="n"/>
      <c r="I290" s="72" t="n"/>
      <c r="J290" s="73" t="n"/>
      <c r="K290" s="89" t="n"/>
      <c r="L290" s="74" t="n"/>
      <c r="M290" s="109" t="n"/>
      <c r="N290" s="68">
        <f>IF(AND(H290="",J290=""),"",ForecastTotal+IF(L290="Approved",0,IF(J290="",0,J290)))</f>
        <v/>
      </c>
      <c r="O290" s="75">
        <f>IF(N290="","",ContAmt-MAX(0,N290-WorkBudget))</f>
        <v/>
      </c>
      <c r="P290" s="120">
        <f>IF(OR(N290="",ForecastEnd=""),"",ForecastEnd+IF(L290="Approved",0,IF(K290="",0,K290)))</f>
        <v/>
      </c>
      <c r="Q290" s="121">
        <f>IF(OR(N290="",WorkBudget=0),"",N290/WorkBudget-1)</f>
        <v/>
      </c>
      <c r="R290" s="79">
        <f>IF(N290="","",IF(N290&lt;=WorkBudget,0,IF(N290&lt;=TotalBudget,1,2)))</f>
        <v/>
      </c>
      <c r="S290" s="112">
        <f>IF(AND(OR(H290&lt;&gt;"",J290&lt;&gt;""),OR(L290="Pending",L290=""),C290&lt;&gt;""),C290+3,"")</f>
        <v/>
      </c>
      <c r="T290" s="79">
        <f>IF(S290="","",IF(AsOf&gt;S290,1,2))</f>
        <v/>
      </c>
      <c r="U290" s="79">
        <f>IF(T290="","","Decide on change order "&amp;B290&amp;": "&amp;H290&amp;" (+"&amp;CurSym&amp;" "&amp;FIXED(IF(J290="",0,J290),0)&amp;")")</f>
        <v/>
      </c>
    </row>
    <row r="291" ht="24" customHeight="1">
      <c r="B291" s="74" t="n"/>
      <c r="C291" s="109" t="n"/>
      <c r="D291" s="72" t="n"/>
      <c r="E291" s="72" t="n"/>
      <c r="F291" s="72" t="n"/>
      <c r="G291" s="72" t="n"/>
      <c r="H291" s="113" t="n"/>
      <c r="I291" s="72" t="n"/>
      <c r="J291" s="73" t="n"/>
      <c r="K291" s="89" t="n"/>
      <c r="L291" s="74" t="n"/>
      <c r="M291" s="109" t="n"/>
      <c r="N291" s="68">
        <f>IF(AND(H291="",J291=""),"",ForecastTotal+IF(L291="Approved",0,IF(J291="",0,J291)))</f>
        <v/>
      </c>
      <c r="O291" s="75">
        <f>IF(N291="","",ContAmt-MAX(0,N291-WorkBudget))</f>
        <v/>
      </c>
      <c r="P291" s="120">
        <f>IF(OR(N291="",ForecastEnd=""),"",ForecastEnd+IF(L291="Approved",0,IF(K291="",0,K291)))</f>
        <v/>
      </c>
      <c r="Q291" s="121">
        <f>IF(OR(N291="",WorkBudget=0),"",N291/WorkBudget-1)</f>
        <v/>
      </c>
      <c r="R291" s="79">
        <f>IF(N291="","",IF(N291&lt;=WorkBudget,0,IF(N291&lt;=TotalBudget,1,2)))</f>
        <v/>
      </c>
      <c r="S291" s="112">
        <f>IF(AND(OR(H291&lt;&gt;"",J291&lt;&gt;""),OR(L291="Pending",L291=""),C291&lt;&gt;""),C291+3,"")</f>
        <v/>
      </c>
      <c r="T291" s="79">
        <f>IF(S291="","",IF(AsOf&gt;S291,1,2))</f>
        <v/>
      </c>
      <c r="U291" s="79">
        <f>IF(T291="","","Decide on change order "&amp;B291&amp;": "&amp;H291&amp;" (+"&amp;CurSym&amp;" "&amp;FIXED(IF(J291="",0,J291),0)&amp;")")</f>
        <v/>
      </c>
    </row>
    <row r="292" ht="24" customHeight="1">
      <c r="B292" s="74" t="n"/>
      <c r="C292" s="109" t="n"/>
      <c r="D292" s="72" t="n"/>
      <c r="E292" s="72" t="n"/>
      <c r="F292" s="72" t="n"/>
      <c r="G292" s="72" t="n"/>
      <c r="H292" s="113" t="n"/>
      <c r="I292" s="72" t="n"/>
      <c r="J292" s="73" t="n"/>
      <c r="K292" s="89" t="n"/>
      <c r="L292" s="74" t="n"/>
      <c r="M292" s="109" t="n"/>
      <c r="N292" s="68">
        <f>IF(AND(H292="",J292=""),"",ForecastTotal+IF(L292="Approved",0,IF(J292="",0,J292)))</f>
        <v/>
      </c>
      <c r="O292" s="75">
        <f>IF(N292="","",ContAmt-MAX(0,N292-WorkBudget))</f>
        <v/>
      </c>
      <c r="P292" s="120">
        <f>IF(OR(N292="",ForecastEnd=""),"",ForecastEnd+IF(L292="Approved",0,IF(K292="",0,K292)))</f>
        <v/>
      </c>
      <c r="Q292" s="121">
        <f>IF(OR(N292="",WorkBudget=0),"",N292/WorkBudget-1)</f>
        <v/>
      </c>
      <c r="R292" s="79">
        <f>IF(N292="","",IF(N292&lt;=WorkBudget,0,IF(N292&lt;=TotalBudget,1,2)))</f>
        <v/>
      </c>
      <c r="S292" s="112">
        <f>IF(AND(OR(H292&lt;&gt;"",J292&lt;&gt;""),OR(L292="Pending",L292=""),C292&lt;&gt;""),C292+3,"")</f>
        <v/>
      </c>
      <c r="T292" s="79">
        <f>IF(S292="","",IF(AsOf&gt;S292,1,2))</f>
        <v/>
      </c>
      <c r="U292" s="79">
        <f>IF(T292="","","Decide on change order "&amp;B292&amp;": "&amp;H292&amp;" (+"&amp;CurSym&amp;" "&amp;FIXED(IF(J292="",0,J292),0)&amp;")")</f>
        <v/>
      </c>
    </row>
    <row r="293" ht="24" customHeight="1">
      <c r="B293" s="74" t="n"/>
      <c r="C293" s="109" t="n"/>
      <c r="D293" s="72" t="n"/>
      <c r="E293" s="72" t="n"/>
      <c r="F293" s="72" t="n"/>
      <c r="G293" s="72" t="n"/>
      <c r="H293" s="113" t="n"/>
      <c r="I293" s="72" t="n"/>
      <c r="J293" s="73" t="n"/>
      <c r="K293" s="89" t="n"/>
      <c r="L293" s="74" t="n"/>
      <c r="M293" s="109" t="n"/>
      <c r="N293" s="68">
        <f>IF(AND(H293="",J293=""),"",ForecastTotal+IF(L293="Approved",0,IF(J293="",0,J293)))</f>
        <v/>
      </c>
      <c r="O293" s="75">
        <f>IF(N293="","",ContAmt-MAX(0,N293-WorkBudget))</f>
        <v/>
      </c>
      <c r="P293" s="120">
        <f>IF(OR(N293="",ForecastEnd=""),"",ForecastEnd+IF(L293="Approved",0,IF(K293="",0,K293)))</f>
        <v/>
      </c>
      <c r="Q293" s="121">
        <f>IF(OR(N293="",WorkBudget=0),"",N293/WorkBudget-1)</f>
        <v/>
      </c>
      <c r="R293" s="79">
        <f>IF(N293="","",IF(N293&lt;=WorkBudget,0,IF(N293&lt;=TotalBudget,1,2)))</f>
        <v/>
      </c>
      <c r="S293" s="112">
        <f>IF(AND(OR(H293&lt;&gt;"",J293&lt;&gt;""),OR(L293="Pending",L293=""),C293&lt;&gt;""),C293+3,"")</f>
        <v/>
      </c>
      <c r="T293" s="79">
        <f>IF(S293="","",IF(AsOf&gt;S293,1,2))</f>
        <v/>
      </c>
      <c r="U293" s="79">
        <f>IF(T293="","","Decide on change order "&amp;B293&amp;": "&amp;H293&amp;" (+"&amp;CurSym&amp;" "&amp;FIXED(IF(J293="",0,J293),0)&amp;")")</f>
        <v/>
      </c>
    </row>
    <row r="294" ht="24" customHeight="1">
      <c r="B294" s="74" t="n"/>
      <c r="C294" s="109" t="n"/>
      <c r="D294" s="72" t="n"/>
      <c r="E294" s="72" t="n"/>
      <c r="F294" s="72" t="n"/>
      <c r="G294" s="72" t="n"/>
      <c r="H294" s="113" t="n"/>
      <c r="I294" s="72" t="n"/>
      <c r="J294" s="73" t="n"/>
      <c r="K294" s="89" t="n"/>
      <c r="L294" s="74" t="n"/>
      <c r="M294" s="109" t="n"/>
      <c r="N294" s="68">
        <f>IF(AND(H294="",J294=""),"",ForecastTotal+IF(L294="Approved",0,IF(J294="",0,J294)))</f>
        <v/>
      </c>
      <c r="O294" s="75">
        <f>IF(N294="","",ContAmt-MAX(0,N294-WorkBudget))</f>
        <v/>
      </c>
      <c r="P294" s="120">
        <f>IF(OR(N294="",ForecastEnd=""),"",ForecastEnd+IF(L294="Approved",0,IF(K294="",0,K294)))</f>
        <v/>
      </c>
      <c r="Q294" s="121">
        <f>IF(OR(N294="",WorkBudget=0),"",N294/WorkBudget-1)</f>
        <v/>
      </c>
      <c r="R294" s="79">
        <f>IF(N294="","",IF(N294&lt;=WorkBudget,0,IF(N294&lt;=TotalBudget,1,2)))</f>
        <v/>
      </c>
      <c r="S294" s="112">
        <f>IF(AND(OR(H294&lt;&gt;"",J294&lt;&gt;""),OR(L294="Pending",L294=""),C294&lt;&gt;""),C294+3,"")</f>
        <v/>
      </c>
      <c r="T294" s="79">
        <f>IF(S294="","",IF(AsOf&gt;S294,1,2))</f>
        <v/>
      </c>
      <c r="U294" s="79">
        <f>IF(T294="","","Decide on change order "&amp;B294&amp;": "&amp;H294&amp;" (+"&amp;CurSym&amp;" "&amp;FIXED(IF(J294="",0,J294),0)&amp;")")</f>
        <v/>
      </c>
    </row>
    <row r="295" ht="24" customHeight="1">
      <c r="B295" s="74" t="n"/>
      <c r="C295" s="109" t="n"/>
      <c r="D295" s="72" t="n"/>
      <c r="E295" s="72" t="n"/>
      <c r="F295" s="72" t="n"/>
      <c r="G295" s="72" t="n"/>
      <c r="H295" s="113" t="n"/>
      <c r="I295" s="72" t="n"/>
      <c r="J295" s="73" t="n"/>
      <c r="K295" s="89" t="n"/>
      <c r="L295" s="74" t="n"/>
      <c r="M295" s="109" t="n"/>
      <c r="N295" s="68">
        <f>IF(AND(H295="",J295=""),"",ForecastTotal+IF(L295="Approved",0,IF(J295="",0,J295)))</f>
        <v/>
      </c>
      <c r="O295" s="75">
        <f>IF(N295="","",ContAmt-MAX(0,N295-WorkBudget))</f>
        <v/>
      </c>
      <c r="P295" s="120">
        <f>IF(OR(N295="",ForecastEnd=""),"",ForecastEnd+IF(L295="Approved",0,IF(K295="",0,K295)))</f>
        <v/>
      </c>
      <c r="Q295" s="121">
        <f>IF(OR(N295="",WorkBudget=0),"",N295/WorkBudget-1)</f>
        <v/>
      </c>
      <c r="R295" s="79">
        <f>IF(N295="","",IF(N295&lt;=WorkBudget,0,IF(N295&lt;=TotalBudget,1,2)))</f>
        <v/>
      </c>
      <c r="S295" s="112">
        <f>IF(AND(OR(H295&lt;&gt;"",J295&lt;&gt;""),OR(L295="Pending",L295=""),C295&lt;&gt;""),C295+3,"")</f>
        <v/>
      </c>
      <c r="T295" s="79">
        <f>IF(S295="","",IF(AsOf&gt;S295,1,2))</f>
        <v/>
      </c>
      <c r="U295" s="79">
        <f>IF(T295="","","Decide on change order "&amp;B295&amp;": "&amp;H295&amp;" (+"&amp;CurSym&amp;" "&amp;FIXED(IF(J295="",0,J295),0)&amp;")")</f>
        <v/>
      </c>
    </row>
    <row r="296" ht="24" customHeight="1">
      <c r="B296" s="74" t="n"/>
      <c r="C296" s="109" t="n"/>
      <c r="D296" s="72" t="n"/>
      <c r="E296" s="72" t="n"/>
      <c r="F296" s="72" t="n"/>
      <c r="G296" s="72" t="n"/>
      <c r="H296" s="113" t="n"/>
      <c r="I296" s="72" t="n"/>
      <c r="J296" s="73" t="n"/>
      <c r="K296" s="89" t="n"/>
      <c r="L296" s="74" t="n"/>
      <c r="M296" s="109" t="n"/>
      <c r="N296" s="68">
        <f>IF(AND(H296="",J296=""),"",ForecastTotal+IF(L296="Approved",0,IF(J296="",0,J296)))</f>
        <v/>
      </c>
      <c r="O296" s="75">
        <f>IF(N296="","",ContAmt-MAX(0,N296-WorkBudget))</f>
        <v/>
      </c>
      <c r="P296" s="120">
        <f>IF(OR(N296="",ForecastEnd=""),"",ForecastEnd+IF(L296="Approved",0,IF(K296="",0,K296)))</f>
        <v/>
      </c>
      <c r="Q296" s="121">
        <f>IF(OR(N296="",WorkBudget=0),"",N296/WorkBudget-1)</f>
        <v/>
      </c>
      <c r="R296" s="79">
        <f>IF(N296="","",IF(N296&lt;=WorkBudget,0,IF(N296&lt;=TotalBudget,1,2)))</f>
        <v/>
      </c>
      <c r="S296" s="112">
        <f>IF(AND(OR(H296&lt;&gt;"",J296&lt;&gt;""),OR(L296="Pending",L296=""),C296&lt;&gt;""),C296+3,"")</f>
        <v/>
      </c>
      <c r="T296" s="79">
        <f>IF(S296="","",IF(AsOf&gt;S296,1,2))</f>
        <v/>
      </c>
      <c r="U296" s="79">
        <f>IF(T296="","","Decide on change order "&amp;B296&amp;": "&amp;H296&amp;" (+"&amp;CurSym&amp;" "&amp;FIXED(IF(J296="",0,J296),0)&amp;")")</f>
        <v/>
      </c>
    </row>
    <row r="297" ht="24" customHeight="1">
      <c r="B297" s="74" t="n"/>
      <c r="C297" s="109" t="n"/>
      <c r="D297" s="72" t="n"/>
      <c r="E297" s="72" t="n"/>
      <c r="F297" s="72" t="n"/>
      <c r="G297" s="72" t="n"/>
      <c r="H297" s="113" t="n"/>
      <c r="I297" s="72" t="n"/>
      <c r="J297" s="73" t="n"/>
      <c r="K297" s="89" t="n"/>
      <c r="L297" s="74" t="n"/>
      <c r="M297" s="109" t="n"/>
      <c r="N297" s="68">
        <f>IF(AND(H297="",J297=""),"",ForecastTotal+IF(L297="Approved",0,IF(J297="",0,J297)))</f>
        <v/>
      </c>
      <c r="O297" s="75">
        <f>IF(N297="","",ContAmt-MAX(0,N297-WorkBudget))</f>
        <v/>
      </c>
      <c r="P297" s="120">
        <f>IF(OR(N297="",ForecastEnd=""),"",ForecastEnd+IF(L297="Approved",0,IF(K297="",0,K297)))</f>
        <v/>
      </c>
      <c r="Q297" s="121">
        <f>IF(OR(N297="",WorkBudget=0),"",N297/WorkBudget-1)</f>
        <v/>
      </c>
      <c r="R297" s="79">
        <f>IF(N297="","",IF(N297&lt;=WorkBudget,0,IF(N297&lt;=TotalBudget,1,2)))</f>
        <v/>
      </c>
      <c r="S297" s="112">
        <f>IF(AND(OR(H297&lt;&gt;"",J297&lt;&gt;""),OR(L297="Pending",L297=""),C297&lt;&gt;""),C297+3,"")</f>
        <v/>
      </c>
      <c r="T297" s="79">
        <f>IF(S297="","",IF(AsOf&gt;S297,1,2))</f>
        <v/>
      </c>
      <c r="U297" s="79">
        <f>IF(T297="","","Decide on change order "&amp;B297&amp;": "&amp;H297&amp;" (+"&amp;CurSym&amp;" "&amp;FIXED(IF(J297="",0,J297),0)&amp;")")</f>
        <v/>
      </c>
    </row>
    <row r="298" ht="24" customHeight="1">
      <c r="B298" s="74" t="n"/>
      <c r="C298" s="109" t="n"/>
      <c r="D298" s="72" t="n"/>
      <c r="E298" s="72" t="n"/>
      <c r="F298" s="72" t="n"/>
      <c r="G298" s="72" t="n"/>
      <c r="H298" s="113" t="n"/>
      <c r="I298" s="72" t="n"/>
      <c r="J298" s="73" t="n"/>
      <c r="K298" s="89" t="n"/>
      <c r="L298" s="74" t="n"/>
      <c r="M298" s="109" t="n"/>
      <c r="N298" s="68">
        <f>IF(AND(H298="",J298=""),"",ForecastTotal+IF(L298="Approved",0,IF(J298="",0,J298)))</f>
        <v/>
      </c>
      <c r="O298" s="75">
        <f>IF(N298="","",ContAmt-MAX(0,N298-WorkBudget))</f>
        <v/>
      </c>
      <c r="P298" s="120">
        <f>IF(OR(N298="",ForecastEnd=""),"",ForecastEnd+IF(L298="Approved",0,IF(K298="",0,K298)))</f>
        <v/>
      </c>
      <c r="Q298" s="121">
        <f>IF(OR(N298="",WorkBudget=0),"",N298/WorkBudget-1)</f>
        <v/>
      </c>
      <c r="R298" s="79">
        <f>IF(N298="","",IF(N298&lt;=WorkBudget,0,IF(N298&lt;=TotalBudget,1,2)))</f>
        <v/>
      </c>
      <c r="S298" s="112">
        <f>IF(AND(OR(H298&lt;&gt;"",J298&lt;&gt;""),OR(L298="Pending",L298=""),C298&lt;&gt;""),C298+3,"")</f>
        <v/>
      </c>
      <c r="T298" s="79">
        <f>IF(S298="","",IF(AsOf&gt;S298,1,2))</f>
        <v/>
      </c>
      <c r="U298" s="79">
        <f>IF(T298="","","Decide on change order "&amp;B298&amp;": "&amp;H298&amp;" (+"&amp;CurSym&amp;" "&amp;FIXED(IF(J298="",0,J298),0)&amp;")")</f>
        <v/>
      </c>
    </row>
    <row r="299" ht="24" customHeight="1">
      <c r="B299" s="74" t="n"/>
      <c r="C299" s="109" t="n"/>
      <c r="D299" s="72" t="n"/>
      <c r="E299" s="72" t="n"/>
      <c r="F299" s="72" t="n"/>
      <c r="G299" s="72" t="n"/>
      <c r="H299" s="113" t="n"/>
      <c r="I299" s="72" t="n"/>
      <c r="J299" s="73" t="n"/>
      <c r="K299" s="89" t="n"/>
      <c r="L299" s="74" t="n"/>
      <c r="M299" s="109" t="n"/>
      <c r="N299" s="68">
        <f>IF(AND(H299="",J299=""),"",ForecastTotal+IF(L299="Approved",0,IF(J299="",0,J299)))</f>
        <v/>
      </c>
      <c r="O299" s="75">
        <f>IF(N299="","",ContAmt-MAX(0,N299-WorkBudget))</f>
        <v/>
      </c>
      <c r="P299" s="120">
        <f>IF(OR(N299="",ForecastEnd=""),"",ForecastEnd+IF(L299="Approved",0,IF(K299="",0,K299)))</f>
        <v/>
      </c>
      <c r="Q299" s="121">
        <f>IF(OR(N299="",WorkBudget=0),"",N299/WorkBudget-1)</f>
        <v/>
      </c>
      <c r="R299" s="79">
        <f>IF(N299="","",IF(N299&lt;=WorkBudget,0,IF(N299&lt;=TotalBudget,1,2)))</f>
        <v/>
      </c>
      <c r="S299" s="112">
        <f>IF(AND(OR(H299&lt;&gt;"",J299&lt;&gt;""),OR(L299="Pending",L299=""),C299&lt;&gt;""),C299+3,"")</f>
        <v/>
      </c>
      <c r="T299" s="79">
        <f>IF(S299="","",IF(AsOf&gt;S299,1,2))</f>
        <v/>
      </c>
      <c r="U299" s="79">
        <f>IF(T299="","","Decide on change order "&amp;B299&amp;": "&amp;H299&amp;" (+"&amp;CurSym&amp;" "&amp;FIXED(IF(J299="",0,J299),0)&amp;")")</f>
        <v/>
      </c>
    </row>
    <row r="300" ht="24" customHeight="1">
      <c r="B300" s="74" t="n"/>
      <c r="C300" s="109" t="n"/>
      <c r="D300" s="72" t="n"/>
      <c r="E300" s="72" t="n"/>
      <c r="F300" s="72" t="n"/>
      <c r="G300" s="72" t="n"/>
      <c r="H300" s="113" t="n"/>
      <c r="I300" s="72" t="n"/>
      <c r="J300" s="73" t="n"/>
      <c r="K300" s="89" t="n"/>
      <c r="L300" s="74" t="n"/>
      <c r="M300" s="109" t="n"/>
      <c r="N300" s="68">
        <f>IF(AND(H300="",J300=""),"",ForecastTotal+IF(L300="Approved",0,IF(J300="",0,J300)))</f>
        <v/>
      </c>
      <c r="O300" s="75">
        <f>IF(N300="","",ContAmt-MAX(0,N300-WorkBudget))</f>
        <v/>
      </c>
      <c r="P300" s="120">
        <f>IF(OR(N300="",ForecastEnd=""),"",ForecastEnd+IF(L300="Approved",0,IF(K300="",0,K300)))</f>
        <v/>
      </c>
      <c r="Q300" s="121">
        <f>IF(OR(N300="",WorkBudget=0),"",N300/WorkBudget-1)</f>
        <v/>
      </c>
      <c r="R300" s="79">
        <f>IF(N300="","",IF(N300&lt;=WorkBudget,0,IF(N300&lt;=TotalBudget,1,2)))</f>
        <v/>
      </c>
      <c r="S300" s="112">
        <f>IF(AND(OR(H300&lt;&gt;"",J300&lt;&gt;""),OR(L300="Pending",L300=""),C300&lt;&gt;""),C300+3,"")</f>
        <v/>
      </c>
      <c r="T300" s="79">
        <f>IF(S300="","",IF(AsOf&gt;S300,1,2))</f>
        <v/>
      </c>
      <c r="U300" s="79">
        <f>IF(T300="","","Decide on change order "&amp;B300&amp;": "&amp;H300&amp;" (+"&amp;CurSym&amp;" "&amp;FIXED(IF(J300="",0,J300),0)&amp;")")</f>
        <v/>
      </c>
    </row>
    <row r="301" ht="24" customHeight="1">
      <c r="B301" s="74" t="n"/>
      <c r="C301" s="109" t="n"/>
      <c r="D301" s="72" t="n"/>
      <c r="E301" s="72" t="n"/>
      <c r="F301" s="72" t="n"/>
      <c r="G301" s="72" t="n"/>
      <c r="H301" s="113" t="n"/>
      <c r="I301" s="72" t="n"/>
      <c r="J301" s="73" t="n"/>
      <c r="K301" s="89" t="n"/>
      <c r="L301" s="74" t="n"/>
      <c r="M301" s="109" t="n"/>
      <c r="N301" s="68">
        <f>IF(AND(H301="",J301=""),"",ForecastTotal+IF(L301="Approved",0,IF(J301="",0,J301)))</f>
        <v/>
      </c>
      <c r="O301" s="75">
        <f>IF(N301="","",ContAmt-MAX(0,N301-WorkBudget))</f>
        <v/>
      </c>
      <c r="P301" s="120">
        <f>IF(OR(N301="",ForecastEnd=""),"",ForecastEnd+IF(L301="Approved",0,IF(K301="",0,K301)))</f>
        <v/>
      </c>
      <c r="Q301" s="121">
        <f>IF(OR(N301="",WorkBudget=0),"",N301/WorkBudget-1)</f>
        <v/>
      </c>
      <c r="R301" s="79">
        <f>IF(N301="","",IF(N301&lt;=WorkBudget,0,IF(N301&lt;=TotalBudget,1,2)))</f>
        <v/>
      </c>
      <c r="S301" s="112">
        <f>IF(AND(OR(H301&lt;&gt;"",J301&lt;&gt;""),OR(L301="Pending",L301=""),C301&lt;&gt;""),C301+3,"")</f>
        <v/>
      </c>
      <c r="T301" s="79">
        <f>IF(S301="","",IF(AsOf&gt;S301,1,2))</f>
        <v/>
      </c>
      <c r="U301" s="79">
        <f>IF(T301="","","Decide on change order "&amp;B301&amp;": "&amp;H301&amp;" (+"&amp;CurSym&amp;" "&amp;FIXED(IF(J301="",0,J301),0)&amp;")")</f>
        <v/>
      </c>
    </row>
    <row r="302" ht="24" customHeight="1">
      <c r="B302" s="74" t="n"/>
      <c r="C302" s="109" t="n"/>
      <c r="D302" s="72" t="n"/>
      <c r="E302" s="72" t="n"/>
      <c r="F302" s="72" t="n"/>
      <c r="G302" s="72" t="n"/>
      <c r="H302" s="113" t="n"/>
      <c r="I302" s="72" t="n"/>
      <c r="J302" s="73" t="n"/>
      <c r="K302" s="89" t="n"/>
      <c r="L302" s="74" t="n"/>
      <c r="M302" s="109" t="n"/>
      <c r="N302" s="68">
        <f>IF(AND(H302="",J302=""),"",ForecastTotal+IF(L302="Approved",0,IF(J302="",0,J302)))</f>
        <v/>
      </c>
      <c r="O302" s="75">
        <f>IF(N302="","",ContAmt-MAX(0,N302-WorkBudget))</f>
        <v/>
      </c>
      <c r="P302" s="120">
        <f>IF(OR(N302="",ForecastEnd=""),"",ForecastEnd+IF(L302="Approved",0,IF(K302="",0,K302)))</f>
        <v/>
      </c>
      <c r="Q302" s="121">
        <f>IF(OR(N302="",WorkBudget=0),"",N302/WorkBudget-1)</f>
        <v/>
      </c>
      <c r="R302" s="79">
        <f>IF(N302="","",IF(N302&lt;=WorkBudget,0,IF(N302&lt;=TotalBudget,1,2)))</f>
        <v/>
      </c>
      <c r="S302" s="112">
        <f>IF(AND(OR(H302&lt;&gt;"",J302&lt;&gt;""),OR(L302="Pending",L302=""),C302&lt;&gt;""),C302+3,"")</f>
        <v/>
      </c>
      <c r="T302" s="79">
        <f>IF(S302="","",IF(AsOf&gt;S302,1,2))</f>
        <v/>
      </c>
      <c r="U302" s="79">
        <f>IF(T302="","","Decide on change order "&amp;B302&amp;": "&amp;H302&amp;" (+"&amp;CurSym&amp;" "&amp;FIXED(IF(J302="",0,J302),0)&amp;")")</f>
        <v/>
      </c>
    </row>
    <row r="303" ht="24" customHeight="1">
      <c r="B303" s="74" t="n"/>
      <c r="C303" s="109" t="n"/>
      <c r="D303" s="72" t="n"/>
      <c r="E303" s="72" t="n"/>
      <c r="F303" s="72" t="n"/>
      <c r="G303" s="72" t="n"/>
      <c r="H303" s="113" t="n"/>
      <c r="I303" s="72" t="n"/>
      <c r="J303" s="73" t="n"/>
      <c r="K303" s="89" t="n"/>
      <c r="L303" s="74" t="n"/>
      <c r="M303" s="109" t="n"/>
      <c r="N303" s="68">
        <f>IF(AND(H303="",J303=""),"",ForecastTotal+IF(L303="Approved",0,IF(J303="",0,J303)))</f>
        <v/>
      </c>
      <c r="O303" s="75">
        <f>IF(N303="","",ContAmt-MAX(0,N303-WorkBudget))</f>
        <v/>
      </c>
      <c r="P303" s="120">
        <f>IF(OR(N303="",ForecastEnd=""),"",ForecastEnd+IF(L303="Approved",0,IF(K303="",0,K303)))</f>
        <v/>
      </c>
      <c r="Q303" s="121">
        <f>IF(OR(N303="",WorkBudget=0),"",N303/WorkBudget-1)</f>
        <v/>
      </c>
      <c r="R303" s="79">
        <f>IF(N303="","",IF(N303&lt;=WorkBudget,0,IF(N303&lt;=TotalBudget,1,2)))</f>
        <v/>
      </c>
      <c r="S303" s="112">
        <f>IF(AND(OR(H303&lt;&gt;"",J303&lt;&gt;""),OR(L303="Pending",L303=""),C303&lt;&gt;""),C303+3,"")</f>
        <v/>
      </c>
      <c r="T303" s="79">
        <f>IF(S303="","",IF(AsOf&gt;S303,1,2))</f>
        <v/>
      </c>
      <c r="U303" s="79">
        <f>IF(T303="","","Decide on change order "&amp;B303&amp;": "&amp;H303&amp;" (+"&amp;CurSym&amp;" "&amp;FIXED(IF(J303="",0,J303),0)&amp;")")</f>
        <v/>
      </c>
    </row>
    <row r="304" ht="24" customHeight="1">
      <c r="B304" s="74" t="n"/>
      <c r="C304" s="109" t="n"/>
      <c r="D304" s="72" t="n"/>
      <c r="E304" s="72" t="n"/>
      <c r="F304" s="72" t="n"/>
      <c r="G304" s="72" t="n"/>
      <c r="H304" s="113" t="n"/>
      <c r="I304" s="72" t="n"/>
      <c r="J304" s="73" t="n"/>
      <c r="K304" s="89" t="n"/>
      <c r="L304" s="74" t="n"/>
      <c r="M304" s="109" t="n"/>
      <c r="N304" s="68">
        <f>IF(AND(H304="",J304=""),"",ForecastTotal+IF(L304="Approved",0,IF(J304="",0,J304)))</f>
        <v/>
      </c>
      <c r="O304" s="75">
        <f>IF(N304="","",ContAmt-MAX(0,N304-WorkBudget))</f>
        <v/>
      </c>
      <c r="P304" s="120">
        <f>IF(OR(N304="",ForecastEnd=""),"",ForecastEnd+IF(L304="Approved",0,IF(K304="",0,K304)))</f>
        <v/>
      </c>
      <c r="Q304" s="121">
        <f>IF(OR(N304="",WorkBudget=0),"",N304/WorkBudget-1)</f>
        <v/>
      </c>
      <c r="R304" s="79">
        <f>IF(N304="","",IF(N304&lt;=WorkBudget,0,IF(N304&lt;=TotalBudget,1,2)))</f>
        <v/>
      </c>
      <c r="S304" s="112">
        <f>IF(AND(OR(H304&lt;&gt;"",J304&lt;&gt;""),OR(L304="Pending",L304=""),C304&lt;&gt;""),C304+3,"")</f>
        <v/>
      </c>
      <c r="T304" s="79">
        <f>IF(S304="","",IF(AsOf&gt;S304,1,2))</f>
        <v/>
      </c>
      <c r="U304" s="79">
        <f>IF(T304="","","Decide on change order "&amp;B304&amp;": "&amp;H304&amp;" (+"&amp;CurSym&amp;" "&amp;FIXED(IF(J304="",0,J304),0)&amp;")")</f>
        <v/>
      </c>
    </row>
    <row r="305" ht="24" customHeight="1">
      <c r="B305" s="74" t="n"/>
      <c r="C305" s="109" t="n"/>
      <c r="D305" s="72" t="n"/>
      <c r="E305" s="72" t="n"/>
      <c r="F305" s="72" t="n"/>
      <c r="G305" s="72" t="n"/>
      <c r="H305" s="113" t="n"/>
      <c r="I305" s="72" t="n"/>
      <c r="J305" s="73" t="n"/>
      <c r="K305" s="89" t="n"/>
      <c r="L305" s="74" t="n"/>
      <c r="M305" s="109" t="n"/>
      <c r="N305" s="68">
        <f>IF(AND(H305="",J305=""),"",ForecastTotal+IF(L305="Approved",0,IF(J305="",0,J305)))</f>
        <v/>
      </c>
      <c r="O305" s="75">
        <f>IF(N305="","",ContAmt-MAX(0,N305-WorkBudget))</f>
        <v/>
      </c>
      <c r="P305" s="120">
        <f>IF(OR(N305="",ForecastEnd=""),"",ForecastEnd+IF(L305="Approved",0,IF(K305="",0,K305)))</f>
        <v/>
      </c>
      <c r="Q305" s="121">
        <f>IF(OR(N305="",WorkBudget=0),"",N305/WorkBudget-1)</f>
        <v/>
      </c>
      <c r="R305" s="79">
        <f>IF(N305="","",IF(N305&lt;=WorkBudget,0,IF(N305&lt;=TotalBudget,1,2)))</f>
        <v/>
      </c>
      <c r="S305" s="112">
        <f>IF(AND(OR(H305&lt;&gt;"",J305&lt;&gt;""),OR(L305="Pending",L305=""),C305&lt;&gt;""),C305+3,"")</f>
        <v/>
      </c>
      <c r="T305" s="79">
        <f>IF(S305="","",IF(AsOf&gt;S305,1,2))</f>
        <v/>
      </c>
      <c r="U305" s="79">
        <f>IF(T305="","","Decide on change order "&amp;B305&amp;": "&amp;H305&amp;" (+"&amp;CurSym&amp;" "&amp;FIXED(IF(J305="",0,J305),0)&amp;")")</f>
        <v/>
      </c>
    </row>
    <row r="306" ht="24" customHeight="1">
      <c r="B306" s="74" t="n"/>
      <c r="C306" s="109" t="n"/>
      <c r="D306" s="72" t="n"/>
      <c r="E306" s="72" t="n"/>
      <c r="F306" s="72" t="n"/>
      <c r="G306" s="72" t="n"/>
      <c r="H306" s="113" t="n"/>
      <c r="I306" s="72" t="n"/>
      <c r="J306" s="73" t="n"/>
      <c r="K306" s="89" t="n"/>
      <c r="L306" s="74" t="n"/>
      <c r="M306" s="109" t="n"/>
      <c r="N306" s="68">
        <f>IF(AND(H306="",J306=""),"",ForecastTotal+IF(L306="Approved",0,IF(J306="",0,J306)))</f>
        <v/>
      </c>
      <c r="O306" s="75">
        <f>IF(N306="","",ContAmt-MAX(0,N306-WorkBudget))</f>
        <v/>
      </c>
      <c r="P306" s="120">
        <f>IF(OR(N306="",ForecastEnd=""),"",ForecastEnd+IF(L306="Approved",0,IF(K306="",0,K306)))</f>
        <v/>
      </c>
      <c r="Q306" s="121">
        <f>IF(OR(N306="",WorkBudget=0),"",N306/WorkBudget-1)</f>
        <v/>
      </c>
      <c r="R306" s="79">
        <f>IF(N306="","",IF(N306&lt;=WorkBudget,0,IF(N306&lt;=TotalBudget,1,2)))</f>
        <v/>
      </c>
      <c r="S306" s="112">
        <f>IF(AND(OR(H306&lt;&gt;"",J306&lt;&gt;""),OR(L306="Pending",L306=""),C306&lt;&gt;""),C306+3,"")</f>
        <v/>
      </c>
      <c r="T306" s="79">
        <f>IF(S306="","",IF(AsOf&gt;S306,1,2))</f>
        <v/>
      </c>
      <c r="U306" s="79">
        <f>IF(T306="","","Decide on change order "&amp;B306&amp;": "&amp;H306&amp;" (+"&amp;CurSym&amp;" "&amp;FIXED(IF(J306="",0,J306),0)&amp;")")</f>
        <v/>
      </c>
    </row>
    <row r="307" ht="24" customHeight="1">
      <c r="B307" s="74" t="n"/>
      <c r="C307" s="109" t="n"/>
      <c r="D307" s="72" t="n"/>
      <c r="E307" s="72" t="n"/>
      <c r="F307" s="72" t="n"/>
      <c r="G307" s="72" t="n"/>
      <c r="H307" s="113" t="n"/>
      <c r="I307" s="72" t="n"/>
      <c r="J307" s="73" t="n"/>
      <c r="K307" s="89" t="n"/>
      <c r="L307" s="74" t="n"/>
      <c r="M307" s="109" t="n"/>
      <c r="N307" s="68">
        <f>IF(AND(H307="",J307=""),"",ForecastTotal+IF(L307="Approved",0,IF(J307="",0,J307)))</f>
        <v/>
      </c>
      <c r="O307" s="75">
        <f>IF(N307="","",ContAmt-MAX(0,N307-WorkBudget))</f>
        <v/>
      </c>
      <c r="P307" s="120">
        <f>IF(OR(N307="",ForecastEnd=""),"",ForecastEnd+IF(L307="Approved",0,IF(K307="",0,K307)))</f>
        <v/>
      </c>
      <c r="Q307" s="121">
        <f>IF(OR(N307="",WorkBudget=0),"",N307/WorkBudget-1)</f>
        <v/>
      </c>
      <c r="R307" s="79">
        <f>IF(N307="","",IF(N307&lt;=WorkBudget,0,IF(N307&lt;=TotalBudget,1,2)))</f>
        <v/>
      </c>
      <c r="S307" s="112">
        <f>IF(AND(OR(H307&lt;&gt;"",J307&lt;&gt;""),OR(L307="Pending",L307=""),C307&lt;&gt;""),C307+3,"")</f>
        <v/>
      </c>
      <c r="T307" s="79">
        <f>IF(S307="","",IF(AsOf&gt;S307,1,2))</f>
        <v/>
      </c>
      <c r="U307" s="79">
        <f>IF(T307="","","Decide on change order "&amp;B307&amp;": "&amp;H307&amp;" (+"&amp;CurSym&amp;" "&amp;FIXED(IF(J307="",0,J307),0)&amp;")")</f>
        <v/>
      </c>
    </row>
    <row r="308" ht="24" customHeight="1">
      <c r="B308" s="74" t="n"/>
      <c r="C308" s="109" t="n"/>
      <c r="D308" s="72" t="n"/>
      <c r="E308" s="72" t="n"/>
      <c r="F308" s="72" t="n"/>
      <c r="G308" s="72" t="n"/>
      <c r="H308" s="113" t="n"/>
      <c r="I308" s="72" t="n"/>
      <c r="J308" s="73" t="n"/>
      <c r="K308" s="89" t="n"/>
      <c r="L308" s="74" t="n"/>
      <c r="M308" s="109" t="n"/>
      <c r="N308" s="68">
        <f>IF(AND(H308="",J308=""),"",ForecastTotal+IF(L308="Approved",0,IF(J308="",0,J308)))</f>
        <v/>
      </c>
      <c r="O308" s="75">
        <f>IF(N308="","",ContAmt-MAX(0,N308-WorkBudget))</f>
        <v/>
      </c>
      <c r="P308" s="120">
        <f>IF(OR(N308="",ForecastEnd=""),"",ForecastEnd+IF(L308="Approved",0,IF(K308="",0,K308)))</f>
        <v/>
      </c>
      <c r="Q308" s="121">
        <f>IF(OR(N308="",WorkBudget=0),"",N308/WorkBudget-1)</f>
        <v/>
      </c>
      <c r="R308" s="79">
        <f>IF(N308="","",IF(N308&lt;=WorkBudget,0,IF(N308&lt;=TotalBudget,1,2)))</f>
        <v/>
      </c>
      <c r="S308" s="112">
        <f>IF(AND(OR(H308&lt;&gt;"",J308&lt;&gt;""),OR(L308="Pending",L308=""),C308&lt;&gt;""),C308+3,"")</f>
        <v/>
      </c>
      <c r="T308" s="79">
        <f>IF(S308="","",IF(AsOf&gt;S308,1,2))</f>
        <v/>
      </c>
      <c r="U308" s="79">
        <f>IF(T308="","","Decide on change order "&amp;B308&amp;": "&amp;H308&amp;" (+"&amp;CurSym&amp;" "&amp;FIXED(IF(J308="",0,J308),0)&amp;")")</f>
        <v/>
      </c>
    </row>
    <row r="309" ht="24" customHeight="1">
      <c r="B309" s="74" t="n"/>
      <c r="C309" s="109" t="n"/>
      <c r="D309" s="72" t="n"/>
      <c r="E309" s="72" t="n"/>
      <c r="F309" s="72" t="n"/>
      <c r="G309" s="72" t="n"/>
      <c r="H309" s="113" t="n"/>
      <c r="I309" s="72" t="n"/>
      <c r="J309" s="73" t="n"/>
      <c r="K309" s="89" t="n"/>
      <c r="L309" s="74" t="n"/>
      <c r="M309" s="109" t="n"/>
      <c r="N309" s="68">
        <f>IF(AND(H309="",J309=""),"",ForecastTotal+IF(L309="Approved",0,IF(J309="",0,J309)))</f>
        <v/>
      </c>
      <c r="O309" s="75">
        <f>IF(N309="","",ContAmt-MAX(0,N309-WorkBudget))</f>
        <v/>
      </c>
      <c r="P309" s="120">
        <f>IF(OR(N309="",ForecastEnd=""),"",ForecastEnd+IF(L309="Approved",0,IF(K309="",0,K309)))</f>
        <v/>
      </c>
      <c r="Q309" s="121">
        <f>IF(OR(N309="",WorkBudget=0),"",N309/WorkBudget-1)</f>
        <v/>
      </c>
      <c r="R309" s="79">
        <f>IF(N309="","",IF(N309&lt;=WorkBudget,0,IF(N309&lt;=TotalBudget,1,2)))</f>
        <v/>
      </c>
      <c r="S309" s="112">
        <f>IF(AND(OR(H309&lt;&gt;"",J309&lt;&gt;""),OR(L309="Pending",L309=""),C309&lt;&gt;""),C309+3,"")</f>
        <v/>
      </c>
      <c r="T309" s="79">
        <f>IF(S309="","",IF(AsOf&gt;S309,1,2))</f>
        <v/>
      </c>
      <c r="U309" s="79">
        <f>IF(T309="","","Decide on change order "&amp;B309&amp;": "&amp;H309&amp;" (+"&amp;CurSym&amp;" "&amp;FIXED(IF(J309="",0,J309),0)&amp;")")</f>
        <v/>
      </c>
    </row>
    <row r="310" ht="24" customHeight="1">
      <c r="B310" s="74" t="n"/>
      <c r="C310" s="109" t="n"/>
      <c r="D310" s="72" t="n"/>
      <c r="E310" s="72" t="n"/>
      <c r="F310" s="72" t="n"/>
      <c r="G310" s="72" t="n"/>
      <c r="H310" s="113" t="n"/>
      <c r="I310" s="72" t="n"/>
      <c r="J310" s="73" t="n"/>
      <c r="K310" s="89" t="n"/>
      <c r="L310" s="74" t="n"/>
      <c r="M310" s="109" t="n"/>
      <c r="N310" s="68">
        <f>IF(AND(H310="",J310=""),"",ForecastTotal+IF(L310="Approved",0,IF(J310="",0,J310)))</f>
        <v/>
      </c>
      <c r="O310" s="75">
        <f>IF(N310="","",ContAmt-MAX(0,N310-WorkBudget))</f>
        <v/>
      </c>
      <c r="P310" s="120">
        <f>IF(OR(N310="",ForecastEnd=""),"",ForecastEnd+IF(L310="Approved",0,IF(K310="",0,K310)))</f>
        <v/>
      </c>
      <c r="Q310" s="121">
        <f>IF(OR(N310="",WorkBudget=0),"",N310/WorkBudget-1)</f>
        <v/>
      </c>
      <c r="R310" s="79">
        <f>IF(N310="","",IF(N310&lt;=WorkBudget,0,IF(N310&lt;=TotalBudget,1,2)))</f>
        <v/>
      </c>
      <c r="S310" s="112">
        <f>IF(AND(OR(H310&lt;&gt;"",J310&lt;&gt;""),OR(L310="Pending",L310=""),C310&lt;&gt;""),C310+3,"")</f>
        <v/>
      </c>
      <c r="T310" s="79">
        <f>IF(S310="","",IF(AsOf&gt;S310,1,2))</f>
        <v/>
      </c>
      <c r="U310" s="79">
        <f>IF(T310="","","Decide on change order "&amp;B310&amp;": "&amp;H310&amp;" (+"&amp;CurSym&amp;" "&amp;FIXED(IF(J310="",0,J310),0)&amp;")")</f>
        <v/>
      </c>
    </row>
    <row r="311" ht="24" customHeight="1">
      <c r="B311" s="74" t="n"/>
      <c r="C311" s="109" t="n"/>
      <c r="D311" s="72" t="n"/>
      <c r="E311" s="72" t="n"/>
      <c r="F311" s="72" t="n"/>
      <c r="G311" s="72" t="n"/>
      <c r="H311" s="113" t="n"/>
      <c r="I311" s="72" t="n"/>
      <c r="J311" s="73" t="n"/>
      <c r="K311" s="89" t="n"/>
      <c r="L311" s="74" t="n"/>
      <c r="M311" s="109" t="n"/>
      <c r="N311" s="68">
        <f>IF(AND(H311="",J311=""),"",ForecastTotal+IF(L311="Approved",0,IF(J311="",0,J311)))</f>
        <v/>
      </c>
      <c r="O311" s="75">
        <f>IF(N311="","",ContAmt-MAX(0,N311-WorkBudget))</f>
        <v/>
      </c>
      <c r="P311" s="120">
        <f>IF(OR(N311="",ForecastEnd=""),"",ForecastEnd+IF(L311="Approved",0,IF(K311="",0,K311)))</f>
        <v/>
      </c>
      <c r="Q311" s="121">
        <f>IF(OR(N311="",WorkBudget=0),"",N311/WorkBudget-1)</f>
        <v/>
      </c>
      <c r="R311" s="79">
        <f>IF(N311="","",IF(N311&lt;=WorkBudget,0,IF(N311&lt;=TotalBudget,1,2)))</f>
        <v/>
      </c>
      <c r="S311" s="112">
        <f>IF(AND(OR(H311&lt;&gt;"",J311&lt;&gt;""),OR(L311="Pending",L311=""),C311&lt;&gt;""),C311+3,"")</f>
        <v/>
      </c>
      <c r="T311" s="79">
        <f>IF(S311="","",IF(AsOf&gt;S311,1,2))</f>
        <v/>
      </c>
      <c r="U311" s="79">
        <f>IF(T311="","","Decide on change order "&amp;B311&amp;": "&amp;H311&amp;" (+"&amp;CurSym&amp;" "&amp;FIXED(IF(J311="",0,J311),0)&amp;")")</f>
        <v/>
      </c>
    </row>
    <row r="312" ht="24" customHeight="1">
      <c r="B312" s="74" t="n"/>
      <c r="C312" s="109" t="n"/>
      <c r="D312" s="72" t="n"/>
      <c r="E312" s="72" t="n"/>
      <c r="F312" s="72" t="n"/>
      <c r="G312" s="72" t="n"/>
      <c r="H312" s="113" t="n"/>
      <c r="I312" s="72" t="n"/>
      <c r="J312" s="73" t="n"/>
      <c r="K312" s="89" t="n"/>
      <c r="L312" s="74" t="n"/>
      <c r="M312" s="109" t="n"/>
      <c r="N312" s="68">
        <f>IF(AND(H312="",J312=""),"",ForecastTotal+IF(L312="Approved",0,IF(J312="",0,J312)))</f>
        <v/>
      </c>
      <c r="O312" s="75">
        <f>IF(N312="","",ContAmt-MAX(0,N312-WorkBudget))</f>
        <v/>
      </c>
      <c r="P312" s="120">
        <f>IF(OR(N312="",ForecastEnd=""),"",ForecastEnd+IF(L312="Approved",0,IF(K312="",0,K312)))</f>
        <v/>
      </c>
      <c r="Q312" s="121">
        <f>IF(OR(N312="",WorkBudget=0),"",N312/WorkBudget-1)</f>
        <v/>
      </c>
      <c r="R312" s="79">
        <f>IF(N312="","",IF(N312&lt;=WorkBudget,0,IF(N312&lt;=TotalBudget,1,2)))</f>
        <v/>
      </c>
      <c r="S312" s="112">
        <f>IF(AND(OR(H312&lt;&gt;"",J312&lt;&gt;""),OR(L312="Pending",L312=""),C312&lt;&gt;""),C312+3,"")</f>
        <v/>
      </c>
      <c r="T312" s="79">
        <f>IF(S312="","",IF(AsOf&gt;S312,1,2))</f>
        <v/>
      </c>
      <c r="U312" s="79">
        <f>IF(T312="","","Decide on change order "&amp;B312&amp;": "&amp;H312&amp;" (+"&amp;CurSym&amp;" "&amp;FIXED(IF(J312="",0,J312),0)&amp;")")</f>
        <v/>
      </c>
    </row>
    <row r="313" ht="24" customHeight="1">
      <c r="B313" s="74" t="n"/>
      <c r="C313" s="109" t="n"/>
      <c r="D313" s="72" t="n"/>
      <c r="E313" s="72" t="n"/>
      <c r="F313" s="72" t="n"/>
      <c r="G313" s="72" t="n"/>
      <c r="H313" s="113" t="n"/>
      <c r="I313" s="72" t="n"/>
      <c r="J313" s="73" t="n"/>
      <c r="K313" s="89" t="n"/>
      <c r="L313" s="74" t="n"/>
      <c r="M313" s="109" t="n"/>
      <c r="N313" s="68">
        <f>IF(AND(H313="",J313=""),"",ForecastTotal+IF(L313="Approved",0,IF(J313="",0,J313)))</f>
        <v/>
      </c>
      <c r="O313" s="75">
        <f>IF(N313="","",ContAmt-MAX(0,N313-WorkBudget))</f>
        <v/>
      </c>
      <c r="P313" s="120">
        <f>IF(OR(N313="",ForecastEnd=""),"",ForecastEnd+IF(L313="Approved",0,IF(K313="",0,K313)))</f>
        <v/>
      </c>
      <c r="Q313" s="121">
        <f>IF(OR(N313="",WorkBudget=0),"",N313/WorkBudget-1)</f>
        <v/>
      </c>
      <c r="R313" s="79">
        <f>IF(N313="","",IF(N313&lt;=WorkBudget,0,IF(N313&lt;=TotalBudget,1,2)))</f>
        <v/>
      </c>
      <c r="S313" s="112">
        <f>IF(AND(OR(H313&lt;&gt;"",J313&lt;&gt;""),OR(L313="Pending",L313=""),C313&lt;&gt;""),C313+3,"")</f>
        <v/>
      </c>
      <c r="T313" s="79">
        <f>IF(S313="","",IF(AsOf&gt;S313,1,2))</f>
        <v/>
      </c>
      <c r="U313" s="79">
        <f>IF(T313="","","Decide on change order "&amp;B313&amp;": "&amp;H313&amp;" (+"&amp;CurSym&amp;" "&amp;FIXED(IF(J313="",0,J313),0)&amp;")")</f>
        <v/>
      </c>
    </row>
    <row r="314" ht="24" customHeight="1">
      <c r="B314" s="74" t="n"/>
      <c r="C314" s="109" t="n"/>
      <c r="D314" s="72" t="n"/>
      <c r="E314" s="72" t="n"/>
      <c r="F314" s="72" t="n"/>
      <c r="G314" s="72" t="n"/>
      <c r="H314" s="113" t="n"/>
      <c r="I314" s="72" t="n"/>
      <c r="J314" s="73" t="n"/>
      <c r="K314" s="89" t="n"/>
      <c r="L314" s="74" t="n"/>
      <c r="M314" s="109" t="n"/>
      <c r="N314" s="68">
        <f>IF(AND(H314="",J314=""),"",ForecastTotal+IF(L314="Approved",0,IF(J314="",0,J314)))</f>
        <v/>
      </c>
      <c r="O314" s="75">
        <f>IF(N314="","",ContAmt-MAX(0,N314-WorkBudget))</f>
        <v/>
      </c>
      <c r="P314" s="120">
        <f>IF(OR(N314="",ForecastEnd=""),"",ForecastEnd+IF(L314="Approved",0,IF(K314="",0,K314)))</f>
        <v/>
      </c>
      <c r="Q314" s="121">
        <f>IF(OR(N314="",WorkBudget=0),"",N314/WorkBudget-1)</f>
        <v/>
      </c>
      <c r="R314" s="79">
        <f>IF(N314="","",IF(N314&lt;=WorkBudget,0,IF(N314&lt;=TotalBudget,1,2)))</f>
        <v/>
      </c>
      <c r="S314" s="112">
        <f>IF(AND(OR(H314&lt;&gt;"",J314&lt;&gt;""),OR(L314="Pending",L314=""),C314&lt;&gt;""),C314+3,"")</f>
        <v/>
      </c>
      <c r="T314" s="79">
        <f>IF(S314="","",IF(AsOf&gt;S314,1,2))</f>
        <v/>
      </c>
      <c r="U314" s="79">
        <f>IF(T314="","","Decide on change order "&amp;B314&amp;": "&amp;H314&amp;" (+"&amp;CurSym&amp;" "&amp;FIXED(IF(J314="",0,J314),0)&amp;")")</f>
        <v/>
      </c>
    </row>
    <row r="315" ht="24" customHeight="1">
      <c r="B315" s="74" t="n"/>
      <c r="C315" s="109" t="n"/>
      <c r="D315" s="72" t="n"/>
      <c r="E315" s="72" t="n"/>
      <c r="F315" s="72" t="n"/>
      <c r="G315" s="72" t="n"/>
      <c r="H315" s="113" t="n"/>
      <c r="I315" s="72" t="n"/>
      <c r="J315" s="73" t="n"/>
      <c r="K315" s="89" t="n"/>
      <c r="L315" s="74" t="n"/>
      <c r="M315" s="109" t="n"/>
      <c r="N315" s="68">
        <f>IF(AND(H315="",J315=""),"",ForecastTotal+IF(L315="Approved",0,IF(J315="",0,J315)))</f>
        <v/>
      </c>
      <c r="O315" s="75">
        <f>IF(N315="","",ContAmt-MAX(0,N315-WorkBudget))</f>
        <v/>
      </c>
      <c r="P315" s="120">
        <f>IF(OR(N315="",ForecastEnd=""),"",ForecastEnd+IF(L315="Approved",0,IF(K315="",0,K315)))</f>
        <v/>
      </c>
      <c r="Q315" s="121">
        <f>IF(OR(N315="",WorkBudget=0),"",N315/WorkBudget-1)</f>
        <v/>
      </c>
      <c r="R315" s="79">
        <f>IF(N315="","",IF(N315&lt;=WorkBudget,0,IF(N315&lt;=TotalBudget,1,2)))</f>
        <v/>
      </c>
      <c r="S315" s="112">
        <f>IF(AND(OR(H315&lt;&gt;"",J315&lt;&gt;""),OR(L315="Pending",L315=""),C315&lt;&gt;""),C315+3,"")</f>
        <v/>
      </c>
      <c r="T315" s="79">
        <f>IF(S315="","",IF(AsOf&gt;S315,1,2))</f>
        <v/>
      </c>
      <c r="U315" s="79">
        <f>IF(T315="","","Decide on change order "&amp;B315&amp;": "&amp;H315&amp;" (+"&amp;CurSym&amp;" "&amp;FIXED(IF(J315="",0,J315),0)&amp;")")</f>
        <v/>
      </c>
    </row>
    <row r="316" ht="24" customHeight="1">
      <c r="B316" s="74" t="n"/>
      <c r="C316" s="109" t="n"/>
      <c r="D316" s="72" t="n"/>
      <c r="E316" s="72" t="n"/>
      <c r="F316" s="72" t="n"/>
      <c r="G316" s="72" t="n"/>
      <c r="H316" s="113" t="n"/>
      <c r="I316" s="72" t="n"/>
      <c r="J316" s="73" t="n"/>
      <c r="K316" s="89" t="n"/>
      <c r="L316" s="74" t="n"/>
      <c r="M316" s="109" t="n"/>
      <c r="N316" s="68">
        <f>IF(AND(H316="",J316=""),"",ForecastTotal+IF(L316="Approved",0,IF(J316="",0,J316)))</f>
        <v/>
      </c>
      <c r="O316" s="75">
        <f>IF(N316="","",ContAmt-MAX(0,N316-WorkBudget))</f>
        <v/>
      </c>
      <c r="P316" s="120">
        <f>IF(OR(N316="",ForecastEnd=""),"",ForecastEnd+IF(L316="Approved",0,IF(K316="",0,K316)))</f>
        <v/>
      </c>
      <c r="Q316" s="121">
        <f>IF(OR(N316="",WorkBudget=0),"",N316/WorkBudget-1)</f>
        <v/>
      </c>
      <c r="R316" s="79">
        <f>IF(N316="","",IF(N316&lt;=WorkBudget,0,IF(N316&lt;=TotalBudget,1,2)))</f>
        <v/>
      </c>
      <c r="S316" s="112">
        <f>IF(AND(OR(H316&lt;&gt;"",J316&lt;&gt;""),OR(L316="Pending",L316=""),C316&lt;&gt;""),C316+3,"")</f>
        <v/>
      </c>
      <c r="T316" s="79">
        <f>IF(S316="","",IF(AsOf&gt;S316,1,2))</f>
        <v/>
      </c>
      <c r="U316" s="79">
        <f>IF(T316="","","Decide on change order "&amp;B316&amp;": "&amp;H316&amp;" (+"&amp;CurSym&amp;" "&amp;FIXED(IF(J316="",0,J316),0)&amp;")")</f>
        <v/>
      </c>
    </row>
    <row r="317" ht="24" customHeight="1">
      <c r="B317" s="74" t="n"/>
      <c r="C317" s="109" t="n"/>
      <c r="D317" s="72" t="n"/>
      <c r="E317" s="72" t="n"/>
      <c r="F317" s="72" t="n"/>
      <c r="G317" s="72" t="n"/>
      <c r="H317" s="113" t="n"/>
      <c r="I317" s="72" t="n"/>
      <c r="J317" s="73" t="n"/>
      <c r="K317" s="89" t="n"/>
      <c r="L317" s="74" t="n"/>
      <c r="M317" s="109" t="n"/>
      <c r="N317" s="68">
        <f>IF(AND(H317="",J317=""),"",ForecastTotal+IF(L317="Approved",0,IF(J317="",0,J317)))</f>
        <v/>
      </c>
      <c r="O317" s="75">
        <f>IF(N317="","",ContAmt-MAX(0,N317-WorkBudget))</f>
        <v/>
      </c>
      <c r="P317" s="120">
        <f>IF(OR(N317="",ForecastEnd=""),"",ForecastEnd+IF(L317="Approved",0,IF(K317="",0,K317)))</f>
        <v/>
      </c>
      <c r="Q317" s="121">
        <f>IF(OR(N317="",WorkBudget=0),"",N317/WorkBudget-1)</f>
        <v/>
      </c>
      <c r="R317" s="79">
        <f>IF(N317="","",IF(N317&lt;=WorkBudget,0,IF(N317&lt;=TotalBudget,1,2)))</f>
        <v/>
      </c>
      <c r="S317" s="112">
        <f>IF(AND(OR(H317&lt;&gt;"",J317&lt;&gt;""),OR(L317="Pending",L317=""),C317&lt;&gt;""),C317+3,"")</f>
        <v/>
      </c>
      <c r="T317" s="79">
        <f>IF(S317="","",IF(AsOf&gt;S317,1,2))</f>
        <v/>
      </c>
      <c r="U317" s="79">
        <f>IF(T317="","","Decide on change order "&amp;B317&amp;": "&amp;H317&amp;" (+"&amp;CurSym&amp;" "&amp;FIXED(IF(J317="",0,J317),0)&amp;")")</f>
        <v/>
      </c>
    </row>
    <row r="318" ht="24" customHeight="1">
      <c r="B318" s="74" t="n"/>
      <c r="C318" s="109" t="n"/>
      <c r="D318" s="72" t="n"/>
      <c r="E318" s="72" t="n"/>
      <c r="F318" s="72" t="n"/>
      <c r="G318" s="72" t="n"/>
      <c r="H318" s="113" t="n"/>
      <c r="I318" s="72" t="n"/>
      <c r="J318" s="73" t="n"/>
      <c r="K318" s="89" t="n"/>
      <c r="L318" s="74" t="n"/>
      <c r="M318" s="109" t="n"/>
      <c r="N318" s="68">
        <f>IF(AND(H318="",J318=""),"",ForecastTotal+IF(L318="Approved",0,IF(J318="",0,J318)))</f>
        <v/>
      </c>
      <c r="O318" s="75">
        <f>IF(N318="","",ContAmt-MAX(0,N318-WorkBudget))</f>
        <v/>
      </c>
      <c r="P318" s="120">
        <f>IF(OR(N318="",ForecastEnd=""),"",ForecastEnd+IF(L318="Approved",0,IF(K318="",0,K318)))</f>
        <v/>
      </c>
      <c r="Q318" s="121">
        <f>IF(OR(N318="",WorkBudget=0),"",N318/WorkBudget-1)</f>
        <v/>
      </c>
      <c r="R318" s="79">
        <f>IF(N318="","",IF(N318&lt;=WorkBudget,0,IF(N318&lt;=TotalBudget,1,2)))</f>
        <v/>
      </c>
      <c r="S318" s="112">
        <f>IF(AND(OR(H318&lt;&gt;"",J318&lt;&gt;""),OR(L318="Pending",L318=""),C318&lt;&gt;""),C318+3,"")</f>
        <v/>
      </c>
      <c r="T318" s="79">
        <f>IF(S318="","",IF(AsOf&gt;S318,1,2))</f>
        <v/>
      </c>
      <c r="U318" s="79">
        <f>IF(T318="","","Decide on change order "&amp;B318&amp;": "&amp;H318&amp;" (+"&amp;CurSym&amp;" "&amp;FIXED(IF(J318="",0,J318),0)&amp;")")</f>
        <v/>
      </c>
    </row>
    <row r="319" ht="24" customHeight="1">
      <c r="B319" s="74" t="n"/>
      <c r="C319" s="109" t="n"/>
      <c r="D319" s="72" t="n"/>
      <c r="E319" s="72" t="n"/>
      <c r="F319" s="72" t="n"/>
      <c r="G319" s="72" t="n"/>
      <c r="H319" s="113" t="n"/>
      <c r="I319" s="72" t="n"/>
      <c r="J319" s="73" t="n"/>
      <c r="K319" s="89" t="n"/>
      <c r="L319" s="74" t="n"/>
      <c r="M319" s="109" t="n"/>
      <c r="N319" s="68">
        <f>IF(AND(H319="",J319=""),"",ForecastTotal+IF(L319="Approved",0,IF(J319="",0,J319)))</f>
        <v/>
      </c>
      <c r="O319" s="75">
        <f>IF(N319="","",ContAmt-MAX(0,N319-WorkBudget))</f>
        <v/>
      </c>
      <c r="P319" s="120">
        <f>IF(OR(N319="",ForecastEnd=""),"",ForecastEnd+IF(L319="Approved",0,IF(K319="",0,K319)))</f>
        <v/>
      </c>
      <c r="Q319" s="121">
        <f>IF(OR(N319="",WorkBudget=0),"",N319/WorkBudget-1)</f>
        <v/>
      </c>
      <c r="R319" s="79">
        <f>IF(N319="","",IF(N319&lt;=WorkBudget,0,IF(N319&lt;=TotalBudget,1,2)))</f>
        <v/>
      </c>
      <c r="S319" s="112">
        <f>IF(AND(OR(H319&lt;&gt;"",J319&lt;&gt;""),OR(L319="Pending",L319=""),C319&lt;&gt;""),C319+3,"")</f>
        <v/>
      </c>
      <c r="T319" s="79">
        <f>IF(S319="","",IF(AsOf&gt;S319,1,2))</f>
        <v/>
      </c>
      <c r="U319" s="79">
        <f>IF(T319="","","Decide on change order "&amp;B319&amp;": "&amp;H319&amp;" (+"&amp;CurSym&amp;" "&amp;FIXED(IF(J319="",0,J319),0)&amp;")")</f>
        <v/>
      </c>
    </row>
    <row r="320" ht="24" customHeight="1">
      <c r="B320" s="74" t="n"/>
      <c r="C320" s="109" t="n"/>
      <c r="D320" s="72" t="n"/>
      <c r="E320" s="72" t="n"/>
      <c r="F320" s="72" t="n"/>
      <c r="G320" s="72" t="n"/>
      <c r="H320" s="113" t="n"/>
      <c r="I320" s="72" t="n"/>
      <c r="J320" s="73" t="n"/>
      <c r="K320" s="89" t="n"/>
      <c r="L320" s="74" t="n"/>
      <c r="M320" s="109" t="n"/>
      <c r="N320" s="68">
        <f>IF(AND(H320="",J320=""),"",ForecastTotal+IF(L320="Approved",0,IF(J320="",0,J320)))</f>
        <v/>
      </c>
      <c r="O320" s="75">
        <f>IF(N320="","",ContAmt-MAX(0,N320-WorkBudget))</f>
        <v/>
      </c>
      <c r="P320" s="120">
        <f>IF(OR(N320="",ForecastEnd=""),"",ForecastEnd+IF(L320="Approved",0,IF(K320="",0,K320)))</f>
        <v/>
      </c>
      <c r="Q320" s="121">
        <f>IF(OR(N320="",WorkBudget=0),"",N320/WorkBudget-1)</f>
        <v/>
      </c>
      <c r="R320" s="79">
        <f>IF(N320="","",IF(N320&lt;=WorkBudget,0,IF(N320&lt;=TotalBudget,1,2)))</f>
        <v/>
      </c>
      <c r="S320" s="112">
        <f>IF(AND(OR(H320&lt;&gt;"",J320&lt;&gt;""),OR(L320="Pending",L320=""),C320&lt;&gt;""),C320+3,"")</f>
        <v/>
      </c>
      <c r="T320" s="79">
        <f>IF(S320="","",IF(AsOf&gt;S320,1,2))</f>
        <v/>
      </c>
      <c r="U320" s="79">
        <f>IF(T320="","","Decide on change order "&amp;B320&amp;": "&amp;H320&amp;" (+"&amp;CurSym&amp;" "&amp;FIXED(IF(J320="",0,J320),0)&amp;")")</f>
        <v/>
      </c>
    </row>
    <row r="321" ht="24" customHeight="1">
      <c r="B321" s="74" t="n"/>
      <c r="C321" s="109" t="n"/>
      <c r="D321" s="72" t="n"/>
      <c r="E321" s="72" t="n"/>
      <c r="F321" s="72" t="n"/>
      <c r="G321" s="72" t="n"/>
      <c r="H321" s="113" t="n"/>
      <c r="I321" s="72" t="n"/>
      <c r="J321" s="73" t="n"/>
      <c r="K321" s="89" t="n"/>
      <c r="L321" s="74" t="n"/>
      <c r="M321" s="109" t="n"/>
      <c r="N321" s="68">
        <f>IF(AND(H321="",J321=""),"",ForecastTotal+IF(L321="Approved",0,IF(J321="",0,J321)))</f>
        <v/>
      </c>
      <c r="O321" s="75">
        <f>IF(N321="","",ContAmt-MAX(0,N321-WorkBudget))</f>
        <v/>
      </c>
      <c r="P321" s="120">
        <f>IF(OR(N321="",ForecastEnd=""),"",ForecastEnd+IF(L321="Approved",0,IF(K321="",0,K321)))</f>
        <v/>
      </c>
      <c r="Q321" s="121">
        <f>IF(OR(N321="",WorkBudget=0),"",N321/WorkBudget-1)</f>
        <v/>
      </c>
      <c r="R321" s="79">
        <f>IF(N321="","",IF(N321&lt;=WorkBudget,0,IF(N321&lt;=TotalBudget,1,2)))</f>
        <v/>
      </c>
      <c r="S321" s="112">
        <f>IF(AND(OR(H321&lt;&gt;"",J321&lt;&gt;""),OR(L321="Pending",L321=""),C321&lt;&gt;""),C321+3,"")</f>
        <v/>
      </c>
      <c r="T321" s="79">
        <f>IF(S321="","",IF(AsOf&gt;S321,1,2))</f>
        <v/>
      </c>
      <c r="U321" s="79">
        <f>IF(T321="","","Decide on change order "&amp;B321&amp;": "&amp;H321&amp;" (+"&amp;CurSym&amp;" "&amp;FIXED(IF(J321="",0,J321),0)&amp;")")</f>
        <v/>
      </c>
    </row>
    <row r="322" ht="24" customHeight="1">
      <c r="B322" s="74" t="n"/>
      <c r="C322" s="109" t="n"/>
      <c r="D322" s="72" t="n"/>
      <c r="E322" s="72" t="n"/>
      <c r="F322" s="72" t="n"/>
      <c r="G322" s="72" t="n"/>
      <c r="H322" s="113" t="n"/>
      <c r="I322" s="72" t="n"/>
      <c r="J322" s="73" t="n"/>
      <c r="K322" s="89" t="n"/>
      <c r="L322" s="74" t="n"/>
      <c r="M322" s="109" t="n"/>
      <c r="N322" s="68">
        <f>IF(AND(H322="",J322=""),"",ForecastTotal+IF(L322="Approved",0,IF(J322="",0,J322)))</f>
        <v/>
      </c>
      <c r="O322" s="75">
        <f>IF(N322="","",ContAmt-MAX(0,N322-WorkBudget))</f>
        <v/>
      </c>
      <c r="P322" s="120">
        <f>IF(OR(N322="",ForecastEnd=""),"",ForecastEnd+IF(L322="Approved",0,IF(K322="",0,K322)))</f>
        <v/>
      </c>
      <c r="Q322" s="121">
        <f>IF(OR(N322="",WorkBudget=0),"",N322/WorkBudget-1)</f>
        <v/>
      </c>
      <c r="R322" s="79">
        <f>IF(N322="","",IF(N322&lt;=WorkBudget,0,IF(N322&lt;=TotalBudget,1,2)))</f>
        <v/>
      </c>
      <c r="S322" s="112">
        <f>IF(AND(OR(H322&lt;&gt;"",J322&lt;&gt;""),OR(L322="Pending",L322=""),C322&lt;&gt;""),C322+3,"")</f>
        <v/>
      </c>
      <c r="T322" s="79">
        <f>IF(S322="","",IF(AsOf&gt;S322,1,2))</f>
        <v/>
      </c>
      <c r="U322" s="79">
        <f>IF(T322="","","Decide on change order "&amp;B322&amp;": "&amp;H322&amp;" (+"&amp;CurSym&amp;" "&amp;FIXED(IF(J322="",0,J322),0)&amp;")")</f>
        <v/>
      </c>
    </row>
    <row r="323" ht="24" customHeight="1">
      <c r="B323" s="74" t="n"/>
      <c r="C323" s="109" t="n"/>
      <c r="D323" s="72" t="n"/>
      <c r="E323" s="72" t="n"/>
      <c r="F323" s="72" t="n"/>
      <c r="G323" s="72" t="n"/>
      <c r="H323" s="113" t="n"/>
      <c r="I323" s="72" t="n"/>
      <c r="J323" s="73" t="n"/>
      <c r="K323" s="89" t="n"/>
      <c r="L323" s="74" t="n"/>
      <c r="M323" s="109" t="n"/>
      <c r="N323" s="68">
        <f>IF(AND(H323="",J323=""),"",ForecastTotal+IF(L323="Approved",0,IF(J323="",0,J323)))</f>
        <v/>
      </c>
      <c r="O323" s="75">
        <f>IF(N323="","",ContAmt-MAX(0,N323-WorkBudget))</f>
        <v/>
      </c>
      <c r="P323" s="120">
        <f>IF(OR(N323="",ForecastEnd=""),"",ForecastEnd+IF(L323="Approved",0,IF(K323="",0,K323)))</f>
        <v/>
      </c>
      <c r="Q323" s="121">
        <f>IF(OR(N323="",WorkBudget=0),"",N323/WorkBudget-1)</f>
        <v/>
      </c>
      <c r="R323" s="79">
        <f>IF(N323="","",IF(N323&lt;=WorkBudget,0,IF(N323&lt;=TotalBudget,1,2)))</f>
        <v/>
      </c>
      <c r="S323" s="112">
        <f>IF(AND(OR(H323&lt;&gt;"",J323&lt;&gt;""),OR(L323="Pending",L323=""),C323&lt;&gt;""),C323+3,"")</f>
        <v/>
      </c>
      <c r="T323" s="79">
        <f>IF(S323="","",IF(AsOf&gt;S323,1,2))</f>
        <v/>
      </c>
      <c r="U323" s="79">
        <f>IF(T323="","","Decide on change order "&amp;B323&amp;": "&amp;H323&amp;" (+"&amp;CurSym&amp;" "&amp;FIXED(IF(J323="",0,J323),0)&amp;")")</f>
        <v/>
      </c>
    </row>
    <row r="324" ht="24" customHeight="1">
      <c r="B324" s="74" t="n"/>
      <c r="C324" s="109" t="n"/>
      <c r="D324" s="72" t="n"/>
      <c r="E324" s="72" t="n"/>
      <c r="F324" s="72" t="n"/>
      <c r="G324" s="72" t="n"/>
      <c r="H324" s="113" t="n"/>
      <c r="I324" s="72" t="n"/>
      <c r="J324" s="73" t="n"/>
      <c r="K324" s="89" t="n"/>
      <c r="L324" s="74" t="n"/>
      <c r="M324" s="109" t="n"/>
      <c r="N324" s="68">
        <f>IF(AND(H324="",J324=""),"",ForecastTotal+IF(L324="Approved",0,IF(J324="",0,J324)))</f>
        <v/>
      </c>
      <c r="O324" s="75">
        <f>IF(N324="","",ContAmt-MAX(0,N324-WorkBudget))</f>
        <v/>
      </c>
      <c r="P324" s="120">
        <f>IF(OR(N324="",ForecastEnd=""),"",ForecastEnd+IF(L324="Approved",0,IF(K324="",0,K324)))</f>
        <v/>
      </c>
      <c r="Q324" s="121">
        <f>IF(OR(N324="",WorkBudget=0),"",N324/WorkBudget-1)</f>
        <v/>
      </c>
      <c r="R324" s="79">
        <f>IF(N324="","",IF(N324&lt;=WorkBudget,0,IF(N324&lt;=TotalBudget,1,2)))</f>
        <v/>
      </c>
      <c r="S324" s="112">
        <f>IF(AND(OR(H324&lt;&gt;"",J324&lt;&gt;""),OR(L324="Pending",L324=""),C324&lt;&gt;""),C324+3,"")</f>
        <v/>
      </c>
      <c r="T324" s="79">
        <f>IF(S324="","",IF(AsOf&gt;S324,1,2))</f>
        <v/>
      </c>
      <c r="U324" s="79">
        <f>IF(T324="","","Decide on change order "&amp;B324&amp;": "&amp;H324&amp;" (+"&amp;CurSym&amp;" "&amp;FIXED(IF(J324="",0,J324),0)&amp;")")</f>
        <v/>
      </c>
    </row>
    <row r="325" ht="24" customHeight="1">
      <c r="B325" s="74" t="n"/>
      <c r="C325" s="109" t="n"/>
      <c r="D325" s="72" t="n"/>
      <c r="E325" s="72" t="n"/>
      <c r="F325" s="72" t="n"/>
      <c r="G325" s="72" t="n"/>
      <c r="H325" s="113" t="n"/>
      <c r="I325" s="72" t="n"/>
      <c r="J325" s="73" t="n"/>
      <c r="K325" s="89" t="n"/>
      <c r="L325" s="74" t="n"/>
      <c r="M325" s="109" t="n"/>
      <c r="N325" s="68">
        <f>IF(AND(H325="",J325=""),"",ForecastTotal+IF(L325="Approved",0,IF(J325="",0,J325)))</f>
        <v/>
      </c>
      <c r="O325" s="75">
        <f>IF(N325="","",ContAmt-MAX(0,N325-WorkBudget))</f>
        <v/>
      </c>
      <c r="P325" s="120">
        <f>IF(OR(N325="",ForecastEnd=""),"",ForecastEnd+IF(L325="Approved",0,IF(K325="",0,K325)))</f>
        <v/>
      </c>
      <c r="Q325" s="121">
        <f>IF(OR(N325="",WorkBudget=0),"",N325/WorkBudget-1)</f>
        <v/>
      </c>
      <c r="R325" s="79">
        <f>IF(N325="","",IF(N325&lt;=WorkBudget,0,IF(N325&lt;=TotalBudget,1,2)))</f>
        <v/>
      </c>
      <c r="S325" s="112">
        <f>IF(AND(OR(H325&lt;&gt;"",J325&lt;&gt;""),OR(L325="Pending",L325=""),C325&lt;&gt;""),C325+3,"")</f>
        <v/>
      </c>
      <c r="T325" s="79">
        <f>IF(S325="","",IF(AsOf&gt;S325,1,2))</f>
        <v/>
      </c>
      <c r="U325" s="79">
        <f>IF(T325="","","Decide on change order "&amp;B325&amp;": "&amp;H325&amp;" (+"&amp;CurSym&amp;" "&amp;FIXED(IF(J325="",0,J325),0)&amp;")")</f>
        <v/>
      </c>
    </row>
    <row r="326" ht="24" customHeight="1">
      <c r="B326" s="74" t="n"/>
      <c r="C326" s="109" t="n"/>
      <c r="D326" s="72" t="n"/>
      <c r="E326" s="72" t="n"/>
      <c r="F326" s="72" t="n"/>
      <c r="G326" s="72" t="n"/>
      <c r="H326" s="113" t="n"/>
      <c r="I326" s="72" t="n"/>
      <c r="J326" s="73" t="n"/>
      <c r="K326" s="89" t="n"/>
      <c r="L326" s="74" t="n"/>
      <c r="M326" s="109" t="n"/>
      <c r="N326" s="68">
        <f>IF(AND(H326="",J326=""),"",ForecastTotal+IF(L326="Approved",0,IF(J326="",0,J326)))</f>
        <v/>
      </c>
      <c r="O326" s="75">
        <f>IF(N326="","",ContAmt-MAX(0,N326-WorkBudget))</f>
        <v/>
      </c>
      <c r="P326" s="120">
        <f>IF(OR(N326="",ForecastEnd=""),"",ForecastEnd+IF(L326="Approved",0,IF(K326="",0,K326)))</f>
        <v/>
      </c>
      <c r="Q326" s="121">
        <f>IF(OR(N326="",WorkBudget=0),"",N326/WorkBudget-1)</f>
        <v/>
      </c>
      <c r="R326" s="79">
        <f>IF(N326="","",IF(N326&lt;=WorkBudget,0,IF(N326&lt;=TotalBudget,1,2)))</f>
        <v/>
      </c>
      <c r="S326" s="112">
        <f>IF(AND(OR(H326&lt;&gt;"",J326&lt;&gt;""),OR(L326="Pending",L326=""),C326&lt;&gt;""),C326+3,"")</f>
        <v/>
      </c>
      <c r="T326" s="79">
        <f>IF(S326="","",IF(AsOf&gt;S326,1,2))</f>
        <v/>
      </c>
      <c r="U326" s="79">
        <f>IF(T326="","","Decide on change order "&amp;B326&amp;": "&amp;H326&amp;" (+"&amp;CurSym&amp;" "&amp;FIXED(IF(J326="",0,J326),0)&amp;")")</f>
        <v/>
      </c>
    </row>
    <row r="327" ht="24" customHeight="1">
      <c r="B327" s="74" t="n"/>
      <c r="C327" s="109" t="n"/>
      <c r="D327" s="72" t="n"/>
      <c r="E327" s="72" t="n"/>
      <c r="F327" s="72" t="n"/>
      <c r="G327" s="72" t="n"/>
      <c r="H327" s="113" t="n"/>
      <c r="I327" s="72" t="n"/>
      <c r="J327" s="73" t="n"/>
      <c r="K327" s="89" t="n"/>
      <c r="L327" s="74" t="n"/>
      <c r="M327" s="109" t="n"/>
      <c r="N327" s="68">
        <f>IF(AND(H327="",J327=""),"",ForecastTotal+IF(L327="Approved",0,IF(J327="",0,J327)))</f>
        <v/>
      </c>
      <c r="O327" s="75">
        <f>IF(N327="","",ContAmt-MAX(0,N327-WorkBudget))</f>
        <v/>
      </c>
      <c r="P327" s="120">
        <f>IF(OR(N327="",ForecastEnd=""),"",ForecastEnd+IF(L327="Approved",0,IF(K327="",0,K327)))</f>
        <v/>
      </c>
      <c r="Q327" s="121">
        <f>IF(OR(N327="",WorkBudget=0),"",N327/WorkBudget-1)</f>
        <v/>
      </c>
      <c r="R327" s="79">
        <f>IF(N327="","",IF(N327&lt;=WorkBudget,0,IF(N327&lt;=TotalBudget,1,2)))</f>
        <v/>
      </c>
      <c r="S327" s="112">
        <f>IF(AND(OR(H327&lt;&gt;"",J327&lt;&gt;""),OR(L327="Pending",L327=""),C327&lt;&gt;""),C327+3,"")</f>
        <v/>
      </c>
      <c r="T327" s="79">
        <f>IF(S327="","",IF(AsOf&gt;S327,1,2))</f>
        <v/>
      </c>
      <c r="U327" s="79">
        <f>IF(T327="","","Decide on change order "&amp;B327&amp;": "&amp;H327&amp;" (+"&amp;CurSym&amp;" "&amp;FIXED(IF(J327="",0,J327),0)&amp;")")</f>
        <v/>
      </c>
    </row>
    <row r="328" ht="24" customHeight="1">
      <c r="B328" s="74" t="n"/>
      <c r="C328" s="109" t="n"/>
      <c r="D328" s="72" t="n"/>
      <c r="E328" s="72" t="n"/>
      <c r="F328" s="72" t="n"/>
      <c r="G328" s="72" t="n"/>
      <c r="H328" s="113" t="n"/>
      <c r="I328" s="72" t="n"/>
      <c r="J328" s="73" t="n"/>
      <c r="K328" s="89" t="n"/>
      <c r="L328" s="74" t="n"/>
      <c r="M328" s="109" t="n"/>
      <c r="N328" s="68">
        <f>IF(AND(H328="",J328=""),"",ForecastTotal+IF(L328="Approved",0,IF(J328="",0,J328)))</f>
        <v/>
      </c>
      <c r="O328" s="75">
        <f>IF(N328="","",ContAmt-MAX(0,N328-WorkBudget))</f>
        <v/>
      </c>
      <c r="P328" s="120">
        <f>IF(OR(N328="",ForecastEnd=""),"",ForecastEnd+IF(L328="Approved",0,IF(K328="",0,K328)))</f>
        <v/>
      </c>
      <c r="Q328" s="121">
        <f>IF(OR(N328="",WorkBudget=0),"",N328/WorkBudget-1)</f>
        <v/>
      </c>
      <c r="R328" s="79">
        <f>IF(N328="","",IF(N328&lt;=WorkBudget,0,IF(N328&lt;=TotalBudget,1,2)))</f>
        <v/>
      </c>
      <c r="S328" s="112">
        <f>IF(AND(OR(H328&lt;&gt;"",J328&lt;&gt;""),OR(L328="Pending",L328=""),C328&lt;&gt;""),C328+3,"")</f>
        <v/>
      </c>
      <c r="T328" s="79">
        <f>IF(S328="","",IF(AsOf&gt;S328,1,2))</f>
        <v/>
      </c>
      <c r="U328" s="79">
        <f>IF(T328="","","Decide on change order "&amp;B328&amp;": "&amp;H328&amp;" (+"&amp;CurSym&amp;" "&amp;FIXED(IF(J328="",0,J328),0)&amp;")")</f>
        <v/>
      </c>
    </row>
    <row r="329" ht="24" customHeight="1">
      <c r="B329" s="74" t="n"/>
      <c r="C329" s="109" t="n"/>
      <c r="D329" s="72" t="n"/>
      <c r="E329" s="72" t="n"/>
      <c r="F329" s="72" t="n"/>
      <c r="G329" s="72" t="n"/>
      <c r="H329" s="113" t="n"/>
      <c r="I329" s="72" t="n"/>
      <c r="J329" s="73" t="n"/>
      <c r="K329" s="89" t="n"/>
      <c r="L329" s="74" t="n"/>
      <c r="M329" s="109" t="n"/>
      <c r="N329" s="68">
        <f>IF(AND(H329="",J329=""),"",ForecastTotal+IF(L329="Approved",0,IF(J329="",0,J329)))</f>
        <v/>
      </c>
      <c r="O329" s="75">
        <f>IF(N329="","",ContAmt-MAX(0,N329-WorkBudget))</f>
        <v/>
      </c>
      <c r="P329" s="120">
        <f>IF(OR(N329="",ForecastEnd=""),"",ForecastEnd+IF(L329="Approved",0,IF(K329="",0,K329)))</f>
        <v/>
      </c>
      <c r="Q329" s="121">
        <f>IF(OR(N329="",WorkBudget=0),"",N329/WorkBudget-1)</f>
        <v/>
      </c>
      <c r="R329" s="79">
        <f>IF(N329="","",IF(N329&lt;=WorkBudget,0,IF(N329&lt;=TotalBudget,1,2)))</f>
        <v/>
      </c>
      <c r="S329" s="112">
        <f>IF(AND(OR(H329&lt;&gt;"",J329&lt;&gt;""),OR(L329="Pending",L329=""),C329&lt;&gt;""),C329+3,"")</f>
        <v/>
      </c>
      <c r="T329" s="79">
        <f>IF(S329="","",IF(AsOf&gt;S329,1,2))</f>
        <v/>
      </c>
      <c r="U329" s="79">
        <f>IF(T329="","","Decide on change order "&amp;B329&amp;": "&amp;H329&amp;" (+"&amp;CurSym&amp;" "&amp;FIXED(IF(J329="",0,J329),0)&amp;")")</f>
        <v/>
      </c>
    </row>
    <row r="330" ht="24" customHeight="1">
      <c r="B330" s="74" t="n"/>
      <c r="C330" s="109" t="n"/>
      <c r="D330" s="72" t="n"/>
      <c r="E330" s="72" t="n"/>
      <c r="F330" s="72" t="n"/>
      <c r="G330" s="72" t="n"/>
      <c r="H330" s="113" t="n"/>
      <c r="I330" s="72" t="n"/>
      <c r="J330" s="73" t="n"/>
      <c r="K330" s="89" t="n"/>
      <c r="L330" s="74" t="n"/>
      <c r="M330" s="109" t="n"/>
      <c r="N330" s="68">
        <f>IF(AND(H330="",J330=""),"",ForecastTotal+IF(L330="Approved",0,IF(J330="",0,J330)))</f>
        <v/>
      </c>
      <c r="O330" s="75">
        <f>IF(N330="","",ContAmt-MAX(0,N330-WorkBudget))</f>
        <v/>
      </c>
      <c r="P330" s="120">
        <f>IF(OR(N330="",ForecastEnd=""),"",ForecastEnd+IF(L330="Approved",0,IF(K330="",0,K330)))</f>
        <v/>
      </c>
      <c r="Q330" s="121">
        <f>IF(OR(N330="",WorkBudget=0),"",N330/WorkBudget-1)</f>
        <v/>
      </c>
      <c r="R330" s="79">
        <f>IF(N330="","",IF(N330&lt;=WorkBudget,0,IF(N330&lt;=TotalBudget,1,2)))</f>
        <v/>
      </c>
      <c r="S330" s="112">
        <f>IF(AND(OR(H330&lt;&gt;"",J330&lt;&gt;""),OR(L330="Pending",L330=""),C330&lt;&gt;""),C330+3,"")</f>
        <v/>
      </c>
      <c r="T330" s="79">
        <f>IF(S330="","",IF(AsOf&gt;S330,1,2))</f>
        <v/>
      </c>
      <c r="U330" s="79">
        <f>IF(T330="","","Decide on change order "&amp;B330&amp;": "&amp;H330&amp;" (+"&amp;CurSym&amp;" "&amp;FIXED(IF(J330="",0,J330),0)&amp;")")</f>
        <v/>
      </c>
    </row>
    <row r="331" ht="24" customHeight="1">
      <c r="B331" s="74" t="n"/>
      <c r="C331" s="109" t="n"/>
      <c r="D331" s="72" t="n"/>
      <c r="E331" s="72" t="n"/>
      <c r="F331" s="72" t="n"/>
      <c r="G331" s="72" t="n"/>
      <c r="H331" s="113" t="n"/>
      <c r="I331" s="72" t="n"/>
      <c r="J331" s="73" t="n"/>
      <c r="K331" s="89" t="n"/>
      <c r="L331" s="74" t="n"/>
      <c r="M331" s="109" t="n"/>
      <c r="N331" s="68">
        <f>IF(AND(H331="",J331=""),"",ForecastTotal+IF(L331="Approved",0,IF(J331="",0,J331)))</f>
        <v/>
      </c>
      <c r="O331" s="75">
        <f>IF(N331="","",ContAmt-MAX(0,N331-WorkBudget))</f>
        <v/>
      </c>
      <c r="P331" s="120">
        <f>IF(OR(N331="",ForecastEnd=""),"",ForecastEnd+IF(L331="Approved",0,IF(K331="",0,K331)))</f>
        <v/>
      </c>
      <c r="Q331" s="121">
        <f>IF(OR(N331="",WorkBudget=0),"",N331/WorkBudget-1)</f>
        <v/>
      </c>
      <c r="R331" s="79">
        <f>IF(N331="","",IF(N331&lt;=WorkBudget,0,IF(N331&lt;=TotalBudget,1,2)))</f>
        <v/>
      </c>
      <c r="S331" s="112">
        <f>IF(AND(OR(H331&lt;&gt;"",J331&lt;&gt;""),OR(L331="Pending",L331=""),C331&lt;&gt;""),C331+3,"")</f>
        <v/>
      </c>
      <c r="T331" s="79">
        <f>IF(S331="","",IF(AsOf&gt;S331,1,2))</f>
        <v/>
      </c>
      <c r="U331" s="79">
        <f>IF(T331="","","Decide on change order "&amp;B331&amp;": "&amp;H331&amp;" (+"&amp;CurSym&amp;" "&amp;FIXED(IF(J331="",0,J331),0)&amp;")")</f>
        <v/>
      </c>
    </row>
    <row r="332" ht="24" customHeight="1">
      <c r="B332" s="74" t="n"/>
      <c r="C332" s="109" t="n"/>
      <c r="D332" s="72" t="n"/>
      <c r="E332" s="72" t="n"/>
      <c r="F332" s="72" t="n"/>
      <c r="G332" s="72" t="n"/>
      <c r="H332" s="113" t="n"/>
      <c r="I332" s="72" t="n"/>
      <c r="J332" s="73" t="n"/>
      <c r="K332" s="89" t="n"/>
      <c r="L332" s="74" t="n"/>
      <c r="M332" s="109" t="n"/>
      <c r="N332" s="68">
        <f>IF(AND(H332="",J332=""),"",ForecastTotal+IF(L332="Approved",0,IF(J332="",0,J332)))</f>
        <v/>
      </c>
      <c r="O332" s="75">
        <f>IF(N332="","",ContAmt-MAX(0,N332-WorkBudget))</f>
        <v/>
      </c>
      <c r="P332" s="120">
        <f>IF(OR(N332="",ForecastEnd=""),"",ForecastEnd+IF(L332="Approved",0,IF(K332="",0,K332)))</f>
        <v/>
      </c>
      <c r="Q332" s="121">
        <f>IF(OR(N332="",WorkBudget=0),"",N332/WorkBudget-1)</f>
        <v/>
      </c>
      <c r="R332" s="79">
        <f>IF(N332="","",IF(N332&lt;=WorkBudget,0,IF(N332&lt;=TotalBudget,1,2)))</f>
        <v/>
      </c>
      <c r="S332" s="112">
        <f>IF(AND(OR(H332&lt;&gt;"",J332&lt;&gt;""),OR(L332="Pending",L332=""),C332&lt;&gt;""),C332+3,"")</f>
        <v/>
      </c>
      <c r="T332" s="79">
        <f>IF(S332="","",IF(AsOf&gt;S332,1,2))</f>
        <v/>
      </c>
      <c r="U332" s="79">
        <f>IF(T332="","","Decide on change order "&amp;B332&amp;": "&amp;H332&amp;" (+"&amp;CurSym&amp;" "&amp;FIXED(IF(J332="",0,J332),0)&amp;")")</f>
        <v/>
      </c>
    </row>
    <row r="333" ht="24" customHeight="1">
      <c r="B333" s="74" t="n"/>
      <c r="C333" s="109" t="n"/>
      <c r="D333" s="72" t="n"/>
      <c r="E333" s="72" t="n"/>
      <c r="F333" s="72" t="n"/>
      <c r="G333" s="72" t="n"/>
      <c r="H333" s="113" t="n"/>
      <c r="I333" s="72" t="n"/>
      <c r="J333" s="73" t="n"/>
      <c r="K333" s="89" t="n"/>
      <c r="L333" s="74" t="n"/>
      <c r="M333" s="109" t="n"/>
      <c r="N333" s="68">
        <f>IF(AND(H333="",J333=""),"",ForecastTotal+IF(L333="Approved",0,IF(J333="",0,J333)))</f>
        <v/>
      </c>
      <c r="O333" s="75">
        <f>IF(N333="","",ContAmt-MAX(0,N333-WorkBudget))</f>
        <v/>
      </c>
      <c r="P333" s="120">
        <f>IF(OR(N333="",ForecastEnd=""),"",ForecastEnd+IF(L333="Approved",0,IF(K333="",0,K333)))</f>
        <v/>
      </c>
      <c r="Q333" s="121">
        <f>IF(OR(N333="",WorkBudget=0),"",N333/WorkBudget-1)</f>
        <v/>
      </c>
      <c r="R333" s="79">
        <f>IF(N333="","",IF(N333&lt;=WorkBudget,0,IF(N333&lt;=TotalBudget,1,2)))</f>
        <v/>
      </c>
      <c r="S333" s="112">
        <f>IF(AND(OR(H333&lt;&gt;"",J333&lt;&gt;""),OR(L333="Pending",L333=""),C333&lt;&gt;""),C333+3,"")</f>
        <v/>
      </c>
      <c r="T333" s="79">
        <f>IF(S333="","",IF(AsOf&gt;S333,1,2))</f>
        <v/>
      </c>
      <c r="U333" s="79">
        <f>IF(T333="","","Decide on change order "&amp;B333&amp;": "&amp;H333&amp;" (+"&amp;CurSym&amp;" "&amp;FIXED(IF(J333="",0,J333),0)&amp;")")</f>
        <v/>
      </c>
    </row>
    <row r="334" ht="24" customHeight="1">
      <c r="B334" s="74" t="n"/>
      <c r="C334" s="109" t="n"/>
      <c r="D334" s="72" t="n"/>
      <c r="E334" s="72" t="n"/>
      <c r="F334" s="72" t="n"/>
      <c r="G334" s="72" t="n"/>
      <c r="H334" s="113" t="n"/>
      <c r="I334" s="72" t="n"/>
      <c r="J334" s="73" t="n"/>
      <c r="K334" s="89" t="n"/>
      <c r="L334" s="74" t="n"/>
      <c r="M334" s="109" t="n"/>
      <c r="N334" s="68">
        <f>IF(AND(H334="",J334=""),"",ForecastTotal+IF(L334="Approved",0,IF(J334="",0,J334)))</f>
        <v/>
      </c>
      <c r="O334" s="75">
        <f>IF(N334="","",ContAmt-MAX(0,N334-WorkBudget))</f>
        <v/>
      </c>
      <c r="P334" s="120">
        <f>IF(OR(N334="",ForecastEnd=""),"",ForecastEnd+IF(L334="Approved",0,IF(K334="",0,K334)))</f>
        <v/>
      </c>
      <c r="Q334" s="121">
        <f>IF(OR(N334="",WorkBudget=0),"",N334/WorkBudget-1)</f>
        <v/>
      </c>
      <c r="R334" s="79">
        <f>IF(N334="","",IF(N334&lt;=WorkBudget,0,IF(N334&lt;=TotalBudget,1,2)))</f>
        <v/>
      </c>
      <c r="S334" s="112">
        <f>IF(AND(OR(H334&lt;&gt;"",J334&lt;&gt;""),OR(L334="Pending",L334=""),C334&lt;&gt;""),C334+3,"")</f>
        <v/>
      </c>
      <c r="T334" s="79">
        <f>IF(S334="","",IF(AsOf&gt;S334,1,2))</f>
        <v/>
      </c>
      <c r="U334" s="79">
        <f>IF(T334="","","Decide on change order "&amp;B334&amp;": "&amp;H334&amp;" (+"&amp;CurSym&amp;" "&amp;FIXED(IF(J334="",0,J334),0)&amp;")")</f>
        <v/>
      </c>
    </row>
    <row r="335" ht="24" customHeight="1">
      <c r="B335" s="74" t="n"/>
      <c r="C335" s="109" t="n"/>
      <c r="D335" s="72" t="n"/>
      <c r="E335" s="72" t="n"/>
      <c r="F335" s="72" t="n"/>
      <c r="G335" s="72" t="n"/>
      <c r="H335" s="113" t="n"/>
      <c r="I335" s="72" t="n"/>
      <c r="J335" s="73" t="n"/>
      <c r="K335" s="89" t="n"/>
      <c r="L335" s="74" t="n"/>
      <c r="M335" s="109" t="n"/>
      <c r="N335" s="68">
        <f>IF(AND(H335="",J335=""),"",ForecastTotal+IF(L335="Approved",0,IF(J335="",0,J335)))</f>
        <v/>
      </c>
      <c r="O335" s="75">
        <f>IF(N335="","",ContAmt-MAX(0,N335-WorkBudget))</f>
        <v/>
      </c>
      <c r="P335" s="120">
        <f>IF(OR(N335="",ForecastEnd=""),"",ForecastEnd+IF(L335="Approved",0,IF(K335="",0,K335)))</f>
        <v/>
      </c>
      <c r="Q335" s="121">
        <f>IF(OR(N335="",WorkBudget=0),"",N335/WorkBudget-1)</f>
        <v/>
      </c>
      <c r="R335" s="79">
        <f>IF(N335="","",IF(N335&lt;=WorkBudget,0,IF(N335&lt;=TotalBudget,1,2)))</f>
        <v/>
      </c>
      <c r="S335" s="112">
        <f>IF(AND(OR(H335&lt;&gt;"",J335&lt;&gt;""),OR(L335="Pending",L335=""),C335&lt;&gt;""),C335+3,"")</f>
        <v/>
      </c>
      <c r="T335" s="79">
        <f>IF(S335="","",IF(AsOf&gt;S335,1,2))</f>
        <v/>
      </c>
      <c r="U335" s="79">
        <f>IF(T335="","","Decide on change order "&amp;B335&amp;": "&amp;H335&amp;" (+"&amp;CurSym&amp;" "&amp;FIXED(IF(J335="",0,J335),0)&amp;")")</f>
        <v/>
      </c>
    </row>
    <row r="336" ht="24" customHeight="1">
      <c r="B336" s="74" t="n"/>
      <c r="C336" s="109" t="n"/>
      <c r="D336" s="72" t="n"/>
      <c r="E336" s="72" t="n"/>
      <c r="F336" s="72" t="n"/>
      <c r="G336" s="72" t="n"/>
      <c r="H336" s="113" t="n"/>
      <c r="I336" s="72" t="n"/>
      <c r="J336" s="73" t="n"/>
      <c r="K336" s="89" t="n"/>
      <c r="L336" s="74" t="n"/>
      <c r="M336" s="109" t="n"/>
      <c r="N336" s="68">
        <f>IF(AND(H336="",J336=""),"",ForecastTotal+IF(L336="Approved",0,IF(J336="",0,J336)))</f>
        <v/>
      </c>
      <c r="O336" s="75">
        <f>IF(N336="","",ContAmt-MAX(0,N336-WorkBudget))</f>
        <v/>
      </c>
      <c r="P336" s="120">
        <f>IF(OR(N336="",ForecastEnd=""),"",ForecastEnd+IF(L336="Approved",0,IF(K336="",0,K336)))</f>
        <v/>
      </c>
      <c r="Q336" s="121">
        <f>IF(OR(N336="",WorkBudget=0),"",N336/WorkBudget-1)</f>
        <v/>
      </c>
      <c r="R336" s="79">
        <f>IF(N336="","",IF(N336&lt;=WorkBudget,0,IF(N336&lt;=TotalBudget,1,2)))</f>
        <v/>
      </c>
      <c r="S336" s="112">
        <f>IF(AND(OR(H336&lt;&gt;"",J336&lt;&gt;""),OR(L336="Pending",L336=""),C336&lt;&gt;""),C336+3,"")</f>
        <v/>
      </c>
      <c r="T336" s="79">
        <f>IF(S336="","",IF(AsOf&gt;S336,1,2))</f>
        <v/>
      </c>
      <c r="U336" s="79">
        <f>IF(T336="","","Decide on change order "&amp;B336&amp;": "&amp;H336&amp;" (+"&amp;CurSym&amp;" "&amp;FIXED(IF(J336="",0,J336),0)&amp;")")</f>
        <v/>
      </c>
    </row>
    <row r="337" ht="24" customHeight="1">
      <c r="B337" s="74" t="n"/>
      <c r="C337" s="109" t="n"/>
      <c r="D337" s="72" t="n"/>
      <c r="E337" s="72" t="n"/>
      <c r="F337" s="72" t="n"/>
      <c r="G337" s="72" t="n"/>
      <c r="H337" s="113" t="n"/>
      <c r="I337" s="72" t="n"/>
      <c r="J337" s="73" t="n"/>
      <c r="K337" s="89" t="n"/>
      <c r="L337" s="74" t="n"/>
      <c r="M337" s="109" t="n"/>
      <c r="N337" s="68">
        <f>IF(AND(H337="",J337=""),"",ForecastTotal+IF(L337="Approved",0,IF(J337="",0,J337)))</f>
        <v/>
      </c>
      <c r="O337" s="75">
        <f>IF(N337="","",ContAmt-MAX(0,N337-WorkBudget))</f>
        <v/>
      </c>
      <c r="P337" s="120">
        <f>IF(OR(N337="",ForecastEnd=""),"",ForecastEnd+IF(L337="Approved",0,IF(K337="",0,K337)))</f>
        <v/>
      </c>
      <c r="Q337" s="121">
        <f>IF(OR(N337="",WorkBudget=0),"",N337/WorkBudget-1)</f>
        <v/>
      </c>
      <c r="R337" s="79">
        <f>IF(N337="","",IF(N337&lt;=WorkBudget,0,IF(N337&lt;=TotalBudget,1,2)))</f>
        <v/>
      </c>
      <c r="S337" s="112">
        <f>IF(AND(OR(H337&lt;&gt;"",J337&lt;&gt;""),OR(L337="Pending",L337=""),C337&lt;&gt;""),C337+3,"")</f>
        <v/>
      </c>
      <c r="T337" s="79">
        <f>IF(S337="","",IF(AsOf&gt;S337,1,2))</f>
        <v/>
      </c>
      <c r="U337" s="79">
        <f>IF(T337="","","Decide on change order "&amp;B337&amp;": "&amp;H337&amp;" (+"&amp;CurSym&amp;" "&amp;FIXED(IF(J337="",0,J337),0)&amp;")")</f>
        <v/>
      </c>
    </row>
    <row r="338" ht="24" customHeight="1">
      <c r="B338" s="74" t="n"/>
      <c r="C338" s="109" t="n"/>
      <c r="D338" s="72" t="n"/>
      <c r="E338" s="72" t="n"/>
      <c r="F338" s="72" t="n"/>
      <c r="G338" s="72" t="n"/>
      <c r="H338" s="113" t="n"/>
      <c r="I338" s="72" t="n"/>
      <c r="J338" s="73" t="n"/>
      <c r="K338" s="89" t="n"/>
      <c r="L338" s="74" t="n"/>
      <c r="M338" s="109" t="n"/>
      <c r="N338" s="68">
        <f>IF(AND(H338="",J338=""),"",ForecastTotal+IF(L338="Approved",0,IF(J338="",0,J338)))</f>
        <v/>
      </c>
      <c r="O338" s="75">
        <f>IF(N338="","",ContAmt-MAX(0,N338-WorkBudget))</f>
        <v/>
      </c>
      <c r="P338" s="120">
        <f>IF(OR(N338="",ForecastEnd=""),"",ForecastEnd+IF(L338="Approved",0,IF(K338="",0,K338)))</f>
        <v/>
      </c>
      <c r="Q338" s="121">
        <f>IF(OR(N338="",WorkBudget=0),"",N338/WorkBudget-1)</f>
        <v/>
      </c>
      <c r="R338" s="79">
        <f>IF(N338="","",IF(N338&lt;=WorkBudget,0,IF(N338&lt;=TotalBudget,1,2)))</f>
        <v/>
      </c>
      <c r="S338" s="112">
        <f>IF(AND(OR(H338&lt;&gt;"",J338&lt;&gt;""),OR(L338="Pending",L338=""),C338&lt;&gt;""),C338+3,"")</f>
        <v/>
      </c>
      <c r="T338" s="79">
        <f>IF(S338="","",IF(AsOf&gt;S338,1,2))</f>
        <v/>
      </c>
      <c r="U338" s="79">
        <f>IF(T338="","","Decide on change order "&amp;B338&amp;": "&amp;H338&amp;" (+"&amp;CurSym&amp;" "&amp;FIXED(IF(J338="",0,J338),0)&amp;")")</f>
        <v/>
      </c>
    </row>
    <row r="339" ht="24" customHeight="1">
      <c r="B339" s="74" t="n"/>
      <c r="C339" s="109" t="n"/>
      <c r="D339" s="72" t="n"/>
      <c r="E339" s="72" t="n"/>
      <c r="F339" s="72" t="n"/>
      <c r="G339" s="72" t="n"/>
      <c r="H339" s="113" t="n"/>
      <c r="I339" s="72" t="n"/>
      <c r="J339" s="73" t="n"/>
      <c r="K339" s="89" t="n"/>
      <c r="L339" s="74" t="n"/>
      <c r="M339" s="109" t="n"/>
      <c r="N339" s="68">
        <f>IF(AND(H339="",J339=""),"",ForecastTotal+IF(L339="Approved",0,IF(J339="",0,J339)))</f>
        <v/>
      </c>
      <c r="O339" s="75">
        <f>IF(N339="","",ContAmt-MAX(0,N339-WorkBudget))</f>
        <v/>
      </c>
      <c r="P339" s="120">
        <f>IF(OR(N339="",ForecastEnd=""),"",ForecastEnd+IF(L339="Approved",0,IF(K339="",0,K339)))</f>
        <v/>
      </c>
      <c r="Q339" s="121">
        <f>IF(OR(N339="",WorkBudget=0),"",N339/WorkBudget-1)</f>
        <v/>
      </c>
      <c r="R339" s="79">
        <f>IF(N339="","",IF(N339&lt;=WorkBudget,0,IF(N339&lt;=TotalBudget,1,2)))</f>
        <v/>
      </c>
      <c r="S339" s="112">
        <f>IF(AND(OR(H339&lt;&gt;"",J339&lt;&gt;""),OR(L339="Pending",L339=""),C339&lt;&gt;""),C339+3,"")</f>
        <v/>
      </c>
      <c r="T339" s="79">
        <f>IF(S339="","",IF(AsOf&gt;S339,1,2))</f>
        <v/>
      </c>
      <c r="U339" s="79">
        <f>IF(T339="","","Decide on change order "&amp;B339&amp;": "&amp;H339&amp;" (+"&amp;CurSym&amp;" "&amp;FIXED(IF(J339="",0,J339),0)&amp;")")</f>
        <v/>
      </c>
    </row>
    <row r="340" ht="24" customHeight="1">
      <c r="B340" s="74" t="n"/>
      <c r="C340" s="109" t="n"/>
      <c r="D340" s="72" t="n"/>
      <c r="E340" s="72" t="n"/>
      <c r="F340" s="72" t="n"/>
      <c r="G340" s="72" t="n"/>
      <c r="H340" s="113" t="n"/>
      <c r="I340" s="72" t="n"/>
      <c r="J340" s="73" t="n"/>
      <c r="K340" s="89" t="n"/>
      <c r="L340" s="74" t="n"/>
      <c r="M340" s="109" t="n"/>
      <c r="N340" s="68">
        <f>IF(AND(H340="",J340=""),"",ForecastTotal+IF(L340="Approved",0,IF(J340="",0,J340)))</f>
        <v/>
      </c>
      <c r="O340" s="75">
        <f>IF(N340="","",ContAmt-MAX(0,N340-WorkBudget))</f>
        <v/>
      </c>
      <c r="P340" s="120">
        <f>IF(OR(N340="",ForecastEnd=""),"",ForecastEnd+IF(L340="Approved",0,IF(K340="",0,K340)))</f>
        <v/>
      </c>
      <c r="Q340" s="121">
        <f>IF(OR(N340="",WorkBudget=0),"",N340/WorkBudget-1)</f>
        <v/>
      </c>
      <c r="R340" s="79">
        <f>IF(N340="","",IF(N340&lt;=WorkBudget,0,IF(N340&lt;=TotalBudget,1,2)))</f>
        <v/>
      </c>
      <c r="S340" s="112">
        <f>IF(AND(OR(H340&lt;&gt;"",J340&lt;&gt;""),OR(L340="Pending",L340=""),C340&lt;&gt;""),C340+3,"")</f>
        <v/>
      </c>
      <c r="T340" s="79">
        <f>IF(S340="","",IF(AsOf&gt;S340,1,2))</f>
        <v/>
      </c>
      <c r="U340" s="79">
        <f>IF(T340="","","Decide on change order "&amp;B340&amp;": "&amp;H340&amp;" (+"&amp;CurSym&amp;" "&amp;FIXED(IF(J340="",0,J340),0)&amp;")")</f>
        <v/>
      </c>
    </row>
    <row r="341" ht="24" customHeight="1">
      <c r="B341" s="74" t="n"/>
      <c r="C341" s="109" t="n"/>
      <c r="D341" s="72" t="n"/>
      <c r="E341" s="72" t="n"/>
      <c r="F341" s="72" t="n"/>
      <c r="G341" s="72" t="n"/>
      <c r="H341" s="113" t="n"/>
      <c r="I341" s="72" t="n"/>
      <c r="J341" s="73" t="n"/>
      <c r="K341" s="89" t="n"/>
      <c r="L341" s="74" t="n"/>
      <c r="M341" s="109" t="n"/>
      <c r="N341" s="68">
        <f>IF(AND(H341="",J341=""),"",ForecastTotal+IF(L341="Approved",0,IF(J341="",0,J341)))</f>
        <v/>
      </c>
      <c r="O341" s="75">
        <f>IF(N341="","",ContAmt-MAX(0,N341-WorkBudget))</f>
        <v/>
      </c>
      <c r="P341" s="120">
        <f>IF(OR(N341="",ForecastEnd=""),"",ForecastEnd+IF(L341="Approved",0,IF(K341="",0,K341)))</f>
        <v/>
      </c>
      <c r="Q341" s="121">
        <f>IF(OR(N341="",WorkBudget=0),"",N341/WorkBudget-1)</f>
        <v/>
      </c>
      <c r="R341" s="79">
        <f>IF(N341="","",IF(N341&lt;=WorkBudget,0,IF(N341&lt;=TotalBudget,1,2)))</f>
        <v/>
      </c>
      <c r="S341" s="112">
        <f>IF(AND(OR(H341&lt;&gt;"",J341&lt;&gt;""),OR(L341="Pending",L341=""),C341&lt;&gt;""),C341+3,"")</f>
        <v/>
      </c>
      <c r="T341" s="79">
        <f>IF(S341="","",IF(AsOf&gt;S341,1,2))</f>
        <v/>
      </c>
      <c r="U341" s="79">
        <f>IF(T341="","","Decide on change order "&amp;B341&amp;": "&amp;H341&amp;" (+"&amp;CurSym&amp;" "&amp;FIXED(IF(J341="",0,J341),0)&amp;")")</f>
        <v/>
      </c>
    </row>
    <row r="342" ht="24" customHeight="1">
      <c r="B342" s="74" t="n"/>
      <c r="C342" s="109" t="n"/>
      <c r="D342" s="72" t="n"/>
      <c r="E342" s="72" t="n"/>
      <c r="F342" s="72" t="n"/>
      <c r="G342" s="72" t="n"/>
      <c r="H342" s="113" t="n"/>
      <c r="I342" s="72" t="n"/>
      <c r="J342" s="73" t="n"/>
      <c r="K342" s="89" t="n"/>
      <c r="L342" s="74" t="n"/>
      <c r="M342" s="109" t="n"/>
      <c r="N342" s="68">
        <f>IF(AND(H342="",J342=""),"",ForecastTotal+IF(L342="Approved",0,IF(J342="",0,J342)))</f>
        <v/>
      </c>
      <c r="O342" s="75">
        <f>IF(N342="","",ContAmt-MAX(0,N342-WorkBudget))</f>
        <v/>
      </c>
      <c r="P342" s="120">
        <f>IF(OR(N342="",ForecastEnd=""),"",ForecastEnd+IF(L342="Approved",0,IF(K342="",0,K342)))</f>
        <v/>
      </c>
      <c r="Q342" s="121">
        <f>IF(OR(N342="",WorkBudget=0),"",N342/WorkBudget-1)</f>
        <v/>
      </c>
      <c r="R342" s="79">
        <f>IF(N342="","",IF(N342&lt;=WorkBudget,0,IF(N342&lt;=TotalBudget,1,2)))</f>
        <v/>
      </c>
      <c r="S342" s="112">
        <f>IF(AND(OR(H342&lt;&gt;"",J342&lt;&gt;""),OR(L342="Pending",L342=""),C342&lt;&gt;""),C342+3,"")</f>
        <v/>
      </c>
      <c r="T342" s="79">
        <f>IF(S342="","",IF(AsOf&gt;S342,1,2))</f>
        <v/>
      </c>
      <c r="U342" s="79">
        <f>IF(T342="","","Decide on change order "&amp;B342&amp;": "&amp;H342&amp;" (+"&amp;CurSym&amp;" "&amp;FIXED(IF(J342="",0,J342),0)&amp;")")</f>
        <v/>
      </c>
    </row>
    <row r="343" ht="24" customHeight="1">
      <c r="B343" s="74" t="n"/>
      <c r="C343" s="109" t="n"/>
      <c r="D343" s="72" t="n"/>
      <c r="E343" s="72" t="n"/>
      <c r="F343" s="72" t="n"/>
      <c r="G343" s="72" t="n"/>
      <c r="H343" s="113" t="n"/>
      <c r="I343" s="72" t="n"/>
      <c r="J343" s="73" t="n"/>
      <c r="K343" s="89" t="n"/>
      <c r="L343" s="74" t="n"/>
      <c r="M343" s="109" t="n"/>
      <c r="N343" s="68">
        <f>IF(AND(H343="",J343=""),"",ForecastTotal+IF(L343="Approved",0,IF(J343="",0,J343)))</f>
        <v/>
      </c>
      <c r="O343" s="75">
        <f>IF(N343="","",ContAmt-MAX(0,N343-WorkBudget))</f>
        <v/>
      </c>
      <c r="P343" s="120">
        <f>IF(OR(N343="",ForecastEnd=""),"",ForecastEnd+IF(L343="Approved",0,IF(K343="",0,K343)))</f>
        <v/>
      </c>
      <c r="Q343" s="121">
        <f>IF(OR(N343="",WorkBudget=0),"",N343/WorkBudget-1)</f>
        <v/>
      </c>
      <c r="R343" s="79">
        <f>IF(N343="","",IF(N343&lt;=WorkBudget,0,IF(N343&lt;=TotalBudget,1,2)))</f>
        <v/>
      </c>
      <c r="S343" s="112">
        <f>IF(AND(OR(H343&lt;&gt;"",J343&lt;&gt;""),OR(L343="Pending",L343=""),C343&lt;&gt;""),C343+3,"")</f>
        <v/>
      </c>
      <c r="T343" s="79">
        <f>IF(S343="","",IF(AsOf&gt;S343,1,2))</f>
        <v/>
      </c>
      <c r="U343" s="79">
        <f>IF(T343="","","Decide on change order "&amp;B343&amp;": "&amp;H343&amp;" (+"&amp;CurSym&amp;" "&amp;FIXED(IF(J343="",0,J343),0)&amp;")")</f>
        <v/>
      </c>
    </row>
    <row r="344" ht="24" customHeight="1">
      <c r="B344" s="74" t="n"/>
      <c r="C344" s="109" t="n"/>
      <c r="D344" s="72" t="n"/>
      <c r="E344" s="72" t="n"/>
      <c r="F344" s="72" t="n"/>
      <c r="G344" s="72" t="n"/>
      <c r="H344" s="113" t="n"/>
      <c r="I344" s="72" t="n"/>
      <c r="J344" s="73" t="n"/>
      <c r="K344" s="89" t="n"/>
      <c r="L344" s="74" t="n"/>
      <c r="M344" s="109" t="n"/>
      <c r="N344" s="68">
        <f>IF(AND(H344="",J344=""),"",ForecastTotal+IF(L344="Approved",0,IF(J344="",0,J344)))</f>
        <v/>
      </c>
      <c r="O344" s="75">
        <f>IF(N344="","",ContAmt-MAX(0,N344-WorkBudget))</f>
        <v/>
      </c>
      <c r="P344" s="120">
        <f>IF(OR(N344="",ForecastEnd=""),"",ForecastEnd+IF(L344="Approved",0,IF(K344="",0,K344)))</f>
        <v/>
      </c>
      <c r="Q344" s="121">
        <f>IF(OR(N344="",WorkBudget=0),"",N344/WorkBudget-1)</f>
        <v/>
      </c>
      <c r="R344" s="79">
        <f>IF(N344="","",IF(N344&lt;=WorkBudget,0,IF(N344&lt;=TotalBudget,1,2)))</f>
        <v/>
      </c>
      <c r="S344" s="112">
        <f>IF(AND(OR(H344&lt;&gt;"",J344&lt;&gt;""),OR(L344="Pending",L344=""),C344&lt;&gt;""),C344+3,"")</f>
        <v/>
      </c>
      <c r="T344" s="79">
        <f>IF(S344="","",IF(AsOf&gt;S344,1,2))</f>
        <v/>
      </c>
      <c r="U344" s="79">
        <f>IF(T344="","","Decide on change order "&amp;B344&amp;": "&amp;H344&amp;" (+"&amp;CurSym&amp;" "&amp;FIXED(IF(J344="",0,J344),0)&amp;")")</f>
        <v/>
      </c>
    </row>
    <row r="345" ht="24" customHeight="1">
      <c r="B345" s="74" t="n"/>
      <c r="C345" s="109" t="n"/>
      <c r="D345" s="72" t="n"/>
      <c r="E345" s="72" t="n"/>
      <c r="F345" s="72" t="n"/>
      <c r="G345" s="72" t="n"/>
      <c r="H345" s="113" t="n"/>
      <c r="I345" s="72" t="n"/>
      <c r="J345" s="73" t="n"/>
      <c r="K345" s="89" t="n"/>
      <c r="L345" s="74" t="n"/>
      <c r="M345" s="109" t="n"/>
      <c r="N345" s="68">
        <f>IF(AND(H345="",J345=""),"",ForecastTotal+IF(L345="Approved",0,IF(J345="",0,J345)))</f>
        <v/>
      </c>
      <c r="O345" s="75">
        <f>IF(N345="","",ContAmt-MAX(0,N345-WorkBudget))</f>
        <v/>
      </c>
      <c r="P345" s="120">
        <f>IF(OR(N345="",ForecastEnd=""),"",ForecastEnd+IF(L345="Approved",0,IF(K345="",0,K345)))</f>
        <v/>
      </c>
      <c r="Q345" s="121">
        <f>IF(OR(N345="",WorkBudget=0),"",N345/WorkBudget-1)</f>
        <v/>
      </c>
      <c r="R345" s="79">
        <f>IF(N345="","",IF(N345&lt;=WorkBudget,0,IF(N345&lt;=TotalBudget,1,2)))</f>
        <v/>
      </c>
      <c r="S345" s="112">
        <f>IF(AND(OR(H345&lt;&gt;"",J345&lt;&gt;""),OR(L345="Pending",L345=""),C345&lt;&gt;""),C345+3,"")</f>
        <v/>
      </c>
      <c r="T345" s="79">
        <f>IF(S345="","",IF(AsOf&gt;S345,1,2))</f>
        <v/>
      </c>
      <c r="U345" s="79">
        <f>IF(T345="","","Decide on change order "&amp;B345&amp;": "&amp;H345&amp;" (+"&amp;CurSym&amp;" "&amp;FIXED(IF(J345="",0,J345),0)&amp;")")</f>
        <v/>
      </c>
    </row>
    <row r="346" ht="24" customHeight="1">
      <c r="B346" s="74" t="n"/>
      <c r="C346" s="109" t="n"/>
      <c r="D346" s="72" t="n"/>
      <c r="E346" s="72" t="n"/>
      <c r="F346" s="72" t="n"/>
      <c r="G346" s="72" t="n"/>
      <c r="H346" s="113" t="n"/>
      <c r="I346" s="72" t="n"/>
      <c r="J346" s="73" t="n"/>
      <c r="K346" s="89" t="n"/>
      <c r="L346" s="74" t="n"/>
      <c r="M346" s="109" t="n"/>
      <c r="N346" s="68">
        <f>IF(AND(H346="",J346=""),"",ForecastTotal+IF(L346="Approved",0,IF(J346="",0,J346)))</f>
        <v/>
      </c>
      <c r="O346" s="75">
        <f>IF(N346="","",ContAmt-MAX(0,N346-WorkBudget))</f>
        <v/>
      </c>
      <c r="P346" s="120">
        <f>IF(OR(N346="",ForecastEnd=""),"",ForecastEnd+IF(L346="Approved",0,IF(K346="",0,K346)))</f>
        <v/>
      </c>
      <c r="Q346" s="121">
        <f>IF(OR(N346="",WorkBudget=0),"",N346/WorkBudget-1)</f>
        <v/>
      </c>
      <c r="R346" s="79">
        <f>IF(N346="","",IF(N346&lt;=WorkBudget,0,IF(N346&lt;=TotalBudget,1,2)))</f>
        <v/>
      </c>
      <c r="S346" s="112">
        <f>IF(AND(OR(H346&lt;&gt;"",J346&lt;&gt;""),OR(L346="Pending",L346=""),C346&lt;&gt;""),C346+3,"")</f>
        <v/>
      </c>
      <c r="T346" s="79">
        <f>IF(S346="","",IF(AsOf&gt;S346,1,2))</f>
        <v/>
      </c>
      <c r="U346" s="79">
        <f>IF(T346="","","Decide on change order "&amp;B346&amp;": "&amp;H346&amp;" (+"&amp;CurSym&amp;" "&amp;FIXED(IF(J346="",0,J346),0)&amp;")")</f>
        <v/>
      </c>
    </row>
    <row r="347" ht="24" customHeight="1">
      <c r="B347" s="74" t="n"/>
      <c r="C347" s="109" t="n"/>
      <c r="D347" s="72" t="n"/>
      <c r="E347" s="72" t="n"/>
      <c r="F347" s="72" t="n"/>
      <c r="G347" s="72" t="n"/>
      <c r="H347" s="113" t="n"/>
      <c r="I347" s="72" t="n"/>
      <c r="J347" s="73" t="n"/>
      <c r="K347" s="89" t="n"/>
      <c r="L347" s="74" t="n"/>
      <c r="M347" s="109" t="n"/>
      <c r="N347" s="68">
        <f>IF(AND(H347="",J347=""),"",ForecastTotal+IF(L347="Approved",0,IF(J347="",0,J347)))</f>
        <v/>
      </c>
      <c r="O347" s="75">
        <f>IF(N347="","",ContAmt-MAX(0,N347-WorkBudget))</f>
        <v/>
      </c>
      <c r="P347" s="120">
        <f>IF(OR(N347="",ForecastEnd=""),"",ForecastEnd+IF(L347="Approved",0,IF(K347="",0,K347)))</f>
        <v/>
      </c>
      <c r="Q347" s="121">
        <f>IF(OR(N347="",WorkBudget=0),"",N347/WorkBudget-1)</f>
        <v/>
      </c>
      <c r="R347" s="79">
        <f>IF(N347="","",IF(N347&lt;=WorkBudget,0,IF(N347&lt;=TotalBudget,1,2)))</f>
        <v/>
      </c>
      <c r="S347" s="112">
        <f>IF(AND(OR(H347&lt;&gt;"",J347&lt;&gt;""),OR(L347="Pending",L347=""),C347&lt;&gt;""),C347+3,"")</f>
        <v/>
      </c>
      <c r="T347" s="79">
        <f>IF(S347="","",IF(AsOf&gt;S347,1,2))</f>
        <v/>
      </c>
      <c r="U347" s="79">
        <f>IF(T347="","","Decide on change order "&amp;B347&amp;": "&amp;H347&amp;" (+"&amp;CurSym&amp;" "&amp;FIXED(IF(J347="",0,J347),0)&amp;")")</f>
        <v/>
      </c>
    </row>
    <row r="348" ht="24" customHeight="1">
      <c r="B348" s="74" t="n"/>
      <c r="C348" s="109" t="n"/>
      <c r="D348" s="72" t="n"/>
      <c r="E348" s="72" t="n"/>
      <c r="F348" s="72" t="n"/>
      <c r="G348" s="72" t="n"/>
      <c r="H348" s="113" t="n"/>
      <c r="I348" s="72" t="n"/>
      <c r="J348" s="73" t="n"/>
      <c r="K348" s="89" t="n"/>
      <c r="L348" s="74" t="n"/>
      <c r="M348" s="109" t="n"/>
      <c r="N348" s="68">
        <f>IF(AND(H348="",J348=""),"",ForecastTotal+IF(L348="Approved",0,IF(J348="",0,J348)))</f>
        <v/>
      </c>
      <c r="O348" s="75">
        <f>IF(N348="","",ContAmt-MAX(0,N348-WorkBudget))</f>
        <v/>
      </c>
      <c r="P348" s="120">
        <f>IF(OR(N348="",ForecastEnd=""),"",ForecastEnd+IF(L348="Approved",0,IF(K348="",0,K348)))</f>
        <v/>
      </c>
      <c r="Q348" s="121">
        <f>IF(OR(N348="",WorkBudget=0),"",N348/WorkBudget-1)</f>
        <v/>
      </c>
      <c r="R348" s="79">
        <f>IF(N348="","",IF(N348&lt;=WorkBudget,0,IF(N348&lt;=TotalBudget,1,2)))</f>
        <v/>
      </c>
      <c r="S348" s="112">
        <f>IF(AND(OR(H348&lt;&gt;"",J348&lt;&gt;""),OR(L348="Pending",L348=""),C348&lt;&gt;""),C348+3,"")</f>
        <v/>
      </c>
      <c r="T348" s="79">
        <f>IF(S348="","",IF(AsOf&gt;S348,1,2))</f>
        <v/>
      </c>
      <c r="U348" s="79">
        <f>IF(T348="","","Decide on change order "&amp;B348&amp;": "&amp;H348&amp;" (+"&amp;CurSym&amp;" "&amp;FIXED(IF(J348="",0,J348),0)&amp;")")</f>
        <v/>
      </c>
    </row>
    <row r="349" ht="24" customHeight="1">
      <c r="B349" s="74" t="n"/>
      <c r="C349" s="109" t="n"/>
      <c r="D349" s="72" t="n"/>
      <c r="E349" s="72" t="n"/>
      <c r="F349" s="72" t="n"/>
      <c r="G349" s="72" t="n"/>
      <c r="H349" s="113" t="n"/>
      <c r="I349" s="72" t="n"/>
      <c r="J349" s="73" t="n"/>
      <c r="K349" s="89" t="n"/>
      <c r="L349" s="74" t="n"/>
      <c r="M349" s="109" t="n"/>
      <c r="N349" s="68">
        <f>IF(AND(H349="",J349=""),"",ForecastTotal+IF(L349="Approved",0,IF(J349="",0,J349)))</f>
        <v/>
      </c>
      <c r="O349" s="75">
        <f>IF(N349="","",ContAmt-MAX(0,N349-WorkBudget))</f>
        <v/>
      </c>
      <c r="P349" s="120">
        <f>IF(OR(N349="",ForecastEnd=""),"",ForecastEnd+IF(L349="Approved",0,IF(K349="",0,K349)))</f>
        <v/>
      </c>
      <c r="Q349" s="121">
        <f>IF(OR(N349="",WorkBudget=0),"",N349/WorkBudget-1)</f>
        <v/>
      </c>
      <c r="R349" s="79">
        <f>IF(N349="","",IF(N349&lt;=WorkBudget,0,IF(N349&lt;=TotalBudget,1,2)))</f>
        <v/>
      </c>
      <c r="S349" s="112">
        <f>IF(AND(OR(H349&lt;&gt;"",J349&lt;&gt;""),OR(L349="Pending",L349=""),C349&lt;&gt;""),C349+3,"")</f>
        <v/>
      </c>
      <c r="T349" s="79">
        <f>IF(S349="","",IF(AsOf&gt;S349,1,2))</f>
        <v/>
      </c>
      <c r="U349" s="79">
        <f>IF(T349="","","Decide on change order "&amp;B349&amp;": "&amp;H349&amp;" (+"&amp;CurSym&amp;" "&amp;FIXED(IF(J349="",0,J349),0)&amp;")")</f>
        <v/>
      </c>
    </row>
    <row r="350" ht="24" customHeight="1">
      <c r="B350" s="74" t="n"/>
      <c r="C350" s="109" t="n"/>
      <c r="D350" s="72" t="n"/>
      <c r="E350" s="72" t="n"/>
      <c r="F350" s="72" t="n"/>
      <c r="G350" s="72" t="n"/>
      <c r="H350" s="113" t="n"/>
      <c r="I350" s="72" t="n"/>
      <c r="J350" s="73" t="n"/>
      <c r="K350" s="89" t="n"/>
      <c r="L350" s="74" t="n"/>
      <c r="M350" s="109" t="n"/>
      <c r="N350" s="68">
        <f>IF(AND(H350="",J350=""),"",ForecastTotal+IF(L350="Approved",0,IF(J350="",0,J350)))</f>
        <v/>
      </c>
      <c r="O350" s="75">
        <f>IF(N350="","",ContAmt-MAX(0,N350-WorkBudget))</f>
        <v/>
      </c>
      <c r="P350" s="120">
        <f>IF(OR(N350="",ForecastEnd=""),"",ForecastEnd+IF(L350="Approved",0,IF(K350="",0,K350)))</f>
        <v/>
      </c>
      <c r="Q350" s="121">
        <f>IF(OR(N350="",WorkBudget=0),"",N350/WorkBudget-1)</f>
        <v/>
      </c>
      <c r="R350" s="79">
        <f>IF(N350="","",IF(N350&lt;=WorkBudget,0,IF(N350&lt;=TotalBudget,1,2)))</f>
        <v/>
      </c>
      <c r="S350" s="112">
        <f>IF(AND(OR(H350&lt;&gt;"",J350&lt;&gt;""),OR(L350="Pending",L350=""),C350&lt;&gt;""),C350+3,"")</f>
        <v/>
      </c>
      <c r="T350" s="79">
        <f>IF(S350="","",IF(AsOf&gt;S350,1,2))</f>
        <v/>
      </c>
      <c r="U350" s="79">
        <f>IF(T350="","","Decide on change order "&amp;B350&amp;": "&amp;H350&amp;" (+"&amp;CurSym&amp;" "&amp;FIXED(IF(J350="",0,J350),0)&amp;")")</f>
        <v/>
      </c>
    </row>
    <row r="351" ht="24" customHeight="1">
      <c r="B351" s="74" t="n"/>
      <c r="C351" s="109" t="n"/>
      <c r="D351" s="72" t="n"/>
      <c r="E351" s="72" t="n"/>
      <c r="F351" s="72" t="n"/>
      <c r="G351" s="72" t="n"/>
      <c r="H351" s="113" t="n"/>
      <c r="I351" s="72" t="n"/>
      <c r="J351" s="73" t="n"/>
      <c r="K351" s="89" t="n"/>
      <c r="L351" s="74" t="n"/>
      <c r="M351" s="109" t="n"/>
      <c r="N351" s="68">
        <f>IF(AND(H351="",J351=""),"",ForecastTotal+IF(L351="Approved",0,IF(J351="",0,J351)))</f>
        <v/>
      </c>
      <c r="O351" s="75">
        <f>IF(N351="","",ContAmt-MAX(0,N351-WorkBudget))</f>
        <v/>
      </c>
      <c r="P351" s="120">
        <f>IF(OR(N351="",ForecastEnd=""),"",ForecastEnd+IF(L351="Approved",0,IF(K351="",0,K351)))</f>
        <v/>
      </c>
      <c r="Q351" s="121">
        <f>IF(OR(N351="",WorkBudget=0),"",N351/WorkBudget-1)</f>
        <v/>
      </c>
      <c r="R351" s="79">
        <f>IF(N351="","",IF(N351&lt;=WorkBudget,0,IF(N351&lt;=TotalBudget,1,2)))</f>
        <v/>
      </c>
      <c r="S351" s="112">
        <f>IF(AND(OR(H351&lt;&gt;"",J351&lt;&gt;""),OR(L351="Pending",L351=""),C351&lt;&gt;""),C351+3,"")</f>
        <v/>
      </c>
      <c r="T351" s="79">
        <f>IF(S351="","",IF(AsOf&gt;S351,1,2))</f>
        <v/>
      </c>
      <c r="U351" s="79">
        <f>IF(T351="","","Decide on change order "&amp;B351&amp;": "&amp;H351&amp;" (+"&amp;CurSym&amp;" "&amp;FIXED(IF(J351="",0,J351),0)&amp;")")</f>
        <v/>
      </c>
    </row>
    <row r="352" ht="24" customHeight="1">
      <c r="B352" s="74" t="n"/>
      <c r="C352" s="109" t="n"/>
      <c r="D352" s="72" t="n"/>
      <c r="E352" s="72" t="n"/>
      <c r="F352" s="72" t="n"/>
      <c r="G352" s="72" t="n"/>
      <c r="H352" s="113" t="n"/>
      <c r="I352" s="72" t="n"/>
      <c r="J352" s="73" t="n"/>
      <c r="K352" s="89" t="n"/>
      <c r="L352" s="74" t="n"/>
      <c r="M352" s="109" t="n"/>
      <c r="N352" s="68">
        <f>IF(AND(H352="",J352=""),"",ForecastTotal+IF(L352="Approved",0,IF(J352="",0,J352)))</f>
        <v/>
      </c>
      <c r="O352" s="75">
        <f>IF(N352="","",ContAmt-MAX(0,N352-WorkBudget))</f>
        <v/>
      </c>
      <c r="P352" s="120">
        <f>IF(OR(N352="",ForecastEnd=""),"",ForecastEnd+IF(L352="Approved",0,IF(K352="",0,K352)))</f>
        <v/>
      </c>
      <c r="Q352" s="121">
        <f>IF(OR(N352="",WorkBudget=0),"",N352/WorkBudget-1)</f>
        <v/>
      </c>
      <c r="R352" s="79">
        <f>IF(N352="","",IF(N352&lt;=WorkBudget,0,IF(N352&lt;=TotalBudget,1,2)))</f>
        <v/>
      </c>
      <c r="S352" s="112">
        <f>IF(AND(OR(H352&lt;&gt;"",J352&lt;&gt;""),OR(L352="Pending",L352=""),C352&lt;&gt;""),C352+3,"")</f>
        <v/>
      </c>
      <c r="T352" s="79">
        <f>IF(S352="","",IF(AsOf&gt;S352,1,2))</f>
        <v/>
      </c>
      <c r="U352" s="79">
        <f>IF(T352="","","Decide on change order "&amp;B352&amp;": "&amp;H352&amp;" (+"&amp;CurSym&amp;" "&amp;FIXED(IF(J352="",0,J352),0)&amp;")")</f>
        <v/>
      </c>
    </row>
    <row r="353" ht="24" customHeight="1">
      <c r="B353" s="74" t="n"/>
      <c r="C353" s="109" t="n"/>
      <c r="D353" s="72" t="n"/>
      <c r="E353" s="72" t="n"/>
      <c r="F353" s="72" t="n"/>
      <c r="G353" s="72" t="n"/>
      <c r="H353" s="113" t="n"/>
      <c r="I353" s="72" t="n"/>
      <c r="J353" s="73" t="n"/>
      <c r="K353" s="89" t="n"/>
      <c r="L353" s="74" t="n"/>
      <c r="M353" s="109" t="n"/>
      <c r="N353" s="68">
        <f>IF(AND(H353="",J353=""),"",ForecastTotal+IF(L353="Approved",0,IF(J353="",0,J353)))</f>
        <v/>
      </c>
      <c r="O353" s="75">
        <f>IF(N353="","",ContAmt-MAX(0,N353-WorkBudget))</f>
        <v/>
      </c>
      <c r="P353" s="120">
        <f>IF(OR(N353="",ForecastEnd=""),"",ForecastEnd+IF(L353="Approved",0,IF(K353="",0,K353)))</f>
        <v/>
      </c>
      <c r="Q353" s="121">
        <f>IF(OR(N353="",WorkBudget=0),"",N353/WorkBudget-1)</f>
        <v/>
      </c>
      <c r="R353" s="79">
        <f>IF(N353="","",IF(N353&lt;=WorkBudget,0,IF(N353&lt;=TotalBudget,1,2)))</f>
        <v/>
      </c>
      <c r="S353" s="112">
        <f>IF(AND(OR(H353&lt;&gt;"",J353&lt;&gt;""),OR(L353="Pending",L353=""),C353&lt;&gt;""),C353+3,"")</f>
        <v/>
      </c>
      <c r="T353" s="79">
        <f>IF(S353="","",IF(AsOf&gt;S353,1,2))</f>
        <v/>
      </c>
      <c r="U353" s="79">
        <f>IF(T353="","","Decide on change order "&amp;B353&amp;": "&amp;H353&amp;" (+"&amp;CurSym&amp;" "&amp;FIXED(IF(J353="",0,J353),0)&amp;")")</f>
        <v/>
      </c>
    </row>
    <row r="354" ht="24" customHeight="1">
      <c r="B354" s="74" t="n"/>
      <c r="C354" s="109" t="n"/>
      <c r="D354" s="72" t="n"/>
      <c r="E354" s="72" t="n"/>
      <c r="F354" s="72" t="n"/>
      <c r="G354" s="72" t="n"/>
      <c r="H354" s="113" t="n"/>
      <c r="I354" s="72" t="n"/>
      <c r="J354" s="73" t="n"/>
      <c r="K354" s="89" t="n"/>
      <c r="L354" s="74" t="n"/>
      <c r="M354" s="109" t="n"/>
      <c r="N354" s="68">
        <f>IF(AND(H354="",J354=""),"",ForecastTotal+IF(L354="Approved",0,IF(J354="",0,J354)))</f>
        <v/>
      </c>
      <c r="O354" s="75">
        <f>IF(N354="","",ContAmt-MAX(0,N354-WorkBudget))</f>
        <v/>
      </c>
      <c r="P354" s="120">
        <f>IF(OR(N354="",ForecastEnd=""),"",ForecastEnd+IF(L354="Approved",0,IF(K354="",0,K354)))</f>
        <v/>
      </c>
      <c r="Q354" s="121">
        <f>IF(OR(N354="",WorkBudget=0),"",N354/WorkBudget-1)</f>
        <v/>
      </c>
      <c r="R354" s="79">
        <f>IF(N354="","",IF(N354&lt;=WorkBudget,0,IF(N354&lt;=TotalBudget,1,2)))</f>
        <v/>
      </c>
      <c r="S354" s="112">
        <f>IF(AND(OR(H354&lt;&gt;"",J354&lt;&gt;""),OR(L354="Pending",L354=""),C354&lt;&gt;""),C354+3,"")</f>
        <v/>
      </c>
      <c r="T354" s="79">
        <f>IF(S354="","",IF(AsOf&gt;S354,1,2))</f>
        <v/>
      </c>
      <c r="U354" s="79">
        <f>IF(T354="","","Decide on change order "&amp;B354&amp;": "&amp;H354&amp;" (+"&amp;CurSym&amp;" "&amp;FIXED(IF(J354="",0,J354),0)&amp;")")</f>
        <v/>
      </c>
    </row>
    <row r="355" ht="24" customHeight="1">
      <c r="B355" s="74" t="n"/>
      <c r="C355" s="109" t="n"/>
      <c r="D355" s="72" t="n"/>
      <c r="E355" s="72" t="n"/>
      <c r="F355" s="72" t="n"/>
      <c r="G355" s="72" t="n"/>
      <c r="H355" s="113" t="n"/>
      <c r="I355" s="72" t="n"/>
      <c r="J355" s="73" t="n"/>
      <c r="K355" s="89" t="n"/>
      <c r="L355" s="74" t="n"/>
      <c r="M355" s="109" t="n"/>
      <c r="N355" s="68">
        <f>IF(AND(H355="",J355=""),"",ForecastTotal+IF(L355="Approved",0,IF(J355="",0,J355)))</f>
        <v/>
      </c>
      <c r="O355" s="75">
        <f>IF(N355="","",ContAmt-MAX(0,N355-WorkBudget))</f>
        <v/>
      </c>
      <c r="P355" s="120">
        <f>IF(OR(N355="",ForecastEnd=""),"",ForecastEnd+IF(L355="Approved",0,IF(K355="",0,K355)))</f>
        <v/>
      </c>
      <c r="Q355" s="121">
        <f>IF(OR(N355="",WorkBudget=0),"",N355/WorkBudget-1)</f>
        <v/>
      </c>
      <c r="R355" s="79">
        <f>IF(N355="","",IF(N355&lt;=WorkBudget,0,IF(N355&lt;=TotalBudget,1,2)))</f>
        <v/>
      </c>
      <c r="S355" s="112">
        <f>IF(AND(OR(H355&lt;&gt;"",J355&lt;&gt;""),OR(L355="Pending",L355=""),C355&lt;&gt;""),C355+3,"")</f>
        <v/>
      </c>
      <c r="T355" s="79">
        <f>IF(S355="","",IF(AsOf&gt;S355,1,2))</f>
        <v/>
      </c>
      <c r="U355" s="79">
        <f>IF(T355="","","Decide on change order "&amp;B355&amp;": "&amp;H355&amp;" (+"&amp;CurSym&amp;" "&amp;FIXED(IF(J355="",0,J355),0)&amp;")")</f>
        <v/>
      </c>
    </row>
    <row r="356" ht="24" customHeight="1">
      <c r="B356" s="74" t="n"/>
      <c r="C356" s="109" t="n"/>
      <c r="D356" s="72" t="n"/>
      <c r="E356" s="72" t="n"/>
      <c r="F356" s="72" t="n"/>
      <c r="G356" s="72" t="n"/>
      <c r="H356" s="113" t="n"/>
      <c r="I356" s="72" t="n"/>
      <c r="J356" s="73" t="n"/>
      <c r="K356" s="89" t="n"/>
      <c r="L356" s="74" t="n"/>
      <c r="M356" s="109" t="n"/>
      <c r="N356" s="68">
        <f>IF(AND(H356="",J356=""),"",ForecastTotal+IF(L356="Approved",0,IF(J356="",0,J356)))</f>
        <v/>
      </c>
      <c r="O356" s="75">
        <f>IF(N356="","",ContAmt-MAX(0,N356-WorkBudget))</f>
        <v/>
      </c>
      <c r="P356" s="120">
        <f>IF(OR(N356="",ForecastEnd=""),"",ForecastEnd+IF(L356="Approved",0,IF(K356="",0,K356)))</f>
        <v/>
      </c>
      <c r="Q356" s="121">
        <f>IF(OR(N356="",WorkBudget=0),"",N356/WorkBudget-1)</f>
        <v/>
      </c>
      <c r="R356" s="79">
        <f>IF(N356="","",IF(N356&lt;=WorkBudget,0,IF(N356&lt;=TotalBudget,1,2)))</f>
        <v/>
      </c>
      <c r="S356" s="112">
        <f>IF(AND(OR(H356&lt;&gt;"",J356&lt;&gt;""),OR(L356="Pending",L356=""),C356&lt;&gt;""),C356+3,"")</f>
        <v/>
      </c>
      <c r="T356" s="79">
        <f>IF(S356="","",IF(AsOf&gt;S356,1,2))</f>
        <v/>
      </c>
      <c r="U356" s="79">
        <f>IF(T356="","","Decide on change order "&amp;B356&amp;": "&amp;H356&amp;" (+"&amp;CurSym&amp;" "&amp;FIXED(IF(J356="",0,J356),0)&amp;")")</f>
        <v/>
      </c>
    </row>
    <row r="357" ht="24" customHeight="1">
      <c r="B357" s="74" t="n"/>
      <c r="C357" s="109" t="n"/>
      <c r="D357" s="72" t="n"/>
      <c r="E357" s="72" t="n"/>
      <c r="F357" s="72" t="n"/>
      <c r="G357" s="72" t="n"/>
      <c r="H357" s="113" t="n"/>
      <c r="I357" s="72" t="n"/>
      <c r="J357" s="73" t="n"/>
      <c r="K357" s="89" t="n"/>
      <c r="L357" s="74" t="n"/>
      <c r="M357" s="109" t="n"/>
      <c r="N357" s="68">
        <f>IF(AND(H357="",J357=""),"",ForecastTotal+IF(L357="Approved",0,IF(J357="",0,J357)))</f>
        <v/>
      </c>
      <c r="O357" s="75">
        <f>IF(N357="","",ContAmt-MAX(0,N357-WorkBudget))</f>
        <v/>
      </c>
      <c r="P357" s="120">
        <f>IF(OR(N357="",ForecastEnd=""),"",ForecastEnd+IF(L357="Approved",0,IF(K357="",0,K357)))</f>
        <v/>
      </c>
      <c r="Q357" s="121">
        <f>IF(OR(N357="",WorkBudget=0),"",N357/WorkBudget-1)</f>
        <v/>
      </c>
      <c r="R357" s="79">
        <f>IF(N357="","",IF(N357&lt;=WorkBudget,0,IF(N357&lt;=TotalBudget,1,2)))</f>
        <v/>
      </c>
      <c r="S357" s="112">
        <f>IF(AND(OR(H357&lt;&gt;"",J357&lt;&gt;""),OR(L357="Pending",L357=""),C357&lt;&gt;""),C357+3,"")</f>
        <v/>
      </c>
      <c r="T357" s="79">
        <f>IF(S357="","",IF(AsOf&gt;S357,1,2))</f>
        <v/>
      </c>
      <c r="U357" s="79">
        <f>IF(T357="","","Decide on change order "&amp;B357&amp;": "&amp;H357&amp;" (+"&amp;CurSym&amp;" "&amp;FIXED(IF(J357="",0,J357),0)&amp;")")</f>
        <v/>
      </c>
    </row>
    <row r="358" ht="24" customHeight="1">
      <c r="B358" s="74" t="n"/>
      <c r="C358" s="109" t="n"/>
      <c r="D358" s="72" t="n"/>
      <c r="E358" s="72" t="n"/>
      <c r="F358" s="72" t="n"/>
      <c r="G358" s="72" t="n"/>
      <c r="H358" s="113" t="n"/>
      <c r="I358" s="72" t="n"/>
      <c r="J358" s="73" t="n"/>
      <c r="K358" s="89" t="n"/>
      <c r="L358" s="74" t="n"/>
      <c r="M358" s="109" t="n"/>
      <c r="N358" s="68">
        <f>IF(AND(H358="",J358=""),"",ForecastTotal+IF(L358="Approved",0,IF(J358="",0,J358)))</f>
        <v/>
      </c>
      <c r="O358" s="75">
        <f>IF(N358="","",ContAmt-MAX(0,N358-WorkBudget))</f>
        <v/>
      </c>
      <c r="P358" s="120">
        <f>IF(OR(N358="",ForecastEnd=""),"",ForecastEnd+IF(L358="Approved",0,IF(K358="",0,K358)))</f>
        <v/>
      </c>
      <c r="Q358" s="121">
        <f>IF(OR(N358="",WorkBudget=0),"",N358/WorkBudget-1)</f>
        <v/>
      </c>
      <c r="R358" s="79">
        <f>IF(N358="","",IF(N358&lt;=WorkBudget,0,IF(N358&lt;=TotalBudget,1,2)))</f>
        <v/>
      </c>
      <c r="S358" s="112">
        <f>IF(AND(OR(H358&lt;&gt;"",J358&lt;&gt;""),OR(L358="Pending",L358=""),C358&lt;&gt;""),C358+3,"")</f>
        <v/>
      </c>
      <c r="T358" s="79">
        <f>IF(S358="","",IF(AsOf&gt;S358,1,2))</f>
        <v/>
      </c>
      <c r="U358" s="79">
        <f>IF(T358="","","Decide on change order "&amp;B358&amp;": "&amp;H358&amp;" (+"&amp;CurSym&amp;" "&amp;FIXED(IF(J358="",0,J358),0)&amp;")")</f>
        <v/>
      </c>
    </row>
    <row r="359" ht="24" customHeight="1">
      <c r="B359" s="74" t="n"/>
      <c r="C359" s="109" t="n"/>
      <c r="D359" s="72" t="n"/>
      <c r="E359" s="72" t="n"/>
      <c r="F359" s="72" t="n"/>
      <c r="G359" s="72" t="n"/>
      <c r="H359" s="113" t="n"/>
      <c r="I359" s="72" t="n"/>
      <c r="J359" s="73" t="n"/>
      <c r="K359" s="89" t="n"/>
      <c r="L359" s="74" t="n"/>
      <c r="M359" s="109" t="n"/>
      <c r="N359" s="68">
        <f>IF(AND(H359="",J359=""),"",ForecastTotal+IF(L359="Approved",0,IF(J359="",0,J359)))</f>
        <v/>
      </c>
      <c r="O359" s="75">
        <f>IF(N359="","",ContAmt-MAX(0,N359-WorkBudget))</f>
        <v/>
      </c>
      <c r="P359" s="120">
        <f>IF(OR(N359="",ForecastEnd=""),"",ForecastEnd+IF(L359="Approved",0,IF(K359="",0,K359)))</f>
        <v/>
      </c>
      <c r="Q359" s="121">
        <f>IF(OR(N359="",WorkBudget=0),"",N359/WorkBudget-1)</f>
        <v/>
      </c>
      <c r="R359" s="79">
        <f>IF(N359="","",IF(N359&lt;=WorkBudget,0,IF(N359&lt;=TotalBudget,1,2)))</f>
        <v/>
      </c>
      <c r="S359" s="112">
        <f>IF(AND(OR(H359&lt;&gt;"",J359&lt;&gt;""),OR(L359="Pending",L359=""),C359&lt;&gt;""),C359+3,"")</f>
        <v/>
      </c>
      <c r="T359" s="79">
        <f>IF(S359="","",IF(AsOf&gt;S359,1,2))</f>
        <v/>
      </c>
      <c r="U359" s="79">
        <f>IF(T359="","","Decide on change order "&amp;B359&amp;": "&amp;H359&amp;" (+"&amp;CurSym&amp;" "&amp;FIXED(IF(J359="",0,J359),0)&amp;")")</f>
        <v/>
      </c>
    </row>
    <row r="360" ht="24" customHeight="1">
      <c r="B360" s="74" t="n"/>
      <c r="C360" s="109" t="n"/>
      <c r="D360" s="72" t="n"/>
      <c r="E360" s="72" t="n"/>
      <c r="F360" s="72" t="n"/>
      <c r="G360" s="72" t="n"/>
      <c r="H360" s="113" t="n"/>
      <c r="I360" s="72" t="n"/>
      <c r="J360" s="73" t="n"/>
      <c r="K360" s="89" t="n"/>
      <c r="L360" s="74" t="n"/>
      <c r="M360" s="109" t="n"/>
      <c r="N360" s="68">
        <f>IF(AND(H360="",J360=""),"",ForecastTotal+IF(L360="Approved",0,IF(J360="",0,J360)))</f>
        <v/>
      </c>
      <c r="O360" s="75">
        <f>IF(N360="","",ContAmt-MAX(0,N360-WorkBudget))</f>
        <v/>
      </c>
      <c r="P360" s="120">
        <f>IF(OR(N360="",ForecastEnd=""),"",ForecastEnd+IF(L360="Approved",0,IF(K360="",0,K360)))</f>
        <v/>
      </c>
      <c r="Q360" s="121">
        <f>IF(OR(N360="",WorkBudget=0),"",N360/WorkBudget-1)</f>
        <v/>
      </c>
      <c r="R360" s="79">
        <f>IF(N360="","",IF(N360&lt;=WorkBudget,0,IF(N360&lt;=TotalBudget,1,2)))</f>
        <v/>
      </c>
      <c r="S360" s="112">
        <f>IF(AND(OR(H360&lt;&gt;"",J360&lt;&gt;""),OR(L360="Pending",L360=""),C360&lt;&gt;""),C360+3,"")</f>
        <v/>
      </c>
      <c r="T360" s="79">
        <f>IF(S360="","",IF(AsOf&gt;S360,1,2))</f>
        <v/>
      </c>
      <c r="U360" s="79">
        <f>IF(T360="","","Decide on change order "&amp;B360&amp;": "&amp;H360&amp;" (+"&amp;CurSym&amp;" "&amp;FIXED(IF(J360="",0,J360),0)&amp;")")</f>
        <v/>
      </c>
    </row>
    <row r="361" ht="24" customHeight="1">
      <c r="B361" s="74" t="n"/>
      <c r="C361" s="109" t="n"/>
      <c r="D361" s="72" t="n"/>
      <c r="E361" s="72" t="n"/>
      <c r="F361" s="72" t="n"/>
      <c r="G361" s="72" t="n"/>
      <c r="H361" s="113" t="n"/>
      <c r="I361" s="72" t="n"/>
      <c r="J361" s="73" t="n"/>
      <c r="K361" s="89" t="n"/>
      <c r="L361" s="74" t="n"/>
      <c r="M361" s="109" t="n"/>
      <c r="N361" s="68">
        <f>IF(AND(H361="",J361=""),"",ForecastTotal+IF(L361="Approved",0,IF(J361="",0,J361)))</f>
        <v/>
      </c>
      <c r="O361" s="75">
        <f>IF(N361="","",ContAmt-MAX(0,N361-WorkBudget))</f>
        <v/>
      </c>
      <c r="P361" s="120">
        <f>IF(OR(N361="",ForecastEnd=""),"",ForecastEnd+IF(L361="Approved",0,IF(K361="",0,K361)))</f>
        <v/>
      </c>
      <c r="Q361" s="121">
        <f>IF(OR(N361="",WorkBudget=0),"",N361/WorkBudget-1)</f>
        <v/>
      </c>
      <c r="R361" s="79">
        <f>IF(N361="","",IF(N361&lt;=WorkBudget,0,IF(N361&lt;=TotalBudget,1,2)))</f>
        <v/>
      </c>
      <c r="S361" s="112">
        <f>IF(AND(OR(H361&lt;&gt;"",J361&lt;&gt;""),OR(L361="Pending",L361=""),C361&lt;&gt;""),C361+3,"")</f>
        <v/>
      </c>
      <c r="T361" s="79">
        <f>IF(S361="","",IF(AsOf&gt;S361,1,2))</f>
        <v/>
      </c>
      <c r="U361" s="79">
        <f>IF(T361="","","Decide on change order "&amp;B361&amp;": "&amp;H361&amp;" (+"&amp;CurSym&amp;" "&amp;FIXED(IF(J361="",0,J361),0)&amp;")")</f>
        <v/>
      </c>
    </row>
    <row r="362" ht="24" customHeight="1">
      <c r="B362" s="74" t="n"/>
      <c r="C362" s="109" t="n"/>
      <c r="D362" s="72" t="n"/>
      <c r="E362" s="72" t="n"/>
      <c r="F362" s="72" t="n"/>
      <c r="G362" s="72" t="n"/>
      <c r="H362" s="113" t="n"/>
      <c r="I362" s="72" t="n"/>
      <c r="J362" s="73" t="n"/>
      <c r="K362" s="89" t="n"/>
      <c r="L362" s="74" t="n"/>
      <c r="M362" s="109" t="n"/>
      <c r="N362" s="68">
        <f>IF(AND(H362="",J362=""),"",ForecastTotal+IF(L362="Approved",0,IF(J362="",0,J362)))</f>
        <v/>
      </c>
      <c r="O362" s="75">
        <f>IF(N362="","",ContAmt-MAX(0,N362-WorkBudget))</f>
        <v/>
      </c>
      <c r="P362" s="120">
        <f>IF(OR(N362="",ForecastEnd=""),"",ForecastEnd+IF(L362="Approved",0,IF(K362="",0,K362)))</f>
        <v/>
      </c>
      <c r="Q362" s="121">
        <f>IF(OR(N362="",WorkBudget=0),"",N362/WorkBudget-1)</f>
        <v/>
      </c>
      <c r="R362" s="79">
        <f>IF(N362="","",IF(N362&lt;=WorkBudget,0,IF(N362&lt;=TotalBudget,1,2)))</f>
        <v/>
      </c>
      <c r="S362" s="112">
        <f>IF(AND(OR(H362&lt;&gt;"",J362&lt;&gt;""),OR(L362="Pending",L362=""),C362&lt;&gt;""),C362+3,"")</f>
        <v/>
      </c>
      <c r="T362" s="79">
        <f>IF(S362="","",IF(AsOf&gt;S362,1,2))</f>
        <v/>
      </c>
      <c r="U362" s="79">
        <f>IF(T362="","","Decide on change order "&amp;B362&amp;": "&amp;H362&amp;" (+"&amp;CurSym&amp;" "&amp;FIXED(IF(J362="",0,J362),0)&amp;")")</f>
        <v/>
      </c>
    </row>
    <row r="363" ht="24" customHeight="1">
      <c r="B363" s="74" t="n"/>
      <c r="C363" s="109" t="n"/>
      <c r="D363" s="72" t="n"/>
      <c r="E363" s="72" t="n"/>
      <c r="F363" s="72" t="n"/>
      <c r="G363" s="72" t="n"/>
      <c r="H363" s="113" t="n"/>
      <c r="I363" s="72" t="n"/>
      <c r="J363" s="73" t="n"/>
      <c r="K363" s="89" t="n"/>
      <c r="L363" s="74" t="n"/>
      <c r="M363" s="109" t="n"/>
      <c r="N363" s="68">
        <f>IF(AND(H363="",J363=""),"",ForecastTotal+IF(L363="Approved",0,IF(J363="",0,J363)))</f>
        <v/>
      </c>
      <c r="O363" s="75">
        <f>IF(N363="","",ContAmt-MAX(0,N363-WorkBudget))</f>
        <v/>
      </c>
      <c r="P363" s="120">
        <f>IF(OR(N363="",ForecastEnd=""),"",ForecastEnd+IF(L363="Approved",0,IF(K363="",0,K363)))</f>
        <v/>
      </c>
      <c r="Q363" s="121">
        <f>IF(OR(N363="",WorkBudget=0),"",N363/WorkBudget-1)</f>
        <v/>
      </c>
      <c r="R363" s="79">
        <f>IF(N363="","",IF(N363&lt;=WorkBudget,0,IF(N363&lt;=TotalBudget,1,2)))</f>
        <v/>
      </c>
      <c r="S363" s="112">
        <f>IF(AND(OR(H363&lt;&gt;"",J363&lt;&gt;""),OR(L363="Pending",L363=""),C363&lt;&gt;""),C363+3,"")</f>
        <v/>
      </c>
      <c r="T363" s="79">
        <f>IF(S363="","",IF(AsOf&gt;S363,1,2))</f>
        <v/>
      </c>
      <c r="U363" s="79">
        <f>IF(T363="","","Decide on change order "&amp;B363&amp;": "&amp;H363&amp;" (+"&amp;CurSym&amp;" "&amp;FIXED(IF(J363="",0,J363),0)&amp;")")</f>
        <v/>
      </c>
    </row>
    <row r="364" ht="24" customHeight="1">
      <c r="B364" s="74" t="n"/>
      <c r="C364" s="109" t="n"/>
      <c r="D364" s="72" t="n"/>
      <c r="E364" s="72" t="n"/>
      <c r="F364" s="72" t="n"/>
      <c r="G364" s="72" t="n"/>
      <c r="H364" s="113" t="n"/>
      <c r="I364" s="72" t="n"/>
      <c r="J364" s="73" t="n"/>
      <c r="K364" s="89" t="n"/>
      <c r="L364" s="74" t="n"/>
      <c r="M364" s="109" t="n"/>
      <c r="N364" s="68">
        <f>IF(AND(H364="",J364=""),"",ForecastTotal+IF(L364="Approved",0,IF(J364="",0,J364)))</f>
        <v/>
      </c>
      <c r="O364" s="75">
        <f>IF(N364="","",ContAmt-MAX(0,N364-WorkBudget))</f>
        <v/>
      </c>
      <c r="P364" s="120">
        <f>IF(OR(N364="",ForecastEnd=""),"",ForecastEnd+IF(L364="Approved",0,IF(K364="",0,K364)))</f>
        <v/>
      </c>
      <c r="Q364" s="121">
        <f>IF(OR(N364="",WorkBudget=0),"",N364/WorkBudget-1)</f>
        <v/>
      </c>
      <c r="R364" s="79">
        <f>IF(N364="","",IF(N364&lt;=WorkBudget,0,IF(N364&lt;=TotalBudget,1,2)))</f>
        <v/>
      </c>
      <c r="S364" s="112">
        <f>IF(AND(OR(H364&lt;&gt;"",J364&lt;&gt;""),OR(L364="Pending",L364=""),C364&lt;&gt;""),C364+3,"")</f>
        <v/>
      </c>
      <c r="T364" s="79">
        <f>IF(S364="","",IF(AsOf&gt;S364,1,2))</f>
        <v/>
      </c>
      <c r="U364" s="79">
        <f>IF(T364="","","Decide on change order "&amp;B364&amp;": "&amp;H364&amp;" (+"&amp;CurSym&amp;" "&amp;FIXED(IF(J364="",0,J364),0)&amp;")")</f>
        <v/>
      </c>
    </row>
    <row r="365" ht="24" customHeight="1">
      <c r="B365" s="74" t="n"/>
      <c r="C365" s="109" t="n"/>
      <c r="D365" s="72" t="n"/>
      <c r="E365" s="72" t="n"/>
      <c r="F365" s="72" t="n"/>
      <c r="G365" s="72" t="n"/>
      <c r="H365" s="113" t="n"/>
      <c r="I365" s="72" t="n"/>
      <c r="J365" s="73" t="n"/>
      <c r="K365" s="89" t="n"/>
      <c r="L365" s="74" t="n"/>
      <c r="M365" s="109" t="n"/>
      <c r="N365" s="68">
        <f>IF(AND(H365="",J365=""),"",ForecastTotal+IF(L365="Approved",0,IF(J365="",0,J365)))</f>
        <v/>
      </c>
      <c r="O365" s="75">
        <f>IF(N365="","",ContAmt-MAX(0,N365-WorkBudget))</f>
        <v/>
      </c>
      <c r="P365" s="120">
        <f>IF(OR(N365="",ForecastEnd=""),"",ForecastEnd+IF(L365="Approved",0,IF(K365="",0,K365)))</f>
        <v/>
      </c>
      <c r="Q365" s="121">
        <f>IF(OR(N365="",WorkBudget=0),"",N365/WorkBudget-1)</f>
        <v/>
      </c>
      <c r="R365" s="79">
        <f>IF(N365="","",IF(N365&lt;=WorkBudget,0,IF(N365&lt;=TotalBudget,1,2)))</f>
        <v/>
      </c>
      <c r="S365" s="112">
        <f>IF(AND(OR(H365&lt;&gt;"",J365&lt;&gt;""),OR(L365="Pending",L365=""),C365&lt;&gt;""),C365+3,"")</f>
        <v/>
      </c>
      <c r="T365" s="79">
        <f>IF(S365="","",IF(AsOf&gt;S365,1,2))</f>
        <v/>
      </c>
      <c r="U365" s="79">
        <f>IF(T365="","","Decide on change order "&amp;B365&amp;": "&amp;H365&amp;" (+"&amp;CurSym&amp;" "&amp;FIXED(IF(J365="",0,J365),0)&amp;")")</f>
        <v/>
      </c>
    </row>
    <row r="366" ht="24" customHeight="1">
      <c r="B366" s="74" t="n"/>
      <c r="C366" s="109" t="n"/>
      <c r="D366" s="72" t="n"/>
      <c r="E366" s="72" t="n"/>
      <c r="F366" s="72" t="n"/>
      <c r="G366" s="72" t="n"/>
      <c r="H366" s="113" t="n"/>
      <c r="I366" s="72" t="n"/>
      <c r="J366" s="73" t="n"/>
      <c r="K366" s="89" t="n"/>
      <c r="L366" s="74" t="n"/>
      <c r="M366" s="109" t="n"/>
      <c r="N366" s="68">
        <f>IF(AND(H366="",J366=""),"",ForecastTotal+IF(L366="Approved",0,IF(J366="",0,J366)))</f>
        <v/>
      </c>
      <c r="O366" s="75">
        <f>IF(N366="","",ContAmt-MAX(0,N366-WorkBudget))</f>
        <v/>
      </c>
      <c r="P366" s="120">
        <f>IF(OR(N366="",ForecastEnd=""),"",ForecastEnd+IF(L366="Approved",0,IF(K366="",0,K366)))</f>
        <v/>
      </c>
      <c r="Q366" s="121">
        <f>IF(OR(N366="",WorkBudget=0),"",N366/WorkBudget-1)</f>
        <v/>
      </c>
      <c r="R366" s="79">
        <f>IF(N366="","",IF(N366&lt;=WorkBudget,0,IF(N366&lt;=TotalBudget,1,2)))</f>
        <v/>
      </c>
      <c r="S366" s="112">
        <f>IF(AND(OR(H366&lt;&gt;"",J366&lt;&gt;""),OR(L366="Pending",L366=""),C366&lt;&gt;""),C366+3,"")</f>
        <v/>
      </c>
      <c r="T366" s="79">
        <f>IF(S366="","",IF(AsOf&gt;S366,1,2))</f>
        <v/>
      </c>
      <c r="U366" s="79">
        <f>IF(T366="","","Decide on change order "&amp;B366&amp;": "&amp;H366&amp;" (+"&amp;CurSym&amp;" "&amp;FIXED(IF(J366="",0,J366),0)&amp;")")</f>
        <v/>
      </c>
    </row>
    <row r="367" ht="24" customHeight="1">
      <c r="B367" s="74" t="n"/>
      <c r="C367" s="109" t="n"/>
      <c r="D367" s="72" t="n"/>
      <c r="E367" s="72" t="n"/>
      <c r="F367" s="72" t="n"/>
      <c r="G367" s="72" t="n"/>
      <c r="H367" s="113" t="n"/>
      <c r="I367" s="72" t="n"/>
      <c r="J367" s="73" t="n"/>
      <c r="K367" s="89" t="n"/>
      <c r="L367" s="74" t="n"/>
      <c r="M367" s="109" t="n"/>
      <c r="N367" s="68">
        <f>IF(AND(H367="",J367=""),"",ForecastTotal+IF(L367="Approved",0,IF(J367="",0,J367)))</f>
        <v/>
      </c>
      <c r="O367" s="75">
        <f>IF(N367="","",ContAmt-MAX(0,N367-WorkBudget))</f>
        <v/>
      </c>
      <c r="P367" s="120">
        <f>IF(OR(N367="",ForecastEnd=""),"",ForecastEnd+IF(L367="Approved",0,IF(K367="",0,K367)))</f>
        <v/>
      </c>
      <c r="Q367" s="121">
        <f>IF(OR(N367="",WorkBudget=0),"",N367/WorkBudget-1)</f>
        <v/>
      </c>
      <c r="R367" s="79">
        <f>IF(N367="","",IF(N367&lt;=WorkBudget,0,IF(N367&lt;=TotalBudget,1,2)))</f>
        <v/>
      </c>
      <c r="S367" s="112">
        <f>IF(AND(OR(H367&lt;&gt;"",J367&lt;&gt;""),OR(L367="Pending",L367=""),C367&lt;&gt;""),C367+3,"")</f>
        <v/>
      </c>
      <c r="T367" s="79">
        <f>IF(S367="","",IF(AsOf&gt;S367,1,2))</f>
        <v/>
      </c>
      <c r="U367" s="79">
        <f>IF(T367="","","Decide on change order "&amp;B367&amp;": "&amp;H367&amp;" (+"&amp;CurSym&amp;" "&amp;FIXED(IF(J367="",0,J367),0)&amp;")")</f>
        <v/>
      </c>
    </row>
    <row r="368" ht="24" customHeight="1">
      <c r="B368" s="74" t="n"/>
      <c r="C368" s="109" t="n"/>
      <c r="D368" s="72" t="n"/>
      <c r="E368" s="72" t="n"/>
      <c r="F368" s="72" t="n"/>
      <c r="G368" s="72" t="n"/>
      <c r="H368" s="113" t="n"/>
      <c r="I368" s="72" t="n"/>
      <c r="J368" s="73" t="n"/>
      <c r="K368" s="89" t="n"/>
      <c r="L368" s="74" t="n"/>
      <c r="M368" s="109" t="n"/>
      <c r="N368" s="68">
        <f>IF(AND(H368="",J368=""),"",ForecastTotal+IF(L368="Approved",0,IF(J368="",0,J368)))</f>
        <v/>
      </c>
      <c r="O368" s="75">
        <f>IF(N368="","",ContAmt-MAX(0,N368-WorkBudget))</f>
        <v/>
      </c>
      <c r="P368" s="120">
        <f>IF(OR(N368="",ForecastEnd=""),"",ForecastEnd+IF(L368="Approved",0,IF(K368="",0,K368)))</f>
        <v/>
      </c>
      <c r="Q368" s="121">
        <f>IF(OR(N368="",WorkBudget=0),"",N368/WorkBudget-1)</f>
        <v/>
      </c>
      <c r="R368" s="79">
        <f>IF(N368="","",IF(N368&lt;=WorkBudget,0,IF(N368&lt;=TotalBudget,1,2)))</f>
        <v/>
      </c>
      <c r="S368" s="112">
        <f>IF(AND(OR(H368&lt;&gt;"",J368&lt;&gt;""),OR(L368="Pending",L368=""),C368&lt;&gt;""),C368+3,"")</f>
        <v/>
      </c>
      <c r="T368" s="79">
        <f>IF(S368="","",IF(AsOf&gt;S368,1,2))</f>
        <v/>
      </c>
      <c r="U368" s="79">
        <f>IF(T368="","","Decide on change order "&amp;B368&amp;": "&amp;H368&amp;" (+"&amp;CurSym&amp;" "&amp;FIXED(IF(J368="",0,J368),0)&amp;")")</f>
        <v/>
      </c>
    </row>
    <row r="369" ht="24" customHeight="1">
      <c r="B369" s="74" t="n"/>
      <c r="C369" s="109" t="n"/>
      <c r="D369" s="72" t="n"/>
      <c r="E369" s="72" t="n"/>
      <c r="F369" s="72" t="n"/>
      <c r="G369" s="72" t="n"/>
      <c r="H369" s="113" t="n"/>
      <c r="I369" s="72" t="n"/>
      <c r="J369" s="73" t="n"/>
      <c r="K369" s="89" t="n"/>
      <c r="L369" s="74" t="n"/>
      <c r="M369" s="109" t="n"/>
      <c r="N369" s="68">
        <f>IF(AND(H369="",J369=""),"",ForecastTotal+IF(L369="Approved",0,IF(J369="",0,J369)))</f>
        <v/>
      </c>
      <c r="O369" s="75">
        <f>IF(N369="","",ContAmt-MAX(0,N369-WorkBudget))</f>
        <v/>
      </c>
      <c r="P369" s="120">
        <f>IF(OR(N369="",ForecastEnd=""),"",ForecastEnd+IF(L369="Approved",0,IF(K369="",0,K369)))</f>
        <v/>
      </c>
      <c r="Q369" s="121">
        <f>IF(OR(N369="",WorkBudget=0),"",N369/WorkBudget-1)</f>
        <v/>
      </c>
      <c r="R369" s="79">
        <f>IF(N369="","",IF(N369&lt;=WorkBudget,0,IF(N369&lt;=TotalBudget,1,2)))</f>
        <v/>
      </c>
      <c r="S369" s="112">
        <f>IF(AND(OR(H369&lt;&gt;"",J369&lt;&gt;""),OR(L369="Pending",L369=""),C369&lt;&gt;""),C369+3,"")</f>
        <v/>
      </c>
      <c r="T369" s="79">
        <f>IF(S369="","",IF(AsOf&gt;S369,1,2))</f>
        <v/>
      </c>
      <c r="U369" s="79">
        <f>IF(T369="","","Decide on change order "&amp;B369&amp;": "&amp;H369&amp;" (+"&amp;CurSym&amp;" "&amp;FIXED(IF(J369="",0,J369),0)&amp;")")</f>
        <v/>
      </c>
    </row>
    <row r="370" ht="24" customHeight="1">
      <c r="B370" s="74" t="n"/>
      <c r="C370" s="109" t="n"/>
      <c r="D370" s="72" t="n"/>
      <c r="E370" s="72" t="n"/>
      <c r="F370" s="72" t="n"/>
      <c r="G370" s="72" t="n"/>
      <c r="H370" s="113" t="n"/>
      <c r="I370" s="72" t="n"/>
      <c r="J370" s="73" t="n"/>
      <c r="K370" s="89" t="n"/>
      <c r="L370" s="74" t="n"/>
      <c r="M370" s="109" t="n"/>
      <c r="N370" s="68">
        <f>IF(AND(H370="",J370=""),"",ForecastTotal+IF(L370="Approved",0,IF(J370="",0,J370)))</f>
        <v/>
      </c>
      <c r="O370" s="75">
        <f>IF(N370="","",ContAmt-MAX(0,N370-WorkBudget))</f>
        <v/>
      </c>
      <c r="P370" s="120">
        <f>IF(OR(N370="",ForecastEnd=""),"",ForecastEnd+IF(L370="Approved",0,IF(K370="",0,K370)))</f>
        <v/>
      </c>
      <c r="Q370" s="121">
        <f>IF(OR(N370="",WorkBudget=0),"",N370/WorkBudget-1)</f>
        <v/>
      </c>
      <c r="R370" s="79">
        <f>IF(N370="","",IF(N370&lt;=WorkBudget,0,IF(N370&lt;=TotalBudget,1,2)))</f>
        <v/>
      </c>
      <c r="S370" s="112">
        <f>IF(AND(OR(H370&lt;&gt;"",J370&lt;&gt;""),OR(L370="Pending",L370=""),C370&lt;&gt;""),C370+3,"")</f>
        <v/>
      </c>
      <c r="T370" s="79">
        <f>IF(S370="","",IF(AsOf&gt;S370,1,2))</f>
        <v/>
      </c>
      <c r="U370" s="79">
        <f>IF(T370="","","Decide on change order "&amp;B370&amp;": "&amp;H370&amp;" (+"&amp;CurSym&amp;" "&amp;FIXED(IF(J370="",0,J370),0)&amp;")")</f>
        <v/>
      </c>
    </row>
    <row r="371" ht="24" customHeight="1">
      <c r="B371" s="74" t="n"/>
      <c r="C371" s="109" t="n"/>
      <c r="D371" s="72" t="n"/>
      <c r="E371" s="72" t="n"/>
      <c r="F371" s="72" t="n"/>
      <c r="G371" s="72" t="n"/>
      <c r="H371" s="113" t="n"/>
      <c r="I371" s="72" t="n"/>
      <c r="J371" s="73" t="n"/>
      <c r="K371" s="89" t="n"/>
      <c r="L371" s="74" t="n"/>
      <c r="M371" s="109" t="n"/>
      <c r="N371" s="68">
        <f>IF(AND(H371="",J371=""),"",ForecastTotal+IF(L371="Approved",0,IF(J371="",0,J371)))</f>
        <v/>
      </c>
      <c r="O371" s="75">
        <f>IF(N371="","",ContAmt-MAX(0,N371-WorkBudget))</f>
        <v/>
      </c>
      <c r="P371" s="120">
        <f>IF(OR(N371="",ForecastEnd=""),"",ForecastEnd+IF(L371="Approved",0,IF(K371="",0,K371)))</f>
        <v/>
      </c>
      <c r="Q371" s="121">
        <f>IF(OR(N371="",WorkBudget=0),"",N371/WorkBudget-1)</f>
        <v/>
      </c>
      <c r="R371" s="79">
        <f>IF(N371="","",IF(N371&lt;=WorkBudget,0,IF(N371&lt;=TotalBudget,1,2)))</f>
        <v/>
      </c>
      <c r="S371" s="112">
        <f>IF(AND(OR(H371&lt;&gt;"",J371&lt;&gt;""),OR(L371="Pending",L371=""),C371&lt;&gt;""),C371+3,"")</f>
        <v/>
      </c>
      <c r="T371" s="79">
        <f>IF(S371="","",IF(AsOf&gt;S371,1,2))</f>
        <v/>
      </c>
      <c r="U371" s="79">
        <f>IF(T371="","","Decide on change order "&amp;B371&amp;": "&amp;H371&amp;" (+"&amp;CurSym&amp;" "&amp;FIXED(IF(J371="",0,J371),0)&amp;")")</f>
        <v/>
      </c>
    </row>
    <row r="372" ht="24" customHeight="1">
      <c r="B372" s="74" t="n"/>
      <c r="C372" s="109" t="n"/>
      <c r="D372" s="72" t="n"/>
      <c r="E372" s="72" t="n"/>
      <c r="F372" s="72" t="n"/>
      <c r="G372" s="72" t="n"/>
      <c r="H372" s="113" t="n"/>
      <c r="I372" s="72" t="n"/>
      <c r="J372" s="73" t="n"/>
      <c r="K372" s="89" t="n"/>
      <c r="L372" s="74" t="n"/>
      <c r="M372" s="109" t="n"/>
      <c r="N372" s="68">
        <f>IF(AND(H372="",J372=""),"",ForecastTotal+IF(L372="Approved",0,IF(J372="",0,J372)))</f>
        <v/>
      </c>
      <c r="O372" s="75">
        <f>IF(N372="","",ContAmt-MAX(0,N372-WorkBudget))</f>
        <v/>
      </c>
      <c r="P372" s="120">
        <f>IF(OR(N372="",ForecastEnd=""),"",ForecastEnd+IF(L372="Approved",0,IF(K372="",0,K372)))</f>
        <v/>
      </c>
      <c r="Q372" s="121">
        <f>IF(OR(N372="",WorkBudget=0),"",N372/WorkBudget-1)</f>
        <v/>
      </c>
      <c r="R372" s="79">
        <f>IF(N372="","",IF(N372&lt;=WorkBudget,0,IF(N372&lt;=TotalBudget,1,2)))</f>
        <v/>
      </c>
      <c r="S372" s="112">
        <f>IF(AND(OR(H372&lt;&gt;"",J372&lt;&gt;""),OR(L372="Pending",L372=""),C372&lt;&gt;""),C372+3,"")</f>
        <v/>
      </c>
      <c r="T372" s="79">
        <f>IF(S372="","",IF(AsOf&gt;S372,1,2))</f>
        <v/>
      </c>
      <c r="U372" s="79">
        <f>IF(T372="","","Decide on change order "&amp;B372&amp;": "&amp;H372&amp;" (+"&amp;CurSym&amp;" "&amp;FIXED(IF(J372="",0,J372),0)&amp;")")</f>
        <v/>
      </c>
    </row>
    <row r="373" ht="24" customHeight="1">
      <c r="B373" s="74" t="n"/>
      <c r="C373" s="109" t="n"/>
      <c r="D373" s="72" t="n"/>
      <c r="E373" s="72" t="n"/>
      <c r="F373" s="72" t="n"/>
      <c r="G373" s="72" t="n"/>
      <c r="H373" s="113" t="n"/>
      <c r="I373" s="72" t="n"/>
      <c r="J373" s="73" t="n"/>
      <c r="K373" s="89" t="n"/>
      <c r="L373" s="74" t="n"/>
      <c r="M373" s="109" t="n"/>
      <c r="N373" s="68">
        <f>IF(AND(H373="",J373=""),"",ForecastTotal+IF(L373="Approved",0,IF(J373="",0,J373)))</f>
        <v/>
      </c>
      <c r="O373" s="75">
        <f>IF(N373="","",ContAmt-MAX(0,N373-WorkBudget))</f>
        <v/>
      </c>
      <c r="P373" s="120">
        <f>IF(OR(N373="",ForecastEnd=""),"",ForecastEnd+IF(L373="Approved",0,IF(K373="",0,K373)))</f>
        <v/>
      </c>
      <c r="Q373" s="121">
        <f>IF(OR(N373="",WorkBudget=0),"",N373/WorkBudget-1)</f>
        <v/>
      </c>
      <c r="R373" s="79">
        <f>IF(N373="","",IF(N373&lt;=WorkBudget,0,IF(N373&lt;=TotalBudget,1,2)))</f>
        <v/>
      </c>
      <c r="S373" s="112">
        <f>IF(AND(OR(H373&lt;&gt;"",J373&lt;&gt;""),OR(L373="Pending",L373=""),C373&lt;&gt;""),C373+3,"")</f>
        <v/>
      </c>
      <c r="T373" s="79">
        <f>IF(S373="","",IF(AsOf&gt;S373,1,2))</f>
        <v/>
      </c>
      <c r="U373" s="79">
        <f>IF(T373="","","Decide on change order "&amp;B373&amp;": "&amp;H373&amp;" (+"&amp;CurSym&amp;" "&amp;FIXED(IF(J373="",0,J373),0)&amp;")")</f>
        <v/>
      </c>
    </row>
    <row r="374" ht="24" customHeight="1">
      <c r="B374" s="74" t="n"/>
      <c r="C374" s="109" t="n"/>
      <c r="D374" s="72" t="n"/>
      <c r="E374" s="72" t="n"/>
      <c r="F374" s="72" t="n"/>
      <c r="G374" s="72" t="n"/>
      <c r="H374" s="113" t="n"/>
      <c r="I374" s="72" t="n"/>
      <c r="J374" s="73" t="n"/>
      <c r="K374" s="89" t="n"/>
      <c r="L374" s="74" t="n"/>
      <c r="M374" s="109" t="n"/>
      <c r="N374" s="68">
        <f>IF(AND(H374="",J374=""),"",ForecastTotal+IF(L374="Approved",0,IF(J374="",0,J374)))</f>
        <v/>
      </c>
      <c r="O374" s="75">
        <f>IF(N374="","",ContAmt-MAX(0,N374-WorkBudget))</f>
        <v/>
      </c>
      <c r="P374" s="120">
        <f>IF(OR(N374="",ForecastEnd=""),"",ForecastEnd+IF(L374="Approved",0,IF(K374="",0,K374)))</f>
        <v/>
      </c>
      <c r="Q374" s="121">
        <f>IF(OR(N374="",WorkBudget=0),"",N374/WorkBudget-1)</f>
        <v/>
      </c>
      <c r="R374" s="79">
        <f>IF(N374="","",IF(N374&lt;=WorkBudget,0,IF(N374&lt;=TotalBudget,1,2)))</f>
        <v/>
      </c>
      <c r="S374" s="112">
        <f>IF(AND(OR(H374&lt;&gt;"",J374&lt;&gt;""),OR(L374="Pending",L374=""),C374&lt;&gt;""),C374+3,"")</f>
        <v/>
      </c>
      <c r="T374" s="79">
        <f>IF(S374="","",IF(AsOf&gt;S374,1,2))</f>
        <v/>
      </c>
      <c r="U374" s="79">
        <f>IF(T374="","","Decide on change order "&amp;B374&amp;": "&amp;H374&amp;" (+"&amp;CurSym&amp;" "&amp;FIXED(IF(J374="",0,J374),0)&amp;")")</f>
        <v/>
      </c>
    </row>
    <row r="375" ht="24" customHeight="1">
      <c r="B375" s="74" t="n"/>
      <c r="C375" s="109" t="n"/>
      <c r="D375" s="72" t="n"/>
      <c r="E375" s="72" t="n"/>
      <c r="F375" s="72" t="n"/>
      <c r="G375" s="72" t="n"/>
      <c r="H375" s="113" t="n"/>
      <c r="I375" s="72" t="n"/>
      <c r="J375" s="73" t="n"/>
      <c r="K375" s="89" t="n"/>
      <c r="L375" s="74" t="n"/>
      <c r="M375" s="109" t="n"/>
      <c r="N375" s="68">
        <f>IF(AND(H375="",J375=""),"",ForecastTotal+IF(L375="Approved",0,IF(J375="",0,J375)))</f>
        <v/>
      </c>
      <c r="O375" s="75">
        <f>IF(N375="","",ContAmt-MAX(0,N375-WorkBudget))</f>
        <v/>
      </c>
      <c r="P375" s="120">
        <f>IF(OR(N375="",ForecastEnd=""),"",ForecastEnd+IF(L375="Approved",0,IF(K375="",0,K375)))</f>
        <v/>
      </c>
      <c r="Q375" s="121">
        <f>IF(OR(N375="",WorkBudget=0),"",N375/WorkBudget-1)</f>
        <v/>
      </c>
      <c r="R375" s="79">
        <f>IF(N375="","",IF(N375&lt;=WorkBudget,0,IF(N375&lt;=TotalBudget,1,2)))</f>
        <v/>
      </c>
      <c r="S375" s="112">
        <f>IF(AND(OR(H375&lt;&gt;"",J375&lt;&gt;""),OR(L375="Pending",L375=""),C375&lt;&gt;""),C375+3,"")</f>
        <v/>
      </c>
      <c r="T375" s="79">
        <f>IF(S375="","",IF(AsOf&gt;S375,1,2))</f>
        <v/>
      </c>
      <c r="U375" s="79">
        <f>IF(T375="","","Decide on change order "&amp;B375&amp;": "&amp;H375&amp;" (+"&amp;CurSym&amp;" "&amp;FIXED(IF(J375="",0,J375),0)&amp;")")</f>
        <v/>
      </c>
    </row>
    <row r="376" ht="24" customHeight="1">
      <c r="B376" s="74" t="n"/>
      <c r="C376" s="109" t="n"/>
      <c r="D376" s="72" t="n"/>
      <c r="E376" s="72" t="n"/>
      <c r="F376" s="72" t="n"/>
      <c r="G376" s="72" t="n"/>
      <c r="H376" s="113" t="n"/>
      <c r="I376" s="72" t="n"/>
      <c r="J376" s="73" t="n"/>
      <c r="K376" s="89" t="n"/>
      <c r="L376" s="74" t="n"/>
      <c r="M376" s="109" t="n"/>
      <c r="N376" s="68">
        <f>IF(AND(H376="",J376=""),"",ForecastTotal+IF(L376="Approved",0,IF(J376="",0,J376)))</f>
        <v/>
      </c>
      <c r="O376" s="75">
        <f>IF(N376="","",ContAmt-MAX(0,N376-WorkBudget))</f>
        <v/>
      </c>
      <c r="P376" s="120">
        <f>IF(OR(N376="",ForecastEnd=""),"",ForecastEnd+IF(L376="Approved",0,IF(K376="",0,K376)))</f>
        <v/>
      </c>
      <c r="Q376" s="121">
        <f>IF(OR(N376="",WorkBudget=0),"",N376/WorkBudget-1)</f>
        <v/>
      </c>
      <c r="R376" s="79">
        <f>IF(N376="","",IF(N376&lt;=WorkBudget,0,IF(N376&lt;=TotalBudget,1,2)))</f>
        <v/>
      </c>
      <c r="S376" s="112">
        <f>IF(AND(OR(H376&lt;&gt;"",J376&lt;&gt;""),OR(L376="Pending",L376=""),C376&lt;&gt;""),C376+3,"")</f>
        <v/>
      </c>
      <c r="T376" s="79">
        <f>IF(S376="","",IF(AsOf&gt;S376,1,2))</f>
        <v/>
      </c>
      <c r="U376" s="79">
        <f>IF(T376="","","Decide on change order "&amp;B376&amp;": "&amp;H376&amp;" (+"&amp;CurSym&amp;" "&amp;FIXED(IF(J376="",0,J376),0)&amp;")")</f>
        <v/>
      </c>
    </row>
    <row r="377" ht="24" customHeight="1">
      <c r="B377" s="74" t="n"/>
      <c r="C377" s="109" t="n"/>
      <c r="D377" s="72" t="n"/>
      <c r="E377" s="72" t="n"/>
      <c r="F377" s="72" t="n"/>
      <c r="G377" s="72" t="n"/>
      <c r="H377" s="113" t="n"/>
      <c r="I377" s="72" t="n"/>
      <c r="J377" s="73" t="n"/>
      <c r="K377" s="89" t="n"/>
      <c r="L377" s="74" t="n"/>
      <c r="M377" s="109" t="n"/>
      <c r="N377" s="68">
        <f>IF(AND(H377="",J377=""),"",ForecastTotal+IF(L377="Approved",0,IF(J377="",0,J377)))</f>
        <v/>
      </c>
      <c r="O377" s="75">
        <f>IF(N377="","",ContAmt-MAX(0,N377-WorkBudget))</f>
        <v/>
      </c>
      <c r="P377" s="120">
        <f>IF(OR(N377="",ForecastEnd=""),"",ForecastEnd+IF(L377="Approved",0,IF(K377="",0,K377)))</f>
        <v/>
      </c>
      <c r="Q377" s="121">
        <f>IF(OR(N377="",WorkBudget=0),"",N377/WorkBudget-1)</f>
        <v/>
      </c>
      <c r="R377" s="79">
        <f>IF(N377="","",IF(N377&lt;=WorkBudget,0,IF(N377&lt;=TotalBudget,1,2)))</f>
        <v/>
      </c>
      <c r="S377" s="112">
        <f>IF(AND(OR(H377&lt;&gt;"",J377&lt;&gt;""),OR(L377="Pending",L377=""),C377&lt;&gt;""),C377+3,"")</f>
        <v/>
      </c>
      <c r="T377" s="79">
        <f>IF(S377="","",IF(AsOf&gt;S377,1,2))</f>
        <v/>
      </c>
      <c r="U377" s="79">
        <f>IF(T377="","","Decide on change order "&amp;B377&amp;": "&amp;H377&amp;" (+"&amp;CurSym&amp;" "&amp;FIXED(IF(J377="",0,J377),0)&amp;")")</f>
        <v/>
      </c>
    </row>
    <row r="378" ht="24" customHeight="1">
      <c r="B378" s="74" t="n"/>
      <c r="C378" s="109" t="n"/>
      <c r="D378" s="72" t="n"/>
      <c r="E378" s="72" t="n"/>
      <c r="F378" s="72" t="n"/>
      <c r="G378" s="72" t="n"/>
      <c r="H378" s="113" t="n"/>
      <c r="I378" s="72" t="n"/>
      <c r="J378" s="73" t="n"/>
      <c r="K378" s="89" t="n"/>
      <c r="L378" s="74" t="n"/>
      <c r="M378" s="109" t="n"/>
      <c r="N378" s="68">
        <f>IF(AND(H378="",J378=""),"",ForecastTotal+IF(L378="Approved",0,IF(J378="",0,J378)))</f>
        <v/>
      </c>
      <c r="O378" s="75">
        <f>IF(N378="","",ContAmt-MAX(0,N378-WorkBudget))</f>
        <v/>
      </c>
      <c r="P378" s="120">
        <f>IF(OR(N378="",ForecastEnd=""),"",ForecastEnd+IF(L378="Approved",0,IF(K378="",0,K378)))</f>
        <v/>
      </c>
      <c r="Q378" s="121">
        <f>IF(OR(N378="",WorkBudget=0),"",N378/WorkBudget-1)</f>
        <v/>
      </c>
      <c r="R378" s="79">
        <f>IF(N378="","",IF(N378&lt;=WorkBudget,0,IF(N378&lt;=TotalBudget,1,2)))</f>
        <v/>
      </c>
      <c r="S378" s="112">
        <f>IF(AND(OR(H378&lt;&gt;"",J378&lt;&gt;""),OR(L378="Pending",L378=""),C378&lt;&gt;""),C378+3,"")</f>
        <v/>
      </c>
      <c r="T378" s="79">
        <f>IF(S378="","",IF(AsOf&gt;S378,1,2))</f>
        <v/>
      </c>
      <c r="U378" s="79">
        <f>IF(T378="","","Decide on change order "&amp;B378&amp;": "&amp;H378&amp;" (+"&amp;CurSym&amp;" "&amp;FIXED(IF(J378="",0,J378),0)&amp;")")</f>
        <v/>
      </c>
    </row>
    <row r="379" ht="24" customHeight="1">
      <c r="B379" s="74" t="n"/>
      <c r="C379" s="109" t="n"/>
      <c r="D379" s="72" t="n"/>
      <c r="E379" s="72" t="n"/>
      <c r="F379" s="72" t="n"/>
      <c r="G379" s="72" t="n"/>
      <c r="H379" s="113" t="n"/>
      <c r="I379" s="72" t="n"/>
      <c r="J379" s="73" t="n"/>
      <c r="K379" s="89" t="n"/>
      <c r="L379" s="74" t="n"/>
      <c r="M379" s="109" t="n"/>
      <c r="N379" s="68">
        <f>IF(AND(H379="",J379=""),"",ForecastTotal+IF(L379="Approved",0,IF(J379="",0,J379)))</f>
        <v/>
      </c>
      <c r="O379" s="75">
        <f>IF(N379="","",ContAmt-MAX(0,N379-WorkBudget))</f>
        <v/>
      </c>
      <c r="P379" s="120">
        <f>IF(OR(N379="",ForecastEnd=""),"",ForecastEnd+IF(L379="Approved",0,IF(K379="",0,K379)))</f>
        <v/>
      </c>
      <c r="Q379" s="121">
        <f>IF(OR(N379="",WorkBudget=0),"",N379/WorkBudget-1)</f>
        <v/>
      </c>
      <c r="R379" s="79">
        <f>IF(N379="","",IF(N379&lt;=WorkBudget,0,IF(N379&lt;=TotalBudget,1,2)))</f>
        <v/>
      </c>
      <c r="S379" s="112">
        <f>IF(AND(OR(H379&lt;&gt;"",J379&lt;&gt;""),OR(L379="Pending",L379=""),C379&lt;&gt;""),C379+3,"")</f>
        <v/>
      </c>
      <c r="T379" s="79">
        <f>IF(S379="","",IF(AsOf&gt;S379,1,2))</f>
        <v/>
      </c>
      <c r="U379" s="79">
        <f>IF(T379="","","Decide on change order "&amp;B379&amp;": "&amp;H379&amp;" (+"&amp;CurSym&amp;" "&amp;FIXED(IF(J379="",0,J379),0)&amp;")")</f>
        <v/>
      </c>
    </row>
    <row r="380" ht="24" customHeight="1">
      <c r="B380" s="74" t="n"/>
      <c r="C380" s="109" t="n"/>
      <c r="D380" s="72" t="n"/>
      <c r="E380" s="72" t="n"/>
      <c r="F380" s="72" t="n"/>
      <c r="G380" s="72" t="n"/>
      <c r="H380" s="113" t="n"/>
      <c r="I380" s="72" t="n"/>
      <c r="J380" s="73" t="n"/>
      <c r="K380" s="89" t="n"/>
      <c r="L380" s="74" t="n"/>
      <c r="M380" s="109" t="n"/>
      <c r="N380" s="68">
        <f>IF(AND(H380="",J380=""),"",ForecastTotal+IF(L380="Approved",0,IF(J380="",0,J380)))</f>
        <v/>
      </c>
      <c r="O380" s="75">
        <f>IF(N380="","",ContAmt-MAX(0,N380-WorkBudget))</f>
        <v/>
      </c>
      <c r="P380" s="120">
        <f>IF(OR(N380="",ForecastEnd=""),"",ForecastEnd+IF(L380="Approved",0,IF(K380="",0,K380)))</f>
        <v/>
      </c>
      <c r="Q380" s="121">
        <f>IF(OR(N380="",WorkBudget=0),"",N380/WorkBudget-1)</f>
        <v/>
      </c>
      <c r="R380" s="79">
        <f>IF(N380="","",IF(N380&lt;=WorkBudget,0,IF(N380&lt;=TotalBudget,1,2)))</f>
        <v/>
      </c>
      <c r="S380" s="112">
        <f>IF(AND(OR(H380&lt;&gt;"",J380&lt;&gt;""),OR(L380="Pending",L380=""),C380&lt;&gt;""),C380+3,"")</f>
        <v/>
      </c>
      <c r="T380" s="79">
        <f>IF(S380="","",IF(AsOf&gt;S380,1,2))</f>
        <v/>
      </c>
      <c r="U380" s="79">
        <f>IF(T380="","","Decide on change order "&amp;B380&amp;": "&amp;H380&amp;" (+"&amp;CurSym&amp;" "&amp;FIXED(IF(J380="",0,J380),0)&amp;")")</f>
        <v/>
      </c>
    </row>
    <row r="381" ht="24" customHeight="1">
      <c r="B381" s="74" t="n"/>
      <c r="C381" s="109" t="n"/>
      <c r="D381" s="72" t="n"/>
      <c r="E381" s="72" t="n"/>
      <c r="F381" s="72" t="n"/>
      <c r="G381" s="72" t="n"/>
      <c r="H381" s="113" t="n"/>
      <c r="I381" s="72" t="n"/>
      <c r="J381" s="73" t="n"/>
      <c r="K381" s="89" t="n"/>
      <c r="L381" s="74" t="n"/>
      <c r="M381" s="109" t="n"/>
      <c r="N381" s="68">
        <f>IF(AND(H381="",J381=""),"",ForecastTotal+IF(L381="Approved",0,IF(J381="",0,J381)))</f>
        <v/>
      </c>
      <c r="O381" s="75">
        <f>IF(N381="","",ContAmt-MAX(0,N381-WorkBudget))</f>
        <v/>
      </c>
      <c r="P381" s="120">
        <f>IF(OR(N381="",ForecastEnd=""),"",ForecastEnd+IF(L381="Approved",0,IF(K381="",0,K381)))</f>
        <v/>
      </c>
      <c r="Q381" s="121">
        <f>IF(OR(N381="",WorkBudget=0),"",N381/WorkBudget-1)</f>
        <v/>
      </c>
      <c r="R381" s="79">
        <f>IF(N381="","",IF(N381&lt;=WorkBudget,0,IF(N381&lt;=TotalBudget,1,2)))</f>
        <v/>
      </c>
      <c r="S381" s="112">
        <f>IF(AND(OR(H381&lt;&gt;"",J381&lt;&gt;""),OR(L381="Pending",L381=""),C381&lt;&gt;""),C381+3,"")</f>
        <v/>
      </c>
      <c r="T381" s="79">
        <f>IF(S381="","",IF(AsOf&gt;S381,1,2))</f>
        <v/>
      </c>
      <c r="U381" s="79">
        <f>IF(T381="","","Decide on change order "&amp;B381&amp;": "&amp;H381&amp;" (+"&amp;CurSym&amp;" "&amp;FIXED(IF(J381="",0,J381),0)&amp;")")</f>
        <v/>
      </c>
    </row>
    <row r="382" ht="24" customHeight="1">
      <c r="B382" s="74" t="n"/>
      <c r="C382" s="109" t="n"/>
      <c r="D382" s="72" t="n"/>
      <c r="E382" s="72" t="n"/>
      <c r="F382" s="72" t="n"/>
      <c r="G382" s="72" t="n"/>
      <c r="H382" s="113" t="n"/>
      <c r="I382" s="72" t="n"/>
      <c r="J382" s="73" t="n"/>
      <c r="K382" s="89" t="n"/>
      <c r="L382" s="74" t="n"/>
      <c r="M382" s="109" t="n"/>
      <c r="N382" s="68">
        <f>IF(AND(H382="",J382=""),"",ForecastTotal+IF(L382="Approved",0,IF(J382="",0,J382)))</f>
        <v/>
      </c>
      <c r="O382" s="75">
        <f>IF(N382="","",ContAmt-MAX(0,N382-WorkBudget))</f>
        <v/>
      </c>
      <c r="P382" s="120">
        <f>IF(OR(N382="",ForecastEnd=""),"",ForecastEnd+IF(L382="Approved",0,IF(K382="",0,K382)))</f>
        <v/>
      </c>
      <c r="Q382" s="121">
        <f>IF(OR(N382="",WorkBudget=0),"",N382/WorkBudget-1)</f>
        <v/>
      </c>
      <c r="R382" s="79">
        <f>IF(N382="","",IF(N382&lt;=WorkBudget,0,IF(N382&lt;=TotalBudget,1,2)))</f>
        <v/>
      </c>
      <c r="S382" s="112">
        <f>IF(AND(OR(H382&lt;&gt;"",J382&lt;&gt;""),OR(L382="Pending",L382=""),C382&lt;&gt;""),C382+3,"")</f>
        <v/>
      </c>
      <c r="T382" s="79">
        <f>IF(S382="","",IF(AsOf&gt;S382,1,2))</f>
        <v/>
      </c>
      <c r="U382" s="79">
        <f>IF(T382="","","Decide on change order "&amp;B382&amp;": "&amp;H382&amp;" (+"&amp;CurSym&amp;" "&amp;FIXED(IF(J382="",0,J382),0)&amp;")")</f>
        <v/>
      </c>
    </row>
    <row r="383" ht="24" customHeight="1">
      <c r="B383" s="74" t="n"/>
      <c r="C383" s="109" t="n"/>
      <c r="D383" s="72" t="n"/>
      <c r="E383" s="72" t="n"/>
      <c r="F383" s="72" t="n"/>
      <c r="G383" s="72" t="n"/>
      <c r="H383" s="113" t="n"/>
      <c r="I383" s="72" t="n"/>
      <c r="J383" s="73" t="n"/>
      <c r="K383" s="89" t="n"/>
      <c r="L383" s="74" t="n"/>
      <c r="M383" s="109" t="n"/>
      <c r="N383" s="68">
        <f>IF(AND(H383="",J383=""),"",ForecastTotal+IF(L383="Approved",0,IF(J383="",0,J383)))</f>
        <v/>
      </c>
      <c r="O383" s="75">
        <f>IF(N383="","",ContAmt-MAX(0,N383-WorkBudget))</f>
        <v/>
      </c>
      <c r="P383" s="120">
        <f>IF(OR(N383="",ForecastEnd=""),"",ForecastEnd+IF(L383="Approved",0,IF(K383="",0,K383)))</f>
        <v/>
      </c>
      <c r="Q383" s="121">
        <f>IF(OR(N383="",WorkBudget=0),"",N383/WorkBudget-1)</f>
        <v/>
      </c>
      <c r="R383" s="79">
        <f>IF(N383="","",IF(N383&lt;=WorkBudget,0,IF(N383&lt;=TotalBudget,1,2)))</f>
        <v/>
      </c>
      <c r="S383" s="112">
        <f>IF(AND(OR(H383&lt;&gt;"",J383&lt;&gt;""),OR(L383="Pending",L383=""),C383&lt;&gt;""),C383+3,"")</f>
        <v/>
      </c>
      <c r="T383" s="79">
        <f>IF(S383="","",IF(AsOf&gt;S383,1,2))</f>
        <v/>
      </c>
      <c r="U383" s="79">
        <f>IF(T383="","","Decide on change order "&amp;B383&amp;": "&amp;H383&amp;" (+"&amp;CurSym&amp;" "&amp;FIXED(IF(J383="",0,J383),0)&amp;")")</f>
        <v/>
      </c>
    </row>
    <row r="384" ht="24" customHeight="1">
      <c r="B384" s="74" t="n"/>
      <c r="C384" s="109" t="n"/>
      <c r="D384" s="72" t="n"/>
      <c r="E384" s="72" t="n"/>
      <c r="F384" s="72" t="n"/>
      <c r="G384" s="72" t="n"/>
      <c r="H384" s="113" t="n"/>
      <c r="I384" s="72" t="n"/>
      <c r="J384" s="73" t="n"/>
      <c r="K384" s="89" t="n"/>
      <c r="L384" s="74" t="n"/>
      <c r="M384" s="109" t="n"/>
      <c r="N384" s="68">
        <f>IF(AND(H384="",J384=""),"",ForecastTotal+IF(L384="Approved",0,IF(J384="",0,J384)))</f>
        <v/>
      </c>
      <c r="O384" s="75">
        <f>IF(N384="","",ContAmt-MAX(0,N384-WorkBudget))</f>
        <v/>
      </c>
      <c r="P384" s="120">
        <f>IF(OR(N384="",ForecastEnd=""),"",ForecastEnd+IF(L384="Approved",0,IF(K384="",0,K384)))</f>
        <v/>
      </c>
      <c r="Q384" s="121">
        <f>IF(OR(N384="",WorkBudget=0),"",N384/WorkBudget-1)</f>
        <v/>
      </c>
      <c r="R384" s="79">
        <f>IF(N384="","",IF(N384&lt;=WorkBudget,0,IF(N384&lt;=TotalBudget,1,2)))</f>
        <v/>
      </c>
      <c r="S384" s="112">
        <f>IF(AND(OR(H384&lt;&gt;"",J384&lt;&gt;""),OR(L384="Pending",L384=""),C384&lt;&gt;""),C384+3,"")</f>
        <v/>
      </c>
      <c r="T384" s="79">
        <f>IF(S384="","",IF(AsOf&gt;S384,1,2))</f>
        <v/>
      </c>
      <c r="U384" s="79">
        <f>IF(T384="","","Decide on change order "&amp;B384&amp;": "&amp;H384&amp;" (+"&amp;CurSym&amp;" "&amp;FIXED(IF(J384="",0,J384),0)&amp;")")</f>
        <v/>
      </c>
    </row>
    <row r="385" ht="24" customHeight="1">
      <c r="B385" s="74" t="n"/>
      <c r="C385" s="109" t="n"/>
      <c r="D385" s="72" t="n"/>
      <c r="E385" s="72" t="n"/>
      <c r="F385" s="72" t="n"/>
      <c r="G385" s="72" t="n"/>
      <c r="H385" s="113" t="n"/>
      <c r="I385" s="72" t="n"/>
      <c r="J385" s="73" t="n"/>
      <c r="K385" s="89" t="n"/>
      <c r="L385" s="74" t="n"/>
      <c r="M385" s="109" t="n"/>
      <c r="N385" s="68">
        <f>IF(AND(H385="",J385=""),"",ForecastTotal+IF(L385="Approved",0,IF(J385="",0,J385)))</f>
        <v/>
      </c>
      <c r="O385" s="75">
        <f>IF(N385="","",ContAmt-MAX(0,N385-WorkBudget))</f>
        <v/>
      </c>
      <c r="P385" s="120">
        <f>IF(OR(N385="",ForecastEnd=""),"",ForecastEnd+IF(L385="Approved",0,IF(K385="",0,K385)))</f>
        <v/>
      </c>
      <c r="Q385" s="121">
        <f>IF(OR(N385="",WorkBudget=0),"",N385/WorkBudget-1)</f>
        <v/>
      </c>
      <c r="R385" s="79">
        <f>IF(N385="","",IF(N385&lt;=WorkBudget,0,IF(N385&lt;=TotalBudget,1,2)))</f>
        <v/>
      </c>
      <c r="S385" s="112">
        <f>IF(AND(OR(H385&lt;&gt;"",J385&lt;&gt;""),OR(L385="Pending",L385=""),C385&lt;&gt;""),C385+3,"")</f>
        <v/>
      </c>
      <c r="T385" s="79">
        <f>IF(S385="","",IF(AsOf&gt;S385,1,2))</f>
        <v/>
      </c>
      <c r="U385" s="79">
        <f>IF(T385="","","Decide on change order "&amp;B385&amp;": "&amp;H385&amp;" (+"&amp;CurSym&amp;" "&amp;FIXED(IF(J385="",0,J385),0)&amp;")")</f>
        <v/>
      </c>
    </row>
    <row r="386" ht="24" customHeight="1">
      <c r="B386" s="74" t="n"/>
      <c r="C386" s="109" t="n"/>
      <c r="D386" s="72" t="n"/>
      <c r="E386" s="72" t="n"/>
      <c r="F386" s="72" t="n"/>
      <c r="G386" s="72" t="n"/>
      <c r="H386" s="113" t="n"/>
      <c r="I386" s="72" t="n"/>
      <c r="J386" s="73" t="n"/>
      <c r="K386" s="89" t="n"/>
      <c r="L386" s="74" t="n"/>
      <c r="M386" s="109" t="n"/>
      <c r="N386" s="68">
        <f>IF(AND(H386="",J386=""),"",ForecastTotal+IF(L386="Approved",0,IF(J386="",0,J386)))</f>
        <v/>
      </c>
      <c r="O386" s="75">
        <f>IF(N386="","",ContAmt-MAX(0,N386-WorkBudget))</f>
        <v/>
      </c>
      <c r="P386" s="120">
        <f>IF(OR(N386="",ForecastEnd=""),"",ForecastEnd+IF(L386="Approved",0,IF(K386="",0,K386)))</f>
        <v/>
      </c>
      <c r="Q386" s="121">
        <f>IF(OR(N386="",WorkBudget=0),"",N386/WorkBudget-1)</f>
        <v/>
      </c>
      <c r="R386" s="79">
        <f>IF(N386="","",IF(N386&lt;=WorkBudget,0,IF(N386&lt;=TotalBudget,1,2)))</f>
        <v/>
      </c>
      <c r="S386" s="112">
        <f>IF(AND(OR(H386&lt;&gt;"",J386&lt;&gt;""),OR(L386="Pending",L386=""),C386&lt;&gt;""),C386+3,"")</f>
        <v/>
      </c>
      <c r="T386" s="79">
        <f>IF(S386="","",IF(AsOf&gt;S386,1,2))</f>
        <v/>
      </c>
      <c r="U386" s="79">
        <f>IF(T386="","","Decide on change order "&amp;B386&amp;": "&amp;H386&amp;" (+"&amp;CurSym&amp;" "&amp;FIXED(IF(J386="",0,J386),0)&amp;")")</f>
        <v/>
      </c>
    </row>
    <row r="387" ht="24" customHeight="1">
      <c r="B387" s="74" t="n"/>
      <c r="C387" s="109" t="n"/>
      <c r="D387" s="72" t="n"/>
      <c r="E387" s="72" t="n"/>
      <c r="F387" s="72" t="n"/>
      <c r="G387" s="72" t="n"/>
      <c r="H387" s="113" t="n"/>
      <c r="I387" s="72" t="n"/>
      <c r="J387" s="73" t="n"/>
      <c r="K387" s="89" t="n"/>
      <c r="L387" s="74" t="n"/>
      <c r="M387" s="109" t="n"/>
      <c r="N387" s="68">
        <f>IF(AND(H387="",J387=""),"",ForecastTotal+IF(L387="Approved",0,IF(J387="",0,J387)))</f>
        <v/>
      </c>
      <c r="O387" s="75">
        <f>IF(N387="","",ContAmt-MAX(0,N387-WorkBudget))</f>
        <v/>
      </c>
      <c r="P387" s="120">
        <f>IF(OR(N387="",ForecastEnd=""),"",ForecastEnd+IF(L387="Approved",0,IF(K387="",0,K387)))</f>
        <v/>
      </c>
      <c r="Q387" s="121">
        <f>IF(OR(N387="",WorkBudget=0),"",N387/WorkBudget-1)</f>
        <v/>
      </c>
      <c r="R387" s="79">
        <f>IF(N387="","",IF(N387&lt;=WorkBudget,0,IF(N387&lt;=TotalBudget,1,2)))</f>
        <v/>
      </c>
      <c r="S387" s="112">
        <f>IF(AND(OR(H387&lt;&gt;"",J387&lt;&gt;""),OR(L387="Pending",L387=""),C387&lt;&gt;""),C387+3,"")</f>
        <v/>
      </c>
      <c r="T387" s="79">
        <f>IF(S387="","",IF(AsOf&gt;S387,1,2))</f>
        <v/>
      </c>
      <c r="U387" s="79">
        <f>IF(T387="","","Decide on change order "&amp;B387&amp;": "&amp;H387&amp;" (+"&amp;CurSym&amp;" "&amp;FIXED(IF(J387="",0,J387),0)&amp;")")</f>
        <v/>
      </c>
    </row>
    <row r="388" ht="24" customHeight="1">
      <c r="B388" s="74" t="n"/>
      <c r="C388" s="109" t="n"/>
      <c r="D388" s="72" t="n"/>
      <c r="E388" s="72" t="n"/>
      <c r="F388" s="72" t="n"/>
      <c r="G388" s="72" t="n"/>
      <c r="H388" s="113" t="n"/>
      <c r="I388" s="72" t="n"/>
      <c r="J388" s="73" t="n"/>
      <c r="K388" s="89" t="n"/>
      <c r="L388" s="74" t="n"/>
      <c r="M388" s="109" t="n"/>
      <c r="N388" s="68">
        <f>IF(AND(H388="",J388=""),"",ForecastTotal+IF(L388="Approved",0,IF(J388="",0,J388)))</f>
        <v/>
      </c>
      <c r="O388" s="75">
        <f>IF(N388="","",ContAmt-MAX(0,N388-WorkBudget))</f>
        <v/>
      </c>
      <c r="P388" s="120">
        <f>IF(OR(N388="",ForecastEnd=""),"",ForecastEnd+IF(L388="Approved",0,IF(K388="",0,K388)))</f>
        <v/>
      </c>
      <c r="Q388" s="121">
        <f>IF(OR(N388="",WorkBudget=0),"",N388/WorkBudget-1)</f>
        <v/>
      </c>
      <c r="R388" s="79">
        <f>IF(N388="","",IF(N388&lt;=WorkBudget,0,IF(N388&lt;=TotalBudget,1,2)))</f>
        <v/>
      </c>
      <c r="S388" s="112">
        <f>IF(AND(OR(H388&lt;&gt;"",J388&lt;&gt;""),OR(L388="Pending",L388=""),C388&lt;&gt;""),C388+3,"")</f>
        <v/>
      </c>
      <c r="T388" s="79">
        <f>IF(S388="","",IF(AsOf&gt;S388,1,2))</f>
        <v/>
      </c>
      <c r="U388" s="79">
        <f>IF(T388="","","Decide on change order "&amp;B388&amp;": "&amp;H388&amp;" (+"&amp;CurSym&amp;" "&amp;FIXED(IF(J388="",0,J388),0)&amp;")")</f>
        <v/>
      </c>
    </row>
    <row r="389" ht="24" customHeight="1">
      <c r="B389" s="74" t="n"/>
      <c r="C389" s="109" t="n"/>
      <c r="D389" s="72" t="n"/>
      <c r="E389" s="72" t="n"/>
      <c r="F389" s="72" t="n"/>
      <c r="G389" s="72" t="n"/>
      <c r="H389" s="113" t="n"/>
      <c r="I389" s="72" t="n"/>
      <c r="J389" s="73" t="n"/>
      <c r="K389" s="89" t="n"/>
      <c r="L389" s="74" t="n"/>
      <c r="M389" s="109" t="n"/>
      <c r="N389" s="68">
        <f>IF(AND(H389="",J389=""),"",ForecastTotal+IF(L389="Approved",0,IF(J389="",0,J389)))</f>
        <v/>
      </c>
      <c r="O389" s="75">
        <f>IF(N389="","",ContAmt-MAX(0,N389-WorkBudget))</f>
        <v/>
      </c>
      <c r="P389" s="120">
        <f>IF(OR(N389="",ForecastEnd=""),"",ForecastEnd+IF(L389="Approved",0,IF(K389="",0,K389)))</f>
        <v/>
      </c>
      <c r="Q389" s="121">
        <f>IF(OR(N389="",WorkBudget=0),"",N389/WorkBudget-1)</f>
        <v/>
      </c>
      <c r="R389" s="79">
        <f>IF(N389="","",IF(N389&lt;=WorkBudget,0,IF(N389&lt;=TotalBudget,1,2)))</f>
        <v/>
      </c>
      <c r="S389" s="112">
        <f>IF(AND(OR(H389&lt;&gt;"",J389&lt;&gt;""),OR(L389="Pending",L389=""),C389&lt;&gt;""),C389+3,"")</f>
        <v/>
      </c>
      <c r="T389" s="79">
        <f>IF(S389="","",IF(AsOf&gt;S389,1,2))</f>
        <v/>
      </c>
      <c r="U389" s="79">
        <f>IF(T389="","","Decide on change order "&amp;B389&amp;": "&amp;H389&amp;" (+"&amp;CurSym&amp;" "&amp;FIXED(IF(J389="",0,J389),0)&amp;")")</f>
        <v/>
      </c>
    </row>
    <row r="390" ht="24" customHeight="1">
      <c r="B390" s="74" t="n"/>
      <c r="C390" s="109" t="n"/>
      <c r="D390" s="72" t="n"/>
      <c r="E390" s="72" t="n"/>
      <c r="F390" s="72" t="n"/>
      <c r="G390" s="72" t="n"/>
      <c r="H390" s="113" t="n"/>
      <c r="I390" s="72" t="n"/>
      <c r="J390" s="73" t="n"/>
      <c r="K390" s="89" t="n"/>
      <c r="L390" s="74" t="n"/>
      <c r="M390" s="109" t="n"/>
      <c r="N390" s="68">
        <f>IF(AND(H390="",J390=""),"",ForecastTotal+IF(L390="Approved",0,IF(J390="",0,J390)))</f>
        <v/>
      </c>
      <c r="O390" s="75">
        <f>IF(N390="","",ContAmt-MAX(0,N390-WorkBudget))</f>
        <v/>
      </c>
      <c r="P390" s="120">
        <f>IF(OR(N390="",ForecastEnd=""),"",ForecastEnd+IF(L390="Approved",0,IF(K390="",0,K390)))</f>
        <v/>
      </c>
      <c r="Q390" s="121">
        <f>IF(OR(N390="",WorkBudget=0),"",N390/WorkBudget-1)</f>
        <v/>
      </c>
      <c r="R390" s="79">
        <f>IF(N390="","",IF(N390&lt;=WorkBudget,0,IF(N390&lt;=TotalBudget,1,2)))</f>
        <v/>
      </c>
      <c r="S390" s="112">
        <f>IF(AND(OR(H390&lt;&gt;"",J390&lt;&gt;""),OR(L390="Pending",L390=""),C390&lt;&gt;""),C390+3,"")</f>
        <v/>
      </c>
      <c r="T390" s="79">
        <f>IF(S390="","",IF(AsOf&gt;S390,1,2))</f>
        <v/>
      </c>
      <c r="U390" s="79">
        <f>IF(T390="","","Decide on change order "&amp;B390&amp;": "&amp;H390&amp;" (+"&amp;CurSym&amp;" "&amp;FIXED(IF(J390="",0,J390),0)&amp;")")</f>
        <v/>
      </c>
    </row>
    <row r="391" ht="24" customHeight="1">
      <c r="B391" s="74" t="n"/>
      <c r="C391" s="109" t="n"/>
      <c r="D391" s="72" t="n"/>
      <c r="E391" s="72" t="n"/>
      <c r="F391" s="72" t="n"/>
      <c r="G391" s="72" t="n"/>
      <c r="H391" s="113" t="n"/>
      <c r="I391" s="72" t="n"/>
      <c r="J391" s="73" t="n"/>
      <c r="K391" s="89" t="n"/>
      <c r="L391" s="74" t="n"/>
      <c r="M391" s="109" t="n"/>
      <c r="N391" s="68">
        <f>IF(AND(H391="",J391=""),"",ForecastTotal+IF(L391="Approved",0,IF(J391="",0,J391)))</f>
        <v/>
      </c>
      <c r="O391" s="75">
        <f>IF(N391="","",ContAmt-MAX(0,N391-WorkBudget))</f>
        <v/>
      </c>
      <c r="P391" s="120">
        <f>IF(OR(N391="",ForecastEnd=""),"",ForecastEnd+IF(L391="Approved",0,IF(K391="",0,K391)))</f>
        <v/>
      </c>
      <c r="Q391" s="121">
        <f>IF(OR(N391="",WorkBudget=0),"",N391/WorkBudget-1)</f>
        <v/>
      </c>
      <c r="R391" s="79">
        <f>IF(N391="","",IF(N391&lt;=WorkBudget,0,IF(N391&lt;=TotalBudget,1,2)))</f>
        <v/>
      </c>
      <c r="S391" s="112">
        <f>IF(AND(OR(H391&lt;&gt;"",J391&lt;&gt;""),OR(L391="Pending",L391=""),C391&lt;&gt;""),C391+3,"")</f>
        <v/>
      </c>
      <c r="T391" s="79">
        <f>IF(S391="","",IF(AsOf&gt;S391,1,2))</f>
        <v/>
      </c>
      <c r="U391" s="79">
        <f>IF(T391="","","Decide on change order "&amp;B391&amp;": "&amp;H391&amp;" (+"&amp;CurSym&amp;" "&amp;FIXED(IF(J391="",0,J391),0)&amp;")")</f>
        <v/>
      </c>
    </row>
    <row r="392" ht="24" customHeight="1">
      <c r="B392" s="74" t="n"/>
      <c r="C392" s="109" t="n"/>
      <c r="D392" s="72" t="n"/>
      <c r="E392" s="72" t="n"/>
      <c r="F392" s="72" t="n"/>
      <c r="G392" s="72" t="n"/>
      <c r="H392" s="113" t="n"/>
      <c r="I392" s="72" t="n"/>
      <c r="J392" s="73" t="n"/>
      <c r="K392" s="89" t="n"/>
      <c r="L392" s="74" t="n"/>
      <c r="M392" s="109" t="n"/>
      <c r="N392" s="68">
        <f>IF(AND(H392="",J392=""),"",ForecastTotal+IF(L392="Approved",0,IF(J392="",0,J392)))</f>
        <v/>
      </c>
      <c r="O392" s="75">
        <f>IF(N392="","",ContAmt-MAX(0,N392-WorkBudget))</f>
        <v/>
      </c>
      <c r="P392" s="120">
        <f>IF(OR(N392="",ForecastEnd=""),"",ForecastEnd+IF(L392="Approved",0,IF(K392="",0,K392)))</f>
        <v/>
      </c>
      <c r="Q392" s="121">
        <f>IF(OR(N392="",WorkBudget=0),"",N392/WorkBudget-1)</f>
        <v/>
      </c>
      <c r="R392" s="79">
        <f>IF(N392="","",IF(N392&lt;=WorkBudget,0,IF(N392&lt;=TotalBudget,1,2)))</f>
        <v/>
      </c>
      <c r="S392" s="112">
        <f>IF(AND(OR(H392&lt;&gt;"",J392&lt;&gt;""),OR(L392="Pending",L392=""),C392&lt;&gt;""),C392+3,"")</f>
        <v/>
      </c>
      <c r="T392" s="79">
        <f>IF(S392="","",IF(AsOf&gt;S392,1,2))</f>
        <v/>
      </c>
      <c r="U392" s="79">
        <f>IF(T392="","","Decide on change order "&amp;B392&amp;": "&amp;H392&amp;" (+"&amp;CurSym&amp;" "&amp;FIXED(IF(J392="",0,J392),0)&amp;")")</f>
        <v/>
      </c>
    </row>
    <row r="393" ht="24" customHeight="1">
      <c r="B393" s="74" t="n"/>
      <c r="C393" s="109" t="n"/>
      <c r="D393" s="72" t="n"/>
      <c r="E393" s="72" t="n"/>
      <c r="F393" s="72" t="n"/>
      <c r="G393" s="72" t="n"/>
      <c r="H393" s="113" t="n"/>
      <c r="I393" s="72" t="n"/>
      <c r="J393" s="73" t="n"/>
      <c r="K393" s="89" t="n"/>
      <c r="L393" s="74" t="n"/>
      <c r="M393" s="109" t="n"/>
      <c r="N393" s="68">
        <f>IF(AND(H393="",J393=""),"",ForecastTotal+IF(L393="Approved",0,IF(J393="",0,J393)))</f>
        <v/>
      </c>
      <c r="O393" s="75">
        <f>IF(N393="","",ContAmt-MAX(0,N393-WorkBudget))</f>
        <v/>
      </c>
      <c r="P393" s="120">
        <f>IF(OR(N393="",ForecastEnd=""),"",ForecastEnd+IF(L393="Approved",0,IF(K393="",0,K393)))</f>
        <v/>
      </c>
      <c r="Q393" s="121">
        <f>IF(OR(N393="",WorkBudget=0),"",N393/WorkBudget-1)</f>
        <v/>
      </c>
      <c r="R393" s="79">
        <f>IF(N393="","",IF(N393&lt;=WorkBudget,0,IF(N393&lt;=TotalBudget,1,2)))</f>
        <v/>
      </c>
      <c r="S393" s="112">
        <f>IF(AND(OR(H393&lt;&gt;"",J393&lt;&gt;""),OR(L393="Pending",L393=""),C393&lt;&gt;""),C393+3,"")</f>
        <v/>
      </c>
      <c r="T393" s="79">
        <f>IF(S393="","",IF(AsOf&gt;S393,1,2))</f>
        <v/>
      </c>
      <c r="U393" s="79">
        <f>IF(T393="","","Decide on change order "&amp;B393&amp;": "&amp;H393&amp;" (+"&amp;CurSym&amp;" "&amp;FIXED(IF(J393="",0,J393),0)&amp;")")</f>
        <v/>
      </c>
    </row>
    <row r="394" ht="24" customHeight="1">
      <c r="B394" s="74" t="n"/>
      <c r="C394" s="109" t="n"/>
      <c r="D394" s="72" t="n"/>
      <c r="E394" s="72" t="n"/>
      <c r="F394" s="72" t="n"/>
      <c r="G394" s="72" t="n"/>
      <c r="H394" s="113" t="n"/>
      <c r="I394" s="72" t="n"/>
      <c r="J394" s="73" t="n"/>
      <c r="K394" s="89" t="n"/>
      <c r="L394" s="74" t="n"/>
      <c r="M394" s="109" t="n"/>
      <c r="N394" s="68">
        <f>IF(AND(H394="",J394=""),"",ForecastTotal+IF(L394="Approved",0,IF(J394="",0,J394)))</f>
        <v/>
      </c>
      <c r="O394" s="75">
        <f>IF(N394="","",ContAmt-MAX(0,N394-WorkBudget))</f>
        <v/>
      </c>
      <c r="P394" s="120">
        <f>IF(OR(N394="",ForecastEnd=""),"",ForecastEnd+IF(L394="Approved",0,IF(K394="",0,K394)))</f>
        <v/>
      </c>
      <c r="Q394" s="121">
        <f>IF(OR(N394="",WorkBudget=0),"",N394/WorkBudget-1)</f>
        <v/>
      </c>
      <c r="R394" s="79">
        <f>IF(N394="","",IF(N394&lt;=WorkBudget,0,IF(N394&lt;=TotalBudget,1,2)))</f>
        <v/>
      </c>
      <c r="S394" s="112">
        <f>IF(AND(OR(H394&lt;&gt;"",J394&lt;&gt;""),OR(L394="Pending",L394=""),C394&lt;&gt;""),C394+3,"")</f>
        <v/>
      </c>
      <c r="T394" s="79">
        <f>IF(S394="","",IF(AsOf&gt;S394,1,2))</f>
        <v/>
      </c>
      <c r="U394" s="79">
        <f>IF(T394="","","Decide on change order "&amp;B394&amp;": "&amp;H394&amp;" (+"&amp;CurSym&amp;" "&amp;FIXED(IF(J394="",0,J394),0)&amp;")")</f>
        <v/>
      </c>
    </row>
    <row r="395" ht="24" customHeight="1">
      <c r="B395" s="74" t="n"/>
      <c r="C395" s="109" t="n"/>
      <c r="D395" s="72" t="n"/>
      <c r="E395" s="72" t="n"/>
      <c r="F395" s="72" t="n"/>
      <c r="G395" s="72" t="n"/>
      <c r="H395" s="113" t="n"/>
      <c r="I395" s="72" t="n"/>
      <c r="J395" s="73" t="n"/>
      <c r="K395" s="89" t="n"/>
      <c r="L395" s="74" t="n"/>
      <c r="M395" s="109" t="n"/>
      <c r="N395" s="68">
        <f>IF(AND(H395="",J395=""),"",ForecastTotal+IF(L395="Approved",0,IF(J395="",0,J395)))</f>
        <v/>
      </c>
      <c r="O395" s="75">
        <f>IF(N395="","",ContAmt-MAX(0,N395-WorkBudget))</f>
        <v/>
      </c>
      <c r="P395" s="120">
        <f>IF(OR(N395="",ForecastEnd=""),"",ForecastEnd+IF(L395="Approved",0,IF(K395="",0,K395)))</f>
        <v/>
      </c>
      <c r="Q395" s="121">
        <f>IF(OR(N395="",WorkBudget=0),"",N395/WorkBudget-1)</f>
        <v/>
      </c>
      <c r="R395" s="79">
        <f>IF(N395="","",IF(N395&lt;=WorkBudget,0,IF(N395&lt;=TotalBudget,1,2)))</f>
        <v/>
      </c>
      <c r="S395" s="112">
        <f>IF(AND(OR(H395&lt;&gt;"",J395&lt;&gt;""),OR(L395="Pending",L395=""),C395&lt;&gt;""),C395+3,"")</f>
        <v/>
      </c>
      <c r="T395" s="79">
        <f>IF(S395="","",IF(AsOf&gt;S395,1,2))</f>
        <v/>
      </c>
      <c r="U395" s="79">
        <f>IF(T395="","","Decide on change order "&amp;B395&amp;": "&amp;H395&amp;" (+"&amp;CurSym&amp;" "&amp;FIXED(IF(J395="",0,J395),0)&amp;")")</f>
        <v/>
      </c>
    </row>
    <row r="396" ht="24" customHeight="1">
      <c r="B396" s="74" t="n"/>
      <c r="C396" s="109" t="n"/>
      <c r="D396" s="72" t="n"/>
      <c r="E396" s="72" t="n"/>
      <c r="F396" s="72" t="n"/>
      <c r="G396" s="72" t="n"/>
      <c r="H396" s="113" t="n"/>
      <c r="I396" s="72" t="n"/>
      <c r="J396" s="73" t="n"/>
      <c r="K396" s="89" t="n"/>
      <c r="L396" s="74" t="n"/>
      <c r="M396" s="109" t="n"/>
      <c r="N396" s="68">
        <f>IF(AND(H396="",J396=""),"",ForecastTotal+IF(L396="Approved",0,IF(J396="",0,J396)))</f>
        <v/>
      </c>
      <c r="O396" s="75">
        <f>IF(N396="","",ContAmt-MAX(0,N396-WorkBudget))</f>
        <v/>
      </c>
      <c r="P396" s="120">
        <f>IF(OR(N396="",ForecastEnd=""),"",ForecastEnd+IF(L396="Approved",0,IF(K396="",0,K396)))</f>
        <v/>
      </c>
      <c r="Q396" s="121">
        <f>IF(OR(N396="",WorkBudget=0),"",N396/WorkBudget-1)</f>
        <v/>
      </c>
      <c r="R396" s="79">
        <f>IF(N396="","",IF(N396&lt;=WorkBudget,0,IF(N396&lt;=TotalBudget,1,2)))</f>
        <v/>
      </c>
      <c r="S396" s="112">
        <f>IF(AND(OR(H396&lt;&gt;"",J396&lt;&gt;""),OR(L396="Pending",L396=""),C396&lt;&gt;""),C396+3,"")</f>
        <v/>
      </c>
      <c r="T396" s="79">
        <f>IF(S396="","",IF(AsOf&gt;S396,1,2))</f>
        <v/>
      </c>
      <c r="U396" s="79">
        <f>IF(T396="","","Decide on change order "&amp;B396&amp;": "&amp;H396&amp;" (+"&amp;CurSym&amp;" "&amp;FIXED(IF(J396="",0,J396),0)&amp;")")</f>
        <v/>
      </c>
    </row>
    <row r="397" ht="24" customHeight="1">
      <c r="B397" s="74" t="n"/>
      <c r="C397" s="109" t="n"/>
      <c r="D397" s="72" t="n"/>
      <c r="E397" s="72" t="n"/>
      <c r="F397" s="72" t="n"/>
      <c r="G397" s="72" t="n"/>
      <c r="H397" s="113" t="n"/>
      <c r="I397" s="72" t="n"/>
      <c r="J397" s="73" t="n"/>
      <c r="K397" s="89" t="n"/>
      <c r="L397" s="74" t="n"/>
      <c r="M397" s="109" t="n"/>
      <c r="N397" s="68">
        <f>IF(AND(H397="",J397=""),"",ForecastTotal+IF(L397="Approved",0,IF(J397="",0,J397)))</f>
        <v/>
      </c>
      <c r="O397" s="75">
        <f>IF(N397="","",ContAmt-MAX(0,N397-WorkBudget))</f>
        <v/>
      </c>
      <c r="P397" s="120">
        <f>IF(OR(N397="",ForecastEnd=""),"",ForecastEnd+IF(L397="Approved",0,IF(K397="",0,K397)))</f>
        <v/>
      </c>
      <c r="Q397" s="121">
        <f>IF(OR(N397="",WorkBudget=0),"",N397/WorkBudget-1)</f>
        <v/>
      </c>
      <c r="R397" s="79">
        <f>IF(N397="","",IF(N397&lt;=WorkBudget,0,IF(N397&lt;=TotalBudget,1,2)))</f>
        <v/>
      </c>
      <c r="S397" s="112">
        <f>IF(AND(OR(H397&lt;&gt;"",J397&lt;&gt;""),OR(L397="Pending",L397=""),C397&lt;&gt;""),C397+3,"")</f>
        <v/>
      </c>
      <c r="T397" s="79">
        <f>IF(S397="","",IF(AsOf&gt;S397,1,2))</f>
        <v/>
      </c>
      <c r="U397" s="79">
        <f>IF(T397="","","Decide on change order "&amp;B397&amp;": "&amp;H397&amp;" (+"&amp;CurSym&amp;" "&amp;FIXED(IF(J397="",0,J397),0)&amp;")")</f>
        <v/>
      </c>
    </row>
    <row r="398" ht="24" customHeight="1">
      <c r="B398" s="74" t="n"/>
      <c r="C398" s="109" t="n"/>
      <c r="D398" s="72" t="n"/>
      <c r="E398" s="72" t="n"/>
      <c r="F398" s="72" t="n"/>
      <c r="G398" s="72" t="n"/>
      <c r="H398" s="113" t="n"/>
      <c r="I398" s="72" t="n"/>
      <c r="J398" s="73" t="n"/>
      <c r="K398" s="89" t="n"/>
      <c r="L398" s="74" t="n"/>
      <c r="M398" s="109" t="n"/>
      <c r="N398" s="68">
        <f>IF(AND(H398="",J398=""),"",ForecastTotal+IF(L398="Approved",0,IF(J398="",0,J398)))</f>
        <v/>
      </c>
      <c r="O398" s="75">
        <f>IF(N398="","",ContAmt-MAX(0,N398-WorkBudget))</f>
        <v/>
      </c>
      <c r="P398" s="120">
        <f>IF(OR(N398="",ForecastEnd=""),"",ForecastEnd+IF(L398="Approved",0,IF(K398="",0,K398)))</f>
        <v/>
      </c>
      <c r="Q398" s="121">
        <f>IF(OR(N398="",WorkBudget=0),"",N398/WorkBudget-1)</f>
        <v/>
      </c>
      <c r="R398" s="79">
        <f>IF(N398="","",IF(N398&lt;=WorkBudget,0,IF(N398&lt;=TotalBudget,1,2)))</f>
        <v/>
      </c>
      <c r="S398" s="112">
        <f>IF(AND(OR(H398&lt;&gt;"",J398&lt;&gt;""),OR(L398="Pending",L398=""),C398&lt;&gt;""),C398+3,"")</f>
        <v/>
      </c>
      <c r="T398" s="79">
        <f>IF(S398="","",IF(AsOf&gt;S398,1,2))</f>
        <v/>
      </c>
      <c r="U398" s="79">
        <f>IF(T398="","","Decide on change order "&amp;B398&amp;": "&amp;H398&amp;" (+"&amp;CurSym&amp;" "&amp;FIXED(IF(J398="",0,J398),0)&amp;")")</f>
        <v/>
      </c>
    </row>
    <row r="399" ht="24" customHeight="1">
      <c r="B399" s="74" t="n"/>
      <c r="C399" s="109" t="n"/>
      <c r="D399" s="72" t="n"/>
      <c r="E399" s="72" t="n"/>
      <c r="F399" s="72" t="n"/>
      <c r="G399" s="72" t="n"/>
      <c r="H399" s="113" t="n"/>
      <c r="I399" s="72" t="n"/>
      <c r="J399" s="73" t="n"/>
      <c r="K399" s="89" t="n"/>
      <c r="L399" s="74" t="n"/>
      <c r="M399" s="109" t="n"/>
      <c r="N399" s="68">
        <f>IF(AND(H399="",J399=""),"",ForecastTotal+IF(L399="Approved",0,IF(J399="",0,J399)))</f>
        <v/>
      </c>
      <c r="O399" s="75">
        <f>IF(N399="","",ContAmt-MAX(0,N399-WorkBudget))</f>
        <v/>
      </c>
      <c r="P399" s="120">
        <f>IF(OR(N399="",ForecastEnd=""),"",ForecastEnd+IF(L399="Approved",0,IF(K399="",0,K399)))</f>
        <v/>
      </c>
      <c r="Q399" s="121">
        <f>IF(OR(N399="",WorkBudget=0),"",N399/WorkBudget-1)</f>
        <v/>
      </c>
      <c r="R399" s="79">
        <f>IF(N399="","",IF(N399&lt;=WorkBudget,0,IF(N399&lt;=TotalBudget,1,2)))</f>
        <v/>
      </c>
      <c r="S399" s="112">
        <f>IF(AND(OR(H399&lt;&gt;"",J399&lt;&gt;""),OR(L399="Pending",L399=""),C399&lt;&gt;""),C399+3,"")</f>
        <v/>
      </c>
      <c r="T399" s="79">
        <f>IF(S399="","",IF(AsOf&gt;S399,1,2))</f>
        <v/>
      </c>
      <c r="U399" s="79">
        <f>IF(T399="","","Decide on change order "&amp;B399&amp;": "&amp;H399&amp;" (+"&amp;CurSym&amp;" "&amp;FIXED(IF(J399="",0,J399),0)&amp;")")</f>
        <v/>
      </c>
    </row>
    <row r="400" ht="24" customHeight="1">
      <c r="B400" s="74" t="n"/>
      <c r="C400" s="109" t="n"/>
      <c r="D400" s="72" t="n"/>
      <c r="E400" s="72" t="n"/>
      <c r="F400" s="72" t="n"/>
      <c r="G400" s="72" t="n"/>
      <c r="H400" s="113" t="n"/>
      <c r="I400" s="72" t="n"/>
      <c r="J400" s="73" t="n"/>
      <c r="K400" s="89" t="n"/>
      <c r="L400" s="74" t="n"/>
      <c r="M400" s="109" t="n"/>
      <c r="N400" s="68">
        <f>IF(AND(H400="",J400=""),"",ForecastTotal+IF(L400="Approved",0,IF(J400="",0,J400)))</f>
        <v/>
      </c>
      <c r="O400" s="75">
        <f>IF(N400="","",ContAmt-MAX(0,N400-WorkBudget))</f>
        <v/>
      </c>
      <c r="P400" s="120">
        <f>IF(OR(N400="",ForecastEnd=""),"",ForecastEnd+IF(L400="Approved",0,IF(K400="",0,K400)))</f>
        <v/>
      </c>
      <c r="Q400" s="121">
        <f>IF(OR(N400="",WorkBudget=0),"",N400/WorkBudget-1)</f>
        <v/>
      </c>
      <c r="R400" s="79">
        <f>IF(N400="","",IF(N400&lt;=WorkBudget,0,IF(N400&lt;=TotalBudget,1,2)))</f>
        <v/>
      </c>
      <c r="S400" s="112">
        <f>IF(AND(OR(H400&lt;&gt;"",J400&lt;&gt;""),OR(L400="Pending",L400=""),C400&lt;&gt;""),C400+3,"")</f>
        <v/>
      </c>
      <c r="T400" s="79">
        <f>IF(S400="","",IF(AsOf&gt;S400,1,2))</f>
        <v/>
      </c>
      <c r="U400" s="79">
        <f>IF(T400="","","Decide on change order "&amp;B400&amp;": "&amp;H400&amp;" (+"&amp;CurSym&amp;" "&amp;FIXED(IF(J400="",0,J400),0)&amp;")")</f>
        <v/>
      </c>
    </row>
    <row r="401" ht="24" customHeight="1">
      <c r="B401" s="74" t="n"/>
      <c r="C401" s="109" t="n"/>
      <c r="D401" s="72" t="n"/>
      <c r="E401" s="72" t="n"/>
      <c r="F401" s="72" t="n"/>
      <c r="G401" s="72" t="n"/>
      <c r="H401" s="113" t="n"/>
      <c r="I401" s="72" t="n"/>
      <c r="J401" s="73" t="n"/>
      <c r="K401" s="89" t="n"/>
      <c r="L401" s="74" t="n"/>
      <c r="M401" s="109" t="n"/>
      <c r="N401" s="68">
        <f>IF(AND(H401="",J401=""),"",ForecastTotal+IF(L401="Approved",0,IF(J401="",0,J401)))</f>
        <v/>
      </c>
      <c r="O401" s="75">
        <f>IF(N401="","",ContAmt-MAX(0,N401-WorkBudget))</f>
        <v/>
      </c>
      <c r="P401" s="120">
        <f>IF(OR(N401="",ForecastEnd=""),"",ForecastEnd+IF(L401="Approved",0,IF(K401="",0,K401)))</f>
        <v/>
      </c>
      <c r="Q401" s="121">
        <f>IF(OR(N401="",WorkBudget=0),"",N401/WorkBudget-1)</f>
        <v/>
      </c>
      <c r="R401" s="79">
        <f>IF(N401="","",IF(N401&lt;=WorkBudget,0,IF(N401&lt;=TotalBudget,1,2)))</f>
        <v/>
      </c>
      <c r="S401" s="112">
        <f>IF(AND(OR(H401&lt;&gt;"",J401&lt;&gt;""),OR(L401="Pending",L401=""),C401&lt;&gt;""),C401+3,"")</f>
        <v/>
      </c>
      <c r="T401" s="79">
        <f>IF(S401="","",IF(AsOf&gt;S401,1,2))</f>
        <v/>
      </c>
      <c r="U401" s="79">
        <f>IF(T401="","","Decide on change order "&amp;B401&amp;": "&amp;H401&amp;" (+"&amp;CurSym&amp;" "&amp;FIXED(IF(J401="",0,J401),0)&amp;")")</f>
        <v/>
      </c>
    </row>
    <row r="402" ht="24" customHeight="1">
      <c r="B402" s="74" t="n"/>
      <c r="C402" s="109" t="n"/>
      <c r="D402" s="72" t="n"/>
      <c r="E402" s="72" t="n"/>
      <c r="F402" s="72" t="n"/>
      <c r="G402" s="72" t="n"/>
      <c r="H402" s="113" t="n"/>
      <c r="I402" s="72" t="n"/>
      <c r="J402" s="73" t="n"/>
      <c r="K402" s="89" t="n"/>
      <c r="L402" s="74" t="n"/>
      <c r="M402" s="109" t="n"/>
      <c r="N402" s="68">
        <f>IF(AND(H402="",J402=""),"",ForecastTotal+IF(L402="Approved",0,IF(J402="",0,J402)))</f>
        <v/>
      </c>
      <c r="O402" s="75">
        <f>IF(N402="","",ContAmt-MAX(0,N402-WorkBudget))</f>
        <v/>
      </c>
      <c r="P402" s="120">
        <f>IF(OR(N402="",ForecastEnd=""),"",ForecastEnd+IF(L402="Approved",0,IF(K402="",0,K402)))</f>
        <v/>
      </c>
      <c r="Q402" s="121">
        <f>IF(OR(N402="",WorkBudget=0),"",N402/WorkBudget-1)</f>
        <v/>
      </c>
      <c r="R402" s="79">
        <f>IF(N402="","",IF(N402&lt;=WorkBudget,0,IF(N402&lt;=TotalBudget,1,2)))</f>
        <v/>
      </c>
      <c r="S402" s="112">
        <f>IF(AND(OR(H402&lt;&gt;"",J402&lt;&gt;""),OR(L402="Pending",L402=""),C402&lt;&gt;""),C402+3,"")</f>
        <v/>
      </c>
      <c r="T402" s="79">
        <f>IF(S402="","",IF(AsOf&gt;S402,1,2))</f>
        <v/>
      </c>
      <c r="U402" s="79">
        <f>IF(T402="","","Decide on change order "&amp;B402&amp;": "&amp;H402&amp;" (+"&amp;CurSym&amp;" "&amp;FIXED(IF(J402="",0,J402),0)&amp;")")</f>
        <v/>
      </c>
    </row>
    <row r="403" ht="24" customHeight="1">
      <c r="B403" s="74" t="n"/>
      <c r="C403" s="109" t="n"/>
      <c r="D403" s="72" t="n"/>
      <c r="E403" s="72" t="n"/>
      <c r="F403" s="72" t="n"/>
      <c r="G403" s="72" t="n"/>
      <c r="H403" s="113" t="n"/>
      <c r="I403" s="72" t="n"/>
      <c r="J403" s="73" t="n"/>
      <c r="K403" s="89" t="n"/>
      <c r="L403" s="74" t="n"/>
      <c r="M403" s="109" t="n"/>
      <c r="N403" s="68">
        <f>IF(AND(H403="",J403=""),"",ForecastTotal+IF(L403="Approved",0,IF(J403="",0,J403)))</f>
        <v/>
      </c>
      <c r="O403" s="75">
        <f>IF(N403="","",ContAmt-MAX(0,N403-WorkBudget))</f>
        <v/>
      </c>
      <c r="P403" s="120">
        <f>IF(OR(N403="",ForecastEnd=""),"",ForecastEnd+IF(L403="Approved",0,IF(K403="",0,K403)))</f>
        <v/>
      </c>
      <c r="Q403" s="121">
        <f>IF(OR(N403="",WorkBudget=0),"",N403/WorkBudget-1)</f>
        <v/>
      </c>
      <c r="R403" s="79">
        <f>IF(N403="","",IF(N403&lt;=WorkBudget,0,IF(N403&lt;=TotalBudget,1,2)))</f>
        <v/>
      </c>
      <c r="S403" s="112">
        <f>IF(AND(OR(H403&lt;&gt;"",J403&lt;&gt;""),OR(L403="Pending",L403=""),C403&lt;&gt;""),C403+3,"")</f>
        <v/>
      </c>
      <c r="T403" s="79">
        <f>IF(S403="","",IF(AsOf&gt;S403,1,2))</f>
        <v/>
      </c>
      <c r="U403" s="79">
        <f>IF(T403="","","Decide on change order "&amp;B403&amp;": "&amp;H403&amp;" (+"&amp;CurSym&amp;" "&amp;FIXED(IF(J403="",0,J403),0)&amp;")")</f>
        <v/>
      </c>
    </row>
    <row r="404" ht="24" customHeight="1">
      <c r="B404" s="74" t="n"/>
      <c r="C404" s="109" t="n"/>
      <c r="D404" s="72" t="n"/>
      <c r="E404" s="72" t="n"/>
      <c r="F404" s="72" t="n"/>
      <c r="G404" s="72" t="n"/>
      <c r="H404" s="113" t="n"/>
      <c r="I404" s="72" t="n"/>
      <c r="J404" s="73" t="n"/>
      <c r="K404" s="89" t="n"/>
      <c r="L404" s="74" t="n"/>
      <c r="M404" s="109" t="n"/>
      <c r="N404" s="68">
        <f>IF(AND(H404="",J404=""),"",ForecastTotal+IF(L404="Approved",0,IF(J404="",0,J404)))</f>
        <v/>
      </c>
      <c r="O404" s="75">
        <f>IF(N404="","",ContAmt-MAX(0,N404-WorkBudget))</f>
        <v/>
      </c>
      <c r="P404" s="120">
        <f>IF(OR(N404="",ForecastEnd=""),"",ForecastEnd+IF(L404="Approved",0,IF(K404="",0,K404)))</f>
        <v/>
      </c>
      <c r="Q404" s="121">
        <f>IF(OR(N404="",WorkBudget=0),"",N404/WorkBudget-1)</f>
        <v/>
      </c>
      <c r="R404" s="79">
        <f>IF(N404="","",IF(N404&lt;=WorkBudget,0,IF(N404&lt;=TotalBudget,1,2)))</f>
        <v/>
      </c>
      <c r="S404" s="112">
        <f>IF(AND(OR(H404&lt;&gt;"",J404&lt;&gt;""),OR(L404="Pending",L404=""),C404&lt;&gt;""),C404+3,"")</f>
        <v/>
      </c>
      <c r="T404" s="79">
        <f>IF(S404="","",IF(AsOf&gt;S404,1,2))</f>
        <v/>
      </c>
      <c r="U404" s="79">
        <f>IF(T404="","","Decide on change order "&amp;B404&amp;": "&amp;H404&amp;" (+"&amp;CurSym&amp;" "&amp;FIXED(IF(J404="",0,J404),0)&amp;")")</f>
        <v/>
      </c>
    </row>
    <row r="405" ht="24" customHeight="1">
      <c r="B405" s="74" t="n"/>
      <c r="C405" s="109" t="n"/>
      <c r="D405" s="72" t="n"/>
      <c r="E405" s="72" t="n"/>
      <c r="F405" s="72" t="n"/>
      <c r="G405" s="72" t="n"/>
      <c r="H405" s="113" t="n"/>
      <c r="I405" s="72" t="n"/>
      <c r="J405" s="73" t="n"/>
      <c r="K405" s="89" t="n"/>
      <c r="L405" s="74" t="n"/>
      <c r="M405" s="109" t="n"/>
      <c r="N405" s="68">
        <f>IF(AND(H405="",J405=""),"",ForecastTotal+IF(L405="Approved",0,IF(J405="",0,J405)))</f>
        <v/>
      </c>
      <c r="O405" s="75">
        <f>IF(N405="","",ContAmt-MAX(0,N405-WorkBudget))</f>
        <v/>
      </c>
      <c r="P405" s="120">
        <f>IF(OR(N405="",ForecastEnd=""),"",ForecastEnd+IF(L405="Approved",0,IF(K405="",0,K405)))</f>
        <v/>
      </c>
      <c r="Q405" s="121">
        <f>IF(OR(N405="",WorkBudget=0),"",N405/WorkBudget-1)</f>
        <v/>
      </c>
      <c r="R405" s="79">
        <f>IF(N405="","",IF(N405&lt;=WorkBudget,0,IF(N405&lt;=TotalBudget,1,2)))</f>
        <v/>
      </c>
      <c r="S405" s="112">
        <f>IF(AND(OR(H405&lt;&gt;"",J405&lt;&gt;""),OR(L405="Pending",L405=""),C405&lt;&gt;""),C405+3,"")</f>
        <v/>
      </c>
      <c r="T405" s="79">
        <f>IF(S405="","",IF(AsOf&gt;S405,1,2))</f>
        <v/>
      </c>
      <c r="U405" s="79">
        <f>IF(T405="","","Decide on change order "&amp;B405&amp;": "&amp;H405&amp;" (+"&amp;CurSym&amp;" "&amp;FIXED(IF(J405="",0,J405),0)&amp;")")</f>
        <v/>
      </c>
    </row>
    <row r="406" ht="24" customHeight="1">
      <c r="B406" s="74" t="n"/>
      <c r="C406" s="109" t="n"/>
      <c r="D406" s="72" t="n"/>
      <c r="E406" s="72" t="n"/>
      <c r="F406" s="72" t="n"/>
      <c r="G406" s="72" t="n"/>
      <c r="H406" s="113" t="n"/>
      <c r="I406" s="72" t="n"/>
      <c r="J406" s="73" t="n"/>
      <c r="K406" s="89" t="n"/>
      <c r="L406" s="74" t="n"/>
      <c r="M406" s="109" t="n"/>
      <c r="N406" s="68">
        <f>IF(AND(H406="",J406=""),"",ForecastTotal+IF(L406="Approved",0,IF(J406="",0,J406)))</f>
        <v/>
      </c>
      <c r="O406" s="75">
        <f>IF(N406="","",ContAmt-MAX(0,N406-WorkBudget))</f>
        <v/>
      </c>
      <c r="P406" s="120">
        <f>IF(OR(N406="",ForecastEnd=""),"",ForecastEnd+IF(L406="Approved",0,IF(K406="",0,K406)))</f>
        <v/>
      </c>
      <c r="Q406" s="121">
        <f>IF(OR(N406="",WorkBudget=0),"",N406/WorkBudget-1)</f>
        <v/>
      </c>
      <c r="R406" s="79">
        <f>IF(N406="","",IF(N406&lt;=WorkBudget,0,IF(N406&lt;=TotalBudget,1,2)))</f>
        <v/>
      </c>
      <c r="S406" s="112">
        <f>IF(AND(OR(H406&lt;&gt;"",J406&lt;&gt;""),OR(L406="Pending",L406=""),C406&lt;&gt;""),C406+3,"")</f>
        <v/>
      </c>
      <c r="T406" s="79">
        <f>IF(S406="","",IF(AsOf&gt;S406,1,2))</f>
        <v/>
      </c>
      <c r="U406" s="79">
        <f>IF(T406="","","Decide on change order "&amp;B406&amp;": "&amp;H406&amp;" (+"&amp;CurSym&amp;" "&amp;FIXED(IF(J406="",0,J406),0)&amp;")")</f>
        <v/>
      </c>
    </row>
    <row r="407" ht="24" customHeight="1">
      <c r="B407" s="74" t="n"/>
      <c r="C407" s="109" t="n"/>
      <c r="D407" s="72" t="n"/>
      <c r="E407" s="72" t="n"/>
      <c r="F407" s="72" t="n"/>
      <c r="G407" s="72" t="n"/>
      <c r="H407" s="113" t="n"/>
      <c r="I407" s="72" t="n"/>
      <c r="J407" s="73" t="n"/>
      <c r="K407" s="89" t="n"/>
      <c r="L407" s="74" t="n"/>
      <c r="M407" s="109" t="n"/>
      <c r="N407" s="68">
        <f>IF(AND(H407="",J407=""),"",ForecastTotal+IF(L407="Approved",0,IF(J407="",0,J407)))</f>
        <v/>
      </c>
      <c r="O407" s="75">
        <f>IF(N407="","",ContAmt-MAX(0,N407-WorkBudget))</f>
        <v/>
      </c>
      <c r="P407" s="120">
        <f>IF(OR(N407="",ForecastEnd=""),"",ForecastEnd+IF(L407="Approved",0,IF(K407="",0,K407)))</f>
        <v/>
      </c>
      <c r="Q407" s="121">
        <f>IF(OR(N407="",WorkBudget=0),"",N407/WorkBudget-1)</f>
        <v/>
      </c>
      <c r="R407" s="79">
        <f>IF(N407="","",IF(N407&lt;=WorkBudget,0,IF(N407&lt;=TotalBudget,1,2)))</f>
        <v/>
      </c>
      <c r="S407" s="112">
        <f>IF(AND(OR(H407&lt;&gt;"",J407&lt;&gt;""),OR(L407="Pending",L407=""),C407&lt;&gt;""),C407+3,"")</f>
        <v/>
      </c>
      <c r="T407" s="79">
        <f>IF(S407="","",IF(AsOf&gt;S407,1,2))</f>
        <v/>
      </c>
      <c r="U407" s="79">
        <f>IF(T407="","","Decide on change order "&amp;B407&amp;": "&amp;H407&amp;" (+"&amp;CurSym&amp;" "&amp;FIXED(IF(J407="",0,J407),0)&amp;")")</f>
        <v/>
      </c>
    </row>
    <row r="408" ht="24" customHeight="1">
      <c r="B408" s="74" t="n"/>
      <c r="C408" s="109" t="n"/>
      <c r="D408" s="72" t="n"/>
      <c r="E408" s="72" t="n"/>
      <c r="F408" s="72" t="n"/>
      <c r="G408" s="72" t="n"/>
      <c r="H408" s="113" t="n"/>
      <c r="I408" s="72" t="n"/>
      <c r="J408" s="73" t="n"/>
      <c r="K408" s="89" t="n"/>
      <c r="L408" s="74" t="n"/>
      <c r="M408" s="109" t="n"/>
      <c r="N408" s="68">
        <f>IF(AND(H408="",J408=""),"",ForecastTotal+IF(L408="Approved",0,IF(J408="",0,J408)))</f>
        <v/>
      </c>
      <c r="O408" s="75">
        <f>IF(N408="","",ContAmt-MAX(0,N408-WorkBudget))</f>
        <v/>
      </c>
      <c r="P408" s="120">
        <f>IF(OR(N408="",ForecastEnd=""),"",ForecastEnd+IF(L408="Approved",0,IF(K408="",0,K408)))</f>
        <v/>
      </c>
      <c r="Q408" s="121">
        <f>IF(OR(N408="",WorkBudget=0),"",N408/WorkBudget-1)</f>
        <v/>
      </c>
      <c r="R408" s="79">
        <f>IF(N408="","",IF(N408&lt;=WorkBudget,0,IF(N408&lt;=TotalBudget,1,2)))</f>
        <v/>
      </c>
      <c r="S408" s="112">
        <f>IF(AND(OR(H408&lt;&gt;"",J408&lt;&gt;""),OR(L408="Pending",L408=""),C408&lt;&gt;""),C408+3,"")</f>
        <v/>
      </c>
      <c r="T408" s="79">
        <f>IF(S408="","",IF(AsOf&gt;S408,1,2))</f>
        <v/>
      </c>
      <c r="U408" s="79">
        <f>IF(T408="","","Decide on change order "&amp;B408&amp;": "&amp;H408&amp;" (+"&amp;CurSym&amp;" "&amp;FIXED(IF(J408="",0,J408),0)&amp;")")</f>
        <v/>
      </c>
    </row>
    <row r="409" ht="24" customHeight="1">
      <c r="B409" s="74" t="n"/>
      <c r="C409" s="109" t="n"/>
      <c r="D409" s="72" t="n"/>
      <c r="E409" s="72" t="n"/>
      <c r="F409" s="72" t="n"/>
      <c r="G409" s="72" t="n"/>
      <c r="H409" s="113" t="n"/>
      <c r="I409" s="72" t="n"/>
      <c r="J409" s="73" t="n"/>
      <c r="K409" s="89" t="n"/>
      <c r="L409" s="74" t="n"/>
      <c r="M409" s="109" t="n"/>
      <c r="N409" s="68">
        <f>IF(AND(H409="",J409=""),"",ForecastTotal+IF(L409="Approved",0,IF(J409="",0,J409)))</f>
        <v/>
      </c>
      <c r="O409" s="75">
        <f>IF(N409="","",ContAmt-MAX(0,N409-WorkBudget))</f>
        <v/>
      </c>
      <c r="P409" s="120">
        <f>IF(OR(N409="",ForecastEnd=""),"",ForecastEnd+IF(L409="Approved",0,IF(K409="",0,K409)))</f>
        <v/>
      </c>
      <c r="Q409" s="121">
        <f>IF(OR(N409="",WorkBudget=0),"",N409/WorkBudget-1)</f>
        <v/>
      </c>
      <c r="R409" s="79">
        <f>IF(N409="","",IF(N409&lt;=WorkBudget,0,IF(N409&lt;=TotalBudget,1,2)))</f>
        <v/>
      </c>
      <c r="S409" s="112">
        <f>IF(AND(OR(H409&lt;&gt;"",J409&lt;&gt;""),OR(L409="Pending",L409=""),C409&lt;&gt;""),C409+3,"")</f>
        <v/>
      </c>
      <c r="T409" s="79">
        <f>IF(S409="","",IF(AsOf&gt;S409,1,2))</f>
        <v/>
      </c>
      <c r="U409" s="79">
        <f>IF(T409="","","Decide on change order "&amp;B409&amp;": "&amp;H409&amp;" (+"&amp;CurSym&amp;" "&amp;FIXED(IF(J409="",0,J409),0)&amp;")")</f>
        <v/>
      </c>
    </row>
    <row r="410" ht="24" customHeight="1">
      <c r="B410" s="74" t="n"/>
      <c r="C410" s="109" t="n"/>
      <c r="D410" s="72" t="n"/>
      <c r="E410" s="72" t="n"/>
      <c r="F410" s="72" t="n"/>
      <c r="G410" s="72" t="n"/>
      <c r="H410" s="113" t="n"/>
      <c r="I410" s="72" t="n"/>
      <c r="J410" s="73" t="n"/>
      <c r="K410" s="89" t="n"/>
      <c r="L410" s="74" t="n"/>
      <c r="M410" s="109" t="n"/>
      <c r="N410" s="68">
        <f>IF(AND(H410="",J410=""),"",ForecastTotal+IF(L410="Approved",0,IF(J410="",0,J410)))</f>
        <v/>
      </c>
      <c r="O410" s="75">
        <f>IF(N410="","",ContAmt-MAX(0,N410-WorkBudget))</f>
        <v/>
      </c>
      <c r="P410" s="120">
        <f>IF(OR(N410="",ForecastEnd=""),"",ForecastEnd+IF(L410="Approved",0,IF(K410="",0,K410)))</f>
        <v/>
      </c>
      <c r="Q410" s="121">
        <f>IF(OR(N410="",WorkBudget=0),"",N410/WorkBudget-1)</f>
        <v/>
      </c>
      <c r="R410" s="79">
        <f>IF(N410="","",IF(N410&lt;=WorkBudget,0,IF(N410&lt;=TotalBudget,1,2)))</f>
        <v/>
      </c>
      <c r="S410" s="112">
        <f>IF(AND(OR(H410&lt;&gt;"",J410&lt;&gt;""),OR(L410="Pending",L410=""),C410&lt;&gt;""),C410+3,"")</f>
        <v/>
      </c>
      <c r="T410" s="79">
        <f>IF(S410="","",IF(AsOf&gt;S410,1,2))</f>
        <v/>
      </c>
      <c r="U410" s="79">
        <f>IF(T410="","","Decide on change order "&amp;B410&amp;": "&amp;H410&amp;" (+"&amp;CurSym&amp;" "&amp;FIXED(IF(J410="",0,J410),0)&amp;")")</f>
        <v/>
      </c>
    </row>
    <row r="411" ht="24" customHeight="1">
      <c r="B411" s="74" t="n"/>
      <c r="C411" s="109" t="n"/>
      <c r="D411" s="72" t="n"/>
      <c r="E411" s="72" t="n"/>
      <c r="F411" s="72" t="n"/>
      <c r="G411" s="72" t="n"/>
      <c r="H411" s="113" t="n"/>
      <c r="I411" s="72" t="n"/>
      <c r="J411" s="73" t="n"/>
      <c r="K411" s="89" t="n"/>
      <c r="L411" s="74" t="n"/>
      <c r="M411" s="109" t="n"/>
      <c r="N411" s="68">
        <f>IF(AND(H411="",J411=""),"",ForecastTotal+IF(L411="Approved",0,IF(J411="",0,J411)))</f>
        <v/>
      </c>
      <c r="O411" s="75">
        <f>IF(N411="","",ContAmt-MAX(0,N411-WorkBudget))</f>
        <v/>
      </c>
      <c r="P411" s="120">
        <f>IF(OR(N411="",ForecastEnd=""),"",ForecastEnd+IF(L411="Approved",0,IF(K411="",0,K411)))</f>
        <v/>
      </c>
      <c r="Q411" s="121">
        <f>IF(OR(N411="",WorkBudget=0),"",N411/WorkBudget-1)</f>
        <v/>
      </c>
      <c r="R411" s="79">
        <f>IF(N411="","",IF(N411&lt;=WorkBudget,0,IF(N411&lt;=TotalBudget,1,2)))</f>
        <v/>
      </c>
      <c r="S411" s="112">
        <f>IF(AND(OR(H411&lt;&gt;"",J411&lt;&gt;""),OR(L411="Pending",L411=""),C411&lt;&gt;""),C411+3,"")</f>
        <v/>
      </c>
      <c r="T411" s="79">
        <f>IF(S411="","",IF(AsOf&gt;S411,1,2))</f>
        <v/>
      </c>
      <c r="U411" s="79">
        <f>IF(T411="","","Decide on change order "&amp;B411&amp;": "&amp;H411&amp;" (+"&amp;CurSym&amp;" "&amp;FIXED(IF(J411="",0,J411),0)&amp;")")</f>
        <v/>
      </c>
    </row>
    <row r="412" ht="24" customHeight="1">
      <c r="B412" s="74" t="n"/>
      <c r="C412" s="109" t="n"/>
      <c r="D412" s="72" t="n"/>
      <c r="E412" s="72" t="n"/>
      <c r="F412" s="72" t="n"/>
      <c r="G412" s="72" t="n"/>
      <c r="H412" s="113" t="n"/>
      <c r="I412" s="72" t="n"/>
      <c r="J412" s="73" t="n"/>
      <c r="K412" s="89" t="n"/>
      <c r="L412" s="74" t="n"/>
      <c r="M412" s="109" t="n"/>
      <c r="N412" s="68">
        <f>IF(AND(H412="",J412=""),"",ForecastTotal+IF(L412="Approved",0,IF(J412="",0,J412)))</f>
        <v/>
      </c>
      <c r="O412" s="75">
        <f>IF(N412="","",ContAmt-MAX(0,N412-WorkBudget))</f>
        <v/>
      </c>
      <c r="P412" s="120">
        <f>IF(OR(N412="",ForecastEnd=""),"",ForecastEnd+IF(L412="Approved",0,IF(K412="",0,K412)))</f>
        <v/>
      </c>
      <c r="Q412" s="121">
        <f>IF(OR(N412="",WorkBudget=0),"",N412/WorkBudget-1)</f>
        <v/>
      </c>
      <c r="R412" s="79">
        <f>IF(N412="","",IF(N412&lt;=WorkBudget,0,IF(N412&lt;=TotalBudget,1,2)))</f>
        <v/>
      </c>
      <c r="S412" s="112">
        <f>IF(AND(OR(H412&lt;&gt;"",J412&lt;&gt;""),OR(L412="Pending",L412=""),C412&lt;&gt;""),C412+3,"")</f>
        <v/>
      </c>
      <c r="T412" s="79">
        <f>IF(S412="","",IF(AsOf&gt;S412,1,2))</f>
        <v/>
      </c>
      <c r="U412" s="79">
        <f>IF(T412="","","Decide on change order "&amp;B412&amp;": "&amp;H412&amp;" (+"&amp;CurSym&amp;" "&amp;FIXED(IF(J412="",0,J412),0)&amp;")")</f>
        <v/>
      </c>
    </row>
    <row r="413" ht="24" customHeight="1">
      <c r="B413" s="74" t="n"/>
      <c r="C413" s="109" t="n"/>
      <c r="D413" s="72" t="n"/>
      <c r="E413" s="72" t="n"/>
      <c r="F413" s="72" t="n"/>
      <c r="G413" s="72" t="n"/>
      <c r="H413" s="113" t="n"/>
      <c r="I413" s="72" t="n"/>
      <c r="J413" s="73" t="n"/>
      <c r="K413" s="89" t="n"/>
      <c r="L413" s="74" t="n"/>
      <c r="M413" s="109" t="n"/>
      <c r="N413" s="68">
        <f>IF(AND(H413="",J413=""),"",ForecastTotal+IF(L413="Approved",0,IF(J413="",0,J413)))</f>
        <v/>
      </c>
      <c r="O413" s="75">
        <f>IF(N413="","",ContAmt-MAX(0,N413-WorkBudget))</f>
        <v/>
      </c>
      <c r="P413" s="120">
        <f>IF(OR(N413="",ForecastEnd=""),"",ForecastEnd+IF(L413="Approved",0,IF(K413="",0,K413)))</f>
        <v/>
      </c>
      <c r="Q413" s="121">
        <f>IF(OR(N413="",WorkBudget=0),"",N413/WorkBudget-1)</f>
        <v/>
      </c>
      <c r="R413" s="79">
        <f>IF(N413="","",IF(N413&lt;=WorkBudget,0,IF(N413&lt;=TotalBudget,1,2)))</f>
        <v/>
      </c>
      <c r="S413" s="112">
        <f>IF(AND(OR(H413&lt;&gt;"",J413&lt;&gt;""),OR(L413="Pending",L413=""),C413&lt;&gt;""),C413+3,"")</f>
        <v/>
      </c>
      <c r="T413" s="79">
        <f>IF(S413="","",IF(AsOf&gt;S413,1,2))</f>
        <v/>
      </c>
      <c r="U413" s="79">
        <f>IF(T413="","","Decide on change order "&amp;B413&amp;": "&amp;H413&amp;" (+"&amp;CurSym&amp;" "&amp;FIXED(IF(J413="",0,J413),0)&amp;")")</f>
        <v/>
      </c>
    </row>
    <row r="414" ht="24" customHeight="1">
      <c r="B414" s="74" t="n"/>
      <c r="C414" s="109" t="n"/>
      <c r="D414" s="72" t="n"/>
      <c r="E414" s="72" t="n"/>
      <c r="F414" s="72" t="n"/>
      <c r="G414" s="72" t="n"/>
      <c r="H414" s="113" t="n"/>
      <c r="I414" s="72" t="n"/>
      <c r="J414" s="73" t="n"/>
      <c r="K414" s="89" t="n"/>
      <c r="L414" s="74" t="n"/>
      <c r="M414" s="109" t="n"/>
      <c r="N414" s="68">
        <f>IF(AND(H414="",J414=""),"",ForecastTotal+IF(L414="Approved",0,IF(J414="",0,J414)))</f>
        <v/>
      </c>
      <c r="O414" s="75">
        <f>IF(N414="","",ContAmt-MAX(0,N414-WorkBudget))</f>
        <v/>
      </c>
      <c r="P414" s="120">
        <f>IF(OR(N414="",ForecastEnd=""),"",ForecastEnd+IF(L414="Approved",0,IF(K414="",0,K414)))</f>
        <v/>
      </c>
      <c r="Q414" s="121">
        <f>IF(OR(N414="",WorkBudget=0),"",N414/WorkBudget-1)</f>
        <v/>
      </c>
      <c r="R414" s="79">
        <f>IF(N414="","",IF(N414&lt;=WorkBudget,0,IF(N414&lt;=TotalBudget,1,2)))</f>
        <v/>
      </c>
      <c r="S414" s="112">
        <f>IF(AND(OR(H414&lt;&gt;"",J414&lt;&gt;""),OR(L414="Pending",L414=""),C414&lt;&gt;""),C414+3,"")</f>
        <v/>
      </c>
      <c r="T414" s="79">
        <f>IF(S414="","",IF(AsOf&gt;S414,1,2))</f>
        <v/>
      </c>
      <c r="U414" s="79">
        <f>IF(T414="","","Decide on change order "&amp;B414&amp;": "&amp;H414&amp;" (+"&amp;CurSym&amp;" "&amp;FIXED(IF(J414="",0,J414),0)&amp;")")</f>
        <v/>
      </c>
    </row>
    <row r="415" ht="24" customHeight="1">
      <c r="B415" s="74" t="n"/>
      <c r="C415" s="109" t="n"/>
      <c r="D415" s="72" t="n"/>
      <c r="E415" s="72" t="n"/>
      <c r="F415" s="72" t="n"/>
      <c r="G415" s="72" t="n"/>
      <c r="H415" s="113" t="n"/>
      <c r="I415" s="72" t="n"/>
      <c r="J415" s="73" t="n"/>
      <c r="K415" s="89" t="n"/>
      <c r="L415" s="74" t="n"/>
      <c r="M415" s="109" t="n"/>
      <c r="N415" s="68">
        <f>IF(AND(H415="",J415=""),"",ForecastTotal+IF(L415="Approved",0,IF(J415="",0,J415)))</f>
        <v/>
      </c>
      <c r="O415" s="75">
        <f>IF(N415="","",ContAmt-MAX(0,N415-WorkBudget))</f>
        <v/>
      </c>
      <c r="P415" s="120">
        <f>IF(OR(N415="",ForecastEnd=""),"",ForecastEnd+IF(L415="Approved",0,IF(K415="",0,K415)))</f>
        <v/>
      </c>
      <c r="Q415" s="121">
        <f>IF(OR(N415="",WorkBudget=0),"",N415/WorkBudget-1)</f>
        <v/>
      </c>
      <c r="R415" s="79">
        <f>IF(N415="","",IF(N415&lt;=WorkBudget,0,IF(N415&lt;=TotalBudget,1,2)))</f>
        <v/>
      </c>
      <c r="S415" s="112">
        <f>IF(AND(OR(H415&lt;&gt;"",J415&lt;&gt;""),OR(L415="Pending",L415=""),C415&lt;&gt;""),C415+3,"")</f>
        <v/>
      </c>
      <c r="T415" s="79">
        <f>IF(S415="","",IF(AsOf&gt;S415,1,2))</f>
        <v/>
      </c>
      <c r="U415" s="79">
        <f>IF(T415="","","Decide on change order "&amp;B415&amp;": "&amp;H415&amp;" (+"&amp;CurSym&amp;" "&amp;FIXED(IF(J415="",0,J415),0)&amp;")")</f>
        <v/>
      </c>
    </row>
    <row r="416" ht="24" customHeight="1">
      <c r="B416" s="74" t="n"/>
      <c r="C416" s="109" t="n"/>
      <c r="D416" s="72" t="n"/>
      <c r="E416" s="72" t="n"/>
      <c r="F416" s="72" t="n"/>
      <c r="G416" s="72" t="n"/>
      <c r="H416" s="113" t="n"/>
      <c r="I416" s="72" t="n"/>
      <c r="J416" s="73" t="n"/>
      <c r="K416" s="89" t="n"/>
      <c r="L416" s="74" t="n"/>
      <c r="M416" s="109" t="n"/>
      <c r="N416" s="68">
        <f>IF(AND(H416="",J416=""),"",ForecastTotal+IF(L416="Approved",0,IF(J416="",0,J416)))</f>
        <v/>
      </c>
      <c r="O416" s="75">
        <f>IF(N416="","",ContAmt-MAX(0,N416-WorkBudget))</f>
        <v/>
      </c>
      <c r="P416" s="120">
        <f>IF(OR(N416="",ForecastEnd=""),"",ForecastEnd+IF(L416="Approved",0,IF(K416="",0,K416)))</f>
        <v/>
      </c>
      <c r="Q416" s="121">
        <f>IF(OR(N416="",WorkBudget=0),"",N416/WorkBudget-1)</f>
        <v/>
      </c>
      <c r="R416" s="79">
        <f>IF(N416="","",IF(N416&lt;=WorkBudget,0,IF(N416&lt;=TotalBudget,1,2)))</f>
        <v/>
      </c>
      <c r="S416" s="112">
        <f>IF(AND(OR(H416&lt;&gt;"",J416&lt;&gt;""),OR(L416="Pending",L416=""),C416&lt;&gt;""),C416+3,"")</f>
        <v/>
      </c>
      <c r="T416" s="79">
        <f>IF(S416="","",IF(AsOf&gt;S416,1,2))</f>
        <v/>
      </c>
      <c r="U416" s="79">
        <f>IF(T416="","","Decide on change order "&amp;B416&amp;": "&amp;H416&amp;" (+"&amp;CurSym&amp;" "&amp;FIXED(IF(J416="",0,J416),0)&amp;")")</f>
        <v/>
      </c>
    </row>
    <row r="417" ht="24" customHeight="1">
      <c r="B417" s="74" t="n"/>
      <c r="C417" s="109" t="n"/>
      <c r="D417" s="72" t="n"/>
      <c r="E417" s="72" t="n"/>
      <c r="F417" s="72" t="n"/>
      <c r="G417" s="72" t="n"/>
      <c r="H417" s="113" t="n"/>
      <c r="I417" s="72" t="n"/>
      <c r="J417" s="73" t="n"/>
      <c r="K417" s="89" t="n"/>
      <c r="L417" s="74" t="n"/>
      <c r="M417" s="109" t="n"/>
      <c r="N417" s="68">
        <f>IF(AND(H417="",J417=""),"",ForecastTotal+IF(L417="Approved",0,IF(J417="",0,J417)))</f>
        <v/>
      </c>
      <c r="O417" s="75">
        <f>IF(N417="","",ContAmt-MAX(0,N417-WorkBudget))</f>
        <v/>
      </c>
      <c r="P417" s="120">
        <f>IF(OR(N417="",ForecastEnd=""),"",ForecastEnd+IF(L417="Approved",0,IF(K417="",0,K417)))</f>
        <v/>
      </c>
      <c r="Q417" s="121">
        <f>IF(OR(N417="",WorkBudget=0),"",N417/WorkBudget-1)</f>
        <v/>
      </c>
      <c r="R417" s="79">
        <f>IF(N417="","",IF(N417&lt;=WorkBudget,0,IF(N417&lt;=TotalBudget,1,2)))</f>
        <v/>
      </c>
      <c r="S417" s="112">
        <f>IF(AND(OR(H417&lt;&gt;"",J417&lt;&gt;""),OR(L417="Pending",L417=""),C417&lt;&gt;""),C417+3,"")</f>
        <v/>
      </c>
      <c r="T417" s="79">
        <f>IF(S417="","",IF(AsOf&gt;S417,1,2))</f>
        <v/>
      </c>
      <c r="U417" s="79">
        <f>IF(T417="","","Decide on change order "&amp;B417&amp;": "&amp;H417&amp;" (+"&amp;CurSym&amp;" "&amp;FIXED(IF(J417="",0,J417),0)&amp;")")</f>
        <v/>
      </c>
    </row>
    <row r="418" ht="24" customHeight="1">
      <c r="B418" s="74" t="n"/>
      <c r="C418" s="109" t="n"/>
      <c r="D418" s="72" t="n"/>
      <c r="E418" s="72" t="n"/>
      <c r="F418" s="72" t="n"/>
      <c r="G418" s="72" t="n"/>
      <c r="H418" s="113" t="n"/>
      <c r="I418" s="72" t="n"/>
      <c r="J418" s="73" t="n"/>
      <c r="K418" s="89" t="n"/>
      <c r="L418" s="74" t="n"/>
      <c r="M418" s="109" t="n"/>
      <c r="N418" s="68">
        <f>IF(AND(H418="",J418=""),"",ForecastTotal+IF(L418="Approved",0,IF(J418="",0,J418)))</f>
        <v/>
      </c>
      <c r="O418" s="75">
        <f>IF(N418="","",ContAmt-MAX(0,N418-WorkBudget))</f>
        <v/>
      </c>
      <c r="P418" s="120">
        <f>IF(OR(N418="",ForecastEnd=""),"",ForecastEnd+IF(L418="Approved",0,IF(K418="",0,K418)))</f>
        <v/>
      </c>
      <c r="Q418" s="121">
        <f>IF(OR(N418="",WorkBudget=0),"",N418/WorkBudget-1)</f>
        <v/>
      </c>
      <c r="R418" s="79">
        <f>IF(N418="","",IF(N418&lt;=WorkBudget,0,IF(N418&lt;=TotalBudget,1,2)))</f>
        <v/>
      </c>
      <c r="S418" s="112">
        <f>IF(AND(OR(H418&lt;&gt;"",J418&lt;&gt;""),OR(L418="Pending",L418=""),C418&lt;&gt;""),C418+3,"")</f>
        <v/>
      </c>
      <c r="T418" s="79">
        <f>IF(S418="","",IF(AsOf&gt;S418,1,2))</f>
        <v/>
      </c>
      <c r="U418" s="79">
        <f>IF(T418="","","Decide on change order "&amp;B418&amp;": "&amp;H418&amp;" (+"&amp;CurSym&amp;" "&amp;FIXED(IF(J418="",0,J418),0)&amp;")")</f>
        <v/>
      </c>
    </row>
    <row r="419" ht="24" customHeight="1">
      <c r="B419" s="74" t="n"/>
      <c r="C419" s="109" t="n"/>
      <c r="D419" s="72" t="n"/>
      <c r="E419" s="72" t="n"/>
      <c r="F419" s="72" t="n"/>
      <c r="G419" s="72" t="n"/>
      <c r="H419" s="113" t="n"/>
      <c r="I419" s="72" t="n"/>
      <c r="J419" s="73" t="n"/>
      <c r="K419" s="89" t="n"/>
      <c r="L419" s="74" t="n"/>
      <c r="M419" s="109" t="n"/>
      <c r="N419" s="68">
        <f>IF(AND(H419="",J419=""),"",ForecastTotal+IF(L419="Approved",0,IF(J419="",0,J419)))</f>
        <v/>
      </c>
      <c r="O419" s="75">
        <f>IF(N419="","",ContAmt-MAX(0,N419-WorkBudget))</f>
        <v/>
      </c>
      <c r="P419" s="120">
        <f>IF(OR(N419="",ForecastEnd=""),"",ForecastEnd+IF(L419="Approved",0,IF(K419="",0,K419)))</f>
        <v/>
      </c>
      <c r="Q419" s="121">
        <f>IF(OR(N419="",WorkBudget=0),"",N419/WorkBudget-1)</f>
        <v/>
      </c>
      <c r="R419" s="79">
        <f>IF(N419="","",IF(N419&lt;=WorkBudget,0,IF(N419&lt;=TotalBudget,1,2)))</f>
        <v/>
      </c>
      <c r="S419" s="112">
        <f>IF(AND(OR(H419&lt;&gt;"",J419&lt;&gt;""),OR(L419="Pending",L419=""),C419&lt;&gt;""),C419+3,"")</f>
        <v/>
      </c>
      <c r="T419" s="79">
        <f>IF(S419="","",IF(AsOf&gt;S419,1,2))</f>
        <v/>
      </c>
      <c r="U419" s="79">
        <f>IF(T419="","","Decide on change order "&amp;B419&amp;": "&amp;H419&amp;" (+"&amp;CurSym&amp;" "&amp;FIXED(IF(J419="",0,J419),0)&amp;")")</f>
        <v/>
      </c>
    </row>
    <row r="420" ht="24" customHeight="1">
      <c r="B420" s="74" t="n"/>
      <c r="C420" s="109" t="n"/>
      <c r="D420" s="72" t="n"/>
      <c r="E420" s="72" t="n"/>
      <c r="F420" s="72" t="n"/>
      <c r="G420" s="72" t="n"/>
      <c r="H420" s="113" t="n"/>
      <c r="I420" s="72" t="n"/>
      <c r="J420" s="73" t="n"/>
      <c r="K420" s="89" t="n"/>
      <c r="L420" s="74" t="n"/>
      <c r="M420" s="109" t="n"/>
      <c r="N420" s="68">
        <f>IF(AND(H420="",J420=""),"",ForecastTotal+IF(L420="Approved",0,IF(J420="",0,J420)))</f>
        <v/>
      </c>
      <c r="O420" s="75">
        <f>IF(N420="","",ContAmt-MAX(0,N420-WorkBudget))</f>
        <v/>
      </c>
      <c r="P420" s="120">
        <f>IF(OR(N420="",ForecastEnd=""),"",ForecastEnd+IF(L420="Approved",0,IF(K420="",0,K420)))</f>
        <v/>
      </c>
      <c r="Q420" s="121">
        <f>IF(OR(N420="",WorkBudget=0),"",N420/WorkBudget-1)</f>
        <v/>
      </c>
      <c r="R420" s="79">
        <f>IF(N420="","",IF(N420&lt;=WorkBudget,0,IF(N420&lt;=TotalBudget,1,2)))</f>
        <v/>
      </c>
      <c r="S420" s="112">
        <f>IF(AND(OR(H420&lt;&gt;"",J420&lt;&gt;""),OR(L420="Pending",L420=""),C420&lt;&gt;""),C420+3,"")</f>
        <v/>
      </c>
      <c r="T420" s="79">
        <f>IF(S420="","",IF(AsOf&gt;S420,1,2))</f>
        <v/>
      </c>
      <c r="U420" s="79">
        <f>IF(T420="","","Decide on change order "&amp;B420&amp;": "&amp;H420&amp;" (+"&amp;CurSym&amp;" "&amp;FIXED(IF(J420="",0,J420),0)&amp;")")</f>
        <v/>
      </c>
    </row>
    <row r="421" ht="24" customHeight="1">
      <c r="B421" s="74" t="n"/>
      <c r="C421" s="109" t="n"/>
      <c r="D421" s="72" t="n"/>
      <c r="E421" s="72" t="n"/>
      <c r="F421" s="72" t="n"/>
      <c r="G421" s="72" t="n"/>
      <c r="H421" s="113" t="n"/>
      <c r="I421" s="72" t="n"/>
      <c r="J421" s="73" t="n"/>
      <c r="K421" s="89" t="n"/>
      <c r="L421" s="74" t="n"/>
      <c r="M421" s="109" t="n"/>
      <c r="N421" s="68">
        <f>IF(AND(H421="",J421=""),"",ForecastTotal+IF(L421="Approved",0,IF(J421="",0,J421)))</f>
        <v/>
      </c>
      <c r="O421" s="75">
        <f>IF(N421="","",ContAmt-MAX(0,N421-WorkBudget))</f>
        <v/>
      </c>
      <c r="P421" s="120">
        <f>IF(OR(N421="",ForecastEnd=""),"",ForecastEnd+IF(L421="Approved",0,IF(K421="",0,K421)))</f>
        <v/>
      </c>
      <c r="Q421" s="121">
        <f>IF(OR(N421="",WorkBudget=0),"",N421/WorkBudget-1)</f>
        <v/>
      </c>
      <c r="R421" s="79">
        <f>IF(N421="","",IF(N421&lt;=WorkBudget,0,IF(N421&lt;=TotalBudget,1,2)))</f>
        <v/>
      </c>
      <c r="S421" s="112">
        <f>IF(AND(OR(H421&lt;&gt;"",J421&lt;&gt;""),OR(L421="Pending",L421=""),C421&lt;&gt;""),C421+3,"")</f>
        <v/>
      </c>
      <c r="T421" s="79">
        <f>IF(S421="","",IF(AsOf&gt;S421,1,2))</f>
        <v/>
      </c>
      <c r="U421" s="79">
        <f>IF(T421="","","Decide on change order "&amp;B421&amp;": "&amp;H421&amp;" (+"&amp;CurSym&amp;" "&amp;FIXED(IF(J421="",0,J421),0)&amp;")")</f>
        <v/>
      </c>
    </row>
    <row r="422" ht="24" customHeight="1">
      <c r="B422" s="74" t="n"/>
      <c r="C422" s="109" t="n"/>
      <c r="D422" s="72" t="n"/>
      <c r="E422" s="72" t="n"/>
      <c r="F422" s="72" t="n"/>
      <c r="G422" s="72" t="n"/>
      <c r="H422" s="113" t="n"/>
      <c r="I422" s="72" t="n"/>
      <c r="J422" s="73" t="n"/>
      <c r="K422" s="89" t="n"/>
      <c r="L422" s="74" t="n"/>
      <c r="M422" s="109" t="n"/>
      <c r="N422" s="68">
        <f>IF(AND(H422="",J422=""),"",ForecastTotal+IF(L422="Approved",0,IF(J422="",0,J422)))</f>
        <v/>
      </c>
      <c r="O422" s="75">
        <f>IF(N422="","",ContAmt-MAX(0,N422-WorkBudget))</f>
        <v/>
      </c>
      <c r="P422" s="120">
        <f>IF(OR(N422="",ForecastEnd=""),"",ForecastEnd+IF(L422="Approved",0,IF(K422="",0,K422)))</f>
        <v/>
      </c>
      <c r="Q422" s="121">
        <f>IF(OR(N422="",WorkBudget=0),"",N422/WorkBudget-1)</f>
        <v/>
      </c>
      <c r="R422" s="79">
        <f>IF(N422="","",IF(N422&lt;=WorkBudget,0,IF(N422&lt;=TotalBudget,1,2)))</f>
        <v/>
      </c>
      <c r="S422" s="112">
        <f>IF(AND(OR(H422&lt;&gt;"",J422&lt;&gt;""),OR(L422="Pending",L422=""),C422&lt;&gt;""),C422+3,"")</f>
        <v/>
      </c>
      <c r="T422" s="79">
        <f>IF(S422="","",IF(AsOf&gt;S422,1,2))</f>
        <v/>
      </c>
      <c r="U422" s="79">
        <f>IF(T422="","","Decide on change order "&amp;B422&amp;": "&amp;H422&amp;" (+"&amp;CurSym&amp;" "&amp;FIXED(IF(J422="",0,J422),0)&amp;")")</f>
        <v/>
      </c>
    </row>
    <row r="423" ht="24" customHeight="1">
      <c r="B423" s="74" t="n"/>
      <c r="C423" s="109" t="n"/>
      <c r="D423" s="72" t="n"/>
      <c r="E423" s="72" t="n"/>
      <c r="F423" s="72" t="n"/>
      <c r="G423" s="72" t="n"/>
      <c r="H423" s="113" t="n"/>
      <c r="I423" s="72" t="n"/>
      <c r="J423" s="73" t="n"/>
      <c r="K423" s="89" t="n"/>
      <c r="L423" s="74" t="n"/>
      <c r="M423" s="109" t="n"/>
      <c r="N423" s="68">
        <f>IF(AND(H423="",J423=""),"",ForecastTotal+IF(L423="Approved",0,IF(J423="",0,J423)))</f>
        <v/>
      </c>
      <c r="O423" s="75">
        <f>IF(N423="","",ContAmt-MAX(0,N423-WorkBudget))</f>
        <v/>
      </c>
      <c r="P423" s="120">
        <f>IF(OR(N423="",ForecastEnd=""),"",ForecastEnd+IF(L423="Approved",0,IF(K423="",0,K423)))</f>
        <v/>
      </c>
      <c r="Q423" s="121">
        <f>IF(OR(N423="",WorkBudget=0),"",N423/WorkBudget-1)</f>
        <v/>
      </c>
      <c r="R423" s="79">
        <f>IF(N423="","",IF(N423&lt;=WorkBudget,0,IF(N423&lt;=TotalBudget,1,2)))</f>
        <v/>
      </c>
      <c r="S423" s="112">
        <f>IF(AND(OR(H423&lt;&gt;"",J423&lt;&gt;""),OR(L423="Pending",L423=""),C423&lt;&gt;""),C423+3,"")</f>
        <v/>
      </c>
      <c r="T423" s="79">
        <f>IF(S423="","",IF(AsOf&gt;S423,1,2))</f>
        <v/>
      </c>
      <c r="U423" s="79">
        <f>IF(T423="","","Decide on change order "&amp;B423&amp;": "&amp;H423&amp;" (+"&amp;CurSym&amp;" "&amp;FIXED(IF(J423="",0,J423),0)&amp;")")</f>
        <v/>
      </c>
    </row>
    <row r="424" ht="24" customHeight="1">
      <c r="B424" s="74" t="n"/>
      <c r="C424" s="109" t="n"/>
      <c r="D424" s="72" t="n"/>
      <c r="E424" s="72" t="n"/>
      <c r="F424" s="72" t="n"/>
      <c r="G424" s="72" t="n"/>
      <c r="H424" s="113" t="n"/>
      <c r="I424" s="72" t="n"/>
      <c r="J424" s="73" t="n"/>
      <c r="K424" s="89" t="n"/>
      <c r="L424" s="74" t="n"/>
      <c r="M424" s="109" t="n"/>
      <c r="N424" s="68">
        <f>IF(AND(H424="",J424=""),"",ForecastTotal+IF(L424="Approved",0,IF(J424="",0,J424)))</f>
        <v/>
      </c>
      <c r="O424" s="75">
        <f>IF(N424="","",ContAmt-MAX(0,N424-WorkBudget))</f>
        <v/>
      </c>
      <c r="P424" s="120">
        <f>IF(OR(N424="",ForecastEnd=""),"",ForecastEnd+IF(L424="Approved",0,IF(K424="",0,K424)))</f>
        <v/>
      </c>
      <c r="Q424" s="121">
        <f>IF(OR(N424="",WorkBudget=0),"",N424/WorkBudget-1)</f>
        <v/>
      </c>
      <c r="R424" s="79">
        <f>IF(N424="","",IF(N424&lt;=WorkBudget,0,IF(N424&lt;=TotalBudget,1,2)))</f>
        <v/>
      </c>
      <c r="S424" s="112">
        <f>IF(AND(OR(H424&lt;&gt;"",J424&lt;&gt;""),OR(L424="Pending",L424=""),C424&lt;&gt;""),C424+3,"")</f>
        <v/>
      </c>
      <c r="T424" s="79">
        <f>IF(S424="","",IF(AsOf&gt;S424,1,2))</f>
        <v/>
      </c>
      <c r="U424" s="79">
        <f>IF(T424="","","Decide on change order "&amp;B424&amp;": "&amp;H424&amp;" (+"&amp;CurSym&amp;" "&amp;FIXED(IF(J424="",0,J424),0)&amp;")")</f>
        <v/>
      </c>
    </row>
    <row r="425" ht="24" customHeight="1">
      <c r="B425" s="74" t="n"/>
      <c r="C425" s="109" t="n"/>
      <c r="D425" s="72" t="n"/>
      <c r="E425" s="72" t="n"/>
      <c r="F425" s="72" t="n"/>
      <c r="G425" s="72" t="n"/>
      <c r="H425" s="113" t="n"/>
      <c r="I425" s="72" t="n"/>
      <c r="J425" s="73" t="n"/>
      <c r="K425" s="89" t="n"/>
      <c r="L425" s="74" t="n"/>
      <c r="M425" s="109" t="n"/>
      <c r="N425" s="68">
        <f>IF(AND(H425="",J425=""),"",ForecastTotal+IF(L425="Approved",0,IF(J425="",0,J425)))</f>
        <v/>
      </c>
      <c r="O425" s="75">
        <f>IF(N425="","",ContAmt-MAX(0,N425-WorkBudget))</f>
        <v/>
      </c>
      <c r="P425" s="120">
        <f>IF(OR(N425="",ForecastEnd=""),"",ForecastEnd+IF(L425="Approved",0,IF(K425="",0,K425)))</f>
        <v/>
      </c>
      <c r="Q425" s="121">
        <f>IF(OR(N425="",WorkBudget=0),"",N425/WorkBudget-1)</f>
        <v/>
      </c>
      <c r="R425" s="79">
        <f>IF(N425="","",IF(N425&lt;=WorkBudget,0,IF(N425&lt;=TotalBudget,1,2)))</f>
        <v/>
      </c>
      <c r="S425" s="112">
        <f>IF(AND(OR(H425&lt;&gt;"",J425&lt;&gt;""),OR(L425="Pending",L425=""),C425&lt;&gt;""),C425+3,"")</f>
        <v/>
      </c>
      <c r="T425" s="79">
        <f>IF(S425="","",IF(AsOf&gt;S425,1,2))</f>
        <v/>
      </c>
      <c r="U425" s="79">
        <f>IF(T425="","","Decide on change order "&amp;B425&amp;": "&amp;H425&amp;" (+"&amp;CurSym&amp;" "&amp;FIXED(IF(J425="",0,J425),0)&amp;")")</f>
        <v/>
      </c>
    </row>
    <row r="426" ht="24" customHeight="1">
      <c r="B426" s="74" t="n"/>
      <c r="C426" s="109" t="n"/>
      <c r="D426" s="72" t="n"/>
      <c r="E426" s="72" t="n"/>
      <c r="F426" s="72" t="n"/>
      <c r="G426" s="72" t="n"/>
      <c r="H426" s="113" t="n"/>
      <c r="I426" s="72" t="n"/>
      <c r="J426" s="73" t="n"/>
      <c r="K426" s="89" t="n"/>
      <c r="L426" s="74" t="n"/>
      <c r="M426" s="109" t="n"/>
      <c r="N426" s="68">
        <f>IF(AND(H426="",J426=""),"",ForecastTotal+IF(L426="Approved",0,IF(J426="",0,J426)))</f>
        <v/>
      </c>
      <c r="O426" s="75">
        <f>IF(N426="","",ContAmt-MAX(0,N426-WorkBudget))</f>
        <v/>
      </c>
      <c r="P426" s="120">
        <f>IF(OR(N426="",ForecastEnd=""),"",ForecastEnd+IF(L426="Approved",0,IF(K426="",0,K426)))</f>
        <v/>
      </c>
      <c r="Q426" s="121">
        <f>IF(OR(N426="",WorkBudget=0),"",N426/WorkBudget-1)</f>
        <v/>
      </c>
      <c r="R426" s="79">
        <f>IF(N426="","",IF(N426&lt;=WorkBudget,0,IF(N426&lt;=TotalBudget,1,2)))</f>
        <v/>
      </c>
      <c r="S426" s="112">
        <f>IF(AND(OR(H426&lt;&gt;"",J426&lt;&gt;""),OR(L426="Pending",L426=""),C426&lt;&gt;""),C426+3,"")</f>
        <v/>
      </c>
      <c r="T426" s="79">
        <f>IF(S426="","",IF(AsOf&gt;S426,1,2))</f>
        <v/>
      </c>
      <c r="U426" s="79">
        <f>IF(T426="","","Decide on change order "&amp;B426&amp;": "&amp;H426&amp;" (+"&amp;CurSym&amp;" "&amp;FIXED(IF(J426="",0,J426),0)&amp;")")</f>
        <v/>
      </c>
    </row>
    <row r="427" ht="24" customHeight="1">
      <c r="B427" s="74" t="n"/>
      <c r="C427" s="109" t="n"/>
      <c r="D427" s="72" t="n"/>
      <c r="E427" s="72" t="n"/>
      <c r="F427" s="72" t="n"/>
      <c r="G427" s="72" t="n"/>
      <c r="H427" s="113" t="n"/>
      <c r="I427" s="72" t="n"/>
      <c r="J427" s="73" t="n"/>
      <c r="K427" s="89" t="n"/>
      <c r="L427" s="74" t="n"/>
      <c r="M427" s="109" t="n"/>
      <c r="N427" s="68">
        <f>IF(AND(H427="",J427=""),"",ForecastTotal+IF(L427="Approved",0,IF(J427="",0,J427)))</f>
        <v/>
      </c>
      <c r="O427" s="75">
        <f>IF(N427="","",ContAmt-MAX(0,N427-WorkBudget))</f>
        <v/>
      </c>
      <c r="P427" s="120">
        <f>IF(OR(N427="",ForecastEnd=""),"",ForecastEnd+IF(L427="Approved",0,IF(K427="",0,K427)))</f>
        <v/>
      </c>
      <c r="Q427" s="121">
        <f>IF(OR(N427="",WorkBudget=0),"",N427/WorkBudget-1)</f>
        <v/>
      </c>
      <c r="R427" s="79">
        <f>IF(N427="","",IF(N427&lt;=WorkBudget,0,IF(N427&lt;=TotalBudget,1,2)))</f>
        <v/>
      </c>
      <c r="S427" s="112">
        <f>IF(AND(OR(H427&lt;&gt;"",J427&lt;&gt;""),OR(L427="Pending",L427=""),C427&lt;&gt;""),C427+3,"")</f>
        <v/>
      </c>
      <c r="T427" s="79">
        <f>IF(S427="","",IF(AsOf&gt;S427,1,2))</f>
        <v/>
      </c>
      <c r="U427" s="79">
        <f>IF(T427="","","Decide on change order "&amp;B427&amp;": "&amp;H427&amp;" (+"&amp;CurSym&amp;" "&amp;FIXED(IF(J427="",0,J427),0)&amp;")")</f>
        <v/>
      </c>
    </row>
    <row r="428" ht="24" customHeight="1">
      <c r="B428" s="74" t="n"/>
      <c r="C428" s="109" t="n"/>
      <c r="D428" s="72" t="n"/>
      <c r="E428" s="72" t="n"/>
      <c r="F428" s="72" t="n"/>
      <c r="G428" s="72" t="n"/>
      <c r="H428" s="113" t="n"/>
      <c r="I428" s="72" t="n"/>
      <c r="J428" s="73" t="n"/>
      <c r="K428" s="89" t="n"/>
      <c r="L428" s="74" t="n"/>
      <c r="M428" s="109" t="n"/>
      <c r="N428" s="68">
        <f>IF(AND(H428="",J428=""),"",ForecastTotal+IF(L428="Approved",0,IF(J428="",0,J428)))</f>
        <v/>
      </c>
      <c r="O428" s="75">
        <f>IF(N428="","",ContAmt-MAX(0,N428-WorkBudget))</f>
        <v/>
      </c>
      <c r="P428" s="120">
        <f>IF(OR(N428="",ForecastEnd=""),"",ForecastEnd+IF(L428="Approved",0,IF(K428="",0,K428)))</f>
        <v/>
      </c>
      <c r="Q428" s="121">
        <f>IF(OR(N428="",WorkBudget=0),"",N428/WorkBudget-1)</f>
        <v/>
      </c>
      <c r="R428" s="79">
        <f>IF(N428="","",IF(N428&lt;=WorkBudget,0,IF(N428&lt;=TotalBudget,1,2)))</f>
        <v/>
      </c>
      <c r="S428" s="112">
        <f>IF(AND(OR(H428&lt;&gt;"",J428&lt;&gt;""),OR(L428="Pending",L428=""),C428&lt;&gt;""),C428+3,"")</f>
        <v/>
      </c>
      <c r="T428" s="79">
        <f>IF(S428="","",IF(AsOf&gt;S428,1,2))</f>
        <v/>
      </c>
      <c r="U428" s="79">
        <f>IF(T428="","","Decide on change order "&amp;B428&amp;": "&amp;H428&amp;" (+"&amp;CurSym&amp;" "&amp;FIXED(IF(J428="",0,J428),0)&amp;")")</f>
        <v/>
      </c>
    </row>
    <row r="429" ht="24" customHeight="1">
      <c r="B429" s="74" t="n"/>
      <c r="C429" s="109" t="n"/>
      <c r="D429" s="72" t="n"/>
      <c r="E429" s="72" t="n"/>
      <c r="F429" s="72" t="n"/>
      <c r="G429" s="72" t="n"/>
      <c r="H429" s="113" t="n"/>
      <c r="I429" s="72" t="n"/>
      <c r="J429" s="73" t="n"/>
      <c r="K429" s="89" t="n"/>
      <c r="L429" s="74" t="n"/>
      <c r="M429" s="109" t="n"/>
      <c r="N429" s="68">
        <f>IF(AND(H429="",J429=""),"",ForecastTotal+IF(L429="Approved",0,IF(J429="",0,J429)))</f>
        <v/>
      </c>
      <c r="O429" s="75">
        <f>IF(N429="","",ContAmt-MAX(0,N429-WorkBudget))</f>
        <v/>
      </c>
      <c r="P429" s="120">
        <f>IF(OR(N429="",ForecastEnd=""),"",ForecastEnd+IF(L429="Approved",0,IF(K429="",0,K429)))</f>
        <v/>
      </c>
      <c r="Q429" s="121">
        <f>IF(OR(N429="",WorkBudget=0),"",N429/WorkBudget-1)</f>
        <v/>
      </c>
      <c r="R429" s="79">
        <f>IF(N429="","",IF(N429&lt;=WorkBudget,0,IF(N429&lt;=TotalBudget,1,2)))</f>
        <v/>
      </c>
      <c r="S429" s="112">
        <f>IF(AND(OR(H429&lt;&gt;"",J429&lt;&gt;""),OR(L429="Pending",L429=""),C429&lt;&gt;""),C429+3,"")</f>
        <v/>
      </c>
      <c r="T429" s="79">
        <f>IF(S429="","",IF(AsOf&gt;S429,1,2))</f>
        <v/>
      </c>
      <c r="U429" s="79">
        <f>IF(T429="","","Decide on change order "&amp;B429&amp;": "&amp;H429&amp;" (+"&amp;CurSym&amp;" "&amp;FIXED(IF(J429="",0,J429),0)&amp;")")</f>
        <v/>
      </c>
    </row>
    <row r="430" ht="24" customHeight="1">
      <c r="B430" s="74" t="n"/>
      <c r="C430" s="109" t="n"/>
      <c r="D430" s="72" t="n"/>
      <c r="E430" s="72" t="n"/>
      <c r="F430" s="72" t="n"/>
      <c r="G430" s="72" t="n"/>
      <c r="H430" s="113" t="n"/>
      <c r="I430" s="72" t="n"/>
      <c r="J430" s="73" t="n"/>
      <c r="K430" s="89" t="n"/>
      <c r="L430" s="74" t="n"/>
      <c r="M430" s="109" t="n"/>
      <c r="N430" s="68">
        <f>IF(AND(H430="",J430=""),"",ForecastTotal+IF(L430="Approved",0,IF(J430="",0,J430)))</f>
        <v/>
      </c>
      <c r="O430" s="75">
        <f>IF(N430="","",ContAmt-MAX(0,N430-WorkBudget))</f>
        <v/>
      </c>
      <c r="P430" s="120">
        <f>IF(OR(N430="",ForecastEnd=""),"",ForecastEnd+IF(L430="Approved",0,IF(K430="",0,K430)))</f>
        <v/>
      </c>
      <c r="Q430" s="121">
        <f>IF(OR(N430="",WorkBudget=0),"",N430/WorkBudget-1)</f>
        <v/>
      </c>
      <c r="R430" s="79">
        <f>IF(N430="","",IF(N430&lt;=WorkBudget,0,IF(N430&lt;=TotalBudget,1,2)))</f>
        <v/>
      </c>
      <c r="S430" s="112">
        <f>IF(AND(OR(H430&lt;&gt;"",J430&lt;&gt;""),OR(L430="Pending",L430=""),C430&lt;&gt;""),C430+3,"")</f>
        <v/>
      </c>
      <c r="T430" s="79">
        <f>IF(S430="","",IF(AsOf&gt;S430,1,2))</f>
        <v/>
      </c>
      <c r="U430" s="79">
        <f>IF(T430="","","Decide on change order "&amp;B430&amp;": "&amp;H430&amp;" (+"&amp;CurSym&amp;" "&amp;FIXED(IF(J430="",0,J430),0)&amp;")")</f>
        <v/>
      </c>
    </row>
    <row r="431" ht="24" customHeight="1">
      <c r="B431" s="74" t="n"/>
      <c r="C431" s="109" t="n"/>
      <c r="D431" s="72" t="n"/>
      <c r="E431" s="72" t="n"/>
      <c r="F431" s="72" t="n"/>
      <c r="G431" s="72" t="n"/>
      <c r="H431" s="113" t="n"/>
      <c r="I431" s="72" t="n"/>
      <c r="J431" s="73" t="n"/>
      <c r="K431" s="89" t="n"/>
      <c r="L431" s="74" t="n"/>
      <c r="M431" s="109" t="n"/>
      <c r="N431" s="68">
        <f>IF(AND(H431="",J431=""),"",ForecastTotal+IF(L431="Approved",0,IF(J431="",0,J431)))</f>
        <v/>
      </c>
      <c r="O431" s="75">
        <f>IF(N431="","",ContAmt-MAX(0,N431-WorkBudget))</f>
        <v/>
      </c>
      <c r="P431" s="120">
        <f>IF(OR(N431="",ForecastEnd=""),"",ForecastEnd+IF(L431="Approved",0,IF(K431="",0,K431)))</f>
        <v/>
      </c>
      <c r="Q431" s="121">
        <f>IF(OR(N431="",WorkBudget=0),"",N431/WorkBudget-1)</f>
        <v/>
      </c>
      <c r="R431" s="79">
        <f>IF(N431="","",IF(N431&lt;=WorkBudget,0,IF(N431&lt;=TotalBudget,1,2)))</f>
        <v/>
      </c>
      <c r="S431" s="112">
        <f>IF(AND(OR(H431&lt;&gt;"",J431&lt;&gt;""),OR(L431="Pending",L431=""),C431&lt;&gt;""),C431+3,"")</f>
        <v/>
      </c>
      <c r="T431" s="79">
        <f>IF(S431="","",IF(AsOf&gt;S431,1,2))</f>
        <v/>
      </c>
      <c r="U431" s="79">
        <f>IF(T431="","","Decide on change order "&amp;B431&amp;": "&amp;H431&amp;" (+"&amp;CurSym&amp;" "&amp;FIXED(IF(J431="",0,J431),0)&amp;")")</f>
        <v/>
      </c>
    </row>
    <row r="432" ht="24" customHeight="1">
      <c r="B432" s="74" t="n"/>
      <c r="C432" s="109" t="n"/>
      <c r="D432" s="72" t="n"/>
      <c r="E432" s="72" t="n"/>
      <c r="F432" s="72" t="n"/>
      <c r="G432" s="72" t="n"/>
      <c r="H432" s="113" t="n"/>
      <c r="I432" s="72" t="n"/>
      <c r="J432" s="73" t="n"/>
      <c r="K432" s="89" t="n"/>
      <c r="L432" s="74" t="n"/>
      <c r="M432" s="109" t="n"/>
      <c r="N432" s="68">
        <f>IF(AND(H432="",J432=""),"",ForecastTotal+IF(L432="Approved",0,IF(J432="",0,J432)))</f>
        <v/>
      </c>
      <c r="O432" s="75">
        <f>IF(N432="","",ContAmt-MAX(0,N432-WorkBudget))</f>
        <v/>
      </c>
      <c r="P432" s="120">
        <f>IF(OR(N432="",ForecastEnd=""),"",ForecastEnd+IF(L432="Approved",0,IF(K432="",0,K432)))</f>
        <v/>
      </c>
      <c r="Q432" s="121">
        <f>IF(OR(N432="",WorkBudget=0),"",N432/WorkBudget-1)</f>
        <v/>
      </c>
      <c r="R432" s="79">
        <f>IF(N432="","",IF(N432&lt;=WorkBudget,0,IF(N432&lt;=TotalBudget,1,2)))</f>
        <v/>
      </c>
      <c r="S432" s="112">
        <f>IF(AND(OR(H432&lt;&gt;"",J432&lt;&gt;""),OR(L432="Pending",L432=""),C432&lt;&gt;""),C432+3,"")</f>
        <v/>
      </c>
      <c r="T432" s="79">
        <f>IF(S432="","",IF(AsOf&gt;S432,1,2))</f>
        <v/>
      </c>
      <c r="U432" s="79">
        <f>IF(T432="","","Decide on change order "&amp;B432&amp;": "&amp;H432&amp;" (+"&amp;CurSym&amp;" "&amp;FIXED(IF(J432="",0,J432),0)&amp;")")</f>
        <v/>
      </c>
    </row>
    <row r="433" ht="24" customHeight="1">
      <c r="B433" s="74" t="n"/>
      <c r="C433" s="109" t="n"/>
      <c r="D433" s="72" t="n"/>
      <c r="E433" s="72" t="n"/>
      <c r="F433" s="72" t="n"/>
      <c r="G433" s="72" t="n"/>
      <c r="H433" s="113" t="n"/>
      <c r="I433" s="72" t="n"/>
      <c r="J433" s="73" t="n"/>
      <c r="K433" s="89" t="n"/>
      <c r="L433" s="74" t="n"/>
      <c r="M433" s="109" t="n"/>
      <c r="N433" s="68">
        <f>IF(AND(H433="",J433=""),"",ForecastTotal+IF(L433="Approved",0,IF(J433="",0,J433)))</f>
        <v/>
      </c>
      <c r="O433" s="75">
        <f>IF(N433="","",ContAmt-MAX(0,N433-WorkBudget))</f>
        <v/>
      </c>
      <c r="P433" s="120">
        <f>IF(OR(N433="",ForecastEnd=""),"",ForecastEnd+IF(L433="Approved",0,IF(K433="",0,K433)))</f>
        <v/>
      </c>
      <c r="Q433" s="121">
        <f>IF(OR(N433="",WorkBudget=0),"",N433/WorkBudget-1)</f>
        <v/>
      </c>
      <c r="R433" s="79">
        <f>IF(N433="","",IF(N433&lt;=WorkBudget,0,IF(N433&lt;=TotalBudget,1,2)))</f>
        <v/>
      </c>
      <c r="S433" s="112">
        <f>IF(AND(OR(H433&lt;&gt;"",J433&lt;&gt;""),OR(L433="Pending",L433=""),C433&lt;&gt;""),C433+3,"")</f>
        <v/>
      </c>
      <c r="T433" s="79">
        <f>IF(S433="","",IF(AsOf&gt;S433,1,2))</f>
        <v/>
      </c>
      <c r="U433" s="79">
        <f>IF(T433="","","Decide on change order "&amp;B433&amp;": "&amp;H433&amp;" (+"&amp;CurSym&amp;" "&amp;FIXED(IF(J433="",0,J433),0)&amp;")")</f>
        <v/>
      </c>
    </row>
    <row r="434" ht="24" customHeight="1">
      <c r="B434" s="74" t="n"/>
      <c r="C434" s="109" t="n"/>
      <c r="D434" s="72" t="n"/>
      <c r="E434" s="72" t="n"/>
      <c r="F434" s="72" t="n"/>
      <c r="G434" s="72" t="n"/>
      <c r="H434" s="113" t="n"/>
      <c r="I434" s="72" t="n"/>
      <c r="J434" s="73" t="n"/>
      <c r="K434" s="89" t="n"/>
      <c r="L434" s="74" t="n"/>
      <c r="M434" s="109" t="n"/>
      <c r="N434" s="68">
        <f>IF(AND(H434="",J434=""),"",ForecastTotal+IF(L434="Approved",0,IF(J434="",0,J434)))</f>
        <v/>
      </c>
      <c r="O434" s="75">
        <f>IF(N434="","",ContAmt-MAX(0,N434-WorkBudget))</f>
        <v/>
      </c>
      <c r="P434" s="120">
        <f>IF(OR(N434="",ForecastEnd=""),"",ForecastEnd+IF(L434="Approved",0,IF(K434="",0,K434)))</f>
        <v/>
      </c>
      <c r="Q434" s="121">
        <f>IF(OR(N434="",WorkBudget=0),"",N434/WorkBudget-1)</f>
        <v/>
      </c>
      <c r="R434" s="79">
        <f>IF(N434="","",IF(N434&lt;=WorkBudget,0,IF(N434&lt;=TotalBudget,1,2)))</f>
        <v/>
      </c>
      <c r="S434" s="112">
        <f>IF(AND(OR(H434&lt;&gt;"",J434&lt;&gt;""),OR(L434="Pending",L434=""),C434&lt;&gt;""),C434+3,"")</f>
        <v/>
      </c>
      <c r="T434" s="79">
        <f>IF(S434="","",IF(AsOf&gt;S434,1,2))</f>
        <v/>
      </c>
      <c r="U434" s="79">
        <f>IF(T434="","","Decide on change order "&amp;B434&amp;": "&amp;H434&amp;" (+"&amp;CurSym&amp;" "&amp;FIXED(IF(J434="",0,J434),0)&amp;")")</f>
        <v/>
      </c>
    </row>
    <row r="435" ht="24" customHeight="1">
      <c r="B435" s="74" t="n"/>
      <c r="C435" s="109" t="n"/>
      <c r="D435" s="72" t="n"/>
      <c r="E435" s="72" t="n"/>
      <c r="F435" s="72" t="n"/>
      <c r="G435" s="72" t="n"/>
      <c r="H435" s="113" t="n"/>
      <c r="I435" s="72" t="n"/>
      <c r="J435" s="73" t="n"/>
      <c r="K435" s="89" t="n"/>
      <c r="L435" s="74" t="n"/>
      <c r="M435" s="109" t="n"/>
      <c r="N435" s="68">
        <f>IF(AND(H435="",J435=""),"",ForecastTotal+IF(L435="Approved",0,IF(J435="",0,J435)))</f>
        <v/>
      </c>
      <c r="O435" s="75">
        <f>IF(N435="","",ContAmt-MAX(0,N435-WorkBudget))</f>
        <v/>
      </c>
      <c r="P435" s="120">
        <f>IF(OR(N435="",ForecastEnd=""),"",ForecastEnd+IF(L435="Approved",0,IF(K435="",0,K435)))</f>
        <v/>
      </c>
      <c r="Q435" s="121">
        <f>IF(OR(N435="",WorkBudget=0),"",N435/WorkBudget-1)</f>
        <v/>
      </c>
      <c r="R435" s="79">
        <f>IF(N435="","",IF(N435&lt;=WorkBudget,0,IF(N435&lt;=TotalBudget,1,2)))</f>
        <v/>
      </c>
      <c r="S435" s="112">
        <f>IF(AND(OR(H435&lt;&gt;"",J435&lt;&gt;""),OR(L435="Pending",L435=""),C435&lt;&gt;""),C435+3,"")</f>
        <v/>
      </c>
      <c r="T435" s="79">
        <f>IF(S435="","",IF(AsOf&gt;S435,1,2))</f>
        <v/>
      </c>
      <c r="U435" s="79">
        <f>IF(T435="","","Decide on change order "&amp;B435&amp;": "&amp;H435&amp;" (+"&amp;CurSym&amp;" "&amp;FIXED(IF(J435="",0,J435),0)&amp;")")</f>
        <v/>
      </c>
    </row>
    <row r="436" ht="24" customHeight="1">
      <c r="B436" s="74" t="n"/>
      <c r="C436" s="109" t="n"/>
      <c r="D436" s="72" t="n"/>
      <c r="E436" s="72" t="n"/>
      <c r="F436" s="72" t="n"/>
      <c r="G436" s="72" t="n"/>
      <c r="H436" s="113" t="n"/>
      <c r="I436" s="72" t="n"/>
      <c r="J436" s="73" t="n"/>
      <c r="K436" s="89" t="n"/>
      <c r="L436" s="74" t="n"/>
      <c r="M436" s="109" t="n"/>
      <c r="N436" s="68">
        <f>IF(AND(H436="",J436=""),"",ForecastTotal+IF(L436="Approved",0,IF(J436="",0,J436)))</f>
        <v/>
      </c>
      <c r="O436" s="75">
        <f>IF(N436="","",ContAmt-MAX(0,N436-WorkBudget))</f>
        <v/>
      </c>
      <c r="P436" s="120">
        <f>IF(OR(N436="",ForecastEnd=""),"",ForecastEnd+IF(L436="Approved",0,IF(K436="",0,K436)))</f>
        <v/>
      </c>
      <c r="Q436" s="121">
        <f>IF(OR(N436="",WorkBudget=0),"",N436/WorkBudget-1)</f>
        <v/>
      </c>
      <c r="R436" s="79">
        <f>IF(N436="","",IF(N436&lt;=WorkBudget,0,IF(N436&lt;=TotalBudget,1,2)))</f>
        <v/>
      </c>
      <c r="S436" s="112">
        <f>IF(AND(OR(H436&lt;&gt;"",J436&lt;&gt;""),OR(L436="Pending",L436=""),C436&lt;&gt;""),C436+3,"")</f>
        <v/>
      </c>
      <c r="T436" s="79">
        <f>IF(S436="","",IF(AsOf&gt;S436,1,2))</f>
        <v/>
      </c>
      <c r="U436" s="79">
        <f>IF(T436="","","Decide on change order "&amp;B436&amp;": "&amp;H436&amp;" (+"&amp;CurSym&amp;" "&amp;FIXED(IF(J436="",0,J436),0)&amp;")")</f>
        <v/>
      </c>
    </row>
    <row r="437" ht="24" customHeight="1">
      <c r="B437" s="74" t="n"/>
      <c r="C437" s="109" t="n"/>
      <c r="D437" s="72" t="n"/>
      <c r="E437" s="72" t="n"/>
      <c r="F437" s="72" t="n"/>
      <c r="G437" s="72" t="n"/>
      <c r="H437" s="113" t="n"/>
      <c r="I437" s="72" t="n"/>
      <c r="J437" s="73" t="n"/>
      <c r="K437" s="89" t="n"/>
      <c r="L437" s="74" t="n"/>
      <c r="M437" s="109" t="n"/>
      <c r="N437" s="68">
        <f>IF(AND(H437="",J437=""),"",ForecastTotal+IF(L437="Approved",0,IF(J437="",0,J437)))</f>
        <v/>
      </c>
      <c r="O437" s="75">
        <f>IF(N437="","",ContAmt-MAX(0,N437-WorkBudget))</f>
        <v/>
      </c>
      <c r="P437" s="120">
        <f>IF(OR(N437="",ForecastEnd=""),"",ForecastEnd+IF(L437="Approved",0,IF(K437="",0,K437)))</f>
        <v/>
      </c>
      <c r="Q437" s="121">
        <f>IF(OR(N437="",WorkBudget=0),"",N437/WorkBudget-1)</f>
        <v/>
      </c>
      <c r="R437" s="79">
        <f>IF(N437="","",IF(N437&lt;=WorkBudget,0,IF(N437&lt;=TotalBudget,1,2)))</f>
        <v/>
      </c>
      <c r="S437" s="112">
        <f>IF(AND(OR(H437&lt;&gt;"",J437&lt;&gt;""),OR(L437="Pending",L437=""),C437&lt;&gt;""),C437+3,"")</f>
        <v/>
      </c>
      <c r="T437" s="79">
        <f>IF(S437="","",IF(AsOf&gt;S437,1,2))</f>
        <v/>
      </c>
      <c r="U437" s="79">
        <f>IF(T437="","","Decide on change order "&amp;B437&amp;": "&amp;H437&amp;" (+"&amp;CurSym&amp;" "&amp;FIXED(IF(J437="",0,J437),0)&amp;")")</f>
        <v/>
      </c>
    </row>
    <row r="438" ht="24" customHeight="1">
      <c r="B438" s="74" t="n"/>
      <c r="C438" s="109" t="n"/>
      <c r="D438" s="72" t="n"/>
      <c r="E438" s="72" t="n"/>
      <c r="F438" s="72" t="n"/>
      <c r="G438" s="72" t="n"/>
      <c r="H438" s="113" t="n"/>
      <c r="I438" s="72" t="n"/>
      <c r="J438" s="73" t="n"/>
      <c r="K438" s="89" t="n"/>
      <c r="L438" s="74" t="n"/>
      <c r="M438" s="109" t="n"/>
      <c r="N438" s="68">
        <f>IF(AND(H438="",J438=""),"",ForecastTotal+IF(L438="Approved",0,IF(J438="",0,J438)))</f>
        <v/>
      </c>
      <c r="O438" s="75">
        <f>IF(N438="","",ContAmt-MAX(0,N438-WorkBudget))</f>
        <v/>
      </c>
      <c r="P438" s="120">
        <f>IF(OR(N438="",ForecastEnd=""),"",ForecastEnd+IF(L438="Approved",0,IF(K438="",0,K438)))</f>
        <v/>
      </c>
      <c r="Q438" s="121">
        <f>IF(OR(N438="",WorkBudget=0),"",N438/WorkBudget-1)</f>
        <v/>
      </c>
      <c r="R438" s="79">
        <f>IF(N438="","",IF(N438&lt;=WorkBudget,0,IF(N438&lt;=TotalBudget,1,2)))</f>
        <v/>
      </c>
      <c r="S438" s="112">
        <f>IF(AND(OR(H438&lt;&gt;"",J438&lt;&gt;""),OR(L438="Pending",L438=""),C438&lt;&gt;""),C438+3,"")</f>
        <v/>
      </c>
      <c r="T438" s="79">
        <f>IF(S438="","",IF(AsOf&gt;S438,1,2))</f>
        <v/>
      </c>
      <c r="U438" s="79">
        <f>IF(T438="","","Decide on change order "&amp;B438&amp;": "&amp;H438&amp;" (+"&amp;CurSym&amp;" "&amp;FIXED(IF(J438="",0,J438),0)&amp;")")</f>
        <v/>
      </c>
    </row>
    <row r="439" ht="24" customHeight="1">
      <c r="B439" s="74" t="n"/>
      <c r="C439" s="109" t="n"/>
      <c r="D439" s="72" t="n"/>
      <c r="E439" s="72" t="n"/>
      <c r="F439" s="72" t="n"/>
      <c r="G439" s="72" t="n"/>
      <c r="H439" s="113" t="n"/>
      <c r="I439" s="72" t="n"/>
      <c r="J439" s="73" t="n"/>
      <c r="K439" s="89" t="n"/>
      <c r="L439" s="74" t="n"/>
      <c r="M439" s="109" t="n"/>
      <c r="N439" s="68">
        <f>IF(AND(H439="",J439=""),"",ForecastTotal+IF(L439="Approved",0,IF(J439="",0,J439)))</f>
        <v/>
      </c>
      <c r="O439" s="75">
        <f>IF(N439="","",ContAmt-MAX(0,N439-WorkBudget))</f>
        <v/>
      </c>
      <c r="P439" s="120">
        <f>IF(OR(N439="",ForecastEnd=""),"",ForecastEnd+IF(L439="Approved",0,IF(K439="",0,K439)))</f>
        <v/>
      </c>
      <c r="Q439" s="121">
        <f>IF(OR(N439="",WorkBudget=0),"",N439/WorkBudget-1)</f>
        <v/>
      </c>
      <c r="R439" s="79">
        <f>IF(N439="","",IF(N439&lt;=WorkBudget,0,IF(N439&lt;=TotalBudget,1,2)))</f>
        <v/>
      </c>
      <c r="S439" s="112">
        <f>IF(AND(OR(H439&lt;&gt;"",J439&lt;&gt;""),OR(L439="Pending",L439=""),C439&lt;&gt;""),C439+3,"")</f>
        <v/>
      </c>
      <c r="T439" s="79">
        <f>IF(S439="","",IF(AsOf&gt;S439,1,2))</f>
        <v/>
      </c>
      <c r="U439" s="79">
        <f>IF(T439="","","Decide on change order "&amp;B439&amp;": "&amp;H439&amp;" (+"&amp;CurSym&amp;" "&amp;FIXED(IF(J439="",0,J439),0)&amp;")")</f>
        <v/>
      </c>
    </row>
    <row r="440" ht="24" customHeight="1">
      <c r="B440" s="74" t="n"/>
      <c r="C440" s="109" t="n"/>
      <c r="D440" s="72" t="n"/>
      <c r="E440" s="72" t="n"/>
      <c r="F440" s="72" t="n"/>
      <c r="G440" s="72" t="n"/>
      <c r="H440" s="113" t="n"/>
      <c r="I440" s="72" t="n"/>
      <c r="J440" s="73" t="n"/>
      <c r="K440" s="89" t="n"/>
      <c r="L440" s="74" t="n"/>
      <c r="M440" s="109" t="n"/>
      <c r="N440" s="68">
        <f>IF(AND(H440="",J440=""),"",ForecastTotal+IF(L440="Approved",0,IF(J440="",0,J440)))</f>
        <v/>
      </c>
      <c r="O440" s="75">
        <f>IF(N440="","",ContAmt-MAX(0,N440-WorkBudget))</f>
        <v/>
      </c>
      <c r="P440" s="120">
        <f>IF(OR(N440="",ForecastEnd=""),"",ForecastEnd+IF(L440="Approved",0,IF(K440="",0,K440)))</f>
        <v/>
      </c>
      <c r="Q440" s="121">
        <f>IF(OR(N440="",WorkBudget=0),"",N440/WorkBudget-1)</f>
        <v/>
      </c>
      <c r="R440" s="79">
        <f>IF(N440="","",IF(N440&lt;=WorkBudget,0,IF(N440&lt;=TotalBudget,1,2)))</f>
        <v/>
      </c>
      <c r="S440" s="112">
        <f>IF(AND(OR(H440&lt;&gt;"",J440&lt;&gt;""),OR(L440="Pending",L440=""),C440&lt;&gt;""),C440+3,"")</f>
        <v/>
      </c>
      <c r="T440" s="79">
        <f>IF(S440="","",IF(AsOf&gt;S440,1,2))</f>
        <v/>
      </c>
      <c r="U440" s="79">
        <f>IF(T440="","","Decide on change order "&amp;B440&amp;": "&amp;H440&amp;" (+"&amp;CurSym&amp;" "&amp;FIXED(IF(J440="",0,J440),0)&amp;")")</f>
        <v/>
      </c>
    </row>
    <row r="441" ht="24" customHeight="1">
      <c r="B441" s="74" t="n"/>
      <c r="C441" s="109" t="n"/>
      <c r="D441" s="72" t="n"/>
      <c r="E441" s="72" t="n"/>
      <c r="F441" s="72" t="n"/>
      <c r="G441" s="72" t="n"/>
      <c r="H441" s="113" t="n"/>
      <c r="I441" s="72" t="n"/>
      <c r="J441" s="73" t="n"/>
      <c r="K441" s="89" t="n"/>
      <c r="L441" s="74" t="n"/>
      <c r="M441" s="109" t="n"/>
      <c r="N441" s="68">
        <f>IF(AND(H441="",J441=""),"",ForecastTotal+IF(L441="Approved",0,IF(J441="",0,J441)))</f>
        <v/>
      </c>
      <c r="O441" s="75">
        <f>IF(N441="","",ContAmt-MAX(0,N441-WorkBudget))</f>
        <v/>
      </c>
      <c r="P441" s="120">
        <f>IF(OR(N441="",ForecastEnd=""),"",ForecastEnd+IF(L441="Approved",0,IF(K441="",0,K441)))</f>
        <v/>
      </c>
      <c r="Q441" s="121">
        <f>IF(OR(N441="",WorkBudget=0),"",N441/WorkBudget-1)</f>
        <v/>
      </c>
      <c r="R441" s="79">
        <f>IF(N441="","",IF(N441&lt;=WorkBudget,0,IF(N441&lt;=TotalBudget,1,2)))</f>
        <v/>
      </c>
      <c r="S441" s="112">
        <f>IF(AND(OR(H441&lt;&gt;"",J441&lt;&gt;""),OR(L441="Pending",L441=""),C441&lt;&gt;""),C441+3,"")</f>
        <v/>
      </c>
      <c r="T441" s="79">
        <f>IF(S441="","",IF(AsOf&gt;S441,1,2))</f>
        <v/>
      </c>
      <c r="U441" s="79">
        <f>IF(T441="","","Decide on change order "&amp;B441&amp;": "&amp;H441&amp;" (+"&amp;CurSym&amp;" "&amp;FIXED(IF(J441="",0,J441),0)&amp;")")</f>
        <v/>
      </c>
    </row>
    <row r="442" ht="24" customHeight="1">
      <c r="B442" s="74" t="n"/>
      <c r="C442" s="109" t="n"/>
      <c r="D442" s="72" t="n"/>
      <c r="E442" s="72" t="n"/>
      <c r="F442" s="72" t="n"/>
      <c r="G442" s="72" t="n"/>
      <c r="H442" s="113" t="n"/>
      <c r="I442" s="72" t="n"/>
      <c r="J442" s="73" t="n"/>
      <c r="K442" s="89" t="n"/>
      <c r="L442" s="74" t="n"/>
      <c r="M442" s="109" t="n"/>
      <c r="N442" s="68">
        <f>IF(AND(H442="",J442=""),"",ForecastTotal+IF(L442="Approved",0,IF(J442="",0,J442)))</f>
        <v/>
      </c>
      <c r="O442" s="75">
        <f>IF(N442="","",ContAmt-MAX(0,N442-WorkBudget))</f>
        <v/>
      </c>
      <c r="P442" s="120">
        <f>IF(OR(N442="",ForecastEnd=""),"",ForecastEnd+IF(L442="Approved",0,IF(K442="",0,K442)))</f>
        <v/>
      </c>
      <c r="Q442" s="121">
        <f>IF(OR(N442="",WorkBudget=0),"",N442/WorkBudget-1)</f>
        <v/>
      </c>
      <c r="R442" s="79">
        <f>IF(N442="","",IF(N442&lt;=WorkBudget,0,IF(N442&lt;=TotalBudget,1,2)))</f>
        <v/>
      </c>
      <c r="S442" s="112">
        <f>IF(AND(OR(H442&lt;&gt;"",J442&lt;&gt;""),OR(L442="Pending",L442=""),C442&lt;&gt;""),C442+3,"")</f>
        <v/>
      </c>
      <c r="T442" s="79">
        <f>IF(S442="","",IF(AsOf&gt;S442,1,2))</f>
        <v/>
      </c>
      <c r="U442" s="79">
        <f>IF(T442="","","Decide on change order "&amp;B442&amp;": "&amp;H442&amp;" (+"&amp;CurSym&amp;" "&amp;FIXED(IF(J442="",0,J442),0)&amp;")")</f>
        <v/>
      </c>
    </row>
    <row r="443" ht="24" customHeight="1">
      <c r="B443" s="74" t="n"/>
      <c r="C443" s="109" t="n"/>
      <c r="D443" s="72" t="n"/>
      <c r="E443" s="72" t="n"/>
      <c r="F443" s="72" t="n"/>
      <c r="G443" s="72" t="n"/>
      <c r="H443" s="113" t="n"/>
      <c r="I443" s="72" t="n"/>
      <c r="J443" s="73" t="n"/>
      <c r="K443" s="89" t="n"/>
      <c r="L443" s="74" t="n"/>
      <c r="M443" s="109" t="n"/>
      <c r="N443" s="68">
        <f>IF(AND(H443="",J443=""),"",ForecastTotal+IF(L443="Approved",0,IF(J443="",0,J443)))</f>
        <v/>
      </c>
      <c r="O443" s="75">
        <f>IF(N443="","",ContAmt-MAX(0,N443-WorkBudget))</f>
        <v/>
      </c>
      <c r="P443" s="120">
        <f>IF(OR(N443="",ForecastEnd=""),"",ForecastEnd+IF(L443="Approved",0,IF(K443="",0,K443)))</f>
        <v/>
      </c>
      <c r="Q443" s="121">
        <f>IF(OR(N443="",WorkBudget=0),"",N443/WorkBudget-1)</f>
        <v/>
      </c>
      <c r="R443" s="79">
        <f>IF(N443="","",IF(N443&lt;=WorkBudget,0,IF(N443&lt;=TotalBudget,1,2)))</f>
        <v/>
      </c>
      <c r="S443" s="112">
        <f>IF(AND(OR(H443&lt;&gt;"",J443&lt;&gt;""),OR(L443="Pending",L443=""),C443&lt;&gt;""),C443+3,"")</f>
        <v/>
      </c>
      <c r="T443" s="79">
        <f>IF(S443="","",IF(AsOf&gt;S443,1,2))</f>
        <v/>
      </c>
      <c r="U443" s="79">
        <f>IF(T443="","","Decide on change order "&amp;B443&amp;": "&amp;H443&amp;" (+"&amp;CurSym&amp;" "&amp;FIXED(IF(J443="",0,J443),0)&amp;")")</f>
        <v/>
      </c>
    </row>
    <row r="444" ht="24" customHeight="1">
      <c r="B444" s="74" t="n"/>
      <c r="C444" s="109" t="n"/>
      <c r="D444" s="72" t="n"/>
      <c r="E444" s="72" t="n"/>
      <c r="F444" s="72" t="n"/>
      <c r="G444" s="72" t="n"/>
      <c r="H444" s="113" t="n"/>
      <c r="I444" s="72" t="n"/>
      <c r="J444" s="73" t="n"/>
      <c r="K444" s="89" t="n"/>
      <c r="L444" s="74" t="n"/>
      <c r="M444" s="109" t="n"/>
      <c r="N444" s="68">
        <f>IF(AND(H444="",J444=""),"",ForecastTotal+IF(L444="Approved",0,IF(J444="",0,J444)))</f>
        <v/>
      </c>
      <c r="O444" s="75">
        <f>IF(N444="","",ContAmt-MAX(0,N444-WorkBudget))</f>
        <v/>
      </c>
      <c r="P444" s="120">
        <f>IF(OR(N444="",ForecastEnd=""),"",ForecastEnd+IF(L444="Approved",0,IF(K444="",0,K444)))</f>
        <v/>
      </c>
      <c r="Q444" s="121">
        <f>IF(OR(N444="",WorkBudget=0),"",N444/WorkBudget-1)</f>
        <v/>
      </c>
      <c r="R444" s="79">
        <f>IF(N444="","",IF(N444&lt;=WorkBudget,0,IF(N444&lt;=TotalBudget,1,2)))</f>
        <v/>
      </c>
      <c r="S444" s="112">
        <f>IF(AND(OR(H444&lt;&gt;"",J444&lt;&gt;""),OR(L444="Pending",L444=""),C444&lt;&gt;""),C444+3,"")</f>
        <v/>
      </c>
      <c r="T444" s="79">
        <f>IF(S444="","",IF(AsOf&gt;S444,1,2))</f>
        <v/>
      </c>
      <c r="U444" s="79">
        <f>IF(T444="","","Decide on change order "&amp;B444&amp;": "&amp;H444&amp;" (+"&amp;CurSym&amp;" "&amp;FIXED(IF(J444="",0,J444),0)&amp;")")</f>
        <v/>
      </c>
    </row>
    <row r="445" ht="24" customHeight="1">
      <c r="B445" s="74" t="n"/>
      <c r="C445" s="109" t="n"/>
      <c r="D445" s="72" t="n"/>
      <c r="E445" s="72" t="n"/>
      <c r="F445" s="72" t="n"/>
      <c r="G445" s="72" t="n"/>
      <c r="H445" s="113" t="n"/>
      <c r="I445" s="72" t="n"/>
      <c r="J445" s="73" t="n"/>
      <c r="K445" s="89" t="n"/>
      <c r="L445" s="74" t="n"/>
      <c r="M445" s="109" t="n"/>
      <c r="N445" s="68">
        <f>IF(AND(H445="",J445=""),"",ForecastTotal+IF(L445="Approved",0,IF(J445="",0,J445)))</f>
        <v/>
      </c>
      <c r="O445" s="75">
        <f>IF(N445="","",ContAmt-MAX(0,N445-WorkBudget))</f>
        <v/>
      </c>
      <c r="P445" s="120">
        <f>IF(OR(N445="",ForecastEnd=""),"",ForecastEnd+IF(L445="Approved",0,IF(K445="",0,K445)))</f>
        <v/>
      </c>
      <c r="Q445" s="121">
        <f>IF(OR(N445="",WorkBudget=0),"",N445/WorkBudget-1)</f>
        <v/>
      </c>
      <c r="R445" s="79">
        <f>IF(N445="","",IF(N445&lt;=WorkBudget,0,IF(N445&lt;=TotalBudget,1,2)))</f>
        <v/>
      </c>
      <c r="S445" s="112">
        <f>IF(AND(OR(H445&lt;&gt;"",J445&lt;&gt;""),OR(L445="Pending",L445=""),C445&lt;&gt;""),C445+3,"")</f>
        <v/>
      </c>
      <c r="T445" s="79">
        <f>IF(S445="","",IF(AsOf&gt;S445,1,2))</f>
        <v/>
      </c>
      <c r="U445" s="79">
        <f>IF(T445="","","Decide on change order "&amp;B445&amp;": "&amp;H445&amp;" (+"&amp;CurSym&amp;" "&amp;FIXED(IF(J445="",0,J445),0)&amp;")")</f>
        <v/>
      </c>
    </row>
    <row r="446" ht="24" customHeight="1">
      <c r="B446" s="74" t="n"/>
      <c r="C446" s="109" t="n"/>
      <c r="D446" s="72" t="n"/>
      <c r="E446" s="72" t="n"/>
      <c r="F446" s="72" t="n"/>
      <c r="G446" s="72" t="n"/>
      <c r="H446" s="113" t="n"/>
      <c r="I446" s="72" t="n"/>
      <c r="J446" s="73" t="n"/>
      <c r="K446" s="89" t="n"/>
      <c r="L446" s="74" t="n"/>
      <c r="M446" s="109" t="n"/>
      <c r="N446" s="68">
        <f>IF(AND(H446="",J446=""),"",ForecastTotal+IF(L446="Approved",0,IF(J446="",0,J446)))</f>
        <v/>
      </c>
      <c r="O446" s="75">
        <f>IF(N446="","",ContAmt-MAX(0,N446-WorkBudget))</f>
        <v/>
      </c>
      <c r="P446" s="120">
        <f>IF(OR(N446="",ForecastEnd=""),"",ForecastEnd+IF(L446="Approved",0,IF(K446="",0,K446)))</f>
        <v/>
      </c>
      <c r="Q446" s="121">
        <f>IF(OR(N446="",WorkBudget=0),"",N446/WorkBudget-1)</f>
        <v/>
      </c>
      <c r="R446" s="79">
        <f>IF(N446="","",IF(N446&lt;=WorkBudget,0,IF(N446&lt;=TotalBudget,1,2)))</f>
        <v/>
      </c>
      <c r="S446" s="112">
        <f>IF(AND(OR(H446&lt;&gt;"",J446&lt;&gt;""),OR(L446="Pending",L446=""),C446&lt;&gt;""),C446+3,"")</f>
        <v/>
      </c>
      <c r="T446" s="79">
        <f>IF(S446="","",IF(AsOf&gt;S446,1,2))</f>
        <v/>
      </c>
      <c r="U446" s="79">
        <f>IF(T446="","","Decide on change order "&amp;B446&amp;": "&amp;H446&amp;" (+"&amp;CurSym&amp;" "&amp;FIXED(IF(J446="",0,J446),0)&amp;")")</f>
        <v/>
      </c>
    </row>
    <row r="447" ht="24" customHeight="1">
      <c r="B447" s="74" t="n"/>
      <c r="C447" s="109" t="n"/>
      <c r="D447" s="72" t="n"/>
      <c r="E447" s="72" t="n"/>
      <c r="F447" s="72" t="n"/>
      <c r="G447" s="72" t="n"/>
      <c r="H447" s="113" t="n"/>
      <c r="I447" s="72" t="n"/>
      <c r="J447" s="73" t="n"/>
      <c r="K447" s="89" t="n"/>
      <c r="L447" s="74" t="n"/>
      <c r="M447" s="109" t="n"/>
      <c r="N447" s="68">
        <f>IF(AND(H447="",J447=""),"",ForecastTotal+IF(L447="Approved",0,IF(J447="",0,J447)))</f>
        <v/>
      </c>
      <c r="O447" s="75">
        <f>IF(N447="","",ContAmt-MAX(0,N447-WorkBudget))</f>
        <v/>
      </c>
      <c r="P447" s="120">
        <f>IF(OR(N447="",ForecastEnd=""),"",ForecastEnd+IF(L447="Approved",0,IF(K447="",0,K447)))</f>
        <v/>
      </c>
      <c r="Q447" s="121">
        <f>IF(OR(N447="",WorkBudget=0),"",N447/WorkBudget-1)</f>
        <v/>
      </c>
      <c r="R447" s="79">
        <f>IF(N447="","",IF(N447&lt;=WorkBudget,0,IF(N447&lt;=TotalBudget,1,2)))</f>
        <v/>
      </c>
      <c r="S447" s="112">
        <f>IF(AND(OR(H447&lt;&gt;"",J447&lt;&gt;""),OR(L447="Pending",L447=""),C447&lt;&gt;""),C447+3,"")</f>
        <v/>
      </c>
      <c r="T447" s="79">
        <f>IF(S447="","",IF(AsOf&gt;S447,1,2))</f>
        <v/>
      </c>
      <c r="U447" s="79">
        <f>IF(T447="","","Decide on change order "&amp;B447&amp;": "&amp;H447&amp;" (+"&amp;CurSym&amp;" "&amp;FIXED(IF(J447="",0,J447),0)&amp;")")</f>
        <v/>
      </c>
    </row>
    <row r="448" ht="24" customHeight="1">
      <c r="B448" s="74" t="n"/>
      <c r="C448" s="109" t="n"/>
      <c r="D448" s="72" t="n"/>
      <c r="E448" s="72" t="n"/>
      <c r="F448" s="72" t="n"/>
      <c r="G448" s="72" t="n"/>
      <c r="H448" s="113" t="n"/>
      <c r="I448" s="72" t="n"/>
      <c r="J448" s="73" t="n"/>
      <c r="K448" s="89" t="n"/>
      <c r="L448" s="74" t="n"/>
      <c r="M448" s="109" t="n"/>
      <c r="N448" s="68">
        <f>IF(AND(H448="",J448=""),"",ForecastTotal+IF(L448="Approved",0,IF(J448="",0,J448)))</f>
        <v/>
      </c>
      <c r="O448" s="75">
        <f>IF(N448="","",ContAmt-MAX(0,N448-WorkBudget))</f>
        <v/>
      </c>
      <c r="P448" s="120">
        <f>IF(OR(N448="",ForecastEnd=""),"",ForecastEnd+IF(L448="Approved",0,IF(K448="",0,K448)))</f>
        <v/>
      </c>
      <c r="Q448" s="121">
        <f>IF(OR(N448="",WorkBudget=0),"",N448/WorkBudget-1)</f>
        <v/>
      </c>
      <c r="R448" s="79">
        <f>IF(N448="","",IF(N448&lt;=WorkBudget,0,IF(N448&lt;=TotalBudget,1,2)))</f>
        <v/>
      </c>
      <c r="S448" s="112">
        <f>IF(AND(OR(H448&lt;&gt;"",J448&lt;&gt;""),OR(L448="Pending",L448=""),C448&lt;&gt;""),C448+3,"")</f>
        <v/>
      </c>
      <c r="T448" s="79">
        <f>IF(S448="","",IF(AsOf&gt;S448,1,2))</f>
        <v/>
      </c>
      <c r="U448" s="79">
        <f>IF(T448="","","Decide on change order "&amp;B448&amp;": "&amp;H448&amp;" (+"&amp;CurSym&amp;" "&amp;FIXED(IF(J448="",0,J448),0)&amp;")")</f>
        <v/>
      </c>
    </row>
    <row r="449" ht="24" customHeight="1">
      <c r="B449" s="74" t="n"/>
      <c r="C449" s="109" t="n"/>
      <c r="D449" s="72" t="n"/>
      <c r="E449" s="72" t="n"/>
      <c r="F449" s="72" t="n"/>
      <c r="G449" s="72" t="n"/>
      <c r="H449" s="113" t="n"/>
      <c r="I449" s="72" t="n"/>
      <c r="J449" s="73" t="n"/>
      <c r="K449" s="89" t="n"/>
      <c r="L449" s="74" t="n"/>
      <c r="M449" s="109" t="n"/>
      <c r="N449" s="68">
        <f>IF(AND(H449="",J449=""),"",ForecastTotal+IF(L449="Approved",0,IF(J449="",0,J449)))</f>
        <v/>
      </c>
      <c r="O449" s="75">
        <f>IF(N449="","",ContAmt-MAX(0,N449-WorkBudget))</f>
        <v/>
      </c>
      <c r="P449" s="120">
        <f>IF(OR(N449="",ForecastEnd=""),"",ForecastEnd+IF(L449="Approved",0,IF(K449="",0,K449)))</f>
        <v/>
      </c>
      <c r="Q449" s="121">
        <f>IF(OR(N449="",WorkBudget=0),"",N449/WorkBudget-1)</f>
        <v/>
      </c>
      <c r="R449" s="79">
        <f>IF(N449="","",IF(N449&lt;=WorkBudget,0,IF(N449&lt;=TotalBudget,1,2)))</f>
        <v/>
      </c>
      <c r="S449" s="112">
        <f>IF(AND(OR(H449&lt;&gt;"",J449&lt;&gt;""),OR(L449="Pending",L449=""),C449&lt;&gt;""),C449+3,"")</f>
        <v/>
      </c>
      <c r="T449" s="79">
        <f>IF(S449="","",IF(AsOf&gt;S449,1,2))</f>
        <v/>
      </c>
      <c r="U449" s="79">
        <f>IF(T449="","","Decide on change order "&amp;B449&amp;": "&amp;H449&amp;" (+"&amp;CurSym&amp;" "&amp;FIXED(IF(J449="",0,J449),0)&amp;")")</f>
        <v/>
      </c>
    </row>
    <row r="450" ht="24" customHeight="1">
      <c r="B450" s="74" t="n"/>
      <c r="C450" s="109" t="n"/>
      <c r="D450" s="72" t="n"/>
      <c r="E450" s="72" t="n"/>
      <c r="F450" s="72" t="n"/>
      <c r="G450" s="72" t="n"/>
      <c r="H450" s="113" t="n"/>
      <c r="I450" s="72" t="n"/>
      <c r="J450" s="73" t="n"/>
      <c r="K450" s="89" t="n"/>
      <c r="L450" s="74" t="n"/>
      <c r="M450" s="109" t="n"/>
      <c r="N450" s="68">
        <f>IF(AND(H450="",J450=""),"",ForecastTotal+IF(L450="Approved",0,IF(J450="",0,J450)))</f>
        <v/>
      </c>
      <c r="O450" s="75">
        <f>IF(N450="","",ContAmt-MAX(0,N450-WorkBudget))</f>
        <v/>
      </c>
      <c r="P450" s="120">
        <f>IF(OR(N450="",ForecastEnd=""),"",ForecastEnd+IF(L450="Approved",0,IF(K450="",0,K450)))</f>
        <v/>
      </c>
      <c r="Q450" s="121">
        <f>IF(OR(N450="",WorkBudget=0),"",N450/WorkBudget-1)</f>
        <v/>
      </c>
      <c r="R450" s="79">
        <f>IF(N450="","",IF(N450&lt;=WorkBudget,0,IF(N450&lt;=TotalBudget,1,2)))</f>
        <v/>
      </c>
      <c r="S450" s="112">
        <f>IF(AND(OR(H450&lt;&gt;"",J450&lt;&gt;""),OR(L450="Pending",L450=""),C450&lt;&gt;""),C450+3,"")</f>
        <v/>
      </c>
      <c r="T450" s="79">
        <f>IF(S450="","",IF(AsOf&gt;S450,1,2))</f>
        <v/>
      </c>
      <c r="U450" s="79">
        <f>IF(T450="","","Decide on change order "&amp;B450&amp;": "&amp;H450&amp;" (+"&amp;CurSym&amp;" "&amp;FIXED(IF(J450="",0,J450),0)&amp;")")</f>
        <v/>
      </c>
    </row>
    <row r="451" ht="24" customHeight="1">
      <c r="B451" s="74" t="n"/>
      <c r="C451" s="109" t="n"/>
      <c r="D451" s="72" t="n"/>
      <c r="E451" s="72" t="n"/>
      <c r="F451" s="72" t="n"/>
      <c r="G451" s="72" t="n"/>
      <c r="H451" s="113" t="n"/>
      <c r="I451" s="72" t="n"/>
      <c r="J451" s="73" t="n"/>
      <c r="K451" s="89" t="n"/>
      <c r="L451" s="74" t="n"/>
      <c r="M451" s="109" t="n"/>
      <c r="N451" s="68">
        <f>IF(AND(H451="",J451=""),"",ForecastTotal+IF(L451="Approved",0,IF(J451="",0,J451)))</f>
        <v/>
      </c>
      <c r="O451" s="75">
        <f>IF(N451="","",ContAmt-MAX(0,N451-WorkBudget))</f>
        <v/>
      </c>
      <c r="P451" s="120">
        <f>IF(OR(N451="",ForecastEnd=""),"",ForecastEnd+IF(L451="Approved",0,IF(K451="",0,K451)))</f>
        <v/>
      </c>
      <c r="Q451" s="121">
        <f>IF(OR(N451="",WorkBudget=0),"",N451/WorkBudget-1)</f>
        <v/>
      </c>
      <c r="R451" s="79">
        <f>IF(N451="","",IF(N451&lt;=WorkBudget,0,IF(N451&lt;=TotalBudget,1,2)))</f>
        <v/>
      </c>
      <c r="S451" s="112">
        <f>IF(AND(OR(H451&lt;&gt;"",J451&lt;&gt;""),OR(L451="Pending",L451=""),C451&lt;&gt;""),C451+3,"")</f>
        <v/>
      </c>
      <c r="T451" s="79">
        <f>IF(S451="","",IF(AsOf&gt;S451,1,2))</f>
        <v/>
      </c>
      <c r="U451" s="79">
        <f>IF(T451="","","Decide on change order "&amp;B451&amp;": "&amp;H451&amp;" (+"&amp;CurSym&amp;" "&amp;FIXED(IF(J451="",0,J451),0)&amp;")")</f>
        <v/>
      </c>
    </row>
    <row r="452" ht="24" customHeight="1">
      <c r="B452" s="74" t="n"/>
      <c r="C452" s="109" t="n"/>
      <c r="D452" s="72" t="n"/>
      <c r="E452" s="72" t="n"/>
      <c r="F452" s="72" t="n"/>
      <c r="G452" s="72" t="n"/>
      <c r="H452" s="113" t="n"/>
      <c r="I452" s="72" t="n"/>
      <c r="J452" s="73" t="n"/>
      <c r="K452" s="89" t="n"/>
      <c r="L452" s="74" t="n"/>
      <c r="M452" s="109" t="n"/>
      <c r="N452" s="68">
        <f>IF(AND(H452="",J452=""),"",ForecastTotal+IF(L452="Approved",0,IF(J452="",0,J452)))</f>
        <v/>
      </c>
      <c r="O452" s="75">
        <f>IF(N452="","",ContAmt-MAX(0,N452-WorkBudget))</f>
        <v/>
      </c>
      <c r="P452" s="120">
        <f>IF(OR(N452="",ForecastEnd=""),"",ForecastEnd+IF(L452="Approved",0,IF(K452="",0,K452)))</f>
        <v/>
      </c>
      <c r="Q452" s="121">
        <f>IF(OR(N452="",WorkBudget=0),"",N452/WorkBudget-1)</f>
        <v/>
      </c>
      <c r="R452" s="79">
        <f>IF(N452="","",IF(N452&lt;=WorkBudget,0,IF(N452&lt;=TotalBudget,1,2)))</f>
        <v/>
      </c>
      <c r="S452" s="112">
        <f>IF(AND(OR(H452&lt;&gt;"",J452&lt;&gt;""),OR(L452="Pending",L452=""),C452&lt;&gt;""),C452+3,"")</f>
        <v/>
      </c>
      <c r="T452" s="79">
        <f>IF(S452="","",IF(AsOf&gt;S452,1,2))</f>
        <v/>
      </c>
      <c r="U452" s="79">
        <f>IF(T452="","","Decide on change order "&amp;B452&amp;": "&amp;H452&amp;" (+"&amp;CurSym&amp;" "&amp;FIXED(IF(J452="",0,J452),0)&amp;")")</f>
        <v/>
      </c>
    </row>
    <row r="453" ht="24" customHeight="1">
      <c r="B453" s="74" t="n"/>
      <c r="C453" s="109" t="n"/>
      <c r="D453" s="72" t="n"/>
      <c r="E453" s="72" t="n"/>
      <c r="F453" s="72" t="n"/>
      <c r="G453" s="72" t="n"/>
      <c r="H453" s="113" t="n"/>
      <c r="I453" s="72" t="n"/>
      <c r="J453" s="73" t="n"/>
      <c r="K453" s="89" t="n"/>
      <c r="L453" s="74" t="n"/>
      <c r="M453" s="109" t="n"/>
      <c r="N453" s="68">
        <f>IF(AND(H453="",J453=""),"",ForecastTotal+IF(L453="Approved",0,IF(J453="",0,J453)))</f>
        <v/>
      </c>
      <c r="O453" s="75">
        <f>IF(N453="","",ContAmt-MAX(0,N453-WorkBudget))</f>
        <v/>
      </c>
      <c r="P453" s="120">
        <f>IF(OR(N453="",ForecastEnd=""),"",ForecastEnd+IF(L453="Approved",0,IF(K453="",0,K453)))</f>
        <v/>
      </c>
      <c r="Q453" s="121">
        <f>IF(OR(N453="",WorkBudget=0),"",N453/WorkBudget-1)</f>
        <v/>
      </c>
      <c r="R453" s="79">
        <f>IF(N453="","",IF(N453&lt;=WorkBudget,0,IF(N453&lt;=TotalBudget,1,2)))</f>
        <v/>
      </c>
      <c r="S453" s="112">
        <f>IF(AND(OR(H453&lt;&gt;"",J453&lt;&gt;""),OR(L453="Pending",L453=""),C453&lt;&gt;""),C453+3,"")</f>
        <v/>
      </c>
      <c r="T453" s="79">
        <f>IF(S453="","",IF(AsOf&gt;S453,1,2))</f>
        <v/>
      </c>
      <c r="U453" s="79">
        <f>IF(T453="","","Decide on change order "&amp;B453&amp;": "&amp;H453&amp;" (+"&amp;CurSym&amp;" "&amp;FIXED(IF(J453="",0,J453),0)&amp;")")</f>
        <v/>
      </c>
    </row>
    <row r="454" ht="24" customHeight="1">
      <c r="B454" s="74" t="n"/>
      <c r="C454" s="109" t="n"/>
      <c r="D454" s="72" t="n"/>
      <c r="E454" s="72" t="n"/>
      <c r="F454" s="72" t="n"/>
      <c r="G454" s="72" t="n"/>
      <c r="H454" s="113" t="n"/>
      <c r="I454" s="72" t="n"/>
      <c r="J454" s="73" t="n"/>
      <c r="K454" s="89" t="n"/>
      <c r="L454" s="74" t="n"/>
      <c r="M454" s="109" t="n"/>
      <c r="N454" s="68">
        <f>IF(AND(H454="",J454=""),"",ForecastTotal+IF(L454="Approved",0,IF(J454="",0,J454)))</f>
        <v/>
      </c>
      <c r="O454" s="75">
        <f>IF(N454="","",ContAmt-MAX(0,N454-WorkBudget))</f>
        <v/>
      </c>
      <c r="P454" s="120">
        <f>IF(OR(N454="",ForecastEnd=""),"",ForecastEnd+IF(L454="Approved",0,IF(K454="",0,K454)))</f>
        <v/>
      </c>
      <c r="Q454" s="121">
        <f>IF(OR(N454="",WorkBudget=0),"",N454/WorkBudget-1)</f>
        <v/>
      </c>
      <c r="R454" s="79">
        <f>IF(N454="","",IF(N454&lt;=WorkBudget,0,IF(N454&lt;=TotalBudget,1,2)))</f>
        <v/>
      </c>
      <c r="S454" s="112">
        <f>IF(AND(OR(H454&lt;&gt;"",J454&lt;&gt;""),OR(L454="Pending",L454=""),C454&lt;&gt;""),C454+3,"")</f>
        <v/>
      </c>
      <c r="T454" s="79">
        <f>IF(S454="","",IF(AsOf&gt;S454,1,2))</f>
        <v/>
      </c>
      <c r="U454" s="79">
        <f>IF(T454="","","Decide on change order "&amp;B454&amp;": "&amp;H454&amp;" (+"&amp;CurSym&amp;" "&amp;FIXED(IF(J454="",0,J454),0)&amp;")")</f>
        <v/>
      </c>
    </row>
    <row r="455" ht="24" customHeight="1">
      <c r="B455" s="74" t="n"/>
      <c r="C455" s="109" t="n"/>
      <c r="D455" s="72" t="n"/>
      <c r="E455" s="72" t="n"/>
      <c r="F455" s="72" t="n"/>
      <c r="G455" s="72" t="n"/>
      <c r="H455" s="113" t="n"/>
      <c r="I455" s="72" t="n"/>
      <c r="J455" s="73" t="n"/>
      <c r="K455" s="89" t="n"/>
      <c r="L455" s="74" t="n"/>
      <c r="M455" s="109" t="n"/>
      <c r="N455" s="68">
        <f>IF(AND(H455="",J455=""),"",ForecastTotal+IF(L455="Approved",0,IF(J455="",0,J455)))</f>
        <v/>
      </c>
      <c r="O455" s="75">
        <f>IF(N455="","",ContAmt-MAX(0,N455-WorkBudget))</f>
        <v/>
      </c>
      <c r="P455" s="120">
        <f>IF(OR(N455="",ForecastEnd=""),"",ForecastEnd+IF(L455="Approved",0,IF(K455="",0,K455)))</f>
        <v/>
      </c>
      <c r="Q455" s="121">
        <f>IF(OR(N455="",WorkBudget=0),"",N455/WorkBudget-1)</f>
        <v/>
      </c>
      <c r="R455" s="79">
        <f>IF(N455="","",IF(N455&lt;=WorkBudget,0,IF(N455&lt;=TotalBudget,1,2)))</f>
        <v/>
      </c>
      <c r="S455" s="112">
        <f>IF(AND(OR(H455&lt;&gt;"",J455&lt;&gt;""),OR(L455="Pending",L455=""),C455&lt;&gt;""),C455+3,"")</f>
        <v/>
      </c>
      <c r="T455" s="79">
        <f>IF(S455="","",IF(AsOf&gt;S455,1,2))</f>
        <v/>
      </c>
      <c r="U455" s="79">
        <f>IF(T455="","","Decide on change order "&amp;B455&amp;": "&amp;H455&amp;" (+"&amp;CurSym&amp;" "&amp;FIXED(IF(J455="",0,J455),0)&amp;")")</f>
        <v/>
      </c>
    </row>
    <row r="456" ht="24" customHeight="1">
      <c r="B456" s="74" t="n"/>
      <c r="C456" s="109" t="n"/>
      <c r="D456" s="72" t="n"/>
      <c r="E456" s="72" t="n"/>
      <c r="F456" s="72" t="n"/>
      <c r="G456" s="72" t="n"/>
      <c r="H456" s="113" t="n"/>
      <c r="I456" s="72" t="n"/>
      <c r="J456" s="73" t="n"/>
      <c r="K456" s="89" t="n"/>
      <c r="L456" s="74" t="n"/>
      <c r="M456" s="109" t="n"/>
      <c r="N456" s="68">
        <f>IF(AND(H456="",J456=""),"",ForecastTotal+IF(L456="Approved",0,IF(J456="",0,J456)))</f>
        <v/>
      </c>
      <c r="O456" s="75">
        <f>IF(N456="","",ContAmt-MAX(0,N456-WorkBudget))</f>
        <v/>
      </c>
      <c r="P456" s="120">
        <f>IF(OR(N456="",ForecastEnd=""),"",ForecastEnd+IF(L456="Approved",0,IF(K456="",0,K456)))</f>
        <v/>
      </c>
      <c r="Q456" s="121">
        <f>IF(OR(N456="",WorkBudget=0),"",N456/WorkBudget-1)</f>
        <v/>
      </c>
      <c r="R456" s="79">
        <f>IF(N456="","",IF(N456&lt;=WorkBudget,0,IF(N456&lt;=TotalBudget,1,2)))</f>
        <v/>
      </c>
      <c r="S456" s="112">
        <f>IF(AND(OR(H456&lt;&gt;"",J456&lt;&gt;""),OR(L456="Pending",L456=""),C456&lt;&gt;""),C456+3,"")</f>
        <v/>
      </c>
      <c r="T456" s="79">
        <f>IF(S456="","",IF(AsOf&gt;S456,1,2))</f>
        <v/>
      </c>
      <c r="U456" s="79">
        <f>IF(T456="","","Decide on change order "&amp;B456&amp;": "&amp;H456&amp;" (+"&amp;CurSym&amp;" "&amp;FIXED(IF(J456="",0,J456),0)&amp;")")</f>
        <v/>
      </c>
    </row>
    <row r="457" ht="24" customHeight="1">
      <c r="B457" s="74" t="n"/>
      <c r="C457" s="109" t="n"/>
      <c r="D457" s="72" t="n"/>
      <c r="E457" s="72" t="n"/>
      <c r="F457" s="72" t="n"/>
      <c r="G457" s="72" t="n"/>
      <c r="H457" s="113" t="n"/>
      <c r="I457" s="72" t="n"/>
      <c r="J457" s="73" t="n"/>
      <c r="K457" s="89" t="n"/>
      <c r="L457" s="74" t="n"/>
      <c r="M457" s="109" t="n"/>
      <c r="N457" s="68">
        <f>IF(AND(H457="",J457=""),"",ForecastTotal+IF(L457="Approved",0,IF(J457="",0,J457)))</f>
        <v/>
      </c>
      <c r="O457" s="75">
        <f>IF(N457="","",ContAmt-MAX(0,N457-WorkBudget))</f>
        <v/>
      </c>
      <c r="P457" s="120">
        <f>IF(OR(N457="",ForecastEnd=""),"",ForecastEnd+IF(L457="Approved",0,IF(K457="",0,K457)))</f>
        <v/>
      </c>
      <c r="Q457" s="121">
        <f>IF(OR(N457="",WorkBudget=0),"",N457/WorkBudget-1)</f>
        <v/>
      </c>
      <c r="R457" s="79">
        <f>IF(N457="","",IF(N457&lt;=WorkBudget,0,IF(N457&lt;=TotalBudget,1,2)))</f>
        <v/>
      </c>
      <c r="S457" s="112">
        <f>IF(AND(OR(H457&lt;&gt;"",J457&lt;&gt;""),OR(L457="Pending",L457=""),C457&lt;&gt;""),C457+3,"")</f>
        <v/>
      </c>
      <c r="T457" s="79">
        <f>IF(S457="","",IF(AsOf&gt;S457,1,2))</f>
        <v/>
      </c>
      <c r="U457" s="79">
        <f>IF(T457="","","Decide on change order "&amp;B457&amp;": "&amp;H457&amp;" (+"&amp;CurSym&amp;" "&amp;FIXED(IF(J457="",0,J457),0)&amp;")")</f>
        <v/>
      </c>
    </row>
    <row r="458" ht="24" customHeight="1">
      <c r="B458" s="74" t="n"/>
      <c r="C458" s="109" t="n"/>
      <c r="D458" s="72" t="n"/>
      <c r="E458" s="72" t="n"/>
      <c r="F458" s="72" t="n"/>
      <c r="G458" s="72" t="n"/>
      <c r="H458" s="113" t="n"/>
      <c r="I458" s="72" t="n"/>
      <c r="J458" s="73" t="n"/>
      <c r="K458" s="89" t="n"/>
      <c r="L458" s="74" t="n"/>
      <c r="M458" s="109" t="n"/>
      <c r="N458" s="68">
        <f>IF(AND(H458="",J458=""),"",ForecastTotal+IF(L458="Approved",0,IF(J458="",0,J458)))</f>
        <v/>
      </c>
      <c r="O458" s="75">
        <f>IF(N458="","",ContAmt-MAX(0,N458-WorkBudget))</f>
        <v/>
      </c>
      <c r="P458" s="120">
        <f>IF(OR(N458="",ForecastEnd=""),"",ForecastEnd+IF(L458="Approved",0,IF(K458="",0,K458)))</f>
        <v/>
      </c>
      <c r="Q458" s="121">
        <f>IF(OR(N458="",WorkBudget=0),"",N458/WorkBudget-1)</f>
        <v/>
      </c>
      <c r="R458" s="79">
        <f>IF(N458="","",IF(N458&lt;=WorkBudget,0,IF(N458&lt;=TotalBudget,1,2)))</f>
        <v/>
      </c>
      <c r="S458" s="112">
        <f>IF(AND(OR(H458&lt;&gt;"",J458&lt;&gt;""),OR(L458="Pending",L458=""),C458&lt;&gt;""),C458+3,"")</f>
        <v/>
      </c>
      <c r="T458" s="79">
        <f>IF(S458="","",IF(AsOf&gt;S458,1,2))</f>
        <v/>
      </c>
      <c r="U458" s="79">
        <f>IF(T458="","","Decide on change order "&amp;B458&amp;": "&amp;H458&amp;" (+"&amp;CurSym&amp;" "&amp;FIXED(IF(J458="",0,J458),0)&amp;")")</f>
        <v/>
      </c>
    </row>
    <row r="459" ht="24" customHeight="1">
      <c r="B459" s="74" t="n"/>
      <c r="C459" s="109" t="n"/>
      <c r="D459" s="72" t="n"/>
      <c r="E459" s="72" t="n"/>
      <c r="F459" s="72" t="n"/>
      <c r="G459" s="72" t="n"/>
      <c r="H459" s="113" t="n"/>
      <c r="I459" s="72" t="n"/>
      <c r="J459" s="73" t="n"/>
      <c r="K459" s="89" t="n"/>
      <c r="L459" s="74" t="n"/>
      <c r="M459" s="109" t="n"/>
      <c r="N459" s="68">
        <f>IF(AND(H459="",J459=""),"",ForecastTotal+IF(L459="Approved",0,IF(J459="",0,J459)))</f>
        <v/>
      </c>
      <c r="O459" s="75">
        <f>IF(N459="","",ContAmt-MAX(0,N459-WorkBudget))</f>
        <v/>
      </c>
      <c r="P459" s="120">
        <f>IF(OR(N459="",ForecastEnd=""),"",ForecastEnd+IF(L459="Approved",0,IF(K459="",0,K459)))</f>
        <v/>
      </c>
      <c r="Q459" s="121">
        <f>IF(OR(N459="",WorkBudget=0),"",N459/WorkBudget-1)</f>
        <v/>
      </c>
      <c r="R459" s="79">
        <f>IF(N459="","",IF(N459&lt;=WorkBudget,0,IF(N459&lt;=TotalBudget,1,2)))</f>
        <v/>
      </c>
      <c r="S459" s="112">
        <f>IF(AND(OR(H459&lt;&gt;"",J459&lt;&gt;""),OR(L459="Pending",L459=""),C459&lt;&gt;""),C459+3,"")</f>
        <v/>
      </c>
      <c r="T459" s="79">
        <f>IF(S459="","",IF(AsOf&gt;S459,1,2))</f>
        <v/>
      </c>
      <c r="U459" s="79">
        <f>IF(T459="","","Decide on change order "&amp;B459&amp;": "&amp;H459&amp;" (+"&amp;CurSym&amp;" "&amp;FIXED(IF(J459="",0,J459),0)&amp;")")</f>
        <v/>
      </c>
    </row>
    <row r="460" ht="24" customHeight="1">
      <c r="B460" s="74" t="n"/>
      <c r="C460" s="109" t="n"/>
      <c r="D460" s="72" t="n"/>
      <c r="E460" s="72" t="n"/>
      <c r="F460" s="72" t="n"/>
      <c r="G460" s="72" t="n"/>
      <c r="H460" s="113" t="n"/>
      <c r="I460" s="72" t="n"/>
      <c r="J460" s="73" t="n"/>
      <c r="K460" s="89" t="n"/>
      <c r="L460" s="74" t="n"/>
      <c r="M460" s="109" t="n"/>
      <c r="N460" s="68">
        <f>IF(AND(H460="",J460=""),"",ForecastTotal+IF(L460="Approved",0,IF(J460="",0,J460)))</f>
        <v/>
      </c>
      <c r="O460" s="75">
        <f>IF(N460="","",ContAmt-MAX(0,N460-WorkBudget))</f>
        <v/>
      </c>
      <c r="P460" s="120">
        <f>IF(OR(N460="",ForecastEnd=""),"",ForecastEnd+IF(L460="Approved",0,IF(K460="",0,K460)))</f>
        <v/>
      </c>
      <c r="Q460" s="121">
        <f>IF(OR(N460="",WorkBudget=0),"",N460/WorkBudget-1)</f>
        <v/>
      </c>
      <c r="R460" s="79">
        <f>IF(N460="","",IF(N460&lt;=WorkBudget,0,IF(N460&lt;=TotalBudget,1,2)))</f>
        <v/>
      </c>
      <c r="S460" s="112">
        <f>IF(AND(OR(H460&lt;&gt;"",J460&lt;&gt;""),OR(L460="Pending",L460=""),C460&lt;&gt;""),C460+3,"")</f>
        <v/>
      </c>
      <c r="T460" s="79">
        <f>IF(S460="","",IF(AsOf&gt;S460,1,2))</f>
        <v/>
      </c>
      <c r="U460" s="79">
        <f>IF(T460="","","Decide on change order "&amp;B460&amp;": "&amp;H460&amp;" (+"&amp;CurSym&amp;" "&amp;FIXED(IF(J460="",0,J460),0)&amp;")")</f>
        <v/>
      </c>
    </row>
    <row r="461" ht="24" customHeight="1">
      <c r="B461" s="74" t="n"/>
      <c r="C461" s="109" t="n"/>
      <c r="D461" s="72" t="n"/>
      <c r="E461" s="72" t="n"/>
      <c r="F461" s="72" t="n"/>
      <c r="G461" s="72" t="n"/>
      <c r="H461" s="113" t="n"/>
      <c r="I461" s="72" t="n"/>
      <c r="J461" s="73" t="n"/>
      <c r="K461" s="89" t="n"/>
      <c r="L461" s="74" t="n"/>
      <c r="M461" s="109" t="n"/>
      <c r="N461" s="68">
        <f>IF(AND(H461="",J461=""),"",ForecastTotal+IF(L461="Approved",0,IF(J461="",0,J461)))</f>
        <v/>
      </c>
      <c r="O461" s="75">
        <f>IF(N461="","",ContAmt-MAX(0,N461-WorkBudget))</f>
        <v/>
      </c>
      <c r="P461" s="120">
        <f>IF(OR(N461="",ForecastEnd=""),"",ForecastEnd+IF(L461="Approved",0,IF(K461="",0,K461)))</f>
        <v/>
      </c>
      <c r="Q461" s="121">
        <f>IF(OR(N461="",WorkBudget=0),"",N461/WorkBudget-1)</f>
        <v/>
      </c>
      <c r="R461" s="79">
        <f>IF(N461="","",IF(N461&lt;=WorkBudget,0,IF(N461&lt;=TotalBudget,1,2)))</f>
        <v/>
      </c>
      <c r="S461" s="112">
        <f>IF(AND(OR(H461&lt;&gt;"",J461&lt;&gt;""),OR(L461="Pending",L461=""),C461&lt;&gt;""),C461+3,"")</f>
        <v/>
      </c>
      <c r="T461" s="79">
        <f>IF(S461="","",IF(AsOf&gt;S461,1,2))</f>
        <v/>
      </c>
      <c r="U461" s="79">
        <f>IF(T461="","","Decide on change order "&amp;B461&amp;": "&amp;H461&amp;" (+"&amp;CurSym&amp;" "&amp;FIXED(IF(J461="",0,J461),0)&amp;")")</f>
        <v/>
      </c>
    </row>
    <row r="462" ht="24" customHeight="1">
      <c r="B462" s="74" t="n"/>
      <c r="C462" s="109" t="n"/>
      <c r="D462" s="72" t="n"/>
      <c r="E462" s="72" t="n"/>
      <c r="F462" s="72" t="n"/>
      <c r="G462" s="72" t="n"/>
      <c r="H462" s="113" t="n"/>
      <c r="I462" s="72" t="n"/>
      <c r="J462" s="73" t="n"/>
      <c r="K462" s="89" t="n"/>
      <c r="L462" s="74" t="n"/>
      <c r="M462" s="109" t="n"/>
      <c r="N462" s="68">
        <f>IF(AND(H462="",J462=""),"",ForecastTotal+IF(L462="Approved",0,IF(J462="",0,J462)))</f>
        <v/>
      </c>
      <c r="O462" s="75">
        <f>IF(N462="","",ContAmt-MAX(0,N462-WorkBudget))</f>
        <v/>
      </c>
      <c r="P462" s="120">
        <f>IF(OR(N462="",ForecastEnd=""),"",ForecastEnd+IF(L462="Approved",0,IF(K462="",0,K462)))</f>
        <v/>
      </c>
      <c r="Q462" s="121">
        <f>IF(OR(N462="",WorkBudget=0),"",N462/WorkBudget-1)</f>
        <v/>
      </c>
      <c r="R462" s="79">
        <f>IF(N462="","",IF(N462&lt;=WorkBudget,0,IF(N462&lt;=TotalBudget,1,2)))</f>
        <v/>
      </c>
      <c r="S462" s="112">
        <f>IF(AND(OR(H462&lt;&gt;"",J462&lt;&gt;""),OR(L462="Pending",L462=""),C462&lt;&gt;""),C462+3,"")</f>
        <v/>
      </c>
      <c r="T462" s="79">
        <f>IF(S462="","",IF(AsOf&gt;S462,1,2))</f>
        <v/>
      </c>
      <c r="U462" s="79">
        <f>IF(T462="","","Decide on change order "&amp;B462&amp;": "&amp;H462&amp;" (+"&amp;CurSym&amp;" "&amp;FIXED(IF(J462="",0,J462),0)&amp;")")</f>
        <v/>
      </c>
    </row>
    <row r="463" ht="24" customHeight="1">
      <c r="B463" s="74" t="n"/>
      <c r="C463" s="109" t="n"/>
      <c r="D463" s="72" t="n"/>
      <c r="E463" s="72" t="n"/>
      <c r="F463" s="72" t="n"/>
      <c r="G463" s="72" t="n"/>
      <c r="H463" s="113" t="n"/>
      <c r="I463" s="72" t="n"/>
      <c r="J463" s="73" t="n"/>
      <c r="K463" s="89" t="n"/>
      <c r="L463" s="74" t="n"/>
      <c r="M463" s="109" t="n"/>
      <c r="N463" s="68">
        <f>IF(AND(H463="",J463=""),"",ForecastTotal+IF(L463="Approved",0,IF(J463="",0,J463)))</f>
        <v/>
      </c>
      <c r="O463" s="75">
        <f>IF(N463="","",ContAmt-MAX(0,N463-WorkBudget))</f>
        <v/>
      </c>
      <c r="P463" s="120">
        <f>IF(OR(N463="",ForecastEnd=""),"",ForecastEnd+IF(L463="Approved",0,IF(K463="",0,K463)))</f>
        <v/>
      </c>
      <c r="Q463" s="121">
        <f>IF(OR(N463="",WorkBudget=0),"",N463/WorkBudget-1)</f>
        <v/>
      </c>
      <c r="R463" s="79">
        <f>IF(N463="","",IF(N463&lt;=WorkBudget,0,IF(N463&lt;=TotalBudget,1,2)))</f>
        <v/>
      </c>
      <c r="S463" s="112">
        <f>IF(AND(OR(H463&lt;&gt;"",J463&lt;&gt;""),OR(L463="Pending",L463=""),C463&lt;&gt;""),C463+3,"")</f>
        <v/>
      </c>
      <c r="T463" s="79">
        <f>IF(S463="","",IF(AsOf&gt;S463,1,2))</f>
        <v/>
      </c>
      <c r="U463" s="79">
        <f>IF(T463="","","Decide on change order "&amp;B463&amp;": "&amp;H463&amp;" (+"&amp;CurSym&amp;" "&amp;FIXED(IF(J463="",0,J463),0)&amp;")")</f>
        <v/>
      </c>
    </row>
    <row r="464" ht="24" customHeight="1">
      <c r="B464" s="74" t="n"/>
      <c r="C464" s="109" t="n"/>
      <c r="D464" s="72" t="n"/>
      <c r="E464" s="72" t="n"/>
      <c r="F464" s="72" t="n"/>
      <c r="G464" s="72" t="n"/>
      <c r="H464" s="113" t="n"/>
      <c r="I464" s="72" t="n"/>
      <c r="J464" s="73" t="n"/>
      <c r="K464" s="89" t="n"/>
      <c r="L464" s="74" t="n"/>
      <c r="M464" s="109" t="n"/>
      <c r="N464" s="68">
        <f>IF(AND(H464="",J464=""),"",ForecastTotal+IF(L464="Approved",0,IF(J464="",0,J464)))</f>
        <v/>
      </c>
      <c r="O464" s="75">
        <f>IF(N464="","",ContAmt-MAX(0,N464-WorkBudget))</f>
        <v/>
      </c>
      <c r="P464" s="120">
        <f>IF(OR(N464="",ForecastEnd=""),"",ForecastEnd+IF(L464="Approved",0,IF(K464="",0,K464)))</f>
        <v/>
      </c>
      <c r="Q464" s="121">
        <f>IF(OR(N464="",WorkBudget=0),"",N464/WorkBudget-1)</f>
        <v/>
      </c>
      <c r="R464" s="79">
        <f>IF(N464="","",IF(N464&lt;=WorkBudget,0,IF(N464&lt;=TotalBudget,1,2)))</f>
        <v/>
      </c>
      <c r="S464" s="112">
        <f>IF(AND(OR(H464&lt;&gt;"",J464&lt;&gt;""),OR(L464="Pending",L464=""),C464&lt;&gt;""),C464+3,"")</f>
        <v/>
      </c>
      <c r="T464" s="79">
        <f>IF(S464="","",IF(AsOf&gt;S464,1,2))</f>
        <v/>
      </c>
      <c r="U464" s="79">
        <f>IF(T464="","","Decide on change order "&amp;B464&amp;": "&amp;H464&amp;" (+"&amp;CurSym&amp;" "&amp;FIXED(IF(J464="",0,J464),0)&amp;")")</f>
        <v/>
      </c>
    </row>
    <row r="465" ht="24" customHeight="1">
      <c r="B465" s="74" t="n"/>
      <c r="C465" s="109" t="n"/>
      <c r="D465" s="72" t="n"/>
      <c r="E465" s="72" t="n"/>
      <c r="F465" s="72" t="n"/>
      <c r="G465" s="72" t="n"/>
      <c r="H465" s="113" t="n"/>
      <c r="I465" s="72" t="n"/>
      <c r="J465" s="73" t="n"/>
      <c r="K465" s="89" t="n"/>
      <c r="L465" s="74" t="n"/>
      <c r="M465" s="109" t="n"/>
      <c r="N465" s="68">
        <f>IF(AND(H465="",J465=""),"",ForecastTotal+IF(L465="Approved",0,IF(J465="",0,J465)))</f>
        <v/>
      </c>
      <c r="O465" s="75">
        <f>IF(N465="","",ContAmt-MAX(0,N465-WorkBudget))</f>
        <v/>
      </c>
      <c r="P465" s="120">
        <f>IF(OR(N465="",ForecastEnd=""),"",ForecastEnd+IF(L465="Approved",0,IF(K465="",0,K465)))</f>
        <v/>
      </c>
      <c r="Q465" s="121">
        <f>IF(OR(N465="",WorkBudget=0),"",N465/WorkBudget-1)</f>
        <v/>
      </c>
      <c r="R465" s="79">
        <f>IF(N465="","",IF(N465&lt;=WorkBudget,0,IF(N465&lt;=TotalBudget,1,2)))</f>
        <v/>
      </c>
      <c r="S465" s="112">
        <f>IF(AND(OR(H465&lt;&gt;"",J465&lt;&gt;""),OR(L465="Pending",L465=""),C465&lt;&gt;""),C465+3,"")</f>
        <v/>
      </c>
      <c r="T465" s="79">
        <f>IF(S465="","",IF(AsOf&gt;S465,1,2))</f>
        <v/>
      </c>
      <c r="U465" s="79">
        <f>IF(T465="","","Decide on change order "&amp;B465&amp;": "&amp;H465&amp;" (+"&amp;CurSym&amp;" "&amp;FIXED(IF(J465="",0,J465),0)&amp;")")</f>
        <v/>
      </c>
    </row>
    <row r="466" ht="24" customHeight="1">
      <c r="B466" s="74" t="n"/>
      <c r="C466" s="109" t="n"/>
      <c r="D466" s="72" t="n"/>
      <c r="E466" s="72" t="n"/>
      <c r="F466" s="72" t="n"/>
      <c r="G466" s="72" t="n"/>
      <c r="H466" s="113" t="n"/>
      <c r="I466" s="72" t="n"/>
      <c r="J466" s="73" t="n"/>
      <c r="K466" s="89" t="n"/>
      <c r="L466" s="74" t="n"/>
      <c r="M466" s="109" t="n"/>
      <c r="N466" s="68">
        <f>IF(AND(H466="",J466=""),"",ForecastTotal+IF(L466="Approved",0,IF(J466="",0,J466)))</f>
        <v/>
      </c>
      <c r="O466" s="75">
        <f>IF(N466="","",ContAmt-MAX(0,N466-WorkBudget))</f>
        <v/>
      </c>
      <c r="P466" s="120">
        <f>IF(OR(N466="",ForecastEnd=""),"",ForecastEnd+IF(L466="Approved",0,IF(K466="",0,K466)))</f>
        <v/>
      </c>
      <c r="Q466" s="121">
        <f>IF(OR(N466="",WorkBudget=0),"",N466/WorkBudget-1)</f>
        <v/>
      </c>
      <c r="R466" s="79">
        <f>IF(N466="","",IF(N466&lt;=WorkBudget,0,IF(N466&lt;=TotalBudget,1,2)))</f>
        <v/>
      </c>
      <c r="S466" s="112">
        <f>IF(AND(OR(H466&lt;&gt;"",J466&lt;&gt;""),OR(L466="Pending",L466=""),C466&lt;&gt;""),C466+3,"")</f>
        <v/>
      </c>
      <c r="T466" s="79">
        <f>IF(S466="","",IF(AsOf&gt;S466,1,2))</f>
        <v/>
      </c>
      <c r="U466" s="79">
        <f>IF(T466="","","Decide on change order "&amp;B466&amp;": "&amp;H466&amp;" (+"&amp;CurSym&amp;" "&amp;FIXED(IF(J466="",0,J466),0)&amp;")")</f>
        <v/>
      </c>
    </row>
    <row r="467" ht="24" customHeight="1">
      <c r="B467" s="74" t="n"/>
      <c r="C467" s="109" t="n"/>
      <c r="D467" s="72" t="n"/>
      <c r="E467" s="72" t="n"/>
      <c r="F467" s="72" t="n"/>
      <c r="G467" s="72" t="n"/>
      <c r="H467" s="113" t="n"/>
      <c r="I467" s="72" t="n"/>
      <c r="J467" s="73" t="n"/>
      <c r="K467" s="89" t="n"/>
      <c r="L467" s="74" t="n"/>
      <c r="M467" s="109" t="n"/>
      <c r="N467" s="68">
        <f>IF(AND(H467="",J467=""),"",ForecastTotal+IF(L467="Approved",0,IF(J467="",0,J467)))</f>
        <v/>
      </c>
      <c r="O467" s="75">
        <f>IF(N467="","",ContAmt-MAX(0,N467-WorkBudget))</f>
        <v/>
      </c>
      <c r="P467" s="120">
        <f>IF(OR(N467="",ForecastEnd=""),"",ForecastEnd+IF(L467="Approved",0,IF(K467="",0,K467)))</f>
        <v/>
      </c>
      <c r="Q467" s="121">
        <f>IF(OR(N467="",WorkBudget=0),"",N467/WorkBudget-1)</f>
        <v/>
      </c>
      <c r="R467" s="79">
        <f>IF(N467="","",IF(N467&lt;=WorkBudget,0,IF(N467&lt;=TotalBudget,1,2)))</f>
        <v/>
      </c>
      <c r="S467" s="112">
        <f>IF(AND(OR(H467&lt;&gt;"",J467&lt;&gt;""),OR(L467="Pending",L467=""),C467&lt;&gt;""),C467+3,"")</f>
        <v/>
      </c>
      <c r="T467" s="79">
        <f>IF(S467="","",IF(AsOf&gt;S467,1,2))</f>
        <v/>
      </c>
      <c r="U467" s="79">
        <f>IF(T467="","","Decide on change order "&amp;B467&amp;": "&amp;H467&amp;" (+"&amp;CurSym&amp;" "&amp;FIXED(IF(J467="",0,J467),0)&amp;")")</f>
        <v/>
      </c>
    </row>
    <row r="468" ht="24" customHeight="1">
      <c r="B468" s="74" t="n"/>
      <c r="C468" s="109" t="n"/>
      <c r="D468" s="72" t="n"/>
      <c r="E468" s="72" t="n"/>
      <c r="F468" s="72" t="n"/>
      <c r="G468" s="72" t="n"/>
      <c r="H468" s="113" t="n"/>
      <c r="I468" s="72" t="n"/>
      <c r="J468" s="73" t="n"/>
      <c r="K468" s="89" t="n"/>
      <c r="L468" s="74" t="n"/>
      <c r="M468" s="109" t="n"/>
      <c r="N468" s="68">
        <f>IF(AND(H468="",J468=""),"",ForecastTotal+IF(L468="Approved",0,IF(J468="",0,J468)))</f>
        <v/>
      </c>
      <c r="O468" s="75">
        <f>IF(N468="","",ContAmt-MAX(0,N468-WorkBudget))</f>
        <v/>
      </c>
      <c r="P468" s="120">
        <f>IF(OR(N468="",ForecastEnd=""),"",ForecastEnd+IF(L468="Approved",0,IF(K468="",0,K468)))</f>
        <v/>
      </c>
      <c r="Q468" s="121">
        <f>IF(OR(N468="",WorkBudget=0),"",N468/WorkBudget-1)</f>
        <v/>
      </c>
      <c r="R468" s="79">
        <f>IF(N468="","",IF(N468&lt;=WorkBudget,0,IF(N468&lt;=TotalBudget,1,2)))</f>
        <v/>
      </c>
      <c r="S468" s="112">
        <f>IF(AND(OR(H468&lt;&gt;"",J468&lt;&gt;""),OR(L468="Pending",L468=""),C468&lt;&gt;""),C468+3,"")</f>
        <v/>
      </c>
      <c r="T468" s="79">
        <f>IF(S468="","",IF(AsOf&gt;S468,1,2))</f>
        <v/>
      </c>
      <c r="U468" s="79">
        <f>IF(T468="","","Decide on change order "&amp;B468&amp;": "&amp;H468&amp;" (+"&amp;CurSym&amp;" "&amp;FIXED(IF(J468="",0,J468),0)&amp;")")</f>
        <v/>
      </c>
    </row>
    <row r="469" ht="24" customHeight="1">
      <c r="B469" s="74" t="n"/>
      <c r="C469" s="109" t="n"/>
      <c r="D469" s="72" t="n"/>
      <c r="E469" s="72" t="n"/>
      <c r="F469" s="72" t="n"/>
      <c r="G469" s="72" t="n"/>
      <c r="H469" s="113" t="n"/>
      <c r="I469" s="72" t="n"/>
      <c r="J469" s="73" t="n"/>
      <c r="K469" s="89" t="n"/>
      <c r="L469" s="74" t="n"/>
      <c r="M469" s="109" t="n"/>
      <c r="N469" s="68">
        <f>IF(AND(H469="",J469=""),"",ForecastTotal+IF(L469="Approved",0,IF(J469="",0,J469)))</f>
        <v/>
      </c>
      <c r="O469" s="75">
        <f>IF(N469="","",ContAmt-MAX(0,N469-WorkBudget))</f>
        <v/>
      </c>
      <c r="P469" s="120">
        <f>IF(OR(N469="",ForecastEnd=""),"",ForecastEnd+IF(L469="Approved",0,IF(K469="",0,K469)))</f>
        <v/>
      </c>
      <c r="Q469" s="121">
        <f>IF(OR(N469="",WorkBudget=0),"",N469/WorkBudget-1)</f>
        <v/>
      </c>
      <c r="R469" s="79">
        <f>IF(N469="","",IF(N469&lt;=WorkBudget,0,IF(N469&lt;=TotalBudget,1,2)))</f>
        <v/>
      </c>
      <c r="S469" s="112">
        <f>IF(AND(OR(H469&lt;&gt;"",J469&lt;&gt;""),OR(L469="Pending",L469=""),C469&lt;&gt;""),C469+3,"")</f>
        <v/>
      </c>
      <c r="T469" s="79">
        <f>IF(S469="","",IF(AsOf&gt;S469,1,2))</f>
        <v/>
      </c>
      <c r="U469" s="79">
        <f>IF(T469="","","Decide on change order "&amp;B469&amp;": "&amp;H469&amp;" (+"&amp;CurSym&amp;" "&amp;FIXED(IF(J469="",0,J469),0)&amp;")")</f>
        <v/>
      </c>
    </row>
    <row r="470" ht="24" customHeight="1">
      <c r="B470" s="74" t="n"/>
      <c r="C470" s="109" t="n"/>
      <c r="D470" s="72" t="n"/>
      <c r="E470" s="72" t="n"/>
      <c r="F470" s="72" t="n"/>
      <c r="G470" s="72" t="n"/>
      <c r="H470" s="113" t="n"/>
      <c r="I470" s="72" t="n"/>
      <c r="J470" s="73" t="n"/>
      <c r="K470" s="89" t="n"/>
      <c r="L470" s="74" t="n"/>
      <c r="M470" s="109" t="n"/>
      <c r="N470" s="68">
        <f>IF(AND(H470="",J470=""),"",ForecastTotal+IF(L470="Approved",0,IF(J470="",0,J470)))</f>
        <v/>
      </c>
      <c r="O470" s="75">
        <f>IF(N470="","",ContAmt-MAX(0,N470-WorkBudget))</f>
        <v/>
      </c>
      <c r="P470" s="120">
        <f>IF(OR(N470="",ForecastEnd=""),"",ForecastEnd+IF(L470="Approved",0,IF(K470="",0,K470)))</f>
        <v/>
      </c>
      <c r="Q470" s="121">
        <f>IF(OR(N470="",WorkBudget=0),"",N470/WorkBudget-1)</f>
        <v/>
      </c>
      <c r="R470" s="79">
        <f>IF(N470="","",IF(N470&lt;=WorkBudget,0,IF(N470&lt;=TotalBudget,1,2)))</f>
        <v/>
      </c>
      <c r="S470" s="112">
        <f>IF(AND(OR(H470&lt;&gt;"",J470&lt;&gt;""),OR(L470="Pending",L470=""),C470&lt;&gt;""),C470+3,"")</f>
        <v/>
      </c>
      <c r="T470" s="79">
        <f>IF(S470="","",IF(AsOf&gt;S470,1,2))</f>
        <v/>
      </c>
      <c r="U470" s="79">
        <f>IF(T470="","","Decide on change order "&amp;B470&amp;": "&amp;H470&amp;" (+"&amp;CurSym&amp;" "&amp;FIXED(IF(J470="",0,J470),0)&amp;")")</f>
        <v/>
      </c>
    </row>
    <row r="471" ht="24" customHeight="1">
      <c r="B471" s="74" t="n"/>
      <c r="C471" s="109" t="n"/>
      <c r="D471" s="72" t="n"/>
      <c r="E471" s="72" t="n"/>
      <c r="F471" s="72" t="n"/>
      <c r="G471" s="72" t="n"/>
      <c r="H471" s="113" t="n"/>
      <c r="I471" s="72" t="n"/>
      <c r="J471" s="73" t="n"/>
      <c r="K471" s="89" t="n"/>
      <c r="L471" s="74" t="n"/>
      <c r="M471" s="109" t="n"/>
      <c r="N471" s="68">
        <f>IF(AND(H471="",J471=""),"",ForecastTotal+IF(L471="Approved",0,IF(J471="",0,J471)))</f>
        <v/>
      </c>
      <c r="O471" s="75">
        <f>IF(N471="","",ContAmt-MAX(0,N471-WorkBudget))</f>
        <v/>
      </c>
      <c r="P471" s="120">
        <f>IF(OR(N471="",ForecastEnd=""),"",ForecastEnd+IF(L471="Approved",0,IF(K471="",0,K471)))</f>
        <v/>
      </c>
      <c r="Q471" s="121">
        <f>IF(OR(N471="",WorkBudget=0),"",N471/WorkBudget-1)</f>
        <v/>
      </c>
      <c r="R471" s="79">
        <f>IF(N471="","",IF(N471&lt;=WorkBudget,0,IF(N471&lt;=TotalBudget,1,2)))</f>
        <v/>
      </c>
      <c r="S471" s="112">
        <f>IF(AND(OR(H471&lt;&gt;"",J471&lt;&gt;""),OR(L471="Pending",L471=""),C471&lt;&gt;""),C471+3,"")</f>
        <v/>
      </c>
      <c r="T471" s="79">
        <f>IF(S471="","",IF(AsOf&gt;S471,1,2))</f>
        <v/>
      </c>
      <c r="U471" s="79">
        <f>IF(T471="","","Decide on change order "&amp;B471&amp;": "&amp;H471&amp;" (+"&amp;CurSym&amp;" "&amp;FIXED(IF(J471="",0,J471),0)&amp;")")</f>
        <v/>
      </c>
    </row>
    <row r="472" ht="24" customHeight="1">
      <c r="B472" s="74" t="n"/>
      <c r="C472" s="109" t="n"/>
      <c r="D472" s="72" t="n"/>
      <c r="E472" s="72" t="n"/>
      <c r="F472" s="72" t="n"/>
      <c r="G472" s="72" t="n"/>
      <c r="H472" s="113" t="n"/>
      <c r="I472" s="72" t="n"/>
      <c r="J472" s="73" t="n"/>
      <c r="K472" s="89" t="n"/>
      <c r="L472" s="74" t="n"/>
      <c r="M472" s="109" t="n"/>
      <c r="N472" s="68">
        <f>IF(AND(H472="",J472=""),"",ForecastTotal+IF(L472="Approved",0,IF(J472="",0,J472)))</f>
        <v/>
      </c>
      <c r="O472" s="75">
        <f>IF(N472="","",ContAmt-MAX(0,N472-WorkBudget))</f>
        <v/>
      </c>
      <c r="P472" s="120">
        <f>IF(OR(N472="",ForecastEnd=""),"",ForecastEnd+IF(L472="Approved",0,IF(K472="",0,K472)))</f>
        <v/>
      </c>
      <c r="Q472" s="121">
        <f>IF(OR(N472="",WorkBudget=0),"",N472/WorkBudget-1)</f>
        <v/>
      </c>
      <c r="R472" s="79">
        <f>IF(N472="","",IF(N472&lt;=WorkBudget,0,IF(N472&lt;=TotalBudget,1,2)))</f>
        <v/>
      </c>
      <c r="S472" s="112">
        <f>IF(AND(OR(H472&lt;&gt;"",J472&lt;&gt;""),OR(L472="Pending",L472=""),C472&lt;&gt;""),C472+3,"")</f>
        <v/>
      </c>
      <c r="T472" s="79">
        <f>IF(S472="","",IF(AsOf&gt;S472,1,2))</f>
        <v/>
      </c>
      <c r="U472" s="79">
        <f>IF(T472="","","Decide on change order "&amp;B472&amp;": "&amp;H472&amp;" (+"&amp;CurSym&amp;" "&amp;FIXED(IF(J472="",0,J472),0)&amp;")")</f>
        <v/>
      </c>
    </row>
    <row r="473" ht="24" customHeight="1">
      <c r="B473" s="74" t="n"/>
      <c r="C473" s="109" t="n"/>
      <c r="D473" s="72" t="n"/>
      <c r="E473" s="72" t="n"/>
      <c r="F473" s="72" t="n"/>
      <c r="G473" s="72" t="n"/>
      <c r="H473" s="113" t="n"/>
      <c r="I473" s="72" t="n"/>
      <c r="J473" s="73" t="n"/>
      <c r="K473" s="89" t="n"/>
      <c r="L473" s="74" t="n"/>
      <c r="M473" s="109" t="n"/>
      <c r="N473" s="68">
        <f>IF(AND(H473="",J473=""),"",ForecastTotal+IF(L473="Approved",0,IF(J473="",0,J473)))</f>
        <v/>
      </c>
      <c r="O473" s="75">
        <f>IF(N473="","",ContAmt-MAX(0,N473-WorkBudget))</f>
        <v/>
      </c>
      <c r="P473" s="120">
        <f>IF(OR(N473="",ForecastEnd=""),"",ForecastEnd+IF(L473="Approved",0,IF(K473="",0,K473)))</f>
        <v/>
      </c>
      <c r="Q473" s="121">
        <f>IF(OR(N473="",WorkBudget=0),"",N473/WorkBudget-1)</f>
        <v/>
      </c>
      <c r="R473" s="79">
        <f>IF(N473="","",IF(N473&lt;=WorkBudget,0,IF(N473&lt;=TotalBudget,1,2)))</f>
        <v/>
      </c>
      <c r="S473" s="112">
        <f>IF(AND(OR(H473&lt;&gt;"",J473&lt;&gt;""),OR(L473="Pending",L473=""),C473&lt;&gt;""),C473+3,"")</f>
        <v/>
      </c>
      <c r="T473" s="79">
        <f>IF(S473="","",IF(AsOf&gt;S473,1,2))</f>
        <v/>
      </c>
      <c r="U473" s="79">
        <f>IF(T473="","","Decide on change order "&amp;B473&amp;": "&amp;H473&amp;" (+"&amp;CurSym&amp;" "&amp;FIXED(IF(J473="",0,J473),0)&amp;")")</f>
        <v/>
      </c>
    </row>
    <row r="474" ht="24" customHeight="1">
      <c r="B474" s="74" t="n"/>
      <c r="C474" s="109" t="n"/>
      <c r="D474" s="72" t="n"/>
      <c r="E474" s="72" t="n"/>
      <c r="F474" s="72" t="n"/>
      <c r="G474" s="72" t="n"/>
      <c r="H474" s="113" t="n"/>
      <c r="I474" s="72" t="n"/>
      <c r="J474" s="73" t="n"/>
      <c r="K474" s="89" t="n"/>
      <c r="L474" s="74" t="n"/>
      <c r="M474" s="109" t="n"/>
      <c r="N474" s="68">
        <f>IF(AND(H474="",J474=""),"",ForecastTotal+IF(L474="Approved",0,IF(J474="",0,J474)))</f>
        <v/>
      </c>
      <c r="O474" s="75">
        <f>IF(N474="","",ContAmt-MAX(0,N474-WorkBudget))</f>
        <v/>
      </c>
      <c r="P474" s="120">
        <f>IF(OR(N474="",ForecastEnd=""),"",ForecastEnd+IF(L474="Approved",0,IF(K474="",0,K474)))</f>
        <v/>
      </c>
      <c r="Q474" s="121">
        <f>IF(OR(N474="",WorkBudget=0),"",N474/WorkBudget-1)</f>
        <v/>
      </c>
      <c r="R474" s="79">
        <f>IF(N474="","",IF(N474&lt;=WorkBudget,0,IF(N474&lt;=TotalBudget,1,2)))</f>
        <v/>
      </c>
      <c r="S474" s="112">
        <f>IF(AND(OR(H474&lt;&gt;"",J474&lt;&gt;""),OR(L474="Pending",L474=""),C474&lt;&gt;""),C474+3,"")</f>
        <v/>
      </c>
      <c r="T474" s="79">
        <f>IF(S474="","",IF(AsOf&gt;S474,1,2))</f>
        <v/>
      </c>
      <c r="U474" s="79">
        <f>IF(T474="","","Decide on change order "&amp;B474&amp;": "&amp;H474&amp;" (+"&amp;CurSym&amp;" "&amp;FIXED(IF(J474="",0,J474),0)&amp;")")</f>
        <v/>
      </c>
    </row>
    <row r="475" ht="24" customHeight="1">
      <c r="B475" s="74" t="n"/>
      <c r="C475" s="109" t="n"/>
      <c r="D475" s="72" t="n"/>
      <c r="E475" s="72" t="n"/>
      <c r="F475" s="72" t="n"/>
      <c r="G475" s="72" t="n"/>
      <c r="H475" s="113" t="n"/>
      <c r="I475" s="72" t="n"/>
      <c r="J475" s="73" t="n"/>
      <c r="K475" s="89" t="n"/>
      <c r="L475" s="74" t="n"/>
      <c r="M475" s="109" t="n"/>
      <c r="N475" s="68">
        <f>IF(AND(H475="",J475=""),"",ForecastTotal+IF(L475="Approved",0,IF(J475="",0,J475)))</f>
        <v/>
      </c>
      <c r="O475" s="75">
        <f>IF(N475="","",ContAmt-MAX(0,N475-WorkBudget))</f>
        <v/>
      </c>
      <c r="P475" s="120">
        <f>IF(OR(N475="",ForecastEnd=""),"",ForecastEnd+IF(L475="Approved",0,IF(K475="",0,K475)))</f>
        <v/>
      </c>
      <c r="Q475" s="121">
        <f>IF(OR(N475="",WorkBudget=0),"",N475/WorkBudget-1)</f>
        <v/>
      </c>
      <c r="R475" s="79">
        <f>IF(N475="","",IF(N475&lt;=WorkBudget,0,IF(N475&lt;=TotalBudget,1,2)))</f>
        <v/>
      </c>
      <c r="S475" s="112">
        <f>IF(AND(OR(H475&lt;&gt;"",J475&lt;&gt;""),OR(L475="Pending",L475=""),C475&lt;&gt;""),C475+3,"")</f>
        <v/>
      </c>
      <c r="T475" s="79">
        <f>IF(S475="","",IF(AsOf&gt;S475,1,2))</f>
        <v/>
      </c>
      <c r="U475" s="79">
        <f>IF(T475="","","Decide on change order "&amp;B475&amp;": "&amp;H475&amp;" (+"&amp;CurSym&amp;" "&amp;FIXED(IF(J475="",0,J475),0)&amp;")")</f>
        <v/>
      </c>
    </row>
    <row r="476" ht="24" customHeight="1">
      <c r="B476" s="74" t="n"/>
      <c r="C476" s="109" t="n"/>
      <c r="D476" s="72" t="n"/>
      <c r="E476" s="72" t="n"/>
      <c r="F476" s="72" t="n"/>
      <c r="G476" s="72" t="n"/>
      <c r="H476" s="113" t="n"/>
      <c r="I476" s="72" t="n"/>
      <c r="J476" s="73" t="n"/>
      <c r="K476" s="89" t="n"/>
      <c r="L476" s="74" t="n"/>
      <c r="M476" s="109" t="n"/>
      <c r="N476" s="68">
        <f>IF(AND(H476="",J476=""),"",ForecastTotal+IF(L476="Approved",0,IF(J476="",0,J476)))</f>
        <v/>
      </c>
      <c r="O476" s="75">
        <f>IF(N476="","",ContAmt-MAX(0,N476-WorkBudget))</f>
        <v/>
      </c>
      <c r="P476" s="120">
        <f>IF(OR(N476="",ForecastEnd=""),"",ForecastEnd+IF(L476="Approved",0,IF(K476="",0,K476)))</f>
        <v/>
      </c>
      <c r="Q476" s="121">
        <f>IF(OR(N476="",WorkBudget=0),"",N476/WorkBudget-1)</f>
        <v/>
      </c>
      <c r="R476" s="79">
        <f>IF(N476="","",IF(N476&lt;=WorkBudget,0,IF(N476&lt;=TotalBudget,1,2)))</f>
        <v/>
      </c>
      <c r="S476" s="112">
        <f>IF(AND(OR(H476&lt;&gt;"",J476&lt;&gt;""),OR(L476="Pending",L476=""),C476&lt;&gt;""),C476+3,"")</f>
        <v/>
      </c>
      <c r="T476" s="79">
        <f>IF(S476="","",IF(AsOf&gt;S476,1,2))</f>
        <v/>
      </c>
      <c r="U476" s="79">
        <f>IF(T476="","","Decide on change order "&amp;B476&amp;": "&amp;H476&amp;" (+"&amp;CurSym&amp;" "&amp;FIXED(IF(J476="",0,J476),0)&amp;")")</f>
        <v/>
      </c>
    </row>
    <row r="477" ht="24" customHeight="1">
      <c r="B477" s="74" t="n"/>
      <c r="C477" s="109" t="n"/>
      <c r="D477" s="72" t="n"/>
      <c r="E477" s="72" t="n"/>
      <c r="F477" s="72" t="n"/>
      <c r="G477" s="72" t="n"/>
      <c r="H477" s="113" t="n"/>
      <c r="I477" s="72" t="n"/>
      <c r="J477" s="73" t="n"/>
      <c r="K477" s="89" t="n"/>
      <c r="L477" s="74" t="n"/>
      <c r="M477" s="109" t="n"/>
      <c r="N477" s="68">
        <f>IF(AND(H477="",J477=""),"",ForecastTotal+IF(L477="Approved",0,IF(J477="",0,J477)))</f>
        <v/>
      </c>
      <c r="O477" s="75">
        <f>IF(N477="","",ContAmt-MAX(0,N477-WorkBudget))</f>
        <v/>
      </c>
      <c r="P477" s="120">
        <f>IF(OR(N477="",ForecastEnd=""),"",ForecastEnd+IF(L477="Approved",0,IF(K477="",0,K477)))</f>
        <v/>
      </c>
      <c r="Q477" s="121">
        <f>IF(OR(N477="",WorkBudget=0),"",N477/WorkBudget-1)</f>
        <v/>
      </c>
      <c r="R477" s="79">
        <f>IF(N477="","",IF(N477&lt;=WorkBudget,0,IF(N477&lt;=TotalBudget,1,2)))</f>
        <v/>
      </c>
      <c r="S477" s="112">
        <f>IF(AND(OR(H477&lt;&gt;"",J477&lt;&gt;""),OR(L477="Pending",L477=""),C477&lt;&gt;""),C477+3,"")</f>
        <v/>
      </c>
      <c r="T477" s="79">
        <f>IF(S477="","",IF(AsOf&gt;S477,1,2))</f>
        <v/>
      </c>
      <c r="U477" s="79">
        <f>IF(T477="","","Decide on change order "&amp;B477&amp;": "&amp;H477&amp;" (+"&amp;CurSym&amp;" "&amp;FIXED(IF(J477="",0,J477),0)&amp;")")</f>
        <v/>
      </c>
    </row>
    <row r="478" ht="24" customHeight="1">
      <c r="B478" s="74" t="n"/>
      <c r="C478" s="109" t="n"/>
      <c r="D478" s="72" t="n"/>
      <c r="E478" s="72" t="n"/>
      <c r="F478" s="72" t="n"/>
      <c r="G478" s="72" t="n"/>
      <c r="H478" s="113" t="n"/>
      <c r="I478" s="72" t="n"/>
      <c r="J478" s="73" t="n"/>
      <c r="K478" s="89" t="n"/>
      <c r="L478" s="74" t="n"/>
      <c r="M478" s="109" t="n"/>
      <c r="N478" s="68">
        <f>IF(AND(H478="",J478=""),"",ForecastTotal+IF(L478="Approved",0,IF(J478="",0,J478)))</f>
        <v/>
      </c>
      <c r="O478" s="75">
        <f>IF(N478="","",ContAmt-MAX(0,N478-WorkBudget))</f>
        <v/>
      </c>
      <c r="P478" s="120">
        <f>IF(OR(N478="",ForecastEnd=""),"",ForecastEnd+IF(L478="Approved",0,IF(K478="",0,K478)))</f>
        <v/>
      </c>
      <c r="Q478" s="121">
        <f>IF(OR(N478="",WorkBudget=0),"",N478/WorkBudget-1)</f>
        <v/>
      </c>
      <c r="R478" s="79">
        <f>IF(N478="","",IF(N478&lt;=WorkBudget,0,IF(N478&lt;=TotalBudget,1,2)))</f>
        <v/>
      </c>
      <c r="S478" s="112">
        <f>IF(AND(OR(H478&lt;&gt;"",J478&lt;&gt;""),OR(L478="Pending",L478=""),C478&lt;&gt;""),C478+3,"")</f>
        <v/>
      </c>
      <c r="T478" s="79">
        <f>IF(S478="","",IF(AsOf&gt;S478,1,2))</f>
        <v/>
      </c>
      <c r="U478" s="79">
        <f>IF(T478="","","Decide on change order "&amp;B478&amp;": "&amp;H478&amp;" (+"&amp;CurSym&amp;" "&amp;FIXED(IF(J478="",0,J478),0)&amp;")")</f>
        <v/>
      </c>
    </row>
    <row r="479" ht="24" customHeight="1">
      <c r="B479" s="74" t="n"/>
      <c r="C479" s="109" t="n"/>
      <c r="D479" s="72" t="n"/>
      <c r="E479" s="72" t="n"/>
      <c r="F479" s="72" t="n"/>
      <c r="G479" s="72" t="n"/>
      <c r="H479" s="113" t="n"/>
      <c r="I479" s="72" t="n"/>
      <c r="J479" s="73" t="n"/>
      <c r="K479" s="89" t="n"/>
      <c r="L479" s="74" t="n"/>
      <c r="M479" s="109" t="n"/>
      <c r="N479" s="68">
        <f>IF(AND(H479="",J479=""),"",ForecastTotal+IF(L479="Approved",0,IF(J479="",0,J479)))</f>
        <v/>
      </c>
      <c r="O479" s="75">
        <f>IF(N479="","",ContAmt-MAX(0,N479-WorkBudget))</f>
        <v/>
      </c>
      <c r="P479" s="120">
        <f>IF(OR(N479="",ForecastEnd=""),"",ForecastEnd+IF(L479="Approved",0,IF(K479="",0,K479)))</f>
        <v/>
      </c>
      <c r="Q479" s="121">
        <f>IF(OR(N479="",WorkBudget=0),"",N479/WorkBudget-1)</f>
        <v/>
      </c>
      <c r="R479" s="79">
        <f>IF(N479="","",IF(N479&lt;=WorkBudget,0,IF(N479&lt;=TotalBudget,1,2)))</f>
        <v/>
      </c>
      <c r="S479" s="112">
        <f>IF(AND(OR(H479&lt;&gt;"",J479&lt;&gt;""),OR(L479="Pending",L479=""),C479&lt;&gt;""),C479+3,"")</f>
        <v/>
      </c>
      <c r="T479" s="79">
        <f>IF(S479="","",IF(AsOf&gt;S479,1,2))</f>
        <v/>
      </c>
      <c r="U479" s="79">
        <f>IF(T479="","","Decide on change order "&amp;B479&amp;": "&amp;H479&amp;" (+"&amp;CurSym&amp;" "&amp;FIXED(IF(J479="",0,J479),0)&amp;")")</f>
        <v/>
      </c>
    </row>
    <row r="480" ht="24" customHeight="1">
      <c r="B480" s="74" t="n"/>
      <c r="C480" s="109" t="n"/>
      <c r="D480" s="72" t="n"/>
      <c r="E480" s="72" t="n"/>
      <c r="F480" s="72" t="n"/>
      <c r="G480" s="72" t="n"/>
      <c r="H480" s="113" t="n"/>
      <c r="I480" s="72" t="n"/>
      <c r="J480" s="73" t="n"/>
      <c r="K480" s="89" t="n"/>
      <c r="L480" s="74" t="n"/>
      <c r="M480" s="109" t="n"/>
      <c r="N480" s="68">
        <f>IF(AND(H480="",J480=""),"",ForecastTotal+IF(L480="Approved",0,IF(J480="",0,J480)))</f>
        <v/>
      </c>
      <c r="O480" s="75">
        <f>IF(N480="","",ContAmt-MAX(0,N480-WorkBudget))</f>
        <v/>
      </c>
      <c r="P480" s="120">
        <f>IF(OR(N480="",ForecastEnd=""),"",ForecastEnd+IF(L480="Approved",0,IF(K480="",0,K480)))</f>
        <v/>
      </c>
      <c r="Q480" s="121">
        <f>IF(OR(N480="",WorkBudget=0),"",N480/WorkBudget-1)</f>
        <v/>
      </c>
      <c r="R480" s="79">
        <f>IF(N480="","",IF(N480&lt;=WorkBudget,0,IF(N480&lt;=TotalBudget,1,2)))</f>
        <v/>
      </c>
      <c r="S480" s="112">
        <f>IF(AND(OR(H480&lt;&gt;"",J480&lt;&gt;""),OR(L480="Pending",L480=""),C480&lt;&gt;""),C480+3,"")</f>
        <v/>
      </c>
      <c r="T480" s="79">
        <f>IF(S480="","",IF(AsOf&gt;S480,1,2))</f>
        <v/>
      </c>
      <c r="U480" s="79">
        <f>IF(T480="","","Decide on change order "&amp;B480&amp;": "&amp;H480&amp;" (+"&amp;CurSym&amp;" "&amp;FIXED(IF(J480="",0,J480),0)&amp;")")</f>
        <v/>
      </c>
    </row>
    <row r="481" ht="24" customHeight="1">
      <c r="B481" s="74" t="n"/>
      <c r="C481" s="109" t="n"/>
      <c r="D481" s="72" t="n"/>
      <c r="E481" s="72" t="n"/>
      <c r="F481" s="72" t="n"/>
      <c r="G481" s="72" t="n"/>
      <c r="H481" s="113" t="n"/>
      <c r="I481" s="72" t="n"/>
      <c r="J481" s="73" t="n"/>
      <c r="K481" s="89" t="n"/>
      <c r="L481" s="74" t="n"/>
      <c r="M481" s="109" t="n"/>
      <c r="N481" s="68">
        <f>IF(AND(H481="",J481=""),"",ForecastTotal+IF(L481="Approved",0,IF(J481="",0,J481)))</f>
        <v/>
      </c>
      <c r="O481" s="75">
        <f>IF(N481="","",ContAmt-MAX(0,N481-WorkBudget))</f>
        <v/>
      </c>
      <c r="P481" s="120">
        <f>IF(OR(N481="",ForecastEnd=""),"",ForecastEnd+IF(L481="Approved",0,IF(K481="",0,K481)))</f>
        <v/>
      </c>
      <c r="Q481" s="121">
        <f>IF(OR(N481="",WorkBudget=0),"",N481/WorkBudget-1)</f>
        <v/>
      </c>
      <c r="R481" s="79">
        <f>IF(N481="","",IF(N481&lt;=WorkBudget,0,IF(N481&lt;=TotalBudget,1,2)))</f>
        <v/>
      </c>
      <c r="S481" s="112">
        <f>IF(AND(OR(H481&lt;&gt;"",J481&lt;&gt;""),OR(L481="Pending",L481=""),C481&lt;&gt;""),C481+3,"")</f>
        <v/>
      </c>
      <c r="T481" s="79">
        <f>IF(S481="","",IF(AsOf&gt;S481,1,2))</f>
        <v/>
      </c>
      <c r="U481" s="79">
        <f>IF(T481="","","Decide on change order "&amp;B481&amp;": "&amp;H481&amp;" (+"&amp;CurSym&amp;" "&amp;FIXED(IF(J481="",0,J481),0)&amp;")")</f>
        <v/>
      </c>
    </row>
    <row r="482" ht="24" customHeight="1">
      <c r="B482" s="74" t="n"/>
      <c r="C482" s="109" t="n"/>
      <c r="D482" s="72" t="n"/>
      <c r="E482" s="72" t="n"/>
      <c r="F482" s="72" t="n"/>
      <c r="G482" s="72" t="n"/>
      <c r="H482" s="113" t="n"/>
      <c r="I482" s="72" t="n"/>
      <c r="J482" s="73" t="n"/>
      <c r="K482" s="89" t="n"/>
      <c r="L482" s="74" t="n"/>
      <c r="M482" s="109" t="n"/>
      <c r="N482" s="68">
        <f>IF(AND(H482="",J482=""),"",ForecastTotal+IF(L482="Approved",0,IF(J482="",0,J482)))</f>
        <v/>
      </c>
      <c r="O482" s="75">
        <f>IF(N482="","",ContAmt-MAX(0,N482-WorkBudget))</f>
        <v/>
      </c>
      <c r="P482" s="120">
        <f>IF(OR(N482="",ForecastEnd=""),"",ForecastEnd+IF(L482="Approved",0,IF(K482="",0,K482)))</f>
        <v/>
      </c>
      <c r="Q482" s="121">
        <f>IF(OR(N482="",WorkBudget=0),"",N482/WorkBudget-1)</f>
        <v/>
      </c>
      <c r="R482" s="79">
        <f>IF(N482="","",IF(N482&lt;=WorkBudget,0,IF(N482&lt;=TotalBudget,1,2)))</f>
        <v/>
      </c>
      <c r="S482" s="112">
        <f>IF(AND(OR(H482&lt;&gt;"",J482&lt;&gt;""),OR(L482="Pending",L482=""),C482&lt;&gt;""),C482+3,"")</f>
        <v/>
      </c>
      <c r="T482" s="79">
        <f>IF(S482="","",IF(AsOf&gt;S482,1,2))</f>
        <v/>
      </c>
      <c r="U482" s="79">
        <f>IF(T482="","","Decide on change order "&amp;B482&amp;": "&amp;H482&amp;" (+"&amp;CurSym&amp;" "&amp;FIXED(IF(J482="",0,J482),0)&amp;")")</f>
        <v/>
      </c>
    </row>
    <row r="483" ht="24" customHeight="1">
      <c r="B483" s="74" t="n"/>
      <c r="C483" s="109" t="n"/>
      <c r="D483" s="72" t="n"/>
      <c r="E483" s="72" t="n"/>
      <c r="F483" s="72" t="n"/>
      <c r="G483" s="72" t="n"/>
      <c r="H483" s="113" t="n"/>
      <c r="I483" s="72" t="n"/>
      <c r="J483" s="73" t="n"/>
      <c r="K483" s="89" t="n"/>
      <c r="L483" s="74" t="n"/>
      <c r="M483" s="109" t="n"/>
      <c r="N483" s="68">
        <f>IF(AND(H483="",J483=""),"",ForecastTotal+IF(L483="Approved",0,IF(J483="",0,J483)))</f>
        <v/>
      </c>
      <c r="O483" s="75">
        <f>IF(N483="","",ContAmt-MAX(0,N483-WorkBudget))</f>
        <v/>
      </c>
      <c r="P483" s="120">
        <f>IF(OR(N483="",ForecastEnd=""),"",ForecastEnd+IF(L483="Approved",0,IF(K483="",0,K483)))</f>
        <v/>
      </c>
      <c r="Q483" s="121">
        <f>IF(OR(N483="",WorkBudget=0),"",N483/WorkBudget-1)</f>
        <v/>
      </c>
      <c r="R483" s="79">
        <f>IF(N483="","",IF(N483&lt;=WorkBudget,0,IF(N483&lt;=TotalBudget,1,2)))</f>
        <v/>
      </c>
      <c r="S483" s="112">
        <f>IF(AND(OR(H483&lt;&gt;"",J483&lt;&gt;""),OR(L483="Pending",L483=""),C483&lt;&gt;""),C483+3,"")</f>
        <v/>
      </c>
      <c r="T483" s="79">
        <f>IF(S483="","",IF(AsOf&gt;S483,1,2))</f>
        <v/>
      </c>
      <c r="U483" s="79">
        <f>IF(T483="","","Decide on change order "&amp;B483&amp;": "&amp;H483&amp;" (+"&amp;CurSym&amp;" "&amp;FIXED(IF(J483="",0,J483),0)&amp;")")</f>
        <v/>
      </c>
    </row>
    <row r="484" ht="24" customHeight="1">
      <c r="B484" s="74" t="n"/>
      <c r="C484" s="109" t="n"/>
      <c r="D484" s="72" t="n"/>
      <c r="E484" s="72" t="n"/>
      <c r="F484" s="72" t="n"/>
      <c r="G484" s="72" t="n"/>
      <c r="H484" s="113" t="n"/>
      <c r="I484" s="72" t="n"/>
      <c r="J484" s="73" t="n"/>
      <c r="K484" s="89" t="n"/>
      <c r="L484" s="74" t="n"/>
      <c r="M484" s="109" t="n"/>
      <c r="N484" s="68">
        <f>IF(AND(H484="",J484=""),"",ForecastTotal+IF(L484="Approved",0,IF(J484="",0,J484)))</f>
        <v/>
      </c>
      <c r="O484" s="75">
        <f>IF(N484="","",ContAmt-MAX(0,N484-WorkBudget))</f>
        <v/>
      </c>
      <c r="P484" s="120">
        <f>IF(OR(N484="",ForecastEnd=""),"",ForecastEnd+IF(L484="Approved",0,IF(K484="",0,K484)))</f>
        <v/>
      </c>
      <c r="Q484" s="121">
        <f>IF(OR(N484="",WorkBudget=0),"",N484/WorkBudget-1)</f>
        <v/>
      </c>
      <c r="R484" s="79">
        <f>IF(N484="","",IF(N484&lt;=WorkBudget,0,IF(N484&lt;=TotalBudget,1,2)))</f>
        <v/>
      </c>
      <c r="S484" s="112">
        <f>IF(AND(OR(H484&lt;&gt;"",J484&lt;&gt;""),OR(L484="Pending",L484=""),C484&lt;&gt;""),C484+3,"")</f>
        <v/>
      </c>
      <c r="T484" s="79">
        <f>IF(S484="","",IF(AsOf&gt;S484,1,2))</f>
        <v/>
      </c>
      <c r="U484" s="79">
        <f>IF(T484="","","Decide on change order "&amp;B484&amp;": "&amp;H484&amp;" (+"&amp;CurSym&amp;" "&amp;FIXED(IF(J484="",0,J484),0)&amp;")")</f>
        <v/>
      </c>
    </row>
    <row r="485" ht="24" customHeight="1">
      <c r="B485" s="74" t="n"/>
      <c r="C485" s="109" t="n"/>
      <c r="D485" s="72" t="n"/>
      <c r="E485" s="72" t="n"/>
      <c r="F485" s="72" t="n"/>
      <c r="G485" s="72" t="n"/>
      <c r="H485" s="113" t="n"/>
      <c r="I485" s="72" t="n"/>
      <c r="J485" s="73" t="n"/>
      <c r="K485" s="89" t="n"/>
      <c r="L485" s="74" t="n"/>
      <c r="M485" s="109" t="n"/>
      <c r="N485" s="68">
        <f>IF(AND(H485="",J485=""),"",ForecastTotal+IF(L485="Approved",0,IF(J485="",0,J485)))</f>
        <v/>
      </c>
      <c r="O485" s="75">
        <f>IF(N485="","",ContAmt-MAX(0,N485-WorkBudget))</f>
        <v/>
      </c>
      <c r="P485" s="120">
        <f>IF(OR(N485="",ForecastEnd=""),"",ForecastEnd+IF(L485="Approved",0,IF(K485="",0,K485)))</f>
        <v/>
      </c>
      <c r="Q485" s="121">
        <f>IF(OR(N485="",WorkBudget=0),"",N485/WorkBudget-1)</f>
        <v/>
      </c>
      <c r="R485" s="79">
        <f>IF(N485="","",IF(N485&lt;=WorkBudget,0,IF(N485&lt;=TotalBudget,1,2)))</f>
        <v/>
      </c>
      <c r="S485" s="112">
        <f>IF(AND(OR(H485&lt;&gt;"",J485&lt;&gt;""),OR(L485="Pending",L485=""),C485&lt;&gt;""),C485+3,"")</f>
        <v/>
      </c>
      <c r="T485" s="79">
        <f>IF(S485="","",IF(AsOf&gt;S485,1,2))</f>
        <v/>
      </c>
      <c r="U485" s="79">
        <f>IF(T485="","","Decide on change order "&amp;B485&amp;": "&amp;H485&amp;" (+"&amp;CurSym&amp;" "&amp;FIXED(IF(J485="",0,J485),0)&amp;")")</f>
        <v/>
      </c>
    </row>
    <row r="486" ht="24" customHeight="1">
      <c r="B486" s="74" t="n"/>
      <c r="C486" s="109" t="n"/>
      <c r="D486" s="72" t="n"/>
      <c r="E486" s="72" t="n"/>
      <c r="F486" s="72" t="n"/>
      <c r="G486" s="72" t="n"/>
      <c r="H486" s="113" t="n"/>
      <c r="I486" s="72" t="n"/>
      <c r="J486" s="73" t="n"/>
      <c r="K486" s="89" t="n"/>
      <c r="L486" s="74" t="n"/>
      <c r="M486" s="109" t="n"/>
      <c r="N486" s="68">
        <f>IF(AND(H486="",J486=""),"",ForecastTotal+IF(L486="Approved",0,IF(J486="",0,J486)))</f>
        <v/>
      </c>
      <c r="O486" s="75">
        <f>IF(N486="","",ContAmt-MAX(0,N486-WorkBudget))</f>
        <v/>
      </c>
      <c r="P486" s="120">
        <f>IF(OR(N486="",ForecastEnd=""),"",ForecastEnd+IF(L486="Approved",0,IF(K486="",0,K486)))</f>
        <v/>
      </c>
      <c r="Q486" s="121">
        <f>IF(OR(N486="",WorkBudget=0),"",N486/WorkBudget-1)</f>
        <v/>
      </c>
      <c r="R486" s="79">
        <f>IF(N486="","",IF(N486&lt;=WorkBudget,0,IF(N486&lt;=TotalBudget,1,2)))</f>
        <v/>
      </c>
      <c r="S486" s="112">
        <f>IF(AND(OR(H486&lt;&gt;"",J486&lt;&gt;""),OR(L486="Pending",L486=""),C486&lt;&gt;""),C486+3,"")</f>
        <v/>
      </c>
      <c r="T486" s="79">
        <f>IF(S486="","",IF(AsOf&gt;S486,1,2))</f>
        <v/>
      </c>
      <c r="U486" s="79">
        <f>IF(T486="","","Decide on change order "&amp;B486&amp;": "&amp;H486&amp;" (+"&amp;CurSym&amp;" "&amp;FIXED(IF(J486="",0,J486),0)&amp;")")</f>
        <v/>
      </c>
    </row>
    <row r="487" ht="24" customHeight="1">
      <c r="B487" s="74" t="n"/>
      <c r="C487" s="109" t="n"/>
      <c r="D487" s="72" t="n"/>
      <c r="E487" s="72" t="n"/>
      <c r="F487" s="72" t="n"/>
      <c r="G487" s="72" t="n"/>
      <c r="H487" s="113" t="n"/>
      <c r="I487" s="72" t="n"/>
      <c r="J487" s="73" t="n"/>
      <c r="K487" s="89" t="n"/>
      <c r="L487" s="74" t="n"/>
      <c r="M487" s="109" t="n"/>
      <c r="N487" s="68">
        <f>IF(AND(H487="",J487=""),"",ForecastTotal+IF(L487="Approved",0,IF(J487="",0,J487)))</f>
        <v/>
      </c>
      <c r="O487" s="75">
        <f>IF(N487="","",ContAmt-MAX(0,N487-WorkBudget))</f>
        <v/>
      </c>
      <c r="P487" s="120">
        <f>IF(OR(N487="",ForecastEnd=""),"",ForecastEnd+IF(L487="Approved",0,IF(K487="",0,K487)))</f>
        <v/>
      </c>
      <c r="Q487" s="121">
        <f>IF(OR(N487="",WorkBudget=0),"",N487/WorkBudget-1)</f>
        <v/>
      </c>
      <c r="R487" s="79">
        <f>IF(N487="","",IF(N487&lt;=WorkBudget,0,IF(N487&lt;=TotalBudget,1,2)))</f>
        <v/>
      </c>
      <c r="S487" s="112">
        <f>IF(AND(OR(H487&lt;&gt;"",J487&lt;&gt;""),OR(L487="Pending",L487=""),C487&lt;&gt;""),C487+3,"")</f>
        <v/>
      </c>
      <c r="T487" s="79">
        <f>IF(S487="","",IF(AsOf&gt;S487,1,2))</f>
        <v/>
      </c>
      <c r="U487" s="79">
        <f>IF(T487="","","Decide on change order "&amp;B487&amp;": "&amp;H487&amp;" (+"&amp;CurSym&amp;" "&amp;FIXED(IF(J487="",0,J487),0)&amp;")")</f>
        <v/>
      </c>
    </row>
    <row r="488" ht="24" customHeight="1">
      <c r="B488" s="74" t="n"/>
      <c r="C488" s="109" t="n"/>
      <c r="D488" s="72" t="n"/>
      <c r="E488" s="72" t="n"/>
      <c r="F488" s="72" t="n"/>
      <c r="G488" s="72" t="n"/>
      <c r="H488" s="113" t="n"/>
      <c r="I488" s="72" t="n"/>
      <c r="J488" s="73" t="n"/>
      <c r="K488" s="89" t="n"/>
      <c r="L488" s="74" t="n"/>
      <c r="M488" s="109" t="n"/>
      <c r="N488" s="68">
        <f>IF(AND(H488="",J488=""),"",ForecastTotal+IF(L488="Approved",0,IF(J488="",0,J488)))</f>
        <v/>
      </c>
      <c r="O488" s="75">
        <f>IF(N488="","",ContAmt-MAX(0,N488-WorkBudget))</f>
        <v/>
      </c>
      <c r="P488" s="120">
        <f>IF(OR(N488="",ForecastEnd=""),"",ForecastEnd+IF(L488="Approved",0,IF(K488="",0,K488)))</f>
        <v/>
      </c>
      <c r="Q488" s="121">
        <f>IF(OR(N488="",WorkBudget=0),"",N488/WorkBudget-1)</f>
        <v/>
      </c>
      <c r="R488" s="79">
        <f>IF(N488="","",IF(N488&lt;=WorkBudget,0,IF(N488&lt;=TotalBudget,1,2)))</f>
        <v/>
      </c>
      <c r="S488" s="112">
        <f>IF(AND(OR(H488&lt;&gt;"",J488&lt;&gt;""),OR(L488="Pending",L488=""),C488&lt;&gt;""),C488+3,"")</f>
        <v/>
      </c>
      <c r="T488" s="79">
        <f>IF(S488="","",IF(AsOf&gt;S488,1,2))</f>
        <v/>
      </c>
      <c r="U488" s="79">
        <f>IF(T488="","","Decide on change order "&amp;B488&amp;": "&amp;H488&amp;" (+"&amp;CurSym&amp;" "&amp;FIXED(IF(J488="",0,J488),0)&amp;")")</f>
        <v/>
      </c>
    </row>
    <row r="489" ht="24" customHeight="1">
      <c r="B489" s="74" t="n"/>
      <c r="C489" s="109" t="n"/>
      <c r="D489" s="72" t="n"/>
      <c r="E489" s="72" t="n"/>
      <c r="F489" s="72" t="n"/>
      <c r="G489" s="72" t="n"/>
      <c r="H489" s="113" t="n"/>
      <c r="I489" s="72" t="n"/>
      <c r="J489" s="73" t="n"/>
      <c r="K489" s="89" t="n"/>
      <c r="L489" s="74" t="n"/>
      <c r="M489" s="109" t="n"/>
      <c r="N489" s="68">
        <f>IF(AND(H489="",J489=""),"",ForecastTotal+IF(L489="Approved",0,IF(J489="",0,J489)))</f>
        <v/>
      </c>
      <c r="O489" s="75">
        <f>IF(N489="","",ContAmt-MAX(0,N489-WorkBudget))</f>
        <v/>
      </c>
      <c r="P489" s="120">
        <f>IF(OR(N489="",ForecastEnd=""),"",ForecastEnd+IF(L489="Approved",0,IF(K489="",0,K489)))</f>
        <v/>
      </c>
      <c r="Q489" s="121">
        <f>IF(OR(N489="",WorkBudget=0),"",N489/WorkBudget-1)</f>
        <v/>
      </c>
      <c r="R489" s="79">
        <f>IF(N489="","",IF(N489&lt;=WorkBudget,0,IF(N489&lt;=TotalBudget,1,2)))</f>
        <v/>
      </c>
      <c r="S489" s="112">
        <f>IF(AND(OR(H489&lt;&gt;"",J489&lt;&gt;""),OR(L489="Pending",L489=""),C489&lt;&gt;""),C489+3,"")</f>
        <v/>
      </c>
      <c r="T489" s="79">
        <f>IF(S489="","",IF(AsOf&gt;S489,1,2))</f>
        <v/>
      </c>
      <c r="U489" s="79">
        <f>IF(T489="","","Decide on change order "&amp;B489&amp;": "&amp;H489&amp;" (+"&amp;CurSym&amp;" "&amp;FIXED(IF(J489="",0,J489),0)&amp;")")</f>
        <v/>
      </c>
    </row>
    <row r="490" ht="24" customHeight="1">
      <c r="B490" s="74" t="n"/>
      <c r="C490" s="109" t="n"/>
      <c r="D490" s="72" t="n"/>
      <c r="E490" s="72" t="n"/>
      <c r="F490" s="72" t="n"/>
      <c r="G490" s="72" t="n"/>
      <c r="H490" s="113" t="n"/>
      <c r="I490" s="72" t="n"/>
      <c r="J490" s="73" t="n"/>
      <c r="K490" s="89" t="n"/>
      <c r="L490" s="74" t="n"/>
      <c r="M490" s="109" t="n"/>
      <c r="N490" s="68">
        <f>IF(AND(H490="",J490=""),"",ForecastTotal+IF(L490="Approved",0,IF(J490="",0,J490)))</f>
        <v/>
      </c>
      <c r="O490" s="75">
        <f>IF(N490="","",ContAmt-MAX(0,N490-WorkBudget))</f>
        <v/>
      </c>
      <c r="P490" s="120">
        <f>IF(OR(N490="",ForecastEnd=""),"",ForecastEnd+IF(L490="Approved",0,IF(K490="",0,K490)))</f>
        <v/>
      </c>
      <c r="Q490" s="121">
        <f>IF(OR(N490="",WorkBudget=0),"",N490/WorkBudget-1)</f>
        <v/>
      </c>
      <c r="R490" s="79">
        <f>IF(N490="","",IF(N490&lt;=WorkBudget,0,IF(N490&lt;=TotalBudget,1,2)))</f>
        <v/>
      </c>
      <c r="S490" s="112">
        <f>IF(AND(OR(H490&lt;&gt;"",J490&lt;&gt;""),OR(L490="Pending",L490=""),C490&lt;&gt;""),C490+3,"")</f>
        <v/>
      </c>
      <c r="T490" s="79">
        <f>IF(S490="","",IF(AsOf&gt;S490,1,2))</f>
        <v/>
      </c>
      <c r="U490" s="79">
        <f>IF(T490="","","Decide on change order "&amp;B490&amp;": "&amp;H490&amp;" (+"&amp;CurSym&amp;" "&amp;FIXED(IF(J490="",0,J490),0)&amp;")")</f>
        <v/>
      </c>
    </row>
    <row r="491" ht="24" customHeight="1">
      <c r="B491" s="74" t="n"/>
      <c r="C491" s="109" t="n"/>
      <c r="D491" s="72" t="n"/>
      <c r="E491" s="72" t="n"/>
      <c r="F491" s="72" t="n"/>
      <c r="G491" s="72" t="n"/>
      <c r="H491" s="113" t="n"/>
      <c r="I491" s="72" t="n"/>
      <c r="J491" s="73" t="n"/>
      <c r="K491" s="89" t="n"/>
      <c r="L491" s="74" t="n"/>
      <c r="M491" s="109" t="n"/>
      <c r="N491" s="68">
        <f>IF(AND(H491="",J491=""),"",ForecastTotal+IF(L491="Approved",0,IF(J491="",0,J491)))</f>
        <v/>
      </c>
      <c r="O491" s="75">
        <f>IF(N491="","",ContAmt-MAX(0,N491-WorkBudget))</f>
        <v/>
      </c>
      <c r="P491" s="120">
        <f>IF(OR(N491="",ForecastEnd=""),"",ForecastEnd+IF(L491="Approved",0,IF(K491="",0,K491)))</f>
        <v/>
      </c>
      <c r="Q491" s="121">
        <f>IF(OR(N491="",WorkBudget=0),"",N491/WorkBudget-1)</f>
        <v/>
      </c>
      <c r="R491" s="79">
        <f>IF(N491="","",IF(N491&lt;=WorkBudget,0,IF(N491&lt;=TotalBudget,1,2)))</f>
        <v/>
      </c>
      <c r="S491" s="112">
        <f>IF(AND(OR(H491&lt;&gt;"",J491&lt;&gt;""),OR(L491="Pending",L491=""),C491&lt;&gt;""),C491+3,"")</f>
        <v/>
      </c>
      <c r="T491" s="79">
        <f>IF(S491="","",IF(AsOf&gt;S491,1,2))</f>
        <v/>
      </c>
      <c r="U491" s="79">
        <f>IF(T491="","","Decide on change order "&amp;B491&amp;": "&amp;H491&amp;" (+"&amp;CurSym&amp;" "&amp;FIXED(IF(J491="",0,J491),0)&amp;")")</f>
        <v/>
      </c>
    </row>
    <row r="492" ht="24" customHeight="1">
      <c r="B492" s="74" t="n"/>
      <c r="C492" s="109" t="n"/>
      <c r="D492" s="72" t="n"/>
      <c r="E492" s="72" t="n"/>
      <c r="F492" s="72" t="n"/>
      <c r="G492" s="72" t="n"/>
      <c r="H492" s="113" t="n"/>
      <c r="I492" s="72" t="n"/>
      <c r="J492" s="73" t="n"/>
      <c r="K492" s="89" t="n"/>
      <c r="L492" s="74" t="n"/>
      <c r="M492" s="109" t="n"/>
      <c r="N492" s="68">
        <f>IF(AND(H492="",J492=""),"",ForecastTotal+IF(L492="Approved",0,IF(J492="",0,J492)))</f>
        <v/>
      </c>
      <c r="O492" s="75">
        <f>IF(N492="","",ContAmt-MAX(0,N492-WorkBudget))</f>
        <v/>
      </c>
      <c r="P492" s="120">
        <f>IF(OR(N492="",ForecastEnd=""),"",ForecastEnd+IF(L492="Approved",0,IF(K492="",0,K492)))</f>
        <v/>
      </c>
      <c r="Q492" s="121">
        <f>IF(OR(N492="",WorkBudget=0),"",N492/WorkBudget-1)</f>
        <v/>
      </c>
      <c r="R492" s="79">
        <f>IF(N492="","",IF(N492&lt;=WorkBudget,0,IF(N492&lt;=TotalBudget,1,2)))</f>
        <v/>
      </c>
      <c r="S492" s="112">
        <f>IF(AND(OR(H492&lt;&gt;"",J492&lt;&gt;""),OR(L492="Pending",L492=""),C492&lt;&gt;""),C492+3,"")</f>
        <v/>
      </c>
      <c r="T492" s="79">
        <f>IF(S492="","",IF(AsOf&gt;S492,1,2))</f>
        <v/>
      </c>
      <c r="U492" s="79">
        <f>IF(T492="","","Decide on change order "&amp;B492&amp;": "&amp;H492&amp;" (+"&amp;CurSym&amp;" "&amp;FIXED(IF(J492="",0,J492),0)&amp;")")</f>
        <v/>
      </c>
    </row>
    <row r="493" ht="24" customHeight="1">
      <c r="B493" s="74" t="n"/>
      <c r="C493" s="109" t="n"/>
      <c r="D493" s="72" t="n"/>
      <c r="E493" s="72" t="n"/>
      <c r="F493" s="72" t="n"/>
      <c r="G493" s="72" t="n"/>
      <c r="H493" s="113" t="n"/>
      <c r="I493" s="72" t="n"/>
      <c r="J493" s="73" t="n"/>
      <c r="K493" s="89" t="n"/>
      <c r="L493" s="74" t="n"/>
      <c r="M493" s="109" t="n"/>
      <c r="N493" s="68">
        <f>IF(AND(H493="",J493=""),"",ForecastTotal+IF(L493="Approved",0,IF(J493="",0,J493)))</f>
        <v/>
      </c>
      <c r="O493" s="75">
        <f>IF(N493="","",ContAmt-MAX(0,N493-WorkBudget))</f>
        <v/>
      </c>
      <c r="P493" s="120">
        <f>IF(OR(N493="",ForecastEnd=""),"",ForecastEnd+IF(L493="Approved",0,IF(K493="",0,K493)))</f>
        <v/>
      </c>
      <c r="Q493" s="121">
        <f>IF(OR(N493="",WorkBudget=0),"",N493/WorkBudget-1)</f>
        <v/>
      </c>
      <c r="R493" s="79">
        <f>IF(N493="","",IF(N493&lt;=WorkBudget,0,IF(N493&lt;=TotalBudget,1,2)))</f>
        <v/>
      </c>
      <c r="S493" s="112">
        <f>IF(AND(OR(H493&lt;&gt;"",J493&lt;&gt;""),OR(L493="Pending",L493=""),C493&lt;&gt;""),C493+3,"")</f>
        <v/>
      </c>
      <c r="T493" s="79">
        <f>IF(S493="","",IF(AsOf&gt;S493,1,2))</f>
        <v/>
      </c>
      <c r="U493" s="79">
        <f>IF(T493="","","Decide on change order "&amp;B493&amp;": "&amp;H493&amp;" (+"&amp;CurSym&amp;" "&amp;FIXED(IF(J493="",0,J493),0)&amp;")")</f>
        <v/>
      </c>
    </row>
    <row r="494" ht="24" customHeight="1">
      <c r="B494" s="74" t="n"/>
      <c r="C494" s="109" t="n"/>
      <c r="D494" s="72" t="n"/>
      <c r="E494" s="72" t="n"/>
      <c r="F494" s="72" t="n"/>
      <c r="G494" s="72" t="n"/>
      <c r="H494" s="113" t="n"/>
      <c r="I494" s="72" t="n"/>
      <c r="J494" s="73" t="n"/>
      <c r="K494" s="89" t="n"/>
      <c r="L494" s="74" t="n"/>
      <c r="M494" s="109" t="n"/>
      <c r="N494" s="68">
        <f>IF(AND(H494="",J494=""),"",ForecastTotal+IF(L494="Approved",0,IF(J494="",0,J494)))</f>
        <v/>
      </c>
      <c r="O494" s="75">
        <f>IF(N494="","",ContAmt-MAX(0,N494-WorkBudget))</f>
        <v/>
      </c>
      <c r="P494" s="120">
        <f>IF(OR(N494="",ForecastEnd=""),"",ForecastEnd+IF(L494="Approved",0,IF(K494="",0,K494)))</f>
        <v/>
      </c>
      <c r="Q494" s="121">
        <f>IF(OR(N494="",WorkBudget=0),"",N494/WorkBudget-1)</f>
        <v/>
      </c>
      <c r="R494" s="79">
        <f>IF(N494="","",IF(N494&lt;=WorkBudget,0,IF(N494&lt;=TotalBudget,1,2)))</f>
        <v/>
      </c>
      <c r="S494" s="112">
        <f>IF(AND(OR(H494&lt;&gt;"",J494&lt;&gt;""),OR(L494="Pending",L494=""),C494&lt;&gt;""),C494+3,"")</f>
        <v/>
      </c>
      <c r="T494" s="79">
        <f>IF(S494="","",IF(AsOf&gt;S494,1,2))</f>
        <v/>
      </c>
      <c r="U494" s="79">
        <f>IF(T494="","","Decide on change order "&amp;B494&amp;": "&amp;H494&amp;" (+"&amp;CurSym&amp;" "&amp;FIXED(IF(J494="",0,J494),0)&amp;")")</f>
        <v/>
      </c>
    </row>
    <row r="495" ht="24" customHeight="1">
      <c r="B495" s="74" t="n"/>
      <c r="C495" s="109" t="n"/>
      <c r="D495" s="72" t="n"/>
      <c r="E495" s="72" t="n"/>
      <c r="F495" s="72" t="n"/>
      <c r="G495" s="72" t="n"/>
      <c r="H495" s="113" t="n"/>
      <c r="I495" s="72" t="n"/>
      <c r="J495" s="73" t="n"/>
      <c r="K495" s="89" t="n"/>
      <c r="L495" s="74" t="n"/>
      <c r="M495" s="109" t="n"/>
      <c r="N495" s="68">
        <f>IF(AND(H495="",J495=""),"",ForecastTotal+IF(L495="Approved",0,IF(J495="",0,J495)))</f>
        <v/>
      </c>
      <c r="O495" s="75">
        <f>IF(N495="","",ContAmt-MAX(0,N495-WorkBudget))</f>
        <v/>
      </c>
      <c r="P495" s="120">
        <f>IF(OR(N495="",ForecastEnd=""),"",ForecastEnd+IF(L495="Approved",0,IF(K495="",0,K495)))</f>
        <v/>
      </c>
      <c r="Q495" s="121">
        <f>IF(OR(N495="",WorkBudget=0),"",N495/WorkBudget-1)</f>
        <v/>
      </c>
      <c r="R495" s="79">
        <f>IF(N495="","",IF(N495&lt;=WorkBudget,0,IF(N495&lt;=TotalBudget,1,2)))</f>
        <v/>
      </c>
      <c r="S495" s="112">
        <f>IF(AND(OR(H495&lt;&gt;"",J495&lt;&gt;""),OR(L495="Pending",L495=""),C495&lt;&gt;""),C495+3,"")</f>
        <v/>
      </c>
      <c r="T495" s="79">
        <f>IF(S495="","",IF(AsOf&gt;S495,1,2))</f>
        <v/>
      </c>
      <c r="U495" s="79">
        <f>IF(T495="","","Decide on change order "&amp;B495&amp;": "&amp;H495&amp;" (+"&amp;CurSym&amp;" "&amp;FIXED(IF(J495="",0,J495),0)&amp;")")</f>
        <v/>
      </c>
    </row>
    <row r="496" ht="24" customHeight="1">
      <c r="B496" s="74" t="n"/>
      <c r="C496" s="109" t="n"/>
      <c r="D496" s="72" t="n"/>
      <c r="E496" s="72" t="n"/>
      <c r="F496" s="72" t="n"/>
      <c r="G496" s="72" t="n"/>
      <c r="H496" s="113" t="n"/>
      <c r="I496" s="72" t="n"/>
      <c r="J496" s="73" t="n"/>
      <c r="K496" s="89" t="n"/>
      <c r="L496" s="74" t="n"/>
      <c r="M496" s="109" t="n"/>
      <c r="N496" s="68">
        <f>IF(AND(H496="",J496=""),"",ForecastTotal+IF(L496="Approved",0,IF(J496="",0,J496)))</f>
        <v/>
      </c>
      <c r="O496" s="75">
        <f>IF(N496="","",ContAmt-MAX(0,N496-WorkBudget))</f>
        <v/>
      </c>
      <c r="P496" s="120">
        <f>IF(OR(N496="",ForecastEnd=""),"",ForecastEnd+IF(L496="Approved",0,IF(K496="",0,K496)))</f>
        <v/>
      </c>
      <c r="Q496" s="121">
        <f>IF(OR(N496="",WorkBudget=0),"",N496/WorkBudget-1)</f>
        <v/>
      </c>
      <c r="R496" s="79">
        <f>IF(N496="","",IF(N496&lt;=WorkBudget,0,IF(N496&lt;=TotalBudget,1,2)))</f>
        <v/>
      </c>
      <c r="S496" s="112">
        <f>IF(AND(OR(H496&lt;&gt;"",J496&lt;&gt;""),OR(L496="Pending",L496=""),C496&lt;&gt;""),C496+3,"")</f>
        <v/>
      </c>
      <c r="T496" s="79">
        <f>IF(S496="","",IF(AsOf&gt;S496,1,2))</f>
        <v/>
      </c>
      <c r="U496" s="79">
        <f>IF(T496="","","Decide on change order "&amp;B496&amp;": "&amp;H496&amp;" (+"&amp;CurSym&amp;" "&amp;FIXED(IF(J496="",0,J496),0)&amp;")")</f>
        <v/>
      </c>
    </row>
    <row r="497" ht="24" customHeight="1">
      <c r="B497" s="74" t="n"/>
      <c r="C497" s="109" t="n"/>
      <c r="D497" s="72" t="n"/>
      <c r="E497" s="72" t="n"/>
      <c r="F497" s="72" t="n"/>
      <c r="G497" s="72" t="n"/>
      <c r="H497" s="113" t="n"/>
      <c r="I497" s="72" t="n"/>
      <c r="J497" s="73" t="n"/>
      <c r="K497" s="89" t="n"/>
      <c r="L497" s="74" t="n"/>
      <c r="M497" s="109" t="n"/>
      <c r="N497" s="68">
        <f>IF(AND(H497="",J497=""),"",ForecastTotal+IF(L497="Approved",0,IF(J497="",0,J497)))</f>
        <v/>
      </c>
      <c r="O497" s="75">
        <f>IF(N497="","",ContAmt-MAX(0,N497-WorkBudget))</f>
        <v/>
      </c>
      <c r="P497" s="120">
        <f>IF(OR(N497="",ForecastEnd=""),"",ForecastEnd+IF(L497="Approved",0,IF(K497="",0,K497)))</f>
        <v/>
      </c>
      <c r="Q497" s="121">
        <f>IF(OR(N497="",WorkBudget=0),"",N497/WorkBudget-1)</f>
        <v/>
      </c>
      <c r="R497" s="79">
        <f>IF(N497="","",IF(N497&lt;=WorkBudget,0,IF(N497&lt;=TotalBudget,1,2)))</f>
        <v/>
      </c>
      <c r="S497" s="112">
        <f>IF(AND(OR(H497&lt;&gt;"",J497&lt;&gt;""),OR(L497="Pending",L497=""),C497&lt;&gt;""),C497+3,"")</f>
        <v/>
      </c>
      <c r="T497" s="79">
        <f>IF(S497="","",IF(AsOf&gt;S497,1,2))</f>
        <v/>
      </c>
      <c r="U497" s="79">
        <f>IF(T497="","","Decide on change order "&amp;B497&amp;": "&amp;H497&amp;" (+"&amp;CurSym&amp;" "&amp;FIXED(IF(J497="",0,J497),0)&amp;")")</f>
        <v/>
      </c>
    </row>
    <row r="498" ht="24" customHeight="1">
      <c r="B498" s="74" t="n"/>
      <c r="C498" s="109" t="n"/>
      <c r="D498" s="72" t="n"/>
      <c r="E498" s="72" t="n"/>
      <c r="F498" s="72" t="n"/>
      <c r="G498" s="72" t="n"/>
      <c r="H498" s="113" t="n"/>
      <c r="I498" s="72" t="n"/>
      <c r="J498" s="73" t="n"/>
      <c r="K498" s="89" t="n"/>
      <c r="L498" s="74" t="n"/>
      <c r="M498" s="109" t="n"/>
      <c r="N498" s="68">
        <f>IF(AND(H498="",J498=""),"",ForecastTotal+IF(L498="Approved",0,IF(J498="",0,J498)))</f>
        <v/>
      </c>
      <c r="O498" s="75">
        <f>IF(N498="","",ContAmt-MAX(0,N498-WorkBudget))</f>
        <v/>
      </c>
      <c r="P498" s="120">
        <f>IF(OR(N498="",ForecastEnd=""),"",ForecastEnd+IF(L498="Approved",0,IF(K498="",0,K498)))</f>
        <v/>
      </c>
      <c r="Q498" s="121">
        <f>IF(OR(N498="",WorkBudget=0),"",N498/WorkBudget-1)</f>
        <v/>
      </c>
      <c r="R498" s="79">
        <f>IF(N498="","",IF(N498&lt;=WorkBudget,0,IF(N498&lt;=TotalBudget,1,2)))</f>
        <v/>
      </c>
      <c r="S498" s="112">
        <f>IF(AND(OR(H498&lt;&gt;"",J498&lt;&gt;""),OR(L498="Pending",L498=""),C498&lt;&gt;""),C498+3,"")</f>
        <v/>
      </c>
      <c r="T498" s="79">
        <f>IF(S498="","",IF(AsOf&gt;S498,1,2))</f>
        <v/>
      </c>
      <c r="U498" s="79">
        <f>IF(T498="","","Decide on change order "&amp;B498&amp;": "&amp;H498&amp;" (+"&amp;CurSym&amp;" "&amp;FIXED(IF(J498="",0,J498),0)&amp;")")</f>
        <v/>
      </c>
    </row>
    <row r="499" ht="24" customHeight="1">
      <c r="B499" s="74" t="n"/>
      <c r="C499" s="109" t="n"/>
      <c r="D499" s="72" t="n"/>
      <c r="E499" s="72" t="n"/>
      <c r="F499" s="72" t="n"/>
      <c r="G499" s="72" t="n"/>
      <c r="H499" s="113" t="n"/>
      <c r="I499" s="72" t="n"/>
      <c r="J499" s="73" t="n"/>
      <c r="K499" s="89" t="n"/>
      <c r="L499" s="74" t="n"/>
      <c r="M499" s="109" t="n"/>
      <c r="N499" s="68">
        <f>IF(AND(H499="",J499=""),"",ForecastTotal+IF(L499="Approved",0,IF(J499="",0,J499)))</f>
        <v/>
      </c>
      <c r="O499" s="75">
        <f>IF(N499="","",ContAmt-MAX(0,N499-WorkBudget))</f>
        <v/>
      </c>
      <c r="P499" s="120">
        <f>IF(OR(N499="",ForecastEnd=""),"",ForecastEnd+IF(L499="Approved",0,IF(K499="",0,K499)))</f>
        <v/>
      </c>
      <c r="Q499" s="121">
        <f>IF(OR(N499="",WorkBudget=0),"",N499/WorkBudget-1)</f>
        <v/>
      </c>
      <c r="R499" s="79">
        <f>IF(N499="","",IF(N499&lt;=WorkBudget,0,IF(N499&lt;=TotalBudget,1,2)))</f>
        <v/>
      </c>
      <c r="S499" s="112">
        <f>IF(AND(OR(H499&lt;&gt;"",J499&lt;&gt;""),OR(L499="Pending",L499=""),C499&lt;&gt;""),C499+3,"")</f>
        <v/>
      </c>
      <c r="T499" s="79">
        <f>IF(S499="","",IF(AsOf&gt;S499,1,2))</f>
        <v/>
      </c>
      <c r="U499" s="79">
        <f>IF(T499="","","Decide on change order "&amp;B499&amp;": "&amp;H499&amp;" (+"&amp;CurSym&amp;" "&amp;FIXED(IF(J499="",0,J499),0)&amp;")")</f>
        <v/>
      </c>
    </row>
    <row r="500" ht="24" customHeight="1">
      <c r="B500" s="74" t="n"/>
      <c r="C500" s="109" t="n"/>
      <c r="D500" s="72" t="n"/>
      <c r="E500" s="72" t="n"/>
      <c r="F500" s="72" t="n"/>
      <c r="G500" s="72" t="n"/>
      <c r="H500" s="113" t="n"/>
      <c r="I500" s="72" t="n"/>
      <c r="J500" s="73" t="n"/>
      <c r="K500" s="89" t="n"/>
      <c r="L500" s="74" t="n"/>
      <c r="M500" s="109" t="n"/>
      <c r="N500" s="68">
        <f>IF(AND(H500="",J500=""),"",ForecastTotal+IF(L500="Approved",0,IF(J500="",0,J500)))</f>
        <v/>
      </c>
      <c r="O500" s="75">
        <f>IF(N500="","",ContAmt-MAX(0,N500-WorkBudget))</f>
        <v/>
      </c>
      <c r="P500" s="120">
        <f>IF(OR(N500="",ForecastEnd=""),"",ForecastEnd+IF(L500="Approved",0,IF(K500="",0,K500)))</f>
        <v/>
      </c>
      <c r="Q500" s="121">
        <f>IF(OR(N500="",WorkBudget=0),"",N500/WorkBudget-1)</f>
        <v/>
      </c>
      <c r="R500" s="79">
        <f>IF(N500="","",IF(N500&lt;=WorkBudget,0,IF(N500&lt;=TotalBudget,1,2)))</f>
        <v/>
      </c>
      <c r="S500" s="112">
        <f>IF(AND(OR(H500&lt;&gt;"",J500&lt;&gt;""),OR(L500="Pending",L500=""),C500&lt;&gt;""),C500+3,"")</f>
        <v/>
      </c>
      <c r="T500" s="79">
        <f>IF(S500="","",IF(AsOf&gt;S500,1,2))</f>
        <v/>
      </c>
      <c r="U500" s="79">
        <f>IF(T500="","","Decide on change order "&amp;B500&amp;": "&amp;H500&amp;" (+"&amp;CurSym&amp;" "&amp;FIXED(IF(J500="",0,J500),0)&amp;")")</f>
        <v/>
      </c>
    </row>
    <row r="501" ht="24" customHeight="1">
      <c r="B501" s="74" t="n"/>
      <c r="C501" s="109" t="n"/>
      <c r="D501" s="72" t="n"/>
      <c r="E501" s="72" t="n"/>
      <c r="F501" s="72" t="n"/>
      <c r="G501" s="72" t="n"/>
      <c r="H501" s="113" t="n"/>
      <c r="I501" s="72" t="n"/>
      <c r="J501" s="73" t="n"/>
      <c r="K501" s="89" t="n"/>
      <c r="L501" s="74" t="n"/>
      <c r="M501" s="109" t="n"/>
      <c r="N501" s="68">
        <f>IF(AND(H501="",J501=""),"",ForecastTotal+IF(L501="Approved",0,IF(J501="",0,J501)))</f>
        <v/>
      </c>
      <c r="O501" s="75">
        <f>IF(N501="","",ContAmt-MAX(0,N501-WorkBudget))</f>
        <v/>
      </c>
      <c r="P501" s="120">
        <f>IF(OR(N501="",ForecastEnd=""),"",ForecastEnd+IF(L501="Approved",0,IF(K501="",0,K501)))</f>
        <v/>
      </c>
      <c r="Q501" s="121">
        <f>IF(OR(N501="",WorkBudget=0),"",N501/WorkBudget-1)</f>
        <v/>
      </c>
      <c r="R501" s="79">
        <f>IF(N501="","",IF(N501&lt;=WorkBudget,0,IF(N501&lt;=TotalBudget,1,2)))</f>
        <v/>
      </c>
      <c r="S501" s="112">
        <f>IF(AND(OR(H501&lt;&gt;"",J501&lt;&gt;""),OR(L501="Pending",L501=""),C501&lt;&gt;""),C501+3,"")</f>
        <v/>
      </c>
      <c r="T501" s="79">
        <f>IF(S501="","",IF(AsOf&gt;S501,1,2))</f>
        <v/>
      </c>
      <c r="U501" s="79">
        <f>IF(T501="","","Decide on change order "&amp;B501&amp;": "&amp;H501&amp;" (+"&amp;CurSym&amp;" "&amp;FIXED(IF(J501="",0,J501),0)&amp;")")</f>
        <v/>
      </c>
    </row>
    <row r="502" ht="24" customHeight="1">
      <c r="B502" s="74" t="n"/>
      <c r="C502" s="109" t="n"/>
      <c r="D502" s="72" t="n"/>
      <c r="E502" s="72" t="n"/>
      <c r="F502" s="72" t="n"/>
      <c r="G502" s="72" t="n"/>
      <c r="H502" s="113" t="n"/>
      <c r="I502" s="72" t="n"/>
      <c r="J502" s="73" t="n"/>
      <c r="K502" s="89" t="n"/>
      <c r="L502" s="74" t="n"/>
      <c r="M502" s="109" t="n"/>
      <c r="N502" s="68">
        <f>IF(AND(H502="",J502=""),"",ForecastTotal+IF(L502="Approved",0,IF(J502="",0,J502)))</f>
        <v/>
      </c>
      <c r="O502" s="75">
        <f>IF(N502="","",ContAmt-MAX(0,N502-WorkBudget))</f>
        <v/>
      </c>
      <c r="P502" s="120">
        <f>IF(OR(N502="",ForecastEnd=""),"",ForecastEnd+IF(L502="Approved",0,IF(K502="",0,K502)))</f>
        <v/>
      </c>
      <c r="Q502" s="121">
        <f>IF(OR(N502="",WorkBudget=0),"",N502/WorkBudget-1)</f>
        <v/>
      </c>
      <c r="R502" s="79">
        <f>IF(N502="","",IF(N502&lt;=WorkBudget,0,IF(N502&lt;=TotalBudget,1,2)))</f>
        <v/>
      </c>
      <c r="S502" s="112">
        <f>IF(AND(OR(H502&lt;&gt;"",J502&lt;&gt;""),OR(L502="Pending",L502=""),C502&lt;&gt;""),C502+3,"")</f>
        <v/>
      </c>
      <c r="T502" s="79">
        <f>IF(S502="","",IF(AsOf&gt;S502,1,2))</f>
        <v/>
      </c>
      <c r="U502" s="79">
        <f>IF(T502="","","Decide on change order "&amp;B502&amp;": "&amp;H502&amp;" (+"&amp;CurSym&amp;" "&amp;FIXED(IF(J502="",0,J502),0)&amp;")")</f>
        <v/>
      </c>
    </row>
    <row r="503" ht="24" customHeight="1">
      <c r="B503" s="74" t="n"/>
      <c r="C503" s="109" t="n"/>
      <c r="D503" s="72" t="n"/>
      <c r="E503" s="72" t="n"/>
      <c r="F503" s="72" t="n"/>
      <c r="G503" s="72" t="n"/>
      <c r="H503" s="113" t="n"/>
      <c r="I503" s="72" t="n"/>
      <c r="J503" s="73" t="n"/>
      <c r="K503" s="89" t="n"/>
      <c r="L503" s="74" t="n"/>
      <c r="M503" s="109" t="n"/>
      <c r="N503" s="68">
        <f>IF(AND(H503="",J503=""),"",ForecastTotal+IF(L503="Approved",0,IF(J503="",0,J503)))</f>
        <v/>
      </c>
      <c r="O503" s="75">
        <f>IF(N503="","",ContAmt-MAX(0,N503-WorkBudget))</f>
        <v/>
      </c>
      <c r="P503" s="120">
        <f>IF(OR(N503="",ForecastEnd=""),"",ForecastEnd+IF(L503="Approved",0,IF(K503="",0,K503)))</f>
        <v/>
      </c>
      <c r="Q503" s="121">
        <f>IF(OR(N503="",WorkBudget=0),"",N503/WorkBudget-1)</f>
        <v/>
      </c>
      <c r="R503" s="79">
        <f>IF(N503="","",IF(N503&lt;=WorkBudget,0,IF(N503&lt;=TotalBudget,1,2)))</f>
        <v/>
      </c>
      <c r="S503" s="112">
        <f>IF(AND(OR(H503&lt;&gt;"",J503&lt;&gt;""),OR(L503="Pending",L503=""),C503&lt;&gt;""),C503+3,"")</f>
        <v/>
      </c>
      <c r="T503" s="79">
        <f>IF(S503="","",IF(AsOf&gt;S503,1,2))</f>
        <v/>
      </c>
      <c r="U503" s="79">
        <f>IF(T503="","","Decide on change order "&amp;B503&amp;": "&amp;H503&amp;" (+"&amp;CurSym&amp;" "&amp;FIXED(IF(J503="",0,J503),0)&amp;")")</f>
        <v/>
      </c>
    </row>
    <row r="504" ht="24" customHeight="1">
      <c r="B504" s="74" t="n"/>
      <c r="C504" s="109" t="n"/>
      <c r="D504" s="72" t="n"/>
      <c r="E504" s="72" t="n"/>
      <c r="F504" s="72" t="n"/>
      <c r="G504" s="72" t="n"/>
      <c r="H504" s="113" t="n"/>
      <c r="I504" s="72" t="n"/>
      <c r="J504" s="73" t="n"/>
      <c r="K504" s="89" t="n"/>
      <c r="L504" s="74" t="n"/>
      <c r="M504" s="109" t="n"/>
      <c r="N504" s="68">
        <f>IF(AND(H504="",J504=""),"",ForecastTotal+IF(L504="Approved",0,IF(J504="",0,J504)))</f>
        <v/>
      </c>
      <c r="O504" s="75">
        <f>IF(N504="","",ContAmt-MAX(0,N504-WorkBudget))</f>
        <v/>
      </c>
      <c r="P504" s="120">
        <f>IF(OR(N504="",ForecastEnd=""),"",ForecastEnd+IF(L504="Approved",0,IF(K504="",0,K504)))</f>
        <v/>
      </c>
      <c r="Q504" s="121">
        <f>IF(OR(N504="",WorkBudget=0),"",N504/WorkBudget-1)</f>
        <v/>
      </c>
      <c r="R504" s="79">
        <f>IF(N504="","",IF(N504&lt;=WorkBudget,0,IF(N504&lt;=TotalBudget,1,2)))</f>
        <v/>
      </c>
      <c r="S504" s="112">
        <f>IF(AND(OR(H504&lt;&gt;"",J504&lt;&gt;""),OR(L504="Pending",L504=""),C504&lt;&gt;""),C504+3,"")</f>
        <v/>
      </c>
      <c r="T504" s="79">
        <f>IF(S504="","",IF(AsOf&gt;S504,1,2))</f>
        <v/>
      </c>
      <c r="U504" s="79">
        <f>IF(T504="","","Decide on change order "&amp;B504&amp;": "&amp;H504&amp;" (+"&amp;CurSym&amp;" "&amp;FIXED(IF(J504="",0,J504),0)&amp;")")</f>
        <v/>
      </c>
    </row>
    <row r="505" ht="24" customHeight="1">
      <c r="B505" s="74" t="n"/>
      <c r="C505" s="109" t="n"/>
      <c r="D505" s="72" t="n"/>
      <c r="E505" s="72" t="n"/>
      <c r="F505" s="72" t="n"/>
      <c r="G505" s="72" t="n"/>
      <c r="H505" s="113" t="n"/>
      <c r="I505" s="72" t="n"/>
      <c r="J505" s="73" t="n"/>
      <c r="K505" s="89" t="n"/>
      <c r="L505" s="74" t="n"/>
      <c r="M505" s="109" t="n"/>
      <c r="N505" s="68">
        <f>IF(AND(H505="",J505=""),"",ForecastTotal+IF(L505="Approved",0,IF(J505="",0,J505)))</f>
        <v/>
      </c>
      <c r="O505" s="75">
        <f>IF(N505="","",ContAmt-MAX(0,N505-WorkBudget))</f>
        <v/>
      </c>
      <c r="P505" s="120">
        <f>IF(OR(N505="",ForecastEnd=""),"",ForecastEnd+IF(L505="Approved",0,IF(K505="",0,K505)))</f>
        <v/>
      </c>
      <c r="Q505" s="121">
        <f>IF(OR(N505="",WorkBudget=0),"",N505/WorkBudget-1)</f>
        <v/>
      </c>
      <c r="R505" s="79">
        <f>IF(N505="","",IF(N505&lt;=WorkBudget,0,IF(N505&lt;=TotalBudget,1,2)))</f>
        <v/>
      </c>
      <c r="S505" s="112">
        <f>IF(AND(OR(H505&lt;&gt;"",J505&lt;&gt;""),OR(L505="Pending",L505=""),C505&lt;&gt;""),C505+3,"")</f>
        <v/>
      </c>
      <c r="T505" s="79">
        <f>IF(S505="","",IF(AsOf&gt;S505,1,2))</f>
        <v/>
      </c>
      <c r="U505" s="79">
        <f>IF(T505="","","Decide on change order "&amp;B505&amp;": "&amp;H505&amp;" (+"&amp;CurSym&amp;" "&amp;FIXED(IF(J505="",0,J505),0)&amp;")")</f>
        <v/>
      </c>
    </row>
    <row r="506" ht="24" customHeight="1">
      <c r="B506" s="74" t="n"/>
      <c r="C506" s="109" t="n"/>
      <c r="D506" s="72" t="n"/>
      <c r="E506" s="72" t="n"/>
      <c r="F506" s="72" t="n"/>
      <c r="G506" s="72" t="n"/>
      <c r="H506" s="113" t="n"/>
      <c r="I506" s="72" t="n"/>
      <c r="J506" s="73" t="n"/>
      <c r="K506" s="89" t="n"/>
      <c r="L506" s="74" t="n"/>
      <c r="M506" s="109" t="n"/>
      <c r="N506" s="68">
        <f>IF(AND(H506="",J506=""),"",ForecastTotal+IF(L506="Approved",0,IF(J506="",0,J506)))</f>
        <v/>
      </c>
      <c r="O506" s="75">
        <f>IF(N506="","",ContAmt-MAX(0,N506-WorkBudget))</f>
        <v/>
      </c>
      <c r="P506" s="120">
        <f>IF(OR(N506="",ForecastEnd=""),"",ForecastEnd+IF(L506="Approved",0,IF(K506="",0,K506)))</f>
        <v/>
      </c>
      <c r="Q506" s="121">
        <f>IF(OR(N506="",WorkBudget=0),"",N506/WorkBudget-1)</f>
        <v/>
      </c>
      <c r="R506" s="79">
        <f>IF(N506="","",IF(N506&lt;=WorkBudget,0,IF(N506&lt;=TotalBudget,1,2)))</f>
        <v/>
      </c>
      <c r="S506" s="112">
        <f>IF(AND(OR(H506&lt;&gt;"",J506&lt;&gt;""),OR(L506="Pending",L506=""),C506&lt;&gt;""),C506+3,"")</f>
        <v/>
      </c>
      <c r="T506" s="79">
        <f>IF(S506="","",IF(AsOf&gt;S506,1,2))</f>
        <v/>
      </c>
      <c r="U506" s="79">
        <f>IF(T506="","","Decide on change order "&amp;B506&amp;": "&amp;H506&amp;" (+"&amp;CurSym&amp;" "&amp;FIXED(IF(J506="",0,J506),0)&amp;")")</f>
        <v/>
      </c>
    </row>
    <row r="507" ht="24" customHeight="1">
      <c r="B507" s="74" t="n"/>
      <c r="C507" s="109" t="n"/>
      <c r="D507" s="72" t="n"/>
      <c r="E507" s="72" t="n"/>
      <c r="F507" s="72" t="n"/>
      <c r="G507" s="72" t="n"/>
      <c r="H507" s="113" t="n"/>
      <c r="I507" s="72" t="n"/>
      <c r="J507" s="73" t="n"/>
      <c r="K507" s="89" t="n"/>
      <c r="L507" s="74" t="n"/>
      <c r="M507" s="109" t="n"/>
      <c r="N507" s="68">
        <f>IF(AND(H507="",J507=""),"",ForecastTotal+IF(L507="Approved",0,IF(J507="",0,J507)))</f>
        <v/>
      </c>
      <c r="O507" s="75">
        <f>IF(N507="","",ContAmt-MAX(0,N507-WorkBudget))</f>
        <v/>
      </c>
      <c r="P507" s="120">
        <f>IF(OR(N507="",ForecastEnd=""),"",ForecastEnd+IF(L507="Approved",0,IF(K507="",0,K507)))</f>
        <v/>
      </c>
      <c r="Q507" s="121">
        <f>IF(OR(N507="",WorkBudget=0),"",N507/WorkBudget-1)</f>
        <v/>
      </c>
      <c r="R507" s="79">
        <f>IF(N507="","",IF(N507&lt;=WorkBudget,0,IF(N507&lt;=TotalBudget,1,2)))</f>
        <v/>
      </c>
      <c r="S507" s="112">
        <f>IF(AND(OR(H507&lt;&gt;"",J507&lt;&gt;""),OR(L507="Pending",L507=""),C507&lt;&gt;""),C507+3,"")</f>
        <v/>
      </c>
      <c r="T507" s="79">
        <f>IF(S507="","",IF(AsOf&gt;S507,1,2))</f>
        <v/>
      </c>
      <c r="U507" s="79">
        <f>IF(T507="","","Decide on change order "&amp;B507&amp;": "&amp;H507&amp;" (+"&amp;CurSym&amp;" "&amp;FIXED(IF(J507="",0,J507),0)&amp;")")</f>
        <v/>
      </c>
    </row>
    <row r="508" ht="24" customHeight="1">
      <c r="B508" s="74" t="n"/>
      <c r="C508" s="109" t="n"/>
      <c r="D508" s="72" t="n"/>
      <c r="E508" s="72" t="n"/>
      <c r="F508" s="72" t="n"/>
      <c r="G508" s="72" t="n"/>
      <c r="H508" s="113" t="n"/>
      <c r="I508" s="72" t="n"/>
      <c r="J508" s="73" t="n"/>
      <c r="K508" s="89" t="n"/>
      <c r="L508" s="74" t="n"/>
      <c r="M508" s="109" t="n"/>
      <c r="N508" s="68">
        <f>IF(AND(H508="",J508=""),"",ForecastTotal+IF(L508="Approved",0,IF(J508="",0,J508)))</f>
        <v/>
      </c>
      <c r="O508" s="75">
        <f>IF(N508="","",ContAmt-MAX(0,N508-WorkBudget))</f>
        <v/>
      </c>
      <c r="P508" s="120">
        <f>IF(OR(N508="",ForecastEnd=""),"",ForecastEnd+IF(L508="Approved",0,IF(K508="",0,K508)))</f>
        <v/>
      </c>
      <c r="Q508" s="121">
        <f>IF(OR(N508="",WorkBudget=0),"",N508/WorkBudget-1)</f>
        <v/>
      </c>
      <c r="R508" s="79">
        <f>IF(N508="","",IF(N508&lt;=WorkBudget,0,IF(N508&lt;=TotalBudget,1,2)))</f>
        <v/>
      </c>
      <c r="S508" s="112">
        <f>IF(AND(OR(H508&lt;&gt;"",J508&lt;&gt;""),OR(L508="Pending",L508=""),C508&lt;&gt;""),C508+3,"")</f>
        <v/>
      </c>
      <c r="T508" s="79">
        <f>IF(S508="","",IF(AsOf&gt;S508,1,2))</f>
        <v/>
      </c>
      <c r="U508" s="79">
        <f>IF(T508="","","Decide on change order "&amp;B508&amp;": "&amp;H508&amp;" (+"&amp;CurSym&amp;" "&amp;FIXED(IF(J508="",0,J508),0)&amp;")")</f>
        <v/>
      </c>
    </row>
    <row r="509" ht="24" customHeight="1">
      <c r="B509" s="74" t="n"/>
      <c r="C509" s="109" t="n"/>
      <c r="D509" s="72" t="n"/>
      <c r="E509" s="72" t="n"/>
      <c r="F509" s="72" t="n"/>
      <c r="G509" s="72" t="n"/>
      <c r="H509" s="113" t="n"/>
      <c r="I509" s="72" t="n"/>
      <c r="J509" s="73" t="n"/>
      <c r="K509" s="89" t="n"/>
      <c r="L509" s="74" t="n"/>
      <c r="M509" s="109" t="n"/>
      <c r="N509" s="68">
        <f>IF(AND(H509="",J509=""),"",ForecastTotal+IF(L509="Approved",0,IF(J509="",0,J509)))</f>
        <v/>
      </c>
      <c r="O509" s="75">
        <f>IF(N509="","",ContAmt-MAX(0,N509-WorkBudget))</f>
        <v/>
      </c>
      <c r="P509" s="120">
        <f>IF(OR(N509="",ForecastEnd=""),"",ForecastEnd+IF(L509="Approved",0,IF(K509="",0,K509)))</f>
        <v/>
      </c>
      <c r="Q509" s="121">
        <f>IF(OR(N509="",WorkBudget=0),"",N509/WorkBudget-1)</f>
        <v/>
      </c>
      <c r="R509" s="79">
        <f>IF(N509="","",IF(N509&lt;=WorkBudget,0,IF(N509&lt;=TotalBudget,1,2)))</f>
        <v/>
      </c>
      <c r="S509" s="112">
        <f>IF(AND(OR(H509&lt;&gt;"",J509&lt;&gt;""),OR(L509="Pending",L509=""),C509&lt;&gt;""),C509+3,"")</f>
        <v/>
      </c>
      <c r="T509" s="79">
        <f>IF(S509="","",IF(AsOf&gt;S509,1,2))</f>
        <v/>
      </c>
      <c r="U509" s="79">
        <f>IF(T509="","","Decide on change order "&amp;B509&amp;": "&amp;H509&amp;" (+"&amp;CurSym&amp;" "&amp;FIXED(IF(J509="",0,J509),0)&amp;")")</f>
        <v/>
      </c>
    </row>
    <row r="510" ht="24" customHeight="1">
      <c r="B510" s="74" t="n"/>
      <c r="C510" s="109" t="n"/>
      <c r="D510" s="72" t="n"/>
      <c r="E510" s="72" t="n"/>
      <c r="F510" s="72" t="n"/>
      <c r="G510" s="72" t="n"/>
      <c r="H510" s="113" t="n"/>
      <c r="I510" s="72" t="n"/>
      <c r="J510" s="73" t="n"/>
      <c r="K510" s="89" t="n"/>
      <c r="L510" s="74" t="n"/>
      <c r="M510" s="109" t="n"/>
      <c r="N510" s="68">
        <f>IF(AND(H510="",J510=""),"",ForecastTotal+IF(L510="Approved",0,IF(J510="",0,J510)))</f>
        <v/>
      </c>
      <c r="O510" s="75">
        <f>IF(N510="","",ContAmt-MAX(0,N510-WorkBudget))</f>
        <v/>
      </c>
      <c r="P510" s="120">
        <f>IF(OR(N510="",ForecastEnd=""),"",ForecastEnd+IF(L510="Approved",0,IF(K510="",0,K510)))</f>
        <v/>
      </c>
      <c r="Q510" s="121">
        <f>IF(OR(N510="",WorkBudget=0),"",N510/WorkBudget-1)</f>
        <v/>
      </c>
      <c r="R510" s="79">
        <f>IF(N510="","",IF(N510&lt;=WorkBudget,0,IF(N510&lt;=TotalBudget,1,2)))</f>
        <v/>
      </c>
      <c r="S510" s="112">
        <f>IF(AND(OR(H510&lt;&gt;"",J510&lt;&gt;""),OR(L510="Pending",L510=""),C510&lt;&gt;""),C510+3,"")</f>
        <v/>
      </c>
      <c r="T510" s="79">
        <f>IF(S510="","",IF(AsOf&gt;S510,1,2))</f>
        <v/>
      </c>
      <c r="U510" s="79">
        <f>IF(T510="","","Decide on change order "&amp;B510&amp;": "&amp;H510&amp;" (+"&amp;CurSym&amp;" "&amp;FIXED(IF(J510="",0,J510),0)&amp;")")</f>
        <v/>
      </c>
    </row>
    <row r="511" ht="24" customHeight="1">
      <c r="B511" s="74" t="n"/>
      <c r="C511" s="109" t="n"/>
      <c r="D511" s="72" t="n"/>
      <c r="E511" s="72" t="n"/>
      <c r="F511" s="72" t="n"/>
      <c r="G511" s="72" t="n"/>
      <c r="H511" s="113" t="n"/>
      <c r="I511" s="72" t="n"/>
      <c r="J511" s="73" t="n"/>
      <c r="K511" s="89" t="n"/>
      <c r="L511" s="74" t="n"/>
      <c r="M511" s="109" t="n"/>
      <c r="N511" s="68">
        <f>IF(AND(H511="",J511=""),"",ForecastTotal+IF(L511="Approved",0,IF(J511="",0,J511)))</f>
        <v/>
      </c>
      <c r="O511" s="75">
        <f>IF(N511="","",ContAmt-MAX(0,N511-WorkBudget))</f>
        <v/>
      </c>
      <c r="P511" s="120">
        <f>IF(OR(N511="",ForecastEnd=""),"",ForecastEnd+IF(L511="Approved",0,IF(K511="",0,K511)))</f>
        <v/>
      </c>
      <c r="Q511" s="121">
        <f>IF(OR(N511="",WorkBudget=0),"",N511/WorkBudget-1)</f>
        <v/>
      </c>
      <c r="R511" s="79">
        <f>IF(N511="","",IF(N511&lt;=WorkBudget,0,IF(N511&lt;=TotalBudget,1,2)))</f>
        <v/>
      </c>
      <c r="S511" s="112">
        <f>IF(AND(OR(H511&lt;&gt;"",J511&lt;&gt;""),OR(L511="Pending",L511=""),C511&lt;&gt;""),C511+3,"")</f>
        <v/>
      </c>
      <c r="T511" s="79">
        <f>IF(S511="","",IF(AsOf&gt;S511,1,2))</f>
        <v/>
      </c>
      <c r="U511" s="79">
        <f>IF(T511="","","Decide on change order "&amp;B511&amp;": "&amp;H511&amp;" (+"&amp;CurSym&amp;" "&amp;FIXED(IF(J511="",0,J511),0)&amp;")")</f>
        <v/>
      </c>
    </row>
    <row r="512" ht="24" customHeight="1">
      <c r="B512" s="74" t="n"/>
      <c r="C512" s="109" t="n"/>
      <c r="D512" s="72" t="n"/>
      <c r="E512" s="72" t="n"/>
      <c r="F512" s="72" t="n"/>
      <c r="G512" s="72" t="n"/>
      <c r="H512" s="113" t="n"/>
      <c r="I512" s="72" t="n"/>
      <c r="J512" s="73" t="n"/>
      <c r="K512" s="89" t="n"/>
      <c r="L512" s="74" t="n"/>
      <c r="M512" s="109" t="n"/>
      <c r="N512" s="68">
        <f>IF(AND(H512="",J512=""),"",ForecastTotal+IF(L512="Approved",0,IF(J512="",0,J512)))</f>
        <v/>
      </c>
      <c r="O512" s="75">
        <f>IF(N512="","",ContAmt-MAX(0,N512-WorkBudget))</f>
        <v/>
      </c>
      <c r="P512" s="120">
        <f>IF(OR(N512="",ForecastEnd=""),"",ForecastEnd+IF(L512="Approved",0,IF(K512="",0,K512)))</f>
        <v/>
      </c>
      <c r="Q512" s="121">
        <f>IF(OR(N512="",WorkBudget=0),"",N512/WorkBudget-1)</f>
        <v/>
      </c>
      <c r="R512" s="79">
        <f>IF(N512="","",IF(N512&lt;=WorkBudget,0,IF(N512&lt;=TotalBudget,1,2)))</f>
        <v/>
      </c>
      <c r="S512" s="112">
        <f>IF(AND(OR(H512&lt;&gt;"",J512&lt;&gt;""),OR(L512="Pending",L512=""),C512&lt;&gt;""),C512+3,"")</f>
        <v/>
      </c>
      <c r="T512" s="79">
        <f>IF(S512="","",IF(AsOf&gt;S512,1,2))</f>
        <v/>
      </c>
      <c r="U512" s="79">
        <f>IF(T512="","","Decide on change order "&amp;B512&amp;": "&amp;H512&amp;" (+"&amp;CurSym&amp;" "&amp;FIXED(IF(J512="",0,J512),0)&amp;")")</f>
        <v/>
      </c>
    </row>
    <row r="513" ht="24" customHeight="1">
      <c r="B513" s="74" t="n"/>
      <c r="C513" s="109" t="n"/>
      <c r="D513" s="72" t="n"/>
      <c r="E513" s="72" t="n"/>
      <c r="F513" s="72" t="n"/>
      <c r="G513" s="72" t="n"/>
      <c r="H513" s="113" t="n"/>
      <c r="I513" s="72" t="n"/>
      <c r="J513" s="73" t="n"/>
      <c r="K513" s="89" t="n"/>
      <c r="L513" s="74" t="n"/>
      <c r="M513" s="109" t="n"/>
      <c r="N513" s="68">
        <f>IF(AND(H513="",J513=""),"",ForecastTotal+IF(L513="Approved",0,IF(J513="",0,J513)))</f>
        <v/>
      </c>
      <c r="O513" s="75">
        <f>IF(N513="","",ContAmt-MAX(0,N513-WorkBudget))</f>
        <v/>
      </c>
      <c r="P513" s="120">
        <f>IF(OR(N513="",ForecastEnd=""),"",ForecastEnd+IF(L513="Approved",0,IF(K513="",0,K513)))</f>
        <v/>
      </c>
      <c r="Q513" s="121">
        <f>IF(OR(N513="",WorkBudget=0),"",N513/WorkBudget-1)</f>
        <v/>
      </c>
      <c r="R513" s="79">
        <f>IF(N513="","",IF(N513&lt;=WorkBudget,0,IF(N513&lt;=TotalBudget,1,2)))</f>
        <v/>
      </c>
      <c r="S513" s="112">
        <f>IF(AND(OR(H513&lt;&gt;"",J513&lt;&gt;""),OR(L513="Pending",L513=""),C513&lt;&gt;""),C513+3,"")</f>
        <v/>
      </c>
      <c r="T513" s="79">
        <f>IF(S513="","",IF(AsOf&gt;S513,1,2))</f>
        <v/>
      </c>
      <c r="U513" s="79">
        <f>IF(T513="","","Decide on change order "&amp;B513&amp;": "&amp;H513&amp;" (+"&amp;CurSym&amp;" "&amp;FIXED(IF(J513="",0,J513),0)&amp;")")</f>
        <v/>
      </c>
    </row>
    <row r="514" ht="24" customHeight="1">
      <c r="B514" s="74" t="n"/>
      <c r="C514" s="109" t="n"/>
      <c r="D514" s="72" t="n"/>
      <c r="E514" s="72" t="n"/>
      <c r="F514" s="72" t="n"/>
      <c r="G514" s="72" t="n"/>
      <c r="H514" s="113" t="n"/>
      <c r="I514" s="72" t="n"/>
      <c r="J514" s="73" t="n"/>
      <c r="K514" s="89" t="n"/>
      <c r="L514" s="74" t="n"/>
      <c r="M514" s="109" t="n"/>
      <c r="N514" s="68">
        <f>IF(AND(H514="",J514=""),"",ForecastTotal+IF(L514="Approved",0,IF(J514="",0,J514)))</f>
        <v/>
      </c>
      <c r="O514" s="75">
        <f>IF(N514="","",ContAmt-MAX(0,N514-WorkBudget))</f>
        <v/>
      </c>
      <c r="P514" s="120">
        <f>IF(OR(N514="",ForecastEnd=""),"",ForecastEnd+IF(L514="Approved",0,IF(K514="",0,K514)))</f>
        <v/>
      </c>
      <c r="Q514" s="121">
        <f>IF(OR(N514="",WorkBudget=0),"",N514/WorkBudget-1)</f>
        <v/>
      </c>
      <c r="R514" s="79">
        <f>IF(N514="","",IF(N514&lt;=WorkBudget,0,IF(N514&lt;=TotalBudget,1,2)))</f>
        <v/>
      </c>
      <c r="S514" s="112">
        <f>IF(AND(OR(H514&lt;&gt;"",J514&lt;&gt;""),OR(L514="Pending",L514=""),C514&lt;&gt;""),C514+3,"")</f>
        <v/>
      </c>
      <c r="T514" s="79">
        <f>IF(S514="","",IF(AsOf&gt;S514,1,2))</f>
        <v/>
      </c>
      <c r="U514" s="79">
        <f>IF(T514="","","Decide on change order "&amp;B514&amp;": "&amp;H514&amp;" (+"&amp;CurSym&amp;" "&amp;FIXED(IF(J514="",0,J514),0)&amp;")")</f>
        <v/>
      </c>
    </row>
    <row r="515" ht="24" customHeight="1">
      <c r="B515" s="74" t="n"/>
      <c r="C515" s="109" t="n"/>
      <c r="D515" s="72" t="n"/>
      <c r="E515" s="72" t="n"/>
      <c r="F515" s="72" t="n"/>
      <c r="G515" s="72" t="n"/>
      <c r="H515" s="113" t="n"/>
      <c r="I515" s="72" t="n"/>
      <c r="J515" s="73" t="n"/>
      <c r="K515" s="89" t="n"/>
      <c r="L515" s="74" t="n"/>
      <c r="M515" s="109" t="n"/>
      <c r="N515" s="68">
        <f>IF(AND(H515="",J515=""),"",ForecastTotal+IF(L515="Approved",0,IF(J515="",0,J515)))</f>
        <v/>
      </c>
      <c r="O515" s="75">
        <f>IF(N515="","",ContAmt-MAX(0,N515-WorkBudget))</f>
        <v/>
      </c>
      <c r="P515" s="120">
        <f>IF(OR(N515="",ForecastEnd=""),"",ForecastEnd+IF(L515="Approved",0,IF(K515="",0,K515)))</f>
        <v/>
      </c>
      <c r="Q515" s="121">
        <f>IF(OR(N515="",WorkBudget=0),"",N515/WorkBudget-1)</f>
        <v/>
      </c>
      <c r="R515" s="79">
        <f>IF(N515="","",IF(N515&lt;=WorkBudget,0,IF(N515&lt;=TotalBudget,1,2)))</f>
        <v/>
      </c>
      <c r="S515" s="112">
        <f>IF(AND(OR(H515&lt;&gt;"",J515&lt;&gt;""),OR(L515="Pending",L515=""),C515&lt;&gt;""),C515+3,"")</f>
        <v/>
      </c>
      <c r="T515" s="79">
        <f>IF(S515="","",IF(AsOf&gt;S515,1,2))</f>
        <v/>
      </c>
      <c r="U515" s="79">
        <f>IF(T515="","","Decide on change order "&amp;B515&amp;": "&amp;H515&amp;" (+"&amp;CurSym&amp;" "&amp;FIXED(IF(J515="",0,J515),0)&amp;")")</f>
        <v/>
      </c>
    </row>
    <row r="516" ht="24" customHeight="1">
      <c r="B516" s="74" t="n"/>
      <c r="C516" s="109" t="n"/>
      <c r="D516" s="72" t="n"/>
      <c r="E516" s="72" t="n"/>
      <c r="F516" s="72" t="n"/>
      <c r="G516" s="72" t="n"/>
      <c r="H516" s="113" t="n"/>
      <c r="I516" s="72" t="n"/>
      <c r="J516" s="73" t="n"/>
      <c r="K516" s="89" t="n"/>
      <c r="L516" s="74" t="n"/>
      <c r="M516" s="109" t="n"/>
      <c r="N516" s="68">
        <f>IF(AND(H516="",J516=""),"",ForecastTotal+IF(L516="Approved",0,IF(J516="",0,J516)))</f>
        <v/>
      </c>
      <c r="O516" s="75">
        <f>IF(N516="","",ContAmt-MAX(0,N516-WorkBudget))</f>
        <v/>
      </c>
      <c r="P516" s="120">
        <f>IF(OR(N516="",ForecastEnd=""),"",ForecastEnd+IF(L516="Approved",0,IF(K516="",0,K516)))</f>
        <v/>
      </c>
      <c r="Q516" s="121">
        <f>IF(OR(N516="",WorkBudget=0),"",N516/WorkBudget-1)</f>
        <v/>
      </c>
      <c r="R516" s="79">
        <f>IF(N516="","",IF(N516&lt;=WorkBudget,0,IF(N516&lt;=TotalBudget,1,2)))</f>
        <v/>
      </c>
      <c r="S516" s="112">
        <f>IF(AND(OR(H516&lt;&gt;"",J516&lt;&gt;""),OR(L516="Pending",L516=""),C516&lt;&gt;""),C516+3,"")</f>
        <v/>
      </c>
      <c r="T516" s="79">
        <f>IF(S516="","",IF(AsOf&gt;S516,1,2))</f>
        <v/>
      </c>
      <c r="U516" s="79">
        <f>IF(T516="","","Decide on change order "&amp;B516&amp;": "&amp;H516&amp;" (+"&amp;CurSym&amp;" "&amp;FIXED(IF(J516="",0,J516),0)&amp;")")</f>
        <v/>
      </c>
    </row>
    <row r="517" ht="24" customHeight="1">
      <c r="B517" s="74" t="n"/>
      <c r="C517" s="109" t="n"/>
      <c r="D517" s="72" t="n"/>
      <c r="E517" s="72" t="n"/>
      <c r="F517" s="72" t="n"/>
      <c r="G517" s="72" t="n"/>
      <c r="H517" s="113" t="n"/>
      <c r="I517" s="72" t="n"/>
      <c r="J517" s="73" t="n"/>
      <c r="K517" s="89" t="n"/>
      <c r="L517" s="74" t="n"/>
      <c r="M517" s="109" t="n"/>
      <c r="N517" s="68">
        <f>IF(AND(H517="",J517=""),"",ForecastTotal+IF(L517="Approved",0,IF(J517="",0,J517)))</f>
        <v/>
      </c>
      <c r="O517" s="75">
        <f>IF(N517="","",ContAmt-MAX(0,N517-WorkBudget))</f>
        <v/>
      </c>
      <c r="P517" s="120">
        <f>IF(OR(N517="",ForecastEnd=""),"",ForecastEnd+IF(L517="Approved",0,IF(K517="",0,K517)))</f>
        <v/>
      </c>
      <c r="Q517" s="121">
        <f>IF(OR(N517="",WorkBudget=0),"",N517/WorkBudget-1)</f>
        <v/>
      </c>
      <c r="R517" s="79">
        <f>IF(N517="","",IF(N517&lt;=WorkBudget,0,IF(N517&lt;=TotalBudget,1,2)))</f>
        <v/>
      </c>
      <c r="S517" s="112">
        <f>IF(AND(OR(H517&lt;&gt;"",J517&lt;&gt;""),OR(L517="Pending",L517=""),C517&lt;&gt;""),C517+3,"")</f>
        <v/>
      </c>
      <c r="T517" s="79">
        <f>IF(S517="","",IF(AsOf&gt;S517,1,2))</f>
        <v/>
      </c>
      <c r="U517" s="79">
        <f>IF(T517="","","Decide on change order "&amp;B517&amp;": "&amp;H517&amp;" (+"&amp;CurSym&amp;" "&amp;FIXED(IF(J517="",0,J517),0)&amp;")")</f>
        <v/>
      </c>
    </row>
    <row r="518" ht="24" customHeight="1">
      <c r="B518" s="74" t="n"/>
      <c r="C518" s="109" t="n"/>
      <c r="D518" s="72" t="n"/>
      <c r="E518" s="72" t="n"/>
      <c r="F518" s="72" t="n"/>
      <c r="G518" s="72" t="n"/>
      <c r="H518" s="113" t="n"/>
      <c r="I518" s="72" t="n"/>
      <c r="J518" s="73" t="n"/>
      <c r="K518" s="89" t="n"/>
      <c r="L518" s="74" t="n"/>
      <c r="M518" s="109" t="n"/>
      <c r="N518" s="68">
        <f>IF(AND(H518="",J518=""),"",ForecastTotal+IF(L518="Approved",0,IF(J518="",0,J518)))</f>
        <v/>
      </c>
      <c r="O518" s="75">
        <f>IF(N518="","",ContAmt-MAX(0,N518-WorkBudget))</f>
        <v/>
      </c>
      <c r="P518" s="120">
        <f>IF(OR(N518="",ForecastEnd=""),"",ForecastEnd+IF(L518="Approved",0,IF(K518="",0,K518)))</f>
        <v/>
      </c>
      <c r="Q518" s="121">
        <f>IF(OR(N518="",WorkBudget=0),"",N518/WorkBudget-1)</f>
        <v/>
      </c>
      <c r="R518" s="79">
        <f>IF(N518="","",IF(N518&lt;=WorkBudget,0,IF(N518&lt;=TotalBudget,1,2)))</f>
        <v/>
      </c>
      <c r="S518" s="112">
        <f>IF(AND(OR(H518&lt;&gt;"",J518&lt;&gt;""),OR(L518="Pending",L518=""),C518&lt;&gt;""),C518+3,"")</f>
        <v/>
      </c>
      <c r="T518" s="79">
        <f>IF(S518="","",IF(AsOf&gt;S518,1,2))</f>
        <v/>
      </c>
      <c r="U518" s="79">
        <f>IF(T518="","","Decide on change order "&amp;B518&amp;": "&amp;H518&amp;" (+"&amp;CurSym&amp;" "&amp;FIXED(IF(J518="",0,J518),0)&amp;")")</f>
        <v/>
      </c>
    </row>
    <row r="519" ht="24" customHeight="1">
      <c r="B519" s="74" t="n"/>
      <c r="C519" s="109" t="n"/>
      <c r="D519" s="72" t="n"/>
      <c r="E519" s="72" t="n"/>
      <c r="F519" s="72" t="n"/>
      <c r="G519" s="72" t="n"/>
      <c r="H519" s="113" t="n"/>
      <c r="I519" s="72" t="n"/>
      <c r="J519" s="73" t="n"/>
      <c r="K519" s="89" t="n"/>
      <c r="L519" s="74" t="n"/>
      <c r="M519" s="109" t="n"/>
      <c r="N519" s="68">
        <f>IF(AND(H519="",J519=""),"",ForecastTotal+IF(L519="Approved",0,IF(J519="",0,J519)))</f>
        <v/>
      </c>
      <c r="O519" s="75">
        <f>IF(N519="","",ContAmt-MAX(0,N519-WorkBudget))</f>
        <v/>
      </c>
      <c r="P519" s="120">
        <f>IF(OR(N519="",ForecastEnd=""),"",ForecastEnd+IF(L519="Approved",0,IF(K519="",0,K519)))</f>
        <v/>
      </c>
      <c r="Q519" s="121">
        <f>IF(OR(N519="",WorkBudget=0),"",N519/WorkBudget-1)</f>
        <v/>
      </c>
      <c r="R519" s="79">
        <f>IF(N519="","",IF(N519&lt;=WorkBudget,0,IF(N519&lt;=TotalBudget,1,2)))</f>
        <v/>
      </c>
      <c r="S519" s="112">
        <f>IF(AND(OR(H519&lt;&gt;"",J519&lt;&gt;""),OR(L519="Pending",L519=""),C519&lt;&gt;""),C519+3,"")</f>
        <v/>
      </c>
      <c r="T519" s="79">
        <f>IF(S519="","",IF(AsOf&gt;S519,1,2))</f>
        <v/>
      </c>
      <c r="U519" s="79">
        <f>IF(T519="","","Decide on change order "&amp;B519&amp;": "&amp;H519&amp;" (+"&amp;CurSym&amp;" "&amp;FIXED(IF(J519="",0,J519),0)&amp;")")</f>
        <v/>
      </c>
    </row>
    <row r="520" ht="24" customHeight="1">
      <c r="B520" s="74" t="n"/>
      <c r="C520" s="109" t="n"/>
      <c r="D520" s="72" t="n"/>
      <c r="E520" s="72" t="n"/>
      <c r="F520" s="72" t="n"/>
      <c r="G520" s="72" t="n"/>
      <c r="H520" s="113" t="n"/>
      <c r="I520" s="72" t="n"/>
      <c r="J520" s="73" t="n"/>
      <c r="K520" s="89" t="n"/>
      <c r="L520" s="74" t="n"/>
      <c r="M520" s="109" t="n"/>
      <c r="N520" s="68">
        <f>IF(AND(H520="",J520=""),"",ForecastTotal+IF(L520="Approved",0,IF(J520="",0,J520)))</f>
        <v/>
      </c>
      <c r="O520" s="75">
        <f>IF(N520="","",ContAmt-MAX(0,N520-WorkBudget))</f>
        <v/>
      </c>
      <c r="P520" s="120">
        <f>IF(OR(N520="",ForecastEnd=""),"",ForecastEnd+IF(L520="Approved",0,IF(K520="",0,K520)))</f>
        <v/>
      </c>
      <c r="Q520" s="121">
        <f>IF(OR(N520="",WorkBudget=0),"",N520/WorkBudget-1)</f>
        <v/>
      </c>
      <c r="R520" s="79">
        <f>IF(N520="","",IF(N520&lt;=WorkBudget,0,IF(N520&lt;=TotalBudget,1,2)))</f>
        <v/>
      </c>
      <c r="S520" s="112">
        <f>IF(AND(OR(H520&lt;&gt;"",J520&lt;&gt;""),OR(L520="Pending",L520=""),C520&lt;&gt;""),C520+3,"")</f>
        <v/>
      </c>
      <c r="T520" s="79">
        <f>IF(S520="","",IF(AsOf&gt;S520,1,2))</f>
        <v/>
      </c>
      <c r="U520" s="79">
        <f>IF(T520="","","Decide on change order "&amp;B520&amp;": "&amp;H520&amp;" (+"&amp;CurSym&amp;" "&amp;FIXED(IF(J520="",0,J520),0)&amp;")")</f>
        <v/>
      </c>
    </row>
    <row r="521" ht="24" customHeight="1">
      <c r="B521" s="74" t="n"/>
      <c r="C521" s="109" t="n"/>
      <c r="D521" s="72" t="n"/>
      <c r="E521" s="72" t="n"/>
      <c r="F521" s="72" t="n"/>
      <c r="G521" s="72" t="n"/>
      <c r="H521" s="113" t="n"/>
      <c r="I521" s="72" t="n"/>
      <c r="J521" s="73" t="n"/>
      <c r="K521" s="89" t="n"/>
      <c r="L521" s="74" t="n"/>
      <c r="M521" s="109" t="n"/>
      <c r="N521" s="68">
        <f>IF(AND(H521="",J521=""),"",ForecastTotal+IF(L521="Approved",0,IF(J521="",0,J521)))</f>
        <v/>
      </c>
      <c r="O521" s="75">
        <f>IF(N521="","",ContAmt-MAX(0,N521-WorkBudget))</f>
        <v/>
      </c>
      <c r="P521" s="120">
        <f>IF(OR(N521="",ForecastEnd=""),"",ForecastEnd+IF(L521="Approved",0,IF(K521="",0,K521)))</f>
        <v/>
      </c>
      <c r="Q521" s="121">
        <f>IF(OR(N521="",WorkBudget=0),"",N521/WorkBudget-1)</f>
        <v/>
      </c>
      <c r="R521" s="79">
        <f>IF(N521="","",IF(N521&lt;=WorkBudget,0,IF(N521&lt;=TotalBudget,1,2)))</f>
        <v/>
      </c>
      <c r="S521" s="112">
        <f>IF(AND(OR(H521&lt;&gt;"",J521&lt;&gt;""),OR(L521="Pending",L521=""),C521&lt;&gt;""),C521+3,"")</f>
        <v/>
      </c>
      <c r="T521" s="79">
        <f>IF(S521="","",IF(AsOf&gt;S521,1,2))</f>
        <v/>
      </c>
      <c r="U521" s="79">
        <f>IF(T521="","","Decide on change order "&amp;B521&amp;": "&amp;H521&amp;" (+"&amp;CurSym&amp;" "&amp;FIXED(IF(J521="",0,J521),0)&amp;")")</f>
        <v/>
      </c>
    </row>
    <row r="522" ht="24" customHeight="1">
      <c r="B522" s="74" t="n"/>
      <c r="C522" s="109" t="n"/>
      <c r="D522" s="72" t="n"/>
      <c r="E522" s="72" t="n"/>
      <c r="F522" s="72" t="n"/>
      <c r="G522" s="72" t="n"/>
      <c r="H522" s="113" t="n"/>
      <c r="I522" s="72" t="n"/>
      <c r="J522" s="73" t="n"/>
      <c r="K522" s="89" t="n"/>
      <c r="L522" s="74" t="n"/>
      <c r="M522" s="109" t="n"/>
      <c r="N522" s="68">
        <f>IF(AND(H522="",J522=""),"",ForecastTotal+IF(L522="Approved",0,IF(J522="",0,J522)))</f>
        <v/>
      </c>
      <c r="O522" s="75">
        <f>IF(N522="","",ContAmt-MAX(0,N522-WorkBudget))</f>
        <v/>
      </c>
      <c r="P522" s="120">
        <f>IF(OR(N522="",ForecastEnd=""),"",ForecastEnd+IF(L522="Approved",0,IF(K522="",0,K522)))</f>
        <v/>
      </c>
      <c r="Q522" s="121">
        <f>IF(OR(N522="",WorkBudget=0),"",N522/WorkBudget-1)</f>
        <v/>
      </c>
      <c r="R522" s="79">
        <f>IF(N522="","",IF(N522&lt;=WorkBudget,0,IF(N522&lt;=TotalBudget,1,2)))</f>
        <v/>
      </c>
      <c r="S522" s="112">
        <f>IF(AND(OR(H522&lt;&gt;"",J522&lt;&gt;""),OR(L522="Pending",L522=""),C522&lt;&gt;""),C522+3,"")</f>
        <v/>
      </c>
      <c r="T522" s="79">
        <f>IF(S522="","",IF(AsOf&gt;S522,1,2))</f>
        <v/>
      </c>
      <c r="U522" s="79">
        <f>IF(T522="","","Decide on change order "&amp;B522&amp;": "&amp;H522&amp;" (+"&amp;CurSym&amp;" "&amp;FIXED(IF(J522="",0,J522),0)&amp;")")</f>
        <v/>
      </c>
    </row>
    <row r="523" ht="24" customHeight="1">
      <c r="B523" s="74" t="n"/>
      <c r="C523" s="109" t="n"/>
      <c r="D523" s="72" t="n"/>
      <c r="E523" s="72" t="n"/>
      <c r="F523" s="72" t="n"/>
      <c r="G523" s="72" t="n"/>
      <c r="H523" s="113" t="n"/>
      <c r="I523" s="72" t="n"/>
      <c r="J523" s="73" t="n"/>
      <c r="K523" s="89" t="n"/>
      <c r="L523" s="74" t="n"/>
      <c r="M523" s="109" t="n"/>
      <c r="N523" s="68">
        <f>IF(AND(H523="",J523=""),"",ForecastTotal+IF(L523="Approved",0,IF(J523="",0,J523)))</f>
        <v/>
      </c>
      <c r="O523" s="75">
        <f>IF(N523="","",ContAmt-MAX(0,N523-WorkBudget))</f>
        <v/>
      </c>
      <c r="P523" s="120">
        <f>IF(OR(N523="",ForecastEnd=""),"",ForecastEnd+IF(L523="Approved",0,IF(K523="",0,K523)))</f>
        <v/>
      </c>
      <c r="Q523" s="121">
        <f>IF(OR(N523="",WorkBudget=0),"",N523/WorkBudget-1)</f>
        <v/>
      </c>
      <c r="R523" s="79">
        <f>IF(N523="","",IF(N523&lt;=WorkBudget,0,IF(N523&lt;=TotalBudget,1,2)))</f>
        <v/>
      </c>
      <c r="S523" s="112">
        <f>IF(AND(OR(H523&lt;&gt;"",J523&lt;&gt;""),OR(L523="Pending",L523=""),C523&lt;&gt;""),C523+3,"")</f>
        <v/>
      </c>
      <c r="T523" s="79">
        <f>IF(S523="","",IF(AsOf&gt;S523,1,2))</f>
        <v/>
      </c>
      <c r="U523" s="79">
        <f>IF(T523="","","Decide on change order "&amp;B523&amp;": "&amp;H523&amp;" (+"&amp;CurSym&amp;" "&amp;FIXED(IF(J523="",0,J523),0)&amp;")")</f>
        <v/>
      </c>
    </row>
    <row r="524" ht="24" customHeight="1">
      <c r="B524" s="74" t="n"/>
      <c r="C524" s="109" t="n"/>
      <c r="D524" s="72" t="n"/>
      <c r="E524" s="72" t="n"/>
      <c r="F524" s="72" t="n"/>
      <c r="G524" s="72" t="n"/>
      <c r="H524" s="113" t="n"/>
      <c r="I524" s="72" t="n"/>
      <c r="J524" s="73" t="n"/>
      <c r="K524" s="89" t="n"/>
      <c r="L524" s="74" t="n"/>
      <c r="M524" s="109" t="n"/>
      <c r="N524" s="68">
        <f>IF(AND(H524="",J524=""),"",ForecastTotal+IF(L524="Approved",0,IF(J524="",0,J524)))</f>
        <v/>
      </c>
      <c r="O524" s="75">
        <f>IF(N524="","",ContAmt-MAX(0,N524-WorkBudget))</f>
        <v/>
      </c>
      <c r="P524" s="120">
        <f>IF(OR(N524="",ForecastEnd=""),"",ForecastEnd+IF(L524="Approved",0,IF(K524="",0,K524)))</f>
        <v/>
      </c>
      <c r="Q524" s="121">
        <f>IF(OR(N524="",WorkBudget=0),"",N524/WorkBudget-1)</f>
        <v/>
      </c>
      <c r="R524" s="79">
        <f>IF(N524="","",IF(N524&lt;=WorkBudget,0,IF(N524&lt;=TotalBudget,1,2)))</f>
        <v/>
      </c>
      <c r="S524" s="112">
        <f>IF(AND(OR(H524&lt;&gt;"",J524&lt;&gt;""),OR(L524="Pending",L524=""),C524&lt;&gt;""),C524+3,"")</f>
        <v/>
      </c>
      <c r="T524" s="79">
        <f>IF(S524="","",IF(AsOf&gt;S524,1,2))</f>
        <v/>
      </c>
      <c r="U524" s="79">
        <f>IF(T524="","","Decide on change order "&amp;B524&amp;": "&amp;H524&amp;" (+"&amp;CurSym&amp;" "&amp;FIXED(IF(J524="",0,J524),0)&amp;")")</f>
        <v/>
      </c>
    </row>
    <row r="525" ht="24" customHeight="1">
      <c r="B525" s="74" t="n"/>
      <c r="C525" s="109" t="n"/>
      <c r="D525" s="72" t="n"/>
      <c r="E525" s="72" t="n"/>
      <c r="F525" s="72" t="n"/>
      <c r="G525" s="72" t="n"/>
      <c r="H525" s="113" t="n"/>
      <c r="I525" s="72" t="n"/>
      <c r="J525" s="73" t="n"/>
      <c r="K525" s="89" t="n"/>
      <c r="L525" s="74" t="n"/>
      <c r="M525" s="109" t="n"/>
      <c r="N525" s="68">
        <f>IF(AND(H525="",J525=""),"",ForecastTotal+IF(L525="Approved",0,IF(J525="",0,J525)))</f>
        <v/>
      </c>
      <c r="O525" s="75">
        <f>IF(N525="","",ContAmt-MAX(0,N525-WorkBudget))</f>
        <v/>
      </c>
      <c r="P525" s="120">
        <f>IF(OR(N525="",ForecastEnd=""),"",ForecastEnd+IF(L525="Approved",0,IF(K525="",0,K525)))</f>
        <v/>
      </c>
      <c r="Q525" s="121">
        <f>IF(OR(N525="",WorkBudget=0),"",N525/WorkBudget-1)</f>
        <v/>
      </c>
      <c r="R525" s="79">
        <f>IF(N525="","",IF(N525&lt;=WorkBudget,0,IF(N525&lt;=TotalBudget,1,2)))</f>
        <v/>
      </c>
      <c r="S525" s="112">
        <f>IF(AND(OR(H525&lt;&gt;"",J525&lt;&gt;""),OR(L525="Pending",L525=""),C525&lt;&gt;""),C525+3,"")</f>
        <v/>
      </c>
      <c r="T525" s="79">
        <f>IF(S525="","",IF(AsOf&gt;S525,1,2))</f>
        <v/>
      </c>
      <c r="U525" s="79">
        <f>IF(T525="","","Decide on change order "&amp;B525&amp;": "&amp;H525&amp;" (+"&amp;CurSym&amp;" "&amp;FIXED(IF(J525="",0,J525),0)&amp;")")</f>
        <v/>
      </c>
    </row>
    <row r="526" ht="24" customHeight="1">
      <c r="B526" s="74" t="n"/>
      <c r="C526" s="109" t="n"/>
      <c r="D526" s="72" t="n"/>
      <c r="E526" s="72" t="n"/>
      <c r="F526" s="72" t="n"/>
      <c r="G526" s="72" t="n"/>
      <c r="H526" s="113" t="n"/>
      <c r="I526" s="72" t="n"/>
      <c r="J526" s="73" t="n"/>
      <c r="K526" s="89" t="n"/>
      <c r="L526" s="74" t="n"/>
      <c r="M526" s="109" t="n"/>
      <c r="N526" s="68">
        <f>IF(AND(H526="",J526=""),"",ForecastTotal+IF(L526="Approved",0,IF(J526="",0,J526)))</f>
        <v/>
      </c>
      <c r="O526" s="75">
        <f>IF(N526="","",ContAmt-MAX(0,N526-WorkBudget))</f>
        <v/>
      </c>
      <c r="P526" s="120">
        <f>IF(OR(N526="",ForecastEnd=""),"",ForecastEnd+IF(L526="Approved",0,IF(K526="",0,K526)))</f>
        <v/>
      </c>
      <c r="Q526" s="121">
        <f>IF(OR(N526="",WorkBudget=0),"",N526/WorkBudget-1)</f>
        <v/>
      </c>
      <c r="R526" s="79">
        <f>IF(N526="","",IF(N526&lt;=WorkBudget,0,IF(N526&lt;=TotalBudget,1,2)))</f>
        <v/>
      </c>
      <c r="S526" s="112">
        <f>IF(AND(OR(H526&lt;&gt;"",J526&lt;&gt;""),OR(L526="Pending",L526=""),C526&lt;&gt;""),C526+3,"")</f>
        <v/>
      </c>
      <c r="T526" s="79">
        <f>IF(S526="","",IF(AsOf&gt;S526,1,2))</f>
        <v/>
      </c>
      <c r="U526" s="79">
        <f>IF(T526="","","Decide on change order "&amp;B526&amp;": "&amp;H526&amp;" (+"&amp;CurSym&amp;" "&amp;FIXED(IF(J526="",0,J526),0)&amp;")")</f>
        <v/>
      </c>
    </row>
    <row r="527" ht="24" customHeight="1">
      <c r="B527" s="74" t="n"/>
      <c r="C527" s="109" t="n"/>
      <c r="D527" s="72" t="n"/>
      <c r="E527" s="72" t="n"/>
      <c r="F527" s="72" t="n"/>
      <c r="G527" s="72" t="n"/>
      <c r="H527" s="113" t="n"/>
      <c r="I527" s="72" t="n"/>
      <c r="J527" s="73" t="n"/>
      <c r="K527" s="89" t="n"/>
      <c r="L527" s="74" t="n"/>
      <c r="M527" s="109" t="n"/>
      <c r="N527" s="68">
        <f>IF(AND(H527="",J527=""),"",ForecastTotal+IF(L527="Approved",0,IF(J527="",0,J527)))</f>
        <v/>
      </c>
      <c r="O527" s="75">
        <f>IF(N527="","",ContAmt-MAX(0,N527-WorkBudget))</f>
        <v/>
      </c>
      <c r="P527" s="120">
        <f>IF(OR(N527="",ForecastEnd=""),"",ForecastEnd+IF(L527="Approved",0,IF(K527="",0,K527)))</f>
        <v/>
      </c>
      <c r="Q527" s="121">
        <f>IF(OR(N527="",WorkBudget=0),"",N527/WorkBudget-1)</f>
        <v/>
      </c>
      <c r="R527" s="79">
        <f>IF(N527="","",IF(N527&lt;=WorkBudget,0,IF(N527&lt;=TotalBudget,1,2)))</f>
        <v/>
      </c>
      <c r="S527" s="112">
        <f>IF(AND(OR(H527&lt;&gt;"",J527&lt;&gt;""),OR(L527="Pending",L527=""),C527&lt;&gt;""),C527+3,"")</f>
        <v/>
      </c>
      <c r="T527" s="79">
        <f>IF(S527="","",IF(AsOf&gt;S527,1,2))</f>
        <v/>
      </c>
      <c r="U527" s="79">
        <f>IF(T527="","","Decide on change order "&amp;B527&amp;": "&amp;H527&amp;" (+"&amp;CurSym&amp;" "&amp;FIXED(IF(J527="",0,J527),0)&amp;")")</f>
        <v/>
      </c>
    </row>
    <row r="528" ht="24" customHeight="1">
      <c r="B528" s="74" t="n"/>
      <c r="C528" s="109" t="n"/>
      <c r="D528" s="72" t="n"/>
      <c r="E528" s="72" t="n"/>
      <c r="F528" s="72" t="n"/>
      <c r="G528" s="72" t="n"/>
      <c r="H528" s="113" t="n"/>
      <c r="I528" s="72" t="n"/>
      <c r="J528" s="73" t="n"/>
      <c r="K528" s="89" t="n"/>
      <c r="L528" s="74" t="n"/>
      <c r="M528" s="109" t="n"/>
      <c r="N528" s="68">
        <f>IF(AND(H528="",J528=""),"",ForecastTotal+IF(L528="Approved",0,IF(J528="",0,J528)))</f>
        <v/>
      </c>
      <c r="O528" s="75">
        <f>IF(N528="","",ContAmt-MAX(0,N528-WorkBudget))</f>
        <v/>
      </c>
      <c r="P528" s="120">
        <f>IF(OR(N528="",ForecastEnd=""),"",ForecastEnd+IF(L528="Approved",0,IF(K528="",0,K528)))</f>
        <v/>
      </c>
      <c r="Q528" s="121">
        <f>IF(OR(N528="",WorkBudget=0),"",N528/WorkBudget-1)</f>
        <v/>
      </c>
      <c r="R528" s="79">
        <f>IF(N528="","",IF(N528&lt;=WorkBudget,0,IF(N528&lt;=TotalBudget,1,2)))</f>
        <v/>
      </c>
      <c r="S528" s="112">
        <f>IF(AND(OR(H528&lt;&gt;"",J528&lt;&gt;""),OR(L528="Pending",L528=""),C528&lt;&gt;""),C528+3,"")</f>
        <v/>
      </c>
      <c r="T528" s="79">
        <f>IF(S528="","",IF(AsOf&gt;S528,1,2))</f>
        <v/>
      </c>
      <c r="U528" s="79">
        <f>IF(T528="","","Decide on change order "&amp;B528&amp;": "&amp;H528&amp;" (+"&amp;CurSym&amp;" "&amp;FIXED(IF(J528="",0,J528),0)&amp;")")</f>
        <v/>
      </c>
    </row>
    <row r="529" ht="24" customHeight="1">
      <c r="B529" s="74" t="n"/>
      <c r="C529" s="109" t="n"/>
      <c r="D529" s="72" t="n"/>
      <c r="E529" s="72" t="n"/>
      <c r="F529" s="72" t="n"/>
      <c r="G529" s="72" t="n"/>
      <c r="H529" s="113" t="n"/>
      <c r="I529" s="72" t="n"/>
      <c r="J529" s="73" t="n"/>
      <c r="K529" s="89" t="n"/>
      <c r="L529" s="74" t="n"/>
      <c r="M529" s="109" t="n"/>
      <c r="N529" s="68">
        <f>IF(AND(H529="",J529=""),"",ForecastTotal+IF(L529="Approved",0,IF(J529="",0,J529)))</f>
        <v/>
      </c>
      <c r="O529" s="75">
        <f>IF(N529="","",ContAmt-MAX(0,N529-WorkBudget))</f>
        <v/>
      </c>
      <c r="P529" s="120">
        <f>IF(OR(N529="",ForecastEnd=""),"",ForecastEnd+IF(L529="Approved",0,IF(K529="",0,K529)))</f>
        <v/>
      </c>
      <c r="Q529" s="121">
        <f>IF(OR(N529="",WorkBudget=0),"",N529/WorkBudget-1)</f>
        <v/>
      </c>
      <c r="R529" s="79">
        <f>IF(N529="","",IF(N529&lt;=WorkBudget,0,IF(N529&lt;=TotalBudget,1,2)))</f>
        <v/>
      </c>
      <c r="S529" s="112">
        <f>IF(AND(OR(H529&lt;&gt;"",J529&lt;&gt;""),OR(L529="Pending",L529=""),C529&lt;&gt;""),C529+3,"")</f>
        <v/>
      </c>
      <c r="T529" s="79">
        <f>IF(S529="","",IF(AsOf&gt;S529,1,2))</f>
        <v/>
      </c>
      <c r="U529" s="79">
        <f>IF(T529="","","Decide on change order "&amp;B529&amp;": "&amp;H529&amp;" (+"&amp;CurSym&amp;" "&amp;FIXED(IF(J529="",0,J529),0)&amp;")")</f>
        <v/>
      </c>
    </row>
    <row r="530" ht="24" customHeight="1">
      <c r="B530" s="74" t="n"/>
      <c r="C530" s="109" t="n"/>
      <c r="D530" s="72" t="n"/>
      <c r="E530" s="72" t="n"/>
      <c r="F530" s="72" t="n"/>
      <c r="G530" s="72" t="n"/>
      <c r="H530" s="113" t="n"/>
      <c r="I530" s="72" t="n"/>
      <c r="J530" s="73" t="n"/>
      <c r="K530" s="89" t="n"/>
      <c r="L530" s="74" t="n"/>
      <c r="M530" s="109" t="n"/>
      <c r="N530" s="68">
        <f>IF(AND(H530="",J530=""),"",ForecastTotal+IF(L530="Approved",0,IF(J530="",0,J530)))</f>
        <v/>
      </c>
      <c r="O530" s="75">
        <f>IF(N530="","",ContAmt-MAX(0,N530-WorkBudget))</f>
        <v/>
      </c>
      <c r="P530" s="120">
        <f>IF(OR(N530="",ForecastEnd=""),"",ForecastEnd+IF(L530="Approved",0,IF(K530="",0,K530)))</f>
        <v/>
      </c>
      <c r="Q530" s="121">
        <f>IF(OR(N530="",WorkBudget=0),"",N530/WorkBudget-1)</f>
        <v/>
      </c>
      <c r="R530" s="79">
        <f>IF(N530="","",IF(N530&lt;=WorkBudget,0,IF(N530&lt;=TotalBudget,1,2)))</f>
        <v/>
      </c>
      <c r="S530" s="112">
        <f>IF(AND(OR(H530&lt;&gt;"",J530&lt;&gt;""),OR(L530="Pending",L530=""),C530&lt;&gt;""),C530+3,"")</f>
        <v/>
      </c>
      <c r="T530" s="79">
        <f>IF(S530="","",IF(AsOf&gt;S530,1,2))</f>
        <v/>
      </c>
      <c r="U530" s="79">
        <f>IF(T530="","","Decide on change order "&amp;B530&amp;": "&amp;H530&amp;" (+"&amp;CurSym&amp;" "&amp;FIXED(IF(J530="",0,J530),0)&amp;")")</f>
        <v/>
      </c>
    </row>
    <row r="531" ht="24" customHeight="1">
      <c r="B531" s="74" t="n"/>
      <c r="C531" s="109" t="n"/>
      <c r="D531" s="72" t="n"/>
      <c r="E531" s="72" t="n"/>
      <c r="F531" s="72" t="n"/>
      <c r="G531" s="72" t="n"/>
      <c r="H531" s="113" t="n"/>
      <c r="I531" s="72" t="n"/>
      <c r="J531" s="73" t="n"/>
      <c r="K531" s="89" t="n"/>
      <c r="L531" s="74" t="n"/>
      <c r="M531" s="109" t="n"/>
      <c r="N531" s="68">
        <f>IF(AND(H531="",J531=""),"",ForecastTotal+IF(L531="Approved",0,IF(J531="",0,J531)))</f>
        <v/>
      </c>
      <c r="O531" s="75">
        <f>IF(N531="","",ContAmt-MAX(0,N531-WorkBudget))</f>
        <v/>
      </c>
      <c r="P531" s="120">
        <f>IF(OR(N531="",ForecastEnd=""),"",ForecastEnd+IF(L531="Approved",0,IF(K531="",0,K531)))</f>
        <v/>
      </c>
      <c r="Q531" s="121">
        <f>IF(OR(N531="",WorkBudget=0),"",N531/WorkBudget-1)</f>
        <v/>
      </c>
      <c r="R531" s="79">
        <f>IF(N531="","",IF(N531&lt;=WorkBudget,0,IF(N531&lt;=TotalBudget,1,2)))</f>
        <v/>
      </c>
      <c r="S531" s="112">
        <f>IF(AND(OR(H531&lt;&gt;"",J531&lt;&gt;""),OR(L531="Pending",L531=""),C531&lt;&gt;""),C531+3,"")</f>
        <v/>
      </c>
      <c r="T531" s="79">
        <f>IF(S531="","",IF(AsOf&gt;S531,1,2))</f>
        <v/>
      </c>
      <c r="U531" s="79">
        <f>IF(T531="","","Decide on change order "&amp;B531&amp;": "&amp;H531&amp;" (+"&amp;CurSym&amp;" "&amp;FIXED(IF(J531="",0,J531),0)&amp;")")</f>
        <v/>
      </c>
    </row>
    <row r="532" ht="24" customHeight="1">
      <c r="B532" s="74" t="n"/>
      <c r="C532" s="109" t="n"/>
      <c r="D532" s="72" t="n"/>
      <c r="E532" s="72" t="n"/>
      <c r="F532" s="72" t="n"/>
      <c r="G532" s="72" t="n"/>
      <c r="H532" s="113" t="n"/>
      <c r="I532" s="72" t="n"/>
      <c r="J532" s="73" t="n"/>
      <c r="K532" s="89" t="n"/>
      <c r="L532" s="74" t="n"/>
      <c r="M532" s="109" t="n"/>
      <c r="N532" s="68">
        <f>IF(AND(H532="",J532=""),"",ForecastTotal+IF(L532="Approved",0,IF(J532="",0,J532)))</f>
        <v/>
      </c>
      <c r="O532" s="75">
        <f>IF(N532="","",ContAmt-MAX(0,N532-WorkBudget))</f>
        <v/>
      </c>
      <c r="P532" s="120">
        <f>IF(OR(N532="",ForecastEnd=""),"",ForecastEnd+IF(L532="Approved",0,IF(K532="",0,K532)))</f>
        <v/>
      </c>
      <c r="Q532" s="121">
        <f>IF(OR(N532="",WorkBudget=0),"",N532/WorkBudget-1)</f>
        <v/>
      </c>
      <c r="R532" s="79">
        <f>IF(N532="","",IF(N532&lt;=WorkBudget,0,IF(N532&lt;=TotalBudget,1,2)))</f>
        <v/>
      </c>
      <c r="S532" s="112">
        <f>IF(AND(OR(H532&lt;&gt;"",J532&lt;&gt;""),OR(L532="Pending",L532=""),C532&lt;&gt;""),C532+3,"")</f>
        <v/>
      </c>
      <c r="T532" s="79">
        <f>IF(S532="","",IF(AsOf&gt;S532,1,2))</f>
        <v/>
      </c>
      <c r="U532" s="79">
        <f>IF(T532="","","Decide on change order "&amp;B532&amp;": "&amp;H532&amp;" (+"&amp;CurSym&amp;" "&amp;FIXED(IF(J532="",0,J532),0)&amp;")")</f>
        <v/>
      </c>
    </row>
    <row r="533" ht="24" customHeight="1">
      <c r="B533" s="74" t="n"/>
      <c r="C533" s="109" t="n"/>
      <c r="D533" s="72" t="n"/>
      <c r="E533" s="72" t="n"/>
      <c r="F533" s="72" t="n"/>
      <c r="G533" s="72" t="n"/>
      <c r="H533" s="113" t="n"/>
      <c r="I533" s="72" t="n"/>
      <c r="J533" s="73" t="n"/>
      <c r="K533" s="89" t="n"/>
      <c r="L533" s="74" t="n"/>
      <c r="M533" s="109" t="n"/>
      <c r="N533" s="68">
        <f>IF(AND(H533="",J533=""),"",ForecastTotal+IF(L533="Approved",0,IF(J533="",0,J533)))</f>
        <v/>
      </c>
      <c r="O533" s="75">
        <f>IF(N533="","",ContAmt-MAX(0,N533-WorkBudget))</f>
        <v/>
      </c>
      <c r="P533" s="120">
        <f>IF(OR(N533="",ForecastEnd=""),"",ForecastEnd+IF(L533="Approved",0,IF(K533="",0,K533)))</f>
        <v/>
      </c>
      <c r="Q533" s="121">
        <f>IF(OR(N533="",WorkBudget=0),"",N533/WorkBudget-1)</f>
        <v/>
      </c>
      <c r="R533" s="79">
        <f>IF(N533="","",IF(N533&lt;=WorkBudget,0,IF(N533&lt;=TotalBudget,1,2)))</f>
        <v/>
      </c>
      <c r="S533" s="112">
        <f>IF(AND(OR(H533&lt;&gt;"",J533&lt;&gt;""),OR(L533="Pending",L533=""),C533&lt;&gt;""),C533+3,"")</f>
        <v/>
      </c>
      <c r="T533" s="79">
        <f>IF(S533="","",IF(AsOf&gt;S533,1,2))</f>
        <v/>
      </c>
      <c r="U533" s="79">
        <f>IF(T533="","","Decide on change order "&amp;B533&amp;": "&amp;H533&amp;" (+"&amp;CurSym&amp;" "&amp;FIXED(IF(J533="",0,J533),0)&amp;")")</f>
        <v/>
      </c>
    </row>
    <row r="534" ht="24" customHeight="1">
      <c r="B534" s="74" t="n"/>
      <c r="C534" s="109" t="n"/>
      <c r="D534" s="72" t="n"/>
      <c r="E534" s="72" t="n"/>
      <c r="F534" s="72" t="n"/>
      <c r="G534" s="72" t="n"/>
      <c r="H534" s="113" t="n"/>
      <c r="I534" s="72" t="n"/>
      <c r="J534" s="73" t="n"/>
      <c r="K534" s="89" t="n"/>
      <c r="L534" s="74" t="n"/>
      <c r="M534" s="109" t="n"/>
      <c r="N534" s="68">
        <f>IF(AND(H534="",J534=""),"",ForecastTotal+IF(L534="Approved",0,IF(J534="",0,J534)))</f>
        <v/>
      </c>
      <c r="O534" s="75">
        <f>IF(N534="","",ContAmt-MAX(0,N534-WorkBudget))</f>
        <v/>
      </c>
      <c r="P534" s="120">
        <f>IF(OR(N534="",ForecastEnd=""),"",ForecastEnd+IF(L534="Approved",0,IF(K534="",0,K534)))</f>
        <v/>
      </c>
      <c r="Q534" s="121">
        <f>IF(OR(N534="",WorkBudget=0),"",N534/WorkBudget-1)</f>
        <v/>
      </c>
      <c r="R534" s="79">
        <f>IF(N534="","",IF(N534&lt;=WorkBudget,0,IF(N534&lt;=TotalBudget,1,2)))</f>
        <v/>
      </c>
      <c r="S534" s="112">
        <f>IF(AND(OR(H534&lt;&gt;"",J534&lt;&gt;""),OR(L534="Pending",L534=""),C534&lt;&gt;""),C534+3,"")</f>
        <v/>
      </c>
      <c r="T534" s="79">
        <f>IF(S534="","",IF(AsOf&gt;S534,1,2))</f>
        <v/>
      </c>
      <c r="U534" s="79">
        <f>IF(T534="","","Decide on change order "&amp;B534&amp;": "&amp;H534&amp;" (+"&amp;CurSym&amp;" "&amp;FIXED(IF(J534="",0,J534),0)&amp;")")</f>
        <v/>
      </c>
    </row>
    <row r="535" ht="24" customHeight="1">
      <c r="B535" s="74" t="n"/>
      <c r="C535" s="109" t="n"/>
      <c r="D535" s="72" t="n"/>
      <c r="E535" s="72" t="n"/>
      <c r="F535" s="72" t="n"/>
      <c r="G535" s="72" t="n"/>
      <c r="H535" s="113" t="n"/>
      <c r="I535" s="72" t="n"/>
      <c r="J535" s="73" t="n"/>
      <c r="K535" s="89" t="n"/>
      <c r="L535" s="74" t="n"/>
      <c r="M535" s="109" t="n"/>
      <c r="N535" s="68">
        <f>IF(AND(H535="",J535=""),"",ForecastTotal+IF(L535="Approved",0,IF(J535="",0,J535)))</f>
        <v/>
      </c>
      <c r="O535" s="75">
        <f>IF(N535="","",ContAmt-MAX(0,N535-WorkBudget))</f>
        <v/>
      </c>
      <c r="P535" s="120">
        <f>IF(OR(N535="",ForecastEnd=""),"",ForecastEnd+IF(L535="Approved",0,IF(K535="",0,K535)))</f>
        <v/>
      </c>
      <c r="Q535" s="121">
        <f>IF(OR(N535="",WorkBudget=0),"",N535/WorkBudget-1)</f>
        <v/>
      </c>
      <c r="R535" s="79">
        <f>IF(N535="","",IF(N535&lt;=WorkBudget,0,IF(N535&lt;=TotalBudget,1,2)))</f>
        <v/>
      </c>
      <c r="S535" s="112">
        <f>IF(AND(OR(H535&lt;&gt;"",J535&lt;&gt;""),OR(L535="Pending",L535=""),C535&lt;&gt;""),C535+3,"")</f>
        <v/>
      </c>
      <c r="T535" s="79">
        <f>IF(S535="","",IF(AsOf&gt;S535,1,2))</f>
        <v/>
      </c>
      <c r="U535" s="79">
        <f>IF(T535="","","Decide on change order "&amp;B535&amp;": "&amp;H535&amp;" (+"&amp;CurSym&amp;" "&amp;FIXED(IF(J535="",0,J535),0)&amp;")")</f>
        <v/>
      </c>
    </row>
    <row r="536" ht="24" customHeight="1">
      <c r="B536" s="74" t="n"/>
      <c r="C536" s="109" t="n"/>
      <c r="D536" s="72" t="n"/>
      <c r="E536" s="72" t="n"/>
      <c r="F536" s="72" t="n"/>
      <c r="G536" s="72" t="n"/>
      <c r="H536" s="113" t="n"/>
      <c r="I536" s="72" t="n"/>
      <c r="J536" s="73" t="n"/>
      <c r="K536" s="89" t="n"/>
      <c r="L536" s="74" t="n"/>
      <c r="M536" s="109" t="n"/>
      <c r="N536" s="68">
        <f>IF(AND(H536="",J536=""),"",ForecastTotal+IF(L536="Approved",0,IF(J536="",0,J536)))</f>
        <v/>
      </c>
      <c r="O536" s="75">
        <f>IF(N536="","",ContAmt-MAX(0,N536-WorkBudget))</f>
        <v/>
      </c>
      <c r="P536" s="120">
        <f>IF(OR(N536="",ForecastEnd=""),"",ForecastEnd+IF(L536="Approved",0,IF(K536="",0,K536)))</f>
        <v/>
      </c>
      <c r="Q536" s="121">
        <f>IF(OR(N536="",WorkBudget=0),"",N536/WorkBudget-1)</f>
        <v/>
      </c>
      <c r="R536" s="79">
        <f>IF(N536="","",IF(N536&lt;=WorkBudget,0,IF(N536&lt;=TotalBudget,1,2)))</f>
        <v/>
      </c>
      <c r="S536" s="112">
        <f>IF(AND(OR(H536&lt;&gt;"",J536&lt;&gt;""),OR(L536="Pending",L536=""),C536&lt;&gt;""),C536+3,"")</f>
        <v/>
      </c>
      <c r="T536" s="79">
        <f>IF(S536="","",IF(AsOf&gt;S536,1,2))</f>
        <v/>
      </c>
      <c r="U536" s="79">
        <f>IF(T536="","","Decide on change order "&amp;B536&amp;": "&amp;H536&amp;" (+"&amp;CurSym&amp;" "&amp;FIXED(IF(J536="",0,J536),0)&amp;")")</f>
        <v/>
      </c>
    </row>
    <row r="537" ht="24" customHeight="1">
      <c r="B537" s="74" t="n"/>
      <c r="C537" s="109" t="n"/>
      <c r="D537" s="72" t="n"/>
      <c r="E537" s="72" t="n"/>
      <c r="F537" s="72" t="n"/>
      <c r="G537" s="72" t="n"/>
      <c r="H537" s="113" t="n"/>
      <c r="I537" s="72" t="n"/>
      <c r="J537" s="73" t="n"/>
      <c r="K537" s="89" t="n"/>
      <c r="L537" s="74" t="n"/>
      <c r="M537" s="109" t="n"/>
      <c r="N537" s="68">
        <f>IF(AND(H537="",J537=""),"",ForecastTotal+IF(L537="Approved",0,IF(J537="",0,J537)))</f>
        <v/>
      </c>
      <c r="O537" s="75">
        <f>IF(N537="","",ContAmt-MAX(0,N537-WorkBudget))</f>
        <v/>
      </c>
      <c r="P537" s="120">
        <f>IF(OR(N537="",ForecastEnd=""),"",ForecastEnd+IF(L537="Approved",0,IF(K537="",0,K537)))</f>
        <v/>
      </c>
      <c r="Q537" s="121">
        <f>IF(OR(N537="",WorkBudget=0),"",N537/WorkBudget-1)</f>
        <v/>
      </c>
      <c r="R537" s="79">
        <f>IF(N537="","",IF(N537&lt;=WorkBudget,0,IF(N537&lt;=TotalBudget,1,2)))</f>
        <v/>
      </c>
      <c r="S537" s="112">
        <f>IF(AND(OR(H537&lt;&gt;"",J537&lt;&gt;""),OR(L537="Pending",L537=""),C537&lt;&gt;""),C537+3,"")</f>
        <v/>
      </c>
      <c r="T537" s="79">
        <f>IF(S537="","",IF(AsOf&gt;S537,1,2))</f>
        <v/>
      </c>
      <c r="U537" s="79">
        <f>IF(T537="","","Decide on change order "&amp;B537&amp;": "&amp;H537&amp;" (+"&amp;CurSym&amp;" "&amp;FIXED(IF(J537="",0,J537),0)&amp;")")</f>
        <v/>
      </c>
    </row>
    <row r="538" ht="24" customHeight="1">
      <c r="B538" s="74" t="n"/>
      <c r="C538" s="109" t="n"/>
      <c r="D538" s="72" t="n"/>
      <c r="E538" s="72" t="n"/>
      <c r="F538" s="72" t="n"/>
      <c r="G538" s="72" t="n"/>
      <c r="H538" s="113" t="n"/>
      <c r="I538" s="72" t="n"/>
      <c r="J538" s="73" t="n"/>
      <c r="K538" s="89" t="n"/>
      <c r="L538" s="74" t="n"/>
      <c r="M538" s="109" t="n"/>
      <c r="N538" s="68">
        <f>IF(AND(H538="",J538=""),"",ForecastTotal+IF(L538="Approved",0,IF(J538="",0,J538)))</f>
        <v/>
      </c>
      <c r="O538" s="75">
        <f>IF(N538="","",ContAmt-MAX(0,N538-WorkBudget))</f>
        <v/>
      </c>
      <c r="P538" s="120">
        <f>IF(OR(N538="",ForecastEnd=""),"",ForecastEnd+IF(L538="Approved",0,IF(K538="",0,K538)))</f>
        <v/>
      </c>
      <c r="Q538" s="121">
        <f>IF(OR(N538="",WorkBudget=0),"",N538/WorkBudget-1)</f>
        <v/>
      </c>
      <c r="R538" s="79">
        <f>IF(N538="","",IF(N538&lt;=WorkBudget,0,IF(N538&lt;=TotalBudget,1,2)))</f>
        <v/>
      </c>
      <c r="S538" s="112">
        <f>IF(AND(OR(H538&lt;&gt;"",J538&lt;&gt;""),OR(L538="Pending",L538=""),C538&lt;&gt;""),C538+3,"")</f>
        <v/>
      </c>
      <c r="T538" s="79">
        <f>IF(S538="","",IF(AsOf&gt;S538,1,2))</f>
        <v/>
      </c>
      <c r="U538" s="79">
        <f>IF(T538="","","Decide on change order "&amp;B538&amp;": "&amp;H538&amp;" (+"&amp;CurSym&amp;" "&amp;FIXED(IF(J538="",0,J538),0)&amp;")")</f>
        <v/>
      </c>
    </row>
    <row r="539" ht="24" customHeight="1">
      <c r="B539" s="74" t="n"/>
      <c r="C539" s="109" t="n"/>
      <c r="D539" s="72" t="n"/>
      <c r="E539" s="72" t="n"/>
      <c r="F539" s="72" t="n"/>
      <c r="G539" s="72" t="n"/>
      <c r="H539" s="113" t="n"/>
      <c r="I539" s="72" t="n"/>
      <c r="J539" s="73" t="n"/>
      <c r="K539" s="89" t="n"/>
      <c r="L539" s="74" t="n"/>
      <c r="M539" s="109" t="n"/>
      <c r="N539" s="68">
        <f>IF(AND(H539="",J539=""),"",ForecastTotal+IF(L539="Approved",0,IF(J539="",0,J539)))</f>
        <v/>
      </c>
      <c r="O539" s="75">
        <f>IF(N539="","",ContAmt-MAX(0,N539-WorkBudget))</f>
        <v/>
      </c>
      <c r="P539" s="120">
        <f>IF(OR(N539="",ForecastEnd=""),"",ForecastEnd+IF(L539="Approved",0,IF(K539="",0,K539)))</f>
        <v/>
      </c>
      <c r="Q539" s="121">
        <f>IF(OR(N539="",WorkBudget=0),"",N539/WorkBudget-1)</f>
        <v/>
      </c>
      <c r="R539" s="79">
        <f>IF(N539="","",IF(N539&lt;=WorkBudget,0,IF(N539&lt;=TotalBudget,1,2)))</f>
        <v/>
      </c>
      <c r="S539" s="112">
        <f>IF(AND(OR(H539&lt;&gt;"",J539&lt;&gt;""),OR(L539="Pending",L539=""),C539&lt;&gt;""),C539+3,"")</f>
        <v/>
      </c>
      <c r="T539" s="79">
        <f>IF(S539="","",IF(AsOf&gt;S539,1,2))</f>
        <v/>
      </c>
      <c r="U539" s="79">
        <f>IF(T539="","","Decide on change order "&amp;B539&amp;": "&amp;H539&amp;" (+"&amp;CurSym&amp;" "&amp;FIXED(IF(J539="",0,J539),0)&amp;")")</f>
        <v/>
      </c>
    </row>
    <row r="540" ht="24" customHeight="1">
      <c r="B540" s="74" t="n"/>
      <c r="C540" s="109" t="n"/>
      <c r="D540" s="72" t="n"/>
      <c r="E540" s="72" t="n"/>
      <c r="F540" s="72" t="n"/>
      <c r="G540" s="72" t="n"/>
      <c r="H540" s="113" t="n"/>
      <c r="I540" s="72" t="n"/>
      <c r="J540" s="73" t="n"/>
      <c r="K540" s="89" t="n"/>
      <c r="L540" s="74" t="n"/>
      <c r="M540" s="109" t="n"/>
      <c r="N540" s="68">
        <f>IF(AND(H540="",J540=""),"",ForecastTotal+IF(L540="Approved",0,IF(J540="",0,J540)))</f>
        <v/>
      </c>
      <c r="O540" s="75">
        <f>IF(N540="","",ContAmt-MAX(0,N540-WorkBudget))</f>
        <v/>
      </c>
      <c r="P540" s="120">
        <f>IF(OR(N540="",ForecastEnd=""),"",ForecastEnd+IF(L540="Approved",0,IF(K540="",0,K540)))</f>
        <v/>
      </c>
      <c r="Q540" s="121">
        <f>IF(OR(N540="",WorkBudget=0),"",N540/WorkBudget-1)</f>
        <v/>
      </c>
      <c r="R540" s="79">
        <f>IF(N540="","",IF(N540&lt;=WorkBudget,0,IF(N540&lt;=TotalBudget,1,2)))</f>
        <v/>
      </c>
      <c r="S540" s="112">
        <f>IF(AND(OR(H540&lt;&gt;"",J540&lt;&gt;""),OR(L540="Pending",L540=""),C540&lt;&gt;""),C540+3,"")</f>
        <v/>
      </c>
      <c r="T540" s="79">
        <f>IF(S540="","",IF(AsOf&gt;S540,1,2))</f>
        <v/>
      </c>
      <c r="U540" s="79">
        <f>IF(T540="","","Decide on change order "&amp;B540&amp;": "&amp;H540&amp;" (+"&amp;CurSym&amp;" "&amp;FIXED(IF(J540="",0,J540),0)&amp;")")</f>
        <v/>
      </c>
    </row>
    <row r="541" ht="24" customHeight="1">
      <c r="B541" s="74" t="n"/>
      <c r="C541" s="109" t="n"/>
      <c r="D541" s="72" t="n"/>
      <c r="E541" s="72" t="n"/>
      <c r="F541" s="72" t="n"/>
      <c r="G541" s="72" t="n"/>
      <c r="H541" s="113" t="n"/>
      <c r="I541" s="72" t="n"/>
      <c r="J541" s="73" t="n"/>
      <c r="K541" s="89" t="n"/>
      <c r="L541" s="74" t="n"/>
      <c r="M541" s="109" t="n"/>
      <c r="N541" s="68">
        <f>IF(AND(H541="",J541=""),"",ForecastTotal+IF(L541="Approved",0,IF(J541="",0,J541)))</f>
        <v/>
      </c>
      <c r="O541" s="75">
        <f>IF(N541="","",ContAmt-MAX(0,N541-WorkBudget))</f>
        <v/>
      </c>
      <c r="P541" s="120">
        <f>IF(OR(N541="",ForecastEnd=""),"",ForecastEnd+IF(L541="Approved",0,IF(K541="",0,K541)))</f>
        <v/>
      </c>
      <c r="Q541" s="121">
        <f>IF(OR(N541="",WorkBudget=0),"",N541/WorkBudget-1)</f>
        <v/>
      </c>
      <c r="R541" s="79">
        <f>IF(N541="","",IF(N541&lt;=WorkBudget,0,IF(N541&lt;=TotalBudget,1,2)))</f>
        <v/>
      </c>
      <c r="S541" s="112">
        <f>IF(AND(OR(H541&lt;&gt;"",J541&lt;&gt;""),OR(L541="Pending",L541=""),C541&lt;&gt;""),C541+3,"")</f>
        <v/>
      </c>
      <c r="T541" s="79">
        <f>IF(S541="","",IF(AsOf&gt;S541,1,2))</f>
        <v/>
      </c>
      <c r="U541" s="79">
        <f>IF(T541="","","Decide on change order "&amp;B541&amp;": "&amp;H541&amp;" (+"&amp;CurSym&amp;" "&amp;FIXED(IF(J541="",0,J541),0)&amp;")")</f>
        <v/>
      </c>
    </row>
    <row r="542" ht="24" customHeight="1">
      <c r="B542" s="74" t="n"/>
      <c r="C542" s="109" t="n"/>
      <c r="D542" s="72" t="n"/>
      <c r="E542" s="72" t="n"/>
      <c r="F542" s="72" t="n"/>
      <c r="G542" s="72" t="n"/>
      <c r="H542" s="113" t="n"/>
      <c r="I542" s="72" t="n"/>
      <c r="J542" s="73" t="n"/>
      <c r="K542" s="89" t="n"/>
      <c r="L542" s="74" t="n"/>
      <c r="M542" s="109" t="n"/>
      <c r="N542" s="68">
        <f>IF(AND(H542="",J542=""),"",ForecastTotal+IF(L542="Approved",0,IF(J542="",0,J542)))</f>
        <v/>
      </c>
      <c r="O542" s="75">
        <f>IF(N542="","",ContAmt-MAX(0,N542-WorkBudget))</f>
        <v/>
      </c>
      <c r="P542" s="120">
        <f>IF(OR(N542="",ForecastEnd=""),"",ForecastEnd+IF(L542="Approved",0,IF(K542="",0,K542)))</f>
        <v/>
      </c>
      <c r="Q542" s="121">
        <f>IF(OR(N542="",WorkBudget=0),"",N542/WorkBudget-1)</f>
        <v/>
      </c>
      <c r="R542" s="79">
        <f>IF(N542="","",IF(N542&lt;=WorkBudget,0,IF(N542&lt;=TotalBudget,1,2)))</f>
        <v/>
      </c>
      <c r="S542" s="112">
        <f>IF(AND(OR(H542&lt;&gt;"",J542&lt;&gt;""),OR(L542="Pending",L542=""),C542&lt;&gt;""),C542+3,"")</f>
        <v/>
      </c>
      <c r="T542" s="79">
        <f>IF(S542="","",IF(AsOf&gt;S542,1,2))</f>
        <v/>
      </c>
      <c r="U542" s="79">
        <f>IF(T542="","","Decide on change order "&amp;B542&amp;": "&amp;H542&amp;" (+"&amp;CurSym&amp;" "&amp;FIXED(IF(J542="",0,J542),0)&amp;")")</f>
        <v/>
      </c>
    </row>
    <row r="543" ht="24" customHeight="1">
      <c r="B543" s="74" t="n"/>
      <c r="C543" s="109" t="n"/>
      <c r="D543" s="72" t="n"/>
      <c r="E543" s="72" t="n"/>
      <c r="F543" s="72" t="n"/>
      <c r="G543" s="72" t="n"/>
      <c r="H543" s="113" t="n"/>
      <c r="I543" s="72" t="n"/>
      <c r="J543" s="73" t="n"/>
      <c r="K543" s="89" t="n"/>
      <c r="L543" s="74" t="n"/>
      <c r="M543" s="109" t="n"/>
      <c r="N543" s="68">
        <f>IF(AND(H543="",J543=""),"",ForecastTotal+IF(L543="Approved",0,IF(J543="",0,J543)))</f>
        <v/>
      </c>
      <c r="O543" s="75">
        <f>IF(N543="","",ContAmt-MAX(0,N543-WorkBudget))</f>
        <v/>
      </c>
      <c r="P543" s="120">
        <f>IF(OR(N543="",ForecastEnd=""),"",ForecastEnd+IF(L543="Approved",0,IF(K543="",0,K543)))</f>
        <v/>
      </c>
      <c r="Q543" s="121">
        <f>IF(OR(N543="",WorkBudget=0),"",N543/WorkBudget-1)</f>
        <v/>
      </c>
      <c r="R543" s="79">
        <f>IF(N543="","",IF(N543&lt;=WorkBudget,0,IF(N543&lt;=TotalBudget,1,2)))</f>
        <v/>
      </c>
      <c r="S543" s="112">
        <f>IF(AND(OR(H543&lt;&gt;"",J543&lt;&gt;""),OR(L543="Pending",L543=""),C543&lt;&gt;""),C543+3,"")</f>
        <v/>
      </c>
      <c r="T543" s="79">
        <f>IF(S543="","",IF(AsOf&gt;S543,1,2))</f>
        <v/>
      </c>
      <c r="U543" s="79">
        <f>IF(T543="","","Decide on change order "&amp;B543&amp;": "&amp;H543&amp;" (+"&amp;CurSym&amp;" "&amp;FIXED(IF(J543="",0,J543),0)&amp;")")</f>
        <v/>
      </c>
    </row>
    <row r="544" ht="24" customHeight="1">
      <c r="B544" s="74" t="n"/>
      <c r="C544" s="109" t="n"/>
      <c r="D544" s="72" t="n"/>
      <c r="E544" s="72" t="n"/>
      <c r="F544" s="72" t="n"/>
      <c r="G544" s="72" t="n"/>
      <c r="H544" s="113" t="n"/>
      <c r="I544" s="72" t="n"/>
      <c r="J544" s="73" t="n"/>
      <c r="K544" s="89" t="n"/>
      <c r="L544" s="74" t="n"/>
      <c r="M544" s="109" t="n"/>
      <c r="N544" s="68">
        <f>IF(AND(H544="",J544=""),"",ForecastTotal+IF(L544="Approved",0,IF(J544="",0,J544)))</f>
        <v/>
      </c>
      <c r="O544" s="75">
        <f>IF(N544="","",ContAmt-MAX(0,N544-WorkBudget))</f>
        <v/>
      </c>
      <c r="P544" s="120">
        <f>IF(OR(N544="",ForecastEnd=""),"",ForecastEnd+IF(L544="Approved",0,IF(K544="",0,K544)))</f>
        <v/>
      </c>
      <c r="Q544" s="121">
        <f>IF(OR(N544="",WorkBudget=0),"",N544/WorkBudget-1)</f>
        <v/>
      </c>
      <c r="R544" s="79">
        <f>IF(N544="","",IF(N544&lt;=WorkBudget,0,IF(N544&lt;=TotalBudget,1,2)))</f>
        <v/>
      </c>
      <c r="S544" s="112">
        <f>IF(AND(OR(H544&lt;&gt;"",J544&lt;&gt;""),OR(L544="Pending",L544=""),C544&lt;&gt;""),C544+3,"")</f>
        <v/>
      </c>
      <c r="T544" s="79">
        <f>IF(S544="","",IF(AsOf&gt;S544,1,2))</f>
        <v/>
      </c>
      <c r="U544" s="79">
        <f>IF(T544="","","Decide on change order "&amp;B544&amp;": "&amp;H544&amp;" (+"&amp;CurSym&amp;" "&amp;FIXED(IF(J544="",0,J544),0)&amp;")")</f>
        <v/>
      </c>
    </row>
    <row r="545" ht="24" customHeight="1">
      <c r="B545" s="74" t="n"/>
      <c r="C545" s="109" t="n"/>
      <c r="D545" s="72" t="n"/>
      <c r="E545" s="72" t="n"/>
      <c r="F545" s="72" t="n"/>
      <c r="G545" s="72" t="n"/>
      <c r="H545" s="113" t="n"/>
      <c r="I545" s="72" t="n"/>
      <c r="J545" s="73" t="n"/>
      <c r="K545" s="89" t="n"/>
      <c r="L545" s="74" t="n"/>
      <c r="M545" s="109" t="n"/>
      <c r="N545" s="68">
        <f>IF(AND(H545="",J545=""),"",ForecastTotal+IF(L545="Approved",0,IF(J545="",0,J545)))</f>
        <v/>
      </c>
      <c r="O545" s="75">
        <f>IF(N545="","",ContAmt-MAX(0,N545-WorkBudget))</f>
        <v/>
      </c>
      <c r="P545" s="120">
        <f>IF(OR(N545="",ForecastEnd=""),"",ForecastEnd+IF(L545="Approved",0,IF(K545="",0,K545)))</f>
        <v/>
      </c>
      <c r="Q545" s="121">
        <f>IF(OR(N545="",WorkBudget=0),"",N545/WorkBudget-1)</f>
        <v/>
      </c>
      <c r="R545" s="79">
        <f>IF(N545="","",IF(N545&lt;=WorkBudget,0,IF(N545&lt;=TotalBudget,1,2)))</f>
        <v/>
      </c>
      <c r="S545" s="112">
        <f>IF(AND(OR(H545&lt;&gt;"",J545&lt;&gt;""),OR(L545="Pending",L545=""),C545&lt;&gt;""),C545+3,"")</f>
        <v/>
      </c>
      <c r="T545" s="79">
        <f>IF(S545="","",IF(AsOf&gt;S545,1,2))</f>
        <v/>
      </c>
      <c r="U545" s="79">
        <f>IF(T545="","","Decide on change order "&amp;B545&amp;": "&amp;H545&amp;" (+"&amp;CurSym&amp;" "&amp;FIXED(IF(J545="",0,J545),0)&amp;")")</f>
        <v/>
      </c>
    </row>
    <row r="546" ht="24" customHeight="1">
      <c r="B546" s="74" t="n"/>
      <c r="C546" s="109" t="n"/>
      <c r="D546" s="72" t="n"/>
      <c r="E546" s="72" t="n"/>
      <c r="F546" s="72" t="n"/>
      <c r="G546" s="72" t="n"/>
      <c r="H546" s="113" t="n"/>
      <c r="I546" s="72" t="n"/>
      <c r="J546" s="73" t="n"/>
      <c r="K546" s="89" t="n"/>
      <c r="L546" s="74" t="n"/>
      <c r="M546" s="109" t="n"/>
      <c r="N546" s="68">
        <f>IF(AND(H546="",J546=""),"",ForecastTotal+IF(L546="Approved",0,IF(J546="",0,J546)))</f>
        <v/>
      </c>
      <c r="O546" s="75">
        <f>IF(N546="","",ContAmt-MAX(0,N546-WorkBudget))</f>
        <v/>
      </c>
      <c r="P546" s="120">
        <f>IF(OR(N546="",ForecastEnd=""),"",ForecastEnd+IF(L546="Approved",0,IF(K546="",0,K546)))</f>
        <v/>
      </c>
      <c r="Q546" s="121">
        <f>IF(OR(N546="",WorkBudget=0),"",N546/WorkBudget-1)</f>
        <v/>
      </c>
      <c r="R546" s="79">
        <f>IF(N546="","",IF(N546&lt;=WorkBudget,0,IF(N546&lt;=TotalBudget,1,2)))</f>
        <v/>
      </c>
      <c r="S546" s="112">
        <f>IF(AND(OR(H546&lt;&gt;"",J546&lt;&gt;""),OR(L546="Pending",L546=""),C546&lt;&gt;""),C546+3,"")</f>
        <v/>
      </c>
      <c r="T546" s="79">
        <f>IF(S546="","",IF(AsOf&gt;S546,1,2))</f>
        <v/>
      </c>
      <c r="U546" s="79">
        <f>IF(T546="","","Decide on change order "&amp;B546&amp;": "&amp;H546&amp;" (+"&amp;CurSym&amp;" "&amp;FIXED(IF(J546="",0,J546),0)&amp;")")</f>
        <v/>
      </c>
    </row>
    <row r="547" ht="24" customHeight="1">
      <c r="B547" s="74" t="n"/>
      <c r="C547" s="109" t="n"/>
      <c r="D547" s="72" t="n"/>
      <c r="E547" s="72" t="n"/>
      <c r="F547" s="72" t="n"/>
      <c r="G547" s="72" t="n"/>
      <c r="H547" s="113" t="n"/>
      <c r="I547" s="72" t="n"/>
      <c r="J547" s="73" t="n"/>
      <c r="K547" s="89" t="n"/>
      <c r="L547" s="74" t="n"/>
      <c r="M547" s="109" t="n"/>
      <c r="N547" s="68">
        <f>IF(AND(H547="",J547=""),"",ForecastTotal+IF(L547="Approved",0,IF(J547="",0,J547)))</f>
        <v/>
      </c>
      <c r="O547" s="75">
        <f>IF(N547="","",ContAmt-MAX(0,N547-WorkBudget))</f>
        <v/>
      </c>
      <c r="P547" s="120">
        <f>IF(OR(N547="",ForecastEnd=""),"",ForecastEnd+IF(L547="Approved",0,IF(K547="",0,K547)))</f>
        <v/>
      </c>
      <c r="Q547" s="121">
        <f>IF(OR(N547="",WorkBudget=0),"",N547/WorkBudget-1)</f>
        <v/>
      </c>
      <c r="R547" s="79">
        <f>IF(N547="","",IF(N547&lt;=WorkBudget,0,IF(N547&lt;=TotalBudget,1,2)))</f>
        <v/>
      </c>
      <c r="S547" s="112">
        <f>IF(AND(OR(H547&lt;&gt;"",J547&lt;&gt;""),OR(L547="Pending",L547=""),C547&lt;&gt;""),C547+3,"")</f>
        <v/>
      </c>
      <c r="T547" s="79">
        <f>IF(S547="","",IF(AsOf&gt;S547,1,2))</f>
        <v/>
      </c>
      <c r="U547" s="79">
        <f>IF(T547="","","Decide on change order "&amp;B547&amp;": "&amp;H547&amp;" (+"&amp;CurSym&amp;" "&amp;FIXED(IF(J547="",0,J547),0)&amp;")")</f>
        <v/>
      </c>
    </row>
    <row r="548" ht="24" customHeight="1">
      <c r="B548" s="74" t="n"/>
      <c r="C548" s="109" t="n"/>
      <c r="D548" s="72" t="n"/>
      <c r="E548" s="72" t="n"/>
      <c r="F548" s="72" t="n"/>
      <c r="G548" s="72" t="n"/>
      <c r="H548" s="113" t="n"/>
      <c r="I548" s="72" t="n"/>
      <c r="J548" s="73" t="n"/>
      <c r="K548" s="89" t="n"/>
      <c r="L548" s="74" t="n"/>
      <c r="M548" s="109" t="n"/>
      <c r="N548" s="68">
        <f>IF(AND(H548="",J548=""),"",ForecastTotal+IF(L548="Approved",0,IF(J548="",0,J548)))</f>
        <v/>
      </c>
      <c r="O548" s="75">
        <f>IF(N548="","",ContAmt-MAX(0,N548-WorkBudget))</f>
        <v/>
      </c>
      <c r="P548" s="120">
        <f>IF(OR(N548="",ForecastEnd=""),"",ForecastEnd+IF(L548="Approved",0,IF(K548="",0,K548)))</f>
        <v/>
      </c>
      <c r="Q548" s="121">
        <f>IF(OR(N548="",WorkBudget=0),"",N548/WorkBudget-1)</f>
        <v/>
      </c>
      <c r="R548" s="79">
        <f>IF(N548="","",IF(N548&lt;=WorkBudget,0,IF(N548&lt;=TotalBudget,1,2)))</f>
        <v/>
      </c>
      <c r="S548" s="112">
        <f>IF(AND(OR(H548&lt;&gt;"",J548&lt;&gt;""),OR(L548="Pending",L548=""),C548&lt;&gt;""),C548+3,"")</f>
        <v/>
      </c>
      <c r="T548" s="79">
        <f>IF(S548="","",IF(AsOf&gt;S548,1,2))</f>
        <v/>
      </c>
      <c r="U548" s="79">
        <f>IF(T548="","","Decide on change order "&amp;B548&amp;": "&amp;H548&amp;" (+"&amp;CurSym&amp;" "&amp;FIXED(IF(J548="",0,J548),0)&amp;")")</f>
        <v/>
      </c>
    </row>
    <row r="549" ht="24" customHeight="1">
      <c r="B549" s="74" t="n"/>
      <c r="C549" s="109" t="n"/>
      <c r="D549" s="72" t="n"/>
      <c r="E549" s="72" t="n"/>
      <c r="F549" s="72" t="n"/>
      <c r="G549" s="72" t="n"/>
      <c r="H549" s="113" t="n"/>
      <c r="I549" s="72" t="n"/>
      <c r="J549" s="73" t="n"/>
      <c r="K549" s="89" t="n"/>
      <c r="L549" s="74" t="n"/>
      <c r="M549" s="109" t="n"/>
      <c r="N549" s="68">
        <f>IF(AND(H549="",J549=""),"",ForecastTotal+IF(L549="Approved",0,IF(J549="",0,J549)))</f>
        <v/>
      </c>
      <c r="O549" s="75">
        <f>IF(N549="","",ContAmt-MAX(0,N549-WorkBudget))</f>
        <v/>
      </c>
      <c r="P549" s="120">
        <f>IF(OR(N549="",ForecastEnd=""),"",ForecastEnd+IF(L549="Approved",0,IF(K549="",0,K549)))</f>
        <v/>
      </c>
      <c r="Q549" s="121">
        <f>IF(OR(N549="",WorkBudget=0),"",N549/WorkBudget-1)</f>
        <v/>
      </c>
      <c r="R549" s="79">
        <f>IF(N549="","",IF(N549&lt;=WorkBudget,0,IF(N549&lt;=TotalBudget,1,2)))</f>
        <v/>
      </c>
      <c r="S549" s="112">
        <f>IF(AND(OR(H549&lt;&gt;"",J549&lt;&gt;""),OR(L549="Pending",L549=""),C549&lt;&gt;""),C549+3,"")</f>
        <v/>
      </c>
      <c r="T549" s="79">
        <f>IF(S549="","",IF(AsOf&gt;S549,1,2))</f>
        <v/>
      </c>
      <c r="U549" s="79">
        <f>IF(T549="","","Decide on change order "&amp;B549&amp;": "&amp;H549&amp;" (+"&amp;CurSym&amp;" "&amp;FIXED(IF(J549="",0,J549),0)&amp;")")</f>
        <v/>
      </c>
    </row>
    <row r="550" ht="24" customHeight="1">
      <c r="B550" s="74" t="n"/>
      <c r="C550" s="109" t="n"/>
      <c r="D550" s="72" t="n"/>
      <c r="E550" s="72" t="n"/>
      <c r="F550" s="72" t="n"/>
      <c r="G550" s="72" t="n"/>
      <c r="H550" s="113" t="n"/>
      <c r="I550" s="72" t="n"/>
      <c r="J550" s="73" t="n"/>
      <c r="K550" s="89" t="n"/>
      <c r="L550" s="74" t="n"/>
      <c r="M550" s="109" t="n"/>
      <c r="N550" s="68">
        <f>IF(AND(H550="",J550=""),"",ForecastTotal+IF(L550="Approved",0,IF(J550="",0,J550)))</f>
        <v/>
      </c>
      <c r="O550" s="75">
        <f>IF(N550="","",ContAmt-MAX(0,N550-WorkBudget))</f>
        <v/>
      </c>
      <c r="P550" s="120">
        <f>IF(OR(N550="",ForecastEnd=""),"",ForecastEnd+IF(L550="Approved",0,IF(K550="",0,K550)))</f>
        <v/>
      </c>
      <c r="Q550" s="121">
        <f>IF(OR(N550="",WorkBudget=0),"",N550/WorkBudget-1)</f>
        <v/>
      </c>
      <c r="R550" s="79">
        <f>IF(N550="","",IF(N550&lt;=WorkBudget,0,IF(N550&lt;=TotalBudget,1,2)))</f>
        <v/>
      </c>
      <c r="S550" s="112">
        <f>IF(AND(OR(H550&lt;&gt;"",J550&lt;&gt;""),OR(L550="Pending",L550=""),C550&lt;&gt;""),C550+3,"")</f>
        <v/>
      </c>
      <c r="T550" s="79">
        <f>IF(S550="","",IF(AsOf&gt;S550,1,2))</f>
        <v/>
      </c>
      <c r="U550" s="79">
        <f>IF(T550="","","Decide on change order "&amp;B550&amp;": "&amp;H550&amp;" (+"&amp;CurSym&amp;" "&amp;FIXED(IF(J550="",0,J550),0)&amp;")")</f>
        <v/>
      </c>
    </row>
    <row r="551" ht="24" customHeight="1">
      <c r="B551" s="74" t="n"/>
      <c r="C551" s="109" t="n"/>
      <c r="D551" s="72" t="n"/>
      <c r="E551" s="72" t="n"/>
      <c r="F551" s="72" t="n"/>
      <c r="G551" s="72" t="n"/>
      <c r="H551" s="113" t="n"/>
      <c r="I551" s="72" t="n"/>
      <c r="J551" s="73" t="n"/>
      <c r="K551" s="89" t="n"/>
      <c r="L551" s="74" t="n"/>
      <c r="M551" s="109" t="n"/>
      <c r="N551" s="68">
        <f>IF(AND(H551="",J551=""),"",ForecastTotal+IF(L551="Approved",0,IF(J551="",0,J551)))</f>
        <v/>
      </c>
      <c r="O551" s="75">
        <f>IF(N551="","",ContAmt-MAX(0,N551-WorkBudget))</f>
        <v/>
      </c>
      <c r="P551" s="120">
        <f>IF(OR(N551="",ForecastEnd=""),"",ForecastEnd+IF(L551="Approved",0,IF(K551="",0,K551)))</f>
        <v/>
      </c>
      <c r="Q551" s="121">
        <f>IF(OR(N551="",WorkBudget=0),"",N551/WorkBudget-1)</f>
        <v/>
      </c>
      <c r="R551" s="79">
        <f>IF(N551="","",IF(N551&lt;=WorkBudget,0,IF(N551&lt;=TotalBudget,1,2)))</f>
        <v/>
      </c>
      <c r="S551" s="112">
        <f>IF(AND(OR(H551&lt;&gt;"",J551&lt;&gt;""),OR(L551="Pending",L551=""),C551&lt;&gt;""),C551+3,"")</f>
        <v/>
      </c>
      <c r="T551" s="79">
        <f>IF(S551="","",IF(AsOf&gt;S551,1,2))</f>
        <v/>
      </c>
      <c r="U551" s="79">
        <f>IF(T551="","","Decide on change order "&amp;B551&amp;": "&amp;H551&amp;" (+"&amp;CurSym&amp;" "&amp;FIXED(IF(J551="",0,J551),0)&amp;")")</f>
        <v/>
      </c>
    </row>
    <row r="552" ht="24" customHeight="1">
      <c r="B552" s="74" t="n"/>
      <c r="C552" s="109" t="n"/>
      <c r="D552" s="72" t="n"/>
      <c r="E552" s="72" t="n"/>
      <c r="F552" s="72" t="n"/>
      <c r="G552" s="72" t="n"/>
      <c r="H552" s="113" t="n"/>
      <c r="I552" s="72" t="n"/>
      <c r="J552" s="73" t="n"/>
      <c r="K552" s="89" t="n"/>
      <c r="L552" s="74" t="n"/>
      <c r="M552" s="109" t="n"/>
      <c r="N552" s="68">
        <f>IF(AND(H552="",J552=""),"",ForecastTotal+IF(L552="Approved",0,IF(J552="",0,J552)))</f>
        <v/>
      </c>
      <c r="O552" s="75">
        <f>IF(N552="","",ContAmt-MAX(0,N552-WorkBudget))</f>
        <v/>
      </c>
      <c r="P552" s="120">
        <f>IF(OR(N552="",ForecastEnd=""),"",ForecastEnd+IF(L552="Approved",0,IF(K552="",0,K552)))</f>
        <v/>
      </c>
      <c r="Q552" s="121">
        <f>IF(OR(N552="",WorkBudget=0),"",N552/WorkBudget-1)</f>
        <v/>
      </c>
      <c r="R552" s="79">
        <f>IF(N552="","",IF(N552&lt;=WorkBudget,0,IF(N552&lt;=TotalBudget,1,2)))</f>
        <v/>
      </c>
      <c r="S552" s="112">
        <f>IF(AND(OR(H552&lt;&gt;"",J552&lt;&gt;""),OR(L552="Pending",L552=""),C552&lt;&gt;""),C552+3,"")</f>
        <v/>
      </c>
      <c r="T552" s="79">
        <f>IF(S552="","",IF(AsOf&gt;S552,1,2))</f>
        <v/>
      </c>
      <c r="U552" s="79">
        <f>IF(T552="","","Decide on change order "&amp;B552&amp;": "&amp;H552&amp;" (+"&amp;CurSym&amp;" "&amp;FIXED(IF(J552="",0,J552),0)&amp;")")</f>
        <v/>
      </c>
    </row>
    <row r="553" ht="24" customHeight="1">
      <c r="B553" s="74" t="n"/>
      <c r="C553" s="109" t="n"/>
      <c r="D553" s="72" t="n"/>
      <c r="E553" s="72" t="n"/>
      <c r="F553" s="72" t="n"/>
      <c r="G553" s="72" t="n"/>
      <c r="H553" s="113" t="n"/>
      <c r="I553" s="72" t="n"/>
      <c r="J553" s="73" t="n"/>
      <c r="K553" s="89" t="n"/>
      <c r="L553" s="74" t="n"/>
      <c r="M553" s="109" t="n"/>
      <c r="N553" s="68">
        <f>IF(AND(H553="",J553=""),"",ForecastTotal+IF(L553="Approved",0,IF(J553="",0,J553)))</f>
        <v/>
      </c>
      <c r="O553" s="75">
        <f>IF(N553="","",ContAmt-MAX(0,N553-WorkBudget))</f>
        <v/>
      </c>
      <c r="P553" s="120">
        <f>IF(OR(N553="",ForecastEnd=""),"",ForecastEnd+IF(L553="Approved",0,IF(K553="",0,K553)))</f>
        <v/>
      </c>
      <c r="Q553" s="121">
        <f>IF(OR(N553="",WorkBudget=0),"",N553/WorkBudget-1)</f>
        <v/>
      </c>
      <c r="R553" s="79">
        <f>IF(N553="","",IF(N553&lt;=WorkBudget,0,IF(N553&lt;=TotalBudget,1,2)))</f>
        <v/>
      </c>
      <c r="S553" s="112">
        <f>IF(AND(OR(H553&lt;&gt;"",J553&lt;&gt;""),OR(L553="Pending",L553=""),C553&lt;&gt;""),C553+3,"")</f>
        <v/>
      </c>
      <c r="T553" s="79">
        <f>IF(S553="","",IF(AsOf&gt;S553,1,2))</f>
        <v/>
      </c>
      <c r="U553" s="79">
        <f>IF(T553="","","Decide on change order "&amp;B553&amp;": "&amp;H553&amp;" (+"&amp;CurSym&amp;" "&amp;FIXED(IF(J553="",0,J553),0)&amp;")")</f>
        <v/>
      </c>
    </row>
    <row r="554" ht="24" customHeight="1">
      <c r="B554" s="74" t="n"/>
      <c r="C554" s="109" t="n"/>
      <c r="D554" s="72" t="n"/>
      <c r="E554" s="72" t="n"/>
      <c r="F554" s="72" t="n"/>
      <c r="G554" s="72" t="n"/>
      <c r="H554" s="113" t="n"/>
      <c r="I554" s="72" t="n"/>
      <c r="J554" s="73" t="n"/>
      <c r="K554" s="89" t="n"/>
      <c r="L554" s="74" t="n"/>
      <c r="M554" s="109" t="n"/>
      <c r="N554" s="68">
        <f>IF(AND(H554="",J554=""),"",ForecastTotal+IF(L554="Approved",0,IF(J554="",0,J554)))</f>
        <v/>
      </c>
      <c r="O554" s="75">
        <f>IF(N554="","",ContAmt-MAX(0,N554-WorkBudget))</f>
        <v/>
      </c>
      <c r="P554" s="120">
        <f>IF(OR(N554="",ForecastEnd=""),"",ForecastEnd+IF(L554="Approved",0,IF(K554="",0,K554)))</f>
        <v/>
      </c>
      <c r="Q554" s="121">
        <f>IF(OR(N554="",WorkBudget=0),"",N554/WorkBudget-1)</f>
        <v/>
      </c>
      <c r="R554" s="79">
        <f>IF(N554="","",IF(N554&lt;=WorkBudget,0,IF(N554&lt;=TotalBudget,1,2)))</f>
        <v/>
      </c>
      <c r="S554" s="112">
        <f>IF(AND(OR(H554&lt;&gt;"",J554&lt;&gt;""),OR(L554="Pending",L554=""),C554&lt;&gt;""),C554+3,"")</f>
        <v/>
      </c>
      <c r="T554" s="79">
        <f>IF(S554="","",IF(AsOf&gt;S554,1,2))</f>
        <v/>
      </c>
      <c r="U554" s="79">
        <f>IF(T554="","","Decide on change order "&amp;B554&amp;": "&amp;H554&amp;" (+"&amp;CurSym&amp;" "&amp;FIXED(IF(J554="",0,J554),0)&amp;")")</f>
        <v/>
      </c>
    </row>
    <row r="555" ht="24" customHeight="1">
      <c r="B555" s="74" t="n"/>
      <c r="C555" s="109" t="n"/>
      <c r="D555" s="72" t="n"/>
      <c r="E555" s="72" t="n"/>
      <c r="F555" s="72" t="n"/>
      <c r="G555" s="72" t="n"/>
      <c r="H555" s="113" t="n"/>
      <c r="I555" s="72" t="n"/>
      <c r="J555" s="73" t="n"/>
      <c r="K555" s="89" t="n"/>
      <c r="L555" s="74" t="n"/>
      <c r="M555" s="109" t="n"/>
      <c r="N555" s="68">
        <f>IF(AND(H555="",J555=""),"",ForecastTotal+IF(L555="Approved",0,IF(J555="",0,J555)))</f>
        <v/>
      </c>
      <c r="O555" s="75">
        <f>IF(N555="","",ContAmt-MAX(0,N555-WorkBudget))</f>
        <v/>
      </c>
      <c r="P555" s="120">
        <f>IF(OR(N555="",ForecastEnd=""),"",ForecastEnd+IF(L555="Approved",0,IF(K555="",0,K555)))</f>
        <v/>
      </c>
      <c r="Q555" s="121">
        <f>IF(OR(N555="",WorkBudget=0),"",N555/WorkBudget-1)</f>
        <v/>
      </c>
      <c r="R555" s="79">
        <f>IF(N555="","",IF(N555&lt;=WorkBudget,0,IF(N555&lt;=TotalBudget,1,2)))</f>
        <v/>
      </c>
      <c r="S555" s="112">
        <f>IF(AND(OR(H555&lt;&gt;"",J555&lt;&gt;""),OR(L555="Pending",L555=""),C555&lt;&gt;""),C555+3,"")</f>
        <v/>
      </c>
      <c r="T555" s="79">
        <f>IF(S555="","",IF(AsOf&gt;S555,1,2))</f>
        <v/>
      </c>
      <c r="U555" s="79">
        <f>IF(T555="","","Decide on change order "&amp;B555&amp;": "&amp;H555&amp;" (+"&amp;CurSym&amp;" "&amp;FIXED(IF(J555="",0,J555),0)&amp;")")</f>
        <v/>
      </c>
    </row>
    <row r="556" ht="24" customHeight="1">
      <c r="B556" s="74" t="n"/>
      <c r="C556" s="109" t="n"/>
      <c r="D556" s="72" t="n"/>
      <c r="E556" s="72" t="n"/>
      <c r="F556" s="72" t="n"/>
      <c r="G556" s="72" t="n"/>
      <c r="H556" s="113" t="n"/>
      <c r="I556" s="72" t="n"/>
      <c r="J556" s="73" t="n"/>
      <c r="K556" s="89" t="n"/>
      <c r="L556" s="74" t="n"/>
      <c r="M556" s="109" t="n"/>
      <c r="N556" s="68">
        <f>IF(AND(H556="",J556=""),"",ForecastTotal+IF(L556="Approved",0,IF(J556="",0,J556)))</f>
        <v/>
      </c>
      <c r="O556" s="75">
        <f>IF(N556="","",ContAmt-MAX(0,N556-WorkBudget))</f>
        <v/>
      </c>
      <c r="P556" s="120">
        <f>IF(OR(N556="",ForecastEnd=""),"",ForecastEnd+IF(L556="Approved",0,IF(K556="",0,K556)))</f>
        <v/>
      </c>
      <c r="Q556" s="121">
        <f>IF(OR(N556="",WorkBudget=0),"",N556/WorkBudget-1)</f>
        <v/>
      </c>
      <c r="R556" s="79">
        <f>IF(N556="","",IF(N556&lt;=WorkBudget,0,IF(N556&lt;=TotalBudget,1,2)))</f>
        <v/>
      </c>
      <c r="S556" s="112">
        <f>IF(AND(OR(H556&lt;&gt;"",J556&lt;&gt;""),OR(L556="Pending",L556=""),C556&lt;&gt;""),C556+3,"")</f>
        <v/>
      </c>
      <c r="T556" s="79">
        <f>IF(S556="","",IF(AsOf&gt;S556,1,2))</f>
        <v/>
      </c>
      <c r="U556" s="79">
        <f>IF(T556="","","Decide on change order "&amp;B556&amp;": "&amp;H556&amp;" (+"&amp;CurSym&amp;" "&amp;FIXED(IF(J556="",0,J556),0)&amp;")")</f>
        <v/>
      </c>
    </row>
    <row r="557" ht="24" customHeight="1">
      <c r="B557" s="74" t="n"/>
      <c r="C557" s="109" t="n"/>
      <c r="D557" s="72" t="n"/>
      <c r="E557" s="72" t="n"/>
      <c r="F557" s="72" t="n"/>
      <c r="G557" s="72" t="n"/>
      <c r="H557" s="113" t="n"/>
      <c r="I557" s="72" t="n"/>
      <c r="J557" s="73" t="n"/>
      <c r="K557" s="89" t="n"/>
      <c r="L557" s="74" t="n"/>
      <c r="M557" s="109" t="n"/>
      <c r="N557" s="68">
        <f>IF(AND(H557="",J557=""),"",ForecastTotal+IF(L557="Approved",0,IF(J557="",0,J557)))</f>
        <v/>
      </c>
      <c r="O557" s="75">
        <f>IF(N557="","",ContAmt-MAX(0,N557-WorkBudget))</f>
        <v/>
      </c>
      <c r="P557" s="120">
        <f>IF(OR(N557="",ForecastEnd=""),"",ForecastEnd+IF(L557="Approved",0,IF(K557="",0,K557)))</f>
        <v/>
      </c>
      <c r="Q557" s="121">
        <f>IF(OR(N557="",WorkBudget=0),"",N557/WorkBudget-1)</f>
        <v/>
      </c>
      <c r="R557" s="79">
        <f>IF(N557="","",IF(N557&lt;=WorkBudget,0,IF(N557&lt;=TotalBudget,1,2)))</f>
        <v/>
      </c>
      <c r="S557" s="112">
        <f>IF(AND(OR(H557&lt;&gt;"",J557&lt;&gt;""),OR(L557="Pending",L557=""),C557&lt;&gt;""),C557+3,"")</f>
        <v/>
      </c>
      <c r="T557" s="79">
        <f>IF(S557="","",IF(AsOf&gt;S557,1,2))</f>
        <v/>
      </c>
      <c r="U557" s="79">
        <f>IF(T557="","","Decide on change order "&amp;B557&amp;": "&amp;H557&amp;" (+"&amp;CurSym&amp;" "&amp;FIXED(IF(J557="",0,J557),0)&amp;")")</f>
        <v/>
      </c>
    </row>
    <row r="558" ht="24" customHeight="1">
      <c r="B558" s="74" t="n"/>
      <c r="C558" s="109" t="n"/>
      <c r="D558" s="72" t="n"/>
      <c r="E558" s="72" t="n"/>
      <c r="F558" s="72" t="n"/>
      <c r="G558" s="72" t="n"/>
      <c r="H558" s="113" t="n"/>
      <c r="I558" s="72" t="n"/>
      <c r="J558" s="73" t="n"/>
      <c r="K558" s="89" t="n"/>
      <c r="L558" s="74" t="n"/>
      <c r="M558" s="109" t="n"/>
      <c r="N558" s="68">
        <f>IF(AND(H558="",J558=""),"",ForecastTotal+IF(L558="Approved",0,IF(J558="",0,J558)))</f>
        <v/>
      </c>
      <c r="O558" s="75">
        <f>IF(N558="","",ContAmt-MAX(0,N558-WorkBudget))</f>
        <v/>
      </c>
      <c r="P558" s="120">
        <f>IF(OR(N558="",ForecastEnd=""),"",ForecastEnd+IF(L558="Approved",0,IF(K558="",0,K558)))</f>
        <v/>
      </c>
      <c r="Q558" s="121">
        <f>IF(OR(N558="",WorkBudget=0),"",N558/WorkBudget-1)</f>
        <v/>
      </c>
      <c r="R558" s="79">
        <f>IF(N558="","",IF(N558&lt;=WorkBudget,0,IF(N558&lt;=TotalBudget,1,2)))</f>
        <v/>
      </c>
      <c r="S558" s="112">
        <f>IF(AND(OR(H558&lt;&gt;"",J558&lt;&gt;""),OR(L558="Pending",L558=""),C558&lt;&gt;""),C558+3,"")</f>
        <v/>
      </c>
      <c r="T558" s="79">
        <f>IF(S558="","",IF(AsOf&gt;S558,1,2))</f>
        <v/>
      </c>
      <c r="U558" s="79">
        <f>IF(T558="","","Decide on change order "&amp;B558&amp;": "&amp;H558&amp;" (+"&amp;CurSym&amp;" "&amp;FIXED(IF(J558="",0,J558),0)&amp;")")</f>
        <v/>
      </c>
    </row>
    <row r="559" ht="24" customHeight="1">
      <c r="B559" s="74" t="n"/>
      <c r="C559" s="109" t="n"/>
      <c r="D559" s="72" t="n"/>
      <c r="E559" s="72" t="n"/>
      <c r="F559" s="72" t="n"/>
      <c r="G559" s="72" t="n"/>
      <c r="H559" s="113" t="n"/>
      <c r="I559" s="72" t="n"/>
      <c r="J559" s="73" t="n"/>
      <c r="K559" s="89" t="n"/>
      <c r="L559" s="74" t="n"/>
      <c r="M559" s="109" t="n"/>
      <c r="N559" s="68">
        <f>IF(AND(H559="",J559=""),"",ForecastTotal+IF(L559="Approved",0,IF(J559="",0,J559)))</f>
        <v/>
      </c>
      <c r="O559" s="75">
        <f>IF(N559="","",ContAmt-MAX(0,N559-WorkBudget))</f>
        <v/>
      </c>
      <c r="P559" s="120">
        <f>IF(OR(N559="",ForecastEnd=""),"",ForecastEnd+IF(L559="Approved",0,IF(K559="",0,K559)))</f>
        <v/>
      </c>
      <c r="Q559" s="121">
        <f>IF(OR(N559="",WorkBudget=0),"",N559/WorkBudget-1)</f>
        <v/>
      </c>
      <c r="R559" s="79">
        <f>IF(N559="","",IF(N559&lt;=WorkBudget,0,IF(N559&lt;=TotalBudget,1,2)))</f>
        <v/>
      </c>
      <c r="S559" s="112">
        <f>IF(AND(OR(H559&lt;&gt;"",J559&lt;&gt;""),OR(L559="Pending",L559=""),C559&lt;&gt;""),C559+3,"")</f>
        <v/>
      </c>
      <c r="T559" s="79">
        <f>IF(S559="","",IF(AsOf&gt;S559,1,2))</f>
        <v/>
      </c>
      <c r="U559" s="79">
        <f>IF(T559="","","Decide on change order "&amp;B559&amp;": "&amp;H559&amp;" (+"&amp;CurSym&amp;" "&amp;FIXED(IF(J559="",0,J559),0)&amp;")")</f>
        <v/>
      </c>
    </row>
    <row r="560" ht="24" customHeight="1">
      <c r="B560" s="74" t="n"/>
      <c r="C560" s="109" t="n"/>
      <c r="D560" s="72" t="n"/>
      <c r="E560" s="72" t="n"/>
      <c r="F560" s="72" t="n"/>
      <c r="G560" s="72" t="n"/>
      <c r="H560" s="113" t="n"/>
      <c r="I560" s="72" t="n"/>
      <c r="J560" s="73" t="n"/>
      <c r="K560" s="89" t="n"/>
      <c r="L560" s="74" t="n"/>
      <c r="M560" s="109" t="n"/>
      <c r="N560" s="68">
        <f>IF(AND(H560="",J560=""),"",ForecastTotal+IF(L560="Approved",0,IF(J560="",0,J560)))</f>
        <v/>
      </c>
      <c r="O560" s="75">
        <f>IF(N560="","",ContAmt-MAX(0,N560-WorkBudget))</f>
        <v/>
      </c>
      <c r="P560" s="120">
        <f>IF(OR(N560="",ForecastEnd=""),"",ForecastEnd+IF(L560="Approved",0,IF(K560="",0,K560)))</f>
        <v/>
      </c>
      <c r="Q560" s="121">
        <f>IF(OR(N560="",WorkBudget=0),"",N560/WorkBudget-1)</f>
        <v/>
      </c>
      <c r="R560" s="79">
        <f>IF(N560="","",IF(N560&lt;=WorkBudget,0,IF(N560&lt;=TotalBudget,1,2)))</f>
        <v/>
      </c>
      <c r="S560" s="112">
        <f>IF(AND(OR(H560&lt;&gt;"",J560&lt;&gt;""),OR(L560="Pending",L560=""),C560&lt;&gt;""),C560+3,"")</f>
        <v/>
      </c>
      <c r="T560" s="79">
        <f>IF(S560="","",IF(AsOf&gt;S560,1,2))</f>
        <v/>
      </c>
      <c r="U560" s="79">
        <f>IF(T560="","","Decide on change order "&amp;B560&amp;": "&amp;H560&amp;" (+"&amp;CurSym&amp;" "&amp;FIXED(IF(J560="",0,J560),0)&amp;")")</f>
        <v/>
      </c>
    </row>
    <row r="561" ht="24" customHeight="1">
      <c r="B561" s="74" t="n"/>
      <c r="C561" s="109" t="n"/>
      <c r="D561" s="72" t="n"/>
      <c r="E561" s="72" t="n"/>
      <c r="F561" s="72" t="n"/>
      <c r="G561" s="72" t="n"/>
      <c r="H561" s="113" t="n"/>
      <c r="I561" s="72" t="n"/>
      <c r="J561" s="73" t="n"/>
      <c r="K561" s="89" t="n"/>
      <c r="L561" s="74" t="n"/>
      <c r="M561" s="109" t="n"/>
      <c r="N561" s="68">
        <f>IF(AND(H561="",J561=""),"",ForecastTotal+IF(L561="Approved",0,IF(J561="",0,J561)))</f>
        <v/>
      </c>
      <c r="O561" s="75">
        <f>IF(N561="","",ContAmt-MAX(0,N561-WorkBudget))</f>
        <v/>
      </c>
      <c r="P561" s="120">
        <f>IF(OR(N561="",ForecastEnd=""),"",ForecastEnd+IF(L561="Approved",0,IF(K561="",0,K561)))</f>
        <v/>
      </c>
      <c r="Q561" s="121">
        <f>IF(OR(N561="",WorkBudget=0),"",N561/WorkBudget-1)</f>
        <v/>
      </c>
      <c r="R561" s="79">
        <f>IF(N561="","",IF(N561&lt;=WorkBudget,0,IF(N561&lt;=TotalBudget,1,2)))</f>
        <v/>
      </c>
      <c r="S561" s="112">
        <f>IF(AND(OR(H561&lt;&gt;"",J561&lt;&gt;""),OR(L561="Pending",L561=""),C561&lt;&gt;""),C561+3,"")</f>
        <v/>
      </c>
      <c r="T561" s="79">
        <f>IF(S561="","",IF(AsOf&gt;S561,1,2))</f>
        <v/>
      </c>
      <c r="U561" s="79">
        <f>IF(T561="","","Decide on change order "&amp;B561&amp;": "&amp;H561&amp;" (+"&amp;CurSym&amp;" "&amp;FIXED(IF(J561="",0,J561),0)&amp;")")</f>
        <v/>
      </c>
    </row>
    <row r="562" ht="24" customHeight="1">
      <c r="B562" s="74" t="n"/>
      <c r="C562" s="109" t="n"/>
      <c r="D562" s="72" t="n"/>
      <c r="E562" s="72" t="n"/>
      <c r="F562" s="72" t="n"/>
      <c r="G562" s="72" t="n"/>
      <c r="H562" s="113" t="n"/>
      <c r="I562" s="72" t="n"/>
      <c r="J562" s="73" t="n"/>
      <c r="K562" s="89" t="n"/>
      <c r="L562" s="74" t="n"/>
      <c r="M562" s="109" t="n"/>
      <c r="N562" s="68">
        <f>IF(AND(H562="",J562=""),"",ForecastTotal+IF(L562="Approved",0,IF(J562="",0,J562)))</f>
        <v/>
      </c>
      <c r="O562" s="75">
        <f>IF(N562="","",ContAmt-MAX(0,N562-WorkBudget))</f>
        <v/>
      </c>
      <c r="P562" s="120">
        <f>IF(OR(N562="",ForecastEnd=""),"",ForecastEnd+IF(L562="Approved",0,IF(K562="",0,K562)))</f>
        <v/>
      </c>
      <c r="Q562" s="121">
        <f>IF(OR(N562="",WorkBudget=0),"",N562/WorkBudget-1)</f>
        <v/>
      </c>
      <c r="R562" s="79">
        <f>IF(N562="","",IF(N562&lt;=WorkBudget,0,IF(N562&lt;=TotalBudget,1,2)))</f>
        <v/>
      </c>
      <c r="S562" s="112">
        <f>IF(AND(OR(H562&lt;&gt;"",J562&lt;&gt;""),OR(L562="Pending",L562=""),C562&lt;&gt;""),C562+3,"")</f>
        <v/>
      </c>
      <c r="T562" s="79">
        <f>IF(S562="","",IF(AsOf&gt;S562,1,2))</f>
        <v/>
      </c>
      <c r="U562" s="79">
        <f>IF(T562="","","Decide on change order "&amp;B562&amp;": "&amp;H562&amp;" (+"&amp;CurSym&amp;" "&amp;FIXED(IF(J562="",0,J562),0)&amp;")")</f>
        <v/>
      </c>
    </row>
    <row r="563" ht="24" customHeight="1">
      <c r="B563" s="74" t="n"/>
      <c r="C563" s="109" t="n"/>
      <c r="D563" s="72" t="n"/>
      <c r="E563" s="72" t="n"/>
      <c r="F563" s="72" t="n"/>
      <c r="G563" s="72" t="n"/>
      <c r="H563" s="113" t="n"/>
      <c r="I563" s="72" t="n"/>
      <c r="J563" s="73" t="n"/>
      <c r="K563" s="89" t="n"/>
      <c r="L563" s="74" t="n"/>
      <c r="M563" s="109" t="n"/>
      <c r="N563" s="68">
        <f>IF(AND(H563="",J563=""),"",ForecastTotal+IF(L563="Approved",0,IF(J563="",0,J563)))</f>
        <v/>
      </c>
      <c r="O563" s="75">
        <f>IF(N563="","",ContAmt-MAX(0,N563-WorkBudget))</f>
        <v/>
      </c>
      <c r="P563" s="120">
        <f>IF(OR(N563="",ForecastEnd=""),"",ForecastEnd+IF(L563="Approved",0,IF(K563="",0,K563)))</f>
        <v/>
      </c>
      <c r="Q563" s="121">
        <f>IF(OR(N563="",WorkBudget=0),"",N563/WorkBudget-1)</f>
        <v/>
      </c>
      <c r="R563" s="79">
        <f>IF(N563="","",IF(N563&lt;=WorkBudget,0,IF(N563&lt;=TotalBudget,1,2)))</f>
        <v/>
      </c>
      <c r="S563" s="112">
        <f>IF(AND(OR(H563&lt;&gt;"",J563&lt;&gt;""),OR(L563="Pending",L563=""),C563&lt;&gt;""),C563+3,"")</f>
        <v/>
      </c>
      <c r="T563" s="79">
        <f>IF(S563="","",IF(AsOf&gt;S563,1,2))</f>
        <v/>
      </c>
      <c r="U563" s="79">
        <f>IF(T563="","","Decide on change order "&amp;B563&amp;": "&amp;H563&amp;" (+"&amp;CurSym&amp;" "&amp;FIXED(IF(J563="",0,J563),0)&amp;")")</f>
        <v/>
      </c>
    </row>
    <row r="564" ht="24" customHeight="1">
      <c r="B564" s="74" t="n"/>
      <c r="C564" s="109" t="n"/>
      <c r="D564" s="72" t="n"/>
      <c r="E564" s="72" t="n"/>
      <c r="F564" s="72" t="n"/>
      <c r="G564" s="72" t="n"/>
      <c r="H564" s="113" t="n"/>
      <c r="I564" s="72" t="n"/>
      <c r="J564" s="73" t="n"/>
      <c r="K564" s="89" t="n"/>
      <c r="L564" s="74" t="n"/>
      <c r="M564" s="109" t="n"/>
      <c r="N564" s="68">
        <f>IF(AND(H564="",J564=""),"",ForecastTotal+IF(L564="Approved",0,IF(J564="",0,J564)))</f>
        <v/>
      </c>
      <c r="O564" s="75">
        <f>IF(N564="","",ContAmt-MAX(0,N564-WorkBudget))</f>
        <v/>
      </c>
      <c r="P564" s="120">
        <f>IF(OR(N564="",ForecastEnd=""),"",ForecastEnd+IF(L564="Approved",0,IF(K564="",0,K564)))</f>
        <v/>
      </c>
      <c r="Q564" s="121">
        <f>IF(OR(N564="",WorkBudget=0),"",N564/WorkBudget-1)</f>
        <v/>
      </c>
      <c r="R564" s="79">
        <f>IF(N564="","",IF(N564&lt;=WorkBudget,0,IF(N564&lt;=TotalBudget,1,2)))</f>
        <v/>
      </c>
      <c r="S564" s="112">
        <f>IF(AND(OR(H564&lt;&gt;"",J564&lt;&gt;""),OR(L564="Pending",L564=""),C564&lt;&gt;""),C564+3,"")</f>
        <v/>
      </c>
      <c r="T564" s="79">
        <f>IF(S564="","",IF(AsOf&gt;S564,1,2))</f>
        <v/>
      </c>
      <c r="U564" s="79">
        <f>IF(T564="","","Decide on change order "&amp;B564&amp;": "&amp;H564&amp;" (+"&amp;CurSym&amp;" "&amp;FIXED(IF(J564="",0,J564),0)&amp;")")</f>
        <v/>
      </c>
    </row>
    <row r="565" ht="24" customHeight="1">
      <c r="B565" s="74" t="n"/>
      <c r="C565" s="109" t="n"/>
      <c r="D565" s="72" t="n"/>
      <c r="E565" s="72" t="n"/>
      <c r="F565" s="72" t="n"/>
      <c r="G565" s="72" t="n"/>
      <c r="H565" s="113" t="n"/>
      <c r="I565" s="72" t="n"/>
      <c r="J565" s="73" t="n"/>
      <c r="K565" s="89" t="n"/>
      <c r="L565" s="74" t="n"/>
      <c r="M565" s="109" t="n"/>
      <c r="N565" s="68">
        <f>IF(AND(H565="",J565=""),"",ForecastTotal+IF(L565="Approved",0,IF(J565="",0,J565)))</f>
        <v/>
      </c>
      <c r="O565" s="75">
        <f>IF(N565="","",ContAmt-MAX(0,N565-WorkBudget))</f>
        <v/>
      </c>
      <c r="P565" s="120">
        <f>IF(OR(N565="",ForecastEnd=""),"",ForecastEnd+IF(L565="Approved",0,IF(K565="",0,K565)))</f>
        <v/>
      </c>
      <c r="Q565" s="121">
        <f>IF(OR(N565="",WorkBudget=0),"",N565/WorkBudget-1)</f>
        <v/>
      </c>
      <c r="R565" s="79">
        <f>IF(N565="","",IF(N565&lt;=WorkBudget,0,IF(N565&lt;=TotalBudget,1,2)))</f>
        <v/>
      </c>
      <c r="S565" s="112">
        <f>IF(AND(OR(H565&lt;&gt;"",J565&lt;&gt;""),OR(L565="Pending",L565=""),C565&lt;&gt;""),C565+3,"")</f>
        <v/>
      </c>
      <c r="T565" s="79">
        <f>IF(S565="","",IF(AsOf&gt;S565,1,2))</f>
        <v/>
      </c>
      <c r="U565" s="79">
        <f>IF(T565="","","Decide on change order "&amp;B565&amp;": "&amp;H565&amp;" (+"&amp;CurSym&amp;" "&amp;FIXED(IF(J565="",0,J565),0)&amp;")")</f>
        <v/>
      </c>
    </row>
    <row r="566" ht="24" customHeight="1">
      <c r="B566" s="74" t="n"/>
      <c r="C566" s="109" t="n"/>
      <c r="D566" s="72" t="n"/>
      <c r="E566" s="72" t="n"/>
      <c r="F566" s="72" t="n"/>
      <c r="G566" s="72" t="n"/>
      <c r="H566" s="113" t="n"/>
      <c r="I566" s="72" t="n"/>
      <c r="J566" s="73" t="n"/>
      <c r="K566" s="89" t="n"/>
      <c r="L566" s="74" t="n"/>
      <c r="M566" s="109" t="n"/>
      <c r="N566" s="68">
        <f>IF(AND(H566="",J566=""),"",ForecastTotal+IF(L566="Approved",0,IF(J566="",0,J566)))</f>
        <v/>
      </c>
      <c r="O566" s="75">
        <f>IF(N566="","",ContAmt-MAX(0,N566-WorkBudget))</f>
        <v/>
      </c>
      <c r="P566" s="120">
        <f>IF(OR(N566="",ForecastEnd=""),"",ForecastEnd+IF(L566="Approved",0,IF(K566="",0,K566)))</f>
        <v/>
      </c>
      <c r="Q566" s="121">
        <f>IF(OR(N566="",WorkBudget=0),"",N566/WorkBudget-1)</f>
        <v/>
      </c>
      <c r="R566" s="79">
        <f>IF(N566="","",IF(N566&lt;=WorkBudget,0,IF(N566&lt;=TotalBudget,1,2)))</f>
        <v/>
      </c>
      <c r="S566" s="112">
        <f>IF(AND(OR(H566&lt;&gt;"",J566&lt;&gt;""),OR(L566="Pending",L566=""),C566&lt;&gt;""),C566+3,"")</f>
        <v/>
      </c>
      <c r="T566" s="79">
        <f>IF(S566="","",IF(AsOf&gt;S566,1,2))</f>
        <v/>
      </c>
      <c r="U566" s="79">
        <f>IF(T566="","","Decide on change order "&amp;B566&amp;": "&amp;H566&amp;" (+"&amp;CurSym&amp;" "&amp;FIXED(IF(J566="",0,J566),0)&amp;")")</f>
        <v/>
      </c>
    </row>
    <row r="567" ht="24" customHeight="1">
      <c r="B567" s="74" t="n"/>
      <c r="C567" s="109" t="n"/>
      <c r="D567" s="72" t="n"/>
      <c r="E567" s="72" t="n"/>
      <c r="F567" s="72" t="n"/>
      <c r="G567" s="72" t="n"/>
      <c r="H567" s="113" t="n"/>
      <c r="I567" s="72" t="n"/>
      <c r="J567" s="73" t="n"/>
      <c r="K567" s="89" t="n"/>
      <c r="L567" s="74" t="n"/>
      <c r="M567" s="109" t="n"/>
      <c r="N567" s="68">
        <f>IF(AND(H567="",J567=""),"",ForecastTotal+IF(L567="Approved",0,IF(J567="",0,J567)))</f>
        <v/>
      </c>
      <c r="O567" s="75">
        <f>IF(N567="","",ContAmt-MAX(0,N567-WorkBudget))</f>
        <v/>
      </c>
      <c r="P567" s="120">
        <f>IF(OR(N567="",ForecastEnd=""),"",ForecastEnd+IF(L567="Approved",0,IF(K567="",0,K567)))</f>
        <v/>
      </c>
      <c r="Q567" s="121">
        <f>IF(OR(N567="",WorkBudget=0),"",N567/WorkBudget-1)</f>
        <v/>
      </c>
      <c r="R567" s="79">
        <f>IF(N567="","",IF(N567&lt;=WorkBudget,0,IF(N567&lt;=TotalBudget,1,2)))</f>
        <v/>
      </c>
      <c r="S567" s="112">
        <f>IF(AND(OR(H567&lt;&gt;"",J567&lt;&gt;""),OR(L567="Pending",L567=""),C567&lt;&gt;""),C567+3,"")</f>
        <v/>
      </c>
      <c r="T567" s="79">
        <f>IF(S567="","",IF(AsOf&gt;S567,1,2))</f>
        <v/>
      </c>
      <c r="U567" s="79">
        <f>IF(T567="","","Decide on change order "&amp;B567&amp;": "&amp;H567&amp;" (+"&amp;CurSym&amp;" "&amp;FIXED(IF(J567="",0,J567),0)&amp;")")</f>
        <v/>
      </c>
    </row>
    <row r="568" ht="24" customHeight="1">
      <c r="B568" s="74" t="n"/>
      <c r="C568" s="109" t="n"/>
      <c r="D568" s="72" t="n"/>
      <c r="E568" s="72" t="n"/>
      <c r="F568" s="72" t="n"/>
      <c r="G568" s="72" t="n"/>
      <c r="H568" s="113" t="n"/>
      <c r="I568" s="72" t="n"/>
      <c r="J568" s="73" t="n"/>
      <c r="K568" s="89" t="n"/>
      <c r="L568" s="74" t="n"/>
      <c r="M568" s="109" t="n"/>
      <c r="N568" s="68">
        <f>IF(AND(H568="",J568=""),"",ForecastTotal+IF(L568="Approved",0,IF(J568="",0,J568)))</f>
        <v/>
      </c>
      <c r="O568" s="75">
        <f>IF(N568="","",ContAmt-MAX(0,N568-WorkBudget))</f>
        <v/>
      </c>
      <c r="P568" s="120">
        <f>IF(OR(N568="",ForecastEnd=""),"",ForecastEnd+IF(L568="Approved",0,IF(K568="",0,K568)))</f>
        <v/>
      </c>
      <c r="Q568" s="121">
        <f>IF(OR(N568="",WorkBudget=0),"",N568/WorkBudget-1)</f>
        <v/>
      </c>
      <c r="R568" s="79">
        <f>IF(N568="","",IF(N568&lt;=WorkBudget,0,IF(N568&lt;=TotalBudget,1,2)))</f>
        <v/>
      </c>
      <c r="S568" s="112">
        <f>IF(AND(OR(H568&lt;&gt;"",J568&lt;&gt;""),OR(L568="Pending",L568=""),C568&lt;&gt;""),C568+3,"")</f>
        <v/>
      </c>
      <c r="T568" s="79">
        <f>IF(S568="","",IF(AsOf&gt;S568,1,2))</f>
        <v/>
      </c>
      <c r="U568" s="79">
        <f>IF(T568="","","Decide on change order "&amp;B568&amp;": "&amp;H568&amp;" (+"&amp;CurSym&amp;" "&amp;FIXED(IF(J568="",0,J568),0)&amp;")")</f>
        <v/>
      </c>
    </row>
    <row r="569" ht="24" customHeight="1">
      <c r="B569" s="74" t="n"/>
      <c r="C569" s="109" t="n"/>
      <c r="D569" s="72" t="n"/>
      <c r="E569" s="72" t="n"/>
      <c r="F569" s="72" t="n"/>
      <c r="G569" s="72" t="n"/>
      <c r="H569" s="113" t="n"/>
      <c r="I569" s="72" t="n"/>
      <c r="J569" s="73" t="n"/>
      <c r="K569" s="89" t="n"/>
      <c r="L569" s="74" t="n"/>
      <c r="M569" s="109" t="n"/>
      <c r="N569" s="68">
        <f>IF(AND(H569="",J569=""),"",ForecastTotal+IF(L569="Approved",0,IF(J569="",0,J569)))</f>
        <v/>
      </c>
      <c r="O569" s="75">
        <f>IF(N569="","",ContAmt-MAX(0,N569-WorkBudget))</f>
        <v/>
      </c>
      <c r="P569" s="120">
        <f>IF(OR(N569="",ForecastEnd=""),"",ForecastEnd+IF(L569="Approved",0,IF(K569="",0,K569)))</f>
        <v/>
      </c>
      <c r="Q569" s="121">
        <f>IF(OR(N569="",WorkBudget=0),"",N569/WorkBudget-1)</f>
        <v/>
      </c>
      <c r="R569" s="79">
        <f>IF(N569="","",IF(N569&lt;=WorkBudget,0,IF(N569&lt;=TotalBudget,1,2)))</f>
        <v/>
      </c>
      <c r="S569" s="112">
        <f>IF(AND(OR(H569&lt;&gt;"",J569&lt;&gt;""),OR(L569="Pending",L569=""),C569&lt;&gt;""),C569+3,"")</f>
        <v/>
      </c>
      <c r="T569" s="79">
        <f>IF(S569="","",IF(AsOf&gt;S569,1,2))</f>
        <v/>
      </c>
      <c r="U569" s="79">
        <f>IF(T569="","","Decide on change order "&amp;B569&amp;": "&amp;H569&amp;" (+"&amp;CurSym&amp;" "&amp;FIXED(IF(J569="",0,J569),0)&amp;")")</f>
        <v/>
      </c>
    </row>
    <row r="570" ht="24" customHeight="1">
      <c r="B570" s="74" t="n"/>
      <c r="C570" s="109" t="n"/>
      <c r="D570" s="72" t="n"/>
      <c r="E570" s="72" t="n"/>
      <c r="F570" s="72" t="n"/>
      <c r="G570" s="72" t="n"/>
      <c r="H570" s="113" t="n"/>
      <c r="I570" s="72" t="n"/>
      <c r="J570" s="73" t="n"/>
      <c r="K570" s="89" t="n"/>
      <c r="L570" s="74" t="n"/>
      <c r="M570" s="109" t="n"/>
      <c r="N570" s="68">
        <f>IF(AND(H570="",J570=""),"",ForecastTotal+IF(L570="Approved",0,IF(J570="",0,J570)))</f>
        <v/>
      </c>
      <c r="O570" s="75">
        <f>IF(N570="","",ContAmt-MAX(0,N570-WorkBudget))</f>
        <v/>
      </c>
      <c r="P570" s="120">
        <f>IF(OR(N570="",ForecastEnd=""),"",ForecastEnd+IF(L570="Approved",0,IF(K570="",0,K570)))</f>
        <v/>
      </c>
      <c r="Q570" s="121">
        <f>IF(OR(N570="",WorkBudget=0),"",N570/WorkBudget-1)</f>
        <v/>
      </c>
      <c r="R570" s="79">
        <f>IF(N570="","",IF(N570&lt;=WorkBudget,0,IF(N570&lt;=TotalBudget,1,2)))</f>
        <v/>
      </c>
      <c r="S570" s="112">
        <f>IF(AND(OR(H570&lt;&gt;"",J570&lt;&gt;""),OR(L570="Pending",L570=""),C570&lt;&gt;""),C570+3,"")</f>
        <v/>
      </c>
      <c r="T570" s="79">
        <f>IF(S570="","",IF(AsOf&gt;S570,1,2))</f>
        <v/>
      </c>
      <c r="U570" s="79">
        <f>IF(T570="","","Decide on change order "&amp;B570&amp;": "&amp;H570&amp;" (+"&amp;CurSym&amp;" "&amp;FIXED(IF(J570="",0,J570),0)&amp;")")</f>
        <v/>
      </c>
    </row>
    <row r="571" ht="24" customHeight="1">
      <c r="B571" s="74" t="n"/>
      <c r="C571" s="109" t="n"/>
      <c r="D571" s="72" t="n"/>
      <c r="E571" s="72" t="n"/>
      <c r="F571" s="72" t="n"/>
      <c r="G571" s="72" t="n"/>
      <c r="H571" s="113" t="n"/>
      <c r="I571" s="72" t="n"/>
      <c r="J571" s="73" t="n"/>
      <c r="K571" s="89" t="n"/>
      <c r="L571" s="74" t="n"/>
      <c r="M571" s="109" t="n"/>
      <c r="N571" s="68">
        <f>IF(AND(H571="",J571=""),"",ForecastTotal+IF(L571="Approved",0,IF(J571="",0,J571)))</f>
        <v/>
      </c>
      <c r="O571" s="75">
        <f>IF(N571="","",ContAmt-MAX(0,N571-WorkBudget))</f>
        <v/>
      </c>
      <c r="P571" s="120">
        <f>IF(OR(N571="",ForecastEnd=""),"",ForecastEnd+IF(L571="Approved",0,IF(K571="",0,K571)))</f>
        <v/>
      </c>
      <c r="Q571" s="121">
        <f>IF(OR(N571="",WorkBudget=0),"",N571/WorkBudget-1)</f>
        <v/>
      </c>
      <c r="R571" s="79">
        <f>IF(N571="","",IF(N571&lt;=WorkBudget,0,IF(N571&lt;=TotalBudget,1,2)))</f>
        <v/>
      </c>
      <c r="S571" s="112">
        <f>IF(AND(OR(H571&lt;&gt;"",J571&lt;&gt;""),OR(L571="Pending",L571=""),C571&lt;&gt;""),C571+3,"")</f>
        <v/>
      </c>
      <c r="T571" s="79">
        <f>IF(S571="","",IF(AsOf&gt;S571,1,2))</f>
        <v/>
      </c>
      <c r="U571" s="79">
        <f>IF(T571="","","Decide on change order "&amp;B571&amp;": "&amp;H571&amp;" (+"&amp;CurSym&amp;" "&amp;FIXED(IF(J571="",0,J571),0)&amp;")")</f>
        <v/>
      </c>
    </row>
    <row r="572" ht="24" customHeight="1">
      <c r="B572" s="74" t="n"/>
      <c r="C572" s="109" t="n"/>
      <c r="D572" s="72" t="n"/>
      <c r="E572" s="72" t="n"/>
      <c r="F572" s="72" t="n"/>
      <c r="G572" s="72" t="n"/>
      <c r="H572" s="113" t="n"/>
      <c r="I572" s="72" t="n"/>
      <c r="J572" s="73" t="n"/>
      <c r="K572" s="89" t="n"/>
      <c r="L572" s="74" t="n"/>
      <c r="M572" s="109" t="n"/>
      <c r="N572" s="68">
        <f>IF(AND(H572="",J572=""),"",ForecastTotal+IF(L572="Approved",0,IF(J572="",0,J572)))</f>
        <v/>
      </c>
      <c r="O572" s="75">
        <f>IF(N572="","",ContAmt-MAX(0,N572-WorkBudget))</f>
        <v/>
      </c>
      <c r="P572" s="120">
        <f>IF(OR(N572="",ForecastEnd=""),"",ForecastEnd+IF(L572="Approved",0,IF(K572="",0,K572)))</f>
        <v/>
      </c>
      <c r="Q572" s="121">
        <f>IF(OR(N572="",WorkBudget=0),"",N572/WorkBudget-1)</f>
        <v/>
      </c>
      <c r="R572" s="79">
        <f>IF(N572="","",IF(N572&lt;=WorkBudget,0,IF(N572&lt;=TotalBudget,1,2)))</f>
        <v/>
      </c>
      <c r="S572" s="112">
        <f>IF(AND(OR(H572&lt;&gt;"",J572&lt;&gt;""),OR(L572="Pending",L572=""),C572&lt;&gt;""),C572+3,"")</f>
        <v/>
      </c>
      <c r="T572" s="79">
        <f>IF(S572="","",IF(AsOf&gt;S572,1,2))</f>
        <v/>
      </c>
      <c r="U572" s="79">
        <f>IF(T572="","","Decide on change order "&amp;B572&amp;": "&amp;H572&amp;" (+"&amp;CurSym&amp;" "&amp;FIXED(IF(J572="",0,J572),0)&amp;")")</f>
        <v/>
      </c>
    </row>
    <row r="573" ht="24" customHeight="1">
      <c r="B573" s="74" t="n"/>
      <c r="C573" s="109" t="n"/>
      <c r="D573" s="72" t="n"/>
      <c r="E573" s="72" t="n"/>
      <c r="F573" s="72" t="n"/>
      <c r="G573" s="72" t="n"/>
      <c r="H573" s="113" t="n"/>
      <c r="I573" s="72" t="n"/>
      <c r="J573" s="73" t="n"/>
      <c r="K573" s="89" t="n"/>
      <c r="L573" s="74" t="n"/>
      <c r="M573" s="109" t="n"/>
      <c r="N573" s="68">
        <f>IF(AND(H573="",J573=""),"",ForecastTotal+IF(L573="Approved",0,IF(J573="",0,J573)))</f>
        <v/>
      </c>
      <c r="O573" s="75">
        <f>IF(N573="","",ContAmt-MAX(0,N573-WorkBudget))</f>
        <v/>
      </c>
      <c r="P573" s="120">
        <f>IF(OR(N573="",ForecastEnd=""),"",ForecastEnd+IF(L573="Approved",0,IF(K573="",0,K573)))</f>
        <v/>
      </c>
      <c r="Q573" s="121">
        <f>IF(OR(N573="",WorkBudget=0),"",N573/WorkBudget-1)</f>
        <v/>
      </c>
      <c r="R573" s="79">
        <f>IF(N573="","",IF(N573&lt;=WorkBudget,0,IF(N573&lt;=TotalBudget,1,2)))</f>
        <v/>
      </c>
      <c r="S573" s="112">
        <f>IF(AND(OR(H573&lt;&gt;"",J573&lt;&gt;""),OR(L573="Pending",L573=""),C573&lt;&gt;""),C573+3,"")</f>
        <v/>
      </c>
      <c r="T573" s="79">
        <f>IF(S573="","",IF(AsOf&gt;S573,1,2))</f>
        <v/>
      </c>
      <c r="U573" s="79">
        <f>IF(T573="","","Decide on change order "&amp;B573&amp;": "&amp;H573&amp;" (+"&amp;CurSym&amp;" "&amp;FIXED(IF(J573="",0,J573),0)&amp;")")</f>
        <v/>
      </c>
    </row>
    <row r="574" ht="24" customHeight="1">
      <c r="B574" s="74" t="n"/>
      <c r="C574" s="109" t="n"/>
      <c r="D574" s="72" t="n"/>
      <c r="E574" s="72" t="n"/>
      <c r="F574" s="72" t="n"/>
      <c r="G574" s="72" t="n"/>
      <c r="H574" s="113" t="n"/>
      <c r="I574" s="72" t="n"/>
      <c r="J574" s="73" t="n"/>
      <c r="K574" s="89" t="n"/>
      <c r="L574" s="74" t="n"/>
      <c r="M574" s="109" t="n"/>
      <c r="N574" s="68">
        <f>IF(AND(H574="",J574=""),"",ForecastTotal+IF(L574="Approved",0,IF(J574="",0,J574)))</f>
        <v/>
      </c>
      <c r="O574" s="75">
        <f>IF(N574="","",ContAmt-MAX(0,N574-WorkBudget))</f>
        <v/>
      </c>
      <c r="P574" s="120">
        <f>IF(OR(N574="",ForecastEnd=""),"",ForecastEnd+IF(L574="Approved",0,IF(K574="",0,K574)))</f>
        <v/>
      </c>
      <c r="Q574" s="121">
        <f>IF(OR(N574="",WorkBudget=0),"",N574/WorkBudget-1)</f>
        <v/>
      </c>
      <c r="R574" s="79">
        <f>IF(N574="","",IF(N574&lt;=WorkBudget,0,IF(N574&lt;=TotalBudget,1,2)))</f>
        <v/>
      </c>
      <c r="S574" s="112">
        <f>IF(AND(OR(H574&lt;&gt;"",J574&lt;&gt;""),OR(L574="Pending",L574=""),C574&lt;&gt;""),C574+3,"")</f>
        <v/>
      </c>
      <c r="T574" s="79">
        <f>IF(S574="","",IF(AsOf&gt;S574,1,2))</f>
        <v/>
      </c>
      <c r="U574" s="79">
        <f>IF(T574="","","Decide on change order "&amp;B574&amp;": "&amp;H574&amp;" (+"&amp;CurSym&amp;" "&amp;FIXED(IF(J574="",0,J574),0)&amp;")")</f>
        <v/>
      </c>
    </row>
    <row r="575" ht="24" customHeight="1">
      <c r="B575" s="74" t="n"/>
      <c r="C575" s="109" t="n"/>
      <c r="D575" s="72" t="n"/>
      <c r="E575" s="72" t="n"/>
      <c r="F575" s="72" t="n"/>
      <c r="G575" s="72" t="n"/>
      <c r="H575" s="113" t="n"/>
      <c r="I575" s="72" t="n"/>
      <c r="J575" s="73" t="n"/>
      <c r="K575" s="89" t="n"/>
      <c r="L575" s="74" t="n"/>
      <c r="M575" s="109" t="n"/>
      <c r="N575" s="68">
        <f>IF(AND(H575="",J575=""),"",ForecastTotal+IF(L575="Approved",0,IF(J575="",0,J575)))</f>
        <v/>
      </c>
      <c r="O575" s="75">
        <f>IF(N575="","",ContAmt-MAX(0,N575-WorkBudget))</f>
        <v/>
      </c>
      <c r="P575" s="120">
        <f>IF(OR(N575="",ForecastEnd=""),"",ForecastEnd+IF(L575="Approved",0,IF(K575="",0,K575)))</f>
        <v/>
      </c>
      <c r="Q575" s="121">
        <f>IF(OR(N575="",WorkBudget=0),"",N575/WorkBudget-1)</f>
        <v/>
      </c>
      <c r="R575" s="79">
        <f>IF(N575="","",IF(N575&lt;=WorkBudget,0,IF(N575&lt;=TotalBudget,1,2)))</f>
        <v/>
      </c>
      <c r="S575" s="112">
        <f>IF(AND(OR(H575&lt;&gt;"",J575&lt;&gt;""),OR(L575="Pending",L575=""),C575&lt;&gt;""),C575+3,"")</f>
        <v/>
      </c>
      <c r="T575" s="79">
        <f>IF(S575="","",IF(AsOf&gt;S575,1,2))</f>
        <v/>
      </c>
      <c r="U575" s="79">
        <f>IF(T575="","","Decide on change order "&amp;B575&amp;": "&amp;H575&amp;" (+"&amp;CurSym&amp;" "&amp;FIXED(IF(J575="",0,J575),0)&amp;")")</f>
        <v/>
      </c>
    </row>
    <row r="576" ht="24" customHeight="1">
      <c r="B576" s="74" t="n"/>
      <c r="C576" s="109" t="n"/>
      <c r="D576" s="72" t="n"/>
      <c r="E576" s="72" t="n"/>
      <c r="F576" s="72" t="n"/>
      <c r="G576" s="72" t="n"/>
      <c r="H576" s="113" t="n"/>
      <c r="I576" s="72" t="n"/>
      <c r="J576" s="73" t="n"/>
      <c r="K576" s="89" t="n"/>
      <c r="L576" s="74" t="n"/>
      <c r="M576" s="109" t="n"/>
      <c r="N576" s="68">
        <f>IF(AND(H576="",J576=""),"",ForecastTotal+IF(L576="Approved",0,IF(J576="",0,J576)))</f>
        <v/>
      </c>
      <c r="O576" s="75">
        <f>IF(N576="","",ContAmt-MAX(0,N576-WorkBudget))</f>
        <v/>
      </c>
      <c r="P576" s="120">
        <f>IF(OR(N576="",ForecastEnd=""),"",ForecastEnd+IF(L576="Approved",0,IF(K576="",0,K576)))</f>
        <v/>
      </c>
      <c r="Q576" s="121">
        <f>IF(OR(N576="",WorkBudget=0),"",N576/WorkBudget-1)</f>
        <v/>
      </c>
      <c r="R576" s="79">
        <f>IF(N576="","",IF(N576&lt;=WorkBudget,0,IF(N576&lt;=TotalBudget,1,2)))</f>
        <v/>
      </c>
      <c r="S576" s="112">
        <f>IF(AND(OR(H576&lt;&gt;"",J576&lt;&gt;""),OR(L576="Pending",L576=""),C576&lt;&gt;""),C576+3,"")</f>
        <v/>
      </c>
      <c r="T576" s="79">
        <f>IF(S576="","",IF(AsOf&gt;S576,1,2))</f>
        <v/>
      </c>
      <c r="U576" s="79">
        <f>IF(T576="","","Decide on change order "&amp;B576&amp;": "&amp;H576&amp;" (+"&amp;CurSym&amp;" "&amp;FIXED(IF(J576="",0,J576),0)&amp;")")</f>
        <v/>
      </c>
    </row>
    <row r="577" ht="24" customHeight="1">
      <c r="B577" s="74" t="n"/>
      <c r="C577" s="109" t="n"/>
      <c r="D577" s="72" t="n"/>
      <c r="E577" s="72" t="n"/>
      <c r="F577" s="72" t="n"/>
      <c r="G577" s="72" t="n"/>
      <c r="H577" s="113" t="n"/>
      <c r="I577" s="72" t="n"/>
      <c r="J577" s="73" t="n"/>
      <c r="K577" s="89" t="n"/>
      <c r="L577" s="74" t="n"/>
      <c r="M577" s="109" t="n"/>
      <c r="N577" s="68">
        <f>IF(AND(H577="",J577=""),"",ForecastTotal+IF(L577="Approved",0,IF(J577="",0,J577)))</f>
        <v/>
      </c>
      <c r="O577" s="75">
        <f>IF(N577="","",ContAmt-MAX(0,N577-WorkBudget))</f>
        <v/>
      </c>
      <c r="P577" s="120">
        <f>IF(OR(N577="",ForecastEnd=""),"",ForecastEnd+IF(L577="Approved",0,IF(K577="",0,K577)))</f>
        <v/>
      </c>
      <c r="Q577" s="121">
        <f>IF(OR(N577="",WorkBudget=0),"",N577/WorkBudget-1)</f>
        <v/>
      </c>
      <c r="R577" s="79">
        <f>IF(N577="","",IF(N577&lt;=WorkBudget,0,IF(N577&lt;=TotalBudget,1,2)))</f>
        <v/>
      </c>
      <c r="S577" s="112">
        <f>IF(AND(OR(H577&lt;&gt;"",J577&lt;&gt;""),OR(L577="Pending",L577=""),C577&lt;&gt;""),C577+3,"")</f>
        <v/>
      </c>
      <c r="T577" s="79">
        <f>IF(S577="","",IF(AsOf&gt;S577,1,2))</f>
        <v/>
      </c>
      <c r="U577" s="79">
        <f>IF(T577="","","Decide on change order "&amp;B577&amp;": "&amp;H577&amp;" (+"&amp;CurSym&amp;" "&amp;FIXED(IF(J577="",0,J577),0)&amp;")")</f>
        <v/>
      </c>
    </row>
    <row r="578" ht="24" customHeight="1">
      <c r="B578" s="74" t="n"/>
      <c r="C578" s="109" t="n"/>
      <c r="D578" s="72" t="n"/>
      <c r="E578" s="72" t="n"/>
      <c r="F578" s="72" t="n"/>
      <c r="G578" s="72" t="n"/>
      <c r="H578" s="113" t="n"/>
      <c r="I578" s="72" t="n"/>
      <c r="J578" s="73" t="n"/>
      <c r="K578" s="89" t="n"/>
      <c r="L578" s="74" t="n"/>
      <c r="M578" s="109" t="n"/>
      <c r="N578" s="68">
        <f>IF(AND(H578="",J578=""),"",ForecastTotal+IF(L578="Approved",0,IF(J578="",0,J578)))</f>
        <v/>
      </c>
      <c r="O578" s="75">
        <f>IF(N578="","",ContAmt-MAX(0,N578-WorkBudget))</f>
        <v/>
      </c>
      <c r="P578" s="120">
        <f>IF(OR(N578="",ForecastEnd=""),"",ForecastEnd+IF(L578="Approved",0,IF(K578="",0,K578)))</f>
        <v/>
      </c>
      <c r="Q578" s="121">
        <f>IF(OR(N578="",WorkBudget=0),"",N578/WorkBudget-1)</f>
        <v/>
      </c>
      <c r="R578" s="79">
        <f>IF(N578="","",IF(N578&lt;=WorkBudget,0,IF(N578&lt;=TotalBudget,1,2)))</f>
        <v/>
      </c>
      <c r="S578" s="112">
        <f>IF(AND(OR(H578&lt;&gt;"",J578&lt;&gt;""),OR(L578="Pending",L578=""),C578&lt;&gt;""),C578+3,"")</f>
        <v/>
      </c>
      <c r="T578" s="79">
        <f>IF(S578="","",IF(AsOf&gt;S578,1,2))</f>
        <v/>
      </c>
      <c r="U578" s="79">
        <f>IF(T578="","","Decide on change order "&amp;B578&amp;": "&amp;H578&amp;" (+"&amp;CurSym&amp;" "&amp;FIXED(IF(J578="",0,J578),0)&amp;")")</f>
        <v/>
      </c>
    </row>
    <row r="579" ht="24" customHeight="1">
      <c r="B579" s="74" t="n"/>
      <c r="C579" s="109" t="n"/>
      <c r="D579" s="72" t="n"/>
      <c r="E579" s="72" t="n"/>
      <c r="F579" s="72" t="n"/>
      <c r="G579" s="72" t="n"/>
      <c r="H579" s="113" t="n"/>
      <c r="I579" s="72" t="n"/>
      <c r="J579" s="73" t="n"/>
      <c r="K579" s="89" t="n"/>
      <c r="L579" s="74" t="n"/>
      <c r="M579" s="109" t="n"/>
      <c r="N579" s="68">
        <f>IF(AND(H579="",J579=""),"",ForecastTotal+IF(L579="Approved",0,IF(J579="",0,J579)))</f>
        <v/>
      </c>
      <c r="O579" s="75">
        <f>IF(N579="","",ContAmt-MAX(0,N579-WorkBudget))</f>
        <v/>
      </c>
      <c r="P579" s="120">
        <f>IF(OR(N579="",ForecastEnd=""),"",ForecastEnd+IF(L579="Approved",0,IF(K579="",0,K579)))</f>
        <v/>
      </c>
      <c r="Q579" s="121">
        <f>IF(OR(N579="",WorkBudget=0),"",N579/WorkBudget-1)</f>
        <v/>
      </c>
      <c r="R579" s="79">
        <f>IF(N579="","",IF(N579&lt;=WorkBudget,0,IF(N579&lt;=TotalBudget,1,2)))</f>
        <v/>
      </c>
      <c r="S579" s="112">
        <f>IF(AND(OR(H579&lt;&gt;"",J579&lt;&gt;""),OR(L579="Pending",L579=""),C579&lt;&gt;""),C579+3,"")</f>
        <v/>
      </c>
      <c r="T579" s="79">
        <f>IF(S579="","",IF(AsOf&gt;S579,1,2))</f>
        <v/>
      </c>
      <c r="U579" s="79">
        <f>IF(T579="","","Decide on change order "&amp;B579&amp;": "&amp;H579&amp;" (+"&amp;CurSym&amp;" "&amp;FIXED(IF(J579="",0,J579),0)&amp;")")</f>
        <v/>
      </c>
    </row>
    <row r="580" ht="24" customHeight="1">
      <c r="B580" s="74" t="n"/>
      <c r="C580" s="109" t="n"/>
      <c r="D580" s="72" t="n"/>
      <c r="E580" s="72" t="n"/>
      <c r="F580" s="72" t="n"/>
      <c r="G580" s="72" t="n"/>
      <c r="H580" s="113" t="n"/>
      <c r="I580" s="72" t="n"/>
      <c r="J580" s="73" t="n"/>
      <c r="K580" s="89" t="n"/>
      <c r="L580" s="74" t="n"/>
      <c r="M580" s="109" t="n"/>
      <c r="N580" s="68">
        <f>IF(AND(H580="",J580=""),"",ForecastTotal+IF(L580="Approved",0,IF(J580="",0,J580)))</f>
        <v/>
      </c>
      <c r="O580" s="75">
        <f>IF(N580="","",ContAmt-MAX(0,N580-WorkBudget))</f>
        <v/>
      </c>
      <c r="P580" s="120">
        <f>IF(OR(N580="",ForecastEnd=""),"",ForecastEnd+IF(L580="Approved",0,IF(K580="",0,K580)))</f>
        <v/>
      </c>
      <c r="Q580" s="121">
        <f>IF(OR(N580="",WorkBudget=0),"",N580/WorkBudget-1)</f>
        <v/>
      </c>
      <c r="R580" s="79">
        <f>IF(N580="","",IF(N580&lt;=WorkBudget,0,IF(N580&lt;=TotalBudget,1,2)))</f>
        <v/>
      </c>
      <c r="S580" s="112">
        <f>IF(AND(OR(H580&lt;&gt;"",J580&lt;&gt;""),OR(L580="Pending",L580=""),C580&lt;&gt;""),C580+3,"")</f>
        <v/>
      </c>
      <c r="T580" s="79">
        <f>IF(S580="","",IF(AsOf&gt;S580,1,2))</f>
        <v/>
      </c>
      <c r="U580" s="79">
        <f>IF(T580="","","Decide on change order "&amp;B580&amp;": "&amp;H580&amp;" (+"&amp;CurSym&amp;" "&amp;FIXED(IF(J580="",0,J580),0)&amp;")")</f>
        <v/>
      </c>
    </row>
    <row r="581" ht="24" customHeight="1">
      <c r="B581" s="74" t="n"/>
      <c r="C581" s="109" t="n"/>
      <c r="D581" s="72" t="n"/>
      <c r="E581" s="72" t="n"/>
      <c r="F581" s="72" t="n"/>
      <c r="G581" s="72" t="n"/>
      <c r="H581" s="113" t="n"/>
      <c r="I581" s="72" t="n"/>
      <c r="J581" s="73" t="n"/>
      <c r="K581" s="89" t="n"/>
      <c r="L581" s="74" t="n"/>
      <c r="M581" s="109" t="n"/>
      <c r="N581" s="68">
        <f>IF(AND(H581="",J581=""),"",ForecastTotal+IF(L581="Approved",0,IF(J581="",0,J581)))</f>
        <v/>
      </c>
      <c r="O581" s="75">
        <f>IF(N581="","",ContAmt-MAX(0,N581-WorkBudget))</f>
        <v/>
      </c>
      <c r="P581" s="120">
        <f>IF(OR(N581="",ForecastEnd=""),"",ForecastEnd+IF(L581="Approved",0,IF(K581="",0,K581)))</f>
        <v/>
      </c>
      <c r="Q581" s="121">
        <f>IF(OR(N581="",WorkBudget=0),"",N581/WorkBudget-1)</f>
        <v/>
      </c>
      <c r="R581" s="79">
        <f>IF(N581="","",IF(N581&lt;=WorkBudget,0,IF(N581&lt;=TotalBudget,1,2)))</f>
        <v/>
      </c>
      <c r="S581" s="112">
        <f>IF(AND(OR(H581&lt;&gt;"",J581&lt;&gt;""),OR(L581="Pending",L581=""),C581&lt;&gt;""),C581+3,"")</f>
        <v/>
      </c>
      <c r="T581" s="79">
        <f>IF(S581="","",IF(AsOf&gt;S581,1,2))</f>
        <v/>
      </c>
      <c r="U581" s="79">
        <f>IF(T581="","","Decide on change order "&amp;B581&amp;": "&amp;H581&amp;" (+"&amp;CurSym&amp;" "&amp;FIXED(IF(J581="",0,J581),0)&amp;")")</f>
        <v/>
      </c>
    </row>
    <row r="582" ht="24" customHeight="1">
      <c r="B582" s="74" t="n"/>
      <c r="C582" s="109" t="n"/>
      <c r="D582" s="72" t="n"/>
      <c r="E582" s="72" t="n"/>
      <c r="F582" s="72" t="n"/>
      <c r="G582" s="72" t="n"/>
      <c r="H582" s="113" t="n"/>
      <c r="I582" s="72" t="n"/>
      <c r="J582" s="73" t="n"/>
      <c r="K582" s="89" t="n"/>
      <c r="L582" s="74" t="n"/>
      <c r="M582" s="109" t="n"/>
      <c r="N582" s="68">
        <f>IF(AND(H582="",J582=""),"",ForecastTotal+IF(L582="Approved",0,IF(J582="",0,J582)))</f>
        <v/>
      </c>
      <c r="O582" s="75">
        <f>IF(N582="","",ContAmt-MAX(0,N582-WorkBudget))</f>
        <v/>
      </c>
      <c r="P582" s="120">
        <f>IF(OR(N582="",ForecastEnd=""),"",ForecastEnd+IF(L582="Approved",0,IF(K582="",0,K582)))</f>
        <v/>
      </c>
      <c r="Q582" s="121">
        <f>IF(OR(N582="",WorkBudget=0),"",N582/WorkBudget-1)</f>
        <v/>
      </c>
      <c r="R582" s="79">
        <f>IF(N582="","",IF(N582&lt;=WorkBudget,0,IF(N582&lt;=TotalBudget,1,2)))</f>
        <v/>
      </c>
      <c r="S582" s="112">
        <f>IF(AND(OR(H582&lt;&gt;"",J582&lt;&gt;""),OR(L582="Pending",L582=""),C582&lt;&gt;""),C582+3,"")</f>
        <v/>
      </c>
      <c r="T582" s="79">
        <f>IF(S582="","",IF(AsOf&gt;S582,1,2))</f>
        <v/>
      </c>
      <c r="U582" s="79">
        <f>IF(T582="","","Decide on change order "&amp;B582&amp;": "&amp;H582&amp;" (+"&amp;CurSym&amp;" "&amp;FIXED(IF(J582="",0,J582),0)&amp;")")</f>
        <v/>
      </c>
    </row>
    <row r="583" ht="24" customHeight="1">
      <c r="B583" s="74" t="n"/>
      <c r="C583" s="109" t="n"/>
      <c r="D583" s="72" t="n"/>
      <c r="E583" s="72" t="n"/>
      <c r="F583" s="72" t="n"/>
      <c r="G583" s="72" t="n"/>
      <c r="H583" s="113" t="n"/>
      <c r="I583" s="72" t="n"/>
      <c r="J583" s="73" t="n"/>
      <c r="K583" s="89" t="n"/>
      <c r="L583" s="74" t="n"/>
      <c r="M583" s="109" t="n"/>
      <c r="N583" s="68">
        <f>IF(AND(H583="",J583=""),"",ForecastTotal+IF(L583="Approved",0,IF(J583="",0,J583)))</f>
        <v/>
      </c>
      <c r="O583" s="75">
        <f>IF(N583="","",ContAmt-MAX(0,N583-WorkBudget))</f>
        <v/>
      </c>
      <c r="P583" s="120">
        <f>IF(OR(N583="",ForecastEnd=""),"",ForecastEnd+IF(L583="Approved",0,IF(K583="",0,K583)))</f>
        <v/>
      </c>
      <c r="Q583" s="121">
        <f>IF(OR(N583="",WorkBudget=0),"",N583/WorkBudget-1)</f>
        <v/>
      </c>
      <c r="R583" s="79">
        <f>IF(N583="","",IF(N583&lt;=WorkBudget,0,IF(N583&lt;=TotalBudget,1,2)))</f>
        <v/>
      </c>
      <c r="S583" s="112">
        <f>IF(AND(OR(H583&lt;&gt;"",J583&lt;&gt;""),OR(L583="Pending",L583=""),C583&lt;&gt;""),C583+3,"")</f>
        <v/>
      </c>
      <c r="T583" s="79">
        <f>IF(S583="","",IF(AsOf&gt;S583,1,2))</f>
        <v/>
      </c>
      <c r="U583" s="79">
        <f>IF(T583="","","Decide on change order "&amp;B583&amp;": "&amp;H583&amp;" (+"&amp;CurSym&amp;" "&amp;FIXED(IF(J583="",0,J583),0)&amp;")")</f>
        <v/>
      </c>
    </row>
    <row r="584" ht="24" customHeight="1">
      <c r="B584" s="74" t="n"/>
      <c r="C584" s="109" t="n"/>
      <c r="D584" s="72" t="n"/>
      <c r="E584" s="72" t="n"/>
      <c r="F584" s="72" t="n"/>
      <c r="G584" s="72" t="n"/>
      <c r="H584" s="113" t="n"/>
      <c r="I584" s="72" t="n"/>
      <c r="J584" s="73" t="n"/>
      <c r="K584" s="89" t="n"/>
      <c r="L584" s="74" t="n"/>
      <c r="M584" s="109" t="n"/>
      <c r="N584" s="68">
        <f>IF(AND(H584="",J584=""),"",ForecastTotal+IF(L584="Approved",0,IF(J584="",0,J584)))</f>
        <v/>
      </c>
      <c r="O584" s="75">
        <f>IF(N584="","",ContAmt-MAX(0,N584-WorkBudget))</f>
        <v/>
      </c>
      <c r="P584" s="120">
        <f>IF(OR(N584="",ForecastEnd=""),"",ForecastEnd+IF(L584="Approved",0,IF(K584="",0,K584)))</f>
        <v/>
      </c>
      <c r="Q584" s="121">
        <f>IF(OR(N584="",WorkBudget=0),"",N584/WorkBudget-1)</f>
        <v/>
      </c>
      <c r="R584" s="79">
        <f>IF(N584="","",IF(N584&lt;=WorkBudget,0,IF(N584&lt;=TotalBudget,1,2)))</f>
        <v/>
      </c>
      <c r="S584" s="112">
        <f>IF(AND(OR(H584&lt;&gt;"",J584&lt;&gt;""),OR(L584="Pending",L584=""),C584&lt;&gt;""),C584+3,"")</f>
        <v/>
      </c>
      <c r="T584" s="79">
        <f>IF(S584="","",IF(AsOf&gt;S584,1,2))</f>
        <v/>
      </c>
      <c r="U584" s="79">
        <f>IF(T584="","","Decide on change order "&amp;B584&amp;": "&amp;H584&amp;" (+"&amp;CurSym&amp;" "&amp;FIXED(IF(J584="",0,J584),0)&amp;")")</f>
        <v/>
      </c>
    </row>
    <row r="585" ht="24" customHeight="1">
      <c r="B585" s="74" t="n"/>
      <c r="C585" s="109" t="n"/>
      <c r="D585" s="72" t="n"/>
      <c r="E585" s="72" t="n"/>
      <c r="F585" s="72" t="n"/>
      <c r="G585" s="72" t="n"/>
      <c r="H585" s="113" t="n"/>
      <c r="I585" s="72" t="n"/>
      <c r="J585" s="73" t="n"/>
      <c r="K585" s="89" t="n"/>
      <c r="L585" s="74" t="n"/>
      <c r="M585" s="109" t="n"/>
      <c r="N585" s="68">
        <f>IF(AND(H585="",J585=""),"",ForecastTotal+IF(L585="Approved",0,IF(J585="",0,J585)))</f>
        <v/>
      </c>
      <c r="O585" s="75">
        <f>IF(N585="","",ContAmt-MAX(0,N585-WorkBudget))</f>
        <v/>
      </c>
      <c r="P585" s="120">
        <f>IF(OR(N585="",ForecastEnd=""),"",ForecastEnd+IF(L585="Approved",0,IF(K585="",0,K585)))</f>
        <v/>
      </c>
      <c r="Q585" s="121">
        <f>IF(OR(N585="",WorkBudget=0),"",N585/WorkBudget-1)</f>
        <v/>
      </c>
      <c r="R585" s="79">
        <f>IF(N585="","",IF(N585&lt;=WorkBudget,0,IF(N585&lt;=TotalBudget,1,2)))</f>
        <v/>
      </c>
      <c r="S585" s="112">
        <f>IF(AND(OR(H585&lt;&gt;"",J585&lt;&gt;""),OR(L585="Pending",L585=""),C585&lt;&gt;""),C585+3,"")</f>
        <v/>
      </c>
      <c r="T585" s="79">
        <f>IF(S585="","",IF(AsOf&gt;S585,1,2))</f>
        <v/>
      </c>
      <c r="U585" s="79">
        <f>IF(T585="","","Decide on change order "&amp;B585&amp;": "&amp;H585&amp;" (+"&amp;CurSym&amp;" "&amp;FIXED(IF(J585="",0,J585),0)&amp;")")</f>
        <v/>
      </c>
    </row>
    <row r="586" ht="24" customHeight="1">
      <c r="B586" s="74" t="n"/>
      <c r="C586" s="109" t="n"/>
      <c r="D586" s="72" t="n"/>
      <c r="E586" s="72" t="n"/>
      <c r="F586" s="72" t="n"/>
      <c r="G586" s="72" t="n"/>
      <c r="H586" s="113" t="n"/>
      <c r="I586" s="72" t="n"/>
      <c r="J586" s="73" t="n"/>
      <c r="K586" s="89" t="n"/>
      <c r="L586" s="74" t="n"/>
      <c r="M586" s="109" t="n"/>
      <c r="N586" s="68">
        <f>IF(AND(H586="",J586=""),"",ForecastTotal+IF(L586="Approved",0,IF(J586="",0,J586)))</f>
        <v/>
      </c>
      <c r="O586" s="75">
        <f>IF(N586="","",ContAmt-MAX(0,N586-WorkBudget))</f>
        <v/>
      </c>
      <c r="P586" s="120">
        <f>IF(OR(N586="",ForecastEnd=""),"",ForecastEnd+IF(L586="Approved",0,IF(K586="",0,K586)))</f>
        <v/>
      </c>
      <c r="Q586" s="121">
        <f>IF(OR(N586="",WorkBudget=0),"",N586/WorkBudget-1)</f>
        <v/>
      </c>
      <c r="R586" s="79">
        <f>IF(N586="","",IF(N586&lt;=WorkBudget,0,IF(N586&lt;=TotalBudget,1,2)))</f>
        <v/>
      </c>
      <c r="S586" s="112">
        <f>IF(AND(OR(H586&lt;&gt;"",J586&lt;&gt;""),OR(L586="Pending",L586=""),C586&lt;&gt;""),C586+3,"")</f>
        <v/>
      </c>
      <c r="T586" s="79">
        <f>IF(S586="","",IF(AsOf&gt;S586,1,2))</f>
        <v/>
      </c>
      <c r="U586" s="79">
        <f>IF(T586="","","Decide on change order "&amp;B586&amp;": "&amp;H586&amp;" (+"&amp;CurSym&amp;" "&amp;FIXED(IF(J586="",0,J586),0)&amp;")")</f>
        <v/>
      </c>
    </row>
    <row r="587" ht="24" customHeight="1">
      <c r="B587" s="74" t="n"/>
      <c r="C587" s="109" t="n"/>
      <c r="D587" s="72" t="n"/>
      <c r="E587" s="72" t="n"/>
      <c r="F587" s="72" t="n"/>
      <c r="G587" s="72" t="n"/>
      <c r="H587" s="113" t="n"/>
      <c r="I587" s="72" t="n"/>
      <c r="J587" s="73" t="n"/>
      <c r="K587" s="89" t="n"/>
      <c r="L587" s="74" t="n"/>
      <c r="M587" s="109" t="n"/>
      <c r="N587" s="68">
        <f>IF(AND(H587="",J587=""),"",ForecastTotal+IF(L587="Approved",0,IF(J587="",0,J587)))</f>
        <v/>
      </c>
      <c r="O587" s="75">
        <f>IF(N587="","",ContAmt-MAX(0,N587-WorkBudget))</f>
        <v/>
      </c>
      <c r="P587" s="120">
        <f>IF(OR(N587="",ForecastEnd=""),"",ForecastEnd+IF(L587="Approved",0,IF(K587="",0,K587)))</f>
        <v/>
      </c>
      <c r="Q587" s="121">
        <f>IF(OR(N587="",WorkBudget=0),"",N587/WorkBudget-1)</f>
        <v/>
      </c>
      <c r="R587" s="79">
        <f>IF(N587="","",IF(N587&lt;=WorkBudget,0,IF(N587&lt;=TotalBudget,1,2)))</f>
        <v/>
      </c>
      <c r="S587" s="112">
        <f>IF(AND(OR(H587&lt;&gt;"",J587&lt;&gt;""),OR(L587="Pending",L587=""),C587&lt;&gt;""),C587+3,"")</f>
        <v/>
      </c>
      <c r="T587" s="79">
        <f>IF(S587="","",IF(AsOf&gt;S587,1,2))</f>
        <v/>
      </c>
      <c r="U587" s="79">
        <f>IF(T587="","","Decide on change order "&amp;B587&amp;": "&amp;H587&amp;" (+"&amp;CurSym&amp;" "&amp;FIXED(IF(J587="",0,J587),0)&amp;")")</f>
        <v/>
      </c>
    </row>
    <row r="588" ht="24" customHeight="1">
      <c r="B588" s="74" t="n"/>
      <c r="C588" s="109" t="n"/>
      <c r="D588" s="72" t="n"/>
      <c r="E588" s="72" t="n"/>
      <c r="F588" s="72" t="n"/>
      <c r="G588" s="72" t="n"/>
      <c r="H588" s="113" t="n"/>
      <c r="I588" s="72" t="n"/>
      <c r="J588" s="73" t="n"/>
      <c r="K588" s="89" t="n"/>
      <c r="L588" s="74" t="n"/>
      <c r="M588" s="109" t="n"/>
      <c r="N588" s="68">
        <f>IF(AND(H588="",J588=""),"",ForecastTotal+IF(L588="Approved",0,IF(J588="",0,J588)))</f>
        <v/>
      </c>
      <c r="O588" s="75">
        <f>IF(N588="","",ContAmt-MAX(0,N588-WorkBudget))</f>
        <v/>
      </c>
      <c r="P588" s="120">
        <f>IF(OR(N588="",ForecastEnd=""),"",ForecastEnd+IF(L588="Approved",0,IF(K588="",0,K588)))</f>
        <v/>
      </c>
      <c r="Q588" s="121">
        <f>IF(OR(N588="",WorkBudget=0),"",N588/WorkBudget-1)</f>
        <v/>
      </c>
      <c r="R588" s="79">
        <f>IF(N588="","",IF(N588&lt;=WorkBudget,0,IF(N588&lt;=TotalBudget,1,2)))</f>
        <v/>
      </c>
      <c r="S588" s="112">
        <f>IF(AND(OR(H588&lt;&gt;"",J588&lt;&gt;""),OR(L588="Pending",L588=""),C588&lt;&gt;""),C588+3,"")</f>
        <v/>
      </c>
      <c r="T588" s="79">
        <f>IF(S588="","",IF(AsOf&gt;S588,1,2))</f>
        <v/>
      </c>
      <c r="U588" s="79">
        <f>IF(T588="","","Decide on change order "&amp;B588&amp;": "&amp;H588&amp;" (+"&amp;CurSym&amp;" "&amp;FIXED(IF(J588="",0,J588),0)&amp;")")</f>
        <v/>
      </c>
    </row>
    <row r="589" ht="24" customHeight="1">
      <c r="B589" s="74" t="n"/>
      <c r="C589" s="109" t="n"/>
      <c r="D589" s="72" t="n"/>
      <c r="E589" s="72" t="n"/>
      <c r="F589" s="72" t="n"/>
      <c r="G589" s="72" t="n"/>
      <c r="H589" s="113" t="n"/>
      <c r="I589" s="72" t="n"/>
      <c r="J589" s="73" t="n"/>
      <c r="K589" s="89" t="n"/>
      <c r="L589" s="74" t="n"/>
      <c r="M589" s="109" t="n"/>
      <c r="N589" s="68">
        <f>IF(AND(H589="",J589=""),"",ForecastTotal+IF(L589="Approved",0,IF(J589="",0,J589)))</f>
        <v/>
      </c>
      <c r="O589" s="75">
        <f>IF(N589="","",ContAmt-MAX(0,N589-WorkBudget))</f>
        <v/>
      </c>
      <c r="P589" s="120">
        <f>IF(OR(N589="",ForecastEnd=""),"",ForecastEnd+IF(L589="Approved",0,IF(K589="",0,K589)))</f>
        <v/>
      </c>
      <c r="Q589" s="121">
        <f>IF(OR(N589="",WorkBudget=0),"",N589/WorkBudget-1)</f>
        <v/>
      </c>
      <c r="R589" s="79">
        <f>IF(N589="","",IF(N589&lt;=WorkBudget,0,IF(N589&lt;=TotalBudget,1,2)))</f>
        <v/>
      </c>
      <c r="S589" s="112">
        <f>IF(AND(OR(H589&lt;&gt;"",J589&lt;&gt;""),OR(L589="Pending",L589=""),C589&lt;&gt;""),C589+3,"")</f>
        <v/>
      </c>
      <c r="T589" s="79">
        <f>IF(S589="","",IF(AsOf&gt;S589,1,2))</f>
        <v/>
      </c>
      <c r="U589" s="79">
        <f>IF(T589="","","Decide on change order "&amp;B589&amp;": "&amp;H589&amp;" (+"&amp;CurSym&amp;" "&amp;FIXED(IF(J589="",0,J589),0)&amp;")")</f>
        <v/>
      </c>
    </row>
    <row r="590" ht="24" customHeight="1">
      <c r="B590" s="74" t="n"/>
      <c r="C590" s="109" t="n"/>
      <c r="D590" s="72" t="n"/>
      <c r="E590" s="72" t="n"/>
      <c r="F590" s="72" t="n"/>
      <c r="G590" s="72" t="n"/>
      <c r="H590" s="113" t="n"/>
      <c r="I590" s="72" t="n"/>
      <c r="J590" s="73" t="n"/>
      <c r="K590" s="89" t="n"/>
      <c r="L590" s="74" t="n"/>
      <c r="M590" s="109" t="n"/>
      <c r="N590" s="68">
        <f>IF(AND(H590="",J590=""),"",ForecastTotal+IF(L590="Approved",0,IF(J590="",0,J590)))</f>
        <v/>
      </c>
      <c r="O590" s="75">
        <f>IF(N590="","",ContAmt-MAX(0,N590-WorkBudget))</f>
        <v/>
      </c>
      <c r="P590" s="120">
        <f>IF(OR(N590="",ForecastEnd=""),"",ForecastEnd+IF(L590="Approved",0,IF(K590="",0,K590)))</f>
        <v/>
      </c>
      <c r="Q590" s="121">
        <f>IF(OR(N590="",WorkBudget=0),"",N590/WorkBudget-1)</f>
        <v/>
      </c>
      <c r="R590" s="79">
        <f>IF(N590="","",IF(N590&lt;=WorkBudget,0,IF(N590&lt;=TotalBudget,1,2)))</f>
        <v/>
      </c>
      <c r="S590" s="112">
        <f>IF(AND(OR(H590&lt;&gt;"",J590&lt;&gt;""),OR(L590="Pending",L590=""),C590&lt;&gt;""),C590+3,"")</f>
        <v/>
      </c>
      <c r="T590" s="79">
        <f>IF(S590="","",IF(AsOf&gt;S590,1,2))</f>
        <v/>
      </c>
      <c r="U590" s="79">
        <f>IF(T590="","","Decide on change order "&amp;B590&amp;": "&amp;H590&amp;" (+"&amp;CurSym&amp;" "&amp;FIXED(IF(J590="",0,J590),0)&amp;")")</f>
        <v/>
      </c>
    </row>
    <row r="591" ht="24" customHeight="1">
      <c r="B591" s="74" t="n"/>
      <c r="C591" s="109" t="n"/>
      <c r="D591" s="72" t="n"/>
      <c r="E591" s="72" t="n"/>
      <c r="F591" s="72" t="n"/>
      <c r="G591" s="72" t="n"/>
      <c r="H591" s="113" t="n"/>
      <c r="I591" s="72" t="n"/>
      <c r="J591" s="73" t="n"/>
      <c r="K591" s="89" t="n"/>
      <c r="L591" s="74" t="n"/>
      <c r="M591" s="109" t="n"/>
      <c r="N591" s="68">
        <f>IF(AND(H591="",J591=""),"",ForecastTotal+IF(L591="Approved",0,IF(J591="",0,J591)))</f>
        <v/>
      </c>
      <c r="O591" s="75">
        <f>IF(N591="","",ContAmt-MAX(0,N591-WorkBudget))</f>
        <v/>
      </c>
      <c r="P591" s="120">
        <f>IF(OR(N591="",ForecastEnd=""),"",ForecastEnd+IF(L591="Approved",0,IF(K591="",0,K591)))</f>
        <v/>
      </c>
      <c r="Q591" s="121">
        <f>IF(OR(N591="",WorkBudget=0),"",N591/WorkBudget-1)</f>
        <v/>
      </c>
      <c r="R591" s="79">
        <f>IF(N591="","",IF(N591&lt;=WorkBudget,0,IF(N591&lt;=TotalBudget,1,2)))</f>
        <v/>
      </c>
      <c r="S591" s="112">
        <f>IF(AND(OR(H591&lt;&gt;"",J591&lt;&gt;""),OR(L591="Pending",L591=""),C591&lt;&gt;""),C591+3,"")</f>
        <v/>
      </c>
      <c r="T591" s="79">
        <f>IF(S591="","",IF(AsOf&gt;S591,1,2))</f>
        <v/>
      </c>
      <c r="U591" s="79">
        <f>IF(T591="","","Decide on change order "&amp;B591&amp;": "&amp;H591&amp;" (+"&amp;CurSym&amp;" "&amp;FIXED(IF(J591="",0,J591),0)&amp;")")</f>
        <v/>
      </c>
    </row>
    <row r="592" ht="24" customHeight="1">
      <c r="B592" s="74" t="n"/>
      <c r="C592" s="109" t="n"/>
      <c r="D592" s="72" t="n"/>
      <c r="E592" s="72" t="n"/>
      <c r="F592" s="72" t="n"/>
      <c r="G592" s="72" t="n"/>
      <c r="H592" s="113" t="n"/>
      <c r="I592" s="72" t="n"/>
      <c r="J592" s="73" t="n"/>
      <c r="K592" s="89" t="n"/>
      <c r="L592" s="74" t="n"/>
      <c r="M592" s="109" t="n"/>
      <c r="N592" s="68">
        <f>IF(AND(H592="",J592=""),"",ForecastTotal+IF(L592="Approved",0,IF(J592="",0,J592)))</f>
        <v/>
      </c>
      <c r="O592" s="75">
        <f>IF(N592="","",ContAmt-MAX(0,N592-WorkBudget))</f>
        <v/>
      </c>
      <c r="P592" s="120">
        <f>IF(OR(N592="",ForecastEnd=""),"",ForecastEnd+IF(L592="Approved",0,IF(K592="",0,K592)))</f>
        <v/>
      </c>
      <c r="Q592" s="121">
        <f>IF(OR(N592="",WorkBudget=0),"",N592/WorkBudget-1)</f>
        <v/>
      </c>
      <c r="R592" s="79">
        <f>IF(N592="","",IF(N592&lt;=WorkBudget,0,IF(N592&lt;=TotalBudget,1,2)))</f>
        <v/>
      </c>
      <c r="S592" s="112">
        <f>IF(AND(OR(H592&lt;&gt;"",J592&lt;&gt;""),OR(L592="Pending",L592=""),C592&lt;&gt;""),C592+3,"")</f>
        <v/>
      </c>
      <c r="T592" s="79">
        <f>IF(S592="","",IF(AsOf&gt;S592,1,2))</f>
        <v/>
      </c>
      <c r="U592" s="79">
        <f>IF(T592="","","Decide on change order "&amp;B592&amp;": "&amp;H592&amp;" (+"&amp;CurSym&amp;" "&amp;FIXED(IF(J592="",0,J592),0)&amp;")")</f>
        <v/>
      </c>
    </row>
    <row r="593" ht="24" customHeight="1">
      <c r="B593" s="74" t="n"/>
      <c r="C593" s="109" t="n"/>
      <c r="D593" s="72" t="n"/>
      <c r="E593" s="72" t="n"/>
      <c r="F593" s="72" t="n"/>
      <c r="G593" s="72" t="n"/>
      <c r="H593" s="113" t="n"/>
      <c r="I593" s="72" t="n"/>
      <c r="J593" s="73" t="n"/>
      <c r="K593" s="89" t="n"/>
      <c r="L593" s="74" t="n"/>
      <c r="M593" s="109" t="n"/>
      <c r="N593" s="68">
        <f>IF(AND(H593="",J593=""),"",ForecastTotal+IF(L593="Approved",0,IF(J593="",0,J593)))</f>
        <v/>
      </c>
      <c r="O593" s="75">
        <f>IF(N593="","",ContAmt-MAX(0,N593-WorkBudget))</f>
        <v/>
      </c>
      <c r="P593" s="120">
        <f>IF(OR(N593="",ForecastEnd=""),"",ForecastEnd+IF(L593="Approved",0,IF(K593="",0,K593)))</f>
        <v/>
      </c>
      <c r="Q593" s="121">
        <f>IF(OR(N593="",WorkBudget=0),"",N593/WorkBudget-1)</f>
        <v/>
      </c>
      <c r="R593" s="79">
        <f>IF(N593="","",IF(N593&lt;=WorkBudget,0,IF(N593&lt;=TotalBudget,1,2)))</f>
        <v/>
      </c>
      <c r="S593" s="112">
        <f>IF(AND(OR(H593&lt;&gt;"",J593&lt;&gt;""),OR(L593="Pending",L593=""),C593&lt;&gt;""),C593+3,"")</f>
        <v/>
      </c>
      <c r="T593" s="79">
        <f>IF(S593="","",IF(AsOf&gt;S593,1,2))</f>
        <v/>
      </c>
      <c r="U593" s="79">
        <f>IF(T593="","","Decide on change order "&amp;B593&amp;": "&amp;H593&amp;" (+"&amp;CurSym&amp;" "&amp;FIXED(IF(J593="",0,J593),0)&amp;")")</f>
        <v/>
      </c>
    </row>
    <row r="594" ht="24" customHeight="1">
      <c r="B594" s="74" t="n"/>
      <c r="C594" s="109" t="n"/>
      <c r="D594" s="72" t="n"/>
      <c r="E594" s="72" t="n"/>
      <c r="F594" s="72" t="n"/>
      <c r="G594" s="72" t="n"/>
      <c r="H594" s="113" t="n"/>
      <c r="I594" s="72" t="n"/>
      <c r="J594" s="73" t="n"/>
      <c r="K594" s="89" t="n"/>
      <c r="L594" s="74" t="n"/>
      <c r="M594" s="109" t="n"/>
      <c r="N594" s="68">
        <f>IF(AND(H594="",J594=""),"",ForecastTotal+IF(L594="Approved",0,IF(J594="",0,J594)))</f>
        <v/>
      </c>
      <c r="O594" s="75">
        <f>IF(N594="","",ContAmt-MAX(0,N594-WorkBudget))</f>
        <v/>
      </c>
      <c r="P594" s="120">
        <f>IF(OR(N594="",ForecastEnd=""),"",ForecastEnd+IF(L594="Approved",0,IF(K594="",0,K594)))</f>
        <v/>
      </c>
      <c r="Q594" s="121">
        <f>IF(OR(N594="",WorkBudget=0),"",N594/WorkBudget-1)</f>
        <v/>
      </c>
      <c r="R594" s="79">
        <f>IF(N594="","",IF(N594&lt;=WorkBudget,0,IF(N594&lt;=TotalBudget,1,2)))</f>
        <v/>
      </c>
      <c r="S594" s="112">
        <f>IF(AND(OR(H594&lt;&gt;"",J594&lt;&gt;""),OR(L594="Pending",L594=""),C594&lt;&gt;""),C594+3,"")</f>
        <v/>
      </c>
      <c r="T594" s="79">
        <f>IF(S594="","",IF(AsOf&gt;S594,1,2))</f>
        <v/>
      </c>
      <c r="U594" s="79">
        <f>IF(T594="","","Decide on change order "&amp;B594&amp;": "&amp;H594&amp;" (+"&amp;CurSym&amp;" "&amp;FIXED(IF(J594="",0,J594),0)&amp;")")</f>
        <v/>
      </c>
    </row>
    <row r="595" ht="24" customHeight="1">
      <c r="B595" s="74" t="n"/>
      <c r="C595" s="109" t="n"/>
      <c r="D595" s="72" t="n"/>
      <c r="E595" s="72" t="n"/>
      <c r="F595" s="72" t="n"/>
      <c r="G595" s="72" t="n"/>
      <c r="H595" s="113" t="n"/>
      <c r="I595" s="72" t="n"/>
      <c r="J595" s="73" t="n"/>
      <c r="K595" s="89" t="n"/>
      <c r="L595" s="74" t="n"/>
      <c r="M595" s="109" t="n"/>
      <c r="N595" s="68">
        <f>IF(AND(H595="",J595=""),"",ForecastTotal+IF(L595="Approved",0,IF(J595="",0,J595)))</f>
        <v/>
      </c>
      <c r="O595" s="75">
        <f>IF(N595="","",ContAmt-MAX(0,N595-WorkBudget))</f>
        <v/>
      </c>
      <c r="P595" s="120">
        <f>IF(OR(N595="",ForecastEnd=""),"",ForecastEnd+IF(L595="Approved",0,IF(K595="",0,K595)))</f>
        <v/>
      </c>
      <c r="Q595" s="121">
        <f>IF(OR(N595="",WorkBudget=0),"",N595/WorkBudget-1)</f>
        <v/>
      </c>
      <c r="R595" s="79">
        <f>IF(N595="","",IF(N595&lt;=WorkBudget,0,IF(N595&lt;=TotalBudget,1,2)))</f>
        <v/>
      </c>
      <c r="S595" s="112">
        <f>IF(AND(OR(H595&lt;&gt;"",J595&lt;&gt;""),OR(L595="Pending",L595=""),C595&lt;&gt;""),C595+3,"")</f>
        <v/>
      </c>
      <c r="T595" s="79">
        <f>IF(S595="","",IF(AsOf&gt;S595,1,2))</f>
        <v/>
      </c>
      <c r="U595" s="79">
        <f>IF(T595="","","Decide on change order "&amp;B595&amp;": "&amp;H595&amp;" (+"&amp;CurSym&amp;" "&amp;FIXED(IF(J595="",0,J595),0)&amp;")")</f>
        <v/>
      </c>
    </row>
    <row r="596" ht="24" customHeight="1">
      <c r="B596" s="74" t="n"/>
      <c r="C596" s="109" t="n"/>
      <c r="D596" s="72" t="n"/>
      <c r="E596" s="72" t="n"/>
      <c r="F596" s="72" t="n"/>
      <c r="G596" s="72" t="n"/>
      <c r="H596" s="113" t="n"/>
      <c r="I596" s="72" t="n"/>
      <c r="J596" s="73" t="n"/>
      <c r="K596" s="89" t="n"/>
      <c r="L596" s="74" t="n"/>
      <c r="M596" s="109" t="n"/>
      <c r="N596" s="68">
        <f>IF(AND(H596="",J596=""),"",ForecastTotal+IF(L596="Approved",0,IF(J596="",0,J596)))</f>
        <v/>
      </c>
      <c r="O596" s="75">
        <f>IF(N596="","",ContAmt-MAX(0,N596-WorkBudget))</f>
        <v/>
      </c>
      <c r="P596" s="120">
        <f>IF(OR(N596="",ForecastEnd=""),"",ForecastEnd+IF(L596="Approved",0,IF(K596="",0,K596)))</f>
        <v/>
      </c>
      <c r="Q596" s="121">
        <f>IF(OR(N596="",WorkBudget=0),"",N596/WorkBudget-1)</f>
        <v/>
      </c>
      <c r="R596" s="79">
        <f>IF(N596="","",IF(N596&lt;=WorkBudget,0,IF(N596&lt;=TotalBudget,1,2)))</f>
        <v/>
      </c>
      <c r="S596" s="112">
        <f>IF(AND(OR(H596&lt;&gt;"",J596&lt;&gt;""),OR(L596="Pending",L596=""),C596&lt;&gt;""),C596+3,"")</f>
        <v/>
      </c>
      <c r="T596" s="79">
        <f>IF(S596="","",IF(AsOf&gt;S596,1,2))</f>
        <v/>
      </c>
      <c r="U596" s="79">
        <f>IF(T596="","","Decide on change order "&amp;B596&amp;": "&amp;H596&amp;" (+"&amp;CurSym&amp;" "&amp;FIXED(IF(J596="",0,J596),0)&amp;")")</f>
        <v/>
      </c>
    </row>
    <row r="597" ht="24" customHeight="1">
      <c r="B597" s="74" t="n"/>
      <c r="C597" s="109" t="n"/>
      <c r="D597" s="72" t="n"/>
      <c r="E597" s="72" t="n"/>
      <c r="F597" s="72" t="n"/>
      <c r="G597" s="72" t="n"/>
      <c r="H597" s="113" t="n"/>
      <c r="I597" s="72" t="n"/>
      <c r="J597" s="73" t="n"/>
      <c r="K597" s="89" t="n"/>
      <c r="L597" s="74" t="n"/>
      <c r="M597" s="109" t="n"/>
      <c r="N597" s="68">
        <f>IF(AND(H597="",J597=""),"",ForecastTotal+IF(L597="Approved",0,IF(J597="",0,J597)))</f>
        <v/>
      </c>
      <c r="O597" s="75">
        <f>IF(N597="","",ContAmt-MAX(0,N597-WorkBudget))</f>
        <v/>
      </c>
      <c r="P597" s="120">
        <f>IF(OR(N597="",ForecastEnd=""),"",ForecastEnd+IF(L597="Approved",0,IF(K597="",0,K597)))</f>
        <v/>
      </c>
      <c r="Q597" s="121">
        <f>IF(OR(N597="",WorkBudget=0),"",N597/WorkBudget-1)</f>
        <v/>
      </c>
      <c r="R597" s="79">
        <f>IF(N597="","",IF(N597&lt;=WorkBudget,0,IF(N597&lt;=TotalBudget,1,2)))</f>
        <v/>
      </c>
      <c r="S597" s="112">
        <f>IF(AND(OR(H597&lt;&gt;"",J597&lt;&gt;""),OR(L597="Pending",L597=""),C597&lt;&gt;""),C597+3,"")</f>
        <v/>
      </c>
      <c r="T597" s="79">
        <f>IF(S597="","",IF(AsOf&gt;S597,1,2))</f>
        <v/>
      </c>
      <c r="U597" s="79">
        <f>IF(T597="","","Decide on change order "&amp;B597&amp;": "&amp;H597&amp;" (+"&amp;CurSym&amp;" "&amp;FIXED(IF(J597="",0,J597),0)&amp;")")</f>
        <v/>
      </c>
    </row>
    <row r="598" ht="24" customHeight="1">
      <c r="B598" s="74" t="n"/>
      <c r="C598" s="109" t="n"/>
      <c r="D598" s="72" t="n"/>
      <c r="E598" s="72" t="n"/>
      <c r="F598" s="72" t="n"/>
      <c r="G598" s="72" t="n"/>
      <c r="H598" s="113" t="n"/>
      <c r="I598" s="72" t="n"/>
      <c r="J598" s="73" t="n"/>
      <c r="K598" s="89" t="n"/>
      <c r="L598" s="74" t="n"/>
      <c r="M598" s="109" t="n"/>
      <c r="N598" s="68">
        <f>IF(AND(H598="",J598=""),"",ForecastTotal+IF(L598="Approved",0,IF(J598="",0,J598)))</f>
        <v/>
      </c>
      <c r="O598" s="75">
        <f>IF(N598="","",ContAmt-MAX(0,N598-WorkBudget))</f>
        <v/>
      </c>
      <c r="P598" s="120">
        <f>IF(OR(N598="",ForecastEnd=""),"",ForecastEnd+IF(L598="Approved",0,IF(K598="",0,K598)))</f>
        <v/>
      </c>
      <c r="Q598" s="121">
        <f>IF(OR(N598="",WorkBudget=0),"",N598/WorkBudget-1)</f>
        <v/>
      </c>
      <c r="R598" s="79">
        <f>IF(N598="","",IF(N598&lt;=WorkBudget,0,IF(N598&lt;=TotalBudget,1,2)))</f>
        <v/>
      </c>
      <c r="S598" s="112">
        <f>IF(AND(OR(H598&lt;&gt;"",J598&lt;&gt;""),OR(L598="Pending",L598=""),C598&lt;&gt;""),C598+3,"")</f>
        <v/>
      </c>
      <c r="T598" s="79">
        <f>IF(S598="","",IF(AsOf&gt;S598,1,2))</f>
        <v/>
      </c>
      <c r="U598" s="79">
        <f>IF(T598="","","Decide on change order "&amp;B598&amp;": "&amp;H598&amp;" (+"&amp;CurSym&amp;" "&amp;FIXED(IF(J598="",0,J598),0)&amp;")")</f>
        <v/>
      </c>
    </row>
    <row r="599" ht="24" customHeight="1">
      <c r="B599" s="74" t="n"/>
      <c r="C599" s="109" t="n"/>
      <c r="D599" s="72" t="n"/>
      <c r="E599" s="72" t="n"/>
      <c r="F599" s="72" t="n"/>
      <c r="G599" s="72" t="n"/>
      <c r="H599" s="113" t="n"/>
      <c r="I599" s="72" t="n"/>
      <c r="J599" s="73" t="n"/>
      <c r="K599" s="89" t="n"/>
      <c r="L599" s="74" t="n"/>
      <c r="M599" s="109" t="n"/>
      <c r="N599" s="68">
        <f>IF(AND(H599="",J599=""),"",ForecastTotal+IF(L599="Approved",0,IF(J599="",0,J599)))</f>
        <v/>
      </c>
      <c r="O599" s="75">
        <f>IF(N599="","",ContAmt-MAX(0,N599-WorkBudget))</f>
        <v/>
      </c>
      <c r="P599" s="120">
        <f>IF(OR(N599="",ForecastEnd=""),"",ForecastEnd+IF(L599="Approved",0,IF(K599="",0,K599)))</f>
        <v/>
      </c>
      <c r="Q599" s="121">
        <f>IF(OR(N599="",WorkBudget=0),"",N599/WorkBudget-1)</f>
        <v/>
      </c>
      <c r="R599" s="79">
        <f>IF(N599="","",IF(N599&lt;=WorkBudget,0,IF(N599&lt;=TotalBudget,1,2)))</f>
        <v/>
      </c>
      <c r="S599" s="112">
        <f>IF(AND(OR(H599&lt;&gt;"",J599&lt;&gt;""),OR(L599="Pending",L599=""),C599&lt;&gt;""),C599+3,"")</f>
        <v/>
      </c>
      <c r="T599" s="79">
        <f>IF(S599="","",IF(AsOf&gt;S599,1,2))</f>
        <v/>
      </c>
      <c r="U599" s="79">
        <f>IF(T599="","","Decide on change order "&amp;B599&amp;": "&amp;H599&amp;" (+"&amp;CurSym&amp;" "&amp;FIXED(IF(J599="",0,J599),0)&amp;")")</f>
        <v/>
      </c>
    </row>
    <row r="600" ht="24" customHeight="1">
      <c r="B600" s="74" t="n"/>
      <c r="C600" s="109" t="n"/>
      <c r="D600" s="72" t="n"/>
      <c r="E600" s="72" t="n"/>
      <c r="F600" s="72" t="n"/>
      <c r="G600" s="72" t="n"/>
      <c r="H600" s="113" t="n"/>
      <c r="I600" s="72" t="n"/>
      <c r="J600" s="73" t="n"/>
      <c r="K600" s="89" t="n"/>
      <c r="L600" s="74" t="n"/>
      <c r="M600" s="109" t="n"/>
      <c r="N600" s="68">
        <f>IF(AND(H600="",J600=""),"",ForecastTotal+IF(L600="Approved",0,IF(J600="",0,J600)))</f>
        <v/>
      </c>
      <c r="O600" s="75">
        <f>IF(N600="","",ContAmt-MAX(0,N600-WorkBudget))</f>
        <v/>
      </c>
      <c r="P600" s="120">
        <f>IF(OR(N600="",ForecastEnd=""),"",ForecastEnd+IF(L600="Approved",0,IF(K600="",0,K600)))</f>
        <v/>
      </c>
      <c r="Q600" s="121">
        <f>IF(OR(N600="",WorkBudget=0),"",N600/WorkBudget-1)</f>
        <v/>
      </c>
      <c r="R600" s="79">
        <f>IF(N600="","",IF(N600&lt;=WorkBudget,0,IF(N600&lt;=TotalBudget,1,2)))</f>
        <v/>
      </c>
      <c r="S600" s="112">
        <f>IF(AND(OR(H600&lt;&gt;"",J600&lt;&gt;""),OR(L600="Pending",L600=""),C600&lt;&gt;""),C600+3,"")</f>
        <v/>
      </c>
      <c r="T600" s="79">
        <f>IF(S600="","",IF(AsOf&gt;S600,1,2))</f>
        <v/>
      </c>
      <c r="U600" s="79">
        <f>IF(T600="","","Decide on change order "&amp;B600&amp;": "&amp;H600&amp;" (+"&amp;CurSym&amp;" "&amp;FIXED(IF(J600="",0,J600),0)&amp;")")</f>
        <v/>
      </c>
    </row>
    <row r="601" ht="24" customHeight="1">
      <c r="B601" s="74" t="n"/>
      <c r="C601" s="109" t="n"/>
      <c r="D601" s="72" t="n"/>
      <c r="E601" s="72" t="n"/>
      <c r="F601" s="72" t="n"/>
      <c r="G601" s="72" t="n"/>
      <c r="H601" s="113" t="n"/>
      <c r="I601" s="72" t="n"/>
      <c r="J601" s="73" t="n"/>
      <c r="K601" s="89" t="n"/>
      <c r="L601" s="74" t="n"/>
      <c r="M601" s="109" t="n"/>
      <c r="N601" s="68">
        <f>IF(AND(H601="",J601=""),"",ForecastTotal+IF(L601="Approved",0,IF(J601="",0,J601)))</f>
        <v/>
      </c>
      <c r="O601" s="75">
        <f>IF(N601="","",ContAmt-MAX(0,N601-WorkBudget))</f>
        <v/>
      </c>
      <c r="P601" s="120">
        <f>IF(OR(N601="",ForecastEnd=""),"",ForecastEnd+IF(L601="Approved",0,IF(K601="",0,K601)))</f>
        <v/>
      </c>
      <c r="Q601" s="121">
        <f>IF(OR(N601="",WorkBudget=0),"",N601/WorkBudget-1)</f>
        <v/>
      </c>
      <c r="R601" s="79">
        <f>IF(N601="","",IF(N601&lt;=WorkBudget,0,IF(N601&lt;=TotalBudget,1,2)))</f>
        <v/>
      </c>
      <c r="S601" s="112">
        <f>IF(AND(OR(H601&lt;&gt;"",J601&lt;&gt;""),OR(L601="Pending",L601=""),C601&lt;&gt;""),C601+3,"")</f>
        <v/>
      </c>
      <c r="T601" s="79">
        <f>IF(S601="","",IF(AsOf&gt;S601,1,2))</f>
        <v/>
      </c>
      <c r="U601" s="79">
        <f>IF(T601="","","Decide on change order "&amp;B601&amp;": "&amp;H601&amp;" (+"&amp;CurSym&amp;" "&amp;FIXED(IF(J601="",0,J601),0)&amp;")")</f>
        <v/>
      </c>
    </row>
    <row r="602" ht="24" customHeight="1">
      <c r="B602" s="74" t="n"/>
      <c r="C602" s="109" t="n"/>
      <c r="D602" s="72" t="n"/>
      <c r="E602" s="72" t="n"/>
      <c r="F602" s="72" t="n"/>
      <c r="G602" s="72" t="n"/>
      <c r="H602" s="113" t="n"/>
      <c r="I602" s="72" t="n"/>
      <c r="J602" s="73" t="n"/>
      <c r="K602" s="89" t="n"/>
      <c r="L602" s="74" t="n"/>
      <c r="M602" s="109" t="n"/>
      <c r="N602" s="68">
        <f>IF(AND(H602="",J602=""),"",ForecastTotal+IF(L602="Approved",0,IF(J602="",0,J602)))</f>
        <v/>
      </c>
      <c r="O602" s="75">
        <f>IF(N602="","",ContAmt-MAX(0,N602-WorkBudget))</f>
        <v/>
      </c>
      <c r="P602" s="120">
        <f>IF(OR(N602="",ForecastEnd=""),"",ForecastEnd+IF(L602="Approved",0,IF(K602="",0,K602)))</f>
        <v/>
      </c>
      <c r="Q602" s="121">
        <f>IF(OR(N602="",WorkBudget=0),"",N602/WorkBudget-1)</f>
        <v/>
      </c>
      <c r="R602" s="79">
        <f>IF(N602="","",IF(N602&lt;=WorkBudget,0,IF(N602&lt;=TotalBudget,1,2)))</f>
        <v/>
      </c>
      <c r="S602" s="112">
        <f>IF(AND(OR(H602&lt;&gt;"",J602&lt;&gt;""),OR(L602="Pending",L602=""),C602&lt;&gt;""),C602+3,"")</f>
        <v/>
      </c>
      <c r="T602" s="79">
        <f>IF(S602="","",IF(AsOf&gt;S602,1,2))</f>
        <v/>
      </c>
      <c r="U602" s="79">
        <f>IF(T602="","","Decide on change order "&amp;B602&amp;": "&amp;H602&amp;" (+"&amp;CurSym&amp;" "&amp;FIXED(IF(J602="",0,J602),0)&amp;")")</f>
        <v/>
      </c>
    </row>
    <row r="603" ht="24" customHeight="1">
      <c r="B603" s="74" t="n"/>
      <c r="C603" s="109" t="n"/>
      <c r="D603" s="72" t="n"/>
      <c r="E603" s="72" t="n"/>
      <c r="F603" s="72" t="n"/>
      <c r="G603" s="72" t="n"/>
      <c r="H603" s="113" t="n"/>
      <c r="I603" s="72" t="n"/>
      <c r="J603" s="73" t="n"/>
      <c r="K603" s="89" t="n"/>
      <c r="L603" s="74" t="n"/>
      <c r="M603" s="109" t="n"/>
      <c r="N603" s="68">
        <f>IF(AND(H603="",J603=""),"",ForecastTotal+IF(L603="Approved",0,IF(J603="",0,J603)))</f>
        <v/>
      </c>
      <c r="O603" s="75">
        <f>IF(N603="","",ContAmt-MAX(0,N603-WorkBudget))</f>
        <v/>
      </c>
      <c r="P603" s="120">
        <f>IF(OR(N603="",ForecastEnd=""),"",ForecastEnd+IF(L603="Approved",0,IF(K603="",0,K603)))</f>
        <v/>
      </c>
      <c r="Q603" s="121">
        <f>IF(OR(N603="",WorkBudget=0),"",N603/WorkBudget-1)</f>
        <v/>
      </c>
      <c r="R603" s="79">
        <f>IF(N603="","",IF(N603&lt;=WorkBudget,0,IF(N603&lt;=TotalBudget,1,2)))</f>
        <v/>
      </c>
      <c r="S603" s="112">
        <f>IF(AND(OR(H603&lt;&gt;"",J603&lt;&gt;""),OR(L603="Pending",L603=""),C603&lt;&gt;""),C603+3,"")</f>
        <v/>
      </c>
      <c r="T603" s="79">
        <f>IF(S603="","",IF(AsOf&gt;S603,1,2))</f>
        <v/>
      </c>
      <c r="U603" s="79">
        <f>IF(T603="","","Decide on change order "&amp;B603&amp;": "&amp;H603&amp;" (+"&amp;CurSym&amp;" "&amp;FIXED(IF(J603="",0,J603),0)&amp;")")</f>
        <v/>
      </c>
    </row>
    <row r="604" ht="24" customHeight="1">
      <c r="B604" s="74" t="n"/>
      <c r="C604" s="109" t="n"/>
      <c r="D604" s="72" t="n"/>
      <c r="E604" s="72" t="n"/>
      <c r="F604" s="72" t="n"/>
      <c r="G604" s="72" t="n"/>
      <c r="H604" s="113" t="n"/>
      <c r="I604" s="72" t="n"/>
      <c r="J604" s="73" t="n"/>
      <c r="K604" s="89" t="n"/>
      <c r="L604" s="74" t="n"/>
      <c r="M604" s="109" t="n"/>
      <c r="N604" s="68">
        <f>IF(AND(H604="",J604=""),"",ForecastTotal+IF(L604="Approved",0,IF(J604="",0,J604)))</f>
        <v/>
      </c>
      <c r="O604" s="75">
        <f>IF(N604="","",ContAmt-MAX(0,N604-WorkBudget))</f>
        <v/>
      </c>
      <c r="P604" s="120">
        <f>IF(OR(N604="",ForecastEnd=""),"",ForecastEnd+IF(L604="Approved",0,IF(K604="",0,K604)))</f>
        <v/>
      </c>
      <c r="Q604" s="121">
        <f>IF(OR(N604="",WorkBudget=0),"",N604/WorkBudget-1)</f>
        <v/>
      </c>
      <c r="R604" s="79">
        <f>IF(N604="","",IF(N604&lt;=WorkBudget,0,IF(N604&lt;=TotalBudget,1,2)))</f>
        <v/>
      </c>
      <c r="S604" s="112">
        <f>IF(AND(OR(H604&lt;&gt;"",J604&lt;&gt;""),OR(L604="Pending",L604=""),C604&lt;&gt;""),C604+3,"")</f>
        <v/>
      </c>
      <c r="T604" s="79">
        <f>IF(S604="","",IF(AsOf&gt;S604,1,2))</f>
        <v/>
      </c>
      <c r="U604" s="79">
        <f>IF(T604="","","Decide on change order "&amp;B604&amp;": "&amp;H604&amp;" (+"&amp;CurSym&amp;" "&amp;FIXED(IF(J604="",0,J604),0)&amp;")")</f>
        <v/>
      </c>
    </row>
    <row r="605" ht="24" customHeight="1">
      <c r="B605" s="74" t="n"/>
      <c r="C605" s="109" t="n"/>
      <c r="D605" s="72" t="n"/>
      <c r="E605" s="72" t="n"/>
      <c r="F605" s="72" t="n"/>
      <c r="G605" s="72" t="n"/>
      <c r="H605" s="113" t="n"/>
      <c r="I605" s="72" t="n"/>
      <c r="J605" s="73" t="n"/>
      <c r="K605" s="89" t="n"/>
      <c r="L605" s="74" t="n"/>
      <c r="M605" s="109" t="n"/>
      <c r="N605" s="68">
        <f>IF(AND(H605="",J605=""),"",ForecastTotal+IF(L605="Approved",0,IF(J605="",0,J605)))</f>
        <v/>
      </c>
      <c r="O605" s="75">
        <f>IF(N605="","",ContAmt-MAX(0,N605-WorkBudget))</f>
        <v/>
      </c>
      <c r="P605" s="120">
        <f>IF(OR(N605="",ForecastEnd=""),"",ForecastEnd+IF(L605="Approved",0,IF(K605="",0,K605)))</f>
        <v/>
      </c>
      <c r="Q605" s="121">
        <f>IF(OR(N605="",WorkBudget=0),"",N605/WorkBudget-1)</f>
        <v/>
      </c>
      <c r="R605" s="79">
        <f>IF(N605="","",IF(N605&lt;=WorkBudget,0,IF(N605&lt;=TotalBudget,1,2)))</f>
        <v/>
      </c>
      <c r="S605" s="112">
        <f>IF(AND(OR(H605&lt;&gt;"",J605&lt;&gt;""),OR(L605="Pending",L605=""),C605&lt;&gt;""),C605+3,"")</f>
        <v/>
      </c>
      <c r="T605" s="79">
        <f>IF(S605="","",IF(AsOf&gt;S605,1,2))</f>
        <v/>
      </c>
      <c r="U605" s="79">
        <f>IF(T605="","","Decide on change order "&amp;B605&amp;": "&amp;H605&amp;" (+"&amp;CurSym&amp;" "&amp;FIXED(IF(J605="",0,J605),0)&amp;")")</f>
        <v/>
      </c>
    </row>
    <row r="606" ht="24" customHeight="1">
      <c r="B606" s="74" t="n"/>
      <c r="C606" s="109" t="n"/>
      <c r="D606" s="72" t="n"/>
      <c r="E606" s="72" t="n"/>
      <c r="F606" s="72" t="n"/>
      <c r="G606" s="72" t="n"/>
      <c r="H606" s="113" t="n"/>
      <c r="I606" s="72" t="n"/>
      <c r="J606" s="73" t="n"/>
      <c r="K606" s="89" t="n"/>
      <c r="L606" s="74" t="n"/>
      <c r="M606" s="109" t="n"/>
      <c r="N606" s="68">
        <f>IF(AND(H606="",J606=""),"",ForecastTotal+IF(L606="Approved",0,IF(J606="",0,J606)))</f>
        <v/>
      </c>
      <c r="O606" s="75">
        <f>IF(N606="","",ContAmt-MAX(0,N606-WorkBudget))</f>
        <v/>
      </c>
      <c r="P606" s="120">
        <f>IF(OR(N606="",ForecastEnd=""),"",ForecastEnd+IF(L606="Approved",0,IF(K606="",0,K606)))</f>
        <v/>
      </c>
      <c r="Q606" s="121">
        <f>IF(OR(N606="",WorkBudget=0),"",N606/WorkBudget-1)</f>
        <v/>
      </c>
      <c r="R606" s="79">
        <f>IF(N606="","",IF(N606&lt;=WorkBudget,0,IF(N606&lt;=TotalBudget,1,2)))</f>
        <v/>
      </c>
      <c r="S606" s="112">
        <f>IF(AND(OR(H606&lt;&gt;"",J606&lt;&gt;""),OR(L606="Pending",L606=""),C606&lt;&gt;""),C606+3,"")</f>
        <v/>
      </c>
      <c r="T606" s="79">
        <f>IF(S606="","",IF(AsOf&gt;S606,1,2))</f>
        <v/>
      </c>
      <c r="U606" s="79">
        <f>IF(T606="","","Decide on change order "&amp;B606&amp;": "&amp;H606&amp;" (+"&amp;CurSym&amp;" "&amp;FIXED(IF(J606="",0,J606),0)&amp;")")</f>
        <v/>
      </c>
    </row>
    <row r="607" ht="24" customHeight="1">
      <c r="B607" s="74" t="n"/>
      <c r="C607" s="109" t="n"/>
      <c r="D607" s="72" t="n"/>
      <c r="E607" s="72" t="n"/>
      <c r="F607" s="72" t="n"/>
      <c r="G607" s="72" t="n"/>
      <c r="H607" s="113" t="n"/>
      <c r="I607" s="72" t="n"/>
      <c r="J607" s="73" t="n"/>
      <c r="K607" s="89" t="n"/>
      <c r="L607" s="74" t="n"/>
      <c r="M607" s="109" t="n"/>
      <c r="N607" s="68">
        <f>IF(AND(H607="",J607=""),"",ForecastTotal+IF(L607="Approved",0,IF(J607="",0,J607)))</f>
        <v/>
      </c>
      <c r="O607" s="75">
        <f>IF(N607="","",ContAmt-MAX(0,N607-WorkBudget))</f>
        <v/>
      </c>
      <c r="P607" s="120">
        <f>IF(OR(N607="",ForecastEnd=""),"",ForecastEnd+IF(L607="Approved",0,IF(K607="",0,K607)))</f>
        <v/>
      </c>
      <c r="Q607" s="121">
        <f>IF(OR(N607="",WorkBudget=0),"",N607/WorkBudget-1)</f>
        <v/>
      </c>
      <c r="R607" s="79">
        <f>IF(N607="","",IF(N607&lt;=WorkBudget,0,IF(N607&lt;=TotalBudget,1,2)))</f>
        <v/>
      </c>
      <c r="S607" s="112">
        <f>IF(AND(OR(H607&lt;&gt;"",J607&lt;&gt;""),OR(L607="Pending",L607=""),C607&lt;&gt;""),C607+3,"")</f>
        <v/>
      </c>
      <c r="T607" s="79">
        <f>IF(S607="","",IF(AsOf&gt;S607,1,2))</f>
        <v/>
      </c>
      <c r="U607" s="79">
        <f>IF(T607="","","Decide on change order "&amp;B607&amp;": "&amp;H607&amp;" (+"&amp;CurSym&amp;" "&amp;FIXED(IF(J607="",0,J607),0)&amp;")")</f>
        <v/>
      </c>
    </row>
    <row r="608" ht="24" customHeight="1">
      <c r="B608" s="74" t="n"/>
      <c r="C608" s="109" t="n"/>
      <c r="D608" s="72" t="n"/>
      <c r="E608" s="72" t="n"/>
      <c r="F608" s="72" t="n"/>
      <c r="G608" s="72" t="n"/>
      <c r="H608" s="113" t="n"/>
      <c r="I608" s="72" t="n"/>
      <c r="J608" s="73" t="n"/>
      <c r="K608" s="89" t="n"/>
      <c r="L608" s="74" t="n"/>
      <c r="M608" s="109" t="n"/>
      <c r="N608" s="68">
        <f>IF(AND(H608="",J608=""),"",ForecastTotal+IF(L608="Approved",0,IF(J608="",0,J608)))</f>
        <v/>
      </c>
      <c r="O608" s="75">
        <f>IF(N608="","",ContAmt-MAX(0,N608-WorkBudget))</f>
        <v/>
      </c>
      <c r="P608" s="120">
        <f>IF(OR(N608="",ForecastEnd=""),"",ForecastEnd+IF(L608="Approved",0,IF(K608="",0,K608)))</f>
        <v/>
      </c>
      <c r="Q608" s="121">
        <f>IF(OR(N608="",WorkBudget=0),"",N608/WorkBudget-1)</f>
        <v/>
      </c>
      <c r="R608" s="79">
        <f>IF(N608="","",IF(N608&lt;=WorkBudget,0,IF(N608&lt;=TotalBudget,1,2)))</f>
        <v/>
      </c>
      <c r="S608" s="112">
        <f>IF(AND(OR(H608&lt;&gt;"",J608&lt;&gt;""),OR(L608="Pending",L608=""),C608&lt;&gt;""),C608+3,"")</f>
        <v/>
      </c>
      <c r="T608" s="79">
        <f>IF(S608="","",IF(AsOf&gt;S608,1,2))</f>
        <v/>
      </c>
      <c r="U608" s="79">
        <f>IF(T608="","","Decide on change order "&amp;B608&amp;": "&amp;H608&amp;" (+"&amp;CurSym&amp;" "&amp;FIXED(IF(J608="",0,J608),0)&amp;")")</f>
        <v/>
      </c>
    </row>
    <row r="609" ht="24" customHeight="1">
      <c r="B609" s="74" t="n"/>
      <c r="C609" s="109" t="n"/>
      <c r="D609" s="72" t="n"/>
      <c r="E609" s="72" t="n"/>
      <c r="F609" s="72" t="n"/>
      <c r="G609" s="72" t="n"/>
      <c r="H609" s="113" t="n"/>
      <c r="I609" s="72" t="n"/>
      <c r="J609" s="73" t="n"/>
      <c r="K609" s="89" t="n"/>
      <c r="L609" s="74" t="n"/>
      <c r="M609" s="109" t="n"/>
      <c r="N609" s="68">
        <f>IF(AND(H609="",J609=""),"",ForecastTotal+IF(L609="Approved",0,IF(J609="",0,J609)))</f>
        <v/>
      </c>
      <c r="O609" s="75">
        <f>IF(N609="","",ContAmt-MAX(0,N609-WorkBudget))</f>
        <v/>
      </c>
      <c r="P609" s="120">
        <f>IF(OR(N609="",ForecastEnd=""),"",ForecastEnd+IF(L609="Approved",0,IF(K609="",0,K609)))</f>
        <v/>
      </c>
      <c r="Q609" s="121">
        <f>IF(OR(N609="",WorkBudget=0),"",N609/WorkBudget-1)</f>
        <v/>
      </c>
      <c r="R609" s="79">
        <f>IF(N609="","",IF(N609&lt;=WorkBudget,0,IF(N609&lt;=TotalBudget,1,2)))</f>
        <v/>
      </c>
      <c r="S609" s="112">
        <f>IF(AND(OR(H609&lt;&gt;"",J609&lt;&gt;""),OR(L609="Pending",L609=""),C609&lt;&gt;""),C609+3,"")</f>
        <v/>
      </c>
      <c r="T609" s="79">
        <f>IF(S609="","",IF(AsOf&gt;S609,1,2))</f>
        <v/>
      </c>
      <c r="U609" s="79">
        <f>IF(T609="","","Decide on change order "&amp;B609&amp;": "&amp;H609&amp;" (+"&amp;CurSym&amp;" "&amp;FIXED(IF(J609="",0,J609),0)&amp;")")</f>
        <v/>
      </c>
    </row>
    <row r="610" ht="24" customHeight="1">
      <c r="B610" s="74" t="n"/>
      <c r="C610" s="109" t="n"/>
      <c r="D610" s="72" t="n"/>
      <c r="E610" s="72" t="n"/>
      <c r="F610" s="72" t="n"/>
      <c r="G610" s="72" t="n"/>
      <c r="H610" s="113" t="n"/>
      <c r="I610" s="72" t="n"/>
      <c r="J610" s="73" t="n"/>
      <c r="K610" s="89" t="n"/>
      <c r="L610" s="74" t="n"/>
      <c r="M610" s="109" t="n"/>
      <c r="N610" s="68">
        <f>IF(AND(H610="",J610=""),"",ForecastTotal+IF(L610="Approved",0,IF(J610="",0,J610)))</f>
        <v/>
      </c>
      <c r="O610" s="75">
        <f>IF(N610="","",ContAmt-MAX(0,N610-WorkBudget))</f>
        <v/>
      </c>
      <c r="P610" s="120">
        <f>IF(OR(N610="",ForecastEnd=""),"",ForecastEnd+IF(L610="Approved",0,IF(K610="",0,K610)))</f>
        <v/>
      </c>
      <c r="Q610" s="121">
        <f>IF(OR(N610="",WorkBudget=0),"",N610/WorkBudget-1)</f>
        <v/>
      </c>
      <c r="R610" s="79">
        <f>IF(N610="","",IF(N610&lt;=WorkBudget,0,IF(N610&lt;=TotalBudget,1,2)))</f>
        <v/>
      </c>
      <c r="S610" s="112">
        <f>IF(AND(OR(H610&lt;&gt;"",J610&lt;&gt;""),OR(L610="Pending",L610=""),C610&lt;&gt;""),C610+3,"")</f>
        <v/>
      </c>
      <c r="T610" s="79">
        <f>IF(S610="","",IF(AsOf&gt;S610,1,2))</f>
        <v/>
      </c>
      <c r="U610" s="79">
        <f>IF(T610="","","Decide on change order "&amp;B610&amp;": "&amp;H610&amp;" (+"&amp;CurSym&amp;" "&amp;FIXED(IF(J610="",0,J610),0)&amp;")")</f>
        <v/>
      </c>
    </row>
    <row r="611" ht="24" customHeight="1">
      <c r="B611" s="74" t="n"/>
      <c r="C611" s="109" t="n"/>
      <c r="D611" s="72" t="n"/>
      <c r="E611" s="72" t="n"/>
      <c r="F611" s="72" t="n"/>
      <c r="G611" s="72" t="n"/>
      <c r="H611" s="113" t="n"/>
      <c r="I611" s="72" t="n"/>
      <c r="J611" s="73" t="n"/>
      <c r="K611" s="89" t="n"/>
      <c r="L611" s="74" t="n"/>
      <c r="M611" s="109" t="n"/>
      <c r="N611" s="68">
        <f>IF(AND(H611="",J611=""),"",ForecastTotal+IF(L611="Approved",0,IF(J611="",0,J611)))</f>
        <v/>
      </c>
      <c r="O611" s="75">
        <f>IF(N611="","",ContAmt-MAX(0,N611-WorkBudget))</f>
        <v/>
      </c>
      <c r="P611" s="120">
        <f>IF(OR(N611="",ForecastEnd=""),"",ForecastEnd+IF(L611="Approved",0,IF(K611="",0,K611)))</f>
        <v/>
      </c>
      <c r="Q611" s="121">
        <f>IF(OR(N611="",WorkBudget=0),"",N611/WorkBudget-1)</f>
        <v/>
      </c>
      <c r="R611" s="79">
        <f>IF(N611="","",IF(N611&lt;=WorkBudget,0,IF(N611&lt;=TotalBudget,1,2)))</f>
        <v/>
      </c>
      <c r="S611" s="112">
        <f>IF(AND(OR(H611&lt;&gt;"",J611&lt;&gt;""),OR(L611="Pending",L611=""),C611&lt;&gt;""),C611+3,"")</f>
        <v/>
      </c>
      <c r="T611" s="79">
        <f>IF(S611="","",IF(AsOf&gt;S611,1,2))</f>
        <v/>
      </c>
      <c r="U611" s="79">
        <f>IF(T611="","","Decide on change order "&amp;B611&amp;": "&amp;H611&amp;" (+"&amp;CurSym&amp;" "&amp;FIXED(IF(J611="",0,J611),0)&amp;")")</f>
        <v/>
      </c>
    </row>
    <row r="612" ht="24" customHeight="1">
      <c r="B612" s="74" t="n"/>
      <c r="C612" s="109" t="n"/>
      <c r="D612" s="72" t="n"/>
      <c r="E612" s="72" t="n"/>
      <c r="F612" s="72" t="n"/>
      <c r="G612" s="72" t="n"/>
      <c r="H612" s="113" t="n"/>
      <c r="I612" s="72" t="n"/>
      <c r="J612" s="73" t="n"/>
      <c r="K612" s="89" t="n"/>
      <c r="L612" s="74" t="n"/>
      <c r="M612" s="109" t="n"/>
      <c r="N612" s="68">
        <f>IF(AND(H612="",J612=""),"",ForecastTotal+IF(L612="Approved",0,IF(J612="",0,J612)))</f>
        <v/>
      </c>
      <c r="O612" s="75">
        <f>IF(N612="","",ContAmt-MAX(0,N612-WorkBudget))</f>
        <v/>
      </c>
      <c r="P612" s="120">
        <f>IF(OR(N612="",ForecastEnd=""),"",ForecastEnd+IF(L612="Approved",0,IF(K612="",0,K612)))</f>
        <v/>
      </c>
      <c r="Q612" s="121">
        <f>IF(OR(N612="",WorkBudget=0),"",N612/WorkBudget-1)</f>
        <v/>
      </c>
      <c r="R612" s="79">
        <f>IF(N612="","",IF(N612&lt;=WorkBudget,0,IF(N612&lt;=TotalBudget,1,2)))</f>
        <v/>
      </c>
      <c r="S612" s="112">
        <f>IF(AND(OR(H612&lt;&gt;"",J612&lt;&gt;""),OR(L612="Pending",L612=""),C612&lt;&gt;""),C612+3,"")</f>
        <v/>
      </c>
      <c r="T612" s="79">
        <f>IF(S612="","",IF(AsOf&gt;S612,1,2))</f>
        <v/>
      </c>
      <c r="U612" s="79">
        <f>IF(T612="","","Decide on change order "&amp;B612&amp;": "&amp;H612&amp;" (+"&amp;CurSym&amp;" "&amp;FIXED(IF(J612="",0,J612),0)&amp;")")</f>
        <v/>
      </c>
    </row>
    <row r="613" ht="24" customHeight="1">
      <c r="B613" s="74" t="n"/>
      <c r="C613" s="109" t="n"/>
      <c r="D613" s="72" t="n"/>
      <c r="E613" s="72" t="n"/>
      <c r="F613" s="72" t="n"/>
      <c r="G613" s="72" t="n"/>
      <c r="H613" s="113" t="n"/>
      <c r="I613" s="72" t="n"/>
      <c r="J613" s="73" t="n"/>
      <c r="K613" s="89" t="n"/>
      <c r="L613" s="74" t="n"/>
      <c r="M613" s="109" t="n"/>
      <c r="N613" s="68">
        <f>IF(AND(H613="",J613=""),"",ForecastTotal+IF(L613="Approved",0,IF(J613="",0,J613)))</f>
        <v/>
      </c>
      <c r="O613" s="75">
        <f>IF(N613="","",ContAmt-MAX(0,N613-WorkBudget))</f>
        <v/>
      </c>
      <c r="P613" s="120">
        <f>IF(OR(N613="",ForecastEnd=""),"",ForecastEnd+IF(L613="Approved",0,IF(K613="",0,K613)))</f>
        <v/>
      </c>
      <c r="Q613" s="121">
        <f>IF(OR(N613="",WorkBudget=0),"",N613/WorkBudget-1)</f>
        <v/>
      </c>
      <c r="R613" s="79">
        <f>IF(N613="","",IF(N613&lt;=WorkBudget,0,IF(N613&lt;=TotalBudget,1,2)))</f>
        <v/>
      </c>
      <c r="S613" s="112">
        <f>IF(AND(OR(H613&lt;&gt;"",J613&lt;&gt;""),OR(L613="Pending",L613=""),C613&lt;&gt;""),C613+3,"")</f>
        <v/>
      </c>
      <c r="T613" s="79">
        <f>IF(S613="","",IF(AsOf&gt;S613,1,2))</f>
        <v/>
      </c>
      <c r="U613" s="79">
        <f>IF(T613="","","Decide on change order "&amp;B613&amp;": "&amp;H613&amp;" (+"&amp;CurSym&amp;" "&amp;FIXED(IF(J613="",0,J613),0)&amp;")")</f>
        <v/>
      </c>
    </row>
    <row r="614" ht="24" customHeight="1">
      <c r="B614" s="74" t="n"/>
      <c r="C614" s="109" t="n"/>
      <c r="D614" s="72" t="n"/>
      <c r="E614" s="72" t="n"/>
      <c r="F614" s="72" t="n"/>
      <c r="G614" s="72" t="n"/>
      <c r="H614" s="113" t="n"/>
      <c r="I614" s="72" t="n"/>
      <c r="J614" s="73" t="n"/>
      <c r="K614" s="89" t="n"/>
      <c r="L614" s="74" t="n"/>
      <c r="M614" s="109" t="n"/>
      <c r="N614" s="68">
        <f>IF(AND(H614="",J614=""),"",ForecastTotal+IF(L614="Approved",0,IF(J614="",0,J614)))</f>
        <v/>
      </c>
      <c r="O614" s="75">
        <f>IF(N614="","",ContAmt-MAX(0,N614-WorkBudget))</f>
        <v/>
      </c>
      <c r="P614" s="120">
        <f>IF(OR(N614="",ForecastEnd=""),"",ForecastEnd+IF(L614="Approved",0,IF(K614="",0,K614)))</f>
        <v/>
      </c>
      <c r="Q614" s="121">
        <f>IF(OR(N614="",WorkBudget=0),"",N614/WorkBudget-1)</f>
        <v/>
      </c>
      <c r="R614" s="79">
        <f>IF(N614="","",IF(N614&lt;=WorkBudget,0,IF(N614&lt;=TotalBudget,1,2)))</f>
        <v/>
      </c>
      <c r="S614" s="112">
        <f>IF(AND(OR(H614&lt;&gt;"",J614&lt;&gt;""),OR(L614="Pending",L614=""),C614&lt;&gt;""),C614+3,"")</f>
        <v/>
      </c>
      <c r="T614" s="79">
        <f>IF(S614="","",IF(AsOf&gt;S614,1,2))</f>
        <v/>
      </c>
      <c r="U614" s="79">
        <f>IF(T614="","","Decide on change order "&amp;B614&amp;": "&amp;H614&amp;" (+"&amp;CurSym&amp;" "&amp;FIXED(IF(J614="",0,J614),0)&amp;")")</f>
        <v/>
      </c>
    </row>
    <row r="615" ht="24" customHeight="1">
      <c r="B615" s="74" t="n"/>
      <c r="C615" s="109" t="n"/>
      <c r="D615" s="72" t="n"/>
      <c r="E615" s="72" t="n"/>
      <c r="F615" s="72" t="n"/>
      <c r="G615" s="72" t="n"/>
      <c r="H615" s="113" t="n"/>
      <c r="I615" s="72" t="n"/>
      <c r="J615" s="73" t="n"/>
      <c r="K615" s="89" t="n"/>
      <c r="L615" s="74" t="n"/>
      <c r="M615" s="109" t="n"/>
      <c r="N615" s="68">
        <f>IF(AND(H615="",J615=""),"",ForecastTotal+IF(L615="Approved",0,IF(J615="",0,J615)))</f>
        <v/>
      </c>
      <c r="O615" s="75">
        <f>IF(N615="","",ContAmt-MAX(0,N615-WorkBudget))</f>
        <v/>
      </c>
      <c r="P615" s="120">
        <f>IF(OR(N615="",ForecastEnd=""),"",ForecastEnd+IF(L615="Approved",0,IF(K615="",0,K615)))</f>
        <v/>
      </c>
      <c r="Q615" s="121">
        <f>IF(OR(N615="",WorkBudget=0),"",N615/WorkBudget-1)</f>
        <v/>
      </c>
      <c r="R615" s="79">
        <f>IF(N615="","",IF(N615&lt;=WorkBudget,0,IF(N615&lt;=TotalBudget,1,2)))</f>
        <v/>
      </c>
      <c r="S615" s="112">
        <f>IF(AND(OR(H615&lt;&gt;"",J615&lt;&gt;""),OR(L615="Pending",L615=""),C615&lt;&gt;""),C615+3,"")</f>
        <v/>
      </c>
      <c r="T615" s="79">
        <f>IF(S615="","",IF(AsOf&gt;S615,1,2))</f>
        <v/>
      </c>
      <c r="U615" s="79">
        <f>IF(T615="","","Decide on change order "&amp;B615&amp;": "&amp;H615&amp;" (+"&amp;CurSym&amp;" "&amp;FIXED(IF(J615="",0,J615),0)&amp;")")</f>
        <v/>
      </c>
    </row>
    <row r="616" ht="24" customHeight="1">
      <c r="B616" s="74" t="n"/>
      <c r="C616" s="109" t="n"/>
      <c r="D616" s="72" t="n"/>
      <c r="E616" s="72" t="n"/>
      <c r="F616" s="72" t="n"/>
      <c r="G616" s="72" t="n"/>
      <c r="H616" s="113" t="n"/>
      <c r="I616" s="72" t="n"/>
      <c r="J616" s="73" t="n"/>
      <c r="K616" s="89" t="n"/>
      <c r="L616" s="74" t="n"/>
      <c r="M616" s="109" t="n"/>
      <c r="N616" s="68">
        <f>IF(AND(H616="",J616=""),"",ForecastTotal+IF(L616="Approved",0,IF(J616="",0,J616)))</f>
        <v/>
      </c>
      <c r="O616" s="75">
        <f>IF(N616="","",ContAmt-MAX(0,N616-WorkBudget))</f>
        <v/>
      </c>
      <c r="P616" s="120">
        <f>IF(OR(N616="",ForecastEnd=""),"",ForecastEnd+IF(L616="Approved",0,IF(K616="",0,K616)))</f>
        <v/>
      </c>
      <c r="Q616" s="121">
        <f>IF(OR(N616="",WorkBudget=0),"",N616/WorkBudget-1)</f>
        <v/>
      </c>
      <c r="R616" s="79">
        <f>IF(N616="","",IF(N616&lt;=WorkBudget,0,IF(N616&lt;=TotalBudget,1,2)))</f>
        <v/>
      </c>
      <c r="S616" s="112">
        <f>IF(AND(OR(H616&lt;&gt;"",J616&lt;&gt;""),OR(L616="Pending",L616=""),C616&lt;&gt;""),C616+3,"")</f>
        <v/>
      </c>
      <c r="T616" s="79">
        <f>IF(S616="","",IF(AsOf&gt;S616,1,2))</f>
        <v/>
      </c>
      <c r="U616" s="79">
        <f>IF(T616="","","Decide on change order "&amp;B616&amp;": "&amp;H616&amp;" (+"&amp;CurSym&amp;" "&amp;FIXED(IF(J616="",0,J616),0)&amp;")")</f>
        <v/>
      </c>
    </row>
    <row r="617" ht="24" customHeight="1">
      <c r="B617" s="74" t="n"/>
      <c r="C617" s="109" t="n"/>
      <c r="D617" s="72" t="n"/>
      <c r="E617" s="72" t="n"/>
      <c r="F617" s="72" t="n"/>
      <c r="G617" s="72" t="n"/>
      <c r="H617" s="113" t="n"/>
      <c r="I617" s="72" t="n"/>
      <c r="J617" s="73" t="n"/>
      <c r="K617" s="89" t="n"/>
      <c r="L617" s="74" t="n"/>
      <c r="M617" s="109" t="n"/>
      <c r="N617" s="68">
        <f>IF(AND(H617="",J617=""),"",ForecastTotal+IF(L617="Approved",0,IF(J617="",0,J617)))</f>
        <v/>
      </c>
      <c r="O617" s="75">
        <f>IF(N617="","",ContAmt-MAX(0,N617-WorkBudget))</f>
        <v/>
      </c>
      <c r="P617" s="120">
        <f>IF(OR(N617="",ForecastEnd=""),"",ForecastEnd+IF(L617="Approved",0,IF(K617="",0,K617)))</f>
        <v/>
      </c>
      <c r="Q617" s="121">
        <f>IF(OR(N617="",WorkBudget=0),"",N617/WorkBudget-1)</f>
        <v/>
      </c>
      <c r="R617" s="79">
        <f>IF(N617="","",IF(N617&lt;=WorkBudget,0,IF(N617&lt;=TotalBudget,1,2)))</f>
        <v/>
      </c>
      <c r="S617" s="112">
        <f>IF(AND(OR(H617&lt;&gt;"",J617&lt;&gt;""),OR(L617="Pending",L617=""),C617&lt;&gt;""),C617+3,"")</f>
        <v/>
      </c>
      <c r="T617" s="79">
        <f>IF(S617="","",IF(AsOf&gt;S617,1,2))</f>
        <v/>
      </c>
      <c r="U617" s="79">
        <f>IF(T617="","","Decide on change order "&amp;B617&amp;": "&amp;H617&amp;" (+"&amp;CurSym&amp;" "&amp;FIXED(IF(J617="",0,J617),0)&amp;")")</f>
        <v/>
      </c>
    </row>
    <row r="618" ht="24" customHeight="1">
      <c r="B618" s="74" t="n"/>
      <c r="C618" s="109" t="n"/>
      <c r="D618" s="72" t="n"/>
      <c r="E618" s="72" t="n"/>
      <c r="F618" s="72" t="n"/>
      <c r="G618" s="72" t="n"/>
      <c r="H618" s="113" t="n"/>
      <c r="I618" s="72" t="n"/>
      <c r="J618" s="73" t="n"/>
      <c r="K618" s="89" t="n"/>
      <c r="L618" s="74" t="n"/>
      <c r="M618" s="109" t="n"/>
      <c r="N618" s="68">
        <f>IF(AND(H618="",J618=""),"",ForecastTotal+IF(L618="Approved",0,IF(J618="",0,J618)))</f>
        <v/>
      </c>
      <c r="O618" s="75">
        <f>IF(N618="","",ContAmt-MAX(0,N618-WorkBudget))</f>
        <v/>
      </c>
      <c r="P618" s="120">
        <f>IF(OR(N618="",ForecastEnd=""),"",ForecastEnd+IF(L618="Approved",0,IF(K618="",0,K618)))</f>
        <v/>
      </c>
      <c r="Q618" s="121">
        <f>IF(OR(N618="",WorkBudget=0),"",N618/WorkBudget-1)</f>
        <v/>
      </c>
      <c r="R618" s="79">
        <f>IF(N618="","",IF(N618&lt;=WorkBudget,0,IF(N618&lt;=TotalBudget,1,2)))</f>
        <v/>
      </c>
      <c r="S618" s="112">
        <f>IF(AND(OR(H618&lt;&gt;"",J618&lt;&gt;""),OR(L618="Pending",L618=""),C618&lt;&gt;""),C618+3,"")</f>
        <v/>
      </c>
      <c r="T618" s="79">
        <f>IF(S618="","",IF(AsOf&gt;S618,1,2))</f>
        <v/>
      </c>
      <c r="U618" s="79">
        <f>IF(T618="","","Decide on change order "&amp;B618&amp;": "&amp;H618&amp;" (+"&amp;CurSym&amp;" "&amp;FIXED(IF(J618="",0,J618),0)&amp;")")</f>
        <v/>
      </c>
    </row>
    <row r="619" ht="24" customHeight="1">
      <c r="B619" s="74" t="n"/>
      <c r="C619" s="109" t="n"/>
      <c r="D619" s="72" t="n"/>
      <c r="E619" s="72" t="n"/>
      <c r="F619" s="72" t="n"/>
      <c r="G619" s="72" t="n"/>
      <c r="H619" s="113" t="n"/>
      <c r="I619" s="72" t="n"/>
      <c r="J619" s="73" t="n"/>
      <c r="K619" s="89" t="n"/>
      <c r="L619" s="74" t="n"/>
      <c r="M619" s="109" t="n"/>
      <c r="N619" s="68">
        <f>IF(AND(H619="",J619=""),"",ForecastTotal+IF(L619="Approved",0,IF(J619="",0,J619)))</f>
        <v/>
      </c>
      <c r="O619" s="75">
        <f>IF(N619="","",ContAmt-MAX(0,N619-WorkBudget))</f>
        <v/>
      </c>
      <c r="P619" s="120">
        <f>IF(OR(N619="",ForecastEnd=""),"",ForecastEnd+IF(L619="Approved",0,IF(K619="",0,K619)))</f>
        <v/>
      </c>
      <c r="Q619" s="121">
        <f>IF(OR(N619="",WorkBudget=0),"",N619/WorkBudget-1)</f>
        <v/>
      </c>
      <c r="R619" s="79">
        <f>IF(N619="","",IF(N619&lt;=WorkBudget,0,IF(N619&lt;=TotalBudget,1,2)))</f>
        <v/>
      </c>
      <c r="S619" s="112">
        <f>IF(AND(OR(H619&lt;&gt;"",J619&lt;&gt;""),OR(L619="Pending",L619=""),C619&lt;&gt;""),C619+3,"")</f>
        <v/>
      </c>
      <c r="T619" s="79">
        <f>IF(S619="","",IF(AsOf&gt;S619,1,2))</f>
        <v/>
      </c>
      <c r="U619" s="79">
        <f>IF(T619="","","Decide on change order "&amp;B619&amp;": "&amp;H619&amp;" (+"&amp;CurSym&amp;" "&amp;FIXED(IF(J619="",0,J619),0)&amp;")")</f>
        <v/>
      </c>
    </row>
    <row r="620" ht="24" customHeight="1">
      <c r="B620" s="74" t="n"/>
      <c r="C620" s="109" t="n"/>
      <c r="D620" s="72" t="n"/>
      <c r="E620" s="72" t="n"/>
      <c r="F620" s="72" t="n"/>
      <c r="G620" s="72" t="n"/>
      <c r="H620" s="113" t="n"/>
      <c r="I620" s="72" t="n"/>
      <c r="J620" s="73" t="n"/>
      <c r="K620" s="89" t="n"/>
      <c r="L620" s="74" t="n"/>
      <c r="M620" s="109" t="n"/>
      <c r="N620" s="68">
        <f>IF(AND(H620="",J620=""),"",ForecastTotal+IF(L620="Approved",0,IF(J620="",0,J620)))</f>
        <v/>
      </c>
      <c r="O620" s="75">
        <f>IF(N620="","",ContAmt-MAX(0,N620-WorkBudget))</f>
        <v/>
      </c>
      <c r="P620" s="120">
        <f>IF(OR(N620="",ForecastEnd=""),"",ForecastEnd+IF(L620="Approved",0,IF(K620="",0,K620)))</f>
        <v/>
      </c>
      <c r="Q620" s="121">
        <f>IF(OR(N620="",WorkBudget=0),"",N620/WorkBudget-1)</f>
        <v/>
      </c>
      <c r="R620" s="79">
        <f>IF(N620="","",IF(N620&lt;=WorkBudget,0,IF(N620&lt;=TotalBudget,1,2)))</f>
        <v/>
      </c>
      <c r="S620" s="112">
        <f>IF(AND(OR(H620&lt;&gt;"",J620&lt;&gt;""),OR(L620="Pending",L620=""),C620&lt;&gt;""),C620+3,"")</f>
        <v/>
      </c>
      <c r="T620" s="79">
        <f>IF(S620="","",IF(AsOf&gt;S620,1,2))</f>
        <v/>
      </c>
      <c r="U620" s="79">
        <f>IF(T620="","","Decide on change order "&amp;B620&amp;": "&amp;H620&amp;" (+"&amp;CurSym&amp;" "&amp;FIXED(IF(J620="",0,J620),0)&amp;")")</f>
        <v/>
      </c>
    </row>
    <row r="621" ht="24" customHeight="1">
      <c r="B621" s="74" t="n"/>
      <c r="C621" s="109" t="n"/>
      <c r="D621" s="72" t="n"/>
      <c r="E621" s="72" t="n"/>
      <c r="F621" s="72" t="n"/>
      <c r="G621" s="72" t="n"/>
      <c r="H621" s="113" t="n"/>
      <c r="I621" s="72" t="n"/>
      <c r="J621" s="73" t="n"/>
      <c r="K621" s="89" t="n"/>
      <c r="L621" s="74" t="n"/>
      <c r="M621" s="109" t="n"/>
      <c r="N621" s="68">
        <f>IF(AND(H621="",J621=""),"",ForecastTotal+IF(L621="Approved",0,IF(J621="",0,J621)))</f>
        <v/>
      </c>
      <c r="O621" s="75">
        <f>IF(N621="","",ContAmt-MAX(0,N621-WorkBudget))</f>
        <v/>
      </c>
      <c r="P621" s="120">
        <f>IF(OR(N621="",ForecastEnd=""),"",ForecastEnd+IF(L621="Approved",0,IF(K621="",0,K621)))</f>
        <v/>
      </c>
      <c r="Q621" s="121">
        <f>IF(OR(N621="",WorkBudget=0),"",N621/WorkBudget-1)</f>
        <v/>
      </c>
      <c r="R621" s="79">
        <f>IF(N621="","",IF(N621&lt;=WorkBudget,0,IF(N621&lt;=TotalBudget,1,2)))</f>
        <v/>
      </c>
      <c r="S621" s="112">
        <f>IF(AND(OR(H621&lt;&gt;"",J621&lt;&gt;""),OR(L621="Pending",L621=""),C621&lt;&gt;""),C621+3,"")</f>
        <v/>
      </c>
      <c r="T621" s="79">
        <f>IF(S621="","",IF(AsOf&gt;S621,1,2))</f>
        <v/>
      </c>
      <c r="U621" s="79">
        <f>IF(T621="","","Decide on change order "&amp;B621&amp;": "&amp;H621&amp;" (+"&amp;CurSym&amp;" "&amp;FIXED(IF(J621="",0,J621),0)&amp;")")</f>
        <v/>
      </c>
    </row>
    <row r="622" ht="24" customHeight="1">
      <c r="B622" s="74" t="n"/>
      <c r="C622" s="109" t="n"/>
      <c r="D622" s="72" t="n"/>
      <c r="E622" s="72" t="n"/>
      <c r="F622" s="72" t="n"/>
      <c r="G622" s="72" t="n"/>
      <c r="H622" s="113" t="n"/>
      <c r="I622" s="72" t="n"/>
      <c r="J622" s="73" t="n"/>
      <c r="K622" s="89" t="n"/>
      <c r="L622" s="74" t="n"/>
      <c r="M622" s="109" t="n"/>
      <c r="N622" s="68">
        <f>IF(AND(H622="",J622=""),"",ForecastTotal+IF(L622="Approved",0,IF(J622="",0,J622)))</f>
        <v/>
      </c>
      <c r="O622" s="75">
        <f>IF(N622="","",ContAmt-MAX(0,N622-WorkBudget))</f>
        <v/>
      </c>
      <c r="P622" s="120">
        <f>IF(OR(N622="",ForecastEnd=""),"",ForecastEnd+IF(L622="Approved",0,IF(K622="",0,K622)))</f>
        <v/>
      </c>
      <c r="Q622" s="121">
        <f>IF(OR(N622="",WorkBudget=0),"",N622/WorkBudget-1)</f>
        <v/>
      </c>
      <c r="R622" s="79">
        <f>IF(N622="","",IF(N622&lt;=WorkBudget,0,IF(N622&lt;=TotalBudget,1,2)))</f>
        <v/>
      </c>
      <c r="S622" s="112">
        <f>IF(AND(OR(H622&lt;&gt;"",J622&lt;&gt;""),OR(L622="Pending",L622=""),C622&lt;&gt;""),C622+3,"")</f>
        <v/>
      </c>
      <c r="T622" s="79">
        <f>IF(S622="","",IF(AsOf&gt;S622,1,2))</f>
        <v/>
      </c>
      <c r="U622" s="79">
        <f>IF(T622="","","Decide on change order "&amp;B622&amp;": "&amp;H622&amp;" (+"&amp;CurSym&amp;" "&amp;FIXED(IF(J622="",0,J622),0)&amp;")")</f>
        <v/>
      </c>
    </row>
    <row r="623" ht="24" customHeight="1">
      <c r="B623" s="74" t="n"/>
      <c r="C623" s="109" t="n"/>
      <c r="D623" s="72" t="n"/>
      <c r="E623" s="72" t="n"/>
      <c r="F623" s="72" t="n"/>
      <c r="G623" s="72" t="n"/>
      <c r="H623" s="113" t="n"/>
      <c r="I623" s="72" t="n"/>
      <c r="J623" s="73" t="n"/>
      <c r="K623" s="89" t="n"/>
      <c r="L623" s="74" t="n"/>
      <c r="M623" s="109" t="n"/>
      <c r="N623" s="68">
        <f>IF(AND(H623="",J623=""),"",ForecastTotal+IF(L623="Approved",0,IF(J623="",0,J623)))</f>
        <v/>
      </c>
      <c r="O623" s="75">
        <f>IF(N623="","",ContAmt-MAX(0,N623-WorkBudget))</f>
        <v/>
      </c>
      <c r="P623" s="120">
        <f>IF(OR(N623="",ForecastEnd=""),"",ForecastEnd+IF(L623="Approved",0,IF(K623="",0,K623)))</f>
        <v/>
      </c>
      <c r="Q623" s="121">
        <f>IF(OR(N623="",WorkBudget=0),"",N623/WorkBudget-1)</f>
        <v/>
      </c>
      <c r="R623" s="79">
        <f>IF(N623="","",IF(N623&lt;=WorkBudget,0,IF(N623&lt;=TotalBudget,1,2)))</f>
        <v/>
      </c>
      <c r="S623" s="112">
        <f>IF(AND(OR(H623&lt;&gt;"",J623&lt;&gt;""),OR(L623="Pending",L623=""),C623&lt;&gt;""),C623+3,"")</f>
        <v/>
      </c>
      <c r="T623" s="79">
        <f>IF(S623="","",IF(AsOf&gt;S623,1,2))</f>
        <v/>
      </c>
      <c r="U623" s="79">
        <f>IF(T623="","","Decide on change order "&amp;B623&amp;": "&amp;H623&amp;" (+"&amp;CurSym&amp;" "&amp;FIXED(IF(J623="",0,J623),0)&amp;")")</f>
        <v/>
      </c>
    </row>
    <row r="624" ht="24" customHeight="1">
      <c r="B624" s="74" t="n"/>
      <c r="C624" s="109" t="n"/>
      <c r="D624" s="72" t="n"/>
      <c r="E624" s="72" t="n"/>
      <c r="F624" s="72" t="n"/>
      <c r="G624" s="72" t="n"/>
      <c r="H624" s="113" t="n"/>
      <c r="I624" s="72" t="n"/>
      <c r="J624" s="73" t="n"/>
      <c r="K624" s="89" t="n"/>
      <c r="L624" s="74" t="n"/>
      <c r="M624" s="109" t="n"/>
      <c r="N624" s="68">
        <f>IF(AND(H624="",J624=""),"",ForecastTotal+IF(L624="Approved",0,IF(J624="",0,J624)))</f>
        <v/>
      </c>
      <c r="O624" s="75">
        <f>IF(N624="","",ContAmt-MAX(0,N624-WorkBudget))</f>
        <v/>
      </c>
      <c r="P624" s="120">
        <f>IF(OR(N624="",ForecastEnd=""),"",ForecastEnd+IF(L624="Approved",0,IF(K624="",0,K624)))</f>
        <v/>
      </c>
      <c r="Q624" s="121">
        <f>IF(OR(N624="",WorkBudget=0),"",N624/WorkBudget-1)</f>
        <v/>
      </c>
      <c r="R624" s="79">
        <f>IF(N624="","",IF(N624&lt;=WorkBudget,0,IF(N624&lt;=TotalBudget,1,2)))</f>
        <v/>
      </c>
      <c r="S624" s="112">
        <f>IF(AND(OR(H624&lt;&gt;"",J624&lt;&gt;""),OR(L624="Pending",L624=""),C624&lt;&gt;""),C624+3,"")</f>
        <v/>
      </c>
      <c r="T624" s="79">
        <f>IF(S624="","",IF(AsOf&gt;S624,1,2))</f>
        <v/>
      </c>
      <c r="U624" s="79">
        <f>IF(T624="","","Decide on change order "&amp;B624&amp;": "&amp;H624&amp;" (+"&amp;CurSym&amp;" "&amp;FIXED(IF(J624="",0,J624),0)&amp;")")</f>
        <v/>
      </c>
    </row>
    <row r="625" ht="24" customHeight="1">
      <c r="B625" s="74" t="n"/>
      <c r="C625" s="109" t="n"/>
      <c r="D625" s="72" t="n"/>
      <c r="E625" s="72" t="n"/>
      <c r="F625" s="72" t="n"/>
      <c r="G625" s="72" t="n"/>
      <c r="H625" s="113" t="n"/>
      <c r="I625" s="72" t="n"/>
      <c r="J625" s="73" t="n"/>
      <c r="K625" s="89" t="n"/>
      <c r="L625" s="74" t="n"/>
      <c r="M625" s="109" t="n"/>
      <c r="N625" s="68">
        <f>IF(AND(H625="",J625=""),"",ForecastTotal+IF(L625="Approved",0,IF(J625="",0,J625)))</f>
        <v/>
      </c>
      <c r="O625" s="75">
        <f>IF(N625="","",ContAmt-MAX(0,N625-WorkBudget))</f>
        <v/>
      </c>
      <c r="P625" s="120">
        <f>IF(OR(N625="",ForecastEnd=""),"",ForecastEnd+IF(L625="Approved",0,IF(K625="",0,K625)))</f>
        <v/>
      </c>
      <c r="Q625" s="121">
        <f>IF(OR(N625="",WorkBudget=0),"",N625/WorkBudget-1)</f>
        <v/>
      </c>
      <c r="R625" s="79">
        <f>IF(N625="","",IF(N625&lt;=WorkBudget,0,IF(N625&lt;=TotalBudget,1,2)))</f>
        <v/>
      </c>
      <c r="S625" s="112">
        <f>IF(AND(OR(H625&lt;&gt;"",J625&lt;&gt;""),OR(L625="Pending",L625=""),C625&lt;&gt;""),C625+3,"")</f>
        <v/>
      </c>
      <c r="T625" s="79">
        <f>IF(S625="","",IF(AsOf&gt;S625,1,2))</f>
        <v/>
      </c>
      <c r="U625" s="79">
        <f>IF(T625="","","Decide on change order "&amp;B625&amp;": "&amp;H625&amp;" (+"&amp;CurSym&amp;" "&amp;FIXED(IF(J625="",0,J625),0)&amp;")")</f>
        <v/>
      </c>
    </row>
    <row r="626" ht="24" customHeight="1">
      <c r="B626" s="74" t="n"/>
      <c r="C626" s="109" t="n"/>
      <c r="D626" s="72" t="n"/>
      <c r="E626" s="72" t="n"/>
      <c r="F626" s="72" t="n"/>
      <c r="G626" s="72" t="n"/>
      <c r="H626" s="113" t="n"/>
      <c r="I626" s="72" t="n"/>
      <c r="J626" s="73" t="n"/>
      <c r="K626" s="89" t="n"/>
      <c r="L626" s="74" t="n"/>
      <c r="M626" s="109" t="n"/>
      <c r="N626" s="68">
        <f>IF(AND(H626="",J626=""),"",ForecastTotal+IF(L626="Approved",0,IF(J626="",0,J626)))</f>
        <v/>
      </c>
      <c r="O626" s="75">
        <f>IF(N626="","",ContAmt-MAX(0,N626-WorkBudget))</f>
        <v/>
      </c>
      <c r="P626" s="120">
        <f>IF(OR(N626="",ForecastEnd=""),"",ForecastEnd+IF(L626="Approved",0,IF(K626="",0,K626)))</f>
        <v/>
      </c>
      <c r="Q626" s="121">
        <f>IF(OR(N626="",WorkBudget=0),"",N626/WorkBudget-1)</f>
        <v/>
      </c>
      <c r="R626" s="79">
        <f>IF(N626="","",IF(N626&lt;=WorkBudget,0,IF(N626&lt;=TotalBudget,1,2)))</f>
        <v/>
      </c>
      <c r="S626" s="112">
        <f>IF(AND(OR(H626&lt;&gt;"",J626&lt;&gt;""),OR(L626="Pending",L626=""),C626&lt;&gt;""),C626+3,"")</f>
        <v/>
      </c>
      <c r="T626" s="79">
        <f>IF(S626="","",IF(AsOf&gt;S626,1,2))</f>
        <v/>
      </c>
      <c r="U626" s="79">
        <f>IF(T626="","","Decide on change order "&amp;B626&amp;": "&amp;H626&amp;" (+"&amp;CurSym&amp;" "&amp;FIXED(IF(J626="",0,J626),0)&amp;")")</f>
        <v/>
      </c>
    </row>
    <row r="627" ht="24" customHeight="1">
      <c r="B627" s="74" t="n"/>
      <c r="C627" s="109" t="n"/>
      <c r="D627" s="72" t="n"/>
      <c r="E627" s="72" t="n"/>
      <c r="F627" s="72" t="n"/>
      <c r="G627" s="72" t="n"/>
      <c r="H627" s="113" t="n"/>
      <c r="I627" s="72" t="n"/>
      <c r="J627" s="73" t="n"/>
      <c r="K627" s="89" t="n"/>
      <c r="L627" s="74" t="n"/>
      <c r="M627" s="109" t="n"/>
      <c r="N627" s="68">
        <f>IF(AND(H627="",J627=""),"",ForecastTotal+IF(L627="Approved",0,IF(J627="",0,J627)))</f>
        <v/>
      </c>
      <c r="O627" s="75">
        <f>IF(N627="","",ContAmt-MAX(0,N627-WorkBudget))</f>
        <v/>
      </c>
      <c r="P627" s="120">
        <f>IF(OR(N627="",ForecastEnd=""),"",ForecastEnd+IF(L627="Approved",0,IF(K627="",0,K627)))</f>
        <v/>
      </c>
      <c r="Q627" s="121">
        <f>IF(OR(N627="",WorkBudget=0),"",N627/WorkBudget-1)</f>
        <v/>
      </c>
      <c r="R627" s="79">
        <f>IF(N627="","",IF(N627&lt;=WorkBudget,0,IF(N627&lt;=TotalBudget,1,2)))</f>
        <v/>
      </c>
      <c r="S627" s="112">
        <f>IF(AND(OR(H627&lt;&gt;"",J627&lt;&gt;""),OR(L627="Pending",L627=""),C627&lt;&gt;""),C627+3,"")</f>
        <v/>
      </c>
      <c r="T627" s="79">
        <f>IF(S627="","",IF(AsOf&gt;S627,1,2))</f>
        <v/>
      </c>
      <c r="U627" s="79">
        <f>IF(T627="","","Decide on change order "&amp;B627&amp;": "&amp;H627&amp;" (+"&amp;CurSym&amp;" "&amp;FIXED(IF(J627="",0,J627),0)&amp;")")</f>
        <v/>
      </c>
    </row>
    <row r="628" ht="24" customHeight="1">
      <c r="B628" s="74" t="n"/>
      <c r="C628" s="109" t="n"/>
      <c r="D628" s="72" t="n"/>
      <c r="E628" s="72" t="n"/>
      <c r="F628" s="72" t="n"/>
      <c r="G628" s="72" t="n"/>
      <c r="H628" s="113" t="n"/>
      <c r="I628" s="72" t="n"/>
      <c r="J628" s="73" t="n"/>
      <c r="K628" s="89" t="n"/>
      <c r="L628" s="74" t="n"/>
      <c r="M628" s="109" t="n"/>
      <c r="N628" s="68">
        <f>IF(AND(H628="",J628=""),"",ForecastTotal+IF(L628="Approved",0,IF(J628="",0,J628)))</f>
        <v/>
      </c>
      <c r="O628" s="75">
        <f>IF(N628="","",ContAmt-MAX(0,N628-WorkBudget))</f>
        <v/>
      </c>
      <c r="P628" s="120">
        <f>IF(OR(N628="",ForecastEnd=""),"",ForecastEnd+IF(L628="Approved",0,IF(K628="",0,K628)))</f>
        <v/>
      </c>
      <c r="Q628" s="121">
        <f>IF(OR(N628="",WorkBudget=0),"",N628/WorkBudget-1)</f>
        <v/>
      </c>
      <c r="R628" s="79">
        <f>IF(N628="","",IF(N628&lt;=WorkBudget,0,IF(N628&lt;=TotalBudget,1,2)))</f>
        <v/>
      </c>
      <c r="S628" s="112">
        <f>IF(AND(OR(H628&lt;&gt;"",J628&lt;&gt;""),OR(L628="Pending",L628=""),C628&lt;&gt;""),C628+3,"")</f>
        <v/>
      </c>
      <c r="T628" s="79">
        <f>IF(S628="","",IF(AsOf&gt;S628,1,2))</f>
        <v/>
      </c>
      <c r="U628" s="79">
        <f>IF(T628="","","Decide on change order "&amp;B628&amp;": "&amp;H628&amp;" (+"&amp;CurSym&amp;" "&amp;FIXED(IF(J628="",0,J628),0)&amp;")")</f>
        <v/>
      </c>
    </row>
    <row r="629" ht="24" customHeight="1">
      <c r="B629" s="74" t="n"/>
      <c r="C629" s="109" t="n"/>
      <c r="D629" s="72" t="n"/>
      <c r="E629" s="72" t="n"/>
      <c r="F629" s="72" t="n"/>
      <c r="G629" s="72" t="n"/>
      <c r="H629" s="113" t="n"/>
      <c r="I629" s="72" t="n"/>
      <c r="J629" s="73" t="n"/>
      <c r="K629" s="89" t="n"/>
      <c r="L629" s="74" t="n"/>
      <c r="M629" s="109" t="n"/>
      <c r="N629" s="68">
        <f>IF(AND(H629="",J629=""),"",ForecastTotal+IF(L629="Approved",0,IF(J629="",0,J629)))</f>
        <v/>
      </c>
      <c r="O629" s="75">
        <f>IF(N629="","",ContAmt-MAX(0,N629-WorkBudget))</f>
        <v/>
      </c>
      <c r="P629" s="120">
        <f>IF(OR(N629="",ForecastEnd=""),"",ForecastEnd+IF(L629="Approved",0,IF(K629="",0,K629)))</f>
        <v/>
      </c>
      <c r="Q629" s="121">
        <f>IF(OR(N629="",WorkBudget=0),"",N629/WorkBudget-1)</f>
        <v/>
      </c>
      <c r="R629" s="79">
        <f>IF(N629="","",IF(N629&lt;=WorkBudget,0,IF(N629&lt;=TotalBudget,1,2)))</f>
        <v/>
      </c>
      <c r="S629" s="112">
        <f>IF(AND(OR(H629&lt;&gt;"",J629&lt;&gt;""),OR(L629="Pending",L629=""),C629&lt;&gt;""),C629+3,"")</f>
        <v/>
      </c>
      <c r="T629" s="79">
        <f>IF(S629="","",IF(AsOf&gt;S629,1,2))</f>
        <v/>
      </c>
      <c r="U629" s="79">
        <f>IF(T629="","","Decide on change order "&amp;B629&amp;": "&amp;H629&amp;" (+"&amp;CurSym&amp;" "&amp;FIXED(IF(J629="",0,J629),0)&amp;")")</f>
        <v/>
      </c>
    </row>
    <row r="630" ht="24" customHeight="1">
      <c r="B630" s="74" t="n"/>
      <c r="C630" s="109" t="n"/>
      <c r="D630" s="72" t="n"/>
      <c r="E630" s="72" t="n"/>
      <c r="F630" s="72" t="n"/>
      <c r="G630" s="72" t="n"/>
      <c r="H630" s="113" t="n"/>
      <c r="I630" s="72" t="n"/>
      <c r="J630" s="73" t="n"/>
      <c r="K630" s="89" t="n"/>
      <c r="L630" s="74" t="n"/>
      <c r="M630" s="109" t="n"/>
      <c r="N630" s="68">
        <f>IF(AND(H630="",J630=""),"",ForecastTotal+IF(L630="Approved",0,IF(J630="",0,J630)))</f>
        <v/>
      </c>
      <c r="O630" s="75">
        <f>IF(N630="","",ContAmt-MAX(0,N630-WorkBudget))</f>
        <v/>
      </c>
      <c r="P630" s="120">
        <f>IF(OR(N630="",ForecastEnd=""),"",ForecastEnd+IF(L630="Approved",0,IF(K630="",0,K630)))</f>
        <v/>
      </c>
      <c r="Q630" s="121">
        <f>IF(OR(N630="",WorkBudget=0),"",N630/WorkBudget-1)</f>
        <v/>
      </c>
      <c r="R630" s="79">
        <f>IF(N630="","",IF(N630&lt;=WorkBudget,0,IF(N630&lt;=TotalBudget,1,2)))</f>
        <v/>
      </c>
      <c r="S630" s="112">
        <f>IF(AND(OR(H630&lt;&gt;"",J630&lt;&gt;""),OR(L630="Pending",L630=""),C630&lt;&gt;""),C630+3,"")</f>
        <v/>
      </c>
      <c r="T630" s="79">
        <f>IF(S630="","",IF(AsOf&gt;S630,1,2))</f>
        <v/>
      </c>
      <c r="U630" s="79">
        <f>IF(T630="","","Decide on change order "&amp;B630&amp;": "&amp;H630&amp;" (+"&amp;CurSym&amp;" "&amp;FIXED(IF(J630="",0,J630),0)&amp;")")</f>
        <v/>
      </c>
    </row>
    <row r="631" ht="24" customHeight="1">
      <c r="B631" s="74" t="n"/>
      <c r="C631" s="109" t="n"/>
      <c r="D631" s="72" t="n"/>
      <c r="E631" s="72" t="n"/>
      <c r="F631" s="72" t="n"/>
      <c r="G631" s="72" t="n"/>
      <c r="H631" s="113" t="n"/>
      <c r="I631" s="72" t="n"/>
      <c r="J631" s="73" t="n"/>
      <c r="K631" s="89" t="n"/>
      <c r="L631" s="74" t="n"/>
      <c r="M631" s="109" t="n"/>
      <c r="N631" s="68">
        <f>IF(AND(H631="",J631=""),"",ForecastTotal+IF(L631="Approved",0,IF(J631="",0,J631)))</f>
        <v/>
      </c>
      <c r="O631" s="75">
        <f>IF(N631="","",ContAmt-MAX(0,N631-WorkBudget))</f>
        <v/>
      </c>
      <c r="P631" s="120">
        <f>IF(OR(N631="",ForecastEnd=""),"",ForecastEnd+IF(L631="Approved",0,IF(K631="",0,K631)))</f>
        <v/>
      </c>
      <c r="Q631" s="121">
        <f>IF(OR(N631="",WorkBudget=0),"",N631/WorkBudget-1)</f>
        <v/>
      </c>
      <c r="R631" s="79">
        <f>IF(N631="","",IF(N631&lt;=WorkBudget,0,IF(N631&lt;=TotalBudget,1,2)))</f>
        <v/>
      </c>
      <c r="S631" s="112">
        <f>IF(AND(OR(H631&lt;&gt;"",J631&lt;&gt;""),OR(L631="Pending",L631=""),C631&lt;&gt;""),C631+3,"")</f>
        <v/>
      </c>
      <c r="T631" s="79">
        <f>IF(S631="","",IF(AsOf&gt;S631,1,2))</f>
        <v/>
      </c>
      <c r="U631" s="79">
        <f>IF(T631="","","Decide on change order "&amp;B631&amp;": "&amp;H631&amp;" (+"&amp;CurSym&amp;" "&amp;FIXED(IF(J631="",0,J631),0)&amp;")")</f>
        <v/>
      </c>
    </row>
    <row r="632" ht="24" customHeight="1">
      <c r="B632" s="74" t="n"/>
      <c r="C632" s="109" t="n"/>
      <c r="D632" s="72" t="n"/>
      <c r="E632" s="72" t="n"/>
      <c r="F632" s="72" t="n"/>
      <c r="G632" s="72" t="n"/>
      <c r="H632" s="113" t="n"/>
      <c r="I632" s="72" t="n"/>
      <c r="J632" s="73" t="n"/>
      <c r="K632" s="89" t="n"/>
      <c r="L632" s="74" t="n"/>
      <c r="M632" s="109" t="n"/>
      <c r="N632" s="68">
        <f>IF(AND(H632="",J632=""),"",ForecastTotal+IF(L632="Approved",0,IF(J632="",0,J632)))</f>
        <v/>
      </c>
      <c r="O632" s="75">
        <f>IF(N632="","",ContAmt-MAX(0,N632-WorkBudget))</f>
        <v/>
      </c>
      <c r="P632" s="120">
        <f>IF(OR(N632="",ForecastEnd=""),"",ForecastEnd+IF(L632="Approved",0,IF(K632="",0,K632)))</f>
        <v/>
      </c>
      <c r="Q632" s="121">
        <f>IF(OR(N632="",WorkBudget=0),"",N632/WorkBudget-1)</f>
        <v/>
      </c>
      <c r="R632" s="79">
        <f>IF(N632="","",IF(N632&lt;=WorkBudget,0,IF(N632&lt;=TotalBudget,1,2)))</f>
        <v/>
      </c>
      <c r="S632" s="112">
        <f>IF(AND(OR(H632&lt;&gt;"",J632&lt;&gt;""),OR(L632="Pending",L632=""),C632&lt;&gt;""),C632+3,"")</f>
        <v/>
      </c>
      <c r="T632" s="79">
        <f>IF(S632="","",IF(AsOf&gt;S632,1,2))</f>
        <v/>
      </c>
      <c r="U632" s="79">
        <f>IF(T632="","","Decide on change order "&amp;B632&amp;": "&amp;H632&amp;" (+"&amp;CurSym&amp;" "&amp;FIXED(IF(J632="",0,J632),0)&amp;")")</f>
        <v/>
      </c>
    </row>
    <row r="633" ht="24" customHeight="1">
      <c r="B633" s="74" t="n"/>
      <c r="C633" s="109" t="n"/>
      <c r="D633" s="72" t="n"/>
      <c r="E633" s="72" t="n"/>
      <c r="F633" s="72" t="n"/>
      <c r="G633" s="72" t="n"/>
      <c r="H633" s="113" t="n"/>
      <c r="I633" s="72" t="n"/>
      <c r="J633" s="73" t="n"/>
      <c r="K633" s="89" t="n"/>
      <c r="L633" s="74" t="n"/>
      <c r="M633" s="109" t="n"/>
      <c r="N633" s="68">
        <f>IF(AND(H633="",J633=""),"",ForecastTotal+IF(L633="Approved",0,IF(J633="",0,J633)))</f>
        <v/>
      </c>
      <c r="O633" s="75">
        <f>IF(N633="","",ContAmt-MAX(0,N633-WorkBudget))</f>
        <v/>
      </c>
      <c r="P633" s="120">
        <f>IF(OR(N633="",ForecastEnd=""),"",ForecastEnd+IF(L633="Approved",0,IF(K633="",0,K633)))</f>
        <v/>
      </c>
      <c r="Q633" s="121">
        <f>IF(OR(N633="",WorkBudget=0),"",N633/WorkBudget-1)</f>
        <v/>
      </c>
      <c r="R633" s="79">
        <f>IF(N633="","",IF(N633&lt;=WorkBudget,0,IF(N633&lt;=TotalBudget,1,2)))</f>
        <v/>
      </c>
      <c r="S633" s="112">
        <f>IF(AND(OR(H633&lt;&gt;"",J633&lt;&gt;""),OR(L633="Pending",L633=""),C633&lt;&gt;""),C633+3,"")</f>
        <v/>
      </c>
      <c r="T633" s="79">
        <f>IF(S633="","",IF(AsOf&gt;S633,1,2))</f>
        <v/>
      </c>
      <c r="U633" s="79">
        <f>IF(T633="","","Decide on change order "&amp;B633&amp;": "&amp;H633&amp;" (+"&amp;CurSym&amp;" "&amp;FIXED(IF(J633="",0,J633),0)&amp;")")</f>
        <v/>
      </c>
    </row>
    <row r="634" ht="24" customHeight="1">
      <c r="B634" s="74" t="n"/>
      <c r="C634" s="109" t="n"/>
      <c r="D634" s="72" t="n"/>
      <c r="E634" s="72" t="n"/>
      <c r="F634" s="72" t="n"/>
      <c r="G634" s="72" t="n"/>
      <c r="H634" s="113" t="n"/>
      <c r="I634" s="72" t="n"/>
      <c r="J634" s="73" t="n"/>
      <c r="K634" s="89" t="n"/>
      <c r="L634" s="74" t="n"/>
      <c r="M634" s="109" t="n"/>
      <c r="N634" s="68">
        <f>IF(AND(H634="",J634=""),"",ForecastTotal+IF(L634="Approved",0,IF(J634="",0,J634)))</f>
        <v/>
      </c>
      <c r="O634" s="75">
        <f>IF(N634="","",ContAmt-MAX(0,N634-WorkBudget))</f>
        <v/>
      </c>
      <c r="P634" s="120">
        <f>IF(OR(N634="",ForecastEnd=""),"",ForecastEnd+IF(L634="Approved",0,IF(K634="",0,K634)))</f>
        <v/>
      </c>
      <c r="Q634" s="121">
        <f>IF(OR(N634="",WorkBudget=0),"",N634/WorkBudget-1)</f>
        <v/>
      </c>
      <c r="R634" s="79">
        <f>IF(N634="","",IF(N634&lt;=WorkBudget,0,IF(N634&lt;=TotalBudget,1,2)))</f>
        <v/>
      </c>
      <c r="S634" s="112">
        <f>IF(AND(OR(H634&lt;&gt;"",J634&lt;&gt;""),OR(L634="Pending",L634=""),C634&lt;&gt;""),C634+3,"")</f>
        <v/>
      </c>
      <c r="T634" s="79">
        <f>IF(S634="","",IF(AsOf&gt;S634,1,2))</f>
        <v/>
      </c>
      <c r="U634" s="79">
        <f>IF(T634="","","Decide on change order "&amp;B634&amp;": "&amp;H634&amp;" (+"&amp;CurSym&amp;" "&amp;FIXED(IF(J634="",0,J634),0)&amp;")")</f>
        <v/>
      </c>
    </row>
    <row r="635" ht="24" customHeight="1">
      <c r="B635" s="74" t="n"/>
      <c r="C635" s="109" t="n"/>
      <c r="D635" s="72" t="n"/>
      <c r="E635" s="72" t="n"/>
      <c r="F635" s="72" t="n"/>
      <c r="G635" s="72" t="n"/>
      <c r="H635" s="113" t="n"/>
      <c r="I635" s="72" t="n"/>
      <c r="J635" s="73" t="n"/>
      <c r="K635" s="89" t="n"/>
      <c r="L635" s="74" t="n"/>
      <c r="M635" s="109" t="n"/>
      <c r="N635" s="68">
        <f>IF(AND(H635="",J635=""),"",ForecastTotal+IF(L635="Approved",0,IF(J635="",0,J635)))</f>
        <v/>
      </c>
      <c r="O635" s="75">
        <f>IF(N635="","",ContAmt-MAX(0,N635-WorkBudget))</f>
        <v/>
      </c>
      <c r="P635" s="120">
        <f>IF(OR(N635="",ForecastEnd=""),"",ForecastEnd+IF(L635="Approved",0,IF(K635="",0,K635)))</f>
        <v/>
      </c>
      <c r="Q635" s="121">
        <f>IF(OR(N635="",WorkBudget=0),"",N635/WorkBudget-1)</f>
        <v/>
      </c>
      <c r="R635" s="79">
        <f>IF(N635="","",IF(N635&lt;=WorkBudget,0,IF(N635&lt;=TotalBudget,1,2)))</f>
        <v/>
      </c>
      <c r="S635" s="112">
        <f>IF(AND(OR(H635&lt;&gt;"",J635&lt;&gt;""),OR(L635="Pending",L635=""),C635&lt;&gt;""),C635+3,"")</f>
        <v/>
      </c>
      <c r="T635" s="79">
        <f>IF(S635="","",IF(AsOf&gt;S635,1,2))</f>
        <v/>
      </c>
      <c r="U635" s="79">
        <f>IF(T635="","","Decide on change order "&amp;B635&amp;": "&amp;H635&amp;" (+"&amp;CurSym&amp;" "&amp;FIXED(IF(J635="",0,J635),0)&amp;")")</f>
        <v/>
      </c>
    </row>
    <row r="636" ht="24" customHeight="1">
      <c r="B636" s="74" t="n"/>
      <c r="C636" s="109" t="n"/>
      <c r="D636" s="72" t="n"/>
      <c r="E636" s="72" t="n"/>
      <c r="F636" s="72" t="n"/>
      <c r="G636" s="72" t="n"/>
      <c r="H636" s="113" t="n"/>
      <c r="I636" s="72" t="n"/>
      <c r="J636" s="73" t="n"/>
      <c r="K636" s="89" t="n"/>
      <c r="L636" s="74" t="n"/>
      <c r="M636" s="109" t="n"/>
      <c r="N636" s="68">
        <f>IF(AND(H636="",J636=""),"",ForecastTotal+IF(L636="Approved",0,IF(J636="",0,J636)))</f>
        <v/>
      </c>
      <c r="O636" s="75">
        <f>IF(N636="","",ContAmt-MAX(0,N636-WorkBudget))</f>
        <v/>
      </c>
      <c r="P636" s="120">
        <f>IF(OR(N636="",ForecastEnd=""),"",ForecastEnd+IF(L636="Approved",0,IF(K636="",0,K636)))</f>
        <v/>
      </c>
      <c r="Q636" s="121">
        <f>IF(OR(N636="",WorkBudget=0),"",N636/WorkBudget-1)</f>
        <v/>
      </c>
      <c r="R636" s="79">
        <f>IF(N636="","",IF(N636&lt;=WorkBudget,0,IF(N636&lt;=TotalBudget,1,2)))</f>
        <v/>
      </c>
      <c r="S636" s="112">
        <f>IF(AND(OR(H636&lt;&gt;"",J636&lt;&gt;""),OR(L636="Pending",L636=""),C636&lt;&gt;""),C636+3,"")</f>
        <v/>
      </c>
      <c r="T636" s="79">
        <f>IF(S636="","",IF(AsOf&gt;S636,1,2))</f>
        <v/>
      </c>
      <c r="U636" s="79">
        <f>IF(T636="","","Decide on change order "&amp;B636&amp;": "&amp;H636&amp;" (+"&amp;CurSym&amp;" "&amp;FIXED(IF(J636="",0,J636),0)&amp;")")</f>
        <v/>
      </c>
    </row>
    <row r="637" ht="24" customHeight="1">
      <c r="B637" s="74" t="n"/>
      <c r="C637" s="109" t="n"/>
      <c r="D637" s="72" t="n"/>
      <c r="E637" s="72" t="n"/>
      <c r="F637" s="72" t="n"/>
      <c r="G637" s="72" t="n"/>
      <c r="H637" s="113" t="n"/>
      <c r="I637" s="72" t="n"/>
      <c r="J637" s="73" t="n"/>
      <c r="K637" s="89" t="n"/>
      <c r="L637" s="74" t="n"/>
      <c r="M637" s="109" t="n"/>
      <c r="N637" s="68">
        <f>IF(AND(H637="",J637=""),"",ForecastTotal+IF(L637="Approved",0,IF(J637="",0,J637)))</f>
        <v/>
      </c>
      <c r="O637" s="75">
        <f>IF(N637="","",ContAmt-MAX(0,N637-WorkBudget))</f>
        <v/>
      </c>
      <c r="P637" s="120">
        <f>IF(OR(N637="",ForecastEnd=""),"",ForecastEnd+IF(L637="Approved",0,IF(K637="",0,K637)))</f>
        <v/>
      </c>
      <c r="Q637" s="121">
        <f>IF(OR(N637="",WorkBudget=0),"",N637/WorkBudget-1)</f>
        <v/>
      </c>
      <c r="R637" s="79">
        <f>IF(N637="","",IF(N637&lt;=WorkBudget,0,IF(N637&lt;=TotalBudget,1,2)))</f>
        <v/>
      </c>
      <c r="S637" s="112">
        <f>IF(AND(OR(H637&lt;&gt;"",J637&lt;&gt;""),OR(L637="Pending",L637=""),C637&lt;&gt;""),C637+3,"")</f>
        <v/>
      </c>
      <c r="T637" s="79">
        <f>IF(S637="","",IF(AsOf&gt;S637,1,2))</f>
        <v/>
      </c>
      <c r="U637" s="79">
        <f>IF(T637="","","Decide on change order "&amp;B637&amp;": "&amp;H637&amp;" (+"&amp;CurSym&amp;" "&amp;FIXED(IF(J637="",0,J637),0)&amp;")")</f>
        <v/>
      </c>
    </row>
    <row r="638" ht="24" customHeight="1">
      <c r="B638" s="74" t="n"/>
      <c r="C638" s="109" t="n"/>
      <c r="D638" s="72" t="n"/>
      <c r="E638" s="72" t="n"/>
      <c r="F638" s="72" t="n"/>
      <c r="G638" s="72" t="n"/>
      <c r="H638" s="113" t="n"/>
      <c r="I638" s="72" t="n"/>
      <c r="J638" s="73" t="n"/>
      <c r="K638" s="89" t="n"/>
      <c r="L638" s="74" t="n"/>
      <c r="M638" s="109" t="n"/>
      <c r="N638" s="68">
        <f>IF(AND(H638="",J638=""),"",ForecastTotal+IF(L638="Approved",0,IF(J638="",0,J638)))</f>
        <v/>
      </c>
      <c r="O638" s="75">
        <f>IF(N638="","",ContAmt-MAX(0,N638-WorkBudget))</f>
        <v/>
      </c>
      <c r="P638" s="120">
        <f>IF(OR(N638="",ForecastEnd=""),"",ForecastEnd+IF(L638="Approved",0,IF(K638="",0,K638)))</f>
        <v/>
      </c>
      <c r="Q638" s="121">
        <f>IF(OR(N638="",WorkBudget=0),"",N638/WorkBudget-1)</f>
        <v/>
      </c>
      <c r="R638" s="79">
        <f>IF(N638="","",IF(N638&lt;=WorkBudget,0,IF(N638&lt;=TotalBudget,1,2)))</f>
        <v/>
      </c>
      <c r="S638" s="112">
        <f>IF(AND(OR(H638&lt;&gt;"",J638&lt;&gt;""),OR(L638="Pending",L638=""),C638&lt;&gt;""),C638+3,"")</f>
        <v/>
      </c>
      <c r="T638" s="79">
        <f>IF(S638="","",IF(AsOf&gt;S638,1,2))</f>
        <v/>
      </c>
      <c r="U638" s="79">
        <f>IF(T638="","","Decide on change order "&amp;B638&amp;": "&amp;H638&amp;" (+"&amp;CurSym&amp;" "&amp;FIXED(IF(J638="",0,J638),0)&amp;")")</f>
        <v/>
      </c>
    </row>
    <row r="639" ht="24" customHeight="1">
      <c r="B639" s="74" t="n"/>
      <c r="C639" s="109" t="n"/>
      <c r="D639" s="72" t="n"/>
      <c r="E639" s="72" t="n"/>
      <c r="F639" s="72" t="n"/>
      <c r="G639" s="72" t="n"/>
      <c r="H639" s="113" t="n"/>
      <c r="I639" s="72" t="n"/>
      <c r="J639" s="73" t="n"/>
      <c r="K639" s="89" t="n"/>
      <c r="L639" s="74" t="n"/>
      <c r="M639" s="109" t="n"/>
      <c r="N639" s="68">
        <f>IF(AND(H639="",J639=""),"",ForecastTotal+IF(L639="Approved",0,IF(J639="",0,J639)))</f>
        <v/>
      </c>
      <c r="O639" s="75">
        <f>IF(N639="","",ContAmt-MAX(0,N639-WorkBudget))</f>
        <v/>
      </c>
      <c r="P639" s="120">
        <f>IF(OR(N639="",ForecastEnd=""),"",ForecastEnd+IF(L639="Approved",0,IF(K639="",0,K639)))</f>
        <v/>
      </c>
      <c r="Q639" s="121">
        <f>IF(OR(N639="",WorkBudget=0),"",N639/WorkBudget-1)</f>
        <v/>
      </c>
      <c r="R639" s="79">
        <f>IF(N639="","",IF(N639&lt;=WorkBudget,0,IF(N639&lt;=TotalBudget,1,2)))</f>
        <v/>
      </c>
      <c r="S639" s="112">
        <f>IF(AND(OR(H639&lt;&gt;"",J639&lt;&gt;""),OR(L639="Pending",L639=""),C639&lt;&gt;""),C639+3,"")</f>
        <v/>
      </c>
      <c r="T639" s="79">
        <f>IF(S639="","",IF(AsOf&gt;S639,1,2))</f>
        <v/>
      </c>
      <c r="U639" s="79">
        <f>IF(T639="","","Decide on change order "&amp;B639&amp;": "&amp;H639&amp;" (+"&amp;CurSym&amp;" "&amp;FIXED(IF(J639="",0,J639),0)&amp;")")</f>
        <v/>
      </c>
    </row>
    <row r="640" ht="24" customHeight="1">
      <c r="B640" s="74" t="n"/>
      <c r="C640" s="109" t="n"/>
      <c r="D640" s="72" t="n"/>
      <c r="E640" s="72" t="n"/>
      <c r="F640" s="72" t="n"/>
      <c r="G640" s="72" t="n"/>
      <c r="H640" s="113" t="n"/>
      <c r="I640" s="72" t="n"/>
      <c r="J640" s="73" t="n"/>
      <c r="K640" s="89" t="n"/>
      <c r="L640" s="74" t="n"/>
      <c r="M640" s="109" t="n"/>
      <c r="N640" s="68">
        <f>IF(AND(H640="",J640=""),"",ForecastTotal+IF(L640="Approved",0,IF(J640="",0,J640)))</f>
        <v/>
      </c>
      <c r="O640" s="75">
        <f>IF(N640="","",ContAmt-MAX(0,N640-WorkBudget))</f>
        <v/>
      </c>
      <c r="P640" s="120">
        <f>IF(OR(N640="",ForecastEnd=""),"",ForecastEnd+IF(L640="Approved",0,IF(K640="",0,K640)))</f>
        <v/>
      </c>
      <c r="Q640" s="121">
        <f>IF(OR(N640="",WorkBudget=0),"",N640/WorkBudget-1)</f>
        <v/>
      </c>
      <c r="R640" s="79">
        <f>IF(N640="","",IF(N640&lt;=WorkBudget,0,IF(N640&lt;=TotalBudget,1,2)))</f>
        <v/>
      </c>
      <c r="S640" s="112">
        <f>IF(AND(OR(H640&lt;&gt;"",J640&lt;&gt;""),OR(L640="Pending",L640=""),C640&lt;&gt;""),C640+3,"")</f>
        <v/>
      </c>
      <c r="T640" s="79">
        <f>IF(S640="","",IF(AsOf&gt;S640,1,2))</f>
        <v/>
      </c>
      <c r="U640" s="79">
        <f>IF(T640="","","Decide on change order "&amp;B640&amp;": "&amp;H640&amp;" (+"&amp;CurSym&amp;" "&amp;FIXED(IF(J640="",0,J640),0)&amp;")")</f>
        <v/>
      </c>
    </row>
    <row r="641" ht="24" customHeight="1">
      <c r="B641" s="74" t="n"/>
      <c r="C641" s="109" t="n"/>
      <c r="D641" s="72" t="n"/>
      <c r="E641" s="72" t="n"/>
      <c r="F641" s="72" t="n"/>
      <c r="G641" s="72" t="n"/>
      <c r="H641" s="113" t="n"/>
      <c r="I641" s="72" t="n"/>
      <c r="J641" s="73" t="n"/>
      <c r="K641" s="89" t="n"/>
      <c r="L641" s="74" t="n"/>
      <c r="M641" s="109" t="n"/>
      <c r="N641" s="68">
        <f>IF(AND(H641="",J641=""),"",ForecastTotal+IF(L641="Approved",0,IF(J641="",0,J641)))</f>
        <v/>
      </c>
      <c r="O641" s="75">
        <f>IF(N641="","",ContAmt-MAX(0,N641-WorkBudget))</f>
        <v/>
      </c>
      <c r="P641" s="120">
        <f>IF(OR(N641="",ForecastEnd=""),"",ForecastEnd+IF(L641="Approved",0,IF(K641="",0,K641)))</f>
        <v/>
      </c>
      <c r="Q641" s="121">
        <f>IF(OR(N641="",WorkBudget=0),"",N641/WorkBudget-1)</f>
        <v/>
      </c>
      <c r="R641" s="79">
        <f>IF(N641="","",IF(N641&lt;=WorkBudget,0,IF(N641&lt;=TotalBudget,1,2)))</f>
        <v/>
      </c>
      <c r="S641" s="112">
        <f>IF(AND(OR(H641&lt;&gt;"",J641&lt;&gt;""),OR(L641="Pending",L641=""),C641&lt;&gt;""),C641+3,"")</f>
        <v/>
      </c>
      <c r="T641" s="79">
        <f>IF(S641="","",IF(AsOf&gt;S641,1,2))</f>
        <v/>
      </c>
      <c r="U641" s="79">
        <f>IF(T641="","","Decide on change order "&amp;B641&amp;": "&amp;H641&amp;" (+"&amp;CurSym&amp;" "&amp;FIXED(IF(J641="",0,J641),0)&amp;")")</f>
        <v/>
      </c>
    </row>
    <row r="642" ht="24" customHeight="1">
      <c r="B642" s="74" t="n"/>
      <c r="C642" s="109" t="n"/>
      <c r="D642" s="72" t="n"/>
      <c r="E642" s="72" t="n"/>
      <c r="F642" s="72" t="n"/>
      <c r="G642" s="72" t="n"/>
      <c r="H642" s="113" t="n"/>
      <c r="I642" s="72" t="n"/>
      <c r="J642" s="73" t="n"/>
      <c r="K642" s="89" t="n"/>
      <c r="L642" s="74" t="n"/>
      <c r="M642" s="109" t="n"/>
      <c r="N642" s="68">
        <f>IF(AND(H642="",J642=""),"",ForecastTotal+IF(L642="Approved",0,IF(J642="",0,J642)))</f>
        <v/>
      </c>
      <c r="O642" s="75">
        <f>IF(N642="","",ContAmt-MAX(0,N642-WorkBudget))</f>
        <v/>
      </c>
      <c r="P642" s="120">
        <f>IF(OR(N642="",ForecastEnd=""),"",ForecastEnd+IF(L642="Approved",0,IF(K642="",0,K642)))</f>
        <v/>
      </c>
      <c r="Q642" s="121">
        <f>IF(OR(N642="",WorkBudget=0),"",N642/WorkBudget-1)</f>
        <v/>
      </c>
      <c r="R642" s="79">
        <f>IF(N642="","",IF(N642&lt;=WorkBudget,0,IF(N642&lt;=TotalBudget,1,2)))</f>
        <v/>
      </c>
      <c r="S642" s="112">
        <f>IF(AND(OR(H642&lt;&gt;"",J642&lt;&gt;""),OR(L642="Pending",L642=""),C642&lt;&gt;""),C642+3,"")</f>
        <v/>
      </c>
      <c r="T642" s="79">
        <f>IF(S642="","",IF(AsOf&gt;S642,1,2))</f>
        <v/>
      </c>
      <c r="U642" s="79">
        <f>IF(T642="","","Decide on change order "&amp;B642&amp;": "&amp;H642&amp;" (+"&amp;CurSym&amp;" "&amp;FIXED(IF(J642="",0,J642),0)&amp;")")</f>
        <v/>
      </c>
    </row>
    <row r="643" ht="24" customHeight="1">
      <c r="B643" s="74" t="n"/>
      <c r="C643" s="109" t="n"/>
      <c r="D643" s="72" t="n"/>
      <c r="E643" s="72" t="n"/>
      <c r="F643" s="72" t="n"/>
      <c r="G643" s="72" t="n"/>
      <c r="H643" s="113" t="n"/>
      <c r="I643" s="72" t="n"/>
      <c r="J643" s="73" t="n"/>
      <c r="K643" s="89" t="n"/>
      <c r="L643" s="74" t="n"/>
      <c r="M643" s="109" t="n"/>
      <c r="N643" s="68">
        <f>IF(AND(H643="",J643=""),"",ForecastTotal+IF(L643="Approved",0,IF(J643="",0,J643)))</f>
        <v/>
      </c>
      <c r="O643" s="75">
        <f>IF(N643="","",ContAmt-MAX(0,N643-WorkBudget))</f>
        <v/>
      </c>
      <c r="P643" s="120">
        <f>IF(OR(N643="",ForecastEnd=""),"",ForecastEnd+IF(L643="Approved",0,IF(K643="",0,K643)))</f>
        <v/>
      </c>
      <c r="Q643" s="121">
        <f>IF(OR(N643="",WorkBudget=0),"",N643/WorkBudget-1)</f>
        <v/>
      </c>
      <c r="R643" s="79">
        <f>IF(N643="","",IF(N643&lt;=WorkBudget,0,IF(N643&lt;=TotalBudget,1,2)))</f>
        <v/>
      </c>
      <c r="S643" s="112">
        <f>IF(AND(OR(H643&lt;&gt;"",J643&lt;&gt;""),OR(L643="Pending",L643=""),C643&lt;&gt;""),C643+3,"")</f>
        <v/>
      </c>
      <c r="T643" s="79">
        <f>IF(S643="","",IF(AsOf&gt;S643,1,2))</f>
        <v/>
      </c>
      <c r="U643" s="79">
        <f>IF(T643="","","Decide on change order "&amp;B643&amp;": "&amp;H643&amp;" (+"&amp;CurSym&amp;" "&amp;FIXED(IF(J643="",0,J643),0)&amp;")")</f>
        <v/>
      </c>
    </row>
    <row r="644" ht="24" customHeight="1">
      <c r="B644" s="74" t="n"/>
      <c r="C644" s="109" t="n"/>
      <c r="D644" s="72" t="n"/>
      <c r="E644" s="72" t="n"/>
      <c r="F644" s="72" t="n"/>
      <c r="G644" s="72" t="n"/>
      <c r="H644" s="113" t="n"/>
      <c r="I644" s="72" t="n"/>
      <c r="J644" s="73" t="n"/>
      <c r="K644" s="89" t="n"/>
      <c r="L644" s="74" t="n"/>
      <c r="M644" s="109" t="n"/>
      <c r="N644" s="68">
        <f>IF(AND(H644="",J644=""),"",ForecastTotal+IF(L644="Approved",0,IF(J644="",0,J644)))</f>
        <v/>
      </c>
      <c r="O644" s="75">
        <f>IF(N644="","",ContAmt-MAX(0,N644-WorkBudget))</f>
        <v/>
      </c>
      <c r="P644" s="120">
        <f>IF(OR(N644="",ForecastEnd=""),"",ForecastEnd+IF(L644="Approved",0,IF(K644="",0,K644)))</f>
        <v/>
      </c>
      <c r="Q644" s="121">
        <f>IF(OR(N644="",WorkBudget=0),"",N644/WorkBudget-1)</f>
        <v/>
      </c>
      <c r="R644" s="79">
        <f>IF(N644="","",IF(N644&lt;=WorkBudget,0,IF(N644&lt;=TotalBudget,1,2)))</f>
        <v/>
      </c>
      <c r="S644" s="112">
        <f>IF(AND(OR(H644&lt;&gt;"",J644&lt;&gt;""),OR(L644="Pending",L644=""),C644&lt;&gt;""),C644+3,"")</f>
        <v/>
      </c>
      <c r="T644" s="79">
        <f>IF(S644="","",IF(AsOf&gt;S644,1,2))</f>
        <v/>
      </c>
      <c r="U644" s="79">
        <f>IF(T644="","","Decide on change order "&amp;B644&amp;": "&amp;H644&amp;" (+"&amp;CurSym&amp;" "&amp;FIXED(IF(J644="",0,J644),0)&amp;")")</f>
        <v/>
      </c>
    </row>
    <row r="645" ht="24" customHeight="1">
      <c r="B645" s="74" t="n"/>
      <c r="C645" s="109" t="n"/>
      <c r="D645" s="72" t="n"/>
      <c r="E645" s="72" t="n"/>
      <c r="F645" s="72" t="n"/>
      <c r="G645" s="72" t="n"/>
      <c r="H645" s="113" t="n"/>
      <c r="I645" s="72" t="n"/>
      <c r="J645" s="73" t="n"/>
      <c r="K645" s="89" t="n"/>
      <c r="L645" s="74" t="n"/>
      <c r="M645" s="109" t="n"/>
      <c r="N645" s="68">
        <f>IF(AND(H645="",J645=""),"",ForecastTotal+IF(L645="Approved",0,IF(J645="",0,J645)))</f>
        <v/>
      </c>
      <c r="O645" s="75">
        <f>IF(N645="","",ContAmt-MAX(0,N645-WorkBudget))</f>
        <v/>
      </c>
      <c r="P645" s="120">
        <f>IF(OR(N645="",ForecastEnd=""),"",ForecastEnd+IF(L645="Approved",0,IF(K645="",0,K645)))</f>
        <v/>
      </c>
      <c r="Q645" s="121">
        <f>IF(OR(N645="",WorkBudget=0),"",N645/WorkBudget-1)</f>
        <v/>
      </c>
      <c r="R645" s="79">
        <f>IF(N645="","",IF(N645&lt;=WorkBudget,0,IF(N645&lt;=TotalBudget,1,2)))</f>
        <v/>
      </c>
      <c r="S645" s="112">
        <f>IF(AND(OR(H645&lt;&gt;"",J645&lt;&gt;""),OR(L645="Pending",L645=""),C645&lt;&gt;""),C645+3,"")</f>
        <v/>
      </c>
      <c r="T645" s="79">
        <f>IF(S645="","",IF(AsOf&gt;S645,1,2))</f>
        <v/>
      </c>
      <c r="U645" s="79">
        <f>IF(T645="","","Decide on change order "&amp;B645&amp;": "&amp;H645&amp;" (+"&amp;CurSym&amp;" "&amp;FIXED(IF(J645="",0,J645),0)&amp;")")</f>
        <v/>
      </c>
    </row>
    <row r="646" ht="24" customHeight="1">
      <c r="B646" s="74" t="n"/>
      <c r="C646" s="109" t="n"/>
      <c r="D646" s="72" t="n"/>
      <c r="E646" s="72" t="n"/>
      <c r="F646" s="72" t="n"/>
      <c r="G646" s="72" t="n"/>
      <c r="H646" s="113" t="n"/>
      <c r="I646" s="72" t="n"/>
      <c r="J646" s="73" t="n"/>
      <c r="K646" s="89" t="n"/>
      <c r="L646" s="74" t="n"/>
      <c r="M646" s="109" t="n"/>
      <c r="N646" s="68">
        <f>IF(AND(H646="",J646=""),"",ForecastTotal+IF(L646="Approved",0,IF(J646="",0,J646)))</f>
        <v/>
      </c>
      <c r="O646" s="75">
        <f>IF(N646="","",ContAmt-MAX(0,N646-WorkBudget))</f>
        <v/>
      </c>
      <c r="P646" s="120">
        <f>IF(OR(N646="",ForecastEnd=""),"",ForecastEnd+IF(L646="Approved",0,IF(K646="",0,K646)))</f>
        <v/>
      </c>
      <c r="Q646" s="121">
        <f>IF(OR(N646="",WorkBudget=0),"",N646/WorkBudget-1)</f>
        <v/>
      </c>
      <c r="R646" s="79">
        <f>IF(N646="","",IF(N646&lt;=WorkBudget,0,IF(N646&lt;=TotalBudget,1,2)))</f>
        <v/>
      </c>
      <c r="S646" s="112">
        <f>IF(AND(OR(H646&lt;&gt;"",J646&lt;&gt;""),OR(L646="Pending",L646=""),C646&lt;&gt;""),C646+3,"")</f>
        <v/>
      </c>
      <c r="T646" s="79">
        <f>IF(S646="","",IF(AsOf&gt;S646,1,2))</f>
        <v/>
      </c>
      <c r="U646" s="79">
        <f>IF(T646="","","Decide on change order "&amp;B646&amp;": "&amp;H646&amp;" (+"&amp;CurSym&amp;" "&amp;FIXED(IF(J646="",0,J646),0)&amp;")")</f>
        <v/>
      </c>
    </row>
    <row r="647" ht="24" customHeight="1">
      <c r="B647" s="74" t="n"/>
      <c r="C647" s="109" t="n"/>
      <c r="D647" s="72" t="n"/>
      <c r="E647" s="72" t="n"/>
      <c r="F647" s="72" t="n"/>
      <c r="G647" s="72" t="n"/>
      <c r="H647" s="113" t="n"/>
      <c r="I647" s="72" t="n"/>
      <c r="J647" s="73" t="n"/>
      <c r="K647" s="89" t="n"/>
      <c r="L647" s="74" t="n"/>
      <c r="M647" s="109" t="n"/>
      <c r="N647" s="68">
        <f>IF(AND(H647="",J647=""),"",ForecastTotal+IF(L647="Approved",0,IF(J647="",0,J647)))</f>
        <v/>
      </c>
      <c r="O647" s="75">
        <f>IF(N647="","",ContAmt-MAX(0,N647-WorkBudget))</f>
        <v/>
      </c>
      <c r="P647" s="120">
        <f>IF(OR(N647="",ForecastEnd=""),"",ForecastEnd+IF(L647="Approved",0,IF(K647="",0,K647)))</f>
        <v/>
      </c>
      <c r="Q647" s="121">
        <f>IF(OR(N647="",WorkBudget=0),"",N647/WorkBudget-1)</f>
        <v/>
      </c>
      <c r="R647" s="79">
        <f>IF(N647="","",IF(N647&lt;=WorkBudget,0,IF(N647&lt;=TotalBudget,1,2)))</f>
        <v/>
      </c>
      <c r="S647" s="112">
        <f>IF(AND(OR(H647&lt;&gt;"",J647&lt;&gt;""),OR(L647="Pending",L647=""),C647&lt;&gt;""),C647+3,"")</f>
        <v/>
      </c>
      <c r="T647" s="79">
        <f>IF(S647="","",IF(AsOf&gt;S647,1,2))</f>
        <v/>
      </c>
      <c r="U647" s="79">
        <f>IF(T647="","","Decide on change order "&amp;B647&amp;": "&amp;H647&amp;" (+"&amp;CurSym&amp;" "&amp;FIXED(IF(J647="",0,J647),0)&amp;")")</f>
        <v/>
      </c>
    </row>
    <row r="648" ht="24" customHeight="1">
      <c r="B648" s="74" t="n"/>
      <c r="C648" s="109" t="n"/>
      <c r="D648" s="72" t="n"/>
      <c r="E648" s="72" t="n"/>
      <c r="F648" s="72" t="n"/>
      <c r="G648" s="72" t="n"/>
      <c r="H648" s="113" t="n"/>
      <c r="I648" s="72" t="n"/>
      <c r="J648" s="73" t="n"/>
      <c r="K648" s="89" t="n"/>
      <c r="L648" s="74" t="n"/>
      <c r="M648" s="109" t="n"/>
      <c r="N648" s="68">
        <f>IF(AND(H648="",J648=""),"",ForecastTotal+IF(L648="Approved",0,IF(J648="",0,J648)))</f>
        <v/>
      </c>
      <c r="O648" s="75">
        <f>IF(N648="","",ContAmt-MAX(0,N648-WorkBudget))</f>
        <v/>
      </c>
      <c r="P648" s="120">
        <f>IF(OR(N648="",ForecastEnd=""),"",ForecastEnd+IF(L648="Approved",0,IF(K648="",0,K648)))</f>
        <v/>
      </c>
      <c r="Q648" s="121">
        <f>IF(OR(N648="",WorkBudget=0),"",N648/WorkBudget-1)</f>
        <v/>
      </c>
      <c r="R648" s="79">
        <f>IF(N648="","",IF(N648&lt;=WorkBudget,0,IF(N648&lt;=TotalBudget,1,2)))</f>
        <v/>
      </c>
      <c r="S648" s="112">
        <f>IF(AND(OR(H648&lt;&gt;"",J648&lt;&gt;""),OR(L648="Pending",L648=""),C648&lt;&gt;""),C648+3,"")</f>
        <v/>
      </c>
      <c r="T648" s="79">
        <f>IF(S648="","",IF(AsOf&gt;S648,1,2))</f>
        <v/>
      </c>
      <c r="U648" s="79">
        <f>IF(T648="","","Decide on change order "&amp;B648&amp;": "&amp;H648&amp;" (+"&amp;CurSym&amp;" "&amp;FIXED(IF(J648="",0,J648),0)&amp;")")</f>
        <v/>
      </c>
    </row>
    <row r="649" ht="24" customHeight="1">
      <c r="B649" s="74" t="n"/>
      <c r="C649" s="109" t="n"/>
      <c r="D649" s="72" t="n"/>
      <c r="E649" s="72" t="n"/>
      <c r="F649" s="72" t="n"/>
      <c r="G649" s="72" t="n"/>
      <c r="H649" s="113" t="n"/>
      <c r="I649" s="72" t="n"/>
      <c r="J649" s="73" t="n"/>
      <c r="K649" s="89" t="n"/>
      <c r="L649" s="74" t="n"/>
      <c r="M649" s="109" t="n"/>
      <c r="N649" s="68">
        <f>IF(AND(H649="",J649=""),"",ForecastTotal+IF(L649="Approved",0,IF(J649="",0,J649)))</f>
        <v/>
      </c>
      <c r="O649" s="75">
        <f>IF(N649="","",ContAmt-MAX(0,N649-WorkBudget))</f>
        <v/>
      </c>
      <c r="P649" s="120">
        <f>IF(OR(N649="",ForecastEnd=""),"",ForecastEnd+IF(L649="Approved",0,IF(K649="",0,K649)))</f>
        <v/>
      </c>
      <c r="Q649" s="121">
        <f>IF(OR(N649="",WorkBudget=0),"",N649/WorkBudget-1)</f>
        <v/>
      </c>
      <c r="R649" s="79">
        <f>IF(N649="","",IF(N649&lt;=WorkBudget,0,IF(N649&lt;=TotalBudget,1,2)))</f>
        <v/>
      </c>
      <c r="S649" s="112">
        <f>IF(AND(OR(H649&lt;&gt;"",J649&lt;&gt;""),OR(L649="Pending",L649=""),C649&lt;&gt;""),C649+3,"")</f>
        <v/>
      </c>
      <c r="T649" s="79">
        <f>IF(S649="","",IF(AsOf&gt;S649,1,2))</f>
        <v/>
      </c>
      <c r="U649" s="79">
        <f>IF(T649="","","Decide on change order "&amp;B649&amp;": "&amp;H649&amp;" (+"&amp;CurSym&amp;" "&amp;FIXED(IF(J649="",0,J649),0)&amp;")")</f>
        <v/>
      </c>
    </row>
    <row r="650" ht="24" customHeight="1">
      <c r="B650" s="74" t="n"/>
      <c r="C650" s="109" t="n"/>
      <c r="D650" s="72" t="n"/>
      <c r="E650" s="72" t="n"/>
      <c r="F650" s="72" t="n"/>
      <c r="G650" s="72" t="n"/>
      <c r="H650" s="113" t="n"/>
      <c r="I650" s="72" t="n"/>
      <c r="J650" s="73" t="n"/>
      <c r="K650" s="89" t="n"/>
      <c r="L650" s="74" t="n"/>
      <c r="M650" s="109" t="n"/>
      <c r="N650" s="68">
        <f>IF(AND(H650="",J650=""),"",ForecastTotal+IF(L650="Approved",0,IF(J650="",0,J650)))</f>
        <v/>
      </c>
      <c r="O650" s="75">
        <f>IF(N650="","",ContAmt-MAX(0,N650-WorkBudget))</f>
        <v/>
      </c>
      <c r="P650" s="120">
        <f>IF(OR(N650="",ForecastEnd=""),"",ForecastEnd+IF(L650="Approved",0,IF(K650="",0,K650)))</f>
        <v/>
      </c>
      <c r="Q650" s="121">
        <f>IF(OR(N650="",WorkBudget=0),"",N650/WorkBudget-1)</f>
        <v/>
      </c>
      <c r="R650" s="79">
        <f>IF(N650="","",IF(N650&lt;=WorkBudget,0,IF(N650&lt;=TotalBudget,1,2)))</f>
        <v/>
      </c>
      <c r="S650" s="112">
        <f>IF(AND(OR(H650&lt;&gt;"",J650&lt;&gt;""),OR(L650="Pending",L650=""),C650&lt;&gt;""),C650+3,"")</f>
        <v/>
      </c>
      <c r="T650" s="79">
        <f>IF(S650="","",IF(AsOf&gt;S650,1,2))</f>
        <v/>
      </c>
      <c r="U650" s="79">
        <f>IF(T650="","","Decide on change order "&amp;B650&amp;": "&amp;H650&amp;" (+"&amp;CurSym&amp;" "&amp;FIXED(IF(J650="",0,J650),0)&amp;")")</f>
        <v/>
      </c>
    </row>
    <row r="651" ht="24" customHeight="1">
      <c r="B651" s="74" t="n"/>
      <c r="C651" s="109" t="n"/>
      <c r="D651" s="72" t="n"/>
      <c r="E651" s="72" t="n"/>
      <c r="F651" s="72" t="n"/>
      <c r="G651" s="72" t="n"/>
      <c r="H651" s="113" t="n"/>
      <c r="I651" s="72" t="n"/>
      <c r="J651" s="73" t="n"/>
      <c r="K651" s="89" t="n"/>
      <c r="L651" s="74" t="n"/>
      <c r="M651" s="109" t="n"/>
      <c r="N651" s="68">
        <f>IF(AND(H651="",J651=""),"",ForecastTotal+IF(L651="Approved",0,IF(J651="",0,J651)))</f>
        <v/>
      </c>
      <c r="O651" s="75">
        <f>IF(N651="","",ContAmt-MAX(0,N651-WorkBudget))</f>
        <v/>
      </c>
      <c r="P651" s="120">
        <f>IF(OR(N651="",ForecastEnd=""),"",ForecastEnd+IF(L651="Approved",0,IF(K651="",0,K651)))</f>
        <v/>
      </c>
      <c r="Q651" s="121">
        <f>IF(OR(N651="",WorkBudget=0),"",N651/WorkBudget-1)</f>
        <v/>
      </c>
      <c r="R651" s="79">
        <f>IF(N651="","",IF(N651&lt;=WorkBudget,0,IF(N651&lt;=TotalBudget,1,2)))</f>
        <v/>
      </c>
      <c r="S651" s="112">
        <f>IF(AND(OR(H651&lt;&gt;"",J651&lt;&gt;""),OR(L651="Pending",L651=""),C651&lt;&gt;""),C651+3,"")</f>
        <v/>
      </c>
      <c r="T651" s="79">
        <f>IF(S651="","",IF(AsOf&gt;S651,1,2))</f>
        <v/>
      </c>
      <c r="U651" s="79">
        <f>IF(T651="","","Decide on change order "&amp;B651&amp;": "&amp;H651&amp;" (+"&amp;CurSym&amp;" "&amp;FIXED(IF(J651="",0,J651),0)&amp;")")</f>
        <v/>
      </c>
    </row>
    <row r="652" ht="24" customHeight="1">
      <c r="B652" s="74" t="n"/>
      <c r="C652" s="109" t="n"/>
      <c r="D652" s="72" t="n"/>
      <c r="E652" s="72" t="n"/>
      <c r="F652" s="72" t="n"/>
      <c r="G652" s="72" t="n"/>
      <c r="H652" s="113" t="n"/>
      <c r="I652" s="72" t="n"/>
      <c r="J652" s="73" t="n"/>
      <c r="K652" s="89" t="n"/>
      <c r="L652" s="74" t="n"/>
      <c r="M652" s="109" t="n"/>
      <c r="N652" s="68">
        <f>IF(AND(H652="",J652=""),"",ForecastTotal+IF(L652="Approved",0,IF(J652="",0,J652)))</f>
        <v/>
      </c>
      <c r="O652" s="75">
        <f>IF(N652="","",ContAmt-MAX(0,N652-WorkBudget))</f>
        <v/>
      </c>
      <c r="P652" s="120">
        <f>IF(OR(N652="",ForecastEnd=""),"",ForecastEnd+IF(L652="Approved",0,IF(K652="",0,K652)))</f>
        <v/>
      </c>
      <c r="Q652" s="121">
        <f>IF(OR(N652="",WorkBudget=0),"",N652/WorkBudget-1)</f>
        <v/>
      </c>
      <c r="R652" s="79">
        <f>IF(N652="","",IF(N652&lt;=WorkBudget,0,IF(N652&lt;=TotalBudget,1,2)))</f>
        <v/>
      </c>
      <c r="S652" s="112">
        <f>IF(AND(OR(H652&lt;&gt;"",J652&lt;&gt;""),OR(L652="Pending",L652=""),C652&lt;&gt;""),C652+3,"")</f>
        <v/>
      </c>
      <c r="T652" s="79">
        <f>IF(S652="","",IF(AsOf&gt;S652,1,2))</f>
        <v/>
      </c>
      <c r="U652" s="79">
        <f>IF(T652="","","Decide on change order "&amp;B652&amp;": "&amp;H652&amp;" (+"&amp;CurSym&amp;" "&amp;FIXED(IF(J652="",0,J652),0)&amp;")")</f>
        <v/>
      </c>
    </row>
    <row r="653" ht="24" customHeight="1">
      <c r="B653" s="74" t="n"/>
      <c r="C653" s="109" t="n"/>
      <c r="D653" s="72" t="n"/>
      <c r="E653" s="72" t="n"/>
      <c r="F653" s="72" t="n"/>
      <c r="G653" s="72" t="n"/>
      <c r="H653" s="113" t="n"/>
      <c r="I653" s="72" t="n"/>
      <c r="J653" s="73" t="n"/>
      <c r="K653" s="89" t="n"/>
      <c r="L653" s="74" t="n"/>
      <c r="M653" s="109" t="n"/>
      <c r="N653" s="68">
        <f>IF(AND(H653="",J653=""),"",ForecastTotal+IF(L653="Approved",0,IF(J653="",0,J653)))</f>
        <v/>
      </c>
      <c r="O653" s="75">
        <f>IF(N653="","",ContAmt-MAX(0,N653-WorkBudget))</f>
        <v/>
      </c>
      <c r="P653" s="120">
        <f>IF(OR(N653="",ForecastEnd=""),"",ForecastEnd+IF(L653="Approved",0,IF(K653="",0,K653)))</f>
        <v/>
      </c>
      <c r="Q653" s="121">
        <f>IF(OR(N653="",WorkBudget=0),"",N653/WorkBudget-1)</f>
        <v/>
      </c>
      <c r="R653" s="79">
        <f>IF(N653="","",IF(N653&lt;=WorkBudget,0,IF(N653&lt;=TotalBudget,1,2)))</f>
        <v/>
      </c>
      <c r="S653" s="112">
        <f>IF(AND(OR(H653&lt;&gt;"",J653&lt;&gt;""),OR(L653="Pending",L653=""),C653&lt;&gt;""),C653+3,"")</f>
        <v/>
      </c>
      <c r="T653" s="79">
        <f>IF(S653="","",IF(AsOf&gt;S653,1,2))</f>
        <v/>
      </c>
      <c r="U653" s="79">
        <f>IF(T653="","","Decide on change order "&amp;B653&amp;": "&amp;H653&amp;" (+"&amp;CurSym&amp;" "&amp;FIXED(IF(J653="",0,J653),0)&amp;")")</f>
        <v/>
      </c>
    </row>
    <row r="654" ht="24" customHeight="1">
      <c r="B654" s="74" t="n"/>
      <c r="C654" s="109" t="n"/>
      <c r="D654" s="72" t="n"/>
      <c r="E654" s="72" t="n"/>
      <c r="F654" s="72" t="n"/>
      <c r="G654" s="72" t="n"/>
      <c r="H654" s="113" t="n"/>
      <c r="I654" s="72" t="n"/>
      <c r="J654" s="73" t="n"/>
      <c r="K654" s="89" t="n"/>
      <c r="L654" s="74" t="n"/>
      <c r="M654" s="109" t="n"/>
      <c r="N654" s="68">
        <f>IF(AND(H654="",J654=""),"",ForecastTotal+IF(L654="Approved",0,IF(J654="",0,J654)))</f>
        <v/>
      </c>
      <c r="O654" s="75">
        <f>IF(N654="","",ContAmt-MAX(0,N654-WorkBudget))</f>
        <v/>
      </c>
      <c r="P654" s="120">
        <f>IF(OR(N654="",ForecastEnd=""),"",ForecastEnd+IF(L654="Approved",0,IF(K654="",0,K654)))</f>
        <v/>
      </c>
      <c r="Q654" s="121">
        <f>IF(OR(N654="",WorkBudget=0),"",N654/WorkBudget-1)</f>
        <v/>
      </c>
      <c r="R654" s="79">
        <f>IF(N654="","",IF(N654&lt;=WorkBudget,0,IF(N654&lt;=TotalBudget,1,2)))</f>
        <v/>
      </c>
      <c r="S654" s="112">
        <f>IF(AND(OR(H654&lt;&gt;"",J654&lt;&gt;""),OR(L654="Pending",L654=""),C654&lt;&gt;""),C654+3,"")</f>
        <v/>
      </c>
      <c r="T654" s="79">
        <f>IF(S654="","",IF(AsOf&gt;S654,1,2))</f>
        <v/>
      </c>
      <c r="U654" s="79">
        <f>IF(T654="","","Decide on change order "&amp;B654&amp;": "&amp;H654&amp;" (+"&amp;CurSym&amp;" "&amp;FIXED(IF(J654="",0,J654),0)&amp;")")</f>
        <v/>
      </c>
    </row>
    <row r="655" ht="24" customHeight="1">
      <c r="B655" s="74" t="n"/>
      <c r="C655" s="109" t="n"/>
      <c r="D655" s="72" t="n"/>
      <c r="E655" s="72" t="n"/>
      <c r="F655" s="72" t="n"/>
      <c r="G655" s="72" t="n"/>
      <c r="H655" s="113" t="n"/>
      <c r="I655" s="72" t="n"/>
      <c r="J655" s="73" t="n"/>
      <c r="K655" s="89" t="n"/>
      <c r="L655" s="74" t="n"/>
      <c r="M655" s="109" t="n"/>
      <c r="N655" s="68">
        <f>IF(AND(H655="",J655=""),"",ForecastTotal+IF(L655="Approved",0,IF(J655="",0,J655)))</f>
        <v/>
      </c>
      <c r="O655" s="75">
        <f>IF(N655="","",ContAmt-MAX(0,N655-WorkBudget))</f>
        <v/>
      </c>
      <c r="P655" s="120">
        <f>IF(OR(N655="",ForecastEnd=""),"",ForecastEnd+IF(L655="Approved",0,IF(K655="",0,K655)))</f>
        <v/>
      </c>
      <c r="Q655" s="121">
        <f>IF(OR(N655="",WorkBudget=0),"",N655/WorkBudget-1)</f>
        <v/>
      </c>
      <c r="R655" s="79">
        <f>IF(N655="","",IF(N655&lt;=WorkBudget,0,IF(N655&lt;=TotalBudget,1,2)))</f>
        <v/>
      </c>
      <c r="S655" s="112">
        <f>IF(AND(OR(H655&lt;&gt;"",J655&lt;&gt;""),OR(L655="Pending",L655=""),C655&lt;&gt;""),C655+3,"")</f>
        <v/>
      </c>
      <c r="T655" s="79">
        <f>IF(S655="","",IF(AsOf&gt;S655,1,2))</f>
        <v/>
      </c>
      <c r="U655" s="79">
        <f>IF(T655="","","Decide on change order "&amp;B655&amp;": "&amp;H655&amp;" (+"&amp;CurSym&amp;" "&amp;FIXED(IF(J655="",0,J655),0)&amp;")")</f>
        <v/>
      </c>
    </row>
    <row r="656" ht="24" customHeight="1">
      <c r="B656" s="74" t="n"/>
      <c r="C656" s="109" t="n"/>
      <c r="D656" s="72" t="n"/>
      <c r="E656" s="72" t="n"/>
      <c r="F656" s="72" t="n"/>
      <c r="G656" s="72" t="n"/>
      <c r="H656" s="113" t="n"/>
      <c r="I656" s="72" t="n"/>
      <c r="J656" s="73" t="n"/>
      <c r="K656" s="89" t="n"/>
      <c r="L656" s="74" t="n"/>
      <c r="M656" s="109" t="n"/>
      <c r="N656" s="68">
        <f>IF(AND(H656="",J656=""),"",ForecastTotal+IF(L656="Approved",0,IF(J656="",0,J656)))</f>
        <v/>
      </c>
      <c r="O656" s="75">
        <f>IF(N656="","",ContAmt-MAX(0,N656-WorkBudget))</f>
        <v/>
      </c>
      <c r="P656" s="120">
        <f>IF(OR(N656="",ForecastEnd=""),"",ForecastEnd+IF(L656="Approved",0,IF(K656="",0,K656)))</f>
        <v/>
      </c>
      <c r="Q656" s="121">
        <f>IF(OR(N656="",WorkBudget=0),"",N656/WorkBudget-1)</f>
        <v/>
      </c>
      <c r="R656" s="79">
        <f>IF(N656="","",IF(N656&lt;=WorkBudget,0,IF(N656&lt;=TotalBudget,1,2)))</f>
        <v/>
      </c>
      <c r="S656" s="112">
        <f>IF(AND(OR(H656&lt;&gt;"",J656&lt;&gt;""),OR(L656="Pending",L656=""),C656&lt;&gt;""),C656+3,"")</f>
        <v/>
      </c>
      <c r="T656" s="79">
        <f>IF(S656="","",IF(AsOf&gt;S656,1,2))</f>
        <v/>
      </c>
      <c r="U656" s="79">
        <f>IF(T656="","","Decide on change order "&amp;B656&amp;": "&amp;H656&amp;" (+"&amp;CurSym&amp;" "&amp;FIXED(IF(J656="",0,J656),0)&amp;")")</f>
        <v/>
      </c>
    </row>
    <row r="657" ht="24" customHeight="1">
      <c r="B657" s="74" t="n"/>
      <c r="C657" s="109" t="n"/>
      <c r="D657" s="72" t="n"/>
      <c r="E657" s="72" t="n"/>
      <c r="F657" s="72" t="n"/>
      <c r="G657" s="72" t="n"/>
      <c r="H657" s="113" t="n"/>
      <c r="I657" s="72" t="n"/>
      <c r="J657" s="73" t="n"/>
      <c r="K657" s="89" t="n"/>
      <c r="L657" s="74" t="n"/>
      <c r="M657" s="109" t="n"/>
      <c r="N657" s="68">
        <f>IF(AND(H657="",J657=""),"",ForecastTotal+IF(L657="Approved",0,IF(J657="",0,J657)))</f>
        <v/>
      </c>
      <c r="O657" s="75">
        <f>IF(N657="","",ContAmt-MAX(0,N657-WorkBudget))</f>
        <v/>
      </c>
      <c r="P657" s="120">
        <f>IF(OR(N657="",ForecastEnd=""),"",ForecastEnd+IF(L657="Approved",0,IF(K657="",0,K657)))</f>
        <v/>
      </c>
      <c r="Q657" s="121">
        <f>IF(OR(N657="",WorkBudget=0),"",N657/WorkBudget-1)</f>
        <v/>
      </c>
      <c r="R657" s="79">
        <f>IF(N657="","",IF(N657&lt;=WorkBudget,0,IF(N657&lt;=TotalBudget,1,2)))</f>
        <v/>
      </c>
      <c r="S657" s="112">
        <f>IF(AND(OR(H657&lt;&gt;"",J657&lt;&gt;""),OR(L657="Pending",L657=""),C657&lt;&gt;""),C657+3,"")</f>
        <v/>
      </c>
      <c r="T657" s="79">
        <f>IF(S657="","",IF(AsOf&gt;S657,1,2))</f>
        <v/>
      </c>
      <c r="U657" s="79">
        <f>IF(T657="","","Decide on change order "&amp;B657&amp;": "&amp;H657&amp;" (+"&amp;CurSym&amp;" "&amp;FIXED(IF(J657="",0,J657),0)&amp;")")</f>
        <v/>
      </c>
    </row>
    <row r="658" ht="24" customHeight="1">
      <c r="B658" s="74" t="n"/>
      <c r="C658" s="109" t="n"/>
      <c r="D658" s="72" t="n"/>
      <c r="E658" s="72" t="n"/>
      <c r="F658" s="72" t="n"/>
      <c r="G658" s="72" t="n"/>
      <c r="H658" s="113" t="n"/>
      <c r="I658" s="72" t="n"/>
      <c r="J658" s="73" t="n"/>
      <c r="K658" s="89" t="n"/>
      <c r="L658" s="74" t="n"/>
      <c r="M658" s="109" t="n"/>
      <c r="N658" s="68">
        <f>IF(AND(H658="",J658=""),"",ForecastTotal+IF(L658="Approved",0,IF(J658="",0,J658)))</f>
        <v/>
      </c>
      <c r="O658" s="75">
        <f>IF(N658="","",ContAmt-MAX(0,N658-WorkBudget))</f>
        <v/>
      </c>
      <c r="P658" s="120">
        <f>IF(OR(N658="",ForecastEnd=""),"",ForecastEnd+IF(L658="Approved",0,IF(K658="",0,K658)))</f>
        <v/>
      </c>
      <c r="Q658" s="121">
        <f>IF(OR(N658="",WorkBudget=0),"",N658/WorkBudget-1)</f>
        <v/>
      </c>
      <c r="R658" s="79">
        <f>IF(N658="","",IF(N658&lt;=WorkBudget,0,IF(N658&lt;=TotalBudget,1,2)))</f>
        <v/>
      </c>
      <c r="S658" s="112">
        <f>IF(AND(OR(H658&lt;&gt;"",J658&lt;&gt;""),OR(L658="Pending",L658=""),C658&lt;&gt;""),C658+3,"")</f>
        <v/>
      </c>
      <c r="T658" s="79">
        <f>IF(S658="","",IF(AsOf&gt;S658,1,2))</f>
        <v/>
      </c>
      <c r="U658" s="79">
        <f>IF(T658="","","Decide on change order "&amp;B658&amp;": "&amp;H658&amp;" (+"&amp;CurSym&amp;" "&amp;FIXED(IF(J658="",0,J658),0)&amp;")")</f>
        <v/>
      </c>
    </row>
    <row r="659" ht="24" customHeight="1">
      <c r="B659" s="74" t="n"/>
      <c r="C659" s="109" t="n"/>
      <c r="D659" s="72" t="n"/>
      <c r="E659" s="72" t="n"/>
      <c r="F659" s="72" t="n"/>
      <c r="G659" s="72" t="n"/>
      <c r="H659" s="113" t="n"/>
      <c r="I659" s="72" t="n"/>
      <c r="J659" s="73" t="n"/>
      <c r="K659" s="89" t="n"/>
      <c r="L659" s="74" t="n"/>
      <c r="M659" s="109" t="n"/>
      <c r="N659" s="68">
        <f>IF(AND(H659="",J659=""),"",ForecastTotal+IF(L659="Approved",0,IF(J659="",0,J659)))</f>
        <v/>
      </c>
      <c r="O659" s="75">
        <f>IF(N659="","",ContAmt-MAX(0,N659-WorkBudget))</f>
        <v/>
      </c>
      <c r="P659" s="120">
        <f>IF(OR(N659="",ForecastEnd=""),"",ForecastEnd+IF(L659="Approved",0,IF(K659="",0,K659)))</f>
        <v/>
      </c>
      <c r="Q659" s="121">
        <f>IF(OR(N659="",WorkBudget=0),"",N659/WorkBudget-1)</f>
        <v/>
      </c>
      <c r="R659" s="79">
        <f>IF(N659="","",IF(N659&lt;=WorkBudget,0,IF(N659&lt;=TotalBudget,1,2)))</f>
        <v/>
      </c>
      <c r="S659" s="112">
        <f>IF(AND(OR(H659&lt;&gt;"",J659&lt;&gt;""),OR(L659="Pending",L659=""),C659&lt;&gt;""),C659+3,"")</f>
        <v/>
      </c>
      <c r="T659" s="79">
        <f>IF(S659="","",IF(AsOf&gt;S659,1,2))</f>
        <v/>
      </c>
      <c r="U659" s="79">
        <f>IF(T659="","","Decide on change order "&amp;B659&amp;": "&amp;H659&amp;" (+"&amp;CurSym&amp;" "&amp;FIXED(IF(J659="",0,J659),0)&amp;")")</f>
        <v/>
      </c>
    </row>
    <row r="660" ht="24" customHeight="1">
      <c r="B660" s="74" t="n"/>
      <c r="C660" s="109" t="n"/>
      <c r="D660" s="72" t="n"/>
      <c r="E660" s="72" t="n"/>
      <c r="F660" s="72" t="n"/>
      <c r="G660" s="72" t="n"/>
      <c r="H660" s="113" t="n"/>
      <c r="I660" s="72" t="n"/>
      <c r="J660" s="73" t="n"/>
      <c r="K660" s="89" t="n"/>
      <c r="L660" s="74" t="n"/>
      <c r="M660" s="109" t="n"/>
      <c r="N660" s="68">
        <f>IF(AND(H660="",J660=""),"",ForecastTotal+IF(L660="Approved",0,IF(J660="",0,J660)))</f>
        <v/>
      </c>
      <c r="O660" s="75">
        <f>IF(N660="","",ContAmt-MAX(0,N660-WorkBudget))</f>
        <v/>
      </c>
      <c r="P660" s="120">
        <f>IF(OR(N660="",ForecastEnd=""),"",ForecastEnd+IF(L660="Approved",0,IF(K660="",0,K660)))</f>
        <v/>
      </c>
      <c r="Q660" s="121">
        <f>IF(OR(N660="",WorkBudget=0),"",N660/WorkBudget-1)</f>
        <v/>
      </c>
      <c r="R660" s="79">
        <f>IF(N660="","",IF(N660&lt;=WorkBudget,0,IF(N660&lt;=TotalBudget,1,2)))</f>
        <v/>
      </c>
      <c r="S660" s="112">
        <f>IF(AND(OR(H660&lt;&gt;"",J660&lt;&gt;""),OR(L660="Pending",L660=""),C660&lt;&gt;""),C660+3,"")</f>
        <v/>
      </c>
      <c r="T660" s="79">
        <f>IF(S660="","",IF(AsOf&gt;S660,1,2))</f>
        <v/>
      </c>
      <c r="U660" s="79">
        <f>IF(T660="","","Decide on change order "&amp;B660&amp;": "&amp;H660&amp;" (+"&amp;CurSym&amp;" "&amp;FIXED(IF(J660="",0,J660),0)&amp;")")</f>
        <v/>
      </c>
    </row>
    <row r="661" ht="24" customHeight="1">
      <c r="B661" s="74" t="n"/>
      <c r="C661" s="109" t="n"/>
      <c r="D661" s="72" t="n"/>
      <c r="E661" s="72" t="n"/>
      <c r="F661" s="72" t="n"/>
      <c r="G661" s="72" t="n"/>
      <c r="H661" s="113" t="n"/>
      <c r="I661" s="72" t="n"/>
      <c r="J661" s="73" t="n"/>
      <c r="K661" s="89" t="n"/>
      <c r="L661" s="74" t="n"/>
      <c r="M661" s="109" t="n"/>
      <c r="N661" s="68">
        <f>IF(AND(H661="",J661=""),"",ForecastTotal+IF(L661="Approved",0,IF(J661="",0,J661)))</f>
        <v/>
      </c>
      <c r="O661" s="75">
        <f>IF(N661="","",ContAmt-MAX(0,N661-WorkBudget))</f>
        <v/>
      </c>
      <c r="P661" s="120">
        <f>IF(OR(N661="",ForecastEnd=""),"",ForecastEnd+IF(L661="Approved",0,IF(K661="",0,K661)))</f>
        <v/>
      </c>
      <c r="Q661" s="121">
        <f>IF(OR(N661="",WorkBudget=0),"",N661/WorkBudget-1)</f>
        <v/>
      </c>
      <c r="R661" s="79">
        <f>IF(N661="","",IF(N661&lt;=WorkBudget,0,IF(N661&lt;=TotalBudget,1,2)))</f>
        <v/>
      </c>
      <c r="S661" s="112">
        <f>IF(AND(OR(H661&lt;&gt;"",J661&lt;&gt;""),OR(L661="Pending",L661=""),C661&lt;&gt;""),C661+3,"")</f>
        <v/>
      </c>
      <c r="T661" s="79">
        <f>IF(S661="","",IF(AsOf&gt;S661,1,2))</f>
        <v/>
      </c>
      <c r="U661" s="79">
        <f>IF(T661="","","Decide on change order "&amp;B661&amp;": "&amp;H661&amp;" (+"&amp;CurSym&amp;" "&amp;FIXED(IF(J661="",0,J661),0)&amp;")")</f>
        <v/>
      </c>
    </row>
    <row r="662" ht="24" customHeight="1">
      <c r="B662" s="74" t="n"/>
      <c r="C662" s="109" t="n"/>
      <c r="D662" s="72" t="n"/>
      <c r="E662" s="72" t="n"/>
      <c r="F662" s="72" t="n"/>
      <c r="G662" s="72" t="n"/>
      <c r="H662" s="113" t="n"/>
      <c r="I662" s="72" t="n"/>
      <c r="J662" s="73" t="n"/>
      <c r="K662" s="89" t="n"/>
      <c r="L662" s="74" t="n"/>
      <c r="M662" s="109" t="n"/>
      <c r="N662" s="68">
        <f>IF(AND(H662="",J662=""),"",ForecastTotal+IF(L662="Approved",0,IF(J662="",0,J662)))</f>
        <v/>
      </c>
      <c r="O662" s="75">
        <f>IF(N662="","",ContAmt-MAX(0,N662-WorkBudget))</f>
        <v/>
      </c>
      <c r="P662" s="120">
        <f>IF(OR(N662="",ForecastEnd=""),"",ForecastEnd+IF(L662="Approved",0,IF(K662="",0,K662)))</f>
        <v/>
      </c>
      <c r="Q662" s="121">
        <f>IF(OR(N662="",WorkBudget=0),"",N662/WorkBudget-1)</f>
        <v/>
      </c>
      <c r="R662" s="79">
        <f>IF(N662="","",IF(N662&lt;=WorkBudget,0,IF(N662&lt;=TotalBudget,1,2)))</f>
        <v/>
      </c>
      <c r="S662" s="112">
        <f>IF(AND(OR(H662&lt;&gt;"",J662&lt;&gt;""),OR(L662="Pending",L662=""),C662&lt;&gt;""),C662+3,"")</f>
        <v/>
      </c>
      <c r="T662" s="79">
        <f>IF(S662="","",IF(AsOf&gt;S662,1,2))</f>
        <v/>
      </c>
      <c r="U662" s="79">
        <f>IF(T662="","","Decide on change order "&amp;B662&amp;": "&amp;H662&amp;" (+"&amp;CurSym&amp;" "&amp;FIXED(IF(J662="",0,J662),0)&amp;")")</f>
        <v/>
      </c>
    </row>
    <row r="663" ht="24" customHeight="1">
      <c r="B663" s="74" t="n"/>
      <c r="C663" s="109" t="n"/>
      <c r="D663" s="72" t="n"/>
      <c r="E663" s="72" t="n"/>
      <c r="F663" s="72" t="n"/>
      <c r="G663" s="72" t="n"/>
      <c r="H663" s="113" t="n"/>
      <c r="I663" s="72" t="n"/>
      <c r="J663" s="73" t="n"/>
      <c r="K663" s="89" t="n"/>
      <c r="L663" s="74" t="n"/>
      <c r="M663" s="109" t="n"/>
      <c r="N663" s="68">
        <f>IF(AND(H663="",J663=""),"",ForecastTotal+IF(L663="Approved",0,IF(J663="",0,J663)))</f>
        <v/>
      </c>
      <c r="O663" s="75">
        <f>IF(N663="","",ContAmt-MAX(0,N663-WorkBudget))</f>
        <v/>
      </c>
      <c r="P663" s="120">
        <f>IF(OR(N663="",ForecastEnd=""),"",ForecastEnd+IF(L663="Approved",0,IF(K663="",0,K663)))</f>
        <v/>
      </c>
      <c r="Q663" s="121">
        <f>IF(OR(N663="",WorkBudget=0),"",N663/WorkBudget-1)</f>
        <v/>
      </c>
      <c r="R663" s="79">
        <f>IF(N663="","",IF(N663&lt;=WorkBudget,0,IF(N663&lt;=TotalBudget,1,2)))</f>
        <v/>
      </c>
      <c r="S663" s="112">
        <f>IF(AND(OR(H663&lt;&gt;"",J663&lt;&gt;""),OR(L663="Pending",L663=""),C663&lt;&gt;""),C663+3,"")</f>
        <v/>
      </c>
      <c r="T663" s="79">
        <f>IF(S663="","",IF(AsOf&gt;S663,1,2))</f>
        <v/>
      </c>
      <c r="U663" s="79">
        <f>IF(T663="","","Decide on change order "&amp;B663&amp;": "&amp;H663&amp;" (+"&amp;CurSym&amp;" "&amp;FIXED(IF(J663="",0,J663),0)&amp;")")</f>
        <v/>
      </c>
    </row>
    <row r="664" ht="24" customHeight="1">
      <c r="B664" s="74" t="n"/>
      <c r="C664" s="109" t="n"/>
      <c r="D664" s="72" t="n"/>
      <c r="E664" s="72" t="n"/>
      <c r="F664" s="72" t="n"/>
      <c r="G664" s="72" t="n"/>
      <c r="H664" s="113" t="n"/>
      <c r="I664" s="72" t="n"/>
      <c r="J664" s="73" t="n"/>
      <c r="K664" s="89" t="n"/>
      <c r="L664" s="74" t="n"/>
      <c r="M664" s="109" t="n"/>
      <c r="N664" s="68">
        <f>IF(AND(H664="",J664=""),"",ForecastTotal+IF(L664="Approved",0,IF(J664="",0,J664)))</f>
        <v/>
      </c>
      <c r="O664" s="75">
        <f>IF(N664="","",ContAmt-MAX(0,N664-WorkBudget))</f>
        <v/>
      </c>
      <c r="P664" s="120">
        <f>IF(OR(N664="",ForecastEnd=""),"",ForecastEnd+IF(L664="Approved",0,IF(K664="",0,K664)))</f>
        <v/>
      </c>
      <c r="Q664" s="121">
        <f>IF(OR(N664="",WorkBudget=0),"",N664/WorkBudget-1)</f>
        <v/>
      </c>
      <c r="R664" s="79">
        <f>IF(N664="","",IF(N664&lt;=WorkBudget,0,IF(N664&lt;=TotalBudget,1,2)))</f>
        <v/>
      </c>
      <c r="S664" s="112">
        <f>IF(AND(OR(H664&lt;&gt;"",J664&lt;&gt;""),OR(L664="Pending",L664=""),C664&lt;&gt;""),C664+3,"")</f>
        <v/>
      </c>
      <c r="T664" s="79">
        <f>IF(S664="","",IF(AsOf&gt;S664,1,2))</f>
        <v/>
      </c>
      <c r="U664" s="79">
        <f>IF(T664="","","Decide on change order "&amp;B664&amp;": "&amp;H664&amp;" (+"&amp;CurSym&amp;" "&amp;FIXED(IF(J664="",0,J664),0)&amp;")")</f>
        <v/>
      </c>
    </row>
    <row r="665" ht="24" customHeight="1">
      <c r="B665" s="74" t="n"/>
      <c r="C665" s="109" t="n"/>
      <c r="D665" s="72" t="n"/>
      <c r="E665" s="72" t="n"/>
      <c r="F665" s="72" t="n"/>
      <c r="G665" s="72" t="n"/>
      <c r="H665" s="113" t="n"/>
      <c r="I665" s="72" t="n"/>
      <c r="J665" s="73" t="n"/>
      <c r="K665" s="89" t="n"/>
      <c r="L665" s="74" t="n"/>
      <c r="M665" s="109" t="n"/>
      <c r="N665" s="68">
        <f>IF(AND(H665="",J665=""),"",ForecastTotal+IF(L665="Approved",0,IF(J665="",0,J665)))</f>
        <v/>
      </c>
      <c r="O665" s="75">
        <f>IF(N665="","",ContAmt-MAX(0,N665-WorkBudget))</f>
        <v/>
      </c>
      <c r="P665" s="120">
        <f>IF(OR(N665="",ForecastEnd=""),"",ForecastEnd+IF(L665="Approved",0,IF(K665="",0,K665)))</f>
        <v/>
      </c>
      <c r="Q665" s="121">
        <f>IF(OR(N665="",WorkBudget=0),"",N665/WorkBudget-1)</f>
        <v/>
      </c>
      <c r="R665" s="79">
        <f>IF(N665="","",IF(N665&lt;=WorkBudget,0,IF(N665&lt;=TotalBudget,1,2)))</f>
        <v/>
      </c>
      <c r="S665" s="112">
        <f>IF(AND(OR(H665&lt;&gt;"",J665&lt;&gt;""),OR(L665="Pending",L665=""),C665&lt;&gt;""),C665+3,"")</f>
        <v/>
      </c>
      <c r="T665" s="79">
        <f>IF(S665="","",IF(AsOf&gt;S665,1,2))</f>
        <v/>
      </c>
      <c r="U665" s="79">
        <f>IF(T665="","","Decide on change order "&amp;B665&amp;": "&amp;H665&amp;" (+"&amp;CurSym&amp;" "&amp;FIXED(IF(J665="",0,J665),0)&amp;")")</f>
        <v/>
      </c>
    </row>
    <row r="666" ht="24" customHeight="1">
      <c r="B666" s="74" t="n"/>
      <c r="C666" s="109" t="n"/>
      <c r="D666" s="72" t="n"/>
      <c r="E666" s="72" t="n"/>
      <c r="F666" s="72" t="n"/>
      <c r="G666" s="72" t="n"/>
      <c r="H666" s="113" t="n"/>
      <c r="I666" s="72" t="n"/>
      <c r="J666" s="73" t="n"/>
      <c r="K666" s="89" t="n"/>
      <c r="L666" s="74" t="n"/>
      <c r="M666" s="109" t="n"/>
      <c r="N666" s="68">
        <f>IF(AND(H666="",J666=""),"",ForecastTotal+IF(L666="Approved",0,IF(J666="",0,J666)))</f>
        <v/>
      </c>
      <c r="O666" s="75">
        <f>IF(N666="","",ContAmt-MAX(0,N666-WorkBudget))</f>
        <v/>
      </c>
      <c r="P666" s="120">
        <f>IF(OR(N666="",ForecastEnd=""),"",ForecastEnd+IF(L666="Approved",0,IF(K666="",0,K666)))</f>
        <v/>
      </c>
      <c r="Q666" s="121">
        <f>IF(OR(N666="",WorkBudget=0),"",N666/WorkBudget-1)</f>
        <v/>
      </c>
      <c r="R666" s="79">
        <f>IF(N666="","",IF(N666&lt;=WorkBudget,0,IF(N666&lt;=TotalBudget,1,2)))</f>
        <v/>
      </c>
      <c r="S666" s="112">
        <f>IF(AND(OR(H666&lt;&gt;"",J666&lt;&gt;""),OR(L666="Pending",L666=""),C666&lt;&gt;""),C666+3,"")</f>
        <v/>
      </c>
      <c r="T666" s="79">
        <f>IF(S666="","",IF(AsOf&gt;S666,1,2))</f>
        <v/>
      </c>
      <c r="U666" s="79">
        <f>IF(T666="","","Decide on change order "&amp;B666&amp;": "&amp;H666&amp;" (+"&amp;CurSym&amp;" "&amp;FIXED(IF(J666="",0,J666),0)&amp;")")</f>
        <v/>
      </c>
    </row>
    <row r="667" ht="24" customHeight="1">
      <c r="B667" s="74" t="n"/>
      <c r="C667" s="109" t="n"/>
      <c r="D667" s="72" t="n"/>
      <c r="E667" s="72" t="n"/>
      <c r="F667" s="72" t="n"/>
      <c r="G667" s="72" t="n"/>
      <c r="H667" s="113" t="n"/>
      <c r="I667" s="72" t="n"/>
      <c r="J667" s="73" t="n"/>
      <c r="K667" s="89" t="n"/>
      <c r="L667" s="74" t="n"/>
      <c r="M667" s="109" t="n"/>
      <c r="N667" s="68">
        <f>IF(AND(H667="",J667=""),"",ForecastTotal+IF(L667="Approved",0,IF(J667="",0,J667)))</f>
        <v/>
      </c>
      <c r="O667" s="75">
        <f>IF(N667="","",ContAmt-MAX(0,N667-WorkBudget))</f>
        <v/>
      </c>
      <c r="P667" s="120">
        <f>IF(OR(N667="",ForecastEnd=""),"",ForecastEnd+IF(L667="Approved",0,IF(K667="",0,K667)))</f>
        <v/>
      </c>
      <c r="Q667" s="121">
        <f>IF(OR(N667="",WorkBudget=0),"",N667/WorkBudget-1)</f>
        <v/>
      </c>
      <c r="R667" s="79">
        <f>IF(N667="","",IF(N667&lt;=WorkBudget,0,IF(N667&lt;=TotalBudget,1,2)))</f>
        <v/>
      </c>
      <c r="S667" s="112">
        <f>IF(AND(OR(H667&lt;&gt;"",J667&lt;&gt;""),OR(L667="Pending",L667=""),C667&lt;&gt;""),C667+3,"")</f>
        <v/>
      </c>
      <c r="T667" s="79">
        <f>IF(S667="","",IF(AsOf&gt;S667,1,2))</f>
        <v/>
      </c>
      <c r="U667" s="79">
        <f>IF(T667="","","Decide on change order "&amp;B667&amp;": "&amp;H667&amp;" (+"&amp;CurSym&amp;" "&amp;FIXED(IF(J667="",0,J667),0)&amp;")")</f>
        <v/>
      </c>
    </row>
    <row r="668" ht="24" customHeight="1">
      <c r="B668" s="74" t="n"/>
      <c r="C668" s="109" t="n"/>
      <c r="D668" s="72" t="n"/>
      <c r="E668" s="72" t="n"/>
      <c r="F668" s="72" t="n"/>
      <c r="G668" s="72" t="n"/>
      <c r="H668" s="113" t="n"/>
      <c r="I668" s="72" t="n"/>
      <c r="J668" s="73" t="n"/>
      <c r="K668" s="89" t="n"/>
      <c r="L668" s="74" t="n"/>
      <c r="M668" s="109" t="n"/>
      <c r="N668" s="68">
        <f>IF(AND(H668="",J668=""),"",ForecastTotal+IF(L668="Approved",0,IF(J668="",0,J668)))</f>
        <v/>
      </c>
      <c r="O668" s="75">
        <f>IF(N668="","",ContAmt-MAX(0,N668-WorkBudget))</f>
        <v/>
      </c>
      <c r="P668" s="120">
        <f>IF(OR(N668="",ForecastEnd=""),"",ForecastEnd+IF(L668="Approved",0,IF(K668="",0,K668)))</f>
        <v/>
      </c>
      <c r="Q668" s="121">
        <f>IF(OR(N668="",WorkBudget=0),"",N668/WorkBudget-1)</f>
        <v/>
      </c>
      <c r="R668" s="79">
        <f>IF(N668="","",IF(N668&lt;=WorkBudget,0,IF(N668&lt;=TotalBudget,1,2)))</f>
        <v/>
      </c>
      <c r="S668" s="112">
        <f>IF(AND(OR(H668&lt;&gt;"",J668&lt;&gt;""),OR(L668="Pending",L668=""),C668&lt;&gt;""),C668+3,"")</f>
        <v/>
      </c>
      <c r="T668" s="79">
        <f>IF(S668="","",IF(AsOf&gt;S668,1,2))</f>
        <v/>
      </c>
      <c r="U668" s="79">
        <f>IF(T668="","","Decide on change order "&amp;B668&amp;": "&amp;H668&amp;" (+"&amp;CurSym&amp;" "&amp;FIXED(IF(J668="",0,J668),0)&amp;")")</f>
        <v/>
      </c>
    </row>
    <row r="669" ht="24" customHeight="1">
      <c r="B669" s="74" t="n"/>
      <c r="C669" s="109" t="n"/>
      <c r="D669" s="72" t="n"/>
      <c r="E669" s="72" t="n"/>
      <c r="F669" s="72" t="n"/>
      <c r="G669" s="72" t="n"/>
      <c r="H669" s="113" t="n"/>
      <c r="I669" s="72" t="n"/>
      <c r="J669" s="73" t="n"/>
      <c r="K669" s="89" t="n"/>
      <c r="L669" s="74" t="n"/>
      <c r="M669" s="109" t="n"/>
      <c r="N669" s="68">
        <f>IF(AND(H669="",J669=""),"",ForecastTotal+IF(L669="Approved",0,IF(J669="",0,J669)))</f>
        <v/>
      </c>
      <c r="O669" s="75">
        <f>IF(N669="","",ContAmt-MAX(0,N669-WorkBudget))</f>
        <v/>
      </c>
      <c r="P669" s="120">
        <f>IF(OR(N669="",ForecastEnd=""),"",ForecastEnd+IF(L669="Approved",0,IF(K669="",0,K669)))</f>
        <v/>
      </c>
      <c r="Q669" s="121">
        <f>IF(OR(N669="",WorkBudget=0),"",N669/WorkBudget-1)</f>
        <v/>
      </c>
      <c r="R669" s="79">
        <f>IF(N669="","",IF(N669&lt;=WorkBudget,0,IF(N669&lt;=TotalBudget,1,2)))</f>
        <v/>
      </c>
      <c r="S669" s="112">
        <f>IF(AND(OR(H669&lt;&gt;"",J669&lt;&gt;""),OR(L669="Pending",L669=""),C669&lt;&gt;""),C669+3,"")</f>
        <v/>
      </c>
      <c r="T669" s="79">
        <f>IF(S669="","",IF(AsOf&gt;S669,1,2))</f>
        <v/>
      </c>
      <c r="U669" s="79">
        <f>IF(T669="","","Decide on change order "&amp;B669&amp;": "&amp;H669&amp;" (+"&amp;CurSym&amp;" "&amp;FIXED(IF(J669="",0,J669),0)&amp;")")</f>
        <v/>
      </c>
    </row>
    <row r="670" ht="24" customHeight="1">
      <c r="B670" s="74" t="n"/>
      <c r="C670" s="109" t="n"/>
      <c r="D670" s="72" t="n"/>
      <c r="E670" s="72" t="n"/>
      <c r="F670" s="72" t="n"/>
      <c r="G670" s="72" t="n"/>
      <c r="H670" s="113" t="n"/>
      <c r="I670" s="72" t="n"/>
      <c r="J670" s="73" t="n"/>
      <c r="K670" s="89" t="n"/>
      <c r="L670" s="74" t="n"/>
      <c r="M670" s="109" t="n"/>
      <c r="N670" s="68">
        <f>IF(AND(H670="",J670=""),"",ForecastTotal+IF(L670="Approved",0,IF(J670="",0,J670)))</f>
        <v/>
      </c>
      <c r="O670" s="75">
        <f>IF(N670="","",ContAmt-MAX(0,N670-WorkBudget))</f>
        <v/>
      </c>
      <c r="P670" s="120">
        <f>IF(OR(N670="",ForecastEnd=""),"",ForecastEnd+IF(L670="Approved",0,IF(K670="",0,K670)))</f>
        <v/>
      </c>
      <c r="Q670" s="121">
        <f>IF(OR(N670="",WorkBudget=0),"",N670/WorkBudget-1)</f>
        <v/>
      </c>
      <c r="R670" s="79">
        <f>IF(N670="","",IF(N670&lt;=WorkBudget,0,IF(N670&lt;=TotalBudget,1,2)))</f>
        <v/>
      </c>
      <c r="S670" s="112">
        <f>IF(AND(OR(H670&lt;&gt;"",J670&lt;&gt;""),OR(L670="Pending",L670=""),C670&lt;&gt;""),C670+3,"")</f>
        <v/>
      </c>
      <c r="T670" s="79">
        <f>IF(S670="","",IF(AsOf&gt;S670,1,2))</f>
        <v/>
      </c>
      <c r="U670" s="79">
        <f>IF(T670="","","Decide on change order "&amp;B670&amp;": "&amp;H670&amp;" (+"&amp;CurSym&amp;" "&amp;FIXED(IF(J670="",0,J670),0)&amp;")")</f>
        <v/>
      </c>
    </row>
    <row r="671" ht="24" customHeight="1">
      <c r="B671" s="74" t="n"/>
      <c r="C671" s="109" t="n"/>
      <c r="D671" s="72" t="n"/>
      <c r="E671" s="72" t="n"/>
      <c r="F671" s="72" t="n"/>
      <c r="G671" s="72" t="n"/>
      <c r="H671" s="113" t="n"/>
      <c r="I671" s="72" t="n"/>
      <c r="J671" s="73" t="n"/>
      <c r="K671" s="89" t="n"/>
      <c r="L671" s="74" t="n"/>
      <c r="M671" s="109" t="n"/>
      <c r="N671" s="68">
        <f>IF(AND(H671="",J671=""),"",ForecastTotal+IF(L671="Approved",0,IF(J671="",0,J671)))</f>
        <v/>
      </c>
      <c r="O671" s="75">
        <f>IF(N671="","",ContAmt-MAX(0,N671-WorkBudget))</f>
        <v/>
      </c>
      <c r="P671" s="120">
        <f>IF(OR(N671="",ForecastEnd=""),"",ForecastEnd+IF(L671="Approved",0,IF(K671="",0,K671)))</f>
        <v/>
      </c>
      <c r="Q671" s="121">
        <f>IF(OR(N671="",WorkBudget=0),"",N671/WorkBudget-1)</f>
        <v/>
      </c>
      <c r="R671" s="79">
        <f>IF(N671="","",IF(N671&lt;=WorkBudget,0,IF(N671&lt;=TotalBudget,1,2)))</f>
        <v/>
      </c>
      <c r="S671" s="112">
        <f>IF(AND(OR(H671&lt;&gt;"",J671&lt;&gt;""),OR(L671="Pending",L671=""),C671&lt;&gt;""),C671+3,"")</f>
        <v/>
      </c>
      <c r="T671" s="79">
        <f>IF(S671="","",IF(AsOf&gt;S671,1,2))</f>
        <v/>
      </c>
      <c r="U671" s="79">
        <f>IF(T671="","","Decide on change order "&amp;B671&amp;": "&amp;H671&amp;" (+"&amp;CurSym&amp;" "&amp;FIXED(IF(J671="",0,J671),0)&amp;")")</f>
        <v/>
      </c>
    </row>
    <row r="672" ht="24" customHeight="1">
      <c r="B672" s="74" t="n"/>
      <c r="C672" s="109" t="n"/>
      <c r="D672" s="72" t="n"/>
      <c r="E672" s="72" t="n"/>
      <c r="F672" s="72" t="n"/>
      <c r="G672" s="72" t="n"/>
      <c r="H672" s="113" t="n"/>
      <c r="I672" s="72" t="n"/>
      <c r="J672" s="73" t="n"/>
      <c r="K672" s="89" t="n"/>
      <c r="L672" s="74" t="n"/>
      <c r="M672" s="109" t="n"/>
      <c r="N672" s="68">
        <f>IF(AND(H672="",J672=""),"",ForecastTotal+IF(L672="Approved",0,IF(J672="",0,J672)))</f>
        <v/>
      </c>
      <c r="O672" s="75">
        <f>IF(N672="","",ContAmt-MAX(0,N672-WorkBudget))</f>
        <v/>
      </c>
      <c r="P672" s="120">
        <f>IF(OR(N672="",ForecastEnd=""),"",ForecastEnd+IF(L672="Approved",0,IF(K672="",0,K672)))</f>
        <v/>
      </c>
      <c r="Q672" s="121">
        <f>IF(OR(N672="",WorkBudget=0),"",N672/WorkBudget-1)</f>
        <v/>
      </c>
      <c r="R672" s="79">
        <f>IF(N672="","",IF(N672&lt;=WorkBudget,0,IF(N672&lt;=TotalBudget,1,2)))</f>
        <v/>
      </c>
      <c r="S672" s="112">
        <f>IF(AND(OR(H672&lt;&gt;"",J672&lt;&gt;""),OR(L672="Pending",L672=""),C672&lt;&gt;""),C672+3,"")</f>
        <v/>
      </c>
      <c r="T672" s="79">
        <f>IF(S672="","",IF(AsOf&gt;S672,1,2))</f>
        <v/>
      </c>
      <c r="U672" s="79">
        <f>IF(T672="","","Decide on change order "&amp;B672&amp;": "&amp;H672&amp;" (+"&amp;CurSym&amp;" "&amp;FIXED(IF(J672="",0,J672),0)&amp;")")</f>
        <v/>
      </c>
    </row>
    <row r="673" ht="24" customHeight="1">
      <c r="B673" s="74" t="n"/>
      <c r="C673" s="109" t="n"/>
      <c r="D673" s="72" t="n"/>
      <c r="E673" s="72" t="n"/>
      <c r="F673" s="72" t="n"/>
      <c r="G673" s="72" t="n"/>
      <c r="H673" s="113" t="n"/>
      <c r="I673" s="72" t="n"/>
      <c r="J673" s="73" t="n"/>
      <c r="K673" s="89" t="n"/>
      <c r="L673" s="74" t="n"/>
      <c r="M673" s="109" t="n"/>
      <c r="N673" s="68">
        <f>IF(AND(H673="",J673=""),"",ForecastTotal+IF(L673="Approved",0,IF(J673="",0,J673)))</f>
        <v/>
      </c>
      <c r="O673" s="75">
        <f>IF(N673="","",ContAmt-MAX(0,N673-WorkBudget))</f>
        <v/>
      </c>
      <c r="P673" s="120">
        <f>IF(OR(N673="",ForecastEnd=""),"",ForecastEnd+IF(L673="Approved",0,IF(K673="",0,K673)))</f>
        <v/>
      </c>
      <c r="Q673" s="121">
        <f>IF(OR(N673="",WorkBudget=0),"",N673/WorkBudget-1)</f>
        <v/>
      </c>
      <c r="R673" s="79">
        <f>IF(N673="","",IF(N673&lt;=WorkBudget,0,IF(N673&lt;=TotalBudget,1,2)))</f>
        <v/>
      </c>
      <c r="S673" s="112">
        <f>IF(AND(OR(H673&lt;&gt;"",J673&lt;&gt;""),OR(L673="Pending",L673=""),C673&lt;&gt;""),C673+3,"")</f>
        <v/>
      </c>
      <c r="T673" s="79">
        <f>IF(S673="","",IF(AsOf&gt;S673,1,2))</f>
        <v/>
      </c>
      <c r="U673" s="79">
        <f>IF(T673="","","Decide on change order "&amp;B673&amp;": "&amp;H673&amp;" (+"&amp;CurSym&amp;" "&amp;FIXED(IF(J673="",0,J673),0)&amp;")")</f>
        <v/>
      </c>
    </row>
    <row r="674" ht="24" customHeight="1">
      <c r="B674" s="74" t="n"/>
      <c r="C674" s="109" t="n"/>
      <c r="D674" s="72" t="n"/>
      <c r="E674" s="72" t="n"/>
      <c r="F674" s="72" t="n"/>
      <c r="G674" s="72" t="n"/>
      <c r="H674" s="113" t="n"/>
      <c r="I674" s="72" t="n"/>
      <c r="J674" s="73" t="n"/>
      <c r="K674" s="89" t="n"/>
      <c r="L674" s="74" t="n"/>
      <c r="M674" s="109" t="n"/>
      <c r="N674" s="68">
        <f>IF(AND(H674="",J674=""),"",ForecastTotal+IF(L674="Approved",0,IF(J674="",0,J674)))</f>
        <v/>
      </c>
      <c r="O674" s="75">
        <f>IF(N674="","",ContAmt-MAX(0,N674-WorkBudget))</f>
        <v/>
      </c>
      <c r="P674" s="120">
        <f>IF(OR(N674="",ForecastEnd=""),"",ForecastEnd+IF(L674="Approved",0,IF(K674="",0,K674)))</f>
        <v/>
      </c>
      <c r="Q674" s="121">
        <f>IF(OR(N674="",WorkBudget=0),"",N674/WorkBudget-1)</f>
        <v/>
      </c>
      <c r="R674" s="79">
        <f>IF(N674="","",IF(N674&lt;=WorkBudget,0,IF(N674&lt;=TotalBudget,1,2)))</f>
        <v/>
      </c>
      <c r="S674" s="112">
        <f>IF(AND(OR(H674&lt;&gt;"",J674&lt;&gt;""),OR(L674="Pending",L674=""),C674&lt;&gt;""),C674+3,"")</f>
        <v/>
      </c>
      <c r="T674" s="79">
        <f>IF(S674="","",IF(AsOf&gt;S674,1,2))</f>
        <v/>
      </c>
      <c r="U674" s="79">
        <f>IF(T674="","","Decide on change order "&amp;B674&amp;": "&amp;H674&amp;" (+"&amp;CurSym&amp;" "&amp;FIXED(IF(J674="",0,J674),0)&amp;")")</f>
        <v/>
      </c>
    </row>
    <row r="675" ht="24" customHeight="1">
      <c r="B675" s="74" t="n"/>
      <c r="C675" s="109" t="n"/>
      <c r="D675" s="72" t="n"/>
      <c r="E675" s="72" t="n"/>
      <c r="F675" s="72" t="n"/>
      <c r="G675" s="72" t="n"/>
      <c r="H675" s="113" t="n"/>
      <c r="I675" s="72" t="n"/>
      <c r="J675" s="73" t="n"/>
      <c r="K675" s="89" t="n"/>
      <c r="L675" s="74" t="n"/>
      <c r="M675" s="109" t="n"/>
      <c r="N675" s="68">
        <f>IF(AND(H675="",J675=""),"",ForecastTotal+IF(L675="Approved",0,IF(J675="",0,J675)))</f>
        <v/>
      </c>
      <c r="O675" s="75">
        <f>IF(N675="","",ContAmt-MAX(0,N675-WorkBudget))</f>
        <v/>
      </c>
      <c r="P675" s="120">
        <f>IF(OR(N675="",ForecastEnd=""),"",ForecastEnd+IF(L675="Approved",0,IF(K675="",0,K675)))</f>
        <v/>
      </c>
      <c r="Q675" s="121">
        <f>IF(OR(N675="",WorkBudget=0),"",N675/WorkBudget-1)</f>
        <v/>
      </c>
      <c r="R675" s="79">
        <f>IF(N675="","",IF(N675&lt;=WorkBudget,0,IF(N675&lt;=TotalBudget,1,2)))</f>
        <v/>
      </c>
      <c r="S675" s="112">
        <f>IF(AND(OR(H675&lt;&gt;"",J675&lt;&gt;""),OR(L675="Pending",L675=""),C675&lt;&gt;""),C675+3,"")</f>
        <v/>
      </c>
      <c r="T675" s="79">
        <f>IF(S675="","",IF(AsOf&gt;S675,1,2))</f>
        <v/>
      </c>
      <c r="U675" s="79">
        <f>IF(T675="","","Decide on change order "&amp;B675&amp;": "&amp;H675&amp;" (+"&amp;CurSym&amp;" "&amp;FIXED(IF(J675="",0,J675),0)&amp;")")</f>
        <v/>
      </c>
    </row>
    <row r="676" ht="24" customHeight="1">
      <c r="B676" s="74" t="n"/>
      <c r="C676" s="109" t="n"/>
      <c r="D676" s="72" t="n"/>
      <c r="E676" s="72" t="n"/>
      <c r="F676" s="72" t="n"/>
      <c r="G676" s="72" t="n"/>
      <c r="H676" s="113" t="n"/>
      <c r="I676" s="72" t="n"/>
      <c r="J676" s="73" t="n"/>
      <c r="K676" s="89" t="n"/>
      <c r="L676" s="74" t="n"/>
      <c r="M676" s="109" t="n"/>
      <c r="N676" s="68">
        <f>IF(AND(H676="",J676=""),"",ForecastTotal+IF(L676="Approved",0,IF(J676="",0,J676)))</f>
        <v/>
      </c>
      <c r="O676" s="75">
        <f>IF(N676="","",ContAmt-MAX(0,N676-WorkBudget))</f>
        <v/>
      </c>
      <c r="P676" s="120">
        <f>IF(OR(N676="",ForecastEnd=""),"",ForecastEnd+IF(L676="Approved",0,IF(K676="",0,K676)))</f>
        <v/>
      </c>
      <c r="Q676" s="121">
        <f>IF(OR(N676="",WorkBudget=0),"",N676/WorkBudget-1)</f>
        <v/>
      </c>
      <c r="R676" s="79">
        <f>IF(N676="","",IF(N676&lt;=WorkBudget,0,IF(N676&lt;=TotalBudget,1,2)))</f>
        <v/>
      </c>
      <c r="S676" s="112">
        <f>IF(AND(OR(H676&lt;&gt;"",J676&lt;&gt;""),OR(L676="Pending",L676=""),C676&lt;&gt;""),C676+3,"")</f>
        <v/>
      </c>
      <c r="T676" s="79">
        <f>IF(S676="","",IF(AsOf&gt;S676,1,2))</f>
        <v/>
      </c>
      <c r="U676" s="79">
        <f>IF(T676="","","Decide on change order "&amp;B676&amp;": "&amp;H676&amp;" (+"&amp;CurSym&amp;" "&amp;FIXED(IF(J676="",0,J676),0)&amp;")")</f>
        <v/>
      </c>
    </row>
    <row r="677" ht="24" customHeight="1">
      <c r="B677" s="74" t="n"/>
      <c r="C677" s="109" t="n"/>
      <c r="D677" s="72" t="n"/>
      <c r="E677" s="72" t="n"/>
      <c r="F677" s="72" t="n"/>
      <c r="G677" s="72" t="n"/>
      <c r="H677" s="113" t="n"/>
      <c r="I677" s="72" t="n"/>
      <c r="J677" s="73" t="n"/>
      <c r="K677" s="89" t="n"/>
      <c r="L677" s="74" t="n"/>
      <c r="M677" s="109" t="n"/>
      <c r="N677" s="68">
        <f>IF(AND(H677="",J677=""),"",ForecastTotal+IF(L677="Approved",0,IF(J677="",0,J677)))</f>
        <v/>
      </c>
      <c r="O677" s="75">
        <f>IF(N677="","",ContAmt-MAX(0,N677-WorkBudget))</f>
        <v/>
      </c>
      <c r="P677" s="120">
        <f>IF(OR(N677="",ForecastEnd=""),"",ForecastEnd+IF(L677="Approved",0,IF(K677="",0,K677)))</f>
        <v/>
      </c>
      <c r="Q677" s="121">
        <f>IF(OR(N677="",WorkBudget=0),"",N677/WorkBudget-1)</f>
        <v/>
      </c>
      <c r="R677" s="79">
        <f>IF(N677="","",IF(N677&lt;=WorkBudget,0,IF(N677&lt;=TotalBudget,1,2)))</f>
        <v/>
      </c>
      <c r="S677" s="112">
        <f>IF(AND(OR(H677&lt;&gt;"",J677&lt;&gt;""),OR(L677="Pending",L677=""),C677&lt;&gt;""),C677+3,"")</f>
        <v/>
      </c>
      <c r="T677" s="79">
        <f>IF(S677="","",IF(AsOf&gt;S677,1,2))</f>
        <v/>
      </c>
      <c r="U677" s="79">
        <f>IF(T677="","","Decide on change order "&amp;B677&amp;": "&amp;H677&amp;" (+"&amp;CurSym&amp;" "&amp;FIXED(IF(J677="",0,J677),0)&amp;")")</f>
        <v/>
      </c>
    </row>
    <row r="678" ht="24" customHeight="1">
      <c r="B678" s="74" t="n"/>
      <c r="C678" s="109" t="n"/>
      <c r="D678" s="72" t="n"/>
      <c r="E678" s="72" t="n"/>
      <c r="F678" s="72" t="n"/>
      <c r="G678" s="72" t="n"/>
      <c r="H678" s="113" t="n"/>
      <c r="I678" s="72" t="n"/>
      <c r="J678" s="73" t="n"/>
      <c r="K678" s="89" t="n"/>
      <c r="L678" s="74" t="n"/>
      <c r="M678" s="109" t="n"/>
      <c r="N678" s="68">
        <f>IF(AND(H678="",J678=""),"",ForecastTotal+IF(L678="Approved",0,IF(J678="",0,J678)))</f>
        <v/>
      </c>
      <c r="O678" s="75">
        <f>IF(N678="","",ContAmt-MAX(0,N678-WorkBudget))</f>
        <v/>
      </c>
      <c r="P678" s="120">
        <f>IF(OR(N678="",ForecastEnd=""),"",ForecastEnd+IF(L678="Approved",0,IF(K678="",0,K678)))</f>
        <v/>
      </c>
      <c r="Q678" s="121">
        <f>IF(OR(N678="",WorkBudget=0),"",N678/WorkBudget-1)</f>
        <v/>
      </c>
      <c r="R678" s="79">
        <f>IF(N678="","",IF(N678&lt;=WorkBudget,0,IF(N678&lt;=TotalBudget,1,2)))</f>
        <v/>
      </c>
      <c r="S678" s="112">
        <f>IF(AND(OR(H678&lt;&gt;"",J678&lt;&gt;""),OR(L678="Pending",L678=""),C678&lt;&gt;""),C678+3,"")</f>
        <v/>
      </c>
      <c r="T678" s="79">
        <f>IF(S678="","",IF(AsOf&gt;S678,1,2))</f>
        <v/>
      </c>
      <c r="U678" s="79">
        <f>IF(T678="","","Decide on change order "&amp;B678&amp;": "&amp;H678&amp;" (+"&amp;CurSym&amp;" "&amp;FIXED(IF(J678="",0,J678),0)&amp;")")</f>
        <v/>
      </c>
    </row>
    <row r="679" ht="24" customHeight="1">
      <c r="B679" s="74" t="n"/>
      <c r="C679" s="109" t="n"/>
      <c r="D679" s="72" t="n"/>
      <c r="E679" s="72" t="n"/>
      <c r="F679" s="72" t="n"/>
      <c r="G679" s="72" t="n"/>
      <c r="H679" s="113" t="n"/>
      <c r="I679" s="72" t="n"/>
      <c r="J679" s="73" t="n"/>
      <c r="K679" s="89" t="n"/>
      <c r="L679" s="74" t="n"/>
      <c r="M679" s="109" t="n"/>
      <c r="N679" s="68">
        <f>IF(AND(H679="",J679=""),"",ForecastTotal+IF(L679="Approved",0,IF(J679="",0,J679)))</f>
        <v/>
      </c>
      <c r="O679" s="75">
        <f>IF(N679="","",ContAmt-MAX(0,N679-WorkBudget))</f>
        <v/>
      </c>
      <c r="P679" s="120">
        <f>IF(OR(N679="",ForecastEnd=""),"",ForecastEnd+IF(L679="Approved",0,IF(K679="",0,K679)))</f>
        <v/>
      </c>
      <c r="Q679" s="121">
        <f>IF(OR(N679="",WorkBudget=0),"",N679/WorkBudget-1)</f>
        <v/>
      </c>
      <c r="R679" s="79">
        <f>IF(N679="","",IF(N679&lt;=WorkBudget,0,IF(N679&lt;=TotalBudget,1,2)))</f>
        <v/>
      </c>
      <c r="S679" s="112">
        <f>IF(AND(OR(H679&lt;&gt;"",J679&lt;&gt;""),OR(L679="Pending",L679=""),C679&lt;&gt;""),C679+3,"")</f>
        <v/>
      </c>
      <c r="T679" s="79">
        <f>IF(S679="","",IF(AsOf&gt;S679,1,2))</f>
        <v/>
      </c>
      <c r="U679" s="79">
        <f>IF(T679="","","Decide on change order "&amp;B679&amp;": "&amp;H679&amp;" (+"&amp;CurSym&amp;" "&amp;FIXED(IF(J679="",0,J679),0)&amp;")")</f>
        <v/>
      </c>
    </row>
    <row r="680" ht="24" customHeight="1">
      <c r="B680" s="74" t="n"/>
      <c r="C680" s="109" t="n"/>
      <c r="D680" s="72" t="n"/>
      <c r="E680" s="72" t="n"/>
      <c r="F680" s="72" t="n"/>
      <c r="G680" s="72" t="n"/>
      <c r="H680" s="113" t="n"/>
      <c r="I680" s="72" t="n"/>
      <c r="J680" s="73" t="n"/>
      <c r="K680" s="89" t="n"/>
      <c r="L680" s="74" t="n"/>
      <c r="M680" s="109" t="n"/>
      <c r="N680" s="68">
        <f>IF(AND(H680="",J680=""),"",ForecastTotal+IF(L680="Approved",0,IF(J680="",0,J680)))</f>
        <v/>
      </c>
      <c r="O680" s="75">
        <f>IF(N680="","",ContAmt-MAX(0,N680-WorkBudget))</f>
        <v/>
      </c>
      <c r="P680" s="120">
        <f>IF(OR(N680="",ForecastEnd=""),"",ForecastEnd+IF(L680="Approved",0,IF(K680="",0,K680)))</f>
        <v/>
      </c>
      <c r="Q680" s="121">
        <f>IF(OR(N680="",WorkBudget=0),"",N680/WorkBudget-1)</f>
        <v/>
      </c>
      <c r="R680" s="79">
        <f>IF(N680="","",IF(N680&lt;=WorkBudget,0,IF(N680&lt;=TotalBudget,1,2)))</f>
        <v/>
      </c>
      <c r="S680" s="112">
        <f>IF(AND(OR(H680&lt;&gt;"",J680&lt;&gt;""),OR(L680="Pending",L680=""),C680&lt;&gt;""),C680+3,"")</f>
        <v/>
      </c>
      <c r="T680" s="79">
        <f>IF(S680="","",IF(AsOf&gt;S680,1,2))</f>
        <v/>
      </c>
      <c r="U680" s="79">
        <f>IF(T680="","","Decide on change order "&amp;B680&amp;": "&amp;H680&amp;" (+"&amp;CurSym&amp;" "&amp;FIXED(IF(J680="",0,J680),0)&amp;")")</f>
        <v/>
      </c>
    </row>
    <row r="681" ht="24" customHeight="1">
      <c r="B681" s="74" t="n"/>
      <c r="C681" s="109" t="n"/>
      <c r="D681" s="72" t="n"/>
      <c r="E681" s="72" t="n"/>
      <c r="F681" s="72" t="n"/>
      <c r="G681" s="72" t="n"/>
      <c r="H681" s="113" t="n"/>
      <c r="I681" s="72" t="n"/>
      <c r="J681" s="73" t="n"/>
      <c r="K681" s="89" t="n"/>
      <c r="L681" s="74" t="n"/>
      <c r="M681" s="109" t="n"/>
      <c r="N681" s="68">
        <f>IF(AND(H681="",J681=""),"",ForecastTotal+IF(L681="Approved",0,IF(J681="",0,J681)))</f>
        <v/>
      </c>
      <c r="O681" s="75">
        <f>IF(N681="","",ContAmt-MAX(0,N681-WorkBudget))</f>
        <v/>
      </c>
      <c r="P681" s="120">
        <f>IF(OR(N681="",ForecastEnd=""),"",ForecastEnd+IF(L681="Approved",0,IF(K681="",0,K681)))</f>
        <v/>
      </c>
      <c r="Q681" s="121">
        <f>IF(OR(N681="",WorkBudget=0),"",N681/WorkBudget-1)</f>
        <v/>
      </c>
      <c r="R681" s="79">
        <f>IF(N681="","",IF(N681&lt;=WorkBudget,0,IF(N681&lt;=TotalBudget,1,2)))</f>
        <v/>
      </c>
      <c r="S681" s="112">
        <f>IF(AND(OR(H681&lt;&gt;"",J681&lt;&gt;""),OR(L681="Pending",L681=""),C681&lt;&gt;""),C681+3,"")</f>
        <v/>
      </c>
      <c r="T681" s="79">
        <f>IF(S681="","",IF(AsOf&gt;S681,1,2))</f>
        <v/>
      </c>
      <c r="U681" s="79">
        <f>IF(T681="","","Decide on change order "&amp;B681&amp;": "&amp;H681&amp;" (+"&amp;CurSym&amp;" "&amp;FIXED(IF(J681="",0,J681),0)&amp;")")</f>
        <v/>
      </c>
    </row>
    <row r="682" ht="24" customHeight="1">
      <c r="B682" s="74" t="n"/>
      <c r="C682" s="109" t="n"/>
      <c r="D682" s="72" t="n"/>
      <c r="E682" s="72" t="n"/>
      <c r="F682" s="72" t="n"/>
      <c r="G682" s="72" t="n"/>
      <c r="H682" s="113" t="n"/>
      <c r="I682" s="72" t="n"/>
      <c r="J682" s="73" t="n"/>
      <c r="K682" s="89" t="n"/>
      <c r="L682" s="74" t="n"/>
      <c r="M682" s="109" t="n"/>
      <c r="N682" s="68">
        <f>IF(AND(H682="",J682=""),"",ForecastTotal+IF(L682="Approved",0,IF(J682="",0,J682)))</f>
        <v/>
      </c>
      <c r="O682" s="75">
        <f>IF(N682="","",ContAmt-MAX(0,N682-WorkBudget))</f>
        <v/>
      </c>
      <c r="P682" s="120">
        <f>IF(OR(N682="",ForecastEnd=""),"",ForecastEnd+IF(L682="Approved",0,IF(K682="",0,K682)))</f>
        <v/>
      </c>
      <c r="Q682" s="121">
        <f>IF(OR(N682="",WorkBudget=0),"",N682/WorkBudget-1)</f>
        <v/>
      </c>
      <c r="R682" s="79">
        <f>IF(N682="","",IF(N682&lt;=WorkBudget,0,IF(N682&lt;=TotalBudget,1,2)))</f>
        <v/>
      </c>
      <c r="S682" s="112">
        <f>IF(AND(OR(H682&lt;&gt;"",J682&lt;&gt;""),OR(L682="Pending",L682=""),C682&lt;&gt;""),C682+3,"")</f>
        <v/>
      </c>
      <c r="T682" s="79">
        <f>IF(S682="","",IF(AsOf&gt;S682,1,2))</f>
        <v/>
      </c>
      <c r="U682" s="79">
        <f>IF(T682="","","Decide on change order "&amp;B682&amp;": "&amp;H682&amp;" (+"&amp;CurSym&amp;" "&amp;FIXED(IF(J682="",0,J682),0)&amp;")")</f>
        <v/>
      </c>
    </row>
    <row r="683" ht="24" customHeight="1">
      <c r="B683" s="74" t="n"/>
      <c r="C683" s="109" t="n"/>
      <c r="D683" s="72" t="n"/>
      <c r="E683" s="72" t="n"/>
      <c r="F683" s="72" t="n"/>
      <c r="G683" s="72" t="n"/>
      <c r="H683" s="113" t="n"/>
      <c r="I683" s="72" t="n"/>
      <c r="J683" s="73" t="n"/>
      <c r="K683" s="89" t="n"/>
      <c r="L683" s="74" t="n"/>
      <c r="M683" s="109" t="n"/>
      <c r="N683" s="68">
        <f>IF(AND(H683="",J683=""),"",ForecastTotal+IF(L683="Approved",0,IF(J683="",0,J683)))</f>
        <v/>
      </c>
      <c r="O683" s="75">
        <f>IF(N683="","",ContAmt-MAX(0,N683-WorkBudget))</f>
        <v/>
      </c>
      <c r="P683" s="120">
        <f>IF(OR(N683="",ForecastEnd=""),"",ForecastEnd+IF(L683="Approved",0,IF(K683="",0,K683)))</f>
        <v/>
      </c>
      <c r="Q683" s="121">
        <f>IF(OR(N683="",WorkBudget=0),"",N683/WorkBudget-1)</f>
        <v/>
      </c>
      <c r="R683" s="79">
        <f>IF(N683="","",IF(N683&lt;=WorkBudget,0,IF(N683&lt;=TotalBudget,1,2)))</f>
        <v/>
      </c>
      <c r="S683" s="112">
        <f>IF(AND(OR(H683&lt;&gt;"",J683&lt;&gt;""),OR(L683="Pending",L683=""),C683&lt;&gt;""),C683+3,"")</f>
        <v/>
      </c>
      <c r="T683" s="79">
        <f>IF(S683="","",IF(AsOf&gt;S683,1,2))</f>
        <v/>
      </c>
      <c r="U683" s="79">
        <f>IF(T683="","","Decide on change order "&amp;B683&amp;": "&amp;H683&amp;" (+"&amp;CurSym&amp;" "&amp;FIXED(IF(J683="",0,J683),0)&amp;")")</f>
        <v/>
      </c>
    </row>
    <row r="684" ht="24" customHeight="1">
      <c r="B684" s="74" t="n"/>
      <c r="C684" s="109" t="n"/>
      <c r="D684" s="72" t="n"/>
      <c r="E684" s="72" t="n"/>
      <c r="F684" s="72" t="n"/>
      <c r="G684" s="72" t="n"/>
      <c r="H684" s="113" t="n"/>
      <c r="I684" s="72" t="n"/>
      <c r="J684" s="73" t="n"/>
      <c r="K684" s="89" t="n"/>
      <c r="L684" s="74" t="n"/>
      <c r="M684" s="109" t="n"/>
      <c r="N684" s="68">
        <f>IF(AND(H684="",J684=""),"",ForecastTotal+IF(L684="Approved",0,IF(J684="",0,J684)))</f>
        <v/>
      </c>
      <c r="O684" s="75">
        <f>IF(N684="","",ContAmt-MAX(0,N684-WorkBudget))</f>
        <v/>
      </c>
      <c r="P684" s="120">
        <f>IF(OR(N684="",ForecastEnd=""),"",ForecastEnd+IF(L684="Approved",0,IF(K684="",0,K684)))</f>
        <v/>
      </c>
      <c r="Q684" s="121">
        <f>IF(OR(N684="",WorkBudget=0),"",N684/WorkBudget-1)</f>
        <v/>
      </c>
      <c r="R684" s="79">
        <f>IF(N684="","",IF(N684&lt;=WorkBudget,0,IF(N684&lt;=TotalBudget,1,2)))</f>
        <v/>
      </c>
      <c r="S684" s="112">
        <f>IF(AND(OR(H684&lt;&gt;"",J684&lt;&gt;""),OR(L684="Pending",L684=""),C684&lt;&gt;""),C684+3,"")</f>
        <v/>
      </c>
      <c r="T684" s="79">
        <f>IF(S684="","",IF(AsOf&gt;S684,1,2))</f>
        <v/>
      </c>
      <c r="U684" s="79">
        <f>IF(T684="","","Decide on change order "&amp;B684&amp;": "&amp;H684&amp;" (+"&amp;CurSym&amp;" "&amp;FIXED(IF(J684="",0,J684),0)&amp;")")</f>
        <v/>
      </c>
    </row>
    <row r="685" ht="24" customHeight="1">
      <c r="B685" s="74" t="n"/>
      <c r="C685" s="109" t="n"/>
      <c r="D685" s="72" t="n"/>
      <c r="E685" s="72" t="n"/>
      <c r="F685" s="72" t="n"/>
      <c r="G685" s="72" t="n"/>
      <c r="H685" s="113" t="n"/>
      <c r="I685" s="72" t="n"/>
      <c r="J685" s="73" t="n"/>
      <c r="K685" s="89" t="n"/>
      <c r="L685" s="74" t="n"/>
      <c r="M685" s="109" t="n"/>
      <c r="N685" s="68">
        <f>IF(AND(H685="",J685=""),"",ForecastTotal+IF(L685="Approved",0,IF(J685="",0,J685)))</f>
        <v/>
      </c>
      <c r="O685" s="75">
        <f>IF(N685="","",ContAmt-MAX(0,N685-WorkBudget))</f>
        <v/>
      </c>
      <c r="P685" s="120">
        <f>IF(OR(N685="",ForecastEnd=""),"",ForecastEnd+IF(L685="Approved",0,IF(K685="",0,K685)))</f>
        <v/>
      </c>
      <c r="Q685" s="121">
        <f>IF(OR(N685="",WorkBudget=0),"",N685/WorkBudget-1)</f>
        <v/>
      </c>
      <c r="R685" s="79">
        <f>IF(N685="","",IF(N685&lt;=WorkBudget,0,IF(N685&lt;=TotalBudget,1,2)))</f>
        <v/>
      </c>
      <c r="S685" s="112">
        <f>IF(AND(OR(H685&lt;&gt;"",J685&lt;&gt;""),OR(L685="Pending",L685=""),C685&lt;&gt;""),C685+3,"")</f>
        <v/>
      </c>
      <c r="T685" s="79">
        <f>IF(S685="","",IF(AsOf&gt;S685,1,2))</f>
        <v/>
      </c>
      <c r="U685" s="79">
        <f>IF(T685="","","Decide on change order "&amp;B685&amp;": "&amp;H685&amp;" (+"&amp;CurSym&amp;" "&amp;FIXED(IF(J685="",0,J685),0)&amp;")")</f>
        <v/>
      </c>
    </row>
    <row r="686" ht="24" customHeight="1">
      <c r="B686" s="74" t="n"/>
      <c r="C686" s="109" t="n"/>
      <c r="D686" s="72" t="n"/>
      <c r="E686" s="72" t="n"/>
      <c r="F686" s="72" t="n"/>
      <c r="G686" s="72" t="n"/>
      <c r="H686" s="113" t="n"/>
      <c r="I686" s="72" t="n"/>
      <c r="J686" s="73" t="n"/>
      <c r="K686" s="89" t="n"/>
      <c r="L686" s="74" t="n"/>
      <c r="M686" s="109" t="n"/>
      <c r="N686" s="68">
        <f>IF(AND(H686="",J686=""),"",ForecastTotal+IF(L686="Approved",0,IF(J686="",0,J686)))</f>
        <v/>
      </c>
      <c r="O686" s="75">
        <f>IF(N686="","",ContAmt-MAX(0,N686-WorkBudget))</f>
        <v/>
      </c>
      <c r="P686" s="120">
        <f>IF(OR(N686="",ForecastEnd=""),"",ForecastEnd+IF(L686="Approved",0,IF(K686="",0,K686)))</f>
        <v/>
      </c>
      <c r="Q686" s="121">
        <f>IF(OR(N686="",WorkBudget=0),"",N686/WorkBudget-1)</f>
        <v/>
      </c>
      <c r="R686" s="79">
        <f>IF(N686="","",IF(N686&lt;=WorkBudget,0,IF(N686&lt;=TotalBudget,1,2)))</f>
        <v/>
      </c>
      <c r="S686" s="112">
        <f>IF(AND(OR(H686&lt;&gt;"",J686&lt;&gt;""),OR(L686="Pending",L686=""),C686&lt;&gt;""),C686+3,"")</f>
        <v/>
      </c>
      <c r="T686" s="79">
        <f>IF(S686="","",IF(AsOf&gt;S686,1,2))</f>
        <v/>
      </c>
      <c r="U686" s="79">
        <f>IF(T686="","","Decide on change order "&amp;B686&amp;": "&amp;H686&amp;" (+"&amp;CurSym&amp;" "&amp;FIXED(IF(J686="",0,J686),0)&amp;")")</f>
        <v/>
      </c>
    </row>
    <row r="687" ht="24" customHeight="1">
      <c r="B687" s="74" t="n"/>
      <c r="C687" s="109" t="n"/>
      <c r="D687" s="72" t="n"/>
      <c r="E687" s="72" t="n"/>
      <c r="F687" s="72" t="n"/>
      <c r="G687" s="72" t="n"/>
      <c r="H687" s="113" t="n"/>
      <c r="I687" s="72" t="n"/>
      <c r="J687" s="73" t="n"/>
      <c r="K687" s="89" t="n"/>
      <c r="L687" s="74" t="n"/>
      <c r="M687" s="109" t="n"/>
      <c r="N687" s="68">
        <f>IF(AND(H687="",J687=""),"",ForecastTotal+IF(L687="Approved",0,IF(J687="",0,J687)))</f>
        <v/>
      </c>
      <c r="O687" s="75">
        <f>IF(N687="","",ContAmt-MAX(0,N687-WorkBudget))</f>
        <v/>
      </c>
      <c r="P687" s="120">
        <f>IF(OR(N687="",ForecastEnd=""),"",ForecastEnd+IF(L687="Approved",0,IF(K687="",0,K687)))</f>
        <v/>
      </c>
      <c r="Q687" s="121">
        <f>IF(OR(N687="",WorkBudget=0),"",N687/WorkBudget-1)</f>
        <v/>
      </c>
      <c r="R687" s="79">
        <f>IF(N687="","",IF(N687&lt;=WorkBudget,0,IF(N687&lt;=TotalBudget,1,2)))</f>
        <v/>
      </c>
      <c r="S687" s="112">
        <f>IF(AND(OR(H687&lt;&gt;"",J687&lt;&gt;""),OR(L687="Pending",L687=""),C687&lt;&gt;""),C687+3,"")</f>
        <v/>
      </c>
      <c r="T687" s="79">
        <f>IF(S687="","",IF(AsOf&gt;S687,1,2))</f>
        <v/>
      </c>
      <c r="U687" s="79">
        <f>IF(T687="","","Decide on change order "&amp;B687&amp;": "&amp;H687&amp;" (+"&amp;CurSym&amp;" "&amp;FIXED(IF(J687="",0,J687),0)&amp;")")</f>
        <v/>
      </c>
    </row>
    <row r="688" ht="24" customHeight="1">
      <c r="B688" s="74" t="n"/>
      <c r="C688" s="109" t="n"/>
      <c r="D688" s="72" t="n"/>
      <c r="E688" s="72" t="n"/>
      <c r="F688" s="72" t="n"/>
      <c r="G688" s="72" t="n"/>
      <c r="H688" s="113" t="n"/>
      <c r="I688" s="72" t="n"/>
      <c r="J688" s="73" t="n"/>
      <c r="K688" s="89" t="n"/>
      <c r="L688" s="74" t="n"/>
      <c r="M688" s="109" t="n"/>
      <c r="N688" s="68">
        <f>IF(AND(H688="",J688=""),"",ForecastTotal+IF(L688="Approved",0,IF(J688="",0,J688)))</f>
        <v/>
      </c>
      <c r="O688" s="75">
        <f>IF(N688="","",ContAmt-MAX(0,N688-WorkBudget))</f>
        <v/>
      </c>
      <c r="P688" s="120">
        <f>IF(OR(N688="",ForecastEnd=""),"",ForecastEnd+IF(L688="Approved",0,IF(K688="",0,K688)))</f>
        <v/>
      </c>
      <c r="Q688" s="121">
        <f>IF(OR(N688="",WorkBudget=0),"",N688/WorkBudget-1)</f>
        <v/>
      </c>
      <c r="R688" s="79">
        <f>IF(N688="","",IF(N688&lt;=WorkBudget,0,IF(N688&lt;=TotalBudget,1,2)))</f>
        <v/>
      </c>
      <c r="S688" s="112">
        <f>IF(AND(OR(H688&lt;&gt;"",J688&lt;&gt;""),OR(L688="Pending",L688=""),C688&lt;&gt;""),C688+3,"")</f>
        <v/>
      </c>
      <c r="T688" s="79">
        <f>IF(S688="","",IF(AsOf&gt;S688,1,2))</f>
        <v/>
      </c>
      <c r="U688" s="79">
        <f>IF(T688="","","Decide on change order "&amp;B688&amp;": "&amp;H688&amp;" (+"&amp;CurSym&amp;" "&amp;FIXED(IF(J688="",0,J688),0)&amp;")")</f>
        <v/>
      </c>
    </row>
    <row r="689" ht="24" customHeight="1">
      <c r="B689" s="74" t="n"/>
      <c r="C689" s="109" t="n"/>
      <c r="D689" s="72" t="n"/>
      <c r="E689" s="72" t="n"/>
      <c r="F689" s="72" t="n"/>
      <c r="G689" s="72" t="n"/>
      <c r="H689" s="113" t="n"/>
      <c r="I689" s="72" t="n"/>
      <c r="J689" s="73" t="n"/>
      <c r="K689" s="89" t="n"/>
      <c r="L689" s="74" t="n"/>
      <c r="M689" s="109" t="n"/>
      <c r="N689" s="68">
        <f>IF(AND(H689="",J689=""),"",ForecastTotal+IF(L689="Approved",0,IF(J689="",0,J689)))</f>
        <v/>
      </c>
      <c r="O689" s="75">
        <f>IF(N689="","",ContAmt-MAX(0,N689-WorkBudget))</f>
        <v/>
      </c>
      <c r="P689" s="120">
        <f>IF(OR(N689="",ForecastEnd=""),"",ForecastEnd+IF(L689="Approved",0,IF(K689="",0,K689)))</f>
        <v/>
      </c>
      <c r="Q689" s="121">
        <f>IF(OR(N689="",WorkBudget=0),"",N689/WorkBudget-1)</f>
        <v/>
      </c>
      <c r="R689" s="79">
        <f>IF(N689="","",IF(N689&lt;=WorkBudget,0,IF(N689&lt;=TotalBudget,1,2)))</f>
        <v/>
      </c>
      <c r="S689" s="112">
        <f>IF(AND(OR(H689&lt;&gt;"",J689&lt;&gt;""),OR(L689="Pending",L689=""),C689&lt;&gt;""),C689+3,"")</f>
        <v/>
      </c>
      <c r="T689" s="79">
        <f>IF(S689="","",IF(AsOf&gt;S689,1,2))</f>
        <v/>
      </c>
      <c r="U689" s="79">
        <f>IF(T689="","","Decide on change order "&amp;B689&amp;": "&amp;H689&amp;" (+"&amp;CurSym&amp;" "&amp;FIXED(IF(J689="",0,J689),0)&amp;")")</f>
        <v/>
      </c>
    </row>
    <row r="690" ht="24" customHeight="1">
      <c r="B690" s="74" t="n"/>
      <c r="C690" s="109" t="n"/>
      <c r="D690" s="72" t="n"/>
      <c r="E690" s="72" t="n"/>
      <c r="F690" s="72" t="n"/>
      <c r="G690" s="72" t="n"/>
      <c r="H690" s="113" t="n"/>
      <c r="I690" s="72" t="n"/>
      <c r="J690" s="73" t="n"/>
      <c r="K690" s="89" t="n"/>
      <c r="L690" s="74" t="n"/>
      <c r="M690" s="109" t="n"/>
      <c r="N690" s="68">
        <f>IF(AND(H690="",J690=""),"",ForecastTotal+IF(L690="Approved",0,IF(J690="",0,J690)))</f>
        <v/>
      </c>
      <c r="O690" s="75">
        <f>IF(N690="","",ContAmt-MAX(0,N690-WorkBudget))</f>
        <v/>
      </c>
      <c r="P690" s="120">
        <f>IF(OR(N690="",ForecastEnd=""),"",ForecastEnd+IF(L690="Approved",0,IF(K690="",0,K690)))</f>
        <v/>
      </c>
      <c r="Q690" s="121">
        <f>IF(OR(N690="",WorkBudget=0),"",N690/WorkBudget-1)</f>
        <v/>
      </c>
      <c r="R690" s="79">
        <f>IF(N690="","",IF(N690&lt;=WorkBudget,0,IF(N690&lt;=TotalBudget,1,2)))</f>
        <v/>
      </c>
      <c r="S690" s="112">
        <f>IF(AND(OR(H690&lt;&gt;"",J690&lt;&gt;""),OR(L690="Pending",L690=""),C690&lt;&gt;""),C690+3,"")</f>
        <v/>
      </c>
      <c r="T690" s="79">
        <f>IF(S690="","",IF(AsOf&gt;S690,1,2))</f>
        <v/>
      </c>
      <c r="U690" s="79">
        <f>IF(T690="","","Decide on change order "&amp;B690&amp;": "&amp;H690&amp;" (+"&amp;CurSym&amp;" "&amp;FIXED(IF(J690="",0,J690),0)&amp;")")</f>
        <v/>
      </c>
    </row>
    <row r="691" ht="24" customHeight="1">
      <c r="B691" s="74" t="n"/>
      <c r="C691" s="109" t="n"/>
      <c r="D691" s="72" t="n"/>
      <c r="E691" s="72" t="n"/>
      <c r="F691" s="72" t="n"/>
      <c r="G691" s="72" t="n"/>
      <c r="H691" s="113" t="n"/>
      <c r="I691" s="72" t="n"/>
      <c r="J691" s="73" t="n"/>
      <c r="K691" s="89" t="n"/>
      <c r="L691" s="74" t="n"/>
      <c r="M691" s="109" t="n"/>
      <c r="N691" s="68">
        <f>IF(AND(H691="",J691=""),"",ForecastTotal+IF(L691="Approved",0,IF(J691="",0,J691)))</f>
        <v/>
      </c>
      <c r="O691" s="75">
        <f>IF(N691="","",ContAmt-MAX(0,N691-WorkBudget))</f>
        <v/>
      </c>
      <c r="P691" s="120">
        <f>IF(OR(N691="",ForecastEnd=""),"",ForecastEnd+IF(L691="Approved",0,IF(K691="",0,K691)))</f>
        <v/>
      </c>
      <c r="Q691" s="121">
        <f>IF(OR(N691="",WorkBudget=0),"",N691/WorkBudget-1)</f>
        <v/>
      </c>
      <c r="R691" s="79">
        <f>IF(N691="","",IF(N691&lt;=WorkBudget,0,IF(N691&lt;=TotalBudget,1,2)))</f>
        <v/>
      </c>
      <c r="S691" s="112">
        <f>IF(AND(OR(H691&lt;&gt;"",J691&lt;&gt;""),OR(L691="Pending",L691=""),C691&lt;&gt;""),C691+3,"")</f>
        <v/>
      </c>
      <c r="T691" s="79">
        <f>IF(S691="","",IF(AsOf&gt;S691,1,2))</f>
        <v/>
      </c>
      <c r="U691" s="79">
        <f>IF(T691="","","Decide on change order "&amp;B691&amp;": "&amp;H691&amp;" (+"&amp;CurSym&amp;" "&amp;FIXED(IF(J691="",0,J691),0)&amp;")")</f>
        <v/>
      </c>
    </row>
    <row r="692" ht="24" customHeight="1">
      <c r="B692" s="74" t="n"/>
      <c r="C692" s="109" t="n"/>
      <c r="D692" s="72" t="n"/>
      <c r="E692" s="72" t="n"/>
      <c r="F692" s="72" t="n"/>
      <c r="G692" s="72" t="n"/>
      <c r="H692" s="113" t="n"/>
      <c r="I692" s="72" t="n"/>
      <c r="J692" s="73" t="n"/>
      <c r="K692" s="89" t="n"/>
      <c r="L692" s="74" t="n"/>
      <c r="M692" s="109" t="n"/>
      <c r="N692" s="68">
        <f>IF(AND(H692="",J692=""),"",ForecastTotal+IF(L692="Approved",0,IF(J692="",0,J692)))</f>
        <v/>
      </c>
      <c r="O692" s="75">
        <f>IF(N692="","",ContAmt-MAX(0,N692-WorkBudget))</f>
        <v/>
      </c>
      <c r="P692" s="120">
        <f>IF(OR(N692="",ForecastEnd=""),"",ForecastEnd+IF(L692="Approved",0,IF(K692="",0,K692)))</f>
        <v/>
      </c>
      <c r="Q692" s="121">
        <f>IF(OR(N692="",WorkBudget=0),"",N692/WorkBudget-1)</f>
        <v/>
      </c>
      <c r="R692" s="79">
        <f>IF(N692="","",IF(N692&lt;=WorkBudget,0,IF(N692&lt;=TotalBudget,1,2)))</f>
        <v/>
      </c>
      <c r="S692" s="112">
        <f>IF(AND(OR(H692&lt;&gt;"",J692&lt;&gt;""),OR(L692="Pending",L692=""),C692&lt;&gt;""),C692+3,"")</f>
        <v/>
      </c>
      <c r="T692" s="79">
        <f>IF(S692="","",IF(AsOf&gt;S692,1,2))</f>
        <v/>
      </c>
      <c r="U692" s="79">
        <f>IF(T692="","","Decide on change order "&amp;B692&amp;": "&amp;H692&amp;" (+"&amp;CurSym&amp;" "&amp;FIXED(IF(J692="",0,J692),0)&amp;")")</f>
        <v/>
      </c>
    </row>
    <row r="693" ht="24" customHeight="1">
      <c r="B693" s="74" t="n"/>
      <c r="C693" s="109" t="n"/>
      <c r="D693" s="72" t="n"/>
      <c r="E693" s="72" t="n"/>
      <c r="F693" s="72" t="n"/>
      <c r="G693" s="72" t="n"/>
      <c r="H693" s="113" t="n"/>
      <c r="I693" s="72" t="n"/>
      <c r="J693" s="73" t="n"/>
      <c r="K693" s="89" t="n"/>
      <c r="L693" s="74" t="n"/>
      <c r="M693" s="109" t="n"/>
      <c r="N693" s="68">
        <f>IF(AND(H693="",J693=""),"",ForecastTotal+IF(L693="Approved",0,IF(J693="",0,J693)))</f>
        <v/>
      </c>
      <c r="O693" s="75">
        <f>IF(N693="","",ContAmt-MAX(0,N693-WorkBudget))</f>
        <v/>
      </c>
      <c r="P693" s="120">
        <f>IF(OR(N693="",ForecastEnd=""),"",ForecastEnd+IF(L693="Approved",0,IF(K693="",0,K693)))</f>
        <v/>
      </c>
      <c r="Q693" s="121">
        <f>IF(OR(N693="",WorkBudget=0),"",N693/WorkBudget-1)</f>
        <v/>
      </c>
      <c r="R693" s="79">
        <f>IF(N693="","",IF(N693&lt;=WorkBudget,0,IF(N693&lt;=TotalBudget,1,2)))</f>
        <v/>
      </c>
      <c r="S693" s="112">
        <f>IF(AND(OR(H693&lt;&gt;"",J693&lt;&gt;""),OR(L693="Pending",L693=""),C693&lt;&gt;""),C693+3,"")</f>
        <v/>
      </c>
      <c r="T693" s="79">
        <f>IF(S693="","",IF(AsOf&gt;S693,1,2))</f>
        <v/>
      </c>
      <c r="U693" s="79">
        <f>IF(T693="","","Decide on change order "&amp;B693&amp;": "&amp;H693&amp;" (+"&amp;CurSym&amp;" "&amp;FIXED(IF(J693="",0,J693),0)&amp;")")</f>
        <v/>
      </c>
    </row>
    <row r="694" ht="24" customHeight="1">
      <c r="B694" s="74" t="n"/>
      <c r="C694" s="109" t="n"/>
      <c r="D694" s="72" t="n"/>
      <c r="E694" s="72" t="n"/>
      <c r="F694" s="72" t="n"/>
      <c r="G694" s="72" t="n"/>
      <c r="H694" s="113" t="n"/>
      <c r="I694" s="72" t="n"/>
      <c r="J694" s="73" t="n"/>
      <c r="K694" s="89" t="n"/>
      <c r="L694" s="74" t="n"/>
      <c r="M694" s="109" t="n"/>
      <c r="N694" s="68">
        <f>IF(AND(H694="",J694=""),"",ForecastTotal+IF(L694="Approved",0,IF(J694="",0,J694)))</f>
        <v/>
      </c>
      <c r="O694" s="75">
        <f>IF(N694="","",ContAmt-MAX(0,N694-WorkBudget))</f>
        <v/>
      </c>
      <c r="P694" s="120">
        <f>IF(OR(N694="",ForecastEnd=""),"",ForecastEnd+IF(L694="Approved",0,IF(K694="",0,K694)))</f>
        <v/>
      </c>
      <c r="Q694" s="121">
        <f>IF(OR(N694="",WorkBudget=0),"",N694/WorkBudget-1)</f>
        <v/>
      </c>
      <c r="R694" s="79">
        <f>IF(N694="","",IF(N694&lt;=WorkBudget,0,IF(N694&lt;=TotalBudget,1,2)))</f>
        <v/>
      </c>
      <c r="S694" s="112">
        <f>IF(AND(OR(H694&lt;&gt;"",J694&lt;&gt;""),OR(L694="Pending",L694=""),C694&lt;&gt;""),C694+3,"")</f>
        <v/>
      </c>
      <c r="T694" s="79">
        <f>IF(S694="","",IF(AsOf&gt;S694,1,2))</f>
        <v/>
      </c>
      <c r="U694" s="79">
        <f>IF(T694="","","Decide on change order "&amp;B694&amp;": "&amp;H694&amp;" (+"&amp;CurSym&amp;" "&amp;FIXED(IF(J694="",0,J694),0)&amp;")")</f>
        <v/>
      </c>
    </row>
    <row r="695" ht="24" customHeight="1">
      <c r="B695" s="74" t="n"/>
      <c r="C695" s="109" t="n"/>
      <c r="D695" s="72" t="n"/>
      <c r="E695" s="72" t="n"/>
      <c r="F695" s="72" t="n"/>
      <c r="G695" s="72" t="n"/>
      <c r="H695" s="113" t="n"/>
      <c r="I695" s="72" t="n"/>
      <c r="J695" s="73" t="n"/>
      <c r="K695" s="89" t="n"/>
      <c r="L695" s="74" t="n"/>
      <c r="M695" s="109" t="n"/>
      <c r="N695" s="68">
        <f>IF(AND(H695="",J695=""),"",ForecastTotal+IF(L695="Approved",0,IF(J695="",0,J695)))</f>
        <v/>
      </c>
      <c r="O695" s="75">
        <f>IF(N695="","",ContAmt-MAX(0,N695-WorkBudget))</f>
        <v/>
      </c>
      <c r="P695" s="120">
        <f>IF(OR(N695="",ForecastEnd=""),"",ForecastEnd+IF(L695="Approved",0,IF(K695="",0,K695)))</f>
        <v/>
      </c>
      <c r="Q695" s="121">
        <f>IF(OR(N695="",WorkBudget=0),"",N695/WorkBudget-1)</f>
        <v/>
      </c>
      <c r="R695" s="79">
        <f>IF(N695="","",IF(N695&lt;=WorkBudget,0,IF(N695&lt;=TotalBudget,1,2)))</f>
        <v/>
      </c>
      <c r="S695" s="112">
        <f>IF(AND(OR(H695&lt;&gt;"",J695&lt;&gt;""),OR(L695="Pending",L695=""),C695&lt;&gt;""),C695+3,"")</f>
        <v/>
      </c>
      <c r="T695" s="79">
        <f>IF(S695="","",IF(AsOf&gt;S695,1,2))</f>
        <v/>
      </c>
      <c r="U695" s="79">
        <f>IF(T695="","","Decide on change order "&amp;B695&amp;": "&amp;H695&amp;" (+"&amp;CurSym&amp;" "&amp;FIXED(IF(J695="",0,J695),0)&amp;")")</f>
        <v/>
      </c>
    </row>
    <row r="696" ht="24" customHeight="1">
      <c r="B696" s="74" t="n"/>
      <c r="C696" s="109" t="n"/>
      <c r="D696" s="72" t="n"/>
      <c r="E696" s="72" t="n"/>
      <c r="F696" s="72" t="n"/>
      <c r="G696" s="72" t="n"/>
      <c r="H696" s="113" t="n"/>
      <c r="I696" s="72" t="n"/>
      <c r="J696" s="73" t="n"/>
      <c r="K696" s="89" t="n"/>
      <c r="L696" s="74" t="n"/>
      <c r="M696" s="109" t="n"/>
      <c r="N696" s="68">
        <f>IF(AND(H696="",J696=""),"",ForecastTotal+IF(L696="Approved",0,IF(J696="",0,J696)))</f>
        <v/>
      </c>
      <c r="O696" s="75">
        <f>IF(N696="","",ContAmt-MAX(0,N696-WorkBudget))</f>
        <v/>
      </c>
      <c r="P696" s="120">
        <f>IF(OR(N696="",ForecastEnd=""),"",ForecastEnd+IF(L696="Approved",0,IF(K696="",0,K696)))</f>
        <v/>
      </c>
      <c r="Q696" s="121">
        <f>IF(OR(N696="",WorkBudget=0),"",N696/WorkBudget-1)</f>
        <v/>
      </c>
      <c r="R696" s="79">
        <f>IF(N696="","",IF(N696&lt;=WorkBudget,0,IF(N696&lt;=TotalBudget,1,2)))</f>
        <v/>
      </c>
      <c r="S696" s="112">
        <f>IF(AND(OR(H696&lt;&gt;"",J696&lt;&gt;""),OR(L696="Pending",L696=""),C696&lt;&gt;""),C696+3,"")</f>
        <v/>
      </c>
      <c r="T696" s="79">
        <f>IF(S696="","",IF(AsOf&gt;S696,1,2))</f>
        <v/>
      </c>
      <c r="U696" s="79">
        <f>IF(T696="","","Decide on change order "&amp;B696&amp;": "&amp;H696&amp;" (+"&amp;CurSym&amp;" "&amp;FIXED(IF(J696="",0,J696),0)&amp;")")</f>
        <v/>
      </c>
    </row>
    <row r="697" ht="24" customHeight="1">
      <c r="B697" s="74" t="n"/>
      <c r="C697" s="109" t="n"/>
      <c r="D697" s="72" t="n"/>
      <c r="E697" s="72" t="n"/>
      <c r="F697" s="72" t="n"/>
      <c r="G697" s="72" t="n"/>
      <c r="H697" s="113" t="n"/>
      <c r="I697" s="72" t="n"/>
      <c r="J697" s="73" t="n"/>
      <c r="K697" s="89" t="n"/>
      <c r="L697" s="74" t="n"/>
      <c r="M697" s="109" t="n"/>
      <c r="N697" s="68">
        <f>IF(AND(H697="",J697=""),"",ForecastTotal+IF(L697="Approved",0,IF(J697="",0,J697)))</f>
        <v/>
      </c>
      <c r="O697" s="75">
        <f>IF(N697="","",ContAmt-MAX(0,N697-WorkBudget))</f>
        <v/>
      </c>
      <c r="P697" s="120">
        <f>IF(OR(N697="",ForecastEnd=""),"",ForecastEnd+IF(L697="Approved",0,IF(K697="",0,K697)))</f>
        <v/>
      </c>
      <c r="Q697" s="121">
        <f>IF(OR(N697="",WorkBudget=0),"",N697/WorkBudget-1)</f>
        <v/>
      </c>
      <c r="R697" s="79">
        <f>IF(N697="","",IF(N697&lt;=WorkBudget,0,IF(N697&lt;=TotalBudget,1,2)))</f>
        <v/>
      </c>
      <c r="S697" s="112">
        <f>IF(AND(OR(H697&lt;&gt;"",J697&lt;&gt;""),OR(L697="Pending",L697=""),C697&lt;&gt;""),C697+3,"")</f>
        <v/>
      </c>
      <c r="T697" s="79">
        <f>IF(S697="","",IF(AsOf&gt;S697,1,2))</f>
        <v/>
      </c>
      <c r="U697" s="79">
        <f>IF(T697="","","Decide on change order "&amp;B697&amp;": "&amp;H697&amp;" (+"&amp;CurSym&amp;" "&amp;FIXED(IF(J697="",0,J697),0)&amp;")")</f>
        <v/>
      </c>
    </row>
    <row r="698" ht="24" customHeight="1">
      <c r="B698" s="74" t="n"/>
      <c r="C698" s="109" t="n"/>
      <c r="D698" s="72" t="n"/>
      <c r="E698" s="72" t="n"/>
      <c r="F698" s="72" t="n"/>
      <c r="G698" s="72" t="n"/>
      <c r="H698" s="113" t="n"/>
      <c r="I698" s="72" t="n"/>
      <c r="J698" s="73" t="n"/>
      <c r="K698" s="89" t="n"/>
      <c r="L698" s="74" t="n"/>
      <c r="M698" s="109" t="n"/>
      <c r="N698" s="68">
        <f>IF(AND(H698="",J698=""),"",ForecastTotal+IF(L698="Approved",0,IF(J698="",0,J698)))</f>
        <v/>
      </c>
      <c r="O698" s="75">
        <f>IF(N698="","",ContAmt-MAX(0,N698-WorkBudget))</f>
        <v/>
      </c>
      <c r="P698" s="120">
        <f>IF(OR(N698="",ForecastEnd=""),"",ForecastEnd+IF(L698="Approved",0,IF(K698="",0,K698)))</f>
        <v/>
      </c>
      <c r="Q698" s="121">
        <f>IF(OR(N698="",WorkBudget=0),"",N698/WorkBudget-1)</f>
        <v/>
      </c>
      <c r="R698" s="79">
        <f>IF(N698="","",IF(N698&lt;=WorkBudget,0,IF(N698&lt;=TotalBudget,1,2)))</f>
        <v/>
      </c>
      <c r="S698" s="112">
        <f>IF(AND(OR(H698&lt;&gt;"",J698&lt;&gt;""),OR(L698="Pending",L698=""),C698&lt;&gt;""),C698+3,"")</f>
        <v/>
      </c>
      <c r="T698" s="79">
        <f>IF(S698="","",IF(AsOf&gt;S698,1,2))</f>
        <v/>
      </c>
      <c r="U698" s="79">
        <f>IF(T698="","","Decide on change order "&amp;B698&amp;": "&amp;H698&amp;" (+"&amp;CurSym&amp;" "&amp;FIXED(IF(J698="",0,J698),0)&amp;")")</f>
        <v/>
      </c>
    </row>
    <row r="699" ht="24" customHeight="1">
      <c r="B699" s="74" t="n"/>
      <c r="C699" s="109" t="n"/>
      <c r="D699" s="72" t="n"/>
      <c r="E699" s="72" t="n"/>
      <c r="F699" s="72" t="n"/>
      <c r="G699" s="72" t="n"/>
      <c r="H699" s="113" t="n"/>
      <c r="I699" s="72" t="n"/>
      <c r="J699" s="73" t="n"/>
      <c r="K699" s="89" t="n"/>
      <c r="L699" s="74" t="n"/>
      <c r="M699" s="109" t="n"/>
      <c r="N699" s="68">
        <f>IF(AND(H699="",J699=""),"",ForecastTotal+IF(L699="Approved",0,IF(J699="",0,J699)))</f>
        <v/>
      </c>
      <c r="O699" s="75">
        <f>IF(N699="","",ContAmt-MAX(0,N699-WorkBudget))</f>
        <v/>
      </c>
      <c r="P699" s="120">
        <f>IF(OR(N699="",ForecastEnd=""),"",ForecastEnd+IF(L699="Approved",0,IF(K699="",0,K699)))</f>
        <v/>
      </c>
      <c r="Q699" s="121">
        <f>IF(OR(N699="",WorkBudget=0),"",N699/WorkBudget-1)</f>
        <v/>
      </c>
      <c r="R699" s="79">
        <f>IF(N699="","",IF(N699&lt;=WorkBudget,0,IF(N699&lt;=TotalBudget,1,2)))</f>
        <v/>
      </c>
      <c r="S699" s="112">
        <f>IF(AND(OR(H699&lt;&gt;"",J699&lt;&gt;""),OR(L699="Pending",L699=""),C699&lt;&gt;""),C699+3,"")</f>
        <v/>
      </c>
      <c r="T699" s="79">
        <f>IF(S699="","",IF(AsOf&gt;S699,1,2))</f>
        <v/>
      </c>
      <c r="U699" s="79">
        <f>IF(T699="","","Decide on change order "&amp;B699&amp;": "&amp;H699&amp;" (+"&amp;CurSym&amp;" "&amp;FIXED(IF(J699="",0,J699),0)&amp;")")</f>
        <v/>
      </c>
    </row>
    <row r="700" ht="24" customHeight="1">
      <c r="B700" s="74" t="n"/>
      <c r="C700" s="109" t="n"/>
      <c r="D700" s="72" t="n"/>
      <c r="E700" s="72" t="n"/>
      <c r="F700" s="72" t="n"/>
      <c r="G700" s="72" t="n"/>
      <c r="H700" s="113" t="n"/>
      <c r="I700" s="72" t="n"/>
      <c r="J700" s="73" t="n"/>
      <c r="K700" s="89" t="n"/>
      <c r="L700" s="74" t="n"/>
      <c r="M700" s="109" t="n"/>
      <c r="N700" s="68">
        <f>IF(AND(H700="",J700=""),"",ForecastTotal+IF(L700="Approved",0,IF(J700="",0,J700)))</f>
        <v/>
      </c>
      <c r="O700" s="75">
        <f>IF(N700="","",ContAmt-MAX(0,N700-WorkBudget))</f>
        <v/>
      </c>
      <c r="P700" s="120">
        <f>IF(OR(N700="",ForecastEnd=""),"",ForecastEnd+IF(L700="Approved",0,IF(K700="",0,K700)))</f>
        <v/>
      </c>
      <c r="Q700" s="121">
        <f>IF(OR(N700="",WorkBudget=0),"",N700/WorkBudget-1)</f>
        <v/>
      </c>
      <c r="R700" s="79">
        <f>IF(N700="","",IF(N700&lt;=WorkBudget,0,IF(N700&lt;=TotalBudget,1,2)))</f>
        <v/>
      </c>
      <c r="S700" s="112">
        <f>IF(AND(OR(H700&lt;&gt;"",J700&lt;&gt;""),OR(L700="Pending",L700=""),C700&lt;&gt;""),C700+3,"")</f>
        <v/>
      </c>
      <c r="T700" s="79">
        <f>IF(S700="","",IF(AsOf&gt;S700,1,2))</f>
        <v/>
      </c>
      <c r="U700" s="79">
        <f>IF(T700="","","Decide on change order "&amp;B700&amp;": "&amp;H700&amp;" (+"&amp;CurSym&amp;" "&amp;FIXED(IF(J700="",0,J700),0)&amp;")")</f>
        <v/>
      </c>
    </row>
    <row r="701" ht="24" customHeight="1">
      <c r="B701" s="74" t="n"/>
      <c r="C701" s="109" t="n"/>
      <c r="D701" s="72" t="n"/>
      <c r="E701" s="72" t="n"/>
      <c r="F701" s="72" t="n"/>
      <c r="G701" s="72" t="n"/>
      <c r="H701" s="113" t="n"/>
      <c r="I701" s="72" t="n"/>
      <c r="J701" s="73" t="n"/>
      <c r="K701" s="89" t="n"/>
      <c r="L701" s="74" t="n"/>
      <c r="M701" s="109" t="n"/>
      <c r="N701" s="68">
        <f>IF(AND(H701="",J701=""),"",ForecastTotal+IF(L701="Approved",0,IF(J701="",0,J701)))</f>
        <v/>
      </c>
      <c r="O701" s="75">
        <f>IF(N701="","",ContAmt-MAX(0,N701-WorkBudget))</f>
        <v/>
      </c>
      <c r="P701" s="120">
        <f>IF(OR(N701="",ForecastEnd=""),"",ForecastEnd+IF(L701="Approved",0,IF(K701="",0,K701)))</f>
        <v/>
      </c>
      <c r="Q701" s="121">
        <f>IF(OR(N701="",WorkBudget=0),"",N701/WorkBudget-1)</f>
        <v/>
      </c>
      <c r="R701" s="79">
        <f>IF(N701="","",IF(N701&lt;=WorkBudget,0,IF(N701&lt;=TotalBudget,1,2)))</f>
        <v/>
      </c>
      <c r="S701" s="112">
        <f>IF(AND(OR(H701&lt;&gt;"",J701&lt;&gt;""),OR(L701="Pending",L701=""),C701&lt;&gt;""),C701+3,"")</f>
        <v/>
      </c>
      <c r="T701" s="79">
        <f>IF(S701="","",IF(AsOf&gt;S701,1,2))</f>
        <v/>
      </c>
      <c r="U701" s="79">
        <f>IF(T701="","","Decide on change order "&amp;B701&amp;": "&amp;H701&amp;" (+"&amp;CurSym&amp;" "&amp;FIXED(IF(J701="",0,J701),0)&amp;")")</f>
        <v/>
      </c>
    </row>
    <row r="702" ht="24" customHeight="1">
      <c r="B702" s="74" t="n"/>
      <c r="C702" s="109" t="n"/>
      <c r="D702" s="72" t="n"/>
      <c r="E702" s="72" t="n"/>
      <c r="F702" s="72" t="n"/>
      <c r="G702" s="72" t="n"/>
      <c r="H702" s="113" t="n"/>
      <c r="I702" s="72" t="n"/>
      <c r="J702" s="73" t="n"/>
      <c r="K702" s="89" t="n"/>
      <c r="L702" s="74" t="n"/>
      <c r="M702" s="109" t="n"/>
      <c r="N702" s="68">
        <f>IF(AND(H702="",J702=""),"",ForecastTotal+IF(L702="Approved",0,IF(J702="",0,J702)))</f>
        <v/>
      </c>
      <c r="O702" s="75">
        <f>IF(N702="","",ContAmt-MAX(0,N702-WorkBudget))</f>
        <v/>
      </c>
      <c r="P702" s="120">
        <f>IF(OR(N702="",ForecastEnd=""),"",ForecastEnd+IF(L702="Approved",0,IF(K702="",0,K702)))</f>
        <v/>
      </c>
      <c r="Q702" s="121">
        <f>IF(OR(N702="",WorkBudget=0),"",N702/WorkBudget-1)</f>
        <v/>
      </c>
      <c r="R702" s="79">
        <f>IF(N702="","",IF(N702&lt;=WorkBudget,0,IF(N702&lt;=TotalBudget,1,2)))</f>
        <v/>
      </c>
      <c r="S702" s="112">
        <f>IF(AND(OR(H702&lt;&gt;"",J702&lt;&gt;""),OR(L702="Pending",L702=""),C702&lt;&gt;""),C702+3,"")</f>
        <v/>
      </c>
      <c r="T702" s="79">
        <f>IF(S702="","",IF(AsOf&gt;S702,1,2))</f>
        <v/>
      </c>
      <c r="U702" s="79">
        <f>IF(T702="","","Decide on change order "&amp;B702&amp;": "&amp;H702&amp;" (+"&amp;CurSym&amp;" "&amp;FIXED(IF(J702="",0,J702),0)&amp;")")</f>
        <v/>
      </c>
    </row>
    <row r="703" ht="24" customHeight="1">
      <c r="B703" s="74" t="n"/>
      <c r="C703" s="109" t="n"/>
      <c r="D703" s="72" t="n"/>
      <c r="E703" s="72" t="n"/>
      <c r="F703" s="72" t="n"/>
      <c r="G703" s="72" t="n"/>
      <c r="H703" s="113" t="n"/>
      <c r="I703" s="72" t="n"/>
      <c r="J703" s="73" t="n"/>
      <c r="K703" s="89" t="n"/>
      <c r="L703" s="74" t="n"/>
      <c r="M703" s="109" t="n"/>
      <c r="N703" s="68">
        <f>IF(AND(H703="",J703=""),"",ForecastTotal+IF(L703="Approved",0,IF(J703="",0,J703)))</f>
        <v/>
      </c>
      <c r="O703" s="75">
        <f>IF(N703="","",ContAmt-MAX(0,N703-WorkBudget))</f>
        <v/>
      </c>
      <c r="P703" s="120">
        <f>IF(OR(N703="",ForecastEnd=""),"",ForecastEnd+IF(L703="Approved",0,IF(K703="",0,K703)))</f>
        <v/>
      </c>
      <c r="Q703" s="121">
        <f>IF(OR(N703="",WorkBudget=0),"",N703/WorkBudget-1)</f>
        <v/>
      </c>
      <c r="R703" s="79">
        <f>IF(N703="","",IF(N703&lt;=WorkBudget,0,IF(N703&lt;=TotalBudget,1,2)))</f>
        <v/>
      </c>
      <c r="S703" s="112">
        <f>IF(AND(OR(H703&lt;&gt;"",J703&lt;&gt;""),OR(L703="Pending",L703=""),C703&lt;&gt;""),C703+3,"")</f>
        <v/>
      </c>
      <c r="T703" s="79">
        <f>IF(S703="","",IF(AsOf&gt;S703,1,2))</f>
        <v/>
      </c>
      <c r="U703" s="79">
        <f>IF(T703="","","Decide on change order "&amp;B703&amp;": "&amp;H703&amp;" (+"&amp;CurSym&amp;" "&amp;FIXED(IF(J703="",0,J703),0)&amp;")")</f>
        <v/>
      </c>
    </row>
    <row r="704" ht="24" customHeight="1">
      <c r="B704" s="74" t="n"/>
      <c r="C704" s="109" t="n"/>
      <c r="D704" s="72" t="n"/>
      <c r="E704" s="72" t="n"/>
      <c r="F704" s="72" t="n"/>
      <c r="G704" s="72" t="n"/>
      <c r="H704" s="113" t="n"/>
      <c r="I704" s="72" t="n"/>
      <c r="J704" s="73" t="n"/>
      <c r="K704" s="89" t="n"/>
      <c r="L704" s="74" t="n"/>
      <c r="M704" s="109" t="n"/>
      <c r="N704" s="68">
        <f>IF(AND(H704="",J704=""),"",ForecastTotal+IF(L704="Approved",0,IF(J704="",0,J704)))</f>
        <v/>
      </c>
      <c r="O704" s="75">
        <f>IF(N704="","",ContAmt-MAX(0,N704-WorkBudget))</f>
        <v/>
      </c>
      <c r="P704" s="120">
        <f>IF(OR(N704="",ForecastEnd=""),"",ForecastEnd+IF(L704="Approved",0,IF(K704="",0,K704)))</f>
        <v/>
      </c>
      <c r="Q704" s="121">
        <f>IF(OR(N704="",WorkBudget=0),"",N704/WorkBudget-1)</f>
        <v/>
      </c>
      <c r="R704" s="79">
        <f>IF(N704="","",IF(N704&lt;=WorkBudget,0,IF(N704&lt;=TotalBudget,1,2)))</f>
        <v/>
      </c>
      <c r="S704" s="112">
        <f>IF(AND(OR(H704&lt;&gt;"",J704&lt;&gt;""),OR(L704="Pending",L704=""),C704&lt;&gt;""),C704+3,"")</f>
        <v/>
      </c>
      <c r="T704" s="79">
        <f>IF(S704="","",IF(AsOf&gt;S704,1,2))</f>
        <v/>
      </c>
      <c r="U704" s="79">
        <f>IF(T704="","","Decide on change order "&amp;B704&amp;": "&amp;H704&amp;" (+"&amp;CurSym&amp;" "&amp;FIXED(IF(J704="",0,J704),0)&amp;")")</f>
        <v/>
      </c>
    </row>
    <row r="705" ht="24" customHeight="1">
      <c r="B705" s="74" t="n"/>
      <c r="C705" s="109" t="n"/>
      <c r="D705" s="72" t="n"/>
      <c r="E705" s="72" t="n"/>
      <c r="F705" s="72" t="n"/>
      <c r="G705" s="72" t="n"/>
      <c r="H705" s="113" t="n"/>
      <c r="I705" s="72" t="n"/>
      <c r="J705" s="73" t="n"/>
      <c r="K705" s="89" t="n"/>
      <c r="L705" s="74" t="n"/>
      <c r="M705" s="109" t="n"/>
      <c r="N705" s="68">
        <f>IF(AND(H705="",J705=""),"",ForecastTotal+IF(L705="Approved",0,IF(J705="",0,J705)))</f>
        <v/>
      </c>
      <c r="O705" s="75">
        <f>IF(N705="","",ContAmt-MAX(0,N705-WorkBudget))</f>
        <v/>
      </c>
      <c r="P705" s="120">
        <f>IF(OR(N705="",ForecastEnd=""),"",ForecastEnd+IF(L705="Approved",0,IF(K705="",0,K705)))</f>
        <v/>
      </c>
      <c r="Q705" s="121">
        <f>IF(OR(N705="",WorkBudget=0),"",N705/WorkBudget-1)</f>
        <v/>
      </c>
      <c r="R705" s="79">
        <f>IF(N705="","",IF(N705&lt;=WorkBudget,0,IF(N705&lt;=TotalBudget,1,2)))</f>
        <v/>
      </c>
      <c r="S705" s="112">
        <f>IF(AND(OR(H705&lt;&gt;"",J705&lt;&gt;""),OR(L705="Pending",L705=""),C705&lt;&gt;""),C705+3,"")</f>
        <v/>
      </c>
      <c r="T705" s="79">
        <f>IF(S705="","",IF(AsOf&gt;S705,1,2))</f>
        <v/>
      </c>
      <c r="U705" s="79">
        <f>IF(T705="","","Decide on change order "&amp;B705&amp;": "&amp;H705&amp;" (+"&amp;CurSym&amp;" "&amp;FIXED(IF(J705="",0,J705),0)&amp;")")</f>
        <v/>
      </c>
    </row>
    <row r="706" ht="24" customHeight="1">
      <c r="B706" s="74" t="n"/>
      <c r="C706" s="109" t="n"/>
      <c r="D706" s="72" t="n"/>
      <c r="E706" s="72" t="n"/>
      <c r="F706" s="72" t="n"/>
      <c r="G706" s="72" t="n"/>
      <c r="H706" s="113" t="n"/>
      <c r="I706" s="72" t="n"/>
      <c r="J706" s="73" t="n"/>
      <c r="K706" s="89" t="n"/>
      <c r="L706" s="74" t="n"/>
      <c r="M706" s="109" t="n"/>
      <c r="N706" s="68">
        <f>IF(AND(H706="",J706=""),"",ForecastTotal+IF(L706="Approved",0,IF(J706="",0,J706)))</f>
        <v/>
      </c>
      <c r="O706" s="75">
        <f>IF(N706="","",ContAmt-MAX(0,N706-WorkBudget))</f>
        <v/>
      </c>
      <c r="P706" s="120">
        <f>IF(OR(N706="",ForecastEnd=""),"",ForecastEnd+IF(L706="Approved",0,IF(K706="",0,K706)))</f>
        <v/>
      </c>
      <c r="Q706" s="121">
        <f>IF(OR(N706="",WorkBudget=0),"",N706/WorkBudget-1)</f>
        <v/>
      </c>
      <c r="R706" s="79">
        <f>IF(N706="","",IF(N706&lt;=WorkBudget,0,IF(N706&lt;=TotalBudget,1,2)))</f>
        <v/>
      </c>
      <c r="S706" s="112">
        <f>IF(AND(OR(H706&lt;&gt;"",J706&lt;&gt;""),OR(L706="Pending",L706=""),C706&lt;&gt;""),C706+3,"")</f>
        <v/>
      </c>
      <c r="T706" s="79">
        <f>IF(S706="","",IF(AsOf&gt;S706,1,2))</f>
        <v/>
      </c>
      <c r="U706" s="79">
        <f>IF(T706="","","Decide on change order "&amp;B706&amp;": "&amp;H706&amp;" (+"&amp;CurSym&amp;" "&amp;FIXED(IF(J706="",0,J706),0)&amp;")")</f>
        <v/>
      </c>
    </row>
    <row r="707" ht="24" customHeight="1">
      <c r="B707" s="74" t="n"/>
      <c r="C707" s="109" t="n"/>
      <c r="D707" s="72" t="n"/>
      <c r="E707" s="72" t="n"/>
      <c r="F707" s="72" t="n"/>
      <c r="G707" s="72" t="n"/>
      <c r="H707" s="113" t="n"/>
      <c r="I707" s="72" t="n"/>
      <c r="J707" s="73" t="n"/>
      <c r="K707" s="89" t="n"/>
      <c r="L707" s="74" t="n"/>
      <c r="M707" s="109" t="n"/>
      <c r="N707" s="68">
        <f>IF(AND(H707="",J707=""),"",ForecastTotal+IF(L707="Approved",0,IF(J707="",0,J707)))</f>
        <v/>
      </c>
      <c r="O707" s="75">
        <f>IF(N707="","",ContAmt-MAX(0,N707-WorkBudget))</f>
        <v/>
      </c>
      <c r="P707" s="120">
        <f>IF(OR(N707="",ForecastEnd=""),"",ForecastEnd+IF(L707="Approved",0,IF(K707="",0,K707)))</f>
        <v/>
      </c>
      <c r="Q707" s="121">
        <f>IF(OR(N707="",WorkBudget=0),"",N707/WorkBudget-1)</f>
        <v/>
      </c>
      <c r="R707" s="79">
        <f>IF(N707="","",IF(N707&lt;=WorkBudget,0,IF(N707&lt;=TotalBudget,1,2)))</f>
        <v/>
      </c>
      <c r="S707" s="112">
        <f>IF(AND(OR(H707&lt;&gt;"",J707&lt;&gt;""),OR(L707="Pending",L707=""),C707&lt;&gt;""),C707+3,"")</f>
        <v/>
      </c>
      <c r="T707" s="79">
        <f>IF(S707="","",IF(AsOf&gt;S707,1,2))</f>
        <v/>
      </c>
      <c r="U707" s="79">
        <f>IF(T707="","","Decide on change order "&amp;B707&amp;": "&amp;H707&amp;" (+"&amp;CurSym&amp;" "&amp;FIXED(IF(J707="",0,J707),0)&amp;")")</f>
        <v/>
      </c>
    </row>
    <row r="708" ht="24" customHeight="1">
      <c r="B708" s="74" t="n"/>
      <c r="C708" s="109" t="n"/>
      <c r="D708" s="72" t="n"/>
      <c r="E708" s="72" t="n"/>
      <c r="F708" s="72" t="n"/>
      <c r="G708" s="72" t="n"/>
      <c r="H708" s="113" t="n"/>
      <c r="I708" s="72" t="n"/>
      <c r="J708" s="73" t="n"/>
      <c r="K708" s="89" t="n"/>
      <c r="L708" s="74" t="n"/>
      <c r="M708" s="109" t="n"/>
      <c r="N708" s="68">
        <f>IF(AND(H708="",J708=""),"",ForecastTotal+IF(L708="Approved",0,IF(J708="",0,J708)))</f>
        <v/>
      </c>
      <c r="O708" s="75">
        <f>IF(N708="","",ContAmt-MAX(0,N708-WorkBudget))</f>
        <v/>
      </c>
      <c r="P708" s="120">
        <f>IF(OR(N708="",ForecastEnd=""),"",ForecastEnd+IF(L708="Approved",0,IF(K708="",0,K708)))</f>
        <v/>
      </c>
      <c r="Q708" s="121">
        <f>IF(OR(N708="",WorkBudget=0),"",N708/WorkBudget-1)</f>
        <v/>
      </c>
      <c r="R708" s="79">
        <f>IF(N708="","",IF(N708&lt;=WorkBudget,0,IF(N708&lt;=TotalBudget,1,2)))</f>
        <v/>
      </c>
      <c r="S708" s="112">
        <f>IF(AND(OR(H708&lt;&gt;"",J708&lt;&gt;""),OR(L708="Pending",L708=""),C708&lt;&gt;""),C708+3,"")</f>
        <v/>
      </c>
      <c r="T708" s="79">
        <f>IF(S708="","",IF(AsOf&gt;S708,1,2))</f>
        <v/>
      </c>
      <c r="U708" s="79">
        <f>IF(T708="","","Decide on change order "&amp;B708&amp;": "&amp;H708&amp;" (+"&amp;CurSym&amp;" "&amp;FIXED(IF(J708="",0,J708),0)&amp;")")</f>
        <v/>
      </c>
    </row>
    <row r="709" ht="24" customHeight="1">
      <c r="B709" s="74" t="n"/>
      <c r="C709" s="109" t="n"/>
      <c r="D709" s="72" t="n"/>
      <c r="E709" s="72" t="n"/>
      <c r="F709" s="72" t="n"/>
      <c r="G709" s="72" t="n"/>
      <c r="H709" s="113" t="n"/>
      <c r="I709" s="72" t="n"/>
      <c r="J709" s="73" t="n"/>
      <c r="K709" s="89" t="n"/>
      <c r="L709" s="74" t="n"/>
      <c r="M709" s="109" t="n"/>
      <c r="N709" s="68">
        <f>IF(AND(H709="",J709=""),"",ForecastTotal+IF(L709="Approved",0,IF(J709="",0,J709)))</f>
        <v/>
      </c>
      <c r="O709" s="75">
        <f>IF(N709="","",ContAmt-MAX(0,N709-WorkBudget))</f>
        <v/>
      </c>
      <c r="P709" s="120">
        <f>IF(OR(N709="",ForecastEnd=""),"",ForecastEnd+IF(L709="Approved",0,IF(K709="",0,K709)))</f>
        <v/>
      </c>
      <c r="Q709" s="121">
        <f>IF(OR(N709="",WorkBudget=0),"",N709/WorkBudget-1)</f>
        <v/>
      </c>
      <c r="R709" s="79">
        <f>IF(N709="","",IF(N709&lt;=WorkBudget,0,IF(N709&lt;=TotalBudget,1,2)))</f>
        <v/>
      </c>
      <c r="S709" s="112">
        <f>IF(AND(OR(H709&lt;&gt;"",J709&lt;&gt;""),OR(L709="Pending",L709=""),C709&lt;&gt;""),C709+3,"")</f>
        <v/>
      </c>
      <c r="T709" s="79">
        <f>IF(S709="","",IF(AsOf&gt;S709,1,2))</f>
        <v/>
      </c>
      <c r="U709" s="79">
        <f>IF(T709="","","Decide on change order "&amp;B709&amp;": "&amp;H709&amp;" (+"&amp;CurSym&amp;" "&amp;FIXED(IF(J709="",0,J709),0)&amp;")")</f>
        <v/>
      </c>
    </row>
    <row r="710" ht="24" customHeight="1">
      <c r="B710" s="74" t="n"/>
      <c r="C710" s="109" t="n"/>
      <c r="D710" s="72" t="n"/>
      <c r="E710" s="72" t="n"/>
      <c r="F710" s="72" t="n"/>
      <c r="G710" s="72" t="n"/>
      <c r="H710" s="113" t="n"/>
      <c r="I710" s="72" t="n"/>
      <c r="J710" s="73" t="n"/>
      <c r="K710" s="89" t="n"/>
      <c r="L710" s="74" t="n"/>
      <c r="M710" s="109" t="n"/>
      <c r="N710" s="68">
        <f>IF(AND(H710="",J710=""),"",ForecastTotal+IF(L710="Approved",0,IF(J710="",0,J710)))</f>
        <v/>
      </c>
      <c r="O710" s="75">
        <f>IF(N710="","",ContAmt-MAX(0,N710-WorkBudget))</f>
        <v/>
      </c>
      <c r="P710" s="120">
        <f>IF(OR(N710="",ForecastEnd=""),"",ForecastEnd+IF(L710="Approved",0,IF(K710="",0,K710)))</f>
        <v/>
      </c>
      <c r="Q710" s="121">
        <f>IF(OR(N710="",WorkBudget=0),"",N710/WorkBudget-1)</f>
        <v/>
      </c>
      <c r="R710" s="79">
        <f>IF(N710="","",IF(N710&lt;=WorkBudget,0,IF(N710&lt;=TotalBudget,1,2)))</f>
        <v/>
      </c>
      <c r="S710" s="112">
        <f>IF(AND(OR(H710&lt;&gt;"",J710&lt;&gt;""),OR(L710="Pending",L710=""),C710&lt;&gt;""),C710+3,"")</f>
        <v/>
      </c>
      <c r="T710" s="79">
        <f>IF(S710="","",IF(AsOf&gt;S710,1,2))</f>
        <v/>
      </c>
      <c r="U710" s="79">
        <f>IF(T710="","","Decide on change order "&amp;B710&amp;": "&amp;H710&amp;" (+"&amp;CurSym&amp;" "&amp;FIXED(IF(J710="",0,J710),0)&amp;")")</f>
        <v/>
      </c>
    </row>
    <row r="711" ht="24" customHeight="1">
      <c r="B711" s="74" t="n"/>
      <c r="C711" s="109" t="n"/>
      <c r="D711" s="72" t="n"/>
      <c r="E711" s="72" t="n"/>
      <c r="F711" s="72" t="n"/>
      <c r="G711" s="72" t="n"/>
      <c r="H711" s="113" t="n"/>
      <c r="I711" s="72" t="n"/>
      <c r="J711" s="73" t="n"/>
      <c r="K711" s="89" t="n"/>
      <c r="L711" s="74" t="n"/>
      <c r="M711" s="109" t="n"/>
      <c r="N711" s="68">
        <f>IF(AND(H711="",J711=""),"",ForecastTotal+IF(L711="Approved",0,IF(J711="",0,J711)))</f>
        <v/>
      </c>
      <c r="O711" s="75">
        <f>IF(N711="","",ContAmt-MAX(0,N711-WorkBudget))</f>
        <v/>
      </c>
      <c r="P711" s="120">
        <f>IF(OR(N711="",ForecastEnd=""),"",ForecastEnd+IF(L711="Approved",0,IF(K711="",0,K711)))</f>
        <v/>
      </c>
      <c r="Q711" s="121">
        <f>IF(OR(N711="",WorkBudget=0),"",N711/WorkBudget-1)</f>
        <v/>
      </c>
      <c r="R711" s="79">
        <f>IF(N711="","",IF(N711&lt;=WorkBudget,0,IF(N711&lt;=TotalBudget,1,2)))</f>
        <v/>
      </c>
      <c r="S711" s="112">
        <f>IF(AND(OR(H711&lt;&gt;"",J711&lt;&gt;""),OR(L711="Pending",L711=""),C711&lt;&gt;""),C711+3,"")</f>
        <v/>
      </c>
      <c r="T711" s="79">
        <f>IF(S711="","",IF(AsOf&gt;S711,1,2))</f>
        <v/>
      </c>
      <c r="U711" s="79">
        <f>IF(T711="","","Decide on change order "&amp;B711&amp;": "&amp;H711&amp;" (+"&amp;CurSym&amp;" "&amp;FIXED(IF(J711="",0,J711),0)&amp;")")</f>
        <v/>
      </c>
    </row>
    <row r="712" ht="24" customHeight="1">
      <c r="B712" s="74" t="n"/>
      <c r="C712" s="109" t="n"/>
      <c r="D712" s="72" t="n"/>
      <c r="E712" s="72" t="n"/>
      <c r="F712" s="72" t="n"/>
      <c r="G712" s="72" t="n"/>
      <c r="H712" s="113" t="n"/>
      <c r="I712" s="72" t="n"/>
      <c r="J712" s="73" t="n"/>
      <c r="K712" s="89" t="n"/>
      <c r="L712" s="74" t="n"/>
      <c r="M712" s="109" t="n"/>
      <c r="N712" s="68">
        <f>IF(AND(H712="",J712=""),"",ForecastTotal+IF(L712="Approved",0,IF(J712="",0,J712)))</f>
        <v/>
      </c>
      <c r="O712" s="75">
        <f>IF(N712="","",ContAmt-MAX(0,N712-WorkBudget))</f>
        <v/>
      </c>
      <c r="P712" s="120">
        <f>IF(OR(N712="",ForecastEnd=""),"",ForecastEnd+IF(L712="Approved",0,IF(K712="",0,K712)))</f>
        <v/>
      </c>
      <c r="Q712" s="121">
        <f>IF(OR(N712="",WorkBudget=0),"",N712/WorkBudget-1)</f>
        <v/>
      </c>
      <c r="R712" s="79">
        <f>IF(N712="","",IF(N712&lt;=WorkBudget,0,IF(N712&lt;=TotalBudget,1,2)))</f>
        <v/>
      </c>
      <c r="S712" s="112">
        <f>IF(AND(OR(H712&lt;&gt;"",J712&lt;&gt;""),OR(L712="Pending",L712=""),C712&lt;&gt;""),C712+3,"")</f>
        <v/>
      </c>
      <c r="T712" s="79">
        <f>IF(S712="","",IF(AsOf&gt;S712,1,2))</f>
        <v/>
      </c>
      <c r="U712" s="79">
        <f>IF(T712="","","Decide on change order "&amp;B712&amp;": "&amp;H712&amp;" (+"&amp;CurSym&amp;" "&amp;FIXED(IF(J712="",0,J712),0)&amp;")")</f>
        <v/>
      </c>
    </row>
    <row r="713" ht="24" customHeight="1">
      <c r="B713" s="74" t="n"/>
      <c r="C713" s="109" t="n"/>
      <c r="D713" s="72" t="n"/>
      <c r="E713" s="72" t="n"/>
      <c r="F713" s="72" t="n"/>
      <c r="G713" s="72" t="n"/>
      <c r="H713" s="113" t="n"/>
      <c r="I713" s="72" t="n"/>
      <c r="J713" s="73" t="n"/>
      <c r="K713" s="89" t="n"/>
      <c r="L713" s="74" t="n"/>
      <c r="M713" s="109" t="n"/>
      <c r="N713" s="68">
        <f>IF(AND(H713="",J713=""),"",ForecastTotal+IF(L713="Approved",0,IF(J713="",0,J713)))</f>
        <v/>
      </c>
      <c r="O713" s="75">
        <f>IF(N713="","",ContAmt-MAX(0,N713-WorkBudget))</f>
        <v/>
      </c>
      <c r="P713" s="120">
        <f>IF(OR(N713="",ForecastEnd=""),"",ForecastEnd+IF(L713="Approved",0,IF(K713="",0,K713)))</f>
        <v/>
      </c>
      <c r="Q713" s="121">
        <f>IF(OR(N713="",WorkBudget=0),"",N713/WorkBudget-1)</f>
        <v/>
      </c>
      <c r="R713" s="79">
        <f>IF(N713="","",IF(N713&lt;=WorkBudget,0,IF(N713&lt;=TotalBudget,1,2)))</f>
        <v/>
      </c>
      <c r="S713" s="112">
        <f>IF(AND(OR(H713&lt;&gt;"",J713&lt;&gt;""),OR(L713="Pending",L713=""),C713&lt;&gt;""),C713+3,"")</f>
        <v/>
      </c>
      <c r="T713" s="79">
        <f>IF(S713="","",IF(AsOf&gt;S713,1,2))</f>
        <v/>
      </c>
      <c r="U713" s="79">
        <f>IF(T713="","","Decide on change order "&amp;B713&amp;": "&amp;H713&amp;" (+"&amp;CurSym&amp;" "&amp;FIXED(IF(J713="",0,J713),0)&amp;")")</f>
        <v/>
      </c>
    </row>
    <row r="714" ht="24" customHeight="1">
      <c r="B714" s="74" t="n"/>
      <c r="C714" s="109" t="n"/>
      <c r="D714" s="72" t="n"/>
      <c r="E714" s="72" t="n"/>
      <c r="F714" s="72" t="n"/>
      <c r="G714" s="72" t="n"/>
      <c r="H714" s="113" t="n"/>
      <c r="I714" s="72" t="n"/>
      <c r="J714" s="73" t="n"/>
      <c r="K714" s="89" t="n"/>
      <c r="L714" s="74" t="n"/>
      <c r="M714" s="109" t="n"/>
      <c r="N714" s="68">
        <f>IF(AND(H714="",J714=""),"",ForecastTotal+IF(L714="Approved",0,IF(J714="",0,J714)))</f>
        <v/>
      </c>
      <c r="O714" s="75">
        <f>IF(N714="","",ContAmt-MAX(0,N714-WorkBudget))</f>
        <v/>
      </c>
      <c r="P714" s="120">
        <f>IF(OR(N714="",ForecastEnd=""),"",ForecastEnd+IF(L714="Approved",0,IF(K714="",0,K714)))</f>
        <v/>
      </c>
      <c r="Q714" s="121">
        <f>IF(OR(N714="",WorkBudget=0),"",N714/WorkBudget-1)</f>
        <v/>
      </c>
      <c r="R714" s="79">
        <f>IF(N714="","",IF(N714&lt;=WorkBudget,0,IF(N714&lt;=TotalBudget,1,2)))</f>
        <v/>
      </c>
      <c r="S714" s="112">
        <f>IF(AND(OR(H714&lt;&gt;"",J714&lt;&gt;""),OR(L714="Pending",L714=""),C714&lt;&gt;""),C714+3,"")</f>
        <v/>
      </c>
      <c r="T714" s="79">
        <f>IF(S714="","",IF(AsOf&gt;S714,1,2))</f>
        <v/>
      </c>
      <c r="U714" s="79">
        <f>IF(T714="","","Decide on change order "&amp;B714&amp;": "&amp;H714&amp;" (+"&amp;CurSym&amp;" "&amp;FIXED(IF(J714="",0,J714),0)&amp;")")</f>
        <v/>
      </c>
    </row>
    <row r="715" ht="24" customHeight="1">
      <c r="B715" s="74" t="n"/>
      <c r="C715" s="109" t="n"/>
      <c r="D715" s="72" t="n"/>
      <c r="E715" s="72" t="n"/>
      <c r="F715" s="72" t="n"/>
      <c r="G715" s="72" t="n"/>
      <c r="H715" s="113" t="n"/>
      <c r="I715" s="72" t="n"/>
      <c r="J715" s="73" t="n"/>
      <c r="K715" s="89" t="n"/>
      <c r="L715" s="74" t="n"/>
      <c r="M715" s="109" t="n"/>
      <c r="N715" s="68">
        <f>IF(AND(H715="",J715=""),"",ForecastTotal+IF(L715="Approved",0,IF(J715="",0,J715)))</f>
        <v/>
      </c>
      <c r="O715" s="75">
        <f>IF(N715="","",ContAmt-MAX(0,N715-WorkBudget))</f>
        <v/>
      </c>
      <c r="P715" s="120">
        <f>IF(OR(N715="",ForecastEnd=""),"",ForecastEnd+IF(L715="Approved",0,IF(K715="",0,K715)))</f>
        <v/>
      </c>
      <c r="Q715" s="121">
        <f>IF(OR(N715="",WorkBudget=0),"",N715/WorkBudget-1)</f>
        <v/>
      </c>
      <c r="R715" s="79">
        <f>IF(N715="","",IF(N715&lt;=WorkBudget,0,IF(N715&lt;=TotalBudget,1,2)))</f>
        <v/>
      </c>
      <c r="S715" s="112">
        <f>IF(AND(OR(H715&lt;&gt;"",J715&lt;&gt;""),OR(L715="Pending",L715=""),C715&lt;&gt;""),C715+3,"")</f>
        <v/>
      </c>
      <c r="T715" s="79">
        <f>IF(S715="","",IF(AsOf&gt;S715,1,2))</f>
        <v/>
      </c>
      <c r="U715" s="79">
        <f>IF(T715="","","Decide on change order "&amp;B715&amp;": "&amp;H715&amp;" (+"&amp;CurSym&amp;" "&amp;FIXED(IF(J715="",0,J715),0)&amp;")")</f>
        <v/>
      </c>
    </row>
    <row r="716" ht="24" customHeight="1">
      <c r="B716" s="74" t="n"/>
      <c r="C716" s="109" t="n"/>
      <c r="D716" s="72" t="n"/>
      <c r="E716" s="72" t="n"/>
      <c r="F716" s="72" t="n"/>
      <c r="G716" s="72" t="n"/>
      <c r="H716" s="113" t="n"/>
      <c r="I716" s="72" t="n"/>
      <c r="J716" s="73" t="n"/>
      <c r="K716" s="89" t="n"/>
      <c r="L716" s="74" t="n"/>
      <c r="M716" s="109" t="n"/>
      <c r="N716" s="68">
        <f>IF(AND(H716="",J716=""),"",ForecastTotal+IF(L716="Approved",0,IF(J716="",0,J716)))</f>
        <v/>
      </c>
      <c r="O716" s="75">
        <f>IF(N716="","",ContAmt-MAX(0,N716-WorkBudget))</f>
        <v/>
      </c>
      <c r="P716" s="120">
        <f>IF(OR(N716="",ForecastEnd=""),"",ForecastEnd+IF(L716="Approved",0,IF(K716="",0,K716)))</f>
        <v/>
      </c>
      <c r="Q716" s="121">
        <f>IF(OR(N716="",WorkBudget=0),"",N716/WorkBudget-1)</f>
        <v/>
      </c>
      <c r="R716" s="79">
        <f>IF(N716="","",IF(N716&lt;=WorkBudget,0,IF(N716&lt;=TotalBudget,1,2)))</f>
        <v/>
      </c>
      <c r="S716" s="112">
        <f>IF(AND(OR(H716&lt;&gt;"",J716&lt;&gt;""),OR(L716="Pending",L716=""),C716&lt;&gt;""),C716+3,"")</f>
        <v/>
      </c>
      <c r="T716" s="79">
        <f>IF(S716="","",IF(AsOf&gt;S716,1,2))</f>
        <v/>
      </c>
      <c r="U716" s="79">
        <f>IF(T716="","","Decide on change order "&amp;B716&amp;": "&amp;H716&amp;" (+"&amp;CurSym&amp;" "&amp;FIXED(IF(J716="",0,J716),0)&amp;")")</f>
        <v/>
      </c>
    </row>
    <row r="717" ht="24" customHeight="1">
      <c r="B717" s="74" t="n"/>
      <c r="C717" s="109" t="n"/>
      <c r="D717" s="72" t="n"/>
      <c r="E717" s="72" t="n"/>
      <c r="F717" s="72" t="n"/>
      <c r="G717" s="72" t="n"/>
      <c r="H717" s="113" t="n"/>
      <c r="I717" s="72" t="n"/>
      <c r="J717" s="73" t="n"/>
      <c r="K717" s="89" t="n"/>
      <c r="L717" s="74" t="n"/>
      <c r="M717" s="109" t="n"/>
      <c r="N717" s="68">
        <f>IF(AND(H717="",J717=""),"",ForecastTotal+IF(L717="Approved",0,IF(J717="",0,J717)))</f>
        <v/>
      </c>
      <c r="O717" s="75">
        <f>IF(N717="","",ContAmt-MAX(0,N717-WorkBudget))</f>
        <v/>
      </c>
      <c r="P717" s="120">
        <f>IF(OR(N717="",ForecastEnd=""),"",ForecastEnd+IF(L717="Approved",0,IF(K717="",0,K717)))</f>
        <v/>
      </c>
      <c r="Q717" s="121">
        <f>IF(OR(N717="",WorkBudget=0),"",N717/WorkBudget-1)</f>
        <v/>
      </c>
      <c r="R717" s="79">
        <f>IF(N717="","",IF(N717&lt;=WorkBudget,0,IF(N717&lt;=TotalBudget,1,2)))</f>
        <v/>
      </c>
      <c r="S717" s="112">
        <f>IF(AND(OR(H717&lt;&gt;"",J717&lt;&gt;""),OR(L717="Pending",L717=""),C717&lt;&gt;""),C717+3,"")</f>
        <v/>
      </c>
      <c r="T717" s="79">
        <f>IF(S717="","",IF(AsOf&gt;S717,1,2))</f>
        <v/>
      </c>
      <c r="U717" s="79">
        <f>IF(T717="","","Decide on change order "&amp;B717&amp;": "&amp;H717&amp;" (+"&amp;CurSym&amp;" "&amp;FIXED(IF(J717="",0,J717),0)&amp;")")</f>
        <v/>
      </c>
    </row>
    <row r="718" ht="24" customHeight="1">
      <c r="B718" s="74" t="n"/>
      <c r="C718" s="109" t="n"/>
      <c r="D718" s="72" t="n"/>
      <c r="E718" s="72" t="n"/>
      <c r="F718" s="72" t="n"/>
      <c r="G718" s="72" t="n"/>
      <c r="H718" s="113" t="n"/>
      <c r="I718" s="72" t="n"/>
      <c r="J718" s="73" t="n"/>
      <c r="K718" s="89" t="n"/>
      <c r="L718" s="74" t="n"/>
      <c r="M718" s="109" t="n"/>
      <c r="N718" s="68">
        <f>IF(AND(H718="",J718=""),"",ForecastTotal+IF(L718="Approved",0,IF(J718="",0,J718)))</f>
        <v/>
      </c>
      <c r="O718" s="75">
        <f>IF(N718="","",ContAmt-MAX(0,N718-WorkBudget))</f>
        <v/>
      </c>
      <c r="P718" s="120">
        <f>IF(OR(N718="",ForecastEnd=""),"",ForecastEnd+IF(L718="Approved",0,IF(K718="",0,K718)))</f>
        <v/>
      </c>
      <c r="Q718" s="121">
        <f>IF(OR(N718="",WorkBudget=0),"",N718/WorkBudget-1)</f>
        <v/>
      </c>
      <c r="R718" s="79">
        <f>IF(N718="","",IF(N718&lt;=WorkBudget,0,IF(N718&lt;=TotalBudget,1,2)))</f>
        <v/>
      </c>
      <c r="S718" s="112">
        <f>IF(AND(OR(H718&lt;&gt;"",J718&lt;&gt;""),OR(L718="Pending",L718=""),C718&lt;&gt;""),C718+3,"")</f>
        <v/>
      </c>
      <c r="T718" s="79">
        <f>IF(S718="","",IF(AsOf&gt;S718,1,2))</f>
        <v/>
      </c>
      <c r="U718" s="79">
        <f>IF(T718="","","Decide on change order "&amp;B718&amp;": "&amp;H718&amp;" (+"&amp;CurSym&amp;" "&amp;FIXED(IF(J718="",0,J718),0)&amp;")")</f>
        <v/>
      </c>
    </row>
    <row r="719" ht="24" customHeight="1">
      <c r="B719" s="74" t="n"/>
      <c r="C719" s="109" t="n"/>
      <c r="D719" s="72" t="n"/>
      <c r="E719" s="72" t="n"/>
      <c r="F719" s="72" t="n"/>
      <c r="G719" s="72" t="n"/>
      <c r="H719" s="113" t="n"/>
      <c r="I719" s="72" t="n"/>
      <c r="J719" s="73" t="n"/>
      <c r="K719" s="89" t="n"/>
      <c r="L719" s="74" t="n"/>
      <c r="M719" s="109" t="n"/>
      <c r="N719" s="68">
        <f>IF(AND(H719="",J719=""),"",ForecastTotal+IF(L719="Approved",0,IF(J719="",0,J719)))</f>
        <v/>
      </c>
      <c r="O719" s="75">
        <f>IF(N719="","",ContAmt-MAX(0,N719-WorkBudget))</f>
        <v/>
      </c>
      <c r="P719" s="120">
        <f>IF(OR(N719="",ForecastEnd=""),"",ForecastEnd+IF(L719="Approved",0,IF(K719="",0,K719)))</f>
        <v/>
      </c>
      <c r="Q719" s="121">
        <f>IF(OR(N719="",WorkBudget=0),"",N719/WorkBudget-1)</f>
        <v/>
      </c>
      <c r="R719" s="79">
        <f>IF(N719="","",IF(N719&lt;=WorkBudget,0,IF(N719&lt;=TotalBudget,1,2)))</f>
        <v/>
      </c>
      <c r="S719" s="112">
        <f>IF(AND(OR(H719&lt;&gt;"",J719&lt;&gt;""),OR(L719="Pending",L719=""),C719&lt;&gt;""),C719+3,"")</f>
        <v/>
      </c>
      <c r="T719" s="79">
        <f>IF(S719="","",IF(AsOf&gt;S719,1,2))</f>
        <v/>
      </c>
      <c r="U719" s="79">
        <f>IF(T719="","","Decide on change order "&amp;B719&amp;": "&amp;H719&amp;" (+"&amp;CurSym&amp;" "&amp;FIXED(IF(J719="",0,J719),0)&amp;")")</f>
        <v/>
      </c>
    </row>
    <row r="720" ht="24" customHeight="1">
      <c r="B720" s="74" t="n"/>
      <c r="C720" s="109" t="n"/>
      <c r="D720" s="72" t="n"/>
      <c r="E720" s="72" t="n"/>
      <c r="F720" s="72" t="n"/>
      <c r="G720" s="72" t="n"/>
      <c r="H720" s="113" t="n"/>
      <c r="I720" s="72" t="n"/>
      <c r="J720" s="73" t="n"/>
      <c r="K720" s="89" t="n"/>
      <c r="L720" s="74" t="n"/>
      <c r="M720" s="109" t="n"/>
      <c r="N720" s="68">
        <f>IF(AND(H720="",J720=""),"",ForecastTotal+IF(L720="Approved",0,IF(J720="",0,J720)))</f>
        <v/>
      </c>
      <c r="O720" s="75">
        <f>IF(N720="","",ContAmt-MAX(0,N720-WorkBudget))</f>
        <v/>
      </c>
      <c r="P720" s="120">
        <f>IF(OR(N720="",ForecastEnd=""),"",ForecastEnd+IF(L720="Approved",0,IF(K720="",0,K720)))</f>
        <v/>
      </c>
      <c r="Q720" s="121">
        <f>IF(OR(N720="",WorkBudget=0),"",N720/WorkBudget-1)</f>
        <v/>
      </c>
      <c r="R720" s="79">
        <f>IF(N720="","",IF(N720&lt;=WorkBudget,0,IF(N720&lt;=TotalBudget,1,2)))</f>
        <v/>
      </c>
      <c r="S720" s="112">
        <f>IF(AND(OR(H720&lt;&gt;"",J720&lt;&gt;""),OR(L720="Pending",L720=""),C720&lt;&gt;""),C720+3,"")</f>
        <v/>
      </c>
      <c r="T720" s="79">
        <f>IF(S720="","",IF(AsOf&gt;S720,1,2))</f>
        <v/>
      </c>
      <c r="U720" s="79">
        <f>IF(T720="","","Decide on change order "&amp;B720&amp;": "&amp;H720&amp;" (+"&amp;CurSym&amp;" "&amp;FIXED(IF(J720="",0,J720),0)&amp;")")</f>
        <v/>
      </c>
    </row>
    <row r="721" ht="24" customHeight="1">
      <c r="B721" s="74" t="n"/>
      <c r="C721" s="109" t="n"/>
      <c r="D721" s="72" t="n"/>
      <c r="E721" s="72" t="n"/>
      <c r="F721" s="72" t="n"/>
      <c r="G721" s="72" t="n"/>
      <c r="H721" s="113" t="n"/>
      <c r="I721" s="72" t="n"/>
      <c r="J721" s="73" t="n"/>
      <c r="K721" s="89" t="n"/>
      <c r="L721" s="74" t="n"/>
      <c r="M721" s="109" t="n"/>
      <c r="N721" s="68">
        <f>IF(AND(H721="",J721=""),"",ForecastTotal+IF(L721="Approved",0,IF(J721="",0,J721)))</f>
        <v/>
      </c>
      <c r="O721" s="75">
        <f>IF(N721="","",ContAmt-MAX(0,N721-WorkBudget))</f>
        <v/>
      </c>
      <c r="P721" s="120">
        <f>IF(OR(N721="",ForecastEnd=""),"",ForecastEnd+IF(L721="Approved",0,IF(K721="",0,K721)))</f>
        <v/>
      </c>
      <c r="Q721" s="121">
        <f>IF(OR(N721="",WorkBudget=0),"",N721/WorkBudget-1)</f>
        <v/>
      </c>
      <c r="R721" s="79">
        <f>IF(N721="","",IF(N721&lt;=WorkBudget,0,IF(N721&lt;=TotalBudget,1,2)))</f>
        <v/>
      </c>
      <c r="S721" s="112">
        <f>IF(AND(OR(H721&lt;&gt;"",J721&lt;&gt;""),OR(L721="Pending",L721=""),C721&lt;&gt;""),C721+3,"")</f>
        <v/>
      </c>
      <c r="T721" s="79">
        <f>IF(S721="","",IF(AsOf&gt;S721,1,2))</f>
        <v/>
      </c>
      <c r="U721" s="79">
        <f>IF(T721="","","Decide on change order "&amp;B721&amp;": "&amp;H721&amp;" (+"&amp;CurSym&amp;" "&amp;FIXED(IF(J721="",0,J721),0)&amp;")")</f>
        <v/>
      </c>
    </row>
    <row r="722" ht="24" customHeight="1">
      <c r="B722" s="74" t="n"/>
      <c r="C722" s="109" t="n"/>
      <c r="D722" s="72" t="n"/>
      <c r="E722" s="72" t="n"/>
      <c r="F722" s="72" t="n"/>
      <c r="G722" s="72" t="n"/>
      <c r="H722" s="113" t="n"/>
      <c r="I722" s="72" t="n"/>
      <c r="J722" s="73" t="n"/>
      <c r="K722" s="89" t="n"/>
      <c r="L722" s="74" t="n"/>
      <c r="M722" s="109" t="n"/>
      <c r="N722" s="68">
        <f>IF(AND(H722="",J722=""),"",ForecastTotal+IF(L722="Approved",0,IF(J722="",0,J722)))</f>
        <v/>
      </c>
      <c r="O722" s="75">
        <f>IF(N722="","",ContAmt-MAX(0,N722-WorkBudget))</f>
        <v/>
      </c>
      <c r="P722" s="120">
        <f>IF(OR(N722="",ForecastEnd=""),"",ForecastEnd+IF(L722="Approved",0,IF(K722="",0,K722)))</f>
        <v/>
      </c>
      <c r="Q722" s="121">
        <f>IF(OR(N722="",WorkBudget=0),"",N722/WorkBudget-1)</f>
        <v/>
      </c>
      <c r="R722" s="79">
        <f>IF(N722="","",IF(N722&lt;=WorkBudget,0,IF(N722&lt;=TotalBudget,1,2)))</f>
        <v/>
      </c>
      <c r="S722" s="112">
        <f>IF(AND(OR(H722&lt;&gt;"",J722&lt;&gt;""),OR(L722="Pending",L722=""),C722&lt;&gt;""),C722+3,"")</f>
        <v/>
      </c>
      <c r="T722" s="79">
        <f>IF(S722="","",IF(AsOf&gt;S722,1,2))</f>
        <v/>
      </c>
      <c r="U722" s="79">
        <f>IF(T722="","","Decide on change order "&amp;B722&amp;": "&amp;H722&amp;" (+"&amp;CurSym&amp;" "&amp;FIXED(IF(J722="",0,J722),0)&amp;")")</f>
        <v/>
      </c>
    </row>
    <row r="723" ht="24" customHeight="1">
      <c r="B723" s="74" t="n"/>
      <c r="C723" s="109" t="n"/>
      <c r="D723" s="72" t="n"/>
      <c r="E723" s="72" t="n"/>
      <c r="F723" s="72" t="n"/>
      <c r="G723" s="72" t="n"/>
      <c r="H723" s="113" t="n"/>
      <c r="I723" s="72" t="n"/>
      <c r="J723" s="73" t="n"/>
      <c r="K723" s="89" t="n"/>
      <c r="L723" s="74" t="n"/>
      <c r="M723" s="109" t="n"/>
      <c r="N723" s="68">
        <f>IF(AND(H723="",J723=""),"",ForecastTotal+IF(L723="Approved",0,IF(J723="",0,J723)))</f>
        <v/>
      </c>
      <c r="O723" s="75">
        <f>IF(N723="","",ContAmt-MAX(0,N723-WorkBudget))</f>
        <v/>
      </c>
      <c r="P723" s="120">
        <f>IF(OR(N723="",ForecastEnd=""),"",ForecastEnd+IF(L723="Approved",0,IF(K723="",0,K723)))</f>
        <v/>
      </c>
      <c r="Q723" s="121">
        <f>IF(OR(N723="",WorkBudget=0),"",N723/WorkBudget-1)</f>
        <v/>
      </c>
      <c r="R723" s="79">
        <f>IF(N723="","",IF(N723&lt;=WorkBudget,0,IF(N723&lt;=TotalBudget,1,2)))</f>
        <v/>
      </c>
      <c r="S723" s="112">
        <f>IF(AND(OR(H723&lt;&gt;"",J723&lt;&gt;""),OR(L723="Pending",L723=""),C723&lt;&gt;""),C723+3,"")</f>
        <v/>
      </c>
      <c r="T723" s="79">
        <f>IF(S723="","",IF(AsOf&gt;S723,1,2))</f>
        <v/>
      </c>
      <c r="U723" s="79">
        <f>IF(T723="","","Decide on change order "&amp;B723&amp;": "&amp;H723&amp;" (+"&amp;CurSym&amp;" "&amp;FIXED(IF(J723="",0,J723),0)&amp;")")</f>
        <v/>
      </c>
    </row>
    <row r="724" ht="24" customHeight="1">
      <c r="B724" s="74" t="n"/>
      <c r="C724" s="109" t="n"/>
      <c r="D724" s="72" t="n"/>
      <c r="E724" s="72" t="n"/>
      <c r="F724" s="72" t="n"/>
      <c r="G724" s="72" t="n"/>
      <c r="H724" s="113" t="n"/>
      <c r="I724" s="72" t="n"/>
      <c r="J724" s="73" t="n"/>
      <c r="K724" s="89" t="n"/>
      <c r="L724" s="74" t="n"/>
      <c r="M724" s="109" t="n"/>
      <c r="N724" s="68">
        <f>IF(AND(H724="",J724=""),"",ForecastTotal+IF(L724="Approved",0,IF(J724="",0,J724)))</f>
        <v/>
      </c>
      <c r="O724" s="75">
        <f>IF(N724="","",ContAmt-MAX(0,N724-WorkBudget))</f>
        <v/>
      </c>
      <c r="P724" s="120">
        <f>IF(OR(N724="",ForecastEnd=""),"",ForecastEnd+IF(L724="Approved",0,IF(K724="",0,K724)))</f>
        <v/>
      </c>
      <c r="Q724" s="121">
        <f>IF(OR(N724="",WorkBudget=0),"",N724/WorkBudget-1)</f>
        <v/>
      </c>
      <c r="R724" s="79">
        <f>IF(N724="","",IF(N724&lt;=WorkBudget,0,IF(N724&lt;=TotalBudget,1,2)))</f>
        <v/>
      </c>
      <c r="S724" s="112">
        <f>IF(AND(OR(H724&lt;&gt;"",J724&lt;&gt;""),OR(L724="Pending",L724=""),C724&lt;&gt;""),C724+3,"")</f>
        <v/>
      </c>
      <c r="T724" s="79">
        <f>IF(S724="","",IF(AsOf&gt;S724,1,2))</f>
        <v/>
      </c>
      <c r="U724" s="79">
        <f>IF(T724="","","Decide on change order "&amp;B724&amp;": "&amp;H724&amp;" (+"&amp;CurSym&amp;" "&amp;FIXED(IF(J724="",0,J724),0)&amp;")")</f>
        <v/>
      </c>
    </row>
    <row r="725" ht="24" customHeight="1">
      <c r="B725" s="74" t="n"/>
      <c r="C725" s="109" t="n"/>
      <c r="D725" s="72" t="n"/>
      <c r="E725" s="72" t="n"/>
      <c r="F725" s="72" t="n"/>
      <c r="G725" s="72" t="n"/>
      <c r="H725" s="113" t="n"/>
      <c r="I725" s="72" t="n"/>
      <c r="J725" s="73" t="n"/>
      <c r="K725" s="89" t="n"/>
      <c r="L725" s="74" t="n"/>
      <c r="M725" s="109" t="n"/>
      <c r="N725" s="68">
        <f>IF(AND(H725="",J725=""),"",ForecastTotal+IF(L725="Approved",0,IF(J725="",0,J725)))</f>
        <v/>
      </c>
      <c r="O725" s="75">
        <f>IF(N725="","",ContAmt-MAX(0,N725-WorkBudget))</f>
        <v/>
      </c>
      <c r="P725" s="120">
        <f>IF(OR(N725="",ForecastEnd=""),"",ForecastEnd+IF(L725="Approved",0,IF(K725="",0,K725)))</f>
        <v/>
      </c>
      <c r="Q725" s="121">
        <f>IF(OR(N725="",WorkBudget=0),"",N725/WorkBudget-1)</f>
        <v/>
      </c>
      <c r="R725" s="79">
        <f>IF(N725="","",IF(N725&lt;=WorkBudget,0,IF(N725&lt;=TotalBudget,1,2)))</f>
        <v/>
      </c>
      <c r="S725" s="112">
        <f>IF(AND(OR(H725&lt;&gt;"",J725&lt;&gt;""),OR(L725="Pending",L725=""),C725&lt;&gt;""),C725+3,"")</f>
        <v/>
      </c>
      <c r="T725" s="79">
        <f>IF(S725="","",IF(AsOf&gt;S725,1,2))</f>
        <v/>
      </c>
      <c r="U725" s="79">
        <f>IF(T725="","","Decide on change order "&amp;B725&amp;": "&amp;H725&amp;" (+"&amp;CurSym&amp;" "&amp;FIXED(IF(J725="",0,J725),0)&amp;")")</f>
        <v/>
      </c>
    </row>
    <row r="726" ht="24" customHeight="1">
      <c r="B726" s="74" t="n"/>
      <c r="C726" s="109" t="n"/>
      <c r="D726" s="72" t="n"/>
      <c r="E726" s="72" t="n"/>
      <c r="F726" s="72" t="n"/>
      <c r="G726" s="72" t="n"/>
      <c r="H726" s="113" t="n"/>
      <c r="I726" s="72" t="n"/>
      <c r="J726" s="73" t="n"/>
      <c r="K726" s="89" t="n"/>
      <c r="L726" s="74" t="n"/>
      <c r="M726" s="109" t="n"/>
      <c r="N726" s="68">
        <f>IF(AND(H726="",J726=""),"",ForecastTotal+IF(L726="Approved",0,IF(J726="",0,J726)))</f>
        <v/>
      </c>
      <c r="O726" s="75">
        <f>IF(N726="","",ContAmt-MAX(0,N726-WorkBudget))</f>
        <v/>
      </c>
      <c r="P726" s="120">
        <f>IF(OR(N726="",ForecastEnd=""),"",ForecastEnd+IF(L726="Approved",0,IF(K726="",0,K726)))</f>
        <v/>
      </c>
      <c r="Q726" s="121">
        <f>IF(OR(N726="",WorkBudget=0),"",N726/WorkBudget-1)</f>
        <v/>
      </c>
      <c r="R726" s="79">
        <f>IF(N726="","",IF(N726&lt;=WorkBudget,0,IF(N726&lt;=TotalBudget,1,2)))</f>
        <v/>
      </c>
      <c r="S726" s="112">
        <f>IF(AND(OR(H726&lt;&gt;"",J726&lt;&gt;""),OR(L726="Pending",L726=""),C726&lt;&gt;""),C726+3,"")</f>
        <v/>
      </c>
      <c r="T726" s="79">
        <f>IF(S726="","",IF(AsOf&gt;S726,1,2))</f>
        <v/>
      </c>
      <c r="U726" s="79">
        <f>IF(T726="","","Decide on change order "&amp;B726&amp;": "&amp;H726&amp;" (+"&amp;CurSym&amp;" "&amp;FIXED(IF(J726="",0,J726),0)&amp;")")</f>
        <v/>
      </c>
    </row>
    <row r="727" ht="24" customHeight="1">
      <c r="B727" s="74" t="n"/>
      <c r="C727" s="109" t="n"/>
      <c r="D727" s="72" t="n"/>
      <c r="E727" s="72" t="n"/>
      <c r="F727" s="72" t="n"/>
      <c r="G727" s="72" t="n"/>
      <c r="H727" s="113" t="n"/>
      <c r="I727" s="72" t="n"/>
      <c r="J727" s="73" t="n"/>
      <c r="K727" s="89" t="n"/>
      <c r="L727" s="74" t="n"/>
      <c r="M727" s="109" t="n"/>
      <c r="N727" s="68">
        <f>IF(AND(H727="",J727=""),"",ForecastTotal+IF(L727="Approved",0,IF(J727="",0,J727)))</f>
        <v/>
      </c>
      <c r="O727" s="75">
        <f>IF(N727="","",ContAmt-MAX(0,N727-WorkBudget))</f>
        <v/>
      </c>
      <c r="P727" s="120">
        <f>IF(OR(N727="",ForecastEnd=""),"",ForecastEnd+IF(L727="Approved",0,IF(K727="",0,K727)))</f>
        <v/>
      </c>
      <c r="Q727" s="121">
        <f>IF(OR(N727="",WorkBudget=0),"",N727/WorkBudget-1)</f>
        <v/>
      </c>
      <c r="R727" s="79">
        <f>IF(N727="","",IF(N727&lt;=WorkBudget,0,IF(N727&lt;=TotalBudget,1,2)))</f>
        <v/>
      </c>
      <c r="S727" s="112">
        <f>IF(AND(OR(H727&lt;&gt;"",J727&lt;&gt;""),OR(L727="Pending",L727=""),C727&lt;&gt;""),C727+3,"")</f>
        <v/>
      </c>
      <c r="T727" s="79">
        <f>IF(S727="","",IF(AsOf&gt;S727,1,2))</f>
        <v/>
      </c>
      <c r="U727" s="79">
        <f>IF(T727="","","Decide on change order "&amp;B727&amp;": "&amp;H727&amp;" (+"&amp;CurSym&amp;" "&amp;FIXED(IF(J727="",0,J727),0)&amp;")")</f>
        <v/>
      </c>
    </row>
    <row r="728" ht="24" customHeight="1">
      <c r="B728" s="74" t="n"/>
      <c r="C728" s="109" t="n"/>
      <c r="D728" s="72" t="n"/>
      <c r="E728" s="72" t="n"/>
      <c r="F728" s="72" t="n"/>
      <c r="G728" s="72" t="n"/>
      <c r="H728" s="113" t="n"/>
      <c r="I728" s="72" t="n"/>
      <c r="J728" s="73" t="n"/>
      <c r="K728" s="89" t="n"/>
      <c r="L728" s="74" t="n"/>
      <c r="M728" s="109" t="n"/>
      <c r="N728" s="68">
        <f>IF(AND(H728="",J728=""),"",ForecastTotal+IF(L728="Approved",0,IF(J728="",0,J728)))</f>
        <v/>
      </c>
      <c r="O728" s="75">
        <f>IF(N728="","",ContAmt-MAX(0,N728-WorkBudget))</f>
        <v/>
      </c>
      <c r="P728" s="120">
        <f>IF(OR(N728="",ForecastEnd=""),"",ForecastEnd+IF(L728="Approved",0,IF(K728="",0,K728)))</f>
        <v/>
      </c>
      <c r="Q728" s="121">
        <f>IF(OR(N728="",WorkBudget=0),"",N728/WorkBudget-1)</f>
        <v/>
      </c>
      <c r="R728" s="79">
        <f>IF(N728="","",IF(N728&lt;=WorkBudget,0,IF(N728&lt;=TotalBudget,1,2)))</f>
        <v/>
      </c>
      <c r="S728" s="112">
        <f>IF(AND(OR(H728&lt;&gt;"",J728&lt;&gt;""),OR(L728="Pending",L728=""),C728&lt;&gt;""),C728+3,"")</f>
        <v/>
      </c>
      <c r="T728" s="79">
        <f>IF(S728="","",IF(AsOf&gt;S728,1,2))</f>
        <v/>
      </c>
      <c r="U728" s="79">
        <f>IF(T728="","","Decide on change order "&amp;B728&amp;": "&amp;H728&amp;" (+"&amp;CurSym&amp;" "&amp;FIXED(IF(J728="",0,J728),0)&amp;")")</f>
        <v/>
      </c>
    </row>
    <row r="729" ht="24" customHeight="1">
      <c r="B729" s="74" t="n"/>
      <c r="C729" s="109" t="n"/>
      <c r="D729" s="72" t="n"/>
      <c r="E729" s="72" t="n"/>
      <c r="F729" s="72" t="n"/>
      <c r="G729" s="72" t="n"/>
      <c r="H729" s="113" t="n"/>
      <c r="I729" s="72" t="n"/>
      <c r="J729" s="73" t="n"/>
      <c r="K729" s="89" t="n"/>
      <c r="L729" s="74" t="n"/>
      <c r="M729" s="109" t="n"/>
      <c r="N729" s="68">
        <f>IF(AND(H729="",J729=""),"",ForecastTotal+IF(L729="Approved",0,IF(J729="",0,J729)))</f>
        <v/>
      </c>
      <c r="O729" s="75">
        <f>IF(N729="","",ContAmt-MAX(0,N729-WorkBudget))</f>
        <v/>
      </c>
      <c r="P729" s="120">
        <f>IF(OR(N729="",ForecastEnd=""),"",ForecastEnd+IF(L729="Approved",0,IF(K729="",0,K729)))</f>
        <v/>
      </c>
      <c r="Q729" s="121">
        <f>IF(OR(N729="",WorkBudget=0),"",N729/WorkBudget-1)</f>
        <v/>
      </c>
      <c r="R729" s="79">
        <f>IF(N729="","",IF(N729&lt;=WorkBudget,0,IF(N729&lt;=TotalBudget,1,2)))</f>
        <v/>
      </c>
      <c r="S729" s="112">
        <f>IF(AND(OR(H729&lt;&gt;"",J729&lt;&gt;""),OR(L729="Pending",L729=""),C729&lt;&gt;""),C729+3,"")</f>
        <v/>
      </c>
      <c r="T729" s="79">
        <f>IF(S729="","",IF(AsOf&gt;S729,1,2))</f>
        <v/>
      </c>
      <c r="U729" s="79">
        <f>IF(T729="","","Decide on change order "&amp;B729&amp;": "&amp;H729&amp;" (+"&amp;CurSym&amp;" "&amp;FIXED(IF(J729="",0,J729),0)&amp;")")</f>
        <v/>
      </c>
    </row>
    <row r="730" ht="24" customHeight="1">
      <c r="B730" s="74" t="n"/>
      <c r="C730" s="109" t="n"/>
      <c r="D730" s="72" t="n"/>
      <c r="E730" s="72" t="n"/>
      <c r="F730" s="72" t="n"/>
      <c r="G730" s="72" t="n"/>
      <c r="H730" s="113" t="n"/>
      <c r="I730" s="72" t="n"/>
      <c r="J730" s="73" t="n"/>
      <c r="K730" s="89" t="n"/>
      <c r="L730" s="74" t="n"/>
      <c r="M730" s="109" t="n"/>
      <c r="N730" s="68">
        <f>IF(AND(H730="",J730=""),"",ForecastTotal+IF(L730="Approved",0,IF(J730="",0,J730)))</f>
        <v/>
      </c>
      <c r="O730" s="75">
        <f>IF(N730="","",ContAmt-MAX(0,N730-WorkBudget))</f>
        <v/>
      </c>
      <c r="P730" s="120">
        <f>IF(OR(N730="",ForecastEnd=""),"",ForecastEnd+IF(L730="Approved",0,IF(K730="",0,K730)))</f>
        <v/>
      </c>
      <c r="Q730" s="121">
        <f>IF(OR(N730="",WorkBudget=0),"",N730/WorkBudget-1)</f>
        <v/>
      </c>
      <c r="R730" s="79">
        <f>IF(N730="","",IF(N730&lt;=WorkBudget,0,IF(N730&lt;=TotalBudget,1,2)))</f>
        <v/>
      </c>
      <c r="S730" s="112">
        <f>IF(AND(OR(H730&lt;&gt;"",J730&lt;&gt;""),OR(L730="Pending",L730=""),C730&lt;&gt;""),C730+3,"")</f>
        <v/>
      </c>
      <c r="T730" s="79">
        <f>IF(S730="","",IF(AsOf&gt;S730,1,2))</f>
        <v/>
      </c>
      <c r="U730" s="79">
        <f>IF(T730="","","Decide on change order "&amp;B730&amp;": "&amp;H730&amp;" (+"&amp;CurSym&amp;" "&amp;FIXED(IF(J730="",0,J730),0)&amp;")")</f>
        <v/>
      </c>
    </row>
    <row r="731" ht="24" customHeight="1">
      <c r="B731" s="74" t="n"/>
      <c r="C731" s="109" t="n"/>
      <c r="D731" s="72" t="n"/>
      <c r="E731" s="72" t="n"/>
      <c r="F731" s="72" t="n"/>
      <c r="G731" s="72" t="n"/>
      <c r="H731" s="113" t="n"/>
      <c r="I731" s="72" t="n"/>
      <c r="J731" s="73" t="n"/>
      <c r="K731" s="89" t="n"/>
      <c r="L731" s="74" t="n"/>
      <c r="M731" s="109" t="n"/>
      <c r="N731" s="68">
        <f>IF(AND(H731="",J731=""),"",ForecastTotal+IF(L731="Approved",0,IF(J731="",0,J731)))</f>
        <v/>
      </c>
      <c r="O731" s="75">
        <f>IF(N731="","",ContAmt-MAX(0,N731-WorkBudget))</f>
        <v/>
      </c>
      <c r="P731" s="120">
        <f>IF(OR(N731="",ForecastEnd=""),"",ForecastEnd+IF(L731="Approved",0,IF(K731="",0,K731)))</f>
        <v/>
      </c>
      <c r="Q731" s="121">
        <f>IF(OR(N731="",WorkBudget=0),"",N731/WorkBudget-1)</f>
        <v/>
      </c>
      <c r="R731" s="79">
        <f>IF(N731="","",IF(N731&lt;=WorkBudget,0,IF(N731&lt;=TotalBudget,1,2)))</f>
        <v/>
      </c>
      <c r="S731" s="112">
        <f>IF(AND(OR(H731&lt;&gt;"",J731&lt;&gt;""),OR(L731="Pending",L731=""),C731&lt;&gt;""),C731+3,"")</f>
        <v/>
      </c>
      <c r="T731" s="79">
        <f>IF(S731="","",IF(AsOf&gt;S731,1,2))</f>
        <v/>
      </c>
      <c r="U731" s="79">
        <f>IF(T731="","","Decide on change order "&amp;B731&amp;": "&amp;H731&amp;" (+"&amp;CurSym&amp;" "&amp;FIXED(IF(J731="",0,J731),0)&amp;")")</f>
        <v/>
      </c>
    </row>
    <row r="732" ht="24" customHeight="1">
      <c r="B732" s="74" t="n"/>
      <c r="C732" s="109" t="n"/>
      <c r="D732" s="72" t="n"/>
      <c r="E732" s="72" t="n"/>
      <c r="F732" s="72" t="n"/>
      <c r="G732" s="72" t="n"/>
      <c r="H732" s="113" t="n"/>
      <c r="I732" s="72" t="n"/>
      <c r="J732" s="73" t="n"/>
      <c r="K732" s="89" t="n"/>
      <c r="L732" s="74" t="n"/>
      <c r="M732" s="109" t="n"/>
      <c r="N732" s="68">
        <f>IF(AND(H732="",J732=""),"",ForecastTotal+IF(L732="Approved",0,IF(J732="",0,J732)))</f>
        <v/>
      </c>
      <c r="O732" s="75">
        <f>IF(N732="","",ContAmt-MAX(0,N732-WorkBudget))</f>
        <v/>
      </c>
      <c r="P732" s="120">
        <f>IF(OR(N732="",ForecastEnd=""),"",ForecastEnd+IF(L732="Approved",0,IF(K732="",0,K732)))</f>
        <v/>
      </c>
      <c r="Q732" s="121">
        <f>IF(OR(N732="",WorkBudget=0),"",N732/WorkBudget-1)</f>
        <v/>
      </c>
      <c r="R732" s="79">
        <f>IF(N732="","",IF(N732&lt;=WorkBudget,0,IF(N732&lt;=TotalBudget,1,2)))</f>
        <v/>
      </c>
      <c r="S732" s="112">
        <f>IF(AND(OR(H732&lt;&gt;"",J732&lt;&gt;""),OR(L732="Pending",L732=""),C732&lt;&gt;""),C732+3,"")</f>
        <v/>
      </c>
      <c r="T732" s="79">
        <f>IF(S732="","",IF(AsOf&gt;S732,1,2))</f>
        <v/>
      </c>
      <c r="U732" s="79">
        <f>IF(T732="","","Decide on change order "&amp;B732&amp;": "&amp;H732&amp;" (+"&amp;CurSym&amp;" "&amp;FIXED(IF(J732="",0,J732),0)&amp;")")</f>
        <v/>
      </c>
    </row>
    <row r="733" ht="24" customHeight="1">
      <c r="B733" s="74" t="n"/>
      <c r="C733" s="109" t="n"/>
      <c r="D733" s="72" t="n"/>
      <c r="E733" s="72" t="n"/>
      <c r="F733" s="72" t="n"/>
      <c r="G733" s="72" t="n"/>
      <c r="H733" s="113" t="n"/>
      <c r="I733" s="72" t="n"/>
      <c r="J733" s="73" t="n"/>
      <c r="K733" s="89" t="n"/>
      <c r="L733" s="74" t="n"/>
      <c r="M733" s="109" t="n"/>
      <c r="N733" s="68">
        <f>IF(AND(H733="",J733=""),"",ForecastTotal+IF(L733="Approved",0,IF(J733="",0,J733)))</f>
        <v/>
      </c>
      <c r="O733" s="75">
        <f>IF(N733="","",ContAmt-MAX(0,N733-WorkBudget))</f>
        <v/>
      </c>
      <c r="P733" s="120">
        <f>IF(OR(N733="",ForecastEnd=""),"",ForecastEnd+IF(L733="Approved",0,IF(K733="",0,K733)))</f>
        <v/>
      </c>
      <c r="Q733" s="121">
        <f>IF(OR(N733="",WorkBudget=0),"",N733/WorkBudget-1)</f>
        <v/>
      </c>
      <c r="R733" s="79">
        <f>IF(N733="","",IF(N733&lt;=WorkBudget,0,IF(N733&lt;=TotalBudget,1,2)))</f>
        <v/>
      </c>
      <c r="S733" s="112">
        <f>IF(AND(OR(H733&lt;&gt;"",J733&lt;&gt;""),OR(L733="Pending",L733=""),C733&lt;&gt;""),C733+3,"")</f>
        <v/>
      </c>
      <c r="T733" s="79">
        <f>IF(S733="","",IF(AsOf&gt;S733,1,2))</f>
        <v/>
      </c>
      <c r="U733" s="79">
        <f>IF(T733="","","Decide on change order "&amp;B733&amp;": "&amp;H733&amp;" (+"&amp;CurSym&amp;" "&amp;FIXED(IF(J733="",0,J733),0)&amp;")")</f>
        <v/>
      </c>
    </row>
    <row r="734" ht="24" customHeight="1">
      <c r="B734" s="74" t="n"/>
      <c r="C734" s="109" t="n"/>
      <c r="D734" s="72" t="n"/>
      <c r="E734" s="72" t="n"/>
      <c r="F734" s="72" t="n"/>
      <c r="G734" s="72" t="n"/>
      <c r="H734" s="113" t="n"/>
      <c r="I734" s="72" t="n"/>
      <c r="J734" s="73" t="n"/>
      <c r="K734" s="89" t="n"/>
      <c r="L734" s="74" t="n"/>
      <c r="M734" s="109" t="n"/>
      <c r="N734" s="68">
        <f>IF(AND(H734="",J734=""),"",ForecastTotal+IF(L734="Approved",0,IF(J734="",0,J734)))</f>
        <v/>
      </c>
      <c r="O734" s="75">
        <f>IF(N734="","",ContAmt-MAX(0,N734-WorkBudget))</f>
        <v/>
      </c>
      <c r="P734" s="120">
        <f>IF(OR(N734="",ForecastEnd=""),"",ForecastEnd+IF(L734="Approved",0,IF(K734="",0,K734)))</f>
        <v/>
      </c>
      <c r="Q734" s="121">
        <f>IF(OR(N734="",WorkBudget=0),"",N734/WorkBudget-1)</f>
        <v/>
      </c>
      <c r="R734" s="79">
        <f>IF(N734="","",IF(N734&lt;=WorkBudget,0,IF(N734&lt;=TotalBudget,1,2)))</f>
        <v/>
      </c>
      <c r="S734" s="112">
        <f>IF(AND(OR(H734&lt;&gt;"",J734&lt;&gt;""),OR(L734="Pending",L734=""),C734&lt;&gt;""),C734+3,"")</f>
        <v/>
      </c>
      <c r="T734" s="79">
        <f>IF(S734="","",IF(AsOf&gt;S734,1,2))</f>
        <v/>
      </c>
      <c r="U734" s="79">
        <f>IF(T734="","","Decide on change order "&amp;B734&amp;": "&amp;H734&amp;" (+"&amp;CurSym&amp;" "&amp;FIXED(IF(J734="",0,J734),0)&amp;")")</f>
        <v/>
      </c>
    </row>
    <row r="735" ht="24" customHeight="1">
      <c r="B735" s="74" t="n"/>
      <c r="C735" s="109" t="n"/>
      <c r="D735" s="72" t="n"/>
      <c r="E735" s="72" t="n"/>
      <c r="F735" s="72" t="n"/>
      <c r="G735" s="72" t="n"/>
      <c r="H735" s="113" t="n"/>
      <c r="I735" s="72" t="n"/>
      <c r="J735" s="73" t="n"/>
      <c r="K735" s="89" t="n"/>
      <c r="L735" s="74" t="n"/>
      <c r="M735" s="109" t="n"/>
      <c r="N735" s="68">
        <f>IF(AND(H735="",J735=""),"",ForecastTotal+IF(L735="Approved",0,IF(J735="",0,J735)))</f>
        <v/>
      </c>
      <c r="O735" s="75">
        <f>IF(N735="","",ContAmt-MAX(0,N735-WorkBudget))</f>
        <v/>
      </c>
      <c r="P735" s="120">
        <f>IF(OR(N735="",ForecastEnd=""),"",ForecastEnd+IF(L735="Approved",0,IF(K735="",0,K735)))</f>
        <v/>
      </c>
      <c r="Q735" s="121">
        <f>IF(OR(N735="",WorkBudget=0),"",N735/WorkBudget-1)</f>
        <v/>
      </c>
      <c r="R735" s="79">
        <f>IF(N735="","",IF(N735&lt;=WorkBudget,0,IF(N735&lt;=TotalBudget,1,2)))</f>
        <v/>
      </c>
      <c r="S735" s="112">
        <f>IF(AND(OR(H735&lt;&gt;"",J735&lt;&gt;""),OR(L735="Pending",L735=""),C735&lt;&gt;""),C735+3,"")</f>
        <v/>
      </c>
      <c r="T735" s="79">
        <f>IF(S735="","",IF(AsOf&gt;S735,1,2))</f>
        <v/>
      </c>
      <c r="U735" s="79">
        <f>IF(T735="","","Decide on change order "&amp;B735&amp;": "&amp;H735&amp;" (+"&amp;CurSym&amp;" "&amp;FIXED(IF(J735="",0,J735),0)&amp;")")</f>
        <v/>
      </c>
    </row>
    <row r="736" ht="24" customHeight="1">
      <c r="B736" s="74" t="n"/>
      <c r="C736" s="109" t="n"/>
      <c r="D736" s="72" t="n"/>
      <c r="E736" s="72" t="n"/>
      <c r="F736" s="72" t="n"/>
      <c r="G736" s="72" t="n"/>
      <c r="H736" s="113" t="n"/>
      <c r="I736" s="72" t="n"/>
      <c r="J736" s="73" t="n"/>
      <c r="K736" s="89" t="n"/>
      <c r="L736" s="74" t="n"/>
      <c r="M736" s="109" t="n"/>
      <c r="N736" s="68">
        <f>IF(AND(H736="",J736=""),"",ForecastTotal+IF(L736="Approved",0,IF(J736="",0,J736)))</f>
        <v/>
      </c>
      <c r="O736" s="75">
        <f>IF(N736="","",ContAmt-MAX(0,N736-WorkBudget))</f>
        <v/>
      </c>
      <c r="P736" s="120">
        <f>IF(OR(N736="",ForecastEnd=""),"",ForecastEnd+IF(L736="Approved",0,IF(K736="",0,K736)))</f>
        <v/>
      </c>
      <c r="Q736" s="121">
        <f>IF(OR(N736="",WorkBudget=0),"",N736/WorkBudget-1)</f>
        <v/>
      </c>
      <c r="R736" s="79">
        <f>IF(N736="","",IF(N736&lt;=WorkBudget,0,IF(N736&lt;=TotalBudget,1,2)))</f>
        <v/>
      </c>
      <c r="S736" s="112">
        <f>IF(AND(OR(H736&lt;&gt;"",J736&lt;&gt;""),OR(L736="Pending",L736=""),C736&lt;&gt;""),C736+3,"")</f>
        <v/>
      </c>
      <c r="T736" s="79">
        <f>IF(S736="","",IF(AsOf&gt;S736,1,2))</f>
        <v/>
      </c>
      <c r="U736" s="79">
        <f>IF(T736="","","Decide on change order "&amp;B736&amp;": "&amp;H736&amp;" (+"&amp;CurSym&amp;" "&amp;FIXED(IF(J736="",0,J736),0)&amp;")")</f>
        <v/>
      </c>
    </row>
    <row r="737" ht="24" customHeight="1">
      <c r="B737" s="74" t="n"/>
      <c r="C737" s="109" t="n"/>
      <c r="D737" s="72" t="n"/>
      <c r="E737" s="72" t="n"/>
      <c r="F737" s="72" t="n"/>
      <c r="G737" s="72" t="n"/>
      <c r="H737" s="113" t="n"/>
      <c r="I737" s="72" t="n"/>
      <c r="J737" s="73" t="n"/>
      <c r="K737" s="89" t="n"/>
      <c r="L737" s="74" t="n"/>
      <c r="M737" s="109" t="n"/>
      <c r="N737" s="68">
        <f>IF(AND(H737="",J737=""),"",ForecastTotal+IF(L737="Approved",0,IF(J737="",0,J737)))</f>
        <v/>
      </c>
      <c r="O737" s="75">
        <f>IF(N737="","",ContAmt-MAX(0,N737-WorkBudget))</f>
        <v/>
      </c>
      <c r="P737" s="120">
        <f>IF(OR(N737="",ForecastEnd=""),"",ForecastEnd+IF(L737="Approved",0,IF(K737="",0,K737)))</f>
        <v/>
      </c>
      <c r="Q737" s="121">
        <f>IF(OR(N737="",WorkBudget=0),"",N737/WorkBudget-1)</f>
        <v/>
      </c>
      <c r="R737" s="79">
        <f>IF(N737="","",IF(N737&lt;=WorkBudget,0,IF(N737&lt;=TotalBudget,1,2)))</f>
        <v/>
      </c>
      <c r="S737" s="112">
        <f>IF(AND(OR(H737&lt;&gt;"",J737&lt;&gt;""),OR(L737="Pending",L737=""),C737&lt;&gt;""),C737+3,"")</f>
        <v/>
      </c>
      <c r="T737" s="79">
        <f>IF(S737="","",IF(AsOf&gt;S737,1,2))</f>
        <v/>
      </c>
      <c r="U737" s="79">
        <f>IF(T737="","","Decide on change order "&amp;B737&amp;": "&amp;H737&amp;" (+"&amp;CurSym&amp;" "&amp;FIXED(IF(J737="",0,J737),0)&amp;")")</f>
        <v/>
      </c>
    </row>
    <row r="738" ht="24" customHeight="1">
      <c r="B738" s="74" t="n"/>
      <c r="C738" s="109" t="n"/>
      <c r="D738" s="72" t="n"/>
      <c r="E738" s="72" t="n"/>
      <c r="F738" s="72" t="n"/>
      <c r="G738" s="72" t="n"/>
      <c r="H738" s="113" t="n"/>
      <c r="I738" s="72" t="n"/>
      <c r="J738" s="73" t="n"/>
      <c r="K738" s="89" t="n"/>
      <c r="L738" s="74" t="n"/>
      <c r="M738" s="109" t="n"/>
      <c r="N738" s="68">
        <f>IF(AND(H738="",J738=""),"",ForecastTotal+IF(L738="Approved",0,IF(J738="",0,J738)))</f>
        <v/>
      </c>
      <c r="O738" s="75">
        <f>IF(N738="","",ContAmt-MAX(0,N738-WorkBudget))</f>
        <v/>
      </c>
      <c r="P738" s="120">
        <f>IF(OR(N738="",ForecastEnd=""),"",ForecastEnd+IF(L738="Approved",0,IF(K738="",0,K738)))</f>
        <v/>
      </c>
      <c r="Q738" s="121">
        <f>IF(OR(N738="",WorkBudget=0),"",N738/WorkBudget-1)</f>
        <v/>
      </c>
      <c r="R738" s="79">
        <f>IF(N738="","",IF(N738&lt;=WorkBudget,0,IF(N738&lt;=TotalBudget,1,2)))</f>
        <v/>
      </c>
      <c r="S738" s="112">
        <f>IF(AND(OR(H738&lt;&gt;"",J738&lt;&gt;""),OR(L738="Pending",L738=""),C738&lt;&gt;""),C738+3,"")</f>
        <v/>
      </c>
      <c r="T738" s="79">
        <f>IF(S738="","",IF(AsOf&gt;S738,1,2))</f>
        <v/>
      </c>
      <c r="U738" s="79">
        <f>IF(T738="","","Decide on change order "&amp;B738&amp;": "&amp;H738&amp;" (+"&amp;CurSym&amp;" "&amp;FIXED(IF(J738="",0,J738),0)&amp;")")</f>
        <v/>
      </c>
    </row>
    <row r="739" ht="24" customHeight="1">
      <c r="B739" s="74" t="n"/>
      <c r="C739" s="109" t="n"/>
      <c r="D739" s="72" t="n"/>
      <c r="E739" s="72" t="n"/>
      <c r="F739" s="72" t="n"/>
      <c r="G739" s="72" t="n"/>
      <c r="H739" s="113" t="n"/>
      <c r="I739" s="72" t="n"/>
      <c r="J739" s="73" t="n"/>
      <c r="K739" s="89" t="n"/>
      <c r="L739" s="74" t="n"/>
      <c r="M739" s="109" t="n"/>
      <c r="N739" s="68">
        <f>IF(AND(H739="",J739=""),"",ForecastTotal+IF(L739="Approved",0,IF(J739="",0,J739)))</f>
        <v/>
      </c>
      <c r="O739" s="75">
        <f>IF(N739="","",ContAmt-MAX(0,N739-WorkBudget))</f>
        <v/>
      </c>
      <c r="P739" s="120">
        <f>IF(OR(N739="",ForecastEnd=""),"",ForecastEnd+IF(L739="Approved",0,IF(K739="",0,K739)))</f>
        <v/>
      </c>
      <c r="Q739" s="121">
        <f>IF(OR(N739="",WorkBudget=0),"",N739/WorkBudget-1)</f>
        <v/>
      </c>
      <c r="R739" s="79">
        <f>IF(N739="","",IF(N739&lt;=WorkBudget,0,IF(N739&lt;=TotalBudget,1,2)))</f>
        <v/>
      </c>
      <c r="S739" s="112">
        <f>IF(AND(OR(H739&lt;&gt;"",J739&lt;&gt;""),OR(L739="Pending",L739=""),C739&lt;&gt;""),C739+3,"")</f>
        <v/>
      </c>
      <c r="T739" s="79">
        <f>IF(S739="","",IF(AsOf&gt;S739,1,2))</f>
        <v/>
      </c>
      <c r="U739" s="79">
        <f>IF(T739="","","Decide on change order "&amp;B739&amp;": "&amp;H739&amp;" (+"&amp;CurSym&amp;" "&amp;FIXED(IF(J739="",0,J739),0)&amp;")")</f>
        <v/>
      </c>
    </row>
    <row r="740" ht="24" customHeight="1">
      <c r="B740" s="74" t="n"/>
      <c r="C740" s="109" t="n"/>
      <c r="D740" s="72" t="n"/>
      <c r="E740" s="72" t="n"/>
      <c r="F740" s="72" t="n"/>
      <c r="G740" s="72" t="n"/>
      <c r="H740" s="113" t="n"/>
      <c r="I740" s="72" t="n"/>
      <c r="J740" s="73" t="n"/>
      <c r="K740" s="89" t="n"/>
      <c r="L740" s="74" t="n"/>
      <c r="M740" s="109" t="n"/>
      <c r="N740" s="68">
        <f>IF(AND(H740="",J740=""),"",ForecastTotal+IF(L740="Approved",0,IF(J740="",0,J740)))</f>
        <v/>
      </c>
      <c r="O740" s="75">
        <f>IF(N740="","",ContAmt-MAX(0,N740-WorkBudget))</f>
        <v/>
      </c>
      <c r="P740" s="120">
        <f>IF(OR(N740="",ForecastEnd=""),"",ForecastEnd+IF(L740="Approved",0,IF(K740="",0,K740)))</f>
        <v/>
      </c>
      <c r="Q740" s="121">
        <f>IF(OR(N740="",WorkBudget=0),"",N740/WorkBudget-1)</f>
        <v/>
      </c>
      <c r="R740" s="79">
        <f>IF(N740="","",IF(N740&lt;=WorkBudget,0,IF(N740&lt;=TotalBudget,1,2)))</f>
        <v/>
      </c>
      <c r="S740" s="112">
        <f>IF(AND(OR(H740&lt;&gt;"",J740&lt;&gt;""),OR(L740="Pending",L740=""),C740&lt;&gt;""),C740+3,"")</f>
        <v/>
      </c>
      <c r="T740" s="79">
        <f>IF(S740="","",IF(AsOf&gt;S740,1,2))</f>
        <v/>
      </c>
      <c r="U740" s="79">
        <f>IF(T740="","","Decide on change order "&amp;B740&amp;": "&amp;H740&amp;" (+"&amp;CurSym&amp;" "&amp;FIXED(IF(J740="",0,J740),0)&amp;")")</f>
        <v/>
      </c>
    </row>
    <row r="741" ht="24" customHeight="1">
      <c r="B741" s="74" t="n"/>
      <c r="C741" s="109" t="n"/>
      <c r="D741" s="72" t="n"/>
      <c r="E741" s="72" t="n"/>
      <c r="F741" s="72" t="n"/>
      <c r="G741" s="72" t="n"/>
      <c r="H741" s="113" t="n"/>
      <c r="I741" s="72" t="n"/>
      <c r="J741" s="73" t="n"/>
      <c r="K741" s="89" t="n"/>
      <c r="L741" s="74" t="n"/>
      <c r="M741" s="109" t="n"/>
      <c r="N741" s="68">
        <f>IF(AND(H741="",J741=""),"",ForecastTotal+IF(L741="Approved",0,IF(J741="",0,J741)))</f>
        <v/>
      </c>
      <c r="O741" s="75">
        <f>IF(N741="","",ContAmt-MAX(0,N741-WorkBudget))</f>
        <v/>
      </c>
      <c r="P741" s="120">
        <f>IF(OR(N741="",ForecastEnd=""),"",ForecastEnd+IF(L741="Approved",0,IF(K741="",0,K741)))</f>
        <v/>
      </c>
      <c r="Q741" s="121">
        <f>IF(OR(N741="",WorkBudget=0),"",N741/WorkBudget-1)</f>
        <v/>
      </c>
      <c r="R741" s="79">
        <f>IF(N741="","",IF(N741&lt;=WorkBudget,0,IF(N741&lt;=TotalBudget,1,2)))</f>
        <v/>
      </c>
      <c r="S741" s="112">
        <f>IF(AND(OR(H741&lt;&gt;"",J741&lt;&gt;""),OR(L741="Pending",L741=""),C741&lt;&gt;""),C741+3,"")</f>
        <v/>
      </c>
      <c r="T741" s="79">
        <f>IF(S741="","",IF(AsOf&gt;S741,1,2))</f>
        <v/>
      </c>
      <c r="U741" s="79">
        <f>IF(T741="","","Decide on change order "&amp;B741&amp;": "&amp;H741&amp;" (+"&amp;CurSym&amp;" "&amp;FIXED(IF(J741="",0,J741),0)&amp;")")</f>
        <v/>
      </c>
    </row>
    <row r="742" ht="24" customHeight="1">
      <c r="B742" s="74" t="n"/>
      <c r="C742" s="109" t="n"/>
      <c r="D742" s="72" t="n"/>
      <c r="E742" s="72" t="n"/>
      <c r="F742" s="72" t="n"/>
      <c r="G742" s="72" t="n"/>
      <c r="H742" s="113" t="n"/>
      <c r="I742" s="72" t="n"/>
      <c r="J742" s="73" t="n"/>
      <c r="K742" s="89" t="n"/>
      <c r="L742" s="74" t="n"/>
      <c r="M742" s="109" t="n"/>
      <c r="N742" s="68">
        <f>IF(AND(H742="",J742=""),"",ForecastTotal+IF(L742="Approved",0,IF(J742="",0,J742)))</f>
        <v/>
      </c>
      <c r="O742" s="75">
        <f>IF(N742="","",ContAmt-MAX(0,N742-WorkBudget))</f>
        <v/>
      </c>
      <c r="P742" s="120">
        <f>IF(OR(N742="",ForecastEnd=""),"",ForecastEnd+IF(L742="Approved",0,IF(K742="",0,K742)))</f>
        <v/>
      </c>
      <c r="Q742" s="121">
        <f>IF(OR(N742="",WorkBudget=0),"",N742/WorkBudget-1)</f>
        <v/>
      </c>
      <c r="R742" s="79">
        <f>IF(N742="","",IF(N742&lt;=WorkBudget,0,IF(N742&lt;=TotalBudget,1,2)))</f>
        <v/>
      </c>
      <c r="S742" s="112">
        <f>IF(AND(OR(H742&lt;&gt;"",J742&lt;&gt;""),OR(L742="Pending",L742=""),C742&lt;&gt;""),C742+3,"")</f>
        <v/>
      </c>
      <c r="T742" s="79">
        <f>IF(S742="","",IF(AsOf&gt;S742,1,2))</f>
        <v/>
      </c>
      <c r="U742" s="79">
        <f>IF(T742="","","Decide on change order "&amp;B742&amp;": "&amp;H742&amp;" (+"&amp;CurSym&amp;" "&amp;FIXED(IF(J742="",0,J742),0)&amp;")")</f>
        <v/>
      </c>
    </row>
    <row r="743" ht="24" customHeight="1">
      <c r="B743" s="74" t="n"/>
      <c r="C743" s="109" t="n"/>
      <c r="D743" s="72" t="n"/>
      <c r="E743" s="72" t="n"/>
      <c r="F743" s="72" t="n"/>
      <c r="G743" s="72" t="n"/>
      <c r="H743" s="113" t="n"/>
      <c r="I743" s="72" t="n"/>
      <c r="J743" s="73" t="n"/>
      <c r="K743" s="89" t="n"/>
      <c r="L743" s="74" t="n"/>
      <c r="M743" s="109" t="n"/>
      <c r="N743" s="68">
        <f>IF(AND(H743="",J743=""),"",ForecastTotal+IF(L743="Approved",0,IF(J743="",0,J743)))</f>
        <v/>
      </c>
      <c r="O743" s="75">
        <f>IF(N743="","",ContAmt-MAX(0,N743-WorkBudget))</f>
        <v/>
      </c>
      <c r="P743" s="120">
        <f>IF(OR(N743="",ForecastEnd=""),"",ForecastEnd+IF(L743="Approved",0,IF(K743="",0,K743)))</f>
        <v/>
      </c>
      <c r="Q743" s="121">
        <f>IF(OR(N743="",WorkBudget=0),"",N743/WorkBudget-1)</f>
        <v/>
      </c>
      <c r="R743" s="79">
        <f>IF(N743="","",IF(N743&lt;=WorkBudget,0,IF(N743&lt;=TotalBudget,1,2)))</f>
        <v/>
      </c>
      <c r="S743" s="112">
        <f>IF(AND(OR(H743&lt;&gt;"",J743&lt;&gt;""),OR(L743="Pending",L743=""),C743&lt;&gt;""),C743+3,"")</f>
        <v/>
      </c>
      <c r="T743" s="79">
        <f>IF(S743="","",IF(AsOf&gt;S743,1,2))</f>
        <v/>
      </c>
      <c r="U743" s="79">
        <f>IF(T743="","","Decide on change order "&amp;B743&amp;": "&amp;H743&amp;" (+"&amp;CurSym&amp;" "&amp;FIXED(IF(J743="",0,J743),0)&amp;")")</f>
        <v/>
      </c>
    </row>
    <row r="744" ht="24" customHeight="1">
      <c r="B744" s="74" t="n"/>
      <c r="C744" s="109" t="n"/>
      <c r="D744" s="72" t="n"/>
      <c r="E744" s="72" t="n"/>
      <c r="F744" s="72" t="n"/>
      <c r="G744" s="72" t="n"/>
      <c r="H744" s="113" t="n"/>
      <c r="I744" s="72" t="n"/>
      <c r="J744" s="73" t="n"/>
      <c r="K744" s="89" t="n"/>
      <c r="L744" s="74" t="n"/>
      <c r="M744" s="109" t="n"/>
      <c r="N744" s="68">
        <f>IF(AND(H744="",J744=""),"",ForecastTotal+IF(L744="Approved",0,IF(J744="",0,J744)))</f>
        <v/>
      </c>
      <c r="O744" s="75">
        <f>IF(N744="","",ContAmt-MAX(0,N744-WorkBudget))</f>
        <v/>
      </c>
      <c r="P744" s="120">
        <f>IF(OR(N744="",ForecastEnd=""),"",ForecastEnd+IF(L744="Approved",0,IF(K744="",0,K744)))</f>
        <v/>
      </c>
      <c r="Q744" s="121">
        <f>IF(OR(N744="",WorkBudget=0),"",N744/WorkBudget-1)</f>
        <v/>
      </c>
      <c r="R744" s="79">
        <f>IF(N744="","",IF(N744&lt;=WorkBudget,0,IF(N744&lt;=TotalBudget,1,2)))</f>
        <v/>
      </c>
      <c r="S744" s="112">
        <f>IF(AND(OR(H744&lt;&gt;"",J744&lt;&gt;""),OR(L744="Pending",L744=""),C744&lt;&gt;""),C744+3,"")</f>
        <v/>
      </c>
      <c r="T744" s="79">
        <f>IF(S744="","",IF(AsOf&gt;S744,1,2))</f>
        <v/>
      </c>
      <c r="U744" s="79">
        <f>IF(T744="","","Decide on change order "&amp;B744&amp;": "&amp;H744&amp;" (+"&amp;CurSym&amp;" "&amp;FIXED(IF(J744="",0,J744),0)&amp;")")</f>
        <v/>
      </c>
    </row>
    <row r="745" ht="24" customHeight="1">
      <c r="B745" s="74" t="n"/>
      <c r="C745" s="109" t="n"/>
      <c r="D745" s="72" t="n"/>
      <c r="E745" s="72" t="n"/>
      <c r="F745" s="72" t="n"/>
      <c r="G745" s="72" t="n"/>
      <c r="H745" s="113" t="n"/>
      <c r="I745" s="72" t="n"/>
      <c r="J745" s="73" t="n"/>
      <c r="K745" s="89" t="n"/>
      <c r="L745" s="74" t="n"/>
      <c r="M745" s="109" t="n"/>
      <c r="N745" s="68">
        <f>IF(AND(H745="",J745=""),"",ForecastTotal+IF(L745="Approved",0,IF(J745="",0,J745)))</f>
        <v/>
      </c>
      <c r="O745" s="75">
        <f>IF(N745="","",ContAmt-MAX(0,N745-WorkBudget))</f>
        <v/>
      </c>
      <c r="P745" s="120">
        <f>IF(OR(N745="",ForecastEnd=""),"",ForecastEnd+IF(L745="Approved",0,IF(K745="",0,K745)))</f>
        <v/>
      </c>
      <c r="Q745" s="121">
        <f>IF(OR(N745="",WorkBudget=0),"",N745/WorkBudget-1)</f>
        <v/>
      </c>
      <c r="R745" s="79">
        <f>IF(N745="","",IF(N745&lt;=WorkBudget,0,IF(N745&lt;=TotalBudget,1,2)))</f>
        <v/>
      </c>
      <c r="S745" s="112">
        <f>IF(AND(OR(H745&lt;&gt;"",J745&lt;&gt;""),OR(L745="Pending",L745=""),C745&lt;&gt;""),C745+3,"")</f>
        <v/>
      </c>
      <c r="T745" s="79">
        <f>IF(S745="","",IF(AsOf&gt;S745,1,2))</f>
        <v/>
      </c>
      <c r="U745" s="79">
        <f>IF(T745="","","Decide on change order "&amp;B745&amp;": "&amp;H745&amp;" (+"&amp;CurSym&amp;" "&amp;FIXED(IF(J745="",0,J745),0)&amp;")")</f>
        <v/>
      </c>
    </row>
    <row r="746" ht="24" customHeight="1">
      <c r="B746" s="74" t="n"/>
      <c r="C746" s="109" t="n"/>
      <c r="D746" s="72" t="n"/>
      <c r="E746" s="72" t="n"/>
      <c r="F746" s="72" t="n"/>
      <c r="G746" s="72" t="n"/>
      <c r="H746" s="113" t="n"/>
      <c r="I746" s="72" t="n"/>
      <c r="J746" s="73" t="n"/>
      <c r="K746" s="89" t="n"/>
      <c r="L746" s="74" t="n"/>
      <c r="M746" s="109" t="n"/>
      <c r="N746" s="68">
        <f>IF(AND(H746="",J746=""),"",ForecastTotal+IF(L746="Approved",0,IF(J746="",0,J746)))</f>
        <v/>
      </c>
      <c r="O746" s="75">
        <f>IF(N746="","",ContAmt-MAX(0,N746-WorkBudget))</f>
        <v/>
      </c>
      <c r="P746" s="120">
        <f>IF(OR(N746="",ForecastEnd=""),"",ForecastEnd+IF(L746="Approved",0,IF(K746="",0,K746)))</f>
        <v/>
      </c>
      <c r="Q746" s="121">
        <f>IF(OR(N746="",WorkBudget=0),"",N746/WorkBudget-1)</f>
        <v/>
      </c>
      <c r="R746" s="79">
        <f>IF(N746="","",IF(N746&lt;=WorkBudget,0,IF(N746&lt;=TotalBudget,1,2)))</f>
        <v/>
      </c>
      <c r="S746" s="112">
        <f>IF(AND(OR(H746&lt;&gt;"",J746&lt;&gt;""),OR(L746="Pending",L746=""),C746&lt;&gt;""),C746+3,"")</f>
        <v/>
      </c>
      <c r="T746" s="79">
        <f>IF(S746="","",IF(AsOf&gt;S746,1,2))</f>
        <v/>
      </c>
      <c r="U746" s="79">
        <f>IF(T746="","","Decide on change order "&amp;B746&amp;": "&amp;H746&amp;" (+"&amp;CurSym&amp;" "&amp;FIXED(IF(J746="",0,J746),0)&amp;")")</f>
        <v/>
      </c>
    </row>
    <row r="747" ht="24" customHeight="1">
      <c r="B747" s="74" t="n"/>
      <c r="C747" s="109" t="n"/>
      <c r="D747" s="72" t="n"/>
      <c r="E747" s="72" t="n"/>
      <c r="F747" s="72" t="n"/>
      <c r="G747" s="72" t="n"/>
      <c r="H747" s="113" t="n"/>
      <c r="I747" s="72" t="n"/>
      <c r="J747" s="73" t="n"/>
      <c r="K747" s="89" t="n"/>
      <c r="L747" s="74" t="n"/>
      <c r="M747" s="109" t="n"/>
      <c r="N747" s="68">
        <f>IF(AND(H747="",J747=""),"",ForecastTotal+IF(L747="Approved",0,IF(J747="",0,J747)))</f>
        <v/>
      </c>
      <c r="O747" s="75">
        <f>IF(N747="","",ContAmt-MAX(0,N747-WorkBudget))</f>
        <v/>
      </c>
      <c r="P747" s="120">
        <f>IF(OR(N747="",ForecastEnd=""),"",ForecastEnd+IF(L747="Approved",0,IF(K747="",0,K747)))</f>
        <v/>
      </c>
      <c r="Q747" s="121">
        <f>IF(OR(N747="",WorkBudget=0),"",N747/WorkBudget-1)</f>
        <v/>
      </c>
      <c r="R747" s="79">
        <f>IF(N747="","",IF(N747&lt;=WorkBudget,0,IF(N747&lt;=TotalBudget,1,2)))</f>
        <v/>
      </c>
      <c r="S747" s="112">
        <f>IF(AND(OR(H747&lt;&gt;"",J747&lt;&gt;""),OR(L747="Pending",L747=""),C747&lt;&gt;""),C747+3,"")</f>
        <v/>
      </c>
      <c r="T747" s="79">
        <f>IF(S747="","",IF(AsOf&gt;S747,1,2))</f>
        <v/>
      </c>
      <c r="U747" s="79">
        <f>IF(T747="","","Decide on change order "&amp;B747&amp;": "&amp;H747&amp;" (+"&amp;CurSym&amp;" "&amp;FIXED(IF(J747="",0,J747),0)&amp;")")</f>
        <v/>
      </c>
    </row>
    <row r="748" ht="24" customHeight="1">
      <c r="B748" s="74" t="n"/>
      <c r="C748" s="109" t="n"/>
      <c r="D748" s="72" t="n"/>
      <c r="E748" s="72" t="n"/>
      <c r="F748" s="72" t="n"/>
      <c r="G748" s="72" t="n"/>
      <c r="H748" s="113" t="n"/>
      <c r="I748" s="72" t="n"/>
      <c r="J748" s="73" t="n"/>
      <c r="K748" s="89" t="n"/>
      <c r="L748" s="74" t="n"/>
      <c r="M748" s="109" t="n"/>
      <c r="N748" s="68">
        <f>IF(AND(H748="",J748=""),"",ForecastTotal+IF(L748="Approved",0,IF(J748="",0,J748)))</f>
        <v/>
      </c>
      <c r="O748" s="75">
        <f>IF(N748="","",ContAmt-MAX(0,N748-WorkBudget))</f>
        <v/>
      </c>
      <c r="P748" s="120">
        <f>IF(OR(N748="",ForecastEnd=""),"",ForecastEnd+IF(L748="Approved",0,IF(K748="",0,K748)))</f>
        <v/>
      </c>
      <c r="Q748" s="121">
        <f>IF(OR(N748="",WorkBudget=0),"",N748/WorkBudget-1)</f>
        <v/>
      </c>
      <c r="R748" s="79">
        <f>IF(N748="","",IF(N748&lt;=WorkBudget,0,IF(N748&lt;=TotalBudget,1,2)))</f>
        <v/>
      </c>
      <c r="S748" s="112">
        <f>IF(AND(OR(H748&lt;&gt;"",J748&lt;&gt;""),OR(L748="Pending",L748=""),C748&lt;&gt;""),C748+3,"")</f>
        <v/>
      </c>
      <c r="T748" s="79">
        <f>IF(S748="","",IF(AsOf&gt;S748,1,2))</f>
        <v/>
      </c>
      <c r="U748" s="79">
        <f>IF(T748="","","Decide on change order "&amp;B748&amp;": "&amp;H748&amp;" (+"&amp;CurSym&amp;" "&amp;FIXED(IF(J748="",0,J748),0)&amp;")")</f>
        <v/>
      </c>
    </row>
    <row r="749" ht="24" customHeight="1">
      <c r="B749" s="74" t="n"/>
      <c r="C749" s="109" t="n"/>
      <c r="D749" s="72" t="n"/>
      <c r="E749" s="72" t="n"/>
      <c r="F749" s="72" t="n"/>
      <c r="G749" s="72" t="n"/>
      <c r="H749" s="113" t="n"/>
      <c r="I749" s="72" t="n"/>
      <c r="J749" s="73" t="n"/>
      <c r="K749" s="89" t="n"/>
      <c r="L749" s="74" t="n"/>
      <c r="M749" s="109" t="n"/>
      <c r="N749" s="68">
        <f>IF(AND(H749="",J749=""),"",ForecastTotal+IF(L749="Approved",0,IF(J749="",0,J749)))</f>
        <v/>
      </c>
      <c r="O749" s="75">
        <f>IF(N749="","",ContAmt-MAX(0,N749-WorkBudget))</f>
        <v/>
      </c>
      <c r="P749" s="120">
        <f>IF(OR(N749="",ForecastEnd=""),"",ForecastEnd+IF(L749="Approved",0,IF(K749="",0,K749)))</f>
        <v/>
      </c>
      <c r="Q749" s="121">
        <f>IF(OR(N749="",WorkBudget=0),"",N749/WorkBudget-1)</f>
        <v/>
      </c>
      <c r="R749" s="79">
        <f>IF(N749="","",IF(N749&lt;=WorkBudget,0,IF(N749&lt;=TotalBudget,1,2)))</f>
        <v/>
      </c>
      <c r="S749" s="112">
        <f>IF(AND(OR(H749&lt;&gt;"",J749&lt;&gt;""),OR(L749="Pending",L749=""),C749&lt;&gt;""),C749+3,"")</f>
        <v/>
      </c>
      <c r="T749" s="79">
        <f>IF(S749="","",IF(AsOf&gt;S749,1,2))</f>
        <v/>
      </c>
      <c r="U749" s="79">
        <f>IF(T749="","","Decide on change order "&amp;B749&amp;": "&amp;H749&amp;" (+"&amp;CurSym&amp;" "&amp;FIXED(IF(J749="",0,J749),0)&amp;")")</f>
        <v/>
      </c>
    </row>
    <row r="750" ht="24" customHeight="1">
      <c r="B750" s="74" t="n"/>
      <c r="C750" s="109" t="n"/>
      <c r="D750" s="72" t="n"/>
      <c r="E750" s="72" t="n"/>
      <c r="F750" s="72" t="n"/>
      <c r="G750" s="72" t="n"/>
      <c r="H750" s="113" t="n"/>
      <c r="I750" s="72" t="n"/>
      <c r="J750" s="73" t="n"/>
      <c r="K750" s="89" t="n"/>
      <c r="L750" s="74" t="n"/>
      <c r="M750" s="109" t="n"/>
      <c r="N750" s="68">
        <f>IF(AND(H750="",J750=""),"",ForecastTotal+IF(L750="Approved",0,IF(J750="",0,J750)))</f>
        <v/>
      </c>
      <c r="O750" s="75">
        <f>IF(N750="","",ContAmt-MAX(0,N750-WorkBudget))</f>
        <v/>
      </c>
      <c r="P750" s="120">
        <f>IF(OR(N750="",ForecastEnd=""),"",ForecastEnd+IF(L750="Approved",0,IF(K750="",0,K750)))</f>
        <v/>
      </c>
      <c r="Q750" s="121">
        <f>IF(OR(N750="",WorkBudget=0),"",N750/WorkBudget-1)</f>
        <v/>
      </c>
      <c r="R750" s="79">
        <f>IF(N750="","",IF(N750&lt;=WorkBudget,0,IF(N750&lt;=TotalBudget,1,2)))</f>
        <v/>
      </c>
      <c r="S750" s="112">
        <f>IF(AND(OR(H750&lt;&gt;"",J750&lt;&gt;""),OR(L750="Pending",L750=""),C750&lt;&gt;""),C750+3,"")</f>
        <v/>
      </c>
      <c r="T750" s="79">
        <f>IF(S750="","",IF(AsOf&gt;S750,1,2))</f>
        <v/>
      </c>
      <c r="U750" s="79">
        <f>IF(T750="","","Decide on change order "&amp;B750&amp;": "&amp;H750&amp;" (+"&amp;CurSym&amp;" "&amp;FIXED(IF(J750="",0,J750),0)&amp;")")</f>
        <v/>
      </c>
    </row>
    <row r="751" ht="24" customHeight="1">
      <c r="B751" s="74" t="n"/>
      <c r="C751" s="109" t="n"/>
      <c r="D751" s="72" t="n"/>
      <c r="E751" s="72" t="n"/>
      <c r="F751" s="72" t="n"/>
      <c r="G751" s="72" t="n"/>
      <c r="H751" s="113" t="n"/>
      <c r="I751" s="72" t="n"/>
      <c r="J751" s="73" t="n"/>
      <c r="K751" s="89" t="n"/>
      <c r="L751" s="74" t="n"/>
      <c r="M751" s="109" t="n"/>
      <c r="N751" s="68">
        <f>IF(AND(H751="",J751=""),"",ForecastTotal+IF(L751="Approved",0,IF(J751="",0,J751)))</f>
        <v/>
      </c>
      <c r="O751" s="75">
        <f>IF(N751="","",ContAmt-MAX(0,N751-WorkBudget))</f>
        <v/>
      </c>
      <c r="P751" s="120">
        <f>IF(OR(N751="",ForecastEnd=""),"",ForecastEnd+IF(L751="Approved",0,IF(K751="",0,K751)))</f>
        <v/>
      </c>
      <c r="Q751" s="121">
        <f>IF(OR(N751="",WorkBudget=0),"",N751/WorkBudget-1)</f>
        <v/>
      </c>
      <c r="R751" s="79">
        <f>IF(N751="","",IF(N751&lt;=WorkBudget,0,IF(N751&lt;=TotalBudget,1,2)))</f>
        <v/>
      </c>
      <c r="S751" s="112">
        <f>IF(AND(OR(H751&lt;&gt;"",J751&lt;&gt;""),OR(L751="Pending",L751=""),C751&lt;&gt;""),C751+3,"")</f>
        <v/>
      </c>
      <c r="T751" s="79">
        <f>IF(S751="","",IF(AsOf&gt;S751,1,2))</f>
        <v/>
      </c>
      <c r="U751" s="79">
        <f>IF(T751="","","Decide on change order "&amp;B751&amp;": "&amp;H751&amp;" (+"&amp;CurSym&amp;" "&amp;FIXED(IF(J751="",0,J751),0)&amp;")")</f>
        <v/>
      </c>
    </row>
    <row r="752" ht="24" customHeight="1">
      <c r="B752" s="74" t="n"/>
      <c r="C752" s="109" t="n"/>
      <c r="D752" s="72" t="n"/>
      <c r="E752" s="72" t="n"/>
      <c r="F752" s="72" t="n"/>
      <c r="G752" s="72" t="n"/>
      <c r="H752" s="113" t="n"/>
      <c r="I752" s="72" t="n"/>
      <c r="J752" s="73" t="n"/>
      <c r="K752" s="89" t="n"/>
      <c r="L752" s="74" t="n"/>
      <c r="M752" s="109" t="n"/>
      <c r="N752" s="68">
        <f>IF(AND(H752="",J752=""),"",ForecastTotal+IF(L752="Approved",0,IF(J752="",0,J752)))</f>
        <v/>
      </c>
      <c r="O752" s="75">
        <f>IF(N752="","",ContAmt-MAX(0,N752-WorkBudget))</f>
        <v/>
      </c>
      <c r="P752" s="120">
        <f>IF(OR(N752="",ForecastEnd=""),"",ForecastEnd+IF(L752="Approved",0,IF(K752="",0,K752)))</f>
        <v/>
      </c>
      <c r="Q752" s="121">
        <f>IF(OR(N752="",WorkBudget=0),"",N752/WorkBudget-1)</f>
        <v/>
      </c>
      <c r="R752" s="79">
        <f>IF(N752="","",IF(N752&lt;=WorkBudget,0,IF(N752&lt;=TotalBudget,1,2)))</f>
        <v/>
      </c>
      <c r="S752" s="112">
        <f>IF(AND(OR(H752&lt;&gt;"",J752&lt;&gt;""),OR(L752="Pending",L752=""),C752&lt;&gt;""),C752+3,"")</f>
        <v/>
      </c>
      <c r="T752" s="79">
        <f>IF(S752="","",IF(AsOf&gt;S752,1,2))</f>
        <v/>
      </c>
      <c r="U752" s="79">
        <f>IF(T752="","","Decide on change order "&amp;B752&amp;": "&amp;H752&amp;" (+"&amp;CurSym&amp;" "&amp;FIXED(IF(J752="",0,J752),0)&amp;")")</f>
        <v/>
      </c>
    </row>
    <row r="753" ht="24" customHeight="1">
      <c r="B753" s="74" t="n"/>
      <c r="C753" s="109" t="n"/>
      <c r="D753" s="72" t="n"/>
      <c r="E753" s="72" t="n"/>
      <c r="F753" s="72" t="n"/>
      <c r="G753" s="72" t="n"/>
      <c r="H753" s="113" t="n"/>
      <c r="I753" s="72" t="n"/>
      <c r="J753" s="73" t="n"/>
      <c r="K753" s="89" t="n"/>
      <c r="L753" s="74" t="n"/>
      <c r="M753" s="109" t="n"/>
      <c r="N753" s="68">
        <f>IF(AND(H753="",J753=""),"",ForecastTotal+IF(L753="Approved",0,IF(J753="",0,J753)))</f>
        <v/>
      </c>
      <c r="O753" s="75">
        <f>IF(N753="","",ContAmt-MAX(0,N753-WorkBudget))</f>
        <v/>
      </c>
      <c r="P753" s="120">
        <f>IF(OR(N753="",ForecastEnd=""),"",ForecastEnd+IF(L753="Approved",0,IF(K753="",0,K753)))</f>
        <v/>
      </c>
      <c r="Q753" s="121">
        <f>IF(OR(N753="",WorkBudget=0),"",N753/WorkBudget-1)</f>
        <v/>
      </c>
      <c r="R753" s="79">
        <f>IF(N753="","",IF(N753&lt;=WorkBudget,0,IF(N753&lt;=TotalBudget,1,2)))</f>
        <v/>
      </c>
      <c r="S753" s="112">
        <f>IF(AND(OR(H753&lt;&gt;"",J753&lt;&gt;""),OR(L753="Pending",L753=""),C753&lt;&gt;""),C753+3,"")</f>
        <v/>
      </c>
      <c r="T753" s="79">
        <f>IF(S753="","",IF(AsOf&gt;S753,1,2))</f>
        <v/>
      </c>
      <c r="U753" s="79">
        <f>IF(T753="","","Decide on change order "&amp;B753&amp;": "&amp;H753&amp;" (+"&amp;CurSym&amp;" "&amp;FIXED(IF(J753="",0,J753),0)&amp;")")</f>
        <v/>
      </c>
    </row>
    <row r="754" ht="24" customHeight="1">
      <c r="B754" s="74" t="n"/>
      <c r="C754" s="109" t="n"/>
      <c r="D754" s="72" t="n"/>
      <c r="E754" s="72" t="n"/>
      <c r="F754" s="72" t="n"/>
      <c r="G754" s="72" t="n"/>
      <c r="H754" s="113" t="n"/>
      <c r="I754" s="72" t="n"/>
      <c r="J754" s="73" t="n"/>
      <c r="K754" s="89" t="n"/>
      <c r="L754" s="74" t="n"/>
      <c r="M754" s="109" t="n"/>
      <c r="N754" s="68">
        <f>IF(AND(H754="",J754=""),"",ForecastTotal+IF(L754="Approved",0,IF(J754="",0,J754)))</f>
        <v/>
      </c>
      <c r="O754" s="75">
        <f>IF(N754="","",ContAmt-MAX(0,N754-WorkBudget))</f>
        <v/>
      </c>
      <c r="P754" s="120">
        <f>IF(OR(N754="",ForecastEnd=""),"",ForecastEnd+IF(L754="Approved",0,IF(K754="",0,K754)))</f>
        <v/>
      </c>
      <c r="Q754" s="121">
        <f>IF(OR(N754="",WorkBudget=0),"",N754/WorkBudget-1)</f>
        <v/>
      </c>
      <c r="R754" s="79">
        <f>IF(N754="","",IF(N754&lt;=WorkBudget,0,IF(N754&lt;=TotalBudget,1,2)))</f>
        <v/>
      </c>
      <c r="S754" s="112">
        <f>IF(AND(OR(H754&lt;&gt;"",J754&lt;&gt;""),OR(L754="Pending",L754=""),C754&lt;&gt;""),C754+3,"")</f>
        <v/>
      </c>
      <c r="T754" s="79">
        <f>IF(S754="","",IF(AsOf&gt;S754,1,2))</f>
        <v/>
      </c>
      <c r="U754" s="79">
        <f>IF(T754="","","Decide on change order "&amp;B754&amp;": "&amp;H754&amp;" (+"&amp;CurSym&amp;" "&amp;FIXED(IF(J754="",0,J754),0)&amp;")")</f>
        <v/>
      </c>
    </row>
    <row r="755" ht="24" customHeight="1">
      <c r="B755" s="74" t="n"/>
      <c r="C755" s="109" t="n"/>
      <c r="D755" s="72" t="n"/>
      <c r="E755" s="72" t="n"/>
      <c r="F755" s="72" t="n"/>
      <c r="G755" s="72" t="n"/>
      <c r="H755" s="113" t="n"/>
      <c r="I755" s="72" t="n"/>
      <c r="J755" s="73" t="n"/>
      <c r="K755" s="89" t="n"/>
      <c r="L755" s="74" t="n"/>
      <c r="M755" s="109" t="n"/>
      <c r="N755" s="68">
        <f>IF(AND(H755="",J755=""),"",ForecastTotal+IF(L755="Approved",0,IF(J755="",0,J755)))</f>
        <v/>
      </c>
      <c r="O755" s="75">
        <f>IF(N755="","",ContAmt-MAX(0,N755-WorkBudget))</f>
        <v/>
      </c>
      <c r="P755" s="120">
        <f>IF(OR(N755="",ForecastEnd=""),"",ForecastEnd+IF(L755="Approved",0,IF(K755="",0,K755)))</f>
        <v/>
      </c>
      <c r="Q755" s="121">
        <f>IF(OR(N755="",WorkBudget=0),"",N755/WorkBudget-1)</f>
        <v/>
      </c>
      <c r="R755" s="79">
        <f>IF(N755="","",IF(N755&lt;=WorkBudget,0,IF(N755&lt;=TotalBudget,1,2)))</f>
        <v/>
      </c>
      <c r="S755" s="112">
        <f>IF(AND(OR(H755&lt;&gt;"",J755&lt;&gt;""),OR(L755="Pending",L755=""),C755&lt;&gt;""),C755+3,"")</f>
        <v/>
      </c>
      <c r="T755" s="79">
        <f>IF(S755="","",IF(AsOf&gt;S755,1,2))</f>
        <v/>
      </c>
      <c r="U755" s="79">
        <f>IF(T755="","","Decide on change order "&amp;B755&amp;": "&amp;H755&amp;" (+"&amp;CurSym&amp;" "&amp;FIXED(IF(J755="",0,J755),0)&amp;")")</f>
        <v/>
      </c>
    </row>
    <row r="756" ht="24" customHeight="1">
      <c r="B756" s="74" t="n"/>
      <c r="C756" s="109" t="n"/>
      <c r="D756" s="72" t="n"/>
      <c r="E756" s="72" t="n"/>
      <c r="F756" s="72" t="n"/>
      <c r="G756" s="72" t="n"/>
      <c r="H756" s="113" t="n"/>
      <c r="I756" s="72" t="n"/>
      <c r="J756" s="73" t="n"/>
      <c r="K756" s="89" t="n"/>
      <c r="L756" s="74" t="n"/>
      <c r="M756" s="109" t="n"/>
      <c r="N756" s="68">
        <f>IF(AND(H756="",J756=""),"",ForecastTotal+IF(L756="Approved",0,IF(J756="",0,J756)))</f>
        <v/>
      </c>
      <c r="O756" s="75">
        <f>IF(N756="","",ContAmt-MAX(0,N756-WorkBudget))</f>
        <v/>
      </c>
      <c r="P756" s="120">
        <f>IF(OR(N756="",ForecastEnd=""),"",ForecastEnd+IF(L756="Approved",0,IF(K756="",0,K756)))</f>
        <v/>
      </c>
      <c r="Q756" s="121">
        <f>IF(OR(N756="",WorkBudget=0),"",N756/WorkBudget-1)</f>
        <v/>
      </c>
      <c r="R756" s="79">
        <f>IF(N756="","",IF(N756&lt;=WorkBudget,0,IF(N756&lt;=TotalBudget,1,2)))</f>
        <v/>
      </c>
      <c r="S756" s="112">
        <f>IF(AND(OR(H756&lt;&gt;"",J756&lt;&gt;""),OR(L756="Pending",L756=""),C756&lt;&gt;""),C756+3,"")</f>
        <v/>
      </c>
      <c r="T756" s="79">
        <f>IF(S756="","",IF(AsOf&gt;S756,1,2))</f>
        <v/>
      </c>
      <c r="U756" s="79">
        <f>IF(T756="","","Decide on change order "&amp;B756&amp;": "&amp;H756&amp;" (+"&amp;CurSym&amp;" "&amp;FIXED(IF(J756="",0,J756),0)&amp;")")</f>
        <v/>
      </c>
    </row>
    <row r="757" ht="24" customHeight="1">
      <c r="B757" s="74" t="n"/>
      <c r="C757" s="109" t="n"/>
      <c r="D757" s="72" t="n"/>
      <c r="E757" s="72" t="n"/>
      <c r="F757" s="72" t="n"/>
      <c r="G757" s="72" t="n"/>
      <c r="H757" s="113" t="n"/>
      <c r="I757" s="72" t="n"/>
      <c r="J757" s="73" t="n"/>
      <c r="K757" s="89" t="n"/>
      <c r="L757" s="74" t="n"/>
      <c r="M757" s="109" t="n"/>
      <c r="N757" s="68">
        <f>IF(AND(H757="",J757=""),"",ForecastTotal+IF(L757="Approved",0,IF(J757="",0,J757)))</f>
        <v/>
      </c>
      <c r="O757" s="75">
        <f>IF(N757="","",ContAmt-MAX(0,N757-WorkBudget))</f>
        <v/>
      </c>
      <c r="P757" s="120">
        <f>IF(OR(N757="",ForecastEnd=""),"",ForecastEnd+IF(L757="Approved",0,IF(K757="",0,K757)))</f>
        <v/>
      </c>
      <c r="Q757" s="121">
        <f>IF(OR(N757="",WorkBudget=0),"",N757/WorkBudget-1)</f>
        <v/>
      </c>
      <c r="R757" s="79">
        <f>IF(N757="","",IF(N757&lt;=WorkBudget,0,IF(N757&lt;=TotalBudget,1,2)))</f>
        <v/>
      </c>
      <c r="S757" s="112">
        <f>IF(AND(OR(H757&lt;&gt;"",J757&lt;&gt;""),OR(L757="Pending",L757=""),C757&lt;&gt;""),C757+3,"")</f>
        <v/>
      </c>
      <c r="T757" s="79">
        <f>IF(S757="","",IF(AsOf&gt;S757,1,2))</f>
        <v/>
      </c>
      <c r="U757" s="79">
        <f>IF(T757="","","Decide on change order "&amp;B757&amp;": "&amp;H757&amp;" (+"&amp;CurSym&amp;" "&amp;FIXED(IF(J757="",0,J757),0)&amp;")")</f>
        <v/>
      </c>
    </row>
    <row r="758" ht="24" customHeight="1">
      <c r="B758" s="74" t="n"/>
      <c r="C758" s="109" t="n"/>
      <c r="D758" s="72" t="n"/>
      <c r="E758" s="72" t="n"/>
      <c r="F758" s="72" t="n"/>
      <c r="G758" s="72" t="n"/>
      <c r="H758" s="113" t="n"/>
      <c r="I758" s="72" t="n"/>
      <c r="J758" s="73" t="n"/>
      <c r="K758" s="89" t="n"/>
      <c r="L758" s="74" t="n"/>
      <c r="M758" s="109" t="n"/>
      <c r="N758" s="68">
        <f>IF(AND(H758="",J758=""),"",ForecastTotal+IF(L758="Approved",0,IF(J758="",0,J758)))</f>
        <v/>
      </c>
      <c r="O758" s="75">
        <f>IF(N758="","",ContAmt-MAX(0,N758-WorkBudget))</f>
        <v/>
      </c>
      <c r="P758" s="120">
        <f>IF(OR(N758="",ForecastEnd=""),"",ForecastEnd+IF(L758="Approved",0,IF(K758="",0,K758)))</f>
        <v/>
      </c>
      <c r="Q758" s="121">
        <f>IF(OR(N758="",WorkBudget=0),"",N758/WorkBudget-1)</f>
        <v/>
      </c>
      <c r="R758" s="79">
        <f>IF(N758="","",IF(N758&lt;=WorkBudget,0,IF(N758&lt;=TotalBudget,1,2)))</f>
        <v/>
      </c>
      <c r="S758" s="112">
        <f>IF(AND(OR(H758&lt;&gt;"",J758&lt;&gt;""),OR(L758="Pending",L758=""),C758&lt;&gt;""),C758+3,"")</f>
        <v/>
      </c>
      <c r="T758" s="79">
        <f>IF(S758="","",IF(AsOf&gt;S758,1,2))</f>
        <v/>
      </c>
      <c r="U758" s="79">
        <f>IF(T758="","","Decide on change order "&amp;B758&amp;": "&amp;H758&amp;" (+"&amp;CurSym&amp;" "&amp;FIXED(IF(J758="",0,J758),0)&amp;")")</f>
        <v/>
      </c>
    </row>
    <row r="759" ht="24" customHeight="1">
      <c r="B759" s="74" t="n"/>
      <c r="C759" s="109" t="n"/>
      <c r="D759" s="72" t="n"/>
      <c r="E759" s="72" t="n"/>
      <c r="F759" s="72" t="n"/>
      <c r="G759" s="72" t="n"/>
      <c r="H759" s="113" t="n"/>
      <c r="I759" s="72" t="n"/>
      <c r="J759" s="73" t="n"/>
      <c r="K759" s="89" t="n"/>
      <c r="L759" s="74" t="n"/>
      <c r="M759" s="109" t="n"/>
      <c r="N759" s="68">
        <f>IF(AND(H759="",J759=""),"",ForecastTotal+IF(L759="Approved",0,IF(J759="",0,J759)))</f>
        <v/>
      </c>
      <c r="O759" s="75">
        <f>IF(N759="","",ContAmt-MAX(0,N759-WorkBudget))</f>
        <v/>
      </c>
      <c r="P759" s="120">
        <f>IF(OR(N759="",ForecastEnd=""),"",ForecastEnd+IF(L759="Approved",0,IF(K759="",0,K759)))</f>
        <v/>
      </c>
      <c r="Q759" s="121">
        <f>IF(OR(N759="",WorkBudget=0),"",N759/WorkBudget-1)</f>
        <v/>
      </c>
      <c r="R759" s="79">
        <f>IF(N759="","",IF(N759&lt;=WorkBudget,0,IF(N759&lt;=TotalBudget,1,2)))</f>
        <v/>
      </c>
      <c r="S759" s="112">
        <f>IF(AND(OR(H759&lt;&gt;"",J759&lt;&gt;""),OR(L759="Pending",L759=""),C759&lt;&gt;""),C759+3,"")</f>
        <v/>
      </c>
      <c r="T759" s="79">
        <f>IF(S759="","",IF(AsOf&gt;S759,1,2))</f>
        <v/>
      </c>
      <c r="U759" s="79">
        <f>IF(T759="","","Decide on change order "&amp;B759&amp;": "&amp;H759&amp;" (+"&amp;CurSym&amp;" "&amp;FIXED(IF(J759="",0,J759),0)&amp;")")</f>
        <v/>
      </c>
    </row>
    <row r="760" ht="24" customHeight="1">
      <c r="B760" s="74" t="n"/>
      <c r="C760" s="109" t="n"/>
      <c r="D760" s="72" t="n"/>
      <c r="E760" s="72" t="n"/>
      <c r="F760" s="72" t="n"/>
      <c r="G760" s="72" t="n"/>
      <c r="H760" s="113" t="n"/>
      <c r="I760" s="72" t="n"/>
      <c r="J760" s="73" t="n"/>
      <c r="K760" s="89" t="n"/>
      <c r="L760" s="74" t="n"/>
      <c r="M760" s="109" t="n"/>
      <c r="N760" s="68">
        <f>IF(AND(H760="",J760=""),"",ForecastTotal+IF(L760="Approved",0,IF(J760="",0,J760)))</f>
        <v/>
      </c>
      <c r="O760" s="75">
        <f>IF(N760="","",ContAmt-MAX(0,N760-WorkBudget))</f>
        <v/>
      </c>
      <c r="P760" s="120">
        <f>IF(OR(N760="",ForecastEnd=""),"",ForecastEnd+IF(L760="Approved",0,IF(K760="",0,K760)))</f>
        <v/>
      </c>
      <c r="Q760" s="121">
        <f>IF(OR(N760="",WorkBudget=0),"",N760/WorkBudget-1)</f>
        <v/>
      </c>
      <c r="R760" s="79">
        <f>IF(N760="","",IF(N760&lt;=WorkBudget,0,IF(N760&lt;=TotalBudget,1,2)))</f>
        <v/>
      </c>
      <c r="S760" s="112">
        <f>IF(AND(OR(H760&lt;&gt;"",J760&lt;&gt;""),OR(L760="Pending",L760=""),C760&lt;&gt;""),C760+3,"")</f>
        <v/>
      </c>
      <c r="T760" s="79">
        <f>IF(S760="","",IF(AsOf&gt;S760,1,2))</f>
        <v/>
      </c>
      <c r="U760" s="79">
        <f>IF(T760="","","Decide on change order "&amp;B760&amp;": "&amp;H760&amp;" (+"&amp;CurSym&amp;" "&amp;FIXED(IF(J760="",0,J760),0)&amp;")")</f>
        <v/>
      </c>
    </row>
    <row r="761" ht="24" customHeight="1">
      <c r="B761" s="74" t="n"/>
      <c r="C761" s="109" t="n"/>
      <c r="D761" s="72" t="n"/>
      <c r="E761" s="72" t="n"/>
      <c r="F761" s="72" t="n"/>
      <c r="G761" s="72" t="n"/>
      <c r="H761" s="113" t="n"/>
      <c r="I761" s="72" t="n"/>
      <c r="J761" s="73" t="n"/>
      <c r="K761" s="89" t="n"/>
      <c r="L761" s="74" t="n"/>
      <c r="M761" s="109" t="n"/>
      <c r="N761" s="68">
        <f>IF(AND(H761="",J761=""),"",ForecastTotal+IF(L761="Approved",0,IF(J761="",0,J761)))</f>
        <v/>
      </c>
      <c r="O761" s="75">
        <f>IF(N761="","",ContAmt-MAX(0,N761-WorkBudget))</f>
        <v/>
      </c>
      <c r="P761" s="120">
        <f>IF(OR(N761="",ForecastEnd=""),"",ForecastEnd+IF(L761="Approved",0,IF(K761="",0,K761)))</f>
        <v/>
      </c>
      <c r="Q761" s="121">
        <f>IF(OR(N761="",WorkBudget=0),"",N761/WorkBudget-1)</f>
        <v/>
      </c>
      <c r="R761" s="79">
        <f>IF(N761="","",IF(N761&lt;=WorkBudget,0,IF(N761&lt;=TotalBudget,1,2)))</f>
        <v/>
      </c>
      <c r="S761" s="112">
        <f>IF(AND(OR(H761&lt;&gt;"",J761&lt;&gt;""),OR(L761="Pending",L761=""),C761&lt;&gt;""),C761+3,"")</f>
        <v/>
      </c>
      <c r="T761" s="79">
        <f>IF(S761="","",IF(AsOf&gt;S761,1,2))</f>
        <v/>
      </c>
      <c r="U761" s="79">
        <f>IF(T761="","","Decide on change order "&amp;B761&amp;": "&amp;H761&amp;" (+"&amp;CurSym&amp;" "&amp;FIXED(IF(J761="",0,J761),0)&amp;")")</f>
        <v/>
      </c>
    </row>
    <row r="762" ht="24" customHeight="1">
      <c r="B762" s="74" t="n"/>
      <c r="C762" s="109" t="n"/>
      <c r="D762" s="72" t="n"/>
      <c r="E762" s="72" t="n"/>
      <c r="F762" s="72" t="n"/>
      <c r="G762" s="72" t="n"/>
      <c r="H762" s="113" t="n"/>
      <c r="I762" s="72" t="n"/>
      <c r="J762" s="73" t="n"/>
      <c r="K762" s="89" t="n"/>
      <c r="L762" s="74" t="n"/>
      <c r="M762" s="109" t="n"/>
      <c r="N762" s="68">
        <f>IF(AND(H762="",J762=""),"",ForecastTotal+IF(L762="Approved",0,IF(J762="",0,J762)))</f>
        <v/>
      </c>
      <c r="O762" s="75">
        <f>IF(N762="","",ContAmt-MAX(0,N762-WorkBudget))</f>
        <v/>
      </c>
      <c r="P762" s="120">
        <f>IF(OR(N762="",ForecastEnd=""),"",ForecastEnd+IF(L762="Approved",0,IF(K762="",0,K762)))</f>
        <v/>
      </c>
      <c r="Q762" s="121">
        <f>IF(OR(N762="",WorkBudget=0),"",N762/WorkBudget-1)</f>
        <v/>
      </c>
      <c r="R762" s="79">
        <f>IF(N762="","",IF(N762&lt;=WorkBudget,0,IF(N762&lt;=TotalBudget,1,2)))</f>
        <v/>
      </c>
      <c r="S762" s="112">
        <f>IF(AND(OR(H762&lt;&gt;"",J762&lt;&gt;""),OR(L762="Pending",L762=""),C762&lt;&gt;""),C762+3,"")</f>
        <v/>
      </c>
      <c r="T762" s="79">
        <f>IF(S762="","",IF(AsOf&gt;S762,1,2))</f>
        <v/>
      </c>
      <c r="U762" s="79">
        <f>IF(T762="","","Decide on change order "&amp;B762&amp;": "&amp;H762&amp;" (+"&amp;CurSym&amp;" "&amp;FIXED(IF(J762="",0,J762),0)&amp;")")</f>
        <v/>
      </c>
    </row>
    <row r="763" ht="24" customHeight="1">
      <c r="B763" s="74" t="n"/>
      <c r="C763" s="109" t="n"/>
      <c r="D763" s="72" t="n"/>
      <c r="E763" s="72" t="n"/>
      <c r="F763" s="72" t="n"/>
      <c r="G763" s="72" t="n"/>
      <c r="H763" s="113" t="n"/>
      <c r="I763" s="72" t="n"/>
      <c r="J763" s="73" t="n"/>
      <c r="K763" s="89" t="n"/>
      <c r="L763" s="74" t="n"/>
      <c r="M763" s="109" t="n"/>
      <c r="N763" s="68">
        <f>IF(AND(H763="",J763=""),"",ForecastTotal+IF(L763="Approved",0,IF(J763="",0,J763)))</f>
        <v/>
      </c>
      <c r="O763" s="75">
        <f>IF(N763="","",ContAmt-MAX(0,N763-WorkBudget))</f>
        <v/>
      </c>
      <c r="P763" s="120">
        <f>IF(OR(N763="",ForecastEnd=""),"",ForecastEnd+IF(L763="Approved",0,IF(K763="",0,K763)))</f>
        <v/>
      </c>
      <c r="Q763" s="121">
        <f>IF(OR(N763="",WorkBudget=0),"",N763/WorkBudget-1)</f>
        <v/>
      </c>
      <c r="R763" s="79">
        <f>IF(N763="","",IF(N763&lt;=WorkBudget,0,IF(N763&lt;=TotalBudget,1,2)))</f>
        <v/>
      </c>
      <c r="S763" s="112">
        <f>IF(AND(OR(H763&lt;&gt;"",J763&lt;&gt;""),OR(L763="Pending",L763=""),C763&lt;&gt;""),C763+3,"")</f>
        <v/>
      </c>
      <c r="T763" s="79">
        <f>IF(S763="","",IF(AsOf&gt;S763,1,2))</f>
        <v/>
      </c>
      <c r="U763" s="79">
        <f>IF(T763="","","Decide on change order "&amp;B763&amp;": "&amp;H763&amp;" (+"&amp;CurSym&amp;" "&amp;FIXED(IF(J763="",0,J763),0)&amp;")")</f>
        <v/>
      </c>
    </row>
    <row r="764" ht="24" customHeight="1">
      <c r="B764" s="74" t="n"/>
      <c r="C764" s="109" t="n"/>
      <c r="D764" s="72" t="n"/>
      <c r="E764" s="72" t="n"/>
      <c r="F764" s="72" t="n"/>
      <c r="G764" s="72" t="n"/>
      <c r="H764" s="113" t="n"/>
      <c r="I764" s="72" t="n"/>
      <c r="J764" s="73" t="n"/>
      <c r="K764" s="89" t="n"/>
      <c r="L764" s="74" t="n"/>
      <c r="M764" s="109" t="n"/>
      <c r="N764" s="68">
        <f>IF(AND(H764="",J764=""),"",ForecastTotal+IF(L764="Approved",0,IF(J764="",0,J764)))</f>
        <v/>
      </c>
      <c r="O764" s="75">
        <f>IF(N764="","",ContAmt-MAX(0,N764-WorkBudget))</f>
        <v/>
      </c>
      <c r="P764" s="120">
        <f>IF(OR(N764="",ForecastEnd=""),"",ForecastEnd+IF(L764="Approved",0,IF(K764="",0,K764)))</f>
        <v/>
      </c>
      <c r="Q764" s="121">
        <f>IF(OR(N764="",WorkBudget=0),"",N764/WorkBudget-1)</f>
        <v/>
      </c>
      <c r="R764" s="79">
        <f>IF(N764="","",IF(N764&lt;=WorkBudget,0,IF(N764&lt;=TotalBudget,1,2)))</f>
        <v/>
      </c>
      <c r="S764" s="112">
        <f>IF(AND(OR(H764&lt;&gt;"",J764&lt;&gt;""),OR(L764="Pending",L764=""),C764&lt;&gt;""),C764+3,"")</f>
        <v/>
      </c>
      <c r="T764" s="79">
        <f>IF(S764="","",IF(AsOf&gt;S764,1,2))</f>
        <v/>
      </c>
      <c r="U764" s="79">
        <f>IF(T764="","","Decide on change order "&amp;B764&amp;": "&amp;H764&amp;" (+"&amp;CurSym&amp;" "&amp;FIXED(IF(J764="",0,J764),0)&amp;")")</f>
        <v/>
      </c>
    </row>
    <row r="765" ht="24" customHeight="1">
      <c r="B765" s="74" t="n"/>
      <c r="C765" s="109" t="n"/>
      <c r="D765" s="72" t="n"/>
      <c r="E765" s="72" t="n"/>
      <c r="F765" s="72" t="n"/>
      <c r="G765" s="72" t="n"/>
      <c r="H765" s="113" t="n"/>
      <c r="I765" s="72" t="n"/>
      <c r="J765" s="73" t="n"/>
      <c r="K765" s="89" t="n"/>
      <c r="L765" s="74" t="n"/>
      <c r="M765" s="109" t="n"/>
      <c r="N765" s="68">
        <f>IF(AND(H765="",J765=""),"",ForecastTotal+IF(L765="Approved",0,IF(J765="",0,J765)))</f>
        <v/>
      </c>
      <c r="O765" s="75">
        <f>IF(N765="","",ContAmt-MAX(0,N765-WorkBudget))</f>
        <v/>
      </c>
      <c r="P765" s="120">
        <f>IF(OR(N765="",ForecastEnd=""),"",ForecastEnd+IF(L765="Approved",0,IF(K765="",0,K765)))</f>
        <v/>
      </c>
      <c r="Q765" s="121">
        <f>IF(OR(N765="",WorkBudget=0),"",N765/WorkBudget-1)</f>
        <v/>
      </c>
      <c r="R765" s="79">
        <f>IF(N765="","",IF(N765&lt;=WorkBudget,0,IF(N765&lt;=TotalBudget,1,2)))</f>
        <v/>
      </c>
      <c r="S765" s="112">
        <f>IF(AND(OR(H765&lt;&gt;"",J765&lt;&gt;""),OR(L765="Pending",L765=""),C765&lt;&gt;""),C765+3,"")</f>
        <v/>
      </c>
      <c r="T765" s="79">
        <f>IF(S765="","",IF(AsOf&gt;S765,1,2))</f>
        <v/>
      </c>
      <c r="U765" s="79">
        <f>IF(T765="","","Decide on change order "&amp;B765&amp;": "&amp;H765&amp;" (+"&amp;CurSym&amp;" "&amp;FIXED(IF(J765="",0,J765),0)&amp;")")</f>
        <v/>
      </c>
    </row>
    <row r="766" ht="24" customHeight="1">
      <c r="B766" s="74" t="n"/>
      <c r="C766" s="109" t="n"/>
      <c r="D766" s="72" t="n"/>
      <c r="E766" s="72" t="n"/>
      <c r="F766" s="72" t="n"/>
      <c r="G766" s="72" t="n"/>
      <c r="H766" s="113" t="n"/>
      <c r="I766" s="72" t="n"/>
      <c r="J766" s="73" t="n"/>
      <c r="K766" s="89" t="n"/>
      <c r="L766" s="74" t="n"/>
      <c r="M766" s="109" t="n"/>
      <c r="N766" s="68">
        <f>IF(AND(H766="",J766=""),"",ForecastTotal+IF(L766="Approved",0,IF(J766="",0,J766)))</f>
        <v/>
      </c>
      <c r="O766" s="75">
        <f>IF(N766="","",ContAmt-MAX(0,N766-WorkBudget))</f>
        <v/>
      </c>
      <c r="P766" s="120">
        <f>IF(OR(N766="",ForecastEnd=""),"",ForecastEnd+IF(L766="Approved",0,IF(K766="",0,K766)))</f>
        <v/>
      </c>
      <c r="Q766" s="121">
        <f>IF(OR(N766="",WorkBudget=0),"",N766/WorkBudget-1)</f>
        <v/>
      </c>
      <c r="R766" s="79">
        <f>IF(N766="","",IF(N766&lt;=WorkBudget,0,IF(N766&lt;=TotalBudget,1,2)))</f>
        <v/>
      </c>
      <c r="S766" s="112">
        <f>IF(AND(OR(H766&lt;&gt;"",J766&lt;&gt;""),OR(L766="Pending",L766=""),C766&lt;&gt;""),C766+3,"")</f>
        <v/>
      </c>
      <c r="T766" s="79">
        <f>IF(S766="","",IF(AsOf&gt;S766,1,2))</f>
        <v/>
      </c>
      <c r="U766" s="79">
        <f>IF(T766="","","Decide on change order "&amp;B766&amp;": "&amp;H766&amp;" (+"&amp;CurSym&amp;" "&amp;FIXED(IF(J766="",0,J766),0)&amp;")")</f>
        <v/>
      </c>
    </row>
    <row r="767" ht="24" customHeight="1">
      <c r="B767" s="74" t="n"/>
      <c r="C767" s="109" t="n"/>
      <c r="D767" s="72" t="n"/>
      <c r="E767" s="72" t="n"/>
      <c r="F767" s="72" t="n"/>
      <c r="G767" s="72" t="n"/>
      <c r="H767" s="113" t="n"/>
      <c r="I767" s="72" t="n"/>
      <c r="J767" s="73" t="n"/>
      <c r="K767" s="89" t="n"/>
      <c r="L767" s="74" t="n"/>
      <c r="M767" s="109" t="n"/>
      <c r="N767" s="68">
        <f>IF(AND(H767="",J767=""),"",ForecastTotal+IF(L767="Approved",0,IF(J767="",0,J767)))</f>
        <v/>
      </c>
      <c r="O767" s="75">
        <f>IF(N767="","",ContAmt-MAX(0,N767-WorkBudget))</f>
        <v/>
      </c>
      <c r="P767" s="120">
        <f>IF(OR(N767="",ForecastEnd=""),"",ForecastEnd+IF(L767="Approved",0,IF(K767="",0,K767)))</f>
        <v/>
      </c>
      <c r="Q767" s="121">
        <f>IF(OR(N767="",WorkBudget=0),"",N767/WorkBudget-1)</f>
        <v/>
      </c>
      <c r="R767" s="79">
        <f>IF(N767="","",IF(N767&lt;=WorkBudget,0,IF(N767&lt;=TotalBudget,1,2)))</f>
        <v/>
      </c>
      <c r="S767" s="112">
        <f>IF(AND(OR(H767&lt;&gt;"",J767&lt;&gt;""),OR(L767="Pending",L767=""),C767&lt;&gt;""),C767+3,"")</f>
        <v/>
      </c>
      <c r="T767" s="79">
        <f>IF(S767="","",IF(AsOf&gt;S767,1,2))</f>
        <v/>
      </c>
      <c r="U767" s="79">
        <f>IF(T767="","","Decide on change order "&amp;B767&amp;": "&amp;H767&amp;" (+"&amp;CurSym&amp;" "&amp;FIXED(IF(J767="",0,J767),0)&amp;")")</f>
        <v/>
      </c>
    </row>
    <row r="768" ht="24" customHeight="1">
      <c r="B768" s="74" t="n"/>
      <c r="C768" s="109" t="n"/>
      <c r="D768" s="72" t="n"/>
      <c r="E768" s="72" t="n"/>
      <c r="F768" s="72" t="n"/>
      <c r="G768" s="72" t="n"/>
      <c r="H768" s="113" t="n"/>
      <c r="I768" s="72" t="n"/>
      <c r="J768" s="73" t="n"/>
      <c r="K768" s="89" t="n"/>
      <c r="L768" s="74" t="n"/>
      <c r="M768" s="109" t="n"/>
      <c r="N768" s="68">
        <f>IF(AND(H768="",J768=""),"",ForecastTotal+IF(L768="Approved",0,IF(J768="",0,J768)))</f>
        <v/>
      </c>
      <c r="O768" s="75">
        <f>IF(N768="","",ContAmt-MAX(0,N768-WorkBudget))</f>
        <v/>
      </c>
      <c r="P768" s="120">
        <f>IF(OR(N768="",ForecastEnd=""),"",ForecastEnd+IF(L768="Approved",0,IF(K768="",0,K768)))</f>
        <v/>
      </c>
      <c r="Q768" s="121">
        <f>IF(OR(N768="",WorkBudget=0),"",N768/WorkBudget-1)</f>
        <v/>
      </c>
      <c r="R768" s="79">
        <f>IF(N768="","",IF(N768&lt;=WorkBudget,0,IF(N768&lt;=TotalBudget,1,2)))</f>
        <v/>
      </c>
      <c r="S768" s="112">
        <f>IF(AND(OR(H768&lt;&gt;"",J768&lt;&gt;""),OR(L768="Pending",L768=""),C768&lt;&gt;""),C768+3,"")</f>
        <v/>
      </c>
      <c r="T768" s="79">
        <f>IF(S768="","",IF(AsOf&gt;S768,1,2))</f>
        <v/>
      </c>
      <c r="U768" s="79">
        <f>IF(T768="","","Decide on change order "&amp;B768&amp;": "&amp;H768&amp;" (+"&amp;CurSym&amp;" "&amp;FIXED(IF(J768="",0,J768),0)&amp;")")</f>
        <v/>
      </c>
    </row>
    <row r="769" ht="24" customHeight="1">
      <c r="B769" s="74" t="n"/>
      <c r="C769" s="109" t="n"/>
      <c r="D769" s="72" t="n"/>
      <c r="E769" s="72" t="n"/>
      <c r="F769" s="72" t="n"/>
      <c r="G769" s="72" t="n"/>
      <c r="H769" s="113" t="n"/>
      <c r="I769" s="72" t="n"/>
      <c r="J769" s="73" t="n"/>
      <c r="K769" s="89" t="n"/>
      <c r="L769" s="74" t="n"/>
      <c r="M769" s="109" t="n"/>
      <c r="N769" s="68">
        <f>IF(AND(H769="",J769=""),"",ForecastTotal+IF(L769="Approved",0,IF(J769="",0,J769)))</f>
        <v/>
      </c>
      <c r="O769" s="75">
        <f>IF(N769="","",ContAmt-MAX(0,N769-WorkBudget))</f>
        <v/>
      </c>
      <c r="P769" s="120">
        <f>IF(OR(N769="",ForecastEnd=""),"",ForecastEnd+IF(L769="Approved",0,IF(K769="",0,K769)))</f>
        <v/>
      </c>
      <c r="Q769" s="121">
        <f>IF(OR(N769="",WorkBudget=0),"",N769/WorkBudget-1)</f>
        <v/>
      </c>
      <c r="R769" s="79">
        <f>IF(N769="","",IF(N769&lt;=WorkBudget,0,IF(N769&lt;=TotalBudget,1,2)))</f>
        <v/>
      </c>
      <c r="S769" s="112">
        <f>IF(AND(OR(H769&lt;&gt;"",J769&lt;&gt;""),OR(L769="Pending",L769=""),C769&lt;&gt;""),C769+3,"")</f>
        <v/>
      </c>
      <c r="T769" s="79">
        <f>IF(S769="","",IF(AsOf&gt;S769,1,2))</f>
        <v/>
      </c>
      <c r="U769" s="79">
        <f>IF(T769="","","Decide on change order "&amp;B769&amp;": "&amp;H769&amp;" (+"&amp;CurSym&amp;" "&amp;FIXED(IF(J769="",0,J769),0)&amp;")")</f>
        <v/>
      </c>
    </row>
    <row r="770" ht="24" customHeight="1">
      <c r="B770" s="74" t="n"/>
      <c r="C770" s="109" t="n"/>
      <c r="D770" s="72" t="n"/>
      <c r="E770" s="72" t="n"/>
      <c r="F770" s="72" t="n"/>
      <c r="G770" s="72" t="n"/>
      <c r="H770" s="113" t="n"/>
      <c r="I770" s="72" t="n"/>
      <c r="J770" s="73" t="n"/>
      <c r="K770" s="89" t="n"/>
      <c r="L770" s="74" t="n"/>
      <c r="M770" s="109" t="n"/>
      <c r="N770" s="68">
        <f>IF(AND(H770="",J770=""),"",ForecastTotal+IF(L770="Approved",0,IF(J770="",0,J770)))</f>
        <v/>
      </c>
      <c r="O770" s="75">
        <f>IF(N770="","",ContAmt-MAX(0,N770-WorkBudget))</f>
        <v/>
      </c>
      <c r="P770" s="120">
        <f>IF(OR(N770="",ForecastEnd=""),"",ForecastEnd+IF(L770="Approved",0,IF(K770="",0,K770)))</f>
        <v/>
      </c>
      <c r="Q770" s="121">
        <f>IF(OR(N770="",WorkBudget=0),"",N770/WorkBudget-1)</f>
        <v/>
      </c>
      <c r="R770" s="79">
        <f>IF(N770="","",IF(N770&lt;=WorkBudget,0,IF(N770&lt;=TotalBudget,1,2)))</f>
        <v/>
      </c>
      <c r="S770" s="112">
        <f>IF(AND(OR(H770&lt;&gt;"",J770&lt;&gt;""),OR(L770="Pending",L770=""),C770&lt;&gt;""),C770+3,"")</f>
        <v/>
      </c>
      <c r="T770" s="79">
        <f>IF(S770="","",IF(AsOf&gt;S770,1,2))</f>
        <v/>
      </c>
      <c r="U770" s="79">
        <f>IF(T770="","","Decide on change order "&amp;B770&amp;": "&amp;H770&amp;" (+"&amp;CurSym&amp;" "&amp;FIXED(IF(J770="",0,J770),0)&amp;")")</f>
        <v/>
      </c>
    </row>
    <row r="771" ht="24" customHeight="1">
      <c r="B771" s="74" t="n"/>
      <c r="C771" s="109" t="n"/>
      <c r="D771" s="72" t="n"/>
      <c r="E771" s="72" t="n"/>
      <c r="F771" s="72" t="n"/>
      <c r="G771" s="72" t="n"/>
      <c r="H771" s="113" t="n"/>
      <c r="I771" s="72" t="n"/>
      <c r="J771" s="73" t="n"/>
      <c r="K771" s="89" t="n"/>
      <c r="L771" s="74" t="n"/>
      <c r="M771" s="109" t="n"/>
      <c r="N771" s="68">
        <f>IF(AND(H771="",J771=""),"",ForecastTotal+IF(L771="Approved",0,IF(J771="",0,J771)))</f>
        <v/>
      </c>
      <c r="O771" s="75">
        <f>IF(N771="","",ContAmt-MAX(0,N771-WorkBudget))</f>
        <v/>
      </c>
      <c r="P771" s="120">
        <f>IF(OR(N771="",ForecastEnd=""),"",ForecastEnd+IF(L771="Approved",0,IF(K771="",0,K771)))</f>
        <v/>
      </c>
      <c r="Q771" s="121">
        <f>IF(OR(N771="",WorkBudget=0),"",N771/WorkBudget-1)</f>
        <v/>
      </c>
      <c r="R771" s="79">
        <f>IF(N771="","",IF(N771&lt;=WorkBudget,0,IF(N771&lt;=TotalBudget,1,2)))</f>
        <v/>
      </c>
      <c r="S771" s="112">
        <f>IF(AND(OR(H771&lt;&gt;"",J771&lt;&gt;""),OR(L771="Pending",L771=""),C771&lt;&gt;""),C771+3,"")</f>
        <v/>
      </c>
      <c r="T771" s="79">
        <f>IF(S771="","",IF(AsOf&gt;S771,1,2))</f>
        <v/>
      </c>
      <c r="U771" s="79">
        <f>IF(T771="","","Decide on change order "&amp;B771&amp;": "&amp;H771&amp;" (+"&amp;CurSym&amp;" "&amp;FIXED(IF(J771="",0,J771),0)&amp;")")</f>
        <v/>
      </c>
    </row>
    <row r="772" ht="24" customHeight="1">
      <c r="B772" s="74" t="n"/>
      <c r="C772" s="109" t="n"/>
      <c r="D772" s="72" t="n"/>
      <c r="E772" s="72" t="n"/>
      <c r="F772" s="72" t="n"/>
      <c r="G772" s="72" t="n"/>
      <c r="H772" s="113" t="n"/>
      <c r="I772" s="72" t="n"/>
      <c r="J772" s="73" t="n"/>
      <c r="K772" s="89" t="n"/>
      <c r="L772" s="74" t="n"/>
      <c r="M772" s="109" t="n"/>
      <c r="N772" s="68">
        <f>IF(AND(H772="",J772=""),"",ForecastTotal+IF(L772="Approved",0,IF(J772="",0,J772)))</f>
        <v/>
      </c>
      <c r="O772" s="75">
        <f>IF(N772="","",ContAmt-MAX(0,N772-WorkBudget))</f>
        <v/>
      </c>
      <c r="P772" s="120">
        <f>IF(OR(N772="",ForecastEnd=""),"",ForecastEnd+IF(L772="Approved",0,IF(K772="",0,K772)))</f>
        <v/>
      </c>
      <c r="Q772" s="121">
        <f>IF(OR(N772="",WorkBudget=0),"",N772/WorkBudget-1)</f>
        <v/>
      </c>
      <c r="R772" s="79">
        <f>IF(N772="","",IF(N772&lt;=WorkBudget,0,IF(N772&lt;=TotalBudget,1,2)))</f>
        <v/>
      </c>
      <c r="S772" s="112">
        <f>IF(AND(OR(H772&lt;&gt;"",J772&lt;&gt;""),OR(L772="Pending",L772=""),C772&lt;&gt;""),C772+3,"")</f>
        <v/>
      </c>
      <c r="T772" s="79">
        <f>IF(S772="","",IF(AsOf&gt;S772,1,2))</f>
        <v/>
      </c>
      <c r="U772" s="79">
        <f>IF(T772="","","Decide on change order "&amp;B772&amp;": "&amp;H772&amp;" (+"&amp;CurSym&amp;" "&amp;FIXED(IF(J772="",0,J772),0)&amp;")")</f>
        <v/>
      </c>
    </row>
    <row r="773" ht="24" customHeight="1">
      <c r="B773" s="74" t="n"/>
      <c r="C773" s="109" t="n"/>
      <c r="D773" s="72" t="n"/>
      <c r="E773" s="72" t="n"/>
      <c r="F773" s="72" t="n"/>
      <c r="G773" s="72" t="n"/>
      <c r="H773" s="113" t="n"/>
      <c r="I773" s="72" t="n"/>
      <c r="J773" s="73" t="n"/>
      <c r="K773" s="89" t="n"/>
      <c r="L773" s="74" t="n"/>
      <c r="M773" s="109" t="n"/>
      <c r="N773" s="68">
        <f>IF(AND(H773="",J773=""),"",ForecastTotal+IF(L773="Approved",0,IF(J773="",0,J773)))</f>
        <v/>
      </c>
      <c r="O773" s="75">
        <f>IF(N773="","",ContAmt-MAX(0,N773-WorkBudget))</f>
        <v/>
      </c>
      <c r="P773" s="120">
        <f>IF(OR(N773="",ForecastEnd=""),"",ForecastEnd+IF(L773="Approved",0,IF(K773="",0,K773)))</f>
        <v/>
      </c>
      <c r="Q773" s="121">
        <f>IF(OR(N773="",WorkBudget=0),"",N773/WorkBudget-1)</f>
        <v/>
      </c>
      <c r="R773" s="79">
        <f>IF(N773="","",IF(N773&lt;=WorkBudget,0,IF(N773&lt;=TotalBudget,1,2)))</f>
        <v/>
      </c>
      <c r="S773" s="112">
        <f>IF(AND(OR(H773&lt;&gt;"",J773&lt;&gt;""),OR(L773="Pending",L773=""),C773&lt;&gt;""),C773+3,"")</f>
        <v/>
      </c>
      <c r="T773" s="79">
        <f>IF(S773="","",IF(AsOf&gt;S773,1,2))</f>
        <v/>
      </c>
      <c r="U773" s="79">
        <f>IF(T773="","","Decide on change order "&amp;B773&amp;": "&amp;H773&amp;" (+"&amp;CurSym&amp;" "&amp;FIXED(IF(J773="",0,J773),0)&amp;")")</f>
        <v/>
      </c>
    </row>
    <row r="774" ht="24" customHeight="1">
      <c r="B774" s="74" t="n"/>
      <c r="C774" s="109" t="n"/>
      <c r="D774" s="72" t="n"/>
      <c r="E774" s="72" t="n"/>
      <c r="F774" s="72" t="n"/>
      <c r="G774" s="72" t="n"/>
      <c r="H774" s="113" t="n"/>
      <c r="I774" s="72" t="n"/>
      <c r="J774" s="73" t="n"/>
      <c r="K774" s="89" t="n"/>
      <c r="L774" s="74" t="n"/>
      <c r="M774" s="109" t="n"/>
      <c r="N774" s="68">
        <f>IF(AND(H774="",J774=""),"",ForecastTotal+IF(L774="Approved",0,IF(J774="",0,J774)))</f>
        <v/>
      </c>
      <c r="O774" s="75">
        <f>IF(N774="","",ContAmt-MAX(0,N774-WorkBudget))</f>
        <v/>
      </c>
      <c r="P774" s="120">
        <f>IF(OR(N774="",ForecastEnd=""),"",ForecastEnd+IF(L774="Approved",0,IF(K774="",0,K774)))</f>
        <v/>
      </c>
      <c r="Q774" s="121">
        <f>IF(OR(N774="",WorkBudget=0),"",N774/WorkBudget-1)</f>
        <v/>
      </c>
      <c r="R774" s="79">
        <f>IF(N774="","",IF(N774&lt;=WorkBudget,0,IF(N774&lt;=TotalBudget,1,2)))</f>
        <v/>
      </c>
      <c r="S774" s="112">
        <f>IF(AND(OR(H774&lt;&gt;"",J774&lt;&gt;""),OR(L774="Pending",L774=""),C774&lt;&gt;""),C774+3,"")</f>
        <v/>
      </c>
      <c r="T774" s="79">
        <f>IF(S774="","",IF(AsOf&gt;S774,1,2))</f>
        <v/>
      </c>
      <c r="U774" s="79">
        <f>IF(T774="","","Decide on change order "&amp;B774&amp;": "&amp;H774&amp;" (+"&amp;CurSym&amp;" "&amp;FIXED(IF(J774="",0,J774),0)&amp;")")</f>
        <v/>
      </c>
    </row>
    <row r="775" ht="24" customHeight="1">
      <c r="B775" s="74" t="n"/>
      <c r="C775" s="109" t="n"/>
      <c r="D775" s="72" t="n"/>
      <c r="E775" s="72" t="n"/>
      <c r="F775" s="72" t="n"/>
      <c r="G775" s="72" t="n"/>
      <c r="H775" s="113" t="n"/>
      <c r="I775" s="72" t="n"/>
      <c r="J775" s="73" t="n"/>
      <c r="K775" s="89" t="n"/>
      <c r="L775" s="74" t="n"/>
      <c r="M775" s="109" t="n"/>
      <c r="N775" s="68">
        <f>IF(AND(H775="",J775=""),"",ForecastTotal+IF(L775="Approved",0,IF(J775="",0,J775)))</f>
        <v/>
      </c>
      <c r="O775" s="75">
        <f>IF(N775="","",ContAmt-MAX(0,N775-WorkBudget))</f>
        <v/>
      </c>
      <c r="P775" s="120">
        <f>IF(OR(N775="",ForecastEnd=""),"",ForecastEnd+IF(L775="Approved",0,IF(K775="",0,K775)))</f>
        <v/>
      </c>
      <c r="Q775" s="121">
        <f>IF(OR(N775="",WorkBudget=0),"",N775/WorkBudget-1)</f>
        <v/>
      </c>
      <c r="R775" s="79">
        <f>IF(N775="","",IF(N775&lt;=WorkBudget,0,IF(N775&lt;=TotalBudget,1,2)))</f>
        <v/>
      </c>
      <c r="S775" s="112">
        <f>IF(AND(OR(H775&lt;&gt;"",J775&lt;&gt;""),OR(L775="Pending",L775=""),C775&lt;&gt;""),C775+3,"")</f>
        <v/>
      </c>
      <c r="T775" s="79">
        <f>IF(S775="","",IF(AsOf&gt;S775,1,2))</f>
        <v/>
      </c>
      <c r="U775" s="79">
        <f>IF(T775="","","Decide on change order "&amp;B775&amp;": "&amp;H775&amp;" (+"&amp;CurSym&amp;" "&amp;FIXED(IF(J775="",0,J775),0)&amp;")")</f>
        <v/>
      </c>
    </row>
    <row r="776" ht="24" customHeight="1">
      <c r="B776" s="74" t="n"/>
      <c r="C776" s="109" t="n"/>
      <c r="D776" s="72" t="n"/>
      <c r="E776" s="72" t="n"/>
      <c r="F776" s="72" t="n"/>
      <c r="G776" s="72" t="n"/>
      <c r="H776" s="113" t="n"/>
      <c r="I776" s="72" t="n"/>
      <c r="J776" s="73" t="n"/>
      <c r="K776" s="89" t="n"/>
      <c r="L776" s="74" t="n"/>
      <c r="M776" s="109" t="n"/>
      <c r="N776" s="68">
        <f>IF(AND(H776="",J776=""),"",ForecastTotal+IF(L776="Approved",0,IF(J776="",0,J776)))</f>
        <v/>
      </c>
      <c r="O776" s="75">
        <f>IF(N776="","",ContAmt-MAX(0,N776-WorkBudget))</f>
        <v/>
      </c>
      <c r="P776" s="120">
        <f>IF(OR(N776="",ForecastEnd=""),"",ForecastEnd+IF(L776="Approved",0,IF(K776="",0,K776)))</f>
        <v/>
      </c>
      <c r="Q776" s="121">
        <f>IF(OR(N776="",WorkBudget=0),"",N776/WorkBudget-1)</f>
        <v/>
      </c>
      <c r="R776" s="79">
        <f>IF(N776="","",IF(N776&lt;=WorkBudget,0,IF(N776&lt;=TotalBudget,1,2)))</f>
        <v/>
      </c>
      <c r="S776" s="112">
        <f>IF(AND(OR(H776&lt;&gt;"",J776&lt;&gt;""),OR(L776="Pending",L776=""),C776&lt;&gt;""),C776+3,"")</f>
        <v/>
      </c>
      <c r="T776" s="79">
        <f>IF(S776="","",IF(AsOf&gt;S776,1,2))</f>
        <v/>
      </c>
      <c r="U776" s="79">
        <f>IF(T776="","","Decide on change order "&amp;B776&amp;": "&amp;H776&amp;" (+"&amp;CurSym&amp;" "&amp;FIXED(IF(J776="",0,J776),0)&amp;")")</f>
        <v/>
      </c>
    </row>
    <row r="777" ht="24" customHeight="1">
      <c r="B777" s="74" t="n"/>
      <c r="C777" s="109" t="n"/>
      <c r="D777" s="72" t="n"/>
      <c r="E777" s="72" t="n"/>
      <c r="F777" s="72" t="n"/>
      <c r="G777" s="72" t="n"/>
      <c r="H777" s="113" t="n"/>
      <c r="I777" s="72" t="n"/>
      <c r="J777" s="73" t="n"/>
      <c r="K777" s="89" t="n"/>
      <c r="L777" s="74" t="n"/>
      <c r="M777" s="109" t="n"/>
      <c r="N777" s="68">
        <f>IF(AND(H777="",J777=""),"",ForecastTotal+IF(L777="Approved",0,IF(J777="",0,J777)))</f>
        <v/>
      </c>
      <c r="O777" s="75">
        <f>IF(N777="","",ContAmt-MAX(0,N777-WorkBudget))</f>
        <v/>
      </c>
      <c r="P777" s="120">
        <f>IF(OR(N777="",ForecastEnd=""),"",ForecastEnd+IF(L777="Approved",0,IF(K777="",0,K777)))</f>
        <v/>
      </c>
      <c r="Q777" s="121">
        <f>IF(OR(N777="",WorkBudget=0),"",N777/WorkBudget-1)</f>
        <v/>
      </c>
      <c r="R777" s="79">
        <f>IF(N777="","",IF(N777&lt;=WorkBudget,0,IF(N777&lt;=TotalBudget,1,2)))</f>
        <v/>
      </c>
      <c r="S777" s="112">
        <f>IF(AND(OR(H777&lt;&gt;"",J777&lt;&gt;""),OR(L777="Pending",L777=""),C777&lt;&gt;""),C777+3,"")</f>
        <v/>
      </c>
      <c r="T777" s="79">
        <f>IF(S777="","",IF(AsOf&gt;S777,1,2))</f>
        <v/>
      </c>
      <c r="U777" s="79">
        <f>IF(T777="","","Decide on change order "&amp;B777&amp;": "&amp;H777&amp;" (+"&amp;CurSym&amp;" "&amp;FIXED(IF(J777="",0,J777),0)&amp;")")</f>
        <v/>
      </c>
    </row>
    <row r="778" ht="24" customHeight="1">
      <c r="B778" s="74" t="n"/>
      <c r="C778" s="109" t="n"/>
      <c r="D778" s="72" t="n"/>
      <c r="E778" s="72" t="n"/>
      <c r="F778" s="72" t="n"/>
      <c r="G778" s="72" t="n"/>
      <c r="H778" s="113" t="n"/>
      <c r="I778" s="72" t="n"/>
      <c r="J778" s="73" t="n"/>
      <c r="K778" s="89" t="n"/>
      <c r="L778" s="74" t="n"/>
      <c r="M778" s="109" t="n"/>
      <c r="N778" s="68">
        <f>IF(AND(H778="",J778=""),"",ForecastTotal+IF(L778="Approved",0,IF(J778="",0,J778)))</f>
        <v/>
      </c>
      <c r="O778" s="75">
        <f>IF(N778="","",ContAmt-MAX(0,N778-WorkBudget))</f>
        <v/>
      </c>
      <c r="P778" s="120">
        <f>IF(OR(N778="",ForecastEnd=""),"",ForecastEnd+IF(L778="Approved",0,IF(K778="",0,K778)))</f>
        <v/>
      </c>
      <c r="Q778" s="121">
        <f>IF(OR(N778="",WorkBudget=0),"",N778/WorkBudget-1)</f>
        <v/>
      </c>
      <c r="R778" s="79">
        <f>IF(N778="","",IF(N778&lt;=WorkBudget,0,IF(N778&lt;=TotalBudget,1,2)))</f>
        <v/>
      </c>
      <c r="S778" s="112">
        <f>IF(AND(OR(H778&lt;&gt;"",J778&lt;&gt;""),OR(L778="Pending",L778=""),C778&lt;&gt;""),C778+3,"")</f>
        <v/>
      </c>
      <c r="T778" s="79">
        <f>IF(S778="","",IF(AsOf&gt;S778,1,2))</f>
        <v/>
      </c>
      <c r="U778" s="79">
        <f>IF(T778="","","Decide on change order "&amp;B778&amp;": "&amp;H778&amp;" (+"&amp;CurSym&amp;" "&amp;FIXED(IF(J778="",0,J778),0)&amp;")")</f>
        <v/>
      </c>
    </row>
    <row r="779" ht="24" customHeight="1">
      <c r="B779" s="74" t="n"/>
      <c r="C779" s="109" t="n"/>
      <c r="D779" s="72" t="n"/>
      <c r="E779" s="72" t="n"/>
      <c r="F779" s="72" t="n"/>
      <c r="G779" s="72" t="n"/>
      <c r="H779" s="113" t="n"/>
      <c r="I779" s="72" t="n"/>
      <c r="J779" s="73" t="n"/>
      <c r="K779" s="89" t="n"/>
      <c r="L779" s="74" t="n"/>
      <c r="M779" s="109" t="n"/>
      <c r="N779" s="68">
        <f>IF(AND(H779="",J779=""),"",ForecastTotal+IF(L779="Approved",0,IF(J779="",0,J779)))</f>
        <v/>
      </c>
      <c r="O779" s="75">
        <f>IF(N779="","",ContAmt-MAX(0,N779-WorkBudget))</f>
        <v/>
      </c>
      <c r="P779" s="120">
        <f>IF(OR(N779="",ForecastEnd=""),"",ForecastEnd+IF(L779="Approved",0,IF(K779="",0,K779)))</f>
        <v/>
      </c>
      <c r="Q779" s="121">
        <f>IF(OR(N779="",WorkBudget=0),"",N779/WorkBudget-1)</f>
        <v/>
      </c>
      <c r="R779" s="79">
        <f>IF(N779="","",IF(N779&lt;=WorkBudget,0,IF(N779&lt;=TotalBudget,1,2)))</f>
        <v/>
      </c>
      <c r="S779" s="112">
        <f>IF(AND(OR(H779&lt;&gt;"",J779&lt;&gt;""),OR(L779="Pending",L779=""),C779&lt;&gt;""),C779+3,"")</f>
        <v/>
      </c>
      <c r="T779" s="79">
        <f>IF(S779="","",IF(AsOf&gt;S779,1,2))</f>
        <v/>
      </c>
      <c r="U779" s="79">
        <f>IF(T779="","","Decide on change order "&amp;B779&amp;": "&amp;H779&amp;" (+"&amp;CurSym&amp;" "&amp;FIXED(IF(J779="",0,J779),0)&amp;")")</f>
        <v/>
      </c>
    </row>
    <row r="780" ht="24" customHeight="1">
      <c r="B780" s="74" t="n"/>
      <c r="C780" s="109" t="n"/>
      <c r="D780" s="72" t="n"/>
      <c r="E780" s="72" t="n"/>
      <c r="F780" s="72" t="n"/>
      <c r="G780" s="72" t="n"/>
      <c r="H780" s="113" t="n"/>
      <c r="I780" s="72" t="n"/>
      <c r="J780" s="73" t="n"/>
      <c r="K780" s="89" t="n"/>
      <c r="L780" s="74" t="n"/>
      <c r="M780" s="109" t="n"/>
      <c r="N780" s="68">
        <f>IF(AND(H780="",J780=""),"",ForecastTotal+IF(L780="Approved",0,IF(J780="",0,J780)))</f>
        <v/>
      </c>
      <c r="O780" s="75">
        <f>IF(N780="","",ContAmt-MAX(0,N780-WorkBudget))</f>
        <v/>
      </c>
      <c r="P780" s="120">
        <f>IF(OR(N780="",ForecastEnd=""),"",ForecastEnd+IF(L780="Approved",0,IF(K780="",0,K780)))</f>
        <v/>
      </c>
      <c r="Q780" s="121">
        <f>IF(OR(N780="",WorkBudget=0),"",N780/WorkBudget-1)</f>
        <v/>
      </c>
      <c r="R780" s="79">
        <f>IF(N780="","",IF(N780&lt;=WorkBudget,0,IF(N780&lt;=TotalBudget,1,2)))</f>
        <v/>
      </c>
      <c r="S780" s="112">
        <f>IF(AND(OR(H780&lt;&gt;"",J780&lt;&gt;""),OR(L780="Pending",L780=""),C780&lt;&gt;""),C780+3,"")</f>
        <v/>
      </c>
      <c r="T780" s="79">
        <f>IF(S780="","",IF(AsOf&gt;S780,1,2))</f>
        <v/>
      </c>
      <c r="U780" s="79">
        <f>IF(T780="","","Decide on change order "&amp;B780&amp;": "&amp;H780&amp;" (+"&amp;CurSym&amp;" "&amp;FIXED(IF(J780="",0,J780),0)&amp;")")</f>
        <v/>
      </c>
    </row>
    <row r="781" ht="24" customHeight="1">
      <c r="B781" s="74" t="n"/>
      <c r="C781" s="109" t="n"/>
      <c r="D781" s="72" t="n"/>
      <c r="E781" s="72" t="n"/>
      <c r="F781" s="72" t="n"/>
      <c r="G781" s="72" t="n"/>
      <c r="H781" s="113" t="n"/>
      <c r="I781" s="72" t="n"/>
      <c r="J781" s="73" t="n"/>
      <c r="K781" s="89" t="n"/>
      <c r="L781" s="74" t="n"/>
      <c r="M781" s="109" t="n"/>
      <c r="N781" s="68">
        <f>IF(AND(H781="",J781=""),"",ForecastTotal+IF(L781="Approved",0,IF(J781="",0,J781)))</f>
        <v/>
      </c>
      <c r="O781" s="75">
        <f>IF(N781="","",ContAmt-MAX(0,N781-WorkBudget))</f>
        <v/>
      </c>
      <c r="P781" s="120">
        <f>IF(OR(N781="",ForecastEnd=""),"",ForecastEnd+IF(L781="Approved",0,IF(K781="",0,K781)))</f>
        <v/>
      </c>
      <c r="Q781" s="121">
        <f>IF(OR(N781="",WorkBudget=0),"",N781/WorkBudget-1)</f>
        <v/>
      </c>
      <c r="R781" s="79">
        <f>IF(N781="","",IF(N781&lt;=WorkBudget,0,IF(N781&lt;=TotalBudget,1,2)))</f>
        <v/>
      </c>
      <c r="S781" s="112">
        <f>IF(AND(OR(H781&lt;&gt;"",J781&lt;&gt;""),OR(L781="Pending",L781=""),C781&lt;&gt;""),C781+3,"")</f>
        <v/>
      </c>
      <c r="T781" s="79">
        <f>IF(S781="","",IF(AsOf&gt;S781,1,2))</f>
        <v/>
      </c>
      <c r="U781" s="79">
        <f>IF(T781="","","Decide on change order "&amp;B781&amp;": "&amp;H781&amp;" (+"&amp;CurSym&amp;" "&amp;FIXED(IF(J781="",0,J781),0)&amp;")")</f>
        <v/>
      </c>
    </row>
    <row r="782" ht="24" customHeight="1">
      <c r="B782" s="74" t="n"/>
      <c r="C782" s="109" t="n"/>
      <c r="D782" s="72" t="n"/>
      <c r="E782" s="72" t="n"/>
      <c r="F782" s="72" t="n"/>
      <c r="G782" s="72" t="n"/>
      <c r="H782" s="113" t="n"/>
      <c r="I782" s="72" t="n"/>
      <c r="J782" s="73" t="n"/>
      <c r="K782" s="89" t="n"/>
      <c r="L782" s="74" t="n"/>
      <c r="M782" s="109" t="n"/>
      <c r="N782" s="68">
        <f>IF(AND(H782="",J782=""),"",ForecastTotal+IF(L782="Approved",0,IF(J782="",0,J782)))</f>
        <v/>
      </c>
      <c r="O782" s="75">
        <f>IF(N782="","",ContAmt-MAX(0,N782-WorkBudget))</f>
        <v/>
      </c>
      <c r="P782" s="120">
        <f>IF(OR(N782="",ForecastEnd=""),"",ForecastEnd+IF(L782="Approved",0,IF(K782="",0,K782)))</f>
        <v/>
      </c>
      <c r="Q782" s="121">
        <f>IF(OR(N782="",WorkBudget=0),"",N782/WorkBudget-1)</f>
        <v/>
      </c>
      <c r="R782" s="79">
        <f>IF(N782="","",IF(N782&lt;=WorkBudget,0,IF(N782&lt;=TotalBudget,1,2)))</f>
        <v/>
      </c>
      <c r="S782" s="112">
        <f>IF(AND(OR(H782&lt;&gt;"",J782&lt;&gt;""),OR(L782="Pending",L782=""),C782&lt;&gt;""),C782+3,"")</f>
        <v/>
      </c>
      <c r="T782" s="79">
        <f>IF(S782="","",IF(AsOf&gt;S782,1,2))</f>
        <v/>
      </c>
      <c r="U782" s="79">
        <f>IF(T782="","","Decide on change order "&amp;B782&amp;": "&amp;H782&amp;" (+"&amp;CurSym&amp;" "&amp;FIXED(IF(J782="",0,J782),0)&amp;")")</f>
        <v/>
      </c>
    </row>
    <row r="783" ht="24" customHeight="1">
      <c r="B783" s="74" t="n"/>
      <c r="C783" s="109" t="n"/>
      <c r="D783" s="72" t="n"/>
      <c r="E783" s="72" t="n"/>
      <c r="F783" s="72" t="n"/>
      <c r="G783" s="72" t="n"/>
      <c r="H783" s="113" t="n"/>
      <c r="I783" s="72" t="n"/>
      <c r="J783" s="73" t="n"/>
      <c r="K783" s="89" t="n"/>
      <c r="L783" s="74" t="n"/>
      <c r="M783" s="109" t="n"/>
      <c r="N783" s="68">
        <f>IF(AND(H783="",J783=""),"",ForecastTotal+IF(L783="Approved",0,IF(J783="",0,J783)))</f>
        <v/>
      </c>
      <c r="O783" s="75">
        <f>IF(N783="","",ContAmt-MAX(0,N783-WorkBudget))</f>
        <v/>
      </c>
      <c r="P783" s="120">
        <f>IF(OR(N783="",ForecastEnd=""),"",ForecastEnd+IF(L783="Approved",0,IF(K783="",0,K783)))</f>
        <v/>
      </c>
      <c r="Q783" s="121">
        <f>IF(OR(N783="",WorkBudget=0),"",N783/WorkBudget-1)</f>
        <v/>
      </c>
      <c r="R783" s="79">
        <f>IF(N783="","",IF(N783&lt;=WorkBudget,0,IF(N783&lt;=TotalBudget,1,2)))</f>
        <v/>
      </c>
      <c r="S783" s="112">
        <f>IF(AND(OR(H783&lt;&gt;"",J783&lt;&gt;""),OR(L783="Pending",L783=""),C783&lt;&gt;""),C783+3,"")</f>
        <v/>
      </c>
      <c r="T783" s="79">
        <f>IF(S783="","",IF(AsOf&gt;S783,1,2))</f>
        <v/>
      </c>
      <c r="U783" s="79">
        <f>IF(T783="","","Decide on change order "&amp;B783&amp;": "&amp;H783&amp;" (+"&amp;CurSym&amp;" "&amp;FIXED(IF(J783="",0,J783),0)&amp;")")</f>
        <v/>
      </c>
    </row>
    <row r="784" ht="24" customHeight="1">
      <c r="B784" s="74" t="n"/>
      <c r="C784" s="109" t="n"/>
      <c r="D784" s="72" t="n"/>
      <c r="E784" s="72" t="n"/>
      <c r="F784" s="72" t="n"/>
      <c r="G784" s="72" t="n"/>
      <c r="H784" s="113" t="n"/>
      <c r="I784" s="72" t="n"/>
      <c r="J784" s="73" t="n"/>
      <c r="K784" s="89" t="n"/>
      <c r="L784" s="74" t="n"/>
      <c r="M784" s="109" t="n"/>
      <c r="N784" s="68">
        <f>IF(AND(H784="",J784=""),"",ForecastTotal+IF(L784="Approved",0,IF(J784="",0,J784)))</f>
        <v/>
      </c>
      <c r="O784" s="75">
        <f>IF(N784="","",ContAmt-MAX(0,N784-WorkBudget))</f>
        <v/>
      </c>
      <c r="P784" s="120">
        <f>IF(OR(N784="",ForecastEnd=""),"",ForecastEnd+IF(L784="Approved",0,IF(K784="",0,K784)))</f>
        <v/>
      </c>
      <c r="Q784" s="121">
        <f>IF(OR(N784="",WorkBudget=0),"",N784/WorkBudget-1)</f>
        <v/>
      </c>
      <c r="R784" s="79">
        <f>IF(N784="","",IF(N784&lt;=WorkBudget,0,IF(N784&lt;=TotalBudget,1,2)))</f>
        <v/>
      </c>
      <c r="S784" s="112">
        <f>IF(AND(OR(H784&lt;&gt;"",J784&lt;&gt;""),OR(L784="Pending",L784=""),C784&lt;&gt;""),C784+3,"")</f>
        <v/>
      </c>
      <c r="T784" s="79">
        <f>IF(S784="","",IF(AsOf&gt;S784,1,2))</f>
        <v/>
      </c>
      <c r="U784" s="79">
        <f>IF(T784="","","Decide on change order "&amp;B784&amp;": "&amp;H784&amp;" (+"&amp;CurSym&amp;" "&amp;FIXED(IF(J784="",0,J784),0)&amp;")")</f>
        <v/>
      </c>
    </row>
    <row r="785" ht="24" customHeight="1">
      <c r="B785" s="74" t="n"/>
      <c r="C785" s="109" t="n"/>
      <c r="D785" s="72" t="n"/>
      <c r="E785" s="72" t="n"/>
      <c r="F785" s="72" t="n"/>
      <c r="G785" s="72" t="n"/>
      <c r="H785" s="113" t="n"/>
      <c r="I785" s="72" t="n"/>
      <c r="J785" s="73" t="n"/>
      <c r="K785" s="89" t="n"/>
      <c r="L785" s="74" t="n"/>
      <c r="M785" s="109" t="n"/>
      <c r="N785" s="68">
        <f>IF(AND(H785="",J785=""),"",ForecastTotal+IF(L785="Approved",0,IF(J785="",0,J785)))</f>
        <v/>
      </c>
      <c r="O785" s="75">
        <f>IF(N785="","",ContAmt-MAX(0,N785-WorkBudget))</f>
        <v/>
      </c>
      <c r="P785" s="120">
        <f>IF(OR(N785="",ForecastEnd=""),"",ForecastEnd+IF(L785="Approved",0,IF(K785="",0,K785)))</f>
        <v/>
      </c>
      <c r="Q785" s="121">
        <f>IF(OR(N785="",WorkBudget=0),"",N785/WorkBudget-1)</f>
        <v/>
      </c>
      <c r="R785" s="79">
        <f>IF(N785="","",IF(N785&lt;=WorkBudget,0,IF(N785&lt;=TotalBudget,1,2)))</f>
        <v/>
      </c>
      <c r="S785" s="112">
        <f>IF(AND(OR(H785&lt;&gt;"",J785&lt;&gt;""),OR(L785="Pending",L785=""),C785&lt;&gt;""),C785+3,"")</f>
        <v/>
      </c>
      <c r="T785" s="79">
        <f>IF(S785="","",IF(AsOf&gt;S785,1,2))</f>
        <v/>
      </c>
      <c r="U785" s="79">
        <f>IF(T785="","","Decide on change order "&amp;B785&amp;": "&amp;H785&amp;" (+"&amp;CurSym&amp;" "&amp;FIXED(IF(J785="",0,J785),0)&amp;")")</f>
        <v/>
      </c>
    </row>
    <row r="786" ht="24" customHeight="1">
      <c r="B786" s="74" t="n"/>
      <c r="C786" s="109" t="n"/>
      <c r="D786" s="72" t="n"/>
      <c r="E786" s="72" t="n"/>
      <c r="F786" s="72" t="n"/>
      <c r="G786" s="72" t="n"/>
      <c r="H786" s="113" t="n"/>
      <c r="I786" s="72" t="n"/>
      <c r="J786" s="73" t="n"/>
      <c r="K786" s="89" t="n"/>
      <c r="L786" s="74" t="n"/>
      <c r="M786" s="109" t="n"/>
      <c r="N786" s="68">
        <f>IF(AND(H786="",J786=""),"",ForecastTotal+IF(L786="Approved",0,IF(J786="",0,J786)))</f>
        <v/>
      </c>
      <c r="O786" s="75">
        <f>IF(N786="","",ContAmt-MAX(0,N786-WorkBudget))</f>
        <v/>
      </c>
      <c r="P786" s="120">
        <f>IF(OR(N786="",ForecastEnd=""),"",ForecastEnd+IF(L786="Approved",0,IF(K786="",0,K786)))</f>
        <v/>
      </c>
      <c r="Q786" s="121">
        <f>IF(OR(N786="",WorkBudget=0),"",N786/WorkBudget-1)</f>
        <v/>
      </c>
      <c r="R786" s="79">
        <f>IF(N786="","",IF(N786&lt;=WorkBudget,0,IF(N786&lt;=TotalBudget,1,2)))</f>
        <v/>
      </c>
      <c r="S786" s="112">
        <f>IF(AND(OR(H786&lt;&gt;"",J786&lt;&gt;""),OR(L786="Pending",L786=""),C786&lt;&gt;""),C786+3,"")</f>
        <v/>
      </c>
      <c r="T786" s="79">
        <f>IF(S786="","",IF(AsOf&gt;S786,1,2))</f>
        <v/>
      </c>
      <c r="U786" s="79">
        <f>IF(T786="","","Decide on change order "&amp;B786&amp;": "&amp;H786&amp;" (+"&amp;CurSym&amp;" "&amp;FIXED(IF(J786="",0,J786),0)&amp;")")</f>
        <v/>
      </c>
    </row>
    <row r="787" ht="24" customHeight="1">
      <c r="B787" s="74" t="n"/>
      <c r="C787" s="109" t="n"/>
      <c r="D787" s="72" t="n"/>
      <c r="E787" s="72" t="n"/>
      <c r="F787" s="72" t="n"/>
      <c r="G787" s="72" t="n"/>
      <c r="H787" s="113" t="n"/>
      <c r="I787" s="72" t="n"/>
      <c r="J787" s="73" t="n"/>
      <c r="K787" s="89" t="n"/>
      <c r="L787" s="74" t="n"/>
      <c r="M787" s="109" t="n"/>
      <c r="N787" s="68">
        <f>IF(AND(H787="",J787=""),"",ForecastTotal+IF(L787="Approved",0,IF(J787="",0,J787)))</f>
        <v/>
      </c>
      <c r="O787" s="75">
        <f>IF(N787="","",ContAmt-MAX(0,N787-WorkBudget))</f>
        <v/>
      </c>
      <c r="P787" s="120">
        <f>IF(OR(N787="",ForecastEnd=""),"",ForecastEnd+IF(L787="Approved",0,IF(K787="",0,K787)))</f>
        <v/>
      </c>
      <c r="Q787" s="121">
        <f>IF(OR(N787="",WorkBudget=0),"",N787/WorkBudget-1)</f>
        <v/>
      </c>
      <c r="R787" s="79">
        <f>IF(N787="","",IF(N787&lt;=WorkBudget,0,IF(N787&lt;=TotalBudget,1,2)))</f>
        <v/>
      </c>
      <c r="S787" s="112">
        <f>IF(AND(OR(H787&lt;&gt;"",J787&lt;&gt;""),OR(L787="Pending",L787=""),C787&lt;&gt;""),C787+3,"")</f>
        <v/>
      </c>
      <c r="T787" s="79">
        <f>IF(S787="","",IF(AsOf&gt;S787,1,2))</f>
        <v/>
      </c>
      <c r="U787" s="79">
        <f>IF(T787="","","Decide on change order "&amp;B787&amp;": "&amp;H787&amp;" (+"&amp;CurSym&amp;" "&amp;FIXED(IF(J787="",0,J787),0)&amp;")")</f>
        <v/>
      </c>
    </row>
    <row r="788" ht="24" customHeight="1">
      <c r="B788" s="74" t="n"/>
      <c r="C788" s="109" t="n"/>
      <c r="D788" s="72" t="n"/>
      <c r="E788" s="72" t="n"/>
      <c r="F788" s="72" t="n"/>
      <c r="G788" s="72" t="n"/>
      <c r="H788" s="113" t="n"/>
      <c r="I788" s="72" t="n"/>
      <c r="J788" s="73" t="n"/>
      <c r="K788" s="89" t="n"/>
      <c r="L788" s="74" t="n"/>
      <c r="M788" s="109" t="n"/>
      <c r="N788" s="68">
        <f>IF(AND(H788="",J788=""),"",ForecastTotal+IF(L788="Approved",0,IF(J788="",0,J788)))</f>
        <v/>
      </c>
      <c r="O788" s="75">
        <f>IF(N788="","",ContAmt-MAX(0,N788-WorkBudget))</f>
        <v/>
      </c>
      <c r="P788" s="120">
        <f>IF(OR(N788="",ForecastEnd=""),"",ForecastEnd+IF(L788="Approved",0,IF(K788="",0,K788)))</f>
        <v/>
      </c>
      <c r="Q788" s="121">
        <f>IF(OR(N788="",WorkBudget=0),"",N788/WorkBudget-1)</f>
        <v/>
      </c>
      <c r="R788" s="79">
        <f>IF(N788="","",IF(N788&lt;=WorkBudget,0,IF(N788&lt;=TotalBudget,1,2)))</f>
        <v/>
      </c>
      <c r="S788" s="112">
        <f>IF(AND(OR(H788&lt;&gt;"",J788&lt;&gt;""),OR(L788="Pending",L788=""),C788&lt;&gt;""),C788+3,"")</f>
        <v/>
      </c>
      <c r="T788" s="79">
        <f>IF(S788="","",IF(AsOf&gt;S788,1,2))</f>
        <v/>
      </c>
      <c r="U788" s="79">
        <f>IF(T788="","","Decide on change order "&amp;B788&amp;": "&amp;H788&amp;" (+"&amp;CurSym&amp;" "&amp;FIXED(IF(J788="",0,J788),0)&amp;")")</f>
        <v/>
      </c>
    </row>
    <row r="789" ht="24" customHeight="1">
      <c r="B789" s="74" t="n"/>
      <c r="C789" s="109" t="n"/>
      <c r="D789" s="72" t="n"/>
      <c r="E789" s="72" t="n"/>
      <c r="F789" s="72" t="n"/>
      <c r="G789" s="72" t="n"/>
      <c r="H789" s="113" t="n"/>
      <c r="I789" s="72" t="n"/>
      <c r="J789" s="73" t="n"/>
      <c r="K789" s="89" t="n"/>
      <c r="L789" s="74" t="n"/>
      <c r="M789" s="109" t="n"/>
      <c r="N789" s="68">
        <f>IF(AND(H789="",J789=""),"",ForecastTotal+IF(L789="Approved",0,IF(J789="",0,J789)))</f>
        <v/>
      </c>
      <c r="O789" s="75">
        <f>IF(N789="","",ContAmt-MAX(0,N789-WorkBudget))</f>
        <v/>
      </c>
      <c r="P789" s="120">
        <f>IF(OR(N789="",ForecastEnd=""),"",ForecastEnd+IF(L789="Approved",0,IF(K789="",0,K789)))</f>
        <v/>
      </c>
      <c r="Q789" s="121">
        <f>IF(OR(N789="",WorkBudget=0),"",N789/WorkBudget-1)</f>
        <v/>
      </c>
      <c r="R789" s="79">
        <f>IF(N789="","",IF(N789&lt;=WorkBudget,0,IF(N789&lt;=TotalBudget,1,2)))</f>
        <v/>
      </c>
      <c r="S789" s="112">
        <f>IF(AND(OR(H789&lt;&gt;"",J789&lt;&gt;""),OR(L789="Pending",L789=""),C789&lt;&gt;""),C789+3,"")</f>
        <v/>
      </c>
      <c r="T789" s="79">
        <f>IF(S789="","",IF(AsOf&gt;S789,1,2))</f>
        <v/>
      </c>
      <c r="U789" s="79">
        <f>IF(T789="","","Decide on change order "&amp;B789&amp;": "&amp;H789&amp;" (+"&amp;CurSym&amp;" "&amp;FIXED(IF(J789="",0,J789),0)&amp;")")</f>
        <v/>
      </c>
    </row>
    <row r="790" ht="24" customHeight="1">
      <c r="B790" s="74" t="n"/>
      <c r="C790" s="109" t="n"/>
      <c r="D790" s="72" t="n"/>
      <c r="E790" s="72" t="n"/>
      <c r="F790" s="72" t="n"/>
      <c r="G790" s="72" t="n"/>
      <c r="H790" s="113" t="n"/>
      <c r="I790" s="72" t="n"/>
      <c r="J790" s="73" t="n"/>
      <c r="K790" s="89" t="n"/>
      <c r="L790" s="74" t="n"/>
      <c r="M790" s="109" t="n"/>
      <c r="N790" s="68">
        <f>IF(AND(H790="",J790=""),"",ForecastTotal+IF(L790="Approved",0,IF(J790="",0,J790)))</f>
        <v/>
      </c>
      <c r="O790" s="75">
        <f>IF(N790="","",ContAmt-MAX(0,N790-WorkBudget))</f>
        <v/>
      </c>
      <c r="P790" s="120">
        <f>IF(OR(N790="",ForecastEnd=""),"",ForecastEnd+IF(L790="Approved",0,IF(K790="",0,K790)))</f>
        <v/>
      </c>
      <c r="Q790" s="121">
        <f>IF(OR(N790="",WorkBudget=0),"",N790/WorkBudget-1)</f>
        <v/>
      </c>
      <c r="R790" s="79">
        <f>IF(N790="","",IF(N790&lt;=WorkBudget,0,IF(N790&lt;=TotalBudget,1,2)))</f>
        <v/>
      </c>
      <c r="S790" s="112">
        <f>IF(AND(OR(H790&lt;&gt;"",J790&lt;&gt;""),OR(L790="Pending",L790=""),C790&lt;&gt;""),C790+3,"")</f>
        <v/>
      </c>
      <c r="T790" s="79">
        <f>IF(S790="","",IF(AsOf&gt;S790,1,2))</f>
        <v/>
      </c>
      <c r="U790" s="79">
        <f>IF(T790="","","Decide on change order "&amp;B790&amp;": "&amp;H790&amp;" (+"&amp;CurSym&amp;" "&amp;FIXED(IF(J790="",0,J790),0)&amp;")")</f>
        <v/>
      </c>
    </row>
    <row r="791" ht="24" customHeight="1">
      <c r="B791" s="74" t="n"/>
      <c r="C791" s="109" t="n"/>
      <c r="D791" s="72" t="n"/>
      <c r="E791" s="72" t="n"/>
      <c r="F791" s="72" t="n"/>
      <c r="G791" s="72" t="n"/>
      <c r="H791" s="113" t="n"/>
      <c r="I791" s="72" t="n"/>
      <c r="J791" s="73" t="n"/>
      <c r="K791" s="89" t="n"/>
      <c r="L791" s="74" t="n"/>
      <c r="M791" s="109" t="n"/>
      <c r="N791" s="68">
        <f>IF(AND(H791="",J791=""),"",ForecastTotal+IF(L791="Approved",0,IF(J791="",0,J791)))</f>
        <v/>
      </c>
      <c r="O791" s="75">
        <f>IF(N791="","",ContAmt-MAX(0,N791-WorkBudget))</f>
        <v/>
      </c>
      <c r="P791" s="120">
        <f>IF(OR(N791="",ForecastEnd=""),"",ForecastEnd+IF(L791="Approved",0,IF(K791="",0,K791)))</f>
        <v/>
      </c>
      <c r="Q791" s="121">
        <f>IF(OR(N791="",WorkBudget=0),"",N791/WorkBudget-1)</f>
        <v/>
      </c>
      <c r="R791" s="79">
        <f>IF(N791="","",IF(N791&lt;=WorkBudget,0,IF(N791&lt;=TotalBudget,1,2)))</f>
        <v/>
      </c>
      <c r="S791" s="112">
        <f>IF(AND(OR(H791&lt;&gt;"",J791&lt;&gt;""),OR(L791="Pending",L791=""),C791&lt;&gt;""),C791+3,"")</f>
        <v/>
      </c>
      <c r="T791" s="79">
        <f>IF(S791="","",IF(AsOf&gt;S791,1,2))</f>
        <v/>
      </c>
      <c r="U791" s="79">
        <f>IF(T791="","","Decide on change order "&amp;B791&amp;": "&amp;H791&amp;" (+"&amp;CurSym&amp;" "&amp;FIXED(IF(J791="",0,J791),0)&amp;")")</f>
        <v/>
      </c>
    </row>
    <row r="792" ht="24" customHeight="1">
      <c r="B792" s="74" t="n"/>
      <c r="C792" s="109" t="n"/>
      <c r="D792" s="72" t="n"/>
      <c r="E792" s="72" t="n"/>
      <c r="F792" s="72" t="n"/>
      <c r="G792" s="72" t="n"/>
      <c r="H792" s="113" t="n"/>
      <c r="I792" s="72" t="n"/>
      <c r="J792" s="73" t="n"/>
      <c r="K792" s="89" t="n"/>
      <c r="L792" s="74" t="n"/>
      <c r="M792" s="109" t="n"/>
      <c r="N792" s="68">
        <f>IF(AND(H792="",J792=""),"",ForecastTotal+IF(L792="Approved",0,IF(J792="",0,J792)))</f>
        <v/>
      </c>
      <c r="O792" s="75">
        <f>IF(N792="","",ContAmt-MAX(0,N792-WorkBudget))</f>
        <v/>
      </c>
      <c r="P792" s="120">
        <f>IF(OR(N792="",ForecastEnd=""),"",ForecastEnd+IF(L792="Approved",0,IF(K792="",0,K792)))</f>
        <v/>
      </c>
      <c r="Q792" s="121">
        <f>IF(OR(N792="",WorkBudget=0),"",N792/WorkBudget-1)</f>
        <v/>
      </c>
      <c r="R792" s="79">
        <f>IF(N792="","",IF(N792&lt;=WorkBudget,0,IF(N792&lt;=TotalBudget,1,2)))</f>
        <v/>
      </c>
      <c r="S792" s="112">
        <f>IF(AND(OR(H792&lt;&gt;"",J792&lt;&gt;""),OR(L792="Pending",L792=""),C792&lt;&gt;""),C792+3,"")</f>
        <v/>
      </c>
      <c r="T792" s="79">
        <f>IF(S792="","",IF(AsOf&gt;S792,1,2))</f>
        <v/>
      </c>
      <c r="U792" s="79">
        <f>IF(T792="","","Decide on change order "&amp;B792&amp;": "&amp;H792&amp;" (+"&amp;CurSym&amp;" "&amp;FIXED(IF(J792="",0,J792),0)&amp;")")</f>
        <v/>
      </c>
    </row>
    <row r="793" ht="24" customHeight="1">
      <c r="B793" s="74" t="n"/>
      <c r="C793" s="109" t="n"/>
      <c r="D793" s="72" t="n"/>
      <c r="E793" s="72" t="n"/>
      <c r="F793" s="72" t="n"/>
      <c r="G793" s="72" t="n"/>
      <c r="H793" s="113" t="n"/>
      <c r="I793" s="72" t="n"/>
      <c r="J793" s="73" t="n"/>
      <c r="K793" s="89" t="n"/>
      <c r="L793" s="74" t="n"/>
      <c r="M793" s="109" t="n"/>
      <c r="N793" s="68">
        <f>IF(AND(H793="",J793=""),"",ForecastTotal+IF(L793="Approved",0,IF(J793="",0,J793)))</f>
        <v/>
      </c>
      <c r="O793" s="75">
        <f>IF(N793="","",ContAmt-MAX(0,N793-WorkBudget))</f>
        <v/>
      </c>
      <c r="P793" s="120">
        <f>IF(OR(N793="",ForecastEnd=""),"",ForecastEnd+IF(L793="Approved",0,IF(K793="",0,K793)))</f>
        <v/>
      </c>
      <c r="Q793" s="121">
        <f>IF(OR(N793="",WorkBudget=0),"",N793/WorkBudget-1)</f>
        <v/>
      </c>
      <c r="R793" s="79">
        <f>IF(N793="","",IF(N793&lt;=WorkBudget,0,IF(N793&lt;=TotalBudget,1,2)))</f>
        <v/>
      </c>
      <c r="S793" s="112">
        <f>IF(AND(OR(H793&lt;&gt;"",J793&lt;&gt;""),OR(L793="Pending",L793=""),C793&lt;&gt;""),C793+3,"")</f>
        <v/>
      </c>
      <c r="T793" s="79">
        <f>IF(S793="","",IF(AsOf&gt;S793,1,2))</f>
        <v/>
      </c>
      <c r="U793" s="79">
        <f>IF(T793="","","Decide on change order "&amp;B793&amp;": "&amp;H793&amp;" (+"&amp;CurSym&amp;" "&amp;FIXED(IF(J793="",0,J793),0)&amp;")")</f>
        <v/>
      </c>
    </row>
    <row r="794" ht="24" customHeight="1">
      <c r="B794" s="74" t="n"/>
      <c r="C794" s="109" t="n"/>
      <c r="D794" s="72" t="n"/>
      <c r="E794" s="72" t="n"/>
      <c r="F794" s="72" t="n"/>
      <c r="G794" s="72" t="n"/>
      <c r="H794" s="113" t="n"/>
      <c r="I794" s="72" t="n"/>
      <c r="J794" s="73" t="n"/>
      <c r="K794" s="89" t="n"/>
      <c r="L794" s="74" t="n"/>
      <c r="M794" s="109" t="n"/>
      <c r="N794" s="68">
        <f>IF(AND(H794="",J794=""),"",ForecastTotal+IF(L794="Approved",0,IF(J794="",0,J794)))</f>
        <v/>
      </c>
      <c r="O794" s="75">
        <f>IF(N794="","",ContAmt-MAX(0,N794-WorkBudget))</f>
        <v/>
      </c>
      <c r="P794" s="120">
        <f>IF(OR(N794="",ForecastEnd=""),"",ForecastEnd+IF(L794="Approved",0,IF(K794="",0,K794)))</f>
        <v/>
      </c>
      <c r="Q794" s="121">
        <f>IF(OR(N794="",WorkBudget=0),"",N794/WorkBudget-1)</f>
        <v/>
      </c>
      <c r="R794" s="79">
        <f>IF(N794="","",IF(N794&lt;=WorkBudget,0,IF(N794&lt;=TotalBudget,1,2)))</f>
        <v/>
      </c>
      <c r="S794" s="112">
        <f>IF(AND(OR(H794&lt;&gt;"",J794&lt;&gt;""),OR(L794="Pending",L794=""),C794&lt;&gt;""),C794+3,"")</f>
        <v/>
      </c>
      <c r="T794" s="79">
        <f>IF(S794="","",IF(AsOf&gt;S794,1,2))</f>
        <v/>
      </c>
      <c r="U794" s="79">
        <f>IF(T794="","","Decide on change order "&amp;B794&amp;": "&amp;H794&amp;" (+"&amp;CurSym&amp;" "&amp;FIXED(IF(J794="",0,J794),0)&amp;")")</f>
        <v/>
      </c>
    </row>
    <row r="795" ht="24" customHeight="1">
      <c r="B795" s="74" t="n"/>
      <c r="C795" s="109" t="n"/>
      <c r="D795" s="72" t="n"/>
      <c r="E795" s="72" t="n"/>
      <c r="F795" s="72" t="n"/>
      <c r="G795" s="72" t="n"/>
      <c r="H795" s="113" t="n"/>
      <c r="I795" s="72" t="n"/>
      <c r="J795" s="73" t="n"/>
      <c r="K795" s="89" t="n"/>
      <c r="L795" s="74" t="n"/>
      <c r="M795" s="109" t="n"/>
      <c r="N795" s="68">
        <f>IF(AND(H795="",J795=""),"",ForecastTotal+IF(L795="Approved",0,IF(J795="",0,J795)))</f>
        <v/>
      </c>
      <c r="O795" s="75">
        <f>IF(N795="","",ContAmt-MAX(0,N795-WorkBudget))</f>
        <v/>
      </c>
      <c r="P795" s="120">
        <f>IF(OR(N795="",ForecastEnd=""),"",ForecastEnd+IF(L795="Approved",0,IF(K795="",0,K795)))</f>
        <v/>
      </c>
      <c r="Q795" s="121">
        <f>IF(OR(N795="",WorkBudget=0),"",N795/WorkBudget-1)</f>
        <v/>
      </c>
      <c r="R795" s="79">
        <f>IF(N795="","",IF(N795&lt;=WorkBudget,0,IF(N795&lt;=TotalBudget,1,2)))</f>
        <v/>
      </c>
      <c r="S795" s="112">
        <f>IF(AND(OR(H795&lt;&gt;"",J795&lt;&gt;""),OR(L795="Pending",L795=""),C795&lt;&gt;""),C795+3,"")</f>
        <v/>
      </c>
      <c r="T795" s="79">
        <f>IF(S795="","",IF(AsOf&gt;S795,1,2))</f>
        <v/>
      </c>
      <c r="U795" s="79">
        <f>IF(T795="","","Decide on change order "&amp;B795&amp;": "&amp;H795&amp;" (+"&amp;CurSym&amp;" "&amp;FIXED(IF(J795="",0,J795),0)&amp;")")</f>
        <v/>
      </c>
    </row>
    <row r="796" ht="24" customHeight="1">
      <c r="B796" s="74" t="n"/>
      <c r="C796" s="109" t="n"/>
      <c r="D796" s="72" t="n"/>
      <c r="E796" s="72" t="n"/>
      <c r="F796" s="72" t="n"/>
      <c r="G796" s="72" t="n"/>
      <c r="H796" s="113" t="n"/>
      <c r="I796" s="72" t="n"/>
      <c r="J796" s="73" t="n"/>
      <c r="K796" s="89" t="n"/>
      <c r="L796" s="74" t="n"/>
      <c r="M796" s="109" t="n"/>
      <c r="N796" s="68">
        <f>IF(AND(H796="",J796=""),"",ForecastTotal+IF(L796="Approved",0,IF(J796="",0,J796)))</f>
        <v/>
      </c>
      <c r="O796" s="75">
        <f>IF(N796="","",ContAmt-MAX(0,N796-WorkBudget))</f>
        <v/>
      </c>
      <c r="P796" s="120">
        <f>IF(OR(N796="",ForecastEnd=""),"",ForecastEnd+IF(L796="Approved",0,IF(K796="",0,K796)))</f>
        <v/>
      </c>
      <c r="Q796" s="121">
        <f>IF(OR(N796="",WorkBudget=0),"",N796/WorkBudget-1)</f>
        <v/>
      </c>
      <c r="R796" s="79">
        <f>IF(N796="","",IF(N796&lt;=WorkBudget,0,IF(N796&lt;=TotalBudget,1,2)))</f>
        <v/>
      </c>
      <c r="S796" s="112">
        <f>IF(AND(OR(H796&lt;&gt;"",J796&lt;&gt;""),OR(L796="Pending",L796=""),C796&lt;&gt;""),C796+3,"")</f>
        <v/>
      </c>
      <c r="T796" s="79">
        <f>IF(S796="","",IF(AsOf&gt;S796,1,2))</f>
        <v/>
      </c>
      <c r="U796" s="79">
        <f>IF(T796="","","Decide on change order "&amp;B796&amp;": "&amp;H796&amp;" (+"&amp;CurSym&amp;" "&amp;FIXED(IF(J796="",0,J796),0)&amp;")")</f>
        <v/>
      </c>
    </row>
    <row r="797" ht="24" customHeight="1">
      <c r="B797" s="74" t="n"/>
      <c r="C797" s="109" t="n"/>
      <c r="D797" s="72" t="n"/>
      <c r="E797" s="72" t="n"/>
      <c r="F797" s="72" t="n"/>
      <c r="G797" s="72" t="n"/>
      <c r="H797" s="113" t="n"/>
      <c r="I797" s="72" t="n"/>
      <c r="J797" s="73" t="n"/>
      <c r="K797" s="89" t="n"/>
      <c r="L797" s="74" t="n"/>
      <c r="M797" s="109" t="n"/>
      <c r="N797" s="68">
        <f>IF(AND(H797="",J797=""),"",ForecastTotal+IF(L797="Approved",0,IF(J797="",0,J797)))</f>
        <v/>
      </c>
      <c r="O797" s="75">
        <f>IF(N797="","",ContAmt-MAX(0,N797-WorkBudget))</f>
        <v/>
      </c>
      <c r="P797" s="120">
        <f>IF(OR(N797="",ForecastEnd=""),"",ForecastEnd+IF(L797="Approved",0,IF(K797="",0,K797)))</f>
        <v/>
      </c>
      <c r="Q797" s="121">
        <f>IF(OR(N797="",WorkBudget=0),"",N797/WorkBudget-1)</f>
        <v/>
      </c>
      <c r="R797" s="79">
        <f>IF(N797="","",IF(N797&lt;=WorkBudget,0,IF(N797&lt;=TotalBudget,1,2)))</f>
        <v/>
      </c>
      <c r="S797" s="112">
        <f>IF(AND(OR(H797&lt;&gt;"",J797&lt;&gt;""),OR(L797="Pending",L797=""),C797&lt;&gt;""),C797+3,"")</f>
        <v/>
      </c>
      <c r="T797" s="79">
        <f>IF(S797="","",IF(AsOf&gt;S797,1,2))</f>
        <v/>
      </c>
      <c r="U797" s="79">
        <f>IF(T797="","","Decide on change order "&amp;B797&amp;": "&amp;H797&amp;" (+"&amp;CurSym&amp;" "&amp;FIXED(IF(J797="",0,J797),0)&amp;")")</f>
        <v/>
      </c>
    </row>
    <row r="798" ht="24" customHeight="1">
      <c r="B798" s="74" t="n"/>
      <c r="C798" s="109" t="n"/>
      <c r="D798" s="72" t="n"/>
      <c r="E798" s="72" t="n"/>
      <c r="F798" s="72" t="n"/>
      <c r="G798" s="72" t="n"/>
      <c r="H798" s="113" t="n"/>
      <c r="I798" s="72" t="n"/>
      <c r="J798" s="73" t="n"/>
      <c r="K798" s="89" t="n"/>
      <c r="L798" s="74" t="n"/>
      <c r="M798" s="109" t="n"/>
      <c r="N798" s="68">
        <f>IF(AND(H798="",J798=""),"",ForecastTotal+IF(L798="Approved",0,IF(J798="",0,J798)))</f>
        <v/>
      </c>
      <c r="O798" s="75">
        <f>IF(N798="","",ContAmt-MAX(0,N798-WorkBudget))</f>
        <v/>
      </c>
      <c r="P798" s="120">
        <f>IF(OR(N798="",ForecastEnd=""),"",ForecastEnd+IF(L798="Approved",0,IF(K798="",0,K798)))</f>
        <v/>
      </c>
      <c r="Q798" s="121">
        <f>IF(OR(N798="",WorkBudget=0),"",N798/WorkBudget-1)</f>
        <v/>
      </c>
      <c r="R798" s="79">
        <f>IF(N798="","",IF(N798&lt;=WorkBudget,0,IF(N798&lt;=TotalBudget,1,2)))</f>
        <v/>
      </c>
      <c r="S798" s="112">
        <f>IF(AND(OR(H798&lt;&gt;"",J798&lt;&gt;""),OR(L798="Pending",L798=""),C798&lt;&gt;""),C798+3,"")</f>
        <v/>
      </c>
      <c r="T798" s="79">
        <f>IF(S798="","",IF(AsOf&gt;S798,1,2))</f>
        <v/>
      </c>
      <c r="U798" s="79">
        <f>IF(T798="","","Decide on change order "&amp;B798&amp;": "&amp;H798&amp;" (+"&amp;CurSym&amp;" "&amp;FIXED(IF(J798="",0,J798),0)&amp;")")</f>
        <v/>
      </c>
    </row>
    <row r="799" ht="24" customHeight="1">
      <c r="B799" s="74" t="n"/>
      <c r="C799" s="109" t="n"/>
      <c r="D799" s="72" t="n"/>
      <c r="E799" s="72" t="n"/>
      <c r="F799" s="72" t="n"/>
      <c r="G799" s="72" t="n"/>
      <c r="H799" s="113" t="n"/>
      <c r="I799" s="72" t="n"/>
      <c r="J799" s="73" t="n"/>
      <c r="K799" s="89" t="n"/>
      <c r="L799" s="74" t="n"/>
      <c r="M799" s="109" t="n"/>
      <c r="N799" s="68">
        <f>IF(AND(H799="",J799=""),"",ForecastTotal+IF(L799="Approved",0,IF(J799="",0,J799)))</f>
        <v/>
      </c>
      <c r="O799" s="75">
        <f>IF(N799="","",ContAmt-MAX(0,N799-WorkBudget))</f>
        <v/>
      </c>
      <c r="P799" s="120">
        <f>IF(OR(N799="",ForecastEnd=""),"",ForecastEnd+IF(L799="Approved",0,IF(K799="",0,K799)))</f>
        <v/>
      </c>
      <c r="Q799" s="121">
        <f>IF(OR(N799="",WorkBudget=0),"",N799/WorkBudget-1)</f>
        <v/>
      </c>
      <c r="R799" s="79">
        <f>IF(N799="","",IF(N799&lt;=WorkBudget,0,IF(N799&lt;=TotalBudget,1,2)))</f>
        <v/>
      </c>
      <c r="S799" s="112">
        <f>IF(AND(OR(H799&lt;&gt;"",J799&lt;&gt;""),OR(L799="Pending",L799=""),C799&lt;&gt;""),C799+3,"")</f>
        <v/>
      </c>
      <c r="T799" s="79">
        <f>IF(S799="","",IF(AsOf&gt;S799,1,2))</f>
        <v/>
      </c>
      <c r="U799" s="79">
        <f>IF(T799="","","Decide on change order "&amp;B799&amp;": "&amp;H799&amp;" (+"&amp;CurSym&amp;" "&amp;FIXED(IF(J799="",0,J799),0)&amp;")")</f>
        <v/>
      </c>
    </row>
    <row r="800" ht="24" customHeight="1">
      <c r="B800" s="74" t="n"/>
      <c r="C800" s="109" t="n"/>
      <c r="D800" s="72" t="n"/>
      <c r="E800" s="72" t="n"/>
      <c r="F800" s="72" t="n"/>
      <c r="G800" s="72" t="n"/>
      <c r="H800" s="113" t="n"/>
      <c r="I800" s="72" t="n"/>
      <c r="J800" s="73" t="n"/>
      <c r="K800" s="89" t="n"/>
      <c r="L800" s="74" t="n"/>
      <c r="M800" s="109" t="n"/>
      <c r="N800" s="68">
        <f>IF(AND(H800="",J800=""),"",ForecastTotal+IF(L800="Approved",0,IF(J800="",0,J800)))</f>
        <v/>
      </c>
      <c r="O800" s="75">
        <f>IF(N800="","",ContAmt-MAX(0,N800-WorkBudget))</f>
        <v/>
      </c>
      <c r="P800" s="120">
        <f>IF(OR(N800="",ForecastEnd=""),"",ForecastEnd+IF(L800="Approved",0,IF(K800="",0,K800)))</f>
        <v/>
      </c>
      <c r="Q800" s="121">
        <f>IF(OR(N800="",WorkBudget=0),"",N800/WorkBudget-1)</f>
        <v/>
      </c>
      <c r="R800" s="79">
        <f>IF(N800="","",IF(N800&lt;=WorkBudget,0,IF(N800&lt;=TotalBudget,1,2)))</f>
        <v/>
      </c>
      <c r="S800" s="112">
        <f>IF(AND(OR(H800&lt;&gt;"",J800&lt;&gt;""),OR(L800="Pending",L800=""),C800&lt;&gt;""),C800+3,"")</f>
        <v/>
      </c>
      <c r="T800" s="79">
        <f>IF(S800="","",IF(AsOf&gt;S800,1,2))</f>
        <v/>
      </c>
      <c r="U800" s="79">
        <f>IF(T800="","","Decide on change order "&amp;B800&amp;": "&amp;H800&amp;" (+"&amp;CurSym&amp;" "&amp;FIXED(IF(J800="",0,J800),0)&amp;")")</f>
        <v/>
      </c>
    </row>
    <row r="801" ht="24" customHeight="1">
      <c r="B801" s="74" t="n"/>
      <c r="C801" s="109" t="n"/>
      <c r="D801" s="72" t="n"/>
      <c r="E801" s="72" t="n"/>
      <c r="F801" s="72" t="n"/>
      <c r="G801" s="72" t="n"/>
      <c r="H801" s="113" t="n"/>
      <c r="I801" s="72" t="n"/>
      <c r="J801" s="73" t="n"/>
      <c r="K801" s="89" t="n"/>
      <c r="L801" s="74" t="n"/>
      <c r="M801" s="109" t="n"/>
      <c r="N801" s="68">
        <f>IF(AND(H801="",J801=""),"",ForecastTotal+IF(L801="Approved",0,IF(J801="",0,J801)))</f>
        <v/>
      </c>
      <c r="O801" s="75">
        <f>IF(N801="","",ContAmt-MAX(0,N801-WorkBudget))</f>
        <v/>
      </c>
      <c r="P801" s="120">
        <f>IF(OR(N801="",ForecastEnd=""),"",ForecastEnd+IF(L801="Approved",0,IF(K801="",0,K801)))</f>
        <v/>
      </c>
      <c r="Q801" s="121">
        <f>IF(OR(N801="",WorkBudget=0),"",N801/WorkBudget-1)</f>
        <v/>
      </c>
      <c r="R801" s="79">
        <f>IF(N801="","",IF(N801&lt;=WorkBudget,0,IF(N801&lt;=TotalBudget,1,2)))</f>
        <v/>
      </c>
      <c r="S801" s="112">
        <f>IF(AND(OR(H801&lt;&gt;"",J801&lt;&gt;""),OR(L801="Pending",L801=""),C801&lt;&gt;""),C801+3,"")</f>
        <v/>
      </c>
      <c r="T801" s="79">
        <f>IF(S801="","",IF(AsOf&gt;S801,1,2))</f>
        <v/>
      </c>
      <c r="U801" s="79">
        <f>IF(T801="","","Decide on change order "&amp;B801&amp;": "&amp;H801&amp;" (+"&amp;CurSym&amp;" "&amp;FIXED(IF(J801="",0,J801),0)&amp;")")</f>
        <v/>
      </c>
    </row>
    <row r="802" ht="24" customHeight="1">
      <c r="B802" s="74" t="n"/>
      <c r="C802" s="109" t="n"/>
      <c r="D802" s="72" t="n"/>
      <c r="E802" s="72" t="n"/>
      <c r="F802" s="72" t="n"/>
      <c r="G802" s="72" t="n"/>
      <c r="H802" s="113" t="n"/>
      <c r="I802" s="72" t="n"/>
      <c r="J802" s="73" t="n"/>
      <c r="K802" s="89" t="n"/>
      <c r="L802" s="74" t="n"/>
      <c r="M802" s="109" t="n"/>
      <c r="N802" s="68">
        <f>IF(AND(H802="",J802=""),"",ForecastTotal+IF(L802="Approved",0,IF(J802="",0,J802)))</f>
        <v/>
      </c>
      <c r="O802" s="75">
        <f>IF(N802="","",ContAmt-MAX(0,N802-WorkBudget))</f>
        <v/>
      </c>
      <c r="P802" s="120">
        <f>IF(OR(N802="",ForecastEnd=""),"",ForecastEnd+IF(L802="Approved",0,IF(K802="",0,K802)))</f>
        <v/>
      </c>
      <c r="Q802" s="121">
        <f>IF(OR(N802="",WorkBudget=0),"",N802/WorkBudget-1)</f>
        <v/>
      </c>
      <c r="R802" s="79">
        <f>IF(N802="","",IF(N802&lt;=WorkBudget,0,IF(N802&lt;=TotalBudget,1,2)))</f>
        <v/>
      </c>
      <c r="S802" s="112">
        <f>IF(AND(OR(H802&lt;&gt;"",J802&lt;&gt;""),OR(L802="Pending",L802=""),C802&lt;&gt;""),C802+3,"")</f>
        <v/>
      </c>
      <c r="T802" s="79">
        <f>IF(S802="","",IF(AsOf&gt;S802,1,2))</f>
        <v/>
      </c>
      <c r="U802" s="79">
        <f>IF(T802="","","Decide on change order "&amp;B802&amp;": "&amp;H802&amp;" (+"&amp;CurSym&amp;" "&amp;FIXED(IF(J802="",0,J802),0)&amp;")")</f>
        <v/>
      </c>
    </row>
    <row r="803" ht="24" customHeight="1">
      <c r="B803" s="74" t="n"/>
      <c r="C803" s="109" t="n"/>
      <c r="D803" s="72" t="n"/>
      <c r="E803" s="72" t="n"/>
      <c r="F803" s="72" t="n"/>
      <c r="G803" s="72" t="n"/>
      <c r="H803" s="113" t="n"/>
      <c r="I803" s="72" t="n"/>
      <c r="J803" s="73" t="n"/>
      <c r="K803" s="89" t="n"/>
      <c r="L803" s="74" t="n"/>
      <c r="M803" s="109" t="n"/>
      <c r="N803" s="68">
        <f>IF(AND(H803="",J803=""),"",ForecastTotal+IF(L803="Approved",0,IF(J803="",0,J803)))</f>
        <v/>
      </c>
      <c r="O803" s="75">
        <f>IF(N803="","",ContAmt-MAX(0,N803-WorkBudget))</f>
        <v/>
      </c>
      <c r="P803" s="120">
        <f>IF(OR(N803="",ForecastEnd=""),"",ForecastEnd+IF(L803="Approved",0,IF(K803="",0,K803)))</f>
        <v/>
      </c>
      <c r="Q803" s="121">
        <f>IF(OR(N803="",WorkBudget=0),"",N803/WorkBudget-1)</f>
        <v/>
      </c>
      <c r="R803" s="79">
        <f>IF(N803="","",IF(N803&lt;=WorkBudget,0,IF(N803&lt;=TotalBudget,1,2)))</f>
        <v/>
      </c>
      <c r="S803" s="112">
        <f>IF(AND(OR(H803&lt;&gt;"",J803&lt;&gt;""),OR(L803="Pending",L803=""),C803&lt;&gt;""),C803+3,"")</f>
        <v/>
      </c>
      <c r="T803" s="79">
        <f>IF(S803="","",IF(AsOf&gt;S803,1,2))</f>
        <v/>
      </c>
      <c r="U803" s="79">
        <f>IF(T803="","","Decide on change order "&amp;B803&amp;": "&amp;H803&amp;" (+"&amp;CurSym&amp;" "&amp;FIXED(IF(J803="",0,J803),0)&amp;")")</f>
        <v/>
      </c>
    </row>
    <row r="804" ht="24" customHeight="1">
      <c r="B804" s="74" t="n"/>
      <c r="C804" s="109" t="n"/>
      <c r="D804" s="72" t="n"/>
      <c r="E804" s="72" t="n"/>
      <c r="F804" s="72" t="n"/>
      <c r="G804" s="72" t="n"/>
      <c r="H804" s="113" t="n"/>
      <c r="I804" s="72" t="n"/>
      <c r="J804" s="73" t="n"/>
      <c r="K804" s="89" t="n"/>
      <c r="L804" s="74" t="n"/>
      <c r="M804" s="109" t="n"/>
      <c r="N804" s="68">
        <f>IF(AND(H804="",J804=""),"",ForecastTotal+IF(L804="Approved",0,IF(J804="",0,J804)))</f>
        <v/>
      </c>
      <c r="O804" s="75">
        <f>IF(N804="","",ContAmt-MAX(0,N804-WorkBudget))</f>
        <v/>
      </c>
      <c r="P804" s="120">
        <f>IF(OR(N804="",ForecastEnd=""),"",ForecastEnd+IF(L804="Approved",0,IF(K804="",0,K804)))</f>
        <v/>
      </c>
      <c r="Q804" s="121">
        <f>IF(OR(N804="",WorkBudget=0),"",N804/WorkBudget-1)</f>
        <v/>
      </c>
      <c r="R804" s="79">
        <f>IF(N804="","",IF(N804&lt;=WorkBudget,0,IF(N804&lt;=TotalBudget,1,2)))</f>
        <v/>
      </c>
      <c r="S804" s="112">
        <f>IF(AND(OR(H804&lt;&gt;"",J804&lt;&gt;""),OR(L804="Pending",L804=""),C804&lt;&gt;""),C804+3,"")</f>
        <v/>
      </c>
      <c r="T804" s="79">
        <f>IF(S804="","",IF(AsOf&gt;S804,1,2))</f>
        <v/>
      </c>
      <c r="U804" s="79">
        <f>IF(T804="","","Decide on change order "&amp;B804&amp;": "&amp;H804&amp;" (+"&amp;CurSym&amp;" "&amp;FIXED(IF(J804="",0,J804),0)&amp;")")</f>
        <v/>
      </c>
    </row>
    <row r="805" ht="24" customHeight="1">
      <c r="B805" s="74" t="n"/>
      <c r="C805" s="109" t="n"/>
      <c r="D805" s="72" t="n"/>
      <c r="E805" s="72" t="n"/>
      <c r="F805" s="72" t="n"/>
      <c r="G805" s="72" t="n"/>
      <c r="H805" s="113" t="n"/>
      <c r="I805" s="72" t="n"/>
      <c r="J805" s="73" t="n"/>
      <c r="K805" s="89" t="n"/>
      <c r="L805" s="74" t="n"/>
      <c r="M805" s="109" t="n"/>
      <c r="N805" s="68">
        <f>IF(AND(H805="",J805=""),"",ForecastTotal+IF(L805="Approved",0,IF(J805="",0,J805)))</f>
        <v/>
      </c>
      <c r="O805" s="75">
        <f>IF(N805="","",ContAmt-MAX(0,N805-WorkBudget))</f>
        <v/>
      </c>
      <c r="P805" s="120">
        <f>IF(OR(N805="",ForecastEnd=""),"",ForecastEnd+IF(L805="Approved",0,IF(K805="",0,K805)))</f>
        <v/>
      </c>
      <c r="Q805" s="121">
        <f>IF(OR(N805="",WorkBudget=0),"",N805/WorkBudget-1)</f>
        <v/>
      </c>
      <c r="R805" s="79">
        <f>IF(N805="","",IF(N805&lt;=WorkBudget,0,IF(N805&lt;=TotalBudget,1,2)))</f>
        <v/>
      </c>
      <c r="S805" s="112">
        <f>IF(AND(OR(H805&lt;&gt;"",J805&lt;&gt;""),OR(L805="Pending",L805=""),C805&lt;&gt;""),C805+3,"")</f>
        <v/>
      </c>
      <c r="T805" s="79">
        <f>IF(S805="","",IF(AsOf&gt;S805,1,2))</f>
        <v/>
      </c>
      <c r="U805" s="79">
        <f>IF(T805="","","Decide on change order "&amp;B805&amp;": "&amp;H805&amp;" (+"&amp;CurSym&amp;" "&amp;FIXED(IF(J805="",0,J805),0)&amp;")")</f>
        <v/>
      </c>
    </row>
    <row r="806" ht="24" customHeight="1">
      <c r="B806" s="74" t="n"/>
      <c r="C806" s="109" t="n"/>
      <c r="D806" s="72" t="n"/>
      <c r="E806" s="72" t="n"/>
      <c r="F806" s="72" t="n"/>
      <c r="G806" s="72" t="n"/>
      <c r="H806" s="113" t="n"/>
      <c r="I806" s="72" t="n"/>
      <c r="J806" s="73" t="n"/>
      <c r="K806" s="89" t="n"/>
      <c r="L806" s="74" t="n"/>
      <c r="M806" s="109" t="n"/>
      <c r="N806" s="68">
        <f>IF(AND(H806="",J806=""),"",ForecastTotal+IF(L806="Approved",0,IF(J806="",0,J806)))</f>
        <v/>
      </c>
      <c r="O806" s="75">
        <f>IF(N806="","",ContAmt-MAX(0,N806-WorkBudget))</f>
        <v/>
      </c>
      <c r="P806" s="120">
        <f>IF(OR(N806="",ForecastEnd=""),"",ForecastEnd+IF(L806="Approved",0,IF(K806="",0,K806)))</f>
        <v/>
      </c>
      <c r="Q806" s="121">
        <f>IF(OR(N806="",WorkBudget=0),"",N806/WorkBudget-1)</f>
        <v/>
      </c>
      <c r="R806" s="79">
        <f>IF(N806="","",IF(N806&lt;=WorkBudget,0,IF(N806&lt;=TotalBudget,1,2)))</f>
        <v/>
      </c>
      <c r="S806" s="112">
        <f>IF(AND(OR(H806&lt;&gt;"",J806&lt;&gt;""),OR(L806="Pending",L806=""),C806&lt;&gt;""),C806+3,"")</f>
        <v/>
      </c>
      <c r="T806" s="79">
        <f>IF(S806="","",IF(AsOf&gt;S806,1,2))</f>
        <v/>
      </c>
      <c r="U806" s="79">
        <f>IF(T806="","","Decide on change order "&amp;B806&amp;": "&amp;H806&amp;" (+"&amp;CurSym&amp;" "&amp;FIXED(IF(J806="",0,J806),0)&amp;")")</f>
        <v/>
      </c>
    </row>
    <row r="807" ht="24" customHeight="1">
      <c r="B807" s="74" t="n"/>
      <c r="C807" s="109" t="n"/>
      <c r="D807" s="72" t="n"/>
      <c r="E807" s="72" t="n"/>
      <c r="F807" s="72" t="n"/>
      <c r="G807" s="72" t="n"/>
      <c r="H807" s="113" t="n"/>
      <c r="I807" s="72" t="n"/>
      <c r="J807" s="73" t="n"/>
      <c r="K807" s="89" t="n"/>
      <c r="L807" s="74" t="n"/>
      <c r="M807" s="109" t="n"/>
      <c r="N807" s="68">
        <f>IF(AND(H807="",J807=""),"",ForecastTotal+IF(L807="Approved",0,IF(J807="",0,J807)))</f>
        <v/>
      </c>
      <c r="O807" s="75">
        <f>IF(N807="","",ContAmt-MAX(0,N807-WorkBudget))</f>
        <v/>
      </c>
      <c r="P807" s="120">
        <f>IF(OR(N807="",ForecastEnd=""),"",ForecastEnd+IF(L807="Approved",0,IF(K807="",0,K807)))</f>
        <v/>
      </c>
      <c r="Q807" s="121">
        <f>IF(OR(N807="",WorkBudget=0),"",N807/WorkBudget-1)</f>
        <v/>
      </c>
      <c r="R807" s="79">
        <f>IF(N807="","",IF(N807&lt;=WorkBudget,0,IF(N807&lt;=TotalBudget,1,2)))</f>
        <v/>
      </c>
      <c r="S807" s="112">
        <f>IF(AND(OR(H807&lt;&gt;"",J807&lt;&gt;""),OR(L807="Pending",L807=""),C807&lt;&gt;""),C807+3,"")</f>
        <v/>
      </c>
      <c r="T807" s="79">
        <f>IF(S807="","",IF(AsOf&gt;S807,1,2))</f>
        <v/>
      </c>
      <c r="U807" s="79">
        <f>IF(T807="","","Decide on change order "&amp;B807&amp;": "&amp;H807&amp;" (+"&amp;CurSym&amp;" "&amp;FIXED(IF(J807="",0,J807),0)&amp;")")</f>
        <v/>
      </c>
    </row>
    <row r="808" ht="24" customHeight="1">
      <c r="B808" s="74" t="n"/>
      <c r="C808" s="109" t="n"/>
      <c r="D808" s="72" t="n"/>
      <c r="E808" s="72" t="n"/>
      <c r="F808" s="72" t="n"/>
      <c r="G808" s="72" t="n"/>
      <c r="H808" s="113" t="n"/>
      <c r="I808" s="72" t="n"/>
      <c r="J808" s="73" t="n"/>
      <c r="K808" s="89" t="n"/>
      <c r="L808" s="74" t="n"/>
      <c r="M808" s="109" t="n"/>
      <c r="N808" s="68">
        <f>IF(AND(H808="",J808=""),"",ForecastTotal+IF(L808="Approved",0,IF(J808="",0,J808)))</f>
        <v/>
      </c>
      <c r="O808" s="75">
        <f>IF(N808="","",ContAmt-MAX(0,N808-WorkBudget))</f>
        <v/>
      </c>
      <c r="P808" s="120">
        <f>IF(OR(N808="",ForecastEnd=""),"",ForecastEnd+IF(L808="Approved",0,IF(K808="",0,K808)))</f>
        <v/>
      </c>
      <c r="Q808" s="121">
        <f>IF(OR(N808="",WorkBudget=0),"",N808/WorkBudget-1)</f>
        <v/>
      </c>
      <c r="R808" s="79">
        <f>IF(N808="","",IF(N808&lt;=WorkBudget,0,IF(N808&lt;=TotalBudget,1,2)))</f>
        <v/>
      </c>
      <c r="S808" s="112">
        <f>IF(AND(OR(H808&lt;&gt;"",J808&lt;&gt;""),OR(L808="Pending",L808=""),C808&lt;&gt;""),C808+3,"")</f>
        <v/>
      </c>
      <c r="T808" s="79">
        <f>IF(S808="","",IF(AsOf&gt;S808,1,2))</f>
        <v/>
      </c>
      <c r="U808" s="79">
        <f>IF(T808="","","Decide on change order "&amp;B808&amp;": "&amp;H808&amp;" (+"&amp;CurSym&amp;" "&amp;FIXED(IF(J808="",0,J808),0)&amp;")")</f>
        <v/>
      </c>
    </row>
    <row r="809" ht="24" customHeight="1">
      <c r="B809" s="74" t="n"/>
      <c r="C809" s="109" t="n"/>
      <c r="D809" s="72" t="n"/>
      <c r="E809" s="72" t="n"/>
      <c r="F809" s="72" t="n"/>
      <c r="G809" s="72" t="n"/>
      <c r="H809" s="113" t="n"/>
      <c r="I809" s="72" t="n"/>
      <c r="J809" s="73" t="n"/>
      <c r="K809" s="89" t="n"/>
      <c r="L809" s="74" t="n"/>
      <c r="M809" s="109" t="n"/>
      <c r="N809" s="68">
        <f>IF(AND(H809="",J809=""),"",ForecastTotal+IF(L809="Approved",0,IF(J809="",0,J809)))</f>
        <v/>
      </c>
      <c r="O809" s="75">
        <f>IF(N809="","",ContAmt-MAX(0,N809-WorkBudget))</f>
        <v/>
      </c>
      <c r="P809" s="120">
        <f>IF(OR(N809="",ForecastEnd=""),"",ForecastEnd+IF(L809="Approved",0,IF(K809="",0,K809)))</f>
        <v/>
      </c>
      <c r="Q809" s="121">
        <f>IF(OR(N809="",WorkBudget=0),"",N809/WorkBudget-1)</f>
        <v/>
      </c>
      <c r="R809" s="79">
        <f>IF(N809="","",IF(N809&lt;=WorkBudget,0,IF(N809&lt;=TotalBudget,1,2)))</f>
        <v/>
      </c>
      <c r="S809" s="112">
        <f>IF(AND(OR(H809&lt;&gt;"",J809&lt;&gt;""),OR(L809="Pending",L809=""),C809&lt;&gt;""),C809+3,"")</f>
        <v/>
      </c>
      <c r="T809" s="79">
        <f>IF(S809="","",IF(AsOf&gt;S809,1,2))</f>
        <v/>
      </c>
      <c r="U809" s="79">
        <f>IF(T809="","","Decide on change order "&amp;B809&amp;": "&amp;H809&amp;" (+"&amp;CurSym&amp;" "&amp;FIXED(IF(J809="",0,J809),0)&amp;")")</f>
        <v/>
      </c>
    </row>
    <row r="810" ht="24" customHeight="1">
      <c r="B810" s="74" t="n"/>
      <c r="C810" s="109" t="n"/>
      <c r="D810" s="72" t="n"/>
      <c r="E810" s="72" t="n"/>
      <c r="F810" s="72" t="n"/>
      <c r="G810" s="72" t="n"/>
      <c r="H810" s="113" t="n"/>
      <c r="I810" s="72" t="n"/>
      <c r="J810" s="73" t="n"/>
      <c r="K810" s="89" t="n"/>
      <c r="L810" s="74" t="n"/>
      <c r="M810" s="109" t="n"/>
      <c r="N810" s="68">
        <f>IF(AND(H810="",J810=""),"",ForecastTotal+IF(L810="Approved",0,IF(J810="",0,J810)))</f>
        <v/>
      </c>
      <c r="O810" s="75">
        <f>IF(N810="","",ContAmt-MAX(0,N810-WorkBudget))</f>
        <v/>
      </c>
      <c r="P810" s="120">
        <f>IF(OR(N810="",ForecastEnd=""),"",ForecastEnd+IF(L810="Approved",0,IF(K810="",0,K810)))</f>
        <v/>
      </c>
      <c r="Q810" s="121">
        <f>IF(OR(N810="",WorkBudget=0),"",N810/WorkBudget-1)</f>
        <v/>
      </c>
      <c r="R810" s="79">
        <f>IF(N810="","",IF(N810&lt;=WorkBudget,0,IF(N810&lt;=TotalBudget,1,2)))</f>
        <v/>
      </c>
      <c r="S810" s="112">
        <f>IF(AND(OR(H810&lt;&gt;"",J810&lt;&gt;""),OR(L810="Pending",L810=""),C810&lt;&gt;""),C810+3,"")</f>
        <v/>
      </c>
      <c r="T810" s="79">
        <f>IF(S810="","",IF(AsOf&gt;S810,1,2))</f>
        <v/>
      </c>
      <c r="U810" s="79">
        <f>IF(T810="","","Decide on change order "&amp;B810&amp;": "&amp;H810&amp;" (+"&amp;CurSym&amp;" "&amp;FIXED(IF(J810="",0,J810),0)&amp;")")</f>
        <v/>
      </c>
    </row>
    <row r="811" ht="24" customHeight="1">
      <c r="B811" s="74" t="n"/>
      <c r="C811" s="109" t="n"/>
      <c r="D811" s="72" t="n"/>
      <c r="E811" s="72" t="n"/>
      <c r="F811" s="72" t="n"/>
      <c r="G811" s="72" t="n"/>
      <c r="H811" s="113" t="n"/>
      <c r="I811" s="72" t="n"/>
      <c r="J811" s="73" t="n"/>
      <c r="K811" s="89" t="n"/>
      <c r="L811" s="74" t="n"/>
      <c r="M811" s="109" t="n"/>
      <c r="N811" s="68">
        <f>IF(AND(H811="",J811=""),"",ForecastTotal+IF(L811="Approved",0,IF(J811="",0,J811)))</f>
        <v/>
      </c>
      <c r="O811" s="75">
        <f>IF(N811="","",ContAmt-MAX(0,N811-WorkBudget))</f>
        <v/>
      </c>
      <c r="P811" s="120">
        <f>IF(OR(N811="",ForecastEnd=""),"",ForecastEnd+IF(L811="Approved",0,IF(K811="",0,K811)))</f>
        <v/>
      </c>
      <c r="Q811" s="121">
        <f>IF(OR(N811="",WorkBudget=0),"",N811/WorkBudget-1)</f>
        <v/>
      </c>
      <c r="R811" s="79">
        <f>IF(N811="","",IF(N811&lt;=WorkBudget,0,IF(N811&lt;=TotalBudget,1,2)))</f>
        <v/>
      </c>
      <c r="S811" s="112">
        <f>IF(AND(OR(H811&lt;&gt;"",J811&lt;&gt;""),OR(L811="Pending",L811=""),C811&lt;&gt;""),C811+3,"")</f>
        <v/>
      </c>
      <c r="T811" s="79">
        <f>IF(S811="","",IF(AsOf&gt;S811,1,2))</f>
        <v/>
      </c>
      <c r="U811" s="79">
        <f>IF(T811="","","Decide on change order "&amp;B811&amp;": "&amp;H811&amp;" (+"&amp;CurSym&amp;" "&amp;FIXED(IF(J811="",0,J811),0)&amp;")")</f>
        <v/>
      </c>
    </row>
    <row r="812" ht="24" customHeight="1">
      <c r="B812" s="74" t="n"/>
      <c r="C812" s="109" t="n"/>
      <c r="D812" s="72" t="n"/>
      <c r="E812" s="72" t="n"/>
      <c r="F812" s="72" t="n"/>
      <c r="G812" s="72" t="n"/>
      <c r="H812" s="113" t="n"/>
      <c r="I812" s="72" t="n"/>
      <c r="J812" s="73" t="n"/>
      <c r="K812" s="89" t="n"/>
      <c r="L812" s="74" t="n"/>
      <c r="M812" s="109" t="n"/>
      <c r="N812" s="68">
        <f>IF(AND(H812="",J812=""),"",ForecastTotal+IF(L812="Approved",0,IF(J812="",0,J812)))</f>
        <v/>
      </c>
      <c r="O812" s="75">
        <f>IF(N812="","",ContAmt-MAX(0,N812-WorkBudget))</f>
        <v/>
      </c>
      <c r="P812" s="120">
        <f>IF(OR(N812="",ForecastEnd=""),"",ForecastEnd+IF(L812="Approved",0,IF(K812="",0,K812)))</f>
        <v/>
      </c>
      <c r="Q812" s="121">
        <f>IF(OR(N812="",WorkBudget=0),"",N812/WorkBudget-1)</f>
        <v/>
      </c>
      <c r="R812" s="79">
        <f>IF(N812="","",IF(N812&lt;=WorkBudget,0,IF(N812&lt;=TotalBudget,1,2)))</f>
        <v/>
      </c>
      <c r="S812" s="112">
        <f>IF(AND(OR(H812&lt;&gt;"",J812&lt;&gt;""),OR(L812="Pending",L812=""),C812&lt;&gt;""),C812+3,"")</f>
        <v/>
      </c>
      <c r="T812" s="79">
        <f>IF(S812="","",IF(AsOf&gt;S812,1,2))</f>
        <v/>
      </c>
      <c r="U812" s="79">
        <f>IF(T812="","","Decide on change order "&amp;B812&amp;": "&amp;H812&amp;" (+"&amp;CurSym&amp;" "&amp;FIXED(IF(J812="",0,J812),0)&amp;")")</f>
        <v/>
      </c>
    </row>
    <row r="813" ht="24" customHeight="1">
      <c r="B813" s="74" t="n"/>
      <c r="C813" s="109" t="n"/>
      <c r="D813" s="72" t="n"/>
      <c r="E813" s="72" t="n"/>
      <c r="F813" s="72" t="n"/>
      <c r="G813" s="72" t="n"/>
      <c r="H813" s="113" t="n"/>
      <c r="I813" s="72" t="n"/>
      <c r="J813" s="73" t="n"/>
      <c r="K813" s="89" t="n"/>
      <c r="L813" s="74" t="n"/>
      <c r="M813" s="109" t="n"/>
      <c r="N813" s="68">
        <f>IF(AND(H813="",J813=""),"",ForecastTotal+IF(L813="Approved",0,IF(J813="",0,J813)))</f>
        <v/>
      </c>
      <c r="O813" s="75">
        <f>IF(N813="","",ContAmt-MAX(0,N813-WorkBudget))</f>
        <v/>
      </c>
      <c r="P813" s="120">
        <f>IF(OR(N813="",ForecastEnd=""),"",ForecastEnd+IF(L813="Approved",0,IF(K813="",0,K813)))</f>
        <v/>
      </c>
      <c r="Q813" s="121">
        <f>IF(OR(N813="",WorkBudget=0),"",N813/WorkBudget-1)</f>
        <v/>
      </c>
      <c r="R813" s="79">
        <f>IF(N813="","",IF(N813&lt;=WorkBudget,0,IF(N813&lt;=TotalBudget,1,2)))</f>
        <v/>
      </c>
      <c r="S813" s="112">
        <f>IF(AND(OR(H813&lt;&gt;"",J813&lt;&gt;""),OR(L813="Pending",L813=""),C813&lt;&gt;""),C813+3,"")</f>
        <v/>
      </c>
      <c r="T813" s="79">
        <f>IF(S813="","",IF(AsOf&gt;S813,1,2))</f>
        <v/>
      </c>
      <c r="U813" s="79">
        <f>IF(T813="","","Decide on change order "&amp;B813&amp;": "&amp;H813&amp;" (+"&amp;CurSym&amp;" "&amp;FIXED(IF(J813="",0,J813),0)&amp;")")</f>
        <v/>
      </c>
    </row>
    <row r="814" ht="24" customHeight="1">
      <c r="B814" s="74" t="n"/>
      <c r="C814" s="109" t="n"/>
      <c r="D814" s="72" t="n"/>
      <c r="E814" s="72" t="n"/>
      <c r="F814" s="72" t="n"/>
      <c r="G814" s="72" t="n"/>
      <c r="H814" s="113" t="n"/>
      <c r="I814" s="72" t="n"/>
      <c r="J814" s="73" t="n"/>
      <c r="K814" s="89" t="n"/>
      <c r="L814" s="74" t="n"/>
      <c r="M814" s="109" t="n"/>
      <c r="N814" s="68">
        <f>IF(AND(H814="",J814=""),"",ForecastTotal+IF(L814="Approved",0,IF(J814="",0,J814)))</f>
        <v/>
      </c>
      <c r="O814" s="75">
        <f>IF(N814="","",ContAmt-MAX(0,N814-WorkBudget))</f>
        <v/>
      </c>
      <c r="P814" s="120">
        <f>IF(OR(N814="",ForecastEnd=""),"",ForecastEnd+IF(L814="Approved",0,IF(K814="",0,K814)))</f>
        <v/>
      </c>
      <c r="Q814" s="121">
        <f>IF(OR(N814="",WorkBudget=0),"",N814/WorkBudget-1)</f>
        <v/>
      </c>
      <c r="R814" s="79">
        <f>IF(N814="","",IF(N814&lt;=WorkBudget,0,IF(N814&lt;=TotalBudget,1,2)))</f>
        <v/>
      </c>
      <c r="S814" s="112">
        <f>IF(AND(OR(H814&lt;&gt;"",J814&lt;&gt;""),OR(L814="Pending",L814=""),C814&lt;&gt;""),C814+3,"")</f>
        <v/>
      </c>
      <c r="T814" s="79">
        <f>IF(S814="","",IF(AsOf&gt;S814,1,2))</f>
        <v/>
      </c>
      <c r="U814" s="79">
        <f>IF(T814="","","Decide on change order "&amp;B814&amp;": "&amp;H814&amp;" (+"&amp;CurSym&amp;" "&amp;FIXED(IF(J814="",0,J814),0)&amp;")")</f>
        <v/>
      </c>
    </row>
    <row r="815" ht="24" customHeight="1">
      <c r="B815" s="74" t="n"/>
      <c r="C815" s="109" t="n"/>
      <c r="D815" s="72" t="n"/>
      <c r="E815" s="72" t="n"/>
      <c r="F815" s="72" t="n"/>
      <c r="G815" s="72" t="n"/>
      <c r="H815" s="113" t="n"/>
      <c r="I815" s="72" t="n"/>
      <c r="J815" s="73" t="n"/>
      <c r="K815" s="89" t="n"/>
      <c r="L815" s="74" t="n"/>
      <c r="M815" s="109" t="n"/>
      <c r="N815" s="68">
        <f>IF(AND(H815="",J815=""),"",ForecastTotal+IF(L815="Approved",0,IF(J815="",0,J815)))</f>
        <v/>
      </c>
      <c r="O815" s="75">
        <f>IF(N815="","",ContAmt-MAX(0,N815-WorkBudget))</f>
        <v/>
      </c>
      <c r="P815" s="120">
        <f>IF(OR(N815="",ForecastEnd=""),"",ForecastEnd+IF(L815="Approved",0,IF(K815="",0,K815)))</f>
        <v/>
      </c>
      <c r="Q815" s="121">
        <f>IF(OR(N815="",WorkBudget=0),"",N815/WorkBudget-1)</f>
        <v/>
      </c>
      <c r="R815" s="79">
        <f>IF(N815="","",IF(N815&lt;=WorkBudget,0,IF(N815&lt;=TotalBudget,1,2)))</f>
        <v/>
      </c>
      <c r="S815" s="112">
        <f>IF(AND(OR(H815&lt;&gt;"",J815&lt;&gt;""),OR(L815="Pending",L815=""),C815&lt;&gt;""),C815+3,"")</f>
        <v/>
      </c>
      <c r="T815" s="79">
        <f>IF(S815="","",IF(AsOf&gt;S815,1,2))</f>
        <v/>
      </c>
      <c r="U815" s="79">
        <f>IF(T815="","","Decide on change order "&amp;B815&amp;": "&amp;H815&amp;" (+"&amp;CurSym&amp;" "&amp;FIXED(IF(J815="",0,J815),0)&amp;")")</f>
        <v/>
      </c>
    </row>
    <row r="816" ht="24" customHeight="1">
      <c r="B816" s="74" t="n"/>
      <c r="C816" s="109" t="n"/>
      <c r="D816" s="72" t="n"/>
      <c r="E816" s="72" t="n"/>
      <c r="F816" s="72" t="n"/>
      <c r="G816" s="72" t="n"/>
      <c r="H816" s="113" t="n"/>
      <c r="I816" s="72" t="n"/>
      <c r="J816" s="73" t="n"/>
      <c r="K816" s="89" t="n"/>
      <c r="L816" s="74" t="n"/>
      <c r="M816" s="109" t="n"/>
      <c r="N816" s="68">
        <f>IF(AND(H816="",J816=""),"",ForecastTotal+IF(L816="Approved",0,IF(J816="",0,J816)))</f>
        <v/>
      </c>
      <c r="O816" s="75">
        <f>IF(N816="","",ContAmt-MAX(0,N816-WorkBudget))</f>
        <v/>
      </c>
      <c r="P816" s="120">
        <f>IF(OR(N816="",ForecastEnd=""),"",ForecastEnd+IF(L816="Approved",0,IF(K816="",0,K816)))</f>
        <v/>
      </c>
      <c r="Q816" s="121">
        <f>IF(OR(N816="",WorkBudget=0),"",N816/WorkBudget-1)</f>
        <v/>
      </c>
      <c r="R816" s="79">
        <f>IF(N816="","",IF(N816&lt;=WorkBudget,0,IF(N816&lt;=TotalBudget,1,2)))</f>
        <v/>
      </c>
      <c r="S816" s="112">
        <f>IF(AND(OR(H816&lt;&gt;"",J816&lt;&gt;""),OR(L816="Pending",L816=""),C816&lt;&gt;""),C816+3,"")</f>
        <v/>
      </c>
      <c r="T816" s="79">
        <f>IF(S816="","",IF(AsOf&gt;S816,1,2))</f>
        <v/>
      </c>
      <c r="U816" s="79">
        <f>IF(T816="","","Decide on change order "&amp;B816&amp;": "&amp;H816&amp;" (+"&amp;CurSym&amp;" "&amp;FIXED(IF(J816="",0,J816),0)&amp;")")</f>
        <v/>
      </c>
    </row>
    <row r="817" ht="24" customHeight="1">
      <c r="B817" s="74" t="n"/>
      <c r="C817" s="109" t="n"/>
      <c r="D817" s="72" t="n"/>
      <c r="E817" s="72" t="n"/>
      <c r="F817" s="72" t="n"/>
      <c r="G817" s="72" t="n"/>
      <c r="H817" s="113" t="n"/>
      <c r="I817" s="72" t="n"/>
      <c r="J817" s="73" t="n"/>
      <c r="K817" s="89" t="n"/>
      <c r="L817" s="74" t="n"/>
      <c r="M817" s="109" t="n"/>
      <c r="N817" s="68">
        <f>IF(AND(H817="",J817=""),"",ForecastTotal+IF(L817="Approved",0,IF(J817="",0,J817)))</f>
        <v/>
      </c>
      <c r="O817" s="75">
        <f>IF(N817="","",ContAmt-MAX(0,N817-WorkBudget))</f>
        <v/>
      </c>
      <c r="P817" s="120">
        <f>IF(OR(N817="",ForecastEnd=""),"",ForecastEnd+IF(L817="Approved",0,IF(K817="",0,K817)))</f>
        <v/>
      </c>
      <c r="Q817" s="121">
        <f>IF(OR(N817="",WorkBudget=0),"",N817/WorkBudget-1)</f>
        <v/>
      </c>
      <c r="R817" s="79">
        <f>IF(N817="","",IF(N817&lt;=WorkBudget,0,IF(N817&lt;=TotalBudget,1,2)))</f>
        <v/>
      </c>
      <c r="S817" s="112">
        <f>IF(AND(OR(H817&lt;&gt;"",J817&lt;&gt;""),OR(L817="Pending",L817=""),C817&lt;&gt;""),C817+3,"")</f>
        <v/>
      </c>
      <c r="T817" s="79">
        <f>IF(S817="","",IF(AsOf&gt;S817,1,2))</f>
        <v/>
      </c>
      <c r="U817" s="79">
        <f>IF(T817="","","Decide on change order "&amp;B817&amp;": "&amp;H817&amp;" (+"&amp;CurSym&amp;" "&amp;FIXED(IF(J817="",0,J817),0)&amp;")")</f>
        <v/>
      </c>
    </row>
    <row r="818" ht="24" customHeight="1">
      <c r="B818" s="74" t="n"/>
      <c r="C818" s="109" t="n"/>
      <c r="D818" s="72" t="n"/>
      <c r="E818" s="72" t="n"/>
      <c r="F818" s="72" t="n"/>
      <c r="G818" s="72" t="n"/>
      <c r="H818" s="113" t="n"/>
      <c r="I818" s="72" t="n"/>
      <c r="J818" s="73" t="n"/>
      <c r="K818" s="89" t="n"/>
      <c r="L818" s="74" t="n"/>
      <c r="M818" s="109" t="n"/>
      <c r="N818" s="68">
        <f>IF(AND(H818="",J818=""),"",ForecastTotal+IF(L818="Approved",0,IF(J818="",0,J818)))</f>
        <v/>
      </c>
      <c r="O818" s="75">
        <f>IF(N818="","",ContAmt-MAX(0,N818-WorkBudget))</f>
        <v/>
      </c>
      <c r="P818" s="120">
        <f>IF(OR(N818="",ForecastEnd=""),"",ForecastEnd+IF(L818="Approved",0,IF(K818="",0,K818)))</f>
        <v/>
      </c>
      <c r="Q818" s="121">
        <f>IF(OR(N818="",WorkBudget=0),"",N818/WorkBudget-1)</f>
        <v/>
      </c>
      <c r="R818" s="79">
        <f>IF(N818="","",IF(N818&lt;=WorkBudget,0,IF(N818&lt;=TotalBudget,1,2)))</f>
        <v/>
      </c>
      <c r="S818" s="112">
        <f>IF(AND(OR(H818&lt;&gt;"",J818&lt;&gt;""),OR(L818="Pending",L818=""),C818&lt;&gt;""),C818+3,"")</f>
        <v/>
      </c>
      <c r="T818" s="79">
        <f>IF(S818="","",IF(AsOf&gt;S818,1,2))</f>
        <v/>
      </c>
      <c r="U818" s="79">
        <f>IF(T818="","","Decide on change order "&amp;B818&amp;": "&amp;H818&amp;" (+"&amp;CurSym&amp;" "&amp;FIXED(IF(J818="",0,J818),0)&amp;")")</f>
        <v/>
      </c>
    </row>
    <row r="819" ht="24" customHeight="1">
      <c r="B819" s="74" t="n"/>
      <c r="C819" s="109" t="n"/>
      <c r="D819" s="72" t="n"/>
      <c r="E819" s="72" t="n"/>
      <c r="F819" s="72" t="n"/>
      <c r="G819" s="72" t="n"/>
      <c r="H819" s="113" t="n"/>
      <c r="I819" s="72" t="n"/>
      <c r="J819" s="73" t="n"/>
      <c r="K819" s="89" t="n"/>
      <c r="L819" s="74" t="n"/>
      <c r="M819" s="109" t="n"/>
      <c r="N819" s="68">
        <f>IF(AND(H819="",J819=""),"",ForecastTotal+IF(L819="Approved",0,IF(J819="",0,J819)))</f>
        <v/>
      </c>
      <c r="O819" s="75">
        <f>IF(N819="","",ContAmt-MAX(0,N819-WorkBudget))</f>
        <v/>
      </c>
      <c r="P819" s="120">
        <f>IF(OR(N819="",ForecastEnd=""),"",ForecastEnd+IF(L819="Approved",0,IF(K819="",0,K819)))</f>
        <v/>
      </c>
      <c r="Q819" s="121">
        <f>IF(OR(N819="",WorkBudget=0),"",N819/WorkBudget-1)</f>
        <v/>
      </c>
      <c r="R819" s="79">
        <f>IF(N819="","",IF(N819&lt;=WorkBudget,0,IF(N819&lt;=TotalBudget,1,2)))</f>
        <v/>
      </c>
      <c r="S819" s="112">
        <f>IF(AND(OR(H819&lt;&gt;"",J819&lt;&gt;""),OR(L819="Pending",L819=""),C819&lt;&gt;""),C819+3,"")</f>
        <v/>
      </c>
      <c r="T819" s="79">
        <f>IF(S819="","",IF(AsOf&gt;S819,1,2))</f>
        <v/>
      </c>
      <c r="U819" s="79">
        <f>IF(T819="","","Decide on change order "&amp;B819&amp;": "&amp;H819&amp;" (+"&amp;CurSym&amp;" "&amp;FIXED(IF(J819="",0,J819),0)&amp;")")</f>
        <v/>
      </c>
    </row>
    <row r="820" ht="24" customHeight="1">
      <c r="B820" s="74" t="n"/>
      <c r="C820" s="109" t="n"/>
      <c r="D820" s="72" t="n"/>
      <c r="E820" s="72" t="n"/>
      <c r="F820" s="72" t="n"/>
      <c r="G820" s="72" t="n"/>
      <c r="H820" s="113" t="n"/>
      <c r="I820" s="72" t="n"/>
      <c r="J820" s="73" t="n"/>
      <c r="K820" s="89" t="n"/>
      <c r="L820" s="74" t="n"/>
      <c r="M820" s="109" t="n"/>
      <c r="N820" s="68">
        <f>IF(AND(H820="",J820=""),"",ForecastTotal+IF(L820="Approved",0,IF(J820="",0,J820)))</f>
        <v/>
      </c>
      <c r="O820" s="75">
        <f>IF(N820="","",ContAmt-MAX(0,N820-WorkBudget))</f>
        <v/>
      </c>
      <c r="P820" s="120">
        <f>IF(OR(N820="",ForecastEnd=""),"",ForecastEnd+IF(L820="Approved",0,IF(K820="",0,K820)))</f>
        <v/>
      </c>
      <c r="Q820" s="121">
        <f>IF(OR(N820="",WorkBudget=0),"",N820/WorkBudget-1)</f>
        <v/>
      </c>
      <c r="R820" s="79">
        <f>IF(N820="","",IF(N820&lt;=WorkBudget,0,IF(N820&lt;=TotalBudget,1,2)))</f>
        <v/>
      </c>
      <c r="S820" s="112">
        <f>IF(AND(OR(H820&lt;&gt;"",J820&lt;&gt;""),OR(L820="Pending",L820=""),C820&lt;&gt;""),C820+3,"")</f>
        <v/>
      </c>
      <c r="T820" s="79">
        <f>IF(S820="","",IF(AsOf&gt;S820,1,2))</f>
        <v/>
      </c>
      <c r="U820" s="79">
        <f>IF(T820="","","Decide on change order "&amp;B820&amp;": "&amp;H820&amp;" (+"&amp;CurSym&amp;" "&amp;FIXED(IF(J820="",0,J820),0)&amp;")")</f>
        <v/>
      </c>
    </row>
    <row r="821" ht="24" customHeight="1">
      <c r="B821" s="74" t="n"/>
      <c r="C821" s="109" t="n"/>
      <c r="D821" s="72" t="n"/>
      <c r="E821" s="72" t="n"/>
      <c r="F821" s="72" t="n"/>
      <c r="G821" s="72" t="n"/>
      <c r="H821" s="113" t="n"/>
      <c r="I821" s="72" t="n"/>
      <c r="J821" s="73" t="n"/>
      <c r="K821" s="89" t="n"/>
      <c r="L821" s="74" t="n"/>
      <c r="M821" s="109" t="n"/>
      <c r="N821" s="68">
        <f>IF(AND(H821="",J821=""),"",ForecastTotal+IF(L821="Approved",0,IF(J821="",0,J821)))</f>
        <v/>
      </c>
      <c r="O821" s="75">
        <f>IF(N821="","",ContAmt-MAX(0,N821-WorkBudget))</f>
        <v/>
      </c>
      <c r="P821" s="120">
        <f>IF(OR(N821="",ForecastEnd=""),"",ForecastEnd+IF(L821="Approved",0,IF(K821="",0,K821)))</f>
        <v/>
      </c>
      <c r="Q821" s="121">
        <f>IF(OR(N821="",WorkBudget=0),"",N821/WorkBudget-1)</f>
        <v/>
      </c>
      <c r="R821" s="79">
        <f>IF(N821="","",IF(N821&lt;=WorkBudget,0,IF(N821&lt;=TotalBudget,1,2)))</f>
        <v/>
      </c>
      <c r="S821" s="112">
        <f>IF(AND(OR(H821&lt;&gt;"",J821&lt;&gt;""),OR(L821="Pending",L821=""),C821&lt;&gt;""),C821+3,"")</f>
        <v/>
      </c>
      <c r="T821" s="79">
        <f>IF(S821="","",IF(AsOf&gt;S821,1,2))</f>
        <v/>
      </c>
      <c r="U821" s="79">
        <f>IF(T821="","","Decide on change order "&amp;B821&amp;": "&amp;H821&amp;" (+"&amp;CurSym&amp;" "&amp;FIXED(IF(J821="",0,J821),0)&amp;")")</f>
        <v/>
      </c>
    </row>
    <row r="822" ht="24" customHeight="1">
      <c r="B822" s="74" t="n"/>
      <c r="C822" s="109" t="n"/>
      <c r="D822" s="72" t="n"/>
      <c r="E822" s="72" t="n"/>
      <c r="F822" s="72" t="n"/>
      <c r="G822" s="72" t="n"/>
      <c r="H822" s="113" t="n"/>
      <c r="I822" s="72" t="n"/>
      <c r="J822" s="73" t="n"/>
      <c r="K822" s="89" t="n"/>
      <c r="L822" s="74" t="n"/>
      <c r="M822" s="109" t="n"/>
      <c r="N822" s="68">
        <f>IF(AND(H822="",J822=""),"",ForecastTotal+IF(L822="Approved",0,IF(J822="",0,J822)))</f>
        <v/>
      </c>
      <c r="O822" s="75">
        <f>IF(N822="","",ContAmt-MAX(0,N822-WorkBudget))</f>
        <v/>
      </c>
      <c r="P822" s="120">
        <f>IF(OR(N822="",ForecastEnd=""),"",ForecastEnd+IF(L822="Approved",0,IF(K822="",0,K822)))</f>
        <v/>
      </c>
      <c r="Q822" s="121">
        <f>IF(OR(N822="",WorkBudget=0),"",N822/WorkBudget-1)</f>
        <v/>
      </c>
      <c r="R822" s="79">
        <f>IF(N822="","",IF(N822&lt;=WorkBudget,0,IF(N822&lt;=TotalBudget,1,2)))</f>
        <v/>
      </c>
      <c r="S822" s="112">
        <f>IF(AND(OR(H822&lt;&gt;"",J822&lt;&gt;""),OR(L822="Pending",L822=""),C822&lt;&gt;""),C822+3,"")</f>
        <v/>
      </c>
      <c r="T822" s="79">
        <f>IF(S822="","",IF(AsOf&gt;S822,1,2))</f>
        <v/>
      </c>
      <c r="U822" s="79">
        <f>IF(T822="","","Decide on change order "&amp;B822&amp;": "&amp;H822&amp;" (+"&amp;CurSym&amp;" "&amp;FIXED(IF(J822="",0,J822),0)&amp;")")</f>
        <v/>
      </c>
    </row>
    <row r="823" ht="24" customHeight="1">
      <c r="B823" s="74" t="n"/>
      <c r="C823" s="109" t="n"/>
      <c r="D823" s="72" t="n"/>
      <c r="E823" s="72" t="n"/>
      <c r="F823" s="72" t="n"/>
      <c r="G823" s="72" t="n"/>
      <c r="H823" s="113" t="n"/>
      <c r="I823" s="72" t="n"/>
      <c r="J823" s="73" t="n"/>
      <c r="K823" s="89" t="n"/>
      <c r="L823" s="74" t="n"/>
      <c r="M823" s="109" t="n"/>
      <c r="N823" s="68">
        <f>IF(AND(H823="",J823=""),"",ForecastTotal+IF(L823="Approved",0,IF(J823="",0,J823)))</f>
        <v/>
      </c>
      <c r="O823" s="75">
        <f>IF(N823="","",ContAmt-MAX(0,N823-WorkBudget))</f>
        <v/>
      </c>
      <c r="P823" s="120">
        <f>IF(OR(N823="",ForecastEnd=""),"",ForecastEnd+IF(L823="Approved",0,IF(K823="",0,K823)))</f>
        <v/>
      </c>
      <c r="Q823" s="121">
        <f>IF(OR(N823="",WorkBudget=0),"",N823/WorkBudget-1)</f>
        <v/>
      </c>
      <c r="R823" s="79">
        <f>IF(N823="","",IF(N823&lt;=WorkBudget,0,IF(N823&lt;=TotalBudget,1,2)))</f>
        <v/>
      </c>
      <c r="S823" s="112">
        <f>IF(AND(OR(H823&lt;&gt;"",J823&lt;&gt;""),OR(L823="Pending",L823=""),C823&lt;&gt;""),C823+3,"")</f>
        <v/>
      </c>
      <c r="T823" s="79">
        <f>IF(S823="","",IF(AsOf&gt;S823,1,2))</f>
        <v/>
      </c>
      <c r="U823" s="79">
        <f>IF(T823="","","Decide on change order "&amp;B823&amp;": "&amp;H823&amp;" (+"&amp;CurSym&amp;" "&amp;FIXED(IF(J823="",0,J823),0)&amp;")")</f>
        <v/>
      </c>
    </row>
    <row r="824" ht="24" customHeight="1">
      <c r="B824" s="74" t="n"/>
      <c r="C824" s="109" t="n"/>
      <c r="D824" s="72" t="n"/>
      <c r="E824" s="72" t="n"/>
      <c r="F824" s="72" t="n"/>
      <c r="G824" s="72" t="n"/>
      <c r="H824" s="113" t="n"/>
      <c r="I824" s="72" t="n"/>
      <c r="J824" s="73" t="n"/>
      <c r="K824" s="89" t="n"/>
      <c r="L824" s="74" t="n"/>
      <c r="M824" s="109" t="n"/>
      <c r="N824" s="68">
        <f>IF(AND(H824="",J824=""),"",ForecastTotal+IF(L824="Approved",0,IF(J824="",0,J824)))</f>
        <v/>
      </c>
      <c r="O824" s="75">
        <f>IF(N824="","",ContAmt-MAX(0,N824-WorkBudget))</f>
        <v/>
      </c>
      <c r="P824" s="120">
        <f>IF(OR(N824="",ForecastEnd=""),"",ForecastEnd+IF(L824="Approved",0,IF(K824="",0,K824)))</f>
        <v/>
      </c>
      <c r="Q824" s="121">
        <f>IF(OR(N824="",WorkBudget=0),"",N824/WorkBudget-1)</f>
        <v/>
      </c>
      <c r="R824" s="79">
        <f>IF(N824="","",IF(N824&lt;=WorkBudget,0,IF(N824&lt;=TotalBudget,1,2)))</f>
        <v/>
      </c>
      <c r="S824" s="112">
        <f>IF(AND(OR(H824&lt;&gt;"",J824&lt;&gt;""),OR(L824="Pending",L824=""),C824&lt;&gt;""),C824+3,"")</f>
        <v/>
      </c>
      <c r="T824" s="79">
        <f>IF(S824="","",IF(AsOf&gt;S824,1,2))</f>
        <v/>
      </c>
      <c r="U824" s="79">
        <f>IF(T824="","","Decide on change order "&amp;B824&amp;": "&amp;H824&amp;" (+"&amp;CurSym&amp;" "&amp;FIXED(IF(J824="",0,J824),0)&amp;")")</f>
        <v/>
      </c>
    </row>
    <row r="825" ht="24" customHeight="1">
      <c r="B825" s="74" t="n"/>
      <c r="C825" s="109" t="n"/>
      <c r="D825" s="72" t="n"/>
      <c r="E825" s="72" t="n"/>
      <c r="F825" s="72" t="n"/>
      <c r="G825" s="72" t="n"/>
      <c r="H825" s="113" t="n"/>
      <c r="I825" s="72" t="n"/>
      <c r="J825" s="73" t="n"/>
      <c r="K825" s="89" t="n"/>
      <c r="L825" s="74" t="n"/>
      <c r="M825" s="109" t="n"/>
      <c r="N825" s="68">
        <f>IF(AND(H825="",J825=""),"",ForecastTotal+IF(L825="Approved",0,IF(J825="",0,J825)))</f>
        <v/>
      </c>
      <c r="O825" s="75">
        <f>IF(N825="","",ContAmt-MAX(0,N825-WorkBudget))</f>
        <v/>
      </c>
      <c r="P825" s="120">
        <f>IF(OR(N825="",ForecastEnd=""),"",ForecastEnd+IF(L825="Approved",0,IF(K825="",0,K825)))</f>
        <v/>
      </c>
      <c r="Q825" s="121">
        <f>IF(OR(N825="",WorkBudget=0),"",N825/WorkBudget-1)</f>
        <v/>
      </c>
      <c r="R825" s="79">
        <f>IF(N825="","",IF(N825&lt;=WorkBudget,0,IF(N825&lt;=TotalBudget,1,2)))</f>
        <v/>
      </c>
      <c r="S825" s="112">
        <f>IF(AND(OR(H825&lt;&gt;"",J825&lt;&gt;""),OR(L825="Pending",L825=""),C825&lt;&gt;""),C825+3,"")</f>
        <v/>
      </c>
      <c r="T825" s="79">
        <f>IF(S825="","",IF(AsOf&gt;S825,1,2))</f>
        <v/>
      </c>
      <c r="U825" s="79">
        <f>IF(T825="","","Decide on change order "&amp;B825&amp;": "&amp;H825&amp;" (+"&amp;CurSym&amp;" "&amp;FIXED(IF(J825="",0,J825),0)&amp;")")</f>
        <v/>
      </c>
    </row>
    <row r="826" ht="24" customHeight="1">
      <c r="B826" s="74" t="n"/>
      <c r="C826" s="109" t="n"/>
      <c r="D826" s="72" t="n"/>
      <c r="E826" s="72" t="n"/>
      <c r="F826" s="72" t="n"/>
      <c r="G826" s="72" t="n"/>
      <c r="H826" s="113" t="n"/>
      <c r="I826" s="72" t="n"/>
      <c r="J826" s="73" t="n"/>
      <c r="K826" s="89" t="n"/>
      <c r="L826" s="74" t="n"/>
      <c r="M826" s="109" t="n"/>
      <c r="N826" s="68">
        <f>IF(AND(H826="",J826=""),"",ForecastTotal+IF(L826="Approved",0,IF(J826="",0,J826)))</f>
        <v/>
      </c>
      <c r="O826" s="75">
        <f>IF(N826="","",ContAmt-MAX(0,N826-WorkBudget))</f>
        <v/>
      </c>
      <c r="P826" s="120">
        <f>IF(OR(N826="",ForecastEnd=""),"",ForecastEnd+IF(L826="Approved",0,IF(K826="",0,K826)))</f>
        <v/>
      </c>
      <c r="Q826" s="121">
        <f>IF(OR(N826="",WorkBudget=0),"",N826/WorkBudget-1)</f>
        <v/>
      </c>
      <c r="R826" s="79">
        <f>IF(N826="","",IF(N826&lt;=WorkBudget,0,IF(N826&lt;=TotalBudget,1,2)))</f>
        <v/>
      </c>
      <c r="S826" s="112">
        <f>IF(AND(OR(H826&lt;&gt;"",J826&lt;&gt;""),OR(L826="Pending",L826=""),C826&lt;&gt;""),C826+3,"")</f>
        <v/>
      </c>
      <c r="T826" s="79">
        <f>IF(S826="","",IF(AsOf&gt;S826,1,2))</f>
        <v/>
      </c>
      <c r="U826" s="79">
        <f>IF(T826="","","Decide on change order "&amp;B826&amp;": "&amp;H826&amp;" (+"&amp;CurSym&amp;" "&amp;FIXED(IF(J826="",0,J826),0)&amp;")")</f>
        <v/>
      </c>
    </row>
    <row r="827" ht="24" customHeight="1">
      <c r="B827" s="74" t="n"/>
      <c r="C827" s="109" t="n"/>
      <c r="D827" s="72" t="n"/>
      <c r="E827" s="72" t="n"/>
      <c r="F827" s="72" t="n"/>
      <c r="G827" s="72" t="n"/>
      <c r="H827" s="113" t="n"/>
      <c r="I827" s="72" t="n"/>
      <c r="J827" s="73" t="n"/>
      <c r="K827" s="89" t="n"/>
      <c r="L827" s="74" t="n"/>
      <c r="M827" s="109" t="n"/>
      <c r="N827" s="68">
        <f>IF(AND(H827="",J827=""),"",ForecastTotal+IF(L827="Approved",0,IF(J827="",0,J827)))</f>
        <v/>
      </c>
      <c r="O827" s="75">
        <f>IF(N827="","",ContAmt-MAX(0,N827-WorkBudget))</f>
        <v/>
      </c>
      <c r="P827" s="120">
        <f>IF(OR(N827="",ForecastEnd=""),"",ForecastEnd+IF(L827="Approved",0,IF(K827="",0,K827)))</f>
        <v/>
      </c>
      <c r="Q827" s="121">
        <f>IF(OR(N827="",WorkBudget=0),"",N827/WorkBudget-1)</f>
        <v/>
      </c>
      <c r="R827" s="79">
        <f>IF(N827="","",IF(N827&lt;=WorkBudget,0,IF(N827&lt;=TotalBudget,1,2)))</f>
        <v/>
      </c>
      <c r="S827" s="112">
        <f>IF(AND(OR(H827&lt;&gt;"",J827&lt;&gt;""),OR(L827="Pending",L827=""),C827&lt;&gt;""),C827+3,"")</f>
        <v/>
      </c>
      <c r="T827" s="79">
        <f>IF(S827="","",IF(AsOf&gt;S827,1,2))</f>
        <v/>
      </c>
      <c r="U827" s="79">
        <f>IF(T827="","","Decide on change order "&amp;B827&amp;": "&amp;H827&amp;" (+"&amp;CurSym&amp;" "&amp;FIXED(IF(J827="",0,J827),0)&amp;")")</f>
        <v/>
      </c>
    </row>
    <row r="828" ht="24" customHeight="1">
      <c r="B828" s="74" t="n"/>
      <c r="C828" s="109" t="n"/>
      <c r="D828" s="72" t="n"/>
      <c r="E828" s="72" t="n"/>
      <c r="F828" s="72" t="n"/>
      <c r="G828" s="72" t="n"/>
      <c r="H828" s="113" t="n"/>
      <c r="I828" s="72" t="n"/>
      <c r="J828" s="73" t="n"/>
      <c r="K828" s="89" t="n"/>
      <c r="L828" s="74" t="n"/>
      <c r="M828" s="109" t="n"/>
      <c r="N828" s="68">
        <f>IF(AND(H828="",J828=""),"",ForecastTotal+IF(L828="Approved",0,IF(J828="",0,J828)))</f>
        <v/>
      </c>
      <c r="O828" s="75">
        <f>IF(N828="","",ContAmt-MAX(0,N828-WorkBudget))</f>
        <v/>
      </c>
      <c r="P828" s="120">
        <f>IF(OR(N828="",ForecastEnd=""),"",ForecastEnd+IF(L828="Approved",0,IF(K828="",0,K828)))</f>
        <v/>
      </c>
      <c r="Q828" s="121">
        <f>IF(OR(N828="",WorkBudget=0),"",N828/WorkBudget-1)</f>
        <v/>
      </c>
      <c r="R828" s="79">
        <f>IF(N828="","",IF(N828&lt;=WorkBudget,0,IF(N828&lt;=TotalBudget,1,2)))</f>
        <v/>
      </c>
      <c r="S828" s="112">
        <f>IF(AND(OR(H828&lt;&gt;"",J828&lt;&gt;""),OR(L828="Pending",L828=""),C828&lt;&gt;""),C828+3,"")</f>
        <v/>
      </c>
      <c r="T828" s="79">
        <f>IF(S828="","",IF(AsOf&gt;S828,1,2))</f>
        <v/>
      </c>
      <c r="U828" s="79">
        <f>IF(T828="","","Decide on change order "&amp;B828&amp;": "&amp;H828&amp;" (+"&amp;CurSym&amp;" "&amp;FIXED(IF(J828="",0,J828),0)&amp;")")</f>
        <v/>
      </c>
    </row>
    <row r="829" ht="24" customHeight="1">
      <c r="B829" s="74" t="n"/>
      <c r="C829" s="109" t="n"/>
      <c r="D829" s="72" t="n"/>
      <c r="E829" s="72" t="n"/>
      <c r="F829" s="72" t="n"/>
      <c r="G829" s="72" t="n"/>
      <c r="H829" s="113" t="n"/>
      <c r="I829" s="72" t="n"/>
      <c r="J829" s="73" t="n"/>
      <c r="K829" s="89" t="n"/>
      <c r="L829" s="74" t="n"/>
      <c r="M829" s="109" t="n"/>
      <c r="N829" s="68">
        <f>IF(AND(H829="",J829=""),"",ForecastTotal+IF(L829="Approved",0,IF(J829="",0,J829)))</f>
        <v/>
      </c>
      <c r="O829" s="75">
        <f>IF(N829="","",ContAmt-MAX(0,N829-WorkBudget))</f>
        <v/>
      </c>
      <c r="P829" s="120">
        <f>IF(OR(N829="",ForecastEnd=""),"",ForecastEnd+IF(L829="Approved",0,IF(K829="",0,K829)))</f>
        <v/>
      </c>
      <c r="Q829" s="121">
        <f>IF(OR(N829="",WorkBudget=0),"",N829/WorkBudget-1)</f>
        <v/>
      </c>
      <c r="R829" s="79">
        <f>IF(N829="","",IF(N829&lt;=WorkBudget,0,IF(N829&lt;=TotalBudget,1,2)))</f>
        <v/>
      </c>
      <c r="S829" s="112">
        <f>IF(AND(OR(H829&lt;&gt;"",J829&lt;&gt;""),OR(L829="Pending",L829=""),C829&lt;&gt;""),C829+3,"")</f>
        <v/>
      </c>
      <c r="T829" s="79">
        <f>IF(S829="","",IF(AsOf&gt;S829,1,2))</f>
        <v/>
      </c>
      <c r="U829" s="79">
        <f>IF(T829="","","Decide on change order "&amp;B829&amp;": "&amp;H829&amp;" (+"&amp;CurSym&amp;" "&amp;FIXED(IF(J829="",0,J829),0)&amp;")")</f>
        <v/>
      </c>
    </row>
    <row r="830" ht="24" customHeight="1">
      <c r="B830" s="74" t="n"/>
      <c r="C830" s="109" t="n"/>
      <c r="D830" s="72" t="n"/>
      <c r="E830" s="72" t="n"/>
      <c r="F830" s="72" t="n"/>
      <c r="G830" s="72" t="n"/>
      <c r="H830" s="113" t="n"/>
      <c r="I830" s="72" t="n"/>
      <c r="J830" s="73" t="n"/>
      <c r="K830" s="89" t="n"/>
      <c r="L830" s="74" t="n"/>
      <c r="M830" s="109" t="n"/>
      <c r="N830" s="68">
        <f>IF(AND(H830="",J830=""),"",ForecastTotal+IF(L830="Approved",0,IF(J830="",0,J830)))</f>
        <v/>
      </c>
      <c r="O830" s="75">
        <f>IF(N830="","",ContAmt-MAX(0,N830-WorkBudget))</f>
        <v/>
      </c>
      <c r="P830" s="120">
        <f>IF(OR(N830="",ForecastEnd=""),"",ForecastEnd+IF(L830="Approved",0,IF(K830="",0,K830)))</f>
        <v/>
      </c>
      <c r="Q830" s="121">
        <f>IF(OR(N830="",WorkBudget=0),"",N830/WorkBudget-1)</f>
        <v/>
      </c>
      <c r="R830" s="79">
        <f>IF(N830="","",IF(N830&lt;=WorkBudget,0,IF(N830&lt;=TotalBudget,1,2)))</f>
        <v/>
      </c>
      <c r="S830" s="112">
        <f>IF(AND(OR(H830&lt;&gt;"",J830&lt;&gt;""),OR(L830="Pending",L830=""),C830&lt;&gt;""),C830+3,"")</f>
        <v/>
      </c>
      <c r="T830" s="79">
        <f>IF(S830="","",IF(AsOf&gt;S830,1,2))</f>
        <v/>
      </c>
      <c r="U830" s="79">
        <f>IF(T830="","","Decide on change order "&amp;B830&amp;": "&amp;H830&amp;" (+"&amp;CurSym&amp;" "&amp;FIXED(IF(J830="",0,J830),0)&amp;")")</f>
        <v/>
      </c>
    </row>
    <row r="831" ht="24" customHeight="1">
      <c r="B831" s="74" t="n"/>
      <c r="C831" s="109" t="n"/>
      <c r="D831" s="72" t="n"/>
      <c r="E831" s="72" t="n"/>
      <c r="F831" s="72" t="n"/>
      <c r="G831" s="72" t="n"/>
      <c r="H831" s="113" t="n"/>
      <c r="I831" s="72" t="n"/>
      <c r="J831" s="73" t="n"/>
      <c r="K831" s="89" t="n"/>
      <c r="L831" s="74" t="n"/>
      <c r="M831" s="109" t="n"/>
      <c r="N831" s="68">
        <f>IF(AND(H831="",J831=""),"",ForecastTotal+IF(L831="Approved",0,IF(J831="",0,J831)))</f>
        <v/>
      </c>
      <c r="O831" s="75">
        <f>IF(N831="","",ContAmt-MAX(0,N831-WorkBudget))</f>
        <v/>
      </c>
      <c r="P831" s="120">
        <f>IF(OR(N831="",ForecastEnd=""),"",ForecastEnd+IF(L831="Approved",0,IF(K831="",0,K831)))</f>
        <v/>
      </c>
      <c r="Q831" s="121">
        <f>IF(OR(N831="",WorkBudget=0),"",N831/WorkBudget-1)</f>
        <v/>
      </c>
      <c r="R831" s="79">
        <f>IF(N831="","",IF(N831&lt;=WorkBudget,0,IF(N831&lt;=TotalBudget,1,2)))</f>
        <v/>
      </c>
      <c r="S831" s="112">
        <f>IF(AND(OR(H831&lt;&gt;"",J831&lt;&gt;""),OR(L831="Pending",L831=""),C831&lt;&gt;""),C831+3,"")</f>
        <v/>
      </c>
      <c r="T831" s="79">
        <f>IF(S831="","",IF(AsOf&gt;S831,1,2))</f>
        <v/>
      </c>
      <c r="U831" s="79">
        <f>IF(T831="","","Decide on change order "&amp;B831&amp;": "&amp;H831&amp;" (+"&amp;CurSym&amp;" "&amp;FIXED(IF(J831="",0,J831),0)&amp;")")</f>
        <v/>
      </c>
    </row>
    <row r="832" ht="24" customHeight="1">
      <c r="B832" s="74" t="n"/>
      <c r="C832" s="109" t="n"/>
      <c r="D832" s="72" t="n"/>
      <c r="E832" s="72" t="n"/>
      <c r="F832" s="72" t="n"/>
      <c r="G832" s="72" t="n"/>
      <c r="H832" s="113" t="n"/>
      <c r="I832" s="72" t="n"/>
      <c r="J832" s="73" t="n"/>
      <c r="K832" s="89" t="n"/>
      <c r="L832" s="74" t="n"/>
      <c r="M832" s="109" t="n"/>
      <c r="N832" s="68">
        <f>IF(AND(H832="",J832=""),"",ForecastTotal+IF(L832="Approved",0,IF(J832="",0,J832)))</f>
        <v/>
      </c>
      <c r="O832" s="75">
        <f>IF(N832="","",ContAmt-MAX(0,N832-WorkBudget))</f>
        <v/>
      </c>
      <c r="P832" s="120">
        <f>IF(OR(N832="",ForecastEnd=""),"",ForecastEnd+IF(L832="Approved",0,IF(K832="",0,K832)))</f>
        <v/>
      </c>
      <c r="Q832" s="121">
        <f>IF(OR(N832="",WorkBudget=0),"",N832/WorkBudget-1)</f>
        <v/>
      </c>
      <c r="R832" s="79">
        <f>IF(N832="","",IF(N832&lt;=WorkBudget,0,IF(N832&lt;=TotalBudget,1,2)))</f>
        <v/>
      </c>
      <c r="S832" s="112">
        <f>IF(AND(OR(H832&lt;&gt;"",J832&lt;&gt;""),OR(L832="Pending",L832=""),C832&lt;&gt;""),C832+3,"")</f>
        <v/>
      </c>
      <c r="T832" s="79">
        <f>IF(S832="","",IF(AsOf&gt;S832,1,2))</f>
        <v/>
      </c>
      <c r="U832" s="79">
        <f>IF(T832="","","Decide on change order "&amp;B832&amp;": "&amp;H832&amp;" (+"&amp;CurSym&amp;" "&amp;FIXED(IF(J832="",0,J832),0)&amp;")")</f>
        <v/>
      </c>
    </row>
    <row r="833" ht="24" customHeight="1">
      <c r="B833" s="74" t="n"/>
      <c r="C833" s="109" t="n"/>
      <c r="D833" s="72" t="n"/>
      <c r="E833" s="72" t="n"/>
      <c r="F833" s="72" t="n"/>
      <c r="G833" s="72" t="n"/>
      <c r="H833" s="113" t="n"/>
      <c r="I833" s="72" t="n"/>
      <c r="J833" s="73" t="n"/>
      <c r="K833" s="89" t="n"/>
      <c r="L833" s="74" t="n"/>
      <c r="M833" s="109" t="n"/>
      <c r="N833" s="68">
        <f>IF(AND(H833="",J833=""),"",ForecastTotal+IF(L833="Approved",0,IF(J833="",0,J833)))</f>
        <v/>
      </c>
      <c r="O833" s="75">
        <f>IF(N833="","",ContAmt-MAX(0,N833-WorkBudget))</f>
        <v/>
      </c>
      <c r="P833" s="120">
        <f>IF(OR(N833="",ForecastEnd=""),"",ForecastEnd+IF(L833="Approved",0,IF(K833="",0,K833)))</f>
        <v/>
      </c>
      <c r="Q833" s="121">
        <f>IF(OR(N833="",WorkBudget=0),"",N833/WorkBudget-1)</f>
        <v/>
      </c>
      <c r="R833" s="79">
        <f>IF(N833="","",IF(N833&lt;=WorkBudget,0,IF(N833&lt;=TotalBudget,1,2)))</f>
        <v/>
      </c>
      <c r="S833" s="112">
        <f>IF(AND(OR(H833&lt;&gt;"",J833&lt;&gt;""),OR(L833="Pending",L833=""),C833&lt;&gt;""),C833+3,"")</f>
        <v/>
      </c>
      <c r="T833" s="79">
        <f>IF(S833="","",IF(AsOf&gt;S833,1,2))</f>
        <v/>
      </c>
      <c r="U833" s="79">
        <f>IF(T833="","","Decide on change order "&amp;B833&amp;": "&amp;H833&amp;" (+"&amp;CurSym&amp;" "&amp;FIXED(IF(J833="",0,J833),0)&amp;")")</f>
        <v/>
      </c>
    </row>
    <row r="834" ht="24" customHeight="1">
      <c r="B834" s="74" t="n"/>
      <c r="C834" s="109" t="n"/>
      <c r="D834" s="72" t="n"/>
      <c r="E834" s="72" t="n"/>
      <c r="F834" s="72" t="n"/>
      <c r="G834" s="72" t="n"/>
      <c r="H834" s="113" t="n"/>
      <c r="I834" s="72" t="n"/>
      <c r="J834" s="73" t="n"/>
      <c r="K834" s="89" t="n"/>
      <c r="L834" s="74" t="n"/>
      <c r="M834" s="109" t="n"/>
      <c r="N834" s="68">
        <f>IF(AND(H834="",J834=""),"",ForecastTotal+IF(L834="Approved",0,IF(J834="",0,J834)))</f>
        <v/>
      </c>
      <c r="O834" s="75">
        <f>IF(N834="","",ContAmt-MAX(0,N834-WorkBudget))</f>
        <v/>
      </c>
      <c r="P834" s="120">
        <f>IF(OR(N834="",ForecastEnd=""),"",ForecastEnd+IF(L834="Approved",0,IF(K834="",0,K834)))</f>
        <v/>
      </c>
      <c r="Q834" s="121">
        <f>IF(OR(N834="",WorkBudget=0),"",N834/WorkBudget-1)</f>
        <v/>
      </c>
      <c r="R834" s="79">
        <f>IF(N834="","",IF(N834&lt;=WorkBudget,0,IF(N834&lt;=TotalBudget,1,2)))</f>
        <v/>
      </c>
      <c r="S834" s="112">
        <f>IF(AND(OR(H834&lt;&gt;"",J834&lt;&gt;""),OR(L834="Pending",L834=""),C834&lt;&gt;""),C834+3,"")</f>
        <v/>
      </c>
      <c r="T834" s="79">
        <f>IF(S834="","",IF(AsOf&gt;S834,1,2))</f>
        <v/>
      </c>
      <c r="U834" s="79">
        <f>IF(T834="","","Decide on change order "&amp;B834&amp;": "&amp;H834&amp;" (+"&amp;CurSym&amp;" "&amp;FIXED(IF(J834="",0,J834),0)&amp;")")</f>
        <v/>
      </c>
    </row>
    <row r="835" ht="24" customHeight="1">
      <c r="B835" s="74" t="n"/>
      <c r="C835" s="109" t="n"/>
      <c r="D835" s="72" t="n"/>
      <c r="E835" s="72" t="n"/>
      <c r="F835" s="72" t="n"/>
      <c r="G835" s="72" t="n"/>
      <c r="H835" s="113" t="n"/>
      <c r="I835" s="72" t="n"/>
      <c r="J835" s="73" t="n"/>
      <c r="K835" s="89" t="n"/>
      <c r="L835" s="74" t="n"/>
      <c r="M835" s="109" t="n"/>
      <c r="N835" s="68">
        <f>IF(AND(H835="",J835=""),"",ForecastTotal+IF(L835="Approved",0,IF(J835="",0,J835)))</f>
        <v/>
      </c>
      <c r="O835" s="75">
        <f>IF(N835="","",ContAmt-MAX(0,N835-WorkBudget))</f>
        <v/>
      </c>
      <c r="P835" s="120">
        <f>IF(OR(N835="",ForecastEnd=""),"",ForecastEnd+IF(L835="Approved",0,IF(K835="",0,K835)))</f>
        <v/>
      </c>
      <c r="Q835" s="121">
        <f>IF(OR(N835="",WorkBudget=0),"",N835/WorkBudget-1)</f>
        <v/>
      </c>
      <c r="R835" s="79">
        <f>IF(N835="","",IF(N835&lt;=WorkBudget,0,IF(N835&lt;=TotalBudget,1,2)))</f>
        <v/>
      </c>
      <c r="S835" s="112">
        <f>IF(AND(OR(H835&lt;&gt;"",J835&lt;&gt;""),OR(L835="Pending",L835=""),C835&lt;&gt;""),C835+3,"")</f>
        <v/>
      </c>
      <c r="T835" s="79">
        <f>IF(S835="","",IF(AsOf&gt;S835,1,2))</f>
        <v/>
      </c>
      <c r="U835" s="79">
        <f>IF(T835="","","Decide on change order "&amp;B835&amp;": "&amp;H835&amp;" (+"&amp;CurSym&amp;" "&amp;FIXED(IF(J835="",0,J835),0)&amp;")")</f>
        <v/>
      </c>
    </row>
    <row r="836" ht="24" customHeight="1">
      <c r="B836" s="74" t="n"/>
      <c r="C836" s="109" t="n"/>
      <c r="D836" s="72" t="n"/>
      <c r="E836" s="72" t="n"/>
      <c r="F836" s="72" t="n"/>
      <c r="G836" s="72" t="n"/>
      <c r="H836" s="113" t="n"/>
      <c r="I836" s="72" t="n"/>
      <c r="J836" s="73" t="n"/>
      <c r="K836" s="89" t="n"/>
      <c r="L836" s="74" t="n"/>
      <c r="M836" s="109" t="n"/>
      <c r="N836" s="68">
        <f>IF(AND(H836="",J836=""),"",ForecastTotal+IF(L836="Approved",0,IF(J836="",0,J836)))</f>
        <v/>
      </c>
      <c r="O836" s="75">
        <f>IF(N836="","",ContAmt-MAX(0,N836-WorkBudget))</f>
        <v/>
      </c>
      <c r="P836" s="120">
        <f>IF(OR(N836="",ForecastEnd=""),"",ForecastEnd+IF(L836="Approved",0,IF(K836="",0,K836)))</f>
        <v/>
      </c>
      <c r="Q836" s="121">
        <f>IF(OR(N836="",WorkBudget=0),"",N836/WorkBudget-1)</f>
        <v/>
      </c>
      <c r="R836" s="79">
        <f>IF(N836="","",IF(N836&lt;=WorkBudget,0,IF(N836&lt;=TotalBudget,1,2)))</f>
        <v/>
      </c>
      <c r="S836" s="112">
        <f>IF(AND(OR(H836&lt;&gt;"",J836&lt;&gt;""),OR(L836="Pending",L836=""),C836&lt;&gt;""),C836+3,"")</f>
        <v/>
      </c>
      <c r="T836" s="79">
        <f>IF(S836="","",IF(AsOf&gt;S836,1,2))</f>
        <v/>
      </c>
      <c r="U836" s="79">
        <f>IF(T836="","","Decide on change order "&amp;B836&amp;": "&amp;H836&amp;" (+"&amp;CurSym&amp;" "&amp;FIXED(IF(J836="",0,J836),0)&amp;")")</f>
        <v/>
      </c>
    </row>
    <row r="837" ht="24" customHeight="1">
      <c r="B837" s="74" t="n"/>
      <c r="C837" s="109" t="n"/>
      <c r="D837" s="72" t="n"/>
      <c r="E837" s="72" t="n"/>
      <c r="F837" s="72" t="n"/>
      <c r="G837" s="72" t="n"/>
      <c r="H837" s="113" t="n"/>
      <c r="I837" s="72" t="n"/>
      <c r="J837" s="73" t="n"/>
      <c r="K837" s="89" t="n"/>
      <c r="L837" s="74" t="n"/>
      <c r="M837" s="109" t="n"/>
      <c r="N837" s="68">
        <f>IF(AND(H837="",J837=""),"",ForecastTotal+IF(L837="Approved",0,IF(J837="",0,J837)))</f>
        <v/>
      </c>
      <c r="O837" s="75">
        <f>IF(N837="","",ContAmt-MAX(0,N837-WorkBudget))</f>
        <v/>
      </c>
      <c r="P837" s="120">
        <f>IF(OR(N837="",ForecastEnd=""),"",ForecastEnd+IF(L837="Approved",0,IF(K837="",0,K837)))</f>
        <v/>
      </c>
      <c r="Q837" s="121">
        <f>IF(OR(N837="",WorkBudget=0),"",N837/WorkBudget-1)</f>
        <v/>
      </c>
      <c r="R837" s="79">
        <f>IF(N837="","",IF(N837&lt;=WorkBudget,0,IF(N837&lt;=TotalBudget,1,2)))</f>
        <v/>
      </c>
      <c r="S837" s="112">
        <f>IF(AND(OR(H837&lt;&gt;"",J837&lt;&gt;""),OR(L837="Pending",L837=""),C837&lt;&gt;""),C837+3,"")</f>
        <v/>
      </c>
      <c r="T837" s="79">
        <f>IF(S837="","",IF(AsOf&gt;S837,1,2))</f>
        <v/>
      </c>
      <c r="U837" s="79">
        <f>IF(T837="","","Decide on change order "&amp;B837&amp;": "&amp;H837&amp;" (+"&amp;CurSym&amp;" "&amp;FIXED(IF(J837="",0,J837),0)&amp;")")</f>
        <v/>
      </c>
    </row>
    <row r="838" ht="24" customHeight="1">
      <c r="B838" s="74" t="n"/>
      <c r="C838" s="109" t="n"/>
      <c r="D838" s="72" t="n"/>
      <c r="E838" s="72" t="n"/>
      <c r="F838" s="72" t="n"/>
      <c r="G838" s="72" t="n"/>
      <c r="H838" s="113" t="n"/>
      <c r="I838" s="72" t="n"/>
      <c r="J838" s="73" t="n"/>
      <c r="K838" s="89" t="n"/>
      <c r="L838" s="74" t="n"/>
      <c r="M838" s="109" t="n"/>
      <c r="N838" s="68">
        <f>IF(AND(H838="",J838=""),"",ForecastTotal+IF(L838="Approved",0,IF(J838="",0,J838)))</f>
        <v/>
      </c>
      <c r="O838" s="75">
        <f>IF(N838="","",ContAmt-MAX(0,N838-WorkBudget))</f>
        <v/>
      </c>
      <c r="P838" s="120">
        <f>IF(OR(N838="",ForecastEnd=""),"",ForecastEnd+IF(L838="Approved",0,IF(K838="",0,K838)))</f>
        <v/>
      </c>
      <c r="Q838" s="121">
        <f>IF(OR(N838="",WorkBudget=0),"",N838/WorkBudget-1)</f>
        <v/>
      </c>
      <c r="R838" s="79">
        <f>IF(N838="","",IF(N838&lt;=WorkBudget,0,IF(N838&lt;=TotalBudget,1,2)))</f>
        <v/>
      </c>
      <c r="S838" s="112">
        <f>IF(AND(OR(H838&lt;&gt;"",J838&lt;&gt;""),OR(L838="Pending",L838=""),C838&lt;&gt;""),C838+3,"")</f>
        <v/>
      </c>
      <c r="T838" s="79">
        <f>IF(S838="","",IF(AsOf&gt;S838,1,2))</f>
        <v/>
      </c>
      <c r="U838" s="79">
        <f>IF(T838="","","Decide on change order "&amp;B838&amp;": "&amp;H838&amp;" (+"&amp;CurSym&amp;" "&amp;FIXED(IF(J838="",0,J838),0)&amp;")")</f>
        <v/>
      </c>
    </row>
    <row r="839" ht="24" customHeight="1">
      <c r="B839" s="74" t="n"/>
      <c r="C839" s="109" t="n"/>
      <c r="D839" s="72" t="n"/>
      <c r="E839" s="72" t="n"/>
      <c r="F839" s="72" t="n"/>
      <c r="G839" s="72" t="n"/>
      <c r="H839" s="113" t="n"/>
      <c r="I839" s="72" t="n"/>
      <c r="J839" s="73" t="n"/>
      <c r="K839" s="89" t="n"/>
      <c r="L839" s="74" t="n"/>
      <c r="M839" s="109" t="n"/>
      <c r="N839" s="68">
        <f>IF(AND(H839="",J839=""),"",ForecastTotal+IF(L839="Approved",0,IF(J839="",0,J839)))</f>
        <v/>
      </c>
      <c r="O839" s="75">
        <f>IF(N839="","",ContAmt-MAX(0,N839-WorkBudget))</f>
        <v/>
      </c>
      <c r="P839" s="120">
        <f>IF(OR(N839="",ForecastEnd=""),"",ForecastEnd+IF(L839="Approved",0,IF(K839="",0,K839)))</f>
        <v/>
      </c>
      <c r="Q839" s="121">
        <f>IF(OR(N839="",WorkBudget=0),"",N839/WorkBudget-1)</f>
        <v/>
      </c>
      <c r="R839" s="79">
        <f>IF(N839="","",IF(N839&lt;=WorkBudget,0,IF(N839&lt;=TotalBudget,1,2)))</f>
        <v/>
      </c>
      <c r="S839" s="112">
        <f>IF(AND(OR(H839&lt;&gt;"",J839&lt;&gt;""),OR(L839="Pending",L839=""),C839&lt;&gt;""),C839+3,"")</f>
        <v/>
      </c>
      <c r="T839" s="79">
        <f>IF(S839="","",IF(AsOf&gt;S839,1,2))</f>
        <v/>
      </c>
      <c r="U839" s="79">
        <f>IF(T839="","","Decide on change order "&amp;B839&amp;": "&amp;H839&amp;" (+"&amp;CurSym&amp;" "&amp;FIXED(IF(J839="",0,J839),0)&amp;")")</f>
        <v/>
      </c>
    </row>
    <row r="840" ht="24" customHeight="1">
      <c r="B840" s="74" t="n"/>
      <c r="C840" s="109" t="n"/>
      <c r="D840" s="72" t="n"/>
      <c r="E840" s="72" t="n"/>
      <c r="F840" s="72" t="n"/>
      <c r="G840" s="72" t="n"/>
      <c r="H840" s="113" t="n"/>
      <c r="I840" s="72" t="n"/>
      <c r="J840" s="73" t="n"/>
      <c r="K840" s="89" t="n"/>
      <c r="L840" s="74" t="n"/>
      <c r="M840" s="109" t="n"/>
      <c r="N840" s="68">
        <f>IF(AND(H840="",J840=""),"",ForecastTotal+IF(L840="Approved",0,IF(J840="",0,J840)))</f>
        <v/>
      </c>
      <c r="O840" s="75">
        <f>IF(N840="","",ContAmt-MAX(0,N840-WorkBudget))</f>
        <v/>
      </c>
      <c r="P840" s="120">
        <f>IF(OR(N840="",ForecastEnd=""),"",ForecastEnd+IF(L840="Approved",0,IF(K840="",0,K840)))</f>
        <v/>
      </c>
      <c r="Q840" s="121">
        <f>IF(OR(N840="",WorkBudget=0),"",N840/WorkBudget-1)</f>
        <v/>
      </c>
      <c r="R840" s="79">
        <f>IF(N840="","",IF(N840&lt;=WorkBudget,0,IF(N840&lt;=TotalBudget,1,2)))</f>
        <v/>
      </c>
      <c r="S840" s="112">
        <f>IF(AND(OR(H840&lt;&gt;"",J840&lt;&gt;""),OR(L840="Pending",L840=""),C840&lt;&gt;""),C840+3,"")</f>
        <v/>
      </c>
      <c r="T840" s="79">
        <f>IF(S840="","",IF(AsOf&gt;S840,1,2))</f>
        <v/>
      </c>
      <c r="U840" s="79">
        <f>IF(T840="","","Decide on change order "&amp;B840&amp;": "&amp;H840&amp;" (+"&amp;CurSym&amp;" "&amp;FIXED(IF(J840="",0,J840),0)&amp;")")</f>
        <v/>
      </c>
    </row>
    <row r="841" ht="24" customHeight="1">
      <c r="B841" s="74" t="n"/>
      <c r="C841" s="109" t="n"/>
      <c r="D841" s="72" t="n"/>
      <c r="E841" s="72" t="n"/>
      <c r="F841" s="72" t="n"/>
      <c r="G841" s="72" t="n"/>
      <c r="H841" s="113" t="n"/>
      <c r="I841" s="72" t="n"/>
      <c r="J841" s="73" t="n"/>
      <c r="K841" s="89" t="n"/>
      <c r="L841" s="74" t="n"/>
      <c r="M841" s="109" t="n"/>
      <c r="N841" s="68">
        <f>IF(AND(H841="",J841=""),"",ForecastTotal+IF(L841="Approved",0,IF(J841="",0,J841)))</f>
        <v/>
      </c>
      <c r="O841" s="75">
        <f>IF(N841="","",ContAmt-MAX(0,N841-WorkBudget))</f>
        <v/>
      </c>
      <c r="P841" s="120">
        <f>IF(OR(N841="",ForecastEnd=""),"",ForecastEnd+IF(L841="Approved",0,IF(K841="",0,K841)))</f>
        <v/>
      </c>
      <c r="Q841" s="121">
        <f>IF(OR(N841="",WorkBudget=0),"",N841/WorkBudget-1)</f>
        <v/>
      </c>
      <c r="R841" s="79">
        <f>IF(N841="","",IF(N841&lt;=WorkBudget,0,IF(N841&lt;=TotalBudget,1,2)))</f>
        <v/>
      </c>
      <c r="S841" s="112">
        <f>IF(AND(OR(H841&lt;&gt;"",J841&lt;&gt;""),OR(L841="Pending",L841=""),C841&lt;&gt;""),C841+3,"")</f>
        <v/>
      </c>
      <c r="T841" s="79">
        <f>IF(S841="","",IF(AsOf&gt;S841,1,2))</f>
        <v/>
      </c>
      <c r="U841" s="79">
        <f>IF(T841="","","Decide on change order "&amp;B841&amp;": "&amp;H841&amp;" (+"&amp;CurSym&amp;" "&amp;FIXED(IF(J841="",0,J841),0)&amp;")")</f>
        <v/>
      </c>
    </row>
    <row r="842" ht="24" customHeight="1">
      <c r="B842" s="74" t="n"/>
      <c r="C842" s="109" t="n"/>
      <c r="D842" s="72" t="n"/>
      <c r="E842" s="72" t="n"/>
      <c r="F842" s="72" t="n"/>
      <c r="G842" s="72" t="n"/>
      <c r="H842" s="113" t="n"/>
      <c r="I842" s="72" t="n"/>
      <c r="J842" s="73" t="n"/>
      <c r="K842" s="89" t="n"/>
      <c r="L842" s="74" t="n"/>
      <c r="M842" s="109" t="n"/>
      <c r="N842" s="68">
        <f>IF(AND(H842="",J842=""),"",ForecastTotal+IF(L842="Approved",0,IF(J842="",0,J842)))</f>
        <v/>
      </c>
      <c r="O842" s="75">
        <f>IF(N842="","",ContAmt-MAX(0,N842-WorkBudget))</f>
        <v/>
      </c>
      <c r="P842" s="120">
        <f>IF(OR(N842="",ForecastEnd=""),"",ForecastEnd+IF(L842="Approved",0,IF(K842="",0,K842)))</f>
        <v/>
      </c>
      <c r="Q842" s="121">
        <f>IF(OR(N842="",WorkBudget=0),"",N842/WorkBudget-1)</f>
        <v/>
      </c>
      <c r="R842" s="79">
        <f>IF(N842="","",IF(N842&lt;=WorkBudget,0,IF(N842&lt;=TotalBudget,1,2)))</f>
        <v/>
      </c>
      <c r="S842" s="112">
        <f>IF(AND(OR(H842&lt;&gt;"",J842&lt;&gt;""),OR(L842="Pending",L842=""),C842&lt;&gt;""),C842+3,"")</f>
        <v/>
      </c>
      <c r="T842" s="79">
        <f>IF(S842="","",IF(AsOf&gt;S842,1,2))</f>
        <v/>
      </c>
      <c r="U842" s="79">
        <f>IF(T842="","","Decide on change order "&amp;B842&amp;": "&amp;H842&amp;" (+"&amp;CurSym&amp;" "&amp;FIXED(IF(J842="",0,J842),0)&amp;")")</f>
        <v/>
      </c>
    </row>
    <row r="843" ht="24" customHeight="1">
      <c r="B843" s="74" t="n"/>
      <c r="C843" s="109" t="n"/>
      <c r="D843" s="72" t="n"/>
      <c r="E843" s="72" t="n"/>
      <c r="F843" s="72" t="n"/>
      <c r="G843" s="72" t="n"/>
      <c r="H843" s="113" t="n"/>
      <c r="I843" s="72" t="n"/>
      <c r="J843" s="73" t="n"/>
      <c r="K843" s="89" t="n"/>
      <c r="L843" s="74" t="n"/>
      <c r="M843" s="109" t="n"/>
      <c r="N843" s="68">
        <f>IF(AND(H843="",J843=""),"",ForecastTotal+IF(L843="Approved",0,IF(J843="",0,J843)))</f>
        <v/>
      </c>
      <c r="O843" s="75">
        <f>IF(N843="","",ContAmt-MAX(0,N843-WorkBudget))</f>
        <v/>
      </c>
      <c r="P843" s="120">
        <f>IF(OR(N843="",ForecastEnd=""),"",ForecastEnd+IF(L843="Approved",0,IF(K843="",0,K843)))</f>
        <v/>
      </c>
      <c r="Q843" s="121">
        <f>IF(OR(N843="",WorkBudget=0),"",N843/WorkBudget-1)</f>
        <v/>
      </c>
      <c r="R843" s="79">
        <f>IF(N843="","",IF(N843&lt;=WorkBudget,0,IF(N843&lt;=TotalBudget,1,2)))</f>
        <v/>
      </c>
      <c r="S843" s="112">
        <f>IF(AND(OR(H843&lt;&gt;"",J843&lt;&gt;""),OR(L843="Pending",L843=""),C843&lt;&gt;""),C843+3,"")</f>
        <v/>
      </c>
      <c r="T843" s="79">
        <f>IF(S843="","",IF(AsOf&gt;S843,1,2))</f>
        <v/>
      </c>
      <c r="U843" s="79">
        <f>IF(T843="","","Decide on change order "&amp;B843&amp;": "&amp;H843&amp;" (+"&amp;CurSym&amp;" "&amp;FIXED(IF(J843="",0,J843),0)&amp;")")</f>
        <v/>
      </c>
    </row>
    <row r="844" ht="24" customHeight="1">
      <c r="B844" s="74" t="n"/>
      <c r="C844" s="109" t="n"/>
      <c r="D844" s="72" t="n"/>
      <c r="E844" s="72" t="n"/>
      <c r="F844" s="72" t="n"/>
      <c r="G844" s="72" t="n"/>
      <c r="H844" s="113" t="n"/>
      <c r="I844" s="72" t="n"/>
      <c r="J844" s="73" t="n"/>
      <c r="K844" s="89" t="n"/>
      <c r="L844" s="74" t="n"/>
      <c r="M844" s="109" t="n"/>
      <c r="N844" s="68">
        <f>IF(AND(H844="",J844=""),"",ForecastTotal+IF(L844="Approved",0,IF(J844="",0,J844)))</f>
        <v/>
      </c>
      <c r="O844" s="75">
        <f>IF(N844="","",ContAmt-MAX(0,N844-WorkBudget))</f>
        <v/>
      </c>
      <c r="P844" s="120">
        <f>IF(OR(N844="",ForecastEnd=""),"",ForecastEnd+IF(L844="Approved",0,IF(K844="",0,K844)))</f>
        <v/>
      </c>
      <c r="Q844" s="121">
        <f>IF(OR(N844="",WorkBudget=0),"",N844/WorkBudget-1)</f>
        <v/>
      </c>
      <c r="R844" s="79">
        <f>IF(N844="","",IF(N844&lt;=WorkBudget,0,IF(N844&lt;=TotalBudget,1,2)))</f>
        <v/>
      </c>
      <c r="S844" s="112">
        <f>IF(AND(OR(H844&lt;&gt;"",J844&lt;&gt;""),OR(L844="Pending",L844=""),C844&lt;&gt;""),C844+3,"")</f>
        <v/>
      </c>
      <c r="T844" s="79">
        <f>IF(S844="","",IF(AsOf&gt;S844,1,2))</f>
        <v/>
      </c>
      <c r="U844" s="79">
        <f>IF(T844="","","Decide on change order "&amp;B844&amp;": "&amp;H844&amp;" (+"&amp;CurSym&amp;" "&amp;FIXED(IF(J844="",0,J844),0)&amp;")")</f>
        <v/>
      </c>
    </row>
    <row r="845" ht="24" customHeight="1">
      <c r="B845" s="74" t="n"/>
      <c r="C845" s="109" t="n"/>
      <c r="D845" s="72" t="n"/>
      <c r="E845" s="72" t="n"/>
      <c r="F845" s="72" t="n"/>
      <c r="G845" s="72" t="n"/>
      <c r="H845" s="113" t="n"/>
      <c r="I845" s="72" t="n"/>
      <c r="J845" s="73" t="n"/>
      <c r="K845" s="89" t="n"/>
      <c r="L845" s="74" t="n"/>
      <c r="M845" s="109" t="n"/>
      <c r="N845" s="68">
        <f>IF(AND(H845="",J845=""),"",ForecastTotal+IF(L845="Approved",0,IF(J845="",0,J845)))</f>
        <v/>
      </c>
      <c r="O845" s="75">
        <f>IF(N845="","",ContAmt-MAX(0,N845-WorkBudget))</f>
        <v/>
      </c>
      <c r="P845" s="120">
        <f>IF(OR(N845="",ForecastEnd=""),"",ForecastEnd+IF(L845="Approved",0,IF(K845="",0,K845)))</f>
        <v/>
      </c>
      <c r="Q845" s="121">
        <f>IF(OR(N845="",WorkBudget=0),"",N845/WorkBudget-1)</f>
        <v/>
      </c>
      <c r="R845" s="79">
        <f>IF(N845="","",IF(N845&lt;=WorkBudget,0,IF(N845&lt;=TotalBudget,1,2)))</f>
        <v/>
      </c>
      <c r="S845" s="112">
        <f>IF(AND(OR(H845&lt;&gt;"",J845&lt;&gt;""),OR(L845="Pending",L845=""),C845&lt;&gt;""),C845+3,"")</f>
        <v/>
      </c>
      <c r="T845" s="79">
        <f>IF(S845="","",IF(AsOf&gt;S845,1,2))</f>
        <v/>
      </c>
      <c r="U845" s="79">
        <f>IF(T845="","","Decide on change order "&amp;B845&amp;": "&amp;H845&amp;" (+"&amp;CurSym&amp;" "&amp;FIXED(IF(J845="",0,J845),0)&amp;")")</f>
        <v/>
      </c>
    </row>
    <row r="846" ht="24" customHeight="1">
      <c r="B846" s="74" t="n"/>
      <c r="C846" s="109" t="n"/>
      <c r="D846" s="72" t="n"/>
      <c r="E846" s="72" t="n"/>
      <c r="F846" s="72" t="n"/>
      <c r="G846" s="72" t="n"/>
      <c r="H846" s="113" t="n"/>
      <c r="I846" s="72" t="n"/>
      <c r="J846" s="73" t="n"/>
      <c r="K846" s="89" t="n"/>
      <c r="L846" s="74" t="n"/>
      <c r="M846" s="109" t="n"/>
      <c r="N846" s="68">
        <f>IF(AND(H846="",J846=""),"",ForecastTotal+IF(L846="Approved",0,IF(J846="",0,J846)))</f>
        <v/>
      </c>
      <c r="O846" s="75">
        <f>IF(N846="","",ContAmt-MAX(0,N846-WorkBudget))</f>
        <v/>
      </c>
      <c r="P846" s="120">
        <f>IF(OR(N846="",ForecastEnd=""),"",ForecastEnd+IF(L846="Approved",0,IF(K846="",0,K846)))</f>
        <v/>
      </c>
      <c r="Q846" s="121">
        <f>IF(OR(N846="",WorkBudget=0),"",N846/WorkBudget-1)</f>
        <v/>
      </c>
      <c r="R846" s="79">
        <f>IF(N846="","",IF(N846&lt;=WorkBudget,0,IF(N846&lt;=TotalBudget,1,2)))</f>
        <v/>
      </c>
      <c r="S846" s="112">
        <f>IF(AND(OR(H846&lt;&gt;"",J846&lt;&gt;""),OR(L846="Pending",L846=""),C846&lt;&gt;""),C846+3,"")</f>
        <v/>
      </c>
      <c r="T846" s="79">
        <f>IF(S846="","",IF(AsOf&gt;S846,1,2))</f>
        <v/>
      </c>
      <c r="U846" s="79">
        <f>IF(T846="","","Decide on change order "&amp;B846&amp;": "&amp;H846&amp;" (+"&amp;CurSym&amp;" "&amp;FIXED(IF(J846="",0,J846),0)&amp;")")</f>
        <v/>
      </c>
    </row>
    <row r="847" ht="24" customHeight="1">
      <c r="B847" s="74" t="n"/>
      <c r="C847" s="109" t="n"/>
      <c r="D847" s="72" t="n"/>
      <c r="E847" s="72" t="n"/>
      <c r="F847" s="72" t="n"/>
      <c r="G847" s="72" t="n"/>
      <c r="H847" s="113" t="n"/>
      <c r="I847" s="72" t="n"/>
      <c r="J847" s="73" t="n"/>
      <c r="K847" s="89" t="n"/>
      <c r="L847" s="74" t="n"/>
      <c r="M847" s="109" t="n"/>
      <c r="N847" s="68">
        <f>IF(AND(H847="",J847=""),"",ForecastTotal+IF(L847="Approved",0,IF(J847="",0,J847)))</f>
        <v/>
      </c>
      <c r="O847" s="75">
        <f>IF(N847="","",ContAmt-MAX(0,N847-WorkBudget))</f>
        <v/>
      </c>
      <c r="P847" s="120">
        <f>IF(OR(N847="",ForecastEnd=""),"",ForecastEnd+IF(L847="Approved",0,IF(K847="",0,K847)))</f>
        <v/>
      </c>
      <c r="Q847" s="121">
        <f>IF(OR(N847="",WorkBudget=0),"",N847/WorkBudget-1)</f>
        <v/>
      </c>
      <c r="R847" s="79">
        <f>IF(N847="","",IF(N847&lt;=WorkBudget,0,IF(N847&lt;=TotalBudget,1,2)))</f>
        <v/>
      </c>
      <c r="S847" s="112">
        <f>IF(AND(OR(H847&lt;&gt;"",J847&lt;&gt;""),OR(L847="Pending",L847=""),C847&lt;&gt;""),C847+3,"")</f>
        <v/>
      </c>
      <c r="T847" s="79">
        <f>IF(S847="","",IF(AsOf&gt;S847,1,2))</f>
        <v/>
      </c>
      <c r="U847" s="79">
        <f>IF(T847="","","Decide on change order "&amp;B847&amp;": "&amp;H847&amp;" (+"&amp;CurSym&amp;" "&amp;FIXED(IF(J847="",0,J847),0)&amp;")")</f>
        <v/>
      </c>
    </row>
    <row r="848" ht="24" customHeight="1">
      <c r="B848" s="74" t="n"/>
      <c r="C848" s="109" t="n"/>
      <c r="D848" s="72" t="n"/>
      <c r="E848" s="72" t="n"/>
      <c r="F848" s="72" t="n"/>
      <c r="G848" s="72" t="n"/>
      <c r="H848" s="113" t="n"/>
      <c r="I848" s="72" t="n"/>
      <c r="J848" s="73" t="n"/>
      <c r="K848" s="89" t="n"/>
      <c r="L848" s="74" t="n"/>
      <c r="M848" s="109" t="n"/>
      <c r="N848" s="68">
        <f>IF(AND(H848="",J848=""),"",ForecastTotal+IF(L848="Approved",0,IF(J848="",0,J848)))</f>
        <v/>
      </c>
      <c r="O848" s="75">
        <f>IF(N848="","",ContAmt-MAX(0,N848-WorkBudget))</f>
        <v/>
      </c>
      <c r="P848" s="120">
        <f>IF(OR(N848="",ForecastEnd=""),"",ForecastEnd+IF(L848="Approved",0,IF(K848="",0,K848)))</f>
        <v/>
      </c>
      <c r="Q848" s="121">
        <f>IF(OR(N848="",WorkBudget=0),"",N848/WorkBudget-1)</f>
        <v/>
      </c>
      <c r="R848" s="79">
        <f>IF(N848="","",IF(N848&lt;=WorkBudget,0,IF(N848&lt;=TotalBudget,1,2)))</f>
        <v/>
      </c>
      <c r="S848" s="112">
        <f>IF(AND(OR(H848&lt;&gt;"",J848&lt;&gt;""),OR(L848="Pending",L848=""),C848&lt;&gt;""),C848+3,"")</f>
        <v/>
      </c>
      <c r="T848" s="79">
        <f>IF(S848="","",IF(AsOf&gt;S848,1,2))</f>
        <v/>
      </c>
      <c r="U848" s="79">
        <f>IF(T848="","","Decide on change order "&amp;B848&amp;": "&amp;H848&amp;" (+"&amp;CurSym&amp;" "&amp;FIXED(IF(J848="",0,J848),0)&amp;")")</f>
        <v/>
      </c>
    </row>
    <row r="849" ht="24" customHeight="1">
      <c r="B849" s="74" t="n"/>
      <c r="C849" s="109" t="n"/>
      <c r="D849" s="72" t="n"/>
      <c r="E849" s="72" t="n"/>
      <c r="F849" s="72" t="n"/>
      <c r="G849" s="72" t="n"/>
      <c r="H849" s="113" t="n"/>
      <c r="I849" s="72" t="n"/>
      <c r="J849" s="73" t="n"/>
      <c r="K849" s="89" t="n"/>
      <c r="L849" s="74" t="n"/>
      <c r="M849" s="109" t="n"/>
      <c r="N849" s="68">
        <f>IF(AND(H849="",J849=""),"",ForecastTotal+IF(L849="Approved",0,IF(J849="",0,J849)))</f>
        <v/>
      </c>
      <c r="O849" s="75">
        <f>IF(N849="","",ContAmt-MAX(0,N849-WorkBudget))</f>
        <v/>
      </c>
      <c r="P849" s="120">
        <f>IF(OR(N849="",ForecastEnd=""),"",ForecastEnd+IF(L849="Approved",0,IF(K849="",0,K849)))</f>
        <v/>
      </c>
      <c r="Q849" s="121">
        <f>IF(OR(N849="",WorkBudget=0),"",N849/WorkBudget-1)</f>
        <v/>
      </c>
      <c r="R849" s="79">
        <f>IF(N849="","",IF(N849&lt;=WorkBudget,0,IF(N849&lt;=TotalBudget,1,2)))</f>
        <v/>
      </c>
      <c r="S849" s="112">
        <f>IF(AND(OR(H849&lt;&gt;"",J849&lt;&gt;""),OR(L849="Pending",L849=""),C849&lt;&gt;""),C849+3,"")</f>
        <v/>
      </c>
      <c r="T849" s="79">
        <f>IF(S849="","",IF(AsOf&gt;S849,1,2))</f>
        <v/>
      </c>
      <c r="U849" s="79">
        <f>IF(T849="","","Decide on change order "&amp;B849&amp;": "&amp;H849&amp;" (+"&amp;CurSym&amp;" "&amp;FIXED(IF(J849="",0,J849),0)&amp;")")</f>
        <v/>
      </c>
    </row>
    <row r="850" ht="24" customHeight="1">
      <c r="B850" s="74" t="n"/>
      <c r="C850" s="109" t="n"/>
      <c r="D850" s="72" t="n"/>
      <c r="E850" s="72" t="n"/>
      <c r="F850" s="72" t="n"/>
      <c r="G850" s="72" t="n"/>
      <c r="H850" s="113" t="n"/>
      <c r="I850" s="72" t="n"/>
      <c r="J850" s="73" t="n"/>
      <c r="K850" s="89" t="n"/>
      <c r="L850" s="74" t="n"/>
      <c r="M850" s="109" t="n"/>
      <c r="N850" s="68">
        <f>IF(AND(H850="",J850=""),"",ForecastTotal+IF(L850="Approved",0,IF(J850="",0,J850)))</f>
        <v/>
      </c>
      <c r="O850" s="75">
        <f>IF(N850="","",ContAmt-MAX(0,N850-WorkBudget))</f>
        <v/>
      </c>
      <c r="P850" s="120">
        <f>IF(OR(N850="",ForecastEnd=""),"",ForecastEnd+IF(L850="Approved",0,IF(K850="",0,K850)))</f>
        <v/>
      </c>
      <c r="Q850" s="121">
        <f>IF(OR(N850="",WorkBudget=0),"",N850/WorkBudget-1)</f>
        <v/>
      </c>
      <c r="R850" s="79">
        <f>IF(N850="","",IF(N850&lt;=WorkBudget,0,IF(N850&lt;=TotalBudget,1,2)))</f>
        <v/>
      </c>
      <c r="S850" s="112">
        <f>IF(AND(OR(H850&lt;&gt;"",J850&lt;&gt;""),OR(L850="Pending",L850=""),C850&lt;&gt;""),C850+3,"")</f>
        <v/>
      </c>
      <c r="T850" s="79">
        <f>IF(S850="","",IF(AsOf&gt;S850,1,2))</f>
        <v/>
      </c>
      <c r="U850" s="79">
        <f>IF(T850="","","Decide on change order "&amp;B850&amp;": "&amp;H850&amp;" (+"&amp;CurSym&amp;" "&amp;FIXED(IF(J850="",0,J850),0)&amp;")")</f>
        <v/>
      </c>
    </row>
    <row r="851" ht="24" customHeight="1">
      <c r="B851" s="74" t="n"/>
      <c r="C851" s="109" t="n"/>
      <c r="D851" s="72" t="n"/>
      <c r="E851" s="72" t="n"/>
      <c r="F851" s="72" t="n"/>
      <c r="G851" s="72" t="n"/>
      <c r="H851" s="113" t="n"/>
      <c r="I851" s="72" t="n"/>
      <c r="J851" s="73" t="n"/>
      <c r="K851" s="89" t="n"/>
      <c r="L851" s="74" t="n"/>
      <c r="M851" s="109" t="n"/>
      <c r="N851" s="68">
        <f>IF(AND(H851="",J851=""),"",ForecastTotal+IF(L851="Approved",0,IF(J851="",0,J851)))</f>
        <v/>
      </c>
      <c r="O851" s="75">
        <f>IF(N851="","",ContAmt-MAX(0,N851-WorkBudget))</f>
        <v/>
      </c>
      <c r="P851" s="120">
        <f>IF(OR(N851="",ForecastEnd=""),"",ForecastEnd+IF(L851="Approved",0,IF(K851="",0,K851)))</f>
        <v/>
      </c>
      <c r="Q851" s="121">
        <f>IF(OR(N851="",WorkBudget=0),"",N851/WorkBudget-1)</f>
        <v/>
      </c>
      <c r="R851" s="79">
        <f>IF(N851="","",IF(N851&lt;=WorkBudget,0,IF(N851&lt;=TotalBudget,1,2)))</f>
        <v/>
      </c>
      <c r="S851" s="112">
        <f>IF(AND(OR(H851&lt;&gt;"",J851&lt;&gt;""),OR(L851="Pending",L851=""),C851&lt;&gt;""),C851+3,"")</f>
        <v/>
      </c>
      <c r="T851" s="79">
        <f>IF(S851="","",IF(AsOf&gt;S851,1,2))</f>
        <v/>
      </c>
      <c r="U851" s="79">
        <f>IF(T851="","","Decide on change order "&amp;B851&amp;": "&amp;H851&amp;" (+"&amp;CurSym&amp;" "&amp;FIXED(IF(J851="",0,J851),0)&amp;")")</f>
        <v/>
      </c>
    </row>
    <row r="852" ht="24" customHeight="1">
      <c r="B852" s="74" t="n"/>
      <c r="C852" s="109" t="n"/>
      <c r="D852" s="72" t="n"/>
      <c r="E852" s="72" t="n"/>
      <c r="F852" s="72" t="n"/>
      <c r="G852" s="72" t="n"/>
      <c r="H852" s="113" t="n"/>
      <c r="I852" s="72" t="n"/>
      <c r="J852" s="73" t="n"/>
      <c r="K852" s="89" t="n"/>
      <c r="L852" s="74" t="n"/>
      <c r="M852" s="109" t="n"/>
      <c r="N852" s="68">
        <f>IF(AND(H852="",J852=""),"",ForecastTotal+IF(L852="Approved",0,IF(J852="",0,J852)))</f>
        <v/>
      </c>
      <c r="O852" s="75">
        <f>IF(N852="","",ContAmt-MAX(0,N852-WorkBudget))</f>
        <v/>
      </c>
      <c r="P852" s="120">
        <f>IF(OR(N852="",ForecastEnd=""),"",ForecastEnd+IF(L852="Approved",0,IF(K852="",0,K852)))</f>
        <v/>
      </c>
      <c r="Q852" s="121">
        <f>IF(OR(N852="",WorkBudget=0),"",N852/WorkBudget-1)</f>
        <v/>
      </c>
      <c r="R852" s="79">
        <f>IF(N852="","",IF(N852&lt;=WorkBudget,0,IF(N852&lt;=TotalBudget,1,2)))</f>
        <v/>
      </c>
      <c r="S852" s="112">
        <f>IF(AND(OR(H852&lt;&gt;"",J852&lt;&gt;""),OR(L852="Pending",L852=""),C852&lt;&gt;""),C852+3,"")</f>
        <v/>
      </c>
      <c r="T852" s="79">
        <f>IF(S852="","",IF(AsOf&gt;S852,1,2))</f>
        <v/>
      </c>
      <c r="U852" s="79">
        <f>IF(T852="","","Decide on change order "&amp;B852&amp;": "&amp;H852&amp;" (+"&amp;CurSym&amp;" "&amp;FIXED(IF(J852="",0,J852),0)&amp;")")</f>
        <v/>
      </c>
    </row>
    <row r="853" ht="24" customHeight="1">
      <c r="B853" s="74" t="n"/>
      <c r="C853" s="109" t="n"/>
      <c r="D853" s="72" t="n"/>
      <c r="E853" s="72" t="n"/>
      <c r="F853" s="72" t="n"/>
      <c r="G853" s="72" t="n"/>
      <c r="H853" s="113" t="n"/>
      <c r="I853" s="72" t="n"/>
      <c r="J853" s="73" t="n"/>
      <c r="K853" s="89" t="n"/>
      <c r="L853" s="74" t="n"/>
      <c r="M853" s="109" t="n"/>
      <c r="N853" s="68">
        <f>IF(AND(H853="",J853=""),"",ForecastTotal+IF(L853="Approved",0,IF(J853="",0,J853)))</f>
        <v/>
      </c>
      <c r="O853" s="75">
        <f>IF(N853="","",ContAmt-MAX(0,N853-WorkBudget))</f>
        <v/>
      </c>
      <c r="P853" s="120">
        <f>IF(OR(N853="",ForecastEnd=""),"",ForecastEnd+IF(L853="Approved",0,IF(K853="",0,K853)))</f>
        <v/>
      </c>
      <c r="Q853" s="121">
        <f>IF(OR(N853="",WorkBudget=0),"",N853/WorkBudget-1)</f>
        <v/>
      </c>
      <c r="R853" s="79">
        <f>IF(N853="","",IF(N853&lt;=WorkBudget,0,IF(N853&lt;=TotalBudget,1,2)))</f>
        <v/>
      </c>
      <c r="S853" s="112">
        <f>IF(AND(OR(H853&lt;&gt;"",J853&lt;&gt;""),OR(L853="Pending",L853=""),C853&lt;&gt;""),C853+3,"")</f>
        <v/>
      </c>
      <c r="T853" s="79">
        <f>IF(S853="","",IF(AsOf&gt;S853,1,2))</f>
        <v/>
      </c>
      <c r="U853" s="79">
        <f>IF(T853="","","Decide on change order "&amp;B853&amp;": "&amp;H853&amp;" (+"&amp;CurSym&amp;" "&amp;FIXED(IF(J853="",0,J853),0)&amp;")")</f>
        <v/>
      </c>
    </row>
    <row r="854" ht="24" customHeight="1">
      <c r="B854" s="74" t="n"/>
      <c r="C854" s="109" t="n"/>
      <c r="D854" s="72" t="n"/>
      <c r="E854" s="72" t="n"/>
      <c r="F854" s="72" t="n"/>
      <c r="G854" s="72" t="n"/>
      <c r="H854" s="113" t="n"/>
      <c r="I854" s="72" t="n"/>
      <c r="J854" s="73" t="n"/>
      <c r="K854" s="89" t="n"/>
      <c r="L854" s="74" t="n"/>
      <c r="M854" s="109" t="n"/>
      <c r="N854" s="68">
        <f>IF(AND(H854="",J854=""),"",ForecastTotal+IF(L854="Approved",0,IF(J854="",0,J854)))</f>
        <v/>
      </c>
      <c r="O854" s="75">
        <f>IF(N854="","",ContAmt-MAX(0,N854-WorkBudget))</f>
        <v/>
      </c>
      <c r="P854" s="120">
        <f>IF(OR(N854="",ForecastEnd=""),"",ForecastEnd+IF(L854="Approved",0,IF(K854="",0,K854)))</f>
        <v/>
      </c>
      <c r="Q854" s="121">
        <f>IF(OR(N854="",WorkBudget=0),"",N854/WorkBudget-1)</f>
        <v/>
      </c>
      <c r="R854" s="79">
        <f>IF(N854="","",IF(N854&lt;=WorkBudget,0,IF(N854&lt;=TotalBudget,1,2)))</f>
        <v/>
      </c>
      <c r="S854" s="112">
        <f>IF(AND(OR(H854&lt;&gt;"",J854&lt;&gt;""),OR(L854="Pending",L854=""),C854&lt;&gt;""),C854+3,"")</f>
        <v/>
      </c>
      <c r="T854" s="79">
        <f>IF(S854="","",IF(AsOf&gt;S854,1,2))</f>
        <v/>
      </c>
      <c r="U854" s="79">
        <f>IF(T854="","","Decide on change order "&amp;B854&amp;": "&amp;H854&amp;" (+"&amp;CurSym&amp;" "&amp;FIXED(IF(J854="",0,J854),0)&amp;")")</f>
        <v/>
      </c>
    </row>
    <row r="855" ht="24" customHeight="1">
      <c r="B855" s="74" t="n"/>
      <c r="C855" s="109" t="n"/>
      <c r="D855" s="72" t="n"/>
      <c r="E855" s="72" t="n"/>
      <c r="F855" s="72" t="n"/>
      <c r="G855" s="72" t="n"/>
      <c r="H855" s="113" t="n"/>
      <c r="I855" s="72" t="n"/>
      <c r="J855" s="73" t="n"/>
      <c r="K855" s="89" t="n"/>
      <c r="L855" s="74" t="n"/>
      <c r="M855" s="109" t="n"/>
      <c r="N855" s="68">
        <f>IF(AND(H855="",J855=""),"",ForecastTotal+IF(L855="Approved",0,IF(J855="",0,J855)))</f>
        <v/>
      </c>
      <c r="O855" s="75">
        <f>IF(N855="","",ContAmt-MAX(0,N855-WorkBudget))</f>
        <v/>
      </c>
      <c r="P855" s="120">
        <f>IF(OR(N855="",ForecastEnd=""),"",ForecastEnd+IF(L855="Approved",0,IF(K855="",0,K855)))</f>
        <v/>
      </c>
      <c r="Q855" s="121">
        <f>IF(OR(N855="",WorkBudget=0),"",N855/WorkBudget-1)</f>
        <v/>
      </c>
      <c r="R855" s="79">
        <f>IF(N855="","",IF(N855&lt;=WorkBudget,0,IF(N855&lt;=TotalBudget,1,2)))</f>
        <v/>
      </c>
      <c r="S855" s="112">
        <f>IF(AND(OR(H855&lt;&gt;"",J855&lt;&gt;""),OR(L855="Pending",L855=""),C855&lt;&gt;""),C855+3,"")</f>
        <v/>
      </c>
      <c r="T855" s="79">
        <f>IF(S855="","",IF(AsOf&gt;S855,1,2))</f>
        <v/>
      </c>
      <c r="U855" s="79">
        <f>IF(T855="","","Decide on change order "&amp;B855&amp;": "&amp;H855&amp;" (+"&amp;CurSym&amp;" "&amp;FIXED(IF(J855="",0,J855),0)&amp;")")</f>
        <v/>
      </c>
    </row>
    <row r="856" ht="24" customHeight="1">
      <c r="B856" s="74" t="n"/>
      <c r="C856" s="109" t="n"/>
      <c r="D856" s="72" t="n"/>
      <c r="E856" s="72" t="n"/>
      <c r="F856" s="72" t="n"/>
      <c r="G856" s="72" t="n"/>
      <c r="H856" s="113" t="n"/>
      <c r="I856" s="72" t="n"/>
      <c r="J856" s="73" t="n"/>
      <c r="K856" s="89" t="n"/>
      <c r="L856" s="74" t="n"/>
      <c r="M856" s="109" t="n"/>
      <c r="N856" s="68">
        <f>IF(AND(H856="",J856=""),"",ForecastTotal+IF(L856="Approved",0,IF(J856="",0,J856)))</f>
        <v/>
      </c>
      <c r="O856" s="75">
        <f>IF(N856="","",ContAmt-MAX(0,N856-WorkBudget))</f>
        <v/>
      </c>
      <c r="P856" s="120">
        <f>IF(OR(N856="",ForecastEnd=""),"",ForecastEnd+IF(L856="Approved",0,IF(K856="",0,K856)))</f>
        <v/>
      </c>
      <c r="Q856" s="121">
        <f>IF(OR(N856="",WorkBudget=0),"",N856/WorkBudget-1)</f>
        <v/>
      </c>
      <c r="R856" s="79">
        <f>IF(N856="","",IF(N856&lt;=WorkBudget,0,IF(N856&lt;=TotalBudget,1,2)))</f>
        <v/>
      </c>
      <c r="S856" s="112">
        <f>IF(AND(OR(H856&lt;&gt;"",J856&lt;&gt;""),OR(L856="Pending",L856=""),C856&lt;&gt;""),C856+3,"")</f>
        <v/>
      </c>
      <c r="T856" s="79">
        <f>IF(S856="","",IF(AsOf&gt;S856,1,2))</f>
        <v/>
      </c>
      <c r="U856" s="79">
        <f>IF(T856="","","Decide on change order "&amp;B856&amp;": "&amp;H856&amp;" (+"&amp;CurSym&amp;" "&amp;FIXED(IF(J856="",0,J856),0)&amp;")")</f>
        <v/>
      </c>
    </row>
    <row r="857" ht="24" customHeight="1">
      <c r="B857" s="74" t="n"/>
      <c r="C857" s="109" t="n"/>
      <c r="D857" s="72" t="n"/>
      <c r="E857" s="72" t="n"/>
      <c r="F857" s="72" t="n"/>
      <c r="G857" s="72" t="n"/>
      <c r="H857" s="113" t="n"/>
      <c r="I857" s="72" t="n"/>
      <c r="J857" s="73" t="n"/>
      <c r="K857" s="89" t="n"/>
      <c r="L857" s="74" t="n"/>
      <c r="M857" s="109" t="n"/>
      <c r="N857" s="68">
        <f>IF(AND(H857="",J857=""),"",ForecastTotal+IF(L857="Approved",0,IF(J857="",0,J857)))</f>
        <v/>
      </c>
      <c r="O857" s="75">
        <f>IF(N857="","",ContAmt-MAX(0,N857-WorkBudget))</f>
        <v/>
      </c>
      <c r="P857" s="120">
        <f>IF(OR(N857="",ForecastEnd=""),"",ForecastEnd+IF(L857="Approved",0,IF(K857="",0,K857)))</f>
        <v/>
      </c>
      <c r="Q857" s="121">
        <f>IF(OR(N857="",WorkBudget=0),"",N857/WorkBudget-1)</f>
        <v/>
      </c>
      <c r="R857" s="79">
        <f>IF(N857="","",IF(N857&lt;=WorkBudget,0,IF(N857&lt;=TotalBudget,1,2)))</f>
        <v/>
      </c>
      <c r="S857" s="112">
        <f>IF(AND(OR(H857&lt;&gt;"",J857&lt;&gt;""),OR(L857="Pending",L857=""),C857&lt;&gt;""),C857+3,"")</f>
        <v/>
      </c>
      <c r="T857" s="79">
        <f>IF(S857="","",IF(AsOf&gt;S857,1,2))</f>
        <v/>
      </c>
      <c r="U857" s="79">
        <f>IF(T857="","","Decide on change order "&amp;B857&amp;": "&amp;H857&amp;" (+"&amp;CurSym&amp;" "&amp;FIXED(IF(J857="",0,J857),0)&amp;")")</f>
        <v/>
      </c>
    </row>
    <row r="858" ht="24" customHeight="1">
      <c r="B858" s="74" t="n"/>
      <c r="C858" s="109" t="n"/>
      <c r="D858" s="72" t="n"/>
      <c r="E858" s="72" t="n"/>
      <c r="F858" s="72" t="n"/>
      <c r="G858" s="72" t="n"/>
      <c r="H858" s="113" t="n"/>
      <c r="I858" s="72" t="n"/>
      <c r="J858" s="73" t="n"/>
      <c r="K858" s="89" t="n"/>
      <c r="L858" s="74" t="n"/>
      <c r="M858" s="109" t="n"/>
      <c r="N858" s="68">
        <f>IF(AND(H858="",J858=""),"",ForecastTotal+IF(L858="Approved",0,IF(J858="",0,J858)))</f>
        <v/>
      </c>
      <c r="O858" s="75">
        <f>IF(N858="","",ContAmt-MAX(0,N858-WorkBudget))</f>
        <v/>
      </c>
      <c r="P858" s="120">
        <f>IF(OR(N858="",ForecastEnd=""),"",ForecastEnd+IF(L858="Approved",0,IF(K858="",0,K858)))</f>
        <v/>
      </c>
      <c r="Q858" s="121">
        <f>IF(OR(N858="",WorkBudget=0),"",N858/WorkBudget-1)</f>
        <v/>
      </c>
      <c r="R858" s="79">
        <f>IF(N858="","",IF(N858&lt;=WorkBudget,0,IF(N858&lt;=TotalBudget,1,2)))</f>
        <v/>
      </c>
      <c r="S858" s="112">
        <f>IF(AND(OR(H858&lt;&gt;"",J858&lt;&gt;""),OR(L858="Pending",L858=""),C858&lt;&gt;""),C858+3,"")</f>
        <v/>
      </c>
      <c r="T858" s="79">
        <f>IF(S858="","",IF(AsOf&gt;S858,1,2))</f>
        <v/>
      </c>
      <c r="U858" s="79">
        <f>IF(T858="","","Decide on change order "&amp;B858&amp;": "&amp;H858&amp;" (+"&amp;CurSym&amp;" "&amp;FIXED(IF(J858="",0,J858),0)&amp;")")</f>
        <v/>
      </c>
    </row>
    <row r="859" ht="24" customHeight="1">
      <c r="B859" s="74" t="n"/>
      <c r="C859" s="109" t="n"/>
      <c r="D859" s="72" t="n"/>
      <c r="E859" s="72" t="n"/>
      <c r="F859" s="72" t="n"/>
      <c r="G859" s="72" t="n"/>
      <c r="H859" s="113" t="n"/>
      <c r="I859" s="72" t="n"/>
      <c r="J859" s="73" t="n"/>
      <c r="K859" s="89" t="n"/>
      <c r="L859" s="74" t="n"/>
      <c r="M859" s="109" t="n"/>
      <c r="N859" s="68">
        <f>IF(AND(H859="",J859=""),"",ForecastTotal+IF(L859="Approved",0,IF(J859="",0,J859)))</f>
        <v/>
      </c>
      <c r="O859" s="75">
        <f>IF(N859="","",ContAmt-MAX(0,N859-WorkBudget))</f>
        <v/>
      </c>
      <c r="P859" s="120">
        <f>IF(OR(N859="",ForecastEnd=""),"",ForecastEnd+IF(L859="Approved",0,IF(K859="",0,K859)))</f>
        <v/>
      </c>
      <c r="Q859" s="121">
        <f>IF(OR(N859="",WorkBudget=0),"",N859/WorkBudget-1)</f>
        <v/>
      </c>
      <c r="R859" s="79">
        <f>IF(N859="","",IF(N859&lt;=WorkBudget,0,IF(N859&lt;=TotalBudget,1,2)))</f>
        <v/>
      </c>
      <c r="S859" s="112">
        <f>IF(AND(OR(H859&lt;&gt;"",J859&lt;&gt;""),OR(L859="Pending",L859=""),C859&lt;&gt;""),C859+3,"")</f>
        <v/>
      </c>
      <c r="T859" s="79">
        <f>IF(S859="","",IF(AsOf&gt;S859,1,2))</f>
        <v/>
      </c>
      <c r="U859" s="79">
        <f>IF(T859="","","Decide on change order "&amp;B859&amp;": "&amp;H859&amp;" (+"&amp;CurSym&amp;" "&amp;FIXED(IF(J859="",0,J859),0)&amp;")")</f>
        <v/>
      </c>
    </row>
    <row r="860" ht="24" customHeight="1">
      <c r="B860" s="74" t="n"/>
      <c r="C860" s="109" t="n"/>
      <c r="D860" s="72" t="n"/>
      <c r="E860" s="72" t="n"/>
      <c r="F860" s="72" t="n"/>
      <c r="G860" s="72" t="n"/>
      <c r="H860" s="113" t="n"/>
      <c r="I860" s="72" t="n"/>
      <c r="J860" s="73" t="n"/>
      <c r="K860" s="89" t="n"/>
      <c r="L860" s="74" t="n"/>
      <c r="M860" s="109" t="n"/>
      <c r="N860" s="68">
        <f>IF(AND(H860="",J860=""),"",ForecastTotal+IF(L860="Approved",0,IF(J860="",0,J860)))</f>
        <v/>
      </c>
      <c r="O860" s="75">
        <f>IF(N860="","",ContAmt-MAX(0,N860-WorkBudget))</f>
        <v/>
      </c>
      <c r="P860" s="120">
        <f>IF(OR(N860="",ForecastEnd=""),"",ForecastEnd+IF(L860="Approved",0,IF(K860="",0,K860)))</f>
        <v/>
      </c>
      <c r="Q860" s="121">
        <f>IF(OR(N860="",WorkBudget=0),"",N860/WorkBudget-1)</f>
        <v/>
      </c>
      <c r="R860" s="79">
        <f>IF(N860="","",IF(N860&lt;=WorkBudget,0,IF(N860&lt;=TotalBudget,1,2)))</f>
        <v/>
      </c>
      <c r="S860" s="112">
        <f>IF(AND(OR(H860&lt;&gt;"",J860&lt;&gt;""),OR(L860="Pending",L860=""),C860&lt;&gt;""),C860+3,"")</f>
        <v/>
      </c>
      <c r="T860" s="79">
        <f>IF(S860="","",IF(AsOf&gt;S860,1,2))</f>
        <v/>
      </c>
      <c r="U860" s="79">
        <f>IF(T860="","","Decide on change order "&amp;B860&amp;": "&amp;H860&amp;" (+"&amp;CurSym&amp;" "&amp;FIXED(IF(J860="",0,J860),0)&amp;")")</f>
        <v/>
      </c>
    </row>
    <row r="861" ht="24" customHeight="1">
      <c r="B861" s="74" t="n"/>
      <c r="C861" s="109" t="n"/>
      <c r="D861" s="72" t="n"/>
      <c r="E861" s="72" t="n"/>
      <c r="F861" s="72" t="n"/>
      <c r="G861" s="72" t="n"/>
      <c r="H861" s="113" t="n"/>
      <c r="I861" s="72" t="n"/>
      <c r="J861" s="73" t="n"/>
      <c r="K861" s="89" t="n"/>
      <c r="L861" s="74" t="n"/>
      <c r="M861" s="109" t="n"/>
      <c r="N861" s="68">
        <f>IF(AND(H861="",J861=""),"",ForecastTotal+IF(L861="Approved",0,IF(J861="",0,J861)))</f>
        <v/>
      </c>
      <c r="O861" s="75">
        <f>IF(N861="","",ContAmt-MAX(0,N861-WorkBudget))</f>
        <v/>
      </c>
      <c r="P861" s="120">
        <f>IF(OR(N861="",ForecastEnd=""),"",ForecastEnd+IF(L861="Approved",0,IF(K861="",0,K861)))</f>
        <v/>
      </c>
      <c r="Q861" s="121">
        <f>IF(OR(N861="",WorkBudget=0),"",N861/WorkBudget-1)</f>
        <v/>
      </c>
      <c r="R861" s="79">
        <f>IF(N861="","",IF(N861&lt;=WorkBudget,0,IF(N861&lt;=TotalBudget,1,2)))</f>
        <v/>
      </c>
      <c r="S861" s="112">
        <f>IF(AND(OR(H861&lt;&gt;"",J861&lt;&gt;""),OR(L861="Pending",L861=""),C861&lt;&gt;""),C861+3,"")</f>
        <v/>
      </c>
      <c r="T861" s="79">
        <f>IF(S861="","",IF(AsOf&gt;S861,1,2))</f>
        <v/>
      </c>
      <c r="U861" s="79">
        <f>IF(T861="","","Decide on change order "&amp;B861&amp;": "&amp;H861&amp;" (+"&amp;CurSym&amp;" "&amp;FIXED(IF(J861="",0,J861),0)&amp;")")</f>
        <v/>
      </c>
    </row>
    <row r="862" ht="24" customHeight="1">
      <c r="B862" s="74" t="n"/>
      <c r="C862" s="109" t="n"/>
      <c r="D862" s="72" t="n"/>
      <c r="E862" s="72" t="n"/>
      <c r="F862" s="72" t="n"/>
      <c r="G862" s="72" t="n"/>
      <c r="H862" s="113" t="n"/>
      <c r="I862" s="72" t="n"/>
      <c r="J862" s="73" t="n"/>
      <c r="K862" s="89" t="n"/>
      <c r="L862" s="74" t="n"/>
      <c r="M862" s="109" t="n"/>
      <c r="N862" s="68">
        <f>IF(AND(H862="",J862=""),"",ForecastTotal+IF(L862="Approved",0,IF(J862="",0,J862)))</f>
        <v/>
      </c>
      <c r="O862" s="75">
        <f>IF(N862="","",ContAmt-MAX(0,N862-WorkBudget))</f>
        <v/>
      </c>
      <c r="P862" s="120">
        <f>IF(OR(N862="",ForecastEnd=""),"",ForecastEnd+IF(L862="Approved",0,IF(K862="",0,K862)))</f>
        <v/>
      </c>
      <c r="Q862" s="121">
        <f>IF(OR(N862="",WorkBudget=0),"",N862/WorkBudget-1)</f>
        <v/>
      </c>
      <c r="R862" s="79">
        <f>IF(N862="","",IF(N862&lt;=WorkBudget,0,IF(N862&lt;=TotalBudget,1,2)))</f>
        <v/>
      </c>
      <c r="S862" s="112">
        <f>IF(AND(OR(H862&lt;&gt;"",J862&lt;&gt;""),OR(L862="Pending",L862=""),C862&lt;&gt;""),C862+3,"")</f>
        <v/>
      </c>
      <c r="T862" s="79">
        <f>IF(S862="","",IF(AsOf&gt;S862,1,2))</f>
        <v/>
      </c>
      <c r="U862" s="79">
        <f>IF(T862="","","Decide on change order "&amp;B862&amp;": "&amp;H862&amp;" (+"&amp;CurSym&amp;" "&amp;FIXED(IF(J862="",0,J862),0)&amp;")")</f>
        <v/>
      </c>
    </row>
    <row r="863" ht="24" customHeight="1">
      <c r="B863" s="74" t="n"/>
      <c r="C863" s="109" t="n"/>
      <c r="D863" s="72" t="n"/>
      <c r="E863" s="72" t="n"/>
      <c r="F863" s="72" t="n"/>
      <c r="G863" s="72" t="n"/>
      <c r="H863" s="113" t="n"/>
      <c r="I863" s="72" t="n"/>
      <c r="J863" s="73" t="n"/>
      <c r="K863" s="89" t="n"/>
      <c r="L863" s="74" t="n"/>
      <c r="M863" s="109" t="n"/>
      <c r="N863" s="68">
        <f>IF(AND(H863="",J863=""),"",ForecastTotal+IF(L863="Approved",0,IF(J863="",0,J863)))</f>
        <v/>
      </c>
      <c r="O863" s="75">
        <f>IF(N863="","",ContAmt-MAX(0,N863-WorkBudget))</f>
        <v/>
      </c>
      <c r="P863" s="120">
        <f>IF(OR(N863="",ForecastEnd=""),"",ForecastEnd+IF(L863="Approved",0,IF(K863="",0,K863)))</f>
        <v/>
      </c>
      <c r="Q863" s="121">
        <f>IF(OR(N863="",WorkBudget=0),"",N863/WorkBudget-1)</f>
        <v/>
      </c>
      <c r="R863" s="79">
        <f>IF(N863="","",IF(N863&lt;=WorkBudget,0,IF(N863&lt;=TotalBudget,1,2)))</f>
        <v/>
      </c>
      <c r="S863" s="112">
        <f>IF(AND(OR(H863&lt;&gt;"",J863&lt;&gt;""),OR(L863="Pending",L863=""),C863&lt;&gt;""),C863+3,"")</f>
        <v/>
      </c>
      <c r="T863" s="79">
        <f>IF(S863="","",IF(AsOf&gt;S863,1,2))</f>
        <v/>
      </c>
      <c r="U863" s="79">
        <f>IF(T863="","","Decide on change order "&amp;B863&amp;": "&amp;H863&amp;" (+"&amp;CurSym&amp;" "&amp;FIXED(IF(J863="",0,J863),0)&amp;")")</f>
        <v/>
      </c>
    </row>
    <row r="864" ht="24" customHeight="1">
      <c r="B864" s="74" t="n"/>
      <c r="C864" s="109" t="n"/>
      <c r="D864" s="72" t="n"/>
      <c r="E864" s="72" t="n"/>
      <c r="F864" s="72" t="n"/>
      <c r="G864" s="72" t="n"/>
      <c r="H864" s="113" t="n"/>
      <c r="I864" s="72" t="n"/>
      <c r="J864" s="73" t="n"/>
      <c r="K864" s="89" t="n"/>
      <c r="L864" s="74" t="n"/>
      <c r="M864" s="109" t="n"/>
      <c r="N864" s="68">
        <f>IF(AND(H864="",J864=""),"",ForecastTotal+IF(L864="Approved",0,IF(J864="",0,J864)))</f>
        <v/>
      </c>
      <c r="O864" s="75">
        <f>IF(N864="","",ContAmt-MAX(0,N864-WorkBudget))</f>
        <v/>
      </c>
      <c r="P864" s="120">
        <f>IF(OR(N864="",ForecastEnd=""),"",ForecastEnd+IF(L864="Approved",0,IF(K864="",0,K864)))</f>
        <v/>
      </c>
      <c r="Q864" s="121">
        <f>IF(OR(N864="",WorkBudget=0),"",N864/WorkBudget-1)</f>
        <v/>
      </c>
      <c r="R864" s="79">
        <f>IF(N864="","",IF(N864&lt;=WorkBudget,0,IF(N864&lt;=TotalBudget,1,2)))</f>
        <v/>
      </c>
      <c r="S864" s="112">
        <f>IF(AND(OR(H864&lt;&gt;"",J864&lt;&gt;""),OR(L864="Pending",L864=""),C864&lt;&gt;""),C864+3,"")</f>
        <v/>
      </c>
      <c r="T864" s="79">
        <f>IF(S864="","",IF(AsOf&gt;S864,1,2))</f>
        <v/>
      </c>
      <c r="U864" s="79">
        <f>IF(T864="","","Decide on change order "&amp;B864&amp;": "&amp;H864&amp;" (+"&amp;CurSym&amp;" "&amp;FIXED(IF(J864="",0,J864),0)&amp;")")</f>
        <v/>
      </c>
    </row>
    <row r="865" ht="24" customHeight="1">
      <c r="B865" s="74" t="n"/>
      <c r="C865" s="109" t="n"/>
      <c r="D865" s="72" t="n"/>
      <c r="E865" s="72" t="n"/>
      <c r="F865" s="72" t="n"/>
      <c r="G865" s="72" t="n"/>
      <c r="H865" s="113" t="n"/>
      <c r="I865" s="72" t="n"/>
      <c r="J865" s="73" t="n"/>
      <c r="K865" s="89" t="n"/>
      <c r="L865" s="74" t="n"/>
      <c r="M865" s="109" t="n"/>
      <c r="N865" s="68">
        <f>IF(AND(H865="",J865=""),"",ForecastTotal+IF(L865="Approved",0,IF(J865="",0,J865)))</f>
        <v/>
      </c>
      <c r="O865" s="75">
        <f>IF(N865="","",ContAmt-MAX(0,N865-WorkBudget))</f>
        <v/>
      </c>
      <c r="P865" s="120">
        <f>IF(OR(N865="",ForecastEnd=""),"",ForecastEnd+IF(L865="Approved",0,IF(K865="",0,K865)))</f>
        <v/>
      </c>
      <c r="Q865" s="121">
        <f>IF(OR(N865="",WorkBudget=0),"",N865/WorkBudget-1)</f>
        <v/>
      </c>
      <c r="R865" s="79">
        <f>IF(N865="","",IF(N865&lt;=WorkBudget,0,IF(N865&lt;=TotalBudget,1,2)))</f>
        <v/>
      </c>
      <c r="S865" s="112">
        <f>IF(AND(OR(H865&lt;&gt;"",J865&lt;&gt;""),OR(L865="Pending",L865=""),C865&lt;&gt;""),C865+3,"")</f>
        <v/>
      </c>
      <c r="T865" s="79">
        <f>IF(S865="","",IF(AsOf&gt;S865,1,2))</f>
        <v/>
      </c>
      <c r="U865" s="79">
        <f>IF(T865="","","Decide on change order "&amp;B865&amp;": "&amp;H865&amp;" (+"&amp;CurSym&amp;" "&amp;FIXED(IF(J865="",0,J865),0)&amp;")")</f>
        <v/>
      </c>
    </row>
    <row r="866" ht="24" customHeight="1">
      <c r="B866" s="74" t="n"/>
      <c r="C866" s="109" t="n"/>
      <c r="D866" s="72" t="n"/>
      <c r="E866" s="72" t="n"/>
      <c r="F866" s="72" t="n"/>
      <c r="G866" s="72" t="n"/>
      <c r="H866" s="113" t="n"/>
      <c r="I866" s="72" t="n"/>
      <c r="J866" s="73" t="n"/>
      <c r="K866" s="89" t="n"/>
      <c r="L866" s="74" t="n"/>
      <c r="M866" s="109" t="n"/>
      <c r="N866" s="68">
        <f>IF(AND(H866="",J866=""),"",ForecastTotal+IF(L866="Approved",0,IF(J866="",0,J866)))</f>
        <v/>
      </c>
      <c r="O866" s="75">
        <f>IF(N866="","",ContAmt-MAX(0,N866-WorkBudget))</f>
        <v/>
      </c>
      <c r="P866" s="120">
        <f>IF(OR(N866="",ForecastEnd=""),"",ForecastEnd+IF(L866="Approved",0,IF(K866="",0,K866)))</f>
        <v/>
      </c>
      <c r="Q866" s="121">
        <f>IF(OR(N866="",WorkBudget=0),"",N866/WorkBudget-1)</f>
        <v/>
      </c>
      <c r="R866" s="79">
        <f>IF(N866="","",IF(N866&lt;=WorkBudget,0,IF(N866&lt;=TotalBudget,1,2)))</f>
        <v/>
      </c>
      <c r="S866" s="112">
        <f>IF(AND(OR(H866&lt;&gt;"",J866&lt;&gt;""),OR(L866="Pending",L866=""),C866&lt;&gt;""),C866+3,"")</f>
        <v/>
      </c>
      <c r="T866" s="79">
        <f>IF(S866="","",IF(AsOf&gt;S866,1,2))</f>
        <v/>
      </c>
      <c r="U866" s="79">
        <f>IF(T866="","","Decide on change order "&amp;B866&amp;": "&amp;H866&amp;" (+"&amp;CurSym&amp;" "&amp;FIXED(IF(J866="",0,J866),0)&amp;")")</f>
        <v/>
      </c>
    </row>
    <row r="867" ht="24" customHeight="1">
      <c r="B867" s="74" t="n"/>
      <c r="C867" s="109" t="n"/>
      <c r="D867" s="72" t="n"/>
      <c r="E867" s="72" t="n"/>
      <c r="F867" s="72" t="n"/>
      <c r="G867" s="72" t="n"/>
      <c r="H867" s="113" t="n"/>
      <c r="I867" s="72" t="n"/>
      <c r="J867" s="73" t="n"/>
      <c r="K867" s="89" t="n"/>
      <c r="L867" s="74" t="n"/>
      <c r="M867" s="109" t="n"/>
      <c r="N867" s="68">
        <f>IF(AND(H867="",J867=""),"",ForecastTotal+IF(L867="Approved",0,IF(J867="",0,J867)))</f>
        <v/>
      </c>
      <c r="O867" s="75">
        <f>IF(N867="","",ContAmt-MAX(0,N867-WorkBudget))</f>
        <v/>
      </c>
      <c r="P867" s="120">
        <f>IF(OR(N867="",ForecastEnd=""),"",ForecastEnd+IF(L867="Approved",0,IF(K867="",0,K867)))</f>
        <v/>
      </c>
      <c r="Q867" s="121">
        <f>IF(OR(N867="",WorkBudget=0),"",N867/WorkBudget-1)</f>
        <v/>
      </c>
      <c r="R867" s="79">
        <f>IF(N867="","",IF(N867&lt;=WorkBudget,0,IF(N867&lt;=TotalBudget,1,2)))</f>
        <v/>
      </c>
      <c r="S867" s="112">
        <f>IF(AND(OR(H867&lt;&gt;"",J867&lt;&gt;""),OR(L867="Pending",L867=""),C867&lt;&gt;""),C867+3,"")</f>
        <v/>
      </c>
      <c r="T867" s="79">
        <f>IF(S867="","",IF(AsOf&gt;S867,1,2))</f>
        <v/>
      </c>
      <c r="U867" s="79">
        <f>IF(T867="","","Decide on change order "&amp;B867&amp;": "&amp;H867&amp;" (+"&amp;CurSym&amp;" "&amp;FIXED(IF(J867="",0,J867),0)&amp;")")</f>
        <v/>
      </c>
    </row>
    <row r="868" ht="24" customHeight="1">
      <c r="B868" s="74" t="n"/>
      <c r="C868" s="109" t="n"/>
      <c r="D868" s="72" t="n"/>
      <c r="E868" s="72" t="n"/>
      <c r="F868" s="72" t="n"/>
      <c r="G868" s="72" t="n"/>
      <c r="H868" s="113" t="n"/>
      <c r="I868" s="72" t="n"/>
      <c r="J868" s="73" t="n"/>
      <c r="K868" s="89" t="n"/>
      <c r="L868" s="74" t="n"/>
      <c r="M868" s="109" t="n"/>
      <c r="N868" s="68">
        <f>IF(AND(H868="",J868=""),"",ForecastTotal+IF(L868="Approved",0,IF(J868="",0,J868)))</f>
        <v/>
      </c>
      <c r="O868" s="75">
        <f>IF(N868="","",ContAmt-MAX(0,N868-WorkBudget))</f>
        <v/>
      </c>
      <c r="P868" s="120">
        <f>IF(OR(N868="",ForecastEnd=""),"",ForecastEnd+IF(L868="Approved",0,IF(K868="",0,K868)))</f>
        <v/>
      </c>
      <c r="Q868" s="121">
        <f>IF(OR(N868="",WorkBudget=0),"",N868/WorkBudget-1)</f>
        <v/>
      </c>
      <c r="R868" s="79">
        <f>IF(N868="","",IF(N868&lt;=WorkBudget,0,IF(N868&lt;=TotalBudget,1,2)))</f>
        <v/>
      </c>
      <c r="S868" s="112">
        <f>IF(AND(OR(H868&lt;&gt;"",J868&lt;&gt;""),OR(L868="Pending",L868=""),C868&lt;&gt;""),C868+3,"")</f>
        <v/>
      </c>
      <c r="T868" s="79">
        <f>IF(S868="","",IF(AsOf&gt;S868,1,2))</f>
        <v/>
      </c>
      <c r="U868" s="79">
        <f>IF(T868="","","Decide on change order "&amp;B868&amp;": "&amp;H868&amp;" (+"&amp;CurSym&amp;" "&amp;FIXED(IF(J868="",0,J868),0)&amp;")")</f>
        <v/>
      </c>
    </row>
    <row r="869" ht="24" customHeight="1">
      <c r="B869" s="74" t="n"/>
      <c r="C869" s="109" t="n"/>
      <c r="D869" s="72" t="n"/>
      <c r="E869" s="72" t="n"/>
      <c r="F869" s="72" t="n"/>
      <c r="G869" s="72" t="n"/>
      <c r="H869" s="113" t="n"/>
      <c r="I869" s="72" t="n"/>
      <c r="J869" s="73" t="n"/>
      <c r="K869" s="89" t="n"/>
      <c r="L869" s="74" t="n"/>
      <c r="M869" s="109" t="n"/>
      <c r="N869" s="68">
        <f>IF(AND(H869="",J869=""),"",ForecastTotal+IF(L869="Approved",0,IF(J869="",0,J869)))</f>
        <v/>
      </c>
      <c r="O869" s="75">
        <f>IF(N869="","",ContAmt-MAX(0,N869-WorkBudget))</f>
        <v/>
      </c>
      <c r="P869" s="120">
        <f>IF(OR(N869="",ForecastEnd=""),"",ForecastEnd+IF(L869="Approved",0,IF(K869="",0,K869)))</f>
        <v/>
      </c>
      <c r="Q869" s="121">
        <f>IF(OR(N869="",WorkBudget=0),"",N869/WorkBudget-1)</f>
        <v/>
      </c>
      <c r="R869" s="79">
        <f>IF(N869="","",IF(N869&lt;=WorkBudget,0,IF(N869&lt;=TotalBudget,1,2)))</f>
        <v/>
      </c>
      <c r="S869" s="112">
        <f>IF(AND(OR(H869&lt;&gt;"",J869&lt;&gt;""),OR(L869="Pending",L869=""),C869&lt;&gt;""),C869+3,"")</f>
        <v/>
      </c>
      <c r="T869" s="79">
        <f>IF(S869="","",IF(AsOf&gt;S869,1,2))</f>
        <v/>
      </c>
      <c r="U869" s="79">
        <f>IF(T869="","","Decide on change order "&amp;B869&amp;": "&amp;H869&amp;" (+"&amp;CurSym&amp;" "&amp;FIXED(IF(J869="",0,J869),0)&amp;")")</f>
        <v/>
      </c>
    </row>
    <row r="870" ht="24" customHeight="1">
      <c r="B870" s="74" t="n"/>
      <c r="C870" s="109" t="n"/>
      <c r="D870" s="72" t="n"/>
      <c r="E870" s="72" t="n"/>
      <c r="F870" s="72" t="n"/>
      <c r="G870" s="72" t="n"/>
      <c r="H870" s="113" t="n"/>
      <c r="I870" s="72" t="n"/>
      <c r="J870" s="73" t="n"/>
      <c r="K870" s="89" t="n"/>
      <c r="L870" s="74" t="n"/>
      <c r="M870" s="109" t="n"/>
      <c r="N870" s="68">
        <f>IF(AND(H870="",J870=""),"",ForecastTotal+IF(L870="Approved",0,IF(J870="",0,J870)))</f>
        <v/>
      </c>
      <c r="O870" s="75">
        <f>IF(N870="","",ContAmt-MAX(0,N870-WorkBudget))</f>
        <v/>
      </c>
      <c r="P870" s="120">
        <f>IF(OR(N870="",ForecastEnd=""),"",ForecastEnd+IF(L870="Approved",0,IF(K870="",0,K870)))</f>
        <v/>
      </c>
      <c r="Q870" s="121">
        <f>IF(OR(N870="",WorkBudget=0),"",N870/WorkBudget-1)</f>
        <v/>
      </c>
      <c r="R870" s="79">
        <f>IF(N870="","",IF(N870&lt;=WorkBudget,0,IF(N870&lt;=TotalBudget,1,2)))</f>
        <v/>
      </c>
      <c r="S870" s="112">
        <f>IF(AND(OR(H870&lt;&gt;"",J870&lt;&gt;""),OR(L870="Pending",L870=""),C870&lt;&gt;""),C870+3,"")</f>
        <v/>
      </c>
      <c r="T870" s="79">
        <f>IF(S870="","",IF(AsOf&gt;S870,1,2))</f>
        <v/>
      </c>
      <c r="U870" s="79">
        <f>IF(T870="","","Decide on change order "&amp;B870&amp;": "&amp;H870&amp;" (+"&amp;CurSym&amp;" "&amp;FIXED(IF(J870="",0,J870),0)&amp;")")</f>
        <v/>
      </c>
    </row>
    <row r="871" ht="24" customHeight="1">
      <c r="B871" s="74" t="n"/>
      <c r="C871" s="109" t="n"/>
      <c r="D871" s="72" t="n"/>
      <c r="E871" s="72" t="n"/>
      <c r="F871" s="72" t="n"/>
      <c r="G871" s="72" t="n"/>
      <c r="H871" s="113" t="n"/>
      <c r="I871" s="72" t="n"/>
      <c r="J871" s="73" t="n"/>
      <c r="K871" s="89" t="n"/>
      <c r="L871" s="74" t="n"/>
      <c r="M871" s="109" t="n"/>
      <c r="N871" s="68">
        <f>IF(AND(H871="",J871=""),"",ForecastTotal+IF(L871="Approved",0,IF(J871="",0,J871)))</f>
        <v/>
      </c>
      <c r="O871" s="75">
        <f>IF(N871="","",ContAmt-MAX(0,N871-WorkBudget))</f>
        <v/>
      </c>
      <c r="P871" s="120">
        <f>IF(OR(N871="",ForecastEnd=""),"",ForecastEnd+IF(L871="Approved",0,IF(K871="",0,K871)))</f>
        <v/>
      </c>
      <c r="Q871" s="121">
        <f>IF(OR(N871="",WorkBudget=0),"",N871/WorkBudget-1)</f>
        <v/>
      </c>
      <c r="R871" s="79">
        <f>IF(N871="","",IF(N871&lt;=WorkBudget,0,IF(N871&lt;=TotalBudget,1,2)))</f>
        <v/>
      </c>
      <c r="S871" s="112">
        <f>IF(AND(OR(H871&lt;&gt;"",J871&lt;&gt;""),OR(L871="Pending",L871=""),C871&lt;&gt;""),C871+3,"")</f>
        <v/>
      </c>
      <c r="T871" s="79">
        <f>IF(S871="","",IF(AsOf&gt;S871,1,2))</f>
        <v/>
      </c>
      <c r="U871" s="79">
        <f>IF(T871="","","Decide on change order "&amp;B871&amp;": "&amp;H871&amp;" (+"&amp;CurSym&amp;" "&amp;FIXED(IF(J871="",0,J871),0)&amp;")")</f>
        <v/>
      </c>
    </row>
    <row r="872" ht="24" customHeight="1">
      <c r="B872" s="74" t="n"/>
      <c r="C872" s="109" t="n"/>
      <c r="D872" s="72" t="n"/>
      <c r="E872" s="72" t="n"/>
      <c r="F872" s="72" t="n"/>
      <c r="G872" s="72" t="n"/>
      <c r="H872" s="113" t="n"/>
      <c r="I872" s="72" t="n"/>
      <c r="J872" s="73" t="n"/>
      <c r="K872" s="89" t="n"/>
      <c r="L872" s="74" t="n"/>
      <c r="M872" s="109" t="n"/>
      <c r="N872" s="68">
        <f>IF(AND(H872="",J872=""),"",ForecastTotal+IF(L872="Approved",0,IF(J872="",0,J872)))</f>
        <v/>
      </c>
      <c r="O872" s="75">
        <f>IF(N872="","",ContAmt-MAX(0,N872-WorkBudget))</f>
        <v/>
      </c>
      <c r="P872" s="120">
        <f>IF(OR(N872="",ForecastEnd=""),"",ForecastEnd+IF(L872="Approved",0,IF(K872="",0,K872)))</f>
        <v/>
      </c>
      <c r="Q872" s="121">
        <f>IF(OR(N872="",WorkBudget=0),"",N872/WorkBudget-1)</f>
        <v/>
      </c>
      <c r="R872" s="79">
        <f>IF(N872="","",IF(N872&lt;=WorkBudget,0,IF(N872&lt;=TotalBudget,1,2)))</f>
        <v/>
      </c>
      <c r="S872" s="112">
        <f>IF(AND(OR(H872&lt;&gt;"",J872&lt;&gt;""),OR(L872="Pending",L872=""),C872&lt;&gt;""),C872+3,"")</f>
        <v/>
      </c>
      <c r="T872" s="79">
        <f>IF(S872="","",IF(AsOf&gt;S872,1,2))</f>
        <v/>
      </c>
      <c r="U872" s="79">
        <f>IF(T872="","","Decide on change order "&amp;B872&amp;": "&amp;H872&amp;" (+"&amp;CurSym&amp;" "&amp;FIXED(IF(J872="",0,J872),0)&amp;")")</f>
        <v/>
      </c>
    </row>
    <row r="873" ht="24" customHeight="1">
      <c r="B873" s="74" t="n"/>
      <c r="C873" s="109" t="n"/>
      <c r="D873" s="72" t="n"/>
      <c r="E873" s="72" t="n"/>
      <c r="F873" s="72" t="n"/>
      <c r="G873" s="72" t="n"/>
      <c r="H873" s="113" t="n"/>
      <c r="I873" s="72" t="n"/>
      <c r="J873" s="73" t="n"/>
      <c r="K873" s="89" t="n"/>
      <c r="L873" s="74" t="n"/>
      <c r="M873" s="109" t="n"/>
      <c r="N873" s="68">
        <f>IF(AND(H873="",J873=""),"",ForecastTotal+IF(L873="Approved",0,IF(J873="",0,J873)))</f>
        <v/>
      </c>
      <c r="O873" s="75">
        <f>IF(N873="","",ContAmt-MAX(0,N873-WorkBudget))</f>
        <v/>
      </c>
      <c r="P873" s="120">
        <f>IF(OR(N873="",ForecastEnd=""),"",ForecastEnd+IF(L873="Approved",0,IF(K873="",0,K873)))</f>
        <v/>
      </c>
      <c r="Q873" s="121">
        <f>IF(OR(N873="",WorkBudget=0),"",N873/WorkBudget-1)</f>
        <v/>
      </c>
      <c r="R873" s="79">
        <f>IF(N873="","",IF(N873&lt;=WorkBudget,0,IF(N873&lt;=TotalBudget,1,2)))</f>
        <v/>
      </c>
      <c r="S873" s="112">
        <f>IF(AND(OR(H873&lt;&gt;"",J873&lt;&gt;""),OR(L873="Pending",L873=""),C873&lt;&gt;""),C873+3,"")</f>
        <v/>
      </c>
      <c r="T873" s="79">
        <f>IF(S873="","",IF(AsOf&gt;S873,1,2))</f>
        <v/>
      </c>
      <c r="U873" s="79">
        <f>IF(T873="","","Decide on change order "&amp;B873&amp;": "&amp;H873&amp;" (+"&amp;CurSym&amp;" "&amp;FIXED(IF(J873="",0,J873),0)&amp;")")</f>
        <v/>
      </c>
    </row>
    <row r="874" ht="24" customHeight="1">
      <c r="B874" s="74" t="n"/>
      <c r="C874" s="109" t="n"/>
      <c r="D874" s="72" t="n"/>
      <c r="E874" s="72" t="n"/>
      <c r="F874" s="72" t="n"/>
      <c r="G874" s="72" t="n"/>
      <c r="H874" s="113" t="n"/>
      <c r="I874" s="72" t="n"/>
      <c r="J874" s="73" t="n"/>
      <c r="K874" s="89" t="n"/>
      <c r="L874" s="74" t="n"/>
      <c r="M874" s="109" t="n"/>
      <c r="N874" s="68">
        <f>IF(AND(H874="",J874=""),"",ForecastTotal+IF(L874="Approved",0,IF(J874="",0,J874)))</f>
        <v/>
      </c>
      <c r="O874" s="75">
        <f>IF(N874="","",ContAmt-MAX(0,N874-WorkBudget))</f>
        <v/>
      </c>
      <c r="P874" s="120">
        <f>IF(OR(N874="",ForecastEnd=""),"",ForecastEnd+IF(L874="Approved",0,IF(K874="",0,K874)))</f>
        <v/>
      </c>
      <c r="Q874" s="121">
        <f>IF(OR(N874="",WorkBudget=0),"",N874/WorkBudget-1)</f>
        <v/>
      </c>
      <c r="R874" s="79">
        <f>IF(N874="","",IF(N874&lt;=WorkBudget,0,IF(N874&lt;=TotalBudget,1,2)))</f>
        <v/>
      </c>
      <c r="S874" s="112">
        <f>IF(AND(OR(H874&lt;&gt;"",J874&lt;&gt;""),OR(L874="Pending",L874=""),C874&lt;&gt;""),C874+3,"")</f>
        <v/>
      </c>
      <c r="T874" s="79">
        <f>IF(S874="","",IF(AsOf&gt;S874,1,2))</f>
        <v/>
      </c>
      <c r="U874" s="79">
        <f>IF(T874="","","Decide on change order "&amp;B874&amp;": "&amp;H874&amp;" (+"&amp;CurSym&amp;" "&amp;FIXED(IF(J874="",0,J874),0)&amp;")")</f>
        <v/>
      </c>
    </row>
    <row r="875" ht="24" customHeight="1">
      <c r="B875" s="74" t="n"/>
      <c r="C875" s="109" t="n"/>
      <c r="D875" s="72" t="n"/>
      <c r="E875" s="72" t="n"/>
      <c r="F875" s="72" t="n"/>
      <c r="G875" s="72" t="n"/>
      <c r="H875" s="113" t="n"/>
      <c r="I875" s="72" t="n"/>
      <c r="J875" s="73" t="n"/>
      <c r="K875" s="89" t="n"/>
      <c r="L875" s="74" t="n"/>
      <c r="M875" s="109" t="n"/>
      <c r="N875" s="68">
        <f>IF(AND(H875="",J875=""),"",ForecastTotal+IF(L875="Approved",0,IF(J875="",0,J875)))</f>
        <v/>
      </c>
      <c r="O875" s="75">
        <f>IF(N875="","",ContAmt-MAX(0,N875-WorkBudget))</f>
        <v/>
      </c>
      <c r="P875" s="120">
        <f>IF(OR(N875="",ForecastEnd=""),"",ForecastEnd+IF(L875="Approved",0,IF(K875="",0,K875)))</f>
        <v/>
      </c>
      <c r="Q875" s="121">
        <f>IF(OR(N875="",WorkBudget=0),"",N875/WorkBudget-1)</f>
        <v/>
      </c>
      <c r="R875" s="79">
        <f>IF(N875="","",IF(N875&lt;=WorkBudget,0,IF(N875&lt;=TotalBudget,1,2)))</f>
        <v/>
      </c>
      <c r="S875" s="112">
        <f>IF(AND(OR(H875&lt;&gt;"",J875&lt;&gt;""),OR(L875="Pending",L875=""),C875&lt;&gt;""),C875+3,"")</f>
        <v/>
      </c>
      <c r="T875" s="79">
        <f>IF(S875="","",IF(AsOf&gt;S875,1,2))</f>
        <v/>
      </c>
      <c r="U875" s="79">
        <f>IF(T875="","","Decide on change order "&amp;B875&amp;": "&amp;H875&amp;" (+"&amp;CurSym&amp;" "&amp;FIXED(IF(J875="",0,J875),0)&amp;")")</f>
        <v/>
      </c>
    </row>
    <row r="876" ht="24" customHeight="1">
      <c r="B876" s="74" t="n"/>
      <c r="C876" s="109" t="n"/>
      <c r="D876" s="72" t="n"/>
      <c r="E876" s="72" t="n"/>
      <c r="F876" s="72" t="n"/>
      <c r="G876" s="72" t="n"/>
      <c r="H876" s="113" t="n"/>
      <c r="I876" s="72" t="n"/>
      <c r="J876" s="73" t="n"/>
      <c r="K876" s="89" t="n"/>
      <c r="L876" s="74" t="n"/>
      <c r="M876" s="109" t="n"/>
      <c r="N876" s="68">
        <f>IF(AND(H876="",J876=""),"",ForecastTotal+IF(L876="Approved",0,IF(J876="",0,J876)))</f>
        <v/>
      </c>
      <c r="O876" s="75">
        <f>IF(N876="","",ContAmt-MAX(0,N876-WorkBudget))</f>
        <v/>
      </c>
      <c r="P876" s="120">
        <f>IF(OR(N876="",ForecastEnd=""),"",ForecastEnd+IF(L876="Approved",0,IF(K876="",0,K876)))</f>
        <v/>
      </c>
      <c r="Q876" s="121">
        <f>IF(OR(N876="",WorkBudget=0),"",N876/WorkBudget-1)</f>
        <v/>
      </c>
      <c r="R876" s="79">
        <f>IF(N876="","",IF(N876&lt;=WorkBudget,0,IF(N876&lt;=TotalBudget,1,2)))</f>
        <v/>
      </c>
      <c r="S876" s="112">
        <f>IF(AND(OR(H876&lt;&gt;"",J876&lt;&gt;""),OR(L876="Pending",L876=""),C876&lt;&gt;""),C876+3,"")</f>
        <v/>
      </c>
      <c r="T876" s="79">
        <f>IF(S876="","",IF(AsOf&gt;S876,1,2))</f>
        <v/>
      </c>
      <c r="U876" s="79">
        <f>IF(T876="","","Decide on change order "&amp;B876&amp;": "&amp;H876&amp;" (+"&amp;CurSym&amp;" "&amp;FIXED(IF(J876="",0,J876),0)&amp;")")</f>
        <v/>
      </c>
    </row>
    <row r="877" ht="24" customHeight="1">
      <c r="B877" s="74" t="n"/>
      <c r="C877" s="109" t="n"/>
      <c r="D877" s="72" t="n"/>
      <c r="E877" s="72" t="n"/>
      <c r="F877" s="72" t="n"/>
      <c r="G877" s="72" t="n"/>
      <c r="H877" s="113" t="n"/>
      <c r="I877" s="72" t="n"/>
      <c r="J877" s="73" t="n"/>
      <c r="K877" s="89" t="n"/>
      <c r="L877" s="74" t="n"/>
      <c r="M877" s="109" t="n"/>
      <c r="N877" s="68">
        <f>IF(AND(H877="",J877=""),"",ForecastTotal+IF(L877="Approved",0,IF(J877="",0,J877)))</f>
        <v/>
      </c>
      <c r="O877" s="75">
        <f>IF(N877="","",ContAmt-MAX(0,N877-WorkBudget))</f>
        <v/>
      </c>
      <c r="P877" s="120">
        <f>IF(OR(N877="",ForecastEnd=""),"",ForecastEnd+IF(L877="Approved",0,IF(K877="",0,K877)))</f>
        <v/>
      </c>
      <c r="Q877" s="121">
        <f>IF(OR(N877="",WorkBudget=0),"",N877/WorkBudget-1)</f>
        <v/>
      </c>
      <c r="R877" s="79">
        <f>IF(N877="","",IF(N877&lt;=WorkBudget,0,IF(N877&lt;=TotalBudget,1,2)))</f>
        <v/>
      </c>
      <c r="S877" s="112">
        <f>IF(AND(OR(H877&lt;&gt;"",J877&lt;&gt;""),OR(L877="Pending",L877=""),C877&lt;&gt;""),C877+3,"")</f>
        <v/>
      </c>
      <c r="T877" s="79">
        <f>IF(S877="","",IF(AsOf&gt;S877,1,2))</f>
        <v/>
      </c>
      <c r="U877" s="79">
        <f>IF(T877="","","Decide on change order "&amp;B877&amp;": "&amp;H877&amp;" (+"&amp;CurSym&amp;" "&amp;FIXED(IF(J877="",0,J877),0)&amp;")")</f>
        <v/>
      </c>
    </row>
    <row r="878" ht="24" customHeight="1">
      <c r="B878" s="74" t="n"/>
      <c r="C878" s="109" t="n"/>
      <c r="D878" s="72" t="n"/>
      <c r="E878" s="72" t="n"/>
      <c r="F878" s="72" t="n"/>
      <c r="G878" s="72" t="n"/>
      <c r="H878" s="113" t="n"/>
      <c r="I878" s="72" t="n"/>
      <c r="J878" s="73" t="n"/>
      <c r="K878" s="89" t="n"/>
      <c r="L878" s="74" t="n"/>
      <c r="M878" s="109" t="n"/>
      <c r="N878" s="68">
        <f>IF(AND(H878="",J878=""),"",ForecastTotal+IF(L878="Approved",0,IF(J878="",0,J878)))</f>
        <v/>
      </c>
      <c r="O878" s="75">
        <f>IF(N878="","",ContAmt-MAX(0,N878-WorkBudget))</f>
        <v/>
      </c>
      <c r="P878" s="120">
        <f>IF(OR(N878="",ForecastEnd=""),"",ForecastEnd+IF(L878="Approved",0,IF(K878="",0,K878)))</f>
        <v/>
      </c>
      <c r="Q878" s="121">
        <f>IF(OR(N878="",WorkBudget=0),"",N878/WorkBudget-1)</f>
        <v/>
      </c>
      <c r="R878" s="79">
        <f>IF(N878="","",IF(N878&lt;=WorkBudget,0,IF(N878&lt;=TotalBudget,1,2)))</f>
        <v/>
      </c>
      <c r="S878" s="112">
        <f>IF(AND(OR(H878&lt;&gt;"",J878&lt;&gt;""),OR(L878="Pending",L878=""),C878&lt;&gt;""),C878+3,"")</f>
        <v/>
      </c>
      <c r="T878" s="79">
        <f>IF(S878="","",IF(AsOf&gt;S878,1,2))</f>
        <v/>
      </c>
      <c r="U878" s="79">
        <f>IF(T878="","","Decide on change order "&amp;B878&amp;": "&amp;H878&amp;" (+"&amp;CurSym&amp;" "&amp;FIXED(IF(J878="",0,J878),0)&amp;")")</f>
        <v/>
      </c>
    </row>
    <row r="879" ht="24" customHeight="1">
      <c r="B879" s="74" t="n"/>
      <c r="C879" s="109" t="n"/>
      <c r="D879" s="72" t="n"/>
      <c r="E879" s="72" t="n"/>
      <c r="F879" s="72" t="n"/>
      <c r="G879" s="72" t="n"/>
      <c r="H879" s="113" t="n"/>
      <c r="I879" s="72" t="n"/>
      <c r="J879" s="73" t="n"/>
      <c r="K879" s="89" t="n"/>
      <c r="L879" s="74" t="n"/>
      <c r="M879" s="109" t="n"/>
      <c r="N879" s="68">
        <f>IF(AND(H879="",J879=""),"",ForecastTotal+IF(L879="Approved",0,IF(J879="",0,J879)))</f>
        <v/>
      </c>
      <c r="O879" s="75">
        <f>IF(N879="","",ContAmt-MAX(0,N879-WorkBudget))</f>
        <v/>
      </c>
      <c r="P879" s="120">
        <f>IF(OR(N879="",ForecastEnd=""),"",ForecastEnd+IF(L879="Approved",0,IF(K879="",0,K879)))</f>
        <v/>
      </c>
      <c r="Q879" s="121">
        <f>IF(OR(N879="",WorkBudget=0),"",N879/WorkBudget-1)</f>
        <v/>
      </c>
      <c r="R879" s="79">
        <f>IF(N879="","",IF(N879&lt;=WorkBudget,0,IF(N879&lt;=TotalBudget,1,2)))</f>
        <v/>
      </c>
      <c r="S879" s="112">
        <f>IF(AND(OR(H879&lt;&gt;"",J879&lt;&gt;""),OR(L879="Pending",L879=""),C879&lt;&gt;""),C879+3,"")</f>
        <v/>
      </c>
      <c r="T879" s="79">
        <f>IF(S879="","",IF(AsOf&gt;S879,1,2))</f>
        <v/>
      </c>
      <c r="U879" s="79">
        <f>IF(T879="","","Decide on change order "&amp;B879&amp;": "&amp;H879&amp;" (+"&amp;CurSym&amp;" "&amp;FIXED(IF(J879="",0,J879),0)&amp;")")</f>
        <v/>
      </c>
    </row>
    <row r="880" ht="24" customHeight="1">
      <c r="B880" s="74" t="n"/>
      <c r="C880" s="109" t="n"/>
      <c r="D880" s="72" t="n"/>
      <c r="E880" s="72" t="n"/>
      <c r="F880" s="72" t="n"/>
      <c r="G880" s="72" t="n"/>
      <c r="H880" s="113" t="n"/>
      <c r="I880" s="72" t="n"/>
      <c r="J880" s="73" t="n"/>
      <c r="K880" s="89" t="n"/>
      <c r="L880" s="74" t="n"/>
      <c r="M880" s="109" t="n"/>
      <c r="N880" s="68">
        <f>IF(AND(H880="",J880=""),"",ForecastTotal+IF(L880="Approved",0,IF(J880="",0,J880)))</f>
        <v/>
      </c>
      <c r="O880" s="75">
        <f>IF(N880="","",ContAmt-MAX(0,N880-WorkBudget))</f>
        <v/>
      </c>
      <c r="P880" s="120">
        <f>IF(OR(N880="",ForecastEnd=""),"",ForecastEnd+IF(L880="Approved",0,IF(K880="",0,K880)))</f>
        <v/>
      </c>
      <c r="Q880" s="121">
        <f>IF(OR(N880="",WorkBudget=0),"",N880/WorkBudget-1)</f>
        <v/>
      </c>
      <c r="R880" s="79">
        <f>IF(N880="","",IF(N880&lt;=WorkBudget,0,IF(N880&lt;=TotalBudget,1,2)))</f>
        <v/>
      </c>
      <c r="S880" s="112">
        <f>IF(AND(OR(H880&lt;&gt;"",J880&lt;&gt;""),OR(L880="Pending",L880=""),C880&lt;&gt;""),C880+3,"")</f>
        <v/>
      </c>
      <c r="T880" s="79">
        <f>IF(S880="","",IF(AsOf&gt;S880,1,2))</f>
        <v/>
      </c>
      <c r="U880" s="79">
        <f>IF(T880="","","Decide on change order "&amp;B880&amp;": "&amp;H880&amp;" (+"&amp;CurSym&amp;" "&amp;FIXED(IF(J880="",0,J880),0)&amp;")")</f>
        <v/>
      </c>
    </row>
    <row r="881" ht="24" customHeight="1">
      <c r="B881" s="74" t="n"/>
      <c r="C881" s="109" t="n"/>
      <c r="D881" s="72" t="n"/>
      <c r="E881" s="72" t="n"/>
      <c r="F881" s="72" t="n"/>
      <c r="G881" s="72" t="n"/>
      <c r="H881" s="113" t="n"/>
      <c r="I881" s="72" t="n"/>
      <c r="J881" s="73" t="n"/>
      <c r="K881" s="89" t="n"/>
      <c r="L881" s="74" t="n"/>
      <c r="M881" s="109" t="n"/>
      <c r="N881" s="68">
        <f>IF(AND(H881="",J881=""),"",ForecastTotal+IF(L881="Approved",0,IF(J881="",0,J881)))</f>
        <v/>
      </c>
      <c r="O881" s="75">
        <f>IF(N881="","",ContAmt-MAX(0,N881-WorkBudget))</f>
        <v/>
      </c>
      <c r="P881" s="120">
        <f>IF(OR(N881="",ForecastEnd=""),"",ForecastEnd+IF(L881="Approved",0,IF(K881="",0,K881)))</f>
        <v/>
      </c>
      <c r="Q881" s="121">
        <f>IF(OR(N881="",WorkBudget=0),"",N881/WorkBudget-1)</f>
        <v/>
      </c>
      <c r="R881" s="79">
        <f>IF(N881="","",IF(N881&lt;=WorkBudget,0,IF(N881&lt;=TotalBudget,1,2)))</f>
        <v/>
      </c>
      <c r="S881" s="112">
        <f>IF(AND(OR(H881&lt;&gt;"",J881&lt;&gt;""),OR(L881="Pending",L881=""),C881&lt;&gt;""),C881+3,"")</f>
        <v/>
      </c>
      <c r="T881" s="79">
        <f>IF(S881="","",IF(AsOf&gt;S881,1,2))</f>
        <v/>
      </c>
      <c r="U881" s="79">
        <f>IF(T881="","","Decide on change order "&amp;B881&amp;": "&amp;H881&amp;" (+"&amp;CurSym&amp;" "&amp;FIXED(IF(J881="",0,J881),0)&amp;")")</f>
        <v/>
      </c>
    </row>
    <row r="882" ht="24" customHeight="1">
      <c r="B882" s="74" t="n"/>
      <c r="C882" s="109" t="n"/>
      <c r="D882" s="72" t="n"/>
      <c r="E882" s="72" t="n"/>
      <c r="F882" s="72" t="n"/>
      <c r="G882" s="72" t="n"/>
      <c r="H882" s="113" t="n"/>
      <c r="I882" s="72" t="n"/>
      <c r="J882" s="73" t="n"/>
      <c r="K882" s="89" t="n"/>
      <c r="L882" s="74" t="n"/>
      <c r="M882" s="109" t="n"/>
      <c r="N882" s="68">
        <f>IF(AND(H882="",J882=""),"",ForecastTotal+IF(L882="Approved",0,IF(J882="",0,J882)))</f>
        <v/>
      </c>
      <c r="O882" s="75">
        <f>IF(N882="","",ContAmt-MAX(0,N882-WorkBudget))</f>
        <v/>
      </c>
      <c r="P882" s="120">
        <f>IF(OR(N882="",ForecastEnd=""),"",ForecastEnd+IF(L882="Approved",0,IF(K882="",0,K882)))</f>
        <v/>
      </c>
      <c r="Q882" s="121">
        <f>IF(OR(N882="",WorkBudget=0),"",N882/WorkBudget-1)</f>
        <v/>
      </c>
      <c r="R882" s="79">
        <f>IF(N882="","",IF(N882&lt;=WorkBudget,0,IF(N882&lt;=TotalBudget,1,2)))</f>
        <v/>
      </c>
      <c r="S882" s="112">
        <f>IF(AND(OR(H882&lt;&gt;"",J882&lt;&gt;""),OR(L882="Pending",L882=""),C882&lt;&gt;""),C882+3,"")</f>
        <v/>
      </c>
      <c r="T882" s="79">
        <f>IF(S882="","",IF(AsOf&gt;S882,1,2))</f>
        <v/>
      </c>
      <c r="U882" s="79">
        <f>IF(T882="","","Decide on change order "&amp;B882&amp;": "&amp;H882&amp;" (+"&amp;CurSym&amp;" "&amp;FIXED(IF(J882="",0,J882),0)&amp;")")</f>
        <v/>
      </c>
    </row>
    <row r="883" ht="24" customHeight="1">
      <c r="B883" s="74" t="n"/>
      <c r="C883" s="109" t="n"/>
      <c r="D883" s="72" t="n"/>
      <c r="E883" s="72" t="n"/>
      <c r="F883" s="72" t="n"/>
      <c r="G883" s="72" t="n"/>
      <c r="H883" s="113" t="n"/>
      <c r="I883" s="72" t="n"/>
      <c r="J883" s="73" t="n"/>
      <c r="K883" s="89" t="n"/>
      <c r="L883" s="74" t="n"/>
      <c r="M883" s="109" t="n"/>
      <c r="N883" s="68">
        <f>IF(AND(H883="",J883=""),"",ForecastTotal+IF(L883="Approved",0,IF(J883="",0,J883)))</f>
        <v/>
      </c>
      <c r="O883" s="75">
        <f>IF(N883="","",ContAmt-MAX(0,N883-WorkBudget))</f>
        <v/>
      </c>
      <c r="P883" s="120">
        <f>IF(OR(N883="",ForecastEnd=""),"",ForecastEnd+IF(L883="Approved",0,IF(K883="",0,K883)))</f>
        <v/>
      </c>
      <c r="Q883" s="121">
        <f>IF(OR(N883="",WorkBudget=0),"",N883/WorkBudget-1)</f>
        <v/>
      </c>
      <c r="R883" s="79">
        <f>IF(N883="","",IF(N883&lt;=WorkBudget,0,IF(N883&lt;=TotalBudget,1,2)))</f>
        <v/>
      </c>
      <c r="S883" s="112">
        <f>IF(AND(OR(H883&lt;&gt;"",J883&lt;&gt;""),OR(L883="Pending",L883=""),C883&lt;&gt;""),C883+3,"")</f>
        <v/>
      </c>
      <c r="T883" s="79">
        <f>IF(S883="","",IF(AsOf&gt;S883,1,2))</f>
        <v/>
      </c>
      <c r="U883" s="79">
        <f>IF(T883="","","Decide on change order "&amp;B883&amp;": "&amp;H883&amp;" (+"&amp;CurSym&amp;" "&amp;FIXED(IF(J883="",0,J883),0)&amp;")")</f>
        <v/>
      </c>
    </row>
    <row r="884" ht="24" customHeight="1">
      <c r="B884" s="74" t="n"/>
      <c r="C884" s="109" t="n"/>
      <c r="D884" s="72" t="n"/>
      <c r="E884" s="72" t="n"/>
      <c r="F884" s="72" t="n"/>
      <c r="G884" s="72" t="n"/>
      <c r="H884" s="113" t="n"/>
      <c r="I884" s="72" t="n"/>
      <c r="J884" s="73" t="n"/>
      <c r="K884" s="89" t="n"/>
      <c r="L884" s="74" t="n"/>
      <c r="M884" s="109" t="n"/>
      <c r="N884" s="68">
        <f>IF(AND(H884="",J884=""),"",ForecastTotal+IF(L884="Approved",0,IF(J884="",0,J884)))</f>
        <v/>
      </c>
      <c r="O884" s="75">
        <f>IF(N884="","",ContAmt-MAX(0,N884-WorkBudget))</f>
        <v/>
      </c>
      <c r="P884" s="120">
        <f>IF(OR(N884="",ForecastEnd=""),"",ForecastEnd+IF(L884="Approved",0,IF(K884="",0,K884)))</f>
        <v/>
      </c>
      <c r="Q884" s="121">
        <f>IF(OR(N884="",WorkBudget=0),"",N884/WorkBudget-1)</f>
        <v/>
      </c>
      <c r="R884" s="79">
        <f>IF(N884="","",IF(N884&lt;=WorkBudget,0,IF(N884&lt;=TotalBudget,1,2)))</f>
        <v/>
      </c>
      <c r="S884" s="112">
        <f>IF(AND(OR(H884&lt;&gt;"",J884&lt;&gt;""),OR(L884="Pending",L884=""),C884&lt;&gt;""),C884+3,"")</f>
        <v/>
      </c>
      <c r="T884" s="79">
        <f>IF(S884="","",IF(AsOf&gt;S884,1,2))</f>
        <v/>
      </c>
      <c r="U884" s="79">
        <f>IF(T884="","","Decide on change order "&amp;B884&amp;": "&amp;H884&amp;" (+"&amp;CurSym&amp;" "&amp;FIXED(IF(J884="",0,J884),0)&amp;")")</f>
        <v/>
      </c>
    </row>
    <row r="885" ht="24" customHeight="1">
      <c r="B885" s="74" t="n"/>
      <c r="C885" s="109" t="n"/>
      <c r="D885" s="72" t="n"/>
      <c r="E885" s="72" t="n"/>
      <c r="F885" s="72" t="n"/>
      <c r="G885" s="72" t="n"/>
      <c r="H885" s="113" t="n"/>
      <c r="I885" s="72" t="n"/>
      <c r="J885" s="73" t="n"/>
      <c r="K885" s="89" t="n"/>
      <c r="L885" s="74" t="n"/>
      <c r="M885" s="109" t="n"/>
      <c r="N885" s="68">
        <f>IF(AND(H885="",J885=""),"",ForecastTotal+IF(L885="Approved",0,IF(J885="",0,J885)))</f>
        <v/>
      </c>
      <c r="O885" s="75">
        <f>IF(N885="","",ContAmt-MAX(0,N885-WorkBudget))</f>
        <v/>
      </c>
      <c r="P885" s="120">
        <f>IF(OR(N885="",ForecastEnd=""),"",ForecastEnd+IF(L885="Approved",0,IF(K885="",0,K885)))</f>
        <v/>
      </c>
      <c r="Q885" s="121">
        <f>IF(OR(N885="",WorkBudget=0),"",N885/WorkBudget-1)</f>
        <v/>
      </c>
      <c r="R885" s="79">
        <f>IF(N885="","",IF(N885&lt;=WorkBudget,0,IF(N885&lt;=TotalBudget,1,2)))</f>
        <v/>
      </c>
      <c r="S885" s="112">
        <f>IF(AND(OR(H885&lt;&gt;"",J885&lt;&gt;""),OR(L885="Pending",L885=""),C885&lt;&gt;""),C885+3,"")</f>
        <v/>
      </c>
      <c r="T885" s="79">
        <f>IF(S885="","",IF(AsOf&gt;S885,1,2))</f>
        <v/>
      </c>
      <c r="U885" s="79">
        <f>IF(T885="","","Decide on change order "&amp;B885&amp;": "&amp;H885&amp;" (+"&amp;CurSym&amp;" "&amp;FIXED(IF(J885="",0,J885),0)&amp;")")</f>
        <v/>
      </c>
    </row>
    <row r="886" ht="24" customHeight="1">
      <c r="B886" s="74" t="n"/>
      <c r="C886" s="109" t="n"/>
      <c r="D886" s="72" t="n"/>
      <c r="E886" s="72" t="n"/>
      <c r="F886" s="72" t="n"/>
      <c r="G886" s="72" t="n"/>
      <c r="H886" s="113" t="n"/>
      <c r="I886" s="72" t="n"/>
      <c r="J886" s="73" t="n"/>
      <c r="K886" s="89" t="n"/>
      <c r="L886" s="74" t="n"/>
      <c r="M886" s="109" t="n"/>
      <c r="N886" s="68">
        <f>IF(AND(H886="",J886=""),"",ForecastTotal+IF(L886="Approved",0,IF(J886="",0,J886)))</f>
        <v/>
      </c>
      <c r="O886" s="75">
        <f>IF(N886="","",ContAmt-MAX(0,N886-WorkBudget))</f>
        <v/>
      </c>
      <c r="P886" s="120">
        <f>IF(OR(N886="",ForecastEnd=""),"",ForecastEnd+IF(L886="Approved",0,IF(K886="",0,K886)))</f>
        <v/>
      </c>
      <c r="Q886" s="121">
        <f>IF(OR(N886="",WorkBudget=0),"",N886/WorkBudget-1)</f>
        <v/>
      </c>
      <c r="R886" s="79">
        <f>IF(N886="","",IF(N886&lt;=WorkBudget,0,IF(N886&lt;=TotalBudget,1,2)))</f>
        <v/>
      </c>
      <c r="S886" s="112">
        <f>IF(AND(OR(H886&lt;&gt;"",J886&lt;&gt;""),OR(L886="Pending",L886=""),C886&lt;&gt;""),C886+3,"")</f>
        <v/>
      </c>
      <c r="T886" s="79">
        <f>IF(S886="","",IF(AsOf&gt;S886,1,2))</f>
        <v/>
      </c>
      <c r="U886" s="79">
        <f>IF(T886="","","Decide on change order "&amp;B886&amp;": "&amp;H886&amp;" (+"&amp;CurSym&amp;" "&amp;FIXED(IF(J886="",0,J886),0)&amp;")")</f>
        <v/>
      </c>
    </row>
    <row r="887" ht="24" customHeight="1">
      <c r="B887" s="74" t="n"/>
      <c r="C887" s="109" t="n"/>
      <c r="D887" s="72" t="n"/>
      <c r="E887" s="72" t="n"/>
      <c r="F887" s="72" t="n"/>
      <c r="G887" s="72" t="n"/>
      <c r="H887" s="113" t="n"/>
      <c r="I887" s="72" t="n"/>
      <c r="J887" s="73" t="n"/>
      <c r="K887" s="89" t="n"/>
      <c r="L887" s="74" t="n"/>
      <c r="M887" s="109" t="n"/>
      <c r="N887" s="68">
        <f>IF(AND(H887="",J887=""),"",ForecastTotal+IF(L887="Approved",0,IF(J887="",0,J887)))</f>
        <v/>
      </c>
      <c r="O887" s="75">
        <f>IF(N887="","",ContAmt-MAX(0,N887-WorkBudget))</f>
        <v/>
      </c>
      <c r="P887" s="120">
        <f>IF(OR(N887="",ForecastEnd=""),"",ForecastEnd+IF(L887="Approved",0,IF(K887="",0,K887)))</f>
        <v/>
      </c>
      <c r="Q887" s="121">
        <f>IF(OR(N887="",WorkBudget=0),"",N887/WorkBudget-1)</f>
        <v/>
      </c>
      <c r="R887" s="79">
        <f>IF(N887="","",IF(N887&lt;=WorkBudget,0,IF(N887&lt;=TotalBudget,1,2)))</f>
        <v/>
      </c>
      <c r="S887" s="112">
        <f>IF(AND(OR(H887&lt;&gt;"",J887&lt;&gt;""),OR(L887="Pending",L887=""),C887&lt;&gt;""),C887+3,"")</f>
        <v/>
      </c>
      <c r="T887" s="79">
        <f>IF(S887="","",IF(AsOf&gt;S887,1,2))</f>
        <v/>
      </c>
      <c r="U887" s="79">
        <f>IF(T887="","","Decide on change order "&amp;B887&amp;": "&amp;H887&amp;" (+"&amp;CurSym&amp;" "&amp;FIXED(IF(J887="",0,J887),0)&amp;")")</f>
        <v/>
      </c>
    </row>
    <row r="888" ht="24" customHeight="1">
      <c r="B888" s="74" t="n"/>
      <c r="C888" s="109" t="n"/>
      <c r="D888" s="72" t="n"/>
      <c r="E888" s="72" t="n"/>
      <c r="F888" s="72" t="n"/>
      <c r="G888" s="72" t="n"/>
      <c r="H888" s="113" t="n"/>
      <c r="I888" s="72" t="n"/>
      <c r="J888" s="73" t="n"/>
      <c r="K888" s="89" t="n"/>
      <c r="L888" s="74" t="n"/>
      <c r="M888" s="109" t="n"/>
      <c r="N888" s="68">
        <f>IF(AND(H888="",J888=""),"",ForecastTotal+IF(L888="Approved",0,IF(J888="",0,J888)))</f>
        <v/>
      </c>
      <c r="O888" s="75">
        <f>IF(N888="","",ContAmt-MAX(0,N888-WorkBudget))</f>
        <v/>
      </c>
      <c r="P888" s="120">
        <f>IF(OR(N888="",ForecastEnd=""),"",ForecastEnd+IF(L888="Approved",0,IF(K888="",0,K888)))</f>
        <v/>
      </c>
      <c r="Q888" s="121">
        <f>IF(OR(N888="",WorkBudget=0),"",N888/WorkBudget-1)</f>
        <v/>
      </c>
      <c r="R888" s="79">
        <f>IF(N888="","",IF(N888&lt;=WorkBudget,0,IF(N888&lt;=TotalBudget,1,2)))</f>
        <v/>
      </c>
      <c r="S888" s="112">
        <f>IF(AND(OR(H888&lt;&gt;"",J888&lt;&gt;""),OR(L888="Pending",L888=""),C888&lt;&gt;""),C888+3,"")</f>
        <v/>
      </c>
      <c r="T888" s="79">
        <f>IF(S888="","",IF(AsOf&gt;S888,1,2))</f>
        <v/>
      </c>
      <c r="U888" s="79">
        <f>IF(T888="","","Decide on change order "&amp;B888&amp;": "&amp;H888&amp;" (+"&amp;CurSym&amp;" "&amp;FIXED(IF(J888="",0,J888),0)&amp;")")</f>
        <v/>
      </c>
    </row>
    <row r="889" ht="24" customHeight="1">
      <c r="B889" s="74" t="n"/>
      <c r="C889" s="109" t="n"/>
      <c r="D889" s="72" t="n"/>
      <c r="E889" s="72" t="n"/>
      <c r="F889" s="72" t="n"/>
      <c r="G889" s="72" t="n"/>
      <c r="H889" s="113" t="n"/>
      <c r="I889" s="72" t="n"/>
      <c r="J889" s="73" t="n"/>
      <c r="K889" s="89" t="n"/>
      <c r="L889" s="74" t="n"/>
      <c r="M889" s="109" t="n"/>
      <c r="N889" s="68">
        <f>IF(AND(H889="",J889=""),"",ForecastTotal+IF(L889="Approved",0,IF(J889="",0,J889)))</f>
        <v/>
      </c>
      <c r="O889" s="75">
        <f>IF(N889="","",ContAmt-MAX(0,N889-WorkBudget))</f>
        <v/>
      </c>
      <c r="P889" s="120">
        <f>IF(OR(N889="",ForecastEnd=""),"",ForecastEnd+IF(L889="Approved",0,IF(K889="",0,K889)))</f>
        <v/>
      </c>
      <c r="Q889" s="121">
        <f>IF(OR(N889="",WorkBudget=0),"",N889/WorkBudget-1)</f>
        <v/>
      </c>
      <c r="R889" s="79">
        <f>IF(N889="","",IF(N889&lt;=WorkBudget,0,IF(N889&lt;=TotalBudget,1,2)))</f>
        <v/>
      </c>
      <c r="S889" s="112">
        <f>IF(AND(OR(H889&lt;&gt;"",J889&lt;&gt;""),OR(L889="Pending",L889=""),C889&lt;&gt;""),C889+3,"")</f>
        <v/>
      </c>
      <c r="T889" s="79">
        <f>IF(S889="","",IF(AsOf&gt;S889,1,2))</f>
        <v/>
      </c>
      <c r="U889" s="79">
        <f>IF(T889="","","Decide on change order "&amp;B889&amp;": "&amp;H889&amp;" (+"&amp;CurSym&amp;" "&amp;FIXED(IF(J889="",0,J889),0)&amp;")")</f>
        <v/>
      </c>
    </row>
    <row r="890" ht="24" customHeight="1">
      <c r="B890" s="74" t="n"/>
      <c r="C890" s="109" t="n"/>
      <c r="D890" s="72" t="n"/>
      <c r="E890" s="72" t="n"/>
      <c r="F890" s="72" t="n"/>
      <c r="G890" s="72" t="n"/>
      <c r="H890" s="113" t="n"/>
      <c r="I890" s="72" t="n"/>
      <c r="J890" s="73" t="n"/>
      <c r="K890" s="89" t="n"/>
      <c r="L890" s="74" t="n"/>
      <c r="M890" s="109" t="n"/>
      <c r="N890" s="68">
        <f>IF(AND(H890="",J890=""),"",ForecastTotal+IF(L890="Approved",0,IF(J890="",0,J890)))</f>
        <v/>
      </c>
      <c r="O890" s="75">
        <f>IF(N890="","",ContAmt-MAX(0,N890-WorkBudget))</f>
        <v/>
      </c>
      <c r="P890" s="120">
        <f>IF(OR(N890="",ForecastEnd=""),"",ForecastEnd+IF(L890="Approved",0,IF(K890="",0,K890)))</f>
        <v/>
      </c>
      <c r="Q890" s="121">
        <f>IF(OR(N890="",WorkBudget=0),"",N890/WorkBudget-1)</f>
        <v/>
      </c>
      <c r="R890" s="79">
        <f>IF(N890="","",IF(N890&lt;=WorkBudget,0,IF(N890&lt;=TotalBudget,1,2)))</f>
        <v/>
      </c>
      <c r="S890" s="112">
        <f>IF(AND(OR(H890&lt;&gt;"",J890&lt;&gt;""),OR(L890="Pending",L890=""),C890&lt;&gt;""),C890+3,"")</f>
        <v/>
      </c>
      <c r="T890" s="79">
        <f>IF(S890="","",IF(AsOf&gt;S890,1,2))</f>
        <v/>
      </c>
      <c r="U890" s="79">
        <f>IF(T890="","","Decide on change order "&amp;B890&amp;": "&amp;H890&amp;" (+"&amp;CurSym&amp;" "&amp;FIXED(IF(J890="",0,J890),0)&amp;")")</f>
        <v/>
      </c>
    </row>
    <row r="891" ht="24" customHeight="1">
      <c r="B891" s="74" t="n"/>
      <c r="C891" s="109" t="n"/>
      <c r="D891" s="72" t="n"/>
      <c r="E891" s="72" t="n"/>
      <c r="F891" s="72" t="n"/>
      <c r="G891" s="72" t="n"/>
      <c r="H891" s="113" t="n"/>
      <c r="I891" s="72" t="n"/>
      <c r="J891" s="73" t="n"/>
      <c r="K891" s="89" t="n"/>
      <c r="L891" s="74" t="n"/>
      <c r="M891" s="109" t="n"/>
      <c r="N891" s="68">
        <f>IF(AND(H891="",J891=""),"",ForecastTotal+IF(L891="Approved",0,IF(J891="",0,J891)))</f>
        <v/>
      </c>
      <c r="O891" s="75">
        <f>IF(N891="","",ContAmt-MAX(0,N891-WorkBudget))</f>
        <v/>
      </c>
      <c r="P891" s="120">
        <f>IF(OR(N891="",ForecastEnd=""),"",ForecastEnd+IF(L891="Approved",0,IF(K891="",0,K891)))</f>
        <v/>
      </c>
      <c r="Q891" s="121">
        <f>IF(OR(N891="",WorkBudget=0),"",N891/WorkBudget-1)</f>
        <v/>
      </c>
      <c r="R891" s="79">
        <f>IF(N891="","",IF(N891&lt;=WorkBudget,0,IF(N891&lt;=TotalBudget,1,2)))</f>
        <v/>
      </c>
      <c r="S891" s="112">
        <f>IF(AND(OR(H891&lt;&gt;"",J891&lt;&gt;""),OR(L891="Pending",L891=""),C891&lt;&gt;""),C891+3,"")</f>
        <v/>
      </c>
      <c r="T891" s="79">
        <f>IF(S891="","",IF(AsOf&gt;S891,1,2))</f>
        <v/>
      </c>
      <c r="U891" s="79">
        <f>IF(T891="","","Decide on change order "&amp;B891&amp;": "&amp;H891&amp;" (+"&amp;CurSym&amp;" "&amp;FIXED(IF(J891="",0,J891),0)&amp;")")</f>
        <v/>
      </c>
    </row>
    <row r="892" ht="24" customHeight="1">
      <c r="B892" s="74" t="n"/>
      <c r="C892" s="109" t="n"/>
      <c r="D892" s="72" t="n"/>
      <c r="E892" s="72" t="n"/>
      <c r="F892" s="72" t="n"/>
      <c r="G892" s="72" t="n"/>
      <c r="H892" s="113" t="n"/>
      <c r="I892" s="72" t="n"/>
      <c r="J892" s="73" t="n"/>
      <c r="K892" s="89" t="n"/>
      <c r="L892" s="74" t="n"/>
      <c r="M892" s="109" t="n"/>
      <c r="N892" s="68">
        <f>IF(AND(H892="",J892=""),"",ForecastTotal+IF(L892="Approved",0,IF(J892="",0,J892)))</f>
        <v/>
      </c>
      <c r="O892" s="75">
        <f>IF(N892="","",ContAmt-MAX(0,N892-WorkBudget))</f>
        <v/>
      </c>
      <c r="P892" s="120">
        <f>IF(OR(N892="",ForecastEnd=""),"",ForecastEnd+IF(L892="Approved",0,IF(K892="",0,K892)))</f>
        <v/>
      </c>
      <c r="Q892" s="121">
        <f>IF(OR(N892="",WorkBudget=0),"",N892/WorkBudget-1)</f>
        <v/>
      </c>
      <c r="R892" s="79">
        <f>IF(N892="","",IF(N892&lt;=WorkBudget,0,IF(N892&lt;=TotalBudget,1,2)))</f>
        <v/>
      </c>
      <c r="S892" s="112">
        <f>IF(AND(OR(H892&lt;&gt;"",J892&lt;&gt;""),OR(L892="Pending",L892=""),C892&lt;&gt;""),C892+3,"")</f>
        <v/>
      </c>
      <c r="T892" s="79">
        <f>IF(S892="","",IF(AsOf&gt;S892,1,2))</f>
        <v/>
      </c>
      <c r="U892" s="79">
        <f>IF(T892="","","Decide on change order "&amp;B892&amp;": "&amp;H892&amp;" (+"&amp;CurSym&amp;" "&amp;FIXED(IF(J892="",0,J892),0)&amp;")")</f>
        <v/>
      </c>
    </row>
    <row r="893" ht="24" customHeight="1">
      <c r="B893" s="74" t="n"/>
      <c r="C893" s="109" t="n"/>
      <c r="D893" s="72" t="n"/>
      <c r="E893" s="72" t="n"/>
      <c r="F893" s="72" t="n"/>
      <c r="G893" s="72" t="n"/>
      <c r="H893" s="113" t="n"/>
      <c r="I893" s="72" t="n"/>
      <c r="J893" s="73" t="n"/>
      <c r="K893" s="89" t="n"/>
      <c r="L893" s="74" t="n"/>
      <c r="M893" s="109" t="n"/>
      <c r="N893" s="68">
        <f>IF(AND(H893="",J893=""),"",ForecastTotal+IF(L893="Approved",0,IF(J893="",0,J893)))</f>
        <v/>
      </c>
      <c r="O893" s="75">
        <f>IF(N893="","",ContAmt-MAX(0,N893-WorkBudget))</f>
        <v/>
      </c>
      <c r="P893" s="120">
        <f>IF(OR(N893="",ForecastEnd=""),"",ForecastEnd+IF(L893="Approved",0,IF(K893="",0,K893)))</f>
        <v/>
      </c>
      <c r="Q893" s="121">
        <f>IF(OR(N893="",WorkBudget=0),"",N893/WorkBudget-1)</f>
        <v/>
      </c>
      <c r="R893" s="79">
        <f>IF(N893="","",IF(N893&lt;=WorkBudget,0,IF(N893&lt;=TotalBudget,1,2)))</f>
        <v/>
      </c>
      <c r="S893" s="112">
        <f>IF(AND(OR(H893&lt;&gt;"",J893&lt;&gt;""),OR(L893="Pending",L893=""),C893&lt;&gt;""),C893+3,"")</f>
        <v/>
      </c>
      <c r="T893" s="79">
        <f>IF(S893="","",IF(AsOf&gt;S893,1,2))</f>
        <v/>
      </c>
      <c r="U893" s="79">
        <f>IF(T893="","","Decide on change order "&amp;B893&amp;": "&amp;H893&amp;" (+"&amp;CurSym&amp;" "&amp;FIXED(IF(J893="",0,J893),0)&amp;")")</f>
        <v/>
      </c>
    </row>
    <row r="894" ht="24" customHeight="1">
      <c r="B894" s="74" t="n"/>
      <c r="C894" s="109" t="n"/>
      <c r="D894" s="72" t="n"/>
      <c r="E894" s="72" t="n"/>
      <c r="F894" s="72" t="n"/>
      <c r="G894" s="72" t="n"/>
      <c r="H894" s="113" t="n"/>
      <c r="I894" s="72" t="n"/>
      <c r="J894" s="73" t="n"/>
      <c r="K894" s="89" t="n"/>
      <c r="L894" s="74" t="n"/>
      <c r="M894" s="109" t="n"/>
      <c r="N894" s="68">
        <f>IF(AND(H894="",J894=""),"",ForecastTotal+IF(L894="Approved",0,IF(J894="",0,J894)))</f>
        <v/>
      </c>
      <c r="O894" s="75">
        <f>IF(N894="","",ContAmt-MAX(0,N894-WorkBudget))</f>
        <v/>
      </c>
      <c r="P894" s="120">
        <f>IF(OR(N894="",ForecastEnd=""),"",ForecastEnd+IF(L894="Approved",0,IF(K894="",0,K894)))</f>
        <v/>
      </c>
      <c r="Q894" s="121">
        <f>IF(OR(N894="",WorkBudget=0),"",N894/WorkBudget-1)</f>
        <v/>
      </c>
      <c r="R894" s="79">
        <f>IF(N894="","",IF(N894&lt;=WorkBudget,0,IF(N894&lt;=TotalBudget,1,2)))</f>
        <v/>
      </c>
      <c r="S894" s="112">
        <f>IF(AND(OR(H894&lt;&gt;"",J894&lt;&gt;""),OR(L894="Pending",L894=""),C894&lt;&gt;""),C894+3,"")</f>
        <v/>
      </c>
      <c r="T894" s="79">
        <f>IF(S894="","",IF(AsOf&gt;S894,1,2))</f>
        <v/>
      </c>
      <c r="U894" s="79">
        <f>IF(T894="","","Decide on change order "&amp;B894&amp;": "&amp;H894&amp;" (+"&amp;CurSym&amp;" "&amp;FIXED(IF(J894="",0,J894),0)&amp;")")</f>
        <v/>
      </c>
    </row>
    <row r="895" ht="24" customHeight="1">
      <c r="B895" s="74" t="n"/>
      <c r="C895" s="109" t="n"/>
      <c r="D895" s="72" t="n"/>
      <c r="E895" s="72" t="n"/>
      <c r="F895" s="72" t="n"/>
      <c r="G895" s="72" t="n"/>
      <c r="H895" s="113" t="n"/>
      <c r="I895" s="72" t="n"/>
      <c r="J895" s="73" t="n"/>
      <c r="K895" s="89" t="n"/>
      <c r="L895" s="74" t="n"/>
      <c r="M895" s="109" t="n"/>
      <c r="N895" s="68">
        <f>IF(AND(H895="",J895=""),"",ForecastTotal+IF(L895="Approved",0,IF(J895="",0,J895)))</f>
        <v/>
      </c>
      <c r="O895" s="75">
        <f>IF(N895="","",ContAmt-MAX(0,N895-WorkBudget))</f>
        <v/>
      </c>
      <c r="P895" s="120">
        <f>IF(OR(N895="",ForecastEnd=""),"",ForecastEnd+IF(L895="Approved",0,IF(K895="",0,K895)))</f>
        <v/>
      </c>
      <c r="Q895" s="121">
        <f>IF(OR(N895="",WorkBudget=0),"",N895/WorkBudget-1)</f>
        <v/>
      </c>
      <c r="R895" s="79">
        <f>IF(N895="","",IF(N895&lt;=WorkBudget,0,IF(N895&lt;=TotalBudget,1,2)))</f>
        <v/>
      </c>
      <c r="S895" s="112">
        <f>IF(AND(OR(H895&lt;&gt;"",J895&lt;&gt;""),OR(L895="Pending",L895=""),C895&lt;&gt;""),C895+3,"")</f>
        <v/>
      </c>
      <c r="T895" s="79">
        <f>IF(S895="","",IF(AsOf&gt;S895,1,2))</f>
        <v/>
      </c>
      <c r="U895" s="79">
        <f>IF(T895="","","Decide on change order "&amp;B895&amp;": "&amp;H895&amp;" (+"&amp;CurSym&amp;" "&amp;FIXED(IF(J895="",0,J895),0)&amp;")")</f>
        <v/>
      </c>
    </row>
    <row r="896" ht="24" customHeight="1">
      <c r="B896" s="74" t="n"/>
      <c r="C896" s="109" t="n"/>
      <c r="D896" s="72" t="n"/>
      <c r="E896" s="72" t="n"/>
      <c r="F896" s="72" t="n"/>
      <c r="G896" s="72" t="n"/>
      <c r="H896" s="113" t="n"/>
      <c r="I896" s="72" t="n"/>
      <c r="J896" s="73" t="n"/>
      <c r="K896" s="89" t="n"/>
      <c r="L896" s="74" t="n"/>
      <c r="M896" s="109" t="n"/>
      <c r="N896" s="68">
        <f>IF(AND(H896="",J896=""),"",ForecastTotal+IF(L896="Approved",0,IF(J896="",0,J896)))</f>
        <v/>
      </c>
      <c r="O896" s="75">
        <f>IF(N896="","",ContAmt-MAX(0,N896-WorkBudget))</f>
        <v/>
      </c>
      <c r="P896" s="120">
        <f>IF(OR(N896="",ForecastEnd=""),"",ForecastEnd+IF(L896="Approved",0,IF(K896="",0,K896)))</f>
        <v/>
      </c>
      <c r="Q896" s="121">
        <f>IF(OR(N896="",WorkBudget=0),"",N896/WorkBudget-1)</f>
        <v/>
      </c>
      <c r="R896" s="79">
        <f>IF(N896="","",IF(N896&lt;=WorkBudget,0,IF(N896&lt;=TotalBudget,1,2)))</f>
        <v/>
      </c>
      <c r="S896" s="112">
        <f>IF(AND(OR(H896&lt;&gt;"",J896&lt;&gt;""),OR(L896="Pending",L896=""),C896&lt;&gt;""),C896+3,"")</f>
        <v/>
      </c>
      <c r="T896" s="79">
        <f>IF(S896="","",IF(AsOf&gt;S896,1,2))</f>
        <v/>
      </c>
      <c r="U896" s="79">
        <f>IF(T896="","","Decide on change order "&amp;B896&amp;": "&amp;H896&amp;" (+"&amp;CurSym&amp;" "&amp;FIXED(IF(J896="",0,J896),0)&amp;")")</f>
        <v/>
      </c>
    </row>
    <row r="897" ht="24" customHeight="1">
      <c r="B897" s="74" t="n"/>
      <c r="C897" s="109" t="n"/>
      <c r="D897" s="72" t="n"/>
      <c r="E897" s="72" t="n"/>
      <c r="F897" s="72" t="n"/>
      <c r="G897" s="72" t="n"/>
      <c r="H897" s="113" t="n"/>
      <c r="I897" s="72" t="n"/>
      <c r="J897" s="73" t="n"/>
      <c r="K897" s="89" t="n"/>
      <c r="L897" s="74" t="n"/>
      <c r="M897" s="109" t="n"/>
      <c r="N897" s="68">
        <f>IF(AND(H897="",J897=""),"",ForecastTotal+IF(L897="Approved",0,IF(J897="",0,J897)))</f>
        <v/>
      </c>
      <c r="O897" s="75">
        <f>IF(N897="","",ContAmt-MAX(0,N897-WorkBudget))</f>
        <v/>
      </c>
      <c r="P897" s="120">
        <f>IF(OR(N897="",ForecastEnd=""),"",ForecastEnd+IF(L897="Approved",0,IF(K897="",0,K897)))</f>
        <v/>
      </c>
      <c r="Q897" s="121">
        <f>IF(OR(N897="",WorkBudget=0),"",N897/WorkBudget-1)</f>
        <v/>
      </c>
      <c r="R897" s="79">
        <f>IF(N897="","",IF(N897&lt;=WorkBudget,0,IF(N897&lt;=TotalBudget,1,2)))</f>
        <v/>
      </c>
      <c r="S897" s="112">
        <f>IF(AND(OR(H897&lt;&gt;"",J897&lt;&gt;""),OR(L897="Pending",L897=""),C897&lt;&gt;""),C897+3,"")</f>
        <v/>
      </c>
      <c r="T897" s="79">
        <f>IF(S897="","",IF(AsOf&gt;S897,1,2))</f>
        <v/>
      </c>
      <c r="U897" s="79">
        <f>IF(T897="","","Decide on change order "&amp;B897&amp;": "&amp;H897&amp;" (+"&amp;CurSym&amp;" "&amp;FIXED(IF(J897="",0,J897),0)&amp;")")</f>
        <v/>
      </c>
    </row>
    <row r="898" ht="24" customHeight="1">
      <c r="B898" s="74" t="n"/>
      <c r="C898" s="109" t="n"/>
      <c r="D898" s="72" t="n"/>
      <c r="E898" s="72" t="n"/>
      <c r="F898" s="72" t="n"/>
      <c r="G898" s="72" t="n"/>
      <c r="H898" s="113" t="n"/>
      <c r="I898" s="72" t="n"/>
      <c r="J898" s="73" t="n"/>
      <c r="K898" s="89" t="n"/>
      <c r="L898" s="74" t="n"/>
      <c r="M898" s="109" t="n"/>
      <c r="N898" s="68">
        <f>IF(AND(H898="",J898=""),"",ForecastTotal+IF(L898="Approved",0,IF(J898="",0,J898)))</f>
        <v/>
      </c>
      <c r="O898" s="75">
        <f>IF(N898="","",ContAmt-MAX(0,N898-WorkBudget))</f>
        <v/>
      </c>
      <c r="P898" s="120">
        <f>IF(OR(N898="",ForecastEnd=""),"",ForecastEnd+IF(L898="Approved",0,IF(K898="",0,K898)))</f>
        <v/>
      </c>
      <c r="Q898" s="121">
        <f>IF(OR(N898="",WorkBudget=0),"",N898/WorkBudget-1)</f>
        <v/>
      </c>
      <c r="R898" s="79">
        <f>IF(N898="","",IF(N898&lt;=WorkBudget,0,IF(N898&lt;=TotalBudget,1,2)))</f>
        <v/>
      </c>
      <c r="S898" s="112">
        <f>IF(AND(OR(H898&lt;&gt;"",J898&lt;&gt;""),OR(L898="Pending",L898=""),C898&lt;&gt;""),C898+3,"")</f>
        <v/>
      </c>
      <c r="T898" s="79">
        <f>IF(S898="","",IF(AsOf&gt;S898,1,2))</f>
        <v/>
      </c>
      <c r="U898" s="79">
        <f>IF(T898="","","Decide on change order "&amp;B898&amp;": "&amp;H898&amp;" (+"&amp;CurSym&amp;" "&amp;FIXED(IF(J898="",0,J898),0)&amp;")")</f>
        <v/>
      </c>
    </row>
    <row r="899" ht="24" customHeight="1">
      <c r="B899" s="74" t="n"/>
      <c r="C899" s="109" t="n"/>
      <c r="D899" s="72" t="n"/>
      <c r="E899" s="72" t="n"/>
      <c r="F899" s="72" t="n"/>
      <c r="G899" s="72" t="n"/>
      <c r="H899" s="113" t="n"/>
      <c r="I899" s="72" t="n"/>
      <c r="J899" s="73" t="n"/>
      <c r="K899" s="89" t="n"/>
      <c r="L899" s="74" t="n"/>
      <c r="M899" s="109" t="n"/>
      <c r="N899" s="68">
        <f>IF(AND(H899="",J899=""),"",ForecastTotal+IF(L899="Approved",0,IF(J899="",0,J899)))</f>
        <v/>
      </c>
      <c r="O899" s="75">
        <f>IF(N899="","",ContAmt-MAX(0,N899-WorkBudget))</f>
        <v/>
      </c>
      <c r="P899" s="120">
        <f>IF(OR(N899="",ForecastEnd=""),"",ForecastEnd+IF(L899="Approved",0,IF(K899="",0,K899)))</f>
        <v/>
      </c>
      <c r="Q899" s="121">
        <f>IF(OR(N899="",WorkBudget=0),"",N899/WorkBudget-1)</f>
        <v/>
      </c>
      <c r="R899" s="79">
        <f>IF(N899="","",IF(N899&lt;=WorkBudget,0,IF(N899&lt;=TotalBudget,1,2)))</f>
        <v/>
      </c>
      <c r="S899" s="112">
        <f>IF(AND(OR(H899&lt;&gt;"",J899&lt;&gt;""),OR(L899="Pending",L899=""),C899&lt;&gt;""),C899+3,"")</f>
        <v/>
      </c>
      <c r="T899" s="79">
        <f>IF(S899="","",IF(AsOf&gt;S899,1,2))</f>
        <v/>
      </c>
      <c r="U899" s="79">
        <f>IF(T899="","","Decide on change order "&amp;B899&amp;": "&amp;H899&amp;" (+"&amp;CurSym&amp;" "&amp;FIXED(IF(J899="",0,J899),0)&amp;")")</f>
        <v/>
      </c>
    </row>
    <row r="900" ht="24" customHeight="1">
      <c r="B900" s="74" t="n"/>
      <c r="C900" s="109" t="n"/>
      <c r="D900" s="72" t="n"/>
      <c r="E900" s="72" t="n"/>
      <c r="F900" s="72" t="n"/>
      <c r="G900" s="72" t="n"/>
      <c r="H900" s="113" t="n"/>
      <c r="I900" s="72" t="n"/>
      <c r="J900" s="73" t="n"/>
      <c r="K900" s="89" t="n"/>
      <c r="L900" s="74" t="n"/>
      <c r="M900" s="109" t="n"/>
      <c r="N900" s="68">
        <f>IF(AND(H900="",J900=""),"",ForecastTotal+IF(L900="Approved",0,IF(J900="",0,J900)))</f>
        <v/>
      </c>
      <c r="O900" s="75">
        <f>IF(N900="","",ContAmt-MAX(0,N900-WorkBudget))</f>
        <v/>
      </c>
      <c r="P900" s="120">
        <f>IF(OR(N900="",ForecastEnd=""),"",ForecastEnd+IF(L900="Approved",0,IF(K900="",0,K900)))</f>
        <v/>
      </c>
      <c r="Q900" s="121">
        <f>IF(OR(N900="",WorkBudget=0),"",N900/WorkBudget-1)</f>
        <v/>
      </c>
      <c r="R900" s="79">
        <f>IF(N900="","",IF(N900&lt;=WorkBudget,0,IF(N900&lt;=TotalBudget,1,2)))</f>
        <v/>
      </c>
      <c r="S900" s="112">
        <f>IF(AND(OR(H900&lt;&gt;"",J900&lt;&gt;""),OR(L900="Pending",L900=""),C900&lt;&gt;""),C900+3,"")</f>
        <v/>
      </c>
      <c r="T900" s="79">
        <f>IF(S900="","",IF(AsOf&gt;S900,1,2))</f>
        <v/>
      </c>
      <c r="U900" s="79">
        <f>IF(T900="","","Decide on change order "&amp;B900&amp;": "&amp;H900&amp;" (+"&amp;CurSym&amp;" "&amp;FIXED(IF(J900="",0,J900),0)&amp;")")</f>
        <v/>
      </c>
    </row>
    <row r="901" ht="24" customHeight="1">
      <c r="B901" s="74" t="n"/>
      <c r="C901" s="109" t="n"/>
      <c r="D901" s="72" t="n"/>
      <c r="E901" s="72" t="n"/>
      <c r="F901" s="72" t="n"/>
      <c r="G901" s="72" t="n"/>
      <c r="H901" s="113" t="n"/>
      <c r="I901" s="72" t="n"/>
      <c r="J901" s="73" t="n"/>
      <c r="K901" s="89" t="n"/>
      <c r="L901" s="74" t="n"/>
      <c r="M901" s="109" t="n"/>
      <c r="N901" s="68">
        <f>IF(AND(H901="",J901=""),"",ForecastTotal+IF(L901="Approved",0,IF(J901="",0,J901)))</f>
        <v/>
      </c>
      <c r="O901" s="75">
        <f>IF(N901="","",ContAmt-MAX(0,N901-WorkBudget))</f>
        <v/>
      </c>
      <c r="P901" s="120">
        <f>IF(OR(N901="",ForecastEnd=""),"",ForecastEnd+IF(L901="Approved",0,IF(K901="",0,K901)))</f>
        <v/>
      </c>
      <c r="Q901" s="121">
        <f>IF(OR(N901="",WorkBudget=0),"",N901/WorkBudget-1)</f>
        <v/>
      </c>
      <c r="R901" s="79">
        <f>IF(N901="","",IF(N901&lt;=WorkBudget,0,IF(N901&lt;=TotalBudget,1,2)))</f>
        <v/>
      </c>
      <c r="S901" s="112">
        <f>IF(AND(OR(H901&lt;&gt;"",J901&lt;&gt;""),OR(L901="Pending",L901=""),C901&lt;&gt;""),C901+3,"")</f>
        <v/>
      </c>
      <c r="T901" s="79">
        <f>IF(S901="","",IF(AsOf&gt;S901,1,2))</f>
        <v/>
      </c>
      <c r="U901" s="79">
        <f>IF(T901="","","Decide on change order "&amp;B901&amp;": "&amp;H901&amp;" (+"&amp;CurSym&amp;" "&amp;FIXED(IF(J901="",0,J901),0)&amp;")")</f>
        <v/>
      </c>
    </row>
    <row r="902" ht="24" customHeight="1">
      <c r="B902" s="74" t="n"/>
      <c r="C902" s="109" t="n"/>
      <c r="D902" s="72" t="n"/>
      <c r="E902" s="72" t="n"/>
      <c r="F902" s="72" t="n"/>
      <c r="G902" s="72" t="n"/>
      <c r="H902" s="113" t="n"/>
      <c r="I902" s="72" t="n"/>
      <c r="J902" s="73" t="n"/>
      <c r="K902" s="89" t="n"/>
      <c r="L902" s="74" t="n"/>
      <c r="M902" s="109" t="n"/>
      <c r="N902" s="68">
        <f>IF(AND(H902="",J902=""),"",ForecastTotal+IF(L902="Approved",0,IF(J902="",0,J902)))</f>
        <v/>
      </c>
      <c r="O902" s="75">
        <f>IF(N902="","",ContAmt-MAX(0,N902-WorkBudget))</f>
        <v/>
      </c>
      <c r="P902" s="120">
        <f>IF(OR(N902="",ForecastEnd=""),"",ForecastEnd+IF(L902="Approved",0,IF(K902="",0,K902)))</f>
        <v/>
      </c>
      <c r="Q902" s="121">
        <f>IF(OR(N902="",WorkBudget=0),"",N902/WorkBudget-1)</f>
        <v/>
      </c>
      <c r="R902" s="79">
        <f>IF(N902="","",IF(N902&lt;=WorkBudget,0,IF(N902&lt;=TotalBudget,1,2)))</f>
        <v/>
      </c>
      <c r="S902" s="112">
        <f>IF(AND(OR(H902&lt;&gt;"",J902&lt;&gt;""),OR(L902="Pending",L902=""),C902&lt;&gt;""),C902+3,"")</f>
        <v/>
      </c>
      <c r="T902" s="79">
        <f>IF(S902="","",IF(AsOf&gt;S902,1,2))</f>
        <v/>
      </c>
      <c r="U902" s="79">
        <f>IF(T902="","","Decide on change order "&amp;B902&amp;": "&amp;H902&amp;" (+"&amp;CurSym&amp;" "&amp;FIXED(IF(J902="",0,J902),0)&amp;")")</f>
        <v/>
      </c>
    </row>
    <row r="903" ht="24" customHeight="1">
      <c r="B903" s="74" t="n"/>
      <c r="C903" s="109" t="n"/>
      <c r="D903" s="72" t="n"/>
      <c r="E903" s="72" t="n"/>
      <c r="F903" s="72" t="n"/>
      <c r="G903" s="72" t="n"/>
      <c r="H903" s="113" t="n"/>
      <c r="I903" s="72" t="n"/>
      <c r="J903" s="73" t="n"/>
      <c r="K903" s="89" t="n"/>
      <c r="L903" s="74" t="n"/>
      <c r="M903" s="109" t="n"/>
      <c r="N903" s="68">
        <f>IF(AND(H903="",J903=""),"",ForecastTotal+IF(L903="Approved",0,IF(J903="",0,J903)))</f>
        <v/>
      </c>
      <c r="O903" s="75">
        <f>IF(N903="","",ContAmt-MAX(0,N903-WorkBudget))</f>
        <v/>
      </c>
      <c r="P903" s="120">
        <f>IF(OR(N903="",ForecastEnd=""),"",ForecastEnd+IF(L903="Approved",0,IF(K903="",0,K903)))</f>
        <v/>
      </c>
      <c r="Q903" s="121">
        <f>IF(OR(N903="",WorkBudget=0),"",N903/WorkBudget-1)</f>
        <v/>
      </c>
      <c r="R903" s="79">
        <f>IF(N903="","",IF(N903&lt;=WorkBudget,0,IF(N903&lt;=TotalBudget,1,2)))</f>
        <v/>
      </c>
      <c r="S903" s="112">
        <f>IF(AND(OR(H903&lt;&gt;"",J903&lt;&gt;""),OR(L903="Pending",L903=""),C903&lt;&gt;""),C903+3,"")</f>
        <v/>
      </c>
      <c r="T903" s="79">
        <f>IF(S903="","",IF(AsOf&gt;S903,1,2))</f>
        <v/>
      </c>
      <c r="U903" s="79">
        <f>IF(T903="","","Decide on change order "&amp;B903&amp;": "&amp;H903&amp;" (+"&amp;CurSym&amp;" "&amp;FIXED(IF(J903="",0,J903),0)&amp;")")</f>
        <v/>
      </c>
    </row>
    <row r="904" ht="24" customHeight="1">
      <c r="B904" s="74" t="n"/>
      <c r="C904" s="109" t="n"/>
      <c r="D904" s="72" t="n"/>
      <c r="E904" s="72" t="n"/>
      <c r="F904" s="72" t="n"/>
      <c r="G904" s="72" t="n"/>
      <c r="H904" s="113" t="n"/>
      <c r="I904" s="72" t="n"/>
      <c r="J904" s="73" t="n"/>
      <c r="K904" s="89" t="n"/>
      <c r="L904" s="74" t="n"/>
      <c r="M904" s="109" t="n"/>
      <c r="N904" s="68">
        <f>IF(AND(H904="",J904=""),"",ForecastTotal+IF(L904="Approved",0,IF(J904="",0,J904)))</f>
        <v/>
      </c>
      <c r="O904" s="75">
        <f>IF(N904="","",ContAmt-MAX(0,N904-WorkBudget))</f>
        <v/>
      </c>
      <c r="P904" s="120">
        <f>IF(OR(N904="",ForecastEnd=""),"",ForecastEnd+IF(L904="Approved",0,IF(K904="",0,K904)))</f>
        <v/>
      </c>
      <c r="Q904" s="121">
        <f>IF(OR(N904="",WorkBudget=0),"",N904/WorkBudget-1)</f>
        <v/>
      </c>
      <c r="R904" s="79">
        <f>IF(N904="","",IF(N904&lt;=WorkBudget,0,IF(N904&lt;=TotalBudget,1,2)))</f>
        <v/>
      </c>
      <c r="S904" s="112">
        <f>IF(AND(OR(H904&lt;&gt;"",J904&lt;&gt;""),OR(L904="Pending",L904=""),C904&lt;&gt;""),C904+3,"")</f>
        <v/>
      </c>
      <c r="T904" s="79">
        <f>IF(S904="","",IF(AsOf&gt;S904,1,2))</f>
        <v/>
      </c>
      <c r="U904" s="79">
        <f>IF(T904="","","Decide on change order "&amp;B904&amp;": "&amp;H904&amp;" (+"&amp;CurSym&amp;" "&amp;FIXED(IF(J904="",0,J904),0)&amp;")")</f>
        <v/>
      </c>
    </row>
    <row r="905" ht="24" customHeight="1">
      <c r="B905" s="74" t="n"/>
      <c r="C905" s="109" t="n"/>
      <c r="D905" s="72" t="n"/>
      <c r="E905" s="72" t="n"/>
      <c r="F905" s="72" t="n"/>
      <c r="G905" s="72" t="n"/>
      <c r="H905" s="113" t="n"/>
      <c r="I905" s="72" t="n"/>
      <c r="J905" s="73" t="n"/>
      <c r="K905" s="89" t="n"/>
      <c r="L905" s="74" t="n"/>
      <c r="M905" s="109" t="n"/>
      <c r="N905" s="68">
        <f>IF(AND(H905="",J905=""),"",ForecastTotal+IF(L905="Approved",0,IF(J905="",0,J905)))</f>
        <v/>
      </c>
      <c r="O905" s="75">
        <f>IF(N905="","",ContAmt-MAX(0,N905-WorkBudget))</f>
        <v/>
      </c>
      <c r="P905" s="120">
        <f>IF(OR(N905="",ForecastEnd=""),"",ForecastEnd+IF(L905="Approved",0,IF(K905="",0,K905)))</f>
        <v/>
      </c>
      <c r="Q905" s="121">
        <f>IF(OR(N905="",WorkBudget=0),"",N905/WorkBudget-1)</f>
        <v/>
      </c>
      <c r="R905" s="79">
        <f>IF(N905="","",IF(N905&lt;=WorkBudget,0,IF(N905&lt;=TotalBudget,1,2)))</f>
        <v/>
      </c>
      <c r="S905" s="112">
        <f>IF(AND(OR(H905&lt;&gt;"",J905&lt;&gt;""),OR(L905="Pending",L905=""),C905&lt;&gt;""),C905+3,"")</f>
        <v/>
      </c>
      <c r="T905" s="79">
        <f>IF(S905="","",IF(AsOf&gt;S905,1,2))</f>
        <v/>
      </c>
      <c r="U905" s="79">
        <f>IF(T905="","","Decide on change order "&amp;B905&amp;": "&amp;H905&amp;" (+"&amp;CurSym&amp;" "&amp;FIXED(IF(J905="",0,J905),0)&amp;")")</f>
        <v/>
      </c>
    </row>
    <row r="906" ht="24" customHeight="1">
      <c r="B906" s="74" t="n"/>
      <c r="C906" s="109" t="n"/>
      <c r="D906" s="72" t="n"/>
      <c r="E906" s="72" t="n"/>
      <c r="F906" s="72" t="n"/>
      <c r="G906" s="72" t="n"/>
      <c r="H906" s="113" t="n"/>
      <c r="I906" s="72" t="n"/>
      <c r="J906" s="73" t="n"/>
      <c r="K906" s="89" t="n"/>
      <c r="L906" s="74" t="n"/>
      <c r="M906" s="109" t="n"/>
      <c r="N906" s="68">
        <f>IF(AND(H906="",J906=""),"",ForecastTotal+IF(L906="Approved",0,IF(J906="",0,J906)))</f>
        <v/>
      </c>
      <c r="O906" s="75">
        <f>IF(N906="","",ContAmt-MAX(0,N906-WorkBudget))</f>
        <v/>
      </c>
      <c r="P906" s="120">
        <f>IF(OR(N906="",ForecastEnd=""),"",ForecastEnd+IF(L906="Approved",0,IF(K906="",0,K906)))</f>
        <v/>
      </c>
      <c r="Q906" s="121">
        <f>IF(OR(N906="",WorkBudget=0),"",N906/WorkBudget-1)</f>
        <v/>
      </c>
      <c r="R906" s="79">
        <f>IF(N906="","",IF(N906&lt;=WorkBudget,0,IF(N906&lt;=TotalBudget,1,2)))</f>
        <v/>
      </c>
      <c r="S906" s="112">
        <f>IF(AND(OR(H906&lt;&gt;"",J906&lt;&gt;""),OR(L906="Pending",L906=""),C906&lt;&gt;""),C906+3,"")</f>
        <v/>
      </c>
      <c r="T906" s="79">
        <f>IF(S906="","",IF(AsOf&gt;S906,1,2))</f>
        <v/>
      </c>
      <c r="U906" s="79">
        <f>IF(T906="","","Decide on change order "&amp;B906&amp;": "&amp;H906&amp;" (+"&amp;CurSym&amp;" "&amp;FIXED(IF(J906="",0,J906),0)&amp;")")</f>
        <v/>
      </c>
    </row>
    <row r="907" ht="24" customHeight="1">
      <c r="B907" s="74" t="n"/>
      <c r="C907" s="109" t="n"/>
      <c r="D907" s="72" t="n"/>
      <c r="E907" s="72" t="n"/>
      <c r="F907" s="72" t="n"/>
      <c r="G907" s="72" t="n"/>
      <c r="H907" s="113" t="n"/>
      <c r="I907" s="72" t="n"/>
      <c r="J907" s="73" t="n"/>
      <c r="K907" s="89" t="n"/>
      <c r="L907" s="74" t="n"/>
      <c r="M907" s="109" t="n"/>
      <c r="N907" s="68">
        <f>IF(AND(H907="",J907=""),"",ForecastTotal+IF(L907="Approved",0,IF(J907="",0,J907)))</f>
        <v/>
      </c>
      <c r="O907" s="75">
        <f>IF(N907="","",ContAmt-MAX(0,N907-WorkBudget))</f>
        <v/>
      </c>
      <c r="P907" s="120">
        <f>IF(OR(N907="",ForecastEnd=""),"",ForecastEnd+IF(L907="Approved",0,IF(K907="",0,K907)))</f>
        <v/>
      </c>
      <c r="Q907" s="121">
        <f>IF(OR(N907="",WorkBudget=0),"",N907/WorkBudget-1)</f>
        <v/>
      </c>
      <c r="R907" s="79">
        <f>IF(N907="","",IF(N907&lt;=WorkBudget,0,IF(N907&lt;=TotalBudget,1,2)))</f>
        <v/>
      </c>
      <c r="S907" s="112">
        <f>IF(AND(OR(H907&lt;&gt;"",J907&lt;&gt;""),OR(L907="Pending",L907=""),C907&lt;&gt;""),C907+3,"")</f>
        <v/>
      </c>
      <c r="T907" s="79">
        <f>IF(S907="","",IF(AsOf&gt;S907,1,2))</f>
        <v/>
      </c>
      <c r="U907" s="79">
        <f>IF(T907="","","Decide on change order "&amp;B907&amp;": "&amp;H907&amp;" (+"&amp;CurSym&amp;" "&amp;FIXED(IF(J907="",0,J907),0)&amp;")")</f>
        <v/>
      </c>
    </row>
    <row r="908" ht="24" customHeight="1">
      <c r="B908" s="74" t="n"/>
      <c r="C908" s="109" t="n"/>
      <c r="D908" s="72" t="n"/>
      <c r="E908" s="72" t="n"/>
      <c r="F908" s="72" t="n"/>
      <c r="G908" s="72" t="n"/>
      <c r="H908" s="113" t="n"/>
      <c r="I908" s="72" t="n"/>
      <c r="J908" s="73" t="n"/>
      <c r="K908" s="89" t="n"/>
      <c r="L908" s="74" t="n"/>
      <c r="M908" s="109" t="n"/>
      <c r="N908" s="68">
        <f>IF(AND(H908="",J908=""),"",ForecastTotal+IF(L908="Approved",0,IF(J908="",0,J908)))</f>
        <v/>
      </c>
      <c r="O908" s="75">
        <f>IF(N908="","",ContAmt-MAX(0,N908-WorkBudget))</f>
        <v/>
      </c>
      <c r="P908" s="120">
        <f>IF(OR(N908="",ForecastEnd=""),"",ForecastEnd+IF(L908="Approved",0,IF(K908="",0,K908)))</f>
        <v/>
      </c>
      <c r="Q908" s="121">
        <f>IF(OR(N908="",WorkBudget=0),"",N908/WorkBudget-1)</f>
        <v/>
      </c>
      <c r="R908" s="79">
        <f>IF(N908="","",IF(N908&lt;=WorkBudget,0,IF(N908&lt;=TotalBudget,1,2)))</f>
        <v/>
      </c>
      <c r="S908" s="112">
        <f>IF(AND(OR(H908&lt;&gt;"",J908&lt;&gt;""),OR(L908="Pending",L908=""),C908&lt;&gt;""),C908+3,"")</f>
        <v/>
      </c>
      <c r="T908" s="79">
        <f>IF(S908="","",IF(AsOf&gt;S908,1,2))</f>
        <v/>
      </c>
      <c r="U908" s="79">
        <f>IF(T908="","","Decide on change order "&amp;B908&amp;": "&amp;H908&amp;" (+"&amp;CurSym&amp;" "&amp;FIXED(IF(J908="",0,J908),0)&amp;")")</f>
        <v/>
      </c>
    </row>
    <row r="909" ht="24" customHeight="1">
      <c r="B909" s="74" t="n"/>
      <c r="C909" s="109" t="n"/>
      <c r="D909" s="72" t="n"/>
      <c r="E909" s="72" t="n"/>
      <c r="F909" s="72" t="n"/>
      <c r="G909" s="72" t="n"/>
      <c r="H909" s="113" t="n"/>
      <c r="I909" s="72" t="n"/>
      <c r="J909" s="73" t="n"/>
      <c r="K909" s="89" t="n"/>
      <c r="L909" s="74" t="n"/>
      <c r="M909" s="109" t="n"/>
      <c r="N909" s="68">
        <f>IF(AND(H909="",J909=""),"",ForecastTotal+IF(L909="Approved",0,IF(J909="",0,J909)))</f>
        <v/>
      </c>
      <c r="O909" s="75">
        <f>IF(N909="","",ContAmt-MAX(0,N909-WorkBudget))</f>
        <v/>
      </c>
      <c r="P909" s="120">
        <f>IF(OR(N909="",ForecastEnd=""),"",ForecastEnd+IF(L909="Approved",0,IF(K909="",0,K909)))</f>
        <v/>
      </c>
      <c r="Q909" s="121">
        <f>IF(OR(N909="",WorkBudget=0),"",N909/WorkBudget-1)</f>
        <v/>
      </c>
      <c r="R909" s="79">
        <f>IF(N909="","",IF(N909&lt;=WorkBudget,0,IF(N909&lt;=TotalBudget,1,2)))</f>
        <v/>
      </c>
      <c r="S909" s="112">
        <f>IF(AND(OR(H909&lt;&gt;"",J909&lt;&gt;""),OR(L909="Pending",L909=""),C909&lt;&gt;""),C909+3,"")</f>
        <v/>
      </c>
      <c r="T909" s="79">
        <f>IF(S909="","",IF(AsOf&gt;S909,1,2))</f>
        <v/>
      </c>
      <c r="U909" s="79">
        <f>IF(T909="","","Decide on change order "&amp;B909&amp;": "&amp;H909&amp;" (+"&amp;CurSym&amp;" "&amp;FIXED(IF(J909="",0,J909),0)&amp;")")</f>
        <v/>
      </c>
    </row>
    <row r="910" ht="24" customHeight="1">
      <c r="B910" s="74" t="n"/>
      <c r="C910" s="109" t="n"/>
      <c r="D910" s="72" t="n"/>
      <c r="E910" s="72" t="n"/>
      <c r="F910" s="72" t="n"/>
      <c r="G910" s="72" t="n"/>
      <c r="H910" s="113" t="n"/>
      <c r="I910" s="72" t="n"/>
      <c r="J910" s="73" t="n"/>
      <c r="K910" s="89" t="n"/>
      <c r="L910" s="74" t="n"/>
      <c r="M910" s="109" t="n"/>
      <c r="N910" s="68">
        <f>IF(AND(H910="",J910=""),"",ForecastTotal+IF(L910="Approved",0,IF(J910="",0,J910)))</f>
        <v/>
      </c>
      <c r="O910" s="75">
        <f>IF(N910="","",ContAmt-MAX(0,N910-WorkBudget))</f>
        <v/>
      </c>
      <c r="P910" s="120">
        <f>IF(OR(N910="",ForecastEnd=""),"",ForecastEnd+IF(L910="Approved",0,IF(K910="",0,K910)))</f>
        <v/>
      </c>
      <c r="Q910" s="121">
        <f>IF(OR(N910="",WorkBudget=0),"",N910/WorkBudget-1)</f>
        <v/>
      </c>
      <c r="R910" s="79">
        <f>IF(N910="","",IF(N910&lt;=WorkBudget,0,IF(N910&lt;=TotalBudget,1,2)))</f>
        <v/>
      </c>
      <c r="S910" s="112">
        <f>IF(AND(OR(H910&lt;&gt;"",J910&lt;&gt;""),OR(L910="Pending",L910=""),C910&lt;&gt;""),C910+3,"")</f>
        <v/>
      </c>
      <c r="T910" s="79">
        <f>IF(S910="","",IF(AsOf&gt;S910,1,2))</f>
        <v/>
      </c>
      <c r="U910" s="79">
        <f>IF(T910="","","Decide on change order "&amp;B910&amp;": "&amp;H910&amp;" (+"&amp;CurSym&amp;" "&amp;FIXED(IF(J910="",0,J910),0)&amp;")")</f>
        <v/>
      </c>
    </row>
    <row r="911" ht="24" customHeight="1">
      <c r="B911" s="74" t="n"/>
      <c r="C911" s="109" t="n"/>
      <c r="D911" s="72" t="n"/>
      <c r="E911" s="72" t="n"/>
      <c r="F911" s="72" t="n"/>
      <c r="G911" s="72" t="n"/>
      <c r="H911" s="113" t="n"/>
      <c r="I911" s="72" t="n"/>
      <c r="J911" s="73" t="n"/>
      <c r="K911" s="89" t="n"/>
      <c r="L911" s="74" t="n"/>
      <c r="M911" s="109" t="n"/>
      <c r="N911" s="68">
        <f>IF(AND(H911="",J911=""),"",ForecastTotal+IF(L911="Approved",0,IF(J911="",0,J911)))</f>
        <v/>
      </c>
      <c r="O911" s="75">
        <f>IF(N911="","",ContAmt-MAX(0,N911-WorkBudget))</f>
        <v/>
      </c>
      <c r="P911" s="120">
        <f>IF(OR(N911="",ForecastEnd=""),"",ForecastEnd+IF(L911="Approved",0,IF(K911="",0,K911)))</f>
        <v/>
      </c>
      <c r="Q911" s="121">
        <f>IF(OR(N911="",WorkBudget=0),"",N911/WorkBudget-1)</f>
        <v/>
      </c>
      <c r="R911" s="79">
        <f>IF(N911="","",IF(N911&lt;=WorkBudget,0,IF(N911&lt;=TotalBudget,1,2)))</f>
        <v/>
      </c>
      <c r="S911" s="112">
        <f>IF(AND(OR(H911&lt;&gt;"",J911&lt;&gt;""),OR(L911="Pending",L911=""),C911&lt;&gt;""),C911+3,"")</f>
        <v/>
      </c>
      <c r="T911" s="79">
        <f>IF(S911="","",IF(AsOf&gt;S911,1,2))</f>
        <v/>
      </c>
      <c r="U911" s="79">
        <f>IF(T911="","","Decide on change order "&amp;B911&amp;": "&amp;H911&amp;" (+"&amp;CurSym&amp;" "&amp;FIXED(IF(J911="",0,J911),0)&amp;")")</f>
        <v/>
      </c>
    </row>
    <row r="912" ht="24" customHeight="1">
      <c r="B912" s="74" t="n"/>
      <c r="C912" s="109" t="n"/>
      <c r="D912" s="72" t="n"/>
      <c r="E912" s="72" t="n"/>
      <c r="F912" s="72" t="n"/>
      <c r="G912" s="72" t="n"/>
      <c r="H912" s="113" t="n"/>
      <c r="I912" s="72" t="n"/>
      <c r="J912" s="73" t="n"/>
      <c r="K912" s="89" t="n"/>
      <c r="L912" s="74" t="n"/>
      <c r="M912" s="109" t="n"/>
      <c r="N912" s="68">
        <f>IF(AND(H912="",J912=""),"",ForecastTotal+IF(L912="Approved",0,IF(J912="",0,J912)))</f>
        <v/>
      </c>
      <c r="O912" s="75">
        <f>IF(N912="","",ContAmt-MAX(0,N912-WorkBudget))</f>
        <v/>
      </c>
      <c r="P912" s="120">
        <f>IF(OR(N912="",ForecastEnd=""),"",ForecastEnd+IF(L912="Approved",0,IF(K912="",0,K912)))</f>
        <v/>
      </c>
      <c r="Q912" s="121">
        <f>IF(OR(N912="",WorkBudget=0),"",N912/WorkBudget-1)</f>
        <v/>
      </c>
      <c r="R912" s="79">
        <f>IF(N912="","",IF(N912&lt;=WorkBudget,0,IF(N912&lt;=TotalBudget,1,2)))</f>
        <v/>
      </c>
      <c r="S912" s="112">
        <f>IF(AND(OR(H912&lt;&gt;"",J912&lt;&gt;""),OR(L912="Pending",L912=""),C912&lt;&gt;""),C912+3,"")</f>
        <v/>
      </c>
      <c r="T912" s="79">
        <f>IF(S912="","",IF(AsOf&gt;S912,1,2))</f>
        <v/>
      </c>
      <c r="U912" s="79">
        <f>IF(T912="","","Decide on change order "&amp;B912&amp;": "&amp;H912&amp;" (+"&amp;CurSym&amp;" "&amp;FIXED(IF(J912="",0,J912),0)&amp;")")</f>
        <v/>
      </c>
    </row>
    <row r="913" ht="24" customHeight="1">
      <c r="B913" s="74" t="n"/>
      <c r="C913" s="109" t="n"/>
      <c r="D913" s="72" t="n"/>
      <c r="E913" s="72" t="n"/>
      <c r="F913" s="72" t="n"/>
      <c r="G913" s="72" t="n"/>
      <c r="H913" s="113" t="n"/>
      <c r="I913" s="72" t="n"/>
      <c r="J913" s="73" t="n"/>
      <c r="K913" s="89" t="n"/>
      <c r="L913" s="74" t="n"/>
      <c r="M913" s="109" t="n"/>
      <c r="N913" s="68">
        <f>IF(AND(H913="",J913=""),"",ForecastTotal+IF(L913="Approved",0,IF(J913="",0,J913)))</f>
        <v/>
      </c>
      <c r="O913" s="75">
        <f>IF(N913="","",ContAmt-MAX(0,N913-WorkBudget))</f>
        <v/>
      </c>
      <c r="P913" s="120">
        <f>IF(OR(N913="",ForecastEnd=""),"",ForecastEnd+IF(L913="Approved",0,IF(K913="",0,K913)))</f>
        <v/>
      </c>
      <c r="Q913" s="121">
        <f>IF(OR(N913="",WorkBudget=0),"",N913/WorkBudget-1)</f>
        <v/>
      </c>
      <c r="R913" s="79">
        <f>IF(N913="","",IF(N913&lt;=WorkBudget,0,IF(N913&lt;=TotalBudget,1,2)))</f>
        <v/>
      </c>
      <c r="S913" s="112">
        <f>IF(AND(OR(H913&lt;&gt;"",J913&lt;&gt;""),OR(L913="Pending",L913=""),C913&lt;&gt;""),C913+3,"")</f>
        <v/>
      </c>
      <c r="T913" s="79">
        <f>IF(S913="","",IF(AsOf&gt;S913,1,2))</f>
        <v/>
      </c>
      <c r="U913" s="79">
        <f>IF(T913="","","Decide on change order "&amp;B913&amp;": "&amp;H913&amp;" (+"&amp;CurSym&amp;" "&amp;FIXED(IF(J913="",0,J913),0)&amp;")")</f>
        <v/>
      </c>
    </row>
    <row r="914" ht="24" customHeight="1">
      <c r="B914" s="74" t="n"/>
      <c r="C914" s="109" t="n"/>
      <c r="D914" s="72" t="n"/>
      <c r="E914" s="72" t="n"/>
      <c r="F914" s="72" t="n"/>
      <c r="G914" s="72" t="n"/>
      <c r="H914" s="113" t="n"/>
      <c r="I914" s="72" t="n"/>
      <c r="J914" s="73" t="n"/>
      <c r="K914" s="89" t="n"/>
      <c r="L914" s="74" t="n"/>
      <c r="M914" s="109" t="n"/>
      <c r="N914" s="68">
        <f>IF(AND(H914="",J914=""),"",ForecastTotal+IF(L914="Approved",0,IF(J914="",0,J914)))</f>
        <v/>
      </c>
      <c r="O914" s="75">
        <f>IF(N914="","",ContAmt-MAX(0,N914-WorkBudget))</f>
        <v/>
      </c>
      <c r="P914" s="120">
        <f>IF(OR(N914="",ForecastEnd=""),"",ForecastEnd+IF(L914="Approved",0,IF(K914="",0,K914)))</f>
        <v/>
      </c>
      <c r="Q914" s="121">
        <f>IF(OR(N914="",WorkBudget=0),"",N914/WorkBudget-1)</f>
        <v/>
      </c>
      <c r="R914" s="79">
        <f>IF(N914="","",IF(N914&lt;=WorkBudget,0,IF(N914&lt;=TotalBudget,1,2)))</f>
        <v/>
      </c>
      <c r="S914" s="112">
        <f>IF(AND(OR(H914&lt;&gt;"",J914&lt;&gt;""),OR(L914="Pending",L914=""),C914&lt;&gt;""),C914+3,"")</f>
        <v/>
      </c>
      <c r="T914" s="79">
        <f>IF(S914="","",IF(AsOf&gt;S914,1,2))</f>
        <v/>
      </c>
      <c r="U914" s="79">
        <f>IF(T914="","","Decide on change order "&amp;B914&amp;": "&amp;H914&amp;" (+"&amp;CurSym&amp;" "&amp;FIXED(IF(J914="",0,J914),0)&amp;")")</f>
        <v/>
      </c>
    </row>
    <row r="915" ht="24" customHeight="1">
      <c r="B915" s="74" t="n"/>
      <c r="C915" s="109" t="n"/>
      <c r="D915" s="72" t="n"/>
      <c r="E915" s="72" t="n"/>
      <c r="F915" s="72" t="n"/>
      <c r="G915" s="72" t="n"/>
      <c r="H915" s="113" t="n"/>
      <c r="I915" s="72" t="n"/>
      <c r="J915" s="73" t="n"/>
      <c r="K915" s="89" t="n"/>
      <c r="L915" s="74" t="n"/>
      <c r="M915" s="109" t="n"/>
      <c r="N915" s="68">
        <f>IF(AND(H915="",J915=""),"",ForecastTotal+IF(L915="Approved",0,IF(J915="",0,J915)))</f>
        <v/>
      </c>
      <c r="O915" s="75">
        <f>IF(N915="","",ContAmt-MAX(0,N915-WorkBudget))</f>
        <v/>
      </c>
      <c r="P915" s="120">
        <f>IF(OR(N915="",ForecastEnd=""),"",ForecastEnd+IF(L915="Approved",0,IF(K915="",0,K915)))</f>
        <v/>
      </c>
      <c r="Q915" s="121">
        <f>IF(OR(N915="",WorkBudget=0),"",N915/WorkBudget-1)</f>
        <v/>
      </c>
      <c r="R915" s="79">
        <f>IF(N915="","",IF(N915&lt;=WorkBudget,0,IF(N915&lt;=TotalBudget,1,2)))</f>
        <v/>
      </c>
      <c r="S915" s="112">
        <f>IF(AND(OR(H915&lt;&gt;"",J915&lt;&gt;""),OR(L915="Pending",L915=""),C915&lt;&gt;""),C915+3,"")</f>
        <v/>
      </c>
      <c r="T915" s="79">
        <f>IF(S915="","",IF(AsOf&gt;S915,1,2))</f>
        <v/>
      </c>
      <c r="U915" s="79">
        <f>IF(T915="","","Decide on change order "&amp;B915&amp;": "&amp;H915&amp;" (+"&amp;CurSym&amp;" "&amp;FIXED(IF(J915="",0,J915),0)&amp;")")</f>
        <v/>
      </c>
    </row>
    <row r="916" ht="24" customHeight="1">
      <c r="B916" s="74" t="n"/>
      <c r="C916" s="109" t="n"/>
      <c r="D916" s="72" t="n"/>
      <c r="E916" s="72" t="n"/>
      <c r="F916" s="72" t="n"/>
      <c r="G916" s="72" t="n"/>
      <c r="H916" s="113" t="n"/>
      <c r="I916" s="72" t="n"/>
      <c r="J916" s="73" t="n"/>
      <c r="K916" s="89" t="n"/>
      <c r="L916" s="74" t="n"/>
      <c r="M916" s="109" t="n"/>
      <c r="N916" s="68">
        <f>IF(AND(H916="",J916=""),"",ForecastTotal+IF(L916="Approved",0,IF(J916="",0,J916)))</f>
        <v/>
      </c>
      <c r="O916" s="75">
        <f>IF(N916="","",ContAmt-MAX(0,N916-WorkBudget))</f>
        <v/>
      </c>
      <c r="P916" s="120">
        <f>IF(OR(N916="",ForecastEnd=""),"",ForecastEnd+IF(L916="Approved",0,IF(K916="",0,K916)))</f>
        <v/>
      </c>
      <c r="Q916" s="121">
        <f>IF(OR(N916="",WorkBudget=0),"",N916/WorkBudget-1)</f>
        <v/>
      </c>
      <c r="R916" s="79">
        <f>IF(N916="","",IF(N916&lt;=WorkBudget,0,IF(N916&lt;=TotalBudget,1,2)))</f>
        <v/>
      </c>
      <c r="S916" s="112">
        <f>IF(AND(OR(H916&lt;&gt;"",J916&lt;&gt;""),OR(L916="Pending",L916=""),C916&lt;&gt;""),C916+3,"")</f>
        <v/>
      </c>
      <c r="T916" s="79">
        <f>IF(S916="","",IF(AsOf&gt;S916,1,2))</f>
        <v/>
      </c>
      <c r="U916" s="79">
        <f>IF(T916="","","Decide on change order "&amp;B916&amp;": "&amp;H916&amp;" (+"&amp;CurSym&amp;" "&amp;FIXED(IF(J916="",0,J916),0)&amp;")")</f>
        <v/>
      </c>
    </row>
    <row r="917" ht="24" customHeight="1">
      <c r="B917" s="74" t="n"/>
      <c r="C917" s="109" t="n"/>
      <c r="D917" s="72" t="n"/>
      <c r="E917" s="72" t="n"/>
      <c r="F917" s="72" t="n"/>
      <c r="G917" s="72" t="n"/>
      <c r="H917" s="113" t="n"/>
      <c r="I917" s="72" t="n"/>
      <c r="J917" s="73" t="n"/>
      <c r="K917" s="89" t="n"/>
      <c r="L917" s="74" t="n"/>
      <c r="M917" s="109" t="n"/>
      <c r="N917" s="68">
        <f>IF(AND(H917="",J917=""),"",ForecastTotal+IF(L917="Approved",0,IF(J917="",0,J917)))</f>
        <v/>
      </c>
      <c r="O917" s="75">
        <f>IF(N917="","",ContAmt-MAX(0,N917-WorkBudget))</f>
        <v/>
      </c>
      <c r="P917" s="120">
        <f>IF(OR(N917="",ForecastEnd=""),"",ForecastEnd+IF(L917="Approved",0,IF(K917="",0,K917)))</f>
        <v/>
      </c>
      <c r="Q917" s="121">
        <f>IF(OR(N917="",WorkBudget=0),"",N917/WorkBudget-1)</f>
        <v/>
      </c>
      <c r="R917" s="79">
        <f>IF(N917="","",IF(N917&lt;=WorkBudget,0,IF(N917&lt;=TotalBudget,1,2)))</f>
        <v/>
      </c>
      <c r="S917" s="112">
        <f>IF(AND(OR(H917&lt;&gt;"",J917&lt;&gt;""),OR(L917="Pending",L917=""),C917&lt;&gt;""),C917+3,"")</f>
        <v/>
      </c>
      <c r="T917" s="79">
        <f>IF(S917="","",IF(AsOf&gt;S917,1,2))</f>
        <v/>
      </c>
      <c r="U917" s="79">
        <f>IF(T917="","","Decide on change order "&amp;B917&amp;": "&amp;H917&amp;" (+"&amp;CurSym&amp;" "&amp;FIXED(IF(J917="",0,J917),0)&amp;")")</f>
        <v/>
      </c>
    </row>
    <row r="918" ht="24" customHeight="1">
      <c r="B918" s="74" t="n"/>
      <c r="C918" s="109" t="n"/>
      <c r="D918" s="72" t="n"/>
      <c r="E918" s="72" t="n"/>
      <c r="F918" s="72" t="n"/>
      <c r="G918" s="72" t="n"/>
      <c r="H918" s="113" t="n"/>
      <c r="I918" s="72" t="n"/>
      <c r="J918" s="73" t="n"/>
      <c r="K918" s="89" t="n"/>
      <c r="L918" s="74" t="n"/>
      <c r="M918" s="109" t="n"/>
      <c r="N918" s="68">
        <f>IF(AND(H918="",J918=""),"",ForecastTotal+IF(L918="Approved",0,IF(J918="",0,J918)))</f>
        <v/>
      </c>
      <c r="O918" s="75">
        <f>IF(N918="","",ContAmt-MAX(0,N918-WorkBudget))</f>
        <v/>
      </c>
      <c r="P918" s="120">
        <f>IF(OR(N918="",ForecastEnd=""),"",ForecastEnd+IF(L918="Approved",0,IF(K918="",0,K918)))</f>
        <v/>
      </c>
      <c r="Q918" s="121">
        <f>IF(OR(N918="",WorkBudget=0),"",N918/WorkBudget-1)</f>
        <v/>
      </c>
      <c r="R918" s="79">
        <f>IF(N918="","",IF(N918&lt;=WorkBudget,0,IF(N918&lt;=TotalBudget,1,2)))</f>
        <v/>
      </c>
      <c r="S918" s="112">
        <f>IF(AND(OR(H918&lt;&gt;"",J918&lt;&gt;""),OR(L918="Pending",L918=""),C918&lt;&gt;""),C918+3,"")</f>
        <v/>
      </c>
      <c r="T918" s="79">
        <f>IF(S918="","",IF(AsOf&gt;S918,1,2))</f>
        <v/>
      </c>
      <c r="U918" s="79">
        <f>IF(T918="","","Decide on change order "&amp;B918&amp;": "&amp;H918&amp;" (+"&amp;CurSym&amp;" "&amp;FIXED(IF(J918="",0,J918),0)&amp;")")</f>
        <v/>
      </c>
    </row>
    <row r="919" ht="24" customHeight="1">
      <c r="B919" s="74" t="n"/>
      <c r="C919" s="109" t="n"/>
      <c r="D919" s="72" t="n"/>
      <c r="E919" s="72" t="n"/>
      <c r="F919" s="72" t="n"/>
      <c r="G919" s="72" t="n"/>
      <c r="H919" s="113" t="n"/>
      <c r="I919" s="72" t="n"/>
      <c r="J919" s="73" t="n"/>
      <c r="K919" s="89" t="n"/>
      <c r="L919" s="74" t="n"/>
      <c r="M919" s="109" t="n"/>
      <c r="N919" s="68">
        <f>IF(AND(H919="",J919=""),"",ForecastTotal+IF(L919="Approved",0,IF(J919="",0,J919)))</f>
        <v/>
      </c>
      <c r="O919" s="75">
        <f>IF(N919="","",ContAmt-MAX(0,N919-WorkBudget))</f>
        <v/>
      </c>
      <c r="P919" s="120">
        <f>IF(OR(N919="",ForecastEnd=""),"",ForecastEnd+IF(L919="Approved",0,IF(K919="",0,K919)))</f>
        <v/>
      </c>
      <c r="Q919" s="121">
        <f>IF(OR(N919="",WorkBudget=0),"",N919/WorkBudget-1)</f>
        <v/>
      </c>
      <c r="R919" s="79">
        <f>IF(N919="","",IF(N919&lt;=WorkBudget,0,IF(N919&lt;=TotalBudget,1,2)))</f>
        <v/>
      </c>
      <c r="S919" s="112">
        <f>IF(AND(OR(H919&lt;&gt;"",J919&lt;&gt;""),OR(L919="Pending",L919=""),C919&lt;&gt;""),C919+3,"")</f>
        <v/>
      </c>
      <c r="T919" s="79">
        <f>IF(S919="","",IF(AsOf&gt;S919,1,2))</f>
        <v/>
      </c>
      <c r="U919" s="79">
        <f>IF(T919="","","Decide on change order "&amp;B919&amp;": "&amp;H919&amp;" (+"&amp;CurSym&amp;" "&amp;FIXED(IF(J919="",0,J919),0)&amp;")")</f>
        <v/>
      </c>
    </row>
    <row r="920" ht="24" customHeight="1">
      <c r="B920" s="74" t="n"/>
      <c r="C920" s="109" t="n"/>
      <c r="D920" s="72" t="n"/>
      <c r="E920" s="72" t="n"/>
      <c r="F920" s="72" t="n"/>
      <c r="G920" s="72" t="n"/>
      <c r="H920" s="113" t="n"/>
      <c r="I920" s="72" t="n"/>
      <c r="J920" s="73" t="n"/>
      <c r="K920" s="89" t="n"/>
      <c r="L920" s="74" t="n"/>
      <c r="M920" s="109" t="n"/>
      <c r="N920" s="68">
        <f>IF(AND(H920="",J920=""),"",ForecastTotal+IF(L920="Approved",0,IF(J920="",0,J920)))</f>
        <v/>
      </c>
      <c r="O920" s="75">
        <f>IF(N920="","",ContAmt-MAX(0,N920-WorkBudget))</f>
        <v/>
      </c>
      <c r="P920" s="120">
        <f>IF(OR(N920="",ForecastEnd=""),"",ForecastEnd+IF(L920="Approved",0,IF(K920="",0,K920)))</f>
        <v/>
      </c>
      <c r="Q920" s="121">
        <f>IF(OR(N920="",WorkBudget=0),"",N920/WorkBudget-1)</f>
        <v/>
      </c>
      <c r="R920" s="79">
        <f>IF(N920="","",IF(N920&lt;=WorkBudget,0,IF(N920&lt;=TotalBudget,1,2)))</f>
        <v/>
      </c>
      <c r="S920" s="112">
        <f>IF(AND(OR(H920&lt;&gt;"",J920&lt;&gt;""),OR(L920="Pending",L920=""),C920&lt;&gt;""),C920+3,"")</f>
        <v/>
      </c>
      <c r="T920" s="79">
        <f>IF(S920="","",IF(AsOf&gt;S920,1,2))</f>
        <v/>
      </c>
      <c r="U920" s="79">
        <f>IF(T920="","","Decide on change order "&amp;B920&amp;": "&amp;H920&amp;" (+"&amp;CurSym&amp;" "&amp;FIXED(IF(J920="",0,J920),0)&amp;")")</f>
        <v/>
      </c>
    </row>
    <row r="921" ht="24" customHeight="1">
      <c r="B921" s="74" t="n"/>
      <c r="C921" s="109" t="n"/>
      <c r="D921" s="72" t="n"/>
      <c r="E921" s="72" t="n"/>
      <c r="F921" s="72" t="n"/>
      <c r="G921" s="72" t="n"/>
      <c r="H921" s="113" t="n"/>
      <c r="I921" s="72" t="n"/>
      <c r="J921" s="73" t="n"/>
      <c r="K921" s="89" t="n"/>
      <c r="L921" s="74" t="n"/>
      <c r="M921" s="109" t="n"/>
      <c r="N921" s="68">
        <f>IF(AND(H921="",J921=""),"",ForecastTotal+IF(L921="Approved",0,IF(J921="",0,J921)))</f>
        <v/>
      </c>
      <c r="O921" s="75">
        <f>IF(N921="","",ContAmt-MAX(0,N921-WorkBudget))</f>
        <v/>
      </c>
      <c r="P921" s="120">
        <f>IF(OR(N921="",ForecastEnd=""),"",ForecastEnd+IF(L921="Approved",0,IF(K921="",0,K921)))</f>
        <v/>
      </c>
      <c r="Q921" s="121">
        <f>IF(OR(N921="",WorkBudget=0),"",N921/WorkBudget-1)</f>
        <v/>
      </c>
      <c r="R921" s="79">
        <f>IF(N921="","",IF(N921&lt;=WorkBudget,0,IF(N921&lt;=TotalBudget,1,2)))</f>
        <v/>
      </c>
      <c r="S921" s="112">
        <f>IF(AND(OR(H921&lt;&gt;"",J921&lt;&gt;""),OR(L921="Pending",L921=""),C921&lt;&gt;""),C921+3,"")</f>
        <v/>
      </c>
      <c r="T921" s="79">
        <f>IF(S921="","",IF(AsOf&gt;S921,1,2))</f>
        <v/>
      </c>
      <c r="U921" s="79">
        <f>IF(T921="","","Decide on change order "&amp;B921&amp;": "&amp;H921&amp;" (+"&amp;CurSym&amp;" "&amp;FIXED(IF(J921="",0,J921),0)&amp;")")</f>
        <v/>
      </c>
    </row>
    <row r="922" ht="24" customHeight="1">
      <c r="B922" s="74" t="n"/>
      <c r="C922" s="109" t="n"/>
      <c r="D922" s="72" t="n"/>
      <c r="E922" s="72" t="n"/>
      <c r="F922" s="72" t="n"/>
      <c r="G922" s="72" t="n"/>
      <c r="H922" s="113" t="n"/>
      <c r="I922" s="72" t="n"/>
      <c r="J922" s="73" t="n"/>
      <c r="K922" s="89" t="n"/>
      <c r="L922" s="74" t="n"/>
      <c r="M922" s="109" t="n"/>
      <c r="N922" s="68">
        <f>IF(AND(H922="",J922=""),"",ForecastTotal+IF(L922="Approved",0,IF(J922="",0,J922)))</f>
        <v/>
      </c>
      <c r="O922" s="75">
        <f>IF(N922="","",ContAmt-MAX(0,N922-WorkBudget))</f>
        <v/>
      </c>
      <c r="P922" s="120">
        <f>IF(OR(N922="",ForecastEnd=""),"",ForecastEnd+IF(L922="Approved",0,IF(K922="",0,K922)))</f>
        <v/>
      </c>
      <c r="Q922" s="121">
        <f>IF(OR(N922="",WorkBudget=0),"",N922/WorkBudget-1)</f>
        <v/>
      </c>
      <c r="R922" s="79">
        <f>IF(N922="","",IF(N922&lt;=WorkBudget,0,IF(N922&lt;=TotalBudget,1,2)))</f>
        <v/>
      </c>
      <c r="S922" s="112">
        <f>IF(AND(OR(H922&lt;&gt;"",J922&lt;&gt;""),OR(L922="Pending",L922=""),C922&lt;&gt;""),C922+3,"")</f>
        <v/>
      </c>
      <c r="T922" s="79">
        <f>IF(S922="","",IF(AsOf&gt;S922,1,2))</f>
        <v/>
      </c>
      <c r="U922" s="79">
        <f>IF(T922="","","Decide on change order "&amp;B922&amp;": "&amp;H922&amp;" (+"&amp;CurSym&amp;" "&amp;FIXED(IF(J922="",0,J922),0)&amp;")")</f>
        <v/>
      </c>
    </row>
    <row r="923" ht="24" customHeight="1">
      <c r="B923" s="74" t="n"/>
      <c r="C923" s="109" t="n"/>
      <c r="D923" s="72" t="n"/>
      <c r="E923" s="72" t="n"/>
      <c r="F923" s="72" t="n"/>
      <c r="G923" s="72" t="n"/>
      <c r="H923" s="113" t="n"/>
      <c r="I923" s="72" t="n"/>
      <c r="J923" s="73" t="n"/>
      <c r="K923" s="89" t="n"/>
      <c r="L923" s="74" t="n"/>
      <c r="M923" s="109" t="n"/>
      <c r="N923" s="68">
        <f>IF(AND(H923="",J923=""),"",ForecastTotal+IF(L923="Approved",0,IF(J923="",0,J923)))</f>
        <v/>
      </c>
      <c r="O923" s="75">
        <f>IF(N923="","",ContAmt-MAX(0,N923-WorkBudget))</f>
        <v/>
      </c>
      <c r="P923" s="120">
        <f>IF(OR(N923="",ForecastEnd=""),"",ForecastEnd+IF(L923="Approved",0,IF(K923="",0,K923)))</f>
        <v/>
      </c>
      <c r="Q923" s="121">
        <f>IF(OR(N923="",WorkBudget=0),"",N923/WorkBudget-1)</f>
        <v/>
      </c>
      <c r="R923" s="79">
        <f>IF(N923="","",IF(N923&lt;=WorkBudget,0,IF(N923&lt;=TotalBudget,1,2)))</f>
        <v/>
      </c>
      <c r="S923" s="112">
        <f>IF(AND(OR(H923&lt;&gt;"",J923&lt;&gt;""),OR(L923="Pending",L923=""),C923&lt;&gt;""),C923+3,"")</f>
        <v/>
      </c>
      <c r="T923" s="79">
        <f>IF(S923="","",IF(AsOf&gt;S923,1,2))</f>
        <v/>
      </c>
      <c r="U923" s="79">
        <f>IF(T923="","","Decide on change order "&amp;B923&amp;": "&amp;H923&amp;" (+"&amp;CurSym&amp;" "&amp;FIXED(IF(J923="",0,J923),0)&amp;")")</f>
        <v/>
      </c>
    </row>
    <row r="924" ht="24" customHeight="1">
      <c r="B924" s="74" t="n"/>
      <c r="C924" s="109" t="n"/>
      <c r="D924" s="72" t="n"/>
      <c r="E924" s="72" t="n"/>
      <c r="F924" s="72" t="n"/>
      <c r="G924" s="72" t="n"/>
      <c r="H924" s="113" t="n"/>
      <c r="I924" s="72" t="n"/>
      <c r="J924" s="73" t="n"/>
      <c r="K924" s="89" t="n"/>
      <c r="L924" s="74" t="n"/>
      <c r="M924" s="109" t="n"/>
      <c r="N924" s="68">
        <f>IF(AND(H924="",J924=""),"",ForecastTotal+IF(L924="Approved",0,IF(J924="",0,J924)))</f>
        <v/>
      </c>
      <c r="O924" s="75">
        <f>IF(N924="","",ContAmt-MAX(0,N924-WorkBudget))</f>
        <v/>
      </c>
      <c r="P924" s="120">
        <f>IF(OR(N924="",ForecastEnd=""),"",ForecastEnd+IF(L924="Approved",0,IF(K924="",0,K924)))</f>
        <v/>
      </c>
      <c r="Q924" s="121">
        <f>IF(OR(N924="",WorkBudget=0),"",N924/WorkBudget-1)</f>
        <v/>
      </c>
      <c r="R924" s="79">
        <f>IF(N924="","",IF(N924&lt;=WorkBudget,0,IF(N924&lt;=TotalBudget,1,2)))</f>
        <v/>
      </c>
      <c r="S924" s="112">
        <f>IF(AND(OR(H924&lt;&gt;"",J924&lt;&gt;""),OR(L924="Pending",L924=""),C924&lt;&gt;""),C924+3,"")</f>
        <v/>
      </c>
      <c r="T924" s="79">
        <f>IF(S924="","",IF(AsOf&gt;S924,1,2))</f>
        <v/>
      </c>
      <c r="U924" s="79">
        <f>IF(T924="","","Decide on change order "&amp;B924&amp;": "&amp;H924&amp;" (+"&amp;CurSym&amp;" "&amp;FIXED(IF(J924="",0,J924),0)&amp;")")</f>
        <v/>
      </c>
    </row>
    <row r="925" ht="24" customHeight="1">
      <c r="B925" s="74" t="n"/>
      <c r="C925" s="109" t="n"/>
      <c r="D925" s="72" t="n"/>
      <c r="E925" s="72" t="n"/>
      <c r="F925" s="72" t="n"/>
      <c r="G925" s="72" t="n"/>
      <c r="H925" s="113" t="n"/>
      <c r="I925" s="72" t="n"/>
      <c r="J925" s="73" t="n"/>
      <c r="K925" s="89" t="n"/>
      <c r="L925" s="74" t="n"/>
      <c r="M925" s="109" t="n"/>
      <c r="N925" s="68">
        <f>IF(AND(H925="",J925=""),"",ForecastTotal+IF(L925="Approved",0,IF(J925="",0,J925)))</f>
        <v/>
      </c>
      <c r="O925" s="75">
        <f>IF(N925="","",ContAmt-MAX(0,N925-WorkBudget))</f>
        <v/>
      </c>
      <c r="P925" s="120">
        <f>IF(OR(N925="",ForecastEnd=""),"",ForecastEnd+IF(L925="Approved",0,IF(K925="",0,K925)))</f>
        <v/>
      </c>
      <c r="Q925" s="121">
        <f>IF(OR(N925="",WorkBudget=0),"",N925/WorkBudget-1)</f>
        <v/>
      </c>
      <c r="R925" s="79">
        <f>IF(N925="","",IF(N925&lt;=WorkBudget,0,IF(N925&lt;=TotalBudget,1,2)))</f>
        <v/>
      </c>
      <c r="S925" s="112">
        <f>IF(AND(OR(H925&lt;&gt;"",J925&lt;&gt;""),OR(L925="Pending",L925=""),C925&lt;&gt;""),C925+3,"")</f>
        <v/>
      </c>
      <c r="T925" s="79">
        <f>IF(S925="","",IF(AsOf&gt;S925,1,2))</f>
        <v/>
      </c>
      <c r="U925" s="79">
        <f>IF(T925="","","Decide on change order "&amp;B925&amp;": "&amp;H925&amp;" (+"&amp;CurSym&amp;" "&amp;FIXED(IF(J925="",0,J925),0)&amp;")")</f>
        <v/>
      </c>
    </row>
    <row r="926" ht="24" customHeight="1">
      <c r="B926" s="74" t="n"/>
      <c r="C926" s="109" t="n"/>
      <c r="D926" s="72" t="n"/>
      <c r="E926" s="72" t="n"/>
      <c r="F926" s="72" t="n"/>
      <c r="G926" s="72" t="n"/>
      <c r="H926" s="113" t="n"/>
      <c r="I926" s="72" t="n"/>
      <c r="J926" s="73" t="n"/>
      <c r="K926" s="89" t="n"/>
      <c r="L926" s="74" t="n"/>
      <c r="M926" s="109" t="n"/>
      <c r="N926" s="68">
        <f>IF(AND(H926="",J926=""),"",ForecastTotal+IF(L926="Approved",0,IF(J926="",0,J926)))</f>
        <v/>
      </c>
      <c r="O926" s="75">
        <f>IF(N926="","",ContAmt-MAX(0,N926-WorkBudget))</f>
        <v/>
      </c>
      <c r="P926" s="120">
        <f>IF(OR(N926="",ForecastEnd=""),"",ForecastEnd+IF(L926="Approved",0,IF(K926="",0,K926)))</f>
        <v/>
      </c>
      <c r="Q926" s="121">
        <f>IF(OR(N926="",WorkBudget=0),"",N926/WorkBudget-1)</f>
        <v/>
      </c>
      <c r="R926" s="79">
        <f>IF(N926="","",IF(N926&lt;=WorkBudget,0,IF(N926&lt;=TotalBudget,1,2)))</f>
        <v/>
      </c>
      <c r="S926" s="112">
        <f>IF(AND(OR(H926&lt;&gt;"",J926&lt;&gt;""),OR(L926="Pending",L926=""),C926&lt;&gt;""),C926+3,"")</f>
        <v/>
      </c>
      <c r="T926" s="79">
        <f>IF(S926="","",IF(AsOf&gt;S926,1,2))</f>
        <v/>
      </c>
      <c r="U926" s="79">
        <f>IF(T926="","","Decide on change order "&amp;B926&amp;": "&amp;H926&amp;" (+"&amp;CurSym&amp;" "&amp;FIXED(IF(J926="",0,J926),0)&amp;")")</f>
        <v/>
      </c>
    </row>
    <row r="927" ht="24" customHeight="1">
      <c r="B927" s="74" t="n"/>
      <c r="C927" s="109" t="n"/>
      <c r="D927" s="72" t="n"/>
      <c r="E927" s="72" t="n"/>
      <c r="F927" s="72" t="n"/>
      <c r="G927" s="72" t="n"/>
      <c r="H927" s="113" t="n"/>
      <c r="I927" s="72" t="n"/>
      <c r="J927" s="73" t="n"/>
      <c r="K927" s="89" t="n"/>
      <c r="L927" s="74" t="n"/>
      <c r="M927" s="109" t="n"/>
      <c r="N927" s="68">
        <f>IF(AND(H927="",J927=""),"",ForecastTotal+IF(L927="Approved",0,IF(J927="",0,J927)))</f>
        <v/>
      </c>
      <c r="O927" s="75">
        <f>IF(N927="","",ContAmt-MAX(0,N927-WorkBudget))</f>
        <v/>
      </c>
      <c r="P927" s="120">
        <f>IF(OR(N927="",ForecastEnd=""),"",ForecastEnd+IF(L927="Approved",0,IF(K927="",0,K927)))</f>
        <v/>
      </c>
      <c r="Q927" s="121">
        <f>IF(OR(N927="",WorkBudget=0),"",N927/WorkBudget-1)</f>
        <v/>
      </c>
      <c r="R927" s="79">
        <f>IF(N927="","",IF(N927&lt;=WorkBudget,0,IF(N927&lt;=TotalBudget,1,2)))</f>
        <v/>
      </c>
      <c r="S927" s="112">
        <f>IF(AND(OR(H927&lt;&gt;"",J927&lt;&gt;""),OR(L927="Pending",L927=""),C927&lt;&gt;""),C927+3,"")</f>
        <v/>
      </c>
      <c r="T927" s="79">
        <f>IF(S927="","",IF(AsOf&gt;S927,1,2))</f>
        <v/>
      </c>
      <c r="U927" s="79">
        <f>IF(T927="","","Decide on change order "&amp;B927&amp;": "&amp;H927&amp;" (+"&amp;CurSym&amp;" "&amp;FIXED(IF(J927="",0,J927),0)&amp;")")</f>
        <v/>
      </c>
    </row>
    <row r="928" ht="24" customHeight="1">
      <c r="B928" s="74" t="n"/>
      <c r="C928" s="109" t="n"/>
      <c r="D928" s="72" t="n"/>
      <c r="E928" s="72" t="n"/>
      <c r="F928" s="72" t="n"/>
      <c r="G928" s="72" t="n"/>
      <c r="H928" s="113" t="n"/>
      <c r="I928" s="72" t="n"/>
      <c r="J928" s="73" t="n"/>
      <c r="K928" s="89" t="n"/>
      <c r="L928" s="74" t="n"/>
      <c r="M928" s="109" t="n"/>
      <c r="N928" s="68">
        <f>IF(AND(H928="",J928=""),"",ForecastTotal+IF(L928="Approved",0,IF(J928="",0,J928)))</f>
        <v/>
      </c>
      <c r="O928" s="75">
        <f>IF(N928="","",ContAmt-MAX(0,N928-WorkBudget))</f>
        <v/>
      </c>
      <c r="P928" s="120">
        <f>IF(OR(N928="",ForecastEnd=""),"",ForecastEnd+IF(L928="Approved",0,IF(K928="",0,K928)))</f>
        <v/>
      </c>
      <c r="Q928" s="121">
        <f>IF(OR(N928="",WorkBudget=0),"",N928/WorkBudget-1)</f>
        <v/>
      </c>
      <c r="R928" s="79">
        <f>IF(N928="","",IF(N928&lt;=WorkBudget,0,IF(N928&lt;=TotalBudget,1,2)))</f>
        <v/>
      </c>
      <c r="S928" s="112">
        <f>IF(AND(OR(H928&lt;&gt;"",J928&lt;&gt;""),OR(L928="Pending",L928=""),C928&lt;&gt;""),C928+3,"")</f>
        <v/>
      </c>
      <c r="T928" s="79">
        <f>IF(S928="","",IF(AsOf&gt;S928,1,2))</f>
        <v/>
      </c>
      <c r="U928" s="79">
        <f>IF(T928="","","Decide on change order "&amp;B928&amp;": "&amp;H928&amp;" (+"&amp;CurSym&amp;" "&amp;FIXED(IF(J928="",0,J928),0)&amp;")")</f>
        <v/>
      </c>
    </row>
    <row r="929" ht="24" customHeight="1">
      <c r="B929" s="74" t="n"/>
      <c r="C929" s="109" t="n"/>
      <c r="D929" s="72" t="n"/>
      <c r="E929" s="72" t="n"/>
      <c r="F929" s="72" t="n"/>
      <c r="G929" s="72" t="n"/>
      <c r="H929" s="113" t="n"/>
      <c r="I929" s="72" t="n"/>
      <c r="J929" s="73" t="n"/>
      <c r="K929" s="89" t="n"/>
      <c r="L929" s="74" t="n"/>
      <c r="M929" s="109" t="n"/>
      <c r="N929" s="68">
        <f>IF(AND(H929="",J929=""),"",ForecastTotal+IF(L929="Approved",0,IF(J929="",0,J929)))</f>
        <v/>
      </c>
      <c r="O929" s="75">
        <f>IF(N929="","",ContAmt-MAX(0,N929-WorkBudget))</f>
        <v/>
      </c>
      <c r="P929" s="120">
        <f>IF(OR(N929="",ForecastEnd=""),"",ForecastEnd+IF(L929="Approved",0,IF(K929="",0,K929)))</f>
        <v/>
      </c>
      <c r="Q929" s="121">
        <f>IF(OR(N929="",WorkBudget=0),"",N929/WorkBudget-1)</f>
        <v/>
      </c>
      <c r="R929" s="79">
        <f>IF(N929="","",IF(N929&lt;=WorkBudget,0,IF(N929&lt;=TotalBudget,1,2)))</f>
        <v/>
      </c>
      <c r="S929" s="112">
        <f>IF(AND(OR(H929&lt;&gt;"",J929&lt;&gt;""),OR(L929="Pending",L929=""),C929&lt;&gt;""),C929+3,"")</f>
        <v/>
      </c>
      <c r="T929" s="79">
        <f>IF(S929="","",IF(AsOf&gt;S929,1,2))</f>
        <v/>
      </c>
      <c r="U929" s="79">
        <f>IF(T929="","","Decide on change order "&amp;B929&amp;": "&amp;H929&amp;" (+"&amp;CurSym&amp;" "&amp;FIXED(IF(J929="",0,J929),0)&amp;")")</f>
        <v/>
      </c>
    </row>
    <row r="930" ht="24" customHeight="1">
      <c r="B930" s="74" t="n"/>
      <c r="C930" s="109" t="n"/>
      <c r="D930" s="72" t="n"/>
      <c r="E930" s="72" t="n"/>
      <c r="F930" s="72" t="n"/>
      <c r="G930" s="72" t="n"/>
      <c r="H930" s="113" t="n"/>
      <c r="I930" s="72" t="n"/>
      <c r="J930" s="73" t="n"/>
      <c r="K930" s="89" t="n"/>
      <c r="L930" s="74" t="n"/>
      <c r="M930" s="109" t="n"/>
      <c r="N930" s="68">
        <f>IF(AND(H930="",J930=""),"",ForecastTotal+IF(L930="Approved",0,IF(J930="",0,J930)))</f>
        <v/>
      </c>
      <c r="O930" s="75">
        <f>IF(N930="","",ContAmt-MAX(0,N930-WorkBudget))</f>
        <v/>
      </c>
      <c r="P930" s="120">
        <f>IF(OR(N930="",ForecastEnd=""),"",ForecastEnd+IF(L930="Approved",0,IF(K930="",0,K930)))</f>
        <v/>
      </c>
      <c r="Q930" s="121">
        <f>IF(OR(N930="",WorkBudget=0),"",N930/WorkBudget-1)</f>
        <v/>
      </c>
      <c r="R930" s="79">
        <f>IF(N930="","",IF(N930&lt;=WorkBudget,0,IF(N930&lt;=TotalBudget,1,2)))</f>
        <v/>
      </c>
      <c r="S930" s="112">
        <f>IF(AND(OR(H930&lt;&gt;"",J930&lt;&gt;""),OR(L930="Pending",L930=""),C930&lt;&gt;""),C930+3,"")</f>
        <v/>
      </c>
      <c r="T930" s="79">
        <f>IF(S930="","",IF(AsOf&gt;S930,1,2))</f>
        <v/>
      </c>
      <c r="U930" s="79">
        <f>IF(T930="","","Decide on change order "&amp;B930&amp;": "&amp;H930&amp;" (+"&amp;CurSym&amp;" "&amp;FIXED(IF(J930="",0,J930),0)&amp;")")</f>
        <v/>
      </c>
    </row>
    <row r="931" ht="24" customHeight="1">
      <c r="B931" s="74" t="n"/>
      <c r="C931" s="109" t="n"/>
      <c r="D931" s="72" t="n"/>
      <c r="E931" s="72" t="n"/>
      <c r="F931" s="72" t="n"/>
      <c r="G931" s="72" t="n"/>
      <c r="H931" s="113" t="n"/>
      <c r="I931" s="72" t="n"/>
      <c r="J931" s="73" t="n"/>
      <c r="K931" s="89" t="n"/>
      <c r="L931" s="74" t="n"/>
      <c r="M931" s="109" t="n"/>
      <c r="N931" s="68">
        <f>IF(AND(H931="",J931=""),"",ForecastTotal+IF(L931="Approved",0,IF(J931="",0,J931)))</f>
        <v/>
      </c>
      <c r="O931" s="75">
        <f>IF(N931="","",ContAmt-MAX(0,N931-WorkBudget))</f>
        <v/>
      </c>
      <c r="P931" s="120">
        <f>IF(OR(N931="",ForecastEnd=""),"",ForecastEnd+IF(L931="Approved",0,IF(K931="",0,K931)))</f>
        <v/>
      </c>
      <c r="Q931" s="121">
        <f>IF(OR(N931="",WorkBudget=0),"",N931/WorkBudget-1)</f>
        <v/>
      </c>
      <c r="R931" s="79">
        <f>IF(N931="","",IF(N931&lt;=WorkBudget,0,IF(N931&lt;=TotalBudget,1,2)))</f>
        <v/>
      </c>
      <c r="S931" s="112">
        <f>IF(AND(OR(H931&lt;&gt;"",J931&lt;&gt;""),OR(L931="Pending",L931=""),C931&lt;&gt;""),C931+3,"")</f>
        <v/>
      </c>
      <c r="T931" s="79">
        <f>IF(S931="","",IF(AsOf&gt;S931,1,2))</f>
        <v/>
      </c>
      <c r="U931" s="79">
        <f>IF(T931="","","Decide on change order "&amp;B931&amp;": "&amp;H931&amp;" (+"&amp;CurSym&amp;" "&amp;FIXED(IF(J931="",0,J931),0)&amp;")")</f>
        <v/>
      </c>
    </row>
    <row r="932" ht="24" customHeight="1">
      <c r="B932" s="74" t="n"/>
      <c r="C932" s="109" t="n"/>
      <c r="D932" s="72" t="n"/>
      <c r="E932" s="72" t="n"/>
      <c r="F932" s="72" t="n"/>
      <c r="G932" s="72" t="n"/>
      <c r="H932" s="113" t="n"/>
      <c r="I932" s="72" t="n"/>
      <c r="J932" s="73" t="n"/>
      <c r="K932" s="89" t="n"/>
      <c r="L932" s="74" t="n"/>
      <c r="M932" s="109" t="n"/>
      <c r="N932" s="68">
        <f>IF(AND(H932="",J932=""),"",ForecastTotal+IF(L932="Approved",0,IF(J932="",0,J932)))</f>
        <v/>
      </c>
      <c r="O932" s="75">
        <f>IF(N932="","",ContAmt-MAX(0,N932-WorkBudget))</f>
        <v/>
      </c>
      <c r="P932" s="120">
        <f>IF(OR(N932="",ForecastEnd=""),"",ForecastEnd+IF(L932="Approved",0,IF(K932="",0,K932)))</f>
        <v/>
      </c>
      <c r="Q932" s="121">
        <f>IF(OR(N932="",WorkBudget=0),"",N932/WorkBudget-1)</f>
        <v/>
      </c>
      <c r="R932" s="79">
        <f>IF(N932="","",IF(N932&lt;=WorkBudget,0,IF(N932&lt;=TotalBudget,1,2)))</f>
        <v/>
      </c>
      <c r="S932" s="112">
        <f>IF(AND(OR(H932&lt;&gt;"",J932&lt;&gt;""),OR(L932="Pending",L932=""),C932&lt;&gt;""),C932+3,"")</f>
        <v/>
      </c>
      <c r="T932" s="79">
        <f>IF(S932="","",IF(AsOf&gt;S932,1,2))</f>
        <v/>
      </c>
      <c r="U932" s="79">
        <f>IF(T932="","","Decide on change order "&amp;B932&amp;": "&amp;H932&amp;" (+"&amp;CurSym&amp;" "&amp;FIXED(IF(J932="",0,J932),0)&amp;")")</f>
        <v/>
      </c>
    </row>
    <row r="933" ht="24" customHeight="1">
      <c r="B933" s="74" t="n"/>
      <c r="C933" s="109" t="n"/>
      <c r="D933" s="72" t="n"/>
      <c r="E933" s="72" t="n"/>
      <c r="F933" s="72" t="n"/>
      <c r="G933" s="72" t="n"/>
      <c r="H933" s="113" t="n"/>
      <c r="I933" s="72" t="n"/>
      <c r="J933" s="73" t="n"/>
      <c r="K933" s="89" t="n"/>
      <c r="L933" s="74" t="n"/>
      <c r="M933" s="109" t="n"/>
      <c r="N933" s="68">
        <f>IF(AND(H933="",J933=""),"",ForecastTotal+IF(L933="Approved",0,IF(J933="",0,J933)))</f>
        <v/>
      </c>
      <c r="O933" s="75">
        <f>IF(N933="","",ContAmt-MAX(0,N933-WorkBudget))</f>
        <v/>
      </c>
      <c r="P933" s="120">
        <f>IF(OR(N933="",ForecastEnd=""),"",ForecastEnd+IF(L933="Approved",0,IF(K933="",0,K933)))</f>
        <v/>
      </c>
      <c r="Q933" s="121">
        <f>IF(OR(N933="",WorkBudget=0),"",N933/WorkBudget-1)</f>
        <v/>
      </c>
      <c r="R933" s="79">
        <f>IF(N933="","",IF(N933&lt;=WorkBudget,0,IF(N933&lt;=TotalBudget,1,2)))</f>
        <v/>
      </c>
      <c r="S933" s="112">
        <f>IF(AND(OR(H933&lt;&gt;"",J933&lt;&gt;""),OR(L933="Pending",L933=""),C933&lt;&gt;""),C933+3,"")</f>
        <v/>
      </c>
      <c r="T933" s="79">
        <f>IF(S933="","",IF(AsOf&gt;S933,1,2))</f>
        <v/>
      </c>
      <c r="U933" s="79">
        <f>IF(T933="","","Decide on change order "&amp;B933&amp;": "&amp;H933&amp;" (+"&amp;CurSym&amp;" "&amp;FIXED(IF(J933="",0,J933),0)&amp;")")</f>
        <v/>
      </c>
    </row>
    <row r="934" ht="24" customHeight="1">
      <c r="B934" s="74" t="n"/>
      <c r="C934" s="109" t="n"/>
      <c r="D934" s="72" t="n"/>
      <c r="E934" s="72" t="n"/>
      <c r="F934" s="72" t="n"/>
      <c r="G934" s="72" t="n"/>
      <c r="H934" s="113" t="n"/>
      <c r="I934" s="72" t="n"/>
      <c r="J934" s="73" t="n"/>
      <c r="K934" s="89" t="n"/>
      <c r="L934" s="74" t="n"/>
      <c r="M934" s="109" t="n"/>
      <c r="N934" s="68">
        <f>IF(AND(H934="",J934=""),"",ForecastTotal+IF(L934="Approved",0,IF(J934="",0,J934)))</f>
        <v/>
      </c>
      <c r="O934" s="75">
        <f>IF(N934="","",ContAmt-MAX(0,N934-WorkBudget))</f>
        <v/>
      </c>
      <c r="P934" s="120">
        <f>IF(OR(N934="",ForecastEnd=""),"",ForecastEnd+IF(L934="Approved",0,IF(K934="",0,K934)))</f>
        <v/>
      </c>
      <c r="Q934" s="121">
        <f>IF(OR(N934="",WorkBudget=0),"",N934/WorkBudget-1)</f>
        <v/>
      </c>
      <c r="R934" s="79">
        <f>IF(N934="","",IF(N934&lt;=WorkBudget,0,IF(N934&lt;=TotalBudget,1,2)))</f>
        <v/>
      </c>
      <c r="S934" s="112">
        <f>IF(AND(OR(H934&lt;&gt;"",J934&lt;&gt;""),OR(L934="Pending",L934=""),C934&lt;&gt;""),C934+3,"")</f>
        <v/>
      </c>
      <c r="T934" s="79">
        <f>IF(S934="","",IF(AsOf&gt;S934,1,2))</f>
        <v/>
      </c>
      <c r="U934" s="79">
        <f>IF(T934="","","Decide on change order "&amp;B934&amp;": "&amp;H934&amp;" (+"&amp;CurSym&amp;" "&amp;FIXED(IF(J934="",0,J934),0)&amp;")")</f>
        <v/>
      </c>
    </row>
    <row r="935" ht="24" customHeight="1">
      <c r="B935" s="74" t="n"/>
      <c r="C935" s="109" t="n"/>
      <c r="D935" s="72" t="n"/>
      <c r="E935" s="72" t="n"/>
      <c r="F935" s="72" t="n"/>
      <c r="G935" s="72" t="n"/>
      <c r="H935" s="113" t="n"/>
      <c r="I935" s="72" t="n"/>
      <c r="J935" s="73" t="n"/>
      <c r="K935" s="89" t="n"/>
      <c r="L935" s="74" t="n"/>
      <c r="M935" s="109" t="n"/>
      <c r="N935" s="68">
        <f>IF(AND(H935="",J935=""),"",ForecastTotal+IF(L935="Approved",0,IF(J935="",0,J935)))</f>
        <v/>
      </c>
      <c r="O935" s="75">
        <f>IF(N935="","",ContAmt-MAX(0,N935-WorkBudget))</f>
        <v/>
      </c>
      <c r="P935" s="120">
        <f>IF(OR(N935="",ForecastEnd=""),"",ForecastEnd+IF(L935="Approved",0,IF(K935="",0,K935)))</f>
        <v/>
      </c>
      <c r="Q935" s="121">
        <f>IF(OR(N935="",WorkBudget=0),"",N935/WorkBudget-1)</f>
        <v/>
      </c>
      <c r="R935" s="79">
        <f>IF(N935="","",IF(N935&lt;=WorkBudget,0,IF(N935&lt;=TotalBudget,1,2)))</f>
        <v/>
      </c>
      <c r="S935" s="112">
        <f>IF(AND(OR(H935&lt;&gt;"",J935&lt;&gt;""),OR(L935="Pending",L935=""),C935&lt;&gt;""),C935+3,"")</f>
        <v/>
      </c>
      <c r="T935" s="79">
        <f>IF(S935="","",IF(AsOf&gt;S935,1,2))</f>
        <v/>
      </c>
      <c r="U935" s="79">
        <f>IF(T935="","","Decide on change order "&amp;B935&amp;": "&amp;H935&amp;" (+"&amp;CurSym&amp;" "&amp;FIXED(IF(J935="",0,J935),0)&amp;")")</f>
        <v/>
      </c>
    </row>
    <row r="936" ht="24" customHeight="1">
      <c r="B936" s="74" t="n"/>
      <c r="C936" s="109" t="n"/>
      <c r="D936" s="72" t="n"/>
      <c r="E936" s="72" t="n"/>
      <c r="F936" s="72" t="n"/>
      <c r="G936" s="72" t="n"/>
      <c r="H936" s="113" t="n"/>
      <c r="I936" s="72" t="n"/>
      <c r="J936" s="73" t="n"/>
      <c r="K936" s="89" t="n"/>
      <c r="L936" s="74" t="n"/>
      <c r="M936" s="109" t="n"/>
      <c r="N936" s="68">
        <f>IF(AND(H936="",J936=""),"",ForecastTotal+IF(L936="Approved",0,IF(J936="",0,J936)))</f>
        <v/>
      </c>
      <c r="O936" s="75">
        <f>IF(N936="","",ContAmt-MAX(0,N936-WorkBudget))</f>
        <v/>
      </c>
      <c r="P936" s="120">
        <f>IF(OR(N936="",ForecastEnd=""),"",ForecastEnd+IF(L936="Approved",0,IF(K936="",0,K936)))</f>
        <v/>
      </c>
      <c r="Q936" s="121">
        <f>IF(OR(N936="",WorkBudget=0),"",N936/WorkBudget-1)</f>
        <v/>
      </c>
      <c r="R936" s="79">
        <f>IF(N936="","",IF(N936&lt;=WorkBudget,0,IF(N936&lt;=TotalBudget,1,2)))</f>
        <v/>
      </c>
      <c r="S936" s="112">
        <f>IF(AND(OR(H936&lt;&gt;"",J936&lt;&gt;""),OR(L936="Pending",L936=""),C936&lt;&gt;""),C936+3,"")</f>
        <v/>
      </c>
      <c r="T936" s="79">
        <f>IF(S936="","",IF(AsOf&gt;S936,1,2))</f>
        <v/>
      </c>
      <c r="U936" s="79">
        <f>IF(T936="","","Decide on change order "&amp;B936&amp;": "&amp;H936&amp;" (+"&amp;CurSym&amp;" "&amp;FIXED(IF(J936="",0,J936),0)&amp;")")</f>
        <v/>
      </c>
    </row>
    <row r="937" ht="24" customHeight="1">
      <c r="B937" s="74" t="n"/>
      <c r="C937" s="109" t="n"/>
      <c r="D937" s="72" t="n"/>
      <c r="E937" s="72" t="n"/>
      <c r="F937" s="72" t="n"/>
      <c r="G937" s="72" t="n"/>
      <c r="H937" s="113" t="n"/>
      <c r="I937" s="72" t="n"/>
      <c r="J937" s="73" t="n"/>
      <c r="K937" s="89" t="n"/>
      <c r="L937" s="74" t="n"/>
      <c r="M937" s="109" t="n"/>
      <c r="N937" s="68">
        <f>IF(AND(H937="",J937=""),"",ForecastTotal+IF(L937="Approved",0,IF(J937="",0,J937)))</f>
        <v/>
      </c>
      <c r="O937" s="75">
        <f>IF(N937="","",ContAmt-MAX(0,N937-WorkBudget))</f>
        <v/>
      </c>
      <c r="P937" s="120">
        <f>IF(OR(N937="",ForecastEnd=""),"",ForecastEnd+IF(L937="Approved",0,IF(K937="",0,K937)))</f>
        <v/>
      </c>
      <c r="Q937" s="121">
        <f>IF(OR(N937="",WorkBudget=0),"",N937/WorkBudget-1)</f>
        <v/>
      </c>
      <c r="R937" s="79">
        <f>IF(N937="","",IF(N937&lt;=WorkBudget,0,IF(N937&lt;=TotalBudget,1,2)))</f>
        <v/>
      </c>
      <c r="S937" s="112">
        <f>IF(AND(OR(H937&lt;&gt;"",J937&lt;&gt;""),OR(L937="Pending",L937=""),C937&lt;&gt;""),C937+3,"")</f>
        <v/>
      </c>
      <c r="T937" s="79">
        <f>IF(S937="","",IF(AsOf&gt;S937,1,2))</f>
        <v/>
      </c>
      <c r="U937" s="79">
        <f>IF(T937="","","Decide on change order "&amp;B937&amp;": "&amp;H937&amp;" (+"&amp;CurSym&amp;" "&amp;FIXED(IF(J937="",0,J937),0)&amp;")")</f>
        <v/>
      </c>
    </row>
    <row r="938" ht="24" customHeight="1">
      <c r="B938" s="74" t="n"/>
      <c r="C938" s="109" t="n"/>
      <c r="D938" s="72" t="n"/>
      <c r="E938" s="72" t="n"/>
      <c r="F938" s="72" t="n"/>
      <c r="G938" s="72" t="n"/>
      <c r="H938" s="113" t="n"/>
      <c r="I938" s="72" t="n"/>
      <c r="J938" s="73" t="n"/>
      <c r="K938" s="89" t="n"/>
      <c r="L938" s="74" t="n"/>
      <c r="M938" s="109" t="n"/>
      <c r="N938" s="68">
        <f>IF(AND(H938="",J938=""),"",ForecastTotal+IF(L938="Approved",0,IF(J938="",0,J938)))</f>
        <v/>
      </c>
      <c r="O938" s="75">
        <f>IF(N938="","",ContAmt-MAX(0,N938-WorkBudget))</f>
        <v/>
      </c>
      <c r="P938" s="120">
        <f>IF(OR(N938="",ForecastEnd=""),"",ForecastEnd+IF(L938="Approved",0,IF(K938="",0,K938)))</f>
        <v/>
      </c>
      <c r="Q938" s="121">
        <f>IF(OR(N938="",WorkBudget=0),"",N938/WorkBudget-1)</f>
        <v/>
      </c>
      <c r="R938" s="79">
        <f>IF(N938="","",IF(N938&lt;=WorkBudget,0,IF(N938&lt;=TotalBudget,1,2)))</f>
        <v/>
      </c>
      <c r="S938" s="112">
        <f>IF(AND(OR(H938&lt;&gt;"",J938&lt;&gt;""),OR(L938="Pending",L938=""),C938&lt;&gt;""),C938+3,"")</f>
        <v/>
      </c>
      <c r="T938" s="79">
        <f>IF(S938="","",IF(AsOf&gt;S938,1,2))</f>
        <v/>
      </c>
      <c r="U938" s="79">
        <f>IF(T938="","","Decide on change order "&amp;B938&amp;": "&amp;H938&amp;" (+"&amp;CurSym&amp;" "&amp;FIXED(IF(J938="",0,J938),0)&amp;")")</f>
        <v/>
      </c>
    </row>
    <row r="939" ht="24" customHeight="1">
      <c r="B939" s="74" t="n"/>
      <c r="C939" s="109" t="n"/>
      <c r="D939" s="72" t="n"/>
      <c r="E939" s="72" t="n"/>
      <c r="F939" s="72" t="n"/>
      <c r="G939" s="72" t="n"/>
      <c r="H939" s="113" t="n"/>
      <c r="I939" s="72" t="n"/>
      <c r="J939" s="73" t="n"/>
      <c r="K939" s="89" t="n"/>
      <c r="L939" s="74" t="n"/>
      <c r="M939" s="109" t="n"/>
      <c r="N939" s="68">
        <f>IF(AND(H939="",J939=""),"",ForecastTotal+IF(L939="Approved",0,IF(J939="",0,J939)))</f>
        <v/>
      </c>
      <c r="O939" s="75">
        <f>IF(N939="","",ContAmt-MAX(0,N939-WorkBudget))</f>
        <v/>
      </c>
      <c r="P939" s="120">
        <f>IF(OR(N939="",ForecastEnd=""),"",ForecastEnd+IF(L939="Approved",0,IF(K939="",0,K939)))</f>
        <v/>
      </c>
      <c r="Q939" s="121">
        <f>IF(OR(N939="",WorkBudget=0),"",N939/WorkBudget-1)</f>
        <v/>
      </c>
      <c r="R939" s="79">
        <f>IF(N939="","",IF(N939&lt;=WorkBudget,0,IF(N939&lt;=TotalBudget,1,2)))</f>
        <v/>
      </c>
      <c r="S939" s="112">
        <f>IF(AND(OR(H939&lt;&gt;"",J939&lt;&gt;""),OR(L939="Pending",L939=""),C939&lt;&gt;""),C939+3,"")</f>
        <v/>
      </c>
      <c r="T939" s="79">
        <f>IF(S939="","",IF(AsOf&gt;S939,1,2))</f>
        <v/>
      </c>
      <c r="U939" s="79">
        <f>IF(T939="","","Decide on change order "&amp;B939&amp;": "&amp;H939&amp;" (+"&amp;CurSym&amp;" "&amp;FIXED(IF(J939="",0,J939),0)&amp;")")</f>
        <v/>
      </c>
    </row>
    <row r="940" ht="24" customHeight="1">
      <c r="B940" s="74" t="n"/>
      <c r="C940" s="109" t="n"/>
      <c r="D940" s="72" t="n"/>
      <c r="E940" s="72" t="n"/>
      <c r="F940" s="72" t="n"/>
      <c r="G940" s="72" t="n"/>
      <c r="H940" s="113" t="n"/>
      <c r="I940" s="72" t="n"/>
      <c r="J940" s="73" t="n"/>
      <c r="K940" s="89" t="n"/>
      <c r="L940" s="74" t="n"/>
      <c r="M940" s="109" t="n"/>
      <c r="N940" s="68">
        <f>IF(AND(H940="",J940=""),"",ForecastTotal+IF(L940="Approved",0,IF(J940="",0,J940)))</f>
        <v/>
      </c>
      <c r="O940" s="75">
        <f>IF(N940="","",ContAmt-MAX(0,N940-WorkBudget))</f>
        <v/>
      </c>
      <c r="P940" s="120">
        <f>IF(OR(N940="",ForecastEnd=""),"",ForecastEnd+IF(L940="Approved",0,IF(K940="",0,K940)))</f>
        <v/>
      </c>
      <c r="Q940" s="121">
        <f>IF(OR(N940="",WorkBudget=0),"",N940/WorkBudget-1)</f>
        <v/>
      </c>
      <c r="R940" s="79">
        <f>IF(N940="","",IF(N940&lt;=WorkBudget,0,IF(N940&lt;=TotalBudget,1,2)))</f>
        <v/>
      </c>
      <c r="S940" s="112">
        <f>IF(AND(OR(H940&lt;&gt;"",J940&lt;&gt;""),OR(L940="Pending",L940=""),C940&lt;&gt;""),C940+3,"")</f>
        <v/>
      </c>
      <c r="T940" s="79">
        <f>IF(S940="","",IF(AsOf&gt;S940,1,2))</f>
        <v/>
      </c>
      <c r="U940" s="79">
        <f>IF(T940="","","Decide on change order "&amp;B940&amp;": "&amp;H940&amp;" (+"&amp;CurSym&amp;" "&amp;FIXED(IF(J940="",0,J940),0)&amp;")")</f>
        <v/>
      </c>
    </row>
    <row r="941" ht="24" customHeight="1">
      <c r="B941" s="74" t="n"/>
      <c r="C941" s="109" t="n"/>
      <c r="D941" s="72" t="n"/>
      <c r="E941" s="72" t="n"/>
      <c r="F941" s="72" t="n"/>
      <c r="G941" s="72" t="n"/>
      <c r="H941" s="113" t="n"/>
      <c r="I941" s="72" t="n"/>
      <c r="J941" s="73" t="n"/>
      <c r="K941" s="89" t="n"/>
      <c r="L941" s="74" t="n"/>
      <c r="M941" s="109" t="n"/>
      <c r="N941" s="68">
        <f>IF(AND(H941="",J941=""),"",ForecastTotal+IF(L941="Approved",0,IF(J941="",0,J941)))</f>
        <v/>
      </c>
      <c r="O941" s="75">
        <f>IF(N941="","",ContAmt-MAX(0,N941-WorkBudget))</f>
        <v/>
      </c>
      <c r="P941" s="120">
        <f>IF(OR(N941="",ForecastEnd=""),"",ForecastEnd+IF(L941="Approved",0,IF(K941="",0,K941)))</f>
        <v/>
      </c>
      <c r="Q941" s="121">
        <f>IF(OR(N941="",WorkBudget=0),"",N941/WorkBudget-1)</f>
        <v/>
      </c>
      <c r="R941" s="79">
        <f>IF(N941="","",IF(N941&lt;=WorkBudget,0,IF(N941&lt;=TotalBudget,1,2)))</f>
        <v/>
      </c>
      <c r="S941" s="112">
        <f>IF(AND(OR(H941&lt;&gt;"",J941&lt;&gt;""),OR(L941="Pending",L941=""),C941&lt;&gt;""),C941+3,"")</f>
        <v/>
      </c>
      <c r="T941" s="79">
        <f>IF(S941="","",IF(AsOf&gt;S941,1,2))</f>
        <v/>
      </c>
      <c r="U941" s="79">
        <f>IF(T941="","","Decide on change order "&amp;B941&amp;": "&amp;H941&amp;" (+"&amp;CurSym&amp;" "&amp;FIXED(IF(J941="",0,J941),0)&amp;")")</f>
        <v/>
      </c>
    </row>
    <row r="942" ht="24" customHeight="1">
      <c r="B942" s="74" t="n"/>
      <c r="C942" s="109" t="n"/>
      <c r="D942" s="72" t="n"/>
      <c r="E942" s="72" t="n"/>
      <c r="F942" s="72" t="n"/>
      <c r="G942" s="72" t="n"/>
      <c r="H942" s="113" t="n"/>
      <c r="I942" s="72" t="n"/>
      <c r="J942" s="73" t="n"/>
      <c r="K942" s="89" t="n"/>
      <c r="L942" s="74" t="n"/>
      <c r="M942" s="109" t="n"/>
      <c r="N942" s="68">
        <f>IF(AND(H942="",J942=""),"",ForecastTotal+IF(L942="Approved",0,IF(J942="",0,J942)))</f>
        <v/>
      </c>
      <c r="O942" s="75">
        <f>IF(N942="","",ContAmt-MAX(0,N942-WorkBudget))</f>
        <v/>
      </c>
      <c r="P942" s="120">
        <f>IF(OR(N942="",ForecastEnd=""),"",ForecastEnd+IF(L942="Approved",0,IF(K942="",0,K942)))</f>
        <v/>
      </c>
      <c r="Q942" s="121">
        <f>IF(OR(N942="",WorkBudget=0),"",N942/WorkBudget-1)</f>
        <v/>
      </c>
      <c r="R942" s="79">
        <f>IF(N942="","",IF(N942&lt;=WorkBudget,0,IF(N942&lt;=TotalBudget,1,2)))</f>
        <v/>
      </c>
      <c r="S942" s="112">
        <f>IF(AND(OR(H942&lt;&gt;"",J942&lt;&gt;""),OR(L942="Pending",L942=""),C942&lt;&gt;""),C942+3,"")</f>
        <v/>
      </c>
      <c r="T942" s="79">
        <f>IF(S942="","",IF(AsOf&gt;S942,1,2))</f>
        <v/>
      </c>
      <c r="U942" s="79">
        <f>IF(T942="","","Decide on change order "&amp;B942&amp;": "&amp;H942&amp;" (+"&amp;CurSym&amp;" "&amp;FIXED(IF(J942="",0,J942),0)&amp;")")</f>
        <v/>
      </c>
    </row>
    <row r="943" ht="24" customHeight="1">
      <c r="B943" s="74" t="n"/>
      <c r="C943" s="109" t="n"/>
      <c r="D943" s="72" t="n"/>
      <c r="E943" s="72" t="n"/>
      <c r="F943" s="72" t="n"/>
      <c r="G943" s="72" t="n"/>
      <c r="H943" s="113" t="n"/>
      <c r="I943" s="72" t="n"/>
      <c r="J943" s="73" t="n"/>
      <c r="K943" s="89" t="n"/>
      <c r="L943" s="74" t="n"/>
      <c r="M943" s="109" t="n"/>
      <c r="N943" s="68">
        <f>IF(AND(H943="",J943=""),"",ForecastTotal+IF(L943="Approved",0,IF(J943="",0,J943)))</f>
        <v/>
      </c>
      <c r="O943" s="75">
        <f>IF(N943="","",ContAmt-MAX(0,N943-WorkBudget))</f>
        <v/>
      </c>
      <c r="P943" s="120">
        <f>IF(OR(N943="",ForecastEnd=""),"",ForecastEnd+IF(L943="Approved",0,IF(K943="",0,K943)))</f>
        <v/>
      </c>
      <c r="Q943" s="121">
        <f>IF(OR(N943="",WorkBudget=0),"",N943/WorkBudget-1)</f>
        <v/>
      </c>
      <c r="R943" s="79">
        <f>IF(N943="","",IF(N943&lt;=WorkBudget,0,IF(N943&lt;=TotalBudget,1,2)))</f>
        <v/>
      </c>
      <c r="S943" s="112">
        <f>IF(AND(OR(H943&lt;&gt;"",J943&lt;&gt;""),OR(L943="Pending",L943=""),C943&lt;&gt;""),C943+3,"")</f>
        <v/>
      </c>
      <c r="T943" s="79">
        <f>IF(S943="","",IF(AsOf&gt;S943,1,2))</f>
        <v/>
      </c>
      <c r="U943" s="79">
        <f>IF(T943="","","Decide on change order "&amp;B943&amp;": "&amp;H943&amp;" (+"&amp;CurSym&amp;" "&amp;FIXED(IF(J943="",0,J943),0)&amp;")")</f>
        <v/>
      </c>
    </row>
    <row r="944" ht="24" customHeight="1">
      <c r="B944" s="74" t="n"/>
      <c r="C944" s="109" t="n"/>
      <c r="D944" s="72" t="n"/>
      <c r="E944" s="72" t="n"/>
      <c r="F944" s="72" t="n"/>
      <c r="G944" s="72" t="n"/>
      <c r="H944" s="113" t="n"/>
      <c r="I944" s="72" t="n"/>
      <c r="J944" s="73" t="n"/>
      <c r="K944" s="89" t="n"/>
      <c r="L944" s="74" t="n"/>
      <c r="M944" s="109" t="n"/>
      <c r="N944" s="68">
        <f>IF(AND(H944="",J944=""),"",ForecastTotal+IF(L944="Approved",0,IF(J944="",0,J944)))</f>
        <v/>
      </c>
      <c r="O944" s="75">
        <f>IF(N944="","",ContAmt-MAX(0,N944-WorkBudget))</f>
        <v/>
      </c>
      <c r="P944" s="120">
        <f>IF(OR(N944="",ForecastEnd=""),"",ForecastEnd+IF(L944="Approved",0,IF(K944="",0,K944)))</f>
        <v/>
      </c>
      <c r="Q944" s="121">
        <f>IF(OR(N944="",WorkBudget=0),"",N944/WorkBudget-1)</f>
        <v/>
      </c>
      <c r="R944" s="79">
        <f>IF(N944="","",IF(N944&lt;=WorkBudget,0,IF(N944&lt;=TotalBudget,1,2)))</f>
        <v/>
      </c>
      <c r="S944" s="112">
        <f>IF(AND(OR(H944&lt;&gt;"",J944&lt;&gt;""),OR(L944="Pending",L944=""),C944&lt;&gt;""),C944+3,"")</f>
        <v/>
      </c>
      <c r="T944" s="79">
        <f>IF(S944="","",IF(AsOf&gt;S944,1,2))</f>
        <v/>
      </c>
      <c r="U944" s="79">
        <f>IF(T944="","","Decide on change order "&amp;B944&amp;": "&amp;H944&amp;" (+"&amp;CurSym&amp;" "&amp;FIXED(IF(J944="",0,J944),0)&amp;")")</f>
        <v/>
      </c>
    </row>
    <row r="945" ht="24" customHeight="1">
      <c r="B945" s="74" t="n"/>
      <c r="C945" s="109" t="n"/>
      <c r="D945" s="72" t="n"/>
      <c r="E945" s="72" t="n"/>
      <c r="F945" s="72" t="n"/>
      <c r="G945" s="72" t="n"/>
      <c r="H945" s="113" t="n"/>
      <c r="I945" s="72" t="n"/>
      <c r="J945" s="73" t="n"/>
      <c r="K945" s="89" t="n"/>
      <c r="L945" s="74" t="n"/>
      <c r="M945" s="109" t="n"/>
      <c r="N945" s="68">
        <f>IF(AND(H945="",J945=""),"",ForecastTotal+IF(L945="Approved",0,IF(J945="",0,J945)))</f>
        <v/>
      </c>
      <c r="O945" s="75">
        <f>IF(N945="","",ContAmt-MAX(0,N945-WorkBudget))</f>
        <v/>
      </c>
      <c r="P945" s="120">
        <f>IF(OR(N945="",ForecastEnd=""),"",ForecastEnd+IF(L945="Approved",0,IF(K945="",0,K945)))</f>
        <v/>
      </c>
      <c r="Q945" s="121">
        <f>IF(OR(N945="",WorkBudget=0),"",N945/WorkBudget-1)</f>
        <v/>
      </c>
      <c r="R945" s="79">
        <f>IF(N945="","",IF(N945&lt;=WorkBudget,0,IF(N945&lt;=TotalBudget,1,2)))</f>
        <v/>
      </c>
      <c r="S945" s="112">
        <f>IF(AND(OR(H945&lt;&gt;"",J945&lt;&gt;""),OR(L945="Pending",L945=""),C945&lt;&gt;""),C945+3,"")</f>
        <v/>
      </c>
      <c r="T945" s="79">
        <f>IF(S945="","",IF(AsOf&gt;S945,1,2))</f>
        <v/>
      </c>
      <c r="U945" s="79">
        <f>IF(T945="","","Decide on change order "&amp;B945&amp;": "&amp;H945&amp;" (+"&amp;CurSym&amp;" "&amp;FIXED(IF(J945="",0,J945),0)&amp;")")</f>
        <v/>
      </c>
    </row>
    <row r="946" ht="24" customHeight="1">
      <c r="B946" s="74" t="n"/>
      <c r="C946" s="109" t="n"/>
      <c r="D946" s="72" t="n"/>
      <c r="E946" s="72" t="n"/>
      <c r="F946" s="72" t="n"/>
      <c r="G946" s="72" t="n"/>
      <c r="H946" s="113" t="n"/>
      <c r="I946" s="72" t="n"/>
      <c r="J946" s="73" t="n"/>
      <c r="K946" s="89" t="n"/>
      <c r="L946" s="74" t="n"/>
      <c r="M946" s="109" t="n"/>
      <c r="N946" s="68">
        <f>IF(AND(H946="",J946=""),"",ForecastTotal+IF(L946="Approved",0,IF(J946="",0,J946)))</f>
        <v/>
      </c>
      <c r="O946" s="75">
        <f>IF(N946="","",ContAmt-MAX(0,N946-WorkBudget))</f>
        <v/>
      </c>
      <c r="P946" s="120">
        <f>IF(OR(N946="",ForecastEnd=""),"",ForecastEnd+IF(L946="Approved",0,IF(K946="",0,K946)))</f>
        <v/>
      </c>
      <c r="Q946" s="121">
        <f>IF(OR(N946="",WorkBudget=0),"",N946/WorkBudget-1)</f>
        <v/>
      </c>
      <c r="R946" s="79">
        <f>IF(N946="","",IF(N946&lt;=WorkBudget,0,IF(N946&lt;=TotalBudget,1,2)))</f>
        <v/>
      </c>
      <c r="S946" s="112">
        <f>IF(AND(OR(H946&lt;&gt;"",J946&lt;&gt;""),OR(L946="Pending",L946=""),C946&lt;&gt;""),C946+3,"")</f>
        <v/>
      </c>
      <c r="T946" s="79">
        <f>IF(S946="","",IF(AsOf&gt;S946,1,2))</f>
        <v/>
      </c>
      <c r="U946" s="79">
        <f>IF(T946="","","Decide on change order "&amp;B946&amp;": "&amp;H946&amp;" (+"&amp;CurSym&amp;" "&amp;FIXED(IF(J946="",0,J946),0)&amp;")")</f>
        <v/>
      </c>
    </row>
    <row r="947" ht="24" customHeight="1">
      <c r="B947" s="74" t="n"/>
      <c r="C947" s="109" t="n"/>
      <c r="D947" s="72" t="n"/>
      <c r="E947" s="72" t="n"/>
      <c r="F947" s="72" t="n"/>
      <c r="G947" s="72" t="n"/>
      <c r="H947" s="113" t="n"/>
      <c r="I947" s="72" t="n"/>
      <c r="J947" s="73" t="n"/>
      <c r="K947" s="89" t="n"/>
      <c r="L947" s="74" t="n"/>
      <c r="M947" s="109" t="n"/>
      <c r="N947" s="68">
        <f>IF(AND(H947="",J947=""),"",ForecastTotal+IF(L947="Approved",0,IF(J947="",0,J947)))</f>
        <v/>
      </c>
      <c r="O947" s="75">
        <f>IF(N947="","",ContAmt-MAX(0,N947-WorkBudget))</f>
        <v/>
      </c>
      <c r="P947" s="120">
        <f>IF(OR(N947="",ForecastEnd=""),"",ForecastEnd+IF(L947="Approved",0,IF(K947="",0,K947)))</f>
        <v/>
      </c>
      <c r="Q947" s="121">
        <f>IF(OR(N947="",WorkBudget=0),"",N947/WorkBudget-1)</f>
        <v/>
      </c>
      <c r="R947" s="79">
        <f>IF(N947="","",IF(N947&lt;=WorkBudget,0,IF(N947&lt;=TotalBudget,1,2)))</f>
        <v/>
      </c>
      <c r="S947" s="112">
        <f>IF(AND(OR(H947&lt;&gt;"",J947&lt;&gt;""),OR(L947="Pending",L947=""),C947&lt;&gt;""),C947+3,"")</f>
        <v/>
      </c>
      <c r="T947" s="79">
        <f>IF(S947="","",IF(AsOf&gt;S947,1,2))</f>
        <v/>
      </c>
      <c r="U947" s="79">
        <f>IF(T947="","","Decide on change order "&amp;B947&amp;": "&amp;H947&amp;" (+"&amp;CurSym&amp;" "&amp;FIXED(IF(J947="",0,J947),0)&amp;")")</f>
        <v/>
      </c>
    </row>
    <row r="948" ht="24" customHeight="1">
      <c r="B948" s="74" t="n"/>
      <c r="C948" s="109" t="n"/>
      <c r="D948" s="72" t="n"/>
      <c r="E948" s="72" t="n"/>
      <c r="F948" s="72" t="n"/>
      <c r="G948" s="72" t="n"/>
      <c r="H948" s="113" t="n"/>
      <c r="I948" s="72" t="n"/>
      <c r="J948" s="73" t="n"/>
      <c r="K948" s="89" t="n"/>
      <c r="L948" s="74" t="n"/>
      <c r="M948" s="109" t="n"/>
      <c r="N948" s="68">
        <f>IF(AND(H948="",J948=""),"",ForecastTotal+IF(L948="Approved",0,IF(J948="",0,J948)))</f>
        <v/>
      </c>
      <c r="O948" s="75">
        <f>IF(N948="","",ContAmt-MAX(0,N948-WorkBudget))</f>
        <v/>
      </c>
      <c r="P948" s="120">
        <f>IF(OR(N948="",ForecastEnd=""),"",ForecastEnd+IF(L948="Approved",0,IF(K948="",0,K948)))</f>
        <v/>
      </c>
      <c r="Q948" s="121">
        <f>IF(OR(N948="",WorkBudget=0),"",N948/WorkBudget-1)</f>
        <v/>
      </c>
      <c r="R948" s="79">
        <f>IF(N948="","",IF(N948&lt;=WorkBudget,0,IF(N948&lt;=TotalBudget,1,2)))</f>
        <v/>
      </c>
      <c r="S948" s="112">
        <f>IF(AND(OR(H948&lt;&gt;"",J948&lt;&gt;""),OR(L948="Pending",L948=""),C948&lt;&gt;""),C948+3,"")</f>
        <v/>
      </c>
      <c r="T948" s="79">
        <f>IF(S948="","",IF(AsOf&gt;S948,1,2))</f>
        <v/>
      </c>
      <c r="U948" s="79">
        <f>IF(T948="","","Decide on change order "&amp;B948&amp;": "&amp;H948&amp;" (+"&amp;CurSym&amp;" "&amp;FIXED(IF(J948="",0,J948),0)&amp;")")</f>
        <v/>
      </c>
    </row>
    <row r="949" ht="24" customHeight="1">
      <c r="B949" s="74" t="n"/>
      <c r="C949" s="109" t="n"/>
      <c r="D949" s="72" t="n"/>
      <c r="E949" s="72" t="n"/>
      <c r="F949" s="72" t="n"/>
      <c r="G949" s="72" t="n"/>
      <c r="H949" s="113" t="n"/>
      <c r="I949" s="72" t="n"/>
      <c r="J949" s="73" t="n"/>
      <c r="K949" s="89" t="n"/>
      <c r="L949" s="74" t="n"/>
      <c r="M949" s="109" t="n"/>
      <c r="N949" s="68">
        <f>IF(AND(H949="",J949=""),"",ForecastTotal+IF(L949="Approved",0,IF(J949="",0,J949)))</f>
        <v/>
      </c>
      <c r="O949" s="75">
        <f>IF(N949="","",ContAmt-MAX(0,N949-WorkBudget))</f>
        <v/>
      </c>
      <c r="P949" s="120">
        <f>IF(OR(N949="",ForecastEnd=""),"",ForecastEnd+IF(L949="Approved",0,IF(K949="",0,K949)))</f>
        <v/>
      </c>
      <c r="Q949" s="121">
        <f>IF(OR(N949="",WorkBudget=0),"",N949/WorkBudget-1)</f>
        <v/>
      </c>
      <c r="R949" s="79">
        <f>IF(N949="","",IF(N949&lt;=WorkBudget,0,IF(N949&lt;=TotalBudget,1,2)))</f>
        <v/>
      </c>
      <c r="S949" s="112">
        <f>IF(AND(OR(H949&lt;&gt;"",J949&lt;&gt;""),OR(L949="Pending",L949=""),C949&lt;&gt;""),C949+3,"")</f>
        <v/>
      </c>
      <c r="T949" s="79">
        <f>IF(S949="","",IF(AsOf&gt;S949,1,2))</f>
        <v/>
      </c>
      <c r="U949" s="79">
        <f>IF(T949="","","Decide on change order "&amp;B949&amp;": "&amp;H949&amp;" (+"&amp;CurSym&amp;" "&amp;FIXED(IF(J949="",0,J949),0)&amp;")")</f>
        <v/>
      </c>
    </row>
    <row r="950" ht="24" customHeight="1">
      <c r="B950" s="74" t="n"/>
      <c r="C950" s="109" t="n"/>
      <c r="D950" s="72" t="n"/>
      <c r="E950" s="72" t="n"/>
      <c r="F950" s="72" t="n"/>
      <c r="G950" s="72" t="n"/>
      <c r="H950" s="113" t="n"/>
      <c r="I950" s="72" t="n"/>
      <c r="J950" s="73" t="n"/>
      <c r="K950" s="89" t="n"/>
      <c r="L950" s="74" t="n"/>
      <c r="M950" s="109" t="n"/>
      <c r="N950" s="68">
        <f>IF(AND(H950="",J950=""),"",ForecastTotal+IF(L950="Approved",0,IF(J950="",0,J950)))</f>
        <v/>
      </c>
      <c r="O950" s="75">
        <f>IF(N950="","",ContAmt-MAX(0,N950-WorkBudget))</f>
        <v/>
      </c>
      <c r="P950" s="120">
        <f>IF(OR(N950="",ForecastEnd=""),"",ForecastEnd+IF(L950="Approved",0,IF(K950="",0,K950)))</f>
        <v/>
      </c>
      <c r="Q950" s="121">
        <f>IF(OR(N950="",WorkBudget=0),"",N950/WorkBudget-1)</f>
        <v/>
      </c>
      <c r="R950" s="79">
        <f>IF(N950="","",IF(N950&lt;=WorkBudget,0,IF(N950&lt;=TotalBudget,1,2)))</f>
        <v/>
      </c>
      <c r="S950" s="112">
        <f>IF(AND(OR(H950&lt;&gt;"",J950&lt;&gt;""),OR(L950="Pending",L950=""),C950&lt;&gt;""),C950+3,"")</f>
        <v/>
      </c>
      <c r="T950" s="79">
        <f>IF(S950="","",IF(AsOf&gt;S950,1,2))</f>
        <v/>
      </c>
      <c r="U950" s="79">
        <f>IF(T950="","","Decide on change order "&amp;B950&amp;": "&amp;H950&amp;" (+"&amp;CurSym&amp;" "&amp;FIXED(IF(J950="",0,J950),0)&amp;")")</f>
        <v/>
      </c>
    </row>
    <row r="951" ht="24" customHeight="1">
      <c r="B951" s="74" t="n"/>
      <c r="C951" s="109" t="n"/>
      <c r="D951" s="72" t="n"/>
      <c r="E951" s="72" t="n"/>
      <c r="F951" s="72" t="n"/>
      <c r="G951" s="72" t="n"/>
      <c r="H951" s="113" t="n"/>
      <c r="I951" s="72" t="n"/>
      <c r="J951" s="73" t="n"/>
      <c r="K951" s="89" t="n"/>
      <c r="L951" s="74" t="n"/>
      <c r="M951" s="109" t="n"/>
      <c r="N951" s="68">
        <f>IF(AND(H951="",J951=""),"",ForecastTotal+IF(L951="Approved",0,IF(J951="",0,J951)))</f>
        <v/>
      </c>
      <c r="O951" s="75">
        <f>IF(N951="","",ContAmt-MAX(0,N951-WorkBudget))</f>
        <v/>
      </c>
      <c r="P951" s="120">
        <f>IF(OR(N951="",ForecastEnd=""),"",ForecastEnd+IF(L951="Approved",0,IF(K951="",0,K951)))</f>
        <v/>
      </c>
      <c r="Q951" s="121">
        <f>IF(OR(N951="",WorkBudget=0),"",N951/WorkBudget-1)</f>
        <v/>
      </c>
      <c r="R951" s="79">
        <f>IF(N951="","",IF(N951&lt;=WorkBudget,0,IF(N951&lt;=TotalBudget,1,2)))</f>
        <v/>
      </c>
      <c r="S951" s="112">
        <f>IF(AND(OR(H951&lt;&gt;"",J951&lt;&gt;""),OR(L951="Pending",L951=""),C951&lt;&gt;""),C951+3,"")</f>
        <v/>
      </c>
      <c r="T951" s="79">
        <f>IF(S951="","",IF(AsOf&gt;S951,1,2))</f>
        <v/>
      </c>
      <c r="U951" s="79">
        <f>IF(T951="","","Decide on change order "&amp;B951&amp;": "&amp;H951&amp;" (+"&amp;CurSym&amp;" "&amp;FIXED(IF(J951="",0,J951),0)&amp;")")</f>
        <v/>
      </c>
    </row>
    <row r="952" ht="24" customHeight="1">
      <c r="B952" s="74" t="n"/>
      <c r="C952" s="109" t="n"/>
      <c r="D952" s="72" t="n"/>
      <c r="E952" s="72" t="n"/>
      <c r="F952" s="72" t="n"/>
      <c r="G952" s="72" t="n"/>
      <c r="H952" s="113" t="n"/>
      <c r="I952" s="72" t="n"/>
      <c r="J952" s="73" t="n"/>
      <c r="K952" s="89" t="n"/>
      <c r="L952" s="74" t="n"/>
      <c r="M952" s="109" t="n"/>
      <c r="N952" s="68">
        <f>IF(AND(H952="",J952=""),"",ForecastTotal+IF(L952="Approved",0,IF(J952="",0,J952)))</f>
        <v/>
      </c>
      <c r="O952" s="75">
        <f>IF(N952="","",ContAmt-MAX(0,N952-WorkBudget))</f>
        <v/>
      </c>
      <c r="P952" s="120">
        <f>IF(OR(N952="",ForecastEnd=""),"",ForecastEnd+IF(L952="Approved",0,IF(K952="",0,K952)))</f>
        <v/>
      </c>
      <c r="Q952" s="121">
        <f>IF(OR(N952="",WorkBudget=0),"",N952/WorkBudget-1)</f>
        <v/>
      </c>
      <c r="R952" s="79">
        <f>IF(N952="","",IF(N952&lt;=WorkBudget,0,IF(N952&lt;=TotalBudget,1,2)))</f>
        <v/>
      </c>
      <c r="S952" s="112">
        <f>IF(AND(OR(H952&lt;&gt;"",J952&lt;&gt;""),OR(L952="Pending",L952=""),C952&lt;&gt;""),C952+3,"")</f>
        <v/>
      </c>
      <c r="T952" s="79">
        <f>IF(S952="","",IF(AsOf&gt;S952,1,2))</f>
        <v/>
      </c>
      <c r="U952" s="79">
        <f>IF(T952="","","Decide on change order "&amp;B952&amp;": "&amp;H952&amp;" (+"&amp;CurSym&amp;" "&amp;FIXED(IF(J952="",0,J952),0)&amp;")")</f>
        <v/>
      </c>
    </row>
    <row r="953" ht="24" customHeight="1">
      <c r="B953" s="74" t="n"/>
      <c r="C953" s="109" t="n"/>
      <c r="D953" s="72" t="n"/>
      <c r="E953" s="72" t="n"/>
      <c r="F953" s="72" t="n"/>
      <c r="G953" s="72" t="n"/>
      <c r="H953" s="113" t="n"/>
      <c r="I953" s="72" t="n"/>
      <c r="J953" s="73" t="n"/>
      <c r="K953" s="89" t="n"/>
      <c r="L953" s="74" t="n"/>
      <c r="M953" s="109" t="n"/>
      <c r="N953" s="68">
        <f>IF(AND(H953="",J953=""),"",ForecastTotal+IF(L953="Approved",0,IF(J953="",0,J953)))</f>
        <v/>
      </c>
      <c r="O953" s="75">
        <f>IF(N953="","",ContAmt-MAX(0,N953-WorkBudget))</f>
        <v/>
      </c>
      <c r="P953" s="120">
        <f>IF(OR(N953="",ForecastEnd=""),"",ForecastEnd+IF(L953="Approved",0,IF(K953="",0,K953)))</f>
        <v/>
      </c>
      <c r="Q953" s="121">
        <f>IF(OR(N953="",WorkBudget=0),"",N953/WorkBudget-1)</f>
        <v/>
      </c>
      <c r="R953" s="79">
        <f>IF(N953="","",IF(N953&lt;=WorkBudget,0,IF(N953&lt;=TotalBudget,1,2)))</f>
        <v/>
      </c>
      <c r="S953" s="112">
        <f>IF(AND(OR(H953&lt;&gt;"",J953&lt;&gt;""),OR(L953="Pending",L953=""),C953&lt;&gt;""),C953+3,"")</f>
        <v/>
      </c>
      <c r="T953" s="79">
        <f>IF(S953="","",IF(AsOf&gt;S953,1,2))</f>
        <v/>
      </c>
      <c r="U953" s="79">
        <f>IF(T953="","","Decide on change order "&amp;B953&amp;": "&amp;H953&amp;" (+"&amp;CurSym&amp;" "&amp;FIXED(IF(J953="",0,J953),0)&amp;")")</f>
        <v/>
      </c>
    </row>
    <row r="954" ht="24" customHeight="1">
      <c r="B954" s="74" t="n"/>
      <c r="C954" s="109" t="n"/>
      <c r="D954" s="72" t="n"/>
      <c r="E954" s="72" t="n"/>
      <c r="F954" s="72" t="n"/>
      <c r="G954" s="72" t="n"/>
      <c r="H954" s="113" t="n"/>
      <c r="I954" s="72" t="n"/>
      <c r="J954" s="73" t="n"/>
      <c r="K954" s="89" t="n"/>
      <c r="L954" s="74" t="n"/>
      <c r="M954" s="109" t="n"/>
      <c r="N954" s="68">
        <f>IF(AND(H954="",J954=""),"",ForecastTotal+IF(L954="Approved",0,IF(J954="",0,J954)))</f>
        <v/>
      </c>
      <c r="O954" s="75">
        <f>IF(N954="","",ContAmt-MAX(0,N954-WorkBudget))</f>
        <v/>
      </c>
      <c r="P954" s="120">
        <f>IF(OR(N954="",ForecastEnd=""),"",ForecastEnd+IF(L954="Approved",0,IF(K954="",0,K954)))</f>
        <v/>
      </c>
      <c r="Q954" s="121">
        <f>IF(OR(N954="",WorkBudget=0),"",N954/WorkBudget-1)</f>
        <v/>
      </c>
      <c r="R954" s="79">
        <f>IF(N954="","",IF(N954&lt;=WorkBudget,0,IF(N954&lt;=TotalBudget,1,2)))</f>
        <v/>
      </c>
      <c r="S954" s="112">
        <f>IF(AND(OR(H954&lt;&gt;"",J954&lt;&gt;""),OR(L954="Pending",L954=""),C954&lt;&gt;""),C954+3,"")</f>
        <v/>
      </c>
      <c r="T954" s="79">
        <f>IF(S954="","",IF(AsOf&gt;S954,1,2))</f>
        <v/>
      </c>
      <c r="U954" s="79">
        <f>IF(T954="","","Decide on change order "&amp;B954&amp;": "&amp;H954&amp;" (+"&amp;CurSym&amp;" "&amp;FIXED(IF(J954="",0,J954),0)&amp;")")</f>
        <v/>
      </c>
    </row>
    <row r="955" ht="24" customHeight="1">
      <c r="B955" s="74" t="n"/>
      <c r="C955" s="109" t="n"/>
      <c r="D955" s="72" t="n"/>
      <c r="E955" s="72" t="n"/>
      <c r="F955" s="72" t="n"/>
      <c r="G955" s="72" t="n"/>
      <c r="H955" s="113" t="n"/>
      <c r="I955" s="72" t="n"/>
      <c r="J955" s="73" t="n"/>
      <c r="K955" s="89" t="n"/>
      <c r="L955" s="74" t="n"/>
      <c r="M955" s="109" t="n"/>
      <c r="N955" s="68">
        <f>IF(AND(H955="",J955=""),"",ForecastTotal+IF(L955="Approved",0,IF(J955="",0,J955)))</f>
        <v/>
      </c>
      <c r="O955" s="75">
        <f>IF(N955="","",ContAmt-MAX(0,N955-WorkBudget))</f>
        <v/>
      </c>
      <c r="P955" s="120">
        <f>IF(OR(N955="",ForecastEnd=""),"",ForecastEnd+IF(L955="Approved",0,IF(K955="",0,K955)))</f>
        <v/>
      </c>
      <c r="Q955" s="121">
        <f>IF(OR(N955="",WorkBudget=0),"",N955/WorkBudget-1)</f>
        <v/>
      </c>
      <c r="R955" s="79">
        <f>IF(N955="","",IF(N955&lt;=WorkBudget,0,IF(N955&lt;=TotalBudget,1,2)))</f>
        <v/>
      </c>
      <c r="S955" s="112">
        <f>IF(AND(OR(H955&lt;&gt;"",J955&lt;&gt;""),OR(L955="Pending",L955=""),C955&lt;&gt;""),C955+3,"")</f>
        <v/>
      </c>
      <c r="T955" s="79">
        <f>IF(S955="","",IF(AsOf&gt;S955,1,2))</f>
        <v/>
      </c>
      <c r="U955" s="79">
        <f>IF(T955="","","Decide on change order "&amp;B955&amp;": "&amp;H955&amp;" (+"&amp;CurSym&amp;" "&amp;FIXED(IF(J955="",0,J955),0)&amp;")")</f>
        <v/>
      </c>
    </row>
    <row r="956" ht="24" customHeight="1">
      <c r="B956" s="74" t="n"/>
      <c r="C956" s="109" t="n"/>
      <c r="D956" s="72" t="n"/>
      <c r="E956" s="72" t="n"/>
      <c r="F956" s="72" t="n"/>
      <c r="G956" s="72" t="n"/>
      <c r="H956" s="113" t="n"/>
      <c r="I956" s="72" t="n"/>
      <c r="J956" s="73" t="n"/>
      <c r="K956" s="89" t="n"/>
      <c r="L956" s="74" t="n"/>
      <c r="M956" s="109" t="n"/>
      <c r="N956" s="68">
        <f>IF(AND(H956="",J956=""),"",ForecastTotal+IF(L956="Approved",0,IF(J956="",0,J956)))</f>
        <v/>
      </c>
      <c r="O956" s="75">
        <f>IF(N956="","",ContAmt-MAX(0,N956-WorkBudget))</f>
        <v/>
      </c>
      <c r="P956" s="120">
        <f>IF(OR(N956="",ForecastEnd=""),"",ForecastEnd+IF(L956="Approved",0,IF(K956="",0,K956)))</f>
        <v/>
      </c>
      <c r="Q956" s="121">
        <f>IF(OR(N956="",WorkBudget=0),"",N956/WorkBudget-1)</f>
        <v/>
      </c>
      <c r="R956" s="79">
        <f>IF(N956="","",IF(N956&lt;=WorkBudget,0,IF(N956&lt;=TotalBudget,1,2)))</f>
        <v/>
      </c>
      <c r="S956" s="112">
        <f>IF(AND(OR(H956&lt;&gt;"",J956&lt;&gt;""),OR(L956="Pending",L956=""),C956&lt;&gt;""),C956+3,"")</f>
        <v/>
      </c>
      <c r="T956" s="79">
        <f>IF(S956="","",IF(AsOf&gt;S956,1,2))</f>
        <v/>
      </c>
      <c r="U956" s="79">
        <f>IF(T956="","","Decide on change order "&amp;B956&amp;": "&amp;H956&amp;" (+"&amp;CurSym&amp;" "&amp;FIXED(IF(J956="",0,J956),0)&amp;")")</f>
        <v/>
      </c>
    </row>
    <row r="957" ht="24" customHeight="1">
      <c r="B957" s="74" t="n"/>
      <c r="C957" s="109" t="n"/>
      <c r="D957" s="72" t="n"/>
      <c r="E957" s="72" t="n"/>
      <c r="F957" s="72" t="n"/>
      <c r="G957" s="72" t="n"/>
      <c r="H957" s="113" t="n"/>
      <c r="I957" s="72" t="n"/>
      <c r="J957" s="73" t="n"/>
      <c r="K957" s="89" t="n"/>
      <c r="L957" s="74" t="n"/>
      <c r="M957" s="109" t="n"/>
      <c r="N957" s="68">
        <f>IF(AND(H957="",J957=""),"",ForecastTotal+IF(L957="Approved",0,IF(J957="",0,J957)))</f>
        <v/>
      </c>
      <c r="O957" s="75">
        <f>IF(N957="","",ContAmt-MAX(0,N957-WorkBudget))</f>
        <v/>
      </c>
      <c r="P957" s="120">
        <f>IF(OR(N957="",ForecastEnd=""),"",ForecastEnd+IF(L957="Approved",0,IF(K957="",0,K957)))</f>
        <v/>
      </c>
      <c r="Q957" s="121">
        <f>IF(OR(N957="",WorkBudget=0),"",N957/WorkBudget-1)</f>
        <v/>
      </c>
      <c r="R957" s="79">
        <f>IF(N957="","",IF(N957&lt;=WorkBudget,0,IF(N957&lt;=TotalBudget,1,2)))</f>
        <v/>
      </c>
      <c r="S957" s="112">
        <f>IF(AND(OR(H957&lt;&gt;"",J957&lt;&gt;""),OR(L957="Pending",L957=""),C957&lt;&gt;""),C957+3,"")</f>
        <v/>
      </c>
      <c r="T957" s="79">
        <f>IF(S957="","",IF(AsOf&gt;S957,1,2))</f>
        <v/>
      </c>
      <c r="U957" s="79">
        <f>IF(T957="","","Decide on change order "&amp;B957&amp;": "&amp;H957&amp;" (+"&amp;CurSym&amp;" "&amp;FIXED(IF(J957="",0,J957),0)&amp;")")</f>
        <v/>
      </c>
    </row>
    <row r="958" ht="24" customHeight="1">
      <c r="B958" s="74" t="n"/>
      <c r="C958" s="109" t="n"/>
      <c r="D958" s="72" t="n"/>
      <c r="E958" s="72" t="n"/>
      <c r="F958" s="72" t="n"/>
      <c r="G958" s="72" t="n"/>
      <c r="H958" s="113" t="n"/>
      <c r="I958" s="72" t="n"/>
      <c r="J958" s="73" t="n"/>
      <c r="K958" s="89" t="n"/>
      <c r="L958" s="74" t="n"/>
      <c r="M958" s="109" t="n"/>
      <c r="N958" s="68">
        <f>IF(AND(H958="",J958=""),"",ForecastTotal+IF(L958="Approved",0,IF(J958="",0,J958)))</f>
        <v/>
      </c>
      <c r="O958" s="75">
        <f>IF(N958="","",ContAmt-MAX(0,N958-WorkBudget))</f>
        <v/>
      </c>
      <c r="P958" s="120">
        <f>IF(OR(N958="",ForecastEnd=""),"",ForecastEnd+IF(L958="Approved",0,IF(K958="",0,K958)))</f>
        <v/>
      </c>
      <c r="Q958" s="121">
        <f>IF(OR(N958="",WorkBudget=0),"",N958/WorkBudget-1)</f>
        <v/>
      </c>
      <c r="R958" s="79">
        <f>IF(N958="","",IF(N958&lt;=WorkBudget,0,IF(N958&lt;=TotalBudget,1,2)))</f>
        <v/>
      </c>
      <c r="S958" s="112">
        <f>IF(AND(OR(H958&lt;&gt;"",J958&lt;&gt;""),OR(L958="Pending",L958=""),C958&lt;&gt;""),C958+3,"")</f>
        <v/>
      </c>
      <c r="T958" s="79">
        <f>IF(S958="","",IF(AsOf&gt;S958,1,2))</f>
        <v/>
      </c>
      <c r="U958" s="79">
        <f>IF(T958="","","Decide on change order "&amp;B958&amp;": "&amp;H958&amp;" (+"&amp;CurSym&amp;" "&amp;FIXED(IF(J958="",0,J958),0)&amp;")")</f>
        <v/>
      </c>
    </row>
    <row r="959" ht="24" customHeight="1">
      <c r="B959" s="74" t="n"/>
      <c r="C959" s="109" t="n"/>
      <c r="D959" s="72" t="n"/>
      <c r="E959" s="72" t="n"/>
      <c r="F959" s="72" t="n"/>
      <c r="G959" s="72" t="n"/>
      <c r="H959" s="113" t="n"/>
      <c r="I959" s="72" t="n"/>
      <c r="J959" s="73" t="n"/>
      <c r="K959" s="89" t="n"/>
      <c r="L959" s="74" t="n"/>
      <c r="M959" s="109" t="n"/>
      <c r="N959" s="68">
        <f>IF(AND(H959="",J959=""),"",ForecastTotal+IF(L959="Approved",0,IF(J959="",0,J959)))</f>
        <v/>
      </c>
      <c r="O959" s="75">
        <f>IF(N959="","",ContAmt-MAX(0,N959-WorkBudget))</f>
        <v/>
      </c>
      <c r="P959" s="120">
        <f>IF(OR(N959="",ForecastEnd=""),"",ForecastEnd+IF(L959="Approved",0,IF(K959="",0,K959)))</f>
        <v/>
      </c>
      <c r="Q959" s="121">
        <f>IF(OR(N959="",WorkBudget=0),"",N959/WorkBudget-1)</f>
        <v/>
      </c>
      <c r="R959" s="79">
        <f>IF(N959="","",IF(N959&lt;=WorkBudget,0,IF(N959&lt;=TotalBudget,1,2)))</f>
        <v/>
      </c>
      <c r="S959" s="112">
        <f>IF(AND(OR(H959&lt;&gt;"",J959&lt;&gt;""),OR(L959="Pending",L959=""),C959&lt;&gt;""),C959+3,"")</f>
        <v/>
      </c>
      <c r="T959" s="79">
        <f>IF(S959="","",IF(AsOf&gt;S959,1,2))</f>
        <v/>
      </c>
      <c r="U959" s="79">
        <f>IF(T959="","","Decide on change order "&amp;B959&amp;": "&amp;H959&amp;" (+"&amp;CurSym&amp;" "&amp;FIXED(IF(J959="",0,J959),0)&amp;")")</f>
        <v/>
      </c>
    </row>
    <row r="960" ht="24" customHeight="1">
      <c r="B960" s="74" t="n"/>
      <c r="C960" s="109" t="n"/>
      <c r="D960" s="72" t="n"/>
      <c r="E960" s="72" t="n"/>
      <c r="F960" s="72" t="n"/>
      <c r="G960" s="72" t="n"/>
      <c r="H960" s="113" t="n"/>
      <c r="I960" s="72" t="n"/>
      <c r="J960" s="73" t="n"/>
      <c r="K960" s="89" t="n"/>
      <c r="L960" s="74" t="n"/>
      <c r="M960" s="109" t="n"/>
      <c r="N960" s="68">
        <f>IF(AND(H960="",J960=""),"",ForecastTotal+IF(L960="Approved",0,IF(J960="",0,J960)))</f>
        <v/>
      </c>
      <c r="O960" s="75">
        <f>IF(N960="","",ContAmt-MAX(0,N960-WorkBudget))</f>
        <v/>
      </c>
      <c r="P960" s="120">
        <f>IF(OR(N960="",ForecastEnd=""),"",ForecastEnd+IF(L960="Approved",0,IF(K960="",0,K960)))</f>
        <v/>
      </c>
      <c r="Q960" s="121">
        <f>IF(OR(N960="",WorkBudget=0),"",N960/WorkBudget-1)</f>
        <v/>
      </c>
      <c r="R960" s="79">
        <f>IF(N960="","",IF(N960&lt;=WorkBudget,0,IF(N960&lt;=TotalBudget,1,2)))</f>
        <v/>
      </c>
      <c r="S960" s="112">
        <f>IF(AND(OR(H960&lt;&gt;"",J960&lt;&gt;""),OR(L960="Pending",L960=""),C960&lt;&gt;""),C960+3,"")</f>
        <v/>
      </c>
      <c r="T960" s="79">
        <f>IF(S960="","",IF(AsOf&gt;S960,1,2))</f>
        <v/>
      </c>
      <c r="U960" s="79">
        <f>IF(T960="","","Decide on change order "&amp;B960&amp;": "&amp;H960&amp;" (+"&amp;CurSym&amp;" "&amp;FIXED(IF(J960="",0,J960),0)&amp;")")</f>
        <v/>
      </c>
    </row>
    <row r="961" ht="24" customHeight="1">
      <c r="B961" s="74" t="n"/>
      <c r="C961" s="109" t="n"/>
      <c r="D961" s="72" t="n"/>
      <c r="E961" s="72" t="n"/>
      <c r="F961" s="72" t="n"/>
      <c r="G961" s="72" t="n"/>
      <c r="H961" s="113" t="n"/>
      <c r="I961" s="72" t="n"/>
      <c r="J961" s="73" t="n"/>
      <c r="K961" s="89" t="n"/>
      <c r="L961" s="74" t="n"/>
      <c r="M961" s="109" t="n"/>
      <c r="N961" s="68">
        <f>IF(AND(H961="",J961=""),"",ForecastTotal+IF(L961="Approved",0,IF(J961="",0,J961)))</f>
        <v/>
      </c>
      <c r="O961" s="75">
        <f>IF(N961="","",ContAmt-MAX(0,N961-WorkBudget))</f>
        <v/>
      </c>
      <c r="P961" s="120">
        <f>IF(OR(N961="",ForecastEnd=""),"",ForecastEnd+IF(L961="Approved",0,IF(K961="",0,K961)))</f>
        <v/>
      </c>
      <c r="Q961" s="121">
        <f>IF(OR(N961="",WorkBudget=0),"",N961/WorkBudget-1)</f>
        <v/>
      </c>
      <c r="R961" s="79">
        <f>IF(N961="","",IF(N961&lt;=WorkBudget,0,IF(N961&lt;=TotalBudget,1,2)))</f>
        <v/>
      </c>
      <c r="S961" s="112">
        <f>IF(AND(OR(H961&lt;&gt;"",J961&lt;&gt;""),OR(L961="Pending",L961=""),C961&lt;&gt;""),C961+3,"")</f>
        <v/>
      </c>
      <c r="T961" s="79">
        <f>IF(S961="","",IF(AsOf&gt;S961,1,2))</f>
        <v/>
      </c>
      <c r="U961" s="79">
        <f>IF(T961="","","Decide on change order "&amp;B961&amp;": "&amp;H961&amp;" (+"&amp;CurSym&amp;" "&amp;FIXED(IF(J961="",0,J961),0)&amp;")")</f>
        <v/>
      </c>
    </row>
    <row r="962" ht="24" customHeight="1">
      <c r="B962" s="74" t="n"/>
      <c r="C962" s="109" t="n"/>
      <c r="D962" s="72" t="n"/>
      <c r="E962" s="72" t="n"/>
      <c r="F962" s="72" t="n"/>
      <c r="G962" s="72" t="n"/>
      <c r="H962" s="113" t="n"/>
      <c r="I962" s="72" t="n"/>
      <c r="J962" s="73" t="n"/>
      <c r="K962" s="89" t="n"/>
      <c r="L962" s="74" t="n"/>
      <c r="M962" s="109" t="n"/>
      <c r="N962" s="68">
        <f>IF(AND(H962="",J962=""),"",ForecastTotal+IF(L962="Approved",0,IF(J962="",0,J962)))</f>
        <v/>
      </c>
      <c r="O962" s="75">
        <f>IF(N962="","",ContAmt-MAX(0,N962-WorkBudget))</f>
        <v/>
      </c>
      <c r="P962" s="120">
        <f>IF(OR(N962="",ForecastEnd=""),"",ForecastEnd+IF(L962="Approved",0,IF(K962="",0,K962)))</f>
        <v/>
      </c>
      <c r="Q962" s="121">
        <f>IF(OR(N962="",WorkBudget=0),"",N962/WorkBudget-1)</f>
        <v/>
      </c>
      <c r="R962" s="79">
        <f>IF(N962="","",IF(N962&lt;=WorkBudget,0,IF(N962&lt;=TotalBudget,1,2)))</f>
        <v/>
      </c>
      <c r="S962" s="112">
        <f>IF(AND(OR(H962&lt;&gt;"",J962&lt;&gt;""),OR(L962="Pending",L962=""),C962&lt;&gt;""),C962+3,"")</f>
        <v/>
      </c>
      <c r="T962" s="79">
        <f>IF(S962="","",IF(AsOf&gt;S962,1,2))</f>
        <v/>
      </c>
      <c r="U962" s="79">
        <f>IF(T962="","","Decide on change order "&amp;B962&amp;": "&amp;H962&amp;" (+"&amp;CurSym&amp;" "&amp;FIXED(IF(J962="",0,J962),0)&amp;")")</f>
        <v/>
      </c>
    </row>
    <row r="963" ht="24" customHeight="1">
      <c r="B963" s="74" t="n"/>
      <c r="C963" s="109" t="n"/>
      <c r="D963" s="72" t="n"/>
      <c r="E963" s="72" t="n"/>
      <c r="F963" s="72" t="n"/>
      <c r="G963" s="72" t="n"/>
      <c r="H963" s="113" t="n"/>
      <c r="I963" s="72" t="n"/>
      <c r="J963" s="73" t="n"/>
      <c r="K963" s="89" t="n"/>
      <c r="L963" s="74" t="n"/>
      <c r="M963" s="109" t="n"/>
      <c r="N963" s="68">
        <f>IF(AND(H963="",J963=""),"",ForecastTotal+IF(L963="Approved",0,IF(J963="",0,J963)))</f>
        <v/>
      </c>
      <c r="O963" s="75">
        <f>IF(N963="","",ContAmt-MAX(0,N963-WorkBudget))</f>
        <v/>
      </c>
      <c r="P963" s="120">
        <f>IF(OR(N963="",ForecastEnd=""),"",ForecastEnd+IF(L963="Approved",0,IF(K963="",0,K963)))</f>
        <v/>
      </c>
      <c r="Q963" s="121">
        <f>IF(OR(N963="",WorkBudget=0),"",N963/WorkBudget-1)</f>
        <v/>
      </c>
      <c r="R963" s="79">
        <f>IF(N963="","",IF(N963&lt;=WorkBudget,0,IF(N963&lt;=TotalBudget,1,2)))</f>
        <v/>
      </c>
      <c r="S963" s="112">
        <f>IF(AND(OR(H963&lt;&gt;"",J963&lt;&gt;""),OR(L963="Pending",L963=""),C963&lt;&gt;""),C963+3,"")</f>
        <v/>
      </c>
      <c r="T963" s="79">
        <f>IF(S963="","",IF(AsOf&gt;S963,1,2))</f>
        <v/>
      </c>
      <c r="U963" s="79">
        <f>IF(T963="","","Decide on change order "&amp;B963&amp;": "&amp;H963&amp;" (+"&amp;CurSym&amp;" "&amp;FIXED(IF(J963="",0,J963),0)&amp;")")</f>
        <v/>
      </c>
    </row>
    <row r="964" ht="24" customHeight="1">
      <c r="B964" s="74" t="n"/>
      <c r="C964" s="109" t="n"/>
      <c r="D964" s="72" t="n"/>
      <c r="E964" s="72" t="n"/>
      <c r="F964" s="72" t="n"/>
      <c r="G964" s="72" t="n"/>
      <c r="H964" s="113" t="n"/>
      <c r="I964" s="72" t="n"/>
      <c r="J964" s="73" t="n"/>
      <c r="K964" s="89" t="n"/>
      <c r="L964" s="74" t="n"/>
      <c r="M964" s="109" t="n"/>
      <c r="N964" s="68">
        <f>IF(AND(H964="",J964=""),"",ForecastTotal+IF(L964="Approved",0,IF(J964="",0,J964)))</f>
        <v/>
      </c>
      <c r="O964" s="75">
        <f>IF(N964="","",ContAmt-MAX(0,N964-WorkBudget))</f>
        <v/>
      </c>
      <c r="P964" s="120">
        <f>IF(OR(N964="",ForecastEnd=""),"",ForecastEnd+IF(L964="Approved",0,IF(K964="",0,K964)))</f>
        <v/>
      </c>
      <c r="Q964" s="121">
        <f>IF(OR(N964="",WorkBudget=0),"",N964/WorkBudget-1)</f>
        <v/>
      </c>
      <c r="R964" s="79">
        <f>IF(N964="","",IF(N964&lt;=WorkBudget,0,IF(N964&lt;=TotalBudget,1,2)))</f>
        <v/>
      </c>
      <c r="S964" s="112">
        <f>IF(AND(OR(H964&lt;&gt;"",J964&lt;&gt;""),OR(L964="Pending",L964=""),C964&lt;&gt;""),C964+3,"")</f>
        <v/>
      </c>
      <c r="T964" s="79">
        <f>IF(S964="","",IF(AsOf&gt;S964,1,2))</f>
        <v/>
      </c>
      <c r="U964" s="79">
        <f>IF(T964="","","Decide on change order "&amp;B964&amp;": "&amp;H964&amp;" (+"&amp;CurSym&amp;" "&amp;FIXED(IF(J964="",0,J964),0)&amp;")")</f>
        <v/>
      </c>
    </row>
    <row r="965" ht="24" customHeight="1">
      <c r="B965" s="74" t="n"/>
      <c r="C965" s="109" t="n"/>
      <c r="D965" s="72" t="n"/>
      <c r="E965" s="72" t="n"/>
      <c r="F965" s="72" t="n"/>
      <c r="G965" s="72" t="n"/>
      <c r="H965" s="113" t="n"/>
      <c r="I965" s="72" t="n"/>
      <c r="J965" s="73" t="n"/>
      <c r="K965" s="89" t="n"/>
      <c r="L965" s="74" t="n"/>
      <c r="M965" s="109" t="n"/>
      <c r="N965" s="68">
        <f>IF(AND(H965="",J965=""),"",ForecastTotal+IF(L965="Approved",0,IF(J965="",0,J965)))</f>
        <v/>
      </c>
      <c r="O965" s="75">
        <f>IF(N965="","",ContAmt-MAX(0,N965-WorkBudget))</f>
        <v/>
      </c>
      <c r="P965" s="120">
        <f>IF(OR(N965="",ForecastEnd=""),"",ForecastEnd+IF(L965="Approved",0,IF(K965="",0,K965)))</f>
        <v/>
      </c>
      <c r="Q965" s="121">
        <f>IF(OR(N965="",WorkBudget=0),"",N965/WorkBudget-1)</f>
        <v/>
      </c>
      <c r="R965" s="79">
        <f>IF(N965="","",IF(N965&lt;=WorkBudget,0,IF(N965&lt;=TotalBudget,1,2)))</f>
        <v/>
      </c>
      <c r="S965" s="112">
        <f>IF(AND(OR(H965&lt;&gt;"",J965&lt;&gt;""),OR(L965="Pending",L965=""),C965&lt;&gt;""),C965+3,"")</f>
        <v/>
      </c>
      <c r="T965" s="79">
        <f>IF(S965="","",IF(AsOf&gt;S965,1,2))</f>
        <v/>
      </c>
      <c r="U965" s="79">
        <f>IF(T965="","","Decide on change order "&amp;B965&amp;": "&amp;H965&amp;" (+"&amp;CurSym&amp;" "&amp;FIXED(IF(J965="",0,J965),0)&amp;")")</f>
        <v/>
      </c>
    </row>
    <row r="966" ht="24" customHeight="1">
      <c r="B966" s="74" t="n"/>
      <c r="C966" s="109" t="n"/>
      <c r="D966" s="72" t="n"/>
      <c r="E966" s="72" t="n"/>
      <c r="F966" s="72" t="n"/>
      <c r="G966" s="72" t="n"/>
      <c r="H966" s="113" t="n"/>
      <c r="I966" s="72" t="n"/>
      <c r="J966" s="73" t="n"/>
      <c r="K966" s="89" t="n"/>
      <c r="L966" s="74" t="n"/>
      <c r="M966" s="109" t="n"/>
      <c r="N966" s="68">
        <f>IF(AND(H966="",J966=""),"",ForecastTotal+IF(L966="Approved",0,IF(J966="",0,J966)))</f>
        <v/>
      </c>
      <c r="O966" s="75">
        <f>IF(N966="","",ContAmt-MAX(0,N966-WorkBudget))</f>
        <v/>
      </c>
      <c r="P966" s="120">
        <f>IF(OR(N966="",ForecastEnd=""),"",ForecastEnd+IF(L966="Approved",0,IF(K966="",0,K966)))</f>
        <v/>
      </c>
      <c r="Q966" s="121">
        <f>IF(OR(N966="",WorkBudget=0),"",N966/WorkBudget-1)</f>
        <v/>
      </c>
      <c r="R966" s="79">
        <f>IF(N966="","",IF(N966&lt;=WorkBudget,0,IF(N966&lt;=TotalBudget,1,2)))</f>
        <v/>
      </c>
      <c r="S966" s="112">
        <f>IF(AND(OR(H966&lt;&gt;"",J966&lt;&gt;""),OR(L966="Pending",L966=""),C966&lt;&gt;""),C966+3,"")</f>
        <v/>
      </c>
      <c r="T966" s="79">
        <f>IF(S966="","",IF(AsOf&gt;S966,1,2))</f>
        <v/>
      </c>
      <c r="U966" s="79">
        <f>IF(T966="","","Decide on change order "&amp;B966&amp;": "&amp;H966&amp;" (+"&amp;CurSym&amp;" "&amp;FIXED(IF(J966="",0,J966),0)&amp;")")</f>
        <v/>
      </c>
    </row>
    <row r="967" ht="24" customHeight="1">
      <c r="B967" s="74" t="n"/>
      <c r="C967" s="109" t="n"/>
      <c r="D967" s="72" t="n"/>
      <c r="E967" s="72" t="n"/>
      <c r="F967" s="72" t="n"/>
      <c r="G967" s="72" t="n"/>
      <c r="H967" s="113" t="n"/>
      <c r="I967" s="72" t="n"/>
      <c r="J967" s="73" t="n"/>
      <c r="K967" s="89" t="n"/>
      <c r="L967" s="74" t="n"/>
      <c r="M967" s="109" t="n"/>
      <c r="N967" s="68">
        <f>IF(AND(H967="",J967=""),"",ForecastTotal+IF(L967="Approved",0,IF(J967="",0,J967)))</f>
        <v/>
      </c>
      <c r="O967" s="75">
        <f>IF(N967="","",ContAmt-MAX(0,N967-WorkBudget))</f>
        <v/>
      </c>
      <c r="P967" s="120">
        <f>IF(OR(N967="",ForecastEnd=""),"",ForecastEnd+IF(L967="Approved",0,IF(K967="",0,K967)))</f>
        <v/>
      </c>
      <c r="Q967" s="121">
        <f>IF(OR(N967="",WorkBudget=0),"",N967/WorkBudget-1)</f>
        <v/>
      </c>
      <c r="R967" s="79">
        <f>IF(N967="","",IF(N967&lt;=WorkBudget,0,IF(N967&lt;=TotalBudget,1,2)))</f>
        <v/>
      </c>
      <c r="S967" s="112">
        <f>IF(AND(OR(H967&lt;&gt;"",J967&lt;&gt;""),OR(L967="Pending",L967=""),C967&lt;&gt;""),C967+3,"")</f>
        <v/>
      </c>
      <c r="T967" s="79">
        <f>IF(S967="","",IF(AsOf&gt;S967,1,2))</f>
        <v/>
      </c>
      <c r="U967" s="79">
        <f>IF(T967="","","Decide on change order "&amp;B967&amp;": "&amp;H967&amp;" (+"&amp;CurSym&amp;" "&amp;FIXED(IF(J967="",0,J967),0)&amp;")")</f>
        <v/>
      </c>
    </row>
    <row r="968" ht="24" customHeight="1">
      <c r="B968" s="74" t="n"/>
      <c r="C968" s="109" t="n"/>
      <c r="D968" s="72" t="n"/>
      <c r="E968" s="72" t="n"/>
      <c r="F968" s="72" t="n"/>
      <c r="G968" s="72" t="n"/>
      <c r="H968" s="113" t="n"/>
      <c r="I968" s="72" t="n"/>
      <c r="J968" s="73" t="n"/>
      <c r="K968" s="89" t="n"/>
      <c r="L968" s="74" t="n"/>
      <c r="M968" s="109" t="n"/>
      <c r="N968" s="68">
        <f>IF(AND(H968="",J968=""),"",ForecastTotal+IF(L968="Approved",0,IF(J968="",0,J968)))</f>
        <v/>
      </c>
      <c r="O968" s="75">
        <f>IF(N968="","",ContAmt-MAX(0,N968-WorkBudget))</f>
        <v/>
      </c>
      <c r="P968" s="120">
        <f>IF(OR(N968="",ForecastEnd=""),"",ForecastEnd+IF(L968="Approved",0,IF(K968="",0,K968)))</f>
        <v/>
      </c>
      <c r="Q968" s="121">
        <f>IF(OR(N968="",WorkBudget=0),"",N968/WorkBudget-1)</f>
        <v/>
      </c>
      <c r="R968" s="79">
        <f>IF(N968="","",IF(N968&lt;=WorkBudget,0,IF(N968&lt;=TotalBudget,1,2)))</f>
        <v/>
      </c>
      <c r="S968" s="112">
        <f>IF(AND(OR(H968&lt;&gt;"",J968&lt;&gt;""),OR(L968="Pending",L968=""),C968&lt;&gt;""),C968+3,"")</f>
        <v/>
      </c>
      <c r="T968" s="79">
        <f>IF(S968="","",IF(AsOf&gt;S968,1,2))</f>
        <v/>
      </c>
      <c r="U968" s="79">
        <f>IF(T968="","","Decide on change order "&amp;B968&amp;": "&amp;H968&amp;" (+"&amp;CurSym&amp;" "&amp;FIXED(IF(J968="",0,J968),0)&amp;")")</f>
        <v/>
      </c>
    </row>
    <row r="969" ht="24" customHeight="1">
      <c r="B969" s="74" t="n"/>
      <c r="C969" s="109" t="n"/>
      <c r="D969" s="72" t="n"/>
      <c r="E969" s="72" t="n"/>
      <c r="F969" s="72" t="n"/>
      <c r="G969" s="72" t="n"/>
      <c r="H969" s="113" t="n"/>
      <c r="I969" s="72" t="n"/>
      <c r="J969" s="73" t="n"/>
      <c r="K969" s="89" t="n"/>
      <c r="L969" s="74" t="n"/>
      <c r="M969" s="109" t="n"/>
      <c r="N969" s="68">
        <f>IF(AND(H969="",J969=""),"",ForecastTotal+IF(L969="Approved",0,IF(J969="",0,J969)))</f>
        <v/>
      </c>
      <c r="O969" s="75">
        <f>IF(N969="","",ContAmt-MAX(0,N969-WorkBudget))</f>
        <v/>
      </c>
      <c r="P969" s="120">
        <f>IF(OR(N969="",ForecastEnd=""),"",ForecastEnd+IF(L969="Approved",0,IF(K969="",0,K969)))</f>
        <v/>
      </c>
      <c r="Q969" s="121">
        <f>IF(OR(N969="",WorkBudget=0),"",N969/WorkBudget-1)</f>
        <v/>
      </c>
      <c r="R969" s="79">
        <f>IF(N969="","",IF(N969&lt;=WorkBudget,0,IF(N969&lt;=TotalBudget,1,2)))</f>
        <v/>
      </c>
      <c r="S969" s="112">
        <f>IF(AND(OR(H969&lt;&gt;"",J969&lt;&gt;""),OR(L969="Pending",L969=""),C969&lt;&gt;""),C969+3,"")</f>
        <v/>
      </c>
      <c r="T969" s="79">
        <f>IF(S969="","",IF(AsOf&gt;S969,1,2))</f>
        <v/>
      </c>
      <c r="U969" s="79">
        <f>IF(T969="","","Decide on change order "&amp;B969&amp;": "&amp;H969&amp;" (+"&amp;CurSym&amp;" "&amp;FIXED(IF(J969="",0,J969),0)&amp;")")</f>
        <v/>
      </c>
    </row>
    <row r="970" ht="24" customHeight="1">
      <c r="B970" s="74" t="n"/>
      <c r="C970" s="109" t="n"/>
      <c r="D970" s="72" t="n"/>
      <c r="E970" s="72" t="n"/>
      <c r="F970" s="72" t="n"/>
      <c r="G970" s="72" t="n"/>
      <c r="H970" s="113" t="n"/>
      <c r="I970" s="72" t="n"/>
      <c r="J970" s="73" t="n"/>
      <c r="K970" s="89" t="n"/>
      <c r="L970" s="74" t="n"/>
      <c r="M970" s="109" t="n"/>
      <c r="N970" s="68">
        <f>IF(AND(H970="",J970=""),"",ForecastTotal+IF(L970="Approved",0,IF(J970="",0,J970)))</f>
        <v/>
      </c>
      <c r="O970" s="75">
        <f>IF(N970="","",ContAmt-MAX(0,N970-WorkBudget))</f>
        <v/>
      </c>
      <c r="P970" s="120">
        <f>IF(OR(N970="",ForecastEnd=""),"",ForecastEnd+IF(L970="Approved",0,IF(K970="",0,K970)))</f>
        <v/>
      </c>
      <c r="Q970" s="121">
        <f>IF(OR(N970="",WorkBudget=0),"",N970/WorkBudget-1)</f>
        <v/>
      </c>
      <c r="R970" s="79">
        <f>IF(N970="","",IF(N970&lt;=WorkBudget,0,IF(N970&lt;=TotalBudget,1,2)))</f>
        <v/>
      </c>
      <c r="S970" s="112">
        <f>IF(AND(OR(H970&lt;&gt;"",J970&lt;&gt;""),OR(L970="Pending",L970=""),C970&lt;&gt;""),C970+3,"")</f>
        <v/>
      </c>
      <c r="T970" s="79">
        <f>IF(S970="","",IF(AsOf&gt;S970,1,2))</f>
        <v/>
      </c>
      <c r="U970" s="79">
        <f>IF(T970="","","Decide on change order "&amp;B970&amp;": "&amp;H970&amp;" (+"&amp;CurSym&amp;" "&amp;FIXED(IF(J970="",0,J970),0)&amp;")")</f>
        <v/>
      </c>
    </row>
    <row r="971" ht="24" customHeight="1">
      <c r="B971" s="74" t="n"/>
      <c r="C971" s="109" t="n"/>
      <c r="D971" s="72" t="n"/>
      <c r="E971" s="72" t="n"/>
      <c r="F971" s="72" t="n"/>
      <c r="G971" s="72" t="n"/>
      <c r="H971" s="113" t="n"/>
      <c r="I971" s="72" t="n"/>
      <c r="J971" s="73" t="n"/>
      <c r="K971" s="89" t="n"/>
      <c r="L971" s="74" t="n"/>
      <c r="M971" s="109" t="n"/>
      <c r="N971" s="68">
        <f>IF(AND(H971="",J971=""),"",ForecastTotal+IF(L971="Approved",0,IF(J971="",0,J971)))</f>
        <v/>
      </c>
      <c r="O971" s="75">
        <f>IF(N971="","",ContAmt-MAX(0,N971-WorkBudget))</f>
        <v/>
      </c>
      <c r="P971" s="120">
        <f>IF(OR(N971="",ForecastEnd=""),"",ForecastEnd+IF(L971="Approved",0,IF(K971="",0,K971)))</f>
        <v/>
      </c>
      <c r="Q971" s="121">
        <f>IF(OR(N971="",WorkBudget=0),"",N971/WorkBudget-1)</f>
        <v/>
      </c>
      <c r="R971" s="79">
        <f>IF(N971="","",IF(N971&lt;=WorkBudget,0,IF(N971&lt;=TotalBudget,1,2)))</f>
        <v/>
      </c>
      <c r="S971" s="112">
        <f>IF(AND(OR(H971&lt;&gt;"",J971&lt;&gt;""),OR(L971="Pending",L971=""),C971&lt;&gt;""),C971+3,"")</f>
        <v/>
      </c>
      <c r="T971" s="79">
        <f>IF(S971="","",IF(AsOf&gt;S971,1,2))</f>
        <v/>
      </c>
      <c r="U971" s="79">
        <f>IF(T971="","","Decide on change order "&amp;B971&amp;": "&amp;H971&amp;" (+"&amp;CurSym&amp;" "&amp;FIXED(IF(J971="",0,J971),0)&amp;")")</f>
        <v/>
      </c>
    </row>
    <row r="972" ht="24" customHeight="1">
      <c r="B972" s="74" t="n"/>
      <c r="C972" s="109" t="n"/>
      <c r="D972" s="72" t="n"/>
      <c r="E972" s="72" t="n"/>
      <c r="F972" s="72" t="n"/>
      <c r="G972" s="72" t="n"/>
      <c r="H972" s="113" t="n"/>
      <c r="I972" s="72" t="n"/>
      <c r="J972" s="73" t="n"/>
      <c r="K972" s="89" t="n"/>
      <c r="L972" s="74" t="n"/>
      <c r="M972" s="109" t="n"/>
      <c r="N972" s="68">
        <f>IF(AND(H972="",J972=""),"",ForecastTotal+IF(L972="Approved",0,IF(J972="",0,J972)))</f>
        <v/>
      </c>
      <c r="O972" s="75">
        <f>IF(N972="","",ContAmt-MAX(0,N972-WorkBudget))</f>
        <v/>
      </c>
      <c r="P972" s="120">
        <f>IF(OR(N972="",ForecastEnd=""),"",ForecastEnd+IF(L972="Approved",0,IF(K972="",0,K972)))</f>
        <v/>
      </c>
      <c r="Q972" s="121">
        <f>IF(OR(N972="",WorkBudget=0),"",N972/WorkBudget-1)</f>
        <v/>
      </c>
      <c r="R972" s="79">
        <f>IF(N972="","",IF(N972&lt;=WorkBudget,0,IF(N972&lt;=TotalBudget,1,2)))</f>
        <v/>
      </c>
      <c r="S972" s="112">
        <f>IF(AND(OR(H972&lt;&gt;"",J972&lt;&gt;""),OR(L972="Pending",L972=""),C972&lt;&gt;""),C972+3,"")</f>
        <v/>
      </c>
      <c r="T972" s="79">
        <f>IF(S972="","",IF(AsOf&gt;S972,1,2))</f>
        <v/>
      </c>
      <c r="U972" s="79">
        <f>IF(T972="","","Decide on change order "&amp;B972&amp;": "&amp;H972&amp;" (+"&amp;CurSym&amp;" "&amp;FIXED(IF(J972="",0,J972),0)&amp;")")</f>
        <v/>
      </c>
    </row>
    <row r="973" ht="24" customHeight="1">
      <c r="B973" s="74" t="n"/>
      <c r="C973" s="109" t="n"/>
      <c r="D973" s="72" t="n"/>
      <c r="E973" s="72" t="n"/>
      <c r="F973" s="72" t="n"/>
      <c r="G973" s="72" t="n"/>
      <c r="H973" s="113" t="n"/>
      <c r="I973" s="72" t="n"/>
      <c r="J973" s="73" t="n"/>
      <c r="K973" s="89" t="n"/>
      <c r="L973" s="74" t="n"/>
      <c r="M973" s="109" t="n"/>
      <c r="N973" s="68">
        <f>IF(AND(H973="",J973=""),"",ForecastTotal+IF(L973="Approved",0,IF(J973="",0,J973)))</f>
        <v/>
      </c>
      <c r="O973" s="75">
        <f>IF(N973="","",ContAmt-MAX(0,N973-WorkBudget))</f>
        <v/>
      </c>
      <c r="P973" s="120">
        <f>IF(OR(N973="",ForecastEnd=""),"",ForecastEnd+IF(L973="Approved",0,IF(K973="",0,K973)))</f>
        <v/>
      </c>
      <c r="Q973" s="121">
        <f>IF(OR(N973="",WorkBudget=0),"",N973/WorkBudget-1)</f>
        <v/>
      </c>
      <c r="R973" s="79">
        <f>IF(N973="","",IF(N973&lt;=WorkBudget,0,IF(N973&lt;=TotalBudget,1,2)))</f>
        <v/>
      </c>
      <c r="S973" s="112">
        <f>IF(AND(OR(H973&lt;&gt;"",J973&lt;&gt;""),OR(L973="Pending",L973=""),C973&lt;&gt;""),C973+3,"")</f>
        <v/>
      </c>
      <c r="T973" s="79">
        <f>IF(S973="","",IF(AsOf&gt;S973,1,2))</f>
        <v/>
      </c>
      <c r="U973" s="79">
        <f>IF(T973="","","Decide on change order "&amp;B973&amp;": "&amp;H973&amp;" (+"&amp;CurSym&amp;" "&amp;FIXED(IF(J973="",0,J973),0)&amp;")")</f>
        <v/>
      </c>
    </row>
    <row r="974" ht="24" customHeight="1">
      <c r="B974" s="74" t="n"/>
      <c r="C974" s="109" t="n"/>
      <c r="D974" s="72" t="n"/>
      <c r="E974" s="72" t="n"/>
      <c r="F974" s="72" t="n"/>
      <c r="G974" s="72" t="n"/>
      <c r="H974" s="113" t="n"/>
      <c r="I974" s="72" t="n"/>
      <c r="J974" s="73" t="n"/>
      <c r="K974" s="89" t="n"/>
      <c r="L974" s="74" t="n"/>
      <c r="M974" s="109" t="n"/>
      <c r="N974" s="68">
        <f>IF(AND(H974="",J974=""),"",ForecastTotal+IF(L974="Approved",0,IF(J974="",0,J974)))</f>
        <v/>
      </c>
      <c r="O974" s="75">
        <f>IF(N974="","",ContAmt-MAX(0,N974-WorkBudget))</f>
        <v/>
      </c>
      <c r="P974" s="120">
        <f>IF(OR(N974="",ForecastEnd=""),"",ForecastEnd+IF(L974="Approved",0,IF(K974="",0,K974)))</f>
        <v/>
      </c>
      <c r="Q974" s="121">
        <f>IF(OR(N974="",WorkBudget=0),"",N974/WorkBudget-1)</f>
        <v/>
      </c>
      <c r="R974" s="79">
        <f>IF(N974="","",IF(N974&lt;=WorkBudget,0,IF(N974&lt;=TotalBudget,1,2)))</f>
        <v/>
      </c>
      <c r="S974" s="112">
        <f>IF(AND(OR(H974&lt;&gt;"",J974&lt;&gt;""),OR(L974="Pending",L974=""),C974&lt;&gt;""),C974+3,"")</f>
        <v/>
      </c>
      <c r="T974" s="79">
        <f>IF(S974="","",IF(AsOf&gt;S974,1,2))</f>
        <v/>
      </c>
      <c r="U974" s="79">
        <f>IF(T974="","","Decide on change order "&amp;B974&amp;": "&amp;H974&amp;" (+"&amp;CurSym&amp;" "&amp;FIXED(IF(J974="",0,J974),0)&amp;")")</f>
        <v/>
      </c>
    </row>
    <row r="975" ht="24" customHeight="1">
      <c r="B975" s="74" t="n"/>
      <c r="C975" s="109" t="n"/>
      <c r="D975" s="72" t="n"/>
      <c r="E975" s="72" t="n"/>
      <c r="F975" s="72" t="n"/>
      <c r="G975" s="72" t="n"/>
      <c r="H975" s="113" t="n"/>
      <c r="I975" s="72" t="n"/>
      <c r="J975" s="73" t="n"/>
      <c r="K975" s="89" t="n"/>
      <c r="L975" s="74" t="n"/>
      <c r="M975" s="109" t="n"/>
      <c r="N975" s="68">
        <f>IF(AND(H975="",J975=""),"",ForecastTotal+IF(L975="Approved",0,IF(J975="",0,J975)))</f>
        <v/>
      </c>
      <c r="O975" s="75">
        <f>IF(N975="","",ContAmt-MAX(0,N975-WorkBudget))</f>
        <v/>
      </c>
      <c r="P975" s="120">
        <f>IF(OR(N975="",ForecastEnd=""),"",ForecastEnd+IF(L975="Approved",0,IF(K975="",0,K975)))</f>
        <v/>
      </c>
      <c r="Q975" s="121">
        <f>IF(OR(N975="",WorkBudget=0),"",N975/WorkBudget-1)</f>
        <v/>
      </c>
      <c r="R975" s="79">
        <f>IF(N975="","",IF(N975&lt;=WorkBudget,0,IF(N975&lt;=TotalBudget,1,2)))</f>
        <v/>
      </c>
      <c r="S975" s="112">
        <f>IF(AND(OR(H975&lt;&gt;"",J975&lt;&gt;""),OR(L975="Pending",L975=""),C975&lt;&gt;""),C975+3,"")</f>
        <v/>
      </c>
      <c r="T975" s="79">
        <f>IF(S975="","",IF(AsOf&gt;S975,1,2))</f>
        <v/>
      </c>
      <c r="U975" s="79">
        <f>IF(T975="","","Decide on change order "&amp;B975&amp;": "&amp;H975&amp;" (+"&amp;CurSym&amp;" "&amp;FIXED(IF(J975="",0,J975),0)&amp;")")</f>
        <v/>
      </c>
    </row>
    <row r="976" ht="24" customHeight="1">
      <c r="B976" s="74" t="n"/>
      <c r="C976" s="109" t="n"/>
      <c r="D976" s="72" t="n"/>
      <c r="E976" s="72" t="n"/>
      <c r="F976" s="72" t="n"/>
      <c r="G976" s="72" t="n"/>
      <c r="H976" s="113" t="n"/>
      <c r="I976" s="72" t="n"/>
      <c r="J976" s="73" t="n"/>
      <c r="K976" s="89" t="n"/>
      <c r="L976" s="74" t="n"/>
      <c r="M976" s="109" t="n"/>
      <c r="N976" s="68">
        <f>IF(AND(H976="",J976=""),"",ForecastTotal+IF(L976="Approved",0,IF(J976="",0,J976)))</f>
        <v/>
      </c>
      <c r="O976" s="75">
        <f>IF(N976="","",ContAmt-MAX(0,N976-WorkBudget))</f>
        <v/>
      </c>
      <c r="P976" s="120">
        <f>IF(OR(N976="",ForecastEnd=""),"",ForecastEnd+IF(L976="Approved",0,IF(K976="",0,K976)))</f>
        <v/>
      </c>
      <c r="Q976" s="121">
        <f>IF(OR(N976="",WorkBudget=0),"",N976/WorkBudget-1)</f>
        <v/>
      </c>
      <c r="R976" s="79">
        <f>IF(N976="","",IF(N976&lt;=WorkBudget,0,IF(N976&lt;=TotalBudget,1,2)))</f>
        <v/>
      </c>
      <c r="S976" s="112">
        <f>IF(AND(OR(H976&lt;&gt;"",J976&lt;&gt;""),OR(L976="Pending",L976=""),C976&lt;&gt;""),C976+3,"")</f>
        <v/>
      </c>
      <c r="T976" s="79">
        <f>IF(S976="","",IF(AsOf&gt;S976,1,2))</f>
        <v/>
      </c>
      <c r="U976" s="79">
        <f>IF(T976="","","Decide on change order "&amp;B976&amp;": "&amp;H976&amp;" (+"&amp;CurSym&amp;" "&amp;FIXED(IF(J976="",0,J976),0)&amp;")")</f>
        <v/>
      </c>
    </row>
    <row r="977" ht="24" customHeight="1">
      <c r="B977" s="74" t="n"/>
      <c r="C977" s="109" t="n"/>
      <c r="D977" s="72" t="n"/>
      <c r="E977" s="72" t="n"/>
      <c r="F977" s="72" t="n"/>
      <c r="G977" s="72" t="n"/>
      <c r="H977" s="113" t="n"/>
      <c r="I977" s="72" t="n"/>
      <c r="J977" s="73" t="n"/>
      <c r="K977" s="89" t="n"/>
      <c r="L977" s="74" t="n"/>
      <c r="M977" s="109" t="n"/>
      <c r="N977" s="68">
        <f>IF(AND(H977="",J977=""),"",ForecastTotal+IF(L977="Approved",0,IF(J977="",0,J977)))</f>
        <v/>
      </c>
      <c r="O977" s="75">
        <f>IF(N977="","",ContAmt-MAX(0,N977-WorkBudget))</f>
        <v/>
      </c>
      <c r="P977" s="120">
        <f>IF(OR(N977="",ForecastEnd=""),"",ForecastEnd+IF(L977="Approved",0,IF(K977="",0,K977)))</f>
        <v/>
      </c>
      <c r="Q977" s="121">
        <f>IF(OR(N977="",WorkBudget=0),"",N977/WorkBudget-1)</f>
        <v/>
      </c>
      <c r="R977" s="79">
        <f>IF(N977="","",IF(N977&lt;=WorkBudget,0,IF(N977&lt;=TotalBudget,1,2)))</f>
        <v/>
      </c>
      <c r="S977" s="112">
        <f>IF(AND(OR(H977&lt;&gt;"",J977&lt;&gt;""),OR(L977="Pending",L977=""),C977&lt;&gt;""),C977+3,"")</f>
        <v/>
      </c>
      <c r="T977" s="79">
        <f>IF(S977="","",IF(AsOf&gt;S977,1,2))</f>
        <v/>
      </c>
      <c r="U977" s="79">
        <f>IF(T977="","","Decide on change order "&amp;B977&amp;": "&amp;H977&amp;" (+"&amp;CurSym&amp;" "&amp;FIXED(IF(J977="",0,J977),0)&amp;")")</f>
        <v/>
      </c>
    </row>
    <row r="978" ht="24" customHeight="1">
      <c r="B978" s="74" t="n"/>
      <c r="C978" s="109" t="n"/>
      <c r="D978" s="72" t="n"/>
      <c r="E978" s="72" t="n"/>
      <c r="F978" s="72" t="n"/>
      <c r="G978" s="72" t="n"/>
      <c r="H978" s="113" t="n"/>
      <c r="I978" s="72" t="n"/>
      <c r="J978" s="73" t="n"/>
      <c r="K978" s="89" t="n"/>
      <c r="L978" s="74" t="n"/>
      <c r="M978" s="109" t="n"/>
      <c r="N978" s="68">
        <f>IF(AND(H978="",J978=""),"",ForecastTotal+IF(L978="Approved",0,IF(J978="",0,J978)))</f>
        <v/>
      </c>
      <c r="O978" s="75">
        <f>IF(N978="","",ContAmt-MAX(0,N978-WorkBudget))</f>
        <v/>
      </c>
      <c r="P978" s="120">
        <f>IF(OR(N978="",ForecastEnd=""),"",ForecastEnd+IF(L978="Approved",0,IF(K978="",0,K978)))</f>
        <v/>
      </c>
      <c r="Q978" s="121">
        <f>IF(OR(N978="",WorkBudget=0),"",N978/WorkBudget-1)</f>
        <v/>
      </c>
      <c r="R978" s="79">
        <f>IF(N978="","",IF(N978&lt;=WorkBudget,0,IF(N978&lt;=TotalBudget,1,2)))</f>
        <v/>
      </c>
      <c r="S978" s="112">
        <f>IF(AND(OR(H978&lt;&gt;"",J978&lt;&gt;""),OR(L978="Pending",L978=""),C978&lt;&gt;""),C978+3,"")</f>
        <v/>
      </c>
      <c r="T978" s="79">
        <f>IF(S978="","",IF(AsOf&gt;S978,1,2))</f>
        <v/>
      </c>
      <c r="U978" s="79">
        <f>IF(T978="","","Decide on change order "&amp;B978&amp;": "&amp;H978&amp;" (+"&amp;CurSym&amp;" "&amp;FIXED(IF(J978="",0,J978),0)&amp;")")</f>
        <v/>
      </c>
    </row>
    <row r="979" ht="24" customHeight="1">
      <c r="B979" s="74" t="n"/>
      <c r="C979" s="109" t="n"/>
      <c r="D979" s="72" t="n"/>
      <c r="E979" s="72" t="n"/>
      <c r="F979" s="72" t="n"/>
      <c r="G979" s="72" t="n"/>
      <c r="H979" s="113" t="n"/>
      <c r="I979" s="72" t="n"/>
      <c r="J979" s="73" t="n"/>
      <c r="K979" s="89" t="n"/>
      <c r="L979" s="74" t="n"/>
      <c r="M979" s="109" t="n"/>
      <c r="N979" s="68">
        <f>IF(AND(H979="",J979=""),"",ForecastTotal+IF(L979="Approved",0,IF(J979="",0,J979)))</f>
        <v/>
      </c>
      <c r="O979" s="75">
        <f>IF(N979="","",ContAmt-MAX(0,N979-WorkBudget))</f>
        <v/>
      </c>
      <c r="P979" s="120">
        <f>IF(OR(N979="",ForecastEnd=""),"",ForecastEnd+IF(L979="Approved",0,IF(K979="",0,K979)))</f>
        <v/>
      </c>
      <c r="Q979" s="121">
        <f>IF(OR(N979="",WorkBudget=0),"",N979/WorkBudget-1)</f>
        <v/>
      </c>
      <c r="R979" s="79">
        <f>IF(N979="","",IF(N979&lt;=WorkBudget,0,IF(N979&lt;=TotalBudget,1,2)))</f>
        <v/>
      </c>
      <c r="S979" s="112">
        <f>IF(AND(OR(H979&lt;&gt;"",J979&lt;&gt;""),OR(L979="Pending",L979=""),C979&lt;&gt;""),C979+3,"")</f>
        <v/>
      </c>
      <c r="T979" s="79">
        <f>IF(S979="","",IF(AsOf&gt;S979,1,2))</f>
        <v/>
      </c>
      <c r="U979" s="79">
        <f>IF(T979="","","Decide on change order "&amp;B979&amp;": "&amp;H979&amp;" (+"&amp;CurSym&amp;" "&amp;FIXED(IF(J979="",0,J979),0)&amp;")")</f>
        <v/>
      </c>
    </row>
    <row r="980" ht="24" customHeight="1">
      <c r="B980" s="74" t="n"/>
      <c r="C980" s="109" t="n"/>
      <c r="D980" s="72" t="n"/>
      <c r="E980" s="72" t="n"/>
      <c r="F980" s="72" t="n"/>
      <c r="G980" s="72" t="n"/>
      <c r="H980" s="113" t="n"/>
      <c r="I980" s="72" t="n"/>
      <c r="J980" s="73" t="n"/>
      <c r="K980" s="89" t="n"/>
      <c r="L980" s="74" t="n"/>
      <c r="M980" s="109" t="n"/>
      <c r="N980" s="68">
        <f>IF(AND(H980="",J980=""),"",ForecastTotal+IF(L980="Approved",0,IF(J980="",0,J980)))</f>
        <v/>
      </c>
      <c r="O980" s="75">
        <f>IF(N980="","",ContAmt-MAX(0,N980-WorkBudget))</f>
        <v/>
      </c>
      <c r="P980" s="120">
        <f>IF(OR(N980="",ForecastEnd=""),"",ForecastEnd+IF(L980="Approved",0,IF(K980="",0,K980)))</f>
        <v/>
      </c>
      <c r="Q980" s="121">
        <f>IF(OR(N980="",WorkBudget=0),"",N980/WorkBudget-1)</f>
        <v/>
      </c>
      <c r="R980" s="79">
        <f>IF(N980="","",IF(N980&lt;=WorkBudget,0,IF(N980&lt;=TotalBudget,1,2)))</f>
        <v/>
      </c>
      <c r="S980" s="112">
        <f>IF(AND(OR(H980&lt;&gt;"",J980&lt;&gt;""),OR(L980="Pending",L980=""),C980&lt;&gt;""),C980+3,"")</f>
        <v/>
      </c>
      <c r="T980" s="79">
        <f>IF(S980="","",IF(AsOf&gt;S980,1,2))</f>
        <v/>
      </c>
      <c r="U980" s="79">
        <f>IF(T980="","","Decide on change order "&amp;B980&amp;": "&amp;H980&amp;" (+"&amp;CurSym&amp;" "&amp;FIXED(IF(J980="",0,J980),0)&amp;")")</f>
        <v/>
      </c>
    </row>
    <row r="981" ht="24" customHeight="1">
      <c r="B981" s="74" t="n"/>
      <c r="C981" s="109" t="n"/>
      <c r="D981" s="72" t="n"/>
      <c r="E981" s="72" t="n"/>
      <c r="F981" s="72" t="n"/>
      <c r="G981" s="72" t="n"/>
      <c r="H981" s="113" t="n"/>
      <c r="I981" s="72" t="n"/>
      <c r="J981" s="73" t="n"/>
      <c r="K981" s="89" t="n"/>
      <c r="L981" s="74" t="n"/>
      <c r="M981" s="109" t="n"/>
      <c r="N981" s="68">
        <f>IF(AND(H981="",J981=""),"",ForecastTotal+IF(L981="Approved",0,IF(J981="",0,J981)))</f>
        <v/>
      </c>
      <c r="O981" s="75">
        <f>IF(N981="","",ContAmt-MAX(0,N981-WorkBudget))</f>
        <v/>
      </c>
      <c r="P981" s="120">
        <f>IF(OR(N981="",ForecastEnd=""),"",ForecastEnd+IF(L981="Approved",0,IF(K981="",0,K981)))</f>
        <v/>
      </c>
      <c r="Q981" s="121">
        <f>IF(OR(N981="",WorkBudget=0),"",N981/WorkBudget-1)</f>
        <v/>
      </c>
      <c r="R981" s="79">
        <f>IF(N981="","",IF(N981&lt;=WorkBudget,0,IF(N981&lt;=TotalBudget,1,2)))</f>
        <v/>
      </c>
      <c r="S981" s="112">
        <f>IF(AND(OR(H981&lt;&gt;"",J981&lt;&gt;""),OR(L981="Pending",L981=""),C981&lt;&gt;""),C981+3,"")</f>
        <v/>
      </c>
      <c r="T981" s="79">
        <f>IF(S981="","",IF(AsOf&gt;S981,1,2))</f>
        <v/>
      </c>
      <c r="U981" s="79">
        <f>IF(T981="","","Decide on change order "&amp;B981&amp;": "&amp;H981&amp;" (+"&amp;CurSym&amp;" "&amp;FIXED(IF(J981="",0,J981),0)&amp;")")</f>
        <v/>
      </c>
    </row>
    <row r="982" ht="24" customHeight="1">
      <c r="B982" s="74" t="n"/>
      <c r="C982" s="109" t="n"/>
      <c r="D982" s="72" t="n"/>
      <c r="E982" s="72" t="n"/>
      <c r="F982" s="72" t="n"/>
      <c r="G982" s="72" t="n"/>
      <c r="H982" s="113" t="n"/>
      <c r="I982" s="72" t="n"/>
      <c r="J982" s="73" t="n"/>
      <c r="K982" s="89" t="n"/>
      <c r="L982" s="74" t="n"/>
      <c r="M982" s="109" t="n"/>
      <c r="N982" s="68">
        <f>IF(AND(H982="",J982=""),"",ForecastTotal+IF(L982="Approved",0,IF(J982="",0,J982)))</f>
        <v/>
      </c>
      <c r="O982" s="75">
        <f>IF(N982="","",ContAmt-MAX(0,N982-WorkBudget))</f>
        <v/>
      </c>
      <c r="P982" s="120">
        <f>IF(OR(N982="",ForecastEnd=""),"",ForecastEnd+IF(L982="Approved",0,IF(K982="",0,K982)))</f>
        <v/>
      </c>
      <c r="Q982" s="121">
        <f>IF(OR(N982="",WorkBudget=0),"",N982/WorkBudget-1)</f>
        <v/>
      </c>
      <c r="R982" s="79">
        <f>IF(N982="","",IF(N982&lt;=WorkBudget,0,IF(N982&lt;=TotalBudget,1,2)))</f>
        <v/>
      </c>
      <c r="S982" s="112">
        <f>IF(AND(OR(H982&lt;&gt;"",J982&lt;&gt;""),OR(L982="Pending",L982=""),C982&lt;&gt;""),C982+3,"")</f>
        <v/>
      </c>
      <c r="T982" s="79">
        <f>IF(S982="","",IF(AsOf&gt;S982,1,2))</f>
        <v/>
      </c>
      <c r="U982" s="79">
        <f>IF(T982="","","Decide on change order "&amp;B982&amp;": "&amp;H982&amp;" (+"&amp;CurSym&amp;" "&amp;FIXED(IF(J982="",0,J982),0)&amp;")")</f>
        <v/>
      </c>
    </row>
    <row r="983" ht="24" customHeight="1">
      <c r="B983" s="74" t="n"/>
      <c r="C983" s="109" t="n"/>
      <c r="D983" s="72" t="n"/>
      <c r="E983" s="72" t="n"/>
      <c r="F983" s="72" t="n"/>
      <c r="G983" s="72" t="n"/>
      <c r="H983" s="113" t="n"/>
      <c r="I983" s="72" t="n"/>
      <c r="J983" s="73" t="n"/>
      <c r="K983" s="89" t="n"/>
      <c r="L983" s="74" t="n"/>
      <c r="M983" s="109" t="n"/>
      <c r="N983" s="68">
        <f>IF(AND(H983="",J983=""),"",ForecastTotal+IF(L983="Approved",0,IF(J983="",0,J983)))</f>
        <v/>
      </c>
      <c r="O983" s="75">
        <f>IF(N983="","",ContAmt-MAX(0,N983-WorkBudget))</f>
        <v/>
      </c>
      <c r="P983" s="120">
        <f>IF(OR(N983="",ForecastEnd=""),"",ForecastEnd+IF(L983="Approved",0,IF(K983="",0,K983)))</f>
        <v/>
      </c>
      <c r="Q983" s="121">
        <f>IF(OR(N983="",WorkBudget=0),"",N983/WorkBudget-1)</f>
        <v/>
      </c>
      <c r="R983" s="79">
        <f>IF(N983="","",IF(N983&lt;=WorkBudget,0,IF(N983&lt;=TotalBudget,1,2)))</f>
        <v/>
      </c>
      <c r="S983" s="112">
        <f>IF(AND(OR(H983&lt;&gt;"",J983&lt;&gt;""),OR(L983="Pending",L983=""),C983&lt;&gt;""),C983+3,"")</f>
        <v/>
      </c>
      <c r="T983" s="79">
        <f>IF(S983="","",IF(AsOf&gt;S983,1,2))</f>
        <v/>
      </c>
      <c r="U983" s="79">
        <f>IF(T983="","","Decide on change order "&amp;B983&amp;": "&amp;H983&amp;" (+"&amp;CurSym&amp;" "&amp;FIXED(IF(J983="",0,J983),0)&amp;")")</f>
        <v/>
      </c>
    </row>
    <row r="984" ht="24" customHeight="1">
      <c r="B984" s="74" t="n"/>
      <c r="C984" s="109" t="n"/>
      <c r="D984" s="72" t="n"/>
      <c r="E984" s="72" t="n"/>
      <c r="F984" s="72" t="n"/>
      <c r="G984" s="72" t="n"/>
      <c r="H984" s="113" t="n"/>
      <c r="I984" s="72" t="n"/>
      <c r="J984" s="73" t="n"/>
      <c r="K984" s="89" t="n"/>
      <c r="L984" s="74" t="n"/>
      <c r="M984" s="109" t="n"/>
      <c r="N984" s="68">
        <f>IF(AND(H984="",J984=""),"",ForecastTotal+IF(L984="Approved",0,IF(J984="",0,J984)))</f>
        <v/>
      </c>
      <c r="O984" s="75">
        <f>IF(N984="","",ContAmt-MAX(0,N984-WorkBudget))</f>
        <v/>
      </c>
      <c r="P984" s="120">
        <f>IF(OR(N984="",ForecastEnd=""),"",ForecastEnd+IF(L984="Approved",0,IF(K984="",0,K984)))</f>
        <v/>
      </c>
      <c r="Q984" s="121">
        <f>IF(OR(N984="",WorkBudget=0),"",N984/WorkBudget-1)</f>
        <v/>
      </c>
      <c r="R984" s="79">
        <f>IF(N984="","",IF(N984&lt;=WorkBudget,0,IF(N984&lt;=TotalBudget,1,2)))</f>
        <v/>
      </c>
      <c r="S984" s="112">
        <f>IF(AND(OR(H984&lt;&gt;"",J984&lt;&gt;""),OR(L984="Pending",L984=""),C984&lt;&gt;""),C984+3,"")</f>
        <v/>
      </c>
      <c r="T984" s="79">
        <f>IF(S984="","",IF(AsOf&gt;S984,1,2))</f>
        <v/>
      </c>
      <c r="U984" s="79">
        <f>IF(T984="","","Decide on change order "&amp;B984&amp;": "&amp;H984&amp;" (+"&amp;CurSym&amp;" "&amp;FIXED(IF(J984="",0,J984),0)&amp;")")</f>
        <v/>
      </c>
    </row>
    <row r="985" ht="24" customHeight="1">
      <c r="B985" s="74" t="n"/>
      <c r="C985" s="109" t="n"/>
      <c r="D985" s="72" t="n"/>
      <c r="E985" s="72" t="n"/>
      <c r="F985" s="72" t="n"/>
      <c r="G985" s="72" t="n"/>
      <c r="H985" s="113" t="n"/>
      <c r="I985" s="72" t="n"/>
      <c r="J985" s="73" t="n"/>
      <c r="K985" s="89" t="n"/>
      <c r="L985" s="74" t="n"/>
      <c r="M985" s="109" t="n"/>
      <c r="N985" s="68">
        <f>IF(AND(H985="",J985=""),"",ForecastTotal+IF(L985="Approved",0,IF(J985="",0,J985)))</f>
        <v/>
      </c>
      <c r="O985" s="75">
        <f>IF(N985="","",ContAmt-MAX(0,N985-WorkBudget))</f>
        <v/>
      </c>
      <c r="P985" s="120">
        <f>IF(OR(N985="",ForecastEnd=""),"",ForecastEnd+IF(L985="Approved",0,IF(K985="",0,K985)))</f>
        <v/>
      </c>
      <c r="Q985" s="121">
        <f>IF(OR(N985="",WorkBudget=0),"",N985/WorkBudget-1)</f>
        <v/>
      </c>
      <c r="R985" s="79">
        <f>IF(N985="","",IF(N985&lt;=WorkBudget,0,IF(N985&lt;=TotalBudget,1,2)))</f>
        <v/>
      </c>
      <c r="S985" s="112">
        <f>IF(AND(OR(H985&lt;&gt;"",J985&lt;&gt;""),OR(L985="Pending",L985=""),C985&lt;&gt;""),C985+3,"")</f>
        <v/>
      </c>
      <c r="T985" s="79">
        <f>IF(S985="","",IF(AsOf&gt;S985,1,2))</f>
        <v/>
      </c>
      <c r="U985" s="79">
        <f>IF(T985="","","Decide on change order "&amp;B985&amp;": "&amp;H985&amp;" (+"&amp;CurSym&amp;" "&amp;FIXED(IF(J985="",0,J985),0)&amp;")")</f>
        <v/>
      </c>
    </row>
    <row r="986" ht="24" customHeight="1">
      <c r="B986" s="74" t="n"/>
      <c r="C986" s="109" t="n"/>
      <c r="D986" s="72" t="n"/>
      <c r="E986" s="72" t="n"/>
      <c r="F986" s="72" t="n"/>
      <c r="G986" s="72" t="n"/>
      <c r="H986" s="113" t="n"/>
      <c r="I986" s="72" t="n"/>
      <c r="J986" s="73" t="n"/>
      <c r="K986" s="89" t="n"/>
      <c r="L986" s="74" t="n"/>
      <c r="M986" s="109" t="n"/>
      <c r="N986" s="68">
        <f>IF(AND(H986="",J986=""),"",ForecastTotal+IF(L986="Approved",0,IF(J986="",0,J986)))</f>
        <v/>
      </c>
      <c r="O986" s="75">
        <f>IF(N986="","",ContAmt-MAX(0,N986-WorkBudget))</f>
        <v/>
      </c>
      <c r="P986" s="120">
        <f>IF(OR(N986="",ForecastEnd=""),"",ForecastEnd+IF(L986="Approved",0,IF(K986="",0,K986)))</f>
        <v/>
      </c>
      <c r="Q986" s="121">
        <f>IF(OR(N986="",WorkBudget=0),"",N986/WorkBudget-1)</f>
        <v/>
      </c>
      <c r="R986" s="79">
        <f>IF(N986="","",IF(N986&lt;=WorkBudget,0,IF(N986&lt;=TotalBudget,1,2)))</f>
        <v/>
      </c>
      <c r="S986" s="112">
        <f>IF(AND(OR(H986&lt;&gt;"",J986&lt;&gt;""),OR(L986="Pending",L986=""),C986&lt;&gt;""),C986+3,"")</f>
        <v/>
      </c>
      <c r="T986" s="79">
        <f>IF(S986="","",IF(AsOf&gt;S986,1,2))</f>
        <v/>
      </c>
      <c r="U986" s="79">
        <f>IF(T986="","","Decide on change order "&amp;B986&amp;": "&amp;H986&amp;" (+"&amp;CurSym&amp;" "&amp;FIXED(IF(J986="",0,J986),0)&amp;")")</f>
        <v/>
      </c>
    </row>
    <row r="987" ht="24" customHeight="1">
      <c r="B987" s="74" t="n"/>
      <c r="C987" s="109" t="n"/>
      <c r="D987" s="72" t="n"/>
      <c r="E987" s="72" t="n"/>
      <c r="F987" s="72" t="n"/>
      <c r="G987" s="72" t="n"/>
      <c r="H987" s="113" t="n"/>
      <c r="I987" s="72" t="n"/>
      <c r="J987" s="73" t="n"/>
      <c r="K987" s="89" t="n"/>
      <c r="L987" s="74" t="n"/>
      <c r="M987" s="109" t="n"/>
      <c r="N987" s="68">
        <f>IF(AND(H987="",J987=""),"",ForecastTotal+IF(L987="Approved",0,IF(J987="",0,J987)))</f>
        <v/>
      </c>
      <c r="O987" s="75">
        <f>IF(N987="","",ContAmt-MAX(0,N987-WorkBudget))</f>
        <v/>
      </c>
      <c r="P987" s="120">
        <f>IF(OR(N987="",ForecastEnd=""),"",ForecastEnd+IF(L987="Approved",0,IF(K987="",0,K987)))</f>
        <v/>
      </c>
      <c r="Q987" s="121">
        <f>IF(OR(N987="",WorkBudget=0),"",N987/WorkBudget-1)</f>
        <v/>
      </c>
      <c r="R987" s="79">
        <f>IF(N987="","",IF(N987&lt;=WorkBudget,0,IF(N987&lt;=TotalBudget,1,2)))</f>
        <v/>
      </c>
      <c r="S987" s="112">
        <f>IF(AND(OR(H987&lt;&gt;"",J987&lt;&gt;""),OR(L987="Pending",L987=""),C987&lt;&gt;""),C987+3,"")</f>
        <v/>
      </c>
      <c r="T987" s="79">
        <f>IF(S987="","",IF(AsOf&gt;S987,1,2))</f>
        <v/>
      </c>
      <c r="U987" s="79">
        <f>IF(T987="","","Decide on change order "&amp;B987&amp;": "&amp;H987&amp;" (+"&amp;CurSym&amp;" "&amp;FIXED(IF(J987="",0,J987),0)&amp;")")</f>
        <v/>
      </c>
    </row>
    <row r="988" ht="24" customHeight="1">
      <c r="B988" s="74" t="n"/>
      <c r="C988" s="109" t="n"/>
      <c r="D988" s="72" t="n"/>
      <c r="E988" s="72" t="n"/>
      <c r="F988" s="72" t="n"/>
      <c r="G988" s="72" t="n"/>
      <c r="H988" s="113" t="n"/>
      <c r="I988" s="72" t="n"/>
      <c r="J988" s="73" t="n"/>
      <c r="K988" s="89" t="n"/>
      <c r="L988" s="74" t="n"/>
      <c r="M988" s="109" t="n"/>
      <c r="N988" s="68">
        <f>IF(AND(H988="",J988=""),"",ForecastTotal+IF(L988="Approved",0,IF(J988="",0,J988)))</f>
        <v/>
      </c>
      <c r="O988" s="75">
        <f>IF(N988="","",ContAmt-MAX(0,N988-WorkBudget))</f>
        <v/>
      </c>
      <c r="P988" s="120">
        <f>IF(OR(N988="",ForecastEnd=""),"",ForecastEnd+IF(L988="Approved",0,IF(K988="",0,K988)))</f>
        <v/>
      </c>
      <c r="Q988" s="121">
        <f>IF(OR(N988="",WorkBudget=0),"",N988/WorkBudget-1)</f>
        <v/>
      </c>
      <c r="R988" s="79">
        <f>IF(N988="","",IF(N988&lt;=WorkBudget,0,IF(N988&lt;=TotalBudget,1,2)))</f>
        <v/>
      </c>
      <c r="S988" s="112">
        <f>IF(AND(OR(H988&lt;&gt;"",J988&lt;&gt;""),OR(L988="Pending",L988=""),C988&lt;&gt;""),C988+3,"")</f>
        <v/>
      </c>
      <c r="T988" s="79">
        <f>IF(S988="","",IF(AsOf&gt;S988,1,2))</f>
        <v/>
      </c>
      <c r="U988" s="79">
        <f>IF(T988="","","Decide on change order "&amp;B988&amp;": "&amp;H988&amp;" (+"&amp;CurSym&amp;" "&amp;FIXED(IF(J988="",0,J988),0)&amp;")")</f>
        <v/>
      </c>
    </row>
    <row r="989" ht="24" customHeight="1">
      <c r="B989" s="74" t="n"/>
      <c r="C989" s="109" t="n"/>
      <c r="D989" s="72" t="n"/>
      <c r="E989" s="72" t="n"/>
      <c r="F989" s="72" t="n"/>
      <c r="G989" s="72" t="n"/>
      <c r="H989" s="113" t="n"/>
      <c r="I989" s="72" t="n"/>
      <c r="J989" s="73" t="n"/>
      <c r="K989" s="89" t="n"/>
      <c r="L989" s="74" t="n"/>
      <c r="M989" s="109" t="n"/>
      <c r="N989" s="68">
        <f>IF(AND(H989="",J989=""),"",ForecastTotal+IF(L989="Approved",0,IF(J989="",0,J989)))</f>
        <v/>
      </c>
      <c r="O989" s="75">
        <f>IF(N989="","",ContAmt-MAX(0,N989-WorkBudget))</f>
        <v/>
      </c>
      <c r="P989" s="120">
        <f>IF(OR(N989="",ForecastEnd=""),"",ForecastEnd+IF(L989="Approved",0,IF(K989="",0,K989)))</f>
        <v/>
      </c>
      <c r="Q989" s="121">
        <f>IF(OR(N989="",WorkBudget=0),"",N989/WorkBudget-1)</f>
        <v/>
      </c>
      <c r="R989" s="79">
        <f>IF(N989="","",IF(N989&lt;=WorkBudget,0,IF(N989&lt;=TotalBudget,1,2)))</f>
        <v/>
      </c>
      <c r="S989" s="112">
        <f>IF(AND(OR(H989&lt;&gt;"",J989&lt;&gt;""),OR(L989="Pending",L989=""),C989&lt;&gt;""),C989+3,"")</f>
        <v/>
      </c>
      <c r="T989" s="79">
        <f>IF(S989="","",IF(AsOf&gt;S989,1,2))</f>
        <v/>
      </c>
      <c r="U989" s="79">
        <f>IF(T989="","","Decide on change order "&amp;B989&amp;": "&amp;H989&amp;" (+"&amp;CurSym&amp;" "&amp;FIXED(IF(J989="",0,J989),0)&amp;")")</f>
        <v/>
      </c>
    </row>
    <row r="990" ht="24" customHeight="1">
      <c r="B990" s="74" t="n"/>
      <c r="C990" s="109" t="n"/>
      <c r="D990" s="72" t="n"/>
      <c r="E990" s="72" t="n"/>
      <c r="F990" s="72" t="n"/>
      <c r="G990" s="72" t="n"/>
      <c r="H990" s="113" t="n"/>
      <c r="I990" s="72" t="n"/>
      <c r="J990" s="73" t="n"/>
      <c r="K990" s="89" t="n"/>
      <c r="L990" s="74" t="n"/>
      <c r="M990" s="109" t="n"/>
      <c r="N990" s="68">
        <f>IF(AND(H990="",J990=""),"",ForecastTotal+IF(L990="Approved",0,IF(J990="",0,J990)))</f>
        <v/>
      </c>
      <c r="O990" s="75">
        <f>IF(N990="","",ContAmt-MAX(0,N990-WorkBudget))</f>
        <v/>
      </c>
      <c r="P990" s="120">
        <f>IF(OR(N990="",ForecastEnd=""),"",ForecastEnd+IF(L990="Approved",0,IF(K990="",0,K990)))</f>
        <v/>
      </c>
      <c r="Q990" s="121">
        <f>IF(OR(N990="",WorkBudget=0),"",N990/WorkBudget-1)</f>
        <v/>
      </c>
      <c r="R990" s="79">
        <f>IF(N990="","",IF(N990&lt;=WorkBudget,0,IF(N990&lt;=TotalBudget,1,2)))</f>
        <v/>
      </c>
      <c r="S990" s="112">
        <f>IF(AND(OR(H990&lt;&gt;"",J990&lt;&gt;""),OR(L990="Pending",L990=""),C990&lt;&gt;""),C990+3,"")</f>
        <v/>
      </c>
      <c r="T990" s="79">
        <f>IF(S990="","",IF(AsOf&gt;S990,1,2))</f>
        <v/>
      </c>
      <c r="U990" s="79">
        <f>IF(T990="","","Decide on change order "&amp;B990&amp;": "&amp;H990&amp;" (+"&amp;CurSym&amp;" "&amp;FIXED(IF(J990="",0,J990),0)&amp;")")</f>
        <v/>
      </c>
    </row>
    <row r="991" ht="24" customHeight="1">
      <c r="B991" s="74" t="n"/>
      <c r="C991" s="109" t="n"/>
      <c r="D991" s="72" t="n"/>
      <c r="E991" s="72" t="n"/>
      <c r="F991" s="72" t="n"/>
      <c r="G991" s="72" t="n"/>
      <c r="H991" s="113" t="n"/>
      <c r="I991" s="72" t="n"/>
      <c r="J991" s="73" t="n"/>
      <c r="K991" s="89" t="n"/>
      <c r="L991" s="74" t="n"/>
      <c r="M991" s="109" t="n"/>
      <c r="N991" s="68">
        <f>IF(AND(H991="",J991=""),"",ForecastTotal+IF(L991="Approved",0,IF(J991="",0,J991)))</f>
        <v/>
      </c>
      <c r="O991" s="75">
        <f>IF(N991="","",ContAmt-MAX(0,N991-WorkBudget))</f>
        <v/>
      </c>
      <c r="P991" s="120">
        <f>IF(OR(N991="",ForecastEnd=""),"",ForecastEnd+IF(L991="Approved",0,IF(K991="",0,K991)))</f>
        <v/>
      </c>
      <c r="Q991" s="121">
        <f>IF(OR(N991="",WorkBudget=0),"",N991/WorkBudget-1)</f>
        <v/>
      </c>
      <c r="R991" s="79">
        <f>IF(N991="","",IF(N991&lt;=WorkBudget,0,IF(N991&lt;=TotalBudget,1,2)))</f>
        <v/>
      </c>
      <c r="S991" s="112">
        <f>IF(AND(OR(H991&lt;&gt;"",J991&lt;&gt;""),OR(L991="Pending",L991=""),C991&lt;&gt;""),C991+3,"")</f>
        <v/>
      </c>
      <c r="T991" s="79">
        <f>IF(S991="","",IF(AsOf&gt;S991,1,2))</f>
        <v/>
      </c>
      <c r="U991" s="79">
        <f>IF(T991="","","Decide on change order "&amp;B991&amp;": "&amp;H991&amp;" (+"&amp;CurSym&amp;" "&amp;FIXED(IF(J991="",0,J991),0)&amp;")")</f>
        <v/>
      </c>
    </row>
    <row r="992" ht="24" customHeight="1">
      <c r="B992" s="74" t="n"/>
      <c r="C992" s="109" t="n"/>
      <c r="D992" s="72" t="n"/>
      <c r="E992" s="72" t="n"/>
      <c r="F992" s="72" t="n"/>
      <c r="G992" s="72" t="n"/>
      <c r="H992" s="113" t="n"/>
      <c r="I992" s="72" t="n"/>
      <c r="J992" s="73" t="n"/>
      <c r="K992" s="89" t="n"/>
      <c r="L992" s="74" t="n"/>
      <c r="M992" s="109" t="n"/>
      <c r="N992" s="68">
        <f>IF(AND(H992="",J992=""),"",ForecastTotal+IF(L992="Approved",0,IF(J992="",0,J992)))</f>
        <v/>
      </c>
      <c r="O992" s="75">
        <f>IF(N992="","",ContAmt-MAX(0,N992-WorkBudget))</f>
        <v/>
      </c>
      <c r="P992" s="120">
        <f>IF(OR(N992="",ForecastEnd=""),"",ForecastEnd+IF(L992="Approved",0,IF(K992="",0,K992)))</f>
        <v/>
      </c>
      <c r="Q992" s="121">
        <f>IF(OR(N992="",WorkBudget=0),"",N992/WorkBudget-1)</f>
        <v/>
      </c>
      <c r="R992" s="79">
        <f>IF(N992="","",IF(N992&lt;=WorkBudget,0,IF(N992&lt;=TotalBudget,1,2)))</f>
        <v/>
      </c>
      <c r="S992" s="112">
        <f>IF(AND(OR(H992&lt;&gt;"",J992&lt;&gt;""),OR(L992="Pending",L992=""),C992&lt;&gt;""),C992+3,"")</f>
        <v/>
      </c>
      <c r="T992" s="79">
        <f>IF(S992="","",IF(AsOf&gt;S992,1,2))</f>
        <v/>
      </c>
      <c r="U992" s="79">
        <f>IF(T992="","","Decide on change order "&amp;B992&amp;": "&amp;H992&amp;" (+"&amp;CurSym&amp;" "&amp;FIXED(IF(J992="",0,J992),0)&amp;")")</f>
        <v/>
      </c>
    </row>
    <row r="993" ht="24" customHeight="1">
      <c r="B993" s="74" t="n"/>
      <c r="C993" s="109" t="n"/>
      <c r="D993" s="72" t="n"/>
      <c r="E993" s="72" t="n"/>
      <c r="F993" s="72" t="n"/>
      <c r="G993" s="72" t="n"/>
      <c r="H993" s="113" t="n"/>
      <c r="I993" s="72" t="n"/>
      <c r="J993" s="73" t="n"/>
      <c r="K993" s="89" t="n"/>
      <c r="L993" s="74" t="n"/>
      <c r="M993" s="109" t="n"/>
      <c r="N993" s="68">
        <f>IF(AND(H993="",J993=""),"",ForecastTotal+IF(L993="Approved",0,IF(J993="",0,J993)))</f>
        <v/>
      </c>
      <c r="O993" s="75">
        <f>IF(N993="","",ContAmt-MAX(0,N993-WorkBudget))</f>
        <v/>
      </c>
      <c r="P993" s="120">
        <f>IF(OR(N993="",ForecastEnd=""),"",ForecastEnd+IF(L993="Approved",0,IF(K993="",0,K993)))</f>
        <v/>
      </c>
      <c r="Q993" s="121">
        <f>IF(OR(N993="",WorkBudget=0),"",N993/WorkBudget-1)</f>
        <v/>
      </c>
      <c r="R993" s="79">
        <f>IF(N993="","",IF(N993&lt;=WorkBudget,0,IF(N993&lt;=TotalBudget,1,2)))</f>
        <v/>
      </c>
      <c r="S993" s="112">
        <f>IF(AND(OR(H993&lt;&gt;"",J993&lt;&gt;""),OR(L993="Pending",L993=""),C993&lt;&gt;""),C993+3,"")</f>
        <v/>
      </c>
      <c r="T993" s="79">
        <f>IF(S993="","",IF(AsOf&gt;S993,1,2))</f>
        <v/>
      </c>
      <c r="U993" s="79">
        <f>IF(T993="","","Decide on change order "&amp;B993&amp;": "&amp;H993&amp;" (+"&amp;CurSym&amp;" "&amp;FIXED(IF(J993="",0,J993),0)&amp;")")</f>
        <v/>
      </c>
    </row>
    <row r="994" ht="24" customHeight="1">
      <c r="B994" s="74" t="n"/>
      <c r="C994" s="109" t="n"/>
      <c r="D994" s="72" t="n"/>
      <c r="E994" s="72" t="n"/>
      <c r="F994" s="72" t="n"/>
      <c r="G994" s="72" t="n"/>
      <c r="H994" s="113" t="n"/>
      <c r="I994" s="72" t="n"/>
      <c r="J994" s="73" t="n"/>
      <c r="K994" s="89" t="n"/>
      <c r="L994" s="74" t="n"/>
      <c r="M994" s="109" t="n"/>
      <c r="N994" s="68">
        <f>IF(AND(H994="",J994=""),"",ForecastTotal+IF(L994="Approved",0,IF(J994="",0,J994)))</f>
        <v/>
      </c>
      <c r="O994" s="75">
        <f>IF(N994="","",ContAmt-MAX(0,N994-WorkBudget))</f>
        <v/>
      </c>
      <c r="P994" s="120">
        <f>IF(OR(N994="",ForecastEnd=""),"",ForecastEnd+IF(L994="Approved",0,IF(K994="",0,K994)))</f>
        <v/>
      </c>
      <c r="Q994" s="121">
        <f>IF(OR(N994="",WorkBudget=0),"",N994/WorkBudget-1)</f>
        <v/>
      </c>
      <c r="R994" s="79">
        <f>IF(N994="","",IF(N994&lt;=WorkBudget,0,IF(N994&lt;=TotalBudget,1,2)))</f>
        <v/>
      </c>
      <c r="S994" s="112">
        <f>IF(AND(OR(H994&lt;&gt;"",J994&lt;&gt;""),OR(L994="Pending",L994=""),C994&lt;&gt;""),C994+3,"")</f>
        <v/>
      </c>
      <c r="T994" s="79">
        <f>IF(S994="","",IF(AsOf&gt;S994,1,2))</f>
        <v/>
      </c>
      <c r="U994" s="79">
        <f>IF(T994="","","Decide on change order "&amp;B994&amp;": "&amp;H994&amp;" (+"&amp;CurSym&amp;" "&amp;FIXED(IF(J994="",0,J994),0)&amp;")")</f>
        <v/>
      </c>
    </row>
    <row r="995" ht="24" customHeight="1">
      <c r="B995" s="74" t="n"/>
      <c r="C995" s="109" t="n"/>
      <c r="D995" s="72" t="n"/>
      <c r="E995" s="72" t="n"/>
      <c r="F995" s="72" t="n"/>
      <c r="G995" s="72" t="n"/>
      <c r="H995" s="113" t="n"/>
      <c r="I995" s="72" t="n"/>
      <c r="J995" s="73" t="n"/>
      <c r="K995" s="89" t="n"/>
      <c r="L995" s="74" t="n"/>
      <c r="M995" s="109" t="n"/>
      <c r="N995" s="68">
        <f>IF(AND(H995="",J995=""),"",ForecastTotal+IF(L995="Approved",0,IF(J995="",0,J995)))</f>
        <v/>
      </c>
      <c r="O995" s="75">
        <f>IF(N995="","",ContAmt-MAX(0,N995-WorkBudget))</f>
        <v/>
      </c>
      <c r="P995" s="120">
        <f>IF(OR(N995="",ForecastEnd=""),"",ForecastEnd+IF(L995="Approved",0,IF(K995="",0,K995)))</f>
        <v/>
      </c>
      <c r="Q995" s="121">
        <f>IF(OR(N995="",WorkBudget=0),"",N995/WorkBudget-1)</f>
        <v/>
      </c>
      <c r="R995" s="79">
        <f>IF(N995="","",IF(N995&lt;=WorkBudget,0,IF(N995&lt;=TotalBudget,1,2)))</f>
        <v/>
      </c>
      <c r="S995" s="112">
        <f>IF(AND(OR(H995&lt;&gt;"",J995&lt;&gt;""),OR(L995="Pending",L995=""),C995&lt;&gt;""),C995+3,"")</f>
        <v/>
      </c>
      <c r="T995" s="79">
        <f>IF(S995="","",IF(AsOf&gt;S995,1,2))</f>
        <v/>
      </c>
      <c r="U995" s="79">
        <f>IF(T995="","","Decide on change order "&amp;B995&amp;": "&amp;H995&amp;" (+"&amp;CurSym&amp;" "&amp;FIXED(IF(J995="",0,J995),0)&amp;")")</f>
        <v/>
      </c>
    </row>
    <row r="996" ht="24" customHeight="1">
      <c r="B996" s="74" t="n"/>
      <c r="C996" s="109" t="n"/>
      <c r="D996" s="72" t="n"/>
      <c r="E996" s="72" t="n"/>
      <c r="F996" s="72" t="n"/>
      <c r="G996" s="72" t="n"/>
      <c r="H996" s="113" t="n"/>
      <c r="I996" s="72" t="n"/>
      <c r="J996" s="73" t="n"/>
      <c r="K996" s="89" t="n"/>
      <c r="L996" s="74" t="n"/>
      <c r="M996" s="109" t="n"/>
      <c r="N996" s="68">
        <f>IF(AND(H996="",J996=""),"",ForecastTotal+IF(L996="Approved",0,IF(J996="",0,J996)))</f>
        <v/>
      </c>
      <c r="O996" s="75">
        <f>IF(N996="","",ContAmt-MAX(0,N996-WorkBudget))</f>
        <v/>
      </c>
      <c r="P996" s="120">
        <f>IF(OR(N996="",ForecastEnd=""),"",ForecastEnd+IF(L996="Approved",0,IF(K996="",0,K996)))</f>
        <v/>
      </c>
      <c r="Q996" s="121">
        <f>IF(OR(N996="",WorkBudget=0),"",N996/WorkBudget-1)</f>
        <v/>
      </c>
      <c r="R996" s="79">
        <f>IF(N996="","",IF(N996&lt;=WorkBudget,0,IF(N996&lt;=TotalBudget,1,2)))</f>
        <v/>
      </c>
      <c r="S996" s="112">
        <f>IF(AND(OR(H996&lt;&gt;"",J996&lt;&gt;""),OR(L996="Pending",L996=""),C996&lt;&gt;""),C996+3,"")</f>
        <v/>
      </c>
      <c r="T996" s="79">
        <f>IF(S996="","",IF(AsOf&gt;S996,1,2))</f>
        <v/>
      </c>
      <c r="U996" s="79">
        <f>IF(T996="","","Decide on change order "&amp;B996&amp;": "&amp;H996&amp;" (+"&amp;CurSym&amp;" "&amp;FIXED(IF(J996="",0,J996),0)&amp;")")</f>
        <v/>
      </c>
    </row>
    <row r="997" ht="24" customHeight="1">
      <c r="B997" s="74" t="n"/>
      <c r="C997" s="109" t="n"/>
      <c r="D997" s="72" t="n"/>
      <c r="E997" s="72" t="n"/>
      <c r="F997" s="72" t="n"/>
      <c r="G997" s="72" t="n"/>
      <c r="H997" s="113" t="n"/>
      <c r="I997" s="72" t="n"/>
      <c r="J997" s="73" t="n"/>
      <c r="K997" s="89" t="n"/>
      <c r="L997" s="74" t="n"/>
      <c r="M997" s="109" t="n"/>
      <c r="N997" s="68">
        <f>IF(AND(H997="",J997=""),"",ForecastTotal+IF(L997="Approved",0,IF(J997="",0,J997)))</f>
        <v/>
      </c>
      <c r="O997" s="75">
        <f>IF(N997="","",ContAmt-MAX(0,N997-WorkBudget))</f>
        <v/>
      </c>
      <c r="P997" s="120">
        <f>IF(OR(N997="",ForecastEnd=""),"",ForecastEnd+IF(L997="Approved",0,IF(K997="",0,K997)))</f>
        <v/>
      </c>
      <c r="Q997" s="121">
        <f>IF(OR(N997="",WorkBudget=0),"",N997/WorkBudget-1)</f>
        <v/>
      </c>
      <c r="R997" s="79">
        <f>IF(N997="","",IF(N997&lt;=WorkBudget,0,IF(N997&lt;=TotalBudget,1,2)))</f>
        <v/>
      </c>
      <c r="S997" s="112">
        <f>IF(AND(OR(H997&lt;&gt;"",J997&lt;&gt;""),OR(L997="Pending",L997=""),C997&lt;&gt;""),C997+3,"")</f>
        <v/>
      </c>
      <c r="T997" s="79">
        <f>IF(S997="","",IF(AsOf&gt;S997,1,2))</f>
        <v/>
      </c>
      <c r="U997" s="79">
        <f>IF(T997="","","Decide on change order "&amp;B997&amp;": "&amp;H997&amp;" (+"&amp;CurSym&amp;" "&amp;FIXED(IF(J997="",0,J997),0)&amp;")")</f>
        <v/>
      </c>
    </row>
    <row r="998" ht="24" customHeight="1">
      <c r="B998" s="74" t="n"/>
      <c r="C998" s="109" t="n"/>
      <c r="D998" s="72" t="n"/>
      <c r="E998" s="72" t="n"/>
      <c r="F998" s="72" t="n"/>
      <c r="G998" s="72" t="n"/>
      <c r="H998" s="113" t="n"/>
      <c r="I998" s="72" t="n"/>
      <c r="J998" s="73" t="n"/>
      <c r="K998" s="89" t="n"/>
      <c r="L998" s="74" t="n"/>
      <c r="M998" s="109" t="n"/>
      <c r="N998" s="68">
        <f>IF(AND(H998="",J998=""),"",ForecastTotal+IF(L998="Approved",0,IF(J998="",0,J998)))</f>
        <v/>
      </c>
      <c r="O998" s="75">
        <f>IF(N998="","",ContAmt-MAX(0,N998-WorkBudget))</f>
        <v/>
      </c>
      <c r="P998" s="120">
        <f>IF(OR(N998="",ForecastEnd=""),"",ForecastEnd+IF(L998="Approved",0,IF(K998="",0,K998)))</f>
        <v/>
      </c>
      <c r="Q998" s="121">
        <f>IF(OR(N998="",WorkBudget=0),"",N998/WorkBudget-1)</f>
        <v/>
      </c>
      <c r="R998" s="79">
        <f>IF(N998="","",IF(N998&lt;=WorkBudget,0,IF(N998&lt;=TotalBudget,1,2)))</f>
        <v/>
      </c>
      <c r="S998" s="112">
        <f>IF(AND(OR(H998&lt;&gt;"",J998&lt;&gt;""),OR(L998="Pending",L998=""),C998&lt;&gt;""),C998+3,"")</f>
        <v/>
      </c>
      <c r="T998" s="79">
        <f>IF(S998="","",IF(AsOf&gt;S998,1,2))</f>
        <v/>
      </c>
      <c r="U998" s="79">
        <f>IF(T998="","","Decide on change order "&amp;B998&amp;": "&amp;H998&amp;" (+"&amp;CurSym&amp;" "&amp;FIXED(IF(J998="",0,J998),0)&amp;")")</f>
        <v/>
      </c>
    </row>
    <row r="999" ht="24" customHeight="1">
      <c r="B999" s="74" t="n"/>
      <c r="C999" s="109" t="n"/>
      <c r="D999" s="72" t="n"/>
      <c r="E999" s="72" t="n"/>
      <c r="F999" s="72" t="n"/>
      <c r="G999" s="72" t="n"/>
      <c r="H999" s="113" t="n"/>
      <c r="I999" s="72" t="n"/>
      <c r="J999" s="73" t="n"/>
      <c r="K999" s="89" t="n"/>
      <c r="L999" s="74" t="n"/>
      <c r="M999" s="109" t="n"/>
      <c r="N999" s="68">
        <f>IF(AND(H999="",J999=""),"",ForecastTotal+IF(L999="Approved",0,IF(J999="",0,J999)))</f>
        <v/>
      </c>
      <c r="O999" s="75">
        <f>IF(N999="","",ContAmt-MAX(0,N999-WorkBudget))</f>
        <v/>
      </c>
      <c r="P999" s="120">
        <f>IF(OR(N999="",ForecastEnd=""),"",ForecastEnd+IF(L999="Approved",0,IF(K999="",0,K999)))</f>
        <v/>
      </c>
      <c r="Q999" s="121">
        <f>IF(OR(N999="",WorkBudget=0),"",N999/WorkBudget-1)</f>
        <v/>
      </c>
      <c r="R999" s="79">
        <f>IF(N999="","",IF(N999&lt;=WorkBudget,0,IF(N999&lt;=TotalBudget,1,2)))</f>
        <v/>
      </c>
      <c r="S999" s="112">
        <f>IF(AND(OR(H999&lt;&gt;"",J999&lt;&gt;""),OR(L999="Pending",L999=""),C999&lt;&gt;""),C999+3,"")</f>
        <v/>
      </c>
      <c r="T999" s="79">
        <f>IF(S999="","",IF(AsOf&gt;S999,1,2))</f>
        <v/>
      </c>
      <c r="U999" s="79">
        <f>IF(T999="","","Decide on change order "&amp;B999&amp;": "&amp;H999&amp;" (+"&amp;CurSym&amp;" "&amp;FIXED(IF(J999="",0,J999),0)&amp;")")</f>
        <v/>
      </c>
    </row>
    <row r="1000" ht="24" customHeight="1">
      <c r="B1000" s="74" t="n"/>
      <c r="C1000" s="109" t="n"/>
      <c r="D1000" s="72" t="n"/>
      <c r="E1000" s="72" t="n"/>
      <c r="F1000" s="72" t="n"/>
      <c r="G1000" s="72" t="n"/>
      <c r="H1000" s="113" t="n"/>
      <c r="I1000" s="72" t="n"/>
      <c r="J1000" s="73" t="n"/>
      <c r="K1000" s="89" t="n"/>
      <c r="L1000" s="74" t="n"/>
      <c r="M1000" s="109" t="n"/>
      <c r="N1000" s="68">
        <f>IF(AND(H1000="",J1000=""),"",ForecastTotal+IF(L1000="Approved",0,IF(J1000="",0,J1000)))</f>
        <v/>
      </c>
      <c r="O1000" s="75">
        <f>IF(N1000="","",ContAmt-MAX(0,N1000-WorkBudget))</f>
        <v/>
      </c>
      <c r="P1000" s="120">
        <f>IF(OR(N1000="",ForecastEnd=""),"",ForecastEnd+IF(L1000="Approved",0,IF(K1000="",0,K1000)))</f>
        <v/>
      </c>
      <c r="Q1000" s="121">
        <f>IF(OR(N1000="",WorkBudget=0),"",N1000/WorkBudget-1)</f>
        <v/>
      </c>
      <c r="R1000" s="79">
        <f>IF(N1000="","",IF(N1000&lt;=WorkBudget,0,IF(N1000&lt;=TotalBudget,1,2)))</f>
        <v/>
      </c>
      <c r="S1000" s="112">
        <f>IF(AND(OR(H1000&lt;&gt;"",J1000&lt;&gt;""),OR(L1000="Pending",L1000=""),C1000&lt;&gt;""),C1000+3,"")</f>
        <v/>
      </c>
      <c r="T1000" s="79">
        <f>IF(S1000="","",IF(AsOf&gt;S1000,1,2))</f>
        <v/>
      </c>
      <c r="U1000" s="79">
        <f>IF(T1000="","","Decide on change order "&amp;B1000&amp;": "&amp;H1000&amp;" (+"&amp;CurSym&amp;" "&amp;FIXED(IF(J1000="",0,J1000),0)&amp;")")</f>
        <v/>
      </c>
    </row>
    <row r="1001" ht="24" customHeight="1">
      <c r="B1001" s="74" t="n"/>
      <c r="C1001" s="109" t="n"/>
      <c r="D1001" s="72" t="n"/>
      <c r="E1001" s="72" t="n"/>
      <c r="F1001" s="72" t="n"/>
      <c r="G1001" s="72" t="n"/>
      <c r="H1001" s="113" t="n"/>
      <c r="I1001" s="72" t="n"/>
      <c r="J1001" s="73" t="n"/>
      <c r="K1001" s="89" t="n"/>
      <c r="L1001" s="74" t="n"/>
      <c r="M1001" s="109" t="n"/>
      <c r="N1001" s="68">
        <f>IF(AND(H1001="",J1001=""),"",ForecastTotal+IF(L1001="Approved",0,IF(J1001="",0,J1001)))</f>
        <v/>
      </c>
      <c r="O1001" s="75">
        <f>IF(N1001="","",ContAmt-MAX(0,N1001-WorkBudget))</f>
        <v/>
      </c>
      <c r="P1001" s="120">
        <f>IF(OR(N1001="",ForecastEnd=""),"",ForecastEnd+IF(L1001="Approved",0,IF(K1001="",0,K1001)))</f>
        <v/>
      </c>
      <c r="Q1001" s="121">
        <f>IF(OR(N1001="",WorkBudget=0),"",N1001/WorkBudget-1)</f>
        <v/>
      </c>
      <c r="R1001" s="79">
        <f>IF(N1001="","",IF(N1001&lt;=WorkBudget,0,IF(N1001&lt;=TotalBudget,1,2)))</f>
        <v/>
      </c>
      <c r="S1001" s="112">
        <f>IF(AND(OR(H1001&lt;&gt;"",J1001&lt;&gt;""),OR(L1001="Pending",L1001=""),C1001&lt;&gt;""),C1001+3,"")</f>
        <v/>
      </c>
      <c r="T1001" s="79">
        <f>IF(S1001="","",IF(AsOf&gt;S1001,1,2))</f>
        <v/>
      </c>
      <c r="U1001" s="79">
        <f>IF(T1001="","","Decide on change order "&amp;B1001&amp;": "&amp;H1001&amp;" (+"&amp;CurSym&amp;" "&amp;FIXED(IF(J1001="",0,J1001),0)&amp;")")</f>
        <v/>
      </c>
    </row>
    <row r="1002" ht="24" customHeight="1">
      <c r="B1002" s="74" t="n"/>
      <c r="C1002" s="109" t="n"/>
      <c r="D1002" s="72" t="n"/>
      <c r="E1002" s="72" t="n"/>
      <c r="F1002" s="72" t="n"/>
      <c r="G1002" s="72" t="n"/>
      <c r="H1002" s="113" t="n"/>
      <c r="I1002" s="72" t="n"/>
      <c r="J1002" s="73" t="n"/>
      <c r="K1002" s="89" t="n"/>
      <c r="L1002" s="74" t="n"/>
      <c r="M1002" s="109" t="n"/>
      <c r="N1002" s="68">
        <f>IF(AND(H1002="",J1002=""),"",ForecastTotal+IF(L1002="Approved",0,IF(J1002="",0,J1002)))</f>
        <v/>
      </c>
      <c r="O1002" s="75">
        <f>IF(N1002="","",ContAmt-MAX(0,N1002-WorkBudget))</f>
        <v/>
      </c>
      <c r="P1002" s="120">
        <f>IF(OR(N1002="",ForecastEnd=""),"",ForecastEnd+IF(L1002="Approved",0,IF(K1002="",0,K1002)))</f>
        <v/>
      </c>
      <c r="Q1002" s="121">
        <f>IF(OR(N1002="",WorkBudget=0),"",N1002/WorkBudget-1)</f>
        <v/>
      </c>
      <c r="R1002" s="79">
        <f>IF(N1002="","",IF(N1002&lt;=WorkBudget,0,IF(N1002&lt;=TotalBudget,1,2)))</f>
        <v/>
      </c>
      <c r="S1002" s="112">
        <f>IF(AND(OR(H1002&lt;&gt;"",J1002&lt;&gt;""),OR(L1002="Pending",L1002=""),C1002&lt;&gt;""),C1002+3,"")</f>
        <v/>
      </c>
      <c r="T1002" s="79">
        <f>IF(S1002="","",IF(AsOf&gt;S1002,1,2))</f>
        <v/>
      </c>
      <c r="U1002" s="79">
        <f>IF(T1002="","","Decide on change order "&amp;B1002&amp;": "&amp;H1002&amp;" (+"&amp;CurSym&amp;" "&amp;FIXED(IF(J1002="",0,J1002),0)&amp;")")</f>
        <v/>
      </c>
    </row>
    <row r="1003" ht="24" customHeight="1">
      <c r="B1003" s="74" t="n"/>
      <c r="C1003" s="109" t="n"/>
      <c r="D1003" s="72" t="n"/>
      <c r="E1003" s="72" t="n"/>
      <c r="F1003" s="72" t="n"/>
      <c r="G1003" s="72" t="n"/>
      <c r="H1003" s="113" t="n"/>
      <c r="I1003" s="72" t="n"/>
      <c r="J1003" s="73" t="n"/>
      <c r="K1003" s="89" t="n"/>
      <c r="L1003" s="74" t="n"/>
      <c r="M1003" s="109" t="n"/>
      <c r="N1003" s="68">
        <f>IF(AND(H1003="",J1003=""),"",ForecastTotal+IF(L1003="Approved",0,IF(J1003="",0,J1003)))</f>
        <v/>
      </c>
      <c r="O1003" s="75">
        <f>IF(N1003="","",ContAmt-MAX(0,N1003-WorkBudget))</f>
        <v/>
      </c>
      <c r="P1003" s="120">
        <f>IF(OR(N1003="",ForecastEnd=""),"",ForecastEnd+IF(L1003="Approved",0,IF(K1003="",0,K1003)))</f>
        <v/>
      </c>
      <c r="Q1003" s="121">
        <f>IF(OR(N1003="",WorkBudget=0),"",N1003/WorkBudget-1)</f>
        <v/>
      </c>
      <c r="R1003" s="79">
        <f>IF(N1003="","",IF(N1003&lt;=WorkBudget,0,IF(N1003&lt;=TotalBudget,1,2)))</f>
        <v/>
      </c>
      <c r="S1003" s="112">
        <f>IF(AND(OR(H1003&lt;&gt;"",J1003&lt;&gt;""),OR(L1003="Pending",L1003=""),C1003&lt;&gt;""),C1003+3,"")</f>
        <v/>
      </c>
      <c r="T1003" s="79">
        <f>IF(S1003="","",IF(AsOf&gt;S1003,1,2))</f>
        <v/>
      </c>
      <c r="U1003" s="79">
        <f>IF(T1003="","","Decide on change order "&amp;B1003&amp;": "&amp;H1003&amp;" (+"&amp;CurSym&amp;" "&amp;FIXED(IF(J1003="",0,J1003),0)&amp;")")</f>
        <v/>
      </c>
    </row>
    <row r="1004" ht="24" customHeight="1">
      <c r="B1004" s="74" t="n"/>
      <c r="C1004" s="109" t="n"/>
      <c r="D1004" s="72" t="n"/>
      <c r="E1004" s="72" t="n"/>
      <c r="F1004" s="72" t="n"/>
      <c r="G1004" s="72" t="n"/>
      <c r="H1004" s="113" t="n"/>
      <c r="I1004" s="72" t="n"/>
      <c r="J1004" s="73" t="n"/>
      <c r="K1004" s="89" t="n"/>
      <c r="L1004" s="74" t="n"/>
      <c r="M1004" s="109" t="n"/>
      <c r="N1004" s="68">
        <f>IF(AND(H1004="",J1004=""),"",ForecastTotal+IF(L1004="Approved",0,IF(J1004="",0,J1004)))</f>
        <v/>
      </c>
      <c r="O1004" s="75">
        <f>IF(N1004="","",ContAmt-MAX(0,N1004-WorkBudget))</f>
        <v/>
      </c>
      <c r="P1004" s="120">
        <f>IF(OR(N1004="",ForecastEnd=""),"",ForecastEnd+IF(L1004="Approved",0,IF(K1004="",0,K1004)))</f>
        <v/>
      </c>
      <c r="Q1004" s="121">
        <f>IF(OR(N1004="",WorkBudget=0),"",N1004/WorkBudget-1)</f>
        <v/>
      </c>
      <c r="R1004" s="79">
        <f>IF(N1004="","",IF(N1004&lt;=WorkBudget,0,IF(N1004&lt;=TotalBudget,1,2)))</f>
        <v/>
      </c>
      <c r="S1004" s="112">
        <f>IF(AND(OR(H1004&lt;&gt;"",J1004&lt;&gt;""),OR(L1004="Pending",L1004=""),C1004&lt;&gt;""),C1004+3,"")</f>
        <v/>
      </c>
      <c r="T1004" s="79">
        <f>IF(S1004="","",IF(AsOf&gt;S1004,1,2))</f>
        <v/>
      </c>
      <c r="U1004" s="79">
        <f>IF(T1004="","","Decide on change order "&amp;B1004&amp;": "&amp;H1004&amp;" (+"&amp;CurSym&amp;" "&amp;FIXED(IF(J1004="",0,J1004),0)&amp;")")</f>
        <v/>
      </c>
    </row>
    <row r="1005" ht="24" customHeight="1">
      <c r="B1005" s="74" t="n"/>
      <c r="C1005" s="109" t="n"/>
      <c r="D1005" s="72" t="n"/>
      <c r="E1005" s="72" t="n"/>
      <c r="F1005" s="72" t="n"/>
      <c r="G1005" s="72" t="n"/>
      <c r="H1005" s="113" t="n"/>
      <c r="I1005" s="72" t="n"/>
      <c r="J1005" s="73" t="n"/>
      <c r="K1005" s="89" t="n"/>
      <c r="L1005" s="74" t="n"/>
      <c r="M1005" s="109" t="n"/>
      <c r="N1005" s="68">
        <f>IF(AND(H1005="",J1005=""),"",ForecastTotal+IF(L1005="Approved",0,IF(J1005="",0,J1005)))</f>
        <v/>
      </c>
      <c r="O1005" s="75">
        <f>IF(N1005="","",ContAmt-MAX(0,N1005-WorkBudget))</f>
        <v/>
      </c>
      <c r="P1005" s="120">
        <f>IF(OR(N1005="",ForecastEnd=""),"",ForecastEnd+IF(L1005="Approved",0,IF(K1005="",0,K1005)))</f>
        <v/>
      </c>
      <c r="Q1005" s="121">
        <f>IF(OR(N1005="",WorkBudget=0),"",N1005/WorkBudget-1)</f>
        <v/>
      </c>
      <c r="R1005" s="79">
        <f>IF(N1005="","",IF(N1005&lt;=WorkBudget,0,IF(N1005&lt;=TotalBudget,1,2)))</f>
        <v/>
      </c>
      <c r="S1005" s="112">
        <f>IF(AND(OR(H1005&lt;&gt;"",J1005&lt;&gt;""),OR(L1005="Pending",L1005=""),C1005&lt;&gt;""),C1005+3,"")</f>
        <v/>
      </c>
      <c r="T1005" s="79">
        <f>IF(S1005="","",IF(AsOf&gt;S1005,1,2))</f>
        <v/>
      </c>
      <c r="U1005" s="79">
        <f>IF(T1005="","","Decide on change order "&amp;B1005&amp;": "&amp;H1005&amp;" (+"&amp;CurSym&amp;" "&amp;FIXED(IF(J1005="",0,J1005),0)&amp;")")</f>
        <v/>
      </c>
    </row>
    <row r="1006" ht="24" customHeight="1">
      <c r="B1006" s="74" t="n"/>
      <c r="C1006" s="109" t="n"/>
      <c r="D1006" s="72" t="n"/>
      <c r="E1006" s="72" t="n"/>
      <c r="F1006" s="72" t="n"/>
      <c r="G1006" s="72" t="n"/>
      <c r="H1006" s="113" t="n"/>
      <c r="I1006" s="72" t="n"/>
      <c r="J1006" s="73" t="n"/>
      <c r="K1006" s="89" t="n"/>
      <c r="L1006" s="74" t="n"/>
      <c r="M1006" s="109" t="n"/>
      <c r="N1006" s="68">
        <f>IF(AND(H1006="",J1006=""),"",ForecastTotal+IF(L1006="Approved",0,IF(J1006="",0,J1006)))</f>
        <v/>
      </c>
      <c r="O1006" s="75">
        <f>IF(N1006="","",ContAmt-MAX(0,N1006-WorkBudget))</f>
        <v/>
      </c>
      <c r="P1006" s="120">
        <f>IF(OR(N1006="",ForecastEnd=""),"",ForecastEnd+IF(L1006="Approved",0,IF(K1006="",0,K1006)))</f>
        <v/>
      </c>
      <c r="Q1006" s="121">
        <f>IF(OR(N1006="",WorkBudget=0),"",N1006/WorkBudget-1)</f>
        <v/>
      </c>
      <c r="R1006" s="79">
        <f>IF(N1006="","",IF(N1006&lt;=WorkBudget,0,IF(N1006&lt;=TotalBudget,1,2)))</f>
        <v/>
      </c>
      <c r="S1006" s="112">
        <f>IF(AND(OR(H1006&lt;&gt;"",J1006&lt;&gt;""),OR(L1006="Pending",L1006=""),C1006&lt;&gt;""),C1006+3,"")</f>
        <v/>
      </c>
      <c r="T1006" s="79">
        <f>IF(S1006="","",IF(AsOf&gt;S1006,1,2))</f>
        <v/>
      </c>
      <c r="U1006" s="79">
        <f>IF(T1006="","","Decide on change order "&amp;B1006&amp;": "&amp;H1006&amp;" (+"&amp;CurSym&amp;" "&amp;FIXED(IF(J1006="",0,J1006),0)&amp;")")</f>
        <v/>
      </c>
    </row>
  </sheetData>
  <sheetProtection selectLockedCells="1" selectUnlockedCells="0" sheet="1" objects="0" insertRows="1" insertHyperlinks="1" autoFilter="1" scenarios="0" formatColumns="0" deleteColumns="1" insertColumns="1" pivotTables="1" deleteRows="1" formatCells="1" formatRows="0" sort="1" password="CD61"/>
  <mergeCells count="1">
    <mergeCell ref="B4:Q4"/>
  </mergeCells>
  <conditionalFormatting sqref="N7:Q1006">
    <cfRule type="expression" priority="1" dxfId="0" stopIfTrue="0">
      <formula>$R7=2</formula>
    </cfRule>
    <cfRule type="expression" priority="2" dxfId="2" stopIfTrue="0">
      <formula>$R7=1</formula>
    </cfRule>
    <cfRule type="expression" priority="3" dxfId="3" stopIfTrue="0">
      <formula>$R7=0</formula>
    </cfRule>
  </conditionalFormatting>
  <conditionalFormatting sqref="L7:L1006">
    <cfRule type="expression" priority="4" dxfId="2" stopIfTrue="0">
      <formula>L7="Pending"</formula>
    </cfRule>
    <cfRule type="expression" priority="5" dxfId="3" stopIfTrue="0">
      <formula>L7="Approved"</formula>
    </cfRule>
    <cfRule type="expression" priority="6" dxfId="7" stopIfTrue="0">
      <formula>L7="Rejected"</formula>
    </cfRule>
  </conditionalFormatting>
  <dataValidations count="6">
    <dataValidation sqref="D7:D1006" showDropDown="0" showInputMessage="0" showErrorMessage="1" allowBlank="1" errorTitle="Renovation OS" error="Please pick a value from the dropdown list." type="list">
      <formula1>='Lists'!$F$2:$F$6</formula1>
    </dataValidation>
    <dataValidation sqref="E7:E1006" showDropDown="0" showInputMessage="0" showErrorMessage="1" allowBlank="1" errorTitle="Renovation OS" error="This name is not in the list. Keep it anyway?" type="list" errorStyle="warning">
      <formula1>='Lists'!$X$2:$X$1001</formula1>
    </dataValidation>
    <dataValidation sqref="F7:F1006" showDropDown="0" showInputMessage="0" showErrorMessage="1" allowBlank="1" errorTitle="Renovation OS" error="Please pick a value from the dropdown list." type="list">
      <formula1>='Lists'!$V$2:$V$51</formula1>
    </dataValidation>
    <dataValidation sqref="G7:G1006" showDropDown="0" showInputMessage="0" showErrorMessage="1" allowBlank="1" errorTitle="Renovation OS" error="Please pick a value from the dropdown list." type="list">
      <formula1>='Lists'!$W$2:$W$12</formula1>
    </dataValidation>
    <dataValidation sqref="I7:I1006" showDropDown="0" showInputMessage="0" showErrorMessage="1" allowBlank="1" errorTitle="Renovation OS" error="Please pick a value from the dropdown list." type="list">
      <formula1>='Lists'!$E$2:$E$6</formula1>
    </dataValidation>
    <dataValidation sqref="L7:L1006" showDropDown="0" showInputMessage="0" showErrorMessage="1" allowBlank="1" errorTitle="Renovation OS" error="Please pick a value from the dropdown list." type="list">
      <formula1>='Lists'!$D$2:$D$4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E07B00"/>
    <outlinePr summaryBelow="1" summaryRight="1"/>
    <pageSetUpPr/>
  </sheetPr>
  <dimension ref="A1:BW1006"/>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2.5" customWidth="1" min="1" max="1"/>
    <col width="5" customWidth="1" min="2" max="2"/>
    <col width="15" customWidth="1" min="3" max="3"/>
    <col width="30" customWidth="1" min="4" max="4"/>
    <col width="14" customWidth="1" min="5" max="5"/>
    <col width="20" customWidth="1" min="6" max="6"/>
    <col width="9" customWidth="1" min="7" max="7"/>
    <col width="10" customWidth="1" min="8" max="8"/>
    <col width="12" customWidth="1" min="9" max="9"/>
    <col width="12" customWidth="1" min="10" max="10"/>
    <col width="8" customWidth="1" min="11" max="11"/>
    <col width="12" customWidth="1" min="12" max="12"/>
    <col width="12" customWidth="1" min="13" max="13"/>
    <col width="12" customWidth="1" min="14" max="14"/>
    <col width="9"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width="2" customWidth="1" min="23" max="23"/>
    <col width="3.3" customWidth="1" min="24" max="24"/>
    <col width="3.3" customWidth="1" min="25" max="25"/>
    <col width="3.3" customWidth="1" min="26" max="26"/>
    <col width="3.3" customWidth="1" min="27" max="27"/>
    <col width="3.3" customWidth="1" min="28" max="28"/>
    <col width="3.3" customWidth="1" min="29" max="29"/>
    <col width="3.3" customWidth="1" min="30" max="30"/>
    <col width="3.3" customWidth="1" min="31" max="31"/>
    <col width="3.3" customWidth="1" min="32" max="32"/>
    <col width="3.3" customWidth="1" min="33" max="33"/>
    <col width="3.3" customWidth="1" min="34" max="34"/>
    <col width="3.3" customWidth="1" min="35" max="35"/>
    <col width="3.3" customWidth="1" min="36" max="36"/>
    <col width="3.3" customWidth="1" min="37" max="37"/>
    <col width="3.3" customWidth="1" min="38" max="38"/>
    <col width="3.3" customWidth="1" min="39" max="39"/>
    <col width="3.3" customWidth="1" min="40" max="40"/>
    <col width="3.3" customWidth="1" min="41" max="41"/>
    <col width="3.3" customWidth="1" min="42" max="42"/>
    <col width="3.3" customWidth="1" min="43" max="43"/>
    <col width="3.3" customWidth="1" min="44" max="44"/>
    <col width="3.3" customWidth="1" min="45" max="45"/>
    <col width="3.3" customWidth="1" min="46" max="46"/>
    <col width="3.3" customWidth="1" min="47" max="47"/>
    <col width="3.3" customWidth="1" min="48" max="48"/>
    <col width="3.3" customWidth="1" min="49" max="49"/>
    <col width="3.3" customWidth="1" min="50" max="50"/>
    <col width="3.3" customWidth="1" min="51" max="51"/>
    <col width="3.3" customWidth="1" min="52" max="52"/>
    <col width="3.3" customWidth="1" min="53" max="53"/>
    <col width="3.3" customWidth="1" min="54" max="54"/>
    <col width="3.3" customWidth="1" min="55" max="55"/>
    <col width="3.3" customWidth="1" min="56" max="56"/>
    <col width="3.3" customWidth="1" min="57" max="57"/>
    <col width="3.3" customWidth="1" min="58" max="58"/>
    <col width="3.3" customWidth="1" min="59" max="59"/>
    <col width="3.3" customWidth="1" min="60" max="60"/>
    <col width="3.3" customWidth="1" min="61" max="61"/>
    <col width="3.3" customWidth="1" min="62" max="62"/>
    <col width="3.3" customWidth="1" min="63" max="63"/>
    <col width="3.3" customWidth="1" min="64" max="64"/>
    <col width="3.3" customWidth="1" min="65" max="65"/>
    <col width="3.3" customWidth="1" min="66" max="66"/>
    <col width="3.3" customWidth="1" min="67" max="67"/>
    <col width="3.3" customWidth="1" min="68" max="68"/>
    <col width="3.3" customWidth="1" min="69" max="69"/>
    <col width="3.3" customWidth="1" min="70" max="70"/>
    <col width="3.3" customWidth="1" min="71" max="71"/>
    <col width="3.3" customWidth="1" min="72" max="72"/>
    <col width="3.3" customWidth="1" min="73" max="73"/>
    <col width="3.3" customWidth="1" min="74" max="74"/>
    <col width="3.3" customWidth="1" min="75" max="75"/>
  </cols>
  <sheetData>
    <row r="1" ht="36" customHeight="1">
      <c r="B1" s="1" t="inlineStr">
        <is>
          <t>📅 Timeline</t>
        </is>
      </c>
    </row>
    <row r="2" ht="20" customHeight="1">
      <c r="B2" s="2" t="inlineStr">
        <is>
          <t>What this tab does: tasks with durations and dependencies → start/end dates, late warnings and a 52-week Gantt chart. Forecast finish feeds the Dashboard.</t>
        </is>
      </c>
    </row>
    <row r="3">
      <c r="B3" s="3" t="inlineStr">
        <is>
          <t>© 2026 Hang Nguyen — Renovation OS. Licensed to the original purchaser for personal use only. Do not share, copy, resell or redistribute.</t>
        </is>
      </c>
    </row>
    <row r="4" ht="26" customHeight="1">
      <c r="C4" s="85" t="inlineStr">
        <is>
          <t>Forecast finish</t>
        </is>
      </c>
      <c r="D4" s="122">
        <f>IF(COUNT(L7:L1006)=0,"",MAX(L7:L1006))</f>
        <v/>
      </c>
      <c r="E4" s="85" t="inlineStr">
        <is>
          <t>Target move-in</t>
        </is>
      </c>
      <c r="G4" s="123">
        <f>IF(TargetEnd="","",TargetEnd)</f>
        <v/>
      </c>
      <c r="H4" s="63" t="n"/>
      <c r="I4" s="13">
        <f>IF(OR(ForecastEnd="",TargetEnd=""),"",IF(ForecastEnd&gt;TargetEnd,"🔴 "&amp;(ForecastEnd-TargetEnd)&amp;" days late",IF(ForecastEnd=TargetEnd,"🟢 on target","🟢 "&amp;(TargetEnd-ForecastEnd)&amp;" days early")))</f>
        <v/>
      </c>
      <c r="R4" s="84">
        <f>AsOf</f>
        <v/>
      </c>
      <c r="X4" s="8" t="inlineStr">
        <is>
          <t>Gantt: teal = planned · grey = done · red = late · yellow column = this week</t>
        </is>
      </c>
    </row>
    <row r="5"/>
    <row r="6" ht="48" customHeight="1">
      <c r="B6" s="52" t="inlineStr">
        <is>
          <t>ID</t>
        </is>
      </c>
      <c r="C6" s="52" t="inlineStr">
        <is>
          <t>Phase</t>
        </is>
      </c>
      <c r="D6" s="52" t="inlineStr">
        <is>
          <t>Task</t>
        </is>
      </c>
      <c r="E6" s="52" t="inlineStr">
        <is>
          <t>Room</t>
        </is>
      </c>
      <c r="F6" s="52" t="inlineStr">
        <is>
          <t>Contractor</t>
        </is>
      </c>
      <c r="G6" s="52" t="inlineStr">
        <is>
          <t>Duration (days)</t>
        </is>
      </c>
      <c r="H6" s="52" t="inlineStr">
        <is>
          <t>Predecessor ID</t>
        </is>
      </c>
      <c r="I6" s="52" t="inlineStr">
        <is>
          <t>Earliest start (optional)</t>
        </is>
      </c>
      <c r="J6" s="52" t="inlineStr">
        <is>
          <t>Start</t>
        </is>
      </c>
      <c r="K6" s="52" t="inlineStr">
        <is>
          <t>Delay (days)</t>
        </is>
      </c>
      <c r="L6" s="52" t="inlineStr">
        <is>
          <t>End</t>
        </is>
      </c>
      <c r="M6" s="52" t="inlineStr">
        <is>
          <t>Status</t>
        </is>
      </c>
      <c r="N6" s="52" t="inlineStr">
        <is>
          <t>Done date</t>
        </is>
      </c>
      <c r="O6" s="52" t="inlineStr">
        <is>
          <t>Affects N tasks</t>
        </is>
      </c>
      <c r="P6" s="52" t="inlineStr">
        <is>
          <t>Flag</t>
        </is>
      </c>
      <c r="Q6" s="71" t="inlineStr">
        <is>
          <t>code</t>
        </is>
      </c>
      <c r="R6" s="71" t="inlineStr">
        <is>
          <t>first</t>
        </is>
      </c>
      <c r="S6" s="71" t="inlineStr">
        <is>
          <t>okey</t>
        </is>
      </c>
      <c r="T6" s="71" t="inlineStr">
        <is>
          <t>due</t>
        </is>
      </c>
      <c r="U6" s="71" t="inlineStr">
        <is>
          <t>pri</t>
        </is>
      </c>
      <c r="V6" s="71" t="inlineStr">
        <is>
          <t>text</t>
        </is>
      </c>
      <c r="X6" s="124">
        <f>IF(ProjStart="","",ProjStart-IF(WeekStart="Sunday",WEEKDAY(ProjStart,1)-1,WEEKDAY(ProjStart,3)))</f>
        <v/>
      </c>
      <c r="Y6" s="124">
        <f>IF(X6="","",X6+7)</f>
        <v/>
      </c>
      <c r="Z6" s="124">
        <f>IF(Y6="","",Y6+7)</f>
        <v/>
      </c>
      <c r="AA6" s="124">
        <f>IF(Z6="","",Z6+7)</f>
        <v/>
      </c>
      <c r="AB6" s="124">
        <f>IF(AA6="","",AA6+7)</f>
        <v/>
      </c>
      <c r="AC6" s="124">
        <f>IF(AB6="","",AB6+7)</f>
        <v/>
      </c>
      <c r="AD6" s="124">
        <f>IF(AC6="","",AC6+7)</f>
        <v/>
      </c>
      <c r="AE6" s="124">
        <f>IF(AD6="","",AD6+7)</f>
        <v/>
      </c>
      <c r="AF6" s="124">
        <f>IF(AE6="","",AE6+7)</f>
        <v/>
      </c>
      <c r="AG6" s="124">
        <f>IF(AF6="","",AF6+7)</f>
        <v/>
      </c>
      <c r="AH6" s="124">
        <f>IF(AG6="","",AG6+7)</f>
        <v/>
      </c>
      <c r="AI6" s="124">
        <f>IF(AH6="","",AH6+7)</f>
        <v/>
      </c>
      <c r="AJ6" s="124">
        <f>IF(AI6="","",AI6+7)</f>
        <v/>
      </c>
      <c r="AK6" s="124">
        <f>IF(AJ6="","",AJ6+7)</f>
        <v/>
      </c>
      <c r="AL6" s="124">
        <f>IF(AK6="","",AK6+7)</f>
        <v/>
      </c>
      <c r="AM6" s="124">
        <f>IF(AL6="","",AL6+7)</f>
        <v/>
      </c>
      <c r="AN6" s="124">
        <f>IF(AM6="","",AM6+7)</f>
        <v/>
      </c>
      <c r="AO6" s="124">
        <f>IF(AN6="","",AN6+7)</f>
        <v/>
      </c>
      <c r="AP6" s="124">
        <f>IF(AO6="","",AO6+7)</f>
        <v/>
      </c>
      <c r="AQ6" s="124">
        <f>IF(AP6="","",AP6+7)</f>
        <v/>
      </c>
      <c r="AR6" s="124">
        <f>IF(AQ6="","",AQ6+7)</f>
        <v/>
      </c>
      <c r="AS6" s="124">
        <f>IF(AR6="","",AR6+7)</f>
        <v/>
      </c>
      <c r="AT6" s="124">
        <f>IF(AS6="","",AS6+7)</f>
        <v/>
      </c>
      <c r="AU6" s="124">
        <f>IF(AT6="","",AT6+7)</f>
        <v/>
      </c>
      <c r="AV6" s="124">
        <f>IF(AU6="","",AU6+7)</f>
        <v/>
      </c>
      <c r="AW6" s="124">
        <f>IF(AV6="","",AV6+7)</f>
        <v/>
      </c>
      <c r="AX6" s="124">
        <f>IF(AW6="","",AW6+7)</f>
        <v/>
      </c>
      <c r="AY6" s="124">
        <f>IF(AX6="","",AX6+7)</f>
        <v/>
      </c>
      <c r="AZ6" s="124">
        <f>IF(AY6="","",AY6+7)</f>
        <v/>
      </c>
      <c r="BA6" s="124">
        <f>IF(AZ6="","",AZ6+7)</f>
        <v/>
      </c>
      <c r="BB6" s="124">
        <f>IF(BA6="","",BA6+7)</f>
        <v/>
      </c>
      <c r="BC6" s="124">
        <f>IF(BB6="","",BB6+7)</f>
        <v/>
      </c>
      <c r="BD6" s="124">
        <f>IF(BC6="","",BC6+7)</f>
        <v/>
      </c>
      <c r="BE6" s="124">
        <f>IF(BD6="","",BD6+7)</f>
        <v/>
      </c>
      <c r="BF6" s="124">
        <f>IF(BE6="","",BE6+7)</f>
        <v/>
      </c>
      <c r="BG6" s="124">
        <f>IF(BF6="","",BF6+7)</f>
        <v/>
      </c>
      <c r="BH6" s="124">
        <f>IF(BG6="","",BG6+7)</f>
        <v/>
      </c>
      <c r="BI6" s="124">
        <f>IF(BH6="","",BH6+7)</f>
        <v/>
      </c>
      <c r="BJ6" s="124">
        <f>IF(BI6="","",BI6+7)</f>
        <v/>
      </c>
      <c r="BK6" s="124">
        <f>IF(BJ6="","",BJ6+7)</f>
        <v/>
      </c>
      <c r="BL6" s="124">
        <f>IF(BK6="","",BK6+7)</f>
        <v/>
      </c>
      <c r="BM6" s="124">
        <f>IF(BL6="","",BL6+7)</f>
        <v/>
      </c>
      <c r="BN6" s="124">
        <f>IF(BM6="","",BM6+7)</f>
        <v/>
      </c>
      <c r="BO6" s="124">
        <f>IF(BN6="","",BN6+7)</f>
        <v/>
      </c>
      <c r="BP6" s="124">
        <f>IF(BO6="","",BO6+7)</f>
        <v/>
      </c>
      <c r="BQ6" s="124">
        <f>IF(BP6="","",BP6+7)</f>
        <v/>
      </c>
      <c r="BR6" s="124">
        <f>IF(BQ6="","",BQ6+7)</f>
        <v/>
      </c>
      <c r="BS6" s="124">
        <f>IF(BR6="","",BR6+7)</f>
        <v/>
      </c>
      <c r="BT6" s="124">
        <f>IF(BS6="","",BS6+7)</f>
        <v/>
      </c>
      <c r="BU6" s="124">
        <f>IF(BT6="","",BT6+7)</f>
        <v/>
      </c>
      <c r="BV6" s="124">
        <f>IF(BU6="","",BU6+7)</f>
        <v/>
      </c>
      <c r="BW6" s="124">
        <f>IF(BV6="","",BV6+7)</f>
        <v/>
      </c>
    </row>
    <row r="7" ht="20" customHeight="1">
      <c r="B7" s="125" t="n">
        <v>1</v>
      </c>
      <c r="C7" s="72" t="inlineStr">
        <is>
          <t>Pre-construction</t>
        </is>
      </c>
      <c r="D7" s="72" t="inlineStr">
        <is>
          <t>Design &amp; plans</t>
        </is>
      </c>
      <c r="E7" s="72" t="inlineStr">
        <is>
          <t>Whole house</t>
        </is>
      </c>
      <c r="F7" s="72" t="inlineStr">
        <is>
          <t>GreenPlan Architects</t>
        </is>
      </c>
      <c r="G7" s="89" t="n">
        <v>21</v>
      </c>
      <c r="H7" s="89" t="n"/>
      <c r="I7" s="109" t="n"/>
      <c r="J7" s="126">
        <f>IF(OR(D7="",ProjStart=""),"",MAX(ProjStart,IF(I7&lt;&gt;"",I7,0),IF(H7="",0,IFERROR(INDEX($L$6:L6,MATCH(H7,$B$6:B6,0))+1,0))))</f>
        <v/>
      </c>
      <c r="K7" s="89" t="n"/>
      <c r="L7" s="126">
        <f>IF(J7="","",J7+MAX(1,G7)+IF(K7="",0,K7)-1)</f>
        <v/>
      </c>
      <c r="M7" s="72" t="inlineStr">
        <is>
          <t>Done</t>
        </is>
      </c>
      <c r="N7" s="109" t="n">
        <v>46101</v>
      </c>
      <c r="O7" s="127">
        <f>IF(D7="","",COUNTIF($H$7:$H$1006,B7))</f>
        <v/>
      </c>
      <c r="P7" s="78">
        <f>IF(D7="","",IF(AND(H7&lt;&gt;"",H7&gt;=B7),"⚠️ Predecessor must be above",IF(M7="Done","✓ Done",IF(Q7=3,"🔴 Late",IF(M7="In progress","In progress","")))))</f>
        <v/>
      </c>
      <c r="Q7" s="79">
        <f>IF(OR(D7="",L7=""),"",IF(M7="Done",2,IF(AsOf&gt;L7,3,1)))</f>
        <v/>
      </c>
      <c r="R7" s="79">
        <f>IF(OR(E7="",F7=""),0,IF(COUNTIFS($E$7:E7,E7,$F$7:F7,F7)=1,1,0))</f>
        <v/>
      </c>
      <c r="S7" s="79">
        <f>IF(R7=1,E7&amp;"|"&amp;SUMIFS($R$7:R7,$E$7:E7,E7),"")</f>
        <v/>
      </c>
      <c r="T7" s="112">
        <f>IF(Q7="","",IF(Q7=3,L7,IF(OR(M7="Not started",M7=""),J7,"")))</f>
        <v/>
      </c>
      <c r="U7" s="79">
        <f>IF(T7="","",IF(Q7=3,1,IF(T7="","",IF(T7&lt;AsOf,1,IF(T7&lt;=AsOf+AlertDays,2,IF(T7&lt;=AsOf+2*AlertDays,3,""))))))</f>
        <v/>
      </c>
      <c r="V7" s="79">
        <f>IF(U7="","",IF(Q7=3,"Late task: "&amp;D7,IF(T7&lt;AsOf,"Should have started: ","Starts soon: ")&amp;D7)&amp;IF(F7="",""," — "&amp;F7))</f>
        <v/>
      </c>
    </row>
    <row r="8" ht="20" customHeight="1">
      <c r="B8" s="125" t="n">
        <v>2</v>
      </c>
      <c r="C8" s="72" t="inlineStr">
        <is>
          <t>Pre-construction</t>
        </is>
      </c>
      <c r="D8" s="72" t="inlineStr">
        <is>
          <t>Building permit</t>
        </is>
      </c>
      <c r="E8" s="72" t="inlineStr">
        <is>
          <t>Whole house</t>
        </is>
      </c>
      <c r="F8" s="72" t="inlineStr">
        <is>
          <t>GreenPlan Architects</t>
        </is>
      </c>
      <c r="G8" s="89" t="n">
        <v>28</v>
      </c>
      <c r="H8" s="89" t="n">
        <v>1</v>
      </c>
      <c r="I8" s="109" t="n"/>
      <c r="J8" s="126">
        <f>IF(OR(D8="",ProjStart=""),"",MAX(ProjStart,IF(I8&lt;&gt;"",I8,0),IF(H8="",0,IFERROR(INDEX($L$6:L7,MATCH(H8,$B$6:B7,0))+1,0))))</f>
        <v/>
      </c>
      <c r="K8" s="89" t="n"/>
      <c r="L8" s="126">
        <f>IF(J8="","",J8+MAX(1,G8)+IF(K8="",0,K8)-1)</f>
        <v/>
      </c>
      <c r="M8" s="72" t="inlineStr">
        <is>
          <t>Done</t>
        </is>
      </c>
      <c r="N8" s="109" t="n">
        <v>46129</v>
      </c>
      <c r="O8" s="127">
        <f>IF(D8="","",COUNTIF($H$7:$H$1006,B8))</f>
        <v/>
      </c>
      <c r="P8" s="78">
        <f>IF(D8="","",IF(AND(H8&lt;&gt;"",H8&gt;=B8),"⚠️ Predecessor must be above",IF(M8="Done","✓ Done",IF(Q8=3,"🔴 Late",IF(M8="In progress","In progress","")))))</f>
        <v/>
      </c>
      <c r="Q8" s="79">
        <f>IF(OR(D8="",L8=""),"",IF(M8="Done",2,IF(AsOf&gt;L8,3,1)))</f>
        <v/>
      </c>
      <c r="R8" s="79">
        <f>IF(OR(E8="",F8=""),0,IF(COUNTIFS($E$7:E8,E8,$F$7:F8,F8)=1,1,0))</f>
        <v/>
      </c>
      <c r="S8" s="79">
        <f>IF(R8=1,E8&amp;"|"&amp;SUMIFS($R$7:R8,$E$7:E8,E8),"")</f>
        <v/>
      </c>
      <c r="T8" s="112">
        <f>IF(Q8="","",IF(Q8=3,L8,IF(OR(M8="Not started",M8=""),J8,"")))</f>
        <v/>
      </c>
      <c r="U8" s="79">
        <f>IF(T8="","",IF(Q8=3,1,IF(T8="","",IF(T8&lt;AsOf,1,IF(T8&lt;=AsOf+AlertDays,2,IF(T8&lt;=AsOf+2*AlertDays,3,""))))))</f>
        <v/>
      </c>
      <c r="V8" s="79">
        <f>IF(U8="","",IF(Q8=3,"Late task: "&amp;D8,IF(T8&lt;AsOf,"Should have started: ","Starts soon: ")&amp;D8)&amp;IF(F8="",""," — "&amp;F8))</f>
        <v/>
      </c>
    </row>
    <row r="9" ht="20" customHeight="1">
      <c r="B9" s="125" t="n">
        <v>3</v>
      </c>
      <c r="C9" s="72" t="inlineStr">
        <is>
          <t>Pre-construction</t>
        </is>
      </c>
      <c r="D9" s="72" t="inlineStr">
        <is>
          <t>Contractor selection</t>
        </is>
      </c>
      <c r="E9" s="72" t="inlineStr">
        <is>
          <t>Whole house</t>
        </is>
      </c>
      <c r="F9" s="72" t="n"/>
      <c r="G9" s="89" t="n">
        <v>14</v>
      </c>
      <c r="H9" s="89" t="n">
        <v>1</v>
      </c>
      <c r="I9" s="109" t="n"/>
      <c r="J9" s="126">
        <f>IF(OR(D9="",ProjStart=""),"",MAX(ProjStart,IF(I9&lt;&gt;"",I9,0),IF(H9="",0,IFERROR(INDEX($L$6:L8,MATCH(H9,$B$6:B8,0))+1,0))))</f>
        <v/>
      </c>
      <c r="K9" s="89" t="n"/>
      <c r="L9" s="126">
        <f>IF(J9="","",J9+MAX(1,G9)+IF(K9="",0,K9)-1)</f>
        <v/>
      </c>
      <c r="M9" s="72" t="inlineStr">
        <is>
          <t>Done</t>
        </is>
      </c>
      <c r="N9" s="109" t="n">
        <v>46115</v>
      </c>
      <c r="O9" s="127">
        <f>IF(D9="","",COUNTIF($H$7:$H$1006,B9))</f>
        <v/>
      </c>
      <c r="P9" s="78">
        <f>IF(D9="","",IF(AND(H9&lt;&gt;"",H9&gt;=B9),"⚠️ Predecessor must be above",IF(M9="Done","✓ Done",IF(Q9=3,"🔴 Late",IF(M9="In progress","In progress","")))))</f>
        <v/>
      </c>
      <c r="Q9" s="79">
        <f>IF(OR(D9="",L9=""),"",IF(M9="Done",2,IF(AsOf&gt;L9,3,1)))</f>
        <v/>
      </c>
      <c r="R9" s="79">
        <f>IF(OR(E9="",F9=""),0,IF(COUNTIFS($E$7:E9,E9,$F$7:F9,F9)=1,1,0))</f>
        <v/>
      </c>
      <c r="S9" s="79">
        <f>IF(R9=1,E9&amp;"|"&amp;SUMIFS($R$7:R9,$E$7:E9,E9),"")</f>
        <v/>
      </c>
      <c r="T9" s="112">
        <f>IF(Q9="","",IF(Q9=3,L9,IF(OR(M9="Not started",M9=""),J9,"")))</f>
        <v/>
      </c>
      <c r="U9" s="79">
        <f>IF(T9="","",IF(Q9=3,1,IF(T9="","",IF(T9&lt;AsOf,1,IF(T9&lt;=AsOf+AlertDays,2,IF(T9&lt;=AsOf+2*AlertDays,3,""))))))</f>
        <v/>
      </c>
      <c r="V9" s="79">
        <f>IF(U9="","",IF(Q9=3,"Late task: "&amp;D9,IF(T9&lt;AsOf,"Should have started: ","Starts soon: ")&amp;D9)&amp;IF(F9="",""," — "&amp;F9))</f>
        <v/>
      </c>
    </row>
    <row r="10" ht="20" customHeight="1">
      <c r="B10" s="125" t="n">
        <v>4</v>
      </c>
      <c r="C10" s="72" t="inlineStr">
        <is>
          <t>Pre-construction</t>
        </is>
      </c>
      <c r="D10" s="72" t="inlineStr">
        <is>
          <t>Order long-lead items</t>
        </is>
      </c>
      <c r="E10" s="72" t="inlineStr">
        <is>
          <t>Whole house</t>
        </is>
      </c>
      <c r="F10" s="72" t="n"/>
      <c r="G10" s="89" t="n">
        <v>7</v>
      </c>
      <c r="H10" s="89" t="n">
        <v>3</v>
      </c>
      <c r="I10" s="109" t="n"/>
      <c r="J10" s="126">
        <f>IF(OR(D10="",ProjStart=""),"",MAX(ProjStart,IF(I10&lt;&gt;"",I10,0),IF(H10="",0,IFERROR(INDEX($L$6:L9,MATCH(H10,$B$6:B9,0))+1,0))))</f>
        <v/>
      </c>
      <c r="K10" s="89" t="n"/>
      <c r="L10" s="126">
        <f>IF(J10="","",J10+MAX(1,G10)+IF(K10="",0,K10)-1)</f>
        <v/>
      </c>
      <c r="M10" s="72" t="inlineStr">
        <is>
          <t>Done</t>
        </is>
      </c>
      <c r="N10" s="109" t="n">
        <v>46122</v>
      </c>
      <c r="O10" s="127">
        <f>IF(D10="","",COUNTIF($H$7:$H$1006,B10))</f>
        <v/>
      </c>
      <c r="P10" s="78">
        <f>IF(D10="","",IF(AND(H10&lt;&gt;"",H10&gt;=B10),"⚠️ Predecessor must be above",IF(M10="Done","✓ Done",IF(Q10=3,"🔴 Late",IF(M10="In progress","In progress","")))))</f>
        <v/>
      </c>
      <c r="Q10" s="79">
        <f>IF(OR(D10="",L10=""),"",IF(M10="Done",2,IF(AsOf&gt;L10,3,1)))</f>
        <v/>
      </c>
      <c r="R10" s="79">
        <f>IF(OR(E10="",F10=""),0,IF(COUNTIFS($E$7:E10,E10,$F$7:F10,F10)=1,1,0))</f>
        <v/>
      </c>
      <c r="S10" s="79">
        <f>IF(R10=1,E10&amp;"|"&amp;SUMIFS($R$7:R10,$E$7:E10,E10),"")</f>
        <v/>
      </c>
      <c r="T10" s="112">
        <f>IF(Q10="","",IF(Q10=3,L10,IF(OR(M10="Not started",M10=""),J10,"")))</f>
        <v/>
      </c>
      <c r="U10" s="79">
        <f>IF(T10="","",IF(Q10=3,1,IF(T10="","",IF(T10&lt;AsOf,1,IF(T10&lt;=AsOf+AlertDays,2,IF(T10&lt;=AsOf+2*AlertDays,3,""))))))</f>
        <v/>
      </c>
      <c r="V10" s="79">
        <f>IF(U10="","",IF(Q10=3,"Late task: "&amp;D10,IF(T10&lt;AsOf,"Should have started: ","Starts soon: ")&amp;D10)&amp;IF(F10="",""," — "&amp;F10))</f>
        <v/>
      </c>
    </row>
    <row r="11" ht="20" customHeight="1">
      <c r="B11" s="125" t="n">
        <v>5</v>
      </c>
      <c r="C11" s="72" t="inlineStr">
        <is>
          <t>Construction</t>
        </is>
      </c>
      <c r="D11" s="72" t="inlineStr">
        <is>
          <t>Demolition &amp; strip-out</t>
        </is>
      </c>
      <c r="E11" s="72" t="inlineStr">
        <is>
          <t>Whole house</t>
        </is>
      </c>
      <c r="F11" s="72" t="inlineStr">
        <is>
          <t>Hansen Demolition</t>
        </is>
      </c>
      <c r="G11" s="89" t="n">
        <v>10</v>
      </c>
      <c r="H11" s="89" t="n">
        <v>2</v>
      </c>
      <c r="I11" s="109" t="n"/>
      <c r="J11" s="126">
        <f>IF(OR(D11="",ProjStart=""),"",MAX(ProjStart,IF(I11&lt;&gt;"",I11,0),IF(H11="",0,IFERROR(INDEX($L$6:L10,MATCH(H11,$B$6:B10,0))+1,0))))</f>
        <v/>
      </c>
      <c r="K11" s="89" t="n"/>
      <c r="L11" s="126">
        <f>IF(J11="","",J11+MAX(1,G11)+IF(K11="",0,K11)-1)</f>
        <v/>
      </c>
      <c r="M11" s="72" t="inlineStr">
        <is>
          <t>Done</t>
        </is>
      </c>
      <c r="N11" s="109" t="n">
        <v>46141</v>
      </c>
      <c r="O11" s="127">
        <f>IF(D11="","",COUNTIF($H$7:$H$1006,B11))</f>
        <v/>
      </c>
      <c r="P11" s="78">
        <f>IF(D11="","",IF(AND(H11&lt;&gt;"",H11&gt;=B11),"⚠️ Predecessor must be above",IF(M11="Done","✓ Done",IF(Q11=3,"🔴 Late",IF(M11="In progress","In progress","")))))</f>
        <v/>
      </c>
      <c r="Q11" s="79">
        <f>IF(OR(D11="",L11=""),"",IF(M11="Done",2,IF(AsOf&gt;L11,3,1)))</f>
        <v/>
      </c>
      <c r="R11" s="79">
        <f>IF(OR(E11="",F11=""),0,IF(COUNTIFS($E$7:E11,E11,$F$7:F11,F11)=1,1,0))</f>
        <v/>
      </c>
      <c r="S11" s="79">
        <f>IF(R11=1,E11&amp;"|"&amp;SUMIFS($R$7:R11,$E$7:E11,E11),"")</f>
        <v/>
      </c>
      <c r="T11" s="112">
        <f>IF(Q11="","",IF(Q11=3,L11,IF(OR(M11="Not started",M11=""),J11,"")))</f>
        <v/>
      </c>
      <c r="U11" s="79">
        <f>IF(T11="","",IF(Q11=3,1,IF(T11="","",IF(T11&lt;AsOf,1,IF(T11&lt;=AsOf+AlertDays,2,IF(T11&lt;=AsOf+2*AlertDays,3,""))))))</f>
        <v/>
      </c>
      <c r="V11" s="79">
        <f>IF(U11="","",IF(Q11=3,"Late task: "&amp;D11,IF(T11&lt;AsOf,"Should have started: ","Starts soon: ")&amp;D11)&amp;IF(F11="",""," — "&amp;F11))</f>
        <v/>
      </c>
    </row>
    <row r="12" ht="20" customHeight="1">
      <c r="B12" s="125" t="n">
        <v>6</v>
      </c>
      <c r="C12" s="72" t="inlineStr">
        <is>
          <t>Construction</t>
        </is>
      </c>
      <c r="D12" s="72" t="inlineStr">
        <is>
          <t>Structural beam &amp; walls</t>
        </is>
      </c>
      <c r="E12" s="72" t="inlineStr">
        <is>
          <t>Living room</t>
        </is>
      </c>
      <c r="F12" s="72" t="inlineStr">
        <is>
          <t>Solid Structures Ltd</t>
        </is>
      </c>
      <c r="G12" s="89" t="n">
        <v>12</v>
      </c>
      <c r="H12" s="89" t="n">
        <v>5</v>
      </c>
      <c r="I12" s="109" t="n"/>
      <c r="J12" s="126">
        <f>IF(OR(D12="",ProjStart=""),"",MAX(ProjStart,IF(I12&lt;&gt;"",I12,0),IF(H12="",0,IFERROR(INDEX($L$6:L11,MATCH(H12,$B$6:B11,0))+1,0))))</f>
        <v/>
      </c>
      <c r="K12" s="89" t="n"/>
      <c r="L12" s="126">
        <f>IF(J12="","",J12+MAX(1,G12)+IF(K12="",0,K12)-1)</f>
        <v/>
      </c>
      <c r="M12" s="72" t="inlineStr">
        <is>
          <t>Done</t>
        </is>
      </c>
      <c r="N12" s="109" t="n">
        <v>46153</v>
      </c>
      <c r="O12" s="127">
        <f>IF(D12="","",COUNTIF($H$7:$H$1006,B12))</f>
        <v/>
      </c>
      <c r="P12" s="78">
        <f>IF(D12="","",IF(AND(H12&lt;&gt;"",H12&gt;=B12),"⚠️ Predecessor must be above",IF(M12="Done","✓ Done",IF(Q12=3,"🔴 Late",IF(M12="In progress","In progress","")))))</f>
        <v/>
      </c>
      <c r="Q12" s="79">
        <f>IF(OR(D12="",L12=""),"",IF(M12="Done",2,IF(AsOf&gt;L12,3,1)))</f>
        <v/>
      </c>
      <c r="R12" s="79">
        <f>IF(OR(E12="",F12=""),0,IF(COUNTIFS($E$7:E12,E12,$F$7:F12,F12)=1,1,0))</f>
        <v/>
      </c>
      <c r="S12" s="79">
        <f>IF(R12=1,E12&amp;"|"&amp;SUMIFS($R$7:R12,$E$7:E12,E12),"")</f>
        <v/>
      </c>
      <c r="T12" s="112">
        <f>IF(Q12="","",IF(Q12=3,L12,IF(OR(M12="Not started",M12=""),J12,"")))</f>
        <v/>
      </c>
      <c r="U12" s="79">
        <f>IF(T12="","",IF(Q12=3,1,IF(T12="","",IF(T12&lt;AsOf,1,IF(T12&lt;=AsOf+AlertDays,2,IF(T12&lt;=AsOf+2*AlertDays,3,""))))))</f>
        <v/>
      </c>
      <c r="V12" s="79">
        <f>IF(U12="","",IF(Q12=3,"Late task: "&amp;D12,IF(T12&lt;AsOf,"Should have started: ","Starts soon: ")&amp;D12)&amp;IF(F12="",""," — "&amp;F12))</f>
        <v/>
      </c>
    </row>
    <row r="13" ht="20" customHeight="1">
      <c r="B13" s="125" t="n">
        <v>7</v>
      </c>
      <c r="C13" s="72" t="inlineStr">
        <is>
          <t>Construction</t>
        </is>
      </c>
      <c r="D13" s="72" t="inlineStr">
        <is>
          <t>Windows &amp; doors</t>
        </is>
      </c>
      <c r="E13" s="72" t="inlineStr">
        <is>
          <t>Whole house</t>
        </is>
      </c>
      <c r="F13" s="72" t="inlineStr">
        <is>
          <t>ClearView Windows</t>
        </is>
      </c>
      <c r="G13" s="89" t="n">
        <v>8</v>
      </c>
      <c r="H13" s="89" t="n">
        <v>5</v>
      </c>
      <c r="I13" s="109" t="n"/>
      <c r="J13" s="126">
        <f>IF(OR(D13="",ProjStart=""),"",MAX(ProjStart,IF(I13&lt;&gt;"",I13,0),IF(H13="",0,IFERROR(INDEX($L$6:L12,MATCH(H13,$B$6:B12,0))+1,0))))</f>
        <v/>
      </c>
      <c r="K13" s="89" t="n"/>
      <c r="L13" s="126">
        <f>IF(J13="","",J13+MAX(1,G13)+IF(K13="",0,K13)-1)</f>
        <v/>
      </c>
      <c r="M13" s="72" t="inlineStr">
        <is>
          <t>Done</t>
        </is>
      </c>
      <c r="N13" s="109" t="n">
        <v>46150</v>
      </c>
      <c r="O13" s="127">
        <f>IF(D13="","",COUNTIF($H$7:$H$1006,B13))</f>
        <v/>
      </c>
      <c r="P13" s="78">
        <f>IF(D13="","",IF(AND(H13&lt;&gt;"",H13&gt;=B13),"⚠️ Predecessor must be above",IF(M13="Done","✓ Done",IF(Q13=3,"🔴 Late",IF(M13="In progress","In progress","")))))</f>
        <v/>
      </c>
      <c r="Q13" s="79">
        <f>IF(OR(D13="",L13=""),"",IF(M13="Done",2,IF(AsOf&gt;L13,3,1)))</f>
        <v/>
      </c>
      <c r="R13" s="79">
        <f>IF(OR(E13="",F13=""),0,IF(COUNTIFS($E$7:E13,E13,$F$7:F13,F13)=1,1,0))</f>
        <v/>
      </c>
      <c r="S13" s="79">
        <f>IF(R13=1,E13&amp;"|"&amp;SUMIFS($R$7:R13,$E$7:E13,E13),"")</f>
        <v/>
      </c>
      <c r="T13" s="112">
        <f>IF(Q13="","",IF(Q13=3,L13,IF(OR(M13="Not started",M13=""),J13,"")))</f>
        <v/>
      </c>
      <c r="U13" s="79">
        <f>IF(T13="","",IF(Q13=3,1,IF(T13="","",IF(T13&lt;AsOf,1,IF(T13&lt;=AsOf+AlertDays,2,IF(T13&lt;=AsOf+2*AlertDays,3,""))))))</f>
        <v/>
      </c>
      <c r="V13" s="79">
        <f>IF(U13="","",IF(Q13=3,"Late task: "&amp;D13,IF(T13&lt;AsOf,"Should have started: ","Starts soon: ")&amp;D13)&amp;IF(F13="",""," — "&amp;F13))</f>
        <v/>
      </c>
    </row>
    <row r="14" ht="20" customHeight="1">
      <c r="B14" s="125" t="n">
        <v>8</v>
      </c>
      <c r="C14" s="72" t="inlineStr">
        <is>
          <t>Construction</t>
        </is>
      </c>
      <c r="D14" s="72" t="inlineStr">
        <is>
          <t>Plumbing rough-in</t>
        </is>
      </c>
      <c r="E14" s="72" t="inlineStr">
        <is>
          <t>Bathroom 1</t>
        </is>
      </c>
      <c r="F14" s="72" t="inlineStr">
        <is>
          <t>FlowRight Plumbing</t>
        </is>
      </c>
      <c r="G14" s="89" t="n">
        <v>14</v>
      </c>
      <c r="H14" s="89" t="n">
        <v>6</v>
      </c>
      <c r="I14" s="109" t="n"/>
      <c r="J14" s="126">
        <f>IF(OR(D14="",ProjStart=""),"",MAX(ProjStart,IF(I14&lt;&gt;"",I14,0),IF(H14="",0,IFERROR(INDEX($L$6:L13,MATCH(H14,$B$6:B13,0))+1,0))))</f>
        <v/>
      </c>
      <c r="K14" s="89" t="n">
        <v>11</v>
      </c>
      <c r="L14" s="126">
        <f>IF(J14="","",J14+MAX(1,G14)+IF(K14="",0,K14)-1)</f>
        <v/>
      </c>
      <c r="M14" s="72" t="inlineStr">
        <is>
          <t>In progress</t>
        </is>
      </c>
      <c r="N14" s="109" t="n"/>
      <c r="O14" s="127">
        <f>IF(D14="","",COUNTIF($H$7:$H$1006,B14))</f>
        <v/>
      </c>
      <c r="P14" s="78">
        <f>IF(D14="","",IF(AND(H14&lt;&gt;"",H14&gt;=B14),"⚠️ Predecessor must be above",IF(M14="Done","✓ Done",IF(Q14=3,"🔴 Late",IF(M14="In progress","In progress","")))))</f>
        <v/>
      </c>
      <c r="Q14" s="79">
        <f>IF(OR(D14="",L14=""),"",IF(M14="Done",2,IF(AsOf&gt;L14,3,1)))</f>
        <v/>
      </c>
      <c r="R14" s="79">
        <f>IF(OR(E14="",F14=""),0,IF(COUNTIFS($E$7:E14,E14,$F$7:F14,F14)=1,1,0))</f>
        <v/>
      </c>
      <c r="S14" s="79">
        <f>IF(R14=1,E14&amp;"|"&amp;SUMIFS($R$7:R14,$E$7:E14,E14),"")</f>
        <v/>
      </c>
      <c r="T14" s="112">
        <f>IF(Q14="","",IF(Q14=3,L14,IF(OR(M14="Not started",M14=""),J14,"")))</f>
        <v/>
      </c>
      <c r="U14" s="79">
        <f>IF(T14="","",IF(Q14=3,1,IF(T14="","",IF(T14&lt;AsOf,1,IF(T14&lt;=AsOf+AlertDays,2,IF(T14&lt;=AsOf+2*AlertDays,3,""))))))</f>
        <v/>
      </c>
      <c r="V14" s="79">
        <f>IF(U14="","",IF(Q14=3,"Late task: "&amp;D14,IF(T14&lt;AsOf,"Should have started: ","Starts soon: ")&amp;D14)&amp;IF(F14="",""," — "&amp;F14))</f>
        <v/>
      </c>
    </row>
    <row r="15" ht="20" customHeight="1">
      <c r="B15" s="125" t="n">
        <v>9</v>
      </c>
      <c r="C15" s="72" t="inlineStr">
        <is>
          <t>Construction</t>
        </is>
      </c>
      <c r="D15" s="72" t="inlineStr">
        <is>
          <t>Electrical rough-in</t>
        </is>
      </c>
      <c r="E15" s="72" t="inlineStr">
        <is>
          <t>Whole house</t>
        </is>
      </c>
      <c r="F15" s="72" t="inlineStr">
        <is>
          <t>Bright Spark Electric</t>
        </is>
      </c>
      <c r="G15" s="89" t="n">
        <v>28</v>
      </c>
      <c r="H15" s="89" t="n">
        <v>6</v>
      </c>
      <c r="I15" s="109" t="n"/>
      <c r="J15" s="126">
        <f>IF(OR(D15="",ProjStart=""),"",MAX(ProjStart,IF(I15&lt;&gt;"",I15,0),IF(H15="",0,IFERROR(INDEX($L$6:L14,MATCH(H15,$B$6:B14,0))+1,0))))</f>
        <v/>
      </c>
      <c r="K15" s="89" t="n">
        <v>7</v>
      </c>
      <c r="L15" s="126">
        <f>IF(J15="","",J15+MAX(1,G15)+IF(K15="",0,K15)-1)</f>
        <v/>
      </c>
      <c r="M15" s="72" t="inlineStr">
        <is>
          <t>In progress</t>
        </is>
      </c>
      <c r="N15" s="109" t="n"/>
      <c r="O15" s="127">
        <f>IF(D15="","",COUNTIF($H$7:$H$1006,B15))</f>
        <v/>
      </c>
      <c r="P15" s="78">
        <f>IF(D15="","",IF(AND(H15&lt;&gt;"",H15&gt;=B15),"⚠️ Predecessor must be above",IF(M15="Done","✓ Done",IF(Q15=3,"🔴 Late",IF(M15="In progress","In progress","")))))</f>
        <v/>
      </c>
      <c r="Q15" s="79">
        <f>IF(OR(D15="",L15=""),"",IF(M15="Done",2,IF(AsOf&gt;L15,3,1)))</f>
        <v/>
      </c>
      <c r="R15" s="79">
        <f>IF(OR(E15="",F15=""),0,IF(COUNTIFS($E$7:E15,E15,$F$7:F15,F15)=1,1,0))</f>
        <v/>
      </c>
      <c r="S15" s="79">
        <f>IF(R15=1,E15&amp;"|"&amp;SUMIFS($R$7:R15,$E$7:E15,E15),"")</f>
        <v/>
      </c>
      <c r="T15" s="112">
        <f>IF(Q15="","",IF(Q15=3,L15,IF(OR(M15="Not started",M15=""),J15,"")))</f>
        <v/>
      </c>
      <c r="U15" s="79">
        <f>IF(T15="","",IF(Q15=3,1,IF(T15="","",IF(T15&lt;AsOf,1,IF(T15&lt;=AsOf+AlertDays,2,IF(T15&lt;=AsOf+2*AlertDays,3,""))))))</f>
        <v/>
      </c>
      <c r="V15" s="79">
        <f>IF(U15="","",IF(Q15=3,"Late task: "&amp;D15,IF(T15&lt;AsOf,"Should have started: ","Starts soon: ")&amp;D15)&amp;IF(F15="",""," — "&amp;F15))</f>
        <v/>
      </c>
    </row>
    <row r="16" ht="20" customHeight="1">
      <c r="B16" s="125" t="n">
        <v>10</v>
      </c>
      <c r="C16" s="72" t="inlineStr">
        <is>
          <t>Construction</t>
        </is>
      </c>
      <c r="D16" s="72" t="inlineStr">
        <is>
          <t>Heat pump &amp; ventilation</t>
        </is>
      </c>
      <c r="E16" s="72" t="inlineStr">
        <is>
          <t>Whole house</t>
        </is>
      </c>
      <c r="F16" s="72" t="inlineStr">
        <is>
          <t>ClimaHeat HVAC</t>
        </is>
      </c>
      <c r="G16" s="89" t="n">
        <v>10</v>
      </c>
      <c r="H16" s="89" t="n">
        <v>8</v>
      </c>
      <c r="I16" s="109" t="n"/>
      <c r="J16" s="126">
        <f>IF(OR(D16="",ProjStart=""),"",MAX(ProjStart,IF(I16&lt;&gt;"",I16,0),IF(H16="",0,IFERROR(INDEX($L$6:L15,MATCH(H16,$B$6:B15,0))+1,0))))</f>
        <v/>
      </c>
      <c r="K16" s="89" t="n"/>
      <c r="L16" s="126">
        <f>IF(J16="","",J16+MAX(1,G16)+IF(K16="",0,K16)-1)</f>
        <v/>
      </c>
      <c r="M16" s="72" t="inlineStr">
        <is>
          <t>Not started</t>
        </is>
      </c>
      <c r="N16" s="109" t="n"/>
      <c r="O16" s="127">
        <f>IF(D16="","",COUNTIF($H$7:$H$1006,B16))</f>
        <v/>
      </c>
      <c r="P16" s="78">
        <f>IF(D16="","",IF(AND(H16&lt;&gt;"",H16&gt;=B16),"⚠️ Predecessor must be above",IF(M16="Done","✓ Done",IF(Q16=3,"🔴 Late",IF(M16="In progress","In progress","")))))</f>
        <v/>
      </c>
      <c r="Q16" s="79">
        <f>IF(OR(D16="",L16=""),"",IF(M16="Done",2,IF(AsOf&gt;L16,3,1)))</f>
        <v/>
      </c>
      <c r="R16" s="79">
        <f>IF(OR(E16="",F16=""),0,IF(COUNTIFS($E$7:E16,E16,$F$7:F16,F16)=1,1,0))</f>
        <v/>
      </c>
      <c r="S16" s="79">
        <f>IF(R16=1,E16&amp;"|"&amp;SUMIFS($R$7:R16,$E$7:E16,E16),"")</f>
        <v/>
      </c>
      <c r="T16" s="112">
        <f>IF(Q16="","",IF(Q16=3,L16,IF(OR(M16="Not started",M16=""),J16,"")))</f>
        <v/>
      </c>
      <c r="U16" s="79">
        <f>IF(T16="","",IF(Q16=3,1,IF(T16="","",IF(T16&lt;AsOf,1,IF(T16&lt;=AsOf+AlertDays,2,IF(T16&lt;=AsOf+2*AlertDays,3,""))))))</f>
        <v/>
      </c>
      <c r="V16" s="79">
        <f>IF(U16="","",IF(Q16=3,"Late task: "&amp;D16,IF(T16&lt;AsOf,"Should have started: ","Starts soon: ")&amp;D16)&amp;IF(F16="",""," — "&amp;F16))</f>
        <v/>
      </c>
    </row>
    <row r="17" ht="20" customHeight="1">
      <c r="B17" s="125" t="n">
        <v>11</v>
      </c>
      <c r="C17" s="72" t="inlineStr">
        <is>
          <t>Construction</t>
        </is>
      </c>
      <c r="D17" s="72" t="inlineStr">
        <is>
          <t>Rough-in inspection</t>
        </is>
      </c>
      <c r="E17" s="72" t="inlineStr">
        <is>
          <t>Whole house</t>
        </is>
      </c>
      <c r="F17" s="72" t="n"/>
      <c r="G17" s="89" t="n">
        <v>2</v>
      </c>
      <c r="H17" s="89" t="n">
        <v>9</v>
      </c>
      <c r="I17" s="109" t="n"/>
      <c r="J17" s="126">
        <f>IF(OR(D17="",ProjStart=""),"",MAX(ProjStart,IF(I17&lt;&gt;"",I17,0),IF(H17="",0,IFERROR(INDEX($L$6:L16,MATCH(H17,$B$6:B16,0))+1,0))))</f>
        <v/>
      </c>
      <c r="K17" s="89" t="n"/>
      <c r="L17" s="126">
        <f>IF(J17="","",J17+MAX(1,G17)+IF(K17="",0,K17)-1)</f>
        <v/>
      </c>
      <c r="M17" s="72" t="inlineStr">
        <is>
          <t>Not started</t>
        </is>
      </c>
      <c r="N17" s="109" t="n"/>
      <c r="O17" s="127">
        <f>IF(D17="","",COUNTIF($H$7:$H$1006,B17))</f>
        <v/>
      </c>
      <c r="P17" s="78">
        <f>IF(D17="","",IF(AND(H17&lt;&gt;"",H17&gt;=B17),"⚠️ Predecessor must be above",IF(M17="Done","✓ Done",IF(Q17=3,"🔴 Late",IF(M17="In progress","In progress","")))))</f>
        <v/>
      </c>
      <c r="Q17" s="79">
        <f>IF(OR(D17="",L17=""),"",IF(M17="Done",2,IF(AsOf&gt;L17,3,1)))</f>
        <v/>
      </c>
      <c r="R17" s="79">
        <f>IF(OR(E17="",F17=""),0,IF(COUNTIFS($E$7:E17,E17,$F$7:F17,F17)=1,1,0))</f>
        <v/>
      </c>
      <c r="S17" s="79">
        <f>IF(R17=1,E17&amp;"|"&amp;SUMIFS($R$7:R17,$E$7:E17,E17),"")</f>
        <v/>
      </c>
      <c r="T17" s="112">
        <f>IF(Q17="","",IF(Q17=3,L17,IF(OR(M17="Not started",M17=""),J17,"")))</f>
        <v/>
      </c>
      <c r="U17" s="79">
        <f>IF(T17="","",IF(Q17=3,1,IF(T17="","",IF(T17&lt;AsOf,1,IF(T17&lt;=AsOf+AlertDays,2,IF(T17&lt;=AsOf+2*AlertDays,3,""))))))</f>
        <v/>
      </c>
      <c r="V17" s="79">
        <f>IF(U17="","",IF(Q17=3,"Late task: "&amp;D17,IF(T17&lt;AsOf,"Should have started: ","Starts soon: ")&amp;D17)&amp;IF(F17="",""," — "&amp;F17))</f>
        <v/>
      </c>
    </row>
    <row r="18" ht="20" customHeight="1">
      <c r="B18" s="125" t="n">
        <v>12</v>
      </c>
      <c r="C18" s="72" t="inlineStr">
        <is>
          <t>Construction</t>
        </is>
      </c>
      <c r="D18" s="72" t="inlineStr">
        <is>
          <t>Insulation &amp; drywall</t>
        </is>
      </c>
      <c r="E18" s="72" t="inlineStr">
        <is>
          <t>Whole house</t>
        </is>
      </c>
      <c r="F18" s="72" t="inlineStr">
        <is>
          <t>Solid Structures Ltd</t>
        </is>
      </c>
      <c r="G18" s="89" t="n">
        <v>14</v>
      </c>
      <c r="H18" s="89" t="n">
        <v>11</v>
      </c>
      <c r="I18" s="109" t="n"/>
      <c r="J18" s="126">
        <f>IF(OR(D18="",ProjStart=""),"",MAX(ProjStart,IF(I18&lt;&gt;"",I18,0),IF(H18="",0,IFERROR(INDEX($L$6:L17,MATCH(H18,$B$6:B17,0))+1,0))))</f>
        <v/>
      </c>
      <c r="K18" s="89" t="n"/>
      <c r="L18" s="126">
        <f>IF(J18="","",J18+MAX(1,G18)+IF(K18="",0,K18)-1)</f>
        <v/>
      </c>
      <c r="M18" s="72" t="inlineStr">
        <is>
          <t>Not started</t>
        </is>
      </c>
      <c r="N18" s="109" t="n"/>
      <c r="O18" s="127">
        <f>IF(D18="","",COUNTIF($H$7:$H$1006,B18))</f>
        <v/>
      </c>
      <c r="P18" s="78">
        <f>IF(D18="","",IF(AND(H18&lt;&gt;"",H18&gt;=B18),"⚠️ Predecessor must be above",IF(M18="Done","✓ Done",IF(Q18=3,"🔴 Late",IF(M18="In progress","In progress","")))))</f>
        <v/>
      </c>
      <c r="Q18" s="79">
        <f>IF(OR(D18="",L18=""),"",IF(M18="Done",2,IF(AsOf&gt;L18,3,1)))</f>
        <v/>
      </c>
      <c r="R18" s="79">
        <f>IF(OR(E18="",F18=""),0,IF(COUNTIFS($E$7:E18,E18,$F$7:F18,F18)=1,1,0))</f>
        <v/>
      </c>
      <c r="S18" s="79">
        <f>IF(R18=1,E18&amp;"|"&amp;SUMIFS($R$7:R18,$E$7:E18,E18),"")</f>
        <v/>
      </c>
      <c r="T18" s="112">
        <f>IF(Q18="","",IF(Q18=3,L18,IF(OR(M18="Not started",M18=""),J18,"")))</f>
        <v/>
      </c>
      <c r="U18" s="79">
        <f>IF(T18="","",IF(Q18=3,1,IF(T18="","",IF(T18&lt;AsOf,1,IF(T18&lt;=AsOf+AlertDays,2,IF(T18&lt;=AsOf+2*AlertDays,3,""))))))</f>
        <v/>
      </c>
      <c r="V18" s="79">
        <f>IF(U18="","",IF(Q18=3,"Late task: "&amp;D18,IF(T18&lt;AsOf,"Should have started: ","Starts soon: ")&amp;D18)&amp;IF(F18="",""," — "&amp;F18))</f>
        <v/>
      </c>
    </row>
    <row r="19" ht="20" customHeight="1">
      <c r="B19" s="125" t="n">
        <v>13</v>
      </c>
      <c r="C19" s="72" t="inlineStr">
        <is>
          <t>Construction</t>
        </is>
      </c>
      <c r="D19" s="72" t="inlineStr">
        <is>
          <t>Flooring</t>
        </is>
      </c>
      <c r="E19" s="72" t="inlineStr">
        <is>
          <t>Living room</t>
        </is>
      </c>
      <c r="F19" s="72" t="inlineStr">
        <is>
          <t>Oak &amp; Plank Flooring</t>
        </is>
      </c>
      <c r="G19" s="89" t="n">
        <v>10</v>
      </c>
      <c r="H19" s="89" t="n">
        <v>12</v>
      </c>
      <c r="I19" s="109" t="n"/>
      <c r="J19" s="126">
        <f>IF(OR(D19="",ProjStart=""),"",MAX(ProjStart,IF(I19&lt;&gt;"",I19,0),IF(H19="",0,IFERROR(INDEX($L$6:L18,MATCH(H19,$B$6:B18,0))+1,0))))</f>
        <v/>
      </c>
      <c r="K19" s="89" t="n"/>
      <c r="L19" s="126">
        <f>IF(J19="","",J19+MAX(1,G19)+IF(K19="",0,K19)-1)</f>
        <v/>
      </c>
      <c r="M19" s="72" t="inlineStr">
        <is>
          <t>Not started</t>
        </is>
      </c>
      <c r="N19" s="109" t="n"/>
      <c r="O19" s="127">
        <f>IF(D19="","",COUNTIF($H$7:$H$1006,B19))</f>
        <v/>
      </c>
      <c r="P19" s="78">
        <f>IF(D19="","",IF(AND(H19&lt;&gt;"",H19&gt;=B19),"⚠️ Predecessor must be above",IF(M19="Done","✓ Done",IF(Q19=3,"🔴 Late",IF(M19="In progress","In progress","")))))</f>
        <v/>
      </c>
      <c r="Q19" s="79">
        <f>IF(OR(D19="",L19=""),"",IF(M19="Done",2,IF(AsOf&gt;L19,3,1)))</f>
        <v/>
      </c>
      <c r="R19" s="79">
        <f>IF(OR(E19="",F19=""),0,IF(COUNTIFS($E$7:E19,E19,$F$7:F19,F19)=1,1,0))</f>
        <v/>
      </c>
      <c r="S19" s="79">
        <f>IF(R19=1,E19&amp;"|"&amp;SUMIFS($R$7:R19,$E$7:E19,E19),"")</f>
        <v/>
      </c>
      <c r="T19" s="112">
        <f>IF(Q19="","",IF(Q19=3,L19,IF(OR(M19="Not started",M19=""),J19,"")))</f>
        <v/>
      </c>
      <c r="U19" s="79">
        <f>IF(T19="","",IF(Q19=3,1,IF(T19="","",IF(T19&lt;AsOf,1,IF(T19&lt;=AsOf+AlertDays,2,IF(T19&lt;=AsOf+2*AlertDays,3,""))))))</f>
        <v/>
      </c>
      <c r="V19" s="79">
        <f>IF(U19="","",IF(Q19=3,"Late task: "&amp;D19,IF(T19&lt;AsOf,"Should have started: ","Starts soon: ")&amp;D19)&amp;IF(F19="",""," — "&amp;F19))</f>
        <v/>
      </c>
    </row>
    <row r="20" ht="20" customHeight="1">
      <c r="B20" s="125" t="n">
        <v>14</v>
      </c>
      <c r="C20" s="72" t="inlineStr">
        <is>
          <t>Construction</t>
        </is>
      </c>
      <c r="D20" s="72" t="inlineStr">
        <is>
          <t>Kitchen installation</t>
        </is>
      </c>
      <c r="E20" s="72" t="inlineStr">
        <is>
          <t>Kitchen</t>
        </is>
      </c>
      <c r="F20" s="72" t="inlineStr">
        <is>
          <t>Nordic Kitchens</t>
        </is>
      </c>
      <c r="G20" s="89" t="n">
        <v>12</v>
      </c>
      <c r="H20" s="89" t="n">
        <v>12</v>
      </c>
      <c r="I20" s="109" t="n"/>
      <c r="J20" s="126">
        <f>IF(OR(D20="",ProjStart=""),"",MAX(ProjStart,IF(I20&lt;&gt;"",I20,0),IF(H20="",0,IFERROR(INDEX($L$6:L19,MATCH(H20,$B$6:B19,0))+1,0))))</f>
        <v/>
      </c>
      <c r="K20" s="89" t="n"/>
      <c r="L20" s="126">
        <f>IF(J20="","",J20+MAX(1,G20)+IF(K20="",0,K20)-1)</f>
        <v/>
      </c>
      <c r="M20" s="72" t="inlineStr">
        <is>
          <t>Not started</t>
        </is>
      </c>
      <c r="N20" s="109" t="n"/>
      <c r="O20" s="127">
        <f>IF(D20="","",COUNTIF($H$7:$H$1006,B20))</f>
        <v/>
      </c>
      <c r="P20" s="78">
        <f>IF(D20="","",IF(AND(H20&lt;&gt;"",H20&gt;=B20),"⚠️ Predecessor must be above",IF(M20="Done","✓ Done",IF(Q20=3,"🔴 Late",IF(M20="In progress","In progress","")))))</f>
        <v/>
      </c>
      <c r="Q20" s="79">
        <f>IF(OR(D20="",L20=""),"",IF(M20="Done",2,IF(AsOf&gt;L20,3,1)))</f>
        <v/>
      </c>
      <c r="R20" s="79">
        <f>IF(OR(E20="",F20=""),0,IF(COUNTIFS($E$7:E20,E20,$F$7:F20,F20)=1,1,0))</f>
        <v/>
      </c>
      <c r="S20" s="79">
        <f>IF(R20=1,E20&amp;"|"&amp;SUMIFS($R$7:R20,$E$7:E20,E20),"")</f>
        <v/>
      </c>
      <c r="T20" s="112">
        <f>IF(Q20="","",IF(Q20=3,L20,IF(OR(M20="Not started",M20=""),J20,"")))</f>
        <v/>
      </c>
      <c r="U20" s="79">
        <f>IF(T20="","",IF(Q20=3,1,IF(T20="","",IF(T20&lt;AsOf,1,IF(T20&lt;=AsOf+AlertDays,2,IF(T20&lt;=AsOf+2*AlertDays,3,""))))))</f>
        <v/>
      </c>
      <c r="V20" s="79">
        <f>IF(U20="","",IF(Q20=3,"Late task: "&amp;D20,IF(T20&lt;AsOf,"Should have started: ","Starts soon: ")&amp;D20)&amp;IF(F20="",""," — "&amp;F20))</f>
        <v/>
      </c>
    </row>
    <row r="21" ht="20" customHeight="1">
      <c r="B21" s="125" t="n">
        <v>15</v>
      </c>
      <c r="C21" s="72" t="inlineStr">
        <is>
          <t>Construction</t>
        </is>
      </c>
      <c r="D21" s="72" t="inlineStr">
        <is>
          <t>Bathroom 1 fit-out</t>
        </is>
      </c>
      <c r="E21" s="72" t="inlineStr">
        <is>
          <t>Bathroom 1</t>
        </is>
      </c>
      <c r="F21" s="72" t="inlineStr">
        <is>
          <t>Aqua Bath Studio</t>
        </is>
      </c>
      <c r="G21" s="89" t="n">
        <v>15</v>
      </c>
      <c r="H21" s="89" t="n">
        <v>12</v>
      </c>
      <c r="I21" s="109" t="n"/>
      <c r="J21" s="126">
        <f>IF(OR(D21="",ProjStart=""),"",MAX(ProjStart,IF(I21&lt;&gt;"",I21,0),IF(H21="",0,IFERROR(INDEX($L$6:L20,MATCH(H21,$B$6:B20,0))+1,0))))</f>
        <v/>
      </c>
      <c r="K21" s="89" t="n"/>
      <c r="L21" s="126">
        <f>IF(J21="","",J21+MAX(1,G21)+IF(K21="",0,K21)-1)</f>
        <v/>
      </c>
      <c r="M21" s="72" t="inlineStr">
        <is>
          <t>Not started</t>
        </is>
      </c>
      <c r="N21" s="109" t="n"/>
      <c r="O21" s="127">
        <f>IF(D21="","",COUNTIF($H$7:$H$1006,B21))</f>
        <v/>
      </c>
      <c r="P21" s="78">
        <f>IF(D21="","",IF(AND(H21&lt;&gt;"",H21&gt;=B21),"⚠️ Predecessor must be above",IF(M21="Done","✓ Done",IF(Q21=3,"🔴 Late",IF(M21="In progress","In progress","")))))</f>
        <v/>
      </c>
      <c r="Q21" s="79">
        <f>IF(OR(D21="",L21=""),"",IF(M21="Done",2,IF(AsOf&gt;L21,3,1)))</f>
        <v/>
      </c>
      <c r="R21" s="79">
        <f>IF(OR(E21="",F21=""),0,IF(COUNTIFS($E$7:E21,E21,$F$7:F21,F21)=1,1,0))</f>
        <v/>
      </c>
      <c r="S21" s="79">
        <f>IF(R21=1,E21&amp;"|"&amp;SUMIFS($R$7:R21,$E$7:E21,E21),"")</f>
        <v/>
      </c>
      <c r="T21" s="112">
        <f>IF(Q21="","",IF(Q21=3,L21,IF(OR(M21="Not started",M21=""),J21,"")))</f>
        <v/>
      </c>
      <c r="U21" s="79">
        <f>IF(T21="","",IF(Q21=3,1,IF(T21="","",IF(T21&lt;AsOf,1,IF(T21&lt;=AsOf+AlertDays,2,IF(T21&lt;=AsOf+2*AlertDays,3,""))))))</f>
        <v/>
      </c>
      <c r="V21" s="79">
        <f>IF(U21="","",IF(Q21=3,"Late task: "&amp;D21,IF(T21&lt;AsOf,"Should have started: ","Starts soon: ")&amp;D21)&amp;IF(F21="",""," — "&amp;F21))</f>
        <v/>
      </c>
    </row>
    <row r="22" ht="20" customHeight="1">
      <c r="B22" s="125" t="n">
        <v>16</v>
      </c>
      <c r="C22" s="72" t="inlineStr">
        <is>
          <t>Construction</t>
        </is>
      </c>
      <c r="D22" s="72" t="inlineStr">
        <is>
          <t>Bathroom 2 fit-out</t>
        </is>
      </c>
      <c r="E22" s="72" t="inlineStr">
        <is>
          <t>Bathroom 2</t>
        </is>
      </c>
      <c r="F22" s="72" t="inlineStr">
        <is>
          <t>Aqua Bath Studio</t>
        </is>
      </c>
      <c r="G22" s="89" t="n">
        <v>10</v>
      </c>
      <c r="H22" s="89" t="n">
        <v>15</v>
      </c>
      <c r="I22" s="109" t="n"/>
      <c r="J22" s="126">
        <f>IF(OR(D22="",ProjStart=""),"",MAX(ProjStart,IF(I22&lt;&gt;"",I22,0),IF(H22="",0,IFERROR(INDEX($L$6:L21,MATCH(H22,$B$6:B21,0))+1,0))))</f>
        <v/>
      </c>
      <c r="K22" s="89" t="n"/>
      <c r="L22" s="126">
        <f>IF(J22="","",J22+MAX(1,G22)+IF(K22="",0,K22)-1)</f>
        <v/>
      </c>
      <c r="M22" s="72" t="inlineStr">
        <is>
          <t>Not started</t>
        </is>
      </c>
      <c r="N22" s="109" t="n"/>
      <c r="O22" s="127">
        <f>IF(D22="","",COUNTIF($H$7:$H$1006,B22))</f>
        <v/>
      </c>
      <c r="P22" s="78">
        <f>IF(D22="","",IF(AND(H22&lt;&gt;"",H22&gt;=B22),"⚠️ Predecessor must be above",IF(M22="Done","✓ Done",IF(Q22=3,"🔴 Late",IF(M22="In progress","In progress","")))))</f>
        <v/>
      </c>
      <c r="Q22" s="79">
        <f>IF(OR(D22="",L22=""),"",IF(M22="Done",2,IF(AsOf&gt;L22,3,1)))</f>
        <v/>
      </c>
      <c r="R22" s="79">
        <f>IF(OR(E22="",F22=""),0,IF(COUNTIFS($E$7:E22,E22,$F$7:F22,F22)=1,1,0))</f>
        <v/>
      </c>
      <c r="S22" s="79">
        <f>IF(R22=1,E22&amp;"|"&amp;SUMIFS($R$7:R22,$E$7:E22,E22),"")</f>
        <v/>
      </c>
      <c r="T22" s="112">
        <f>IF(Q22="","",IF(Q22=3,L22,IF(OR(M22="Not started",M22=""),J22,"")))</f>
        <v/>
      </c>
      <c r="U22" s="79">
        <f>IF(T22="","",IF(Q22=3,1,IF(T22="","",IF(T22&lt;AsOf,1,IF(T22&lt;=AsOf+AlertDays,2,IF(T22&lt;=AsOf+2*AlertDays,3,""))))))</f>
        <v/>
      </c>
      <c r="V22" s="79">
        <f>IF(U22="","",IF(Q22=3,"Late task: "&amp;D22,IF(T22&lt;AsOf,"Should have started: ","Starts soon: ")&amp;D22)&amp;IF(F22="",""," — "&amp;F22))</f>
        <v/>
      </c>
    </row>
    <row r="23" ht="20" customHeight="1">
      <c r="B23" s="125" t="n">
        <v>17</v>
      </c>
      <c r="C23" s="72" t="inlineStr">
        <is>
          <t>Construction</t>
        </is>
      </c>
      <c r="D23" s="72" t="inlineStr">
        <is>
          <t>Painting &amp; decorating</t>
        </is>
      </c>
      <c r="E23" s="72" t="inlineStr">
        <is>
          <t>Whole house</t>
        </is>
      </c>
      <c r="F23" s="72" t="inlineStr">
        <is>
          <t>Finish Line Painters</t>
        </is>
      </c>
      <c r="G23" s="89" t="n">
        <v>12</v>
      </c>
      <c r="H23" s="89" t="n">
        <v>16</v>
      </c>
      <c r="I23" s="109" t="n"/>
      <c r="J23" s="126">
        <f>IF(OR(D23="",ProjStart=""),"",MAX(ProjStart,IF(I23&lt;&gt;"",I23,0),IF(H23="",0,IFERROR(INDEX($L$6:L22,MATCH(H23,$B$6:B22,0))+1,0))))</f>
        <v/>
      </c>
      <c r="K23" s="89" t="n"/>
      <c r="L23" s="126">
        <f>IF(J23="","",J23+MAX(1,G23)+IF(K23="",0,K23)-1)</f>
        <v/>
      </c>
      <c r="M23" s="72" t="inlineStr">
        <is>
          <t>Not started</t>
        </is>
      </c>
      <c r="N23" s="109" t="n"/>
      <c r="O23" s="127">
        <f>IF(D23="","",COUNTIF($H$7:$H$1006,B23))</f>
        <v/>
      </c>
      <c r="P23" s="78">
        <f>IF(D23="","",IF(AND(H23&lt;&gt;"",H23&gt;=B23),"⚠️ Predecessor must be above",IF(M23="Done","✓ Done",IF(Q23=3,"🔴 Late",IF(M23="In progress","In progress","")))))</f>
        <v/>
      </c>
      <c r="Q23" s="79">
        <f>IF(OR(D23="",L23=""),"",IF(M23="Done",2,IF(AsOf&gt;L23,3,1)))</f>
        <v/>
      </c>
      <c r="R23" s="79">
        <f>IF(OR(E23="",F23=""),0,IF(COUNTIFS($E$7:E23,E23,$F$7:F23,F23)=1,1,0))</f>
        <v/>
      </c>
      <c r="S23" s="79">
        <f>IF(R23=1,E23&amp;"|"&amp;SUMIFS($R$7:R23,$E$7:E23,E23),"")</f>
        <v/>
      </c>
      <c r="T23" s="112">
        <f>IF(Q23="","",IF(Q23=3,L23,IF(OR(M23="Not started",M23=""),J23,"")))</f>
        <v/>
      </c>
      <c r="U23" s="79">
        <f>IF(T23="","",IF(Q23=3,1,IF(T23="","",IF(T23&lt;AsOf,1,IF(T23&lt;=AsOf+AlertDays,2,IF(T23&lt;=AsOf+2*AlertDays,3,""))))))</f>
        <v/>
      </c>
      <c r="V23" s="79">
        <f>IF(U23="","",IF(Q23=3,"Late task: "&amp;D23,IF(T23&lt;AsOf,"Should have started: ","Starts soon: ")&amp;D23)&amp;IF(F23="",""," — "&amp;F23))</f>
        <v/>
      </c>
    </row>
    <row r="24" ht="20" customHeight="1">
      <c r="B24" s="125" t="n">
        <v>18</v>
      </c>
      <c r="C24" s="72" t="inlineStr">
        <is>
          <t>Construction</t>
        </is>
      </c>
      <c r="D24" s="72" t="inlineStr">
        <is>
          <t>Landscaping</t>
        </is>
      </c>
      <c r="E24" s="72" t="inlineStr">
        <is>
          <t>Exterior</t>
        </is>
      </c>
      <c r="F24" s="72" t="n"/>
      <c r="G24" s="89" t="n">
        <v>10</v>
      </c>
      <c r="H24" s="89" t="n">
        <v>7</v>
      </c>
      <c r="I24" s="109" t="n">
        <v>46223</v>
      </c>
      <c r="J24" s="126">
        <f>IF(OR(D24="",ProjStart=""),"",MAX(ProjStart,IF(I24&lt;&gt;"",I24,0),IF(H24="",0,IFERROR(INDEX($L$6:L23,MATCH(H24,$B$6:B23,0))+1,0))))</f>
        <v/>
      </c>
      <c r="K24" s="89" t="n"/>
      <c r="L24" s="126">
        <f>IF(J24="","",J24+MAX(1,G24)+IF(K24="",0,K24)-1)</f>
        <v/>
      </c>
      <c r="M24" s="72" t="inlineStr">
        <is>
          <t>Not started</t>
        </is>
      </c>
      <c r="N24" s="109" t="n"/>
      <c r="O24" s="127">
        <f>IF(D24="","",COUNTIF($H$7:$H$1006,B24))</f>
        <v/>
      </c>
      <c r="P24" s="78">
        <f>IF(D24="","",IF(AND(H24&lt;&gt;"",H24&gt;=B24),"⚠️ Predecessor must be above",IF(M24="Done","✓ Done",IF(Q24=3,"🔴 Late",IF(M24="In progress","In progress","")))))</f>
        <v/>
      </c>
      <c r="Q24" s="79">
        <f>IF(OR(D24="",L24=""),"",IF(M24="Done",2,IF(AsOf&gt;L24,3,1)))</f>
        <v/>
      </c>
      <c r="R24" s="79">
        <f>IF(OR(E24="",F24=""),0,IF(COUNTIFS($E$7:E24,E24,$F$7:F24,F24)=1,1,0))</f>
        <v/>
      </c>
      <c r="S24" s="79">
        <f>IF(R24=1,E24&amp;"|"&amp;SUMIFS($R$7:R24,$E$7:E24,E24),"")</f>
        <v/>
      </c>
      <c r="T24" s="112">
        <f>IF(Q24="","",IF(Q24=3,L24,IF(OR(M24="Not started",M24=""),J24,"")))</f>
        <v/>
      </c>
      <c r="U24" s="79">
        <f>IF(T24="","",IF(Q24=3,1,IF(T24="","",IF(T24&lt;AsOf,1,IF(T24&lt;=AsOf+AlertDays,2,IF(T24&lt;=AsOf+2*AlertDays,3,""))))))</f>
        <v/>
      </c>
      <c r="V24" s="79">
        <f>IF(U24="","",IF(Q24=3,"Late task: "&amp;D24,IF(T24&lt;AsOf,"Should have started: ","Starts soon: ")&amp;D24)&amp;IF(F24="",""," — "&amp;F24))</f>
        <v/>
      </c>
    </row>
    <row r="25" ht="20" customHeight="1">
      <c r="B25" s="125" t="n">
        <v>19</v>
      </c>
      <c r="C25" s="72" t="inlineStr">
        <is>
          <t>Final</t>
        </is>
      </c>
      <c r="D25" s="72" t="inlineStr">
        <is>
          <t>Final electrical &amp; plumbing fixes</t>
        </is>
      </c>
      <c r="E25" s="72" t="inlineStr">
        <is>
          <t>Whole house</t>
        </is>
      </c>
      <c r="F25" s="72" t="inlineStr">
        <is>
          <t>Bright Spark Electric</t>
        </is>
      </c>
      <c r="G25" s="89" t="n">
        <v>5</v>
      </c>
      <c r="H25" s="89" t="n">
        <v>17</v>
      </c>
      <c r="I25" s="109" t="n"/>
      <c r="J25" s="126">
        <f>IF(OR(D25="",ProjStart=""),"",MAX(ProjStart,IF(I25&lt;&gt;"",I25,0),IF(H25="",0,IFERROR(INDEX($L$6:L24,MATCH(H25,$B$6:B24,0))+1,0))))</f>
        <v/>
      </c>
      <c r="K25" s="89" t="n"/>
      <c r="L25" s="126">
        <f>IF(J25="","",J25+MAX(1,G25)+IF(K25="",0,K25)-1)</f>
        <v/>
      </c>
      <c r="M25" s="72" t="inlineStr">
        <is>
          <t>Not started</t>
        </is>
      </c>
      <c r="N25" s="109" t="n"/>
      <c r="O25" s="127">
        <f>IF(D25="","",COUNTIF($H$7:$H$1006,B25))</f>
        <v/>
      </c>
      <c r="P25" s="78">
        <f>IF(D25="","",IF(AND(H25&lt;&gt;"",H25&gt;=B25),"⚠️ Predecessor must be above",IF(M25="Done","✓ Done",IF(Q25=3,"🔴 Late",IF(M25="In progress","In progress","")))))</f>
        <v/>
      </c>
      <c r="Q25" s="79">
        <f>IF(OR(D25="",L25=""),"",IF(M25="Done",2,IF(AsOf&gt;L25,3,1)))</f>
        <v/>
      </c>
      <c r="R25" s="79">
        <f>IF(OR(E25="",F25=""),0,IF(COUNTIFS($E$7:E25,E25,$F$7:F25,F25)=1,1,0))</f>
        <v/>
      </c>
      <c r="S25" s="79">
        <f>IF(R25=1,E25&amp;"|"&amp;SUMIFS($R$7:R25,$E$7:E25,E25),"")</f>
        <v/>
      </c>
      <c r="T25" s="112">
        <f>IF(Q25="","",IF(Q25=3,L25,IF(OR(M25="Not started",M25=""),J25,"")))</f>
        <v/>
      </c>
      <c r="U25" s="79">
        <f>IF(T25="","",IF(Q25=3,1,IF(T25="","",IF(T25&lt;AsOf,1,IF(T25&lt;=AsOf+AlertDays,2,IF(T25&lt;=AsOf+2*AlertDays,3,""))))))</f>
        <v/>
      </c>
      <c r="V25" s="79">
        <f>IF(U25="","",IF(Q25=3,"Late task: "&amp;D25,IF(T25&lt;AsOf,"Should have started: ","Starts soon: ")&amp;D25)&amp;IF(F25="",""," — "&amp;F25))</f>
        <v/>
      </c>
    </row>
    <row r="26" ht="20" customHeight="1">
      <c r="B26" s="125" t="n">
        <v>20</v>
      </c>
      <c r="C26" s="72" t="inlineStr">
        <is>
          <t>Final</t>
        </is>
      </c>
      <c r="D26" s="72" t="inlineStr">
        <is>
          <t>Final inspection</t>
        </is>
      </c>
      <c r="E26" s="72" t="inlineStr">
        <is>
          <t>Whole house</t>
        </is>
      </c>
      <c r="F26" s="72" t="n"/>
      <c r="G26" s="89" t="n">
        <v>2</v>
      </c>
      <c r="H26" s="89" t="n">
        <v>19</v>
      </c>
      <c r="I26" s="109" t="n"/>
      <c r="J26" s="126">
        <f>IF(OR(D26="",ProjStart=""),"",MAX(ProjStart,IF(I26&lt;&gt;"",I26,0),IF(H26="",0,IFERROR(INDEX($L$6:L25,MATCH(H26,$B$6:B25,0))+1,0))))</f>
        <v/>
      </c>
      <c r="K26" s="89" t="n"/>
      <c r="L26" s="126">
        <f>IF(J26="","",J26+MAX(1,G26)+IF(K26="",0,K26)-1)</f>
        <v/>
      </c>
      <c r="M26" s="72" t="inlineStr">
        <is>
          <t>Not started</t>
        </is>
      </c>
      <c r="N26" s="109" t="n"/>
      <c r="O26" s="127">
        <f>IF(D26="","",COUNTIF($H$7:$H$1006,B26))</f>
        <v/>
      </c>
      <c r="P26" s="78">
        <f>IF(D26="","",IF(AND(H26&lt;&gt;"",H26&gt;=B26),"⚠️ Predecessor must be above",IF(M26="Done","✓ Done",IF(Q26=3,"🔴 Late",IF(M26="In progress","In progress","")))))</f>
        <v/>
      </c>
      <c r="Q26" s="79">
        <f>IF(OR(D26="",L26=""),"",IF(M26="Done",2,IF(AsOf&gt;L26,3,1)))</f>
        <v/>
      </c>
      <c r="R26" s="79">
        <f>IF(OR(E26="",F26=""),0,IF(COUNTIFS($E$7:E26,E26,$F$7:F26,F26)=1,1,0))</f>
        <v/>
      </c>
      <c r="S26" s="79">
        <f>IF(R26=1,E26&amp;"|"&amp;SUMIFS($R$7:R26,$E$7:E26,E26),"")</f>
        <v/>
      </c>
      <c r="T26" s="112">
        <f>IF(Q26="","",IF(Q26=3,L26,IF(OR(M26="Not started",M26=""),J26,"")))</f>
        <v/>
      </c>
      <c r="U26" s="79">
        <f>IF(T26="","",IF(Q26=3,1,IF(T26="","",IF(T26&lt;AsOf,1,IF(T26&lt;=AsOf+AlertDays,2,IF(T26&lt;=AsOf+2*AlertDays,3,""))))))</f>
        <v/>
      </c>
      <c r="V26" s="79">
        <f>IF(U26="","",IF(Q26=3,"Late task: "&amp;D26,IF(T26&lt;AsOf,"Should have started: ","Starts soon: ")&amp;D26)&amp;IF(F26="",""," — "&amp;F26))</f>
        <v/>
      </c>
    </row>
    <row r="27" ht="20" customHeight="1">
      <c r="B27" s="125" t="n">
        <v>21</v>
      </c>
      <c r="C27" s="72" t="inlineStr">
        <is>
          <t>Final</t>
        </is>
      </c>
      <c r="D27" s="72" t="inlineStr">
        <is>
          <t>Punch list</t>
        </is>
      </c>
      <c r="E27" s="72" t="inlineStr">
        <is>
          <t>Whole house</t>
        </is>
      </c>
      <c r="F27" s="72" t="n"/>
      <c r="G27" s="89" t="n">
        <v>10</v>
      </c>
      <c r="H27" s="89" t="n">
        <v>20</v>
      </c>
      <c r="I27" s="109" t="n"/>
      <c r="J27" s="126">
        <f>IF(OR(D27="",ProjStart=""),"",MAX(ProjStart,IF(I27&lt;&gt;"",I27,0),IF(H27="",0,IFERROR(INDEX($L$6:L26,MATCH(H27,$B$6:B26,0))+1,0))))</f>
        <v/>
      </c>
      <c r="K27" s="89" t="n"/>
      <c r="L27" s="126">
        <f>IF(J27="","",J27+MAX(1,G27)+IF(K27="",0,K27)-1)</f>
        <v/>
      </c>
      <c r="M27" s="72" t="inlineStr">
        <is>
          <t>Not started</t>
        </is>
      </c>
      <c r="N27" s="109" t="n"/>
      <c r="O27" s="127">
        <f>IF(D27="","",COUNTIF($H$7:$H$1006,B27))</f>
        <v/>
      </c>
      <c r="P27" s="78">
        <f>IF(D27="","",IF(AND(H27&lt;&gt;"",H27&gt;=B27),"⚠️ Predecessor must be above",IF(M27="Done","✓ Done",IF(Q27=3,"🔴 Late",IF(M27="In progress","In progress","")))))</f>
        <v/>
      </c>
      <c r="Q27" s="79">
        <f>IF(OR(D27="",L27=""),"",IF(M27="Done",2,IF(AsOf&gt;L27,3,1)))</f>
        <v/>
      </c>
      <c r="R27" s="79">
        <f>IF(OR(E27="",F27=""),0,IF(COUNTIFS($E$7:E27,E27,$F$7:F27,F27)=1,1,0))</f>
        <v/>
      </c>
      <c r="S27" s="79">
        <f>IF(R27=1,E27&amp;"|"&amp;SUMIFS($R$7:R27,$E$7:E27,E27),"")</f>
        <v/>
      </c>
      <c r="T27" s="112">
        <f>IF(Q27="","",IF(Q27=3,L27,IF(OR(M27="Not started",M27=""),J27,"")))</f>
        <v/>
      </c>
      <c r="U27" s="79">
        <f>IF(T27="","",IF(Q27=3,1,IF(T27="","",IF(T27&lt;AsOf,1,IF(T27&lt;=AsOf+AlertDays,2,IF(T27&lt;=AsOf+2*AlertDays,3,""))))))</f>
        <v/>
      </c>
      <c r="V27" s="79">
        <f>IF(U27="","",IF(Q27=3,"Late task: "&amp;D27,IF(T27&lt;AsOf,"Should have started: ","Starts soon: ")&amp;D27)&amp;IF(F27="",""," — "&amp;F27))</f>
        <v/>
      </c>
    </row>
    <row r="28" ht="20" customHeight="1">
      <c r="B28" s="125" t="n">
        <v>22</v>
      </c>
      <c r="C28" s="72" t="inlineStr">
        <is>
          <t>Final</t>
        </is>
      </c>
      <c r="D28" s="72" t="inlineStr">
        <is>
          <t>Cleaning</t>
        </is>
      </c>
      <c r="E28" s="72" t="inlineStr">
        <is>
          <t>Whole house</t>
        </is>
      </c>
      <c r="F28" s="72" t="n"/>
      <c r="G28" s="89" t="n">
        <v>3</v>
      </c>
      <c r="H28" s="89" t="n">
        <v>21</v>
      </c>
      <c r="I28" s="109" t="n"/>
      <c r="J28" s="126">
        <f>IF(OR(D28="",ProjStart=""),"",MAX(ProjStart,IF(I28&lt;&gt;"",I28,0),IF(H28="",0,IFERROR(INDEX($L$6:L27,MATCH(H28,$B$6:B27,0))+1,0))))</f>
        <v/>
      </c>
      <c r="K28" s="89" t="n"/>
      <c r="L28" s="126">
        <f>IF(J28="","",J28+MAX(1,G28)+IF(K28="",0,K28)-1)</f>
        <v/>
      </c>
      <c r="M28" s="72" t="inlineStr">
        <is>
          <t>Not started</t>
        </is>
      </c>
      <c r="N28" s="109" t="n"/>
      <c r="O28" s="127">
        <f>IF(D28="","",COUNTIF($H$7:$H$1006,B28))</f>
        <v/>
      </c>
      <c r="P28" s="78">
        <f>IF(D28="","",IF(AND(H28&lt;&gt;"",H28&gt;=B28),"⚠️ Predecessor must be above",IF(M28="Done","✓ Done",IF(Q28=3,"🔴 Late",IF(M28="In progress","In progress","")))))</f>
        <v/>
      </c>
      <c r="Q28" s="79">
        <f>IF(OR(D28="",L28=""),"",IF(M28="Done",2,IF(AsOf&gt;L28,3,1)))</f>
        <v/>
      </c>
      <c r="R28" s="79">
        <f>IF(OR(E28="",F28=""),0,IF(COUNTIFS($E$7:E28,E28,$F$7:F28,F28)=1,1,0))</f>
        <v/>
      </c>
      <c r="S28" s="79">
        <f>IF(R28=1,E28&amp;"|"&amp;SUMIFS($R$7:R28,$E$7:E28,E28),"")</f>
        <v/>
      </c>
      <c r="T28" s="112">
        <f>IF(Q28="","",IF(Q28=3,L28,IF(OR(M28="Not started",M28=""),J28,"")))</f>
        <v/>
      </c>
      <c r="U28" s="79">
        <f>IF(T28="","",IF(Q28=3,1,IF(T28="","",IF(T28&lt;AsOf,1,IF(T28&lt;=AsOf+AlertDays,2,IF(T28&lt;=AsOf+2*AlertDays,3,""))))))</f>
        <v/>
      </c>
      <c r="V28" s="79">
        <f>IF(U28="","",IF(Q28=3,"Late task: "&amp;D28,IF(T28&lt;AsOf,"Should have started: ","Starts soon: ")&amp;D28)&amp;IF(F28="",""," — "&amp;F28))</f>
        <v/>
      </c>
    </row>
    <row r="29" ht="20" customHeight="1">
      <c r="B29" s="125" t="n">
        <v>23</v>
      </c>
      <c r="C29" s="72" t="inlineStr">
        <is>
          <t>Final</t>
        </is>
      </c>
      <c r="D29" s="72" t="inlineStr">
        <is>
          <t>Furniture &amp; move-in</t>
        </is>
      </c>
      <c r="E29" s="72" t="inlineStr">
        <is>
          <t>Whole house</t>
        </is>
      </c>
      <c r="F29" s="72" t="n"/>
      <c r="G29" s="89" t="n">
        <v>5</v>
      </c>
      <c r="H29" s="89" t="n">
        <v>22</v>
      </c>
      <c r="I29" s="109" t="n"/>
      <c r="J29" s="126">
        <f>IF(OR(D29="",ProjStart=""),"",MAX(ProjStart,IF(I29&lt;&gt;"",I29,0),IF(H29="",0,IFERROR(INDEX($L$6:L28,MATCH(H29,$B$6:B28,0))+1,0))))</f>
        <v/>
      </c>
      <c r="K29" s="89" t="n"/>
      <c r="L29" s="126">
        <f>IF(J29="","",J29+MAX(1,G29)+IF(K29="",0,K29)-1)</f>
        <v/>
      </c>
      <c r="M29" s="72" t="inlineStr">
        <is>
          <t>Not started</t>
        </is>
      </c>
      <c r="N29" s="109" t="n"/>
      <c r="O29" s="127">
        <f>IF(D29="","",COUNTIF($H$7:$H$1006,B29))</f>
        <v/>
      </c>
      <c r="P29" s="78">
        <f>IF(D29="","",IF(AND(H29&lt;&gt;"",H29&gt;=B29),"⚠️ Predecessor must be above",IF(M29="Done","✓ Done",IF(Q29=3,"🔴 Late",IF(M29="In progress","In progress","")))))</f>
        <v/>
      </c>
      <c r="Q29" s="79">
        <f>IF(OR(D29="",L29=""),"",IF(M29="Done",2,IF(AsOf&gt;L29,3,1)))</f>
        <v/>
      </c>
      <c r="R29" s="79">
        <f>IF(OR(E29="",F29=""),0,IF(COUNTIFS($E$7:E29,E29,$F$7:F29,F29)=1,1,0))</f>
        <v/>
      </c>
      <c r="S29" s="79">
        <f>IF(R29=1,E29&amp;"|"&amp;SUMIFS($R$7:R29,$E$7:E29,E29),"")</f>
        <v/>
      </c>
      <c r="T29" s="112">
        <f>IF(Q29="","",IF(Q29=3,L29,IF(OR(M29="Not started",M29=""),J29,"")))</f>
        <v/>
      </c>
      <c r="U29" s="79">
        <f>IF(T29="","",IF(Q29=3,1,IF(T29="","",IF(T29&lt;AsOf,1,IF(T29&lt;=AsOf+AlertDays,2,IF(T29&lt;=AsOf+2*AlertDays,3,""))))))</f>
        <v/>
      </c>
      <c r="V29" s="79">
        <f>IF(U29="","",IF(Q29=3,"Late task: "&amp;D29,IF(T29&lt;AsOf,"Should have started: ","Starts soon: ")&amp;D29)&amp;IF(F29="",""," — "&amp;F29))</f>
        <v/>
      </c>
    </row>
    <row r="30" ht="20" customHeight="1">
      <c r="B30" s="125" t="n">
        <v>24</v>
      </c>
      <c r="C30" s="72" t="n"/>
      <c r="D30" s="72" t="n"/>
      <c r="E30" s="72" t="n"/>
      <c r="F30" s="72" t="n"/>
      <c r="G30" s="89" t="n"/>
      <c r="H30" s="89" t="n"/>
      <c r="I30" s="109" t="n"/>
      <c r="J30" s="126">
        <f>IF(OR(D30="",ProjStart=""),"",MAX(ProjStart,IF(I30&lt;&gt;"",I30,0),IF(H30="",0,IFERROR(INDEX($L$6:L29,MATCH(H30,$B$6:B29,0))+1,0))))</f>
        <v/>
      </c>
      <c r="K30" s="89" t="n"/>
      <c r="L30" s="126">
        <f>IF(J30="","",J30+MAX(1,G30)+IF(K30="",0,K30)-1)</f>
        <v/>
      </c>
      <c r="M30" s="72" t="n"/>
      <c r="N30" s="109" t="n"/>
      <c r="O30" s="127">
        <f>IF(D30="","",COUNTIF($H$7:$H$1006,B30))</f>
        <v/>
      </c>
      <c r="P30" s="78">
        <f>IF(D30="","",IF(AND(H30&lt;&gt;"",H30&gt;=B30),"⚠️ Predecessor must be above",IF(M30="Done","✓ Done",IF(Q30=3,"🔴 Late",IF(M30="In progress","In progress","")))))</f>
        <v/>
      </c>
      <c r="Q30" s="79">
        <f>IF(OR(D30="",L30=""),"",IF(M30="Done",2,IF(AsOf&gt;L30,3,1)))</f>
        <v/>
      </c>
      <c r="R30" s="79">
        <f>IF(OR(E30="",F30=""),0,IF(COUNTIFS($E$7:E30,E30,$F$7:F30,F30)=1,1,0))</f>
        <v/>
      </c>
      <c r="S30" s="79">
        <f>IF(R30=1,E30&amp;"|"&amp;SUMIFS($R$7:R30,$E$7:E30,E30),"")</f>
        <v/>
      </c>
      <c r="T30" s="112">
        <f>IF(Q30="","",IF(Q30=3,L30,IF(OR(M30="Not started",M30=""),J30,"")))</f>
        <v/>
      </c>
      <c r="U30" s="79">
        <f>IF(T30="","",IF(Q30=3,1,IF(T30="","",IF(T30&lt;AsOf,1,IF(T30&lt;=AsOf+AlertDays,2,IF(T30&lt;=AsOf+2*AlertDays,3,""))))))</f>
        <v/>
      </c>
      <c r="V30" s="79">
        <f>IF(U30="","",IF(Q30=3,"Late task: "&amp;D30,IF(T30&lt;AsOf,"Should have started: ","Starts soon: ")&amp;D30)&amp;IF(F30="",""," — "&amp;F30))</f>
        <v/>
      </c>
    </row>
    <row r="31" ht="20" customHeight="1">
      <c r="B31" s="125" t="n">
        <v>25</v>
      </c>
      <c r="C31" s="72" t="n"/>
      <c r="D31" s="72" t="n"/>
      <c r="E31" s="72" t="n"/>
      <c r="F31" s="72" t="n"/>
      <c r="G31" s="89" t="n"/>
      <c r="H31" s="89" t="n"/>
      <c r="I31" s="109" t="n"/>
      <c r="J31" s="126">
        <f>IF(OR(D31="",ProjStart=""),"",MAX(ProjStart,IF(I31&lt;&gt;"",I31,0),IF(H31="",0,IFERROR(INDEX($L$6:L30,MATCH(H31,$B$6:B30,0))+1,0))))</f>
        <v/>
      </c>
      <c r="K31" s="89" t="n"/>
      <c r="L31" s="126">
        <f>IF(J31="","",J31+MAX(1,G31)+IF(K31="",0,K31)-1)</f>
        <v/>
      </c>
      <c r="M31" s="72" t="n"/>
      <c r="N31" s="109" t="n"/>
      <c r="O31" s="127">
        <f>IF(D31="","",COUNTIF($H$7:$H$1006,B31))</f>
        <v/>
      </c>
      <c r="P31" s="78">
        <f>IF(D31="","",IF(AND(H31&lt;&gt;"",H31&gt;=B31),"⚠️ Predecessor must be above",IF(M31="Done","✓ Done",IF(Q31=3,"🔴 Late",IF(M31="In progress","In progress","")))))</f>
        <v/>
      </c>
      <c r="Q31" s="79">
        <f>IF(OR(D31="",L31=""),"",IF(M31="Done",2,IF(AsOf&gt;L31,3,1)))</f>
        <v/>
      </c>
      <c r="R31" s="79">
        <f>IF(OR(E31="",F31=""),0,IF(COUNTIFS($E$7:E31,E31,$F$7:F31,F31)=1,1,0))</f>
        <v/>
      </c>
      <c r="S31" s="79">
        <f>IF(R31=1,E31&amp;"|"&amp;SUMIFS($R$7:R31,$E$7:E31,E31),"")</f>
        <v/>
      </c>
      <c r="T31" s="112">
        <f>IF(Q31="","",IF(Q31=3,L31,IF(OR(M31="Not started",M31=""),J31,"")))</f>
        <v/>
      </c>
      <c r="U31" s="79">
        <f>IF(T31="","",IF(Q31=3,1,IF(T31="","",IF(T31&lt;AsOf,1,IF(T31&lt;=AsOf+AlertDays,2,IF(T31&lt;=AsOf+2*AlertDays,3,""))))))</f>
        <v/>
      </c>
      <c r="V31" s="79">
        <f>IF(U31="","",IF(Q31=3,"Late task: "&amp;D31,IF(T31&lt;AsOf,"Should have started: ","Starts soon: ")&amp;D31)&amp;IF(F31="",""," — "&amp;F31))</f>
        <v/>
      </c>
    </row>
    <row r="32" ht="20" customHeight="1">
      <c r="B32" s="125" t="n">
        <v>26</v>
      </c>
      <c r="C32" s="72" t="n"/>
      <c r="D32" s="72" t="n"/>
      <c r="E32" s="72" t="n"/>
      <c r="F32" s="72" t="n"/>
      <c r="G32" s="89" t="n"/>
      <c r="H32" s="89" t="n"/>
      <c r="I32" s="109" t="n"/>
      <c r="J32" s="126">
        <f>IF(OR(D32="",ProjStart=""),"",MAX(ProjStart,IF(I32&lt;&gt;"",I32,0),IF(H32="",0,IFERROR(INDEX($L$6:L31,MATCH(H32,$B$6:B31,0))+1,0))))</f>
        <v/>
      </c>
      <c r="K32" s="89" t="n"/>
      <c r="L32" s="126">
        <f>IF(J32="","",J32+MAX(1,G32)+IF(K32="",0,K32)-1)</f>
        <v/>
      </c>
      <c r="M32" s="72" t="n"/>
      <c r="N32" s="109" t="n"/>
      <c r="O32" s="127">
        <f>IF(D32="","",COUNTIF($H$7:$H$1006,B32))</f>
        <v/>
      </c>
      <c r="P32" s="78">
        <f>IF(D32="","",IF(AND(H32&lt;&gt;"",H32&gt;=B32),"⚠️ Predecessor must be above",IF(M32="Done","✓ Done",IF(Q32=3,"🔴 Late",IF(M32="In progress","In progress","")))))</f>
        <v/>
      </c>
      <c r="Q32" s="79">
        <f>IF(OR(D32="",L32=""),"",IF(M32="Done",2,IF(AsOf&gt;L32,3,1)))</f>
        <v/>
      </c>
      <c r="R32" s="79">
        <f>IF(OR(E32="",F32=""),0,IF(COUNTIFS($E$7:E32,E32,$F$7:F32,F32)=1,1,0))</f>
        <v/>
      </c>
      <c r="S32" s="79">
        <f>IF(R32=1,E32&amp;"|"&amp;SUMIFS($R$7:R32,$E$7:E32,E32),"")</f>
        <v/>
      </c>
      <c r="T32" s="112">
        <f>IF(Q32="","",IF(Q32=3,L32,IF(OR(M32="Not started",M32=""),J32,"")))</f>
        <v/>
      </c>
      <c r="U32" s="79">
        <f>IF(T32="","",IF(Q32=3,1,IF(T32="","",IF(T32&lt;AsOf,1,IF(T32&lt;=AsOf+AlertDays,2,IF(T32&lt;=AsOf+2*AlertDays,3,""))))))</f>
        <v/>
      </c>
      <c r="V32" s="79">
        <f>IF(U32="","",IF(Q32=3,"Late task: "&amp;D32,IF(T32&lt;AsOf,"Should have started: ","Starts soon: ")&amp;D32)&amp;IF(F32="",""," — "&amp;F32))</f>
        <v/>
      </c>
    </row>
    <row r="33" ht="20" customHeight="1">
      <c r="B33" s="125" t="n">
        <v>27</v>
      </c>
      <c r="C33" s="72" t="n"/>
      <c r="D33" s="72" t="n"/>
      <c r="E33" s="72" t="n"/>
      <c r="F33" s="72" t="n"/>
      <c r="G33" s="89" t="n"/>
      <c r="H33" s="89" t="n"/>
      <c r="I33" s="109" t="n"/>
      <c r="J33" s="126">
        <f>IF(OR(D33="",ProjStart=""),"",MAX(ProjStart,IF(I33&lt;&gt;"",I33,0),IF(H33="",0,IFERROR(INDEX($L$6:L32,MATCH(H33,$B$6:B32,0))+1,0))))</f>
        <v/>
      </c>
      <c r="K33" s="89" t="n"/>
      <c r="L33" s="126">
        <f>IF(J33="","",J33+MAX(1,G33)+IF(K33="",0,K33)-1)</f>
        <v/>
      </c>
      <c r="M33" s="72" t="n"/>
      <c r="N33" s="109" t="n"/>
      <c r="O33" s="127">
        <f>IF(D33="","",COUNTIF($H$7:$H$1006,B33))</f>
        <v/>
      </c>
      <c r="P33" s="78">
        <f>IF(D33="","",IF(AND(H33&lt;&gt;"",H33&gt;=B33),"⚠️ Predecessor must be above",IF(M33="Done","✓ Done",IF(Q33=3,"🔴 Late",IF(M33="In progress","In progress","")))))</f>
        <v/>
      </c>
      <c r="Q33" s="79">
        <f>IF(OR(D33="",L33=""),"",IF(M33="Done",2,IF(AsOf&gt;L33,3,1)))</f>
        <v/>
      </c>
      <c r="R33" s="79">
        <f>IF(OR(E33="",F33=""),0,IF(COUNTIFS($E$7:E33,E33,$F$7:F33,F33)=1,1,0))</f>
        <v/>
      </c>
      <c r="S33" s="79">
        <f>IF(R33=1,E33&amp;"|"&amp;SUMIFS($R$7:R33,$E$7:E33,E33),"")</f>
        <v/>
      </c>
      <c r="T33" s="112">
        <f>IF(Q33="","",IF(Q33=3,L33,IF(OR(M33="Not started",M33=""),J33,"")))</f>
        <v/>
      </c>
      <c r="U33" s="79">
        <f>IF(T33="","",IF(Q33=3,1,IF(T33="","",IF(T33&lt;AsOf,1,IF(T33&lt;=AsOf+AlertDays,2,IF(T33&lt;=AsOf+2*AlertDays,3,""))))))</f>
        <v/>
      </c>
      <c r="V33" s="79">
        <f>IF(U33="","",IF(Q33=3,"Late task: "&amp;D33,IF(T33&lt;AsOf,"Should have started: ","Starts soon: ")&amp;D33)&amp;IF(F33="",""," — "&amp;F33))</f>
        <v/>
      </c>
    </row>
    <row r="34" ht="20" customHeight="1">
      <c r="B34" s="125" t="n">
        <v>28</v>
      </c>
      <c r="C34" s="72" t="n"/>
      <c r="D34" s="72" t="n"/>
      <c r="E34" s="72" t="n"/>
      <c r="F34" s="72" t="n"/>
      <c r="G34" s="89" t="n"/>
      <c r="H34" s="89" t="n"/>
      <c r="I34" s="109" t="n"/>
      <c r="J34" s="126">
        <f>IF(OR(D34="",ProjStart=""),"",MAX(ProjStart,IF(I34&lt;&gt;"",I34,0),IF(H34="",0,IFERROR(INDEX($L$6:L33,MATCH(H34,$B$6:B33,0))+1,0))))</f>
        <v/>
      </c>
      <c r="K34" s="89" t="n"/>
      <c r="L34" s="126">
        <f>IF(J34="","",J34+MAX(1,G34)+IF(K34="",0,K34)-1)</f>
        <v/>
      </c>
      <c r="M34" s="72" t="n"/>
      <c r="N34" s="109" t="n"/>
      <c r="O34" s="127">
        <f>IF(D34="","",COUNTIF($H$7:$H$1006,B34))</f>
        <v/>
      </c>
      <c r="P34" s="78">
        <f>IF(D34="","",IF(AND(H34&lt;&gt;"",H34&gt;=B34),"⚠️ Predecessor must be above",IF(M34="Done","✓ Done",IF(Q34=3,"🔴 Late",IF(M34="In progress","In progress","")))))</f>
        <v/>
      </c>
      <c r="Q34" s="79">
        <f>IF(OR(D34="",L34=""),"",IF(M34="Done",2,IF(AsOf&gt;L34,3,1)))</f>
        <v/>
      </c>
      <c r="R34" s="79">
        <f>IF(OR(E34="",F34=""),0,IF(COUNTIFS($E$7:E34,E34,$F$7:F34,F34)=1,1,0))</f>
        <v/>
      </c>
      <c r="S34" s="79">
        <f>IF(R34=1,E34&amp;"|"&amp;SUMIFS($R$7:R34,$E$7:E34,E34),"")</f>
        <v/>
      </c>
      <c r="T34" s="112">
        <f>IF(Q34="","",IF(Q34=3,L34,IF(OR(M34="Not started",M34=""),J34,"")))</f>
        <v/>
      </c>
      <c r="U34" s="79">
        <f>IF(T34="","",IF(Q34=3,1,IF(T34="","",IF(T34&lt;AsOf,1,IF(T34&lt;=AsOf+AlertDays,2,IF(T34&lt;=AsOf+2*AlertDays,3,""))))))</f>
        <v/>
      </c>
      <c r="V34" s="79">
        <f>IF(U34="","",IF(Q34=3,"Late task: "&amp;D34,IF(T34&lt;AsOf,"Should have started: ","Starts soon: ")&amp;D34)&amp;IF(F34="",""," — "&amp;F34))</f>
        <v/>
      </c>
    </row>
    <row r="35" ht="20" customHeight="1">
      <c r="B35" s="125" t="n">
        <v>29</v>
      </c>
      <c r="C35" s="72" t="n"/>
      <c r="D35" s="72" t="n"/>
      <c r="E35" s="72" t="n"/>
      <c r="F35" s="72" t="n"/>
      <c r="G35" s="89" t="n"/>
      <c r="H35" s="89" t="n"/>
      <c r="I35" s="109" t="n"/>
      <c r="J35" s="126">
        <f>IF(OR(D35="",ProjStart=""),"",MAX(ProjStart,IF(I35&lt;&gt;"",I35,0),IF(H35="",0,IFERROR(INDEX($L$6:L34,MATCH(H35,$B$6:B34,0))+1,0))))</f>
        <v/>
      </c>
      <c r="K35" s="89" t="n"/>
      <c r="L35" s="126">
        <f>IF(J35="","",J35+MAX(1,G35)+IF(K35="",0,K35)-1)</f>
        <v/>
      </c>
      <c r="M35" s="72" t="n"/>
      <c r="N35" s="109" t="n"/>
      <c r="O35" s="127">
        <f>IF(D35="","",COUNTIF($H$7:$H$1006,B35))</f>
        <v/>
      </c>
      <c r="P35" s="78">
        <f>IF(D35="","",IF(AND(H35&lt;&gt;"",H35&gt;=B35),"⚠️ Predecessor must be above",IF(M35="Done","✓ Done",IF(Q35=3,"🔴 Late",IF(M35="In progress","In progress","")))))</f>
        <v/>
      </c>
      <c r="Q35" s="79">
        <f>IF(OR(D35="",L35=""),"",IF(M35="Done",2,IF(AsOf&gt;L35,3,1)))</f>
        <v/>
      </c>
      <c r="R35" s="79">
        <f>IF(OR(E35="",F35=""),0,IF(COUNTIFS($E$7:E35,E35,$F$7:F35,F35)=1,1,0))</f>
        <v/>
      </c>
      <c r="S35" s="79">
        <f>IF(R35=1,E35&amp;"|"&amp;SUMIFS($R$7:R35,$E$7:E35,E35),"")</f>
        <v/>
      </c>
      <c r="T35" s="112">
        <f>IF(Q35="","",IF(Q35=3,L35,IF(OR(M35="Not started",M35=""),J35,"")))</f>
        <v/>
      </c>
      <c r="U35" s="79">
        <f>IF(T35="","",IF(Q35=3,1,IF(T35="","",IF(T35&lt;AsOf,1,IF(T35&lt;=AsOf+AlertDays,2,IF(T35&lt;=AsOf+2*AlertDays,3,""))))))</f>
        <v/>
      </c>
      <c r="V35" s="79">
        <f>IF(U35="","",IF(Q35=3,"Late task: "&amp;D35,IF(T35&lt;AsOf,"Should have started: ","Starts soon: ")&amp;D35)&amp;IF(F35="",""," — "&amp;F35))</f>
        <v/>
      </c>
    </row>
    <row r="36" ht="20" customHeight="1">
      <c r="B36" s="125" t="n">
        <v>30</v>
      </c>
      <c r="C36" s="72" t="n"/>
      <c r="D36" s="72" t="n"/>
      <c r="E36" s="72" t="n"/>
      <c r="F36" s="72" t="n"/>
      <c r="G36" s="89" t="n"/>
      <c r="H36" s="89" t="n"/>
      <c r="I36" s="109" t="n"/>
      <c r="J36" s="126">
        <f>IF(OR(D36="",ProjStart=""),"",MAX(ProjStart,IF(I36&lt;&gt;"",I36,0),IF(H36="",0,IFERROR(INDEX($L$6:L35,MATCH(H36,$B$6:B35,0))+1,0))))</f>
        <v/>
      </c>
      <c r="K36" s="89" t="n"/>
      <c r="L36" s="126">
        <f>IF(J36="","",J36+MAX(1,G36)+IF(K36="",0,K36)-1)</f>
        <v/>
      </c>
      <c r="M36" s="72" t="n"/>
      <c r="N36" s="109" t="n"/>
      <c r="O36" s="127">
        <f>IF(D36="","",COUNTIF($H$7:$H$1006,B36))</f>
        <v/>
      </c>
      <c r="P36" s="78">
        <f>IF(D36="","",IF(AND(H36&lt;&gt;"",H36&gt;=B36),"⚠️ Predecessor must be above",IF(M36="Done","✓ Done",IF(Q36=3,"🔴 Late",IF(M36="In progress","In progress","")))))</f>
        <v/>
      </c>
      <c r="Q36" s="79">
        <f>IF(OR(D36="",L36=""),"",IF(M36="Done",2,IF(AsOf&gt;L36,3,1)))</f>
        <v/>
      </c>
      <c r="R36" s="79">
        <f>IF(OR(E36="",F36=""),0,IF(COUNTIFS($E$7:E36,E36,$F$7:F36,F36)=1,1,0))</f>
        <v/>
      </c>
      <c r="S36" s="79">
        <f>IF(R36=1,E36&amp;"|"&amp;SUMIFS($R$7:R36,$E$7:E36,E36),"")</f>
        <v/>
      </c>
      <c r="T36" s="112">
        <f>IF(Q36="","",IF(Q36=3,L36,IF(OR(M36="Not started",M36=""),J36,"")))</f>
        <v/>
      </c>
      <c r="U36" s="79">
        <f>IF(T36="","",IF(Q36=3,1,IF(T36="","",IF(T36&lt;AsOf,1,IF(T36&lt;=AsOf+AlertDays,2,IF(T36&lt;=AsOf+2*AlertDays,3,""))))))</f>
        <v/>
      </c>
      <c r="V36" s="79">
        <f>IF(U36="","",IF(Q36=3,"Late task: "&amp;D36,IF(T36&lt;AsOf,"Should have started: ","Starts soon: ")&amp;D36)&amp;IF(F36="",""," — "&amp;F36))</f>
        <v/>
      </c>
    </row>
    <row r="37" ht="20" customHeight="1">
      <c r="B37" s="125" t="n">
        <v>31</v>
      </c>
      <c r="C37" s="72" t="n"/>
      <c r="D37" s="72" t="n"/>
      <c r="E37" s="72" t="n"/>
      <c r="F37" s="72" t="n"/>
      <c r="G37" s="89" t="n"/>
      <c r="H37" s="89" t="n"/>
      <c r="I37" s="109" t="n"/>
      <c r="J37" s="126">
        <f>IF(OR(D37="",ProjStart=""),"",MAX(ProjStart,IF(I37&lt;&gt;"",I37,0),IF(H37="",0,IFERROR(INDEX($L$6:L36,MATCH(H37,$B$6:B36,0))+1,0))))</f>
        <v/>
      </c>
      <c r="K37" s="89" t="n"/>
      <c r="L37" s="126">
        <f>IF(J37="","",J37+MAX(1,G37)+IF(K37="",0,K37)-1)</f>
        <v/>
      </c>
      <c r="M37" s="72" t="n"/>
      <c r="N37" s="109" t="n"/>
      <c r="O37" s="127">
        <f>IF(D37="","",COUNTIF($H$7:$H$1006,B37))</f>
        <v/>
      </c>
      <c r="P37" s="78">
        <f>IF(D37="","",IF(AND(H37&lt;&gt;"",H37&gt;=B37),"⚠️ Predecessor must be above",IF(M37="Done","✓ Done",IF(Q37=3,"🔴 Late",IF(M37="In progress","In progress","")))))</f>
        <v/>
      </c>
      <c r="Q37" s="79">
        <f>IF(OR(D37="",L37=""),"",IF(M37="Done",2,IF(AsOf&gt;L37,3,1)))</f>
        <v/>
      </c>
      <c r="R37" s="79">
        <f>IF(OR(E37="",F37=""),0,IF(COUNTIFS($E$7:E37,E37,$F$7:F37,F37)=1,1,0))</f>
        <v/>
      </c>
      <c r="S37" s="79">
        <f>IF(R37=1,E37&amp;"|"&amp;SUMIFS($R$7:R37,$E$7:E37,E37),"")</f>
        <v/>
      </c>
      <c r="T37" s="112">
        <f>IF(Q37="","",IF(Q37=3,L37,IF(OR(M37="Not started",M37=""),J37,"")))</f>
        <v/>
      </c>
      <c r="U37" s="79">
        <f>IF(T37="","",IF(Q37=3,1,IF(T37="","",IF(T37&lt;AsOf,1,IF(T37&lt;=AsOf+AlertDays,2,IF(T37&lt;=AsOf+2*AlertDays,3,""))))))</f>
        <v/>
      </c>
      <c r="V37" s="79">
        <f>IF(U37="","",IF(Q37=3,"Late task: "&amp;D37,IF(T37&lt;AsOf,"Should have started: ","Starts soon: ")&amp;D37)&amp;IF(F37="",""," — "&amp;F37))</f>
        <v/>
      </c>
    </row>
    <row r="38" ht="20" customHeight="1">
      <c r="B38" s="125" t="n">
        <v>32</v>
      </c>
      <c r="C38" s="72" t="n"/>
      <c r="D38" s="72" t="n"/>
      <c r="E38" s="72" t="n"/>
      <c r="F38" s="72" t="n"/>
      <c r="G38" s="89" t="n"/>
      <c r="H38" s="89" t="n"/>
      <c r="I38" s="109" t="n"/>
      <c r="J38" s="126">
        <f>IF(OR(D38="",ProjStart=""),"",MAX(ProjStart,IF(I38&lt;&gt;"",I38,0),IF(H38="",0,IFERROR(INDEX($L$6:L37,MATCH(H38,$B$6:B37,0))+1,0))))</f>
        <v/>
      </c>
      <c r="K38" s="89" t="n"/>
      <c r="L38" s="126">
        <f>IF(J38="","",J38+MAX(1,G38)+IF(K38="",0,K38)-1)</f>
        <v/>
      </c>
      <c r="M38" s="72" t="n"/>
      <c r="N38" s="109" t="n"/>
      <c r="O38" s="127">
        <f>IF(D38="","",COUNTIF($H$7:$H$1006,B38))</f>
        <v/>
      </c>
      <c r="P38" s="78">
        <f>IF(D38="","",IF(AND(H38&lt;&gt;"",H38&gt;=B38),"⚠️ Predecessor must be above",IF(M38="Done","✓ Done",IF(Q38=3,"🔴 Late",IF(M38="In progress","In progress","")))))</f>
        <v/>
      </c>
      <c r="Q38" s="79">
        <f>IF(OR(D38="",L38=""),"",IF(M38="Done",2,IF(AsOf&gt;L38,3,1)))</f>
        <v/>
      </c>
      <c r="R38" s="79">
        <f>IF(OR(E38="",F38=""),0,IF(COUNTIFS($E$7:E38,E38,$F$7:F38,F38)=1,1,0))</f>
        <v/>
      </c>
      <c r="S38" s="79">
        <f>IF(R38=1,E38&amp;"|"&amp;SUMIFS($R$7:R38,$E$7:E38,E38),"")</f>
        <v/>
      </c>
      <c r="T38" s="112">
        <f>IF(Q38="","",IF(Q38=3,L38,IF(OR(M38="Not started",M38=""),J38,"")))</f>
        <v/>
      </c>
      <c r="U38" s="79">
        <f>IF(T38="","",IF(Q38=3,1,IF(T38="","",IF(T38&lt;AsOf,1,IF(T38&lt;=AsOf+AlertDays,2,IF(T38&lt;=AsOf+2*AlertDays,3,""))))))</f>
        <v/>
      </c>
      <c r="V38" s="79">
        <f>IF(U38="","",IF(Q38=3,"Late task: "&amp;D38,IF(T38&lt;AsOf,"Should have started: ","Starts soon: ")&amp;D38)&amp;IF(F38="",""," — "&amp;F38))</f>
        <v/>
      </c>
    </row>
    <row r="39" ht="20" customHeight="1">
      <c r="B39" s="125" t="n">
        <v>33</v>
      </c>
      <c r="C39" s="72" t="n"/>
      <c r="D39" s="72" t="n"/>
      <c r="E39" s="72" t="n"/>
      <c r="F39" s="72" t="n"/>
      <c r="G39" s="89" t="n"/>
      <c r="H39" s="89" t="n"/>
      <c r="I39" s="109" t="n"/>
      <c r="J39" s="126">
        <f>IF(OR(D39="",ProjStart=""),"",MAX(ProjStart,IF(I39&lt;&gt;"",I39,0),IF(H39="",0,IFERROR(INDEX($L$6:L38,MATCH(H39,$B$6:B38,0))+1,0))))</f>
        <v/>
      </c>
      <c r="K39" s="89" t="n"/>
      <c r="L39" s="126">
        <f>IF(J39="","",J39+MAX(1,G39)+IF(K39="",0,K39)-1)</f>
        <v/>
      </c>
      <c r="M39" s="72" t="n"/>
      <c r="N39" s="109" t="n"/>
      <c r="O39" s="127">
        <f>IF(D39="","",COUNTIF($H$7:$H$1006,B39))</f>
        <v/>
      </c>
      <c r="P39" s="78">
        <f>IF(D39="","",IF(AND(H39&lt;&gt;"",H39&gt;=B39),"⚠️ Predecessor must be above",IF(M39="Done","✓ Done",IF(Q39=3,"🔴 Late",IF(M39="In progress","In progress","")))))</f>
        <v/>
      </c>
      <c r="Q39" s="79">
        <f>IF(OR(D39="",L39=""),"",IF(M39="Done",2,IF(AsOf&gt;L39,3,1)))</f>
        <v/>
      </c>
      <c r="R39" s="79">
        <f>IF(OR(E39="",F39=""),0,IF(COUNTIFS($E$7:E39,E39,$F$7:F39,F39)=1,1,0))</f>
        <v/>
      </c>
      <c r="S39" s="79">
        <f>IF(R39=1,E39&amp;"|"&amp;SUMIFS($R$7:R39,$E$7:E39,E39),"")</f>
        <v/>
      </c>
      <c r="T39" s="112">
        <f>IF(Q39="","",IF(Q39=3,L39,IF(OR(M39="Not started",M39=""),J39,"")))</f>
        <v/>
      </c>
      <c r="U39" s="79">
        <f>IF(T39="","",IF(Q39=3,1,IF(T39="","",IF(T39&lt;AsOf,1,IF(T39&lt;=AsOf+AlertDays,2,IF(T39&lt;=AsOf+2*AlertDays,3,""))))))</f>
        <v/>
      </c>
      <c r="V39" s="79">
        <f>IF(U39="","",IF(Q39=3,"Late task: "&amp;D39,IF(T39&lt;AsOf,"Should have started: ","Starts soon: ")&amp;D39)&amp;IF(F39="",""," — "&amp;F39))</f>
        <v/>
      </c>
    </row>
    <row r="40" ht="20" customHeight="1">
      <c r="B40" s="125" t="n">
        <v>34</v>
      </c>
      <c r="C40" s="72" t="n"/>
      <c r="D40" s="72" t="n"/>
      <c r="E40" s="72" t="n"/>
      <c r="F40" s="72" t="n"/>
      <c r="G40" s="89" t="n"/>
      <c r="H40" s="89" t="n"/>
      <c r="I40" s="109" t="n"/>
      <c r="J40" s="126">
        <f>IF(OR(D40="",ProjStart=""),"",MAX(ProjStart,IF(I40&lt;&gt;"",I40,0),IF(H40="",0,IFERROR(INDEX($L$6:L39,MATCH(H40,$B$6:B39,0))+1,0))))</f>
        <v/>
      </c>
      <c r="K40" s="89" t="n"/>
      <c r="L40" s="126">
        <f>IF(J40="","",J40+MAX(1,G40)+IF(K40="",0,K40)-1)</f>
        <v/>
      </c>
      <c r="M40" s="72" t="n"/>
      <c r="N40" s="109" t="n"/>
      <c r="O40" s="127">
        <f>IF(D40="","",COUNTIF($H$7:$H$1006,B40))</f>
        <v/>
      </c>
      <c r="P40" s="78">
        <f>IF(D40="","",IF(AND(H40&lt;&gt;"",H40&gt;=B40),"⚠️ Predecessor must be above",IF(M40="Done","✓ Done",IF(Q40=3,"🔴 Late",IF(M40="In progress","In progress","")))))</f>
        <v/>
      </c>
      <c r="Q40" s="79">
        <f>IF(OR(D40="",L40=""),"",IF(M40="Done",2,IF(AsOf&gt;L40,3,1)))</f>
        <v/>
      </c>
      <c r="R40" s="79">
        <f>IF(OR(E40="",F40=""),0,IF(COUNTIFS($E$7:E40,E40,$F$7:F40,F40)=1,1,0))</f>
        <v/>
      </c>
      <c r="S40" s="79">
        <f>IF(R40=1,E40&amp;"|"&amp;SUMIFS($R$7:R40,$E$7:E40,E40),"")</f>
        <v/>
      </c>
      <c r="T40" s="112">
        <f>IF(Q40="","",IF(Q40=3,L40,IF(OR(M40="Not started",M40=""),J40,"")))</f>
        <v/>
      </c>
      <c r="U40" s="79">
        <f>IF(T40="","",IF(Q40=3,1,IF(T40="","",IF(T40&lt;AsOf,1,IF(T40&lt;=AsOf+AlertDays,2,IF(T40&lt;=AsOf+2*AlertDays,3,""))))))</f>
        <v/>
      </c>
      <c r="V40" s="79">
        <f>IF(U40="","",IF(Q40=3,"Late task: "&amp;D40,IF(T40&lt;AsOf,"Should have started: ","Starts soon: ")&amp;D40)&amp;IF(F40="",""," — "&amp;F40))</f>
        <v/>
      </c>
    </row>
    <row r="41" ht="20" customHeight="1">
      <c r="B41" s="125" t="n">
        <v>35</v>
      </c>
      <c r="C41" s="72" t="n"/>
      <c r="D41" s="72" t="n"/>
      <c r="E41" s="72" t="n"/>
      <c r="F41" s="72" t="n"/>
      <c r="G41" s="89" t="n"/>
      <c r="H41" s="89" t="n"/>
      <c r="I41" s="109" t="n"/>
      <c r="J41" s="126">
        <f>IF(OR(D41="",ProjStart=""),"",MAX(ProjStart,IF(I41&lt;&gt;"",I41,0),IF(H41="",0,IFERROR(INDEX($L$6:L40,MATCH(H41,$B$6:B40,0))+1,0))))</f>
        <v/>
      </c>
      <c r="K41" s="89" t="n"/>
      <c r="L41" s="126">
        <f>IF(J41="","",J41+MAX(1,G41)+IF(K41="",0,K41)-1)</f>
        <v/>
      </c>
      <c r="M41" s="72" t="n"/>
      <c r="N41" s="109" t="n"/>
      <c r="O41" s="127">
        <f>IF(D41="","",COUNTIF($H$7:$H$1006,B41))</f>
        <v/>
      </c>
      <c r="P41" s="78">
        <f>IF(D41="","",IF(AND(H41&lt;&gt;"",H41&gt;=B41),"⚠️ Predecessor must be above",IF(M41="Done","✓ Done",IF(Q41=3,"🔴 Late",IF(M41="In progress","In progress","")))))</f>
        <v/>
      </c>
      <c r="Q41" s="79">
        <f>IF(OR(D41="",L41=""),"",IF(M41="Done",2,IF(AsOf&gt;L41,3,1)))</f>
        <v/>
      </c>
      <c r="R41" s="79">
        <f>IF(OR(E41="",F41=""),0,IF(COUNTIFS($E$7:E41,E41,$F$7:F41,F41)=1,1,0))</f>
        <v/>
      </c>
      <c r="S41" s="79">
        <f>IF(R41=1,E41&amp;"|"&amp;SUMIFS($R$7:R41,$E$7:E41,E41),"")</f>
        <v/>
      </c>
      <c r="T41" s="112">
        <f>IF(Q41="","",IF(Q41=3,L41,IF(OR(M41="Not started",M41=""),J41,"")))</f>
        <v/>
      </c>
      <c r="U41" s="79">
        <f>IF(T41="","",IF(Q41=3,1,IF(T41="","",IF(T41&lt;AsOf,1,IF(T41&lt;=AsOf+AlertDays,2,IF(T41&lt;=AsOf+2*AlertDays,3,""))))))</f>
        <v/>
      </c>
      <c r="V41" s="79">
        <f>IF(U41="","",IF(Q41=3,"Late task: "&amp;D41,IF(T41&lt;AsOf,"Should have started: ","Starts soon: ")&amp;D41)&amp;IF(F41="",""," — "&amp;F41))</f>
        <v/>
      </c>
    </row>
    <row r="42" ht="20" customHeight="1">
      <c r="B42" s="125" t="n">
        <v>36</v>
      </c>
      <c r="C42" s="72" t="n"/>
      <c r="D42" s="72" t="n"/>
      <c r="E42" s="72" t="n"/>
      <c r="F42" s="72" t="n"/>
      <c r="G42" s="89" t="n"/>
      <c r="H42" s="89" t="n"/>
      <c r="I42" s="109" t="n"/>
      <c r="J42" s="126">
        <f>IF(OR(D42="",ProjStart=""),"",MAX(ProjStart,IF(I42&lt;&gt;"",I42,0),IF(H42="",0,IFERROR(INDEX($L$6:L41,MATCH(H42,$B$6:B41,0))+1,0))))</f>
        <v/>
      </c>
      <c r="K42" s="89" t="n"/>
      <c r="L42" s="126">
        <f>IF(J42="","",J42+MAX(1,G42)+IF(K42="",0,K42)-1)</f>
        <v/>
      </c>
      <c r="M42" s="72" t="n"/>
      <c r="N42" s="109" t="n"/>
      <c r="O42" s="127">
        <f>IF(D42="","",COUNTIF($H$7:$H$1006,B42))</f>
        <v/>
      </c>
      <c r="P42" s="78">
        <f>IF(D42="","",IF(AND(H42&lt;&gt;"",H42&gt;=B42),"⚠️ Predecessor must be above",IF(M42="Done","✓ Done",IF(Q42=3,"🔴 Late",IF(M42="In progress","In progress","")))))</f>
        <v/>
      </c>
      <c r="Q42" s="79">
        <f>IF(OR(D42="",L42=""),"",IF(M42="Done",2,IF(AsOf&gt;L42,3,1)))</f>
        <v/>
      </c>
      <c r="R42" s="79">
        <f>IF(OR(E42="",F42=""),0,IF(COUNTIFS($E$7:E42,E42,$F$7:F42,F42)=1,1,0))</f>
        <v/>
      </c>
      <c r="S42" s="79">
        <f>IF(R42=1,E42&amp;"|"&amp;SUMIFS($R$7:R42,$E$7:E42,E42),"")</f>
        <v/>
      </c>
      <c r="T42" s="112">
        <f>IF(Q42="","",IF(Q42=3,L42,IF(OR(M42="Not started",M42=""),J42,"")))</f>
        <v/>
      </c>
      <c r="U42" s="79">
        <f>IF(T42="","",IF(Q42=3,1,IF(T42="","",IF(T42&lt;AsOf,1,IF(T42&lt;=AsOf+AlertDays,2,IF(T42&lt;=AsOf+2*AlertDays,3,""))))))</f>
        <v/>
      </c>
      <c r="V42" s="79">
        <f>IF(U42="","",IF(Q42=3,"Late task: "&amp;D42,IF(T42&lt;AsOf,"Should have started: ","Starts soon: ")&amp;D42)&amp;IF(F42="",""," — "&amp;F42))</f>
        <v/>
      </c>
    </row>
    <row r="43" ht="20" customHeight="1">
      <c r="B43" s="125" t="n">
        <v>37</v>
      </c>
      <c r="C43" s="72" t="n"/>
      <c r="D43" s="72" t="n"/>
      <c r="E43" s="72" t="n"/>
      <c r="F43" s="72" t="n"/>
      <c r="G43" s="89" t="n"/>
      <c r="H43" s="89" t="n"/>
      <c r="I43" s="109" t="n"/>
      <c r="J43" s="126">
        <f>IF(OR(D43="",ProjStart=""),"",MAX(ProjStart,IF(I43&lt;&gt;"",I43,0),IF(H43="",0,IFERROR(INDEX($L$6:L42,MATCH(H43,$B$6:B42,0))+1,0))))</f>
        <v/>
      </c>
      <c r="K43" s="89" t="n"/>
      <c r="L43" s="126">
        <f>IF(J43="","",J43+MAX(1,G43)+IF(K43="",0,K43)-1)</f>
        <v/>
      </c>
      <c r="M43" s="72" t="n"/>
      <c r="N43" s="109" t="n"/>
      <c r="O43" s="127">
        <f>IF(D43="","",COUNTIF($H$7:$H$1006,B43))</f>
        <v/>
      </c>
      <c r="P43" s="78">
        <f>IF(D43="","",IF(AND(H43&lt;&gt;"",H43&gt;=B43),"⚠️ Predecessor must be above",IF(M43="Done","✓ Done",IF(Q43=3,"🔴 Late",IF(M43="In progress","In progress","")))))</f>
        <v/>
      </c>
      <c r="Q43" s="79">
        <f>IF(OR(D43="",L43=""),"",IF(M43="Done",2,IF(AsOf&gt;L43,3,1)))</f>
        <v/>
      </c>
      <c r="R43" s="79">
        <f>IF(OR(E43="",F43=""),0,IF(COUNTIFS($E$7:E43,E43,$F$7:F43,F43)=1,1,0))</f>
        <v/>
      </c>
      <c r="S43" s="79">
        <f>IF(R43=1,E43&amp;"|"&amp;SUMIFS($R$7:R43,$E$7:E43,E43),"")</f>
        <v/>
      </c>
      <c r="T43" s="112">
        <f>IF(Q43="","",IF(Q43=3,L43,IF(OR(M43="Not started",M43=""),J43,"")))</f>
        <v/>
      </c>
      <c r="U43" s="79">
        <f>IF(T43="","",IF(Q43=3,1,IF(T43="","",IF(T43&lt;AsOf,1,IF(T43&lt;=AsOf+AlertDays,2,IF(T43&lt;=AsOf+2*AlertDays,3,""))))))</f>
        <v/>
      </c>
      <c r="V43" s="79">
        <f>IF(U43="","",IF(Q43=3,"Late task: "&amp;D43,IF(T43&lt;AsOf,"Should have started: ","Starts soon: ")&amp;D43)&amp;IF(F43="",""," — "&amp;F43))</f>
        <v/>
      </c>
    </row>
    <row r="44" ht="20" customHeight="1">
      <c r="B44" s="125" t="n">
        <v>38</v>
      </c>
      <c r="C44" s="72" t="n"/>
      <c r="D44" s="72" t="n"/>
      <c r="E44" s="72" t="n"/>
      <c r="F44" s="72" t="n"/>
      <c r="G44" s="89" t="n"/>
      <c r="H44" s="89" t="n"/>
      <c r="I44" s="109" t="n"/>
      <c r="J44" s="126">
        <f>IF(OR(D44="",ProjStart=""),"",MAX(ProjStart,IF(I44&lt;&gt;"",I44,0),IF(H44="",0,IFERROR(INDEX($L$6:L43,MATCH(H44,$B$6:B43,0))+1,0))))</f>
        <v/>
      </c>
      <c r="K44" s="89" t="n"/>
      <c r="L44" s="126">
        <f>IF(J44="","",J44+MAX(1,G44)+IF(K44="",0,K44)-1)</f>
        <v/>
      </c>
      <c r="M44" s="72" t="n"/>
      <c r="N44" s="109" t="n"/>
      <c r="O44" s="127">
        <f>IF(D44="","",COUNTIF($H$7:$H$1006,B44))</f>
        <v/>
      </c>
      <c r="P44" s="78">
        <f>IF(D44="","",IF(AND(H44&lt;&gt;"",H44&gt;=B44),"⚠️ Predecessor must be above",IF(M44="Done","✓ Done",IF(Q44=3,"🔴 Late",IF(M44="In progress","In progress","")))))</f>
        <v/>
      </c>
      <c r="Q44" s="79">
        <f>IF(OR(D44="",L44=""),"",IF(M44="Done",2,IF(AsOf&gt;L44,3,1)))</f>
        <v/>
      </c>
      <c r="R44" s="79">
        <f>IF(OR(E44="",F44=""),0,IF(COUNTIFS($E$7:E44,E44,$F$7:F44,F44)=1,1,0))</f>
        <v/>
      </c>
      <c r="S44" s="79">
        <f>IF(R44=1,E44&amp;"|"&amp;SUMIFS($R$7:R44,$E$7:E44,E44),"")</f>
        <v/>
      </c>
      <c r="T44" s="112">
        <f>IF(Q44="","",IF(Q44=3,L44,IF(OR(M44="Not started",M44=""),J44,"")))</f>
        <v/>
      </c>
      <c r="U44" s="79">
        <f>IF(T44="","",IF(Q44=3,1,IF(T44="","",IF(T44&lt;AsOf,1,IF(T44&lt;=AsOf+AlertDays,2,IF(T44&lt;=AsOf+2*AlertDays,3,""))))))</f>
        <v/>
      </c>
      <c r="V44" s="79">
        <f>IF(U44="","",IF(Q44=3,"Late task: "&amp;D44,IF(T44&lt;AsOf,"Should have started: ","Starts soon: ")&amp;D44)&amp;IF(F44="",""," — "&amp;F44))</f>
        <v/>
      </c>
    </row>
    <row r="45" ht="20" customHeight="1">
      <c r="B45" s="125" t="n">
        <v>39</v>
      </c>
      <c r="C45" s="72" t="n"/>
      <c r="D45" s="72" t="n"/>
      <c r="E45" s="72" t="n"/>
      <c r="F45" s="72" t="n"/>
      <c r="G45" s="89" t="n"/>
      <c r="H45" s="89" t="n"/>
      <c r="I45" s="109" t="n"/>
      <c r="J45" s="126">
        <f>IF(OR(D45="",ProjStart=""),"",MAX(ProjStart,IF(I45&lt;&gt;"",I45,0),IF(H45="",0,IFERROR(INDEX($L$6:L44,MATCH(H45,$B$6:B44,0))+1,0))))</f>
        <v/>
      </c>
      <c r="K45" s="89" t="n"/>
      <c r="L45" s="126">
        <f>IF(J45="","",J45+MAX(1,G45)+IF(K45="",0,K45)-1)</f>
        <v/>
      </c>
      <c r="M45" s="72" t="n"/>
      <c r="N45" s="109" t="n"/>
      <c r="O45" s="127">
        <f>IF(D45="","",COUNTIF($H$7:$H$1006,B45))</f>
        <v/>
      </c>
      <c r="P45" s="78">
        <f>IF(D45="","",IF(AND(H45&lt;&gt;"",H45&gt;=B45),"⚠️ Predecessor must be above",IF(M45="Done","✓ Done",IF(Q45=3,"🔴 Late",IF(M45="In progress","In progress","")))))</f>
        <v/>
      </c>
      <c r="Q45" s="79">
        <f>IF(OR(D45="",L45=""),"",IF(M45="Done",2,IF(AsOf&gt;L45,3,1)))</f>
        <v/>
      </c>
      <c r="R45" s="79">
        <f>IF(OR(E45="",F45=""),0,IF(COUNTIFS($E$7:E45,E45,$F$7:F45,F45)=1,1,0))</f>
        <v/>
      </c>
      <c r="S45" s="79">
        <f>IF(R45=1,E45&amp;"|"&amp;SUMIFS($R$7:R45,$E$7:E45,E45),"")</f>
        <v/>
      </c>
      <c r="T45" s="112">
        <f>IF(Q45="","",IF(Q45=3,L45,IF(OR(M45="Not started",M45=""),J45,"")))</f>
        <v/>
      </c>
      <c r="U45" s="79">
        <f>IF(T45="","",IF(Q45=3,1,IF(T45="","",IF(T45&lt;AsOf,1,IF(T45&lt;=AsOf+AlertDays,2,IF(T45&lt;=AsOf+2*AlertDays,3,""))))))</f>
        <v/>
      </c>
      <c r="V45" s="79">
        <f>IF(U45="","",IF(Q45=3,"Late task: "&amp;D45,IF(T45&lt;AsOf,"Should have started: ","Starts soon: ")&amp;D45)&amp;IF(F45="",""," — "&amp;F45))</f>
        <v/>
      </c>
    </row>
    <row r="46" ht="20" customHeight="1">
      <c r="B46" s="125" t="n">
        <v>40</v>
      </c>
      <c r="C46" s="72" t="n"/>
      <c r="D46" s="72" t="n"/>
      <c r="E46" s="72" t="n"/>
      <c r="F46" s="72" t="n"/>
      <c r="G46" s="89" t="n"/>
      <c r="H46" s="89" t="n"/>
      <c r="I46" s="109" t="n"/>
      <c r="J46" s="126">
        <f>IF(OR(D46="",ProjStart=""),"",MAX(ProjStart,IF(I46&lt;&gt;"",I46,0),IF(H46="",0,IFERROR(INDEX($L$6:L45,MATCH(H46,$B$6:B45,0))+1,0))))</f>
        <v/>
      </c>
      <c r="K46" s="89" t="n"/>
      <c r="L46" s="126">
        <f>IF(J46="","",J46+MAX(1,G46)+IF(K46="",0,K46)-1)</f>
        <v/>
      </c>
      <c r="M46" s="72" t="n"/>
      <c r="N46" s="109" t="n"/>
      <c r="O46" s="127">
        <f>IF(D46="","",COUNTIF($H$7:$H$1006,B46))</f>
        <v/>
      </c>
      <c r="P46" s="78">
        <f>IF(D46="","",IF(AND(H46&lt;&gt;"",H46&gt;=B46),"⚠️ Predecessor must be above",IF(M46="Done","✓ Done",IF(Q46=3,"🔴 Late",IF(M46="In progress","In progress","")))))</f>
        <v/>
      </c>
      <c r="Q46" s="79">
        <f>IF(OR(D46="",L46=""),"",IF(M46="Done",2,IF(AsOf&gt;L46,3,1)))</f>
        <v/>
      </c>
      <c r="R46" s="79">
        <f>IF(OR(E46="",F46=""),0,IF(COUNTIFS($E$7:E46,E46,$F$7:F46,F46)=1,1,0))</f>
        <v/>
      </c>
      <c r="S46" s="79">
        <f>IF(R46=1,E46&amp;"|"&amp;SUMIFS($R$7:R46,$E$7:E46,E46),"")</f>
        <v/>
      </c>
      <c r="T46" s="112">
        <f>IF(Q46="","",IF(Q46=3,L46,IF(OR(M46="Not started",M46=""),J46,"")))</f>
        <v/>
      </c>
      <c r="U46" s="79">
        <f>IF(T46="","",IF(Q46=3,1,IF(T46="","",IF(T46&lt;AsOf,1,IF(T46&lt;=AsOf+AlertDays,2,IF(T46&lt;=AsOf+2*AlertDays,3,""))))))</f>
        <v/>
      </c>
      <c r="V46" s="79">
        <f>IF(U46="","",IF(Q46=3,"Late task: "&amp;D46,IF(T46&lt;AsOf,"Should have started: ","Starts soon: ")&amp;D46)&amp;IF(F46="",""," — "&amp;F46))</f>
        <v/>
      </c>
    </row>
    <row r="47" ht="20" customHeight="1">
      <c r="B47" s="125" t="n">
        <v>41</v>
      </c>
      <c r="C47" s="72" t="n"/>
      <c r="D47" s="72" t="n"/>
      <c r="E47" s="72" t="n"/>
      <c r="F47" s="72" t="n"/>
      <c r="G47" s="89" t="n"/>
      <c r="H47" s="89" t="n"/>
      <c r="I47" s="109" t="n"/>
      <c r="J47" s="126">
        <f>IF(OR(D47="",ProjStart=""),"",MAX(ProjStart,IF(I47&lt;&gt;"",I47,0),IF(H47="",0,IFERROR(INDEX($L$6:L46,MATCH(H47,$B$6:B46,0))+1,0))))</f>
        <v/>
      </c>
      <c r="K47" s="89" t="n"/>
      <c r="L47" s="126">
        <f>IF(J47="","",J47+MAX(1,G47)+IF(K47="",0,K47)-1)</f>
        <v/>
      </c>
      <c r="M47" s="72" t="n"/>
      <c r="N47" s="109" t="n"/>
      <c r="O47" s="127">
        <f>IF(D47="","",COUNTIF($H$7:$H$1006,B47))</f>
        <v/>
      </c>
      <c r="P47" s="78">
        <f>IF(D47="","",IF(AND(H47&lt;&gt;"",H47&gt;=B47),"⚠️ Predecessor must be above",IF(M47="Done","✓ Done",IF(Q47=3,"🔴 Late",IF(M47="In progress","In progress","")))))</f>
        <v/>
      </c>
      <c r="Q47" s="79">
        <f>IF(OR(D47="",L47=""),"",IF(M47="Done",2,IF(AsOf&gt;L47,3,1)))</f>
        <v/>
      </c>
      <c r="R47" s="79">
        <f>IF(OR(E47="",F47=""),0,IF(COUNTIFS($E$7:E47,E47,$F$7:F47,F47)=1,1,0))</f>
        <v/>
      </c>
      <c r="S47" s="79">
        <f>IF(R47=1,E47&amp;"|"&amp;SUMIFS($R$7:R47,$E$7:E47,E47),"")</f>
        <v/>
      </c>
      <c r="T47" s="112">
        <f>IF(Q47="","",IF(Q47=3,L47,IF(OR(M47="Not started",M47=""),J47,"")))</f>
        <v/>
      </c>
      <c r="U47" s="79">
        <f>IF(T47="","",IF(Q47=3,1,IF(T47="","",IF(T47&lt;AsOf,1,IF(T47&lt;=AsOf+AlertDays,2,IF(T47&lt;=AsOf+2*AlertDays,3,""))))))</f>
        <v/>
      </c>
      <c r="V47" s="79">
        <f>IF(U47="","",IF(Q47=3,"Late task: "&amp;D47,IF(T47&lt;AsOf,"Should have started: ","Starts soon: ")&amp;D47)&amp;IF(F47="",""," — "&amp;F47))</f>
        <v/>
      </c>
    </row>
    <row r="48" ht="20" customHeight="1">
      <c r="B48" s="125" t="n">
        <v>42</v>
      </c>
      <c r="C48" s="72" t="n"/>
      <c r="D48" s="72" t="n"/>
      <c r="E48" s="72" t="n"/>
      <c r="F48" s="72" t="n"/>
      <c r="G48" s="89" t="n"/>
      <c r="H48" s="89" t="n"/>
      <c r="I48" s="109" t="n"/>
      <c r="J48" s="126">
        <f>IF(OR(D48="",ProjStart=""),"",MAX(ProjStart,IF(I48&lt;&gt;"",I48,0),IF(H48="",0,IFERROR(INDEX($L$6:L47,MATCH(H48,$B$6:B47,0))+1,0))))</f>
        <v/>
      </c>
      <c r="K48" s="89" t="n"/>
      <c r="L48" s="126">
        <f>IF(J48="","",J48+MAX(1,G48)+IF(K48="",0,K48)-1)</f>
        <v/>
      </c>
      <c r="M48" s="72" t="n"/>
      <c r="N48" s="109" t="n"/>
      <c r="O48" s="127">
        <f>IF(D48="","",COUNTIF($H$7:$H$1006,B48))</f>
        <v/>
      </c>
      <c r="P48" s="78">
        <f>IF(D48="","",IF(AND(H48&lt;&gt;"",H48&gt;=B48),"⚠️ Predecessor must be above",IF(M48="Done","✓ Done",IF(Q48=3,"🔴 Late",IF(M48="In progress","In progress","")))))</f>
        <v/>
      </c>
      <c r="Q48" s="79">
        <f>IF(OR(D48="",L48=""),"",IF(M48="Done",2,IF(AsOf&gt;L48,3,1)))</f>
        <v/>
      </c>
      <c r="R48" s="79">
        <f>IF(OR(E48="",F48=""),0,IF(COUNTIFS($E$7:E48,E48,$F$7:F48,F48)=1,1,0))</f>
        <v/>
      </c>
      <c r="S48" s="79">
        <f>IF(R48=1,E48&amp;"|"&amp;SUMIFS($R$7:R48,$E$7:E48,E48),"")</f>
        <v/>
      </c>
      <c r="T48" s="112">
        <f>IF(Q48="","",IF(Q48=3,L48,IF(OR(M48="Not started",M48=""),J48,"")))</f>
        <v/>
      </c>
      <c r="U48" s="79">
        <f>IF(T48="","",IF(Q48=3,1,IF(T48="","",IF(T48&lt;AsOf,1,IF(T48&lt;=AsOf+AlertDays,2,IF(T48&lt;=AsOf+2*AlertDays,3,""))))))</f>
        <v/>
      </c>
      <c r="V48" s="79">
        <f>IF(U48="","",IF(Q48=3,"Late task: "&amp;D48,IF(T48&lt;AsOf,"Should have started: ","Starts soon: ")&amp;D48)&amp;IF(F48="",""," — "&amp;F48))</f>
        <v/>
      </c>
    </row>
    <row r="49" ht="20" customHeight="1">
      <c r="B49" s="125" t="n">
        <v>43</v>
      </c>
      <c r="C49" s="72" t="n"/>
      <c r="D49" s="72" t="n"/>
      <c r="E49" s="72" t="n"/>
      <c r="F49" s="72" t="n"/>
      <c r="G49" s="89" t="n"/>
      <c r="H49" s="89" t="n"/>
      <c r="I49" s="109" t="n"/>
      <c r="J49" s="126">
        <f>IF(OR(D49="",ProjStart=""),"",MAX(ProjStart,IF(I49&lt;&gt;"",I49,0),IF(H49="",0,IFERROR(INDEX($L$6:L48,MATCH(H49,$B$6:B48,0))+1,0))))</f>
        <v/>
      </c>
      <c r="K49" s="89" t="n"/>
      <c r="L49" s="126">
        <f>IF(J49="","",J49+MAX(1,G49)+IF(K49="",0,K49)-1)</f>
        <v/>
      </c>
      <c r="M49" s="72" t="n"/>
      <c r="N49" s="109" t="n"/>
      <c r="O49" s="127">
        <f>IF(D49="","",COUNTIF($H$7:$H$1006,B49))</f>
        <v/>
      </c>
      <c r="P49" s="78">
        <f>IF(D49="","",IF(AND(H49&lt;&gt;"",H49&gt;=B49),"⚠️ Predecessor must be above",IF(M49="Done","✓ Done",IF(Q49=3,"🔴 Late",IF(M49="In progress","In progress","")))))</f>
        <v/>
      </c>
      <c r="Q49" s="79">
        <f>IF(OR(D49="",L49=""),"",IF(M49="Done",2,IF(AsOf&gt;L49,3,1)))</f>
        <v/>
      </c>
      <c r="R49" s="79">
        <f>IF(OR(E49="",F49=""),0,IF(COUNTIFS($E$7:E49,E49,$F$7:F49,F49)=1,1,0))</f>
        <v/>
      </c>
      <c r="S49" s="79">
        <f>IF(R49=1,E49&amp;"|"&amp;SUMIFS($R$7:R49,$E$7:E49,E49),"")</f>
        <v/>
      </c>
      <c r="T49" s="112">
        <f>IF(Q49="","",IF(Q49=3,L49,IF(OR(M49="Not started",M49=""),J49,"")))</f>
        <v/>
      </c>
      <c r="U49" s="79">
        <f>IF(T49="","",IF(Q49=3,1,IF(T49="","",IF(T49&lt;AsOf,1,IF(T49&lt;=AsOf+AlertDays,2,IF(T49&lt;=AsOf+2*AlertDays,3,""))))))</f>
        <v/>
      </c>
      <c r="V49" s="79">
        <f>IF(U49="","",IF(Q49=3,"Late task: "&amp;D49,IF(T49&lt;AsOf,"Should have started: ","Starts soon: ")&amp;D49)&amp;IF(F49="",""," — "&amp;F49))</f>
        <v/>
      </c>
    </row>
    <row r="50" ht="20" customHeight="1">
      <c r="B50" s="125" t="n">
        <v>44</v>
      </c>
      <c r="C50" s="72" t="n"/>
      <c r="D50" s="72" t="n"/>
      <c r="E50" s="72" t="n"/>
      <c r="F50" s="72" t="n"/>
      <c r="G50" s="89" t="n"/>
      <c r="H50" s="89" t="n"/>
      <c r="I50" s="109" t="n"/>
      <c r="J50" s="126">
        <f>IF(OR(D50="",ProjStart=""),"",MAX(ProjStart,IF(I50&lt;&gt;"",I50,0),IF(H50="",0,IFERROR(INDEX($L$6:L49,MATCH(H50,$B$6:B49,0))+1,0))))</f>
        <v/>
      </c>
      <c r="K50" s="89" t="n"/>
      <c r="L50" s="126">
        <f>IF(J50="","",J50+MAX(1,G50)+IF(K50="",0,K50)-1)</f>
        <v/>
      </c>
      <c r="M50" s="72" t="n"/>
      <c r="N50" s="109" t="n"/>
      <c r="O50" s="127">
        <f>IF(D50="","",COUNTIF($H$7:$H$1006,B50))</f>
        <v/>
      </c>
      <c r="P50" s="78">
        <f>IF(D50="","",IF(AND(H50&lt;&gt;"",H50&gt;=B50),"⚠️ Predecessor must be above",IF(M50="Done","✓ Done",IF(Q50=3,"🔴 Late",IF(M50="In progress","In progress","")))))</f>
        <v/>
      </c>
      <c r="Q50" s="79">
        <f>IF(OR(D50="",L50=""),"",IF(M50="Done",2,IF(AsOf&gt;L50,3,1)))</f>
        <v/>
      </c>
      <c r="R50" s="79">
        <f>IF(OR(E50="",F50=""),0,IF(COUNTIFS($E$7:E50,E50,$F$7:F50,F50)=1,1,0))</f>
        <v/>
      </c>
      <c r="S50" s="79">
        <f>IF(R50=1,E50&amp;"|"&amp;SUMIFS($R$7:R50,$E$7:E50,E50),"")</f>
        <v/>
      </c>
      <c r="T50" s="112">
        <f>IF(Q50="","",IF(Q50=3,L50,IF(OR(M50="Not started",M50=""),J50,"")))</f>
        <v/>
      </c>
      <c r="U50" s="79">
        <f>IF(T50="","",IF(Q50=3,1,IF(T50="","",IF(T50&lt;AsOf,1,IF(T50&lt;=AsOf+AlertDays,2,IF(T50&lt;=AsOf+2*AlertDays,3,""))))))</f>
        <v/>
      </c>
      <c r="V50" s="79">
        <f>IF(U50="","",IF(Q50=3,"Late task: "&amp;D50,IF(T50&lt;AsOf,"Should have started: ","Starts soon: ")&amp;D50)&amp;IF(F50="",""," — "&amp;F50))</f>
        <v/>
      </c>
    </row>
    <row r="51" ht="20" customHeight="1">
      <c r="B51" s="125" t="n">
        <v>45</v>
      </c>
      <c r="C51" s="72" t="n"/>
      <c r="D51" s="72" t="n"/>
      <c r="E51" s="72" t="n"/>
      <c r="F51" s="72" t="n"/>
      <c r="G51" s="89" t="n"/>
      <c r="H51" s="89" t="n"/>
      <c r="I51" s="109" t="n"/>
      <c r="J51" s="126">
        <f>IF(OR(D51="",ProjStart=""),"",MAX(ProjStart,IF(I51&lt;&gt;"",I51,0),IF(H51="",0,IFERROR(INDEX($L$6:L50,MATCH(H51,$B$6:B50,0))+1,0))))</f>
        <v/>
      </c>
      <c r="K51" s="89" t="n"/>
      <c r="L51" s="126">
        <f>IF(J51="","",J51+MAX(1,G51)+IF(K51="",0,K51)-1)</f>
        <v/>
      </c>
      <c r="M51" s="72" t="n"/>
      <c r="N51" s="109" t="n"/>
      <c r="O51" s="127">
        <f>IF(D51="","",COUNTIF($H$7:$H$1006,B51))</f>
        <v/>
      </c>
      <c r="P51" s="78">
        <f>IF(D51="","",IF(AND(H51&lt;&gt;"",H51&gt;=B51),"⚠️ Predecessor must be above",IF(M51="Done","✓ Done",IF(Q51=3,"🔴 Late",IF(M51="In progress","In progress","")))))</f>
        <v/>
      </c>
      <c r="Q51" s="79">
        <f>IF(OR(D51="",L51=""),"",IF(M51="Done",2,IF(AsOf&gt;L51,3,1)))</f>
        <v/>
      </c>
      <c r="R51" s="79">
        <f>IF(OR(E51="",F51=""),0,IF(COUNTIFS($E$7:E51,E51,$F$7:F51,F51)=1,1,0))</f>
        <v/>
      </c>
      <c r="S51" s="79">
        <f>IF(R51=1,E51&amp;"|"&amp;SUMIFS($R$7:R51,$E$7:E51,E51),"")</f>
        <v/>
      </c>
      <c r="T51" s="112">
        <f>IF(Q51="","",IF(Q51=3,L51,IF(OR(M51="Not started",M51=""),J51,"")))</f>
        <v/>
      </c>
      <c r="U51" s="79">
        <f>IF(T51="","",IF(Q51=3,1,IF(T51="","",IF(T51&lt;AsOf,1,IF(T51&lt;=AsOf+AlertDays,2,IF(T51&lt;=AsOf+2*AlertDays,3,""))))))</f>
        <v/>
      </c>
      <c r="V51" s="79">
        <f>IF(U51="","",IF(Q51=3,"Late task: "&amp;D51,IF(T51&lt;AsOf,"Should have started: ","Starts soon: ")&amp;D51)&amp;IF(F51="",""," — "&amp;F51))</f>
        <v/>
      </c>
    </row>
    <row r="52" ht="20" customHeight="1">
      <c r="B52" s="125" t="n">
        <v>46</v>
      </c>
      <c r="C52" s="72" t="n"/>
      <c r="D52" s="72" t="n"/>
      <c r="E52" s="72" t="n"/>
      <c r="F52" s="72" t="n"/>
      <c r="G52" s="89" t="n"/>
      <c r="H52" s="89" t="n"/>
      <c r="I52" s="109" t="n"/>
      <c r="J52" s="126">
        <f>IF(OR(D52="",ProjStart=""),"",MAX(ProjStart,IF(I52&lt;&gt;"",I52,0),IF(H52="",0,IFERROR(INDEX($L$6:L51,MATCH(H52,$B$6:B51,0))+1,0))))</f>
        <v/>
      </c>
      <c r="K52" s="89" t="n"/>
      <c r="L52" s="126">
        <f>IF(J52="","",J52+MAX(1,G52)+IF(K52="",0,K52)-1)</f>
        <v/>
      </c>
      <c r="M52" s="72" t="n"/>
      <c r="N52" s="109" t="n"/>
      <c r="O52" s="127">
        <f>IF(D52="","",COUNTIF($H$7:$H$1006,B52))</f>
        <v/>
      </c>
      <c r="P52" s="78">
        <f>IF(D52="","",IF(AND(H52&lt;&gt;"",H52&gt;=B52),"⚠️ Predecessor must be above",IF(M52="Done","✓ Done",IF(Q52=3,"🔴 Late",IF(M52="In progress","In progress","")))))</f>
        <v/>
      </c>
      <c r="Q52" s="79">
        <f>IF(OR(D52="",L52=""),"",IF(M52="Done",2,IF(AsOf&gt;L52,3,1)))</f>
        <v/>
      </c>
      <c r="R52" s="79">
        <f>IF(OR(E52="",F52=""),0,IF(COUNTIFS($E$7:E52,E52,$F$7:F52,F52)=1,1,0))</f>
        <v/>
      </c>
      <c r="S52" s="79">
        <f>IF(R52=1,E52&amp;"|"&amp;SUMIFS($R$7:R52,$E$7:E52,E52),"")</f>
        <v/>
      </c>
      <c r="T52" s="112">
        <f>IF(Q52="","",IF(Q52=3,L52,IF(OR(M52="Not started",M52=""),J52,"")))</f>
        <v/>
      </c>
      <c r="U52" s="79">
        <f>IF(T52="","",IF(Q52=3,1,IF(T52="","",IF(T52&lt;AsOf,1,IF(T52&lt;=AsOf+AlertDays,2,IF(T52&lt;=AsOf+2*AlertDays,3,""))))))</f>
        <v/>
      </c>
      <c r="V52" s="79">
        <f>IF(U52="","",IF(Q52=3,"Late task: "&amp;D52,IF(T52&lt;AsOf,"Should have started: ","Starts soon: ")&amp;D52)&amp;IF(F52="",""," — "&amp;F52))</f>
        <v/>
      </c>
    </row>
    <row r="53" ht="20" customHeight="1">
      <c r="B53" s="125" t="n">
        <v>47</v>
      </c>
      <c r="C53" s="72" t="n"/>
      <c r="D53" s="72" t="n"/>
      <c r="E53" s="72" t="n"/>
      <c r="F53" s="72" t="n"/>
      <c r="G53" s="89" t="n"/>
      <c r="H53" s="89" t="n"/>
      <c r="I53" s="109" t="n"/>
      <c r="J53" s="126">
        <f>IF(OR(D53="",ProjStart=""),"",MAX(ProjStart,IF(I53&lt;&gt;"",I53,0),IF(H53="",0,IFERROR(INDEX($L$6:L52,MATCH(H53,$B$6:B52,0))+1,0))))</f>
        <v/>
      </c>
      <c r="K53" s="89" t="n"/>
      <c r="L53" s="126">
        <f>IF(J53="","",J53+MAX(1,G53)+IF(K53="",0,K53)-1)</f>
        <v/>
      </c>
      <c r="M53" s="72" t="n"/>
      <c r="N53" s="109" t="n"/>
      <c r="O53" s="127">
        <f>IF(D53="","",COUNTIF($H$7:$H$1006,B53))</f>
        <v/>
      </c>
      <c r="P53" s="78">
        <f>IF(D53="","",IF(AND(H53&lt;&gt;"",H53&gt;=B53),"⚠️ Predecessor must be above",IF(M53="Done","✓ Done",IF(Q53=3,"🔴 Late",IF(M53="In progress","In progress","")))))</f>
        <v/>
      </c>
      <c r="Q53" s="79">
        <f>IF(OR(D53="",L53=""),"",IF(M53="Done",2,IF(AsOf&gt;L53,3,1)))</f>
        <v/>
      </c>
      <c r="R53" s="79">
        <f>IF(OR(E53="",F53=""),0,IF(COUNTIFS($E$7:E53,E53,$F$7:F53,F53)=1,1,0))</f>
        <v/>
      </c>
      <c r="S53" s="79">
        <f>IF(R53=1,E53&amp;"|"&amp;SUMIFS($R$7:R53,$E$7:E53,E53),"")</f>
        <v/>
      </c>
      <c r="T53" s="112">
        <f>IF(Q53="","",IF(Q53=3,L53,IF(OR(M53="Not started",M53=""),J53,"")))</f>
        <v/>
      </c>
      <c r="U53" s="79">
        <f>IF(T53="","",IF(Q53=3,1,IF(T53="","",IF(T53&lt;AsOf,1,IF(T53&lt;=AsOf+AlertDays,2,IF(T53&lt;=AsOf+2*AlertDays,3,""))))))</f>
        <v/>
      </c>
      <c r="V53" s="79">
        <f>IF(U53="","",IF(Q53=3,"Late task: "&amp;D53,IF(T53&lt;AsOf,"Should have started: ","Starts soon: ")&amp;D53)&amp;IF(F53="",""," — "&amp;F53))</f>
        <v/>
      </c>
    </row>
    <row r="54" ht="20" customHeight="1">
      <c r="B54" s="125" t="n">
        <v>48</v>
      </c>
      <c r="C54" s="72" t="n"/>
      <c r="D54" s="72" t="n"/>
      <c r="E54" s="72" t="n"/>
      <c r="F54" s="72" t="n"/>
      <c r="G54" s="89" t="n"/>
      <c r="H54" s="89" t="n"/>
      <c r="I54" s="109" t="n"/>
      <c r="J54" s="126">
        <f>IF(OR(D54="",ProjStart=""),"",MAX(ProjStart,IF(I54&lt;&gt;"",I54,0),IF(H54="",0,IFERROR(INDEX($L$6:L53,MATCH(H54,$B$6:B53,0))+1,0))))</f>
        <v/>
      </c>
      <c r="K54" s="89" t="n"/>
      <c r="L54" s="126">
        <f>IF(J54="","",J54+MAX(1,G54)+IF(K54="",0,K54)-1)</f>
        <v/>
      </c>
      <c r="M54" s="72" t="n"/>
      <c r="N54" s="109" t="n"/>
      <c r="O54" s="127">
        <f>IF(D54="","",COUNTIF($H$7:$H$1006,B54))</f>
        <v/>
      </c>
      <c r="P54" s="78">
        <f>IF(D54="","",IF(AND(H54&lt;&gt;"",H54&gt;=B54),"⚠️ Predecessor must be above",IF(M54="Done","✓ Done",IF(Q54=3,"🔴 Late",IF(M54="In progress","In progress","")))))</f>
        <v/>
      </c>
      <c r="Q54" s="79">
        <f>IF(OR(D54="",L54=""),"",IF(M54="Done",2,IF(AsOf&gt;L54,3,1)))</f>
        <v/>
      </c>
      <c r="R54" s="79">
        <f>IF(OR(E54="",F54=""),0,IF(COUNTIFS($E$7:E54,E54,$F$7:F54,F54)=1,1,0))</f>
        <v/>
      </c>
      <c r="S54" s="79">
        <f>IF(R54=1,E54&amp;"|"&amp;SUMIFS($R$7:R54,$E$7:E54,E54),"")</f>
        <v/>
      </c>
      <c r="T54" s="112">
        <f>IF(Q54="","",IF(Q54=3,L54,IF(OR(M54="Not started",M54=""),J54,"")))</f>
        <v/>
      </c>
      <c r="U54" s="79">
        <f>IF(T54="","",IF(Q54=3,1,IF(T54="","",IF(T54&lt;AsOf,1,IF(T54&lt;=AsOf+AlertDays,2,IF(T54&lt;=AsOf+2*AlertDays,3,""))))))</f>
        <v/>
      </c>
      <c r="V54" s="79">
        <f>IF(U54="","",IF(Q54=3,"Late task: "&amp;D54,IF(T54&lt;AsOf,"Should have started: ","Starts soon: ")&amp;D54)&amp;IF(F54="",""," — "&amp;F54))</f>
        <v/>
      </c>
    </row>
    <row r="55" ht="20" customHeight="1">
      <c r="B55" s="125" t="n">
        <v>49</v>
      </c>
      <c r="C55" s="72" t="n"/>
      <c r="D55" s="72" t="n"/>
      <c r="E55" s="72" t="n"/>
      <c r="F55" s="72" t="n"/>
      <c r="G55" s="89" t="n"/>
      <c r="H55" s="89" t="n"/>
      <c r="I55" s="109" t="n"/>
      <c r="J55" s="126">
        <f>IF(OR(D55="",ProjStart=""),"",MAX(ProjStart,IF(I55&lt;&gt;"",I55,0),IF(H55="",0,IFERROR(INDEX($L$6:L54,MATCH(H55,$B$6:B54,0))+1,0))))</f>
        <v/>
      </c>
      <c r="K55" s="89" t="n"/>
      <c r="L55" s="126">
        <f>IF(J55="","",J55+MAX(1,G55)+IF(K55="",0,K55)-1)</f>
        <v/>
      </c>
      <c r="M55" s="72" t="n"/>
      <c r="N55" s="109" t="n"/>
      <c r="O55" s="127">
        <f>IF(D55="","",COUNTIF($H$7:$H$1006,B55))</f>
        <v/>
      </c>
      <c r="P55" s="78">
        <f>IF(D55="","",IF(AND(H55&lt;&gt;"",H55&gt;=B55),"⚠️ Predecessor must be above",IF(M55="Done","✓ Done",IF(Q55=3,"🔴 Late",IF(M55="In progress","In progress","")))))</f>
        <v/>
      </c>
      <c r="Q55" s="79">
        <f>IF(OR(D55="",L55=""),"",IF(M55="Done",2,IF(AsOf&gt;L55,3,1)))</f>
        <v/>
      </c>
      <c r="R55" s="79">
        <f>IF(OR(E55="",F55=""),0,IF(COUNTIFS($E$7:E55,E55,$F$7:F55,F55)=1,1,0))</f>
        <v/>
      </c>
      <c r="S55" s="79">
        <f>IF(R55=1,E55&amp;"|"&amp;SUMIFS($R$7:R55,$E$7:E55,E55),"")</f>
        <v/>
      </c>
      <c r="T55" s="112">
        <f>IF(Q55="","",IF(Q55=3,L55,IF(OR(M55="Not started",M55=""),J55,"")))</f>
        <v/>
      </c>
      <c r="U55" s="79">
        <f>IF(T55="","",IF(Q55=3,1,IF(T55="","",IF(T55&lt;AsOf,1,IF(T55&lt;=AsOf+AlertDays,2,IF(T55&lt;=AsOf+2*AlertDays,3,""))))))</f>
        <v/>
      </c>
      <c r="V55" s="79">
        <f>IF(U55="","",IF(Q55=3,"Late task: "&amp;D55,IF(T55&lt;AsOf,"Should have started: ","Starts soon: ")&amp;D55)&amp;IF(F55="",""," — "&amp;F55))</f>
        <v/>
      </c>
    </row>
    <row r="56" ht="20" customHeight="1">
      <c r="B56" s="125" t="n">
        <v>50</v>
      </c>
      <c r="C56" s="72" t="n"/>
      <c r="D56" s="72" t="n"/>
      <c r="E56" s="72" t="n"/>
      <c r="F56" s="72" t="n"/>
      <c r="G56" s="89" t="n"/>
      <c r="H56" s="89" t="n"/>
      <c r="I56" s="109" t="n"/>
      <c r="J56" s="126">
        <f>IF(OR(D56="",ProjStart=""),"",MAX(ProjStart,IF(I56&lt;&gt;"",I56,0),IF(H56="",0,IFERROR(INDEX($L$6:L55,MATCH(H56,$B$6:B55,0))+1,0))))</f>
        <v/>
      </c>
      <c r="K56" s="89" t="n"/>
      <c r="L56" s="126">
        <f>IF(J56="","",J56+MAX(1,G56)+IF(K56="",0,K56)-1)</f>
        <v/>
      </c>
      <c r="M56" s="72" t="n"/>
      <c r="N56" s="109" t="n"/>
      <c r="O56" s="127">
        <f>IF(D56="","",COUNTIF($H$7:$H$1006,B56))</f>
        <v/>
      </c>
      <c r="P56" s="78">
        <f>IF(D56="","",IF(AND(H56&lt;&gt;"",H56&gt;=B56),"⚠️ Predecessor must be above",IF(M56="Done","✓ Done",IF(Q56=3,"🔴 Late",IF(M56="In progress","In progress","")))))</f>
        <v/>
      </c>
      <c r="Q56" s="79">
        <f>IF(OR(D56="",L56=""),"",IF(M56="Done",2,IF(AsOf&gt;L56,3,1)))</f>
        <v/>
      </c>
      <c r="R56" s="79">
        <f>IF(OR(E56="",F56=""),0,IF(COUNTIFS($E$7:E56,E56,$F$7:F56,F56)=1,1,0))</f>
        <v/>
      </c>
      <c r="S56" s="79">
        <f>IF(R56=1,E56&amp;"|"&amp;SUMIFS($R$7:R56,$E$7:E56,E56),"")</f>
        <v/>
      </c>
      <c r="T56" s="112">
        <f>IF(Q56="","",IF(Q56=3,L56,IF(OR(M56="Not started",M56=""),J56,"")))</f>
        <v/>
      </c>
      <c r="U56" s="79">
        <f>IF(T56="","",IF(Q56=3,1,IF(T56="","",IF(T56&lt;AsOf,1,IF(T56&lt;=AsOf+AlertDays,2,IF(T56&lt;=AsOf+2*AlertDays,3,""))))))</f>
        <v/>
      </c>
      <c r="V56" s="79">
        <f>IF(U56="","",IF(Q56=3,"Late task: "&amp;D56,IF(T56&lt;AsOf,"Should have started: ","Starts soon: ")&amp;D56)&amp;IF(F56="",""," — "&amp;F56))</f>
        <v/>
      </c>
    </row>
    <row r="57" ht="20" customHeight="1">
      <c r="B57" s="125" t="n">
        <v>51</v>
      </c>
      <c r="C57" s="72" t="n"/>
      <c r="D57" s="72" t="n"/>
      <c r="E57" s="72" t="n"/>
      <c r="F57" s="72" t="n"/>
      <c r="G57" s="89" t="n"/>
      <c r="H57" s="89" t="n"/>
      <c r="I57" s="109" t="n"/>
      <c r="J57" s="126">
        <f>IF(OR(D57="",ProjStart=""),"",MAX(ProjStart,IF(I57&lt;&gt;"",I57,0),IF(H57="",0,IFERROR(INDEX($L$6:L56,MATCH(H57,$B$6:B56,0))+1,0))))</f>
        <v/>
      </c>
      <c r="K57" s="89" t="n"/>
      <c r="L57" s="126">
        <f>IF(J57="","",J57+MAX(1,G57)+IF(K57="",0,K57)-1)</f>
        <v/>
      </c>
      <c r="M57" s="72" t="n"/>
      <c r="N57" s="109" t="n"/>
      <c r="O57" s="127">
        <f>IF(D57="","",COUNTIF($H$7:$H$1006,B57))</f>
        <v/>
      </c>
      <c r="P57" s="78">
        <f>IF(D57="","",IF(AND(H57&lt;&gt;"",H57&gt;=B57),"⚠️ Predecessor must be above",IF(M57="Done","✓ Done",IF(Q57=3,"🔴 Late",IF(M57="In progress","In progress","")))))</f>
        <v/>
      </c>
      <c r="Q57" s="79">
        <f>IF(OR(D57="",L57=""),"",IF(M57="Done",2,IF(AsOf&gt;L57,3,1)))</f>
        <v/>
      </c>
      <c r="R57" s="79">
        <f>IF(OR(E57="",F57=""),0,IF(COUNTIFS($E$7:E57,E57,$F$7:F57,F57)=1,1,0))</f>
        <v/>
      </c>
      <c r="S57" s="79">
        <f>IF(R57=1,E57&amp;"|"&amp;SUMIFS($R$7:R57,$E$7:E57,E57),"")</f>
        <v/>
      </c>
      <c r="T57" s="112">
        <f>IF(Q57="","",IF(Q57=3,L57,IF(OR(M57="Not started",M57=""),J57,"")))</f>
        <v/>
      </c>
      <c r="U57" s="79">
        <f>IF(T57="","",IF(Q57=3,1,IF(T57="","",IF(T57&lt;AsOf,1,IF(T57&lt;=AsOf+AlertDays,2,IF(T57&lt;=AsOf+2*AlertDays,3,""))))))</f>
        <v/>
      </c>
      <c r="V57" s="79">
        <f>IF(U57="","",IF(Q57=3,"Late task: "&amp;D57,IF(T57&lt;AsOf,"Should have started: ","Starts soon: ")&amp;D57)&amp;IF(F57="",""," — "&amp;F57))</f>
        <v/>
      </c>
    </row>
    <row r="58" ht="20" customHeight="1">
      <c r="B58" s="125" t="n">
        <v>52</v>
      </c>
      <c r="C58" s="72" t="n"/>
      <c r="D58" s="72" t="n"/>
      <c r="E58" s="72" t="n"/>
      <c r="F58" s="72" t="n"/>
      <c r="G58" s="89" t="n"/>
      <c r="H58" s="89" t="n"/>
      <c r="I58" s="109" t="n"/>
      <c r="J58" s="126">
        <f>IF(OR(D58="",ProjStart=""),"",MAX(ProjStart,IF(I58&lt;&gt;"",I58,0),IF(H58="",0,IFERROR(INDEX($L$6:L57,MATCH(H58,$B$6:B57,0))+1,0))))</f>
        <v/>
      </c>
      <c r="K58" s="89" t="n"/>
      <c r="L58" s="126">
        <f>IF(J58="","",J58+MAX(1,G58)+IF(K58="",0,K58)-1)</f>
        <v/>
      </c>
      <c r="M58" s="72" t="n"/>
      <c r="N58" s="109" t="n"/>
      <c r="O58" s="127">
        <f>IF(D58="","",COUNTIF($H$7:$H$1006,B58))</f>
        <v/>
      </c>
      <c r="P58" s="78">
        <f>IF(D58="","",IF(AND(H58&lt;&gt;"",H58&gt;=B58),"⚠️ Predecessor must be above",IF(M58="Done","✓ Done",IF(Q58=3,"🔴 Late",IF(M58="In progress","In progress","")))))</f>
        <v/>
      </c>
      <c r="Q58" s="79">
        <f>IF(OR(D58="",L58=""),"",IF(M58="Done",2,IF(AsOf&gt;L58,3,1)))</f>
        <v/>
      </c>
      <c r="R58" s="79">
        <f>IF(OR(E58="",F58=""),0,IF(COUNTIFS($E$7:E58,E58,$F$7:F58,F58)=1,1,0))</f>
        <v/>
      </c>
      <c r="S58" s="79">
        <f>IF(R58=1,E58&amp;"|"&amp;SUMIFS($R$7:R58,$E$7:E58,E58),"")</f>
        <v/>
      </c>
      <c r="T58" s="112">
        <f>IF(Q58="","",IF(Q58=3,L58,IF(OR(M58="Not started",M58=""),J58,"")))</f>
        <v/>
      </c>
      <c r="U58" s="79">
        <f>IF(T58="","",IF(Q58=3,1,IF(T58="","",IF(T58&lt;AsOf,1,IF(T58&lt;=AsOf+AlertDays,2,IF(T58&lt;=AsOf+2*AlertDays,3,""))))))</f>
        <v/>
      </c>
      <c r="V58" s="79">
        <f>IF(U58="","",IF(Q58=3,"Late task: "&amp;D58,IF(T58&lt;AsOf,"Should have started: ","Starts soon: ")&amp;D58)&amp;IF(F58="",""," — "&amp;F58))</f>
        <v/>
      </c>
    </row>
    <row r="59" ht="20" customHeight="1">
      <c r="B59" s="125" t="n">
        <v>53</v>
      </c>
      <c r="C59" s="72" t="n"/>
      <c r="D59" s="72" t="n"/>
      <c r="E59" s="72" t="n"/>
      <c r="F59" s="72" t="n"/>
      <c r="G59" s="89" t="n"/>
      <c r="H59" s="89" t="n"/>
      <c r="I59" s="109" t="n"/>
      <c r="J59" s="126">
        <f>IF(OR(D59="",ProjStart=""),"",MAX(ProjStart,IF(I59&lt;&gt;"",I59,0),IF(H59="",0,IFERROR(INDEX($L$6:L58,MATCH(H59,$B$6:B58,0))+1,0))))</f>
        <v/>
      </c>
      <c r="K59" s="89" t="n"/>
      <c r="L59" s="126">
        <f>IF(J59="","",J59+MAX(1,G59)+IF(K59="",0,K59)-1)</f>
        <v/>
      </c>
      <c r="M59" s="72" t="n"/>
      <c r="N59" s="109" t="n"/>
      <c r="O59" s="127">
        <f>IF(D59="","",COUNTIF($H$7:$H$1006,B59))</f>
        <v/>
      </c>
      <c r="P59" s="78">
        <f>IF(D59="","",IF(AND(H59&lt;&gt;"",H59&gt;=B59),"⚠️ Predecessor must be above",IF(M59="Done","✓ Done",IF(Q59=3,"🔴 Late",IF(M59="In progress","In progress","")))))</f>
        <v/>
      </c>
      <c r="Q59" s="79">
        <f>IF(OR(D59="",L59=""),"",IF(M59="Done",2,IF(AsOf&gt;L59,3,1)))</f>
        <v/>
      </c>
      <c r="R59" s="79">
        <f>IF(OR(E59="",F59=""),0,IF(COUNTIFS($E$7:E59,E59,$F$7:F59,F59)=1,1,0))</f>
        <v/>
      </c>
      <c r="S59" s="79">
        <f>IF(R59=1,E59&amp;"|"&amp;SUMIFS($R$7:R59,$E$7:E59,E59),"")</f>
        <v/>
      </c>
      <c r="T59" s="112">
        <f>IF(Q59="","",IF(Q59=3,L59,IF(OR(M59="Not started",M59=""),J59,"")))</f>
        <v/>
      </c>
      <c r="U59" s="79">
        <f>IF(T59="","",IF(Q59=3,1,IF(T59="","",IF(T59&lt;AsOf,1,IF(T59&lt;=AsOf+AlertDays,2,IF(T59&lt;=AsOf+2*AlertDays,3,""))))))</f>
        <v/>
      </c>
      <c r="V59" s="79">
        <f>IF(U59="","",IF(Q59=3,"Late task: "&amp;D59,IF(T59&lt;AsOf,"Should have started: ","Starts soon: ")&amp;D59)&amp;IF(F59="",""," — "&amp;F59))</f>
        <v/>
      </c>
    </row>
    <row r="60" ht="20" customHeight="1">
      <c r="B60" s="125" t="n">
        <v>54</v>
      </c>
      <c r="C60" s="72" t="n"/>
      <c r="D60" s="72" t="n"/>
      <c r="E60" s="72" t="n"/>
      <c r="F60" s="72" t="n"/>
      <c r="G60" s="89" t="n"/>
      <c r="H60" s="89" t="n"/>
      <c r="I60" s="109" t="n"/>
      <c r="J60" s="126">
        <f>IF(OR(D60="",ProjStart=""),"",MAX(ProjStart,IF(I60&lt;&gt;"",I60,0),IF(H60="",0,IFERROR(INDEX($L$6:L59,MATCH(H60,$B$6:B59,0))+1,0))))</f>
        <v/>
      </c>
      <c r="K60" s="89" t="n"/>
      <c r="L60" s="126">
        <f>IF(J60="","",J60+MAX(1,G60)+IF(K60="",0,K60)-1)</f>
        <v/>
      </c>
      <c r="M60" s="72" t="n"/>
      <c r="N60" s="109" t="n"/>
      <c r="O60" s="127">
        <f>IF(D60="","",COUNTIF($H$7:$H$1006,B60))</f>
        <v/>
      </c>
      <c r="P60" s="78">
        <f>IF(D60="","",IF(AND(H60&lt;&gt;"",H60&gt;=B60),"⚠️ Predecessor must be above",IF(M60="Done","✓ Done",IF(Q60=3,"🔴 Late",IF(M60="In progress","In progress","")))))</f>
        <v/>
      </c>
      <c r="Q60" s="79">
        <f>IF(OR(D60="",L60=""),"",IF(M60="Done",2,IF(AsOf&gt;L60,3,1)))</f>
        <v/>
      </c>
      <c r="R60" s="79">
        <f>IF(OR(E60="",F60=""),0,IF(COUNTIFS($E$7:E60,E60,$F$7:F60,F60)=1,1,0))</f>
        <v/>
      </c>
      <c r="S60" s="79">
        <f>IF(R60=1,E60&amp;"|"&amp;SUMIFS($R$7:R60,$E$7:E60,E60),"")</f>
        <v/>
      </c>
      <c r="T60" s="112">
        <f>IF(Q60="","",IF(Q60=3,L60,IF(OR(M60="Not started",M60=""),J60,"")))</f>
        <v/>
      </c>
      <c r="U60" s="79">
        <f>IF(T60="","",IF(Q60=3,1,IF(T60="","",IF(T60&lt;AsOf,1,IF(T60&lt;=AsOf+AlertDays,2,IF(T60&lt;=AsOf+2*AlertDays,3,""))))))</f>
        <v/>
      </c>
      <c r="V60" s="79">
        <f>IF(U60="","",IF(Q60=3,"Late task: "&amp;D60,IF(T60&lt;AsOf,"Should have started: ","Starts soon: ")&amp;D60)&amp;IF(F60="",""," — "&amp;F60))</f>
        <v/>
      </c>
    </row>
    <row r="61" ht="20" customHeight="1">
      <c r="B61" s="125" t="n">
        <v>55</v>
      </c>
      <c r="C61" s="72" t="n"/>
      <c r="D61" s="72" t="n"/>
      <c r="E61" s="72" t="n"/>
      <c r="F61" s="72" t="n"/>
      <c r="G61" s="89" t="n"/>
      <c r="H61" s="89" t="n"/>
      <c r="I61" s="109" t="n"/>
      <c r="J61" s="126">
        <f>IF(OR(D61="",ProjStart=""),"",MAX(ProjStart,IF(I61&lt;&gt;"",I61,0),IF(H61="",0,IFERROR(INDEX($L$6:L60,MATCH(H61,$B$6:B60,0))+1,0))))</f>
        <v/>
      </c>
      <c r="K61" s="89" t="n"/>
      <c r="L61" s="126">
        <f>IF(J61="","",J61+MAX(1,G61)+IF(K61="",0,K61)-1)</f>
        <v/>
      </c>
      <c r="M61" s="72" t="n"/>
      <c r="N61" s="109" t="n"/>
      <c r="O61" s="127">
        <f>IF(D61="","",COUNTIF($H$7:$H$1006,B61))</f>
        <v/>
      </c>
      <c r="P61" s="78">
        <f>IF(D61="","",IF(AND(H61&lt;&gt;"",H61&gt;=B61),"⚠️ Predecessor must be above",IF(M61="Done","✓ Done",IF(Q61=3,"🔴 Late",IF(M61="In progress","In progress","")))))</f>
        <v/>
      </c>
      <c r="Q61" s="79">
        <f>IF(OR(D61="",L61=""),"",IF(M61="Done",2,IF(AsOf&gt;L61,3,1)))</f>
        <v/>
      </c>
      <c r="R61" s="79">
        <f>IF(OR(E61="",F61=""),0,IF(COUNTIFS($E$7:E61,E61,$F$7:F61,F61)=1,1,0))</f>
        <v/>
      </c>
      <c r="S61" s="79">
        <f>IF(R61=1,E61&amp;"|"&amp;SUMIFS($R$7:R61,$E$7:E61,E61),"")</f>
        <v/>
      </c>
      <c r="T61" s="112">
        <f>IF(Q61="","",IF(Q61=3,L61,IF(OR(M61="Not started",M61=""),J61,"")))</f>
        <v/>
      </c>
      <c r="U61" s="79">
        <f>IF(T61="","",IF(Q61=3,1,IF(T61="","",IF(T61&lt;AsOf,1,IF(T61&lt;=AsOf+AlertDays,2,IF(T61&lt;=AsOf+2*AlertDays,3,""))))))</f>
        <v/>
      </c>
      <c r="V61" s="79">
        <f>IF(U61="","",IF(Q61=3,"Late task: "&amp;D61,IF(T61&lt;AsOf,"Should have started: ","Starts soon: ")&amp;D61)&amp;IF(F61="",""," — "&amp;F61))</f>
        <v/>
      </c>
    </row>
    <row r="62" ht="20" customHeight="1">
      <c r="B62" s="125" t="n">
        <v>56</v>
      </c>
      <c r="C62" s="72" t="n"/>
      <c r="D62" s="72" t="n"/>
      <c r="E62" s="72" t="n"/>
      <c r="F62" s="72" t="n"/>
      <c r="G62" s="89" t="n"/>
      <c r="H62" s="89" t="n"/>
      <c r="I62" s="109" t="n"/>
      <c r="J62" s="126">
        <f>IF(OR(D62="",ProjStart=""),"",MAX(ProjStart,IF(I62&lt;&gt;"",I62,0),IF(H62="",0,IFERROR(INDEX($L$6:L61,MATCH(H62,$B$6:B61,0))+1,0))))</f>
        <v/>
      </c>
      <c r="K62" s="89" t="n"/>
      <c r="L62" s="126">
        <f>IF(J62="","",J62+MAX(1,G62)+IF(K62="",0,K62)-1)</f>
        <v/>
      </c>
      <c r="M62" s="72" t="n"/>
      <c r="N62" s="109" t="n"/>
      <c r="O62" s="127">
        <f>IF(D62="","",COUNTIF($H$7:$H$1006,B62))</f>
        <v/>
      </c>
      <c r="P62" s="78">
        <f>IF(D62="","",IF(AND(H62&lt;&gt;"",H62&gt;=B62),"⚠️ Predecessor must be above",IF(M62="Done","✓ Done",IF(Q62=3,"🔴 Late",IF(M62="In progress","In progress","")))))</f>
        <v/>
      </c>
      <c r="Q62" s="79">
        <f>IF(OR(D62="",L62=""),"",IF(M62="Done",2,IF(AsOf&gt;L62,3,1)))</f>
        <v/>
      </c>
      <c r="R62" s="79">
        <f>IF(OR(E62="",F62=""),0,IF(COUNTIFS($E$7:E62,E62,$F$7:F62,F62)=1,1,0))</f>
        <v/>
      </c>
      <c r="S62" s="79">
        <f>IF(R62=1,E62&amp;"|"&amp;SUMIFS($R$7:R62,$E$7:E62,E62),"")</f>
        <v/>
      </c>
      <c r="T62" s="112">
        <f>IF(Q62="","",IF(Q62=3,L62,IF(OR(M62="Not started",M62=""),J62,"")))</f>
        <v/>
      </c>
      <c r="U62" s="79">
        <f>IF(T62="","",IF(Q62=3,1,IF(T62="","",IF(T62&lt;AsOf,1,IF(T62&lt;=AsOf+AlertDays,2,IF(T62&lt;=AsOf+2*AlertDays,3,""))))))</f>
        <v/>
      </c>
      <c r="V62" s="79">
        <f>IF(U62="","",IF(Q62=3,"Late task: "&amp;D62,IF(T62&lt;AsOf,"Should have started: ","Starts soon: ")&amp;D62)&amp;IF(F62="",""," — "&amp;F62))</f>
        <v/>
      </c>
    </row>
    <row r="63" ht="20" customHeight="1">
      <c r="B63" s="125" t="n">
        <v>57</v>
      </c>
      <c r="C63" s="72" t="n"/>
      <c r="D63" s="72" t="n"/>
      <c r="E63" s="72" t="n"/>
      <c r="F63" s="72" t="n"/>
      <c r="G63" s="89" t="n"/>
      <c r="H63" s="89" t="n"/>
      <c r="I63" s="109" t="n"/>
      <c r="J63" s="126">
        <f>IF(OR(D63="",ProjStart=""),"",MAX(ProjStart,IF(I63&lt;&gt;"",I63,0),IF(H63="",0,IFERROR(INDEX($L$6:L62,MATCH(H63,$B$6:B62,0))+1,0))))</f>
        <v/>
      </c>
      <c r="K63" s="89" t="n"/>
      <c r="L63" s="126">
        <f>IF(J63="","",J63+MAX(1,G63)+IF(K63="",0,K63)-1)</f>
        <v/>
      </c>
      <c r="M63" s="72" t="n"/>
      <c r="N63" s="109" t="n"/>
      <c r="O63" s="127">
        <f>IF(D63="","",COUNTIF($H$7:$H$1006,B63))</f>
        <v/>
      </c>
      <c r="P63" s="78">
        <f>IF(D63="","",IF(AND(H63&lt;&gt;"",H63&gt;=B63),"⚠️ Predecessor must be above",IF(M63="Done","✓ Done",IF(Q63=3,"🔴 Late",IF(M63="In progress","In progress","")))))</f>
        <v/>
      </c>
      <c r="Q63" s="79">
        <f>IF(OR(D63="",L63=""),"",IF(M63="Done",2,IF(AsOf&gt;L63,3,1)))</f>
        <v/>
      </c>
      <c r="R63" s="79">
        <f>IF(OR(E63="",F63=""),0,IF(COUNTIFS($E$7:E63,E63,$F$7:F63,F63)=1,1,0))</f>
        <v/>
      </c>
      <c r="S63" s="79">
        <f>IF(R63=1,E63&amp;"|"&amp;SUMIFS($R$7:R63,$E$7:E63,E63),"")</f>
        <v/>
      </c>
      <c r="T63" s="112">
        <f>IF(Q63="","",IF(Q63=3,L63,IF(OR(M63="Not started",M63=""),J63,"")))</f>
        <v/>
      </c>
      <c r="U63" s="79">
        <f>IF(T63="","",IF(Q63=3,1,IF(T63="","",IF(T63&lt;AsOf,1,IF(T63&lt;=AsOf+AlertDays,2,IF(T63&lt;=AsOf+2*AlertDays,3,""))))))</f>
        <v/>
      </c>
      <c r="V63" s="79">
        <f>IF(U63="","",IF(Q63=3,"Late task: "&amp;D63,IF(T63&lt;AsOf,"Should have started: ","Starts soon: ")&amp;D63)&amp;IF(F63="",""," — "&amp;F63))</f>
        <v/>
      </c>
    </row>
    <row r="64" ht="20" customHeight="1">
      <c r="B64" s="125" t="n">
        <v>58</v>
      </c>
      <c r="C64" s="72" t="n"/>
      <c r="D64" s="72" t="n"/>
      <c r="E64" s="72" t="n"/>
      <c r="F64" s="72" t="n"/>
      <c r="G64" s="89" t="n"/>
      <c r="H64" s="89" t="n"/>
      <c r="I64" s="109" t="n"/>
      <c r="J64" s="126">
        <f>IF(OR(D64="",ProjStart=""),"",MAX(ProjStart,IF(I64&lt;&gt;"",I64,0),IF(H64="",0,IFERROR(INDEX($L$6:L63,MATCH(H64,$B$6:B63,0))+1,0))))</f>
        <v/>
      </c>
      <c r="K64" s="89" t="n"/>
      <c r="L64" s="126">
        <f>IF(J64="","",J64+MAX(1,G64)+IF(K64="",0,K64)-1)</f>
        <v/>
      </c>
      <c r="M64" s="72" t="n"/>
      <c r="N64" s="109" t="n"/>
      <c r="O64" s="127">
        <f>IF(D64="","",COUNTIF($H$7:$H$1006,B64))</f>
        <v/>
      </c>
      <c r="P64" s="78">
        <f>IF(D64="","",IF(AND(H64&lt;&gt;"",H64&gt;=B64),"⚠️ Predecessor must be above",IF(M64="Done","✓ Done",IF(Q64=3,"🔴 Late",IF(M64="In progress","In progress","")))))</f>
        <v/>
      </c>
      <c r="Q64" s="79">
        <f>IF(OR(D64="",L64=""),"",IF(M64="Done",2,IF(AsOf&gt;L64,3,1)))</f>
        <v/>
      </c>
      <c r="R64" s="79">
        <f>IF(OR(E64="",F64=""),0,IF(COUNTIFS($E$7:E64,E64,$F$7:F64,F64)=1,1,0))</f>
        <v/>
      </c>
      <c r="S64" s="79">
        <f>IF(R64=1,E64&amp;"|"&amp;SUMIFS($R$7:R64,$E$7:E64,E64),"")</f>
        <v/>
      </c>
      <c r="T64" s="112">
        <f>IF(Q64="","",IF(Q64=3,L64,IF(OR(M64="Not started",M64=""),J64,"")))</f>
        <v/>
      </c>
      <c r="U64" s="79">
        <f>IF(T64="","",IF(Q64=3,1,IF(T64="","",IF(T64&lt;AsOf,1,IF(T64&lt;=AsOf+AlertDays,2,IF(T64&lt;=AsOf+2*AlertDays,3,""))))))</f>
        <v/>
      </c>
      <c r="V64" s="79">
        <f>IF(U64="","",IF(Q64=3,"Late task: "&amp;D64,IF(T64&lt;AsOf,"Should have started: ","Starts soon: ")&amp;D64)&amp;IF(F64="",""," — "&amp;F64))</f>
        <v/>
      </c>
    </row>
    <row r="65" ht="20" customHeight="1">
      <c r="B65" s="125" t="n">
        <v>59</v>
      </c>
      <c r="C65" s="72" t="n"/>
      <c r="D65" s="72" t="n"/>
      <c r="E65" s="72" t="n"/>
      <c r="F65" s="72" t="n"/>
      <c r="G65" s="89" t="n"/>
      <c r="H65" s="89" t="n"/>
      <c r="I65" s="109" t="n"/>
      <c r="J65" s="126">
        <f>IF(OR(D65="",ProjStart=""),"",MAX(ProjStart,IF(I65&lt;&gt;"",I65,0),IF(H65="",0,IFERROR(INDEX($L$6:L64,MATCH(H65,$B$6:B64,0))+1,0))))</f>
        <v/>
      </c>
      <c r="K65" s="89" t="n"/>
      <c r="L65" s="126">
        <f>IF(J65="","",J65+MAX(1,G65)+IF(K65="",0,K65)-1)</f>
        <v/>
      </c>
      <c r="M65" s="72" t="n"/>
      <c r="N65" s="109" t="n"/>
      <c r="O65" s="127">
        <f>IF(D65="","",COUNTIF($H$7:$H$1006,B65))</f>
        <v/>
      </c>
      <c r="P65" s="78">
        <f>IF(D65="","",IF(AND(H65&lt;&gt;"",H65&gt;=B65),"⚠️ Predecessor must be above",IF(M65="Done","✓ Done",IF(Q65=3,"🔴 Late",IF(M65="In progress","In progress","")))))</f>
        <v/>
      </c>
      <c r="Q65" s="79">
        <f>IF(OR(D65="",L65=""),"",IF(M65="Done",2,IF(AsOf&gt;L65,3,1)))</f>
        <v/>
      </c>
      <c r="R65" s="79">
        <f>IF(OR(E65="",F65=""),0,IF(COUNTIFS($E$7:E65,E65,$F$7:F65,F65)=1,1,0))</f>
        <v/>
      </c>
      <c r="S65" s="79">
        <f>IF(R65=1,E65&amp;"|"&amp;SUMIFS($R$7:R65,$E$7:E65,E65),"")</f>
        <v/>
      </c>
      <c r="T65" s="112">
        <f>IF(Q65="","",IF(Q65=3,L65,IF(OR(M65="Not started",M65=""),J65,"")))</f>
        <v/>
      </c>
      <c r="U65" s="79">
        <f>IF(T65="","",IF(Q65=3,1,IF(T65="","",IF(T65&lt;AsOf,1,IF(T65&lt;=AsOf+AlertDays,2,IF(T65&lt;=AsOf+2*AlertDays,3,""))))))</f>
        <v/>
      </c>
      <c r="V65" s="79">
        <f>IF(U65="","",IF(Q65=3,"Late task: "&amp;D65,IF(T65&lt;AsOf,"Should have started: ","Starts soon: ")&amp;D65)&amp;IF(F65="",""," — "&amp;F65))</f>
        <v/>
      </c>
    </row>
    <row r="66" ht="20" customHeight="1">
      <c r="B66" s="125" t="n">
        <v>60</v>
      </c>
      <c r="C66" s="72" t="n"/>
      <c r="D66" s="72" t="n"/>
      <c r="E66" s="72" t="n"/>
      <c r="F66" s="72" t="n"/>
      <c r="G66" s="89" t="n"/>
      <c r="H66" s="89" t="n"/>
      <c r="I66" s="109" t="n"/>
      <c r="J66" s="126">
        <f>IF(OR(D66="",ProjStart=""),"",MAX(ProjStart,IF(I66&lt;&gt;"",I66,0),IF(H66="",0,IFERROR(INDEX($L$6:L65,MATCH(H66,$B$6:B65,0))+1,0))))</f>
        <v/>
      </c>
      <c r="K66" s="89" t="n"/>
      <c r="L66" s="126">
        <f>IF(J66="","",J66+MAX(1,G66)+IF(K66="",0,K66)-1)</f>
        <v/>
      </c>
      <c r="M66" s="72" t="n"/>
      <c r="N66" s="109" t="n"/>
      <c r="O66" s="127">
        <f>IF(D66="","",COUNTIF($H$7:$H$1006,B66))</f>
        <v/>
      </c>
      <c r="P66" s="78">
        <f>IF(D66="","",IF(AND(H66&lt;&gt;"",H66&gt;=B66),"⚠️ Predecessor must be above",IF(M66="Done","✓ Done",IF(Q66=3,"🔴 Late",IF(M66="In progress","In progress","")))))</f>
        <v/>
      </c>
      <c r="Q66" s="79">
        <f>IF(OR(D66="",L66=""),"",IF(M66="Done",2,IF(AsOf&gt;L66,3,1)))</f>
        <v/>
      </c>
      <c r="R66" s="79">
        <f>IF(OR(E66="",F66=""),0,IF(COUNTIFS($E$7:E66,E66,$F$7:F66,F66)=1,1,0))</f>
        <v/>
      </c>
      <c r="S66" s="79">
        <f>IF(R66=1,E66&amp;"|"&amp;SUMIFS($R$7:R66,$E$7:E66,E66),"")</f>
        <v/>
      </c>
      <c r="T66" s="112">
        <f>IF(Q66="","",IF(Q66=3,L66,IF(OR(M66="Not started",M66=""),J66,"")))</f>
        <v/>
      </c>
      <c r="U66" s="79">
        <f>IF(T66="","",IF(Q66=3,1,IF(T66="","",IF(T66&lt;AsOf,1,IF(T66&lt;=AsOf+AlertDays,2,IF(T66&lt;=AsOf+2*AlertDays,3,""))))))</f>
        <v/>
      </c>
      <c r="V66" s="79">
        <f>IF(U66="","",IF(Q66=3,"Late task: "&amp;D66,IF(T66&lt;AsOf,"Should have started: ","Starts soon: ")&amp;D66)&amp;IF(F66="",""," — "&amp;F66))</f>
        <v/>
      </c>
    </row>
    <row r="67" ht="20" customHeight="1">
      <c r="B67" s="125" t="n">
        <v>61</v>
      </c>
      <c r="C67" s="72" t="n"/>
      <c r="D67" s="72" t="n"/>
      <c r="E67" s="72" t="n"/>
      <c r="F67" s="72" t="n"/>
      <c r="G67" s="89" t="n"/>
      <c r="H67" s="89" t="n"/>
      <c r="I67" s="109" t="n"/>
      <c r="J67" s="126">
        <f>IF(OR(D67="",ProjStart=""),"",MAX(ProjStart,IF(I67&lt;&gt;"",I67,0),IF(H67="",0,IFERROR(INDEX($L$6:L66,MATCH(H67,$B$6:B66,0))+1,0))))</f>
        <v/>
      </c>
      <c r="K67" s="89" t="n"/>
      <c r="L67" s="126">
        <f>IF(J67="","",J67+MAX(1,G67)+IF(K67="",0,K67)-1)</f>
        <v/>
      </c>
      <c r="M67" s="72" t="n"/>
      <c r="N67" s="109" t="n"/>
      <c r="O67" s="127">
        <f>IF(D67="","",COUNTIF($H$7:$H$1006,B67))</f>
        <v/>
      </c>
      <c r="P67" s="78">
        <f>IF(D67="","",IF(AND(H67&lt;&gt;"",H67&gt;=B67),"⚠️ Predecessor must be above",IF(M67="Done","✓ Done",IF(Q67=3,"🔴 Late",IF(M67="In progress","In progress","")))))</f>
        <v/>
      </c>
      <c r="Q67" s="79">
        <f>IF(OR(D67="",L67=""),"",IF(M67="Done",2,IF(AsOf&gt;L67,3,1)))</f>
        <v/>
      </c>
      <c r="R67" s="79">
        <f>IF(OR(E67="",F67=""),0,IF(COUNTIFS($E$7:E67,E67,$F$7:F67,F67)=1,1,0))</f>
        <v/>
      </c>
      <c r="S67" s="79">
        <f>IF(R67=1,E67&amp;"|"&amp;SUMIFS($R$7:R67,$E$7:E67,E67),"")</f>
        <v/>
      </c>
      <c r="T67" s="112">
        <f>IF(Q67="","",IF(Q67=3,L67,IF(OR(M67="Not started",M67=""),J67,"")))</f>
        <v/>
      </c>
      <c r="U67" s="79">
        <f>IF(T67="","",IF(Q67=3,1,IF(T67="","",IF(T67&lt;AsOf,1,IF(T67&lt;=AsOf+AlertDays,2,IF(T67&lt;=AsOf+2*AlertDays,3,""))))))</f>
        <v/>
      </c>
      <c r="V67" s="79">
        <f>IF(U67="","",IF(Q67=3,"Late task: "&amp;D67,IF(T67&lt;AsOf,"Should have started: ","Starts soon: ")&amp;D67)&amp;IF(F67="",""," — "&amp;F67))</f>
        <v/>
      </c>
    </row>
    <row r="68" ht="20" customHeight="1">
      <c r="B68" s="125" t="n">
        <v>62</v>
      </c>
      <c r="C68" s="72" t="n"/>
      <c r="D68" s="72" t="n"/>
      <c r="E68" s="72" t="n"/>
      <c r="F68" s="72" t="n"/>
      <c r="G68" s="89" t="n"/>
      <c r="H68" s="89" t="n"/>
      <c r="I68" s="109" t="n"/>
      <c r="J68" s="126">
        <f>IF(OR(D68="",ProjStart=""),"",MAX(ProjStart,IF(I68&lt;&gt;"",I68,0),IF(H68="",0,IFERROR(INDEX($L$6:L67,MATCH(H68,$B$6:B67,0))+1,0))))</f>
        <v/>
      </c>
      <c r="K68" s="89" t="n"/>
      <c r="L68" s="126">
        <f>IF(J68="","",J68+MAX(1,G68)+IF(K68="",0,K68)-1)</f>
        <v/>
      </c>
      <c r="M68" s="72" t="n"/>
      <c r="N68" s="109" t="n"/>
      <c r="O68" s="127">
        <f>IF(D68="","",COUNTIF($H$7:$H$1006,B68))</f>
        <v/>
      </c>
      <c r="P68" s="78">
        <f>IF(D68="","",IF(AND(H68&lt;&gt;"",H68&gt;=B68),"⚠️ Predecessor must be above",IF(M68="Done","✓ Done",IF(Q68=3,"🔴 Late",IF(M68="In progress","In progress","")))))</f>
        <v/>
      </c>
      <c r="Q68" s="79">
        <f>IF(OR(D68="",L68=""),"",IF(M68="Done",2,IF(AsOf&gt;L68,3,1)))</f>
        <v/>
      </c>
      <c r="R68" s="79">
        <f>IF(OR(E68="",F68=""),0,IF(COUNTIFS($E$7:E68,E68,$F$7:F68,F68)=1,1,0))</f>
        <v/>
      </c>
      <c r="S68" s="79">
        <f>IF(R68=1,E68&amp;"|"&amp;SUMIFS($R$7:R68,$E$7:E68,E68),"")</f>
        <v/>
      </c>
      <c r="T68" s="112">
        <f>IF(Q68="","",IF(Q68=3,L68,IF(OR(M68="Not started",M68=""),J68,"")))</f>
        <v/>
      </c>
      <c r="U68" s="79">
        <f>IF(T68="","",IF(Q68=3,1,IF(T68="","",IF(T68&lt;AsOf,1,IF(T68&lt;=AsOf+AlertDays,2,IF(T68&lt;=AsOf+2*AlertDays,3,""))))))</f>
        <v/>
      </c>
      <c r="V68" s="79">
        <f>IF(U68="","",IF(Q68=3,"Late task: "&amp;D68,IF(T68&lt;AsOf,"Should have started: ","Starts soon: ")&amp;D68)&amp;IF(F68="",""," — "&amp;F68))</f>
        <v/>
      </c>
    </row>
    <row r="69" ht="20" customHeight="1">
      <c r="B69" s="125" t="n">
        <v>63</v>
      </c>
      <c r="C69" s="72" t="n"/>
      <c r="D69" s="72" t="n"/>
      <c r="E69" s="72" t="n"/>
      <c r="F69" s="72" t="n"/>
      <c r="G69" s="89" t="n"/>
      <c r="H69" s="89" t="n"/>
      <c r="I69" s="109" t="n"/>
      <c r="J69" s="126">
        <f>IF(OR(D69="",ProjStart=""),"",MAX(ProjStart,IF(I69&lt;&gt;"",I69,0),IF(H69="",0,IFERROR(INDEX($L$6:L68,MATCH(H69,$B$6:B68,0))+1,0))))</f>
        <v/>
      </c>
      <c r="K69" s="89" t="n"/>
      <c r="L69" s="126">
        <f>IF(J69="","",J69+MAX(1,G69)+IF(K69="",0,K69)-1)</f>
        <v/>
      </c>
      <c r="M69" s="72" t="n"/>
      <c r="N69" s="109" t="n"/>
      <c r="O69" s="127">
        <f>IF(D69="","",COUNTIF($H$7:$H$1006,B69))</f>
        <v/>
      </c>
      <c r="P69" s="78">
        <f>IF(D69="","",IF(AND(H69&lt;&gt;"",H69&gt;=B69),"⚠️ Predecessor must be above",IF(M69="Done","✓ Done",IF(Q69=3,"🔴 Late",IF(M69="In progress","In progress","")))))</f>
        <v/>
      </c>
      <c r="Q69" s="79">
        <f>IF(OR(D69="",L69=""),"",IF(M69="Done",2,IF(AsOf&gt;L69,3,1)))</f>
        <v/>
      </c>
      <c r="R69" s="79">
        <f>IF(OR(E69="",F69=""),0,IF(COUNTIFS($E$7:E69,E69,$F$7:F69,F69)=1,1,0))</f>
        <v/>
      </c>
      <c r="S69" s="79">
        <f>IF(R69=1,E69&amp;"|"&amp;SUMIFS($R$7:R69,$E$7:E69,E69),"")</f>
        <v/>
      </c>
      <c r="T69" s="112">
        <f>IF(Q69="","",IF(Q69=3,L69,IF(OR(M69="Not started",M69=""),J69,"")))</f>
        <v/>
      </c>
      <c r="U69" s="79">
        <f>IF(T69="","",IF(Q69=3,1,IF(T69="","",IF(T69&lt;AsOf,1,IF(T69&lt;=AsOf+AlertDays,2,IF(T69&lt;=AsOf+2*AlertDays,3,""))))))</f>
        <v/>
      </c>
      <c r="V69" s="79">
        <f>IF(U69="","",IF(Q69=3,"Late task: "&amp;D69,IF(T69&lt;AsOf,"Should have started: ","Starts soon: ")&amp;D69)&amp;IF(F69="",""," — "&amp;F69))</f>
        <v/>
      </c>
    </row>
    <row r="70" ht="20" customHeight="1">
      <c r="B70" s="125" t="n">
        <v>64</v>
      </c>
      <c r="C70" s="72" t="n"/>
      <c r="D70" s="72" t="n"/>
      <c r="E70" s="72" t="n"/>
      <c r="F70" s="72" t="n"/>
      <c r="G70" s="89" t="n"/>
      <c r="H70" s="89" t="n"/>
      <c r="I70" s="109" t="n"/>
      <c r="J70" s="126">
        <f>IF(OR(D70="",ProjStart=""),"",MAX(ProjStart,IF(I70&lt;&gt;"",I70,0),IF(H70="",0,IFERROR(INDEX($L$6:L69,MATCH(H70,$B$6:B69,0))+1,0))))</f>
        <v/>
      </c>
      <c r="K70" s="89" t="n"/>
      <c r="L70" s="126">
        <f>IF(J70="","",J70+MAX(1,G70)+IF(K70="",0,K70)-1)</f>
        <v/>
      </c>
      <c r="M70" s="72" t="n"/>
      <c r="N70" s="109" t="n"/>
      <c r="O70" s="127">
        <f>IF(D70="","",COUNTIF($H$7:$H$1006,B70))</f>
        <v/>
      </c>
      <c r="P70" s="78">
        <f>IF(D70="","",IF(AND(H70&lt;&gt;"",H70&gt;=B70),"⚠️ Predecessor must be above",IF(M70="Done","✓ Done",IF(Q70=3,"🔴 Late",IF(M70="In progress","In progress","")))))</f>
        <v/>
      </c>
      <c r="Q70" s="79">
        <f>IF(OR(D70="",L70=""),"",IF(M70="Done",2,IF(AsOf&gt;L70,3,1)))</f>
        <v/>
      </c>
      <c r="R70" s="79">
        <f>IF(OR(E70="",F70=""),0,IF(COUNTIFS($E$7:E70,E70,$F$7:F70,F70)=1,1,0))</f>
        <v/>
      </c>
      <c r="S70" s="79">
        <f>IF(R70=1,E70&amp;"|"&amp;SUMIFS($R$7:R70,$E$7:E70,E70),"")</f>
        <v/>
      </c>
      <c r="T70" s="112">
        <f>IF(Q70="","",IF(Q70=3,L70,IF(OR(M70="Not started",M70=""),J70,"")))</f>
        <v/>
      </c>
      <c r="U70" s="79">
        <f>IF(T70="","",IF(Q70=3,1,IF(T70="","",IF(T70&lt;AsOf,1,IF(T70&lt;=AsOf+AlertDays,2,IF(T70&lt;=AsOf+2*AlertDays,3,""))))))</f>
        <v/>
      </c>
      <c r="V70" s="79">
        <f>IF(U70="","",IF(Q70=3,"Late task: "&amp;D70,IF(T70&lt;AsOf,"Should have started: ","Starts soon: ")&amp;D70)&amp;IF(F70="",""," — "&amp;F70))</f>
        <v/>
      </c>
    </row>
    <row r="71" ht="20" customHeight="1">
      <c r="B71" s="125" t="n">
        <v>65</v>
      </c>
      <c r="C71" s="72" t="n"/>
      <c r="D71" s="72" t="n"/>
      <c r="E71" s="72" t="n"/>
      <c r="F71" s="72" t="n"/>
      <c r="G71" s="89" t="n"/>
      <c r="H71" s="89" t="n"/>
      <c r="I71" s="109" t="n"/>
      <c r="J71" s="126">
        <f>IF(OR(D71="",ProjStart=""),"",MAX(ProjStart,IF(I71&lt;&gt;"",I71,0),IF(H71="",0,IFERROR(INDEX($L$6:L70,MATCH(H71,$B$6:B70,0))+1,0))))</f>
        <v/>
      </c>
      <c r="K71" s="89" t="n"/>
      <c r="L71" s="126">
        <f>IF(J71="","",J71+MAX(1,G71)+IF(K71="",0,K71)-1)</f>
        <v/>
      </c>
      <c r="M71" s="72" t="n"/>
      <c r="N71" s="109" t="n"/>
      <c r="O71" s="127">
        <f>IF(D71="","",COUNTIF($H$7:$H$1006,B71))</f>
        <v/>
      </c>
      <c r="P71" s="78">
        <f>IF(D71="","",IF(AND(H71&lt;&gt;"",H71&gt;=B71),"⚠️ Predecessor must be above",IF(M71="Done","✓ Done",IF(Q71=3,"🔴 Late",IF(M71="In progress","In progress","")))))</f>
        <v/>
      </c>
      <c r="Q71" s="79">
        <f>IF(OR(D71="",L71=""),"",IF(M71="Done",2,IF(AsOf&gt;L71,3,1)))</f>
        <v/>
      </c>
      <c r="R71" s="79">
        <f>IF(OR(E71="",F71=""),0,IF(COUNTIFS($E$7:E71,E71,$F$7:F71,F71)=1,1,0))</f>
        <v/>
      </c>
      <c r="S71" s="79">
        <f>IF(R71=1,E71&amp;"|"&amp;SUMIFS($R$7:R71,$E$7:E71,E71),"")</f>
        <v/>
      </c>
      <c r="T71" s="112">
        <f>IF(Q71="","",IF(Q71=3,L71,IF(OR(M71="Not started",M71=""),J71,"")))</f>
        <v/>
      </c>
      <c r="U71" s="79">
        <f>IF(T71="","",IF(Q71=3,1,IF(T71="","",IF(T71&lt;AsOf,1,IF(T71&lt;=AsOf+AlertDays,2,IF(T71&lt;=AsOf+2*AlertDays,3,""))))))</f>
        <v/>
      </c>
      <c r="V71" s="79">
        <f>IF(U71="","",IF(Q71=3,"Late task: "&amp;D71,IF(T71&lt;AsOf,"Should have started: ","Starts soon: ")&amp;D71)&amp;IF(F71="",""," — "&amp;F71))</f>
        <v/>
      </c>
    </row>
    <row r="72" ht="20" customHeight="1">
      <c r="B72" s="125" t="n">
        <v>66</v>
      </c>
      <c r="C72" s="72" t="n"/>
      <c r="D72" s="72" t="n"/>
      <c r="E72" s="72" t="n"/>
      <c r="F72" s="72" t="n"/>
      <c r="G72" s="89" t="n"/>
      <c r="H72" s="89" t="n"/>
      <c r="I72" s="109" t="n"/>
      <c r="J72" s="126">
        <f>IF(OR(D72="",ProjStart=""),"",MAX(ProjStart,IF(I72&lt;&gt;"",I72,0),IF(H72="",0,IFERROR(INDEX($L$6:L71,MATCH(H72,$B$6:B71,0))+1,0))))</f>
        <v/>
      </c>
      <c r="K72" s="89" t="n"/>
      <c r="L72" s="126">
        <f>IF(J72="","",J72+MAX(1,G72)+IF(K72="",0,K72)-1)</f>
        <v/>
      </c>
      <c r="M72" s="72" t="n"/>
      <c r="N72" s="109" t="n"/>
      <c r="O72" s="127">
        <f>IF(D72="","",COUNTIF($H$7:$H$1006,B72))</f>
        <v/>
      </c>
      <c r="P72" s="78">
        <f>IF(D72="","",IF(AND(H72&lt;&gt;"",H72&gt;=B72),"⚠️ Predecessor must be above",IF(M72="Done","✓ Done",IF(Q72=3,"🔴 Late",IF(M72="In progress","In progress","")))))</f>
        <v/>
      </c>
      <c r="Q72" s="79">
        <f>IF(OR(D72="",L72=""),"",IF(M72="Done",2,IF(AsOf&gt;L72,3,1)))</f>
        <v/>
      </c>
      <c r="R72" s="79">
        <f>IF(OR(E72="",F72=""),0,IF(COUNTIFS($E$7:E72,E72,$F$7:F72,F72)=1,1,0))</f>
        <v/>
      </c>
      <c r="S72" s="79">
        <f>IF(R72=1,E72&amp;"|"&amp;SUMIFS($R$7:R72,$E$7:E72,E72),"")</f>
        <v/>
      </c>
      <c r="T72" s="112">
        <f>IF(Q72="","",IF(Q72=3,L72,IF(OR(M72="Not started",M72=""),J72,"")))</f>
        <v/>
      </c>
      <c r="U72" s="79">
        <f>IF(T72="","",IF(Q72=3,1,IF(T72="","",IF(T72&lt;AsOf,1,IF(T72&lt;=AsOf+AlertDays,2,IF(T72&lt;=AsOf+2*AlertDays,3,""))))))</f>
        <v/>
      </c>
      <c r="V72" s="79">
        <f>IF(U72="","",IF(Q72=3,"Late task: "&amp;D72,IF(T72&lt;AsOf,"Should have started: ","Starts soon: ")&amp;D72)&amp;IF(F72="",""," — "&amp;F72))</f>
        <v/>
      </c>
    </row>
    <row r="73" ht="20" customHeight="1">
      <c r="B73" s="125" t="n">
        <v>67</v>
      </c>
      <c r="C73" s="72" t="n"/>
      <c r="D73" s="72" t="n"/>
      <c r="E73" s="72" t="n"/>
      <c r="F73" s="72" t="n"/>
      <c r="G73" s="89" t="n"/>
      <c r="H73" s="89" t="n"/>
      <c r="I73" s="109" t="n"/>
      <c r="J73" s="126">
        <f>IF(OR(D73="",ProjStart=""),"",MAX(ProjStart,IF(I73&lt;&gt;"",I73,0),IF(H73="",0,IFERROR(INDEX($L$6:L72,MATCH(H73,$B$6:B72,0))+1,0))))</f>
        <v/>
      </c>
      <c r="K73" s="89" t="n"/>
      <c r="L73" s="126">
        <f>IF(J73="","",J73+MAX(1,G73)+IF(K73="",0,K73)-1)</f>
        <v/>
      </c>
      <c r="M73" s="72" t="n"/>
      <c r="N73" s="109" t="n"/>
      <c r="O73" s="127">
        <f>IF(D73="","",COUNTIF($H$7:$H$1006,B73))</f>
        <v/>
      </c>
      <c r="P73" s="78">
        <f>IF(D73="","",IF(AND(H73&lt;&gt;"",H73&gt;=B73),"⚠️ Predecessor must be above",IF(M73="Done","✓ Done",IF(Q73=3,"🔴 Late",IF(M73="In progress","In progress","")))))</f>
        <v/>
      </c>
      <c r="Q73" s="79">
        <f>IF(OR(D73="",L73=""),"",IF(M73="Done",2,IF(AsOf&gt;L73,3,1)))</f>
        <v/>
      </c>
      <c r="R73" s="79">
        <f>IF(OR(E73="",F73=""),0,IF(COUNTIFS($E$7:E73,E73,$F$7:F73,F73)=1,1,0))</f>
        <v/>
      </c>
      <c r="S73" s="79">
        <f>IF(R73=1,E73&amp;"|"&amp;SUMIFS($R$7:R73,$E$7:E73,E73),"")</f>
        <v/>
      </c>
      <c r="T73" s="112">
        <f>IF(Q73="","",IF(Q73=3,L73,IF(OR(M73="Not started",M73=""),J73,"")))</f>
        <v/>
      </c>
      <c r="U73" s="79">
        <f>IF(T73="","",IF(Q73=3,1,IF(T73="","",IF(T73&lt;AsOf,1,IF(T73&lt;=AsOf+AlertDays,2,IF(T73&lt;=AsOf+2*AlertDays,3,""))))))</f>
        <v/>
      </c>
      <c r="V73" s="79">
        <f>IF(U73="","",IF(Q73=3,"Late task: "&amp;D73,IF(T73&lt;AsOf,"Should have started: ","Starts soon: ")&amp;D73)&amp;IF(F73="",""," — "&amp;F73))</f>
        <v/>
      </c>
    </row>
    <row r="74" ht="20" customHeight="1">
      <c r="B74" s="125" t="n">
        <v>68</v>
      </c>
      <c r="C74" s="72" t="n"/>
      <c r="D74" s="72" t="n"/>
      <c r="E74" s="72" t="n"/>
      <c r="F74" s="72" t="n"/>
      <c r="G74" s="89" t="n"/>
      <c r="H74" s="89" t="n"/>
      <c r="I74" s="109" t="n"/>
      <c r="J74" s="126">
        <f>IF(OR(D74="",ProjStart=""),"",MAX(ProjStart,IF(I74&lt;&gt;"",I74,0),IF(H74="",0,IFERROR(INDEX($L$6:L73,MATCH(H74,$B$6:B73,0))+1,0))))</f>
        <v/>
      </c>
      <c r="K74" s="89" t="n"/>
      <c r="L74" s="126">
        <f>IF(J74="","",J74+MAX(1,G74)+IF(K74="",0,K74)-1)</f>
        <v/>
      </c>
      <c r="M74" s="72" t="n"/>
      <c r="N74" s="109" t="n"/>
      <c r="O74" s="127">
        <f>IF(D74="","",COUNTIF($H$7:$H$1006,B74))</f>
        <v/>
      </c>
      <c r="P74" s="78">
        <f>IF(D74="","",IF(AND(H74&lt;&gt;"",H74&gt;=B74),"⚠️ Predecessor must be above",IF(M74="Done","✓ Done",IF(Q74=3,"🔴 Late",IF(M74="In progress","In progress","")))))</f>
        <v/>
      </c>
      <c r="Q74" s="79">
        <f>IF(OR(D74="",L74=""),"",IF(M74="Done",2,IF(AsOf&gt;L74,3,1)))</f>
        <v/>
      </c>
      <c r="R74" s="79">
        <f>IF(OR(E74="",F74=""),0,IF(COUNTIFS($E$7:E74,E74,$F$7:F74,F74)=1,1,0))</f>
        <v/>
      </c>
      <c r="S74" s="79">
        <f>IF(R74=1,E74&amp;"|"&amp;SUMIFS($R$7:R74,$E$7:E74,E74),"")</f>
        <v/>
      </c>
      <c r="T74" s="112">
        <f>IF(Q74="","",IF(Q74=3,L74,IF(OR(M74="Not started",M74=""),J74,"")))</f>
        <v/>
      </c>
      <c r="U74" s="79">
        <f>IF(T74="","",IF(Q74=3,1,IF(T74="","",IF(T74&lt;AsOf,1,IF(T74&lt;=AsOf+AlertDays,2,IF(T74&lt;=AsOf+2*AlertDays,3,""))))))</f>
        <v/>
      </c>
      <c r="V74" s="79">
        <f>IF(U74="","",IF(Q74=3,"Late task: "&amp;D74,IF(T74&lt;AsOf,"Should have started: ","Starts soon: ")&amp;D74)&amp;IF(F74="",""," — "&amp;F74))</f>
        <v/>
      </c>
    </row>
    <row r="75" ht="20" customHeight="1">
      <c r="B75" s="125" t="n">
        <v>69</v>
      </c>
      <c r="C75" s="72" t="n"/>
      <c r="D75" s="72" t="n"/>
      <c r="E75" s="72" t="n"/>
      <c r="F75" s="72" t="n"/>
      <c r="G75" s="89" t="n"/>
      <c r="H75" s="89" t="n"/>
      <c r="I75" s="109" t="n"/>
      <c r="J75" s="126">
        <f>IF(OR(D75="",ProjStart=""),"",MAX(ProjStart,IF(I75&lt;&gt;"",I75,0),IF(H75="",0,IFERROR(INDEX($L$6:L74,MATCH(H75,$B$6:B74,0))+1,0))))</f>
        <v/>
      </c>
      <c r="K75" s="89" t="n"/>
      <c r="L75" s="126">
        <f>IF(J75="","",J75+MAX(1,G75)+IF(K75="",0,K75)-1)</f>
        <v/>
      </c>
      <c r="M75" s="72" t="n"/>
      <c r="N75" s="109" t="n"/>
      <c r="O75" s="127">
        <f>IF(D75="","",COUNTIF($H$7:$H$1006,B75))</f>
        <v/>
      </c>
      <c r="P75" s="78">
        <f>IF(D75="","",IF(AND(H75&lt;&gt;"",H75&gt;=B75),"⚠️ Predecessor must be above",IF(M75="Done","✓ Done",IF(Q75=3,"🔴 Late",IF(M75="In progress","In progress","")))))</f>
        <v/>
      </c>
      <c r="Q75" s="79">
        <f>IF(OR(D75="",L75=""),"",IF(M75="Done",2,IF(AsOf&gt;L75,3,1)))</f>
        <v/>
      </c>
      <c r="R75" s="79">
        <f>IF(OR(E75="",F75=""),0,IF(COUNTIFS($E$7:E75,E75,$F$7:F75,F75)=1,1,0))</f>
        <v/>
      </c>
      <c r="S75" s="79">
        <f>IF(R75=1,E75&amp;"|"&amp;SUMIFS($R$7:R75,$E$7:E75,E75),"")</f>
        <v/>
      </c>
      <c r="T75" s="112">
        <f>IF(Q75="","",IF(Q75=3,L75,IF(OR(M75="Not started",M75=""),J75,"")))</f>
        <v/>
      </c>
      <c r="U75" s="79">
        <f>IF(T75="","",IF(Q75=3,1,IF(T75="","",IF(T75&lt;AsOf,1,IF(T75&lt;=AsOf+AlertDays,2,IF(T75&lt;=AsOf+2*AlertDays,3,""))))))</f>
        <v/>
      </c>
      <c r="V75" s="79">
        <f>IF(U75="","",IF(Q75=3,"Late task: "&amp;D75,IF(T75&lt;AsOf,"Should have started: ","Starts soon: ")&amp;D75)&amp;IF(F75="",""," — "&amp;F75))</f>
        <v/>
      </c>
    </row>
    <row r="76" ht="20" customHeight="1">
      <c r="B76" s="125" t="n">
        <v>70</v>
      </c>
      <c r="C76" s="72" t="n"/>
      <c r="D76" s="72" t="n"/>
      <c r="E76" s="72" t="n"/>
      <c r="F76" s="72" t="n"/>
      <c r="G76" s="89" t="n"/>
      <c r="H76" s="89" t="n"/>
      <c r="I76" s="109" t="n"/>
      <c r="J76" s="126">
        <f>IF(OR(D76="",ProjStart=""),"",MAX(ProjStart,IF(I76&lt;&gt;"",I76,0),IF(H76="",0,IFERROR(INDEX($L$6:L75,MATCH(H76,$B$6:B75,0))+1,0))))</f>
        <v/>
      </c>
      <c r="K76" s="89" t="n"/>
      <c r="L76" s="126">
        <f>IF(J76="","",J76+MAX(1,G76)+IF(K76="",0,K76)-1)</f>
        <v/>
      </c>
      <c r="M76" s="72" t="n"/>
      <c r="N76" s="109" t="n"/>
      <c r="O76" s="127">
        <f>IF(D76="","",COUNTIF($H$7:$H$1006,B76))</f>
        <v/>
      </c>
      <c r="P76" s="78">
        <f>IF(D76="","",IF(AND(H76&lt;&gt;"",H76&gt;=B76),"⚠️ Predecessor must be above",IF(M76="Done","✓ Done",IF(Q76=3,"🔴 Late",IF(M76="In progress","In progress","")))))</f>
        <v/>
      </c>
      <c r="Q76" s="79">
        <f>IF(OR(D76="",L76=""),"",IF(M76="Done",2,IF(AsOf&gt;L76,3,1)))</f>
        <v/>
      </c>
      <c r="R76" s="79">
        <f>IF(OR(E76="",F76=""),0,IF(COUNTIFS($E$7:E76,E76,$F$7:F76,F76)=1,1,0))</f>
        <v/>
      </c>
      <c r="S76" s="79">
        <f>IF(R76=1,E76&amp;"|"&amp;SUMIFS($R$7:R76,$E$7:E76,E76),"")</f>
        <v/>
      </c>
      <c r="T76" s="112">
        <f>IF(Q76="","",IF(Q76=3,L76,IF(OR(M76="Not started",M76=""),J76,"")))</f>
        <v/>
      </c>
      <c r="U76" s="79">
        <f>IF(T76="","",IF(Q76=3,1,IF(T76="","",IF(T76&lt;AsOf,1,IF(T76&lt;=AsOf+AlertDays,2,IF(T76&lt;=AsOf+2*AlertDays,3,""))))))</f>
        <v/>
      </c>
      <c r="V76" s="79">
        <f>IF(U76="","",IF(Q76=3,"Late task: "&amp;D76,IF(T76&lt;AsOf,"Should have started: ","Starts soon: ")&amp;D76)&amp;IF(F76="",""," — "&amp;F76))</f>
        <v/>
      </c>
    </row>
    <row r="77" ht="20" customHeight="1">
      <c r="B77" s="125" t="n">
        <v>71</v>
      </c>
      <c r="C77" s="72" t="n"/>
      <c r="D77" s="72" t="n"/>
      <c r="E77" s="72" t="n"/>
      <c r="F77" s="72" t="n"/>
      <c r="G77" s="89" t="n"/>
      <c r="H77" s="89" t="n"/>
      <c r="I77" s="109" t="n"/>
      <c r="J77" s="126">
        <f>IF(OR(D77="",ProjStart=""),"",MAX(ProjStart,IF(I77&lt;&gt;"",I77,0),IF(H77="",0,IFERROR(INDEX($L$6:L76,MATCH(H77,$B$6:B76,0))+1,0))))</f>
        <v/>
      </c>
      <c r="K77" s="89" t="n"/>
      <c r="L77" s="126">
        <f>IF(J77="","",J77+MAX(1,G77)+IF(K77="",0,K77)-1)</f>
        <v/>
      </c>
      <c r="M77" s="72" t="n"/>
      <c r="N77" s="109" t="n"/>
      <c r="O77" s="127">
        <f>IF(D77="","",COUNTIF($H$7:$H$1006,B77))</f>
        <v/>
      </c>
      <c r="P77" s="78">
        <f>IF(D77="","",IF(AND(H77&lt;&gt;"",H77&gt;=B77),"⚠️ Predecessor must be above",IF(M77="Done","✓ Done",IF(Q77=3,"🔴 Late",IF(M77="In progress","In progress","")))))</f>
        <v/>
      </c>
      <c r="Q77" s="79">
        <f>IF(OR(D77="",L77=""),"",IF(M77="Done",2,IF(AsOf&gt;L77,3,1)))</f>
        <v/>
      </c>
      <c r="R77" s="79">
        <f>IF(OR(E77="",F77=""),0,IF(COUNTIFS($E$7:E77,E77,$F$7:F77,F77)=1,1,0))</f>
        <v/>
      </c>
      <c r="S77" s="79">
        <f>IF(R77=1,E77&amp;"|"&amp;SUMIFS($R$7:R77,$E$7:E77,E77),"")</f>
        <v/>
      </c>
      <c r="T77" s="112">
        <f>IF(Q77="","",IF(Q77=3,L77,IF(OR(M77="Not started",M77=""),J77,"")))</f>
        <v/>
      </c>
      <c r="U77" s="79">
        <f>IF(T77="","",IF(Q77=3,1,IF(T77="","",IF(T77&lt;AsOf,1,IF(T77&lt;=AsOf+AlertDays,2,IF(T77&lt;=AsOf+2*AlertDays,3,""))))))</f>
        <v/>
      </c>
      <c r="V77" s="79">
        <f>IF(U77="","",IF(Q77=3,"Late task: "&amp;D77,IF(T77&lt;AsOf,"Should have started: ","Starts soon: ")&amp;D77)&amp;IF(F77="",""," — "&amp;F77))</f>
        <v/>
      </c>
    </row>
    <row r="78" ht="20" customHeight="1">
      <c r="B78" s="125" t="n">
        <v>72</v>
      </c>
      <c r="C78" s="72" t="n"/>
      <c r="D78" s="72" t="n"/>
      <c r="E78" s="72" t="n"/>
      <c r="F78" s="72" t="n"/>
      <c r="G78" s="89" t="n"/>
      <c r="H78" s="89" t="n"/>
      <c r="I78" s="109" t="n"/>
      <c r="J78" s="126">
        <f>IF(OR(D78="",ProjStart=""),"",MAX(ProjStart,IF(I78&lt;&gt;"",I78,0),IF(H78="",0,IFERROR(INDEX($L$6:L77,MATCH(H78,$B$6:B77,0))+1,0))))</f>
        <v/>
      </c>
      <c r="K78" s="89" t="n"/>
      <c r="L78" s="126">
        <f>IF(J78="","",J78+MAX(1,G78)+IF(K78="",0,K78)-1)</f>
        <v/>
      </c>
      <c r="M78" s="72" t="n"/>
      <c r="N78" s="109" t="n"/>
      <c r="O78" s="127">
        <f>IF(D78="","",COUNTIF($H$7:$H$1006,B78))</f>
        <v/>
      </c>
      <c r="P78" s="78">
        <f>IF(D78="","",IF(AND(H78&lt;&gt;"",H78&gt;=B78),"⚠️ Predecessor must be above",IF(M78="Done","✓ Done",IF(Q78=3,"🔴 Late",IF(M78="In progress","In progress","")))))</f>
        <v/>
      </c>
      <c r="Q78" s="79">
        <f>IF(OR(D78="",L78=""),"",IF(M78="Done",2,IF(AsOf&gt;L78,3,1)))</f>
        <v/>
      </c>
      <c r="R78" s="79">
        <f>IF(OR(E78="",F78=""),0,IF(COUNTIFS($E$7:E78,E78,$F$7:F78,F78)=1,1,0))</f>
        <v/>
      </c>
      <c r="S78" s="79">
        <f>IF(R78=1,E78&amp;"|"&amp;SUMIFS($R$7:R78,$E$7:E78,E78),"")</f>
        <v/>
      </c>
      <c r="T78" s="112">
        <f>IF(Q78="","",IF(Q78=3,L78,IF(OR(M78="Not started",M78=""),J78,"")))</f>
        <v/>
      </c>
      <c r="U78" s="79">
        <f>IF(T78="","",IF(Q78=3,1,IF(T78="","",IF(T78&lt;AsOf,1,IF(T78&lt;=AsOf+AlertDays,2,IF(T78&lt;=AsOf+2*AlertDays,3,""))))))</f>
        <v/>
      </c>
      <c r="V78" s="79">
        <f>IF(U78="","",IF(Q78=3,"Late task: "&amp;D78,IF(T78&lt;AsOf,"Should have started: ","Starts soon: ")&amp;D78)&amp;IF(F78="",""," — "&amp;F78))</f>
        <v/>
      </c>
    </row>
    <row r="79" ht="20" customHeight="1">
      <c r="B79" s="125" t="n">
        <v>73</v>
      </c>
      <c r="C79" s="72" t="n"/>
      <c r="D79" s="72" t="n"/>
      <c r="E79" s="72" t="n"/>
      <c r="F79" s="72" t="n"/>
      <c r="G79" s="89" t="n"/>
      <c r="H79" s="89" t="n"/>
      <c r="I79" s="109" t="n"/>
      <c r="J79" s="126">
        <f>IF(OR(D79="",ProjStart=""),"",MAX(ProjStart,IF(I79&lt;&gt;"",I79,0),IF(H79="",0,IFERROR(INDEX($L$6:L78,MATCH(H79,$B$6:B78,0))+1,0))))</f>
        <v/>
      </c>
      <c r="K79" s="89" t="n"/>
      <c r="L79" s="126">
        <f>IF(J79="","",J79+MAX(1,G79)+IF(K79="",0,K79)-1)</f>
        <v/>
      </c>
      <c r="M79" s="72" t="n"/>
      <c r="N79" s="109" t="n"/>
      <c r="O79" s="127">
        <f>IF(D79="","",COUNTIF($H$7:$H$1006,B79))</f>
        <v/>
      </c>
      <c r="P79" s="78">
        <f>IF(D79="","",IF(AND(H79&lt;&gt;"",H79&gt;=B79),"⚠️ Predecessor must be above",IF(M79="Done","✓ Done",IF(Q79=3,"🔴 Late",IF(M79="In progress","In progress","")))))</f>
        <v/>
      </c>
      <c r="Q79" s="79">
        <f>IF(OR(D79="",L79=""),"",IF(M79="Done",2,IF(AsOf&gt;L79,3,1)))</f>
        <v/>
      </c>
      <c r="R79" s="79">
        <f>IF(OR(E79="",F79=""),0,IF(COUNTIFS($E$7:E79,E79,$F$7:F79,F79)=1,1,0))</f>
        <v/>
      </c>
      <c r="S79" s="79">
        <f>IF(R79=1,E79&amp;"|"&amp;SUMIFS($R$7:R79,$E$7:E79,E79),"")</f>
        <v/>
      </c>
      <c r="T79" s="112">
        <f>IF(Q79="","",IF(Q79=3,L79,IF(OR(M79="Not started",M79=""),J79,"")))</f>
        <v/>
      </c>
      <c r="U79" s="79">
        <f>IF(T79="","",IF(Q79=3,1,IF(T79="","",IF(T79&lt;AsOf,1,IF(T79&lt;=AsOf+AlertDays,2,IF(T79&lt;=AsOf+2*AlertDays,3,""))))))</f>
        <v/>
      </c>
      <c r="V79" s="79">
        <f>IF(U79="","",IF(Q79=3,"Late task: "&amp;D79,IF(T79&lt;AsOf,"Should have started: ","Starts soon: ")&amp;D79)&amp;IF(F79="",""," — "&amp;F79))</f>
        <v/>
      </c>
    </row>
    <row r="80" ht="20" customHeight="1">
      <c r="B80" s="125" t="n">
        <v>74</v>
      </c>
      <c r="C80" s="72" t="n"/>
      <c r="D80" s="72" t="n"/>
      <c r="E80" s="72" t="n"/>
      <c r="F80" s="72" t="n"/>
      <c r="G80" s="89" t="n"/>
      <c r="H80" s="89" t="n"/>
      <c r="I80" s="109" t="n"/>
      <c r="J80" s="126">
        <f>IF(OR(D80="",ProjStart=""),"",MAX(ProjStart,IF(I80&lt;&gt;"",I80,0),IF(H80="",0,IFERROR(INDEX($L$6:L79,MATCH(H80,$B$6:B79,0))+1,0))))</f>
        <v/>
      </c>
      <c r="K80" s="89" t="n"/>
      <c r="L80" s="126">
        <f>IF(J80="","",J80+MAX(1,G80)+IF(K80="",0,K80)-1)</f>
        <v/>
      </c>
      <c r="M80" s="72" t="n"/>
      <c r="N80" s="109" t="n"/>
      <c r="O80" s="127">
        <f>IF(D80="","",COUNTIF($H$7:$H$1006,B80))</f>
        <v/>
      </c>
      <c r="P80" s="78">
        <f>IF(D80="","",IF(AND(H80&lt;&gt;"",H80&gt;=B80),"⚠️ Predecessor must be above",IF(M80="Done","✓ Done",IF(Q80=3,"🔴 Late",IF(M80="In progress","In progress","")))))</f>
        <v/>
      </c>
      <c r="Q80" s="79">
        <f>IF(OR(D80="",L80=""),"",IF(M80="Done",2,IF(AsOf&gt;L80,3,1)))</f>
        <v/>
      </c>
      <c r="R80" s="79">
        <f>IF(OR(E80="",F80=""),0,IF(COUNTIFS($E$7:E80,E80,$F$7:F80,F80)=1,1,0))</f>
        <v/>
      </c>
      <c r="S80" s="79">
        <f>IF(R80=1,E80&amp;"|"&amp;SUMIFS($R$7:R80,$E$7:E80,E80),"")</f>
        <v/>
      </c>
      <c r="T80" s="112">
        <f>IF(Q80="","",IF(Q80=3,L80,IF(OR(M80="Not started",M80=""),J80,"")))</f>
        <v/>
      </c>
      <c r="U80" s="79">
        <f>IF(T80="","",IF(Q80=3,1,IF(T80="","",IF(T80&lt;AsOf,1,IF(T80&lt;=AsOf+AlertDays,2,IF(T80&lt;=AsOf+2*AlertDays,3,""))))))</f>
        <v/>
      </c>
      <c r="V80" s="79">
        <f>IF(U80="","",IF(Q80=3,"Late task: "&amp;D80,IF(T80&lt;AsOf,"Should have started: ","Starts soon: ")&amp;D80)&amp;IF(F80="",""," — "&amp;F80))</f>
        <v/>
      </c>
    </row>
    <row r="81" ht="20" customHeight="1">
      <c r="B81" s="125" t="n">
        <v>75</v>
      </c>
      <c r="C81" s="72" t="n"/>
      <c r="D81" s="72" t="n"/>
      <c r="E81" s="72" t="n"/>
      <c r="F81" s="72" t="n"/>
      <c r="G81" s="89" t="n"/>
      <c r="H81" s="89" t="n"/>
      <c r="I81" s="109" t="n"/>
      <c r="J81" s="126">
        <f>IF(OR(D81="",ProjStart=""),"",MAX(ProjStart,IF(I81&lt;&gt;"",I81,0),IF(H81="",0,IFERROR(INDEX($L$6:L80,MATCH(H81,$B$6:B80,0))+1,0))))</f>
        <v/>
      </c>
      <c r="K81" s="89" t="n"/>
      <c r="L81" s="126">
        <f>IF(J81="","",J81+MAX(1,G81)+IF(K81="",0,K81)-1)</f>
        <v/>
      </c>
      <c r="M81" s="72" t="n"/>
      <c r="N81" s="109" t="n"/>
      <c r="O81" s="127">
        <f>IF(D81="","",COUNTIF($H$7:$H$1006,B81))</f>
        <v/>
      </c>
      <c r="P81" s="78">
        <f>IF(D81="","",IF(AND(H81&lt;&gt;"",H81&gt;=B81),"⚠️ Predecessor must be above",IF(M81="Done","✓ Done",IF(Q81=3,"🔴 Late",IF(M81="In progress","In progress","")))))</f>
        <v/>
      </c>
      <c r="Q81" s="79">
        <f>IF(OR(D81="",L81=""),"",IF(M81="Done",2,IF(AsOf&gt;L81,3,1)))</f>
        <v/>
      </c>
      <c r="R81" s="79">
        <f>IF(OR(E81="",F81=""),0,IF(COUNTIFS($E$7:E81,E81,$F$7:F81,F81)=1,1,0))</f>
        <v/>
      </c>
      <c r="S81" s="79">
        <f>IF(R81=1,E81&amp;"|"&amp;SUMIFS($R$7:R81,$E$7:E81,E81),"")</f>
        <v/>
      </c>
      <c r="T81" s="112">
        <f>IF(Q81="","",IF(Q81=3,L81,IF(OR(M81="Not started",M81=""),J81,"")))</f>
        <v/>
      </c>
      <c r="U81" s="79">
        <f>IF(T81="","",IF(Q81=3,1,IF(T81="","",IF(T81&lt;AsOf,1,IF(T81&lt;=AsOf+AlertDays,2,IF(T81&lt;=AsOf+2*AlertDays,3,""))))))</f>
        <v/>
      </c>
      <c r="V81" s="79">
        <f>IF(U81="","",IF(Q81=3,"Late task: "&amp;D81,IF(T81&lt;AsOf,"Should have started: ","Starts soon: ")&amp;D81)&amp;IF(F81="",""," — "&amp;F81))</f>
        <v/>
      </c>
    </row>
    <row r="82" ht="20" customHeight="1">
      <c r="B82" s="125" t="n">
        <v>76</v>
      </c>
      <c r="C82" s="72" t="n"/>
      <c r="D82" s="72" t="n"/>
      <c r="E82" s="72" t="n"/>
      <c r="F82" s="72" t="n"/>
      <c r="G82" s="89" t="n"/>
      <c r="H82" s="89" t="n"/>
      <c r="I82" s="109" t="n"/>
      <c r="J82" s="126">
        <f>IF(OR(D82="",ProjStart=""),"",MAX(ProjStart,IF(I82&lt;&gt;"",I82,0),IF(H82="",0,IFERROR(INDEX($L$6:L81,MATCH(H82,$B$6:B81,0))+1,0))))</f>
        <v/>
      </c>
      <c r="K82" s="89" t="n"/>
      <c r="L82" s="126">
        <f>IF(J82="","",J82+MAX(1,G82)+IF(K82="",0,K82)-1)</f>
        <v/>
      </c>
      <c r="M82" s="72" t="n"/>
      <c r="N82" s="109" t="n"/>
      <c r="O82" s="127">
        <f>IF(D82="","",COUNTIF($H$7:$H$1006,B82))</f>
        <v/>
      </c>
      <c r="P82" s="78">
        <f>IF(D82="","",IF(AND(H82&lt;&gt;"",H82&gt;=B82),"⚠️ Predecessor must be above",IF(M82="Done","✓ Done",IF(Q82=3,"🔴 Late",IF(M82="In progress","In progress","")))))</f>
        <v/>
      </c>
      <c r="Q82" s="79">
        <f>IF(OR(D82="",L82=""),"",IF(M82="Done",2,IF(AsOf&gt;L82,3,1)))</f>
        <v/>
      </c>
      <c r="R82" s="79">
        <f>IF(OR(E82="",F82=""),0,IF(COUNTIFS($E$7:E82,E82,$F$7:F82,F82)=1,1,0))</f>
        <v/>
      </c>
      <c r="S82" s="79">
        <f>IF(R82=1,E82&amp;"|"&amp;SUMIFS($R$7:R82,$E$7:E82,E82),"")</f>
        <v/>
      </c>
      <c r="T82" s="112">
        <f>IF(Q82="","",IF(Q82=3,L82,IF(OR(M82="Not started",M82=""),J82,"")))</f>
        <v/>
      </c>
      <c r="U82" s="79">
        <f>IF(T82="","",IF(Q82=3,1,IF(T82="","",IF(T82&lt;AsOf,1,IF(T82&lt;=AsOf+AlertDays,2,IF(T82&lt;=AsOf+2*AlertDays,3,""))))))</f>
        <v/>
      </c>
      <c r="V82" s="79">
        <f>IF(U82="","",IF(Q82=3,"Late task: "&amp;D82,IF(T82&lt;AsOf,"Should have started: ","Starts soon: ")&amp;D82)&amp;IF(F82="",""," — "&amp;F82))</f>
        <v/>
      </c>
    </row>
    <row r="83" ht="20" customHeight="1">
      <c r="B83" s="125" t="n">
        <v>77</v>
      </c>
      <c r="C83" s="72" t="n"/>
      <c r="D83" s="72" t="n"/>
      <c r="E83" s="72" t="n"/>
      <c r="F83" s="72" t="n"/>
      <c r="G83" s="89" t="n"/>
      <c r="H83" s="89" t="n"/>
      <c r="I83" s="109" t="n"/>
      <c r="J83" s="126">
        <f>IF(OR(D83="",ProjStart=""),"",MAX(ProjStart,IF(I83&lt;&gt;"",I83,0),IF(H83="",0,IFERROR(INDEX($L$6:L82,MATCH(H83,$B$6:B82,0))+1,0))))</f>
        <v/>
      </c>
      <c r="K83" s="89" t="n"/>
      <c r="L83" s="126">
        <f>IF(J83="","",J83+MAX(1,G83)+IF(K83="",0,K83)-1)</f>
        <v/>
      </c>
      <c r="M83" s="72" t="n"/>
      <c r="N83" s="109" t="n"/>
      <c r="O83" s="127">
        <f>IF(D83="","",COUNTIF($H$7:$H$1006,B83))</f>
        <v/>
      </c>
      <c r="P83" s="78">
        <f>IF(D83="","",IF(AND(H83&lt;&gt;"",H83&gt;=B83),"⚠️ Predecessor must be above",IF(M83="Done","✓ Done",IF(Q83=3,"🔴 Late",IF(M83="In progress","In progress","")))))</f>
        <v/>
      </c>
      <c r="Q83" s="79">
        <f>IF(OR(D83="",L83=""),"",IF(M83="Done",2,IF(AsOf&gt;L83,3,1)))</f>
        <v/>
      </c>
      <c r="R83" s="79">
        <f>IF(OR(E83="",F83=""),0,IF(COUNTIFS($E$7:E83,E83,$F$7:F83,F83)=1,1,0))</f>
        <v/>
      </c>
      <c r="S83" s="79">
        <f>IF(R83=1,E83&amp;"|"&amp;SUMIFS($R$7:R83,$E$7:E83,E83),"")</f>
        <v/>
      </c>
      <c r="T83" s="112">
        <f>IF(Q83="","",IF(Q83=3,L83,IF(OR(M83="Not started",M83=""),J83,"")))</f>
        <v/>
      </c>
      <c r="U83" s="79">
        <f>IF(T83="","",IF(Q83=3,1,IF(T83="","",IF(T83&lt;AsOf,1,IF(T83&lt;=AsOf+AlertDays,2,IF(T83&lt;=AsOf+2*AlertDays,3,""))))))</f>
        <v/>
      </c>
      <c r="V83" s="79">
        <f>IF(U83="","",IF(Q83=3,"Late task: "&amp;D83,IF(T83&lt;AsOf,"Should have started: ","Starts soon: ")&amp;D83)&amp;IF(F83="",""," — "&amp;F83))</f>
        <v/>
      </c>
    </row>
    <row r="84" ht="20" customHeight="1">
      <c r="B84" s="125" t="n">
        <v>78</v>
      </c>
      <c r="C84" s="72" t="n"/>
      <c r="D84" s="72" t="n"/>
      <c r="E84" s="72" t="n"/>
      <c r="F84" s="72" t="n"/>
      <c r="G84" s="89" t="n"/>
      <c r="H84" s="89" t="n"/>
      <c r="I84" s="109" t="n"/>
      <c r="J84" s="126">
        <f>IF(OR(D84="",ProjStart=""),"",MAX(ProjStart,IF(I84&lt;&gt;"",I84,0),IF(H84="",0,IFERROR(INDEX($L$6:L83,MATCH(H84,$B$6:B83,0))+1,0))))</f>
        <v/>
      </c>
      <c r="K84" s="89" t="n"/>
      <c r="L84" s="126">
        <f>IF(J84="","",J84+MAX(1,G84)+IF(K84="",0,K84)-1)</f>
        <v/>
      </c>
      <c r="M84" s="72" t="n"/>
      <c r="N84" s="109" t="n"/>
      <c r="O84" s="127">
        <f>IF(D84="","",COUNTIF($H$7:$H$1006,B84))</f>
        <v/>
      </c>
      <c r="P84" s="78">
        <f>IF(D84="","",IF(AND(H84&lt;&gt;"",H84&gt;=B84),"⚠️ Predecessor must be above",IF(M84="Done","✓ Done",IF(Q84=3,"🔴 Late",IF(M84="In progress","In progress","")))))</f>
        <v/>
      </c>
      <c r="Q84" s="79">
        <f>IF(OR(D84="",L84=""),"",IF(M84="Done",2,IF(AsOf&gt;L84,3,1)))</f>
        <v/>
      </c>
      <c r="R84" s="79">
        <f>IF(OR(E84="",F84=""),0,IF(COUNTIFS($E$7:E84,E84,$F$7:F84,F84)=1,1,0))</f>
        <v/>
      </c>
      <c r="S84" s="79">
        <f>IF(R84=1,E84&amp;"|"&amp;SUMIFS($R$7:R84,$E$7:E84,E84),"")</f>
        <v/>
      </c>
      <c r="T84" s="112">
        <f>IF(Q84="","",IF(Q84=3,L84,IF(OR(M84="Not started",M84=""),J84,"")))</f>
        <v/>
      </c>
      <c r="U84" s="79">
        <f>IF(T84="","",IF(Q84=3,1,IF(T84="","",IF(T84&lt;AsOf,1,IF(T84&lt;=AsOf+AlertDays,2,IF(T84&lt;=AsOf+2*AlertDays,3,""))))))</f>
        <v/>
      </c>
      <c r="V84" s="79">
        <f>IF(U84="","",IF(Q84=3,"Late task: "&amp;D84,IF(T84&lt;AsOf,"Should have started: ","Starts soon: ")&amp;D84)&amp;IF(F84="",""," — "&amp;F84))</f>
        <v/>
      </c>
    </row>
    <row r="85" ht="20" customHeight="1">
      <c r="B85" s="125" t="n">
        <v>79</v>
      </c>
      <c r="C85" s="72" t="n"/>
      <c r="D85" s="72" t="n"/>
      <c r="E85" s="72" t="n"/>
      <c r="F85" s="72" t="n"/>
      <c r="G85" s="89" t="n"/>
      <c r="H85" s="89" t="n"/>
      <c r="I85" s="109" t="n"/>
      <c r="J85" s="126">
        <f>IF(OR(D85="",ProjStart=""),"",MAX(ProjStart,IF(I85&lt;&gt;"",I85,0),IF(H85="",0,IFERROR(INDEX($L$6:L84,MATCH(H85,$B$6:B84,0))+1,0))))</f>
        <v/>
      </c>
      <c r="K85" s="89" t="n"/>
      <c r="L85" s="126">
        <f>IF(J85="","",J85+MAX(1,G85)+IF(K85="",0,K85)-1)</f>
        <v/>
      </c>
      <c r="M85" s="72" t="n"/>
      <c r="N85" s="109" t="n"/>
      <c r="O85" s="127">
        <f>IF(D85="","",COUNTIF($H$7:$H$1006,B85))</f>
        <v/>
      </c>
      <c r="P85" s="78">
        <f>IF(D85="","",IF(AND(H85&lt;&gt;"",H85&gt;=B85),"⚠️ Predecessor must be above",IF(M85="Done","✓ Done",IF(Q85=3,"🔴 Late",IF(M85="In progress","In progress","")))))</f>
        <v/>
      </c>
      <c r="Q85" s="79">
        <f>IF(OR(D85="",L85=""),"",IF(M85="Done",2,IF(AsOf&gt;L85,3,1)))</f>
        <v/>
      </c>
      <c r="R85" s="79">
        <f>IF(OR(E85="",F85=""),0,IF(COUNTIFS($E$7:E85,E85,$F$7:F85,F85)=1,1,0))</f>
        <v/>
      </c>
      <c r="S85" s="79">
        <f>IF(R85=1,E85&amp;"|"&amp;SUMIFS($R$7:R85,$E$7:E85,E85),"")</f>
        <v/>
      </c>
      <c r="T85" s="112">
        <f>IF(Q85="","",IF(Q85=3,L85,IF(OR(M85="Not started",M85=""),J85,"")))</f>
        <v/>
      </c>
      <c r="U85" s="79">
        <f>IF(T85="","",IF(Q85=3,1,IF(T85="","",IF(T85&lt;AsOf,1,IF(T85&lt;=AsOf+AlertDays,2,IF(T85&lt;=AsOf+2*AlertDays,3,""))))))</f>
        <v/>
      </c>
      <c r="V85" s="79">
        <f>IF(U85="","",IF(Q85=3,"Late task: "&amp;D85,IF(T85&lt;AsOf,"Should have started: ","Starts soon: ")&amp;D85)&amp;IF(F85="",""," — "&amp;F85))</f>
        <v/>
      </c>
    </row>
    <row r="86" ht="20" customHeight="1">
      <c r="B86" s="125" t="n">
        <v>80</v>
      </c>
      <c r="C86" s="72" t="n"/>
      <c r="D86" s="72" t="n"/>
      <c r="E86" s="72" t="n"/>
      <c r="F86" s="72" t="n"/>
      <c r="G86" s="89" t="n"/>
      <c r="H86" s="89" t="n"/>
      <c r="I86" s="109" t="n"/>
      <c r="J86" s="126">
        <f>IF(OR(D86="",ProjStart=""),"",MAX(ProjStart,IF(I86&lt;&gt;"",I86,0),IF(H86="",0,IFERROR(INDEX($L$6:L85,MATCH(H86,$B$6:B85,0))+1,0))))</f>
        <v/>
      </c>
      <c r="K86" s="89" t="n"/>
      <c r="L86" s="126">
        <f>IF(J86="","",J86+MAX(1,G86)+IF(K86="",0,K86)-1)</f>
        <v/>
      </c>
      <c r="M86" s="72" t="n"/>
      <c r="N86" s="109" t="n"/>
      <c r="O86" s="127">
        <f>IF(D86="","",COUNTIF($H$7:$H$1006,B86))</f>
        <v/>
      </c>
      <c r="P86" s="78">
        <f>IF(D86="","",IF(AND(H86&lt;&gt;"",H86&gt;=B86),"⚠️ Predecessor must be above",IF(M86="Done","✓ Done",IF(Q86=3,"🔴 Late",IF(M86="In progress","In progress","")))))</f>
        <v/>
      </c>
      <c r="Q86" s="79">
        <f>IF(OR(D86="",L86=""),"",IF(M86="Done",2,IF(AsOf&gt;L86,3,1)))</f>
        <v/>
      </c>
      <c r="R86" s="79">
        <f>IF(OR(E86="",F86=""),0,IF(COUNTIFS($E$7:E86,E86,$F$7:F86,F86)=1,1,0))</f>
        <v/>
      </c>
      <c r="S86" s="79">
        <f>IF(R86=1,E86&amp;"|"&amp;SUMIFS($R$7:R86,$E$7:E86,E86),"")</f>
        <v/>
      </c>
      <c r="T86" s="112">
        <f>IF(Q86="","",IF(Q86=3,L86,IF(OR(M86="Not started",M86=""),J86,"")))</f>
        <v/>
      </c>
      <c r="U86" s="79">
        <f>IF(T86="","",IF(Q86=3,1,IF(T86="","",IF(T86&lt;AsOf,1,IF(T86&lt;=AsOf+AlertDays,2,IF(T86&lt;=AsOf+2*AlertDays,3,""))))))</f>
        <v/>
      </c>
      <c r="V86" s="79">
        <f>IF(U86="","",IF(Q86=3,"Late task: "&amp;D86,IF(T86&lt;AsOf,"Should have started: ","Starts soon: ")&amp;D86)&amp;IF(F86="",""," — "&amp;F86))</f>
        <v/>
      </c>
    </row>
    <row r="87" ht="20" customHeight="1">
      <c r="B87" s="125" t="n">
        <v>81</v>
      </c>
      <c r="C87" s="72" t="n"/>
      <c r="D87" s="72" t="n"/>
      <c r="E87" s="72" t="n"/>
      <c r="F87" s="72" t="n"/>
      <c r="G87" s="89" t="n"/>
      <c r="H87" s="89" t="n"/>
      <c r="I87" s="109" t="n"/>
      <c r="J87" s="126">
        <f>IF(OR(D87="",ProjStart=""),"",MAX(ProjStart,IF(I87&lt;&gt;"",I87,0),IF(H87="",0,IFERROR(INDEX($L$6:L86,MATCH(H87,$B$6:B86,0))+1,0))))</f>
        <v/>
      </c>
      <c r="K87" s="89" t="n"/>
      <c r="L87" s="126">
        <f>IF(J87="","",J87+MAX(1,G87)+IF(K87="",0,K87)-1)</f>
        <v/>
      </c>
      <c r="M87" s="72" t="n"/>
      <c r="N87" s="109" t="n"/>
      <c r="O87" s="127">
        <f>IF(D87="","",COUNTIF($H$7:$H$1006,B87))</f>
        <v/>
      </c>
      <c r="P87" s="78">
        <f>IF(D87="","",IF(AND(H87&lt;&gt;"",H87&gt;=B87),"⚠️ Predecessor must be above",IF(M87="Done","✓ Done",IF(Q87=3,"🔴 Late",IF(M87="In progress","In progress","")))))</f>
        <v/>
      </c>
      <c r="Q87" s="79">
        <f>IF(OR(D87="",L87=""),"",IF(M87="Done",2,IF(AsOf&gt;L87,3,1)))</f>
        <v/>
      </c>
      <c r="R87" s="79">
        <f>IF(OR(E87="",F87=""),0,IF(COUNTIFS($E$7:E87,E87,$F$7:F87,F87)=1,1,0))</f>
        <v/>
      </c>
      <c r="S87" s="79">
        <f>IF(R87=1,E87&amp;"|"&amp;SUMIFS($R$7:R87,$E$7:E87,E87),"")</f>
        <v/>
      </c>
      <c r="T87" s="112">
        <f>IF(Q87="","",IF(Q87=3,L87,IF(OR(M87="Not started",M87=""),J87,"")))</f>
        <v/>
      </c>
      <c r="U87" s="79">
        <f>IF(T87="","",IF(Q87=3,1,IF(T87="","",IF(T87&lt;AsOf,1,IF(T87&lt;=AsOf+AlertDays,2,IF(T87&lt;=AsOf+2*AlertDays,3,""))))))</f>
        <v/>
      </c>
      <c r="V87" s="79">
        <f>IF(U87="","",IF(Q87=3,"Late task: "&amp;D87,IF(T87&lt;AsOf,"Should have started: ","Starts soon: ")&amp;D87)&amp;IF(F87="",""," — "&amp;F87))</f>
        <v/>
      </c>
    </row>
    <row r="88" ht="20" customHeight="1">
      <c r="B88" s="125" t="n">
        <v>82</v>
      </c>
      <c r="C88" s="72" t="n"/>
      <c r="D88" s="72" t="n"/>
      <c r="E88" s="72" t="n"/>
      <c r="F88" s="72" t="n"/>
      <c r="G88" s="89" t="n"/>
      <c r="H88" s="89" t="n"/>
      <c r="I88" s="109" t="n"/>
      <c r="J88" s="126">
        <f>IF(OR(D88="",ProjStart=""),"",MAX(ProjStart,IF(I88&lt;&gt;"",I88,0),IF(H88="",0,IFERROR(INDEX($L$6:L87,MATCH(H88,$B$6:B87,0))+1,0))))</f>
        <v/>
      </c>
      <c r="K88" s="89" t="n"/>
      <c r="L88" s="126">
        <f>IF(J88="","",J88+MAX(1,G88)+IF(K88="",0,K88)-1)</f>
        <v/>
      </c>
      <c r="M88" s="72" t="n"/>
      <c r="N88" s="109" t="n"/>
      <c r="O88" s="127">
        <f>IF(D88="","",COUNTIF($H$7:$H$1006,B88))</f>
        <v/>
      </c>
      <c r="P88" s="78">
        <f>IF(D88="","",IF(AND(H88&lt;&gt;"",H88&gt;=B88),"⚠️ Predecessor must be above",IF(M88="Done","✓ Done",IF(Q88=3,"🔴 Late",IF(M88="In progress","In progress","")))))</f>
        <v/>
      </c>
      <c r="Q88" s="79">
        <f>IF(OR(D88="",L88=""),"",IF(M88="Done",2,IF(AsOf&gt;L88,3,1)))</f>
        <v/>
      </c>
      <c r="R88" s="79">
        <f>IF(OR(E88="",F88=""),0,IF(COUNTIFS($E$7:E88,E88,$F$7:F88,F88)=1,1,0))</f>
        <v/>
      </c>
      <c r="S88" s="79">
        <f>IF(R88=1,E88&amp;"|"&amp;SUMIFS($R$7:R88,$E$7:E88,E88),"")</f>
        <v/>
      </c>
      <c r="T88" s="112">
        <f>IF(Q88="","",IF(Q88=3,L88,IF(OR(M88="Not started",M88=""),J88,"")))</f>
        <v/>
      </c>
      <c r="U88" s="79">
        <f>IF(T88="","",IF(Q88=3,1,IF(T88="","",IF(T88&lt;AsOf,1,IF(T88&lt;=AsOf+AlertDays,2,IF(T88&lt;=AsOf+2*AlertDays,3,""))))))</f>
        <v/>
      </c>
      <c r="V88" s="79">
        <f>IF(U88="","",IF(Q88=3,"Late task: "&amp;D88,IF(T88&lt;AsOf,"Should have started: ","Starts soon: ")&amp;D88)&amp;IF(F88="",""," — "&amp;F88))</f>
        <v/>
      </c>
    </row>
    <row r="89" ht="20" customHeight="1">
      <c r="B89" s="125" t="n">
        <v>83</v>
      </c>
      <c r="C89" s="72" t="n"/>
      <c r="D89" s="72" t="n"/>
      <c r="E89" s="72" t="n"/>
      <c r="F89" s="72" t="n"/>
      <c r="G89" s="89" t="n"/>
      <c r="H89" s="89" t="n"/>
      <c r="I89" s="109" t="n"/>
      <c r="J89" s="126">
        <f>IF(OR(D89="",ProjStart=""),"",MAX(ProjStart,IF(I89&lt;&gt;"",I89,0),IF(H89="",0,IFERROR(INDEX($L$6:L88,MATCH(H89,$B$6:B88,0))+1,0))))</f>
        <v/>
      </c>
      <c r="K89" s="89" t="n"/>
      <c r="L89" s="126">
        <f>IF(J89="","",J89+MAX(1,G89)+IF(K89="",0,K89)-1)</f>
        <v/>
      </c>
      <c r="M89" s="72" t="n"/>
      <c r="N89" s="109" t="n"/>
      <c r="O89" s="127">
        <f>IF(D89="","",COUNTIF($H$7:$H$1006,B89))</f>
        <v/>
      </c>
      <c r="P89" s="78">
        <f>IF(D89="","",IF(AND(H89&lt;&gt;"",H89&gt;=B89),"⚠️ Predecessor must be above",IF(M89="Done","✓ Done",IF(Q89=3,"🔴 Late",IF(M89="In progress","In progress","")))))</f>
        <v/>
      </c>
      <c r="Q89" s="79">
        <f>IF(OR(D89="",L89=""),"",IF(M89="Done",2,IF(AsOf&gt;L89,3,1)))</f>
        <v/>
      </c>
      <c r="R89" s="79">
        <f>IF(OR(E89="",F89=""),0,IF(COUNTIFS($E$7:E89,E89,$F$7:F89,F89)=1,1,0))</f>
        <v/>
      </c>
      <c r="S89" s="79">
        <f>IF(R89=1,E89&amp;"|"&amp;SUMIFS($R$7:R89,$E$7:E89,E89),"")</f>
        <v/>
      </c>
      <c r="T89" s="112">
        <f>IF(Q89="","",IF(Q89=3,L89,IF(OR(M89="Not started",M89=""),J89,"")))</f>
        <v/>
      </c>
      <c r="U89" s="79">
        <f>IF(T89="","",IF(Q89=3,1,IF(T89="","",IF(T89&lt;AsOf,1,IF(T89&lt;=AsOf+AlertDays,2,IF(T89&lt;=AsOf+2*AlertDays,3,""))))))</f>
        <v/>
      </c>
      <c r="V89" s="79">
        <f>IF(U89="","",IF(Q89=3,"Late task: "&amp;D89,IF(T89&lt;AsOf,"Should have started: ","Starts soon: ")&amp;D89)&amp;IF(F89="",""," — "&amp;F89))</f>
        <v/>
      </c>
    </row>
    <row r="90" ht="20" customHeight="1">
      <c r="B90" s="125" t="n">
        <v>84</v>
      </c>
      <c r="C90" s="72" t="n"/>
      <c r="D90" s="72" t="n"/>
      <c r="E90" s="72" t="n"/>
      <c r="F90" s="72" t="n"/>
      <c r="G90" s="89" t="n"/>
      <c r="H90" s="89" t="n"/>
      <c r="I90" s="109" t="n"/>
      <c r="J90" s="126">
        <f>IF(OR(D90="",ProjStart=""),"",MAX(ProjStart,IF(I90&lt;&gt;"",I90,0),IF(H90="",0,IFERROR(INDEX($L$6:L89,MATCH(H90,$B$6:B89,0))+1,0))))</f>
        <v/>
      </c>
      <c r="K90" s="89" t="n"/>
      <c r="L90" s="126">
        <f>IF(J90="","",J90+MAX(1,G90)+IF(K90="",0,K90)-1)</f>
        <v/>
      </c>
      <c r="M90" s="72" t="n"/>
      <c r="N90" s="109" t="n"/>
      <c r="O90" s="127">
        <f>IF(D90="","",COUNTIF($H$7:$H$1006,B90))</f>
        <v/>
      </c>
      <c r="P90" s="78">
        <f>IF(D90="","",IF(AND(H90&lt;&gt;"",H90&gt;=B90),"⚠️ Predecessor must be above",IF(M90="Done","✓ Done",IF(Q90=3,"🔴 Late",IF(M90="In progress","In progress","")))))</f>
        <v/>
      </c>
      <c r="Q90" s="79">
        <f>IF(OR(D90="",L90=""),"",IF(M90="Done",2,IF(AsOf&gt;L90,3,1)))</f>
        <v/>
      </c>
      <c r="R90" s="79">
        <f>IF(OR(E90="",F90=""),0,IF(COUNTIFS($E$7:E90,E90,$F$7:F90,F90)=1,1,0))</f>
        <v/>
      </c>
      <c r="S90" s="79">
        <f>IF(R90=1,E90&amp;"|"&amp;SUMIFS($R$7:R90,$E$7:E90,E90),"")</f>
        <v/>
      </c>
      <c r="T90" s="112">
        <f>IF(Q90="","",IF(Q90=3,L90,IF(OR(M90="Not started",M90=""),J90,"")))</f>
        <v/>
      </c>
      <c r="U90" s="79">
        <f>IF(T90="","",IF(Q90=3,1,IF(T90="","",IF(T90&lt;AsOf,1,IF(T90&lt;=AsOf+AlertDays,2,IF(T90&lt;=AsOf+2*AlertDays,3,""))))))</f>
        <v/>
      </c>
      <c r="V90" s="79">
        <f>IF(U90="","",IF(Q90=3,"Late task: "&amp;D90,IF(T90&lt;AsOf,"Should have started: ","Starts soon: ")&amp;D90)&amp;IF(F90="",""," — "&amp;F90))</f>
        <v/>
      </c>
    </row>
    <row r="91" ht="20" customHeight="1">
      <c r="B91" s="125" t="n">
        <v>85</v>
      </c>
      <c r="C91" s="72" t="n"/>
      <c r="D91" s="72" t="n"/>
      <c r="E91" s="72" t="n"/>
      <c r="F91" s="72" t="n"/>
      <c r="G91" s="89" t="n"/>
      <c r="H91" s="89" t="n"/>
      <c r="I91" s="109" t="n"/>
      <c r="J91" s="126">
        <f>IF(OR(D91="",ProjStart=""),"",MAX(ProjStart,IF(I91&lt;&gt;"",I91,0),IF(H91="",0,IFERROR(INDEX($L$6:L90,MATCH(H91,$B$6:B90,0))+1,0))))</f>
        <v/>
      </c>
      <c r="K91" s="89" t="n"/>
      <c r="L91" s="126">
        <f>IF(J91="","",J91+MAX(1,G91)+IF(K91="",0,K91)-1)</f>
        <v/>
      </c>
      <c r="M91" s="72" t="n"/>
      <c r="N91" s="109" t="n"/>
      <c r="O91" s="127">
        <f>IF(D91="","",COUNTIF($H$7:$H$1006,B91))</f>
        <v/>
      </c>
      <c r="P91" s="78">
        <f>IF(D91="","",IF(AND(H91&lt;&gt;"",H91&gt;=B91),"⚠️ Predecessor must be above",IF(M91="Done","✓ Done",IF(Q91=3,"🔴 Late",IF(M91="In progress","In progress","")))))</f>
        <v/>
      </c>
      <c r="Q91" s="79">
        <f>IF(OR(D91="",L91=""),"",IF(M91="Done",2,IF(AsOf&gt;L91,3,1)))</f>
        <v/>
      </c>
      <c r="R91" s="79">
        <f>IF(OR(E91="",F91=""),0,IF(COUNTIFS($E$7:E91,E91,$F$7:F91,F91)=1,1,0))</f>
        <v/>
      </c>
      <c r="S91" s="79">
        <f>IF(R91=1,E91&amp;"|"&amp;SUMIFS($R$7:R91,$E$7:E91,E91),"")</f>
        <v/>
      </c>
      <c r="T91" s="112">
        <f>IF(Q91="","",IF(Q91=3,L91,IF(OR(M91="Not started",M91=""),J91,"")))</f>
        <v/>
      </c>
      <c r="U91" s="79">
        <f>IF(T91="","",IF(Q91=3,1,IF(T91="","",IF(T91&lt;AsOf,1,IF(T91&lt;=AsOf+AlertDays,2,IF(T91&lt;=AsOf+2*AlertDays,3,""))))))</f>
        <v/>
      </c>
      <c r="V91" s="79">
        <f>IF(U91="","",IF(Q91=3,"Late task: "&amp;D91,IF(T91&lt;AsOf,"Should have started: ","Starts soon: ")&amp;D91)&amp;IF(F91="",""," — "&amp;F91))</f>
        <v/>
      </c>
    </row>
    <row r="92" ht="20" customHeight="1">
      <c r="B92" s="125" t="n">
        <v>86</v>
      </c>
      <c r="C92" s="72" t="n"/>
      <c r="D92" s="72" t="n"/>
      <c r="E92" s="72" t="n"/>
      <c r="F92" s="72" t="n"/>
      <c r="G92" s="89" t="n"/>
      <c r="H92" s="89" t="n"/>
      <c r="I92" s="109" t="n"/>
      <c r="J92" s="126">
        <f>IF(OR(D92="",ProjStart=""),"",MAX(ProjStart,IF(I92&lt;&gt;"",I92,0),IF(H92="",0,IFERROR(INDEX($L$6:L91,MATCH(H92,$B$6:B91,0))+1,0))))</f>
        <v/>
      </c>
      <c r="K92" s="89" t="n"/>
      <c r="L92" s="126">
        <f>IF(J92="","",J92+MAX(1,G92)+IF(K92="",0,K92)-1)</f>
        <v/>
      </c>
      <c r="M92" s="72" t="n"/>
      <c r="N92" s="109" t="n"/>
      <c r="O92" s="127">
        <f>IF(D92="","",COUNTIF($H$7:$H$1006,B92))</f>
        <v/>
      </c>
      <c r="P92" s="78">
        <f>IF(D92="","",IF(AND(H92&lt;&gt;"",H92&gt;=B92),"⚠️ Predecessor must be above",IF(M92="Done","✓ Done",IF(Q92=3,"🔴 Late",IF(M92="In progress","In progress","")))))</f>
        <v/>
      </c>
      <c r="Q92" s="79">
        <f>IF(OR(D92="",L92=""),"",IF(M92="Done",2,IF(AsOf&gt;L92,3,1)))</f>
        <v/>
      </c>
      <c r="R92" s="79">
        <f>IF(OR(E92="",F92=""),0,IF(COUNTIFS($E$7:E92,E92,$F$7:F92,F92)=1,1,0))</f>
        <v/>
      </c>
      <c r="S92" s="79">
        <f>IF(R92=1,E92&amp;"|"&amp;SUMIFS($R$7:R92,$E$7:E92,E92),"")</f>
        <v/>
      </c>
      <c r="T92" s="112">
        <f>IF(Q92="","",IF(Q92=3,L92,IF(OR(M92="Not started",M92=""),J92,"")))</f>
        <v/>
      </c>
      <c r="U92" s="79">
        <f>IF(T92="","",IF(Q92=3,1,IF(T92="","",IF(T92&lt;AsOf,1,IF(T92&lt;=AsOf+AlertDays,2,IF(T92&lt;=AsOf+2*AlertDays,3,""))))))</f>
        <v/>
      </c>
      <c r="V92" s="79">
        <f>IF(U92="","",IF(Q92=3,"Late task: "&amp;D92,IF(T92&lt;AsOf,"Should have started: ","Starts soon: ")&amp;D92)&amp;IF(F92="",""," — "&amp;F92))</f>
        <v/>
      </c>
    </row>
    <row r="93" ht="20" customHeight="1">
      <c r="B93" s="125" t="n">
        <v>87</v>
      </c>
      <c r="C93" s="72" t="n"/>
      <c r="D93" s="72" t="n"/>
      <c r="E93" s="72" t="n"/>
      <c r="F93" s="72" t="n"/>
      <c r="G93" s="89" t="n"/>
      <c r="H93" s="89" t="n"/>
      <c r="I93" s="109" t="n"/>
      <c r="J93" s="126">
        <f>IF(OR(D93="",ProjStart=""),"",MAX(ProjStart,IF(I93&lt;&gt;"",I93,0),IF(H93="",0,IFERROR(INDEX($L$6:L92,MATCH(H93,$B$6:B92,0))+1,0))))</f>
        <v/>
      </c>
      <c r="K93" s="89" t="n"/>
      <c r="L93" s="126">
        <f>IF(J93="","",J93+MAX(1,G93)+IF(K93="",0,K93)-1)</f>
        <v/>
      </c>
      <c r="M93" s="72" t="n"/>
      <c r="N93" s="109" t="n"/>
      <c r="O93" s="127">
        <f>IF(D93="","",COUNTIF($H$7:$H$1006,B93))</f>
        <v/>
      </c>
      <c r="P93" s="78">
        <f>IF(D93="","",IF(AND(H93&lt;&gt;"",H93&gt;=B93),"⚠️ Predecessor must be above",IF(M93="Done","✓ Done",IF(Q93=3,"🔴 Late",IF(M93="In progress","In progress","")))))</f>
        <v/>
      </c>
      <c r="Q93" s="79">
        <f>IF(OR(D93="",L93=""),"",IF(M93="Done",2,IF(AsOf&gt;L93,3,1)))</f>
        <v/>
      </c>
      <c r="R93" s="79">
        <f>IF(OR(E93="",F93=""),0,IF(COUNTIFS($E$7:E93,E93,$F$7:F93,F93)=1,1,0))</f>
        <v/>
      </c>
      <c r="S93" s="79">
        <f>IF(R93=1,E93&amp;"|"&amp;SUMIFS($R$7:R93,$E$7:E93,E93),"")</f>
        <v/>
      </c>
      <c r="T93" s="112">
        <f>IF(Q93="","",IF(Q93=3,L93,IF(OR(M93="Not started",M93=""),J93,"")))</f>
        <v/>
      </c>
      <c r="U93" s="79">
        <f>IF(T93="","",IF(Q93=3,1,IF(T93="","",IF(T93&lt;AsOf,1,IF(T93&lt;=AsOf+AlertDays,2,IF(T93&lt;=AsOf+2*AlertDays,3,""))))))</f>
        <v/>
      </c>
      <c r="V93" s="79">
        <f>IF(U93="","",IF(Q93=3,"Late task: "&amp;D93,IF(T93&lt;AsOf,"Should have started: ","Starts soon: ")&amp;D93)&amp;IF(F93="",""," — "&amp;F93))</f>
        <v/>
      </c>
    </row>
    <row r="94" ht="20" customHeight="1">
      <c r="B94" s="125" t="n">
        <v>88</v>
      </c>
      <c r="C94" s="72" t="n"/>
      <c r="D94" s="72" t="n"/>
      <c r="E94" s="72" t="n"/>
      <c r="F94" s="72" t="n"/>
      <c r="G94" s="89" t="n"/>
      <c r="H94" s="89" t="n"/>
      <c r="I94" s="109" t="n"/>
      <c r="J94" s="126">
        <f>IF(OR(D94="",ProjStart=""),"",MAX(ProjStart,IF(I94&lt;&gt;"",I94,0),IF(H94="",0,IFERROR(INDEX($L$6:L93,MATCH(H94,$B$6:B93,0))+1,0))))</f>
        <v/>
      </c>
      <c r="K94" s="89" t="n"/>
      <c r="L94" s="126">
        <f>IF(J94="","",J94+MAX(1,G94)+IF(K94="",0,K94)-1)</f>
        <v/>
      </c>
      <c r="M94" s="72" t="n"/>
      <c r="N94" s="109" t="n"/>
      <c r="O94" s="127">
        <f>IF(D94="","",COUNTIF($H$7:$H$1006,B94))</f>
        <v/>
      </c>
      <c r="P94" s="78">
        <f>IF(D94="","",IF(AND(H94&lt;&gt;"",H94&gt;=B94),"⚠️ Predecessor must be above",IF(M94="Done","✓ Done",IF(Q94=3,"🔴 Late",IF(M94="In progress","In progress","")))))</f>
        <v/>
      </c>
      <c r="Q94" s="79">
        <f>IF(OR(D94="",L94=""),"",IF(M94="Done",2,IF(AsOf&gt;L94,3,1)))</f>
        <v/>
      </c>
      <c r="R94" s="79">
        <f>IF(OR(E94="",F94=""),0,IF(COUNTIFS($E$7:E94,E94,$F$7:F94,F94)=1,1,0))</f>
        <v/>
      </c>
      <c r="S94" s="79">
        <f>IF(R94=1,E94&amp;"|"&amp;SUMIFS($R$7:R94,$E$7:E94,E94),"")</f>
        <v/>
      </c>
      <c r="T94" s="112">
        <f>IF(Q94="","",IF(Q94=3,L94,IF(OR(M94="Not started",M94=""),J94,"")))</f>
        <v/>
      </c>
      <c r="U94" s="79">
        <f>IF(T94="","",IF(Q94=3,1,IF(T94="","",IF(T94&lt;AsOf,1,IF(T94&lt;=AsOf+AlertDays,2,IF(T94&lt;=AsOf+2*AlertDays,3,""))))))</f>
        <v/>
      </c>
      <c r="V94" s="79">
        <f>IF(U94="","",IF(Q94=3,"Late task: "&amp;D94,IF(T94&lt;AsOf,"Should have started: ","Starts soon: ")&amp;D94)&amp;IF(F94="",""," — "&amp;F94))</f>
        <v/>
      </c>
    </row>
    <row r="95" ht="20" customHeight="1">
      <c r="B95" s="125" t="n">
        <v>89</v>
      </c>
      <c r="C95" s="72" t="n"/>
      <c r="D95" s="72" t="n"/>
      <c r="E95" s="72" t="n"/>
      <c r="F95" s="72" t="n"/>
      <c r="G95" s="89" t="n"/>
      <c r="H95" s="89" t="n"/>
      <c r="I95" s="109" t="n"/>
      <c r="J95" s="126">
        <f>IF(OR(D95="",ProjStart=""),"",MAX(ProjStart,IF(I95&lt;&gt;"",I95,0),IF(H95="",0,IFERROR(INDEX($L$6:L94,MATCH(H95,$B$6:B94,0))+1,0))))</f>
        <v/>
      </c>
      <c r="K95" s="89" t="n"/>
      <c r="L95" s="126">
        <f>IF(J95="","",J95+MAX(1,G95)+IF(K95="",0,K95)-1)</f>
        <v/>
      </c>
      <c r="M95" s="72" t="n"/>
      <c r="N95" s="109" t="n"/>
      <c r="O95" s="127">
        <f>IF(D95="","",COUNTIF($H$7:$H$1006,B95))</f>
        <v/>
      </c>
      <c r="P95" s="78">
        <f>IF(D95="","",IF(AND(H95&lt;&gt;"",H95&gt;=B95),"⚠️ Predecessor must be above",IF(M95="Done","✓ Done",IF(Q95=3,"🔴 Late",IF(M95="In progress","In progress","")))))</f>
        <v/>
      </c>
      <c r="Q95" s="79">
        <f>IF(OR(D95="",L95=""),"",IF(M95="Done",2,IF(AsOf&gt;L95,3,1)))</f>
        <v/>
      </c>
      <c r="R95" s="79">
        <f>IF(OR(E95="",F95=""),0,IF(COUNTIFS($E$7:E95,E95,$F$7:F95,F95)=1,1,0))</f>
        <v/>
      </c>
      <c r="S95" s="79">
        <f>IF(R95=1,E95&amp;"|"&amp;SUMIFS($R$7:R95,$E$7:E95,E95),"")</f>
        <v/>
      </c>
      <c r="T95" s="112">
        <f>IF(Q95="","",IF(Q95=3,L95,IF(OR(M95="Not started",M95=""),J95,"")))</f>
        <v/>
      </c>
      <c r="U95" s="79">
        <f>IF(T95="","",IF(Q95=3,1,IF(T95="","",IF(T95&lt;AsOf,1,IF(T95&lt;=AsOf+AlertDays,2,IF(T95&lt;=AsOf+2*AlertDays,3,""))))))</f>
        <v/>
      </c>
      <c r="V95" s="79">
        <f>IF(U95="","",IF(Q95=3,"Late task: "&amp;D95,IF(T95&lt;AsOf,"Should have started: ","Starts soon: ")&amp;D95)&amp;IF(F95="",""," — "&amp;F95))</f>
        <v/>
      </c>
    </row>
    <row r="96" ht="20" customHeight="1">
      <c r="B96" s="125" t="n">
        <v>90</v>
      </c>
      <c r="C96" s="72" t="n"/>
      <c r="D96" s="72" t="n"/>
      <c r="E96" s="72" t="n"/>
      <c r="F96" s="72" t="n"/>
      <c r="G96" s="89" t="n"/>
      <c r="H96" s="89" t="n"/>
      <c r="I96" s="109" t="n"/>
      <c r="J96" s="126">
        <f>IF(OR(D96="",ProjStart=""),"",MAX(ProjStart,IF(I96&lt;&gt;"",I96,0),IF(H96="",0,IFERROR(INDEX($L$6:L95,MATCH(H96,$B$6:B95,0))+1,0))))</f>
        <v/>
      </c>
      <c r="K96" s="89" t="n"/>
      <c r="L96" s="126">
        <f>IF(J96="","",J96+MAX(1,G96)+IF(K96="",0,K96)-1)</f>
        <v/>
      </c>
      <c r="M96" s="72" t="n"/>
      <c r="N96" s="109" t="n"/>
      <c r="O96" s="127">
        <f>IF(D96="","",COUNTIF($H$7:$H$1006,B96))</f>
        <v/>
      </c>
      <c r="P96" s="78">
        <f>IF(D96="","",IF(AND(H96&lt;&gt;"",H96&gt;=B96),"⚠️ Predecessor must be above",IF(M96="Done","✓ Done",IF(Q96=3,"🔴 Late",IF(M96="In progress","In progress","")))))</f>
        <v/>
      </c>
      <c r="Q96" s="79">
        <f>IF(OR(D96="",L96=""),"",IF(M96="Done",2,IF(AsOf&gt;L96,3,1)))</f>
        <v/>
      </c>
      <c r="R96" s="79">
        <f>IF(OR(E96="",F96=""),0,IF(COUNTIFS($E$7:E96,E96,$F$7:F96,F96)=1,1,0))</f>
        <v/>
      </c>
      <c r="S96" s="79">
        <f>IF(R96=1,E96&amp;"|"&amp;SUMIFS($R$7:R96,$E$7:E96,E96),"")</f>
        <v/>
      </c>
      <c r="T96" s="112">
        <f>IF(Q96="","",IF(Q96=3,L96,IF(OR(M96="Not started",M96=""),J96,"")))</f>
        <v/>
      </c>
      <c r="U96" s="79">
        <f>IF(T96="","",IF(Q96=3,1,IF(T96="","",IF(T96&lt;AsOf,1,IF(T96&lt;=AsOf+AlertDays,2,IF(T96&lt;=AsOf+2*AlertDays,3,""))))))</f>
        <v/>
      </c>
      <c r="V96" s="79">
        <f>IF(U96="","",IF(Q96=3,"Late task: "&amp;D96,IF(T96&lt;AsOf,"Should have started: ","Starts soon: ")&amp;D96)&amp;IF(F96="",""," — "&amp;F96))</f>
        <v/>
      </c>
    </row>
    <row r="97" ht="20" customHeight="1">
      <c r="B97" s="125" t="n">
        <v>91</v>
      </c>
      <c r="C97" s="72" t="n"/>
      <c r="D97" s="72" t="n"/>
      <c r="E97" s="72" t="n"/>
      <c r="F97" s="72" t="n"/>
      <c r="G97" s="89" t="n"/>
      <c r="H97" s="89" t="n"/>
      <c r="I97" s="109" t="n"/>
      <c r="J97" s="126">
        <f>IF(OR(D97="",ProjStart=""),"",MAX(ProjStart,IF(I97&lt;&gt;"",I97,0),IF(H97="",0,IFERROR(INDEX($L$6:L96,MATCH(H97,$B$6:B96,0))+1,0))))</f>
        <v/>
      </c>
      <c r="K97" s="89" t="n"/>
      <c r="L97" s="126">
        <f>IF(J97="","",J97+MAX(1,G97)+IF(K97="",0,K97)-1)</f>
        <v/>
      </c>
      <c r="M97" s="72" t="n"/>
      <c r="N97" s="109" t="n"/>
      <c r="O97" s="127">
        <f>IF(D97="","",COUNTIF($H$7:$H$1006,B97))</f>
        <v/>
      </c>
      <c r="P97" s="78">
        <f>IF(D97="","",IF(AND(H97&lt;&gt;"",H97&gt;=B97),"⚠️ Predecessor must be above",IF(M97="Done","✓ Done",IF(Q97=3,"🔴 Late",IF(M97="In progress","In progress","")))))</f>
        <v/>
      </c>
      <c r="Q97" s="79">
        <f>IF(OR(D97="",L97=""),"",IF(M97="Done",2,IF(AsOf&gt;L97,3,1)))</f>
        <v/>
      </c>
      <c r="R97" s="79">
        <f>IF(OR(E97="",F97=""),0,IF(COUNTIFS($E$7:E97,E97,$F$7:F97,F97)=1,1,0))</f>
        <v/>
      </c>
      <c r="S97" s="79">
        <f>IF(R97=1,E97&amp;"|"&amp;SUMIFS($R$7:R97,$E$7:E97,E97),"")</f>
        <v/>
      </c>
      <c r="T97" s="112">
        <f>IF(Q97="","",IF(Q97=3,L97,IF(OR(M97="Not started",M97=""),J97,"")))</f>
        <v/>
      </c>
      <c r="U97" s="79">
        <f>IF(T97="","",IF(Q97=3,1,IF(T97="","",IF(T97&lt;AsOf,1,IF(T97&lt;=AsOf+AlertDays,2,IF(T97&lt;=AsOf+2*AlertDays,3,""))))))</f>
        <v/>
      </c>
      <c r="V97" s="79">
        <f>IF(U97="","",IF(Q97=3,"Late task: "&amp;D97,IF(T97&lt;AsOf,"Should have started: ","Starts soon: ")&amp;D97)&amp;IF(F97="",""," — "&amp;F97))</f>
        <v/>
      </c>
    </row>
    <row r="98" ht="20" customHeight="1">
      <c r="B98" s="125" t="n">
        <v>92</v>
      </c>
      <c r="C98" s="72" t="n"/>
      <c r="D98" s="72" t="n"/>
      <c r="E98" s="72" t="n"/>
      <c r="F98" s="72" t="n"/>
      <c r="G98" s="89" t="n"/>
      <c r="H98" s="89" t="n"/>
      <c r="I98" s="109" t="n"/>
      <c r="J98" s="126">
        <f>IF(OR(D98="",ProjStart=""),"",MAX(ProjStart,IF(I98&lt;&gt;"",I98,0),IF(H98="",0,IFERROR(INDEX($L$6:L97,MATCH(H98,$B$6:B97,0))+1,0))))</f>
        <v/>
      </c>
      <c r="K98" s="89" t="n"/>
      <c r="L98" s="126">
        <f>IF(J98="","",J98+MAX(1,G98)+IF(K98="",0,K98)-1)</f>
        <v/>
      </c>
      <c r="M98" s="72" t="n"/>
      <c r="N98" s="109" t="n"/>
      <c r="O98" s="127">
        <f>IF(D98="","",COUNTIF($H$7:$H$1006,B98))</f>
        <v/>
      </c>
      <c r="P98" s="78">
        <f>IF(D98="","",IF(AND(H98&lt;&gt;"",H98&gt;=B98),"⚠️ Predecessor must be above",IF(M98="Done","✓ Done",IF(Q98=3,"🔴 Late",IF(M98="In progress","In progress","")))))</f>
        <v/>
      </c>
      <c r="Q98" s="79">
        <f>IF(OR(D98="",L98=""),"",IF(M98="Done",2,IF(AsOf&gt;L98,3,1)))</f>
        <v/>
      </c>
      <c r="R98" s="79">
        <f>IF(OR(E98="",F98=""),0,IF(COUNTIFS($E$7:E98,E98,$F$7:F98,F98)=1,1,0))</f>
        <v/>
      </c>
      <c r="S98" s="79">
        <f>IF(R98=1,E98&amp;"|"&amp;SUMIFS($R$7:R98,$E$7:E98,E98),"")</f>
        <v/>
      </c>
      <c r="T98" s="112">
        <f>IF(Q98="","",IF(Q98=3,L98,IF(OR(M98="Not started",M98=""),J98,"")))</f>
        <v/>
      </c>
      <c r="U98" s="79">
        <f>IF(T98="","",IF(Q98=3,1,IF(T98="","",IF(T98&lt;AsOf,1,IF(T98&lt;=AsOf+AlertDays,2,IF(T98&lt;=AsOf+2*AlertDays,3,""))))))</f>
        <v/>
      </c>
      <c r="V98" s="79">
        <f>IF(U98="","",IF(Q98=3,"Late task: "&amp;D98,IF(T98&lt;AsOf,"Should have started: ","Starts soon: ")&amp;D98)&amp;IF(F98="",""," — "&amp;F98))</f>
        <v/>
      </c>
    </row>
    <row r="99" ht="20" customHeight="1">
      <c r="B99" s="125" t="n">
        <v>93</v>
      </c>
      <c r="C99" s="72" t="n"/>
      <c r="D99" s="72" t="n"/>
      <c r="E99" s="72" t="n"/>
      <c r="F99" s="72" t="n"/>
      <c r="G99" s="89" t="n"/>
      <c r="H99" s="89" t="n"/>
      <c r="I99" s="109" t="n"/>
      <c r="J99" s="126">
        <f>IF(OR(D99="",ProjStart=""),"",MAX(ProjStart,IF(I99&lt;&gt;"",I99,0),IF(H99="",0,IFERROR(INDEX($L$6:L98,MATCH(H99,$B$6:B98,0))+1,0))))</f>
        <v/>
      </c>
      <c r="K99" s="89" t="n"/>
      <c r="L99" s="126">
        <f>IF(J99="","",J99+MAX(1,G99)+IF(K99="",0,K99)-1)</f>
        <v/>
      </c>
      <c r="M99" s="72" t="n"/>
      <c r="N99" s="109" t="n"/>
      <c r="O99" s="127">
        <f>IF(D99="","",COUNTIF($H$7:$H$1006,B99))</f>
        <v/>
      </c>
      <c r="P99" s="78">
        <f>IF(D99="","",IF(AND(H99&lt;&gt;"",H99&gt;=B99),"⚠️ Predecessor must be above",IF(M99="Done","✓ Done",IF(Q99=3,"🔴 Late",IF(M99="In progress","In progress","")))))</f>
        <v/>
      </c>
      <c r="Q99" s="79">
        <f>IF(OR(D99="",L99=""),"",IF(M99="Done",2,IF(AsOf&gt;L99,3,1)))</f>
        <v/>
      </c>
      <c r="R99" s="79">
        <f>IF(OR(E99="",F99=""),0,IF(COUNTIFS($E$7:E99,E99,$F$7:F99,F99)=1,1,0))</f>
        <v/>
      </c>
      <c r="S99" s="79">
        <f>IF(R99=1,E99&amp;"|"&amp;SUMIFS($R$7:R99,$E$7:E99,E99),"")</f>
        <v/>
      </c>
      <c r="T99" s="112">
        <f>IF(Q99="","",IF(Q99=3,L99,IF(OR(M99="Not started",M99=""),J99,"")))</f>
        <v/>
      </c>
      <c r="U99" s="79">
        <f>IF(T99="","",IF(Q99=3,1,IF(T99="","",IF(T99&lt;AsOf,1,IF(T99&lt;=AsOf+AlertDays,2,IF(T99&lt;=AsOf+2*AlertDays,3,""))))))</f>
        <v/>
      </c>
      <c r="V99" s="79">
        <f>IF(U99="","",IF(Q99=3,"Late task: "&amp;D99,IF(T99&lt;AsOf,"Should have started: ","Starts soon: ")&amp;D99)&amp;IF(F99="",""," — "&amp;F99))</f>
        <v/>
      </c>
    </row>
    <row r="100" ht="20" customHeight="1">
      <c r="B100" s="125" t="n">
        <v>94</v>
      </c>
      <c r="C100" s="72" t="n"/>
      <c r="D100" s="72" t="n"/>
      <c r="E100" s="72" t="n"/>
      <c r="F100" s="72" t="n"/>
      <c r="G100" s="89" t="n"/>
      <c r="H100" s="89" t="n"/>
      <c r="I100" s="109" t="n"/>
      <c r="J100" s="126">
        <f>IF(OR(D100="",ProjStart=""),"",MAX(ProjStart,IF(I100&lt;&gt;"",I100,0),IF(H100="",0,IFERROR(INDEX($L$6:L99,MATCH(H100,$B$6:B99,0))+1,0))))</f>
        <v/>
      </c>
      <c r="K100" s="89" t="n"/>
      <c r="L100" s="126">
        <f>IF(J100="","",J100+MAX(1,G100)+IF(K100="",0,K100)-1)</f>
        <v/>
      </c>
      <c r="M100" s="72" t="n"/>
      <c r="N100" s="109" t="n"/>
      <c r="O100" s="127">
        <f>IF(D100="","",COUNTIF($H$7:$H$1006,B100))</f>
        <v/>
      </c>
      <c r="P100" s="78">
        <f>IF(D100="","",IF(AND(H100&lt;&gt;"",H100&gt;=B100),"⚠️ Predecessor must be above",IF(M100="Done","✓ Done",IF(Q100=3,"🔴 Late",IF(M100="In progress","In progress","")))))</f>
        <v/>
      </c>
      <c r="Q100" s="79">
        <f>IF(OR(D100="",L100=""),"",IF(M100="Done",2,IF(AsOf&gt;L100,3,1)))</f>
        <v/>
      </c>
      <c r="R100" s="79">
        <f>IF(OR(E100="",F100=""),0,IF(COUNTIFS($E$7:E100,E100,$F$7:F100,F100)=1,1,0))</f>
        <v/>
      </c>
      <c r="S100" s="79">
        <f>IF(R100=1,E100&amp;"|"&amp;SUMIFS($R$7:R100,$E$7:E100,E100),"")</f>
        <v/>
      </c>
      <c r="T100" s="112">
        <f>IF(Q100="","",IF(Q100=3,L100,IF(OR(M100="Not started",M100=""),J100,"")))</f>
        <v/>
      </c>
      <c r="U100" s="79">
        <f>IF(T100="","",IF(Q100=3,1,IF(T100="","",IF(T100&lt;AsOf,1,IF(T100&lt;=AsOf+AlertDays,2,IF(T100&lt;=AsOf+2*AlertDays,3,""))))))</f>
        <v/>
      </c>
      <c r="V100" s="79">
        <f>IF(U100="","",IF(Q100=3,"Late task: "&amp;D100,IF(T100&lt;AsOf,"Should have started: ","Starts soon: ")&amp;D100)&amp;IF(F100="",""," — "&amp;F100))</f>
        <v/>
      </c>
    </row>
    <row r="101" ht="20" customHeight="1">
      <c r="B101" s="125" t="n">
        <v>95</v>
      </c>
      <c r="C101" s="72" t="n"/>
      <c r="D101" s="72" t="n"/>
      <c r="E101" s="72" t="n"/>
      <c r="F101" s="72" t="n"/>
      <c r="G101" s="89" t="n"/>
      <c r="H101" s="89" t="n"/>
      <c r="I101" s="109" t="n"/>
      <c r="J101" s="126">
        <f>IF(OR(D101="",ProjStart=""),"",MAX(ProjStart,IF(I101&lt;&gt;"",I101,0),IF(H101="",0,IFERROR(INDEX($L$6:L100,MATCH(H101,$B$6:B100,0))+1,0))))</f>
        <v/>
      </c>
      <c r="K101" s="89" t="n"/>
      <c r="L101" s="126">
        <f>IF(J101="","",J101+MAX(1,G101)+IF(K101="",0,K101)-1)</f>
        <v/>
      </c>
      <c r="M101" s="72" t="n"/>
      <c r="N101" s="109" t="n"/>
      <c r="O101" s="127">
        <f>IF(D101="","",COUNTIF($H$7:$H$1006,B101))</f>
        <v/>
      </c>
      <c r="P101" s="78">
        <f>IF(D101="","",IF(AND(H101&lt;&gt;"",H101&gt;=B101),"⚠️ Predecessor must be above",IF(M101="Done","✓ Done",IF(Q101=3,"🔴 Late",IF(M101="In progress","In progress","")))))</f>
        <v/>
      </c>
      <c r="Q101" s="79">
        <f>IF(OR(D101="",L101=""),"",IF(M101="Done",2,IF(AsOf&gt;L101,3,1)))</f>
        <v/>
      </c>
      <c r="R101" s="79">
        <f>IF(OR(E101="",F101=""),0,IF(COUNTIFS($E$7:E101,E101,$F$7:F101,F101)=1,1,0))</f>
        <v/>
      </c>
      <c r="S101" s="79">
        <f>IF(R101=1,E101&amp;"|"&amp;SUMIFS($R$7:R101,$E$7:E101,E101),"")</f>
        <v/>
      </c>
      <c r="T101" s="112">
        <f>IF(Q101="","",IF(Q101=3,L101,IF(OR(M101="Not started",M101=""),J101,"")))</f>
        <v/>
      </c>
      <c r="U101" s="79">
        <f>IF(T101="","",IF(Q101=3,1,IF(T101="","",IF(T101&lt;AsOf,1,IF(T101&lt;=AsOf+AlertDays,2,IF(T101&lt;=AsOf+2*AlertDays,3,""))))))</f>
        <v/>
      </c>
      <c r="V101" s="79">
        <f>IF(U101="","",IF(Q101=3,"Late task: "&amp;D101,IF(T101&lt;AsOf,"Should have started: ","Starts soon: ")&amp;D101)&amp;IF(F101="",""," — "&amp;F101))</f>
        <v/>
      </c>
    </row>
    <row r="102" ht="20" customHeight="1">
      <c r="B102" s="125" t="n">
        <v>96</v>
      </c>
      <c r="C102" s="72" t="n"/>
      <c r="D102" s="72" t="n"/>
      <c r="E102" s="72" t="n"/>
      <c r="F102" s="72" t="n"/>
      <c r="G102" s="89" t="n"/>
      <c r="H102" s="89" t="n"/>
      <c r="I102" s="109" t="n"/>
      <c r="J102" s="126">
        <f>IF(OR(D102="",ProjStart=""),"",MAX(ProjStart,IF(I102&lt;&gt;"",I102,0),IF(H102="",0,IFERROR(INDEX($L$6:L101,MATCH(H102,$B$6:B101,0))+1,0))))</f>
        <v/>
      </c>
      <c r="K102" s="89" t="n"/>
      <c r="L102" s="126">
        <f>IF(J102="","",J102+MAX(1,G102)+IF(K102="",0,K102)-1)</f>
        <v/>
      </c>
      <c r="M102" s="72" t="n"/>
      <c r="N102" s="109" t="n"/>
      <c r="O102" s="127">
        <f>IF(D102="","",COUNTIF($H$7:$H$1006,B102))</f>
        <v/>
      </c>
      <c r="P102" s="78">
        <f>IF(D102="","",IF(AND(H102&lt;&gt;"",H102&gt;=B102),"⚠️ Predecessor must be above",IF(M102="Done","✓ Done",IF(Q102=3,"🔴 Late",IF(M102="In progress","In progress","")))))</f>
        <v/>
      </c>
      <c r="Q102" s="79">
        <f>IF(OR(D102="",L102=""),"",IF(M102="Done",2,IF(AsOf&gt;L102,3,1)))</f>
        <v/>
      </c>
      <c r="R102" s="79">
        <f>IF(OR(E102="",F102=""),0,IF(COUNTIFS($E$7:E102,E102,$F$7:F102,F102)=1,1,0))</f>
        <v/>
      </c>
      <c r="S102" s="79">
        <f>IF(R102=1,E102&amp;"|"&amp;SUMIFS($R$7:R102,$E$7:E102,E102),"")</f>
        <v/>
      </c>
      <c r="T102" s="112">
        <f>IF(Q102="","",IF(Q102=3,L102,IF(OR(M102="Not started",M102=""),J102,"")))</f>
        <v/>
      </c>
      <c r="U102" s="79">
        <f>IF(T102="","",IF(Q102=3,1,IF(T102="","",IF(T102&lt;AsOf,1,IF(T102&lt;=AsOf+AlertDays,2,IF(T102&lt;=AsOf+2*AlertDays,3,""))))))</f>
        <v/>
      </c>
      <c r="V102" s="79">
        <f>IF(U102="","",IF(Q102=3,"Late task: "&amp;D102,IF(T102&lt;AsOf,"Should have started: ","Starts soon: ")&amp;D102)&amp;IF(F102="",""," — "&amp;F102))</f>
        <v/>
      </c>
    </row>
    <row r="103" ht="20" customHeight="1">
      <c r="B103" s="125" t="n">
        <v>97</v>
      </c>
      <c r="C103" s="72" t="n"/>
      <c r="D103" s="72" t="n"/>
      <c r="E103" s="72" t="n"/>
      <c r="F103" s="72" t="n"/>
      <c r="G103" s="89" t="n"/>
      <c r="H103" s="89" t="n"/>
      <c r="I103" s="109" t="n"/>
      <c r="J103" s="126">
        <f>IF(OR(D103="",ProjStart=""),"",MAX(ProjStart,IF(I103&lt;&gt;"",I103,0),IF(H103="",0,IFERROR(INDEX($L$6:L102,MATCH(H103,$B$6:B102,0))+1,0))))</f>
        <v/>
      </c>
      <c r="K103" s="89" t="n"/>
      <c r="L103" s="126">
        <f>IF(J103="","",J103+MAX(1,G103)+IF(K103="",0,K103)-1)</f>
        <v/>
      </c>
      <c r="M103" s="72" t="n"/>
      <c r="N103" s="109" t="n"/>
      <c r="O103" s="127">
        <f>IF(D103="","",COUNTIF($H$7:$H$1006,B103))</f>
        <v/>
      </c>
      <c r="P103" s="78">
        <f>IF(D103="","",IF(AND(H103&lt;&gt;"",H103&gt;=B103),"⚠️ Predecessor must be above",IF(M103="Done","✓ Done",IF(Q103=3,"🔴 Late",IF(M103="In progress","In progress","")))))</f>
        <v/>
      </c>
      <c r="Q103" s="79">
        <f>IF(OR(D103="",L103=""),"",IF(M103="Done",2,IF(AsOf&gt;L103,3,1)))</f>
        <v/>
      </c>
      <c r="R103" s="79">
        <f>IF(OR(E103="",F103=""),0,IF(COUNTIFS($E$7:E103,E103,$F$7:F103,F103)=1,1,0))</f>
        <v/>
      </c>
      <c r="S103" s="79">
        <f>IF(R103=1,E103&amp;"|"&amp;SUMIFS($R$7:R103,$E$7:E103,E103),"")</f>
        <v/>
      </c>
      <c r="T103" s="112">
        <f>IF(Q103="","",IF(Q103=3,L103,IF(OR(M103="Not started",M103=""),J103,"")))</f>
        <v/>
      </c>
      <c r="U103" s="79">
        <f>IF(T103="","",IF(Q103=3,1,IF(T103="","",IF(T103&lt;AsOf,1,IF(T103&lt;=AsOf+AlertDays,2,IF(T103&lt;=AsOf+2*AlertDays,3,""))))))</f>
        <v/>
      </c>
      <c r="V103" s="79">
        <f>IF(U103="","",IF(Q103=3,"Late task: "&amp;D103,IF(T103&lt;AsOf,"Should have started: ","Starts soon: ")&amp;D103)&amp;IF(F103="",""," — "&amp;F103))</f>
        <v/>
      </c>
    </row>
    <row r="104" ht="20" customHeight="1">
      <c r="B104" s="125" t="n">
        <v>98</v>
      </c>
      <c r="C104" s="72" t="n"/>
      <c r="D104" s="72" t="n"/>
      <c r="E104" s="72" t="n"/>
      <c r="F104" s="72" t="n"/>
      <c r="G104" s="89" t="n"/>
      <c r="H104" s="89" t="n"/>
      <c r="I104" s="109" t="n"/>
      <c r="J104" s="126">
        <f>IF(OR(D104="",ProjStart=""),"",MAX(ProjStart,IF(I104&lt;&gt;"",I104,0),IF(H104="",0,IFERROR(INDEX($L$6:L103,MATCH(H104,$B$6:B103,0))+1,0))))</f>
        <v/>
      </c>
      <c r="K104" s="89" t="n"/>
      <c r="L104" s="126">
        <f>IF(J104="","",J104+MAX(1,G104)+IF(K104="",0,K104)-1)</f>
        <v/>
      </c>
      <c r="M104" s="72" t="n"/>
      <c r="N104" s="109" t="n"/>
      <c r="O104" s="127">
        <f>IF(D104="","",COUNTIF($H$7:$H$1006,B104))</f>
        <v/>
      </c>
      <c r="P104" s="78">
        <f>IF(D104="","",IF(AND(H104&lt;&gt;"",H104&gt;=B104),"⚠️ Predecessor must be above",IF(M104="Done","✓ Done",IF(Q104=3,"🔴 Late",IF(M104="In progress","In progress","")))))</f>
        <v/>
      </c>
      <c r="Q104" s="79">
        <f>IF(OR(D104="",L104=""),"",IF(M104="Done",2,IF(AsOf&gt;L104,3,1)))</f>
        <v/>
      </c>
      <c r="R104" s="79">
        <f>IF(OR(E104="",F104=""),0,IF(COUNTIFS($E$7:E104,E104,$F$7:F104,F104)=1,1,0))</f>
        <v/>
      </c>
      <c r="S104" s="79">
        <f>IF(R104=1,E104&amp;"|"&amp;SUMIFS($R$7:R104,$E$7:E104,E104),"")</f>
        <v/>
      </c>
      <c r="T104" s="112">
        <f>IF(Q104="","",IF(Q104=3,L104,IF(OR(M104="Not started",M104=""),J104,"")))</f>
        <v/>
      </c>
      <c r="U104" s="79">
        <f>IF(T104="","",IF(Q104=3,1,IF(T104="","",IF(T104&lt;AsOf,1,IF(T104&lt;=AsOf+AlertDays,2,IF(T104&lt;=AsOf+2*AlertDays,3,""))))))</f>
        <v/>
      </c>
      <c r="V104" s="79">
        <f>IF(U104="","",IF(Q104=3,"Late task: "&amp;D104,IF(T104&lt;AsOf,"Should have started: ","Starts soon: ")&amp;D104)&amp;IF(F104="",""," — "&amp;F104))</f>
        <v/>
      </c>
    </row>
    <row r="105" ht="20" customHeight="1">
      <c r="B105" s="125" t="n">
        <v>99</v>
      </c>
      <c r="C105" s="72" t="n"/>
      <c r="D105" s="72" t="n"/>
      <c r="E105" s="72" t="n"/>
      <c r="F105" s="72" t="n"/>
      <c r="G105" s="89" t="n"/>
      <c r="H105" s="89" t="n"/>
      <c r="I105" s="109" t="n"/>
      <c r="J105" s="126">
        <f>IF(OR(D105="",ProjStart=""),"",MAX(ProjStart,IF(I105&lt;&gt;"",I105,0),IF(H105="",0,IFERROR(INDEX($L$6:L104,MATCH(H105,$B$6:B104,0))+1,0))))</f>
        <v/>
      </c>
      <c r="K105" s="89" t="n"/>
      <c r="L105" s="126">
        <f>IF(J105="","",J105+MAX(1,G105)+IF(K105="",0,K105)-1)</f>
        <v/>
      </c>
      <c r="M105" s="72" t="n"/>
      <c r="N105" s="109" t="n"/>
      <c r="O105" s="127">
        <f>IF(D105="","",COUNTIF($H$7:$H$1006,B105))</f>
        <v/>
      </c>
      <c r="P105" s="78">
        <f>IF(D105="","",IF(AND(H105&lt;&gt;"",H105&gt;=B105),"⚠️ Predecessor must be above",IF(M105="Done","✓ Done",IF(Q105=3,"🔴 Late",IF(M105="In progress","In progress","")))))</f>
        <v/>
      </c>
      <c r="Q105" s="79">
        <f>IF(OR(D105="",L105=""),"",IF(M105="Done",2,IF(AsOf&gt;L105,3,1)))</f>
        <v/>
      </c>
      <c r="R105" s="79">
        <f>IF(OR(E105="",F105=""),0,IF(COUNTIFS($E$7:E105,E105,$F$7:F105,F105)=1,1,0))</f>
        <v/>
      </c>
      <c r="S105" s="79">
        <f>IF(R105=1,E105&amp;"|"&amp;SUMIFS($R$7:R105,$E$7:E105,E105),"")</f>
        <v/>
      </c>
      <c r="T105" s="112">
        <f>IF(Q105="","",IF(Q105=3,L105,IF(OR(M105="Not started",M105=""),J105,"")))</f>
        <v/>
      </c>
      <c r="U105" s="79">
        <f>IF(T105="","",IF(Q105=3,1,IF(T105="","",IF(T105&lt;AsOf,1,IF(T105&lt;=AsOf+AlertDays,2,IF(T105&lt;=AsOf+2*AlertDays,3,""))))))</f>
        <v/>
      </c>
      <c r="V105" s="79">
        <f>IF(U105="","",IF(Q105=3,"Late task: "&amp;D105,IF(T105&lt;AsOf,"Should have started: ","Starts soon: ")&amp;D105)&amp;IF(F105="",""," — "&amp;F105))</f>
        <v/>
      </c>
    </row>
    <row r="106" ht="20" customHeight="1">
      <c r="B106" s="125" t="n">
        <v>100</v>
      </c>
      <c r="C106" s="72" t="n"/>
      <c r="D106" s="72" t="n"/>
      <c r="E106" s="72" t="n"/>
      <c r="F106" s="72" t="n"/>
      <c r="G106" s="89" t="n"/>
      <c r="H106" s="89" t="n"/>
      <c r="I106" s="109" t="n"/>
      <c r="J106" s="126">
        <f>IF(OR(D106="",ProjStart=""),"",MAX(ProjStart,IF(I106&lt;&gt;"",I106,0),IF(H106="",0,IFERROR(INDEX($L$6:L105,MATCH(H106,$B$6:B105,0))+1,0))))</f>
        <v/>
      </c>
      <c r="K106" s="89" t="n"/>
      <c r="L106" s="126">
        <f>IF(J106="","",J106+MAX(1,G106)+IF(K106="",0,K106)-1)</f>
        <v/>
      </c>
      <c r="M106" s="72" t="n"/>
      <c r="N106" s="109" t="n"/>
      <c r="O106" s="127">
        <f>IF(D106="","",COUNTIF($H$7:$H$1006,B106))</f>
        <v/>
      </c>
      <c r="P106" s="78">
        <f>IF(D106="","",IF(AND(H106&lt;&gt;"",H106&gt;=B106),"⚠️ Predecessor must be above",IF(M106="Done","✓ Done",IF(Q106=3,"🔴 Late",IF(M106="In progress","In progress","")))))</f>
        <v/>
      </c>
      <c r="Q106" s="79">
        <f>IF(OR(D106="",L106=""),"",IF(M106="Done",2,IF(AsOf&gt;L106,3,1)))</f>
        <v/>
      </c>
      <c r="R106" s="79">
        <f>IF(OR(E106="",F106=""),0,IF(COUNTIFS($E$7:E106,E106,$F$7:F106,F106)=1,1,0))</f>
        <v/>
      </c>
      <c r="S106" s="79">
        <f>IF(R106=1,E106&amp;"|"&amp;SUMIFS($R$7:R106,$E$7:E106,E106),"")</f>
        <v/>
      </c>
      <c r="T106" s="112">
        <f>IF(Q106="","",IF(Q106=3,L106,IF(OR(M106="Not started",M106=""),J106,"")))</f>
        <v/>
      </c>
      <c r="U106" s="79">
        <f>IF(T106="","",IF(Q106=3,1,IF(T106="","",IF(T106&lt;AsOf,1,IF(T106&lt;=AsOf+AlertDays,2,IF(T106&lt;=AsOf+2*AlertDays,3,""))))))</f>
        <v/>
      </c>
      <c r="V106" s="79">
        <f>IF(U106="","",IF(Q106=3,"Late task: "&amp;D106,IF(T106&lt;AsOf,"Should have started: ","Starts soon: ")&amp;D106)&amp;IF(F106="",""," — "&amp;F106))</f>
        <v/>
      </c>
    </row>
    <row r="107" ht="20" customHeight="1">
      <c r="B107" s="125" t="n">
        <v>101</v>
      </c>
      <c r="C107" s="72" t="n"/>
      <c r="D107" s="72" t="n"/>
      <c r="E107" s="72" t="n"/>
      <c r="F107" s="72" t="n"/>
      <c r="G107" s="89" t="n"/>
      <c r="H107" s="89" t="n"/>
      <c r="I107" s="109" t="n"/>
      <c r="J107" s="126">
        <f>IF(OR(D107="",ProjStart=""),"",MAX(ProjStart,IF(I107&lt;&gt;"",I107,0),IF(H107="",0,IFERROR(INDEX($L$6:L106,MATCH(H107,$B$6:B106,0))+1,0))))</f>
        <v/>
      </c>
      <c r="K107" s="89" t="n"/>
      <c r="L107" s="126">
        <f>IF(J107="","",J107+MAX(1,G107)+IF(K107="",0,K107)-1)</f>
        <v/>
      </c>
      <c r="M107" s="72" t="n"/>
      <c r="N107" s="109" t="n"/>
      <c r="O107" s="127">
        <f>IF(D107="","",COUNTIF($H$7:$H$1006,B107))</f>
        <v/>
      </c>
      <c r="P107" s="78">
        <f>IF(D107="","",IF(AND(H107&lt;&gt;"",H107&gt;=B107),"⚠️ Predecessor must be above",IF(M107="Done","✓ Done",IF(Q107=3,"🔴 Late",IF(M107="In progress","In progress","")))))</f>
        <v/>
      </c>
      <c r="Q107" s="79">
        <f>IF(OR(D107="",L107=""),"",IF(M107="Done",2,IF(AsOf&gt;L107,3,1)))</f>
        <v/>
      </c>
      <c r="R107" s="79">
        <f>IF(OR(E107="",F107=""),0,IF(COUNTIFS($E$7:E107,E107,$F$7:F107,F107)=1,1,0))</f>
        <v/>
      </c>
      <c r="S107" s="79">
        <f>IF(R107=1,E107&amp;"|"&amp;SUMIFS($R$7:R107,$E$7:E107,E107),"")</f>
        <v/>
      </c>
      <c r="T107" s="112">
        <f>IF(Q107="","",IF(Q107=3,L107,IF(OR(M107="Not started",M107=""),J107,"")))</f>
        <v/>
      </c>
      <c r="U107" s="79">
        <f>IF(T107="","",IF(Q107=3,1,IF(T107="","",IF(T107&lt;AsOf,1,IF(T107&lt;=AsOf+AlertDays,2,IF(T107&lt;=AsOf+2*AlertDays,3,""))))))</f>
        <v/>
      </c>
      <c r="V107" s="79">
        <f>IF(U107="","",IF(Q107=3,"Late task: "&amp;D107,IF(T107&lt;AsOf,"Should have started: ","Starts soon: ")&amp;D107)&amp;IF(F107="",""," — "&amp;F107))</f>
        <v/>
      </c>
    </row>
    <row r="108" ht="20" customHeight="1">
      <c r="B108" s="125" t="n">
        <v>102</v>
      </c>
      <c r="C108" s="72" t="n"/>
      <c r="D108" s="72" t="n"/>
      <c r="E108" s="72" t="n"/>
      <c r="F108" s="72" t="n"/>
      <c r="G108" s="89" t="n"/>
      <c r="H108" s="89" t="n"/>
      <c r="I108" s="109" t="n"/>
      <c r="J108" s="126">
        <f>IF(OR(D108="",ProjStart=""),"",MAX(ProjStart,IF(I108&lt;&gt;"",I108,0),IF(H108="",0,IFERROR(INDEX($L$6:L107,MATCH(H108,$B$6:B107,0))+1,0))))</f>
        <v/>
      </c>
      <c r="K108" s="89" t="n"/>
      <c r="L108" s="126">
        <f>IF(J108="","",J108+MAX(1,G108)+IF(K108="",0,K108)-1)</f>
        <v/>
      </c>
      <c r="M108" s="72" t="n"/>
      <c r="N108" s="109" t="n"/>
      <c r="O108" s="127">
        <f>IF(D108="","",COUNTIF($H$7:$H$1006,B108))</f>
        <v/>
      </c>
      <c r="P108" s="78">
        <f>IF(D108="","",IF(AND(H108&lt;&gt;"",H108&gt;=B108),"⚠️ Predecessor must be above",IF(M108="Done","✓ Done",IF(Q108=3,"🔴 Late",IF(M108="In progress","In progress","")))))</f>
        <v/>
      </c>
      <c r="Q108" s="79">
        <f>IF(OR(D108="",L108=""),"",IF(M108="Done",2,IF(AsOf&gt;L108,3,1)))</f>
        <v/>
      </c>
      <c r="R108" s="79">
        <f>IF(OR(E108="",F108=""),0,IF(COUNTIFS($E$7:E108,E108,$F$7:F108,F108)=1,1,0))</f>
        <v/>
      </c>
      <c r="S108" s="79">
        <f>IF(R108=1,E108&amp;"|"&amp;SUMIFS($R$7:R108,$E$7:E108,E108),"")</f>
        <v/>
      </c>
      <c r="T108" s="112">
        <f>IF(Q108="","",IF(Q108=3,L108,IF(OR(M108="Not started",M108=""),J108,"")))</f>
        <v/>
      </c>
      <c r="U108" s="79">
        <f>IF(T108="","",IF(Q108=3,1,IF(T108="","",IF(T108&lt;AsOf,1,IF(T108&lt;=AsOf+AlertDays,2,IF(T108&lt;=AsOf+2*AlertDays,3,""))))))</f>
        <v/>
      </c>
      <c r="V108" s="79">
        <f>IF(U108="","",IF(Q108=3,"Late task: "&amp;D108,IF(T108&lt;AsOf,"Should have started: ","Starts soon: ")&amp;D108)&amp;IF(F108="",""," — "&amp;F108))</f>
        <v/>
      </c>
    </row>
    <row r="109" ht="20" customHeight="1">
      <c r="B109" s="125" t="n">
        <v>103</v>
      </c>
      <c r="C109" s="72" t="n"/>
      <c r="D109" s="72" t="n"/>
      <c r="E109" s="72" t="n"/>
      <c r="F109" s="72" t="n"/>
      <c r="G109" s="89" t="n"/>
      <c r="H109" s="89" t="n"/>
      <c r="I109" s="109" t="n"/>
      <c r="J109" s="126">
        <f>IF(OR(D109="",ProjStart=""),"",MAX(ProjStart,IF(I109&lt;&gt;"",I109,0),IF(H109="",0,IFERROR(INDEX($L$6:L108,MATCH(H109,$B$6:B108,0))+1,0))))</f>
        <v/>
      </c>
      <c r="K109" s="89" t="n"/>
      <c r="L109" s="126">
        <f>IF(J109="","",J109+MAX(1,G109)+IF(K109="",0,K109)-1)</f>
        <v/>
      </c>
      <c r="M109" s="72" t="n"/>
      <c r="N109" s="109" t="n"/>
      <c r="O109" s="127">
        <f>IF(D109="","",COUNTIF($H$7:$H$1006,B109))</f>
        <v/>
      </c>
      <c r="P109" s="78">
        <f>IF(D109="","",IF(AND(H109&lt;&gt;"",H109&gt;=B109),"⚠️ Predecessor must be above",IF(M109="Done","✓ Done",IF(Q109=3,"🔴 Late",IF(M109="In progress","In progress","")))))</f>
        <v/>
      </c>
      <c r="Q109" s="79">
        <f>IF(OR(D109="",L109=""),"",IF(M109="Done",2,IF(AsOf&gt;L109,3,1)))</f>
        <v/>
      </c>
      <c r="R109" s="79">
        <f>IF(OR(E109="",F109=""),0,IF(COUNTIFS($E$7:E109,E109,$F$7:F109,F109)=1,1,0))</f>
        <v/>
      </c>
      <c r="S109" s="79">
        <f>IF(R109=1,E109&amp;"|"&amp;SUMIFS($R$7:R109,$E$7:E109,E109),"")</f>
        <v/>
      </c>
      <c r="T109" s="112">
        <f>IF(Q109="","",IF(Q109=3,L109,IF(OR(M109="Not started",M109=""),J109,"")))</f>
        <v/>
      </c>
      <c r="U109" s="79">
        <f>IF(T109="","",IF(Q109=3,1,IF(T109="","",IF(T109&lt;AsOf,1,IF(T109&lt;=AsOf+AlertDays,2,IF(T109&lt;=AsOf+2*AlertDays,3,""))))))</f>
        <v/>
      </c>
      <c r="V109" s="79">
        <f>IF(U109="","",IF(Q109=3,"Late task: "&amp;D109,IF(T109&lt;AsOf,"Should have started: ","Starts soon: ")&amp;D109)&amp;IF(F109="",""," — "&amp;F109))</f>
        <v/>
      </c>
    </row>
    <row r="110" ht="20" customHeight="1">
      <c r="B110" s="125" t="n">
        <v>104</v>
      </c>
      <c r="C110" s="72" t="n"/>
      <c r="D110" s="72" t="n"/>
      <c r="E110" s="72" t="n"/>
      <c r="F110" s="72" t="n"/>
      <c r="G110" s="89" t="n"/>
      <c r="H110" s="89" t="n"/>
      <c r="I110" s="109" t="n"/>
      <c r="J110" s="126">
        <f>IF(OR(D110="",ProjStart=""),"",MAX(ProjStart,IF(I110&lt;&gt;"",I110,0),IF(H110="",0,IFERROR(INDEX($L$6:L109,MATCH(H110,$B$6:B109,0))+1,0))))</f>
        <v/>
      </c>
      <c r="K110" s="89" t="n"/>
      <c r="L110" s="126">
        <f>IF(J110="","",J110+MAX(1,G110)+IF(K110="",0,K110)-1)</f>
        <v/>
      </c>
      <c r="M110" s="72" t="n"/>
      <c r="N110" s="109" t="n"/>
      <c r="O110" s="127">
        <f>IF(D110="","",COUNTIF($H$7:$H$1006,B110))</f>
        <v/>
      </c>
      <c r="P110" s="78">
        <f>IF(D110="","",IF(AND(H110&lt;&gt;"",H110&gt;=B110),"⚠️ Predecessor must be above",IF(M110="Done","✓ Done",IF(Q110=3,"🔴 Late",IF(M110="In progress","In progress","")))))</f>
        <v/>
      </c>
      <c r="Q110" s="79">
        <f>IF(OR(D110="",L110=""),"",IF(M110="Done",2,IF(AsOf&gt;L110,3,1)))</f>
        <v/>
      </c>
      <c r="R110" s="79">
        <f>IF(OR(E110="",F110=""),0,IF(COUNTIFS($E$7:E110,E110,$F$7:F110,F110)=1,1,0))</f>
        <v/>
      </c>
      <c r="S110" s="79">
        <f>IF(R110=1,E110&amp;"|"&amp;SUMIFS($R$7:R110,$E$7:E110,E110),"")</f>
        <v/>
      </c>
      <c r="T110" s="112">
        <f>IF(Q110="","",IF(Q110=3,L110,IF(OR(M110="Not started",M110=""),J110,"")))</f>
        <v/>
      </c>
      <c r="U110" s="79">
        <f>IF(T110="","",IF(Q110=3,1,IF(T110="","",IF(T110&lt;AsOf,1,IF(T110&lt;=AsOf+AlertDays,2,IF(T110&lt;=AsOf+2*AlertDays,3,""))))))</f>
        <v/>
      </c>
      <c r="V110" s="79">
        <f>IF(U110="","",IF(Q110=3,"Late task: "&amp;D110,IF(T110&lt;AsOf,"Should have started: ","Starts soon: ")&amp;D110)&amp;IF(F110="",""," — "&amp;F110))</f>
        <v/>
      </c>
    </row>
    <row r="111" ht="20" customHeight="1">
      <c r="B111" s="125" t="n">
        <v>105</v>
      </c>
      <c r="C111" s="72" t="n"/>
      <c r="D111" s="72" t="n"/>
      <c r="E111" s="72" t="n"/>
      <c r="F111" s="72" t="n"/>
      <c r="G111" s="89" t="n"/>
      <c r="H111" s="89" t="n"/>
      <c r="I111" s="109" t="n"/>
      <c r="J111" s="126">
        <f>IF(OR(D111="",ProjStart=""),"",MAX(ProjStart,IF(I111&lt;&gt;"",I111,0),IF(H111="",0,IFERROR(INDEX($L$6:L110,MATCH(H111,$B$6:B110,0))+1,0))))</f>
        <v/>
      </c>
      <c r="K111" s="89" t="n"/>
      <c r="L111" s="126">
        <f>IF(J111="","",J111+MAX(1,G111)+IF(K111="",0,K111)-1)</f>
        <v/>
      </c>
      <c r="M111" s="72" t="n"/>
      <c r="N111" s="109" t="n"/>
      <c r="O111" s="127">
        <f>IF(D111="","",COUNTIF($H$7:$H$1006,B111))</f>
        <v/>
      </c>
      <c r="P111" s="78">
        <f>IF(D111="","",IF(AND(H111&lt;&gt;"",H111&gt;=B111),"⚠️ Predecessor must be above",IF(M111="Done","✓ Done",IF(Q111=3,"🔴 Late",IF(M111="In progress","In progress","")))))</f>
        <v/>
      </c>
      <c r="Q111" s="79">
        <f>IF(OR(D111="",L111=""),"",IF(M111="Done",2,IF(AsOf&gt;L111,3,1)))</f>
        <v/>
      </c>
      <c r="R111" s="79">
        <f>IF(OR(E111="",F111=""),0,IF(COUNTIFS($E$7:E111,E111,$F$7:F111,F111)=1,1,0))</f>
        <v/>
      </c>
      <c r="S111" s="79">
        <f>IF(R111=1,E111&amp;"|"&amp;SUMIFS($R$7:R111,$E$7:E111,E111),"")</f>
        <v/>
      </c>
      <c r="T111" s="112">
        <f>IF(Q111="","",IF(Q111=3,L111,IF(OR(M111="Not started",M111=""),J111,"")))</f>
        <v/>
      </c>
      <c r="U111" s="79">
        <f>IF(T111="","",IF(Q111=3,1,IF(T111="","",IF(T111&lt;AsOf,1,IF(T111&lt;=AsOf+AlertDays,2,IF(T111&lt;=AsOf+2*AlertDays,3,""))))))</f>
        <v/>
      </c>
      <c r="V111" s="79">
        <f>IF(U111="","",IF(Q111=3,"Late task: "&amp;D111,IF(T111&lt;AsOf,"Should have started: ","Starts soon: ")&amp;D111)&amp;IF(F111="",""," — "&amp;F111))</f>
        <v/>
      </c>
    </row>
    <row r="112" ht="20" customHeight="1">
      <c r="B112" s="125" t="n">
        <v>106</v>
      </c>
      <c r="C112" s="72" t="n"/>
      <c r="D112" s="72" t="n"/>
      <c r="E112" s="72" t="n"/>
      <c r="F112" s="72" t="n"/>
      <c r="G112" s="89" t="n"/>
      <c r="H112" s="89" t="n"/>
      <c r="I112" s="109" t="n"/>
      <c r="J112" s="126">
        <f>IF(OR(D112="",ProjStart=""),"",MAX(ProjStart,IF(I112&lt;&gt;"",I112,0),IF(H112="",0,IFERROR(INDEX($L$6:L111,MATCH(H112,$B$6:B111,0))+1,0))))</f>
        <v/>
      </c>
      <c r="K112" s="89" t="n"/>
      <c r="L112" s="126">
        <f>IF(J112="","",J112+MAX(1,G112)+IF(K112="",0,K112)-1)</f>
        <v/>
      </c>
      <c r="M112" s="72" t="n"/>
      <c r="N112" s="109" t="n"/>
      <c r="O112" s="127">
        <f>IF(D112="","",COUNTIF($H$7:$H$1006,B112))</f>
        <v/>
      </c>
      <c r="P112" s="78">
        <f>IF(D112="","",IF(AND(H112&lt;&gt;"",H112&gt;=B112),"⚠️ Predecessor must be above",IF(M112="Done","✓ Done",IF(Q112=3,"🔴 Late",IF(M112="In progress","In progress","")))))</f>
        <v/>
      </c>
      <c r="Q112" s="79">
        <f>IF(OR(D112="",L112=""),"",IF(M112="Done",2,IF(AsOf&gt;L112,3,1)))</f>
        <v/>
      </c>
      <c r="R112" s="79">
        <f>IF(OR(E112="",F112=""),0,IF(COUNTIFS($E$7:E112,E112,$F$7:F112,F112)=1,1,0))</f>
        <v/>
      </c>
      <c r="S112" s="79">
        <f>IF(R112=1,E112&amp;"|"&amp;SUMIFS($R$7:R112,$E$7:E112,E112),"")</f>
        <v/>
      </c>
      <c r="T112" s="112">
        <f>IF(Q112="","",IF(Q112=3,L112,IF(OR(M112="Not started",M112=""),J112,"")))</f>
        <v/>
      </c>
      <c r="U112" s="79">
        <f>IF(T112="","",IF(Q112=3,1,IF(T112="","",IF(T112&lt;AsOf,1,IF(T112&lt;=AsOf+AlertDays,2,IF(T112&lt;=AsOf+2*AlertDays,3,""))))))</f>
        <v/>
      </c>
      <c r="V112" s="79">
        <f>IF(U112="","",IF(Q112=3,"Late task: "&amp;D112,IF(T112&lt;AsOf,"Should have started: ","Starts soon: ")&amp;D112)&amp;IF(F112="",""," — "&amp;F112))</f>
        <v/>
      </c>
    </row>
    <row r="113" ht="20" customHeight="1">
      <c r="B113" s="125" t="n">
        <v>107</v>
      </c>
      <c r="C113" s="72" t="n"/>
      <c r="D113" s="72" t="n"/>
      <c r="E113" s="72" t="n"/>
      <c r="F113" s="72" t="n"/>
      <c r="G113" s="89" t="n"/>
      <c r="H113" s="89" t="n"/>
      <c r="I113" s="109" t="n"/>
      <c r="J113" s="126">
        <f>IF(OR(D113="",ProjStart=""),"",MAX(ProjStart,IF(I113&lt;&gt;"",I113,0),IF(H113="",0,IFERROR(INDEX($L$6:L112,MATCH(H113,$B$6:B112,0))+1,0))))</f>
        <v/>
      </c>
      <c r="K113" s="89" t="n"/>
      <c r="L113" s="126">
        <f>IF(J113="","",J113+MAX(1,G113)+IF(K113="",0,K113)-1)</f>
        <v/>
      </c>
      <c r="M113" s="72" t="n"/>
      <c r="N113" s="109" t="n"/>
      <c r="O113" s="127">
        <f>IF(D113="","",COUNTIF($H$7:$H$1006,B113))</f>
        <v/>
      </c>
      <c r="P113" s="78">
        <f>IF(D113="","",IF(AND(H113&lt;&gt;"",H113&gt;=B113),"⚠️ Predecessor must be above",IF(M113="Done","✓ Done",IF(Q113=3,"🔴 Late",IF(M113="In progress","In progress","")))))</f>
        <v/>
      </c>
      <c r="Q113" s="79">
        <f>IF(OR(D113="",L113=""),"",IF(M113="Done",2,IF(AsOf&gt;L113,3,1)))</f>
        <v/>
      </c>
      <c r="R113" s="79">
        <f>IF(OR(E113="",F113=""),0,IF(COUNTIFS($E$7:E113,E113,$F$7:F113,F113)=1,1,0))</f>
        <v/>
      </c>
      <c r="S113" s="79">
        <f>IF(R113=1,E113&amp;"|"&amp;SUMIFS($R$7:R113,$E$7:E113,E113),"")</f>
        <v/>
      </c>
      <c r="T113" s="112">
        <f>IF(Q113="","",IF(Q113=3,L113,IF(OR(M113="Not started",M113=""),J113,"")))</f>
        <v/>
      </c>
      <c r="U113" s="79">
        <f>IF(T113="","",IF(Q113=3,1,IF(T113="","",IF(T113&lt;AsOf,1,IF(T113&lt;=AsOf+AlertDays,2,IF(T113&lt;=AsOf+2*AlertDays,3,""))))))</f>
        <v/>
      </c>
      <c r="V113" s="79">
        <f>IF(U113="","",IF(Q113=3,"Late task: "&amp;D113,IF(T113&lt;AsOf,"Should have started: ","Starts soon: ")&amp;D113)&amp;IF(F113="",""," — "&amp;F113))</f>
        <v/>
      </c>
    </row>
    <row r="114" ht="20" customHeight="1">
      <c r="B114" s="125" t="n">
        <v>108</v>
      </c>
      <c r="C114" s="72" t="n"/>
      <c r="D114" s="72" t="n"/>
      <c r="E114" s="72" t="n"/>
      <c r="F114" s="72" t="n"/>
      <c r="G114" s="89" t="n"/>
      <c r="H114" s="89" t="n"/>
      <c r="I114" s="109" t="n"/>
      <c r="J114" s="126">
        <f>IF(OR(D114="",ProjStart=""),"",MAX(ProjStart,IF(I114&lt;&gt;"",I114,0),IF(H114="",0,IFERROR(INDEX($L$6:L113,MATCH(H114,$B$6:B113,0))+1,0))))</f>
        <v/>
      </c>
      <c r="K114" s="89" t="n"/>
      <c r="L114" s="126">
        <f>IF(J114="","",J114+MAX(1,G114)+IF(K114="",0,K114)-1)</f>
        <v/>
      </c>
      <c r="M114" s="72" t="n"/>
      <c r="N114" s="109" t="n"/>
      <c r="O114" s="127">
        <f>IF(D114="","",COUNTIF($H$7:$H$1006,B114))</f>
        <v/>
      </c>
      <c r="P114" s="78">
        <f>IF(D114="","",IF(AND(H114&lt;&gt;"",H114&gt;=B114),"⚠️ Predecessor must be above",IF(M114="Done","✓ Done",IF(Q114=3,"🔴 Late",IF(M114="In progress","In progress","")))))</f>
        <v/>
      </c>
      <c r="Q114" s="79">
        <f>IF(OR(D114="",L114=""),"",IF(M114="Done",2,IF(AsOf&gt;L114,3,1)))</f>
        <v/>
      </c>
      <c r="R114" s="79">
        <f>IF(OR(E114="",F114=""),0,IF(COUNTIFS($E$7:E114,E114,$F$7:F114,F114)=1,1,0))</f>
        <v/>
      </c>
      <c r="S114" s="79">
        <f>IF(R114=1,E114&amp;"|"&amp;SUMIFS($R$7:R114,$E$7:E114,E114),"")</f>
        <v/>
      </c>
      <c r="T114" s="112">
        <f>IF(Q114="","",IF(Q114=3,L114,IF(OR(M114="Not started",M114=""),J114,"")))</f>
        <v/>
      </c>
      <c r="U114" s="79">
        <f>IF(T114="","",IF(Q114=3,1,IF(T114="","",IF(T114&lt;AsOf,1,IF(T114&lt;=AsOf+AlertDays,2,IF(T114&lt;=AsOf+2*AlertDays,3,""))))))</f>
        <v/>
      </c>
      <c r="V114" s="79">
        <f>IF(U114="","",IF(Q114=3,"Late task: "&amp;D114,IF(T114&lt;AsOf,"Should have started: ","Starts soon: ")&amp;D114)&amp;IF(F114="",""," — "&amp;F114))</f>
        <v/>
      </c>
    </row>
    <row r="115" ht="20" customHeight="1">
      <c r="B115" s="125" t="n">
        <v>109</v>
      </c>
      <c r="C115" s="72" t="n"/>
      <c r="D115" s="72" t="n"/>
      <c r="E115" s="72" t="n"/>
      <c r="F115" s="72" t="n"/>
      <c r="G115" s="89" t="n"/>
      <c r="H115" s="89" t="n"/>
      <c r="I115" s="109" t="n"/>
      <c r="J115" s="126">
        <f>IF(OR(D115="",ProjStart=""),"",MAX(ProjStart,IF(I115&lt;&gt;"",I115,0),IF(H115="",0,IFERROR(INDEX($L$6:L114,MATCH(H115,$B$6:B114,0))+1,0))))</f>
        <v/>
      </c>
      <c r="K115" s="89" t="n"/>
      <c r="L115" s="126">
        <f>IF(J115="","",J115+MAX(1,G115)+IF(K115="",0,K115)-1)</f>
        <v/>
      </c>
      <c r="M115" s="72" t="n"/>
      <c r="N115" s="109" t="n"/>
      <c r="O115" s="127">
        <f>IF(D115="","",COUNTIF($H$7:$H$1006,B115))</f>
        <v/>
      </c>
      <c r="P115" s="78">
        <f>IF(D115="","",IF(AND(H115&lt;&gt;"",H115&gt;=B115),"⚠️ Predecessor must be above",IF(M115="Done","✓ Done",IF(Q115=3,"🔴 Late",IF(M115="In progress","In progress","")))))</f>
        <v/>
      </c>
      <c r="Q115" s="79">
        <f>IF(OR(D115="",L115=""),"",IF(M115="Done",2,IF(AsOf&gt;L115,3,1)))</f>
        <v/>
      </c>
      <c r="R115" s="79">
        <f>IF(OR(E115="",F115=""),0,IF(COUNTIFS($E$7:E115,E115,$F$7:F115,F115)=1,1,0))</f>
        <v/>
      </c>
      <c r="S115" s="79">
        <f>IF(R115=1,E115&amp;"|"&amp;SUMIFS($R$7:R115,$E$7:E115,E115),"")</f>
        <v/>
      </c>
      <c r="T115" s="112">
        <f>IF(Q115="","",IF(Q115=3,L115,IF(OR(M115="Not started",M115=""),J115,"")))</f>
        <v/>
      </c>
      <c r="U115" s="79">
        <f>IF(T115="","",IF(Q115=3,1,IF(T115="","",IF(T115&lt;AsOf,1,IF(T115&lt;=AsOf+AlertDays,2,IF(T115&lt;=AsOf+2*AlertDays,3,""))))))</f>
        <v/>
      </c>
      <c r="V115" s="79">
        <f>IF(U115="","",IF(Q115=3,"Late task: "&amp;D115,IF(T115&lt;AsOf,"Should have started: ","Starts soon: ")&amp;D115)&amp;IF(F115="",""," — "&amp;F115))</f>
        <v/>
      </c>
    </row>
    <row r="116" ht="20" customHeight="1">
      <c r="B116" s="125" t="n">
        <v>110</v>
      </c>
      <c r="C116" s="72" t="n"/>
      <c r="D116" s="72" t="n"/>
      <c r="E116" s="72" t="n"/>
      <c r="F116" s="72" t="n"/>
      <c r="G116" s="89" t="n"/>
      <c r="H116" s="89" t="n"/>
      <c r="I116" s="109" t="n"/>
      <c r="J116" s="126">
        <f>IF(OR(D116="",ProjStart=""),"",MAX(ProjStart,IF(I116&lt;&gt;"",I116,0),IF(H116="",0,IFERROR(INDEX($L$6:L115,MATCH(H116,$B$6:B115,0))+1,0))))</f>
        <v/>
      </c>
      <c r="K116" s="89" t="n"/>
      <c r="L116" s="126">
        <f>IF(J116="","",J116+MAX(1,G116)+IF(K116="",0,K116)-1)</f>
        <v/>
      </c>
      <c r="M116" s="72" t="n"/>
      <c r="N116" s="109" t="n"/>
      <c r="O116" s="127">
        <f>IF(D116="","",COUNTIF($H$7:$H$1006,B116))</f>
        <v/>
      </c>
      <c r="P116" s="78">
        <f>IF(D116="","",IF(AND(H116&lt;&gt;"",H116&gt;=B116),"⚠️ Predecessor must be above",IF(M116="Done","✓ Done",IF(Q116=3,"🔴 Late",IF(M116="In progress","In progress","")))))</f>
        <v/>
      </c>
      <c r="Q116" s="79">
        <f>IF(OR(D116="",L116=""),"",IF(M116="Done",2,IF(AsOf&gt;L116,3,1)))</f>
        <v/>
      </c>
      <c r="R116" s="79">
        <f>IF(OR(E116="",F116=""),0,IF(COUNTIFS($E$7:E116,E116,$F$7:F116,F116)=1,1,0))</f>
        <v/>
      </c>
      <c r="S116" s="79">
        <f>IF(R116=1,E116&amp;"|"&amp;SUMIFS($R$7:R116,$E$7:E116,E116),"")</f>
        <v/>
      </c>
      <c r="T116" s="112">
        <f>IF(Q116="","",IF(Q116=3,L116,IF(OR(M116="Not started",M116=""),J116,"")))</f>
        <v/>
      </c>
      <c r="U116" s="79">
        <f>IF(T116="","",IF(Q116=3,1,IF(T116="","",IF(T116&lt;AsOf,1,IF(T116&lt;=AsOf+AlertDays,2,IF(T116&lt;=AsOf+2*AlertDays,3,""))))))</f>
        <v/>
      </c>
      <c r="V116" s="79">
        <f>IF(U116="","",IF(Q116=3,"Late task: "&amp;D116,IF(T116&lt;AsOf,"Should have started: ","Starts soon: ")&amp;D116)&amp;IF(F116="",""," — "&amp;F116))</f>
        <v/>
      </c>
    </row>
    <row r="117" ht="20" customHeight="1">
      <c r="B117" s="125" t="n">
        <v>111</v>
      </c>
      <c r="C117" s="72" t="n"/>
      <c r="D117" s="72" t="n"/>
      <c r="E117" s="72" t="n"/>
      <c r="F117" s="72" t="n"/>
      <c r="G117" s="89" t="n"/>
      <c r="H117" s="89" t="n"/>
      <c r="I117" s="109" t="n"/>
      <c r="J117" s="126">
        <f>IF(OR(D117="",ProjStart=""),"",MAX(ProjStart,IF(I117&lt;&gt;"",I117,0),IF(H117="",0,IFERROR(INDEX($L$6:L116,MATCH(H117,$B$6:B116,0))+1,0))))</f>
        <v/>
      </c>
      <c r="K117" s="89" t="n"/>
      <c r="L117" s="126">
        <f>IF(J117="","",J117+MAX(1,G117)+IF(K117="",0,K117)-1)</f>
        <v/>
      </c>
      <c r="M117" s="72" t="n"/>
      <c r="N117" s="109" t="n"/>
      <c r="O117" s="127">
        <f>IF(D117="","",COUNTIF($H$7:$H$1006,B117))</f>
        <v/>
      </c>
      <c r="P117" s="78">
        <f>IF(D117="","",IF(AND(H117&lt;&gt;"",H117&gt;=B117),"⚠️ Predecessor must be above",IF(M117="Done","✓ Done",IF(Q117=3,"🔴 Late",IF(M117="In progress","In progress","")))))</f>
        <v/>
      </c>
      <c r="Q117" s="79">
        <f>IF(OR(D117="",L117=""),"",IF(M117="Done",2,IF(AsOf&gt;L117,3,1)))</f>
        <v/>
      </c>
      <c r="R117" s="79">
        <f>IF(OR(E117="",F117=""),0,IF(COUNTIFS($E$7:E117,E117,$F$7:F117,F117)=1,1,0))</f>
        <v/>
      </c>
      <c r="S117" s="79">
        <f>IF(R117=1,E117&amp;"|"&amp;SUMIFS($R$7:R117,$E$7:E117,E117),"")</f>
        <v/>
      </c>
      <c r="T117" s="112">
        <f>IF(Q117="","",IF(Q117=3,L117,IF(OR(M117="Not started",M117=""),J117,"")))</f>
        <v/>
      </c>
      <c r="U117" s="79">
        <f>IF(T117="","",IF(Q117=3,1,IF(T117="","",IF(T117&lt;AsOf,1,IF(T117&lt;=AsOf+AlertDays,2,IF(T117&lt;=AsOf+2*AlertDays,3,""))))))</f>
        <v/>
      </c>
      <c r="V117" s="79">
        <f>IF(U117="","",IF(Q117=3,"Late task: "&amp;D117,IF(T117&lt;AsOf,"Should have started: ","Starts soon: ")&amp;D117)&amp;IF(F117="",""," — "&amp;F117))</f>
        <v/>
      </c>
    </row>
    <row r="118" ht="20" customHeight="1">
      <c r="B118" s="125" t="n">
        <v>112</v>
      </c>
      <c r="C118" s="72" t="n"/>
      <c r="D118" s="72" t="n"/>
      <c r="E118" s="72" t="n"/>
      <c r="F118" s="72" t="n"/>
      <c r="G118" s="89" t="n"/>
      <c r="H118" s="89" t="n"/>
      <c r="I118" s="109" t="n"/>
      <c r="J118" s="126">
        <f>IF(OR(D118="",ProjStart=""),"",MAX(ProjStart,IF(I118&lt;&gt;"",I118,0),IF(H118="",0,IFERROR(INDEX($L$6:L117,MATCH(H118,$B$6:B117,0))+1,0))))</f>
        <v/>
      </c>
      <c r="K118" s="89" t="n"/>
      <c r="L118" s="126">
        <f>IF(J118="","",J118+MAX(1,G118)+IF(K118="",0,K118)-1)</f>
        <v/>
      </c>
      <c r="M118" s="72" t="n"/>
      <c r="N118" s="109" t="n"/>
      <c r="O118" s="127">
        <f>IF(D118="","",COUNTIF($H$7:$H$1006,B118))</f>
        <v/>
      </c>
      <c r="P118" s="78">
        <f>IF(D118="","",IF(AND(H118&lt;&gt;"",H118&gt;=B118),"⚠️ Predecessor must be above",IF(M118="Done","✓ Done",IF(Q118=3,"🔴 Late",IF(M118="In progress","In progress","")))))</f>
        <v/>
      </c>
      <c r="Q118" s="79">
        <f>IF(OR(D118="",L118=""),"",IF(M118="Done",2,IF(AsOf&gt;L118,3,1)))</f>
        <v/>
      </c>
      <c r="R118" s="79">
        <f>IF(OR(E118="",F118=""),0,IF(COUNTIFS($E$7:E118,E118,$F$7:F118,F118)=1,1,0))</f>
        <v/>
      </c>
      <c r="S118" s="79">
        <f>IF(R118=1,E118&amp;"|"&amp;SUMIFS($R$7:R118,$E$7:E118,E118),"")</f>
        <v/>
      </c>
      <c r="T118" s="112">
        <f>IF(Q118="","",IF(Q118=3,L118,IF(OR(M118="Not started",M118=""),J118,"")))</f>
        <v/>
      </c>
      <c r="U118" s="79">
        <f>IF(T118="","",IF(Q118=3,1,IF(T118="","",IF(T118&lt;AsOf,1,IF(T118&lt;=AsOf+AlertDays,2,IF(T118&lt;=AsOf+2*AlertDays,3,""))))))</f>
        <v/>
      </c>
      <c r="V118" s="79">
        <f>IF(U118="","",IF(Q118=3,"Late task: "&amp;D118,IF(T118&lt;AsOf,"Should have started: ","Starts soon: ")&amp;D118)&amp;IF(F118="",""," — "&amp;F118))</f>
        <v/>
      </c>
    </row>
    <row r="119" ht="20" customHeight="1">
      <c r="B119" s="125" t="n">
        <v>113</v>
      </c>
      <c r="C119" s="72" t="n"/>
      <c r="D119" s="72" t="n"/>
      <c r="E119" s="72" t="n"/>
      <c r="F119" s="72" t="n"/>
      <c r="G119" s="89" t="n"/>
      <c r="H119" s="89" t="n"/>
      <c r="I119" s="109" t="n"/>
      <c r="J119" s="126">
        <f>IF(OR(D119="",ProjStart=""),"",MAX(ProjStart,IF(I119&lt;&gt;"",I119,0),IF(H119="",0,IFERROR(INDEX($L$6:L118,MATCH(H119,$B$6:B118,0))+1,0))))</f>
        <v/>
      </c>
      <c r="K119" s="89" t="n"/>
      <c r="L119" s="126">
        <f>IF(J119="","",J119+MAX(1,G119)+IF(K119="",0,K119)-1)</f>
        <v/>
      </c>
      <c r="M119" s="72" t="n"/>
      <c r="N119" s="109" t="n"/>
      <c r="O119" s="127">
        <f>IF(D119="","",COUNTIF($H$7:$H$1006,B119))</f>
        <v/>
      </c>
      <c r="P119" s="78">
        <f>IF(D119="","",IF(AND(H119&lt;&gt;"",H119&gt;=B119),"⚠️ Predecessor must be above",IF(M119="Done","✓ Done",IF(Q119=3,"🔴 Late",IF(M119="In progress","In progress","")))))</f>
        <v/>
      </c>
      <c r="Q119" s="79">
        <f>IF(OR(D119="",L119=""),"",IF(M119="Done",2,IF(AsOf&gt;L119,3,1)))</f>
        <v/>
      </c>
      <c r="R119" s="79">
        <f>IF(OR(E119="",F119=""),0,IF(COUNTIFS($E$7:E119,E119,$F$7:F119,F119)=1,1,0))</f>
        <v/>
      </c>
      <c r="S119" s="79">
        <f>IF(R119=1,E119&amp;"|"&amp;SUMIFS($R$7:R119,$E$7:E119,E119),"")</f>
        <v/>
      </c>
      <c r="T119" s="112">
        <f>IF(Q119="","",IF(Q119=3,L119,IF(OR(M119="Not started",M119=""),J119,"")))</f>
        <v/>
      </c>
      <c r="U119" s="79">
        <f>IF(T119="","",IF(Q119=3,1,IF(T119="","",IF(T119&lt;AsOf,1,IF(T119&lt;=AsOf+AlertDays,2,IF(T119&lt;=AsOf+2*AlertDays,3,""))))))</f>
        <v/>
      </c>
      <c r="V119" s="79">
        <f>IF(U119="","",IF(Q119=3,"Late task: "&amp;D119,IF(T119&lt;AsOf,"Should have started: ","Starts soon: ")&amp;D119)&amp;IF(F119="",""," — "&amp;F119))</f>
        <v/>
      </c>
    </row>
    <row r="120" ht="20" customHeight="1">
      <c r="B120" s="125" t="n">
        <v>114</v>
      </c>
      <c r="C120" s="72" t="n"/>
      <c r="D120" s="72" t="n"/>
      <c r="E120" s="72" t="n"/>
      <c r="F120" s="72" t="n"/>
      <c r="G120" s="89" t="n"/>
      <c r="H120" s="89" t="n"/>
      <c r="I120" s="109" t="n"/>
      <c r="J120" s="126">
        <f>IF(OR(D120="",ProjStart=""),"",MAX(ProjStart,IF(I120&lt;&gt;"",I120,0),IF(H120="",0,IFERROR(INDEX($L$6:L119,MATCH(H120,$B$6:B119,0))+1,0))))</f>
        <v/>
      </c>
      <c r="K120" s="89" t="n"/>
      <c r="L120" s="126">
        <f>IF(J120="","",J120+MAX(1,G120)+IF(K120="",0,K120)-1)</f>
        <v/>
      </c>
      <c r="M120" s="72" t="n"/>
      <c r="N120" s="109" t="n"/>
      <c r="O120" s="127">
        <f>IF(D120="","",COUNTIF($H$7:$H$1006,B120))</f>
        <v/>
      </c>
      <c r="P120" s="78">
        <f>IF(D120="","",IF(AND(H120&lt;&gt;"",H120&gt;=B120),"⚠️ Predecessor must be above",IF(M120="Done","✓ Done",IF(Q120=3,"🔴 Late",IF(M120="In progress","In progress","")))))</f>
        <v/>
      </c>
      <c r="Q120" s="79">
        <f>IF(OR(D120="",L120=""),"",IF(M120="Done",2,IF(AsOf&gt;L120,3,1)))</f>
        <v/>
      </c>
      <c r="R120" s="79">
        <f>IF(OR(E120="",F120=""),0,IF(COUNTIFS($E$7:E120,E120,$F$7:F120,F120)=1,1,0))</f>
        <v/>
      </c>
      <c r="S120" s="79">
        <f>IF(R120=1,E120&amp;"|"&amp;SUMIFS($R$7:R120,$E$7:E120,E120),"")</f>
        <v/>
      </c>
      <c r="T120" s="112">
        <f>IF(Q120="","",IF(Q120=3,L120,IF(OR(M120="Not started",M120=""),J120,"")))</f>
        <v/>
      </c>
      <c r="U120" s="79">
        <f>IF(T120="","",IF(Q120=3,1,IF(T120="","",IF(T120&lt;AsOf,1,IF(T120&lt;=AsOf+AlertDays,2,IF(T120&lt;=AsOf+2*AlertDays,3,""))))))</f>
        <v/>
      </c>
      <c r="V120" s="79">
        <f>IF(U120="","",IF(Q120=3,"Late task: "&amp;D120,IF(T120&lt;AsOf,"Should have started: ","Starts soon: ")&amp;D120)&amp;IF(F120="",""," — "&amp;F120))</f>
        <v/>
      </c>
    </row>
    <row r="121" ht="20" customHeight="1">
      <c r="B121" s="125" t="n">
        <v>115</v>
      </c>
      <c r="C121" s="72" t="n"/>
      <c r="D121" s="72" t="n"/>
      <c r="E121" s="72" t="n"/>
      <c r="F121" s="72" t="n"/>
      <c r="G121" s="89" t="n"/>
      <c r="H121" s="89" t="n"/>
      <c r="I121" s="109" t="n"/>
      <c r="J121" s="126">
        <f>IF(OR(D121="",ProjStart=""),"",MAX(ProjStart,IF(I121&lt;&gt;"",I121,0),IF(H121="",0,IFERROR(INDEX($L$6:L120,MATCH(H121,$B$6:B120,0))+1,0))))</f>
        <v/>
      </c>
      <c r="K121" s="89" t="n"/>
      <c r="L121" s="126">
        <f>IF(J121="","",J121+MAX(1,G121)+IF(K121="",0,K121)-1)</f>
        <v/>
      </c>
      <c r="M121" s="72" t="n"/>
      <c r="N121" s="109" t="n"/>
      <c r="O121" s="127">
        <f>IF(D121="","",COUNTIF($H$7:$H$1006,B121))</f>
        <v/>
      </c>
      <c r="P121" s="78">
        <f>IF(D121="","",IF(AND(H121&lt;&gt;"",H121&gt;=B121),"⚠️ Predecessor must be above",IF(M121="Done","✓ Done",IF(Q121=3,"🔴 Late",IF(M121="In progress","In progress","")))))</f>
        <v/>
      </c>
      <c r="Q121" s="79">
        <f>IF(OR(D121="",L121=""),"",IF(M121="Done",2,IF(AsOf&gt;L121,3,1)))</f>
        <v/>
      </c>
      <c r="R121" s="79">
        <f>IF(OR(E121="",F121=""),0,IF(COUNTIFS($E$7:E121,E121,$F$7:F121,F121)=1,1,0))</f>
        <v/>
      </c>
      <c r="S121" s="79">
        <f>IF(R121=1,E121&amp;"|"&amp;SUMIFS($R$7:R121,$E$7:E121,E121),"")</f>
        <v/>
      </c>
      <c r="T121" s="112">
        <f>IF(Q121="","",IF(Q121=3,L121,IF(OR(M121="Not started",M121=""),J121,"")))</f>
        <v/>
      </c>
      <c r="U121" s="79">
        <f>IF(T121="","",IF(Q121=3,1,IF(T121="","",IF(T121&lt;AsOf,1,IF(T121&lt;=AsOf+AlertDays,2,IF(T121&lt;=AsOf+2*AlertDays,3,""))))))</f>
        <v/>
      </c>
      <c r="V121" s="79">
        <f>IF(U121="","",IF(Q121=3,"Late task: "&amp;D121,IF(T121&lt;AsOf,"Should have started: ","Starts soon: ")&amp;D121)&amp;IF(F121="",""," — "&amp;F121))</f>
        <v/>
      </c>
    </row>
    <row r="122" ht="20" customHeight="1">
      <c r="B122" s="125" t="n">
        <v>116</v>
      </c>
      <c r="C122" s="72" t="n"/>
      <c r="D122" s="72" t="n"/>
      <c r="E122" s="72" t="n"/>
      <c r="F122" s="72" t="n"/>
      <c r="G122" s="89" t="n"/>
      <c r="H122" s="89" t="n"/>
      <c r="I122" s="109" t="n"/>
      <c r="J122" s="126">
        <f>IF(OR(D122="",ProjStart=""),"",MAX(ProjStart,IF(I122&lt;&gt;"",I122,0),IF(H122="",0,IFERROR(INDEX($L$6:L121,MATCH(H122,$B$6:B121,0))+1,0))))</f>
        <v/>
      </c>
      <c r="K122" s="89" t="n"/>
      <c r="L122" s="126">
        <f>IF(J122="","",J122+MAX(1,G122)+IF(K122="",0,K122)-1)</f>
        <v/>
      </c>
      <c r="M122" s="72" t="n"/>
      <c r="N122" s="109" t="n"/>
      <c r="O122" s="127">
        <f>IF(D122="","",COUNTIF($H$7:$H$1006,B122))</f>
        <v/>
      </c>
      <c r="P122" s="78">
        <f>IF(D122="","",IF(AND(H122&lt;&gt;"",H122&gt;=B122),"⚠️ Predecessor must be above",IF(M122="Done","✓ Done",IF(Q122=3,"🔴 Late",IF(M122="In progress","In progress","")))))</f>
        <v/>
      </c>
      <c r="Q122" s="79">
        <f>IF(OR(D122="",L122=""),"",IF(M122="Done",2,IF(AsOf&gt;L122,3,1)))</f>
        <v/>
      </c>
      <c r="R122" s="79">
        <f>IF(OR(E122="",F122=""),0,IF(COUNTIFS($E$7:E122,E122,$F$7:F122,F122)=1,1,0))</f>
        <v/>
      </c>
      <c r="S122" s="79">
        <f>IF(R122=1,E122&amp;"|"&amp;SUMIFS($R$7:R122,$E$7:E122,E122),"")</f>
        <v/>
      </c>
      <c r="T122" s="112">
        <f>IF(Q122="","",IF(Q122=3,L122,IF(OR(M122="Not started",M122=""),J122,"")))</f>
        <v/>
      </c>
      <c r="U122" s="79">
        <f>IF(T122="","",IF(Q122=3,1,IF(T122="","",IF(T122&lt;AsOf,1,IF(T122&lt;=AsOf+AlertDays,2,IF(T122&lt;=AsOf+2*AlertDays,3,""))))))</f>
        <v/>
      </c>
      <c r="V122" s="79">
        <f>IF(U122="","",IF(Q122=3,"Late task: "&amp;D122,IF(T122&lt;AsOf,"Should have started: ","Starts soon: ")&amp;D122)&amp;IF(F122="",""," — "&amp;F122))</f>
        <v/>
      </c>
    </row>
    <row r="123" ht="20" customHeight="1">
      <c r="B123" s="125" t="n">
        <v>117</v>
      </c>
      <c r="C123" s="72" t="n"/>
      <c r="D123" s="72" t="n"/>
      <c r="E123" s="72" t="n"/>
      <c r="F123" s="72" t="n"/>
      <c r="G123" s="89" t="n"/>
      <c r="H123" s="89" t="n"/>
      <c r="I123" s="109" t="n"/>
      <c r="J123" s="126">
        <f>IF(OR(D123="",ProjStart=""),"",MAX(ProjStart,IF(I123&lt;&gt;"",I123,0),IF(H123="",0,IFERROR(INDEX($L$6:L122,MATCH(H123,$B$6:B122,0))+1,0))))</f>
        <v/>
      </c>
      <c r="K123" s="89" t="n"/>
      <c r="L123" s="126">
        <f>IF(J123="","",J123+MAX(1,G123)+IF(K123="",0,K123)-1)</f>
        <v/>
      </c>
      <c r="M123" s="72" t="n"/>
      <c r="N123" s="109" t="n"/>
      <c r="O123" s="127">
        <f>IF(D123="","",COUNTIF($H$7:$H$1006,B123))</f>
        <v/>
      </c>
      <c r="P123" s="78">
        <f>IF(D123="","",IF(AND(H123&lt;&gt;"",H123&gt;=B123),"⚠️ Predecessor must be above",IF(M123="Done","✓ Done",IF(Q123=3,"🔴 Late",IF(M123="In progress","In progress","")))))</f>
        <v/>
      </c>
      <c r="Q123" s="79">
        <f>IF(OR(D123="",L123=""),"",IF(M123="Done",2,IF(AsOf&gt;L123,3,1)))</f>
        <v/>
      </c>
      <c r="R123" s="79">
        <f>IF(OR(E123="",F123=""),0,IF(COUNTIFS($E$7:E123,E123,$F$7:F123,F123)=1,1,0))</f>
        <v/>
      </c>
      <c r="S123" s="79">
        <f>IF(R123=1,E123&amp;"|"&amp;SUMIFS($R$7:R123,$E$7:E123,E123),"")</f>
        <v/>
      </c>
      <c r="T123" s="112">
        <f>IF(Q123="","",IF(Q123=3,L123,IF(OR(M123="Not started",M123=""),J123,"")))</f>
        <v/>
      </c>
      <c r="U123" s="79">
        <f>IF(T123="","",IF(Q123=3,1,IF(T123="","",IF(T123&lt;AsOf,1,IF(T123&lt;=AsOf+AlertDays,2,IF(T123&lt;=AsOf+2*AlertDays,3,""))))))</f>
        <v/>
      </c>
      <c r="V123" s="79">
        <f>IF(U123="","",IF(Q123=3,"Late task: "&amp;D123,IF(T123&lt;AsOf,"Should have started: ","Starts soon: ")&amp;D123)&amp;IF(F123="",""," — "&amp;F123))</f>
        <v/>
      </c>
    </row>
    <row r="124" ht="20" customHeight="1">
      <c r="B124" s="125" t="n">
        <v>118</v>
      </c>
      <c r="C124" s="72" t="n"/>
      <c r="D124" s="72" t="n"/>
      <c r="E124" s="72" t="n"/>
      <c r="F124" s="72" t="n"/>
      <c r="G124" s="89" t="n"/>
      <c r="H124" s="89" t="n"/>
      <c r="I124" s="109" t="n"/>
      <c r="J124" s="126">
        <f>IF(OR(D124="",ProjStart=""),"",MAX(ProjStart,IF(I124&lt;&gt;"",I124,0),IF(H124="",0,IFERROR(INDEX($L$6:L123,MATCH(H124,$B$6:B123,0))+1,0))))</f>
        <v/>
      </c>
      <c r="K124" s="89" t="n"/>
      <c r="L124" s="126">
        <f>IF(J124="","",J124+MAX(1,G124)+IF(K124="",0,K124)-1)</f>
        <v/>
      </c>
      <c r="M124" s="72" t="n"/>
      <c r="N124" s="109" t="n"/>
      <c r="O124" s="127">
        <f>IF(D124="","",COUNTIF($H$7:$H$1006,B124))</f>
        <v/>
      </c>
      <c r="P124" s="78">
        <f>IF(D124="","",IF(AND(H124&lt;&gt;"",H124&gt;=B124),"⚠️ Predecessor must be above",IF(M124="Done","✓ Done",IF(Q124=3,"🔴 Late",IF(M124="In progress","In progress","")))))</f>
        <v/>
      </c>
      <c r="Q124" s="79">
        <f>IF(OR(D124="",L124=""),"",IF(M124="Done",2,IF(AsOf&gt;L124,3,1)))</f>
        <v/>
      </c>
      <c r="R124" s="79">
        <f>IF(OR(E124="",F124=""),0,IF(COUNTIFS($E$7:E124,E124,$F$7:F124,F124)=1,1,0))</f>
        <v/>
      </c>
      <c r="S124" s="79">
        <f>IF(R124=1,E124&amp;"|"&amp;SUMIFS($R$7:R124,$E$7:E124,E124),"")</f>
        <v/>
      </c>
      <c r="T124" s="112">
        <f>IF(Q124="","",IF(Q124=3,L124,IF(OR(M124="Not started",M124=""),J124,"")))</f>
        <v/>
      </c>
      <c r="U124" s="79">
        <f>IF(T124="","",IF(Q124=3,1,IF(T124="","",IF(T124&lt;AsOf,1,IF(T124&lt;=AsOf+AlertDays,2,IF(T124&lt;=AsOf+2*AlertDays,3,""))))))</f>
        <v/>
      </c>
      <c r="V124" s="79">
        <f>IF(U124="","",IF(Q124=3,"Late task: "&amp;D124,IF(T124&lt;AsOf,"Should have started: ","Starts soon: ")&amp;D124)&amp;IF(F124="",""," — "&amp;F124))</f>
        <v/>
      </c>
    </row>
    <row r="125" ht="20" customHeight="1">
      <c r="B125" s="125" t="n">
        <v>119</v>
      </c>
      <c r="C125" s="72" t="n"/>
      <c r="D125" s="72" t="n"/>
      <c r="E125" s="72" t="n"/>
      <c r="F125" s="72" t="n"/>
      <c r="G125" s="89" t="n"/>
      <c r="H125" s="89" t="n"/>
      <c r="I125" s="109" t="n"/>
      <c r="J125" s="126">
        <f>IF(OR(D125="",ProjStart=""),"",MAX(ProjStart,IF(I125&lt;&gt;"",I125,0),IF(H125="",0,IFERROR(INDEX($L$6:L124,MATCH(H125,$B$6:B124,0))+1,0))))</f>
        <v/>
      </c>
      <c r="K125" s="89" t="n"/>
      <c r="L125" s="126">
        <f>IF(J125="","",J125+MAX(1,G125)+IF(K125="",0,K125)-1)</f>
        <v/>
      </c>
      <c r="M125" s="72" t="n"/>
      <c r="N125" s="109" t="n"/>
      <c r="O125" s="127">
        <f>IF(D125="","",COUNTIF($H$7:$H$1006,B125))</f>
        <v/>
      </c>
      <c r="P125" s="78">
        <f>IF(D125="","",IF(AND(H125&lt;&gt;"",H125&gt;=B125),"⚠️ Predecessor must be above",IF(M125="Done","✓ Done",IF(Q125=3,"🔴 Late",IF(M125="In progress","In progress","")))))</f>
        <v/>
      </c>
      <c r="Q125" s="79">
        <f>IF(OR(D125="",L125=""),"",IF(M125="Done",2,IF(AsOf&gt;L125,3,1)))</f>
        <v/>
      </c>
      <c r="R125" s="79">
        <f>IF(OR(E125="",F125=""),0,IF(COUNTIFS($E$7:E125,E125,$F$7:F125,F125)=1,1,0))</f>
        <v/>
      </c>
      <c r="S125" s="79">
        <f>IF(R125=1,E125&amp;"|"&amp;SUMIFS($R$7:R125,$E$7:E125,E125),"")</f>
        <v/>
      </c>
      <c r="T125" s="112">
        <f>IF(Q125="","",IF(Q125=3,L125,IF(OR(M125="Not started",M125=""),J125,"")))</f>
        <v/>
      </c>
      <c r="U125" s="79">
        <f>IF(T125="","",IF(Q125=3,1,IF(T125="","",IF(T125&lt;AsOf,1,IF(T125&lt;=AsOf+AlertDays,2,IF(T125&lt;=AsOf+2*AlertDays,3,""))))))</f>
        <v/>
      </c>
      <c r="V125" s="79">
        <f>IF(U125="","",IF(Q125=3,"Late task: "&amp;D125,IF(T125&lt;AsOf,"Should have started: ","Starts soon: ")&amp;D125)&amp;IF(F125="",""," — "&amp;F125))</f>
        <v/>
      </c>
    </row>
    <row r="126" ht="20" customHeight="1">
      <c r="B126" s="125" t="n">
        <v>120</v>
      </c>
      <c r="C126" s="72" t="n"/>
      <c r="D126" s="72" t="n"/>
      <c r="E126" s="72" t="n"/>
      <c r="F126" s="72" t="n"/>
      <c r="G126" s="89" t="n"/>
      <c r="H126" s="89" t="n"/>
      <c r="I126" s="109" t="n"/>
      <c r="J126" s="126">
        <f>IF(OR(D126="",ProjStart=""),"",MAX(ProjStart,IF(I126&lt;&gt;"",I126,0),IF(H126="",0,IFERROR(INDEX($L$6:L125,MATCH(H126,$B$6:B125,0))+1,0))))</f>
        <v/>
      </c>
      <c r="K126" s="89" t="n"/>
      <c r="L126" s="126">
        <f>IF(J126="","",J126+MAX(1,G126)+IF(K126="",0,K126)-1)</f>
        <v/>
      </c>
      <c r="M126" s="72" t="n"/>
      <c r="N126" s="109" t="n"/>
      <c r="O126" s="127">
        <f>IF(D126="","",COUNTIF($H$7:$H$1006,B126))</f>
        <v/>
      </c>
      <c r="P126" s="78">
        <f>IF(D126="","",IF(AND(H126&lt;&gt;"",H126&gt;=B126),"⚠️ Predecessor must be above",IF(M126="Done","✓ Done",IF(Q126=3,"🔴 Late",IF(M126="In progress","In progress","")))))</f>
        <v/>
      </c>
      <c r="Q126" s="79">
        <f>IF(OR(D126="",L126=""),"",IF(M126="Done",2,IF(AsOf&gt;L126,3,1)))</f>
        <v/>
      </c>
      <c r="R126" s="79">
        <f>IF(OR(E126="",F126=""),0,IF(COUNTIFS($E$7:E126,E126,$F$7:F126,F126)=1,1,0))</f>
        <v/>
      </c>
      <c r="S126" s="79">
        <f>IF(R126=1,E126&amp;"|"&amp;SUMIFS($R$7:R126,$E$7:E126,E126),"")</f>
        <v/>
      </c>
      <c r="T126" s="112">
        <f>IF(Q126="","",IF(Q126=3,L126,IF(OR(M126="Not started",M126=""),J126,"")))</f>
        <v/>
      </c>
      <c r="U126" s="79">
        <f>IF(T126="","",IF(Q126=3,1,IF(T126="","",IF(T126&lt;AsOf,1,IF(T126&lt;=AsOf+AlertDays,2,IF(T126&lt;=AsOf+2*AlertDays,3,""))))))</f>
        <v/>
      </c>
      <c r="V126" s="79">
        <f>IF(U126="","",IF(Q126=3,"Late task: "&amp;D126,IF(T126&lt;AsOf,"Should have started: ","Starts soon: ")&amp;D126)&amp;IF(F126="",""," — "&amp;F126))</f>
        <v/>
      </c>
    </row>
    <row r="127" ht="20" customHeight="1">
      <c r="B127" s="125" t="n">
        <v>121</v>
      </c>
      <c r="C127" s="72" t="n"/>
      <c r="D127" s="72" t="n"/>
      <c r="E127" s="72" t="n"/>
      <c r="F127" s="72" t="n"/>
      <c r="G127" s="89" t="n"/>
      <c r="H127" s="89" t="n"/>
      <c r="I127" s="109" t="n"/>
      <c r="J127" s="126">
        <f>IF(OR(D127="",ProjStart=""),"",MAX(ProjStart,IF(I127&lt;&gt;"",I127,0),IF(H127="",0,IFERROR(INDEX($L$6:L126,MATCH(H127,$B$6:B126,0))+1,0))))</f>
        <v/>
      </c>
      <c r="K127" s="89" t="n"/>
      <c r="L127" s="126">
        <f>IF(J127="","",J127+MAX(1,G127)+IF(K127="",0,K127)-1)</f>
        <v/>
      </c>
      <c r="M127" s="72" t="n"/>
      <c r="N127" s="109" t="n"/>
      <c r="O127" s="127">
        <f>IF(D127="","",COUNTIF($H$7:$H$1006,B127))</f>
        <v/>
      </c>
      <c r="P127" s="78">
        <f>IF(D127="","",IF(AND(H127&lt;&gt;"",H127&gt;=B127),"⚠️ Predecessor must be above",IF(M127="Done","✓ Done",IF(Q127=3,"🔴 Late",IF(M127="In progress","In progress","")))))</f>
        <v/>
      </c>
      <c r="Q127" s="79">
        <f>IF(OR(D127="",L127=""),"",IF(M127="Done",2,IF(AsOf&gt;L127,3,1)))</f>
        <v/>
      </c>
      <c r="R127" s="79">
        <f>IF(OR(E127="",F127=""),0,IF(COUNTIFS($E$7:E127,E127,$F$7:F127,F127)=1,1,0))</f>
        <v/>
      </c>
      <c r="S127" s="79">
        <f>IF(R127=1,E127&amp;"|"&amp;SUMIFS($R$7:R127,$E$7:E127,E127),"")</f>
        <v/>
      </c>
      <c r="T127" s="112">
        <f>IF(Q127="","",IF(Q127=3,L127,IF(OR(M127="Not started",M127=""),J127,"")))</f>
        <v/>
      </c>
      <c r="U127" s="79">
        <f>IF(T127="","",IF(Q127=3,1,IF(T127="","",IF(T127&lt;AsOf,1,IF(T127&lt;=AsOf+AlertDays,2,IF(T127&lt;=AsOf+2*AlertDays,3,""))))))</f>
        <v/>
      </c>
      <c r="V127" s="79">
        <f>IF(U127="","",IF(Q127=3,"Late task: "&amp;D127,IF(T127&lt;AsOf,"Should have started: ","Starts soon: ")&amp;D127)&amp;IF(F127="",""," — "&amp;F127))</f>
        <v/>
      </c>
    </row>
    <row r="128" ht="20" customHeight="1">
      <c r="B128" s="125" t="n">
        <v>122</v>
      </c>
      <c r="C128" s="72" t="n"/>
      <c r="D128" s="72" t="n"/>
      <c r="E128" s="72" t="n"/>
      <c r="F128" s="72" t="n"/>
      <c r="G128" s="89" t="n"/>
      <c r="H128" s="89" t="n"/>
      <c r="I128" s="109" t="n"/>
      <c r="J128" s="126">
        <f>IF(OR(D128="",ProjStart=""),"",MAX(ProjStart,IF(I128&lt;&gt;"",I128,0),IF(H128="",0,IFERROR(INDEX($L$6:L127,MATCH(H128,$B$6:B127,0))+1,0))))</f>
        <v/>
      </c>
      <c r="K128" s="89" t="n"/>
      <c r="L128" s="126">
        <f>IF(J128="","",J128+MAX(1,G128)+IF(K128="",0,K128)-1)</f>
        <v/>
      </c>
      <c r="M128" s="72" t="n"/>
      <c r="N128" s="109" t="n"/>
      <c r="O128" s="127">
        <f>IF(D128="","",COUNTIF($H$7:$H$1006,B128))</f>
        <v/>
      </c>
      <c r="P128" s="78">
        <f>IF(D128="","",IF(AND(H128&lt;&gt;"",H128&gt;=B128),"⚠️ Predecessor must be above",IF(M128="Done","✓ Done",IF(Q128=3,"🔴 Late",IF(M128="In progress","In progress","")))))</f>
        <v/>
      </c>
      <c r="Q128" s="79">
        <f>IF(OR(D128="",L128=""),"",IF(M128="Done",2,IF(AsOf&gt;L128,3,1)))</f>
        <v/>
      </c>
      <c r="R128" s="79">
        <f>IF(OR(E128="",F128=""),0,IF(COUNTIFS($E$7:E128,E128,$F$7:F128,F128)=1,1,0))</f>
        <v/>
      </c>
      <c r="S128" s="79">
        <f>IF(R128=1,E128&amp;"|"&amp;SUMIFS($R$7:R128,$E$7:E128,E128),"")</f>
        <v/>
      </c>
      <c r="T128" s="112">
        <f>IF(Q128="","",IF(Q128=3,L128,IF(OR(M128="Not started",M128=""),J128,"")))</f>
        <v/>
      </c>
      <c r="U128" s="79">
        <f>IF(T128="","",IF(Q128=3,1,IF(T128="","",IF(T128&lt;AsOf,1,IF(T128&lt;=AsOf+AlertDays,2,IF(T128&lt;=AsOf+2*AlertDays,3,""))))))</f>
        <v/>
      </c>
      <c r="V128" s="79">
        <f>IF(U128="","",IF(Q128=3,"Late task: "&amp;D128,IF(T128&lt;AsOf,"Should have started: ","Starts soon: ")&amp;D128)&amp;IF(F128="",""," — "&amp;F128))</f>
        <v/>
      </c>
    </row>
    <row r="129" ht="20" customHeight="1">
      <c r="B129" s="125" t="n">
        <v>123</v>
      </c>
      <c r="C129" s="72" t="n"/>
      <c r="D129" s="72" t="n"/>
      <c r="E129" s="72" t="n"/>
      <c r="F129" s="72" t="n"/>
      <c r="G129" s="89" t="n"/>
      <c r="H129" s="89" t="n"/>
      <c r="I129" s="109" t="n"/>
      <c r="J129" s="126">
        <f>IF(OR(D129="",ProjStart=""),"",MAX(ProjStart,IF(I129&lt;&gt;"",I129,0),IF(H129="",0,IFERROR(INDEX($L$6:L128,MATCH(H129,$B$6:B128,0))+1,0))))</f>
        <v/>
      </c>
      <c r="K129" s="89" t="n"/>
      <c r="L129" s="126">
        <f>IF(J129="","",J129+MAX(1,G129)+IF(K129="",0,K129)-1)</f>
        <v/>
      </c>
      <c r="M129" s="72" t="n"/>
      <c r="N129" s="109" t="n"/>
      <c r="O129" s="127">
        <f>IF(D129="","",COUNTIF($H$7:$H$1006,B129))</f>
        <v/>
      </c>
      <c r="P129" s="78">
        <f>IF(D129="","",IF(AND(H129&lt;&gt;"",H129&gt;=B129),"⚠️ Predecessor must be above",IF(M129="Done","✓ Done",IF(Q129=3,"🔴 Late",IF(M129="In progress","In progress","")))))</f>
        <v/>
      </c>
      <c r="Q129" s="79">
        <f>IF(OR(D129="",L129=""),"",IF(M129="Done",2,IF(AsOf&gt;L129,3,1)))</f>
        <v/>
      </c>
      <c r="R129" s="79">
        <f>IF(OR(E129="",F129=""),0,IF(COUNTIFS($E$7:E129,E129,$F$7:F129,F129)=1,1,0))</f>
        <v/>
      </c>
      <c r="S129" s="79">
        <f>IF(R129=1,E129&amp;"|"&amp;SUMIFS($R$7:R129,$E$7:E129,E129),"")</f>
        <v/>
      </c>
      <c r="T129" s="112">
        <f>IF(Q129="","",IF(Q129=3,L129,IF(OR(M129="Not started",M129=""),J129,"")))</f>
        <v/>
      </c>
      <c r="U129" s="79">
        <f>IF(T129="","",IF(Q129=3,1,IF(T129="","",IF(T129&lt;AsOf,1,IF(T129&lt;=AsOf+AlertDays,2,IF(T129&lt;=AsOf+2*AlertDays,3,""))))))</f>
        <v/>
      </c>
      <c r="V129" s="79">
        <f>IF(U129="","",IF(Q129=3,"Late task: "&amp;D129,IF(T129&lt;AsOf,"Should have started: ","Starts soon: ")&amp;D129)&amp;IF(F129="",""," — "&amp;F129))</f>
        <v/>
      </c>
    </row>
    <row r="130" ht="20" customHeight="1">
      <c r="B130" s="125" t="n">
        <v>124</v>
      </c>
      <c r="C130" s="72" t="n"/>
      <c r="D130" s="72" t="n"/>
      <c r="E130" s="72" t="n"/>
      <c r="F130" s="72" t="n"/>
      <c r="G130" s="89" t="n"/>
      <c r="H130" s="89" t="n"/>
      <c r="I130" s="109" t="n"/>
      <c r="J130" s="126">
        <f>IF(OR(D130="",ProjStart=""),"",MAX(ProjStart,IF(I130&lt;&gt;"",I130,0),IF(H130="",0,IFERROR(INDEX($L$6:L129,MATCH(H130,$B$6:B129,0))+1,0))))</f>
        <v/>
      </c>
      <c r="K130" s="89" t="n"/>
      <c r="L130" s="126">
        <f>IF(J130="","",J130+MAX(1,G130)+IF(K130="",0,K130)-1)</f>
        <v/>
      </c>
      <c r="M130" s="72" t="n"/>
      <c r="N130" s="109" t="n"/>
      <c r="O130" s="127">
        <f>IF(D130="","",COUNTIF($H$7:$H$1006,B130))</f>
        <v/>
      </c>
      <c r="P130" s="78">
        <f>IF(D130="","",IF(AND(H130&lt;&gt;"",H130&gt;=B130),"⚠️ Predecessor must be above",IF(M130="Done","✓ Done",IF(Q130=3,"🔴 Late",IF(M130="In progress","In progress","")))))</f>
        <v/>
      </c>
      <c r="Q130" s="79">
        <f>IF(OR(D130="",L130=""),"",IF(M130="Done",2,IF(AsOf&gt;L130,3,1)))</f>
        <v/>
      </c>
      <c r="R130" s="79">
        <f>IF(OR(E130="",F130=""),0,IF(COUNTIFS($E$7:E130,E130,$F$7:F130,F130)=1,1,0))</f>
        <v/>
      </c>
      <c r="S130" s="79">
        <f>IF(R130=1,E130&amp;"|"&amp;SUMIFS($R$7:R130,$E$7:E130,E130),"")</f>
        <v/>
      </c>
      <c r="T130" s="112">
        <f>IF(Q130="","",IF(Q130=3,L130,IF(OR(M130="Not started",M130=""),J130,"")))</f>
        <v/>
      </c>
      <c r="U130" s="79">
        <f>IF(T130="","",IF(Q130=3,1,IF(T130="","",IF(T130&lt;AsOf,1,IF(T130&lt;=AsOf+AlertDays,2,IF(T130&lt;=AsOf+2*AlertDays,3,""))))))</f>
        <v/>
      </c>
      <c r="V130" s="79">
        <f>IF(U130="","",IF(Q130=3,"Late task: "&amp;D130,IF(T130&lt;AsOf,"Should have started: ","Starts soon: ")&amp;D130)&amp;IF(F130="",""," — "&amp;F130))</f>
        <v/>
      </c>
    </row>
    <row r="131" ht="20" customHeight="1">
      <c r="B131" s="125" t="n">
        <v>125</v>
      </c>
      <c r="C131" s="72" t="n"/>
      <c r="D131" s="72" t="n"/>
      <c r="E131" s="72" t="n"/>
      <c r="F131" s="72" t="n"/>
      <c r="G131" s="89" t="n"/>
      <c r="H131" s="89" t="n"/>
      <c r="I131" s="109" t="n"/>
      <c r="J131" s="126">
        <f>IF(OR(D131="",ProjStart=""),"",MAX(ProjStart,IF(I131&lt;&gt;"",I131,0),IF(H131="",0,IFERROR(INDEX($L$6:L130,MATCH(H131,$B$6:B130,0))+1,0))))</f>
        <v/>
      </c>
      <c r="K131" s="89" t="n"/>
      <c r="L131" s="126">
        <f>IF(J131="","",J131+MAX(1,G131)+IF(K131="",0,K131)-1)</f>
        <v/>
      </c>
      <c r="M131" s="72" t="n"/>
      <c r="N131" s="109" t="n"/>
      <c r="O131" s="127">
        <f>IF(D131="","",COUNTIF($H$7:$H$1006,B131))</f>
        <v/>
      </c>
      <c r="P131" s="78">
        <f>IF(D131="","",IF(AND(H131&lt;&gt;"",H131&gt;=B131),"⚠️ Predecessor must be above",IF(M131="Done","✓ Done",IF(Q131=3,"🔴 Late",IF(M131="In progress","In progress","")))))</f>
        <v/>
      </c>
      <c r="Q131" s="79">
        <f>IF(OR(D131="",L131=""),"",IF(M131="Done",2,IF(AsOf&gt;L131,3,1)))</f>
        <v/>
      </c>
      <c r="R131" s="79">
        <f>IF(OR(E131="",F131=""),0,IF(COUNTIFS($E$7:E131,E131,$F$7:F131,F131)=1,1,0))</f>
        <v/>
      </c>
      <c r="S131" s="79">
        <f>IF(R131=1,E131&amp;"|"&amp;SUMIFS($R$7:R131,$E$7:E131,E131),"")</f>
        <v/>
      </c>
      <c r="T131" s="112">
        <f>IF(Q131="","",IF(Q131=3,L131,IF(OR(M131="Not started",M131=""),J131,"")))</f>
        <v/>
      </c>
      <c r="U131" s="79">
        <f>IF(T131="","",IF(Q131=3,1,IF(T131="","",IF(T131&lt;AsOf,1,IF(T131&lt;=AsOf+AlertDays,2,IF(T131&lt;=AsOf+2*AlertDays,3,""))))))</f>
        <v/>
      </c>
      <c r="V131" s="79">
        <f>IF(U131="","",IF(Q131=3,"Late task: "&amp;D131,IF(T131&lt;AsOf,"Should have started: ","Starts soon: ")&amp;D131)&amp;IF(F131="",""," — "&amp;F131))</f>
        <v/>
      </c>
    </row>
    <row r="132" ht="20" customHeight="1">
      <c r="B132" s="125" t="n">
        <v>126</v>
      </c>
      <c r="C132" s="72" t="n"/>
      <c r="D132" s="72" t="n"/>
      <c r="E132" s="72" t="n"/>
      <c r="F132" s="72" t="n"/>
      <c r="G132" s="89" t="n"/>
      <c r="H132" s="89" t="n"/>
      <c r="I132" s="109" t="n"/>
      <c r="J132" s="126">
        <f>IF(OR(D132="",ProjStart=""),"",MAX(ProjStart,IF(I132&lt;&gt;"",I132,0),IF(H132="",0,IFERROR(INDEX($L$6:L131,MATCH(H132,$B$6:B131,0))+1,0))))</f>
        <v/>
      </c>
      <c r="K132" s="89" t="n"/>
      <c r="L132" s="126">
        <f>IF(J132="","",J132+MAX(1,G132)+IF(K132="",0,K132)-1)</f>
        <v/>
      </c>
      <c r="M132" s="72" t="n"/>
      <c r="N132" s="109" t="n"/>
      <c r="O132" s="127">
        <f>IF(D132="","",COUNTIF($H$7:$H$1006,B132))</f>
        <v/>
      </c>
      <c r="P132" s="78">
        <f>IF(D132="","",IF(AND(H132&lt;&gt;"",H132&gt;=B132),"⚠️ Predecessor must be above",IF(M132="Done","✓ Done",IF(Q132=3,"🔴 Late",IF(M132="In progress","In progress","")))))</f>
        <v/>
      </c>
      <c r="Q132" s="79">
        <f>IF(OR(D132="",L132=""),"",IF(M132="Done",2,IF(AsOf&gt;L132,3,1)))</f>
        <v/>
      </c>
      <c r="R132" s="79">
        <f>IF(OR(E132="",F132=""),0,IF(COUNTIFS($E$7:E132,E132,$F$7:F132,F132)=1,1,0))</f>
        <v/>
      </c>
      <c r="S132" s="79">
        <f>IF(R132=1,E132&amp;"|"&amp;SUMIFS($R$7:R132,$E$7:E132,E132),"")</f>
        <v/>
      </c>
      <c r="T132" s="112">
        <f>IF(Q132="","",IF(Q132=3,L132,IF(OR(M132="Not started",M132=""),J132,"")))</f>
        <v/>
      </c>
      <c r="U132" s="79">
        <f>IF(T132="","",IF(Q132=3,1,IF(T132="","",IF(T132&lt;AsOf,1,IF(T132&lt;=AsOf+AlertDays,2,IF(T132&lt;=AsOf+2*AlertDays,3,""))))))</f>
        <v/>
      </c>
      <c r="V132" s="79">
        <f>IF(U132="","",IF(Q132=3,"Late task: "&amp;D132,IF(T132&lt;AsOf,"Should have started: ","Starts soon: ")&amp;D132)&amp;IF(F132="",""," — "&amp;F132))</f>
        <v/>
      </c>
    </row>
    <row r="133" ht="20" customHeight="1">
      <c r="B133" s="125" t="n">
        <v>127</v>
      </c>
      <c r="C133" s="72" t="n"/>
      <c r="D133" s="72" t="n"/>
      <c r="E133" s="72" t="n"/>
      <c r="F133" s="72" t="n"/>
      <c r="G133" s="89" t="n"/>
      <c r="H133" s="89" t="n"/>
      <c r="I133" s="109" t="n"/>
      <c r="J133" s="126">
        <f>IF(OR(D133="",ProjStart=""),"",MAX(ProjStart,IF(I133&lt;&gt;"",I133,0),IF(H133="",0,IFERROR(INDEX($L$6:L132,MATCH(H133,$B$6:B132,0))+1,0))))</f>
        <v/>
      </c>
      <c r="K133" s="89" t="n"/>
      <c r="L133" s="126">
        <f>IF(J133="","",J133+MAX(1,G133)+IF(K133="",0,K133)-1)</f>
        <v/>
      </c>
      <c r="M133" s="72" t="n"/>
      <c r="N133" s="109" t="n"/>
      <c r="O133" s="127">
        <f>IF(D133="","",COUNTIF($H$7:$H$1006,B133))</f>
        <v/>
      </c>
      <c r="P133" s="78">
        <f>IF(D133="","",IF(AND(H133&lt;&gt;"",H133&gt;=B133),"⚠️ Predecessor must be above",IF(M133="Done","✓ Done",IF(Q133=3,"🔴 Late",IF(M133="In progress","In progress","")))))</f>
        <v/>
      </c>
      <c r="Q133" s="79">
        <f>IF(OR(D133="",L133=""),"",IF(M133="Done",2,IF(AsOf&gt;L133,3,1)))</f>
        <v/>
      </c>
      <c r="R133" s="79">
        <f>IF(OR(E133="",F133=""),0,IF(COUNTIFS($E$7:E133,E133,$F$7:F133,F133)=1,1,0))</f>
        <v/>
      </c>
      <c r="S133" s="79">
        <f>IF(R133=1,E133&amp;"|"&amp;SUMIFS($R$7:R133,$E$7:E133,E133),"")</f>
        <v/>
      </c>
      <c r="T133" s="112">
        <f>IF(Q133="","",IF(Q133=3,L133,IF(OR(M133="Not started",M133=""),J133,"")))</f>
        <v/>
      </c>
      <c r="U133" s="79">
        <f>IF(T133="","",IF(Q133=3,1,IF(T133="","",IF(T133&lt;AsOf,1,IF(T133&lt;=AsOf+AlertDays,2,IF(T133&lt;=AsOf+2*AlertDays,3,""))))))</f>
        <v/>
      </c>
      <c r="V133" s="79">
        <f>IF(U133="","",IF(Q133=3,"Late task: "&amp;D133,IF(T133&lt;AsOf,"Should have started: ","Starts soon: ")&amp;D133)&amp;IF(F133="",""," — "&amp;F133))</f>
        <v/>
      </c>
    </row>
    <row r="134" ht="20" customHeight="1">
      <c r="B134" s="125" t="n">
        <v>128</v>
      </c>
      <c r="C134" s="72" t="n"/>
      <c r="D134" s="72" t="n"/>
      <c r="E134" s="72" t="n"/>
      <c r="F134" s="72" t="n"/>
      <c r="G134" s="89" t="n"/>
      <c r="H134" s="89" t="n"/>
      <c r="I134" s="109" t="n"/>
      <c r="J134" s="126">
        <f>IF(OR(D134="",ProjStart=""),"",MAX(ProjStart,IF(I134&lt;&gt;"",I134,0),IF(H134="",0,IFERROR(INDEX($L$6:L133,MATCH(H134,$B$6:B133,0))+1,0))))</f>
        <v/>
      </c>
      <c r="K134" s="89" t="n"/>
      <c r="L134" s="126">
        <f>IF(J134="","",J134+MAX(1,G134)+IF(K134="",0,K134)-1)</f>
        <v/>
      </c>
      <c r="M134" s="72" t="n"/>
      <c r="N134" s="109" t="n"/>
      <c r="O134" s="127">
        <f>IF(D134="","",COUNTIF($H$7:$H$1006,B134))</f>
        <v/>
      </c>
      <c r="P134" s="78">
        <f>IF(D134="","",IF(AND(H134&lt;&gt;"",H134&gt;=B134),"⚠️ Predecessor must be above",IF(M134="Done","✓ Done",IF(Q134=3,"🔴 Late",IF(M134="In progress","In progress","")))))</f>
        <v/>
      </c>
      <c r="Q134" s="79">
        <f>IF(OR(D134="",L134=""),"",IF(M134="Done",2,IF(AsOf&gt;L134,3,1)))</f>
        <v/>
      </c>
      <c r="R134" s="79">
        <f>IF(OR(E134="",F134=""),0,IF(COUNTIFS($E$7:E134,E134,$F$7:F134,F134)=1,1,0))</f>
        <v/>
      </c>
      <c r="S134" s="79">
        <f>IF(R134=1,E134&amp;"|"&amp;SUMIFS($R$7:R134,$E$7:E134,E134),"")</f>
        <v/>
      </c>
      <c r="T134" s="112">
        <f>IF(Q134="","",IF(Q134=3,L134,IF(OR(M134="Not started",M134=""),J134,"")))</f>
        <v/>
      </c>
      <c r="U134" s="79">
        <f>IF(T134="","",IF(Q134=3,1,IF(T134="","",IF(T134&lt;AsOf,1,IF(T134&lt;=AsOf+AlertDays,2,IF(T134&lt;=AsOf+2*AlertDays,3,""))))))</f>
        <v/>
      </c>
      <c r="V134" s="79">
        <f>IF(U134="","",IF(Q134=3,"Late task: "&amp;D134,IF(T134&lt;AsOf,"Should have started: ","Starts soon: ")&amp;D134)&amp;IF(F134="",""," — "&amp;F134))</f>
        <v/>
      </c>
    </row>
    <row r="135" ht="20" customHeight="1">
      <c r="B135" s="125" t="n">
        <v>129</v>
      </c>
      <c r="C135" s="72" t="n"/>
      <c r="D135" s="72" t="n"/>
      <c r="E135" s="72" t="n"/>
      <c r="F135" s="72" t="n"/>
      <c r="G135" s="89" t="n"/>
      <c r="H135" s="89" t="n"/>
      <c r="I135" s="109" t="n"/>
      <c r="J135" s="126">
        <f>IF(OR(D135="",ProjStart=""),"",MAX(ProjStart,IF(I135&lt;&gt;"",I135,0),IF(H135="",0,IFERROR(INDEX($L$6:L134,MATCH(H135,$B$6:B134,0))+1,0))))</f>
        <v/>
      </c>
      <c r="K135" s="89" t="n"/>
      <c r="L135" s="126">
        <f>IF(J135="","",J135+MAX(1,G135)+IF(K135="",0,K135)-1)</f>
        <v/>
      </c>
      <c r="M135" s="72" t="n"/>
      <c r="N135" s="109" t="n"/>
      <c r="O135" s="127">
        <f>IF(D135="","",COUNTIF($H$7:$H$1006,B135))</f>
        <v/>
      </c>
      <c r="P135" s="78">
        <f>IF(D135="","",IF(AND(H135&lt;&gt;"",H135&gt;=B135),"⚠️ Predecessor must be above",IF(M135="Done","✓ Done",IF(Q135=3,"🔴 Late",IF(M135="In progress","In progress","")))))</f>
        <v/>
      </c>
      <c r="Q135" s="79">
        <f>IF(OR(D135="",L135=""),"",IF(M135="Done",2,IF(AsOf&gt;L135,3,1)))</f>
        <v/>
      </c>
      <c r="R135" s="79">
        <f>IF(OR(E135="",F135=""),0,IF(COUNTIFS($E$7:E135,E135,$F$7:F135,F135)=1,1,0))</f>
        <v/>
      </c>
      <c r="S135" s="79">
        <f>IF(R135=1,E135&amp;"|"&amp;SUMIFS($R$7:R135,$E$7:E135,E135),"")</f>
        <v/>
      </c>
      <c r="T135" s="112">
        <f>IF(Q135="","",IF(Q135=3,L135,IF(OR(M135="Not started",M135=""),J135,"")))</f>
        <v/>
      </c>
      <c r="U135" s="79">
        <f>IF(T135="","",IF(Q135=3,1,IF(T135="","",IF(T135&lt;AsOf,1,IF(T135&lt;=AsOf+AlertDays,2,IF(T135&lt;=AsOf+2*AlertDays,3,""))))))</f>
        <v/>
      </c>
      <c r="V135" s="79">
        <f>IF(U135="","",IF(Q135=3,"Late task: "&amp;D135,IF(T135&lt;AsOf,"Should have started: ","Starts soon: ")&amp;D135)&amp;IF(F135="",""," — "&amp;F135))</f>
        <v/>
      </c>
    </row>
    <row r="136" ht="20" customHeight="1">
      <c r="B136" s="125" t="n">
        <v>130</v>
      </c>
      <c r="C136" s="72" t="n"/>
      <c r="D136" s="72" t="n"/>
      <c r="E136" s="72" t="n"/>
      <c r="F136" s="72" t="n"/>
      <c r="G136" s="89" t="n"/>
      <c r="H136" s="89" t="n"/>
      <c r="I136" s="109" t="n"/>
      <c r="J136" s="126">
        <f>IF(OR(D136="",ProjStart=""),"",MAX(ProjStart,IF(I136&lt;&gt;"",I136,0),IF(H136="",0,IFERROR(INDEX($L$6:L135,MATCH(H136,$B$6:B135,0))+1,0))))</f>
        <v/>
      </c>
      <c r="K136" s="89" t="n"/>
      <c r="L136" s="126">
        <f>IF(J136="","",J136+MAX(1,G136)+IF(K136="",0,K136)-1)</f>
        <v/>
      </c>
      <c r="M136" s="72" t="n"/>
      <c r="N136" s="109" t="n"/>
      <c r="O136" s="127">
        <f>IF(D136="","",COUNTIF($H$7:$H$1006,B136))</f>
        <v/>
      </c>
      <c r="P136" s="78">
        <f>IF(D136="","",IF(AND(H136&lt;&gt;"",H136&gt;=B136),"⚠️ Predecessor must be above",IF(M136="Done","✓ Done",IF(Q136=3,"🔴 Late",IF(M136="In progress","In progress","")))))</f>
        <v/>
      </c>
      <c r="Q136" s="79">
        <f>IF(OR(D136="",L136=""),"",IF(M136="Done",2,IF(AsOf&gt;L136,3,1)))</f>
        <v/>
      </c>
      <c r="R136" s="79">
        <f>IF(OR(E136="",F136=""),0,IF(COUNTIFS($E$7:E136,E136,$F$7:F136,F136)=1,1,0))</f>
        <v/>
      </c>
      <c r="S136" s="79">
        <f>IF(R136=1,E136&amp;"|"&amp;SUMIFS($R$7:R136,$E$7:E136,E136),"")</f>
        <v/>
      </c>
      <c r="T136" s="112">
        <f>IF(Q136="","",IF(Q136=3,L136,IF(OR(M136="Not started",M136=""),J136,"")))</f>
        <v/>
      </c>
      <c r="U136" s="79">
        <f>IF(T136="","",IF(Q136=3,1,IF(T136="","",IF(T136&lt;AsOf,1,IF(T136&lt;=AsOf+AlertDays,2,IF(T136&lt;=AsOf+2*AlertDays,3,""))))))</f>
        <v/>
      </c>
      <c r="V136" s="79">
        <f>IF(U136="","",IF(Q136=3,"Late task: "&amp;D136,IF(T136&lt;AsOf,"Should have started: ","Starts soon: ")&amp;D136)&amp;IF(F136="",""," — "&amp;F136))</f>
        <v/>
      </c>
    </row>
    <row r="137" ht="20" customHeight="1">
      <c r="B137" s="125" t="n">
        <v>131</v>
      </c>
      <c r="C137" s="72" t="n"/>
      <c r="D137" s="72" t="n"/>
      <c r="E137" s="72" t="n"/>
      <c r="F137" s="72" t="n"/>
      <c r="G137" s="89" t="n"/>
      <c r="H137" s="89" t="n"/>
      <c r="I137" s="109" t="n"/>
      <c r="J137" s="126">
        <f>IF(OR(D137="",ProjStart=""),"",MAX(ProjStart,IF(I137&lt;&gt;"",I137,0),IF(H137="",0,IFERROR(INDEX($L$6:L136,MATCH(H137,$B$6:B136,0))+1,0))))</f>
        <v/>
      </c>
      <c r="K137" s="89" t="n"/>
      <c r="L137" s="126">
        <f>IF(J137="","",J137+MAX(1,G137)+IF(K137="",0,K137)-1)</f>
        <v/>
      </c>
      <c r="M137" s="72" t="n"/>
      <c r="N137" s="109" t="n"/>
      <c r="O137" s="127">
        <f>IF(D137="","",COUNTIF($H$7:$H$1006,B137))</f>
        <v/>
      </c>
      <c r="P137" s="78">
        <f>IF(D137="","",IF(AND(H137&lt;&gt;"",H137&gt;=B137),"⚠️ Predecessor must be above",IF(M137="Done","✓ Done",IF(Q137=3,"🔴 Late",IF(M137="In progress","In progress","")))))</f>
        <v/>
      </c>
      <c r="Q137" s="79">
        <f>IF(OR(D137="",L137=""),"",IF(M137="Done",2,IF(AsOf&gt;L137,3,1)))</f>
        <v/>
      </c>
      <c r="R137" s="79">
        <f>IF(OR(E137="",F137=""),0,IF(COUNTIFS($E$7:E137,E137,$F$7:F137,F137)=1,1,0))</f>
        <v/>
      </c>
      <c r="S137" s="79">
        <f>IF(R137=1,E137&amp;"|"&amp;SUMIFS($R$7:R137,$E$7:E137,E137),"")</f>
        <v/>
      </c>
      <c r="T137" s="112">
        <f>IF(Q137="","",IF(Q137=3,L137,IF(OR(M137="Not started",M137=""),J137,"")))</f>
        <v/>
      </c>
      <c r="U137" s="79">
        <f>IF(T137="","",IF(Q137=3,1,IF(T137="","",IF(T137&lt;AsOf,1,IF(T137&lt;=AsOf+AlertDays,2,IF(T137&lt;=AsOf+2*AlertDays,3,""))))))</f>
        <v/>
      </c>
      <c r="V137" s="79">
        <f>IF(U137="","",IF(Q137=3,"Late task: "&amp;D137,IF(T137&lt;AsOf,"Should have started: ","Starts soon: ")&amp;D137)&amp;IF(F137="",""," — "&amp;F137))</f>
        <v/>
      </c>
    </row>
    <row r="138" ht="20" customHeight="1">
      <c r="B138" s="125" t="n">
        <v>132</v>
      </c>
      <c r="C138" s="72" t="n"/>
      <c r="D138" s="72" t="n"/>
      <c r="E138" s="72" t="n"/>
      <c r="F138" s="72" t="n"/>
      <c r="G138" s="89" t="n"/>
      <c r="H138" s="89" t="n"/>
      <c r="I138" s="109" t="n"/>
      <c r="J138" s="126">
        <f>IF(OR(D138="",ProjStart=""),"",MAX(ProjStart,IF(I138&lt;&gt;"",I138,0),IF(H138="",0,IFERROR(INDEX($L$6:L137,MATCH(H138,$B$6:B137,0))+1,0))))</f>
        <v/>
      </c>
      <c r="K138" s="89" t="n"/>
      <c r="L138" s="126">
        <f>IF(J138="","",J138+MAX(1,G138)+IF(K138="",0,K138)-1)</f>
        <v/>
      </c>
      <c r="M138" s="72" t="n"/>
      <c r="N138" s="109" t="n"/>
      <c r="O138" s="127">
        <f>IF(D138="","",COUNTIF($H$7:$H$1006,B138))</f>
        <v/>
      </c>
      <c r="P138" s="78">
        <f>IF(D138="","",IF(AND(H138&lt;&gt;"",H138&gt;=B138),"⚠️ Predecessor must be above",IF(M138="Done","✓ Done",IF(Q138=3,"🔴 Late",IF(M138="In progress","In progress","")))))</f>
        <v/>
      </c>
      <c r="Q138" s="79">
        <f>IF(OR(D138="",L138=""),"",IF(M138="Done",2,IF(AsOf&gt;L138,3,1)))</f>
        <v/>
      </c>
      <c r="R138" s="79">
        <f>IF(OR(E138="",F138=""),0,IF(COUNTIFS($E$7:E138,E138,$F$7:F138,F138)=1,1,0))</f>
        <v/>
      </c>
      <c r="S138" s="79">
        <f>IF(R138=1,E138&amp;"|"&amp;SUMIFS($R$7:R138,$E$7:E138,E138),"")</f>
        <v/>
      </c>
      <c r="T138" s="112">
        <f>IF(Q138="","",IF(Q138=3,L138,IF(OR(M138="Not started",M138=""),J138,"")))</f>
        <v/>
      </c>
      <c r="U138" s="79">
        <f>IF(T138="","",IF(Q138=3,1,IF(T138="","",IF(T138&lt;AsOf,1,IF(T138&lt;=AsOf+AlertDays,2,IF(T138&lt;=AsOf+2*AlertDays,3,""))))))</f>
        <v/>
      </c>
      <c r="V138" s="79">
        <f>IF(U138="","",IF(Q138=3,"Late task: "&amp;D138,IF(T138&lt;AsOf,"Should have started: ","Starts soon: ")&amp;D138)&amp;IF(F138="",""," — "&amp;F138))</f>
        <v/>
      </c>
    </row>
    <row r="139" ht="20" customHeight="1">
      <c r="B139" s="125" t="n">
        <v>133</v>
      </c>
      <c r="C139" s="72" t="n"/>
      <c r="D139" s="72" t="n"/>
      <c r="E139" s="72" t="n"/>
      <c r="F139" s="72" t="n"/>
      <c r="G139" s="89" t="n"/>
      <c r="H139" s="89" t="n"/>
      <c r="I139" s="109" t="n"/>
      <c r="J139" s="126">
        <f>IF(OR(D139="",ProjStart=""),"",MAX(ProjStart,IF(I139&lt;&gt;"",I139,0),IF(H139="",0,IFERROR(INDEX($L$6:L138,MATCH(H139,$B$6:B138,0))+1,0))))</f>
        <v/>
      </c>
      <c r="K139" s="89" t="n"/>
      <c r="L139" s="126">
        <f>IF(J139="","",J139+MAX(1,G139)+IF(K139="",0,K139)-1)</f>
        <v/>
      </c>
      <c r="M139" s="72" t="n"/>
      <c r="N139" s="109" t="n"/>
      <c r="O139" s="127">
        <f>IF(D139="","",COUNTIF($H$7:$H$1006,B139))</f>
        <v/>
      </c>
      <c r="P139" s="78">
        <f>IF(D139="","",IF(AND(H139&lt;&gt;"",H139&gt;=B139),"⚠️ Predecessor must be above",IF(M139="Done","✓ Done",IF(Q139=3,"🔴 Late",IF(M139="In progress","In progress","")))))</f>
        <v/>
      </c>
      <c r="Q139" s="79">
        <f>IF(OR(D139="",L139=""),"",IF(M139="Done",2,IF(AsOf&gt;L139,3,1)))</f>
        <v/>
      </c>
      <c r="R139" s="79">
        <f>IF(OR(E139="",F139=""),0,IF(COUNTIFS($E$7:E139,E139,$F$7:F139,F139)=1,1,0))</f>
        <v/>
      </c>
      <c r="S139" s="79">
        <f>IF(R139=1,E139&amp;"|"&amp;SUMIFS($R$7:R139,$E$7:E139,E139),"")</f>
        <v/>
      </c>
      <c r="T139" s="112">
        <f>IF(Q139="","",IF(Q139=3,L139,IF(OR(M139="Not started",M139=""),J139,"")))</f>
        <v/>
      </c>
      <c r="U139" s="79">
        <f>IF(T139="","",IF(Q139=3,1,IF(T139="","",IF(T139&lt;AsOf,1,IF(T139&lt;=AsOf+AlertDays,2,IF(T139&lt;=AsOf+2*AlertDays,3,""))))))</f>
        <v/>
      </c>
      <c r="V139" s="79">
        <f>IF(U139="","",IF(Q139=3,"Late task: "&amp;D139,IF(T139&lt;AsOf,"Should have started: ","Starts soon: ")&amp;D139)&amp;IF(F139="",""," — "&amp;F139))</f>
        <v/>
      </c>
    </row>
    <row r="140" ht="20" customHeight="1">
      <c r="B140" s="125" t="n">
        <v>134</v>
      </c>
      <c r="C140" s="72" t="n"/>
      <c r="D140" s="72" t="n"/>
      <c r="E140" s="72" t="n"/>
      <c r="F140" s="72" t="n"/>
      <c r="G140" s="89" t="n"/>
      <c r="H140" s="89" t="n"/>
      <c r="I140" s="109" t="n"/>
      <c r="J140" s="126">
        <f>IF(OR(D140="",ProjStart=""),"",MAX(ProjStart,IF(I140&lt;&gt;"",I140,0),IF(H140="",0,IFERROR(INDEX($L$6:L139,MATCH(H140,$B$6:B139,0))+1,0))))</f>
        <v/>
      </c>
      <c r="K140" s="89" t="n"/>
      <c r="L140" s="126">
        <f>IF(J140="","",J140+MAX(1,G140)+IF(K140="",0,K140)-1)</f>
        <v/>
      </c>
      <c r="M140" s="72" t="n"/>
      <c r="N140" s="109" t="n"/>
      <c r="O140" s="127">
        <f>IF(D140="","",COUNTIF($H$7:$H$1006,B140))</f>
        <v/>
      </c>
      <c r="P140" s="78">
        <f>IF(D140="","",IF(AND(H140&lt;&gt;"",H140&gt;=B140),"⚠️ Predecessor must be above",IF(M140="Done","✓ Done",IF(Q140=3,"🔴 Late",IF(M140="In progress","In progress","")))))</f>
        <v/>
      </c>
      <c r="Q140" s="79">
        <f>IF(OR(D140="",L140=""),"",IF(M140="Done",2,IF(AsOf&gt;L140,3,1)))</f>
        <v/>
      </c>
      <c r="R140" s="79">
        <f>IF(OR(E140="",F140=""),0,IF(COUNTIFS($E$7:E140,E140,$F$7:F140,F140)=1,1,0))</f>
        <v/>
      </c>
      <c r="S140" s="79">
        <f>IF(R140=1,E140&amp;"|"&amp;SUMIFS($R$7:R140,$E$7:E140,E140),"")</f>
        <v/>
      </c>
      <c r="T140" s="112">
        <f>IF(Q140="","",IF(Q140=3,L140,IF(OR(M140="Not started",M140=""),J140,"")))</f>
        <v/>
      </c>
      <c r="U140" s="79">
        <f>IF(T140="","",IF(Q140=3,1,IF(T140="","",IF(T140&lt;AsOf,1,IF(T140&lt;=AsOf+AlertDays,2,IF(T140&lt;=AsOf+2*AlertDays,3,""))))))</f>
        <v/>
      </c>
      <c r="V140" s="79">
        <f>IF(U140="","",IF(Q140=3,"Late task: "&amp;D140,IF(T140&lt;AsOf,"Should have started: ","Starts soon: ")&amp;D140)&amp;IF(F140="",""," — "&amp;F140))</f>
        <v/>
      </c>
    </row>
    <row r="141" ht="20" customHeight="1">
      <c r="B141" s="125" t="n">
        <v>135</v>
      </c>
      <c r="C141" s="72" t="n"/>
      <c r="D141" s="72" t="n"/>
      <c r="E141" s="72" t="n"/>
      <c r="F141" s="72" t="n"/>
      <c r="G141" s="89" t="n"/>
      <c r="H141" s="89" t="n"/>
      <c r="I141" s="109" t="n"/>
      <c r="J141" s="126">
        <f>IF(OR(D141="",ProjStart=""),"",MAX(ProjStart,IF(I141&lt;&gt;"",I141,0),IF(H141="",0,IFERROR(INDEX($L$6:L140,MATCH(H141,$B$6:B140,0))+1,0))))</f>
        <v/>
      </c>
      <c r="K141" s="89" t="n"/>
      <c r="L141" s="126">
        <f>IF(J141="","",J141+MAX(1,G141)+IF(K141="",0,K141)-1)</f>
        <v/>
      </c>
      <c r="M141" s="72" t="n"/>
      <c r="N141" s="109" t="n"/>
      <c r="O141" s="127">
        <f>IF(D141="","",COUNTIF($H$7:$H$1006,B141))</f>
        <v/>
      </c>
      <c r="P141" s="78">
        <f>IF(D141="","",IF(AND(H141&lt;&gt;"",H141&gt;=B141),"⚠️ Predecessor must be above",IF(M141="Done","✓ Done",IF(Q141=3,"🔴 Late",IF(M141="In progress","In progress","")))))</f>
        <v/>
      </c>
      <c r="Q141" s="79">
        <f>IF(OR(D141="",L141=""),"",IF(M141="Done",2,IF(AsOf&gt;L141,3,1)))</f>
        <v/>
      </c>
      <c r="R141" s="79">
        <f>IF(OR(E141="",F141=""),0,IF(COUNTIFS($E$7:E141,E141,$F$7:F141,F141)=1,1,0))</f>
        <v/>
      </c>
      <c r="S141" s="79">
        <f>IF(R141=1,E141&amp;"|"&amp;SUMIFS($R$7:R141,$E$7:E141,E141),"")</f>
        <v/>
      </c>
      <c r="T141" s="112">
        <f>IF(Q141="","",IF(Q141=3,L141,IF(OR(M141="Not started",M141=""),J141,"")))</f>
        <v/>
      </c>
      <c r="U141" s="79">
        <f>IF(T141="","",IF(Q141=3,1,IF(T141="","",IF(T141&lt;AsOf,1,IF(T141&lt;=AsOf+AlertDays,2,IF(T141&lt;=AsOf+2*AlertDays,3,""))))))</f>
        <v/>
      </c>
      <c r="V141" s="79">
        <f>IF(U141="","",IF(Q141=3,"Late task: "&amp;D141,IF(T141&lt;AsOf,"Should have started: ","Starts soon: ")&amp;D141)&amp;IF(F141="",""," — "&amp;F141))</f>
        <v/>
      </c>
    </row>
    <row r="142" ht="20" customHeight="1">
      <c r="B142" s="125" t="n">
        <v>136</v>
      </c>
      <c r="C142" s="72" t="n"/>
      <c r="D142" s="72" t="n"/>
      <c r="E142" s="72" t="n"/>
      <c r="F142" s="72" t="n"/>
      <c r="G142" s="89" t="n"/>
      <c r="H142" s="89" t="n"/>
      <c r="I142" s="109" t="n"/>
      <c r="J142" s="126">
        <f>IF(OR(D142="",ProjStart=""),"",MAX(ProjStart,IF(I142&lt;&gt;"",I142,0),IF(H142="",0,IFERROR(INDEX($L$6:L141,MATCH(H142,$B$6:B141,0))+1,0))))</f>
        <v/>
      </c>
      <c r="K142" s="89" t="n"/>
      <c r="L142" s="126">
        <f>IF(J142="","",J142+MAX(1,G142)+IF(K142="",0,K142)-1)</f>
        <v/>
      </c>
      <c r="M142" s="72" t="n"/>
      <c r="N142" s="109" t="n"/>
      <c r="O142" s="127">
        <f>IF(D142="","",COUNTIF($H$7:$H$1006,B142))</f>
        <v/>
      </c>
      <c r="P142" s="78">
        <f>IF(D142="","",IF(AND(H142&lt;&gt;"",H142&gt;=B142),"⚠️ Predecessor must be above",IF(M142="Done","✓ Done",IF(Q142=3,"🔴 Late",IF(M142="In progress","In progress","")))))</f>
        <v/>
      </c>
      <c r="Q142" s="79">
        <f>IF(OR(D142="",L142=""),"",IF(M142="Done",2,IF(AsOf&gt;L142,3,1)))</f>
        <v/>
      </c>
      <c r="R142" s="79">
        <f>IF(OR(E142="",F142=""),0,IF(COUNTIFS($E$7:E142,E142,$F$7:F142,F142)=1,1,0))</f>
        <v/>
      </c>
      <c r="S142" s="79">
        <f>IF(R142=1,E142&amp;"|"&amp;SUMIFS($R$7:R142,$E$7:E142,E142),"")</f>
        <v/>
      </c>
      <c r="T142" s="112">
        <f>IF(Q142="","",IF(Q142=3,L142,IF(OR(M142="Not started",M142=""),J142,"")))</f>
        <v/>
      </c>
      <c r="U142" s="79">
        <f>IF(T142="","",IF(Q142=3,1,IF(T142="","",IF(T142&lt;AsOf,1,IF(T142&lt;=AsOf+AlertDays,2,IF(T142&lt;=AsOf+2*AlertDays,3,""))))))</f>
        <v/>
      </c>
      <c r="V142" s="79">
        <f>IF(U142="","",IF(Q142=3,"Late task: "&amp;D142,IF(T142&lt;AsOf,"Should have started: ","Starts soon: ")&amp;D142)&amp;IF(F142="",""," — "&amp;F142))</f>
        <v/>
      </c>
    </row>
    <row r="143" ht="20" customHeight="1">
      <c r="B143" s="125" t="n">
        <v>137</v>
      </c>
      <c r="C143" s="72" t="n"/>
      <c r="D143" s="72" t="n"/>
      <c r="E143" s="72" t="n"/>
      <c r="F143" s="72" t="n"/>
      <c r="G143" s="89" t="n"/>
      <c r="H143" s="89" t="n"/>
      <c r="I143" s="109" t="n"/>
      <c r="J143" s="126">
        <f>IF(OR(D143="",ProjStart=""),"",MAX(ProjStart,IF(I143&lt;&gt;"",I143,0),IF(H143="",0,IFERROR(INDEX($L$6:L142,MATCH(H143,$B$6:B142,0))+1,0))))</f>
        <v/>
      </c>
      <c r="K143" s="89" t="n"/>
      <c r="L143" s="126">
        <f>IF(J143="","",J143+MAX(1,G143)+IF(K143="",0,K143)-1)</f>
        <v/>
      </c>
      <c r="M143" s="72" t="n"/>
      <c r="N143" s="109" t="n"/>
      <c r="O143" s="127">
        <f>IF(D143="","",COUNTIF($H$7:$H$1006,B143))</f>
        <v/>
      </c>
      <c r="P143" s="78">
        <f>IF(D143="","",IF(AND(H143&lt;&gt;"",H143&gt;=B143),"⚠️ Predecessor must be above",IF(M143="Done","✓ Done",IF(Q143=3,"🔴 Late",IF(M143="In progress","In progress","")))))</f>
        <v/>
      </c>
      <c r="Q143" s="79">
        <f>IF(OR(D143="",L143=""),"",IF(M143="Done",2,IF(AsOf&gt;L143,3,1)))</f>
        <v/>
      </c>
      <c r="R143" s="79">
        <f>IF(OR(E143="",F143=""),0,IF(COUNTIFS($E$7:E143,E143,$F$7:F143,F143)=1,1,0))</f>
        <v/>
      </c>
      <c r="S143" s="79">
        <f>IF(R143=1,E143&amp;"|"&amp;SUMIFS($R$7:R143,$E$7:E143,E143),"")</f>
        <v/>
      </c>
      <c r="T143" s="112">
        <f>IF(Q143="","",IF(Q143=3,L143,IF(OR(M143="Not started",M143=""),J143,"")))</f>
        <v/>
      </c>
      <c r="U143" s="79">
        <f>IF(T143="","",IF(Q143=3,1,IF(T143="","",IF(T143&lt;AsOf,1,IF(T143&lt;=AsOf+AlertDays,2,IF(T143&lt;=AsOf+2*AlertDays,3,""))))))</f>
        <v/>
      </c>
      <c r="V143" s="79">
        <f>IF(U143="","",IF(Q143=3,"Late task: "&amp;D143,IF(T143&lt;AsOf,"Should have started: ","Starts soon: ")&amp;D143)&amp;IF(F143="",""," — "&amp;F143))</f>
        <v/>
      </c>
    </row>
    <row r="144" ht="20" customHeight="1">
      <c r="B144" s="125" t="n">
        <v>138</v>
      </c>
      <c r="C144" s="72" t="n"/>
      <c r="D144" s="72" t="n"/>
      <c r="E144" s="72" t="n"/>
      <c r="F144" s="72" t="n"/>
      <c r="G144" s="89" t="n"/>
      <c r="H144" s="89" t="n"/>
      <c r="I144" s="109" t="n"/>
      <c r="J144" s="126">
        <f>IF(OR(D144="",ProjStart=""),"",MAX(ProjStart,IF(I144&lt;&gt;"",I144,0),IF(H144="",0,IFERROR(INDEX($L$6:L143,MATCH(H144,$B$6:B143,0))+1,0))))</f>
        <v/>
      </c>
      <c r="K144" s="89" t="n"/>
      <c r="L144" s="126">
        <f>IF(J144="","",J144+MAX(1,G144)+IF(K144="",0,K144)-1)</f>
        <v/>
      </c>
      <c r="M144" s="72" t="n"/>
      <c r="N144" s="109" t="n"/>
      <c r="O144" s="127">
        <f>IF(D144="","",COUNTIF($H$7:$H$1006,B144))</f>
        <v/>
      </c>
      <c r="P144" s="78">
        <f>IF(D144="","",IF(AND(H144&lt;&gt;"",H144&gt;=B144),"⚠️ Predecessor must be above",IF(M144="Done","✓ Done",IF(Q144=3,"🔴 Late",IF(M144="In progress","In progress","")))))</f>
        <v/>
      </c>
      <c r="Q144" s="79">
        <f>IF(OR(D144="",L144=""),"",IF(M144="Done",2,IF(AsOf&gt;L144,3,1)))</f>
        <v/>
      </c>
      <c r="R144" s="79">
        <f>IF(OR(E144="",F144=""),0,IF(COUNTIFS($E$7:E144,E144,$F$7:F144,F144)=1,1,0))</f>
        <v/>
      </c>
      <c r="S144" s="79">
        <f>IF(R144=1,E144&amp;"|"&amp;SUMIFS($R$7:R144,$E$7:E144,E144),"")</f>
        <v/>
      </c>
      <c r="T144" s="112">
        <f>IF(Q144="","",IF(Q144=3,L144,IF(OR(M144="Not started",M144=""),J144,"")))</f>
        <v/>
      </c>
      <c r="U144" s="79">
        <f>IF(T144="","",IF(Q144=3,1,IF(T144="","",IF(T144&lt;AsOf,1,IF(T144&lt;=AsOf+AlertDays,2,IF(T144&lt;=AsOf+2*AlertDays,3,""))))))</f>
        <v/>
      </c>
      <c r="V144" s="79">
        <f>IF(U144="","",IF(Q144=3,"Late task: "&amp;D144,IF(T144&lt;AsOf,"Should have started: ","Starts soon: ")&amp;D144)&amp;IF(F144="",""," — "&amp;F144))</f>
        <v/>
      </c>
    </row>
    <row r="145" ht="20" customHeight="1">
      <c r="B145" s="125" t="n">
        <v>139</v>
      </c>
      <c r="C145" s="72" t="n"/>
      <c r="D145" s="72" t="n"/>
      <c r="E145" s="72" t="n"/>
      <c r="F145" s="72" t="n"/>
      <c r="G145" s="89" t="n"/>
      <c r="H145" s="89" t="n"/>
      <c r="I145" s="109" t="n"/>
      <c r="J145" s="126">
        <f>IF(OR(D145="",ProjStart=""),"",MAX(ProjStart,IF(I145&lt;&gt;"",I145,0),IF(H145="",0,IFERROR(INDEX($L$6:L144,MATCH(H145,$B$6:B144,0))+1,0))))</f>
        <v/>
      </c>
      <c r="K145" s="89" t="n"/>
      <c r="L145" s="126">
        <f>IF(J145="","",J145+MAX(1,G145)+IF(K145="",0,K145)-1)</f>
        <v/>
      </c>
      <c r="M145" s="72" t="n"/>
      <c r="N145" s="109" t="n"/>
      <c r="O145" s="127">
        <f>IF(D145="","",COUNTIF($H$7:$H$1006,B145))</f>
        <v/>
      </c>
      <c r="P145" s="78">
        <f>IF(D145="","",IF(AND(H145&lt;&gt;"",H145&gt;=B145),"⚠️ Predecessor must be above",IF(M145="Done","✓ Done",IF(Q145=3,"🔴 Late",IF(M145="In progress","In progress","")))))</f>
        <v/>
      </c>
      <c r="Q145" s="79">
        <f>IF(OR(D145="",L145=""),"",IF(M145="Done",2,IF(AsOf&gt;L145,3,1)))</f>
        <v/>
      </c>
      <c r="R145" s="79">
        <f>IF(OR(E145="",F145=""),0,IF(COUNTIFS($E$7:E145,E145,$F$7:F145,F145)=1,1,0))</f>
        <v/>
      </c>
      <c r="S145" s="79">
        <f>IF(R145=1,E145&amp;"|"&amp;SUMIFS($R$7:R145,$E$7:E145,E145),"")</f>
        <v/>
      </c>
      <c r="T145" s="112">
        <f>IF(Q145="","",IF(Q145=3,L145,IF(OR(M145="Not started",M145=""),J145,"")))</f>
        <v/>
      </c>
      <c r="U145" s="79">
        <f>IF(T145="","",IF(Q145=3,1,IF(T145="","",IF(T145&lt;AsOf,1,IF(T145&lt;=AsOf+AlertDays,2,IF(T145&lt;=AsOf+2*AlertDays,3,""))))))</f>
        <v/>
      </c>
      <c r="V145" s="79">
        <f>IF(U145="","",IF(Q145=3,"Late task: "&amp;D145,IF(T145&lt;AsOf,"Should have started: ","Starts soon: ")&amp;D145)&amp;IF(F145="",""," — "&amp;F145))</f>
        <v/>
      </c>
    </row>
    <row r="146" ht="20" customHeight="1">
      <c r="B146" s="125" t="n">
        <v>140</v>
      </c>
      <c r="C146" s="72" t="n"/>
      <c r="D146" s="72" t="n"/>
      <c r="E146" s="72" t="n"/>
      <c r="F146" s="72" t="n"/>
      <c r="G146" s="89" t="n"/>
      <c r="H146" s="89" t="n"/>
      <c r="I146" s="109" t="n"/>
      <c r="J146" s="126">
        <f>IF(OR(D146="",ProjStart=""),"",MAX(ProjStart,IF(I146&lt;&gt;"",I146,0),IF(H146="",0,IFERROR(INDEX($L$6:L145,MATCH(H146,$B$6:B145,0))+1,0))))</f>
        <v/>
      </c>
      <c r="K146" s="89" t="n"/>
      <c r="L146" s="126">
        <f>IF(J146="","",J146+MAX(1,G146)+IF(K146="",0,K146)-1)</f>
        <v/>
      </c>
      <c r="M146" s="72" t="n"/>
      <c r="N146" s="109" t="n"/>
      <c r="O146" s="127">
        <f>IF(D146="","",COUNTIF($H$7:$H$1006,B146))</f>
        <v/>
      </c>
      <c r="P146" s="78">
        <f>IF(D146="","",IF(AND(H146&lt;&gt;"",H146&gt;=B146),"⚠️ Predecessor must be above",IF(M146="Done","✓ Done",IF(Q146=3,"🔴 Late",IF(M146="In progress","In progress","")))))</f>
        <v/>
      </c>
      <c r="Q146" s="79">
        <f>IF(OR(D146="",L146=""),"",IF(M146="Done",2,IF(AsOf&gt;L146,3,1)))</f>
        <v/>
      </c>
      <c r="R146" s="79">
        <f>IF(OR(E146="",F146=""),0,IF(COUNTIFS($E$7:E146,E146,$F$7:F146,F146)=1,1,0))</f>
        <v/>
      </c>
      <c r="S146" s="79">
        <f>IF(R146=1,E146&amp;"|"&amp;SUMIFS($R$7:R146,$E$7:E146,E146),"")</f>
        <v/>
      </c>
      <c r="T146" s="112">
        <f>IF(Q146="","",IF(Q146=3,L146,IF(OR(M146="Not started",M146=""),J146,"")))</f>
        <v/>
      </c>
      <c r="U146" s="79">
        <f>IF(T146="","",IF(Q146=3,1,IF(T146="","",IF(T146&lt;AsOf,1,IF(T146&lt;=AsOf+AlertDays,2,IF(T146&lt;=AsOf+2*AlertDays,3,""))))))</f>
        <v/>
      </c>
      <c r="V146" s="79">
        <f>IF(U146="","",IF(Q146=3,"Late task: "&amp;D146,IF(T146&lt;AsOf,"Should have started: ","Starts soon: ")&amp;D146)&amp;IF(F146="",""," — "&amp;F146))</f>
        <v/>
      </c>
    </row>
    <row r="147" ht="20" customHeight="1">
      <c r="B147" s="125" t="n">
        <v>141</v>
      </c>
      <c r="C147" s="72" t="n"/>
      <c r="D147" s="72" t="n"/>
      <c r="E147" s="72" t="n"/>
      <c r="F147" s="72" t="n"/>
      <c r="G147" s="89" t="n"/>
      <c r="H147" s="89" t="n"/>
      <c r="I147" s="109" t="n"/>
      <c r="J147" s="126">
        <f>IF(OR(D147="",ProjStart=""),"",MAX(ProjStart,IF(I147&lt;&gt;"",I147,0),IF(H147="",0,IFERROR(INDEX($L$6:L146,MATCH(H147,$B$6:B146,0))+1,0))))</f>
        <v/>
      </c>
      <c r="K147" s="89" t="n"/>
      <c r="L147" s="126">
        <f>IF(J147="","",J147+MAX(1,G147)+IF(K147="",0,K147)-1)</f>
        <v/>
      </c>
      <c r="M147" s="72" t="n"/>
      <c r="N147" s="109" t="n"/>
      <c r="O147" s="127">
        <f>IF(D147="","",COUNTIF($H$7:$H$1006,B147))</f>
        <v/>
      </c>
      <c r="P147" s="78">
        <f>IF(D147="","",IF(AND(H147&lt;&gt;"",H147&gt;=B147),"⚠️ Predecessor must be above",IF(M147="Done","✓ Done",IF(Q147=3,"🔴 Late",IF(M147="In progress","In progress","")))))</f>
        <v/>
      </c>
      <c r="Q147" s="79">
        <f>IF(OR(D147="",L147=""),"",IF(M147="Done",2,IF(AsOf&gt;L147,3,1)))</f>
        <v/>
      </c>
      <c r="R147" s="79">
        <f>IF(OR(E147="",F147=""),0,IF(COUNTIFS($E$7:E147,E147,$F$7:F147,F147)=1,1,0))</f>
        <v/>
      </c>
      <c r="S147" s="79">
        <f>IF(R147=1,E147&amp;"|"&amp;SUMIFS($R$7:R147,$E$7:E147,E147),"")</f>
        <v/>
      </c>
      <c r="T147" s="112">
        <f>IF(Q147="","",IF(Q147=3,L147,IF(OR(M147="Not started",M147=""),J147,"")))</f>
        <v/>
      </c>
      <c r="U147" s="79">
        <f>IF(T147="","",IF(Q147=3,1,IF(T147="","",IF(T147&lt;AsOf,1,IF(T147&lt;=AsOf+AlertDays,2,IF(T147&lt;=AsOf+2*AlertDays,3,""))))))</f>
        <v/>
      </c>
      <c r="V147" s="79">
        <f>IF(U147="","",IF(Q147=3,"Late task: "&amp;D147,IF(T147&lt;AsOf,"Should have started: ","Starts soon: ")&amp;D147)&amp;IF(F147="",""," — "&amp;F147))</f>
        <v/>
      </c>
    </row>
    <row r="148" ht="20" customHeight="1">
      <c r="B148" s="125" t="n">
        <v>142</v>
      </c>
      <c r="C148" s="72" t="n"/>
      <c r="D148" s="72" t="n"/>
      <c r="E148" s="72" t="n"/>
      <c r="F148" s="72" t="n"/>
      <c r="G148" s="89" t="n"/>
      <c r="H148" s="89" t="n"/>
      <c r="I148" s="109" t="n"/>
      <c r="J148" s="126">
        <f>IF(OR(D148="",ProjStart=""),"",MAX(ProjStart,IF(I148&lt;&gt;"",I148,0),IF(H148="",0,IFERROR(INDEX($L$6:L147,MATCH(H148,$B$6:B147,0))+1,0))))</f>
        <v/>
      </c>
      <c r="K148" s="89" t="n"/>
      <c r="L148" s="126">
        <f>IF(J148="","",J148+MAX(1,G148)+IF(K148="",0,K148)-1)</f>
        <v/>
      </c>
      <c r="M148" s="72" t="n"/>
      <c r="N148" s="109" t="n"/>
      <c r="O148" s="127">
        <f>IF(D148="","",COUNTIF($H$7:$H$1006,B148))</f>
        <v/>
      </c>
      <c r="P148" s="78">
        <f>IF(D148="","",IF(AND(H148&lt;&gt;"",H148&gt;=B148),"⚠️ Predecessor must be above",IF(M148="Done","✓ Done",IF(Q148=3,"🔴 Late",IF(M148="In progress","In progress","")))))</f>
        <v/>
      </c>
      <c r="Q148" s="79">
        <f>IF(OR(D148="",L148=""),"",IF(M148="Done",2,IF(AsOf&gt;L148,3,1)))</f>
        <v/>
      </c>
      <c r="R148" s="79">
        <f>IF(OR(E148="",F148=""),0,IF(COUNTIFS($E$7:E148,E148,$F$7:F148,F148)=1,1,0))</f>
        <v/>
      </c>
      <c r="S148" s="79">
        <f>IF(R148=1,E148&amp;"|"&amp;SUMIFS($R$7:R148,$E$7:E148,E148),"")</f>
        <v/>
      </c>
      <c r="T148" s="112">
        <f>IF(Q148="","",IF(Q148=3,L148,IF(OR(M148="Not started",M148=""),J148,"")))</f>
        <v/>
      </c>
      <c r="U148" s="79">
        <f>IF(T148="","",IF(Q148=3,1,IF(T148="","",IF(T148&lt;AsOf,1,IF(T148&lt;=AsOf+AlertDays,2,IF(T148&lt;=AsOf+2*AlertDays,3,""))))))</f>
        <v/>
      </c>
      <c r="V148" s="79">
        <f>IF(U148="","",IF(Q148=3,"Late task: "&amp;D148,IF(T148&lt;AsOf,"Should have started: ","Starts soon: ")&amp;D148)&amp;IF(F148="",""," — "&amp;F148))</f>
        <v/>
      </c>
    </row>
    <row r="149" ht="20" customHeight="1">
      <c r="B149" s="125" t="n">
        <v>143</v>
      </c>
      <c r="C149" s="72" t="n"/>
      <c r="D149" s="72" t="n"/>
      <c r="E149" s="72" t="n"/>
      <c r="F149" s="72" t="n"/>
      <c r="G149" s="89" t="n"/>
      <c r="H149" s="89" t="n"/>
      <c r="I149" s="109" t="n"/>
      <c r="J149" s="126">
        <f>IF(OR(D149="",ProjStart=""),"",MAX(ProjStart,IF(I149&lt;&gt;"",I149,0),IF(H149="",0,IFERROR(INDEX($L$6:L148,MATCH(H149,$B$6:B148,0))+1,0))))</f>
        <v/>
      </c>
      <c r="K149" s="89" t="n"/>
      <c r="L149" s="126">
        <f>IF(J149="","",J149+MAX(1,G149)+IF(K149="",0,K149)-1)</f>
        <v/>
      </c>
      <c r="M149" s="72" t="n"/>
      <c r="N149" s="109" t="n"/>
      <c r="O149" s="127">
        <f>IF(D149="","",COUNTIF($H$7:$H$1006,B149))</f>
        <v/>
      </c>
      <c r="P149" s="78">
        <f>IF(D149="","",IF(AND(H149&lt;&gt;"",H149&gt;=B149),"⚠️ Predecessor must be above",IF(M149="Done","✓ Done",IF(Q149=3,"🔴 Late",IF(M149="In progress","In progress","")))))</f>
        <v/>
      </c>
      <c r="Q149" s="79">
        <f>IF(OR(D149="",L149=""),"",IF(M149="Done",2,IF(AsOf&gt;L149,3,1)))</f>
        <v/>
      </c>
      <c r="R149" s="79">
        <f>IF(OR(E149="",F149=""),0,IF(COUNTIFS($E$7:E149,E149,$F$7:F149,F149)=1,1,0))</f>
        <v/>
      </c>
      <c r="S149" s="79">
        <f>IF(R149=1,E149&amp;"|"&amp;SUMIFS($R$7:R149,$E$7:E149,E149),"")</f>
        <v/>
      </c>
      <c r="T149" s="112">
        <f>IF(Q149="","",IF(Q149=3,L149,IF(OR(M149="Not started",M149=""),J149,"")))</f>
        <v/>
      </c>
      <c r="U149" s="79">
        <f>IF(T149="","",IF(Q149=3,1,IF(T149="","",IF(T149&lt;AsOf,1,IF(T149&lt;=AsOf+AlertDays,2,IF(T149&lt;=AsOf+2*AlertDays,3,""))))))</f>
        <v/>
      </c>
      <c r="V149" s="79">
        <f>IF(U149="","",IF(Q149=3,"Late task: "&amp;D149,IF(T149&lt;AsOf,"Should have started: ","Starts soon: ")&amp;D149)&amp;IF(F149="",""," — "&amp;F149))</f>
        <v/>
      </c>
    </row>
    <row r="150" ht="20" customHeight="1">
      <c r="B150" s="125" t="n">
        <v>144</v>
      </c>
      <c r="C150" s="72" t="n"/>
      <c r="D150" s="72" t="n"/>
      <c r="E150" s="72" t="n"/>
      <c r="F150" s="72" t="n"/>
      <c r="G150" s="89" t="n"/>
      <c r="H150" s="89" t="n"/>
      <c r="I150" s="109" t="n"/>
      <c r="J150" s="126">
        <f>IF(OR(D150="",ProjStart=""),"",MAX(ProjStart,IF(I150&lt;&gt;"",I150,0),IF(H150="",0,IFERROR(INDEX($L$6:L149,MATCH(H150,$B$6:B149,0))+1,0))))</f>
        <v/>
      </c>
      <c r="K150" s="89" t="n"/>
      <c r="L150" s="126">
        <f>IF(J150="","",J150+MAX(1,G150)+IF(K150="",0,K150)-1)</f>
        <v/>
      </c>
      <c r="M150" s="72" t="n"/>
      <c r="N150" s="109" t="n"/>
      <c r="O150" s="127">
        <f>IF(D150="","",COUNTIF($H$7:$H$1006,B150))</f>
        <v/>
      </c>
      <c r="P150" s="78">
        <f>IF(D150="","",IF(AND(H150&lt;&gt;"",H150&gt;=B150),"⚠️ Predecessor must be above",IF(M150="Done","✓ Done",IF(Q150=3,"🔴 Late",IF(M150="In progress","In progress","")))))</f>
        <v/>
      </c>
      <c r="Q150" s="79">
        <f>IF(OR(D150="",L150=""),"",IF(M150="Done",2,IF(AsOf&gt;L150,3,1)))</f>
        <v/>
      </c>
      <c r="R150" s="79">
        <f>IF(OR(E150="",F150=""),0,IF(COUNTIFS($E$7:E150,E150,$F$7:F150,F150)=1,1,0))</f>
        <v/>
      </c>
      <c r="S150" s="79">
        <f>IF(R150=1,E150&amp;"|"&amp;SUMIFS($R$7:R150,$E$7:E150,E150),"")</f>
        <v/>
      </c>
      <c r="T150" s="112">
        <f>IF(Q150="","",IF(Q150=3,L150,IF(OR(M150="Not started",M150=""),J150,"")))</f>
        <v/>
      </c>
      <c r="U150" s="79">
        <f>IF(T150="","",IF(Q150=3,1,IF(T150="","",IF(T150&lt;AsOf,1,IF(T150&lt;=AsOf+AlertDays,2,IF(T150&lt;=AsOf+2*AlertDays,3,""))))))</f>
        <v/>
      </c>
      <c r="V150" s="79">
        <f>IF(U150="","",IF(Q150=3,"Late task: "&amp;D150,IF(T150&lt;AsOf,"Should have started: ","Starts soon: ")&amp;D150)&amp;IF(F150="",""," — "&amp;F150))</f>
        <v/>
      </c>
    </row>
    <row r="151" ht="20" customHeight="1">
      <c r="B151" s="125" t="n">
        <v>145</v>
      </c>
      <c r="C151" s="72" t="n"/>
      <c r="D151" s="72" t="n"/>
      <c r="E151" s="72" t="n"/>
      <c r="F151" s="72" t="n"/>
      <c r="G151" s="89" t="n"/>
      <c r="H151" s="89" t="n"/>
      <c r="I151" s="109" t="n"/>
      <c r="J151" s="126">
        <f>IF(OR(D151="",ProjStart=""),"",MAX(ProjStart,IF(I151&lt;&gt;"",I151,0),IF(H151="",0,IFERROR(INDEX($L$6:L150,MATCH(H151,$B$6:B150,0))+1,0))))</f>
        <v/>
      </c>
      <c r="K151" s="89" t="n"/>
      <c r="L151" s="126">
        <f>IF(J151="","",J151+MAX(1,G151)+IF(K151="",0,K151)-1)</f>
        <v/>
      </c>
      <c r="M151" s="72" t="n"/>
      <c r="N151" s="109" t="n"/>
      <c r="O151" s="127">
        <f>IF(D151="","",COUNTIF($H$7:$H$1006,B151))</f>
        <v/>
      </c>
      <c r="P151" s="78">
        <f>IF(D151="","",IF(AND(H151&lt;&gt;"",H151&gt;=B151),"⚠️ Predecessor must be above",IF(M151="Done","✓ Done",IF(Q151=3,"🔴 Late",IF(M151="In progress","In progress","")))))</f>
        <v/>
      </c>
      <c r="Q151" s="79">
        <f>IF(OR(D151="",L151=""),"",IF(M151="Done",2,IF(AsOf&gt;L151,3,1)))</f>
        <v/>
      </c>
      <c r="R151" s="79">
        <f>IF(OR(E151="",F151=""),0,IF(COUNTIFS($E$7:E151,E151,$F$7:F151,F151)=1,1,0))</f>
        <v/>
      </c>
      <c r="S151" s="79">
        <f>IF(R151=1,E151&amp;"|"&amp;SUMIFS($R$7:R151,$E$7:E151,E151),"")</f>
        <v/>
      </c>
      <c r="T151" s="112">
        <f>IF(Q151="","",IF(Q151=3,L151,IF(OR(M151="Not started",M151=""),J151,"")))</f>
        <v/>
      </c>
      <c r="U151" s="79">
        <f>IF(T151="","",IF(Q151=3,1,IF(T151="","",IF(T151&lt;AsOf,1,IF(T151&lt;=AsOf+AlertDays,2,IF(T151&lt;=AsOf+2*AlertDays,3,""))))))</f>
        <v/>
      </c>
      <c r="V151" s="79">
        <f>IF(U151="","",IF(Q151=3,"Late task: "&amp;D151,IF(T151&lt;AsOf,"Should have started: ","Starts soon: ")&amp;D151)&amp;IF(F151="",""," — "&amp;F151))</f>
        <v/>
      </c>
    </row>
    <row r="152" ht="20" customHeight="1">
      <c r="B152" s="125" t="n">
        <v>146</v>
      </c>
      <c r="C152" s="72" t="n"/>
      <c r="D152" s="72" t="n"/>
      <c r="E152" s="72" t="n"/>
      <c r="F152" s="72" t="n"/>
      <c r="G152" s="89" t="n"/>
      <c r="H152" s="89" t="n"/>
      <c r="I152" s="109" t="n"/>
      <c r="J152" s="126">
        <f>IF(OR(D152="",ProjStart=""),"",MAX(ProjStart,IF(I152&lt;&gt;"",I152,0),IF(H152="",0,IFERROR(INDEX($L$6:L151,MATCH(H152,$B$6:B151,0))+1,0))))</f>
        <v/>
      </c>
      <c r="K152" s="89" t="n"/>
      <c r="L152" s="126">
        <f>IF(J152="","",J152+MAX(1,G152)+IF(K152="",0,K152)-1)</f>
        <v/>
      </c>
      <c r="M152" s="72" t="n"/>
      <c r="N152" s="109" t="n"/>
      <c r="O152" s="127">
        <f>IF(D152="","",COUNTIF($H$7:$H$1006,B152))</f>
        <v/>
      </c>
      <c r="P152" s="78">
        <f>IF(D152="","",IF(AND(H152&lt;&gt;"",H152&gt;=B152),"⚠️ Predecessor must be above",IF(M152="Done","✓ Done",IF(Q152=3,"🔴 Late",IF(M152="In progress","In progress","")))))</f>
        <v/>
      </c>
      <c r="Q152" s="79">
        <f>IF(OR(D152="",L152=""),"",IF(M152="Done",2,IF(AsOf&gt;L152,3,1)))</f>
        <v/>
      </c>
      <c r="R152" s="79">
        <f>IF(OR(E152="",F152=""),0,IF(COUNTIFS($E$7:E152,E152,$F$7:F152,F152)=1,1,0))</f>
        <v/>
      </c>
      <c r="S152" s="79">
        <f>IF(R152=1,E152&amp;"|"&amp;SUMIFS($R$7:R152,$E$7:E152,E152),"")</f>
        <v/>
      </c>
      <c r="T152" s="112">
        <f>IF(Q152="","",IF(Q152=3,L152,IF(OR(M152="Not started",M152=""),J152,"")))</f>
        <v/>
      </c>
      <c r="U152" s="79">
        <f>IF(T152="","",IF(Q152=3,1,IF(T152="","",IF(T152&lt;AsOf,1,IF(T152&lt;=AsOf+AlertDays,2,IF(T152&lt;=AsOf+2*AlertDays,3,""))))))</f>
        <v/>
      </c>
      <c r="V152" s="79">
        <f>IF(U152="","",IF(Q152=3,"Late task: "&amp;D152,IF(T152&lt;AsOf,"Should have started: ","Starts soon: ")&amp;D152)&amp;IF(F152="",""," — "&amp;F152))</f>
        <v/>
      </c>
    </row>
    <row r="153" ht="20" customHeight="1">
      <c r="B153" s="125" t="n">
        <v>147</v>
      </c>
      <c r="C153" s="72" t="n"/>
      <c r="D153" s="72" t="n"/>
      <c r="E153" s="72" t="n"/>
      <c r="F153" s="72" t="n"/>
      <c r="G153" s="89" t="n"/>
      <c r="H153" s="89" t="n"/>
      <c r="I153" s="109" t="n"/>
      <c r="J153" s="126">
        <f>IF(OR(D153="",ProjStart=""),"",MAX(ProjStart,IF(I153&lt;&gt;"",I153,0),IF(H153="",0,IFERROR(INDEX($L$6:L152,MATCH(H153,$B$6:B152,0))+1,0))))</f>
        <v/>
      </c>
      <c r="K153" s="89" t="n"/>
      <c r="L153" s="126">
        <f>IF(J153="","",J153+MAX(1,G153)+IF(K153="",0,K153)-1)</f>
        <v/>
      </c>
      <c r="M153" s="72" t="n"/>
      <c r="N153" s="109" t="n"/>
      <c r="O153" s="127">
        <f>IF(D153="","",COUNTIF($H$7:$H$1006,B153))</f>
        <v/>
      </c>
      <c r="P153" s="78">
        <f>IF(D153="","",IF(AND(H153&lt;&gt;"",H153&gt;=B153),"⚠️ Predecessor must be above",IF(M153="Done","✓ Done",IF(Q153=3,"🔴 Late",IF(M153="In progress","In progress","")))))</f>
        <v/>
      </c>
      <c r="Q153" s="79">
        <f>IF(OR(D153="",L153=""),"",IF(M153="Done",2,IF(AsOf&gt;L153,3,1)))</f>
        <v/>
      </c>
      <c r="R153" s="79">
        <f>IF(OR(E153="",F153=""),0,IF(COUNTIFS($E$7:E153,E153,$F$7:F153,F153)=1,1,0))</f>
        <v/>
      </c>
      <c r="S153" s="79">
        <f>IF(R153=1,E153&amp;"|"&amp;SUMIFS($R$7:R153,$E$7:E153,E153),"")</f>
        <v/>
      </c>
      <c r="T153" s="112">
        <f>IF(Q153="","",IF(Q153=3,L153,IF(OR(M153="Not started",M153=""),J153,"")))</f>
        <v/>
      </c>
      <c r="U153" s="79">
        <f>IF(T153="","",IF(Q153=3,1,IF(T153="","",IF(T153&lt;AsOf,1,IF(T153&lt;=AsOf+AlertDays,2,IF(T153&lt;=AsOf+2*AlertDays,3,""))))))</f>
        <v/>
      </c>
      <c r="V153" s="79">
        <f>IF(U153="","",IF(Q153=3,"Late task: "&amp;D153,IF(T153&lt;AsOf,"Should have started: ","Starts soon: ")&amp;D153)&amp;IF(F153="",""," — "&amp;F153))</f>
        <v/>
      </c>
    </row>
    <row r="154" ht="20" customHeight="1">
      <c r="B154" s="125" t="n">
        <v>148</v>
      </c>
      <c r="C154" s="72" t="n"/>
      <c r="D154" s="72" t="n"/>
      <c r="E154" s="72" t="n"/>
      <c r="F154" s="72" t="n"/>
      <c r="G154" s="89" t="n"/>
      <c r="H154" s="89" t="n"/>
      <c r="I154" s="109" t="n"/>
      <c r="J154" s="126">
        <f>IF(OR(D154="",ProjStart=""),"",MAX(ProjStart,IF(I154&lt;&gt;"",I154,0),IF(H154="",0,IFERROR(INDEX($L$6:L153,MATCH(H154,$B$6:B153,0))+1,0))))</f>
        <v/>
      </c>
      <c r="K154" s="89" t="n"/>
      <c r="L154" s="126">
        <f>IF(J154="","",J154+MAX(1,G154)+IF(K154="",0,K154)-1)</f>
        <v/>
      </c>
      <c r="M154" s="72" t="n"/>
      <c r="N154" s="109" t="n"/>
      <c r="O154" s="127">
        <f>IF(D154="","",COUNTIF($H$7:$H$1006,B154))</f>
        <v/>
      </c>
      <c r="P154" s="78">
        <f>IF(D154="","",IF(AND(H154&lt;&gt;"",H154&gt;=B154),"⚠️ Predecessor must be above",IF(M154="Done","✓ Done",IF(Q154=3,"🔴 Late",IF(M154="In progress","In progress","")))))</f>
        <v/>
      </c>
      <c r="Q154" s="79">
        <f>IF(OR(D154="",L154=""),"",IF(M154="Done",2,IF(AsOf&gt;L154,3,1)))</f>
        <v/>
      </c>
      <c r="R154" s="79">
        <f>IF(OR(E154="",F154=""),0,IF(COUNTIFS($E$7:E154,E154,$F$7:F154,F154)=1,1,0))</f>
        <v/>
      </c>
      <c r="S154" s="79">
        <f>IF(R154=1,E154&amp;"|"&amp;SUMIFS($R$7:R154,$E$7:E154,E154),"")</f>
        <v/>
      </c>
      <c r="T154" s="112">
        <f>IF(Q154="","",IF(Q154=3,L154,IF(OR(M154="Not started",M154=""),J154,"")))</f>
        <v/>
      </c>
      <c r="U154" s="79">
        <f>IF(T154="","",IF(Q154=3,1,IF(T154="","",IF(T154&lt;AsOf,1,IF(T154&lt;=AsOf+AlertDays,2,IF(T154&lt;=AsOf+2*AlertDays,3,""))))))</f>
        <v/>
      </c>
      <c r="V154" s="79">
        <f>IF(U154="","",IF(Q154=3,"Late task: "&amp;D154,IF(T154&lt;AsOf,"Should have started: ","Starts soon: ")&amp;D154)&amp;IF(F154="",""," — "&amp;F154))</f>
        <v/>
      </c>
    </row>
    <row r="155" ht="20" customHeight="1">
      <c r="B155" s="125" t="n">
        <v>149</v>
      </c>
      <c r="C155" s="72" t="n"/>
      <c r="D155" s="72" t="n"/>
      <c r="E155" s="72" t="n"/>
      <c r="F155" s="72" t="n"/>
      <c r="G155" s="89" t="n"/>
      <c r="H155" s="89" t="n"/>
      <c r="I155" s="109" t="n"/>
      <c r="J155" s="126">
        <f>IF(OR(D155="",ProjStart=""),"",MAX(ProjStart,IF(I155&lt;&gt;"",I155,0),IF(H155="",0,IFERROR(INDEX($L$6:L154,MATCH(H155,$B$6:B154,0))+1,0))))</f>
        <v/>
      </c>
      <c r="K155" s="89" t="n"/>
      <c r="L155" s="126">
        <f>IF(J155="","",J155+MAX(1,G155)+IF(K155="",0,K155)-1)</f>
        <v/>
      </c>
      <c r="M155" s="72" t="n"/>
      <c r="N155" s="109" t="n"/>
      <c r="O155" s="127">
        <f>IF(D155="","",COUNTIF($H$7:$H$1006,B155))</f>
        <v/>
      </c>
      <c r="P155" s="78">
        <f>IF(D155="","",IF(AND(H155&lt;&gt;"",H155&gt;=B155),"⚠️ Predecessor must be above",IF(M155="Done","✓ Done",IF(Q155=3,"🔴 Late",IF(M155="In progress","In progress","")))))</f>
        <v/>
      </c>
      <c r="Q155" s="79">
        <f>IF(OR(D155="",L155=""),"",IF(M155="Done",2,IF(AsOf&gt;L155,3,1)))</f>
        <v/>
      </c>
      <c r="R155" s="79">
        <f>IF(OR(E155="",F155=""),0,IF(COUNTIFS($E$7:E155,E155,$F$7:F155,F155)=1,1,0))</f>
        <v/>
      </c>
      <c r="S155" s="79">
        <f>IF(R155=1,E155&amp;"|"&amp;SUMIFS($R$7:R155,$E$7:E155,E155),"")</f>
        <v/>
      </c>
      <c r="T155" s="112">
        <f>IF(Q155="","",IF(Q155=3,L155,IF(OR(M155="Not started",M155=""),J155,"")))</f>
        <v/>
      </c>
      <c r="U155" s="79">
        <f>IF(T155="","",IF(Q155=3,1,IF(T155="","",IF(T155&lt;AsOf,1,IF(T155&lt;=AsOf+AlertDays,2,IF(T155&lt;=AsOf+2*AlertDays,3,""))))))</f>
        <v/>
      </c>
      <c r="V155" s="79">
        <f>IF(U155="","",IF(Q155=3,"Late task: "&amp;D155,IF(T155&lt;AsOf,"Should have started: ","Starts soon: ")&amp;D155)&amp;IF(F155="",""," — "&amp;F155))</f>
        <v/>
      </c>
    </row>
    <row r="156" ht="20" customHeight="1">
      <c r="B156" s="125" t="n">
        <v>150</v>
      </c>
      <c r="C156" s="72" t="n"/>
      <c r="D156" s="72" t="n"/>
      <c r="E156" s="72" t="n"/>
      <c r="F156" s="72" t="n"/>
      <c r="G156" s="89" t="n"/>
      <c r="H156" s="89" t="n"/>
      <c r="I156" s="109" t="n"/>
      <c r="J156" s="126">
        <f>IF(OR(D156="",ProjStart=""),"",MAX(ProjStart,IF(I156&lt;&gt;"",I156,0),IF(H156="",0,IFERROR(INDEX($L$6:L155,MATCH(H156,$B$6:B155,0))+1,0))))</f>
        <v/>
      </c>
      <c r="K156" s="89" t="n"/>
      <c r="L156" s="126">
        <f>IF(J156="","",J156+MAX(1,G156)+IF(K156="",0,K156)-1)</f>
        <v/>
      </c>
      <c r="M156" s="72" t="n"/>
      <c r="N156" s="109" t="n"/>
      <c r="O156" s="127">
        <f>IF(D156="","",COUNTIF($H$7:$H$1006,B156))</f>
        <v/>
      </c>
      <c r="P156" s="78">
        <f>IF(D156="","",IF(AND(H156&lt;&gt;"",H156&gt;=B156),"⚠️ Predecessor must be above",IF(M156="Done","✓ Done",IF(Q156=3,"🔴 Late",IF(M156="In progress","In progress","")))))</f>
        <v/>
      </c>
      <c r="Q156" s="79">
        <f>IF(OR(D156="",L156=""),"",IF(M156="Done",2,IF(AsOf&gt;L156,3,1)))</f>
        <v/>
      </c>
      <c r="R156" s="79">
        <f>IF(OR(E156="",F156=""),0,IF(COUNTIFS($E$7:E156,E156,$F$7:F156,F156)=1,1,0))</f>
        <v/>
      </c>
      <c r="S156" s="79">
        <f>IF(R156=1,E156&amp;"|"&amp;SUMIFS($R$7:R156,$E$7:E156,E156),"")</f>
        <v/>
      </c>
      <c r="T156" s="112">
        <f>IF(Q156="","",IF(Q156=3,L156,IF(OR(M156="Not started",M156=""),J156,"")))</f>
        <v/>
      </c>
      <c r="U156" s="79">
        <f>IF(T156="","",IF(Q156=3,1,IF(T156="","",IF(T156&lt;AsOf,1,IF(T156&lt;=AsOf+AlertDays,2,IF(T156&lt;=AsOf+2*AlertDays,3,""))))))</f>
        <v/>
      </c>
      <c r="V156" s="79">
        <f>IF(U156="","",IF(Q156=3,"Late task: "&amp;D156,IF(T156&lt;AsOf,"Should have started: ","Starts soon: ")&amp;D156)&amp;IF(F156="",""," — "&amp;F156))</f>
        <v/>
      </c>
    </row>
    <row r="157" ht="20" customHeight="1">
      <c r="B157" s="125" t="n">
        <v>151</v>
      </c>
      <c r="C157" s="72" t="n"/>
      <c r="D157" s="72" t="n"/>
      <c r="E157" s="72" t="n"/>
      <c r="F157" s="72" t="n"/>
      <c r="G157" s="89" t="n"/>
      <c r="H157" s="89" t="n"/>
      <c r="I157" s="109" t="n"/>
      <c r="J157" s="126">
        <f>IF(OR(D157="",ProjStart=""),"",MAX(ProjStart,IF(I157&lt;&gt;"",I157,0),IF(H157="",0,IFERROR(INDEX($L$6:L156,MATCH(H157,$B$6:B156,0))+1,0))))</f>
        <v/>
      </c>
      <c r="K157" s="89" t="n"/>
      <c r="L157" s="126">
        <f>IF(J157="","",J157+MAX(1,G157)+IF(K157="",0,K157)-1)</f>
        <v/>
      </c>
      <c r="M157" s="72" t="n"/>
      <c r="N157" s="109" t="n"/>
      <c r="O157" s="127">
        <f>IF(D157="","",COUNTIF($H$7:$H$1006,B157))</f>
        <v/>
      </c>
      <c r="P157" s="78">
        <f>IF(D157="","",IF(AND(H157&lt;&gt;"",H157&gt;=B157),"⚠️ Predecessor must be above",IF(M157="Done","✓ Done",IF(Q157=3,"🔴 Late",IF(M157="In progress","In progress","")))))</f>
        <v/>
      </c>
      <c r="Q157" s="79">
        <f>IF(OR(D157="",L157=""),"",IF(M157="Done",2,IF(AsOf&gt;L157,3,1)))</f>
        <v/>
      </c>
      <c r="R157" s="79">
        <f>IF(OR(E157="",F157=""),0,IF(COUNTIFS($E$7:E157,E157,$F$7:F157,F157)=1,1,0))</f>
        <v/>
      </c>
      <c r="S157" s="79">
        <f>IF(R157=1,E157&amp;"|"&amp;SUMIFS($R$7:R157,$E$7:E157,E157),"")</f>
        <v/>
      </c>
      <c r="T157" s="112">
        <f>IF(Q157="","",IF(Q157=3,L157,IF(OR(M157="Not started",M157=""),J157,"")))</f>
        <v/>
      </c>
      <c r="U157" s="79">
        <f>IF(T157="","",IF(Q157=3,1,IF(T157="","",IF(T157&lt;AsOf,1,IF(T157&lt;=AsOf+AlertDays,2,IF(T157&lt;=AsOf+2*AlertDays,3,""))))))</f>
        <v/>
      </c>
      <c r="V157" s="79">
        <f>IF(U157="","",IF(Q157=3,"Late task: "&amp;D157,IF(T157&lt;AsOf,"Should have started: ","Starts soon: ")&amp;D157)&amp;IF(F157="",""," — "&amp;F157))</f>
        <v/>
      </c>
    </row>
    <row r="158" ht="20" customHeight="1">
      <c r="B158" s="125" t="n">
        <v>152</v>
      </c>
      <c r="C158" s="72" t="n"/>
      <c r="D158" s="72" t="n"/>
      <c r="E158" s="72" t="n"/>
      <c r="F158" s="72" t="n"/>
      <c r="G158" s="89" t="n"/>
      <c r="H158" s="89" t="n"/>
      <c r="I158" s="109" t="n"/>
      <c r="J158" s="126">
        <f>IF(OR(D158="",ProjStart=""),"",MAX(ProjStart,IF(I158&lt;&gt;"",I158,0),IF(H158="",0,IFERROR(INDEX($L$6:L157,MATCH(H158,$B$6:B157,0))+1,0))))</f>
        <v/>
      </c>
      <c r="K158" s="89" t="n"/>
      <c r="L158" s="126">
        <f>IF(J158="","",J158+MAX(1,G158)+IF(K158="",0,K158)-1)</f>
        <v/>
      </c>
      <c r="M158" s="72" t="n"/>
      <c r="N158" s="109" t="n"/>
      <c r="O158" s="127">
        <f>IF(D158="","",COUNTIF($H$7:$H$1006,B158))</f>
        <v/>
      </c>
      <c r="P158" s="78">
        <f>IF(D158="","",IF(AND(H158&lt;&gt;"",H158&gt;=B158),"⚠️ Predecessor must be above",IF(M158="Done","✓ Done",IF(Q158=3,"🔴 Late",IF(M158="In progress","In progress","")))))</f>
        <v/>
      </c>
      <c r="Q158" s="79">
        <f>IF(OR(D158="",L158=""),"",IF(M158="Done",2,IF(AsOf&gt;L158,3,1)))</f>
        <v/>
      </c>
      <c r="R158" s="79">
        <f>IF(OR(E158="",F158=""),0,IF(COUNTIFS($E$7:E158,E158,$F$7:F158,F158)=1,1,0))</f>
        <v/>
      </c>
      <c r="S158" s="79">
        <f>IF(R158=1,E158&amp;"|"&amp;SUMIFS($R$7:R158,$E$7:E158,E158),"")</f>
        <v/>
      </c>
      <c r="T158" s="112">
        <f>IF(Q158="","",IF(Q158=3,L158,IF(OR(M158="Not started",M158=""),J158,"")))</f>
        <v/>
      </c>
      <c r="U158" s="79">
        <f>IF(T158="","",IF(Q158=3,1,IF(T158="","",IF(T158&lt;AsOf,1,IF(T158&lt;=AsOf+AlertDays,2,IF(T158&lt;=AsOf+2*AlertDays,3,""))))))</f>
        <v/>
      </c>
      <c r="V158" s="79">
        <f>IF(U158="","",IF(Q158=3,"Late task: "&amp;D158,IF(T158&lt;AsOf,"Should have started: ","Starts soon: ")&amp;D158)&amp;IF(F158="",""," — "&amp;F158))</f>
        <v/>
      </c>
    </row>
    <row r="159" ht="20" customHeight="1">
      <c r="B159" s="125" t="n">
        <v>153</v>
      </c>
      <c r="C159" s="72" t="n"/>
      <c r="D159" s="72" t="n"/>
      <c r="E159" s="72" t="n"/>
      <c r="F159" s="72" t="n"/>
      <c r="G159" s="89" t="n"/>
      <c r="H159" s="89" t="n"/>
      <c r="I159" s="109" t="n"/>
      <c r="J159" s="126">
        <f>IF(OR(D159="",ProjStart=""),"",MAX(ProjStart,IF(I159&lt;&gt;"",I159,0),IF(H159="",0,IFERROR(INDEX($L$6:L158,MATCH(H159,$B$6:B158,0))+1,0))))</f>
        <v/>
      </c>
      <c r="K159" s="89" t="n"/>
      <c r="L159" s="126">
        <f>IF(J159="","",J159+MAX(1,G159)+IF(K159="",0,K159)-1)</f>
        <v/>
      </c>
      <c r="M159" s="72" t="n"/>
      <c r="N159" s="109" t="n"/>
      <c r="O159" s="127">
        <f>IF(D159="","",COUNTIF($H$7:$H$1006,B159))</f>
        <v/>
      </c>
      <c r="P159" s="78">
        <f>IF(D159="","",IF(AND(H159&lt;&gt;"",H159&gt;=B159),"⚠️ Predecessor must be above",IF(M159="Done","✓ Done",IF(Q159=3,"🔴 Late",IF(M159="In progress","In progress","")))))</f>
        <v/>
      </c>
      <c r="Q159" s="79">
        <f>IF(OR(D159="",L159=""),"",IF(M159="Done",2,IF(AsOf&gt;L159,3,1)))</f>
        <v/>
      </c>
      <c r="R159" s="79">
        <f>IF(OR(E159="",F159=""),0,IF(COUNTIFS($E$7:E159,E159,$F$7:F159,F159)=1,1,0))</f>
        <v/>
      </c>
      <c r="S159" s="79">
        <f>IF(R159=1,E159&amp;"|"&amp;SUMIFS($R$7:R159,$E$7:E159,E159),"")</f>
        <v/>
      </c>
      <c r="T159" s="112">
        <f>IF(Q159="","",IF(Q159=3,L159,IF(OR(M159="Not started",M159=""),J159,"")))</f>
        <v/>
      </c>
      <c r="U159" s="79">
        <f>IF(T159="","",IF(Q159=3,1,IF(T159="","",IF(T159&lt;AsOf,1,IF(T159&lt;=AsOf+AlertDays,2,IF(T159&lt;=AsOf+2*AlertDays,3,""))))))</f>
        <v/>
      </c>
      <c r="V159" s="79">
        <f>IF(U159="","",IF(Q159=3,"Late task: "&amp;D159,IF(T159&lt;AsOf,"Should have started: ","Starts soon: ")&amp;D159)&amp;IF(F159="",""," — "&amp;F159))</f>
        <v/>
      </c>
    </row>
    <row r="160" ht="20" customHeight="1">
      <c r="B160" s="125" t="n">
        <v>154</v>
      </c>
      <c r="C160" s="72" t="n"/>
      <c r="D160" s="72" t="n"/>
      <c r="E160" s="72" t="n"/>
      <c r="F160" s="72" t="n"/>
      <c r="G160" s="89" t="n"/>
      <c r="H160" s="89" t="n"/>
      <c r="I160" s="109" t="n"/>
      <c r="J160" s="126">
        <f>IF(OR(D160="",ProjStart=""),"",MAX(ProjStart,IF(I160&lt;&gt;"",I160,0),IF(H160="",0,IFERROR(INDEX($L$6:L159,MATCH(H160,$B$6:B159,0))+1,0))))</f>
        <v/>
      </c>
      <c r="K160" s="89" t="n"/>
      <c r="L160" s="126">
        <f>IF(J160="","",J160+MAX(1,G160)+IF(K160="",0,K160)-1)</f>
        <v/>
      </c>
      <c r="M160" s="72" t="n"/>
      <c r="N160" s="109" t="n"/>
      <c r="O160" s="127">
        <f>IF(D160="","",COUNTIF($H$7:$H$1006,B160))</f>
        <v/>
      </c>
      <c r="P160" s="78">
        <f>IF(D160="","",IF(AND(H160&lt;&gt;"",H160&gt;=B160),"⚠️ Predecessor must be above",IF(M160="Done","✓ Done",IF(Q160=3,"🔴 Late",IF(M160="In progress","In progress","")))))</f>
        <v/>
      </c>
      <c r="Q160" s="79">
        <f>IF(OR(D160="",L160=""),"",IF(M160="Done",2,IF(AsOf&gt;L160,3,1)))</f>
        <v/>
      </c>
      <c r="R160" s="79">
        <f>IF(OR(E160="",F160=""),0,IF(COUNTIFS($E$7:E160,E160,$F$7:F160,F160)=1,1,0))</f>
        <v/>
      </c>
      <c r="S160" s="79">
        <f>IF(R160=1,E160&amp;"|"&amp;SUMIFS($R$7:R160,$E$7:E160,E160),"")</f>
        <v/>
      </c>
      <c r="T160" s="112">
        <f>IF(Q160="","",IF(Q160=3,L160,IF(OR(M160="Not started",M160=""),J160,"")))</f>
        <v/>
      </c>
      <c r="U160" s="79">
        <f>IF(T160="","",IF(Q160=3,1,IF(T160="","",IF(T160&lt;AsOf,1,IF(T160&lt;=AsOf+AlertDays,2,IF(T160&lt;=AsOf+2*AlertDays,3,""))))))</f>
        <v/>
      </c>
      <c r="V160" s="79">
        <f>IF(U160="","",IF(Q160=3,"Late task: "&amp;D160,IF(T160&lt;AsOf,"Should have started: ","Starts soon: ")&amp;D160)&amp;IF(F160="",""," — "&amp;F160))</f>
        <v/>
      </c>
    </row>
    <row r="161" ht="20" customHeight="1">
      <c r="B161" s="125" t="n">
        <v>155</v>
      </c>
      <c r="C161" s="72" t="n"/>
      <c r="D161" s="72" t="n"/>
      <c r="E161" s="72" t="n"/>
      <c r="F161" s="72" t="n"/>
      <c r="G161" s="89" t="n"/>
      <c r="H161" s="89" t="n"/>
      <c r="I161" s="109" t="n"/>
      <c r="J161" s="126">
        <f>IF(OR(D161="",ProjStart=""),"",MAX(ProjStart,IF(I161&lt;&gt;"",I161,0),IF(H161="",0,IFERROR(INDEX($L$6:L160,MATCH(H161,$B$6:B160,0))+1,0))))</f>
        <v/>
      </c>
      <c r="K161" s="89" t="n"/>
      <c r="L161" s="126">
        <f>IF(J161="","",J161+MAX(1,G161)+IF(K161="",0,K161)-1)</f>
        <v/>
      </c>
      <c r="M161" s="72" t="n"/>
      <c r="N161" s="109" t="n"/>
      <c r="O161" s="127">
        <f>IF(D161="","",COUNTIF($H$7:$H$1006,B161))</f>
        <v/>
      </c>
      <c r="P161" s="78">
        <f>IF(D161="","",IF(AND(H161&lt;&gt;"",H161&gt;=B161),"⚠️ Predecessor must be above",IF(M161="Done","✓ Done",IF(Q161=3,"🔴 Late",IF(M161="In progress","In progress","")))))</f>
        <v/>
      </c>
      <c r="Q161" s="79">
        <f>IF(OR(D161="",L161=""),"",IF(M161="Done",2,IF(AsOf&gt;L161,3,1)))</f>
        <v/>
      </c>
      <c r="R161" s="79">
        <f>IF(OR(E161="",F161=""),0,IF(COUNTIFS($E$7:E161,E161,$F$7:F161,F161)=1,1,0))</f>
        <v/>
      </c>
      <c r="S161" s="79">
        <f>IF(R161=1,E161&amp;"|"&amp;SUMIFS($R$7:R161,$E$7:E161,E161),"")</f>
        <v/>
      </c>
      <c r="T161" s="112">
        <f>IF(Q161="","",IF(Q161=3,L161,IF(OR(M161="Not started",M161=""),J161,"")))</f>
        <v/>
      </c>
      <c r="U161" s="79">
        <f>IF(T161="","",IF(Q161=3,1,IF(T161="","",IF(T161&lt;AsOf,1,IF(T161&lt;=AsOf+AlertDays,2,IF(T161&lt;=AsOf+2*AlertDays,3,""))))))</f>
        <v/>
      </c>
      <c r="V161" s="79">
        <f>IF(U161="","",IF(Q161=3,"Late task: "&amp;D161,IF(T161&lt;AsOf,"Should have started: ","Starts soon: ")&amp;D161)&amp;IF(F161="",""," — "&amp;F161))</f>
        <v/>
      </c>
    </row>
    <row r="162" ht="20" customHeight="1">
      <c r="B162" s="125" t="n">
        <v>156</v>
      </c>
      <c r="C162" s="72" t="n"/>
      <c r="D162" s="72" t="n"/>
      <c r="E162" s="72" t="n"/>
      <c r="F162" s="72" t="n"/>
      <c r="G162" s="89" t="n"/>
      <c r="H162" s="89" t="n"/>
      <c r="I162" s="109" t="n"/>
      <c r="J162" s="126">
        <f>IF(OR(D162="",ProjStart=""),"",MAX(ProjStart,IF(I162&lt;&gt;"",I162,0),IF(H162="",0,IFERROR(INDEX($L$6:L161,MATCH(H162,$B$6:B161,0))+1,0))))</f>
        <v/>
      </c>
      <c r="K162" s="89" t="n"/>
      <c r="L162" s="126">
        <f>IF(J162="","",J162+MAX(1,G162)+IF(K162="",0,K162)-1)</f>
        <v/>
      </c>
      <c r="M162" s="72" t="n"/>
      <c r="N162" s="109" t="n"/>
      <c r="O162" s="127">
        <f>IF(D162="","",COUNTIF($H$7:$H$1006,B162))</f>
        <v/>
      </c>
      <c r="P162" s="78">
        <f>IF(D162="","",IF(AND(H162&lt;&gt;"",H162&gt;=B162),"⚠️ Predecessor must be above",IF(M162="Done","✓ Done",IF(Q162=3,"🔴 Late",IF(M162="In progress","In progress","")))))</f>
        <v/>
      </c>
      <c r="Q162" s="79">
        <f>IF(OR(D162="",L162=""),"",IF(M162="Done",2,IF(AsOf&gt;L162,3,1)))</f>
        <v/>
      </c>
      <c r="R162" s="79">
        <f>IF(OR(E162="",F162=""),0,IF(COUNTIFS($E$7:E162,E162,$F$7:F162,F162)=1,1,0))</f>
        <v/>
      </c>
      <c r="S162" s="79">
        <f>IF(R162=1,E162&amp;"|"&amp;SUMIFS($R$7:R162,$E$7:E162,E162),"")</f>
        <v/>
      </c>
      <c r="T162" s="112">
        <f>IF(Q162="","",IF(Q162=3,L162,IF(OR(M162="Not started",M162=""),J162,"")))</f>
        <v/>
      </c>
      <c r="U162" s="79">
        <f>IF(T162="","",IF(Q162=3,1,IF(T162="","",IF(T162&lt;AsOf,1,IF(T162&lt;=AsOf+AlertDays,2,IF(T162&lt;=AsOf+2*AlertDays,3,""))))))</f>
        <v/>
      </c>
      <c r="V162" s="79">
        <f>IF(U162="","",IF(Q162=3,"Late task: "&amp;D162,IF(T162&lt;AsOf,"Should have started: ","Starts soon: ")&amp;D162)&amp;IF(F162="",""," — "&amp;F162))</f>
        <v/>
      </c>
    </row>
    <row r="163" ht="20" customHeight="1">
      <c r="B163" s="125" t="n">
        <v>157</v>
      </c>
      <c r="C163" s="72" t="n"/>
      <c r="D163" s="72" t="n"/>
      <c r="E163" s="72" t="n"/>
      <c r="F163" s="72" t="n"/>
      <c r="G163" s="89" t="n"/>
      <c r="H163" s="89" t="n"/>
      <c r="I163" s="109" t="n"/>
      <c r="J163" s="126">
        <f>IF(OR(D163="",ProjStart=""),"",MAX(ProjStart,IF(I163&lt;&gt;"",I163,0),IF(H163="",0,IFERROR(INDEX($L$6:L162,MATCH(H163,$B$6:B162,0))+1,0))))</f>
        <v/>
      </c>
      <c r="K163" s="89" t="n"/>
      <c r="L163" s="126">
        <f>IF(J163="","",J163+MAX(1,G163)+IF(K163="",0,K163)-1)</f>
        <v/>
      </c>
      <c r="M163" s="72" t="n"/>
      <c r="N163" s="109" t="n"/>
      <c r="O163" s="127">
        <f>IF(D163="","",COUNTIF($H$7:$H$1006,B163))</f>
        <v/>
      </c>
      <c r="P163" s="78">
        <f>IF(D163="","",IF(AND(H163&lt;&gt;"",H163&gt;=B163),"⚠️ Predecessor must be above",IF(M163="Done","✓ Done",IF(Q163=3,"🔴 Late",IF(M163="In progress","In progress","")))))</f>
        <v/>
      </c>
      <c r="Q163" s="79">
        <f>IF(OR(D163="",L163=""),"",IF(M163="Done",2,IF(AsOf&gt;L163,3,1)))</f>
        <v/>
      </c>
      <c r="R163" s="79">
        <f>IF(OR(E163="",F163=""),0,IF(COUNTIFS($E$7:E163,E163,$F$7:F163,F163)=1,1,0))</f>
        <v/>
      </c>
      <c r="S163" s="79">
        <f>IF(R163=1,E163&amp;"|"&amp;SUMIFS($R$7:R163,$E$7:E163,E163),"")</f>
        <v/>
      </c>
      <c r="T163" s="112">
        <f>IF(Q163="","",IF(Q163=3,L163,IF(OR(M163="Not started",M163=""),J163,"")))</f>
        <v/>
      </c>
      <c r="U163" s="79">
        <f>IF(T163="","",IF(Q163=3,1,IF(T163="","",IF(T163&lt;AsOf,1,IF(T163&lt;=AsOf+AlertDays,2,IF(T163&lt;=AsOf+2*AlertDays,3,""))))))</f>
        <v/>
      </c>
      <c r="V163" s="79">
        <f>IF(U163="","",IF(Q163=3,"Late task: "&amp;D163,IF(T163&lt;AsOf,"Should have started: ","Starts soon: ")&amp;D163)&amp;IF(F163="",""," — "&amp;F163))</f>
        <v/>
      </c>
    </row>
    <row r="164" ht="20" customHeight="1">
      <c r="B164" s="125" t="n">
        <v>158</v>
      </c>
      <c r="C164" s="72" t="n"/>
      <c r="D164" s="72" t="n"/>
      <c r="E164" s="72" t="n"/>
      <c r="F164" s="72" t="n"/>
      <c r="G164" s="89" t="n"/>
      <c r="H164" s="89" t="n"/>
      <c r="I164" s="109" t="n"/>
      <c r="J164" s="126">
        <f>IF(OR(D164="",ProjStart=""),"",MAX(ProjStart,IF(I164&lt;&gt;"",I164,0),IF(H164="",0,IFERROR(INDEX($L$6:L163,MATCH(H164,$B$6:B163,0))+1,0))))</f>
        <v/>
      </c>
      <c r="K164" s="89" t="n"/>
      <c r="L164" s="126">
        <f>IF(J164="","",J164+MAX(1,G164)+IF(K164="",0,K164)-1)</f>
        <v/>
      </c>
      <c r="M164" s="72" t="n"/>
      <c r="N164" s="109" t="n"/>
      <c r="O164" s="127">
        <f>IF(D164="","",COUNTIF($H$7:$H$1006,B164))</f>
        <v/>
      </c>
      <c r="P164" s="78">
        <f>IF(D164="","",IF(AND(H164&lt;&gt;"",H164&gt;=B164),"⚠️ Predecessor must be above",IF(M164="Done","✓ Done",IF(Q164=3,"🔴 Late",IF(M164="In progress","In progress","")))))</f>
        <v/>
      </c>
      <c r="Q164" s="79">
        <f>IF(OR(D164="",L164=""),"",IF(M164="Done",2,IF(AsOf&gt;L164,3,1)))</f>
        <v/>
      </c>
      <c r="R164" s="79">
        <f>IF(OR(E164="",F164=""),0,IF(COUNTIFS($E$7:E164,E164,$F$7:F164,F164)=1,1,0))</f>
        <v/>
      </c>
      <c r="S164" s="79">
        <f>IF(R164=1,E164&amp;"|"&amp;SUMIFS($R$7:R164,$E$7:E164,E164),"")</f>
        <v/>
      </c>
      <c r="T164" s="112">
        <f>IF(Q164="","",IF(Q164=3,L164,IF(OR(M164="Not started",M164=""),J164,"")))</f>
        <v/>
      </c>
      <c r="U164" s="79">
        <f>IF(T164="","",IF(Q164=3,1,IF(T164="","",IF(T164&lt;AsOf,1,IF(T164&lt;=AsOf+AlertDays,2,IF(T164&lt;=AsOf+2*AlertDays,3,""))))))</f>
        <v/>
      </c>
      <c r="V164" s="79">
        <f>IF(U164="","",IF(Q164=3,"Late task: "&amp;D164,IF(T164&lt;AsOf,"Should have started: ","Starts soon: ")&amp;D164)&amp;IF(F164="",""," — "&amp;F164))</f>
        <v/>
      </c>
    </row>
    <row r="165" ht="20" customHeight="1">
      <c r="B165" s="125" t="n">
        <v>159</v>
      </c>
      <c r="C165" s="72" t="n"/>
      <c r="D165" s="72" t="n"/>
      <c r="E165" s="72" t="n"/>
      <c r="F165" s="72" t="n"/>
      <c r="G165" s="89" t="n"/>
      <c r="H165" s="89" t="n"/>
      <c r="I165" s="109" t="n"/>
      <c r="J165" s="126">
        <f>IF(OR(D165="",ProjStart=""),"",MAX(ProjStart,IF(I165&lt;&gt;"",I165,0),IF(H165="",0,IFERROR(INDEX($L$6:L164,MATCH(H165,$B$6:B164,0))+1,0))))</f>
        <v/>
      </c>
      <c r="K165" s="89" t="n"/>
      <c r="L165" s="126">
        <f>IF(J165="","",J165+MAX(1,G165)+IF(K165="",0,K165)-1)</f>
        <v/>
      </c>
      <c r="M165" s="72" t="n"/>
      <c r="N165" s="109" t="n"/>
      <c r="O165" s="127">
        <f>IF(D165="","",COUNTIF($H$7:$H$1006,B165))</f>
        <v/>
      </c>
      <c r="P165" s="78">
        <f>IF(D165="","",IF(AND(H165&lt;&gt;"",H165&gt;=B165),"⚠️ Predecessor must be above",IF(M165="Done","✓ Done",IF(Q165=3,"🔴 Late",IF(M165="In progress","In progress","")))))</f>
        <v/>
      </c>
      <c r="Q165" s="79">
        <f>IF(OR(D165="",L165=""),"",IF(M165="Done",2,IF(AsOf&gt;L165,3,1)))</f>
        <v/>
      </c>
      <c r="R165" s="79">
        <f>IF(OR(E165="",F165=""),0,IF(COUNTIFS($E$7:E165,E165,$F$7:F165,F165)=1,1,0))</f>
        <v/>
      </c>
      <c r="S165" s="79">
        <f>IF(R165=1,E165&amp;"|"&amp;SUMIFS($R$7:R165,$E$7:E165,E165),"")</f>
        <v/>
      </c>
      <c r="T165" s="112">
        <f>IF(Q165="","",IF(Q165=3,L165,IF(OR(M165="Not started",M165=""),J165,"")))</f>
        <v/>
      </c>
      <c r="U165" s="79">
        <f>IF(T165="","",IF(Q165=3,1,IF(T165="","",IF(T165&lt;AsOf,1,IF(T165&lt;=AsOf+AlertDays,2,IF(T165&lt;=AsOf+2*AlertDays,3,""))))))</f>
        <v/>
      </c>
      <c r="V165" s="79">
        <f>IF(U165="","",IF(Q165=3,"Late task: "&amp;D165,IF(T165&lt;AsOf,"Should have started: ","Starts soon: ")&amp;D165)&amp;IF(F165="",""," — "&amp;F165))</f>
        <v/>
      </c>
    </row>
    <row r="166" ht="20" customHeight="1">
      <c r="B166" s="125" t="n">
        <v>160</v>
      </c>
      <c r="C166" s="72" t="n"/>
      <c r="D166" s="72" t="n"/>
      <c r="E166" s="72" t="n"/>
      <c r="F166" s="72" t="n"/>
      <c r="G166" s="89" t="n"/>
      <c r="H166" s="89" t="n"/>
      <c r="I166" s="109" t="n"/>
      <c r="J166" s="126">
        <f>IF(OR(D166="",ProjStart=""),"",MAX(ProjStart,IF(I166&lt;&gt;"",I166,0),IF(H166="",0,IFERROR(INDEX($L$6:L165,MATCH(H166,$B$6:B165,0))+1,0))))</f>
        <v/>
      </c>
      <c r="K166" s="89" t="n"/>
      <c r="L166" s="126">
        <f>IF(J166="","",J166+MAX(1,G166)+IF(K166="",0,K166)-1)</f>
        <v/>
      </c>
      <c r="M166" s="72" t="n"/>
      <c r="N166" s="109" t="n"/>
      <c r="O166" s="127">
        <f>IF(D166="","",COUNTIF($H$7:$H$1006,B166))</f>
        <v/>
      </c>
      <c r="P166" s="78">
        <f>IF(D166="","",IF(AND(H166&lt;&gt;"",H166&gt;=B166),"⚠️ Predecessor must be above",IF(M166="Done","✓ Done",IF(Q166=3,"🔴 Late",IF(M166="In progress","In progress","")))))</f>
        <v/>
      </c>
      <c r="Q166" s="79">
        <f>IF(OR(D166="",L166=""),"",IF(M166="Done",2,IF(AsOf&gt;L166,3,1)))</f>
        <v/>
      </c>
      <c r="R166" s="79">
        <f>IF(OR(E166="",F166=""),0,IF(COUNTIFS($E$7:E166,E166,$F$7:F166,F166)=1,1,0))</f>
        <v/>
      </c>
      <c r="S166" s="79">
        <f>IF(R166=1,E166&amp;"|"&amp;SUMIFS($R$7:R166,$E$7:E166,E166),"")</f>
        <v/>
      </c>
      <c r="T166" s="112">
        <f>IF(Q166="","",IF(Q166=3,L166,IF(OR(M166="Not started",M166=""),J166,"")))</f>
        <v/>
      </c>
      <c r="U166" s="79">
        <f>IF(T166="","",IF(Q166=3,1,IF(T166="","",IF(T166&lt;AsOf,1,IF(T166&lt;=AsOf+AlertDays,2,IF(T166&lt;=AsOf+2*AlertDays,3,""))))))</f>
        <v/>
      </c>
      <c r="V166" s="79">
        <f>IF(U166="","",IF(Q166=3,"Late task: "&amp;D166,IF(T166&lt;AsOf,"Should have started: ","Starts soon: ")&amp;D166)&amp;IF(F166="",""," — "&amp;F166))</f>
        <v/>
      </c>
    </row>
    <row r="167" ht="20" customHeight="1">
      <c r="B167" s="125" t="n">
        <v>161</v>
      </c>
      <c r="C167" s="72" t="n"/>
      <c r="D167" s="72" t="n"/>
      <c r="E167" s="72" t="n"/>
      <c r="F167" s="72" t="n"/>
      <c r="G167" s="89" t="n"/>
      <c r="H167" s="89" t="n"/>
      <c r="I167" s="109" t="n"/>
      <c r="J167" s="126">
        <f>IF(OR(D167="",ProjStart=""),"",MAX(ProjStart,IF(I167&lt;&gt;"",I167,0),IF(H167="",0,IFERROR(INDEX($L$6:L166,MATCH(H167,$B$6:B166,0))+1,0))))</f>
        <v/>
      </c>
      <c r="K167" s="89" t="n"/>
      <c r="L167" s="126">
        <f>IF(J167="","",J167+MAX(1,G167)+IF(K167="",0,K167)-1)</f>
        <v/>
      </c>
      <c r="M167" s="72" t="n"/>
      <c r="N167" s="109" t="n"/>
      <c r="O167" s="127">
        <f>IF(D167="","",COUNTIF($H$7:$H$1006,B167))</f>
        <v/>
      </c>
      <c r="P167" s="78">
        <f>IF(D167="","",IF(AND(H167&lt;&gt;"",H167&gt;=B167),"⚠️ Predecessor must be above",IF(M167="Done","✓ Done",IF(Q167=3,"🔴 Late",IF(M167="In progress","In progress","")))))</f>
        <v/>
      </c>
      <c r="Q167" s="79">
        <f>IF(OR(D167="",L167=""),"",IF(M167="Done",2,IF(AsOf&gt;L167,3,1)))</f>
        <v/>
      </c>
      <c r="R167" s="79">
        <f>IF(OR(E167="",F167=""),0,IF(COUNTIFS($E$7:E167,E167,$F$7:F167,F167)=1,1,0))</f>
        <v/>
      </c>
      <c r="S167" s="79">
        <f>IF(R167=1,E167&amp;"|"&amp;SUMIFS($R$7:R167,$E$7:E167,E167),"")</f>
        <v/>
      </c>
      <c r="T167" s="112">
        <f>IF(Q167="","",IF(Q167=3,L167,IF(OR(M167="Not started",M167=""),J167,"")))</f>
        <v/>
      </c>
      <c r="U167" s="79">
        <f>IF(T167="","",IF(Q167=3,1,IF(T167="","",IF(T167&lt;AsOf,1,IF(T167&lt;=AsOf+AlertDays,2,IF(T167&lt;=AsOf+2*AlertDays,3,""))))))</f>
        <v/>
      </c>
      <c r="V167" s="79">
        <f>IF(U167="","",IF(Q167=3,"Late task: "&amp;D167,IF(T167&lt;AsOf,"Should have started: ","Starts soon: ")&amp;D167)&amp;IF(F167="",""," — "&amp;F167))</f>
        <v/>
      </c>
    </row>
    <row r="168" ht="20" customHeight="1">
      <c r="B168" s="125" t="n">
        <v>162</v>
      </c>
      <c r="C168" s="72" t="n"/>
      <c r="D168" s="72" t="n"/>
      <c r="E168" s="72" t="n"/>
      <c r="F168" s="72" t="n"/>
      <c r="G168" s="89" t="n"/>
      <c r="H168" s="89" t="n"/>
      <c r="I168" s="109" t="n"/>
      <c r="J168" s="126">
        <f>IF(OR(D168="",ProjStart=""),"",MAX(ProjStart,IF(I168&lt;&gt;"",I168,0),IF(H168="",0,IFERROR(INDEX($L$6:L167,MATCH(H168,$B$6:B167,0))+1,0))))</f>
        <v/>
      </c>
      <c r="K168" s="89" t="n"/>
      <c r="L168" s="126">
        <f>IF(J168="","",J168+MAX(1,G168)+IF(K168="",0,K168)-1)</f>
        <v/>
      </c>
      <c r="M168" s="72" t="n"/>
      <c r="N168" s="109" t="n"/>
      <c r="O168" s="127">
        <f>IF(D168="","",COUNTIF($H$7:$H$1006,B168))</f>
        <v/>
      </c>
      <c r="P168" s="78">
        <f>IF(D168="","",IF(AND(H168&lt;&gt;"",H168&gt;=B168),"⚠️ Predecessor must be above",IF(M168="Done","✓ Done",IF(Q168=3,"🔴 Late",IF(M168="In progress","In progress","")))))</f>
        <v/>
      </c>
      <c r="Q168" s="79">
        <f>IF(OR(D168="",L168=""),"",IF(M168="Done",2,IF(AsOf&gt;L168,3,1)))</f>
        <v/>
      </c>
      <c r="R168" s="79">
        <f>IF(OR(E168="",F168=""),0,IF(COUNTIFS($E$7:E168,E168,$F$7:F168,F168)=1,1,0))</f>
        <v/>
      </c>
      <c r="S168" s="79">
        <f>IF(R168=1,E168&amp;"|"&amp;SUMIFS($R$7:R168,$E$7:E168,E168),"")</f>
        <v/>
      </c>
      <c r="T168" s="112">
        <f>IF(Q168="","",IF(Q168=3,L168,IF(OR(M168="Not started",M168=""),J168,"")))</f>
        <v/>
      </c>
      <c r="U168" s="79">
        <f>IF(T168="","",IF(Q168=3,1,IF(T168="","",IF(T168&lt;AsOf,1,IF(T168&lt;=AsOf+AlertDays,2,IF(T168&lt;=AsOf+2*AlertDays,3,""))))))</f>
        <v/>
      </c>
      <c r="V168" s="79">
        <f>IF(U168="","",IF(Q168=3,"Late task: "&amp;D168,IF(T168&lt;AsOf,"Should have started: ","Starts soon: ")&amp;D168)&amp;IF(F168="",""," — "&amp;F168))</f>
        <v/>
      </c>
    </row>
    <row r="169" ht="20" customHeight="1">
      <c r="B169" s="125" t="n">
        <v>163</v>
      </c>
      <c r="C169" s="72" t="n"/>
      <c r="D169" s="72" t="n"/>
      <c r="E169" s="72" t="n"/>
      <c r="F169" s="72" t="n"/>
      <c r="G169" s="89" t="n"/>
      <c r="H169" s="89" t="n"/>
      <c r="I169" s="109" t="n"/>
      <c r="J169" s="126">
        <f>IF(OR(D169="",ProjStart=""),"",MAX(ProjStart,IF(I169&lt;&gt;"",I169,0),IF(H169="",0,IFERROR(INDEX($L$6:L168,MATCH(H169,$B$6:B168,0))+1,0))))</f>
        <v/>
      </c>
      <c r="K169" s="89" t="n"/>
      <c r="L169" s="126">
        <f>IF(J169="","",J169+MAX(1,G169)+IF(K169="",0,K169)-1)</f>
        <v/>
      </c>
      <c r="M169" s="72" t="n"/>
      <c r="N169" s="109" t="n"/>
      <c r="O169" s="127">
        <f>IF(D169="","",COUNTIF($H$7:$H$1006,B169))</f>
        <v/>
      </c>
      <c r="P169" s="78">
        <f>IF(D169="","",IF(AND(H169&lt;&gt;"",H169&gt;=B169),"⚠️ Predecessor must be above",IF(M169="Done","✓ Done",IF(Q169=3,"🔴 Late",IF(M169="In progress","In progress","")))))</f>
        <v/>
      </c>
      <c r="Q169" s="79">
        <f>IF(OR(D169="",L169=""),"",IF(M169="Done",2,IF(AsOf&gt;L169,3,1)))</f>
        <v/>
      </c>
      <c r="R169" s="79">
        <f>IF(OR(E169="",F169=""),0,IF(COUNTIFS($E$7:E169,E169,$F$7:F169,F169)=1,1,0))</f>
        <v/>
      </c>
      <c r="S169" s="79">
        <f>IF(R169=1,E169&amp;"|"&amp;SUMIFS($R$7:R169,$E$7:E169,E169),"")</f>
        <v/>
      </c>
      <c r="T169" s="112">
        <f>IF(Q169="","",IF(Q169=3,L169,IF(OR(M169="Not started",M169=""),J169,"")))</f>
        <v/>
      </c>
      <c r="U169" s="79">
        <f>IF(T169="","",IF(Q169=3,1,IF(T169="","",IF(T169&lt;AsOf,1,IF(T169&lt;=AsOf+AlertDays,2,IF(T169&lt;=AsOf+2*AlertDays,3,""))))))</f>
        <v/>
      </c>
      <c r="V169" s="79">
        <f>IF(U169="","",IF(Q169=3,"Late task: "&amp;D169,IF(T169&lt;AsOf,"Should have started: ","Starts soon: ")&amp;D169)&amp;IF(F169="",""," — "&amp;F169))</f>
        <v/>
      </c>
    </row>
    <row r="170" ht="20" customHeight="1">
      <c r="B170" s="125" t="n">
        <v>164</v>
      </c>
      <c r="C170" s="72" t="n"/>
      <c r="D170" s="72" t="n"/>
      <c r="E170" s="72" t="n"/>
      <c r="F170" s="72" t="n"/>
      <c r="G170" s="89" t="n"/>
      <c r="H170" s="89" t="n"/>
      <c r="I170" s="109" t="n"/>
      <c r="J170" s="126">
        <f>IF(OR(D170="",ProjStart=""),"",MAX(ProjStart,IF(I170&lt;&gt;"",I170,0),IF(H170="",0,IFERROR(INDEX($L$6:L169,MATCH(H170,$B$6:B169,0))+1,0))))</f>
        <v/>
      </c>
      <c r="K170" s="89" t="n"/>
      <c r="L170" s="126">
        <f>IF(J170="","",J170+MAX(1,G170)+IF(K170="",0,K170)-1)</f>
        <v/>
      </c>
      <c r="M170" s="72" t="n"/>
      <c r="N170" s="109" t="n"/>
      <c r="O170" s="127">
        <f>IF(D170="","",COUNTIF($H$7:$H$1006,B170))</f>
        <v/>
      </c>
      <c r="P170" s="78">
        <f>IF(D170="","",IF(AND(H170&lt;&gt;"",H170&gt;=B170),"⚠️ Predecessor must be above",IF(M170="Done","✓ Done",IF(Q170=3,"🔴 Late",IF(M170="In progress","In progress","")))))</f>
        <v/>
      </c>
      <c r="Q170" s="79">
        <f>IF(OR(D170="",L170=""),"",IF(M170="Done",2,IF(AsOf&gt;L170,3,1)))</f>
        <v/>
      </c>
      <c r="R170" s="79">
        <f>IF(OR(E170="",F170=""),0,IF(COUNTIFS($E$7:E170,E170,$F$7:F170,F170)=1,1,0))</f>
        <v/>
      </c>
      <c r="S170" s="79">
        <f>IF(R170=1,E170&amp;"|"&amp;SUMIFS($R$7:R170,$E$7:E170,E170),"")</f>
        <v/>
      </c>
      <c r="T170" s="112">
        <f>IF(Q170="","",IF(Q170=3,L170,IF(OR(M170="Not started",M170=""),J170,"")))</f>
        <v/>
      </c>
      <c r="U170" s="79">
        <f>IF(T170="","",IF(Q170=3,1,IF(T170="","",IF(T170&lt;AsOf,1,IF(T170&lt;=AsOf+AlertDays,2,IF(T170&lt;=AsOf+2*AlertDays,3,""))))))</f>
        <v/>
      </c>
      <c r="V170" s="79">
        <f>IF(U170="","",IF(Q170=3,"Late task: "&amp;D170,IF(T170&lt;AsOf,"Should have started: ","Starts soon: ")&amp;D170)&amp;IF(F170="",""," — "&amp;F170))</f>
        <v/>
      </c>
    </row>
    <row r="171" ht="20" customHeight="1">
      <c r="B171" s="125" t="n">
        <v>165</v>
      </c>
      <c r="C171" s="72" t="n"/>
      <c r="D171" s="72" t="n"/>
      <c r="E171" s="72" t="n"/>
      <c r="F171" s="72" t="n"/>
      <c r="G171" s="89" t="n"/>
      <c r="H171" s="89" t="n"/>
      <c r="I171" s="109" t="n"/>
      <c r="J171" s="126">
        <f>IF(OR(D171="",ProjStart=""),"",MAX(ProjStart,IF(I171&lt;&gt;"",I171,0),IF(H171="",0,IFERROR(INDEX($L$6:L170,MATCH(H171,$B$6:B170,0))+1,0))))</f>
        <v/>
      </c>
      <c r="K171" s="89" t="n"/>
      <c r="L171" s="126">
        <f>IF(J171="","",J171+MAX(1,G171)+IF(K171="",0,K171)-1)</f>
        <v/>
      </c>
      <c r="M171" s="72" t="n"/>
      <c r="N171" s="109" t="n"/>
      <c r="O171" s="127">
        <f>IF(D171="","",COUNTIF($H$7:$H$1006,B171))</f>
        <v/>
      </c>
      <c r="P171" s="78">
        <f>IF(D171="","",IF(AND(H171&lt;&gt;"",H171&gt;=B171),"⚠️ Predecessor must be above",IF(M171="Done","✓ Done",IF(Q171=3,"🔴 Late",IF(M171="In progress","In progress","")))))</f>
        <v/>
      </c>
      <c r="Q171" s="79">
        <f>IF(OR(D171="",L171=""),"",IF(M171="Done",2,IF(AsOf&gt;L171,3,1)))</f>
        <v/>
      </c>
      <c r="R171" s="79">
        <f>IF(OR(E171="",F171=""),0,IF(COUNTIFS($E$7:E171,E171,$F$7:F171,F171)=1,1,0))</f>
        <v/>
      </c>
      <c r="S171" s="79">
        <f>IF(R171=1,E171&amp;"|"&amp;SUMIFS($R$7:R171,$E$7:E171,E171),"")</f>
        <v/>
      </c>
      <c r="T171" s="112">
        <f>IF(Q171="","",IF(Q171=3,L171,IF(OR(M171="Not started",M171=""),J171,"")))</f>
        <v/>
      </c>
      <c r="U171" s="79">
        <f>IF(T171="","",IF(Q171=3,1,IF(T171="","",IF(T171&lt;AsOf,1,IF(T171&lt;=AsOf+AlertDays,2,IF(T171&lt;=AsOf+2*AlertDays,3,""))))))</f>
        <v/>
      </c>
      <c r="V171" s="79">
        <f>IF(U171="","",IF(Q171=3,"Late task: "&amp;D171,IF(T171&lt;AsOf,"Should have started: ","Starts soon: ")&amp;D171)&amp;IF(F171="",""," — "&amp;F171))</f>
        <v/>
      </c>
    </row>
    <row r="172" ht="20" customHeight="1">
      <c r="B172" s="125" t="n">
        <v>166</v>
      </c>
      <c r="C172" s="72" t="n"/>
      <c r="D172" s="72" t="n"/>
      <c r="E172" s="72" t="n"/>
      <c r="F172" s="72" t="n"/>
      <c r="G172" s="89" t="n"/>
      <c r="H172" s="89" t="n"/>
      <c r="I172" s="109" t="n"/>
      <c r="J172" s="126">
        <f>IF(OR(D172="",ProjStart=""),"",MAX(ProjStart,IF(I172&lt;&gt;"",I172,0),IF(H172="",0,IFERROR(INDEX($L$6:L171,MATCH(H172,$B$6:B171,0))+1,0))))</f>
        <v/>
      </c>
      <c r="K172" s="89" t="n"/>
      <c r="L172" s="126">
        <f>IF(J172="","",J172+MAX(1,G172)+IF(K172="",0,K172)-1)</f>
        <v/>
      </c>
      <c r="M172" s="72" t="n"/>
      <c r="N172" s="109" t="n"/>
      <c r="O172" s="127">
        <f>IF(D172="","",COUNTIF($H$7:$H$1006,B172))</f>
        <v/>
      </c>
      <c r="P172" s="78">
        <f>IF(D172="","",IF(AND(H172&lt;&gt;"",H172&gt;=B172),"⚠️ Predecessor must be above",IF(M172="Done","✓ Done",IF(Q172=3,"🔴 Late",IF(M172="In progress","In progress","")))))</f>
        <v/>
      </c>
      <c r="Q172" s="79">
        <f>IF(OR(D172="",L172=""),"",IF(M172="Done",2,IF(AsOf&gt;L172,3,1)))</f>
        <v/>
      </c>
      <c r="R172" s="79">
        <f>IF(OR(E172="",F172=""),0,IF(COUNTIFS($E$7:E172,E172,$F$7:F172,F172)=1,1,0))</f>
        <v/>
      </c>
      <c r="S172" s="79">
        <f>IF(R172=1,E172&amp;"|"&amp;SUMIFS($R$7:R172,$E$7:E172,E172),"")</f>
        <v/>
      </c>
      <c r="T172" s="112">
        <f>IF(Q172="","",IF(Q172=3,L172,IF(OR(M172="Not started",M172=""),J172,"")))</f>
        <v/>
      </c>
      <c r="U172" s="79">
        <f>IF(T172="","",IF(Q172=3,1,IF(T172="","",IF(T172&lt;AsOf,1,IF(T172&lt;=AsOf+AlertDays,2,IF(T172&lt;=AsOf+2*AlertDays,3,""))))))</f>
        <v/>
      </c>
      <c r="V172" s="79">
        <f>IF(U172="","",IF(Q172=3,"Late task: "&amp;D172,IF(T172&lt;AsOf,"Should have started: ","Starts soon: ")&amp;D172)&amp;IF(F172="",""," — "&amp;F172))</f>
        <v/>
      </c>
    </row>
    <row r="173" ht="20" customHeight="1">
      <c r="B173" s="125" t="n">
        <v>167</v>
      </c>
      <c r="C173" s="72" t="n"/>
      <c r="D173" s="72" t="n"/>
      <c r="E173" s="72" t="n"/>
      <c r="F173" s="72" t="n"/>
      <c r="G173" s="89" t="n"/>
      <c r="H173" s="89" t="n"/>
      <c r="I173" s="109" t="n"/>
      <c r="J173" s="126">
        <f>IF(OR(D173="",ProjStart=""),"",MAX(ProjStart,IF(I173&lt;&gt;"",I173,0),IF(H173="",0,IFERROR(INDEX($L$6:L172,MATCH(H173,$B$6:B172,0))+1,0))))</f>
        <v/>
      </c>
      <c r="K173" s="89" t="n"/>
      <c r="L173" s="126">
        <f>IF(J173="","",J173+MAX(1,G173)+IF(K173="",0,K173)-1)</f>
        <v/>
      </c>
      <c r="M173" s="72" t="n"/>
      <c r="N173" s="109" t="n"/>
      <c r="O173" s="127">
        <f>IF(D173="","",COUNTIF($H$7:$H$1006,B173))</f>
        <v/>
      </c>
      <c r="P173" s="78">
        <f>IF(D173="","",IF(AND(H173&lt;&gt;"",H173&gt;=B173),"⚠️ Predecessor must be above",IF(M173="Done","✓ Done",IF(Q173=3,"🔴 Late",IF(M173="In progress","In progress","")))))</f>
        <v/>
      </c>
      <c r="Q173" s="79">
        <f>IF(OR(D173="",L173=""),"",IF(M173="Done",2,IF(AsOf&gt;L173,3,1)))</f>
        <v/>
      </c>
      <c r="R173" s="79">
        <f>IF(OR(E173="",F173=""),0,IF(COUNTIFS($E$7:E173,E173,$F$7:F173,F173)=1,1,0))</f>
        <v/>
      </c>
      <c r="S173" s="79">
        <f>IF(R173=1,E173&amp;"|"&amp;SUMIFS($R$7:R173,$E$7:E173,E173),"")</f>
        <v/>
      </c>
      <c r="T173" s="112">
        <f>IF(Q173="","",IF(Q173=3,L173,IF(OR(M173="Not started",M173=""),J173,"")))</f>
        <v/>
      </c>
      <c r="U173" s="79">
        <f>IF(T173="","",IF(Q173=3,1,IF(T173="","",IF(T173&lt;AsOf,1,IF(T173&lt;=AsOf+AlertDays,2,IF(T173&lt;=AsOf+2*AlertDays,3,""))))))</f>
        <v/>
      </c>
      <c r="V173" s="79">
        <f>IF(U173="","",IF(Q173=3,"Late task: "&amp;D173,IF(T173&lt;AsOf,"Should have started: ","Starts soon: ")&amp;D173)&amp;IF(F173="",""," — "&amp;F173))</f>
        <v/>
      </c>
    </row>
    <row r="174" ht="20" customHeight="1">
      <c r="B174" s="125" t="n">
        <v>168</v>
      </c>
      <c r="C174" s="72" t="n"/>
      <c r="D174" s="72" t="n"/>
      <c r="E174" s="72" t="n"/>
      <c r="F174" s="72" t="n"/>
      <c r="G174" s="89" t="n"/>
      <c r="H174" s="89" t="n"/>
      <c r="I174" s="109" t="n"/>
      <c r="J174" s="126">
        <f>IF(OR(D174="",ProjStart=""),"",MAX(ProjStart,IF(I174&lt;&gt;"",I174,0),IF(H174="",0,IFERROR(INDEX($L$6:L173,MATCH(H174,$B$6:B173,0))+1,0))))</f>
        <v/>
      </c>
      <c r="K174" s="89" t="n"/>
      <c r="L174" s="126">
        <f>IF(J174="","",J174+MAX(1,G174)+IF(K174="",0,K174)-1)</f>
        <v/>
      </c>
      <c r="M174" s="72" t="n"/>
      <c r="N174" s="109" t="n"/>
      <c r="O174" s="127">
        <f>IF(D174="","",COUNTIF($H$7:$H$1006,B174))</f>
        <v/>
      </c>
      <c r="P174" s="78">
        <f>IF(D174="","",IF(AND(H174&lt;&gt;"",H174&gt;=B174),"⚠️ Predecessor must be above",IF(M174="Done","✓ Done",IF(Q174=3,"🔴 Late",IF(M174="In progress","In progress","")))))</f>
        <v/>
      </c>
      <c r="Q174" s="79">
        <f>IF(OR(D174="",L174=""),"",IF(M174="Done",2,IF(AsOf&gt;L174,3,1)))</f>
        <v/>
      </c>
      <c r="R174" s="79">
        <f>IF(OR(E174="",F174=""),0,IF(COUNTIFS($E$7:E174,E174,$F$7:F174,F174)=1,1,0))</f>
        <v/>
      </c>
      <c r="S174" s="79">
        <f>IF(R174=1,E174&amp;"|"&amp;SUMIFS($R$7:R174,$E$7:E174,E174),"")</f>
        <v/>
      </c>
      <c r="T174" s="112">
        <f>IF(Q174="","",IF(Q174=3,L174,IF(OR(M174="Not started",M174=""),J174,"")))</f>
        <v/>
      </c>
      <c r="U174" s="79">
        <f>IF(T174="","",IF(Q174=3,1,IF(T174="","",IF(T174&lt;AsOf,1,IF(T174&lt;=AsOf+AlertDays,2,IF(T174&lt;=AsOf+2*AlertDays,3,""))))))</f>
        <v/>
      </c>
      <c r="V174" s="79">
        <f>IF(U174="","",IF(Q174=3,"Late task: "&amp;D174,IF(T174&lt;AsOf,"Should have started: ","Starts soon: ")&amp;D174)&amp;IF(F174="",""," — "&amp;F174))</f>
        <v/>
      </c>
    </row>
    <row r="175" ht="20" customHeight="1">
      <c r="B175" s="125" t="n">
        <v>169</v>
      </c>
      <c r="C175" s="72" t="n"/>
      <c r="D175" s="72" t="n"/>
      <c r="E175" s="72" t="n"/>
      <c r="F175" s="72" t="n"/>
      <c r="G175" s="89" t="n"/>
      <c r="H175" s="89" t="n"/>
      <c r="I175" s="109" t="n"/>
      <c r="J175" s="126">
        <f>IF(OR(D175="",ProjStart=""),"",MAX(ProjStart,IF(I175&lt;&gt;"",I175,0),IF(H175="",0,IFERROR(INDEX($L$6:L174,MATCH(H175,$B$6:B174,0))+1,0))))</f>
        <v/>
      </c>
      <c r="K175" s="89" t="n"/>
      <c r="L175" s="126">
        <f>IF(J175="","",J175+MAX(1,G175)+IF(K175="",0,K175)-1)</f>
        <v/>
      </c>
      <c r="M175" s="72" t="n"/>
      <c r="N175" s="109" t="n"/>
      <c r="O175" s="127">
        <f>IF(D175="","",COUNTIF($H$7:$H$1006,B175))</f>
        <v/>
      </c>
      <c r="P175" s="78">
        <f>IF(D175="","",IF(AND(H175&lt;&gt;"",H175&gt;=B175),"⚠️ Predecessor must be above",IF(M175="Done","✓ Done",IF(Q175=3,"🔴 Late",IF(M175="In progress","In progress","")))))</f>
        <v/>
      </c>
      <c r="Q175" s="79">
        <f>IF(OR(D175="",L175=""),"",IF(M175="Done",2,IF(AsOf&gt;L175,3,1)))</f>
        <v/>
      </c>
      <c r="R175" s="79">
        <f>IF(OR(E175="",F175=""),0,IF(COUNTIFS($E$7:E175,E175,$F$7:F175,F175)=1,1,0))</f>
        <v/>
      </c>
      <c r="S175" s="79">
        <f>IF(R175=1,E175&amp;"|"&amp;SUMIFS($R$7:R175,$E$7:E175,E175),"")</f>
        <v/>
      </c>
      <c r="T175" s="112">
        <f>IF(Q175="","",IF(Q175=3,L175,IF(OR(M175="Not started",M175=""),J175,"")))</f>
        <v/>
      </c>
      <c r="U175" s="79">
        <f>IF(T175="","",IF(Q175=3,1,IF(T175="","",IF(T175&lt;AsOf,1,IF(T175&lt;=AsOf+AlertDays,2,IF(T175&lt;=AsOf+2*AlertDays,3,""))))))</f>
        <v/>
      </c>
      <c r="V175" s="79">
        <f>IF(U175="","",IF(Q175=3,"Late task: "&amp;D175,IF(T175&lt;AsOf,"Should have started: ","Starts soon: ")&amp;D175)&amp;IF(F175="",""," — "&amp;F175))</f>
        <v/>
      </c>
    </row>
    <row r="176" ht="20" customHeight="1">
      <c r="B176" s="125" t="n">
        <v>170</v>
      </c>
      <c r="C176" s="72" t="n"/>
      <c r="D176" s="72" t="n"/>
      <c r="E176" s="72" t="n"/>
      <c r="F176" s="72" t="n"/>
      <c r="G176" s="89" t="n"/>
      <c r="H176" s="89" t="n"/>
      <c r="I176" s="109" t="n"/>
      <c r="J176" s="126">
        <f>IF(OR(D176="",ProjStart=""),"",MAX(ProjStart,IF(I176&lt;&gt;"",I176,0),IF(H176="",0,IFERROR(INDEX($L$6:L175,MATCH(H176,$B$6:B175,0))+1,0))))</f>
        <v/>
      </c>
      <c r="K176" s="89" t="n"/>
      <c r="L176" s="126">
        <f>IF(J176="","",J176+MAX(1,G176)+IF(K176="",0,K176)-1)</f>
        <v/>
      </c>
      <c r="M176" s="72" t="n"/>
      <c r="N176" s="109" t="n"/>
      <c r="O176" s="127">
        <f>IF(D176="","",COUNTIF($H$7:$H$1006,B176))</f>
        <v/>
      </c>
      <c r="P176" s="78">
        <f>IF(D176="","",IF(AND(H176&lt;&gt;"",H176&gt;=B176),"⚠️ Predecessor must be above",IF(M176="Done","✓ Done",IF(Q176=3,"🔴 Late",IF(M176="In progress","In progress","")))))</f>
        <v/>
      </c>
      <c r="Q176" s="79">
        <f>IF(OR(D176="",L176=""),"",IF(M176="Done",2,IF(AsOf&gt;L176,3,1)))</f>
        <v/>
      </c>
      <c r="R176" s="79">
        <f>IF(OR(E176="",F176=""),0,IF(COUNTIFS($E$7:E176,E176,$F$7:F176,F176)=1,1,0))</f>
        <v/>
      </c>
      <c r="S176" s="79">
        <f>IF(R176=1,E176&amp;"|"&amp;SUMIFS($R$7:R176,$E$7:E176,E176),"")</f>
        <v/>
      </c>
      <c r="T176" s="112">
        <f>IF(Q176="","",IF(Q176=3,L176,IF(OR(M176="Not started",M176=""),J176,"")))</f>
        <v/>
      </c>
      <c r="U176" s="79">
        <f>IF(T176="","",IF(Q176=3,1,IF(T176="","",IF(T176&lt;AsOf,1,IF(T176&lt;=AsOf+AlertDays,2,IF(T176&lt;=AsOf+2*AlertDays,3,""))))))</f>
        <v/>
      </c>
      <c r="V176" s="79">
        <f>IF(U176="","",IF(Q176=3,"Late task: "&amp;D176,IF(T176&lt;AsOf,"Should have started: ","Starts soon: ")&amp;D176)&amp;IF(F176="",""," — "&amp;F176))</f>
        <v/>
      </c>
    </row>
    <row r="177" ht="20" customHeight="1">
      <c r="B177" s="125" t="n">
        <v>171</v>
      </c>
      <c r="C177" s="72" t="n"/>
      <c r="D177" s="72" t="n"/>
      <c r="E177" s="72" t="n"/>
      <c r="F177" s="72" t="n"/>
      <c r="G177" s="89" t="n"/>
      <c r="H177" s="89" t="n"/>
      <c r="I177" s="109" t="n"/>
      <c r="J177" s="126">
        <f>IF(OR(D177="",ProjStart=""),"",MAX(ProjStart,IF(I177&lt;&gt;"",I177,0),IF(H177="",0,IFERROR(INDEX($L$6:L176,MATCH(H177,$B$6:B176,0))+1,0))))</f>
        <v/>
      </c>
      <c r="K177" s="89" t="n"/>
      <c r="L177" s="126">
        <f>IF(J177="","",J177+MAX(1,G177)+IF(K177="",0,K177)-1)</f>
        <v/>
      </c>
      <c r="M177" s="72" t="n"/>
      <c r="N177" s="109" t="n"/>
      <c r="O177" s="127">
        <f>IF(D177="","",COUNTIF($H$7:$H$1006,B177))</f>
        <v/>
      </c>
      <c r="P177" s="78">
        <f>IF(D177="","",IF(AND(H177&lt;&gt;"",H177&gt;=B177),"⚠️ Predecessor must be above",IF(M177="Done","✓ Done",IF(Q177=3,"🔴 Late",IF(M177="In progress","In progress","")))))</f>
        <v/>
      </c>
      <c r="Q177" s="79">
        <f>IF(OR(D177="",L177=""),"",IF(M177="Done",2,IF(AsOf&gt;L177,3,1)))</f>
        <v/>
      </c>
      <c r="R177" s="79">
        <f>IF(OR(E177="",F177=""),0,IF(COUNTIFS($E$7:E177,E177,$F$7:F177,F177)=1,1,0))</f>
        <v/>
      </c>
      <c r="S177" s="79">
        <f>IF(R177=1,E177&amp;"|"&amp;SUMIFS($R$7:R177,$E$7:E177,E177),"")</f>
        <v/>
      </c>
      <c r="T177" s="112">
        <f>IF(Q177="","",IF(Q177=3,L177,IF(OR(M177="Not started",M177=""),J177,"")))</f>
        <v/>
      </c>
      <c r="U177" s="79">
        <f>IF(T177="","",IF(Q177=3,1,IF(T177="","",IF(T177&lt;AsOf,1,IF(T177&lt;=AsOf+AlertDays,2,IF(T177&lt;=AsOf+2*AlertDays,3,""))))))</f>
        <v/>
      </c>
      <c r="V177" s="79">
        <f>IF(U177="","",IF(Q177=3,"Late task: "&amp;D177,IF(T177&lt;AsOf,"Should have started: ","Starts soon: ")&amp;D177)&amp;IF(F177="",""," — "&amp;F177))</f>
        <v/>
      </c>
    </row>
    <row r="178" ht="20" customHeight="1">
      <c r="B178" s="125" t="n">
        <v>172</v>
      </c>
      <c r="C178" s="72" t="n"/>
      <c r="D178" s="72" t="n"/>
      <c r="E178" s="72" t="n"/>
      <c r="F178" s="72" t="n"/>
      <c r="G178" s="89" t="n"/>
      <c r="H178" s="89" t="n"/>
      <c r="I178" s="109" t="n"/>
      <c r="J178" s="126">
        <f>IF(OR(D178="",ProjStart=""),"",MAX(ProjStart,IF(I178&lt;&gt;"",I178,0),IF(H178="",0,IFERROR(INDEX($L$6:L177,MATCH(H178,$B$6:B177,0))+1,0))))</f>
        <v/>
      </c>
      <c r="K178" s="89" t="n"/>
      <c r="L178" s="126">
        <f>IF(J178="","",J178+MAX(1,G178)+IF(K178="",0,K178)-1)</f>
        <v/>
      </c>
      <c r="M178" s="72" t="n"/>
      <c r="N178" s="109" t="n"/>
      <c r="O178" s="127">
        <f>IF(D178="","",COUNTIF($H$7:$H$1006,B178))</f>
        <v/>
      </c>
      <c r="P178" s="78">
        <f>IF(D178="","",IF(AND(H178&lt;&gt;"",H178&gt;=B178),"⚠️ Predecessor must be above",IF(M178="Done","✓ Done",IF(Q178=3,"🔴 Late",IF(M178="In progress","In progress","")))))</f>
        <v/>
      </c>
      <c r="Q178" s="79">
        <f>IF(OR(D178="",L178=""),"",IF(M178="Done",2,IF(AsOf&gt;L178,3,1)))</f>
        <v/>
      </c>
      <c r="R178" s="79">
        <f>IF(OR(E178="",F178=""),0,IF(COUNTIFS($E$7:E178,E178,$F$7:F178,F178)=1,1,0))</f>
        <v/>
      </c>
      <c r="S178" s="79">
        <f>IF(R178=1,E178&amp;"|"&amp;SUMIFS($R$7:R178,$E$7:E178,E178),"")</f>
        <v/>
      </c>
      <c r="T178" s="112">
        <f>IF(Q178="","",IF(Q178=3,L178,IF(OR(M178="Not started",M178=""),J178,"")))</f>
        <v/>
      </c>
      <c r="U178" s="79">
        <f>IF(T178="","",IF(Q178=3,1,IF(T178="","",IF(T178&lt;AsOf,1,IF(T178&lt;=AsOf+AlertDays,2,IF(T178&lt;=AsOf+2*AlertDays,3,""))))))</f>
        <v/>
      </c>
      <c r="V178" s="79">
        <f>IF(U178="","",IF(Q178=3,"Late task: "&amp;D178,IF(T178&lt;AsOf,"Should have started: ","Starts soon: ")&amp;D178)&amp;IF(F178="",""," — "&amp;F178))</f>
        <v/>
      </c>
    </row>
    <row r="179" ht="20" customHeight="1">
      <c r="B179" s="125" t="n">
        <v>173</v>
      </c>
      <c r="C179" s="72" t="n"/>
      <c r="D179" s="72" t="n"/>
      <c r="E179" s="72" t="n"/>
      <c r="F179" s="72" t="n"/>
      <c r="G179" s="89" t="n"/>
      <c r="H179" s="89" t="n"/>
      <c r="I179" s="109" t="n"/>
      <c r="J179" s="126">
        <f>IF(OR(D179="",ProjStart=""),"",MAX(ProjStart,IF(I179&lt;&gt;"",I179,0),IF(H179="",0,IFERROR(INDEX($L$6:L178,MATCH(H179,$B$6:B178,0))+1,0))))</f>
        <v/>
      </c>
      <c r="K179" s="89" t="n"/>
      <c r="L179" s="126">
        <f>IF(J179="","",J179+MAX(1,G179)+IF(K179="",0,K179)-1)</f>
        <v/>
      </c>
      <c r="M179" s="72" t="n"/>
      <c r="N179" s="109" t="n"/>
      <c r="O179" s="127">
        <f>IF(D179="","",COUNTIF($H$7:$H$1006,B179))</f>
        <v/>
      </c>
      <c r="P179" s="78">
        <f>IF(D179="","",IF(AND(H179&lt;&gt;"",H179&gt;=B179),"⚠️ Predecessor must be above",IF(M179="Done","✓ Done",IF(Q179=3,"🔴 Late",IF(M179="In progress","In progress","")))))</f>
        <v/>
      </c>
      <c r="Q179" s="79">
        <f>IF(OR(D179="",L179=""),"",IF(M179="Done",2,IF(AsOf&gt;L179,3,1)))</f>
        <v/>
      </c>
      <c r="R179" s="79">
        <f>IF(OR(E179="",F179=""),0,IF(COUNTIFS($E$7:E179,E179,$F$7:F179,F179)=1,1,0))</f>
        <v/>
      </c>
      <c r="S179" s="79">
        <f>IF(R179=1,E179&amp;"|"&amp;SUMIFS($R$7:R179,$E$7:E179,E179),"")</f>
        <v/>
      </c>
      <c r="T179" s="112">
        <f>IF(Q179="","",IF(Q179=3,L179,IF(OR(M179="Not started",M179=""),J179,"")))</f>
        <v/>
      </c>
      <c r="U179" s="79">
        <f>IF(T179="","",IF(Q179=3,1,IF(T179="","",IF(T179&lt;AsOf,1,IF(T179&lt;=AsOf+AlertDays,2,IF(T179&lt;=AsOf+2*AlertDays,3,""))))))</f>
        <v/>
      </c>
      <c r="V179" s="79">
        <f>IF(U179="","",IF(Q179=3,"Late task: "&amp;D179,IF(T179&lt;AsOf,"Should have started: ","Starts soon: ")&amp;D179)&amp;IF(F179="",""," — "&amp;F179))</f>
        <v/>
      </c>
    </row>
    <row r="180" ht="20" customHeight="1">
      <c r="B180" s="125" t="n">
        <v>174</v>
      </c>
      <c r="C180" s="72" t="n"/>
      <c r="D180" s="72" t="n"/>
      <c r="E180" s="72" t="n"/>
      <c r="F180" s="72" t="n"/>
      <c r="G180" s="89" t="n"/>
      <c r="H180" s="89" t="n"/>
      <c r="I180" s="109" t="n"/>
      <c r="J180" s="126">
        <f>IF(OR(D180="",ProjStart=""),"",MAX(ProjStart,IF(I180&lt;&gt;"",I180,0),IF(H180="",0,IFERROR(INDEX($L$6:L179,MATCH(H180,$B$6:B179,0))+1,0))))</f>
        <v/>
      </c>
      <c r="K180" s="89" t="n"/>
      <c r="L180" s="126">
        <f>IF(J180="","",J180+MAX(1,G180)+IF(K180="",0,K180)-1)</f>
        <v/>
      </c>
      <c r="M180" s="72" t="n"/>
      <c r="N180" s="109" t="n"/>
      <c r="O180" s="127">
        <f>IF(D180="","",COUNTIF($H$7:$H$1006,B180))</f>
        <v/>
      </c>
      <c r="P180" s="78">
        <f>IF(D180="","",IF(AND(H180&lt;&gt;"",H180&gt;=B180),"⚠️ Predecessor must be above",IF(M180="Done","✓ Done",IF(Q180=3,"🔴 Late",IF(M180="In progress","In progress","")))))</f>
        <v/>
      </c>
      <c r="Q180" s="79">
        <f>IF(OR(D180="",L180=""),"",IF(M180="Done",2,IF(AsOf&gt;L180,3,1)))</f>
        <v/>
      </c>
      <c r="R180" s="79">
        <f>IF(OR(E180="",F180=""),0,IF(COUNTIFS($E$7:E180,E180,$F$7:F180,F180)=1,1,0))</f>
        <v/>
      </c>
      <c r="S180" s="79">
        <f>IF(R180=1,E180&amp;"|"&amp;SUMIFS($R$7:R180,$E$7:E180,E180),"")</f>
        <v/>
      </c>
      <c r="T180" s="112">
        <f>IF(Q180="","",IF(Q180=3,L180,IF(OR(M180="Not started",M180=""),J180,"")))</f>
        <v/>
      </c>
      <c r="U180" s="79">
        <f>IF(T180="","",IF(Q180=3,1,IF(T180="","",IF(T180&lt;AsOf,1,IF(T180&lt;=AsOf+AlertDays,2,IF(T180&lt;=AsOf+2*AlertDays,3,""))))))</f>
        <v/>
      </c>
      <c r="V180" s="79">
        <f>IF(U180="","",IF(Q180=3,"Late task: "&amp;D180,IF(T180&lt;AsOf,"Should have started: ","Starts soon: ")&amp;D180)&amp;IF(F180="",""," — "&amp;F180))</f>
        <v/>
      </c>
    </row>
    <row r="181" ht="20" customHeight="1">
      <c r="B181" s="125" t="n">
        <v>175</v>
      </c>
      <c r="C181" s="72" t="n"/>
      <c r="D181" s="72" t="n"/>
      <c r="E181" s="72" t="n"/>
      <c r="F181" s="72" t="n"/>
      <c r="G181" s="89" t="n"/>
      <c r="H181" s="89" t="n"/>
      <c r="I181" s="109" t="n"/>
      <c r="J181" s="126">
        <f>IF(OR(D181="",ProjStart=""),"",MAX(ProjStart,IF(I181&lt;&gt;"",I181,0),IF(H181="",0,IFERROR(INDEX($L$6:L180,MATCH(H181,$B$6:B180,0))+1,0))))</f>
        <v/>
      </c>
      <c r="K181" s="89" t="n"/>
      <c r="L181" s="126">
        <f>IF(J181="","",J181+MAX(1,G181)+IF(K181="",0,K181)-1)</f>
        <v/>
      </c>
      <c r="M181" s="72" t="n"/>
      <c r="N181" s="109" t="n"/>
      <c r="O181" s="127">
        <f>IF(D181="","",COUNTIF($H$7:$H$1006,B181))</f>
        <v/>
      </c>
      <c r="P181" s="78">
        <f>IF(D181="","",IF(AND(H181&lt;&gt;"",H181&gt;=B181),"⚠️ Predecessor must be above",IF(M181="Done","✓ Done",IF(Q181=3,"🔴 Late",IF(M181="In progress","In progress","")))))</f>
        <v/>
      </c>
      <c r="Q181" s="79">
        <f>IF(OR(D181="",L181=""),"",IF(M181="Done",2,IF(AsOf&gt;L181,3,1)))</f>
        <v/>
      </c>
      <c r="R181" s="79">
        <f>IF(OR(E181="",F181=""),0,IF(COUNTIFS($E$7:E181,E181,$F$7:F181,F181)=1,1,0))</f>
        <v/>
      </c>
      <c r="S181" s="79">
        <f>IF(R181=1,E181&amp;"|"&amp;SUMIFS($R$7:R181,$E$7:E181,E181),"")</f>
        <v/>
      </c>
      <c r="T181" s="112">
        <f>IF(Q181="","",IF(Q181=3,L181,IF(OR(M181="Not started",M181=""),J181,"")))</f>
        <v/>
      </c>
      <c r="U181" s="79">
        <f>IF(T181="","",IF(Q181=3,1,IF(T181="","",IF(T181&lt;AsOf,1,IF(T181&lt;=AsOf+AlertDays,2,IF(T181&lt;=AsOf+2*AlertDays,3,""))))))</f>
        <v/>
      </c>
      <c r="V181" s="79">
        <f>IF(U181="","",IF(Q181=3,"Late task: "&amp;D181,IF(T181&lt;AsOf,"Should have started: ","Starts soon: ")&amp;D181)&amp;IF(F181="",""," — "&amp;F181))</f>
        <v/>
      </c>
    </row>
    <row r="182" ht="20" customHeight="1">
      <c r="B182" s="125" t="n">
        <v>176</v>
      </c>
      <c r="C182" s="72" t="n"/>
      <c r="D182" s="72" t="n"/>
      <c r="E182" s="72" t="n"/>
      <c r="F182" s="72" t="n"/>
      <c r="G182" s="89" t="n"/>
      <c r="H182" s="89" t="n"/>
      <c r="I182" s="109" t="n"/>
      <c r="J182" s="126">
        <f>IF(OR(D182="",ProjStart=""),"",MAX(ProjStart,IF(I182&lt;&gt;"",I182,0),IF(H182="",0,IFERROR(INDEX($L$6:L181,MATCH(H182,$B$6:B181,0))+1,0))))</f>
        <v/>
      </c>
      <c r="K182" s="89" t="n"/>
      <c r="L182" s="126">
        <f>IF(J182="","",J182+MAX(1,G182)+IF(K182="",0,K182)-1)</f>
        <v/>
      </c>
      <c r="M182" s="72" t="n"/>
      <c r="N182" s="109" t="n"/>
      <c r="O182" s="127">
        <f>IF(D182="","",COUNTIF($H$7:$H$1006,B182))</f>
        <v/>
      </c>
      <c r="P182" s="78">
        <f>IF(D182="","",IF(AND(H182&lt;&gt;"",H182&gt;=B182),"⚠️ Predecessor must be above",IF(M182="Done","✓ Done",IF(Q182=3,"🔴 Late",IF(M182="In progress","In progress","")))))</f>
        <v/>
      </c>
      <c r="Q182" s="79">
        <f>IF(OR(D182="",L182=""),"",IF(M182="Done",2,IF(AsOf&gt;L182,3,1)))</f>
        <v/>
      </c>
      <c r="R182" s="79">
        <f>IF(OR(E182="",F182=""),0,IF(COUNTIFS($E$7:E182,E182,$F$7:F182,F182)=1,1,0))</f>
        <v/>
      </c>
      <c r="S182" s="79">
        <f>IF(R182=1,E182&amp;"|"&amp;SUMIFS($R$7:R182,$E$7:E182,E182),"")</f>
        <v/>
      </c>
      <c r="T182" s="112">
        <f>IF(Q182="","",IF(Q182=3,L182,IF(OR(M182="Not started",M182=""),J182,"")))</f>
        <v/>
      </c>
      <c r="U182" s="79">
        <f>IF(T182="","",IF(Q182=3,1,IF(T182="","",IF(T182&lt;AsOf,1,IF(T182&lt;=AsOf+AlertDays,2,IF(T182&lt;=AsOf+2*AlertDays,3,""))))))</f>
        <v/>
      </c>
      <c r="V182" s="79">
        <f>IF(U182="","",IF(Q182=3,"Late task: "&amp;D182,IF(T182&lt;AsOf,"Should have started: ","Starts soon: ")&amp;D182)&amp;IF(F182="",""," — "&amp;F182))</f>
        <v/>
      </c>
    </row>
    <row r="183" ht="20" customHeight="1">
      <c r="B183" s="125" t="n">
        <v>177</v>
      </c>
      <c r="C183" s="72" t="n"/>
      <c r="D183" s="72" t="n"/>
      <c r="E183" s="72" t="n"/>
      <c r="F183" s="72" t="n"/>
      <c r="G183" s="89" t="n"/>
      <c r="H183" s="89" t="n"/>
      <c r="I183" s="109" t="n"/>
      <c r="J183" s="126">
        <f>IF(OR(D183="",ProjStart=""),"",MAX(ProjStart,IF(I183&lt;&gt;"",I183,0),IF(H183="",0,IFERROR(INDEX($L$6:L182,MATCH(H183,$B$6:B182,0))+1,0))))</f>
        <v/>
      </c>
      <c r="K183" s="89" t="n"/>
      <c r="L183" s="126">
        <f>IF(J183="","",J183+MAX(1,G183)+IF(K183="",0,K183)-1)</f>
        <v/>
      </c>
      <c r="M183" s="72" t="n"/>
      <c r="N183" s="109" t="n"/>
      <c r="O183" s="127">
        <f>IF(D183="","",COUNTIF($H$7:$H$1006,B183))</f>
        <v/>
      </c>
      <c r="P183" s="78">
        <f>IF(D183="","",IF(AND(H183&lt;&gt;"",H183&gt;=B183),"⚠️ Predecessor must be above",IF(M183="Done","✓ Done",IF(Q183=3,"🔴 Late",IF(M183="In progress","In progress","")))))</f>
        <v/>
      </c>
      <c r="Q183" s="79">
        <f>IF(OR(D183="",L183=""),"",IF(M183="Done",2,IF(AsOf&gt;L183,3,1)))</f>
        <v/>
      </c>
      <c r="R183" s="79">
        <f>IF(OR(E183="",F183=""),0,IF(COUNTIFS($E$7:E183,E183,$F$7:F183,F183)=1,1,0))</f>
        <v/>
      </c>
      <c r="S183" s="79">
        <f>IF(R183=1,E183&amp;"|"&amp;SUMIFS($R$7:R183,$E$7:E183,E183),"")</f>
        <v/>
      </c>
      <c r="T183" s="112">
        <f>IF(Q183="","",IF(Q183=3,L183,IF(OR(M183="Not started",M183=""),J183,"")))</f>
        <v/>
      </c>
      <c r="U183" s="79">
        <f>IF(T183="","",IF(Q183=3,1,IF(T183="","",IF(T183&lt;AsOf,1,IF(T183&lt;=AsOf+AlertDays,2,IF(T183&lt;=AsOf+2*AlertDays,3,""))))))</f>
        <v/>
      </c>
      <c r="V183" s="79">
        <f>IF(U183="","",IF(Q183=3,"Late task: "&amp;D183,IF(T183&lt;AsOf,"Should have started: ","Starts soon: ")&amp;D183)&amp;IF(F183="",""," — "&amp;F183))</f>
        <v/>
      </c>
    </row>
    <row r="184" ht="20" customHeight="1">
      <c r="B184" s="125" t="n">
        <v>178</v>
      </c>
      <c r="C184" s="72" t="n"/>
      <c r="D184" s="72" t="n"/>
      <c r="E184" s="72" t="n"/>
      <c r="F184" s="72" t="n"/>
      <c r="G184" s="89" t="n"/>
      <c r="H184" s="89" t="n"/>
      <c r="I184" s="109" t="n"/>
      <c r="J184" s="126">
        <f>IF(OR(D184="",ProjStart=""),"",MAX(ProjStart,IF(I184&lt;&gt;"",I184,0),IF(H184="",0,IFERROR(INDEX($L$6:L183,MATCH(H184,$B$6:B183,0))+1,0))))</f>
        <v/>
      </c>
      <c r="K184" s="89" t="n"/>
      <c r="L184" s="126">
        <f>IF(J184="","",J184+MAX(1,G184)+IF(K184="",0,K184)-1)</f>
        <v/>
      </c>
      <c r="M184" s="72" t="n"/>
      <c r="N184" s="109" t="n"/>
      <c r="O184" s="127">
        <f>IF(D184="","",COUNTIF($H$7:$H$1006,B184))</f>
        <v/>
      </c>
      <c r="P184" s="78">
        <f>IF(D184="","",IF(AND(H184&lt;&gt;"",H184&gt;=B184),"⚠️ Predecessor must be above",IF(M184="Done","✓ Done",IF(Q184=3,"🔴 Late",IF(M184="In progress","In progress","")))))</f>
        <v/>
      </c>
      <c r="Q184" s="79">
        <f>IF(OR(D184="",L184=""),"",IF(M184="Done",2,IF(AsOf&gt;L184,3,1)))</f>
        <v/>
      </c>
      <c r="R184" s="79">
        <f>IF(OR(E184="",F184=""),0,IF(COUNTIFS($E$7:E184,E184,$F$7:F184,F184)=1,1,0))</f>
        <v/>
      </c>
      <c r="S184" s="79">
        <f>IF(R184=1,E184&amp;"|"&amp;SUMIFS($R$7:R184,$E$7:E184,E184),"")</f>
        <v/>
      </c>
      <c r="T184" s="112">
        <f>IF(Q184="","",IF(Q184=3,L184,IF(OR(M184="Not started",M184=""),J184,"")))</f>
        <v/>
      </c>
      <c r="U184" s="79">
        <f>IF(T184="","",IF(Q184=3,1,IF(T184="","",IF(T184&lt;AsOf,1,IF(T184&lt;=AsOf+AlertDays,2,IF(T184&lt;=AsOf+2*AlertDays,3,""))))))</f>
        <v/>
      </c>
      <c r="V184" s="79">
        <f>IF(U184="","",IF(Q184=3,"Late task: "&amp;D184,IF(T184&lt;AsOf,"Should have started: ","Starts soon: ")&amp;D184)&amp;IF(F184="",""," — "&amp;F184))</f>
        <v/>
      </c>
    </row>
    <row r="185" ht="20" customHeight="1">
      <c r="B185" s="125" t="n">
        <v>179</v>
      </c>
      <c r="C185" s="72" t="n"/>
      <c r="D185" s="72" t="n"/>
      <c r="E185" s="72" t="n"/>
      <c r="F185" s="72" t="n"/>
      <c r="G185" s="89" t="n"/>
      <c r="H185" s="89" t="n"/>
      <c r="I185" s="109" t="n"/>
      <c r="J185" s="126">
        <f>IF(OR(D185="",ProjStart=""),"",MAX(ProjStart,IF(I185&lt;&gt;"",I185,0),IF(H185="",0,IFERROR(INDEX($L$6:L184,MATCH(H185,$B$6:B184,0))+1,0))))</f>
        <v/>
      </c>
      <c r="K185" s="89" t="n"/>
      <c r="L185" s="126">
        <f>IF(J185="","",J185+MAX(1,G185)+IF(K185="",0,K185)-1)</f>
        <v/>
      </c>
      <c r="M185" s="72" t="n"/>
      <c r="N185" s="109" t="n"/>
      <c r="O185" s="127">
        <f>IF(D185="","",COUNTIF($H$7:$H$1006,B185))</f>
        <v/>
      </c>
      <c r="P185" s="78">
        <f>IF(D185="","",IF(AND(H185&lt;&gt;"",H185&gt;=B185),"⚠️ Predecessor must be above",IF(M185="Done","✓ Done",IF(Q185=3,"🔴 Late",IF(M185="In progress","In progress","")))))</f>
        <v/>
      </c>
      <c r="Q185" s="79">
        <f>IF(OR(D185="",L185=""),"",IF(M185="Done",2,IF(AsOf&gt;L185,3,1)))</f>
        <v/>
      </c>
      <c r="R185" s="79">
        <f>IF(OR(E185="",F185=""),0,IF(COUNTIFS($E$7:E185,E185,$F$7:F185,F185)=1,1,0))</f>
        <v/>
      </c>
      <c r="S185" s="79">
        <f>IF(R185=1,E185&amp;"|"&amp;SUMIFS($R$7:R185,$E$7:E185,E185),"")</f>
        <v/>
      </c>
      <c r="T185" s="112">
        <f>IF(Q185="","",IF(Q185=3,L185,IF(OR(M185="Not started",M185=""),J185,"")))</f>
        <v/>
      </c>
      <c r="U185" s="79">
        <f>IF(T185="","",IF(Q185=3,1,IF(T185="","",IF(T185&lt;AsOf,1,IF(T185&lt;=AsOf+AlertDays,2,IF(T185&lt;=AsOf+2*AlertDays,3,""))))))</f>
        <v/>
      </c>
      <c r="V185" s="79">
        <f>IF(U185="","",IF(Q185=3,"Late task: "&amp;D185,IF(T185&lt;AsOf,"Should have started: ","Starts soon: ")&amp;D185)&amp;IF(F185="",""," — "&amp;F185))</f>
        <v/>
      </c>
    </row>
    <row r="186" ht="20" customHeight="1">
      <c r="B186" s="125" t="n">
        <v>180</v>
      </c>
      <c r="C186" s="72" t="n"/>
      <c r="D186" s="72" t="n"/>
      <c r="E186" s="72" t="n"/>
      <c r="F186" s="72" t="n"/>
      <c r="G186" s="89" t="n"/>
      <c r="H186" s="89" t="n"/>
      <c r="I186" s="109" t="n"/>
      <c r="J186" s="126">
        <f>IF(OR(D186="",ProjStart=""),"",MAX(ProjStart,IF(I186&lt;&gt;"",I186,0),IF(H186="",0,IFERROR(INDEX($L$6:L185,MATCH(H186,$B$6:B185,0))+1,0))))</f>
        <v/>
      </c>
      <c r="K186" s="89" t="n"/>
      <c r="L186" s="126">
        <f>IF(J186="","",J186+MAX(1,G186)+IF(K186="",0,K186)-1)</f>
        <v/>
      </c>
      <c r="M186" s="72" t="n"/>
      <c r="N186" s="109" t="n"/>
      <c r="O186" s="127">
        <f>IF(D186="","",COUNTIF($H$7:$H$1006,B186))</f>
        <v/>
      </c>
      <c r="P186" s="78">
        <f>IF(D186="","",IF(AND(H186&lt;&gt;"",H186&gt;=B186),"⚠️ Predecessor must be above",IF(M186="Done","✓ Done",IF(Q186=3,"🔴 Late",IF(M186="In progress","In progress","")))))</f>
        <v/>
      </c>
      <c r="Q186" s="79">
        <f>IF(OR(D186="",L186=""),"",IF(M186="Done",2,IF(AsOf&gt;L186,3,1)))</f>
        <v/>
      </c>
      <c r="R186" s="79">
        <f>IF(OR(E186="",F186=""),0,IF(COUNTIFS($E$7:E186,E186,$F$7:F186,F186)=1,1,0))</f>
        <v/>
      </c>
      <c r="S186" s="79">
        <f>IF(R186=1,E186&amp;"|"&amp;SUMIFS($R$7:R186,$E$7:E186,E186),"")</f>
        <v/>
      </c>
      <c r="T186" s="112">
        <f>IF(Q186="","",IF(Q186=3,L186,IF(OR(M186="Not started",M186=""),J186,"")))</f>
        <v/>
      </c>
      <c r="U186" s="79">
        <f>IF(T186="","",IF(Q186=3,1,IF(T186="","",IF(T186&lt;AsOf,1,IF(T186&lt;=AsOf+AlertDays,2,IF(T186&lt;=AsOf+2*AlertDays,3,""))))))</f>
        <v/>
      </c>
      <c r="V186" s="79">
        <f>IF(U186="","",IF(Q186=3,"Late task: "&amp;D186,IF(T186&lt;AsOf,"Should have started: ","Starts soon: ")&amp;D186)&amp;IF(F186="",""," — "&amp;F186))</f>
        <v/>
      </c>
    </row>
    <row r="187" ht="20" customHeight="1">
      <c r="B187" s="125" t="n">
        <v>181</v>
      </c>
      <c r="C187" s="72" t="n"/>
      <c r="D187" s="72" t="n"/>
      <c r="E187" s="72" t="n"/>
      <c r="F187" s="72" t="n"/>
      <c r="G187" s="89" t="n"/>
      <c r="H187" s="89" t="n"/>
      <c r="I187" s="109" t="n"/>
      <c r="J187" s="126">
        <f>IF(OR(D187="",ProjStart=""),"",MAX(ProjStart,IF(I187&lt;&gt;"",I187,0),IF(H187="",0,IFERROR(INDEX($L$6:L186,MATCH(H187,$B$6:B186,0))+1,0))))</f>
        <v/>
      </c>
      <c r="K187" s="89" t="n"/>
      <c r="L187" s="126">
        <f>IF(J187="","",J187+MAX(1,G187)+IF(K187="",0,K187)-1)</f>
        <v/>
      </c>
      <c r="M187" s="72" t="n"/>
      <c r="N187" s="109" t="n"/>
      <c r="O187" s="127">
        <f>IF(D187="","",COUNTIF($H$7:$H$1006,B187))</f>
        <v/>
      </c>
      <c r="P187" s="78">
        <f>IF(D187="","",IF(AND(H187&lt;&gt;"",H187&gt;=B187),"⚠️ Predecessor must be above",IF(M187="Done","✓ Done",IF(Q187=3,"🔴 Late",IF(M187="In progress","In progress","")))))</f>
        <v/>
      </c>
      <c r="Q187" s="79">
        <f>IF(OR(D187="",L187=""),"",IF(M187="Done",2,IF(AsOf&gt;L187,3,1)))</f>
        <v/>
      </c>
      <c r="R187" s="79">
        <f>IF(OR(E187="",F187=""),0,IF(COUNTIFS($E$7:E187,E187,$F$7:F187,F187)=1,1,0))</f>
        <v/>
      </c>
      <c r="S187" s="79">
        <f>IF(R187=1,E187&amp;"|"&amp;SUMIFS($R$7:R187,$E$7:E187,E187),"")</f>
        <v/>
      </c>
      <c r="T187" s="112">
        <f>IF(Q187="","",IF(Q187=3,L187,IF(OR(M187="Not started",M187=""),J187,"")))</f>
        <v/>
      </c>
      <c r="U187" s="79">
        <f>IF(T187="","",IF(Q187=3,1,IF(T187="","",IF(T187&lt;AsOf,1,IF(T187&lt;=AsOf+AlertDays,2,IF(T187&lt;=AsOf+2*AlertDays,3,""))))))</f>
        <v/>
      </c>
      <c r="V187" s="79">
        <f>IF(U187="","",IF(Q187=3,"Late task: "&amp;D187,IF(T187&lt;AsOf,"Should have started: ","Starts soon: ")&amp;D187)&amp;IF(F187="",""," — "&amp;F187))</f>
        <v/>
      </c>
    </row>
    <row r="188" ht="20" customHeight="1">
      <c r="B188" s="125" t="n">
        <v>182</v>
      </c>
      <c r="C188" s="72" t="n"/>
      <c r="D188" s="72" t="n"/>
      <c r="E188" s="72" t="n"/>
      <c r="F188" s="72" t="n"/>
      <c r="G188" s="89" t="n"/>
      <c r="H188" s="89" t="n"/>
      <c r="I188" s="109" t="n"/>
      <c r="J188" s="126">
        <f>IF(OR(D188="",ProjStart=""),"",MAX(ProjStart,IF(I188&lt;&gt;"",I188,0),IF(H188="",0,IFERROR(INDEX($L$6:L187,MATCH(H188,$B$6:B187,0))+1,0))))</f>
        <v/>
      </c>
      <c r="K188" s="89" t="n"/>
      <c r="L188" s="126">
        <f>IF(J188="","",J188+MAX(1,G188)+IF(K188="",0,K188)-1)</f>
        <v/>
      </c>
      <c r="M188" s="72" t="n"/>
      <c r="N188" s="109" t="n"/>
      <c r="O188" s="127">
        <f>IF(D188="","",COUNTIF($H$7:$H$1006,B188))</f>
        <v/>
      </c>
      <c r="P188" s="78">
        <f>IF(D188="","",IF(AND(H188&lt;&gt;"",H188&gt;=B188),"⚠️ Predecessor must be above",IF(M188="Done","✓ Done",IF(Q188=3,"🔴 Late",IF(M188="In progress","In progress","")))))</f>
        <v/>
      </c>
      <c r="Q188" s="79">
        <f>IF(OR(D188="",L188=""),"",IF(M188="Done",2,IF(AsOf&gt;L188,3,1)))</f>
        <v/>
      </c>
      <c r="R188" s="79">
        <f>IF(OR(E188="",F188=""),0,IF(COUNTIFS($E$7:E188,E188,$F$7:F188,F188)=1,1,0))</f>
        <v/>
      </c>
      <c r="S188" s="79">
        <f>IF(R188=1,E188&amp;"|"&amp;SUMIFS($R$7:R188,$E$7:E188,E188),"")</f>
        <v/>
      </c>
      <c r="T188" s="112">
        <f>IF(Q188="","",IF(Q188=3,L188,IF(OR(M188="Not started",M188=""),J188,"")))</f>
        <v/>
      </c>
      <c r="U188" s="79">
        <f>IF(T188="","",IF(Q188=3,1,IF(T188="","",IF(T188&lt;AsOf,1,IF(T188&lt;=AsOf+AlertDays,2,IF(T188&lt;=AsOf+2*AlertDays,3,""))))))</f>
        <v/>
      </c>
      <c r="V188" s="79">
        <f>IF(U188="","",IF(Q188=3,"Late task: "&amp;D188,IF(T188&lt;AsOf,"Should have started: ","Starts soon: ")&amp;D188)&amp;IF(F188="",""," — "&amp;F188))</f>
        <v/>
      </c>
    </row>
    <row r="189" ht="20" customHeight="1">
      <c r="B189" s="125" t="n">
        <v>183</v>
      </c>
      <c r="C189" s="72" t="n"/>
      <c r="D189" s="72" t="n"/>
      <c r="E189" s="72" t="n"/>
      <c r="F189" s="72" t="n"/>
      <c r="G189" s="89" t="n"/>
      <c r="H189" s="89" t="n"/>
      <c r="I189" s="109" t="n"/>
      <c r="J189" s="126">
        <f>IF(OR(D189="",ProjStart=""),"",MAX(ProjStart,IF(I189&lt;&gt;"",I189,0),IF(H189="",0,IFERROR(INDEX($L$6:L188,MATCH(H189,$B$6:B188,0))+1,0))))</f>
        <v/>
      </c>
      <c r="K189" s="89" t="n"/>
      <c r="L189" s="126">
        <f>IF(J189="","",J189+MAX(1,G189)+IF(K189="",0,K189)-1)</f>
        <v/>
      </c>
      <c r="M189" s="72" t="n"/>
      <c r="N189" s="109" t="n"/>
      <c r="O189" s="127">
        <f>IF(D189="","",COUNTIF($H$7:$H$1006,B189))</f>
        <v/>
      </c>
      <c r="P189" s="78">
        <f>IF(D189="","",IF(AND(H189&lt;&gt;"",H189&gt;=B189),"⚠️ Predecessor must be above",IF(M189="Done","✓ Done",IF(Q189=3,"🔴 Late",IF(M189="In progress","In progress","")))))</f>
        <v/>
      </c>
      <c r="Q189" s="79">
        <f>IF(OR(D189="",L189=""),"",IF(M189="Done",2,IF(AsOf&gt;L189,3,1)))</f>
        <v/>
      </c>
      <c r="R189" s="79">
        <f>IF(OR(E189="",F189=""),0,IF(COUNTIFS($E$7:E189,E189,$F$7:F189,F189)=1,1,0))</f>
        <v/>
      </c>
      <c r="S189" s="79">
        <f>IF(R189=1,E189&amp;"|"&amp;SUMIFS($R$7:R189,$E$7:E189,E189),"")</f>
        <v/>
      </c>
      <c r="T189" s="112">
        <f>IF(Q189="","",IF(Q189=3,L189,IF(OR(M189="Not started",M189=""),J189,"")))</f>
        <v/>
      </c>
      <c r="U189" s="79">
        <f>IF(T189="","",IF(Q189=3,1,IF(T189="","",IF(T189&lt;AsOf,1,IF(T189&lt;=AsOf+AlertDays,2,IF(T189&lt;=AsOf+2*AlertDays,3,""))))))</f>
        <v/>
      </c>
      <c r="V189" s="79">
        <f>IF(U189="","",IF(Q189=3,"Late task: "&amp;D189,IF(T189&lt;AsOf,"Should have started: ","Starts soon: ")&amp;D189)&amp;IF(F189="",""," — "&amp;F189))</f>
        <v/>
      </c>
    </row>
    <row r="190" ht="20" customHeight="1">
      <c r="B190" s="125" t="n">
        <v>184</v>
      </c>
      <c r="C190" s="72" t="n"/>
      <c r="D190" s="72" t="n"/>
      <c r="E190" s="72" t="n"/>
      <c r="F190" s="72" t="n"/>
      <c r="G190" s="89" t="n"/>
      <c r="H190" s="89" t="n"/>
      <c r="I190" s="109" t="n"/>
      <c r="J190" s="126">
        <f>IF(OR(D190="",ProjStart=""),"",MAX(ProjStart,IF(I190&lt;&gt;"",I190,0),IF(H190="",0,IFERROR(INDEX($L$6:L189,MATCH(H190,$B$6:B189,0))+1,0))))</f>
        <v/>
      </c>
      <c r="K190" s="89" t="n"/>
      <c r="L190" s="126">
        <f>IF(J190="","",J190+MAX(1,G190)+IF(K190="",0,K190)-1)</f>
        <v/>
      </c>
      <c r="M190" s="72" t="n"/>
      <c r="N190" s="109" t="n"/>
      <c r="O190" s="127">
        <f>IF(D190="","",COUNTIF($H$7:$H$1006,B190))</f>
        <v/>
      </c>
      <c r="P190" s="78">
        <f>IF(D190="","",IF(AND(H190&lt;&gt;"",H190&gt;=B190),"⚠️ Predecessor must be above",IF(M190="Done","✓ Done",IF(Q190=3,"🔴 Late",IF(M190="In progress","In progress","")))))</f>
        <v/>
      </c>
      <c r="Q190" s="79">
        <f>IF(OR(D190="",L190=""),"",IF(M190="Done",2,IF(AsOf&gt;L190,3,1)))</f>
        <v/>
      </c>
      <c r="R190" s="79">
        <f>IF(OR(E190="",F190=""),0,IF(COUNTIFS($E$7:E190,E190,$F$7:F190,F190)=1,1,0))</f>
        <v/>
      </c>
      <c r="S190" s="79">
        <f>IF(R190=1,E190&amp;"|"&amp;SUMIFS($R$7:R190,$E$7:E190,E190),"")</f>
        <v/>
      </c>
      <c r="T190" s="112">
        <f>IF(Q190="","",IF(Q190=3,L190,IF(OR(M190="Not started",M190=""),J190,"")))</f>
        <v/>
      </c>
      <c r="U190" s="79">
        <f>IF(T190="","",IF(Q190=3,1,IF(T190="","",IF(T190&lt;AsOf,1,IF(T190&lt;=AsOf+AlertDays,2,IF(T190&lt;=AsOf+2*AlertDays,3,""))))))</f>
        <v/>
      </c>
      <c r="V190" s="79">
        <f>IF(U190="","",IF(Q190=3,"Late task: "&amp;D190,IF(T190&lt;AsOf,"Should have started: ","Starts soon: ")&amp;D190)&amp;IF(F190="",""," — "&amp;F190))</f>
        <v/>
      </c>
    </row>
    <row r="191" ht="20" customHeight="1">
      <c r="B191" s="125" t="n">
        <v>185</v>
      </c>
      <c r="C191" s="72" t="n"/>
      <c r="D191" s="72" t="n"/>
      <c r="E191" s="72" t="n"/>
      <c r="F191" s="72" t="n"/>
      <c r="G191" s="89" t="n"/>
      <c r="H191" s="89" t="n"/>
      <c r="I191" s="109" t="n"/>
      <c r="J191" s="126">
        <f>IF(OR(D191="",ProjStart=""),"",MAX(ProjStart,IF(I191&lt;&gt;"",I191,0),IF(H191="",0,IFERROR(INDEX($L$6:L190,MATCH(H191,$B$6:B190,0))+1,0))))</f>
        <v/>
      </c>
      <c r="K191" s="89" t="n"/>
      <c r="L191" s="126">
        <f>IF(J191="","",J191+MAX(1,G191)+IF(K191="",0,K191)-1)</f>
        <v/>
      </c>
      <c r="M191" s="72" t="n"/>
      <c r="N191" s="109" t="n"/>
      <c r="O191" s="127">
        <f>IF(D191="","",COUNTIF($H$7:$H$1006,B191))</f>
        <v/>
      </c>
      <c r="P191" s="78">
        <f>IF(D191="","",IF(AND(H191&lt;&gt;"",H191&gt;=B191),"⚠️ Predecessor must be above",IF(M191="Done","✓ Done",IF(Q191=3,"🔴 Late",IF(M191="In progress","In progress","")))))</f>
        <v/>
      </c>
      <c r="Q191" s="79">
        <f>IF(OR(D191="",L191=""),"",IF(M191="Done",2,IF(AsOf&gt;L191,3,1)))</f>
        <v/>
      </c>
      <c r="R191" s="79">
        <f>IF(OR(E191="",F191=""),0,IF(COUNTIFS($E$7:E191,E191,$F$7:F191,F191)=1,1,0))</f>
        <v/>
      </c>
      <c r="S191" s="79">
        <f>IF(R191=1,E191&amp;"|"&amp;SUMIFS($R$7:R191,$E$7:E191,E191),"")</f>
        <v/>
      </c>
      <c r="T191" s="112">
        <f>IF(Q191="","",IF(Q191=3,L191,IF(OR(M191="Not started",M191=""),J191,"")))</f>
        <v/>
      </c>
      <c r="U191" s="79">
        <f>IF(T191="","",IF(Q191=3,1,IF(T191="","",IF(T191&lt;AsOf,1,IF(T191&lt;=AsOf+AlertDays,2,IF(T191&lt;=AsOf+2*AlertDays,3,""))))))</f>
        <v/>
      </c>
      <c r="V191" s="79">
        <f>IF(U191="","",IF(Q191=3,"Late task: "&amp;D191,IF(T191&lt;AsOf,"Should have started: ","Starts soon: ")&amp;D191)&amp;IF(F191="",""," — "&amp;F191))</f>
        <v/>
      </c>
    </row>
    <row r="192" ht="20" customHeight="1">
      <c r="B192" s="125" t="n">
        <v>186</v>
      </c>
      <c r="C192" s="72" t="n"/>
      <c r="D192" s="72" t="n"/>
      <c r="E192" s="72" t="n"/>
      <c r="F192" s="72" t="n"/>
      <c r="G192" s="89" t="n"/>
      <c r="H192" s="89" t="n"/>
      <c r="I192" s="109" t="n"/>
      <c r="J192" s="126">
        <f>IF(OR(D192="",ProjStart=""),"",MAX(ProjStart,IF(I192&lt;&gt;"",I192,0),IF(H192="",0,IFERROR(INDEX($L$6:L191,MATCH(H192,$B$6:B191,0))+1,0))))</f>
        <v/>
      </c>
      <c r="K192" s="89" t="n"/>
      <c r="L192" s="126">
        <f>IF(J192="","",J192+MAX(1,G192)+IF(K192="",0,K192)-1)</f>
        <v/>
      </c>
      <c r="M192" s="72" t="n"/>
      <c r="N192" s="109" t="n"/>
      <c r="O192" s="127">
        <f>IF(D192="","",COUNTIF($H$7:$H$1006,B192))</f>
        <v/>
      </c>
      <c r="P192" s="78">
        <f>IF(D192="","",IF(AND(H192&lt;&gt;"",H192&gt;=B192),"⚠️ Predecessor must be above",IF(M192="Done","✓ Done",IF(Q192=3,"🔴 Late",IF(M192="In progress","In progress","")))))</f>
        <v/>
      </c>
      <c r="Q192" s="79">
        <f>IF(OR(D192="",L192=""),"",IF(M192="Done",2,IF(AsOf&gt;L192,3,1)))</f>
        <v/>
      </c>
      <c r="R192" s="79">
        <f>IF(OR(E192="",F192=""),0,IF(COUNTIFS($E$7:E192,E192,$F$7:F192,F192)=1,1,0))</f>
        <v/>
      </c>
      <c r="S192" s="79">
        <f>IF(R192=1,E192&amp;"|"&amp;SUMIFS($R$7:R192,$E$7:E192,E192),"")</f>
        <v/>
      </c>
      <c r="T192" s="112">
        <f>IF(Q192="","",IF(Q192=3,L192,IF(OR(M192="Not started",M192=""),J192,"")))</f>
        <v/>
      </c>
      <c r="U192" s="79">
        <f>IF(T192="","",IF(Q192=3,1,IF(T192="","",IF(T192&lt;AsOf,1,IF(T192&lt;=AsOf+AlertDays,2,IF(T192&lt;=AsOf+2*AlertDays,3,""))))))</f>
        <v/>
      </c>
      <c r="V192" s="79">
        <f>IF(U192="","",IF(Q192=3,"Late task: "&amp;D192,IF(T192&lt;AsOf,"Should have started: ","Starts soon: ")&amp;D192)&amp;IF(F192="",""," — "&amp;F192))</f>
        <v/>
      </c>
    </row>
    <row r="193" ht="20" customHeight="1">
      <c r="B193" s="125" t="n">
        <v>187</v>
      </c>
      <c r="C193" s="72" t="n"/>
      <c r="D193" s="72" t="n"/>
      <c r="E193" s="72" t="n"/>
      <c r="F193" s="72" t="n"/>
      <c r="G193" s="89" t="n"/>
      <c r="H193" s="89" t="n"/>
      <c r="I193" s="109" t="n"/>
      <c r="J193" s="126">
        <f>IF(OR(D193="",ProjStart=""),"",MAX(ProjStart,IF(I193&lt;&gt;"",I193,0),IF(H193="",0,IFERROR(INDEX($L$6:L192,MATCH(H193,$B$6:B192,0))+1,0))))</f>
        <v/>
      </c>
      <c r="K193" s="89" t="n"/>
      <c r="L193" s="126">
        <f>IF(J193="","",J193+MAX(1,G193)+IF(K193="",0,K193)-1)</f>
        <v/>
      </c>
      <c r="M193" s="72" t="n"/>
      <c r="N193" s="109" t="n"/>
      <c r="O193" s="127">
        <f>IF(D193="","",COUNTIF($H$7:$H$1006,B193))</f>
        <v/>
      </c>
      <c r="P193" s="78">
        <f>IF(D193="","",IF(AND(H193&lt;&gt;"",H193&gt;=B193),"⚠️ Predecessor must be above",IF(M193="Done","✓ Done",IF(Q193=3,"🔴 Late",IF(M193="In progress","In progress","")))))</f>
        <v/>
      </c>
      <c r="Q193" s="79">
        <f>IF(OR(D193="",L193=""),"",IF(M193="Done",2,IF(AsOf&gt;L193,3,1)))</f>
        <v/>
      </c>
      <c r="R193" s="79">
        <f>IF(OR(E193="",F193=""),0,IF(COUNTIFS($E$7:E193,E193,$F$7:F193,F193)=1,1,0))</f>
        <v/>
      </c>
      <c r="S193" s="79">
        <f>IF(R193=1,E193&amp;"|"&amp;SUMIFS($R$7:R193,$E$7:E193,E193),"")</f>
        <v/>
      </c>
      <c r="T193" s="112">
        <f>IF(Q193="","",IF(Q193=3,L193,IF(OR(M193="Not started",M193=""),J193,"")))</f>
        <v/>
      </c>
      <c r="U193" s="79">
        <f>IF(T193="","",IF(Q193=3,1,IF(T193="","",IF(T193&lt;AsOf,1,IF(T193&lt;=AsOf+AlertDays,2,IF(T193&lt;=AsOf+2*AlertDays,3,""))))))</f>
        <v/>
      </c>
      <c r="V193" s="79">
        <f>IF(U193="","",IF(Q193=3,"Late task: "&amp;D193,IF(T193&lt;AsOf,"Should have started: ","Starts soon: ")&amp;D193)&amp;IF(F193="",""," — "&amp;F193))</f>
        <v/>
      </c>
    </row>
    <row r="194" ht="20" customHeight="1">
      <c r="B194" s="125" t="n">
        <v>188</v>
      </c>
      <c r="C194" s="72" t="n"/>
      <c r="D194" s="72" t="n"/>
      <c r="E194" s="72" t="n"/>
      <c r="F194" s="72" t="n"/>
      <c r="G194" s="89" t="n"/>
      <c r="H194" s="89" t="n"/>
      <c r="I194" s="109" t="n"/>
      <c r="J194" s="126">
        <f>IF(OR(D194="",ProjStart=""),"",MAX(ProjStart,IF(I194&lt;&gt;"",I194,0),IF(H194="",0,IFERROR(INDEX($L$6:L193,MATCH(H194,$B$6:B193,0))+1,0))))</f>
        <v/>
      </c>
      <c r="K194" s="89" t="n"/>
      <c r="L194" s="126">
        <f>IF(J194="","",J194+MAX(1,G194)+IF(K194="",0,K194)-1)</f>
        <v/>
      </c>
      <c r="M194" s="72" t="n"/>
      <c r="N194" s="109" t="n"/>
      <c r="O194" s="127">
        <f>IF(D194="","",COUNTIF($H$7:$H$1006,B194))</f>
        <v/>
      </c>
      <c r="P194" s="78">
        <f>IF(D194="","",IF(AND(H194&lt;&gt;"",H194&gt;=B194),"⚠️ Predecessor must be above",IF(M194="Done","✓ Done",IF(Q194=3,"🔴 Late",IF(M194="In progress","In progress","")))))</f>
        <v/>
      </c>
      <c r="Q194" s="79">
        <f>IF(OR(D194="",L194=""),"",IF(M194="Done",2,IF(AsOf&gt;L194,3,1)))</f>
        <v/>
      </c>
      <c r="R194" s="79">
        <f>IF(OR(E194="",F194=""),0,IF(COUNTIFS($E$7:E194,E194,$F$7:F194,F194)=1,1,0))</f>
        <v/>
      </c>
      <c r="S194" s="79">
        <f>IF(R194=1,E194&amp;"|"&amp;SUMIFS($R$7:R194,$E$7:E194,E194),"")</f>
        <v/>
      </c>
      <c r="T194" s="112">
        <f>IF(Q194="","",IF(Q194=3,L194,IF(OR(M194="Not started",M194=""),J194,"")))</f>
        <v/>
      </c>
      <c r="U194" s="79">
        <f>IF(T194="","",IF(Q194=3,1,IF(T194="","",IF(T194&lt;AsOf,1,IF(T194&lt;=AsOf+AlertDays,2,IF(T194&lt;=AsOf+2*AlertDays,3,""))))))</f>
        <v/>
      </c>
      <c r="V194" s="79">
        <f>IF(U194="","",IF(Q194=3,"Late task: "&amp;D194,IF(T194&lt;AsOf,"Should have started: ","Starts soon: ")&amp;D194)&amp;IF(F194="",""," — "&amp;F194))</f>
        <v/>
      </c>
    </row>
    <row r="195" ht="20" customHeight="1">
      <c r="B195" s="125" t="n">
        <v>189</v>
      </c>
      <c r="C195" s="72" t="n"/>
      <c r="D195" s="72" t="n"/>
      <c r="E195" s="72" t="n"/>
      <c r="F195" s="72" t="n"/>
      <c r="G195" s="89" t="n"/>
      <c r="H195" s="89" t="n"/>
      <c r="I195" s="109" t="n"/>
      <c r="J195" s="126">
        <f>IF(OR(D195="",ProjStart=""),"",MAX(ProjStart,IF(I195&lt;&gt;"",I195,0),IF(H195="",0,IFERROR(INDEX($L$6:L194,MATCH(H195,$B$6:B194,0))+1,0))))</f>
        <v/>
      </c>
      <c r="K195" s="89" t="n"/>
      <c r="L195" s="126">
        <f>IF(J195="","",J195+MAX(1,G195)+IF(K195="",0,K195)-1)</f>
        <v/>
      </c>
      <c r="M195" s="72" t="n"/>
      <c r="N195" s="109" t="n"/>
      <c r="O195" s="127">
        <f>IF(D195="","",COUNTIF($H$7:$H$1006,B195))</f>
        <v/>
      </c>
      <c r="P195" s="78">
        <f>IF(D195="","",IF(AND(H195&lt;&gt;"",H195&gt;=B195),"⚠️ Predecessor must be above",IF(M195="Done","✓ Done",IF(Q195=3,"🔴 Late",IF(M195="In progress","In progress","")))))</f>
        <v/>
      </c>
      <c r="Q195" s="79">
        <f>IF(OR(D195="",L195=""),"",IF(M195="Done",2,IF(AsOf&gt;L195,3,1)))</f>
        <v/>
      </c>
      <c r="R195" s="79">
        <f>IF(OR(E195="",F195=""),0,IF(COUNTIFS($E$7:E195,E195,$F$7:F195,F195)=1,1,0))</f>
        <v/>
      </c>
      <c r="S195" s="79">
        <f>IF(R195=1,E195&amp;"|"&amp;SUMIFS($R$7:R195,$E$7:E195,E195),"")</f>
        <v/>
      </c>
      <c r="T195" s="112">
        <f>IF(Q195="","",IF(Q195=3,L195,IF(OR(M195="Not started",M195=""),J195,"")))</f>
        <v/>
      </c>
      <c r="U195" s="79">
        <f>IF(T195="","",IF(Q195=3,1,IF(T195="","",IF(T195&lt;AsOf,1,IF(T195&lt;=AsOf+AlertDays,2,IF(T195&lt;=AsOf+2*AlertDays,3,""))))))</f>
        <v/>
      </c>
      <c r="V195" s="79">
        <f>IF(U195="","",IF(Q195=3,"Late task: "&amp;D195,IF(T195&lt;AsOf,"Should have started: ","Starts soon: ")&amp;D195)&amp;IF(F195="",""," — "&amp;F195))</f>
        <v/>
      </c>
    </row>
    <row r="196" ht="20" customHeight="1">
      <c r="B196" s="125" t="n">
        <v>190</v>
      </c>
      <c r="C196" s="72" t="n"/>
      <c r="D196" s="72" t="n"/>
      <c r="E196" s="72" t="n"/>
      <c r="F196" s="72" t="n"/>
      <c r="G196" s="89" t="n"/>
      <c r="H196" s="89" t="n"/>
      <c r="I196" s="109" t="n"/>
      <c r="J196" s="126">
        <f>IF(OR(D196="",ProjStart=""),"",MAX(ProjStart,IF(I196&lt;&gt;"",I196,0),IF(H196="",0,IFERROR(INDEX($L$6:L195,MATCH(H196,$B$6:B195,0))+1,0))))</f>
        <v/>
      </c>
      <c r="K196" s="89" t="n"/>
      <c r="L196" s="126">
        <f>IF(J196="","",J196+MAX(1,G196)+IF(K196="",0,K196)-1)</f>
        <v/>
      </c>
      <c r="M196" s="72" t="n"/>
      <c r="N196" s="109" t="n"/>
      <c r="O196" s="127">
        <f>IF(D196="","",COUNTIF($H$7:$H$1006,B196))</f>
        <v/>
      </c>
      <c r="P196" s="78">
        <f>IF(D196="","",IF(AND(H196&lt;&gt;"",H196&gt;=B196),"⚠️ Predecessor must be above",IF(M196="Done","✓ Done",IF(Q196=3,"🔴 Late",IF(M196="In progress","In progress","")))))</f>
        <v/>
      </c>
      <c r="Q196" s="79">
        <f>IF(OR(D196="",L196=""),"",IF(M196="Done",2,IF(AsOf&gt;L196,3,1)))</f>
        <v/>
      </c>
      <c r="R196" s="79">
        <f>IF(OR(E196="",F196=""),0,IF(COUNTIFS($E$7:E196,E196,$F$7:F196,F196)=1,1,0))</f>
        <v/>
      </c>
      <c r="S196" s="79">
        <f>IF(R196=1,E196&amp;"|"&amp;SUMIFS($R$7:R196,$E$7:E196,E196),"")</f>
        <v/>
      </c>
      <c r="T196" s="112">
        <f>IF(Q196="","",IF(Q196=3,L196,IF(OR(M196="Not started",M196=""),J196,"")))</f>
        <v/>
      </c>
      <c r="U196" s="79">
        <f>IF(T196="","",IF(Q196=3,1,IF(T196="","",IF(T196&lt;AsOf,1,IF(T196&lt;=AsOf+AlertDays,2,IF(T196&lt;=AsOf+2*AlertDays,3,""))))))</f>
        <v/>
      </c>
      <c r="V196" s="79">
        <f>IF(U196="","",IF(Q196=3,"Late task: "&amp;D196,IF(T196&lt;AsOf,"Should have started: ","Starts soon: ")&amp;D196)&amp;IF(F196="",""," — "&amp;F196))</f>
        <v/>
      </c>
    </row>
    <row r="197" ht="20" customHeight="1">
      <c r="B197" s="125" t="n">
        <v>191</v>
      </c>
      <c r="C197" s="72" t="n"/>
      <c r="D197" s="72" t="n"/>
      <c r="E197" s="72" t="n"/>
      <c r="F197" s="72" t="n"/>
      <c r="G197" s="89" t="n"/>
      <c r="H197" s="89" t="n"/>
      <c r="I197" s="109" t="n"/>
      <c r="J197" s="126">
        <f>IF(OR(D197="",ProjStart=""),"",MAX(ProjStart,IF(I197&lt;&gt;"",I197,0),IF(H197="",0,IFERROR(INDEX($L$6:L196,MATCH(H197,$B$6:B196,0))+1,0))))</f>
        <v/>
      </c>
      <c r="K197" s="89" t="n"/>
      <c r="L197" s="126">
        <f>IF(J197="","",J197+MAX(1,G197)+IF(K197="",0,K197)-1)</f>
        <v/>
      </c>
      <c r="M197" s="72" t="n"/>
      <c r="N197" s="109" t="n"/>
      <c r="O197" s="127">
        <f>IF(D197="","",COUNTIF($H$7:$H$1006,B197))</f>
        <v/>
      </c>
      <c r="P197" s="78">
        <f>IF(D197="","",IF(AND(H197&lt;&gt;"",H197&gt;=B197),"⚠️ Predecessor must be above",IF(M197="Done","✓ Done",IF(Q197=3,"🔴 Late",IF(M197="In progress","In progress","")))))</f>
        <v/>
      </c>
      <c r="Q197" s="79">
        <f>IF(OR(D197="",L197=""),"",IF(M197="Done",2,IF(AsOf&gt;L197,3,1)))</f>
        <v/>
      </c>
      <c r="R197" s="79">
        <f>IF(OR(E197="",F197=""),0,IF(COUNTIFS($E$7:E197,E197,$F$7:F197,F197)=1,1,0))</f>
        <v/>
      </c>
      <c r="S197" s="79">
        <f>IF(R197=1,E197&amp;"|"&amp;SUMIFS($R$7:R197,$E$7:E197,E197),"")</f>
        <v/>
      </c>
      <c r="T197" s="112">
        <f>IF(Q197="","",IF(Q197=3,L197,IF(OR(M197="Not started",M197=""),J197,"")))</f>
        <v/>
      </c>
      <c r="U197" s="79">
        <f>IF(T197="","",IF(Q197=3,1,IF(T197="","",IF(T197&lt;AsOf,1,IF(T197&lt;=AsOf+AlertDays,2,IF(T197&lt;=AsOf+2*AlertDays,3,""))))))</f>
        <v/>
      </c>
      <c r="V197" s="79">
        <f>IF(U197="","",IF(Q197=3,"Late task: "&amp;D197,IF(T197&lt;AsOf,"Should have started: ","Starts soon: ")&amp;D197)&amp;IF(F197="",""," — "&amp;F197))</f>
        <v/>
      </c>
    </row>
    <row r="198" ht="20" customHeight="1">
      <c r="B198" s="125" t="n">
        <v>192</v>
      </c>
      <c r="C198" s="72" t="n"/>
      <c r="D198" s="72" t="n"/>
      <c r="E198" s="72" t="n"/>
      <c r="F198" s="72" t="n"/>
      <c r="G198" s="89" t="n"/>
      <c r="H198" s="89" t="n"/>
      <c r="I198" s="109" t="n"/>
      <c r="J198" s="126">
        <f>IF(OR(D198="",ProjStart=""),"",MAX(ProjStart,IF(I198&lt;&gt;"",I198,0),IF(H198="",0,IFERROR(INDEX($L$6:L197,MATCH(H198,$B$6:B197,0))+1,0))))</f>
        <v/>
      </c>
      <c r="K198" s="89" t="n"/>
      <c r="L198" s="126">
        <f>IF(J198="","",J198+MAX(1,G198)+IF(K198="",0,K198)-1)</f>
        <v/>
      </c>
      <c r="M198" s="72" t="n"/>
      <c r="N198" s="109" t="n"/>
      <c r="O198" s="127">
        <f>IF(D198="","",COUNTIF($H$7:$H$1006,B198))</f>
        <v/>
      </c>
      <c r="P198" s="78">
        <f>IF(D198="","",IF(AND(H198&lt;&gt;"",H198&gt;=B198),"⚠️ Predecessor must be above",IF(M198="Done","✓ Done",IF(Q198=3,"🔴 Late",IF(M198="In progress","In progress","")))))</f>
        <v/>
      </c>
      <c r="Q198" s="79">
        <f>IF(OR(D198="",L198=""),"",IF(M198="Done",2,IF(AsOf&gt;L198,3,1)))</f>
        <v/>
      </c>
      <c r="R198" s="79">
        <f>IF(OR(E198="",F198=""),0,IF(COUNTIFS($E$7:E198,E198,$F$7:F198,F198)=1,1,0))</f>
        <v/>
      </c>
      <c r="S198" s="79">
        <f>IF(R198=1,E198&amp;"|"&amp;SUMIFS($R$7:R198,$E$7:E198,E198),"")</f>
        <v/>
      </c>
      <c r="T198" s="112">
        <f>IF(Q198="","",IF(Q198=3,L198,IF(OR(M198="Not started",M198=""),J198,"")))</f>
        <v/>
      </c>
      <c r="U198" s="79">
        <f>IF(T198="","",IF(Q198=3,1,IF(T198="","",IF(T198&lt;AsOf,1,IF(T198&lt;=AsOf+AlertDays,2,IF(T198&lt;=AsOf+2*AlertDays,3,""))))))</f>
        <v/>
      </c>
      <c r="V198" s="79">
        <f>IF(U198="","",IF(Q198=3,"Late task: "&amp;D198,IF(T198&lt;AsOf,"Should have started: ","Starts soon: ")&amp;D198)&amp;IF(F198="",""," — "&amp;F198))</f>
        <v/>
      </c>
    </row>
    <row r="199" ht="20" customHeight="1">
      <c r="B199" s="125" t="n">
        <v>193</v>
      </c>
      <c r="C199" s="72" t="n"/>
      <c r="D199" s="72" t="n"/>
      <c r="E199" s="72" t="n"/>
      <c r="F199" s="72" t="n"/>
      <c r="G199" s="89" t="n"/>
      <c r="H199" s="89" t="n"/>
      <c r="I199" s="109" t="n"/>
      <c r="J199" s="126">
        <f>IF(OR(D199="",ProjStart=""),"",MAX(ProjStart,IF(I199&lt;&gt;"",I199,0),IF(H199="",0,IFERROR(INDEX($L$6:L198,MATCH(H199,$B$6:B198,0))+1,0))))</f>
        <v/>
      </c>
      <c r="K199" s="89" t="n"/>
      <c r="L199" s="126">
        <f>IF(J199="","",J199+MAX(1,G199)+IF(K199="",0,K199)-1)</f>
        <v/>
      </c>
      <c r="M199" s="72" t="n"/>
      <c r="N199" s="109" t="n"/>
      <c r="O199" s="127">
        <f>IF(D199="","",COUNTIF($H$7:$H$1006,B199))</f>
        <v/>
      </c>
      <c r="P199" s="78">
        <f>IF(D199="","",IF(AND(H199&lt;&gt;"",H199&gt;=B199),"⚠️ Predecessor must be above",IF(M199="Done","✓ Done",IF(Q199=3,"🔴 Late",IF(M199="In progress","In progress","")))))</f>
        <v/>
      </c>
      <c r="Q199" s="79">
        <f>IF(OR(D199="",L199=""),"",IF(M199="Done",2,IF(AsOf&gt;L199,3,1)))</f>
        <v/>
      </c>
      <c r="R199" s="79">
        <f>IF(OR(E199="",F199=""),0,IF(COUNTIFS($E$7:E199,E199,$F$7:F199,F199)=1,1,0))</f>
        <v/>
      </c>
      <c r="S199" s="79">
        <f>IF(R199=1,E199&amp;"|"&amp;SUMIFS($R$7:R199,$E$7:E199,E199),"")</f>
        <v/>
      </c>
      <c r="T199" s="112">
        <f>IF(Q199="","",IF(Q199=3,L199,IF(OR(M199="Not started",M199=""),J199,"")))</f>
        <v/>
      </c>
      <c r="U199" s="79">
        <f>IF(T199="","",IF(Q199=3,1,IF(T199="","",IF(T199&lt;AsOf,1,IF(T199&lt;=AsOf+AlertDays,2,IF(T199&lt;=AsOf+2*AlertDays,3,""))))))</f>
        <v/>
      </c>
      <c r="V199" s="79">
        <f>IF(U199="","",IF(Q199=3,"Late task: "&amp;D199,IF(T199&lt;AsOf,"Should have started: ","Starts soon: ")&amp;D199)&amp;IF(F199="",""," — "&amp;F199))</f>
        <v/>
      </c>
    </row>
    <row r="200" ht="20" customHeight="1">
      <c r="B200" s="125" t="n">
        <v>194</v>
      </c>
      <c r="C200" s="72" t="n"/>
      <c r="D200" s="72" t="n"/>
      <c r="E200" s="72" t="n"/>
      <c r="F200" s="72" t="n"/>
      <c r="G200" s="89" t="n"/>
      <c r="H200" s="89" t="n"/>
      <c r="I200" s="109" t="n"/>
      <c r="J200" s="126">
        <f>IF(OR(D200="",ProjStart=""),"",MAX(ProjStart,IF(I200&lt;&gt;"",I200,0),IF(H200="",0,IFERROR(INDEX($L$6:L199,MATCH(H200,$B$6:B199,0))+1,0))))</f>
        <v/>
      </c>
      <c r="K200" s="89" t="n"/>
      <c r="L200" s="126">
        <f>IF(J200="","",J200+MAX(1,G200)+IF(K200="",0,K200)-1)</f>
        <v/>
      </c>
      <c r="M200" s="72" t="n"/>
      <c r="N200" s="109" t="n"/>
      <c r="O200" s="127">
        <f>IF(D200="","",COUNTIF($H$7:$H$1006,B200))</f>
        <v/>
      </c>
      <c r="P200" s="78">
        <f>IF(D200="","",IF(AND(H200&lt;&gt;"",H200&gt;=B200),"⚠️ Predecessor must be above",IF(M200="Done","✓ Done",IF(Q200=3,"🔴 Late",IF(M200="In progress","In progress","")))))</f>
        <v/>
      </c>
      <c r="Q200" s="79">
        <f>IF(OR(D200="",L200=""),"",IF(M200="Done",2,IF(AsOf&gt;L200,3,1)))</f>
        <v/>
      </c>
      <c r="R200" s="79">
        <f>IF(OR(E200="",F200=""),0,IF(COUNTIFS($E$7:E200,E200,$F$7:F200,F200)=1,1,0))</f>
        <v/>
      </c>
      <c r="S200" s="79">
        <f>IF(R200=1,E200&amp;"|"&amp;SUMIFS($R$7:R200,$E$7:E200,E200),"")</f>
        <v/>
      </c>
      <c r="T200" s="112">
        <f>IF(Q200="","",IF(Q200=3,L200,IF(OR(M200="Not started",M200=""),J200,"")))</f>
        <v/>
      </c>
      <c r="U200" s="79">
        <f>IF(T200="","",IF(Q200=3,1,IF(T200="","",IF(T200&lt;AsOf,1,IF(T200&lt;=AsOf+AlertDays,2,IF(T200&lt;=AsOf+2*AlertDays,3,""))))))</f>
        <v/>
      </c>
      <c r="V200" s="79">
        <f>IF(U200="","",IF(Q200=3,"Late task: "&amp;D200,IF(T200&lt;AsOf,"Should have started: ","Starts soon: ")&amp;D200)&amp;IF(F200="",""," — "&amp;F200))</f>
        <v/>
      </c>
    </row>
    <row r="201" ht="20" customHeight="1">
      <c r="B201" s="125" t="n">
        <v>195</v>
      </c>
      <c r="C201" s="72" t="n"/>
      <c r="D201" s="72" t="n"/>
      <c r="E201" s="72" t="n"/>
      <c r="F201" s="72" t="n"/>
      <c r="G201" s="89" t="n"/>
      <c r="H201" s="89" t="n"/>
      <c r="I201" s="109" t="n"/>
      <c r="J201" s="126">
        <f>IF(OR(D201="",ProjStart=""),"",MAX(ProjStart,IF(I201&lt;&gt;"",I201,0),IF(H201="",0,IFERROR(INDEX($L$6:L200,MATCH(H201,$B$6:B200,0))+1,0))))</f>
        <v/>
      </c>
      <c r="K201" s="89" t="n"/>
      <c r="L201" s="126">
        <f>IF(J201="","",J201+MAX(1,G201)+IF(K201="",0,K201)-1)</f>
        <v/>
      </c>
      <c r="M201" s="72" t="n"/>
      <c r="N201" s="109" t="n"/>
      <c r="O201" s="127">
        <f>IF(D201="","",COUNTIF($H$7:$H$1006,B201))</f>
        <v/>
      </c>
      <c r="P201" s="78">
        <f>IF(D201="","",IF(AND(H201&lt;&gt;"",H201&gt;=B201),"⚠️ Predecessor must be above",IF(M201="Done","✓ Done",IF(Q201=3,"🔴 Late",IF(M201="In progress","In progress","")))))</f>
        <v/>
      </c>
      <c r="Q201" s="79">
        <f>IF(OR(D201="",L201=""),"",IF(M201="Done",2,IF(AsOf&gt;L201,3,1)))</f>
        <v/>
      </c>
      <c r="R201" s="79">
        <f>IF(OR(E201="",F201=""),0,IF(COUNTIFS($E$7:E201,E201,$F$7:F201,F201)=1,1,0))</f>
        <v/>
      </c>
      <c r="S201" s="79">
        <f>IF(R201=1,E201&amp;"|"&amp;SUMIFS($R$7:R201,$E$7:E201,E201),"")</f>
        <v/>
      </c>
      <c r="T201" s="112">
        <f>IF(Q201="","",IF(Q201=3,L201,IF(OR(M201="Not started",M201=""),J201,"")))</f>
        <v/>
      </c>
      <c r="U201" s="79">
        <f>IF(T201="","",IF(Q201=3,1,IF(T201="","",IF(T201&lt;AsOf,1,IF(T201&lt;=AsOf+AlertDays,2,IF(T201&lt;=AsOf+2*AlertDays,3,""))))))</f>
        <v/>
      </c>
      <c r="V201" s="79">
        <f>IF(U201="","",IF(Q201=3,"Late task: "&amp;D201,IF(T201&lt;AsOf,"Should have started: ","Starts soon: ")&amp;D201)&amp;IF(F201="",""," — "&amp;F201))</f>
        <v/>
      </c>
    </row>
    <row r="202" ht="20" customHeight="1">
      <c r="B202" s="125" t="n">
        <v>196</v>
      </c>
      <c r="C202" s="72" t="n"/>
      <c r="D202" s="72" t="n"/>
      <c r="E202" s="72" t="n"/>
      <c r="F202" s="72" t="n"/>
      <c r="G202" s="89" t="n"/>
      <c r="H202" s="89" t="n"/>
      <c r="I202" s="109" t="n"/>
      <c r="J202" s="126">
        <f>IF(OR(D202="",ProjStart=""),"",MAX(ProjStart,IF(I202&lt;&gt;"",I202,0),IF(H202="",0,IFERROR(INDEX($L$6:L201,MATCH(H202,$B$6:B201,0))+1,0))))</f>
        <v/>
      </c>
      <c r="K202" s="89" t="n"/>
      <c r="L202" s="126">
        <f>IF(J202="","",J202+MAX(1,G202)+IF(K202="",0,K202)-1)</f>
        <v/>
      </c>
      <c r="M202" s="72" t="n"/>
      <c r="N202" s="109" t="n"/>
      <c r="O202" s="127">
        <f>IF(D202="","",COUNTIF($H$7:$H$1006,B202))</f>
        <v/>
      </c>
      <c r="P202" s="78">
        <f>IF(D202="","",IF(AND(H202&lt;&gt;"",H202&gt;=B202),"⚠️ Predecessor must be above",IF(M202="Done","✓ Done",IF(Q202=3,"🔴 Late",IF(M202="In progress","In progress","")))))</f>
        <v/>
      </c>
      <c r="Q202" s="79">
        <f>IF(OR(D202="",L202=""),"",IF(M202="Done",2,IF(AsOf&gt;L202,3,1)))</f>
        <v/>
      </c>
      <c r="R202" s="79">
        <f>IF(OR(E202="",F202=""),0,IF(COUNTIFS($E$7:E202,E202,$F$7:F202,F202)=1,1,0))</f>
        <v/>
      </c>
      <c r="S202" s="79">
        <f>IF(R202=1,E202&amp;"|"&amp;SUMIFS($R$7:R202,$E$7:E202,E202),"")</f>
        <v/>
      </c>
      <c r="T202" s="112">
        <f>IF(Q202="","",IF(Q202=3,L202,IF(OR(M202="Not started",M202=""),J202,"")))</f>
        <v/>
      </c>
      <c r="U202" s="79">
        <f>IF(T202="","",IF(Q202=3,1,IF(T202="","",IF(T202&lt;AsOf,1,IF(T202&lt;=AsOf+AlertDays,2,IF(T202&lt;=AsOf+2*AlertDays,3,""))))))</f>
        <v/>
      </c>
      <c r="V202" s="79">
        <f>IF(U202="","",IF(Q202=3,"Late task: "&amp;D202,IF(T202&lt;AsOf,"Should have started: ","Starts soon: ")&amp;D202)&amp;IF(F202="",""," — "&amp;F202))</f>
        <v/>
      </c>
    </row>
    <row r="203" ht="20" customHeight="1">
      <c r="B203" s="125" t="n">
        <v>197</v>
      </c>
      <c r="C203" s="72" t="n"/>
      <c r="D203" s="72" t="n"/>
      <c r="E203" s="72" t="n"/>
      <c r="F203" s="72" t="n"/>
      <c r="G203" s="89" t="n"/>
      <c r="H203" s="89" t="n"/>
      <c r="I203" s="109" t="n"/>
      <c r="J203" s="126">
        <f>IF(OR(D203="",ProjStart=""),"",MAX(ProjStart,IF(I203&lt;&gt;"",I203,0),IF(H203="",0,IFERROR(INDEX($L$6:L202,MATCH(H203,$B$6:B202,0))+1,0))))</f>
        <v/>
      </c>
      <c r="K203" s="89" t="n"/>
      <c r="L203" s="126">
        <f>IF(J203="","",J203+MAX(1,G203)+IF(K203="",0,K203)-1)</f>
        <v/>
      </c>
      <c r="M203" s="72" t="n"/>
      <c r="N203" s="109" t="n"/>
      <c r="O203" s="127">
        <f>IF(D203="","",COUNTIF($H$7:$H$1006,B203))</f>
        <v/>
      </c>
      <c r="P203" s="78">
        <f>IF(D203="","",IF(AND(H203&lt;&gt;"",H203&gt;=B203),"⚠️ Predecessor must be above",IF(M203="Done","✓ Done",IF(Q203=3,"🔴 Late",IF(M203="In progress","In progress","")))))</f>
        <v/>
      </c>
      <c r="Q203" s="79">
        <f>IF(OR(D203="",L203=""),"",IF(M203="Done",2,IF(AsOf&gt;L203,3,1)))</f>
        <v/>
      </c>
      <c r="R203" s="79">
        <f>IF(OR(E203="",F203=""),0,IF(COUNTIFS($E$7:E203,E203,$F$7:F203,F203)=1,1,0))</f>
        <v/>
      </c>
      <c r="S203" s="79">
        <f>IF(R203=1,E203&amp;"|"&amp;SUMIFS($R$7:R203,$E$7:E203,E203),"")</f>
        <v/>
      </c>
      <c r="T203" s="112">
        <f>IF(Q203="","",IF(Q203=3,L203,IF(OR(M203="Not started",M203=""),J203,"")))</f>
        <v/>
      </c>
      <c r="U203" s="79">
        <f>IF(T203="","",IF(Q203=3,1,IF(T203="","",IF(T203&lt;AsOf,1,IF(T203&lt;=AsOf+AlertDays,2,IF(T203&lt;=AsOf+2*AlertDays,3,""))))))</f>
        <v/>
      </c>
      <c r="V203" s="79">
        <f>IF(U203="","",IF(Q203=3,"Late task: "&amp;D203,IF(T203&lt;AsOf,"Should have started: ","Starts soon: ")&amp;D203)&amp;IF(F203="",""," — "&amp;F203))</f>
        <v/>
      </c>
    </row>
    <row r="204" ht="20" customHeight="1">
      <c r="B204" s="125" t="n">
        <v>198</v>
      </c>
      <c r="C204" s="72" t="n"/>
      <c r="D204" s="72" t="n"/>
      <c r="E204" s="72" t="n"/>
      <c r="F204" s="72" t="n"/>
      <c r="G204" s="89" t="n"/>
      <c r="H204" s="89" t="n"/>
      <c r="I204" s="109" t="n"/>
      <c r="J204" s="126">
        <f>IF(OR(D204="",ProjStart=""),"",MAX(ProjStart,IF(I204&lt;&gt;"",I204,0),IF(H204="",0,IFERROR(INDEX($L$6:L203,MATCH(H204,$B$6:B203,0))+1,0))))</f>
        <v/>
      </c>
      <c r="K204" s="89" t="n"/>
      <c r="L204" s="126">
        <f>IF(J204="","",J204+MAX(1,G204)+IF(K204="",0,K204)-1)</f>
        <v/>
      </c>
      <c r="M204" s="72" t="n"/>
      <c r="N204" s="109" t="n"/>
      <c r="O204" s="127">
        <f>IF(D204="","",COUNTIF($H$7:$H$1006,B204))</f>
        <v/>
      </c>
      <c r="P204" s="78">
        <f>IF(D204="","",IF(AND(H204&lt;&gt;"",H204&gt;=B204),"⚠️ Predecessor must be above",IF(M204="Done","✓ Done",IF(Q204=3,"🔴 Late",IF(M204="In progress","In progress","")))))</f>
        <v/>
      </c>
      <c r="Q204" s="79">
        <f>IF(OR(D204="",L204=""),"",IF(M204="Done",2,IF(AsOf&gt;L204,3,1)))</f>
        <v/>
      </c>
      <c r="R204" s="79">
        <f>IF(OR(E204="",F204=""),0,IF(COUNTIFS($E$7:E204,E204,$F$7:F204,F204)=1,1,0))</f>
        <v/>
      </c>
      <c r="S204" s="79">
        <f>IF(R204=1,E204&amp;"|"&amp;SUMIFS($R$7:R204,$E$7:E204,E204),"")</f>
        <v/>
      </c>
      <c r="T204" s="112">
        <f>IF(Q204="","",IF(Q204=3,L204,IF(OR(M204="Not started",M204=""),J204,"")))</f>
        <v/>
      </c>
      <c r="U204" s="79">
        <f>IF(T204="","",IF(Q204=3,1,IF(T204="","",IF(T204&lt;AsOf,1,IF(T204&lt;=AsOf+AlertDays,2,IF(T204&lt;=AsOf+2*AlertDays,3,""))))))</f>
        <v/>
      </c>
      <c r="V204" s="79">
        <f>IF(U204="","",IF(Q204=3,"Late task: "&amp;D204,IF(T204&lt;AsOf,"Should have started: ","Starts soon: ")&amp;D204)&amp;IF(F204="",""," — "&amp;F204))</f>
        <v/>
      </c>
    </row>
    <row r="205" ht="20" customHeight="1">
      <c r="B205" s="125" t="n">
        <v>199</v>
      </c>
      <c r="C205" s="72" t="n"/>
      <c r="D205" s="72" t="n"/>
      <c r="E205" s="72" t="n"/>
      <c r="F205" s="72" t="n"/>
      <c r="G205" s="89" t="n"/>
      <c r="H205" s="89" t="n"/>
      <c r="I205" s="109" t="n"/>
      <c r="J205" s="126">
        <f>IF(OR(D205="",ProjStart=""),"",MAX(ProjStart,IF(I205&lt;&gt;"",I205,0),IF(H205="",0,IFERROR(INDEX($L$6:L204,MATCH(H205,$B$6:B204,0))+1,0))))</f>
        <v/>
      </c>
      <c r="K205" s="89" t="n"/>
      <c r="L205" s="126">
        <f>IF(J205="","",J205+MAX(1,G205)+IF(K205="",0,K205)-1)</f>
        <v/>
      </c>
      <c r="M205" s="72" t="n"/>
      <c r="N205" s="109" t="n"/>
      <c r="O205" s="127">
        <f>IF(D205="","",COUNTIF($H$7:$H$1006,B205))</f>
        <v/>
      </c>
      <c r="P205" s="78">
        <f>IF(D205="","",IF(AND(H205&lt;&gt;"",H205&gt;=B205),"⚠️ Predecessor must be above",IF(M205="Done","✓ Done",IF(Q205=3,"🔴 Late",IF(M205="In progress","In progress","")))))</f>
        <v/>
      </c>
      <c r="Q205" s="79">
        <f>IF(OR(D205="",L205=""),"",IF(M205="Done",2,IF(AsOf&gt;L205,3,1)))</f>
        <v/>
      </c>
      <c r="R205" s="79">
        <f>IF(OR(E205="",F205=""),0,IF(COUNTIFS($E$7:E205,E205,$F$7:F205,F205)=1,1,0))</f>
        <v/>
      </c>
      <c r="S205" s="79">
        <f>IF(R205=1,E205&amp;"|"&amp;SUMIFS($R$7:R205,$E$7:E205,E205),"")</f>
        <v/>
      </c>
      <c r="T205" s="112">
        <f>IF(Q205="","",IF(Q205=3,L205,IF(OR(M205="Not started",M205=""),J205,"")))</f>
        <v/>
      </c>
      <c r="U205" s="79">
        <f>IF(T205="","",IF(Q205=3,1,IF(T205="","",IF(T205&lt;AsOf,1,IF(T205&lt;=AsOf+AlertDays,2,IF(T205&lt;=AsOf+2*AlertDays,3,""))))))</f>
        <v/>
      </c>
      <c r="V205" s="79">
        <f>IF(U205="","",IF(Q205=3,"Late task: "&amp;D205,IF(T205&lt;AsOf,"Should have started: ","Starts soon: ")&amp;D205)&amp;IF(F205="",""," — "&amp;F205))</f>
        <v/>
      </c>
    </row>
    <row r="206" ht="20" customHeight="1">
      <c r="B206" s="125" t="n">
        <v>200</v>
      </c>
      <c r="C206" s="72" t="n"/>
      <c r="D206" s="72" t="n"/>
      <c r="E206" s="72" t="n"/>
      <c r="F206" s="72" t="n"/>
      <c r="G206" s="89" t="n"/>
      <c r="H206" s="89" t="n"/>
      <c r="I206" s="109" t="n"/>
      <c r="J206" s="126">
        <f>IF(OR(D206="",ProjStart=""),"",MAX(ProjStart,IF(I206&lt;&gt;"",I206,0),IF(H206="",0,IFERROR(INDEX($L$6:L205,MATCH(H206,$B$6:B205,0))+1,0))))</f>
        <v/>
      </c>
      <c r="K206" s="89" t="n"/>
      <c r="L206" s="126">
        <f>IF(J206="","",J206+MAX(1,G206)+IF(K206="",0,K206)-1)</f>
        <v/>
      </c>
      <c r="M206" s="72" t="n"/>
      <c r="N206" s="109" t="n"/>
      <c r="O206" s="127">
        <f>IF(D206="","",COUNTIF($H$7:$H$1006,B206))</f>
        <v/>
      </c>
      <c r="P206" s="78">
        <f>IF(D206="","",IF(AND(H206&lt;&gt;"",H206&gt;=B206),"⚠️ Predecessor must be above",IF(M206="Done","✓ Done",IF(Q206=3,"🔴 Late",IF(M206="In progress","In progress","")))))</f>
        <v/>
      </c>
      <c r="Q206" s="79">
        <f>IF(OR(D206="",L206=""),"",IF(M206="Done",2,IF(AsOf&gt;L206,3,1)))</f>
        <v/>
      </c>
      <c r="R206" s="79">
        <f>IF(OR(E206="",F206=""),0,IF(COUNTIFS($E$7:E206,E206,$F$7:F206,F206)=1,1,0))</f>
        <v/>
      </c>
      <c r="S206" s="79">
        <f>IF(R206=1,E206&amp;"|"&amp;SUMIFS($R$7:R206,$E$7:E206,E206),"")</f>
        <v/>
      </c>
      <c r="T206" s="112">
        <f>IF(Q206="","",IF(Q206=3,L206,IF(OR(M206="Not started",M206=""),J206,"")))</f>
        <v/>
      </c>
      <c r="U206" s="79">
        <f>IF(T206="","",IF(Q206=3,1,IF(T206="","",IF(T206&lt;AsOf,1,IF(T206&lt;=AsOf+AlertDays,2,IF(T206&lt;=AsOf+2*AlertDays,3,""))))))</f>
        <v/>
      </c>
      <c r="V206" s="79">
        <f>IF(U206="","",IF(Q206=3,"Late task: "&amp;D206,IF(T206&lt;AsOf,"Should have started: ","Starts soon: ")&amp;D206)&amp;IF(F206="",""," — "&amp;F206))</f>
        <v/>
      </c>
    </row>
    <row r="207" ht="20" customHeight="1">
      <c r="B207" s="125" t="n">
        <v>201</v>
      </c>
      <c r="C207" s="72" t="n"/>
      <c r="D207" s="72" t="n"/>
      <c r="E207" s="72" t="n"/>
      <c r="F207" s="72" t="n"/>
      <c r="G207" s="89" t="n"/>
      <c r="H207" s="89" t="n"/>
      <c r="I207" s="109" t="n"/>
      <c r="J207" s="126">
        <f>IF(OR(D207="",ProjStart=""),"",MAX(ProjStart,IF(I207&lt;&gt;"",I207,0),IF(H207="",0,IFERROR(INDEX($L$6:L206,MATCH(H207,$B$6:B206,0))+1,0))))</f>
        <v/>
      </c>
      <c r="K207" s="89" t="n"/>
      <c r="L207" s="126">
        <f>IF(J207="","",J207+MAX(1,G207)+IF(K207="",0,K207)-1)</f>
        <v/>
      </c>
      <c r="M207" s="72" t="n"/>
      <c r="N207" s="109" t="n"/>
      <c r="O207" s="127">
        <f>IF(D207="","",COUNTIF($H$7:$H$1006,B207))</f>
        <v/>
      </c>
      <c r="P207" s="78">
        <f>IF(D207="","",IF(AND(H207&lt;&gt;"",H207&gt;=B207),"⚠️ Predecessor must be above",IF(M207="Done","✓ Done",IF(Q207=3,"🔴 Late",IF(M207="In progress","In progress","")))))</f>
        <v/>
      </c>
      <c r="Q207" s="79">
        <f>IF(OR(D207="",L207=""),"",IF(M207="Done",2,IF(AsOf&gt;L207,3,1)))</f>
        <v/>
      </c>
      <c r="R207" s="79">
        <f>IF(OR(E207="",F207=""),0,IF(COUNTIFS($E$7:E207,E207,$F$7:F207,F207)=1,1,0))</f>
        <v/>
      </c>
      <c r="S207" s="79">
        <f>IF(R207=1,E207&amp;"|"&amp;SUMIFS($R$7:R207,$E$7:E207,E207),"")</f>
        <v/>
      </c>
      <c r="T207" s="112">
        <f>IF(Q207="","",IF(Q207=3,L207,IF(OR(M207="Not started",M207=""),J207,"")))</f>
        <v/>
      </c>
      <c r="U207" s="79">
        <f>IF(T207="","",IF(Q207=3,1,IF(T207="","",IF(T207&lt;AsOf,1,IF(T207&lt;=AsOf+AlertDays,2,IF(T207&lt;=AsOf+2*AlertDays,3,""))))))</f>
        <v/>
      </c>
      <c r="V207" s="79">
        <f>IF(U207="","",IF(Q207=3,"Late task: "&amp;D207,IF(T207&lt;AsOf,"Should have started: ","Starts soon: ")&amp;D207)&amp;IF(F207="",""," — "&amp;F207))</f>
        <v/>
      </c>
    </row>
    <row r="208" ht="20" customHeight="1">
      <c r="B208" s="125" t="n">
        <v>202</v>
      </c>
      <c r="C208" s="72" t="n"/>
      <c r="D208" s="72" t="n"/>
      <c r="E208" s="72" t="n"/>
      <c r="F208" s="72" t="n"/>
      <c r="G208" s="89" t="n"/>
      <c r="H208" s="89" t="n"/>
      <c r="I208" s="109" t="n"/>
      <c r="J208" s="126">
        <f>IF(OR(D208="",ProjStart=""),"",MAX(ProjStart,IF(I208&lt;&gt;"",I208,0),IF(H208="",0,IFERROR(INDEX($L$6:L207,MATCH(H208,$B$6:B207,0))+1,0))))</f>
        <v/>
      </c>
      <c r="K208" s="89" t="n"/>
      <c r="L208" s="126">
        <f>IF(J208="","",J208+MAX(1,G208)+IF(K208="",0,K208)-1)</f>
        <v/>
      </c>
      <c r="M208" s="72" t="n"/>
      <c r="N208" s="109" t="n"/>
      <c r="O208" s="127">
        <f>IF(D208="","",COUNTIF($H$7:$H$1006,B208))</f>
        <v/>
      </c>
      <c r="P208" s="78">
        <f>IF(D208="","",IF(AND(H208&lt;&gt;"",H208&gt;=B208),"⚠️ Predecessor must be above",IF(M208="Done","✓ Done",IF(Q208=3,"🔴 Late",IF(M208="In progress","In progress","")))))</f>
        <v/>
      </c>
      <c r="Q208" s="79">
        <f>IF(OR(D208="",L208=""),"",IF(M208="Done",2,IF(AsOf&gt;L208,3,1)))</f>
        <v/>
      </c>
      <c r="R208" s="79">
        <f>IF(OR(E208="",F208=""),0,IF(COUNTIFS($E$7:E208,E208,$F$7:F208,F208)=1,1,0))</f>
        <v/>
      </c>
      <c r="S208" s="79">
        <f>IF(R208=1,E208&amp;"|"&amp;SUMIFS($R$7:R208,$E$7:E208,E208),"")</f>
        <v/>
      </c>
      <c r="T208" s="112">
        <f>IF(Q208="","",IF(Q208=3,L208,IF(OR(M208="Not started",M208=""),J208,"")))</f>
        <v/>
      </c>
      <c r="U208" s="79">
        <f>IF(T208="","",IF(Q208=3,1,IF(T208="","",IF(T208&lt;AsOf,1,IF(T208&lt;=AsOf+AlertDays,2,IF(T208&lt;=AsOf+2*AlertDays,3,""))))))</f>
        <v/>
      </c>
      <c r="V208" s="79">
        <f>IF(U208="","",IF(Q208=3,"Late task: "&amp;D208,IF(T208&lt;AsOf,"Should have started: ","Starts soon: ")&amp;D208)&amp;IF(F208="",""," — "&amp;F208))</f>
        <v/>
      </c>
    </row>
    <row r="209" ht="20" customHeight="1">
      <c r="B209" s="125" t="n">
        <v>203</v>
      </c>
      <c r="C209" s="72" t="n"/>
      <c r="D209" s="72" t="n"/>
      <c r="E209" s="72" t="n"/>
      <c r="F209" s="72" t="n"/>
      <c r="G209" s="89" t="n"/>
      <c r="H209" s="89" t="n"/>
      <c r="I209" s="109" t="n"/>
      <c r="J209" s="126">
        <f>IF(OR(D209="",ProjStart=""),"",MAX(ProjStart,IF(I209&lt;&gt;"",I209,0),IF(H209="",0,IFERROR(INDEX($L$6:L208,MATCH(H209,$B$6:B208,0))+1,0))))</f>
        <v/>
      </c>
      <c r="K209" s="89" t="n"/>
      <c r="L209" s="126">
        <f>IF(J209="","",J209+MAX(1,G209)+IF(K209="",0,K209)-1)</f>
        <v/>
      </c>
      <c r="M209" s="72" t="n"/>
      <c r="N209" s="109" t="n"/>
      <c r="O209" s="127">
        <f>IF(D209="","",COUNTIF($H$7:$H$1006,B209))</f>
        <v/>
      </c>
      <c r="P209" s="78">
        <f>IF(D209="","",IF(AND(H209&lt;&gt;"",H209&gt;=B209),"⚠️ Predecessor must be above",IF(M209="Done","✓ Done",IF(Q209=3,"🔴 Late",IF(M209="In progress","In progress","")))))</f>
        <v/>
      </c>
      <c r="Q209" s="79">
        <f>IF(OR(D209="",L209=""),"",IF(M209="Done",2,IF(AsOf&gt;L209,3,1)))</f>
        <v/>
      </c>
      <c r="R209" s="79">
        <f>IF(OR(E209="",F209=""),0,IF(COUNTIFS($E$7:E209,E209,$F$7:F209,F209)=1,1,0))</f>
        <v/>
      </c>
      <c r="S209" s="79">
        <f>IF(R209=1,E209&amp;"|"&amp;SUMIFS($R$7:R209,$E$7:E209,E209),"")</f>
        <v/>
      </c>
      <c r="T209" s="112">
        <f>IF(Q209="","",IF(Q209=3,L209,IF(OR(M209="Not started",M209=""),J209,"")))</f>
        <v/>
      </c>
      <c r="U209" s="79">
        <f>IF(T209="","",IF(Q209=3,1,IF(T209="","",IF(T209&lt;AsOf,1,IF(T209&lt;=AsOf+AlertDays,2,IF(T209&lt;=AsOf+2*AlertDays,3,""))))))</f>
        <v/>
      </c>
      <c r="V209" s="79">
        <f>IF(U209="","",IF(Q209=3,"Late task: "&amp;D209,IF(T209&lt;AsOf,"Should have started: ","Starts soon: ")&amp;D209)&amp;IF(F209="",""," — "&amp;F209))</f>
        <v/>
      </c>
    </row>
    <row r="210" ht="20" customHeight="1">
      <c r="B210" s="125" t="n">
        <v>204</v>
      </c>
      <c r="C210" s="72" t="n"/>
      <c r="D210" s="72" t="n"/>
      <c r="E210" s="72" t="n"/>
      <c r="F210" s="72" t="n"/>
      <c r="G210" s="89" t="n"/>
      <c r="H210" s="89" t="n"/>
      <c r="I210" s="109" t="n"/>
      <c r="J210" s="126">
        <f>IF(OR(D210="",ProjStart=""),"",MAX(ProjStart,IF(I210&lt;&gt;"",I210,0),IF(H210="",0,IFERROR(INDEX($L$6:L209,MATCH(H210,$B$6:B209,0))+1,0))))</f>
        <v/>
      </c>
      <c r="K210" s="89" t="n"/>
      <c r="L210" s="126">
        <f>IF(J210="","",J210+MAX(1,G210)+IF(K210="",0,K210)-1)</f>
        <v/>
      </c>
      <c r="M210" s="72" t="n"/>
      <c r="N210" s="109" t="n"/>
      <c r="O210" s="127">
        <f>IF(D210="","",COUNTIF($H$7:$H$1006,B210))</f>
        <v/>
      </c>
      <c r="P210" s="78">
        <f>IF(D210="","",IF(AND(H210&lt;&gt;"",H210&gt;=B210),"⚠️ Predecessor must be above",IF(M210="Done","✓ Done",IF(Q210=3,"🔴 Late",IF(M210="In progress","In progress","")))))</f>
        <v/>
      </c>
      <c r="Q210" s="79">
        <f>IF(OR(D210="",L210=""),"",IF(M210="Done",2,IF(AsOf&gt;L210,3,1)))</f>
        <v/>
      </c>
      <c r="R210" s="79">
        <f>IF(OR(E210="",F210=""),0,IF(COUNTIFS($E$7:E210,E210,$F$7:F210,F210)=1,1,0))</f>
        <v/>
      </c>
      <c r="S210" s="79">
        <f>IF(R210=1,E210&amp;"|"&amp;SUMIFS($R$7:R210,$E$7:E210,E210),"")</f>
        <v/>
      </c>
      <c r="T210" s="112">
        <f>IF(Q210="","",IF(Q210=3,L210,IF(OR(M210="Not started",M210=""),J210,"")))</f>
        <v/>
      </c>
      <c r="U210" s="79">
        <f>IF(T210="","",IF(Q210=3,1,IF(T210="","",IF(T210&lt;AsOf,1,IF(T210&lt;=AsOf+AlertDays,2,IF(T210&lt;=AsOf+2*AlertDays,3,""))))))</f>
        <v/>
      </c>
      <c r="V210" s="79">
        <f>IF(U210="","",IF(Q210=3,"Late task: "&amp;D210,IF(T210&lt;AsOf,"Should have started: ","Starts soon: ")&amp;D210)&amp;IF(F210="",""," — "&amp;F210))</f>
        <v/>
      </c>
    </row>
    <row r="211" ht="20" customHeight="1">
      <c r="B211" s="125" t="n">
        <v>205</v>
      </c>
      <c r="C211" s="72" t="n"/>
      <c r="D211" s="72" t="n"/>
      <c r="E211" s="72" t="n"/>
      <c r="F211" s="72" t="n"/>
      <c r="G211" s="89" t="n"/>
      <c r="H211" s="89" t="n"/>
      <c r="I211" s="109" t="n"/>
      <c r="J211" s="126">
        <f>IF(OR(D211="",ProjStart=""),"",MAX(ProjStart,IF(I211&lt;&gt;"",I211,0),IF(H211="",0,IFERROR(INDEX($L$6:L210,MATCH(H211,$B$6:B210,0))+1,0))))</f>
        <v/>
      </c>
      <c r="K211" s="89" t="n"/>
      <c r="L211" s="126">
        <f>IF(J211="","",J211+MAX(1,G211)+IF(K211="",0,K211)-1)</f>
        <v/>
      </c>
      <c r="M211" s="72" t="n"/>
      <c r="N211" s="109" t="n"/>
      <c r="O211" s="127">
        <f>IF(D211="","",COUNTIF($H$7:$H$1006,B211))</f>
        <v/>
      </c>
      <c r="P211" s="78">
        <f>IF(D211="","",IF(AND(H211&lt;&gt;"",H211&gt;=B211),"⚠️ Predecessor must be above",IF(M211="Done","✓ Done",IF(Q211=3,"🔴 Late",IF(M211="In progress","In progress","")))))</f>
        <v/>
      </c>
      <c r="Q211" s="79">
        <f>IF(OR(D211="",L211=""),"",IF(M211="Done",2,IF(AsOf&gt;L211,3,1)))</f>
        <v/>
      </c>
      <c r="R211" s="79">
        <f>IF(OR(E211="",F211=""),0,IF(COUNTIFS($E$7:E211,E211,$F$7:F211,F211)=1,1,0))</f>
        <v/>
      </c>
      <c r="S211" s="79">
        <f>IF(R211=1,E211&amp;"|"&amp;SUMIFS($R$7:R211,$E$7:E211,E211),"")</f>
        <v/>
      </c>
      <c r="T211" s="112">
        <f>IF(Q211="","",IF(Q211=3,L211,IF(OR(M211="Not started",M211=""),J211,"")))</f>
        <v/>
      </c>
      <c r="U211" s="79">
        <f>IF(T211="","",IF(Q211=3,1,IF(T211="","",IF(T211&lt;AsOf,1,IF(T211&lt;=AsOf+AlertDays,2,IF(T211&lt;=AsOf+2*AlertDays,3,""))))))</f>
        <v/>
      </c>
      <c r="V211" s="79">
        <f>IF(U211="","",IF(Q211=3,"Late task: "&amp;D211,IF(T211&lt;AsOf,"Should have started: ","Starts soon: ")&amp;D211)&amp;IF(F211="",""," — "&amp;F211))</f>
        <v/>
      </c>
    </row>
    <row r="212" ht="20" customHeight="1">
      <c r="B212" s="125" t="n">
        <v>206</v>
      </c>
      <c r="C212" s="72" t="n"/>
      <c r="D212" s="72" t="n"/>
      <c r="E212" s="72" t="n"/>
      <c r="F212" s="72" t="n"/>
      <c r="G212" s="89" t="n"/>
      <c r="H212" s="89" t="n"/>
      <c r="I212" s="109" t="n"/>
      <c r="J212" s="126">
        <f>IF(OR(D212="",ProjStart=""),"",MAX(ProjStart,IF(I212&lt;&gt;"",I212,0),IF(H212="",0,IFERROR(INDEX($L$6:L211,MATCH(H212,$B$6:B211,0))+1,0))))</f>
        <v/>
      </c>
      <c r="K212" s="89" t="n"/>
      <c r="L212" s="126">
        <f>IF(J212="","",J212+MAX(1,G212)+IF(K212="",0,K212)-1)</f>
        <v/>
      </c>
      <c r="M212" s="72" t="n"/>
      <c r="N212" s="109" t="n"/>
      <c r="O212" s="127">
        <f>IF(D212="","",COUNTIF($H$7:$H$1006,B212))</f>
        <v/>
      </c>
      <c r="P212" s="78">
        <f>IF(D212="","",IF(AND(H212&lt;&gt;"",H212&gt;=B212),"⚠️ Predecessor must be above",IF(M212="Done","✓ Done",IF(Q212=3,"🔴 Late",IF(M212="In progress","In progress","")))))</f>
        <v/>
      </c>
      <c r="Q212" s="79">
        <f>IF(OR(D212="",L212=""),"",IF(M212="Done",2,IF(AsOf&gt;L212,3,1)))</f>
        <v/>
      </c>
      <c r="R212" s="79">
        <f>IF(OR(E212="",F212=""),0,IF(COUNTIFS($E$7:E212,E212,$F$7:F212,F212)=1,1,0))</f>
        <v/>
      </c>
      <c r="S212" s="79">
        <f>IF(R212=1,E212&amp;"|"&amp;SUMIFS($R$7:R212,$E$7:E212,E212),"")</f>
        <v/>
      </c>
      <c r="T212" s="112">
        <f>IF(Q212="","",IF(Q212=3,L212,IF(OR(M212="Not started",M212=""),J212,"")))</f>
        <v/>
      </c>
      <c r="U212" s="79">
        <f>IF(T212="","",IF(Q212=3,1,IF(T212="","",IF(T212&lt;AsOf,1,IF(T212&lt;=AsOf+AlertDays,2,IF(T212&lt;=AsOf+2*AlertDays,3,""))))))</f>
        <v/>
      </c>
      <c r="V212" s="79">
        <f>IF(U212="","",IF(Q212=3,"Late task: "&amp;D212,IF(T212&lt;AsOf,"Should have started: ","Starts soon: ")&amp;D212)&amp;IF(F212="",""," — "&amp;F212))</f>
        <v/>
      </c>
    </row>
    <row r="213" ht="20" customHeight="1">
      <c r="B213" s="125" t="n">
        <v>207</v>
      </c>
      <c r="C213" s="72" t="n"/>
      <c r="D213" s="72" t="n"/>
      <c r="E213" s="72" t="n"/>
      <c r="F213" s="72" t="n"/>
      <c r="G213" s="89" t="n"/>
      <c r="H213" s="89" t="n"/>
      <c r="I213" s="109" t="n"/>
      <c r="J213" s="126">
        <f>IF(OR(D213="",ProjStart=""),"",MAX(ProjStart,IF(I213&lt;&gt;"",I213,0),IF(H213="",0,IFERROR(INDEX($L$6:L212,MATCH(H213,$B$6:B212,0))+1,0))))</f>
        <v/>
      </c>
      <c r="K213" s="89" t="n"/>
      <c r="L213" s="126">
        <f>IF(J213="","",J213+MAX(1,G213)+IF(K213="",0,K213)-1)</f>
        <v/>
      </c>
      <c r="M213" s="72" t="n"/>
      <c r="N213" s="109" t="n"/>
      <c r="O213" s="127">
        <f>IF(D213="","",COUNTIF($H$7:$H$1006,B213))</f>
        <v/>
      </c>
      <c r="P213" s="78">
        <f>IF(D213="","",IF(AND(H213&lt;&gt;"",H213&gt;=B213),"⚠️ Predecessor must be above",IF(M213="Done","✓ Done",IF(Q213=3,"🔴 Late",IF(M213="In progress","In progress","")))))</f>
        <v/>
      </c>
      <c r="Q213" s="79">
        <f>IF(OR(D213="",L213=""),"",IF(M213="Done",2,IF(AsOf&gt;L213,3,1)))</f>
        <v/>
      </c>
      <c r="R213" s="79">
        <f>IF(OR(E213="",F213=""),0,IF(COUNTIFS($E$7:E213,E213,$F$7:F213,F213)=1,1,0))</f>
        <v/>
      </c>
      <c r="S213" s="79">
        <f>IF(R213=1,E213&amp;"|"&amp;SUMIFS($R$7:R213,$E$7:E213,E213),"")</f>
        <v/>
      </c>
      <c r="T213" s="112">
        <f>IF(Q213="","",IF(Q213=3,L213,IF(OR(M213="Not started",M213=""),J213,"")))</f>
        <v/>
      </c>
      <c r="U213" s="79">
        <f>IF(T213="","",IF(Q213=3,1,IF(T213="","",IF(T213&lt;AsOf,1,IF(T213&lt;=AsOf+AlertDays,2,IF(T213&lt;=AsOf+2*AlertDays,3,""))))))</f>
        <v/>
      </c>
      <c r="V213" s="79">
        <f>IF(U213="","",IF(Q213=3,"Late task: "&amp;D213,IF(T213&lt;AsOf,"Should have started: ","Starts soon: ")&amp;D213)&amp;IF(F213="",""," — "&amp;F213))</f>
        <v/>
      </c>
    </row>
    <row r="214" ht="20" customHeight="1">
      <c r="B214" s="125" t="n">
        <v>208</v>
      </c>
      <c r="C214" s="72" t="n"/>
      <c r="D214" s="72" t="n"/>
      <c r="E214" s="72" t="n"/>
      <c r="F214" s="72" t="n"/>
      <c r="G214" s="89" t="n"/>
      <c r="H214" s="89" t="n"/>
      <c r="I214" s="109" t="n"/>
      <c r="J214" s="126">
        <f>IF(OR(D214="",ProjStart=""),"",MAX(ProjStart,IF(I214&lt;&gt;"",I214,0),IF(H214="",0,IFERROR(INDEX($L$6:L213,MATCH(H214,$B$6:B213,0))+1,0))))</f>
        <v/>
      </c>
      <c r="K214" s="89" t="n"/>
      <c r="L214" s="126">
        <f>IF(J214="","",J214+MAX(1,G214)+IF(K214="",0,K214)-1)</f>
        <v/>
      </c>
      <c r="M214" s="72" t="n"/>
      <c r="N214" s="109" t="n"/>
      <c r="O214" s="127">
        <f>IF(D214="","",COUNTIF($H$7:$H$1006,B214))</f>
        <v/>
      </c>
      <c r="P214" s="78">
        <f>IF(D214="","",IF(AND(H214&lt;&gt;"",H214&gt;=B214),"⚠️ Predecessor must be above",IF(M214="Done","✓ Done",IF(Q214=3,"🔴 Late",IF(M214="In progress","In progress","")))))</f>
        <v/>
      </c>
      <c r="Q214" s="79">
        <f>IF(OR(D214="",L214=""),"",IF(M214="Done",2,IF(AsOf&gt;L214,3,1)))</f>
        <v/>
      </c>
      <c r="R214" s="79">
        <f>IF(OR(E214="",F214=""),0,IF(COUNTIFS($E$7:E214,E214,$F$7:F214,F214)=1,1,0))</f>
        <v/>
      </c>
      <c r="S214" s="79">
        <f>IF(R214=1,E214&amp;"|"&amp;SUMIFS($R$7:R214,$E$7:E214,E214),"")</f>
        <v/>
      </c>
      <c r="T214" s="112">
        <f>IF(Q214="","",IF(Q214=3,L214,IF(OR(M214="Not started",M214=""),J214,"")))</f>
        <v/>
      </c>
      <c r="U214" s="79">
        <f>IF(T214="","",IF(Q214=3,1,IF(T214="","",IF(T214&lt;AsOf,1,IF(T214&lt;=AsOf+AlertDays,2,IF(T214&lt;=AsOf+2*AlertDays,3,""))))))</f>
        <v/>
      </c>
      <c r="V214" s="79">
        <f>IF(U214="","",IF(Q214=3,"Late task: "&amp;D214,IF(T214&lt;AsOf,"Should have started: ","Starts soon: ")&amp;D214)&amp;IF(F214="",""," — "&amp;F214))</f>
        <v/>
      </c>
    </row>
    <row r="215" ht="20" customHeight="1">
      <c r="B215" s="125" t="n">
        <v>209</v>
      </c>
      <c r="C215" s="72" t="n"/>
      <c r="D215" s="72" t="n"/>
      <c r="E215" s="72" t="n"/>
      <c r="F215" s="72" t="n"/>
      <c r="G215" s="89" t="n"/>
      <c r="H215" s="89" t="n"/>
      <c r="I215" s="109" t="n"/>
      <c r="J215" s="126">
        <f>IF(OR(D215="",ProjStart=""),"",MAX(ProjStart,IF(I215&lt;&gt;"",I215,0),IF(H215="",0,IFERROR(INDEX($L$6:L214,MATCH(H215,$B$6:B214,0))+1,0))))</f>
        <v/>
      </c>
      <c r="K215" s="89" t="n"/>
      <c r="L215" s="126">
        <f>IF(J215="","",J215+MAX(1,G215)+IF(K215="",0,K215)-1)</f>
        <v/>
      </c>
      <c r="M215" s="72" t="n"/>
      <c r="N215" s="109" t="n"/>
      <c r="O215" s="127">
        <f>IF(D215="","",COUNTIF($H$7:$H$1006,B215))</f>
        <v/>
      </c>
      <c r="P215" s="78">
        <f>IF(D215="","",IF(AND(H215&lt;&gt;"",H215&gt;=B215),"⚠️ Predecessor must be above",IF(M215="Done","✓ Done",IF(Q215=3,"🔴 Late",IF(M215="In progress","In progress","")))))</f>
        <v/>
      </c>
      <c r="Q215" s="79">
        <f>IF(OR(D215="",L215=""),"",IF(M215="Done",2,IF(AsOf&gt;L215,3,1)))</f>
        <v/>
      </c>
      <c r="R215" s="79">
        <f>IF(OR(E215="",F215=""),0,IF(COUNTIFS($E$7:E215,E215,$F$7:F215,F215)=1,1,0))</f>
        <v/>
      </c>
      <c r="S215" s="79">
        <f>IF(R215=1,E215&amp;"|"&amp;SUMIFS($R$7:R215,$E$7:E215,E215),"")</f>
        <v/>
      </c>
      <c r="T215" s="112">
        <f>IF(Q215="","",IF(Q215=3,L215,IF(OR(M215="Not started",M215=""),J215,"")))</f>
        <v/>
      </c>
      <c r="U215" s="79">
        <f>IF(T215="","",IF(Q215=3,1,IF(T215="","",IF(T215&lt;AsOf,1,IF(T215&lt;=AsOf+AlertDays,2,IF(T215&lt;=AsOf+2*AlertDays,3,""))))))</f>
        <v/>
      </c>
      <c r="V215" s="79">
        <f>IF(U215="","",IF(Q215=3,"Late task: "&amp;D215,IF(T215&lt;AsOf,"Should have started: ","Starts soon: ")&amp;D215)&amp;IF(F215="",""," — "&amp;F215))</f>
        <v/>
      </c>
    </row>
    <row r="216" ht="20" customHeight="1">
      <c r="B216" s="125" t="n">
        <v>210</v>
      </c>
      <c r="C216" s="72" t="n"/>
      <c r="D216" s="72" t="n"/>
      <c r="E216" s="72" t="n"/>
      <c r="F216" s="72" t="n"/>
      <c r="G216" s="89" t="n"/>
      <c r="H216" s="89" t="n"/>
      <c r="I216" s="109" t="n"/>
      <c r="J216" s="126">
        <f>IF(OR(D216="",ProjStart=""),"",MAX(ProjStart,IF(I216&lt;&gt;"",I216,0),IF(H216="",0,IFERROR(INDEX($L$6:L215,MATCH(H216,$B$6:B215,0))+1,0))))</f>
        <v/>
      </c>
      <c r="K216" s="89" t="n"/>
      <c r="L216" s="126">
        <f>IF(J216="","",J216+MAX(1,G216)+IF(K216="",0,K216)-1)</f>
        <v/>
      </c>
      <c r="M216" s="72" t="n"/>
      <c r="N216" s="109" t="n"/>
      <c r="O216" s="127">
        <f>IF(D216="","",COUNTIF($H$7:$H$1006,B216))</f>
        <v/>
      </c>
      <c r="P216" s="78">
        <f>IF(D216="","",IF(AND(H216&lt;&gt;"",H216&gt;=B216),"⚠️ Predecessor must be above",IF(M216="Done","✓ Done",IF(Q216=3,"🔴 Late",IF(M216="In progress","In progress","")))))</f>
        <v/>
      </c>
      <c r="Q216" s="79">
        <f>IF(OR(D216="",L216=""),"",IF(M216="Done",2,IF(AsOf&gt;L216,3,1)))</f>
        <v/>
      </c>
      <c r="R216" s="79">
        <f>IF(OR(E216="",F216=""),0,IF(COUNTIFS($E$7:E216,E216,$F$7:F216,F216)=1,1,0))</f>
        <v/>
      </c>
      <c r="S216" s="79">
        <f>IF(R216=1,E216&amp;"|"&amp;SUMIFS($R$7:R216,$E$7:E216,E216),"")</f>
        <v/>
      </c>
      <c r="T216" s="112">
        <f>IF(Q216="","",IF(Q216=3,L216,IF(OR(M216="Not started",M216=""),J216,"")))</f>
        <v/>
      </c>
      <c r="U216" s="79">
        <f>IF(T216="","",IF(Q216=3,1,IF(T216="","",IF(T216&lt;AsOf,1,IF(T216&lt;=AsOf+AlertDays,2,IF(T216&lt;=AsOf+2*AlertDays,3,""))))))</f>
        <v/>
      </c>
      <c r="V216" s="79">
        <f>IF(U216="","",IF(Q216=3,"Late task: "&amp;D216,IF(T216&lt;AsOf,"Should have started: ","Starts soon: ")&amp;D216)&amp;IF(F216="",""," — "&amp;F216))</f>
        <v/>
      </c>
    </row>
    <row r="217" ht="20" customHeight="1">
      <c r="B217" s="125" t="n">
        <v>211</v>
      </c>
      <c r="C217" s="72" t="n"/>
      <c r="D217" s="72" t="n"/>
      <c r="E217" s="72" t="n"/>
      <c r="F217" s="72" t="n"/>
      <c r="G217" s="89" t="n"/>
      <c r="H217" s="89" t="n"/>
      <c r="I217" s="109" t="n"/>
      <c r="J217" s="126">
        <f>IF(OR(D217="",ProjStart=""),"",MAX(ProjStart,IF(I217&lt;&gt;"",I217,0),IF(H217="",0,IFERROR(INDEX($L$6:L216,MATCH(H217,$B$6:B216,0))+1,0))))</f>
        <v/>
      </c>
      <c r="K217" s="89" t="n"/>
      <c r="L217" s="126">
        <f>IF(J217="","",J217+MAX(1,G217)+IF(K217="",0,K217)-1)</f>
        <v/>
      </c>
      <c r="M217" s="72" t="n"/>
      <c r="N217" s="109" t="n"/>
      <c r="O217" s="127">
        <f>IF(D217="","",COUNTIF($H$7:$H$1006,B217))</f>
        <v/>
      </c>
      <c r="P217" s="78">
        <f>IF(D217="","",IF(AND(H217&lt;&gt;"",H217&gt;=B217),"⚠️ Predecessor must be above",IF(M217="Done","✓ Done",IF(Q217=3,"🔴 Late",IF(M217="In progress","In progress","")))))</f>
        <v/>
      </c>
      <c r="Q217" s="79">
        <f>IF(OR(D217="",L217=""),"",IF(M217="Done",2,IF(AsOf&gt;L217,3,1)))</f>
        <v/>
      </c>
      <c r="R217" s="79">
        <f>IF(OR(E217="",F217=""),0,IF(COUNTIFS($E$7:E217,E217,$F$7:F217,F217)=1,1,0))</f>
        <v/>
      </c>
      <c r="S217" s="79">
        <f>IF(R217=1,E217&amp;"|"&amp;SUMIFS($R$7:R217,$E$7:E217,E217),"")</f>
        <v/>
      </c>
      <c r="T217" s="112">
        <f>IF(Q217="","",IF(Q217=3,L217,IF(OR(M217="Not started",M217=""),J217,"")))</f>
        <v/>
      </c>
      <c r="U217" s="79">
        <f>IF(T217="","",IF(Q217=3,1,IF(T217="","",IF(T217&lt;AsOf,1,IF(T217&lt;=AsOf+AlertDays,2,IF(T217&lt;=AsOf+2*AlertDays,3,""))))))</f>
        <v/>
      </c>
      <c r="V217" s="79">
        <f>IF(U217="","",IF(Q217=3,"Late task: "&amp;D217,IF(T217&lt;AsOf,"Should have started: ","Starts soon: ")&amp;D217)&amp;IF(F217="",""," — "&amp;F217))</f>
        <v/>
      </c>
    </row>
    <row r="218" ht="20" customHeight="1">
      <c r="B218" s="125" t="n">
        <v>212</v>
      </c>
      <c r="C218" s="72" t="n"/>
      <c r="D218" s="72" t="n"/>
      <c r="E218" s="72" t="n"/>
      <c r="F218" s="72" t="n"/>
      <c r="G218" s="89" t="n"/>
      <c r="H218" s="89" t="n"/>
      <c r="I218" s="109" t="n"/>
      <c r="J218" s="126">
        <f>IF(OR(D218="",ProjStart=""),"",MAX(ProjStart,IF(I218&lt;&gt;"",I218,0),IF(H218="",0,IFERROR(INDEX($L$6:L217,MATCH(H218,$B$6:B217,0))+1,0))))</f>
        <v/>
      </c>
      <c r="K218" s="89" t="n"/>
      <c r="L218" s="126">
        <f>IF(J218="","",J218+MAX(1,G218)+IF(K218="",0,K218)-1)</f>
        <v/>
      </c>
      <c r="M218" s="72" t="n"/>
      <c r="N218" s="109" t="n"/>
      <c r="O218" s="127">
        <f>IF(D218="","",COUNTIF($H$7:$H$1006,B218))</f>
        <v/>
      </c>
      <c r="P218" s="78">
        <f>IF(D218="","",IF(AND(H218&lt;&gt;"",H218&gt;=B218),"⚠️ Predecessor must be above",IF(M218="Done","✓ Done",IF(Q218=3,"🔴 Late",IF(M218="In progress","In progress","")))))</f>
        <v/>
      </c>
      <c r="Q218" s="79">
        <f>IF(OR(D218="",L218=""),"",IF(M218="Done",2,IF(AsOf&gt;L218,3,1)))</f>
        <v/>
      </c>
      <c r="R218" s="79">
        <f>IF(OR(E218="",F218=""),0,IF(COUNTIFS($E$7:E218,E218,$F$7:F218,F218)=1,1,0))</f>
        <v/>
      </c>
      <c r="S218" s="79">
        <f>IF(R218=1,E218&amp;"|"&amp;SUMIFS($R$7:R218,$E$7:E218,E218),"")</f>
        <v/>
      </c>
      <c r="T218" s="112">
        <f>IF(Q218="","",IF(Q218=3,L218,IF(OR(M218="Not started",M218=""),J218,"")))</f>
        <v/>
      </c>
      <c r="U218" s="79">
        <f>IF(T218="","",IF(Q218=3,1,IF(T218="","",IF(T218&lt;AsOf,1,IF(T218&lt;=AsOf+AlertDays,2,IF(T218&lt;=AsOf+2*AlertDays,3,""))))))</f>
        <v/>
      </c>
      <c r="V218" s="79">
        <f>IF(U218="","",IF(Q218=3,"Late task: "&amp;D218,IF(T218&lt;AsOf,"Should have started: ","Starts soon: ")&amp;D218)&amp;IF(F218="",""," — "&amp;F218))</f>
        <v/>
      </c>
    </row>
    <row r="219" ht="20" customHeight="1">
      <c r="B219" s="125" t="n">
        <v>213</v>
      </c>
      <c r="C219" s="72" t="n"/>
      <c r="D219" s="72" t="n"/>
      <c r="E219" s="72" t="n"/>
      <c r="F219" s="72" t="n"/>
      <c r="G219" s="89" t="n"/>
      <c r="H219" s="89" t="n"/>
      <c r="I219" s="109" t="n"/>
      <c r="J219" s="126">
        <f>IF(OR(D219="",ProjStart=""),"",MAX(ProjStart,IF(I219&lt;&gt;"",I219,0),IF(H219="",0,IFERROR(INDEX($L$6:L218,MATCH(H219,$B$6:B218,0))+1,0))))</f>
        <v/>
      </c>
      <c r="K219" s="89" t="n"/>
      <c r="L219" s="126">
        <f>IF(J219="","",J219+MAX(1,G219)+IF(K219="",0,K219)-1)</f>
        <v/>
      </c>
      <c r="M219" s="72" t="n"/>
      <c r="N219" s="109" t="n"/>
      <c r="O219" s="127">
        <f>IF(D219="","",COUNTIF($H$7:$H$1006,B219))</f>
        <v/>
      </c>
      <c r="P219" s="78">
        <f>IF(D219="","",IF(AND(H219&lt;&gt;"",H219&gt;=B219),"⚠️ Predecessor must be above",IF(M219="Done","✓ Done",IF(Q219=3,"🔴 Late",IF(M219="In progress","In progress","")))))</f>
        <v/>
      </c>
      <c r="Q219" s="79">
        <f>IF(OR(D219="",L219=""),"",IF(M219="Done",2,IF(AsOf&gt;L219,3,1)))</f>
        <v/>
      </c>
      <c r="R219" s="79">
        <f>IF(OR(E219="",F219=""),0,IF(COUNTIFS($E$7:E219,E219,$F$7:F219,F219)=1,1,0))</f>
        <v/>
      </c>
      <c r="S219" s="79">
        <f>IF(R219=1,E219&amp;"|"&amp;SUMIFS($R$7:R219,$E$7:E219,E219),"")</f>
        <v/>
      </c>
      <c r="T219" s="112">
        <f>IF(Q219="","",IF(Q219=3,L219,IF(OR(M219="Not started",M219=""),J219,"")))</f>
        <v/>
      </c>
      <c r="U219" s="79">
        <f>IF(T219="","",IF(Q219=3,1,IF(T219="","",IF(T219&lt;AsOf,1,IF(T219&lt;=AsOf+AlertDays,2,IF(T219&lt;=AsOf+2*AlertDays,3,""))))))</f>
        <v/>
      </c>
      <c r="V219" s="79">
        <f>IF(U219="","",IF(Q219=3,"Late task: "&amp;D219,IF(T219&lt;AsOf,"Should have started: ","Starts soon: ")&amp;D219)&amp;IF(F219="",""," — "&amp;F219))</f>
        <v/>
      </c>
    </row>
    <row r="220" ht="20" customHeight="1">
      <c r="B220" s="125" t="n">
        <v>214</v>
      </c>
      <c r="C220" s="72" t="n"/>
      <c r="D220" s="72" t="n"/>
      <c r="E220" s="72" t="n"/>
      <c r="F220" s="72" t="n"/>
      <c r="G220" s="89" t="n"/>
      <c r="H220" s="89" t="n"/>
      <c r="I220" s="109" t="n"/>
      <c r="J220" s="126">
        <f>IF(OR(D220="",ProjStart=""),"",MAX(ProjStart,IF(I220&lt;&gt;"",I220,0),IF(H220="",0,IFERROR(INDEX($L$6:L219,MATCH(H220,$B$6:B219,0))+1,0))))</f>
        <v/>
      </c>
      <c r="K220" s="89" t="n"/>
      <c r="L220" s="126">
        <f>IF(J220="","",J220+MAX(1,G220)+IF(K220="",0,K220)-1)</f>
        <v/>
      </c>
      <c r="M220" s="72" t="n"/>
      <c r="N220" s="109" t="n"/>
      <c r="O220" s="127">
        <f>IF(D220="","",COUNTIF($H$7:$H$1006,B220))</f>
        <v/>
      </c>
      <c r="P220" s="78">
        <f>IF(D220="","",IF(AND(H220&lt;&gt;"",H220&gt;=B220),"⚠️ Predecessor must be above",IF(M220="Done","✓ Done",IF(Q220=3,"🔴 Late",IF(M220="In progress","In progress","")))))</f>
        <v/>
      </c>
      <c r="Q220" s="79">
        <f>IF(OR(D220="",L220=""),"",IF(M220="Done",2,IF(AsOf&gt;L220,3,1)))</f>
        <v/>
      </c>
      <c r="R220" s="79">
        <f>IF(OR(E220="",F220=""),0,IF(COUNTIFS($E$7:E220,E220,$F$7:F220,F220)=1,1,0))</f>
        <v/>
      </c>
      <c r="S220" s="79">
        <f>IF(R220=1,E220&amp;"|"&amp;SUMIFS($R$7:R220,$E$7:E220,E220),"")</f>
        <v/>
      </c>
      <c r="T220" s="112">
        <f>IF(Q220="","",IF(Q220=3,L220,IF(OR(M220="Not started",M220=""),J220,"")))</f>
        <v/>
      </c>
      <c r="U220" s="79">
        <f>IF(T220="","",IF(Q220=3,1,IF(T220="","",IF(T220&lt;AsOf,1,IF(T220&lt;=AsOf+AlertDays,2,IF(T220&lt;=AsOf+2*AlertDays,3,""))))))</f>
        <v/>
      </c>
      <c r="V220" s="79">
        <f>IF(U220="","",IF(Q220=3,"Late task: "&amp;D220,IF(T220&lt;AsOf,"Should have started: ","Starts soon: ")&amp;D220)&amp;IF(F220="",""," — "&amp;F220))</f>
        <v/>
      </c>
    </row>
    <row r="221" ht="20" customHeight="1">
      <c r="B221" s="125" t="n">
        <v>215</v>
      </c>
      <c r="C221" s="72" t="n"/>
      <c r="D221" s="72" t="n"/>
      <c r="E221" s="72" t="n"/>
      <c r="F221" s="72" t="n"/>
      <c r="G221" s="89" t="n"/>
      <c r="H221" s="89" t="n"/>
      <c r="I221" s="109" t="n"/>
      <c r="J221" s="126">
        <f>IF(OR(D221="",ProjStart=""),"",MAX(ProjStart,IF(I221&lt;&gt;"",I221,0),IF(H221="",0,IFERROR(INDEX($L$6:L220,MATCH(H221,$B$6:B220,0))+1,0))))</f>
        <v/>
      </c>
      <c r="K221" s="89" t="n"/>
      <c r="L221" s="126">
        <f>IF(J221="","",J221+MAX(1,G221)+IF(K221="",0,K221)-1)</f>
        <v/>
      </c>
      <c r="M221" s="72" t="n"/>
      <c r="N221" s="109" t="n"/>
      <c r="O221" s="127">
        <f>IF(D221="","",COUNTIF($H$7:$H$1006,B221))</f>
        <v/>
      </c>
      <c r="P221" s="78">
        <f>IF(D221="","",IF(AND(H221&lt;&gt;"",H221&gt;=B221),"⚠️ Predecessor must be above",IF(M221="Done","✓ Done",IF(Q221=3,"🔴 Late",IF(M221="In progress","In progress","")))))</f>
        <v/>
      </c>
      <c r="Q221" s="79">
        <f>IF(OR(D221="",L221=""),"",IF(M221="Done",2,IF(AsOf&gt;L221,3,1)))</f>
        <v/>
      </c>
      <c r="R221" s="79">
        <f>IF(OR(E221="",F221=""),0,IF(COUNTIFS($E$7:E221,E221,$F$7:F221,F221)=1,1,0))</f>
        <v/>
      </c>
      <c r="S221" s="79">
        <f>IF(R221=1,E221&amp;"|"&amp;SUMIFS($R$7:R221,$E$7:E221,E221),"")</f>
        <v/>
      </c>
      <c r="T221" s="112">
        <f>IF(Q221="","",IF(Q221=3,L221,IF(OR(M221="Not started",M221=""),J221,"")))</f>
        <v/>
      </c>
      <c r="U221" s="79">
        <f>IF(T221="","",IF(Q221=3,1,IF(T221="","",IF(T221&lt;AsOf,1,IF(T221&lt;=AsOf+AlertDays,2,IF(T221&lt;=AsOf+2*AlertDays,3,""))))))</f>
        <v/>
      </c>
      <c r="V221" s="79">
        <f>IF(U221="","",IF(Q221=3,"Late task: "&amp;D221,IF(T221&lt;AsOf,"Should have started: ","Starts soon: ")&amp;D221)&amp;IF(F221="",""," — "&amp;F221))</f>
        <v/>
      </c>
    </row>
    <row r="222" ht="20" customHeight="1">
      <c r="B222" s="125" t="n">
        <v>216</v>
      </c>
      <c r="C222" s="72" t="n"/>
      <c r="D222" s="72" t="n"/>
      <c r="E222" s="72" t="n"/>
      <c r="F222" s="72" t="n"/>
      <c r="G222" s="89" t="n"/>
      <c r="H222" s="89" t="n"/>
      <c r="I222" s="109" t="n"/>
      <c r="J222" s="126">
        <f>IF(OR(D222="",ProjStart=""),"",MAX(ProjStart,IF(I222&lt;&gt;"",I222,0),IF(H222="",0,IFERROR(INDEX($L$6:L221,MATCH(H222,$B$6:B221,0))+1,0))))</f>
        <v/>
      </c>
      <c r="K222" s="89" t="n"/>
      <c r="L222" s="126">
        <f>IF(J222="","",J222+MAX(1,G222)+IF(K222="",0,K222)-1)</f>
        <v/>
      </c>
      <c r="M222" s="72" t="n"/>
      <c r="N222" s="109" t="n"/>
      <c r="O222" s="127">
        <f>IF(D222="","",COUNTIF($H$7:$H$1006,B222))</f>
        <v/>
      </c>
      <c r="P222" s="78">
        <f>IF(D222="","",IF(AND(H222&lt;&gt;"",H222&gt;=B222),"⚠️ Predecessor must be above",IF(M222="Done","✓ Done",IF(Q222=3,"🔴 Late",IF(M222="In progress","In progress","")))))</f>
        <v/>
      </c>
      <c r="Q222" s="79">
        <f>IF(OR(D222="",L222=""),"",IF(M222="Done",2,IF(AsOf&gt;L222,3,1)))</f>
        <v/>
      </c>
      <c r="R222" s="79">
        <f>IF(OR(E222="",F222=""),0,IF(COUNTIFS($E$7:E222,E222,$F$7:F222,F222)=1,1,0))</f>
        <v/>
      </c>
      <c r="S222" s="79">
        <f>IF(R222=1,E222&amp;"|"&amp;SUMIFS($R$7:R222,$E$7:E222,E222),"")</f>
        <v/>
      </c>
      <c r="T222" s="112">
        <f>IF(Q222="","",IF(Q222=3,L222,IF(OR(M222="Not started",M222=""),J222,"")))</f>
        <v/>
      </c>
      <c r="U222" s="79">
        <f>IF(T222="","",IF(Q222=3,1,IF(T222="","",IF(T222&lt;AsOf,1,IF(T222&lt;=AsOf+AlertDays,2,IF(T222&lt;=AsOf+2*AlertDays,3,""))))))</f>
        <v/>
      </c>
      <c r="V222" s="79">
        <f>IF(U222="","",IF(Q222=3,"Late task: "&amp;D222,IF(T222&lt;AsOf,"Should have started: ","Starts soon: ")&amp;D222)&amp;IF(F222="",""," — "&amp;F222))</f>
        <v/>
      </c>
    </row>
    <row r="223" ht="20" customHeight="1">
      <c r="B223" s="125" t="n">
        <v>217</v>
      </c>
      <c r="C223" s="72" t="n"/>
      <c r="D223" s="72" t="n"/>
      <c r="E223" s="72" t="n"/>
      <c r="F223" s="72" t="n"/>
      <c r="G223" s="89" t="n"/>
      <c r="H223" s="89" t="n"/>
      <c r="I223" s="109" t="n"/>
      <c r="J223" s="126">
        <f>IF(OR(D223="",ProjStart=""),"",MAX(ProjStart,IF(I223&lt;&gt;"",I223,0),IF(H223="",0,IFERROR(INDEX($L$6:L222,MATCH(H223,$B$6:B222,0))+1,0))))</f>
        <v/>
      </c>
      <c r="K223" s="89" t="n"/>
      <c r="L223" s="126">
        <f>IF(J223="","",J223+MAX(1,G223)+IF(K223="",0,K223)-1)</f>
        <v/>
      </c>
      <c r="M223" s="72" t="n"/>
      <c r="N223" s="109" t="n"/>
      <c r="O223" s="127">
        <f>IF(D223="","",COUNTIF($H$7:$H$1006,B223))</f>
        <v/>
      </c>
      <c r="P223" s="78">
        <f>IF(D223="","",IF(AND(H223&lt;&gt;"",H223&gt;=B223),"⚠️ Predecessor must be above",IF(M223="Done","✓ Done",IF(Q223=3,"🔴 Late",IF(M223="In progress","In progress","")))))</f>
        <v/>
      </c>
      <c r="Q223" s="79">
        <f>IF(OR(D223="",L223=""),"",IF(M223="Done",2,IF(AsOf&gt;L223,3,1)))</f>
        <v/>
      </c>
      <c r="R223" s="79">
        <f>IF(OR(E223="",F223=""),0,IF(COUNTIFS($E$7:E223,E223,$F$7:F223,F223)=1,1,0))</f>
        <v/>
      </c>
      <c r="S223" s="79">
        <f>IF(R223=1,E223&amp;"|"&amp;SUMIFS($R$7:R223,$E$7:E223,E223),"")</f>
        <v/>
      </c>
      <c r="T223" s="112">
        <f>IF(Q223="","",IF(Q223=3,L223,IF(OR(M223="Not started",M223=""),J223,"")))</f>
        <v/>
      </c>
      <c r="U223" s="79">
        <f>IF(T223="","",IF(Q223=3,1,IF(T223="","",IF(T223&lt;AsOf,1,IF(T223&lt;=AsOf+AlertDays,2,IF(T223&lt;=AsOf+2*AlertDays,3,""))))))</f>
        <v/>
      </c>
      <c r="V223" s="79">
        <f>IF(U223="","",IF(Q223=3,"Late task: "&amp;D223,IF(T223&lt;AsOf,"Should have started: ","Starts soon: ")&amp;D223)&amp;IF(F223="",""," — "&amp;F223))</f>
        <v/>
      </c>
    </row>
    <row r="224" ht="20" customHeight="1">
      <c r="B224" s="125" t="n">
        <v>218</v>
      </c>
      <c r="C224" s="72" t="n"/>
      <c r="D224" s="72" t="n"/>
      <c r="E224" s="72" t="n"/>
      <c r="F224" s="72" t="n"/>
      <c r="G224" s="89" t="n"/>
      <c r="H224" s="89" t="n"/>
      <c r="I224" s="109" t="n"/>
      <c r="J224" s="126">
        <f>IF(OR(D224="",ProjStart=""),"",MAX(ProjStart,IF(I224&lt;&gt;"",I224,0),IF(H224="",0,IFERROR(INDEX($L$6:L223,MATCH(H224,$B$6:B223,0))+1,0))))</f>
        <v/>
      </c>
      <c r="K224" s="89" t="n"/>
      <c r="L224" s="126">
        <f>IF(J224="","",J224+MAX(1,G224)+IF(K224="",0,K224)-1)</f>
        <v/>
      </c>
      <c r="M224" s="72" t="n"/>
      <c r="N224" s="109" t="n"/>
      <c r="O224" s="127">
        <f>IF(D224="","",COUNTIF($H$7:$H$1006,B224))</f>
        <v/>
      </c>
      <c r="P224" s="78">
        <f>IF(D224="","",IF(AND(H224&lt;&gt;"",H224&gt;=B224),"⚠️ Predecessor must be above",IF(M224="Done","✓ Done",IF(Q224=3,"🔴 Late",IF(M224="In progress","In progress","")))))</f>
        <v/>
      </c>
      <c r="Q224" s="79">
        <f>IF(OR(D224="",L224=""),"",IF(M224="Done",2,IF(AsOf&gt;L224,3,1)))</f>
        <v/>
      </c>
      <c r="R224" s="79">
        <f>IF(OR(E224="",F224=""),0,IF(COUNTIFS($E$7:E224,E224,$F$7:F224,F224)=1,1,0))</f>
        <v/>
      </c>
      <c r="S224" s="79">
        <f>IF(R224=1,E224&amp;"|"&amp;SUMIFS($R$7:R224,$E$7:E224,E224),"")</f>
        <v/>
      </c>
      <c r="T224" s="112">
        <f>IF(Q224="","",IF(Q224=3,L224,IF(OR(M224="Not started",M224=""),J224,"")))</f>
        <v/>
      </c>
      <c r="U224" s="79">
        <f>IF(T224="","",IF(Q224=3,1,IF(T224="","",IF(T224&lt;AsOf,1,IF(T224&lt;=AsOf+AlertDays,2,IF(T224&lt;=AsOf+2*AlertDays,3,""))))))</f>
        <v/>
      </c>
      <c r="V224" s="79">
        <f>IF(U224="","",IF(Q224=3,"Late task: "&amp;D224,IF(T224&lt;AsOf,"Should have started: ","Starts soon: ")&amp;D224)&amp;IF(F224="",""," — "&amp;F224))</f>
        <v/>
      </c>
    </row>
    <row r="225" ht="20" customHeight="1">
      <c r="B225" s="125" t="n">
        <v>219</v>
      </c>
      <c r="C225" s="72" t="n"/>
      <c r="D225" s="72" t="n"/>
      <c r="E225" s="72" t="n"/>
      <c r="F225" s="72" t="n"/>
      <c r="G225" s="89" t="n"/>
      <c r="H225" s="89" t="n"/>
      <c r="I225" s="109" t="n"/>
      <c r="J225" s="126">
        <f>IF(OR(D225="",ProjStart=""),"",MAX(ProjStart,IF(I225&lt;&gt;"",I225,0),IF(H225="",0,IFERROR(INDEX($L$6:L224,MATCH(H225,$B$6:B224,0))+1,0))))</f>
        <v/>
      </c>
      <c r="K225" s="89" t="n"/>
      <c r="L225" s="126">
        <f>IF(J225="","",J225+MAX(1,G225)+IF(K225="",0,K225)-1)</f>
        <v/>
      </c>
      <c r="M225" s="72" t="n"/>
      <c r="N225" s="109" t="n"/>
      <c r="O225" s="127">
        <f>IF(D225="","",COUNTIF($H$7:$H$1006,B225))</f>
        <v/>
      </c>
      <c r="P225" s="78">
        <f>IF(D225="","",IF(AND(H225&lt;&gt;"",H225&gt;=B225),"⚠️ Predecessor must be above",IF(M225="Done","✓ Done",IF(Q225=3,"🔴 Late",IF(M225="In progress","In progress","")))))</f>
        <v/>
      </c>
      <c r="Q225" s="79">
        <f>IF(OR(D225="",L225=""),"",IF(M225="Done",2,IF(AsOf&gt;L225,3,1)))</f>
        <v/>
      </c>
      <c r="R225" s="79">
        <f>IF(OR(E225="",F225=""),0,IF(COUNTIFS($E$7:E225,E225,$F$7:F225,F225)=1,1,0))</f>
        <v/>
      </c>
      <c r="S225" s="79">
        <f>IF(R225=1,E225&amp;"|"&amp;SUMIFS($R$7:R225,$E$7:E225,E225),"")</f>
        <v/>
      </c>
      <c r="T225" s="112">
        <f>IF(Q225="","",IF(Q225=3,L225,IF(OR(M225="Not started",M225=""),J225,"")))</f>
        <v/>
      </c>
      <c r="U225" s="79">
        <f>IF(T225="","",IF(Q225=3,1,IF(T225="","",IF(T225&lt;AsOf,1,IF(T225&lt;=AsOf+AlertDays,2,IF(T225&lt;=AsOf+2*AlertDays,3,""))))))</f>
        <v/>
      </c>
      <c r="V225" s="79">
        <f>IF(U225="","",IF(Q225=3,"Late task: "&amp;D225,IF(T225&lt;AsOf,"Should have started: ","Starts soon: ")&amp;D225)&amp;IF(F225="",""," — "&amp;F225))</f>
        <v/>
      </c>
    </row>
    <row r="226" ht="20" customHeight="1">
      <c r="B226" s="125" t="n">
        <v>220</v>
      </c>
      <c r="C226" s="72" t="n"/>
      <c r="D226" s="72" t="n"/>
      <c r="E226" s="72" t="n"/>
      <c r="F226" s="72" t="n"/>
      <c r="G226" s="89" t="n"/>
      <c r="H226" s="89" t="n"/>
      <c r="I226" s="109" t="n"/>
      <c r="J226" s="126">
        <f>IF(OR(D226="",ProjStart=""),"",MAX(ProjStart,IF(I226&lt;&gt;"",I226,0),IF(H226="",0,IFERROR(INDEX($L$6:L225,MATCH(H226,$B$6:B225,0))+1,0))))</f>
        <v/>
      </c>
      <c r="K226" s="89" t="n"/>
      <c r="L226" s="126">
        <f>IF(J226="","",J226+MAX(1,G226)+IF(K226="",0,K226)-1)</f>
        <v/>
      </c>
      <c r="M226" s="72" t="n"/>
      <c r="N226" s="109" t="n"/>
      <c r="O226" s="127">
        <f>IF(D226="","",COUNTIF($H$7:$H$1006,B226))</f>
        <v/>
      </c>
      <c r="P226" s="78">
        <f>IF(D226="","",IF(AND(H226&lt;&gt;"",H226&gt;=B226),"⚠️ Predecessor must be above",IF(M226="Done","✓ Done",IF(Q226=3,"🔴 Late",IF(M226="In progress","In progress","")))))</f>
        <v/>
      </c>
      <c r="Q226" s="79">
        <f>IF(OR(D226="",L226=""),"",IF(M226="Done",2,IF(AsOf&gt;L226,3,1)))</f>
        <v/>
      </c>
      <c r="R226" s="79">
        <f>IF(OR(E226="",F226=""),0,IF(COUNTIFS($E$7:E226,E226,$F$7:F226,F226)=1,1,0))</f>
        <v/>
      </c>
      <c r="S226" s="79">
        <f>IF(R226=1,E226&amp;"|"&amp;SUMIFS($R$7:R226,$E$7:E226,E226),"")</f>
        <v/>
      </c>
      <c r="T226" s="112">
        <f>IF(Q226="","",IF(Q226=3,L226,IF(OR(M226="Not started",M226=""),J226,"")))</f>
        <v/>
      </c>
      <c r="U226" s="79">
        <f>IF(T226="","",IF(Q226=3,1,IF(T226="","",IF(T226&lt;AsOf,1,IF(T226&lt;=AsOf+AlertDays,2,IF(T226&lt;=AsOf+2*AlertDays,3,""))))))</f>
        <v/>
      </c>
      <c r="V226" s="79">
        <f>IF(U226="","",IF(Q226=3,"Late task: "&amp;D226,IF(T226&lt;AsOf,"Should have started: ","Starts soon: ")&amp;D226)&amp;IF(F226="",""," — "&amp;F226))</f>
        <v/>
      </c>
    </row>
    <row r="227" ht="20" customHeight="1">
      <c r="B227" s="125" t="n">
        <v>221</v>
      </c>
      <c r="C227" s="72" t="n"/>
      <c r="D227" s="72" t="n"/>
      <c r="E227" s="72" t="n"/>
      <c r="F227" s="72" t="n"/>
      <c r="G227" s="89" t="n"/>
      <c r="H227" s="89" t="n"/>
      <c r="I227" s="109" t="n"/>
      <c r="J227" s="126">
        <f>IF(OR(D227="",ProjStart=""),"",MAX(ProjStart,IF(I227&lt;&gt;"",I227,0),IF(H227="",0,IFERROR(INDEX($L$6:L226,MATCH(H227,$B$6:B226,0))+1,0))))</f>
        <v/>
      </c>
      <c r="K227" s="89" t="n"/>
      <c r="L227" s="126">
        <f>IF(J227="","",J227+MAX(1,G227)+IF(K227="",0,K227)-1)</f>
        <v/>
      </c>
      <c r="M227" s="72" t="n"/>
      <c r="N227" s="109" t="n"/>
      <c r="O227" s="127">
        <f>IF(D227="","",COUNTIF($H$7:$H$1006,B227))</f>
        <v/>
      </c>
      <c r="P227" s="78">
        <f>IF(D227="","",IF(AND(H227&lt;&gt;"",H227&gt;=B227),"⚠️ Predecessor must be above",IF(M227="Done","✓ Done",IF(Q227=3,"🔴 Late",IF(M227="In progress","In progress","")))))</f>
        <v/>
      </c>
      <c r="Q227" s="79">
        <f>IF(OR(D227="",L227=""),"",IF(M227="Done",2,IF(AsOf&gt;L227,3,1)))</f>
        <v/>
      </c>
      <c r="R227" s="79">
        <f>IF(OR(E227="",F227=""),0,IF(COUNTIFS($E$7:E227,E227,$F$7:F227,F227)=1,1,0))</f>
        <v/>
      </c>
      <c r="S227" s="79">
        <f>IF(R227=1,E227&amp;"|"&amp;SUMIFS($R$7:R227,$E$7:E227,E227),"")</f>
        <v/>
      </c>
      <c r="T227" s="112">
        <f>IF(Q227="","",IF(Q227=3,L227,IF(OR(M227="Not started",M227=""),J227,"")))</f>
        <v/>
      </c>
      <c r="U227" s="79">
        <f>IF(T227="","",IF(Q227=3,1,IF(T227="","",IF(T227&lt;AsOf,1,IF(T227&lt;=AsOf+AlertDays,2,IF(T227&lt;=AsOf+2*AlertDays,3,""))))))</f>
        <v/>
      </c>
      <c r="V227" s="79">
        <f>IF(U227="","",IF(Q227=3,"Late task: "&amp;D227,IF(T227&lt;AsOf,"Should have started: ","Starts soon: ")&amp;D227)&amp;IF(F227="",""," — "&amp;F227))</f>
        <v/>
      </c>
    </row>
    <row r="228" ht="20" customHeight="1">
      <c r="B228" s="125" t="n">
        <v>222</v>
      </c>
      <c r="C228" s="72" t="n"/>
      <c r="D228" s="72" t="n"/>
      <c r="E228" s="72" t="n"/>
      <c r="F228" s="72" t="n"/>
      <c r="G228" s="89" t="n"/>
      <c r="H228" s="89" t="n"/>
      <c r="I228" s="109" t="n"/>
      <c r="J228" s="126">
        <f>IF(OR(D228="",ProjStart=""),"",MAX(ProjStart,IF(I228&lt;&gt;"",I228,0),IF(H228="",0,IFERROR(INDEX($L$6:L227,MATCH(H228,$B$6:B227,0))+1,0))))</f>
        <v/>
      </c>
      <c r="K228" s="89" t="n"/>
      <c r="L228" s="126">
        <f>IF(J228="","",J228+MAX(1,G228)+IF(K228="",0,K228)-1)</f>
        <v/>
      </c>
      <c r="M228" s="72" t="n"/>
      <c r="N228" s="109" t="n"/>
      <c r="O228" s="127">
        <f>IF(D228="","",COUNTIF($H$7:$H$1006,B228))</f>
        <v/>
      </c>
      <c r="P228" s="78">
        <f>IF(D228="","",IF(AND(H228&lt;&gt;"",H228&gt;=B228),"⚠️ Predecessor must be above",IF(M228="Done","✓ Done",IF(Q228=3,"🔴 Late",IF(M228="In progress","In progress","")))))</f>
        <v/>
      </c>
      <c r="Q228" s="79">
        <f>IF(OR(D228="",L228=""),"",IF(M228="Done",2,IF(AsOf&gt;L228,3,1)))</f>
        <v/>
      </c>
      <c r="R228" s="79">
        <f>IF(OR(E228="",F228=""),0,IF(COUNTIFS($E$7:E228,E228,$F$7:F228,F228)=1,1,0))</f>
        <v/>
      </c>
      <c r="S228" s="79">
        <f>IF(R228=1,E228&amp;"|"&amp;SUMIFS($R$7:R228,$E$7:E228,E228),"")</f>
        <v/>
      </c>
      <c r="T228" s="112">
        <f>IF(Q228="","",IF(Q228=3,L228,IF(OR(M228="Not started",M228=""),J228,"")))</f>
        <v/>
      </c>
      <c r="U228" s="79">
        <f>IF(T228="","",IF(Q228=3,1,IF(T228="","",IF(T228&lt;AsOf,1,IF(T228&lt;=AsOf+AlertDays,2,IF(T228&lt;=AsOf+2*AlertDays,3,""))))))</f>
        <v/>
      </c>
      <c r="V228" s="79">
        <f>IF(U228="","",IF(Q228=3,"Late task: "&amp;D228,IF(T228&lt;AsOf,"Should have started: ","Starts soon: ")&amp;D228)&amp;IF(F228="",""," — "&amp;F228))</f>
        <v/>
      </c>
    </row>
    <row r="229" ht="20" customHeight="1">
      <c r="B229" s="125" t="n">
        <v>223</v>
      </c>
      <c r="C229" s="72" t="n"/>
      <c r="D229" s="72" t="n"/>
      <c r="E229" s="72" t="n"/>
      <c r="F229" s="72" t="n"/>
      <c r="G229" s="89" t="n"/>
      <c r="H229" s="89" t="n"/>
      <c r="I229" s="109" t="n"/>
      <c r="J229" s="126">
        <f>IF(OR(D229="",ProjStart=""),"",MAX(ProjStart,IF(I229&lt;&gt;"",I229,0),IF(H229="",0,IFERROR(INDEX($L$6:L228,MATCH(H229,$B$6:B228,0))+1,0))))</f>
        <v/>
      </c>
      <c r="K229" s="89" t="n"/>
      <c r="L229" s="126">
        <f>IF(J229="","",J229+MAX(1,G229)+IF(K229="",0,K229)-1)</f>
        <v/>
      </c>
      <c r="M229" s="72" t="n"/>
      <c r="N229" s="109" t="n"/>
      <c r="O229" s="127">
        <f>IF(D229="","",COUNTIF($H$7:$H$1006,B229))</f>
        <v/>
      </c>
      <c r="P229" s="78">
        <f>IF(D229="","",IF(AND(H229&lt;&gt;"",H229&gt;=B229),"⚠️ Predecessor must be above",IF(M229="Done","✓ Done",IF(Q229=3,"🔴 Late",IF(M229="In progress","In progress","")))))</f>
        <v/>
      </c>
      <c r="Q229" s="79">
        <f>IF(OR(D229="",L229=""),"",IF(M229="Done",2,IF(AsOf&gt;L229,3,1)))</f>
        <v/>
      </c>
      <c r="R229" s="79">
        <f>IF(OR(E229="",F229=""),0,IF(COUNTIFS($E$7:E229,E229,$F$7:F229,F229)=1,1,0))</f>
        <v/>
      </c>
      <c r="S229" s="79">
        <f>IF(R229=1,E229&amp;"|"&amp;SUMIFS($R$7:R229,$E$7:E229,E229),"")</f>
        <v/>
      </c>
      <c r="T229" s="112">
        <f>IF(Q229="","",IF(Q229=3,L229,IF(OR(M229="Not started",M229=""),J229,"")))</f>
        <v/>
      </c>
      <c r="U229" s="79">
        <f>IF(T229="","",IF(Q229=3,1,IF(T229="","",IF(T229&lt;AsOf,1,IF(T229&lt;=AsOf+AlertDays,2,IF(T229&lt;=AsOf+2*AlertDays,3,""))))))</f>
        <v/>
      </c>
      <c r="V229" s="79">
        <f>IF(U229="","",IF(Q229=3,"Late task: "&amp;D229,IF(T229&lt;AsOf,"Should have started: ","Starts soon: ")&amp;D229)&amp;IF(F229="",""," — "&amp;F229))</f>
        <v/>
      </c>
    </row>
    <row r="230" ht="20" customHeight="1">
      <c r="B230" s="125" t="n">
        <v>224</v>
      </c>
      <c r="C230" s="72" t="n"/>
      <c r="D230" s="72" t="n"/>
      <c r="E230" s="72" t="n"/>
      <c r="F230" s="72" t="n"/>
      <c r="G230" s="89" t="n"/>
      <c r="H230" s="89" t="n"/>
      <c r="I230" s="109" t="n"/>
      <c r="J230" s="126">
        <f>IF(OR(D230="",ProjStart=""),"",MAX(ProjStart,IF(I230&lt;&gt;"",I230,0),IF(H230="",0,IFERROR(INDEX($L$6:L229,MATCH(H230,$B$6:B229,0))+1,0))))</f>
        <v/>
      </c>
      <c r="K230" s="89" t="n"/>
      <c r="L230" s="126">
        <f>IF(J230="","",J230+MAX(1,G230)+IF(K230="",0,K230)-1)</f>
        <v/>
      </c>
      <c r="M230" s="72" t="n"/>
      <c r="N230" s="109" t="n"/>
      <c r="O230" s="127">
        <f>IF(D230="","",COUNTIF($H$7:$H$1006,B230))</f>
        <v/>
      </c>
      <c r="P230" s="78">
        <f>IF(D230="","",IF(AND(H230&lt;&gt;"",H230&gt;=B230),"⚠️ Predecessor must be above",IF(M230="Done","✓ Done",IF(Q230=3,"🔴 Late",IF(M230="In progress","In progress","")))))</f>
        <v/>
      </c>
      <c r="Q230" s="79">
        <f>IF(OR(D230="",L230=""),"",IF(M230="Done",2,IF(AsOf&gt;L230,3,1)))</f>
        <v/>
      </c>
      <c r="R230" s="79">
        <f>IF(OR(E230="",F230=""),0,IF(COUNTIFS($E$7:E230,E230,$F$7:F230,F230)=1,1,0))</f>
        <v/>
      </c>
      <c r="S230" s="79">
        <f>IF(R230=1,E230&amp;"|"&amp;SUMIFS($R$7:R230,$E$7:E230,E230),"")</f>
        <v/>
      </c>
      <c r="T230" s="112">
        <f>IF(Q230="","",IF(Q230=3,L230,IF(OR(M230="Not started",M230=""),J230,"")))</f>
        <v/>
      </c>
      <c r="U230" s="79">
        <f>IF(T230="","",IF(Q230=3,1,IF(T230="","",IF(T230&lt;AsOf,1,IF(T230&lt;=AsOf+AlertDays,2,IF(T230&lt;=AsOf+2*AlertDays,3,""))))))</f>
        <v/>
      </c>
      <c r="V230" s="79">
        <f>IF(U230="","",IF(Q230=3,"Late task: "&amp;D230,IF(T230&lt;AsOf,"Should have started: ","Starts soon: ")&amp;D230)&amp;IF(F230="",""," — "&amp;F230))</f>
        <v/>
      </c>
    </row>
    <row r="231" ht="20" customHeight="1">
      <c r="B231" s="125" t="n">
        <v>225</v>
      </c>
      <c r="C231" s="72" t="n"/>
      <c r="D231" s="72" t="n"/>
      <c r="E231" s="72" t="n"/>
      <c r="F231" s="72" t="n"/>
      <c r="G231" s="89" t="n"/>
      <c r="H231" s="89" t="n"/>
      <c r="I231" s="109" t="n"/>
      <c r="J231" s="126">
        <f>IF(OR(D231="",ProjStart=""),"",MAX(ProjStart,IF(I231&lt;&gt;"",I231,0),IF(H231="",0,IFERROR(INDEX($L$6:L230,MATCH(H231,$B$6:B230,0))+1,0))))</f>
        <v/>
      </c>
      <c r="K231" s="89" t="n"/>
      <c r="L231" s="126">
        <f>IF(J231="","",J231+MAX(1,G231)+IF(K231="",0,K231)-1)</f>
        <v/>
      </c>
      <c r="M231" s="72" t="n"/>
      <c r="N231" s="109" t="n"/>
      <c r="O231" s="127">
        <f>IF(D231="","",COUNTIF($H$7:$H$1006,B231))</f>
        <v/>
      </c>
      <c r="P231" s="78">
        <f>IF(D231="","",IF(AND(H231&lt;&gt;"",H231&gt;=B231),"⚠️ Predecessor must be above",IF(M231="Done","✓ Done",IF(Q231=3,"🔴 Late",IF(M231="In progress","In progress","")))))</f>
        <v/>
      </c>
      <c r="Q231" s="79">
        <f>IF(OR(D231="",L231=""),"",IF(M231="Done",2,IF(AsOf&gt;L231,3,1)))</f>
        <v/>
      </c>
      <c r="R231" s="79">
        <f>IF(OR(E231="",F231=""),0,IF(COUNTIFS($E$7:E231,E231,$F$7:F231,F231)=1,1,0))</f>
        <v/>
      </c>
      <c r="S231" s="79">
        <f>IF(R231=1,E231&amp;"|"&amp;SUMIFS($R$7:R231,$E$7:E231,E231),"")</f>
        <v/>
      </c>
      <c r="T231" s="112">
        <f>IF(Q231="","",IF(Q231=3,L231,IF(OR(M231="Not started",M231=""),J231,"")))</f>
        <v/>
      </c>
      <c r="U231" s="79">
        <f>IF(T231="","",IF(Q231=3,1,IF(T231="","",IF(T231&lt;AsOf,1,IF(T231&lt;=AsOf+AlertDays,2,IF(T231&lt;=AsOf+2*AlertDays,3,""))))))</f>
        <v/>
      </c>
      <c r="V231" s="79">
        <f>IF(U231="","",IF(Q231=3,"Late task: "&amp;D231,IF(T231&lt;AsOf,"Should have started: ","Starts soon: ")&amp;D231)&amp;IF(F231="",""," — "&amp;F231))</f>
        <v/>
      </c>
    </row>
    <row r="232" ht="20" customHeight="1">
      <c r="B232" s="125" t="n">
        <v>226</v>
      </c>
      <c r="C232" s="72" t="n"/>
      <c r="D232" s="72" t="n"/>
      <c r="E232" s="72" t="n"/>
      <c r="F232" s="72" t="n"/>
      <c r="G232" s="89" t="n"/>
      <c r="H232" s="89" t="n"/>
      <c r="I232" s="109" t="n"/>
      <c r="J232" s="126">
        <f>IF(OR(D232="",ProjStart=""),"",MAX(ProjStart,IF(I232&lt;&gt;"",I232,0),IF(H232="",0,IFERROR(INDEX($L$6:L231,MATCH(H232,$B$6:B231,0))+1,0))))</f>
        <v/>
      </c>
      <c r="K232" s="89" t="n"/>
      <c r="L232" s="126">
        <f>IF(J232="","",J232+MAX(1,G232)+IF(K232="",0,K232)-1)</f>
        <v/>
      </c>
      <c r="M232" s="72" t="n"/>
      <c r="N232" s="109" t="n"/>
      <c r="O232" s="127">
        <f>IF(D232="","",COUNTIF($H$7:$H$1006,B232))</f>
        <v/>
      </c>
      <c r="P232" s="78">
        <f>IF(D232="","",IF(AND(H232&lt;&gt;"",H232&gt;=B232),"⚠️ Predecessor must be above",IF(M232="Done","✓ Done",IF(Q232=3,"🔴 Late",IF(M232="In progress","In progress","")))))</f>
        <v/>
      </c>
      <c r="Q232" s="79">
        <f>IF(OR(D232="",L232=""),"",IF(M232="Done",2,IF(AsOf&gt;L232,3,1)))</f>
        <v/>
      </c>
      <c r="R232" s="79">
        <f>IF(OR(E232="",F232=""),0,IF(COUNTIFS($E$7:E232,E232,$F$7:F232,F232)=1,1,0))</f>
        <v/>
      </c>
      <c r="S232" s="79">
        <f>IF(R232=1,E232&amp;"|"&amp;SUMIFS($R$7:R232,$E$7:E232,E232),"")</f>
        <v/>
      </c>
      <c r="T232" s="112">
        <f>IF(Q232="","",IF(Q232=3,L232,IF(OR(M232="Not started",M232=""),J232,"")))</f>
        <v/>
      </c>
      <c r="U232" s="79">
        <f>IF(T232="","",IF(Q232=3,1,IF(T232="","",IF(T232&lt;AsOf,1,IF(T232&lt;=AsOf+AlertDays,2,IF(T232&lt;=AsOf+2*AlertDays,3,""))))))</f>
        <v/>
      </c>
      <c r="V232" s="79">
        <f>IF(U232="","",IF(Q232=3,"Late task: "&amp;D232,IF(T232&lt;AsOf,"Should have started: ","Starts soon: ")&amp;D232)&amp;IF(F232="",""," — "&amp;F232))</f>
        <v/>
      </c>
    </row>
    <row r="233" ht="20" customHeight="1">
      <c r="B233" s="125" t="n">
        <v>227</v>
      </c>
      <c r="C233" s="72" t="n"/>
      <c r="D233" s="72" t="n"/>
      <c r="E233" s="72" t="n"/>
      <c r="F233" s="72" t="n"/>
      <c r="G233" s="89" t="n"/>
      <c r="H233" s="89" t="n"/>
      <c r="I233" s="109" t="n"/>
      <c r="J233" s="126">
        <f>IF(OR(D233="",ProjStart=""),"",MAX(ProjStart,IF(I233&lt;&gt;"",I233,0),IF(H233="",0,IFERROR(INDEX($L$6:L232,MATCH(H233,$B$6:B232,0))+1,0))))</f>
        <v/>
      </c>
      <c r="K233" s="89" t="n"/>
      <c r="L233" s="126">
        <f>IF(J233="","",J233+MAX(1,G233)+IF(K233="",0,K233)-1)</f>
        <v/>
      </c>
      <c r="M233" s="72" t="n"/>
      <c r="N233" s="109" t="n"/>
      <c r="O233" s="127">
        <f>IF(D233="","",COUNTIF($H$7:$H$1006,B233))</f>
        <v/>
      </c>
      <c r="P233" s="78">
        <f>IF(D233="","",IF(AND(H233&lt;&gt;"",H233&gt;=B233),"⚠️ Predecessor must be above",IF(M233="Done","✓ Done",IF(Q233=3,"🔴 Late",IF(M233="In progress","In progress","")))))</f>
        <v/>
      </c>
      <c r="Q233" s="79">
        <f>IF(OR(D233="",L233=""),"",IF(M233="Done",2,IF(AsOf&gt;L233,3,1)))</f>
        <v/>
      </c>
      <c r="R233" s="79">
        <f>IF(OR(E233="",F233=""),0,IF(COUNTIFS($E$7:E233,E233,$F$7:F233,F233)=1,1,0))</f>
        <v/>
      </c>
      <c r="S233" s="79">
        <f>IF(R233=1,E233&amp;"|"&amp;SUMIFS($R$7:R233,$E$7:E233,E233),"")</f>
        <v/>
      </c>
      <c r="T233" s="112">
        <f>IF(Q233="","",IF(Q233=3,L233,IF(OR(M233="Not started",M233=""),J233,"")))</f>
        <v/>
      </c>
      <c r="U233" s="79">
        <f>IF(T233="","",IF(Q233=3,1,IF(T233="","",IF(T233&lt;AsOf,1,IF(T233&lt;=AsOf+AlertDays,2,IF(T233&lt;=AsOf+2*AlertDays,3,""))))))</f>
        <v/>
      </c>
      <c r="V233" s="79">
        <f>IF(U233="","",IF(Q233=3,"Late task: "&amp;D233,IF(T233&lt;AsOf,"Should have started: ","Starts soon: ")&amp;D233)&amp;IF(F233="",""," — "&amp;F233))</f>
        <v/>
      </c>
    </row>
    <row r="234" ht="20" customHeight="1">
      <c r="B234" s="125" t="n">
        <v>228</v>
      </c>
      <c r="C234" s="72" t="n"/>
      <c r="D234" s="72" t="n"/>
      <c r="E234" s="72" t="n"/>
      <c r="F234" s="72" t="n"/>
      <c r="G234" s="89" t="n"/>
      <c r="H234" s="89" t="n"/>
      <c r="I234" s="109" t="n"/>
      <c r="J234" s="126">
        <f>IF(OR(D234="",ProjStart=""),"",MAX(ProjStart,IF(I234&lt;&gt;"",I234,0),IF(H234="",0,IFERROR(INDEX($L$6:L233,MATCH(H234,$B$6:B233,0))+1,0))))</f>
        <v/>
      </c>
      <c r="K234" s="89" t="n"/>
      <c r="L234" s="126">
        <f>IF(J234="","",J234+MAX(1,G234)+IF(K234="",0,K234)-1)</f>
        <v/>
      </c>
      <c r="M234" s="72" t="n"/>
      <c r="N234" s="109" t="n"/>
      <c r="O234" s="127">
        <f>IF(D234="","",COUNTIF($H$7:$H$1006,B234))</f>
        <v/>
      </c>
      <c r="P234" s="78">
        <f>IF(D234="","",IF(AND(H234&lt;&gt;"",H234&gt;=B234),"⚠️ Predecessor must be above",IF(M234="Done","✓ Done",IF(Q234=3,"🔴 Late",IF(M234="In progress","In progress","")))))</f>
        <v/>
      </c>
      <c r="Q234" s="79">
        <f>IF(OR(D234="",L234=""),"",IF(M234="Done",2,IF(AsOf&gt;L234,3,1)))</f>
        <v/>
      </c>
      <c r="R234" s="79">
        <f>IF(OR(E234="",F234=""),0,IF(COUNTIFS($E$7:E234,E234,$F$7:F234,F234)=1,1,0))</f>
        <v/>
      </c>
      <c r="S234" s="79">
        <f>IF(R234=1,E234&amp;"|"&amp;SUMIFS($R$7:R234,$E$7:E234,E234),"")</f>
        <v/>
      </c>
      <c r="T234" s="112">
        <f>IF(Q234="","",IF(Q234=3,L234,IF(OR(M234="Not started",M234=""),J234,"")))</f>
        <v/>
      </c>
      <c r="U234" s="79">
        <f>IF(T234="","",IF(Q234=3,1,IF(T234="","",IF(T234&lt;AsOf,1,IF(T234&lt;=AsOf+AlertDays,2,IF(T234&lt;=AsOf+2*AlertDays,3,""))))))</f>
        <v/>
      </c>
      <c r="V234" s="79">
        <f>IF(U234="","",IF(Q234=3,"Late task: "&amp;D234,IF(T234&lt;AsOf,"Should have started: ","Starts soon: ")&amp;D234)&amp;IF(F234="",""," — "&amp;F234))</f>
        <v/>
      </c>
    </row>
    <row r="235" ht="20" customHeight="1">
      <c r="B235" s="125" t="n">
        <v>229</v>
      </c>
      <c r="C235" s="72" t="n"/>
      <c r="D235" s="72" t="n"/>
      <c r="E235" s="72" t="n"/>
      <c r="F235" s="72" t="n"/>
      <c r="G235" s="89" t="n"/>
      <c r="H235" s="89" t="n"/>
      <c r="I235" s="109" t="n"/>
      <c r="J235" s="126">
        <f>IF(OR(D235="",ProjStart=""),"",MAX(ProjStart,IF(I235&lt;&gt;"",I235,0),IF(H235="",0,IFERROR(INDEX($L$6:L234,MATCH(H235,$B$6:B234,0))+1,0))))</f>
        <v/>
      </c>
      <c r="K235" s="89" t="n"/>
      <c r="L235" s="126">
        <f>IF(J235="","",J235+MAX(1,G235)+IF(K235="",0,K235)-1)</f>
        <v/>
      </c>
      <c r="M235" s="72" t="n"/>
      <c r="N235" s="109" t="n"/>
      <c r="O235" s="127">
        <f>IF(D235="","",COUNTIF($H$7:$H$1006,B235))</f>
        <v/>
      </c>
      <c r="P235" s="78">
        <f>IF(D235="","",IF(AND(H235&lt;&gt;"",H235&gt;=B235),"⚠️ Predecessor must be above",IF(M235="Done","✓ Done",IF(Q235=3,"🔴 Late",IF(M235="In progress","In progress","")))))</f>
        <v/>
      </c>
      <c r="Q235" s="79">
        <f>IF(OR(D235="",L235=""),"",IF(M235="Done",2,IF(AsOf&gt;L235,3,1)))</f>
        <v/>
      </c>
      <c r="R235" s="79">
        <f>IF(OR(E235="",F235=""),0,IF(COUNTIFS($E$7:E235,E235,$F$7:F235,F235)=1,1,0))</f>
        <v/>
      </c>
      <c r="S235" s="79">
        <f>IF(R235=1,E235&amp;"|"&amp;SUMIFS($R$7:R235,$E$7:E235,E235),"")</f>
        <v/>
      </c>
      <c r="T235" s="112">
        <f>IF(Q235="","",IF(Q235=3,L235,IF(OR(M235="Not started",M235=""),J235,"")))</f>
        <v/>
      </c>
      <c r="U235" s="79">
        <f>IF(T235="","",IF(Q235=3,1,IF(T235="","",IF(T235&lt;AsOf,1,IF(T235&lt;=AsOf+AlertDays,2,IF(T235&lt;=AsOf+2*AlertDays,3,""))))))</f>
        <v/>
      </c>
      <c r="V235" s="79">
        <f>IF(U235="","",IF(Q235=3,"Late task: "&amp;D235,IF(T235&lt;AsOf,"Should have started: ","Starts soon: ")&amp;D235)&amp;IF(F235="",""," — "&amp;F235))</f>
        <v/>
      </c>
    </row>
    <row r="236" ht="20" customHeight="1">
      <c r="B236" s="125" t="n">
        <v>230</v>
      </c>
      <c r="C236" s="72" t="n"/>
      <c r="D236" s="72" t="n"/>
      <c r="E236" s="72" t="n"/>
      <c r="F236" s="72" t="n"/>
      <c r="G236" s="89" t="n"/>
      <c r="H236" s="89" t="n"/>
      <c r="I236" s="109" t="n"/>
      <c r="J236" s="126">
        <f>IF(OR(D236="",ProjStart=""),"",MAX(ProjStart,IF(I236&lt;&gt;"",I236,0),IF(H236="",0,IFERROR(INDEX($L$6:L235,MATCH(H236,$B$6:B235,0))+1,0))))</f>
        <v/>
      </c>
      <c r="K236" s="89" t="n"/>
      <c r="L236" s="126">
        <f>IF(J236="","",J236+MAX(1,G236)+IF(K236="",0,K236)-1)</f>
        <v/>
      </c>
      <c r="M236" s="72" t="n"/>
      <c r="N236" s="109" t="n"/>
      <c r="O236" s="127">
        <f>IF(D236="","",COUNTIF($H$7:$H$1006,B236))</f>
        <v/>
      </c>
      <c r="P236" s="78">
        <f>IF(D236="","",IF(AND(H236&lt;&gt;"",H236&gt;=B236),"⚠️ Predecessor must be above",IF(M236="Done","✓ Done",IF(Q236=3,"🔴 Late",IF(M236="In progress","In progress","")))))</f>
        <v/>
      </c>
      <c r="Q236" s="79">
        <f>IF(OR(D236="",L236=""),"",IF(M236="Done",2,IF(AsOf&gt;L236,3,1)))</f>
        <v/>
      </c>
      <c r="R236" s="79">
        <f>IF(OR(E236="",F236=""),0,IF(COUNTIFS($E$7:E236,E236,$F$7:F236,F236)=1,1,0))</f>
        <v/>
      </c>
      <c r="S236" s="79">
        <f>IF(R236=1,E236&amp;"|"&amp;SUMIFS($R$7:R236,$E$7:E236,E236),"")</f>
        <v/>
      </c>
      <c r="T236" s="112">
        <f>IF(Q236="","",IF(Q236=3,L236,IF(OR(M236="Not started",M236=""),J236,"")))</f>
        <v/>
      </c>
      <c r="U236" s="79">
        <f>IF(T236="","",IF(Q236=3,1,IF(T236="","",IF(T236&lt;AsOf,1,IF(T236&lt;=AsOf+AlertDays,2,IF(T236&lt;=AsOf+2*AlertDays,3,""))))))</f>
        <v/>
      </c>
      <c r="V236" s="79">
        <f>IF(U236="","",IF(Q236=3,"Late task: "&amp;D236,IF(T236&lt;AsOf,"Should have started: ","Starts soon: ")&amp;D236)&amp;IF(F236="",""," — "&amp;F236))</f>
        <v/>
      </c>
    </row>
    <row r="237" ht="20" customHeight="1">
      <c r="B237" s="125" t="n">
        <v>231</v>
      </c>
      <c r="C237" s="72" t="n"/>
      <c r="D237" s="72" t="n"/>
      <c r="E237" s="72" t="n"/>
      <c r="F237" s="72" t="n"/>
      <c r="G237" s="89" t="n"/>
      <c r="H237" s="89" t="n"/>
      <c r="I237" s="109" t="n"/>
      <c r="J237" s="126">
        <f>IF(OR(D237="",ProjStart=""),"",MAX(ProjStart,IF(I237&lt;&gt;"",I237,0),IF(H237="",0,IFERROR(INDEX($L$6:L236,MATCH(H237,$B$6:B236,0))+1,0))))</f>
        <v/>
      </c>
      <c r="K237" s="89" t="n"/>
      <c r="L237" s="126">
        <f>IF(J237="","",J237+MAX(1,G237)+IF(K237="",0,K237)-1)</f>
        <v/>
      </c>
      <c r="M237" s="72" t="n"/>
      <c r="N237" s="109" t="n"/>
      <c r="O237" s="127">
        <f>IF(D237="","",COUNTIF($H$7:$H$1006,B237))</f>
        <v/>
      </c>
      <c r="P237" s="78">
        <f>IF(D237="","",IF(AND(H237&lt;&gt;"",H237&gt;=B237),"⚠️ Predecessor must be above",IF(M237="Done","✓ Done",IF(Q237=3,"🔴 Late",IF(M237="In progress","In progress","")))))</f>
        <v/>
      </c>
      <c r="Q237" s="79">
        <f>IF(OR(D237="",L237=""),"",IF(M237="Done",2,IF(AsOf&gt;L237,3,1)))</f>
        <v/>
      </c>
      <c r="R237" s="79">
        <f>IF(OR(E237="",F237=""),0,IF(COUNTIFS($E$7:E237,E237,$F$7:F237,F237)=1,1,0))</f>
        <v/>
      </c>
      <c r="S237" s="79">
        <f>IF(R237=1,E237&amp;"|"&amp;SUMIFS($R$7:R237,$E$7:E237,E237),"")</f>
        <v/>
      </c>
      <c r="T237" s="112">
        <f>IF(Q237="","",IF(Q237=3,L237,IF(OR(M237="Not started",M237=""),J237,"")))</f>
        <v/>
      </c>
      <c r="U237" s="79">
        <f>IF(T237="","",IF(Q237=3,1,IF(T237="","",IF(T237&lt;AsOf,1,IF(T237&lt;=AsOf+AlertDays,2,IF(T237&lt;=AsOf+2*AlertDays,3,""))))))</f>
        <v/>
      </c>
      <c r="V237" s="79">
        <f>IF(U237="","",IF(Q237=3,"Late task: "&amp;D237,IF(T237&lt;AsOf,"Should have started: ","Starts soon: ")&amp;D237)&amp;IF(F237="",""," — "&amp;F237))</f>
        <v/>
      </c>
    </row>
    <row r="238" ht="20" customHeight="1">
      <c r="B238" s="125" t="n">
        <v>232</v>
      </c>
      <c r="C238" s="72" t="n"/>
      <c r="D238" s="72" t="n"/>
      <c r="E238" s="72" t="n"/>
      <c r="F238" s="72" t="n"/>
      <c r="G238" s="89" t="n"/>
      <c r="H238" s="89" t="n"/>
      <c r="I238" s="109" t="n"/>
      <c r="J238" s="126">
        <f>IF(OR(D238="",ProjStart=""),"",MAX(ProjStart,IF(I238&lt;&gt;"",I238,0),IF(H238="",0,IFERROR(INDEX($L$6:L237,MATCH(H238,$B$6:B237,0))+1,0))))</f>
        <v/>
      </c>
      <c r="K238" s="89" t="n"/>
      <c r="L238" s="126">
        <f>IF(J238="","",J238+MAX(1,G238)+IF(K238="",0,K238)-1)</f>
        <v/>
      </c>
      <c r="M238" s="72" t="n"/>
      <c r="N238" s="109" t="n"/>
      <c r="O238" s="127">
        <f>IF(D238="","",COUNTIF($H$7:$H$1006,B238))</f>
        <v/>
      </c>
      <c r="P238" s="78">
        <f>IF(D238="","",IF(AND(H238&lt;&gt;"",H238&gt;=B238),"⚠️ Predecessor must be above",IF(M238="Done","✓ Done",IF(Q238=3,"🔴 Late",IF(M238="In progress","In progress","")))))</f>
        <v/>
      </c>
      <c r="Q238" s="79">
        <f>IF(OR(D238="",L238=""),"",IF(M238="Done",2,IF(AsOf&gt;L238,3,1)))</f>
        <v/>
      </c>
      <c r="R238" s="79">
        <f>IF(OR(E238="",F238=""),0,IF(COUNTIFS($E$7:E238,E238,$F$7:F238,F238)=1,1,0))</f>
        <v/>
      </c>
      <c r="S238" s="79">
        <f>IF(R238=1,E238&amp;"|"&amp;SUMIFS($R$7:R238,$E$7:E238,E238),"")</f>
        <v/>
      </c>
      <c r="T238" s="112">
        <f>IF(Q238="","",IF(Q238=3,L238,IF(OR(M238="Not started",M238=""),J238,"")))</f>
        <v/>
      </c>
      <c r="U238" s="79">
        <f>IF(T238="","",IF(Q238=3,1,IF(T238="","",IF(T238&lt;AsOf,1,IF(T238&lt;=AsOf+AlertDays,2,IF(T238&lt;=AsOf+2*AlertDays,3,""))))))</f>
        <v/>
      </c>
      <c r="V238" s="79">
        <f>IF(U238="","",IF(Q238=3,"Late task: "&amp;D238,IF(T238&lt;AsOf,"Should have started: ","Starts soon: ")&amp;D238)&amp;IF(F238="",""," — "&amp;F238))</f>
        <v/>
      </c>
    </row>
    <row r="239" ht="20" customHeight="1">
      <c r="B239" s="125" t="n">
        <v>233</v>
      </c>
      <c r="C239" s="72" t="n"/>
      <c r="D239" s="72" t="n"/>
      <c r="E239" s="72" t="n"/>
      <c r="F239" s="72" t="n"/>
      <c r="G239" s="89" t="n"/>
      <c r="H239" s="89" t="n"/>
      <c r="I239" s="109" t="n"/>
      <c r="J239" s="126">
        <f>IF(OR(D239="",ProjStart=""),"",MAX(ProjStart,IF(I239&lt;&gt;"",I239,0),IF(H239="",0,IFERROR(INDEX($L$6:L238,MATCH(H239,$B$6:B238,0))+1,0))))</f>
        <v/>
      </c>
      <c r="K239" s="89" t="n"/>
      <c r="L239" s="126">
        <f>IF(J239="","",J239+MAX(1,G239)+IF(K239="",0,K239)-1)</f>
        <v/>
      </c>
      <c r="M239" s="72" t="n"/>
      <c r="N239" s="109" t="n"/>
      <c r="O239" s="127">
        <f>IF(D239="","",COUNTIF($H$7:$H$1006,B239))</f>
        <v/>
      </c>
      <c r="P239" s="78">
        <f>IF(D239="","",IF(AND(H239&lt;&gt;"",H239&gt;=B239),"⚠️ Predecessor must be above",IF(M239="Done","✓ Done",IF(Q239=3,"🔴 Late",IF(M239="In progress","In progress","")))))</f>
        <v/>
      </c>
      <c r="Q239" s="79">
        <f>IF(OR(D239="",L239=""),"",IF(M239="Done",2,IF(AsOf&gt;L239,3,1)))</f>
        <v/>
      </c>
      <c r="R239" s="79">
        <f>IF(OR(E239="",F239=""),0,IF(COUNTIFS($E$7:E239,E239,$F$7:F239,F239)=1,1,0))</f>
        <v/>
      </c>
      <c r="S239" s="79">
        <f>IF(R239=1,E239&amp;"|"&amp;SUMIFS($R$7:R239,$E$7:E239,E239),"")</f>
        <v/>
      </c>
      <c r="T239" s="112">
        <f>IF(Q239="","",IF(Q239=3,L239,IF(OR(M239="Not started",M239=""),J239,"")))</f>
        <v/>
      </c>
      <c r="U239" s="79">
        <f>IF(T239="","",IF(Q239=3,1,IF(T239="","",IF(T239&lt;AsOf,1,IF(T239&lt;=AsOf+AlertDays,2,IF(T239&lt;=AsOf+2*AlertDays,3,""))))))</f>
        <v/>
      </c>
      <c r="V239" s="79">
        <f>IF(U239="","",IF(Q239=3,"Late task: "&amp;D239,IF(T239&lt;AsOf,"Should have started: ","Starts soon: ")&amp;D239)&amp;IF(F239="",""," — "&amp;F239))</f>
        <v/>
      </c>
    </row>
    <row r="240" ht="20" customHeight="1">
      <c r="B240" s="125" t="n">
        <v>234</v>
      </c>
      <c r="C240" s="72" t="n"/>
      <c r="D240" s="72" t="n"/>
      <c r="E240" s="72" t="n"/>
      <c r="F240" s="72" t="n"/>
      <c r="G240" s="89" t="n"/>
      <c r="H240" s="89" t="n"/>
      <c r="I240" s="109" t="n"/>
      <c r="J240" s="126">
        <f>IF(OR(D240="",ProjStart=""),"",MAX(ProjStart,IF(I240&lt;&gt;"",I240,0),IF(H240="",0,IFERROR(INDEX($L$6:L239,MATCH(H240,$B$6:B239,0))+1,0))))</f>
        <v/>
      </c>
      <c r="K240" s="89" t="n"/>
      <c r="L240" s="126">
        <f>IF(J240="","",J240+MAX(1,G240)+IF(K240="",0,K240)-1)</f>
        <v/>
      </c>
      <c r="M240" s="72" t="n"/>
      <c r="N240" s="109" t="n"/>
      <c r="O240" s="127">
        <f>IF(D240="","",COUNTIF($H$7:$H$1006,B240))</f>
        <v/>
      </c>
      <c r="P240" s="78">
        <f>IF(D240="","",IF(AND(H240&lt;&gt;"",H240&gt;=B240),"⚠️ Predecessor must be above",IF(M240="Done","✓ Done",IF(Q240=3,"🔴 Late",IF(M240="In progress","In progress","")))))</f>
        <v/>
      </c>
      <c r="Q240" s="79">
        <f>IF(OR(D240="",L240=""),"",IF(M240="Done",2,IF(AsOf&gt;L240,3,1)))</f>
        <v/>
      </c>
      <c r="R240" s="79">
        <f>IF(OR(E240="",F240=""),0,IF(COUNTIFS($E$7:E240,E240,$F$7:F240,F240)=1,1,0))</f>
        <v/>
      </c>
      <c r="S240" s="79">
        <f>IF(R240=1,E240&amp;"|"&amp;SUMIFS($R$7:R240,$E$7:E240,E240),"")</f>
        <v/>
      </c>
      <c r="T240" s="112">
        <f>IF(Q240="","",IF(Q240=3,L240,IF(OR(M240="Not started",M240=""),J240,"")))</f>
        <v/>
      </c>
      <c r="U240" s="79">
        <f>IF(T240="","",IF(Q240=3,1,IF(T240="","",IF(T240&lt;AsOf,1,IF(T240&lt;=AsOf+AlertDays,2,IF(T240&lt;=AsOf+2*AlertDays,3,""))))))</f>
        <v/>
      </c>
      <c r="V240" s="79">
        <f>IF(U240="","",IF(Q240=3,"Late task: "&amp;D240,IF(T240&lt;AsOf,"Should have started: ","Starts soon: ")&amp;D240)&amp;IF(F240="",""," — "&amp;F240))</f>
        <v/>
      </c>
    </row>
    <row r="241" ht="20" customHeight="1">
      <c r="B241" s="125" t="n">
        <v>235</v>
      </c>
      <c r="C241" s="72" t="n"/>
      <c r="D241" s="72" t="n"/>
      <c r="E241" s="72" t="n"/>
      <c r="F241" s="72" t="n"/>
      <c r="G241" s="89" t="n"/>
      <c r="H241" s="89" t="n"/>
      <c r="I241" s="109" t="n"/>
      <c r="J241" s="126">
        <f>IF(OR(D241="",ProjStart=""),"",MAX(ProjStart,IF(I241&lt;&gt;"",I241,0),IF(H241="",0,IFERROR(INDEX($L$6:L240,MATCH(H241,$B$6:B240,0))+1,0))))</f>
        <v/>
      </c>
      <c r="K241" s="89" t="n"/>
      <c r="L241" s="126">
        <f>IF(J241="","",J241+MAX(1,G241)+IF(K241="",0,K241)-1)</f>
        <v/>
      </c>
      <c r="M241" s="72" t="n"/>
      <c r="N241" s="109" t="n"/>
      <c r="O241" s="127">
        <f>IF(D241="","",COUNTIF($H$7:$H$1006,B241))</f>
        <v/>
      </c>
      <c r="P241" s="78">
        <f>IF(D241="","",IF(AND(H241&lt;&gt;"",H241&gt;=B241),"⚠️ Predecessor must be above",IF(M241="Done","✓ Done",IF(Q241=3,"🔴 Late",IF(M241="In progress","In progress","")))))</f>
        <v/>
      </c>
      <c r="Q241" s="79">
        <f>IF(OR(D241="",L241=""),"",IF(M241="Done",2,IF(AsOf&gt;L241,3,1)))</f>
        <v/>
      </c>
      <c r="R241" s="79">
        <f>IF(OR(E241="",F241=""),0,IF(COUNTIFS($E$7:E241,E241,$F$7:F241,F241)=1,1,0))</f>
        <v/>
      </c>
      <c r="S241" s="79">
        <f>IF(R241=1,E241&amp;"|"&amp;SUMIFS($R$7:R241,$E$7:E241,E241),"")</f>
        <v/>
      </c>
      <c r="T241" s="112">
        <f>IF(Q241="","",IF(Q241=3,L241,IF(OR(M241="Not started",M241=""),J241,"")))</f>
        <v/>
      </c>
      <c r="U241" s="79">
        <f>IF(T241="","",IF(Q241=3,1,IF(T241="","",IF(T241&lt;AsOf,1,IF(T241&lt;=AsOf+AlertDays,2,IF(T241&lt;=AsOf+2*AlertDays,3,""))))))</f>
        <v/>
      </c>
      <c r="V241" s="79">
        <f>IF(U241="","",IF(Q241=3,"Late task: "&amp;D241,IF(T241&lt;AsOf,"Should have started: ","Starts soon: ")&amp;D241)&amp;IF(F241="",""," — "&amp;F241))</f>
        <v/>
      </c>
    </row>
    <row r="242" ht="20" customHeight="1">
      <c r="B242" s="125" t="n">
        <v>236</v>
      </c>
      <c r="C242" s="72" t="n"/>
      <c r="D242" s="72" t="n"/>
      <c r="E242" s="72" t="n"/>
      <c r="F242" s="72" t="n"/>
      <c r="G242" s="89" t="n"/>
      <c r="H242" s="89" t="n"/>
      <c r="I242" s="109" t="n"/>
      <c r="J242" s="126">
        <f>IF(OR(D242="",ProjStart=""),"",MAX(ProjStart,IF(I242&lt;&gt;"",I242,0),IF(H242="",0,IFERROR(INDEX($L$6:L241,MATCH(H242,$B$6:B241,0))+1,0))))</f>
        <v/>
      </c>
      <c r="K242" s="89" t="n"/>
      <c r="L242" s="126">
        <f>IF(J242="","",J242+MAX(1,G242)+IF(K242="",0,K242)-1)</f>
        <v/>
      </c>
      <c r="M242" s="72" t="n"/>
      <c r="N242" s="109" t="n"/>
      <c r="O242" s="127">
        <f>IF(D242="","",COUNTIF($H$7:$H$1006,B242))</f>
        <v/>
      </c>
      <c r="P242" s="78">
        <f>IF(D242="","",IF(AND(H242&lt;&gt;"",H242&gt;=B242),"⚠️ Predecessor must be above",IF(M242="Done","✓ Done",IF(Q242=3,"🔴 Late",IF(M242="In progress","In progress","")))))</f>
        <v/>
      </c>
      <c r="Q242" s="79">
        <f>IF(OR(D242="",L242=""),"",IF(M242="Done",2,IF(AsOf&gt;L242,3,1)))</f>
        <v/>
      </c>
      <c r="R242" s="79">
        <f>IF(OR(E242="",F242=""),0,IF(COUNTIFS($E$7:E242,E242,$F$7:F242,F242)=1,1,0))</f>
        <v/>
      </c>
      <c r="S242" s="79">
        <f>IF(R242=1,E242&amp;"|"&amp;SUMIFS($R$7:R242,$E$7:E242,E242),"")</f>
        <v/>
      </c>
      <c r="T242" s="112">
        <f>IF(Q242="","",IF(Q242=3,L242,IF(OR(M242="Not started",M242=""),J242,"")))</f>
        <v/>
      </c>
      <c r="U242" s="79">
        <f>IF(T242="","",IF(Q242=3,1,IF(T242="","",IF(T242&lt;AsOf,1,IF(T242&lt;=AsOf+AlertDays,2,IF(T242&lt;=AsOf+2*AlertDays,3,""))))))</f>
        <v/>
      </c>
      <c r="V242" s="79">
        <f>IF(U242="","",IF(Q242=3,"Late task: "&amp;D242,IF(T242&lt;AsOf,"Should have started: ","Starts soon: ")&amp;D242)&amp;IF(F242="",""," — "&amp;F242))</f>
        <v/>
      </c>
    </row>
    <row r="243" ht="20" customHeight="1">
      <c r="B243" s="125" t="n">
        <v>237</v>
      </c>
      <c r="C243" s="72" t="n"/>
      <c r="D243" s="72" t="n"/>
      <c r="E243" s="72" t="n"/>
      <c r="F243" s="72" t="n"/>
      <c r="G243" s="89" t="n"/>
      <c r="H243" s="89" t="n"/>
      <c r="I243" s="109" t="n"/>
      <c r="J243" s="126">
        <f>IF(OR(D243="",ProjStart=""),"",MAX(ProjStart,IF(I243&lt;&gt;"",I243,0),IF(H243="",0,IFERROR(INDEX($L$6:L242,MATCH(H243,$B$6:B242,0))+1,0))))</f>
        <v/>
      </c>
      <c r="K243" s="89" t="n"/>
      <c r="L243" s="126">
        <f>IF(J243="","",J243+MAX(1,G243)+IF(K243="",0,K243)-1)</f>
        <v/>
      </c>
      <c r="M243" s="72" t="n"/>
      <c r="N243" s="109" t="n"/>
      <c r="O243" s="127">
        <f>IF(D243="","",COUNTIF($H$7:$H$1006,B243))</f>
        <v/>
      </c>
      <c r="P243" s="78">
        <f>IF(D243="","",IF(AND(H243&lt;&gt;"",H243&gt;=B243),"⚠️ Predecessor must be above",IF(M243="Done","✓ Done",IF(Q243=3,"🔴 Late",IF(M243="In progress","In progress","")))))</f>
        <v/>
      </c>
      <c r="Q243" s="79">
        <f>IF(OR(D243="",L243=""),"",IF(M243="Done",2,IF(AsOf&gt;L243,3,1)))</f>
        <v/>
      </c>
      <c r="R243" s="79">
        <f>IF(OR(E243="",F243=""),0,IF(COUNTIFS($E$7:E243,E243,$F$7:F243,F243)=1,1,0))</f>
        <v/>
      </c>
      <c r="S243" s="79">
        <f>IF(R243=1,E243&amp;"|"&amp;SUMIFS($R$7:R243,$E$7:E243,E243),"")</f>
        <v/>
      </c>
      <c r="T243" s="112">
        <f>IF(Q243="","",IF(Q243=3,L243,IF(OR(M243="Not started",M243=""),J243,"")))</f>
        <v/>
      </c>
      <c r="U243" s="79">
        <f>IF(T243="","",IF(Q243=3,1,IF(T243="","",IF(T243&lt;AsOf,1,IF(T243&lt;=AsOf+AlertDays,2,IF(T243&lt;=AsOf+2*AlertDays,3,""))))))</f>
        <v/>
      </c>
      <c r="V243" s="79">
        <f>IF(U243="","",IF(Q243=3,"Late task: "&amp;D243,IF(T243&lt;AsOf,"Should have started: ","Starts soon: ")&amp;D243)&amp;IF(F243="",""," — "&amp;F243))</f>
        <v/>
      </c>
    </row>
    <row r="244" ht="20" customHeight="1">
      <c r="B244" s="125" t="n">
        <v>238</v>
      </c>
      <c r="C244" s="72" t="n"/>
      <c r="D244" s="72" t="n"/>
      <c r="E244" s="72" t="n"/>
      <c r="F244" s="72" t="n"/>
      <c r="G244" s="89" t="n"/>
      <c r="H244" s="89" t="n"/>
      <c r="I244" s="109" t="n"/>
      <c r="J244" s="126">
        <f>IF(OR(D244="",ProjStart=""),"",MAX(ProjStart,IF(I244&lt;&gt;"",I244,0),IF(H244="",0,IFERROR(INDEX($L$6:L243,MATCH(H244,$B$6:B243,0))+1,0))))</f>
        <v/>
      </c>
      <c r="K244" s="89" t="n"/>
      <c r="L244" s="126">
        <f>IF(J244="","",J244+MAX(1,G244)+IF(K244="",0,K244)-1)</f>
        <v/>
      </c>
      <c r="M244" s="72" t="n"/>
      <c r="N244" s="109" t="n"/>
      <c r="O244" s="127">
        <f>IF(D244="","",COUNTIF($H$7:$H$1006,B244))</f>
        <v/>
      </c>
      <c r="P244" s="78">
        <f>IF(D244="","",IF(AND(H244&lt;&gt;"",H244&gt;=B244),"⚠️ Predecessor must be above",IF(M244="Done","✓ Done",IF(Q244=3,"🔴 Late",IF(M244="In progress","In progress","")))))</f>
        <v/>
      </c>
      <c r="Q244" s="79">
        <f>IF(OR(D244="",L244=""),"",IF(M244="Done",2,IF(AsOf&gt;L244,3,1)))</f>
        <v/>
      </c>
      <c r="R244" s="79">
        <f>IF(OR(E244="",F244=""),0,IF(COUNTIFS($E$7:E244,E244,$F$7:F244,F244)=1,1,0))</f>
        <v/>
      </c>
      <c r="S244" s="79">
        <f>IF(R244=1,E244&amp;"|"&amp;SUMIFS($R$7:R244,$E$7:E244,E244),"")</f>
        <v/>
      </c>
      <c r="T244" s="112">
        <f>IF(Q244="","",IF(Q244=3,L244,IF(OR(M244="Not started",M244=""),J244,"")))</f>
        <v/>
      </c>
      <c r="U244" s="79">
        <f>IF(T244="","",IF(Q244=3,1,IF(T244="","",IF(T244&lt;AsOf,1,IF(T244&lt;=AsOf+AlertDays,2,IF(T244&lt;=AsOf+2*AlertDays,3,""))))))</f>
        <v/>
      </c>
      <c r="V244" s="79">
        <f>IF(U244="","",IF(Q244=3,"Late task: "&amp;D244,IF(T244&lt;AsOf,"Should have started: ","Starts soon: ")&amp;D244)&amp;IF(F244="",""," — "&amp;F244))</f>
        <v/>
      </c>
    </row>
    <row r="245" ht="20" customHeight="1">
      <c r="B245" s="125" t="n">
        <v>239</v>
      </c>
      <c r="C245" s="72" t="n"/>
      <c r="D245" s="72" t="n"/>
      <c r="E245" s="72" t="n"/>
      <c r="F245" s="72" t="n"/>
      <c r="G245" s="89" t="n"/>
      <c r="H245" s="89" t="n"/>
      <c r="I245" s="109" t="n"/>
      <c r="J245" s="126">
        <f>IF(OR(D245="",ProjStart=""),"",MAX(ProjStart,IF(I245&lt;&gt;"",I245,0),IF(H245="",0,IFERROR(INDEX($L$6:L244,MATCH(H245,$B$6:B244,0))+1,0))))</f>
        <v/>
      </c>
      <c r="K245" s="89" t="n"/>
      <c r="L245" s="126">
        <f>IF(J245="","",J245+MAX(1,G245)+IF(K245="",0,K245)-1)</f>
        <v/>
      </c>
      <c r="M245" s="72" t="n"/>
      <c r="N245" s="109" t="n"/>
      <c r="O245" s="127">
        <f>IF(D245="","",COUNTIF($H$7:$H$1006,B245))</f>
        <v/>
      </c>
      <c r="P245" s="78">
        <f>IF(D245="","",IF(AND(H245&lt;&gt;"",H245&gt;=B245),"⚠️ Predecessor must be above",IF(M245="Done","✓ Done",IF(Q245=3,"🔴 Late",IF(M245="In progress","In progress","")))))</f>
        <v/>
      </c>
      <c r="Q245" s="79">
        <f>IF(OR(D245="",L245=""),"",IF(M245="Done",2,IF(AsOf&gt;L245,3,1)))</f>
        <v/>
      </c>
      <c r="R245" s="79">
        <f>IF(OR(E245="",F245=""),0,IF(COUNTIFS($E$7:E245,E245,$F$7:F245,F245)=1,1,0))</f>
        <v/>
      </c>
      <c r="S245" s="79">
        <f>IF(R245=1,E245&amp;"|"&amp;SUMIFS($R$7:R245,$E$7:E245,E245),"")</f>
        <v/>
      </c>
      <c r="T245" s="112">
        <f>IF(Q245="","",IF(Q245=3,L245,IF(OR(M245="Not started",M245=""),J245,"")))</f>
        <v/>
      </c>
      <c r="U245" s="79">
        <f>IF(T245="","",IF(Q245=3,1,IF(T245="","",IF(T245&lt;AsOf,1,IF(T245&lt;=AsOf+AlertDays,2,IF(T245&lt;=AsOf+2*AlertDays,3,""))))))</f>
        <v/>
      </c>
      <c r="V245" s="79">
        <f>IF(U245="","",IF(Q245=3,"Late task: "&amp;D245,IF(T245&lt;AsOf,"Should have started: ","Starts soon: ")&amp;D245)&amp;IF(F245="",""," — "&amp;F245))</f>
        <v/>
      </c>
    </row>
    <row r="246" ht="20" customHeight="1">
      <c r="B246" s="125" t="n">
        <v>240</v>
      </c>
      <c r="C246" s="72" t="n"/>
      <c r="D246" s="72" t="n"/>
      <c r="E246" s="72" t="n"/>
      <c r="F246" s="72" t="n"/>
      <c r="G246" s="89" t="n"/>
      <c r="H246" s="89" t="n"/>
      <c r="I246" s="109" t="n"/>
      <c r="J246" s="126">
        <f>IF(OR(D246="",ProjStart=""),"",MAX(ProjStart,IF(I246&lt;&gt;"",I246,0),IF(H246="",0,IFERROR(INDEX($L$6:L245,MATCH(H246,$B$6:B245,0))+1,0))))</f>
        <v/>
      </c>
      <c r="K246" s="89" t="n"/>
      <c r="L246" s="126">
        <f>IF(J246="","",J246+MAX(1,G246)+IF(K246="",0,K246)-1)</f>
        <v/>
      </c>
      <c r="M246" s="72" t="n"/>
      <c r="N246" s="109" t="n"/>
      <c r="O246" s="127">
        <f>IF(D246="","",COUNTIF($H$7:$H$1006,B246))</f>
        <v/>
      </c>
      <c r="P246" s="78">
        <f>IF(D246="","",IF(AND(H246&lt;&gt;"",H246&gt;=B246),"⚠️ Predecessor must be above",IF(M246="Done","✓ Done",IF(Q246=3,"🔴 Late",IF(M246="In progress","In progress","")))))</f>
        <v/>
      </c>
      <c r="Q246" s="79">
        <f>IF(OR(D246="",L246=""),"",IF(M246="Done",2,IF(AsOf&gt;L246,3,1)))</f>
        <v/>
      </c>
      <c r="R246" s="79">
        <f>IF(OR(E246="",F246=""),0,IF(COUNTIFS($E$7:E246,E246,$F$7:F246,F246)=1,1,0))</f>
        <v/>
      </c>
      <c r="S246" s="79">
        <f>IF(R246=1,E246&amp;"|"&amp;SUMIFS($R$7:R246,$E$7:E246,E246),"")</f>
        <v/>
      </c>
      <c r="T246" s="112">
        <f>IF(Q246="","",IF(Q246=3,L246,IF(OR(M246="Not started",M246=""),J246,"")))</f>
        <v/>
      </c>
      <c r="U246" s="79">
        <f>IF(T246="","",IF(Q246=3,1,IF(T246="","",IF(T246&lt;AsOf,1,IF(T246&lt;=AsOf+AlertDays,2,IF(T246&lt;=AsOf+2*AlertDays,3,""))))))</f>
        <v/>
      </c>
      <c r="V246" s="79">
        <f>IF(U246="","",IF(Q246=3,"Late task: "&amp;D246,IF(T246&lt;AsOf,"Should have started: ","Starts soon: ")&amp;D246)&amp;IF(F246="",""," — "&amp;F246))</f>
        <v/>
      </c>
    </row>
    <row r="247" ht="20" customHeight="1">
      <c r="B247" s="125" t="n">
        <v>241</v>
      </c>
      <c r="C247" s="72" t="n"/>
      <c r="D247" s="72" t="n"/>
      <c r="E247" s="72" t="n"/>
      <c r="F247" s="72" t="n"/>
      <c r="G247" s="89" t="n"/>
      <c r="H247" s="89" t="n"/>
      <c r="I247" s="109" t="n"/>
      <c r="J247" s="126">
        <f>IF(OR(D247="",ProjStart=""),"",MAX(ProjStart,IF(I247&lt;&gt;"",I247,0),IF(H247="",0,IFERROR(INDEX($L$6:L246,MATCH(H247,$B$6:B246,0))+1,0))))</f>
        <v/>
      </c>
      <c r="K247" s="89" t="n"/>
      <c r="L247" s="126">
        <f>IF(J247="","",J247+MAX(1,G247)+IF(K247="",0,K247)-1)</f>
        <v/>
      </c>
      <c r="M247" s="72" t="n"/>
      <c r="N247" s="109" t="n"/>
      <c r="O247" s="127">
        <f>IF(D247="","",COUNTIF($H$7:$H$1006,B247))</f>
        <v/>
      </c>
      <c r="P247" s="78">
        <f>IF(D247="","",IF(AND(H247&lt;&gt;"",H247&gt;=B247),"⚠️ Predecessor must be above",IF(M247="Done","✓ Done",IF(Q247=3,"🔴 Late",IF(M247="In progress","In progress","")))))</f>
        <v/>
      </c>
      <c r="Q247" s="79">
        <f>IF(OR(D247="",L247=""),"",IF(M247="Done",2,IF(AsOf&gt;L247,3,1)))</f>
        <v/>
      </c>
      <c r="R247" s="79">
        <f>IF(OR(E247="",F247=""),0,IF(COUNTIFS($E$7:E247,E247,$F$7:F247,F247)=1,1,0))</f>
        <v/>
      </c>
      <c r="S247" s="79">
        <f>IF(R247=1,E247&amp;"|"&amp;SUMIFS($R$7:R247,$E$7:E247,E247),"")</f>
        <v/>
      </c>
      <c r="T247" s="112">
        <f>IF(Q247="","",IF(Q247=3,L247,IF(OR(M247="Not started",M247=""),J247,"")))</f>
        <v/>
      </c>
      <c r="U247" s="79">
        <f>IF(T247="","",IF(Q247=3,1,IF(T247="","",IF(T247&lt;AsOf,1,IF(T247&lt;=AsOf+AlertDays,2,IF(T247&lt;=AsOf+2*AlertDays,3,""))))))</f>
        <v/>
      </c>
      <c r="V247" s="79">
        <f>IF(U247="","",IF(Q247=3,"Late task: "&amp;D247,IF(T247&lt;AsOf,"Should have started: ","Starts soon: ")&amp;D247)&amp;IF(F247="",""," — "&amp;F247))</f>
        <v/>
      </c>
    </row>
    <row r="248" ht="20" customHeight="1">
      <c r="B248" s="125" t="n">
        <v>242</v>
      </c>
      <c r="C248" s="72" t="n"/>
      <c r="D248" s="72" t="n"/>
      <c r="E248" s="72" t="n"/>
      <c r="F248" s="72" t="n"/>
      <c r="G248" s="89" t="n"/>
      <c r="H248" s="89" t="n"/>
      <c r="I248" s="109" t="n"/>
      <c r="J248" s="126">
        <f>IF(OR(D248="",ProjStart=""),"",MAX(ProjStart,IF(I248&lt;&gt;"",I248,0),IF(H248="",0,IFERROR(INDEX($L$6:L247,MATCH(H248,$B$6:B247,0))+1,0))))</f>
        <v/>
      </c>
      <c r="K248" s="89" t="n"/>
      <c r="L248" s="126">
        <f>IF(J248="","",J248+MAX(1,G248)+IF(K248="",0,K248)-1)</f>
        <v/>
      </c>
      <c r="M248" s="72" t="n"/>
      <c r="N248" s="109" t="n"/>
      <c r="O248" s="127">
        <f>IF(D248="","",COUNTIF($H$7:$H$1006,B248))</f>
        <v/>
      </c>
      <c r="P248" s="78">
        <f>IF(D248="","",IF(AND(H248&lt;&gt;"",H248&gt;=B248),"⚠️ Predecessor must be above",IF(M248="Done","✓ Done",IF(Q248=3,"🔴 Late",IF(M248="In progress","In progress","")))))</f>
        <v/>
      </c>
      <c r="Q248" s="79">
        <f>IF(OR(D248="",L248=""),"",IF(M248="Done",2,IF(AsOf&gt;L248,3,1)))</f>
        <v/>
      </c>
      <c r="R248" s="79">
        <f>IF(OR(E248="",F248=""),0,IF(COUNTIFS($E$7:E248,E248,$F$7:F248,F248)=1,1,0))</f>
        <v/>
      </c>
      <c r="S248" s="79">
        <f>IF(R248=1,E248&amp;"|"&amp;SUMIFS($R$7:R248,$E$7:E248,E248),"")</f>
        <v/>
      </c>
      <c r="T248" s="112">
        <f>IF(Q248="","",IF(Q248=3,L248,IF(OR(M248="Not started",M248=""),J248,"")))</f>
        <v/>
      </c>
      <c r="U248" s="79">
        <f>IF(T248="","",IF(Q248=3,1,IF(T248="","",IF(T248&lt;AsOf,1,IF(T248&lt;=AsOf+AlertDays,2,IF(T248&lt;=AsOf+2*AlertDays,3,""))))))</f>
        <v/>
      </c>
      <c r="V248" s="79">
        <f>IF(U248="","",IF(Q248=3,"Late task: "&amp;D248,IF(T248&lt;AsOf,"Should have started: ","Starts soon: ")&amp;D248)&amp;IF(F248="",""," — "&amp;F248))</f>
        <v/>
      </c>
    </row>
    <row r="249" ht="20" customHeight="1">
      <c r="B249" s="125" t="n">
        <v>243</v>
      </c>
      <c r="C249" s="72" t="n"/>
      <c r="D249" s="72" t="n"/>
      <c r="E249" s="72" t="n"/>
      <c r="F249" s="72" t="n"/>
      <c r="G249" s="89" t="n"/>
      <c r="H249" s="89" t="n"/>
      <c r="I249" s="109" t="n"/>
      <c r="J249" s="126">
        <f>IF(OR(D249="",ProjStart=""),"",MAX(ProjStart,IF(I249&lt;&gt;"",I249,0),IF(H249="",0,IFERROR(INDEX($L$6:L248,MATCH(H249,$B$6:B248,0))+1,0))))</f>
        <v/>
      </c>
      <c r="K249" s="89" t="n"/>
      <c r="L249" s="126">
        <f>IF(J249="","",J249+MAX(1,G249)+IF(K249="",0,K249)-1)</f>
        <v/>
      </c>
      <c r="M249" s="72" t="n"/>
      <c r="N249" s="109" t="n"/>
      <c r="O249" s="127">
        <f>IF(D249="","",COUNTIF($H$7:$H$1006,B249))</f>
        <v/>
      </c>
      <c r="P249" s="78">
        <f>IF(D249="","",IF(AND(H249&lt;&gt;"",H249&gt;=B249),"⚠️ Predecessor must be above",IF(M249="Done","✓ Done",IF(Q249=3,"🔴 Late",IF(M249="In progress","In progress","")))))</f>
        <v/>
      </c>
      <c r="Q249" s="79">
        <f>IF(OR(D249="",L249=""),"",IF(M249="Done",2,IF(AsOf&gt;L249,3,1)))</f>
        <v/>
      </c>
      <c r="R249" s="79">
        <f>IF(OR(E249="",F249=""),0,IF(COUNTIFS($E$7:E249,E249,$F$7:F249,F249)=1,1,0))</f>
        <v/>
      </c>
      <c r="S249" s="79">
        <f>IF(R249=1,E249&amp;"|"&amp;SUMIFS($R$7:R249,$E$7:E249,E249),"")</f>
        <v/>
      </c>
      <c r="T249" s="112">
        <f>IF(Q249="","",IF(Q249=3,L249,IF(OR(M249="Not started",M249=""),J249,"")))</f>
        <v/>
      </c>
      <c r="U249" s="79">
        <f>IF(T249="","",IF(Q249=3,1,IF(T249="","",IF(T249&lt;AsOf,1,IF(T249&lt;=AsOf+AlertDays,2,IF(T249&lt;=AsOf+2*AlertDays,3,""))))))</f>
        <v/>
      </c>
      <c r="V249" s="79">
        <f>IF(U249="","",IF(Q249=3,"Late task: "&amp;D249,IF(T249&lt;AsOf,"Should have started: ","Starts soon: ")&amp;D249)&amp;IF(F249="",""," — "&amp;F249))</f>
        <v/>
      </c>
    </row>
    <row r="250" ht="20" customHeight="1">
      <c r="B250" s="125" t="n">
        <v>244</v>
      </c>
      <c r="C250" s="72" t="n"/>
      <c r="D250" s="72" t="n"/>
      <c r="E250" s="72" t="n"/>
      <c r="F250" s="72" t="n"/>
      <c r="G250" s="89" t="n"/>
      <c r="H250" s="89" t="n"/>
      <c r="I250" s="109" t="n"/>
      <c r="J250" s="126">
        <f>IF(OR(D250="",ProjStart=""),"",MAX(ProjStart,IF(I250&lt;&gt;"",I250,0),IF(H250="",0,IFERROR(INDEX($L$6:L249,MATCH(H250,$B$6:B249,0))+1,0))))</f>
        <v/>
      </c>
      <c r="K250" s="89" t="n"/>
      <c r="L250" s="126">
        <f>IF(J250="","",J250+MAX(1,G250)+IF(K250="",0,K250)-1)</f>
        <v/>
      </c>
      <c r="M250" s="72" t="n"/>
      <c r="N250" s="109" t="n"/>
      <c r="O250" s="127">
        <f>IF(D250="","",COUNTIF($H$7:$H$1006,B250))</f>
        <v/>
      </c>
      <c r="P250" s="78">
        <f>IF(D250="","",IF(AND(H250&lt;&gt;"",H250&gt;=B250),"⚠️ Predecessor must be above",IF(M250="Done","✓ Done",IF(Q250=3,"🔴 Late",IF(M250="In progress","In progress","")))))</f>
        <v/>
      </c>
      <c r="Q250" s="79">
        <f>IF(OR(D250="",L250=""),"",IF(M250="Done",2,IF(AsOf&gt;L250,3,1)))</f>
        <v/>
      </c>
      <c r="R250" s="79">
        <f>IF(OR(E250="",F250=""),0,IF(COUNTIFS($E$7:E250,E250,$F$7:F250,F250)=1,1,0))</f>
        <v/>
      </c>
      <c r="S250" s="79">
        <f>IF(R250=1,E250&amp;"|"&amp;SUMIFS($R$7:R250,$E$7:E250,E250),"")</f>
        <v/>
      </c>
      <c r="T250" s="112">
        <f>IF(Q250="","",IF(Q250=3,L250,IF(OR(M250="Not started",M250=""),J250,"")))</f>
        <v/>
      </c>
      <c r="U250" s="79">
        <f>IF(T250="","",IF(Q250=3,1,IF(T250="","",IF(T250&lt;AsOf,1,IF(T250&lt;=AsOf+AlertDays,2,IF(T250&lt;=AsOf+2*AlertDays,3,""))))))</f>
        <v/>
      </c>
      <c r="V250" s="79">
        <f>IF(U250="","",IF(Q250=3,"Late task: "&amp;D250,IF(T250&lt;AsOf,"Should have started: ","Starts soon: ")&amp;D250)&amp;IF(F250="",""," — "&amp;F250))</f>
        <v/>
      </c>
    </row>
    <row r="251" ht="20" customHeight="1">
      <c r="B251" s="125" t="n">
        <v>245</v>
      </c>
      <c r="C251" s="72" t="n"/>
      <c r="D251" s="72" t="n"/>
      <c r="E251" s="72" t="n"/>
      <c r="F251" s="72" t="n"/>
      <c r="G251" s="89" t="n"/>
      <c r="H251" s="89" t="n"/>
      <c r="I251" s="109" t="n"/>
      <c r="J251" s="126">
        <f>IF(OR(D251="",ProjStart=""),"",MAX(ProjStart,IF(I251&lt;&gt;"",I251,0),IF(H251="",0,IFERROR(INDEX($L$6:L250,MATCH(H251,$B$6:B250,0))+1,0))))</f>
        <v/>
      </c>
      <c r="K251" s="89" t="n"/>
      <c r="L251" s="126">
        <f>IF(J251="","",J251+MAX(1,G251)+IF(K251="",0,K251)-1)</f>
        <v/>
      </c>
      <c r="M251" s="72" t="n"/>
      <c r="N251" s="109" t="n"/>
      <c r="O251" s="127">
        <f>IF(D251="","",COUNTIF($H$7:$H$1006,B251))</f>
        <v/>
      </c>
      <c r="P251" s="78">
        <f>IF(D251="","",IF(AND(H251&lt;&gt;"",H251&gt;=B251),"⚠️ Predecessor must be above",IF(M251="Done","✓ Done",IF(Q251=3,"🔴 Late",IF(M251="In progress","In progress","")))))</f>
        <v/>
      </c>
      <c r="Q251" s="79">
        <f>IF(OR(D251="",L251=""),"",IF(M251="Done",2,IF(AsOf&gt;L251,3,1)))</f>
        <v/>
      </c>
      <c r="R251" s="79">
        <f>IF(OR(E251="",F251=""),0,IF(COUNTIFS($E$7:E251,E251,$F$7:F251,F251)=1,1,0))</f>
        <v/>
      </c>
      <c r="S251" s="79">
        <f>IF(R251=1,E251&amp;"|"&amp;SUMIFS($R$7:R251,$E$7:E251,E251),"")</f>
        <v/>
      </c>
      <c r="T251" s="112">
        <f>IF(Q251="","",IF(Q251=3,L251,IF(OR(M251="Not started",M251=""),J251,"")))</f>
        <v/>
      </c>
      <c r="U251" s="79">
        <f>IF(T251="","",IF(Q251=3,1,IF(T251="","",IF(T251&lt;AsOf,1,IF(T251&lt;=AsOf+AlertDays,2,IF(T251&lt;=AsOf+2*AlertDays,3,""))))))</f>
        <v/>
      </c>
      <c r="V251" s="79">
        <f>IF(U251="","",IF(Q251=3,"Late task: "&amp;D251,IF(T251&lt;AsOf,"Should have started: ","Starts soon: ")&amp;D251)&amp;IF(F251="",""," — "&amp;F251))</f>
        <v/>
      </c>
    </row>
    <row r="252" ht="20" customHeight="1">
      <c r="B252" s="125" t="n">
        <v>246</v>
      </c>
      <c r="C252" s="72" t="n"/>
      <c r="D252" s="72" t="n"/>
      <c r="E252" s="72" t="n"/>
      <c r="F252" s="72" t="n"/>
      <c r="G252" s="89" t="n"/>
      <c r="H252" s="89" t="n"/>
      <c r="I252" s="109" t="n"/>
      <c r="J252" s="126">
        <f>IF(OR(D252="",ProjStart=""),"",MAX(ProjStart,IF(I252&lt;&gt;"",I252,0),IF(H252="",0,IFERROR(INDEX($L$6:L251,MATCH(H252,$B$6:B251,0))+1,0))))</f>
        <v/>
      </c>
      <c r="K252" s="89" t="n"/>
      <c r="L252" s="126">
        <f>IF(J252="","",J252+MAX(1,G252)+IF(K252="",0,K252)-1)</f>
        <v/>
      </c>
      <c r="M252" s="72" t="n"/>
      <c r="N252" s="109" t="n"/>
      <c r="O252" s="127">
        <f>IF(D252="","",COUNTIF($H$7:$H$1006,B252))</f>
        <v/>
      </c>
      <c r="P252" s="78">
        <f>IF(D252="","",IF(AND(H252&lt;&gt;"",H252&gt;=B252),"⚠️ Predecessor must be above",IF(M252="Done","✓ Done",IF(Q252=3,"🔴 Late",IF(M252="In progress","In progress","")))))</f>
        <v/>
      </c>
      <c r="Q252" s="79">
        <f>IF(OR(D252="",L252=""),"",IF(M252="Done",2,IF(AsOf&gt;L252,3,1)))</f>
        <v/>
      </c>
      <c r="R252" s="79">
        <f>IF(OR(E252="",F252=""),0,IF(COUNTIFS($E$7:E252,E252,$F$7:F252,F252)=1,1,0))</f>
        <v/>
      </c>
      <c r="S252" s="79">
        <f>IF(R252=1,E252&amp;"|"&amp;SUMIFS($R$7:R252,$E$7:E252,E252),"")</f>
        <v/>
      </c>
      <c r="T252" s="112">
        <f>IF(Q252="","",IF(Q252=3,L252,IF(OR(M252="Not started",M252=""),J252,"")))</f>
        <v/>
      </c>
      <c r="U252" s="79">
        <f>IF(T252="","",IF(Q252=3,1,IF(T252="","",IF(T252&lt;AsOf,1,IF(T252&lt;=AsOf+AlertDays,2,IF(T252&lt;=AsOf+2*AlertDays,3,""))))))</f>
        <v/>
      </c>
      <c r="V252" s="79">
        <f>IF(U252="","",IF(Q252=3,"Late task: "&amp;D252,IF(T252&lt;AsOf,"Should have started: ","Starts soon: ")&amp;D252)&amp;IF(F252="",""," — "&amp;F252))</f>
        <v/>
      </c>
    </row>
    <row r="253" ht="20" customHeight="1">
      <c r="B253" s="125" t="n">
        <v>247</v>
      </c>
      <c r="C253" s="72" t="n"/>
      <c r="D253" s="72" t="n"/>
      <c r="E253" s="72" t="n"/>
      <c r="F253" s="72" t="n"/>
      <c r="G253" s="89" t="n"/>
      <c r="H253" s="89" t="n"/>
      <c r="I253" s="109" t="n"/>
      <c r="J253" s="126">
        <f>IF(OR(D253="",ProjStart=""),"",MAX(ProjStart,IF(I253&lt;&gt;"",I253,0),IF(H253="",0,IFERROR(INDEX($L$6:L252,MATCH(H253,$B$6:B252,0))+1,0))))</f>
        <v/>
      </c>
      <c r="K253" s="89" t="n"/>
      <c r="L253" s="126">
        <f>IF(J253="","",J253+MAX(1,G253)+IF(K253="",0,K253)-1)</f>
        <v/>
      </c>
      <c r="M253" s="72" t="n"/>
      <c r="N253" s="109" t="n"/>
      <c r="O253" s="127">
        <f>IF(D253="","",COUNTIF($H$7:$H$1006,B253))</f>
        <v/>
      </c>
      <c r="P253" s="78">
        <f>IF(D253="","",IF(AND(H253&lt;&gt;"",H253&gt;=B253),"⚠️ Predecessor must be above",IF(M253="Done","✓ Done",IF(Q253=3,"🔴 Late",IF(M253="In progress","In progress","")))))</f>
        <v/>
      </c>
      <c r="Q253" s="79">
        <f>IF(OR(D253="",L253=""),"",IF(M253="Done",2,IF(AsOf&gt;L253,3,1)))</f>
        <v/>
      </c>
      <c r="R253" s="79">
        <f>IF(OR(E253="",F253=""),0,IF(COUNTIFS($E$7:E253,E253,$F$7:F253,F253)=1,1,0))</f>
        <v/>
      </c>
      <c r="S253" s="79">
        <f>IF(R253=1,E253&amp;"|"&amp;SUMIFS($R$7:R253,$E$7:E253,E253),"")</f>
        <v/>
      </c>
      <c r="T253" s="112">
        <f>IF(Q253="","",IF(Q253=3,L253,IF(OR(M253="Not started",M253=""),J253,"")))</f>
        <v/>
      </c>
      <c r="U253" s="79">
        <f>IF(T253="","",IF(Q253=3,1,IF(T253="","",IF(T253&lt;AsOf,1,IF(T253&lt;=AsOf+AlertDays,2,IF(T253&lt;=AsOf+2*AlertDays,3,""))))))</f>
        <v/>
      </c>
      <c r="V253" s="79">
        <f>IF(U253="","",IF(Q253=3,"Late task: "&amp;D253,IF(T253&lt;AsOf,"Should have started: ","Starts soon: ")&amp;D253)&amp;IF(F253="",""," — "&amp;F253))</f>
        <v/>
      </c>
    </row>
    <row r="254" ht="20" customHeight="1">
      <c r="B254" s="125" t="n">
        <v>248</v>
      </c>
      <c r="C254" s="72" t="n"/>
      <c r="D254" s="72" t="n"/>
      <c r="E254" s="72" t="n"/>
      <c r="F254" s="72" t="n"/>
      <c r="G254" s="89" t="n"/>
      <c r="H254" s="89" t="n"/>
      <c r="I254" s="109" t="n"/>
      <c r="J254" s="126">
        <f>IF(OR(D254="",ProjStart=""),"",MAX(ProjStart,IF(I254&lt;&gt;"",I254,0),IF(H254="",0,IFERROR(INDEX($L$6:L253,MATCH(H254,$B$6:B253,0))+1,0))))</f>
        <v/>
      </c>
      <c r="K254" s="89" t="n"/>
      <c r="L254" s="126">
        <f>IF(J254="","",J254+MAX(1,G254)+IF(K254="",0,K254)-1)</f>
        <v/>
      </c>
      <c r="M254" s="72" t="n"/>
      <c r="N254" s="109" t="n"/>
      <c r="O254" s="127">
        <f>IF(D254="","",COUNTIF($H$7:$H$1006,B254))</f>
        <v/>
      </c>
      <c r="P254" s="78">
        <f>IF(D254="","",IF(AND(H254&lt;&gt;"",H254&gt;=B254),"⚠️ Predecessor must be above",IF(M254="Done","✓ Done",IF(Q254=3,"🔴 Late",IF(M254="In progress","In progress","")))))</f>
        <v/>
      </c>
      <c r="Q254" s="79">
        <f>IF(OR(D254="",L254=""),"",IF(M254="Done",2,IF(AsOf&gt;L254,3,1)))</f>
        <v/>
      </c>
      <c r="R254" s="79">
        <f>IF(OR(E254="",F254=""),0,IF(COUNTIFS($E$7:E254,E254,$F$7:F254,F254)=1,1,0))</f>
        <v/>
      </c>
      <c r="S254" s="79">
        <f>IF(R254=1,E254&amp;"|"&amp;SUMIFS($R$7:R254,$E$7:E254,E254),"")</f>
        <v/>
      </c>
      <c r="T254" s="112">
        <f>IF(Q254="","",IF(Q254=3,L254,IF(OR(M254="Not started",M254=""),J254,"")))</f>
        <v/>
      </c>
      <c r="U254" s="79">
        <f>IF(T254="","",IF(Q254=3,1,IF(T254="","",IF(T254&lt;AsOf,1,IF(T254&lt;=AsOf+AlertDays,2,IF(T254&lt;=AsOf+2*AlertDays,3,""))))))</f>
        <v/>
      </c>
      <c r="V254" s="79">
        <f>IF(U254="","",IF(Q254=3,"Late task: "&amp;D254,IF(T254&lt;AsOf,"Should have started: ","Starts soon: ")&amp;D254)&amp;IF(F254="",""," — "&amp;F254))</f>
        <v/>
      </c>
    </row>
    <row r="255" ht="20" customHeight="1">
      <c r="B255" s="125" t="n">
        <v>249</v>
      </c>
      <c r="C255" s="72" t="n"/>
      <c r="D255" s="72" t="n"/>
      <c r="E255" s="72" t="n"/>
      <c r="F255" s="72" t="n"/>
      <c r="G255" s="89" t="n"/>
      <c r="H255" s="89" t="n"/>
      <c r="I255" s="109" t="n"/>
      <c r="J255" s="126">
        <f>IF(OR(D255="",ProjStart=""),"",MAX(ProjStart,IF(I255&lt;&gt;"",I255,0),IF(H255="",0,IFERROR(INDEX($L$6:L254,MATCH(H255,$B$6:B254,0))+1,0))))</f>
        <v/>
      </c>
      <c r="K255" s="89" t="n"/>
      <c r="L255" s="126">
        <f>IF(J255="","",J255+MAX(1,G255)+IF(K255="",0,K255)-1)</f>
        <v/>
      </c>
      <c r="M255" s="72" t="n"/>
      <c r="N255" s="109" t="n"/>
      <c r="O255" s="127">
        <f>IF(D255="","",COUNTIF($H$7:$H$1006,B255))</f>
        <v/>
      </c>
      <c r="P255" s="78">
        <f>IF(D255="","",IF(AND(H255&lt;&gt;"",H255&gt;=B255),"⚠️ Predecessor must be above",IF(M255="Done","✓ Done",IF(Q255=3,"🔴 Late",IF(M255="In progress","In progress","")))))</f>
        <v/>
      </c>
      <c r="Q255" s="79">
        <f>IF(OR(D255="",L255=""),"",IF(M255="Done",2,IF(AsOf&gt;L255,3,1)))</f>
        <v/>
      </c>
      <c r="R255" s="79">
        <f>IF(OR(E255="",F255=""),0,IF(COUNTIFS($E$7:E255,E255,$F$7:F255,F255)=1,1,0))</f>
        <v/>
      </c>
      <c r="S255" s="79">
        <f>IF(R255=1,E255&amp;"|"&amp;SUMIFS($R$7:R255,$E$7:E255,E255),"")</f>
        <v/>
      </c>
      <c r="T255" s="112">
        <f>IF(Q255="","",IF(Q255=3,L255,IF(OR(M255="Not started",M255=""),J255,"")))</f>
        <v/>
      </c>
      <c r="U255" s="79">
        <f>IF(T255="","",IF(Q255=3,1,IF(T255="","",IF(T255&lt;AsOf,1,IF(T255&lt;=AsOf+AlertDays,2,IF(T255&lt;=AsOf+2*AlertDays,3,""))))))</f>
        <v/>
      </c>
      <c r="V255" s="79">
        <f>IF(U255="","",IF(Q255=3,"Late task: "&amp;D255,IF(T255&lt;AsOf,"Should have started: ","Starts soon: ")&amp;D255)&amp;IF(F255="",""," — "&amp;F255))</f>
        <v/>
      </c>
    </row>
    <row r="256" ht="20" customHeight="1">
      <c r="B256" s="125" t="n">
        <v>250</v>
      </c>
      <c r="C256" s="72" t="n"/>
      <c r="D256" s="72" t="n"/>
      <c r="E256" s="72" t="n"/>
      <c r="F256" s="72" t="n"/>
      <c r="G256" s="89" t="n"/>
      <c r="H256" s="89" t="n"/>
      <c r="I256" s="109" t="n"/>
      <c r="J256" s="126">
        <f>IF(OR(D256="",ProjStart=""),"",MAX(ProjStart,IF(I256&lt;&gt;"",I256,0),IF(H256="",0,IFERROR(INDEX($L$6:L255,MATCH(H256,$B$6:B255,0))+1,0))))</f>
        <v/>
      </c>
      <c r="K256" s="89" t="n"/>
      <c r="L256" s="126">
        <f>IF(J256="","",J256+MAX(1,G256)+IF(K256="",0,K256)-1)</f>
        <v/>
      </c>
      <c r="M256" s="72" t="n"/>
      <c r="N256" s="109" t="n"/>
      <c r="O256" s="127">
        <f>IF(D256="","",COUNTIF($H$7:$H$1006,B256))</f>
        <v/>
      </c>
      <c r="P256" s="78">
        <f>IF(D256="","",IF(AND(H256&lt;&gt;"",H256&gt;=B256),"⚠️ Predecessor must be above",IF(M256="Done","✓ Done",IF(Q256=3,"🔴 Late",IF(M256="In progress","In progress","")))))</f>
        <v/>
      </c>
      <c r="Q256" s="79">
        <f>IF(OR(D256="",L256=""),"",IF(M256="Done",2,IF(AsOf&gt;L256,3,1)))</f>
        <v/>
      </c>
      <c r="R256" s="79">
        <f>IF(OR(E256="",F256=""),0,IF(COUNTIFS($E$7:E256,E256,$F$7:F256,F256)=1,1,0))</f>
        <v/>
      </c>
      <c r="S256" s="79">
        <f>IF(R256=1,E256&amp;"|"&amp;SUMIFS($R$7:R256,$E$7:E256,E256),"")</f>
        <v/>
      </c>
      <c r="T256" s="112">
        <f>IF(Q256="","",IF(Q256=3,L256,IF(OR(M256="Not started",M256=""),J256,"")))</f>
        <v/>
      </c>
      <c r="U256" s="79">
        <f>IF(T256="","",IF(Q256=3,1,IF(T256="","",IF(T256&lt;AsOf,1,IF(T256&lt;=AsOf+AlertDays,2,IF(T256&lt;=AsOf+2*AlertDays,3,""))))))</f>
        <v/>
      </c>
      <c r="V256" s="79">
        <f>IF(U256="","",IF(Q256=3,"Late task: "&amp;D256,IF(T256&lt;AsOf,"Should have started: ","Starts soon: ")&amp;D256)&amp;IF(F256="",""," — "&amp;F256))</f>
        <v/>
      </c>
    </row>
    <row r="257" ht="20" customHeight="1">
      <c r="B257" s="125" t="n">
        <v>251</v>
      </c>
      <c r="C257" s="72" t="n"/>
      <c r="D257" s="72" t="n"/>
      <c r="E257" s="72" t="n"/>
      <c r="F257" s="72" t="n"/>
      <c r="G257" s="89" t="n"/>
      <c r="H257" s="89" t="n"/>
      <c r="I257" s="109" t="n"/>
      <c r="J257" s="126">
        <f>IF(OR(D257="",ProjStart=""),"",MAX(ProjStart,IF(I257&lt;&gt;"",I257,0),IF(H257="",0,IFERROR(INDEX($L$6:L256,MATCH(H257,$B$6:B256,0))+1,0))))</f>
        <v/>
      </c>
      <c r="K257" s="89" t="n"/>
      <c r="L257" s="126">
        <f>IF(J257="","",J257+MAX(1,G257)+IF(K257="",0,K257)-1)</f>
        <v/>
      </c>
      <c r="M257" s="72" t="n"/>
      <c r="N257" s="109" t="n"/>
      <c r="O257" s="127">
        <f>IF(D257="","",COUNTIF($H$7:$H$1006,B257))</f>
        <v/>
      </c>
      <c r="P257" s="78">
        <f>IF(D257="","",IF(AND(H257&lt;&gt;"",H257&gt;=B257),"⚠️ Predecessor must be above",IF(M257="Done","✓ Done",IF(Q257=3,"🔴 Late",IF(M257="In progress","In progress","")))))</f>
        <v/>
      </c>
      <c r="Q257" s="79">
        <f>IF(OR(D257="",L257=""),"",IF(M257="Done",2,IF(AsOf&gt;L257,3,1)))</f>
        <v/>
      </c>
      <c r="R257" s="79">
        <f>IF(OR(E257="",F257=""),0,IF(COUNTIFS($E$7:E257,E257,$F$7:F257,F257)=1,1,0))</f>
        <v/>
      </c>
      <c r="S257" s="79">
        <f>IF(R257=1,E257&amp;"|"&amp;SUMIFS($R$7:R257,$E$7:E257,E257),"")</f>
        <v/>
      </c>
      <c r="T257" s="112">
        <f>IF(Q257="","",IF(Q257=3,L257,IF(OR(M257="Not started",M257=""),J257,"")))</f>
        <v/>
      </c>
      <c r="U257" s="79">
        <f>IF(T257="","",IF(Q257=3,1,IF(T257="","",IF(T257&lt;AsOf,1,IF(T257&lt;=AsOf+AlertDays,2,IF(T257&lt;=AsOf+2*AlertDays,3,""))))))</f>
        <v/>
      </c>
      <c r="V257" s="79">
        <f>IF(U257="","",IF(Q257=3,"Late task: "&amp;D257,IF(T257&lt;AsOf,"Should have started: ","Starts soon: ")&amp;D257)&amp;IF(F257="",""," — "&amp;F257))</f>
        <v/>
      </c>
    </row>
    <row r="258" ht="20" customHeight="1">
      <c r="B258" s="125" t="n">
        <v>252</v>
      </c>
      <c r="C258" s="72" t="n"/>
      <c r="D258" s="72" t="n"/>
      <c r="E258" s="72" t="n"/>
      <c r="F258" s="72" t="n"/>
      <c r="G258" s="89" t="n"/>
      <c r="H258" s="89" t="n"/>
      <c r="I258" s="109" t="n"/>
      <c r="J258" s="126">
        <f>IF(OR(D258="",ProjStart=""),"",MAX(ProjStart,IF(I258&lt;&gt;"",I258,0),IF(H258="",0,IFERROR(INDEX($L$6:L257,MATCH(H258,$B$6:B257,0))+1,0))))</f>
        <v/>
      </c>
      <c r="K258" s="89" t="n"/>
      <c r="L258" s="126">
        <f>IF(J258="","",J258+MAX(1,G258)+IF(K258="",0,K258)-1)</f>
        <v/>
      </c>
      <c r="M258" s="72" t="n"/>
      <c r="N258" s="109" t="n"/>
      <c r="O258" s="127">
        <f>IF(D258="","",COUNTIF($H$7:$H$1006,B258))</f>
        <v/>
      </c>
      <c r="P258" s="78">
        <f>IF(D258="","",IF(AND(H258&lt;&gt;"",H258&gt;=B258),"⚠️ Predecessor must be above",IF(M258="Done","✓ Done",IF(Q258=3,"🔴 Late",IF(M258="In progress","In progress","")))))</f>
        <v/>
      </c>
      <c r="Q258" s="79">
        <f>IF(OR(D258="",L258=""),"",IF(M258="Done",2,IF(AsOf&gt;L258,3,1)))</f>
        <v/>
      </c>
      <c r="R258" s="79">
        <f>IF(OR(E258="",F258=""),0,IF(COUNTIFS($E$7:E258,E258,$F$7:F258,F258)=1,1,0))</f>
        <v/>
      </c>
      <c r="S258" s="79">
        <f>IF(R258=1,E258&amp;"|"&amp;SUMIFS($R$7:R258,$E$7:E258,E258),"")</f>
        <v/>
      </c>
      <c r="T258" s="112">
        <f>IF(Q258="","",IF(Q258=3,L258,IF(OR(M258="Not started",M258=""),J258,"")))</f>
        <v/>
      </c>
      <c r="U258" s="79">
        <f>IF(T258="","",IF(Q258=3,1,IF(T258="","",IF(T258&lt;AsOf,1,IF(T258&lt;=AsOf+AlertDays,2,IF(T258&lt;=AsOf+2*AlertDays,3,""))))))</f>
        <v/>
      </c>
      <c r="V258" s="79">
        <f>IF(U258="","",IF(Q258=3,"Late task: "&amp;D258,IF(T258&lt;AsOf,"Should have started: ","Starts soon: ")&amp;D258)&amp;IF(F258="",""," — "&amp;F258))</f>
        <v/>
      </c>
    </row>
    <row r="259" ht="20" customHeight="1">
      <c r="B259" s="125" t="n">
        <v>253</v>
      </c>
      <c r="C259" s="72" t="n"/>
      <c r="D259" s="72" t="n"/>
      <c r="E259" s="72" t="n"/>
      <c r="F259" s="72" t="n"/>
      <c r="G259" s="89" t="n"/>
      <c r="H259" s="89" t="n"/>
      <c r="I259" s="109" t="n"/>
      <c r="J259" s="126">
        <f>IF(OR(D259="",ProjStart=""),"",MAX(ProjStart,IF(I259&lt;&gt;"",I259,0),IF(H259="",0,IFERROR(INDEX($L$6:L258,MATCH(H259,$B$6:B258,0))+1,0))))</f>
        <v/>
      </c>
      <c r="K259" s="89" t="n"/>
      <c r="L259" s="126">
        <f>IF(J259="","",J259+MAX(1,G259)+IF(K259="",0,K259)-1)</f>
        <v/>
      </c>
      <c r="M259" s="72" t="n"/>
      <c r="N259" s="109" t="n"/>
      <c r="O259" s="127">
        <f>IF(D259="","",COUNTIF($H$7:$H$1006,B259))</f>
        <v/>
      </c>
      <c r="P259" s="78">
        <f>IF(D259="","",IF(AND(H259&lt;&gt;"",H259&gt;=B259),"⚠️ Predecessor must be above",IF(M259="Done","✓ Done",IF(Q259=3,"🔴 Late",IF(M259="In progress","In progress","")))))</f>
        <v/>
      </c>
      <c r="Q259" s="79">
        <f>IF(OR(D259="",L259=""),"",IF(M259="Done",2,IF(AsOf&gt;L259,3,1)))</f>
        <v/>
      </c>
      <c r="R259" s="79">
        <f>IF(OR(E259="",F259=""),0,IF(COUNTIFS($E$7:E259,E259,$F$7:F259,F259)=1,1,0))</f>
        <v/>
      </c>
      <c r="S259" s="79">
        <f>IF(R259=1,E259&amp;"|"&amp;SUMIFS($R$7:R259,$E$7:E259,E259),"")</f>
        <v/>
      </c>
      <c r="T259" s="112">
        <f>IF(Q259="","",IF(Q259=3,L259,IF(OR(M259="Not started",M259=""),J259,"")))</f>
        <v/>
      </c>
      <c r="U259" s="79">
        <f>IF(T259="","",IF(Q259=3,1,IF(T259="","",IF(T259&lt;AsOf,1,IF(T259&lt;=AsOf+AlertDays,2,IF(T259&lt;=AsOf+2*AlertDays,3,""))))))</f>
        <v/>
      </c>
      <c r="V259" s="79">
        <f>IF(U259="","",IF(Q259=3,"Late task: "&amp;D259,IF(T259&lt;AsOf,"Should have started: ","Starts soon: ")&amp;D259)&amp;IF(F259="",""," — "&amp;F259))</f>
        <v/>
      </c>
    </row>
    <row r="260" ht="20" customHeight="1">
      <c r="B260" s="125" t="n">
        <v>254</v>
      </c>
      <c r="C260" s="72" t="n"/>
      <c r="D260" s="72" t="n"/>
      <c r="E260" s="72" t="n"/>
      <c r="F260" s="72" t="n"/>
      <c r="G260" s="89" t="n"/>
      <c r="H260" s="89" t="n"/>
      <c r="I260" s="109" t="n"/>
      <c r="J260" s="126">
        <f>IF(OR(D260="",ProjStart=""),"",MAX(ProjStart,IF(I260&lt;&gt;"",I260,0),IF(H260="",0,IFERROR(INDEX($L$6:L259,MATCH(H260,$B$6:B259,0))+1,0))))</f>
        <v/>
      </c>
      <c r="K260" s="89" t="n"/>
      <c r="L260" s="126">
        <f>IF(J260="","",J260+MAX(1,G260)+IF(K260="",0,K260)-1)</f>
        <v/>
      </c>
      <c r="M260" s="72" t="n"/>
      <c r="N260" s="109" t="n"/>
      <c r="O260" s="127">
        <f>IF(D260="","",COUNTIF($H$7:$H$1006,B260))</f>
        <v/>
      </c>
      <c r="P260" s="78">
        <f>IF(D260="","",IF(AND(H260&lt;&gt;"",H260&gt;=B260),"⚠️ Predecessor must be above",IF(M260="Done","✓ Done",IF(Q260=3,"🔴 Late",IF(M260="In progress","In progress","")))))</f>
        <v/>
      </c>
      <c r="Q260" s="79">
        <f>IF(OR(D260="",L260=""),"",IF(M260="Done",2,IF(AsOf&gt;L260,3,1)))</f>
        <v/>
      </c>
      <c r="R260" s="79">
        <f>IF(OR(E260="",F260=""),0,IF(COUNTIFS($E$7:E260,E260,$F$7:F260,F260)=1,1,0))</f>
        <v/>
      </c>
      <c r="S260" s="79">
        <f>IF(R260=1,E260&amp;"|"&amp;SUMIFS($R$7:R260,$E$7:E260,E260),"")</f>
        <v/>
      </c>
      <c r="T260" s="112">
        <f>IF(Q260="","",IF(Q260=3,L260,IF(OR(M260="Not started",M260=""),J260,"")))</f>
        <v/>
      </c>
      <c r="U260" s="79">
        <f>IF(T260="","",IF(Q260=3,1,IF(T260="","",IF(T260&lt;AsOf,1,IF(T260&lt;=AsOf+AlertDays,2,IF(T260&lt;=AsOf+2*AlertDays,3,""))))))</f>
        <v/>
      </c>
      <c r="V260" s="79">
        <f>IF(U260="","",IF(Q260=3,"Late task: "&amp;D260,IF(T260&lt;AsOf,"Should have started: ","Starts soon: ")&amp;D260)&amp;IF(F260="",""," — "&amp;F260))</f>
        <v/>
      </c>
    </row>
    <row r="261" ht="20" customHeight="1">
      <c r="B261" s="125" t="n">
        <v>255</v>
      </c>
      <c r="C261" s="72" t="n"/>
      <c r="D261" s="72" t="n"/>
      <c r="E261" s="72" t="n"/>
      <c r="F261" s="72" t="n"/>
      <c r="G261" s="89" t="n"/>
      <c r="H261" s="89" t="n"/>
      <c r="I261" s="109" t="n"/>
      <c r="J261" s="126">
        <f>IF(OR(D261="",ProjStart=""),"",MAX(ProjStart,IF(I261&lt;&gt;"",I261,0),IF(H261="",0,IFERROR(INDEX($L$6:L260,MATCH(H261,$B$6:B260,0))+1,0))))</f>
        <v/>
      </c>
      <c r="K261" s="89" t="n"/>
      <c r="L261" s="126">
        <f>IF(J261="","",J261+MAX(1,G261)+IF(K261="",0,K261)-1)</f>
        <v/>
      </c>
      <c r="M261" s="72" t="n"/>
      <c r="N261" s="109" t="n"/>
      <c r="O261" s="127">
        <f>IF(D261="","",COUNTIF($H$7:$H$1006,B261))</f>
        <v/>
      </c>
      <c r="P261" s="78">
        <f>IF(D261="","",IF(AND(H261&lt;&gt;"",H261&gt;=B261),"⚠️ Predecessor must be above",IF(M261="Done","✓ Done",IF(Q261=3,"🔴 Late",IF(M261="In progress","In progress","")))))</f>
        <v/>
      </c>
      <c r="Q261" s="79">
        <f>IF(OR(D261="",L261=""),"",IF(M261="Done",2,IF(AsOf&gt;L261,3,1)))</f>
        <v/>
      </c>
      <c r="R261" s="79">
        <f>IF(OR(E261="",F261=""),0,IF(COUNTIFS($E$7:E261,E261,$F$7:F261,F261)=1,1,0))</f>
        <v/>
      </c>
      <c r="S261" s="79">
        <f>IF(R261=1,E261&amp;"|"&amp;SUMIFS($R$7:R261,$E$7:E261,E261),"")</f>
        <v/>
      </c>
      <c r="T261" s="112">
        <f>IF(Q261="","",IF(Q261=3,L261,IF(OR(M261="Not started",M261=""),J261,"")))</f>
        <v/>
      </c>
      <c r="U261" s="79">
        <f>IF(T261="","",IF(Q261=3,1,IF(T261="","",IF(T261&lt;AsOf,1,IF(T261&lt;=AsOf+AlertDays,2,IF(T261&lt;=AsOf+2*AlertDays,3,""))))))</f>
        <v/>
      </c>
      <c r="V261" s="79">
        <f>IF(U261="","",IF(Q261=3,"Late task: "&amp;D261,IF(T261&lt;AsOf,"Should have started: ","Starts soon: ")&amp;D261)&amp;IF(F261="",""," — "&amp;F261))</f>
        <v/>
      </c>
    </row>
    <row r="262" ht="20" customHeight="1">
      <c r="B262" s="125" t="n">
        <v>256</v>
      </c>
      <c r="C262" s="72" t="n"/>
      <c r="D262" s="72" t="n"/>
      <c r="E262" s="72" t="n"/>
      <c r="F262" s="72" t="n"/>
      <c r="G262" s="89" t="n"/>
      <c r="H262" s="89" t="n"/>
      <c r="I262" s="109" t="n"/>
      <c r="J262" s="126">
        <f>IF(OR(D262="",ProjStart=""),"",MAX(ProjStart,IF(I262&lt;&gt;"",I262,0),IF(H262="",0,IFERROR(INDEX($L$6:L261,MATCH(H262,$B$6:B261,0))+1,0))))</f>
        <v/>
      </c>
      <c r="K262" s="89" t="n"/>
      <c r="L262" s="126">
        <f>IF(J262="","",J262+MAX(1,G262)+IF(K262="",0,K262)-1)</f>
        <v/>
      </c>
      <c r="M262" s="72" t="n"/>
      <c r="N262" s="109" t="n"/>
      <c r="O262" s="127">
        <f>IF(D262="","",COUNTIF($H$7:$H$1006,B262))</f>
        <v/>
      </c>
      <c r="P262" s="78">
        <f>IF(D262="","",IF(AND(H262&lt;&gt;"",H262&gt;=B262),"⚠️ Predecessor must be above",IF(M262="Done","✓ Done",IF(Q262=3,"🔴 Late",IF(M262="In progress","In progress","")))))</f>
        <v/>
      </c>
      <c r="Q262" s="79">
        <f>IF(OR(D262="",L262=""),"",IF(M262="Done",2,IF(AsOf&gt;L262,3,1)))</f>
        <v/>
      </c>
      <c r="R262" s="79">
        <f>IF(OR(E262="",F262=""),0,IF(COUNTIFS($E$7:E262,E262,$F$7:F262,F262)=1,1,0))</f>
        <v/>
      </c>
      <c r="S262" s="79">
        <f>IF(R262=1,E262&amp;"|"&amp;SUMIFS($R$7:R262,$E$7:E262,E262),"")</f>
        <v/>
      </c>
      <c r="T262" s="112">
        <f>IF(Q262="","",IF(Q262=3,L262,IF(OR(M262="Not started",M262=""),J262,"")))</f>
        <v/>
      </c>
      <c r="U262" s="79">
        <f>IF(T262="","",IF(Q262=3,1,IF(T262="","",IF(T262&lt;AsOf,1,IF(T262&lt;=AsOf+AlertDays,2,IF(T262&lt;=AsOf+2*AlertDays,3,""))))))</f>
        <v/>
      </c>
      <c r="V262" s="79">
        <f>IF(U262="","",IF(Q262=3,"Late task: "&amp;D262,IF(T262&lt;AsOf,"Should have started: ","Starts soon: ")&amp;D262)&amp;IF(F262="",""," — "&amp;F262))</f>
        <v/>
      </c>
    </row>
    <row r="263" ht="20" customHeight="1">
      <c r="B263" s="125" t="n">
        <v>257</v>
      </c>
      <c r="C263" s="72" t="n"/>
      <c r="D263" s="72" t="n"/>
      <c r="E263" s="72" t="n"/>
      <c r="F263" s="72" t="n"/>
      <c r="G263" s="89" t="n"/>
      <c r="H263" s="89" t="n"/>
      <c r="I263" s="109" t="n"/>
      <c r="J263" s="126">
        <f>IF(OR(D263="",ProjStart=""),"",MAX(ProjStart,IF(I263&lt;&gt;"",I263,0),IF(H263="",0,IFERROR(INDEX($L$6:L262,MATCH(H263,$B$6:B262,0))+1,0))))</f>
        <v/>
      </c>
      <c r="K263" s="89" t="n"/>
      <c r="L263" s="126">
        <f>IF(J263="","",J263+MAX(1,G263)+IF(K263="",0,K263)-1)</f>
        <v/>
      </c>
      <c r="M263" s="72" t="n"/>
      <c r="N263" s="109" t="n"/>
      <c r="O263" s="127">
        <f>IF(D263="","",COUNTIF($H$7:$H$1006,B263))</f>
        <v/>
      </c>
      <c r="P263" s="78">
        <f>IF(D263="","",IF(AND(H263&lt;&gt;"",H263&gt;=B263),"⚠️ Predecessor must be above",IF(M263="Done","✓ Done",IF(Q263=3,"🔴 Late",IF(M263="In progress","In progress","")))))</f>
        <v/>
      </c>
      <c r="Q263" s="79">
        <f>IF(OR(D263="",L263=""),"",IF(M263="Done",2,IF(AsOf&gt;L263,3,1)))</f>
        <v/>
      </c>
      <c r="R263" s="79">
        <f>IF(OR(E263="",F263=""),0,IF(COUNTIFS($E$7:E263,E263,$F$7:F263,F263)=1,1,0))</f>
        <v/>
      </c>
      <c r="S263" s="79">
        <f>IF(R263=1,E263&amp;"|"&amp;SUMIFS($R$7:R263,$E$7:E263,E263),"")</f>
        <v/>
      </c>
      <c r="T263" s="112">
        <f>IF(Q263="","",IF(Q263=3,L263,IF(OR(M263="Not started",M263=""),J263,"")))</f>
        <v/>
      </c>
      <c r="U263" s="79">
        <f>IF(T263="","",IF(Q263=3,1,IF(T263="","",IF(T263&lt;AsOf,1,IF(T263&lt;=AsOf+AlertDays,2,IF(T263&lt;=AsOf+2*AlertDays,3,""))))))</f>
        <v/>
      </c>
      <c r="V263" s="79">
        <f>IF(U263="","",IF(Q263=3,"Late task: "&amp;D263,IF(T263&lt;AsOf,"Should have started: ","Starts soon: ")&amp;D263)&amp;IF(F263="",""," — "&amp;F263))</f>
        <v/>
      </c>
    </row>
    <row r="264" ht="20" customHeight="1">
      <c r="B264" s="125" t="n">
        <v>258</v>
      </c>
      <c r="C264" s="72" t="n"/>
      <c r="D264" s="72" t="n"/>
      <c r="E264" s="72" t="n"/>
      <c r="F264" s="72" t="n"/>
      <c r="G264" s="89" t="n"/>
      <c r="H264" s="89" t="n"/>
      <c r="I264" s="109" t="n"/>
      <c r="J264" s="126">
        <f>IF(OR(D264="",ProjStart=""),"",MAX(ProjStart,IF(I264&lt;&gt;"",I264,0),IF(H264="",0,IFERROR(INDEX($L$6:L263,MATCH(H264,$B$6:B263,0))+1,0))))</f>
        <v/>
      </c>
      <c r="K264" s="89" t="n"/>
      <c r="L264" s="126">
        <f>IF(J264="","",J264+MAX(1,G264)+IF(K264="",0,K264)-1)</f>
        <v/>
      </c>
      <c r="M264" s="72" t="n"/>
      <c r="N264" s="109" t="n"/>
      <c r="O264" s="127">
        <f>IF(D264="","",COUNTIF($H$7:$H$1006,B264))</f>
        <v/>
      </c>
      <c r="P264" s="78">
        <f>IF(D264="","",IF(AND(H264&lt;&gt;"",H264&gt;=B264),"⚠️ Predecessor must be above",IF(M264="Done","✓ Done",IF(Q264=3,"🔴 Late",IF(M264="In progress","In progress","")))))</f>
        <v/>
      </c>
      <c r="Q264" s="79">
        <f>IF(OR(D264="",L264=""),"",IF(M264="Done",2,IF(AsOf&gt;L264,3,1)))</f>
        <v/>
      </c>
      <c r="R264" s="79">
        <f>IF(OR(E264="",F264=""),0,IF(COUNTIFS($E$7:E264,E264,$F$7:F264,F264)=1,1,0))</f>
        <v/>
      </c>
      <c r="S264" s="79">
        <f>IF(R264=1,E264&amp;"|"&amp;SUMIFS($R$7:R264,$E$7:E264,E264),"")</f>
        <v/>
      </c>
      <c r="T264" s="112">
        <f>IF(Q264="","",IF(Q264=3,L264,IF(OR(M264="Not started",M264=""),J264,"")))</f>
        <v/>
      </c>
      <c r="U264" s="79">
        <f>IF(T264="","",IF(Q264=3,1,IF(T264="","",IF(T264&lt;AsOf,1,IF(T264&lt;=AsOf+AlertDays,2,IF(T264&lt;=AsOf+2*AlertDays,3,""))))))</f>
        <v/>
      </c>
      <c r="V264" s="79">
        <f>IF(U264="","",IF(Q264=3,"Late task: "&amp;D264,IF(T264&lt;AsOf,"Should have started: ","Starts soon: ")&amp;D264)&amp;IF(F264="",""," — "&amp;F264))</f>
        <v/>
      </c>
    </row>
    <row r="265" ht="20" customHeight="1">
      <c r="B265" s="125" t="n">
        <v>259</v>
      </c>
      <c r="C265" s="72" t="n"/>
      <c r="D265" s="72" t="n"/>
      <c r="E265" s="72" t="n"/>
      <c r="F265" s="72" t="n"/>
      <c r="G265" s="89" t="n"/>
      <c r="H265" s="89" t="n"/>
      <c r="I265" s="109" t="n"/>
      <c r="J265" s="126">
        <f>IF(OR(D265="",ProjStart=""),"",MAX(ProjStart,IF(I265&lt;&gt;"",I265,0),IF(H265="",0,IFERROR(INDEX($L$6:L264,MATCH(H265,$B$6:B264,0))+1,0))))</f>
        <v/>
      </c>
      <c r="K265" s="89" t="n"/>
      <c r="L265" s="126">
        <f>IF(J265="","",J265+MAX(1,G265)+IF(K265="",0,K265)-1)</f>
        <v/>
      </c>
      <c r="M265" s="72" t="n"/>
      <c r="N265" s="109" t="n"/>
      <c r="O265" s="127">
        <f>IF(D265="","",COUNTIF($H$7:$H$1006,B265))</f>
        <v/>
      </c>
      <c r="P265" s="78">
        <f>IF(D265="","",IF(AND(H265&lt;&gt;"",H265&gt;=B265),"⚠️ Predecessor must be above",IF(M265="Done","✓ Done",IF(Q265=3,"🔴 Late",IF(M265="In progress","In progress","")))))</f>
        <v/>
      </c>
      <c r="Q265" s="79">
        <f>IF(OR(D265="",L265=""),"",IF(M265="Done",2,IF(AsOf&gt;L265,3,1)))</f>
        <v/>
      </c>
      <c r="R265" s="79">
        <f>IF(OR(E265="",F265=""),0,IF(COUNTIFS($E$7:E265,E265,$F$7:F265,F265)=1,1,0))</f>
        <v/>
      </c>
      <c r="S265" s="79">
        <f>IF(R265=1,E265&amp;"|"&amp;SUMIFS($R$7:R265,$E$7:E265,E265),"")</f>
        <v/>
      </c>
      <c r="T265" s="112">
        <f>IF(Q265="","",IF(Q265=3,L265,IF(OR(M265="Not started",M265=""),J265,"")))</f>
        <v/>
      </c>
      <c r="U265" s="79">
        <f>IF(T265="","",IF(Q265=3,1,IF(T265="","",IF(T265&lt;AsOf,1,IF(T265&lt;=AsOf+AlertDays,2,IF(T265&lt;=AsOf+2*AlertDays,3,""))))))</f>
        <v/>
      </c>
      <c r="V265" s="79">
        <f>IF(U265="","",IF(Q265=3,"Late task: "&amp;D265,IF(T265&lt;AsOf,"Should have started: ","Starts soon: ")&amp;D265)&amp;IF(F265="",""," — "&amp;F265))</f>
        <v/>
      </c>
    </row>
    <row r="266" ht="20" customHeight="1">
      <c r="B266" s="125" t="n">
        <v>260</v>
      </c>
      <c r="C266" s="72" t="n"/>
      <c r="D266" s="72" t="n"/>
      <c r="E266" s="72" t="n"/>
      <c r="F266" s="72" t="n"/>
      <c r="G266" s="89" t="n"/>
      <c r="H266" s="89" t="n"/>
      <c r="I266" s="109" t="n"/>
      <c r="J266" s="126">
        <f>IF(OR(D266="",ProjStart=""),"",MAX(ProjStart,IF(I266&lt;&gt;"",I266,0),IF(H266="",0,IFERROR(INDEX($L$6:L265,MATCH(H266,$B$6:B265,0))+1,0))))</f>
        <v/>
      </c>
      <c r="K266" s="89" t="n"/>
      <c r="L266" s="126">
        <f>IF(J266="","",J266+MAX(1,G266)+IF(K266="",0,K266)-1)</f>
        <v/>
      </c>
      <c r="M266" s="72" t="n"/>
      <c r="N266" s="109" t="n"/>
      <c r="O266" s="127">
        <f>IF(D266="","",COUNTIF($H$7:$H$1006,B266))</f>
        <v/>
      </c>
      <c r="P266" s="78">
        <f>IF(D266="","",IF(AND(H266&lt;&gt;"",H266&gt;=B266),"⚠️ Predecessor must be above",IF(M266="Done","✓ Done",IF(Q266=3,"🔴 Late",IF(M266="In progress","In progress","")))))</f>
        <v/>
      </c>
      <c r="Q266" s="79">
        <f>IF(OR(D266="",L266=""),"",IF(M266="Done",2,IF(AsOf&gt;L266,3,1)))</f>
        <v/>
      </c>
      <c r="R266" s="79">
        <f>IF(OR(E266="",F266=""),0,IF(COUNTIFS($E$7:E266,E266,$F$7:F266,F266)=1,1,0))</f>
        <v/>
      </c>
      <c r="S266" s="79">
        <f>IF(R266=1,E266&amp;"|"&amp;SUMIFS($R$7:R266,$E$7:E266,E266),"")</f>
        <v/>
      </c>
      <c r="T266" s="112">
        <f>IF(Q266="","",IF(Q266=3,L266,IF(OR(M266="Not started",M266=""),J266,"")))</f>
        <v/>
      </c>
      <c r="U266" s="79">
        <f>IF(T266="","",IF(Q266=3,1,IF(T266="","",IF(T266&lt;AsOf,1,IF(T266&lt;=AsOf+AlertDays,2,IF(T266&lt;=AsOf+2*AlertDays,3,""))))))</f>
        <v/>
      </c>
      <c r="V266" s="79">
        <f>IF(U266="","",IF(Q266=3,"Late task: "&amp;D266,IF(T266&lt;AsOf,"Should have started: ","Starts soon: ")&amp;D266)&amp;IF(F266="",""," — "&amp;F266))</f>
        <v/>
      </c>
    </row>
    <row r="267" ht="20" customHeight="1">
      <c r="B267" s="125" t="n">
        <v>261</v>
      </c>
      <c r="C267" s="72" t="n"/>
      <c r="D267" s="72" t="n"/>
      <c r="E267" s="72" t="n"/>
      <c r="F267" s="72" t="n"/>
      <c r="G267" s="89" t="n"/>
      <c r="H267" s="89" t="n"/>
      <c r="I267" s="109" t="n"/>
      <c r="J267" s="126">
        <f>IF(OR(D267="",ProjStart=""),"",MAX(ProjStart,IF(I267&lt;&gt;"",I267,0),IF(H267="",0,IFERROR(INDEX($L$6:L266,MATCH(H267,$B$6:B266,0))+1,0))))</f>
        <v/>
      </c>
      <c r="K267" s="89" t="n"/>
      <c r="L267" s="126">
        <f>IF(J267="","",J267+MAX(1,G267)+IF(K267="",0,K267)-1)</f>
        <v/>
      </c>
      <c r="M267" s="72" t="n"/>
      <c r="N267" s="109" t="n"/>
      <c r="O267" s="127">
        <f>IF(D267="","",COUNTIF($H$7:$H$1006,B267))</f>
        <v/>
      </c>
      <c r="P267" s="78">
        <f>IF(D267="","",IF(AND(H267&lt;&gt;"",H267&gt;=B267),"⚠️ Predecessor must be above",IF(M267="Done","✓ Done",IF(Q267=3,"🔴 Late",IF(M267="In progress","In progress","")))))</f>
        <v/>
      </c>
      <c r="Q267" s="79">
        <f>IF(OR(D267="",L267=""),"",IF(M267="Done",2,IF(AsOf&gt;L267,3,1)))</f>
        <v/>
      </c>
      <c r="R267" s="79">
        <f>IF(OR(E267="",F267=""),0,IF(COUNTIFS($E$7:E267,E267,$F$7:F267,F267)=1,1,0))</f>
        <v/>
      </c>
      <c r="S267" s="79">
        <f>IF(R267=1,E267&amp;"|"&amp;SUMIFS($R$7:R267,$E$7:E267,E267),"")</f>
        <v/>
      </c>
      <c r="T267" s="112">
        <f>IF(Q267="","",IF(Q267=3,L267,IF(OR(M267="Not started",M267=""),J267,"")))</f>
        <v/>
      </c>
      <c r="U267" s="79">
        <f>IF(T267="","",IF(Q267=3,1,IF(T267="","",IF(T267&lt;AsOf,1,IF(T267&lt;=AsOf+AlertDays,2,IF(T267&lt;=AsOf+2*AlertDays,3,""))))))</f>
        <v/>
      </c>
      <c r="V267" s="79">
        <f>IF(U267="","",IF(Q267=3,"Late task: "&amp;D267,IF(T267&lt;AsOf,"Should have started: ","Starts soon: ")&amp;D267)&amp;IF(F267="",""," — "&amp;F267))</f>
        <v/>
      </c>
    </row>
    <row r="268" ht="20" customHeight="1">
      <c r="B268" s="125" t="n">
        <v>262</v>
      </c>
      <c r="C268" s="72" t="n"/>
      <c r="D268" s="72" t="n"/>
      <c r="E268" s="72" t="n"/>
      <c r="F268" s="72" t="n"/>
      <c r="G268" s="89" t="n"/>
      <c r="H268" s="89" t="n"/>
      <c r="I268" s="109" t="n"/>
      <c r="J268" s="126">
        <f>IF(OR(D268="",ProjStart=""),"",MAX(ProjStart,IF(I268&lt;&gt;"",I268,0),IF(H268="",0,IFERROR(INDEX($L$6:L267,MATCH(H268,$B$6:B267,0))+1,0))))</f>
        <v/>
      </c>
      <c r="K268" s="89" t="n"/>
      <c r="L268" s="126">
        <f>IF(J268="","",J268+MAX(1,G268)+IF(K268="",0,K268)-1)</f>
        <v/>
      </c>
      <c r="M268" s="72" t="n"/>
      <c r="N268" s="109" t="n"/>
      <c r="O268" s="127">
        <f>IF(D268="","",COUNTIF($H$7:$H$1006,B268))</f>
        <v/>
      </c>
      <c r="P268" s="78">
        <f>IF(D268="","",IF(AND(H268&lt;&gt;"",H268&gt;=B268),"⚠️ Predecessor must be above",IF(M268="Done","✓ Done",IF(Q268=3,"🔴 Late",IF(M268="In progress","In progress","")))))</f>
        <v/>
      </c>
      <c r="Q268" s="79">
        <f>IF(OR(D268="",L268=""),"",IF(M268="Done",2,IF(AsOf&gt;L268,3,1)))</f>
        <v/>
      </c>
      <c r="R268" s="79">
        <f>IF(OR(E268="",F268=""),0,IF(COUNTIFS($E$7:E268,E268,$F$7:F268,F268)=1,1,0))</f>
        <v/>
      </c>
      <c r="S268" s="79">
        <f>IF(R268=1,E268&amp;"|"&amp;SUMIFS($R$7:R268,$E$7:E268,E268),"")</f>
        <v/>
      </c>
      <c r="T268" s="112">
        <f>IF(Q268="","",IF(Q268=3,L268,IF(OR(M268="Not started",M268=""),J268,"")))</f>
        <v/>
      </c>
      <c r="U268" s="79">
        <f>IF(T268="","",IF(Q268=3,1,IF(T268="","",IF(T268&lt;AsOf,1,IF(T268&lt;=AsOf+AlertDays,2,IF(T268&lt;=AsOf+2*AlertDays,3,""))))))</f>
        <v/>
      </c>
      <c r="V268" s="79">
        <f>IF(U268="","",IF(Q268=3,"Late task: "&amp;D268,IF(T268&lt;AsOf,"Should have started: ","Starts soon: ")&amp;D268)&amp;IF(F268="",""," — "&amp;F268))</f>
        <v/>
      </c>
    </row>
    <row r="269" ht="20" customHeight="1">
      <c r="B269" s="125" t="n">
        <v>263</v>
      </c>
      <c r="C269" s="72" t="n"/>
      <c r="D269" s="72" t="n"/>
      <c r="E269" s="72" t="n"/>
      <c r="F269" s="72" t="n"/>
      <c r="G269" s="89" t="n"/>
      <c r="H269" s="89" t="n"/>
      <c r="I269" s="109" t="n"/>
      <c r="J269" s="126">
        <f>IF(OR(D269="",ProjStart=""),"",MAX(ProjStart,IF(I269&lt;&gt;"",I269,0),IF(H269="",0,IFERROR(INDEX($L$6:L268,MATCH(H269,$B$6:B268,0))+1,0))))</f>
        <v/>
      </c>
      <c r="K269" s="89" t="n"/>
      <c r="L269" s="126">
        <f>IF(J269="","",J269+MAX(1,G269)+IF(K269="",0,K269)-1)</f>
        <v/>
      </c>
      <c r="M269" s="72" t="n"/>
      <c r="N269" s="109" t="n"/>
      <c r="O269" s="127">
        <f>IF(D269="","",COUNTIF($H$7:$H$1006,B269))</f>
        <v/>
      </c>
      <c r="P269" s="78">
        <f>IF(D269="","",IF(AND(H269&lt;&gt;"",H269&gt;=B269),"⚠️ Predecessor must be above",IF(M269="Done","✓ Done",IF(Q269=3,"🔴 Late",IF(M269="In progress","In progress","")))))</f>
        <v/>
      </c>
      <c r="Q269" s="79">
        <f>IF(OR(D269="",L269=""),"",IF(M269="Done",2,IF(AsOf&gt;L269,3,1)))</f>
        <v/>
      </c>
      <c r="R269" s="79">
        <f>IF(OR(E269="",F269=""),0,IF(COUNTIFS($E$7:E269,E269,$F$7:F269,F269)=1,1,0))</f>
        <v/>
      </c>
      <c r="S269" s="79">
        <f>IF(R269=1,E269&amp;"|"&amp;SUMIFS($R$7:R269,$E$7:E269,E269),"")</f>
        <v/>
      </c>
      <c r="T269" s="112">
        <f>IF(Q269="","",IF(Q269=3,L269,IF(OR(M269="Not started",M269=""),J269,"")))</f>
        <v/>
      </c>
      <c r="U269" s="79">
        <f>IF(T269="","",IF(Q269=3,1,IF(T269="","",IF(T269&lt;AsOf,1,IF(T269&lt;=AsOf+AlertDays,2,IF(T269&lt;=AsOf+2*AlertDays,3,""))))))</f>
        <v/>
      </c>
      <c r="V269" s="79">
        <f>IF(U269="","",IF(Q269=3,"Late task: "&amp;D269,IF(T269&lt;AsOf,"Should have started: ","Starts soon: ")&amp;D269)&amp;IF(F269="",""," — "&amp;F269))</f>
        <v/>
      </c>
    </row>
    <row r="270" ht="20" customHeight="1">
      <c r="B270" s="125" t="n">
        <v>264</v>
      </c>
      <c r="C270" s="72" t="n"/>
      <c r="D270" s="72" t="n"/>
      <c r="E270" s="72" t="n"/>
      <c r="F270" s="72" t="n"/>
      <c r="G270" s="89" t="n"/>
      <c r="H270" s="89" t="n"/>
      <c r="I270" s="109" t="n"/>
      <c r="J270" s="126">
        <f>IF(OR(D270="",ProjStart=""),"",MAX(ProjStart,IF(I270&lt;&gt;"",I270,0),IF(H270="",0,IFERROR(INDEX($L$6:L269,MATCH(H270,$B$6:B269,0))+1,0))))</f>
        <v/>
      </c>
      <c r="K270" s="89" t="n"/>
      <c r="L270" s="126">
        <f>IF(J270="","",J270+MAX(1,G270)+IF(K270="",0,K270)-1)</f>
        <v/>
      </c>
      <c r="M270" s="72" t="n"/>
      <c r="N270" s="109" t="n"/>
      <c r="O270" s="127">
        <f>IF(D270="","",COUNTIF($H$7:$H$1006,B270))</f>
        <v/>
      </c>
      <c r="P270" s="78">
        <f>IF(D270="","",IF(AND(H270&lt;&gt;"",H270&gt;=B270),"⚠️ Predecessor must be above",IF(M270="Done","✓ Done",IF(Q270=3,"🔴 Late",IF(M270="In progress","In progress","")))))</f>
        <v/>
      </c>
      <c r="Q270" s="79">
        <f>IF(OR(D270="",L270=""),"",IF(M270="Done",2,IF(AsOf&gt;L270,3,1)))</f>
        <v/>
      </c>
      <c r="R270" s="79">
        <f>IF(OR(E270="",F270=""),0,IF(COUNTIFS($E$7:E270,E270,$F$7:F270,F270)=1,1,0))</f>
        <v/>
      </c>
      <c r="S270" s="79">
        <f>IF(R270=1,E270&amp;"|"&amp;SUMIFS($R$7:R270,$E$7:E270,E270),"")</f>
        <v/>
      </c>
      <c r="T270" s="112">
        <f>IF(Q270="","",IF(Q270=3,L270,IF(OR(M270="Not started",M270=""),J270,"")))</f>
        <v/>
      </c>
      <c r="U270" s="79">
        <f>IF(T270="","",IF(Q270=3,1,IF(T270="","",IF(T270&lt;AsOf,1,IF(T270&lt;=AsOf+AlertDays,2,IF(T270&lt;=AsOf+2*AlertDays,3,""))))))</f>
        <v/>
      </c>
      <c r="V270" s="79">
        <f>IF(U270="","",IF(Q270=3,"Late task: "&amp;D270,IF(T270&lt;AsOf,"Should have started: ","Starts soon: ")&amp;D270)&amp;IF(F270="",""," — "&amp;F270))</f>
        <v/>
      </c>
    </row>
    <row r="271" ht="20" customHeight="1">
      <c r="B271" s="125" t="n">
        <v>265</v>
      </c>
      <c r="C271" s="72" t="n"/>
      <c r="D271" s="72" t="n"/>
      <c r="E271" s="72" t="n"/>
      <c r="F271" s="72" t="n"/>
      <c r="G271" s="89" t="n"/>
      <c r="H271" s="89" t="n"/>
      <c r="I271" s="109" t="n"/>
      <c r="J271" s="126">
        <f>IF(OR(D271="",ProjStart=""),"",MAX(ProjStart,IF(I271&lt;&gt;"",I271,0),IF(H271="",0,IFERROR(INDEX($L$6:L270,MATCH(H271,$B$6:B270,0))+1,0))))</f>
        <v/>
      </c>
      <c r="K271" s="89" t="n"/>
      <c r="L271" s="126">
        <f>IF(J271="","",J271+MAX(1,G271)+IF(K271="",0,K271)-1)</f>
        <v/>
      </c>
      <c r="M271" s="72" t="n"/>
      <c r="N271" s="109" t="n"/>
      <c r="O271" s="127">
        <f>IF(D271="","",COUNTIF($H$7:$H$1006,B271))</f>
        <v/>
      </c>
      <c r="P271" s="78">
        <f>IF(D271="","",IF(AND(H271&lt;&gt;"",H271&gt;=B271),"⚠️ Predecessor must be above",IF(M271="Done","✓ Done",IF(Q271=3,"🔴 Late",IF(M271="In progress","In progress","")))))</f>
        <v/>
      </c>
      <c r="Q271" s="79">
        <f>IF(OR(D271="",L271=""),"",IF(M271="Done",2,IF(AsOf&gt;L271,3,1)))</f>
        <v/>
      </c>
      <c r="R271" s="79">
        <f>IF(OR(E271="",F271=""),0,IF(COUNTIFS($E$7:E271,E271,$F$7:F271,F271)=1,1,0))</f>
        <v/>
      </c>
      <c r="S271" s="79">
        <f>IF(R271=1,E271&amp;"|"&amp;SUMIFS($R$7:R271,$E$7:E271,E271),"")</f>
        <v/>
      </c>
      <c r="T271" s="112">
        <f>IF(Q271="","",IF(Q271=3,L271,IF(OR(M271="Not started",M271=""),J271,"")))</f>
        <v/>
      </c>
      <c r="U271" s="79">
        <f>IF(T271="","",IF(Q271=3,1,IF(T271="","",IF(T271&lt;AsOf,1,IF(T271&lt;=AsOf+AlertDays,2,IF(T271&lt;=AsOf+2*AlertDays,3,""))))))</f>
        <v/>
      </c>
      <c r="V271" s="79">
        <f>IF(U271="","",IF(Q271=3,"Late task: "&amp;D271,IF(T271&lt;AsOf,"Should have started: ","Starts soon: ")&amp;D271)&amp;IF(F271="",""," — "&amp;F271))</f>
        <v/>
      </c>
    </row>
    <row r="272" ht="20" customHeight="1">
      <c r="B272" s="125" t="n">
        <v>266</v>
      </c>
      <c r="C272" s="72" t="n"/>
      <c r="D272" s="72" t="n"/>
      <c r="E272" s="72" t="n"/>
      <c r="F272" s="72" t="n"/>
      <c r="G272" s="89" t="n"/>
      <c r="H272" s="89" t="n"/>
      <c r="I272" s="109" t="n"/>
      <c r="J272" s="126">
        <f>IF(OR(D272="",ProjStart=""),"",MAX(ProjStart,IF(I272&lt;&gt;"",I272,0),IF(H272="",0,IFERROR(INDEX($L$6:L271,MATCH(H272,$B$6:B271,0))+1,0))))</f>
        <v/>
      </c>
      <c r="K272" s="89" t="n"/>
      <c r="L272" s="126">
        <f>IF(J272="","",J272+MAX(1,G272)+IF(K272="",0,K272)-1)</f>
        <v/>
      </c>
      <c r="M272" s="72" t="n"/>
      <c r="N272" s="109" t="n"/>
      <c r="O272" s="127">
        <f>IF(D272="","",COUNTIF($H$7:$H$1006,B272))</f>
        <v/>
      </c>
      <c r="P272" s="78">
        <f>IF(D272="","",IF(AND(H272&lt;&gt;"",H272&gt;=B272),"⚠️ Predecessor must be above",IF(M272="Done","✓ Done",IF(Q272=3,"🔴 Late",IF(M272="In progress","In progress","")))))</f>
        <v/>
      </c>
      <c r="Q272" s="79">
        <f>IF(OR(D272="",L272=""),"",IF(M272="Done",2,IF(AsOf&gt;L272,3,1)))</f>
        <v/>
      </c>
      <c r="R272" s="79">
        <f>IF(OR(E272="",F272=""),0,IF(COUNTIFS($E$7:E272,E272,$F$7:F272,F272)=1,1,0))</f>
        <v/>
      </c>
      <c r="S272" s="79">
        <f>IF(R272=1,E272&amp;"|"&amp;SUMIFS($R$7:R272,$E$7:E272,E272),"")</f>
        <v/>
      </c>
      <c r="T272" s="112">
        <f>IF(Q272="","",IF(Q272=3,L272,IF(OR(M272="Not started",M272=""),J272,"")))</f>
        <v/>
      </c>
      <c r="U272" s="79">
        <f>IF(T272="","",IF(Q272=3,1,IF(T272="","",IF(T272&lt;AsOf,1,IF(T272&lt;=AsOf+AlertDays,2,IF(T272&lt;=AsOf+2*AlertDays,3,""))))))</f>
        <v/>
      </c>
      <c r="V272" s="79">
        <f>IF(U272="","",IF(Q272=3,"Late task: "&amp;D272,IF(T272&lt;AsOf,"Should have started: ","Starts soon: ")&amp;D272)&amp;IF(F272="",""," — "&amp;F272))</f>
        <v/>
      </c>
    </row>
    <row r="273" ht="20" customHeight="1">
      <c r="B273" s="125" t="n">
        <v>267</v>
      </c>
      <c r="C273" s="72" t="n"/>
      <c r="D273" s="72" t="n"/>
      <c r="E273" s="72" t="n"/>
      <c r="F273" s="72" t="n"/>
      <c r="G273" s="89" t="n"/>
      <c r="H273" s="89" t="n"/>
      <c r="I273" s="109" t="n"/>
      <c r="J273" s="126">
        <f>IF(OR(D273="",ProjStart=""),"",MAX(ProjStart,IF(I273&lt;&gt;"",I273,0),IF(H273="",0,IFERROR(INDEX($L$6:L272,MATCH(H273,$B$6:B272,0))+1,0))))</f>
        <v/>
      </c>
      <c r="K273" s="89" t="n"/>
      <c r="L273" s="126">
        <f>IF(J273="","",J273+MAX(1,G273)+IF(K273="",0,K273)-1)</f>
        <v/>
      </c>
      <c r="M273" s="72" t="n"/>
      <c r="N273" s="109" t="n"/>
      <c r="O273" s="127">
        <f>IF(D273="","",COUNTIF($H$7:$H$1006,B273))</f>
        <v/>
      </c>
      <c r="P273" s="78">
        <f>IF(D273="","",IF(AND(H273&lt;&gt;"",H273&gt;=B273),"⚠️ Predecessor must be above",IF(M273="Done","✓ Done",IF(Q273=3,"🔴 Late",IF(M273="In progress","In progress","")))))</f>
        <v/>
      </c>
      <c r="Q273" s="79">
        <f>IF(OR(D273="",L273=""),"",IF(M273="Done",2,IF(AsOf&gt;L273,3,1)))</f>
        <v/>
      </c>
      <c r="R273" s="79">
        <f>IF(OR(E273="",F273=""),0,IF(COUNTIFS($E$7:E273,E273,$F$7:F273,F273)=1,1,0))</f>
        <v/>
      </c>
      <c r="S273" s="79">
        <f>IF(R273=1,E273&amp;"|"&amp;SUMIFS($R$7:R273,$E$7:E273,E273),"")</f>
        <v/>
      </c>
      <c r="T273" s="112">
        <f>IF(Q273="","",IF(Q273=3,L273,IF(OR(M273="Not started",M273=""),J273,"")))</f>
        <v/>
      </c>
      <c r="U273" s="79">
        <f>IF(T273="","",IF(Q273=3,1,IF(T273="","",IF(T273&lt;AsOf,1,IF(T273&lt;=AsOf+AlertDays,2,IF(T273&lt;=AsOf+2*AlertDays,3,""))))))</f>
        <v/>
      </c>
      <c r="V273" s="79">
        <f>IF(U273="","",IF(Q273=3,"Late task: "&amp;D273,IF(T273&lt;AsOf,"Should have started: ","Starts soon: ")&amp;D273)&amp;IF(F273="",""," — "&amp;F273))</f>
        <v/>
      </c>
    </row>
    <row r="274" ht="20" customHeight="1">
      <c r="B274" s="125" t="n">
        <v>268</v>
      </c>
      <c r="C274" s="72" t="n"/>
      <c r="D274" s="72" t="n"/>
      <c r="E274" s="72" t="n"/>
      <c r="F274" s="72" t="n"/>
      <c r="G274" s="89" t="n"/>
      <c r="H274" s="89" t="n"/>
      <c r="I274" s="109" t="n"/>
      <c r="J274" s="126">
        <f>IF(OR(D274="",ProjStart=""),"",MAX(ProjStart,IF(I274&lt;&gt;"",I274,0),IF(H274="",0,IFERROR(INDEX($L$6:L273,MATCH(H274,$B$6:B273,0))+1,0))))</f>
        <v/>
      </c>
      <c r="K274" s="89" t="n"/>
      <c r="L274" s="126">
        <f>IF(J274="","",J274+MAX(1,G274)+IF(K274="",0,K274)-1)</f>
        <v/>
      </c>
      <c r="M274" s="72" t="n"/>
      <c r="N274" s="109" t="n"/>
      <c r="O274" s="127">
        <f>IF(D274="","",COUNTIF($H$7:$H$1006,B274))</f>
        <v/>
      </c>
      <c r="P274" s="78">
        <f>IF(D274="","",IF(AND(H274&lt;&gt;"",H274&gt;=B274),"⚠️ Predecessor must be above",IF(M274="Done","✓ Done",IF(Q274=3,"🔴 Late",IF(M274="In progress","In progress","")))))</f>
        <v/>
      </c>
      <c r="Q274" s="79">
        <f>IF(OR(D274="",L274=""),"",IF(M274="Done",2,IF(AsOf&gt;L274,3,1)))</f>
        <v/>
      </c>
      <c r="R274" s="79">
        <f>IF(OR(E274="",F274=""),0,IF(COUNTIFS($E$7:E274,E274,$F$7:F274,F274)=1,1,0))</f>
        <v/>
      </c>
      <c r="S274" s="79">
        <f>IF(R274=1,E274&amp;"|"&amp;SUMIFS($R$7:R274,$E$7:E274,E274),"")</f>
        <v/>
      </c>
      <c r="T274" s="112">
        <f>IF(Q274="","",IF(Q274=3,L274,IF(OR(M274="Not started",M274=""),J274,"")))</f>
        <v/>
      </c>
      <c r="U274" s="79">
        <f>IF(T274="","",IF(Q274=3,1,IF(T274="","",IF(T274&lt;AsOf,1,IF(T274&lt;=AsOf+AlertDays,2,IF(T274&lt;=AsOf+2*AlertDays,3,""))))))</f>
        <v/>
      </c>
      <c r="V274" s="79">
        <f>IF(U274="","",IF(Q274=3,"Late task: "&amp;D274,IF(T274&lt;AsOf,"Should have started: ","Starts soon: ")&amp;D274)&amp;IF(F274="",""," — "&amp;F274))</f>
        <v/>
      </c>
    </row>
    <row r="275" ht="20" customHeight="1">
      <c r="B275" s="125" t="n">
        <v>269</v>
      </c>
      <c r="C275" s="72" t="n"/>
      <c r="D275" s="72" t="n"/>
      <c r="E275" s="72" t="n"/>
      <c r="F275" s="72" t="n"/>
      <c r="G275" s="89" t="n"/>
      <c r="H275" s="89" t="n"/>
      <c r="I275" s="109" t="n"/>
      <c r="J275" s="126">
        <f>IF(OR(D275="",ProjStart=""),"",MAX(ProjStart,IF(I275&lt;&gt;"",I275,0),IF(H275="",0,IFERROR(INDEX($L$6:L274,MATCH(H275,$B$6:B274,0))+1,0))))</f>
        <v/>
      </c>
      <c r="K275" s="89" t="n"/>
      <c r="L275" s="126">
        <f>IF(J275="","",J275+MAX(1,G275)+IF(K275="",0,K275)-1)</f>
        <v/>
      </c>
      <c r="M275" s="72" t="n"/>
      <c r="N275" s="109" t="n"/>
      <c r="O275" s="127">
        <f>IF(D275="","",COUNTIF($H$7:$H$1006,B275))</f>
        <v/>
      </c>
      <c r="P275" s="78">
        <f>IF(D275="","",IF(AND(H275&lt;&gt;"",H275&gt;=B275),"⚠️ Predecessor must be above",IF(M275="Done","✓ Done",IF(Q275=3,"🔴 Late",IF(M275="In progress","In progress","")))))</f>
        <v/>
      </c>
      <c r="Q275" s="79">
        <f>IF(OR(D275="",L275=""),"",IF(M275="Done",2,IF(AsOf&gt;L275,3,1)))</f>
        <v/>
      </c>
      <c r="R275" s="79">
        <f>IF(OR(E275="",F275=""),0,IF(COUNTIFS($E$7:E275,E275,$F$7:F275,F275)=1,1,0))</f>
        <v/>
      </c>
      <c r="S275" s="79">
        <f>IF(R275=1,E275&amp;"|"&amp;SUMIFS($R$7:R275,$E$7:E275,E275),"")</f>
        <v/>
      </c>
      <c r="T275" s="112">
        <f>IF(Q275="","",IF(Q275=3,L275,IF(OR(M275="Not started",M275=""),J275,"")))</f>
        <v/>
      </c>
      <c r="U275" s="79">
        <f>IF(T275="","",IF(Q275=3,1,IF(T275="","",IF(T275&lt;AsOf,1,IF(T275&lt;=AsOf+AlertDays,2,IF(T275&lt;=AsOf+2*AlertDays,3,""))))))</f>
        <v/>
      </c>
      <c r="V275" s="79">
        <f>IF(U275="","",IF(Q275=3,"Late task: "&amp;D275,IF(T275&lt;AsOf,"Should have started: ","Starts soon: ")&amp;D275)&amp;IF(F275="",""," — "&amp;F275))</f>
        <v/>
      </c>
    </row>
    <row r="276" ht="20" customHeight="1">
      <c r="B276" s="125" t="n">
        <v>270</v>
      </c>
      <c r="C276" s="72" t="n"/>
      <c r="D276" s="72" t="n"/>
      <c r="E276" s="72" t="n"/>
      <c r="F276" s="72" t="n"/>
      <c r="G276" s="89" t="n"/>
      <c r="H276" s="89" t="n"/>
      <c r="I276" s="109" t="n"/>
      <c r="J276" s="126">
        <f>IF(OR(D276="",ProjStart=""),"",MAX(ProjStart,IF(I276&lt;&gt;"",I276,0),IF(H276="",0,IFERROR(INDEX($L$6:L275,MATCH(H276,$B$6:B275,0))+1,0))))</f>
        <v/>
      </c>
      <c r="K276" s="89" t="n"/>
      <c r="L276" s="126">
        <f>IF(J276="","",J276+MAX(1,G276)+IF(K276="",0,K276)-1)</f>
        <v/>
      </c>
      <c r="M276" s="72" t="n"/>
      <c r="N276" s="109" t="n"/>
      <c r="O276" s="127">
        <f>IF(D276="","",COUNTIF($H$7:$H$1006,B276))</f>
        <v/>
      </c>
      <c r="P276" s="78">
        <f>IF(D276="","",IF(AND(H276&lt;&gt;"",H276&gt;=B276),"⚠️ Predecessor must be above",IF(M276="Done","✓ Done",IF(Q276=3,"🔴 Late",IF(M276="In progress","In progress","")))))</f>
        <v/>
      </c>
      <c r="Q276" s="79">
        <f>IF(OR(D276="",L276=""),"",IF(M276="Done",2,IF(AsOf&gt;L276,3,1)))</f>
        <v/>
      </c>
      <c r="R276" s="79">
        <f>IF(OR(E276="",F276=""),0,IF(COUNTIFS($E$7:E276,E276,$F$7:F276,F276)=1,1,0))</f>
        <v/>
      </c>
      <c r="S276" s="79">
        <f>IF(R276=1,E276&amp;"|"&amp;SUMIFS($R$7:R276,$E$7:E276,E276),"")</f>
        <v/>
      </c>
      <c r="T276" s="112">
        <f>IF(Q276="","",IF(Q276=3,L276,IF(OR(M276="Not started",M276=""),J276,"")))</f>
        <v/>
      </c>
      <c r="U276" s="79">
        <f>IF(T276="","",IF(Q276=3,1,IF(T276="","",IF(T276&lt;AsOf,1,IF(T276&lt;=AsOf+AlertDays,2,IF(T276&lt;=AsOf+2*AlertDays,3,""))))))</f>
        <v/>
      </c>
      <c r="V276" s="79">
        <f>IF(U276="","",IF(Q276=3,"Late task: "&amp;D276,IF(T276&lt;AsOf,"Should have started: ","Starts soon: ")&amp;D276)&amp;IF(F276="",""," — "&amp;F276))</f>
        <v/>
      </c>
    </row>
    <row r="277" ht="20" customHeight="1">
      <c r="B277" s="125" t="n">
        <v>271</v>
      </c>
      <c r="C277" s="72" t="n"/>
      <c r="D277" s="72" t="n"/>
      <c r="E277" s="72" t="n"/>
      <c r="F277" s="72" t="n"/>
      <c r="G277" s="89" t="n"/>
      <c r="H277" s="89" t="n"/>
      <c r="I277" s="109" t="n"/>
      <c r="J277" s="126">
        <f>IF(OR(D277="",ProjStart=""),"",MAX(ProjStart,IF(I277&lt;&gt;"",I277,0),IF(H277="",0,IFERROR(INDEX($L$6:L276,MATCH(H277,$B$6:B276,0))+1,0))))</f>
        <v/>
      </c>
      <c r="K277" s="89" t="n"/>
      <c r="L277" s="126">
        <f>IF(J277="","",J277+MAX(1,G277)+IF(K277="",0,K277)-1)</f>
        <v/>
      </c>
      <c r="M277" s="72" t="n"/>
      <c r="N277" s="109" t="n"/>
      <c r="O277" s="127">
        <f>IF(D277="","",COUNTIF($H$7:$H$1006,B277))</f>
        <v/>
      </c>
      <c r="P277" s="78">
        <f>IF(D277="","",IF(AND(H277&lt;&gt;"",H277&gt;=B277),"⚠️ Predecessor must be above",IF(M277="Done","✓ Done",IF(Q277=3,"🔴 Late",IF(M277="In progress","In progress","")))))</f>
        <v/>
      </c>
      <c r="Q277" s="79">
        <f>IF(OR(D277="",L277=""),"",IF(M277="Done",2,IF(AsOf&gt;L277,3,1)))</f>
        <v/>
      </c>
      <c r="R277" s="79">
        <f>IF(OR(E277="",F277=""),0,IF(COUNTIFS($E$7:E277,E277,$F$7:F277,F277)=1,1,0))</f>
        <v/>
      </c>
      <c r="S277" s="79">
        <f>IF(R277=1,E277&amp;"|"&amp;SUMIFS($R$7:R277,$E$7:E277,E277),"")</f>
        <v/>
      </c>
      <c r="T277" s="112">
        <f>IF(Q277="","",IF(Q277=3,L277,IF(OR(M277="Not started",M277=""),J277,"")))</f>
        <v/>
      </c>
      <c r="U277" s="79">
        <f>IF(T277="","",IF(Q277=3,1,IF(T277="","",IF(T277&lt;AsOf,1,IF(T277&lt;=AsOf+AlertDays,2,IF(T277&lt;=AsOf+2*AlertDays,3,""))))))</f>
        <v/>
      </c>
      <c r="V277" s="79">
        <f>IF(U277="","",IF(Q277=3,"Late task: "&amp;D277,IF(T277&lt;AsOf,"Should have started: ","Starts soon: ")&amp;D277)&amp;IF(F277="",""," — "&amp;F277))</f>
        <v/>
      </c>
    </row>
    <row r="278" ht="20" customHeight="1">
      <c r="B278" s="125" t="n">
        <v>272</v>
      </c>
      <c r="C278" s="72" t="n"/>
      <c r="D278" s="72" t="n"/>
      <c r="E278" s="72" t="n"/>
      <c r="F278" s="72" t="n"/>
      <c r="G278" s="89" t="n"/>
      <c r="H278" s="89" t="n"/>
      <c r="I278" s="109" t="n"/>
      <c r="J278" s="126">
        <f>IF(OR(D278="",ProjStart=""),"",MAX(ProjStart,IF(I278&lt;&gt;"",I278,0),IF(H278="",0,IFERROR(INDEX($L$6:L277,MATCH(H278,$B$6:B277,0))+1,0))))</f>
        <v/>
      </c>
      <c r="K278" s="89" t="n"/>
      <c r="L278" s="126">
        <f>IF(J278="","",J278+MAX(1,G278)+IF(K278="",0,K278)-1)</f>
        <v/>
      </c>
      <c r="M278" s="72" t="n"/>
      <c r="N278" s="109" t="n"/>
      <c r="O278" s="127">
        <f>IF(D278="","",COUNTIF($H$7:$H$1006,B278))</f>
        <v/>
      </c>
      <c r="P278" s="78">
        <f>IF(D278="","",IF(AND(H278&lt;&gt;"",H278&gt;=B278),"⚠️ Predecessor must be above",IF(M278="Done","✓ Done",IF(Q278=3,"🔴 Late",IF(M278="In progress","In progress","")))))</f>
        <v/>
      </c>
      <c r="Q278" s="79">
        <f>IF(OR(D278="",L278=""),"",IF(M278="Done",2,IF(AsOf&gt;L278,3,1)))</f>
        <v/>
      </c>
      <c r="R278" s="79">
        <f>IF(OR(E278="",F278=""),0,IF(COUNTIFS($E$7:E278,E278,$F$7:F278,F278)=1,1,0))</f>
        <v/>
      </c>
      <c r="S278" s="79">
        <f>IF(R278=1,E278&amp;"|"&amp;SUMIFS($R$7:R278,$E$7:E278,E278),"")</f>
        <v/>
      </c>
      <c r="T278" s="112">
        <f>IF(Q278="","",IF(Q278=3,L278,IF(OR(M278="Not started",M278=""),J278,"")))</f>
        <v/>
      </c>
      <c r="U278" s="79">
        <f>IF(T278="","",IF(Q278=3,1,IF(T278="","",IF(T278&lt;AsOf,1,IF(T278&lt;=AsOf+AlertDays,2,IF(T278&lt;=AsOf+2*AlertDays,3,""))))))</f>
        <v/>
      </c>
      <c r="V278" s="79">
        <f>IF(U278="","",IF(Q278=3,"Late task: "&amp;D278,IF(T278&lt;AsOf,"Should have started: ","Starts soon: ")&amp;D278)&amp;IF(F278="",""," — "&amp;F278))</f>
        <v/>
      </c>
    </row>
    <row r="279" ht="20" customHeight="1">
      <c r="B279" s="125" t="n">
        <v>273</v>
      </c>
      <c r="C279" s="72" t="n"/>
      <c r="D279" s="72" t="n"/>
      <c r="E279" s="72" t="n"/>
      <c r="F279" s="72" t="n"/>
      <c r="G279" s="89" t="n"/>
      <c r="H279" s="89" t="n"/>
      <c r="I279" s="109" t="n"/>
      <c r="J279" s="126">
        <f>IF(OR(D279="",ProjStart=""),"",MAX(ProjStart,IF(I279&lt;&gt;"",I279,0),IF(H279="",0,IFERROR(INDEX($L$6:L278,MATCH(H279,$B$6:B278,0))+1,0))))</f>
        <v/>
      </c>
      <c r="K279" s="89" t="n"/>
      <c r="L279" s="126">
        <f>IF(J279="","",J279+MAX(1,G279)+IF(K279="",0,K279)-1)</f>
        <v/>
      </c>
      <c r="M279" s="72" t="n"/>
      <c r="N279" s="109" t="n"/>
      <c r="O279" s="127">
        <f>IF(D279="","",COUNTIF($H$7:$H$1006,B279))</f>
        <v/>
      </c>
      <c r="P279" s="78">
        <f>IF(D279="","",IF(AND(H279&lt;&gt;"",H279&gt;=B279),"⚠️ Predecessor must be above",IF(M279="Done","✓ Done",IF(Q279=3,"🔴 Late",IF(M279="In progress","In progress","")))))</f>
        <v/>
      </c>
      <c r="Q279" s="79">
        <f>IF(OR(D279="",L279=""),"",IF(M279="Done",2,IF(AsOf&gt;L279,3,1)))</f>
        <v/>
      </c>
      <c r="R279" s="79">
        <f>IF(OR(E279="",F279=""),0,IF(COUNTIFS($E$7:E279,E279,$F$7:F279,F279)=1,1,0))</f>
        <v/>
      </c>
      <c r="S279" s="79">
        <f>IF(R279=1,E279&amp;"|"&amp;SUMIFS($R$7:R279,$E$7:E279,E279),"")</f>
        <v/>
      </c>
      <c r="T279" s="112">
        <f>IF(Q279="","",IF(Q279=3,L279,IF(OR(M279="Not started",M279=""),J279,"")))</f>
        <v/>
      </c>
      <c r="U279" s="79">
        <f>IF(T279="","",IF(Q279=3,1,IF(T279="","",IF(T279&lt;AsOf,1,IF(T279&lt;=AsOf+AlertDays,2,IF(T279&lt;=AsOf+2*AlertDays,3,""))))))</f>
        <v/>
      </c>
      <c r="V279" s="79">
        <f>IF(U279="","",IF(Q279=3,"Late task: "&amp;D279,IF(T279&lt;AsOf,"Should have started: ","Starts soon: ")&amp;D279)&amp;IF(F279="",""," — "&amp;F279))</f>
        <v/>
      </c>
    </row>
    <row r="280" ht="20" customHeight="1">
      <c r="B280" s="125" t="n">
        <v>274</v>
      </c>
      <c r="C280" s="72" t="n"/>
      <c r="D280" s="72" t="n"/>
      <c r="E280" s="72" t="n"/>
      <c r="F280" s="72" t="n"/>
      <c r="G280" s="89" t="n"/>
      <c r="H280" s="89" t="n"/>
      <c r="I280" s="109" t="n"/>
      <c r="J280" s="126">
        <f>IF(OR(D280="",ProjStart=""),"",MAX(ProjStart,IF(I280&lt;&gt;"",I280,0),IF(H280="",0,IFERROR(INDEX($L$6:L279,MATCH(H280,$B$6:B279,0))+1,0))))</f>
        <v/>
      </c>
      <c r="K280" s="89" t="n"/>
      <c r="L280" s="126">
        <f>IF(J280="","",J280+MAX(1,G280)+IF(K280="",0,K280)-1)</f>
        <v/>
      </c>
      <c r="M280" s="72" t="n"/>
      <c r="N280" s="109" t="n"/>
      <c r="O280" s="127">
        <f>IF(D280="","",COUNTIF($H$7:$H$1006,B280))</f>
        <v/>
      </c>
      <c r="P280" s="78">
        <f>IF(D280="","",IF(AND(H280&lt;&gt;"",H280&gt;=B280),"⚠️ Predecessor must be above",IF(M280="Done","✓ Done",IF(Q280=3,"🔴 Late",IF(M280="In progress","In progress","")))))</f>
        <v/>
      </c>
      <c r="Q280" s="79">
        <f>IF(OR(D280="",L280=""),"",IF(M280="Done",2,IF(AsOf&gt;L280,3,1)))</f>
        <v/>
      </c>
      <c r="R280" s="79">
        <f>IF(OR(E280="",F280=""),0,IF(COUNTIFS($E$7:E280,E280,$F$7:F280,F280)=1,1,0))</f>
        <v/>
      </c>
      <c r="S280" s="79">
        <f>IF(R280=1,E280&amp;"|"&amp;SUMIFS($R$7:R280,$E$7:E280,E280),"")</f>
        <v/>
      </c>
      <c r="T280" s="112">
        <f>IF(Q280="","",IF(Q280=3,L280,IF(OR(M280="Not started",M280=""),J280,"")))</f>
        <v/>
      </c>
      <c r="U280" s="79">
        <f>IF(T280="","",IF(Q280=3,1,IF(T280="","",IF(T280&lt;AsOf,1,IF(T280&lt;=AsOf+AlertDays,2,IF(T280&lt;=AsOf+2*AlertDays,3,""))))))</f>
        <v/>
      </c>
      <c r="V280" s="79">
        <f>IF(U280="","",IF(Q280=3,"Late task: "&amp;D280,IF(T280&lt;AsOf,"Should have started: ","Starts soon: ")&amp;D280)&amp;IF(F280="",""," — "&amp;F280))</f>
        <v/>
      </c>
    </row>
    <row r="281" ht="20" customHeight="1">
      <c r="B281" s="125" t="n">
        <v>275</v>
      </c>
      <c r="C281" s="72" t="n"/>
      <c r="D281" s="72" t="n"/>
      <c r="E281" s="72" t="n"/>
      <c r="F281" s="72" t="n"/>
      <c r="G281" s="89" t="n"/>
      <c r="H281" s="89" t="n"/>
      <c r="I281" s="109" t="n"/>
      <c r="J281" s="126">
        <f>IF(OR(D281="",ProjStart=""),"",MAX(ProjStart,IF(I281&lt;&gt;"",I281,0),IF(H281="",0,IFERROR(INDEX($L$6:L280,MATCH(H281,$B$6:B280,0))+1,0))))</f>
        <v/>
      </c>
      <c r="K281" s="89" t="n"/>
      <c r="L281" s="126">
        <f>IF(J281="","",J281+MAX(1,G281)+IF(K281="",0,K281)-1)</f>
        <v/>
      </c>
      <c r="M281" s="72" t="n"/>
      <c r="N281" s="109" t="n"/>
      <c r="O281" s="127">
        <f>IF(D281="","",COUNTIF($H$7:$H$1006,B281))</f>
        <v/>
      </c>
      <c r="P281" s="78">
        <f>IF(D281="","",IF(AND(H281&lt;&gt;"",H281&gt;=B281),"⚠️ Predecessor must be above",IF(M281="Done","✓ Done",IF(Q281=3,"🔴 Late",IF(M281="In progress","In progress","")))))</f>
        <v/>
      </c>
      <c r="Q281" s="79">
        <f>IF(OR(D281="",L281=""),"",IF(M281="Done",2,IF(AsOf&gt;L281,3,1)))</f>
        <v/>
      </c>
      <c r="R281" s="79">
        <f>IF(OR(E281="",F281=""),0,IF(COUNTIFS($E$7:E281,E281,$F$7:F281,F281)=1,1,0))</f>
        <v/>
      </c>
      <c r="S281" s="79">
        <f>IF(R281=1,E281&amp;"|"&amp;SUMIFS($R$7:R281,$E$7:E281,E281),"")</f>
        <v/>
      </c>
      <c r="T281" s="112">
        <f>IF(Q281="","",IF(Q281=3,L281,IF(OR(M281="Not started",M281=""),J281,"")))</f>
        <v/>
      </c>
      <c r="U281" s="79">
        <f>IF(T281="","",IF(Q281=3,1,IF(T281="","",IF(T281&lt;AsOf,1,IF(T281&lt;=AsOf+AlertDays,2,IF(T281&lt;=AsOf+2*AlertDays,3,""))))))</f>
        <v/>
      </c>
      <c r="V281" s="79">
        <f>IF(U281="","",IF(Q281=3,"Late task: "&amp;D281,IF(T281&lt;AsOf,"Should have started: ","Starts soon: ")&amp;D281)&amp;IF(F281="",""," — "&amp;F281))</f>
        <v/>
      </c>
    </row>
    <row r="282" ht="20" customHeight="1">
      <c r="B282" s="125" t="n">
        <v>276</v>
      </c>
      <c r="C282" s="72" t="n"/>
      <c r="D282" s="72" t="n"/>
      <c r="E282" s="72" t="n"/>
      <c r="F282" s="72" t="n"/>
      <c r="G282" s="89" t="n"/>
      <c r="H282" s="89" t="n"/>
      <c r="I282" s="109" t="n"/>
      <c r="J282" s="126">
        <f>IF(OR(D282="",ProjStart=""),"",MAX(ProjStart,IF(I282&lt;&gt;"",I282,0),IF(H282="",0,IFERROR(INDEX($L$6:L281,MATCH(H282,$B$6:B281,0))+1,0))))</f>
        <v/>
      </c>
      <c r="K282" s="89" t="n"/>
      <c r="L282" s="126">
        <f>IF(J282="","",J282+MAX(1,G282)+IF(K282="",0,K282)-1)</f>
        <v/>
      </c>
      <c r="M282" s="72" t="n"/>
      <c r="N282" s="109" t="n"/>
      <c r="O282" s="127">
        <f>IF(D282="","",COUNTIF($H$7:$H$1006,B282))</f>
        <v/>
      </c>
      <c r="P282" s="78">
        <f>IF(D282="","",IF(AND(H282&lt;&gt;"",H282&gt;=B282),"⚠️ Predecessor must be above",IF(M282="Done","✓ Done",IF(Q282=3,"🔴 Late",IF(M282="In progress","In progress","")))))</f>
        <v/>
      </c>
      <c r="Q282" s="79">
        <f>IF(OR(D282="",L282=""),"",IF(M282="Done",2,IF(AsOf&gt;L282,3,1)))</f>
        <v/>
      </c>
      <c r="R282" s="79">
        <f>IF(OR(E282="",F282=""),0,IF(COUNTIFS($E$7:E282,E282,$F$7:F282,F282)=1,1,0))</f>
        <v/>
      </c>
      <c r="S282" s="79">
        <f>IF(R282=1,E282&amp;"|"&amp;SUMIFS($R$7:R282,$E$7:E282,E282),"")</f>
        <v/>
      </c>
      <c r="T282" s="112">
        <f>IF(Q282="","",IF(Q282=3,L282,IF(OR(M282="Not started",M282=""),J282,"")))</f>
        <v/>
      </c>
      <c r="U282" s="79">
        <f>IF(T282="","",IF(Q282=3,1,IF(T282="","",IF(T282&lt;AsOf,1,IF(T282&lt;=AsOf+AlertDays,2,IF(T282&lt;=AsOf+2*AlertDays,3,""))))))</f>
        <v/>
      </c>
      <c r="V282" s="79">
        <f>IF(U282="","",IF(Q282=3,"Late task: "&amp;D282,IF(T282&lt;AsOf,"Should have started: ","Starts soon: ")&amp;D282)&amp;IF(F282="",""," — "&amp;F282))</f>
        <v/>
      </c>
    </row>
    <row r="283" ht="20" customHeight="1">
      <c r="B283" s="125" t="n">
        <v>277</v>
      </c>
      <c r="C283" s="72" t="n"/>
      <c r="D283" s="72" t="n"/>
      <c r="E283" s="72" t="n"/>
      <c r="F283" s="72" t="n"/>
      <c r="G283" s="89" t="n"/>
      <c r="H283" s="89" t="n"/>
      <c r="I283" s="109" t="n"/>
      <c r="J283" s="126">
        <f>IF(OR(D283="",ProjStart=""),"",MAX(ProjStart,IF(I283&lt;&gt;"",I283,0),IF(H283="",0,IFERROR(INDEX($L$6:L282,MATCH(H283,$B$6:B282,0))+1,0))))</f>
        <v/>
      </c>
      <c r="K283" s="89" t="n"/>
      <c r="L283" s="126">
        <f>IF(J283="","",J283+MAX(1,G283)+IF(K283="",0,K283)-1)</f>
        <v/>
      </c>
      <c r="M283" s="72" t="n"/>
      <c r="N283" s="109" t="n"/>
      <c r="O283" s="127">
        <f>IF(D283="","",COUNTIF($H$7:$H$1006,B283))</f>
        <v/>
      </c>
      <c r="P283" s="78">
        <f>IF(D283="","",IF(AND(H283&lt;&gt;"",H283&gt;=B283),"⚠️ Predecessor must be above",IF(M283="Done","✓ Done",IF(Q283=3,"🔴 Late",IF(M283="In progress","In progress","")))))</f>
        <v/>
      </c>
      <c r="Q283" s="79">
        <f>IF(OR(D283="",L283=""),"",IF(M283="Done",2,IF(AsOf&gt;L283,3,1)))</f>
        <v/>
      </c>
      <c r="R283" s="79">
        <f>IF(OR(E283="",F283=""),0,IF(COUNTIFS($E$7:E283,E283,$F$7:F283,F283)=1,1,0))</f>
        <v/>
      </c>
      <c r="S283" s="79">
        <f>IF(R283=1,E283&amp;"|"&amp;SUMIFS($R$7:R283,$E$7:E283,E283),"")</f>
        <v/>
      </c>
      <c r="T283" s="112">
        <f>IF(Q283="","",IF(Q283=3,L283,IF(OR(M283="Not started",M283=""),J283,"")))</f>
        <v/>
      </c>
      <c r="U283" s="79">
        <f>IF(T283="","",IF(Q283=3,1,IF(T283="","",IF(T283&lt;AsOf,1,IF(T283&lt;=AsOf+AlertDays,2,IF(T283&lt;=AsOf+2*AlertDays,3,""))))))</f>
        <v/>
      </c>
      <c r="V283" s="79">
        <f>IF(U283="","",IF(Q283=3,"Late task: "&amp;D283,IF(T283&lt;AsOf,"Should have started: ","Starts soon: ")&amp;D283)&amp;IF(F283="",""," — "&amp;F283))</f>
        <v/>
      </c>
    </row>
    <row r="284" ht="20" customHeight="1">
      <c r="B284" s="125" t="n">
        <v>278</v>
      </c>
      <c r="C284" s="72" t="n"/>
      <c r="D284" s="72" t="n"/>
      <c r="E284" s="72" t="n"/>
      <c r="F284" s="72" t="n"/>
      <c r="G284" s="89" t="n"/>
      <c r="H284" s="89" t="n"/>
      <c r="I284" s="109" t="n"/>
      <c r="J284" s="126">
        <f>IF(OR(D284="",ProjStart=""),"",MAX(ProjStart,IF(I284&lt;&gt;"",I284,0),IF(H284="",0,IFERROR(INDEX($L$6:L283,MATCH(H284,$B$6:B283,0))+1,0))))</f>
        <v/>
      </c>
      <c r="K284" s="89" t="n"/>
      <c r="L284" s="126">
        <f>IF(J284="","",J284+MAX(1,G284)+IF(K284="",0,K284)-1)</f>
        <v/>
      </c>
      <c r="M284" s="72" t="n"/>
      <c r="N284" s="109" t="n"/>
      <c r="O284" s="127">
        <f>IF(D284="","",COUNTIF($H$7:$H$1006,B284))</f>
        <v/>
      </c>
      <c r="P284" s="78">
        <f>IF(D284="","",IF(AND(H284&lt;&gt;"",H284&gt;=B284),"⚠️ Predecessor must be above",IF(M284="Done","✓ Done",IF(Q284=3,"🔴 Late",IF(M284="In progress","In progress","")))))</f>
        <v/>
      </c>
      <c r="Q284" s="79">
        <f>IF(OR(D284="",L284=""),"",IF(M284="Done",2,IF(AsOf&gt;L284,3,1)))</f>
        <v/>
      </c>
      <c r="R284" s="79">
        <f>IF(OR(E284="",F284=""),0,IF(COUNTIFS($E$7:E284,E284,$F$7:F284,F284)=1,1,0))</f>
        <v/>
      </c>
      <c r="S284" s="79">
        <f>IF(R284=1,E284&amp;"|"&amp;SUMIFS($R$7:R284,$E$7:E284,E284),"")</f>
        <v/>
      </c>
      <c r="T284" s="112">
        <f>IF(Q284="","",IF(Q284=3,L284,IF(OR(M284="Not started",M284=""),J284,"")))</f>
        <v/>
      </c>
      <c r="U284" s="79">
        <f>IF(T284="","",IF(Q284=3,1,IF(T284="","",IF(T284&lt;AsOf,1,IF(T284&lt;=AsOf+AlertDays,2,IF(T284&lt;=AsOf+2*AlertDays,3,""))))))</f>
        <v/>
      </c>
      <c r="V284" s="79">
        <f>IF(U284="","",IF(Q284=3,"Late task: "&amp;D284,IF(T284&lt;AsOf,"Should have started: ","Starts soon: ")&amp;D284)&amp;IF(F284="",""," — "&amp;F284))</f>
        <v/>
      </c>
    </row>
    <row r="285" ht="20" customHeight="1">
      <c r="B285" s="125" t="n">
        <v>279</v>
      </c>
      <c r="C285" s="72" t="n"/>
      <c r="D285" s="72" t="n"/>
      <c r="E285" s="72" t="n"/>
      <c r="F285" s="72" t="n"/>
      <c r="G285" s="89" t="n"/>
      <c r="H285" s="89" t="n"/>
      <c r="I285" s="109" t="n"/>
      <c r="J285" s="126">
        <f>IF(OR(D285="",ProjStart=""),"",MAX(ProjStart,IF(I285&lt;&gt;"",I285,0),IF(H285="",0,IFERROR(INDEX($L$6:L284,MATCH(H285,$B$6:B284,0))+1,0))))</f>
        <v/>
      </c>
      <c r="K285" s="89" t="n"/>
      <c r="L285" s="126">
        <f>IF(J285="","",J285+MAX(1,G285)+IF(K285="",0,K285)-1)</f>
        <v/>
      </c>
      <c r="M285" s="72" t="n"/>
      <c r="N285" s="109" t="n"/>
      <c r="O285" s="127">
        <f>IF(D285="","",COUNTIF($H$7:$H$1006,B285))</f>
        <v/>
      </c>
      <c r="P285" s="78">
        <f>IF(D285="","",IF(AND(H285&lt;&gt;"",H285&gt;=B285),"⚠️ Predecessor must be above",IF(M285="Done","✓ Done",IF(Q285=3,"🔴 Late",IF(M285="In progress","In progress","")))))</f>
        <v/>
      </c>
      <c r="Q285" s="79">
        <f>IF(OR(D285="",L285=""),"",IF(M285="Done",2,IF(AsOf&gt;L285,3,1)))</f>
        <v/>
      </c>
      <c r="R285" s="79">
        <f>IF(OR(E285="",F285=""),0,IF(COUNTIFS($E$7:E285,E285,$F$7:F285,F285)=1,1,0))</f>
        <v/>
      </c>
      <c r="S285" s="79">
        <f>IF(R285=1,E285&amp;"|"&amp;SUMIFS($R$7:R285,$E$7:E285,E285),"")</f>
        <v/>
      </c>
      <c r="T285" s="112">
        <f>IF(Q285="","",IF(Q285=3,L285,IF(OR(M285="Not started",M285=""),J285,"")))</f>
        <v/>
      </c>
      <c r="U285" s="79">
        <f>IF(T285="","",IF(Q285=3,1,IF(T285="","",IF(T285&lt;AsOf,1,IF(T285&lt;=AsOf+AlertDays,2,IF(T285&lt;=AsOf+2*AlertDays,3,""))))))</f>
        <v/>
      </c>
      <c r="V285" s="79">
        <f>IF(U285="","",IF(Q285=3,"Late task: "&amp;D285,IF(T285&lt;AsOf,"Should have started: ","Starts soon: ")&amp;D285)&amp;IF(F285="",""," — "&amp;F285))</f>
        <v/>
      </c>
    </row>
    <row r="286" ht="20" customHeight="1">
      <c r="B286" s="125" t="n">
        <v>280</v>
      </c>
      <c r="C286" s="72" t="n"/>
      <c r="D286" s="72" t="n"/>
      <c r="E286" s="72" t="n"/>
      <c r="F286" s="72" t="n"/>
      <c r="G286" s="89" t="n"/>
      <c r="H286" s="89" t="n"/>
      <c r="I286" s="109" t="n"/>
      <c r="J286" s="126">
        <f>IF(OR(D286="",ProjStart=""),"",MAX(ProjStart,IF(I286&lt;&gt;"",I286,0),IF(H286="",0,IFERROR(INDEX($L$6:L285,MATCH(H286,$B$6:B285,0))+1,0))))</f>
        <v/>
      </c>
      <c r="K286" s="89" t="n"/>
      <c r="L286" s="126">
        <f>IF(J286="","",J286+MAX(1,G286)+IF(K286="",0,K286)-1)</f>
        <v/>
      </c>
      <c r="M286" s="72" t="n"/>
      <c r="N286" s="109" t="n"/>
      <c r="O286" s="127">
        <f>IF(D286="","",COUNTIF($H$7:$H$1006,B286))</f>
        <v/>
      </c>
      <c r="P286" s="78">
        <f>IF(D286="","",IF(AND(H286&lt;&gt;"",H286&gt;=B286),"⚠️ Predecessor must be above",IF(M286="Done","✓ Done",IF(Q286=3,"🔴 Late",IF(M286="In progress","In progress","")))))</f>
        <v/>
      </c>
      <c r="Q286" s="79">
        <f>IF(OR(D286="",L286=""),"",IF(M286="Done",2,IF(AsOf&gt;L286,3,1)))</f>
        <v/>
      </c>
      <c r="R286" s="79">
        <f>IF(OR(E286="",F286=""),0,IF(COUNTIFS($E$7:E286,E286,$F$7:F286,F286)=1,1,0))</f>
        <v/>
      </c>
      <c r="S286" s="79">
        <f>IF(R286=1,E286&amp;"|"&amp;SUMIFS($R$7:R286,$E$7:E286,E286),"")</f>
        <v/>
      </c>
      <c r="T286" s="112">
        <f>IF(Q286="","",IF(Q286=3,L286,IF(OR(M286="Not started",M286=""),J286,"")))</f>
        <v/>
      </c>
      <c r="U286" s="79">
        <f>IF(T286="","",IF(Q286=3,1,IF(T286="","",IF(T286&lt;AsOf,1,IF(T286&lt;=AsOf+AlertDays,2,IF(T286&lt;=AsOf+2*AlertDays,3,""))))))</f>
        <v/>
      </c>
      <c r="V286" s="79">
        <f>IF(U286="","",IF(Q286=3,"Late task: "&amp;D286,IF(T286&lt;AsOf,"Should have started: ","Starts soon: ")&amp;D286)&amp;IF(F286="",""," — "&amp;F286))</f>
        <v/>
      </c>
    </row>
    <row r="287" ht="20" customHeight="1">
      <c r="B287" s="125" t="n">
        <v>281</v>
      </c>
      <c r="C287" s="72" t="n"/>
      <c r="D287" s="72" t="n"/>
      <c r="E287" s="72" t="n"/>
      <c r="F287" s="72" t="n"/>
      <c r="G287" s="89" t="n"/>
      <c r="H287" s="89" t="n"/>
      <c r="I287" s="109" t="n"/>
      <c r="J287" s="126">
        <f>IF(OR(D287="",ProjStart=""),"",MAX(ProjStart,IF(I287&lt;&gt;"",I287,0),IF(H287="",0,IFERROR(INDEX($L$6:L286,MATCH(H287,$B$6:B286,0))+1,0))))</f>
        <v/>
      </c>
      <c r="K287" s="89" t="n"/>
      <c r="L287" s="126">
        <f>IF(J287="","",J287+MAX(1,G287)+IF(K287="",0,K287)-1)</f>
        <v/>
      </c>
      <c r="M287" s="72" t="n"/>
      <c r="N287" s="109" t="n"/>
      <c r="O287" s="127">
        <f>IF(D287="","",COUNTIF($H$7:$H$1006,B287))</f>
        <v/>
      </c>
      <c r="P287" s="78">
        <f>IF(D287="","",IF(AND(H287&lt;&gt;"",H287&gt;=B287),"⚠️ Predecessor must be above",IF(M287="Done","✓ Done",IF(Q287=3,"🔴 Late",IF(M287="In progress","In progress","")))))</f>
        <v/>
      </c>
      <c r="Q287" s="79">
        <f>IF(OR(D287="",L287=""),"",IF(M287="Done",2,IF(AsOf&gt;L287,3,1)))</f>
        <v/>
      </c>
      <c r="R287" s="79">
        <f>IF(OR(E287="",F287=""),0,IF(COUNTIFS($E$7:E287,E287,$F$7:F287,F287)=1,1,0))</f>
        <v/>
      </c>
      <c r="S287" s="79">
        <f>IF(R287=1,E287&amp;"|"&amp;SUMIFS($R$7:R287,$E$7:E287,E287),"")</f>
        <v/>
      </c>
      <c r="T287" s="112">
        <f>IF(Q287="","",IF(Q287=3,L287,IF(OR(M287="Not started",M287=""),J287,"")))</f>
        <v/>
      </c>
      <c r="U287" s="79">
        <f>IF(T287="","",IF(Q287=3,1,IF(T287="","",IF(T287&lt;AsOf,1,IF(T287&lt;=AsOf+AlertDays,2,IF(T287&lt;=AsOf+2*AlertDays,3,""))))))</f>
        <v/>
      </c>
      <c r="V287" s="79">
        <f>IF(U287="","",IF(Q287=3,"Late task: "&amp;D287,IF(T287&lt;AsOf,"Should have started: ","Starts soon: ")&amp;D287)&amp;IF(F287="",""," — "&amp;F287))</f>
        <v/>
      </c>
    </row>
    <row r="288" ht="20" customHeight="1">
      <c r="B288" s="125" t="n">
        <v>282</v>
      </c>
      <c r="C288" s="72" t="n"/>
      <c r="D288" s="72" t="n"/>
      <c r="E288" s="72" t="n"/>
      <c r="F288" s="72" t="n"/>
      <c r="G288" s="89" t="n"/>
      <c r="H288" s="89" t="n"/>
      <c r="I288" s="109" t="n"/>
      <c r="J288" s="126">
        <f>IF(OR(D288="",ProjStart=""),"",MAX(ProjStart,IF(I288&lt;&gt;"",I288,0),IF(H288="",0,IFERROR(INDEX($L$6:L287,MATCH(H288,$B$6:B287,0))+1,0))))</f>
        <v/>
      </c>
      <c r="K288" s="89" t="n"/>
      <c r="L288" s="126">
        <f>IF(J288="","",J288+MAX(1,G288)+IF(K288="",0,K288)-1)</f>
        <v/>
      </c>
      <c r="M288" s="72" t="n"/>
      <c r="N288" s="109" t="n"/>
      <c r="O288" s="127">
        <f>IF(D288="","",COUNTIF($H$7:$H$1006,B288))</f>
        <v/>
      </c>
      <c r="P288" s="78">
        <f>IF(D288="","",IF(AND(H288&lt;&gt;"",H288&gt;=B288),"⚠️ Predecessor must be above",IF(M288="Done","✓ Done",IF(Q288=3,"🔴 Late",IF(M288="In progress","In progress","")))))</f>
        <v/>
      </c>
      <c r="Q288" s="79">
        <f>IF(OR(D288="",L288=""),"",IF(M288="Done",2,IF(AsOf&gt;L288,3,1)))</f>
        <v/>
      </c>
      <c r="R288" s="79">
        <f>IF(OR(E288="",F288=""),0,IF(COUNTIFS($E$7:E288,E288,$F$7:F288,F288)=1,1,0))</f>
        <v/>
      </c>
      <c r="S288" s="79">
        <f>IF(R288=1,E288&amp;"|"&amp;SUMIFS($R$7:R288,$E$7:E288,E288),"")</f>
        <v/>
      </c>
      <c r="T288" s="112">
        <f>IF(Q288="","",IF(Q288=3,L288,IF(OR(M288="Not started",M288=""),J288,"")))</f>
        <v/>
      </c>
      <c r="U288" s="79">
        <f>IF(T288="","",IF(Q288=3,1,IF(T288="","",IF(T288&lt;AsOf,1,IF(T288&lt;=AsOf+AlertDays,2,IF(T288&lt;=AsOf+2*AlertDays,3,""))))))</f>
        <v/>
      </c>
      <c r="V288" s="79">
        <f>IF(U288="","",IF(Q288=3,"Late task: "&amp;D288,IF(T288&lt;AsOf,"Should have started: ","Starts soon: ")&amp;D288)&amp;IF(F288="",""," — "&amp;F288))</f>
        <v/>
      </c>
    </row>
    <row r="289" ht="20" customHeight="1">
      <c r="B289" s="125" t="n">
        <v>283</v>
      </c>
      <c r="C289" s="72" t="n"/>
      <c r="D289" s="72" t="n"/>
      <c r="E289" s="72" t="n"/>
      <c r="F289" s="72" t="n"/>
      <c r="G289" s="89" t="n"/>
      <c r="H289" s="89" t="n"/>
      <c r="I289" s="109" t="n"/>
      <c r="J289" s="126">
        <f>IF(OR(D289="",ProjStart=""),"",MAX(ProjStart,IF(I289&lt;&gt;"",I289,0),IF(H289="",0,IFERROR(INDEX($L$6:L288,MATCH(H289,$B$6:B288,0))+1,0))))</f>
        <v/>
      </c>
      <c r="K289" s="89" t="n"/>
      <c r="L289" s="126">
        <f>IF(J289="","",J289+MAX(1,G289)+IF(K289="",0,K289)-1)</f>
        <v/>
      </c>
      <c r="M289" s="72" t="n"/>
      <c r="N289" s="109" t="n"/>
      <c r="O289" s="127">
        <f>IF(D289="","",COUNTIF($H$7:$H$1006,B289))</f>
        <v/>
      </c>
      <c r="P289" s="78">
        <f>IF(D289="","",IF(AND(H289&lt;&gt;"",H289&gt;=B289),"⚠️ Predecessor must be above",IF(M289="Done","✓ Done",IF(Q289=3,"🔴 Late",IF(M289="In progress","In progress","")))))</f>
        <v/>
      </c>
      <c r="Q289" s="79">
        <f>IF(OR(D289="",L289=""),"",IF(M289="Done",2,IF(AsOf&gt;L289,3,1)))</f>
        <v/>
      </c>
      <c r="R289" s="79">
        <f>IF(OR(E289="",F289=""),0,IF(COUNTIFS($E$7:E289,E289,$F$7:F289,F289)=1,1,0))</f>
        <v/>
      </c>
      <c r="S289" s="79">
        <f>IF(R289=1,E289&amp;"|"&amp;SUMIFS($R$7:R289,$E$7:E289,E289),"")</f>
        <v/>
      </c>
      <c r="T289" s="112">
        <f>IF(Q289="","",IF(Q289=3,L289,IF(OR(M289="Not started",M289=""),J289,"")))</f>
        <v/>
      </c>
      <c r="U289" s="79">
        <f>IF(T289="","",IF(Q289=3,1,IF(T289="","",IF(T289&lt;AsOf,1,IF(T289&lt;=AsOf+AlertDays,2,IF(T289&lt;=AsOf+2*AlertDays,3,""))))))</f>
        <v/>
      </c>
      <c r="V289" s="79">
        <f>IF(U289="","",IF(Q289=3,"Late task: "&amp;D289,IF(T289&lt;AsOf,"Should have started: ","Starts soon: ")&amp;D289)&amp;IF(F289="",""," — "&amp;F289))</f>
        <v/>
      </c>
    </row>
    <row r="290" ht="20" customHeight="1">
      <c r="B290" s="125" t="n">
        <v>284</v>
      </c>
      <c r="C290" s="72" t="n"/>
      <c r="D290" s="72" t="n"/>
      <c r="E290" s="72" t="n"/>
      <c r="F290" s="72" t="n"/>
      <c r="G290" s="89" t="n"/>
      <c r="H290" s="89" t="n"/>
      <c r="I290" s="109" t="n"/>
      <c r="J290" s="126">
        <f>IF(OR(D290="",ProjStart=""),"",MAX(ProjStart,IF(I290&lt;&gt;"",I290,0),IF(H290="",0,IFERROR(INDEX($L$6:L289,MATCH(H290,$B$6:B289,0))+1,0))))</f>
        <v/>
      </c>
      <c r="K290" s="89" t="n"/>
      <c r="L290" s="126">
        <f>IF(J290="","",J290+MAX(1,G290)+IF(K290="",0,K290)-1)</f>
        <v/>
      </c>
      <c r="M290" s="72" t="n"/>
      <c r="N290" s="109" t="n"/>
      <c r="O290" s="127">
        <f>IF(D290="","",COUNTIF($H$7:$H$1006,B290))</f>
        <v/>
      </c>
      <c r="P290" s="78">
        <f>IF(D290="","",IF(AND(H290&lt;&gt;"",H290&gt;=B290),"⚠️ Predecessor must be above",IF(M290="Done","✓ Done",IF(Q290=3,"🔴 Late",IF(M290="In progress","In progress","")))))</f>
        <v/>
      </c>
      <c r="Q290" s="79">
        <f>IF(OR(D290="",L290=""),"",IF(M290="Done",2,IF(AsOf&gt;L290,3,1)))</f>
        <v/>
      </c>
      <c r="R290" s="79">
        <f>IF(OR(E290="",F290=""),0,IF(COUNTIFS($E$7:E290,E290,$F$7:F290,F290)=1,1,0))</f>
        <v/>
      </c>
      <c r="S290" s="79">
        <f>IF(R290=1,E290&amp;"|"&amp;SUMIFS($R$7:R290,$E$7:E290,E290),"")</f>
        <v/>
      </c>
      <c r="T290" s="112">
        <f>IF(Q290="","",IF(Q290=3,L290,IF(OR(M290="Not started",M290=""),J290,"")))</f>
        <v/>
      </c>
      <c r="U290" s="79">
        <f>IF(T290="","",IF(Q290=3,1,IF(T290="","",IF(T290&lt;AsOf,1,IF(T290&lt;=AsOf+AlertDays,2,IF(T290&lt;=AsOf+2*AlertDays,3,""))))))</f>
        <v/>
      </c>
      <c r="V290" s="79">
        <f>IF(U290="","",IF(Q290=3,"Late task: "&amp;D290,IF(T290&lt;AsOf,"Should have started: ","Starts soon: ")&amp;D290)&amp;IF(F290="",""," — "&amp;F290))</f>
        <v/>
      </c>
    </row>
    <row r="291" ht="20" customHeight="1">
      <c r="B291" s="125" t="n">
        <v>285</v>
      </c>
      <c r="C291" s="72" t="n"/>
      <c r="D291" s="72" t="n"/>
      <c r="E291" s="72" t="n"/>
      <c r="F291" s="72" t="n"/>
      <c r="G291" s="89" t="n"/>
      <c r="H291" s="89" t="n"/>
      <c r="I291" s="109" t="n"/>
      <c r="J291" s="126">
        <f>IF(OR(D291="",ProjStart=""),"",MAX(ProjStart,IF(I291&lt;&gt;"",I291,0),IF(H291="",0,IFERROR(INDEX($L$6:L290,MATCH(H291,$B$6:B290,0))+1,0))))</f>
        <v/>
      </c>
      <c r="K291" s="89" t="n"/>
      <c r="L291" s="126">
        <f>IF(J291="","",J291+MAX(1,G291)+IF(K291="",0,K291)-1)</f>
        <v/>
      </c>
      <c r="M291" s="72" t="n"/>
      <c r="N291" s="109" t="n"/>
      <c r="O291" s="127">
        <f>IF(D291="","",COUNTIF($H$7:$H$1006,B291))</f>
        <v/>
      </c>
      <c r="P291" s="78">
        <f>IF(D291="","",IF(AND(H291&lt;&gt;"",H291&gt;=B291),"⚠️ Predecessor must be above",IF(M291="Done","✓ Done",IF(Q291=3,"🔴 Late",IF(M291="In progress","In progress","")))))</f>
        <v/>
      </c>
      <c r="Q291" s="79">
        <f>IF(OR(D291="",L291=""),"",IF(M291="Done",2,IF(AsOf&gt;L291,3,1)))</f>
        <v/>
      </c>
      <c r="R291" s="79">
        <f>IF(OR(E291="",F291=""),0,IF(COUNTIFS($E$7:E291,E291,$F$7:F291,F291)=1,1,0))</f>
        <v/>
      </c>
      <c r="S291" s="79">
        <f>IF(R291=1,E291&amp;"|"&amp;SUMIFS($R$7:R291,$E$7:E291,E291),"")</f>
        <v/>
      </c>
      <c r="T291" s="112">
        <f>IF(Q291="","",IF(Q291=3,L291,IF(OR(M291="Not started",M291=""),J291,"")))</f>
        <v/>
      </c>
      <c r="U291" s="79">
        <f>IF(T291="","",IF(Q291=3,1,IF(T291="","",IF(T291&lt;AsOf,1,IF(T291&lt;=AsOf+AlertDays,2,IF(T291&lt;=AsOf+2*AlertDays,3,""))))))</f>
        <v/>
      </c>
      <c r="V291" s="79">
        <f>IF(U291="","",IF(Q291=3,"Late task: "&amp;D291,IF(T291&lt;AsOf,"Should have started: ","Starts soon: ")&amp;D291)&amp;IF(F291="",""," — "&amp;F291))</f>
        <v/>
      </c>
    </row>
    <row r="292" ht="20" customHeight="1">
      <c r="B292" s="125" t="n">
        <v>286</v>
      </c>
      <c r="C292" s="72" t="n"/>
      <c r="D292" s="72" t="n"/>
      <c r="E292" s="72" t="n"/>
      <c r="F292" s="72" t="n"/>
      <c r="G292" s="89" t="n"/>
      <c r="H292" s="89" t="n"/>
      <c r="I292" s="109" t="n"/>
      <c r="J292" s="126">
        <f>IF(OR(D292="",ProjStart=""),"",MAX(ProjStart,IF(I292&lt;&gt;"",I292,0),IF(H292="",0,IFERROR(INDEX($L$6:L291,MATCH(H292,$B$6:B291,0))+1,0))))</f>
        <v/>
      </c>
      <c r="K292" s="89" t="n"/>
      <c r="L292" s="126">
        <f>IF(J292="","",J292+MAX(1,G292)+IF(K292="",0,K292)-1)</f>
        <v/>
      </c>
      <c r="M292" s="72" t="n"/>
      <c r="N292" s="109" t="n"/>
      <c r="O292" s="127">
        <f>IF(D292="","",COUNTIF($H$7:$H$1006,B292))</f>
        <v/>
      </c>
      <c r="P292" s="78">
        <f>IF(D292="","",IF(AND(H292&lt;&gt;"",H292&gt;=B292),"⚠️ Predecessor must be above",IF(M292="Done","✓ Done",IF(Q292=3,"🔴 Late",IF(M292="In progress","In progress","")))))</f>
        <v/>
      </c>
      <c r="Q292" s="79">
        <f>IF(OR(D292="",L292=""),"",IF(M292="Done",2,IF(AsOf&gt;L292,3,1)))</f>
        <v/>
      </c>
      <c r="R292" s="79">
        <f>IF(OR(E292="",F292=""),0,IF(COUNTIFS($E$7:E292,E292,$F$7:F292,F292)=1,1,0))</f>
        <v/>
      </c>
      <c r="S292" s="79">
        <f>IF(R292=1,E292&amp;"|"&amp;SUMIFS($R$7:R292,$E$7:E292,E292),"")</f>
        <v/>
      </c>
      <c r="T292" s="112">
        <f>IF(Q292="","",IF(Q292=3,L292,IF(OR(M292="Not started",M292=""),J292,"")))</f>
        <v/>
      </c>
      <c r="U292" s="79">
        <f>IF(T292="","",IF(Q292=3,1,IF(T292="","",IF(T292&lt;AsOf,1,IF(T292&lt;=AsOf+AlertDays,2,IF(T292&lt;=AsOf+2*AlertDays,3,""))))))</f>
        <v/>
      </c>
      <c r="V292" s="79">
        <f>IF(U292="","",IF(Q292=3,"Late task: "&amp;D292,IF(T292&lt;AsOf,"Should have started: ","Starts soon: ")&amp;D292)&amp;IF(F292="",""," — "&amp;F292))</f>
        <v/>
      </c>
    </row>
    <row r="293" ht="20" customHeight="1">
      <c r="B293" s="125" t="n">
        <v>287</v>
      </c>
      <c r="C293" s="72" t="n"/>
      <c r="D293" s="72" t="n"/>
      <c r="E293" s="72" t="n"/>
      <c r="F293" s="72" t="n"/>
      <c r="G293" s="89" t="n"/>
      <c r="H293" s="89" t="n"/>
      <c r="I293" s="109" t="n"/>
      <c r="J293" s="126">
        <f>IF(OR(D293="",ProjStart=""),"",MAX(ProjStart,IF(I293&lt;&gt;"",I293,0),IF(H293="",0,IFERROR(INDEX($L$6:L292,MATCH(H293,$B$6:B292,0))+1,0))))</f>
        <v/>
      </c>
      <c r="K293" s="89" t="n"/>
      <c r="L293" s="126">
        <f>IF(J293="","",J293+MAX(1,G293)+IF(K293="",0,K293)-1)</f>
        <v/>
      </c>
      <c r="M293" s="72" t="n"/>
      <c r="N293" s="109" t="n"/>
      <c r="O293" s="127">
        <f>IF(D293="","",COUNTIF($H$7:$H$1006,B293))</f>
        <v/>
      </c>
      <c r="P293" s="78">
        <f>IF(D293="","",IF(AND(H293&lt;&gt;"",H293&gt;=B293),"⚠️ Predecessor must be above",IF(M293="Done","✓ Done",IF(Q293=3,"🔴 Late",IF(M293="In progress","In progress","")))))</f>
        <v/>
      </c>
      <c r="Q293" s="79">
        <f>IF(OR(D293="",L293=""),"",IF(M293="Done",2,IF(AsOf&gt;L293,3,1)))</f>
        <v/>
      </c>
      <c r="R293" s="79">
        <f>IF(OR(E293="",F293=""),0,IF(COUNTIFS($E$7:E293,E293,$F$7:F293,F293)=1,1,0))</f>
        <v/>
      </c>
      <c r="S293" s="79">
        <f>IF(R293=1,E293&amp;"|"&amp;SUMIFS($R$7:R293,$E$7:E293,E293),"")</f>
        <v/>
      </c>
      <c r="T293" s="112">
        <f>IF(Q293="","",IF(Q293=3,L293,IF(OR(M293="Not started",M293=""),J293,"")))</f>
        <v/>
      </c>
      <c r="U293" s="79">
        <f>IF(T293="","",IF(Q293=3,1,IF(T293="","",IF(T293&lt;AsOf,1,IF(T293&lt;=AsOf+AlertDays,2,IF(T293&lt;=AsOf+2*AlertDays,3,""))))))</f>
        <v/>
      </c>
      <c r="V293" s="79">
        <f>IF(U293="","",IF(Q293=3,"Late task: "&amp;D293,IF(T293&lt;AsOf,"Should have started: ","Starts soon: ")&amp;D293)&amp;IF(F293="",""," — "&amp;F293))</f>
        <v/>
      </c>
    </row>
    <row r="294" ht="20" customHeight="1">
      <c r="B294" s="125" t="n">
        <v>288</v>
      </c>
      <c r="C294" s="72" t="n"/>
      <c r="D294" s="72" t="n"/>
      <c r="E294" s="72" t="n"/>
      <c r="F294" s="72" t="n"/>
      <c r="G294" s="89" t="n"/>
      <c r="H294" s="89" t="n"/>
      <c r="I294" s="109" t="n"/>
      <c r="J294" s="126">
        <f>IF(OR(D294="",ProjStart=""),"",MAX(ProjStart,IF(I294&lt;&gt;"",I294,0),IF(H294="",0,IFERROR(INDEX($L$6:L293,MATCH(H294,$B$6:B293,0))+1,0))))</f>
        <v/>
      </c>
      <c r="K294" s="89" t="n"/>
      <c r="L294" s="126">
        <f>IF(J294="","",J294+MAX(1,G294)+IF(K294="",0,K294)-1)</f>
        <v/>
      </c>
      <c r="M294" s="72" t="n"/>
      <c r="N294" s="109" t="n"/>
      <c r="O294" s="127">
        <f>IF(D294="","",COUNTIF($H$7:$H$1006,B294))</f>
        <v/>
      </c>
      <c r="P294" s="78">
        <f>IF(D294="","",IF(AND(H294&lt;&gt;"",H294&gt;=B294),"⚠️ Predecessor must be above",IF(M294="Done","✓ Done",IF(Q294=3,"🔴 Late",IF(M294="In progress","In progress","")))))</f>
        <v/>
      </c>
      <c r="Q294" s="79">
        <f>IF(OR(D294="",L294=""),"",IF(M294="Done",2,IF(AsOf&gt;L294,3,1)))</f>
        <v/>
      </c>
      <c r="R294" s="79">
        <f>IF(OR(E294="",F294=""),0,IF(COUNTIFS($E$7:E294,E294,$F$7:F294,F294)=1,1,0))</f>
        <v/>
      </c>
      <c r="S294" s="79">
        <f>IF(R294=1,E294&amp;"|"&amp;SUMIFS($R$7:R294,$E$7:E294,E294),"")</f>
        <v/>
      </c>
      <c r="T294" s="112">
        <f>IF(Q294="","",IF(Q294=3,L294,IF(OR(M294="Not started",M294=""),J294,"")))</f>
        <v/>
      </c>
      <c r="U294" s="79">
        <f>IF(T294="","",IF(Q294=3,1,IF(T294="","",IF(T294&lt;AsOf,1,IF(T294&lt;=AsOf+AlertDays,2,IF(T294&lt;=AsOf+2*AlertDays,3,""))))))</f>
        <v/>
      </c>
      <c r="V294" s="79">
        <f>IF(U294="","",IF(Q294=3,"Late task: "&amp;D294,IF(T294&lt;AsOf,"Should have started: ","Starts soon: ")&amp;D294)&amp;IF(F294="",""," — "&amp;F294))</f>
        <v/>
      </c>
    </row>
    <row r="295" ht="20" customHeight="1">
      <c r="B295" s="125" t="n">
        <v>289</v>
      </c>
      <c r="C295" s="72" t="n"/>
      <c r="D295" s="72" t="n"/>
      <c r="E295" s="72" t="n"/>
      <c r="F295" s="72" t="n"/>
      <c r="G295" s="89" t="n"/>
      <c r="H295" s="89" t="n"/>
      <c r="I295" s="109" t="n"/>
      <c r="J295" s="126">
        <f>IF(OR(D295="",ProjStart=""),"",MAX(ProjStart,IF(I295&lt;&gt;"",I295,0),IF(H295="",0,IFERROR(INDEX($L$6:L294,MATCH(H295,$B$6:B294,0))+1,0))))</f>
        <v/>
      </c>
      <c r="K295" s="89" t="n"/>
      <c r="L295" s="126">
        <f>IF(J295="","",J295+MAX(1,G295)+IF(K295="",0,K295)-1)</f>
        <v/>
      </c>
      <c r="M295" s="72" t="n"/>
      <c r="N295" s="109" t="n"/>
      <c r="O295" s="127">
        <f>IF(D295="","",COUNTIF($H$7:$H$1006,B295))</f>
        <v/>
      </c>
      <c r="P295" s="78">
        <f>IF(D295="","",IF(AND(H295&lt;&gt;"",H295&gt;=B295),"⚠️ Predecessor must be above",IF(M295="Done","✓ Done",IF(Q295=3,"🔴 Late",IF(M295="In progress","In progress","")))))</f>
        <v/>
      </c>
      <c r="Q295" s="79">
        <f>IF(OR(D295="",L295=""),"",IF(M295="Done",2,IF(AsOf&gt;L295,3,1)))</f>
        <v/>
      </c>
      <c r="R295" s="79">
        <f>IF(OR(E295="",F295=""),0,IF(COUNTIFS($E$7:E295,E295,$F$7:F295,F295)=1,1,0))</f>
        <v/>
      </c>
      <c r="S295" s="79">
        <f>IF(R295=1,E295&amp;"|"&amp;SUMIFS($R$7:R295,$E$7:E295,E295),"")</f>
        <v/>
      </c>
      <c r="T295" s="112">
        <f>IF(Q295="","",IF(Q295=3,L295,IF(OR(M295="Not started",M295=""),J295,"")))</f>
        <v/>
      </c>
      <c r="U295" s="79">
        <f>IF(T295="","",IF(Q295=3,1,IF(T295="","",IF(T295&lt;AsOf,1,IF(T295&lt;=AsOf+AlertDays,2,IF(T295&lt;=AsOf+2*AlertDays,3,""))))))</f>
        <v/>
      </c>
      <c r="V295" s="79">
        <f>IF(U295="","",IF(Q295=3,"Late task: "&amp;D295,IF(T295&lt;AsOf,"Should have started: ","Starts soon: ")&amp;D295)&amp;IF(F295="",""," — "&amp;F295))</f>
        <v/>
      </c>
    </row>
    <row r="296" ht="20" customHeight="1">
      <c r="B296" s="125" t="n">
        <v>290</v>
      </c>
      <c r="C296" s="72" t="n"/>
      <c r="D296" s="72" t="n"/>
      <c r="E296" s="72" t="n"/>
      <c r="F296" s="72" t="n"/>
      <c r="G296" s="89" t="n"/>
      <c r="H296" s="89" t="n"/>
      <c r="I296" s="109" t="n"/>
      <c r="J296" s="126">
        <f>IF(OR(D296="",ProjStart=""),"",MAX(ProjStart,IF(I296&lt;&gt;"",I296,0),IF(H296="",0,IFERROR(INDEX($L$6:L295,MATCH(H296,$B$6:B295,0))+1,0))))</f>
        <v/>
      </c>
      <c r="K296" s="89" t="n"/>
      <c r="L296" s="126">
        <f>IF(J296="","",J296+MAX(1,G296)+IF(K296="",0,K296)-1)</f>
        <v/>
      </c>
      <c r="M296" s="72" t="n"/>
      <c r="N296" s="109" t="n"/>
      <c r="O296" s="127">
        <f>IF(D296="","",COUNTIF($H$7:$H$1006,B296))</f>
        <v/>
      </c>
      <c r="P296" s="78">
        <f>IF(D296="","",IF(AND(H296&lt;&gt;"",H296&gt;=B296),"⚠️ Predecessor must be above",IF(M296="Done","✓ Done",IF(Q296=3,"🔴 Late",IF(M296="In progress","In progress","")))))</f>
        <v/>
      </c>
      <c r="Q296" s="79">
        <f>IF(OR(D296="",L296=""),"",IF(M296="Done",2,IF(AsOf&gt;L296,3,1)))</f>
        <v/>
      </c>
      <c r="R296" s="79">
        <f>IF(OR(E296="",F296=""),0,IF(COUNTIFS($E$7:E296,E296,$F$7:F296,F296)=1,1,0))</f>
        <v/>
      </c>
      <c r="S296" s="79">
        <f>IF(R296=1,E296&amp;"|"&amp;SUMIFS($R$7:R296,$E$7:E296,E296),"")</f>
        <v/>
      </c>
      <c r="T296" s="112">
        <f>IF(Q296="","",IF(Q296=3,L296,IF(OR(M296="Not started",M296=""),J296,"")))</f>
        <v/>
      </c>
      <c r="U296" s="79">
        <f>IF(T296="","",IF(Q296=3,1,IF(T296="","",IF(T296&lt;AsOf,1,IF(T296&lt;=AsOf+AlertDays,2,IF(T296&lt;=AsOf+2*AlertDays,3,""))))))</f>
        <v/>
      </c>
      <c r="V296" s="79">
        <f>IF(U296="","",IF(Q296=3,"Late task: "&amp;D296,IF(T296&lt;AsOf,"Should have started: ","Starts soon: ")&amp;D296)&amp;IF(F296="",""," — "&amp;F296))</f>
        <v/>
      </c>
    </row>
    <row r="297" ht="20" customHeight="1">
      <c r="B297" s="125" t="n">
        <v>291</v>
      </c>
      <c r="C297" s="72" t="n"/>
      <c r="D297" s="72" t="n"/>
      <c r="E297" s="72" t="n"/>
      <c r="F297" s="72" t="n"/>
      <c r="G297" s="89" t="n"/>
      <c r="H297" s="89" t="n"/>
      <c r="I297" s="109" t="n"/>
      <c r="J297" s="126">
        <f>IF(OR(D297="",ProjStart=""),"",MAX(ProjStart,IF(I297&lt;&gt;"",I297,0),IF(H297="",0,IFERROR(INDEX($L$6:L296,MATCH(H297,$B$6:B296,0))+1,0))))</f>
        <v/>
      </c>
      <c r="K297" s="89" t="n"/>
      <c r="L297" s="126">
        <f>IF(J297="","",J297+MAX(1,G297)+IF(K297="",0,K297)-1)</f>
        <v/>
      </c>
      <c r="M297" s="72" t="n"/>
      <c r="N297" s="109" t="n"/>
      <c r="O297" s="127">
        <f>IF(D297="","",COUNTIF($H$7:$H$1006,B297))</f>
        <v/>
      </c>
      <c r="P297" s="78">
        <f>IF(D297="","",IF(AND(H297&lt;&gt;"",H297&gt;=B297),"⚠️ Predecessor must be above",IF(M297="Done","✓ Done",IF(Q297=3,"🔴 Late",IF(M297="In progress","In progress","")))))</f>
        <v/>
      </c>
      <c r="Q297" s="79">
        <f>IF(OR(D297="",L297=""),"",IF(M297="Done",2,IF(AsOf&gt;L297,3,1)))</f>
        <v/>
      </c>
      <c r="R297" s="79">
        <f>IF(OR(E297="",F297=""),0,IF(COUNTIFS($E$7:E297,E297,$F$7:F297,F297)=1,1,0))</f>
        <v/>
      </c>
      <c r="S297" s="79">
        <f>IF(R297=1,E297&amp;"|"&amp;SUMIFS($R$7:R297,$E$7:E297,E297),"")</f>
        <v/>
      </c>
      <c r="T297" s="112">
        <f>IF(Q297="","",IF(Q297=3,L297,IF(OR(M297="Not started",M297=""),J297,"")))</f>
        <v/>
      </c>
      <c r="U297" s="79">
        <f>IF(T297="","",IF(Q297=3,1,IF(T297="","",IF(T297&lt;AsOf,1,IF(T297&lt;=AsOf+AlertDays,2,IF(T297&lt;=AsOf+2*AlertDays,3,""))))))</f>
        <v/>
      </c>
      <c r="V297" s="79">
        <f>IF(U297="","",IF(Q297=3,"Late task: "&amp;D297,IF(T297&lt;AsOf,"Should have started: ","Starts soon: ")&amp;D297)&amp;IF(F297="",""," — "&amp;F297))</f>
        <v/>
      </c>
    </row>
    <row r="298" ht="20" customHeight="1">
      <c r="B298" s="125" t="n">
        <v>292</v>
      </c>
      <c r="C298" s="72" t="n"/>
      <c r="D298" s="72" t="n"/>
      <c r="E298" s="72" t="n"/>
      <c r="F298" s="72" t="n"/>
      <c r="G298" s="89" t="n"/>
      <c r="H298" s="89" t="n"/>
      <c r="I298" s="109" t="n"/>
      <c r="J298" s="126">
        <f>IF(OR(D298="",ProjStart=""),"",MAX(ProjStart,IF(I298&lt;&gt;"",I298,0),IF(H298="",0,IFERROR(INDEX($L$6:L297,MATCH(H298,$B$6:B297,0))+1,0))))</f>
        <v/>
      </c>
      <c r="K298" s="89" t="n"/>
      <c r="L298" s="126">
        <f>IF(J298="","",J298+MAX(1,G298)+IF(K298="",0,K298)-1)</f>
        <v/>
      </c>
      <c r="M298" s="72" t="n"/>
      <c r="N298" s="109" t="n"/>
      <c r="O298" s="127">
        <f>IF(D298="","",COUNTIF($H$7:$H$1006,B298))</f>
        <v/>
      </c>
      <c r="P298" s="78">
        <f>IF(D298="","",IF(AND(H298&lt;&gt;"",H298&gt;=B298),"⚠️ Predecessor must be above",IF(M298="Done","✓ Done",IF(Q298=3,"🔴 Late",IF(M298="In progress","In progress","")))))</f>
        <v/>
      </c>
      <c r="Q298" s="79">
        <f>IF(OR(D298="",L298=""),"",IF(M298="Done",2,IF(AsOf&gt;L298,3,1)))</f>
        <v/>
      </c>
      <c r="R298" s="79">
        <f>IF(OR(E298="",F298=""),0,IF(COUNTIFS($E$7:E298,E298,$F$7:F298,F298)=1,1,0))</f>
        <v/>
      </c>
      <c r="S298" s="79">
        <f>IF(R298=1,E298&amp;"|"&amp;SUMIFS($R$7:R298,$E$7:E298,E298),"")</f>
        <v/>
      </c>
      <c r="T298" s="112">
        <f>IF(Q298="","",IF(Q298=3,L298,IF(OR(M298="Not started",M298=""),J298,"")))</f>
        <v/>
      </c>
      <c r="U298" s="79">
        <f>IF(T298="","",IF(Q298=3,1,IF(T298="","",IF(T298&lt;AsOf,1,IF(T298&lt;=AsOf+AlertDays,2,IF(T298&lt;=AsOf+2*AlertDays,3,""))))))</f>
        <v/>
      </c>
      <c r="V298" s="79">
        <f>IF(U298="","",IF(Q298=3,"Late task: "&amp;D298,IF(T298&lt;AsOf,"Should have started: ","Starts soon: ")&amp;D298)&amp;IF(F298="",""," — "&amp;F298))</f>
        <v/>
      </c>
    </row>
    <row r="299" ht="20" customHeight="1">
      <c r="B299" s="125" t="n">
        <v>293</v>
      </c>
      <c r="C299" s="72" t="n"/>
      <c r="D299" s="72" t="n"/>
      <c r="E299" s="72" t="n"/>
      <c r="F299" s="72" t="n"/>
      <c r="G299" s="89" t="n"/>
      <c r="H299" s="89" t="n"/>
      <c r="I299" s="109" t="n"/>
      <c r="J299" s="126">
        <f>IF(OR(D299="",ProjStart=""),"",MAX(ProjStart,IF(I299&lt;&gt;"",I299,0),IF(H299="",0,IFERROR(INDEX($L$6:L298,MATCH(H299,$B$6:B298,0))+1,0))))</f>
        <v/>
      </c>
      <c r="K299" s="89" t="n"/>
      <c r="L299" s="126">
        <f>IF(J299="","",J299+MAX(1,G299)+IF(K299="",0,K299)-1)</f>
        <v/>
      </c>
      <c r="M299" s="72" t="n"/>
      <c r="N299" s="109" t="n"/>
      <c r="O299" s="127">
        <f>IF(D299="","",COUNTIF($H$7:$H$1006,B299))</f>
        <v/>
      </c>
      <c r="P299" s="78">
        <f>IF(D299="","",IF(AND(H299&lt;&gt;"",H299&gt;=B299),"⚠️ Predecessor must be above",IF(M299="Done","✓ Done",IF(Q299=3,"🔴 Late",IF(M299="In progress","In progress","")))))</f>
        <v/>
      </c>
      <c r="Q299" s="79">
        <f>IF(OR(D299="",L299=""),"",IF(M299="Done",2,IF(AsOf&gt;L299,3,1)))</f>
        <v/>
      </c>
      <c r="R299" s="79">
        <f>IF(OR(E299="",F299=""),0,IF(COUNTIFS($E$7:E299,E299,$F$7:F299,F299)=1,1,0))</f>
        <v/>
      </c>
      <c r="S299" s="79">
        <f>IF(R299=1,E299&amp;"|"&amp;SUMIFS($R$7:R299,$E$7:E299,E299),"")</f>
        <v/>
      </c>
      <c r="T299" s="112">
        <f>IF(Q299="","",IF(Q299=3,L299,IF(OR(M299="Not started",M299=""),J299,"")))</f>
        <v/>
      </c>
      <c r="U299" s="79">
        <f>IF(T299="","",IF(Q299=3,1,IF(T299="","",IF(T299&lt;AsOf,1,IF(T299&lt;=AsOf+AlertDays,2,IF(T299&lt;=AsOf+2*AlertDays,3,""))))))</f>
        <v/>
      </c>
      <c r="V299" s="79">
        <f>IF(U299="","",IF(Q299=3,"Late task: "&amp;D299,IF(T299&lt;AsOf,"Should have started: ","Starts soon: ")&amp;D299)&amp;IF(F299="",""," — "&amp;F299))</f>
        <v/>
      </c>
    </row>
    <row r="300" ht="20" customHeight="1">
      <c r="B300" s="125" t="n">
        <v>294</v>
      </c>
      <c r="C300" s="72" t="n"/>
      <c r="D300" s="72" t="n"/>
      <c r="E300" s="72" t="n"/>
      <c r="F300" s="72" t="n"/>
      <c r="G300" s="89" t="n"/>
      <c r="H300" s="89" t="n"/>
      <c r="I300" s="109" t="n"/>
      <c r="J300" s="126">
        <f>IF(OR(D300="",ProjStart=""),"",MAX(ProjStart,IF(I300&lt;&gt;"",I300,0),IF(H300="",0,IFERROR(INDEX($L$6:L299,MATCH(H300,$B$6:B299,0))+1,0))))</f>
        <v/>
      </c>
      <c r="K300" s="89" t="n"/>
      <c r="L300" s="126">
        <f>IF(J300="","",J300+MAX(1,G300)+IF(K300="",0,K300)-1)</f>
        <v/>
      </c>
      <c r="M300" s="72" t="n"/>
      <c r="N300" s="109" t="n"/>
      <c r="O300" s="127">
        <f>IF(D300="","",COUNTIF($H$7:$H$1006,B300))</f>
        <v/>
      </c>
      <c r="P300" s="78">
        <f>IF(D300="","",IF(AND(H300&lt;&gt;"",H300&gt;=B300),"⚠️ Predecessor must be above",IF(M300="Done","✓ Done",IF(Q300=3,"🔴 Late",IF(M300="In progress","In progress","")))))</f>
        <v/>
      </c>
      <c r="Q300" s="79">
        <f>IF(OR(D300="",L300=""),"",IF(M300="Done",2,IF(AsOf&gt;L300,3,1)))</f>
        <v/>
      </c>
      <c r="R300" s="79">
        <f>IF(OR(E300="",F300=""),0,IF(COUNTIFS($E$7:E300,E300,$F$7:F300,F300)=1,1,0))</f>
        <v/>
      </c>
      <c r="S300" s="79">
        <f>IF(R300=1,E300&amp;"|"&amp;SUMIFS($R$7:R300,$E$7:E300,E300),"")</f>
        <v/>
      </c>
      <c r="T300" s="112">
        <f>IF(Q300="","",IF(Q300=3,L300,IF(OR(M300="Not started",M300=""),J300,"")))</f>
        <v/>
      </c>
      <c r="U300" s="79">
        <f>IF(T300="","",IF(Q300=3,1,IF(T300="","",IF(T300&lt;AsOf,1,IF(T300&lt;=AsOf+AlertDays,2,IF(T300&lt;=AsOf+2*AlertDays,3,""))))))</f>
        <v/>
      </c>
      <c r="V300" s="79">
        <f>IF(U300="","",IF(Q300=3,"Late task: "&amp;D300,IF(T300&lt;AsOf,"Should have started: ","Starts soon: ")&amp;D300)&amp;IF(F300="",""," — "&amp;F300))</f>
        <v/>
      </c>
    </row>
    <row r="301" ht="20" customHeight="1">
      <c r="B301" s="125" t="n">
        <v>295</v>
      </c>
      <c r="C301" s="72" t="n"/>
      <c r="D301" s="72" t="n"/>
      <c r="E301" s="72" t="n"/>
      <c r="F301" s="72" t="n"/>
      <c r="G301" s="89" t="n"/>
      <c r="H301" s="89" t="n"/>
      <c r="I301" s="109" t="n"/>
      <c r="J301" s="126">
        <f>IF(OR(D301="",ProjStart=""),"",MAX(ProjStart,IF(I301&lt;&gt;"",I301,0),IF(H301="",0,IFERROR(INDEX($L$6:L300,MATCH(H301,$B$6:B300,0))+1,0))))</f>
        <v/>
      </c>
      <c r="K301" s="89" t="n"/>
      <c r="L301" s="126">
        <f>IF(J301="","",J301+MAX(1,G301)+IF(K301="",0,K301)-1)</f>
        <v/>
      </c>
      <c r="M301" s="72" t="n"/>
      <c r="N301" s="109" t="n"/>
      <c r="O301" s="127">
        <f>IF(D301="","",COUNTIF($H$7:$H$1006,B301))</f>
        <v/>
      </c>
      <c r="P301" s="78">
        <f>IF(D301="","",IF(AND(H301&lt;&gt;"",H301&gt;=B301),"⚠️ Predecessor must be above",IF(M301="Done","✓ Done",IF(Q301=3,"🔴 Late",IF(M301="In progress","In progress","")))))</f>
        <v/>
      </c>
      <c r="Q301" s="79">
        <f>IF(OR(D301="",L301=""),"",IF(M301="Done",2,IF(AsOf&gt;L301,3,1)))</f>
        <v/>
      </c>
      <c r="R301" s="79">
        <f>IF(OR(E301="",F301=""),0,IF(COUNTIFS($E$7:E301,E301,$F$7:F301,F301)=1,1,0))</f>
        <v/>
      </c>
      <c r="S301" s="79">
        <f>IF(R301=1,E301&amp;"|"&amp;SUMIFS($R$7:R301,$E$7:E301,E301),"")</f>
        <v/>
      </c>
      <c r="T301" s="112">
        <f>IF(Q301="","",IF(Q301=3,L301,IF(OR(M301="Not started",M301=""),J301,"")))</f>
        <v/>
      </c>
      <c r="U301" s="79">
        <f>IF(T301="","",IF(Q301=3,1,IF(T301="","",IF(T301&lt;AsOf,1,IF(T301&lt;=AsOf+AlertDays,2,IF(T301&lt;=AsOf+2*AlertDays,3,""))))))</f>
        <v/>
      </c>
      <c r="V301" s="79">
        <f>IF(U301="","",IF(Q301=3,"Late task: "&amp;D301,IF(T301&lt;AsOf,"Should have started: ","Starts soon: ")&amp;D301)&amp;IF(F301="",""," — "&amp;F301))</f>
        <v/>
      </c>
    </row>
    <row r="302" ht="20" customHeight="1">
      <c r="B302" s="125" t="n">
        <v>296</v>
      </c>
      <c r="C302" s="72" t="n"/>
      <c r="D302" s="72" t="n"/>
      <c r="E302" s="72" t="n"/>
      <c r="F302" s="72" t="n"/>
      <c r="G302" s="89" t="n"/>
      <c r="H302" s="89" t="n"/>
      <c r="I302" s="109" t="n"/>
      <c r="J302" s="126">
        <f>IF(OR(D302="",ProjStart=""),"",MAX(ProjStart,IF(I302&lt;&gt;"",I302,0),IF(H302="",0,IFERROR(INDEX($L$6:L301,MATCH(H302,$B$6:B301,0))+1,0))))</f>
        <v/>
      </c>
      <c r="K302" s="89" t="n"/>
      <c r="L302" s="126">
        <f>IF(J302="","",J302+MAX(1,G302)+IF(K302="",0,K302)-1)</f>
        <v/>
      </c>
      <c r="M302" s="72" t="n"/>
      <c r="N302" s="109" t="n"/>
      <c r="O302" s="127">
        <f>IF(D302="","",COUNTIF($H$7:$H$1006,B302))</f>
        <v/>
      </c>
      <c r="P302" s="78">
        <f>IF(D302="","",IF(AND(H302&lt;&gt;"",H302&gt;=B302),"⚠️ Predecessor must be above",IF(M302="Done","✓ Done",IF(Q302=3,"🔴 Late",IF(M302="In progress","In progress","")))))</f>
        <v/>
      </c>
      <c r="Q302" s="79">
        <f>IF(OR(D302="",L302=""),"",IF(M302="Done",2,IF(AsOf&gt;L302,3,1)))</f>
        <v/>
      </c>
      <c r="R302" s="79">
        <f>IF(OR(E302="",F302=""),0,IF(COUNTIFS($E$7:E302,E302,$F$7:F302,F302)=1,1,0))</f>
        <v/>
      </c>
      <c r="S302" s="79">
        <f>IF(R302=1,E302&amp;"|"&amp;SUMIFS($R$7:R302,$E$7:E302,E302),"")</f>
        <v/>
      </c>
      <c r="T302" s="112">
        <f>IF(Q302="","",IF(Q302=3,L302,IF(OR(M302="Not started",M302=""),J302,"")))</f>
        <v/>
      </c>
      <c r="U302" s="79">
        <f>IF(T302="","",IF(Q302=3,1,IF(T302="","",IF(T302&lt;AsOf,1,IF(T302&lt;=AsOf+AlertDays,2,IF(T302&lt;=AsOf+2*AlertDays,3,""))))))</f>
        <v/>
      </c>
      <c r="V302" s="79">
        <f>IF(U302="","",IF(Q302=3,"Late task: "&amp;D302,IF(T302&lt;AsOf,"Should have started: ","Starts soon: ")&amp;D302)&amp;IF(F302="",""," — "&amp;F302))</f>
        <v/>
      </c>
    </row>
    <row r="303" ht="20" customHeight="1">
      <c r="B303" s="125" t="n">
        <v>297</v>
      </c>
      <c r="C303" s="72" t="n"/>
      <c r="D303" s="72" t="n"/>
      <c r="E303" s="72" t="n"/>
      <c r="F303" s="72" t="n"/>
      <c r="G303" s="89" t="n"/>
      <c r="H303" s="89" t="n"/>
      <c r="I303" s="109" t="n"/>
      <c r="J303" s="126">
        <f>IF(OR(D303="",ProjStart=""),"",MAX(ProjStart,IF(I303&lt;&gt;"",I303,0),IF(H303="",0,IFERROR(INDEX($L$6:L302,MATCH(H303,$B$6:B302,0))+1,0))))</f>
        <v/>
      </c>
      <c r="K303" s="89" t="n"/>
      <c r="L303" s="126">
        <f>IF(J303="","",J303+MAX(1,G303)+IF(K303="",0,K303)-1)</f>
        <v/>
      </c>
      <c r="M303" s="72" t="n"/>
      <c r="N303" s="109" t="n"/>
      <c r="O303" s="127">
        <f>IF(D303="","",COUNTIF($H$7:$H$1006,B303))</f>
        <v/>
      </c>
      <c r="P303" s="78">
        <f>IF(D303="","",IF(AND(H303&lt;&gt;"",H303&gt;=B303),"⚠️ Predecessor must be above",IF(M303="Done","✓ Done",IF(Q303=3,"🔴 Late",IF(M303="In progress","In progress","")))))</f>
        <v/>
      </c>
      <c r="Q303" s="79">
        <f>IF(OR(D303="",L303=""),"",IF(M303="Done",2,IF(AsOf&gt;L303,3,1)))</f>
        <v/>
      </c>
      <c r="R303" s="79">
        <f>IF(OR(E303="",F303=""),0,IF(COUNTIFS($E$7:E303,E303,$F$7:F303,F303)=1,1,0))</f>
        <v/>
      </c>
      <c r="S303" s="79">
        <f>IF(R303=1,E303&amp;"|"&amp;SUMIFS($R$7:R303,$E$7:E303,E303),"")</f>
        <v/>
      </c>
      <c r="T303" s="112">
        <f>IF(Q303="","",IF(Q303=3,L303,IF(OR(M303="Not started",M303=""),J303,"")))</f>
        <v/>
      </c>
      <c r="U303" s="79">
        <f>IF(T303="","",IF(Q303=3,1,IF(T303="","",IF(T303&lt;AsOf,1,IF(T303&lt;=AsOf+AlertDays,2,IF(T303&lt;=AsOf+2*AlertDays,3,""))))))</f>
        <v/>
      </c>
      <c r="V303" s="79">
        <f>IF(U303="","",IF(Q303=3,"Late task: "&amp;D303,IF(T303&lt;AsOf,"Should have started: ","Starts soon: ")&amp;D303)&amp;IF(F303="",""," — "&amp;F303))</f>
        <v/>
      </c>
    </row>
    <row r="304" ht="20" customHeight="1">
      <c r="B304" s="125" t="n">
        <v>298</v>
      </c>
      <c r="C304" s="72" t="n"/>
      <c r="D304" s="72" t="n"/>
      <c r="E304" s="72" t="n"/>
      <c r="F304" s="72" t="n"/>
      <c r="G304" s="89" t="n"/>
      <c r="H304" s="89" t="n"/>
      <c r="I304" s="109" t="n"/>
      <c r="J304" s="126">
        <f>IF(OR(D304="",ProjStart=""),"",MAX(ProjStart,IF(I304&lt;&gt;"",I304,0),IF(H304="",0,IFERROR(INDEX($L$6:L303,MATCH(H304,$B$6:B303,0))+1,0))))</f>
        <v/>
      </c>
      <c r="K304" s="89" t="n"/>
      <c r="L304" s="126">
        <f>IF(J304="","",J304+MAX(1,G304)+IF(K304="",0,K304)-1)</f>
        <v/>
      </c>
      <c r="M304" s="72" t="n"/>
      <c r="N304" s="109" t="n"/>
      <c r="O304" s="127">
        <f>IF(D304="","",COUNTIF($H$7:$H$1006,B304))</f>
        <v/>
      </c>
      <c r="P304" s="78">
        <f>IF(D304="","",IF(AND(H304&lt;&gt;"",H304&gt;=B304),"⚠️ Predecessor must be above",IF(M304="Done","✓ Done",IF(Q304=3,"🔴 Late",IF(M304="In progress","In progress","")))))</f>
        <v/>
      </c>
      <c r="Q304" s="79">
        <f>IF(OR(D304="",L304=""),"",IF(M304="Done",2,IF(AsOf&gt;L304,3,1)))</f>
        <v/>
      </c>
      <c r="R304" s="79">
        <f>IF(OR(E304="",F304=""),0,IF(COUNTIFS($E$7:E304,E304,$F$7:F304,F304)=1,1,0))</f>
        <v/>
      </c>
      <c r="S304" s="79">
        <f>IF(R304=1,E304&amp;"|"&amp;SUMIFS($R$7:R304,$E$7:E304,E304),"")</f>
        <v/>
      </c>
      <c r="T304" s="112">
        <f>IF(Q304="","",IF(Q304=3,L304,IF(OR(M304="Not started",M304=""),J304,"")))</f>
        <v/>
      </c>
      <c r="U304" s="79">
        <f>IF(T304="","",IF(Q304=3,1,IF(T304="","",IF(T304&lt;AsOf,1,IF(T304&lt;=AsOf+AlertDays,2,IF(T304&lt;=AsOf+2*AlertDays,3,""))))))</f>
        <v/>
      </c>
      <c r="V304" s="79">
        <f>IF(U304="","",IF(Q304=3,"Late task: "&amp;D304,IF(T304&lt;AsOf,"Should have started: ","Starts soon: ")&amp;D304)&amp;IF(F304="",""," — "&amp;F304))</f>
        <v/>
      </c>
    </row>
    <row r="305" ht="20" customHeight="1">
      <c r="B305" s="125" t="n">
        <v>299</v>
      </c>
      <c r="C305" s="72" t="n"/>
      <c r="D305" s="72" t="n"/>
      <c r="E305" s="72" t="n"/>
      <c r="F305" s="72" t="n"/>
      <c r="G305" s="89" t="n"/>
      <c r="H305" s="89" t="n"/>
      <c r="I305" s="109" t="n"/>
      <c r="J305" s="126">
        <f>IF(OR(D305="",ProjStart=""),"",MAX(ProjStart,IF(I305&lt;&gt;"",I305,0),IF(H305="",0,IFERROR(INDEX($L$6:L304,MATCH(H305,$B$6:B304,0))+1,0))))</f>
        <v/>
      </c>
      <c r="K305" s="89" t="n"/>
      <c r="L305" s="126">
        <f>IF(J305="","",J305+MAX(1,G305)+IF(K305="",0,K305)-1)</f>
        <v/>
      </c>
      <c r="M305" s="72" t="n"/>
      <c r="N305" s="109" t="n"/>
      <c r="O305" s="127">
        <f>IF(D305="","",COUNTIF($H$7:$H$1006,B305))</f>
        <v/>
      </c>
      <c r="P305" s="78">
        <f>IF(D305="","",IF(AND(H305&lt;&gt;"",H305&gt;=B305),"⚠️ Predecessor must be above",IF(M305="Done","✓ Done",IF(Q305=3,"🔴 Late",IF(M305="In progress","In progress","")))))</f>
        <v/>
      </c>
      <c r="Q305" s="79">
        <f>IF(OR(D305="",L305=""),"",IF(M305="Done",2,IF(AsOf&gt;L305,3,1)))</f>
        <v/>
      </c>
      <c r="R305" s="79">
        <f>IF(OR(E305="",F305=""),0,IF(COUNTIFS($E$7:E305,E305,$F$7:F305,F305)=1,1,0))</f>
        <v/>
      </c>
      <c r="S305" s="79">
        <f>IF(R305=1,E305&amp;"|"&amp;SUMIFS($R$7:R305,$E$7:E305,E305),"")</f>
        <v/>
      </c>
      <c r="T305" s="112">
        <f>IF(Q305="","",IF(Q305=3,L305,IF(OR(M305="Not started",M305=""),J305,"")))</f>
        <v/>
      </c>
      <c r="U305" s="79">
        <f>IF(T305="","",IF(Q305=3,1,IF(T305="","",IF(T305&lt;AsOf,1,IF(T305&lt;=AsOf+AlertDays,2,IF(T305&lt;=AsOf+2*AlertDays,3,""))))))</f>
        <v/>
      </c>
      <c r="V305" s="79">
        <f>IF(U305="","",IF(Q305=3,"Late task: "&amp;D305,IF(T305&lt;AsOf,"Should have started: ","Starts soon: ")&amp;D305)&amp;IF(F305="",""," — "&amp;F305))</f>
        <v/>
      </c>
    </row>
    <row r="306" ht="20" customHeight="1">
      <c r="B306" s="125" t="n">
        <v>300</v>
      </c>
      <c r="C306" s="72" t="n"/>
      <c r="D306" s="72" t="n"/>
      <c r="E306" s="72" t="n"/>
      <c r="F306" s="72" t="n"/>
      <c r="G306" s="89" t="n"/>
      <c r="H306" s="89" t="n"/>
      <c r="I306" s="109" t="n"/>
      <c r="J306" s="126">
        <f>IF(OR(D306="",ProjStart=""),"",MAX(ProjStart,IF(I306&lt;&gt;"",I306,0),IF(H306="",0,IFERROR(INDEX($L$6:L305,MATCH(H306,$B$6:B305,0))+1,0))))</f>
        <v/>
      </c>
      <c r="K306" s="89" t="n"/>
      <c r="L306" s="126">
        <f>IF(J306="","",J306+MAX(1,G306)+IF(K306="",0,K306)-1)</f>
        <v/>
      </c>
      <c r="M306" s="72" t="n"/>
      <c r="N306" s="109" t="n"/>
      <c r="O306" s="127">
        <f>IF(D306="","",COUNTIF($H$7:$H$1006,B306))</f>
        <v/>
      </c>
      <c r="P306" s="78">
        <f>IF(D306="","",IF(AND(H306&lt;&gt;"",H306&gt;=B306),"⚠️ Predecessor must be above",IF(M306="Done","✓ Done",IF(Q306=3,"🔴 Late",IF(M306="In progress","In progress","")))))</f>
        <v/>
      </c>
      <c r="Q306" s="79">
        <f>IF(OR(D306="",L306=""),"",IF(M306="Done",2,IF(AsOf&gt;L306,3,1)))</f>
        <v/>
      </c>
      <c r="R306" s="79">
        <f>IF(OR(E306="",F306=""),0,IF(COUNTIFS($E$7:E306,E306,$F$7:F306,F306)=1,1,0))</f>
        <v/>
      </c>
      <c r="S306" s="79">
        <f>IF(R306=1,E306&amp;"|"&amp;SUMIFS($R$7:R306,$E$7:E306,E306),"")</f>
        <v/>
      </c>
      <c r="T306" s="112">
        <f>IF(Q306="","",IF(Q306=3,L306,IF(OR(M306="Not started",M306=""),J306,"")))</f>
        <v/>
      </c>
      <c r="U306" s="79">
        <f>IF(T306="","",IF(Q306=3,1,IF(T306="","",IF(T306&lt;AsOf,1,IF(T306&lt;=AsOf+AlertDays,2,IF(T306&lt;=AsOf+2*AlertDays,3,""))))))</f>
        <v/>
      </c>
      <c r="V306" s="79">
        <f>IF(U306="","",IF(Q306=3,"Late task: "&amp;D306,IF(T306&lt;AsOf,"Should have started: ","Starts soon: ")&amp;D306)&amp;IF(F306="",""," — "&amp;F306))</f>
        <v/>
      </c>
    </row>
    <row r="307" ht="20" customHeight="1">
      <c r="B307" s="125" t="n">
        <v>301</v>
      </c>
      <c r="C307" s="72" t="n"/>
      <c r="D307" s="72" t="n"/>
      <c r="E307" s="72" t="n"/>
      <c r="F307" s="72" t="n"/>
      <c r="G307" s="89" t="n"/>
      <c r="H307" s="89" t="n"/>
      <c r="I307" s="109" t="n"/>
      <c r="J307" s="126">
        <f>IF(OR(D307="",ProjStart=""),"",MAX(ProjStart,IF(I307&lt;&gt;"",I307,0),IF(H307="",0,IFERROR(INDEX($L$6:L306,MATCH(H307,$B$6:B306,0))+1,0))))</f>
        <v/>
      </c>
      <c r="K307" s="89" t="n"/>
      <c r="L307" s="126">
        <f>IF(J307="","",J307+MAX(1,G307)+IF(K307="",0,K307)-1)</f>
        <v/>
      </c>
      <c r="M307" s="72" t="n"/>
      <c r="N307" s="109" t="n"/>
      <c r="O307" s="127">
        <f>IF(D307="","",COUNTIF($H$7:$H$1006,B307))</f>
        <v/>
      </c>
      <c r="P307" s="78">
        <f>IF(D307="","",IF(AND(H307&lt;&gt;"",H307&gt;=B307),"⚠️ Predecessor must be above",IF(M307="Done","✓ Done",IF(Q307=3,"🔴 Late",IF(M307="In progress","In progress","")))))</f>
        <v/>
      </c>
      <c r="Q307" s="79">
        <f>IF(OR(D307="",L307=""),"",IF(M307="Done",2,IF(AsOf&gt;L307,3,1)))</f>
        <v/>
      </c>
      <c r="R307" s="79">
        <f>IF(OR(E307="",F307=""),0,IF(COUNTIFS($E$7:E307,E307,$F$7:F307,F307)=1,1,0))</f>
        <v/>
      </c>
      <c r="S307" s="79">
        <f>IF(R307=1,E307&amp;"|"&amp;SUMIFS($R$7:R307,$E$7:E307,E307),"")</f>
        <v/>
      </c>
      <c r="T307" s="112">
        <f>IF(Q307="","",IF(Q307=3,L307,IF(OR(M307="Not started",M307=""),J307,"")))</f>
        <v/>
      </c>
      <c r="U307" s="79">
        <f>IF(T307="","",IF(Q307=3,1,IF(T307="","",IF(T307&lt;AsOf,1,IF(T307&lt;=AsOf+AlertDays,2,IF(T307&lt;=AsOf+2*AlertDays,3,""))))))</f>
        <v/>
      </c>
      <c r="V307" s="79">
        <f>IF(U307="","",IF(Q307=3,"Late task: "&amp;D307,IF(T307&lt;AsOf,"Should have started: ","Starts soon: ")&amp;D307)&amp;IF(F307="",""," — "&amp;F307))</f>
        <v/>
      </c>
    </row>
    <row r="308" ht="20" customHeight="1">
      <c r="B308" s="125" t="n">
        <v>302</v>
      </c>
      <c r="C308" s="72" t="n"/>
      <c r="D308" s="72" t="n"/>
      <c r="E308" s="72" t="n"/>
      <c r="F308" s="72" t="n"/>
      <c r="G308" s="89" t="n"/>
      <c r="H308" s="89" t="n"/>
      <c r="I308" s="109" t="n"/>
      <c r="J308" s="126">
        <f>IF(OR(D308="",ProjStart=""),"",MAX(ProjStart,IF(I308&lt;&gt;"",I308,0),IF(H308="",0,IFERROR(INDEX($L$6:L307,MATCH(H308,$B$6:B307,0))+1,0))))</f>
        <v/>
      </c>
      <c r="K308" s="89" t="n"/>
      <c r="L308" s="126">
        <f>IF(J308="","",J308+MAX(1,G308)+IF(K308="",0,K308)-1)</f>
        <v/>
      </c>
      <c r="M308" s="72" t="n"/>
      <c r="N308" s="109" t="n"/>
      <c r="O308" s="127">
        <f>IF(D308="","",COUNTIF($H$7:$H$1006,B308))</f>
        <v/>
      </c>
      <c r="P308" s="78">
        <f>IF(D308="","",IF(AND(H308&lt;&gt;"",H308&gt;=B308),"⚠️ Predecessor must be above",IF(M308="Done","✓ Done",IF(Q308=3,"🔴 Late",IF(M308="In progress","In progress","")))))</f>
        <v/>
      </c>
      <c r="Q308" s="79">
        <f>IF(OR(D308="",L308=""),"",IF(M308="Done",2,IF(AsOf&gt;L308,3,1)))</f>
        <v/>
      </c>
      <c r="R308" s="79">
        <f>IF(OR(E308="",F308=""),0,IF(COUNTIFS($E$7:E308,E308,$F$7:F308,F308)=1,1,0))</f>
        <v/>
      </c>
      <c r="S308" s="79">
        <f>IF(R308=1,E308&amp;"|"&amp;SUMIFS($R$7:R308,$E$7:E308,E308),"")</f>
        <v/>
      </c>
      <c r="T308" s="112">
        <f>IF(Q308="","",IF(Q308=3,L308,IF(OR(M308="Not started",M308=""),J308,"")))</f>
        <v/>
      </c>
      <c r="U308" s="79">
        <f>IF(T308="","",IF(Q308=3,1,IF(T308="","",IF(T308&lt;AsOf,1,IF(T308&lt;=AsOf+AlertDays,2,IF(T308&lt;=AsOf+2*AlertDays,3,""))))))</f>
        <v/>
      </c>
      <c r="V308" s="79">
        <f>IF(U308="","",IF(Q308=3,"Late task: "&amp;D308,IF(T308&lt;AsOf,"Should have started: ","Starts soon: ")&amp;D308)&amp;IF(F308="",""," — "&amp;F308))</f>
        <v/>
      </c>
    </row>
    <row r="309" ht="20" customHeight="1">
      <c r="B309" s="125" t="n">
        <v>303</v>
      </c>
      <c r="C309" s="72" t="n"/>
      <c r="D309" s="72" t="n"/>
      <c r="E309" s="72" t="n"/>
      <c r="F309" s="72" t="n"/>
      <c r="G309" s="89" t="n"/>
      <c r="H309" s="89" t="n"/>
      <c r="I309" s="109" t="n"/>
      <c r="J309" s="126">
        <f>IF(OR(D309="",ProjStart=""),"",MAX(ProjStart,IF(I309&lt;&gt;"",I309,0),IF(H309="",0,IFERROR(INDEX($L$6:L308,MATCH(H309,$B$6:B308,0))+1,0))))</f>
        <v/>
      </c>
      <c r="K309" s="89" t="n"/>
      <c r="L309" s="126">
        <f>IF(J309="","",J309+MAX(1,G309)+IF(K309="",0,K309)-1)</f>
        <v/>
      </c>
      <c r="M309" s="72" t="n"/>
      <c r="N309" s="109" t="n"/>
      <c r="O309" s="127">
        <f>IF(D309="","",COUNTIF($H$7:$H$1006,B309))</f>
        <v/>
      </c>
      <c r="P309" s="78">
        <f>IF(D309="","",IF(AND(H309&lt;&gt;"",H309&gt;=B309),"⚠️ Predecessor must be above",IF(M309="Done","✓ Done",IF(Q309=3,"🔴 Late",IF(M309="In progress","In progress","")))))</f>
        <v/>
      </c>
      <c r="Q309" s="79">
        <f>IF(OR(D309="",L309=""),"",IF(M309="Done",2,IF(AsOf&gt;L309,3,1)))</f>
        <v/>
      </c>
      <c r="R309" s="79">
        <f>IF(OR(E309="",F309=""),0,IF(COUNTIFS($E$7:E309,E309,$F$7:F309,F309)=1,1,0))</f>
        <v/>
      </c>
      <c r="S309" s="79">
        <f>IF(R309=1,E309&amp;"|"&amp;SUMIFS($R$7:R309,$E$7:E309,E309),"")</f>
        <v/>
      </c>
      <c r="T309" s="112">
        <f>IF(Q309="","",IF(Q309=3,L309,IF(OR(M309="Not started",M309=""),J309,"")))</f>
        <v/>
      </c>
      <c r="U309" s="79">
        <f>IF(T309="","",IF(Q309=3,1,IF(T309="","",IF(T309&lt;AsOf,1,IF(T309&lt;=AsOf+AlertDays,2,IF(T309&lt;=AsOf+2*AlertDays,3,""))))))</f>
        <v/>
      </c>
      <c r="V309" s="79">
        <f>IF(U309="","",IF(Q309=3,"Late task: "&amp;D309,IF(T309&lt;AsOf,"Should have started: ","Starts soon: ")&amp;D309)&amp;IF(F309="",""," — "&amp;F309))</f>
        <v/>
      </c>
    </row>
    <row r="310" ht="20" customHeight="1">
      <c r="B310" s="125" t="n">
        <v>304</v>
      </c>
      <c r="C310" s="72" t="n"/>
      <c r="D310" s="72" t="n"/>
      <c r="E310" s="72" t="n"/>
      <c r="F310" s="72" t="n"/>
      <c r="G310" s="89" t="n"/>
      <c r="H310" s="89" t="n"/>
      <c r="I310" s="109" t="n"/>
      <c r="J310" s="126">
        <f>IF(OR(D310="",ProjStart=""),"",MAX(ProjStart,IF(I310&lt;&gt;"",I310,0),IF(H310="",0,IFERROR(INDEX($L$6:L309,MATCH(H310,$B$6:B309,0))+1,0))))</f>
        <v/>
      </c>
      <c r="K310" s="89" t="n"/>
      <c r="L310" s="126">
        <f>IF(J310="","",J310+MAX(1,G310)+IF(K310="",0,K310)-1)</f>
        <v/>
      </c>
      <c r="M310" s="72" t="n"/>
      <c r="N310" s="109" t="n"/>
      <c r="O310" s="127">
        <f>IF(D310="","",COUNTIF($H$7:$H$1006,B310))</f>
        <v/>
      </c>
      <c r="P310" s="78">
        <f>IF(D310="","",IF(AND(H310&lt;&gt;"",H310&gt;=B310),"⚠️ Predecessor must be above",IF(M310="Done","✓ Done",IF(Q310=3,"🔴 Late",IF(M310="In progress","In progress","")))))</f>
        <v/>
      </c>
      <c r="Q310" s="79">
        <f>IF(OR(D310="",L310=""),"",IF(M310="Done",2,IF(AsOf&gt;L310,3,1)))</f>
        <v/>
      </c>
      <c r="R310" s="79">
        <f>IF(OR(E310="",F310=""),0,IF(COUNTIFS($E$7:E310,E310,$F$7:F310,F310)=1,1,0))</f>
        <v/>
      </c>
      <c r="S310" s="79">
        <f>IF(R310=1,E310&amp;"|"&amp;SUMIFS($R$7:R310,$E$7:E310,E310),"")</f>
        <v/>
      </c>
      <c r="T310" s="112">
        <f>IF(Q310="","",IF(Q310=3,L310,IF(OR(M310="Not started",M310=""),J310,"")))</f>
        <v/>
      </c>
      <c r="U310" s="79">
        <f>IF(T310="","",IF(Q310=3,1,IF(T310="","",IF(T310&lt;AsOf,1,IF(T310&lt;=AsOf+AlertDays,2,IF(T310&lt;=AsOf+2*AlertDays,3,""))))))</f>
        <v/>
      </c>
      <c r="V310" s="79">
        <f>IF(U310="","",IF(Q310=3,"Late task: "&amp;D310,IF(T310&lt;AsOf,"Should have started: ","Starts soon: ")&amp;D310)&amp;IF(F310="",""," — "&amp;F310))</f>
        <v/>
      </c>
    </row>
    <row r="311" ht="20" customHeight="1">
      <c r="B311" s="125" t="n">
        <v>305</v>
      </c>
      <c r="C311" s="72" t="n"/>
      <c r="D311" s="72" t="n"/>
      <c r="E311" s="72" t="n"/>
      <c r="F311" s="72" t="n"/>
      <c r="G311" s="89" t="n"/>
      <c r="H311" s="89" t="n"/>
      <c r="I311" s="109" t="n"/>
      <c r="J311" s="126">
        <f>IF(OR(D311="",ProjStart=""),"",MAX(ProjStart,IF(I311&lt;&gt;"",I311,0),IF(H311="",0,IFERROR(INDEX($L$6:L310,MATCH(H311,$B$6:B310,0))+1,0))))</f>
        <v/>
      </c>
      <c r="K311" s="89" t="n"/>
      <c r="L311" s="126">
        <f>IF(J311="","",J311+MAX(1,G311)+IF(K311="",0,K311)-1)</f>
        <v/>
      </c>
      <c r="M311" s="72" t="n"/>
      <c r="N311" s="109" t="n"/>
      <c r="O311" s="127">
        <f>IF(D311="","",COUNTIF($H$7:$H$1006,B311))</f>
        <v/>
      </c>
      <c r="P311" s="78">
        <f>IF(D311="","",IF(AND(H311&lt;&gt;"",H311&gt;=B311),"⚠️ Predecessor must be above",IF(M311="Done","✓ Done",IF(Q311=3,"🔴 Late",IF(M311="In progress","In progress","")))))</f>
        <v/>
      </c>
      <c r="Q311" s="79">
        <f>IF(OR(D311="",L311=""),"",IF(M311="Done",2,IF(AsOf&gt;L311,3,1)))</f>
        <v/>
      </c>
      <c r="R311" s="79">
        <f>IF(OR(E311="",F311=""),0,IF(COUNTIFS($E$7:E311,E311,$F$7:F311,F311)=1,1,0))</f>
        <v/>
      </c>
      <c r="S311" s="79">
        <f>IF(R311=1,E311&amp;"|"&amp;SUMIFS($R$7:R311,$E$7:E311,E311),"")</f>
        <v/>
      </c>
      <c r="T311" s="112">
        <f>IF(Q311="","",IF(Q311=3,L311,IF(OR(M311="Not started",M311=""),J311,"")))</f>
        <v/>
      </c>
      <c r="U311" s="79">
        <f>IF(T311="","",IF(Q311=3,1,IF(T311="","",IF(T311&lt;AsOf,1,IF(T311&lt;=AsOf+AlertDays,2,IF(T311&lt;=AsOf+2*AlertDays,3,""))))))</f>
        <v/>
      </c>
      <c r="V311" s="79">
        <f>IF(U311="","",IF(Q311=3,"Late task: "&amp;D311,IF(T311&lt;AsOf,"Should have started: ","Starts soon: ")&amp;D311)&amp;IF(F311="",""," — "&amp;F311))</f>
        <v/>
      </c>
    </row>
    <row r="312" ht="20" customHeight="1">
      <c r="B312" s="125" t="n">
        <v>306</v>
      </c>
      <c r="C312" s="72" t="n"/>
      <c r="D312" s="72" t="n"/>
      <c r="E312" s="72" t="n"/>
      <c r="F312" s="72" t="n"/>
      <c r="G312" s="89" t="n"/>
      <c r="H312" s="89" t="n"/>
      <c r="I312" s="109" t="n"/>
      <c r="J312" s="126">
        <f>IF(OR(D312="",ProjStart=""),"",MAX(ProjStart,IF(I312&lt;&gt;"",I312,0),IF(H312="",0,IFERROR(INDEX($L$6:L311,MATCH(H312,$B$6:B311,0))+1,0))))</f>
        <v/>
      </c>
      <c r="K312" s="89" t="n"/>
      <c r="L312" s="126">
        <f>IF(J312="","",J312+MAX(1,G312)+IF(K312="",0,K312)-1)</f>
        <v/>
      </c>
      <c r="M312" s="72" t="n"/>
      <c r="N312" s="109" t="n"/>
      <c r="O312" s="127">
        <f>IF(D312="","",COUNTIF($H$7:$H$1006,B312))</f>
        <v/>
      </c>
      <c r="P312" s="78">
        <f>IF(D312="","",IF(AND(H312&lt;&gt;"",H312&gt;=B312),"⚠️ Predecessor must be above",IF(M312="Done","✓ Done",IF(Q312=3,"🔴 Late",IF(M312="In progress","In progress","")))))</f>
        <v/>
      </c>
      <c r="Q312" s="79">
        <f>IF(OR(D312="",L312=""),"",IF(M312="Done",2,IF(AsOf&gt;L312,3,1)))</f>
        <v/>
      </c>
      <c r="R312" s="79">
        <f>IF(OR(E312="",F312=""),0,IF(COUNTIFS($E$7:E312,E312,$F$7:F312,F312)=1,1,0))</f>
        <v/>
      </c>
      <c r="S312" s="79">
        <f>IF(R312=1,E312&amp;"|"&amp;SUMIFS($R$7:R312,$E$7:E312,E312),"")</f>
        <v/>
      </c>
      <c r="T312" s="112">
        <f>IF(Q312="","",IF(Q312=3,L312,IF(OR(M312="Not started",M312=""),J312,"")))</f>
        <v/>
      </c>
      <c r="U312" s="79">
        <f>IF(T312="","",IF(Q312=3,1,IF(T312="","",IF(T312&lt;AsOf,1,IF(T312&lt;=AsOf+AlertDays,2,IF(T312&lt;=AsOf+2*AlertDays,3,""))))))</f>
        <v/>
      </c>
      <c r="V312" s="79">
        <f>IF(U312="","",IF(Q312=3,"Late task: "&amp;D312,IF(T312&lt;AsOf,"Should have started: ","Starts soon: ")&amp;D312)&amp;IF(F312="",""," — "&amp;F312))</f>
        <v/>
      </c>
    </row>
    <row r="313" ht="20" customHeight="1">
      <c r="B313" s="125" t="n">
        <v>307</v>
      </c>
      <c r="C313" s="72" t="n"/>
      <c r="D313" s="72" t="n"/>
      <c r="E313" s="72" t="n"/>
      <c r="F313" s="72" t="n"/>
      <c r="G313" s="89" t="n"/>
      <c r="H313" s="89" t="n"/>
      <c r="I313" s="109" t="n"/>
      <c r="J313" s="126">
        <f>IF(OR(D313="",ProjStart=""),"",MAX(ProjStart,IF(I313&lt;&gt;"",I313,0),IF(H313="",0,IFERROR(INDEX($L$6:L312,MATCH(H313,$B$6:B312,0))+1,0))))</f>
        <v/>
      </c>
      <c r="K313" s="89" t="n"/>
      <c r="L313" s="126">
        <f>IF(J313="","",J313+MAX(1,G313)+IF(K313="",0,K313)-1)</f>
        <v/>
      </c>
      <c r="M313" s="72" t="n"/>
      <c r="N313" s="109" t="n"/>
      <c r="O313" s="127">
        <f>IF(D313="","",COUNTIF($H$7:$H$1006,B313))</f>
        <v/>
      </c>
      <c r="P313" s="78">
        <f>IF(D313="","",IF(AND(H313&lt;&gt;"",H313&gt;=B313),"⚠️ Predecessor must be above",IF(M313="Done","✓ Done",IF(Q313=3,"🔴 Late",IF(M313="In progress","In progress","")))))</f>
        <v/>
      </c>
      <c r="Q313" s="79">
        <f>IF(OR(D313="",L313=""),"",IF(M313="Done",2,IF(AsOf&gt;L313,3,1)))</f>
        <v/>
      </c>
      <c r="R313" s="79">
        <f>IF(OR(E313="",F313=""),0,IF(COUNTIFS($E$7:E313,E313,$F$7:F313,F313)=1,1,0))</f>
        <v/>
      </c>
      <c r="S313" s="79">
        <f>IF(R313=1,E313&amp;"|"&amp;SUMIFS($R$7:R313,$E$7:E313,E313),"")</f>
        <v/>
      </c>
      <c r="T313" s="112">
        <f>IF(Q313="","",IF(Q313=3,L313,IF(OR(M313="Not started",M313=""),J313,"")))</f>
        <v/>
      </c>
      <c r="U313" s="79">
        <f>IF(T313="","",IF(Q313=3,1,IF(T313="","",IF(T313&lt;AsOf,1,IF(T313&lt;=AsOf+AlertDays,2,IF(T313&lt;=AsOf+2*AlertDays,3,""))))))</f>
        <v/>
      </c>
      <c r="V313" s="79">
        <f>IF(U313="","",IF(Q313=3,"Late task: "&amp;D313,IF(T313&lt;AsOf,"Should have started: ","Starts soon: ")&amp;D313)&amp;IF(F313="",""," — "&amp;F313))</f>
        <v/>
      </c>
    </row>
    <row r="314" ht="20" customHeight="1">
      <c r="B314" s="125" t="n">
        <v>308</v>
      </c>
      <c r="C314" s="72" t="n"/>
      <c r="D314" s="72" t="n"/>
      <c r="E314" s="72" t="n"/>
      <c r="F314" s="72" t="n"/>
      <c r="G314" s="89" t="n"/>
      <c r="H314" s="89" t="n"/>
      <c r="I314" s="109" t="n"/>
      <c r="J314" s="126">
        <f>IF(OR(D314="",ProjStart=""),"",MAX(ProjStart,IF(I314&lt;&gt;"",I314,0),IF(H314="",0,IFERROR(INDEX($L$6:L313,MATCH(H314,$B$6:B313,0))+1,0))))</f>
        <v/>
      </c>
      <c r="K314" s="89" t="n"/>
      <c r="L314" s="126">
        <f>IF(J314="","",J314+MAX(1,G314)+IF(K314="",0,K314)-1)</f>
        <v/>
      </c>
      <c r="M314" s="72" t="n"/>
      <c r="N314" s="109" t="n"/>
      <c r="O314" s="127">
        <f>IF(D314="","",COUNTIF($H$7:$H$1006,B314))</f>
        <v/>
      </c>
      <c r="P314" s="78">
        <f>IF(D314="","",IF(AND(H314&lt;&gt;"",H314&gt;=B314),"⚠️ Predecessor must be above",IF(M314="Done","✓ Done",IF(Q314=3,"🔴 Late",IF(M314="In progress","In progress","")))))</f>
        <v/>
      </c>
      <c r="Q314" s="79">
        <f>IF(OR(D314="",L314=""),"",IF(M314="Done",2,IF(AsOf&gt;L314,3,1)))</f>
        <v/>
      </c>
      <c r="R314" s="79">
        <f>IF(OR(E314="",F314=""),0,IF(COUNTIFS($E$7:E314,E314,$F$7:F314,F314)=1,1,0))</f>
        <v/>
      </c>
      <c r="S314" s="79">
        <f>IF(R314=1,E314&amp;"|"&amp;SUMIFS($R$7:R314,$E$7:E314,E314),"")</f>
        <v/>
      </c>
      <c r="T314" s="112">
        <f>IF(Q314="","",IF(Q314=3,L314,IF(OR(M314="Not started",M314=""),J314,"")))</f>
        <v/>
      </c>
      <c r="U314" s="79">
        <f>IF(T314="","",IF(Q314=3,1,IF(T314="","",IF(T314&lt;AsOf,1,IF(T314&lt;=AsOf+AlertDays,2,IF(T314&lt;=AsOf+2*AlertDays,3,""))))))</f>
        <v/>
      </c>
      <c r="V314" s="79">
        <f>IF(U314="","",IF(Q314=3,"Late task: "&amp;D314,IF(T314&lt;AsOf,"Should have started: ","Starts soon: ")&amp;D314)&amp;IF(F314="",""," — "&amp;F314))</f>
        <v/>
      </c>
    </row>
    <row r="315" ht="20" customHeight="1">
      <c r="B315" s="125" t="n">
        <v>309</v>
      </c>
      <c r="C315" s="72" t="n"/>
      <c r="D315" s="72" t="n"/>
      <c r="E315" s="72" t="n"/>
      <c r="F315" s="72" t="n"/>
      <c r="G315" s="89" t="n"/>
      <c r="H315" s="89" t="n"/>
      <c r="I315" s="109" t="n"/>
      <c r="J315" s="126">
        <f>IF(OR(D315="",ProjStart=""),"",MAX(ProjStart,IF(I315&lt;&gt;"",I315,0),IF(H315="",0,IFERROR(INDEX($L$6:L314,MATCH(H315,$B$6:B314,0))+1,0))))</f>
        <v/>
      </c>
      <c r="K315" s="89" t="n"/>
      <c r="L315" s="126">
        <f>IF(J315="","",J315+MAX(1,G315)+IF(K315="",0,K315)-1)</f>
        <v/>
      </c>
      <c r="M315" s="72" t="n"/>
      <c r="N315" s="109" t="n"/>
      <c r="O315" s="127">
        <f>IF(D315="","",COUNTIF($H$7:$H$1006,B315))</f>
        <v/>
      </c>
      <c r="P315" s="78">
        <f>IF(D315="","",IF(AND(H315&lt;&gt;"",H315&gt;=B315),"⚠️ Predecessor must be above",IF(M315="Done","✓ Done",IF(Q315=3,"🔴 Late",IF(M315="In progress","In progress","")))))</f>
        <v/>
      </c>
      <c r="Q315" s="79">
        <f>IF(OR(D315="",L315=""),"",IF(M315="Done",2,IF(AsOf&gt;L315,3,1)))</f>
        <v/>
      </c>
      <c r="R315" s="79">
        <f>IF(OR(E315="",F315=""),0,IF(COUNTIFS($E$7:E315,E315,$F$7:F315,F315)=1,1,0))</f>
        <v/>
      </c>
      <c r="S315" s="79">
        <f>IF(R315=1,E315&amp;"|"&amp;SUMIFS($R$7:R315,$E$7:E315,E315),"")</f>
        <v/>
      </c>
      <c r="T315" s="112">
        <f>IF(Q315="","",IF(Q315=3,L315,IF(OR(M315="Not started",M315=""),J315,"")))</f>
        <v/>
      </c>
      <c r="U315" s="79">
        <f>IF(T315="","",IF(Q315=3,1,IF(T315="","",IF(T315&lt;AsOf,1,IF(T315&lt;=AsOf+AlertDays,2,IF(T315&lt;=AsOf+2*AlertDays,3,""))))))</f>
        <v/>
      </c>
      <c r="V315" s="79">
        <f>IF(U315="","",IF(Q315=3,"Late task: "&amp;D315,IF(T315&lt;AsOf,"Should have started: ","Starts soon: ")&amp;D315)&amp;IF(F315="",""," — "&amp;F315))</f>
        <v/>
      </c>
    </row>
    <row r="316" ht="20" customHeight="1">
      <c r="B316" s="125" t="n">
        <v>310</v>
      </c>
      <c r="C316" s="72" t="n"/>
      <c r="D316" s="72" t="n"/>
      <c r="E316" s="72" t="n"/>
      <c r="F316" s="72" t="n"/>
      <c r="G316" s="89" t="n"/>
      <c r="H316" s="89" t="n"/>
      <c r="I316" s="109" t="n"/>
      <c r="J316" s="126">
        <f>IF(OR(D316="",ProjStart=""),"",MAX(ProjStart,IF(I316&lt;&gt;"",I316,0),IF(H316="",0,IFERROR(INDEX($L$6:L315,MATCH(H316,$B$6:B315,0))+1,0))))</f>
        <v/>
      </c>
      <c r="K316" s="89" t="n"/>
      <c r="L316" s="126">
        <f>IF(J316="","",J316+MAX(1,G316)+IF(K316="",0,K316)-1)</f>
        <v/>
      </c>
      <c r="M316" s="72" t="n"/>
      <c r="N316" s="109" t="n"/>
      <c r="O316" s="127">
        <f>IF(D316="","",COUNTIF($H$7:$H$1006,B316))</f>
        <v/>
      </c>
      <c r="P316" s="78">
        <f>IF(D316="","",IF(AND(H316&lt;&gt;"",H316&gt;=B316),"⚠️ Predecessor must be above",IF(M316="Done","✓ Done",IF(Q316=3,"🔴 Late",IF(M316="In progress","In progress","")))))</f>
        <v/>
      </c>
      <c r="Q316" s="79">
        <f>IF(OR(D316="",L316=""),"",IF(M316="Done",2,IF(AsOf&gt;L316,3,1)))</f>
        <v/>
      </c>
      <c r="R316" s="79">
        <f>IF(OR(E316="",F316=""),0,IF(COUNTIFS($E$7:E316,E316,$F$7:F316,F316)=1,1,0))</f>
        <v/>
      </c>
      <c r="S316" s="79">
        <f>IF(R316=1,E316&amp;"|"&amp;SUMIFS($R$7:R316,$E$7:E316,E316),"")</f>
        <v/>
      </c>
      <c r="T316" s="112">
        <f>IF(Q316="","",IF(Q316=3,L316,IF(OR(M316="Not started",M316=""),J316,"")))</f>
        <v/>
      </c>
      <c r="U316" s="79">
        <f>IF(T316="","",IF(Q316=3,1,IF(T316="","",IF(T316&lt;AsOf,1,IF(T316&lt;=AsOf+AlertDays,2,IF(T316&lt;=AsOf+2*AlertDays,3,""))))))</f>
        <v/>
      </c>
      <c r="V316" s="79">
        <f>IF(U316="","",IF(Q316=3,"Late task: "&amp;D316,IF(T316&lt;AsOf,"Should have started: ","Starts soon: ")&amp;D316)&amp;IF(F316="",""," — "&amp;F316))</f>
        <v/>
      </c>
    </row>
    <row r="317" ht="20" customHeight="1">
      <c r="B317" s="125" t="n">
        <v>311</v>
      </c>
      <c r="C317" s="72" t="n"/>
      <c r="D317" s="72" t="n"/>
      <c r="E317" s="72" t="n"/>
      <c r="F317" s="72" t="n"/>
      <c r="G317" s="89" t="n"/>
      <c r="H317" s="89" t="n"/>
      <c r="I317" s="109" t="n"/>
      <c r="J317" s="126">
        <f>IF(OR(D317="",ProjStart=""),"",MAX(ProjStart,IF(I317&lt;&gt;"",I317,0),IF(H317="",0,IFERROR(INDEX($L$6:L316,MATCH(H317,$B$6:B316,0))+1,0))))</f>
        <v/>
      </c>
      <c r="K317" s="89" t="n"/>
      <c r="L317" s="126">
        <f>IF(J317="","",J317+MAX(1,G317)+IF(K317="",0,K317)-1)</f>
        <v/>
      </c>
      <c r="M317" s="72" t="n"/>
      <c r="N317" s="109" t="n"/>
      <c r="O317" s="127">
        <f>IF(D317="","",COUNTIF($H$7:$H$1006,B317))</f>
        <v/>
      </c>
      <c r="P317" s="78">
        <f>IF(D317="","",IF(AND(H317&lt;&gt;"",H317&gt;=B317),"⚠️ Predecessor must be above",IF(M317="Done","✓ Done",IF(Q317=3,"🔴 Late",IF(M317="In progress","In progress","")))))</f>
        <v/>
      </c>
      <c r="Q317" s="79">
        <f>IF(OR(D317="",L317=""),"",IF(M317="Done",2,IF(AsOf&gt;L317,3,1)))</f>
        <v/>
      </c>
      <c r="R317" s="79">
        <f>IF(OR(E317="",F317=""),0,IF(COUNTIFS($E$7:E317,E317,$F$7:F317,F317)=1,1,0))</f>
        <v/>
      </c>
      <c r="S317" s="79">
        <f>IF(R317=1,E317&amp;"|"&amp;SUMIFS($R$7:R317,$E$7:E317,E317),"")</f>
        <v/>
      </c>
      <c r="T317" s="112">
        <f>IF(Q317="","",IF(Q317=3,L317,IF(OR(M317="Not started",M317=""),J317,"")))</f>
        <v/>
      </c>
      <c r="U317" s="79">
        <f>IF(T317="","",IF(Q317=3,1,IF(T317="","",IF(T317&lt;AsOf,1,IF(T317&lt;=AsOf+AlertDays,2,IF(T317&lt;=AsOf+2*AlertDays,3,""))))))</f>
        <v/>
      </c>
      <c r="V317" s="79">
        <f>IF(U317="","",IF(Q317=3,"Late task: "&amp;D317,IF(T317&lt;AsOf,"Should have started: ","Starts soon: ")&amp;D317)&amp;IF(F317="",""," — "&amp;F317))</f>
        <v/>
      </c>
    </row>
    <row r="318" ht="20" customHeight="1">
      <c r="B318" s="125" t="n">
        <v>312</v>
      </c>
      <c r="C318" s="72" t="n"/>
      <c r="D318" s="72" t="n"/>
      <c r="E318" s="72" t="n"/>
      <c r="F318" s="72" t="n"/>
      <c r="G318" s="89" t="n"/>
      <c r="H318" s="89" t="n"/>
      <c r="I318" s="109" t="n"/>
      <c r="J318" s="126">
        <f>IF(OR(D318="",ProjStart=""),"",MAX(ProjStart,IF(I318&lt;&gt;"",I318,0),IF(H318="",0,IFERROR(INDEX($L$6:L317,MATCH(H318,$B$6:B317,0))+1,0))))</f>
        <v/>
      </c>
      <c r="K318" s="89" t="n"/>
      <c r="L318" s="126">
        <f>IF(J318="","",J318+MAX(1,G318)+IF(K318="",0,K318)-1)</f>
        <v/>
      </c>
      <c r="M318" s="72" t="n"/>
      <c r="N318" s="109" t="n"/>
      <c r="O318" s="127">
        <f>IF(D318="","",COUNTIF($H$7:$H$1006,B318))</f>
        <v/>
      </c>
      <c r="P318" s="78">
        <f>IF(D318="","",IF(AND(H318&lt;&gt;"",H318&gt;=B318),"⚠️ Predecessor must be above",IF(M318="Done","✓ Done",IF(Q318=3,"🔴 Late",IF(M318="In progress","In progress","")))))</f>
        <v/>
      </c>
      <c r="Q318" s="79">
        <f>IF(OR(D318="",L318=""),"",IF(M318="Done",2,IF(AsOf&gt;L318,3,1)))</f>
        <v/>
      </c>
      <c r="R318" s="79">
        <f>IF(OR(E318="",F318=""),0,IF(COUNTIFS($E$7:E318,E318,$F$7:F318,F318)=1,1,0))</f>
        <v/>
      </c>
      <c r="S318" s="79">
        <f>IF(R318=1,E318&amp;"|"&amp;SUMIFS($R$7:R318,$E$7:E318,E318),"")</f>
        <v/>
      </c>
      <c r="T318" s="112">
        <f>IF(Q318="","",IF(Q318=3,L318,IF(OR(M318="Not started",M318=""),J318,"")))</f>
        <v/>
      </c>
      <c r="U318" s="79">
        <f>IF(T318="","",IF(Q318=3,1,IF(T318="","",IF(T318&lt;AsOf,1,IF(T318&lt;=AsOf+AlertDays,2,IF(T318&lt;=AsOf+2*AlertDays,3,""))))))</f>
        <v/>
      </c>
      <c r="V318" s="79">
        <f>IF(U318="","",IF(Q318=3,"Late task: "&amp;D318,IF(T318&lt;AsOf,"Should have started: ","Starts soon: ")&amp;D318)&amp;IF(F318="",""," — "&amp;F318))</f>
        <v/>
      </c>
    </row>
    <row r="319" ht="20" customHeight="1">
      <c r="B319" s="125" t="n">
        <v>313</v>
      </c>
      <c r="C319" s="72" t="n"/>
      <c r="D319" s="72" t="n"/>
      <c r="E319" s="72" t="n"/>
      <c r="F319" s="72" t="n"/>
      <c r="G319" s="89" t="n"/>
      <c r="H319" s="89" t="n"/>
      <c r="I319" s="109" t="n"/>
      <c r="J319" s="126">
        <f>IF(OR(D319="",ProjStart=""),"",MAX(ProjStart,IF(I319&lt;&gt;"",I319,0),IF(H319="",0,IFERROR(INDEX($L$6:L318,MATCH(H319,$B$6:B318,0))+1,0))))</f>
        <v/>
      </c>
      <c r="K319" s="89" t="n"/>
      <c r="L319" s="126">
        <f>IF(J319="","",J319+MAX(1,G319)+IF(K319="",0,K319)-1)</f>
        <v/>
      </c>
      <c r="M319" s="72" t="n"/>
      <c r="N319" s="109" t="n"/>
      <c r="O319" s="127">
        <f>IF(D319="","",COUNTIF($H$7:$H$1006,B319))</f>
        <v/>
      </c>
      <c r="P319" s="78">
        <f>IF(D319="","",IF(AND(H319&lt;&gt;"",H319&gt;=B319),"⚠️ Predecessor must be above",IF(M319="Done","✓ Done",IF(Q319=3,"🔴 Late",IF(M319="In progress","In progress","")))))</f>
        <v/>
      </c>
      <c r="Q319" s="79">
        <f>IF(OR(D319="",L319=""),"",IF(M319="Done",2,IF(AsOf&gt;L319,3,1)))</f>
        <v/>
      </c>
      <c r="R319" s="79">
        <f>IF(OR(E319="",F319=""),0,IF(COUNTIFS($E$7:E319,E319,$F$7:F319,F319)=1,1,0))</f>
        <v/>
      </c>
      <c r="S319" s="79">
        <f>IF(R319=1,E319&amp;"|"&amp;SUMIFS($R$7:R319,$E$7:E319,E319),"")</f>
        <v/>
      </c>
      <c r="T319" s="112">
        <f>IF(Q319="","",IF(Q319=3,L319,IF(OR(M319="Not started",M319=""),J319,"")))</f>
        <v/>
      </c>
      <c r="U319" s="79">
        <f>IF(T319="","",IF(Q319=3,1,IF(T319="","",IF(T319&lt;AsOf,1,IF(T319&lt;=AsOf+AlertDays,2,IF(T319&lt;=AsOf+2*AlertDays,3,""))))))</f>
        <v/>
      </c>
      <c r="V319" s="79">
        <f>IF(U319="","",IF(Q319=3,"Late task: "&amp;D319,IF(T319&lt;AsOf,"Should have started: ","Starts soon: ")&amp;D319)&amp;IF(F319="",""," — "&amp;F319))</f>
        <v/>
      </c>
    </row>
    <row r="320" ht="20" customHeight="1">
      <c r="B320" s="125" t="n">
        <v>314</v>
      </c>
      <c r="C320" s="72" t="n"/>
      <c r="D320" s="72" t="n"/>
      <c r="E320" s="72" t="n"/>
      <c r="F320" s="72" t="n"/>
      <c r="G320" s="89" t="n"/>
      <c r="H320" s="89" t="n"/>
      <c r="I320" s="109" t="n"/>
      <c r="J320" s="126">
        <f>IF(OR(D320="",ProjStart=""),"",MAX(ProjStart,IF(I320&lt;&gt;"",I320,0),IF(H320="",0,IFERROR(INDEX($L$6:L319,MATCH(H320,$B$6:B319,0))+1,0))))</f>
        <v/>
      </c>
      <c r="K320" s="89" t="n"/>
      <c r="L320" s="126">
        <f>IF(J320="","",J320+MAX(1,G320)+IF(K320="",0,K320)-1)</f>
        <v/>
      </c>
      <c r="M320" s="72" t="n"/>
      <c r="N320" s="109" t="n"/>
      <c r="O320" s="127">
        <f>IF(D320="","",COUNTIF($H$7:$H$1006,B320))</f>
        <v/>
      </c>
      <c r="P320" s="78">
        <f>IF(D320="","",IF(AND(H320&lt;&gt;"",H320&gt;=B320),"⚠️ Predecessor must be above",IF(M320="Done","✓ Done",IF(Q320=3,"🔴 Late",IF(M320="In progress","In progress","")))))</f>
        <v/>
      </c>
      <c r="Q320" s="79">
        <f>IF(OR(D320="",L320=""),"",IF(M320="Done",2,IF(AsOf&gt;L320,3,1)))</f>
        <v/>
      </c>
      <c r="R320" s="79">
        <f>IF(OR(E320="",F320=""),0,IF(COUNTIFS($E$7:E320,E320,$F$7:F320,F320)=1,1,0))</f>
        <v/>
      </c>
      <c r="S320" s="79">
        <f>IF(R320=1,E320&amp;"|"&amp;SUMIFS($R$7:R320,$E$7:E320,E320),"")</f>
        <v/>
      </c>
      <c r="T320" s="112">
        <f>IF(Q320="","",IF(Q320=3,L320,IF(OR(M320="Not started",M320=""),J320,"")))</f>
        <v/>
      </c>
      <c r="U320" s="79">
        <f>IF(T320="","",IF(Q320=3,1,IF(T320="","",IF(T320&lt;AsOf,1,IF(T320&lt;=AsOf+AlertDays,2,IF(T320&lt;=AsOf+2*AlertDays,3,""))))))</f>
        <v/>
      </c>
      <c r="V320" s="79">
        <f>IF(U320="","",IF(Q320=3,"Late task: "&amp;D320,IF(T320&lt;AsOf,"Should have started: ","Starts soon: ")&amp;D320)&amp;IF(F320="",""," — "&amp;F320))</f>
        <v/>
      </c>
    </row>
    <row r="321" ht="20" customHeight="1">
      <c r="B321" s="125" t="n">
        <v>315</v>
      </c>
      <c r="C321" s="72" t="n"/>
      <c r="D321" s="72" t="n"/>
      <c r="E321" s="72" t="n"/>
      <c r="F321" s="72" t="n"/>
      <c r="G321" s="89" t="n"/>
      <c r="H321" s="89" t="n"/>
      <c r="I321" s="109" t="n"/>
      <c r="J321" s="126">
        <f>IF(OR(D321="",ProjStart=""),"",MAX(ProjStart,IF(I321&lt;&gt;"",I321,0),IF(H321="",0,IFERROR(INDEX($L$6:L320,MATCH(H321,$B$6:B320,0))+1,0))))</f>
        <v/>
      </c>
      <c r="K321" s="89" t="n"/>
      <c r="L321" s="126">
        <f>IF(J321="","",J321+MAX(1,G321)+IF(K321="",0,K321)-1)</f>
        <v/>
      </c>
      <c r="M321" s="72" t="n"/>
      <c r="N321" s="109" t="n"/>
      <c r="O321" s="127">
        <f>IF(D321="","",COUNTIF($H$7:$H$1006,B321))</f>
        <v/>
      </c>
      <c r="P321" s="78">
        <f>IF(D321="","",IF(AND(H321&lt;&gt;"",H321&gt;=B321),"⚠️ Predecessor must be above",IF(M321="Done","✓ Done",IF(Q321=3,"🔴 Late",IF(M321="In progress","In progress","")))))</f>
        <v/>
      </c>
      <c r="Q321" s="79">
        <f>IF(OR(D321="",L321=""),"",IF(M321="Done",2,IF(AsOf&gt;L321,3,1)))</f>
        <v/>
      </c>
      <c r="R321" s="79">
        <f>IF(OR(E321="",F321=""),0,IF(COUNTIFS($E$7:E321,E321,$F$7:F321,F321)=1,1,0))</f>
        <v/>
      </c>
      <c r="S321" s="79">
        <f>IF(R321=1,E321&amp;"|"&amp;SUMIFS($R$7:R321,$E$7:E321,E321),"")</f>
        <v/>
      </c>
      <c r="T321" s="112">
        <f>IF(Q321="","",IF(Q321=3,L321,IF(OR(M321="Not started",M321=""),J321,"")))</f>
        <v/>
      </c>
      <c r="U321" s="79">
        <f>IF(T321="","",IF(Q321=3,1,IF(T321="","",IF(T321&lt;AsOf,1,IF(T321&lt;=AsOf+AlertDays,2,IF(T321&lt;=AsOf+2*AlertDays,3,""))))))</f>
        <v/>
      </c>
      <c r="V321" s="79">
        <f>IF(U321="","",IF(Q321=3,"Late task: "&amp;D321,IF(T321&lt;AsOf,"Should have started: ","Starts soon: ")&amp;D321)&amp;IF(F321="",""," — "&amp;F321))</f>
        <v/>
      </c>
    </row>
    <row r="322" ht="20" customHeight="1">
      <c r="B322" s="125" t="n">
        <v>316</v>
      </c>
      <c r="C322" s="72" t="n"/>
      <c r="D322" s="72" t="n"/>
      <c r="E322" s="72" t="n"/>
      <c r="F322" s="72" t="n"/>
      <c r="G322" s="89" t="n"/>
      <c r="H322" s="89" t="n"/>
      <c r="I322" s="109" t="n"/>
      <c r="J322" s="126">
        <f>IF(OR(D322="",ProjStart=""),"",MAX(ProjStart,IF(I322&lt;&gt;"",I322,0),IF(H322="",0,IFERROR(INDEX($L$6:L321,MATCH(H322,$B$6:B321,0))+1,0))))</f>
        <v/>
      </c>
      <c r="K322" s="89" t="n"/>
      <c r="L322" s="126">
        <f>IF(J322="","",J322+MAX(1,G322)+IF(K322="",0,K322)-1)</f>
        <v/>
      </c>
      <c r="M322" s="72" t="n"/>
      <c r="N322" s="109" t="n"/>
      <c r="O322" s="127">
        <f>IF(D322="","",COUNTIF($H$7:$H$1006,B322))</f>
        <v/>
      </c>
      <c r="P322" s="78">
        <f>IF(D322="","",IF(AND(H322&lt;&gt;"",H322&gt;=B322),"⚠️ Predecessor must be above",IF(M322="Done","✓ Done",IF(Q322=3,"🔴 Late",IF(M322="In progress","In progress","")))))</f>
        <v/>
      </c>
      <c r="Q322" s="79">
        <f>IF(OR(D322="",L322=""),"",IF(M322="Done",2,IF(AsOf&gt;L322,3,1)))</f>
        <v/>
      </c>
      <c r="R322" s="79">
        <f>IF(OR(E322="",F322=""),0,IF(COUNTIFS($E$7:E322,E322,$F$7:F322,F322)=1,1,0))</f>
        <v/>
      </c>
      <c r="S322" s="79">
        <f>IF(R322=1,E322&amp;"|"&amp;SUMIFS($R$7:R322,$E$7:E322,E322),"")</f>
        <v/>
      </c>
      <c r="T322" s="112">
        <f>IF(Q322="","",IF(Q322=3,L322,IF(OR(M322="Not started",M322=""),J322,"")))</f>
        <v/>
      </c>
      <c r="U322" s="79">
        <f>IF(T322="","",IF(Q322=3,1,IF(T322="","",IF(T322&lt;AsOf,1,IF(T322&lt;=AsOf+AlertDays,2,IF(T322&lt;=AsOf+2*AlertDays,3,""))))))</f>
        <v/>
      </c>
      <c r="V322" s="79">
        <f>IF(U322="","",IF(Q322=3,"Late task: "&amp;D322,IF(T322&lt;AsOf,"Should have started: ","Starts soon: ")&amp;D322)&amp;IF(F322="",""," — "&amp;F322))</f>
        <v/>
      </c>
    </row>
    <row r="323" ht="20" customHeight="1">
      <c r="B323" s="125" t="n">
        <v>317</v>
      </c>
      <c r="C323" s="72" t="n"/>
      <c r="D323" s="72" t="n"/>
      <c r="E323" s="72" t="n"/>
      <c r="F323" s="72" t="n"/>
      <c r="G323" s="89" t="n"/>
      <c r="H323" s="89" t="n"/>
      <c r="I323" s="109" t="n"/>
      <c r="J323" s="126">
        <f>IF(OR(D323="",ProjStart=""),"",MAX(ProjStart,IF(I323&lt;&gt;"",I323,0),IF(H323="",0,IFERROR(INDEX($L$6:L322,MATCH(H323,$B$6:B322,0))+1,0))))</f>
        <v/>
      </c>
      <c r="K323" s="89" t="n"/>
      <c r="L323" s="126">
        <f>IF(J323="","",J323+MAX(1,G323)+IF(K323="",0,K323)-1)</f>
        <v/>
      </c>
      <c r="M323" s="72" t="n"/>
      <c r="N323" s="109" t="n"/>
      <c r="O323" s="127">
        <f>IF(D323="","",COUNTIF($H$7:$H$1006,B323))</f>
        <v/>
      </c>
      <c r="P323" s="78">
        <f>IF(D323="","",IF(AND(H323&lt;&gt;"",H323&gt;=B323),"⚠️ Predecessor must be above",IF(M323="Done","✓ Done",IF(Q323=3,"🔴 Late",IF(M323="In progress","In progress","")))))</f>
        <v/>
      </c>
      <c r="Q323" s="79">
        <f>IF(OR(D323="",L323=""),"",IF(M323="Done",2,IF(AsOf&gt;L323,3,1)))</f>
        <v/>
      </c>
      <c r="R323" s="79">
        <f>IF(OR(E323="",F323=""),0,IF(COUNTIFS($E$7:E323,E323,$F$7:F323,F323)=1,1,0))</f>
        <v/>
      </c>
      <c r="S323" s="79">
        <f>IF(R323=1,E323&amp;"|"&amp;SUMIFS($R$7:R323,$E$7:E323,E323),"")</f>
        <v/>
      </c>
      <c r="T323" s="112">
        <f>IF(Q323="","",IF(Q323=3,L323,IF(OR(M323="Not started",M323=""),J323,"")))</f>
        <v/>
      </c>
      <c r="U323" s="79">
        <f>IF(T323="","",IF(Q323=3,1,IF(T323="","",IF(T323&lt;AsOf,1,IF(T323&lt;=AsOf+AlertDays,2,IF(T323&lt;=AsOf+2*AlertDays,3,""))))))</f>
        <v/>
      </c>
      <c r="V323" s="79">
        <f>IF(U323="","",IF(Q323=3,"Late task: "&amp;D323,IF(T323&lt;AsOf,"Should have started: ","Starts soon: ")&amp;D323)&amp;IF(F323="",""," — "&amp;F323))</f>
        <v/>
      </c>
    </row>
    <row r="324" ht="20" customHeight="1">
      <c r="B324" s="125" t="n">
        <v>318</v>
      </c>
      <c r="C324" s="72" t="n"/>
      <c r="D324" s="72" t="n"/>
      <c r="E324" s="72" t="n"/>
      <c r="F324" s="72" t="n"/>
      <c r="G324" s="89" t="n"/>
      <c r="H324" s="89" t="n"/>
      <c r="I324" s="109" t="n"/>
      <c r="J324" s="126">
        <f>IF(OR(D324="",ProjStart=""),"",MAX(ProjStart,IF(I324&lt;&gt;"",I324,0),IF(H324="",0,IFERROR(INDEX($L$6:L323,MATCH(H324,$B$6:B323,0))+1,0))))</f>
        <v/>
      </c>
      <c r="K324" s="89" t="n"/>
      <c r="L324" s="126">
        <f>IF(J324="","",J324+MAX(1,G324)+IF(K324="",0,K324)-1)</f>
        <v/>
      </c>
      <c r="M324" s="72" t="n"/>
      <c r="N324" s="109" t="n"/>
      <c r="O324" s="127">
        <f>IF(D324="","",COUNTIF($H$7:$H$1006,B324))</f>
        <v/>
      </c>
      <c r="P324" s="78">
        <f>IF(D324="","",IF(AND(H324&lt;&gt;"",H324&gt;=B324),"⚠️ Predecessor must be above",IF(M324="Done","✓ Done",IF(Q324=3,"🔴 Late",IF(M324="In progress","In progress","")))))</f>
        <v/>
      </c>
      <c r="Q324" s="79">
        <f>IF(OR(D324="",L324=""),"",IF(M324="Done",2,IF(AsOf&gt;L324,3,1)))</f>
        <v/>
      </c>
      <c r="R324" s="79">
        <f>IF(OR(E324="",F324=""),0,IF(COUNTIFS($E$7:E324,E324,$F$7:F324,F324)=1,1,0))</f>
        <v/>
      </c>
      <c r="S324" s="79">
        <f>IF(R324=1,E324&amp;"|"&amp;SUMIFS($R$7:R324,$E$7:E324,E324),"")</f>
        <v/>
      </c>
      <c r="T324" s="112">
        <f>IF(Q324="","",IF(Q324=3,L324,IF(OR(M324="Not started",M324=""),J324,"")))</f>
        <v/>
      </c>
      <c r="U324" s="79">
        <f>IF(T324="","",IF(Q324=3,1,IF(T324="","",IF(T324&lt;AsOf,1,IF(T324&lt;=AsOf+AlertDays,2,IF(T324&lt;=AsOf+2*AlertDays,3,""))))))</f>
        <v/>
      </c>
      <c r="V324" s="79">
        <f>IF(U324="","",IF(Q324=3,"Late task: "&amp;D324,IF(T324&lt;AsOf,"Should have started: ","Starts soon: ")&amp;D324)&amp;IF(F324="",""," — "&amp;F324))</f>
        <v/>
      </c>
    </row>
    <row r="325" ht="20" customHeight="1">
      <c r="B325" s="125" t="n">
        <v>319</v>
      </c>
      <c r="C325" s="72" t="n"/>
      <c r="D325" s="72" t="n"/>
      <c r="E325" s="72" t="n"/>
      <c r="F325" s="72" t="n"/>
      <c r="G325" s="89" t="n"/>
      <c r="H325" s="89" t="n"/>
      <c r="I325" s="109" t="n"/>
      <c r="J325" s="126">
        <f>IF(OR(D325="",ProjStart=""),"",MAX(ProjStart,IF(I325&lt;&gt;"",I325,0),IF(H325="",0,IFERROR(INDEX($L$6:L324,MATCH(H325,$B$6:B324,0))+1,0))))</f>
        <v/>
      </c>
      <c r="K325" s="89" t="n"/>
      <c r="L325" s="126">
        <f>IF(J325="","",J325+MAX(1,G325)+IF(K325="",0,K325)-1)</f>
        <v/>
      </c>
      <c r="M325" s="72" t="n"/>
      <c r="N325" s="109" t="n"/>
      <c r="O325" s="127">
        <f>IF(D325="","",COUNTIF($H$7:$H$1006,B325))</f>
        <v/>
      </c>
      <c r="P325" s="78">
        <f>IF(D325="","",IF(AND(H325&lt;&gt;"",H325&gt;=B325),"⚠️ Predecessor must be above",IF(M325="Done","✓ Done",IF(Q325=3,"🔴 Late",IF(M325="In progress","In progress","")))))</f>
        <v/>
      </c>
      <c r="Q325" s="79">
        <f>IF(OR(D325="",L325=""),"",IF(M325="Done",2,IF(AsOf&gt;L325,3,1)))</f>
        <v/>
      </c>
      <c r="R325" s="79">
        <f>IF(OR(E325="",F325=""),0,IF(COUNTIFS($E$7:E325,E325,$F$7:F325,F325)=1,1,0))</f>
        <v/>
      </c>
      <c r="S325" s="79">
        <f>IF(R325=1,E325&amp;"|"&amp;SUMIFS($R$7:R325,$E$7:E325,E325),"")</f>
        <v/>
      </c>
      <c r="T325" s="112">
        <f>IF(Q325="","",IF(Q325=3,L325,IF(OR(M325="Not started",M325=""),J325,"")))</f>
        <v/>
      </c>
      <c r="U325" s="79">
        <f>IF(T325="","",IF(Q325=3,1,IF(T325="","",IF(T325&lt;AsOf,1,IF(T325&lt;=AsOf+AlertDays,2,IF(T325&lt;=AsOf+2*AlertDays,3,""))))))</f>
        <v/>
      </c>
      <c r="V325" s="79">
        <f>IF(U325="","",IF(Q325=3,"Late task: "&amp;D325,IF(T325&lt;AsOf,"Should have started: ","Starts soon: ")&amp;D325)&amp;IF(F325="",""," — "&amp;F325))</f>
        <v/>
      </c>
    </row>
    <row r="326" ht="20" customHeight="1">
      <c r="B326" s="125" t="n">
        <v>320</v>
      </c>
      <c r="C326" s="72" t="n"/>
      <c r="D326" s="72" t="n"/>
      <c r="E326" s="72" t="n"/>
      <c r="F326" s="72" t="n"/>
      <c r="G326" s="89" t="n"/>
      <c r="H326" s="89" t="n"/>
      <c r="I326" s="109" t="n"/>
      <c r="J326" s="126">
        <f>IF(OR(D326="",ProjStart=""),"",MAX(ProjStart,IF(I326&lt;&gt;"",I326,0),IF(H326="",0,IFERROR(INDEX($L$6:L325,MATCH(H326,$B$6:B325,0))+1,0))))</f>
        <v/>
      </c>
      <c r="K326" s="89" t="n"/>
      <c r="L326" s="126">
        <f>IF(J326="","",J326+MAX(1,G326)+IF(K326="",0,K326)-1)</f>
        <v/>
      </c>
      <c r="M326" s="72" t="n"/>
      <c r="N326" s="109" t="n"/>
      <c r="O326" s="127">
        <f>IF(D326="","",COUNTIF($H$7:$H$1006,B326))</f>
        <v/>
      </c>
      <c r="P326" s="78">
        <f>IF(D326="","",IF(AND(H326&lt;&gt;"",H326&gt;=B326),"⚠️ Predecessor must be above",IF(M326="Done","✓ Done",IF(Q326=3,"🔴 Late",IF(M326="In progress","In progress","")))))</f>
        <v/>
      </c>
      <c r="Q326" s="79">
        <f>IF(OR(D326="",L326=""),"",IF(M326="Done",2,IF(AsOf&gt;L326,3,1)))</f>
        <v/>
      </c>
      <c r="R326" s="79">
        <f>IF(OR(E326="",F326=""),0,IF(COUNTIFS($E$7:E326,E326,$F$7:F326,F326)=1,1,0))</f>
        <v/>
      </c>
      <c r="S326" s="79">
        <f>IF(R326=1,E326&amp;"|"&amp;SUMIFS($R$7:R326,$E$7:E326,E326),"")</f>
        <v/>
      </c>
      <c r="T326" s="112">
        <f>IF(Q326="","",IF(Q326=3,L326,IF(OR(M326="Not started",M326=""),J326,"")))</f>
        <v/>
      </c>
      <c r="U326" s="79">
        <f>IF(T326="","",IF(Q326=3,1,IF(T326="","",IF(T326&lt;AsOf,1,IF(T326&lt;=AsOf+AlertDays,2,IF(T326&lt;=AsOf+2*AlertDays,3,""))))))</f>
        <v/>
      </c>
      <c r="V326" s="79">
        <f>IF(U326="","",IF(Q326=3,"Late task: "&amp;D326,IF(T326&lt;AsOf,"Should have started: ","Starts soon: ")&amp;D326)&amp;IF(F326="",""," — "&amp;F326))</f>
        <v/>
      </c>
    </row>
    <row r="327" ht="20" customHeight="1">
      <c r="B327" s="125" t="n">
        <v>321</v>
      </c>
      <c r="C327" s="72" t="n"/>
      <c r="D327" s="72" t="n"/>
      <c r="E327" s="72" t="n"/>
      <c r="F327" s="72" t="n"/>
      <c r="G327" s="89" t="n"/>
      <c r="H327" s="89" t="n"/>
      <c r="I327" s="109" t="n"/>
      <c r="J327" s="126">
        <f>IF(OR(D327="",ProjStart=""),"",MAX(ProjStart,IF(I327&lt;&gt;"",I327,0),IF(H327="",0,IFERROR(INDEX($L$6:L326,MATCH(H327,$B$6:B326,0))+1,0))))</f>
        <v/>
      </c>
      <c r="K327" s="89" t="n"/>
      <c r="L327" s="126">
        <f>IF(J327="","",J327+MAX(1,G327)+IF(K327="",0,K327)-1)</f>
        <v/>
      </c>
      <c r="M327" s="72" t="n"/>
      <c r="N327" s="109" t="n"/>
      <c r="O327" s="127">
        <f>IF(D327="","",COUNTIF($H$7:$H$1006,B327))</f>
        <v/>
      </c>
      <c r="P327" s="78">
        <f>IF(D327="","",IF(AND(H327&lt;&gt;"",H327&gt;=B327),"⚠️ Predecessor must be above",IF(M327="Done","✓ Done",IF(Q327=3,"🔴 Late",IF(M327="In progress","In progress","")))))</f>
        <v/>
      </c>
      <c r="Q327" s="79">
        <f>IF(OR(D327="",L327=""),"",IF(M327="Done",2,IF(AsOf&gt;L327,3,1)))</f>
        <v/>
      </c>
      <c r="R327" s="79">
        <f>IF(OR(E327="",F327=""),0,IF(COUNTIFS($E$7:E327,E327,$F$7:F327,F327)=1,1,0))</f>
        <v/>
      </c>
      <c r="S327" s="79">
        <f>IF(R327=1,E327&amp;"|"&amp;SUMIFS($R$7:R327,$E$7:E327,E327),"")</f>
        <v/>
      </c>
      <c r="T327" s="112">
        <f>IF(Q327="","",IF(Q327=3,L327,IF(OR(M327="Not started",M327=""),J327,"")))</f>
        <v/>
      </c>
      <c r="U327" s="79">
        <f>IF(T327="","",IF(Q327=3,1,IF(T327="","",IF(T327&lt;AsOf,1,IF(T327&lt;=AsOf+AlertDays,2,IF(T327&lt;=AsOf+2*AlertDays,3,""))))))</f>
        <v/>
      </c>
      <c r="V327" s="79">
        <f>IF(U327="","",IF(Q327=3,"Late task: "&amp;D327,IF(T327&lt;AsOf,"Should have started: ","Starts soon: ")&amp;D327)&amp;IF(F327="",""," — "&amp;F327))</f>
        <v/>
      </c>
    </row>
    <row r="328" ht="20" customHeight="1">
      <c r="B328" s="125" t="n">
        <v>322</v>
      </c>
      <c r="C328" s="72" t="n"/>
      <c r="D328" s="72" t="n"/>
      <c r="E328" s="72" t="n"/>
      <c r="F328" s="72" t="n"/>
      <c r="G328" s="89" t="n"/>
      <c r="H328" s="89" t="n"/>
      <c r="I328" s="109" t="n"/>
      <c r="J328" s="126">
        <f>IF(OR(D328="",ProjStart=""),"",MAX(ProjStart,IF(I328&lt;&gt;"",I328,0),IF(H328="",0,IFERROR(INDEX($L$6:L327,MATCH(H328,$B$6:B327,0))+1,0))))</f>
        <v/>
      </c>
      <c r="K328" s="89" t="n"/>
      <c r="L328" s="126">
        <f>IF(J328="","",J328+MAX(1,G328)+IF(K328="",0,K328)-1)</f>
        <v/>
      </c>
      <c r="M328" s="72" t="n"/>
      <c r="N328" s="109" t="n"/>
      <c r="O328" s="127">
        <f>IF(D328="","",COUNTIF($H$7:$H$1006,B328))</f>
        <v/>
      </c>
      <c r="P328" s="78">
        <f>IF(D328="","",IF(AND(H328&lt;&gt;"",H328&gt;=B328),"⚠️ Predecessor must be above",IF(M328="Done","✓ Done",IF(Q328=3,"🔴 Late",IF(M328="In progress","In progress","")))))</f>
        <v/>
      </c>
      <c r="Q328" s="79">
        <f>IF(OR(D328="",L328=""),"",IF(M328="Done",2,IF(AsOf&gt;L328,3,1)))</f>
        <v/>
      </c>
      <c r="R328" s="79">
        <f>IF(OR(E328="",F328=""),0,IF(COUNTIFS($E$7:E328,E328,$F$7:F328,F328)=1,1,0))</f>
        <v/>
      </c>
      <c r="S328" s="79">
        <f>IF(R328=1,E328&amp;"|"&amp;SUMIFS($R$7:R328,$E$7:E328,E328),"")</f>
        <v/>
      </c>
      <c r="T328" s="112">
        <f>IF(Q328="","",IF(Q328=3,L328,IF(OR(M328="Not started",M328=""),J328,"")))</f>
        <v/>
      </c>
      <c r="U328" s="79">
        <f>IF(T328="","",IF(Q328=3,1,IF(T328="","",IF(T328&lt;AsOf,1,IF(T328&lt;=AsOf+AlertDays,2,IF(T328&lt;=AsOf+2*AlertDays,3,""))))))</f>
        <v/>
      </c>
      <c r="V328" s="79">
        <f>IF(U328="","",IF(Q328=3,"Late task: "&amp;D328,IF(T328&lt;AsOf,"Should have started: ","Starts soon: ")&amp;D328)&amp;IF(F328="",""," — "&amp;F328))</f>
        <v/>
      </c>
    </row>
    <row r="329" ht="20" customHeight="1">
      <c r="B329" s="125" t="n">
        <v>323</v>
      </c>
      <c r="C329" s="72" t="n"/>
      <c r="D329" s="72" t="n"/>
      <c r="E329" s="72" t="n"/>
      <c r="F329" s="72" t="n"/>
      <c r="G329" s="89" t="n"/>
      <c r="H329" s="89" t="n"/>
      <c r="I329" s="109" t="n"/>
      <c r="J329" s="126">
        <f>IF(OR(D329="",ProjStart=""),"",MAX(ProjStart,IF(I329&lt;&gt;"",I329,0),IF(H329="",0,IFERROR(INDEX($L$6:L328,MATCH(H329,$B$6:B328,0))+1,0))))</f>
        <v/>
      </c>
      <c r="K329" s="89" t="n"/>
      <c r="L329" s="126">
        <f>IF(J329="","",J329+MAX(1,G329)+IF(K329="",0,K329)-1)</f>
        <v/>
      </c>
      <c r="M329" s="72" t="n"/>
      <c r="N329" s="109" t="n"/>
      <c r="O329" s="127">
        <f>IF(D329="","",COUNTIF($H$7:$H$1006,B329))</f>
        <v/>
      </c>
      <c r="P329" s="78">
        <f>IF(D329="","",IF(AND(H329&lt;&gt;"",H329&gt;=B329),"⚠️ Predecessor must be above",IF(M329="Done","✓ Done",IF(Q329=3,"🔴 Late",IF(M329="In progress","In progress","")))))</f>
        <v/>
      </c>
      <c r="Q329" s="79">
        <f>IF(OR(D329="",L329=""),"",IF(M329="Done",2,IF(AsOf&gt;L329,3,1)))</f>
        <v/>
      </c>
      <c r="R329" s="79">
        <f>IF(OR(E329="",F329=""),0,IF(COUNTIFS($E$7:E329,E329,$F$7:F329,F329)=1,1,0))</f>
        <v/>
      </c>
      <c r="S329" s="79">
        <f>IF(R329=1,E329&amp;"|"&amp;SUMIFS($R$7:R329,$E$7:E329,E329),"")</f>
        <v/>
      </c>
      <c r="T329" s="112">
        <f>IF(Q329="","",IF(Q329=3,L329,IF(OR(M329="Not started",M329=""),J329,"")))</f>
        <v/>
      </c>
      <c r="U329" s="79">
        <f>IF(T329="","",IF(Q329=3,1,IF(T329="","",IF(T329&lt;AsOf,1,IF(T329&lt;=AsOf+AlertDays,2,IF(T329&lt;=AsOf+2*AlertDays,3,""))))))</f>
        <v/>
      </c>
      <c r="V329" s="79">
        <f>IF(U329="","",IF(Q329=3,"Late task: "&amp;D329,IF(T329&lt;AsOf,"Should have started: ","Starts soon: ")&amp;D329)&amp;IF(F329="",""," — "&amp;F329))</f>
        <v/>
      </c>
    </row>
    <row r="330" ht="20" customHeight="1">
      <c r="B330" s="125" t="n">
        <v>324</v>
      </c>
      <c r="C330" s="72" t="n"/>
      <c r="D330" s="72" t="n"/>
      <c r="E330" s="72" t="n"/>
      <c r="F330" s="72" t="n"/>
      <c r="G330" s="89" t="n"/>
      <c r="H330" s="89" t="n"/>
      <c r="I330" s="109" t="n"/>
      <c r="J330" s="126">
        <f>IF(OR(D330="",ProjStart=""),"",MAX(ProjStart,IF(I330&lt;&gt;"",I330,0),IF(H330="",0,IFERROR(INDEX($L$6:L329,MATCH(H330,$B$6:B329,0))+1,0))))</f>
        <v/>
      </c>
      <c r="K330" s="89" t="n"/>
      <c r="L330" s="126">
        <f>IF(J330="","",J330+MAX(1,G330)+IF(K330="",0,K330)-1)</f>
        <v/>
      </c>
      <c r="M330" s="72" t="n"/>
      <c r="N330" s="109" t="n"/>
      <c r="O330" s="127">
        <f>IF(D330="","",COUNTIF($H$7:$H$1006,B330))</f>
        <v/>
      </c>
      <c r="P330" s="78">
        <f>IF(D330="","",IF(AND(H330&lt;&gt;"",H330&gt;=B330),"⚠️ Predecessor must be above",IF(M330="Done","✓ Done",IF(Q330=3,"🔴 Late",IF(M330="In progress","In progress","")))))</f>
        <v/>
      </c>
      <c r="Q330" s="79">
        <f>IF(OR(D330="",L330=""),"",IF(M330="Done",2,IF(AsOf&gt;L330,3,1)))</f>
        <v/>
      </c>
      <c r="R330" s="79">
        <f>IF(OR(E330="",F330=""),0,IF(COUNTIFS($E$7:E330,E330,$F$7:F330,F330)=1,1,0))</f>
        <v/>
      </c>
      <c r="S330" s="79">
        <f>IF(R330=1,E330&amp;"|"&amp;SUMIFS($R$7:R330,$E$7:E330,E330),"")</f>
        <v/>
      </c>
      <c r="T330" s="112">
        <f>IF(Q330="","",IF(Q330=3,L330,IF(OR(M330="Not started",M330=""),J330,"")))</f>
        <v/>
      </c>
      <c r="U330" s="79">
        <f>IF(T330="","",IF(Q330=3,1,IF(T330="","",IF(T330&lt;AsOf,1,IF(T330&lt;=AsOf+AlertDays,2,IF(T330&lt;=AsOf+2*AlertDays,3,""))))))</f>
        <v/>
      </c>
      <c r="V330" s="79">
        <f>IF(U330="","",IF(Q330=3,"Late task: "&amp;D330,IF(T330&lt;AsOf,"Should have started: ","Starts soon: ")&amp;D330)&amp;IF(F330="",""," — "&amp;F330))</f>
        <v/>
      </c>
    </row>
    <row r="331" ht="20" customHeight="1">
      <c r="B331" s="125" t="n">
        <v>325</v>
      </c>
      <c r="C331" s="72" t="n"/>
      <c r="D331" s="72" t="n"/>
      <c r="E331" s="72" t="n"/>
      <c r="F331" s="72" t="n"/>
      <c r="G331" s="89" t="n"/>
      <c r="H331" s="89" t="n"/>
      <c r="I331" s="109" t="n"/>
      <c r="J331" s="126">
        <f>IF(OR(D331="",ProjStart=""),"",MAX(ProjStart,IF(I331&lt;&gt;"",I331,0),IF(H331="",0,IFERROR(INDEX($L$6:L330,MATCH(H331,$B$6:B330,0))+1,0))))</f>
        <v/>
      </c>
      <c r="K331" s="89" t="n"/>
      <c r="L331" s="126">
        <f>IF(J331="","",J331+MAX(1,G331)+IF(K331="",0,K331)-1)</f>
        <v/>
      </c>
      <c r="M331" s="72" t="n"/>
      <c r="N331" s="109" t="n"/>
      <c r="O331" s="127">
        <f>IF(D331="","",COUNTIF($H$7:$H$1006,B331))</f>
        <v/>
      </c>
      <c r="P331" s="78">
        <f>IF(D331="","",IF(AND(H331&lt;&gt;"",H331&gt;=B331),"⚠️ Predecessor must be above",IF(M331="Done","✓ Done",IF(Q331=3,"🔴 Late",IF(M331="In progress","In progress","")))))</f>
        <v/>
      </c>
      <c r="Q331" s="79">
        <f>IF(OR(D331="",L331=""),"",IF(M331="Done",2,IF(AsOf&gt;L331,3,1)))</f>
        <v/>
      </c>
      <c r="R331" s="79">
        <f>IF(OR(E331="",F331=""),0,IF(COUNTIFS($E$7:E331,E331,$F$7:F331,F331)=1,1,0))</f>
        <v/>
      </c>
      <c r="S331" s="79">
        <f>IF(R331=1,E331&amp;"|"&amp;SUMIFS($R$7:R331,$E$7:E331,E331),"")</f>
        <v/>
      </c>
      <c r="T331" s="112">
        <f>IF(Q331="","",IF(Q331=3,L331,IF(OR(M331="Not started",M331=""),J331,"")))</f>
        <v/>
      </c>
      <c r="U331" s="79">
        <f>IF(T331="","",IF(Q331=3,1,IF(T331="","",IF(T331&lt;AsOf,1,IF(T331&lt;=AsOf+AlertDays,2,IF(T331&lt;=AsOf+2*AlertDays,3,""))))))</f>
        <v/>
      </c>
      <c r="V331" s="79">
        <f>IF(U331="","",IF(Q331=3,"Late task: "&amp;D331,IF(T331&lt;AsOf,"Should have started: ","Starts soon: ")&amp;D331)&amp;IF(F331="",""," — "&amp;F331))</f>
        <v/>
      </c>
    </row>
    <row r="332" ht="20" customHeight="1">
      <c r="B332" s="125" t="n">
        <v>326</v>
      </c>
      <c r="C332" s="72" t="n"/>
      <c r="D332" s="72" t="n"/>
      <c r="E332" s="72" t="n"/>
      <c r="F332" s="72" t="n"/>
      <c r="G332" s="89" t="n"/>
      <c r="H332" s="89" t="n"/>
      <c r="I332" s="109" t="n"/>
      <c r="J332" s="126">
        <f>IF(OR(D332="",ProjStart=""),"",MAX(ProjStart,IF(I332&lt;&gt;"",I332,0),IF(H332="",0,IFERROR(INDEX($L$6:L331,MATCH(H332,$B$6:B331,0))+1,0))))</f>
        <v/>
      </c>
      <c r="K332" s="89" t="n"/>
      <c r="L332" s="126">
        <f>IF(J332="","",J332+MAX(1,G332)+IF(K332="",0,K332)-1)</f>
        <v/>
      </c>
      <c r="M332" s="72" t="n"/>
      <c r="N332" s="109" t="n"/>
      <c r="O332" s="127">
        <f>IF(D332="","",COUNTIF($H$7:$H$1006,B332))</f>
        <v/>
      </c>
      <c r="P332" s="78">
        <f>IF(D332="","",IF(AND(H332&lt;&gt;"",H332&gt;=B332),"⚠️ Predecessor must be above",IF(M332="Done","✓ Done",IF(Q332=3,"🔴 Late",IF(M332="In progress","In progress","")))))</f>
        <v/>
      </c>
      <c r="Q332" s="79">
        <f>IF(OR(D332="",L332=""),"",IF(M332="Done",2,IF(AsOf&gt;L332,3,1)))</f>
        <v/>
      </c>
      <c r="R332" s="79">
        <f>IF(OR(E332="",F332=""),0,IF(COUNTIFS($E$7:E332,E332,$F$7:F332,F332)=1,1,0))</f>
        <v/>
      </c>
      <c r="S332" s="79">
        <f>IF(R332=1,E332&amp;"|"&amp;SUMIFS($R$7:R332,$E$7:E332,E332),"")</f>
        <v/>
      </c>
      <c r="T332" s="112">
        <f>IF(Q332="","",IF(Q332=3,L332,IF(OR(M332="Not started",M332=""),J332,"")))</f>
        <v/>
      </c>
      <c r="U332" s="79">
        <f>IF(T332="","",IF(Q332=3,1,IF(T332="","",IF(T332&lt;AsOf,1,IF(T332&lt;=AsOf+AlertDays,2,IF(T332&lt;=AsOf+2*AlertDays,3,""))))))</f>
        <v/>
      </c>
      <c r="V332" s="79">
        <f>IF(U332="","",IF(Q332=3,"Late task: "&amp;D332,IF(T332&lt;AsOf,"Should have started: ","Starts soon: ")&amp;D332)&amp;IF(F332="",""," — "&amp;F332))</f>
        <v/>
      </c>
    </row>
    <row r="333" ht="20" customHeight="1">
      <c r="B333" s="125" t="n">
        <v>327</v>
      </c>
      <c r="C333" s="72" t="n"/>
      <c r="D333" s="72" t="n"/>
      <c r="E333" s="72" t="n"/>
      <c r="F333" s="72" t="n"/>
      <c r="G333" s="89" t="n"/>
      <c r="H333" s="89" t="n"/>
      <c r="I333" s="109" t="n"/>
      <c r="J333" s="126">
        <f>IF(OR(D333="",ProjStart=""),"",MAX(ProjStart,IF(I333&lt;&gt;"",I333,0),IF(H333="",0,IFERROR(INDEX($L$6:L332,MATCH(H333,$B$6:B332,0))+1,0))))</f>
        <v/>
      </c>
      <c r="K333" s="89" t="n"/>
      <c r="L333" s="126">
        <f>IF(J333="","",J333+MAX(1,G333)+IF(K333="",0,K333)-1)</f>
        <v/>
      </c>
      <c r="M333" s="72" t="n"/>
      <c r="N333" s="109" t="n"/>
      <c r="O333" s="127">
        <f>IF(D333="","",COUNTIF($H$7:$H$1006,B333))</f>
        <v/>
      </c>
      <c r="P333" s="78">
        <f>IF(D333="","",IF(AND(H333&lt;&gt;"",H333&gt;=B333),"⚠️ Predecessor must be above",IF(M333="Done","✓ Done",IF(Q333=3,"🔴 Late",IF(M333="In progress","In progress","")))))</f>
        <v/>
      </c>
      <c r="Q333" s="79">
        <f>IF(OR(D333="",L333=""),"",IF(M333="Done",2,IF(AsOf&gt;L333,3,1)))</f>
        <v/>
      </c>
      <c r="R333" s="79">
        <f>IF(OR(E333="",F333=""),0,IF(COUNTIFS($E$7:E333,E333,$F$7:F333,F333)=1,1,0))</f>
        <v/>
      </c>
      <c r="S333" s="79">
        <f>IF(R333=1,E333&amp;"|"&amp;SUMIFS($R$7:R333,$E$7:E333,E333),"")</f>
        <v/>
      </c>
      <c r="T333" s="112">
        <f>IF(Q333="","",IF(Q333=3,L333,IF(OR(M333="Not started",M333=""),J333,"")))</f>
        <v/>
      </c>
      <c r="U333" s="79">
        <f>IF(T333="","",IF(Q333=3,1,IF(T333="","",IF(T333&lt;AsOf,1,IF(T333&lt;=AsOf+AlertDays,2,IF(T333&lt;=AsOf+2*AlertDays,3,""))))))</f>
        <v/>
      </c>
      <c r="V333" s="79">
        <f>IF(U333="","",IF(Q333=3,"Late task: "&amp;D333,IF(T333&lt;AsOf,"Should have started: ","Starts soon: ")&amp;D333)&amp;IF(F333="",""," — "&amp;F333))</f>
        <v/>
      </c>
    </row>
    <row r="334" ht="20" customHeight="1">
      <c r="B334" s="125" t="n">
        <v>328</v>
      </c>
      <c r="C334" s="72" t="n"/>
      <c r="D334" s="72" t="n"/>
      <c r="E334" s="72" t="n"/>
      <c r="F334" s="72" t="n"/>
      <c r="G334" s="89" t="n"/>
      <c r="H334" s="89" t="n"/>
      <c r="I334" s="109" t="n"/>
      <c r="J334" s="126">
        <f>IF(OR(D334="",ProjStart=""),"",MAX(ProjStart,IF(I334&lt;&gt;"",I334,0),IF(H334="",0,IFERROR(INDEX($L$6:L333,MATCH(H334,$B$6:B333,0))+1,0))))</f>
        <v/>
      </c>
      <c r="K334" s="89" t="n"/>
      <c r="L334" s="126">
        <f>IF(J334="","",J334+MAX(1,G334)+IF(K334="",0,K334)-1)</f>
        <v/>
      </c>
      <c r="M334" s="72" t="n"/>
      <c r="N334" s="109" t="n"/>
      <c r="O334" s="127">
        <f>IF(D334="","",COUNTIF($H$7:$H$1006,B334))</f>
        <v/>
      </c>
      <c r="P334" s="78">
        <f>IF(D334="","",IF(AND(H334&lt;&gt;"",H334&gt;=B334),"⚠️ Predecessor must be above",IF(M334="Done","✓ Done",IF(Q334=3,"🔴 Late",IF(M334="In progress","In progress","")))))</f>
        <v/>
      </c>
      <c r="Q334" s="79">
        <f>IF(OR(D334="",L334=""),"",IF(M334="Done",2,IF(AsOf&gt;L334,3,1)))</f>
        <v/>
      </c>
      <c r="R334" s="79">
        <f>IF(OR(E334="",F334=""),0,IF(COUNTIFS($E$7:E334,E334,$F$7:F334,F334)=1,1,0))</f>
        <v/>
      </c>
      <c r="S334" s="79">
        <f>IF(R334=1,E334&amp;"|"&amp;SUMIFS($R$7:R334,$E$7:E334,E334),"")</f>
        <v/>
      </c>
      <c r="T334" s="112">
        <f>IF(Q334="","",IF(Q334=3,L334,IF(OR(M334="Not started",M334=""),J334,"")))</f>
        <v/>
      </c>
      <c r="U334" s="79">
        <f>IF(T334="","",IF(Q334=3,1,IF(T334="","",IF(T334&lt;AsOf,1,IF(T334&lt;=AsOf+AlertDays,2,IF(T334&lt;=AsOf+2*AlertDays,3,""))))))</f>
        <v/>
      </c>
      <c r="V334" s="79">
        <f>IF(U334="","",IF(Q334=3,"Late task: "&amp;D334,IF(T334&lt;AsOf,"Should have started: ","Starts soon: ")&amp;D334)&amp;IF(F334="",""," — "&amp;F334))</f>
        <v/>
      </c>
    </row>
    <row r="335" ht="20" customHeight="1">
      <c r="B335" s="125" t="n">
        <v>329</v>
      </c>
      <c r="C335" s="72" t="n"/>
      <c r="D335" s="72" t="n"/>
      <c r="E335" s="72" t="n"/>
      <c r="F335" s="72" t="n"/>
      <c r="G335" s="89" t="n"/>
      <c r="H335" s="89" t="n"/>
      <c r="I335" s="109" t="n"/>
      <c r="J335" s="126">
        <f>IF(OR(D335="",ProjStart=""),"",MAX(ProjStart,IF(I335&lt;&gt;"",I335,0),IF(H335="",0,IFERROR(INDEX($L$6:L334,MATCH(H335,$B$6:B334,0))+1,0))))</f>
        <v/>
      </c>
      <c r="K335" s="89" t="n"/>
      <c r="L335" s="126">
        <f>IF(J335="","",J335+MAX(1,G335)+IF(K335="",0,K335)-1)</f>
        <v/>
      </c>
      <c r="M335" s="72" t="n"/>
      <c r="N335" s="109" t="n"/>
      <c r="O335" s="127">
        <f>IF(D335="","",COUNTIF($H$7:$H$1006,B335))</f>
        <v/>
      </c>
      <c r="P335" s="78">
        <f>IF(D335="","",IF(AND(H335&lt;&gt;"",H335&gt;=B335),"⚠️ Predecessor must be above",IF(M335="Done","✓ Done",IF(Q335=3,"🔴 Late",IF(M335="In progress","In progress","")))))</f>
        <v/>
      </c>
      <c r="Q335" s="79">
        <f>IF(OR(D335="",L335=""),"",IF(M335="Done",2,IF(AsOf&gt;L335,3,1)))</f>
        <v/>
      </c>
      <c r="R335" s="79">
        <f>IF(OR(E335="",F335=""),0,IF(COUNTIFS($E$7:E335,E335,$F$7:F335,F335)=1,1,0))</f>
        <v/>
      </c>
      <c r="S335" s="79">
        <f>IF(R335=1,E335&amp;"|"&amp;SUMIFS($R$7:R335,$E$7:E335,E335),"")</f>
        <v/>
      </c>
      <c r="T335" s="112">
        <f>IF(Q335="","",IF(Q335=3,L335,IF(OR(M335="Not started",M335=""),J335,"")))</f>
        <v/>
      </c>
      <c r="U335" s="79">
        <f>IF(T335="","",IF(Q335=3,1,IF(T335="","",IF(T335&lt;AsOf,1,IF(T335&lt;=AsOf+AlertDays,2,IF(T335&lt;=AsOf+2*AlertDays,3,""))))))</f>
        <v/>
      </c>
      <c r="V335" s="79">
        <f>IF(U335="","",IF(Q335=3,"Late task: "&amp;D335,IF(T335&lt;AsOf,"Should have started: ","Starts soon: ")&amp;D335)&amp;IF(F335="",""," — "&amp;F335))</f>
        <v/>
      </c>
    </row>
    <row r="336" ht="20" customHeight="1">
      <c r="B336" s="125" t="n">
        <v>330</v>
      </c>
      <c r="C336" s="72" t="n"/>
      <c r="D336" s="72" t="n"/>
      <c r="E336" s="72" t="n"/>
      <c r="F336" s="72" t="n"/>
      <c r="G336" s="89" t="n"/>
      <c r="H336" s="89" t="n"/>
      <c r="I336" s="109" t="n"/>
      <c r="J336" s="126">
        <f>IF(OR(D336="",ProjStart=""),"",MAX(ProjStart,IF(I336&lt;&gt;"",I336,0),IF(H336="",0,IFERROR(INDEX($L$6:L335,MATCH(H336,$B$6:B335,0))+1,0))))</f>
        <v/>
      </c>
      <c r="K336" s="89" t="n"/>
      <c r="L336" s="126">
        <f>IF(J336="","",J336+MAX(1,G336)+IF(K336="",0,K336)-1)</f>
        <v/>
      </c>
      <c r="M336" s="72" t="n"/>
      <c r="N336" s="109" t="n"/>
      <c r="O336" s="127">
        <f>IF(D336="","",COUNTIF($H$7:$H$1006,B336))</f>
        <v/>
      </c>
      <c r="P336" s="78">
        <f>IF(D336="","",IF(AND(H336&lt;&gt;"",H336&gt;=B336),"⚠️ Predecessor must be above",IF(M336="Done","✓ Done",IF(Q336=3,"🔴 Late",IF(M336="In progress","In progress","")))))</f>
        <v/>
      </c>
      <c r="Q336" s="79">
        <f>IF(OR(D336="",L336=""),"",IF(M336="Done",2,IF(AsOf&gt;L336,3,1)))</f>
        <v/>
      </c>
      <c r="R336" s="79">
        <f>IF(OR(E336="",F336=""),0,IF(COUNTIFS($E$7:E336,E336,$F$7:F336,F336)=1,1,0))</f>
        <v/>
      </c>
      <c r="S336" s="79">
        <f>IF(R336=1,E336&amp;"|"&amp;SUMIFS($R$7:R336,$E$7:E336,E336),"")</f>
        <v/>
      </c>
      <c r="T336" s="112">
        <f>IF(Q336="","",IF(Q336=3,L336,IF(OR(M336="Not started",M336=""),J336,"")))</f>
        <v/>
      </c>
      <c r="U336" s="79">
        <f>IF(T336="","",IF(Q336=3,1,IF(T336="","",IF(T336&lt;AsOf,1,IF(T336&lt;=AsOf+AlertDays,2,IF(T336&lt;=AsOf+2*AlertDays,3,""))))))</f>
        <v/>
      </c>
      <c r="V336" s="79">
        <f>IF(U336="","",IF(Q336=3,"Late task: "&amp;D336,IF(T336&lt;AsOf,"Should have started: ","Starts soon: ")&amp;D336)&amp;IF(F336="",""," — "&amp;F336))</f>
        <v/>
      </c>
    </row>
    <row r="337" ht="20" customHeight="1">
      <c r="B337" s="125" t="n">
        <v>331</v>
      </c>
      <c r="C337" s="72" t="n"/>
      <c r="D337" s="72" t="n"/>
      <c r="E337" s="72" t="n"/>
      <c r="F337" s="72" t="n"/>
      <c r="G337" s="89" t="n"/>
      <c r="H337" s="89" t="n"/>
      <c r="I337" s="109" t="n"/>
      <c r="J337" s="126">
        <f>IF(OR(D337="",ProjStart=""),"",MAX(ProjStart,IF(I337&lt;&gt;"",I337,0),IF(H337="",0,IFERROR(INDEX($L$6:L336,MATCH(H337,$B$6:B336,0))+1,0))))</f>
        <v/>
      </c>
      <c r="K337" s="89" t="n"/>
      <c r="L337" s="126">
        <f>IF(J337="","",J337+MAX(1,G337)+IF(K337="",0,K337)-1)</f>
        <v/>
      </c>
      <c r="M337" s="72" t="n"/>
      <c r="N337" s="109" t="n"/>
      <c r="O337" s="127">
        <f>IF(D337="","",COUNTIF($H$7:$H$1006,B337))</f>
        <v/>
      </c>
      <c r="P337" s="78">
        <f>IF(D337="","",IF(AND(H337&lt;&gt;"",H337&gt;=B337),"⚠️ Predecessor must be above",IF(M337="Done","✓ Done",IF(Q337=3,"🔴 Late",IF(M337="In progress","In progress","")))))</f>
        <v/>
      </c>
      <c r="Q337" s="79">
        <f>IF(OR(D337="",L337=""),"",IF(M337="Done",2,IF(AsOf&gt;L337,3,1)))</f>
        <v/>
      </c>
      <c r="R337" s="79">
        <f>IF(OR(E337="",F337=""),0,IF(COUNTIFS($E$7:E337,E337,$F$7:F337,F337)=1,1,0))</f>
        <v/>
      </c>
      <c r="S337" s="79">
        <f>IF(R337=1,E337&amp;"|"&amp;SUMIFS($R$7:R337,$E$7:E337,E337),"")</f>
        <v/>
      </c>
      <c r="T337" s="112">
        <f>IF(Q337="","",IF(Q337=3,L337,IF(OR(M337="Not started",M337=""),J337,"")))</f>
        <v/>
      </c>
      <c r="U337" s="79">
        <f>IF(T337="","",IF(Q337=3,1,IF(T337="","",IF(T337&lt;AsOf,1,IF(T337&lt;=AsOf+AlertDays,2,IF(T337&lt;=AsOf+2*AlertDays,3,""))))))</f>
        <v/>
      </c>
      <c r="V337" s="79">
        <f>IF(U337="","",IF(Q337=3,"Late task: "&amp;D337,IF(T337&lt;AsOf,"Should have started: ","Starts soon: ")&amp;D337)&amp;IF(F337="",""," — "&amp;F337))</f>
        <v/>
      </c>
    </row>
    <row r="338" ht="20" customHeight="1">
      <c r="B338" s="125" t="n">
        <v>332</v>
      </c>
      <c r="C338" s="72" t="n"/>
      <c r="D338" s="72" t="n"/>
      <c r="E338" s="72" t="n"/>
      <c r="F338" s="72" t="n"/>
      <c r="G338" s="89" t="n"/>
      <c r="H338" s="89" t="n"/>
      <c r="I338" s="109" t="n"/>
      <c r="J338" s="126">
        <f>IF(OR(D338="",ProjStart=""),"",MAX(ProjStart,IF(I338&lt;&gt;"",I338,0),IF(H338="",0,IFERROR(INDEX($L$6:L337,MATCH(H338,$B$6:B337,0))+1,0))))</f>
        <v/>
      </c>
      <c r="K338" s="89" t="n"/>
      <c r="L338" s="126">
        <f>IF(J338="","",J338+MAX(1,G338)+IF(K338="",0,K338)-1)</f>
        <v/>
      </c>
      <c r="M338" s="72" t="n"/>
      <c r="N338" s="109" t="n"/>
      <c r="O338" s="127">
        <f>IF(D338="","",COUNTIF($H$7:$H$1006,B338))</f>
        <v/>
      </c>
      <c r="P338" s="78">
        <f>IF(D338="","",IF(AND(H338&lt;&gt;"",H338&gt;=B338),"⚠️ Predecessor must be above",IF(M338="Done","✓ Done",IF(Q338=3,"🔴 Late",IF(M338="In progress","In progress","")))))</f>
        <v/>
      </c>
      <c r="Q338" s="79">
        <f>IF(OR(D338="",L338=""),"",IF(M338="Done",2,IF(AsOf&gt;L338,3,1)))</f>
        <v/>
      </c>
      <c r="R338" s="79">
        <f>IF(OR(E338="",F338=""),0,IF(COUNTIFS($E$7:E338,E338,$F$7:F338,F338)=1,1,0))</f>
        <v/>
      </c>
      <c r="S338" s="79">
        <f>IF(R338=1,E338&amp;"|"&amp;SUMIFS($R$7:R338,$E$7:E338,E338),"")</f>
        <v/>
      </c>
      <c r="T338" s="112">
        <f>IF(Q338="","",IF(Q338=3,L338,IF(OR(M338="Not started",M338=""),J338,"")))</f>
        <v/>
      </c>
      <c r="U338" s="79">
        <f>IF(T338="","",IF(Q338=3,1,IF(T338="","",IF(T338&lt;AsOf,1,IF(T338&lt;=AsOf+AlertDays,2,IF(T338&lt;=AsOf+2*AlertDays,3,""))))))</f>
        <v/>
      </c>
      <c r="V338" s="79">
        <f>IF(U338="","",IF(Q338=3,"Late task: "&amp;D338,IF(T338&lt;AsOf,"Should have started: ","Starts soon: ")&amp;D338)&amp;IF(F338="",""," — "&amp;F338))</f>
        <v/>
      </c>
    </row>
    <row r="339" ht="20" customHeight="1">
      <c r="B339" s="125" t="n">
        <v>333</v>
      </c>
      <c r="C339" s="72" t="n"/>
      <c r="D339" s="72" t="n"/>
      <c r="E339" s="72" t="n"/>
      <c r="F339" s="72" t="n"/>
      <c r="G339" s="89" t="n"/>
      <c r="H339" s="89" t="n"/>
      <c r="I339" s="109" t="n"/>
      <c r="J339" s="126">
        <f>IF(OR(D339="",ProjStart=""),"",MAX(ProjStart,IF(I339&lt;&gt;"",I339,0),IF(H339="",0,IFERROR(INDEX($L$6:L338,MATCH(H339,$B$6:B338,0))+1,0))))</f>
        <v/>
      </c>
      <c r="K339" s="89" t="n"/>
      <c r="L339" s="126">
        <f>IF(J339="","",J339+MAX(1,G339)+IF(K339="",0,K339)-1)</f>
        <v/>
      </c>
      <c r="M339" s="72" t="n"/>
      <c r="N339" s="109" t="n"/>
      <c r="O339" s="127">
        <f>IF(D339="","",COUNTIF($H$7:$H$1006,B339))</f>
        <v/>
      </c>
      <c r="P339" s="78">
        <f>IF(D339="","",IF(AND(H339&lt;&gt;"",H339&gt;=B339),"⚠️ Predecessor must be above",IF(M339="Done","✓ Done",IF(Q339=3,"🔴 Late",IF(M339="In progress","In progress","")))))</f>
        <v/>
      </c>
      <c r="Q339" s="79">
        <f>IF(OR(D339="",L339=""),"",IF(M339="Done",2,IF(AsOf&gt;L339,3,1)))</f>
        <v/>
      </c>
      <c r="R339" s="79">
        <f>IF(OR(E339="",F339=""),0,IF(COUNTIFS($E$7:E339,E339,$F$7:F339,F339)=1,1,0))</f>
        <v/>
      </c>
      <c r="S339" s="79">
        <f>IF(R339=1,E339&amp;"|"&amp;SUMIFS($R$7:R339,$E$7:E339,E339),"")</f>
        <v/>
      </c>
      <c r="T339" s="112">
        <f>IF(Q339="","",IF(Q339=3,L339,IF(OR(M339="Not started",M339=""),J339,"")))</f>
        <v/>
      </c>
      <c r="U339" s="79">
        <f>IF(T339="","",IF(Q339=3,1,IF(T339="","",IF(T339&lt;AsOf,1,IF(T339&lt;=AsOf+AlertDays,2,IF(T339&lt;=AsOf+2*AlertDays,3,""))))))</f>
        <v/>
      </c>
      <c r="V339" s="79">
        <f>IF(U339="","",IF(Q339=3,"Late task: "&amp;D339,IF(T339&lt;AsOf,"Should have started: ","Starts soon: ")&amp;D339)&amp;IF(F339="",""," — "&amp;F339))</f>
        <v/>
      </c>
    </row>
    <row r="340" ht="20" customHeight="1">
      <c r="B340" s="125" t="n">
        <v>334</v>
      </c>
      <c r="C340" s="72" t="n"/>
      <c r="D340" s="72" t="n"/>
      <c r="E340" s="72" t="n"/>
      <c r="F340" s="72" t="n"/>
      <c r="G340" s="89" t="n"/>
      <c r="H340" s="89" t="n"/>
      <c r="I340" s="109" t="n"/>
      <c r="J340" s="126">
        <f>IF(OR(D340="",ProjStart=""),"",MAX(ProjStart,IF(I340&lt;&gt;"",I340,0),IF(H340="",0,IFERROR(INDEX($L$6:L339,MATCH(H340,$B$6:B339,0))+1,0))))</f>
        <v/>
      </c>
      <c r="K340" s="89" t="n"/>
      <c r="L340" s="126">
        <f>IF(J340="","",J340+MAX(1,G340)+IF(K340="",0,K340)-1)</f>
        <v/>
      </c>
      <c r="M340" s="72" t="n"/>
      <c r="N340" s="109" t="n"/>
      <c r="O340" s="127">
        <f>IF(D340="","",COUNTIF($H$7:$H$1006,B340))</f>
        <v/>
      </c>
      <c r="P340" s="78">
        <f>IF(D340="","",IF(AND(H340&lt;&gt;"",H340&gt;=B340),"⚠️ Predecessor must be above",IF(M340="Done","✓ Done",IF(Q340=3,"🔴 Late",IF(M340="In progress","In progress","")))))</f>
        <v/>
      </c>
      <c r="Q340" s="79">
        <f>IF(OR(D340="",L340=""),"",IF(M340="Done",2,IF(AsOf&gt;L340,3,1)))</f>
        <v/>
      </c>
      <c r="R340" s="79">
        <f>IF(OR(E340="",F340=""),0,IF(COUNTIFS($E$7:E340,E340,$F$7:F340,F340)=1,1,0))</f>
        <v/>
      </c>
      <c r="S340" s="79">
        <f>IF(R340=1,E340&amp;"|"&amp;SUMIFS($R$7:R340,$E$7:E340,E340),"")</f>
        <v/>
      </c>
      <c r="T340" s="112">
        <f>IF(Q340="","",IF(Q340=3,L340,IF(OR(M340="Not started",M340=""),J340,"")))</f>
        <v/>
      </c>
      <c r="U340" s="79">
        <f>IF(T340="","",IF(Q340=3,1,IF(T340="","",IF(T340&lt;AsOf,1,IF(T340&lt;=AsOf+AlertDays,2,IF(T340&lt;=AsOf+2*AlertDays,3,""))))))</f>
        <v/>
      </c>
      <c r="V340" s="79">
        <f>IF(U340="","",IF(Q340=3,"Late task: "&amp;D340,IF(T340&lt;AsOf,"Should have started: ","Starts soon: ")&amp;D340)&amp;IF(F340="",""," — "&amp;F340))</f>
        <v/>
      </c>
    </row>
    <row r="341" ht="20" customHeight="1">
      <c r="B341" s="125" t="n">
        <v>335</v>
      </c>
      <c r="C341" s="72" t="n"/>
      <c r="D341" s="72" t="n"/>
      <c r="E341" s="72" t="n"/>
      <c r="F341" s="72" t="n"/>
      <c r="G341" s="89" t="n"/>
      <c r="H341" s="89" t="n"/>
      <c r="I341" s="109" t="n"/>
      <c r="J341" s="126">
        <f>IF(OR(D341="",ProjStart=""),"",MAX(ProjStart,IF(I341&lt;&gt;"",I341,0),IF(H341="",0,IFERROR(INDEX($L$6:L340,MATCH(H341,$B$6:B340,0))+1,0))))</f>
        <v/>
      </c>
      <c r="K341" s="89" t="n"/>
      <c r="L341" s="126">
        <f>IF(J341="","",J341+MAX(1,G341)+IF(K341="",0,K341)-1)</f>
        <v/>
      </c>
      <c r="M341" s="72" t="n"/>
      <c r="N341" s="109" t="n"/>
      <c r="O341" s="127">
        <f>IF(D341="","",COUNTIF($H$7:$H$1006,B341))</f>
        <v/>
      </c>
      <c r="P341" s="78">
        <f>IF(D341="","",IF(AND(H341&lt;&gt;"",H341&gt;=B341),"⚠️ Predecessor must be above",IF(M341="Done","✓ Done",IF(Q341=3,"🔴 Late",IF(M341="In progress","In progress","")))))</f>
        <v/>
      </c>
      <c r="Q341" s="79">
        <f>IF(OR(D341="",L341=""),"",IF(M341="Done",2,IF(AsOf&gt;L341,3,1)))</f>
        <v/>
      </c>
      <c r="R341" s="79">
        <f>IF(OR(E341="",F341=""),0,IF(COUNTIFS($E$7:E341,E341,$F$7:F341,F341)=1,1,0))</f>
        <v/>
      </c>
      <c r="S341" s="79">
        <f>IF(R341=1,E341&amp;"|"&amp;SUMIFS($R$7:R341,$E$7:E341,E341),"")</f>
        <v/>
      </c>
      <c r="T341" s="112">
        <f>IF(Q341="","",IF(Q341=3,L341,IF(OR(M341="Not started",M341=""),J341,"")))</f>
        <v/>
      </c>
      <c r="U341" s="79">
        <f>IF(T341="","",IF(Q341=3,1,IF(T341="","",IF(T341&lt;AsOf,1,IF(T341&lt;=AsOf+AlertDays,2,IF(T341&lt;=AsOf+2*AlertDays,3,""))))))</f>
        <v/>
      </c>
      <c r="V341" s="79">
        <f>IF(U341="","",IF(Q341=3,"Late task: "&amp;D341,IF(T341&lt;AsOf,"Should have started: ","Starts soon: ")&amp;D341)&amp;IF(F341="",""," — "&amp;F341))</f>
        <v/>
      </c>
    </row>
    <row r="342" ht="20" customHeight="1">
      <c r="B342" s="125" t="n">
        <v>336</v>
      </c>
      <c r="C342" s="72" t="n"/>
      <c r="D342" s="72" t="n"/>
      <c r="E342" s="72" t="n"/>
      <c r="F342" s="72" t="n"/>
      <c r="G342" s="89" t="n"/>
      <c r="H342" s="89" t="n"/>
      <c r="I342" s="109" t="n"/>
      <c r="J342" s="126">
        <f>IF(OR(D342="",ProjStart=""),"",MAX(ProjStart,IF(I342&lt;&gt;"",I342,0),IF(H342="",0,IFERROR(INDEX($L$6:L341,MATCH(H342,$B$6:B341,0))+1,0))))</f>
        <v/>
      </c>
      <c r="K342" s="89" t="n"/>
      <c r="L342" s="126">
        <f>IF(J342="","",J342+MAX(1,G342)+IF(K342="",0,K342)-1)</f>
        <v/>
      </c>
      <c r="M342" s="72" t="n"/>
      <c r="N342" s="109" t="n"/>
      <c r="O342" s="127">
        <f>IF(D342="","",COUNTIF($H$7:$H$1006,B342))</f>
        <v/>
      </c>
      <c r="P342" s="78">
        <f>IF(D342="","",IF(AND(H342&lt;&gt;"",H342&gt;=B342),"⚠️ Predecessor must be above",IF(M342="Done","✓ Done",IF(Q342=3,"🔴 Late",IF(M342="In progress","In progress","")))))</f>
        <v/>
      </c>
      <c r="Q342" s="79">
        <f>IF(OR(D342="",L342=""),"",IF(M342="Done",2,IF(AsOf&gt;L342,3,1)))</f>
        <v/>
      </c>
      <c r="R342" s="79">
        <f>IF(OR(E342="",F342=""),0,IF(COUNTIFS($E$7:E342,E342,$F$7:F342,F342)=1,1,0))</f>
        <v/>
      </c>
      <c r="S342" s="79">
        <f>IF(R342=1,E342&amp;"|"&amp;SUMIFS($R$7:R342,$E$7:E342,E342),"")</f>
        <v/>
      </c>
      <c r="T342" s="112">
        <f>IF(Q342="","",IF(Q342=3,L342,IF(OR(M342="Not started",M342=""),J342,"")))</f>
        <v/>
      </c>
      <c r="U342" s="79">
        <f>IF(T342="","",IF(Q342=3,1,IF(T342="","",IF(T342&lt;AsOf,1,IF(T342&lt;=AsOf+AlertDays,2,IF(T342&lt;=AsOf+2*AlertDays,3,""))))))</f>
        <v/>
      </c>
      <c r="V342" s="79">
        <f>IF(U342="","",IF(Q342=3,"Late task: "&amp;D342,IF(T342&lt;AsOf,"Should have started: ","Starts soon: ")&amp;D342)&amp;IF(F342="",""," — "&amp;F342))</f>
        <v/>
      </c>
    </row>
    <row r="343" ht="20" customHeight="1">
      <c r="B343" s="125" t="n">
        <v>337</v>
      </c>
      <c r="C343" s="72" t="n"/>
      <c r="D343" s="72" t="n"/>
      <c r="E343" s="72" t="n"/>
      <c r="F343" s="72" t="n"/>
      <c r="G343" s="89" t="n"/>
      <c r="H343" s="89" t="n"/>
      <c r="I343" s="109" t="n"/>
      <c r="J343" s="126">
        <f>IF(OR(D343="",ProjStart=""),"",MAX(ProjStart,IF(I343&lt;&gt;"",I343,0),IF(H343="",0,IFERROR(INDEX($L$6:L342,MATCH(H343,$B$6:B342,0))+1,0))))</f>
        <v/>
      </c>
      <c r="K343" s="89" t="n"/>
      <c r="L343" s="126">
        <f>IF(J343="","",J343+MAX(1,G343)+IF(K343="",0,K343)-1)</f>
        <v/>
      </c>
      <c r="M343" s="72" t="n"/>
      <c r="N343" s="109" t="n"/>
      <c r="O343" s="127">
        <f>IF(D343="","",COUNTIF($H$7:$H$1006,B343))</f>
        <v/>
      </c>
      <c r="P343" s="78">
        <f>IF(D343="","",IF(AND(H343&lt;&gt;"",H343&gt;=B343),"⚠️ Predecessor must be above",IF(M343="Done","✓ Done",IF(Q343=3,"🔴 Late",IF(M343="In progress","In progress","")))))</f>
        <v/>
      </c>
      <c r="Q343" s="79">
        <f>IF(OR(D343="",L343=""),"",IF(M343="Done",2,IF(AsOf&gt;L343,3,1)))</f>
        <v/>
      </c>
      <c r="R343" s="79">
        <f>IF(OR(E343="",F343=""),0,IF(COUNTIFS($E$7:E343,E343,$F$7:F343,F343)=1,1,0))</f>
        <v/>
      </c>
      <c r="S343" s="79">
        <f>IF(R343=1,E343&amp;"|"&amp;SUMIFS($R$7:R343,$E$7:E343,E343),"")</f>
        <v/>
      </c>
      <c r="T343" s="112">
        <f>IF(Q343="","",IF(Q343=3,L343,IF(OR(M343="Not started",M343=""),J343,"")))</f>
        <v/>
      </c>
      <c r="U343" s="79">
        <f>IF(T343="","",IF(Q343=3,1,IF(T343="","",IF(T343&lt;AsOf,1,IF(T343&lt;=AsOf+AlertDays,2,IF(T343&lt;=AsOf+2*AlertDays,3,""))))))</f>
        <v/>
      </c>
      <c r="V343" s="79">
        <f>IF(U343="","",IF(Q343=3,"Late task: "&amp;D343,IF(T343&lt;AsOf,"Should have started: ","Starts soon: ")&amp;D343)&amp;IF(F343="",""," — "&amp;F343))</f>
        <v/>
      </c>
    </row>
    <row r="344" ht="20" customHeight="1">
      <c r="B344" s="125" t="n">
        <v>338</v>
      </c>
      <c r="C344" s="72" t="n"/>
      <c r="D344" s="72" t="n"/>
      <c r="E344" s="72" t="n"/>
      <c r="F344" s="72" t="n"/>
      <c r="G344" s="89" t="n"/>
      <c r="H344" s="89" t="n"/>
      <c r="I344" s="109" t="n"/>
      <c r="J344" s="126">
        <f>IF(OR(D344="",ProjStart=""),"",MAX(ProjStart,IF(I344&lt;&gt;"",I344,0),IF(H344="",0,IFERROR(INDEX($L$6:L343,MATCH(H344,$B$6:B343,0))+1,0))))</f>
        <v/>
      </c>
      <c r="K344" s="89" t="n"/>
      <c r="L344" s="126">
        <f>IF(J344="","",J344+MAX(1,G344)+IF(K344="",0,K344)-1)</f>
        <v/>
      </c>
      <c r="M344" s="72" t="n"/>
      <c r="N344" s="109" t="n"/>
      <c r="O344" s="127">
        <f>IF(D344="","",COUNTIF($H$7:$H$1006,B344))</f>
        <v/>
      </c>
      <c r="P344" s="78">
        <f>IF(D344="","",IF(AND(H344&lt;&gt;"",H344&gt;=B344),"⚠️ Predecessor must be above",IF(M344="Done","✓ Done",IF(Q344=3,"🔴 Late",IF(M344="In progress","In progress","")))))</f>
        <v/>
      </c>
      <c r="Q344" s="79">
        <f>IF(OR(D344="",L344=""),"",IF(M344="Done",2,IF(AsOf&gt;L344,3,1)))</f>
        <v/>
      </c>
      <c r="R344" s="79">
        <f>IF(OR(E344="",F344=""),0,IF(COUNTIFS($E$7:E344,E344,$F$7:F344,F344)=1,1,0))</f>
        <v/>
      </c>
      <c r="S344" s="79">
        <f>IF(R344=1,E344&amp;"|"&amp;SUMIFS($R$7:R344,$E$7:E344,E344),"")</f>
        <v/>
      </c>
      <c r="T344" s="112">
        <f>IF(Q344="","",IF(Q344=3,L344,IF(OR(M344="Not started",M344=""),J344,"")))</f>
        <v/>
      </c>
      <c r="U344" s="79">
        <f>IF(T344="","",IF(Q344=3,1,IF(T344="","",IF(T344&lt;AsOf,1,IF(T344&lt;=AsOf+AlertDays,2,IF(T344&lt;=AsOf+2*AlertDays,3,""))))))</f>
        <v/>
      </c>
      <c r="V344" s="79">
        <f>IF(U344="","",IF(Q344=3,"Late task: "&amp;D344,IF(T344&lt;AsOf,"Should have started: ","Starts soon: ")&amp;D344)&amp;IF(F344="",""," — "&amp;F344))</f>
        <v/>
      </c>
    </row>
    <row r="345" ht="20" customHeight="1">
      <c r="B345" s="125" t="n">
        <v>339</v>
      </c>
      <c r="C345" s="72" t="n"/>
      <c r="D345" s="72" t="n"/>
      <c r="E345" s="72" t="n"/>
      <c r="F345" s="72" t="n"/>
      <c r="G345" s="89" t="n"/>
      <c r="H345" s="89" t="n"/>
      <c r="I345" s="109" t="n"/>
      <c r="J345" s="126">
        <f>IF(OR(D345="",ProjStart=""),"",MAX(ProjStart,IF(I345&lt;&gt;"",I345,0),IF(H345="",0,IFERROR(INDEX($L$6:L344,MATCH(H345,$B$6:B344,0))+1,0))))</f>
        <v/>
      </c>
      <c r="K345" s="89" t="n"/>
      <c r="L345" s="126">
        <f>IF(J345="","",J345+MAX(1,G345)+IF(K345="",0,K345)-1)</f>
        <v/>
      </c>
      <c r="M345" s="72" t="n"/>
      <c r="N345" s="109" t="n"/>
      <c r="O345" s="127">
        <f>IF(D345="","",COUNTIF($H$7:$H$1006,B345))</f>
        <v/>
      </c>
      <c r="P345" s="78">
        <f>IF(D345="","",IF(AND(H345&lt;&gt;"",H345&gt;=B345),"⚠️ Predecessor must be above",IF(M345="Done","✓ Done",IF(Q345=3,"🔴 Late",IF(M345="In progress","In progress","")))))</f>
        <v/>
      </c>
      <c r="Q345" s="79">
        <f>IF(OR(D345="",L345=""),"",IF(M345="Done",2,IF(AsOf&gt;L345,3,1)))</f>
        <v/>
      </c>
      <c r="R345" s="79">
        <f>IF(OR(E345="",F345=""),0,IF(COUNTIFS($E$7:E345,E345,$F$7:F345,F345)=1,1,0))</f>
        <v/>
      </c>
      <c r="S345" s="79">
        <f>IF(R345=1,E345&amp;"|"&amp;SUMIFS($R$7:R345,$E$7:E345,E345),"")</f>
        <v/>
      </c>
      <c r="T345" s="112">
        <f>IF(Q345="","",IF(Q345=3,L345,IF(OR(M345="Not started",M345=""),J345,"")))</f>
        <v/>
      </c>
      <c r="U345" s="79">
        <f>IF(T345="","",IF(Q345=3,1,IF(T345="","",IF(T345&lt;AsOf,1,IF(T345&lt;=AsOf+AlertDays,2,IF(T345&lt;=AsOf+2*AlertDays,3,""))))))</f>
        <v/>
      </c>
      <c r="V345" s="79">
        <f>IF(U345="","",IF(Q345=3,"Late task: "&amp;D345,IF(T345&lt;AsOf,"Should have started: ","Starts soon: ")&amp;D345)&amp;IF(F345="",""," — "&amp;F345))</f>
        <v/>
      </c>
    </row>
    <row r="346" ht="20" customHeight="1">
      <c r="B346" s="125" t="n">
        <v>340</v>
      </c>
      <c r="C346" s="72" t="n"/>
      <c r="D346" s="72" t="n"/>
      <c r="E346" s="72" t="n"/>
      <c r="F346" s="72" t="n"/>
      <c r="G346" s="89" t="n"/>
      <c r="H346" s="89" t="n"/>
      <c r="I346" s="109" t="n"/>
      <c r="J346" s="126">
        <f>IF(OR(D346="",ProjStart=""),"",MAX(ProjStart,IF(I346&lt;&gt;"",I346,0),IF(H346="",0,IFERROR(INDEX($L$6:L345,MATCH(H346,$B$6:B345,0))+1,0))))</f>
        <v/>
      </c>
      <c r="K346" s="89" t="n"/>
      <c r="L346" s="126">
        <f>IF(J346="","",J346+MAX(1,G346)+IF(K346="",0,K346)-1)</f>
        <v/>
      </c>
      <c r="M346" s="72" t="n"/>
      <c r="N346" s="109" t="n"/>
      <c r="O346" s="127">
        <f>IF(D346="","",COUNTIF($H$7:$H$1006,B346))</f>
        <v/>
      </c>
      <c r="P346" s="78">
        <f>IF(D346="","",IF(AND(H346&lt;&gt;"",H346&gt;=B346),"⚠️ Predecessor must be above",IF(M346="Done","✓ Done",IF(Q346=3,"🔴 Late",IF(M346="In progress","In progress","")))))</f>
        <v/>
      </c>
      <c r="Q346" s="79">
        <f>IF(OR(D346="",L346=""),"",IF(M346="Done",2,IF(AsOf&gt;L346,3,1)))</f>
        <v/>
      </c>
      <c r="R346" s="79">
        <f>IF(OR(E346="",F346=""),0,IF(COUNTIFS($E$7:E346,E346,$F$7:F346,F346)=1,1,0))</f>
        <v/>
      </c>
      <c r="S346" s="79">
        <f>IF(R346=1,E346&amp;"|"&amp;SUMIFS($R$7:R346,$E$7:E346,E346),"")</f>
        <v/>
      </c>
      <c r="T346" s="112">
        <f>IF(Q346="","",IF(Q346=3,L346,IF(OR(M346="Not started",M346=""),J346,"")))</f>
        <v/>
      </c>
      <c r="U346" s="79">
        <f>IF(T346="","",IF(Q346=3,1,IF(T346="","",IF(T346&lt;AsOf,1,IF(T346&lt;=AsOf+AlertDays,2,IF(T346&lt;=AsOf+2*AlertDays,3,""))))))</f>
        <v/>
      </c>
      <c r="V346" s="79">
        <f>IF(U346="","",IF(Q346=3,"Late task: "&amp;D346,IF(T346&lt;AsOf,"Should have started: ","Starts soon: ")&amp;D346)&amp;IF(F346="",""," — "&amp;F346))</f>
        <v/>
      </c>
    </row>
    <row r="347" ht="20" customHeight="1">
      <c r="B347" s="125" t="n">
        <v>341</v>
      </c>
      <c r="C347" s="72" t="n"/>
      <c r="D347" s="72" t="n"/>
      <c r="E347" s="72" t="n"/>
      <c r="F347" s="72" t="n"/>
      <c r="G347" s="89" t="n"/>
      <c r="H347" s="89" t="n"/>
      <c r="I347" s="109" t="n"/>
      <c r="J347" s="126">
        <f>IF(OR(D347="",ProjStart=""),"",MAX(ProjStart,IF(I347&lt;&gt;"",I347,0),IF(H347="",0,IFERROR(INDEX($L$6:L346,MATCH(H347,$B$6:B346,0))+1,0))))</f>
        <v/>
      </c>
      <c r="K347" s="89" t="n"/>
      <c r="L347" s="126">
        <f>IF(J347="","",J347+MAX(1,G347)+IF(K347="",0,K347)-1)</f>
        <v/>
      </c>
      <c r="M347" s="72" t="n"/>
      <c r="N347" s="109" t="n"/>
      <c r="O347" s="127">
        <f>IF(D347="","",COUNTIF($H$7:$H$1006,B347))</f>
        <v/>
      </c>
      <c r="P347" s="78">
        <f>IF(D347="","",IF(AND(H347&lt;&gt;"",H347&gt;=B347),"⚠️ Predecessor must be above",IF(M347="Done","✓ Done",IF(Q347=3,"🔴 Late",IF(M347="In progress","In progress","")))))</f>
        <v/>
      </c>
      <c r="Q347" s="79">
        <f>IF(OR(D347="",L347=""),"",IF(M347="Done",2,IF(AsOf&gt;L347,3,1)))</f>
        <v/>
      </c>
      <c r="R347" s="79">
        <f>IF(OR(E347="",F347=""),0,IF(COUNTIFS($E$7:E347,E347,$F$7:F347,F347)=1,1,0))</f>
        <v/>
      </c>
      <c r="S347" s="79">
        <f>IF(R347=1,E347&amp;"|"&amp;SUMIFS($R$7:R347,$E$7:E347,E347),"")</f>
        <v/>
      </c>
      <c r="T347" s="112">
        <f>IF(Q347="","",IF(Q347=3,L347,IF(OR(M347="Not started",M347=""),J347,"")))</f>
        <v/>
      </c>
      <c r="U347" s="79">
        <f>IF(T347="","",IF(Q347=3,1,IF(T347="","",IF(T347&lt;AsOf,1,IF(T347&lt;=AsOf+AlertDays,2,IF(T347&lt;=AsOf+2*AlertDays,3,""))))))</f>
        <v/>
      </c>
      <c r="V347" s="79">
        <f>IF(U347="","",IF(Q347=3,"Late task: "&amp;D347,IF(T347&lt;AsOf,"Should have started: ","Starts soon: ")&amp;D347)&amp;IF(F347="",""," — "&amp;F347))</f>
        <v/>
      </c>
    </row>
    <row r="348" ht="20" customHeight="1">
      <c r="B348" s="125" t="n">
        <v>342</v>
      </c>
      <c r="C348" s="72" t="n"/>
      <c r="D348" s="72" t="n"/>
      <c r="E348" s="72" t="n"/>
      <c r="F348" s="72" t="n"/>
      <c r="G348" s="89" t="n"/>
      <c r="H348" s="89" t="n"/>
      <c r="I348" s="109" t="n"/>
      <c r="J348" s="126">
        <f>IF(OR(D348="",ProjStart=""),"",MAX(ProjStart,IF(I348&lt;&gt;"",I348,0),IF(H348="",0,IFERROR(INDEX($L$6:L347,MATCH(H348,$B$6:B347,0))+1,0))))</f>
        <v/>
      </c>
      <c r="K348" s="89" t="n"/>
      <c r="L348" s="126">
        <f>IF(J348="","",J348+MAX(1,G348)+IF(K348="",0,K348)-1)</f>
        <v/>
      </c>
      <c r="M348" s="72" t="n"/>
      <c r="N348" s="109" t="n"/>
      <c r="O348" s="127">
        <f>IF(D348="","",COUNTIF($H$7:$H$1006,B348))</f>
        <v/>
      </c>
      <c r="P348" s="78">
        <f>IF(D348="","",IF(AND(H348&lt;&gt;"",H348&gt;=B348),"⚠️ Predecessor must be above",IF(M348="Done","✓ Done",IF(Q348=3,"🔴 Late",IF(M348="In progress","In progress","")))))</f>
        <v/>
      </c>
      <c r="Q348" s="79">
        <f>IF(OR(D348="",L348=""),"",IF(M348="Done",2,IF(AsOf&gt;L348,3,1)))</f>
        <v/>
      </c>
      <c r="R348" s="79">
        <f>IF(OR(E348="",F348=""),0,IF(COUNTIFS($E$7:E348,E348,$F$7:F348,F348)=1,1,0))</f>
        <v/>
      </c>
      <c r="S348" s="79">
        <f>IF(R348=1,E348&amp;"|"&amp;SUMIFS($R$7:R348,$E$7:E348,E348),"")</f>
        <v/>
      </c>
      <c r="T348" s="112">
        <f>IF(Q348="","",IF(Q348=3,L348,IF(OR(M348="Not started",M348=""),J348,"")))</f>
        <v/>
      </c>
      <c r="U348" s="79">
        <f>IF(T348="","",IF(Q348=3,1,IF(T348="","",IF(T348&lt;AsOf,1,IF(T348&lt;=AsOf+AlertDays,2,IF(T348&lt;=AsOf+2*AlertDays,3,""))))))</f>
        <v/>
      </c>
      <c r="V348" s="79">
        <f>IF(U348="","",IF(Q348=3,"Late task: "&amp;D348,IF(T348&lt;AsOf,"Should have started: ","Starts soon: ")&amp;D348)&amp;IF(F348="",""," — "&amp;F348))</f>
        <v/>
      </c>
    </row>
    <row r="349" ht="20" customHeight="1">
      <c r="B349" s="125" t="n">
        <v>343</v>
      </c>
      <c r="C349" s="72" t="n"/>
      <c r="D349" s="72" t="n"/>
      <c r="E349" s="72" t="n"/>
      <c r="F349" s="72" t="n"/>
      <c r="G349" s="89" t="n"/>
      <c r="H349" s="89" t="n"/>
      <c r="I349" s="109" t="n"/>
      <c r="J349" s="126">
        <f>IF(OR(D349="",ProjStart=""),"",MAX(ProjStart,IF(I349&lt;&gt;"",I349,0),IF(H349="",0,IFERROR(INDEX($L$6:L348,MATCH(H349,$B$6:B348,0))+1,0))))</f>
        <v/>
      </c>
      <c r="K349" s="89" t="n"/>
      <c r="L349" s="126">
        <f>IF(J349="","",J349+MAX(1,G349)+IF(K349="",0,K349)-1)</f>
        <v/>
      </c>
      <c r="M349" s="72" t="n"/>
      <c r="N349" s="109" t="n"/>
      <c r="O349" s="127">
        <f>IF(D349="","",COUNTIF($H$7:$H$1006,B349))</f>
        <v/>
      </c>
      <c r="P349" s="78">
        <f>IF(D349="","",IF(AND(H349&lt;&gt;"",H349&gt;=B349),"⚠️ Predecessor must be above",IF(M349="Done","✓ Done",IF(Q349=3,"🔴 Late",IF(M349="In progress","In progress","")))))</f>
        <v/>
      </c>
      <c r="Q349" s="79">
        <f>IF(OR(D349="",L349=""),"",IF(M349="Done",2,IF(AsOf&gt;L349,3,1)))</f>
        <v/>
      </c>
      <c r="R349" s="79">
        <f>IF(OR(E349="",F349=""),0,IF(COUNTIFS($E$7:E349,E349,$F$7:F349,F349)=1,1,0))</f>
        <v/>
      </c>
      <c r="S349" s="79">
        <f>IF(R349=1,E349&amp;"|"&amp;SUMIFS($R$7:R349,$E$7:E349,E349),"")</f>
        <v/>
      </c>
      <c r="T349" s="112">
        <f>IF(Q349="","",IF(Q349=3,L349,IF(OR(M349="Not started",M349=""),J349,"")))</f>
        <v/>
      </c>
      <c r="U349" s="79">
        <f>IF(T349="","",IF(Q349=3,1,IF(T349="","",IF(T349&lt;AsOf,1,IF(T349&lt;=AsOf+AlertDays,2,IF(T349&lt;=AsOf+2*AlertDays,3,""))))))</f>
        <v/>
      </c>
      <c r="V349" s="79">
        <f>IF(U349="","",IF(Q349=3,"Late task: "&amp;D349,IF(T349&lt;AsOf,"Should have started: ","Starts soon: ")&amp;D349)&amp;IF(F349="",""," — "&amp;F349))</f>
        <v/>
      </c>
    </row>
    <row r="350" ht="20" customHeight="1">
      <c r="B350" s="125" t="n">
        <v>344</v>
      </c>
      <c r="C350" s="72" t="n"/>
      <c r="D350" s="72" t="n"/>
      <c r="E350" s="72" t="n"/>
      <c r="F350" s="72" t="n"/>
      <c r="G350" s="89" t="n"/>
      <c r="H350" s="89" t="n"/>
      <c r="I350" s="109" t="n"/>
      <c r="J350" s="126">
        <f>IF(OR(D350="",ProjStart=""),"",MAX(ProjStart,IF(I350&lt;&gt;"",I350,0),IF(H350="",0,IFERROR(INDEX($L$6:L349,MATCH(H350,$B$6:B349,0))+1,0))))</f>
        <v/>
      </c>
      <c r="K350" s="89" t="n"/>
      <c r="L350" s="126">
        <f>IF(J350="","",J350+MAX(1,G350)+IF(K350="",0,K350)-1)</f>
        <v/>
      </c>
      <c r="M350" s="72" t="n"/>
      <c r="N350" s="109" t="n"/>
      <c r="O350" s="127">
        <f>IF(D350="","",COUNTIF($H$7:$H$1006,B350))</f>
        <v/>
      </c>
      <c r="P350" s="78">
        <f>IF(D350="","",IF(AND(H350&lt;&gt;"",H350&gt;=B350),"⚠️ Predecessor must be above",IF(M350="Done","✓ Done",IF(Q350=3,"🔴 Late",IF(M350="In progress","In progress","")))))</f>
        <v/>
      </c>
      <c r="Q350" s="79">
        <f>IF(OR(D350="",L350=""),"",IF(M350="Done",2,IF(AsOf&gt;L350,3,1)))</f>
        <v/>
      </c>
      <c r="R350" s="79">
        <f>IF(OR(E350="",F350=""),0,IF(COUNTIFS($E$7:E350,E350,$F$7:F350,F350)=1,1,0))</f>
        <v/>
      </c>
      <c r="S350" s="79">
        <f>IF(R350=1,E350&amp;"|"&amp;SUMIFS($R$7:R350,$E$7:E350,E350),"")</f>
        <v/>
      </c>
      <c r="T350" s="112">
        <f>IF(Q350="","",IF(Q350=3,L350,IF(OR(M350="Not started",M350=""),J350,"")))</f>
        <v/>
      </c>
      <c r="U350" s="79">
        <f>IF(T350="","",IF(Q350=3,1,IF(T350="","",IF(T350&lt;AsOf,1,IF(T350&lt;=AsOf+AlertDays,2,IF(T350&lt;=AsOf+2*AlertDays,3,""))))))</f>
        <v/>
      </c>
      <c r="V350" s="79">
        <f>IF(U350="","",IF(Q350=3,"Late task: "&amp;D350,IF(T350&lt;AsOf,"Should have started: ","Starts soon: ")&amp;D350)&amp;IF(F350="",""," — "&amp;F350))</f>
        <v/>
      </c>
    </row>
    <row r="351" ht="20" customHeight="1">
      <c r="B351" s="125" t="n">
        <v>345</v>
      </c>
      <c r="C351" s="72" t="n"/>
      <c r="D351" s="72" t="n"/>
      <c r="E351" s="72" t="n"/>
      <c r="F351" s="72" t="n"/>
      <c r="G351" s="89" t="n"/>
      <c r="H351" s="89" t="n"/>
      <c r="I351" s="109" t="n"/>
      <c r="J351" s="126">
        <f>IF(OR(D351="",ProjStart=""),"",MAX(ProjStart,IF(I351&lt;&gt;"",I351,0),IF(H351="",0,IFERROR(INDEX($L$6:L350,MATCH(H351,$B$6:B350,0))+1,0))))</f>
        <v/>
      </c>
      <c r="K351" s="89" t="n"/>
      <c r="L351" s="126">
        <f>IF(J351="","",J351+MAX(1,G351)+IF(K351="",0,K351)-1)</f>
        <v/>
      </c>
      <c r="M351" s="72" t="n"/>
      <c r="N351" s="109" t="n"/>
      <c r="O351" s="127">
        <f>IF(D351="","",COUNTIF($H$7:$H$1006,B351))</f>
        <v/>
      </c>
      <c r="P351" s="78">
        <f>IF(D351="","",IF(AND(H351&lt;&gt;"",H351&gt;=B351),"⚠️ Predecessor must be above",IF(M351="Done","✓ Done",IF(Q351=3,"🔴 Late",IF(M351="In progress","In progress","")))))</f>
        <v/>
      </c>
      <c r="Q351" s="79">
        <f>IF(OR(D351="",L351=""),"",IF(M351="Done",2,IF(AsOf&gt;L351,3,1)))</f>
        <v/>
      </c>
      <c r="R351" s="79">
        <f>IF(OR(E351="",F351=""),0,IF(COUNTIFS($E$7:E351,E351,$F$7:F351,F351)=1,1,0))</f>
        <v/>
      </c>
      <c r="S351" s="79">
        <f>IF(R351=1,E351&amp;"|"&amp;SUMIFS($R$7:R351,$E$7:E351,E351),"")</f>
        <v/>
      </c>
      <c r="T351" s="112">
        <f>IF(Q351="","",IF(Q351=3,L351,IF(OR(M351="Not started",M351=""),J351,"")))</f>
        <v/>
      </c>
      <c r="U351" s="79">
        <f>IF(T351="","",IF(Q351=3,1,IF(T351="","",IF(T351&lt;AsOf,1,IF(T351&lt;=AsOf+AlertDays,2,IF(T351&lt;=AsOf+2*AlertDays,3,""))))))</f>
        <v/>
      </c>
      <c r="V351" s="79">
        <f>IF(U351="","",IF(Q351=3,"Late task: "&amp;D351,IF(T351&lt;AsOf,"Should have started: ","Starts soon: ")&amp;D351)&amp;IF(F351="",""," — "&amp;F351))</f>
        <v/>
      </c>
    </row>
    <row r="352" ht="20" customHeight="1">
      <c r="B352" s="125" t="n">
        <v>346</v>
      </c>
      <c r="C352" s="72" t="n"/>
      <c r="D352" s="72" t="n"/>
      <c r="E352" s="72" t="n"/>
      <c r="F352" s="72" t="n"/>
      <c r="G352" s="89" t="n"/>
      <c r="H352" s="89" t="n"/>
      <c r="I352" s="109" t="n"/>
      <c r="J352" s="126">
        <f>IF(OR(D352="",ProjStart=""),"",MAX(ProjStart,IF(I352&lt;&gt;"",I352,0),IF(H352="",0,IFERROR(INDEX($L$6:L351,MATCH(H352,$B$6:B351,0))+1,0))))</f>
        <v/>
      </c>
      <c r="K352" s="89" t="n"/>
      <c r="L352" s="126">
        <f>IF(J352="","",J352+MAX(1,G352)+IF(K352="",0,K352)-1)</f>
        <v/>
      </c>
      <c r="M352" s="72" t="n"/>
      <c r="N352" s="109" t="n"/>
      <c r="O352" s="127">
        <f>IF(D352="","",COUNTIF($H$7:$H$1006,B352))</f>
        <v/>
      </c>
      <c r="P352" s="78">
        <f>IF(D352="","",IF(AND(H352&lt;&gt;"",H352&gt;=B352),"⚠️ Predecessor must be above",IF(M352="Done","✓ Done",IF(Q352=3,"🔴 Late",IF(M352="In progress","In progress","")))))</f>
        <v/>
      </c>
      <c r="Q352" s="79">
        <f>IF(OR(D352="",L352=""),"",IF(M352="Done",2,IF(AsOf&gt;L352,3,1)))</f>
        <v/>
      </c>
      <c r="R352" s="79">
        <f>IF(OR(E352="",F352=""),0,IF(COUNTIFS($E$7:E352,E352,$F$7:F352,F352)=1,1,0))</f>
        <v/>
      </c>
      <c r="S352" s="79">
        <f>IF(R352=1,E352&amp;"|"&amp;SUMIFS($R$7:R352,$E$7:E352,E352),"")</f>
        <v/>
      </c>
      <c r="T352" s="112">
        <f>IF(Q352="","",IF(Q352=3,L352,IF(OR(M352="Not started",M352=""),J352,"")))</f>
        <v/>
      </c>
      <c r="U352" s="79">
        <f>IF(T352="","",IF(Q352=3,1,IF(T352="","",IF(T352&lt;AsOf,1,IF(T352&lt;=AsOf+AlertDays,2,IF(T352&lt;=AsOf+2*AlertDays,3,""))))))</f>
        <v/>
      </c>
      <c r="V352" s="79">
        <f>IF(U352="","",IF(Q352=3,"Late task: "&amp;D352,IF(T352&lt;AsOf,"Should have started: ","Starts soon: ")&amp;D352)&amp;IF(F352="",""," — "&amp;F352))</f>
        <v/>
      </c>
    </row>
    <row r="353" ht="20" customHeight="1">
      <c r="B353" s="125" t="n">
        <v>347</v>
      </c>
      <c r="C353" s="72" t="n"/>
      <c r="D353" s="72" t="n"/>
      <c r="E353" s="72" t="n"/>
      <c r="F353" s="72" t="n"/>
      <c r="G353" s="89" t="n"/>
      <c r="H353" s="89" t="n"/>
      <c r="I353" s="109" t="n"/>
      <c r="J353" s="126">
        <f>IF(OR(D353="",ProjStart=""),"",MAX(ProjStart,IF(I353&lt;&gt;"",I353,0),IF(H353="",0,IFERROR(INDEX($L$6:L352,MATCH(H353,$B$6:B352,0))+1,0))))</f>
        <v/>
      </c>
      <c r="K353" s="89" t="n"/>
      <c r="L353" s="126">
        <f>IF(J353="","",J353+MAX(1,G353)+IF(K353="",0,K353)-1)</f>
        <v/>
      </c>
      <c r="M353" s="72" t="n"/>
      <c r="N353" s="109" t="n"/>
      <c r="O353" s="127">
        <f>IF(D353="","",COUNTIF($H$7:$H$1006,B353))</f>
        <v/>
      </c>
      <c r="P353" s="78">
        <f>IF(D353="","",IF(AND(H353&lt;&gt;"",H353&gt;=B353),"⚠️ Predecessor must be above",IF(M353="Done","✓ Done",IF(Q353=3,"🔴 Late",IF(M353="In progress","In progress","")))))</f>
        <v/>
      </c>
      <c r="Q353" s="79">
        <f>IF(OR(D353="",L353=""),"",IF(M353="Done",2,IF(AsOf&gt;L353,3,1)))</f>
        <v/>
      </c>
      <c r="R353" s="79">
        <f>IF(OR(E353="",F353=""),0,IF(COUNTIFS($E$7:E353,E353,$F$7:F353,F353)=1,1,0))</f>
        <v/>
      </c>
      <c r="S353" s="79">
        <f>IF(R353=1,E353&amp;"|"&amp;SUMIFS($R$7:R353,$E$7:E353,E353),"")</f>
        <v/>
      </c>
      <c r="T353" s="112">
        <f>IF(Q353="","",IF(Q353=3,L353,IF(OR(M353="Not started",M353=""),J353,"")))</f>
        <v/>
      </c>
      <c r="U353" s="79">
        <f>IF(T353="","",IF(Q353=3,1,IF(T353="","",IF(T353&lt;AsOf,1,IF(T353&lt;=AsOf+AlertDays,2,IF(T353&lt;=AsOf+2*AlertDays,3,""))))))</f>
        <v/>
      </c>
      <c r="V353" s="79">
        <f>IF(U353="","",IF(Q353=3,"Late task: "&amp;D353,IF(T353&lt;AsOf,"Should have started: ","Starts soon: ")&amp;D353)&amp;IF(F353="",""," — "&amp;F353))</f>
        <v/>
      </c>
    </row>
    <row r="354" ht="20" customHeight="1">
      <c r="B354" s="125" t="n">
        <v>348</v>
      </c>
      <c r="C354" s="72" t="n"/>
      <c r="D354" s="72" t="n"/>
      <c r="E354" s="72" t="n"/>
      <c r="F354" s="72" t="n"/>
      <c r="G354" s="89" t="n"/>
      <c r="H354" s="89" t="n"/>
      <c r="I354" s="109" t="n"/>
      <c r="J354" s="126">
        <f>IF(OR(D354="",ProjStart=""),"",MAX(ProjStart,IF(I354&lt;&gt;"",I354,0),IF(H354="",0,IFERROR(INDEX($L$6:L353,MATCH(H354,$B$6:B353,0))+1,0))))</f>
        <v/>
      </c>
      <c r="K354" s="89" t="n"/>
      <c r="L354" s="126">
        <f>IF(J354="","",J354+MAX(1,G354)+IF(K354="",0,K354)-1)</f>
        <v/>
      </c>
      <c r="M354" s="72" t="n"/>
      <c r="N354" s="109" t="n"/>
      <c r="O354" s="127">
        <f>IF(D354="","",COUNTIF($H$7:$H$1006,B354))</f>
        <v/>
      </c>
      <c r="P354" s="78">
        <f>IF(D354="","",IF(AND(H354&lt;&gt;"",H354&gt;=B354),"⚠️ Predecessor must be above",IF(M354="Done","✓ Done",IF(Q354=3,"🔴 Late",IF(M354="In progress","In progress","")))))</f>
        <v/>
      </c>
      <c r="Q354" s="79">
        <f>IF(OR(D354="",L354=""),"",IF(M354="Done",2,IF(AsOf&gt;L354,3,1)))</f>
        <v/>
      </c>
      <c r="R354" s="79">
        <f>IF(OR(E354="",F354=""),0,IF(COUNTIFS($E$7:E354,E354,$F$7:F354,F354)=1,1,0))</f>
        <v/>
      </c>
      <c r="S354" s="79">
        <f>IF(R354=1,E354&amp;"|"&amp;SUMIFS($R$7:R354,$E$7:E354,E354),"")</f>
        <v/>
      </c>
      <c r="T354" s="112">
        <f>IF(Q354="","",IF(Q354=3,L354,IF(OR(M354="Not started",M354=""),J354,"")))</f>
        <v/>
      </c>
      <c r="U354" s="79">
        <f>IF(T354="","",IF(Q354=3,1,IF(T354="","",IF(T354&lt;AsOf,1,IF(T354&lt;=AsOf+AlertDays,2,IF(T354&lt;=AsOf+2*AlertDays,3,""))))))</f>
        <v/>
      </c>
      <c r="V354" s="79">
        <f>IF(U354="","",IF(Q354=3,"Late task: "&amp;D354,IF(T354&lt;AsOf,"Should have started: ","Starts soon: ")&amp;D354)&amp;IF(F354="",""," — "&amp;F354))</f>
        <v/>
      </c>
    </row>
    <row r="355" ht="20" customHeight="1">
      <c r="B355" s="125" t="n">
        <v>349</v>
      </c>
      <c r="C355" s="72" t="n"/>
      <c r="D355" s="72" t="n"/>
      <c r="E355" s="72" t="n"/>
      <c r="F355" s="72" t="n"/>
      <c r="G355" s="89" t="n"/>
      <c r="H355" s="89" t="n"/>
      <c r="I355" s="109" t="n"/>
      <c r="J355" s="126">
        <f>IF(OR(D355="",ProjStart=""),"",MAX(ProjStart,IF(I355&lt;&gt;"",I355,0),IF(H355="",0,IFERROR(INDEX($L$6:L354,MATCH(H355,$B$6:B354,0))+1,0))))</f>
        <v/>
      </c>
      <c r="K355" s="89" t="n"/>
      <c r="L355" s="126">
        <f>IF(J355="","",J355+MAX(1,G355)+IF(K355="",0,K355)-1)</f>
        <v/>
      </c>
      <c r="M355" s="72" t="n"/>
      <c r="N355" s="109" t="n"/>
      <c r="O355" s="127">
        <f>IF(D355="","",COUNTIF($H$7:$H$1006,B355))</f>
        <v/>
      </c>
      <c r="P355" s="78">
        <f>IF(D355="","",IF(AND(H355&lt;&gt;"",H355&gt;=B355),"⚠️ Predecessor must be above",IF(M355="Done","✓ Done",IF(Q355=3,"🔴 Late",IF(M355="In progress","In progress","")))))</f>
        <v/>
      </c>
      <c r="Q355" s="79">
        <f>IF(OR(D355="",L355=""),"",IF(M355="Done",2,IF(AsOf&gt;L355,3,1)))</f>
        <v/>
      </c>
      <c r="R355" s="79">
        <f>IF(OR(E355="",F355=""),0,IF(COUNTIFS($E$7:E355,E355,$F$7:F355,F355)=1,1,0))</f>
        <v/>
      </c>
      <c r="S355" s="79">
        <f>IF(R355=1,E355&amp;"|"&amp;SUMIFS($R$7:R355,$E$7:E355,E355),"")</f>
        <v/>
      </c>
      <c r="T355" s="112">
        <f>IF(Q355="","",IF(Q355=3,L355,IF(OR(M355="Not started",M355=""),J355,"")))</f>
        <v/>
      </c>
      <c r="U355" s="79">
        <f>IF(T355="","",IF(Q355=3,1,IF(T355="","",IF(T355&lt;AsOf,1,IF(T355&lt;=AsOf+AlertDays,2,IF(T355&lt;=AsOf+2*AlertDays,3,""))))))</f>
        <v/>
      </c>
      <c r="V355" s="79">
        <f>IF(U355="","",IF(Q355=3,"Late task: "&amp;D355,IF(T355&lt;AsOf,"Should have started: ","Starts soon: ")&amp;D355)&amp;IF(F355="",""," — "&amp;F355))</f>
        <v/>
      </c>
    </row>
    <row r="356" ht="20" customHeight="1">
      <c r="B356" s="125" t="n">
        <v>350</v>
      </c>
      <c r="C356" s="72" t="n"/>
      <c r="D356" s="72" t="n"/>
      <c r="E356" s="72" t="n"/>
      <c r="F356" s="72" t="n"/>
      <c r="G356" s="89" t="n"/>
      <c r="H356" s="89" t="n"/>
      <c r="I356" s="109" t="n"/>
      <c r="J356" s="126">
        <f>IF(OR(D356="",ProjStart=""),"",MAX(ProjStart,IF(I356&lt;&gt;"",I356,0),IF(H356="",0,IFERROR(INDEX($L$6:L355,MATCH(H356,$B$6:B355,0))+1,0))))</f>
        <v/>
      </c>
      <c r="K356" s="89" t="n"/>
      <c r="L356" s="126">
        <f>IF(J356="","",J356+MAX(1,G356)+IF(K356="",0,K356)-1)</f>
        <v/>
      </c>
      <c r="M356" s="72" t="n"/>
      <c r="N356" s="109" t="n"/>
      <c r="O356" s="127">
        <f>IF(D356="","",COUNTIF($H$7:$H$1006,B356))</f>
        <v/>
      </c>
      <c r="P356" s="78">
        <f>IF(D356="","",IF(AND(H356&lt;&gt;"",H356&gt;=B356),"⚠️ Predecessor must be above",IF(M356="Done","✓ Done",IF(Q356=3,"🔴 Late",IF(M356="In progress","In progress","")))))</f>
        <v/>
      </c>
      <c r="Q356" s="79">
        <f>IF(OR(D356="",L356=""),"",IF(M356="Done",2,IF(AsOf&gt;L356,3,1)))</f>
        <v/>
      </c>
      <c r="R356" s="79">
        <f>IF(OR(E356="",F356=""),0,IF(COUNTIFS($E$7:E356,E356,$F$7:F356,F356)=1,1,0))</f>
        <v/>
      </c>
      <c r="S356" s="79">
        <f>IF(R356=1,E356&amp;"|"&amp;SUMIFS($R$7:R356,$E$7:E356,E356),"")</f>
        <v/>
      </c>
      <c r="T356" s="112">
        <f>IF(Q356="","",IF(Q356=3,L356,IF(OR(M356="Not started",M356=""),J356,"")))</f>
        <v/>
      </c>
      <c r="U356" s="79">
        <f>IF(T356="","",IF(Q356=3,1,IF(T356="","",IF(T356&lt;AsOf,1,IF(T356&lt;=AsOf+AlertDays,2,IF(T356&lt;=AsOf+2*AlertDays,3,""))))))</f>
        <v/>
      </c>
      <c r="V356" s="79">
        <f>IF(U356="","",IF(Q356=3,"Late task: "&amp;D356,IF(T356&lt;AsOf,"Should have started: ","Starts soon: ")&amp;D356)&amp;IF(F356="",""," — "&amp;F356))</f>
        <v/>
      </c>
    </row>
    <row r="357" ht="20" customHeight="1">
      <c r="B357" s="125" t="n">
        <v>351</v>
      </c>
      <c r="C357" s="72" t="n"/>
      <c r="D357" s="72" t="n"/>
      <c r="E357" s="72" t="n"/>
      <c r="F357" s="72" t="n"/>
      <c r="G357" s="89" t="n"/>
      <c r="H357" s="89" t="n"/>
      <c r="I357" s="109" t="n"/>
      <c r="J357" s="126">
        <f>IF(OR(D357="",ProjStart=""),"",MAX(ProjStart,IF(I357&lt;&gt;"",I357,0),IF(H357="",0,IFERROR(INDEX($L$6:L356,MATCH(H357,$B$6:B356,0))+1,0))))</f>
        <v/>
      </c>
      <c r="K357" s="89" t="n"/>
      <c r="L357" s="126">
        <f>IF(J357="","",J357+MAX(1,G357)+IF(K357="",0,K357)-1)</f>
        <v/>
      </c>
      <c r="M357" s="72" t="n"/>
      <c r="N357" s="109" t="n"/>
      <c r="O357" s="127">
        <f>IF(D357="","",COUNTIF($H$7:$H$1006,B357))</f>
        <v/>
      </c>
      <c r="P357" s="78">
        <f>IF(D357="","",IF(AND(H357&lt;&gt;"",H357&gt;=B357),"⚠️ Predecessor must be above",IF(M357="Done","✓ Done",IF(Q357=3,"🔴 Late",IF(M357="In progress","In progress","")))))</f>
        <v/>
      </c>
      <c r="Q357" s="79">
        <f>IF(OR(D357="",L357=""),"",IF(M357="Done",2,IF(AsOf&gt;L357,3,1)))</f>
        <v/>
      </c>
      <c r="R357" s="79">
        <f>IF(OR(E357="",F357=""),0,IF(COUNTIFS($E$7:E357,E357,$F$7:F357,F357)=1,1,0))</f>
        <v/>
      </c>
      <c r="S357" s="79">
        <f>IF(R357=1,E357&amp;"|"&amp;SUMIFS($R$7:R357,$E$7:E357,E357),"")</f>
        <v/>
      </c>
      <c r="T357" s="112">
        <f>IF(Q357="","",IF(Q357=3,L357,IF(OR(M357="Not started",M357=""),J357,"")))</f>
        <v/>
      </c>
      <c r="U357" s="79">
        <f>IF(T357="","",IF(Q357=3,1,IF(T357="","",IF(T357&lt;AsOf,1,IF(T357&lt;=AsOf+AlertDays,2,IF(T357&lt;=AsOf+2*AlertDays,3,""))))))</f>
        <v/>
      </c>
      <c r="V357" s="79">
        <f>IF(U357="","",IF(Q357=3,"Late task: "&amp;D357,IF(T357&lt;AsOf,"Should have started: ","Starts soon: ")&amp;D357)&amp;IF(F357="",""," — "&amp;F357))</f>
        <v/>
      </c>
    </row>
    <row r="358" ht="20" customHeight="1">
      <c r="B358" s="125" t="n">
        <v>352</v>
      </c>
      <c r="C358" s="72" t="n"/>
      <c r="D358" s="72" t="n"/>
      <c r="E358" s="72" t="n"/>
      <c r="F358" s="72" t="n"/>
      <c r="G358" s="89" t="n"/>
      <c r="H358" s="89" t="n"/>
      <c r="I358" s="109" t="n"/>
      <c r="J358" s="126">
        <f>IF(OR(D358="",ProjStart=""),"",MAX(ProjStart,IF(I358&lt;&gt;"",I358,0),IF(H358="",0,IFERROR(INDEX($L$6:L357,MATCH(H358,$B$6:B357,0))+1,0))))</f>
        <v/>
      </c>
      <c r="K358" s="89" t="n"/>
      <c r="L358" s="126">
        <f>IF(J358="","",J358+MAX(1,G358)+IF(K358="",0,K358)-1)</f>
        <v/>
      </c>
      <c r="M358" s="72" t="n"/>
      <c r="N358" s="109" t="n"/>
      <c r="O358" s="127">
        <f>IF(D358="","",COUNTIF($H$7:$H$1006,B358))</f>
        <v/>
      </c>
      <c r="P358" s="78">
        <f>IF(D358="","",IF(AND(H358&lt;&gt;"",H358&gt;=B358),"⚠️ Predecessor must be above",IF(M358="Done","✓ Done",IF(Q358=3,"🔴 Late",IF(M358="In progress","In progress","")))))</f>
        <v/>
      </c>
      <c r="Q358" s="79">
        <f>IF(OR(D358="",L358=""),"",IF(M358="Done",2,IF(AsOf&gt;L358,3,1)))</f>
        <v/>
      </c>
      <c r="R358" s="79">
        <f>IF(OR(E358="",F358=""),0,IF(COUNTIFS($E$7:E358,E358,$F$7:F358,F358)=1,1,0))</f>
        <v/>
      </c>
      <c r="S358" s="79">
        <f>IF(R358=1,E358&amp;"|"&amp;SUMIFS($R$7:R358,$E$7:E358,E358),"")</f>
        <v/>
      </c>
      <c r="T358" s="112">
        <f>IF(Q358="","",IF(Q358=3,L358,IF(OR(M358="Not started",M358=""),J358,"")))</f>
        <v/>
      </c>
      <c r="U358" s="79">
        <f>IF(T358="","",IF(Q358=3,1,IF(T358="","",IF(T358&lt;AsOf,1,IF(T358&lt;=AsOf+AlertDays,2,IF(T358&lt;=AsOf+2*AlertDays,3,""))))))</f>
        <v/>
      </c>
      <c r="V358" s="79">
        <f>IF(U358="","",IF(Q358=3,"Late task: "&amp;D358,IF(T358&lt;AsOf,"Should have started: ","Starts soon: ")&amp;D358)&amp;IF(F358="",""," — "&amp;F358))</f>
        <v/>
      </c>
    </row>
    <row r="359" ht="20" customHeight="1">
      <c r="B359" s="125" t="n">
        <v>353</v>
      </c>
      <c r="C359" s="72" t="n"/>
      <c r="D359" s="72" t="n"/>
      <c r="E359" s="72" t="n"/>
      <c r="F359" s="72" t="n"/>
      <c r="G359" s="89" t="n"/>
      <c r="H359" s="89" t="n"/>
      <c r="I359" s="109" t="n"/>
      <c r="J359" s="126">
        <f>IF(OR(D359="",ProjStart=""),"",MAX(ProjStart,IF(I359&lt;&gt;"",I359,0),IF(H359="",0,IFERROR(INDEX($L$6:L358,MATCH(H359,$B$6:B358,0))+1,0))))</f>
        <v/>
      </c>
      <c r="K359" s="89" t="n"/>
      <c r="L359" s="126">
        <f>IF(J359="","",J359+MAX(1,G359)+IF(K359="",0,K359)-1)</f>
        <v/>
      </c>
      <c r="M359" s="72" t="n"/>
      <c r="N359" s="109" t="n"/>
      <c r="O359" s="127">
        <f>IF(D359="","",COUNTIF($H$7:$H$1006,B359))</f>
        <v/>
      </c>
      <c r="P359" s="78">
        <f>IF(D359="","",IF(AND(H359&lt;&gt;"",H359&gt;=B359),"⚠️ Predecessor must be above",IF(M359="Done","✓ Done",IF(Q359=3,"🔴 Late",IF(M359="In progress","In progress","")))))</f>
        <v/>
      </c>
      <c r="Q359" s="79">
        <f>IF(OR(D359="",L359=""),"",IF(M359="Done",2,IF(AsOf&gt;L359,3,1)))</f>
        <v/>
      </c>
      <c r="R359" s="79">
        <f>IF(OR(E359="",F359=""),0,IF(COUNTIFS($E$7:E359,E359,$F$7:F359,F359)=1,1,0))</f>
        <v/>
      </c>
      <c r="S359" s="79">
        <f>IF(R359=1,E359&amp;"|"&amp;SUMIFS($R$7:R359,$E$7:E359,E359),"")</f>
        <v/>
      </c>
      <c r="T359" s="112">
        <f>IF(Q359="","",IF(Q359=3,L359,IF(OR(M359="Not started",M359=""),J359,"")))</f>
        <v/>
      </c>
      <c r="U359" s="79">
        <f>IF(T359="","",IF(Q359=3,1,IF(T359="","",IF(T359&lt;AsOf,1,IF(T359&lt;=AsOf+AlertDays,2,IF(T359&lt;=AsOf+2*AlertDays,3,""))))))</f>
        <v/>
      </c>
      <c r="V359" s="79">
        <f>IF(U359="","",IF(Q359=3,"Late task: "&amp;D359,IF(T359&lt;AsOf,"Should have started: ","Starts soon: ")&amp;D359)&amp;IF(F359="",""," — "&amp;F359))</f>
        <v/>
      </c>
    </row>
    <row r="360" ht="20" customHeight="1">
      <c r="B360" s="125" t="n">
        <v>354</v>
      </c>
      <c r="C360" s="72" t="n"/>
      <c r="D360" s="72" t="n"/>
      <c r="E360" s="72" t="n"/>
      <c r="F360" s="72" t="n"/>
      <c r="G360" s="89" t="n"/>
      <c r="H360" s="89" t="n"/>
      <c r="I360" s="109" t="n"/>
      <c r="J360" s="126">
        <f>IF(OR(D360="",ProjStart=""),"",MAX(ProjStart,IF(I360&lt;&gt;"",I360,0),IF(H360="",0,IFERROR(INDEX($L$6:L359,MATCH(H360,$B$6:B359,0))+1,0))))</f>
        <v/>
      </c>
      <c r="K360" s="89" t="n"/>
      <c r="L360" s="126">
        <f>IF(J360="","",J360+MAX(1,G360)+IF(K360="",0,K360)-1)</f>
        <v/>
      </c>
      <c r="M360" s="72" t="n"/>
      <c r="N360" s="109" t="n"/>
      <c r="O360" s="127">
        <f>IF(D360="","",COUNTIF($H$7:$H$1006,B360))</f>
        <v/>
      </c>
      <c r="P360" s="78">
        <f>IF(D360="","",IF(AND(H360&lt;&gt;"",H360&gt;=B360),"⚠️ Predecessor must be above",IF(M360="Done","✓ Done",IF(Q360=3,"🔴 Late",IF(M360="In progress","In progress","")))))</f>
        <v/>
      </c>
      <c r="Q360" s="79">
        <f>IF(OR(D360="",L360=""),"",IF(M360="Done",2,IF(AsOf&gt;L360,3,1)))</f>
        <v/>
      </c>
      <c r="R360" s="79">
        <f>IF(OR(E360="",F360=""),0,IF(COUNTIFS($E$7:E360,E360,$F$7:F360,F360)=1,1,0))</f>
        <v/>
      </c>
      <c r="S360" s="79">
        <f>IF(R360=1,E360&amp;"|"&amp;SUMIFS($R$7:R360,$E$7:E360,E360),"")</f>
        <v/>
      </c>
      <c r="T360" s="112">
        <f>IF(Q360="","",IF(Q360=3,L360,IF(OR(M360="Not started",M360=""),J360,"")))</f>
        <v/>
      </c>
      <c r="U360" s="79">
        <f>IF(T360="","",IF(Q360=3,1,IF(T360="","",IF(T360&lt;AsOf,1,IF(T360&lt;=AsOf+AlertDays,2,IF(T360&lt;=AsOf+2*AlertDays,3,""))))))</f>
        <v/>
      </c>
      <c r="V360" s="79">
        <f>IF(U360="","",IF(Q360=3,"Late task: "&amp;D360,IF(T360&lt;AsOf,"Should have started: ","Starts soon: ")&amp;D360)&amp;IF(F360="",""," — "&amp;F360))</f>
        <v/>
      </c>
    </row>
    <row r="361" ht="20" customHeight="1">
      <c r="B361" s="125" t="n">
        <v>355</v>
      </c>
      <c r="C361" s="72" t="n"/>
      <c r="D361" s="72" t="n"/>
      <c r="E361" s="72" t="n"/>
      <c r="F361" s="72" t="n"/>
      <c r="G361" s="89" t="n"/>
      <c r="H361" s="89" t="n"/>
      <c r="I361" s="109" t="n"/>
      <c r="J361" s="126">
        <f>IF(OR(D361="",ProjStart=""),"",MAX(ProjStart,IF(I361&lt;&gt;"",I361,0),IF(H361="",0,IFERROR(INDEX($L$6:L360,MATCH(H361,$B$6:B360,0))+1,0))))</f>
        <v/>
      </c>
      <c r="K361" s="89" t="n"/>
      <c r="L361" s="126">
        <f>IF(J361="","",J361+MAX(1,G361)+IF(K361="",0,K361)-1)</f>
        <v/>
      </c>
      <c r="M361" s="72" t="n"/>
      <c r="N361" s="109" t="n"/>
      <c r="O361" s="127">
        <f>IF(D361="","",COUNTIF($H$7:$H$1006,B361))</f>
        <v/>
      </c>
      <c r="P361" s="78">
        <f>IF(D361="","",IF(AND(H361&lt;&gt;"",H361&gt;=B361),"⚠️ Predecessor must be above",IF(M361="Done","✓ Done",IF(Q361=3,"🔴 Late",IF(M361="In progress","In progress","")))))</f>
        <v/>
      </c>
      <c r="Q361" s="79">
        <f>IF(OR(D361="",L361=""),"",IF(M361="Done",2,IF(AsOf&gt;L361,3,1)))</f>
        <v/>
      </c>
      <c r="R361" s="79">
        <f>IF(OR(E361="",F361=""),0,IF(COUNTIFS($E$7:E361,E361,$F$7:F361,F361)=1,1,0))</f>
        <v/>
      </c>
      <c r="S361" s="79">
        <f>IF(R361=1,E361&amp;"|"&amp;SUMIFS($R$7:R361,$E$7:E361,E361),"")</f>
        <v/>
      </c>
      <c r="T361" s="112">
        <f>IF(Q361="","",IF(Q361=3,L361,IF(OR(M361="Not started",M361=""),J361,"")))</f>
        <v/>
      </c>
      <c r="U361" s="79">
        <f>IF(T361="","",IF(Q361=3,1,IF(T361="","",IF(T361&lt;AsOf,1,IF(T361&lt;=AsOf+AlertDays,2,IF(T361&lt;=AsOf+2*AlertDays,3,""))))))</f>
        <v/>
      </c>
      <c r="V361" s="79">
        <f>IF(U361="","",IF(Q361=3,"Late task: "&amp;D361,IF(T361&lt;AsOf,"Should have started: ","Starts soon: ")&amp;D361)&amp;IF(F361="",""," — "&amp;F361))</f>
        <v/>
      </c>
    </row>
    <row r="362" ht="20" customHeight="1">
      <c r="B362" s="125" t="n">
        <v>356</v>
      </c>
      <c r="C362" s="72" t="n"/>
      <c r="D362" s="72" t="n"/>
      <c r="E362" s="72" t="n"/>
      <c r="F362" s="72" t="n"/>
      <c r="G362" s="89" t="n"/>
      <c r="H362" s="89" t="n"/>
      <c r="I362" s="109" t="n"/>
      <c r="J362" s="126">
        <f>IF(OR(D362="",ProjStart=""),"",MAX(ProjStart,IF(I362&lt;&gt;"",I362,0),IF(H362="",0,IFERROR(INDEX($L$6:L361,MATCH(H362,$B$6:B361,0))+1,0))))</f>
        <v/>
      </c>
      <c r="K362" s="89" t="n"/>
      <c r="L362" s="126">
        <f>IF(J362="","",J362+MAX(1,G362)+IF(K362="",0,K362)-1)</f>
        <v/>
      </c>
      <c r="M362" s="72" t="n"/>
      <c r="N362" s="109" t="n"/>
      <c r="O362" s="127">
        <f>IF(D362="","",COUNTIF($H$7:$H$1006,B362))</f>
        <v/>
      </c>
      <c r="P362" s="78">
        <f>IF(D362="","",IF(AND(H362&lt;&gt;"",H362&gt;=B362),"⚠️ Predecessor must be above",IF(M362="Done","✓ Done",IF(Q362=3,"🔴 Late",IF(M362="In progress","In progress","")))))</f>
        <v/>
      </c>
      <c r="Q362" s="79">
        <f>IF(OR(D362="",L362=""),"",IF(M362="Done",2,IF(AsOf&gt;L362,3,1)))</f>
        <v/>
      </c>
      <c r="R362" s="79">
        <f>IF(OR(E362="",F362=""),0,IF(COUNTIFS($E$7:E362,E362,$F$7:F362,F362)=1,1,0))</f>
        <v/>
      </c>
      <c r="S362" s="79">
        <f>IF(R362=1,E362&amp;"|"&amp;SUMIFS($R$7:R362,$E$7:E362,E362),"")</f>
        <v/>
      </c>
      <c r="T362" s="112">
        <f>IF(Q362="","",IF(Q362=3,L362,IF(OR(M362="Not started",M362=""),J362,"")))</f>
        <v/>
      </c>
      <c r="U362" s="79">
        <f>IF(T362="","",IF(Q362=3,1,IF(T362="","",IF(T362&lt;AsOf,1,IF(T362&lt;=AsOf+AlertDays,2,IF(T362&lt;=AsOf+2*AlertDays,3,""))))))</f>
        <v/>
      </c>
      <c r="V362" s="79">
        <f>IF(U362="","",IF(Q362=3,"Late task: "&amp;D362,IF(T362&lt;AsOf,"Should have started: ","Starts soon: ")&amp;D362)&amp;IF(F362="",""," — "&amp;F362))</f>
        <v/>
      </c>
    </row>
    <row r="363" ht="20" customHeight="1">
      <c r="B363" s="125" t="n">
        <v>357</v>
      </c>
      <c r="C363" s="72" t="n"/>
      <c r="D363" s="72" t="n"/>
      <c r="E363" s="72" t="n"/>
      <c r="F363" s="72" t="n"/>
      <c r="G363" s="89" t="n"/>
      <c r="H363" s="89" t="n"/>
      <c r="I363" s="109" t="n"/>
      <c r="J363" s="126">
        <f>IF(OR(D363="",ProjStart=""),"",MAX(ProjStart,IF(I363&lt;&gt;"",I363,0),IF(H363="",0,IFERROR(INDEX($L$6:L362,MATCH(H363,$B$6:B362,0))+1,0))))</f>
        <v/>
      </c>
      <c r="K363" s="89" t="n"/>
      <c r="L363" s="126">
        <f>IF(J363="","",J363+MAX(1,G363)+IF(K363="",0,K363)-1)</f>
        <v/>
      </c>
      <c r="M363" s="72" t="n"/>
      <c r="N363" s="109" t="n"/>
      <c r="O363" s="127">
        <f>IF(D363="","",COUNTIF($H$7:$H$1006,B363))</f>
        <v/>
      </c>
      <c r="P363" s="78">
        <f>IF(D363="","",IF(AND(H363&lt;&gt;"",H363&gt;=B363),"⚠️ Predecessor must be above",IF(M363="Done","✓ Done",IF(Q363=3,"🔴 Late",IF(M363="In progress","In progress","")))))</f>
        <v/>
      </c>
      <c r="Q363" s="79">
        <f>IF(OR(D363="",L363=""),"",IF(M363="Done",2,IF(AsOf&gt;L363,3,1)))</f>
        <v/>
      </c>
      <c r="R363" s="79">
        <f>IF(OR(E363="",F363=""),0,IF(COUNTIFS($E$7:E363,E363,$F$7:F363,F363)=1,1,0))</f>
        <v/>
      </c>
      <c r="S363" s="79">
        <f>IF(R363=1,E363&amp;"|"&amp;SUMIFS($R$7:R363,$E$7:E363,E363),"")</f>
        <v/>
      </c>
      <c r="T363" s="112">
        <f>IF(Q363="","",IF(Q363=3,L363,IF(OR(M363="Not started",M363=""),J363,"")))</f>
        <v/>
      </c>
      <c r="U363" s="79">
        <f>IF(T363="","",IF(Q363=3,1,IF(T363="","",IF(T363&lt;AsOf,1,IF(T363&lt;=AsOf+AlertDays,2,IF(T363&lt;=AsOf+2*AlertDays,3,""))))))</f>
        <v/>
      </c>
      <c r="V363" s="79">
        <f>IF(U363="","",IF(Q363=3,"Late task: "&amp;D363,IF(T363&lt;AsOf,"Should have started: ","Starts soon: ")&amp;D363)&amp;IF(F363="",""," — "&amp;F363))</f>
        <v/>
      </c>
    </row>
    <row r="364" ht="20" customHeight="1">
      <c r="B364" s="125" t="n">
        <v>358</v>
      </c>
      <c r="C364" s="72" t="n"/>
      <c r="D364" s="72" t="n"/>
      <c r="E364" s="72" t="n"/>
      <c r="F364" s="72" t="n"/>
      <c r="G364" s="89" t="n"/>
      <c r="H364" s="89" t="n"/>
      <c r="I364" s="109" t="n"/>
      <c r="J364" s="126">
        <f>IF(OR(D364="",ProjStart=""),"",MAX(ProjStart,IF(I364&lt;&gt;"",I364,0),IF(H364="",0,IFERROR(INDEX($L$6:L363,MATCH(H364,$B$6:B363,0))+1,0))))</f>
        <v/>
      </c>
      <c r="K364" s="89" t="n"/>
      <c r="L364" s="126">
        <f>IF(J364="","",J364+MAX(1,G364)+IF(K364="",0,K364)-1)</f>
        <v/>
      </c>
      <c r="M364" s="72" t="n"/>
      <c r="N364" s="109" t="n"/>
      <c r="O364" s="127">
        <f>IF(D364="","",COUNTIF($H$7:$H$1006,B364))</f>
        <v/>
      </c>
      <c r="P364" s="78">
        <f>IF(D364="","",IF(AND(H364&lt;&gt;"",H364&gt;=B364),"⚠️ Predecessor must be above",IF(M364="Done","✓ Done",IF(Q364=3,"🔴 Late",IF(M364="In progress","In progress","")))))</f>
        <v/>
      </c>
      <c r="Q364" s="79">
        <f>IF(OR(D364="",L364=""),"",IF(M364="Done",2,IF(AsOf&gt;L364,3,1)))</f>
        <v/>
      </c>
      <c r="R364" s="79">
        <f>IF(OR(E364="",F364=""),0,IF(COUNTIFS($E$7:E364,E364,$F$7:F364,F364)=1,1,0))</f>
        <v/>
      </c>
      <c r="S364" s="79">
        <f>IF(R364=1,E364&amp;"|"&amp;SUMIFS($R$7:R364,$E$7:E364,E364),"")</f>
        <v/>
      </c>
      <c r="T364" s="112">
        <f>IF(Q364="","",IF(Q364=3,L364,IF(OR(M364="Not started",M364=""),J364,"")))</f>
        <v/>
      </c>
      <c r="U364" s="79">
        <f>IF(T364="","",IF(Q364=3,1,IF(T364="","",IF(T364&lt;AsOf,1,IF(T364&lt;=AsOf+AlertDays,2,IF(T364&lt;=AsOf+2*AlertDays,3,""))))))</f>
        <v/>
      </c>
      <c r="V364" s="79">
        <f>IF(U364="","",IF(Q364=3,"Late task: "&amp;D364,IF(T364&lt;AsOf,"Should have started: ","Starts soon: ")&amp;D364)&amp;IF(F364="",""," — "&amp;F364))</f>
        <v/>
      </c>
    </row>
    <row r="365" ht="20" customHeight="1">
      <c r="B365" s="125" t="n">
        <v>359</v>
      </c>
      <c r="C365" s="72" t="n"/>
      <c r="D365" s="72" t="n"/>
      <c r="E365" s="72" t="n"/>
      <c r="F365" s="72" t="n"/>
      <c r="G365" s="89" t="n"/>
      <c r="H365" s="89" t="n"/>
      <c r="I365" s="109" t="n"/>
      <c r="J365" s="126">
        <f>IF(OR(D365="",ProjStart=""),"",MAX(ProjStart,IF(I365&lt;&gt;"",I365,0),IF(H365="",0,IFERROR(INDEX($L$6:L364,MATCH(H365,$B$6:B364,0))+1,0))))</f>
        <v/>
      </c>
      <c r="K365" s="89" t="n"/>
      <c r="L365" s="126">
        <f>IF(J365="","",J365+MAX(1,G365)+IF(K365="",0,K365)-1)</f>
        <v/>
      </c>
      <c r="M365" s="72" t="n"/>
      <c r="N365" s="109" t="n"/>
      <c r="O365" s="127">
        <f>IF(D365="","",COUNTIF($H$7:$H$1006,B365))</f>
        <v/>
      </c>
      <c r="P365" s="78">
        <f>IF(D365="","",IF(AND(H365&lt;&gt;"",H365&gt;=B365),"⚠️ Predecessor must be above",IF(M365="Done","✓ Done",IF(Q365=3,"🔴 Late",IF(M365="In progress","In progress","")))))</f>
        <v/>
      </c>
      <c r="Q365" s="79">
        <f>IF(OR(D365="",L365=""),"",IF(M365="Done",2,IF(AsOf&gt;L365,3,1)))</f>
        <v/>
      </c>
      <c r="R365" s="79">
        <f>IF(OR(E365="",F365=""),0,IF(COUNTIFS($E$7:E365,E365,$F$7:F365,F365)=1,1,0))</f>
        <v/>
      </c>
      <c r="S365" s="79">
        <f>IF(R365=1,E365&amp;"|"&amp;SUMIFS($R$7:R365,$E$7:E365,E365),"")</f>
        <v/>
      </c>
      <c r="T365" s="112">
        <f>IF(Q365="","",IF(Q365=3,L365,IF(OR(M365="Not started",M365=""),J365,"")))</f>
        <v/>
      </c>
      <c r="U365" s="79">
        <f>IF(T365="","",IF(Q365=3,1,IF(T365="","",IF(T365&lt;AsOf,1,IF(T365&lt;=AsOf+AlertDays,2,IF(T365&lt;=AsOf+2*AlertDays,3,""))))))</f>
        <v/>
      </c>
      <c r="V365" s="79">
        <f>IF(U365="","",IF(Q365=3,"Late task: "&amp;D365,IF(T365&lt;AsOf,"Should have started: ","Starts soon: ")&amp;D365)&amp;IF(F365="",""," — "&amp;F365))</f>
        <v/>
      </c>
    </row>
    <row r="366" ht="20" customHeight="1">
      <c r="B366" s="125" t="n">
        <v>360</v>
      </c>
      <c r="C366" s="72" t="n"/>
      <c r="D366" s="72" t="n"/>
      <c r="E366" s="72" t="n"/>
      <c r="F366" s="72" t="n"/>
      <c r="G366" s="89" t="n"/>
      <c r="H366" s="89" t="n"/>
      <c r="I366" s="109" t="n"/>
      <c r="J366" s="126">
        <f>IF(OR(D366="",ProjStart=""),"",MAX(ProjStart,IF(I366&lt;&gt;"",I366,0),IF(H366="",0,IFERROR(INDEX($L$6:L365,MATCH(H366,$B$6:B365,0))+1,0))))</f>
        <v/>
      </c>
      <c r="K366" s="89" t="n"/>
      <c r="L366" s="126">
        <f>IF(J366="","",J366+MAX(1,G366)+IF(K366="",0,K366)-1)</f>
        <v/>
      </c>
      <c r="M366" s="72" t="n"/>
      <c r="N366" s="109" t="n"/>
      <c r="O366" s="127">
        <f>IF(D366="","",COUNTIF($H$7:$H$1006,B366))</f>
        <v/>
      </c>
      <c r="P366" s="78">
        <f>IF(D366="","",IF(AND(H366&lt;&gt;"",H366&gt;=B366),"⚠️ Predecessor must be above",IF(M366="Done","✓ Done",IF(Q366=3,"🔴 Late",IF(M366="In progress","In progress","")))))</f>
        <v/>
      </c>
      <c r="Q366" s="79">
        <f>IF(OR(D366="",L366=""),"",IF(M366="Done",2,IF(AsOf&gt;L366,3,1)))</f>
        <v/>
      </c>
      <c r="R366" s="79">
        <f>IF(OR(E366="",F366=""),0,IF(COUNTIFS($E$7:E366,E366,$F$7:F366,F366)=1,1,0))</f>
        <v/>
      </c>
      <c r="S366" s="79">
        <f>IF(R366=1,E366&amp;"|"&amp;SUMIFS($R$7:R366,$E$7:E366,E366),"")</f>
        <v/>
      </c>
      <c r="T366" s="112">
        <f>IF(Q366="","",IF(Q366=3,L366,IF(OR(M366="Not started",M366=""),J366,"")))</f>
        <v/>
      </c>
      <c r="U366" s="79">
        <f>IF(T366="","",IF(Q366=3,1,IF(T366="","",IF(T366&lt;AsOf,1,IF(T366&lt;=AsOf+AlertDays,2,IF(T366&lt;=AsOf+2*AlertDays,3,""))))))</f>
        <v/>
      </c>
      <c r="V366" s="79">
        <f>IF(U366="","",IF(Q366=3,"Late task: "&amp;D366,IF(T366&lt;AsOf,"Should have started: ","Starts soon: ")&amp;D366)&amp;IF(F366="",""," — "&amp;F366))</f>
        <v/>
      </c>
    </row>
    <row r="367" ht="20" customHeight="1">
      <c r="B367" s="125" t="n">
        <v>361</v>
      </c>
      <c r="C367" s="72" t="n"/>
      <c r="D367" s="72" t="n"/>
      <c r="E367" s="72" t="n"/>
      <c r="F367" s="72" t="n"/>
      <c r="G367" s="89" t="n"/>
      <c r="H367" s="89" t="n"/>
      <c r="I367" s="109" t="n"/>
      <c r="J367" s="126">
        <f>IF(OR(D367="",ProjStart=""),"",MAX(ProjStart,IF(I367&lt;&gt;"",I367,0),IF(H367="",0,IFERROR(INDEX($L$6:L366,MATCH(H367,$B$6:B366,0))+1,0))))</f>
        <v/>
      </c>
      <c r="K367" s="89" t="n"/>
      <c r="L367" s="126">
        <f>IF(J367="","",J367+MAX(1,G367)+IF(K367="",0,K367)-1)</f>
        <v/>
      </c>
      <c r="M367" s="72" t="n"/>
      <c r="N367" s="109" t="n"/>
      <c r="O367" s="127">
        <f>IF(D367="","",COUNTIF($H$7:$H$1006,B367))</f>
        <v/>
      </c>
      <c r="P367" s="78">
        <f>IF(D367="","",IF(AND(H367&lt;&gt;"",H367&gt;=B367),"⚠️ Predecessor must be above",IF(M367="Done","✓ Done",IF(Q367=3,"🔴 Late",IF(M367="In progress","In progress","")))))</f>
        <v/>
      </c>
      <c r="Q367" s="79">
        <f>IF(OR(D367="",L367=""),"",IF(M367="Done",2,IF(AsOf&gt;L367,3,1)))</f>
        <v/>
      </c>
      <c r="R367" s="79">
        <f>IF(OR(E367="",F367=""),0,IF(COUNTIFS($E$7:E367,E367,$F$7:F367,F367)=1,1,0))</f>
        <v/>
      </c>
      <c r="S367" s="79">
        <f>IF(R367=1,E367&amp;"|"&amp;SUMIFS($R$7:R367,$E$7:E367,E367),"")</f>
        <v/>
      </c>
      <c r="T367" s="112">
        <f>IF(Q367="","",IF(Q367=3,L367,IF(OR(M367="Not started",M367=""),J367,"")))</f>
        <v/>
      </c>
      <c r="U367" s="79">
        <f>IF(T367="","",IF(Q367=3,1,IF(T367="","",IF(T367&lt;AsOf,1,IF(T367&lt;=AsOf+AlertDays,2,IF(T367&lt;=AsOf+2*AlertDays,3,""))))))</f>
        <v/>
      </c>
      <c r="V367" s="79">
        <f>IF(U367="","",IF(Q367=3,"Late task: "&amp;D367,IF(T367&lt;AsOf,"Should have started: ","Starts soon: ")&amp;D367)&amp;IF(F367="",""," — "&amp;F367))</f>
        <v/>
      </c>
    </row>
    <row r="368" ht="20" customHeight="1">
      <c r="B368" s="125" t="n">
        <v>362</v>
      </c>
      <c r="C368" s="72" t="n"/>
      <c r="D368" s="72" t="n"/>
      <c r="E368" s="72" t="n"/>
      <c r="F368" s="72" t="n"/>
      <c r="G368" s="89" t="n"/>
      <c r="H368" s="89" t="n"/>
      <c r="I368" s="109" t="n"/>
      <c r="J368" s="126">
        <f>IF(OR(D368="",ProjStart=""),"",MAX(ProjStart,IF(I368&lt;&gt;"",I368,0),IF(H368="",0,IFERROR(INDEX($L$6:L367,MATCH(H368,$B$6:B367,0))+1,0))))</f>
        <v/>
      </c>
      <c r="K368" s="89" t="n"/>
      <c r="L368" s="126">
        <f>IF(J368="","",J368+MAX(1,G368)+IF(K368="",0,K368)-1)</f>
        <v/>
      </c>
      <c r="M368" s="72" t="n"/>
      <c r="N368" s="109" t="n"/>
      <c r="O368" s="127">
        <f>IF(D368="","",COUNTIF($H$7:$H$1006,B368))</f>
        <v/>
      </c>
      <c r="P368" s="78">
        <f>IF(D368="","",IF(AND(H368&lt;&gt;"",H368&gt;=B368),"⚠️ Predecessor must be above",IF(M368="Done","✓ Done",IF(Q368=3,"🔴 Late",IF(M368="In progress","In progress","")))))</f>
        <v/>
      </c>
      <c r="Q368" s="79">
        <f>IF(OR(D368="",L368=""),"",IF(M368="Done",2,IF(AsOf&gt;L368,3,1)))</f>
        <v/>
      </c>
      <c r="R368" s="79">
        <f>IF(OR(E368="",F368=""),0,IF(COUNTIFS($E$7:E368,E368,$F$7:F368,F368)=1,1,0))</f>
        <v/>
      </c>
      <c r="S368" s="79">
        <f>IF(R368=1,E368&amp;"|"&amp;SUMIFS($R$7:R368,$E$7:E368,E368),"")</f>
        <v/>
      </c>
      <c r="T368" s="112">
        <f>IF(Q368="","",IF(Q368=3,L368,IF(OR(M368="Not started",M368=""),J368,"")))</f>
        <v/>
      </c>
      <c r="U368" s="79">
        <f>IF(T368="","",IF(Q368=3,1,IF(T368="","",IF(T368&lt;AsOf,1,IF(T368&lt;=AsOf+AlertDays,2,IF(T368&lt;=AsOf+2*AlertDays,3,""))))))</f>
        <v/>
      </c>
      <c r="V368" s="79">
        <f>IF(U368="","",IF(Q368=3,"Late task: "&amp;D368,IF(T368&lt;AsOf,"Should have started: ","Starts soon: ")&amp;D368)&amp;IF(F368="",""," — "&amp;F368))</f>
        <v/>
      </c>
    </row>
    <row r="369" ht="20" customHeight="1">
      <c r="B369" s="125" t="n">
        <v>363</v>
      </c>
      <c r="C369" s="72" t="n"/>
      <c r="D369" s="72" t="n"/>
      <c r="E369" s="72" t="n"/>
      <c r="F369" s="72" t="n"/>
      <c r="G369" s="89" t="n"/>
      <c r="H369" s="89" t="n"/>
      <c r="I369" s="109" t="n"/>
      <c r="J369" s="126">
        <f>IF(OR(D369="",ProjStart=""),"",MAX(ProjStart,IF(I369&lt;&gt;"",I369,0),IF(H369="",0,IFERROR(INDEX($L$6:L368,MATCH(H369,$B$6:B368,0))+1,0))))</f>
        <v/>
      </c>
      <c r="K369" s="89" t="n"/>
      <c r="L369" s="126">
        <f>IF(J369="","",J369+MAX(1,G369)+IF(K369="",0,K369)-1)</f>
        <v/>
      </c>
      <c r="M369" s="72" t="n"/>
      <c r="N369" s="109" t="n"/>
      <c r="O369" s="127">
        <f>IF(D369="","",COUNTIF($H$7:$H$1006,B369))</f>
        <v/>
      </c>
      <c r="P369" s="78">
        <f>IF(D369="","",IF(AND(H369&lt;&gt;"",H369&gt;=B369),"⚠️ Predecessor must be above",IF(M369="Done","✓ Done",IF(Q369=3,"🔴 Late",IF(M369="In progress","In progress","")))))</f>
        <v/>
      </c>
      <c r="Q369" s="79">
        <f>IF(OR(D369="",L369=""),"",IF(M369="Done",2,IF(AsOf&gt;L369,3,1)))</f>
        <v/>
      </c>
      <c r="R369" s="79">
        <f>IF(OR(E369="",F369=""),0,IF(COUNTIFS($E$7:E369,E369,$F$7:F369,F369)=1,1,0))</f>
        <v/>
      </c>
      <c r="S369" s="79">
        <f>IF(R369=1,E369&amp;"|"&amp;SUMIFS($R$7:R369,$E$7:E369,E369),"")</f>
        <v/>
      </c>
      <c r="T369" s="112">
        <f>IF(Q369="","",IF(Q369=3,L369,IF(OR(M369="Not started",M369=""),J369,"")))</f>
        <v/>
      </c>
      <c r="U369" s="79">
        <f>IF(T369="","",IF(Q369=3,1,IF(T369="","",IF(T369&lt;AsOf,1,IF(T369&lt;=AsOf+AlertDays,2,IF(T369&lt;=AsOf+2*AlertDays,3,""))))))</f>
        <v/>
      </c>
      <c r="V369" s="79">
        <f>IF(U369="","",IF(Q369=3,"Late task: "&amp;D369,IF(T369&lt;AsOf,"Should have started: ","Starts soon: ")&amp;D369)&amp;IF(F369="",""," — "&amp;F369))</f>
        <v/>
      </c>
    </row>
    <row r="370" ht="20" customHeight="1">
      <c r="B370" s="125" t="n">
        <v>364</v>
      </c>
      <c r="C370" s="72" t="n"/>
      <c r="D370" s="72" t="n"/>
      <c r="E370" s="72" t="n"/>
      <c r="F370" s="72" t="n"/>
      <c r="G370" s="89" t="n"/>
      <c r="H370" s="89" t="n"/>
      <c r="I370" s="109" t="n"/>
      <c r="J370" s="126">
        <f>IF(OR(D370="",ProjStart=""),"",MAX(ProjStart,IF(I370&lt;&gt;"",I370,0),IF(H370="",0,IFERROR(INDEX($L$6:L369,MATCH(H370,$B$6:B369,0))+1,0))))</f>
        <v/>
      </c>
      <c r="K370" s="89" t="n"/>
      <c r="L370" s="126">
        <f>IF(J370="","",J370+MAX(1,G370)+IF(K370="",0,K370)-1)</f>
        <v/>
      </c>
      <c r="M370" s="72" t="n"/>
      <c r="N370" s="109" t="n"/>
      <c r="O370" s="127">
        <f>IF(D370="","",COUNTIF($H$7:$H$1006,B370))</f>
        <v/>
      </c>
      <c r="P370" s="78">
        <f>IF(D370="","",IF(AND(H370&lt;&gt;"",H370&gt;=B370),"⚠️ Predecessor must be above",IF(M370="Done","✓ Done",IF(Q370=3,"🔴 Late",IF(M370="In progress","In progress","")))))</f>
        <v/>
      </c>
      <c r="Q370" s="79">
        <f>IF(OR(D370="",L370=""),"",IF(M370="Done",2,IF(AsOf&gt;L370,3,1)))</f>
        <v/>
      </c>
      <c r="R370" s="79">
        <f>IF(OR(E370="",F370=""),0,IF(COUNTIFS($E$7:E370,E370,$F$7:F370,F370)=1,1,0))</f>
        <v/>
      </c>
      <c r="S370" s="79">
        <f>IF(R370=1,E370&amp;"|"&amp;SUMIFS($R$7:R370,$E$7:E370,E370),"")</f>
        <v/>
      </c>
      <c r="T370" s="112">
        <f>IF(Q370="","",IF(Q370=3,L370,IF(OR(M370="Not started",M370=""),J370,"")))</f>
        <v/>
      </c>
      <c r="U370" s="79">
        <f>IF(T370="","",IF(Q370=3,1,IF(T370="","",IF(T370&lt;AsOf,1,IF(T370&lt;=AsOf+AlertDays,2,IF(T370&lt;=AsOf+2*AlertDays,3,""))))))</f>
        <v/>
      </c>
      <c r="V370" s="79">
        <f>IF(U370="","",IF(Q370=3,"Late task: "&amp;D370,IF(T370&lt;AsOf,"Should have started: ","Starts soon: ")&amp;D370)&amp;IF(F370="",""," — "&amp;F370))</f>
        <v/>
      </c>
    </row>
    <row r="371" ht="20" customHeight="1">
      <c r="B371" s="125" t="n">
        <v>365</v>
      </c>
      <c r="C371" s="72" t="n"/>
      <c r="D371" s="72" t="n"/>
      <c r="E371" s="72" t="n"/>
      <c r="F371" s="72" t="n"/>
      <c r="G371" s="89" t="n"/>
      <c r="H371" s="89" t="n"/>
      <c r="I371" s="109" t="n"/>
      <c r="J371" s="126">
        <f>IF(OR(D371="",ProjStart=""),"",MAX(ProjStart,IF(I371&lt;&gt;"",I371,0),IF(H371="",0,IFERROR(INDEX($L$6:L370,MATCH(H371,$B$6:B370,0))+1,0))))</f>
        <v/>
      </c>
      <c r="K371" s="89" t="n"/>
      <c r="L371" s="126">
        <f>IF(J371="","",J371+MAX(1,G371)+IF(K371="",0,K371)-1)</f>
        <v/>
      </c>
      <c r="M371" s="72" t="n"/>
      <c r="N371" s="109" t="n"/>
      <c r="O371" s="127">
        <f>IF(D371="","",COUNTIF($H$7:$H$1006,B371))</f>
        <v/>
      </c>
      <c r="P371" s="78">
        <f>IF(D371="","",IF(AND(H371&lt;&gt;"",H371&gt;=B371),"⚠️ Predecessor must be above",IF(M371="Done","✓ Done",IF(Q371=3,"🔴 Late",IF(M371="In progress","In progress","")))))</f>
        <v/>
      </c>
      <c r="Q371" s="79">
        <f>IF(OR(D371="",L371=""),"",IF(M371="Done",2,IF(AsOf&gt;L371,3,1)))</f>
        <v/>
      </c>
      <c r="R371" s="79">
        <f>IF(OR(E371="",F371=""),0,IF(COUNTIFS($E$7:E371,E371,$F$7:F371,F371)=1,1,0))</f>
        <v/>
      </c>
      <c r="S371" s="79">
        <f>IF(R371=1,E371&amp;"|"&amp;SUMIFS($R$7:R371,$E$7:E371,E371),"")</f>
        <v/>
      </c>
      <c r="T371" s="112">
        <f>IF(Q371="","",IF(Q371=3,L371,IF(OR(M371="Not started",M371=""),J371,"")))</f>
        <v/>
      </c>
      <c r="U371" s="79">
        <f>IF(T371="","",IF(Q371=3,1,IF(T371="","",IF(T371&lt;AsOf,1,IF(T371&lt;=AsOf+AlertDays,2,IF(T371&lt;=AsOf+2*AlertDays,3,""))))))</f>
        <v/>
      </c>
      <c r="V371" s="79">
        <f>IF(U371="","",IF(Q371=3,"Late task: "&amp;D371,IF(T371&lt;AsOf,"Should have started: ","Starts soon: ")&amp;D371)&amp;IF(F371="",""," — "&amp;F371))</f>
        <v/>
      </c>
    </row>
    <row r="372" ht="20" customHeight="1">
      <c r="B372" s="125" t="n">
        <v>366</v>
      </c>
      <c r="C372" s="72" t="n"/>
      <c r="D372" s="72" t="n"/>
      <c r="E372" s="72" t="n"/>
      <c r="F372" s="72" t="n"/>
      <c r="G372" s="89" t="n"/>
      <c r="H372" s="89" t="n"/>
      <c r="I372" s="109" t="n"/>
      <c r="J372" s="126">
        <f>IF(OR(D372="",ProjStart=""),"",MAX(ProjStart,IF(I372&lt;&gt;"",I372,0),IF(H372="",0,IFERROR(INDEX($L$6:L371,MATCH(H372,$B$6:B371,0))+1,0))))</f>
        <v/>
      </c>
      <c r="K372" s="89" t="n"/>
      <c r="L372" s="126">
        <f>IF(J372="","",J372+MAX(1,G372)+IF(K372="",0,K372)-1)</f>
        <v/>
      </c>
      <c r="M372" s="72" t="n"/>
      <c r="N372" s="109" t="n"/>
      <c r="O372" s="127">
        <f>IF(D372="","",COUNTIF($H$7:$H$1006,B372))</f>
        <v/>
      </c>
      <c r="P372" s="78">
        <f>IF(D372="","",IF(AND(H372&lt;&gt;"",H372&gt;=B372),"⚠️ Predecessor must be above",IF(M372="Done","✓ Done",IF(Q372=3,"🔴 Late",IF(M372="In progress","In progress","")))))</f>
        <v/>
      </c>
      <c r="Q372" s="79">
        <f>IF(OR(D372="",L372=""),"",IF(M372="Done",2,IF(AsOf&gt;L372,3,1)))</f>
        <v/>
      </c>
      <c r="R372" s="79">
        <f>IF(OR(E372="",F372=""),0,IF(COUNTIFS($E$7:E372,E372,$F$7:F372,F372)=1,1,0))</f>
        <v/>
      </c>
      <c r="S372" s="79">
        <f>IF(R372=1,E372&amp;"|"&amp;SUMIFS($R$7:R372,$E$7:E372,E372),"")</f>
        <v/>
      </c>
      <c r="T372" s="112">
        <f>IF(Q372="","",IF(Q372=3,L372,IF(OR(M372="Not started",M372=""),J372,"")))</f>
        <v/>
      </c>
      <c r="U372" s="79">
        <f>IF(T372="","",IF(Q372=3,1,IF(T372="","",IF(T372&lt;AsOf,1,IF(T372&lt;=AsOf+AlertDays,2,IF(T372&lt;=AsOf+2*AlertDays,3,""))))))</f>
        <v/>
      </c>
      <c r="V372" s="79">
        <f>IF(U372="","",IF(Q372=3,"Late task: "&amp;D372,IF(T372&lt;AsOf,"Should have started: ","Starts soon: ")&amp;D372)&amp;IF(F372="",""," — "&amp;F372))</f>
        <v/>
      </c>
    </row>
    <row r="373" ht="20" customHeight="1">
      <c r="B373" s="125" t="n">
        <v>367</v>
      </c>
      <c r="C373" s="72" t="n"/>
      <c r="D373" s="72" t="n"/>
      <c r="E373" s="72" t="n"/>
      <c r="F373" s="72" t="n"/>
      <c r="G373" s="89" t="n"/>
      <c r="H373" s="89" t="n"/>
      <c r="I373" s="109" t="n"/>
      <c r="J373" s="126">
        <f>IF(OR(D373="",ProjStart=""),"",MAX(ProjStart,IF(I373&lt;&gt;"",I373,0),IF(H373="",0,IFERROR(INDEX($L$6:L372,MATCH(H373,$B$6:B372,0))+1,0))))</f>
        <v/>
      </c>
      <c r="K373" s="89" t="n"/>
      <c r="L373" s="126">
        <f>IF(J373="","",J373+MAX(1,G373)+IF(K373="",0,K373)-1)</f>
        <v/>
      </c>
      <c r="M373" s="72" t="n"/>
      <c r="N373" s="109" t="n"/>
      <c r="O373" s="127">
        <f>IF(D373="","",COUNTIF($H$7:$H$1006,B373))</f>
        <v/>
      </c>
      <c r="P373" s="78">
        <f>IF(D373="","",IF(AND(H373&lt;&gt;"",H373&gt;=B373),"⚠️ Predecessor must be above",IF(M373="Done","✓ Done",IF(Q373=3,"🔴 Late",IF(M373="In progress","In progress","")))))</f>
        <v/>
      </c>
      <c r="Q373" s="79">
        <f>IF(OR(D373="",L373=""),"",IF(M373="Done",2,IF(AsOf&gt;L373,3,1)))</f>
        <v/>
      </c>
      <c r="R373" s="79">
        <f>IF(OR(E373="",F373=""),0,IF(COUNTIFS($E$7:E373,E373,$F$7:F373,F373)=1,1,0))</f>
        <v/>
      </c>
      <c r="S373" s="79">
        <f>IF(R373=1,E373&amp;"|"&amp;SUMIFS($R$7:R373,$E$7:E373,E373),"")</f>
        <v/>
      </c>
      <c r="T373" s="112">
        <f>IF(Q373="","",IF(Q373=3,L373,IF(OR(M373="Not started",M373=""),J373,"")))</f>
        <v/>
      </c>
      <c r="U373" s="79">
        <f>IF(T373="","",IF(Q373=3,1,IF(T373="","",IF(T373&lt;AsOf,1,IF(T373&lt;=AsOf+AlertDays,2,IF(T373&lt;=AsOf+2*AlertDays,3,""))))))</f>
        <v/>
      </c>
      <c r="V373" s="79">
        <f>IF(U373="","",IF(Q373=3,"Late task: "&amp;D373,IF(T373&lt;AsOf,"Should have started: ","Starts soon: ")&amp;D373)&amp;IF(F373="",""," — "&amp;F373))</f>
        <v/>
      </c>
    </row>
    <row r="374" ht="20" customHeight="1">
      <c r="B374" s="125" t="n">
        <v>368</v>
      </c>
      <c r="C374" s="72" t="n"/>
      <c r="D374" s="72" t="n"/>
      <c r="E374" s="72" t="n"/>
      <c r="F374" s="72" t="n"/>
      <c r="G374" s="89" t="n"/>
      <c r="H374" s="89" t="n"/>
      <c r="I374" s="109" t="n"/>
      <c r="J374" s="126">
        <f>IF(OR(D374="",ProjStart=""),"",MAX(ProjStart,IF(I374&lt;&gt;"",I374,0),IF(H374="",0,IFERROR(INDEX($L$6:L373,MATCH(H374,$B$6:B373,0))+1,0))))</f>
        <v/>
      </c>
      <c r="K374" s="89" t="n"/>
      <c r="L374" s="126">
        <f>IF(J374="","",J374+MAX(1,G374)+IF(K374="",0,K374)-1)</f>
        <v/>
      </c>
      <c r="M374" s="72" t="n"/>
      <c r="N374" s="109" t="n"/>
      <c r="O374" s="127">
        <f>IF(D374="","",COUNTIF($H$7:$H$1006,B374))</f>
        <v/>
      </c>
      <c r="P374" s="78">
        <f>IF(D374="","",IF(AND(H374&lt;&gt;"",H374&gt;=B374),"⚠️ Predecessor must be above",IF(M374="Done","✓ Done",IF(Q374=3,"🔴 Late",IF(M374="In progress","In progress","")))))</f>
        <v/>
      </c>
      <c r="Q374" s="79">
        <f>IF(OR(D374="",L374=""),"",IF(M374="Done",2,IF(AsOf&gt;L374,3,1)))</f>
        <v/>
      </c>
      <c r="R374" s="79">
        <f>IF(OR(E374="",F374=""),0,IF(COUNTIFS($E$7:E374,E374,$F$7:F374,F374)=1,1,0))</f>
        <v/>
      </c>
      <c r="S374" s="79">
        <f>IF(R374=1,E374&amp;"|"&amp;SUMIFS($R$7:R374,$E$7:E374,E374),"")</f>
        <v/>
      </c>
      <c r="T374" s="112">
        <f>IF(Q374="","",IF(Q374=3,L374,IF(OR(M374="Not started",M374=""),J374,"")))</f>
        <v/>
      </c>
      <c r="U374" s="79">
        <f>IF(T374="","",IF(Q374=3,1,IF(T374="","",IF(T374&lt;AsOf,1,IF(T374&lt;=AsOf+AlertDays,2,IF(T374&lt;=AsOf+2*AlertDays,3,""))))))</f>
        <v/>
      </c>
      <c r="V374" s="79">
        <f>IF(U374="","",IF(Q374=3,"Late task: "&amp;D374,IF(T374&lt;AsOf,"Should have started: ","Starts soon: ")&amp;D374)&amp;IF(F374="",""," — "&amp;F374))</f>
        <v/>
      </c>
    </row>
    <row r="375" ht="20" customHeight="1">
      <c r="B375" s="125" t="n">
        <v>369</v>
      </c>
      <c r="C375" s="72" t="n"/>
      <c r="D375" s="72" t="n"/>
      <c r="E375" s="72" t="n"/>
      <c r="F375" s="72" t="n"/>
      <c r="G375" s="89" t="n"/>
      <c r="H375" s="89" t="n"/>
      <c r="I375" s="109" t="n"/>
      <c r="J375" s="126">
        <f>IF(OR(D375="",ProjStart=""),"",MAX(ProjStart,IF(I375&lt;&gt;"",I375,0),IF(H375="",0,IFERROR(INDEX($L$6:L374,MATCH(H375,$B$6:B374,0))+1,0))))</f>
        <v/>
      </c>
      <c r="K375" s="89" t="n"/>
      <c r="L375" s="126">
        <f>IF(J375="","",J375+MAX(1,G375)+IF(K375="",0,K375)-1)</f>
        <v/>
      </c>
      <c r="M375" s="72" t="n"/>
      <c r="N375" s="109" t="n"/>
      <c r="O375" s="127">
        <f>IF(D375="","",COUNTIF($H$7:$H$1006,B375))</f>
        <v/>
      </c>
      <c r="P375" s="78">
        <f>IF(D375="","",IF(AND(H375&lt;&gt;"",H375&gt;=B375),"⚠️ Predecessor must be above",IF(M375="Done","✓ Done",IF(Q375=3,"🔴 Late",IF(M375="In progress","In progress","")))))</f>
        <v/>
      </c>
      <c r="Q375" s="79">
        <f>IF(OR(D375="",L375=""),"",IF(M375="Done",2,IF(AsOf&gt;L375,3,1)))</f>
        <v/>
      </c>
      <c r="R375" s="79">
        <f>IF(OR(E375="",F375=""),0,IF(COUNTIFS($E$7:E375,E375,$F$7:F375,F375)=1,1,0))</f>
        <v/>
      </c>
      <c r="S375" s="79">
        <f>IF(R375=1,E375&amp;"|"&amp;SUMIFS($R$7:R375,$E$7:E375,E375),"")</f>
        <v/>
      </c>
      <c r="T375" s="112">
        <f>IF(Q375="","",IF(Q375=3,L375,IF(OR(M375="Not started",M375=""),J375,"")))</f>
        <v/>
      </c>
      <c r="U375" s="79">
        <f>IF(T375="","",IF(Q375=3,1,IF(T375="","",IF(T375&lt;AsOf,1,IF(T375&lt;=AsOf+AlertDays,2,IF(T375&lt;=AsOf+2*AlertDays,3,""))))))</f>
        <v/>
      </c>
      <c r="V375" s="79">
        <f>IF(U375="","",IF(Q375=3,"Late task: "&amp;D375,IF(T375&lt;AsOf,"Should have started: ","Starts soon: ")&amp;D375)&amp;IF(F375="",""," — "&amp;F375))</f>
        <v/>
      </c>
    </row>
    <row r="376" ht="20" customHeight="1">
      <c r="B376" s="125" t="n">
        <v>370</v>
      </c>
      <c r="C376" s="72" t="n"/>
      <c r="D376" s="72" t="n"/>
      <c r="E376" s="72" t="n"/>
      <c r="F376" s="72" t="n"/>
      <c r="G376" s="89" t="n"/>
      <c r="H376" s="89" t="n"/>
      <c r="I376" s="109" t="n"/>
      <c r="J376" s="126">
        <f>IF(OR(D376="",ProjStart=""),"",MAX(ProjStart,IF(I376&lt;&gt;"",I376,0),IF(H376="",0,IFERROR(INDEX($L$6:L375,MATCH(H376,$B$6:B375,0))+1,0))))</f>
        <v/>
      </c>
      <c r="K376" s="89" t="n"/>
      <c r="L376" s="126">
        <f>IF(J376="","",J376+MAX(1,G376)+IF(K376="",0,K376)-1)</f>
        <v/>
      </c>
      <c r="M376" s="72" t="n"/>
      <c r="N376" s="109" t="n"/>
      <c r="O376" s="127">
        <f>IF(D376="","",COUNTIF($H$7:$H$1006,B376))</f>
        <v/>
      </c>
      <c r="P376" s="78">
        <f>IF(D376="","",IF(AND(H376&lt;&gt;"",H376&gt;=B376),"⚠️ Predecessor must be above",IF(M376="Done","✓ Done",IF(Q376=3,"🔴 Late",IF(M376="In progress","In progress","")))))</f>
        <v/>
      </c>
      <c r="Q376" s="79">
        <f>IF(OR(D376="",L376=""),"",IF(M376="Done",2,IF(AsOf&gt;L376,3,1)))</f>
        <v/>
      </c>
      <c r="R376" s="79">
        <f>IF(OR(E376="",F376=""),0,IF(COUNTIFS($E$7:E376,E376,$F$7:F376,F376)=1,1,0))</f>
        <v/>
      </c>
      <c r="S376" s="79">
        <f>IF(R376=1,E376&amp;"|"&amp;SUMIFS($R$7:R376,$E$7:E376,E376),"")</f>
        <v/>
      </c>
      <c r="T376" s="112">
        <f>IF(Q376="","",IF(Q376=3,L376,IF(OR(M376="Not started",M376=""),J376,"")))</f>
        <v/>
      </c>
      <c r="U376" s="79">
        <f>IF(T376="","",IF(Q376=3,1,IF(T376="","",IF(T376&lt;AsOf,1,IF(T376&lt;=AsOf+AlertDays,2,IF(T376&lt;=AsOf+2*AlertDays,3,""))))))</f>
        <v/>
      </c>
      <c r="V376" s="79">
        <f>IF(U376="","",IF(Q376=3,"Late task: "&amp;D376,IF(T376&lt;AsOf,"Should have started: ","Starts soon: ")&amp;D376)&amp;IF(F376="",""," — "&amp;F376))</f>
        <v/>
      </c>
    </row>
    <row r="377" ht="20" customHeight="1">
      <c r="B377" s="125" t="n">
        <v>371</v>
      </c>
      <c r="C377" s="72" t="n"/>
      <c r="D377" s="72" t="n"/>
      <c r="E377" s="72" t="n"/>
      <c r="F377" s="72" t="n"/>
      <c r="G377" s="89" t="n"/>
      <c r="H377" s="89" t="n"/>
      <c r="I377" s="109" t="n"/>
      <c r="J377" s="126">
        <f>IF(OR(D377="",ProjStart=""),"",MAX(ProjStart,IF(I377&lt;&gt;"",I377,0),IF(H377="",0,IFERROR(INDEX($L$6:L376,MATCH(H377,$B$6:B376,0))+1,0))))</f>
        <v/>
      </c>
      <c r="K377" s="89" t="n"/>
      <c r="L377" s="126">
        <f>IF(J377="","",J377+MAX(1,G377)+IF(K377="",0,K377)-1)</f>
        <v/>
      </c>
      <c r="M377" s="72" t="n"/>
      <c r="N377" s="109" t="n"/>
      <c r="O377" s="127">
        <f>IF(D377="","",COUNTIF($H$7:$H$1006,B377))</f>
        <v/>
      </c>
      <c r="P377" s="78">
        <f>IF(D377="","",IF(AND(H377&lt;&gt;"",H377&gt;=B377),"⚠️ Predecessor must be above",IF(M377="Done","✓ Done",IF(Q377=3,"🔴 Late",IF(M377="In progress","In progress","")))))</f>
        <v/>
      </c>
      <c r="Q377" s="79">
        <f>IF(OR(D377="",L377=""),"",IF(M377="Done",2,IF(AsOf&gt;L377,3,1)))</f>
        <v/>
      </c>
      <c r="R377" s="79">
        <f>IF(OR(E377="",F377=""),0,IF(COUNTIFS($E$7:E377,E377,$F$7:F377,F377)=1,1,0))</f>
        <v/>
      </c>
      <c r="S377" s="79">
        <f>IF(R377=1,E377&amp;"|"&amp;SUMIFS($R$7:R377,$E$7:E377,E377),"")</f>
        <v/>
      </c>
      <c r="T377" s="112">
        <f>IF(Q377="","",IF(Q377=3,L377,IF(OR(M377="Not started",M377=""),J377,"")))</f>
        <v/>
      </c>
      <c r="U377" s="79">
        <f>IF(T377="","",IF(Q377=3,1,IF(T377="","",IF(T377&lt;AsOf,1,IF(T377&lt;=AsOf+AlertDays,2,IF(T377&lt;=AsOf+2*AlertDays,3,""))))))</f>
        <v/>
      </c>
      <c r="V377" s="79">
        <f>IF(U377="","",IF(Q377=3,"Late task: "&amp;D377,IF(T377&lt;AsOf,"Should have started: ","Starts soon: ")&amp;D377)&amp;IF(F377="",""," — "&amp;F377))</f>
        <v/>
      </c>
    </row>
    <row r="378" ht="20" customHeight="1">
      <c r="B378" s="125" t="n">
        <v>372</v>
      </c>
      <c r="C378" s="72" t="n"/>
      <c r="D378" s="72" t="n"/>
      <c r="E378" s="72" t="n"/>
      <c r="F378" s="72" t="n"/>
      <c r="G378" s="89" t="n"/>
      <c r="H378" s="89" t="n"/>
      <c r="I378" s="109" t="n"/>
      <c r="J378" s="126">
        <f>IF(OR(D378="",ProjStart=""),"",MAX(ProjStart,IF(I378&lt;&gt;"",I378,0),IF(H378="",0,IFERROR(INDEX($L$6:L377,MATCH(H378,$B$6:B377,0))+1,0))))</f>
        <v/>
      </c>
      <c r="K378" s="89" t="n"/>
      <c r="L378" s="126">
        <f>IF(J378="","",J378+MAX(1,G378)+IF(K378="",0,K378)-1)</f>
        <v/>
      </c>
      <c r="M378" s="72" t="n"/>
      <c r="N378" s="109" t="n"/>
      <c r="O378" s="127">
        <f>IF(D378="","",COUNTIF($H$7:$H$1006,B378))</f>
        <v/>
      </c>
      <c r="P378" s="78">
        <f>IF(D378="","",IF(AND(H378&lt;&gt;"",H378&gt;=B378),"⚠️ Predecessor must be above",IF(M378="Done","✓ Done",IF(Q378=3,"🔴 Late",IF(M378="In progress","In progress","")))))</f>
        <v/>
      </c>
      <c r="Q378" s="79">
        <f>IF(OR(D378="",L378=""),"",IF(M378="Done",2,IF(AsOf&gt;L378,3,1)))</f>
        <v/>
      </c>
      <c r="R378" s="79">
        <f>IF(OR(E378="",F378=""),0,IF(COUNTIFS($E$7:E378,E378,$F$7:F378,F378)=1,1,0))</f>
        <v/>
      </c>
      <c r="S378" s="79">
        <f>IF(R378=1,E378&amp;"|"&amp;SUMIFS($R$7:R378,$E$7:E378,E378),"")</f>
        <v/>
      </c>
      <c r="T378" s="112">
        <f>IF(Q378="","",IF(Q378=3,L378,IF(OR(M378="Not started",M378=""),J378,"")))</f>
        <v/>
      </c>
      <c r="U378" s="79">
        <f>IF(T378="","",IF(Q378=3,1,IF(T378="","",IF(T378&lt;AsOf,1,IF(T378&lt;=AsOf+AlertDays,2,IF(T378&lt;=AsOf+2*AlertDays,3,""))))))</f>
        <v/>
      </c>
      <c r="V378" s="79">
        <f>IF(U378="","",IF(Q378=3,"Late task: "&amp;D378,IF(T378&lt;AsOf,"Should have started: ","Starts soon: ")&amp;D378)&amp;IF(F378="",""," — "&amp;F378))</f>
        <v/>
      </c>
    </row>
    <row r="379" ht="20" customHeight="1">
      <c r="B379" s="125" t="n">
        <v>373</v>
      </c>
      <c r="C379" s="72" t="n"/>
      <c r="D379" s="72" t="n"/>
      <c r="E379" s="72" t="n"/>
      <c r="F379" s="72" t="n"/>
      <c r="G379" s="89" t="n"/>
      <c r="H379" s="89" t="n"/>
      <c r="I379" s="109" t="n"/>
      <c r="J379" s="126">
        <f>IF(OR(D379="",ProjStart=""),"",MAX(ProjStart,IF(I379&lt;&gt;"",I379,0),IF(H379="",0,IFERROR(INDEX($L$6:L378,MATCH(H379,$B$6:B378,0))+1,0))))</f>
        <v/>
      </c>
      <c r="K379" s="89" t="n"/>
      <c r="L379" s="126">
        <f>IF(J379="","",J379+MAX(1,G379)+IF(K379="",0,K379)-1)</f>
        <v/>
      </c>
      <c r="M379" s="72" t="n"/>
      <c r="N379" s="109" t="n"/>
      <c r="O379" s="127">
        <f>IF(D379="","",COUNTIF($H$7:$H$1006,B379))</f>
        <v/>
      </c>
      <c r="P379" s="78">
        <f>IF(D379="","",IF(AND(H379&lt;&gt;"",H379&gt;=B379),"⚠️ Predecessor must be above",IF(M379="Done","✓ Done",IF(Q379=3,"🔴 Late",IF(M379="In progress","In progress","")))))</f>
        <v/>
      </c>
      <c r="Q379" s="79">
        <f>IF(OR(D379="",L379=""),"",IF(M379="Done",2,IF(AsOf&gt;L379,3,1)))</f>
        <v/>
      </c>
      <c r="R379" s="79">
        <f>IF(OR(E379="",F379=""),0,IF(COUNTIFS($E$7:E379,E379,$F$7:F379,F379)=1,1,0))</f>
        <v/>
      </c>
      <c r="S379" s="79">
        <f>IF(R379=1,E379&amp;"|"&amp;SUMIFS($R$7:R379,$E$7:E379,E379),"")</f>
        <v/>
      </c>
      <c r="T379" s="112">
        <f>IF(Q379="","",IF(Q379=3,L379,IF(OR(M379="Not started",M379=""),J379,"")))</f>
        <v/>
      </c>
      <c r="U379" s="79">
        <f>IF(T379="","",IF(Q379=3,1,IF(T379="","",IF(T379&lt;AsOf,1,IF(T379&lt;=AsOf+AlertDays,2,IF(T379&lt;=AsOf+2*AlertDays,3,""))))))</f>
        <v/>
      </c>
      <c r="V379" s="79">
        <f>IF(U379="","",IF(Q379=3,"Late task: "&amp;D379,IF(T379&lt;AsOf,"Should have started: ","Starts soon: ")&amp;D379)&amp;IF(F379="",""," — "&amp;F379))</f>
        <v/>
      </c>
    </row>
    <row r="380" ht="20" customHeight="1">
      <c r="B380" s="125" t="n">
        <v>374</v>
      </c>
      <c r="C380" s="72" t="n"/>
      <c r="D380" s="72" t="n"/>
      <c r="E380" s="72" t="n"/>
      <c r="F380" s="72" t="n"/>
      <c r="G380" s="89" t="n"/>
      <c r="H380" s="89" t="n"/>
      <c r="I380" s="109" t="n"/>
      <c r="J380" s="126">
        <f>IF(OR(D380="",ProjStart=""),"",MAX(ProjStart,IF(I380&lt;&gt;"",I380,0),IF(H380="",0,IFERROR(INDEX($L$6:L379,MATCH(H380,$B$6:B379,0))+1,0))))</f>
        <v/>
      </c>
      <c r="K380" s="89" t="n"/>
      <c r="L380" s="126">
        <f>IF(J380="","",J380+MAX(1,G380)+IF(K380="",0,K380)-1)</f>
        <v/>
      </c>
      <c r="M380" s="72" t="n"/>
      <c r="N380" s="109" t="n"/>
      <c r="O380" s="127">
        <f>IF(D380="","",COUNTIF($H$7:$H$1006,B380))</f>
        <v/>
      </c>
      <c r="P380" s="78">
        <f>IF(D380="","",IF(AND(H380&lt;&gt;"",H380&gt;=B380),"⚠️ Predecessor must be above",IF(M380="Done","✓ Done",IF(Q380=3,"🔴 Late",IF(M380="In progress","In progress","")))))</f>
        <v/>
      </c>
      <c r="Q380" s="79">
        <f>IF(OR(D380="",L380=""),"",IF(M380="Done",2,IF(AsOf&gt;L380,3,1)))</f>
        <v/>
      </c>
      <c r="R380" s="79">
        <f>IF(OR(E380="",F380=""),0,IF(COUNTIFS($E$7:E380,E380,$F$7:F380,F380)=1,1,0))</f>
        <v/>
      </c>
      <c r="S380" s="79">
        <f>IF(R380=1,E380&amp;"|"&amp;SUMIFS($R$7:R380,$E$7:E380,E380),"")</f>
        <v/>
      </c>
      <c r="T380" s="112">
        <f>IF(Q380="","",IF(Q380=3,L380,IF(OR(M380="Not started",M380=""),J380,"")))</f>
        <v/>
      </c>
      <c r="U380" s="79">
        <f>IF(T380="","",IF(Q380=3,1,IF(T380="","",IF(T380&lt;AsOf,1,IF(T380&lt;=AsOf+AlertDays,2,IF(T380&lt;=AsOf+2*AlertDays,3,""))))))</f>
        <v/>
      </c>
      <c r="V380" s="79">
        <f>IF(U380="","",IF(Q380=3,"Late task: "&amp;D380,IF(T380&lt;AsOf,"Should have started: ","Starts soon: ")&amp;D380)&amp;IF(F380="",""," — "&amp;F380))</f>
        <v/>
      </c>
    </row>
    <row r="381" ht="20" customHeight="1">
      <c r="B381" s="125" t="n">
        <v>375</v>
      </c>
      <c r="C381" s="72" t="n"/>
      <c r="D381" s="72" t="n"/>
      <c r="E381" s="72" t="n"/>
      <c r="F381" s="72" t="n"/>
      <c r="G381" s="89" t="n"/>
      <c r="H381" s="89" t="n"/>
      <c r="I381" s="109" t="n"/>
      <c r="J381" s="126">
        <f>IF(OR(D381="",ProjStart=""),"",MAX(ProjStart,IF(I381&lt;&gt;"",I381,0),IF(H381="",0,IFERROR(INDEX($L$6:L380,MATCH(H381,$B$6:B380,0))+1,0))))</f>
        <v/>
      </c>
      <c r="K381" s="89" t="n"/>
      <c r="L381" s="126">
        <f>IF(J381="","",J381+MAX(1,G381)+IF(K381="",0,K381)-1)</f>
        <v/>
      </c>
      <c r="M381" s="72" t="n"/>
      <c r="N381" s="109" t="n"/>
      <c r="O381" s="127">
        <f>IF(D381="","",COUNTIF($H$7:$H$1006,B381))</f>
        <v/>
      </c>
      <c r="P381" s="78">
        <f>IF(D381="","",IF(AND(H381&lt;&gt;"",H381&gt;=B381),"⚠️ Predecessor must be above",IF(M381="Done","✓ Done",IF(Q381=3,"🔴 Late",IF(M381="In progress","In progress","")))))</f>
        <v/>
      </c>
      <c r="Q381" s="79">
        <f>IF(OR(D381="",L381=""),"",IF(M381="Done",2,IF(AsOf&gt;L381,3,1)))</f>
        <v/>
      </c>
      <c r="R381" s="79">
        <f>IF(OR(E381="",F381=""),0,IF(COUNTIFS($E$7:E381,E381,$F$7:F381,F381)=1,1,0))</f>
        <v/>
      </c>
      <c r="S381" s="79">
        <f>IF(R381=1,E381&amp;"|"&amp;SUMIFS($R$7:R381,$E$7:E381,E381),"")</f>
        <v/>
      </c>
      <c r="T381" s="112">
        <f>IF(Q381="","",IF(Q381=3,L381,IF(OR(M381="Not started",M381=""),J381,"")))</f>
        <v/>
      </c>
      <c r="U381" s="79">
        <f>IF(T381="","",IF(Q381=3,1,IF(T381="","",IF(T381&lt;AsOf,1,IF(T381&lt;=AsOf+AlertDays,2,IF(T381&lt;=AsOf+2*AlertDays,3,""))))))</f>
        <v/>
      </c>
      <c r="V381" s="79">
        <f>IF(U381="","",IF(Q381=3,"Late task: "&amp;D381,IF(T381&lt;AsOf,"Should have started: ","Starts soon: ")&amp;D381)&amp;IF(F381="",""," — "&amp;F381))</f>
        <v/>
      </c>
    </row>
    <row r="382" ht="20" customHeight="1">
      <c r="B382" s="125" t="n">
        <v>376</v>
      </c>
      <c r="C382" s="72" t="n"/>
      <c r="D382" s="72" t="n"/>
      <c r="E382" s="72" t="n"/>
      <c r="F382" s="72" t="n"/>
      <c r="G382" s="89" t="n"/>
      <c r="H382" s="89" t="n"/>
      <c r="I382" s="109" t="n"/>
      <c r="J382" s="126">
        <f>IF(OR(D382="",ProjStart=""),"",MAX(ProjStart,IF(I382&lt;&gt;"",I382,0),IF(H382="",0,IFERROR(INDEX($L$6:L381,MATCH(H382,$B$6:B381,0))+1,0))))</f>
        <v/>
      </c>
      <c r="K382" s="89" t="n"/>
      <c r="L382" s="126">
        <f>IF(J382="","",J382+MAX(1,G382)+IF(K382="",0,K382)-1)</f>
        <v/>
      </c>
      <c r="M382" s="72" t="n"/>
      <c r="N382" s="109" t="n"/>
      <c r="O382" s="127">
        <f>IF(D382="","",COUNTIF($H$7:$H$1006,B382))</f>
        <v/>
      </c>
      <c r="P382" s="78">
        <f>IF(D382="","",IF(AND(H382&lt;&gt;"",H382&gt;=B382),"⚠️ Predecessor must be above",IF(M382="Done","✓ Done",IF(Q382=3,"🔴 Late",IF(M382="In progress","In progress","")))))</f>
        <v/>
      </c>
      <c r="Q382" s="79">
        <f>IF(OR(D382="",L382=""),"",IF(M382="Done",2,IF(AsOf&gt;L382,3,1)))</f>
        <v/>
      </c>
      <c r="R382" s="79">
        <f>IF(OR(E382="",F382=""),0,IF(COUNTIFS($E$7:E382,E382,$F$7:F382,F382)=1,1,0))</f>
        <v/>
      </c>
      <c r="S382" s="79">
        <f>IF(R382=1,E382&amp;"|"&amp;SUMIFS($R$7:R382,$E$7:E382,E382),"")</f>
        <v/>
      </c>
      <c r="T382" s="112">
        <f>IF(Q382="","",IF(Q382=3,L382,IF(OR(M382="Not started",M382=""),J382,"")))</f>
        <v/>
      </c>
      <c r="U382" s="79">
        <f>IF(T382="","",IF(Q382=3,1,IF(T382="","",IF(T382&lt;AsOf,1,IF(T382&lt;=AsOf+AlertDays,2,IF(T382&lt;=AsOf+2*AlertDays,3,""))))))</f>
        <v/>
      </c>
      <c r="V382" s="79">
        <f>IF(U382="","",IF(Q382=3,"Late task: "&amp;D382,IF(T382&lt;AsOf,"Should have started: ","Starts soon: ")&amp;D382)&amp;IF(F382="",""," — "&amp;F382))</f>
        <v/>
      </c>
    </row>
    <row r="383" ht="20" customHeight="1">
      <c r="B383" s="125" t="n">
        <v>377</v>
      </c>
      <c r="C383" s="72" t="n"/>
      <c r="D383" s="72" t="n"/>
      <c r="E383" s="72" t="n"/>
      <c r="F383" s="72" t="n"/>
      <c r="G383" s="89" t="n"/>
      <c r="H383" s="89" t="n"/>
      <c r="I383" s="109" t="n"/>
      <c r="J383" s="126">
        <f>IF(OR(D383="",ProjStart=""),"",MAX(ProjStart,IF(I383&lt;&gt;"",I383,0),IF(H383="",0,IFERROR(INDEX($L$6:L382,MATCH(H383,$B$6:B382,0))+1,0))))</f>
        <v/>
      </c>
      <c r="K383" s="89" t="n"/>
      <c r="L383" s="126">
        <f>IF(J383="","",J383+MAX(1,G383)+IF(K383="",0,K383)-1)</f>
        <v/>
      </c>
      <c r="M383" s="72" t="n"/>
      <c r="N383" s="109" t="n"/>
      <c r="O383" s="127">
        <f>IF(D383="","",COUNTIF($H$7:$H$1006,B383))</f>
        <v/>
      </c>
      <c r="P383" s="78">
        <f>IF(D383="","",IF(AND(H383&lt;&gt;"",H383&gt;=B383),"⚠️ Predecessor must be above",IF(M383="Done","✓ Done",IF(Q383=3,"🔴 Late",IF(M383="In progress","In progress","")))))</f>
        <v/>
      </c>
      <c r="Q383" s="79">
        <f>IF(OR(D383="",L383=""),"",IF(M383="Done",2,IF(AsOf&gt;L383,3,1)))</f>
        <v/>
      </c>
      <c r="R383" s="79">
        <f>IF(OR(E383="",F383=""),0,IF(COUNTIFS($E$7:E383,E383,$F$7:F383,F383)=1,1,0))</f>
        <v/>
      </c>
      <c r="S383" s="79">
        <f>IF(R383=1,E383&amp;"|"&amp;SUMIFS($R$7:R383,$E$7:E383,E383),"")</f>
        <v/>
      </c>
      <c r="T383" s="112">
        <f>IF(Q383="","",IF(Q383=3,L383,IF(OR(M383="Not started",M383=""),J383,"")))</f>
        <v/>
      </c>
      <c r="U383" s="79">
        <f>IF(T383="","",IF(Q383=3,1,IF(T383="","",IF(T383&lt;AsOf,1,IF(T383&lt;=AsOf+AlertDays,2,IF(T383&lt;=AsOf+2*AlertDays,3,""))))))</f>
        <v/>
      </c>
      <c r="V383" s="79">
        <f>IF(U383="","",IF(Q383=3,"Late task: "&amp;D383,IF(T383&lt;AsOf,"Should have started: ","Starts soon: ")&amp;D383)&amp;IF(F383="",""," — "&amp;F383))</f>
        <v/>
      </c>
    </row>
    <row r="384" ht="20" customHeight="1">
      <c r="B384" s="125" t="n">
        <v>378</v>
      </c>
      <c r="C384" s="72" t="n"/>
      <c r="D384" s="72" t="n"/>
      <c r="E384" s="72" t="n"/>
      <c r="F384" s="72" t="n"/>
      <c r="G384" s="89" t="n"/>
      <c r="H384" s="89" t="n"/>
      <c r="I384" s="109" t="n"/>
      <c r="J384" s="126">
        <f>IF(OR(D384="",ProjStart=""),"",MAX(ProjStart,IF(I384&lt;&gt;"",I384,0),IF(H384="",0,IFERROR(INDEX($L$6:L383,MATCH(H384,$B$6:B383,0))+1,0))))</f>
        <v/>
      </c>
      <c r="K384" s="89" t="n"/>
      <c r="L384" s="126">
        <f>IF(J384="","",J384+MAX(1,G384)+IF(K384="",0,K384)-1)</f>
        <v/>
      </c>
      <c r="M384" s="72" t="n"/>
      <c r="N384" s="109" t="n"/>
      <c r="O384" s="127">
        <f>IF(D384="","",COUNTIF($H$7:$H$1006,B384))</f>
        <v/>
      </c>
      <c r="P384" s="78">
        <f>IF(D384="","",IF(AND(H384&lt;&gt;"",H384&gt;=B384),"⚠️ Predecessor must be above",IF(M384="Done","✓ Done",IF(Q384=3,"🔴 Late",IF(M384="In progress","In progress","")))))</f>
        <v/>
      </c>
      <c r="Q384" s="79">
        <f>IF(OR(D384="",L384=""),"",IF(M384="Done",2,IF(AsOf&gt;L384,3,1)))</f>
        <v/>
      </c>
      <c r="R384" s="79">
        <f>IF(OR(E384="",F384=""),0,IF(COUNTIFS($E$7:E384,E384,$F$7:F384,F384)=1,1,0))</f>
        <v/>
      </c>
      <c r="S384" s="79">
        <f>IF(R384=1,E384&amp;"|"&amp;SUMIFS($R$7:R384,$E$7:E384,E384),"")</f>
        <v/>
      </c>
      <c r="T384" s="112">
        <f>IF(Q384="","",IF(Q384=3,L384,IF(OR(M384="Not started",M384=""),J384,"")))</f>
        <v/>
      </c>
      <c r="U384" s="79">
        <f>IF(T384="","",IF(Q384=3,1,IF(T384="","",IF(T384&lt;AsOf,1,IF(T384&lt;=AsOf+AlertDays,2,IF(T384&lt;=AsOf+2*AlertDays,3,""))))))</f>
        <v/>
      </c>
      <c r="V384" s="79">
        <f>IF(U384="","",IF(Q384=3,"Late task: "&amp;D384,IF(T384&lt;AsOf,"Should have started: ","Starts soon: ")&amp;D384)&amp;IF(F384="",""," — "&amp;F384))</f>
        <v/>
      </c>
    </row>
    <row r="385" ht="20" customHeight="1">
      <c r="B385" s="125" t="n">
        <v>379</v>
      </c>
      <c r="C385" s="72" t="n"/>
      <c r="D385" s="72" t="n"/>
      <c r="E385" s="72" t="n"/>
      <c r="F385" s="72" t="n"/>
      <c r="G385" s="89" t="n"/>
      <c r="H385" s="89" t="n"/>
      <c r="I385" s="109" t="n"/>
      <c r="J385" s="126">
        <f>IF(OR(D385="",ProjStart=""),"",MAX(ProjStart,IF(I385&lt;&gt;"",I385,0),IF(H385="",0,IFERROR(INDEX($L$6:L384,MATCH(H385,$B$6:B384,0))+1,0))))</f>
        <v/>
      </c>
      <c r="K385" s="89" t="n"/>
      <c r="L385" s="126">
        <f>IF(J385="","",J385+MAX(1,G385)+IF(K385="",0,K385)-1)</f>
        <v/>
      </c>
      <c r="M385" s="72" t="n"/>
      <c r="N385" s="109" t="n"/>
      <c r="O385" s="127">
        <f>IF(D385="","",COUNTIF($H$7:$H$1006,B385))</f>
        <v/>
      </c>
      <c r="P385" s="78">
        <f>IF(D385="","",IF(AND(H385&lt;&gt;"",H385&gt;=B385),"⚠️ Predecessor must be above",IF(M385="Done","✓ Done",IF(Q385=3,"🔴 Late",IF(M385="In progress","In progress","")))))</f>
        <v/>
      </c>
      <c r="Q385" s="79">
        <f>IF(OR(D385="",L385=""),"",IF(M385="Done",2,IF(AsOf&gt;L385,3,1)))</f>
        <v/>
      </c>
      <c r="R385" s="79">
        <f>IF(OR(E385="",F385=""),0,IF(COUNTIFS($E$7:E385,E385,$F$7:F385,F385)=1,1,0))</f>
        <v/>
      </c>
      <c r="S385" s="79">
        <f>IF(R385=1,E385&amp;"|"&amp;SUMIFS($R$7:R385,$E$7:E385,E385),"")</f>
        <v/>
      </c>
      <c r="T385" s="112">
        <f>IF(Q385="","",IF(Q385=3,L385,IF(OR(M385="Not started",M385=""),J385,"")))</f>
        <v/>
      </c>
      <c r="U385" s="79">
        <f>IF(T385="","",IF(Q385=3,1,IF(T385="","",IF(T385&lt;AsOf,1,IF(T385&lt;=AsOf+AlertDays,2,IF(T385&lt;=AsOf+2*AlertDays,3,""))))))</f>
        <v/>
      </c>
      <c r="V385" s="79">
        <f>IF(U385="","",IF(Q385=3,"Late task: "&amp;D385,IF(T385&lt;AsOf,"Should have started: ","Starts soon: ")&amp;D385)&amp;IF(F385="",""," — "&amp;F385))</f>
        <v/>
      </c>
    </row>
    <row r="386" ht="20" customHeight="1">
      <c r="B386" s="125" t="n">
        <v>380</v>
      </c>
      <c r="C386" s="72" t="n"/>
      <c r="D386" s="72" t="n"/>
      <c r="E386" s="72" t="n"/>
      <c r="F386" s="72" t="n"/>
      <c r="G386" s="89" t="n"/>
      <c r="H386" s="89" t="n"/>
      <c r="I386" s="109" t="n"/>
      <c r="J386" s="126">
        <f>IF(OR(D386="",ProjStart=""),"",MAX(ProjStart,IF(I386&lt;&gt;"",I386,0),IF(H386="",0,IFERROR(INDEX($L$6:L385,MATCH(H386,$B$6:B385,0))+1,0))))</f>
        <v/>
      </c>
      <c r="K386" s="89" t="n"/>
      <c r="L386" s="126">
        <f>IF(J386="","",J386+MAX(1,G386)+IF(K386="",0,K386)-1)</f>
        <v/>
      </c>
      <c r="M386" s="72" t="n"/>
      <c r="N386" s="109" t="n"/>
      <c r="O386" s="127">
        <f>IF(D386="","",COUNTIF($H$7:$H$1006,B386))</f>
        <v/>
      </c>
      <c r="P386" s="78">
        <f>IF(D386="","",IF(AND(H386&lt;&gt;"",H386&gt;=B386),"⚠️ Predecessor must be above",IF(M386="Done","✓ Done",IF(Q386=3,"🔴 Late",IF(M386="In progress","In progress","")))))</f>
        <v/>
      </c>
      <c r="Q386" s="79">
        <f>IF(OR(D386="",L386=""),"",IF(M386="Done",2,IF(AsOf&gt;L386,3,1)))</f>
        <v/>
      </c>
      <c r="R386" s="79">
        <f>IF(OR(E386="",F386=""),0,IF(COUNTIFS($E$7:E386,E386,$F$7:F386,F386)=1,1,0))</f>
        <v/>
      </c>
      <c r="S386" s="79">
        <f>IF(R386=1,E386&amp;"|"&amp;SUMIFS($R$7:R386,$E$7:E386,E386),"")</f>
        <v/>
      </c>
      <c r="T386" s="112">
        <f>IF(Q386="","",IF(Q386=3,L386,IF(OR(M386="Not started",M386=""),J386,"")))</f>
        <v/>
      </c>
      <c r="U386" s="79">
        <f>IF(T386="","",IF(Q386=3,1,IF(T386="","",IF(T386&lt;AsOf,1,IF(T386&lt;=AsOf+AlertDays,2,IF(T386&lt;=AsOf+2*AlertDays,3,""))))))</f>
        <v/>
      </c>
      <c r="V386" s="79">
        <f>IF(U386="","",IF(Q386=3,"Late task: "&amp;D386,IF(T386&lt;AsOf,"Should have started: ","Starts soon: ")&amp;D386)&amp;IF(F386="",""," — "&amp;F386))</f>
        <v/>
      </c>
    </row>
    <row r="387" ht="20" customHeight="1">
      <c r="B387" s="125" t="n">
        <v>381</v>
      </c>
      <c r="C387" s="72" t="n"/>
      <c r="D387" s="72" t="n"/>
      <c r="E387" s="72" t="n"/>
      <c r="F387" s="72" t="n"/>
      <c r="G387" s="89" t="n"/>
      <c r="H387" s="89" t="n"/>
      <c r="I387" s="109" t="n"/>
      <c r="J387" s="126">
        <f>IF(OR(D387="",ProjStart=""),"",MAX(ProjStart,IF(I387&lt;&gt;"",I387,0),IF(H387="",0,IFERROR(INDEX($L$6:L386,MATCH(H387,$B$6:B386,0))+1,0))))</f>
        <v/>
      </c>
      <c r="K387" s="89" t="n"/>
      <c r="L387" s="126">
        <f>IF(J387="","",J387+MAX(1,G387)+IF(K387="",0,K387)-1)</f>
        <v/>
      </c>
      <c r="M387" s="72" t="n"/>
      <c r="N387" s="109" t="n"/>
      <c r="O387" s="127">
        <f>IF(D387="","",COUNTIF($H$7:$H$1006,B387))</f>
        <v/>
      </c>
      <c r="P387" s="78">
        <f>IF(D387="","",IF(AND(H387&lt;&gt;"",H387&gt;=B387),"⚠️ Predecessor must be above",IF(M387="Done","✓ Done",IF(Q387=3,"🔴 Late",IF(M387="In progress","In progress","")))))</f>
        <v/>
      </c>
      <c r="Q387" s="79">
        <f>IF(OR(D387="",L387=""),"",IF(M387="Done",2,IF(AsOf&gt;L387,3,1)))</f>
        <v/>
      </c>
      <c r="R387" s="79">
        <f>IF(OR(E387="",F387=""),0,IF(COUNTIFS($E$7:E387,E387,$F$7:F387,F387)=1,1,0))</f>
        <v/>
      </c>
      <c r="S387" s="79">
        <f>IF(R387=1,E387&amp;"|"&amp;SUMIFS($R$7:R387,$E$7:E387,E387),"")</f>
        <v/>
      </c>
      <c r="T387" s="112">
        <f>IF(Q387="","",IF(Q387=3,L387,IF(OR(M387="Not started",M387=""),J387,"")))</f>
        <v/>
      </c>
      <c r="U387" s="79">
        <f>IF(T387="","",IF(Q387=3,1,IF(T387="","",IF(T387&lt;AsOf,1,IF(T387&lt;=AsOf+AlertDays,2,IF(T387&lt;=AsOf+2*AlertDays,3,""))))))</f>
        <v/>
      </c>
      <c r="V387" s="79">
        <f>IF(U387="","",IF(Q387=3,"Late task: "&amp;D387,IF(T387&lt;AsOf,"Should have started: ","Starts soon: ")&amp;D387)&amp;IF(F387="",""," — "&amp;F387))</f>
        <v/>
      </c>
    </row>
    <row r="388" ht="20" customHeight="1">
      <c r="B388" s="125" t="n">
        <v>382</v>
      </c>
      <c r="C388" s="72" t="n"/>
      <c r="D388" s="72" t="n"/>
      <c r="E388" s="72" t="n"/>
      <c r="F388" s="72" t="n"/>
      <c r="G388" s="89" t="n"/>
      <c r="H388" s="89" t="n"/>
      <c r="I388" s="109" t="n"/>
      <c r="J388" s="126">
        <f>IF(OR(D388="",ProjStart=""),"",MAX(ProjStart,IF(I388&lt;&gt;"",I388,0),IF(H388="",0,IFERROR(INDEX($L$6:L387,MATCH(H388,$B$6:B387,0))+1,0))))</f>
        <v/>
      </c>
      <c r="K388" s="89" t="n"/>
      <c r="L388" s="126">
        <f>IF(J388="","",J388+MAX(1,G388)+IF(K388="",0,K388)-1)</f>
        <v/>
      </c>
      <c r="M388" s="72" t="n"/>
      <c r="N388" s="109" t="n"/>
      <c r="O388" s="127">
        <f>IF(D388="","",COUNTIF($H$7:$H$1006,B388))</f>
        <v/>
      </c>
      <c r="P388" s="78">
        <f>IF(D388="","",IF(AND(H388&lt;&gt;"",H388&gt;=B388),"⚠️ Predecessor must be above",IF(M388="Done","✓ Done",IF(Q388=3,"🔴 Late",IF(M388="In progress","In progress","")))))</f>
        <v/>
      </c>
      <c r="Q388" s="79">
        <f>IF(OR(D388="",L388=""),"",IF(M388="Done",2,IF(AsOf&gt;L388,3,1)))</f>
        <v/>
      </c>
      <c r="R388" s="79">
        <f>IF(OR(E388="",F388=""),0,IF(COUNTIFS($E$7:E388,E388,$F$7:F388,F388)=1,1,0))</f>
        <v/>
      </c>
      <c r="S388" s="79">
        <f>IF(R388=1,E388&amp;"|"&amp;SUMIFS($R$7:R388,$E$7:E388,E388),"")</f>
        <v/>
      </c>
      <c r="T388" s="112">
        <f>IF(Q388="","",IF(Q388=3,L388,IF(OR(M388="Not started",M388=""),J388,"")))</f>
        <v/>
      </c>
      <c r="U388" s="79">
        <f>IF(T388="","",IF(Q388=3,1,IF(T388="","",IF(T388&lt;AsOf,1,IF(T388&lt;=AsOf+AlertDays,2,IF(T388&lt;=AsOf+2*AlertDays,3,""))))))</f>
        <v/>
      </c>
      <c r="V388" s="79">
        <f>IF(U388="","",IF(Q388=3,"Late task: "&amp;D388,IF(T388&lt;AsOf,"Should have started: ","Starts soon: ")&amp;D388)&amp;IF(F388="",""," — "&amp;F388))</f>
        <v/>
      </c>
    </row>
    <row r="389" ht="20" customHeight="1">
      <c r="B389" s="125" t="n">
        <v>383</v>
      </c>
      <c r="C389" s="72" t="n"/>
      <c r="D389" s="72" t="n"/>
      <c r="E389" s="72" t="n"/>
      <c r="F389" s="72" t="n"/>
      <c r="G389" s="89" t="n"/>
      <c r="H389" s="89" t="n"/>
      <c r="I389" s="109" t="n"/>
      <c r="J389" s="126">
        <f>IF(OR(D389="",ProjStart=""),"",MAX(ProjStart,IF(I389&lt;&gt;"",I389,0),IF(H389="",0,IFERROR(INDEX($L$6:L388,MATCH(H389,$B$6:B388,0))+1,0))))</f>
        <v/>
      </c>
      <c r="K389" s="89" t="n"/>
      <c r="L389" s="126">
        <f>IF(J389="","",J389+MAX(1,G389)+IF(K389="",0,K389)-1)</f>
        <v/>
      </c>
      <c r="M389" s="72" t="n"/>
      <c r="N389" s="109" t="n"/>
      <c r="O389" s="127">
        <f>IF(D389="","",COUNTIF($H$7:$H$1006,B389))</f>
        <v/>
      </c>
      <c r="P389" s="78">
        <f>IF(D389="","",IF(AND(H389&lt;&gt;"",H389&gt;=B389),"⚠️ Predecessor must be above",IF(M389="Done","✓ Done",IF(Q389=3,"🔴 Late",IF(M389="In progress","In progress","")))))</f>
        <v/>
      </c>
      <c r="Q389" s="79">
        <f>IF(OR(D389="",L389=""),"",IF(M389="Done",2,IF(AsOf&gt;L389,3,1)))</f>
        <v/>
      </c>
      <c r="R389" s="79">
        <f>IF(OR(E389="",F389=""),0,IF(COUNTIFS($E$7:E389,E389,$F$7:F389,F389)=1,1,0))</f>
        <v/>
      </c>
      <c r="S389" s="79">
        <f>IF(R389=1,E389&amp;"|"&amp;SUMIFS($R$7:R389,$E$7:E389,E389),"")</f>
        <v/>
      </c>
      <c r="T389" s="112">
        <f>IF(Q389="","",IF(Q389=3,L389,IF(OR(M389="Not started",M389=""),J389,"")))</f>
        <v/>
      </c>
      <c r="U389" s="79">
        <f>IF(T389="","",IF(Q389=3,1,IF(T389="","",IF(T389&lt;AsOf,1,IF(T389&lt;=AsOf+AlertDays,2,IF(T389&lt;=AsOf+2*AlertDays,3,""))))))</f>
        <v/>
      </c>
      <c r="V389" s="79">
        <f>IF(U389="","",IF(Q389=3,"Late task: "&amp;D389,IF(T389&lt;AsOf,"Should have started: ","Starts soon: ")&amp;D389)&amp;IF(F389="",""," — "&amp;F389))</f>
        <v/>
      </c>
    </row>
    <row r="390" ht="20" customHeight="1">
      <c r="B390" s="125" t="n">
        <v>384</v>
      </c>
      <c r="C390" s="72" t="n"/>
      <c r="D390" s="72" t="n"/>
      <c r="E390" s="72" t="n"/>
      <c r="F390" s="72" t="n"/>
      <c r="G390" s="89" t="n"/>
      <c r="H390" s="89" t="n"/>
      <c r="I390" s="109" t="n"/>
      <c r="J390" s="126">
        <f>IF(OR(D390="",ProjStart=""),"",MAX(ProjStart,IF(I390&lt;&gt;"",I390,0),IF(H390="",0,IFERROR(INDEX($L$6:L389,MATCH(H390,$B$6:B389,0))+1,0))))</f>
        <v/>
      </c>
      <c r="K390" s="89" t="n"/>
      <c r="L390" s="126">
        <f>IF(J390="","",J390+MAX(1,G390)+IF(K390="",0,K390)-1)</f>
        <v/>
      </c>
      <c r="M390" s="72" t="n"/>
      <c r="N390" s="109" t="n"/>
      <c r="O390" s="127">
        <f>IF(D390="","",COUNTIF($H$7:$H$1006,B390))</f>
        <v/>
      </c>
      <c r="P390" s="78">
        <f>IF(D390="","",IF(AND(H390&lt;&gt;"",H390&gt;=B390),"⚠️ Predecessor must be above",IF(M390="Done","✓ Done",IF(Q390=3,"🔴 Late",IF(M390="In progress","In progress","")))))</f>
        <v/>
      </c>
      <c r="Q390" s="79">
        <f>IF(OR(D390="",L390=""),"",IF(M390="Done",2,IF(AsOf&gt;L390,3,1)))</f>
        <v/>
      </c>
      <c r="R390" s="79">
        <f>IF(OR(E390="",F390=""),0,IF(COUNTIFS($E$7:E390,E390,$F$7:F390,F390)=1,1,0))</f>
        <v/>
      </c>
      <c r="S390" s="79">
        <f>IF(R390=1,E390&amp;"|"&amp;SUMIFS($R$7:R390,$E$7:E390,E390),"")</f>
        <v/>
      </c>
      <c r="T390" s="112">
        <f>IF(Q390="","",IF(Q390=3,L390,IF(OR(M390="Not started",M390=""),J390,"")))</f>
        <v/>
      </c>
      <c r="U390" s="79">
        <f>IF(T390="","",IF(Q390=3,1,IF(T390="","",IF(T390&lt;AsOf,1,IF(T390&lt;=AsOf+AlertDays,2,IF(T390&lt;=AsOf+2*AlertDays,3,""))))))</f>
        <v/>
      </c>
      <c r="V390" s="79">
        <f>IF(U390="","",IF(Q390=3,"Late task: "&amp;D390,IF(T390&lt;AsOf,"Should have started: ","Starts soon: ")&amp;D390)&amp;IF(F390="",""," — "&amp;F390))</f>
        <v/>
      </c>
    </row>
    <row r="391" ht="20" customHeight="1">
      <c r="B391" s="125" t="n">
        <v>385</v>
      </c>
      <c r="C391" s="72" t="n"/>
      <c r="D391" s="72" t="n"/>
      <c r="E391" s="72" t="n"/>
      <c r="F391" s="72" t="n"/>
      <c r="G391" s="89" t="n"/>
      <c r="H391" s="89" t="n"/>
      <c r="I391" s="109" t="n"/>
      <c r="J391" s="126">
        <f>IF(OR(D391="",ProjStart=""),"",MAX(ProjStart,IF(I391&lt;&gt;"",I391,0),IF(H391="",0,IFERROR(INDEX($L$6:L390,MATCH(H391,$B$6:B390,0))+1,0))))</f>
        <v/>
      </c>
      <c r="K391" s="89" t="n"/>
      <c r="L391" s="126">
        <f>IF(J391="","",J391+MAX(1,G391)+IF(K391="",0,K391)-1)</f>
        <v/>
      </c>
      <c r="M391" s="72" t="n"/>
      <c r="N391" s="109" t="n"/>
      <c r="O391" s="127">
        <f>IF(D391="","",COUNTIF($H$7:$H$1006,B391))</f>
        <v/>
      </c>
      <c r="P391" s="78">
        <f>IF(D391="","",IF(AND(H391&lt;&gt;"",H391&gt;=B391),"⚠️ Predecessor must be above",IF(M391="Done","✓ Done",IF(Q391=3,"🔴 Late",IF(M391="In progress","In progress","")))))</f>
        <v/>
      </c>
      <c r="Q391" s="79">
        <f>IF(OR(D391="",L391=""),"",IF(M391="Done",2,IF(AsOf&gt;L391,3,1)))</f>
        <v/>
      </c>
      <c r="R391" s="79">
        <f>IF(OR(E391="",F391=""),0,IF(COUNTIFS($E$7:E391,E391,$F$7:F391,F391)=1,1,0))</f>
        <v/>
      </c>
      <c r="S391" s="79">
        <f>IF(R391=1,E391&amp;"|"&amp;SUMIFS($R$7:R391,$E$7:E391,E391),"")</f>
        <v/>
      </c>
      <c r="T391" s="112">
        <f>IF(Q391="","",IF(Q391=3,L391,IF(OR(M391="Not started",M391=""),J391,"")))</f>
        <v/>
      </c>
      <c r="U391" s="79">
        <f>IF(T391="","",IF(Q391=3,1,IF(T391="","",IF(T391&lt;AsOf,1,IF(T391&lt;=AsOf+AlertDays,2,IF(T391&lt;=AsOf+2*AlertDays,3,""))))))</f>
        <v/>
      </c>
      <c r="V391" s="79">
        <f>IF(U391="","",IF(Q391=3,"Late task: "&amp;D391,IF(T391&lt;AsOf,"Should have started: ","Starts soon: ")&amp;D391)&amp;IF(F391="",""," — "&amp;F391))</f>
        <v/>
      </c>
    </row>
    <row r="392" ht="20" customHeight="1">
      <c r="B392" s="125" t="n">
        <v>386</v>
      </c>
      <c r="C392" s="72" t="n"/>
      <c r="D392" s="72" t="n"/>
      <c r="E392" s="72" t="n"/>
      <c r="F392" s="72" t="n"/>
      <c r="G392" s="89" t="n"/>
      <c r="H392" s="89" t="n"/>
      <c r="I392" s="109" t="n"/>
      <c r="J392" s="126">
        <f>IF(OR(D392="",ProjStart=""),"",MAX(ProjStart,IF(I392&lt;&gt;"",I392,0),IF(H392="",0,IFERROR(INDEX($L$6:L391,MATCH(H392,$B$6:B391,0))+1,0))))</f>
        <v/>
      </c>
      <c r="K392" s="89" t="n"/>
      <c r="L392" s="126">
        <f>IF(J392="","",J392+MAX(1,G392)+IF(K392="",0,K392)-1)</f>
        <v/>
      </c>
      <c r="M392" s="72" t="n"/>
      <c r="N392" s="109" t="n"/>
      <c r="O392" s="127">
        <f>IF(D392="","",COUNTIF($H$7:$H$1006,B392))</f>
        <v/>
      </c>
      <c r="P392" s="78">
        <f>IF(D392="","",IF(AND(H392&lt;&gt;"",H392&gt;=B392),"⚠️ Predecessor must be above",IF(M392="Done","✓ Done",IF(Q392=3,"🔴 Late",IF(M392="In progress","In progress","")))))</f>
        <v/>
      </c>
      <c r="Q392" s="79">
        <f>IF(OR(D392="",L392=""),"",IF(M392="Done",2,IF(AsOf&gt;L392,3,1)))</f>
        <v/>
      </c>
      <c r="R392" s="79">
        <f>IF(OR(E392="",F392=""),0,IF(COUNTIFS($E$7:E392,E392,$F$7:F392,F392)=1,1,0))</f>
        <v/>
      </c>
      <c r="S392" s="79">
        <f>IF(R392=1,E392&amp;"|"&amp;SUMIFS($R$7:R392,$E$7:E392,E392),"")</f>
        <v/>
      </c>
      <c r="T392" s="112">
        <f>IF(Q392="","",IF(Q392=3,L392,IF(OR(M392="Not started",M392=""),J392,"")))</f>
        <v/>
      </c>
      <c r="U392" s="79">
        <f>IF(T392="","",IF(Q392=3,1,IF(T392="","",IF(T392&lt;AsOf,1,IF(T392&lt;=AsOf+AlertDays,2,IF(T392&lt;=AsOf+2*AlertDays,3,""))))))</f>
        <v/>
      </c>
      <c r="V392" s="79">
        <f>IF(U392="","",IF(Q392=3,"Late task: "&amp;D392,IF(T392&lt;AsOf,"Should have started: ","Starts soon: ")&amp;D392)&amp;IF(F392="",""," — "&amp;F392))</f>
        <v/>
      </c>
    </row>
    <row r="393" ht="20" customHeight="1">
      <c r="B393" s="125" t="n">
        <v>387</v>
      </c>
      <c r="C393" s="72" t="n"/>
      <c r="D393" s="72" t="n"/>
      <c r="E393" s="72" t="n"/>
      <c r="F393" s="72" t="n"/>
      <c r="G393" s="89" t="n"/>
      <c r="H393" s="89" t="n"/>
      <c r="I393" s="109" t="n"/>
      <c r="J393" s="126">
        <f>IF(OR(D393="",ProjStart=""),"",MAX(ProjStart,IF(I393&lt;&gt;"",I393,0),IF(H393="",0,IFERROR(INDEX($L$6:L392,MATCH(H393,$B$6:B392,0))+1,0))))</f>
        <v/>
      </c>
      <c r="K393" s="89" t="n"/>
      <c r="L393" s="126">
        <f>IF(J393="","",J393+MAX(1,G393)+IF(K393="",0,K393)-1)</f>
        <v/>
      </c>
      <c r="M393" s="72" t="n"/>
      <c r="N393" s="109" t="n"/>
      <c r="O393" s="127">
        <f>IF(D393="","",COUNTIF($H$7:$H$1006,B393))</f>
        <v/>
      </c>
      <c r="P393" s="78">
        <f>IF(D393="","",IF(AND(H393&lt;&gt;"",H393&gt;=B393),"⚠️ Predecessor must be above",IF(M393="Done","✓ Done",IF(Q393=3,"🔴 Late",IF(M393="In progress","In progress","")))))</f>
        <v/>
      </c>
      <c r="Q393" s="79">
        <f>IF(OR(D393="",L393=""),"",IF(M393="Done",2,IF(AsOf&gt;L393,3,1)))</f>
        <v/>
      </c>
      <c r="R393" s="79">
        <f>IF(OR(E393="",F393=""),0,IF(COUNTIFS($E$7:E393,E393,$F$7:F393,F393)=1,1,0))</f>
        <v/>
      </c>
      <c r="S393" s="79">
        <f>IF(R393=1,E393&amp;"|"&amp;SUMIFS($R$7:R393,$E$7:E393,E393),"")</f>
        <v/>
      </c>
      <c r="T393" s="112">
        <f>IF(Q393="","",IF(Q393=3,L393,IF(OR(M393="Not started",M393=""),J393,"")))</f>
        <v/>
      </c>
      <c r="U393" s="79">
        <f>IF(T393="","",IF(Q393=3,1,IF(T393="","",IF(T393&lt;AsOf,1,IF(T393&lt;=AsOf+AlertDays,2,IF(T393&lt;=AsOf+2*AlertDays,3,""))))))</f>
        <v/>
      </c>
      <c r="V393" s="79">
        <f>IF(U393="","",IF(Q393=3,"Late task: "&amp;D393,IF(T393&lt;AsOf,"Should have started: ","Starts soon: ")&amp;D393)&amp;IF(F393="",""," — "&amp;F393))</f>
        <v/>
      </c>
    </row>
    <row r="394" ht="20" customHeight="1">
      <c r="B394" s="125" t="n">
        <v>388</v>
      </c>
      <c r="C394" s="72" t="n"/>
      <c r="D394" s="72" t="n"/>
      <c r="E394" s="72" t="n"/>
      <c r="F394" s="72" t="n"/>
      <c r="G394" s="89" t="n"/>
      <c r="H394" s="89" t="n"/>
      <c r="I394" s="109" t="n"/>
      <c r="J394" s="126">
        <f>IF(OR(D394="",ProjStart=""),"",MAX(ProjStart,IF(I394&lt;&gt;"",I394,0),IF(H394="",0,IFERROR(INDEX($L$6:L393,MATCH(H394,$B$6:B393,0))+1,0))))</f>
        <v/>
      </c>
      <c r="K394" s="89" t="n"/>
      <c r="L394" s="126">
        <f>IF(J394="","",J394+MAX(1,G394)+IF(K394="",0,K394)-1)</f>
        <v/>
      </c>
      <c r="M394" s="72" t="n"/>
      <c r="N394" s="109" t="n"/>
      <c r="O394" s="127">
        <f>IF(D394="","",COUNTIF($H$7:$H$1006,B394))</f>
        <v/>
      </c>
      <c r="P394" s="78">
        <f>IF(D394="","",IF(AND(H394&lt;&gt;"",H394&gt;=B394),"⚠️ Predecessor must be above",IF(M394="Done","✓ Done",IF(Q394=3,"🔴 Late",IF(M394="In progress","In progress","")))))</f>
        <v/>
      </c>
      <c r="Q394" s="79">
        <f>IF(OR(D394="",L394=""),"",IF(M394="Done",2,IF(AsOf&gt;L394,3,1)))</f>
        <v/>
      </c>
      <c r="R394" s="79">
        <f>IF(OR(E394="",F394=""),0,IF(COUNTIFS($E$7:E394,E394,$F$7:F394,F394)=1,1,0))</f>
        <v/>
      </c>
      <c r="S394" s="79">
        <f>IF(R394=1,E394&amp;"|"&amp;SUMIFS($R$7:R394,$E$7:E394,E394),"")</f>
        <v/>
      </c>
      <c r="T394" s="112">
        <f>IF(Q394="","",IF(Q394=3,L394,IF(OR(M394="Not started",M394=""),J394,"")))</f>
        <v/>
      </c>
      <c r="U394" s="79">
        <f>IF(T394="","",IF(Q394=3,1,IF(T394="","",IF(T394&lt;AsOf,1,IF(T394&lt;=AsOf+AlertDays,2,IF(T394&lt;=AsOf+2*AlertDays,3,""))))))</f>
        <v/>
      </c>
      <c r="V394" s="79">
        <f>IF(U394="","",IF(Q394=3,"Late task: "&amp;D394,IF(T394&lt;AsOf,"Should have started: ","Starts soon: ")&amp;D394)&amp;IF(F394="",""," — "&amp;F394))</f>
        <v/>
      </c>
    </row>
    <row r="395" ht="20" customHeight="1">
      <c r="B395" s="125" t="n">
        <v>389</v>
      </c>
      <c r="C395" s="72" t="n"/>
      <c r="D395" s="72" t="n"/>
      <c r="E395" s="72" t="n"/>
      <c r="F395" s="72" t="n"/>
      <c r="G395" s="89" t="n"/>
      <c r="H395" s="89" t="n"/>
      <c r="I395" s="109" t="n"/>
      <c r="J395" s="126">
        <f>IF(OR(D395="",ProjStart=""),"",MAX(ProjStart,IF(I395&lt;&gt;"",I395,0),IF(H395="",0,IFERROR(INDEX($L$6:L394,MATCH(H395,$B$6:B394,0))+1,0))))</f>
        <v/>
      </c>
      <c r="K395" s="89" t="n"/>
      <c r="L395" s="126">
        <f>IF(J395="","",J395+MAX(1,G395)+IF(K395="",0,K395)-1)</f>
        <v/>
      </c>
      <c r="M395" s="72" t="n"/>
      <c r="N395" s="109" t="n"/>
      <c r="O395" s="127">
        <f>IF(D395="","",COUNTIF($H$7:$H$1006,B395))</f>
        <v/>
      </c>
      <c r="P395" s="78">
        <f>IF(D395="","",IF(AND(H395&lt;&gt;"",H395&gt;=B395),"⚠️ Predecessor must be above",IF(M395="Done","✓ Done",IF(Q395=3,"🔴 Late",IF(M395="In progress","In progress","")))))</f>
        <v/>
      </c>
      <c r="Q395" s="79">
        <f>IF(OR(D395="",L395=""),"",IF(M395="Done",2,IF(AsOf&gt;L395,3,1)))</f>
        <v/>
      </c>
      <c r="R395" s="79">
        <f>IF(OR(E395="",F395=""),0,IF(COUNTIFS($E$7:E395,E395,$F$7:F395,F395)=1,1,0))</f>
        <v/>
      </c>
      <c r="S395" s="79">
        <f>IF(R395=1,E395&amp;"|"&amp;SUMIFS($R$7:R395,$E$7:E395,E395),"")</f>
        <v/>
      </c>
      <c r="T395" s="112">
        <f>IF(Q395="","",IF(Q395=3,L395,IF(OR(M395="Not started",M395=""),J395,"")))</f>
        <v/>
      </c>
      <c r="U395" s="79">
        <f>IF(T395="","",IF(Q395=3,1,IF(T395="","",IF(T395&lt;AsOf,1,IF(T395&lt;=AsOf+AlertDays,2,IF(T395&lt;=AsOf+2*AlertDays,3,""))))))</f>
        <v/>
      </c>
      <c r="V395" s="79">
        <f>IF(U395="","",IF(Q395=3,"Late task: "&amp;D395,IF(T395&lt;AsOf,"Should have started: ","Starts soon: ")&amp;D395)&amp;IF(F395="",""," — "&amp;F395))</f>
        <v/>
      </c>
    </row>
    <row r="396" ht="20" customHeight="1">
      <c r="B396" s="125" t="n">
        <v>390</v>
      </c>
      <c r="C396" s="72" t="n"/>
      <c r="D396" s="72" t="n"/>
      <c r="E396" s="72" t="n"/>
      <c r="F396" s="72" t="n"/>
      <c r="G396" s="89" t="n"/>
      <c r="H396" s="89" t="n"/>
      <c r="I396" s="109" t="n"/>
      <c r="J396" s="126">
        <f>IF(OR(D396="",ProjStart=""),"",MAX(ProjStart,IF(I396&lt;&gt;"",I396,0),IF(H396="",0,IFERROR(INDEX($L$6:L395,MATCH(H396,$B$6:B395,0))+1,0))))</f>
        <v/>
      </c>
      <c r="K396" s="89" t="n"/>
      <c r="L396" s="126">
        <f>IF(J396="","",J396+MAX(1,G396)+IF(K396="",0,K396)-1)</f>
        <v/>
      </c>
      <c r="M396" s="72" t="n"/>
      <c r="N396" s="109" t="n"/>
      <c r="O396" s="127">
        <f>IF(D396="","",COUNTIF($H$7:$H$1006,B396))</f>
        <v/>
      </c>
      <c r="P396" s="78">
        <f>IF(D396="","",IF(AND(H396&lt;&gt;"",H396&gt;=B396),"⚠️ Predecessor must be above",IF(M396="Done","✓ Done",IF(Q396=3,"🔴 Late",IF(M396="In progress","In progress","")))))</f>
        <v/>
      </c>
      <c r="Q396" s="79">
        <f>IF(OR(D396="",L396=""),"",IF(M396="Done",2,IF(AsOf&gt;L396,3,1)))</f>
        <v/>
      </c>
      <c r="R396" s="79">
        <f>IF(OR(E396="",F396=""),0,IF(COUNTIFS($E$7:E396,E396,$F$7:F396,F396)=1,1,0))</f>
        <v/>
      </c>
      <c r="S396" s="79">
        <f>IF(R396=1,E396&amp;"|"&amp;SUMIFS($R$7:R396,$E$7:E396,E396),"")</f>
        <v/>
      </c>
      <c r="T396" s="112">
        <f>IF(Q396="","",IF(Q396=3,L396,IF(OR(M396="Not started",M396=""),J396,"")))</f>
        <v/>
      </c>
      <c r="U396" s="79">
        <f>IF(T396="","",IF(Q396=3,1,IF(T396="","",IF(T396&lt;AsOf,1,IF(T396&lt;=AsOf+AlertDays,2,IF(T396&lt;=AsOf+2*AlertDays,3,""))))))</f>
        <v/>
      </c>
      <c r="V396" s="79">
        <f>IF(U396="","",IF(Q396=3,"Late task: "&amp;D396,IF(T396&lt;AsOf,"Should have started: ","Starts soon: ")&amp;D396)&amp;IF(F396="",""," — "&amp;F396))</f>
        <v/>
      </c>
    </row>
    <row r="397" ht="20" customHeight="1">
      <c r="B397" s="125" t="n">
        <v>391</v>
      </c>
      <c r="C397" s="72" t="n"/>
      <c r="D397" s="72" t="n"/>
      <c r="E397" s="72" t="n"/>
      <c r="F397" s="72" t="n"/>
      <c r="G397" s="89" t="n"/>
      <c r="H397" s="89" t="n"/>
      <c r="I397" s="109" t="n"/>
      <c r="J397" s="126">
        <f>IF(OR(D397="",ProjStart=""),"",MAX(ProjStart,IF(I397&lt;&gt;"",I397,0),IF(H397="",0,IFERROR(INDEX($L$6:L396,MATCH(H397,$B$6:B396,0))+1,0))))</f>
        <v/>
      </c>
      <c r="K397" s="89" t="n"/>
      <c r="L397" s="126">
        <f>IF(J397="","",J397+MAX(1,G397)+IF(K397="",0,K397)-1)</f>
        <v/>
      </c>
      <c r="M397" s="72" t="n"/>
      <c r="N397" s="109" t="n"/>
      <c r="O397" s="127">
        <f>IF(D397="","",COUNTIF($H$7:$H$1006,B397))</f>
        <v/>
      </c>
      <c r="P397" s="78">
        <f>IF(D397="","",IF(AND(H397&lt;&gt;"",H397&gt;=B397),"⚠️ Predecessor must be above",IF(M397="Done","✓ Done",IF(Q397=3,"🔴 Late",IF(M397="In progress","In progress","")))))</f>
        <v/>
      </c>
      <c r="Q397" s="79">
        <f>IF(OR(D397="",L397=""),"",IF(M397="Done",2,IF(AsOf&gt;L397,3,1)))</f>
        <v/>
      </c>
      <c r="R397" s="79">
        <f>IF(OR(E397="",F397=""),0,IF(COUNTIFS($E$7:E397,E397,$F$7:F397,F397)=1,1,0))</f>
        <v/>
      </c>
      <c r="S397" s="79">
        <f>IF(R397=1,E397&amp;"|"&amp;SUMIFS($R$7:R397,$E$7:E397,E397),"")</f>
        <v/>
      </c>
      <c r="T397" s="112">
        <f>IF(Q397="","",IF(Q397=3,L397,IF(OR(M397="Not started",M397=""),J397,"")))</f>
        <v/>
      </c>
      <c r="U397" s="79">
        <f>IF(T397="","",IF(Q397=3,1,IF(T397="","",IF(T397&lt;AsOf,1,IF(T397&lt;=AsOf+AlertDays,2,IF(T397&lt;=AsOf+2*AlertDays,3,""))))))</f>
        <v/>
      </c>
      <c r="V397" s="79">
        <f>IF(U397="","",IF(Q397=3,"Late task: "&amp;D397,IF(T397&lt;AsOf,"Should have started: ","Starts soon: ")&amp;D397)&amp;IF(F397="",""," — "&amp;F397))</f>
        <v/>
      </c>
    </row>
    <row r="398" ht="20" customHeight="1">
      <c r="B398" s="125" t="n">
        <v>392</v>
      </c>
      <c r="C398" s="72" t="n"/>
      <c r="D398" s="72" t="n"/>
      <c r="E398" s="72" t="n"/>
      <c r="F398" s="72" t="n"/>
      <c r="G398" s="89" t="n"/>
      <c r="H398" s="89" t="n"/>
      <c r="I398" s="109" t="n"/>
      <c r="J398" s="126">
        <f>IF(OR(D398="",ProjStart=""),"",MAX(ProjStart,IF(I398&lt;&gt;"",I398,0),IF(H398="",0,IFERROR(INDEX($L$6:L397,MATCH(H398,$B$6:B397,0))+1,0))))</f>
        <v/>
      </c>
      <c r="K398" s="89" t="n"/>
      <c r="L398" s="126">
        <f>IF(J398="","",J398+MAX(1,G398)+IF(K398="",0,K398)-1)</f>
        <v/>
      </c>
      <c r="M398" s="72" t="n"/>
      <c r="N398" s="109" t="n"/>
      <c r="O398" s="127">
        <f>IF(D398="","",COUNTIF($H$7:$H$1006,B398))</f>
        <v/>
      </c>
      <c r="P398" s="78">
        <f>IF(D398="","",IF(AND(H398&lt;&gt;"",H398&gt;=B398),"⚠️ Predecessor must be above",IF(M398="Done","✓ Done",IF(Q398=3,"🔴 Late",IF(M398="In progress","In progress","")))))</f>
        <v/>
      </c>
      <c r="Q398" s="79">
        <f>IF(OR(D398="",L398=""),"",IF(M398="Done",2,IF(AsOf&gt;L398,3,1)))</f>
        <v/>
      </c>
      <c r="R398" s="79">
        <f>IF(OR(E398="",F398=""),0,IF(COUNTIFS($E$7:E398,E398,$F$7:F398,F398)=1,1,0))</f>
        <v/>
      </c>
      <c r="S398" s="79">
        <f>IF(R398=1,E398&amp;"|"&amp;SUMIFS($R$7:R398,$E$7:E398,E398),"")</f>
        <v/>
      </c>
      <c r="T398" s="112">
        <f>IF(Q398="","",IF(Q398=3,L398,IF(OR(M398="Not started",M398=""),J398,"")))</f>
        <v/>
      </c>
      <c r="U398" s="79">
        <f>IF(T398="","",IF(Q398=3,1,IF(T398="","",IF(T398&lt;AsOf,1,IF(T398&lt;=AsOf+AlertDays,2,IF(T398&lt;=AsOf+2*AlertDays,3,""))))))</f>
        <v/>
      </c>
      <c r="V398" s="79">
        <f>IF(U398="","",IF(Q398=3,"Late task: "&amp;D398,IF(T398&lt;AsOf,"Should have started: ","Starts soon: ")&amp;D398)&amp;IF(F398="",""," — "&amp;F398))</f>
        <v/>
      </c>
    </row>
    <row r="399" ht="20" customHeight="1">
      <c r="B399" s="125" t="n">
        <v>393</v>
      </c>
      <c r="C399" s="72" t="n"/>
      <c r="D399" s="72" t="n"/>
      <c r="E399" s="72" t="n"/>
      <c r="F399" s="72" t="n"/>
      <c r="G399" s="89" t="n"/>
      <c r="H399" s="89" t="n"/>
      <c r="I399" s="109" t="n"/>
      <c r="J399" s="126">
        <f>IF(OR(D399="",ProjStart=""),"",MAX(ProjStart,IF(I399&lt;&gt;"",I399,0),IF(H399="",0,IFERROR(INDEX($L$6:L398,MATCH(H399,$B$6:B398,0))+1,0))))</f>
        <v/>
      </c>
      <c r="K399" s="89" t="n"/>
      <c r="L399" s="126">
        <f>IF(J399="","",J399+MAX(1,G399)+IF(K399="",0,K399)-1)</f>
        <v/>
      </c>
      <c r="M399" s="72" t="n"/>
      <c r="N399" s="109" t="n"/>
      <c r="O399" s="127">
        <f>IF(D399="","",COUNTIF($H$7:$H$1006,B399))</f>
        <v/>
      </c>
      <c r="P399" s="78">
        <f>IF(D399="","",IF(AND(H399&lt;&gt;"",H399&gt;=B399),"⚠️ Predecessor must be above",IF(M399="Done","✓ Done",IF(Q399=3,"🔴 Late",IF(M399="In progress","In progress","")))))</f>
        <v/>
      </c>
      <c r="Q399" s="79">
        <f>IF(OR(D399="",L399=""),"",IF(M399="Done",2,IF(AsOf&gt;L399,3,1)))</f>
        <v/>
      </c>
      <c r="R399" s="79">
        <f>IF(OR(E399="",F399=""),0,IF(COUNTIFS($E$7:E399,E399,$F$7:F399,F399)=1,1,0))</f>
        <v/>
      </c>
      <c r="S399" s="79">
        <f>IF(R399=1,E399&amp;"|"&amp;SUMIFS($R$7:R399,$E$7:E399,E399),"")</f>
        <v/>
      </c>
      <c r="T399" s="112">
        <f>IF(Q399="","",IF(Q399=3,L399,IF(OR(M399="Not started",M399=""),J399,"")))</f>
        <v/>
      </c>
      <c r="U399" s="79">
        <f>IF(T399="","",IF(Q399=3,1,IF(T399="","",IF(T399&lt;AsOf,1,IF(T399&lt;=AsOf+AlertDays,2,IF(T399&lt;=AsOf+2*AlertDays,3,""))))))</f>
        <v/>
      </c>
      <c r="V399" s="79">
        <f>IF(U399="","",IF(Q399=3,"Late task: "&amp;D399,IF(T399&lt;AsOf,"Should have started: ","Starts soon: ")&amp;D399)&amp;IF(F399="",""," — "&amp;F399))</f>
        <v/>
      </c>
    </row>
    <row r="400" ht="20" customHeight="1">
      <c r="B400" s="125" t="n">
        <v>394</v>
      </c>
      <c r="C400" s="72" t="n"/>
      <c r="D400" s="72" t="n"/>
      <c r="E400" s="72" t="n"/>
      <c r="F400" s="72" t="n"/>
      <c r="G400" s="89" t="n"/>
      <c r="H400" s="89" t="n"/>
      <c r="I400" s="109" t="n"/>
      <c r="J400" s="126">
        <f>IF(OR(D400="",ProjStart=""),"",MAX(ProjStart,IF(I400&lt;&gt;"",I400,0),IF(H400="",0,IFERROR(INDEX($L$6:L399,MATCH(H400,$B$6:B399,0))+1,0))))</f>
        <v/>
      </c>
      <c r="K400" s="89" t="n"/>
      <c r="L400" s="126">
        <f>IF(J400="","",J400+MAX(1,G400)+IF(K400="",0,K400)-1)</f>
        <v/>
      </c>
      <c r="M400" s="72" t="n"/>
      <c r="N400" s="109" t="n"/>
      <c r="O400" s="127">
        <f>IF(D400="","",COUNTIF($H$7:$H$1006,B400))</f>
        <v/>
      </c>
      <c r="P400" s="78">
        <f>IF(D400="","",IF(AND(H400&lt;&gt;"",H400&gt;=B400),"⚠️ Predecessor must be above",IF(M400="Done","✓ Done",IF(Q400=3,"🔴 Late",IF(M400="In progress","In progress","")))))</f>
        <v/>
      </c>
      <c r="Q400" s="79">
        <f>IF(OR(D400="",L400=""),"",IF(M400="Done",2,IF(AsOf&gt;L400,3,1)))</f>
        <v/>
      </c>
      <c r="R400" s="79">
        <f>IF(OR(E400="",F400=""),0,IF(COUNTIFS($E$7:E400,E400,$F$7:F400,F400)=1,1,0))</f>
        <v/>
      </c>
      <c r="S400" s="79">
        <f>IF(R400=1,E400&amp;"|"&amp;SUMIFS($R$7:R400,$E$7:E400,E400),"")</f>
        <v/>
      </c>
      <c r="T400" s="112">
        <f>IF(Q400="","",IF(Q400=3,L400,IF(OR(M400="Not started",M400=""),J400,"")))</f>
        <v/>
      </c>
      <c r="U400" s="79">
        <f>IF(T400="","",IF(Q400=3,1,IF(T400="","",IF(T400&lt;AsOf,1,IF(T400&lt;=AsOf+AlertDays,2,IF(T400&lt;=AsOf+2*AlertDays,3,""))))))</f>
        <v/>
      </c>
      <c r="V400" s="79">
        <f>IF(U400="","",IF(Q400=3,"Late task: "&amp;D400,IF(T400&lt;AsOf,"Should have started: ","Starts soon: ")&amp;D400)&amp;IF(F400="",""," — "&amp;F400))</f>
        <v/>
      </c>
    </row>
    <row r="401" ht="20" customHeight="1">
      <c r="B401" s="125" t="n">
        <v>395</v>
      </c>
      <c r="C401" s="72" t="n"/>
      <c r="D401" s="72" t="n"/>
      <c r="E401" s="72" t="n"/>
      <c r="F401" s="72" t="n"/>
      <c r="G401" s="89" t="n"/>
      <c r="H401" s="89" t="n"/>
      <c r="I401" s="109" t="n"/>
      <c r="J401" s="126">
        <f>IF(OR(D401="",ProjStart=""),"",MAX(ProjStart,IF(I401&lt;&gt;"",I401,0),IF(H401="",0,IFERROR(INDEX($L$6:L400,MATCH(H401,$B$6:B400,0))+1,0))))</f>
        <v/>
      </c>
      <c r="K401" s="89" t="n"/>
      <c r="L401" s="126">
        <f>IF(J401="","",J401+MAX(1,G401)+IF(K401="",0,K401)-1)</f>
        <v/>
      </c>
      <c r="M401" s="72" t="n"/>
      <c r="N401" s="109" t="n"/>
      <c r="O401" s="127">
        <f>IF(D401="","",COUNTIF($H$7:$H$1006,B401))</f>
        <v/>
      </c>
      <c r="P401" s="78">
        <f>IF(D401="","",IF(AND(H401&lt;&gt;"",H401&gt;=B401),"⚠️ Predecessor must be above",IF(M401="Done","✓ Done",IF(Q401=3,"🔴 Late",IF(M401="In progress","In progress","")))))</f>
        <v/>
      </c>
      <c r="Q401" s="79">
        <f>IF(OR(D401="",L401=""),"",IF(M401="Done",2,IF(AsOf&gt;L401,3,1)))</f>
        <v/>
      </c>
      <c r="R401" s="79">
        <f>IF(OR(E401="",F401=""),0,IF(COUNTIFS($E$7:E401,E401,$F$7:F401,F401)=1,1,0))</f>
        <v/>
      </c>
      <c r="S401" s="79">
        <f>IF(R401=1,E401&amp;"|"&amp;SUMIFS($R$7:R401,$E$7:E401,E401),"")</f>
        <v/>
      </c>
      <c r="T401" s="112">
        <f>IF(Q401="","",IF(Q401=3,L401,IF(OR(M401="Not started",M401=""),J401,"")))</f>
        <v/>
      </c>
      <c r="U401" s="79">
        <f>IF(T401="","",IF(Q401=3,1,IF(T401="","",IF(T401&lt;AsOf,1,IF(T401&lt;=AsOf+AlertDays,2,IF(T401&lt;=AsOf+2*AlertDays,3,""))))))</f>
        <v/>
      </c>
      <c r="V401" s="79">
        <f>IF(U401="","",IF(Q401=3,"Late task: "&amp;D401,IF(T401&lt;AsOf,"Should have started: ","Starts soon: ")&amp;D401)&amp;IF(F401="",""," — "&amp;F401))</f>
        <v/>
      </c>
    </row>
    <row r="402" ht="20" customHeight="1">
      <c r="B402" s="125" t="n">
        <v>396</v>
      </c>
      <c r="C402" s="72" t="n"/>
      <c r="D402" s="72" t="n"/>
      <c r="E402" s="72" t="n"/>
      <c r="F402" s="72" t="n"/>
      <c r="G402" s="89" t="n"/>
      <c r="H402" s="89" t="n"/>
      <c r="I402" s="109" t="n"/>
      <c r="J402" s="126">
        <f>IF(OR(D402="",ProjStart=""),"",MAX(ProjStart,IF(I402&lt;&gt;"",I402,0),IF(H402="",0,IFERROR(INDEX($L$6:L401,MATCH(H402,$B$6:B401,0))+1,0))))</f>
        <v/>
      </c>
      <c r="K402" s="89" t="n"/>
      <c r="L402" s="126">
        <f>IF(J402="","",J402+MAX(1,G402)+IF(K402="",0,K402)-1)</f>
        <v/>
      </c>
      <c r="M402" s="72" t="n"/>
      <c r="N402" s="109" t="n"/>
      <c r="O402" s="127">
        <f>IF(D402="","",COUNTIF($H$7:$H$1006,B402))</f>
        <v/>
      </c>
      <c r="P402" s="78">
        <f>IF(D402="","",IF(AND(H402&lt;&gt;"",H402&gt;=B402),"⚠️ Predecessor must be above",IF(M402="Done","✓ Done",IF(Q402=3,"🔴 Late",IF(M402="In progress","In progress","")))))</f>
        <v/>
      </c>
      <c r="Q402" s="79">
        <f>IF(OR(D402="",L402=""),"",IF(M402="Done",2,IF(AsOf&gt;L402,3,1)))</f>
        <v/>
      </c>
      <c r="R402" s="79">
        <f>IF(OR(E402="",F402=""),0,IF(COUNTIFS($E$7:E402,E402,$F$7:F402,F402)=1,1,0))</f>
        <v/>
      </c>
      <c r="S402" s="79">
        <f>IF(R402=1,E402&amp;"|"&amp;SUMIFS($R$7:R402,$E$7:E402,E402),"")</f>
        <v/>
      </c>
      <c r="T402" s="112">
        <f>IF(Q402="","",IF(Q402=3,L402,IF(OR(M402="Not started",M402=""),J402,"")))</f>
        <v/>
      </c>
      <c r="U402" s="79">
        <f>IF(T402="","",IF(Q402=3,1,IF(T402="","",IF(T402&lt;AsOf,1,IF(T402&lt;=AsOf+AlertDays,2,IF(T402&lt;=AsOf+2*AlertDays,3,""))))))</f>
        <v/>
      </c>
      <c r="V402" s="79">
        <f>IF(U402="","",IF(Q402=3,"Late task: "&amp;D402,IF(T402&lt;AsOf,"Should have started: ","Starts soon: ")&amp;D402)&amp;IF(F402="",""," — "&amp;F402))</f>
        <v/>
      </c>
    </row>
    <row r="403" ht="20" customHeight="1">
      <c r="B403" s="125" t="n">
        <v>397</v>
      </c>
      <c r="C403" s="72" t="n"/>
      <c r="D403" s="72" t="n"/>
      <c r="E403" s="72" t="n"/>
      <c r="F403" s="72" t="n"/>
      <c r="G403" s="89" t="n"/>
      <c r="H403" s="89" t="n"/>
      <c r="I403" s="109" t="n"/>
      <c r="J403" s="126">
        <f>IF(OR(D403="",ProjStart=""),"",MAX(ProjStart,IF(I403&lt;&gt;"",I403,0),IF(H403="",0,IFERROR(INDEX($L$6:L402,MATCH(H403,$B$6:B402,0))+1,0))))</f>
        <v/>
      </c>
      <c r="K403" s="89" t="n"/>
      <c r="L403" s="126">
        <f>IF(J403="","",J403+MAX(1,G403)+IF(K403="",0,K403)-1)</f>
        <v/>
      </c>
      <c r="M403" s="72" t="n"/>
      <c r="N403" s="109" t="n"/>
      <c r="O403" s="127">
        <f>IF(D403="","",COUNTIF($H$7:$H$1006,B403))</f>
        <v/>
      </c>
      <c r="P403" s="78">
        <f>IF(D403="","",IF(AND(H403&lt;&gt;"",H403&gt;=B403),"⚠️ Predecessor must be above",IF(M403="Done","✓ Done",IF(Q403=3,"🔴 Late",IF(M403="In progress","In progress","")))))</f>
        <v/>
      </c>
      <c r="Q403" s="79">
        <f>IF(OR(D403="",L403=""),"",IF(M403="Done",2,IF(AsOf&gt;L403,3,1)))</f>
        <v/>
      </c>
      <c r="R403" s="79">
        <f>IF(OR(E403="",F403=""),0,IF(COUNTIFS($E$7:E403,E403,$F$7:F403,F403)=1,1,0))</f>
        <v/>
      </c>
      <c r="S403" s="79">
        <f>IF(R403=1,E403&amp;"|"&amp;SUMIFS($R$7:R403,$E$7:E403,E403),"")</f>
        <v/>
      </c>
      <c r="T403" s="112">
        <f>IF(Q403="","",IF(Q403=3,L403,IF(OR(M403="Not started",M403=""),J403,"")))</f>
        <v/>
      </c>
      <c r="U403" s="79">
        <f>IF(T403="","",IF(Q403=3,1,IF(T403="","",IF(T403&lt;AsOf,1,IF(T403&lt;=AsOf+AlertDays,2,IF(T403&lt;=AsOf+2*AlertDays,3,""))))))</f>
        <v/>
      </c>
      <c r="V403" s="79">
        <f>IF(U403="","",IF(Q403=3,"Late task: "&amp;D403,IF(T403&lt;AsOf,"Should have started: ","Starts soon: ")&amp;D403)&amp;IF(F403="",""," — "&amp;F403))</f>
        <v/>
      </c>
    </row>
    <row r="404" ht="20" customHeight="1">
      <c r="B404" s="125" t="n">
        <v>398</v>
      </c>
      <c r="C404" s="72" t="n"/>
      <c r="D404" s="72" t="n"/>
      <c r="E404" s="72" t="n"/>
      <c r="F404" s="72" t="n"/>
      <c r="G404" s="89" t="n"/>
      <c r="H404" s="89" t="n"/>
      <c r="I404" s="109" t="n"/>
      <c r="J404" s="126">
        <f>IF(OR(D404="",ProjStart=""),"",MAX(ProjStart,IF(I404&lt;&gt;"",I404,0),IF(H404="",0,IFERROR(INDEX($L$6:L403,MATCH(H404,$B$6:B403,0))+1,0))))</f>
        <v/>
      </c>
      <c r="K404" s="89" t="n"/>
      <c r="L404" s="126">
        <f>IF(J404="","",J404+MAX(1,G404)+IF(K404="",0,K404)-1)</f>
        <v/>
      </c>
      <c r="M404" s="72" t="n"/>
      <c r="N404" s="109" t="n"/>
      <c r="O404" s="127">
        <f>IF(D404="","",COUNTIF($H$7:$H$1006,B404))</f>
        <v/>
      </c>
      <c r="P404" s="78">
        <f>IF(D404="","",IF(AND(H404&lt;&gt;"",H404&gt;=B404),"⚠️ Predecessor must be above",IF(M404="Done","✓ Done",IF(Q404=3,"🔴 Late",IF(M404="In progress","In progress","")))))</f>
        <v/>
      </c>
      <c r="Q404" s="79">
        <f>IF(OR(D404="",L404=""),"",IF(M404="Done",2,IF(AsOf&gt;L404,3,1)))</f>
        <v/>
      </c>
      <c r="R404" s="79">
        <f>IF(OR(E404="",F404=""),0,IF(COUNTIFS($E$7:E404,E404,$F$7:F404,F404)=1,1,0))</f>
        <v/>
      </c>
      <c r="S404" s="79">
        <f>IF(R404=1,E404&amp;"|"&amp;SUMIFS($R$7:R404,$E$7:E404,E404),"")</f>
        <v/>
      </c>
      <c r="T404" s="112">
        <f>IF(Q404="","",IF(Q404=3,L404,IF(OR(M404="Not started",M404=""),J404,"")))</f>
        <v/>
      </c>
      <c r="U404" s="79">
        <f>IF(T404="","",IF(Q404=3,1,IF(T404="","",IF(T404&lt;AsOf,1,IF(T404&lt;=AsOf+AlertDays,2,IF(T404&lt;=AsOf+2*AlertDays,3,""))))))</f>
        <v/>
      </c>
      <c r="V404" s="79">
        <f>IF(U404="","",IF(Q404=3,"Late task: "&amp;D404,IF(T404&lt;AsOf,"Should have started: ","Starts soon: ")&amp;D404)&amp;IF(F404="",""," — "&amp;F404))</f>
        <v/>
      </c>
    </row>
    <row r="405" ht="20" customHeight="1">
      <c r="B405" s="125" t="n">
        <v>399</v>
      </c>
      <c r="C405" s="72" t="n"/>
      <c r="D405" s="72" t="n"/>
      <c r="E405" s="72" t="n"/>
      <c r="F405" s="72" t="n"/>
      <c r="G405" s="89" t="n"/>
      <c r="H405" s="89" t="n"/>
      <c r="I405" s="109" t="n"/>
      <c r="J405" s="126">
        <f>IF(OR(D405="",ProjStart=""),"",MAX(ProjStart,IF(I405&lt;&gt;"",I405,0),IF(H405="",0,IFERROR(INDEX($L$6:L404,MATCH(H405,$B$6:B404,0))+1,0))))</f>
        <v/>
      </c>
      <c r="K405" s="89" t="n"/>
      <c r="L405" s="126">
        <f>IF(J405="","",J405+MAX(1,G405)+IF(K405="",0,K405)-1)</f>
        <v/>
      </c>
      <c r="M405" s="72" t="n"/>
      <c r="N405" s="109" t="n"/>
      <c r="O405" s="127">
        <f>IF(D405="","",COUNTIF($H$7:$H$1006,B405))</f>
        <v/>
      </c>
      <c r="P405" s="78">
        <f>IF(D405="","",IF(AND(H405&lt;&gt;"",H405&gt;=B405),"⚠️ Predecessor must be above",IF(M405="Done","✓ Done",IF(Q405=3,"🔴 Late",IF(M405="In progress","In progress","")))))</f>
        <v/>
      </c>
      <c r="Q405" s="79">
        <f>IF(OR(D405="",L405=""),"",IF(M405="Done",2,IF(AsOf&gt;L405,3,1)))</f>
        <v/>
      </c>
      <c r="R405" s="79">
        <f>IF(OR(E405="",F405=""),0,IF(COUNTIFS($E$7:E405,E405,$F$7:F405,F405)=1,1,0))</f>
        <v/>
      </c>
      <c r="S405" s="79">
        <f>IF(R405=1,E405&amp;"|"&amp;SUMIFS($R$7:R405,$E$7:E405,E405),"")</f>
        <v/>
      </c>
      <c r="T405" s="112">
        <f>IF(Q405="","",IF(Q405=3,L405,IF(OR(M405="Not started",M405=""),J405,"")))</f>
        <v/>
      </c>
      <c r="U405" s="79">
        <f>IF(T405="","",IF(Q405=3,1,IF(T405="","",IF(T405&lt;AsOf,1,IF(T405&lt;=AsOf+AlertDays,2,IF(T405&lt;=AsOf+2*AlertDays,3,""))))))</f>
        <v/>
      </c>
      <c r="V405" s="79">
        <f>IF(U405="","",IF(Q405=3,"Late task: "&amp;D405,IF(T405&lt;AsOf,"Should have started: ","Starts soon: ")&amp;D405)&amp;IF(F405="",""," — "&amp;F405))</f>
        <v/>
      </c>
    </row>
    <row r="406" ht="20" customHeight="1">
      <c r="B406" s="125" t="n">
        <v>400</v>
      </c>
      <c r="C406" s="72" t="n"/>
      <c r="D406" s="72" t="n"/>
      <c r="E406" s="72" t="n"/>
      <c r="F406" s="72" t="n"/>
      <c r="G406" s="89" t="n"/>
      <c r="H406" s="89" t="n"/>
      <c r="I406" s="109" t="n"/>
      <c r="J406" s="126">
        <f>IF(OR(D406="",ProjStart=""),"",MAX(ProjStart,IF(I406&lt;&gt;"",I406,0),IF(H406="",0,IFERROR(INDEX($L$6:L405,MATCH(H406,$B$6:B405,0))+1,0))))</f>
        <v/>
      </c>
      <c r="K406" s="89" t="n"/>
      <c r="L406" s="126">
        <f>IF(J406="","",J406+MAX(1,G406)+IF(K406="",0,K406)-1)</f>
        <v/>
      </c>
      <c r="M406" s="72" t="n"/>
      <c r="N406" s="109" t="n"/>
      <c r="O406" s="127">
        <f>IF(D406="","",COUNTIF($H$7:$H$1006,B406))</f>
        <v/>
      </c>
      <c r="P406" s="78">
        <f>IF(D406="","",IF(AND(H406&lt;&gt;"",H406&gt;=B406),"⚠️ Predecessor must be above",IF(M406="Done","✓ Done",IF(Q406=3,"🔴 Late",IF(M406="In progress","In progress","")))))</f>
        <v/>
      </c>
      <c r="Q406" s="79">
        <f>IF(OR(D406="",L406=""),"",IF(M406="Done",2,IF(AsOf&gt;L406,3,1)))</f>
        <v/>
      </c>
      <c r="R406" s="79">
        <f>IF(OR(E406="",F406=""),0,IF(COUNTIFS($E$7:E406,E406,$F$7:F406,F406)=1,1,0))</f>
        <v/>
      </c>
      <c r="S406" s="79">
        <f>IF(R406=1,E406&amp;"|"&amp;SUMIFS($R$7:R406,$E$7:E406,E406),"")</f>
        <v/>
      </c>
      <c r="T406" s="112">
        <f>IF(Q406="","",IF(Q406=3,L406,IF(OR(M406="Not started",M406=""),J406,"")))</f>
        <v/>
      </c>
      <c r="U406" s="79">
        <f>IF(T406="","",IF(Q406=3,1,IF(T406="","",IF(T406&lt;AsOf,1,IF(T406&lt;=AsOf+AlertDays,2,IF(T406&lt;=AsOf+2*AlertDays,3,""))))))</f>
        <v/>
      </c>
      <c r="V406" s="79">
        <f>IF(U406="","",IF(Q406=3,"Late task: "&amp;D406,IF(T406&lt;AsOf,"Should have started: ","Starts soon: ")&amp;D406)&amp;IF(F406="",""," — "&amp;F406))</f>
        <v/>
      </c>
    </row>
    <row r="407" ht="20" customHeight="1">
      <c r="B407" s="125" t="n">
        <v>401</v>
      </c>
      <c r="C407" s="72" t="n"/>
      <c r="D407" s="72" t="n"/>
      <c r="E407" s="72" t="n"/>
      <c r="F407" s="72" t="n"/>
      <c r="G407" s="89" t="n"/>
      <c r="H407" s="89" t="n"/>
      <c r="I407" s="109" t="n"/>
      <c r="J407" s="126">
        <f>IF(OR(D407="",ProjStart=""),"",MAX(ProjStart,IF(I407&lt;&gt;"",I407,0),IF(H407="",0,IFERROR(INDEX($L$6:L406,MATCH(H407,$B$6:B406,0))+1,0))))</f>
        <v/>
      </c>
      <c r="K407" s="89" t="n"/>
      <c r="L407" s="126">
        <f>IF(J407="","",J407+MAX(1,G407)+IF(K407="",0,K407)-1)</f>
        <v/>
      </c>
      <c r="M407" s="72" t="n"/>
      <c r="N407" s="109" t="n"/>
      <c r="O407" s="127">
        <f>IF(D407="","",COUNTIF($H$7:$H$1006,B407))</f>
        <v/>
      </c>
      <c r="P407" s="78">
        <f>IF(D407="","",IF(AND(H407&lt;&gt;"",H407&gt;=B407),"⚠️ Predecessor must be above",IF(M407="Done","✓ Done",IF(Q407=3,"🔴 Late",IF(M407="In progress","In progress","")))))</f>
        <v/>
      </c>
      <c r="Q407" s="79">
        <f>IF(OR(D407="",L407=""),"",IF(M407="Done",2,IF(AsOf&gt;L407,3,1)))</f>
        <v/>
      </c>
      <c r="R407" s="79">
        <f>IF(OR(E407="",F407=""),0,IF(COUNTIFS($E$7:E407,E407,$F$7:F407,F407)=1,1,0))</f>
        <v/>
      </c>
      <c r="S407" s="79">
        <f>IF(R407=1,E407&amp;"|"&amp;SUMIFS($R$7:R407,$E$7:E407,E407),"")</f>
        <v/>
      </c>
      <c r="T407" s="112">
        <f>IF(Q407="","",IF(Q407=3,L407,IF(OR(M407="Not started",M407=""),J407,"")))</f>
        <v/>
      </c>
      <c r="U407" s="79">
        <f>IF(T407="","",IF(Q407=3,1,IF(T407="","",IF(T407&lt;AsOf,1,IF(T407&lt;=AsOf+AlertDays,2,IF(T407&lt;=AsOf+2*AlertDays,3,""))))))</f>
        <v/>
      </c>
      <c r="V407" s="79">
        <f>IF(U407="","",IF(Q407=3,"Late task: "&amp;D407,IF(T407&lt;AsOf,"Should have started: ","Starts soon: ")&amp;D407)&amp;IF(F407="",""," — "&amp;F407))</f>
        <v/>
      </c>
    </row>
    <row r="408" ht="20" customHeight="1">
      <c r="B408" s="125" t="n">
        <v>402</v>
      </c>
      <c r="C408" s="72" t="n"/>
      <c r="D408" s="72" t="n"/>
      <c r="E408" s="72" t="n"/>
      <c r="F408" s="72" t="n"/>
      <c r="G408" s="89" t="n"/>
      <c r="H408" s="89" t="n"/>
      <c r="I408" s="109" t="n"/>
      <c r="J408" s="126">
        <f>IF(OR(D408="",ProjStart=""),"",MAX(ProjStart,IF(I408&lt;&gt;"",I408,0),IF(H408="",0,IFERROR(INDEX($L$6:L407,MATCH(H408,$B$6:B407,0))+1,0))))</f>
        <v/>
      </c>
      <c r="K408" s="89" t="n"/>
      <c r="L408" s="126">
        <f>IF(J408="","",J408+MAX(1,G408)+IF(K408="",0,K408)-1)</f>
        <v/>
      </c>
      <c r="M408" s="72" t="n"/>
      <c r="N408" s="109" t="n"/>
      <c r="O408" s="127">
        <f>IF(D408="","",COUNTIF($H$7:$H$1006,B408))</f>
        <v/>
      </c>
      <c r="P408" s="78">
        <f>IF(D408="","",IF(AND(H408&lt;&gt;"",H408&gt;=B408),"⚠️ Predecessor must be above",IF(M408="Done","✓ Done",IF(Q408=3,"🔴 Late",IF(M408="In progress","In progress","")))))</f>
        <v/>
      </c>
      <c r="Q408" s="79">
        <f>IF(OR(D408="",L408=""),"",IF(M408="Done",2,IF(AsOf&gt;L408,3,1)))</f>
        <v/>
      </c>
      <c r="R408" s="79">
        <f>IF(OR(E408="",F408=""),0,IF(COUNTIFS($E$7:E408,E408,$F$7:F408,F408)=1,1,0))</f>
        <v/>
      </c>
      <c r="S408" s="79">
        <f>IF(R408=1,E408&amp;"|"&amp;SUMIFS($R$7:R408,$E$7:E408,E408),"")</f>
        <v/>
      </c>
      <c r="T408" s="112">
        <f>IF(Q408="","",IF(Q408=3,L408,IF(OR(M408="Not started",M408=""),J408,"")))</f>
        <v/>
      </c>
      <c r="U408" s="79">
        <f>IF(T408="","",IF(Q408=3,1,IF(T408="","",IF(T408&lt;AsOf,1,IF(T408&lt;=AsOf+AlertDays,2,IF(T408&lt;=AsOf+2*AlertDays,3,""))))))</f>
        <v/>
      </c>
      <c r="V408" s="79">
        <f>IF(U408="","",IF(Q408=3,"Late task: "&amp;D408,IF(T408&lt;AsOf,"Should have started: ","Starts soon: ")&amp;D408)&amp;IF(F408="",""," — "&amp;F408))</f>
        <v/>
      </c>
    </row>
    <row r="409" ht="20" customHeight="1">
      <c r="B409" s="125" t="n">
        <v>403</v>
      </c>
      <c r="C409" s="72" t="n"/>
      <c r="D409" s="72" t="n"/>
      <c r="E409" s="72" t="n"/>
      <c r="F409" s="72" t="n"/>
      <c r="G409" s="89" t="n"/>
      <c r="H409" s="89" t="n"/>
      <c r="I409" s="109" t="n"/>
      <c r="J409" s="126">
        <f>IF(OR(D409="",ProjStart=""),"",MAX(ProjStart,IF(I409&lt;&gt;"",I409,0),IF(H409="",0,IFERROR(INDEX($L$6:L408,MATCH(H409,$B$6:B408,0))+1,0))))</f>
        <v/>
      </c>
      <c r="K409" s="89" t="n"/>
      <c r="L409" s="126">
        <f>IF(J409="","",J409+MAX(1,G409)+IF(K409="",0,K409)-1)</f>
        <v/>
      </c>
      <c r="M409" s="72" t="n"/>
      <c r="N409" s="109" t="n"/>
      <c r="O409" s="127">
        <f>IF(D409="","",COUNTIF($H$7:$H$1006,B409))</f>
        <v/>
      </c>
      <c r="P409" s="78">
        <f>IF(D409="","",IF(AND(H409&lt;&gt;"",H409&gt;=B409),"⚠️ Predecessor must be above",IF(M409="Done","✓ Done",IF(Q409=3,"🔴 Late",IF(M409="In progress","In progress","")))))</f>
        <v/>
      </c>
      <c r="Q409" s="79">
        <f>IF(OR(D409="",L409=""),"",IF(M409="Done",2,IF(AsOf&gt;L409,3,1)))</f>
        <v/>
      </c>
      <c r="R409" s="79">
        <f>IF(OR(E409="",F409=""),0,IF(COUNTIFS($E$7:E409,E409,$F$7:F409,F409)=1,1,0))</f>
        <v/>
      </c>
      <c r="S409" s="79">
        <f>IF(R409=1,E409&amp;"|"&amp;SUMIFS($R$7:R409,$E$7:E409,E409),"")</f>
        <v/>
      </c>
      <c r="T409" s="112">
        <f>IF(Q409="","",IF(Q409=3,L409,IF(OR(M409="Not started",M409=""),J409,"")))</f>
        <v/>
      </c>
      <c r="U409" s="79">
        <f>IF(T409="","",IF(Q409=3,1,IF(T409="","",IF(T409&lt;AsOf,1,IF(T409&lt;=AsOf+AlertDays,2,IF(T409&lt;=AsOf+2*AlertDays,3,""))))))</f>
        <v/>
      </c>
      <c r="V409" s="79">
        <f>IF(U409="","",IF(Q409=3,"Late task: "&amp;D409,IF(T409&lt;AsOf,"Should have started: ","Starts soon: ")&amp;D409)&amp;IF(F409="",""," — "&amp;F409))</f>
        <v/>
      </c>
    </row>
    <row r="410" ht="20" customHeight="1">
      <c r="B410" s="125" t="n">
        <v>404</v>
      </c>
      <c r="C410" s="72" t="n"/>
      <c r="D410" s="72" t="n"/>
      <c r="E410" s="72" t="n"/>
      <c r="F410" s="72" t="n"/>
      <c r="G410" s="89" t="n"/>
      <c r="H410" s="89" t="n"/>
      <c r="I410" s="109" t="n"/>
      <c r="J410" s="126">
        <f>IF(OR(D410="",ProjStart=""),"",MAX(ProjStart,IF(I410&lt;&gt;"",I410,0),IF(H410="",0,IFERROR(INDEX($L$6:L409,MATCH(H410,$B$6:B409,0))+1,0))))</f>
        <v/>
      </c>
      <c r="K410" s="89" t="n"/>
      <c r="L410" s="126">
        <f>IF(J410="","",J410+MAX(1,G410)+IF(K410="",0,K410)-1)</f>
        <v/>
      </c>
      <c r="M410" s="72" t="n"/>
      <c r="N410" s="109" t="n"/>
      <c r="O410" s="127">
        <f>IF(D410="","",COUNTIF($H$7:$H$1006,B410))</f>
        <v/>
      </c>
      <c r="P410" s="78">
        <f>IF(D410="","",IF(AND(H410&lt;&gt;"",H410&gt;=B410),"⚠️ Predecessor must be above",IF(M410="Done","✓ Done",IF(Q410=3,"🔴 Late",IF(M410="In progress","In progress","")))))</f>
        <v/>
      </c>
      <c r="Q410" s="79">
        <f>IF(OR(D410="",L410=""),"",IF(M410="Done",2,IF(AsOf&gt;L410,3,1)))</f>
        <v/>
      </c>
      <c r="R410" s="79">
        <f>IF(OR(E410="",F410=""),0,IF(COUNTIFS($E$7:E410,E410,$F$7:F410,F410)=1,1,0))</f>
        <v/>
      </c>
      <c r="S410" s="79">
        <f>IF(R410=1,E410&amp;"|"&amp;SUMIFS($R$7:R410,$E$7:E410,E410),"")</f>
        <v/>
      </c>
      <c r="T410" s="112">
        <f>IF(Q410="","",IF(Q410=3,L410,IF(OR(M410="Not started",M410=""),J410,"")))</f>
        <v/>
      </c>
      <c r="U410" s="79">
        <f>IF(T410="","",IF(Q410=3,1,IF(T410="","",IF(T410&lt;AsOf,1,IF(T410&lt;=AsOf+AlertDays,2,IF(T410&lt;=AsOf+2*AlertDays,3,""))))))</f>
        <v/>
      </c>
      <c r="V410" s="79">
        <f>IF(U410="","",IF(Q410=3,"Late task: "&amp;D410,IF(T410&lt;AsOf,"Should have started: ","Starts soon: ")&amp;D410)&amp;IF(F410="",""," — "&amp;F410))</f>
        <v/>
      </c>
    </row>
    <row r="411" ht="20" customHeight="1">
      <c r="B411" s="125" t="n">
        <v>405</v>
      </c>
      <c r="C411" s="72" t="n"/>
      <c r="D411" s="72" t="n"/>
      <c r="E411" s="72" t="n"/>
      <c r="F411" s="72" t="n"/>
      <c r="G411" s="89" t="n"/>
      <c r="H411" s="89" t="n"/>
      <c r="I411" s="109" t="n"/>
      <c r="J411" s="126">
        <f>IF(OR(D411="",ProjStart=""),"",MAX(ProjStart,IF(I411&lt;&gt;"",I411,0),IF(H411="",0,IFERROR(INDEX($L$6:L410,MATCH(H411,$B$6:B410,0))+1,0))))</f>
        <v/>
      </c>
      <c r="K411" s="89" t="n"/>
      <c r="L411" s="126">
        <f>IF(J411="","",J411+MAX(1,G411)+IF(K411="",0,K411)-1)</f>
        <v/>
      </c>
      <c r="M411" s="72" t="n"/>
      <c r="N411" s="109" t="n"/>
      <c r="O411" s="127">
        <f>IF(D411="","",COUNTIF($H$7:$H$1006,B411))</f>
        <v/>
      </c>
      <c r="P411" s="78">
        <f>IF(D411="","",IF(AND(H411&lt;&gt;"",H411&gt;=B411),"⚠️ Predecessor must be above",IF(M411="Done","✓ Done",IF(Q411=3,"🔴 Late",IF(M411="In progress","In progress","")))))</f>
        <v/>
      </c>
      <c r="Q411" s="79">
        <f>IF(OR(D411="",L411=""),"",IF(M411="Done",2,IF(AsOf&gt;L411,3,1)))</f>
        <v/>
      </c>
      <c r="R411" s="79">
        <f>IF(OR(E411="",F411=""),0,IF(COUNTIFS($E$7:E411,E411,$F$7:F411,F411)=1,1,0))</f>
        <v/>
      </c>
      <c r="S411" s="79">
        <f>IF(R411=1,E411&amp;"|"&amp;SUMIFS($R$7:R411,$E$7:E411,E411),"")</f>
        <v/>
      </c>
      <c r="T411" s="112">
        <f>IF(Q411="","",IF(Q411=3,L411,IF(OR(M411="Not started",M411=""),J411,"")))</f>
        <v/>
      </c>
      <c r="U411" s="79">
        <f>IF(T411="","",IF(Q411=3,1,IF(T411="","",IF(T411&lt;AsOf,1,IF(T411&lt;=AsOf+AlertDays,2,IF(T411&lt;=AsOf+2*AlertDays,3,""))))))</f>
        <v/>
      </c>
      <c r="V411" s="79">
        <f>IF(U411="","",IF(Q411=3,"Late task: "&amp;D411,IF(T411&lt;AsOf,"Should have started: ","Starts soon: ")&amp;D411)&amp;IF(F411="",""," — "&amp;F411))</f>
        <v/>
      </c>
    </row>
    <row r="412" ht="20" customHeight="1">
      <c r="B412" s="125" t="n">
        <v>406</v>
      </c>
      <c r="C412" s="72" t="n"/>
      <c r="D412" s="72" t="n"/>
      <c r="E412" s="72" t="n"/>
      <c r="F412" s="72" t="n"/>
      <c r="G412" s="89" t="n"/>
      <c r="H412" s="89" t="n"/>
      <c r="I412" s="109" t="n"/>
      <c r="J412" s="126">
        <f>IF(OR(D412="",ProjStart=""),"",MAX(ProjStart,IF(I412&lt;&gt;"",I412,0),IF(H412="",0,IFERROR(INDEX($L$6:L411,MATCH(H412,$B$6:B411,0))+1,0))))</f>
        <v/>
      </c>
      <c r="K412" s="89" t="n"/>
      <c r="L412" s="126">
        <f>IF(J412="","",J412+MAX(1,G412)+IF(K412="",0,K412)-1)</f>
        <v/>
      </c>
      <c r="M412" s="72" t="n"/>
      <c r="N412" s="109" t="n"/>
      <c r="O412" s="127">
        <f>IF(D412="","",COUNTIF($H$7:$H$1006,B412))</f>
        <v/>
      </c>
      <c r="P412" s="78">
        <f>IF(D412="","",IF(AND(H412&lt;&gt;"",H412&gt;=B412),"⚠️ Predecessor must be above",IF(M412="Done","✓ Done",IF(Q412=3,"🔴 Late",IF(M412="In progress","In progress","")))))</f>
        <v/>
      </c>
      <c r="Q412" s="79">
        <f>IF(OR(D412="",L412=""),"",IF(M412="Done",2,IF(AsOf&gt;L412,3,1)))</f>
        <v/>
      </c>
      <c r="R412" s="79">
        <f>IF(OR(E412="",F412=""),0,IF(COUNTIFS($E$7:E412,E412,$F$7:F412,F412)=1,1,0))</f>
        <v/>
      </c>
      <c r="S412" s="79">
        <f>IF(R412=1,E412&amp;"|"&amp;SUMIFS($R$7:R412,$E$7:E412,E412),"")</f>
        <v/>
      </c>
      <c r="T412" s="112">
        <f>IF(Q412="","",IF(Q412=3,L412,IF(OR(M412="Not started",M412=""),J412,"")))</f>
        <v/>
      </c>
      <c r="U412" s="79">
        <f>IF(T412="","",IF(Q412=3,1,IF(T412="","",IF(T412&lt;AsOf,1,IF(T412&lt;=AsOf+AlertDays,2,IF(T412&lt;=AsOf+2*AlertDays,3,""))))))</f>
        <v/>
      </c>
      <c r="V412" s="79">
        <f>IF(U412="","",IF(Q412=3,"Late task: "&amp;D412,IF(T412&lt;AsOf,"Should have started: ","Starts soon: ")&amp;D412)&amp;IF(F412="",""," — "&amp;F412))</f>
        <v/>
      </c>
    </row>
    <row r="413" ht="20" customHeight="1">
      <c r="B413" s="125" t="n">
        <v>407</v>
      </c>
      <c r="C413" s="72" t="n"/>
      <c r="D413" s="72" t="n"/>
      <c r="E413" s="72" t="n"/>
      <c r="F413" s="72" t="n"/>
      <c r="G413" s="89" t="n"/>
      <c r="H413" s="89" t="n"/>
      <c r="I413" s="109" t="n"/>
      <c r="J413" s="126">
        <f>IF(OR(D413="",ProjStart=""),"",MAX(ProjStart,IF(I413&lt;&gt;"",I413,0),IF(H413="",0,IFERROR(INDEX($L$6:L412,MATCH(H413,$B$6:B412,0))+1,0))))</f>
        <v/>
      </c>
      <c r="K413" s="89" t="n"/>
      <c r="L413" s="126">
        <f>IF(J413="","",J413+MAX(1,G413)+IF(K413="",0,K413)-1)</f>
        <v/>
      </c>
      <c r="M413" s="72" t="n"/>
      <c r="N413" s="109" t="n"/>
      <c r="O413" s="127">
        <f>IF(D413="","",COUNTIF($H$7:$H$1006,B413))</f>
        <v/>
      </c>
      <c r="P413" s="78">
        <f>IF(D413="","",IF(AND(H413&lt;&gt;"",H413&gt;=B413),"⚠️ Predecessor must be above",IF(M413="Done","✓ Done",IF(Q413=3,"🔴 Late",IF(M413="In progress","In progress","")))))</f>
        <v/>
      </c>
      <c r="Q413" s="79">
        <f>IF(OR(D413="",L413=""),"",IF(M413="Done",2,IF(AsOf&gt;L413,3,1)))</f>
        <v/>
      </c>
      <c r="R413" s="79">
        <f>IF(OR(E413="",F413=""),0,IF(COUNTIFS($E$7:E413,E413,$F$7:F413,F413)=1,1,0))</f>
        <v/>
      </c>
      <c r="S413" s="79">
        <f>IF(R413=1,E413&amp;"|"&amp;SUMIFS($R$7:R413,$E$7:E413,E413),"")</f>
        <v/>
      </c>
      <c r="T413" s="112">
        <f>IF(Q413="","",IF(Q413=3,L413,IF(OR(M413="Not started",M413=""),J413,"")))</f>
        <v/>
      </c>
      <c r="U413" s="79">
        <f>IF(T413="","",IF(Q413=3,1,IF(T413="","",IF(T413&lt;AsOf,1,IF(T413&lt;=AsOf+AlertDays,2,IF(T413&lt;=AsOf+2*AlertDays,3,""))))))</f>
        <v/>
      </c>
      <c r="V413" s="79">
        <f>IF(U413="","",IF(Q413=3,"Late task: "&amp;D413,IF(T413&lt;AsOf,"Should have started: ","Starts soon: ")&amp;D413)&amp;IF(F413="",""," — "&amp;F413))</f>
        <v/>
      </c>
    </row>
    <row r="414" ht="20" customHeight="1">
      <c r="B414" s="125" t="n">
        <v>408</v>
      </c>
      <c r="C414" s="72" t="n"/>
      <c r="D414" s="72" t="n"/>
      <c r="E414" s="72" t="n"/>
      <c r="F414" s="72" t="n"/>
      <c r="G414" s="89" t="n"/>
      <c r="H414" s="89" t="n"/>
      <c r="I414" s="109" t="n"/>
      <c r="J414" s="126">
        <f>IF(OR(D414="",ProjStart=""),"",MAX(ProjStart,IF(I414&lt;&gt;"",I414,0),IF(H414="",0,IFERROR(INDEX($L$6:L413,MATCH(H414,$B$6:B413,0))+1,0))))</f>
        <v/>
      </c>
      <c r="K414" s="89" t="n"/>
      <c r="L414" s="126">
        <f>IF(J414="","",J414+MAX(1,G414)+IF(K414="",0,K414)-1)</f>
        <v/>
      </c>
      <c r="M414" s="72" t="n"/>
      <c r="N414" s="109" t="n"/>
      <c r="O414" s="127">
        <f>IF(D414="","",COUNTIF($H$7:$H$1006,B414))</f>
        <v/>
      </c>
      <c r="P414" s="78">
        <f>IF(D414="","",IF(AND(H414&lt;&gt;"",H414&gt;=B414),"⚠️ Predecessor must be above",IF(M414="Done","✓ Done",IF(Q414=3,"🔴 Late",IF(M414="In progress","In progress","")))))</f>
        <v/>
      </c>
      <c r="Q414" s="79">
        <f>IF(OR(D414="",L414=""),"",IF(M414="Done",2,IF(AsOf&gt;L414,3,1)))</f>
        <v/>
      </c>
      <c r="R414" s="79">
        <f>IF(OR(E414="",F414=""),0,IF(COUNTIFS($E$7:E414,E414,$F$7:F414,F414)=1,1,0))</f>
        <v/>
      </c>
      <c r="S414" s="79">
        <f>IF(R414=1,E414&amp;"|"&amp;SUMIFS($R$7:R414,$E$7:E414,E414),"")</f>
        <v/>
      </c>
      <c r="T414" s="112">
        <f>IF(Q414="","",IF(Q414=3,L414,IF(OR(M414="Not started",M414=""),J414,"")))</f>
        <v/>
      </c>
      <c r="U414" s="79">
        <f>IF(T414="","",IF(Q414=3,1,IF(T414="","",IF(T414&lt;AsOf,1,IF(T414&lt;=AsOf+AlertDays,2,IF(T414&lt;=AsOf+2*AlertDays,3,""))))))</f>
        <v/>
      </c>
      <c r="V414" s="79">
        <f>IF(U414="","",IF(Q414=3,"Late task: "&amp;D414,IF(T414&lt;AsOf,"Should have started: ","Starts soon: ")&amp;D414)&amp;IF(F414="",""," — "&amp;F414))</f>
        <v/>
      </c>
    </row>
    <row r="415" ht="20" customHeight="1">
      <c r="B415" s="125" t="n">
        <v>409</v>
      </c>
      <c r="C415" s="72" t="n"/>
      <c r="D415" s="72" t="n"/>
      <c r="E415" s="72" t="n"/>
      <c r="F415" s="72" t="n"/>
      <c r="G415" s="89" t="n"/>
      <c r="H415" s="89" t="n"/>
      <c r="I415" s="109" t="n"/>
      <c r="J415" s="126">
        <f>IF(OR(D415="",ProjStart=""),"",MAX(ProjStart,IF(I415&lt;&gt;"",I415,0),IF(H415="",0,IFERROR(INDEX($L$6:L414,MATCH(H415,$B$6:B414,0))+1,0))))</f>
        <v/>
      </c>
      <c r="K415" s="89" t="n"/>
      <c r="L415" s="126">
        <f>IF(J415="","",J415+MAX(1,G415)+IF(K415="",0,K415)-1)</f>
        <v/>
      </c>
      <c r="M415" s="72" t="n"/>
      <c r="N415" s="109" t="n"/>
      <c r="O415" s="127">
        <f>IF(D415="","",COUNTIF($H$7:$H$1006,B415))</f>
        <v/>
      </c>
      <c r="P415" s="78">
        <f>IF(D415="","",IF(AND(H415&lt;&gt;"",H415&gt;=B415),"⚠️ Predecessor must be above",IF(M415="Done","✓ Done",IF(Q415=3,"🔴 Late",IF(M415="In progress","In progress","")))))</f>
        <v/>
      </c>
      <c r="Q415" s="79">
        <f>IF(OR(D415="",L415=""),"",IF(M415="Done",2,IF(AsOf&gt;L415,3,1)))</f>
        <v/>
      </c>
      <c r="R415" s="79">
        <f>IF(OR(E415="",F415=""),0,IF(COUNTIFS($E$7:E415,E415,$F$7:F415,F415)=1,1,0))</f>
        <v/>
      </c>
      <c r="S415" s="79">
        <f>IF(R415=1,E415&amp;"|"&amp;SUMIFS($R$7:R415,$E$7:E415,E415),"")</f>
        <v/>
      </c>
      <c r="T415" s="112">
        <f>IF(Q415="","",IF(Q415=3,L415,IF(OR(M415="Not started",M415=""),J415,"")))</f>
        <v/>
      </c>
      <c r="U415" s="79">
        <f>IF(T415="","",IF(Q415=3,1,IF(T415="","",IF(T415&lt;AsOf,1,IF(T415&lt;=AsOf+AlertDays,2,IF(T415&lt;=AsOf+2*AlertDays,3,""))))))</f>
        <v/>
      </c>
      <c r="V415" s="79">
        <f>IF(U415="","",IF(Q415=3,"Late task: "&amp;D415,IF(T415&lt;AsOf,"Should have started: ","Starts soon: ")&amp;D415)&amp;IF(F415="",""," — "&amp;F415))</f>
        <v/>
      </c>
    </row>
    <row r="416" ht="20" customHeight="1">
      <c r="B416" s="125" t="n">
        <v>410</v>
      </c>
      <c r="C416" s="72" t="n"/>
      <c r="D416" s="72" t="n"/>
      <c r="E416" s="72" t="n"/>
      <c r="F416" s="72" t="n"/>
      <c r="G416" s="89" t="n"/>
      <c r="H416" s="89" t="n"/>
      <c r="I416" s="109" t="n"/>
      <c r="J416" s="126">
        <f>IF(OR(D416="",ProjStart=""),"",MAX(ProjStart,IF(I416&lt;&gt;"",I416,0),IF(H416="",0,IFERROR(INDEX($L$6:L415,MATCH(H416,$B$6:B415,0))+1,0))))</f>
        <v/>
      </c>
      <c r="K416" s="89" t="n"/>
      <c r="L416" s="126">
        <f>IF(J416="","",J416+MAX(1,G416)+IF(K416="",0,K416)-1)</f>
        <v/>
      </c>
      <c r="M416" s="72" t="n"/>
      <c r="N416" s="109" t="n"/>
      <c r="O416" s="127">
        <f>IF(D416="","",COUNTIF($H$7:$H$1006,B416))</f>
        <v/>
      </c>
      <c r="P416" s="78">
        <f>IF(D416="","",IF(AND(H416&lt;&gt;"",H416&gt;=B416),"⚠️ Predecessor must be above",IF(M416="Done","✓ Done",IF(Q416=3,"🔴 Late",IF(M416="In progress","In progress","")))))</f>
        <v/>
      </c>
      <c r="Q416" s="79">
        <f>IF(OR(D416="",L416=""),"",IF(M416="Done",2,IF(AsOf&gt;L416,3,1)))</f>
        <v/>
      </c>
      <c r="R416" s="79">
        <f>IF(OR(E416="",F416=""),0,IF(COUNTIFS($E$7:E416,E416,$F$7:F416,F416)=1,1,0))</f>
        <v/>
      </c>
      <c r="S416" s="79">
        <f>IF(R416=1,E416&amp;"|"&amp;SUMIFS($R$7:R416,$E$7:E416,E416),"")</f>
        <v/>
      </c>
      <c r="T416" s="112">
        <f>IF(Q416="","",IF(Q416=3,L416,IF(OR(M416="Not started",M416=""),J416,"")))</f>
        <v/>
      </c>
      <c r="U416" s="79">
        <f>IF(T416="","",IF(Q416=3,1,IF(T416="","",IF(T416&lt;AsOf,1,IF(T416&lt;=AsOf+AlertDays,2,IF(T416&lt;=AsOf+2*AlertDays,3,""))))))</f>
        <v/>
      </c>
      <c r="V416" s="79">
        <f>IF(U416="","",IF(Q416=3,"Late task: "&amp;D416,IF(T416&lt;AsOf,"Should have started: ","Starts soon: ")&amp;D416)&amp;IF(F416="",""," — "&amp;F416))</f>
        <v/>
      </c>
    </row>
    <row r="417" ht="20" customHeight="1">
      <c r="B417" s="125" t="n">
        <v>411</v>
      </c>
      <c r="C417" s="72" t="n"/>
      <c r="D417" s="72" t="n"/>
      <c r="E417" s="72" t="n"/>
      <c r="F417" s="72" t="n"/>
      <c r="G417" s="89" t="n"/>
      <c r="H417" s="89" t="n"/>
      <c r="I417" s="109" t="n"/>
      <c r="J417" s="126">
        <f>IF(OR(D417="",ProjStart=""),"",MAX(ProjStart,IF(I417&lt;&gt;"",I417,0),IF(H417="",0,IFERROR(INDEX($L$6:L416,MATCH(H417,$B$6:B416,0))+1,0))))</f>
        <v/>
      </c>
      <c r="K417" s="89" t="n"/>
      <c r="L417" s="126">
        <f>IF(J417="","",J417+MAX(1,G417)+IF(K417="",0,K417)-1)</f>
        <v/>
      </c>
      <c r="M417" s="72" t="n"/>
      <c r="N417" s="109" t="n"/>
      <c r="O417" s="127">
        <f>IF(D417="","",COUNTIF($H$7:$H$1006,B417))</f>
        <v/>
      </c>
      <c r="P417" s="78">
        <f>IF(D417="","",IF(AND(H417&lt;&gt;"",H417&gt;=B417),"⚠️ Predecessor must be above",IF(M417="Done","✓ Done",IF(Q417=3,"🔴 Late",IF(M417="In progress","In progress","")))))</f>
        <v/>
      </c>
      <c r="Q417" s="79">
        <f>IF(OR(D417="",L417=""),"",IF(M417="Done",2,IF(AsOf&gt;L417,3,1)))</f>
        <v/>
      </c>
      <c r="R417" s="79">
        <f>IF(OR(E417="",F417=""),0,IF(COUNTIFS($E$7:E417,E417,$F$7:F417,F417)=1,1,0))</f>
        <v/>
      </c>
      <c r="S417" s="79">
        <f>IF(R417=1,E417&amp;"|"&amp;SUMIFS($R$7:R417,$E$7:E417,E417),"")</f>
        <v/>
      </c>
      <c r="T417" s="112">
        <f>IF(Q417="","",IF(Q417=3,L417,IF(OR(M417="Not started",M417=""),J417,"")))</f>
        <v/>
      </c>
      <c r="U417" s="79">
        <f>IF(T417="","",IF(Q417=3,1,IF(T417="","",IF(T417&lt;AsOf,1,IF(T417&lt;=AsOf+AlertDays,2,IF(T417&lt;=AsOf+2*AlertDays,3,""))))))</f>
        <v/>
      </c>
      <c r="V417" s="79">
        <f>IF(U417="","",IF(Q417=3,"Late task: "&amp;D417,IF(T417&lt;AsOf,"Should have started: ","Starts soon: ")&amp;D417)&amp;IF(F417="",""," — "&amp;F417))</f>
        <v/>
      </c>
    </row>
    <row r="418" ht="20" customHeight="1">
      <c r="B418" s="125" t="n">
        <v>412</v>
      </c>
      <c r="C418" s="72" t="n"/>
      <c r="D418" s="72" t="n"/>
      <c r="E418" s="72" t="n"/>
      <c r="F418" s="72" t="n"/>
      <c r="G418" s="89" t="n"/>
      <c r="H418" s="89" t="n"/>
      <c r="I418" s="109" t="n"/>
      <c r="J418" s="126">
        <f>IF(OR(D418="",ProjStart=""),"",MAX(ProjStart,IF(I418&lt;&gt;"",I418,0),IF(H418="",0,IFERROR(INDEX($L$6:L417,MATCH(H418,$B$6:B417,0))+1,0))))</f>
        <v/>
      </c>
      <c r="K418" s="89" t="n"/>
      <c r="L418" s="126">
        <f>IF(J418="","",J418+MAX(1,G418)+IF(K418="",0,K418)-1)</f>
        <v/>
      </c>
      <c r="M418" s="72" t="n"/>
      <c r="N418" s="109" t="n"/>
      <c r="O418" s="127">
        <f>IF(D418="","",COUNTIF($H$7:$H$1006,B418))</f>
        <v/>
      </c>
      <c r="P418" s="78">
        <f>IF(D418="","",IF(AND(H418&lt;&gt;"",H418&gt;=B418),"⚠️ Predecessor must be above",IF(M418="Done","✓ Done",IF(Q418=3,"🔴 Late",IF(M418="In progress","In progress","")))))</f>
        <v/>
      </c>
      <c r="Q418" s="79">
        <f>IF(OR(D418="",L418=""),"",IF(M418="Done",2,IF(AsOf&gt;L418,3,1)))</f>
        <v/>
      </c>
      <c r="R418" s="79">
        <f>IF(OR(E418="",F418=""),0,IF(COUNTIFS($E$7:E418,E418,$F$7:F418,F418)=1,1,0))</f>
        <v/>
      </c>
      <c r="S418" s="79">
        <f>IF(R418=1,E418&amp;"|"&amp;SUMIFS($R$7:R418,$E$7:E418,E418),"")</f>
        <v/>
      </c>
      <c r="T418" s="112">
        <f>IF(Q418="","",IF(Q418=3,L418,IF(OR(M418="Not started",M418=""),J418,"")))</f>
        <v/>
      </c>
      <c r="U418" s="79">
        <f>IF(T418="","",IF(Q418=3,1,IF(T418="","",IF(T418&lt;AsOf,1,IF(T418&lt;=AsOf+AlertDays,2,IF(T418&lt;=AsOf+2*AlertDays,3,""))))))</f>
        <v/>
      </c>
      <c r="V418" s="79">
        <f>IF(U418="","",IF(Q418=3,"Late task: "&amp;D418,IF(T418&lt;AsOf,"Should have started: ","Starts soon: ")&amp;D418)&amp;IF(F418="",""," — "&amp;F418))</f>
        <v/>
      </c>
    </row>
    <row r="419" ht="20" customHeight="1">
      <c r="B419" s="125" t="n">
        <v>413</v>
      </c>
      <c r="C419" s="72" t="n"/>
      <c r="D419" s="72" t="n"/>
      <c r="E419" s="72" t="n"/>
      <c r="F419" s="72" t="n"/>
      <c r="G419" s="89" t="n"/>
      <c r="H419" s="89" t="n"/>
      <c r="I419" s="109" t="n"/>
      <c r="J419" s="126">
        <f>IF(OR(D419="",ProjStart=""),"",MAX(ProjStart,IF(I419&lt;&gt;"",I419,0),IF(H419="",0,IFERROR(INDEX($L$6:L418,MATCH(H419,$B$6:B418,0))+1,0))))</f>
        <v/>
      </c>
      <c r="K419" s="89" t="n"/>
      <c r="L419" s="126">
        <f>IF(J419="","",J419+MAX(1,G419)+IF(K419="",0,K419)-1)</f>
        <v/>
      </c>
      <c r="M419" s="72" t="n"/>
      <c r="N419" s="109" t="n"/>
      <c r="O419" s="127">
        <f>IF(D419="","",COUNTIF($H$7:$H$1006,B419))</f>
        <v/>
      </c>
      <c r="P419" s="78">
        <f>IF(D419="","",IF(AND(H419&lt;&gt;"",H419&gt;=B419),"⚠️ Predecessor must be above",IF(M419="Done","✓ Done",IF(Q419=3,"🔴 Late",IF(M419="In progress","In progress","")))))</f>
        <v/>
      </c>
      <c r="Q419" s="79">
        <f>IF(OR(D419="",L419=""),"",IF(M419="Done",2,IF(AsOf&gt;L419,3,1)))</f>
        <v/>
      </c>
      <c r="R419" s="79">
        <f>IF(OR(E419="",F419=""),0,IF(COUNTIFS($E$7:E419,E419,$F$7:F419,F419)=1,1,0))</f>
        <v/>
      </c>
      <c r="S419" s="79">
        <f>IF(R419=1,E419&amp;"|"&amp;SUMIFS($R$7:R419,$E$7:E419,E419),"")</f>
        <v/>
      </c>
      <c r="T419" s="112">
        <f>IF(Q419="","",IF(Q419=3,L419,IF(OR(M419="Not started",M419=""),J419,"")))</f>
        <v/>
      </c>
      <c r="U419" s="79">
        <f>IF(T419="","",IF(Q419=3,1,IF(T419="","",IF(T419&lt;AsOf,1,IF(T419&lt;=AsOf+AlertDays,2,IF(T419&lt;=AsOf+2*AlertDays,3,""))))))</f>
        <v/>
      </c>
      <c r="V419" s="79">
        <f>IF(U419="","",IF(Q419=3,"Late task: "&amp;D419,IF(T419&lt;AsOf,"Should have started: ","Starts soon: ")&amp;D419)&amp;IF(F419="",""," — "&amp;F419))</f>
        <v/>
      </c>
    </row>
    <row r="420" ht="20" customHeight="1">
      <c r="B420" s="125" t="n">
        <v>414</v>
      </c>
      <c r="C420" s="72" t="n"/>
      <c r="D420" s="72" t="n"/>
      <c r="E420" s="72" t="n"/>
      <c r="F420" s="72" t="n"/>
      <c r="G420" s="89" t="n"/>
      <c r="H420" s="89" t="n"/>
      <c r="I420" s="109" t="n"/>
      <c r="J420" s="126">
        <f>IF(OR(D420="",ProjStart=""),"",MAX(ProjStart,IF(I420&lt;&gt;"",I420,0),IF(H420="",0,IFERROR(INDEX($L$6:L419,MATCH(H420,$B$6:B419,0))+1,0))))</f>
        <v/>
      </c>
      <c r="K420" s="89" t="n"/>
      <c r="L420" s="126">
        <f>IF(J420="","",J420+MAX(1,G420)+IF(K420="",0,K420)-1)</f>
        <v/>
      </c>
      <c r="M420" s="72" t="n"/>
      <c r="N420" s="109" t="n"/>
      <c r="O420" s="127">
        <f>IF(D420="","",COUNTIF($H$7:$H$1006,B420))</f>
        <v/>
      </c>
      <c r="P420" s="78">
        <f>IF(D420="","",IF(AND(H420&lt;&gt;"",H420&gt;=B420),"⚠️ Predecessor must be above",IF(M420="Done","✓ Done",IF(Q420=3,"🔴 Late",IF(M420="In progress","In progress","")))))</f>
        <v/>
      </c>
      <c r="Q420" s="79">
        <f>IF(OR(D420="",L420=""),"",IF(M420="Done",2,IF(AsOf&gt;L420,3,1)))</f>
        <v/>
      </c>
      <c r="R420" s="79">
        <f>IF(OR(E420="",F420=""),0,IF(COUNTIFS($E$7:E420,E420,$F$7:F420,F420)=1,1,0))</f>
        <v/>
      </c>
      <c r="S420" s="79">
        <f>IF(R420=1,E420&amp;"|"&amp;SUMIFS($R$7:R420,$E$7:E420,E420),"")</f>
        <v/>
      </c>
      <c r="T420" s="112">
        <f>IF(Q420="","",IF(Q420=3,L420,IF(OR(M420="Not started",M420=""),J420,"")))</f>
        <v/>
      </c>
      <c r="U420" s="79">
        <f>IF(T420="","",IF(Q420=3,1,IF(T420="","",IF(T420&lt;AsOf,1,IF(T420&lt;=AsOf+AlertDays,2,IF(T420&lt;=AsOf+2*AlertDays,3,""))))))</f>
        <v/>
      </c>
      <c r="V420" s="79">
        <f>IF(U420="","",IF(Q420=3,"Late task: "&amp;D420,IF(T420&lt;AsOf,"Should have started: ","Starts soon: ")&amp;D420)&amp;IF(F420="",""," — "&amp;F420))</f>
        <v/>
      </c>
    </row>
    <row r="421" ht="20" customHeight="1">
      <c r="B421" s="125" t="n">
        <v>415</v>
      </c>
      <c r="C421" s="72" t="n"/>
      <c r="D421" s="72" t="n"/>
      <c r="E421" s="72" t="n"/>
      <c r="F421" s="72" t="n"/>
      <c r="G421" s="89" t="n"/>
      <c r="H421" s="89" t="n"/>
      <c r="I421" s="109" t="n"/>
      <c r="J421" s="126">
        <f>IF(OR(D421="",ProjStart=""),"",MAX(ProjStart,IF(I421&lt;&gt;"",I421,0),IF(H421="",0,IFERROR(INDEX($L$6:L420,MATCH(H421,$B$6:B420,0))+1,0))))</f>
        <v/>
      </c>
      <c r="K421" s="89" t="n"/>
      <c r="L421" s="126">
        <f>IF(J421="","",J421+MAX(1,G421)+IF(K421="",0,K421)-1)</f>
        <v/>
      </c>
      <c r="M421" s="72" t="n"/>
      <c r="N421" s="109" t="n"/>
      <c r="O421" s="127">
        <f>IF(D421="","",COUNTIF($H$7:$H$1006,B421))</f>
        <v/>
      </c>
      <c r="P421" s="78">
        <f>IF(D421="","",IF(AND(H421&lt;&gt;"",H421&gt;=B421),"⚠️ Predecessor must be above",IF(M421="Done","✓ Done",IF(Q421=3,"🔴 Late",IF(M421="In progress","In progress","")))))</f>
        <v/>
      </c>
      <c r="Q421" s="79">
        <f>IF(OR(D421="",L421=""),"",IF(M421="Done",2,IF(AsOf&gt;L421,3,1)))</f>
        <v/>
      </c>
      <c r="R421" s="79">
        <f>IF(OR(E421="",F421=""),0,IF(COUNTIFS($E$7:E421,E421,$F$7:F421,F421)=1,1,0))</f>
        <v/>
      </c>
      <c r="S421" s="79">
        <f>IF(R421=1,E421&amp;"|"&amp;SUMIFS($R$7:R421,$E$7:E421,E421),"")</f>
        <v/>
      </c>
      <c r="T421" s="112">
        <f>IF(Q421="","",IF(Q421=3,L421,IF(OR(M421="Not started",M421=""),J421,"")))</f>
        <v/>
      </c>
      <c r="U421" s="79">
        <f>IF(T421="","",IF(Q421=3,1,IF(T421="","",IF(T421&lt;AsOf,1,IF(T421&lt;=AsOf+AlertDays,2,IF(T421&lt;=AsOf+2*AlertDays,3,""))))))</f>
        <v/>
      </c>
      <c r="V421" s="79">
        <f>IF(U421="","",IF(Q421=3,"Late task: "&amp;D421,IF(T421&lt;AsOf,"Should have started: ","Starts soon: ")&amp;D421)&amp;IF(F421="",""," — "&amp;F421))</f>
        <v/>
      </c>
    </row>
    <row r="422" ht="20" customHeight="1">
      <c r="B422" s="125" t="n">
        <v>416</v>
      </c>
      <c r="C422" s="72" t="n"/>
      <c r="D422" s="72" t="n"/>
      <c r="E422" s="72" t="n"/>
      <c r="F422" s="72" t="n"/>
      <c r="G422" s="89" t="n"/>
      <c r="H422" s="89" t="n"/>
      <c r="I422" s="109" t="n"/>
      <c r="J422" s="126">
        <f>IF(OR(D422="",ProjStart=""),"",MAX(ProjStart,IF(I422&lt;&gt;"",I422,0),IF(H422="",0,IFERROR(INDEX($L$6:L421,MATCH(H422,$B$6:B421,0))+1,0))))</f>
        <v/>
      </c>
      <c r="K422" s="89" t="n"/>
      <c r="L422" s="126">
        <f>IF(J422="","",J422+MAX(1,G422)+IF(K422="",0,K422)-1)</f>
        <v/>
      </c>
      <c r="M422" s="72" t="n"/>
      <c r="N422" s="109" t="n"/>
      <c r="O422" s="127">
        <f>IF(D422="","",COUNTIF($H$7:$H$1006,B422))</f>
        <v/>
      </c>
      <c r="P422" s="78">
        <f>IF(D422="","",IF(AND(H422&lt;&gt;"",H422&gt;=B422),"⚠️ Predecessor must be above",IF(M422="Done","✓ Done",IF(Q422=3,"🔴 Late",IF(M422="In progress","In progress","")))))</f>
        <v/>
      </c>
      <c r="Q422" s="79">
        <f>IF(OR(D422="",L422=""),"",IF(M422="Done",2,IF(AsOf&gt;L422,3,1)))</f>
        <v/>
      </c>
      <c r="R422" s="79">
        <f>IF(OR(E422="",F422=""),0,IF(COUNTIFS($E$7:E422,E422,$F$7:F422,F422)=1,1,0))</f>
        <v/>
      </c>
      <c r="S422" s="79">
        <f>IF(R422=1,E422&amp;"|"&amp;SUMIFS($R$7:R422,$E$7:E422,E422),"")</f>
        <v/>
      </c>
      <c r="T422" s="112">
        <f>IF(Q422="","",IF(Q422=3,L422,IF(OR(M422="Not started",M422=""),J422,"")))</f>
        <v/>
      </c>
      <c r="U422" s="79">
        <f>IF(T422="","",IF(Q422=3,1,IF(T422="","",IF(T422&lt;AsOf,1,IF(T422&lt;=AsOf+AlertDays,2,IF(T422&lt;=AsOf+2*AlertDays,3,""))))))</f>
        <v/>
      </c>
      <c r="V422" s="79">
        <f>IF(U422="","",IF(Q422=3,"Late task: "&amp;D422,IF(T422&lt;AsOf,"Should have started: ","Starts soon: ")&amp;D422)&amp;IF(F422="",""," — "&amp;F422))</f>
        <v/>
      </c>
    </row>
    <row r="423" ht="20" customHeight="1">
      <c r="B423" s="125" t="n">
        <v>417</v>
      </c>
      <c r="C423" s="72" t="n"/>
      <c r="D423" s="72" t="n"/>
      <c r="E423" s="72" t="n"/>
      <c r="F423" s="72" t="n"/>
      <c r="G423" s="89" t="n"/>
      <c r="H423" s="89" t="n"/>
      <c r="I423" s="109" t="n"/>
      <c r="J423" s="126">
        <f>IF(OR(D423="",ProjStart=""),"",MAX(ProjStart,IF(I423&lt;&gt;"",I423,0),IF(H423="",0,IFERROR(INDEX($L$6:L422,MATCH(H423,$B$6:B422,0))+1,0))))</f>
        <v/>
      </c>
      <c r="K423" s="89" t="n"/>
      <c r="L423" s="126">
        <f>IF(J423="","",J423+MAX(1,G423)+IF(K423="",0,K423)-1)</f>
        <v/>
      </c>
      <c r="M423" s="72" t="n"/>
      <c r="N423" s="109" t="n"/>
      <c r="O423" s="127">
        <f>IF(D423="","",COUNTIF($H$7:$H$1006,B423))</f>
        <v/>
      </c>
      <c r="P423" s="78">
        <f>IF(D423="","",IF(AND(H423&lt;&gt;"",H423&gt;=B423),"⚠️ Predecessor must be above",IF(M423="Done","✓ Done",IF(Q423=3,"🔴 Late",IF(M423="In progress","In progress","")))))</f>
        <v/>
      </c>
      <c r="Q423" s="79">
        <f>IF(OR(D423="",L423=""),"",IF(M423="Done",2,IF(AsOf&gt;L423,3,1)))</f>
        <v/>
      </c>
      <c r="R423" s="79">
        <f>IF(OR(E423="",F423=""),0,IF(COUNTIFS($E$7:E423,E423,$F$7:F423,F423)=1,1,0))</f>
        <v/>
      </c>
      <c r="S423" s="79">
        <f>IF(R423=1,E423&amp;"|"&amp;SUMIFS($R$7:R423,$E$7:E423,E423),"")</f>
        <v/>
      </c>
      <c r="T423" s="112">
        <f>IF(Q423="","",IF(Q423=3,L423,IF(OR(M423="Not started",M423=""),J423,"")))</f>
        <v/>
      </c>
      <c r="U423" s="79">
        <f>IF(T423="","",IF(Q423=3,1,IF(T423="","",IF(T423&lt;AsOf,1,IF(T423&lt;=AsOf+AlertDays,2,IF(T423&lt;=AsOf+2*AlertDays,3,""))))))</f>
        <v/>
      </c>
      <c r="V423" s="79">
        <f>IF(U423="","",IF(Q423=3,"Late task: "&amp;D423,IF(T423&lt;AsOf,"Should have started: ","Starts soon: ")&amp;D423)&amp;IF(F423="",""," — "&amp;F423))</f>
        <v/>
      </c>
    </row>
    <row r="424" ht="20" customHeight="1">
      <c r="B424" s="125" t="n">
        <v>418</v>
      </c>
      <c r="C424" s="72" t="n"/>
      <c r="D424" s="72" t="n"/>
      <c r="E424" s="72" t="n"/>
      <c r="F424" s="72" t="n"/>
      <c r="G424" s="89" t="n"/>
      <c r="H424" s="89" t="n"/>
      <c r="I424" s="109" t="n"/>
      <c r="J424" s="126">
        <f>IF(OR(D424="",ProjStart=""),"",MAX(ProjStart,IF(I424&lt;&gt;"",I424,0),IF(H424="",0,IFERROR(INDEX($L$6:L423,MATCH(H424,$B$6:B423,0))+1,0))))</f>
        <v/>
      </c>
      <c r="K424" s="89" t="n"/>
      <c r="L424" s="126">
        <f>IF(J424="","",J424+MAX(1,G424)+IF(K424="",0,K424)-1)</f>
        <v/>
      </c>
      <c r="M424" s="72" t="n"/>
      <c r="N424" s="109" t="n"/>
      <c r="O424" s="127">
        <f>IF(D424="","",COUNTIF($H$7:$H$1006,B424))</f>
        <v/>
      </c>
      <c r="P424" s="78">
        <f>IF(D424="","",IF(AND(H424&lt;&gt;"",H424&gt;=B424),"⚠️ Predecessor must be above",IF(M424="Done","✓ Done",IF(Q424=3,"🔴 Late",IF(M424="In progress","In progress","")))))</f>
        <v/>
      </c>
      <c r="Q424" s="79">
        <f>IF(OR(D424="",L424=""),"",IF(M424="Done",2,IF(AsOf&gt;L424,3,1)))</f>
        <v/>
      </c>
      <c r="R424" s="79">
        <f>IF(OR(E424="",F424=""),0,IF(COUNTIFS($E$7:E424,E424,$F$7:F424,F424)=1,1,0))</f>
        <v/>
      </c>
      <c r="S424" s="79">
        <f>IF(R424=1,E424&amp;"|"&amp;SUMIFS($R$7:R424,$E$7:E424,E424),"")</f>
        <v/>
      </c>
      <c r="T424" s="112">
        <f>IF(Q424="","",IF(Q424=3,L424,IF(OR(M424="Not started",M424=""),J424,"")))</f>
        <v/>
      </c>
      <c r="U424" s="79">
        <f>IF(T424="","",IF(Q424=3,1,IF(T424="","",IF(T424&lt;AsOf,1,IF(T424&lt;=AsOf+AlertDays,2,IF(T424&lt;=AsOf+2*AlertDays,3,""))))))</f>
        <v/>
      </c>
      <c r="V424" s="79">
        <f>IF(U424="","",IF(Q424=3,"Late task: "&amp;D424,IF(T424&lt;AsOf,"Should have started: ","Starts soon: ")&amp;D424)&amp;IF(F424="",""," — "&amp;F424))</f>
        <v/>
      </c>
    </row>
    <row r="425" ht="20" customHeight="1">
      <c r="B425" s="125" t="n">
        <v>419</v>
      </c>
      <c r="C425" s="72" t="n"/>
      <c r="D425" s="72" t="n"/>
      <c r="E425" s="72" t="n"/>
      <c r="F425" s="72" t="n"/>
      <c r="G425" s="89" t="n"/>
      <c r="H425" s="89" t="n"/>
      <c r="I425" s="109" t="n"/>
      <c r="J425" s="126">
        <f>IF(OR(D425="",ProjStart=""),"",MAX(ProjStart,IF(I425&lt;&gt;"",I425,0),IF(H425="",0,IFERROR(INDEX($L$6:L424,MATCH(H425,$B$6:B424,0))+1,0))))</f>
        <v/>
      </c>
      <c r="K425" s="89" t="n"/>
      <c r="L425" s="126">
        <f>IF(J425="","",J425+MAX(1,G425)+IF(K425="",0,K425)-1)</f>
        <v/>
      </c>
      <c r="M425" s="72" t="n"/>
      <c r="N425" s="109" t="n"/>
      <c r="O425" s="127">
        <f>IF(D425="","",COUNTIF($H$7:$H$1006,B425))</f>
        <v/>
      </c>
      <c r="P425" s="78">
        <f>IF(D425="","",IF(AND(H425&lt;&gt;"",H425&gt;=B425),"⚠️ Predecessor must be above",IF(M425="Done","✓ Done",IF(Q425=3,"🔴 Late",IF(M425="In progress","In progress","")))))</f>
        <v/>
      </c>
      <c r="Q425" s="79">
        <f>IF(OR(D425="",L425=""),"",IF(M425="Done",2,IF(AsOf&gt;L425,3,1)))</f>
        <v/>
      </c>
      <c r="R425" s="79">
        <f>IF(OR(E425="",F425=""),0,IF(COUNTIFS($E$7:E425,E425,$F$7:F425,F425)=1,1,0))</f>
        <v/>
      </c>
      <c r="S425" s="79">
        <f>IF(R425=1,E425&amp;"|"&amp;SUMIFS($R$7:R425,$E$7:E425,E425),"")</f>
        <v/>
      </c>
      <c r="T425" s="112">
        <f>IF(Q425="","",IF(Q425=3,L425,IF(OR(M425="Not started",M425=""),J425,"")))</f>
        <v/>
      </c>
      <c r="U425" s="79">
        <f>IF(T425="","",IF(Q425=3,1,IF(T425="","",IF(T425&lt;AsOf,1,IF(T425&lt;=AsOf+AlertDays,2,IF(T425&lt;=AsOf+2*AlertDays,3,""))))))</f>
        <v/>
      </c>
      <c r="V425" s="79">
        <f>IF(U425="","",IF(Q425=3,"Late task: "&amp;D425,IF(T425&lt;AsOf,"Should have started: ","Starts soon: ")&amp;D425)&amp;IF(F425="",""," — "&amp;F425))</f>
        <v/>
      </c>
    </row>
    <row r="426" ht="20" customHeight="1">
      <c r="B426" s="125" t="n">
        <v>420</v>
      </c>
      <c r="C426" s="72" t="n"/>
      <c r="D426" s="72" t="n"/>
      <c r="E426" s="72" t="n"/>
      <c r="F426" s="72" t="n"/>
      <c r="G426" s="89" t="n"/>
      <c r="H426" s="89" t="n"/>
      <c r="I426" s="109" t="n"/>
      <c r="J426" s="126">
        <f>IF(OR(D426="",ProjStart=""),"",MAX(ProjStart,IF(I426&lt;&gt;"",I426,0),IF(H426="",0,IFERROR(INDEX($L$6:L425,MATCH(H426,$B$6:B425,0))+1,0))))</f>
        <v/>
      </c>
      <c r="K426" s="89" t="n"/>
      <c r="L426" s="126">
        <f>IF(J426="","",J426+MAX(1,G426)+IF(K426="",0,K426)-1)</f>
        <v/>
      </c>
      <c r="M426" s="72" t="n"/>
      <c r="N426" s="109" t="n"/>
      <c r="O426" s="127">
        <f>IF(D426="","",COUNTIF($H$7:$H$1006,B426))</f>
        <v/>
      </c>
      <c r="P426" s="78">
        <f>IF(D426="","",IF(AND(H426&lt;&gt;"",H426&gt;=B426),"⚠️ Predecessor must be above",IF(M426="Done","✓ Done",IF(Q426=3,"🔴 Late",IF(M426="In progress","In progress","")))))</f>
        <v/>
      </c>
      <c r="Q426" s="79">
        <f>IF(OR(D426="",L426=""),"",IF(M426="Done",2,IF(AsOf&gt;L426,3,1)))</f>
        <v/>
      </c>
      <c r="R426" s="79">
        <f>IF(OR(E426="",F426=""),0,IF(COUNTIFS($E$7:E426,E426,$F$7:F426,F426)=1,1,0))</f>
        <v/>
      </c>
      <c r="S426" s="79">
        <f>IF(R426=1,E426&amp;"|"&amp;SUMIFS($R$7:R426,$E$7:E426,E426),"")</f>
        <v/>
      </c>
      <c r="T426" s="112">
        <f>IF(Q426="","",IF(Q426=3,L426,IF(OR(M426="Not started",M426=""),J426,"")))</f>
        <v/>
      </c>
      <c r="U426" s="79">
        <f>IF(T426="","",IF(Q426=3,1,IF(T426="","",IF(T426&lt;AsOf,1,IF(T426&lt;=AsOf+AlertDays,2,IF(T426&lt;=AsOf+2*AlertDays,3,""))))))</f>
        <v/>
      </c>
      <c r="V426" s="79">
        <f>IF(U426="","",IF(Q426=3,"Late task: "&amp;D426,IF(T426&lt;AsOf,"Should have started: ","Starts soon: ")&amp;D426)&amp;IF(F426="",""," — "&amp;F426))</f>
        <v/>
      </c>
    </row>
    <row r="427" ht="20" customHeight="1">
      <c r="B427" s="125" t="n">
        <v>421</v>
      </c>
      <c r="C427" s="72" t="n"/>
      <c r="D427" s="72" t="n"/>
      <c r="E427" s="72" t="n"/>
      <c r="F427" s="72" t="n"/>
      <c r="G427" s="89" t="n"/>
      <c r="H427" s="89" t="n"/>
      <c r="I427" s="109" t="n"/>
      <c r="J427" s="126">
        <f>IF(OR(D427="",ProjStart=""),"",MAX(ProjStart,IF(I427&lt;&gt;"",I427,0),IF(H427="",0,IFERROR(INDEX($L$6:L426,MATCH(H427,$B$6:B426,0))+1,0))))</f>
        <v/>
      </c>
      <c r="K427" s="89" t="n"/>
      <c r="L427" s="126">
        <f>IF(J427="","",J427+MAX(1,G427)+IF(K427="",0,K427)-1)</f>
        <v/>
      </c>
      <c r="M427" s="72" t="n"/>
      <c r="N427" s="109" t="n"/>
      <c r="O427" s="127">
        <f>IF(D427="","",COUNTIF($H$7:$H$1006,B427))</f>
        <v/>
      </c>
      <c r="P427" s="78">
        <f>IF(D427="","",IF(AND(H427&lt;&gt;"",H427&gt;=B427),"⚠️ Predecessor must be above",IF(M427="Done","✓ Done",IF(Q427=3,"🔴 Late",IF(M427="In progress","In progress","")))))</f>
        <v/>
      </c>
      <c r="Q427" s="79">
        <f>IF(OR(D427="",L427=""),"",IF(M427="Done",2,IF(AsOf&gt;L427,3,1)))</f>
        <v/>
      </c>
      <c r="R427" s="79">
        <f>IF(OR(E427="",F427=""),0,IF(COUNTIFS($E$7:E427,E427,$F$7:F427,F427)=1,1,0))</f>
        <v/>
      </c>
      <c r="S427" s="79">
        <f>IF(R427=1,E427&amp;"|"&amp;SUMIFS($R$7:R427,$E$7:E427,E427),"")</f>
        <v/>
      </c>
      <c r="T427" s="112">
        <f>IF(Q427="","",IF(Q427=3,L427,IF(OR(M427="Not started",M427=""),J427,"")))</f>
        <v/>
      </c>
      <c r="U427" s="79">
        <f>IF(T427="","",IF(Q427=3,1,IF(T427="","",IF(T427&lt;AsOf,1,IF(T427&lt;=AsOf+AlertDays,2,IF(T427&lt;=AsOf+2*AlertDays,3,""))))))</f>
        <v/>
      </c>
      <c r="V427" s="79">
        <f>IF(U427="","",IF(Q427=3,"Late task: "&amp;D427,IF(T427&lt;AsOf,"Should have started: ","Starts soon: ")&amp;D427)&amp;IF(F427="",""," — "&amp;F427))</f>
        <v/>
      </c>
    </row>
    <row r="428" ht="20" customHeight="1">
      <c r="B428" s="125" t="n">
        <v>422</v>
      </c>
      <c r="C428" s="72" t="n"/>
      <c r="D428" s="72" t="n"/>
      <c r="E428" s="72" t="n"/>
      <c r="F428" s="72" t="n"/>
      <c r="G428" s="89" t="n"/>
      <c r="H428" s="89" t="n"/>
      <c r="I428" s="109" t="n"/>
      <c r="J428" s="126">
        <f>IF(OR(D428="",ProjStart=""),"",MAX(ProjStart,IF(I428&lt;&gt;"",I428,0),IF(H428="",0,IFERROR(INDEX($L$6:L427,MATCH(H428,$B$6:B427,0))+1,0))))</f>
        <v/>
      </c>
      <c r="K428" s="89" t="n"/>
      <c r="L428" s="126">
        <f>IF(J428="","",J428+MAX(1,G428)+IF(K428="",0,K428)-1)</f>
        <v/>
      </c>
      <c r="M428" s="72" t="n"/>
      <c r="N428" s="109" t="n"/>
      <c r="O428" s="127">
        <f>IF(D428="","",COUNTIF($H$7:$H$1006,B428))</f>
        <v/>
      </c>
      <c r="P428" s="78">
        <f>IF(D428="","",IF(AND(H428&lt;&gt;"",H428&gt;=B428),"⚠️ Predecessor must be above",IF(M428="Done","✓ Done",IF(Q428=3,"🔴 Late",IF(M428="In progress","In progress","")))))</f>
        <v/>
      </c>
      <c r="Q428" s="79">
        <f>IF(OR(D428="",L428=""),"",IF(M428="Done",2,IF(AsOf&gt;L428,3,1)))</f>
        <v/>
      </c>
      <c r="R428" s="79">
        <f>IF(OR(E428="",F428=""),0,IF(COUNTIFS($E$7:E428,E428,$F$7:F428,F428)=1,1,0))</f>
        <v/>
      </c>
      <c r="S428" s="79">
        <f>IF(R428=1,E428&amp;"|"&amp;SUMIFS($R$7:R428,$E$7:E428,E428),"")</f>
        <v/>
      </c>
      <c r="T428" s="112">
        <f>IF(Q428="","",IF(Q428=3,L428,IF(OR(M428="Not started",M428=""),J428,"")))</f>
        <v/>
      </c>
      <c r="U428" s="79">
        <f>IF(T428="","",IF(Q428=3,1,IF(T428="","",IF(T428&lt;AsOf,1,IF(T428&lt;=AsOf+AlertDays,2,IF(T428&lt;=AsOf+2*AlertDays,3,""))))))</f>
        <v/>
      </c>
      <c r="V428" s="79">
        <f>IF(U428="","",IF(Q428=3,"Late task: "&amp;D428,IF(T428&lt;AsOf,"Should have started: ","Starts soon: ")&amp;D428)&amp;IF(F428="",""," — "&amp;F428))</f>
        <v/>
      </c>
    </row>
    <row r="429" ht="20" customHeight="1">
      <c r="B429" s="125" t="n">
        <v>423</v>
      </c>
      <c r="C429" s="72" t="n"/>
      <c r="D429" s="72" t="n"/>
      <c r="E429" s="72" t="n"/>
      <c r="F429" s="72" t="n"/>
      <c r="G429" s="89" t="n"/>
      <c r="H429" s="89" t="n"/>
      <c r="I429" s="109" t="n"/>
      <c r="J429" s="126">
        <f>IF(OR(D429="",ProjStart=""),"",MAX(ProjStart,IF(I429&lt;&gt;"",I429,0),IF(H429="",0,IFERROR(INDEX($L$6:L428,MATCH(H429,$B$6:B428,0))+1,0))))</f>
        <v/>
      </c>
      <c r="K429" s="89" t="n"/>
      <c r="L429" s="126">
        <f>IF(J429="","",J429+MAX(1,G429)+IF(K429="",0,K429)-1)</f>
        <v/>
      </c>
      <c r="M429" s="72" t="n"/>
      <c r="N429" s="109" t="n"/>
      <c r="O429" s="127">
        <f>IF(D429="","",COUNTIF($H$7:$H$1006,B429))</f>
        <v/>
      </c>
      <c r="P429" s="78">
        <f>IF(D429="","",IF(AND(H429&lt;&gt;"",H429&gt;=B429),"⚠️ Predecessor must be above",IF(M429="Done","✓ Done",IF(Q429=3,"🔴 Late",IF(M429="In progress","In progress","")))))</f>
        <v/>
      </c>
      <c r="Q429" s="79">
        <f>IF(OR(D429="",L429=""),"",IF(M429="Done",2,IF(AsOf&gt;L429,3,1)))</f>
        <v/>
      </c>
      <c r="R429" s="79">
        <f>IF(OR(E429="",F429=""),0,IF(COUNTIFS($E$7:E429,E429,$F$7:F429,F429)=1,1,0))</f>
        <v/>
      </c>
      <c r="S429" s="79">
        <f>IF(R429=1,E429&amp;"|"&amp;SUMIFS($R$7:R429,$E$7:E429,E429),"")</f>
        <v/>
      </c>
      <c r="T429" s="112">
        <f>IF(Q429="","",IF(Q429=3,L429,IF(OR(M429="Not started",M429=""),J429,"")))</f>
        <v/>
      </c>
      <c r="U429" s="79">
        <f>IF(T429="","",IF(Q429=3,1,IF(T429="","",IF(T429&lt;AsOf,1,IF(T429&lt;=AsOf+AlertDays,2,IF(T429&lt;=AsOf+2*AlertDays,3,""))))))</f>
        <v/>
      </c>
      <c r="V429" s="79">
        <f>IF(U429="","",IF(Q429=3,"Late task: "&amp;D429,IF(T429&lt;AsOf,"Should have started: ","Starts soon: ")&amp;D429)&amp;IF(F429="",""," — "&amp;F429))</f>
        <v/>
      </c>
    </row>
    <row r="430" ht="20" customHeight="1">
      <c r="B430" s="125" t="n">
        <v>424</v>
      </c>
      <c r="C430" s="72" t="n"/>
      <c r="D430" s="72" t="n"/>
      <c r="E430" s="72" t="n"/>
      <c r="F430" s="72" t="n"/>
      <c r="G430" s="89" t="n"/>
      <c r="H430" s="89" t="n"/>
      <c r="I430" s="109" t="n"/>
      <c r="J430" s="126">
        <f>IF(OR(D430="",ProjStart=""),"",MAX(ProjStart,IF(I430&lt;&gt;"",I430,0),IF(H430="",0,IFERROR(INDEX($L$6:L429,MATCH(H430,$B$6:B429,0))+1,0))))</f>
        <v/>
      </c>
      <c r="K430" s="89" t="n"/>
      <c r="L430" s="126">
        <f>IF(J430="","",J430+MAX(1,G430)+IF(K430="",0,K430)-1)</f>
        <v/>
      </c>
      <c r="M430" s="72" t="n"/>
      <c r="N430" s="109" t="n"/>
      <c r="O430" s="127">
        <f>IF(D430="","",COUNTIF($H$7:$H$1006,B430))</f>
        <v/>
      </c>
      <c r="P430" s="78">
        <f>IF(D430="","",IF(AND(H430&lt;&gt;"",H430&gt;=B430),"⚠️ Predecessor must be above",IF(M430="Done","✓ Done",IF(Q430=3,"🔴 Late",IF(M430="In progress","In progress","")))))</f>
        <v/>
      </c>
      <c r="Q430" s="79">
        <f>IF(OR(D430="",L430=""),"",IF(M430="Done",2,IF(AsOf&gt;L430,3,1)))</f>
        <v/>
      </c>
      <c r="R430" s="79">
        <f>IF(OR(E430="",F430=""),0,IF(COUNTIFS($E$7:E430,E430,$F$7:F430,F430)=1,1,0))</f>
        <v/>
      </c>
      <c r="S430" s="79">
        <f>IF(R430=1,E430&amp;"|"&amp;SUMIFS($R$7:R430,$E$7:E430,E430),"")</f>
        <v/>
      </c>
      <c r="T430" s="112">
        <f>IF(Q430="","",IF(Q430=3,L430,IF(OR(M430="Not started",M430=""),J430,"")))</f>
        <v/>
      </c>
      <c r="U430" s="79">
        <f>IF(T430="","",IF(Q430=3,1,IF(T430="","",IF(T430&lt;AsOf,1,IF(T430&lt;=AsOf+AlertDays,2,IF(T430&lt;=AsOf+2*AlertDays,3,""))))))</f>
        <v/>
      </c>
      <c r="V430" s="79">
        <f>IF(U430="","",IF(Q430=3,"Late task: "&amp;D430,IF(T430&lt;AsOf,"Should have started: ","Starts soon: ")&amp;D430)&amp;IF(F430="",""," — "&amp;F430))</f>
        <v/>
      </c>
    </row>
    <row r="431" ht="20" customHeight="1">
      <c r="B431" s="125" t="n">
        <v>425</v>
      </c>
      <c r="C431" s="72" t="n"/>
      <c r="D431" s="72" t="n"/>
      <c r="E431" s="72" t="n"/>
      <c r="F431" s="72" t="n"/>
      <c r="G431" s="89" t="n"/>
      <c r="H431" s="89" t="n"/>
      <c r="I431" s="109" t="n"/>
      <c r="J431" s="126">
        <f>IF(OR(D431="",ProjStart=""),"",MAX(ProjStart,IF(I431&lt;&gt;"",I431,0),IF(H431="",0,IFERROR(INDEX($L$6:L430,MATCH(H431,$B$6:B430,0))+1,0))))</f>
        <v/>
      </c>
      <c r="K431" s="89" t="n"/>
      <c r="L431" s="126">
        <f>IF(J431="","",J431+MAX(1,G431)+IF(K431="",0,K431)-1)</f>
        <v/>
      </c>
      <c r="M431" s="72" t="n"/>
      <c r="N431" s="109" t="n"/>
      <c r="O431" s="127">
        <f>IF(D431="","",COUNTIF($H$7:$H$1006,B431))</f>
        <v/>
      </c>
      <c r="P431" s="78">
        <f>IF(D431="","",IF(AND(H431&lt;&gt;"",H431&gt;=B431),"⚠️ Predecessor must be above",IF(M431="Done","✓ Done",IF(Q431=3,"🔴 Late",IF(M431="In progress","In progress","")))))</f>
        <v/>
      </c>
      <c r="Q431" s="79">
        <f>IF(OR(D431="",L431=""),"",IF(M431="Done",2,IF(AsOf&gt;L431,3,1)))</f>
        <v/>
      </c>
      <c r="R431" s="79">
        <f>IF(OR(E431="",F431=""),0,IF(COUNTIFS($E$7:E431,E431,$F$7:F431,F431)=1,1,0))</f>
        <v/>
      </c>
      <c r="S431" s="79">
        <f>IF(R431=1,E431&amp;"|"&amp;SUMIFS($R$7:R431,$E$7:E431,E431),"")</f>
        <v/>
      </c>
      <c r="T431" s="112">
        <f>IF(Q431="","",IF(Q431=3,L431,IF(OR(M431="Not started",M431=""),J431,"")))</f>
        <v/>
      </c>
      <c r="U431" s="79">
        <f>IF(T431="","",IF(Q431=3,1,IF(T431="","",IF(T431&lt;AsOf,1,IF(T431&lt;=AsOf+AlertDays,2,IF(T431&lt;=AsOf+2*AlertDays,3,""))))))</f>
        <v/>
      </c>
      <c r="V431" s="79">
        <f>IF(U431="","",IF(Q431=3,"Late task: "&amp;D431,IF(T431&lt;AsOf,"Should have started: ","Starts soon: ")&amp;D431)&amp;IF(F431="",""," — "&amp;F431))</f>
        <v/>
      </c>
    </row>
    <row r="432" ht="20" customHeight="1">
      <c r="B432" s="125" t="n">
        <v>426</v>
      </c>
      <c r="C432" s="72" t="n"/>
      <c r="D432" s="72" t="n"/>
      <c r="E432" s="72" t="n"/>
      <c r="F432" s="72" t="n"/>
      <c r="G432" s="89" t="n"/>
      <c r="H432" s="89" t="n"/>
      <c r="I432" s="109" t="n"/>
      <c r="J432" s="126">
        <f>IF(OR(D432="",ProjStart=""),"",MAX(ProjStart,IF(I432&lt;&gt;"",I432,0),IF(H432="",0,IFERROR(INDEX($L$6:L431,MATCH(H432,$B$6:B431,0))+1,0))))</f>
        <v/>
      </c>
      <c r="K432" s="89" t="n"/>
      <c r="L432" s="126">
        <f>IF(J432="","",J432+MAX(1,G432)+IF(K432="",0,K432)-1)</f>
        <v/>
      </c>
      <c r="M432" s="72" t="n"/>
      <c r="N432" s="109" t="n"/>
      <c r="O432" s="127">
        <f>IF(D432="","",COUNTIF($H$7:$H$1006,B432))</f>
        <v/>
      </c>
      <c r="P432" s="78">
        <f>IF(D432="","",IF(AND(H432&lt;&gt;"",H432&gt;=B432),"⚠️ Predecessor must be above",IF(M432="Done","✓ Done",IF(Q432=3,"🔴 Late",IF(M432="In progress","In progress","")))))</f>
        <v/>
      </c>
      <c r="Q432" s="79">
        <f>IF(OR(D432="",L432=""),"",IF(M432="Done",2,IF(AsOf&gt;L432,3,1)))</f>
        <v/>
      </c>
      <c r="R432" s="79">
        <f>IF(OR(E432="",F432=""),0,IF(COUNTIFS($E$7:E432,E432,$F$7:F432,F432)=1,1,0))</f>
        <v/>
      </c>
      <c r="S432" s="79">
        <f>IF(R432=1,E432&amp;"|"&amp;SUMIFS($R$7:R432,$E$7:E432,E432),"")</f>
        <v/>
      </c>
      <c r="T432" s="112">
        <f>IF(Q432="","",IF(Q432=3,L432,IF(OR(M432="Not started",M432=""),J432,"")))</f>
        <v/>
      </c>
      <c r="U432" s="79">
        <f>IF(T432="","",IF(Q432=3,1,IF(T432="","",IF(T432&lt;AsOf,1,IF(T432&lt;=AsOf+AlertDays,2,IF(T432&lt;=AsOf+2*AlertDays,3,""))))))</f>
        <v/>
      </c>
      <c r="V432" s="79">
        <f>IF(U432="","",IF(Q432=3,"Late task: "&amp;D432,IF(T432&lt;AsOf,"Should have started: ","Starts soon: ")&amp;D432)&amp;IF(F432="",""," — "&amp;F432))</f>
        <v/>
      </c>
    </row>
    <row r="433" ht="20" customHeight="1">
      <c r="B433" s="125" t="n">
        <v>427</v>
      </c>
      <c r="C433" s="72" t="n"/>
      <c r="D433" s="72" t="n"/>
      <c r="E433" s="72" t="n"/>
      <c r="F433" s="72" t="n"/>
      <c r="G433" s="89" t="n"/>
      <c r="H433" s="89" t="n"/>
      <c r="I433" s="109" t="n"/>
      <c r="J433" s="126">
        <f>IF(OR(D433="",ProjStart=""),"",MAX(ProjStart,IF(I433&lt;&gt;"",I433,0),IF(H433="",0,IFERROR(INDEX($L$6:L432,MATCH(H433,$B$6:B432,0))+1,0))))</f>
        <v/>
      </c>
      <c r="K433" s="89" t="n"/>
      <c r="L433" s="126">
        <f>IF(J433="","",J433+MAX(1,G433)+IF(K433="",0,K433)-1)</f>
        <v/>
      </c>
      <c r="M433" s="72" t="n"/>
      <c r="N433" s="109" t="n"/>
      <c r="O433" s="127">
        <f>IF(D433="","",COUNTIF($H$7:$H$1006,B433))</f>
        <v/>
      </c>
      <c r="P433" s="78">
        <f>IF(D433="","",IF(AND(H433&lt;&gt;"",H433&gt;=B433),"⚠️ Predecessor must be above",IF(M433="Done","✓ Done",IF(Q433=3,"🔴 Late",IF(M433="In progress","In progress","")))))</f>
        <v/>
      </c>
      <c r="Q433" s="79">
        <f>IF(OR(D433="",L433=""),"",IF(M433="Done",2,IF(AsOf&gt;L433,3,1)))</f>
        <v/>
      </c>
      <c r="R433" s="79">
        <f>IF(OR(E433="",F433=""),0,IF(COUNTIFS($E$7:E433,E433,$F$7:F433,F433)=1,1,0))</f>
        <v/>
      </c>
      <c r="S433" s="79">
        <f>IF(R433=1,E433&amp;"|"&amp;SUMIFS($R$7:R433,$E$7:E433,E433),"")</f>
        <v/>
      </c>
      <c r="T433" s="112">
        <f>IF(Q433="","",IF(Q433=3,L433,IF(OR(M433="Not started",M433=""),J433,"")))</f>
        <v/>
      </c>
      <c r="U433" s="79">
        <f>IF(T433="","",IF(Q433=3,1,IF(T433="","",IF(T433&lt;AsOf,1,IF(T433&lt;=AsOf+AlertDays,2,IF(T433&lt;=AsOf+2*AlertDays,3,""))))))</f>
        <v/>
      </c>
      <c r="V433" s="79">
        <f>IF(U433="","",IF(Q433=3,"Late task: "&amp;D433,IF(T433&lt;AsOf,"Should have started: ","Starts soon: ")&amp;D433)&amp;IF(F433="",""," — "&amp;F433))</f>
        <v/>
      </c>
    </row>
    <row r="434" ht="20" customHeight="1">
      <c r="B434" s="125" t="n">
        <v>428</v>
      </c>
      <c r="C434" s="72" t="n"/>
      <c r="D434" s="72" t="n"/>
      <c r="E434" s="72" t="n"/>
      <c r="F434" s="72" t="n"/>
      <c r="G434" s="89" t="n"/>
      <c r="H434" s="89" t="n"/>
      <c r="I434" s="109" t="n"/>
      <c r="J434" s="126">
        <f>IF(OR(D434="",ProjStart=""),"",MAX(ProjStart,IF(I434&lt;&gt;"",I434,0),IF(H434="",0,IFERROR(INDEX($L$6:L433,MATCH(H434,$B$6:B433,0))+1,0))))</f>
        <v/>
      </c>
      <c r="K434" s="89" t="n"/>
      <c r="L434" s="126">
        <f>IF(J434="","",J434+MAX(1,G434)+IF(K434="",0,K434)-1)</f>
        <v/>
      </c>
      <c r="M434" s="72" t="n"/>
      <c r="N434" s="109" t="n"/>
      <c r="O434" s="127">
        <f>IF(D434="","",COUNTIF($H$7:$H$1006,B434))</f>
        <v/>
      </c>
      <c r="P434" s="78">
        <f>IF(D434="","",IF(AND(H434&lt;&gt;"",H434&gt;=B434),"⚠️ Predecessor must be above",IF(M434="Done","✓ Done",IF(Q434=3,"🔴 Late",IF(M434="In progress","In progress","")))))</f>
        <v/>
      </c>
      <c r="Q434" s="79">
        <f>IF(OR(D434="",L434=""),"",IF(M434="Done",2,IF(AsOf&gt;L434,3,1)))</f>
        <v/>
      </c>
      <c r="R434" s="79">
        <f>IF(OR(E434="",F434=""),0,IF(COUNTIFS($E$7:E434,E434,$F$7:F434,F434)=1,1,0))</f>
        <v/>
      </c>
      <c r="S434" s="79">
        <f>IF(R434=1,E434&amp;"|"&amp;SUMIFS($R$7:R434,$E$7:E434,E434),"")</f>
        <v/>
      </c>
      <c r="T434" s="112">
        <f>IF(Q434="","",IF(Q434=3,L434,IF(OR(M434="Not started",M434=""),J434,"")))</f>
        <v/>
      </c>
      <c r="U434" s="79">
        <f>IF(T434="","",IF(Q434=3,1,IF(T434="","",IF(T434&lt;AsOf,1,IF(T434&lt;=AsOf+AlertDays,2,IF(T434&lt;=AsOf+2*AlertDays,3,""))))))</f>
        <v/>
      </c>
      <c r="V434" s="79">
        <f>IF(U434="","",IF(Q434=3,"Late task: "&amp;D434,IF(T434&lt;AsOf,"Should have started: ","Starts soon: ")&amp;D434)&amp;IF(F434="",""," — "&amp;F434))</f>
        <v/>
      </c>
    </row>
    <row r="435" ht="20" customHeight="1">
      <c r="B435" s="125" t="n">
        <v>429</v>
      </c>
      <c r="C435" s="72" t="n"/>
      <c r="D435" s="72" t="n"/>
      <c r="E435" s="72" t="n"/>
      <c r="F435" s="72" t="n"/>
      <c r="G435" s="89" t="n"/>
      <c r="H435" s="89" t="n"/>
      <c r="I435" s="109" t="n"/>
      <c r="J435" s="126">
        <f>IF(OR(D435="",ProjStart=""),"",MAX(ProjStart,IF(I435&lt;&gt;"",I435,0),IF(H435="",0,IFERROR(INDEX($L$6:L434,MATCH(H435,$B$6:B434,0))+1,0))))</f>
        <v/>
      </c>
      <c r="K435" s="89" t="n"/>
      <c r="L435" s="126">
        <f>IF(J435="","",J435+MAX(1,G435)+IF(K435="",0,K435)-1)</f>
        <v/>
      </c>
      <c r="M435" s="72" t="n"/>
      <c r="N435" s="109" t="n"/>
      <c r="O435" s="127">
        <f>IF(D435="","",COUNTIF($H$7:$H$1006,B435))</f>
        <v/>
      </c>
      <c r="P435" s="78">
        <f>IF(D435="","",IF(AND(H435&lt;&gt;"",H435&gt;=B435),"⚠️ Predecessor must be above",IF(M435="Done","✓ Done",IF(Q435=3,"🔴 Late",IF(M435="In progress","In progress","")))))</f>
        <v/>
      </c>
      <c r="Q435" s="79">
        <f>IF(OR(D435="",L435=""),"",IF(M435="Done",2,IF(AsOf&gt;L435,3,1)))</f>
        <v/>
      </c>
      <c r="R435" s="79">
        <f>IF(OR(E435="",F435=""),0,IF(COUNTIFS($E$7:E435,E435,$F$7:F435,F435)=1,1,0))</f>
        <v/>
      </c>
      <c r="S435" s="79">
        <f>IF(R435=1,E435&amp;"|"&amp;SUMIFS($R$7:R435,$E$7:E435,E435),"")</f>
        <v/>
      </c>
      <c r="T435" s="112">
        <f>IF(Q435="","",IF(Q435=3,L435,IF(OR(M435="Not started",M435=""),J435,"")))</f>
        <v/>
      </c>
      <c r="U435" s="79">
        <f>IF(T435="","",IF(Q435=3,1,IF(T435="","",IF(T435&lt;AsOf,1,IF(T435&lt;=AsOf+AlertDays,2,IF(T435&lt;=AsOf+2*AlertDays,3,""))))))</f>
        <v/>
      </c>
      <c r="V435" s="79">
        <f>IF(U435="","",IF(Q435=3,"Late task: "&amp;D435,IF(T435&lt;AsOf,"Should have started: ","Starts soon: ")&amp;D435)&amp;IF(F435="",""," — "&amp;F435))</f>
        <v/>
      </c>
    </row>
    <row r="436" ht="20" customHeight="1">
      <c r="B436" s="125" t="n">
        <v>430</v>
      </c>
      <c r="C436" s="72" t="n"/>
      <c r="D436" s="72" t="n"/>
      <c r="E436" s="72" t="n"/>
      <c r="F436" s="72" t="n"/>
      <c r="G436" s="89" t="n"/>
      <c r="H436" s="89" t="n"/>
      <c r="I436" s="109" t="n"/>
      <c r="J436" s="126">
        <f>IF(OR(D436="",ProjStart=""),"",MAX(ProjStart,IF(I436&lt;&gt;"",I436,0),IF(H436="",0,IFERROR(INDEX($L$6:L435,MATCH(H436,$B$6:B435,0))+1,0))))</f>
        <v/>
      </c>
      <c r="K436" s="89" t="n"/>
      <c r="L436" s="126">
        <f>IF(J436="","",J436+MAX(1,G436)+IF(K436="",0,K436)-1)</f>
        <v/>
      </c>
      <c r="M436" s="72" t="n"/>
      <c r="N436" s="109" t="n"/>
      <c r="O436" s="127">
        <f>IF(D436="","",COUNTIF($H$7:$H$1006,B436))</f>
        <v/>
      </c>
      <c r="P436" s="78">
        <f>IF(D436="","",IF(AND(H436&lt;&gt;"",H436&gt;=B436),"⚠️ Predecessor must be above",IF(M436="Done","✓ Done",IF(Q436=3,"🔴 Late",IF(M436="In progress","In progress","")))))</f>
        <v/>
      </c>
      <c r="Q436" s="79">
        <f>IF(OR(D436="",L436=""),"",IF(M436="Done",2,IF(AsOf&gt;L436,3,1)))</f>
        <v/>
      </c>
      <c r="R436" s="79">
        <f>IF(OR(E436="",F436=""),0,IF(COUNTIFS($E$7:E436,E436,$F$7:F436,F436)=1,1,0))</f>
        <v/>
      </c>
      <c r="S436" s="79">
        <f>IF(R436=1,E436&amp;"|"&amp;SUMIFS($R$7:R436,$E$7:E436,E436),"")</f>
        <v/>
      </c>
      <c r="T436" s="112">
        <f>IF(Q436="","",IF(Q436=3,L436,IF(OR(M436="Not started",M436=""),J436,"")))</f>
        <v/>
      </c>
      <c r="U436" s="79">
        <f>IF(T436="","",IF(Q436=3,1,IF(T436="","",IF(T436&lt;AsOf,1,IF(T436&lt;=AsOf+AlertDays,2,IF(T436&lt;=AsOf+2*AlertDays,3,""))))))</f>
        <v/>
      </c>
      <c r="V436" s="79">
        <f>IF(U436="","",IF(Q436=3,"Late task: "&amp;D436,IF(T436&lt;AsOf,"Should have started: ","Starts soon: ")&amp;D436)&amp;IF(F436="",""," — "&amp;F436))</f>
        <v/>
      </c>
    </row>
    <row r="437" ht="20" customHeight="1">
      <c r="B437" s="125" t="n">
        <v>431</v>
      </c>
      <c r="C437" s="72" t="n"/>
      <c r="D437" s="72" t="n"/>
      <c r="E437" s="72" t="n"/>
      <c r="F437" s="72" t="n"/>
      <c r="G437" s="89" t="n"/>
      <c r="H437" s="89" t="n"/>
      <c r="I437" s="109" t="n"/>
      <c r="J437" s="126">
        <f>IF(OR(D437="",ProjStart=""),"",MAX(ProjStart,IF(I437&lt;&gt;"",I437,0),IF(H437="",0,IFERROR(INDEX($L$6:L436,MATCH(H437,$B$6:B436,0))+1,0))))</f>
        <v/>
      </c>
      <c r="K437" s="89" t="n"/>
      <c r="L437" s="126">
        <f>IF(J437="","",J437+MAX(1,G437)+IF(K437="",0,K437)-1)</f>
        <v/>
      </c>
      <c r="M437" s="72" t="n"/>
      <c r="N437" s="109" t="n"/>
      <c r="O437" s="127">
        <f>IF(D437="","",COUNTIF($H$7:$H$1006,B437))</f>
        <v/>
      </c>
      <c r="P437" s="78">
        <f>IF(D437="","",IF(AND(H437&lt;&gt;"",H437&gt;=B437),"⚠️ Predecessor must be above",IF(M437="Done","✓ Done",IF(Q437=3,"🔴 Late",IF(M437="In progress","In progress","")))))</f>
        <v/>
      </c>
      <c r="Q437" s="79">
        <f>IF(OR(D437="",L437=""),"",IF(M437="Done",2,IF(AsOf&gt;L437,3,1)))</f>
        <v/>
      </c>
      <c r="R437" s="79">
        <f>IF(OR(E437="",F437=""),0,IF(COUNTIFS($E$7:E437,E437,$F$7:F437,F437)=1,1,0))</f>
        <v/>
      </c>
      <c r="S437" s="79">
        <f>IF(R437=1,E437&amp;"|"&amp;SUMIFS($R$7:R437,$E$7:E437,E437),"")</f>
        <v/>
      </c>
      <c r="T437" s="112">
        <f>IF(Q437="","",IF(Q437=3,L437,IF(OR(M437="Not started",M437=""),J437,"")))</f>
        <v/>
      </c>
      <c r="U437" s="79">
        <f>IF(T437="","",IF(Q437=3,1,IF(T437="","",IF(T437&lt;AsOf,1,IF(T437&lt;=AsOf+AlertDays,2,IF(T437&lt;=AsOf+2*AlertDays,3,""))))))</f>
        <v/>
      </c>
      <c r="V437" s="79">
        <f>IF(U437="","",IF(Q437=3,"Late task: "&amp;D437,IF(T437&lt;AsOf,"Should have started: ","Starts soon: ")&amp;D437)&amp;IF(F437="",""," — "&amp;F437))</f>
        <v/>
      </c>
    </row>
    <row r="438" ht="20" customHeight="1">
      <c r="B438" s="125" t="n">
        <v>432</v>
      </c>
      <c r="C438" s="72" t="n"/>
      <c r="D438" s="72" t="n"/>
      <c r="E438" s="72" t="n"/>
      <c r="F438" s="72" t="n"/>
      <c r="G438" s="89" t="n"/>
      <c r="H438" s="89" t="n"/>
      <c r="I438" s="109" t="n"/>
      <c r="J438" s="126">
        <f>IF(OR(D438="",ProjStart=""),"",MAX(ProjStart,IF(I438&lt;&gt;"",I438,0),IF(H438="",0,IFERROR(INDEX($L$6:L437,MATCH(H438,$B$6:B437,0))+1,0))))</f>
        <v/>
      </c>
      <c r="K438" s="89" t="n"/>
      <c r="L438" s="126">
        <f>IF(J438="","",J438+MAX(1,G438)+IF(K438="",0,K438)-1)</f>
        <v/>
      </c>
      <c r="M438" s="72" t="n"/>
      <c r="N438" s="109" t="n"/>
      <c r="O438" s="127">
        <f>IF(D438="","",COUNTIF($H$7:$H$1006,B438))</f>
        <v/>
      </c>
      <c r="P438" s="78">
        <f>IF(D438="","",IF(AND(H438&lt;&gt;"",H438&gt;=B438),"⚠️ Predecessor must be above",IF(M438="Done","✓ Done",IF(Q438=3,"🔴 Late",IF(M438="In progress","In progress","")))))</f>
        <v/>
      </c>
      <c r="Q438" s="79">
        <f>IF(OR(D438="",L438=""),"",IF(M438="Done",2,IF(AsOf&gt;L438,3,1)))</f>
        <v/>
      </c>
      <c r="R438" s="79">
        <f>IF(OR(E438="",F438=""),0,IF(COUNTIFS($E$7:E438,E438,$F$7:F438,F438)=1,1,0))</f>
        <v/>
      </c>
      <c r="S438" s="79">
        <f>IF(R438=1,E438&amp;"|"&amp;SUMIFS($R$7:R438,$E$7:E438,E438),"")</f>
        <v/>
      </c>
      <c r="T438" s="112">
        <f>IF(Q438="","",IF(Q438=3,L438,IF(OR(M438="Not started",M438=""),J438,"")))</f>
        <v/>
      </c>
      <c r="U438" s="79">
        <f>IF(T438="","",IF(Q438=3,1,IF(T438="","",IF(T438&lt;AsOf,1,IF(T438&lt;=AsOf+AlertDays,2,IF(T438&lt;=AsOf+2*AlertDays,3,""))))))</f>
        <v/>
      </c>
      <c r="V438" s="79">
        <f>IF(U438="","",IF(Q438=3,"Late task: "&amp;D438,IF(T438&lt;AsOf,"Should have started: ","Starts soon: ")&amp;D438)&amp;IF(F438="",""," — "&amp;F438))</f>
        <v/>
      </c>
    </row>
    <row r="439" ht="20" customHeight="1">
      <c r="B439" s="125" t="n">
        <v>433</v>
      </c>
      <c r="C439" s="72" t="n"/>
      <c r="D439" s="72" t="n"/>
      <c r="E439" s="72" t="n"/>
      <c r="F439" s="72" t="n"/>
      <c r="G439" s="89" t="n"/>
      <c r="H439" s="89" t="n"/>
      <c r="I439" s="109" t="n"/>
      <c r="J439" s="126">
        <f>IF(OR(D439="",ProjStart=""),"",MAX(ProjStart,IF(I439&lt;&gt;"",I439,0),IF(H439="",0,IFERROR(INDEX($L$6:L438,MATCH(H439,$B$6:B438,0))+1,0))))</f>
        <v/>
      </c>
      <c r="K439" s="89" t="n"/>
      <c r="L439" s="126">
        <f>IF(J439="","",J439+MAX(1,G439)+IF(K439="",0,K439)-1)</f>
        <v/>
      </c>
      <c r="M439" s="72" t="n"/>
      <c r="N439" s="109" t="n"/>
      <c r="O439" s="127">
        <f>IF(D439="","",COUNTIF($H$7:$H$1006,B439))</f>
        <v/>
      </c>
      <c r="P439" s="78">
        <f>IF(D439="","",IF(AND(H439&lt;&gt;"",H439&gt;=B439),"⚠️ Predecessor must be above",IF(M439="Done","✓ Done",IF(Q439=3,"🔴 Late",IF(M439="In progress","In progress","")))))</f>
        <v/>
      </c>
      <c r="Q439" s="79">
        <f>IF(OR(D439="",L439=""),"",IF(M439="Done",2,IF(AsOf&gt;L439,3,1)))</f>
        <v/>
      </c>
      <c r="R439" s="79">
        <f>IF(OR(E439="",F439=""),0,IF(COUNTIFS($E$7:E439,E439,$F$7:F439,F439)=1,1,0))</f>
        <v/>
      </c>
      <c r="S439" s="79">
        <f>IF(R439=1,E439&amp;"|"&amp;SUMIFS($R$7:R439,$E$7:E439,E439),"")</f>
        <v/>
      </c>
      <c r="T439" s="112">
        <f>IF(Q439="","",IF(Q439=3,L439,IF(OR(M439="Not started",M439=""),J439,"")))</f>
        <v/>
      </c>
      <c r="U439" s="79">
        <f>IF(T439="","",IF(Q439=3,1,IF(T439="","",IF(T439&lt;AsOf,1,IF(T439&lt;=AsOf+AlertDays,2,IF(T439&lt;=AsOf+2*AlertDays,3,""))))))</f>
        <v/>
      </c>
      <c r="V439" s="79">
        <f>IF(U439="","",IF(Q439=3,"Late task: "&amp;D439,IF(T439&lt;AsOf,"Should have started: ","Starts soon: ")&amp;D439)&amp;IF(F439="",""," — "&amp;F439))</f>
        <v/>
      </c>
    </row>
    <row r="440" ht="20" customHeight="1">
      <c r="B440" s="125" t="n">
        <v>434</v>
      </c>
      <c r="C440" s="72" t="n"/>
      <c r="D440" s="72" t="n"/>
      <c r="E440" s="72" t="n"/>
      <c r="F440" s="72" t="n"/>
      <c r="G440" s="89" t="n"/>
      <c r="H440" s="89" t="n"/>
      <c r="I440" s="109" t="n"/>
      <c r="J440" s="126">
        <f>IF(OR(D440="",ProjStart=""),"",MAX(ProjStart,IF(I440&lt;&gt;"",I440,0),IF(H440="",0,IFERROR(INDEX($L$6:L439,MATCH(H440,$B$6:B439,0))+1,0))))</f>
        <v/>
      </c>
      <c r="K440" s="89" t="n"/>
      <c r="L440" s="126">
        <f>IF(J440="","",J440+MAX(1,G440)+IF(K440="",0,K440)-1)</f>
        <v/>
      </c>
      <c r="M440" s="72" t="n"/>
      <c r="N440" s="109" t="n"/>
      <c r="O440" s="127">
        <f>IF(D440="","",COUNTIF($H$7:$H$1006,B440))</f>
        <v/>
      </c>
      <c r="P440" s="78">
        <f>IF(D440="","",IF(AND(H440&lt;&gt;"",H440&gt;=B440),"⚠️ Predecessor must be above",IF(M440="Done","✓ Done",IF(Q440=3,"🔴 Late",IF(M440="In progress","In progress","")))))</f>
        <v/>
      </c>
      <c r="Q440" s="79">
        <f>IF(OR(D440="",L440=""),"",IF(M440="Done",2,IF(AsOf&gt;L440,3,1)))</f>
        <v/>
      </c>
      <c r="R440" s="79">
        <f>IF(OR(E440="",F440=""),0,IF(COUNTIFS($E$7:E440,E440,$F$7:F440,F440)=1,1,0))</f>
        <v/>
      </c>
      <c r="S440" s="79">
        <f>IF(R440=1,E440&amp;"|"&amp;SUMIFS($R$7:R440,$E$7:E440,E440),"")</f>
        <v/>
      </c>
      <c r="T440" s="112">
        <f>IF(Q440="","",IF(Q440=3,L440,IF(OR(M440="Not started",M440=""),J440,"")))</f>
        <v/>
      </c>
      <c r="U440" s="79">
        <f>IF(T440="","",IF(Q440=3,1,IF(T440="","",IF(T440&lt;AsOf,1,IF(T440&lt;=AsOf+AlertDays,2,IF(T440&lt;=AsOf+2*AlertDays,3,""))))))</f>
        <v/>
      </c>
      <c r="V440" s="79">
        <f>IF(U440="","",IF(Q440=3,"Late task: "&amp;D440,IF(T440&lt;AsOf,"Should have started: ","Starts soon: ")&amp;D440)&amp;IF(F440="",""," — "&amp;F440))</f>
        <v/>
      </c>
    </row>
    <row r="441" ht="20" customHeight="1">
      <c r="B441" s="125" t="n">
        <v>435</v>
      </c>
      <c r="C441" s="72" t="n"/>
      <c r="D441" s="72" t="n"/>
      <c r="E441" s="72" t="n"/>
      <c r="F441" s="72" t="n"/>
      <c r="G441" s="89" t="n"/>
      <c r="H441" s="89" t="n"/>
      <c r="I441" s="109" t="n"/>
      <c r="J441" s="126">
        <f>IF(OR(D441="",ProjStart=""),"",MAX(ProjStart,IF(I441&lt;&gt;"",I441,0),IF(H441="",0,IFERROR(INDEX($L$6:L440,MATCH(H441,$B$6:B440,0))+1,0))))</f>
        <v/>
      </c>
      <c r="K441" s="89" t="n"/>
      <c r="L441" s="126">
        <f>IF(J441="","",J441+MAX(1,G441)+IF(K441="",0,K441)-1)</f>
        <v/>
      </c>
      <c r="M441" s="72" t="n"/>
      <c r="N441" s="109" t="n"/>
      <c r="O441" s="127">
        <f>IF(D441="","",COUNTIF($H$7:$H$1006,B441))</f>
        <v/>
      </c>
      <c r="P441" s="78">
        <f>IF(D441="","",IF(AND(H441&lt;&gt;"",H441&gt;=B441),"⚠️ Predecessor must be above",IF(M441="Done","✓ Done",IF(Q441=3,"🔴 Late",IF(M441="In progress","In progress","")))))</f>
        <v/>
      </c>
      <c r="Q441" s="79">
        <f>IF(OR(D441="",L441=""),"",IF(M441="Done",2,IF(AsOf&gt;L441,3,1)))</f>
        <v/>
      </c>
      <c r="R441" s="79">
        <f>IF(OR(E441="",F441=""),0,IF(COUNTIFS($E$7:E441,E441,$F$7:F441,F441)=1,1,0))</f>
        <v/>
      </c>
      <c r="S441" s="79">
        <f>IF(R441=1,E441&amp;"|"&amp;SUMIFS($R$7:R441,$E$7:E441,E441),"")</f>
        <v/>
      </c>
      <c r="T441" s="112">
        <f>IF(Q441="","",IF(Q441=3,L441,IF(OR(M441="Not started",M441=""),J441,"")))</f>
        <v/>
      </c>
      <c r="U441" s="79">
        <f>IF(T441="","",IF(Q441=3,1,IF(T441="","",IF(T441&lt;AsOf,1,IF(T441&lt;=AsOf+AlertDays,2,IF(T441&lt;=AsOf+2*AlertDays,3,""))))))</f>
        <v/>
      </c>
      <c r="V441" s="79">
        <f>IF(U441="","",IF(Q441=3,"Late task: "&amp;D441,IF(T441&lt;AsOf,"Should have started: ","Starts soon: ")&amp;D441)&amp;IF(F441="",""," — "&amp;F441))</f>
        <v/>
      </c>
    </row>
    <row r="442" ht="20" customHeight="1">
      <c r="B442" s="125" t="n">
        <v>436</v>
      </c>
      <c r="C442" s="72" t="n"/>
      <c r="D442" s="72" t="n"/>
      <c r="E442" s="72" t="n"/>
      <c r="F442" s="72" t="n"/>
      <c r="G442" s="89" t="n"/>
      <c r="H442" s="89" t="n"/>
      <c r="I442" s="109" t="n"/>
      <c r="J442" s="126">
        <f>IF(OR(D442="",ProjStart=""),"",MAX(ProjStart,IF(I442&lt;&gt;"",I442,0),IF(H442="",0,IFERROR(INDEX($L$6:L441,MATCH(H442,$B$6:B441,0))+1,0))))</f>
        <v/>
      </c>
      <c r="K442" s="89" t="n"/>
      <c r="L442" s="126">
        <f>IF(J442="","",J442+MAX(1,G442)+IF(K442="",0,K442)-1)</f>
        <v/>
      </c>
      <c r="M442" s="72" t="n"/>
      <c r="N442" s="109" t="n"/>
      <c r="O442" s="127">
        <f>IF(D442="","",COUNTIF($H$7:$H$1006,B442))</f>
        <v/>
      </c>
      <c r="P442" s="78">
        <f>IF(D442="","",IF(AND(H442&lt;&gt;"",H442&gt;=B442),"⚠️ Predecessor must be above",IF(M442="Done","✓ Done",IF(Q442=3,"🔴 Late",IF(M442="In progress","In progress","")))))</f>
        <v/>
      </c>
      <c r="Q442" s="79">
        <f>IF(OR(D442="",L442=""),"",IF(M442="Done",2,IF(AsOf&gt;L442,3,1)))</f>
        <v/>
      </c>
      <c r="R442" s="79">
        <f>IF(OR(E442="",F442=""),0,IF(COUNTIFS($E$7:E442,E442,$F$7:F442,F442)=1,1,0))</f>
        <v/>
      </c>
      <c r="S442" s="79">
        <f>IF(R442=1,E442&amp;"|"&amp;SUMIFS($R$7:R442,$E$7:E442,E442),"")</f>
        <v/>
      </c>
      <c r="T442" s="112">
        <f>IF(Q442="","",IF(Q442=3,L442,IF(OR(M442="Not started",M442=""),J442,"")))</f>
        <v/>
      </c>
      <c r="U442" s="79">
        <f>IF(T442="","",IF(Q442=3,1,IF(T442="","",IF(T442&lt;AsOf,1,IF(T442&lt;=AsOf+AlertDays,2,IF(T442&lt;=AsOf+2*AlertDays,3,""))))))</f>
        <v/>
      </c>
      <c r="V442" s="79">
        <f>IF(U442="","",IF(Q442=3,"Late task: "&amp;D442,IF(T442&lt;AsOf,"Should have started: ","Starts soon: ")&amp;D442)&amp;IF(F442="",""," — "&amp;F442))</f>
        <v/>
      </c>
    </row>
    <row r="443" ht="20" customHeight="1">
      <c r="B443" s="125" t="n">
        <v>437</v>
      </c>
      <c r="C443" s="72" t="n"/>
      <c r="D443" s="72" t="n"/>
      <c r="E443" s="72" t="n"/>
      <c r="F443" s="72" t="n"/>
      <c r="G443" s="89" t="n"/>
      <c r="H443" s="89" t="n"/>
      <c r="I443" s="109" t="n"/>
      <c r="J443" s="126">
        <f>IF(OR(D443="",ProjStart=""),"",MAX(ProjStart,IF(I443&lt;&gt;"",I443,0),IF(H443="",0,IFERROR(INDEX($L$6:L442,MATCH(H443,$B$6:B442,0))+1,0))))</f>
        <v/>
      </c>
      <c r="K443" s="89" t="n"/>
      <c r="L443" s="126">
        <f>IF(J443="","",J443+MAX(1,G443)+IF(K443="",0,K443)-1)</f>
        <v/>
      </c>
      <c r="M443" s="72" t="n"/>
      <c r="N443" s="109" t="n"/>
      <c r="O443" s="127">
        <f>IF(D443="","",COUNTIF($H$7:$H$1006,B443))</f>
        <v/>
      </c>
      <c r="P443" s="78">
        <f>IF(D443="","",IF(AND(H443&lt;&gt;"",H443&gt;=B443),"⚠️ Predecessor must be above",IF(M443="Done","✓ Done",IF(Q443=3,"🔴 Late",IF(M443="In progress","In progress","")))))</f>
        <v/>
      </c>
      <c r="Q443" s="79">
        <f>IF(OR(D443="",L443=""),"",IF(M443="Done",2,IF(AsOf&gt;L443,3,1)))</f>
        <v/>
      </c>
      <c r="R443" s="79">
        <f>IF(OR(E443="",F443=""),0,IF(COUNTIFS($E$7:E443,E443,$F$7:F443,F443)=1,1,0))</f>
        <v/>
      </c>
      <c r="S443" s="79">
        <f>IF(R443=1,E443&amp;"|"&amp;SUMIFS($R$7:R443,$E$7:E443,E443),"")</f>
        <v/>
      </c>
      <c r="T443" s="112">
        <f>IF(Q443="","",IF(Q443=3,L443,IF(OR(M443="Not started",M443=""),J443,"")))</f>
        <v/>
      </c>
      <c r="U443" s="79">
        <f>IF(T443="","",IF(Q443=3,1,IF(T443="","",IF(T443&lt;AsOf,1,IF(T443&lt;=AsOf+AlertDays,2,IF(T443&lt;=AsOf+2*AlertDays,3,""))))))</f>
        <v/>
      </c>
      <c r="V443" s="79">
        <f>IF(U443="","",IF(Q443=3,"Late task: "&amp;D443,IF(T443&lt;AsOf,"Should have started: ","Starts soon: ")&amp;D443)&amp;IF(F443="",""," — "&amp;F443))</f>
        <v/>
      </c>
    </row>
    <row r="444" ht="20" customHeight="1">
      <c r="B444" s="125" t="n">
        <v>438</v>
      </c>
      <c r="C444" s="72" t="n"/>
      <c r="D444" s="72" t="n"/>
      <c r="E444" s="72" t="n"/>
      <c r="F444" s="72" t="n"/>
      <c r="G444" s="89" t="n"/>
      <c r="H444" s="89" t="n"/>
      <c r="I444" s="109" t="n"/>
      <c r="J444" s="126">
        <f>IF(OR(D444="",ProjStart=""),"",MAX(ProjStart,IF(I444&lt;&gt;"",I444,0),IF(H444="",0,IFERROR(INDEX($L$6:L443,MATCH(H444,$B$6:B443,0))+1,0))))</f>
        <v/>
      </c>
      <c r="K444" s="89" t="n"/>
      <c r="L444" s="126">
        <f>IF(J444="","",J444+MAX(1,G444)+IF(K444="",0,K444)-1)</f>
        <v/>
      </c>
      <c r="M444" s="72" t="n"/>
      <c r="N444" s="109" t="n"/>
      <c r="O444" s="127">
        <f>IF(D444="","",COUNTIF($H$7:$H$1006,B444))</f>
        <v/>
      </c>
      <c r="P444" s="78">
        <f>IF(D444="","",IF(AND(H444&lt;&gt;"",H444&gt;=B444),"⚠️ Predecessor must be above",IF(M444="Done","✓ Done",IF(Q444=3,"🔴 Late",IF(M444="In progress","In progress","")))))</f>
        <v/>
      </c>
      <c r="Q444" s="79">
        <f>IF(OR(D444="",L444=""),"",IF(M444="Done",2,IF(AsOf&gt;L444,3,1)))</f>
        <v/>
      </c>
      <c r="R444" s="79">
        <f>IF(OR(E444="",F444=""),0,IF(COUNTIFS($E$7:E444,E444,$F$7:F444,F444)=1,1,0))</f>
        <v/>
      </c>
      <c r="S444" s="79">
        <f>IF(R444=1,E444&amp;"|"&amp;SUMIFS($R$7:R444,$E$7:E444,E444),"")</f>
        <v/>
      </c>
      <c r="T444" s="112">
        <f>IF(Q444="","",IF(Q444=3,L444,IF(OR(M444="Not started",M444=""),J444,"")))</f>
        <v/>
      </c>
      <c r="U444" s="79">
        <f>IF(T444="","",IF(Q444=3,1,IF(T444="","",IF(T444&lt;AsOf,1,IF(T444&lt;=AsOf+AlertDays,2,IF(T444&lt;=AsOf+2*AlertDays,3,""))))))</f>
        <v/>
      </c>
      <c r="V444" s="79">
        <f>IF(U444="","",IF(Q444=3,"Late task: "&amp;D444,IF(T444&lt;AsOf,"Should have started: ","Starts soon: ")&amp;D444)&amp;IF(F444="",""," — "&amp;F444))</f>
        <v/>
      </c>
    </row>
    <row r="445" ht="20" customHeight="1">
      <c r="B445" s="125" t="n">
        <v>439</v>
      </c>
      <c r="C445" s="72" t="n"/>
      <c r="D445" s="72" t="n"/>
      <c r="E445" s="72" t="n"/>
      <c r="F445" s="72" t="n"/>
      <c r="G445" s="89" t="n"/>
      <c r="H445" s="89" t="n"/>
      <c r="I445" s="109" t="n"/>
      <c r="J445" s="126">
        <f>IF(OR(D445="",ProjStart=""),"",MAX(ProjStart,IF(I445&lt;&gt;"",I445,0),IF(H445="",0,IFERROR(INDEX($L$6:L444,MATCH(H445,$B$6:B444,0))+1,0))))</f>
        <v/>
      </c>
      <c r="K445" s="89" t="n"/>
      <c r="L445" s="126">
        <f>IF(J445="","",J445+MAX(1,G445)+IF(K445="",0,K445)-1)</f>
        <v/>
      </c>
      <c r="M445" s="72" t="n"/>
      <c r="N445" s="109" t="n"/>
      <c r="O445" s="127">
        <f>IF(D445="","",COUNTIF($H$7:$H$1006,B445))</f>
        <v/>
      </c>
      <c r="P445" s="78">
        <f>IF(D445="","",IF(AND(H445&lt;&gt;"",H445&gt;=B445),"⚠️ Predecessor must be above",IF(M445="Done","✓ Done",IF(Q445=3,"🔴 Late",IF(M445="In progress","In progress","")))))</f>
        <v/>
      </c>
      <c r="Q445" s="79">
        <f>IF(OR(D445="",L445=""),"",IF(M445="Done",2,IF(AsOf&gt;L445,3,1)))</f>
        <v/>
      </c>
      <c r="R445" s="79">
        <f>IF(OR(E445="",F445=""),0,IF(COUNTIFS($E$7:E445,E445,$F$7:F445,F445)=1,1,0))</f>
        <v/>
      </c>
      <c r="S445" s="79">
        <f>IF(R445=1,E445&amp;"|"&amp;SUMIFS($R$7:R445,$E$7:E445,E445),"")</f>
        <v/>
      </c>
      <c r="T445" s="112">
        <f>IF(Q445="","",IF(Q445=3,L445,IF(OR(M445="Not started",M445=""),J445,"")))</f>
        <v/>
      </c>
      <c r="U445" s="79">
        <f>IF(T445="","",IF(Q445=3,1,IF(T445="","",IF(T445&lt;AsOf,1,IF(T445&lt;=AsOf+AlertDays,2,IF(T445&lt;=AsOf+2*AlertDays,3,""))))))</f>
        <v/>
      </c>
      <c r="V445" s="79">
        <f>IF(U445="","",IF(Q445=3,"Late task: "&amp;D445,IF(T445&lt;AsOf,"Should have started: ","Starts soon: ")&amp;D445)&amp;IF(F445="",""," — "&amp;F445))</f>
        <v/>
      </c>
    </row>
    <row r="446" ht="20" customHeight="1">
      <c r="B446" s="125" t="n">
        <v>440</v>
      </c>
      <c r="C446" s="72" t="n"/>
      <c r="D446" s="72" t="n"/>
      <c r="E446" s="72" t="n"/>
      <c r="F446" s="72" t="n"/>
      <c r="G446" s="89" t="n"/>
      <c r="H446" s="89" t="n"/>
      <c r="I446" s="109" t="n"/>
      <c r="J446" s="126">
        <f>IF(OR(D446="",ProjStart=""),"",MAX(ProjStart,IF(I446&lt;&gt;"",I446,0),IF(H446="",0,IFERROR(INDEX($L$6:L445,MATCH(H446,$B$6:B445,0))+1,0))))</f>
        <v/>
      </c>
      <c r="K446" s="89" t="n"/>
      <c r="L446" s="126">
        <f>IF(J446="","",J446+MAX(1,G446)+IF(K446="",0,K446)-1)</f>
        <v/>
      </c>
      <c r="M446" s="72" t="n"/>
      <c r="N446" s="109" t="n"/>
      <c r="O446" s="127">
        <f>IF(D446="","",COUNTIF($H$7:$H$1006,B446))</f>
        <v/>
      </c>
      <c r="P446" s="78">
        <f>IF(D446="","",IF(AND(H446&lt;&gt;"",H446&gt;=B446),"⚠️ Predecessor must be above",IF(M446="Done","✓ Done",IF(Q446=3,"🔴 Late",IF(M446="In progress","In progress","")))))</f>
        <v/>
      </c>
      <c r="Q446" s="79">
        <f>IF(OR(D446="",L446=""),"",IF(M446="Done",2,IF(AsOf&gt;L446,3,1)))</f>
        <v/>
      </c>
      <c r="R446" s="79">
        <f>IF(OR(E446="",F446=""),0,IF(COUNTIFS($E$7:E446,E446,$F$7:F446,F446)=1,1,0))</f>
        <v/>
      </c>
      <c r="S446" s="79">
        <f>IF(R446=1,E446&amp;"|"&amp;SUMIFS($R$7:R446,$E$7:E446,E446),"")</f>
        <v/>
      </c>
      <c r="T446" s="112">
        <f>IF(Q446="","",IF(Q446=3,L446,IF(OR(M446="Not started",M446=""),J446,"")))</f>
        <v/>
      </c>
      <c r="U446" s="79">
        <f>IF(T446="","",IF(Q446=3,1,IF(T446="","",IF(T446&lt;AsOf,1,IF(T446&lt;=AsOf+AlertDays,2,IF(T446&lt;=AsOf+2*AlertDays,3,""))))))</f>
        <v/>
      </c>
      <c r="V446" s="79">
        <f>IF(U446="","",IF(Q446=3,"Late task: "&amp;D446,IF(T446&lt;AsOf,"Should have started: ","Starts soon: ")&amp;D446)&amp;IF(F446="",""," — "&amp;F446))</f>
        <v/>
      </c>
    </row>
    <row r="447" ht="20" customHeight="1">
      <c r="B447" s="125" t="n">
        <v>441</v>
      </c>
      <c r="C447" s="72" t="n"/>
      <c r="D447" s="72" t="n"/>
      <c r="E447" s="72" t="n"/>
      <c r="F447" s="72" t="n"/>
      <c r="G447" s="89" t="n"/>
      <c r="H447" s="89" t="n"/>
      <c r="I447" s="109" t="n"/>
      <c r="J447" s="126">
        <f>IF(OR(D447="",ProjStart=""),"",MAX(ProjStart,IF(I447&lt;&gt;"",I447,0),IF(H447="",0,IFERROR(INDEX($L$6:L446,MATCH(H447,$B$6:B446,0))+1,0))))</f>
        <v/>
      </c>
      <c r="K447" s="89" t="n"/>
      <c r="L447" s="126">
        <f>IF(J447="","",J447+MAX(1,G447)+IF(K447="",0,K447)-1)</f>
        <v/>
      </c>
      <c r="M447" s="72" t="n"/>
      <c r="N447" s="109" t="n"/>
      <c r="O447" s="127">
        <f>IF(D447="","",COUNTIF($H$7:$H$1006,B447))</f>
        <v/>
      </c>
      <c r="P447" s="78">
        <f>IF(D447="","",IF(AND(H447&lt;&gt;"",H447&gt;=B447),"⚠️ Predecessor must be above",IF(M447="Done","✓ Done",IF(Q447=3,"🔴 Late",IF(M447="In progress","In progress","")))))</f>
        <v/>
      </c>
      <c r="Q447" s="79">
        <f>IF(OR(D447="",L447=""),"",IF(M447="Done",2,IF(AsOf&gt;L447,3,1)))</f>
        <v/>
      </c>
      <c r="R447" s="79">
        <f>IF(OR(E447="",F447=""),0,IF(COUNTIFS($E$7:E447,E447,$F$7:F447,F447)=1,1,0))</f>
        <v/>
      </c>
      <c r="S447" s="79">
        <f>IF(R447=1,E447&amp;"|"&amp;SUMIFS($R$7:R447,$E$7:E447,E447),"")</f>
        <v/>
      </c>
      <c r="T447" s="112">
        <f>IF(Q447="","",IF(Q447=3,L447,IF(OR(M447="Not started",M447=""),J447,"")))</f>
        <v/>
      </c>
      <c r="U447" s="79">
        <f>IF(T447="","",IF(Q447=3,1,IF(T447="","",IF(T447&lt;AsOf,1,IF(T447&lt;=AsOf+AlertDays,2,IF(T447&lt;=AsOf+2*AlertDays,3,""))))))</f>
        <v/>
      </c>
      <c r="V447" s="79">
        <f>IF(U447="","",IF(Q447=3,"Late task: "&amp;D447,IF(T447&lt;AsOf,"Should have started: ","Starts soon: ")&amp;D447)&amp;IF(F447="",""," — "&amp;F447))</f>
        <v/>
      </c>
    </row>
    <row r="448" ht="20" customHeight="1">
      <c r="B448" s="125" t="n">
        <v>442</v>
      </c>
      <c r="C448" s="72" t="n"/>
      <c r="D448" s="72" t="n"/>
      <c r="E448" s="72" t="n"/>
      <c r="F448" s="72" t="n"/>
      <c r="G448" s="89" t="n"/>
      <c r="H448" s="89" t="n"/>
      <c r="I448" s="109" t="n"/>
      <c r="J448" s="126">
        <f>IF(OR(D448="",ProjStart=""),"",MAX(ProjStart,IF(I448&lt;&gt;"",I448,0),IF(H448="",0,IFERROR(INDEX($L$6:L447,MATCH(H448,$B$6:B447,0))+1,0))))</f>
        <v/>
      </c>
      <c r="K448" s="89" t="n"/>
      <c r="L448" s="126">
        <f>IF(J448="","",J448+MAX(1,G448)+IF(K448="",0,K448)-1)</f>
        <v/>
      </c>
      <c r="M448" s="72" t="n"/>
      <c r="N448" s="109" t="n"/>
      <c r="O448" s="127">
        <f>IF(D448="","",COUNTIF($H$7:$H$1006,B448))</f>
        <v/>
      </c>
      <c r="P448" s="78">
        <f>IF(D448="","",IF(AND(H448&lt;&gt;"",H448&gt;=B448),"⚠️ Predecessor must be above",IF(M448="Done","✓ Done",IF(Q448=3,"🔴 Late",IF(M448="In progress","In progress","")))))</f>
        <v/>
      </c>
      <c r="Q448" s="79">
        <f>IF(OR(D448="",L448=""),"",IF(M448="Done",2,IF(AsOf&gt;L448,3,1)))</f>
        <v/>
      </c>
      <c r="R448" s="79">
        <f>IF(OR(E448="",F448=""),0,IF(COUNTIFS($E$7:E448,E448,$F$7:F448,F448)=1,1,0))</f>
        <v/>
      </c>
      <c r="S448" s="79">
        <f>IF(R448=1,E448&amp;"|"&amp;SUMIFS($R$7:R448,$E$7:E448,E448),"")</f>
        <v/>
      </c>
      <c r="T448" s="112">
        <f>IF(Q448="","",IF(Q448=3,L448,IF(OR(M448="Not started",M448=""),J448,"")))</f>
        <v/>
      </c>
      <c r="U448" s="79">
        <f>IF(T448="","",IF(Q448=3,1,IF(T448="","",IF(T448&lt;AsOf,1,IF(T448&lt;=AsOf+AlertDays,2,IF(T448&lt;=AsOf+2*AlertDays,3,""))))))</f>
        <v/>
      </c>
      <c r="V448" s="79">
        <f>IF(U448="","",IF(Q448=3,"Late task: "&amp;D448,IF(T448&lt;AsOf,"Should have started: ","Starts soon: ")&amp;D448)&amp;IF(F448="",""," — "&amp;F448))</f>
        <v/>
      </c>
    </row>
    <row r="449" ht="20" customHeight="1">
      <c r="B449" s="125" t="n">
        <v>443</v>
      </c>
      <c r="C449" s="72" t="n"/>
      <c r="D449" s="72" t="n"/>
      <c r="E449" s="72" t="n"/>
      <c r="F449" s="72" t="n"/>
      <c r="G449" s="89" t="n"/>
      <c r="H449" s="89" t="n"/>
      <c r="I449" s="109" t="n"/>
      <c r="J449" s="126">
        <f>IF(OR(D449="",ProjStart=""),"",MAX(ProjStart,IF(I449&lt;&gt;"",I449,0),IF(H449="",0,IFERROR(INDEX($L$6:L448,MATCH(H449,$B$6:B448,0))+1,0))))</f>
        <v/>
      </c>
      <c r="K449" s="89" t="n"/>
      <c r="L449" s="126">
        <f>IF(J449="","",J449+MAX(1,G449)+IF(K449="",0,K449)-1)</f>
        <v/>
      </c>
      <c r="M449" s="72" t="n"/>
      <c r="N449" s="109" t="n"/>
      <c r="O449" s="127">
        <f>IF(D449="","",COUNTIF($H$7:$H$1006,B449))</f>
        <v/>
      </c>
      <c r="P449" s="78">
        <f>IF(D449="","",IF(AND(H449&lt;&gt;"",H449&gt;=B449),"⚠️ Predecessor must be above",IF(M449="Done","✓ Done",IF(Q449=3,"🔴 Late",IF(M449="In progress","In progress","")))))</f>
        <v/>
      </c>
      <c r="Q449" s="79">
        <f>IF(OR(D449="",L449=""),"",IF(M449="Done",2,IF(AsOf&gt;L449,3,1)))</f>
        <v/>
      </c>
      <c r="R449" s="79">
        <f>IF(OR(E449="",F449=""),0,IF(COUNTIFS($E$7:E449,E449,$F$7:F449,F449)=1,1,0))</f>
        <v/>
      </c>
      <c r="S449" s="79">
        <f>IF(R449=1,E449&amp;"|"&amp;SUMIFS($R$7:R449,$E$7:E449,E449),"")</f>
        <v/>
      </c>
      <c r="T449" s="112">
        <f>IF(Q449="","",IF(Q449=3,L449,IF(OR(M449="Not started",M449=""),J449,"")))</f>
        <v/>
      </c>
      <c r="U449" s="79">
        <f>IF(T449="","",IF(Q449=3,1,IF(T449="","",IF(T449&lt;AsOf,1,IF(T449&lt;=AsOf+AlertDays,2,IF(T449&lt;=AsOf+2*AlertDays,3,""))))))</f>
        <v/>
      </c>
      <c r="V449" s="79">
        <f>IF(U449="","",IF(Q449=3,"Late task: "&amp;D449,IF(T449&lt;AsOf,"Should have started: ","Starts soon: ")&amp;D449)&amp;IF(F449="",""," — "&amp;F449))</f>
        <v/>
      </c>
    </row>
    <row r="450" ht="20" customHeight="1">
      <c r="B450" s="125" t="n">
        <v>444</v>
      </c>
      <c r="C450" s="72" t="n"/>
      <c r="D450" s="72" t="n"/>
      <c r="E450" s="72" t="n"/>
      <c r="F450" s="72" t="n"/>
      <c r="G450" s="89" t="n"/>
      <c r="H450" s="89" t="n"/>
      <c r="I450" s="109" t="n"/>
      <c r="J450" s="126">
        <f>IF(OR(D450="",ProjStart=""),"",MAX(ProjStart,IF(I450&lt;&gt;"",I450,0),IF(H450="",0,IFERROR(INDEX($L$6:L449,MATCH(H450,$B$6:B449,0))+1,0))))</f>
        <v/>
      </c>
      <c r="K450" s="89" t="n"/>
      <c r="L450" s="126">
        <f>IF(J450="","",J450+MAX(1,G450)+IF(K450="",0,K450)-1)</f>
        <v/>
      </c>
      <c r="M450" s="72" t="n"/>
      <c r="N450" s="109" t="n"/>
      <c r="O450" s="127">
        <f>IF(D450="","",COUNTIF($H$7:$H$1006,B450))</f>
        <v/>
      </c>
      <c r="P450" s="78">
        <f>IF(D450="","",IF(AND(H450&lt;&gt;"",H450&gt;=B450),"⚠️ Predecessor must be above",IF(M450="Done","✓ Done",IF(Q450=3,"🔴 Late",IF(M450="In progress","In progress","")))))</f>
        <v/>
      </c>
      <c r="Q450" s="79">
        <f>IF(OR(D450="",L450=""),"",IF(M450="Done",2,IF(AsOf&gt;L450,3,1)))</f>
        <v/>
      </c>
      <c r="R450" s="79">
        <f>IF(OR(E450="",F450=""),0,IF(COUNTIFS($E$7:E450,E450,$F$7:F450,F450)=1,1,0))</f>
        <v/>
      </c>
      <c r="S450" s="79">
        <f>IF(R450=1,E450&amp;"|"&amp;SUMIFS($R$7:R450,$E$7:E450,E450),"")</f>
        <v/>
      </c>
      <c r="T450" s="112">
        <f>IF(Q450="","",IF(Q450=3,L450,IF(OR(M450="Not started",M450=""),J450,"")))</f>
        <v/>
      </c>
      <c r="U450" s="79">
        <f>IF(T450="","",IF(Q450=3,1,IF(T450="","",IF(T450&lt;AsOf,1,IF(T450&lt;=AsOf+AlertDays,2,IF(T450&lt;=AsOf+2*AlertDays,3,""))))))</f>
        <v/>
      </c>
      <c r="V450" s="79">
        <f>IF(U450="","",IF(Q450=3,"Late task: "&amp;D450,IF(T450&lt;AsOf,"Should have started: ","Starts soon: ")&amp;D450)&amp;IF(F450="",""," — "&amp;F450))</f>
        <v/>
      </c>
    </row>
    <row r="451" ht="20" customHeight="1">
      <c r="B451" s="125" t="n">
        <v>445</v>
      </c>
      <c r="C451" s="72" t="n"/>
      <c r="D451" s="72" t="n"/>
      <c r="E451" s="72" t="n"/>
      <c r="F451" s="72" t="n"/>
      <c r="G451" s="89" t="n"/>
      <c r="H451" s="89" t="n"/>
      <c r="I451" s="109" t="n"/>
      <c r="J451" s="126">
        <f>IF(OR(D451="",ProjStart=""),"",MAX(ProjStart,IF(I451&lt;&gt;"",I451,0),IF(H451="",0,IFERROR(INDEX($L$6:L450,MATCH(H451,$B$6:B450,0))+1,0))))</f>
        <v/>
      </c>
      <c r="K451" s="89" t="n"/>
      <c r="L451" s="126">
        <f>IF(J451="","",J451+MAX(1,G451)+IF(K451="",0,K451)-1)</f>
        <v/>
      </c>
      <c r="M451" s="72" t="n"/>
      <c r="N451" s="109" t="n"/>
      <c r="O451" s="127">
        <f>IF(D451="","",COUNTIF($H$7:$H$1006,B451))</f>
        <v/>
      </c>
      <c r="P451" s="78">
        <f>IF(D451="","",IF(AND(H451&lt;&gt;"",H451&gt;=B451),"⚠️ Predecessor must be above",IF(M451="Done","✓ Done",IF(Q451=3,"🔴 Late",IF(M451="In progress","In progress","")))))</f>
        <v/>
      </c>
      <c r="Q451" s="79">
        <f>IF(OR(D451="",L451=""),"",IF(M451="Done",2,IF(AsOf&gt;L451,3,1)))</f>
        <v/>
      </c>
      <c r="R451" s="79">
        <f>IF(OR(E451="",F451=""),0,IF(COUNTIFS($E$7:E451,E451,$F$7:F451,F451)=1,1,0))</f>
        <v/>
      </c>
      <c r="S451" s="79">
        <f>IF(R451=1,E451&amp;"|"&amp;SUMIFS($R$7:R451,$E$7:E451,E451),"")</f>
        <v/>
      </c>
      <c r="T451" s="112">
        <f>IF(Q451="","",IF(Q451=3,L451,IF(OR(M451="Not started",M451=""),J451,"")))</f>
        <v/>
      </c>
      <c r="U451" s="79">
        <f>IF(T451="","",IF(Q451=3,1,IF(T451="","",IF(T451&lt;AsOf,1,IF(T451&lt;=AsOf+AlertDays,2,IF(T451&lt;=AsOf+2*AlertDays,3,""))))))</f>
        <v/>
      </c>
      <c r="V451" s="79">
        <f>IF(U451="","",IF(Q451=3,"Late task: "&amp;D451,IF(T451&lt;AsOf,"Should have started: ","Starts soon: ")&amp;D451)&amp;IF(F451="",""," — "&amp;F451))</f>
        <v/>
      </c>
    </row>
    <row r="452" ht="20" customHeight="1">
      <c r="B452" s="125" t="n">
        <v>446</v>
      </c>
      <c r="C452" s="72" t="n"/>
      <c r="D452" s="72" t="n"/>
      <c r="E452" s="72" t="n"/>
      <c r="F452" s="72" t="n"/>
      <c r="G452" s="89" t="n"/>
      <c r="H452" s="89" t="n"/>
      <c r="I452" s="109" t="n"/>
      <c r="J452" s="126">
        <f>IF(OR(D452="",ProjStart=""),"",MAX(ProjStart,IF(I452&lt;&gt;"",I452,0),IF(H452="",0,IFERROR(INDEX($L$6:L451,MATCH(H452,$B$6:B451,0))+1,0))))</f>
        <v/>
      </c>
      <c r="K452" s="89" t="n"/>
      <c r="L452" s="126">
        <f>IF(J452="","",J452+MAX(1,G452)+IF(K452="",0,K452)-1)</f>
        <v/>
      </c>
      <c r="M452" s="72" t="n"/>
      <c r="N452" s="109" t="n"/>
      <c r="O452" s="127">
        <f>IF(D452="","",COUNTIF($H$7:$H$1006,B452))</f>
        <v/>
      </c>
      <c r="P452" s="78">
        <f>IF(D452="","",IF(AND(H452&lt;&gt;"",H452&gt;=B452),"⚠️ Predecessor must be above",IF(M452="Done","✓ Done",IF(Q452=3,"🔴 Late",IF(M452="In progress","In progress","")))))</f>
        <v/>
      </c>
      <c r="Q452" s="79">
        <f>IF(OR(D452="",L452=""),"",IF(M452="Done",2,IF(AsOf&gt;L452,3,1)))</f>
        <v/>
      </c>
      <c r="R452" s="79">
        <f>IF(OR(E452="",F452=""),0,IF(COUNTIFS($E$7:E452,E452,$F$7:F452,F452)=1,1,0))</f>
        <v/>
      </c>
      <c r="S452" s="79">
        <f>IF(R452=1,E452&amp;"|"&amp;SUMIFS($R$7:R452,$E$7:E452,E452),"")</f>
        <v/>
      </c>
      <c r="T452" s="112">
        <f>IF(Q452="","",IF(Q452=3,L452,IF(OR(M452="Not started",M452=""),J452,"")))</f>
        <v/>
      </c>
      <c r="U452" s="79">
        <f>IF(T452="","",IF(Q452=3,1,IF(T452="","",IF(T452&lt;AsOf,1,IF(T452&lt;=AsOf+AlertDays,2,IF(T452&lt;=AsOf+2*AlertDays,3,""))))))</f>
        <v/>
      </c>
      <c r="V452" s="79">
        <f>IF(U452="","",IF(Q452=3,"Late task: "&amp;D452,IF(T452&lt;AsOf,"Should have started: ","Starts soon: ")&amp;D452)&amp;IF(F452="",""," — "&amp;F452))</f>
        <v/>
      </c>
    </row>
    <row r="453" ht="20" customHeight="1">
      <c r="B453" s="125" t="n">
        <v>447</v>
      </c>
      <c r="C453" s="72" t="n"/>
      <c r="D453" s="72" t="n"/>
      <c r="E453" s="72" t="n"/>
      <c r="F453" s="72" t="n"/>
      <c r="G453" s="89" t="n"/>
      <c r="H453" s="89" t="n"/>
      <c r="I453" s="109" t="n"/>
      <c r="J453" s="126">
        <f>IF(OR(D453="",ProjStart=""),"",MAX(ProjStart,IF(I453&lt;&gt;"",I453,0),IF(H453="",0,IFERROR(INDEX($L$6:L452,MATCH(H453,$B$6:B452,0))+1,0))))</f>
        <v/>
      </c>
      <c r="K453" s="89" t="n"/>
      <c r="L453" s="126">
        <f>IF(J453="","",J453+MAX(1,G453)+IF(K453="",0,K453)-1)</f>
        <v/>
      </c>
      <c r="M453" s="72" t="n"/>
      <c r="N453" s="109" t="n"/>
      <c r="O453" s="127">
        <f>IF(D453="","",COUNTIF($H$7:$H$1006,B453))</f>
        <v/>
      </c>
      <c r="P453" s="78">
        <f>IF(D453="","",IF(AND(H453&lt;&gt;"",H453&gt;=B453),"⚠️ Predecessor must be above",IF(M453="Done","✓ Done",IF(Q453=3,"🔴 Late",IF(M453="In progress","In progress","")))))</f>
        <v/>
      </c>
      <c r="Q453" s="79">
        <f>IF(OR(D453="",L453=""),"",IF(M453="Done",2,IF(AsOf&gt;L453,3,1)))</f>
        <v/>
      </c>
      <c r="R453" s="79">
        <f>IF(OR(E453="",F453=""),0,IF(COUNTIFS($E$7:E453,E453,$F$7:F453,F453)=1,1,0))</f>
        <v/>
      </c>
      <c r="S453" s="79">
        <f>IF(R453=1,E453&amp;"|"&amp;SUMIFS($R$7:R453,$E$7:E453,E453),"")</f>
        <v/>
      </c>
      <c r="T453" s="112">
        <f>IF(Q453="","",IF(Q453=3,L453,IF(OR(M453="Not started",M453=""),J453,"")))</f>
        <v/>
      </c>
      <c r="U453" s="79">
        <f>IF(T453="","",IF(Q453=3,1,IF(T453="","",IF(T453&lt;AsOf,1,IF(T453&lt;=AsOf+AlertDays,2,IF(T453&lt;=AsOf+2*AlertDays,3,""))))))</f>
        <v/>
      </c>
      <c r="V453" s="79">
        <f>IF(U453="","",IF(Q453=3,"Late task: "&amp;D453,IF(T453&lt;AsOf,"Should have started: ","Starts soon: ")&amp;D453)&amp;IF(F453="",""," — "&amp;F453))</f>
        <v/>
      </c>
    </row>
    <row r="454" ht="20" customHeight="1">
      <c r="B454" s="125" t="n">
        <v>448</v>
      </c>
      <c r="C454" s="72" t="n"/>
      <c r="D454" s="72" t="n"/>
      <c r="E454" s="72" t="n"/>
      <c r="F454" s="72" t="n"/>
      <c r="G454" s="89" t="n"/>
      <c r="H454" s="89" t="n"/>
      <c r="I454" s="109" t="n"/>
      <c r="J454" s="126">
        <f>IF(OR(D454="",ProjStart=""),"",MAX(ProjStart,IF(I454&lt;&gt;"",I454,0),IF(H454="",0,IFERROR(INDEX($L$6:L453,MATCH(H454,$B$6:B453,0))+1,0))))</f>
        <v/>
      </c>
      <c r="K454" s="89" t="n"/>
      <c r="L454" s="126">
        <f>IF(J454="","",J454+MAX(1,G454)+IF(K454="",0,K454)-1)</f>
        <v/>
      </c>
      <c r="M454" s="72" t="n"/>
      <c r="N454" s="109" t="n"/>
      <c r="O454" s="127">
        <f>IF(D454="","",COUNTIF($H$7:$H$1006,B454))</f>
        <v/>
      </c>
      <c r="P454" s="78">
        <f>IF(D454="","",IF(AND(H454&lt;&gt;"",H454&gt;=B454),"⚠️ Predecessor must be above",IF(M454="Done","✓ Done",IF(Q454=3,"🔴 Late",IF(M454="In progress","In progress","")))))</f>
        <v/>
      </c>
      <c r="Q454" s="79">
        <f>IF(OR(D454="",L454=""),"",IF(M454="Done",2,IF(AsOf&gt;L454,3,1)))</f>
        <v/>
      </c>
      <c r="R454" s="79">
        <f>IF(OR(E454="",F454=""),0,IF(COUNTIFS($E$7:E454,E454,$F$7:F454,F454)=1,1,0))</f>
        <v/>
      </c>
      <c r="S454" s="79">
        <f>IF(R454=1,E454&amp;"|"&amp;SUMIFS($R$7:R454,$E$7:E454,E454),"")</f>
        <v/>
      </c>
      <c r="T454" s="112">
        <f>IF(Q454="","",IF(Q454=3,L454,IF(OR(M454="Not started",M454=""),J454,"")))</f>
        <v/>
      </c>
      <c r="U454" s="79">
        <f>IF(T454="","",IF(Q454=3,1,IF(T454="","",IF(T454&lt;AsOf,1,IF(T454&lt;=AsOf+AlertDays,2,IF(T454&lt;=AsOf+2*AlertDays,3,""))))))</f>
        <v/>
      </c>
      <c r="V454" s="79">
        <f>IF(U454="","",IF(Q454=3,"Late task: "&amp;D454,IF(T454&lt;AsOf,"Should have started: ","Starts soon: ")&amp;D454)&amp;IF(F454="",""," — "&amp;F454))</f>
        <v/>
      </c>
    </row>
    <row r="455" ht="20" customHeight="1">
      <c r="B455" s="125" t="n">
        <v>449</v>
      </c>
      <c r="C455" s="72" t="n"/>
      <c r="D455" s="72" t="n"/>
      <c r="E455" s="72" t="n"/>
      <c r="F455" s="72" t="n"/>
      <c r="G455" s="89" t="n"/>
      <c r="H455" s="89" t="n"/>
      <c r="I455" s="109" t="n"/>
      <c r="J455" s="126">
        <f>IF(OR(D455="",ProjStart=""),"",MAX(ProjStart,IF(I455&lt;&gt;"",I455,0),IF(H455="",0,IFERROR(INDEX($L$6:L454,MATCH(H455,$B$6:B454,0))+1,0))))</f>
        <v/>
      </c>
      <c r="K455" s="89" t="n"/>
      <c r="L455" s="126">
        <f>IF(J455="","",J455+MAX(1,G455)+IF(K455="",0,K455)-1)</f>
        <v/>
      </c>
      <c r="M455" s="72" t="n"/>
      <c r="N455" s="109" t="n"/>
      <c r="O455" s="127">
        <f>IF(D455="","",COUNTIF($H$7:$H$1006,B455))</f>
        <v/>
      </c>
      <c r="P455" s="78">
        <f>IF(D455="","",IF(AND(H455&lt;&gt;"",H455&gt;=B455),"⚠️ Predecessor must be above",IF(M455="Done","✓ Done",IF(Q455=3,"🔴 Late",IF(M455="In progress","In progress","")))))</f>
        <v/>
      </c>
      <c r="Q455" s="79">
        <f>IF(OR(D455="",L455=""),"",IF(M455="Done",2,IF(AsOf&gt;L455,3,1)))</f>
        <v/>
      </c>
      <c r="R455" s="79">
        <f>IF(OR(E455="",F455=""),0,IF(COUNTIFS($E$7:E455,E455,$F$7:F455,F455)=1,1,0))</f>
        <v/>
      </c>
      <c r="S455" s="79">
        <f>IF(R455=1,E455&amp;"|"&amp;SUMIFS($R$7:R455,$E$7:E455,E455),"")</f>
        <v/>
      </c>
      <c r="T455" s="112">
        <f>IF(Q455="","",IF(Q455=3,L455,IF(OR(M455="Not started",M455=""),J455,"")))</f>
        <v/>
      </c>
      <c r="U455" s="79">
        <f>IF(T455="","",IF(Q455=3,1,IF(T455="","",IF(T455&lt;AsOf,1,IF(T455&lt;=AsOf+AlertDays,2,IF(T455&lt;=AsOf+2*AlertDays,3,""))))))</f>
        <v/>
      </c>
      <c r="V455" s="79">
        <f>IF(U455="","",IF(Q455=3,"Late task: "&amp;D455,IF(T455&lt;AsOf,"Should have started: ","Starts soon: ")&amp;D455)&amp;IF(F455="",""," — "&amp;F455))</f>
        <v/>
      </c>
    </row>
    <row r="456" ht="20" customHeight="1">
      <c r="B456" s="125" t="n">
        <v>450</v>
      </c>
      <c r="C456" s="72" t="n"/>
      <c r="D456" s="72" t="n"/>
      <c r="E456" s="72" t="n"/>
      <c r="F456" s="72" t="n"/>
      <c r="G456" s="89" t="n"/>
      <c r="H456" s="89" t="n"/>
      <c r="I456" s="109" t="n"/>
      <c r="J456" s="126">
        <f>IF(OR(D456="",ProjStart=""),"",MAX(ProjStart,IF(I456&lt;&gt;"",I456,0),IF(H456="",0,IFERROR(INDEX($L$6:L455,MATCH(H456,$B$6:B455,0))+1,0))))</f>
        <v/>
      </c>
      <c r="K456" s="89" t="n"/>
      <c r="L456" s="126">
        <f>IF(J456="","",J456+MAX(1,G456)+IF(K456="",0,K456)-1)</f>
        <v/>
      </c>
      <c r="M456" s="72" t="n"/>
      <c r="N456" s="109" t="n"/>
      <c r="O456" s="127">
        <f>IF(D456="","",COUNTIF($H$7:$H$1006,B456))</f>
        <v/>
      </c>
      <c r="P456" s="78">
        <f>IF(D456="","",IF(AND(H456&lt;&gt;"",H456&gt;=B456),"⚠️ Predecessor must be above",IF(M456="Done","✓ Done",IF(Q456=3,"🔴 Late",IF(M456="In progress","In progress","")))))</f>
        <v/>
      </c>
      <c r="Q456" s="79">
        <f>IF(OR(D456="",L456=""),"",IF(M456="Done",2,IF(AsOf&gt;L456,3,1)))</f>
        <v/>
      </c>
      <c r="R456" s="79">
        <f>IF(OR(E456="",F456=""),0,IF(COUNTIFS($E$7:E456,E456,$F$7:F456,F456)=1,1,0))</f>
        <v/>
      </c>
      <c r="S456" s="79">
        <f>IF(R456=1,E456&amp;"|"&amp;SUMIFS($R$7:R456,$E$7:E456,E456),"")</f>
        <v/>
      </c>
      <c r="T456" s="112">
        <f>IF(Q456="","",IF(Q456=3,L456,IF(OR(M456="Not started",M456=""),J456,"")))</f>
        <v/>
      </c>
      <c r="U456" s="79">
        <f>IF(T456="","",IF(Q456=3,1,IF(T456="","",IF(T456&lt;AsOf,1,IF(T456&lt;=AsOf+AlertDays,2,IF(T456&lt;=AsOf+2*AlertDays,3,""))))))</f>
        <v/>
      </c>
      <c r="V456" s="79">
        <f>IF(U456="","",IF(Q456=3,"Late task: "&amp;D456,IF(T456&lt;AsOf,"Should have started: ","Starts soon: ")&amp;D456)&amp;IF(F456="",""," — "&amp;F456))</f>
        <v/>
      </c>
    </row>
    <row r="457" ht="20" customHeight="1">
      <c r="B457" s="125" t="n">
        <v>451</v>
      </c>
      <c r="C457" s="72" t="n"/>
      <c r="D457" s="72" t="n"/>
      <c r="E457" s="72" t="n"/>
      <c r="F457" s="72" t="n"/>
      <c r="G457" s="89" t="n"/>
      <c r="H457" s="89" t="n"/>
      <c r="I457" s="109" t="n"/>
      <c r="J457" s="126">
        <f>IF(OR(D457="",ProjStart=""),"",MAX(ProjStart,IF(I457&lt;&gt;"",I457,0),IF(H457="",0,IFERROR(INDEX($L$6:L456,MATCH(H457,$B$6:B456,0))+1,0))))</f>
        <v/>
      </c>
      <c r="K457" s="89" t="n"/>
      <c r="L457" s="126">
        <f>IF(J457="","",J457+MAX(1,G457)+IF(K457="",0,K457)-1)</f>
        <v/>
      </c>
      <c r="M457" s="72" t="n"/>
      <c r="N457" s="109" t="n"/>
      <c r="O457" s="127">
        <f>IF(D457="","",COUNTIF($H$7:$H$1006,B457))</f>
        <v/>
      </c>
      <c r="P457" s="78">
        <f>IF(D457="","",IF(AND(H457&lt;&gt;"",H457&gt;=B457),"⚠️ Predecessor must be above",IF(M457="Done","✓ Done",IF(Q457=3,"🔴 Late",IF(M457="In progress","In progress","")))))</f>
        <v/>
      </c>
      <c r="Q457" s="79">
        <f>IF(OR(D457="",L457=""),"",IF(M457="Done",2,IF(AsOf&gt;L457,3,1)))</f>
        <v/>
      </c>
      <c r="R457" s="79">
        <f>IF(OR(E457="",F457=""),0,IF(COUNTIFS($E$7:E457,E457,$F$7:F457,F457)=1,1,0))</f>
        <v/>
      </c>
      <c r="S457" s="79">
        <f>IF(R457=1,E457&amp;"|"&amp;SUMIFS($R$7:R457,$E$7:E457,E457),"")</f>
        <v/>
      </c>
      <c r="T457" s="112">
        <f>IF(Q457="","",IF(Q457=3,L457,IF(OR(M457="Not started",M457=""),J457,"")))</f>
        <v/>
      </c>
      <c r="U457" s="79">
        <f>IF(T457="","",IF(Q457=3,1,IF(T457="","",IF(T457&lt;AsOf,1,IF(T457&lt;=AsOf+AlertDays,2,IF(T457&lt;=AsOf+2*AlertDays,3,""))))))</f>
        <v/>
      </c>
      <c r="V457" s="79">
        <f>IF(U457="","",IF(Q457=3,"Late task: "&amp;D457,IF(T457&lt;AsOf,"Should have started: ","Starts soon: ")&amp;D457)&amp;IF(F457="",""," — "&amp;F457))</f>
        <v/>
      </c>
    </row>
    <row r="458" ht="20" customHeight="1">
      <c r="B458" s="125" t="n">
        <v>452</v>
      </c>
      <c r="C458" s="72" t="n"/>
      <c r="D458" s="72" t="n"/>
      <c r="E458" s="72" t="n"/>
      <c r="F458" s="72" t="n"/>
      <c r="G458" s="89" t="n"/>
      <c r="H458" s="89" t="n"/>
      <c r="I458" s="109" t="n"/>
      <c r="J458" s="126">
        <f>IF(OR(D458="",ProjStart=""),"",MAX(ProjStart,IF(I458&lt;&gt;"",I458,0),IF(H458="",0,IFERROR(INDEX($L$6:L457,MATCH(H458,$B$6:B457,0))+1,0))))</f>
        <v/>
      </c>
      <c r="K458" s="89" t="n"/>
      <c r="L458" s="126">
        <f>IF(J458="","",J458+MAX(1,G458)+IF(K458="",0,K458)-1)</f>
        <v/>
      </c>
      <c r="M458" s="72" t="n"/>
      <c r="N458" s="109" t="n"/>
      <c r="O458" s="127">
        <f>IF(D458="","",COUNTIF($H$7:$H$1006,B458))</f>
        <v/>
      </c>
      <c r="P458" s="78">
        <f>IF(D458="","",IF(AND(H458&lt;&gt;"",H458&gt;=B458),"⚠️ Predecessor must be above",IF(M458="Done","✓ Done",IF(Q458=3,"🔴 Late",IF(M458="In progress","In progress","")))))</f>
        <v/>
      </c>
      <c r="Q458" s="79">
        <f>IF(OR(D458="",L458=""),"",IF(M458="Done",2,IF(AsOf&gt;L458,3,1)))</f>
        <v/>
      </c>
      <c r="R458" s="79">
        <f>IF(OR(E458="",F458=""),0,IF(COUNTIFS($E$7:E458,E458,$F$7:F458,F458)=1,1,0))</f>
        <v/>
      </c>
      <c r="S458" s="79">
        <f>IF(R458=1,E458&amp;"|"&amp;SUMIFS($R$7:R458,$E$7:E458,E458),"")</f>
        <v/>
      </c>
      <c r="T458" s="112">
        <f>IF(Q458="","",IF(Q458=3,L458,IF(OR(M458="Not started",M458=""),J458,"")))</f>
        <v/>
      </c>
      <c r="U458" s="79">
        <f>IF(T458="","",IF(Q458=3,1,IF(T458="","",IF(T458&lt;AsOf,1,IF(T458&lt;=AsOf+AlertDays,2,IF(T458&lt;=AsOf+2*AlertDays,3,""))))))</f>
        <v/>
      </c>
      <c r="V458" s="79">
        <f>IF(U458="","",IF(Q458=3,"Late task: "&amp;D458,IF(T458&lt;AsOf,"Should have started: ","Starts soon: ")&amp;D458)&amp;IF(F458="",""," — "&amp;F458))</f>
        <v/>
      </c>
    </row>
    <row r="459" ht="20" customHeight="1">
      <c r="B459" s="125" t="n">
        <v>453</v>
      </c>
      <c r="C459" s="72" t="n"/>
      <c r="D459" s="72" t="n"/>
      <c r="E459" s="72" t="n"/>
      <c r="F459" s="72" t="n"/>
      <c r="G459" s="89" t="n"/>
      <c r="H459" s="89" t="n"/>
      <c r="I459" s="109" t="n"/>
      <c r="J459" s="126">
        <f>IF(OR(D459="",ProjStart=""),"",MAX(ProjStart,IF(I459&lt;&gt;"",I459,0),IF(H459="",0,IFERROR(INDEX($L$6:L458,MATCH(H459,$B$6:B458,0))+1,0))))</f>
        <v/>
      </c>
      <c r="K459" s="89" t="n"/>
      <c r="L459" s="126">
        <f>IF(J459="","",J459+MAX(1,G459)+IF(K459="",0,K459)-1)</f>
        <v/>
      </c>
      <c r="M459" s="72" t="n"/>
      <c r="N459" s="109" t="n"/>
      <c r="O459" s="127">
        <f>IF(D459="","",COUNTIF($H$7:$H$1006,B459))</f>
        <v/>
      </c>
      <c r="P459" s="78">
        <f>IF(D459="","",IF(AND(H459&lt;&gt;"",H459&gt;=B459),"⚠️ Predecessor must be above",IF(M459="Done","✓ Done",IF(Q459=3,"🔴 Late",IF(M459="In progress","In progress","")))))</f>
        <v/>
      </c>
      <c r="Q459" s="79">
        <f>IF(OR(D459="",L459=""),"",IF(M459="Done",2,IF(AsOf&gt;L459,3,1)))</f>
        <v/>
      </c>
      <c r="R459" s="79">
        <f>IF(OR(E459="",F459=""),0,IF(COUNTIFS($E$7:E459,E459,$F$7:F459,F459)=1,1,0))</f>
        <v/>
      </c>
      <c r="S459" s="79">
        <f>IF(R459=1,E459&amp;"|"&amp;SUMIFS($R$7:R459,$E$7:E459,E459),"")</f>
        <v/>
      </c>
      <c r="T459" s="112">
        <f>IF(Q459="","",IF(Q459=3,L459,IF(OR(M459="Not started",M459=""),J459,"")))</f>
        <v/>
      </c>
      <c r="U459" s="79">
        <f>IF(T459="","",IF(Q459=3,1,IF(T459="","",IF(T459&lt;AsOf,1,IF(T459&lt;=AsOf+AlertDays,2,IF(T459&lt;=AsOf+2*AlertDays,3,""))))))</f>
        <v/>
      </c>
      <c r="V459" s="79">
        <f>IF(U459="","",IF(Q459=3,"Late task: "&amp;D459,IF(T459&lt;AsOf,"Should have started: ","Starts soon: ")&amp;D459)&amp;IF(F459="",""," — "&amp;F459))</f>
        <v/>
      </c>
    </row>
    <row r="460" ht="20" customHeight="1">
      <c r="B460" s="125" t="n">
        <v>454</v>
      </c>
      <c r="C460" s="72" t="n"/>
      <c r="D460" s="72" t="n"/>
      <c r="E460" s="72" t="n"/>
      <c r="F460" s="72" t="n"/>
      <c r="G460" s="89" t="n"/>
      <c r="H460" s="89" t="n"/>
      <c r="I460" s="109" t="n"/>
      <c r="J460" s="126">
        <f>IF(OR(D460="",ProjStart=""),"",MAX(ProjStart,IF(I460&lt;&gt;"",I460,0),IF(H460="",0,IFERROR(INDEX($L$6:L459,MATCH(H460,$B$6:B459,0))+1,0))))</f>
        <v/>
      </c>
      <c r="K460" s="89" t="n"/>
      <c r="L460" s="126">
        <f>IF(J460="","",J460+MAX(1,G460)+IF(K460="",0,K460)-1)</f>
        <v/>
      </c>
      <c r="M460" s="72" t="n"/>
      <c r="N460" s="109" t="n"/>
      <c r="O460" s="127">
        <f>IF(D460="","",COUNTIF($H$7:$H$1006,B460))</f>
        <v/>
      </c>
      <c r="P460" s="78">
        <f>IF(D460="","",IF(AND(H460&lt;&gt;"",H460&gt;=B460),"⚠️ Predecessor must be above",IF(M460="Done","✓ Done",IF(Q460=3,"🔴 Late",IF(M460="In progress","In progress","")))))</f>
        <v/>
      </c>
      <c r="Q460" s="79">
        <f>IF(OR(D460="",L460=""),"",IF(M460="Done",2,IF(AsOf&gt;L460,3,1)))</f>
        <v/>
      </c>
      <c r="R460" s="79">
        <f>IF(OR(E460="",F460=""),0,IF(COUNTIFS($E$7:E460,E460,$F$7:F460,F460)=1,1,0))</f>
        <v/>
      </c>
      <c r="S460" s="79">
        <f>IF(R460=1,E460&amp;"|"&amp;SUMIFS($R$7:R460,$E$7:E460,E460),"")</f>
        <v/>
      </c>
      <c r="T460" s="112">
        <f>IF(Q460="","",IF(Q460=3,L460,IF(OR(M460="Not started",M460=""),J460,"")))</f>
        <v/>
      </c>
      <c r="U460" s="79">
        <f>IF(T460="","",IF(Q460=3,1,IF(T460="","",IF(T460&lt;AsOf,1,IF(T460&lt;=AsOf+AlertDays,2,IF(T460&lt;=AsOf+2*AlertDays,3,""))))))</f>
        <v/>
      </c>
      <c r="V460" s="79">
        <f>IF(U460="","",IF(Q460=3,"Late task: "&amp;D460,IF(T460&lt;AsOf,"Should have started: ","Starts soon: ")&amp;D460)&amp;IF(F460="",""," — "&amp;F460))</f>
        <v/>
      </c>
    </row>
    <row r="461" ht="20" customHeight="1">
      <c r="B461" s="125" t="n">
        <v>455</v>
      </c>
      <c r="C461" s="72" t="n"/>
      <c r="D461" s="72" t="n"/>
      <c r="E461" s="72" t="n"/>
      <c r="F461" s="72" t="n"/>
      <c r="G461" s="89" t="n"/>
      <c r="H461" s="89" t="n"/>
      <c r="I461" s="109" t="n"/>
      <c r="J461" s="126">
        <f>IF(OR(D461="",ProjStart=""),"",MAX(ProjStart,IF(I461&lt;&gt;"",I461,0),IF(H461="",0,IFERROR(INDEX($L$6:L460,MATCH(H461,$B$6:B460,0))+1,0))))</f>
        <v/>
      </c>
      <c r="K461" s="89" t="n"/>
      <c r="L461" s="126">
        <f>IF(J461="","",J461+MAX(1,G461)+IF(K461="",0,K461)-1)</f>
        <v/>
      </c>
      <c r="M461" s="72" t="n"/>
      <c r="N461" s="109" t="n"/>
      <c r="O461" s="127">
        <f>IF(D461="","",COUNTIF($H$7:$H$1006,B461))</f>
        <v/>
      </c>
      <c r="P461" s="78">
        <f>IF(D461="","",IF(AND(H461&lt;&gt;"",H461&gt;=B461),"⚠️ Predecessor must be above",IF(M461="Done","✓ Done",IF(Q461=3,"🔴 Late",IF(M461="In progress","In progress","")))))</f>
        <v/>
      </c>
      <c r="Q461" s="79">
        <f>IF(OR(D461="",L461=""),"",IF(M461="Done",2,IF(AsOf&gt;L461,3,1)))</f>
        <v/>
      </c>
      <c r="R461" s="79">
        <f>IF(OR(E461="",F461=""),0,IF(COUNTIFS($E$7:E461,E461,$F$7:F461,F461)=1,1,0))</f>
        <v/>
      </c>
      <c r="S461" s="79">
        <f>IF(R461=1,E461&amp;"|"&amp;SUMIFS($R$7:R461,$E$7:E461,E461),"")</f>
        <v/>
      </c>
      <c r="T461" s="112">
        <f>IF(Q461="","",IF(Q461=3,L461,IF(OR(M461="Not started",M461=""),J461,"")))</f>
        <v/>
      </c>
      <c r="U461" s="79">
        <f>IF(T461="","",IF(Q461=3,1,IF(T461="","",IF(T461&lt;AsOf,1,IF(T461&lt;=AsOf+AlertDays,2,IF(T461&lt;=AsOf+2*AlertDays,3,""))))))</f>
        <v/>
      </c>
      <c r="V461" s="79">
        <f>IF(U461="","",IF(Q461=3,"Late task: "&amp;D461,IF(T461&lt;AsOf,"Should have started: ","Starts soon: ")&amp;D461)&amp;IF(F461="",""," — "&amp;F461))</f>
        <v/>
      </c>
    </row>
    <row r="462" ht="20" customHeight="1">
      <c r="B462" s="125" t="n">
        <v>456</v>
      </c>
      <c r="C462" s="72" t="n"/>
      <c r="D462" s="72" t="n"/>
      <c r="E462" s="72" t="n"/>
      <c r="F462" s="72" t="n"/>
      <c r="G462" s="89" t="n"/>
      <c r="H462" s="89" t="n"/>
      <c r="I462" s="109" t="n"/>
      <c r="J462" s="126">
        <f>IF(OR(D462="",ProjStart=""),"",MAX(ProjStart,IF(I462&lt;&gt;"",I462,0),IF(H462="",0,IFERROR(INDEX($L$6:L461,MATCH(H462,$B$6:B461,0))+1,0))))</f>
        <v/>
      </c>
      <c r="K462" s="89" t="n"/>
      <c r="L462" s="126">
        <f>IF(J462="","",J462+MAX(1,G462)+IF(K462="",0,K462)-1)</f>
        <v/>
      </c>
      <c r="M462" s="72" t="n"/>
      <c r="N462" s="109" t="n"/>
      <c r="O462" s="127">
        <f>IF(D462="","",COUNTIF($H$7:$H$1006,B462))</f>
        <v/>
      </c>
      <c r="P462" s="78">
        <f>IF(D462="","",IF(AND(H462&lt;&gt;"",H462&gt;=B462),"⚠️ Predecessor must be above",IF(M462="Done","✓ Done",IF(Q462=3,"🔴 Late",IF(M462="In progress","In progress","")))))</f>
        <v/>
      </c>
      <c r="Q462" s="79">
        <f>IF(OR(D462="",L462=""),"",IF(M462="Done",2,IF(AsOf&gt;L462,3,1)))</f>
        <v/>
      </c>
      <c r="R462" s="79">
        <f>IF(OR(E462="",F462=""),0,IF(COUNTIFS($E$7:E462,E462,$F$7:F462,F462)=1,1,0))</f>
        <v/>
      </c>
      <c r="S462" s="79">
        <f>IF(R462=1,E462&amp;"|"&amp;SUMIFS($R$7:R462,$E$7:E462,E462),"")</f>
        <v/>
      </c>
      <c r="T462" s="112">
        <f>IF(Q462="","",IF(Q462=3,L462,IF(OR(M462="Not started",M462=""),J462,"")))</f>
        <v/>
      </c>
      <c r="U462" s="79">
        <f>IF(T462="","",IF(Q462=3,1,IF(T462="","",IF(T462&lt;AsOf,1,IF(T462&lt;=AsOf+AlertDays,2,IF(T462&lt;=AsOf+2*AlertDays,3,""))))))</f>
        <v/>
      </c>
      <c r="V462" s="79">
        <f>IF(U462="","",IF(Q462=3,"Late task: "&amp;D462,IF(T462&lt;AsOf,"Should have started: ","Starts soon: ")&amp;D462)&amp;IF(F462="",""," — "&amp;F462))</f>
        <v/>
      </c>
    </row>
    <row r="463" ht="20" customHeight="1">
      <c r="B463" s="125" t="n">
        <v>457</v>
      </c>
      <c r="C463" s="72" t="n"/>
      <c r="D463" s="72" t="n"/>
      <c r="E463" s="72" t="n"/>
      <c r="F463" s="72" t="n"/>
      <c r="G463" s="89" t="n"/>
      <c r="H463" s="89" t="n"/>
      <c r="I463" s="109" t="n"/>
      <c r="J463" s="126">
        <f>IF(OR(D463="",ProjStart=""),"",MAX(ProjStart,IF(I463&lt;&gt;"",I463,0),IF(H463="",0,IFERROR(INDEX($L$6:L462,MATCH(H463,$B$6:B462,0))+1,0))))</f>
        <v/>
      </c>
      <c r="K463" s="89" t="n"/>
      <c r="L463" s="126">
        <f>IF(J463="","",J463+MAX(1,G463)+IF(K463="",0,K463)-1)</f>
        <v/>
      </c>
      <c r="M463" s="72" t="n"/>
      <c r="N463" s="109" t="n"/>
      <c r="O463" s="127">
        <f>IF(D463="","",COUNTIF($H$7:$H$1006,B463))</f>
        <v/>
      </c>
      <c r="P463" s="78">
        <f>IF(D463="","",IF(AND(H463&lt;&gt;"",H463&gt;=B463),"⚠️ Predecessor must be above",IF(M463="Done","✓ Done",IF(Q463=3,"🔴 Late",IF(M463="In progress","In progress","")))))</f>
        <v/>
      </c>
      <c r="Q463" s="79">
        <f>IF(OR(D463="",L463=""),"",IF(M463="Done",2,IF(AsOf&gt;L463,3,1)))</f>
        <v/>
      </c>
      <c r="R463" s="79">
        <f>IF(OR(E463="",F463=""),0,IF(COUNTIFS($E$7:E463,E463,$F$7:F463,F463)=1,1,0))</f>
        <v/>
      </c>
      <c r="S463" s="79">
        <f>IF(R463=1,E463&amp;"|"&amp;SUMIFS($R$7:R463,$E$7:E463,E463),"")</f>
        <v/>
      </c>
      <c r="T463" s="112">
        <f>IF(Q463="","",IF(Q463=3,L463,IF(OR(M463="Not started",M463=""),J463,"")))</f>
        <v/>
      </c>
      <c r="U463" s="79">
        <f>IF(T463="","",IF(Q463=3,1,IF(T463="","",IF(T463&lt;AsOf,1,IF(T463&lt;=AsOf+AlertDays,2,IF(T463&lt;=AsOf+2*AlertDays,3,""))))))</f>
        <v/>
      </c>
      <c r="V463" s="79">
        <f>IF(U463="","",IF(Q463=3,"Late task: "&amp;D463,IF(T463&lt;AsOf,"Should have started: ","Starts soon: ")&amp;D463)&amp;IF(F463="",""," — "&amp;F463))</f>
        <v/>
      </c>
    </row>
    <row r="464" ht="20" customHeight="1">
      <c r="B464" s="125" t="n">
        <v>458</v>
      </c>
      <c r="C464" s="72" t="n"/>
      <c r="D464" s="72" t="n"/>
      <c r="E464" s="72" t="n"/>
      <c r="F464" s="72" t="n"/>
      <c r="G464" s="89" t="n"/>
      <c r="H464" s="89" t="n"/>
      <c r="I464" s="109" t="n"/>
      <c r="J464" s="126">
        <f>IF(OR(D464="",ProjStart=""),"",MAX(ProjStart,IF(I464&lt;&gt;"",I464,0),IF(H464="",0,IFERROR(INDEX($L$6:L463,MATCH(H464,$B$6:B463,0))+1,0))))</f>
        <v/>
      </c>
      <c r="K464" s="89" t="n"/>
      <c r="L464" s="126">
        <f>IF(J464="","",J464+MAX(1,G464)+IF(K464="",0,K464)-1)</f>
        <v/>
      </c>
      <c r="M464" s="72" t="n"/>
      <c r="N464" s="109" t="n"/>
      <c r="O464" s="127">
        <f>IF(D464="","",COUNTIF($H$7:$H$1006,B464))</f>
        <v/>
      </c>
      <c r="P464" s="78">
        <f>IF(D464="","",IF(AND(H464&lt;&gt;"",H464&gt;=B464),"⚠️ Predecessor must be above",IF(M464="Done","✓ Done",IF(Q464=3,"🔴 Late",IF(M464="In progress","In progress","")))))</f>
        <v/>
      </c>
      <c r="Q464" s="79">
        <f>IF(OR(D464="",L464=""),"",IF(M464="Done",2,IF(AsOf&gt;L464,3,1)))</f>
        <v/>
      </c>
      <c r="R464" s="79">
        <f>IF(OR(E464="",F464=""),0,IF(COUNTIFS($E$7:E464,E464,$F$7:F464,F464)=1,1,0))</f>
        <v/>
      </c>
      <c r="S464" s="79">
        <f>IF(R464=1,E464&amp;"|"&amp;SUMIFS($R$7:R464,$E$7:E464,E464),"")</f>
        <v/>
      </c>
      <c r="T464" s="112">
        <f>IF(Q464="","",IF(Q464=3,L464,IF(OR(M464="Not started",M464=""),J464,"")))</f>
        <v/>
      </c>
      <c r="U464" s="79">
        <f>IF(T464="","",IF(Q464=3,1,IF(T464="","",IF(T464&lt;AsOf,1,IF(T464&lt;=AsOf+AlertDays,2,IF(T464&lt;=AsOf+2*AlertDays,3,""))))))</f>
        <v/>
      </c>
      <c r="V464" s="79">
        <f>IF(U464="","",IF(Q464=3,"Late task: "&amp;D464,IF(T464&lt;AsOf,"Should have started: ","Starts soon: ")&amp;D464)&amp;IF(F464="",""," — "&amp;F464))</f>
        <v/>
      </c>
    </row>
    <row r="465" ht="20" customHeight="1">
      <c r="B465" s="125" t="n">
        <v>459</v>
      </c>
      <c r="C465" s="72" t="n"/>
      <c r="D465" s="72" t="n"/>
      <c r="E465" s="72" t="n"/>
      <c r="F465" s="72" t="n"/>
      <c r="G465" s="89" t="n"/>
      <c r="H465" s="89" t="n"/>
      <c r="I465" s="109" t="n"/>
      <c r="J465" s="126">
        <f>IF(OR(D465="",ProjStart=""),"",MAX(ProjStart,IF(I465&lt;&gt;"",I465,0),IF(H465="",0,IFERROR(INDEX($L$6:L464,MATCH(H465,$B$6:B464,0))+1,0))))</f>
        <v/>
      </c>
      <c r="K465" s="89" t="n"/>
      <c r="L465" s="126">
        <f>IF(J465="","",J465+MAX(1,G465)+IF(K465="",0,K465)-1)</f>
        <v/>
      </c>
      <c r="M465" s="72" t="n"/>
      <c r="N465" s="109" t="n"/>
      <c r="O465" s="127">
        <f>IF(D465="","",COUNTIF($H$7:$H$1006,B465))</f>
        <v/>
      </c>
      <c r="P465" s="78">
        <f>IF(D465="","",IF(AND(H465&lt;&gt;"",H465&gt;=B465),"⚠️ Predecessor must be above",IF(M465="Done","✓ Done",IF(Q465=3,"🔴 Late",IF(M465="In progress","In progress","")))))</f>
        <v/>
      </c>
      <c r="Q465" s="79">
        <f>IF(OR(D465="",L465=""),"",IF(M465="Done",2,IF(AsOf&gt;L465,3,1)))</f>
        <v/>
      </c>
      <c r="R465" s="79">
        <f>IF(OR(E465="",F465=""),0,IF(COUNTIFS($E$7:E465,E465,$F$7:F465,F465)=1,1,0))</f>
        <v/>
      </c>
      <c r="S465" s="79">
        <f>IF(R465=1,E465&amp;"|"&amp;SUMIFS($R$7:R465,$E$7:E465,E465),"")</f>
        <v/>
      </c>
      <c r="T465" s="112">
        <f>IF(Q465="","",IF(Q465=3,L465,IF(OR(M465="Not started",M465=""),J465,"")))</f>
        <v/>
      </c>
      <c r="U465" s="79">
        <f>IF(T465="","",IF(Q465=3,1,IF(T465="","",IF(T465&lt;AsOf,1,IF(T465&lt;=AsOf+AlertDays,2,IF(T465&lt;=AsOf+2*AlertDays,3,""))))))</f>
        <v/>
      </c>
      <c r="V465" s="79">
        <f>IF(U465="","",IF(Q465=3,"Late task: "&amp;D465,IF(T465&lt;AsOf,"Should have started: ","Starts soon: ")&amp;D465)&amp;IF(F465="",""," — "&amp;F465))</f>
        <v/>
      </c>
    </row>
    <row r="466" ht="20" customHeight="1">
      <c r="B466" s="125" t="n">
        <v>460</v>
      </c>
      <c r="C466" s="72" t="n"/>
      <c r="D466" s="72" t="n"/>
      <c r="E466" s="72" t="n"/>
      <c r="F466" s="72" t="n"/>
      <c r="G466" s="89" t="n"/>
      <c r="H466" s="89" t="n"/>
      <c r="I466" s="109" t="n"/>
      <c r="J466" s="126">
        <f>IF(OR(D466="",ProjStart=""),"",MAX(ProjStart,IF(I466&lt;&gt;"",I466,0),IF(H466="",0,IFERROR(INDEX($L$6:L465,MATCH(H466,$B$6:B465,0))+1,0))))</f>
        <v/>
      </c>
      <c r="K466" s="89" t="n"/>
      <c r="L466" s="126">
        <f>IF(J466="","",J466+MAX(1,G466)+IF(K466="",0,K466)-1)</f>
        <v/>
      </c>
      <c r="M466" s="72" t="n"/>
      <c r="N466" s="109" t="n"/>
      <c r="O466" s="127">
        <f>IF(D466="","",COUNTIF($H$7:$H$1006,B466))</f>
        <v/>
      </c>
      <c r="P466" s="78">
        <f>IF(D466="","",IF(AND(H466&lt;&gt;"",H466&gt;=B466),"⚠️ Predecessor must be above",IF(M466="Done","✓ Done",IF(Q466=3,"🔴 Late",IF(M466="In progress","In progress","")))))</f>
        <v/>
      </c>
      <c r="Q466" s="79">
        <f>IF(OR(D466="",L466=""),"",IF(M466="Done",2,IF(AsOf&gt;L466,3,1)))</f>
        <v/>
      </c>
      <c r="R466" s="79">
        <f>IF(OR(E466="",F466=""),0,IF(COUNTIFS($E$7:E466,E466,$F$7:F466,F466)=1,1,0))</f>
        <v/>
      </c>
      <c r="S466" s="79">
        <f>IF(R466=1,E466&amp;"|"&amp;SUMIFS($R$7:R466,$E$7:E466,E466),"")</f>
        <v/>
      </c>
      <c r="T466" s="112">
        <f>IF(Q466="","",IF(Q466=3,L466,IF(OR(M466="Not started",M466=""),J466,"")))</f>
        <v/>
      </c>
      <c r="U466" s="79">
        <f>IF(T466="","",IF(Q466=3,1,IF(T466="","",IF(T466&lt;AsOf,1,IF(T466&lt;=AsOf+AlertDays,2,IF(T466&lt;=AsOf+2*AlertDays,3,""))))))</f>
        <v/>
      </c>
      <c r="V466" s="79">
        <f>IF(U466="","",IF(Q466=3,"Late task: "&amp;D466,IF(T466&lt;AsOf,"Should have started: ","Starts soon: ")&amp;D466)&amp;IF(F466="",""," — "&amp;F466))</f>
        <v/>
      </c>
    </row>
    <row r="467" ht="20" customHeight="1">
      <c r="B467" s="125" t="n">
        <v>461</v>
      </c>
      <c r="C467" s="72" t="n"/>
      <c r="D467" s="72" t="n"/>
      <c r="E467" s="72" t="n"/>
      <c r="F467" s="72" t="n"/>
      <c r="G467" s="89" t="n"/>
      <c r="H467" s="89" t="n"/>
      <c r="I467" s="109" t="n"/>
      <c r="J467" s="126">
        <f>IF(OR(D467="",ProjStart=""),"",MAX(ProjStart,IF(I467&lt;&gt;"",I467,0),IF(H467="",0,IFERROR(INDEX($L$6:L466,MATCH(H467,$B$6:B466,0))+1,0))))</f>
        <v/>
      </c>
      <c r="K467" s="89" t="n"/>
      <c r="L467" s="126">
        <f>IF(J467="","",J467+MAX(1,G467)+IF(K467="",0,K467)-1)</f>
        <v/>
      </c>
      <c r="M467" s="72" t="n"/>
      <c r="N467" s="109" t="n"/>
      <c r="O467" s="127">
        <f>IF(D467="","",COUNTIF($H$7:$H$1006,B467))</f>
        <v/>
      </c>
      <c r="P467" s="78">
        <f>IF(D467="","",IF(AND(H467&lt;&gt;"",H467&gt;=B467),"⚠️ Predecessor must be above",IF(M467="Done","✓ Done",IF(Q467=3,"🔴 Late",IF(M467="In progress","In progress","")))))</f>
        <v/>
      </c>
      <c r="Q467" s="79">
        <f>IF(OR(D467="",L467=""),"",IF(M467="Done",2,IF(AsOf&gt;L467,3,1)))</f>
        <v/>
      </c>
      <c r="R467" s="79">
        <f>IF(OR(E467="",F467=""),0,IF(COUNTIFS($E$7:E467,E467,$F$7:F467,F467)=1,1,0))</f>
        <v/>
      </c>
      <c r="S467" s="79">
        <f>IF(R467=1,E467&amp;"|"&amp;SUMIFS($R$7:R467,$E$7:E467,E467),"")</f>
        <v/>
      </c>
      <c r="T467" s="112">
        <f>IF(Q467="","",IF(Q467=3,L467,IF(OR(M467="Not started",M467=""),J467,"")))</f>
        <v/>
      </c>
      <c r="U467" s="79">
        <f>IF(T467="","",IF(Q467=3,1,IF(T467="","",IF(T467&lt;AsOf,1,IF(T467&lt;=AsOf+AlertDays,2,IF(T467&lt;=AsOf+2*AlertDays,3,""))))))</f>
        <v/>
      </c>
      <c r="V467" s="79">
        <f>IF(U467="","",IF(Q467=3,"Late task: "&amp;D467,IF(T467&lt;AsOf,"Should have started: ","Starts soon: ")&amp;D467)&amp;IF(F467="",""," — "&amp;F467))</f>
        <v/>
      </c>
    </row>
    <row r="468" ht="20" customHeight="1">
      <c r="B468" s="125" t="n">
        <v>462</v>
      </c>
      <c r="C468" s="72" t="n"/>
      <c r="D468" s="72" t="n"/>
      <c r="E468" s="72" t="n"/>
      <c r="F468" s="72" t="n"/>
      <c r="G468" s="89" t="n"/>
      <c r="H468" s="89" t="n"/>
      <c r="I468" s="109" t="n"/>
      <c r="J468" s="126">
        <f>IF(OR(D468="",ProjStart=""),"",MAX(ProjStart,IF(I468&lt;&gt;"",I468,0),IF(H468="",0,IFERROR(INDEX($L$6:L467,MATCH(H468,$B$6:B467,0))+1,0))))</f>
        <v/>
      </c>
      <c r="K468" s="89" t="n"/>
      <c r="L468" s="126">
        <f>IF(J468="","",J468+MAX(1,G468)+IF(K468="",0,K468)-1)</f>
        <v/>
      </c>
      <c r="M468" s="72" t="n"/>
      <c r="N468" s="109" t="n"/>
      <c r="O468" s="127">
        <f>IF(D468="","",COUNTIF($H$7:$H$1006,B468))</f>
        <v/>
      </c>
      <c r="P468" s="78">
        <f>IF(D468="","",IF(AND(H468&lt;&gt;"",H468&gt;=B468),"⚠️ Predecessor must be above",IF(M468="Done","✓ Done",IF(Q468=3,"🔴 Late",IF(M468="In progress","In progress","")))))</f>
        <v/>
      </c>
      <c r="Q468" s="79">
        <f>IF(OR(D468="",L468=""),"",IF(M468="Done",2,IF(AsOf&gt;L468,3,1)))</f>
        <v/>
      </c>
      <c r="R468" s="79">
        <f>IF(OR(E468="",F468=""),0,IF(COUNTIFS($E$7:E468,E468,$F$7:F468,F468)=1,1,0))</f>
        <v/>
      </c>
      <c r="S468" s="79">
        <f>IF(R468=1,E468&amp;"|"&amp;SUMIFS($R$7:R468,$E$7:E468,E468),"")</f>
        <v/>
      </c>
      <c r="T468" s="112">
        <f>IF(Q468="","",IF(Q468=3,L468,IF(OR(M468="Not started",M468=""),J468,"")))</f>
        <v/>
      </c>
      <c r="U468" s="79">
        <f>IF(T468="","",IF(Q468=3,1,IF(T468="","",IF(T468&lt;AsOf,1,IF(T468&lt;=AsOf+AlertDays,2,IF(T468&lt;=AsOf+2*AlertDays,3,""))))))</f>
        <v/>
      </c>
      <c r="V468" s="79">
        <f>IF(U468="","",IF(Q468=3,"Late task: "&amp;D468,IF(T468&lt;AsOf,"Should have started: ","Starts soon: ")&amp;D468)&amp;IF(F468="",""," — "&amp;F468))</f>
        <v/>
      </c>
    </row>
    <row r="469" ht="20" customHeight="1">
      <c r="B469" s="125" t="n">
        <v>463</v>
      </c>
      <c r="C469" s="72" t="n"/>
      <c r="D469" s="72" t="n"/>
      <c r="E469" s="72" t="n"/>
      <c r="F469" s="72" t="n"/>
      <c r="G469" s="89" t="n"/>
      <c r="H469" s="89" t="n"/>
      <c r="I469" s="109" t="n"/>
      <c r="J469" s="126">
        <f>IF(OR(D469="",ProjStart=""),"",MAX(ProjStart,IF(I469&lt;&gt;"",I469,0),IF(H469="",0,IFERROR(INDEX($L$6:L468,MATCH(H469,$B$6:B468,0))+1,0))))</f>
        <v/>
      </c>
      <c r="K469" s="89" t="n"/>
      <c r="L469" s="126">
        <f>IF(J469="","",J469+MAX(1,G469)+IF(K469="",0,K469)-1)</f>
        <v/>
      </c>
      <c r="M469" s="72" t="n"/>
      <c r="N469" s="109" t="n"/>
      <c r="O469" s="127">
        <f>IF(D469="","",COUNTIF($H$7:$H$1006,B469))</f>
        <v/>
      </c>
      <c r="P469" s="78">
        <f>IF(D469="","",IF(AND(H469&lt;&gt;"",H469&gt;=B469),"⚠️ Predecessor must be above",IF(M469="Done","✓ Done",IF(Q469=3,"🔴 Late",IF(M469="In progress","In progress","")))))</f>
        <v/>
      </c>
      <c r="Q469" s="79">
        <f>IF(OR(D469="",L469=""),"",IF(M469="Done",2,IF(AsOf&gt;L469,3,1)))</f>
        <v/>
      </c>
      <c r="R469" s="79">
        <f>IF(OR(E469="",F469=""),0,IF(COUNTIFS($E$7:E469,E469,$F$7:F469,F469)=1,1,0))</f>
        <v/>
      </c>
      <c r="S469" s="79">
        <f>IF(R469=1,E469&amp;"|"&amp;SUMIFS($R$7:R469,$E$7:E469,E469),"")</f>
        <v/>
      </c>
      <c r="T469" s="112">
        <f>IF(Q469="","",IF(Q469=3,L469,IF(OR(M469="Not started",M469=""),J469,"")))</f>
        <v/>
      </c>
      <c r="U469" s="79">
        <f>IF(T469="","",IF(Q469=3,1,IF(T469="","",IF(T469&lt;AsOf,1,IF(T469&lt;=AsOf+AlertDays,2,IF(T469&lt;=AsOf+2*AlertDays,3,""))))))</f>
        <v/>
      </c>
      <c r="V469" s="79">
        <f>IF(U469="","",IF(Q469=3,"Late task: "&amp;D469,IF(T469&lt;AsOf,"Should have started: ","Starts soon: ")&amp;D469)&amp;IF(F469="",""," — "&amp;F469))</f>
        <v/>
      </c>
    </row>
    <row r="470" ht="20" customHeight="1">
      <c r="B470" s="125" t="n">
        <v>464</v>
      </c>
      <c r="C470" s="72" t="n"/>
      <c r="D470" s="72" t="n"/>
      <c r="E470" s="72" t="n"/>
      <c r="F470" s="72" t="n"/>
      <c r="G470" s="89" t="n"/>
      <c r="H470" s="89" t="n"/>
      <c r="I470" s="109" t="n"/>
      <c r="J470" s="126">
        <f>IF(OR(D470="",ProjStart=""),"",MAX(ProjStart,IF(I470&lt;&gt;"",I470,0),IF(H470="",0,IFERROR(INDEX($L$6:L469,MATCH(H470,$B$6:B469,0))+1,0))))</f>
        <v/>
      </c>
      <c r="K470" s="89" t="n"/>
      <c r="L470" s="126">
        <f>IF(J470="","",J470+MAX(1,G470)+IF(K470="",0,K470)-1)</f>
        <v/>
      </c>
      <c r="M470" s="72" t="n"/>
      <c r="N470" s="109" t="n"/>
      <c r="O470" s="127">
        <f>IF(D470="","",COUNTIF($H$7:$H$1006,B470))</f>
        <v/>
      </c>
      <c r="P470" s="78">
        <f>IF(D470="","",IF(AND(H470&lt;&gt;"",H470&gt;=B470),"⚠️ Predecessor must be above",IF(M470="Done","✓ Done",IF(Q470=3,"🔴 Late",IF(M470="In progress","In progress","")))))</f>
        <v/>
      </c>
      <c r="Q470" s="79">
        <f>IF(OR(D470="",L470=""),"",IF(M470="Done",2,IF(AsOf&gt;L470,3,1)))</f>
        <v/>
      </c>
      <c r="R470" s="79">
        <f>IF(OR(E470="",F470=""),0,IF(COUNTIFS($E$7:E470,E470,$F$7:F470,F470)=1,1,0))</f>
        <v/>
      </c>
      <c r="S470" s="79">
        <f>IF(R470=1,E470&amp;"|"&amp;SUMIFS($R$7:R470,$E$7:E470,E470),"")</f>
        <v/>
      </c>
      <c r="T470" s="112">
        <f>IF(Q470="","",IF(Q470=3,L470,IF(OR(M470="Not started",M470=""),J470,"")))</f>
        <v/>
      </c>
      <c r="U470" s="79">
        <f>IF(T470="","",IF(Q470=3,1,IF(T470="","",IF(T470&lt;AsOf,1,IF(T470&lt;=AsOf+AlertDays,2,IF(T470&lt;=AsOf+2*AlertDays,3,""))))))</f>
        <v/>
      </c>
      <c r="V470" s="79">
        <f>IF(U470="","",IF(Q470=3,"Late task: "&amp;D470,IF(T470&lt;AsOf,"Should have started: ","Starts soon: ")&amp;D470)&amp;IF(F470="",""," — "&amp;F470))</f>
        <v/>
      </c>
    </row>
    <row r="471" ht="20" customHeight="1">
      <c r="B471" s="125" t="n">
        <v>465</v>
      </c>
      <c r="C471" s="72" t="n"/>
      <c r="D471" s="72" t="n"/>
      <c r="E471" s="72" t="n"/>
      <c r="F471" s="72" t="n"/>
      <c r="G471" s="89" t="n"/>
      <c r="H471" s="89" t="n"/>
      <c r="I471" s="109" t="n"/>
      <c r="J471" s="126">
        <f>IF(OR(D471="",ProjStart=""),"",MAX(ProjStart,IF(I471&lt;&gt;"",I471,0),IF(H471="",0,IFERROR(INDEX($L$6:L470,MATCH(H471,$B$6:B470,0))+1,0))))</f>
        <v/>
      </c>
      <c r="K471" s="89" t="n"/>
      <c r="L471" s="126">
        <f>IF(J471="","",J471+MAX(1,G471)+IF(K471="",0,K471)-1)</f>
        <v/>
      </c>
      <c r="M471" s="72" t="n"/>
      <c r="N471" s="109" t="n"/>
      <c r="O471" s="127">
        <f>IF(D471="","",COUNTIF($H$7:$H$1006,B471))</f>
        <v/>
      </c>
      <c r="P471" s="78">
        <f>IF(D471="","",IF(AND(H471&lt;&gt;"",H471&gt;=B471),"⚠️ Predecessor must be above",IF(M471="Done","✓ Done",IF(Q471=3,"🔴 Late",IF(M471="In progress","In progress","")))))</f>
        <v/>
      </c>
      <c r="Q471" s="79">
        <f>IF(OR(D471="",L471=""),"",IF(M471="Done",2,IF(AsOf&gt;L471,3,1)))</f>
        <v/>
      </c>
      <c r="R471" s="79">
        <f>IF(OR(E471="",F471=""),0,IF(COUNTIFS($E$7:E471,E471,$F$7:F471,F471)=1,1,0))</f>
        <v/>
      </c>
      <c r="S471" s="79">
        <f>IF(R471=1,E471&amp;"|"&amp;SUMIFS($R$7:R471,$E$7:E471,E471),"")</f>
        <v/>
      </c>
      <c r="T471" s="112">
        <f>IF(Q471="","",IF(Q471=3,L471,IF(OR(M471="Not started",M471=""),J471,"")))</f>
        <v/>
      </c>
      <c r="U471" s="79">
        <f>IF(T471="","",IF(Q471=3,1,IF(T471="","",IF(T471&lt;AsOf,1,IF(T471&lt;=AsOf+AlertDays,2,IF(T471&lt;=AsOf+2*AlertDays,3,""))))))</f>
        <v/>
      </c>
      <c r="V471" s="79">
        <f>IF(U471="","",IF(Q471=3,"Late task: "&amp;D471,IF(T471&lt;AsOf,"Should have started: ","Starts soon: ")&amp;D471)&amp;IF(F471="",""," — "&amp;F471))</f>
        <v/>
      </c>
    </row>
    <row r="472" ht="20" customHeight="1">
      <c r="B472" s="125" t="n">
        <v>466</v>
      </c>
      <c r="C472" s="72" t="n"/>
      <c r="D472" s="72" t="n"/>
      <c r="E472" s="72" t="n"/>
      <c r="F472" s="72" t="n"/>
      <c r="G472" s="89" t="n"/>
      <c r="H472" s="89" t="n"/>
      <c r="I472" s="109" t="n"/>
      <c r="J472" s="126">
        <f>IF(OR(D472="",ProjStart=""),"",MAX(ProjStart,IF(I472&lt;&gt;"",I472,0),IF(H472="",0,IFERROR(INDEX($L$6:L471,MATCH(H472,$B$6:B471,0))+1,0))))</f>
        <v/>
      </c>
      <c r="K472" s="89" t="n"/>
      <c r="L472" s="126">
        <f>IF(J472="","",J472+MAX(1,G472)+IF(K472="",0,K472)-1)</f>
        <v/>
      </c>
      <c r="M472" s="72" t="n"/>
      <c r="N472" s="109" t="n"/>
      <c r="O472" s="127">
        <f>IF(D472="","",COUNTIF($H$7:$H$1006,B472))</f>
        <v/>
      </c>
      <c r="P472" s="78">
        <f>IF(D472="","",IF(AND(H472&lt;&gt;"",H472&gt;=B472),"⚠️ Predecessor must be above",IF(M472="Done","✓ Done",IF(Q472=3,"🔴 Late",IF(M472="In progress","In progress","")))))</f>
        <v/>
      </c>
      <c r="Q472" s="79">
        <f>IF(OR(D472="",L472=""),"",IF(M472="Done",2,IF(AsOf&gt;L472,3,1)))</f>
        <v/>
      </c>
      <c r="R472" s="79">
        <f>IF(OR(E472="",F472=""),0,IF(COUNTIFS($E$7:E472,E472,$F$7:F472,F472)=1,1,0))</f>
        <v/>
      </c>
      <c r="S472" s="79">
        <f>IF(R472=1,E472&amp;"|"&amp;SUMIFS($R$7:R472,$E$7:E472,E472),"")</f>
        <v/>
      </c>
      <c r="T472" s="112">
        <f>IF(Q472="","",IF(Q472=3,L472,IF(OR(M472="Not started",M472=""),J472,"")))</f>
        <v/>
      </c>
      <c r="U472" s="79">
        <f>IF(T472="","",IF(Q472=3,1,IF(T472="","",IF(T472&lt;AsOf,1,IF(T472&lt;=AsOf+AlertDays,2,IF(T472&lt;=AsOf+2*AlertDays,3,""))))))</f>
        <v/>
      </c>
      <c r="V472" s="79">
        <f>IF(U472="","",IF(Q472=3,"Late task: "&amp;D472,IF(T472&lt;AsOf,"Should have started: ","Starts soon: ")&amp;D472)&amp;IF(F472="",""," — "&amp;F472))</f>
        <v/>
      </c>
    </row>
    <row r="473" ht="20" customHeight="1">
      <c r="B473" s="125" t="n">
        <v>467</v>
      </c>
      <c r="C473" s="72" t="n"/>
      <c r="D473" s="72" t="n"/>
      <c r="E473" s="72" t="n"/>
      <c r="F473" s="72" t="n"/>
      <c r="G473" s="89" t="n"/>
      <c r="H473" s="89" t="n"/>
      <c r="I473" s="109" t="n"/>
      <c r="J473" s="126">
        <f>IF(OR(D473="",ProjStart=""),"",MAX(ProjStart,IF(I473&lt;&gt;"",I473,0),IF(H473="",0,IFERROR(INDEX($L$6:L472,MATCH(H473,$B$6:B472,0))+1,0))))</f>
        <v/>
      </c>
      <c r="K473" s="89" t="n"/>
      <c r="L473" s="126">
        <f>IF(J473="","",J473+MAX(1,G473)+IF(K473="",0,K473)-1)</f>
        <v/>
      </c>
      <c r="M473" s="72" t="n"/>
      <c r="N473" s="109" t="n"/>
      <c r="O473" s="127">
        <f>IF(D473="","",COUNTIF($H$7:$H$1006,B473))</f>
        <v/>
      </c>
      <c r="P473" s="78">
        <f>IF(D473="","",IF(AND(H473&lt;&gt;"",H473&gt;=B473),"⚠️ Predecessor must be above",IF(M473="Done","✓ Done",IF(Q473=3,"🔴 Late",IF(M473="In progress","In progress","")))))</f>
        <v/>
      </c>
      <c r="Q473" s="79">
        <f>IF(OR(D473="",L473=""),"",IF(M473="Done",2,IF(AsOf&gt;L473,3,1)))</f>
        <v/>
      </c>
      <c r="R473" s="79">
        <f>IF(OR(E473="",F473=""),0,IF(COUNTIFS($E$7:E473,E473,$F$7:F473,F473)=1,1,0))</f>
        <v/>
      </c>
      <c r="S473" s="79">
        <f>IF(R473=1,E473&amp;"|"&amp;SUMIFS($R$7:R473,$E$7:E473,E473),"")</f>
        <v/>
      </c>
      <c r="T473" s="112">
        <f>IF(Q473="","",IF(Q473=3,L473,IF(OR(M473="Not started",M473=""),J473,"")))</f>
        <v/>
      </c>
      <c r="U473" s="79">
        <f>IF(T473="","",IF(Q473=3,1,IF(T473="","",IF(T473&lt;AsOf,1,IF(T473&lt;=AsOf+AlertDays,2,IF(T473&lt;=AsOf+2*AlertDays,3,""))))))</f>
        <v/>
      </c>
      <c r="V473" s="79">
        <f>IF(U473="","",IF(Q473=3,"Late task: "&amp;D473,IF(T473&lt;AsOf,"Should have started: ","Starts soon: ")&amp;D473)&amp;IF(F473="",""," — "&amp;F473))</f>
        <v/>
      </c>
    </row>
    <row r="474" ht="20" customHeight="1">
      <c r="B474" s="125" t="n">
        <v>468</v>
      </c>
      <c r="C474" s="72" t="n"/>
      <c r="D474" s="72" t="n"/>
      <c r="E474" s="72" t="n"/>
      <c r="F474" s="72" t="n"/>
      <c r="G474" s="89" t="n"/>
      <c r="H474" s="89" t="n"/>
      <c r="I474" s="109" t="n"/>
      <c r="J474" s="126">
        <f>IF(OR(D474="",ProjStart=""),"",MAX(ProjStart,IF(I474&lt;&gt;"",I474,0),IF(H474="",0,IFERROR(INDEX($L$6:L473,MATCH(H474,$B$6:B473,0))+1,0))))</f>
        <v/>
      </c>
      <c r="K474" s="89" t="n"/>
      <c r="L474" s="126">
        <f>IF(J474="","",J474+MAX(1,G474)+IF(K474="",0,K474)-1)</f>
        <v/>
      </c>
      <c r="M474" s="72" t="n"/>
      <c r="N474" s="109" t="n"/>
      <c r="O474" s="127">
        <f>IF(D474="","",COUNTIF($H$7:$H$1006,B474))</f>
        <v/>
      </c>
      <c r="P474" s="78">
        <f>IF(D474="","",IF(AND(H474&lt;&gt;"",H474&gt;=B474),"⚠️ Predecessor must be above",IF(M474="Done","✓ Done",IF(Q474=3,"🔴 Late",IF(M474="In progress","In progress","")))))</f>
        <v/>
      </c>
      <c r="Q474" s="79">
        <f>IF(OR(D474="",L474=""),"",IF(M474="Done",2,IF(AsOf&gt;L474,3,1)))</f>
        <v/>
      </c>
      <c r="R474" s="79">
        <f>IF(OR(E474="",F474=""),0,IF(COUNTIFS($E$7:E474,E474,$F$7:F474,F474)=1,1,0))</f>
        <v/>
      </c>
      <c r="S474" s="79">
        <f>IF(R474=1,E474&amp;"|"&amp;SUMIFS($R$7:R474,$E$7:E474,E474),"")</f>
        <v/>
      </c>
      <c r="T474" s="112">
        <f>IF(Q474="","",IF(Q474=3,L474,IF(OR(M474="Not started",M474=""),J474,"")))</f>
        <v/>
      </c>
      <c r="U474" s="79">
        <f>IF(T474="","",IF(Q474=3,1,IF(T474="","",IF(T474&lt;AsOf,1,IF(T474&lt;=AsOf+AlertDays,2,IF(T474&lt;=AsOf+2*AlertDays,3,""))))))</f>
        <v/>
      </c>
      <c r="V474" s="79">
        <f>IF(U474="","",IF(Q474=3,"Late task: "&amp;D474,IF(T474&lt;AsOf,"Should have started: ","Starts soon: ")&amp;D474)&amp;IF(F474="",""," — "&amp;F474))</f>
        <v/>
      </c>
    </row>
    <row r="475" ht="20" customHeight="1">
      <c r="B475" s="125" t="n">
        <v>469</v>
      </c>
      <c r="C475" s="72" t="n"/>
      <c r="D475" s="72" t="n"/>
      <c r="E475" s="72" t="n"/>
      <c r="F475" s="72" t="n"/>
      <c r="G475" s="89" t="n"/>
      <c r="H475" s="89" t="n"/>
      <c r="I475" s="109" t="n"/>
      <c r="J475" s="126">
        <f>IF(OR(D475="",ProjStart=""),"",MAX(ProjStart,IF(I475&lt;&gt;"",I475,0),IF(H475="",0,IFERROR(INDEX($L$6:L474,MATCH(H475,$B$6:B474,0))+1,0))))</f>
        <v/>
      </c>
      <c r="K475" s="89" t="n"/>
      <c r="L475" s="126">
        <f>IF(J475="","",J475+MAX(1,G475)+IF(K475="",0,K475)-1)</f>
        <v/>
      </c>
      <c r="M475" s="72" t="n"/>
      <c r="N475" s="109" t="n"/>
      <c r="O475" s="127">
        <f>IF(D475="","",COUNTIF($H$7:$H$1006,B475))</f>
        <v/>
      </c>
      <c r="P475" s="78">
        <f>IF(D475="","",IF(AND(H475&lt;&gt;"",H475&gt;=B475),"⚠️ Predecessor must be above",IF(M475="Done","✓ Done",IF(Q475=3,"🔴 Late",IF(M475="In progress","In progress","")))))</f>
        <v/>
      </c>
      <c r="Q475" s="79">
        <f>IF(OR(D475="",L475=""),"",IF(M475="Done",2,IF(AsOf&gt;L475,3,1)))</f>
        <v/>
      </c>
      <c r="R475" s="79">
        <f>IF(OR(E475="",F475=""),0,IF(COUNTIFS($E$7:E475,E475,$F$7:F475,F475)=1,1,0))</f>
        <v/>
      </c>
      <c r="S475" s="79">
        <f>IF(R475=1,E475&amp;"|"&amp;SUMIFS($R$7:R475,$E$7:E475,E475),"")</f>
        <v/>
      </c>
      <c r="T475" s="112">
        <f>IF(Q475="","",IF(Q475=3,L475,IF(OR(M475="Not started",M475=""),J475,"")))</f>
        <v/>
      </c>
      <c r="U475" s="79">
        <f>IF(T475="","",IF(Q475=3,1,IF(T475="","",IF(T475&lt;AsOf,1,IF(T475&lt;=AsOf+AlertDays,2,IF(T475&lt;=AsOf+2*AlertDays,3,""))))))</f>
        <v/>
      </c>
      <c r="V475" s="79">
        <f>IF(U475="","",IF(Q475=3,"Late task: "&amp;D475,IF(T475&lt;AsOf,"Should have started: ","Starts soon: ")&amp;D475)&amp;IF(F475="",""," — "&amp;F475))</f>
        <v/>
      </c>
    </row>
    <row r="476" ht="20" customHeight="1">
      <c r="B476" s="125" t="n">
        <v>470</v>
      </c>
      <c r="C476" s="72" t="n"/>
      <c r="D476" s="72" t="n"/>
      <c r="E476" s="72" t="n"/>
      <c r="F476" s="72" t="n"/>
      <c r="G476" s="89" t="n"/>
      <c r="H476" s="89" t="n"/>
      <c r="I476" s="109" t="n"/>
      <c r="J476" s="126">
        <f>IF(OR(D476="",ProjStart=""),"",MAX(ProjStart,IF(I476&lt;&gt;"",I476,0),IF(H476="",0,IFERROR(INDEX($L$6:L475,MATCH(H476,$B$6:B475,0))+1,0))))</f>
        <v/>
      </c>
      <c r="K476" s="89" t="n"/>
      <c r="L476" s="126">
        <f>IF(J476="","",J476+MAX(1,G476)+IF(K476="",0,K476)-1)</f>
        <v/>
      </c>
      <c r="M476" s="72" t="n"/>
      <c r="N476" s="109" t="n"/>
      <c r="O476" s="127">
        <f>IF(D476="","",COUNTIF($H$7:$H$1006,B476))</f>
        <v/>
      </c>
      <c r="P476" s="78">
        <f>IF(D476="","",IF(AND(H476&lt;&gt;"",H476&gt;=B476),"⚠️ Predecessor must be above",IF(M476="Done","✓ Done",IF(Q476=3,"🔴 Late",IF(M476="In progress","In progress","")))))</f>
        <v/>
      </c>
      <c r="Q476" s="79">
        <f>IF(OR(D476="",L476=""),"",IF(M476="Done",2,IF(AsOf&gt;L476,3,1)))</f>
        <v/>
      </c>
      <c r="R476" s="79">
        <f>IF(OR(E476="",F476=""),0,IF(COUNTIFS($E$7:E476,E476,$F$7:F476,F476)=1,1,0))</f>
        <v/>
      </c>
      <c r="S476" s="79">
        <f>IF(R476=1,E476&amp;"|"&amp;SUMIFS($R$7:R476,$E$7:E476,E476),"")</f>
        <v/>
      </c>
      <c r="T476" s="112">
        <f>IF(Q476="","",IF(Q476=3,L476,IF(OR(M476="Not started",M476=""),J476,"")))</f>
        <v/>
      </c>
      <c r="U476" s="79">
        <f>IF(T476="","",IF(Q476=3,1,IF(T476="","",IF(T476&lt;AsOf,1,IF(T476&lt;=AsOf+AlertDays,2,IF(T476&lt;=AsOf+2*AlertDays,3,""))))))</f>
        <v/>
      </c>
      <c r="V476" s="79">
        <f>IF(U476="","",IF(Q476=3,"Late task: "&amp;D476,IF(T476&lt;AsOf,"Should have started: ","Starts soon: ")&amp;D476)&amp;IF(F476="",""," — "&amp;F476))</f>
        <v/>
      </c>
    </row>
    <row r="477" ht="20" customHeight="1">
      <c r="B477" s="125" t="n">
        <v>471</v>
      </c>
      <c r="C477" s="72" t="n"/>
      <c r="D477" s="72" t="n"/>
      <c r="E477" s="72" t="n"/>
      <c r="F477" s="72" t="n"/>
      <c r="G477" s="89" t="n"/>
      <c r="H477" s="89" t="n"/>
      <c r="I477" s="109" t="n"/>
      <c r="J477" s="126">
        <f>IF(OR(D477="",ProjStart=""),"",MAX(ProjStart,IF(I477&lt;&gt;"",I477,0),IF(H477="",0,IFERROR(INDEX($L$6:L476,MATCH(H477,$B$6:B476,0))+1,0))))</f>
        <v/>
      </c>
      <c r="K477" s="89" t="n"/>
      <c r="L477" s="126">
        <f>IF(J477="","",J477+MAX(1,G477)+IF(K477="",0,K477)-1)</f>
        <v/>
      </c>
      <c r="M477" s="72" t="n"/>
      <c r="N477" s="109" t="n"/>
      <c r="O477" s="127">
        <f>IF(D477="","",COUNTIF($H$7:$H$1006,B477))</f>
        <v/>
      </c>
      <c r="P477" s="78">
        <f>IF(D477="","",IF(AND(H477&lt;&gt;"",H477&gt;=B477),"⚠️ Predecessor must be above",IF(M477="Done","✓ Done",IF(Q477=3,"🔴 Late",IF(M477="In progress","In progress","")))))</f>
        <v/>
      </c>
      <c r="Q477" s="79">
        <f>IF(OR(D477="",L477=""),"",IF(M477="Done",2,IF(AsOf&gt;L477,3,1)))</f>
        <v/>
      </c>
      <c r="R477" s="79">
        <f>IF(OR(E477="",F477=""),0,IF(COUNTIFS($E$7:E477,E477,$F$7:F477,F477)=1,1,0))</f>
        <v/>
      </c>
      <c r="S477" s="79">
        <f>IF(R477=1,E477&amp;"|"&amp;SUMIFS($R$7:R477,$E$7:E477,E477),"")</f>
        <v/>
      </c>
      <c r="T477" s="112">
        <f>IF(Q477="","",IF(Q477=3,L477,IF(OR(M477="Not started",M477=""),J477,"")))</f>
        <v/>
      </c>
      <c r="U477" s="79">
        <f>IF(T477="","",IF(Q477=3,1,IF(T477="","",IF(T477&lt;AsOf,1,IF(T477&lt;=AsOf+AlertDays,2,IF(T477&lt;=AsOf+2*AlertDays,3,""))))))</f>
        <v/>
      </c>
      <c r="V477" s="79">
        <f>IF(U477="","",IF(Q477=3,"Late task: "&amp;D477,IF(T477&lt;AsOf,"Should have started: ","Starts soon: ")&amp;D477)&amp;IF(F477="",""," — "&amp;F477))</f>
        <v/>
      </c>
    </row>
    <row r="478" ht="20" customHeight="1">
      <c r="B478" s="125" t="n">
        <v>472</v>
      </c>
      <c r="C478" s="72" t="n"/>
      <c r="D478" s="72" t="n"/>
      <c r="E478" s="72" t="n"/>
      <c r="F478" s="72" t="n"/>
      <c r="G478" s="89" t="n"/>
      <c r="H478" s="89" t="n"/>
      <c r="I478" s="109" t="n"/>
      <c r="J478" s="126">
        <f>IF(OR(D478="",ProjStart=""),"",MAX(ProjStart,IF(I478&lt;&gt;"",I478,0),IF(H478="",0,IFERROR(INDEX($L$6:L477,MATCH(H478,$B$6:B477,0))+1,0))))</f>
        <v/>
      </c>
      <c r="K478" s="89" t="n"/>
      <c r="L478" s="126">
        <f>IF(J478="","",J478+MAX(1,G478)+IF(K478="",0,K478)-1)</f>
        <v/>
      </c>
      <c r="M478" s="72" t="n"/>
      <c r="N478" s="109" t="n"/>
      <c r="O478" s="127">
        <f>IF(D478="","",COUNTIF($H$7:$H$1006,B478))</f>
        <v/>
      </c>
      <c r="P478" s="78">
        <f>IF(D478="","",IF(AND(H478&lt;&gt;"",H478&gt;=B478),"⚠️ Predecessor must be above",IF(M478="Done","✓ Done",IF(Q478=3,"🔴 Late",IF(M478="In progress","In progress","")))))</f>
        <v/>
      </c>
      <c r="Q478" s="79">
        <f>IF(OR(D478="",L478=""),"",IF(M478="Done",2,IF(AsOf&gt;L478,3,1)))</f>
        <v/>
      </c>
      <c r="R478" s="79">
        <f>IF(OR(E478="",F478=""),0,IF(COUNTIFS($E$7:E478,E478,$F$7:F478,F478)=1,1,0))</f>
        <v/>
      </c>
      <c r="S478" s="79">
        <f>IF(R478=1,E478&amp;"|"&amp;SUMIFS($R$7:R478,$E$7:E478,E478),"")</f>
        <v/>
      </c>
      <c r="T478" s="112">
        <f>IF(Q478="","",IF(Q478=3,L478,IF(OR(M478="Not started",M478=""),J478,"")))</f>
        <v/>
      </c>
      <c r="U478" s="79">
        <f>IF(T478="","",IF(Q478=3,1,IF(T478="","",IF(T478&lt;AsOf,1,IF(T478&lt;=AsOf+AlertDays,2,IF(T478&lt;=AsOf+2*AlertDays,3,""))))))</f>
        <v/>
      </c>
      <c r="V478" s="79">
        <f>IF(U478="","",IF(Q478=3,"Late task: "&amp;D478,IF(T478&lt;AsOf,"Should have started: ","Starts soon: ")&amp;D478)&amp;IF(F478="",""," — "&amp;F478))</f>
        <v/>
      </c>
    </row>
    <row r="479" ht="20" customHeight="1">
      <c r="B479" s="125" t="n">
        <v>473</v>
      </c>
      <c r="C479" s="72" t="n"/>
      <c r="D479" s="72" t="n"/>
      <c r="E479" s="72" t="n"/>
      <c r="F479" s="72" t="n"/>
      <c r="G479" s="89" t="n"/>
      <c r="H479" s="89" t="n"/>
      <c r="I479" s="109" t="n"/>
      <c r="J479" s="126">
        <f>IF(OR(D479="",ProjStart=""),"",MAX(ProjStart,IF(I479&lt;&gt;"",I479,0),IF(H479="",0,IFERROR(INDEX($L$6:L478,MATCH(H479,$B$6:B478,0))+1,0))))</f>
        <v/>
      </c>
      <c r="K479" s="89" t="n"/>
      <c r="L479" s="126">
        <f>IF(J479="","",J479+MAX(1,G479)+IF(K479="",0,K479)-1)</f>
        <v/>
      </c>
      <c r="M479" s="72" t="n"/>
      <c r="N479" s="109" t="n"/>
      <c r="O479" s="127">
        <f>IF(D479="","",COUNTIF($H$7:$H$1006,B479))</f>
        <v/>
      </c>
      <c r="P479" s="78">
        <f>IF(D479="","",IF(AND(H479&lt;&gt;"",H479&gt;=B479),"⚠️ Predecessor must be above",IF(M479="Done","✓ Done",IF(Q479=3,"🔴 Late",IF(M479="In progress","In progress","")))))</f>
        <v/>
      </c>
      <c r="Q479" s="79">
        <f>IF(OR(D479="",L479=""),"",IF(M479="Done",2,IF(AsOf&gt;L479,3,1)))</f>
        <v/>
      </c>
      <c r="R479" s="79">
        <f>IF(OR(E479="",F479=""),0,IF(COUNTIFS($E$7:E479,E479,$F$7:F479,F479)=1,1,0))</f>
        <v/>
      </c>
      <c r="S479" s="79">
        <f>IF(R479=1,E479&amp;"|"&amp;SUMIFS($R$7:R479,$E$7:E479,E479),"")</f>
        <v/>
      </c>
      <c r="T479" s="112">
        <f>IF(Q479="","",IF(Q479=3,L479,IF(OR(M479="Not started",M479=""),J479,"")))</f>
        <v/>
      </c>
      <c r="U479" s="79">
        <f>IF(T479="","",IF(Q479=3,1,IF(T479="","",IF(T479&lt;AsOf,1,IF(T479&lt;=AsOf+AlertDays,2,IF(T479&lt;=AsOf+2*AlertDays,3,""))))))</f>
        <v/>
      </c>
      <c r="V479" s="79">
        <f>IF(U479="","",IF(Q479=3,"Late task: "&amp;D479,IF(T479&lt;AsOf,"Should have started: ","Starts soon: ")&amp;D479)&amp;IF(F479="",""," — "&amp;F479))</f>
        <v/>
      </c>
    </row>
    <row r="480" ht="20" customHeight="1">
      <c r="B480" s="125" t="n">
        <v>474</v>
      </c>
      <c r="C480" s="72" t="n"/>
      <c r="D480" s="72" t="n"/>
      <c r="E480" s="72" t="n"/>
      <c r="F480" s="72" t="n"/>
      <c r="G480" s="89" t="n"/>
      <c r="H480" s="89" t="n"/>
      <c r="I480" s="109" t="n"/>
      <c r="J480" s="126">
        <f>IF(OR(D480="",ProjStart=""),"",MAX(ProjStart,IF(I480&lt;&gt;"",I480,0),IF(H480="",0,IFERROR(INDEX($L$6:L479,MATCH(H480,$B$6:B479,0))+1,0))))</f>
        <v/>
      </c>
      <c r="K480" s="89" t="n"/>
      <c r="L480" s="126">
        <f>IF(J480="","",J480+MAX(1,G480)+IF(K480="",0,K480)-1)</f>
        <v/>
      </c>
      <c r="M480" s="72" t="n"/>
      <c r="N480" s="109" t="n"/>
      <c r="O480" s="127">
        <f>IF(D480="","",COUNTIF($H$7:$H$1006,B480))</f>
        <v/>
      </c>
      <c r="P480" s="78">
        <f>IF(D480="","",IF(AND(H480&lt;&gt;"",H480&gt;=B480),"⚠️ Predecessor must be above",IF(M480="Done","✓ Done",IF(Q480=3,"🔴 Late",IF(M480="In progress","In progress","")))))</f>
        <v/>
      </c>
      <c r="Q480" s="79">
        <f>IF(OR(D480="",L480=""),"",IF(M480="Done",2,IF(AsOf&gt;L480,3,1)))</f>
        <v/>
      </c>
      <c r="R480" s="79">
        <f>IF(OR(E480="",F480=""),0,IF(COUNTIFS($E$7:E480,E480,$F$7:F480,F480)=1,1,0))</f>
        <v/>
      </c>
      <c r="S480" s="79">
        <f>IF(R480=1,E480&amp;"|"&amp;SUMIFS($R$7:R480,$E$7:E480,E480),"")</f>
        <v/>
      </c>
      <c r="T480" s="112">
        <f>IF(Q480="","",IF(Q480=3,L480,IF(OR(M480="Not started",M480=""),J480,"")))</f>
        <v/>
      </c>
      <c r="U480" s="79">
        <f>IF(T480="","",IF(Q480=3,1,IF(T480="","",IF(T480&lt;AsOf,1,IF(T480&lt;=AsOf+AlertDays,2,IF(T480&lt;=AsOf+2*AlertDays,3,""))))))</f>
        <v/>
      </c>
      <c r="V480" s="79">
        <f>IF(U480="","",IF(Q480=3,"Late task: "&amp;D480,IF(T480&lt;AsOf,"Should have started: ","Starts soon: ")&amp;D480)&amp;IF(F480="",""," — "&amp;F480))</f>
        <v/>
      </c>
    </row>
    <row r="481" ht="20" customHeight="1">
      <c r="B481" s="125" t="n">
        <v>475</v>
      </c>
      <c r="C481" s="72" t="n"/>
      <c r="D481" s="72" t="n"/>
      <c r="E481" s="72" t="n"/>
      <c r="F481" s="72" t="n"/>
      <c r="G481" s="89" t="n"/>
      <c r="H481" s="89" t="n"/>
      <c r="I481" s="109" t="n"/>
      <c r="J481" s="126">
        <f>IF(OR(D481="",ProjStart=""),"",MAX(ProjStart,IF(I481&lt;&gt;"",I481,0),IF(H481="",0,IFERROR(INDEX($L$6:L480,MATCH(H481,$B$6:B480,0))+1,0))))</f>
        <v/>
      </c>
      <c r="K481" s="89" t="n"/>
      <c r="L481" s="126">
        <f>IF(J481="","",J481+MAX(1,G481)+IF(K481="",0,K481)-1)</f>
        <v/>
      </c>
      <c r="M481" s="72" t="n"/>
      <c r="N481" s="109" t="n"/>
      <c r="O481" s="127">
        <f>IF(D481="","",COUNTIF($H$7:$H$1006,B481))</f>
        <v/>
      </c>
      <c r="P481" s="78">
        <f>IF(D481="","",IF(AND(H481&lt;&gt;"",H481&gt;=B481),"⚠️ Predecessor must be above",IF(M481="Done","✓ Done",IF(Q481=3,"🔴 Late",IF(M481="In progress","In progress","")))))</f>
        <v/>
      </c>
      <c r="Q481" s="79">
        <f>IF(OR(D481="",L481=""),"",IF(M481="Done",2,IF(AsOf&gt;L481,3,1)))</f>
        <v/>
      </c>
      <c r="R481" s="79">
        <f>IF(OR(E481="",F481=""),0,IF(COUNTIFS($E$7:E481,E481,$F$7:F481,F481)=1,1,0))</f>
        <v/>
      </c>
      <c r="S481" s="79">
        <f>IF(R481=1,E481&amp;"|"&amp;SUMIFS($R$7:R481,$E$7:E481,E481),"")</f>
        <v/>
      </c>
      <c r="T481" s="112">
        <f>IF(Q481="","",IF(Q481=3,L481,IF(OR(M481="Not started",M481=""),J481,"")))</f>
        <v/>
      </c>
      <c r="U481" s="79">
        <f>IF(T481="","",IF(Q481=3,1,IF(T481="","",IF(T481&lt;AsOf,1,IF(T481&lt;=AsOf+AlertDays,2,IF(T481&lt;=AsOf+2*AlertDays,3,""))))))</f>
        <v/>
      </c>
      <c r="V481" s="79">
        <f>IF(U481="","",IF(Q481=3,"Late task: "&amp;D481,IF(T481&lt;AsOf,"Should have started: ","Starts soon: ")&amp;D481)&amp;IF(F481="",""," — "&amp;F481))</f>
        <v/>
      </c>
    </row>
    <row r="482" ht="20" customHeight="1">
      <c r="B482" s="125" t="n">
        <v>476</v>
      </c>
      <c r="C482" s="72" t="n"/>
      <c r="D482" s="72" t="n"/>
      <c r="E482" s="72" t="n"/>
      <c r="F482" s="72" t="n"/>
      <c r="G482" s="89" t="n"/>
      <c r="H482" s="89" t="n"/>
      <c r="I482" s="109" t="n"/>
      <c r="J482" s="126">
        <f>IF(OR(D482="",ProjStart=""),"",MAX(ProjStart,IF(I482&lt;&gt;"",I482,0),IF(H482="",0,IFERROR(INDEX($L$6:L481,MATCH(H482,$B$6:B481,0))+1,0))))</f>
        <v/>
      </c>
      <c r="K482" s="89" t="n"/>
      <c r="L482" s="126">
        <f>IF(J482="","",J482+MAX(1,G482)+IF(K482="",0,K482)-1)</f>
        <v/>
      </c>
      <c r="M482" s="72" t="n"/>
      <c r="N482" s="109" t="n"/>
      <c r="O482" s="127">
        <f>IF(D482="","",COUNTIF($H$7:$H$1006,B482))</f>
        <v/>
      </c>
      <c r="P482" s="78">
        <f>IF(D482="","",IF(AND(H482&lt;&gt;"",H482&gt;=B482),"⚠️ Predecessor must be above",IF(M482="Done","✓ Done",IF(Q482=3,"🔴 Late",IF(M482="In progress","In progress","")))))</f>
        <v/>
      </c>
      <c r="Q482" s="79">
        <f>IF(OR(D482="",L482=""),"",IF(M482="Done",2,IF(AsOf&gt;L482,3,1)))</f>
        <v/>
      </c>
      <c r="R482" s="79">
        <f>IF(OR(E482="",F482=""),0,IF(COUNTIFS($E$7:E482,E482,$F$7:F482,F482)=1,1,0))</f>
        <v/>
      </c>
      <c r="S482" s="79">
        <f>IF(R482=1,E482&amp;"|"&amp;SUMIFS($R$7:R482,$E$7:E482,E482),"")</f>
        <v/>
      </c>
      <c r="T482" s="112">
        <f>IF(Q482="","",IF(Q482=3,L482,IF(OR(M482="Not started",M482=""),J482,"")))</f>
        <v/>
      </c>
      <c r="U482" s="79">
        <f>IF(T482="","",IF(Q482=3,1,IF(T482="","",IF(T482&lt;AsOf,1,IF(T482&lt;=AsOf+AlertDays,2,IF(T482&lt;=AsOf+2*AlertDays,3,""))))))</f>
        <v/>
      </c>
      <c r="V482" s="79">
        <f>IF(U482="","",IF(Q482=3,"Late task: "&amp;D482,IF(T482&lt;AsOf,"Should have started: ","Starts soon: ")&amp;D482)&amp;IF(F482="",""," — "&amp;F482))</f>
        <v/>
      </c>
    </row>
    <row r="483" ht="20" customHeight="1">
      <c r="B483" s="125" t="n">
        <v>477</v>
      </c>
      <c r="C483" s="72" t="n"/>
      <c r="D483" s="72" t="n"/>
      <c r="E483" s="72" t="n"/>
      <c r="F483" s="72" t="n"/>
      <c r="G483" s="89" t="n"/>
      <c r="H483" s="89" t="n"/>
      <c r="I483" s="109" t="n"/>
      <c r="J483" s="126">
        <f>IF(OR(D483="",ProjStart=""),"",MAX(ProjStart,IF(I483&lt;&gt;"",I483,0),IF(H483="",0,IFERROR(INDEX($L$6:L482,MATCH(H483,$B$6:B482,0))+1,0))))</f>
        <v/>
      </c>
      <c r="K483" s="89" t="n"/>
      <c r="L483" s="126">
        <f>IF(J483="","",J483+MAX(1,G483)+IF(K483="",0,K483)-1)</f>
        <v/>
      </c>
      <c r="M483" s="72" t="n"/>
      <c r="N483" s="109" t="n"/>
      <c r="O483" s="127">
        <f>IF(D483="","",COUNTIF($H$7:$H$1006,B483))</f>
        <v/>
      </c>
      <c r="P483" s="78">
        <f>IF(D483="","",IF(AND(H483&lt;&gt;"",H483&gt;=B483),"⚠️ Predecessor must be above",IF(M483="Done","✓ Done",IF(Q483=3,"🔴 Late",IF(M483="In progress","In progress","")))))</f>
        <v/>
      </c>
      <c r="Q483" s="79">
        <f>IF(OR(D483="",L483=""),"",IF(M483="Done",2,IF(AsOf&gt;L483,3,1)))</f>
        <v/>
      </c>
      <c r="R483" s="79">
        <f>IF(OR(E483="",F483=""),0,IF(COUNTIFS($E$7:E483,E483,$F$7:F483,F483)=1,1,0))</f>
        <v/>
      </c>
      <c r="S483" s="79">
        <f>IF(R483=1,E483&amp;"|"&amp;SUMIFS($R$7:R483,$E$7:E483,E483),"")</f>
        <v/>
      </c>
      <c r="T483" s="112">
        <f>IF(Q483="","",IF(Q483=3,L483,IF(OR(M483="Not started",M483=""),J483,"")))</f>
        <v/>
      </c>
      <c r="U483" s="79">
        <f>IF(T483="","",IF(Q483=3,1,IF(T483="","",IF(T483&lt;AsOf,1,IF(T483&lt;=AsOf+AlertDays,2,IF(T483&lt;=AsOf+2*AlertDays,3,""))))))</f>
        <v/>
      </c>
      <c r="V483" s="79">
        <f>IF(U483="","",IF(Q483=3,"Late task: "&amp;D483,IF(T483&lt;AsOf,"Should have started: ","Starts soon: ")&amp;D483)&amp;IF(F483="",""," — "&amp;F483))</f>
        <v/>
      </c>
    </row>
    <row r="484" ht="20" customHeight="1">
      <c r="B484" s="125" t="n">
        <v>478</v>
      </c>
      <c r="C484" s="72" t="n"/>
      <c r="D484" s="72" t="n"/>
      <c r="E484" s="72" t="n"/>
      <c r="F484" s="72" t="n"/>
      <c r="G484" s="89" t="n"/>
      <c r="H484" s="89" t="n"/>
      <c r="I484" s="109" t="n"/>
      <c r="J484" s="126">
        <f>IF(OR(D484="",ProjStart=""),"",MAX(ProjStart,IF(I484&lt;&gt;"",I484,0),IF(H484="",0,IFERROR(INDEX($L$6:L483,MATCH(H484,$B$6:B483,0))+1,0))))</f>
        <v/>
      </c>
      <c r="K484" s="89" t="n"/>
      <c r="L484" s="126">
        <f>IF(J484="","",J484+MAX(1,G484)+IF(K484="",0,K484)-1)</f>
        <v/>
      </c>
      <c r="M484" s="72" t="n"/>
      <c r="N484" s="109" t="n"/>
      <c r="O484" s="127">
        <f>IF(D484="","",COUNTIF($H$7:$H$1006,B484))</f>
        <v/>
      </c>
      <c r="P484" s="78">
        <f>IF(D484="","",IF(AND(H484&lt;&gt;"",H484&gt;=B484),"⚠️ Predecessor must be above",IF(M484="Done","✓ Done",IF(Q484=3,"🔴 Late",IF(M484="In progress","In progress","")))))</f>
        <v/>
      </c>
      <c r="Q484" s="79">
        <f>IF(OR(D484="",L484=""),"",IF(M484="Done",2,IF(AsOf&gt;L484,3,1)))</f>
        <v/>
      </c>
      <c r="R484" s="79">
        <f>IF(OR(E484="",F484=""),0,IF(COUNTIFS($E$7:E484,E484,$F$7:F484,F484)=1,1,0))</f>
        <v/>
      </c>
      <c r="S484" s="79">
        <f>IF(R484=1,E484&amp;"|"&amp;SUMIFS($R$7:R484,$E$7:E484,E484),"")</f>
        <v/>
      </c>
      <c r="T484" s="112">
        <f>IF(Q484="","",IF(Q484=3,L484,IF(OR(M484="Not started",M484=""),J484,"")))</f>
        <v/>
      </c>
      <c r="U484" s="79">
        <f>IF(T484="","",IF(Q484=3,1,IF(T484="","",IF(T484&lt;AsOf,1,IF(T484&lt;=AsOf+AlertDays,2,IF(T484&lt;=AsOf+2*AlertDays,3,""))))))</f>
        <v/>
      </c>
      <c r="V484" s="79">
        <f>IF(U484="","",IF(Q484=3,"Late task: "&amp;D484,IF(T484&lt;AsOf,"Should have started: ","Starts soon: ")&amp;D484)&amp;IF(F484="",""," — "&amp;F484))</f>
        <v/>
      </c>
    </row>
    <row r="485" ht="20" customHeight="1">
      <c r="B485" s="125" t="n">
        <v>479</v>
      </c>
      <c r="C485" s="72" t="n"/>
      <c r="D485" s="72" t="n"/>
      <c r="E485" s="72" t="n"/>
      <c r="F485" s="72" t="n"/>
      <c r="G485" s="89" t="n"/>
      <c r="H485" s="89" t="n"/>
      <c r="I485" s="109" t="n"/>
      <c r="J485" s="126">
        <f>IF(OR(D485="",ProjStart=""),"",MAX(ProjStart,IF(I485&lt;&gt;"",I485,0),IF(H485="",0,IFERROR(INDEX($L$6:L484,MATCH(H485,$B$6:B484,0))+1,0))))</f>
        <v/>
      </c>
      <c r="K485" s="89" t="n"/>
      <c r="L485" s="126">
        <f>IF(J485="","",J485+MAX(1,G485)+IF(K485="",0,K485)-1)</f>
        <v/>
      </c>
      <c r="M485" s="72" t="n"/>
      <c r="N485" s="109" t="n"/>
      <c r="O485" s="127">
        <f>IF(D485="","",COUNTIF($H$7:$H$1006,B485))</f>
        <v/>
      </c>
      <c r="P485" s="78">
        <f>IF(D485="","",IF(AND(H485&lt;&gt;"",H485&gt;=B485),"⚠️ Predecessor must be above",IF(M485="Done","✓ Done",IF(Q485=3,"🔴 Late",IF(M485="In progress","In progress","")))))</f>
        <v/>
      </c>
      <c r="Q485" s="79">
        <f>IF(OR(D485="",L485=""),"",IF(M485="Done",2,IF(AsOf&gt;L485,3,1)))</f>
        <v/>
      </c>
      <c r="R485" s="79">
        <f>IF(OR(E485="",F485=""),0,IF(COUNTIFS($E$7:E485,E485,$F$7:F485,F485)=1,1,0))</f>
        <v/>
      </c>
      <c r="S485" s="79">
        <f>IF(R485=1,E485&amp;"|"&amp;SUMIFS($R$7:R485,$E$7:E485,E485),"")</f>
        <v/>
      </c>
      <c r="T485" s="112">
        <f>IF(Q485="","",IF(Q485=3,L485,IF(OR(M485="Not started",M485=""),J485,"")))</f>
        <v/>
      </c>
      <c r="U485" s="79">
        <f>IF(T485="","",IF(Q485=3,1,IF(T485="","",IF(T485&lt;AsOf,1,IF(T485&lt;=AsOf+AlertDays,2,IF(T485&lt;=AsOf+2*AlertDays,3,""))))))</f>
        <v/>
      </c>
      <c r="V485" s="79">
        <f>IF(U485="","",IF(Q485=3,"Late task: "&amp;D485,IF(T485&lt;AsOf,"Should have started: ","Starts soon: ")&amp;D485)&amp;IF(F485="",""," — "&amp;F485))</f>
        <v/>
      </c>
    </row>
    <row r="486" ht="20" customHeight="1">
      <c r="B486" s="125" t="n">
        <v>480</v>
      </c>
      <c r="C486" s="72" t="n"/>
      <c r="D486" s="72" t="n"/>
      <c r="E486" s="72" t="n"/>
      <c r="F486" s="72" t="n"/>
      <c r="G486" s="89" t="n"/>
      <c r="H486" s="89" t="n"/>
      <c r="I486" s="109" t="n"/>
      <c r="J486" s="126">
        <f>IF(OR(D486="",ProjStart=""),"",MAX(ProjStart,IF(I486&lt;&gt;"",I486,0),IF(H486="",0,IFERROR(INDEX($L$6:L485,MATCH(H486,$B$6:B485,0))+1,0))))</f>
        <v/>
      </c>
      <c r="K486" s="89" t="n"/>
      <c r="L486" s="126">
        <f>IF(J486="","",J486+MAX(1,G486)+IF(K486="",0,K486)-1)</f>
        <v/>
      </c>
      <c r="M486" s="72" t="n"/>
      <c r="N486" s="109" t="n"/>
      <c r="O486" s="127">
        <f>IF(D486="","",COUNTIF($H$7:$H$1006,B486))</f>
        <v/>
      </c>
      <c r="P486" s="78">
        <f>IF(D486="","",IF(AND(H486&lt;&gt;"",H486&gt;=B486),"⚠️ Predecessor must be above",IF(M486="Done","✓ Done",IF(Q486=3,"🔴 Late",IF(M486="In progress","In progress","")))))</f>
        <v/>
      </c>
      <c r="Q486" s="79">
        <f>IF(OR(D486="",L486=""),"",IF(M486="Done",2,IF(AsOf&gt;L486,3,1)))</f>
        <v/>
      </c>
      <c r="R486" s="79">
        <f>IF(OR(E486="",F486=""),0,IF(COUNTIFS($E$7:E486,E486,$F$7:F486,F486)=1,1,0))</f>
        <v/>
      </c>
      <c r="S486" s="79">
        <f>IF(R486=1,E486&amp;"|"&amp;SUMIFS($R$7:R486,$E$7:E486,E486),"")</f>
        <v/>
      </c>
      <c r="T486" s="112">
        <f>IF(Q486="","",IF(Q486=3,L486,IF(OR(M486="Not started",M486=""),J486,"")))</f>
        <v/>
      </c>
      <c r="U486" s="79">
        <f>IF(T486="","",IF(Q486=3,1,IF(T486="","",IF(T486&lt;AsOf,1,IF(T486&lt;=AsOf+AlertDays,2,IF(T486&lt;=AsOf+2*AlertDays,3,""))))))</f>
        <v/>
      </c>
      <c r="V486" s="79">
        <f>IF(U486="","",IF(Q486=3,"Late task: "&amp;D486,IF(T486&lt;AsOf,"Should have started: ","Starts soon: ")&amp;D486)&amp;IF(F486="",""," — "&amp;F486))</f>
        <v/>
      </c>
    </row>
    <row r="487" ht="20" customHeight="1">
      <c r="B487" s="125" t="n">
        <v>481</v>
      </c>
      <c r="C487" s="72" t="n"/>
      <c r="D487" s="72" t="n"/>
      <c r="E487" s="72" t="n"/>
      <c r="F487" s="72" t="n"/>
      <c r="G487" s="89" t="n"/>
      <c r="H487" s="89" t="n"/>
      <c r="I487" s="109" t="n"/>
      <c r="J487" s="126">
        <f>IF(OR(D487="",ProjStart=""),"",MAX(ProjStart,IF(I487&lt;&gt;"",I487,0),IF(H487="",0,IFERROR(INDEX($L$6:L486,MATCH(H487,$B$6:B486,0))+1,0))))</f>
        <v/>
      </c>
      <c r="K487" s="89" t="n"/>
      <c r="L487" s="126">
        <f>IF(J487="","",J487+MAX(1,G487)+IF(K487="",0,K487)-1)</f>
        <v/>
      </c>
      <c r="M487" s="72" t="n"/>
      <c r="N487" s="109" t="n"/>
      <c r="O487" s="127">
        <f>IF(D487="","",COUNTIF($H$7:$H$1006,B487))</f>
        <v/>
      </c>
      <c r="P487" s="78">
        <f>IF(D487="","",IF(AND(H487&lt;&gt;"",H487&gt;=B487),"⚠️ Predecessor must be above",IF(M487="Done","✓ Done",IF(Q487=3,"🔴 Late",IF(M487="In progress","In progress","")))))</f>
        <v/>
      </c>
      <c r="Q487" s="79">
        <f>IF(OR(D487="",L487=""),"",IF(M487="Done",2,IF(AsOf&gt;L487,3,1)))</f>
        <v/>
      </c>
      <c r="R487" s="79">
        <f>IF(OR(E487="",F487=""),0,IF(COUNTIFS($E$7:E487,E487,$F$7:F487,F487)=1,1,0))</f>
        <v/>
      </c>
      <c r="S487" s="79">
        <f>IF(R487=1,E487&amp;"|"&amp;SUMIFS($R$7:R487,$E$7:E487,E487),"")</f>
        <v/>
      </c>
      <c r="T487" s="112">
        <f>IF(Q487="","",IF(Q487=3,L487,IF(OR(M487="Not started",M487=""),J487,"")))</f>
        <v/>
      </c>
      <c r="U487" s="79">
        <f>IF(T487="","",IF(Q487=3,1,IF(T487="","",IF(T487&lt;AsOf,1,IF(T487&lt;=AsOf+AlertDays,2,IF(T487&lt;=AsOf+2*AlertDays,3,""))))))</f>
        <v/>
      </c>
      <c r="V487" s="79">
        <f>IF(U487="","",IF(Q487=3,"Late task: "&amp;D487,IF(T487&lt;AsOf,"Should have started: ","Starts soon: ")&amp;D487)&amp;IF(F487="",""," — "&amp;F487))</f>
        <v/>
      </c>
    </row>
    <row r="488" ht="20" customHeight="1">
      <c r="B488" s="125" t="n">
        <v>482</v>
      </c>
      <c r="C488" s="72" t="n"/>
      <c r="D488" s="72" t="n"/>
      <c r="E488" s="72" t="n"/>
      <c r="F488" s="72" t="n"/>
      <c r="G488" s="89" t="n"/>
      <c r="H488" s="89" t="n"/>
      <c r="I488" s="109" t="n"/>
      <c r="J488" s="126">
        <f>IF(OR(D488="",ProjStart=""),"",MAX(ProjStart,IF(I488&lt;&gt;"",I488,0),IF(H488="",0,IFERROR(INDEX($L$6:L487,MATCH(H488,$B$6:B487,0))+1,0))))</f>
        <v/>
      </c>
      <c r="K488" s="89" t="n"/>
      <c r="L488" s="126">
        <f>IF(J488="","",J488+MAX(1,G488)+IF(K488="",0,K488)-1)</f>
        <v/>
      </c>
      <c r="M488" s="72" t="n"/>
      <c r="N488" s="109" t="n"/>
      <c r="O488" s="127">
        <f>IF(D488="","",COUNTIF($H$7:$H$1006,B488))</f>
        <v/>
      </c>
      <c r="P488" s="78">
        <f>IF(D488="","",IF(AND(H488&lt;&gt;"",H488&gt;=B488),"⚠️ Predecessor must be above",IF(M488="Done","✓ Done",IF(Q488=3,"🔴 Late",IF(M488="In progress","In progress","")))))</f>
        <v/>
      </c>
      <c r="Q488" s="79">
        <f>IF(OR(D488="",L488=""),"",IF(M488="Done",2,IF(AsOf&gt;L488,3,1)))</f>
        <v/>
      </c>
      <c r="R488" s="79">
        <f>IF(OR(E488="",F488=""),0,IF(COUNTIFS($E$7:E488,E488,$F$7:F488,F488)=1,1,0))</f>
        <v/>
      </c>
      <c r="S488" s="79">
        <f>IF(R488=1,E488&amp;"|"&amp;SUMIFS($R$7:R488,$E$7:E488,E488),"")</f>
        <v/>
      </c>
      <c r="T488" s="112">
        <f>IF(Q488="","",IF(Q488=3,L488,IF(OR(M488="Not started",M488=""),J488,"")))</f>
        <v/>
      </c>
      <c r="U488" s="79">
        <f>IF(T488="","",IF(Q488=3,1,IF(T488="","",IF(T488&lt;AsOf,1,IF(T488&lt;=AsOf+AlertDays,2,IF(T488&lt;=AsOf+2*AlertDays,3,""))))))</f>
        <v/>
      </c>
      <c r="V488" s="79">
        <f>IF(U488="","",IF(Q488=3,"Late task: "&amp;D488,IF(T488&lt;AsOf,"Should have started: ","Starts soon: ")&amp;D488)&amp;IF(F488="",""," — "&amp;F488))</f>
        <v/>
      </c>
    </row>
    <row r="489" ht="20" customHeight="1">
      <c r="B489" s="125" t="n">
        <v>483</v>
      </c>
      <c r="C489" s="72" t="n"/>
      <c r="D489" s="72" t="n"/>
      <c r="E489" s="72" t="n"/>
      <c r="F489" s="72" t="n"/>
      <c r="G489" s="89" t="n"/>
      <c r="H489" s="89" t="n"/>
      <c r="I489" s="109" t="n"/>
      <c r="J489" s="126">
        <f>IF(OR(D489="",ProjStart=""),"",MAX(ProjStart,IF(I489&lt;&gt;"",I489,0),IF(H489="",0,IFERROR(INDEX($L$6:L488,MATCH(H489,$B$6:B488,0))+1,0))))</f>
        <v/>
      </c>
      <c r="K489" s="89" t="n"/>
      <c r="L489" s="126">
        <f>IF(J489="","",J489+MAX(1,G489)+IF(K489="",0,K489)-1)</f>
        <v/>
      </c>
      <c r="M489" s="72" t="n"/>
      <c r="N489" s="109" t="n"/>
      <c r="O489" s="127">
        <f>IF(D489="","",COUNTIF($H$7:$H$1006,B489))</f>
        <v/>
      </c>
      <c r="P489" s="78">
        <f>IF(D489="","",IF(AND(H489&lt;&gt;"",H489&gt;=B489),"⚠️ Predecessor must be above",IF(M489="Done","✓ Done",IF(Q489=3,"🔴 Late",IF(M489="In progress","In progress","")))))</f>
        <v/>
      </c>
      <c r="Q489" s="79">
        <f>IF(OR(D489="",L489=""),"",IF(M489="Done",2,IF(AsOf&gt;L489,3,1)))</f>
        <v/>
      </c>
      <c r="R489" s="79">
        <f>IF(OR(E489="",F489=""),0,IF(COUNTIFS($E$7:E489,E489,$F$7:F489,F489)=1,1,0))</f>
        <v/>
      </c>
      <c r="S489" s="79">
        <f>IF(R489=1,E489&amp;"|"&amp;SUMIFS($R$7:R489,$E$7:E489,E489),"")</f>
        <v/>
      </c>
      <c r="T489" s="112">
        <f>IF(Q489="","",IF(Q489=3,L489,IF(OR(M489="Not started",M489=""),J489,"")))</f>
        <v/>
      </c>
      <c r="U489" s="79">
        <f>IF(T489="","",IF(Q489=3,1,IF(T489="","",IF(T489&lt;AsOf,1,IF(T489&lt;=AsOf+AlertDays,2,IF(T489&lt;=AsOf+2*AlertDays,3,""))))))</f>
        <v/>
      </c>
      <c r="V489" s="79">
        <f>IF(U489="","",IF(Q489=3,"Late task: "&amp;D489,IF(T489&lt;AsOf,"Should have started: ","Starts soon: ")&amp;D489)&amp;IF(F489="",""," — "&amp;F489))</f>
        <v/>
      </c>
    </row>
    <row r="490" ht="20" customHeight="1">
      <c r="B490" s="125" t="n">
        <v>484</v>
      </c>
      <c r="C490" s="72" t="n"/>
      <c r="D490" s="72" t="n"/>
      <c r="E490" s="72" t="n"/>
      <c r="F490" s="72" t="n"/>
      <c r="G490" s="89" t="n"/>
      <c r="H490" s="89" t="n"/>
      <c r="I490" s="109" t="n"/>
      <c r="J490" s="126">
        <f>IF(OR(D490="",ProjStart=""),"",MAX(ProjStart,IF(I490&lt;&gt;"",I490,0),IF(H490="",0,IFERROR(INDEX($L$6:L489,MATCH(H490,$B$6:B489,0))+1,0))))</f>
        <v/>
      </c>
      <c r="K490" s="89" t="n"/>
      <c r="L490" s="126">
        <f>IF(J490="","",J490+MAX(1,G490)+IF(K490="",0,K490)-1)</f>
        <v/>
      </c>
      <c r="M490" s="72" t="n"/>
      <c r="N490" s="109" t="n"/>
      <c r="O490" s="127">
        <f>IF(D490="","",COUNTIF($H$7:$H$1006,B490))</f>
        <v/>
      </c>
      <c r="P490" s="78">
        <f>IF(D490="","",IF(AND(H490&lt;&gt;"",H490&gt;=B490),"⚠️ Predecessor must be above",IF(M490="Done","✓ Done",IF(Q490=3,"🔴 Late",IF(M490="In progress","In progress","")))))</f>
        <v/>
      </c>
      <c r="Q490" s="79">
        <f>IF(OR(D490="",L490=""),"",IF(M490="Done",2,IF(AsOf&gt;L490,3,1)))</f>
        <v/>
      </c>
      <c r="R490" s="79">
        <f>IF(OR(E490="",F490=""),0,IF(COUNTIFS($E$7:E490,E490,$F$7:F490,F490)=1,1,0))</f>
        <v/>
      </c>
      <c r="S490" s="79">
        <f>IF(R490=1,E490&amp;"|"&amp;SUMIFS($R$7:R490,$E$7:E490,E490),"")</f>
        <v/>
      </c>
      <c r="T490" s="112">
        <f>IF(Q490="","",IF(Q490=3,L490,IF(OR(M490="Not started",M490=""),J490,"")))</f>
        <v/>
      </c>
      <c r="U490" s="79">
        <f>IF(T490="","",IF(Q490=3,1,IF(T490="","",IF(T490&lt;AsOf,1,IF(T490&lt;=AsOf+AlertDays,2,IF(T490&lt;=AsOf+2*AlertDays,3,""))))))</f>
        <v/>
      </c>
      <c r="V490" s="79">
        <f>IF(U490="","",IF(Q490=3,"Late task: "&amp;D490,IF(T490&lt;AsOf,"Should have started: ","Starts soon: ")&amp;D490)&amp;IF(F490="",""," — "&amp;F490))</f>
        <v/>
      </c>
    </row>
    <row r="491" ht="20" customHeight="1">
      <c r="B491" s="125" t="n">
        <v>485</v>
      </c>
      <c r="C491" s="72" t="n"/>
      <c r="D491" s="72" t="n"/>
      <c r="E491" s="72" t="n"/>
      <c r="F491" s="72" t="n"/>
      <c r="G491" s="89" t="n"/>
      <c r="H491" s="89" t="n"/>
      <c r="I491" s="109" t="n"/>
      <c r="J491" s="126">
        <f>IF(OR(D491="",ProjStart=""),"",MAX(ProjStart,IF(I491&lt;&gt;"",I491,0),IF(H491="",0,IFERROR(INDEX($L$6:L490,MATCH(H491,$B$6:B490,0))+1,0))))</f>
        <v/>
      </c>
      <c r="K491" s="89" t="n"/>
      <c r="L491" s="126">
        <f>IF(J491="","",J491+MAX(1,G491)+IF(K491="",0,K491)-1)</f>
        <v/>
      </c>
      <c r="M491" s="72" t="n"/>
      <c r="N491" s="109" t="n"/>
      <c r="O491" s="127">
        <f>IF(D491="","",COUNTIF($H$7:$H$1006,B491))</f>
        <v/>
      </c>
      <c r="P491" s="78">
        <f>IF(D491="","",IF(AND(H491&lt;&gt;"",H491&gt;=B491),"⚠️ Predecessor must be above",IF(M491="Done","✓ Done",IF(Q491=3,"🔴 Late",IF(M491="In progress","In progress","")))))</f>
        <v/>
      </c>
      <c r="Q491" s="79">
        <f>IF(OR(D491="",L491=""),"",IF(M491="Done",2,IF(AsOf&gt;L491,3,1)))</f>
        <v/>
      </c>
      <c r="R491" s="79">
        <f>IF(OR(E491="",F491=""),0,IF(COUNTIFS($E$7:E491,E491,$F$7:F491,F491)=1,1,0))</f>
        <v/>
      </c>
      <c r="S491" s="79">
        <f>IF(R491=1,E491&amp;"|"&amp;SUMIFS($R$7:R491,$E$7:E491,E491),"")</f>
        <v/>
      </c>
      <c r="T491" s="112">
        <f>IF(Q491="","",IF(Q491=3,L491,IF(OR(M491="Not started",M491=""),J491,"")))</f>
        <v/>
      </c>
      <c r="U491" s="79">
        <f>IF(T491="","",IF(Q491=3,1,IF(T491="","",IF(T491&lt;AsOf,1,IF(T491&lt;=AsOf+AlertDays,2,IF(T491&lt;=AsOf+2*AlertDays,3,""))))))</f>
        <v/>
      </c>
      <c r="V491" s="79">
        <f>IF(U491="","",IF(Q491=3,"Late task: "&amp;D491,IF(T491&lt;AsOf,"Should have started: ","Starts soon: ")&amp;D491)&amp;IF(F491="",""," — "&amp;F491))</f>
        <v/>
      </c>
    </row>
    <row r="492" ht="20" customHeight="1">
      <c r="B492" s="125" t="n">
        <v>486</v>
      </c>
      <c r="C492" s="72" t="n"/>
      <c r="D492" s="72" t="n"/>
      <c r="E492" s="72" t="n"/>
      <c r="F492" s="72" t="n"/>
      <c r="G492" s="89" t="n"/>
      <c r="H492" s="89" t="n"/>
      <c r="I492" s="109" t="n"/>
      <c r="J492" s="126">
        <f>IF(OR(D492="",ProjStart=""),"",MAX(ProjStart,IF(I492&lt;&gt;"",I492,0),IF(H492="",0,IFERROR(INDEX($L$6:L491,MATCH(H492,$B$6:B491,0))+1,0))))</f>
        <v/>
      </c>
      <c r="K492" s="89" t="n"/>
      <c r="L492" s="126">
        <f>IF(J492="","",J492+MAX(1,G492)+IF(K492="",0,K492)-1)</f>
        <v/>
      </c>
      <c r="M492" s="72" t="n"/>
      <c r="N492" s="109" t="n"/>
      <c r="O492" s="127">
        <f>IF(D492="","",COUNTIF($H$7:$H$1006,B492))</f>
        <v/>
      </c>
      <c r="P492" s="78">
        <f>IF(D492="","",IF(AND(H492&lt;&gt;"",H492&gt;=B492),"⚠️ Predecessor must be above",IF(M492="Done","✓ Done",IF(Q492=3,"🔴 Late",IF(M492="In progress","In progress","")))))</f>
        <v/>
      </c>
      <c r="Q492" s="79">
        <f>IF(OR(D492="",L492=""),"",IF(M492="Done",2,IF(AsOf&gt;L492,3,1)))</f>
        <v/>
      </c>
      <c r="R492" s="79">
        <f>IF(OR(E492="",F492=""),0,IF(COUNTIFS($E$7:E492,E492,$F$7:F492,F492)=1,1,0))</f>
        <v/>
      </c>
      <c r="S492" s="79">
        <f>IF(R492=1,E492&amp;"|"&amp;SUMIFS($R$7:R492,$E$7:E492,E492),"")</f>
        <v/>
      </c>
      <c r="T492" s="112">
        <f>IF(Q492="","",IF(Q492=3,L492,IF(OR(M492="Not started",M492=""),J492,"")))</f>
        <v/>
      </c>
      <c r="U492" s="79">
        <f>IF(T492="","",IF(Q492=3,1,IF(T492="","",IF(T492&lt;AsOf,1,IF(T492&lt;=AsOf+AlertDays,2,IF(T492&lt;=AsOf+2*AlertDays,3,""))))))</f>
        <v/>
      </c>
      <c r="V492" s="79">
        <f>IF(U492="","",IF(Q492=3,"Late task: "&amp;D492,IF(T492&lt;AsOf,"Should have started: ","Starts soon: ")&amp;D492)&amp;IF(F492="",""," — "&amp;F492))</f>
        <v/>
      </c>
    </row>
    <row r="493" ht="20" customHeight="1">
      <c r="B493" s="125" t="n">
        <v>487</v>
      </c>
      <c r="C493" s="72" t="n"/>
      <c r="D493" s="72" t="n"/>
      <c r="E493" s="72" t="n"/>
      <c r="F493" s="72" t="n"/>
      <c r="G493" s="89" t="n"/>
      <c r="H493" s="89" t="n"/>
      <c r="I493" s="109" t="n"/>
      <c r="J493" s="126">
        <f>IF(OR(D493="",ProjStart=""),"",MAX(ProjStart,IF(I493&lt;&gt;"",I493,0),IF(H493="",0,IFERROR(INDEX($L$6:L492,MATCH(H493,$B$6:B492,0))+1,0))))</f>
        <v/>
      </c>
      <c r="K493" s="89" t="n"/>
      <c r="L493" s="126">
        <f>IF(J493="","",J493+MAX(1,G493)+IF(K493="",0,K493)-1)</f>
        <v/>
      </c>
      <c r="M493" s="72" t="n"/>
      <c r="N493" s="109" t="n"/>
      <c r="O493" s="127">
        <f>IF(D493="","",COUNTIF($H$7:$H$1006,B493))</f>
        <v/>
      </c>
      <c r="P493" s="78">
        <f>IF(D493="","",IF(AND(H493&lt;&gt;"",H493&gt;=B493),"⚠️ Predecessor must be above",IF(M493="Done","✓ Done",IF(Q493=3,"🔴 Late",IF(M493="In progress","In progress","")))))</f>
        <v/>
      </c>
      <c r="Q493" s="79">
        <f>IF(OR(D493="",L493=""),"",IF(M493="Done",2,IF(AsOf&gt;L493,3,1)))</f>
        <v/>
      </c>
      <c r="R493" s="79">
        <f>IF(OR(E493="",F493=""),0,IF(COUNTIFS($E$7:E493,E493,$F$7:F493,F493)=1,1,0))</f>
        <v/>
      </c>
      <c r="S493" s="79">
        <f>IF(R493=1,E493&amp;"|"&amp;SUMIFS($R$7:R493,$E$7:E493,E493),"")</f>
        <v/>
      </c>
      <c r="T493" s="112">
        <f>IF(Q493="","",IF(Q493=3,L493,IF(OR(M493="Not started",M493=""),J493,"")))</f>
        <v/>
      </c>
      <c r="U493" s="79">
        <f>IF(T493="","",IF(Q493=3,1,IF(T493="","",IF(T493&lt;AsOf,1,IF(T493&lt;=AsOf+AlertDays,2,IF(T493&lt;=AsOf+2*AlertDays,3,""))))))</f>
        <v/>
      </c>
      <c r="V493" s="79">
        <f>IF(U493="","",IF(Q493=3,"Late task: "&amp;D493,IF(T493&lt;AsOf,"Should have started: ","Starts soon: ")&amp;D493)&amp;IF(F493="",""," — "&amp;F493))</f>
        <v/>
      </c>
    </row>
    <row r="494" ht="20" customHeight="1">
      <c r="B494" s="125" t="n">
        <v>488</v>
      </c>
      <c r="C494" s="72" t="n"/>
      <c r="D494" s="72" t="n"/>
      <c r="E494" s="72" t="n"/>
      <c r="F494" s="72" t="n"/>
      <c r="G494" s="89" t="n"/>
      <c r="H494" s="89" t="n"/>
      <c r="I494" s="109" t="n"/>
      <c r="J494" s="126">
        <f>IF(OR(D494="",ProjStart=""),"",MAX(ProjStart,IF(I494&lt;&gt;"",I494,0),IF(H494="",0,IFERROR(INDEX($L$6:L493,MATCH(H494,$B$6:B493,0))+1,0))))</f>
        <v/>
      </c>
      <c r="K494" s="89" t="n"/>
      <c r="L494" s="126">
        <f>IF(J494="","",J494+MAX(1,G494)+IF(K494="",0,K494)-1)</f>
        <v/>
      </c>
      <c r="M494" s="72" t="n"/>
      <c r="N494" s="109" t="n"/>
      <c r="O494" s="127">
        <f>IF(D494="","",COUNTIF($H$7:$H$1006,B494))</f>
        <v/>
      </c>
      <c r="P494" s="78">
        <f>IF(D494="","",IF(AND(H494&lt;&gt;"",H494&gt;=B494),"⚠️ Predecessor must be above",IF(M494="Done","✓ Done",IF(Q494=3,"🔴 Late",IF(M494="In progress","In progress","")))))</f>
        <v/>
      </c>
      <c r="Q494" s="79">
        <f>IF(OR(D494="",L494=""),"",IF(M494="Done",2,IF(AsOf&gt;L494,3,1)))</f>
        <v/>
      </c>
      <c r="R494" s="79">
        <f>IF(OR(E494="",F494=""),0,IF(COUNTIFS($E$7:E494,E494,$F$7:F494,F494)=1,1,0))</f>
        <v/>
      </c>
      <c r="S494" s="79">
        <f>IF(R494=1,E494&amp;"|"&amp;SUMIFS($R$7:R494,$E$7:E494,E494),"")</f>
        <v/>
      </c>
      <c r="T494" s="112">
        <f>IF(Q494="","",IF(Q494=3,L494,IF(OR(M494="Not started",M494=""),J494,"")))</f>
        <v/>
      </c>
      <c r="U494" s="79">
        <f>IF(T494="","",IF(Q494=3,1,IF(T494="","",IF(T494&lt;AsOf,1,IF(T494&lt;=AsOf+AlertDays,2,IF(T494&lt;=AsOf+2*AlertDays,3,""))))))</f>
        <v/>
      </c>
      <c r="V494" s="79">
        <f>IF(U494="","",IF(Q494=3,"Late task: "&amp;D494,IF(T494&lt;AsOf,"Should have started: ","Starts soon: ")&amp;D494)&amp;IF(F494="",""," — "&amp;F494))</f>
        <v/>
      </c>
    </row>
    <row r="495" ht="20" customHeight="1">
      <c r="B495" s="125" t="n">
        <v>489</v>
      </c>
      <c r="C495" s="72" t="n"/>
      <c r="D495" s="72" t="n"/>
      <c r="E495" s="72" t="n"/>
      <c r="F495" s="72" t="n"/>
      <c r="G495" s="89" t="n"/>
      <c r="H495" s="89" t="n"/>
      <c r="I495" s="109" t="n"/>
      <c r="J495" s="126">
        <f>IF(OR(D495="",ProjStart=""),"",MAX(ProjStart,IF(I495&lt;&gt;"",I495,0),IF(H495="",0,IFERROR(INDEX($L$6:L494,MATCH(H495,$B$6:B494,0))+1,0))))</f>
        <v/>
      </c>
      <c r="K495" s="89" t="n"/>
      <c r="L495" s="126">
        <f>IF(J495="","",J495+MAX(1,G495)+IF(K495="",0,K495)-1)</f>
        <v/>
      </c>
      <c r="M495" s="72" t="n"/>
      <c r="N495" s="109" t="n"/>
      <c r="O495" s="127">
        <f>IF(D495="","",COUNTIF($H$7:$H$1006,B495))</f>
        <v/>
      </c>
      <c r="P495" s="78">
        <f>IF(D495="","",IF(AND(H495&lt;&gt;"",H495&gt;=B495),"⚠️ Predecessor must be above",IF(M495="Done","✓ Done",IF(Q495=3,"🔴 Late",IF(M495="In progress","In progress","")))))</f>
        <v/>
      </c>
      <c r="Q495" s="79">
        <f>IF(OR(D495="",L495=""),"",IF(M495="Done",2,IF(AsOf&gt;L495,3,1)))</f>
        <v/>
      </c>
      <c r="R495" s="79">
        <f>IF(OR(E495="",F495=""),0,IF(COUNTIFS($E$7:E495,E495,$F$7:F495,F495)=1,1,0))</f>
        <v/>
      </c>
      <c r="S495" s="79">
        <f>IF(R495=1,E495&amp;"|"&amp;SUMIFS($R$7:R495,$E$7:E495,E495),"")</f>
        <v/>
      </c>
      <c r="T495" s="112">
        <f>IF(Q495="","",IF(Q495=3,L495,IF(OR(M495="Not started",M495=""),J495,"")))</f>
        <v/>
      </c>
      <c r="U495" s="79">
        <f>IF(T495="","",IF(Q495=3,1,IF(T495="","",IF(T495&lt;AsOf,1,IF(T495&lt;=AsOf+AlertDays,2,IF(T495&lt;=AsOf+2*AlertDays,3,""))))))</f>
        <v/>
      </c>
      <c r="V495" s="79">
        <f>IF(U495="","",IF(Q495=3,"Late task: "&amp;D495,IF(T495&lt;AsOf,"Should have started: ","Starts soon: ")&amp;D495)&amp;IF(F495="",""," — "&amp;F495))</f>
        <v/>
      </c>
    </row>
    <row r="496" ht="20" customHeight="1">
      <c r="B496" s="125" t="n">
        <v>490</v>
      </c>
      <c r="C496" s="72" t="n"/>
      <c r="D496" s="72" t="n"/>
      <c r="E496" s="72" t="n"/>
      <c r="F496" s="72" t="n"/>
      <c r="G496" s="89" t="n"/>
      <c r="H496" s="89" t="n"/>
      <c r="I496" s="109" t="n"/>
      <c r="J496" s="126">
        <f>IF(OR(D496="",ProjStart=""),"",MAX(ProjStart,IF(I496&lt;&gt;"",I496,0),IF(H496="",0,IFERROR(INDEX($L$6:L495,MATCH(H496,$B$6:B495,0))+1,0))))</f>
        <v/>
      </c>
      <c r="K496" s="89" t="n"/>
      <c r="L496" s="126">
        <f>IF(J496="","",J496+MAX(1,G496)+IF(K496="",0,K496)-1)</f>
        <v/>
      </c>
      <c r="M496" s="72" t="n"/>
      <c r="N496" s="109" t="n"/>
      <c r="O496" s="127">
        <f>IF(D496="","",COUNTIF($H$7:$H$1006,B496))</f>
        <v/>
      </c>
      <c r="P496" s="78">
        <f>IF(D496="","",IF(AND(H496&lt;&gt;"",H496&gt;=B496),"⚠️ Predecessor must be above",IF(M496="Done","✓ Done",IF(Q496=3,"🔴 Late",IF(M496="In progress","In progress","")))))</f>
        <v/>
      </c>
      <c r="Q496" s="79">
        <f>IF(OR(D496="",L496=""),"",IF(M496="Done",2,IF(AsOf&gt;L496,3,1)))</f>
        <v/>
      </c>
      <c r="R496" s="79">
        <f>IF(OR(E496="",F496=""),0,IF(COUNTIFS($E$7:E496,E496,$F$7:F496,F496)=1,1,0))</f>
        <v/>
      </c>
      <c r="S496" s="79">
        <f>IF(R496=1,E496&amp;"|"&amp;SUMIFS($R$7:R496,$E$7:E496,E496),"")</f>
        <v/>
      </c>
      <c r="T496" s="112">
        <f>IF(Q496="","",IF(Q496=3,L496,IF(OR(M496="Not started",M496=""),J496,"")))</f>
        <v/>
      </c>
      <c r="U496" s="79">
        <f>IF(T496="","",IF(Q496=3,1,IF(T496="","",IF(T496&lt;AsOf,1,IF(T496&lt;=AsOf+AlertDays,2,IF(T496&lt;=AsOf+2*AlertDays,3,""))))))</f>
        <v/>
      </c>
      <c r="V496" s="79">
        <f>IF(U496="","",IF(Q496=3,"Late task: "&amp;D496,IF(T496&lt;AsOf,"Should have started: ","Starts soon: ")&amp;D496)&amp;IF(F496="",""," — "&amp;F496))</f>
        <v/>
      </c>
    </row>
    <row r="497" ht="20" customHeight="1">
      <c r="B497" s="125" t="n">
        <v>491</v>
      </c>
      <c r="C497" s="72" t="n"/>
      <c r="D497" s="72" t="n"/>
      <c r="E497" s="72" t="n"/>
      <c r="F497" s="72" t="n"/>
      <c r="G497" s="89" t="n"/>
      <c r="H497" s="89" t="n"/>
      <c r="I497" s="109" t="n"/>
      <c r="J497" s="126">
        <f>IF(OR(D497="",ProjStart=""),"",MAX(ProjStart,IF(I497&lt;&gt;"",I497,0),IF(H497="",0,IFERROR(INDEX($L$6:L496,MATCH(H497,$B$6:B496,0))+1,0))))</f>
        <v/>
      </c>
      <c r="K497" s="89" t="n"/>
      <c r="L497" s="126">
        <f>IF(J497="","",J497+MAX(1,G497)+IF(K497="",0,K497)-1)</f>
        <v/>
      </c>
      <c r="M497" s="72" t="n"/>
      <c r="N497" s="109" t="n"/>
      <c r="O497" s="127">
        <f>IF(D497="","",COUNTIF($H$7:$H$1006,B497))</f>
        <v/>
      </c>
      <c r="P497" s="78">
        <f>IF(D497="","",IF(AND(H497&lt;&gt;"",H497&gt;=B497),"⚠️ Predecessor must be above",IF(M497="Done","✓ Done",IF(Q497=3,"🔴 Late",IF(M497="In progress","In progress","")))))</f>
        <v/>
      </c>
      <c r="Q497" s="79">
        <f>IF(OR(D497="",L497=""),"",IF(M497="Done",2,IF(AsOf&gt;L497,3,1)))</f>
        <v/>
      </c>
      <c r="R497" s="79">
        <f>IF(OR(E497="",F497=""),0,IF(COUNTIFS($E$7:E497,E497,$F$7:F497,F497)=1,1,0))</f>
        <v/>
      </c>
      <c r="S497" s="79">
        <f>IF(R497=1,E497&amp;"|"&amp;SUMIFS($R$7:R497,$E$7:E497,E497),"")</f>
        <v/>
      </c>
      <c r="T497" s="112">
        <f>IF(Q497="","",IF(Q497=3,L497,IF(OR(M497="Not started",M497=""),J497,"")))</f>
        <v/>
      </c>
      <c r="U497" s="79">
        <f>IF(T497="","",IF(Q497=3,1,IF(T497="","",IF(T497&lt;AsOf,1,IF(T497&lt;=AsOf+AlertDays,2,IF(T497&lt;=AsOf+2*AlertDays,3,""))))))</f>
        <v/>
      </c>
      <c r="V497" s="79">
        <f>IF(U497="","",IF(Q497=3,"Late task: "&amp;D497,IF(T497&lt;AsOf,"Should have started: ","Starts soon: ")&amp;D497)&amp;IF(F497="",""," — "&amp;F497))</f>
        <v/>
      </c>
    </row>
    <row r="498" ht="20" customHeight="1">
      <c r="B498" s="125" t="n">
        <v>492</v>
      </c>
      <c r="C498" s="72" t="n"/>
      <c r="D498" s="72" t="n"/>
      <c r="E498" s="72" t="n"/>
      <c r="F498" s="72" t="n"/>
      <c r="G498" s="89" t="n"/>
      <c r="H498" s="89" t="n"/>
      <c r="I498" s="109" t="n"/>
      <c r="J498" s="126">
        <f>IF(OR(D498="",ProjStart=""),"",MAX(ProjStart,IF(I498&lt;&gt;"",I498,0),IF(H498="",0,IFERROR(INDEX($L$6:L497,MATCH(H498,$B$6:B497,0))+1,0))))</f>
        <v/>
      </c>
      <c r="K498" s="89" t="n"/>
      <c r="L498" s="126">
        <f>IF(J498="","",J498+MAX(1,G498)+IF(K498="",0,K498)-1)</f>
        <v/>
      </c>
      <c r="M498" s="72" t="n"/>
      <c r="N498" s="109" t="n"/>
      <c r="O498" s="127">
        <f>IF(D498="","",COUNTIF($H$7:$H$1006,B498))</f>
        <v/>
      </c>
      <c r="P498" s="78">
        <f>IF(D498="","",IF(AND(H498&lt;&gt;"",H498&gt;=B498),"⚠️ Predecessor must be above",IF(M498="Done","✓ Done",IF(Q498=3,"🔴 Late",IF(M498="In progress","In progress","")))))</f>
        <v/>
      </c>
      <c r="Q498" s="79">
        <f>IF(OR(D498="",L498=""),"",IF(M498="Done",2,IF(AsOf&gt;L498,3,1)))</f>
        <v/>
      </c>
      <c r="R498" s="79">
        <f>IF(OR(E498="",F498=""),0,IF(COUNTIFS($E$7:E498,E498,$F$7:F498,F498)=1,1,0))</f>
        <v/>
      </c>
      <c r="S498" s="79">
        <f>IF(R498=1,E498&amp;"|"&amp;SUMIFS($R$7:R498,$E$7:E498,E498),"")</f>
        <v/>
      </c>
      <c r="T498" s="112">
        <f>IF(Q498="","",IF(Q498=3,L498,IF(OR(M498="Not started",M498=""),J498,"")))</f>
        <v/>
      </c>
      <c r="U498" s="79">
        <f>IF(T498="","",IF(Q498=3,1,IF(T498="","",IF(T498&lt;AsOf,1,IF(T498&lt;=AsOf+AlertDays,2,IF(T498&lt;=AsOf+2*AlertDays,3,""))))))</f>
        <v/>
      </c>
      <c r="V498" s="79">
        <f>IF(U498="","",IF(Q498=3,"Late task: "&amp;D498,IF(T498&lt;AsOf,"Should have started: ","Starts soon: ")&amp;D498)&amp;IF(F498="",""," — "&amp;F498))</f>
        <v/>
      </c>
    </row>
    <row r="499" ht="20" customHeight="1">
      <c r="B499" s="125" t="n">
        <v>493</v>
      </c>
      <c r="C499" s="72" t="n"/>
      <c r="D499" s="72" t="n"/>
      <c r="E499" s="72" t="n"/>
      <c r="F499" s="72" t="n"/>
      <c r="G499" s="89" t="n"/>
      <c r="H499" s="89" t="n"/>
      <c r="I499" s="109" t="n"/>
      <c r="J499" s="126">
        <f>IF(OR(D499="",ProjStart=""),"",MAX(ProjStart,IF(I499&lt;&gt;"",I499,0),IF(H499="",0,IFERROR(INDEX($L$6:L498,MATCH(H499,$B$6:B498,0))+1,0))))</f>
        <v/>
      </c>
      <c r="K499" s="89" t="n"/>
      <c r="L499" s="126">
        <f>IF(J499="","",J499+MAX(1,G499)+IF(K499="",0,K499)-1)</f>
        <v/>
      </c>
      <c r="M499" s="72" t="n"/>
      <c r="N499" s="109" t="n"/>
      <c r="O499" s="127">
        <f>IF(D499="","",COUNTIF($H$7:$H$1006,B499))</f>
        <v/>
      </c>
      <c r="P499" s="78">
        <f>IF(D499="","",IF(AND(H499&lt;&gt;"",H499&gt;=B499),"⚠️ Predecessor must be above",IF(M499="Done","✓ Done",IF(Q499=3,"🔴 Late",IF(M499="In progress","In progress","")))))</f>
        <v/>
      </c>
      <c r="Q499" s="79">
        <f>IF(OR(D499="",L499=""),"",IF(M499="Done",2,IF(AsOf&gt;L499,3,1)))</f>
        <v/>
      </c>
      <c r="R499" s="79">
        <f>IF(OR(E499="",F499=""),0,IF(COUNTIFS($E$7:E499,E499,$F$7:F499,F499)=1,1,0))</f>
        <v/>
      </c>
      <c r="S499" s="79">
        <f>IF(R499=1,E499&amp;"|"&amp;SUMIFS($R$7:R499,$E$7:E499,E499),"")</f>
        <v/>
      </c>
      <c r="T499" s="112">
        <f>IF(Q499="","",IF(Q499=3,L499,IF(OR(M499="Not started",M499=""),J499,"")))</f>
        <v/>
      </c>
      <c r="U499" s="79">
        <f>IF(T499="","",IF(Q499=3,1,IF(T499="","",IF(T499&lt;AsOf,1,IF(T499&lt;=AsOf+AlertDays,2,IF(T499&lt;=AsOf+2*AlertDays,3,""))))))</f>
        <v/>
      </c>
      <c r="V499" s="79">
        <f>IF(U499="","",IF(Q499=3,"Late task: "&amp;D499,IF(T499&lt;AsOf,"Should have started: ","Starts soon: ")&amp;D499)&amp;IF(F499="",""," — "&amp;F499))</f>
        <v/>
      </c>
    </row>
    <row r="500" ht="20" customHeight="1">
      <c r="B500" s="125" t="n">
        <v>494</v>
      </c>
      <c r="C500" s="72" t="n"/>
      <c r="D500" s="72" t="n"/>
      <c r="E500" s="72" t="n"/>
      <c r="F500" s="72" t="n"/>
      <c r="G500" s="89" t="n"/>
      <c r="H500" s="89" t="n"/>
      <c r="I500" s="109" t="n"/>
      <c r="J500" s="126">
        <f>IF(OR(D500="",ProjStart=""),"",MAX(ProjStart,IF(I500&lt;&gt;"",I500,0),IF(H500="",0,IFERROR(INDEX($L$6:L499,MATCH(H500,$B$6:B499,0))+1,0))))</f>
        <v/>
      </c>
      <c r="K500" s="89" t="n"/>
      <c r="L500" s="126">
        <f>IF(J500="","",J500+MAX(1,G500)+IF(K500="",0,K500)-1)</f>
        <v/>
      </c>
      <c r="M500" s="72" t="n"/>
      <c r="N500" s="109" t="n"/>
      <c r="O500" s="127">
        <f>IF(D500="","",COUNTIF($H$7:$H$1006,B500))</f>
        <v/>
      </c>
      <c r="P500" s="78">
        <f>IF(D500="","",IF(AND(H500&lt;&gt;"",H500&gt;=B500),"⚠️ Predecessor must be above",IF(M500="Done","✓ Done",IF(Q500=3,"🔴 Late",IF(M500="In progress","In progress","")))))</f>
        <v/>
      </c>
      <c r="Q500" s="79">
        <f>IF(OR(D500="",L500=""),"",IF(M500="Done",2,IF(AsOf&gt;L500,3,1)))</f>
        <v/>
      </c>
      <c r="R500" s="79">
        <f>IF(OR(E500="",F500=""),0,IF(COUNTIFS($E$7:E500,E500,$F$7:F500,F500)=1,1,0))</f>
        <v/>
      </c>
      <c r="S500" s="79">
        <f>IF(R500=1,E500&amp;"|"&amp;SUMIFS($R$7:R500,$E$7:E500,E500),"")</f>
        <v/>
      </c>
      <c r="T500" s="112">
        <f>IF(Q500="","",IF(Q500=3,L500,IF(OR(M500="Not started",M500=""),J500,"")))</f>
        <v/>
      </c>
      <c r="U500" s="79">
        <f>IF(T500="","",IF(Q500=3,1,IF(T500="","",IF(T500&lt;AsOf,1,IF(T500&lt;=AsOf+AlertDays,2,IF(T500&lt;=AsOf+2*AlertDays,3,""))))))</f>
        <v/>
      </c>
      <c r="V500" s="79">
        <f>IF(U500="","",IF(Q500=3,"Late task: "&amp;D500,IF(T500&lt;AsOf,"Should have started: ","Starts soon: ")&amp;D500)&amp;IF(F500="",""," — "&amp;F500))</f>
        <v/>
      </c>
    </row>
    <row r="501" ht="20" customHeight="1">
      <c r="B501" s="125" t="n">
        <v>495</v>
      </c>
      <c r="C501" s="72" t="n"/>
      <c r="D501" s="72" t="n"/>
      <c r="E501" s="72" t="n"/>
      <c r="F501" s="72" t="n"/>
      <c r="G501" s="89" t="n"/>
      <c r="H501" s="89" t="n"/>
      <c r="I501" s="109" t="n"/>
      <c r="J501" s="126">
        <f>IF(OR(D501="",ProjStart=""),"",MAX(ProjStart,IF(I501&lt;&gt;"",I501,0),IF(H501="",0,IFERROR(INDEX($L$6:L500,MATCH(H501,$B$6:B500,0))+1,0))))</f>
        <v/>
      </c>
      <c r="K501" s="89" t="n"/>
      <c r="L501" s="126">
        <f>IF(J501="","",J501+MAX(1,G501)+IF(K501="",0,K501)-1)</f>
        <v/>
      </c>
      <c r="M501" s="72" t="n"/>
      <c r="N501" s="109" t="n"/>
      <c r="O501" s="127">
        <f>IF(D501="","",COUNTIF($H$7:$H$1006,B501))</f>
        <v/>
      </c>
      <c r="P501" s="78">
        <f>IF(D501="","",IF(AND(H501&lt;&gt;"",H501&gt;=B501),"⚠️ Predecessor must be above",IF(M501="Done","✓ Done",IF(Q501=3,"🔴 Late",IF(M501="In progress","In progress","")))))</f>
        <v/>
      </c>
      <c r="Q501" s="79">
        <f>IF(OR(D501="",L501=""),"",IF(M501="Done",2,IF(AsOf&gt;L501,3,1)))</f>
        <v/>
      </c>
      <c r="R501" s="79">
        <f>IF(OR(E501="",F501=""),0,IF(COUNTIFS($E$7:E501,E501,$F$7:F501,F501)=1,1,0))</f>
        <v/>
      </c>
      <c r="S501" s="79">
        <f>IF(R501=1,E501&amp;"|"&amp;SUMIFS($R$7:R501,$E$7:E501,E501),"")</f>
        <v/>
      </c>
      <c r="T501" s="112">
        <f>IF(Q501="","",IF(Q501=3,L501,IF(OR(M501="Not started",M501=""),J501,"")))</f>
        <v/>
      </c>
      <c r="U501" s="79">
        <f>IF(T501="","",IF(Q501=3,1,IF(T501="","",IF(T501&lt;AsOf,1,IF(T501&lt;=AsOf+AlertDays,2,IF(T501&lt;=AsOf+2*AlertDays,3,""))))))</f>
        <v/>
      </c>
      <c r="V501" s="79">
        <f>IF(U501="","",IF(Q501=3,"Late task: "&amp;D501,IF(T501&lt;AsOf,"Should have started: ","Starts soon: ")&amp;D501)&amp;IF(F501="",""," — "&amp;F501))</f>
        <v/>
      </c>
    </row>
    <row r="502" ht="20" customHeight="1">
      <c r="B502" s="125" t="n">
        <v>496</v>
      </c>
      <c r="C502" s="72" t="n"/>
      <c r="D502" s="72" t="n"/>
      <c r="E502" s="72" t="n"/>
      <c r="F502" s="72" t="n"/>
      <c r="G502" s="89" t="n"/>
      <c r="H502" s="89" t="n"/>
      <c r="I502" s="109" t="n"/>
      <c r="J502" s="126">
        <f>IF(OR(D502="",ProjStart=""),"",MAX(ProjStart,IF(I502&lt;&gt;"",I502,0),IF(H502="",0,IFERROR(INDEX($L$6:L501,MATCH(H502,$B$6:B501,0))+1,0))))</f>
        <v/>
      </c>
      <c r="K502" s="89" t="n"/>
      <c r="L502" s="126">
        <f>IF(J502="","",J502+MAX(1,G502)+IF(K502="",0,K502)-1)</f>
        <v/>
      </c>
      <c r="M502" s="72" t="n"/>
      <c r="N502" s="109" t="n"/>
      <c r="O502" s="127">
        <f>IF(D502="","",COUNTIF($H$7:$H$1006,B502))</f>
        <v/>
      </c>
      <c r="P502" s="78">
        <f>IF(D502="","",IF(AND(H502&lt;&gt;"",H502&gt;=B502),"⚠️ Predecessor must be above",IF(M502="Done","✓ Done",IF(Q502=3,"🔴 Late",IF(M502="In progress","In progress","")))))</f>
        <v/>
      </c>
      <c r="Q502" s="79">
        <f>IF(OR(D502="",L502=""),"",IF(M502="Done",2,IF(AsOf&gt;L502,3,1)))</f>
        <v/>
      </c>
      <c r="R502" s="79">
        <f>IF(OR(E502="",F502=""),0,IF(COUNTIFS($E$7:E502,E502,$F$7:F502,F502)=1,1,0))</f>
        <v/>
      </c>
      <c r="S502" s="79">
        <f>IF(R502=1,E502&amp;"|"&amp;SUMIFS($R$7:R502,$E$7:E502,E502),"")</f>
        <v/>
      </c>
      <c r="T502" s="112">
        <f>IF(Q502="","",IF(Q502=3,L502,IF(OR(M502="Not started",M502=""),J502,"")))</f>
        <v/>
      </c>
      <c r="U502" s="79">
        <f>IF(T502="","",IF(Q502=3,1,IF(T502="","",IF(T502&lt;AsOf,1,IF(T502&lt;=AsOf+AlertDays,2,IF(T502&lt;=AsOf+2*AlertDays,3,""))))))</f>
        <v/>
      </c>
      <c r="V502" s="79">
        <f>IF(U502="","",IF(Q502=3,"Late task: "&amp;D502,IF(T502&lt;AsOf,"Should have started: ","Starts soon: ")&amp;D502)&amp;IF(F502="",""," — "&amp;F502))</f>
        <v/>
      </c>
    </row>
    <row r="503" ht="20" customHeight="1">
      <c r="B503" s="125" t="n">
        <v>497</v>
      </c>
      <c r="C503" s="72" t="n"/>
      <c r="D503" s="72" t="n"/>
      <c r="E503" s="72" t="n"/>
      <c r="F503" s="72" t="n"/>
      <c r="G503" s="89" t="n"/>
      <c r="H503" s="89" t="n"/>
      <c r="I503" s="109" t="n"/>
      <c r="J503" s="126">
        <f>IF(OR(D503="",ProjStart=""),"",MAX(ProjStart,IF(I503&lt;&gt;"",I503,0),IF(H503="",0,IFERROR(INDEX($L$6:L502,MATCH(H503,$B$6:B502,0))+1,0))))</f>
        <v/>
      </c>
      <c r="K503" s="89" t="n"/>
      <c r="L503" s="126">
        <f>IF(J503="","",J503+MAX(1,G503)+IF(K503="",0,K503)-1)</f>
        <v/>
      </c>
      <c r="M503" s="72" t="n"/>
      <c r="N503" s="109" t="n"/>
      <c r="O503" s="127">
        <f>IF(D503="","",COUNTIF($H$7:$H$1006,B503))</f>
        <v/>
      </c>
      <c r="P503" s="78">
        <f>IF(D503="","",IF(AND(H503&lt;&gt;"",H503&gt;=B503),"⚠️ Predecessor must be above",IF(M503="Done","✓ Done",IF(Q503=3,"🔴 Late",IF(M503="In progress","In progress","")))))</f>
        <v/>
      </c>
      <c r="Q503" s="79">
        <f>IF(OR(D503="",L503=""),"",IF(M503="Done",2,IF(AsOf&gt;L503,3,1)))</f>
        <v/>
      </c>
      <c r="R503" s="79">
        <f>IF(OR(E503="",F503=""),0,IF(COUNTIFS($E$7:E503,E503,$F$7:F503,F503)=1,1,0))</f>
        <v/>
      </c>
      <c r="S503" s="79">
        <f>IF(R503=1,E503&amp;"|"&amp;SUMIFS($R$7:R503,$E$7:E503,E503),"")</f>
        <v/>
      </c>
      <c r="T503" s="112">
        <f>IF(Q503="","",IF(Q503=3,L503,IF(OR(M503="Not started",M503=""),J503,"")))</f>
        <v/>
      </c>
      <c r="U503" s="79">
        <f>IF(T503="","",IF(Q503=3,1,IF(T503="","",IF(T503&lt;AsOf,1,IF(T503&lt;=AsOf+AlertDays,2,IF(T503&lt;=AsOf+2*AlertDays,3,""))))))</f>
        <v/>
      </c>
      <c r="V503" s="79">
        <f>IF(U503="","",IF(Q503=3,"Late task: "&amp;D503,IF(T503&lt;AsOf,"Should have started: ","Starts soon: ")&amp;D503)&amp;IF(F503="",""," — "&amp;F503))</f>
        <v/>
      </c>
    </row>
    <row r="504" ht="20" customHeight="1">
      <c r="B504" s="125" t="n">
        <v>498</v>
      </c>
      <c r="C504" s="72" t="n"/>
      <c r="D504" s="72" t="n"/>
      <c r="E504" s="72" t="n"/>
      <c r="F504" s="72" t="n"/>
      <c r="G504" s="89" t="n"/>
      <c r="H504" s="89" t="n"/>
      <c r="I504" s="109" t="n"/>
      <c r="J504" s="126">
        <f>IF(OR(D504="",ProjStart=""),"",MAX(ProjStart,IF(I504&lt;&gt;"",I504,0),IF(H504="",0,IFERROR(INDEX($L$6:L503,MATCH(H504,$B$6:B503,0))+1,0))))</f>
        <v/>
      </c>
      <c r="K504" s="89" t="n"/>
      <c r="L504" s="126">
        <f>IF(J504="","",J504+MAX(1,G504)+IF(K504="",0,K504)-1)</f>
        <v/>
      </c>
      <c r="M504" s="72" t="n"/>
      <c r="N504" s="109" t="n"/>
      <c r="O504" s="127">
        <f>IF(D504="","",COUNTIF($H$7:$H$1006,B504))</f>
        <v/>
      </c>
      <c r="P504" s="78">
        <f>IF(D504="","",IF(AND(H504&lt;&gt;"",H504&gt;=B504),"⚠️ Predecessor must be above",IF(M504="Done","✓ Done",IF(Q504=3,"🔴 Late",IF(M504="In progress","In progress","")))))</f>
        <v/>
      </c>
      <c r="Q504" s="79">
        <f>IF(OR(D504="",L504=""),"",IF(M504="Done",2,IF(AsOf&gt;L504,3,1)))</f>
        <v/>
      </c>
      <c r="R504" s="79">
        <f>IF(OR(E504="",F504=""),0,IF(COUNTIFS($E$7:E504,E504,$F$7:F504,F504)=1,1,0))</f>
        <v/>
      </c>
      <c r="S504" s="79">
        <f>IF(R504=1,E504&amp;"|"&amp;SUMIFS($R$7:R504,$E$7:E504,E504),"")</f>
        <v/>
      </c>
      <c r="T504" s="112">
        <f>IF(Q504="","",IF(Q504=3,L504,IF(OR(M504="Not started",M504=""),J504,"")))</f>
        <v/>
      </c>
      <c r="U504" s="79">
        <f>IF(T504="","",IF(Q504=3,1,IF(T504="","",IF(T504&lt;AsOf,1,IF(T504&lt;=AsOf+AlertDays,2,IF(T504&lt;=AsOf+2*AlertDays,3,""))))))</f>
        <v/>
      </c>
      <c r="V504" s="79">
        <f>IF(U504="","",IF(Q504=3,"Late task: "&amp;D504,IF(T504&lt;AsOf,"Should have started: ","Starts soon: ")&amp;D504)&amp;IF(F504="",""," — "&amp;F504))</f>
        <v/>
      </c>
    </row>
    <row r="505" ht="20" customHeight="1">
      <c r="B505" s="125" t="n">
        <v>499</v>
      </c>
      <c r="C505" s="72" t="n"/>
      <c r="D505" s="72" t="n"/>
      <c r="E505" s="72" t="n"/>
      <c r="F505" s="72" t="n"/>
      <c r="G505" s="89" t="n"/>
      <c r="H505" s="89" t="n"/>
      <c r="I505" s="109" t="n"/>
      <c r="J505" s="126">
        <f>IF(OR(D505="",ProjStart=""),"",MAX(ProjStart,IF(I505&lt;&gt;"",I505,0),IF(H505="",0,IFERROR(INDEX($L$6:L504,MATCH(H505,$B$6:B504,0))+1,0))))</f>
        <v/>
      </c>
      <c r="K505" s="89" t="n"/>
      <c r="L505" s="126">
        <f>IF(J505="","",J505+MAX(1,G505)+IF(K505="",0,K505)-1)</f>
        <v/>
      </c>
      <c r="M505" s="72" t="n"/>
      <c r="N505" s="109" t="n"/>
      <c r="O505" s="127">
        <f>IF(D505="","",COUNTIF($H$7:$H$1006,B505))</f>
        <v/>
      </c>
      <c r="P505" s="78">
        <f>IF(D505="","",IF(AND(H505&lt;&gt;"",H505&gt;=B505),"⚠️ Predecessor must be above",IF(M505="Done","✓ Done",IF(Q505=3,"🔴 Late",IF(M505="In progress","In progress","")))))</f>
        <v/>
      </c>
      <c r="Q505" s="79">
        <f>IF(OR(D505="",L505=""),"",IF(M505="Done",2,IF(AsOf&gt;L505,3,1)))</f>
        <v/>
      </c>
      <c r="R505" s="79">
        <f>IF(OR(E505="",F505=""),0,IF(COUNTIFS($E$7:E505,E505,$F$7:F505,F505)=1,1,0))</f>
        <v/>
      </c>
      <c r="S505" s="79">
        <f>IF(R505=1,E505&amp;"|"&amp;SUMIFS($R$7:R505,$E$7:E505,E505),"")</f>
        <v/>
      </c>
      <c r="T505" s="112">
        <f>IF(Q505="","",IF(Q505=3,L505,IF(OR(M505="Not started",M505=""),J505,"")))</f>
        <v/>
      </c>
      <c r="U505" s="79">
        <f>IF(T505="","",IF(Q505=3,1,IF(T505="","",IF(T505&lt;AsOf,1,IF(T505&lt;=AsOf+AlertDays,2,IF(T505&lt;=AsOf+2*AlertDays,3,""))))))</f>
        <v/>
      </c>
      <c r="V505" s="79">
        <f>IF(U505="","",IF(Q505=3,"Late task: "&amp;D505,IF(T505&lt;AsOf,"Should have started: ","Starts soon: ")&amp;D505)&amp;IF(F505="",""," — "&amp;F505))</f>
        <v/>
      </c>
    </row>
    <row r="506" ht="20" customHeight="1">
      <c r="B506" s="125" t="n">
        <v>500</v>
      </c>
      <c r="C506" s="72" t="n"/>
      <c r="D506" s="72" t="n"/>
      <c r="E506" s="72" t="n"/>
      <c r="F506" s="72" t="n"/>
      <c r="G506" s="89" t="n"/>
      <c r="H506" s="89" t="n"/>
      <c r="I506" s="109" t="n"/>
      <c r="J506" s="126">
        <f>IF(OR(D506="",ProjStart=""),"",MAX(ProjStart,IF(I506&lt;&gt;"",I506,0),IF(H506="",0,IFERROR(INDEX($L$6:L505,MATCH(H506,$B$6:B505,0))+1,0))))</f>
        <v/>
      </c>
      <c r="K506" s="89" t="n"/>
      <c r="L506" s="126">
        <f>IF(J506="","",J506+MAX(1,G506)+IF(K506="",0,K506)-1)</f>
        <v/>
      </c>
      <c r="M506" s="72" t="n"/>
      <c r="N506" s="109" t="n"/>
      <c r="O506" s="127">
        <f>IF(D506="","",COUNTIF($H$7:$H$1006,B506))</f>
        <v/>
      </c>
      <c r="P506" s="78">
        <f>IF(D506="","",IF(AND(H506&lt;&gt;"",H506&gt;=B506),"⚠️ Predecessor must be above",IF(M506="Done","✓ Done",IF(Q506=3,"🔴 Late",IF(M506="In progress","In progress","")))))</f>
        <v/>
      </c>
      <c r="Q506" s="79">
        <f>IF(OR(D506="",L506=""),"",IF(M506="Done",2,IF(AsOf&gt;L506,3,1)))</f>
        <v/>
      </c>
      <c r="R506" s="79">
        <f>IF(OR(E506="",F506=""),0,IF(COUNTIFS($E$7:E506,E506,$F$7:F506,F506)=1,1,0))</f>
        <v/>
      </c>
      <c r="S506" s="79">
        <f>IF(R506=1,E506&amp;"|"&amp;SUMIFS($R$7:R506,$E$7:E506,E506),"")</f>
        <v/>
      </c>
      <c r="T506" s="112">
        <f>IF(Q506="","",IF(Q506=3,L506,IF(OR(M506="Not started",M506=""),J506,"")))</f>
        <v/>
      </c>
      <c r="U506" s="79">
        <f>IF(T506="","",IF(Q506=3,1,IF(T506="","",IF(T506&lt;AsOf,1,IF(T506&lt;=AsOf+AlertDays,2,IF(T506&lt;=AsOf+2*AlertDays,3,""))))))</f>
        <v/>
      </c>
      <c r="V506" s="79">
        <f>IF(U506="","",IF(Q506=3,"Late task: "&amp;D506,IF(T506&lt;AsOf,"Should have started: ","Starts soon: ")&amp;D506)&amp;IF(F506="",""," — "&amp;F506))</f>
        <v/>
      </c>
    </row>
    <row r="507" ht="20" customHeight="1">
      <c r="B507" s="125" t="n">
        <v>501</v>
      </c>
      <c r="C507" s="72" t="n"/>
      <c r="D507" s="72" t="n"/>
      <c r="E507" s="72" t="n"/>
      <c r="F507" s="72" t="n"/>
      <c r="G507" s="89" t="n"/>
      <c r="H507" s="89" t="n"/>
      <c r="I507" s="109" t="n"/>
      <c r="J507" s="126">
        <f>IF(OR(D507="",ProjStart=""),"",MAX(ProjStart,IF(I507&lt;&gt;"",I507,0),IF(H507="",0,IFERROR(INDEX($L$6:L506,MATCH(H507,$B$6:B506,0))+1,0))))</f>
        <v/>
      </c>
      <c r="K507" s="89" t="n"/>
      <c r="L507" s="126">
        <f>IF(J507="","",J507+MAX(1,G507)+IF(K507="",0,K507)-1)</f>
        <v/>
      </c>
      <c r="M507" s="72" t="n"/>
      <c r="N507" s="109" t="n"/>
      <c r="O507" s="127">
        <f>IF(D507="","",COUNTIF($H$7:$H$1006,B507))</f>
        <v/>
      </c>
      <c r="P507" s="78">
        <f>IF(D507="","",IF(AND(H507&lt;&gt;"",H507&gt;=B507),"⚠️ Predecessor must be above",IF(M507="Done","✓ Done",IF(Q507=3,"🔴 Late",IF(M507="In progress","In progress","")))))</f>
        <v/>
      </c>
      <c r="Q507" s="79">
        <f>IF(OR(D507="",L507=""),"",IF(M507="Done",2,IF(AsOf&gt;L507,3,1)))</f>
        <v/>
      </c>
      <c r="R507" s="79">
        <f>IF(OR(E507="",F507=""),0,IF(COUNTIFS($E$7:E507,E507,$F$7:F507,F507)=1,1,0))</f>
        <v/>
      </c>
      <c r="S507" s="79">
        <f>IF(R507=1,E507&amp;"|"&amp;SUMIFS($R$7:R507,$E$7:E507,E507),"")</f>
        <v/>
      </c>
      <c r="T507" s="112">
        <f>IF(Q507="","",IF(Q507=3,L507,IF(OR(M507="Not started",M507=""),J507,"")))</f>
        <v/>
      </c>
      <c r="U507" s="79">
        <f>IF(T507="","",IF(Q507=3,1,IF(T507="","",IF(T507&lt;AsOf,1,IF(T507&lt;=AsOf+AlertDays,2,IF(T507&lt;=AsOf+2*AlertDays,3,""))))))</f>
        <v/>
      </c>
      <c r="V507" s="79">
        <f>IF(U507="","",IF(Q507=3,"Late task: "&amp;D507,IF(T507&lt;AsOf,"Should have started: ","Starts soon: ")&amp;D507)&amp;IF(F507="",""," — "&amp;F507))</f>
        <v/>
      </c>
    </row>
    <row r="508" ht="20" customHeight="1">
      <c r="B508" s="125" t="n">
        <v>502</v>
      </c>
      <c r="C508" s="72" t="n"/>
      <c r="D508" s="72" t="n"/>
      <c r="E508" s="72" t="n"/>
      <c r="F508" s="72" t="n"/>
      <c r="G508" s="89" t="n"/>
      <c r="H508" s="89" t="n"/>
      <c r="I508" s="109" t="n"/>
      <c r="J508" s="126">
        <f>IF(OR(D508="",ProjStart=""),"",MAX(ProjStart,IF(I508&lt;&gt;"",I508,0),IF(H508="",0,IFERROR(INDEX($L$6:L507,MATCH(H508,$B$6:B507,0))+1,0))))</f>
        <v/>
      </c>
      <c r="K508" s="89" t="n"/>
      <c r="L508" s="126">
        <f>IF(J508="","",J508+MAX(1,G508)+IF(K508="",0,K508)-1)</f>
        <v/>
      </c>
      <c r="M508" s="72" t="n"/>
      <c r="N508" s="109" t="n"/>
      <c r="O508" s="127">
        <f>IF(D508="","",COUNTIF($H$7:$H$1006,B508))</f>
        <v/>
      </c>
      <c r="P508" s="78">
        <f>IF(D508="","",IF(AND(H508&lt;&gt;"",H508&gt;=B508),"⚠️ Predecessor must be above",IF(M508="Done","✓ Done",IF(Q508=3,"🔴 Late",IF(M508="In progress","In progress","")))))</f>
        <v/>
      </c>
      <c r="Q508" s="79">
        <f>IF(OR(D508="",L508=""),"",IF(M508="Done",2,IF(AsOf&gt;L508,3,1)))</f>
        <v/>
      </c>
      <c r="R508" s="79">
        <f>IF(OR(E508="",F508=""),0,IF(COUNTIFS($E$7:E508,E508,$F$7:F508,F508)=1,1,0))</f>
        <v/>
      </c>
      <c r="S508" s="79">
        <f>IF(R508=1,E508&amp;"|"&amp;SUMIFS($R$7:R508,$E$7:E508,E508),"")</f>
        <v/>
      </c>
      <c r="T508" s="112">
        <f>IF(Q508="","",IF(Q508=3,L508,IF(OR(M508="Not started",M508=""),J508,"")))</f>
        <v/>
      </c>
      <c r="U508" s="79">
        <f>IF(T508="","",IF(Q508=3,1,IF(T508="","",IF(T508&lt;AsOf,1,IF(T508&lt;=AsOf+AlertDays,2,IF(T508&lt;=AsOf+2*AlertDays,3,""))))))</f>
        <v/>
      </c>
      <c r="V508" s="79">
        <f>IF(U508="","",IF(Q508=3,"Late task: "&amp;D508,IF(T508&lt;AsOf,"Should have started: ","Starts soon: ")&amp;D508)&amp;IF(F508="",""," — "&amp;F508))</f>
        <v/>
      </c>
    </row>
    <row r="509" ht="20" customHeight="1">
      <c r="B509" s="125" t="n">
        <v>503</v>
      </c>
      <c r="C509" s="72" t="n"/>
      <c r="D509" s="72" t="n"/>
      <c r="E509" s="72" t="n"/>
      <c r="F509" s="72" t="n"/>
      <c r="G509" s="89" t="n"/>
      <c r="H509" s="89" t="n"/>
      <c r="I509" s="109" t="n"/>
      <c r="J509" s="126">
        <f>IF(OR(D509="",ProjStart=""),"",MAX(ProjStart,IF(I509&lt;&gt;"",I509,0),IF(H509="",0,IFERROR(INDEX($L$6:L508,MATCH(H509,$B$6:B508,0))+1,0))))</f>
        <v/>
      </c>
      <c r="K509" s="89" t="n"/>
      <c r="L509" s="126">
        <f>IF(J509="","",J509+MAX(1,G509)+IF(K509="",0,K509)-1)</f>
        <v/>
      </c>
      <c r="M509" s="72" t="n"/>
      <c r="N509" s="109" t="n"/>
      <c r="O509" s="127">
        <f>IF(D509="","",COUNTIF($H$7:$H$1006,B509))</f>
        <v/>
      </c>
      <c r="P509" s="78">
        <f>IF(D509="","",IF(AND(H509&lt;&gt;"",H509&gt;=B509),"⚠️ Predecessor must be above",IF(M509="Done","✓ Done",IF(Q509=3,"🔴 Late",IF(M509="In progress","In progress","")))))</f>
        <v/>
      </c>
      <c r="Q509" s="79">
        <f>IF(OR(D509="",L509=""),"",IF(M509="Done",2,IF(AsOf&gt;L509,3,1)))</f>
        <v/>
      </c>
      <c r="R509" s="79">
        <f>IF(OR(E509="",F509=""),0,IF(COUNTIFS($E$7:E509,E509,$F$7:F509,F509)=1,1,0))</f>
        <v/>
      </c>
      <c r="S509" s="79">
        <f>IF(R509=1,E509&amp;"|"&amp;SUMIFS($R$7:R509,$E$7:E509,E509),"")</f>
        <v/>
      </c>
      <c r="T509" s="112">
        <f>IF(Q509="","",IF(Q509=3,L509,IF(OR(M509="Not started",M509=""),J509,"")))</f>
        <v/>
      </c>
      <c r="U509" s="79">
        <f>IF(T509="","",IF(Q509=3,1,IF(T509="","",IF(T509&lt;AsOf,1,IF(T509&lt;=AsOf+AlertDays,2,IF(T509&lt;=AsOf+2*AlertDays,3,""))))))</f>
        <v/>
      </c>
      <c r="V509" s="79">
        <f>IF(U509="","",IF(Q509=3,"Late task: "&amp;D509,IF(T509&lt;AsOf,"Should have started: ","Starts soon: ")&amp;D509)&amp;IF(F509="",""," — "&amp;F509))</f>
        <v/>
      </c>
    </row>
    <row r="510" ht="20" customHeight="1">
      <c r="B510" s="125" t="n">
        <v>504</v>
      </c>
      <c r="C510" s="72" t="n"/>
      <c r="D510" s="72" t="n"/>
      <c r="E510" s="72" t="n"/>
      <c r="F510" s="72" t="n"/>
      <c r="G510" s="89" t="n"/>
      <c r="H510" s="89" t="n"/>
      <c r="I510" s="109" t="n"/>
      <c r="J510" s="126">
        <f>IF(OR(D510="",ProjStart=""),"",MAX(ProjStart,IF(I510&lt;&gt;"",I510,0),IF(H510="",0,IFERROR(INDEX($L$6:L509,MATCH(H510,$B$6:B509,0))+1,0))))</f>
        <v/>
      </c>
      <c r="K510" s="89" t="n"/>
      <c r="L510" s="126">
        <f>IF(J510="","",J510+MAX(1,G510)+IF(K510="",0,K510)-1)</f>
        <v/>
      </c>
      <c r="M510" s="72" t="n"/>
      <c r="N510" s="109" t="n"/>
      <c r="O510" s="127">
        <f>IF(D510="","",COUNTIF($H$7:$H$1006,B510))</f>
        <v/>
      </c>
      <c r="P510" s="78">
        <f>IF(D510="","",IF(AND(H510&lt;&gt;"",H510&gt;=B510),"⚠️ Predecessor must be above",IF(M510="Done","✓ Done",IF(Q510=3,"🔴 Late",IF(M510="In progress","In progress","")))))</f>
        <v/>
      </c>
      <c r="Q510" s="79">
        <f>IF(OR(D510="",L510=""),"",IF(M510="Done",2,IF(AsOf&gt;L510,3,1)))</f>
        <v/>
      </c>
      <c r="R510" s="79">
        <f>IF(OR(E510="",F510=""),0,IF(COUNTIFS($E$7:E510,E510,$F$7:F510,F510)=1,1,0))</f>
        <v/>
      </c>
      <c r="S510" s="79">
        <f>IF(R510=1,E510&amp;"|"&amp;SUMIFS($R$7:R510,$E$7:E510,E510),"")</f>
        <v/>
      </c>
      <c r="T510" s="112">
        <f>IF(Q510="","",IF(Q510=3,L510,IF(OR(M510="Not started",M510=""),J510,"")))</f>
        <v/>
      </c>
      <c r="U510" s="79">
        <f>IF(T510="","",IF(Q510=3,1,IF(T510="","",IF(T510&lt;AsOf,1,IF(T510&lt;=AsOf+AlertDays,2,IF(T510&lt;=AsOf+2*AlertDays,3,""))))))</f>
        <v/>
      </c>
      <c r="V510" s="79">
        <f>IF(U510="","",IF(Q510=3,"Late task: "&amp;D510,IF(T510&lt;AsOf,"Should have started: ","Starts soon: ")&amp;D510)&amp;IF(F510="",""," — "&amp;F510))</f>
        <v/>
      </c>
    </row>
    <row r="511" ht="20" customHeight="1">
      <c r="B511" s="125" t="n">
        <v>505</v>
      </c>
      <c r="C511" s="72" t="n"/>
      <c r="D511" s="72" t="n"/>
      <c r="E511" s="72" t="n"/>
      <c r="F511" s="72" t="n"/>
      <c r="G511" s="89" t="n"/>
      <c r="H511" s="89" t="n"/>
      <c r="I511" s="109" t="n"/>
      <c r="J511" s="126">
        <f>IF(OR(D511="",ProjStart=""),"",MAX(ProjStart,IF(I511&lt;&gt;"",I511,0),IF(H511="",0,IFERROR(INDEX($L$6:L510,MATCH(H511,$B$6:B510,0))+1,0))))</f>
        <v/>
      </c>
      <c r="K511" s="89" t="n"/>
      <c r="L511" s="126">
        <f>IF(J511="","",J511+MAX(1,G511)+IF(K511="",0,K511)-1)</f>
        <v/>
      </c>
      <c r="M511" s="72" t="n"/>
      <c r="N511" s="109" t="n"/>
      <c r="O511" s="127">
        <f>IF(D511="","",COUNTIF($H$7:$H$1006,B511))</f>
        <v/>
      </c>
      <c r="P511" s="78">
        <f>IF(D511="","",IF(AND(H511&lt;&gt;"",H511&gt;=B511),"⚠️ Predecessor must be above",IF(M511="Done","✓ Done",IF(Q511=3,"🔴 Late",IF(M511="In progress","In progress","")))))</f>
        <v/>
      </c>
      <c r="Q511" s="79">
        <f>IF(OR(D511="",L511=""),"",IF(M511="Done",2,IF(AsOf&gt;L511,3,1)))</f>
        <v/>
      </c>
      <c r="R511" s="79">
        <f>IF(OR(E511="",F511=""),0,IF(COUNTIFS($E$7:E511,E511,$F$7:F511,F511)=1,1,0))</f>
        <v/>
      </c>
      <c r="S511" s="79">
        <f>IF(R511=1,E511&amp;"|"&amp;SUMIFS($R$7:R511,$E$7:E511,E511),"")</f>
        <v/>
      </c>
      <c r="T511" s="112">
        <f>IF(Q511="","",IF(Q511=3,L511,IF(OR(M511="Not started",M511=""),J511,"")))</f>
        <v/>
      </c>
      <c r="U511" s="79">
        <f>IF(T511="","",IF(Q511=3,1,IF(T511="","",IF(T511&lt;AsOf,1,IF(T511&lt;=AsOf+AlertDays,2,IF(T511&lt;=AsOf+2*AlertDays,3,""))))))</f>
        <v/>
      </c>
      <c r="V511" s="79">
        <f>IF(U511="","",IF(Q511=3,"Late task: "&amp;D511,IF(T511&lt;AsOf,"Should have started: ","Starts soon: ")&amp;D511)&amp;IF(F511="",""," — "&amp;F511))</f>
        <v/>
      </c>
    </row>
    <row r="512" ht="20" customHeight="1">
      <c r="B512" s="125" t="n">
        <v>506</v>
      </c>
      <c r="C512" s="72" t="n"/>
      <c r="D512" s="72" t="n"/>
      <c r="E512" s="72" t="n"/>
      <c r="F512" s="72" t="n"/>
      <c r="G512" s="89" t="n"/>
      <c r="H512" s="89" t="n"/>
      <c r="I512" s="109" t="n"/>
      <c r="J512" s="126">
        <f>IF(OR(D512="",ProjStart=""),"",MAX(ProjStart,IF(I512&lt;&gt;"",I512,0),IF(H512="",0,IFERROR(INDEX($L$6:L511,MATCH(H512,$B$6:B511,0))+1,0))))</f>
        <v/>
      </c>
      <c r="K512" s="89" t="n"/>
      <c r="L512" s="126">
        <f>IF(J512="","",J512+MAX(1,G512)+IF(K512="",0,K512)-1)</f>
        <v/>
      </c>
      <c r="M512" s="72" t="n"/>
      <c r="N512" s="109" t="n"/>
      <c r="O512" s="127">
        <f>IF(D512="","",COUNTIF($H$7:$H$1006,B512))</f>
        <v/>
      </c>
      <c r="P512" s="78">
        <f>IF(D512="","",IF(AND(H512&lt;&gt;"",H512&gt;=B512),"⚠️ Predecessor must be above",IF(M512="Done","✓ Done",IF(Q512=3,"🔴 Late",IF(M512="In progress","In progress","")))))</f>
        <v/>
      </c>
      <c r="Q512" s="79">
        <f>IF(OR(D512="",L512=""),"",IF(M512="Done",2,IF(AsOf&gt;L512,3,1)))</f>
        <v/>
      </c>
      <c r="R512" s="79">
        <f>IF(OR(E512="",F512=""),0,IF(COUNTIFS($E$7:E512,E512,$F$7:F512,F512)=1,1,0))</f>
        <v/>
      </c>
      <c r="S512" s="79">
        <f>IF(R512=1,E512&amp;"|"&amp;SUMIFS($R$7:R512,$E$7:E512,E512),"")</f>
        <v/>
      </c>
      <c r="T512" s="112">
        <f>IF(Q512="","",IF(Q512=3,L512,IF(OR(M512="Not started",M512=""),J512,"")))</f>
        <v/>
      </c>
      <c r="U512" s="79">
        <f>IF(T512="","",IF(Q512=3,1,IF(T512="","",IF(T512&lt;AsOf,1,IF(T512&lt;=AsOf+AlertDays,2,IF(T512&lt;=AsOf+2*AlertDays,3,""))))))</f>
        <v/>
      </c>
      <c r="V512" s="79">
        <f>IF(U512="","",IF(Q512=3,"Late task: "&amp;D512,IF(T512&lt;AsOf,"Should have started: ","Starts soon: ")&amp;D512)&amp;IF(F512="",""," — "&amp;F512))</f>
        <v/>
      </c>
    </row>
    <row r="513" ht="20" customHeight="1">
      <c r="B513" s="125" t="n">
        <v>507</v>
      </c>
      <c r="C513" s="72" t="n"/>
      <c r="D513" s="72" t="n"/>
      <c r="E513" s="72" t="n"/>
      <c r="F513" s="72" t="n"/>
      <c r="G513" s="89" t="n"/>
      <c r="H513" s="89" t="n"/>
      <c r="I513" s="109" t="n"/>
      <c r="J513" s="126">
        <f>IF(OR(D513="",ProjStart=""),"",MAX(ProjStart,IF(I513&lt;&gt;"",I513,0),IF(H513="",0,IFERROR(INDEX($L$6:L512,MATCH(H513,$B$6:B512,0))+1,0))))</f>
        <v/>
      </c>
      <c r="K513" s="89" t="n"/>
      <c r="L513" s="126">
        <f>IF(J513="","",J513+MAX(1,G513)+IF(K513="",0,K513)-1)</f>
        <v/>
      </c>
      <c r="M513" s="72" t="n"/>
      <c r="N513" s="109" t="n"/>
      <c r="O513" s="127">
        <f>IF(D513="","",COUNTIF($H$7:$H$1006,B513))</f>
        <v/>
      </c>
      <c r="P513" s="78">
        <f>IF(D513="","",IF(AND(H513&lt;&gt;"",H513&gt;=B513),"⚠️ Predecessor must be above",IF(M513="Done","✓ Done",IF(Q513=3,"🔴 Late",IF(M513="In progress","In progress","")))))</f>
        <v/>
      </c>
      <c r="Q513" s="79">
        <f>IF(OR(D513="",L513=""),"",IF(M513="Done",2,IF(AsOf&gt;L513,3,1)))</f>
        <v/>
      </c>
      <c r="R513" s="79">
        <f>IF(OR(E513="",F513=""),0,IF(COUNTIFS($E$7:E513,E513,$F$7:F513,F513)=1,1,0))</f>
        <v/>
      </c>
      <c r="S513" s="79">
        <f>IF(R513=1,E513&amp;"|"&amp;SUMIFS($R$7:R513,$E$7:E513,E513),"")</f>
        <v/>
      </c>
      <c r="T513" s="112">
        <f>IF(Q513="","",IF(Q513=3,L513,IF(OR(M513="Not started",M513=""),J513,"")))</f>
        <v/>
      </c>
      <c r="U513" s="79">
        <f>IF(T513="","",IF(Q513=3,1,IF(T513="","",IF(T513&lt;AsOf,1,IF(T513&lt;=AsOf+AlertDays,2,IF(T513&lt;=AsOf+2*AlertDays,3,""))))))</f>
        <v/>
      </c>
      <c r="V513" s="79">
        <f>IF(U513="","",IF(Q513=3,"Late task: "&amp;D513,IF(T513&lt;AsOf,"Should have started: ","Starts soon: ")&amp;D513)&amp;IF(F513="",""," — "&amp;F513))</f>
        <v/>
      </c>
    </row>
    <row r="514" ht="20" customHeight="1">
      <c r="B514" s="125" t="n">
        <v>508</v>
      </c>
      <c r="C514" s="72" t="n"/>
      <c r="D514" s="72" t="n"/>
      <c r="E514" s="72" t="n"/>
      <c r="F514" s="72" t="n"/>
      <c r="G514" s="89" t="n"/>
      <c r="H514" s="89" t="n"/>
      <c r="I514" s="109" t="n"/>
      <c r="J514" s="126">
        <f>IF(OR(D514="",ProjStart=""),"",MAX(ProjStart,IF(I514&lt;&gt;"",I514,0),IF(H514="",0,IFERROR(INDEX($L$6:L513,MATCH(H514,$B$6:B513,0))+1,0))))</f>
        <v/>
      </c>
      <c r="K514" s="89" t="n"/>
      <c r="L514" s="126">
        <f>IF(J514="","",J514+MAX(1,G514)+IF(K514="",0,K514)-1)</f>
        <v/>
      </c>
      <c r="M514" s="72" t="n"/>
      <c r="N514" s="109" t="n"/>
      <c r="O514" s="127">
        <f>IF(D514="","",COUNTIF($H$7:$H$1006,B514))</f>
        <v/>
      </c>
      <c r="P514" s="78">
        <f>IF(D514="","",IF(AND(H514&lt;&gt;"",H514&gt;=B514),"⚠️ Predecessor must be above",IF(M514="Done","✓ Done",IF(Q514=3,"🔴 Late",IF(M514="In progress","In progress","")))))</f>
        <v/>
      </c>
      <c r="Q514" s="79">
        <f>IF(OR(D514="",L514=""),"",IF(M514="Done",2,IF(AsOf&gt;L514,3,1)))</f>
        <v/>
      </c>
      <c r="R514" s="79">
        <f>IF(OR(E514="",F514=""),0,IF(COUNTIFS($E$7:E514,E514,$F$7:F514,F514)=1,1,0))</f>
        <v/>
      </c>
      <c r="S514" s="79">
        <f>IF(R514=1,E514&amp;"|"&amp;SUMIFS($R$7:R514,$E$7:E514,E514),"")</f>
        <v/>
      </c>
      <c r="T514" s="112">
        <f>IF(Q514="","",IF(Q514=3,L514,IF(OR(M514="Not started",M514=""),J514,"")))</f>
        <v/>
      </c>
      <c r="U514" s="79">
        <f>IF(T514="","",IF(Q514=3,1,IF(T514="","",IF(T514&lt;AsOf,1,IF(T514&lt;=AsOf+AlertDays,2,IF(T514&lt;=AsOf+2*AlertDays,3,""))))))</f>
        <v/>
      </c>
      <c r="V514" s="79">
        <f>IF(U514="","",IF(Q514=3,"Late task: "&amp;D514,IF(T514&lt;AsOf,"Should have started: ","Starts soon: ")&amp;D514)&amp;IF(F514="",""," — "&amp;F514))</f>
        <v/>
      </c>
    </row>
    <row r="515" ht="20" customHeight="1">
      <c r="B515" s="125" t="n">
        <v>509</v>
      </c>
      <c r="C515" s="72" t="n"/>
      <c r="D515" s="72" t="n"/>
      <c r="E515" s="72" t="n"/>
      <c r="F515" s="72" t="n"/>
      <c r="G515" s="89" t="n"/>
      <c r="H515" s="89" t="n"/>
      <c r="I515" s="109" t="n"/>
      <c r="J515" s="126">
        <f>IF(OR(D515="",ProjStart=""),"",MAX(ProjStart,IF(I515&lt;&gt;"",I515,0),IF(H515="",0,IFERROR(INDEX($L$6:L514,MATCH(H515,$B$6:B514,0))+1,0))))</f>
        <v/>
      </c>
      <c r="K515" s="89" t="n"/>
      <c r="L515" s="126">
        <f>IF(J515="","",J515+MAX(1,G515)+IF(K515="",0,K515)-1)</f>
        <v/>
      </c>
      <c r="M515" s="72" t="n"/>
      <c r="N515" s="109" t="n"/>
      <c r="O515" s="127">
        <f>IF(D515="","",COUNTIF($H$7:$H$1006,B515))</f>
        <v/>
      </c>
      <c r="P515" s="78">
        <f>IF(D515="","",IF(AND(H515&lt;&gt;"",H515&gt;=B515),"⚠️ Predecessor must be above",IF(M515="Done","✓ Done",IF(Q515=3,"🔴 Late",IF(M515="In progress","In progress","")))))</f>
        <v/>
      </c>
      <c r="Q515" s="79">
        <f>IF(OR(D515="",L515=""),"",IF(M515="Done",2,IF(AsOf&gt;L515,3,1)))</f>
        <v/>
      </c>
      <c r="R515" s="79">
        <f>IF(OR(E515="",F515=""),0,IF(COUNTIFS($E$7:E515,E515,$F$7:F515,F515)=1,1,0))</f>
        <v/>
      </c>
      <c r="S515" s="79">
        <f>IF(R515=1,E515&amp;"|"&amp;SUMIFS($R$7:R515,$E$7:E515,E515),"")</f>
        <v/>
      </c>
      <c r="T515" s="112">
        <f>IF(Q515="","",IF(Q515=3,L515,IF(OR(M515="Not started",M515=""),J515,"")))</f>
        <v/>
      </c>
      <c r="U515" s="79">
        <f>IF(T515="","",IF(Q515=3,1,IF(T515="","",IF(T515&lt;AsOf,1,IF(T515&lt;=AsOf+AlertDays,2,IF(T515&lt;=AsOf+2*AlertDays,3,""))))))</f>
        <v/>
      </c>
      <c r="V515" s="79">
        <f>IF(U515="","",IF(Q515=3,"Late task: "&amp;D515,IF(T515&lt;AsOf,"Should have started: ","Starts soon: ")&amp;D515)&amp;IF(F515="",""," — "&amp;F515))</f>
        <v/>
      </c>
    </row>
    <row r="516" ht="20" customHeight="1">
      <c r="B516" s="125" t="n">
        <v>510</v>
      </c>
      <c r="C516" s="72" t="n"/>
      <c r="D516" s="72" t="n"/>
      <c r="E516" s="72" t="n"/>
      <c r="F516" s="72" t="n"/>
      <c r="G516" s="89" t="n"/>
      <c r="H516" s="89" t="n"/>
      <c r="I516" s="109" t="n"/>
      <c r="J516" s="126">
        <f>IF(OR(D516="",ProjStart=""),"",MAX(ProjStart,IF(I516&lt;&gt;"",I516,0),IF(H516="",0,IFERROR(INDEX($L$6:L515,MATCH(H516,$B$6:B515,0))+1,0))))</f>
        <v/>
      </c>
      <c r="K516" s="89" t="n"/>
      <c r="L516" s="126">
        <f>IF(J516="","",J516+MAX(1,G516)+IF(K516="",0,K516)-1)</f>
        <v/>
      </c>
      <c r="M516" s="72" t="n"/>
      <c r="N516" s="109" t="n"/>
      <c r="O516" s="127">
        <f>IF(D516="","",COUNTIF($H$7:$H$1006,B516))</f>
        <v/>
      </c>
      <c r="P516" s="78">
        <f>IF(D516="","",IF(AND(H516&lt;&gt;"",H516&gt;=B516),"⚠️ Predecessor must be above",IF(M516="Done","✓ Done",IF(Q516=3,"🔴 Late",IF(M516="In progress","In progress","")))))</f>
        <v/>
      </c>
      <c r="Q516" s="79">
        <f>IF(OR(D516="",L516=""),"",IF(M516="Done",2,IF(AsOf&gt;L516,3,1)))</f>
        <v/>
      </c>
      <c r="R516" s="79">
        <f>IF(OR(E516="",F516=""),0,IF(COUNTIFS($E$7:E516,E516,$F$7:F516,F516)=1,1,0))</f>
        <v/>
      </c>
      <c r="S516" s="79">
        <f>IF(R516=1,E516&amp;"|"&amp;SUMIFS($R$7:R516,$E$7:E516,E516),"")</f>
        <v/>
      </c>
      <c r="T516" s="112">
        <f>IF(Q516="","",IF(Q516=3,L516,IF(OR(M516="Not started",M516=""),J516,"")))</f>
        <v/>
      </c>
      <c r="U516" s="79">
        <f>IF(T516="","",IF(Q516=3,1,IF(T516="","",IF(T516&lt;AsOf,1,IF(T516&lt;=AsOf+AlertDays,2,IF(T516&lt;=AsOf+2*AlertDays,3,""))))))</f>
        <v/>
      </c>
      <c r="V516" s="79">
        <f>IF(U516="","",IF(Q516=3,"Late task: "&amp;D516,IF(T516&lt;AsOf,"Should have started: ","Starts soon: ")&amp;D516)&amp;IF(F516="",""," — "&amp;F516))</f>
        <v/>
      </c>
    </row>
    <row r="517" ht="20" customHeight="1">
      <c r="B517" s="125" t="n">
        <v>511</v>
      </c>
      <c r="C517" s="72" t="n"/>
      <c r="D517" s="72" t="n"/>
      <c r="E517" s="72" t="n"/>
      <c r="F517" s="72" t="n"/>
      <c r="G517" s="89" t="n"/>
      <c r="H517" s="89" t="n"/>
      <c r="I517" s="109" t="n"/>
      <c r="J517" s="126">
        <f>IF(OR(D517="",ProjStart=""),"",MAX(ProjStart,IF(I517&lt;&gt;"",I517,0),IF(H517="",0,IFERROR(INDEX($L$6:L516,MATCH(H517,$B$6:B516,0))+1,0))))</f>
        <v/>
      </c>
      <c r="K517" s="89" t="n"/>
      <c r="L517" s="126">
        <f>IF(J517="","",J517+MAX(1,G517)+IF(K517="",0,K517)-1)</f>
        <v/>
      </c>
      <c r="M517" s="72" t="n"/>
      <c r="N517" s="109" t="n"/>
      <c r="O517" s="127">
        <f>IF(D517="","",COUNTIF($H$7:$H$1006,B517))</f>
        <v/>
      </c>
      <c r="P517" s="78">
        <f>IF(D517="","",IF(AND(H517&lt;&gt;"",H517&gt;=B517),"⚠️ Predecessor must be above",IF(M517="Done","✓ Done",IF(Q517=3,"🔴 Late",IF(M517="In progress","In progress","")))))</f>
        <v/>
      </c>
      <c r="Q517" s="79">
        <f>IF(OR(D517="",L517=""),"",IF(M517="Done",2,IF(AsOf&gt;L517,3,1)))</f>
        <v/>
      </c>
      <c r="R517" s="79">
        <f>IF(OR(E517="",F517=""),0,IF(COUNTIFS($E$7:E517,E517,$F$7:F517,F517)=1,1,0))</f>
        <v/>
      </c>
      <c r="S517" s="79">
        <f>IF(R517=1,E517&amp;"|"&amp;SUMIFS($R$7:R517,$E$7:E517,E517),"")</f>
        <v/>
      </c>
      <c r="T517" s="112">
        <f>IF(Q517="","",IF(Q517=3,L517,IF(OR(M517="Not started",M517=""),J517,"")))</f>
        <v/>
      </c>
      <c r="U517" s="79">
        <f>IF(T517="","",IF(Q517=3,1,IF(T517="","",IF(T517&lt;AsOf,1,IF(T517&lt;=AsOf+AlertDays,2,IF(T517&lt;=AsOf+2*AlertDays,3,""))))))</f>
        <v/>
      </c>
      <c r="V517" s="79">
        <f>IF(U517="","",IF(Q517=3,"Late task: "&amp;D517,IF(T517&lt;AsOf,"Should have started: ","Starts soon: ")&amp;D517)&amp;IF(F517="",""," — "&amp;F517))</f>
        <v/>
      </c>
    </row>
    <row r="518" ht="20" customHeight="1">
      <c r="B518" s="125" t="n">
        <v>512</v>
      </c>
      <c r="C518" s="72" t="n"/>
      <c r="D518" s="72" t="n"/>
      <c r="E518" s="72" t="n"/>
      <c r="F518" s="72" t="n"/>
      <c r="G518" s="89" t="n"/>
      <c r="H518" s="89" t="n"/>
      <c r="I518" s="109" t="n"/>
      <c r="J518" s="126">
        <f>IF(OR(D518="",ProjStart=""),"",MAX(ProjStart,IF(I518&lt;&gt;"",I518,0),IF(H518="",0,IFERROR(INDEX($L$6:L517,MATCH(H518,$B$6:B517,0))+1,0))))</f>
        <v/>
      </c>
      <c r="K518" s="89" t="n"/>
      <c r="L518" s="126">
        <f>IF(J518="","",J518+MAX(1,G518)+IF(K518="",0,K518)-1)</f>
        <v/>
      </c>
      <c r="M518" s="72" t="n"/>
      <c r="N518" s="109" t="n"/>
      <c r="O518" s="127">
        <f>IF(D518="","",COUNTIF($H$7:$H$1006,B518))</f>
        <v/>
      </c>
      <c r="P518" s="78">
        <f>IF(D518="","",IF(AND(H518&lt;&gt;"",H518&gt;=B518),"⚠️ Predecessor must be above",IF(M518="Done","✓ Done",IF(Q518=3,"🔴 Late",IF(M518="In progress","In progress","")))))</f>
        <v/>
      </c>
      <c r="Q518" s="79">
        <f>IF(OR(D518="",L518=""),"",IF(M518="Done",2,IF(AsOf&gt;L518,3,1)))</f>
        <v/>
      </c>
      <c r="R518" s="79">
        <f>IF(OR(E518="",F518=""),0,IF(COUNTIFS($E$7:E518,E518,$F$7:F518,F518)=1,1,0))</f>
        <v/>
      </c>
      <c r="S518" s="79">
        <f>IF(R518=1,E518&amp;"|"&amp;SUMIFS($R$7:R518,$E$7:E518,E518),"")</f>
        <v/>
      </c>
      <c r="T518" s="112">
        <f>IF(Q518="","",IF(Q518=3,L518,IF(OR(M518="Not started",M518=""),J518,"")))</f>
        <v/>
      </c>
      <c r="U518" s="79">
        <f>IF(T518="","",IF(Q518=3,1,IF(T518="","",IF(T518&lt;AsOf,1,IF(T518&lt;=AsOf+AlertDays,2,IF(T518&lt;=AsOf+2*AlertDays,3,""))))))</f>
        <v/>
      </c>
      <c r="V518" s="79">
        <f>IF(U518="","",IF(Q518=3,"Late task: "&amp;D518,IF(T518&lt;AsOf,"Should have started: ","Starts soon: ")&amp;D518)&amp;IF(F518="",""," — "&amp;F518))</f>
        <v/>
      </c>
    </row>
    <row r="519" ht="20" customHeight="1">
      <c r="B519" s="125" t="n">
        <v>513</v>
      </c>
      <c r="C519" s="72" t="n"/>
      <c r="D519" s="72" t="n"/>
      <c r="E519" s="72" t="n"/>
      <c r="F519" s="72" t="n"/>
      <c r="G519" s="89" t="n"/>
      <c r="H519" s="89" t="n"/>
      <c r="I519" s="109" t="n"/>
      <c r="J519" s="126">
        <f>IF(OR(D519="",ProjStart=""),"",MAX(ProjStart,IF(I519&lt;&gt;"",I519,0),IF(H519="",0,IFERROR(INDEX($L$6:L518,MATCH(H519,$B$6:B518,0))+1,0))))</f>
        <v/>
      </c>
      <c r="K519" s="89" t="n"/>
      <c r="L519" s="126">
        <f>IF(J519="","",J519+MAX(1,G519)+IF(K519="",0,K519)-1)</f>
        <v/>
      </c>
      <c r="M519" s="72" t="n"/>
      <c r="N519" s="109" t="n"/>
      <c r="O519" s="127">
        <f>IF(D519="","",COUNTIF($H$7:$H$1006,B519))</f>
        <v/>
      </c>
      <c r="P519" s="78">
        <f>IF(D519="","",IF(AND(H519&lt;&gt;"",H519&gt;=B519),"⚠️ Predecessor must be above",IF(M519="Done","✓ Done",IF(Q519=3,"🔴 Late",IF(M519="In progress","In progress","")))))</f>
        <v/>
      </c>
      <c r="Q519" s="79">
        <f>IF(OR(D519="",L519=""),"",IF(M519="Done",2,IF(AsOf&gt;L519,3,1)))</f>
        <v/>
      </c>
      <c r="R519" s="79">
        <f>IF(OR(E519="",F519=""),0,IF(COUNTIFS($E$7:E519,E519,$F$7:F519,F519)=1,1,0))</f>
        <v/>
      </c>
      <c r="S519" s="79">
        <f>IF(R519=1,E519&amp;"|"&amp;SUMIFS($R$7:R519,$E$7:E519,E519),"")</f>
        <v/>
      </c>
      <c r="T519" s="112">
        <f>IF(Q519="","",IF(Q519=3,L519,IF(OR(M519="Not started",M519=""),J519,"")))</f>
        <v/>
      </c>
      <c r="U519" s="79">
        <f>IF(T519="","",IF(Q519=3,1,IF(T519="","",IF(T519&lt;AsOf,1,IF(T519&lt;=AsOf+AlertDays,2,IF(T519&lt;=AsOf+2*AlertDays,3,""))))))</f>
        <v/>
      </c>
      <c r="V519" s="79">
        <f>IF(U519="","",IF(Q519=3,"Late task: "&amp;D519,IF(T519&lt;AsOf,"Should have started: ","Starts soon: ")&amp;D519)&amp;IF(F519="",""," — "&amp;F519))</f>
        <v/>
      </c>
    </row>
    <row r="520" ht="20" customHeight="1">
      <c r="B520" s="125" t="n">
        <v>514</v>
      </c>
      <c r="C520" s="72" t="n"/>
      <c r="D520" s="72" t="n"/>
      <c r="E520" s="72" t="n"/>
      <c r="F520" s="72" t="n"/>
      <c r="G520" s="89" t="n"/>
      <c r="H520" s="89" t="n"/>
      <c r="I520" s="109" t="n"/>
      <c r="J520" s="126">
        <f>IF(OR(D520="",ProjStart=""),"",MAX(ProjStart,IF(I520&lt;&gt;"",I520,0),IF(H520="",0,IFERROR(INDEX($L$6:L519,MATCH(H520,$B$6:B519,0))+1,0))))</f>
        <v/>
      </c>
      <c r="K520" s="89" t="n"/>
      <c r="L520" s="126">
        <f>IF(J520="","",J520+MAX(1,G520)+IF(K520="",0,K520)-1)</f>
        <v/>
      </c>
      <c r="M520" s="72" t="n"/>
      <c r="N520" s="109" t="n"/>
      <c r="O520" s="127">
        <f>IF(D520="","",COUNTIF($H$7:$H$1006,B520))</f>
        <v/>
      </c>
      <c r="P520" s="78">
        <f>IF(D520="","",IF(AND(H520&lt;&gt;"",H520&gt;=B520),"⚠️ Predecessor must be above",IF(M520="Done","✓ Done",IF(Q520=3,"🔴 Late",IF(M520="In progress","In progress","")))))</f>
        <v/>
      </c>
      <c r="Q520" s="79">
        <f>IF(OR(D520="",L520=""),"",IF(M520="Done",2,IF(AsOf&gt;L520,3,1)))</f>
        <v/>
      </c>
      <c r="R520" s="79">
        <f>IF(OR(E520="",F520=""),0,IF(COUNTIFS($E$7:E520,E520,$F$7:F520,F520)=1,1,0))</f>
        <v/>
      </c>
      <c r="S520" s="79">
        <f>IF(R520=1,E520&amp;"|"&amp;SUMIFS($R$7:R520,$E$7:E520,E520),"")</f>
        <v/>
      </c>
      <c r="T520" s="112">
        <f>IF(Q520="","",IF(Q520=3,L520,IF(OR(M520="Not started",M520=""),J520,"")))</f>
        <v/>
      </c>
      <c r="U520" s="79">
        <f>IF(T520="","",IF(Q520=3,1,IF(T520="","",IF(T520&lt;AsOf,1,IF(T520&lt;=AsOf+AlertDays,2,IF(T520&lt;=AsOf+2*AlertDays,3,""))))))</f>
        <v/>
      </c>
      <c r="V520" s="79">
        <f>IF(U520="","",IF(Q520=3,"Late task: "&amp;D520,IF(T520&lt;AsOf,"Should have started: ","Starts soon: ")&amp;D520)&amp;IF(F520="",""," — "&amp;F520))</f>
        <v/>
      </c>
    </row>
    <row r="521" ht="20" customHeight="1">
      <c r="B521" s="125" t="n">
        <v>515</v>
      </c>
      <c r="C521" s="72" t="n"/>
      <c r="D521" s="72" t="n"/>
      <c r="E521" s="72" t="n"/>
      <c r="F521" s="72" t="n"/>
      <c r="G521" s="89" t="n"/>
      <c r="H521" s="89" t="n"/>
      <c r="I521" s="109" t="n"/>
      <c r="J521" s="126">
        <f>IF(OR(D521="",ProjStart=""),"",MAX(ProjStart,IF(I521&lt;&gt;"",I521,0),IF(H521="",0,IFERROR(INDEX($L$6:L520,MATCH(H521,$B$6:B520,0))+1,0))))</f>
        <v/>
      </c>
      <c r="K521" s="89" t="n"/>
      <c r="L521" s="126">
        <f>IF(J521="","",J521+MAX(1,G521)+IF(K521="",0,K521)-1)</f>
        <v/>
      </c>
      <c r="M521" s="72" t="n"/>
      <c r="N521" s="109" t="n"/>
      <c r="O521" s="127">
        <f>IF(D521="","",COUNTIF($H$7:$H$1006,B521))</f>
        <v/>
      </c>
      <c r="P521" s="78">
        <f>IF(D521="","",IF(AND(H521&lt;&gt;"",H521&gt;=B521),"⚠️ Predecessor must be above",IF(M521="Done","✓ Done",IF(Q521=3,"🔴 Late",IF(M521="In progress","In progress","")))))</f>
        <v/>
      </c>
      <c r="Q521" s="79">
        <f>IF(OR(D521="",L521=""),"",IF(M521="Done",2,IF(AsOf&gt;L521,3,1)))</f>
        <v/>
      </c>
      <c r="R521" s="79">
        <f>IF(OR(E521="",F521=""),0,IF(COUNTIFS($E$7:E521,E521,$F$7:F521,F521)=1,1,0))</f>
        <v/>
      </c>
      <c r="S521" s="79">
        <f>IF(R521=1,E521&amp;"|"&amp;SUMIFS($R$7:R521,$E$7:E521,E521),"")</f>
        <v/>
      </c>
      <c r="T521" s="112">
        <f>IF(Q521="","",IF(Q521=3,L521,IF(OR(M521="Not started",M521=""),J521,"")))</f>
        <v/>
      </c>
      <c r="U521" s="79">
        <f>IF(T521="","",IF(Q521=3,1,IF(T521="","",IF(T521&lt;AsOf,1,IF(T521&lt;=AsOf+AlertDays,2,IF(T521&lt;=AsOf+2*AlertDays,3,""))))))</f>
        <v/>
      </c>
      <c r="V521" s="79">
        <f>IF(U521="","",IF(Q521=3,"Late task: "&amp;D521,IF(T521&lt;AsOf,"Should have started: ","Starts soon: ")&amp;D521)&amp;IF(F521="",""," — "&amp;F521))</f>
        <v/>
      </c>
    </row>
    <row r="522" ht="20" customHeight="1">
      <c r="B522" s="125" t="n">
        <v>516</v>
      </c>
      <c r="C522" s="72" t="n"/>
      <c r="D522" s="72" t="n"/>
      <c r="E522" s="72" t="n"/>
      <c r="F522" s="72" t="n"/>
      <c r="G522" s="89" t="n"/>
      <c r="H522" s="89" t="n"/>
      <c r="I522" s="109" t="n"/>
      <c r="J522" s="126">
        <f>IF(OR(D522="",ProjStart=""),"",MAX(ProjStart,IF(I522&lt;&gt;"",I522,0),IF(H522="",0,IFERROR(INDEX($L$6:L521,MATCH(H522,$B$6:B521,0))+1,0))))</f>
        <v/>
      </c>
      <c r="K522" s="89" t="n"/>
      <c r="L522" s="126">
        <f>IF(J522="","",J522+MAX(1,G522)+IF(K522="",0,K522)-1)</f>
        <v/>
      </c>
      <c r="M522" s="72" t="n"/>
      <c r="N522" s="109" t="n"/>
      <c r="O522" s="127">
        <f>IF(D522="","",COUNTIF($H$7:$H$1006,B522))</f>
        <v/>
      </c>
      <c r="P522" s="78">
        <f>IF(D522="","",IF(AND(H522&lt;&gt;"",H522&gt;=B522),"⚠️ Predecessor must be above",IF(M522="Done","✓ Done",IF(Q522=3,"🔴 Late",IF(M522="In progress","In progress","")))))</f>
        <v/>
      </c>
      <c r="Q522" s="79">
        <f>IF(OR(D522="",L522=""),"",IF(M522="Done",2,IF(AsOf&gt;L522,3,1)))</f>
        <v/>
      </c>
      <c r="R522" s="79">
        <f>IF(OR(E522="",F522=""),0,IF(COUNTIFS($E$7:E522,E522,$F$7:F522,F522)=1,1,0))</f>
        <v/>
      </c>
      <c r="S522" s="79">
        <f>IF(R522=1,E522&amp;"|"&amp;SUMIFS($R$7:R522,$E$7:E522,E522),"")</f>
        <v/>
      </c>
      <c r="T522" s="112">
        <f>IF(Q522="","",IF(Q522=3,L522,IF(OR(M522="Not started",M522=""),J522,"")))</f>
        <v/>
      </c>
      <c r="U522" s="79">
        <f>IF(T522="","",IF(Q522=3,1,IF(T522="","",IF(T522&lt;AsOf,1,IF(T522&lt;=AsOf+AlertDays,2,IF(T522&lt;=AsOf+2*AlertDays,3,""))))))</f>
        <v/>
      </c>
      <c r="V522" s="79">
        <f>IF(U522="","",IF(Q522=3,"Late task: "&amp;D522,IF(T522&lt;AsOf,"Should have started: ","Starts soon: ")&amp;D522)&amp;IF(F522="",""," — "&amp;F522))</f>
        <v/>
      </c>
    </row>
    <row r="523" ht="20" customHeight="1">
      <c r="B523" s="125" t="n">
        <v>517</v>
      </c>
      <c r="C523" s="72" t="n"/>
      <c r="D523" s="72" t="n"/>
      <c r="E523" s="72" t="n"/>
      <c r="F523" s="72" t="n"/>
      <c r="G523" s="89" t="n"/>
      <c r="H523" s="89" t="n"/>
      <c r="I523" s="109" t="n"/>
      <c r="J523" s="126">
        <f>IF(OR(D523="",ProjStart=""),"",MAX(ProjStart,IF(I523&lt;&gt;"",I523,0),IF(H523="",0,IFERROR(INDEX($L$6:L522,MATCH(H523,$B$6:B522,0))+1,0))))</f>
        <v/>
      </c>
      <c r="K523" s="89" t="n"/>
      <c r="L523" s="126">
        <f>IF(J523="","",J523+MAX(1,G523)+IF(K523="",0,K523)-1)</f>
        <v/>
      </c>
      <c r="M523" s="72" t="n"/>
      <c r="N523" s="109" t="n"/>
      <c r="O523" s="127">
        <f>IF(D523="","",COUNTIF($H$7:$H$1006,B523))</f>
        <v/>
      </c>
      <c r="P523" s="78">
        <f>IF(D523="","",IF(AND(H523&lt;&gt;"",H523&gt;=B523),"⚠️ Predecessor must be above",IF(M523="Done","✓ Done",IF(Q523=3,"🔴 Late",IF(M523="In progress","In progress","")))))</f>
        <v/>
      </c>
      <c r="Q523" s="79">
        <f>IF(OR(D523="",L523=""),"",IF(M523="Done",2,IF(AsOf&gt;L523,3,1)))</f>
        <v/>
      </c>
      <c r="R523" s="79">
        <f>IF(OR(E523="",F523=""),0,IF(COUNTIFS($E$7:E523,E523,$F$7:F523,F523)=1,1,0))</f>
        <v/>
      </c>
      <c r="S523" s="79">
        <f>IF(R523=1,E523&amp;"|"&amp;SUMIFS($R$7:R523,$E$7:E523,E523),"")</f>
        <v/>
      </c>
      <c r="T523" s="112">
        <f>IF(Q523="","",IF(Q523=3,L523,IF(OR(M523="Not started",M523=""),J523,"")))</f>
        <v/>
      </c>
      <c r="U523" s="79">
        <f>IF(T523="","",IF(Q523=3,1,IF(T523="","",IF(T523&lt;AsOf,1,IF(T523&lt;=AsOf+AlertDays,2,IF(T523&lt;=AsOf+2*AlertDays,3,""))))))</f>
        <v/>
      </c>
      <c r="V523" s="79">
        <f>IF(U523="","",IF(Q523=3,"Late task: "&amp;D523,IF(T523&lt;AsOf,"Should have started: ","Starts soon: ")&amp;D523)&amp;IF(F523="",""," — "&amp;F523))</f>
        <v/>
      </c>
    </row>
    <row r="524" ht="20" customHeight="1">
      <c r="B524" s="125" t="n">
        <v>518</v>
      </c>
      <c r="C524" s="72" t="n"/>
      <c r="D524" s="72" t="n"/>
      <c r="E524" s="72" t="n"/>
      <c r="F524" s="72" t="n"/>
      <c r="G524" s="89" t="n"/>
      <c r="H524" s="89" t="n"/>
      <c r="I524" s="109" t="n"/>
      <c r="J524" s="126">
        <f>IF(OR(D524="",ProjStart=""),"",MAX(ProjStart,IF(I524&lt;&gt;"",I524,0),IF(H524="",0,IFERROR(INDEX($L$6:L523,MATCH(H524,$B$6:B523,0))+1,0))))</f>
        <v/>
      </c>
      <c r="K524" s="89" t="n"/>
      <c r="L524" s="126">
        <f>IF(J524="","",J524+MAX(1,G524)+IF(K524="",0,K524)-1)</f>
        <v/>
      </c>
      <c r="M524" s="72" t="n"/>
      <c r="N524" s="109" t="n"/>
      <c r="O524" s="127">
        <f>IF(D524="","",COUNTIF($H$7:$H$1006,B524))</f>
        <v/>
      </c>
      <c r="P524" s="78">
        <f>IF(D524="","",IF(AND(H524&lt;&gt;"",H524&gt;=B524),"⚠️ Predecessor must be above",IF(M524="Done","✓ Done",IF(Q524=3,"🔴 Late",IF(M524="In progress","In progress","")))))</f>
        <v/>
      </c>
      <c r="Q524" s="79">
        <f>IF(OR(D524="",L524=""),"",IF(M524="Done",2,IF(AsOf&gt;L524,3,1)))</f>
        <v/>
      </c>
      <c r="R524" s="79">
        <f>IF(OR(E524="",F524=""),0,IF(COUNTIFS($E$7:E524,E524,$F$7:F524,F524)=1,1,0))</f>
        <v/>
      </c>
      <c r="S524" s="79">
        <f>IF(R524=1,E524&amp;"|"&amp;SUMIFS($R$7:R524,$E$7:E524,E524),"")</f>
        <v/>
      </c>
      <c r="T524" s="112">
        <f>IF(Q524="","",IF(Q524=3,L524,IF(OR(M524="Not started",M524=""),J524,"")))</f>
        <v/>
      </c>
      <c r="U524" s="79">
        <f>IF(T524="","",IF(Q524=3,1,IF(T524="","",IF(T524&lt;AsOf,1,IF(T524&lt;=AsOf+AlertDays,2,IF(T524&lt;=AsOf+2*AlertDays,3,""))))))</f>
        <v/>
      </c>
      <c r="V524" s="79">
        <f>IF(U524="","",IF(Q524=3,"Late task: "&amp;D524,IF(T524&lt;AsOf,"Should have started: ","Starts soon: ")&amp;D524)&amp;IF(F524="",""," — "&amp;F524))</f>
        <v/>
      </c>
    </row>
    <row r="525" ht="20" customHeight="1">
      <c r="B525" s="125" t="n">
        <v>519</v>
      </c>
      <c r="C525" s="72" t="n"/>
      <c r="D525" s="72" t="n"/>
      <c r="E525" s="72" t="n"/>
      <c r="F525" s="72" t="n"/>
      <c r="G525" s="89" t="n"/>
      <c r="H525" s="89" t="n"/>
      <c r="I525" s="109" t="n"/>
      <c r="J525" s="126">
        <f>IF(OR(D525="",ProjStart=""),"",MAX(ProjStart,IF(I525&lt;&gt;"",I525,0),IF(H525="",0,IFERROR(INDEX($L$6:L524,MATCH(H525,$B$6:B524,0))+1,0))))</f>
        <v/>
      </c>
      <c r="K525" s="89" t="n"/>
      <c r="L525" s="126">
        <f>IF(J525="","",J525+MAX(1,G525)+IF(K525="",0,K525)-1)</f>
        <v/>
      </c>
      <c r="M525" s="72" t="n"/>
      <c r="N525" s="109" t="n"/>
      <c r="O525" s="127">
        <f>IF(D525="","",COUNTIF($H$7:$H$1006,B525))</f>
        <v/>
      </c>
      <c r="P525" s="78">
        <f>IF(D525="","",IF(AND(H525&lt;&gt;"",H525&gt;=B525),"⚠️ Predecessor must be above",IF(M525="Done","✓ Done",IF(Q525=3,"🔴 Late",IF(M525="In progress","In progress","")))))</f>
        <v/>
      </c>
      <c r="Q525" s="79">
        <f>IF(OR(D525="",L525=""),"",IF(M525="Done",2,IF(AsOf&gt;L525,3,1)))</f>
        <v/>
      </c>
      <c r="R525" s="79">
        <f>IF(OR(E525="",F525=""),0,IF(COUNTIFS($E$7:E525,E525,$F$7:F525,F525)=1,1,0))</f>
        <v/>
      </c>
      <c r="S525" s="79">
        <f>IF(R525=1,E525&amp;"|"&amp;SUMIFS($R$7:R525,$E$7:E525,E525),"")</f>
        <v/>
      </c>
      <c r="T525" s="112">
        <f>IF(Q525="","",IF(Q525=3,L525,IF(OR(M525="Not started",M525=""),J525,"")))</f>
        <v/>
      </c>
      <c r="U525" s="79">
        <f>IF(T525="","",IF(Q525=3,1,IF(T525="","",IF(T525&lt;AsOf,1,IF(T525&lt;=AsOf+AlertDays,2,IF(T525&lt;=AsOf+2*AlertDays,3,""))))))</f>
        <v/>
      </c>
      <c r="V525" s="79">
        <f>IF(U525="","",IF(Q525=3,"Late task: "&amp;D525,IF(T525&lt;AsOf,"Should have started: ","Starts soon: ")&amp;D525)&amp;IF(F525="",""," — "&amp;F525))</f>
        <v/>
      </c>
    </row>
    <row r="526" ht="20" customHeight="1">
      <c r="B526" s="125" t="n">
        <v>520</v>
      </c>
      <c r="C526" s="72" t="n"/>
      <c r="D526" s="72" t="n"/>
      <c r="E526" s="72" t="n"/>
      <c r="F526" s="72" t="n"/>
      <c r="G526" s="89" t="n"/>
      <c r="H526" s="89" t="n"/>
      <c r="I526" s="109" t="n"/>
      <c r="J526" s="126">
        <f>IF(OR(D526="",ProjStart=""),"",MAX(ProjStart,IF(I526&lt;&gt;"",I526,0),IF(H526="",0,IFERROR(INDEX($L$6:L525,MATCH(H526,$B$6:B525,0))+1,0))))</f>
        <v/>
      </c>
      <c r="K526" s="89" t="n"/>
      <c r="L526" s="126">
        <f>IF(J526="","",J526+MAX(1,G526)+IF(K526="",0,K526)-1)</f>
        <v/>
      </c>
      <c r="M526" s="72" t="n"/>
      <c r="N526" s="109" t="n"/>
      <c r="O526" s="127">
        <f>IF(D526="","",COUNTIF($H$7:$H$1006,B526))</f>
        <v/>
      </c>
      <c r="P526" s="78">
        <f>IF(D526="","",IF(AND(H526&lt;&gt;"",H526&gt;=B526),"⚠️ Predecessor must be above",IF(M526="Done","✓ Done",IF(Q526=3,"🔴 Late",IF(M526="In progress","In progress","")))))</f>
        <v/>
      </c>
      <c r="Q526" s="79">
        <f>IF(OR(D526="",L526=""),"",IF(M526="Done",2,IF(AsOf&gt;L526,3,1)))</f>
        <v/>
      </c>
      <c r="R526" s="79">
        <f>IF(OR(E526="",F526=""),0,IF(COUNTIFS($E$7:E526,E526,$F$7:F526,F526)=1,1,0))</f>
        <v/>
      </c>
      <c r="S526" s="79">
        <f>IF(R526=1,E526&amp;"|"&amp;SUMIFS($R$7:R526,$E$7:E526,E526),"")</f>
        <v/>
      </c>
      <c r="T526" s="112">
        <f>IF(Q526="","",IF(Q526=3,L526,IF(OR(M526="Not started",M526=""),J526,"")))</f>
        <v/>
      </c>
      <c r="U526" s="79">
        <f>IF(T526="","",IF(Q526=3,1,IF(T526="","",IF(T526&lt;AsOf,1,IF(T526&lt;=AsOf+AlertDays,2,IF(T526&lt;=AsOf+2*AlertDays,3,""))))))</f>
        <v/>
      </c>
      <c r="V526" s="79">
        <f>IF(U526="","",IF(Q526=3,"Late task: "&amp;D526,IF(T526&lt;AsOf,"Should have started: ","Starts soon: ")&amp;D526)&amp;IF(F526="",""," — "&amp;F526))</f>
        <v/>
      </c>
    </row>
    <row r="527" ht="20" customHeight="1">
      <c r="B527" s="125" t="n">
        <v>521</v>
      </c>
      <c r="C527" s="72" t="n"/>
      <c r="D527" s="72" t="n"/>
      <c r="E527" s="72" t="n"/>
      <c r="F527" s="72" t="n"/>
      <c r="G527" s="89" t="n"/>
      <c r="H527" s="89" t="n"/>
      <c r="I527" s="109" t="n"/>
      <c r="J527" s="126">
        <f>IF(OR(D527="",ProjStart=""),"",MAX(ProjStart,IF(I527&lt;&gt;"",I527,0),IF(H527="",0,IFERROR(INDEX($L$6:L526,MATCH(H527,$B$6:B526,0))+1,0))))</f>
        <v/>
      </c>
      <c r="K527" s="89" t="n"/>
      <c r="L527" s="126">
        <f>IF(J527="","",J527+MAX(1,G527)+IF(K527="",0,K527)-1)</f>
        <v/>
      </c>
      <c r="M527" s="72" t="n"/>
      <c r="N527" s="109" t="n"/>
      <c r="O527" s="127">
        <f>IF(D527="","",COUNTIF($H$7:$H$1006,B527))</f>
        <v/>
      </c>
      <c r="P527" s="78">
        <f>IF(D527="","",IF(AND(H527&lt;&gt;"",H527&gt;=B527),"⚠️ Predecessor must be above",IF(M527="Done","✓ Done",IF(Q527=3,"🔴 Late",IF(M527="In progress","In progress","")))))</f>
        <v/>
      </c>
      <c r="Q527" s="79">
        <f>IF(OR(D527="",L527=""),"",IF(M527="Done",2,IF(AsOf&gt;L527,3,1)))</f>
        <v/>
      </c>
      <c r="R527" s="79">
        <f>IF(OR(E527="",F527=""),0,IF(COUNTIFS($E$7:E527,E527,$F$7:F527,F527)=1,1,0))</f>
        <v/>
      </c>
      <c r="S527" s="79">
        <f>IF(R527=1,E527&amp;"|"&amp;SUMIFS($R$7:R527,$E$7:E527,E527),"")</f>
        <v/>
      </c>
      <c r="T527" s="112">
        <f>IF(Q527="","",IF(Q527=3,L527,IF(OR(M527="Not started",M527=""),J527,"")))</f>
        <v/>
      </c>
      <c r="U527" s="79">
        <f>IF(T527="","",IF(Q527=3,1,IF(T527="","",IF(T527&lt;AsOf,1,IF(T527&lt;=AsOf+AlertDays,2,IF(T527&lt;=AsOf+2*AlertDays,3,""))))))</f>
        <v/>
      </c>
      <c r="V527" s="79">
        <f>IF(U527="","",IF(Q527=3,"Late task: "&amp;D527,IF(T527&lt;AsOf,"Should have started: ","Starts soon: ")&amp;D527)&amp;IF(F527="",""," — "&amp;F527))</f>
        <v/>
      </c>
    </row>
    <row r="528" ht="20" customHeight="1">
      <c r="B528" s="125" t="n">
        <v>522</v>
      </c>
      <c r="C528" s="72" t="n"/>
      <c r="D528" s="72" t="n"/>
      <c r="E528" s="72" t="n"/>
      <c r="F528" s="72" t="n"/>
      <c r="G528" s="89" t="n"/>
      <c r="H528" s="89" t="n"/>
      <c r="I528" s="109" t="n"/>
      <c r="J528" s="126">
        <f>IF(OR(D528="",ProjStart=""),"",MAX(ProjStart,IF(I528&lt;&gt;"",I528,0),IF(H528="",0,IFERROR(INDEX($L$6:L527,MATCH(H528,$B$6:B527,0))+1,0))))</f>
        <v/>
      </c>
      <c r="K528" s="89" t="n"/>
      <c r="L528" s="126">
        <f>IF(J528="","",J528+MAX(1,G528)+IF(K528="",0,K528)-1)</f>
        <v/>
      </c>
      <c r="M528" s="72" t="n"/>
      <c r="N528" s="109" t="n"/>
      <c r="O528" s="127">
        <f>IF(D528="","",COUNTIF($H$7:$H$1006,B528))</f>
        <v/>
      </c>
      <c r="P528" s="78">
        <f>IF(D528="","",IF(AND(H528&lt;&gt;"",H528&gt;=B528),"⚠️ Predecessor must be above",IF(M528="Done","✓ Done",IF(Q528=3,"🔴 Late",IF(M528="In progress","In progress","")))))</f>
        <v/>
      </c>
      <c r="Q528" s="79">
        <f>IF(OR(D528="",L528=""),"",IF(M528="Done",2,IF(AsOf&gt;L528,3,1)))</f>
        <v/>
      </c>
      <c r="R528" s="79">
        <f>IF(OR(E528="",F528=""),0,IF(COUNTIFS($E$7:E528,E528,$F$7:F528,F528)=1,1,0))</f>
        <v/>
      </c>
      <c r="S528" s="79">
        <f>IF(R528=1,E528&amp;"|"&amp;SUMIFS($R$7:R528,$E$7:E528,E528),"")</f>
        <v/>
      </c>
      <c r="T528" s="112">
        <f>IF(Q528="","",IF(Q528=3,L528,IF(OR(M528="Not started",M528=""),J528,"")))</f>
        <v/>
      </c>
      <c r="U528" s="79">
        <f>IF(T528="","",IF(Q528=3,1,IF(T528="","",IF(T528&lt;AsOf,1,IF(T528&lt;=AsOf+AlertDays,2,IF(T528&lt;=AsOf+2*AlertDays,3,""))))))</f>
        <v/>
      </c>
      <c r="V528" s="79">
        <f>IF(U528="","",IF(Q528=3,"Late task: "&amp;D528,IF(T528&lt;AsOf,"Should have started: ","Starts soon: ")&amp;D528)&amp;IF(F528="",""," — "&amp;F528))</f>
        <v/>
      </c>
    </row>
    <row r="529" ht="20" customHeight="1">
      <c r="B529" s="125" t="n">
        <v>523</v>
      </c>
      <c r="C529" s="72" t="n"/>
      <c r="D529" s="72" t="n"/>
      <c r="E529" s="72" t="n"/>
      <c r="F529" s="72" t="n"/>
      <c r="G529" s="89" t="n"/>
      <c r="H529" s="89" t="n"/>
      <c r="I529" s="109" t="n"/>
      <c r="J529" s="126">
        <f>IF(OR(D529="",ProjStart=""),"",MAX(ProjStart,IF(I529&lt;&gt;"",I529,0),IF(H529="",0,IFERROR(INDEX($L$6:L528,MATCH(H529,$B$6:B528,0))+1,0))))</f>
        <v/>
      </c>
      <c r="K529" s="89" t="n"/>
      <c r="L529" s="126">
        <f>IF(J529="","",J529+MAX(1,G529)+IF(K529="",0,K529)-1)</f>
        <v/>
      </c>
      <c r="M529" s="72" t="n"/>
      <c r="N529" s="109" t="n"/>
      <c r="O529" s="127">
        <f>IF(D529="","",COUNTIF($H$7:$H$1006,B529))</f>
        <v/>
      </c>
      <c r="P529" s="78">
        <f>IF(D529="","",IF(AND(H529&lt;&gt;"",H529&gt;=B529),"⚠️ Predecessor must be above",IF(M529="Done","✓ Done",IF(Q529=3,"🔴 Late",IF(M529="In progress","In progress","")))))</f>
        <v/>
      </c>
      <c r="Q529" s="79">
        <f>IF(OR(D529="",L529=""),"",IF(M529="Done",2,IF(AsOf&gt;L529,3,1)))</f>
        <v/>
      </c>
      <c r="R529" s="79">
        <f>IF(OR(E529="",F529=""),0,IF(COUNTIFS($E$7:E529,E529,$F$7:F529,F529)=1,1,0))</f>
        <v/>
      </c>
      <c r="S529" s="79">
        <f>IF(R529=1,E529&amp;"|"&amp;SUMIFS($R$7:R529,$E$7:E529,E529),"")</f>
        <v/>
      </c>
      <c r="T529" s="112">
        <f>IF(Q529="","",IF(Q529=3,L529,IF(OR(M529="Not started",M529=""),J529,"")))</f>
        <v/>
      </c>
      <c r="U529" s="79">
        <f>IF(T529="","",IF(Q529=3,1,IF(T529="","",IF(T529&lt;AsOf,1,IF(T529&lt;=AsOf+AlertDays,2,IF(T529&lt;=AsOf+2*AlertDays,3,""))))))</f>
        <v/>
      </c>
      <c r="V529" s="79">
        <f>IF(U529="","",IF(Q529=3,"Late task: "&amp;D529,IF(T529&lt;AsOf,"Should have started: ","Starts soon: ")&amp;D529)&amp;IF(F529="",""," — "&amp;F529))</f>
        <v/>
      </c>
    </row>
    <row r="530" ht="20" customHeight="1">
      <c r="B530" s="125" t="n">
        <v>524</v>
      </c>
      <c r="C530" s="72" t="n"/>
      <c r="D530" s="72" t="n"/>
      <c r="E530" s="72" t="n"/>
      <c r="F530" s="72" t="n"/>
      <c r="G530" s="89" t="n"/>
      <c r="H530" s="89" t="n"/>
      <c r="I530" s="109" t="n"/>
      <c r="J530" s="126">
        <f>IF(OR(D530="",ProjStart=""),"",MAX(ProjStart,IF(I530&lt;&gt;"",I530,0),IF(H530="",0,IFERROR(INDEX($L$6:L529,MATCH(H530,$B$6:B529,0))+1,0))))</f>
        <v/>
      </c>
      <c r="K530" s="89" t="n"/>
      <c r="L530" s="126">
        <f>IF(J530="","",J530+MAX(1,G530)+IF(K530="",0,K530)-1)</f>
        <v/>
      </c>
      <c r="M530" s="72" t="n"/>
      <c r="N530" s="109" t="n"/>
      <c r="O530" s="127">
        <f>IF(D530="","",COUNTIF($H$7:$H$1006,B530))</f>
        <v/>
      </c>
      <c r="P530" s="78">
        <f>IF(D530="","",IF(AND(H530&lt;&gt;"",H530&gt;=B530),"⚠️ Predecessor must be above",IF(M530="Done","✓ Done",IF(Q530=3,"🔴 Late",IF(M530="In progress","In progress","")))))</f>
        <v/>
      </c>
      <c r="Q530" s="79">
        <f>IF(OR(D530="",L530=""),"",IF(M530="Done",2,IF(AsOf&gt;L530,3,1)))</f>
        <v/>
      </c>
      <c r="R530" s="79">
        <f>IF(OR(E530="",F530=""),0,IF(COUNTIFS($E$7:E530,E530,$F$7:F530,F530)=1,1,0))</f>
        <v/>
      </c>
      <c r="S530" s="79">
        <f>IF(R530=1,E530&amp;"|"&amp;SUMIFS($R$7:R530,$E$7:E530,E530),"")</f>
        <v/>
      </c>
      <c r="T530" s="112">
        <f>IF(Q530="","",IF(Q530=3,L530,IF(OR(M530="Not started",M530=""),J530,"")))</f>
        <v/>
      </c>
      <c r="U530" s="79">
        <f>IF(T530="","",IF(Q530=3,1,IF(T530="","",IF(T530&lt;AsOf,1,IF(T530&lt;=AsOf+AlertDays,2,IF(T530&lt;=AsOf+2*AlertDays,3,""))))))</f>
        <v/>
      </c>
      <c r="V530" s="79">
        <f>IF(U530="","",IF(Q530=3,"Late task: "&amp;D530,IF(T530&lt;AsOf,"Should have started: ","Starts soon: ")&amp;D530)&amp;IF(F530="",""," — "&amp;F530))</f>
        <v/>
      </c>
    </row>
    <row r="531" ht="20" customHeight="1">
      <c r="B531" s="125" t="n">
        <v>525</v>
      </c>
      <c r="C531" s="72" t="n"/>
      <c r="D531" s="72" t="n"/>
      <c r="E531" s="72" t="n"/>
      <c r="F531" s="72" t="n"/>
      <c r="G531" s="89" t="n"/>
      <c r="H531" s="89" t="n"/>
      <c r="I531" s="109" t="n"/>
      <c r="J531" s="126">
        <f>IF(OR(D531="",ProjStart=""),"",MAX(ProjStart,IF(I531&lt;&gt;"",I531,0),IF(H531="",0,IFERROR(INDEX($L$6:L530,MATCH(H531,$B$6:B530,0))+1,0))))</f>
        <v/>
      </c>
      <c r="K531" s="89" t="n"/>
      <c r="L531" s="126">
        <f>IF(J531="","",J531+MAX(1,G531)+IF(K531="",0,K531)-1)</f>
        <v/>
      </c>
      <c r="M531" s="72" t="n"/>
      <c r="N531" s="109" t="n"/>
      <c r="O531" s="127">
        <f>IF(D531="","",COUNTIF($H$7:$H$1006,B531))</f>
        <v/>
      </c>
      <c r="P531" s="78">
        <f>IF(D531="","",IF(AND(H531&lt;&gt;"",H531&gt;=B531),"⚠️ Predecessor must be above",IF(M531="Done","✓ Done",IF(Q531=3,"🔴 Late",IF(M531="In progress","In progress","")))))</f>
        <v/>
      </c>
      <c r="Q531" s="79">
        <f>IF(OR(D531="",L531=""),"",IF(M531="Done",2,IF(AsOf&gt;L531,3,1)))</f>
        <v/>
      </c>
      <c r="R531" s="79">
        <f>IF(OR(E531="",F531=""),0,IF(COUNTIFS($E$7:E531,E531,$F$7:F531,F531)=1,1,0))</f>
        <v/>
      </c>
      <c r="S531" s="79">
        <f>IF(R531=1,E531&amp;"|"&amp;SUMIFS($R$7:R531,$E$7:E531,E531),"")</f>
        <v/>
      </c>
      <c r="T531" s="112">
        <f>IF(Q531="","",IF(Q531=3,L531,IF(OR(M531="Not started",M531=""),J531,"")))</f>
        <v/>
      </c>
      <c r="U531" s="79">
        <f>IF(T531="","",IF(Q531=3,1,IF(T531="","",IF(T531&lt;AsOf,1,IF(T531&lt;=AsOf+AlertDays,2,IF(T531&lt;=AsOf+2*AlertDays,3,""))))))</f>
        <v/>
      </c>
      <c r="V531" s="79">
        <f>IF(U531="","",IF(Q531=3,"Late task: "&amp;D531,IF(T531&lt;AsOf,"Should have started: ","Starts soon: ")&amp;D531)&amp;IF(F531="",""," — "&amp;F531))</f>
        <v/>
      </c>
    </row>
    <row r="532" ht="20" customHeight="1">
      <c r="B532" s="125" t="n">
        <v>526</v>
      </c>
      <c r="C532" s="72" t="n"/>
      <c r="D532" s="72" t="n"/>
      <c r="E532" s="72" t="n"/>
      <c r="F532" s="72" t="n"/>
      <c r="G532" s="89" t="n"/>
      <c r="H532" s="89" t="n"/>
      <c r="I532" s="109" t="n"/>
      <c r="J532" s="126">
        <f>IF(OR(D532="",ProjStart=""),"",MAX(ProjStart,IF(I532&lt;&gt;"",I532,0),IF(H532="",0,IFERROR(INDEX($L$6:L531,MATCH(H532,$B$6:B531,0))+1,0))))</f>
        <v/>
      </c>
      <c r="K532" s="89" t="n"/>
      <c r="L532" s="126">
        <f>IF(J532="","",J532+MAX(1,G532)+IF(K532="",0,K532)-1)</f>
        <v/>
      </c>
      <c r="M532" s="72" t="n"/>
      <c r="N532" s="109" t="n"/>
      <c r="O532" s="127">
        <f>IF(D532="","",COUNTIF($H$7:$H$1006,B532))</f>
        <v/>
      </c>
      <c r="P532" s="78">
        <f>IF(D532="","",IF(AND(H532&lt;&gt;"",H532&gt;=B532),"⚠️ Predecessor must be above",IF(M532="Done","✓ Done",IF(Q532=3,"🔴 Late",IF(M532="In progress","In progress","")))))</f>
        <v/>
      </c>
      <c r="Q532" s="79">
        <f>IF(OR(D532="",L532=""),"",IF(M532="Done",2,IF(AsOf&gt;L532,3,1)))</f>
        <v/>
      </c>
      <c r="R532" s="79">
        <f>IF(OR(E532="",F532=""),0,IF(COUNTIFS($E$7:E532,E532,$F$7:F532,F532)=1,1,0))</f>
        <v/>
      </c>
      <c r="S532" s="79">
        <f>IF(R532=1,E532&amp;"|"&amp;SUMIFS($R$7:R532,$E$7:E532,E532),"")</f>
        <v/>
      </c>
      <c r="T532" s="112">
        <f>IF(Q532="","",IF(Q532=3,L532,IF(OR(M532="Not started",M532=""),J532,"")))</f>
        <v/>
      </c>
      <c r="U532" s="79">
        <f>IF(T532="","",IF(Q532=3,1,IF(T532="","",IF(T532&lt;AsOf,1,IF(T532&lt;=AsOf+AlertDays,2,IF(T532&lt;=AsOf+2*AlertDays,3,""))))))</f>
        <v/>
      </c>
      <c r="V532" s="79">
        <f>IF(U532="","",IF(Q532=3,"Late task: "&amp;D532,IF(T532&lt;AsOf,"Should have started: ","Starts soon: ")&amp;D532)&amp;IF(F532="",""," — "&amp;F532))</f>
        <v/>
      </c>
    </row>
    <row r="533" ht="20" customHeight="1">
      <c r="B533" s="125" t="n">
        <v>527</v>
      </c>
      <c r="C533" s="72" t="n"/>
      <c r="D533" s="72" t="n"/>
      <c r="E533" s="72" t="n"/>
      <c r="F533" s="72" t="n"/>
      <c r="G533" s="89" t="n"/>
      <c r="H533" s="89" t="n"/>
      <c r="I533" s="109" t="n"/>
      <c r="J533" s="126">
        <f>IF(OR(D533="",ProjStart=""),"",MAX(ProjStart,IF(I533&lt;&gt;"",I533,0),IF(H533="",0,IFERROR(INDEX($L$6:L532,MATCH(H533,$B$6:B532,0))+1,0))))</f>
        <v/>
      </c>
      <c r="K533" s="89" t="n"/>
      <c r="L533" s="126">
        <f>IF(J533="","",J533+MAX(1,G533)+IF(K533="",0,K533)-1)</f>
        <v/>
      </c>
      <c r="M533" s="72" t="n"/>
      <c r="N533" s="109" t="n"/>
      <c r="O533" s="127">
        <f>IF(D533="","",COUNTIF($H$7:$H$1006,B533))</f>
        <v/>
      </c>
      <c r="P533" s="78">
        <f>IF(D533="","",IF(AND(H533&lt;&gt;"",H533&gt;=B533),"⚠️ Predecessor must be above",IF(M533="Done","✓ Done",IF(Q533=3,"🔴 Late",IF(M533="In progress","In progress","")))))</f>
        <v/>
      </c>
      <c r="Q533" s="79">
        <f>IF(OR(D533="",L533=""),"",IF(M533="Done",2,IF(AsOf&gt;L533,3,1)))</f>
        <v/>
      </c>
      <c r="R533" s="79">
        <f>IF(OR(E533="",F533=""),0,IF(COUNTIFS($E$7:E533,E533,$F$7:F533,F533)=1,1,0))</f>
        <v/>
      </c>
      <c r="S533" s="79">
        <f>IF(R533=1,E533&amp;"|"&amp;SUMIFS($R$7:R533,$E$7:E533,E533),"")</f>
        <v/>
      </c>
      <c r="T533" s="112">
        <f>IF(Q533="","",IF(Q533=3,L533,IF(OR(M533="Not started",M533=""),J533,"")))</f>
        <v/>
      </c>
      <c r="U533" s="79">
        <f>IF(T533="","",IF(Q533=3,1,IF(T533="","",IF(T533&lt;AsOf,1,IF(T533&lt;=AsOf+AlertDays,2,IF(T533&lt;=AsOf+2*AlertDays,3,""))))))</f>
        <v/>
      </c>
      <c r="V533" s="79">
        <f>IF(U533="","",IF(Q533=3,"Late task: "&amp;D533,IF(T533&lt;AsOf,"Should have started: ","Starts soon: ")&amp;D533)&amp;IF(F533="",""," — "&amp;F533))</f>
        <v/>
      </c>
    </row>
    <row r="534" ht="20" customHeight="1">
      <c r="B534" s="125" t="n">
        <v>528</v>
      </c>
      <c r="C534" s="72" t="n"/>
      <c r="D534" s="72" t="n"/>
      <c r="E534" s="72" t="n"/>
      <c r="F534" s="72" t="n"/>
      <c r="G534" s="89" t="n"/>
      <c r="H534" s="89" t="n"/>
      <c r="I534" s="109" t="n"/>
      <c r="J534" s="126">
        <f>IF(OR(D534="",ProjStart=""),"",MAX(ProjStart,IF(I534&lt;&gt;"",I534,0),IF(H534="",0,IFERROR(INDEX($L$6:L533,MATCH(H534,$B$6:B533,0))+1,0))))</f>
        <v/>
      </c>
      <c r="K534" s="89" t="n"/>
      <c r="L534" s="126">
        <f>IF(J534="","",J534+MAX(1,G534)+IF(K534="",0,K534)-1)</f>
        <v/>
      </c>
      <c r="M534" s="72" t="n"/>
      <c r="N534" s="109" t="n"/>
      <c r="O534" s="127">
        <f>IF(D534="","",COUNTIF($H$7:$H$1006,B534))</f>
        <v/>
      </c>
      <c r="P534" s="78">
        <f>IF(D534="","",IF(AND(H534&lt;&gt;"",H534&gt;=B534),"⚠️ Predecessor must be above",IF(M534="Done","✓ Done",IF(Q534=3,"🔴 Late",IF(M534="In progress","In progress","")))))</f>
        <v/>
      </c>
      <c r="Q534" s="79">
        <f>IF(OR(D534="",L534=""),"",IF(M534="Done",2,IF(AsOf&gt;L534,3,1)))</f>
        <v/>
      </c>
      <c r="R534" s="79">
        <f>IF(OR(E534="",F534=""),0,IF(COUNTIFS($E$7:E534,E534,$F$7:F534,F534)=1,1,0))</f>
        <v/>
      </c>
      <c r="S534" s="79">
        <f>IF(R534=1,E534&amp;"|"&amp;SUMIFS($R$7:R534,$E$7:E534,E534),"")</f>
        <v/>
      </c>
      <c r="T534" s="112">
        <f>IF(Q534="","",IF(Q534=3,L534,IF(OR(M534="Not started",M534=""),J534,"")))</f>
        <v/>
      </c>
      <c r="U534" s="79">
        <f>IF(T534="","",IF(Q534=3,1,IF(T534="","",IF(T534&lt;AsOf,1,IF(T534&lt;=AsOf+AlertDays,2,IF(T534&lt;=AsOf+2*AlertDays,3,""))))))</f>
        <v/>
      </c>
      <c r="V534" s="79">
        <f>IF(U534="","",IF(Q534=3,"Late task: "&amp;D534,IF(T534&lt;AsOf,"Should have started: ","Starts soon: ")&amp;D534)&amp;IF(F534="",""," — "&amp;F534))</f>
        <v/>
      </c>
    </row>
    <row r="535" ht="20" customHeight="1">
      <c r="B535" s="125" t="n">
        <v>529</v>
      </c>
      <c r="C535" s="72" t="n"/>
      <c r="D535" s="72" t="n"/>
      <c r="E535" s="72" t="n"/>
      <c r="F535" s="72" t="n"/>
      <c r="G535" s="89" t="n"/>
      <c r="H535" s="89" t="n"/>
      <c r="I535" s="109" t="n"/>
      <c r="J535" s="126">
        <f>IF(OR(D535="",ProjStart=""),"",MAX(ProjStart,IF(I535&lt;&gt;"",I535,0),IF(H535="",0,IFERROR(INDEX($L$6:L534,MATCH(H535,$B$6:B534,0))+1,0))))</f>
        <v/>
      </c>
      <c r="K535" s="89" t="n"/>
      <c r="L535" s="126">
        <f>IF(J535="","",J535+MAX(1,G535)+IF(K535="",0,K535)-1)</f>
        <v/>
      </c>
      <c r="M535" s="72" t="n"/>
      <c r="N535" s="109" t="n"/>
      <c r="O535" s="127">
        <f>IF(D535="","",COUNTIF($H$7:$H$1006,B535))</f>
        <v/>
      </c>
      <c r="P535" s="78">
        <f>IF(D535="","",IF(AND(H535&lt;&gt;"",H535&gt;=B535),"⚠️ Predecessor must be above",IF(M535="Done","✓ Done",IF(Q535=3,"🔴 Late",IF(M535="In progress","In progress","")))))</f>
        <v/>
      </c>
      <c r="Q535" s="79">
        <f>IF(OR(D535="",L535=""),"",IF(M535="Done",2,IF(AsOf&gt;L535,3,1)))</f>
        <v/>
      </c>
      <c r="R535" s="79">
        <f>IF(OR(E535="",F535=""),0,IF(COUNTIFS($E$7:E535,E535,$F$7:F535,F535)=1,1,0))</f>
        <v/>
      </c>
      <c r="S535" s="79">
        <f>IF(R535=1,E535&amp;"|"&amp;SUMIFS($R$7:R535,$E$7:E535,E535),"")</f>
        <v/>
      </c>
      <c r="T535" s="112">
        <f>IF(Q535="","",IF(Q535=3,L535,IF(OR(M535="Not started",M535=""),J535,"")))</f>
        <v/>
      </c>
      <c r="U535" s="79">
        <f>IF(T535="","",IF(Q535=3,1,IF(T535="","",IF(T535&lt;AsOf,1,IF(T535&lt;=AsOf+AlertDays,2,IF(T535&lt;=AsOf+2*AlertDays,3,""))))))</f>
        <v/>
      </c>
      <c r="V535" s="79">
        <f>IF(U535="","",IF(Q535=3,"Late task: "&amp;D535,IF(T535&lt;AsOf,"Should have started: ","Starts soon: ")&amp;D535)&amp;IF(F535="",""," — "&amp;F535))</f>
        <v/>
      </c>
    </row>
    <row r="536" ht="20" customHeight="1">
      <c r="B536" s="125" t="n">
        <v>530</v>
      </c>
      <c r="C536" s="72" t="n"/>
      <c r="D536" s="72" t="n"/>
      <c r="E536" s="72" t="n"/>
      <c r="F536" s="72" t="n"/>
      <c r="G536" s="89" t="n"/>
      <c r="H536" s="89" t="n"/>
      <c r="I536" s="109" t="n"/>
      <c r="J536" s="126">
        <f>IF(OR(D536="",ProjStart=""),"",MAX(ProjStart,IF(I536&lt;&gt;"",I536,0),IF(H536="",0,IFERROR(INDEX($L$6:L535,MATCH(H536,$B$6:B535,0))+1,0))))</f>
        <v/>
      </c>
      <c r="K536" s="89" t="n"/>
      <c r="L536" s="126">
        <f>IF(J536="","",J536+MAX(1,G536)+IF(K536="",0,K536)-1)</f>
        <v/>
      </c>
      <c r="M536" s="72" t="n"/>
      <c r="N536" s="109" t="n"/>
      <c r="O536" s="127">
        <f>IF(D536="","",COUNTIF($H$7:$H$1006,B536))</f>
        <v/>
      </c>
      <c r="P536" s="78">
        <f>IF(D536="","",IF(AND(H536&lt;&gt;"",H536&gt;=B536),"⚠️ Predecessor must be above",IF(M536="Done","✓ Done",IF(Q536=3,"🔴 Late",IF(M536="In progress","In progress","")))))</f>
        <v/>
      </c>
      <c r="Q536" s="79">
        <f>IF(OR(D536="",L536=""),"",IF(M536="Done",2,IF(AsOf&gt;L536,3,1)))</f>
        <v/>
      </c>
      <c r="R536" s="79">
        <f>IF(OR(E536="",F536=""),0,IF(COUNTIFS($E$7:E536,E536,$F$7:F536,F536)=1,1,0))</f>
        <v/>
      </c>
      <c r="S536" s="79">
        <f>IF(R536=1,E536&amp;"|"&amp;SUMIFS($R$7:R536,$E$7:E536,E536),"")</f>
        <v/>
      </c>
      <c r="T536" s="112">
        <f>IF(Q536="","",IF(Q536=3,L536,IF(OR(M536="Not started",M536=""),J536,"")))</f>
        <v/>
      </c>
      <c r="U536" s="79">
        <f>IF(T536="","",IF(Q536=3,1,IF(T536="","",IF(T536&lt;AsOf,1,IF(T536&lt;=AsOf+AlertDays,2,IF(T536&lt;=AsOf+2*AlertDays,3,""))))))</f>
        <v/>
      </c>
      <c r="V536" s="79">
        <f>IF(U536="","",IF(Q536=3,"Late task: "&amp;D536,IF(T536&lt;AsOf,"Should have started: ","Starts soon: ")&amp;D536)&amp;IF(F536="",""," — "&amp;F536))</f>
        <v/>
      </c>
    </row>
    <row r="537" ht="20" customHeight="1">
      <c r="B537" s="125" t="n">
        <v>531</v>
      </c>
      <c r="C537" s="72" t="n"/>
      <c r="D537" s="72" t="n"/>
      <c r="E537" s="72" t="n"/>
      <c r="F537" s="72" t="n"/>
      <c r="G537" s="89" t="n"/>
      <c r="H537" s="89" t="n"/>
      <c r="I537" s="109" t="n"/>
      <c r="J537" s="126">
        <f>IF(OR(D537="",ProjStart=""),"",MAX(ProjStart,IF(I537&lt;&gt;"",I537,0),IF(H537="",0,IFERROR(INDEX($L$6:L536,MATCH(H537,$B$6:B536,0))+1,0))))</f>
        <v/>
      </c>
      <c r="K537" s="89" t="n"/>
      <c r="L537" s="126">
        <f>IF(J537="","",J537+MAX(1,G537)+IF(K537="",0,K537)-1)</f>
        <v/>
      </c>
      <c r="M537" s="72" t="n"/>
      <c r="N537" s="109" t="n"/>
      <c r="O537" s="127">
        <f>IF(D537="","",COUNTIF($H$7:$H$1006,B537))</f>
        <v/>
      </c>
      <c r="P537" s="78">
        <f>IF(D537="","",IF(AND(H537&lt;&gt;"",H537&gt;=B537),"⚠️ Predecessor must be above",IF(M537="Done","✓ Done",IF(Q537=3,"🔴 Late",IF(M537="In progress","In progress","")))))</f>
        <v/>
      </c>
      <c r="Q537" s="79">
        <f>IF(OR(D537="",L537=""),"",IF(M537="Done",2,IF(AsOf&gt;L537,3,1)))</f>
        <v/>
      </c>
      <c r="R537" s="79">
        <f>IF(OR(E537="",F537=""),0,IF(COUNTIFS($E$7:E537,E537,$F$7:F537,F537)=1,1,0))</f>
        <v/>
      </c>
      <c r="S537" s="79">
        <f>IF(R537=1,E537&amp;"|"&amp;SUMIFS($R$7:R537,$E$7:E537,E537),"")</f>
        <v/>
      </c>
      <c r="T537" s="112">
        <f>IF(Q537="","",IF(Q537=3,L537,IF(OR(M537="Not started",M537=""),J537,"")))</f>
        <v/>
      </c>
      <c r="U537" s="79">
        <f>IF(T537="","",IF(Q537=3,1,IF(T537="","",IF(T537&lt;AsOf,1,IF(T537&lt;=AsOf+AlertDays,2,IF(T537&lt;=AsOf+2*AlertDays,3,""))))))</f>
        <v/>
      </c>
      <c r="V537" s="79">
        <f>IF(U537="","",IF(Q537=3,"Late task: "&amp;D537,IF(T537&lt;AsOf,"Should have started: ","Starts soon: ")&amp;D537)&amp;IF(F537="",""," — "&amp;F537))</f>
        <v/>
      </c>
    </row>
    <row r="538" ht="20" customHeight="1">
      <c r="B538" s="125" t="n">
        <v>532</v>
      </c>
      <c r="C538" s="72" t="n"/>
      <c r="D538" s="72" t="n"/>
      <c r="E538" s="72" t="n"/>
      <c r="F538" s="72" t="n"/>
      <c r="G538" s="89" t="n"/>
      <c r="H538" s="89" t="n"/>
      <c r="I538" s="109" t="n"/>
      <c r="J538" s="126">
        <f>IF(OR(D538="",ProjStart=""),"",MAX(ProjStart,IF(I538&lt;&gt;"",I538,0),IF(H538="",0,IFERROR(INDEX($L$6:L537,MATCH(H538,$B$6:B537,0))+1,0))))</f>
        <v/>
      </c>
      <c r="K538" s="89" t="n"/>
      <c r="L538" s="126">
        <f>IF(J538="","",J538+MAX(1,G538)+IF(K538="",0,K538)-1)</f>
        <v/>
      </c>
      <c r="M538" s="72" t="n"/>
      <c r="N538" s="109" t="n"/>
      <c r="O538" s="127">
        <f>IF(D538="","",COUNTIF($H$7:$H$1006,B538))</f>
        <v/>
      </c>
      <c r="P538" s="78">
        <f>IF(D538="","",IF(AND(H538&lt;&gt;"",H538&gt;=B538),"⚠️ Predecessor must be above",IF(M538="Done","✓ Done",IF(Q538=3,"🔴 Late",IF(M538="In progress","In progress","")))))</f>
        <v/>
      </c>
      <c r="Q538" s="79">
        <f>IF(OR(D538="",L538=""),"",IF(M538="Done",2,IF(AsOf&gt;L538,3,1)))</f>
        <v/>
      </c>
      <c r="R538" s="79">
        <f>IF(OR(E538="",F538=""),0,IF(COUNTIFS($E$7:E538,E538,$F$7:F538,F538)=1,1,0))</f>
        <v/>
      </c>
      <c r="S538" s="79">
        <f>IF(R538=1,E538&amp;"|"&amp;SUMIFS($R$7:R538,$E$7:E538,E538),"")</f>
        <v/>
      </c>
      <c r="T538" s="112">
        <f>IF(Q538="","",IF(Q538=3,L538,IF(OR(M538="Not started",M538=""),J538,"")))</f>
        <v/>
      </c>
      <c r="U538" s="79">
        <f>IF(T538="","",IF(Q538=3,1,IF(T538="","",IF(T538&lt;AsOf,1,IF(T538&lt;=AsOf+AlertDays,2,IF(T538&lt;=AsOf+2*AlertDays,3,""))))))</f>
        <v/>
      </c>
      <c r="V538" s="79">
        <f>IF(U538="","",IF(Q538=3,"Late task: "&amp;D538,IF(T538&lt;AsOf,"Should have started: ","Starts soon: ")&amp;D538)&amp;IF(F538="",""," — "&amp;F538))</f>
        <v/>
      </c>
    </row>
    <row r="539" ht="20" customHeight="1">
      <c r="B539" s="125" t="n">
        <v>533</v>
      </c>
      <c r="C539" s="72" t="n"/>
      <c r="D539" s="72" t="n"/>
      <c r="E539" s="72" t="n"/>
      <c r="F539" s="72" t="n"/>
      <c r="G539" s="89" t="n"/>
      <c r="H539" s="89" t="n"/>
      <c r="I539" s="109" t="n"/>
      <c r="J539" s="126">
        <f>IF(OR(D539="",ProjStart=""),"",MAX(ProjStart,IF(I539&lt;&gt;"",I539,0),IF(H539="",0,IFERROR(INDEX($L$6:L538,MATCH(H539,$B$6:B538,0))+1,0))))</f>
        <v/>
      </c>
      <c r="K539" s="89" t="n"/>
      <c r="L539" s="126">
        <f>IF(J539="","",J539+MAX(1,G539)+IF(K539="",0,K539)-1)</f>
        <v/>
      </c>
      <c r="M539" s="72" t="n"/>
      <c r="N539" s="109" t="n"/>
      <c r="O539" s="127">
        <f>IF(D539="","",COUNTIF($H$7:$H$1006,B539))</f>
        <v/>
      </c>
      <c r="P539" s="78">
        <f>IF(D539="","",IF(AND(H539&lt;&gt;"",H539&gt;=B539),"⚠️ Predecessor must be above",IF(M539="Done","✓ Done",IF(Q539=3,"🔴 Late",IF(M539="In progress","In progress","")))))</f>
        <v/>
      </c>
      <c r="Q539" s="79">
        <f>IF(OR(D539="",L539=""),"",IF(M539="Done",2,IF(AsOf&gt;L539,3,1)))</f>
        <v/>
      </c>
      <c r="R539" s="79">
        <f>IF(OR(E539="",F539=""),0,IF(COUNTIFS($E$7:E539,E539,$F$7:F539,F539)=1,1,0))</f>
        <v/>
      </c>
      <c r="S539" s="79">
        <f>IF(R539=1,E539&amp;"|"&amp;SUMIFS($R$7:R539,$E$7:E539,E539),"")</f>
        <v/>
      </c>
      <c r="T539" s="112">
        <f>IF(Q539="","",IF(Q539=3,L539,IF(OR(M539="Not started",M539=""),J539,"")))</f>
        <v/>
      </c>
      <c r="U539" s="79">
        <f>IF(T539="","",IF(Q539=3,1,IF(T539="","",IF(T539&lt;AsOf,1,IF(T539&lt;=AsOf+AlertDays,2,IF(T539&lt;=AsOf+2*AlertDays,3,""))))))</f>
        <v/>
      </c>
      <c r="V539" s="79">
        <f>IF(U539="","",IF(Q539=3,"Late task: "&amp;D539,IF(T539&lt;AsOf,"Should have started: ","Starts soon: ")&amp;D539)&amp;IF(F539="",""," — "&amp;F539))</f>
        <v/>
      </c>
    </row>
    <row r="540" ht="20" customHeight="1">
      <c r="B540" s="125" t="n">
        <v>534</v>
      </c>
      <c r="C540" s="72" t="n"/>
      <c r="D540" s="72" t="n"/>
      <c r="E540" s="72" t="n"/>
      <c r="F540" s="72" t="n"/>
      <c r="G540" s="89" t="n"/>
      <c r="H540" s="89" t="n"/>
      <c r="I540" s="109" t="n"/>
      <c r="J540" s="126">
        <f>IF(OR(D540="",ProjStart=""),"",MAX(ProjStart,IF(I540&lt;&gt;"",I540,0),IF(H540="",0,IFERROR(INDEX($L$6:L539,MATCH(H540,$B$6:B539,0))+1,0))))</f>
        <v/>
      </c>
      <c r="K540" s="89" t="n"/>
      <c r="L540" s="126">
        <f>IF(J540="","",J540+MAX(1,G540)+IF(K540="",0,K540)-1)</f>
        <v/>
      </c>
      <c r="M540" s="72" t="n"/>
      <c r="N540" s="109" t="n"/>
      <c r="O540" s="127">
        <f>IF(D540="","",COUNTIF($H$7:$H$1006,B540))</f>
        <v/>
      </c>
      <c r="P540" s="78">
        <f>IF(D540="","",IF(AND(H540&lt;&gt;"",H540&gt;=B540),"⚠️ Predecessor must be above",IF(M540="Done","✓ Done",IF(Q540=3,"🔴 Late",IF(M540="In progress","In progress","")))))</f>
        <v/>
      </c>
      <c r="Q540" s="79">
        <f>IF(OR(D540="",L540=""),"",IF(M540="Done",2,IF(AsOf&gt;L540,3,1)))</f>
        <v/>
      </c>
      <c r="R540" s="79">
        <f>IF(OR(E540="",F540=""),0,IF(COUNTIFS($E$7:E540,E540,$F$7:F540,F540)=1,1,0))</f>
        <v/>
      </c>
      <c r="S540" s="79">
        <f>IF(R540=1,E540&amp;"|"&amp;SUMIFS($R$7:R540,$E$7:E540,E540),"")</f>
        <v/>
      </c>
      <c r="T540" s="112">
        <f>IF(Q540="","",IF(Q540=3,L540,IF(OR(M540="Not started",M540=""),J540,"")))</f>
        <v/>
      </c>
      <c r="U540" s="79">
        <f>IF(T540="","",IF(Q540=3,1,IF(T540="","",IF(T540&lt;AsOf,1,IF(T540&lt;=AsOf+AlertDays,2,IF(T540&lt;=AsOf+2*AlertDays,3,""))))))</f>
        <v/>
      </c>
      <c r="V540" s="79">
        <f>IF(U540="","",IF(Q540=3,"Late task: "&amp;D540,IF(T540&lt;AsOf,"Should have started: ","Starts soon: ")&amp;D540)&amp;IF(F540="",""," — "&amp;F540))</f>
        <v/>
      </c>
    </row>
    <row r="541" ht="20" customHeight="1">
      <c r="B541" s="125" t="n">
        <v>535</v>
      </c>
      <c r="C541" s="72" t="n"/>
      <c r="D541" s="72" t="n"/>
      <c r="E541" s="72" t="n"/>
      <c r="F541" s="72" t="n"/>
      <c r="G541" s="89" t="n"/>
      <c r="H541" s="89" t="n"/>
      <c r="I541" s="109" t="n"/>
      <c r="J541" s="126">
        <f>IF(OR(D541="",ProjStart=""),"",MAX(ProjStart,IF(I541&lt;&gt;"",I541,0),IF(H541="",0,IFERROR(INDEX($L$6:L540,MATCH(H541,$B$6:B540,0))+1,0))))</f>
        <v/>
      </c>
      <c r="K541" s="89" t="n"/>
      <c r="L541" s="126">
        <f>IF(J541="","",J541+MAX(1,G541)+IF(K541="",0,K541)-1)</f>
        <v/>
      </c>
      <c r="M541" s="72" t="n"/>
      <c r="N541" s="109" t="n"/>
      <c r="O541" s="127">
        <f>IF(D541="","",COUNTIF($H$7:$H$1006,B541))</f>
        <v/>
      </c>
      <c r="P541" s="78">
        <f>IF(D541="","",IF(AND(H541&lt;&gt;"",H541&gt;=B541),"⚠️ Predecessor must be above",IF(M541="Done","✓ Done",IF(Q541=3,"🔴 Late",IF(M541="In progress","In progress","")))))</f>
        <v/>
      </c>
      <c r="Q541" s="79">
        <f>IF(OR(D541="",L541=""),"",IF(M541="Done",2,IF(AsOf&gt;L541,3,1)))</f>
        <v/>
      </c>
      <c r="R541" s="79">
        <f>IF(OR(E541="",F541=""),0,IF(COUNTIFS($E$7:E541,E541,$F$7:F541,F541)=1,1,0))</f>
        <v/>
      </c>
      <c r="S541" s="79">
        <f>IF(R541=1,E541&amp;"|"&amp;SUMIFS($R$7:R541,$E$7:E541,E541),"")</f>
        <v/>
      </c>
      <c r="T541" s="112">
        <f>IF(Q541="","",IF(Q541=3,L541,IF(OR(M541="Not started",M541=""),J541,"")))</f>
        <v/>
      </c>
      <c r="U541" s="79">
        <f>IF(T541="","",IF(Q541=3,1,IF(T541="","",IF(T541&lt;AsOf,1,IF(T541&lt;=AsOf+AlertDays,2,IF(T541&lt;=AsOf+2*AlertDays,3,""))))))</f>
        <v/>
      </c>
      <c r="V541" s="79">
        <f>IF(U541="","",IF(Q541=3,"Late task: "&amp;D541,IF(T541&lt;AsOf,"Should have started: ","Starts soon: ")&amp;D541)&amp;IF(F541="",""," — "&amp;F541))</f>
        <v/>
      </c>
    </row>
    <row r="542" ht="20" customHeight="1">
      <c r="B542" s="125" t="n">
        <v>536</v>
      </c>
      <c r="C542" s="72" t="n"/>
      <c r="D542" s="72" t="n"/>
      <c r="E542" s="72" t="n"/>
      <c r="F542" s="72" t="n"/>
      <c r="G542" s="89" t="n"/>
      <c r="H542" s="89" t="n"/>
      <c r="I542" s="109" t="n"/>
      <c r="J542" s="126">
        <f>IF(OR(D542="",ProjStart=""),"",MAX(ProjStart,IF(I542&lt;&gt;"",I542,0),IF(H542="",0,IFERROR(INDEX($L$6:L541,MATCH(H542,$B$6:B541,0))+1,0))))</f>
        <v/>
      </c>
      <c r="K542" s="89" t="n"/>
      <c r="L542" s="126">
        <f>IF(J542="","",J542+MAX(1,G542)+IF(K542="",0,K542)-1)</f>
        <v/>
      </c>
      <c r="M542" s="72" t="n"/>
      <c r="N542" s="109" t="n"/>
      <c r="O542" s="127">
        <f>IF(D542="","",COUNTIF($H$7:$H$1006,B542))</f>
        <v/>
      </c>
      <c r="P542" s="78">
        <f>IF(D542="","",IF(AND(H542&lt;&gt;"",H542&gt;=B542),"⚠️ Predecessor must be above",IF(M542="Done","✓ Done",IF(Q542=3,"🔴 Late",IF(M542="In progress","In progress","")))))</f>
        <v/>
      </c>
      <c r="Q542" s="79">
        <f>IF(OR(D542="",L542=""),"",IF(M542="Done",2,IF(AsOf&gt;L542,3,1)))</f>
        <v/>
      </c>
      <c r="R542" s="79">
        <f>IF(OR(E542="",F542=""),0,IF(COUNTIFS($E$7:E542,E542,$F$7:F542,F542)=1,1,0))</f>
        <v/>
      </c>
      <c r="S542" s="79">
        <f>IF(R542=1,E542&amp;"|"&amp;SUMIFS($R$7:R542,$E$7:E542,E542),"")</f>
        <v/>
      </c>
      <c r="T542" s="112">
        <f>IF(Q542="","",IF(Q542=3,L542,IF(OR(M542="Not started",M542=""),J542,"")))</f>
        <v/>
      </c>
      <c r="U542" s="79">
        <f>IF(T542="","",IF(Q542=3,1,IF(T542="","",IF(T542&lt;AsOf,1,IF(T542&lt;=AsOf+AlertDays,2,IF(T542&lt;=AsOf+2*AlertDays,3,""))))))</f>
        <v/>
      </c>
      <c r="V542" s="79">
        <f>IF(U542="","",IF(Q542=3,"Late task: "&amp;D542,IF(T542&lt;AsOf,"Should have started: ","Starts soon: ")&amp;D542)&amp;IF(F542="",""," — "&amp;F542))</f>
        <v/>
      </c>
    </row>
    <row r="543" ht="20" customHeight="1">
      <c r="B543" s="125" t="n">
        <v>537</v>
      </c>
      <c r="C543" s="72" t="n"/>
      <c r="D543" s="72" t="n"/>
      <c r="E543" s="72" t="n"/>
      <c r="F543" s="72" t="n"/>
      <c r="G543" s="89" t="n"/>
      <c r="H543" s="89" t="n"/>
      <c r="I543" s="109" t="n"/>
      <c r="J543" s="126">
        <f>IF(OR(D543="",ProjStart=""),"",MAX(ProjStart,IF(I543&lt;&gt;"",I543,0),IF(H543="",0,IFERROR(INDEX($L$6:L542,MATCH(H543,$B$6:B542,0))+1,0))))</f>
        <v/>
      </c>
      <c r="K543" s="89" t="n"/>
      <c r="L543" s="126">
        <f>IF(J543="","",J543+MAX(1,G543)+IF(K543="",0,K543)-1)</f>
        <v/>
      </c>
      <c r="M543" s="72" t="n"/>
      <c r="N543" s="109" t="n"/>
      <c r="O543" s="127">
        <f>IF(D543="","",COUNTIF($H$7:$H$1006,B543))</f>
        <v/>
      </c>
      <c r="P543" s="78">
        <f>IF(D543="","",IF(AND(H543&lt;&gt;"",H543&gt;=B543),"⚠️ Predecessor must be above",IF(M543="Done","✓ Done",IF(Q543=3,"🔴 Late",IF(M543="In progress","In progress","")))))</f>
        <v/>
      </c>
      <c r="Q543" s="79">
        <f>IF(OR(D543="",L543=""),"",IF(M543="Done",2,IF(AsOf&gt;L543,3,1)))</f>
        <v/>
      </c>
      <c r="R543" s="79">
        <f>IF(OR(E543="",F543=""),0,IF(COUNTIFS($E$7:E543,E543,$F$7:F543,F543)=1,1,0))</f>
        <v/>
      </c>
      <c r="S543" s="79">
        <f>IF(R543=1,E543&amp;"|"&amp;SUMIFS($R$7:R543,$E$7:E543,E543),"")</f>
        <v/>
      </c>
      <c r="T543" s="112">
        <f>IF(Q543="","",IF(Q543=3,L543,IF(OR(M543="Not started",M543=""),J543,"")))</f>
        <v/>
      </c>
      <c r="U543" s="79">
        <f>IF(T543="","",IF(Q543=3,1,IF(T543="","",IF(T543&lt;AsOf,1,IF(T543&lt;=AsOf+AlertDays,2,IF(T543&lt;=AsOf+2*AlertDays,3,""))))))</f>
        <v/>
      </c>
      <c r="V543" s="79">
        <f>IF(U543="","",IF(Q543=3,"Late task: "&amp;D543,IF(T543&lt;AsOf,"Should have started: ","Starts soon: ")&amp;D543)&amp;IF(F543="",""," — "&amp;F543))</f>
        <v/>
      </c>
    </row>
    <row r="544" ht="20" customHeight="1">
      <c r="B544" s="125" t="n">
        <v>538</v>
      </c>
      <c r="C544" s="72" t="n"/>
      <c r="D544" s="72" t="n"/>
      <c r="E544" s="72" t="n"/>
      <c r="F544" s="72" t="n"/>
      <c r="G544" s="89" t="n"/>
      <c r="H544" s="89" t="n"/>
      <c r="I544" s="109" t="n"/>
      <c r="J544" s="126">
        <f>IF(OR(D544="",ProjStart=""),"",MAX(ProjStart,IF(I544&lt;&gt;"",I544,0),IF(H544="",0,IFERROR(INDEX($L$6:L543,MATCH(H544,$B$6:B543,0))+1,0))))</f>
        <v/>
      </c>
      <c r="K544" s="89" t="n"/>
      <c r="L544" s="126">
        <f>IF(J544="","",J544+MAX(1,G544)+IF(K544="",0,K544)-1)</f>
        <v/>
      </c>
      <c r="M544" s="72" t="n"/>
      <c r="N544" s="109" t="n"/>
      <c r="O544" s="127">
        <f>IF(D544="","",COUNTIF($H$7:$H$1006,B544))</f>
        <v/>
      </c>
      <c r="P544" s="78">
        <f>IF(D544="","",IF(AND(H544&lt;&gt;"",H544&gt;=B544),"⚠️ Predecessor must be above",IF(M544="Done","✓ Done",IF(Q544=3,"🔴 Late",IF(M544="In progress","In progress","")))))</f>
        <v/>
      </c>
      <c r="Q544" s="79">
        <f>IF(OR(D544="",L544=""),"",IF(M544="Done",2,IF(AsOf&gt;L544,3,1)))</f>
        <v/>
      </c>
      <c r="R544" s="79">
        <f>IF(OR(E544="",F544=""),0,IF(COUNTIFS($E$7:E544,E544,$F$7:F544,F544)=1,1,0))</f>
        <v/>
      </c>
      <c r="S544" s="79">
        <f>IF(R544=1,E544&amp;"|"&amp;SUMIFS($R$7:R544,$E$7:E544,E544),"")</f>
        <v/>
      </c>
      <c r="T544" s="112">
        <f>IF(Q544="","",IF(Q544=3,L544,IF(OR(M544="Not started",M544=""),J544,"")))</f>
        <v/>
      </c>
      <c r="U544" s="79">
        <f>IF(T544="","",IF(Q544=3,1,IF(T544="","",IF(T544&lt;AsOf,1,IF(T544&lt;=AsOf+AlertDays,2,IF(T544&lt;=AsOf+2*AlertDays,3,""))))))</f>
        <v/>
      </c>
      <c r="V544" s="79">
        <f>IF(U544="","",IF(Q544=3,"Late task: "&amp;D544,IF(T544&lt;AsOf,"Should have started: ","Starts soon: ")&amp;D544)&amp;IF(F544="",""," — "&amp;F544))</f>
        <v/>
      </c>
    </row>
    <row r="545" ht="20" customHeight="1">
      <c r="B545" s="125" t="n">
        <v>539</v>
      </c>
      <c r="C545" s="72" t="n"/>
      <c r="D545" s="72" t="n"/>
      <c r="E545" s="72" t="n"/>
      <c r="F545" s="72" t="n"/>
      <c r="G545" s="89" t="n"/>
      <c r="H545" s="89" t="n"/>
      <c r="I545" s="109" t="n"/>
      <c r="J545" s="126">
        <f>IF(OR(D545="",ProjStart=""),"",MAX(ProjStart,IF(I545&lt;&gt;"",I545,0),IF(H545="",0,IFERROR(INDEX($L$6:L544,MATCH(H545,$B$6:B544,0))+1,0))))</f>
        <v/>
      </c>
      <c r="K545" s="89" t="n"/>
      <c r="L545" s="126">
        <f>IF(J545="","",J545+MAX(1,G545)+IF(K545="",0,K545)-1)</f>
        <v/>
      </c>
      <c r="M545" s="72" t="n"/>
      <c r="N545" s="109" t="n"/>
      <c r="O545" s="127">
        <f>IF(D545="","",COUNTIF($H$7:$H$1006,B545))</f>
        <v/>
      </c>
      <c r="P545" s="78">
        <f>IF(D545="","",IF(AND(H545&lt;&gt;"",H545&gt;=B545),"⚠️ Predecessor must be above",IF(M545="Done","✓ Done",IF(Q545=3,"🔴 Late",IF(M545="In progress","In progress","")))))</f>
        <v/>
      </c>
      <c r="Q545" s="79">
        <f>IF(OR(D545="",L545=""),"",IF(M545="Done",2,IF(AsOf&gt;L545,3,1)))</f>
        <v/>
      </c>
      <c r="R545" s="79">
        <f>IF(OR(E545="",F545=""),0,IF(COUNTIFS($E$7:E545,E545,$F$7:F545,F545)=1,1,0))</f>
        <v/>
      </c>
      <c r="S545" s="79">
        <f>IF(R545=1,E545&amp;"|"&amp;SUMIFS($R$7:R545,$E$7:E545,E545),"")</f>
        <v/>
      </c>
      <c r="T545" s="112">
        <f>IF(Q545="","",IF(Q545=3,L545,IF(OR(M545="Not started",M545=""),J545,"")))</f>
        <v/>
      </c>
      <c r="U545" s="79">
        <f>IF(T545="","",IF(Q545=3,1,IF(T545="","",IF(T545&lt;AsOf,1,IF(T545&lt;=AsOf+AlertDays,2,IF(T545&lt;=AsOf+2*AlertDays,3,""))))))</f>
        <v/>
      </c>
      <c r="V545" s="79">
        <f>IF(U545="","",IF(Q545=3,"Late task: "&amp;D545,IF(T545&lt;AsOf,"Should have started: ","Starts soon: ")&amp;D545)&amp;IF(F545="",""," — "&amp;F545))</f>
        <v/>
      </c>
    </row>
    <row r="546" ht="20" customHeight="1">
      <c r="B546" s="125" t="n">
        <v>540</v>
      </c>
      <c r="C546" s="72" t="n"/>
      <c r="D546" s="72" t="n"/>
      <c r="E546" s="72" t="n"/>
      <c r="F546" s="72" t="n"/>
      <c r="G546" s="89" t="n"/>
      <c r="H546" s="89" t="n"/>
      <c r="I546" s="109" t="n"/>
      <c r="J546" s="126">
        <f>IF(OR(D546="",ProjStart=""),"",MAX(ProjStart,IF(I546&lt;&gt;"",I546,0),IF(H546="",0,IFERROR(INDEX($L$6:L545,MATCH(H546,$B$6:B545,0))+1,0))))</f>
        <v/>
      </c>
      <c r="K546" s="89" t="n"/>
      <c r="L546" s="126">
        <f>IF(J546="","",J546+MAX(1,G546)+IF(K546="",0,K546)-1)</f>
        <v/>
      </c>
      <c r="M546" s="72" t="n"/>
      <c r="N546" s="109" t="n"/>
      <c r="O546" s="127">
        <f>IF(D546="","",COUNTIF($H$7:$H$1006,B546))</f>
        <v/>
      </c>
      <c r="P546" s="78">
        <f>IF(D546="","",IF(AND(H546&lt;&gt;"",H546&gt;=B546),"⚠️ Predecessor must be above",IF(M546="Done","✓ Done",IF(Q546=3,"🔴 Late",IF(M546="In progress","In progress","")))))</f>
        <v/>
      </c>
      <c r="Q546" s="79">
        <f>IF(OR(D546="",L546=""),"",IF(M546="Done",2,IF(AsOf&gt;L546,3,1)))</f>
        <v/>
      </c>
      <c r="R546" s="79">
        <f>IF(OR(E546="",F546=""),0,IF(COUNTIFS($E$7:E546,E546,$F$7:F546,F546)=1,1,0))</f>
        <v/>
      </c>
      <c r="S546" s="79">
        <f>IF(R546=1,E546&amp;"|"&amp;SUMIFS($R$7:R546,$E$7:E546,E546),"")</f>
        <v/>
      </c>
      <c r="T546" s="112">
        <f>IF(Q546="","",IF(Q546=3,L546,IF(OR(M546="Not started",M546=""),J546,"")))</f>
        <v/>
      </c>
      <c r="U546" s="79">
        <f>IF(T546="","",IF(Q546=3,1,IF(T546="","",IF(T546&lt;AsOf,1,IF(T546&lt;=AsOf+AlertDays,2,IF(T546&lt;=AsOf+2*AlertDays,3,""))))))</f>
        <v/>
      </c>
      <c r="V546" s="79">
        <f>IF(U546="","",IF(Q546=3,"Late task: "&amp;D546,IF(T546&lt;AsOf,"Should have started: ","Starts soon: ")&amp;D546)&amp;IF(F546="",""," — "&amp;F546))</f>
        <v/>
      </c>
    </row>
    <row r="547" ht="20" customHeight="1">
      <c r="B547" s="125" t="n">
        <v>541</v>
      </c>
      <c r="C547" s="72" t="n"/>
      <c r="D547" s="72" t="n"/>
      <c r="E547" s="72" t="n"/>
      <c r="F547" s="72" t="n"/>
      <c r="G547" s="89" t="n"/>
      <c r="H547" s="89" t="n"/>
      <c r="I547" s="109" t="n"/>
      <c r="J547" s="126">
        <f>IF(OR(D547="",ProjStart=""),"",MAX(ProjStart,IF(I547&lt;&gt;"",I547,0),IF(H547="",0,IFERROR(INDEX($L$6:L546,MATCH(H547,$B$6:B546,0))+1,0))))</f>
        <v/>
      </c>
      <c r="K547" s="89" t="n"/>
      <c r="L547" s="126">
        <f>IF(J547="","",J547+MAX(1,G547)+IF(K547="",0,K547)-1)</f>
        <v/>
      </c>
      <c r="M547" s="72" t="n"/>
      <c r="N547" s="109" t="n"/>
      <c r="O547" s="127">
        <f>IF(D547="","",COUNTIF($H$7:$H$1006,B547))</f>
        <v/>
      </c>
      <c r="P547" s="78">
        <f>IF(D547="","",IF(AND(H547&lt;&gt;"",H547&gt;=B547),"⚠️ Predecessor must be above",IF(M547="Done","✓ Done",IF(Q547=3,"🔴 Late",IF(M547="In progress","In progress","")))))</f>
        <v/>
      </c>
      <c r="Q547" s="79">
        <f>IF(OR(D547="",L547=""),"",IF(M547="Done",2,IF(AsOf&gt;L547,3,1)))</f>
        <v/>
      </c>
      <c r="R547" s="79">
        <f>IF(OR(E547="",F547=""),0,IF(COUNTIFS($E$7:E547,E547,$F$7:F547,F547)=1,1,0))</f>
        <v/>
      </c>
      <c r="S547" s="79">
        <f>IF(R547=1,E547&amp;"|"&amp;SUMIFS($R$7:R547,$E$7:E547,E547),"")</f>
        <v/>
      </c>
      <c r="T547" s="112">
        <f>IF(Q547="","",IF(Q547=3,L547,IF(OR(M547="Not started",M547=""),J547,"")))</f>
        <v/>
      </c>
      <c r="U547" s="79">
        <f>IF(T547="","",IF(Q547=3,1,IF(T547="","",IF(T547&lt;AsOf,1,IF(T547&lt;=AsOf+AlertDays,2,IF(T547&lt;=AsOf+2*AlertDays,3,""))))))</f>
        <v/>
      </c>
      <c r="V547" s="79">
        <f>IF(U547="","",IF(Q547=3,"Late task: "&amp;D547,IF(T547&lt;AsOf,"Should have started: ","Starts soon: ")&amp;D547)&amp;IF(F547="",""," — "&amp;F547))</f>
        <v/>
      </c>
    </row>
    <row r="548" ht="20" customHeight="1">
      <c r="B548" s="125" t="n">
        <v>542</v>
      </c>
      <c r="C548" s="72" t="n"/>
      <c r="D548" s="72" t="n"/>
      <c r="E548" s="72" t="n"/>
      <c r="F548" s="72" t="n"/>
      <c r="G548" s="89" t="n"/>
      <c r="H548" s="89" t="n"/>
      <c r="I548" s="109" t="n"/>
      <c r="J548" s="126">
        <f>IF(OR(D548="",ProjStart=""),"",MAX(ProjStart,IF(I548&lt;&gt;"",I548,0),IF(H548="",0,IFERROR(INDEX($L$6:L547,MATCH(H548,$B$6:B547,0))+1,0))))</f>
        <v/>
      </c>
      <c r="K548" s="89" t="n"/>
      <c r="L548" s="126">
        <f>IF(J548="","",J548+MAX(1,G548)+IF(K548="",0,K548)-1)</f>
        <v/>
      </c>
      <c r="M548" s="72" t="n"/>
      <c r="N548" s="109" t="n"/>
      <c r="O548" s="127">
        <f>IF(D548="","",COUNTIF($H$7:$H$1006,B548))</f>
        <v/>
      </c>
      <c r="P548" s="78">
        <f>IF(D548="","",IF(AND(H548&lt;&gt;"",H548&gt;=B548),"⚠️ Predecessor must be above",IF(M548="Done","✓ Done",IF(Q548=3,"🔴 Late",IF(M548="In progress","In progress","")))))</f>
        <v/>
      </c>
      <c r="Q548" s="79">
        <f>IF(OR(D548="",L548=""),"",IF(M548="Done",2,IF(AsOf&gt;L548,3,1)))</f>
        <v/>
      </c>
      <c r="R548" s="79">
        <f>IF(OR(E548="",F548=""),0,IF(COUNTIFS($E$7:E548,E548,$F$7:F548,F548)=1,1,0))</f>
        <v/>
      </c>
      <c r="S548" s="79">
        <f>IF(R548=1,E548&amp;"|"&amp;SUMIFS($R$7:R548,$E$7:E548,E548),"")</f>
        <v/>
      </c>
      <c r="T548" s="112">
        <f>IF(Q548="","",IF(Q548=3,L548,IF(OR(M548="Not started",M548=""),J548,"")))</f>
        <v/>
      </c>
      <c r="U548" s="79">
        <f>IF(T548="","",IF(Q548=3,1,IF(T548="","",IF(T548&lt;AsOf,1,IF(T548&lt;=AsOf+AlertDays,2,IF(T548&lt;=AsOf+2*AlertDays,3,""))))))</f>
        <v/>
      </c>
      <c r="V548" s="79">
        <f>IF(U548="","",IF(Q548=3,"Late task: "&amp;D548,IF(T548&lt;AsOf,"Should have started: ","Starts soon: ")&amp;D548)&amp;IF(F548="",""," — "&amp;F548))</f>
        <v/>
      </c>
    </row>
    <row r="549" ht="20" customHeight="1">
      <c r="B549" s="125" t="n">
        <v>543</v>
      </c>
      <c r="C549" s="72" t="n"/>
      <c r="D549" s="72" t="n"/>
      <c r="E549" s="72" t="n"/>
      <c r="F549" s="72" t="n"/>
      <c r="G549" s="89" t="n"/>
      <c r="H549" s="89" t="n"/>
      <c r="I549" s="109" t="n"/>
      <c r="J549" s="126">
        <f>IF(OR(D549="",ProjStart=""),"",MAX(ProjStart,IF(I549&lt;&gt;"",I549,0),IF(H549="",0,IFERROR(INDEX($L$6:L548,MATCH(H549,$B$6:B548,0))+1,0))))</f>
        <v/>
      </c>
      <c r="K549" s="89" t="n"/>
      <c r="L549" s="126">
        <f>IF(J549="","",J549+MAX(1,G549)+IF(K549="",0,K549)-1)</f>
        <v/>
      </c>
      <c r="M549" s="72" t="n"/>
      <c r="N549" s="109" t="n"/>
      <c r="O549" s="127">
        <f>IF(D549="","",COUNTIF($H$7:$H$1006,B549))</f>
        <v/>
      </c>
      <c r="P549" s="78">
        <f>IF(D549="","",IF(AND(H549&lt;&gt;"",H549&gt;=B549),"⚠️ Predecessor must be above",IF(M549="Done","✓ Done",IF(Q549=3,"🔴 Late",IF(M549="In progress","In progress","")))))</f>
        <v/>
      </c>
      <c r="Q549" s="79">
        <f>IF(OR(D549="",L549=""),"",IF(M549="Done",2,IF(AsOf&gt;L549,3,1)))</f>
        <v/>
      </c>
      <c r="R549" s="79">
        <f>IF(OR(E549="",F549=""),0,IF(COUNTIFS($E$7:E549,E549,$F$7:F549,F549)=1,1,0))</f>
        <v/>
      </c>
      <c r="S549" s="79">
        <f>IF(R549=1,E549&amp;"|"&amp;SUMIFS($R$7:R549,$E$7:E549,E549),"")</f>
        <v/>
      </c>
      <c r="T549" s="112">
        <f>IF(Q549="","",IF(Q549=3,L549,IF(OR(M549="Not started",M549=""),J549,"")))</f>
        <v/>
      </c>
      <c r="U549" s="79">
        <f>IF(T549="","",IF(Q549=3,1,IF(T549="","",IF(T549&lt;AsOf,1,IF(T549&lt;=AsOf+AlertDays,2,IF(T549&lt;=AsOf+2*AlertDays,3,""))))))</f>
        <v/>
      </c>
      <c r="V549" s="79">
        <f>IF(U549="","",IF(Q549=3,"Late task: "&amp;D549,IF(T549&lt;AsOf,"Should have started: ","Starts soon: ")&amp;D549)&amp;IF(F549="",""," — "&amp;F549))</f>
        <v/>
      </c>
    </row>
    <row r="550" ht="20" customHeight="1">
      <c r="B550" s="125" t="n">
        <v>544</v>
      </c>
      <c r="C550" s="72" t="n"/>
      <c r="D550" s="72" t="n"/>
      <c r="E550" s="72" t="n"/>
      <c r="F550" s="72" t="n"/>
      <c r="G550" s="89" t="n"/>
      <c r="H550" s="89" t="n"/>
      <c r="I550" s="109" t="n"/>
      <c r="J550" s="126">
        <f>IF(OR(D550="",ProjStart=""),"",MAX(ProjStart,IF(I550&lt;&gt;"",I550,0),IF(H550="",0,IFERROR(INDEX($L$6:L549,MATCH(H550,$B$6:B549,0))+1,0))))</f>
        <v/>
      </c>
      <c r="K550" s="89" t="n"/>
      <c r="L550" s="126">
        <f>IF(J550="","",J550+MAX(1,G550)+IF(K550="",0,K550)-1)</f>
        <v/>
      </c>
      <c r="M550" s="72" t="n"/>
      <c r="N550" s="109" t="n"/>
      <c r="O550" s="127">
        <f>IF(D550="","",COUNTIF($H$7:$H$1006,B550))</f>
        <v/>
      </c>
      <c r="P550" s="78">
        <f>IF(D550="","",IF(AND(H550&lt;&gt;"",H550&gt;=B550),"⚠️ Predecessor must be above",IF(M550="Done","✓ Done",IF(Q550=3,"🔴 Late",IF(M550="In progress","In progress","")))))</f>
        <v/>
      </c>
      <c r="Q550" s="79">
        <f>IF(OR(D550="",L550=""),"",IF(M550="Done",2,IF(AsOf&gt;L550,3,1)))</f>
        <v/>
      </c>
      <c r="R550" s="79">
        <f>IF(OR(E550="",F550=""),0,IF(COUNTIFS($E$7:E550,E550,$F$7:F550,F550)=1,1,0))</f>
        <v/>
      </c>
      <c r="S550" s="79">
        <f>IF(R550=1,E550&amp;"|"&amp;SUMIFS($R$7:R550,$E$7:E550,E550),"")</f>
        <v/>
      </c>
      <c r="T550" s="112">
        <f>IF(Q550="","",IF(Q550=3,L550,IF(OR(M550="Not started",M550=""),J550,"")))</f>
        <v/>
      </c>
      <c r="U550" s="79">
        <f>IF(T550="","",IF(Q550=3,1,IF(T550="","",IF(T550&lt;AsOf,1,IF(T550&lt;=AsOf+AlertDays,2,IF(T550&lt;=AsOf+2*AlertDays,3,""))))))</f>
        <v/>
      </c>
      <c r="V550" s="79">
        <f>IF(U550="","",IF(Q550=3,"Late task: "&amp;D550,IF(T550&lt;AsOf,"Should have started: ","Starts soon: ")&amp;D550)&amp;IF(F550="",""," — "&amp;F550))</f>
        <v/>
      </c>
    </row>
    <row r="551" ht="20" customHeight="1">
      <c r="B551" s="125" t="n">
        <v>545</v>
      </c>
      <c r="C551" s="72" t="n"/>
      <c r="D551" s="72" t="n"/>
      <c r="E551" s="72" t="n"/>
      <c r="F551" s="72" t="n"/>
      <c r="G551" s="89" t="n"/>
      <c r="H551" s="89" t="n"/>
      <c r="I551" s="109" t="n"/>
      <c r="J551" s="126">
        <f>IF(OR(D551="",ProjStart=""),"",MAX(ProjStart,IF(I551&lt;&gt;"",I551,0),IF(H551="",0,IFERROR(INDEX($L$6:L550,MATCH(H551,$B$6:B550,0))+1,0))))</f>
        <v/>
      </c>
      <c r="K551" s="89" t="n"/>
      <c r="L551" s="126">
        <f>IF(J551="","",J551+MAX(1,G551)+IF(K551="",0,K551)-1)</f>
        <v/>
      </c>
      <c r="M551" s="72" t="n"/>
      <c r="N551" s="109" t="n"/>
      <c r="O551" s="127">
        <f>IF(D551="","",COUNTIF($H$7:$H$1006,B551))</f>
        <v/>
      </c>
      <c r="P551" s="78">
        <f>IF(D551="","",IF(AND(H551&lt;&gt;"",H551&gt;=B551),"⚠️ Predecessor must be above",IF(M551="Done","✓ Done",IF(Q551=3,"🔴 Late",IF(M551="In progress","In progress","")))))</f>
        <v/>
      </c>
      <c r="Q551" s="79">
        <f>IF(OR(D551="",L551=""),"",IF(M551="Done",2,IF(AsOf&gt;L551,3,1)))</f>
        <v/>
      </c>
      <c r="R551" s="79">
        <f>IF(OR(E551="",F551=""),0,IF(COUNTIFS($E$7:E551,E551,$F$7:F551,F551)=1,1,0))</f>
        <v/>
      </c>
      <c r="S551" s="79">
        <f>IF(R551=1,E551&amp;"|"&amp;SUMIFS($R$7:R551,$E$7:E551,E551),"")</f>
        <v/>
      </c>
      <c r="T551" s="112">
        <f>IF(Q551="","",IF(Q551=3,L551,IF(OR(M551="Not started",M551=""),J551,"")))</f>
        <v/>
      </c>
      <c r="U551" s="79">
        <f>IF(T551="","",IF(Q551=3,1,IF(T551="","",IF(T551&lt;AsOf,1,IF(T551&lt;=AsOf+AlertDays,2,IF(T551&lt;=AsOf+2*AlertDays,3,""))))))</f>
        <v/>
      </c>
      <c r="V551" s="79">
        <f>IF(U551="","",IF(Q551=3,"Late task: "&amp;D551,IF(T551&lt;AsOf,"Should have started: ","Starts soon: ")&amp;D551)&amp;IF(F551="",""," — "&amp;F551))</f>
        <v/>
      </c>
    </row>
    <row r="552" ht="20" customHeight="1">
      <c r="B552" s="125" t="n">
        <v>546</v>
      </c>
      <c r="C552" s="72" t="n"/>
      <c r="D552" s="72" t="n"/>
      <c r="E552" s="72" t="n"/>
      <c r="F552" s="72" t="n"/>
      <c r="G552" s="89" t="n"/>
      <c r="H552" s="89" t="n"/>
      <c r="I552" s="109" t="n"/>
      <c r="J552" s="126">
        <f>IF(OR(D552="",ProjStart=""),"",MAX(ProjStart,IF(I552&lt;&gt;"",I552,0),IF(H552="",0,IFERROR(INDEX($L$6:L551,MATCH(H552,$B$6:B551,0))+1,0))))</f>
        <v/>
      </c>
      <c r="K552" s="89" t="n"/>
      <c r="L552" s="126">
        <f>IF(J552="","",J552+MAX(1,G552)+IF(K552="",0,K552)-1)</f>
        <v/>
      </c>
      <c r="M552" s="72" t="n"/>
      <c r="N552" s="109" t="n"/>
      <c r="O552" s="127">
        <f>IF(D552="","",COUNTIF($H$7:$H$1006,B552))</f>
        <v/>
      </c>
      <c r="P552" s="78">
        <f>IF(D552="","",IF(AND(H552&lt;&gt;"",H552&gt;=B552),"⚠️ Predecessor must be above",IF(M552="Done","✓ Done",IF(Q552=3,"🔴 Late",IF(M552="In progress","In progress","")))))</f>
        <v/>
      </c>
      <c r="Q552" s="79">
        <f>IF(OR(D552="",L552=""),"",IF(M552="Done",2,IF(AsOf&gt;L552,3,1)))</f>
        <v/>
      </c>
      <c r="R552" s="79">
        <f>IF(OR(E552="",F552=""),0,IF(COUNTIFS($E$7:E552,E552,$F$7:F552,F552)=1,1,0))</f>
        <v/>
      </c>
      <c r="S552" s="79">
        <f>IF(R552=1,E552&amp;"|"&amp;SUMIFS($R$7:R552,$E$7:E552,E552),"")</f>
        <v/>
      </c>
      <c r="T552" s="112">
        <f>IF(Q552="","",IF(Q552=3,L552,IF(OR(M552="Not started",M552=""),J552,"")))</f>
        <v/>
      </c>
      <c r="U552" s="79">
        <f>IF(T552="","",IF(Q552=3,1,IF(T552="","",IF(T552&lt;AsOf,1,IF(T552&lt;=AsOf+AlertDays,2,IF(T552&lt;=AsOf+2*AlertDays,3,""))))))</f>
        <v/>
      </c>
      <c r="V552" s="79">
        <f>IF(U552="","",IF(Q552=3,"Late task: "&amp;D552,IF(T552&lt;AsOf,"Should have started: ","Starts soon: ")&amp;D552)&amp;IF(F552="",""," — "&amp;F552))</f>
        <v/>
      </c>
    </row>
    <row r="553" ht="20" customHeight="1">
      <c r="B553" s="125" t="n">
        <v>547</v>
      </c>
      <c r="C553" s="72" t="n"/>
      <c r="D553" s="72" t="n"/>
      <c r="E553" s="72" t="n"/>
      <c r="F553" s="72" t="n"/>
      <c r="G553" s="89" t="n"/>
      <c r="H553" s="89" t="n"/>
      <c r="I553" s="109" t="n"/>
      <c r="J553" s="126">
        <f>IF(OR(D553="",ProjStart=""),"",MAX(ProjStart,IF(I553&lt;&gt;"",I553,0),IF(H553="",0,IFERROR(INDEX($L$6:L552,MATCH(H553,$B$6:B552,0))+1,0))))</f>
        <v/>
      </c>
      <c r="K553" s="89" t="n"/>
      <c r="L553" s="126">
        <f>IF(J553="","",J553+MAX(1,G553)+IF(K553="",0,K553)-1)</f>
        <v/>
      </c>
      <c r="M553" s="72" t="n"/>
      <c r="N553" s="109" t="n"/>
      <c r="O553" s="127">
        <f>IF(D553="","",COUNTIF($H$7:$H$1006,B553))</f>
        <v/>
      </c>
      <c r="P553" s="78">
        <f>IF(D553="","",IF(AND(H553&lt;&gt;"",H553&gt;=B553),"⚠️ Predecessor must be above",IF(M553="Done","✓ Done",IF(Q553=3,"🔴 Late",IF(M553="In progress","In progress","")))))</f>
        <v/>
      </c>
      <c r="Q553" s="79">
        <f>IF(OR(D553="",L553=""),"",IF(M553="Done",2,IF(AsOf&gt;L553,3,1)))</f>
        <v/>
      </c>
      <c r="R553" s="79">
        <f>IF(OR(E553="",F553=""),0,IF(COUNTIFS($E$7:E553,E553,$F$7:F553,F553)=1,1,0))</f>
        <v/>
      </c>
      <c r="S553" s="79">
        <f>IF(R553=1,E553&amp;"|"&amp;SUMIFS($R$7:R553,$E$7:E553,E553),"")</f>
        <v/>
      </c>
      <c r="T553" s="112">
        <f>IF(Q553="","",IF(Q553=3,L553,IF(OR(M553="Not started",M553=""),J553,"")))</f>
        <v/>
      </c>
      <c r="U553" s="79">
        <f>IF(T553="","",IF(Q553=3,1,IF(T553="","",IF(T553&lt;AsOf,1,IF(T553&lt;=AsOf+AlertDays,2,IF(T553&lt;=AsOf+2*AlertDays,3,""))))))</f>
        <v/>
      </c>
      <c r="V553" s="79">
        <f>IF(U553="","",IF(Q553=3,"Late task: "&amp;D553,IF(T553&lt;AsOf,"Should have started: ","Starts soon: ")&amp;D553)&amp;IF(F553="",""," — "&amp;F553))</f>
        <v/>
      </c>
    </row>
    <row r="554" ht="20" customHeight="1">
      <c r="B554" s="125" t="n">
        <v>548</v>
      </c>
      <c r="C554" s="72" t="n"/>
      <c r="D554" s="72" t="n"/>
      <c r="E554" s="72" t="n"/>
      <c r="F554" s="72" t="n"/>
      <c r="G554" s="89" t="n"/>
      <c r="H554" s="89" t="n"/>
      <c r="I554" s="109" t="n"/>
      <c r="J554" s="126">
        <f>IF(OR(D554="",ProjStart=""),"",MAX(ProjStart,IF(I554&lt;&gt;"",I554,0),IF(H554="",0,IFERROR(INDEX($L$6:L553,MATCH(H554,$B$6:B553,0))+1,0))))</f>
        <v/>
      </c>
      <c r="K554" s="89" t="n"/>
      <c r="L554" s="126">
        <f>IF(J554="","",J554+MAX(1,G554)+IF(K554="",0,K554)-1)</f>
        <v/>
      </c>
      <c r="M554" s="72" t="n"/>
      <c r="N554" s="109" t="n"/>
      <c r="O554" s="127">
        <f>IF(D554="","",COUNTIF($H$7:$H$1006,B554))</f>
        <v/>
      </c>
      <c r="P554" s="78">
        <f>IF(D554="","",IF(AND(H554&lt;&gt;"",H554&gt;=B554),"⚠️ Predecessor must be above",IF(M554="Done","✓ Done",IF(Q554=3,"🔴 Late",IF(M554="In progress","In progress","")))))</f>
        <v/>
      </c>
      <c r="Q554" s="79">
        <f>IF(OR(D554="",L554=""),"",IF(M554="Done",2,IF(AsOf&gt;L554,3,1)))</f>
        <v/>
      </c>
      <c r="R554" s="79">
        <f>IF(OR(E554="",F554=""),0,IF(COUNTIFS($E$7:E554,E554,$F$7:F554,F554)=1,1,0))</f>
        <v/>
      </c>
      <c r="S554" s="79">
        <f>IF(R554=1,E554&amp;"|"&amp;SUMIFS($R$7:R554,$E$7:E554,E554),"")</f>
        <v/>
      </c>
      <c r="T554" s="112">
        <f>IF(Q554="","",IF(Q554=3,L554,IF(OR(M554="Not started",M554=""),J554,"")))</f>
        <v/>
      </c>
      <c r="U554" s="79">
        <f>IF(T554="","",IF(Q554=3,1,IF(T554="","",IF(T554&lt;AsOf,1,IF(T554&lt;=AsOf+AlertDays,2,IF(T554&lt;=AsOf+2*AlertDays,3,""))))))</f>
        <v/>
      </c>
      <c r="V554" s="79">
        <f>IF(U554="","",IF(Q554=3,"Late task: "&amp;D554,IF(T554&lt;AsOf,"Should have started: ","Starts soon: ")&amp;D554)&amp;IF(F554="",""," — "&amp;F554))</f>
        <v/>
      </c>
    </row>
    <row r="555" ht="20" customHeight="1">
      <c r="B555" s="125" t="n">
        <v>549</v>
      </c>
      <c r="C555" s="72" t="n"/>
      <c r="D555" s="72" t="n"/>
      <c r="E555" s="72" t="n"/>
      <c r="F555" s="72" t="n"/>
      <c r="G555" s="89" t="n"/>
      <c r="H555" s="89" t="n"/>
      <c r="I555" s="109" t="n"/>
      <c r="J555" s="126">
        <f>IF(OR(D555="",ProjStart=""),"",MAX(ProjStart,IF(I555&lt;&gt;"",I555,0),IF(H555="",0,IFERROR(INDEX($L$6:L554,MATCH(H555,$B$6:B554,0))+1,0))))</f>
        <v/>
      </c>
      <c r="K555" s="89" t="n"/>
      <c r="L555" s="126">
        <f>IF(J555="","",J555+MAX(1,G555)+IF(K555="",0,K555)-1)</f>
        <v/>
      </c>
      <c r="M555" s="72" t="n"/>
      <c r="N555" s="109" t="n"/>
      <c r="O555" s="127">
        <f>IF(D555="","",COUNTIF($H$7:$H$1006,B555))</f>
        <v/>
      </c>
      <c r="P555" s="78">
        <f>IF(D555="","",IF(AND(H555&lt;&gt;"",H555&gt;=B555),"⚠️ Predecessor must be above",IF(M555="Done","✓ Done",IF(Q555=3,"🔴 Late",IF(M555="In progress","In progress","")))))</f>
        <v/>
      </c>
      <c r="Q555" s="79">
        <f>IF(OR(D555="",L555=""),"",IF(M555="Done",2,IF(AsOf&gt;L555,3,1)))</f>
        <v/>
      </c>
      <c r="R555" s="79">
        <f>IF(OR(E555="",F555=""),0,IF(COUNTIFS($E$7:E555,E555,$F$7:F555,F555)=1,1,0))</f>
        <v/>
      </c>
      <c r="S555" s="79">
        <f>IF(R555=1,E555&amp;"|"&amp;SUMIFS($R$7:R555,$E$7:E555,E555),"")</f>
        <v/>
      </c>
      <c r="T555" s="112">
        <f>IF(Q555="","",IF(Q555=3,L555,IF(OR(M555="Not started",M555=""),J555,"")))</f>
        <v/>
      </c>
      <c r="U555" s="79">
        <f>IF(T555="","",IF(Q555=3,1,IF(T555="","",IF(T555&lt;AsOf,1,IF(T555&lt;=AsOf+AlertDays,2,IF(T555&lt;=AsOf+2*AlertDays,3,""))))))</f>
        <v/>
      </c>
      <c r="V555" s="79">
        <f>IF(U555="","",IF(Q555=3,"Late task: "&amp;D555,IF(T555&lt;AsOf,"Should have started: ","Starts soon: ")&amp;D555)&amp;IF(F555="",""," — "&amp;F555))</f>
        <v/>
      </c>
    </row>
    <row r="556" ht="20" customHeight="1">
      <c r="B556" s="125" t="n">
        <v>550</v>
      </c>
      <c r="C556" s="72" t="n"/>
      <c r="D556" s="72" t="n"/>
      <c r="E556" s="72" t="n"/>
      <c r="F556" s="72" t="n"/>
      <c r="G556" s="89" t="n"/>
      <c r="H556" s="89" t="n"/>
      <c r="I556" s="109" t="n"/>
      <c r="J556" s="126">
        <f>IF(OR(D556="",ProjStart=""),"",MAX(ProjStart,IF(I556&lt;&gt;"",I556,0),IF(H556="",0,IFERROR(INDEX($L$6:L555,MATCH(H556,$B$6:B555,0))+1,0))))</f>
        <v/>
      </c>
      <c r="K556" s="89" t="n"/>
      <c r="L556" s="126">
        <f>IF(J556="","",J556+MAX(1,G556)+IF(K556="",0,K556)-1)</f>
        <v/>
      </c>
      <c r="M556" s="72" t="n"/>
      <c r="N556" s="109" t="n"/>
      <c r="O556" s="127">
        <f>IF(D556="","",COUNTIF($H$7:$H$1006,B556))</f>
        <v/>
      </c>
      <c r="P556" s="78">
        <f>IF(D556="","",IF(AND(H556&lt;&gt;"",H556&gt;=B556),"⚠️ Predecessor must be above",IF(M556="Done","✓ Done",IF(Q556=3,"🔴 Late",IF(M556="In progress","In progress","")))))</f>
        <v/>
      </c>
      <c r="Q556" s="79">
        <f>IF(OR(D556="",L556=""),"",IF(M556="Done",2,IF(AsOf&gt;L556,3,1)))</f>
        <v/>
      </c>
      <c r="R556" s="79">
        <f>IF(OR(E556="",F556=""),0,IF(COUNTIFS($E$7:E556,E556,$F$7:F556,F556)=1,1,0))</f>
        <v/>
      </c>
      <c r="S556" s="79">
        <f>IF(R556=1,E556&amp;"|"&amp;SUMIFS($R$7:R556,$E$7:E556,E556),"")</f>
        <v/>
      </c>
      <c r="T556" s="112">
        <f>IF(Q556="","",IF(Q556=3,L556,IF(OR(M556="Not started",M556=""),J556,"")))</f>
        <v/>
      </c>
      <c r="U556" s="79">
        <f>IF(T556="","",IF(Q556=3,1,IF(T556="","",IF(T556&lt;AsOf,1,IF(T556&lt;=AsOf+AlertDays,2,IF(T556&lt;=AsOf+2*AlertDays,3,""))))))</f>
        <v/>
      </c>
      <c r="V556" s="79">
        <f>IF(U556="","",IF(Q556=3,"Late task: "&amp;D556,IF(T556&lt;AsOf,"Should have started: ","Starts soon: ")&amp;D556)&amp;IF(F556="",""," — "&amp;F556))</f>
        <v/>
      </c>
    </row>
    <row r="557" ht="20" customHeight="1">
      <c r="B557" s="125" t="n">
        <v>551</v>
      </c>
      <c r="C557" s="72" t="n"/>
      <c r="D557" s="72" t="n"/>
      <c r="E557" s="72" t="n"/>
      <c r="F557" s="72" t="n"/>
      <c r="G557" s="89" t="n"/>
      <c r="H557" s="89" t="n"/>
      <c r="I557" s="109" t="n"/>
      <c r="J557" s="126">
        <f>IF(OR(D557="",ProjStart=""),"",MAX(ProjStart,IF(I557&lt;&gt;"",I557,0),IF(H557="",0,IFERROR(INDEX($L$6:L556,MATCH(H557,$B$6:B556,0))+1,0))))</f>
        <v/>
      </c>
      <c r="K557" s="89" t="n"/>
      <c r="L557" s="126">
        <f>IF(J557="","",J557+MAX(1,G557)+IF(K557="",0,K557)-1)</f>
        <v/>
      </c>
      <c r="M557" s="72" t="n"/>
      <c r="N557" s="109" t="n"/>
      <c r="O557" s="127">
        <f>IF(D557="","",COUNTIF($H$7:$H$1006,B557))</f>
        <v/>
      </c>
      <c r="P557" s="78">
        <f>IF(D557="","",IF(AND(H557&lt;&gt;"",H557&gt;=B557),"⚠️ Predecessor must be above",IF(M557="Done","✓ Done",IF(Q557=3,"🔴 Late",IF(M557="In progress","In progress","")))))</f>
        <v/>
      </c>
      <c r="Q557" s="79">
        <f>IF(OR(D557="",L557=""),"",IF(M557="Done",2,IF(AsOf&gt;L557,3,1)))</f>
        <v/>
      </c>
      <c r="R557" s="79">
        <f>IF(OR(E557="",F557=""),0,IF(COUNTIFS($E$7:E557,E557,$F$7:F557,F557)=1,1,0))</f>
        <v/>
      </c>
      <c r="S557" s="79">
        <f>IF(R557=1,E557&amp;"|"&amp;SUMIFS($R$7:R557,$E$7:E557,E557),"")</f>
        <v/>
      </c>
      <c r="T557" s="112">
        <f>IF(Q557="","",IF(Q557=3,L557,IF(OR(M557="Not started",M557=""),J557,"")))</f>
        <v/>
      </c>
      <c r="U557" s="79">
        <f>IF(T557="","",IF(Q557=3,1,IF(T557="","",IF(T557&lt;AsOf,1,IF(T557&lt;=AsOf+AlertDays,2,IF(T557&lt;=AsOf+2*AlertDays,3,""))))))</f>
        <v/>
      </c>
      <c r="V557" s="79">
        <f>IF(U557="","",IF(Q557=3,"Late task: "&amp;D557,IF(T557&lt;AsOf,"Should have started: ","Starts soon: ")&amp;D557)&amp;IF(F557="",""," — "&amp;F557))</f>
        <v/>
      </c>
    </row>
    <row r="558" ht="20" customHeight="1">
      <c r="B558" s="125" t="n">
        <v>552</v>
      </c>
      <c r="C558" s="72" t="n"/>
      <c r="D558" s="72" t="n"/>
      <c r="E558" s="72" t="n"/>
      <c r="F558" s="72" t="n"/>
      <c r="G558" s="89" t="n"/>
      <c r="H558" s="89" t="n"/>
      <c r="I558" s="109" t="n"/>
      <c r="J558" s="126">
        <f>IF(OR(D558="",ProjStart=""),"",MAX(ProjStart,IF(I558&lt;&gt;"",I558,0),IF(H558="",0,IFERROR(INDEX($L$6:L557,MATCH(H558,$B$6:B557,0))+1,0))))</f>
        <v/>
      </c>
      <c r="K558" s="89" t="n"/>
      <c r="L558" s="126">
        <f>IF(J558="","",J558+MAX(1,G558)+IF(K558="",0,K558)-1)</f>
        <v/>
      </c>
      <c r="M558" s="72" t="n"/>
      <c r="N558" s="109" t="n"/>
      <c r="O558" s="127">
        <f>IF(D558="","",COUNTIF($H$7:$H$1006,B558))</f>
        <v/>
      </c>
      <c r="P558" s="78">
        <f>IF(D558="","",IF(AND(H558&lt;&gt;"",H558&gt;=B558),"⚠️ Predecessor must be above",IF(M558="Done","✓ Done",IF(Q558=3,"🔴 Late",IF(M558="In progress","In progress","")))))</f>
        <v/>
      </c>
      <c r="Q558" s="79">
        <f>IF(OR(D558="",L558=""),"",IF(M558="Done",2,IF(AsOf&gt;L558,3,1)))</f>
        <v/>
      </c>
      <c r="R558" s="79">
        <f>IF(OR(E558="",F558=""),0,IF(COUNTIFS($E$7:E558,E558,$F$7:F558,F558)=1,1,0))</f>
        <v/>
      </c>
      <c r="S558" s="79">
        <f>IF(R558=1,E558&amp;"|"&amp;SUMIFS($R$7:R558,$E$7:E558,E558),"")</f>
        <v/>
      </c>
      <c r="T558" s="112">
        <f>IF(Q558="","",IF(Q558=3,L558,IF(OR(M558="Not started",M558=""),J558,"")))</f>
        <v/>
      </c>
      <c r="U558" s="79">
        <f>IF(T558="","",IF(Q558=3,1,IF(T558="","",IF(T558&lt;AsOf,1,IF(T558&lt;=AsOf+AlertDays,2,IF(T558&lt;=AsOf+2*AlertDays,3,""))))))</f>
        <v/>
      </c>
      <c r="V558" s="79">
        <f>IF(U558="","",IF(Q558=3,"Late task: "&amp;D558,IF(T558&lt;AsOf,"Should have started: ","Starts soon: ")&amp;D558)&amp;IF(F558="",""," — "&amp;F558))</f>
        <v/>
      </c>
    </row>
    <row r="559" ht="20" customHeight="1">
      <c r="B559" s="125" t="n">
        <v>553</v>
      </c>
      <c r="C559" s="72" t="n"/>
      <c r="D559" s="72" t="n"/>
      <c r="E559" s="72" t="n"/>
      <c r="F559" s="72" t="n"/>
      <c r="G559" s="89" t="n"/>
      <c r="H559" s="89" t="n"/>
      <c r="I559" s="109" t="n"/>
      <c r="J559" s="126">
        <f>IF(OR(D559="",ProjStart=""),"",MAX(ProjStart,IF(I559&lt;&gt;"",I559,0),IF(H559="",0,IFERROR(INDEX($L$6:L558,MATCH(H559,$B$6:B558,0))+1,0))))</f>
        <v/>
      </c>
      <c r="K559" s="89" t="n"/>
      <c r="L559" s="126">
        <f>IF(J559="","",J559+MAX(1,G559)+IF(K559="",0,K559)-1)</f>
        <v/>
      </c>
      <c r="M559" s="72" t="n"/>
      <c r="N559" s="109" t="n"/>
      <c r="O559" s="127">
        <f>IF(D559="","",COUNTIF($H$7:$H$1006,B559))</f>
        <v/>
      </c>
      <c r="P559" s="78">
        <f>IF(D559="","",IF(AND(H559&lt;&gt;"",H559&gt;=B559),"⚠️ Predecessor must be above",IF(M559="Done","✓ Done",IF(Q559=3,"🔴 Late",IF(M559="In progress","In progress","")))))</f>
        <v/>
      </c>
      <c r="Q559" s="79">
        <f>IF(OR(D559="",L559=""),"",IF(M559="Done",2,IF(AsOf&gt;L559,3,1)))</f>
        <v/>
      </c>
      <c r="R559" s="79">
        <f>IF(OR(E559="",F559=""),0,IF(COUNTIFS($E$7:E559,E559,$F$7:F559,F559)=1,1,0))</f>
        <v/>
      </c>
      <c r="S559" s="79">
        <f>IF(R559=1,E559&amp;"|"&amp;SUMIFS($R$7:R559,$E$7:E559,E559),"")</f>
        <v/>
      </c>
      <c r="T559" s="112">
        <f>IF(Q559="","",IF(Q559=3,L559,IF(OR(M559="Not started",M559=""),J559,"")))</f>
        <v/>
      </c>
      <c r="U559" s="79">
        <f>IF(T559="","",IF(Q559=3,1,IF(T559="","",IF(T559&lt;AsOf,1,IF(T559&lt;=AsOf+AlertDays,2,IF(T559&lt;=AsOf+2*AlertDays,3,""))))))</f>
        <v/>
      </c>
      <c r="V559" s="79">
        <f>IF(U559="","",IF(Q559=3,"Late task: "&amp;D559,IF(T559&lt;AsOf,"Should have started: ","Starts soon: ")&amp;D559)&amp;IF(F559="",""," — "&amp;F559))</f>
        <v/>
      </c>
    </row>
    <row r="560" ht="20" customHeight="1">
      <c r="B560" s="125" t="n">
        <v>554</v>
      </c>
      <c r="C560" s="72" t="n"/>
      <c r="D560" s="72" t="n"/>
      <c r="E560" s="72" t="n"/>
      <c r="F560" s="72" t="n"/>
      <c r="G560" s="89" t="n"/>
      <c r="H560" s="89" t="n"/>
      <c r="I560" s="109" t="n"/>
      <c r="J560" s="126">
        <f>IF(OR(D560="",ProjStart=""),"",MAX(ProjStart,IF(I560&lt;&gt;"",I560,0),IF(H560="",0,IFERROR(INDEX($L$6:L559,MATCH(H560,$B$6:B559,0))+1,0))))</f>
        <v/>
      </c>
      <c r="K560" s="89" t="n"/>
      <c r="L560" s="126">
        <f>IF(J560="","",J560+MAX(1,G560)+IF(K560="",0,K560)-1)</f>
        <v/>
      </c>
      <c r="M560" s="72" t="n"/>
      <c r="N560" s="109" t="n"/>
      <c r="O560" s="127">
        <f>IF(D560="","",COUNTIF($H$7:$H$1006,B560))</f>
        <v/>
      </c>
      <c r="P560" s="78">
        <f>IF(D560="","",IF(AND(H560&lt;&gt;"",H560&gt;=B560),"⚠️ Predecessor must be above",IF(M560="Done","✓ Done",IF(Q560=3,"🔴 Late",IF(M560="In progress","In progress","")))))</f>
        <v/>
      </c>
      <c r="Q560" s="79">
        <f>IF(OR(D560="",L560=""),"",IF(M560="Done",2,IF(AsOf&gt;L560,3,1)))</f>
        <v/>
      </c>
      <c r="R560" s="79">
        <f>IF(OR(E560="",F560=""),0,IF(COUNTIFS($E$7:E560,E560,$F$7:F560,F560)=1,1,0))</f>
        <v/>
      </c>
      <c r="S560" s="79">
        <f>IF(R560=1,E560&amp;"|"&amp;SUMIFS($R$7:R560,$E$7:E560,E560),"")</f>
        <v/>
      </c>
      <c r="T560" s="112">
        <f>IF(Q560="","",IF(Q560=3,L560,IF(OR(M560="Not started",M560=""),J560,"")))</f>
        <v/>
      </c>
      <c r="U560" s="79">
        <f>IF(T560="","",IF(Q560=3,1,IF(T560="","",IF(T560&lt;AsOf,1,IF(T560&lt;=AsOf+AlertDays,2,IF(T560&lt;=AsOf+2*AlertDays,3,""))))))</f>
        <v/>
      </c>
      <c r="V560" s="79">
        <f>IF(U560="","",IF(Q560=3,"Late task: "&amp;D560,IF(T560&lt;AsOf,"Should have started: ","Starts soon: ")&amp;D560)&amp;IF(F560="",""," — "&amp;F560))</f>
        <v/>
      </c>
    </row>
    <row r="561" ht="20" customHeight="1">
      <c r="B561" s="125" t="n">
        <v>555</v>
      </c>
      <c r="C561" s="72" t="n"/>
      <c r="D561" s="72" t="n"/>
      <c r="E561" s="72" t="n"/>
      <c r="F561" s="72" t="n"/>
      <c r="G561" s="89" t="n"/>
      <c r="H561" s="89" t="n"/>
      <c r="I561" s="109" t="n"/>
      <c r="J561" s="126">
        <f>IF(OR(D561="",ProjStart=""),"",MAX(ProjStart,IF(I561&lt;&gt;"",I561,0),IF(H561="",0,IFERROR(INDEX($L$6:L560,MATCH(H561,$B$6:B560,0))+1,0))))</f>
        <v/>
      </c>
      <c r="K561" s="89" t="n"/>
      <c r="L561" s="126">
        <f>IF(J561="","",J561+MAX(1,G561)+IF(K561="",0,K561)-1)</f>
        <v/>
      </c>
      <c r="M561" s="72" t="n"/>
      <c r="N561" s="109" t="n"/>
      <c r="O561" s="127">
        <f>IF(D561="","",COUNTIF($H$7:$H$1006,B561))</f>
        <v/>
      </c>
      <c r="P561" s="78">
        <f>IF(D561="","",IF(AND(H561&lt;&gt;"",H561&gt;=B561),"⚠️ Predecessor must be above",IF(M561="Done","✓ Done",IF(Q561=3,"🔴 Late",IF(M561="In progress","In progress","")))))</f>
        <v/>
      </c>
      <c r="Q561" s="79">
        <f>IF(OR(D561="",L561=""),"",IF(M561="Done",2,IF(AsOf&gt;L561,3,1)))</f>
        <v/>
      </c>
      <c r="R561" s="79">
        <f>IF(OR(E561="",F561=""),0,IF(COUNTIFS($E$7:E561,E561,$F$7:F561,F561)=1,1,0))</f>
        <v/>
      </c>
      <c r="S561" s="79">
        <f>IF(R561=1,E561&amp;"|"&amp;SUMIFS($R$7:R561,$E$7:E561,E561),"")</f>
        <v/>
      </c>
      <c r="T561" s="112">
        <f>IF(Q561="","",IF(Q561=3,L561,IF(OR(M561="Not started",M561=""),J561,"")))</f>
        <v/>
      </c>
      <c r="U561" s="79">
        <f>IF(T561="","",IF(Q561=3,1,IF(T561="","",IF(T561&lt;AsOf,1,IF(T561&lt;=AsOf+AlertDays,2,IF(T561&lt;=AsOf+2*AlertDays,3,""))))))</f>
        <v/>
      </c>
      <c r="V561" s="79">
        <f>IF(U561="","",IF(Q561=3,"Late task: "&amp;D561,IF(T561&lt;AsOf,"Should have started: ","Starts soon: ")&amp;D561)&amp;IF(F561="",""," — "&amp;F561))</f>
        <v/>
      </c>
    </row>
    <row r="562" ht="20" customHeight="1">
      <c r="B562" s="125" t="n">
        <v>556</v>
      </c>
      <c r="C562" s="72" t="n"/>
      <c r="D562" s="72" t="n"/>
      <c r="E562" s="72" t="n"/>
      <c r="F562" s="72" t="n"/>
      <c r="G562" s="89" t="n"/>
      <c r="H562" s="89" t="n"/>
      <c r="I562" s="109" t="n"/>
      <c r="J562" s="126">
        <f>IF(OR(D562="",ProjStart=""),"",MAX(ProjStart,IF(I562&lt;&gt;"",I562,0),IF(H562="",0,IFERROR(INDEX($L$6:L561,MATCH(H562,$B$6:B561,0))+1,0))))</f>
        <v/>
      </c>
      <c r="K562" s="89" t="n"/>
      <c r="L562" s="126">
        <f>IF(J562="","",J562+MAX(1,G562)+IF(K562="",0,K562)-1)</f>
        <v/>
      </c>
      <c r="M562" s="72" t="n"/>
      <c r="N562" s="109" t="n"/>
      <c r="O562" s="127">
        <f>IF(D562="","",COUNTIF($H$7:$H$1006,B562))</f>
        <v/>
      </c>
      <c r="P562" s="78">
        <f>IF(D562="","",IF(AND(H562&lt;&gt;"",H562&gt;=B562),"⚠️ Predecessor must be above",IF(M562="Done","✓ Done",IF(Q562=3,"🔴 Late",IF(M562="In progress","In progress","")))))</f>
        <v/>
      </c>
      <c r="Q562" s="79">
        <f>IF(OR(D562="",L562=""),"",IF(M562="Done",2,IF(AsOf&gt;L562,3,1)))</f>
        <v/>
      </c>
      <c r="R562" s="79">
        <f>IF(OR(E562="",F562=""),0,IF(COUNTIFS($E$7:E562,E562,$F$7:F562,F562)=1,1,0))</f>
        <v/>
      </c>
      <c r="S562" s="79">
        <f>IF(R562=1,E562&amp;"|"&amp;SUMIFS($R$7:R562,$E$7:E562,E562),"")</f>
        <v/>
      </c>
      <c r="T562" s="112">
        <f>IF(Q562="","",IF(Q562=3,L562,IF(OR(M562="Not started",M562=""),J562,"")))</f>
        <v/>
      </c>
      <c r="U562" s="79">
        <f>IF(T562="","",IF(Q562=3,1,IF(T562="","",IF(T562&lt;AsOf,1,IF(T562&lt;=AsOf+AlertDays,2,IF(T562&lt;=AsOf+2*AlertDays,3,""))))))</f>
        <v/>
      </c>
      <c r="V562" s="79">
        <f>IF(U562="","",IF(Q562=3,"Late task: "&amp;D562,IF(T562&lt;AsOf,"Should have started: ","Starts soon: ")&amp;D562)&amp;IF(F562="",""," — "&amp;F562))</f>
        <v/>
      </c>
    </row>
    <row r="563" ht="20" customHeight="1">
      <c r="B563" s="125" t="n">
        <v>557</v>
      </c>
      <c r="C563" s="72" t="n"/>
      <c r="D563" s="72" t="n"/>
      <c r="E563" s="72" t="n"/>
      <c r="F563" s="72" t="n"/>
      <c r="G563" s="89" t="n"/>
      <c r="H563" s="89" t="n"/>
      <c r="I563" s="109" t="n"/>
      <c r="J563" s="126">
        <f>IF(OR(D563="",ProjStart=""),"",MAX(ProjStart,IF(I563&lt;&gt;"",I563,0),IF(H563="",0,IFERROR(INDEX($L$6:L562,MATCH(H563,$B$6:B562,0))+1,0))))</f>
        <v/>
      </c>
      <c r="K563" s="89" t="n"/>
      <c r="L563" s="126">
        <f>IF(J563="","",J563+MAX(1,G563)+IF(K563="",0,K563)-1)</f>
        <v/>
      </c>
      <c r="M563" s="72" t="n"/>
      <c r="N563" s="109" t="n"/>
      <c r="O563" s="127">
        <f>IF(D563="","",COUNTIF($H$7:$H$1006,B563))</f>
        <v/>
      </c>
      <c r="P563" s="78">
        <f>IF(D563="","",IF(AND(H563&lt;&gt;"",H563&gt;=B563),"⚠️ Predecessor must be above",IF(M563="Done","✓ Done",IF(Q563=3,"🔴 Late",IF(M563="In progress","In progress","")))))</f>
        <v/>
      </c>
      <c r="Q563" s="79">
        <f>IF(OR(D563="",L563=""),"",IF(M563="Done",2,IF(AsOf&gt;L563,3,1)))</f>
        <v/>
      </c>
      <c r="R563" s="79">
        <f>IF(OR(E563="",F563=""),0,IF(COUNTIFS($E$7:E563,E563,$F$7:F563,F563)=1,1,0))</f>
        <v/>
      </c>
      <c r="S563" s="79">
        <f>IF(R563=1,E563&amp;"|"&amp;SUMIFS($R$7:R563,$E$7:E563,E563),"")</f>
        <v/>
      </c>
      <c r="T563" s="112">
        <f>IF(Q563="","",IF(Q563=3,L563,IF(OR(M563="Not started",M563=""),J563,"")))</f>
        <v/>
      </c>
      <c r="U563" s="79">
        <f>IF(T563="","",IF(Q563=3,1,IF(T563="","",IF(T563&lt;AsOf,1,IF(T563&lt;=AsOf+AlertDays,2,IF(T563&lt;=AsOf+2*AlertDays,3,""))))))</f>
        <v/>
      </c>
      <c r="V563" s="79">
        <f>IF(U563="","",IF(Q563=3,"Late task: "&amp;D563,IF(T563&lt;AsOf,"Should have started: ","Starts soon: ")&amp;D563)&amp;IF(F563="",""," — "&amp;F563))</f>
        <v/>
      </c>
    </row>
    <row r="564" ht="20" customHeight="1">
      <c r="B564" s="125" t="n">
        <v>558</v>
      </c>
      <c r="C564" s="72" t="n"/>
      <c r="D564" s="72" t="n"/>
      <c r="E564" s="72" t="n"/>
      <c r="F564" s="72" t="n"/>
      <c r="G564" s="89" t="n"/>
      <c r="H564" s="89" t="n"/>
      <c r="I564" s="109" t="n"/>
      <c r="J564" s="126">
        <f>IF(OR(D564="",ProjStart=""),"",MAX(ProjStart,IF(I564&lt;&gt;"",I564,0),IF(H564="",0,IFERROR(INDEX($L$6:L563,MATCH(H564,$B$6:B563,0))+1,0))))</f>
        <v/>
      </c>
      <c r="K564" s="89" t="n"/>
      <c r="L564" s="126">
        <f>IF(J564="","",J564+MAX(1,G564)+IF(K564="",0,K564)-1)</f>
        <v/>
      </c>
      <c r="M564" s="72" t="n"/>
      <c r="N564" s="109" t="n"/>
      <c r="O564" s="127">
        <f>IF(D564="","",COUNTIF($H$7:$H$1006,B564))</f>
        <v/>
      </c>
      <c r="P564" s="78">
        <f>IF(D564="","",IF(AND(H564&lt;&gt;"",H564&gt;=B564),"⚠️ Predecessor must be above",IF(M564="Done","✓ Done",IF(Q564=3,"🔴 Late",IF(M564="In progress","In progress","")))))</f>
        <v/>
      </c>
      <c r="Q564" s="79">
        <f>IF(OR(D564="",L564=""),"",IF(M564="Done",2,IF(AsOf&gt;L564,3,1)))</f>
        <v/>
      </c>
      <c r="R564" s="79">
        <f>IF(OR(E564="",F564=""),0,IF(COUNTIFS($E$7:E564,E564,$F$7:F564,F564)=1,1,0))</f>
        <v/>
      </c>
      <c r="S564" s="79">
        <f>IF(R564=1,E564&amp;"|"&amp;SUMIFS($R$7:R564,$E$7:E564,E564),"")</f>
        <v/>
      </c>
      <c r="T564" s="112">
        <f>IF(Q564="","",IF(Q564=3,L564,IF(OR(M564="Not started",M564=""),J564,"")))</f>
        <v/>
      </c>
      <c r="U564" s="79">
        <f>IF(T564="","",IF(Q564=3,1,IF(T564="","",IF(T564&lt;AsOf,1,IF(T564&lt;=AsOf+AlertDays,2,IF(T564&lt;=AsOf+2*AlertDays,3,""))))))</f>
        <v/>
      </c>
      <c r="V564" s="79">
        <f>IF(U564="","",IF(Q564=3,"Late task: "&amp;D564,IF(T564&lt;AsOf,"Should have started: ","Starts soon: ")&amp;D564)&amp;IF(F564="",""," — "&amp;F564))</f>
        <v/>
      </c>
    </row>
    <row r="565" ht="20" customHeight="1">
      <c r="B565" s="125" t="n">
        <v>559</v>
      </c>
      <c r="C565" s="72" t="n"/>
      <c r="D565" s="72" t="n"/>
      <c r="E565" s="72" t="n"/>
      <c r="F565" s="72" t="n"/>
      <c r="G565" s="89" t="n"/>
      <c r="H565" s="89" t="n"/>
      <c r="I565" s="109" t="n"/>
      <c r="J565" s="126">
        <f>IF(OR(D565="",ProjStart=""),"",MAX(ProjStart,IF(I565&lt;&gt;"",I565,0),IF(H565="",0,IFERROR(INDEX($L$6:L564,MATCH(H565,$B$6:B564,0))+1,0))))</f>
        <v/>
      </c>
      <c r="K565" s="89" t="n"/>
      <c r="L565" s="126">
        <f>IF(J565="","",J565+MAX(1,G565)+IF(K565="",0,K565)-1)</f>
        <v/>
      </c>
      <c r="M565" s="72" t="n"/>
      <c r="N565" s="109" t="n"/>
      <c r="O565" s="127">
        <f>IF(D565="","",COUNTIF($H$7:$H$1006,B565))</f>
        <v/>
      </c>
      <c r="P565" s="78">
        <f>IF(D565="","",IF(AND(H565&lt;&gt;"",H565&gt;=B565),"⚠️ Predecessor must be above",IF(M565="Done","✓ Done",IF(Q565=3,"🔴 Late",IF(M565="In progress","In progress","")))))</f>
        <v/>
      </c>
      <c r="Q565" s="79">
        <f>IF(OR(D565="",L565=""),"",IF(M565="Done",2,IF(AsOf&gt;L565,3,1)))</f>
        <v/>
      </c>
      <c r="R565" s="79">
        <f>IF(OR(E565="",F565=""),0,IF(COUNTIFS($E$7:E565,E565,$F$7:F565,F565)=1,1,0))</f>
        <v/>
      </c>
      <c r="S565" s="79">
        <f>IF(R565=1,E565&amp;"|"&amp;SUMIFS($R$7:R565,$E$7:E565,E565),"")</f>
        <v/>
      </c>
      <c r="T565" s="112">
        <f>IF(Q565="","",IF(Q565=3,L565,IF(OR(M565="Not started",M565=""),J565,"")))</f>
        <v/>
      </c>
      <c r="U565" s="79">
        <f>IF(T565="","",IF(Q565=3,1,IF(T565="","",IF(T565&lt;AsOf,1,IF(T565&lt;=AsOf+AlertDays,2,IF(T565&lt;=AsOf+2*AlertDays,3,""))))))</f>
        <v/>
      </c>
      <c r="V565" s="79">
        <f>IF(U565="","",IF(Q565=3,"Late task: "&amp;D565,IF(T565&lt;AsOf,"Should have started: ","Starts soon: ")&amp;D565)&amp;IF(F565="",""," — "&amp;F565))</f>
        <v/>
      </c>
    </row>
    <row r="566" ht="20" customHeight="1">
      <c r="B566" s="125" t="n">
        <v>560</v>
      </c>
      <c r="C566" s="72" t="n"/>
      <c r="D566" s="72" t="n"/>
      <c r="E566" s="72" t="n"/>
      <c r="F566" s="72" t="n"/>
      <c r="G566" s="89" t="n"/>
      <c r="H566" s="89" t="n"/>
      <c r="I566" s="109" t="n"/>
      <c r="J566" s="126">
        <f>IF(OR(D566="",ProjStart=""),"",MAX(ProjStart,IF(I566&lt;&gt;"",I566,0),IF(H566="",0,IFERROR(INDEX($L$6:L565,MATCH(H566,$B$6:B565,0))+1,0))))</f>
        <v/>
      </c>
      <c r="K566" s="89" t="n"/>
      <c r="L566" s="126">
        <f>IF(J566="","",J566+MAX(1,G566)+IF(K566="",0,K566)-1)</f>
        <v/>
      </c>
      <c r="M566" s="72" t="n"/>
      <c r="N566" s="109" t="n"/>
      <c r="O566" s="127">
        <f>IF(D566="","",COUNTIF($H$7:$H$1006,B566))</f>
        <v/>
      </c>
      <c r="P566" s="78">
        <f>IF(D566="","",IF(AND(H566&lt;&gt;"",H566&gt;=B566),"⚠️ Predecessor must be above",IF(M566="Done","✓ Done",IF(Q566=3,"🔴 Late",IF(M566="In progress","In progress","")))))</f>
        <v/>
      </c>
      <c r="Q566" s="79">
        <f>IF(OR(D566="",L566=""),"",IF(M566="Done",2,IF(AsOf&gt;L566,3,1)))</f>
        <v/>
      </c>
      <c r="R566" s="79">
        <f>IF(OR(E566="",F566=""),0,IF(COUNTIFS($E$7:E566,E566,$F$7:F566,F566)=1,1,0))</f>
        <v/>
      </c>
      <c r="S566" s="79">
        <f>IF(R566=1,E566&amp;"|"&amp;SUMIFS($R$7:R566,$E$7:E566,E566),"")</f>
        <v/>
      </c>
      <c r="T566" s="112">
        <f>IF(Q566="","",IF(Q566=3,L566,IF(OR(M566="Not started",M566=""),J566,"")))</f>
        <v/>
      </c>
      <c r="U566" s="79">
        <f>IF(T566="","",IF(Q566=3,1,IF(T566="","",IF(T566&lt;AsOf,1,IF(T566&lt;=AsOf+AlertDays,2,IF(T566&lt;=AsOf+2*AlertDays,3,""))))))</f>
        <v/>
      </c>
      <c r="V566" s="79">
        <f>IF(U566="","",IF(Q566=3,"Late task: "&amp;D566,IF(T566&lt;AsOf,"Should have started: ","Starts soon: ")&amp;D566)&amp;IF(F566="",""," — "&amp;F566))</f>
        <v/>
      </c>
    </row>
    <row r="567" ht="20" customHeight="1">
      <c r="B567" s="125" t="n">
        <v>561</v>
      </c>
      <c r="C567" s="72" t="n"/>
      <c r="D567" s="72" t="n"/>
      <c r="E567" s="72" t="n"/>
      <c r="F567" s="72" t="n"/>
      <c r="G567" s="89" t="n"/>
      <c r="H567" s="89" t="n"/>
      <c r="I567" s="109" t="n"/>
      <c r="J567" s="126">
        <f>IF(OR(D567="",ProjStart=""),"",MAX(ProjStart,IF(I567&lt;&gt;"",I567,0),IF(H567="",0,IFERROR(INDEX($L$6:L566,MATCH(H567,$B$6:B566,0))+1,0))))</f>
        <v/>
      </c>
      <c r="K567" s="89" t="n"/>
      <c r="L567" s="126">
        <f>IF(J567="","",J567+MAX(1,G567)+IF(K567="",0,K567)-1)</f>
        <v/>
      </c>
      <c r="M567" s="72" t="n"/>
      <c r="N567" s="109" t="n"/>
      <c r="O567" s="127">
        <f>IF(D567="","",COUNTIF($H$7:$H$1006,B567))</f>
        <v/>
      </c>
      <c r="P567" s="78">
        <f>IF(D567="","",IF(AND(H567&lt;&gt;"",H567&gt;=B567),"⚠️ Predecessor must be above",IF(M567="Done","✓ Done",IF(Q567=3,"🔴 Late",IF(M567="In progress","In progress","")))))</f>
        <v/>
      </c>
      <c r="Q567" s="79">
        <f>IF(OR(D567="",L567=""),"",IF(M567="Done",2,IF(AsOf&gt;L567,3,1)))</f>
        <v/>
      </c>
      <c r="R567" s="79">
        <f>IF(OR(E567="",F567=""),0,IF(COUNTIFS($E$7:E567,E567,$F$7:F567,F567)=1,1,0))</f>
        <v/>
      </c>
      <c r="S567" s="79">
        <f>IF(R567=1,E567&amp;"|"&amp;SUMIFS($R$7:R567,$E$7:E567,E567),"")</f>
        <v/>
      </c>
      <c r="T567" s="112">
        <f>IF(Q567="","",IF(Q567=3,L567,IF(OR(M567="Not started",M567=""),J567,"")))</f>
        <v/>
      </c>
      <c r="U567" s="79">
        <f>IF(T567="","",IF(Q567=3,1,IF(T567="","",IF(T567&lt;AsOf,1,IF(T567&lt;=AsOf+AlertDays,2,IF(T567&lt;=AsOf+2*AlertDays,3,""))))))</f>
        <v/>
      </c>
      <c r="V567" s="79">
        <f>IF(U567="","",IF(Q567=3,"Late task: "&amp;D567,IF(T567&lt;AsOf,"Should have started: ","Starts soon: ")&amp;D567)&amp;IF(F567="",""," — "&amp;F567))</f>
        <v/>
      </c>
    </row>
    <row r="568" ht="20" customHeight="1">
      <c r="B568" s="125" t="n">
        <v>562</v>
      </c>
      <c r="C568" s="72" t="n"/>
      <c r="D568" s="72" t="n"/>
      <c r="E568" s="72" t="n"/>
      <c r="F568" s="72" t="n"/>
      <c r="G568" s="89" t="n"/>
      <c r="H568" s="89" t="n"/>
      <c r="I568" s="109" t="n"/>
      <c r="J568" s="126">
        <f>IF(OR(D568="",ProjStart=""),"",MAX(ProjStart,IF(I568&lt;&gt;"",I568,0),IF(H568="",0,IFERROR(INDEX($L$6:L567,MATCH(H568,$B$6:B567,0))+1,0))))</f>
        <v/>
      </c>
      <c r="K568" s="89" t="n"/>
      <c r="L568" s="126">
        <f>IF(J568="","",J568+MAX(1,G568)+IF(K568="",0,K568)-1)</f>
        <v/>
      </c>
      <c r="M568" s="72" t="n"/>
      <c r="N568" s="109" t="n"/>
      <c r="O568" s="127">
        <f>IF(D568="","",COUNTIF($H$7:$H$1006,B568))</f>
        <v/>
      </c>
      <c r="P568" s="78">
        <f>IF(D568="","",IF(AND(H568&lt;&gt;"",H568&gt;=B568),"⚠️ Predecessor must be above",IF(M568="Done","✓ Done",IF(Q568=3,"🔴 Late",IF(M568="In progress","In progress","")))))</f>
        <v/>
      </c>
      <c r="Q568" s="79">
        <f>IF(OR(D568="",L568=""),"",IF(M568="Done",2,IF(AsOf&gt;L568,3,1)))</f>
        <v/>
      </c>
      <c r="R568" s="79">
        <f>IF(OR(E568="",F568=""),0,IF(COUNTIFS($E$7:E568,E568,$F$7:F568,F568)=1,1,0))</f>
        <v/>
      </c>
      <c r="S568" s="79">
        <f>IF(R568=1,E568&amp;"|"&amp;SUMIFS($R$7:R568,$E$7:E568,E568),"")</f>
        <v/>
      </c>
      <c r="T568" s="112">
        <f>IF(Q568="","",IF(Q568=3,L568,IF(OR(M568="Not started",M568=""),J568,"")))</f>
        <v/>
      </c>
      <c r="U568" s="79">
        <f>IF(T568="","",IF(Q568=3,1,IF(T568="","",IF(T568&lt;AsOf,1,IF(T568&lt;=AsOf+AlertDays,2,IF(T568&lt;=AsOf+2*AlertDays,3,""))))))</f>
        <v/>
      </c>
      <c r="V568" s="79">
        <f>IF(U568="","",IF(Q568=3,"Late task: "&amp;D568,IF(T568&lt;AsOf,"Should have started: ","Starts soon: ")&amp;D568)&amp;IF(F568="",""," — "&amp;F568))</f>
        <v/>
      </c>
    </row>
    <row r="569" ht="20" customHeight="1">
      <c r="B569" s="125" t="n">
        <v>563</v>
      </c>
      <c r="C569" s="72" t="n"/>
      <c r="D569" s="72" t="n"/>
      <c r="E569" s="72" t="n"/>
      <c r="F569" s="72" t="n"/>
      <c r="G569" s="89" t="n"/>
      <c r="H569" s="89" t="n"/>
      <c r="I569" s="109" t="n"/>
      <c r="J569" s="126">
        <f>IF(OR(D569="",ProjStart=""),"",MAX(ProjStart,IF(I569&lt;&gt;"",I569,0),IF(H569="",0,IFERROR(INDEX($L$6:L568,MATCH(H569,$B$6:B568,0))+1,0))))</f>
        <v/>
      </c>
      <c r="K569" s="89" t="n"/>
      <c r="L569" s="126">
        <f>IF(J569="","",J569+MAX(1,G569)+IF(K569="",0,K569)-1)</f>
        <v/>
      </c>
      <c r="M569" s="72" t="n"/>
      <c r="N569" s="109" t="n"/>
      <c r="O569" s="127">
        <f>IF(D569="","",COUNTIF($H$7:$H$1006,B569))</f>
        <v/>
      </c>
      <c r="P569" s="78">
        <f>IF(D569="","",IF(AND(H569&lt;&gt;"",H569&gt;=B569),"⚠️ Predecessor must be above",IF(M569="Done","✓ Done",IF(Q569=3,"🔴 Late",IF(M569="In progress","In progress","")))))</f>
        <v/>
      </c>
      <c r="Q569" s="79">
        <f>IF(OR(D569="",L569=""),"",IF(M569="Done",2,IF(AsOf&gt;L569,3,1)))</f>
        <v/>
      </c>
      <c r="R569" s="79">
        <f>IF(OR(E569="",F569=""),0,IF(COUNTIFS($E$7:E569,E569,$F$7:F569,F569)=1,1,0))</f>
        <v/>
      </c>
      <c r="S569" s="79">
        <f>IF(R569=1,E569&amp;"|"&amp;SUMIFS($R$7:R569,$E$7:E569,E569),"")</f>
        <v/>
      </c>
      <c r="T569" s="112">
        <f>IF(Q569="","",IF(Q569=3,L569,IF(OR(M569="Not started",M569=""),J569,"")))</f>
        <v/>
      </c>
      <c r="U569" s="79">
        <f>IF(T569="","",IF(Q569=3,1,IF(T569="","",IF(T569&lt;AsOf,1,IF(T569&lt;=AsOf+AlertDays,2,IF(T569&lt;=AsOf+2*AlertDays,3,""))))))</f>
        <v/>
      </c>
      <c r="V569" s="79">
        <f>IF(U569="","",IF(Q569=3,"Late task: "&amp;D569,IF(T569&lt;AsOf,"Should have started: ","Starts soon: ")&amp;D569)&amp;IF(F569="",""," — "&amp;F569))</f>
        <v/>
      </c>
    </row>
    <row r="570" ht="20" customHeight="1">
      <c r="B570" s="125" t="n">
        <v>564</v>
      </c>
      <c r="C570" s="72" t="n"/>
      <c r="D570" s="72" t="n"/>
      <c r="E570" s="72" t="n"/>
      <c r="F570" s="72" t="n"/>
      <c r="G570" s="89" t="n"/>
      <c r="H570" s="89" t="n"/>
      <c r="I570" s="109" t="n"/>
      <c r="J570" s="126">
        <f>IF(OR(D570="",ProjStart=""),"",MAX(ProjStart,IF(I570&lt;&gt;"",I570,0),IF(H570="",0,IFERROR(INDEX($L$6:L569,MATCH(H570,$B$6:B569,0))+1,0))))</f>
        <v/>
      </c>
      <c r="K570" s="89" t="n"/>
      <c r="L570" s="126">
        <f>IF(J570="","",J570+MAX(1,G570)+IF(K570="",0,K570)-1)</f>
        <v/>
      </c>
      <c r="M570" s="72" t="n"/>
      <c r="N570" s="109" t="n"/>
      <c r="O570" s="127">
        <f>IF(D570="","",COUNTIF($H$7:$H$1006,B570))</f>
        <v/>
      </c>
      <c r="P570" s="78">
        <f>IF(D570="","",IF(AND(H570&lt;&gt;"",H570&gt;=B570),"⚠️ Predecessor must be above",IF(M570="Done","✓ Done",IF(Q570=3,"🔴 Late",IF(M570="In progress","In progress","")))))</f>
        <v/>
      </c>
      <c r="Q570" s="79">
        <f>IF(OR(D570="",L570=""),"",IF(M570="Done",2,IF(AsOf&gt;L570,3,1)))</f>
        <v/>
      </c>
      <c r="R570" s="79">
        <f>IF(OR(E570="",F570=""),0,IF(COUNTIFS($E$7:E570,E570,$F$7:F570,F570)=1,1,0))</f>
        <v/>
      </c>
      <c r="S570" s="79">
        <f>IF(R570=1,E570&amp;"|"&amp;SUMIFS($R$7:R570,$E$7:E570,E570),"")</f>
        <v/>
      </c>
      <c r="T570" s="112">
        <f>IF(Q570="","",IF(Q570=3,L570,IF(OR(M570="Not started",M570=""),J570,"")))</f>
        <v/>
      </c>
      <c r="U570" s="79">
        <f>IF(T570="","",IF(Q570=3,1,IF(T570="","",IF(T570&lt;AsOf,1,IF(T570&lt;=AsOf+AlertDays,2,IF(T570&lt;=AsOf+2*AlertDays,3,""))))))</f>
        <v/>
      </c>
      <c r="V570" s="79">
        <f>IF(U570="","",IF(Q570=3,"Late task: "&amp;D570,IF(T570&lt;AsOf,"Should have started: ","Starts soon: ")&amp;D570)&amp;IF(F570="",""," — "&amp;F570))</f>
        <v/>
      </c>
    </row>
    <row r="571" ht="20" customHeight="1">
      <c r="B571" s="125" t="n">
        <v>565</v>
      </c>
      <c r="C571" s="72" t="n"/>
      <c r="D571" s="72" t="n"/>
      <c r="E571" s="72" t="n"/>
      <c r="F571" s="72" t="n"/>
      <c r="G571" s="89" t="n"/>
      <c r="H571" s="89" t="n"/>
      <c r="I571" s="109" t="n"/>
      <c r="J571" s="126">
        <f>IF(OR(D571="",ProjStart=""),"",MAX(ProjStart,IF(I571&lt;&gt;"",I571,0),IF(H571="",0,IFERROR(INDEX($L$6:L570,MATCH(H571,$B$6:B570,0))+1,0))))</f>
        <v/>
      </c>
      <c r="K571" s="89" t="n"/>
      <c r="L571" s="126">
        <f>IF(J571="","",J571+MAX(1,G571)+IF(K571="",0,K571)-1)</f>
        <v/>
      </c>
      <c r="M571" s="72" t="n"/>
      <c r="N571" s="109" t="n"/>
      <c r="O571" s="127">
        <f>IF(D571="","",COUNTIF($H$7:$H$1006,B571))</f>
        <v/>
      </c>
      <c r="P571" s="78">
        <f>IF(D571="","",IF(AND(H571&lt;&gt;"",H571&gt;=B571),"⚠️ Predecessor must be above",IF(M571="Done","✓ Done",IF(Q571=3,"🔴 Late",IF(M571="In progress","In progress","")))))</f>
        <v/>
      </c>
      <c r="Q571" s="79">
        <f>IF(OR(D571="",L571=""),"",IF(M571="Done",2,IF(AsOf&gt;L571,3,1)))</f>
        <v/>
      </c>
      <c r="R571" s="79">
        <f>IF(OR(E571="",F571=""),0,IF(COUNTIFS($E$7:E571,E571,$F$7:F571,F571)=1,1,0))</f>
        <v/>
      </c>
      <c r="S571" s="79">
        <f>IF(R571=1,E571&amp;"|"&amp;SUMIFS($R$7:R571,$E$7:E571,E571),"")</f>
        <v/>
      </c>
      <c r="T571" s="112">
        <f>IF(Q571="","",IF(Q571=3,L571,IF(OR(M571="Not started",M571=""),J571,"")))</f>
        <v/>
      </c>
      <c r="U571" s="79">
        <f>IF(T571="","",IF(Q571=3,1,IF(T571="","",IF(T571&lt;AsOf,1,IF(T571&lt;=AsOf+AlertDays,2,IF(T571&lt;=AsOf+2*AlertDays,3,""))))))</f>
        <v/>
      </c>
      <c r="V571" s="79">
        <f>IF(U571="","",IF(Q571=3,"Late task: "&amp;D571,IF(T571&lt;AsOf,"Should have started: ","Starts soon: ")&amp;D571)&amp;IF(F571="",""," — "&amp;F571))</f>
        <v/>
      </c>
    </row>
    <row r="572" ht="20" customHeight="1">
      <c r="B572" s="125" t="n">
        <v>566</v>
      </c>
      <c r="C572" s="72" t="n"/>
      <c r="D572" s="72" t="n"/>
      <c r="E572" s="72" t="n"/>
      <c r="F572" s="72" t="n"/>
      <c r="G572" s="89" t="n"/>
      <c r="H572" s="89" t="n"/>
      <c r="I572" s="109" t="n"/>
      <c r="J572" s="126">
        <f>IF(OR(D572="",ProjStart=""),"",MAX(ProjStart,IF(I572&lt;&gt;"",I572,0),IF(H572="",0,IFERROR(INDEX($L$6:L571,MATCH(H572,$B$6:B571,0))+1,0))))</f>
        <v/>
      </c>
      <c r="K572" s="89" t="n"/>
      <c r="L572" s="126">
        <f>IF(J572="","",J572+MAX(1,G572)+IF(K572="",0,K572)-1)</f>
        <v/>
      </c>
      <c r="M572" s="72" t="n"/>
      <c r="N572" s="109" t="n"/>
      <c r="O572" s="127">
        <f>IF(D572="","",COUNTIF($H$7:$H$1006,B572))</f>
        <v/>
      </c>
      <c r="P572" s="78">
        <f>IF(D572="","",IF(AND(H572&lt;&gt;"",H572&gt;=B572),"⚠️ Predecessor must be above",IF(M572="Done","✓ Done",IF(Q572=3,"🔴 Late",IF(M572="In progress","In progress","")))))</f>
        <v/>
      </c>
      <c r="Q572" s="79">
        <f>IF(OR(D572="",L572=""),"",IF(M572="Done",2,IF(AsOf&gt;L572,3,1)))</f>
        <v/>
      </c>
      <c r="R572" s="79">
        <f>IF(OR(E572="",F572=""),0,IF(COUNTIFS($E$7:E572,E572,$F$7:F572,F572)=1,1,0))</f>
        <v/>
      </c>
      <c r="S572" s="79">
        <f>IF(R572=1,E572&amp;"|"&amp;SUMIFS($R$7:R572,$E$7:E572,E572),"")</f>
        <v/>
      </c>
      <c r="T572" s="112">
        <f>IF(Q572="","",IF(Q572=3,L572,IF(OR(M572="Not started",M572=""),J572,"")))</f>
        <v/>
      </c>
      <c r="U572" s="79">
        <f>IF(T572="","",IF(Q572=3,1,IF(T572="","",IF(T572&lt;AsOf,1,IF(T572&lt;=AsOf+AlertDays,2,IF(T572&lt;=AsOf+2*AlertDays,3,""))))))</f>
        <v/>
      </c>
      <c r="V572" s="79">
        <f>IF(U572="","",IF(Q572=3,"Late task: "&amp;D572,IF(T572&lt;AsOf,"Should have started: ","Starts soon: ")&amp;D572)&amp;IF(F572="",""," — "&amp;F572))</f>
        <v/>
      </c>
    </row>
    <row r="573" ht="20" customHeight="1">
      <c r="B573" s="125" t="n">
        <v>567</v>
      </c>
      <c r="C573" s="72" t="n"/>
      <c r="D573" s="72" t="n"/>
      <c r="E573" s="72" t="n"/>
      <c r="F573" s="72" t="n"/>
      <c r="G573" s="89" t="n"/>
      <c r="H573" s="89" t="n"/>
      <c r="I573" s="109" t="n"/>
      <c r="J573" s="126">
        <f>IF(OR(D573="",ProjStart=""),"",MAX(ProjStart,IF(I573&lt;&gt;"",I573,0),IF(H573="",0,IFERROR(INDEX($L$6:L572,MATCH(H573,$B$6:B572,0))+1,0))))</f>
        <v/>
      </c>
      <c r="K573" s="89" t="n"/>
      <c r="L573" s="126">
        <f>IF(J573="","",J573+MAX(1,G573)+IF(K573="",0,K573)-1)</f>
        <v/>
      </c>
      <c r="M573" s="72" t="n"/>
      <c r="N573" s="109" t="n"/>
      <c r="O573" s="127">
        <f>IF(D573="","",COUNTIF($H$7:$H$1006,B573))</f>
        <v/>
      </c>
      <c r="P573" s="78">
        <f>IF(D573="","",IF(AND(H573&lt;&gt;"",H573&gt;=B573),"⚠️ Predecessor must be above",IF(M573="Done","✓ Done",IF(Q573=3,"🔴 Late",IF(M573="In progress","In progress","")))))</f>
        <v/>
      </c>
      <c r="Q573" s="79">
        <f>IF(OR(D573="",L573=""),"",IF(M573="Done",2,IF(AsOf&gt;L573,3,1)))</f>
        <v/>
      </c>
      <c r="R573" s="79">
        <f>IF(OR(E573="",F573=""),0,IF(COUNTIFS($E$7:E573,E573,$F$7:F573,F573)=1,1,0))</f>
        <v/>
      </c>
      <c r="S573" s="79">
        <f>IF(R573=1,E573&amp;"|"&amp;SUMIFS($R$7:R573,$E$7:E573,E573),"")</f>
        <v/>
      </c>
      <c r="T573" s="112">
        <f>IF(Q573="","",IF(Q573=3,L573,IF(OR(M573="Not started",M573=""),J573,"")))</f>
        <v/>
      </c>
      <c r="U573" s="79">
        <f>IF(T573="","",IF(Q573=3,1,IF(T573="","",IF(T573&lt;AsOf,1,IF(T573&lt;=AsOf+AlertDays,2,IF(T573&lt;=AsOf+2*AlertDays,3,""))))))</f>
        <v/>
      </c>
      <c r="V573" s="79">
        <f>IF(U573="","",IF(Q573=3,"Late task: "&amp;D573,IF(T573&lt;AsOf,"Should have started: ","Starts soon: ")&amp;D573)&amp;IF(F573="",""," — "&amp;F573))</f>
        <v/>
      </c>
    </row>
    <row r="574" ht="20" customHeight="1">
      <c r="B574" s="125" t="n">
        <v>568</v>
      </c>
      <c r="C574" s="72" t="n"/>
      <c r="D574" s="72" t="n"/>
      <c r="E574" s="72" t="n"/>
      <c r="F574" s="72" t="n"/>
      <c r="G574" s="89" t="n"/>
      <c r="H574" s="89" t="n"/>
      <c r="I574" s="109" t="n"/>
      <c r="J574" s="126">
        <f>IF(OR(D574="",ProjStart=""),"",MAX(ProjStart,IF(I574&lt;&gt;"",I574,0),IF(H574="",0,IFERROR(INDEX($L$6:L573,MATCH(H574,$B$6:B573,0))+1,0))))</f>
        <v/>
      </c>
      <c r="K574" s="89" t="n"/>
      <c r="L574" s="126">
        <f>IF(J574="","",J574+MAX(1,G574)+IF(K574="",0,K574)-1)</f>
        <v/>
      </c>
      <c r="M574" s="72" t="n"/>
      <c r="N574" s="109" t="n"/>
      <c r="O574" s="127">
        <f>IF(D574="","",COUNTIF($H$7:$H$1006,B574))</f>
        <v/>
      </c>
      <c r="P574" s="78">
        <f>IF(D574="","",IF(AND(H574&lt;&gt;"",H574&gt;=B574),"⚠️ Predecessor must be above",IF(M574="Done","✓ Done",IF(Q574=3,"🔴 Late",IF(M574="In progress","In progress","")))))</f>
        <v/>
      </c>
      <c r="Q574" s="79">
        <f>IF(OR(D574="",L574=""),"",IF(M574="Done",2,IF(AsOf&gt;L574,3,1)))</f>
        <v/>
      </c>
      <c r="R574" s="79">
        <f>IF(OR(E574="",F574=""),0,IF(COUNTIFS($E$7:E574,E574,$F$7:F574,F574)=1,1,0))</f>
        <v/>
      </c>
      <c r="S574" s="79">
        <f>IF(R574=1,E574&amp;"|"&amp;SUMIFS($R$7:R574,$E$7:E574,E574),"")</f>
        <v/>
      </c>
      <c r="T574" s="112">
        <f>IF(Q574="","",IF(Q574=3,L574,IF(OR(M574="Not started",M574=""),J574,"")))</f>
        <v/>
      </c>
      <c r="U574" s="79">
        <f>IF(T574="","",IF(Q574=3,1,IF(T574="","",IF(T574&lt;AsOf,1,IF(T574&lt;=AsOf+AlertDays,2,IF(T574&lt;=AsOf+2*AlertDays,3,""))))))</f>
        <v/>
      </c>
      <c r="V574" s="79">
        <f>IF(U574="","",IF(Q574=3,"Late task: "&amp;D574,IF(T574&lt;AsOf,"Should have started: ","Starts soon: ")&amp;D574)&amp;IF(F574="",""," — "&amp;F574))</f>
        <v/>
      </c>
    </row>
    <row r="575" ht="20" customHeight="1">
      <c r="B575" s="125" t="n">
        <v>569</v>
      </c>
      <c r="C575" s="72" t="n"/>
      <c r="D575" s="72" t="n"/>
      <c r="E575" s="72" t="n"/>
      <c r="F575" s="72" t="n"/>
      <c r="G575" s="89" t="n"/>
      <c r="H575" s="89" t="n"/>
      <c r="I575" s="109" t="n"/>
      <c r="J575" s="126">
        <f>IF(OR(D575="",ProjStart=""),"",MAX(ProjStart,IF(I575&lt;&gt;"",I575,0),IF(H575="",0,IFERROR(INDEX($L$6:L574,MATCH(H575,$B$6:B574,0))+1,0))))</f>
        <v/>
      </c>
      <c r="K575" s="89" t="n"/>
      <c r="L575" s="126">
        <f>IF(J575="","",J575+MAX(1,G575)+IF(K575="",0,K575)-1)</f>
        <v/>
      </c>
      <c r="M575" s="72" t="n"/>
      <c r="N575" s="109" t="n"/>
      <c r="O575" s="127">
        <f>IF(D575="","",COUNTIF($H$7:$H$1006,B575))</f>
        <v/>
      </c>
      <c r="P575" s="78">
        <f>IF(D575="","",IF(AND(H575&lt;&gt;"",H575&gt;=B575),"⚠️ Predecessor must be above",IF(M575="Done","✓ Done",IF(Q575=3,"🔴 Late",IF(M575="In progress","In progress","")))))</f>
        <v/>
      </c>
      <c r="Q575" s="79">
        <f>IF(OR(D575="",L575=""),"",IF(M575="Done",2,IF(AsOf&gt;L575,3,1)))</f>
        <v/>
      </c>
      <c r="R575" s="79">
        <f>IF(OR(E575="",F575=""),0,IF(COUNTIFS($E$7:E575,E575,$F$7:F575,F575)=1,1,0))</f>
        <v/>
      </c>
      <c r="S575" s="79">
        <f>IF(R575=1,E575&amp;"|"&amp;SUMIFS($R$7:R575,$E$7:E575,E575),"")</f>
        <v/>
      </c>
      <c r="T575" s="112">
        <f>IF(Q575="","",IF(Q575=3,L575,IF(OR(M575="Not started",M575=""),J575,"")))</f>
        <v/>
      </c>
      <c r="U575" s="79">
        <f>IF(T575="","",IF(Q575=3,1,IF(T575="","",IF(T575&lt;AsOf,1,IF(T575&lt;=AsOf+AlertDays,2,IF(T575&lt;=AsOf+2*AlertDays,3,""))))))</f>
        <v/>
      </c>
      <c r="V575" s="79">
        <f>IF(U575="","",IF(Q575=3,"Late task: "&amp;D575,IF(T575&lt;AsOf,"Should have started: ","Starts soon: ")&amp;D575)&amp;IF(F575="",""," — "&amp;F575))</f>
        <v/>
      </c>
    </row>
    <row r="576" ht="20" customHeight="1">
      <c r="B576" s="125" t="n">
        <v>570</v>
      </c>
      <c r="C576" s="72" t="n"/>
      <c r="D576" s="72" t="n"/>
      <c r="E576" s="72" t="n"/>
      <c r="F576" s="72" t="n"/>
      <c r="G576" s="89" t="n"/>
      <c r="H576" s="89" t="n"/>
      <c r="I576" s="109" t="n"/>
      <c r="J576" s="126">
        <f>IF(OR(D576="",ProjStart=""),"",MAX(ProjStart,IF(I576&lt;&gt;"",I576,0),IF(H576="",0,IFERROR(INDEX($L$6:L575,MATCH(H576,$B$6:B575,0))+1,0))))</f>
        <v/>
      </c>
      <c r="K576" s="89" t="n"/>
      <c r="L576" s="126">
        <f>IF(J576="","",J576+MAX(1,G576)+IF(K576="",0,K576)-1)</f>
        <v/>
      </c>
      <c r="M576" s="72" t="n"/>
      <c r="N576" s="109" t="n"/>
      <c r="O576" s="127">
        <f>IF(D576="","",COUNTIF($H$7:$H$1006,B576))</f>
        <v/>
      </c>
      <c r="P576" s="78">
        <f>IF(D576="","",IF(AND(H576&lt;&gt;"",H576&gt;=B576),"⚠️ Predecessor must be above",IF(M576="Done","✓ Done",IF(Q576=3,"🔴 Late",IF(M576="In progress","In progress","")))))</f>
        <v/>
      </c>
      <c r="Q576" s="79">
        <f>IF(OR(D576="",L576=""),"",IF(M576="Done",2,IF(AsOf&gt;L576,3,1)))</f>
        <v/>
      </c>
      <c r="R576" s="79">
        <f>IF(OR(E576="",F576=""),0,IF(COUNTIFS($E$7:E576,E576,$F$7:F576,F576)=1,1,0))</f>
        <v/>
      </c>
      <c r="S576" s="79">
        <f>IF(R576=1,E576&amp;"|"&amp;SUMIFS($R$7:R576,$E$7:E576,E576),"")</f>
        <v/>
      </c>
      <c r="T576" s="112">
        <f>IF(Q576="","",IF(Q576=3,L576,IF(OR(M576="Not started",M576=""),J576,"")))</f>
        <v/>
      </c>
      <c r="U576" s="79">
        <f>IF(T576="","",IF(Q576=3,1,IF(T576="","",IF(T576&lt;AsOf,1,IF(T576&lt;=AsOf+AlertDays,2,IF(T576&lt;=AsOf+2*AlertDays,3,""))))))</f>
        <v/>
      </c>
      <c r="V576" s="79">
        <f>IF(U576="","",IF(Q576=3,"Late task: "&amp;D576,IF(T576&lt;AsOf,"Should have started: ","Starts soon: ")&amp;D576)&amp;IF(F576="",""," — "&amp;F576))</f>
        <v/>
      </c>
    </row>
    <row r="577" ht="20" customHeight="1">
      <c r="B577" s="125" t="n">
        <v>571</v>
      </c>
      <c r="C577" s="72" t="n"/>
      <c r="D577" s="72" t="n"/>
      <c r="E577" s="72" t="n"/>
      <c r="F577" s="72" t="n"/>
      <c r="G577" s="89" t="n"/>
      <c r="H577" s="89" t="n"/>
      <c r="I577" s="109" t="n"/>
      <c r="J577" s="126">
        <f>IF(OR(D577="",ProjStart=""),"",MAX(ProjStart,IF(I577&lt;&gt;"",I577,0),IF(H577="",0,IFERROR(INDEX($L$6:L576,MATCH(H577,$B$6:B576,0))+1,0))))</f>
        <v/>
      </c>
      <c r="K577" s="89" t="n"/>
      <c r="L577" s="126">
        <f>IF(J577="","",J577+MAX(1,G577)+IF(K577="",0,K577)-1)</f>
        <v/>
      </c>
      <c r="M577" s="72" t="n"/>
      <c r="N577" s="109" t="n"/>
      <c r="O577" s="127">
        <f>IF(D577="","",COUNTIF($H$7:$H$1006,B577))</f>
        <v/>
      </c>
      <c r="P577" s="78">
        <f>IF(D577="","",IF(AND(H577&lt;&gt;"",H577&gt;=B577),"⚠️ Predecessor must be above",IF(M577="Done","✓ Done",IF(Q577=3,"🔴 Late",IF(M577="In progress","In progress","")))))</f>
        <v/>
      </c>
      <c r="Q577" s="79">
        <f>IF(OR(D577="",L577=""),"",IF(M577="Done",2,IF(AsOf&gt;L577,3,1)))</f>
        <v/>
      </c>
      <c r="R577" s="79">
        <f>IF(OR(E577="",F577=""),0,IF(COUNTIFS($E$7:E577,E577,$F$7:F577,F577)=1,1,0))</f>
        <v/>
      </c>
      <c r="S577" s="79">
        <f>IF(R577=1,E577&amp;"|"&amp;SUMIFS($R$7:R577,$E$7:E577,E577),"")</f>
        <v/>
      </c>
      <c r="T577" s="112">
        <f>IF(Q577="","",IF(Q577=3,L577,IF(OR(M577="Not started",M577=""),J577,"")))</f>
        <v/>
      </c>
      <c r="U577" s="79">
        <f>IF(T577="","",IF(Q577=3,1,IF(T577="","",IF(T577&lt;AsOf,1,IF(T577&lt;=AsOf+AlertDays,2,IF(T577&lt;=AsOf+2*AlertDays,3,""))))))</f>
        <v/>
      </c>
      <c r="V577" s="79">
        <f>IF(U577="","",IF(Q577=3,"Late task: "&amp;D577,IF(T577&lt;AsOf,"Should have started: ","Starts soon: ")&amp;D577)&amp;IF(F577="",""," — "&amp;F577))</f>
        <v/>
      </c>
    </row>
    <row r="578" ht="20" customHeight="1">
      <c r="B578" s="125" t="n">
        <v>572</v>
      </c>
      <c r="C578" s="72" t="n"/>
      <c r="D578" s="72" t="n"/>
      <c r="E578" s="72" t="n"/>
      <c r="F578" s="72" t="n"/>
      <c r="G578" s="89" t="n"/>
      <c r="H578" s="89" t="n"/>
      <c r="I578" s="109" t="n"/>
      <c r="J578" s="126">
        <f>IF(OR(D578="",ProjStart=""),"",MAX(ProjStart,IF(I578&lt;&gt;"",I578,0),IF(H578="",0,IFERROR(INDEX($L$6:L577,MATCH(H578,$B$6:B577,0))+1,0))))</f>
        <v/>
      </c>
      <c r="K578" s="89" t="n"/>
      <c r="L578" s="126">
        <f>IF(J578="","",J578+MAX(1,G578)+IF(K578="",0,K578)-1)</f>
        <v/>
      </c>
      <c r="M578" s="72" t="n"/>
      <c r="N578" s="109" t="n"/>
      <c r="O578" s="127">
        <f>IF(D578="","",COUNTIF($H$7:$H$1006,B578))</f>
        <v/>
      </c>
      <c r="P578" s="78">
        <f>IF(D578="","",IF(AND(H578&lt;&gt;"",H578&gt;=B578),"⚠️ Predecessor must be above",IF(M578="Done","✓ Done",IF(Q578=3,"🔴 Late",IF(M578="In progress","In progress","")))))</f>
        <v/>
      </c>
      <c r="Q578" s="79">
        <f>IF(OR(D578="",L578=""),"",IF(M578="Done",2,IF(AsOf&gt;L578,3,1)))</f>
        <v/>
      </c>
      <c r="R578" s="79">
        <f>IF(OR(E578="",F578=""),0,IF(COUNTIFS($E$7:E578,E578,$F$7:F578,F578)=1,1,0))</f>
        <v/>
      </c>
      <c r="S578" s="79">
        <f>IF(R578=1,E578&amp;"|"&amp;SUMIFS($R$7:R578,$E$7:E578,E578),"")</f>
        <v/>
      </c>
      <c r="T578" s="112">
        <f>IF(Q578="","",IF(Q578=3,L578,IF(OR(M578="Not started",M578=""),J578,"")))</f>
        <v/>
      </c>
      <c r="U578" s="79">
        <f>IF(T578="","",IF(Q578=3,1,IF(T578="","",IF(T578&lt;AsOf,1,IF(T578&lt;=AsOf+AlertDays,2,IF(T578&lt;=AsOf+2*AlertDays,3,""))))))</f>
        <v/>
      </c>
      <c r="V578" s="79">
        <f>IF(U578="","",IF(Q578=3,"Late task: "&amp;D578,IF(T578&lt;AsOf,"Should have started: ","Starts soon: ")&amp;D578)&amp;IF(F578="",""," — "&amp;F578))</f>
        <v/>
      </c>
    </row>
    <row r="579" ht="20" customHeight="1">
      <c r="B579" s="125" t="n">
        <v>573</v>
      </c>
      <c r="C579" s="72" t="n"/>
      <c r="D579" s="72" t="n"/>
      <c r="E579" s="72" t="n"/>
      <c r="F579" s="72" t="n"/>
      <c r="G579" s="89" t="n"/>
      <c r="H579" s="89" t="n"/>
      <c r="I579" s="109" t="n"/>
      <c r="J579" s="126">
        <f>IF(OR(D579="",ProjStart=""),"",MAX(ProjStart,IF(I579&lt;&gt;"",I579,0),IF(H579="",0,IFERROR(INDEX($L$6:L578,MATCH(H579,$B$6:B578,0))+1,0))))</f>
        <v/>
      </c>
      <c r="K579" s="89" t="n"/>
      <c r="L579" s="126">
        <f>IF(J579="","",J579+MAX(1,G579)+IF(K579="",0,K579)-1)</f>
        <v/>
      </c>
      <c r="M579" s="72" t="n"/>
      <c r="N579" s="109" t="n"/>
      <c r="O579" s="127">
        <f>IF(D579="","",COUNTIF($H$7:$H$1006,B579))</f>
        <v/>
      </c>
      <c r="P579" s="78">
        <f>IF(D579="","",IF(AND(H579&lt;&gt;"",H579&gt;=B579),"⚠️ Predecessor must be above",IF(M579="Done","✓ Done",IF(Q579=3,"🔴 Late",IF(M579="In progress","In progress","")))))</f>
        <v/>
      </c>
      <c r="Q579" s="79">
        <f>IF(OR(D579="",L579=""),"",IF(M579="Done",2,IF(AsOf&gt;L579,3,1)))</f>
        <v/>
      </c>
      <c r="R579" s="79">
        <f>IF(OR(E579="",F579=""),0,IF(COUNTIFS($E$7:E579,E579,$F$7:F579,F579)=1,1,0))</f>
        <v/>
      </c>
      <c r="S579" s="79">
        <f>IF(R579=1,E579&amp;"|"&amp;SUMIFS($R$7:R579,$E$7:E579,E579),"")</f>
        <v/>
      </c>
      <c r="T579" s="112">
        <f>IF(Q579="","",IF(Q579=3,L579,IF(OR(M579="Not started",M579=""),J579,"")))</f>
        <v/>
      </c>
      <c r="U579" s="79">
        <f>IF(T579="","",IF(Q579=3,1,IF(T579="","",IF(T579&lt;AsOf,1,IF(T579&lt;=AsOf+AlertDays,2,IF(T579&lt;=AsOf+2*AlertDays,3,""))))))</f>
        <v/>
      </c>
      <c r="V579" s="79">
        <f>IF(U579="","",IF(Q579=3,"Late task: "&amp;D579,IF(T579&lt;AsOf,"Should have started: ","Starts soon: ")&amp;D579)&amp;IF(F579="",""," — "&amp;F579))</f>
        <v/>
      </c>
    </row>
    <row r="580" ht="20" customHeight="1">
      <c r="B580" s="125" t="n">
        <v>574</v>
      </c>
      <c r="C580" s="72" t="n"/>
      <c r="D580" s="72" t="n"/>
      <c r="E580" s="72" t="n"/>
      <c r="F580" s="72" t="n"/>
      <c r="G580" s="89" t="n"/>
      <c r="H580" s="89" t="n"/>
      <c r="I580" s="109" t="n"/>
      <c r="J580" s="126">
        <f>IF(OR(D580="",ProjStart=""),"",MAX(ProjStart,IF(I580&lt;&gt;"",I580,0),IF(H580="",0,IFERROR(INDEX($L$6:L579,MATCH(H580,$B$6:B579,0))+1,0))))</f>
        <v/>
      </c>
      <c r="K580" s="89" t="n"/>
      <c r="L580" s="126">
        <f>IF(J580="","",J580+MAX(1,G580)+IF(K580="",0,K580)-1)</f>
        <v/>
      </c>
      <c r="M580" s="72" t="n"/>
      <c r="N580" s="109" t="n"/>
      <c r="O580" s="127">
        <f>IF(D580="","",COUNTIF($H$7:$H$1006,B580))</f>
        <v/>
      </c>
      <c r="P580" s="78">
        <f>IF(D580="","",IF(AND(H580&lt;&gt;"",H580&gt;=B580),"⚠️ Predecessor must be above",IF(M580="Done","✓ Done",IF(Q580=3,"🔴 Late",IF(M580="In progress","In progress","")))))</f>
        <v/>
      </c>
      <c r="Q580" s="79">
        <f>IF(OR(D580="",L580=""),"",IF(M580="Done",2,IF(AsOf&gt;L580,3,1)))</f>
        <v/>
      </c>
      <c r="R580" s="79">
        <f>IF(OR(E580="",F580=""),0,IF(COUNTIFS($E$7:E580,E580,$F$7:F580,F580)=1,1,0))</f>
        <v/>
      </c>
      <c r="S580" s="79">
        <f>IF(R580=1,E580&amp;"|"&amp;SUMIFS($R$7:R580,$E$7:E580,E580),"")</f>
        <v/>
      </c>
      <c r="T580" s="112">
        <f>IF(Q580="","",IF(Q580=3,L580,IF(OR(M580="Not started",M580=""),J580,"")))</f>
        <v/>
      </c>
      <c r="U580" s="79">
        <f>IF(T580="","",IF(Q580=3,1,IF(T580="","",IF(T580&lt;AsOf,1,IF(T580&lt;=AsOf+AlertDays,2,IF(T580&lt;=AsOf+2*AlertDays,3,""))))))</f>
        <v/>
      </c>
      <c r="V580" s="79">
        <f>IF(U580="","",IF(Q580=3,"Late task: "&amp;D580,IF(T580&lt;AsOf,"Should have started: ","Starts soon: ")&amp;D580)&amp;IF(F580="",""," — "&amp;F580))</f>
        <v/>
      </c>
    </row>
    <row r="581" ht="20" customHeight="1">
      <c r="B581" s="125" t="n">
        <v>575</v>
      </c>
      <c r="C581" s="72" t="n"/>
      <c r="D581" s="72" t="n"/>
      <c r="E581" s="72" t="n"/>
      <c r="F581" s="72" t="n"/>
      <c r="G581" s="89" t="n"/>
      <c r="H581" s="89" t="n"/>
      <c r="I581" s="109" t="n"/>
      <c r="J581" s="126">
        <f>IF(OR(D581="",ProjStart=""),"",MAX(ProjStart,IF(I581&lt;&gt;"",I581,0),IF(H581="",0,IFERROR(INDEX($L$6:L580,MATCH(H581,$B$6:B580,0))+1,0))))</f>
        <v/>
      </c>
      <c r="K581" s="89" t="n"/>
      <c r="L581" s="126">
        <f>IF(J581="","",J581+MAX(1,G581)+IF(K581="",0,K581)-1)</f>
        <v/>
      </c>
      <c r="M581" s="72" t="n"/>
      <c r="N581" s="109" t="n"/>
      <c r="O581" s="127">
        <f>IF(D581="","",COUNTIF($H$7:$H$1006,B581))</f>
        <v/>
      </c>
      <c r="P581" s="78">
        <f>IF(D581="","",IF(AND(H581&lt;&gt;"",H581&gt;=B581),"⚠️ Predecessor must be above",IF(M581="Done","✓ Done",IF(Q581=3,"🔴 Late",IF(M581="In progress","In progress","")))))</f>
        <v/>
      </c>
      <c r="Q581" s="79">
        <f>IF(OR(D581="",L581=""),"",IF(M581="Done",2,IF(AsOf&gt;L581,3,1)))</f>
        <v/>
      </c>
      <c r="R581" s="79">
        <f>IF(OR(E581="",F581=""),0,IF(COUNTIFS($E$7:E581,E581,$F$7:F581,F581)=1,1,0))</f>
        <v/>
      </c>
      <c r="S581" s="79">
        <f>IF(R581=1,E581&amp;"|"&amp;SUMIFS($R$7:R581,$E$7:E581,E581),"")</f>
        <v/>
      </c>
      <c r="T581" s="112">
        <f>IF(Q581="","",IF(Q581=3,L581,IF(OR(M581="Not started",M581=""),J581,"")))</f>
        <v/>
      </c>
      <c r="U581" s="79">
        <f>IF(T581="","",IF(Q581=3,1,IF(T581="","",IF(T581&lt;AsOf,1,IF(T581&lt;=AsOf+AlertDays,2,IF(T581&lt;=AsOf+2*AlertDays,3,""))))))</f>
        <v/>
      </c>
      <c r="V581" s="79">
        <f>IF(U581="","",IF(Q581=3,"Late task: "&amp;D581,IF(T581&lt;AsOf,"Should have started: ","Starts soon: ")&amp;D581)&amp;IF(F581="",""," — "&amp;F581))</f>
        <v/>
      </c>
    </row>
    <row r="582" ht="20" customHeight="1">
      <c r="B582" s="125" t="n">
        <v>576</v>
      </c>
      <c r="C582" s="72" t="n"/>
      <c r="D582" s="72" t="n"/>
      <c r="E582" s="72" t="n"/>
      <c r="F582" s="72" t="n"/>
      <c r="G582" s="89" t="n"/>
      <c r="H582" s="89" t="n"/>
      <c r="I582" s="109" t="n"/>
      <c r="J582" s="126">
        <f>IF(OR(D582="",ProjStart=""),"",MAX(ProjStart,IF(I582&lt;&gt;"",I582,0),IF(H582="",0,IFERROR(INDEX($L$6:L581,MATCH(H582,$B$6:B581,0))+1,0))))</f>
        <v/>
      </c>
      <c r="K582" s="89" t="n"/>
      <c r="L582" s="126">
        <f>IF(J582="","",J582+MAX(1,G582)+IF(K582="",0,K582)-1)</f>
        <v/>
      </c>
      <c r="M582" s="72" t="n"/>
      <c r="N582" s="109" t="n"/>
      <c r="O582" s="127">
        <f>IF(D582="","",COUNTIF($H$7:$H$1006,B582))</f>
        <v/>
      </c>
      <c r="P582" s="78">
        <f>IF(D582="","",IF(AND(H582&lt;&gt;"",H582&gt;=B582),"⚠️ Predecessor must be above",IF(M582="Done","✓ Done",IF(Q582=3,"🔴 Late",IF(M582="In progress","In progress","")))))</f>
        <v/>
      </c>
      <c r="Q582" s="79">
        <f>IF(OR(D582="",L582=""),"",IF(M582="Done",2,IF(AsOf&gt;L582,3,1)))</f>
        <v/>
      </c>
      <c r="R582" s="79">
        <f>IF(OR(E582="",F582=""),0,IF(COUNTIFS($E$7:E582,E582,$F$7:F582,F582)=1,1,0))</f>
        <v/>
      </c>
      <c r="S582" s="79">
        <f>IF(R582=1,E582&amp;"|"&amp;SUMIFS($R$7:R582,$E$7:E582,E582),"")</f>
        <v/>
      </c>
      <c r="T582" s="112">
        <f>IF(Q582="","",IF(Q582=3,L582,IF(OR(M582="Not started",M582=""),J582,"")))</f>
        <v/>
      </c>
      <c r="U582" s="79">
        <f>IF(T582="","",IF(Q582=3,1,IF(T582="","",IF(T582&lt;AsOf,1,IF(T582&lt;=AsOf+AlertDays,2,IF(T582&lt;=AsOf+2*AlertDays,3,""))))))</f>
        <v/>
      </c>
      <c r="V582" s="79">
        <f>IF(U582="","",IF(Q582=3,"Late task: "&amp;D582,IF(T582&lt;AsOf,"Should have started: ","Starts soon: ")&amp;D582)&amp;IF(F582="",""," — "&amp;F582))</f>
        <v/>
      </c>
    </row>
    <row r="583" ht="20" customHeight="1">
      <c r="B583" s="125" t="n">
        <v>577</v>
      </c>
      <c r="C583" s="72" t="n"/>
      <c r="D583" s="72" t="n"/>
      <c r="E583" s="72" t="n"/>
      <c r="F583" s="72" t="n"/>
      <c r="G583" s="89" t="n"/>
      <c r="H583" s="89" t="n"/>
      <c r="I583" s="109" t="n"/>
      <c r="J583" s="126">
        <f>IF(OR(D583="",ProjStart=""),"",MAX(ProjStart,IF(I583&lt;&gt;"",I583,0),IF(H583="",0,IFERROR(INDEX($L$6:L582,MATCH(H583,$B$6:B582,0))+1,0))))</f>
        <v/>
      </c>
      <c r="K583" s="89" t="n"/>
      <c r="L583" s="126">
        <f>IF(J583="","",J583+MAX(1,G583)+IF(K583="",0,K583)-1)</f>
        <v/>
      </c>
      <c r="M583" s="72" t="n"/>
      <c r="N583" s="109" t="n"/>
      <c r="O583" s="127">
        <f>IF(D583="","",COUNTIF($H$7:$H$1006,B583))</f>
        <v/>
      </c>
      <c r="P583" s="78">
        <f>IF(D583="","",IF(AND(H583&lt;&gt;"",H583&gt;=B583),"⚠️ Predecessor must be above",IF(M583="Done","✓ Done",IF(Q583=3,"🔴 Late",IF(M583="In progress","In progress","")))))</f>
        <v/>
      </c>
      <c r="Q583" s="79">
        <f>IF(OR(D583="",L583=""),"",IF(M583="Done",2,IF(AsOf&gt;L583,3,1)))</f>
        <v/>
      </c>
      <c r="R583" s="79">
        <f>IF(OR(E583="",F583=""),0,IF(COUNTIFS($E$7:E583,E583,$F$7:F583,F583)=1,1,0))</f>
        <v/>
      </c>
      <c r="S583" s="79">
        <f>IF(R583=1,E583&amp;"|"&amp;SUMIFS($R$7:R583,$E$7:E583,E583),"")</f>
        <v/>
      </c>
      <c r="T583" s="112">
        <f>IF(Q583="","",IF(Q583=3,L583,IF(OR(M583="Not started",M583=""),J583,"")))</f>
        <v/>
      </c>
      <c r="U583" s="79">
        <f>IF(T583="","",IF(Q583=3,1,IF(T583="","",IF(T583&lt;AsOf,1,IF(T583&lt;=AsOf+AlertDays,2,IF(T583&lt;=AsOf+2*AlertDays,3,""))))))</f>
        <v/>
      </c>
      <c r="V583" s="79">
        <f>IF(U583="","",IF(Q583=3,"Late task: "&amp;D583,IF(T583&lt;AsOf,"Should have started: ","Starts soon: ")&amp;D583)&amp;IF(F583="",""," — "&amp;F583))</f>
        <v/>
      </c>
    </row>
    <row r="584" ht="20" customHeight="1">
      <c r="B584" s="125" t="n">
        <v>578</v>
      </c>
      <c r="C584" s="72" t="n"/>
      <c r="D584" s="72" t="n"/>
      <c r="E584" s="72" t="n"/>
      <c r="F584" s="72" t="n"/>
      <c r="G584" s="89" t="n"/>
      <c r="H584" s="89" t="n"/>
      <c r="I584" s="109" t="n"/>
      <c r="J584" s="126">
        <f>IF(OR(D584="",ProjStart=""),"",MAX(ProjStart,IF(I584&lt;&gt;"",I584,0),IF(H584="",0,IFERROR(INDEX($L$6:L583,MATCH(H584,$B$6:B583,0))+1,0))))</f>
        <v/>
      </c>
      <c r="K584" s="89" t="n"/>
      <c r="L584" s="126">
        <f>IF(J584="","",J584+MAX(1,G584)+IF(K584="",0,K584)-1)</f>
        <v/>
      </c>
      <c r="M584" s="72" t="n"/>
      <c r="N584" s="109" t="n"/>
      <c r="O584" s="127">
        <f>IF(D584="","",COUNTIF($H$7:$H$1006,B584))</f>
        <v/>
      </c>
      <c r="P584" s="78">
        <f>IF(D584="","",IF(AND(H584&lt;&gt;"",H584&gt;=B584),"⚠️ Predecessor must be above",IF(M584="Done","✓ Done",IF(Q584=3,"🔴 Late",IF(M584="In progress","In progress","")))))</f>
        <v/>
      </c>
      <c r="Q584" s="79">
        <f>IF(OR(D584="",L584=""),"",IF(M584="Done",2,IF(AsOf&gt;L584,3,1)))</f>
        <v/>
      </c>
      <c r="R584" s="79">
        <f>IF(OR(E584="",F584=""),0,IF(COUNTIFS($E$7:E584,E584,$F$7:F584,F584)=1,1,0))</f>
        <v/>
      </c>
      <c r="S584" s="79">
        <f>IF(R584=1,E584&amp;"|"&amp;SUMIFS($R$7:R584,$E$7:E584,E584),"")</f>
        <v/>
      </c>
      <c r="T584" s="112">
        <f>IF(Q584="","",IF(Q584=3,L584,IF(OR(M584="Not started",M584=""),J584,"")))</f>
        <v/>
      </c>
      <c r="U584" s="79">
        <f>IF(T584="","",IF(Q584=3,1,IF(T584="","",IF(T584&lt;AsOf,1,IF(T584&lt;=AsOf+AlertDays,2,IF(T584&lt;=AsOf+2*AlertDays,3,""))))))</f>
        <v/>
      </c>
      <c r="V584" s="79">
        <f>IF(U584="","",IF(Q584=3,"Late task: "&amp;D584,IF(T584&lt;AsOf,"Should have started: ","Starts soon: ")&amp;D584)&amp;IF(F584="",""," — "&amp;F584))</f>
        <v/>
      </c>
    </row>
    <row r="585" ht="20" customHeight="1">
      <c r="B585" s="125" t="n">
        <v>579</v>
      </c>
      <c r="C585" s="72" t="n"/>
      <c r="D585" s="72" t="n"/>
      <c r="E585" s="72" t="n"/>
      <c r="F585" s="72" t="n"/>
      <c r="G585" s="89" t="n"/>
      <c r="H585" s="89" t="n"/>
      <c r="I585" s="109" t="n"/>
      <c r="J585" s="126">
        <f>IF(OR(D585="",ProjStart=""),"",MAX(ProjStart,IF(I585&lt;&gt;"",I585,0),IF(H585="",0,IFERROR(INDEX($L$6:L584,MATCH(H585,$B$6:B584,0))+1,0))))</f>
        <v/>
      </c>
      <c r="K585" s="89" t="n"/>
      <c r="L585" s="126">
        <f>IF(J585="","",J585+MAX(1,G585)+IF(K585="",0,K585)-1)</f>
        <v/>
      </c>
      <c r="M585" s="72" t="n"/>
      <c r="N585" s="109" t="n"/>
      <c r="O585" s="127">
        <f>IF(D585="","",COUNTIF($H$7:$H$1006,B585))</f>
        <v/>
      </c>
      <c r="P585" s="78">
        <f>IF(D585="","",IF(AND(H585&lt;&gt;"",H585&gt;=B585),"⚠️ Predecessor must be above",IF(M585="Done","✓ Done",IF(Q585=3,"🔴 Late",IF(M585="In progress","In progress","")))))</f>
        <v/>
      </c>
      <c r="Q585" s="79">
        <f>IF(OR(D585="",L585=""),"",IF(M585="Done",2,IF(AsOf&gt;L585,3,1)))</f>
        <v/>
      </c>
      <c r="R585" s="79">
        <f>IF(OR(E585="",F585=""),0,IF(COUNTIFS($E$7:E585,E585,$F$7:F585,F585)=1,1,0))</f>
        <v/>
      </c>
      <c r="S585" s="79">
        <f>IF(R585=1,E585&amp;"|"&amp;SUMIFS($R$7:R585,$E$7:E585,E585),"")</f>
        <v/>
      </c>
      <c r="T585" s="112">
        <f>IF(Q585="","",IF(Q585=3,L585,IF(OR(M585="Not started",M585=""),J585,"")))</f>
        <v/>
      </c>
      <c r="U585" s="79">
        <f>IF(T585="","",IF(Q585=3,1,IF(T585="","",IF(T585&lt;AsOf,1,IF(T585&lt;=AsOf+AlertDays,2,IF(T585&lt;=AsOf+2*AlertDays,3,""))))))</f>
        <v/>
      </c>
      <c r="V585" s="79">
        <f>IF(U585="","",IF(Q585=3,"Late task: "&amp;D585,IF(T585&lt;AsOf,"Should have started: ","Starts soon: ")&amp;D585)&amp;IF(F585="",""," — "&amp;F585))</f>
        <v/>
      </c>
    </row>
    <row r="586" ht="20" customHeight="1">
      <c r="B586" s="125" t="n">
        <v>580</v>
      </c>
      <c r="C586" s="72" t="n"/>
      <c r="D586" s="72" t="n"/>
      <c r="E586" s="72" t="n"/>
      <c r="F586" s="72" t="n"/>
      <c r="G586" s="89" t="n"/>
      <c r="H586" s="89" t="n"/>
      <c r="I586" s="109" t="n"/>
      <c r="J586" s="126">
        <f>IF(OR(D586="",ProjStart=""),"",MAX(ProjStart,IF(I586&lt;&gt;"",I586,0),IF(H586="",0,IFERROR(INDEX($L$6:L585,MATCH(H586,$B$6:B585,0))+1,0))))</f>
        <v/>
      </c>
      <c r="K586" s="89" t="n"/>
      <c r="L586" s="126">
        <f>IF(J586="","",J586+MAX(1,G586)+IF(K586="",0,K586)-1)</f>
        <v/>
      </c>
      <c r="M586" s="72" t="n"/>
      <c r="N586" s="109" t="n"/>
      <c r="O586" s="127">
        <f>IF(D586="","",COUNTIF($H$7:$H$1006,B586))</f>
        <v/>
      </c>
      <c r="P586" s="78">
        <f>IF(D586="","",IF(AND(H586&lt;&gt;"",H586&gt;=B586),"⚠️ Predecessor must be above",IF(M586="Done","✓ Done",IF(Q586=3,"🔴 Late",IF(M586="In progress","In progress","")))))</f>
        <v/>
      </c>
      <c r="Q586" s="79">
        <f>IF(OR(D586="",L586=""),"",IF(M586="Done",2,IF(AsOf&gt;L586,3,1)))</f>
        <v/>
      </c>
      <c r="R586" s="79">
        <f>IF(OR(E586="",F586=""),0,IF(COUNTIFS($E$7:E586,E586,$F$7:F586,F586)=1,1,0))</f>
        <v/>
      </c>
      <c r="S586" s="79">
        <f>IF(R586=1,E586&amp;"|"&amp;SUMIFS($R$7:R586,$E$7:E586,E586),"")</f>
        <v/>
      </c>
      <c r="T586" s="112">
        <f>IF(Q586="","",IF(Q586=3,L586,IF(OR(M586="Not started",M586=""),J586,"")))</f>
        <v/>
      </c>
      <c r="U586" s="79">
        <f>IF(T586="","",IF(Q586=3,1,IF(T586="","",IF(T586&lt;AsOf,1,IF(T586&lt;=AsOf+AlertDays,2,IF(T586&lt;=AsOf+2*AlertDays,3,""))))))</f>
        <v/>
      </c>
      <c r="V586" s="79">
        <f>IF(U586="","",IF(Q586=3,"Late task: "&amp;D586,IF(T586&lt;AsOf,"Should have started: ","Starts soon: ")&amp;D586)&amp;IF(F586="",""," — "&amp;F586))</f>
        <v/>
      </c>
    </row>
    <row r="587" ht="20" customHeight="1">
      <c r="B587" s="125" t="n">
        <v>581</v>
      </c>
      <c r="C587" s="72" t="n"/>
      <c r="D587" s="72" t="n"/>
      <c r="E587" s="72" t="n"/>
      <c r="F587" s="72" t="n"/>
      <c r="G587" s="89" t="n"/>
      <c r="H587" s="89" t="n"/>
      <c r="I587" s="109" t="n"/>
      <c r="J587" s="126">
        <f>IF(OR(D587="",ProjStart=""),"",MAX(ProjStart,IF(I587&lt;&gt;"",I587,0),IF(H587="",0,IFERROR(INDEX($L$6:L586,MATCH(H587,$B$6:B586,0))+1,0))))</f>
        <v/>
      </c>
      <c r="K587" s="89" t="n"/>
      <c r="L587" s="126">
        <f>IF(J587="","",J587+MAX(1,G587)+IF(K587="",0,K587)-1)</f>
        <v/>
      </c>
      <c r="M587" s="72" t="n"/>
      <c r="N587" s="109" t="n"/>
      <c r="O587" s="127">
        <f>IF(D587="","",COUNTIF($H$7:$H$1006,B587))</f>
        <v/>
      </c>
      <c r="P587" s="78">
        <f>IF(D587="","",IF(AND(H587&lt;&gt;"",H587&gt;=B587),"⚠️ Predecessor must be above",IF(M587="Done","✓ Done",IF(Q587=3,"🔴 Late",IF(M587="In progress","In progress","")))))</f>
        <v/>
      </c>
      <c r="Q587" s="79">
        <f>IF(OR(D587="",L587=""),"",IF(M587="Done",2,IF(AsOf&gt;L587,3,1)))</f>
        <v/>
      </c>
      <c r="R587" s="79">
        <f>IF(OR(E587="",F587=""),0,IF(COUNTIFS($E$7:E587,E587,$F$7:F587,F587)=1,1,0))</f>
        <v/>
      </c>
      <c r="S587" s="79">
        <f>IF(R587=1,E587&amp;"|"&amp;SUMIFS($R$7:R587,$E$7:E587,E587),"")</f>
        <v/>
      </c>
      <c r="T587" s="112">
        <f>IF(Q587="","",IF(Q587=3,L587,IF(OR(M587="Not started",M587=""),J587,"")))</f>
        <v/>
      </c>
      <c r="U587" s="79">
        <f>IF(T587="","",IF(Q587=3,1,IF(T587="","",IF(T587&lt;AsOf,1,IF(T587&lt;=AsOf+AlertDays,2,IF(T587&lt;=AsOf+2*AlertDays,3,""))))))</f>
        <v/>
      </c>
      <c r="V587" s="79">
        <f>IF(U587="","",IF(Q587=3,"Late task: "&amp;D587,IF(T587&lt;AsOf,"Should have started: ","Starts soon: ")&amp;D587)&amp;IF(F587="",""," — "&amp;F587))</f>
        <v/>
      </c>
    </row>
    <row r="588" ht="20" customHeight="1">
      <c r="B588" s="125" t="n">
        <v>582</v>
      </c>
      <c r="C588" s="72" t="n"/>
      <c r="D588" s="72" t="n"/>
      <c r="E588" s="72" t="n"/>
      <c r="F588" s="72" t="n"/>
      <c r="G588" s="89" t="n"/>
      <c r="H588" s="89" t="n"/>
      <c r="I588" s="109" t="n"/>
      <c r="J588" s="126">
        <f>IF(OR(D588="",ProjStart=""),"",MAX(ProjStart,IF(I588&lt;&gt;"",I588,0),IF(H588="",0,IFERROR(INDEX($L$6:L587,MATCH(H588,$B$6:B587,0))+1,0))))</f>
        <v/>
      </c>
      <c r="K588" s="89" t="n"/>
      <c r="L588" s="126">
        <f>IF(J588="","",J588+MAX(1,G588)+IF(K588="",0,K588)-1)</f>
        <v/>
      </c>
      <c r="M588" s="72" t="n"/>
      <c r="N588" s="109" t="n"/>
      <c r="O588" s="127">
        <f>IF(D588="","",COUNTIF($H$7:$H$1006,B588))</f>
        <v/>
      </c>
      <c r="P588" s="78">
        <f>IF(D588="","",IF(AND(H588&lt;&gt;"",H588&gt;=B588),"⚠️ Predecessor must be above",IF(M588="Done","✓ Done",IF(Q588=3,"🔴 Late",IF(M588="In progress","In progress","")))))</f>
        <v/>
      </c>
      <c r="Q588" s="79">
        <f>IF(OR(D588="",L588=""),"",IF(M588="Done",2,IF(AsOf&gt;L588,3,1)))</f>
        <v/>
      </c>
      <c r="R588" s="79">
        <f>IF(OR(E588="",F588=""),0,IF(COUNTIFS($E$7:E588,E588,$F$7:F588,F588)=1,1,0))</f>
        <v/>
      </c>
      <c r="S588" s="79">
        <f>IF(R588=1,E588&amp;"|"&amp;SUMIFS($R$7:R588,$E$7:E588,E588),"")</f>
        <v/>
      </c>
      <c r="T588" s="112">
        <f>IF(Q588="","",IF(Q588=3,L588,IF(OR(M588="Not started",M588=""),J588,"")))</f>
        <v/>
      </c>
      <c r="U588" s="79">
        <f>IF(T588="","",IF(Q588=3,1,IF(T588="","",IF(T588&lt;AsOf,1,IF(T588&lt;=AsOf+AlertDays,2,IF(T588&lt;=AsOf+2*AlertDays,3,""))))))</f>
        <v/>
      </c>
      <c r="V588" s="79">
        <f>IF(U588="","",IF(Q588=3,"Late task: "&amp;D588,IF(T588&lt;AsOf,"Should have started: ","Starts soon: ")&amp;D588)&amp;IF(F588="",""," — "&amp;F588))</f>
        <v/>
      </c>
    </row>
    <row r="589" ht="20" customHeight="1">
      <c r="B589" s="125" t="n">
        <v>583</v>
      </c>
      <c r="C589" s="72" t="n"/>
      <c r="D589" s="72" t="n"/>
      <c r="E589" s="72" t="n"/>
      <c r="F589" s="72" t="n"/>
      <c r="G589" s="89" t="n"/>
      <c r="H589" s="89" t="n"/>
      <c r="I589" s="109" t="n"/>
      <c r="J589" s="126">
        <f>IF(OR(D589="",ProjStart=""),"",MAX(ProjStart,IF(I589&lt;&gt;"",I589,0),IF(H589="",0,IFERROR(INDEX($L$6:L588,MATCH(H589,$B$6:B588,0))+1,0))))</f>
        <v/>
      </c>
      <c r="K589" s="89" t="n"/>
      <c r="L589" s="126">
        <f>IF(J589="","",J589+MAX(1,G589)+IF(K589="",0,K589)-1)</f>
        <v/>
      </c>
      <c r="M589" s="72" t="n"/>
      <c r="N589" s="109" t="n"/>
      <c r="O589" s="127">
        <f>IF(D589="","",COUNTIF($H$7:$H$1006,B589))</f>
        <v/>
      </c>
      <c r="P589" s="78">
        <f>IF(D589="","",IF(AND(H589&lt;&gt;"",H589&gt;=B589),"⚠️ Predecessor must be above",IF(M589="Done","✓ Done",IF(Q589=3,"🔴 Late",IF(M589="In progress","In progress","")))))</f>
        <v/>
      </c>
      <c r="Q589" s="79">
        <f>IF(OR(D589="",L589=""),"",IF(M589="Done",2,IF(AsOf&gt;L589,3,1)))</f>
        <v/>
      </c>
      <c r="R589" s="79">
        <f>IF(OR(E589="",F589=""),0,IF(COUNTIFS($E$7:E589,E589,$F$7:F589,F589)=1,1,0))</f>
        <v/>
      </c>
      <c r="S589" s="79">
        <f>IF(R589=1,E589&amp;"|"&amp;SUMIFS($R$7:R589,$E$7:E589,E589),"")</f>
        <v/>
      </c>
      <c r="T589" s="112">
        <f>IF(Q589="","",IF(Q589=3,L589,IF(OR(M589="Not started",M589=""),J589,"")))</f>
        <v/>
      </c>
      <c r="U589" s="79">
        <f>IF(T589="","",IF(Q589=3,1,IF(T589="","",IF(T589&lt;AsOf,1,IF(T589&lt;=AsOf+AlertDays,2,IF(T589&lt;=AsOf+2*AlertDays,3,""))))))</f>
        <v/>
      </c>
      <c r="V589" s="79">
        <f>IF(U589="","",IF(Q589=3,"Late task: "&amp;D589,IF(T589&lt;AsOf,"Should have started: ","Starts soon: ")&amp;D589)&amp;IF(F589="",""," — "&amp;F589))</f>
        <v/>
      </c>
    </row>
    <row r="590" ht="20" customHeight="1">
      <c r="B590" s="125" t="n">
        <v>584</v>
      </c>
      <c r="C590" s="72" t="n"/>
      <c r="D590" s="72" t="n"/>
      <c r="E590" s="72" t="n"/>
      <c r="F590" s="72" t="n"/>
      <c r="G590" s="89" t="n"/>
      <c r="H590" s="89" t="n"/>
      <c r="I590" s="109" t="n"/>
      <c r="J590" s="126">
        <f>IF(OR(D590="",ProjStart=""),"",MAX(ProjStart,IF(I590&lt;&gt;"",I590,0),IF(H590="",0,IFERROR(INDEX($L$6:L589,MATCH(H590,$B$6:B589,0))+1,0))))</f>
        <v/>
      </c>
      <c r="K590" s="89" t="n"/>
      <c r="L590" s="126">
        <f>IF(J590="","",J590+MAX(1,G590)+IF(K590="",0,K590)-1)</f>
        <v/>
      </c>
      <c r="M590" s="72" t="n"/>
      <c r="N590" s="109" t="n"/>
      <c r="O590" s="127">
        <f>IF(D590="","",COUNTIF($H$7:$H$1006,B590))</f>
        <v/>
      </c>
      <c r="P590" s="78">
        <f>IF(D590="","",IF(AND(H590&lt;&gt;"",H590&gt;=B590),"⚠️ Predecessor must be above",IF(M590="Done","✓ Done",IF(Q590=3,"🔴 Late",IF(M590="In progress","In progress","")))))</f>
        <v/>
      </c>
      <c r="Q590" s="79">
        <f>IF(OR(D590="",L590=""),"",IF(M590="Done",2,IF(AsOf&gt;L590,3,1)))</f>
        <v/>
      </c>
      <c r="R590" s="79">
        <f>IF(OR(E590="",F590=""),0,IF(COUNTIFS($E$7:E590,E590,$F$7:F590,F590)=1,1,0))</f>
        <v/>
      </c>
      <c r="S590" s="79">
        <f>IF(R590=1,E590&amp;"|"&amp;SUMIFS($R$7:R590,$E$7:E590,E590),"")</f>
        <v/>
      </c>
      <c r="T590" s="112">
        <f>IF(Q590="","",IF(Q590=3,L590,IF(OR(M590="Not started",M590=""),J590,"")))</f>
        <v/>
      </c>
      <c r="U590" s="79">
        <f>IF(T590="","",IF(Q590=3,1,IF(T590="","",IF(T590&lt;AsOf,1,IF(T590&lt;=AsOf+AlertDays,2,IF(T590&lt;=AsOf+2*AlertDays,3,""))))))</f>
        <v/>
      </c>
      <c r="V590" s="79">
        <f>IF(U590="","",IF(Q590=3,"Late task: "&amp;D590,IF(T590&lt;AsOf,"Should have started: ","Starts soon: ")&amp;D590)&amp;IF(F590="",""," — "&amp;F590))</f>
        <v/>
      </c>
    </row>
    <row r="591" ht="20" customHeight="1">
      <c r="B591" s="125" t="n">
        <v>585</v>
      </c>
      <c r="C591" s="72" t="n"/>
      <c r="D591" s="72" t="n"/>
      <c r="E591" s="72" t="n"/>
      <c r="F591" s="72" t="n"/>
      <c r="G591" s="89" t="n"/>
      <c r="H591" s="89" t="n"/>
      <c r="I591" s="109" t="n"/>
      <c r="J591" s="126">
        <f>IF(OR(D591="",ProjStart=""),"",MAX(ProjStart,IF(I591&lt;&gt;"",I591,0),IF(H591="",0,IFERROR(INDEX($L$6:L590,MATCH(H591,$B$6:B590,0))+1,0))))</f>
        <v/>
      </c>
      <c r="K591" s="89" t="n"/>
      <c r="L591" s="126">
        <f>IF(J591="","",J591+MAX(1,G591)+IF(K591="",0,K591)-1)</f>
        <v/>
      </c>
      <c r="M591" s="72" t="n"/>
      <c r="N591" s="109" t="n"/>
      <c r="O591" s="127">
        <f>IF(D591="","",COUNTIF($H$7:$H$1006,B591))</f>
        <v/>
      </c>
      <c r="P591" s="78">
        <f>IF(D591="","",IF(AND(H591&lt;&gt;"",H591&gt;=B591),"⚠️ Predecessor must be above",IF(M591="Done","✓ Done",IF(Q591=3,"🔴 Late",IF(M591="In progress","In progress","")))))</f>
        <v/>
      </c>
      <c r="Q591" s="79">
        <f>IF(OR(D591="",L591=""),"",IF(M591="Done",2,IF(AsOf&gt;L591,3,1)))</f>
        <v/>
      </c>
      <c r="R591" s="79">
        <f>IF(OR(E591="",F591=""),0,IF(COUNTIFS($E$7:E591,E591,$F$7:F591,F591)=1,1,0))</f>
        <v/>
      </c>
      <c r="S591" s="79">
        <f>IF(R591=1,E591&amp;"|"&amp;SUMIFS($R$7:R591,$E$7:E591,E591),"")</f>
        <v/>
      </c>
      <c r="T591" s="112">
        <f>IF(Q591="","",IF(Q591=3,L591,IF(OR(M591="Not started",M591=""),J591,"")))</f>
        <v/>
      </c>
      <c r="U591" s="79">
        <f>IF(T591="","",IF(Q591=3,1,IF(T591="","",IF(T591&lt;AsOf,1,IF(T591&lt;=AsOf+AlertDays,2,IF(T591&lt;=AsOf+2*AlertDays,3,""))))))</f>
        <v/>
      </c>
      <c r="V591" s="79">
        <f>IF(U591="","",IF(Q591=3,"Late task: "&amp;D591,IF(T591&lt;AsOf,"Should have started: ","Starts soon: ")&amp;D591)&amp;IF(F591="",""," — "&amp;F591))</f>
        <v/>
      </c>
    </row>
    <row r="592" ht="20" customHeight="1">
      <c r="B592" s="125" t="n">
        <v>586</v>
      </c>
      <c r="C592" s="72" t="n"/>
      <c r="D592" s="72" t="n"/>
      <c r="E592" s="72" t="n"/>
      <c r="F592" s="72" t="n"/>
      <c r="G592" s="89" t="n"/>
      <c r="H592" s="89" t="n"/>
      <c r="I592" s="109" t="n"/>
      <c r="J592" s="126">
        <f>IF(OR(D592="",ProjStart=""),"",MAX(ProjStart,IF(I592&lt;&gt;"",I592,0),IF(H592="",0,IFERROR(INDEX($L$6:L591,MATCH(H592,$B$6:B591,0))+1,0))))</f>
        <v/>
      </c>
      <c r="K592" s="89" t="n"/>
      <c r="L592" s="126">
        <f>IF(J592="","",J592+MAX(1,G592)+IF(K592="",0,K592)-1)</f>
        <v/>
      </c>
      <c r="M592" s="72" t="n"/>
      <c r="N592" s="109" t="n"/>
      <c r="O592" s="127">
        <f>IF(D592="","",COUNTIF($H$7:$H$1006,B592))</f>
        <v/>
      </c>
      <c r="P592" s="78">
        <f>IF(D592="","",IF(AND(H592&lt;&gt;"",H592&gt;=B592),"⚠️ Predecessor must be above",IF(M592="Done","✓ Done",IF(Q592=3,"🔴 Late",IF(M592="In progress","In progress","")))))</f>
        <v/>
      </c>
      <c r="Q592" s="79">
        <f>IF(OR(D592="",L592=""),"",IF(M592="Done",2,IF(AsOf&gt;L592,3,1)))</f>
        <v/>
      </c>
      <c r="R592" s="79">
        <f>IF(OR(E592="",F592=""),0,IF(COUNTIFS($E$7:E592,E592,$F$7:F592,F592)=1,1,0))</f>
        <v/>
      </c>
      <c r="S592" s="79">
        <f>IF(R592=1,E592&amp;"|"&amp;SUMIFS($R$7:R592,$E$7:E592,E592),"")</f>
        <v/>
      </c>
      <c r="T592" s="112">
        <f>IF(Q592="","",IF(Q592=3,L592,IF(OR(M592="Not started",M592=""),J592,"")))</f>
        <v/>
      </c>
      <c r="U592" s="79">
        <f>IF(T592="","",IF(Q592=3,1,IF(T592="","",IF(T592&lt;AsOf,1,IF(T592&lt;=AsOf+AlertDays,2,IF(T592&lt;=AsOf+2*AlertDays,3,""))))))</f>
        <v/>
      </c>
      <c r="V592" s="79">
        <f>IF(U592="","",IF(Q592=3,"Late task: "&amp;D592,IF(T592&lt;AsOf,"Should have started: ","Starts soon: ")&amp;D592)&amp;IF(F592="",""," — "&amp;F592))</f>
        <v/>
      </c>
    </row>
    <row r="593" ht="20" customHeight="1">
      <c r="B593" s="125" t="n">
        <v>587</v>
      </c>
      <c r="C593" s="72" t="n"/>
      <c r="D593" s="72" t="n"/>
      <c r="E593" s="72" t="n"/>
      <c r="F593" s="72" t="n"/>
      <c r="G593" s="89" t="n"/>
      <c r="H593" s="89" t="n"/>
      <c r="I593" s="109" t="n"/>
      <c r="J593" s="126">
        <f>IF(OR(D593="",ProjStart=""),"",MAX(ProjStart,IF(I593&lt;&gt;"",I593,0),IF(H593="",0,IFERROR(INDEX($L$6:L592,MATCH(H593,$B$6:B592,0))+1,0))))</f>
        <v/>
      </c>
      <c r="K593" s="89" t="n"/>
      <c r="L593" s="126">
        <f>IF(J593="","",J593+MAX(1,G593)+IF(K593="",0,K593)-1)</f>
        <v/>
      </c>
      <c r="M593" s="72" t="n"/>
      <c r="N593" s="109" t="n"/>
      <c r="O593" s="127">
        <f>IF(D593="","",COUNTIF($H$7:$H$1006,B593))</f>
        <v/>
      </c>
      <c r="P593" s="78">
        <f>IF(D593="","",IF(AND(H593&lt;&gt;"",H593&gt;=B593),"⚠️ Predecessor must be above",IF(M593="Done","✓ Done",IF(Q593=3,"🔴 Late",IF(M593="In progress","In progress","")))))</f>
        <v/>
      </c>
      <c r="Q593" s="79">
        <f>IF(OR(D593="",L593=""),"",IF(M593="Done",2,IF(AsOf&gt;L593,3,1)))</f>
        <v/>
      </c>
      <c r="R593" s="79">
        <f>IF(OR(E593="",F593=""),0,IF(COUNTIFS($E$7:E593,E593,$F$7:F593,F593)=1,1,0))</f>
        <v/>
      </c>
      <c r="S593" s="79">
        <f>IF(R593=1,E593&amp;"|"&amp;SUMIFS($R$7:R593,$E$7:E593,E593),"")</f>
        <v/>
      </c>
      <c r="T593" s="112">
        <f>IF(Q593="","",IF(Q593=3,L593,IF(OR(M593="Not started",M593=""),J593,"")))</f>
        <v/>
      </c>
      <c r="U593" s="79">
        <f>IF(T593="","",IF(Q593=3,1,IF(T593="","",IF(T593&lt;AsOf,1,IF(T593&lt;=AsOf+AlertDays,2,IF(T593&lt;=AsOf+2*AlertDays,3,""))))))</f>
        <v/>
      </c>
      <c r="V593" s="79">
        <f>IF(U593="","",IF(Q593=3,"Late task: "&amp;D593,IF(T593&lt;AsOf,"Should have started: ","Starts soon: ")&amp;D593)&amp;IF(F593="",""," — "&amp;F593))</f>
        <v/>
      </c>
    </row>
    <row r="594" ht="20" customHeight="1">
      <c r="B594" s="125" t="n">
        <v>588</v>
      </c>
      <c r="C594" s="72" t="n"/>
      <c r="D594" s="72" t="n"/>
      <c r="E594" s="72" t="n"/>
      <c r="F594" s="72" t="n"/>
      <c r="G594" s="89" t="n"/>
      <c r="H594" s="89" t="n"/>
      <c r="I594" s="109" t="n"/>
      <c r="J594" s="126">
        <f>IF(OR(D594="",ProjStart=""),"",MAX(ProjStart,IF(I594&lt;&gt;"",I594,0),IF(H594="",0,IFERROR(INDEX($L$6:L593,MATCH(H594,$B$6:B593,0))+1,0))))</f>
        <v/>
      </c>
      <c r="K594" s="89" t="n"/>
      <c r="L594" s="126">
        <f>IF(J594="","",J594+MAX(1,G594)+IF(K594="",0,K594)-1)</f>
        <v/>
      </c>
      <c r="M594" s="72" t="n"/>
      <c r="N594" s="109" t="n"/>
      <c r="O594" s="127">
        <f>IF(D594="","",COUNTIF($H$7:$H$1006,B594))</f>
        <v/>
      </c>
      <c r="P594" s="78">
        <f>IF(D594="","",IF(AND(H594&lt;&gt;"",H594&gt;=B594),"⚠️ Predecessor must be above",IF(M594="Done","✓ Done",IF(Q594=3,"🔴 Late",IF(M594="In progress","In progress","")))))</f>
        <v/>
      </c>
      <c r="Q594" s="79">
        <f>IF(OR(D594="",L594=""),"",IF(M594="Done",2,IF(AsOf&gt;L594,3,1)))</f>
        <v/>
      </c>
      <c r="R594" s="79">
        <f>IF(OR(E594="",F594=""),0,IF(COUNTIFS($E$7:E594,E594,$F$7:F594,F594)=1,1,0))</f>
        <v/>
      </c>
      <c r="S594" s="79">
        <f>IF(R594=1,E594&amp;"|"&amp;SUMIFS($R$7:R594,$E$7:E594,E594),"")</f>
        <v/>
      </c>
      <c r="T594" s="112">
        <f>IF(Q594="","",IF(Q594=3,L594,IF(OR(M594="Not started",M594=""),J594,"")))</f>
        <v/>
      </c>
      <c r="U594" s="79">
        <f>IF(T594="","",IF(Q594=3,1,IF(T594="","",IF(T594&lt;AsOf,1,IF(T594&lt;=AsOf+AlertDays,2,IF(T594&lt;=AsOf+2*AlertDays,3,""))))))</f>
        <v/>
      </c>
      <c r="V594" s="79">
        <f>IF(U594="","",IF(Q594=3,"Late task: "&amp;D594,IF(T594&lt;AsOf,"Should have started: ","Starts soon: ")&amp;D594)&amp;IF(F594="",""," — "&amp;F594))</f>
        <v/>
      </c>
    </row>
    <row r="595" ht="20" customHeight="1">
      <c r="B595" s="125" t="n">
        <v>589</v>
      </c>
      <c r="C595" s="72" t="n"/>
      <c r="D595" s="72" t="n"/>
      <c r="E595" s="72" t="n"/>
      <c r="F595" s="72" t="n"/>
      <c r="G595" s="89" t="n"/>
      <c r="H595" s="89" t="n"/>
      <c r="I595" s="109" t="n"/>
      <c r="J595" s="126">
        <f>IF(OR(D595="",ProjStart=""),"",MAX(ProjStart,IF(I595&lt;&gt;"",I595,0),IF(H595="",0,IFERROR(INDEX($L$6:L594,MATCH(H595,$B$6:B594,0))+1,0))))</f>
        <v/>
      </c>
      <c r="K595" s="89" t="n"/>
      <c r="L595" s="126">
        <f>IF(J595="","",J595+MAX(1,G595)+IF(K595="",0,K595)-1)</f>
        <v/>
      </c>
      <c r="M595" s="72" t="n"/>
      <c r="N595" s="109" t="n"/>
      <c r="O595" s="127">
        <f>IF(D595="","",COUNTIF($H$7:$H$1006,B595))</f>
        <v/>
      </c>
      <c r="P595" s="78">
        <f>IF(D595="","",IF(AND(H595&lt;&gt;"",H595&gt;=B595),"⚠️ Predecessor must be above",IF(M595="Done","✓ Done",IF(Q595=3,"🔴 Late",IF(M595="In progress","In progress","")))))</f>
        <v/>
      </c>
      <c r="Q595" s="79">
        <f>IF(OR(D595="",L595=""),"",IF(M595="Done",2,IF(AsOf&gt;L595,3,1)))</f>
        <v/>
      </c>
      <c r="R595" s="79">
        <f>IF(OR(E595="",F595=""),0,IF(COUNTIFS($E$7:E595,E595,$F$7:F595,F595)=1,1,0))</f>
        <v/>
      </c>
      <c r="S595" s="79">
        <f>IF(R595=1,E595&amp;"|"&amp;SUMIFS($R$7:R595,$E$7:E595,E595),"")</f>
        <v/>
      </c>
      <c r="T595" s="112">
        <f>IF(Q595="","",IF(Q595=3,L595,IF(OR(M595="Not started",M595=""),J595,"")))</f>
        <v/>
      </c>
      <c r="U595" s="79">
        <f>IF(T595="","",IF(Q595=3,1,IF(T595="","",IF(T595&lt;AsOf,1,IF(T595&lt;=AsOf+AlertDays,2,IF(T595&lt;=AsOf+2*AlertDays,3,""))))))</f>
        <v/>
      </c>
      <c r="V595" s="79">
        <f>IF(U595="","",IF(Q595=3,"Late task: "&amp;D595,IF(T595&lt;AsOf,"Should have started: ","Starts soon: ")&amp;D595)&amp;IF(F595="",""," — "&amp;F595))</f>
        <v/>
      </c>
    </row>
    <row r="596" ht="20" customHeight="1">
      <c r="B596" s="125" t="n">
        <v>590</v>
      </c>
      <c r="C596" s="72" t="n"/>
      <c r="D596" s="72" t="n"/>
      <c r="E596" s="72" t="n"/>
      <c r="F596" s="72" t="n"/>
      <c r="G596" s="89" t="n"/>
      <c r="H596" s="89" t="n"/>
      <c r="I596" s="109" t="n"/>
      <c r="J596" s="126">
        <f>IF(OR(D596="",ProjStart=""),"",MAX(ProjStart,IF(I596&lt;&gt;"",I596,0),IF(H596="",0,IFERROR(INDEX($L$6:L595,MATCH(H596,$B$6:B595,0))+1,0))))</f>
        <v/>
      </c>
      <c r="K596" s="89" t="n"/>
      <c r="L596" s="126">
        <f>IF(J596="","",J596+MAX(1,G596)+IF(K596="",0,K596)-1)</f>
        <v/>
      </c>
      <c r="M596" s="72" t="n"/>
      <c r="N596" s="109" t="n"/>
      <c r="O596" s="127">
        <f>IF(D596="","",COUNTIF($H$7:$H$1006,B596))</f>
        <v/>
      </c>
      <c r="P596" s="78">
        <f>IF(D596="","",IF(AND(H596&lt;&gt;"",H596&gt;=B596),"⚠️ Predecessor must be above",IF(M596="Done","✓ Done",IF(Q596=3,"🔴 Late",IF(M596="In progress","In progress","")))))</f>
        <v/>
      </c>
      <c r="Q596" s="79">
        <f>IF(OR(D596="",L596=""),"",IF(M596="Done",2,IF(AsOf&gt;L596,3,1)))</f>
        <v/>
      </c>
      <c r="R596" s="79">
        <f>IF(OR(E596="",F596=""),0,IF(COUNTIFS($E$7:E596,E596,$F$7:F596,F596)=1,1,0))</f>
        <v/>
      </c>
      <c r="S596" s="79">
        <f>IF(R596=1,E596&amp;"|"&amp;SUMIFS($R$7:R596,$E$7:E596,E596),"")</f>
        <v/>
      </c>
      <c r="T596" s="112">
        <f>IF(Q596="","",IF(Q596=3,L596,IF(OR(M596="Not started",M596=""),J596,"")))</f>
        <v/>
      </c>
      <c r="U596" s="79">
        <f>IF(T596="","",IF(Q596=3,1,IF(T596="","",IF(T596&lt;AsOf,1,IF(T596&lt;=AsOf+AlertDays,2,IF(T596&lt;=AsOf+2*AlertDays,3,""))))))</f>
        <v/>
      </c>
      <c r="V596" s="79">
        <f>IF(U596="","",IF(Q596=3,"Late task: "&amp;D596,IF(T596&lt;AsOf,"Should have started: ","Starts soon: ")&amp;D596)&amp;IF(F596="",""," — "&amp;F596))</f>
        <v/>
      </c>
    </row>
    <row r="597" ht="20" customHeight="1">
      <c r="B597" s="125" t="n">
        <v>591</v>
      </c>
      <c r="C597" s="72" t="n"/>
      <c r="D597" s="72" t="n"/>
      <c r="E597" s="72" t="n"/>
      <c r="F597" s="72" t="n"/>
      <c r="G597" s="89" t="n"/>
      <c r="H597" s="89" t="n"/>
      <c r="I597" s="109" t="n"/>
      <c r="J597" s="126">
        <f>IF(OR(D597="",ProjStart=""),"",MAX(ProjStart,IF(I597&lt;&gt;"",I597,0),IF(H597="",0,IFERROR(INDEX($L$6:L596,MATCH(H597,$B$6:B596,0))+1,0))))</f>
        <v/>
      </c>
      <c r="K597" s="89" t="n"/>
      <c r="L597" s="126">
        <f>IF(J597="","",J597+MAX(1,G597)+IF(K597="",0,K597)-1)</f>
        <v/>
      </c>
      <c r="M597" s="72" t="n"/>
      <c r="N597" s="109" t="n"/>
      <c r="O597" s="127">
        <f>IF(D597="","",COUNTIF($H$7:$H$1006,B597))</f>
        <v/>
      </c>
      <c r="P597" s="78">
        <f>IF(D597="","",IF(AND(H597&lt;&gt;"",H597&gt;=B597),"⚠️ Predecessor must be above",IF(M597="Done","✓ Done",IF(Q597=3,"🔴 Late",IF(M597="In progress","In progress","")))))</f>
        <v/>
      </c>
      <c r="Q597" s="79">
        <f>IF(OR(D597="",L597=""),"",IF(M597="Done",2,IF(AsOf&gt;L597,3,1)))</f>
        <v/>
      </c>
      <c r="R597" s="79">
        <f>IF(OR(E597="",F597=""),0,IF(COUNTIFS($E$7:E597,E597,$F$7:F597,F597)=1,1,0))</f>
        <v/>
      </c>
      <c r="S597" s="79">
        <f>IF(R597=1,E597&amp;"|"&amp;SUMIFS($R$7:R597,$E$7:E597,E597),"")</f>
        <v/>
      </c>
      <c r="T597" s="112">
        <f>IF(Q597="","",IF(Q597=3,L597,IF(OR(M597="Not started",M597=""),J597,"")))</f>
        <v/>
      </c>
      <c r="U597" s="79">
        <f>IF(T597="","",IF(Q597=3,1,IF(T597="","",IF(T597&lt;AsOf,1,IF(T597&lt;=AsOf+AlertDays,2,IF(T597&lt;=AsOf+2*AlertDays,3,""))))))</f>
        <v/>
      </c>
      <c r="V597" s="79">
        <f>IF(U597="","",IF(Q597=3,"Late task: "&amp;D597,IF(T597&lt;AsOf,"Should have started: ","Starts soon: ")&amp;D597)&amp;IF(F597="",""," — "&amp;F597))</f>
        <v/>
      </c>
    </row>
    <row r="598" ht="20" customHeight="1">
      <c r="B598" s="125" t="n">
        <v>592</v>
      </c>
      <c r="C598" s="72" t="n"/>
      <c r="D598" s="72" t="n"/>
      <c r="E598" s="72" t="n"/>
      <c r="F598" s="72" t="n"/>
      <c r="G598" s="89" t="n"/>
      <c r="H598" s="89" t="n"/>
      <c r="I598" s="109" t="n"/>
      <c r="J598" s="126">
        <f>IF(OR(D598="",ProjStart=""),"",MAX(ProjStart,IF(I598&lt;&gt;"",I598,0),IF(H598="",0,IFERROR(INDEX($L$6:L597,MATCH(H598,$B$6:B597,0))+1,0))))</f>
        <v/>
      </c>
      <c r="K598" s="89" t="n"/>
      <c r="L598" s="126">
        <f>IF(J598="","",J598+MAX(1,G598)+IF(K598="",0,K598)-1)</f>
        <v/>
      </c>
      <c r="M598" s="72" t="n"/>
      <c r="N598" s="109" t="n"/>
      <c r="O598" s="127">
        <f>IF(D598="","",COUNTIF($H$7:$H$1006,B598))</f>
        <v/>
      </c>
      <c r="P598" s="78">
        <f>IF(D598="","",IF(AND(H598&lt;&gt;"",H598&gt;=B598),"⚠️ Predecessor must be above",IF(M598="Done","✓ Done",IF(Q598=3,"🔴 Late",IF(M598="In progress","In progress","")))))</f>
        <v/>
      </c>
      <c r="Q598" s="79">
        <f>IF(OR(D598="",L598=""),"",IF(M598="Done",2,IF(AsOf&gt;L598,3,1)))</f>
        <v/>
      </c>
      <c r="R598" s="79">
        <f>IF(OR(E598="",F598=""),0,IF(COUNTIFS($E$7:E598,E598,$F$7:F598,F598)=1,1,0))</f>
        <v/>
      </c>
      <c r="S598" s="79">
        <f>IF(R598=1,E598&amp;"|"&amp;SUMIFS($R$7:R598,$E$7:E598,E598),"")</f>
        <v/>
      </c>
      <c r="T598" s="112">
        <f>IF(Q598="","",IF(Q598=3,L598,IF(OR(M598="Not started",M598=""),J598,"")))</f>
        <v/>
      </c>
      <c r="U598" s="79">
        <f>IF(T598="","",IF(Q598=3,1,IF(T598="","",IF(T598&lt;AsOf,1,IF(T598&lt;=AsOf+AlertDays,2,IF(T598&lt;=AsOf+2*AlertDays,3,""))))))</f>
        <v/>
      </c>
      <c r="V598" s="79">
        <f>IF(U598="","",IF(Q598=3,"Late task: "&amp;D598,IF(T598&lt;AsOf,"Should have started: ","Starts soon: ")&amp;D598)&amp;IF(F598="",""," — "&amp;F598))</f>
        <v/>
      </c>
    </row>
    <row r="599" ht="20" customHeight="1">
      <c r="B599" s="125" t="n">
        <v>593</v>
      </c>
      <c r="C599" s="72" t="n"/>
      <c r="D599" s="72" t="n"/>
      <c r="E599" s="72" t="n"/>
      <c r="F599" s="72" t="n"/>
      <c r="G599" s="89" t="n"/>
      <c r="H599" s="89" t="n"/>
      <c r="I599" s="109" t="n"/>
      <c r="J599" s="126">
        <f>IF(OR(D599="",ProjStart=""),"",MAX(ProjStart,IF(I599&lt;&gt;"",I599,0),IF(H599="",0,IFERROR(INDEX($L$6:L598,MATCH(H599,$B$6:B598,0))+1,0))))</f>
        <v/>
      </c>
      <c r="K599" s="89" t="n"/>
      <c r="L599" s="126">
        <f>IF(J599="","",J599+MAX(1,G599)+IF(K599="",0,K599)-1)</f>
        <v/>
      </c>
      <c r="M599" s="72" t="n"/>
      <c r="N599" s="109" t="n"/>
      <c r="O599" s="127">
        <f>IF(D599="","",COUNTIF($H$7:$H$1006,B599))</f>
        <v/>
      </c>
      <c r="P599" s="78">
        <f>IF(D599="","",IF(AND(H599&lt;&gt;"",H599&gt;=B599),"⚠️ Predecessor must be above",IF(M599="Done","✓ Done",IF(Q599=3,"🔴 Late",IF(M599="In progress","In progress","")))))</f>
        <v/>
      </c>
      <c r="Q599" s="79">
        <f>IF(OR(D599="",L599=""),"",IF(M599="Done",2,IF(AsOf&gt;L599,3,1)))</f>
        <v/>
      </c>
      <c r="R599" s="79">
        <f>IF(OR(E599="",F599=""),0,IF(COUNTIFS($E$7:E599,E599,$F$7:F599,F599)=1,1,0))</f>
        <v/>
      </c>
      <c r="S599" s="79">
        <f>IF(R599=1,E599&amp;"|"&amp;SUMIFS($R$7:R599,$E$7:E599,E599),"")</f>
        <v/>
      </c>
      <c r="T599" s="112">
        <f>IF(Q599="","",IF(Q599=3,L599,IF(OR(M599="Not started",M599=""),J599,"")))</f>
        <v/>
      </c>
      <c r="U599" s="79">
        <f>IF(T599="","",IF(Q599=3,1,IF(T599="","",IF(T599&lt;AsOf,1,IF(T599&lt;=AsOf+AlertDays,2,IF(T599&lt;=AsOf+2*AlertDays,3,""))))))</f>
        <v/>
      </c>
      <c r="V599" s="79">
        <f>IF(U599="","",IF(Q599=3,"Late task: "&amp;D599,IF(T599&lt;AsOf,"Should have started: ","Starts soon: ")&amp;D599)&amp;IF(F599="",""," — "&amp;F599))</f>
        <v/>
      </c>
    </row>
    <row r="600" ht="20" customHeight="1">
      <c r="B600" s="125" t="n">
        <v>594</v>
      </c>
      <c r="C600" s="72" t="n"/>
      <c r="D600" s="72" t="n"/>
      <c r="E600" s="72" t="n"/>
      <c r="F600" s="72" t="n"/>
      <c r="G600" s="89" t="n"/>
      <c r="H600" s="89" t="n"/>
      <c r="I600" s="109" t="n"/>
      <c r="J600" s="126">
        <f>IF(OR(D600="",ProjStart=""),"",MAX(ProjStart,IF(I600&lt;&gt;"",I600,0),IF(H600="",0,IFERROR(INDEX($L$6:L599,MATCH(H600,$B$6:B599,0))+1,0))))</f>
        <v/>
      </c>
      <c r="K600" s="89" t="n"/>
      <c r="L600" s="126">
        <f>IF(J600="","",J600+MAX(1,G600)+IF(K600="",0,K600)-1)</f>
        <v/>
      </c>
      <c r="M600" s="72" t="n"/>
      <c r="N600" s="109" t="n"/>
      <c r="O600" s="127">
        <f>IF(D600="","",COUNTIF($H$7:$H$1006,B600))</f>
        <v/>
      </c>
      <c r="P600" s="78">
        <f>IF(D600="","",IF(AND(H600&lt;&gt;"",H600&gt;=B600),"⚠️ Predecessor must be above",IF(M600="Done","✓ Done",IF(Q600=3,"🔴 Late",IF(M600="In progress","In progress","")))))</f>
        <v/>
      </c>
      <c r="Q600" s="79">
        <f>IF(OR(D600="",L600=""),"",IF(M600="Done",2,IF(AsOf&gt;L600,3,1)))</f>
        <v/>
      </c>
      <c r="R600" s="79">
        <f>IF(OR(E600="",F600=""),0,IF(COUNTIFS($E$7:E600,E600,$F$7:F600,F600)=1,1,0))</f>
        <v/>
      </c>
      <c r="S600" s="79">
        <f>IF(R600=1,E600&amp;"|"&amp;SUMIFS($R$7:R600,$E$7:E600,E600),"")</f>
        <v/>
      </c>
      <c r="T600" s="112">
        <f>IF(Q600="","",IF(Q600=3,L600,IF(OR(M600="Not started",M600=""),J600,"")))</f>
        <v/>
      </c>
      <c r="U600" s="79">
        <f>IF(T600="","",IF(Q600=3,1,IF(T600="","",IF(T600&lt;AsOf,1,IF(T600&lt;=AsOf+AlertDays,2,IF(T600&lt;=AsOf+2*AlertDays,3,""))))))</f>
        <v/>
      </c>
      <c r="V600" s="79">
        <f>IF(U600="","",IF(Q600=3,"Late task: "&amp;D600,IF(T600&lt;AsOf,"Should have started: ","Starts soon: ")&amp;D600)&amp;IF(F600="",""," — "&amp;F600))</f>
        <v/>
      </c>
    </row>
    <row r="601" ht="20" customHeight="1">
      <c r="B601" s="125" t="n">
        <v>595</v>
      </c>
      <c r="C601" s="72" t="n"/>
      <c r="D601" s="72" t="n"/>
      <c r="E601" s="72" t="n"/>
      <c r="F601" s="72" t="n"/>
      <c r="G601" s="89" t="n"/>
      <c r="H601" s="89" t="n"/>
      <c r="I601" s="109" t="n"/>
      <c r="J601" s="126">
        <f>IF(OR(D601="",ProjStart=""),"",MAX(ProjStart,IF(I601&lt;&gt;"",I601,0),IF(H601="",0,IFERROR(INDEX($L$6:L600,MATCH(H601,$B$6:B600,0))+1,0))))</f>
        <v/>
      </c>
      <c r="K601" s="89" t="n"/>
      <c r="L601" s="126">
        <f>IF(J601="","",J601+MAX(1,G601)+IF(K601="",0,K601)-1)</f>
        <v/>
      </c>
      <c r="M601" s="72" t="n"/>
      <c r="N601" s="109" t="n"/>
      <c r="O601" s="127">
        <f>IF(D601="","",COUNTIF($H$7:$H$1006,B601))</f>
        <v/>
      </c>
      <c r="P601" s="78">
        <f>IF(D601="","",IF(AND(H601&lt;&gt;"",H601&gt;=B601),"⚠️ Predecessor must be above",IF(M601="Done","✓ Done",IF(Q601=3,"🔴 Late",IF(M601="In progress","In progress","")))))</f>
        <v/>
      </c>
      <c r="Q601" s="79">
        <f>IF(OR(D601="",L601=""),"",IF(M601="Done",2,IF(AsOf&gt;L601,3,1)))</f>
        <v/>
      </c>
      <c r="R601" s="79">
        <f>IF(OR(E601="",F601=""),0,IF(COUNTIFS($E$7:E601,E601,$F$7:F601,F601)=1,1,0))</f>
        <v/>
      </c>
      <c r="S601" s="79">
        <f>IF(R601=1,E601&amp;"|"&amp;SUMIFS($R$7:R601,$E$7:E601,E601),"")</f>
        <v/>
      </c>
      <c r="T601" s="112">
        <f>IF(Q601="","",IF(Q601=3,L601,IF(OR(M601="Not started",M601=""),J601,"")))</f>
        <v/>
      </c>
      <c r="U601" s="79">
        <f>IF(T601="","",IF(Q601=3,1,IF(T601="","",IF(T601&lt;AsOf,1,IF(T601&lt;=AsOf+AlertDays,2,IF(T601&lt;=AsOf+2*AlertDays,3,""))))))</f>
        <v/>
      </c>
      <c r="V601" s="79">
        <f>IF(U601="","",IF(Q601=3,"Late task: "&amp;D601,IF(T601&lt;AsOf,"Should have started: ","Starts soon: ")&amp;D601)&amp;IF(F601="",""," — "&amp;F601))</f>
        <v/>
      </c>
    </row>
    <row r="602" ht="20" customHeight="1">
      <c r="B602" s="125" t="n">
        <v>596</v>
      </c>
      <c r="C602" s="72" t="n"/>
      <c r="D602" s="72" t="n"/>
      <c r="E602" s="72" t="n"/>
      <c r="F602" s="72" t="n"/>
      <c r="G602" s="89" t="n"/>
      <c r="H602" s="89" t="n"/>
      <c r="I602" s="109" t="n"/>
      <c r="J602" s="126">
        <f>IF(OR(D602="",ProjStart=""),"",MAX(ProjStart,IF(I602&lt;&gt;"",I602,0),IF(H602="",0,IFERROR(INDEX($L$6:L601,MATCH(H602,$B$6:B601,0))+1,0))))</f>
        <v/>
      </c>
      <c r="K602" s="89" t="n"/>
      <c r="L602" s="126">
        <f>IF(J602="","",J602+MAX(1,G602)+IF(K602="",0,K602)-1)</f>
        <v/>
      </c>
      <c r="M602" s="72" t="n"/>
      <c r="N602" s="109" t="n"/>
      <c r="O602" s="127">
        <f>IF(D602="","",COUNTIF($H$7:$H$1006,B602))</f>
        <v/>
      </c>
      <c r="P602" s="78">
        <f>IF(D602="","",IF(AND(H602&lt;&gt;"",H602&gt;=B602),"⚠️ Predecessor must be above",IF(M602="Done","✓ Done",IF(Q602=3,"🔴 Late",IF(M602="In progress","In progress","")))))</f>
        <v/>
      </c>
      <c r="Q602" s="79">
        <f>IF(OR(D602="",L602=""),"",IF(M602="Done",2,IF(AsOf&gt;L602,3,1)))</f>
        <v/>
      </c>
      <c r="R602" s="79">
        <f>IF(OR(E602="",F602=""),0,IF(COUNTIFS($E$7:E602,E602,$F$7:F602,F602)=1,1,0))</f>
        <v/>
      </c>
      <c r="S602" s="79">
        <f>IF(R602=1,E602&amp;"|"&amp;SUMIFS($R$7:R602,$E$7:E602,E602),"")</f>
        <v/>
      </c>
      <c r="T602" s="112">
        <f>IF(Q602="","",IF(Q602=3,L602,IF(OR(M602="Not started",M602=""),J602,"")))</f>
        <v/>
      </c>
      <c r="U602" s="79">
        <f>IF(T602="","",IF(Q602=3,1,IF(T602="","",IF(T602&lt;AsOf,1,IF(T602&lt;=AsOf+AlertDays,2,IF(T602&lt;=AsOf+2*AlertDays,3,""))))))</f>
        <v/>
      </c>
      <c r="V602" s="79">
        <f>IF(U602="","",IF(Q602=3,"Late task: "&amp;D602,IF(T602&lt;AsOf,"Should have started: ","Starts soon: ")&amp;D602)&amp;IF(F602="",""," — "&amp;F602))</f>
        <v/>
      </c>
    </row>
    <row r="603" ht="20" customHeight="1">
      <c r="B603" s="125" t="n">
        <v>597</v>
      </c>
      <c r="C603" s="72" t="n"/>
      <c r="D603" s="72" t="n"/>
      <c r="E603" s="72" t="n"/>
      <c r="F603" s="72" t="n"/>
      <c r="G603" s="89" t="n"/>
      <c r="H603" s="89" t="n"/>
      <c r="I603" s="109" t="n"/>
      <c r="J603" s="126">
        <f>IF(OR(D603="",ProjStart=""),"",MAX(ProjStart,IF(I603&lt;&gt;"",I603,0),IF(H603="",0,IFERROR(INDEX($L$6:L602,MATCH(H603,$B$6:B602,0))+1,0))))</f>
        <v/>
      </c>
      <c r="K603" s="89" t="n"/>
      <c r="L603" s="126">
        <f>IF(J603="","",J603+MAX(1,G603)+IF(K603="",0,K603)-1)</f>
        <v/>
      </c>
      <c r="M603" s="72" t="n"/>
      <c r="N603" s="109" t="n"/>
      <c r="O603" s="127">
        <f>IF(D603="","",COUNTIF($H$7:$H$1006,B603))</f>
        <v/>
      </c>
      <c r="P603" s="78">
        <f>IF(D603="","",IF(AND(H603&lt;&gt;"",H603&gt;=B603),"⚠️ Predecessor must be above",IF(M603="Done","✓ Done",IF(Q603=3,"🔴 Late",IF(M603="In progress","In progress","")))))</f>
        <v/>
      </c>
      <c r="Q603" s="79">
        <f>IF(OR(D603="",L603=""),"",IF(M603="Done",2,IF(AsOf&gt;L603,3,1)))</f>
        <v/>
      </c>
      <c r="R603" s="79">
        <f>IF(OR(E603="",F603=""),0,IF(COUNTIFS($E$7:E603,E603,$F$7:F603,F603)=1,1,0))</f>
        <v/>
      </c>
      <c r="S603" s="79">
        <f>IF(R603=1,E603&amp;"|"&amp;SUMIFS($R$7:R603,$E$7:E603,E603),"")</f>
        <v/>
      </c>
      <c r="T603" s="112">
        <f>IF(Q603="","",IF(Q603=3,L603,IF(OR(M603="Not started",M603=""),J603,"")))</f>
        <v/>
      </c>
      <c r="U603" s="79">
        <f>IF(T603="","",IF(Q603=3,1,IF(T603="","",IF(T603&lt;AsOf,1,IF(T603&lt;=AsOf+AlertDays,2,IF(T603&lt;=AsOf+2*AlertDays,3,""))))))</f>
        <v/>
      </c>
      <c r="V603" s="79">
        <f>IF(U603="","",IF(Q603=3,"Late task: "&amp;D603,IF(T603&lt;AsOf,"Should have started: ","Starts soon: ")&amp;D603)&amp;IF(F603="",""," — "&amp;F603))</f>
        <v/>
      </c>
    </row>
    <row r="604" ht="20" customHeight="1">
      <c r="B604" s="125" t="n">
        <v>598</v>
      </c>
      <c r="C604" s="72" t="n"/>
      <c r="D604" s="72" t="n"/>
      <c r="E604" s="72" t="n"/>
      <c r="F604" s="72" t="n"/>
      <c r="G604" s="89" t="n"/>
      <c r="H604" s="89" t="n"/>
      <c r="I604" s="109" t="n"/>
      <c r="J604" s="126">
        <f>IF(OR(D604="",ProjStart=""),"",MAX(ProjStart,IF(I604&lt;&gt;"",I604,0),IF(H604="",0,IFERROR(INDEX($L$6:L603,MATCH(H604,$B$6:B603,0))+1,0))))</f>
        <v/>
      </c>
      <c r="K604" s="89" t="n"/>
      <c r="L604" s="126">
        <f>IF(J604="","",J604+MAX(1,G604)+IF(K604="",0,K604)-1)</f>
        <v/>
      </c>
      <c r="M604" s="72" t="n"/>
      <c r="N604" s="109" t="n"/>
      <c r="O604" s="127">
        <f>IF(D604="","",COUNTIF($H$7:$H$1006,B604))</f>
        <v/>
      </c>
      <c r="P604" s="78">
        <f>IF(D604="","",IF(AND(H604&lt;&gt;"",H604&gt;=B604),"⚠️ Predecessor must be above",IF(M604="Done","✓ Done",IF(Q604=3,"🔴 Late",IF(M604="In progress","In progress","")))))</f>
        <v/>
      </c>
      <c r="Q604" s="79">
        <f>IF(OR(D604="",L604=""),"",IF(M604="Done",2,IF(AsOf&gt;L604,3,1)))</f>
        <v/>
      </c>
      <c r="R604" s="79">
        <f>IF(OR(E604="",F604=""),0,IF(COUNTIFS($E$7:E604,E604,$F$7:F604,F604)=1,1,0))</f>
        <v/>
      </c>
      <c r="S604" s="79">
        <f>IF(R604=1,E604&amp;"|"&amp;SUMIFS($R$7:R604,$E$7:E604,E604),"")</f>
        <v/>
      </c>
      <c r="T604" s="112">
        <f>IF(Q604="","",IF(Q604=3,L604,IF(OR(M604="Not started",M604=""),J604,"")))</f>
        <v/>
      </c>
      <c r="U604" s="79">
        <f>IF(T604="","",IF(Q604=3,1,IF(T604="","",IF(T604&lt;AsOf,1,IF(T604&lt;=AsOf+AlertDays,2,IF(T604&lt;=AsOf+2*AlertDays,3,""))))))</f>
        <v/>
      </c>
      <c r="V604" s="79">
        <f>IF(U604="","",IF(Q604=3,"Late task: "&amp;D604,IF(T604&lt;AsOf,"Should have started: ","Starts soon: ")&amp;D604)&amp;IF(F604="",""," — "&amp;F604))</f>
        <v/>
      </c>
    </row>
    <row r="605" ht="20" customHeight="1">
      <c r="B605" s="125" t="n">
        <v>599</v>
      </c>
      <c r="C605" s="72" t="n"/>
      <c r="D605" s="72" t="n"/>
      <c r="E605" s="72" t="n"/>
      <c r="F605" s="72" t="n"/>
      <c r="G605" s="89" t="n"/>
      <c r="H605" s="89" t="n"/>
      <c r="I605" s="109" t="n"/>
      <c r="J605" s="126">
        <f>IF(OR(D605="",ProjStart=""),"",MAX(ProjStart,IF(I605&lt;&gt;"",I605,0),IF(H605="",0,IFERROR(INDEX($L$6:L604,MATCH(H605,$B$6:B604,0))+1,0))))</f>
        <v/>
      </c>
      <c r="K605" s="89" t="n"/>
      <c r="L605" s="126">
        <f>IF(J605="","",J605+MAX(1,G605)+IF(K605="",0,K605)-1)</f>
        <v/>
      </c>
      <c r="M605" s="72" t="n"/>
      <c r="N605" s="109" t="n"/>
      <c r="O605" s="127">
        <f>IF(D605="","",COUNTIF($H$7:$H$1006,B605))</f>
        <v/>
      </c>
      <c r="P605" s="78">
        <f>IF(D605="","",IF(AND(H605&lt;&gt;"",H605&gt;=B605),"⚠️ Predecessor must be above",IF(M605="Done","✓ Done",IF(Q605=3,"🔴 Late",IF(M605="In progress","In progress","")))))</f>
        <v/>
      </c>
      <c r="Q605" s="79">
        <f>IF(OR(D605="",L605=""),"",IF(M605="Done",2,IF(AsOf&gt;L605,3,1)))</f>
        <v/>
      </c>
      <c r="R605" s="79">
        <f>IF(OR(E605="",F605=""),0,IF(COUNTIFS($E$7:E605,E605,$F$7:F605,F605)=1,1,0))</f>
        <v/>
      </c>
      <c r="S605" s="79">
        <f>IF(R605=1,E605&amp;"|"&amp;SUMIFS($R$7:R605,$E$7:E605,E605),"")</f>
        <v/>
      </c>
      <c r="T605" s="112">
        <f>IF(Q605="","",IF(Q605=3,L605,IF(OR(M605="Not started",M605=""),J605,"")))</f>
        <v/>
      </c>
      <c r="U605" s="79">
        <f>IF(T605="","",IF(Q605=3,1,IF(T605="","",IF(T605&lt;AsOf,1,IF(T605&lt;=AsOf+AlertDays,2,IF(T605&lt;=AsOf+2*AlertDays,3,""))))))</f>
        <v/>
      </c>
      <c r="V605" s="79">
        <f>IF(U605="","",IF(Q605=3,"Late task: "&amp;D605,IF(T605&lt;AsOf,"Should have started: ","Starts soon: ")&amp;D605)&amp;IF(F605="",""," — "&amp;F605))</f>
        <v/>
      </c>
    </row>
    <row r="606" ht="20" customHeight="1">
      <c r="B606" s="125" t="n">
        <v>600</v>
      </c>
      <c r="C606" s="72" t="n"/>
      <c r="D606" s="72" t="n"/>
      <c r="E606" s="72" t="n"/>
      <c r="F606" s="72" t="n"/>
      <c r="G606" s="89" t="n"/>
      <c r="H606" s="89" t="n"/>
      <c r="I606" s="109" t="n"/>
      <c r="J606" s="126">
        <f>IF(OR(D606="",ProjStart=""),"",MAX(ProjStart,IF(I606&lt;&gt;"",I606,0),IF(H606="",0,IFERROR(INDEX($L$6:L605,MATCH(H606,$B$6:B605,0))+1,0))))</f>
        <v/>
      </c>
      <c r="K606" s="89" t="n"/>
      <c r="L606" s="126">
        <f>IF(J606="","",J606+MAX(1,G606)+IF(K606="",0,K606)-1)</f>
        <v/>
      </c>
      <c r="M606" s="72" t="n"/>
      <c r="N606" s="109" t="n"/>
      <c r="O606" s="127">
        <f>IF(D606="","",COUNTIF($H$7:$H$1006,B606))</f>
        <v/>
      </c>
      <c r="P606" s="78">
        <f>IF(D606="","",IF(AND(H606&lt;&gt;"",H606&gt;=B606),"⚠️ Predecessor must be above",IF(M606="Done","✓ Done",IF(Q606=3,"🔴 Late",IF(M606="In progress","In progress","")))))</f>
        <v/>
      </c>
      <c r="Q606" s="79">
        <f>IF(OR(D606="",L606=""),"",IF(M606="Done",2,IF(AsOf&gt;L606,3,1)))</f>
        <v/>
      </c>
      <c r="R606" s="79">
        <f>IF(OR(E606="",F606=""),0,IF(COUNTIFS($E$7:E606,E606,$F$7:F606,F606)=1,1,0))</f>
        <v/>
      </c>
      <c r="S606" s="79">
        <f>IF(R606=1,E606&amp;"|"&amp;SUMIFS($R$7:R606,$E$7:E606,E606),"")</f>
        <v/>
      </c>
      <c r="T606" s="112">
        <f>IF(Q606="","",IF(Q606=3,L606,IF(OR(M606="Not started",M606=""),J606,"")))</f>
        <v/>
      </c>
      <c r="U606" s="79">
        <f>IF(T606="","",IF(Q606=3,1,IF(T606="","",IF(T606&lt;AsOf,1,IF(T606&lt;=AsOf+AlertDays,2,IF(T606&lt;=AsOf+2*AlertDays,3,""))))))</f>
        <v/>
      </c>
      <c r="V606" s="79">
        <f>IF(U606="","",IF(Q606=3,"Late task: "&amp;D606,IF(T606&lt;AsOf,"Should have started: ","Starts soon: ")&amp;D606)&amp;IF(F606="",""," — "&amp;F606))</f>
        <v/>
      </c>
    </row>
    <row r="607" ht="20" customHeight="1">
      <c r="B607" s="125" t="n">
        <v>601</v>
      </c>
      <c r="C607" s="72" t="n"/>
      <c r="D607" s="72" t="n"/>
      <c r="E607" s="72" t="n"/>
      <c r="F607" s="72" t="n"/>
      <c r="G607" s="89" t="n"/>
      <c r="H607" s="89" t="n"/>
      <c r="I607" s="109" t="n"/>
      <c r="J607" s="126">
        <f>IF(OR(D607="",ProjStart=""),"",MAX(ProjStart,IF(I607&lt;&gt;"",I607,0),IF(H607="",0,IFERROR(INDEX($L$6:L606,MATCH(H607,$B$6:B606,0))+1,0))))</f>
        <v/>
      </c>
      <c r="K607" s="89" t="n"/>
      <c r="L607" s="126">
        <f>IF(J607="","",J607+MAX(1,G607)+IF(K607="",0,K607)-1)</f>
        <v/>
      </c>
      <c r="M607" s="72" t="n"/>
      <c r="N607" s="109" t="n"/>
      <c r="O607" s="127">
        <f>IF(D607="","",COUNTIF($H$7:$H$1006,B607))</f>
        <v/>
      </c>
      <c r="P607" s="78">
        <f>IF(D607="","",IF(AND(H607&lt;&gt;"",H607&gt;=B607),"⚠️ Predecessor must be above",IF(M607="Done","✓ Done",IF(Q607=3,"🔴 Late",IF(M607="In progress","In progress","")))))</f>
        <v/>
      </c>
      <c r="Q607" s="79">
        <f>IF(OR(D607="",L607=""),"",IF(M607="Done",2,IF(AsOf&gt;L607,3,1)))</f>
        <v/>
      </c>
      <c r="R607" s="79">
        <f>IF(OR(E607="",F607=""),0,IF(COUNTIFS($E$7:E607,E607,$F$7:F607,F607)=1,1,0))</f>
        <v/>
      </c>
      <c r="S607" s="79">
        <f>IF(R607=1,E607&amp;"|"&amp;SUMIFS($R$7:R607,$E$7:E607,E607),"")</f>
        <v/>
      </c>
      <c r="T607" s="112">
        <f>IF(Q607="","",IF(Q607=3,L607,IF(OR(M607="Not started",M607=""),J607,"")))</f>
        <v/>
      </c>
      <c r="U607" s="79">
        <f>IF(T607="","",IF(Q607=3,1,IF(T607="","",IF(T607&lt;AsOf,1,IF(T607&lt;=AsOf+AlertDays,2,IF(T607&lt;=AsOf+2*AlertDays,3,""))))))</f>
        <v/>
      </c>
      <c r="V607" s="79">
        <f>IF(U607="","",IF(Q607=3,"Late task: "&amp;D607,IF(T607&lt;AsOf,"Should have started: ","Starts soon: ")&amp;D607)&amp;IF(F607="",""," — "&amp;F607))</f>
        <v/>
      </c>
    </row>
    <row r="608" ht="20" customHeight="1">
      <c r="B608" s="125" t="n">
        <v>602</v>
      </c>
      <c r="C608" s="72" t="n"/>
      <c r="D608" s="72" t="n"/>
      <c r="E608" s="72" t="n"/>
      <c r="F608" s="72" t="n"/>
      <c r="G608" s="89" t="n"/>
      <c r="H608" s="89" t="n"/>
      <c r="I608" s="109" t="n"/>
      <c r="J608" s="126">
        <f>IF(OR(D608="",ProjStart=""),"",MAX(ProjStart,IF(I608&lt;&gt;"",I608,0),IF(H608="",0,IFERROR(INDEX($L$6:L607,MATCH(H608,$B$6:B607,0))+1,0))))</f>
        <v/>
      </c>
      <c r="K608" s="89" t="n"/>
      <c r="L608" s="126">
        <f>IF(J608="","",J608+MAX(1,G608)+IF(K608="",0,K608)-1)</f>
        <v/>
      </c>
      <c r="M608" s="72" t="n"/>
      <c r="N608" s="109" t="n"/>
      <c r="O608" s="127">
        <f>IF(D608="","",COUNTIF($H$7:$H$1006,B608))</f>
        <v/>
      </c>
      <c r="P608" s="78">
        <f>IF(D608="","",IF(AND(H608&lt;&gt;"",H608&gt;=B608),"⚠️ Predecessor must be above",IF(M608="Done","✓ Done",IF(Q608=3,"🔴 Late",IF(M608="In progress","In progress","")))))</f>
        <v/>
      </c>
      <c r="Q608" s="79">
        <f>IF(OR(D608="",L608=""),"",IF(M608="Done",2,IF(AsOf&gt;L608,3,1)))</f>
        <v/>
      </c>
      <c r="R608" s="79">
        <f>IF(OR(E608="",F608=""),0,IF(COUNTIFS($E$7:E608,E608,$F$7:F608,F608)=1,1,0))</f>
        <v/>
      </c>
      <c r="S608" s="79">
        <f>IF(R608=1,E608&amp;"|"&amp;SUMIFS($R$7:R608,$E$7:E608,E608),"")</f>
        <v/>
      </c>
      <c r="T608" s="112">
        <f>IF(Q608="","",IF(Q608=3,L608,IF(OR(M608="Not started",M608=""),J608,"")))</f>
        <v/>
      </c>
      <c r="U608" s="79">
        <f>IF(T608="","",IF(Q608=3,1,IF(T608="","",IF(T608&lt;AsOf,1,IF(T608&lt;=AsOf+AlertDays,2,IF(T608&lt;=AsOf+2*AlertDays,3,""))))))</f>
        <v/>
      </c>
      <c r="V608" s="79">
        <f>IF(U608="","",IF(Q608=3,"Late task: "&amp;D608,IF(T608&lt;AsOf,"Should have started: ","Starts soon: ")&amp;D608)&amp;IF(F608="",""," — "&amp;F608))</f>
        <v/>
      </c>
    </row>
    <row r="609" ht="20" customHeight="1">
      <c r="B609" s="125" t="n">
        <v>603</v>
      </c>
      <c r="C609" s="72" t="n"/>
      <c r="D609" s="72" t="n"/>
      <c r="E609" s="72" t="n"/>
      <c r="F609" s="72" t="n"/>
      <c r="G609" s="89" t="n"/>
      <c r="H609" s="89" t="n"/>
      <c r="I609" s="109" t="n"/>
      <c r="J609" s="126">
        <f>IF(OR(D609="",ProjStart=""),"",MAX(ProjStart,IF(I609&lt;&gt;"",I609,0),IF(H609="",0,IFERROR(INDEX($L$6:L608,MATCH(H609,$B$6:B608,0))+1,0))))</f>
        <v/>
      </c>
      <c r="K609" s="89" t="n"/>
      <c r="L609" s="126">
        <f>IF(J609="","",J609+MAX(1,G609)+IF(K609="",0,K609)-1)</f>
        <v/>
      </c>
      <c r="M609" s="72" t="n"/>
      <c r="N609" s="109" t="n"/>
      <c r="O609" s="127">
        <f>IF(D609="","",COUNTIF($H$7:$H$1006,B609))</f>
        <v/>
      </c>
      <c r="P609" s="78">
        <f>IF(D609="","",IF(AND(H609&lt;&gt;"",H609&gt;=B609),"⚠️ Predecessor must be above",IF(M609="Done","✓ Done",IF(Q609=3,"🔴 Late",IF(M609="In progress","In progress","")))))</f>
        <v/>
      </c>
      <c r="Q609" s="79">
        <f>IF(OR(D609="",L609=""),"",IF(M609="Done",2,IF(AsOf&gt;L609,3,1)))</f>
        <v/>
      </c>
      <c r="R609" s="79">
        <f>IF(OR(E609="",F609=""),0,IF(COUNTIFS($E$7:E609,E609,$F$7:F609,F609)=1,1,0))</f>
        <v/>
      </c>
      <c r="S609" s="79">
        <f>IF(R609=1,E609&amp;"|"&amp;SUMIFS($R$7:R609,$E$7:E609,E609),"")</f>
        <v/>
      </c>
      <c r="T609" s="112">
        <f>IF(Q609="","",IF(Q609=3,L609,IF(OR(M609="Not started",M609=""),J609,"")))</f>
        <v/>
      </c>
      <c r="U609" s="79">
        <f>IF(T609="","",IF(Q609=3,1,IF(T609="","",IF(T609&lt;AsOf,1,IF(T609&lt;=AsOf+AlertDays,2,IF(T609&lt;=AsOf+2*AlertDays,3,""))))))</f>
        <v/>
      </c>
      <c r="V609" s="79">
        <f>IF(U609="","",IF(Q609=3,"Late task: "&amp;D609,IF(T609&lt;AsOf,"Should have started: ","Starts soon: ")&amp;D609)&amp;IF(F609="",""," — "&amp;F609))</f>
        <v/>
      </c>
    </row>
    <row r="610" ht="20" customHeight="1">
      <c r="B610" s="125" t="n">
        <v>604</v>
      </c>
      <c r="C610" s="72" t="n"/>
      <c r="D610" s="72" t="n"/>
      <c r="E610" s="72" t="n"/>
      <c r="F610" s="72" t="n"/>
      <c r="G610" s="89" t="n"/>
      <c r="H610" s="89" t="n"/>
      <c r="I610" s="109" t="n"/>
      <c r="J610" s="126">
        <f>IF(OR(D610="",ProjStart=""),"",MAX(ProjStart,IF(I610&lt;&gt;"",I610,0),IF(H610="",0,IFERROR(INDEX($L$6:L609,MATCH(H610,$B$6:B609,0))+1,0))))</f>
        <v/>
      </c>
      <c r="K610" s="89" t="n"/>
      <c r="L610" s="126">
        <f>IF(J610="","",J610+MAX(1,G610)+IF(K610="",0,K610)-1)</f>
        <v/>
      </c>
      <c r="M610" s="72" t="n"/>
      <c r="N610" s="109" t="n"/>
      <c r="O610" s="127">
        <f>IF(D610="","",COUNTIF($H$7:$H$1006,B610))</f>
        <v/>
      </c>
      <c r="P610" s="78">
        <f>IF(D610="","",IF(AND(H610&lt;&gt;"",H610&gt;=B610),"⚠️ Predecessor must be above",IF(M610="Done","✓ Done",IF(Q610=3,"🔴 Late",IF(M610="In progress","In progress","")))))</f>
        <v/>
      </c>
      <c r="Q610" s="79">
        <f>IF(OR(D610="",L610=""),"",IF(M610="Done",2,IF(AsOf&gt;L610,3,1)))</f>
        <v/>
      </c>
      <c r="R610" s="79">
        <f>IF(OR(E610="",F610=""),0,IF(COUNTIFS($E$7:E610,E610,$F$7:F610,F610)=1,1,0))</f>
        <v/>
      </c>
      <c r="S610" s="79">
        <f>IF(R610=1,E610&amp;"|"&amp;SUMIFS($R$7:R610,$E$7:E610,E610),"")</f>
        <v/>
      </c>
      <c r="T610" s="112">
        <f>IF(Q610="","",IF(Q610=3,L610,IF(OR(M610="Not started",M610=""),J610,"")))</f>
        <v/>
      </c>
      <c r="U610" s="79">
        <f>IF(T610="","",IF(Q610=3,1,IF(T610="","",IF(T610&lt;AsOf,1,IF(T610&lt;=AsOf+AlertDays,2,IF(T610&lt;=AsOf+2*AlertDays,3,""))))))</f>
        <v/>
      </c>
      <c r="V610" s="79">
        <f>IF(U610="","",IF(Q610=3,"Late task: "&amp;D610,IF(T610&lt;AsOf,"Should have started: ","Starts soon: ")&amp;D610)&amp;IF(F610="",""," — "&amp;F610))</f>
        <v/>
      </c>
    </row>
    <row r="611" ht="20" customHeight="1">
      <c r="B611" s="125" t="n">
        <v>605</v>
      </c>
      <c r="C611" s="72" t="n"/>
      <c r="D611" s="72" t="n"/>
      <c r="E611" s="72" t="n"/>
      <c r="F611" s="72" t="n"/>
      <c r="G611" s="89" t="n"/>
      <c r="H611" s="89" t="n"/>
      <c r="I611" s="109" t="n"/>
      <c r="J611" s="126">
        <f>IF(OR(D611="",ProjStart=""),"",MAX(ProjStart,IF(I611&lt;&gt;"",I611,0),IF(H611="",0,IFERROR(INDEX($L$6:L610,MATCH(H611,$B$6:B610,0))+1,0))))</f>
        <v/>
      </c>
      <c r="K611" s="89" t="n"/>
      <c r="L611" s="126">
        <f>IF(J611="","",J611+MAX(1,G611)+IF(K611="",0,K611)-1)</f>
        <v/>
      </c>
      <c r="M611" s="72" t="n"/>
      <c r="N611" s="109" t="n"/>
      <c r="O611" s="127">
        <f>IF(D611="","",COUNTIF($H$7:$H$1006,B611))</f>
        <v/>
      </c>
      <c r="P611" s="78">
        <f>IF(D611="","",IF(AND(H611&lt;&gt;"",H611&gt;=B611),"⚠️ Predecessor must be above",IF(M611="Done","✓ Done",IF(Q611=3,"🔴 Late",IF(M611="In progress","In progress","")))))</f>
        <v/>
      </c>
      <c r="Q611" s="79">
        <f>IF(OR(D611="",L611=""),"",IF(M611="Done",2,IF(AsOf&gt;L611,3,1)))</f>
        <v/>
      </c>
      <c r="R611" s="79">
        <f>IF(OR(E611="",F611=""),0,IF(COUNTIFS($E$7:E611,E611,$F$7:F611,F611)=1,1,0))</f>
        <v/>
      </c>
      <c r="S611" s="79">
        <f>IF(R611=1,E611&amp;"|"&amp;SUMIFS($R$7:R611,$E$7:E611,E611),"")</f>
        <v/>
      </c>
      <c r="T611" s="112">
        <f>IF(Q611="","",IF(Q611=3,L611,IF(OR(M611="Not started",M611=""),J611,"")))</f>
        <v/>
      </c>
      <c r="U611" s="79">
        <f>IF(T611="","",IF(Q611=3,1,IF(T611="","",IF(T611&lt;AsOf,1,IF(T611&lt;=AsOf+AlertDays,2,IF(T611&lt;=AsOf+2*AlertDays,3,""))))))</f>
        <v/>
      </c>
      <c r="V611" s="79">
        <f>IF(U611="","",IF(Q611=3,"Late task: "&amp;D611,IF(T611&lt;AsOf,"Should have started: ","Starts soon: ")&amp;D611)&amp;IF(F611="",""," — "&amp;F611))</f>
        <v/>
      </c>
    </row>
    <row r="612" ht="20" customHeight="1">
      <c r="B612" s="125" t="n">
        <v>606</v>
      </c>
      <c r="C612" s="72" t="n"/>
      <c r="D612" s="72" t="n"/>
      <c r="E612" s="72" t="n"/>
      <c r="F612" s="72" t="n"/>
      <c r="G612" s="89" t="n"/>
      <c r="H612" s="89" t="n"/>
      <c r="I612" s="109" t="n"/>
      <c r="J612" s="126">
        <f>IF(OR(D612="",ProjStart=""),"",MAX(ProjStart,IF(I612&lt;&gt;"",I612,0),IF(H612="",0,IFERROR(INDEX($L$6:L611,MATCH(H612,$B$6:B611,0))+1,0))))</f>
        <v/>
      </c>
      <c r="K612" s="89" t="n"/>
      <c r="L612" s="126">
        <f>IF(J612="","",J612+MAX(1,G612)+IF(K612="",0,K612)-1)</f>
        <v/>
      </c>
      <c r="M612" s="72" t="n"/>
      <c r="N612" s="109" t="n"/>
      <c r="O612" s="127">
        <f>IF(D612="","",COUNTIF($H$7:$H$1006,B612))</f>
        <v/>
      </c>
      <c r="P612" s="78">
        <f>IF(D612="","",IF(AND(H612&lt;&gt;"",H612&gt;=B612),"⚠️ Predecessor must be above",IF(M612="Done","✓ Done",IF(Q612=3,"🔴 Late",IF(M612="In progress","In progress","")))))</f>
        <v/>
      </c>
      <c r="Q612" s="79">
        <f>IF(OR(D612="",L612=""),"",IF(M612="Done",2,IF(AsOf&gt;L612,3,1)))</f>
        <v/>
      </c>
      <c r="R612" s="79">
        <f>IF(OR(E612="",F612=""),0,IF(COUNTIFS($E$7:E612,E612,$F$7:F612,F612)=1,1,0))</f>
        <v/>
      </c>
      <c r="S612" s="79">
        <f>IF(R612=1,E612&amp;"|"&amp;SUMIFS($R$7:R612,$E$7:E612,E612),"")</f>
        <v/>
      </c>
      <c r="T612" s="112">
        <f>IF(Q612="","",IF(Q612=3,L612,IF(OR(M612="Not started",M612=""),J612,"")))</f>
        <v/>
      </c>
      <c r="U612" s="79">
        <f>IF(T612="","",IF(Q612=3,1,IF(T612="","",IF(T612&lt;AsOf,1,IF(T612&lt;=AsOf+AlertDays,2,IF(T612&lt;=AsOf+2*AlertDays,3,""))))))</f>
        <v/>
      </c>
      <c r="V612" s="79">
        <f>IF(U612="","",IF(Q612=3,"Late task: "&amp;D612,IF(T612&lt;AsOf,"Should have started: ","Starts soon: ")&amp;D612)&amp;IF(F612="",""," — "&amp;F612))</f>
        <v/>
      </c>
    </row>
    <row r="613" ht="20" customHeight="1">
      <c r="B613" s="125" t="n">
        <v>607</v>
      </c>
      <c r="C613" s="72" t="n"/>
      <c r="D613" s="72" t="n"/>
      <c r="E613" s="72" t="n"/>
      <c r="F613" s="72" t="n"/>
      <c r="G613" s="89" t="n"/>
      <c r="H613" s="89" t="n"/>
      <c r="I613" s="109" t="n"/>
      <c r="J613" s="126">
        <f>IF(OR(D613="",ProjStart=""),"",MAX(ProjStart,IF(I613&lt;&gt;"",I613,0),IF(H613="",0,IFERROR(INDEX($L$6:L612,MATCH(H613,$B$6:B612,0))+1,0))))</f>
        <v/>
      </c>
      <c r="K613" s="89" t="n"/>
      <c r="L613" s="126">
        <f>IF(J613="","",J613+MAX(1,G613)+IF(K613="",0,K613)-1)</f>
        <v/>
      </c>
      <c r="M613" s="72" t="n"/>
      <c r="N613" s="109" t="n"/>
      <c r="O613" s="127">
        <f>IF(D613="","",COUNTIF($H$7:$H$1006,B613))</f>
        <v/>
      </c>
      <c r="P613" s="78">
        <f>IF(D613="","",IF(AND(H613&lt;&gt;"",H613&gt;=B613),"⚠️ Predecessor must be above",IF(M613="Done","✓ Done",IF(Q613=3,"🔴 Late",IF(M613="In progress","In progress","")))))</f>
        <v/>
      </c>
      <c r="Q613" s="79">
        <f>IF(OR(D613="",L613=""),"",IF(M613="Done",2,IF(AsOf&gt;L613,3,1)))</f>
        <v/>
      </c>
      <c r="R613" s="79">
        <f>IF(OR(E613="",F613=""),0,IF(COUNTIFS($E$7:E613,E613,$F$7:F613,F613)=1,1,0))</f>
        <v/>
      </c>
      <c r="S613" s="79">
        <f>IF(R613=1,E613&amp;"|"&amp;SUMIFS($R$7:R613,$E$7:E613,E613),"")</f>
        <v/>
      </c>
      <c r="T613" s="112">
        <f>IF(Q613="","",IF(Q613=3,L613,IF(OR(M613="Not started",M613=""),J613,"")))</f>
        <v/>
      </c>
      <c r="U613" s="79">
        <f>IF(T613="","",IF(Q613=3,1,IF(T613="","",IF(T613&lt;AsOf,1,IF(T613&lt;=AsOf+AlertDays,2,IF(T613&lt;=AsOf+2*AlertDays,3,""))))))</f>
        <v/>
      </c>
      <c r="V613" s="79">
        <f>IF(U613="","",IF(Q613=3,"Late task: "&amp;D613,IF(T613&lt;AsOf,"Should have started: ","Starts soon: ")&amp;D613)&amp;IF(F613="",""," — "&amp;F613))</f>
        <v/>
      </c>
    </row>
    <row r="614" ht="20" customHeight="1">
      <c r="B614" s="125" t="n">
        <v>608</v>
      </c>
      <c r="C614" s="72" t="n"/>
      <c r="D614" s="72" t="n"/>
      <c r="E614" s="72" t="n"/>
      <c r="F614" s="72" t="n"/>
      <c r="G614" s="89" t="n"/>
      <c r="H614" s="89" t="n"/>
      <c r="I614" s="109" t="n"/>
      <c r="J614" s="126">
        <f>IF(OR(D614="",ProjStart=""),"",MAX(ProjStart,IF(I614&lt;&gt;"",I614,0),IF(H614="",0,IFERROR(INDEX($L$6:L613,MATCH(H614,$B$6:B613,0))+1,0))))</f>
        <v/>
      </c>
      <c r="K614" s="89" t="n"/>
      <c r="L614" s="126">
        <f>IF(J614="","",J614+MAX(1,G614)+IF(K614="",0,K614)-1)</f>
        <v/>
      </c>
      <c r="M614" s="72" t="n"/>
      <c r="N614" s="109" t="n"/>
      <c r="O614" s="127">
        <f>IF(D614="","",COUNTIF($H$7:$H$1006,B614))</f>
        <v/>
      </c>
      <c r="P614" s="78">
        <f>IF(D614="","",IF(AND(H614&lt;&gt;"",H614&gt;=B614),"⚠️ Predecessor must be above",IF(M614="Done","✓ Done",IF(Q614=3,"🔴 Late",IF(M614="In progress","In progress","")))))</f>
        <v/>
      </c>
      <c r="Q614" s="79">
        <f>IF(OR(D614="",L614=""),"",IF(M614="Done",2,IF(AsOf&gt;L614,3,1)))</f>
        <v/>
      </c>
      <c r="R614" s="79">
        <f>IF(OR(E614="",F614=""),0,IF(COUNTIFS($E$7:E614,E614,$F$7:F614,F614)=1,1,0))</f>
        <v/>
      </c>
      <c r="S614" s="79">
        <f>IF(R614=1,E614&amp;"|"&amp;SUMIFS($R$7:R614,$E$7:E614,E614),"")</f>
        <v/>
      </c>
      <c r="T614" s="112">
        <f>IF(Q614="","",IF(Q614=3,L614,IF(OR(M614="Not started",M614=""),J614,"")))</f>
        <v/>
      </c>
      <c r="U614" s="79">
        <f>IF(T614="","",IF(Q614=3,1,IF(T614="","",IF(T614&lt;AsOf,1,IF(T614&lt;=AsOf+AlertDays,2,IF(T614&lt;=AsOf+2*AlertDays,3,""))))))</f>
        <v/>
      </c>
      <c r="V614" s="79">
        <f>IF(U614="","",IF(Q614=3,"Late task: "&amp;D614,IF(T614&lt;AsOf,"Should have started: ","Starts soon: ")&amp;D614)&amp;IF(F614="",""," — "&amp;F614))</f>
        <v/>
      </c>
    </row>
    <row r="615" ht="20" customHeight="1">
      <c r="B615" s="125" t="n">
        <v>609</v>
      </c>
      <c r="C615" s="72" t="n"/>
      <c r="D615" s="72" t="n"/>
      <c r="E615" s="72" t="n"/>
      <c r="F615" s="72" t="n"/>
      <c r="G615" s="89" t="n"/>
      <c r="H615" s="89" t="n"/>
      <c r="I615" s="109" t="n"/>
      <c r="J615" s="126">
        <f>IF(OR(D615="",ProjStart=""),"",MAX(ProjStart,IF(I615&lt;&gt;"",I615,0),IF(H615="",0,IFERROR(INDEX($L$6:L614,MATCH(H615,$B$6:B614,0))+1,0))))</f>
        <v/>
      </c>
      <c r="K615" s="89" t="n"/>
      <c r="L615" s="126">
        <f>IF(J615="","",J615+MAX(1,G615)+IF(K615="",0,K615)-1)</f>
        <v/>
      </c>
      <c r="M615" s="72" t="n"/>
      <c r="N615" s="109" t="n"/>
      <c r="O615" s="127">
        <f>IF(D615="","",COUNTIF($H$7:$H$1006,B615))</f>
        <v/>
      </c>
      <c r="P615" s="78">
        <f>IF(D615="","",IF(AND(H615&lt;&gt;"",H615&gt;=B615),"⚠️ Predecessor must be above",IF(M615="Done","✓ Done",IF(Q615=3,"🔴 Late",IF(M615="In progress","In progress","")))))</f>
        <v/>
      </c>
      <c r="Q615" s="79">
        <f>IF(OR(D615="",L615=""),"",IF(M615="Done",2,IF(AsOf&gt;L615,3,1)))</f>
        <v/>
      </c>
      <c r="R615" s="79">
        <f>IF(OR(E615="",F615=""),0,IF(COUNTIFS($E$7:E615,E615,$F$7:F615,F615)=1,1,0))</f>
        <v/>
      </c>
      <c r="S615" s="79">
        <f>IF(R615=1,E615&amp;"|"&amp;SUMIFS($R$7:R615,$E$7:E615,E615),"")</f>
        <v/>
      </c>
      <c r="T615" s="112">
        <f>IF(Q615="","",IF(Q615=3,L615,IF(OR(M615="Not started",M615=""),J615,"")))</f>
        <v/>
      </c>
      <c r="U615" s="79">
        <f>IF(T615="","",IF(Q615=3,1,IF(T615="","",IF(T615&lt;AsOf,1,IF(T615&lt;=AsOf+AlertDays,2,IF(T615&lt;=AsOf+2*AlertDays,3,""))))))</f>
        <v/>
      </c>
      <c r="V615" s="79">
        <f>IF(U615="","",IF(Q615=3,"Late task: "&amp;D615,IF(T615&lt;AsOf,"Should have started: ","Starts soon: ")&amp;D615)&amp;IF(F615="",""," — "&amp;F615))</f>
        <v/>
      </c>
    </row>
    <row r="616" ht="20" customHeight="1">
      <c r="B616" s="125" t="n">
        <v>610</v>
      </c>
      <c r="C616" s="72" t="n"/>
      <c r="D616" s="72" t="n"/>
      <c r="E616" s="72" t="n"/>
      <c r="F616" s="72" t="n"/>
      <c r="G616" s="89" t="n"/>
      <c r="H616" s="89" t="n"/>
      <c r="I616" s="109" t="n"/>
      <c r="J616" s="126">
        <f>IF(OR(D616="",ProjStart=""),"",MAX(ProjStart,IF(I616&lt;&gt;"",I616,0),IF(H616="",0,IFERROR(INDEX($L$6:L615,MATCH(H616,$B$6:B615,0))+1,0))))</f>
        <v/>
      </c>
      <c r="K616" s="89" t="n"/>
      <c r="L616" s="126">
        <f>IF(J616="","",J616+MAX(1,G616)+IF(K616="",0,K616)-1)</f>
        <v/>
      </c>
      <c r="M616" s="72" t="n"/>
      <c r="N616" s="109" t="n"/>
      <c r="O616" s="127">
        <f>IF(D616="","",COUNTIF($H$7:$H$1006,B616))</f>
        <v/>
      </c>
      <c r="P616" s="78">
        <f>IF(D616="","",IF(AND(H616&lt;&gt;"",H616&gt;=B616),"⚠️ Predecessor must be above",IF(M616="Done","✓ Done",IF(Q616=3,"🔴 Late",IF(M616="In progress","In progress","")))))</f>
        <v/>
      </c>
      <c r="Q616" s="79">
        <f>IF(OR(D616="",L616=""),"",IF(M616="Done",2,IF(AsOf&gt;L616,3,1)))</f>
        <v/>
      </c>
      <c r="R616" s="79">
        <f>IF(OR(E616="",F616=""),0,IF(COUNTIFS($E$7:E616,E616,$F$7:F616,F616)=1,1,0))</f>
        <v/>
      </c>
      <c r="S616" s="79">
        <f>IF(R616=1,E616&amp;"|"&amp;SUMIFS($R$7:R616,$E$7:E616,E616),"")</f>
        <v/>
      </c>
      <c r="T616" s="112">
        <f>IF(Q616="","",IF(Q616=3,L616,IF(OR(M616="Not started",M616=""),J616,"")))</f>
        <v/>
      </c>
      <c r="U616" s="79">
        <f>IF(T616="","",IF(Q616=3,1,IF(T616="","",IF(T616&lt;AsOf,1,IF(T616&lt;=AsOf+AlertDays,2,IF(T616&lt;=AsOf+2*AlertDays,3,""))))))</f>
        <v/>
      </c>
      <c r="V616" s="79">
        <f>IF(U616="","",IF(Q616=3,"Late task: "&amp;D616,IF(T616&lt;AsOf,"Should have started: ","Starts soon: ")&amp;D616)&amp;IF(F616="",""," — "&amp;F616))</f>
        <v/>
      </c>
    </row>
    <row r="617" ht="20" customHeight="1">
      <c r="B617" s="125" t="n">
        <v>611</v>
      </c>
      <c r="C617" s="72" t="n"/>
      <c r="D617" s="72" t="n"/>
      <c r="E617" s="72" t="n"/>
      <c r="F617" s="72" t="n"/>
      <c r="G617" s="89" t="n"/>
      <c r="H617" s="89" t="n"/>
      <c r="I617" s="109" t="n"/>
      <c r="J617" s="126">
        <f>IF(OR(D617="",ProjStart=""),"",MAX(ProjStart,IF(I617&lt;&gt;"",I617,0),IF(H617="",0,IFERROR(INDEX($L$6:L616,MATCH(H617,$B$6:B616,0))+1,0))))</f>
        <v/>
      </c>
      <c r="K617" s="89" t="n"/>
      <c r="L617" s="126">
        <f>IF(J617="","",J617+MAX(1,G617)+IF(K617="",0,K617)-1)</f>
        <v/>
      </c>
      <c r="M617" s="72" t="n"/>
      <c r="N617" s="109" t="n"/>
      <c r="O617" s="127">
        <f>IF(D617="","",COUNTIF($H$7:$H$1006,B617))</f>
        <v/>
      </c>
      <c r="P617" s="78">
        <f>IF(D617="","",IF(AND(H617&lt;&gt;"",H617&gt;=B617),"⚠️ Predecessor must be above",IF(M617="Done","✓ Done",IF(Q617=3,"🔴 Late",IF(M617="In progress","In progress","")))))</f>
        <v/>
      </c>
      <c r="Q617" s="79">
        <f>IF(OR(D617="",L617=""),"",IF(M617="Done",2,IF(AsOf&gt;L617,3,1)))</f>
        <v/>
      </c>
      <c r="R617" s="79">
        <f>IF(OR(E617="",F617=""),0,IF(COUNTIFS($E$7:E617,E617,$F$7:F617,F617)=1,1,0))</f>
        <v/>
      </c>
      <c r="S617" s="79">
        <f>IF(R617=1,E617&amp;"|"&amp;SUMIFS($R$7:R617,$E$7:E617,E617),"")</f>
        <v/>
      </c>
      <c r="T617" s="112">
        <f>IF(Q617="","",IF(Q617=3,L617,IF(OR(M617="Not started",M617=""),J617,"")))</f>
        <v/>
      </c>
      <c r="U617" s="79">
        <f>IF(T617="","",IF(Q617=3,1,IF(T617="","",IF(T617&lt;AsOf,1,IF(T617&lt;=AsOf+AlertDays,2,IF(T617&lt;=AsOf+2*AlertDays,3,""))))))</f>
        <v/>
      </c>
      <c r="V617" s="79">
        <f>IF(U617="","",IF(Q617=3,"Late task: "&amp;D617,IF(T617&lt;AsOf,"Should have started: ","Starts soon: ")&amp;D617)&amp;IF(F617="",""," — "&amp;F617))</f>
        <v/>
      </c>
    </row>
    <row r="618" ht="20" customHeight="1">
      <c r="B618" s="125" t="n">
        <v>612</v>
      </c>
      <c r="C618" s="72" t="n"/>
      <c r="D618" s="72" t="n"/>
      <c r="E618" s="72" t="n"/>
      <c r="F618" s="72" t="n"/>
      <c r="G618" s="89" t="n"/>
      <c r="H618" s="89" t="n"/>
      <c r="I618" s="109" t="n"/>
      <c r="J618" s="126">
        <f>IF(OR(D618="",ProjStart=""),"",MAX(ProjStart,IF(I618&lt;&gt;"",I618,0),IF(H618="",0,IFERROR(INDEX($L$6:L617,MATCH(H618,$B$6:B617,0))+1,0))))</f>
        <v/>
      </c>
      <c r="K618" s="89" t="n"/>
      <c r="L618" s="126">
        <f>IF(J618="","",J618+MAX(1,G618)+IF(K618="",0,K618)-1)</f>
        <v/>
      </c>
      <c r="M618" s="72" t="n"/>
      <c r="N618" s="109" t="n"/>
      <c r="O618" s="127">
        <f>IF(D618="","",COUNTIF($H$7:$H$1006,B618))</f>
        <v/>
      </c>
      <c r="P618" s="78">
        <f>IF(D618="","",IF(AND(H618&lt;&gt;"",H618&gt;=B618),"⚠️ Predecessor must be above",IF(M618="Done","✓ Done",IF(Q618=3,"🔴 Late",IF(M618="In progress","In progress","")))))</f>
        <v/>
      </c>
      <c r="Q618" s="79">
        <f>IF(OR(D618="",L618=""),"",IF(M618="Done",2,IF(AsOf&gt;L618,3,1)))</f>
        <v/>
      </c>
      <c r="R618" s="79">
        <f>IF(OR(E618="",F618=""),0,IF(COUNTIFS($E$7:E618,E618,$F$7:F618,F618)=1,1,0))</f>
        <v/>
      </c>
      <c r="S618" s="79">
        <f>IF(R618=1,E618&amp;"|"&amp;SUMIFS($R$7:R618,$E$7:E618,E618),"")</f>
        <v/>
      </c>
      <c r="T618" s="112">
        <f>IF(Q618="","",IF(Q618=3,L618,IF(OR(M618="Not started",M618=""),J618,"")))</f>
        <v/>
      </c>
      <c r="U618" s="79">
        <f>IF(T618="","",IF(Q618=3,1,IF(T618="","",IF(T618&lt;AsOf,1,IF(T618&lt;=AsOf+AlertDays,2,IF(T618&lt;=AsOf+2*AlertDays,3,""))))))</f>
        <v/>
      </c>
      <c r="V618" s="79">
        <f>IF(U618="","",IF(Q618=3,"Late task: "&amp;D618,IF(T618&lt;AsOf,"Should have started: ","Starts soon: ")&amp;D618)&amp;IF(F618="",""," — "&amp;F618))</f>
        <v/>
      </c>
    </row>
    <row r="619" ht="20" customHeight="1">
      <c r="B619" s="125" t="n">
        <v>613</v>
      </c>
      <c r="C619" s="72" t="n"/>
      <c r="D619" s="72" t="n"/>
      <c r="E619" s="72" t="n"/>
      <c r="F619" s="72" t="n"/>
      <c r="G619" s="89" t="n"/>
      <c r="H619" s="89" t="n"/>
      <c r="I619" s="109" t="n"/>
      <c r="J619" s="126">
        <f>IF(OR(D619="",ProjStart=""),"",MAX(ProjStart,IF(I619&lt;&gt;"",I619,0),IF(H619="",0,IFERROR(INDEX($L$6:L618,MATCH(H619,$B$6:B618,0))+1,0))))</f>
        <v/>
      </c>
      <c r="K619" s="89" t="n"/>
      <c r="L619" s="126">
        <f>IF(J619="","",J619+MAX(1,G619)+IF(K619="",0,K619)-1)</f>
        <v/>
      </c>
      <c r="M619" s="72" t="n"/>
      <c r="N619" s="109" t="n"/>
      <c r="O619" s="127">
        <f>IF(D619="","",COUNTIF($H$7:$H$1006,B619))</f>
        <v/>
      </c>
      <c r="P619" s="78">
        <f>IF(D619="","",IF(AND(H619&lt;&gt;"",H619&gt;=B619),"⚠️ Predecessor must be above",IF(M619="Done","✓ Done",IF(Q619=3,"🔴 Late",IF(M619="In progress","In progress","")))))</f>
        <v/>
      </c>
      <c r="Q619" s="79">
        <f>IF(OR(D619="",L619=""),"",IF(M619="Done",2,IF(AsOf&gt;L619,3,1)))</f>
        <v/>
      </c>
      <c r="R619" s="79">
        <f>IF(OR(E619="",F619=""),0,IF(COUNTIFS($E$7:E619,E619,$F$7:F619,F619)=1,1,0))</f>
        <v/>
      </c>
      <c r="S619" s="79">
        <f>IF(R619=1,E619&amp;"|"&amp;SUMIFS($R$7:R619,$E$7:E619,E619),"")</f>
        <v/>
      </c>
      <c r="T619" s="112">
        <f>IF(Q619="","",IF(Q619=3,L619,IF(OR(M619="Not started",M619=""),J619,"")))</f>
        <v/>
      </c>
      <c r="U619" s="79">
        <f>IF(T619="","",IF(Q619=3,1,IF(T619="","",IF(T619&lt;AsOf,1,IF(T619&lt;=AsOf+AlertDays,2,IF(T619&lt;=AsOf+2*AlertDays,3,""))))))</f>
        <v/>
      </c>
      <c r="V619" s="79">
        <f>IF(U619="","",IF(Q619=3,"Late task: "&amp;D619,IF(T619&lt;AsOf,"Should have started: ","Starts soon: ")&amp;D619)&amp;IF(F619="",""," — "&amp;F619))</f>
        <v/>
      </c>
    </row>
    <row r="620" ht="20" customHeight="1">
      <c r="B620" s="125" t="n">
        <v>614</v>
      </c>
      <c r="C620" s="72" t="n"/>
      <c r="D620" s="72" t="n"/>
      <c r="E620" s="72" t="n"/>
      <c r="F620" s="72" t="n"/>
      <c r="G620" s="89" t="n"/>
      <c r="H620" s="89" t="n"/>
      <c r="I620" s="109" t="n"/>
      <c r="J620" s="126">
        <f>IF(OR(D620="",ProjStart=""),"",MAX(ProjStart,IF(I620&lt;&gt;"",I620,0),IF(H620="",0,IFERROR(INDEX($L$6:L619,MATCH(H620,$B$6:B619,0))+1,0))))</f>
        <v/>
      </c>
      <c r="K620" s="89" t="n"/>
      <c r="L620" s="126">
        <f>IF(J620="","",J620+MAX(1,G620)+IF(K620="",0,K620)-1)</f>
        <v/>
      </c>
      <c r="M620" s="72" t="n"/>
      <c r="N620" s="109" t="n"/>
      <c r="O620" s="127">
        <f>IF(D620="","",COUNTIF($H$7:$H$1006,B620))</f>
        <v/>
      </c>
      <c r="P620" s="78">
        <f>IF(D620="","",IF(AND(H620&lt;&gt;"",H620&gt;=B620),"⚠️ Predecessor must be above",IF(M620="Done","✓ Done",IF(Q620=3,"🔴 Late",IF(M620="In progress","In progress","")))))</f>
        <v/>
      </c>
      <c r="Q620" s="79">
        <f>IF(OR(D620="",L620=""),"",IF(M620="Done",2,IF(AsOf&gt;L620,3,1)))</f>
        <v/>
      </c>
      <c r="R620" s="79">
        <f>IF(OR(E620="",F620=""),0,IF(COUNTIFS($E$7:E620,E620,$F$7:F620,F620)=1,1,0))</f>
        <v/>
      </c>
      <c r="S620" s="79">
        <f>IF(R620=1,E620&amp;"|"&amp;SUMIFS($R$7:R620,$E$7:E620,E620),"")</f>
        <v/>
      </c>
      <c r="T620" s="112">
        <f>IF(Q620="","",IF(Q620=3,L620,IF(OR(M620="Not started",M620=""),J620,"")))</f>
        <v/>
      </c>
      <c r="U620" s="79">
        <f>IF(T620="","",IF(Q620=3,1,IF(T620="","",IF(T620&lt;AsOf,1,IF(T620&lt;=AsOf+AlertDays,2,IF(T620&lt;=AsOf+2*AlertDays,3,""))))))</f>
        <v/>
      </c>
      <c r="V620" s="79">
        <f>IF(U620="","",IF(Q620=3,"Late task: "&amp;D620,IF(T620&lt;AsOf,"Should have started: ","Starts soon: ")&amp;D620)&amp;IF(F620="",""," — "&amp;F620))</f>
        <v/>
      </c>
    </row>
    <row r="621" ht="20" customHeight="1">
      <c r="B621" s="125" t="n">
        <v>615</v>
      </c>
      <c r="C621" s="72" t="n"/>
      <c r="D621" s="72" t="n"/>
      <c r="E621" s="72" t="n"/>
      <c r="F621" s="72" t="n"/>
      <c r="G621" s="89" t="n"/>
      <c r="H621" s="89" t="n"/>
      <c r="I621" s="109" t="n"/>
      <c r="J621" s="126">
        <f>IF(OR(D621="",ProjStart=""),"",MAX(ProjStart,IF(I621&lt;&gt;"",I621,0),IF(H621="",0,IFERROR(INDEX($L$6:L620,MATCH(H621,$B$6:B620,0))+1,0))))</f>
        <v/>
      </c>
      <c r="K621" s="89" t="n"/>
      <c r="L621" s="126">
        <f>IF(J621="","",J621+MAX(1,G621)+IF(K621="",0,K621)-1)</f>
        <v/>
      </c>
      <c r="M621" s="72" t="n"/>
      <c r="N621" s="109" t="n"/>
      <c r="O621" s="127">
        <f>IF(D621="","",COUNTIF($H$7:$H$1006,B621))</f>
        <v/>
      </c>
      <c r="P621" s="78">
        <f>IF(D621="","",IF(AND(H621&lt;&gt;"",H621&gt;=B621),"⚠️ Predecessor must be above",IF(M621="Done","✓ Done",IF(Q621=3,"🔴 Late",IF(M621="In progress","In progress","")))))</f>
        <v/>
      </c>
      <c r="Q621" s="79">
        <f>IF(OR(D621="",L621=""),"",IF(M621="Done",2,IF(AsOf&gt;L621,3,1)))</f>
        <v/>
      </c>
      <c r="R621" s="79">
        <f>IF(OR(E621="",F621=""),0,IF(COUNTIFS($E$7:E621,E621,$F$7:F621,F621)=1,1,0))</f>
        <v/>
      </c>
      <c r="S621" s="79">
        <f>IF(R621=1,E621&amp;"|"&amp;SUMIFS($R$7:R621,$E$7:E621,E621),"")</f>
        <v/>
      </c>
      <c r="T621" s="112">
        <f>IF(Q621="","",IF(Q621=3,L621,IF(OR(M621="Not started",M621=""),J621,"")))</f>
        <v/>
      </c>
      <c r="U621" s="79">
        <f>IF(T621="","",IF(Q621=3,1,IF(T621="","",IF(T621&lt;AsOf,1,IF(T621&lt;=AsOf+AlertDays,2,IF(T621&lt;=AsOf+2*AlertDays,3,""))))))</f>
        <v/>
      </c>
      <c r="V621" s="79">
        <f>IF(U621="","",IF(Q621=3,"Late task: "&amp;D621,IF(T621&lt;AsOf,"Should have started: ","Starts soon: ")&amp;D621)&amp;IF(F621="",""," — "&amp;F621))</f>
        <v/>
      </c>
    </row>
    <row r="622" ht="20" customHeight="1">
      <c r="B622" s="125" t="n">
        <v>616</v>
      </c>
      <c r="C622" s="72" t="n"/>
      <c r="D622" s="72" t="n"/>
      <c r="E622" s="72" t="n"/>
      <c r="F622" s="72" t="n"/>
      <c r="G622" s="89" t="n"/>
      <c r="H622" s="89" t="n"/>
      <c r="I622" s="109" t="n"/>
      <c r="J622" s="126">
        <f>IF(OR(D622="",ProjStart=""),"",MAX(ProjStart,IF(I622&lt;&gt;"",I622,0),IF(H622="",0,IFERROR(INDEX($L$6:L621,MATCH(H622,$B$6:B621,0))+1,0))))</f>
        <v/>
      </c>
      <c r="K622" s="89" t="n"/>
      <c r="L622" s="126">
        <f>IF(J622="","",J622+MAX(1,G622)+IF(K622="",0,K622)-1)</f>
        <v/>
      </c>
      <c r="M622" s="72" t="n"/>
      <c r="N622" s="109" t="n"/>
      <c r="O622" s="127">
        <f>IF(D622="","",COUNTIF($H$7:$H$1006,B622))</f>
        <v/>
      </c>
      <c r="P622" s="78">
        <f>IF(D622="","",IF(AND(H622&lt;&gt;"",H622&gt;=B622),"⚠️ Predecessor must be above",IF(M622="Done","✓ Done",IF(Q622=3,"🔴 Late",IF(M622="In progress","In progress","")))))</f>
        <v/>
      </c>
      <c r="Q622" s="79">
        <f>IF(OR(D622="",L622=""),"",IF(M622="Done",2,IF(AsOf&gt;L622,3,1)))</f>
        <v/>
      </c>
      <c r="R622" s="79">
        <f>IF(OR(E622="",F622=""),0,IF(COUNTIFS($E$7:E622,E622,$F$7:F622,F622)=1,1,0))</f>
        <v/>
      </c>
      <c r="S622" s="79">
        <f>IF(R622=1,E622&amp;"|"&amp;SUMIFS($R$7:R622,$E$7:E622,E622),"")</f>
        <v/>
      </c>
      <c r="T622" s="112">
        <f>IF(Q622="","",IF(Q622=3,L622,IF(OR(M622="Not started",M622=""),J622,"")))</f>
        <v/>
      </c>
      <c r="U622" s="79">
        <f>IF(T622="","",IF(Q622=3,1,IF(T622="","",IF(T622&lt;AsOf,1,IF(T622&lt;=AsOf+AlertDays,2,IF(T622&lt;=AsOf+2*AlertDays,3,""))))))</f>
        <v/>
      </c>
      <c r="V622" s="79">
        <f>IF(U622="","",IF(Q622=3,"Late task: "&amp;D622,IF(T622&lt;AsOf,"Should have started: ","Starts soon: ")&amp;D622)&amp;IF(F622="",""," — "&amp;F622))</f>
        <v/>
      </c>
    </row>
    <row r="623" ht="20" customHeight="1">
      <c r="B623" s="125" t="n">
        <v>617</v>
      </c>
      <c r="C623" s="72" t="n"/>
      <c r="D623" s="72" t="n"/>
      <c r="E623" s="72" t="n"/>
      <c r="F623" s="72" t="n"/>
      <c r="G623" s="89" t="n"/>
      <c r="H623" s="89" t="n"/>
      <c r="I623" s="109" t="n"/>
      <c r="J623" s="126">
        <f>IF(OR(D623="",ProjStart=""),"",MAX(ProjStart,IF(I623&lt;&gt;"",I623,0),IF(H623="",0,IFERROR(INDEX($L$6:L622,MATCH(H623,$B$6:B622,0))+1,0))))</f>
        <v/>
      </c>
      <c r="K623" s="89" t="n"/>
      <c r="L623" s="126">
        <f>IF(J623="","",J623+MAX(1,G623)+IF(K623="",0,K623)-1)</f>
        <v/>
      </c>
      <c r="M623" s="72" t="n"/>
      <c r="N623" s="109" t="n"/>
      <c r="O623" s="127">
        <f>IF(D623="","",COUNTIF($H$7:$H$1006,B623))</f>
        <v/>
      </c>
      <c r="P623" s="78">
        <f>IF(D623="","",IF(AND(H623&lt;&gt;"",H623&gt;=B623),"⚠️ Predecessor must be above",IF(M623="Done","✓ Done",IF(Q623=3,"🔴 Late",IF(M623="In progress","In progress","")))))</f>
        <v/>
      </c>
      <c r="Q623" s="79">
        <f>IF(OR(D623="",L623=""),"",IF(M623="Done",2,IF(AsOf&gt;L623,3,1)))</f>
        <v/>
      </c>
      <c r="R623" s="79">
        <f>IF(OR(E623="",F623=""),0,IF(COUNTIFS($E$7:E623,E623,$F$7:F623,F623)=1,1,0))</f>
        <v/>
      </c>
      <c r="S623" s="79">
        <f>IF(R623=1,E623&amp;"|"&amp;SUMIFS($R$7:R623,$E$7:E623,E623),"")</f>
        <v/>
      </c>
      <c r="T623" s="112">
        <f>IF(Q623="","",IF(Q623=3,L623,IF(OR(M623="Not started",M623=""),J623,"")))</f>
        <v/>
      </c>
      <c r="U623" s="79">
        <f>IF(T623="","",IF(Q623=3,1,IF(T623="","",IF(T623&lt;AsOf,1,IF(T623&lt;=AsOf+AlertDays,2,IF(T623&lt;=AsOf+2*AlertDays,3,""))))))</f>
        <v/>
      </c>
      <c r="V623" s="79">
        <f>IF(U623="","",IF(Q623=3,"Late task: "&amp;D623,IF(T623&lt;AsOf,"Should have started: ","Starts soon: ")&amp;D623)&amp;IF(F623="",""," — "&amp;F623))</f>
        <v/>
      </c>
    </row>
    <row r="624" ht="20" customHeight="1">
      <c r="B624" s="125" t="n">
        <v>618</v>
      </c>
      <c r="C624" s="72" t="n"/>
      <c r="D624" s="72" t="n"/>
      <c r="E624" s="72" t="n"/>
      <c r="F624" s="72" t="n"/>
      <c r="G624" s="89" t="n"/>
      <c r="H624" s="89" t="n"/>
      <c r="I624" s="109" t="n"/>
      <c r="J624" s="126">
        <f>IF(OR(D624="",ProjStart=""),"",MAX(ProjStart,IF(I624&lt;&gt;"",I624,0),IF(H624="",0,IFERROR(INDEX($L$6:L623,MATCH(H624,$B$6:B623,0))+1,0))))</f>
        <v/>
      </c>
      <c r="K624" s="89" t="n"/>
      <c r="L624" s="126">
        <f>IF(J624="","",J624+MAX(1,G624)+IF(K624="",0,K624)-1)</f>
        <v/>
      </c>
      <c r="M624" s="72" t="n"/>
      <c r="N624" s="109" t="n"/>
      <c r="O624" s="127">
        <f>IF(D624="","",COUNTIF($H$7:$H$1006,B624))</f>
        <v/>
      </c>
      <c r="P624" s="78">
        <f>IF(D624="","",IF(AND(H624&lt;&gt;"",H624&gt;=B624),"⚠️ Predecessor must be above",IF(M624="Done","✓ Done",IF(Q624=3,"🔴 Late",IF(M624="In progress","In progress","")))))</f>
        <v/>
      </c>
      <c r="Q624" s="79">
        <f>IF(OR(D624="",L624=""),"",IF(M624="Done",2,IF(AsOf&gt;L624,3,1)))</f>
        <v/>
      </c>
      <c r="R624" s="79">
        <f>IF(OR(E624="",F624=""),0,IF(COUNTIFS($E$7:E624,E624,$F$7:F624,F624)=1,1,0))</f>
        <v/>
      </c>
      <c r="S624" s="79">
        <f>IF(R624=1,E624&amp;"|"&amp;SUMIFS($R$7:R624,$E$7:E624,E624),"")</f>
        <v/>
      </c>
      <c r="T624" s="112">
        <f>IF(Q624="","",IF(Q624=3,L624,IF(OR(M624="Not started",M624=""),J624,"")))</f>
        <v/>
      </c>
      <c r="U624" s="79">
        <f>IF(T624="","",IF(Q624=3,1,IF(T624="","",IF(T624&lt;AsOf,1,IF(T624&lt;=AsOf+AlertDays,2,IF(T624&lt;=AsOf+2*AlertDays,3,""))))))</f>
        <v/>
      </c>
      <c r="V624" s="79">
        <f>IF(U624="","",IF(Q624=3,"Late task: "&amp;D624,IF(T624&lt;AsOf,"Should have started: ","Starts soon: ")&amp;D624)&amp;IF(F624="",""," — "&amp;F624))</f>
        <v/>
      </c>
    </row>
    <row r="625" ht="20" customHeight="1">
      <c r="B625" s="125" t="n">
        <v>619</v>
      </c>
      <c r="C625" s="72" t="n"/>
      <c r="D625" s="72" t="n"/>
      <c r="E625" s="72" t="n"/>
      <c r="F625" s="72" t="n"/>
      <c r="G625" s="89" t="n"/>
      <c r="H625" s="89" t="n"/>
      <c r="I625" s="109" t="n"/>
      <c r="J625" s="126">
        <f>IF(OR(D625="",ProjStart=""),"",MAX(ProjStart,IF(I625&lt;&gt;"",I625,0),IF(H625="",0,IFERROR(INDEX($L$6:L624,MATCH(H625,$B$6:B624,0))+1,0))))</f>
        <v/>
      </c>
      <c r="K625" s="89" t="n"/>
      <c r="L625" s="126">
        <f>IF(J625="","",J625+MAX(1,G625)+IF(K625="",0,K625)-1)</f>
        <v/>
      </c>
      <c r="M625" s="72" t="n"/>
      <c r="N625" s="109" t="n"/>
      <c r="O625" s="127">
        <f>IF(D625="","",COUNTIF($H$7:$H$1006,B625))</f>
        <v/>
      </c>
      <c r="P625" s="78">
        <f>IF(D625="","",IF(AND(H625&lt;&gt;"",H625&gt;=B625),"⚠️ Predecessor must be above",IF(M625="Done","✓ Done",IF(Q625=3,"🔴 Late",IF(M625="In progress","In progress","")))))</f>
        <v/>
      </c>
      <c r="Q625" s="79">
        <f>IF(OR(D625="",L625=""),"",IF(M625="Done",2,IF(AsOf&gt;L625,3,1)))</f>
        <v/>
      </c>
      <c r="R625" s="79">
        <f>IF(OR(E625="",F625=""),0,IF(COUNTIFS($E$7:E625,E625,$F$7:F625,F625)=1,1,0))</f>
        <v/>
      </c>
      <c r="S625" s="79">
        <f>IF(R625=1,E625&amp;"|"&amp;SUMIFS($R$7:R625,$E$7:E625,E625),"")</f>
        <v/>
      </c>
      <c r="T625" s="112">
        <f>IF(Q625="","",IF(Q625=3,L625,IF(OR(M625="Not started",M625=""),J625,"")))</f>
        <v/>
      </c>
      <c r="U625" s="79">
        <f>IF(T625="","",IF(Q625=3,1,IF(T625="","",IF(T625&lt;AsOf,1,IF(T625&lt;=AsOf+AlertDays,2,IF(T625&lt;=AsOf+2*AlertDays,3,""))))))</f>
        <v/>
      </c>
      <c r="V625" s="79">
        <f>IF(U625="","",IF(Q625=3,"Late task: "&amp;D625,IF(T625&lt;AsOf,"Should have started: ","Starts soon: ")&amp;D625)&amp;IF(F625="",""," — "&amp;F625))</f>
        <v/>
      </c>
    </row>
    <row r="626" ht="20" customHeight="1">
      <c r="B626" s="125" t="n">
        <v>620</v>
      </c>
      <c r="C626" s="72" t="n"/>
      <c r="D626" s="72" t="n"/>
      <c r="E626" s="72" t="n"/>
      <c r="F626" s="72" t="n"/>
      <c r="G626" s="89" t="n"/>
      <c r="H626" s="89" t="n"/>
      <c r="I626" s="109" t="n"/>
      <c r="J626" s="126">
        <f>IF(OR(D626="",ProjStart=""),"",MAX(ProjStart,IF(I626&lt;&gt;"",I626,0),IF(H626="",0,IFERROR(INDEX($L$6:L625,MATCH(H626,$B$6:B625,0))+1,0))))</f>
        <v/>
      </c>
      <c r="K626" s="89" t="n"/>
      <c r="L626" s="126">
        <f>IF(J626="","",J626+MAX(1,G626)+IF(K626="",0,K626)-1)</f>
        <v/>
      </c>
      <c r="M626" s="72" t="n"/>
      <c r="N626" s="109" t="n"/>
      <c r="O626" s="127">
        <f>IF(D626="","",COUNTIF($H$7:$H$1006,B626))</f>
        <v/>
      </c>
      <c r="P626" s="78">
        <f>IF(D626="","",IF(AND(H626&lt;&gt;"",H626&gt;=B626),"⚠️ Predecessor must be above",IF(M626="Done","✓ Done",IF(Q626=3,"🔴 Late",IF(M626="In progress","In progress","")))))</f>
        <v/>
      </c>
      <c r="Q626" s="79">
        <f>IF(OR(D626="",L626=""),"",IF(M626="Done",2,IF(AsOf&gt;L626,3,1)))</f>
        <v/>
      </c>
      <c r="R626" s="79">
        <f>IF(OR(E626="",F626=""),0,IF(COUNTIFS($E$7:E626,E626,$F$7:F626,F626)=1,1,0))</f>
        <v/>
      </c>
      <c r="S626" s="79">
        <f>IF(R626=1,E626&amp;"|"&amp;SUMIFS($R$7:R626,$E$7:E626,E626),"")</f>
        <v/>
      </c>
      <c r="T626" s="112">
        <f>IF(Q626="","",IF(Q626=3,L626,IF(OR(M626="Not started",M626=""),J626,"")))</f>
        <v/>
      </c>
      <c r="U626" s="79">
        <f>IF(T626="","",IF(Q626=3,1,IF(T626="","",IF(T626&lt;AsOf,1,IF(T626&lt;=AsOf+AlertDays,2,IF(T626&lt;=AsOf+2*AlertDays,3,""))))))</f>
        <v/>
      </c>
      <c r="V626" s="79">
        <f>IF(U626="","",IF(Q626=3,"Late task: "&amp;D626,IF(T626&lt;AsOf,"Should have started: ","Starts soon: ")&amp;D626)&amp;IF(F626="",""," — "&amp;F626))</f>
        <v/>
      </c>
    </row>
    <row r="627" ht="20" customHeight="1">
      <c r="B627" s="125" t="n">
        <v>621</v>
      </c>
      <c r="C627" s="72" t="n"/>
      <c r="D627" s="72" t="n"/>
      <c r="E627" s="72" t="n"/>
      <c r="F627" s="72" t="n"/>
      <c r="G627" s="89" t="n"/>
      <c r="H627" s="89" t="n"/>
      <c r="I627" s="109" t="n"/>
      <c r="J627" s="126">
        <f>IF(OR(D627="",ProjStart=""),"",MAX(ProjStart,IF(I627&lt;&gt;"",I627,0),IF(H627="",0,IFERROR(INDEX($L$6:L626,MATCH(H627,$B$6:B626,0))+1,0))))</f>
        <v/>
      </c>
      <c r="K627" s="89" t="n"/>
      <c r="L627" s="126">
        <f>IF(J627="","",J627+MAX(1,G627)+IF(K627="",0,K627)-1)</f>
        <v/>
      </c>
      <c r="M627" s="72" t="n"/>
      <c r="N627" s="109" t="n"/>
      <c r="O627" s="127">
        <f>IF(D627="","",COUNTIF($H$7:$H$1006,B627))</f>
        <v/>
      </c>
      <c r="P627" s="78">
        <f>IF(D627="","",IF(AND(H627&lt;&gt;"",H627&gt;=B627),"⚠️ Predecessor must be above",IF(M627="Done","✓ Done",IF(Q627=3,"🔴 Late",IF(M627="In progress","In progress","")))))</f>
        <v/>
      </c>
      <c r="Q627" s="79">
        <f>IF(OR(D627="",L627=""),"",IF(M627="Done",2,IF(AsOf&gt;L627,3,1)))</f>
        <v/>
      </c>
      <c r="R627" s="79">
        <f>IF(OR(E627="",F627=""),0,IF(COUNTIFS($E$7:E627,E627,$F$7:F627,F627)=1,1,0))</f>
        <v/>
      </c>
      <c r="S627" s="79">
        <f>IF(R627=1,E627&amp;"|"&amp;SUMIFS($R$7:R627,$E$7:E627,E627),"")</f>
        <v/>
      </c>
      <c r="T627" s="112">
        <f>IF(Q627="","",IF(Q627=3,L627,IF(OR(M627="Not started",M627=""),J627,"")))</f>
        <v/>
      </c>
      <c r="U627" s="79">
        <f>IF(T627="","",IF(Q627=3,1,IF(T627="","",IF(T627&lt;AsOf,1,IF(T627&lt;=AsOf+AlertDays,2,IF(T627&lt;=AsOf+2*AlertDays,3,""))))))</f>
        <v/>
      </c>
      <c r="V627" s="79">
        <f>IF(U627="","",IF(Q627=3,"Late task: "&amp;D627,IF(T627&lt;AsOf,"Should have started: ","Starts soon: ")&amp;D627)&amp;IF(F627="",""," — "&amp;F627))</f>
        <v/>
      </c>
    </row>
    <row r="628" ht="20" customHeight="1">
      <c r="B628" s="125" t="n">
        <v>622</v>
      </c>
      <c r="C628" s="72" t="n"/>
      <c r="D628" s="72" t="n"/>
      <c r="E628" s="72" t="n"/>
      <c r="F628" s="72" t="n"/>
      <c r="G628" s="89" t="n"/>
      <c r="H628" s="89" t="n"/>
      <c r="I628" s="109" t="n"/>
      <c r="J628" s="126">
        <f>IF(OR(D628="",ProjStart=""),"",MAX(ProjStart,IF(I628&lt;&gt;"",I628,0),IF(H628="",0,IFERROR(INDEX($L$6:L627,MATCH(H628,$B$6:B627,0))+1,0))))</f>
        <v/>
      </c>
      <c r="K628" s="89" t="n"/>
      <c r="L628" s="126">
        <f>IF(J628="","",J628+MAX(1,G628)+IF(K628="",0,K628)-1)</f>
        <v/>
      </c>
      <c r="M628" s="72" t="n"/>
      <c r="N628" s="109" t="n"/>
      <c r="O628" s="127">
        <f>IF(D628="","",COUNTIF($H$7:$H$1006,B628))</f>
        <v/>
      </c>
      <c r="P628" s="78">
        <f>IF(D628="","",IF(AND(H628&lt;&gt;"",H628&gt;=B628),"⚠️ Predecessor must be above",IF(M628="Done","✓ Done",IF(Q628=3,"🔴 Late",IF(M628="In progress","In progress","")))))</f>
        <v/>
      </c>
      <c r="Q628" s="79">
        <f>IF(OR(D628="",L628=""),"",IF(M628="Done",2,IF(AsOf&gt;L628,3,1)))</f>
        <v/>
      </c>
      <c r="R628" s="79">
        <f>IF(OR(E628="",F628=""),0,IF(COUNTIFS($E$7:E628,E628,$F$7:F628,F628)=1,1,0))</f>
        <v/>
      </c>
      <c r="S628" s="79">
        <f>IF(R628=1,E628&amp;"|"&amp;SUMIFS($R$7:R628,$E$7:E628,E628),"")</f>
        <v/>
      </c>
      <c r="T628" s="112">
        <f>IF(Q628="","",IF(Q628=3,L628,IF(OR(M628="Not started",M628=""),J628,"")))</f>
        <v/>
      </c>
      <c r="U628" s="79">
        <f>IF(T628="","",IF(Q628=3,1,IF(T628="","",IF(T628&lt;AsOf,1,IF(T628&lt;=AsOf+AlertDays,2,IF(T628&lt;=AsOf+2*AlertDays,3,""))))))</f>
        <v/>
      </c>
      <c r="V628" s="79">
        <f>IF(U628="","",IF(Q628=3,"Late task: "&amp;D628,IF(T628&lt;AsOf,"Should have started: ","Starts soon: ")&amp;D628)&amp;IF(F628="",""," — "&amp;F628))</f>
        <v/>
      </c>
    </row>
    <row r="629" ht="20" customHeight="1">
      <c r="B629" s="125" t="n">
        <v>623</v>
      </c>
      <c r="C629" s="72" t="n"/>
      <c r="D629" s="72" t="n"/>
      <c r="E629" s="72" t="n"/>
      <c r="F629" s="72" t="n"/>
      <c r="G629" s="89" t="n"/>
      <c r="H629" s="89" t="n"/>
      <c r="I629" s="109" t="n"/>
      <c r="J629" s="126">
        <f>IF(OR(D629="",ProjStart=""),"",MAX(ProjStart,IF(I629&lt;&gt;"",I629,0),IF(H629="",0,IFERROR(INDEX($L$6:L628,MATCH(H629,$B$6:B628,0))+1,0))))</f>
        <v/>
      </c>
      <c r="K629" s="89" t="n"/>
      <c r="L629" s="126">
        <f>IF(J629="","",J629+MAX(1,G629)+IF(K629="",0,K629)-1)</f>
        <v/>
      </c>
      <c r="M629" s="72" t="n"/>
      <c r="N629" s="109" t="n"/>
      <c r="O629" s="127">
        <f>IF(D629="","",COUNTIF($H$7:$H$1006,B629))</f>
        <v/>
      </c>
      <c r="P629" s="78">
        <f>IF(D629="","",IF(AND(H629&lt;&gt;"",H629&gt;=B629),"⚠️ Predecessor must be above",IF(M629="Done","✓ Done",IF(Q629=3,"🔴 Late",IF(M629="In progress","In progress","")))))</f>
        <v/>
      </c>
      <c r="Q629" s="79">
        <f>IF(OR(D629="",L629=""),"",IF(M629="Done",2,IF(AsOf&gt;L629,3,1)))</f>
        <v/>
      </c>
      <c r="R629" s="79">
        <f>IF(OR(E629="",F629=""),0,IF(COUNTIFS($E$7:E629,E629,$F$7:F629,F629)=1,1,0))</f>
        <v/>
      </c>
      <c r="S629" s="79">
        <f>IF(R629=1,E629&amp;"|"&amp;SUMIFS($R$7:R629,$E$7:E629,E629),"")</f>
        <v/>
      </c>
      <c r="T629" s="112">
        <f>IF(Q629="","",IF(Q629=3,L629,IF(OR(M629="Not started",M629=""),J629,"")))</f>
        <v/>
      </c>
      <c r="U629" s="79">
        <f>IF(T629="","",IF(Q629=3,1,IF(T629="","",IF(T629&lt;AsOf,1,IF(T629&lt;=AsOf+AlertDays,2,IF(T629&lt;=AsOf+2*AlertDays,3,""))))))</f>
        <v/>
      </c>
      <c r="V629" s="79">
        <f>IF(U629="","",IF(Q629=3,"Late task: "&amp;D629,IF(T629&lt;AsOf,"Should have started: ","Starts soon: ")&amp;D629)&amp;IF(F629="",""," — "&amp;F629))</f>
        <v/>
      </c>
    </row>
    <row r="630" ht="20" customHeight="1">
      <c r="B630" s="125" t="n">
        <v>624</v>
      </c>
      <c r="C630" s="72" t="n"/>
      <c r="D630" s="72" t="n"/>
      <c r="E630" s="72" t="n"/>
      <c r="F630" s="72" t="n"/>
      <c r="G630" s="89" t="n"/>
      <c r="H630" s="89" t="n"/>
      <c r="I630" s="109" t="n"/>
      <c r="J630" s="126">
        <f>IF(OR(D630="",ProjStart=""),"",MAX(ProjStart,IF(I630&lt;&gt;"",I630,0),IF(H630="",0,IFERROR(INDEX($L$6:L629,MATCH(H630,$B$6:B629,0))+1,0))))</f>
        <v/>
      </c>
      <c r="K630" s="89" t="n"/>
      <c r="L630" s="126">
        <f>IF(J630="","",J630+MAX(1,G630)+IF(K630="",0,K630)-1)</f>
        <v/>
      </c>
      <c r="M630" s="72" t="n"/>
      <c r="N630" s="109" t="n"/>
      <c r="O630" s="127">
        <f>IF(D630="","",COUNTIF($H$7:$H$1006,B630))</f>
        <v/>
      </c>
      <c r="P630" s="78">
        <f>IF(D630="","",IF(AND(H630&lt;&gt;"",H630&gt;=B630),"⚠️ Predecessor must be above",IF(M630="Done","✓ Done",IF(Q630=3,"🔴 Late",IF(M630="In progress","In progress","")))))</f>
        <v/>
      </c>
      <c r="Q630" s="79">
        <f>IF(OR(D630="",L630=""),"",IF(M630="Done",2,IF(AsOf&gt;L630,3,1)))</f>
        <v/>
      </c>
      <c r="R630" s="79">
        <f>IF(OR(E630="",F630=""),0,IF(COUNTIFS($E$7:E630,E630,$F$7:F630,F630)=1,1,0))</f>
        <v/>
      </c>
      <c r="S630" s="79">
        <f>IF(R630=1,E630&amp;"|"&amp;SUMIFS($R$7:R630,$E$7:E630,E630),"")</f>
        <v/>
      </c>
      <c r="T630" s="112">
        <f>IF(Q630="","",IF(Q630=3,L630,IF(OR(M630="Not started",M630=""),J630,"")))</f>
        <v/>
      </c>
      <c r="U630" s="79">
        <f>IF(T630="","",IF(Q630=3,1,IF(T630="","",IF(T630&lt;AsOf,1,IF(T630&lt;=AsOf+AlertDays,2,IF(T630&lt;=AsOf+2*AlertDays,3,""))))))</f>
        <v/>
      </c>
      <c r="V630" s="79">
        <f>IF(U630="","",IF(Q630=3,"Late task: "&amp;D630,IF(T630&lt;AsOf,"Should have started: ","Starts soon: ")&amp;D630)&amp;IF(F630="",""," — "&amp;F630))</f>
        <v/>
      </c>
    </row>
    <row r="631" ht="20" customHeight="1">
      <c r="B631" s="125" t="n">
        <v>625</v>
      </c>
      <c r="C631" s="72" t="n"/>
      <c r="D631" s="72" t="n"/>
      <c r="E631" s="72" t="n"/>
      <c r="F631" s="72" t="n"/>
      <c r="G631" s="89" t="n"/>
      <c r="H631" s="89" t="n"/>
      <c r="I631" s="109" t="n"/>
      <c r="J631" s="126">
        <f>IF(OR(D631="",ProjStart=""),"",MAX(ProjStart,IF(I631&lt;&gt;"",I631,0),IF(H631="",0,IFERROR(INDEX($L$6:L630,MATCH(H631,$B$6:B630,0))+1,0))))</f>
        <v/>
      </c>
      <c r="K631" s="89" t="n"/>
      <c r="L631" s="126">
        <f>IF(J631="","",J631+MAX(1,G631)+IF(K631="",0,K631)-1)</f>
        <v/>
      </c>
      <c r="M631" s="72" t="n"/>
      <c r="N631" s="109" t="n"/>
      <c r="O631" s="127">
        <f>IF(D631="","",COUNTIF($H$7:$H$1006,B631))</f>
        <v/>
      </c>
      <c r="P631" s="78">
        <f>IF(D631="","",IF(AND(H631&lt;&gt;"",H631&gt;=B631),"⚠️ Predecessor must be above",IF(M631="Done","✓ Done",IF(Q631=3,"🔴 Late",IF(M631="In progress","In progress","")))))</f>
        <v/>
      </c>
      <c r="Q631" s="79">
        <f>IF(OR(D631="",L631=""),"",IF(M631="Done",2,IF(AsOf&gt;L631,3,1)))</f>
        <v/>
      </c>
      <c r="R631" s="79">
        <f>IF(OR(E631="",F631=""),0,IF(COUNTIFS($E$7:E631,E631,$F$7:F631,F631)=1,1,0))</f>
        <v/>
      </c>
      <c r="S631" s="79">
        <f>IF(R631=1,E631&amp;"|"&amp;SUMIFS($R$7:R631,$E$7:E631,E631),"")</f>
        <v/>
      </c>
      <c r="T631" s="112">
        <f>IF(Q631="","",IF(Q631=3,L631,IF(OR(M631="Not started",M631=""),J631,"")))</f>
        <v/>
      </c>
      <c r="U631" s="79">
        <f>IF(T631="","",IF(Q631=3,1,IF(T631="","",IF(T631&lt;AsOf,1,IF(T631&lt;=AsOf+AlertDays,2,IF(T631&lt;=AsOf+2*AlertDays,3,""))))))</f>
        <v/>
      </c>
      <c r="V631" s="79">
        <f>IF(U631="","",IF(Q631=3,"Late task: "&amp;D631,IF(T631&lt;AsOf,"Should have started: ","Starts soon: ")&amp;D631)&amp;IF(F631="",""," — "&amp;F631))</f>
        <v/>
      </c>
    </row>
    <row r="632" ht="20" customHeight="1">
      <c r="B632" s="125" t="n">
        <v>626</v>
      </c>
      <c r="C632" s="72" t="n"/>
      <c r="D632" s="72" t="n"/>
      <c r="E632" s="72" t="n"/>
      <c r="F632" s="72" t="n"/>
      <c r="G632" s="89" t="n"/>
      <c r="H632" s="89" t="n"/>
      <c r="I632" s="109" t="n"/>
      <c r="J632" s="126">
        <f>IF(OR(D632="",ProjStart=""),"",MAX(ProjStart,IF(I632&lt;&gt;"",I632,0),IF(H632="",0,IFERROR(INDEX($L$6:L631,MATCH(H632,$B$6:B631,0))+1,0))))</f>
        <v/>
      </c>
      <c r="K632" s="89" t="n"/>
      <c r="L632" s="126">
        <f>IF(J632="","",J632+MAX(1,G632)+IF(K632="",0,K632)-1)</f>
        <v/>
      </c>
      <c r="M632" s="72" t="n"/>
      <c r="N632" s="109" t="n"/>
      <c r="O632" s="127">
        <f>IF(D632="","",COUNTIF($H$7:$H$1006,B632))</f>
        <v/>
      </c>
      <c r="P632" s="78">
        <f>IF(D632="","",IF(AND(H632&lt;&gt;"",H632&gt;=B632),"⚠️ Predecessor must be above",IF(M632="Done","✓ Done",IF(Q632=3,"🔴 Late",IF(M632="In progress","In progress","")))))</f>
        <v/>
      </c>
      <c r="Q632" s="79">
        <f>IF(OR(D632="",L632=""),"",IF(M632="Done",2,IF(AsOf&gt;L632,3,1)))</f>
        <v/>
      </c>
      <c r="R632" s="79">
        <f>IF(OR(E632="",F632=""),0,IF(COUNTIFS($E$7:E632,E632,$F$7:F632,F632)=1,1,0))</f>
        <v/>
      </c>
      <c r="S632" s="79">
        <f>IF(R632=1,E632&amp;"|"&amp;SUMIFS($R$7:R632,$E$7:E632,E632),"")</f>
        <v/>
      </c>
      <c r="T632" s="112">
        <f>IF(Q632="","",IF(Q632=3,L632,IF(OR(M632="Not started",M632=""),J632,"")))</f>
        <v/>
      </c>
      <c r="U632" s="79">
        <f>IF(T632="","",IF(Q632=3,1,IF(T632="","",IF(T632&lt;AsOf,1,IF(T632&lt;=AsOf+AlertDays,2,IF(T632&lt;=AsOf+2*AlertDays,3,""))))))</f>
        <v/>
      </c>
      <c r="V632" s="79">
        <f>IF(U632="","",IF(Q632=3,"Late task: "&amp;D632,IF(T632&lt;AsOf,"Should have started: ","Starts soon: ")&amp;D632)&amp;IF(F632="",""," — "&amp;F632))</f>
        <v/>
      </c>
    </row>
    <row r="633" ht="20" customHeight="1">
      <c r="B633" s="125" t="n">
        <v>627</v>
      </c>
      <c r="C633" s="72" t="n"/>
      <c r="D633" s="72" t="n"/>
      <c r="E633" s="72" t="n"/>
      <c r="F633" s="72" t="n"/>
      <c r="G633" s="89" t="n"/>
      <c r="H633" s="89" t="n"/>
      <c r="I633" s="109" t="n"/>
      <c r="J633" s="126">
        <f>IF(OR(D633="",ProjStart=""),"",MAX(ProjStart,IF(I633&lt;&gt;"",I633,0),IF(H633="",0,IFERROR(INDEX($L$6:L632,MATCH(H633,$B$6:B632,0))+1,0))))</f>
        <v/>
      </c>
      <c r="K633" s="89" t="n"/>
      <c r="L633" s="126">
        <f>IF(J633="","",J633+MAX(1,G633)+IF(K633="",0,K633)-1)</f>
        <v/>
      </c>
      <c r="M633" s="72" t="n"/>
      <c r="N633" s="109" t="n"/>
      <c r="O633" s="127">
        <f>IF(D633="","",COUNTIF($H$7:$H$1006,B633))</f>
        <v/>
      </c>
      <c r="P633" s="78">
        <f>IF(D633="","",IF(AND(H633&lt;&gt;"",H633&gt;=B633),"⚠️ Predecessor must be above",IF(M633="Done","✓ Done",IF(Q633=3,"🔴 Late",IF(M633="In progress","In progress","")))))</f>
        <v/>
      </c>
      <c r="Q633" s="79">
        <f>IF(OR(D633="",L633=""),"",IF(M633="Done",2,IF(AsOf&gt;L633,3,1)))</f>
        <v/>
      </c>
      <c r="R633" s="79">
        <f>IF(OR(E633="",F633=""),0,IF(COUNTIFS($E$7:E633,E633,$F$7:F633,F633)=1,1,0))</f>
        <v/>
      </c>
      <c r="S633" s="79">
        <f>IF(R633=1,E633&amp;"|"&amp;SUMIFS($R$7:R633,$E$7:E633,E633),"")</f>
        <v/>
      </c>
      <c r="T633" s="112">
        <f>IF(Q633="","",IF(Q633=3,L633,IF(OR(M633="Not started",M633=""),J633,"")))</f>
        <v/>
      </c>
      <c r="U633" s="79">
        <f>IF(T633="","",IF(Q633=3,1,IF(T633="","",IF(T633&lt;AsOf,1,IF(T633&lt;=AsOf+AlertDays,2,IF(T633&lt;=AsOf+2*AlertDays,3,""))))))</f>
        <v/>
      </c>
      <c r="V633" s="79">
        <f>IF(U633="","",IF(Q633=3,"Late task: "&amp;D633,IF(T633&lt;AsOf,"Should have started: ","Starts soon: ")&amp;D633)&amp;IF(F633="",""," — "&amp;F633))</f>
        <v/>
      </c>
    </row>
    <row r="634" ht="20" customHeight="1">
      <c r="B634" s="125" t="n">
        <v>628</v>
      </c>
      <c r="C634" s="72" t="n"/>
      <c r="D634" s="72" t="n"/>
      <c r="E634" s="72" t="n"/>
      <c r="F634" s="72" t="n"/>
      <c r="G634" s="89" t="n"/>
      <c r="H634" s="89" t="n"/>
      <c r="I634" s="109" t="n"/>
      <c r="J634" s="126">
        <f>IF(OR(D634="",ProjStart=""),"",MAX(ProjStart,IF(I634&lt;&gt;"",I634,0),IF(H634="",0,IFERROR(INDEX($L$6:L633,MATCH(H634,$B$6:B633,0))+1,0))))</f>
        <v/>
      </c>
      <c r="K634" s="89" t="n"/>
      <c r="L634" s="126">
        <f>IF(J634="","",J634+MAX(1,G634)+IF(K634="",0,K634)-1)</f>
        <v/>
      </c>
      <c r="M634" s="72" t="n"/>
      <c r="N634" s="109" t="n"/>
      <c r="O634" s="127">
        <f>IF(D634="","",COUNTIF($H$7:$H$1006,B634))</f>
        <v/>
      </c>
      <c r="P634" s="78">
        <f>IF(D634="","",IF(AND(H634&lt;&gt;"",H634&gt;=B634),"⚠️ Predecessor must be above",IF(M634="Done","✓ Done",IF(Q634=3,"🔴 Late",IF(M634="In progress","In progress","")))))</f>
        <v/>
      </c>
      <c r="Q634" s="79">
        <f>IF(OR(D634="",L634=""),"",IF(M634="Done",2,IF(AsOf&gt;L634,3,1)))</f>
        <v/>
      </c>
      <c r="R634" s="79">
        <f>IF(OR(E634="",F634=""),0,IF(COUNTIFS($E$7:E634,E634,$F$7:F634,F634)=1,1,0))</f>
        <v/>
      </c>
      <c r="S634" s="79">
        <f>IF(R634=1,E634&amp;"|"&amp;SUMIFS($R$7:R634,$E$7:E634,E634),"")</f>
        <v/>
      </c>
      <c r="T634" s="112">
        <f>IF(Q634="","",IF(Q634=3,L634,IF(OR(M634="Not started",M634=""),J634,"")))</f>
        <v/>
      </c>
      <c r="U634" s="79">
        <f>IF(T634="","",IF(Q634=3,1,IF(T634="","",IF(T634&lt;AsOf,1,IF(T634&lt;=AsOf+AlertDays,2,IF(T634&lt;=AsOf+2*AlertDays,3,""))))))</f>
        <v/>
      </c>
      <c r="V634" s="79">
        <f>IF(U634="","",IF(Q634=3,"Late task: "&amp;D634,IF(T634&lt;AsOf,"Should have started: ","Starts soon: ")&amp;D634)&amp;IF(F634="",""," — "&amp;F634))</f>
        <v/>
      </c>
    </row>
    <row r="635" ht="20" customHeight="1">
      <c r="B635" s="125" t="n">
        <v>629</v>
      </c>
      <c r="C635" s="72" t="n"/>
      <c r="D635" s="72" t="n"/>
      <c r="E635" s="72" t="n"/>
      <c r="F635" s="72" t="n"/>
      <c r="G635" s="89" t="n"/>
      <c r="H635" s="89" t="n"/>
      <c r="I635" s="109" t="n"/>
      <c r="J635" s="126">
        <f>IF(OR(D635="",ProjStart=""),"",MAX(ProjStart,IF(I635&lt;&gt;"",I635,0),IF(H635="",0,IFERROR(INDEX($L$6:L634,MATCH(H635,$B$6:B634,0))+1,0))))</f>
        <v/>
      </c>
      <c r="K635" s="89" t="n"/>
      <c r="L635" s="126">
        <f>IF(J635="","",J635+MAX(1,G635)+IF(K635="",0,K635)-1)</f>
        <v/>
      </c>
      <c r="M635" s="72" t="n"/>
      <c r="N635" s="109" t="n"/>
      <c r="O635" s="127">
        <f>IF(D635="","",COUNTIF($H$7:$H$1006,B635))</f>
        <v/>
      </c>
      <c r="P635" s="78">
        <f>IF(D635="","",IF(AND(H635&lt;&gt;"",H635&gt;=B635),"⚠️ Predecessor must be above",IF(M635="Done","✓ Done",IF(Q635=3,"🔴 Late",IF(M635="In progress","In progress","")))))</f>
        <v/>
      </c>
      <c r="Q635" s="79">
        <f>IF(OR(D635="",L635=""),"",IF(M635="Done",2,IF(AsOf&gt;L635,3,1)))</f>
        <v/>
      </c>
      <c r="R635" s="79">
        <f>IF(OR(E635="",F635=""),0,IF(COUNTIFS($E$7:E635,E635,$F$7:F635,F635)=1,1,0))</f>
        <v/>
      </c>
      <c r="S635" s="79">
        <f>IF(R635=1,E635&amp;"|"&amp;SUMIFS($R$7:R635,$E$7:E635,E635),"")</f>
        <v/>
      </c>
      <c r="T635" s="112">
        <f>IF(Q635="","",IF(Q635=3,L635,IF(OR(M635="Not started",M635=""),J635,"")))</f>
        <v/>
      </c>
      <c r="U635" s="79">
        <f>IF(T635="","",IF(Q635=3,1,IF(T635="","",IF(T635&lt;AsOf,1,IF(T635&lt;=AsOf+AlertDays,2,IF(T635&lt;=AsOf+2*AlertDays,3,""))))))</f>
        <v/>
      </c>
      <c r="V635" s="79">
        <f>IF(U635="","",IF(Q635=3,"Late task: "&amp;D635,IF(T635&lt;AsOf,"Should have started: ","Starts soon: ")&amp;D635)&amp;IF(F635="",""," — "&amp;F635))</f>
        <v/>
      </c>
    </row>
    <row r="636" ht="20" customHeight="1">
      <c r="B636" s="125" t="n">
        <v>630</v>
      </c>
      <c r="C636" s="72" t="n"/>
      <c r="D636" s="72" t="n"/>
      <c r="E636" s="72" t="n"/>
      <c r="F636" s="72" t="n"/>
      <c r="G636" s="89" t="n"/>
      <c r="H636" s="89" t="n"/>
      <c r="I636" s="109" t="n"/>
      <c r="J636" s="126">
        <f>IF(OR(D636="",ProjStart=""),"",MAX(ProjStart,IF(I636&lt;&gt;"",I636,0),IF(H636="",0,IFERROR(INDEX($L$6:L635,MATCH(H636,$B$6:B635,0))+1,0))))</f>
        <v/>
      </c>
      <c r="K636" s="89" t="n"/>
      <c r="L636" s="126">
        <f>IF(J636="","",J636+MAX(1,G636)+IF(K636="",0,K636)-1)</f>
        <v/>
      </c>
      <c r="M636" s="72" t="n"/>
      <c r="N636" s="109" t="n"/>
      <c r="O636" s="127">
        <f>IF(D636="","",COUNTIF($H$7:$H$1006,B636))</f>
        <v/>
      </c>
      <c r="P636" s="78">
        <f>IF(D636="","",IF(AND(H636&lt;&gt;"",H636&gt;=B636),"⚠️ Predecessor must be above",IF(M636="Done","✓ Done",IF(Q636=3,"🔴 Late",IF(M636="In progress","In progress","")))))</f>
        <v/>
      </c>
      <c r="Q636" s="79">
        <f>IF(OR(D636="",L636=""),"",IF(M636="Done",2,IF(AsOf&gt;L636,3,1)))</f>
        <v/>
      </c>
      <c r="R636" s="79">
        <f>IF(OR(E636="",F636=""),0,IF(COUNTIFS($E$7:E636,E636,$F$7:F636,F636)=1,1,0))</f>
        <v/>
      </c>
      <c r="S636" s="79">
        <f>IF(R636=1,E636&amp;"|"&amp;SUMIFS($R$7:R636,$E$7:E636,E636),"")</f>
        <v/>
      </c>
      <c r="T636" s="112">
        <f>IF(Q636="","",IF(Q636=3,L636,IF(OR(M636="Not started",M636=""),J636,"")))</f>
        <v/>
      </c>
      <c r="U636" s="79">
        <f>IF(T636="","",IF(Q636=3,1,IF(T636="","",IF(T636&lt;AsOf,1,IF(T636&lt;=AsOf+AlertDays,2,IF(T636&lt;=AsOf+2*AlertDays,3,""))))))</f>
        <v/>
      </c>
      <c r="V636" s="79">
        <f>IF(U636="","",IF(Q636=3,"Late task: "&amp;D636,IF(T636&lt;AsOf,"Should have started: ","Starts soon: ")&amp;D636)&amp;IF(F636="",""," — "&amp;F636))</f>
        <v/>
      </c>
    </row>
    <row r="637" ht="20" customHeight="1">
      <c r="B637" s="125" t="n">
        <v>631</v>
      </c>
      <c r="C637" s="72" t="n"/>
      <c r="D637" s="72" t="n"/>
      <c r="E637" s="72" t="n"/>
      <c r="F637" s="72" t="n"/>
      <c r="G637" s="89" t="n"/>
      <c r="H637" s="89" t="n"/>
      <c r="I637" s="109" t="n"/>
      <c r="J637" s="126">
        <f>IF(OR(D637="",ProjStart=""),"",MAX(ProjStart,IF(I637&lt;&gt;"",I637,0),IF(H637="",0,IFERROR(INDEX($L$6:L636,MATCH(H637,$B$6:B636,0))+1,0))))</f>
        <v/>
      </c>
      <c r="K637" s="89" t="n"/>
      <c r="L637" s="126">
        <f>IF(J637="","",J637+MAX(1,G637)+IF(K637="",0,K637)-1)</f>
        <v/>
      </c>
      <c r="M637" s="72" t="n"/>
      <c r="N637" s="109" t="n"/>
      <c r="O637" s="127">
        <f>IF(D637="","",COUNTIF($H$7:$H$1006,B637))</f>
        <v/>
      </c>
      <c r="P637" s="78">
        <f>IF(D637="","",IF(AND(H637&lt;&gt;"",H637&gt;=B637),"⚠️ Predecessor must be above",IF(M637="Done","✓ Done",IF(Q637=3,"🔴 Late",IF(M637="In progress","In progress","")))))</f>
        <v/>
      </c>
      <c r="Q637" s="79">
        <f>IF(OR(D637="",L637=""),"",IF(M637="Done",2,IF(AsOf&gt;L637,3,1)))</f>
        <v/>
      </c>
      <c r="R637" s="79">
        <f>IF(OR(E637="",F637=""),0,IF(COUNTIFS($E$7:E637,E637,$F$7:F637,F637)=1,1,0))</f>
        <v/>
      </c>
      <c r="S637" s="79">
        <f>IF(R637=1,E637&amp;"|"&amp;SUMIFS($R$7:R637,$E$7:E637,E637),"")</f>
        <v/>
      </c>
      <c r="T637" s="112">
        <f>IF(Q637="","",IF(Q637=3,L637,IF(OR(M637="Not started",M637=""),J637,"")))</f>
        <v/>
      </c>
      <c r="U637" s="79">
        <f>IF(T637="","",IF(Q637=3,1,IF(T637="","",IF(T637&lt;AsOf,1,IF(T637&lt;=AsOf+AlertDays,2,IF(T637&lt;=AsOf+2*AlertDays,3,""))))))</f>
        <v/>
      </c>
      <c r="V637" s="79">
        <f>IF(U637="","",IF(Q637=3,"Late task: "&amp;D637,IF(T637&lt;AsOf,"Should have started: ","Starts soon: ")&amp;D637)&amp;IF(F637="",""," — "&amp;F637))</f>
        <v/>
      </c>
    </row>
    <row r="638" ht="20" customHeight="1">
      <c r="B638" s="125" t="n">
        <v>632</v>
      </c>
      <c r="C638" s="72" t="n"/>
      <c r="D638" s="72" t="n"/>
      <c r="E638" s="72" t="n"/>
      <c r="F638" s="72" t="n"/>
      <c r="G638" s="89" t="n"/>
      <c r="H638" s="89" t="n"/>
      <c r="I638" s="109" t="n"/>
      <c r="J638" s="126">
        <f>IF(OR(D638="",ProjStart=""),"",MAX(ProjStart,IF(I638&lt;&gt;"",I638,0),IF(H638="",0,IFERROR(INDEX($L$6:L637,MATCH(H638,$B$6:B637,0))+1,0))))</f>
        <v/>
      </c>
      <c r="K638" s="89" t="n"/>
      <c r="L638" s="126">
        <f>IF(J638="","",J638+MAX(1,G638)+IF(K638="",0,K638)-1)</f>
        <v/>
      </c>
      <c r="M638" s="72" t="n"/>
      <c r="N638" s="109" t="n"/>
      <c r="O638" s="127">
        <f>IF(D638="","",COUNTIF($H$7:$H$1006,B638))</f>
        <v/>
      </c>
      <c r="P638" s="78">
        <f>IF(D638="","",IF(AND(H638&lt;&gt;"",H638&gt;=B638),"⚠️ Predecessor must be above",IF(M638="Done","✓ Done",IF(Q638=3,"🔴 Late",IF(M638="In progress","In progress","")))))</f>
        <v/>
      </c>
      <c r="Q638" s="79">
        <f>IF(OR(D638="",L638=""),"",IF(M638="Done",2,IF(AsOf&gt;L638,3,1)))</f>
        <v/>
      </c>
      <c r="R638" s="79">
        <f>IF(OR(E638="",F638=""),0,IF(COUNTIFS($E$7:E638,E638,$F$7:F638,F638)=1,1,0))</f>
        <v/>
      </c>
      <c r="S638" s="79">
        <f>IF(R638=1,E638&amp;"|"&amp;SUMIFS($R$7:R638,$E$7:E638,E638),"")</f>
        <v/>
      </c>
      <c r="T638" s="112">
        <f>IF(Q638="","",IF(Q638=3,L638,IF(OR(M638="Not started",M638=""),J638,"")))</f>
        <v/>
      </c>
      <c r="U638" s="79">
        <f>IF(T638="","",IF(Q638=3,1,IF(T638="","",IF(T638&lt;AsOf,1,IF(T638&lt;=AsOf+AlertDays,2,IF(T638&lt;=AsOf+2*AlertDays,3,""))))))</f>
        <v/>
      </c>
      <c r="V638" s="79">
        <f>IF(U638="","",IF(Q638=3,"Late task: "&amp;D638,IF(T638&lt;AsOf,"Should have started: ","Starts soon: ")&amp;D638)&amp;IF(F638="",""," — "&amp;F638))</f>
        <v/>
      </c>
    </row>
    <row r="639" ht="20" customHeight="1">
      <c r="B639" s="125" t="n">
        <v>633</v>
      </c>
      <c r="C639" s="72" t="n"/>
      <c r="D639" s="72" t="n"/>
      <c r="E639" s="72" t="n"/>
      <c r="F639" s="72" t="n"/>
      <c r="G639" s="89" t="n"/>
      <c r="H639" s="89" t="n"/>
      <c r="I639" s="109" t="n"/>
      <c r="J639" s="126">
        <f>IF(OR(D639="",ProjStart=""),"",MAX(ProjStart,IF(I639&lt;&gt;"",I639,0),IF(H639="",0,IFERROR(INDEX($L$6:L638,MATCH(H639,$B$6:B638,0))+1,0))))</f>
        <v/>
      </c>
      <c r="K639" s="89" t="n"/>
      <c r="L639" s="126">
        <f>IF(J639="","",J639+MAX(1,G639)+IF(K639="",0,K639)-1)</f>
        <v/>
      </c>
      <c r="M639" s="72" t="n"/>
      <c r="N639" s="109" t="n"/>
      <c r="O639" s="127">
        <f>IF(D639="","",COUNTIF($H$7:$H$1006,B639))</f>
        <v/>
      </c>
      <c r="P639" s="78">
        <f>IF(D639="","",IF(AND(H639&lt;&gt;"",H639&gt;=B639),"⚠️ Predecessor must be above",IF(M639="Done","✓ Done",IF(Q639=3,"🔴 Late",IF(M639="In progress","In progress","")))))</f>
        <v/>
      </c>
      <c r="Q639" s="79">
        <f>IF(OR(D639="",L639=""),"",IF(M639="Done",2,IF(AsOf&gt;L639,3,1)))</f>
        <v/>
      </c>
      <c r="R639" s="79">
        <f>IF(OR(E639="",F639=""),0,IF(COUNTIFS($E$7:E639,E639,$F$7:F639,F639)=1,1,0))</f>
        <v/>
      </c>
      <c r="S639" s="79">
        <f>IF(R639=1,E639&amp;"|"&amp;SUMIFS($R$7:R639,$E$7:E639,E639),"")</f>
        <v/>
      </c>
      <c r="T639" s="112">
        <f>IF(Q639="","",IF(Q639=3,L639,IF(OR(M639="Not started",M639=""),J639,"")))</f>
        <v/>
      </c>
      <c r="U639" s="79">
        <f>IF(T639="","",IF(Q639=3,1,IF(T639="","",IF(T639&lt;AsOf,1,IF(T639&lt;=AsOf+AlertDays,2,IF(T639&lt;=AsOf+2*AlertDays,3,""))))))</f>
        <v/>
      </c>
      <c r="V639" s="79">
        <f>IF(U639="","",IF(Q639=3,"Late task: "&amp;D639,IF(T639&lt;AsOf,"Should have started: ","Starts soon: ")&amp;D639)&amp;IF(F639="",""," — "&amp;F639))</f>
        <v/>
      </c>
    </row>
    <row r="640" ht="20" customHeight="1">
      <c r="B640" s="125" t="n">
        <v>634</v>
      </c>
      <c r="C640" s="72" t="n"/>
      <c r="D640" s="72" t="n"/>
      <c r="E640" s="72" t="n"/>
      <c r="F640" s="72" t="n"/>
      <c r="G640" s="89" t="n"/>
      <c r="H640" s="89" t="n"/>
      <c r="I640" s="109" t="n"/>
      <c r="J640" s="126">
        <f>IF(OR(D640="",ProjStart=""),"",MAX(ProjStart,IF(I640&lt;&gt;"",I640,0),IF(H640="",0,IFERROR(INDEX($L$6:L639,MATCH(H640,$B$6:B639,0))+1,0))))</f>
        <v/>
      </c>
      <c r="K640" s="89" t="n"/>
      <c r="L640" s="126">
        <f>IF(J640="","",J640+MAX(1,G640)+IF(K640="",0,K640)-1)</f>
        <v/>
      </c>
      <c r="M640" s="72" t="n"/>
      <c r="N640" s="109" t="n"/>
      <c r="O640" s="127">
        <f>IF(D640="","",COUNTIF($H$7:$H$1006,B640))</f>
        <v/>
      </c>
      <c r="P640" s="78">
        <f>IF(D640="","",IF(AND(H640&lt;&gt;"",H640&gt;=B640),"⚠️ Predecessor must be above",IF(M640="Done","✓ Done",IF(Q640=3,"🔴 Late",IF(M640="In progress","In progress","")))))</f>
        <v/>
      </c>
      <c r="Q640" s="79">
        <f>IF(OR(D640="",L640=""),"",IF(M640="Done",2,IF(AsOf&gt;L640,3,1)))</f>
        <v/>
      </c>
      <c r="R640" s="79">
        <f>IF(OR(E640="",F640=""),0,IF(COUNTIFS($E$7:E640,E640,$F$7:F640,F640)=1,1,0))</f>
        <v/>
      </c>
      <c r="S640" s="79">
        <f>IF(R640=1,E640&amp;"|"&amp;SUMIFS($R$7:R640,$E$7:E640,E640),"")</f>
        <v/>
      </c>
      <c r="T640" s="112">
        <f>IF(Q640="","",IF(Q640=3,L640,IF(OR(M640="Not started",M640=""),J640,"")))</f>
        <v/>
      </c>
      <c r="U640" s="79">
        <f>IF(T640="","",IF(Q640=3,1,IF(T640="","",IF(T640&lt;AsOf,1,IF(T640&lt;=AsOf+AlertDays,2,IF(T640&lt;=AsOf+2*AlertDays,3,""))))))</f>
        <v/>
      </c>
      <c r="V640" s="79">
        <f>IF(U640="","",IF(Q640=3,"Late task: "&amp;D640,IF(T640&lt;AsOf,"Should have started: ","Starts soon: ")&amp;D640)&amp;IF(F640="",""," — "&amp;F640))</f>
        <v/>
      </c>
    </row>
    <row r="641" ht="20" customHeight="1">
      <c r="B641" s="125" t="n">
        <v>635</v>
      </c>
      <c r="C641" s="72" t="n"/>
      <c r="D641" s="72" t="n"/>
      <c r="E641" s="72" t="n"/>
      <c r="F641" s="72" t="n"/>
      <c r="G641" s="89" t="n"/>
      <c r="H641" s="89" t="n"/>
      <c r="I641" s="109" t="n"/>
      <c r="J641" s="126">
        <f>IF(OR(D641="",ProjStart=""),"",MAX(ProjStart,IF(I641&lt;&gt;"",I641,0),IF(H641="",0,IFERROR(INDEX($L$6:L640,MATCH(H641,$B$6:B640,0))+1,0))))</f>
        <v/>
      </c>
      <c r="K641" s="89" t="n"/>
      <c r="L641" s="126">
        <f>IF(J641="","",J641+MAX(1,G641)+IF(K641="",0,K641)-1)</f>
        <v/>
      </c>
      <c r="M641" s="72" t="n"/>
      <c r="N641" s="109" t="n"/>
      <c r="O641" s="127">
        <f>IF(D641="","",COUNTIF($H$7:$H$1006,B641))</f>
        <v/>
      </c>
      <c r="P641" s="78">
        <f>IF(D641="","",IF(AND(H641&lt;&gt;"",H641&gt;=B641),"⚠️ Predecessor must be above",IF(M641="Done","✓ Done",IF(Q641=3,"🔴 Late",IF(M641="In progress","In progress","")))))</f>
        <v/>
      </c>
      <c r="Q641" s="79">
        <f>IF(OR(D641="",L641=""),"",IF(M641="Done",2,IF(AsOf&gt;L641,3,1)))</f>
        <v/>
      </c>
      <c r="R641" s="79">
        <f>IF(OR(E641="",F641=""),0,IF(COUNTIFS($E$7:E641,E641,$F$7:F641,F641)=1,1,0))</f>
        <v/>
      </c>
      <c r="S641" s="79">
        <f>IF(R641=1,E641&amp;"|"&amp;SUMIFS($R$7:R641,$E$7:E641,E641),"")</f>
        <v/>
      </c>
      <c r="T641" s="112">
        <f>IF(Q641="","",IF(Q641=3,L641,IF(OR(M641="Not started",M641=""),J641,"")))</f>
        <v/>
      </c>
      <c r="U641" s="79">
        <f>IF(T641="","",IF(Q641=3,1,IF(T641="","",IF(T641&lt;AsOf,1,IF(T641&lt;=AsOf+AlertDays,2,IF(T641&lt;=AsOf+2*AlertDays,3,""))))))</f>
        <v/>
      </c>
      <c r="V641" s="79">
        <f>IF(U641="","",IF(Q641=3,"Late task: "&amp;D641,IF(T641&lt;AsOf,"Should have started: ","Starts soon: ")&amp;D641)&amp;IF(F641="",""," — "&amp;F641))</f>
        <v/>
      </c>
    </row>
    <row r="642" ht="20" customHeight="1">
      <c r="B642" s="125" t="n">
        <v>636</v>
      </c>
      <c r="C642" s="72" t="n"/>
      <c r="D642" s="72" t="n"/>
      <c r="E642" s="72" t="n"/>
      <c r="F642" s="72" t="n"/>
      <c r="G642" s="89" t="n"/>
      <c r="H642" s="89" t="n"/>
      <c r="I642" s="109" t="n"/>
      <c r="J642" s="126">
        <f>IF(OR(D642="",ProjStart=""),"",MAX(ProjStart,IF(I642&lt;&gt;"",I642,0),IF(H642="",0,IFERROR(INDEX($L$6:L641,MATCH(H642,$B$6:B641,0))+1,0))))</f>
        <v/>
      </c>
      <c r="K642" s="89" t="n"/>
      <c r="L642" s="126">
        <f>IF(J642="","",J642+MAX(1,G642)+IF(K642="",0,K642)-1)</f>
        <v/>
      </c>
      <c r="M642" s="72" t="n"/>
      <c r="N642" s="109" t="n"/>
      <c r="O642" s="127">
        <f>IF(D642="","",COUNTIF($H$7:$H$1006,B642))</f>
        <v/>
      </c>
      <c r="P642" s="78">
        <f>IF(D642="","",IF(AND(H642&lt;&gt;"",H642&gt;=B642),"⚠️ Predecessor must be above",IF(M642="Done","✓ Done",IF(Q642=3,"🔴 Late",IF(M642="In progress","In progress","")))))</f>
        <v/>
      </c>
      <c r="Q642" s="79">
        <f>IF(OR(D642="",L642=""),"",IF(M642="Done",2,IF(AsOf&gt;L642,3,1)))</f>
        <v/>
      </c>
      <c r="R642" s="79">
        <f>IF(OR(E642="",F642=""),0,IF(COUNTIFS($E$7:E642,E642,$F$7:F642,F642)=1,1,0))</f>
        <v/>
      </c>
      <c r="S642" s="79">
        <f>IF(R642=1,E642&amp;"|"&amp;SUMIFS($R$7:R642,$E$7:E642,E642),"")</f>
        <v/>
      </c>
      <c r="T642" s="112">
        <f>IF(Q642="","",IF(Q642=3,L642,IF(OR(M642="Not started",M642=""),J642,"")))</f>
        <v/>
      </c>
      <c r="U642" s="79">
        <f>IF(T642="","",IF(Q642=3,1,IF(T642="","",IF(T642&lt;AsOf,1,IF(T642&lt;=AsOf+AlertDays,2,IF(T642&lt;=AsOf+2*AlertDays,3,""))))))</f>
        <v/>
      </c>
      <c r="V642" s="79">
        <f>IF(U642="","",IF(Q642=3,"Late task: "&amp;D642,IF(T642&lt;AsOf,"Should have started: ","Starts soon: ")&amp;D642)&amp;IF(F642="",""," — "&amp;F642))</f>
        <v/>
      </c>
    </row>
    <row r="643" ht="20" customHeight="1">
      <c r="B643" s="125" t="n">
        <v>637</v>
      </c>
      <c r="C643" s="72" t="n"/>
      <c r="D643" s="72" t="n"/>
      <c r="E643" s="72" t="n"/>
      <c r="F643" s="72" t="n"/>
      <c r="G643" s="89" t="n"/>
      <c r="H643" s="89" t="n"/>
      <c r="I643" s="109" t="n"/>
      <c r="J643" s="126">
        <f>IF(OR(D643="",ProjStart=""),"",MAX(ProjStart,IF(I643&lt;&gt;"",I643,0),IF(H643="",0,IFERROR(INDEX($L$6:L642,MATCH(H643,$B$6:B642,0))+1,0))))</f>
        <v/>
      </c>
      <c r="K643" s="89" t="n"/>
      <c r="L643" s="126">
        <f>IF(J643="","",J643+MAX(1,G643)+IF(K643="",0,K643)-1)</f>
        <v/>
      </c>
      <c r="M643" s="72" t="n"/>
      <c r="N643" s="109" t="n"/>
      <c r="O643" s="127">
        <f>IF(D643="","",COUNTIF($H$7:$H$1006,B643))</f>
        <v/>
      </c>
      <c r="P643" s="78">
        <f>IF(D643="","",IF(AND(H643&lt;&gt;"",H643&gt;=B643),"⚠️ Predecessor must be above",IF(M643="Done","✓ Done",IF(Q643=3,"🔴 Late",IF(M643="In progress","In progress","")))))</f>
        <v/>
      </c>
      <c r="Q643" s="79">
        <f>IF(OR(D643="",L643=""),"",IF(M643="Done",2,IF(AsOf&gt;L643,3,1)))</f>
        <v/>
      </c>
      <c r="R643" s="79">
        <f>IF(OR(E643="",F643=""),0,IF(COUNTIFS($E$7:E643,E643,$F$7:F643,F643)=1,1,0))</f>
        <v/>
      </c>
      <c r="S643" s="79">
        <f>IF(R643=1,E643&amp;"|"&amp;SUMIFS($R$7:R643,$E$7:E643,E643),"")</f>
        <v/>
      </c>
      <c r="T643" s="112">
        <f>IF(Q643="","",IF(Q643=3,L643,IF(OR(M643="Not started",M643=""),J643,"")))</f>
        <v/>
      </c>
      <c r="U643" s="79">
        <f>IF(T643="","",IF(Q643=3,1,IF(T643="","",IF(T643&lt;AsOf,1,IF(T643&lt;=AsOf+AlertDays,2,IF(T643&lt;=AsOf+2*AlertDays,3,""))))))</f>
        <v/>
      </c>
      <c r="V643" s="79">
        <f>IF(U643="","",IF(Q643=3,"Late task: "&amp;D643,IF(T643&lt;AsOf,"Should have started: ","Starts soon: ")&amp;D643)&amp;IF(F643="",""," — "&amp;F643))</f>
        <v/>
      </c>
    </row>
    <row r="644" ht="20" customHeight="1">
      <c r="B644" s="125" t="n">
        <v>638</v>
      </c>
      <c r="C644" s="72" t="n"/>
      <c r="D644" s="72" t="n"/>
      <c r="E644" s="72" t="n"/>
      <c r="F644" s="72" t="n"/>
      <c r="G644" s="89" t="n"/>
      <c r="H644" s="89" t="n"/>
      <c r="I644" s="109" t="n"/>
      <c r="J644" s="126">
        <f>IF(OR(D644="",ProjStart=""),"",MAX(ProjStart,IF(I644&lt;&gt;"",I644,0),IF(H644="",0,IFERROR(INDEX($L$6:L643,MATCH(H644,$B$6:B643,0))+1,0))))</f>
        <v/>
      </c>
      <c r="K644" s="89" t="n"/>
      <c r="L644" s="126">
        <f>IF(J644="","",J644+MAX(1,G644)+IF(K644="",0,K644)-1)</f>
        <v/>
      </c>
      <c r="M644" s="72" t="n"/>
      <c r="N644" s="109" t="n"/>
      <c r="O644" s="127">
        <f>IF(D644="","",COUNTIF($H$7:$H$1006,B644))</f>
        <v/>
      </c>
      <c r="P644" s="78">
        <f>IF(D644="","",IF(AND(H644&lt;&gt;"",H644&gt;=B644),"⚠️ Predecessor must be above",IF(M644="Done","✓ Done",IF(Q644=3,"🔴 Late",IF(M644="In progress","In progress","")))))</f>
        <v/>
      </c>
      <c r="Q644" s="79">
        <f>IF(OR(D644="",L644=""),"",IF(M644="Done",2,IF(AsOf&gt;L644,3,1)))</f>
        <v/>
      </c>
      <c r="R644" s="79">
        <f>IF(OR(E644="",F644=""),0,IF(COUNTIFS($E$7:E644,E644,$F$7:F644,F644)=1,1,0))</f>
        <v/>
      </c>
      <c r="S644" s="79">
        <f>IF(R644=1,E644&amp;"|"&amp;SUMIFS($R$7:R644,$E$7:E644,E644),"")</f>
        <v/>
      </c>
      <c r="T644" s="112">
        <f>IF(Q644="","",IF(Q644=3,L644,IF(OR(M644="Not started",M644=""),J644,"")))</f>
        <v/>
      </c>
      <c r="U644" s="79">
        <f>IF(T644="","",IF(Q644=3,1,IF(T644="","",IF(T644&lt;AsOf,1,IF(T644&lt;=AsOf+AlertDays,2,IF(T644&lt;=AsOf+2*AlertDays,3,""))))))</f>
        <v/>
      </c>
      <c r="V644" s="79">
        <f>IF(U644="","",IF(Q644=3,"Late task: "&amp;D644,IF(T644&lt;AsOf,"Should have started: ","Starts soon: ")&amp;D644)&amp;IF(F644="",""," — "&amp;F644))</f>
        <v/>
      </c>
    </row>
    <row r="645" ht="20" customHeight="1">
      <c r="B645" s="125" t="n">
        <v>639</v>
      </c>
      <c r="C645" s="72" t="n"/>
      <c r="D645" s="72" t="n"/>
      <c r="E645" s="72" t="n"/>
      <c r="F645" s="72" t="n"/>
      <c r="G645" s="89" t="n"/>
      <c r="H645" s="89" t="n"/>
      <c r="I645" s="109" t="n"/>
      <c r="J645" s="126">
        <f>IF(OR(D645="",ProjStart=""),"",MAX(ProjStart,IF(I645&lt;&gt;"",I645,0),IF(H645="",0,IFERROR(INDEX($L$6:L644,MATCH(H645,$B$6:B644,0))+1,0))))</f>
        <v/>
      </c>
      <c r="K645" s="89" t="n"/>
      <c r="L645" s="126">
        <f>IF(J645="","",J645+MAX(1,G645)+IF(K645="",0,K645)-1)</f>
        <v/>
      </c>
      <c r="M645" s="72" t="n"/>
      <c r="N645" s="109" t="n"/>
      <c r="O645" s="127">
        <f>IF(D645="","",COUNTIF($H$7:$H$1006,B645))</f>
        <v/>
      </c>
      <c r="P645" s="78">
        <f>IF(D645="","",IF(AND(H645&lt;&gt;"",H645&gt;=B645),"⚠️ Predecessor must be above",IF(M645="Done","✓ Done",IF(Q645=3,"🔴 Late",IF(M645="In progress","In progress","")))))</f>
        <v/>
      </c>
      <c r="Q645" s="79">
        <f>IF(OR(D645="",L645=""),"",IF(M645="Done",2,IF(AsOf&gt;L645,3,1)))</f>
        <v/>
      </c>
      <c r="R645" s="79">
        <f>IF(OR(E645="",F645=""),0,IF(COUNTIFS($E$7:E645,E645,$F$7:F645,F645)=1,1,0))</f>
        <v/>
      </c>
      <c r="S645" s="79">
        <f>IF(R645=1,E645&amp;"|"&amp;SUMIFS($R$7:R645,$E$7:E645,E645),"")</f>
        <v/>
      </c>
      <c r="T645" s="112">
        <f>IF(Q645="","",IF(Q645=3,L645,IF(OR(M645="Not started",M645=""),J645,"")))</f>
        <v/>
      </c>
      <c r="U645" s="79">
        <f>IF(T645="","",IF(Q645=3,1,IF(T645="","",IF(T645&lt;AsOf,1,IF(T645&lt;=AsOf+AlertDays,2,IF(T645&lt;=AsOf+2*AlertDays,3,""))))))</f>
        <v/>
      </c>
      <c r="V645" s="79">
        <f>IF(U645="","",IF(Q645=3,"Late task: "&amp;D645,IF(T645&lt;AsOf,"Should have started: ","Starts soon: ")&amp;D645)&amp;IF(F645="",""," — "&amp;F645))</f>
        <v/>
      </c>
    </row>
    <row r="646" ht="20" customHeight="1">
      <c r="B646" s="125" t="n">
        <v>640</v>
      </c>
      <c r="C646" s="72" t="n"/>
      <c r="D646" s="72" t="n"/>
      <c r="E646" s="72" t="n"/>
      <c r="F646" s="72" t="n"/>
      <c r="G646" s="89" t="n"/>
      <c r="H646" s="89" t="n"/>
      <c r="I646" s="109" t="n"/>
      <c r="J646" s="126">
        <f>IF(OR(D646="",ProjStart=""),"",MAX(ProjStart,IF(I646&lt;&gt;"",I646,0),IF(H646="",0,IFERROR(INDEX($L$6:L645,MATCH(H646,$B$6:B645,0))+1,0))))</f>
        <v/>
      </c>
      <c r="K646" s="89" t="n"/>
      <c r="L646" s="126">
        <f>IF(J646="","",J646+MAX(1,G646)+IF(K646="",0,K646)-1)</f>
        <v/>
      </c>
      <c r="M646" s="72" t="n"/>
      <c r="N646" s="109" t="n"/>
      <c r="O646" s="127">
        <f>IF(D646="","",COUNTIF($H$7:$H$1006,B646))</f>
        <v/>
      </c>
      <c r="P646" s="78">
        <f>IF(D646="","",IF(AND(H646&lt;&gt;"",H646&gt;=B646),"⚠️ Predecessor must be above",IF(M646="Done","✓ Done",IF(Q646=3,"🔴 Late",IF(M646="In progress","In progress","")))))</f>
        <v/>
      </c>
      <c r="Q646" s="79">
        <f>IF(OR(D646="",L646=""),"",IF(M646="Done",2,IF(AsOf&gt;L646,3,1)))</f>
        <v/>
      </c>
      <c r="R646" s="79">
        <f>IF(OR(E646="",F646=""),0,IF(COUNTIFS($E$7:E646,E646,$F$7:F646,F646)=1,1,0))</f>
        <v/>
      </c>
      <c r="S646" s="79">
        <f>IF(R646=1,E646&amp;"|"&amp;SUMIFS($R$7:R646,$E$7:E646,E646),"")</f>
        <v/>
      </c>
      <c r="T646" s="112">
        <f>IF(Q646="","",IF(Q646=3,L646,IF(OR(M646="Not started",M646=""),J646,"")))</f>
        <v/>
      </c>
      <c r="U646" s="79">
        <f>IF(T646="","",IF(Q646=3,1,IF(T646="","",IF(T646&lt;AsOf,1,IF(T646&lt;=AsOf+AlertDays,2,IF(T646&lt;=AsOf+2*AlertDays,3,""))))))</f>
        <v/>
      </c>
      <c r="V646" s="79">
        <f>IF(U646="","",IF(Q646=3,"Late task: "&amp;D646,IF(T646&lt;AsOf,"Should have started: ","Starts soon: ")&amp;D646)&amp;IF(F646="",""," — "&amp;F646))</f>
        <v/>
      </c>
    </row>
    <row r="647" ht="20" customHeight="1">
      <c r="B647" s="125" t="n">
        <v>641</v>
      </c>
      <c r="C647" s="72" t="n"/>
      <c r="D647" s="72" t="n"/>
      <c r="E647" s="72" t="n"/>
      <c r="F647" s="72" t="n"/>
      <c r="G647" s="89" t="n"/>
      <c r="H647" s="89" t="n"/>
      <c r="I647" s="109" t="n"/>
      <c r="J647" s="126">
        <f>IF(OR(D647="",ProjStart=""),"",MAX(ProjStart,IF(I647&lt;&gt;"",I647,0),IF(H647="",0,IFERROR(INDEX($L$6:L646,MATCH(H647,$B$6:B646,0))+1,0))))</f>
        <v/>
      </c>
      <c r="K647" s="89" t="n"/>
      <c r="L647" s="126">
        <f>IF(J647="","",J647+MAX(1,G647)+IF(K647="",0,K647)-1)</f>
        <v/>
      </c>
      <c r="M647" s="72" t="n"/>
      <c r="N647" s="109" t="n"/>
      <c r="O647" s="127">
        <f>IF(D647="","",COUNTIF($H$7:$H$1006,B647))</f>
        <v/>
      </c>
      <c r="P647" s="78">
        <f>IF(D647="","",IF(AND(H647&lt;&gt;"",H647&gt;=B647),"⚠️ Predecessor must be above",IF(M647="Done","✓ Done",IF(Q647=3,"🔴 Late",IF(M647="In progress","In progress","")))))</f>
        <v/>
      </c>
      <c r="Q647" s="79">
        <f>IF(OR(D647="",L647=""),"",IF(M647="Done",2,IF(AsOf&gt;L647,3,1)))</f>
        <v/>
      </c>
      <c r="R647" s="79">
        <f>IF(OR(E647="",F647=""),0,IF(COUNTIFS($E$7:E647,E647,$F$7:F647,F647)=1,1,0))</f>
        <v/>
      </c>
      <c r="S647" s="79">
        <f>IF(R647=1,E647&amp;"|"&amp;SUMIFS($R$7:R647,$E$7:E647,E647),"")</f>
        <v/>
      </c>
      <c r="T647" s="112">
        <f>IF(Q647="","",IF(Q647=3,L647,IF(OR(M647="Not started",M647=""),J647,"")))</f>
        <v/>
      </c>
      <c r="U647" s="79">
        <f>IF(T647="","",IF(Q647=3,1,IF(T647="","",IF(T647&lt;AsOf,1,IF(T647&lt;=AsOf+AlertDays,2,IF(T647&lt;=AsOf+2*AlertDays,3,""))))))</f>
        <v/>
      </c>
      <c r="V647" s="79">
        <f>IF(U647="","",IF(Q647=3,"Late task: "&amp;D647,IF(T647&lt;AsOf,"Should have started: ","Starts soon: ")&amp;D647)&amp;IF(F647="",""," — "&amp;F647))</f>
        <v/>
      </c>
    </row>
    <row r="648" ht="20" customHeight="1">
      <c r="B648" s="125" t="n">
        <v>642</v>
      </c>
      <c r="C648" s="72" t="n"/>
      <c r="D648" s="72" t="n"/>
      <c r="E648" s="72" t="n"/>
      <c r="F648" s="72" t="n"/>
      <c r="G648" s="89" t="n"/>
      <c r="H648" s="89" t="n"/>
      <c r="I648" s="109" t="n"/>
      <c r="J648" s="126">
        <f>IF(OR(D648="",ProjStart=""),"",MAX(ProjStart,IF(I648&lt;&gt;"",I648,0),IF(H648="",0,IFERROR(INDEX($L$6:L647,MATCH(H648,$B$6:B647,0))+1,0))))</f>
        <v/>
      </c>
      <c r="K648" s="89" t="n"/>
      <c r="L648" s="126">
        <f>IF(J648="","",J648+MAX(1,G648)+IF(K648="",0,K648)-1)</f>
        <v/>
      </c>
      <c r="M648" s="72" t="n"/>
      <c r="N648" s="109" t="n"/>
      <c r="O648" s="127">
        <f>IF(D648="","",COUNTIF($H$7:$H$1006,B648))</f>
        <v/>
      </c>
      <c r="P648" s="78">
        <f>IF(D648="","",IF(AND(H648&lt;&gt;"",H648&gt;=B648),"⚠️ Predecessor must be above",IF(M648="Done","✓ Done",IF(Q648=3,"🔴 Late",IF(M648="In progress","In progress","")))))</f>
        <v/>
      </c>
      <c r="Q648" s="79">
        <f>IF(OR(D648="",L648=""),"",IF(M648="Done",2,IF(AsOf&gt;L648,3,1)))</f>
        <v/>
      </c>
      <c r="R648" s="79">
        <f>IF(OR(E648="",F648=""),0,IF(COUNTIFS($E$7:E648,E648,$F$7:F648,F648)=1,1,0))</f>
        <v/>
      </c>
      <c r="S648" s="79">
        <f>IF(R648=1,E648&amp;"|"&amp;SUMIFS($R$7:R648,$E$7:E648,E648),"")</f>
        <v/>
      </c>
      <c r="T648" s="112">
        <f>IF(Q648="","",IF(Q648=3,L648,IF(OR(M648="Not started",M648=""),J648,"")))</f>
        <v/>
      </c>
      <c r="U648" s="79">
        <f>IF(T648="","",IF(Q648=3,1,IF(T648="","",IF(T648&lt;AsOf,1,IF(T648&lt;=AsOf+AlertDays,2,IF(T648&lt;=AsOf+2*AlertDays,3,""))))))</f>
        <v/>
      </c>
      <c r="V648" s="79">
        <f>IF(U648="","",IF(Q648=3,"Late task: "&amp;D648,IF(T648&lt;AsOf,"Should have started: ","Starts soon: ")&amp;D648)&amp;IF(F648="",""," — "&amp;F648))</f>
        <v/>
      </c>
    </row>
    <row r="649" ht="20" customHeight="1">
      <c r="B649" s="125" t="n">
        <v>643</v>
      </c>
      <c r="C649" s="72" t="n"/>
      <c r="D649" s="72" t="n"/>
      <c r="E649" s="72" t="n"/>
      <c r="F649" s="72" t="n"/>
      <c r="G649" s="89" t="n"/>
      <c r="H649" s="89" t="n"/>
      <c r="I649" s="109" t="n"/>
      <c r="J649" s="126">
        <f>IF(OR(D649="",ProjStart=""),"",MAX(ProjStart,IF(I649&lt;&gt;"",I649,0),IF(H649="",0,IFERROR(INDEX($L$6:L648,MATCH(H649,$B$6:B648,0))+1,0))))</f>
        <v/>
      </c>
      <c r="K649" s="89" t="n"/>
      <c r="L649" s="126">
        <f>IF(J649="","",J649+MAX(1,G649)+IF(K649="",0,K649)-1)</f>
        <v/>
      </c>
      <c r="M649" s="72" t="n"/>
      <c r="N649" s="109" t="n"/>
      <c r="O649" s="127">
        <f>IF(D649="","",COUNTIF($H$7:$H$1006,B649))</f>
        <v/>
      </c>
      <c r="P649" s="78">
        <f>IF(D649="","",IF(AND(H649&lt;&gt;"",H649&gt;=B649),"⚠️ Predecessor must be above",IF(M649="Done","✓ Done",IF(Q649=3,"🔴 Late",IF(M649="In progress","In progress","")))))</f>
        <v/>
      </c>
      <c r="Q649" s="79">
        <f>IF(OR(D649="",L649=""),"",IF(M649="Done",2,IF(AsOf&gt;L649,3,1)))</f>
        <v/>
      </c>
      <c r="R649" s="79">
        <f>IF(OR(E649="",F649=""),0,IF(COUNTIFS($E$7:E649,E649,$F$7:F649,F649)=1,1,0))</f>
        <v/>
      </c>
      <c r="S649" s="79">
        <f>IF(R649=1,E649&amp;"|"&amp;SUMIFS($R$7:R649,$E$7:E649,E649),"")</f>
        <v/>
      </c>
      <c r="T649" s="112">
        <f>IF(Q649="","",IF(Q649=3,L649,IF(OR(M649="Not started",M649=""),J649,"")))</f>
        <v/>
      </c>
      <c r="U649" s="79">
        <f>IF(T649="","",IF(Q649=3,1,IF(T649="","",IF(T649&lt;AsOf,1,IF(T649&lt;=AsOf+AlertDays,2,IF(T649&lt;=AsOf+2*AlertDays,3,""))))))</f>
        <v/>
      </c>
      <c r="V649" s="79">
        <f>IF(U649="","",IF(Q649=3,"Late task: "&amp;D649,IF(T649&lt;AsOf,"Should have started: ","Starts soon: ")&amp;D649)&amp;IF(F649="",""," — "&amp;F649))</f>
        <v/>
      </c>
    </row>
    <row r="650" ht="20" customHeight="1">
      <c r="B650" s="125" t="n">
        <v>644</v>
      </c>
      <c r="C650" s="72" t="n"/>
      <c r="D650" s="72" t="n"/>
      <c r="E650" s="72" t="n"/>
      <c r="F650" s="72" t="n"/>
      <c r="G650" s="89" t="n"/>
      <c r="H650" s="89" t="n"/>
      <c r="I650" s="109" t="n"/>
      <c r="J650" s="126">
        <f>IF(OR(D650="",ProjStart=""),"",MAX(ProjStart,IF(I650&lt;&gt;"",I650,0),IF(H650="",0,IFERROR(INDEX($L$6:L649,MATCH(H650,$B$6:B649,0))+1,0))))</f>
        <v/>
      </c>
      <c r="K650" s="89" t="n"/>
      <c r="L650" s="126">
        <f>IF(J650="","",J650+MAX(1,G650)+IF(K650="",0,K650)-1)</f>
        <v/>
      </c>
      <c r="M650" s="72" t="n"/>
      <c r="N650" s="109" t="n"/>
      <c r="O650" s="127">
        <f>IF(D650="","",COUNTIF($H$7:$H$1006,B650))</f>
        <v/>
      </c>
      <c r="P650" s="78">
        <f>IF(D650="","",IF(AND(H650&lt;&gt;"",H650&gt;=B650),"⚠️ Predecessor must be above",IF(M650="Done","✓ Done",IF(Q650=3,"🔴 Late",IF(M650="In progress","In progress","")))))</f>
        <v/>
      </c>
      <c r="Q650" s="79">
        <f>IF(OR(D650="",L650=""),"",IF(M650="Done",2,IF(AsOf&gt;L650,3,1)))</f>
        <v/>
      </c>
      <c r="R650" s="79">
        <f>IF(OR(E650="",F650=""),0,IF(COUNTIFS($E$7:E650,E650,$F$7:F650,F650)=1,1,0))</f>
        <v/>
      </c>
      <c r="S650" s="79">
        <f>IF(R650=1,E650&amp;"|"&amp;SUMIFS($R$7:R650,$E$7:E650,E650),"")</f>
        <v/>
      </c>
      <c r="T650" s="112">
        <f>IF(Q650="","",IF(Q650=3,L650,IF(OR(M650="Not started",M650=""),J650,"")))</f>
        <v/>
      </c>
      <c r="U650" s="79">
        <f>IF(T650="","",IF(Q650=3,1,IF(T650="","",IF(T650&lt;AsOf,1,IF(T650&lt;=AsOf+AlertDays,2,IF(T650&lt;=AsOf+2*AlertDays,3,""))))))</f>
        <v/>
      </c>
      <c r="V650" s="79">
        <f>IF(U650="","",IF(Q650=3,"Late task: "&amp;D650,IF(T650&lt;AsOf,"Should have started: ","Starts soon: ")&amp;D650)&amp;IF(F650="",""," — "&amp;F650))</f>
        <v/>
      </c>
    </row>
    <row r="651" ht="20" customHeight="1">
      <c r="B651" s="125" t="n">
        <v>645</v>
      </c>
      <c r="C651" s="72" t="n"/>
      <c r="D651" s="72" t="n"/>
      <c r="E651" s="72" t="n"/>
      <c r="F651" s="72" t="n"/>
      <c r="G651" s="89" t="n"/>
      <c r="H651" s="89" t="n"/>
      <c r="I651" s="109" t="n"/>
      <c r="J651" s="126">
        <f>IF(OR(D651="",ProjStart=""),"",MAX(ProjStart,IF(I651&lt;&gt;"",I651,0),IF(H651="",0,IFERROR(INDEX($L$6:L650,MATCH(H651,$B$6:B650,0))+1,0))))</f>
        <v/>
      </c>
      <c r="K651" s="89" t="n"/>
      <c r="L651" s="126">
        <f>IF(J651="","",J651+MAX(1,G651)+IF(K651="",0,K651)-1)</f>
        <v/>
      </c>
      <c r="M651" s="72" t="n"/>
      <c r="N651" s="109" t="n"/>
      <c r="O651" s="127">
        <f>IF(D651="","",COUNTIF($H$7:$H$1006,B651))</f>
        <v/>
      </c>
      <c r="P651" s="78">
        <f>IF(D651="","",IF(AND(H651&lt;&gt;"",H651&gt;=B651),"⚠️ Predecessor must be above",IF(M651="Done","✓ Done",IF(Q651=3,"🔴 Late",IF(M651="In progress","In progress","")))))</f>
        <v/>
      </c>
      <c r="Q651" s="79">
        <f>IF(OR(D651="",L651=""),"",IF(M651="Done",2,IF(AsOf&gt;L651,3,1)))</f>
        <v/>
      </c>
      <c r="R651" s="79">
        <f>IF(OR(E651="",F651=""),0,IF(COUNTIFS($E$7:E651,E651,$F$7:F651,F651)=1,1,0))</f>
        <v/>
      </c>
      <c r="S651" s="79">
        <f>IF(R651=1,E651&amp;"|"&amp;SUMIFS($R$7:R651,$E$7:E651,E651),"")</f>
        <v/>
      </c>
      <c r="T651" s="112">
        <f>IF(Q651="","",IF(Q651=3,L651,IF(OR(M651="Not started",M651=""),J651,"")))</f>
        <v/>
      </c>
      <c r="U651" s="79">
        <f>IF(T651="","",IF(Q651=3,1,IF(T651="","",IF(T651&lt;AsOf,1,IF(T651&lt;=AsOf+AlertDays,2,IF(T651&lt;=AsOf+2*AlertDays,3,""))))))</f>
        <v/>
      </c>
      <c r="V651" s="79">
        <f>IF(U651="","",IF(Q651=3,"Late task: "&amp;D651,IF(T651&lt;AsOf,"Should have started: ","Starts soon: ")&amp;D651)&amp;IF(F651="",""," — "&amp;F651))</f>
        <v/>
      </c>
    </row>
    <row r="652" ht="20" customHeight="1">
      <c r="B652" s="125" t="n">
        <v>646</v>
      </c>
      <c r="C652" s="72" t="n"/>
      <c r="D652" s="72" t="n"/>
      <c r="E652" s="72" t="n"/>
      <c r="F652" s="72" t="n"/>
      <c r="G652" s="89" t="n"/>
      <c r="H652" s="89" t="n"/>
      <c r="I652" s="109" t="n"/>
      <c r="J652" s="126">
        <f>IF(OR(D652="",ProjStart=""),"",MAX(ProjStart,IF(I652&lt;&gt;"",I652,0),IF(H652="",0,IFERROR(INDEX($L$6:L651,MATCH(H652,$B$6:B651,0))+1,0))))</f>
        <v/>
      </c>
      <c r="K652" s="89" t="n"/>
      <c r="L652" s="126">
        <f>IF(J652="","",J652+MAX(1,G652)+IF(K652="",0,K652)-1)</f>
        <v/>
      </c>
      <c r="M652" s="72" t="n"/>
      <c r="N652" s="109" t="n"/>
      <c r="O652" s="127">
        <f>IF(D652="","",COUNTIF($H$7:$H$1006,B652))</f>
        <v/>
      </c>
      <c r="P652" s="78">
        <f>IF(D652="","",IF(AND(H652&lt;&gt;"",H652&gt;=B652),"⚠️ Predecessor must be above",IF(M652="Done","✓ Done",IF(Q652=3,"🔴 Late",IF(M652="In progress","In progress","")))))</f>
        <v/>
      </c>
      <c r="Q652" s="79">
        <f>IF(OR(D652="",L652=""),"",IF(M652="Done",2,IF(AsOf&gt;L652,3,1)))</f>
        <v/>
      </c>
      <c r="R652" s="79">
        <f>IF(OR(E652="",F652=""),0,IF(COUNTIFS($E$7:E652,E652,$F$7:F652,F652)=1,1,0))</f>
        <v/>
      </c>
      <c r="S652" s="79">
        <f>IF(R652=1,E652&amp;"|"&amp;SUMIFS($R$7:R652,$E$7:E652,E652),"")</f>
        <v/>
      </c>
      <c r="T652" s="112">
        <f>IF(Q652="","",IF(Q652=3,L652,IF(OR(M652="Not started",M652=""),J652,"")))</f>
        <v/>
      </c>
      <c r="U652" s="79">
        <f>IF(T652="","",IF(Q652=3,1,IF(T652="","",IF(T652&lt;AsOf,1,IF(T652&lt;=AsOf+AlertDays,2,IF(T652&lt;=AsOf+2*AlertDays,3,""))))))</f>
        <v/>
      </c>
      <c r="V652" s="79">
        <f>IF(U652="","",IF(Q652=3,"Late task: "&amp;D652,IF(T652&lt;AsOf,"Should have started: ","Starts soon: ")&amp;D652)&amp;IF(F652="",""," — "&amp;F652))</f>
        <v/>
      </c>
    </row>
    <row r="653" ht="20" customHeight="1">
      <c r="B653" s="125" t="n">
        <v>647</v>
      </c>
      <c r="C653" s="72" t="n"/>
      <c r="D653" s="72" t="n"/>
      <c r="E653" s="72" t="n"/>
      <c r="F653" s="72" t="n"/>
      <c r="G653" s="89" t="n"/>
      <c r="H653" s="89" t="n"/>
      <c r="I653" s="109" t="n"/>
      <c r="J653" s="126">
        <f>IF(OR(D653="",ProjStart=""),"",MAX(ProjStart,IF(I653&lt;&gt;"",I653,0),IF(H653="",0,IFERROR(INDEX($L$6:L652,MATCH(H653,$B$6:B652,0))+1,0))))</f>
        <v/>
      </c>
      <c r="K653" s="89" t="n"/>
      <c r="L653" s="126">
        <f>IF(J653="","",J653+MAX(1,G653)+IF(K653="",0,K653)-1)</f>
        <v/>
      </c>
      <c r="M653" s="72" t="n"/>
      <c r="N653" s="109" t="n"/>
      <c r="O653" s="127">
        <f>IF(D653="","",COUNTIF($H$7:$H$1006,B653))</f>
        <v/>
      </c>
      <c r="P653" s="78">
        <f>IF(D653="","",IF(AND(H653&lt;&gt;"",H653&gt;=B653),"⚠️ Predecessor must be above",IF(M653="Done","✓ Done",IF(Q653=3,"🔴 Late",IF(M653="In progress","In progress","")))))</f>
        <v/>
      </c>
      <c r="Q653" s="79">
        <f>IF(OR(D653="",L653=""),"",IF(M653="Done",2,IF(AsOf&gt;L653,3,1)))</f>
        <v/>
      </c>
      <c r="R653" s="79">
        <f>IF(OR(E653="",F653=""),0,IF(COUNTIFS($E$7:E653,E653,$F$7:F653,F653)=1,1,0))</f>
        <v/>
      </c>
      <c r="S653" s="79">
        <f>IF(R653=1,E653&amp;"|"&amp;SUMIFS($R$7:R653,$E$7:E653,E653),"")</f>
        <v/>
      </c>
      <c r="T653" s="112">
        <f>IF(Q653="","",IF(Q653=3,L653,IF(OR(M653="Not started",M653=""),J653,"")))</f>
        <v/>
      </c>
      <c r="U653" s="79">
        <f>IF(T653="","",IF(Q653=3,1,IF(T653="","",IF(T653&lt;AsOf,1,IF(T653&lt;=AsOf+AlertDays,2,IF(T653&lt;=AsOf+2*AlertDays,3,""))))))</f>
        <v/>
      </c>
      <c r="V653" s="79">
        <f>IF(U653="","",IF(Q653=3,"Late task: "&amp;D653,IF(T653&lt;AsOf,"Should have started: ","Starts soon: ")&amp;D653)&amp;IF(F653="",""," — "&amp;F653))</f>
        <v/>
      </c>
    </row>
    <row r="654" ht="20" customHeight="1">
      <c r="B654" s="125" t="n">
        <v>648</v>
      </c>
      <c r="C654" s="72" t="n"/>
      <c r="D654" s="72" t="n"/>
      <c r="E654" s="72" t="n"/>
      <c r="F654" s="72" t="n"/>
      <c r="G654" s="89" t="n"/>
      <c r="H654" s="89" t="n"/>
      <c r="I654" s="109" t="n"/>
      <c r="J654" s="126">
        <f>IF(OR(D654="",ProjStart=""),"",MAX(ProjStart,IF(I654&lt;&gt;"",I654,0),IF(H654="",0,IFERROR(INDEX($L$6:L653,MATCH(H654,$B$6:B653,0))+1,0))))</f>
        <v/>
      </c>
      <c r="K654" s="89" t="n"/>
      <c r="L654" s="126">
        <f>IF(J654="","",J654+MAX(1,G654)+IF(K654="",0,K654)-1)</f>
        <v/>
      </c>
      <c r="M654" s="72" t="n"/>
      <c r="N654" s="109" t="n"/>
      <c r="O654" s="127">
        <f>IF(D654="","",COUNTIF($H$7:$H$1006,B654))</f>
        <v/>
      </c>
      <c r="P654" s="78">
        <f>IF(D654="","",IF(AND(H654&lt;&gt;"",H654&gt;=B654),"⚠️ Predecessor must be above",IF(M654="Done","✓ Done",IF(Q654=3,"🔴 Late",IF(M654="In progress","In progress","")))))</f>
        <v/>
      </c>
      <c r="Q654" s="79">
        <f>IF(OR(D654="",L654=""),"",IF(M654="Done",2,IF(AsOf&gt;L654,3,1)))</f>
        <v/>
      </c>
      <c r="R654" s="79">
        <f>IF(OR(E654="",F654=""),0,IF(COUNTIFS($E$7:E654,E654,$F$7:F654,F654)=1,1,0))</f>
        <v/>
      </c>
      <c r="S654" s="79">
        <f>IF(R654=1,E654&amp;"|"&amp;SUMIFS($R$7:R654,$E$7:E654,E654),"")</f>
        <v/>
      </c>
      <c r="T654" s="112">
        <f>IF(Q654="","",IF(Q654=3,L654,IF(OR(M654="Not started",M654=""),J654,"")))</f>
        <v/>
      </c>
      <c r="U654" s="79">
        <f>IF(T654="","",IF(Q654=3,1,IF(T654="","",IF(T654&lt;AsOf,1,IF(T654&lt;=AsOf+AlertDays,2,IF(T654&lt;=AsOf+2*AlertDays,3,""))))))</f>
        <v/>
      </c>
      <c r="V654" s="79">
        <f>IF(U654="","",IF(Q654=3,"Late task: "&amp;D654,IF(T654&lt;AsOf,"Should have started: ","Starts soon: ")&amp;D654)&amp;IF(F654="",""," — "&amp;F654))</f>
        <v/>
      </c>
    </row>
    <row r="655" ht="20" customHeight="1">
      <c r="B655" s="125" t="n">
        <v>649</v>
      </c>
      <c r="C655" s="72" t="n"/>
      <c r="D655" s="72" t="n"/>
      <c r="E655" s="72" t="n"/>
      <c r="F655" s="72" t="n"/>
      <c r="G655" s="89" t="n"/>
      <c r="H655" s="89" t="n"/>
      <c r="I655" s="109" t="n"/>
      <c r="J655" s="126">
        <f>IF(OR(D655="",ProjStart=""),"",MAX(ProjStart,IF(I655&lt;&gt;"",I655,0),IF(H655="",0,IFERROR(INDEX($L$6:L654,MATCH(H655,$B$6:B654,0))+1,0))))</f>
        <v/>
      </c>
      <c r="K655" s="89" t="n"/>
      <c r="L655" s="126">
        <f>IF(J655="","",J655+MAX(1,G655)+IF(K655="",0,K655)-1)</f>
        <v/>
      </c>
      <c r="M655" s="72" t="n"/>
      <c r="N655" s="109" t="n"/>
      <c r="O655" s="127">
        <f>IF(D655="","",COUNTIF($H$7:$H$1006,B655))</f>
        <v/>
      </c>
      <c r="P655" s="78">
        <f>IF(D655="","",IF(AND(H655&lt;&gt;"",H655&gt;=B655),"⚠️ Predecessor must be above",IF(M655="Done","✓ Done",IF(Q655=3,"🔴 Late",IF(M655="In progress","In progress","")))))</f>
        <v/>
      </c>
      <c r="Q655" s="79">
        <f>IF(OR(D655="",L655=""),"",IF(M655="Done",2,IF(AsOf&gt;L655,3,1)))</f>
        <v/>
      </c>
      <c r="R655" s="79">
        <f>IF(OR(E655="",F655=""),0,IF(COUNTIFS($E$7:E655,E655,$F$7:F655,F655)=1,1,0))</f>
        <v/>
      </c>
      <c r="S655" s="79">
        <f>IF(R655=1,E655&amp;"|"&amp;SUMIFS($R$7:R655,$E$7:E655,E655),"")</f>
        <v/>
      </c>
      <c r="T655" s="112">
        <f>IF(Q655="","",IF(Q655=3,L655,IF(OR(M655="Not started",M655=""),J655,"")))</f>
        <v/>
      </c>
      <c r="U655" s="79">
        <f>IF(T655="","",IF(Q655=3,1,IF(T655="","",IF(T655&lt;AsOf,1,IF(T655&lt;=AsOf+AlertDays,2,IF(T655&lt;=AsOf+2*AlertDays,3,""))))))</f>
        <v/>
      </c>
      <c r="V655" s="79">
        <f>IF(U655="","",IF(Q655=3,"Late task: "&amp;D655,IF(T655&lt;AsOf,"Should have started: ","Starts soon: ")&amp;D655)&amp;IF(F655="",""," — "&amp;F655))</f>
        <v/>
      </c>
    </row>
    <row r="656" ht="20" customHeight="1">
      <c r="B656" s="125" t="n">
        <v>650</v>
      </c>
      <c r="C656" s="72" t="n"/>
      <c r="D656" s="72" t="n"/>
      <c r="E656" s="72" t="n"/>
      <c r="F656" s="72" t="n"/>
      <c r="G656" s="89" t="n"/>
      <c r="H656" s="89" t="n"/>
      <c r="I656" s="109" t="n"/>
      <c r="J656" s="126">
        <f>IF(OR(D656="",ProjStart=""),"",MAX(ProjStart,IF(I656&lt;&gt;"",I656,0),IF(H656="",0,IFERROR(INDEX($L$6:L655,MATCH(H656,$B$6:B655,0))+1,0))))</f>
        <v/>
      </c>
      <c r="K656" s="89" t="n"/>
      <c r="L656" s="126">
        <f>IF(J656="","",J656+MAX(1,G656)+IF(K656="",0,K656)-1)</f>
        <v/>
      </c>
      <c r="M656" s="72" t="n"/>
      <c r="N656" s="109" t="n"/>
      <c r="O656" s="127">
        <f>IF(D656="","",COUNTIF($H$7:$H$1006,B656))</f>
        <v/>
      </c>
      <c r="P656" s="78">
        <f>IF(D656="","",IF(AND(H656&lt;&gt;"",H656&gt;=B656),"⚠️ Predecessor must be above",IF(M656="Done","✓ Done",IF(Q656=3,"🔴 Late",IF(M656="In progress","In progress","")))))</f>
        <v/>
      </c>
      <c r="Q656" s="79">
        <f>IF(OR(D656="",L656=""),"",IF(M656="Done",2,IF(AsOf&gt;L656,3,1)))</f>
        <v/>
      </c>
      <c r="R656" s="79">
        <f>IF(OR(E656="",F656=""),0,IF(COUNTIFS($E$7:E656,E656,$F$7:F656,F656)=1,1,0))</f>
        <v/>
      </c>
      <c r="S656" s="79">
        <f>IF(R656=1,E656&amp;"|"&amp;SUMIFS($R$7:R656,$E$7:E656,E656),"")</f>
        <v/>
      </c>
      <c r="T656" s="112">
        <f>IF(Q656="","",IF(Q656=3,L656,IF(OR(M656="Not started",M656=""),J656,"")))</f>
        <v/>
      </c>
      <c r="U656" s="79">
        <f>IF(T656="","",IF(Q656=3,1,IF(T656="","",IF(T656&lt;AsOf,1,IF(T656&lt;=AsOf+AlertDays,2,IF(T656&lt;=AsOf+2*AlertDays,3,""))))))</f>
        <v/>
      </c>
      <c r="V656" s="79">
        <f>IF(U656="","",IF(Q656=3,"Late task: "&amp;D656,IF(T656&lt;AsOf,"Should have started: ","Starts soon: ")&amp;D656)&amp;IF(F656="",""," — "&amp;F656))</f>
        <v/>
      </c>
    </row>
    <row r="657" ht="20" customHeight="1">
      <c r="B657" s="125" t="n">
        <v>651</v>
      </c>
      <c r="C657" s="72" t="n"/>
      <c r="D657" s="72" t="n"/>
      <c r="E657" s="72" t="n"/>
      <c r="F657" s="72" t="n"/>
      <c r="G657" s="89" t="n"/>
      <c r="H657" s="89" t="n"/>
      <c r="I657" s="109" t="n"/>
      <c r="J657" s="126">
        <f>IF(OR(D657="",ProjStart=""),"",MAX(ProjStart,IF(I657&lt;&gt;"",I657,0),IF(H657="",0,IFERROR(INDEX($L$6:L656,MATCH(H657,$B$6:B656,0))+1,0))))</f>
        <v/>
      </c>
      <c r="K657" s="89" t="n"/>
      <c r="L657" s="126">
        <f>IF(J657="","",J657+MAX(1,G657)+IF(K657="",0,K657)-1)</f>
        <v/>
      </c>
      <c r="M657" s="72" t="n"/>
      <c r="N657" s="109" t="n"/>
      <c r="O657" s="127">
        <f>IF(D657="","",COUNTIF($H$7:$H$1006,B657))</f>
        <v/>
      </c>
      <c r="P657" s="78">
        <f>IF(D657="","",IF(AND(H657&lt;&gt;"",H657&gt;=B657),"⚠️ Predecessor must be above",IF(M657="Done","✓ Done",IF(Q657=3,"🔴 Late",IF(M657="In progress","In progress","")))))</f>
        <v/>
      </c>
      <c r="Q657" s="79">
        <f>IF(OR(D657="",L657=""),"",IF(M657="Done",2,IF(AsOf&gt;L657,3,1)))</f>
        <v/>
      </c>
      <c r="R657" s="79">
        <f>IF(OR(E657="",F657=""),0,IF(COUNTIFS($E$7:E657,E657,$F$7:F657,F657)=1,1,0))</f>
        <v/>
      </c>
      <c r="S657" s="79">
        <f>IF(R657=1,E657&amp;"|"&amp;SUMIFS($R$7:R657,$E$7:E657,E657),"")</f>
        <v/>
      </c>
      <c r="T657" s="112">
        <f>IF(Q657="","",IF(Q657=3,L657,IF(OR(M657="Not started",M657=""),J657,"")))</f>
        <v/>
      </c>
      <c r="U657" s="79">
        <f>IF(T657="","",IF(Q657=3,1,IF(T657="","",IF(T657&lt;AsOf,1,IF(T657&lt;=AsOf+AlertDays,2,IF(T657&lt;=AsOf+2*AlertDays,3,""))))))</f>
        <v/>
      </c>
      <c r="V657" s="79">
        <f>IF(U657="","",IF(Q657=3,"Late task: "&amp;D657,IF(T657&lt;AsOf,"Should have started: ","Starts soon: ")&amp;D657)&amp;IF(F657="",""," — "&amp;F657))</f>
        <v/>
      </c>
    </row>
    <row r="658" ht="20" customHeight="1">
      <c r="B658" s="125" t="n">
        <v>652</v>
      </c>
      <c r="C658" s="72" t="n"/>
      <c r="D658" s="72" t="n"/>
      <c r="E658" s="72" t="n"/>
      <c r="F658" s="72" t="n"/>
      <c r="G658" s="89" t="n"/>
      <c r="H658" s="89" t="n"/>
      <c r="I658" s="109" t="n"/>
      <c r="J658" s="126">
        <f>IF(OR(D658="",ProjStart=""),"",MAX(ProjStart,IF(I658&lt;&gt;"",I658,0),IF(H658="",0,IFERROR(INDEX($L$6:L657,MATCH(H658,$B$6:B657,0))+1,0))))</f>
        <v/>
      </c>
      <c r="K658" s="89" t="n"/>
      <c r="L658" s="126">
        <f>IF(J658="","",J658+MAX(1,G658)+IF(K658="",0,K658)-1)</f>
        <v/>
      </c>
      <c r="M658" s="72" t="n"/>
      <c r="N658" s="109" t="n"/>
      <c r="O658" s="127">
        <f>IF(D658="","",COUNTIF($H$7:$H$1006,B658))</f>
        <v/>
      </c>
      <c r="P658" s="78">
        <f>IF(D658="","",IF(AND(H658&lt;&gt;"",H658&gt;=B658),"⚠️ Predecessor must be above",IF(M658="Done","✓ Done",IF(Q658=3,"🔴 Late",IF(M658="In progress","In progress","")))))</f>
        <v/>
      </c>
      <c r="Q658" s="79">
        <f>IF(OR(D658="",L658=""),"",IF(M658="Done",2,IF(AsOf&gt;L658,3,1)))</f>
        <v/>
      </c>
      <c r="R658" s="79">
        <f>IF(OR(E658="",F658=""),0,IF(COUNTIFS($E$7:E658,E658,$F$7:F658,F658)=1,1,0))</f>
        <v/>
      </c>
      <c r="S658" s="79">
        <f>IF(R658=1,E658&amp;"|"&amp;SUMIFS($R$7:R658,$E$7:E658,E658),"")</f>
        <v/>
      </c>
      <c r="T658" s="112">
        <f>IF(Q658="","",IF(Q658=3,L658,IF(OR(M658="Not started",M658=""),J658,"")))</f>
        <v/>
      </c>
      <c r="U658" s="79">
        <f>IF(T658="","",IF(Q658=3,1,IF(T658="","",IF(T658&lt;AsOf,1,IF(T658&lt;=AsOf+AlertDays,2,IF(T658&lt;=AsOf+2*AlertDays,3,""))))))</f>
        <v/>
      </c>
      <c r="V658" s="79">
        <f>IF(U658="","",IF(Q658=3,"Late task: "&amp;D658,IF(T658&lt;AsOf,"Should have started: ","Starts soon: ")&amp;D658)&amp;IF(F658="",""," — "&amp;F658))</f>
        <v/>
      </c>
    </row>
    <row r="659" ht="20" customHeight="1">
      <c r="B659" s="125" t="n">
        <v>653</v>
      </c>
      <c r="C659" s="72" t="n"/>
      <c r="D659" s="72" t="n"/>
      <c r="E659" s="72" t="n"/>
      <c r="F659" s="72" t="n"/>
      <c r="G659" s="89" t="n"/>
      <c r="H659" s="89" t="n"/>
      <c r="I659" s="109" t="n"/>
      <c r="J659" s="126">
        <f>IF(OR(D659="",ProjStart=""),"",MAX(ProjStart,IF(I659&lt;&gt;"",I659,0),IF(H659="",0,IFERROR(INDEX($L$6:L658,MATCH(H659,$B$6:B658,0))+1,0))))</f>
        <v/>
      </c>
      <c r="K659" s="89" t="n"/>
      <c r="L659" s="126">
        <f>IF(J659="","",J659+MAX(1,G659)+IF(K659="",0,K659)-1)</f>
        <v/>
      </c>
      <c r="M659" s="72" t="n"/>
      <c r="N659" s="109" t="n"/>
      <c r="O659" s="127">
        <f>IF(D659="","",COUNTIF($H$7:$H$1006,B659))</f>
        <v/>
      </c>
      <c r="P659" s="78">
        <f>IF(D659="","",IF(AND(H659&lt;&gt;"",H659&gt;=B659),"⚠️ Predecessor must be above",IF(M659="Done","✓ Done",IF(Q659=3,"🔴 Late",IF(M659="In progress","In progress","")))))</f>
        <v/>
      </c>
      <c r="Q659" s="79">
        <f>IF(OR(D659="",L659=""),"",IF(M659="Done",2,IF(AsOf&gt;L659,3,1)))</f>
        <v/>
      </c>
      <c r="R659" s="79">
        <f>IF(OR(E659="",F659=""),0,IF(COUNTIFS($E$7:E659,E659,$F$7:F659,F659)=1,1,0))</f>
        <v/>
      </c>
      <c r="S659" s="79">
        <f>IF(R659=1,E659&amp;"|"&amp;SUMIFS($R$7:R659,$E$7:E659,E659),"")</f>
        <v/>
      </c>
      <c r="T659" s="112">
        <f>IF(Q659="","",IF(Q659=3,L659,IF(OR(M659="Not started",M659=""),J659,"")))</f>
        <v/>
      </c>
      <c r="U659" s="79">
        <f>IF(T659="","",IF(Q659=3,1,IF(T659="","",IF(T659&lt;AsOf,1,IF(T659&lt;=AsOf+AlertDays,2,IF(T659&lt;=AsOf+2*AlertDays,3,""))))))</f>
        <v/>
      </c>
      <c r="V659" s="79">
        <f>IF(U659="","",IF(Q659=3,"Late task: "&amp;D659,IF(T659&lt;AsOf,"Should have started: ","Starts soon: ")&amp;D659)&amp;IF(F659="",""," — "&amp;F659))</f>
        <v/>
      </c>
    </row>
    <row r="660" ht="20" customHeight="1">
      <c r="B660" s="125" t="n">
        <v>654</v>
      </c>
      <c r="C660" s="72" t="n"/>
      <c r="D660" s="72" t="n"/>
      <c r="E660" s="72" t="n"/>
      <c r="F660" s="72" t="n"/>
      <c r="G660" s="89" t="n"/>
      <c r="H660" s="89" t="n"/>
      <c r="I660" s="109" t="n"/>
      <c r="J660" s="126">
        <f>IF(OR(D660="",ProjStart=""),"",MAX(ProjStart,IF(I660&lt;&gt;"",I660,0),IF(H660="",0,IFERROR(INDEX($L$6:L659,MATCH(H660,$B$6:B659,0))+1,0))))</f>
        <v/>
      </c>
      <c r="K660" s="89" t="n"/>
      <c r="L660" s="126">
        <f>IF(J660="","",J660+MAX(1,G660)+IF(K660="",0,K660)-1)</f>
        <v/>
      </c>
      <c r="M660" s="72" t="n"/>
      <c r="N660" s="109" t="n"/>
      <c r="O660" s="127">
        <f>IF(D660="","",COUNTIF($H$7:$H$1006,B660))</f>
        <v/>
      </c>
      <c r="P660" s="78">
        <f>IF(D660="","",IF(AND(H660&lt;&gt;"",H660&gt;=B660),"⚠️ Predecessor must be above",IF(M660="Done","✓ Done",IF(Q660=3,"🔴 Late",IF(M660="In progress","In progress","")))))</f>
        <v/>
      </c>
      <c r="Q660" s="79">
        <f>IF(OR(D660="",L660=""),"",IF(M660="Done",2,IF(AsOf&gt;L660,3,1)))</f>
        <v/>
      </c>
      <c r="R660" s="79">
        <f>IF(OR(E660="",F660=""),0,IF(COUNTIFS($E$7:E660,E660,$F$7:F660,F660)=1,1,0))</f>
        <v/>
      </c>
      <c r="S660" s="79">
        <f>IF(R660=1,E660&amp;"|"&amp;SUMIFS($R$7:R660,$E$7:E660,E660),"")</f>
        <v/>
      </c>
      <c r="T660" s="112">
        <f>IF(Q660="","",IF(Q660=3,L660,IF(OR(M660="Not started",M660=""),J660,"")))</f>
        <v/>
      </c>
      <c r="U660" s="79">
        <f>IF(T660="","",IF(Q660=3,1,IF(T660="","",IF(T660&lt;AsOf,1,IF(T660&lt;=AsOf+AlertDays,2,IF(T660&lt;=AsOf+2*AlertDays,3,""))))))</f>
        <v/>
      </c>
      <c r="V660" s="79">
        <f>IF(U660="","",IF(Q660=3,"Late task: "&amp;D660,IF(T660&lt;AsOf,"Should have started: ","Starts soon: ")&amp;D660)&amp;IF(F660="",""," — "&amp;F660))</f>
        <v/>
      </c>
    </row>
    <row r="661" ht="20" customHeight="1">
      <c r="B661" s="125" t="n">
        <v>655</v>
      </c>
      <c r="C661" s="72" t="n"/>
      <c r="D661" s="72" t="n"/>
      <c r="E661" s="72" t="n"/>
      <c r="F661" s="72" t="n"/>
      <c r="G661" s="89" t="n"/>
      <c r="H661" s="89" t="n"/>
      <c r="I661" s="109" t="n"/>
      <c r="J661" s="126">
        <f>IF(OR(D661="",ProjStart=""),"",MAX(ProjStart,IF(I661&lt;&gt;"",I661,0),IF(H661="",0,IFERROR(INDEX($L$6:L660,MATCH(H661,$B$6:B660,0))+1,0))))</f>
        <v/>
      </c>
      <c r="K661" s="89" t="n"/>
      <c r="L661" s="126">
        <f>IF(J661="","",J661+MAX(1,G661)+IF(K661="",0,K661)-1)</f>
        <v/>
      </c>
      <c r="M661" s="72" t="n"/>
      <c r="N661" s="109" t="n"/>
      <c r="O661" s="127">
        <f>IF(D661="","",COUNTIF($H$7:$H$1006,B661))</f>
        <v/>
      </c>
      <c r="P661" s="78">
        <f>IF(D661="","",IF(AND(H661&lt;&gt;"",H661&gt;=B661),"⚠️ Predecessor must be above",IF(M661="Done","✓ Done",IF(Q661=3,"🔴 Late",IF(M661="In progress","In progress","")))))</f>
        <v/>
      </c>
      <c r="Q661" s="79">
        <f>IF(OR(D661="",L661=""),"",IF(M661="Done",2,IF(AsOf&gt;L661,3,1)))</f>
        <v/>
      </c>
      <c r="R661" s="79">
        <f>IF(OR(E661="",F661=""),0,IF(COUNTIFS($E$7:E661,E661,$F$7:F661,F661)=1,1,0))</f>
        <v/>
      </c>
      <c r="S661" s="79">
        <f>IF(R661=1,E661&amp;"|"&amp;SUMIFS($R$7:R661,$E$7:E661,E661),"")</f>
        <v/>
      </c>
      <c r="T661" s="112">
        <f>IF(Q661="","",IF(Q661=3,L661,IF(OR(M661="Not started",M661=""),J661,"")))</f>
        <v/>
      </c>
      <c r="U661" s="79">
        <f>IF(T661="","",IF(Q661=3,1,IF(T661="","",IF(T661&lt;AsOf,1,IF(T661&lt;=AsOf+AlertDays,2,IF(T661&lt;=AsOf+2*AlertDays,3,""))))))</f>
        <v/>
      </c>
      <c r="V661" s="79">
        <f>IF(U661="","",IF(Q661=3,"Late task: "&amp;D661,IF(T661&lt;AsOf,"Should have started: ","Starts soon: ")&amp;D661)&amp;IF(F661="",""," — "&amp;F661))</f>
        <v/>
      </c>
    </row>
    <row r="662" ht="20" customHeight="1">
      <c r="B662" s="125" t="n">
        <v>656</v>
      </c>
      <c r="C662" s="72" t="n"/>
      <c r="D662" s="72" t="n"/>
      <c r="E662" s="72" t="n"/>
      <c r="F662" s="72" t="n"/>
      <c r="G662" s="89" t="n"/>
      <c r="H662" s="89" t="n"/>
      <c r="I662" s="109" t="n"/>
      <c r="J662" s="126">
        <f>IF(OR(D662="",ProjStart=""),"",MAX(ProjStart,IF(I662&lt;&gt;"",I662,0),IF(H662="",0,IFERROR(INDEX($L$6:L661,MATCH(H662,$B$6:B661,0))+1,0))))</f>
        <v/>
      </c>
      <c r="K662" s="89" t="n"/>
      <c r="L662" s="126">
        <f>IF(J662="","",J662+MAX(1,G662)+IF(K662="",0,K662)-1)</f>
        <v/>
      </c>
      <c r="M662" s="72" t="n"/>
      <c r="N662" s="109" t="n"/>
      <c r="O662" s="127">
        <f>IF(D662="","",COUNTIF($H$7:$H$1006,B662))</f>
        <v/>
      </c>
      <c r="P662" s="78">
        <f>IF(D662="","",IF(AND(H662&lt;&gt;"",H662&gt;=B662),"⚠️ Predecessor must be above",IF(M662="Done","✓ Done",IF(Q662=3,"🔴 Late",IF(M662="In progress","In progress","")))))</f>
        <v/>
      </c>
      <c r="Q662" s="79">
        <f>IF(OR(D662="",L662=""),"",IF(M662="Done",2,IF(AsOf&gt;L662,3,1)))</f>
        <v/>
      </c>
      <c r="R662" s="79">
        <f>IF(OR(E662="",F662=""),0,IF(COUNTIFS($E$7:E662,E662,$F$7:F662,F662)=1,1,0))</f>
        <v/>
      </c>
      <c r="S662" s="79">
        <f>IF(R662=1,E662&amp;"|"&amp;SUMIFS($R$7:R662,$E$7:E662,E662),"")</f>
        <v/>
      </c>
      <c r="T662" s="112">
        <f>IF(Q662="","",IF(Q662=3,L662,IF(OR(M662="Not started",M662=""),J662,"")))</f>
        <v/>
      </c>
      <c r="U662" s="79">
        <f>IF(T662="","",IF(Q662=3,1,IF(T662="","",IF(T662&lt;AsOf,1,IF(T662&lt;=AsOf+AlertDays,2,IF(T662&lt;=AsOf+2*AlertDays,3,""))))))</f>
        <v/>
      </c>
      <c r="V662" s="79">
        <f>IF(U662="","",IF(Q662=3,"Late task: "&amp;D662,IF(T662&lt;AsOf,"Should have started: ","Starts soon: ")&amp;D662)&amp;IF(F662="",""," — "&amp;F662))</f>
        <v/>
      </c>
    </row>
    <row r="663" ht="20" customHeight="1">
      <c r="B663" s="125" t="n">
        <v>657</v>
      </c>
      <c r="C663" s="72" t="n"/>
      <c r="D663" s="72" t="n"/>
      <c r="E663" s="72" t="n"/>
      <c r="F663" s="72" t="n"/>
      <c r="G663" s="89" t="n"/>
      <c r="H663" s="89" t="n"/>
      <c r="I663" s="109" t="n"/>
      <c r="J663" s="126">
        <f>IF(OR(D663="",ProjStart=""),"",MAX(ProjStart,IF(I663&lt;&gt;"",I663,0),IF(H663="",0,IFERROR(INDEX($L$6:L662,MATCH(H663,$B$6:B662,0))+1,0))))</f>
        <v/>
      </c>
      <c r="K663" s="89" t="n"/>
      <c r="L663" s="126">
        <f>IF(J663="","",J663+MAX(1,G663)+IF(K663="",0,K663)-1)</f>
        <v/>
      </c>
      <c r="M663" s="72" t="n"/>
      <c r="N663" s="109" t="n"/>
      <c r="O663" s="127">
        <f>IF(D663="","",COUNTIF($H$7:$H$1006,B663))</f>
        <v/>
      </c>
      <c r="P663" s="78">
        <f>IF(D663="","",IF(AND(H663&lt;&gt;"",H663&gt;=B663),"⚠️ Predecessor must be above",IF(M663="Done","✓ Done",IF(Q663=3,"🔴 Late",IF(M663="In progress","In progress","")))))</f>
        <v/>
      </c>
      <c r="Q663" s="79">
        <f>IF(OR(D663="",L663=""),"",IF(M663="Done",2,IF(AsOf&gt;L663,3,1)))</f>
        <v/>
      </c>
      <c r="R663" s="79">
        <f>IF(OR(E663="",F663=""),0,IF(COUNTIFS($E$7:E663,E663,$F$7:F663,F663)=1,1,0))</f>
        <v/>
      </c>
      <c r="S663" s="79">
        <f>IF(R663=1,E663&amp;"|"&amp;SUMIFS($R$7:R663,$E$7:E663,E663),"")</f>
        <v/>
      </c>
      <c r="T663" s="112">
        <f>IF(Q663="","",IF(Q663=3,L663,IF(OR(M663="Not started",M663=""),J663,"")))</f>
        <v/>
      </c>
      <c r="U663" s="79">
        <f>IF(T663="","",IF(Q663=3,1,IF(T663="","",IF(T663&lt;AsOf,1,IF(T663&lt;=AsOf+AlertDays,2,IF(T663&lt;=AsOf+2*AlertDays,3,""))))))</f>
        <v/>
      </c>
      <c r="V663" s="79">
        <f>IF(U663="","",IF(Q663=3,"Late task: "&amp;D663,IF(T663&lt;AsOf,"Should have started: ","Starts soon: ")&amp;D663)&amp;IF(F663="",""," — "&amp;F663))</f>
        <v/>
      </c>
    </row>
    <row r="664" ht="20" customHeight="1">
      <c r="B664" s="125" t="n">
        <v>658</v>
      </c>
      <c r="C664" s="72" t="n"/>
      <c r="D664" s="72" t="n"/>
      <c r="E664" s="72" t="n"/>
      <c r="F664" s="72" t="n"/>
      <c r="G664" s="89" t="n"/>
      <c r="H664" s="89" t="n"/>
      <c r="I664" s="109" t="n"/>
      <c r="J664" s="126">
        <f>IF(OR(D664="",ProjStart=""),"",MAX(ProjStart,IF(I664&lt;&gt;"",I664,0),IF(H664="",0,IFERROR(INDEX($L$6:L663,MATCH(H664,$B$6:B663,0))+1,0))))</f>
        <v/>
      </c>
      <c r="K664" s="89" t="n"/>
      <c r="L664" s="126">
        <f>IF(J664="","",J664+MAX(1,G664)+IF(K664="",0,K664)-1)</f>
        <v/>
      </c>
      <c r="M664" s="72" t="n"/>
      <c r="N664" s="109" t="n"/>
      <c r="O664" s="127">
        <f>IF(D664="","",COUNTIF($H$7:$H$1006,B664))</f>
        <v/>
      </c>
      <c r="P664" s="78">
        <f>IF(D664="","",IF(AND(H664&lt;&gt;"",H664&gt;=B664),"⚠️ Predecessor must be above",IF(M664="Done","✓ Done",IF(Q664=3,"🔴 Late",IF(M664="In progress","In progress","")))))</f>
        <v/>
      </c>
      <c r="Q664" s="79">
        <f>IF(OR(D664="",L664=""),"",IF(M664="Done",2,IF(AsOf&gt;L664,3,1)))</f>
        <v/>
      </c>
      <c r="R664" s="79">
        <f>IF(OR(E664="",F664=""),0,IF(COUNTIFS($E$7:E664,E664,$F$7:F664,F664)=1,1,0))</f>
        <v/>
      </c>
      <c r="S664" s="79">
        <f>IF(R664=1,E664&amp;"|"&amp;SUMIFS($R$7:R664,$E$7:E664,E664),"")</f>
        <v/>
      </c>
      <c r="T664" s="112">
        <f>IF(Q664="","",IF(Q664=3,L664,IF(OR(M664="Not started",M664=""),J664,"")))</f>
        <v/>
      </c>
      <c r="U664" s="79">
        <f>IF(T664="","",IF(Q664=3,1,IF(T664="","",IF(T664&lt;AsOf,1,IF(T664&lt;=AsOf+AlertDays,2,IF(T664&lt;=AsOf+2*AlertDays,3,""))))))</f>
        <v/>
      </c>
      <c r="V664" s="79">
        <f>IF(U664="","",IF(Q664=3,"Late task: "&amp;D664,IF(T664&lt;AsOf,"Should have started: ","Starts soon: ")&amp;D664)&amp;IF(F664="",""," — "&amp;F664))</f>
        <v/>
      </c>
    </row>
    <row r="665" ht="20" customHeight="1">
      <c r="B665" s="125" t="n">
        <v>659</v>
      </c>
      <c r="C665" s="72" t="n"/>
      <c r="D665" s="72" t="n"/>
      <c r="E665" s="72" t="n"/>
      <c r="F665" s="72" t="n"/>
      <c r="G665" s="89" t="n"/>
      <c r="H665" s="89" t="n"/>
      <c r="I665" s="109" t="n"/>
      <c r="J665" s="126">
        <f>IF(OR(D665="",ProjStart=""),"",MAX(ProjStart,IF(I665&lt;&gt;"",I665,0),IF(H665="",0,IFERROR(INDEX($L$6:L664,MATCH(H665,$B$6:B664,0))+1,0))))</f>
        <v/>
      </c>
      <c r="K665" s="89" t="n"/>
      <c r="L665" s="126">
        <f>IF(J665="","",J665+MAX(1,G665)+IF(K665="",0,K665)-1)</f>
        <v/>
      </c>
      <c r="M665" s="72" t="n"/>
      <c r="N665" s="109" t="n"/>
      <c r="O665" s="127">
        <f>IF(D665="","",COUNTIF($H$7:$H$1006,B665))</f>
        <v/>
      </c>
      <c r="P665" s="78">
        <f>IF(D665="","",IF(AND(H665&lt;&gt;"",H665&gt;=B665),"⚠️ Predecessor must be above",IF(M665="Done","✓ Done",IF(Q665=3,"🔴 Late",IF(M665="In progress","In progress","")))))</f>
        <v/>
      </c>
      <c r="Q665" s="79">
        <f>IF(OR(D665="",L665=""),"",IF(M665="Done",2,IF(AsOf&gt;L665,3,1)))</f>
        <v/>
      </c>
      <c r="R665" s="79">
        <f>IF(OR(E665="",F665=""),0,IF(COUNTIFS($E$7:E665,E665,$F$7:F665,F665)=1,1,0))</f>
        <v/>
      </c>
      <c r="S665" s="79">
        <f>IF(R665=1,E665&amp;"|"&amp;SUMIFS($R$7:R665,$E$7:E665,E665),"")</f>
        <v/>
      </c>
      <c r="T665" s="112">
        <f>IF(Q665="","",IF(Q665=3,L665,IF(OR(M665="Not started",M665=""),J665,"")))</f>
        <v/>
      </c>
      <c r="U665" s="79">
        <f>IF(T665="","",IF(Q665=3,1,IF(T665="","",IF(T665&lt;AsOf,1,IF(T665&lt;=AsOf+AlertDays,2,IF(T665&lt;=AsOf+2*AlertDays,3,""))))))</f>
        <v/>
      </c>
      <c r="V665" s="79">
        <f>IF(U665="","",IF(Q665=3,"Late task: "&amp;D665,IF(T665&lt;AsOf,"Should have started: ","Starts soon: ")&amp;D665)&amp;IF(F665="",""," — "&amp;F665))</f>
        <v/>
      </c>
    </row>
    <row r="666" ht="20" customHeight="1">
      <c r="B666" s="125" t="n">
        <v>660</v>
      </c>
      <c r="C666" s="72" t="n"/>
      <c r="D666" s="72" t="n"/>
      <c r="E666" s="72" t="n"/>
      <c r="F666" s="72" t="n"/>
      <c r="G666" s="89" t="n"/>
      <c r="H666" s="89" t="n"/>
      <c r="I666" s="109" t="n"/>
      <c r="J666" s="126">
        <f>IF(OR(D666="",ProjStart=""),"",MAX(ProjStart,IF(I666&lt;&gt;"",I666,0),IF(H666="",0,IFERROR(INDEX($L$6:L665,MATCH(H666,$B$6:B665,0))+1,0))))</f>
        <v/>
      </c>
      <c r="K666" s="89" t="n"/>
      <c r="L666" s="126">
        <f>IF(J666="","",J666+MAX(1,G666)+IF(K666="",0,K666)-1)</f>
        <v/>
      </c>
      <c r="M666" s="72" t="n"/>
      <c r="N666" s="109" t="n"/>
      <c r="O666" s="127">
        <f>IF(D666="","",COUNTIF($H$7:$H$1006,B666))</f>
        <v/>
      </c>
      <c r="P666" s="78">
        <f>IF(D666="","",IF(AND(H666&lt;&gt;"",H666&gt;=B666),"⚠️ Predecessor must be above",IF(M666="Done","✓ Done",IF(Q666=3,"🔴 Late",IF(M666="In progress","In progress","")))))</f>
        <v/>
      </c>
      <c r="Q666" s="79">
        <f>IF(OR(D666="",L666=""),"",IF(M666="Done",2,IF(AsOf&gt;L666,3,1)))</f>
        <v/>
      </c>
      <c r="R666" s="79">
        <f>IF(OR(E666="",F666=""),0,IF(COUNTIFS($E$7:E666,E666,$F$7:F666,F666)=1,1,0))</f>
        <v/>
      </c>
      <c r="S666" s="79">
        <f>IF(R666=1,E666&amp;"|"&amp;SUMIFS($R$7:R666,$E$7:E666,E666),"")</f>
        <v/>
      </c>
      <c r="T666" s="112">
        <f>IF(Q666="","",IF(Q666=3,L666,IF(OR(M666="Not started",M666=""),J666,"")))</f>
        <v/>
      </c>
      <c r="U666" s="79">
        <f>IF(T666="","",IF(Q666=3,1,IF(T666="","",IF(T666&lt;AsOf,1,IF(T666&lt;=AsOf+AlertDays,2,IF(T666&lt;=AsOf+2*AlertDays,3,""))))))</f>
        <v/>
      </c>
      <c r="V666" s="79">
        <f>IF(U666="","",IF(Q666=3,"Late task: "&amp;D666,IF(T666&lt;AsOf,"Should have started: ","Starts soon: ")&amp;D666)&amp;IF(F666="",""," — "&amp;F666))</f>
        <v/>
      </c>
    </row>
    <row r="667" ht="20" customHeight="1">
      <c r="B667" s="125" t="n">
        <v>661</v>
      </c>
      <c r="C667" s="72" t="n"/>
      <c r="D667" s="72" t="n"/>
      <c r="E667" s="72" t="n"/>
      <c r="F667" s="72" t="n"/>
      <c r="G667" s="89" t="n"/>
      <c r="H667" s="89" t="n"/>
      <c r="I667" s="109" t="n"/>
      <c r="J667" s="126">
        <f>IF(OR(D667="",ProjStart=""),"",MAX(ProjStart,IF(I667&lt;&gt;"",I667,0),IF(H667="",0,IFERROR(INDEX($L$6:L666,MATCH(H667,$B$6:B666,0))+1,0))))</f>
        <v/>
      </c>
      <c r="K667" s="89" t="n"/>
      <c r="L667" s="126">
        <f>IF(J667="","",J667+MAX(1,G667)+IF(K667="",0,K667)-1)</f>
        <v/>
      </c>
      <c r="M667" s="72" t="n"/>
      <c r="N667" s="109" t="n"/>
      <c r="O667" s="127">
        <f>IF(D667="","",COUNTIF($H$7:$H$1006,B667))</f>
        <v/>
      </c>
      <c r="P667" s="78">
        <f>IF(D667="","",IF(AND(H667&lt;&gt;"",H667&gt;=B667),"⚠️ Predecessor must be above",IF(M667="Done","✓ Done",IF(Q667=3,"🔴 Late",IF(M667="In progress","In progress","")))))</f>
        <v/>
      </c>
      <c r="Q667" s="79">
        <f>IF(OR(D667="",L667=""),"",IF(M667="Done",2,IF(AsOf&gt;L667,3,1)))</f>
        <v/>
      </c>
      <c r="R667" s="79">
        <f>IF(OR(E667="",F667=""),0,IF(COUNTIFS($E$7:E667,E667,$F$7:F667,F667)=1,1,0))</f>
        <v/>
      </c>
      <c r="S667" s="79">
        <f>IF(R667=1,E667&amp;"|"&amp;SUMIFS($R$7:R667,$E$7:E667,E667),"")</f>
        <v/>
      </c>
      <c r="T667" s="112">
        <f>IF(Q667="","",IF(Q667=3,L667,IF(OR(M667="Not started",M667=""),J667,"")))</f>
        <v/>
      </c>
      <c r="U667" s="79">
        <f>IF(T667="","",IF(Q667=3,1,IF(T667="","",IF(T667&lt;AsOf,1,IF(T667&lt;=AsOf+AlertDays,2,IF(T667&lt;=AsOf+2*AlertDays,3,""))))))</f>
        <v/>
      </c>
      <c r="V667" s="79">
        <f>IF(U667="","",IF(Q667=3,"Late task: "&amp;D667,IF(T667&lt;AsOf,"Should have started: ","Starts soon: ")&amp;D667)&amp;IF(F667="",""," — "&amp;F667))</f>
        <v/>
      </c>
    </row>
    <row r="668" ht="20" customHeight="1">
      <c r="B668" s="125" t="n">
        <v>662</v>
      </c>
      <c r="C668" s="72" t="n"/>
      <c r="D668" s="72" t="n"/>
      <c r="E668" s="72" t="n"/>
      <c r="F668" s="72" t="n"/>
      <c r="G668" s="89" t="n"/>
      <c r="H668" s="89" t="n"/>
      <c r="I668" s="109" t="n"/>
      <c r="J668" s="126">
        <f>IF(OR(D668="",ProjStart=""),"",MAX(ProjStart,IF(I668&lt;&gt;"",I668,0),IF(H668="",0,IFERROR(INDEX($L$6:L667,MATCH(H668,$B$6:B667,0))+1,0))))</f>
        <v/>
      </c>
      <c r="K668" s="89" t="n"/>
      <c r="L668" s="126">
        <f>IF(J668="","",J668+MAX(1,G668)+IF(K668="",0,K668)-1)</f>
        <v/>
      </c>
      <c r="M668" s="72" t="n"/>
      <c r="N668" s="109" t="n"/>
      <c r="O668" s="127">
        <f>IF(D668="","",COUNTIF($H$7:$H$1006,B668))</f>
        <v/>
      </c>
      <c r="P668" s="78">
        <f>IF(D668="","",IF(AND(H668&lt;&gt;"",H668&gt;=B668),"⚠️ Predecessor must be above",IF(M668="Done","✓ Done",IF(Q668=3,"🔴 Late",IF(M668="In progress","In progress","")))))</f>
        <v/>
      </c>
      <c r="Q668" s="79">
        <f>IF(OR(D668="",L668=""),"",IF(M668="Done",2,IF(AsOf&gt;L668,3,1)))</f>
        <v/>
      </c>
      <c r="R668" s="79">
        <f>IF(OR(E668="",F668=""),0,IF(COUNTIFS($E$7:E668,E668,$F$7:F668,F668)=1,1,0))</f>
        <v/>
      </c>
      <c r="S668" s="79">
        <f>IF(R668=1,E668&amp;"|"&amp;SUMIFS($R$7:R668,$E$7:E668,E668),"")</f>
        <v/>
      </c>
      <c r="T668" s="112">
        <f>IF(Q668="","",IF(Q668=3,L668,IF(OR(M668="Not started",M668=""),J668,"")))</f>
        <v/>
      </c>
      <c r="U668" s="79">
        <f>IF(T668="","",IF(Q668=3,1,IF(T668="","",IF(T668&lt;AsOf,1,IF(T668&lt;=AsOf+AlertDays,2,IF(T668&lt;=AsOf+2*AlertDays,3,""))))))</f>
        <v/>
      </c>
      <c r="V668" s="79">
        <f>IF(U668="","",IF(Q668=3,"Late task: "&amp;D668,IF(T668&lt;AsOf,"Should have started: ","Starts soon: ")&amp;D668)&amp;IF(F668="",""," — "&amp;F668))</f>
        <v/>
      </c>
    </row>
    <row r="669" ht="20" customHeight="1">
      <c r="B669" s="125" t="n">
        <v>663</v>
      </c>
      <c r="C669" s="72" t="n"/>
      <c r="D669" s="72" t="n"/>
      <c r="E669" s="72" t="n"/>
      <c r="F669" s="72" t="n"/>
      <c r="G669" s="89" t="n"/>
      <c r="H669" s="89" t="n"/>
      <c r="I669" s="109" t="n"/>
      <c r="J669" s="126">
        <f>IF(OR(D669="",ProjStart=""),"",MAX(ProjStart,IF(I669&lt;&gt;"",I669,0),IF(H669="",0,IFERROR(INDEX($L$6:L668,MATCH(H669,$B$6:B668,0))+1,0))))</f>
        <v/>
      </c>
      <c r="K669" s="89" t="n"/>
      <c r="L669" s="126">
        <f>IF(J669="","",J669+MAX(1,G669)+IF(K669="",0,K669)-1)</f>
        <v/>
      </c>
      <c r="M669" s="72" t="n"/>
      <c r="N669" s="109" t="n"/>
      <c r="O669" s="127">
        <f>IF(D669="","",COUNTIF($H$7:$H$1006,B669))</f>
        <v/>
      </c>
      <c r="P669" s="78">
        <f>IF(D669="","",IF(AND(H669&lt;&gt;"",H669&gt;=B669),"⚠️ Predecessor must be above",IF(M669="Done","✓ Done",IF(Q669=3,"🔴 Late",IF(M669="In progress","In progress","")))))</f>
        <v/>
      </c>
      <c r="Q669" s="79">
        <f>IF(OR(D669="",L669=""),"",IF(M669="Done",2,IF(AsOf&gt;L669,3,1)))</f>
        <v/>
      </c>
      <c r="R669" s="79">
        <f>IF(OR(E669="",F669=""),0,IF(COUNTIFS($E$7:E669,E669,$F$7:F669,F669)=1,1,0))</f>
        <v/>
      </c>
      <c r="S669" s="79">
        <f>IF(R669=1,E669&amp;"|"&amp;SUMIFS($R$7:R669,$E$7:E669,E669),"")</f>
        <v/>
      </c>
      <c r="T669" s="112">
        <f>IF(Q669="","",IF(Q669=3,L669,IF(OR(M669="Not started",M669=""),J669,"")))</f>
        <v/>
      </c>
      <c r="U669" s="79">
        <f>IF(T669="","",IF(Q669=3,1,IF(T669="","",IF(T669&lt;AsOf,1,IF(T669&lt;=AsOf+AlertDays,2,IF(T669&lt;=AsOf+2*AlertDays,3,""))))))</f>
        <v/>
      </c>
      <c r="V669" s="79">
        <f>IF(U669="","",IF(Q669=3,"Late task: "&amp;D669,IF(T669&lt;AsOf,"Should have started: ","Starts soon: ")&amp;D669)&amp;IF(F669="",""," — "&amp;F669))</f>
        <v/>
      </c>
    </row>
    <row r="670" ht="20" customHeight="1">
      <c r="B670" s="125" t="n">
        <v>664</v>
      </c>
      <c r="C670" s="72" t="n"/>
      <c r="D670" s="72" t="n"/>
      <c r="E670" s="72" t="n"/>
      <c r="F670" s="72" t="n"/>
      <c r="G670" s="89" t="n"/>
      <c r="H670" s="89" t="n"/>
      <c r="I670" s="109" t="n"/>
      <c r="J670" s="126">
        <f>IF(OR(D670="",ProjStart=""),"",MAX(ProjStart,IF(I670&lt;&gt;"",I670,0),IF(H670="",0,IFERROR(INDEX($L$6:L669,MATCH(H670,$B$6:B669,0))+1,0))))</f>
        <v/>
      </c>
      <c r="K670" s="89" t="n"/>
      <c r="L670" s="126">
        <f>IF(J670="","",J670+MAX(1,G670)+IF(K670="",0,K670)-1)</f>
        <v/>
      </c>
      <c r="M670" s="72" t="n"/>
      <c r="N670" s="109" t="n"/>
      <c r="O670" s="127">
        <f>IF(D670="","",COUNTIF($H$7:$H$1006,B670))</f>
        <v/>
      </c>
      <c r="P670" s="78">
        <f>IF(D670="","",IF(AND(H670&lt;&gt;"",H670&gt;=B670),"⚠️ Predecessor must be above",IF(M670="Done","✓ Done",IF(Q670=3,"🔴 Late",IF(M670="In progress","In progress","")))))</f>
        <v/>
      </c>
      <c r="Q670" s="79">
        <f>IF(OR(D670="",L670=""),"",IF(M670="Done",2,IF(AsOf&gt;L670,3,1)))</f>
        <v/>
      </c>
      <c r="R670" s="79">
        <f>IF(OR(E670="",F670=""),0,IF(COUNTIFS($E$7:E670,E670,$F$7:F670,F670)=1,1,0))</f>
        <v/>
      </c>
      <c r="S670" s="79">
        <f>IF(R670=1,E670&amp;"|"&amp;SUMIFS($R$7:R670,$E$7:E670,E670),"")</f>
        <v/>
      </c>
      <c r="T670" s="112">
        <f>IF(Q670="","",IF(Q670=3,L670,IF(OR(M670="Not started",M670=""),J670,"")))</f>
        <v/>
      </c>
      <c r="U670" s="79">
        <f>IF(T670="","",IF(Q670=3,1,IF(T670="","",IF(T670&lt;AsOf,1,IF(T670&lt;=AsOf+AlertDays,2,IF(T670&lt;=AsOf+2*AlertDays,3,""))))))</f>
        <v/>
      </c>
      <c r="V670" s="79">
        <f>IF(U670="","",IF(Q670=3,"Late task: "&amp;D670,IF(T670&lt;AsOf,"Should have started: ","Starts soon: ")&amp;D670)&amp;IF(F670="",""," — "&amp;F670))</f>
        <v/>
      </c>
    </row>
    <row r="671" ht="20" customHeight="1">
      <c r="B671" s="125" t="n">
        <v>665</v>
      </c>
      <c r="C671" s="72" t="n"/>
      <c r="D671" s="72" t="n"/>
      <c r="E671" s="72" t="n"/>
      <c r="F671" s="72" t="n"/>
      <c r="G671" s="89" t="n"/>
      <c r="H671" s="89" t="n"/>
      <c r="I671" s="109" t="n"/>
      <c r="J671" s="126">
        <f>IF(OR(D671="",ProjStart=""),"",MAX(ProjStart,IF(I671&lt;&gt;"",I671,0),IF(H671="",0,IFERROR(INDEX($L$6:L670,MATCH(H671,$B$6:B670,0))+1,0))))</f>
        <v/>
      </c>
      <c r="K671" s="89" t="n"/>
      <c r="L671" s="126">
        <f>IF(J671="","",J671+MAX(1,G671)+IF(K671="",0,K671)-1)</f>
        <v/>
      </c>
      <c r="M671" s="72" t="n"/>
      <c r="N671" s="109" t="n"/>
      <c r="O671" s="127">
        <f>IF(D671="","",COUNTIF($H$7:$H$1006,B671))</f>
        <v/>
      </c>
      <c r="P671" s="78">
        <f>IF(D671="","",IF(AND(H671&lt;&gt;"",H671&gt;=B671),"⚠️ Predecessor must be above",IF(M671="Done","✓ Done",IF(Q671=3,"🔴 Late",IF(M671="In progress","In progress","")))))</f>
        <v/>
      </c>
      <c r="Q671" s="79">
        <f>IF(OR(D671="",L671=""),"",IF(M671="Done",2,IF(AsOf&gt;L671,3,1)))</f>
        <v/>
      </c>
      <c r="R671" s="79">
        <f>IF(OR(E671="",F671=""),0,IF(COUNTIFS($E$7:E671,E671,$F$7:F671,F671)=1,1,0))</f>
        <v/>
      </c>
      <c r="S671" s="79">
        <f>IF(R671=1,E671&amp;"|"&amp;SUMIFS($R$7:R671,$E$7:E671,E671),"")</f>
        <v/>
      </c>
      <c r="T671" s="112">
        <f>IF(Q671="","",IF(Q671=3,L671,IF(OR(M671="Not started",M671=""),J671,"")))</f>
        <v/>
      </c>
      <c r="U671" s="79">
        <f>IF(T671="","",IF(Q671=3,1,IF(T671="","",IF(T671&lt;AsOf,1,IF(T671&lt;=AsOf+AlertDays,2,IF(T671&lt;=AsOf+2*AlertDays,3,""))))))</f>
        <v/>
      </c>
      <c r="V671" s="79">
        <f>IF(U671="","",IF(Q671=3,"Late task: "&amp;D671,IF(T671&lt;AsOf,"Should have started: ","Starts soon: ")&amp;D671)&amp;IF(F671="",""," — "&amp;F671))</f>
        <v/>
      </c>
    </row>
    <row r="672" ht="20" customHeight="1">
      <c r="B672" s="125" t="n">
        <v>666</v>
      </c>
      <c r="C672" s="72" t="n"/>
      <c r="D672" s="72" t="n"/>
      <c r="E672" s="72" t="n"/>
      <c r="F672" s="72" t="n"/>
      <c r="G672" s="89" t="n"/>
      <c r="H672" s="89" t="n"/>
      <c r="I672" s="109" t="n"/>
      <c r="J672" s="126">
        <f>IF(OR(D672="",ProjStart=""),"",MAX(ProjStart,IF(I672&lt;&gt;"",I672,0),IF(H672="",0,IFERROR(INDEX($L$6:L671,MATCH(H672,$B$6:B671,0))+1,0))))</f>
        <v/>
      </c>
      <c r="K672" s="89" t="n"/>
      <c r="L672" s="126">
        <f>IF(J672="","",J672+MAX(1,G672)+IF(K672="",0,K672)-1)</f>
        <v/>
      </c>
      <c r="M672" s="72" t="n"/>
      <c r="N672" s="109" t="n"/>
      <c r="O672" s="127">
        <f>IF(D672="","",COUNTIF($H$7:$H$1006,B672))</f>
        <v/>
      </c>
      <c r="P672" s="78">
        <f>IF(D672="","",IF(AND(H672&lt;&gt;"",H672&gt;=B672),"⚠️ Predecessor must be above",IF(M672="Done","✓ Done",IF(Q672=3,"🔴 Late",IF(M672="In progress","In progress","")))))</f>
        <v/>
      </c>
      <c r="Q672" s="79">
        <f>IF(OR(D672="",L672=""),"",IF(M672="Done",2,IF(AsOf&gt;L672,3,1)))</f>
        <v/>
      </c>
      <c r="R672" s="79">
        <f>IF(OR(E672="",F672=""),0,IF(COUNTIFS($E$7:E672,E672,$F$7:F672,F672)=1,1,0))</f>
        <v/>
      </c>
      <c r="S672" s="79">
        <f>IF(R672=1,E672&amp;"|"&amp;SUMIFS($R$7:R672,$E$7:E672,E672),"")</f>
        <v/>
      </c>
      <c r="T672" s="112">
        <f>IF(Q672="","",IF(Q672=3,L672,IF(OR(M672="Not started",M672=""),J672,"")))</f>
        <v/>
      </c>
      <c r="U672" s="79">
        <f>IF(T672="","",IF(Q672=3,1,IF(T672="","",IF(T672&lt;AsOf,1,IF(T672&lt;=AsOf+AlertDays,2,IF(T672&lt;=AsOf+2*AlertDays,3,""))))))</f>
        <v/>
      </c>
      <c r="V672" s="79">
        <f>IF(U672="","",IF(Q672=3,"Late task: "&amp;D672,IF(T672&lt;AsOf,"Should have started: ","Starts soon: ")&amp;D672)&amp;IF(F672="",""," — "&amp;F672))</f>
        <v/>
      </c>
    </row>
    <row r="673" ht="20" customHeight="1">
      <c r="B673" s="125" t="n">
        <v>667</v>
      </c>
      <c r="C673" s="72" t="n"/>
      <c r="D673" s="72" t="n"/>
      <c r="E673" s="72" t="n"/>
      <c r="F673" s="72" t="n"/>
      <c r="G673" s="89" t="n"/>
      <c r="H673" s="89" t="n"/>
      <c r="I673" s="109" t="n"/>
      <c r="J673" s="126">
        <f>IF(OR(D673="",ProjStart=""),"",MAX(ProjStart,IF(I673&lt;&gt;"",I673,0),IF(H673="",0,IFERROR(INDEX($L$6:L672,MATCH(H673,$B$6:B672,0))+1,0))))</f>
        <v/>
      </c>
      <c r="K673" s="89" t="n"/>
      <c r="L673" s="126">
        <f>IF(J673="","",J673+MAX(1,G673)+IF(K673="",0,K673)-1)</f>
        <v/>
      </c>
      <c r="M673" s="72" t="n"/>
      <c r="N673" s="109" t="n"/>
      <c r="O673" s="127">
        <f>IF(D673="","",COUNTIF($H$7:$H$1006,B673))</f>
        <v/>
      </c>
      <c r="P673" s="78">
        <f>IF(D673="","",IF(AND(H673&lt;&gt;"",H673&gt;=B673),"⚠️ Predecessor must be above",IF(M673="Done","✓ Done",IF(Q673=3,"🔴 Late",IF(M673="In progress","In progress","")))))</f>
        <v/>
      </c>
      <c r="Q673" s="79">
        <f>IF(OR(D673="",L673=""),"",IF(M673="Done",2,IF(AsOf&gt;L673,3,1)))</f>
        <v/>
      </c>
      <c r="R673" s="79">
        <f>IF(OR(E673="",F673=""),0,IF(COUNTIFS($E$7:E673,E673,$F$7:F673,F673)=1,1,0))</f>
        <v/>
      </c>
      <c r="S673" s="79">
        <f>IF(R673=1,E673&amp;"|"&amp;SUMIFS($R$7:R673,$E$7:E673,E673),"")</f>
        <v/>
      </c>
      <c r="T673" s="112">
        <f>IF(Q673="","",IF(Q673=3,L673,IF(OR(M673="Not started",M673=""),J673,"")))</f>
        <v/>
      </c>
      <c r="U673" s="79">
        <f>IF(T673="","",IF(Q673=3,1,IF(T673="","",IF(T673&lt;AsOf,1,IF(T673&lt;=AsOf+AlertDays,2,IF(T673&lt;=AsOf+2*AlertDays,3,""))))))</f>
        <v/>
      </c>
      <c r="V673" s="79">
        <f>IF(U673="","",IF(Q673=3,"Late task: "&amp;D673,IF(T673&lt;AsOf,"Should have started: ","Starts soon: ")&amp;D673)&amp;IF(F673="",""," — "&amp;F673))</f>
        <v/>
      </c>
    </row>
    <row r="674" ht="20" customHeight="1">
      <c r="B674" s="125" t="n">
        <v>668</v>
      </c>
      <c r="C674" s="72" t="n"/>
      <c r="D674" s="72" t="n"/>
      <c r="E674" s="72" t="n"/>
      <c r="F674" s="72" t="n"/>
      <c r="G674" s="89" t="n"/>
      <c r="H674" s="89" t="n"/>
      <c r="I674" s="109" t="n"/>
      <c r="J674" s="126">
        <f>IF(OR(D674="",ProjStart=""),"",MAX(ProjStart,IF(I674&lt;&gt;"",I674,0),IF(H674="",0,IFERROR(INDEX($L$6:L673,MATCH(H674,$B$6:B673,0))+1,0))))</f>
        <v/>
      </c>
      <c r="K674" s="89" t="n"/>
      <c r="L674" s="126">
        <f>IF(J674="","",J674+MAX(1,G674)+IF(K674="",0,K674)-1)</f>
        <v/>
      </c>
      <c r="M674" s="72" t="n"/>
      <c r="N674" s="109" t="n"/>
      <c r="O674" s="127">
        <f>IF(D674="","",COUNTIF($H$7:$H$1006,B674))</f>
        <v/>
      </c>
      <c r="P674" s="78">
        <f>IF(D674="","",IF(AND(H674&lt;&gt;"",H674&gt;=B674),"⚠️ Predecessor must be above",IF(M674="Done","✓ Done",IF(Q674=3,"🔴 Late",IF(M674="In progress","In progress","")))))</f>
        <v/>
      </c>
      <c r="Q674" s="79">
        <f>IF(OR(D674="",L674=""),"",IF(M674="Done",2,IF(AsOf&gt;L674,3,1)))</f>
        <v/>
      </c>
      <c r="R674" s="79">
        <f>IF(OR(E674="",F674=""),0,IF(COUNTIFS($E$7:E674,E674,$F$7:F674,F674)=1,1,0))</f>
        <v/>
      </c>
      <c r="S674" s="79">
        <f>IF(R674=1,E674&amp;"|"&amp;SUMIFS($R$7:R674,$E$7:E674,E674),"")</f>
        <v/>
      </c>
      <c r="T674" s="112">
        <f>IF(Q674="","",IF(Q674=3,L674,IF(OR(M674="Not started",M674=""),J674,"")))</f>
        <v/>
      </c>
      <c r="U674" s="79">
        <f>IF(T674="","",IF(Q674=3,1,IF(T674="","",IF(T674&lt;AsOf,1,IF(T674&lt;=AsOf+AlertDays,2,IF(T674&lt;=AsOf+2*AlertDays,3,""))))))</f>
        <v/>
      </c>
      <c r="V674" s="79">
        <f>IF(U674="","",IF(Q674=3,"Late task: "&amp;D674,IF(T674&lt;AsOf,"Should have started: ","Starts soon: ")&amp;D674)&amp;IF(F674="",""," — "&amp;F674))</f>
        <v/>
      </c>
    </row>
    <row r="675" ht="20" customHeight="1">
      <c r="B675" s="125" t="n">
        <v>669</v>
      </c>
      <c r="C675" s="72" t="n"/>
      <c r="D675" s="72" t="n"/>
      <c r="E675" s="72" t="n"/>
      <c r="F675" s="72" t="n"/>
      <c r="G675" s="89" t="n"/>
      <c r="H675" s="89" t="n"/>
      <c r="I675" s="109" t="n"/>
      <c r="J675" s="126">
        <f>IF(OR(D675="",ProjStart=""),"",MAX(ProjStart,IF(I675&lt;&gt;"",I675,0),IF(H675="",0,IFERROR(INDEX($L$6:L674,MATCH(H675,$B$6:B674,0))+1,0))))</f>
        <v/>
      </c>
      <c r="K675" s="89" t="n"/>
      <c r="L675" s="126">
        <f>IF(J675="","",J675+MAX(1,G675)+IF(K675="",0,K675)-1)</f>
        <v/>
      </c>
      <c r="M675" s="72" t="n"/>
      <c r="N675" s="109" t="n"/>
      <c r="O675" s="127">
        <f>IF(D675="","",COUNTIF($H$7:$H$1006,B675))</f>
        <v/>
      </c>
      <c r="P675" s="78">
        <f>IF(D675="","",IF(AND(H675&lt;&gt;"",H675&gt;=B675),"⚠️ Predecessor must be above",IF(M675="Done","✓ Done",IF(Q675=3,"🔴 Late",IF(M675="In progress","In progress","")))))</f>
        <v/>
      </c>
      <c r="Q675" s="79">
        <f>IF(OR(D675="",L675=""),"",IF(M675="Done",2,IF(AsOf&gt;L675,3,1)))</f>
        <v/>
      </c>
      <c r="R675" s="79">
        <f>IF(OR(E675="",F675=""),0,IF(COUNTIFS($E$7:E675,E675,$F$7:F675,F675)=1,1,0))</f>
        <v/>
      </c>
      <c r="S675" s="79">
        <f>IF(R675=1,E675&amp;"|"&amp;SUMIFS($R$7:R675,$E$7:E675,E675),"")</f>
        <v/>
      </c>
      <c r="T675" s="112">
        <f>IF(Q675="","",IF(Q675=3,L675,IF(OR(M675="Not started",M675=""),J675,"")))</f>
        <v/>
      </c>
      <c r="U675" s="79">
        <f>IF(T675="","",IF(Q675=3,1,IF(T675="","",IF(T675&lt;AsOf,1,IF(T675&lt;=AsOf+AlertDays,2,IF(T675&lt;=AsOf+2*AlertDays,3,""))))))</f>
        <v/>
      </c>
      <c r="V675" s="79">
        <f>IF(U675="","",IF(Q675=3,"Late task: "&amp;D675,IF(T675&lt;AsOf,"Should have started: ","Starts soon: ")&amp;D675)&amp;IF(F675="",""," — "&amp;F675))</f>
        <v/>
      </c>
    </row>
    <row r="676" ht="20" customHeight="1">
      <c r="B676" s="125" t="n">
        <v>670</v>
      </c>
      <c r="C676" s="72" t="n"/>
      <c r="D676" s="72" t="n"/>
      <c r="E676" s="72" t="n"/>
      <c r="F676" s="72" t="n"/>
      <c r="G676" s="89" t="n"/>
      <c r="H676" s="89" t="n"/>
      <c r="I676" s="109" t="n"/>
      <c r="J676" s="126">
        <f>IF(OR(D676="",ProjStart=""),"",MAX(ProjStart,IF(I676&lt;&gt;"",I676,0),IF(H676="",0,IFERROR(INDEX($L$6:L675,MATCH(H676,$B$6:B675,0))+1,0))))</f>
        <v/>
      </c>
      <c r="K676" s="89" t="n"/>
      <c r="L676" s="126">
        <f>IF(J676="","",J676+MAX(1,G676)+IF(K676="",0,K676)-1)</f>
        <v/>
      </c>
      <c r="M676" s="72" t="n"/>
      <c r="N676" s="109" t="n"/>
      <c r="O676" s="127">
        <f>IF(D676="","",COUNTIF($H$7:$H$1006,B676))</f>
        <v/>
      </c>
      <c r="P676" s="78">
        <f>IF(D676="","",IF(AND(H676&lt;&gt;"",H676&gt;=B676),"⚠️ Predecessor must be above",IF(M676="Done","✓ Done",IF(Q676=3,"🔴 Late",IF(M676="In progress","In progress","")))))</f>
        <v/>
      </c>
      <c r="Q676" s="79">
        <f>IF(OR(D676="",L676=""),"",IF(M676="Done",2,IF(AsOf&gt;L676,3,1)))</f>
        <v/>
      </c>
      <c r="R676" s="79">
        <f>IF(OR(E676="",F676=""),0,IF(COUNTIFS($E$7:E676,E676,$F$7:F676,F676)=1,1,0))</f>
        <v/>
      </c>
      <c r="S676" s="79">
        <f>IF(R676=1,E676&amp;"|"&amp;SUMIFS($R$7:R676,$E$7:E676,E676),"")</f>
        <v/>
      </c>
      <c r="T676" s="112">
        <f>IF(Q676="","",IF(Q676=3,L676,IF(OR(M676="Not started",M676=""),J676,"")))</f>
        <v/>
      </c>
      <c r="U676" s="79">
        <f>IF(T676="","",IF(Q676=3,1,IF(T676="","",IF(T676&lt;AsOf,1,IF(T676&lt;=AsOf+AlertDays,2,IF(T676&lt;=AsOf+2*AlertDays,3,""))))))</f>
        <v/>
      </c>
      <c r="V676" s="79">
        <f>IF(U676="","",IF(Q676=3,"Late task: "&amp;D676,IF(T676&lt;AsOf,"Should have started: ","Starts soon: ")&amp;D676)&amp;IF(F676="",""," — "&amp;F676))</f>
        <v/>
      </c>
    </row>
    <row r="677" ht="20" customHeight="1">
      <c r="B677" s="125" t="n">
        <v>671</v>
      </c>
      <c r="C677" s="72" t="n"/>
      <c r="D677" s="72" t="n"/>
      <c r="E677" s="72" t="n"/>
      <c r="F677" s="72" t="n"/>
      <c r="G677" s="89" t="n"/>
      <c r="H677" s="89" t="n"/>
      <c r="I677" s="109" t="n"/>
      <c r="J677" s="126">
        <f>IF(OR(D677="",ProjStart=""),"",MAX(ProjStart,IF(I677&lt;&gt;"",I677,0),IF(H677="",0,IFERROR(INDEX($L$6:L676,MATCH(H677,$B$6:B676,0))+1,0))))</f>
        <v/>
      </c>
      <c r="K677" s="89" t="n"/>
      <c r="L677" s="126">
        <f>IF(J677="","",J677+MAX(1,G677)+IF(K677="",0,K677)-1)</f>
        <v/>
      </c>
      <c r="M677" s="72" t="n"/>
      <c r="N677" s="109" t="n"/>
      <c r="O677" s="127">
        <f>IF(D677="","",COUNTIF($H$7:$H$1006,B677))</f>
        <v/>
      </c>
      <c r="P677" s="78">
        <f>IF(D677="","",IF(AND(H677&lt;&gt;"",H677&gt;=B677),"⚠️ Predecessor must be above",IF(M677="Done","✓ Done",IF(Q677=3,"🔴 Late",IF(M677="In progress","In progress","")))))</f>
        <v/>
      </c>
      <c r="Q677" s="79">
        <f>IF(OR(D677="",L677=""),"",IF(M677="Done",2,IF(AsOf&gt;L677,3,1)))</f>
        <v/>
      </c>
      <c r="R677" s="79">
        <f>IF(OR(E677="",F677=""),0,IF(COUNTIFS($E$7:E677,E677,$F$7:F677,F677)=1,1,0))</f>
        <v/>
      </c>
      <c r="S677" s="79">
        <f>IF(R677=1,E677&amp;"|"&amp;SUMIFS($R$7:R677,$E$7:E677,E677),"")</f>
        <v/>
      </c>
      <c r="T677" s="112">
        <f>IF(Q677="","",IF(Q677=3,L677,IF(OR(M677="Not started",M677=""),J677,"")))</f>
        <v/>
      </c>
      <c r="U677" s="79">
        <f>IF(T677="","",IF(Q677=3,1,IF(T677="","",IF(T677&lt;AsOf,1,IF(T677&lt;=AsOf+AlertDays,2,IF(T677&lt;=AsOf+2*AlertDays,3,""))))))</f>
        <v/>
      </c>
      <c r="V677" s="79">
        <f>IF(U677="","",IF(Q677=3,"Late task: "&amp;D677,IF(T677&lt;AsOf,"Should have started: ","Starts soon: ")&amp;D677)&amp;IF(F677="",""," — "&amp;F677))</f>
        <v/>
      </c>
    </row>
    <row r="678" ht="20" customHeight="1">
      <c r="B678" s="125" t="n">
        <v>672</v>
      </c>
      <c r="C678" s="72" t="n"/>
      <c r="D678" s="72" t="n"/>
      <c r="E678" s="72" t="n"/>
      <c r="F678" s="72" t="n"/>
      <c r="G678" s="89" t="n"/>
      <c r="H678" s="89" t="n"/>
      <c r="I678" s="109" t="n"/>
      <c r="J678" s="126">
        <f>IF(OR(D678="",ProjStart=""),"",MAX(ProjStart,IF(I678&lt;&gt;"",I678,0),IF(H678="",0,IFERROR(INDEX($L$6:L677,MATCH(H678,$B$6:B677,0))+1,0))))</f>
        <v/>
      </c>
      <c r="K678" s="89" t="n"/>
      <c r="L678" s="126">
        <f>IF(J678="","",J678+MAX(1,G678)+IF(K678="",0,K678)-1)</f>
        <v/>
      </c>
      <c r="M678" s="72" t="n"/>
      <c r="N678" s="109" t="n"/>
      <c r="O678" s="127">
        <f>IF(D678="","",COUNTIF($H$7:$H$1006,B678))</f>
        <v/>
      </c>
      <c r="P678" s="78">
        <f>IF(D678="","",IF(AND(H678&lt;&gt;"",H678&gt;=B678),"⚠️ Predecessor must be above",IF(M678="Done","✓ Done",IF(Q678=3,"🔴 Late",IF(M678="In progress","In progress","")))))</f>
        <v/>
      </c>
      <c r="Q678" s="79">
        <f>IF(OR(D678="",L678=""),"",IF(M678="Done",2,IF(AsOf&gt;L678,3,1)))</f>
        <v/>
      </c>
      <c r="R678" s="79">
        <f>IF(OR(E678="",F678=""),0,IF(COUNTIFS($E$7:E678,E678,$F$7:F678,F678)=1,1,0))</f>
        <v/>
      </c>
      <c r="S678" s="79">
        <f>IF(R678=1,E678&amp;"|"&amp;SUMIFS($R$7:R678,$E$7:E678,E678),"")</f>
        <v/>
      </c>
      <c r="T678" s="112">
        <f>IF(Q678="","",IF(Q678=3,L678,IF(OR(M678="Not started",M678=""),J678,"")))</f>
        <v/>
      </c>
      <c r="U678" s="79">
        <f>IF(T678="","",IF(Q678=3,1,IF(T678="","",IF(T678&lt;AsOf,1,IF(T678&lt;=AsOf+AlertDays,2,IF(T678&lt;=AsOf+2*AlertDays,3,""))))))</f>
        <v/>
      </c>
      <c r="V678" s="79">
        <f>IF(U678="","",IF(Q678=3,"Late task: "&amp;D678,IF(T678&lt;AsOf,"Should have started: ","Starts soon: ")&amp;D678)&amp;IF(F678="",""," — "&amp;F678))</f>
        <v/>
      </c>
    </row>
    <row r="679" ht="20" customHeight="1">
      <c r="B679" s="125" t="n">
        <v>673</v>
      </c>
      <c r="C679" s="72" t="n"/>
      <c r="D679" s="72" t="n"/>
      <c r="E679" s="72" t="n"/>
      <c r="F679" s="72" t="n"/>
      <c r="G679" s="89" t="n"/>
      <c r="H679" s="89" t="n"/>
      <c r="I679" s="109" t="n"/>
      <c r="J679" s="126">
        <f>IF(OR(D679="",ProjStart=""),"",MAX(ProjStart,IF(I679&lt;&gt;"",I679,0),IF(H679="",0,IFERROR(INDEX($L$6:L678,MATCH(H679,$B$6:B678,0))+1,0))))</f>
        <v/>
      </c>
      <c r="K679" s="89" t="n"/>
      <c r="L679" s="126">
        <f>IF(J679="","",J679+MAX(1,G679)+IF(K679="",0,K679)-1)</f>
        <v/>
      </c>
      <c r="M679" s="72" t="n"/>
      <c r="N679" s="109" t="n"/>
      <c r="O679" s="127">
        <f>IF(D679="","",COUNTIF($H$7:$H$1006,B679))</f>
        <v/>
      </c>
      <c r="P679" s="78">
        <f>IF(D679="","",IF(AND(H679&lt;&gt;"",H679&gt;=B679),"⚠️ Predecessor must be above",IF(M679="Done","✓ Done",IF(Q679=3,"🔴 Late",IF(M679="In progress","In progress","")))))</f>
        <v/>
      </c>
      <c r="Q679" s="79">
        <f>IF(OR(D679="",L679=""),"",IF(M679="Done",2,IF(AsOf&gt;L679,3,1)))</f>
        <v/>
      </c>
      <c r="R679" s="79">
        <f>IF(OR(E679="",F679=""),0,IF(COUNTIFS($E$7:E679,E679,$F$7:F679,F679)=1,1,0))</f>
        <v/>
      </c>
      <c r="S679" s="79">
        <f>IF(R679=1,E679&amp;"|"&amp;SUMIFS($R$7:R679,$E$7:E679,E679),"")</f>
        <v/>
      </c>
      <c r="T679" s="112">
        <f>IF(Q679="","",IF(Q679=3,L679,IF(OR(M679="Not started",M679=""),J679,"")))</f>
        <v/>
      </c>
      <c r="U679" s="79">
        <f>IF(T679="","",IF(Q679=3,1,IF(T679="","",IF(T679&lt;AsOf,1,IF(T679&lt;=AsOf+AlertDays,2,IF(T679&lt;=AsOf+2*AlertDays,3,""))))))</f>
        <v/>
      </c>
      <c r="V679" s="79">
        <f>IF(U679="","",IF(Q679=3,"Late task: "&amp;D679,IF(T679&lt;AsOf,"Should have started: ","Starts soon: ")&amp;D679)&amp;IF(F679="",""," — "&amp;F679))</f>
        <v/>
      </c>
    </row>
    <row r="680" ht="20" customHeight="1">
      <c r="B680" s="125" t="n">
        <v>674</v>
      </c>
      <c r="C680" s="72" t="n"/>
      <c r="D680" s="72" t="n"/>
      <c r="E680" s="72" t="n"/>
      <c r="F680" s="72" t="n"/>
      <c r="G680" s="89" t="n"/>
      <c r="H680" s="89" t="n"/>
      <c r="I680" s="109" t="n"/>
      <c r="J680" s="126">
        <f>IF(OR(D680="",ProjStart=""),"",MAX(ProjStart,IF(I680&lt;&gt;"",I680,0),IF(H680="",0,IFERROR(INDEX($L$6:L679,MATCH(H680,$B$6:B679,0))+1,0))))</f>
        <v/>
      </c>
      <c r="K680" s="89" t="n"/>
      <c r="L680" s="126">
        <f>IF(J680="","",J680+MAX(1,G680)+IF(K680="",0,K680)-1)</f>
        <v/>
      </c>
      <c r="M680" s="72" t="n"/>
      <c r="N680" s="109" t="n"/>
      <c r="O680" s="127">
        <f>IF(D680="","",COUNTIF($H$7:$H$1006,B680))</f>
        <v/>
      </c>
      <c r="P680" s="78">
        <f>IF(D680="","",IF(AND(H680&lt;&gt;"",H680&gt;=B680),"⚠️ Predecessor must be above",IF(M680="Done","✓ Done",IF(Q680=3,"🔴 Late",IF(M680="In progress","In progress","")))))</f>
        <v/>
      </c>
      <c r="Q680" s="79">
        <f>IF(OR(D680="",L680=""),"",IF(M680="Done",2,IF(AsOf&gt;L680,3,1)))</f>
        <v/>
      </c>
      <c r="R680" s="79">
        <f>IF(OR(E680="",F680=""),0,IF(COUNTIFS($E$7:E680,E680,$F$7:F680,F680)=1,1,0))</f>
        <v/>
      </c>
      <c r="S680" s="79">
        <f>IF(R680=1,E680&amp;"|"&amp;SUMIFS($R$7:R680,$E$7:E680,E680),"")</f>
        <v/>
      </c>
      <c r="T680" s="112">
        <f>IF(Q680="","",IF(Q680=3,L680,IF(OR(M680="Not started",M680=""),J680,"")))</f>
        <v/>
      </c>
      <c r="U680" s="79">
        <f>IF(T680="","",IF(Q680=3,1,IF(T680="","",IF(T680&lt;AsOf,1,IF(T680&lt;=AsOf+AlertDays,2,IF(T680&lt;=AsOf+2*AlertDays,3,""))))))</f>
        <v/>
      </c>
      <c r="V680" s="79">
        <f>IF(U680="","",IF(Q680=3,"Late task: "&amp;D680,IF(T680&lt;AsOf,"Should have started: ","Starts soon: ")&amp;D680)&amp;IF(F680="",""," — "&amp;F680))</f>
        <v/>
      </c>
    </row>
    <row r="681" ht="20" customHeight="1">
      <c r="B681" s="125" t="n">
        <v>675</v>
      </c>
      <c r="C681" s="72" t="n"/>
      <c r="D681" s="72" t="n"/>
      <c r="E681" s="72" t="n"/>
      <c r="F681" s="72" t="n"/>
      <c r="G681" s="89" t="n"/>
      <c r="H681" s="89" t="n"/>
      <c r="I681" s="109" t="n"/>
      <c r="J681" s="126">
        <f>IF(OR(D681="",ProjStart=""),"",MAX(ProjStart,IF(I681&lt;&gt;"",I681,0),IF(H681="",0,IFERROR(INDEX($L$6:L680,MATCH(H681,$B$6:B680,0))+1,0))))</f>
        <v/>
      </c>
      <c r="K681" s="89" t="n"/>
      <c r="L681" s="126">
        <f>IF(J681="","",J681+MAX(1,G681)+IF(K681="",0,K681)-1)</f>
        <v/>
      </c>
      <c r="M681" s="72" t="n"/>
      <c r="N681" s="109" t="n"/>
      <c r="O681" s="127">
        <f>IF(D681="","",COUNTIF($H$7:$H$1006,B681))</f>
        <v/>
      </c>
      <c r="P681" s="78">
        <f>IF(D681="","",IF(AND(H681&lt;&gt;"",H681&gt;=B681),"⚠️ Predecessor must be above",IF(M681="Done","✓ Done",IF(Q681=3,"🔴 Late",IF(M681="In progress","In progress","")))))</f>
        <v/>
      </c>
      <c r="Q681" s="79">
        <f>IF(OR(D681="",L681=""),"",IF(M681="Done",2,IF(AsOf&gt;L681,3,1)))</f>
        <v/>
      </c>
      <c r="R681" s="79">
        <f>IF(OR(E681="",F681=""),0,IF(COUNTIFS($E$7:E681,E681,$F$7:F681,F681)=1,1,0))</f>
        <v/>
      </c>
      <c r="S681" s="79">
        <f>IF(R681=1,E681&amp;"|"&amp;SUMIFS($R$7:R681,$E$7:E681,E681),"")</f>
        <v/>
      </c>
      <c r="T681" s="112">
        <f>IF(Q681="","",IF(Q681=3,L681,IF(OR(M681="Not started",M681=""),J681,"")))</f>
        <v/>
      </c>
      <c r="U681" s="79">
        <f>IF(T681="","",IF(Q681=3,1,IF(T681="","",IF(T681&lt;AsOf,1,IF(T681&lt;=AsOf+AlertDays,2,IF(T681&lt;=AsOf+2*AlertDays,3,""))))))</f>
        <v/>
      </c>
      <c r="V681" s="79">
        <f>IF(U681="","",IF(Q681=3,"Late task: "&amp;D681,IF(T681&lt;AsOf,"Should have started: ","Starts soon: ")&amp;D681)&amp;IF(F681="",""," — "&amp;F681))</f>
        <v/>
      </c>
    </row>
    <row r="682" ht="20" customHeight="1">
      <c r="B682" s="125" t="n">
        <v>676</v>
      </c>
      <c r="C682" s="72" t="n"/>
      <c r="D682" s="72" t="n"/>
      <c r="E682" s="72" t="n"/>
      <c r="F682" s="72" t="n"/>
      <c r="G682" s="89" t="n"/>
      <c r="H682" s="89" t="n"/>
      <c r="I682" s="109" t="n"/>
      <c r="J682" s="126">
        <f>IF(OR(D682="",ProjStart=""),"",MAX(ProjStart,IF(I682&lt;&gt;"",I682,0),IF(H682="",0,IFERROR(INDEX($L$6:L681,MATCH(H682,$B$6:B681,0))+1,0))))</f>
        <v/>
      </c>
      <c r="K682" s="89" t="n"/>
      <c r="L682" s="126">
        <f>IF(J682="","",J682+MAX(1,G682)+IF(K682="",0,K682)-1)</f>
        <v/>
      </c>
      <c r="M682" s="72" t="n"/>
      <c r="N682" s="109" t="n"/>
      <c r="O682" s="127">
        <f>IF(D682="","",COUNTIF($H$7:$H$1006,B682))</f>
        <v/>
      </c>
      <c r="P682" s="78">
        <f>IF(D682="","",IF(AND(H682&lt;&gt;"",H682&gt;=B682),"⚠️ Predecessor must be above",IF(M682="Done","✓ Done",IF(Q682=3,"🔴 Late",IF(M682="In progress","In progress","")))))</f>
        <v/>
      </c>
      <c r="Q682" s="79">
        <f>IF(OR(D682="",L682=""),"",IF(M682="Done",2,IF(AsOf&gt;L682,3,1)))</f>
        <v/>
      </c>
      <c r="R682" s="79">
        <f>IF(OR(E682="",F682=""),0,IF(COUNTIFS($E$7:E682,E682,$F$7:F682,F682)=1,1,0))</f>
        <v/>
      </c>
      <c r="S682" s="79">
        <f>IF(R682=1,E682&amp;"|"&amp;SUMIFS($R$7:R682,$E$7:E682,E682),"")</f>
        <v/>
      </c>
      <c r="T682" s="112">
        <f>IF(Q682="","",IF(Q682=3,L682,IF(OR(M682="Not started",M682=""),J682,"")))</f>
        <v/>
      </c>
      <c r="U682" s="79">
        <f>IF(T682="","",IF(Q682=3,1,IF(T682="","",IF(T682&lt;AsOf,1,IF(T682&lt;=AsOf+AlertDays,2,IF(T682&lt;=AsOf+2*AlertDays,3,""))))))</f>
        <v/>
      </c>
      <c r="V682" s="79">
        <f>IF(U682="","",IF(Q682=3,"Late task: "&amp;D682,IF(T682&lt;AsOf,"Should have started: ","Starts soon: ")&amp;D682)&amp;IF(F682="",""," — "&amp;F682))</f>
        <v/>
      </c>
    </row>
    <row r="683" ht="20" customHeight="1">
      <c r="B683" s="125" t="n">
        <v>677</v>
      </c>
      <c r="C683" s="72" t="n"/>
      <c r="D683" s="72" t="n"/>
      <c r="E683" s="72" t="n"/>
      <c r="F683" s="72" t="n"/>
      <c r="G683" s="89" t="n"/>
      <c r="H683" s="89" t="n"/>
      <c r="I683" s="109" t="n"/>
      <c r="J683" s="126">
        <f>IF(OR(D683="",ProjStart=""),"",MAX(ProjStart,IF(I683&lt;&gt;"",I683,0),IF(H683="",0,IFERROR(INDEX($L$6:L682,MATCH(H683,$B$6:B682,0))+1,0))))</f>
        <v/>
      </c>
      <c r="K683" s="89" t="n"/>
      <c r="L683" s="126">
        <f>IF(J683="","",J683+MAX(1,G683)+IF(K683="",0,K683)-1)</f>
        <v/>
      </c>
      <c r="M683" s="72" t="n"/>
      <c r="N683" s="109" t="n"/>
      <c r="O683" s="127">
        <f>IF(D683="","",COUNTIF($H$7:$H$1006,B683))</f>
        <v/>
      </c>
      <c r="P683" s="78">
        <f>IF(D683="","",IF(AND(H683&lt;&gt;"",H683&gt;=B683),"⚠️ Predecessor must be above",IF(M683="Done","✓ Done",IF(Q683=3,"🔴 Late",IF(M683="In progress","In progress","")))))</f>
        <v/>
      </c>
      <c r="Q683" s="79">
        <f>IF(OR(D683="",L683=""),"",IF(M683="Done",2,IF(AsOf&gt;L683,3,1)))</f>
        <v/>
      </c>
      <c r="R683" s="79">
        <f>IF(OR(E683="",F683=""),0,IF(COUNTIFS($E$7:E683,E683,$F$7:F683,F683)=1,1,0))</f>
        <v/>
      </c>
      <c r="S683" s="79">
        <f>IF(R683=1,E683&amp;"|"&amp;SUMIFS($R$7:R683,$E$7:E683,E683),"")</f>
        <v/>
      </c>
      <c r="T683" s="112">
        <f>IF(Q683="","",IF(Q683=3,L683,IF(OR(M683="Not started",M683=""),J683,"")))</f>
        <v/>
      </c>
      <c r="U683" s="79">
        <f>IF(T683="","",IF(Q683=3,1,IF(T683="","",IF(T683&lt;AsOf,1,IF(T683&lt;=AsOf+AlertDays,2,IF(T683&lt;=AsOf+2*AlertDays,3,""))))))</f>
        <v/>
      </c>
      <c r="V683" s="79">
        <f>IF(U683="","",IF(Q683=3,"Late task: "&amp;D683,IF(T683&lt;AsOf,"Should have started: ","Starts soon: ")&amp;D683)&amp;IF(F683="",""," — "&amp;F683))</f>
        <v/>
      </c>
    </row>
    <row r="684" ht="20" customHeight="1">
      <c r="B684" s="125" t="n">
        <v>678</v>
      </c>
      <c r="C684" s="72" t="n"/>
      <c r="D684" s="72" t="n"/>
      <c r="E684" s="72" t="n"/>
      <c r="F684" s="72" t="n"/>
      <c r="G684" s="89" t="n"/>
      <c r="H684" s="89" t="n"/>
      <c r="I684" s="109" t="n"/>
      <c r="J684" s="126">
        <f>IF(OR(D684="",ProjStart=""),"",MAX(ProjStart,IF(I684&lt;&gt;"",I684,0),IF(H684="",0,IFERROR(INDEX($L$6:L683,MATCH(H684,$B$6:B683,0))+1,0))))</f>
        <v/>
      </c>
      <c r="K684" s="89" t="n"/>
      <c r="L684" s="126">
        <f>IF(J684="","",J684+MAX(1,G684)+IF(K684="",0,K684)-1)</f>
        <v/>
      </c>
      <c r="M684" s="72" t="n"/>
      <c r="N684" s="109" t="n"/>
      <c r="O684" s="127">
        <f>IF(D684="","",COUNTIF($H$7:$H$1006,B684))</f>
        <v/>
      </c>
      <c r="P684" s="78">
        <f>IF(D684="","",IF(AND(H684&lt;&gt;"",H684&gt;=B684),"⚠️ Predecessor must be above",IF(M684="Done","✓ Done",IF(Q684=3,"🔴 Late",IF(M684="In progress","In progress","")))))</f>
        <v/>
      </c>
      <c r="Q684" s="79">
        <f>IF(OR(D684="",L684=""),"",IF(M684="Done",2,IF(AsOf&gt;L684,3,1)))</f>
        <v/>
      </c>
      <c r="R684" s="79">
        <f>IF(OR(E684="",F684=""),0,IF(COUNTIFS($E$7:E684,E684,$F$7:F684,F684)=1,1,0))</f>
        <v/>
      </c>
      <c r="S684" s="79">
        <f>IF(R684=1,E684&amp;"|"&amp;SUMIFS($R$7:R684,$E$7:E684,E684),"")</f>
        <v/>
      </c>
      <c r="T684" s="112">
        <f>IF(Q684="","",IF(Q684=3,L684,IF(OR(M684="Not started",M684=""),J684,"")))</f>
        <v/>
      </c>
      <c r="U684" s="79">
        <f>IF(T684="","",IF(Q684=3,1,IF(T684="","",IF(T684&lt;AsOf,1,IF(T684&lt;=AsOf+AlertDays,2,IF(T684&lt;=AsOf+2*AlertDays,3,""))))))</f>
        <v/>
      </c>
      <c r="V684" s="79">
        <f>IF(U684="","",IF(Q684=3,"Late task: "&amp;D684,IF(T684&lt;AsOf,"Should have started: ","Starts soon: ")&amp;D684)&amp;IF(F684="",""," — "&amp;F684))</f>
        <v/>
      </c>
    </row>
    <row r="685" ht="20" customHeight="1">
      <c r="B685" s="125" t="n">
        <v>679</v>
      </c>
      <c r="C685" s="72" t="n"/>
      <c r="D685" s="72" t="n"/>
      <c r="E685" s="72" t="n"/>
      <c r="F685" s="72" t="n"/>
      <c r="G685" s="89" t="n"/>
      <c r="H685" s="89" t="n"/>
      <c r="I685" s="109" t="n"/>
      <c r="J685" s="126">
        <f>IF(OR(D685="",ProjStart=""),"",MAX(ProjStart,IF(I685&lt;&gt;"",I685,0),IF(H685="",0,IFERROR(INDEX($L$6:L684,MATCH(H685,$B$6:B684,0))+1,0))))</f>
        <v/>
      </c>
      <c r="K685" s="89" t="n"/>
      <c r="L685" s="126">
        <f>IF(J685="","",J685+MAX(1,G685)+IF(K685="",0,K685)-1)</f>
        <v/>
      </c>
      <c r="M685" s="72" t="n"/>
      <c r="N685" s="109" t="n"/>
      <c r="O685" s="127">
        <f>IF(D685="","",COUNTIF($H$7:$H$1006,B685))</f>
        <v/>
      </c>
      <c r="P685" s="78">
        <f>IF(D685="","",IF(AND(H685&lt;&gt;"",H685&gt;=B685),"⚠️ Predecessor must be above",IF(M685="Done","✓ Done",IF(Q685=3,"🔴 Late",IF(M685="In progress","In progress","")))))</f>
        <v/>
      </c>
      <c r="Q685" s="79">
        <f>IF(OR(D685="",L685=""),"",IF(M685="Done",2,IF(AsOf&gt;L685,3,1)))</f>
        <v/>
      </c>
      <c r="R685" s="79">
        <f>IF(OR(E685="",F685=""),0,IF(COUNTIFS($E$7:E685,E685,$F$7:F685,F685)=1,1,0))</f>
        <v/>
      </c>
      <c r="S685" s="79">
        <f>IF(R685=1,E685&amp;"|"&amp;SUMIFS($R$7:R685,$E$7:E685,E685),"")</f>
        <v/>
      </c>
      <c r="T685" s="112">
        <f>IF(Q685="","",IF(Q685=3,L685,IF(OR(M685="Not started",M685=""),J685,"")))</f>
        <v/>
      </c>
      <c r="U685" s="79">
        <f>IF(T685="","",IF(Q685=3,1,IF(T685="","",IF(T685&lt;AsOf,1,IF(T685&lt;=AsOf+AlertDays,2,IF(T685&lt;=AsOf+2*AlertDays,3,""))))))</f>
        <v/>
      </c>
      <c r="V685" s="79">
        <f>IF(U685="","",IF(Q685=3,"Late task: "&amp;D685,IF(T685&lt;AsOf,"Should have started: ","Starts soon: ")&amp;D685)&amp;IF(F685="",""," — "&amp;F685))</f>
        <v/>
      </c>
    </row>
    <row r="686" ht="20" customHeight="1">
      <c r="B686" s="125" t="n">
        <v>680</v>
      </c>
      <c r="C686" s="72" t="n"/>
      <c r="D686" s="72" t="n"/>
      <c r="E686" s="72" t="n"/>
      <c r="F686" s="72" t="n"/>
      <c r="G686" s="89" t="n"/>
      <c r="H686" s="89" t="n"/>
      <c r="I686" s="109" t="n"/>
      <c r="J686" s="126">
        <f>IF(OR(D686="",ProjStart=""),"",MAX(ProjStart,IF(I686&lt;&gt;"",I686,0),IF(H686="",0,IFERROR(INDEX($L$6:L685,MATCH(H686,$B$6:B685,0))+1,0))))</f>
        <v/>
      </c>
      <c r="K686" s="89" t="n"/>
      <c r="L686" s="126">
        <f>IF(J686="","",J686+MAX(1,G686)+IF(K686="",0,K686)-1)</f>
        <v/>
      </c>
      <c r="M686" s="72" t="n"/>
      <c r="N686" s="109" t="n"/>
      <c r="O686" s="127">
        <f>IF(D686="","",COUNTIF($H$7:$H$1006,B686))</f>
        <v/>
      </c>
      <c r="P686" s="78">
        <f>IF(D686="","",IF(AND(H686&lt;&gt;"",H686&gt;=B686),"⚠️ Predecessor must be above",IF(M686="Done","✓ Done",IF(Q686=3,"🔴 Late",IF(M686="In progress","In progress","")))))</f>
        <v/>
      </c>
      <c r="Q686" s="79">
        <f>IF(OR(D686="",L686=""),"",IF(M686="Done",2,IF(AsOf&gt;L686,3,1)))</f>
        <v/>
      </c>
      <c r="R686" s="79">
        <f>IF(OR(E686="",F686=""),0,IF(COUNTIFS($E$7:E686,E686,$F$7:F686,F686)=1,1,0))</f>
        <v/>
      </c>
      <c r="S686" s="79">
        <f>IF(R686=1,E686&amp;"|"&amp;SUMIFS($R$7:R686,$E$7:E686,E686),"")</f>
        <v/>
      </c>
      <c r="T686" s="112">
        <f>IF(Q686="","",IF(Q686=3,L686,IF(OR(M686="Not started",M686=""),J686,"")))</f>
        <v/>
      </c>
      <c r="U686" s="79">
        <f>IF(T686="","",IF(Q686=3,1,IF(T686="","",IF(T686&lt;AsOf,1,IF(T686&lt;=AsOf+AlertDays,2,IF(T686&lt;=AsOf+2*AlertDays,3,""))))))</f>
        <v/>
      </c>
      <c r="V686" s="79">
        <f>IF(U686="","",IF(Q686=3,"Late task: "&amp;D686,IF(T686&lt;AsOf,"Should have started: ","Starts soon: ")&amp;D686)&amp;IF(F686="",""," — "&amp;F686))</f>
        <v/>
      </c>
    </row>
    <row r="687" ht="20" customHeight="1">
      <c r="B687" s="125" t="n">
        <v>681</v>
      </c>
      <c r="C687" s="72" t="n"/>
      <c r="D687" s="72" t="n"/>
      <c r="E687" s="72" t="n"/>
      <c r="F687" s="72" t="n"/>
      <c r="G687" s="89" t="n"/>
      <c r="H687" s="89" t="n"/>
      <c r="I687" s="109" t="n"/>
      <c r="J687" s="126">
        <f>IF(OR(D687="",ProjStart=""),"",MAX(ProjStart,IF(I687&lt;&gt;"",I687,0),IF(H687="",0,IFERROR(INDEX($L$6:L686,MATCH(H687,$B$6:B686,0))+1,0))))</f>
        <v/>
      </c>
      <c r="K687" s="89" t="n"/>
      <c r="L687" s="126">
        <f>IF(J687="","",J687+MAX(1,G687)+IF(K687="",0,K687)-1)</f>
        <v/>
      </c>
      <c r="M687" s="72" t="n"/>
      <c r="N687" s="109" t="n"/>
      <c r="O687" s="127">
        <f>IF(D687="","",COUNTIF($H$7:$H$1006,B687))</f>
        <v/>
      </c>
      <c r="P687" s="78">
        <f>IF(D687="","",IF(AND(H687&lt;&gt;"",H687&gt;=B687),"⚠️ Predecessor must be above",IF(M687="Done","✓ Done",IF(Q687=3,"🔴 Late",IF(M687="In progress","In progress","")))))</f>
        <v/>
      </c>
      <c r="Q687" s="79">
        <f>IF(OR(D687="",L687=""),"",IF(M687="Done",2,IF(AsOf&gt;L687,3,1)))</f>
        <v/>
      </c>
      <c r="R687" s="79">
        <f>IF(OR(E687="",F687=""),0,IF(COUNTIFS($E$7:E687,E687,$F$7:F687,F687)=1,1,0))</f>
        <v/>
      </c>
      <c r="S687" s="79">
        <f>IF(R687=1,E687&amp;"|"&amp;SUMIFS($R$7:R687,$E$7:E687,E687),"")</f>
        <v/>
      </c>
      <c r="T687" s="112">
        <f>IF(Q687="","",IF(Q687=3,L687,IF(OR(M687="Not started",M687=""),J687,"")))</f>
        <v/>
      </c>
      <c r="U687" s="79">
        <f>IF(T687="","",IF(Q687=3,1,IF(T687="","",IF(T687&lt;AsOf,1,IF(T687&lt;=AsOf+AlertDays,2,IF(T687&lt;=AsOf+2*AlertDays,3,""))))))</f>
        <v/>
      </c>
      <c r="V687" s="79">
        <f>IF(U687="","",IF(Q687=3,"Late task: "&amp;D687,IF(T687&lt;AsOf,"Should have started: ","Starts soon: ")&amp;D687)&amp;IF(F687="",""," — "&amp;F687))</f>
        <v/>
      </c>
    </row>
    <row r="688" ht="20" customHeight="1">
      <c r="B688" s="125" t="n">
        <v>682</v>
      </c>
      <c r="C688" s="72" t="n"/>
      <c r="D688" s="72" t="n"/>
      <c r="E688" s="72" t="n"/>
      <c r="F688" s="72" t="n"/>
      <c r="G688" s="89" t="n"/>
      <c r="H688" s="89" t="n"/>
      <c r="I688" s="109" t="n"/>
      <c r="J688" s="126">
        <f>IF(OR(D688="",ProjStart=""),"",MAX(ProjStart,IF(I688&lt;&gt;"",I688,0),IF(H688="",0,IFERROR(INDEX($L$6:L687,MATCH(H688,$B$6:B687,0))+1,0))))</f>
        <v/>
      </c>
      <c r="K688" s="89" t="n"/>
      <c r="L688" s="126">
        <f>IF(J688="","",J688+MAX(1,G688)+IF(K688="",0,K688)-1)</f>
        <v/>
      </c>
      <c r="M688" s="72" t="n"/>
      <c r="N688" s="109" t="n"/>
      <c r="O688" s="127">
        <f>IF(D688="","",COUNTIF($H$7:$H$1006,B688))</f>
        <v/>
      </c>
      <c r="P688" s="78">
        <f>IF(D688="","",IF(AND(H688&lt;&gt;"",H688&gt;=B688),"⚠️ Predecessor must be above",IF(M688="Done","✓ Done",IF(Q688=3,"🔴 Late",IF(M688="In progress","In progress","")))))</f>
        <v/>
      </c>
      <c r="Q688" s="79">
        <f>IF(OR(D688="",L688=""),"",IF(M688="Done",2,IF(AsOf&gt;L688,3,1)))</f>
        <v/>
      </c>
      <c r="R688" s="79">
        <f>IF(OR(E688="",F688=""),0,IF(COUNTIFS($E$7:E688,E688,$F$7:F688,F688)=1,1,0))</f>
        <v/>
      </c>
      <c r="S688" s="79">
        <f>IF(R688=1,E688&amp;"|"&amp;SUMIFS($R$7:R688,$E$7:E688,E688),"")</f>
        <v/>
      </c>
      <c r="T688" s="112">
        <f>IF(Q688="","",IF(Q688=3,L688,IF(OR(M688="Not started",M688=""),J688,"")))</f>
        <v/>
      </c>
      <c r="U688" s="79">
        <f>IF(T688="","",IF(Q688=3,1,IF(T688="","",IF(T688&lt;AsOf,1,IF(T688&lt;=AsOf+AlertDays,2,IF(T688&lt;=AsOf+2*AlertDays,3,""))))))</f>
        <v/>
      </c>
      <c r="V688" s="79">
        <f>IF(U688="","",IF(Q688=3,"Late task: "&amp;D688,IF(T688&lt;AsOf,"Should have started: ","Starts soon: ")&amp;D688)&amp;IF(F688="",""," — "&amp;F688))</f>
        <v/>
      </c>
    </row>
    <row r="689" ht="20" customHeight="1">
      <c r="B689" s="125" t="n">
        <v>683</v>
      </c>
      <c r="C689" s="72" t="n"/>
      <c r="D689" s="72" t="n"/>
      <c r="E689" s="72" t="n"/>
      <c r="F689" s="72" t="n"/>
      <c r="G689" s="89" t="n"/>
      <c r="H689" s="89" t="n"/>
      <c r="I689" s="109" t="n"/>
      <c r="J689" s="126">
        <f>IF(OR(D689="",ProjStart=""),"",MAX(ProjStart,IF(I689&lt;&gt;"",I689,0),IF(H689="",0,IFERROR(INDEX($L$6:L688,MATCH(H689,$B$6:B688,0))+1,0))))</f>
        <v/>
      </c>
      <c r="K689" s="89" t="n"/>
      <c r="L689" s="126">
        <f>IF(J689="","",J689+MAX(1,G689)+IF(K689="",0,K689)-1)</f>
        <v/>
      </c>
      <c r="M689" s="72" t="n"/>
      <c r="N689" s="109" t="n"/>
      <c r="O689" s="127">
        <f>IF(D689="","",COUNTIF($H$7:$H$1006,B689))</f>
        <v/>
      </c>
      <c r="P689" s="78">
        <f>IF(D689="","",IF(AND(H689&lt;&gt;"",H689&gt;=B689),"⚠️ Predecessor must be above",IF(M689="Done","✓ Done",IF(Q689=3,"🔴 Late",IF(M689="In progress","In progress","")))))</f>
        <v/>
      </c>
      <c r="Q689" s="79">
        <f>IF(OR(D689="",L689=""),"",IF(M689="Done",2,IF(AsOf&gt;L689,3,1)))</f>
        <v/>
      </c>
      <c r="R689" s="79">
        <f>IF(OR(E689="",F689=""),0,IF(COUNTIFS($E$7:E689,E689,$F$7:F689,F689)=1,1,0))</f>
        <v/>
      </c>
      <c r="S689" s="79">
        <f>IF(R689=1,E689&amp;"|"&amp;SUMIFS($R$7:R689,$E$7:E689,E689),"")</f>
        <v/>
      </c>
      <c r="T689" s="112">
        <f>IF(Q689="","",IF(Q689=3,L689,IF(OR(M689="Not started",M689=""),J689,"")))</f>
        <v/>
      </c>
      <c r="U689" s="79">
        <f>IF(T689="","",IF(Q689=3,1,IF(T689="","",IF(T689&lt;AsOf,1,IF(T689&lt;=AsOf+AlertDays,2,IF(T689&lt;=AsOf+2*AlertDays,3,""))))))</f>
        <v/>
      </c>
      <c r="V689" s="79">
        <f>IF(U689="","",IF(Q689=3,"Late task: "&amp;D689,IF(T689&lt;AsOf,"Should have started: ","Starts soon: ")&amp;D689)&amp;IF(F689="",""," — "&amp;F689))</f>
        <v/>
      </c>
    </row>
    <row r="690" ht="20" customHeight="1">
      <c r="B690" s="125" t="n">
        <v>684</v>
      </c>
      <c r="C690" s="72" t="n"/>
      <c r="D690" s="72" t="n"/>
      <c r="E690" s="72" t="n"/>
      <c r="F690" s="72" t="n"/>
      <c r="G690" s="89" t="n"/>
      <c r="H690" s="89" t="n"/>
      <c r="I690" s="109" t="n"/>
      <c r="J690" s="126">
        <f>IF(OR(D690="",ProjStart=""),"",MAX(ProjStart,IF(I690&lt;&gt;"",I690,0),IF(H690="",0,IFERROR(INDEX($L$6:L689,MATCH(H690,$B$6:B689,0))+1,0))))</f>
        <v/>
      </c>
      <c r="K690" s="89" t="n"/>
      <c r="L690" s="126">
        <f>IF(J690="","",J690+MAX(1,G690)+IF(K690="",0,K690)-1)</f>
        <v/>
      </c>
      <c r="M690" s="72" t="n"/>
      <c r="N690" s="109" t="n"/>
      <c r="O690" s="127">
        <f>IF(D690="","",COUNTIF($H$7:$H$1006,B690))</f>
        <v/>
      </c>
      <c r="P690" s="78">
        <f>IF(D690="","",IF(AND(H690&lt;&gt;"",H690&gt;=B690),"⚠️ Predecessor must be above",IF(M690="Done","✓ Done",IF(Q690=3,"🔴 Late",IF(M690="In progress","In progress","")))))</f>
        <v/>
      </c>
      <c r="Q690" s="79">
        <f>IF(OR(D690="",L690=""),"",IF(M690="Done",2,IF(AsOf&gt;L690,3,1)))</f>
        <v/>
      </c>
      <c r="R690" s="79">
        <f>IF(OR(E690="",F690=""),0,IF(COUNTIFS($E$7:E690,E690,$F$7:F690,F690)=1,1,0))</f>
        <v/>
      </c>
      <c r="S690" s="79">
        <f>IF(R690=1,E690&amp;"|"&amp;SUMIFS($R$7:R690,$E$7:E690,E690),"")</f>
        <v/>
      </c>
      <c r="T690" s="112">
        <f>IF(Q690="","",IF(Q690=3,L690,IF(OR(M690="Not started",M690=""),J690,"")))</f>
        <v/>
      </c>
      <c r="U690" s="79">
        <f>IF(T690="","",IF(Q690=3,1,IF(T690="","",IF(T690&lt;AsOf,1,IF(T690&lt;=AsOf+AlertDays,2,IF(T690&lt;=AsOf+2*AlertDays,3,""))))))</f>
        <v/>
      </c>
      <c r="V690" s="79">
        <f>IF(U690="","",IF(Q690=3,"Late task: "&amp;D690,IF(T690&lt;AsOf,"Should have started: ","Starts soon: ")&amp;D690)&amp;IF(F690="",""," — "&amp;F690))</f>
        <v/>
      </c>
    </row>
    <row r="691" ht="20" customHeight="1">
      <c r="B691" s="125" t="n">
        <v>685</v>
      </c>
      <c r="C691" s="72" t="n"/>
      <c r="D691" s="72" t="n"/>
      <c r="E691" s="72" t="n"/>
      <c r="F691" s="72" t="n"/>
      <c r="G691" s="89" t="n"/>
      <c r="H691" s="89" t="n"/>
      <c r="I691" s="109" t="n"/>
      <c r="J691" s="126">
        <f>IF(OR(D691="",ProjStart=""),"",MAX(ProjStart,IF(I691&lt;&gt;"",I691,0),IF(H691="",0,IFERROR(INDEX($L$6:L690,MATCH(H691,$B$6:B690,0))+1,0))))</f>
        <v/>
      </c>
      <c r="K691" s="89" t="n"/>
      <c r="L691" s="126">
        <f>IF(J691="","",J691+MAX(1,G691)+IF(K691="",0,K691)-1)</f>
        <v/>
      </c>
      <c r="M691" s="72" t="n"/>
      <c r="N691" s="109" t="n"/>
      <c r="O691" s="127">
        <f>IF(D691="","",COUNTIF($H$7:$H$1006,B691))</f>
        <v/>
      </c>
      <c r="P691" s="78">
        <f>IF(D691="","",IF(AND(H691&lt;&gt;"",H691&gt;=B691),"⚠️ Predecessor must be above",IF(M691="Done","✓ Done",IF(Q691=3,"🔴 Late",IF(M691="In progress","In progress","")))))</f>
        <v/>
      </c>
      <c r="Q691" s="79">
        <f>IF(OR(D691="",L691=""),"",IF(M691="Done",2,IF(AsOf&gt;L691,3,1)))</f>
        <v/>
      </c>
      <c r="R691" s="79">
        <f>IF(OR(E691="",F691=""),0,IF(COUNTIFS($E$7:E691,E691,$F$7:F691,F691)=1,1,0))</f>
        <v/>
      </c>
      <c r="S691" s="79">
        <f>IF(R691=1,E691&amp;"|"&amp;SUMIFS($R$7:R691,$E$7:E691,E691),"")</f>
        <v/>
      </c>
      <c r="T691" s="112">
        <f>IF(Q691="","",IF(Q691=3,L691,IF(OR(M691="Not started",M691=""),J691,"")))</f>
        <v/>
      </c>
      <c r="U691" s="79">
        <f>IF(T691="","",IF(Q691=3,1,IF(T691="","",IF(T691&lt;AsOf,1,IF(T691&lt;=AsOf+AlertDays,2,IF(T691&lt;=AsOf+2*AlertDays,3,""))))))</f>
        <v/>
      </c>
      <c r="V691" s="79">
        <f>IF(U691="","",IF(Q691=3,"Late task: "&amp;D691,IF(T691&lt;AsOf,"Should have started: ","Starts soon: ")&amp;D691)&amp;IF(F691="",""," — "&amp;F691))</f>
        <v/>
      </c>
    </row>
    <row r="692" ht="20" customHeight="1">
      <c r="B692" s="125" t="n">
        <v>686</v>
      </c>
      <c r="C692" s="72" t="n"/>
      <c r="D692" s="72" t="n"/>
      <c r="E692" s="72" t="n"/>
      <c r="F692" s="72" t="n"/>
      <c r="G692" s="89" t="n"/>
      <c r="H692" s="89" t="n"/>
      <c r="I692" s="109" t="n"/>
      <c r="J692" s="126">
        <f>IF(OR(D692="",ProjStart=""),"",MAX(ProjStart,IF(I692&lt;&gt;"",I692,0),IF(H692="",0,IFERROR(INDEX($L$6:L691,MATCH(H692,$B$6:B691,0))+1,0))))</f>
        <v/>
      </c>
      <c r="K692" s="89" t="n"/>
      <c r="L692" s="126">
        <f>IF(J692="","",J692+MAX(1,G692)+IF(K692="",0,K692)-1)</f>
        <v/>
      </c>
      <c r="M692" s="72" t="n"/>
      <c r="N692" s="109" t="n"/>
      <c r="O692" s="127">
        <f>IF(D692="","",COUNTIF($H$7:$H$1006,B692))</f>
        <v/>
      </c>
      <c r="P692" s="78">
        <f>IF(D692="","",IF(AND(H692&lt;&gt;"",H692&gt;=B692),"⚠️ Predecessor must be above",IF(M692="Done","✓ Done",IF(Q692=3,"🔴 Late",IF(M692="In progress","In progress","")))))</f>
        <v/>
      </c>
      <c r="Q692" s="79">
        <f>IF(OR(D692="",L692=""),"",IF(M692="Done",2,IF(AsOf&gt;L692,3,1)))</f>
        <v/>
      </c>
      <c r="R692" s="79">
        <f>IF(OR(E692="",F692=""),0,IF(COUNTIFS($E$7:E692,E692,$F$7:F692,F692)=1,1,0))</f>
        <v/>
      </c>
      <c r="S692" s="79">
        <f>IF(R692=1,E692&amp;"|"&amp;SUMIFS($R$7:R692,$E$7:E692,E692),"")</f>
        <v/>
      </c>
      <c r="T692" s="112">
        <f>IF(Q692="","",IF(Q692=3,L692,IF(OR(M692="Not started",M692=""),J692,"")))</f>
        <v/>
      </c>
      <c r="U692" s="79">
        <f>IF(T692="","",IF(Q692=3,1,IF(T692="","",IF(T692&lt;AsOf,1,IF(T692&lt;=AsOf+AlertDays,2,IF(T692&lt;=AsOf+2*AlertDays,3,""))))))</f>
        <v/>
      </c>
      <c r="V692" s="79">
        <f>IF(U692="","",IF(Q692=3,"Late task: "&amp;D692,IF(T692&lt;AsOf,"Should have started: ","Starts soon: ")&amp;D692)&amp;IF(F692="",""," — "&amp;F692))</f>
        <v/>
      </c>
    </row>
    <row r="693" ht="20" customHeight="1">
      <c r="B693" s="125" t="n">
        <v>687</v>
      </c>
      <c r="C693" s="72" t="n"/>
      <c r="D693" s="72" t="n"/>
      <c r="E693" s="72" t="n"/>
      <c r="F693" s="72" t="n"/>
      <c r="G693" s="89" t="n"/>
      <c r="H693" s="89" t="n"/>
      <c r="I693" s="109" t="n"/>
      <c r="J693" s="126">
        <f>IF(OR(D693="",ProjStart=""),"",MAX(ProjStart,IF(I693&lt;&gt;"",I693,0),IF(H693="",0,IFERROR(INDEX($L$6:L692,MATCH(H693,$B$6:B692,0))+1,0))))</f>
        <v/>
      </c>
      <c r="K693" s="89" t="n"/>
      <c r="L693" s="126">
        <f>IF(J693="","",J693+MAX(1,G693)+IF(K693="",0,K693)-1)</f>
        <v/>
      </c>
      <c r="M693" s="72" t="n"/>
      <c r="N693" s="109" t="n"/>
      <c r="O693" s="127">
        <f>IF(D693="","",COUNTIF($H$7:$H$1006,B693))</f>
        <v/>
      </c>
      <c r="P693" s="78">
        <f>IF(D693="","",IF(AND(H693&lt;&gt;"",H693&gt;=B693),"⚠️ Predecessor must be above",IF(M693="Done","✓ Done",IF(Q693=3,"🔴 Late",IF(M693="In progress","In progress","")))))</f>
        <v/>
      </c>
      <c r="Q693" s="79">
        <f>IF(OR(D693="",L693=""),"",IF(M693="Done",2,IF(AsOf&gt;L693,3,1)))</f>
        <v/>
      </c>
      <c r="R693" s="79">
        <f>IF(OR(E693="",F693=""),0,IF(COUNTIFS($E$7:E693,E693,$F$7:F693,F693)=1,1,0))</f>
        <v/>
      </c>
      <c r="S693" s="79">
        <f>IF(R693=1,E693&amp;"|"&amp;SUMIFS($R$7:R693,$E$7:E693,E693),"")</f>
        <v/>
      </c>
      <c r="T693" s="112">
        <f>IF(Q693="","",IF(Q693=3,L693,IF(OR(M693="Not started",M693=""),J693,"")))</f>
        <v/>
      </c>
      <c r="U693" s="79">
        <f>IF(T693="","",IF(Q693=3,1,IF(T693="","",IF(T693&lt;AsOf,1,IF(T693&lt;=AsOf+AlertDays,2,IF(T693&lt;=AsOf+2*AlertDays,3,""))))))</f>
        <v/>
      </c>
      <c r="V693" s="79">
        <f>IF(U693="","",IF(Q693=3,"Late task: "&amp;D693,IF(T693&lt;AsOf,"Should have started: ","Starts soon: ")&amp;D693)&amp;IF(F693="",""," — "&amp;F693))</f>
        <v/>
      </c>
    </row>
    <row r="694" ht="20" customHeight="1">
      <c r="B694" s="125" t="n">
        <v>688</v>
      </c>
      <c r="C694" s="72" t="n"/>
      <c r="D694" s="72" t="n"/>
      <c r="E694" s="72" t="n"/>
      <c r="F694" s="72" t="n"/>
      <c r="G694" s="89" t="n"/>
      <c r="H694" s="89" t="n"/>
      <c r="I694" s="109" t="n"/>
      <c r="J694" s="126">
        <f>IF(OR(D694="",ProjStart=""),"",MAX(ProjStart,IF(I694&lt;&gt;"",I694,0),IF(H694="",0,IFERROR(INDEX($L$6:L693,MATCH(H694,$B$6:B693,0))+1,0))))</f>
        <v/>
      </c>
      <c r="K694" s="89" t="n"/>
      <c r="L694" s="126">
        <f>IF(J694="","",J694+MAX(1,G694)+IF(K694="",0,K694)-1)</f>
        <v/>
      </c>
      <c r="M694" s="72" t="n"/>
      <c r="N694" s="109" t="n"/>
      <c r="O694" s="127">
        <f>IF(D694="","",COUNTIF($H$7:$H$1006,B694))</f>
        <v/>
      </c>
      <c r="P694" s="78">
        <f>IF(D694="","",IF(AND(H694&lt;&gt;"",H694&gt;=B694),"⚠️ Predecessor must be above",IF(M694="Done","✓ Done",IF(Q694=3,"🔴 Late",IF(M694="In progress","In progress","")))))</f>
        <v/>
      </c>
      <c r="Q694" s="79">
        <f>IF(OR(D694="",L694=""),"",IF(M694="Done",2,IF(AsOf&gt;L694,3,1)))</f>
        <v/>
      </c>
      <c r="R694" s="79">
        <f>IF(OR(E694="",F694=""),0,IF(COUNTIFS($E$7:E694,E694,$F$7:F694,F694)=1,1,0))</f>
        <v/>
      </c>
      <c r="S694" s="79">
        <f>IF(R694=1,E694&amp;"|"&amp;SUMIFS($R$7:R694,$E$7:E694,E694),"")</f>
        <v/>
      </c>
      <c r="T694" s="112">
        <f>IF(Q694="","",IF(Q694=3,L694,IF(OR(M694="Not started",M694=""),J694,"")))</f>
        <v/>
      </c>
      <c r="U694" s="79">
        <f>IF(T694="","",IF(Q694=3,1,IF(T694="","",IF(T694&lt;AsOf,1,IF(T694&lt;=AsOf+AlertDays,2,IF(T694&lt;=AsOf+2*AlertDays,3,""))))))</f>
        <v/>
      </c>
      <c r="V694" s="79">
        <f>IF(U694="","",IF(Q694=3,"Late task: "&amp;D694,IF(T694&lt;AsOf,"Should have started: ","Starts soon: ")&amp;D694)&amp;IF(F694="",""," — "&amp;F694))</f>
        <v/>
      </c>
    </row>
    <row r="695" ht="20" customHeight="1">
      <c r="B695" s="125" t="n">
        <v>689</v>
      </c>
      <c r="C695" s="72" t="n"/>
      <c r="D695" s="72" t="n"/>
      <c r="E695" s="72" t="n"/>
      <c r="F695" s="72" t="n"/>
      <c r="G695" s="89" t="n"/>
      <c r="H695" s="89" t="n"/>
      <c r="I695" s="109" t="n"/>
      <c r="J695" s="126">
        <f>IF(OR(D695="",ProjStart=""),"",MAX(ProjStart,IF(I695&lt;&gt;"",I695,0),IF(H695="",0,IFERROR(INDEX($L$6:L694,MATCH(H695,$B$6:B694,0))+1,0))))</f>
        <v/>
      </c>
      <c r="K695" s="89" t="n"/>
      <c r="L695" s="126">
        <f>IF(J695="","",J695+MAX(1,G695)+IF(K695="",0,K695)-1)</f>
        <v/>
      </c>
      <c r="M695" s="72" t="n"/>
      <c r="N695" s="109" t="n"/>
      <c r="O695" s="127">
        <f>IF(D695="","",COUNTIF($H$7:$H$1006,B695))</f>
        <v/>
      </c>
      <c r="P695" s="78">
        <f>IF(D695="","",IF(AND(H695&lt;&gt;"",H695&gt;=B695),"⚠️ Predecessor must be above",IF(M695="Done","✓ Done",IF(Q695=3,"🔴 Late",IF(M695="In progress","In progress","")))))</f>
        <v/>
      </c>
      <c r="Q695" s="79">
        <f>IF(OR(D695="",L695=""),"",IF(M695="Done",2,IF(AsOf&gt;L695,3,1)))</f>
        <v/>
      </c>
      <c r="R695" s="79">
        <f>IF(OR(E695="",F695=""),0,IF(COUNTIFS($E$7:E695,E695,$F$7:F695,F695)=1,1,0))</f>
        <v/>
      </c>
      <c r="S695" s="79">
        <f>IF(R695=1,E695&amp;"|"&amp;SUMIFS($R$7:R695,$E$7:E695,E695),"")</f>
        <v/>
      </c>
      <c r="T695" s="112">
        <f>IF(Q695="","",IF(Q695=3,L695,IF(OR(M695="Not started",M695=""),J695,"")))</f>
        <v/>
      </c>
      <c r="U695" s="79">
        <f>IF(T695="","",IF(Q695=3,1,IF(T695="","",IF(T695&lt;AsOf,1,IF(T695&lt;=AsOf+AlertDays,2,IF(T695&lt;=AsOf+2*AlertDays,3,""))))))</f>
        <v/>
      </c>
      <c r="V695" s="79">
        <f>IF(U695="","",IF(Q695=3,"Late task: "&amp;D695,IF(T695&lt;AsOf,"Should have started: ","Starts soon: ")&amp;D695)&amp;IF(F695="",""," — "&amp;F695))</f>
        <v/>
      </c>
    </row>
    <row r="696" ht="20" customHeight="1">
      <c r="B696" s="125" t="n">
        <v>690</v>
      </c>
      <c r="C696" s="72" t="n"/>
      <c r="D696" s="72" t="n"/>
      <c r="E696" s="72" t="n"/>
      <c r="F696" s="72" t="n"/>
      <c r="G696" s="89" t="n"/>
      <c r="H696" s="89" t="n"/>
      <c r="I696" s="109" t="n"/>
      <c r="J696" s="126">
        <f>IF(OR(D696="",ProjStart=""),"",MAX(ProjStart,IF(I696&lt;&gt;"",I696,0),IF(H696="",0,IFERROR(INDEX($L$6:L695,MATCH(H696,$B$6:B695,0))+1,0))))</f>
        <v/>
      </c>
      <c r="K696" s="89" t="n"/>
      <c r="L696" s="126">
        <f>IF(J696="","",J696+MAX(1,G696)+IF(K696="",0,K696)-1)</f>
        <v/>
      </c>
      <c r="M696" s="72" t="n"/>
      <c r="N696" s="109" t="n"/>
      <c r="O696" s="127">
        <f>IF(D696="","",COUNTIF($H$7:$H$1006,B696))</f>
        <v/>
      </c>
      <c r="P696" s="78">
        <f>IF(D696="","",IF(AND(H696&lt;&gt;"",H696&gt;=B696),"⚠️ Predecessor must be above",IF(M696="Done","✓ Done",IF(Q696=3,"🔴 Late",IF(M696="In progress","In progress","")))))</f>
        <v/>
      </c>
      <c r="Q696" s="79">
        <f>IF(OR(D696="",L696=""),"",IF(M696="Done",2,IF(AsOf&gt;L696,3,1)))</f>
        <v/>
      </c>
      <c r="R696" s="79">
        <f>IF(OR(E696="",F696=""),0,IF(COUNTIFS($E$7:E696,E696,$F$7:F696,F696)=1,1,0))</f>
        <v/>
      </c>
      <c r="S696" s="79">
        <f>IF(R696=1,E696&amp;"|"&amp;SUMIFS($R$7:R696,$E$7:E696,E696),"")</f>
        <v/>
      </c>
      <c r="T696" s="112">
        <f>IF(Q696="","",IF(Q696=3,L696,IF(OR(M696="Not started",M696=""),J696,"")))</f>
        <v/>
      </c>
      <c r="U696" s="79">
        <f>IF(T696="","",IF(Q696=3,1,IF(T696="","",IF(T696&lt;AsOf,1,IF(T696&lt;=AsOf+AlertDays,2,IF(T696&lt;=AsOf+2*AlertDays,3,""))))))</f>
        <v/>
      </c>
      <c r="V696" s="79">
        <f>IF(U696="","",IF(Q696=3,"Late task: "&amp;D696,IF(T696&lt;AsOf,"Should have started: ","Starts soon: ")&amp;D696)&amp;IF(F696="",""," — "&amp;F696))</f>
        <v/>
      </c>
    </row>
    <row r="697" ht="20" customHeight="1">
      <c r="B697" s="125" t="n">
        <v>691</v>
      </c>
      <c r="C697" s="72" t="n"/>
      <c r="D697" s="72" t="n"/>
      <c r="E697" s="72" t="n"/>
      <c r="F697" s="72" t="n"/>
      <c r="G697" s="89" t="n"/>
      <c r="H697" s="89" t="n"/>
      <c r="I697" s="109" t="n"/>
      <c r="J697" s="126">
        <f>IF(OR(D697="",ProjStart=""),"",MAX(ProjStart,IF(I697&lt;&gt;"",I697,0),IF(H697="",0,IFERROR(INDEX($L$6:L696,MATCH(H697,$B$6:B696,0))+1,0))))</f>
        <v/>
      </c>
      <c r="K697" s="89" t="n"/>
      <c r="L697" s="126">
        <f>IF(J697="","",J697+MAX(1,G697)+IF(K697="",0,K697)-1)</f>
        <v/>
      </c>
      <c r="M697" s="72" t="n"/>
      <c r="N697" s="109" t="n"/>
      <c r="O697" s="127">
        <f>IF(D697="","",COUNTIF($H$7:$H$1006,B697))</f>
        <v/>
      </c>
      <c r="P697" s="78">
        <f>IF(D697="","",IF(AND(H697&lt;&gt;"",H697&gt;=B697),"⚠️ Predecessor must be above",IF(M697="Done","✓ Done",IF(Q697=3,"🔴 Late",IF(M697="In progress","In progress","")))))</f>
        <v/>
      </c>
      <c r="Q697" s="79">
        <f>IF(OR(D697="",L697=""),"",IF(M697="Done",2,IF(AsOf&gt;L697,3,1)))</f>
        <v/>
      </c>
      <c r="R697" s="79">
        <f>IF(OR(E697="",F697=""),0,IF(COUNTIFS($E$7:E697,E697,$F$7:F697,F697)=1,1,0))</f>
        <v/>
      </c>
      <c r="S697" s="79">
        <f>IF(R697=1,E697&amp;"|"&amp;SUMIFS($R$7:R697,$E$7:E697,E697),"")</f>
        <v/>
      </c>
      <c r="T697" s="112">
        <f>IF(Q697="","",IF(Q697=3,L697,IF(OR(M697="Not started",M697=""),J697,"")))</f>
        <v/>
      </c>
      <c r="U697" s="79">
        <f>IF(T697="","",IF(Q697=3,1,IF(T697="","",IF(T697&lt;AsOf,1,IF(T697&lt;=AsOf+AlertDays,2,IF(T697&lt;=AsOf+2*AlertDays,3,""))))))</f>
        <v/>
      </c>
      <c r="V697" s="79">
        <f>IF(U697="","",IF(Q697=3,"Late task: "&amp;D697,IF(T697&lt;AsOf,"Should have started: ","Starts soon: ")&amp;D697)&amp;IF(F697="",""," — "&amp;F697))</f>
        <v/>
      </c>
    </row>
    <row r="698" ht="20" customHeight="1">
      <c r="B698" s="125" t="n">
        <v>692</v>
      </c>
      <c r="C698" s="72" t="n"/>
      <c r="D698" s="72" t="n"/>
      <c r="E698" s="72" t="n"/>
      <c r="F698" s="72" t="n"/>
      <c r="G698" s="89" t="n"/>
      <c r="H698" s="89" t="n"/>
      <c r="I698" s="109" t="n"/>
      <c r="J698" s="126">
        <f>IF(OR(D698="",ProjStart=""),"",MAX(ProjStart,IF(I698&lt;&gt;"",I698,0),IF(H698="",0,IFERROR(INDEX($L$6:L697,MATCH(H698,$B$6:B697,0))+1,0))))</f>
        <v/>
      </c>
      <c r="K698" s="89" t="n"/>
      <c r="L698" s="126">
        <f>IF(J698="","",J698+MAX(1,G698)+IF(K698="",0,K698)-1)</f>
        <v/>
      </c>
      <c r="M698" s="72" t="n"/>
      <c r="N698" s="109" t="n"/>
      <c r="O698" s="127">
        <f>IF(D698="","",COUNTIF($H$7:$H$1006,B698))</f>
        <v/>
      </c>
      <c r="P698" s="78">
        <f>IF(D698="","",IF(AND(H698&lt;&gt;"",H698&gt;=B698),"⚠️ Predecessor must be above",IF(M698="Done","✓ Done",IF(Q698=3,"🔴 Late",IF(M698="In progress","In progress","")))))</f>
        <v/>
      </c>
      <c r="Q698" s="79">
        <f>IF(OR(D698="",L698=""),"",IF(M698="Done",2,IF(AsOf&gt;L698,3,1)))</f>
        <v/>
      </c>
      <c r="R698" s="79">
        <f>IF(OR(E698="",F698=""),0,IF(COUNTIFS($E$7:E698,E698,$F$7:F698,F698)=1,1,0))</f>
        <v/>
      </c>
      <c r="S698" s="79">
        <f>IF(R698=1,E698&amp;"|"&amp;SUMIFS($R$7:R698,$E$7:E698,E698),"")</f>
        <v/>
      </c>
      <c r="T698" s="112">
        <f>IF(Q698="","",IF(Q698=3,L698,IF(OR(M698="Not started",M698=""),J698,"")))</f>
        <v/>
      </c>
      <c r="U698" s="79">
        <f>IF(T698="","",IF(Q698=3,1,IF(T698="","",IF(T698&lt;AsOf,1,IF(T698&lt;=AsOf+AlertDays,2,IF(T698&lt;=AsOf+2*AlertDays,3,""))))))</f>
        <v/>
      </c>
      <c r="V698" s="79">
        <f>IF(U698="","",IF(Q698=3,"Late task: "&amp;D698,IF(T698&lt;AsOf,"Should have started: ","Starts soon: ")&amp;D698)&amp;IF(F698="",""," — "&amp;F698))</f>
        <v/>
      </c>
    </row>
    <row r="699" ht="20" customHeight="1">
      <c r="B699" s="125" t="n">
        <v>693</v>
      </c>
      <c r="C699" s="72" t="n"/>
      <c r="D699" s="72" t="n"/>
      <c r="E699" s="72" t="n"/>
      <c r="F699" s="72" t="n"/>
      <c r="G699" s="89" t="n"/>
      <c r="H699" s="89" t="n"/>
      <c r="I699" s="109" t="n"/>
      <c r="J699" s="126">
        <f>IF(OR(D699="",ProjStart=""),"",MAX(ProjStart,IF(I699&lt;&gt;"",I699,0),IF(H699="",0,IFERROR(INDEX($L$6:L698,MATCH(H699,$B$6:B698,0))+1,0))))</f>
        <v/>
      </c>
      <c r="K699" s="89" t="n"/>
      <c r="L699" s="126">
        <f>IF(J699="","",J699+MAX(1,G699)+IF(K699="",0,K699)-1)</f>
        <v/>
      </c>
      <c r="M699" s="72" t="n"/>
      <c r="N699" s="109" t="n"/>
      <c r="O699" s="127">
        <f>IF(D699="","",COUNTIF($H$7:$H$1006,B699))</f>
        <v/>
      </c>
      <c r="P699" s="78">
        <f>IF(D699="","",IF(AND(H699&lt;&gt;"",H699&gt;=B699),"⚠️ Predecessor must be above",IF(M699="Done","✓ Done",IF(Q699=3,"🔴 Late",IF(M699="In progress","In progress","")))))</f>
        <v/>
      </c>
      <c r="Q699" s="79">
        <f>IF(OR(D699="",L699=""),"",IF(M699="Done",2,IF(AsOf&gt;L699,3,1)))</f>
        <v/>
      </c>
      <c r="R699" s="79">
        <f>IF(OR(E699="",F699=""),0,IF(COUNTIFS($E$7:E699,E699,$F$7:F699,F699)=1,1,0))</f>
        <v/>
      </c>
      <c r="S699" s="79">
        <f>IF(R699=1,E699&amp;"|"&amp;SUMIFS($R$7:R699,$E$7:E699,E699),"")</f>
        <v/>
      </c>
      <c r="T699" s="112">
        <f>IF(Q699="","",IF(Q699=3,L699,IF(OR(M699="Not started",M699=""),J699,"")))</f>
        <v/>
      </c>
      <c r="U699" s="79">
        <f>IF(T699="","",IF(Q699=3,1,IF(T699="","",IF(T699&lt;AsOf,1,IF(T699&lt;=AsOf+AlertDays,2,IF(T699&lt;=AsOf+2*AlertDays,3,""))))))</f>
        <v/>
      </c>
      <c r="V699" s="79">
        <f>IF(U699="","",IF(Q699=3,"Late task: "&amp;D699,IF(T699&lt;AsOf,"Should have started: ","Starts soon: ")&amp;D699)&amp;IF(F699="",""," — "&amp;F699))</f>
        <v/>
      </c>
    </row>
    <row r="700" ht="20" customHeight="1">
      <c r="B700" s="125" t="n">
        <v>694</v>
      </c>
      <c r="C700" s="72" t="n"/>
      <c r="D700" s="72" t="n"/>
      <c r="E700" s="72" t="n"/>
      <c r="F700" s="72" t="n"/>
      <c r="G700" s="89" t="n"/>
      <c r="H700" s="89" t="n"/>
      <c r="I700" s="109" t="n"/>
      <c r="J700" s="126">
        <f>IF(OR(D700="",ProjStart=""),"",MAX(ProjStart,IF(I700&lt;&gt;"",I700,0),IF(H700="",0,IFERROR(INDEX($L$6:L699,MATCH(H700,$B$6:B699,0))+1,0))))</f>
        <v/>
      </c>
      <c r="K700" s="89" t="n"/>
      <c r="L700" s="126">
        <f>IF(J700="","",J700+MAX(1,G700)+IF(K700="",0,K700)-1)</f>
        <v/>
      </c>
      <c r="M700" s="72" t="n"/>
      <c r="N700" s="109" t="n"/>
      <c r="O700" s="127">
        <f>IF(D700="","",COUNTIF($H$7:$H$1006,B700))</f>
        <v/>
      </c>
      <c r="P700" s="78">
        <f>IF(D700="","",IF(AND(H700&lt;&gt;"",H700&gt;=B700),"⚠️ Predecessor must be above",IF(M700="Done","✓ Done",IF(Q700=3,"🔴 Late",IF(M700="In progress","In progress","")))))</f>
        <v/>
      </c>
      <c r="Q700" s="79">
        <f>IF(OR(D700="",L700=""),"",IF(M700="Done",2,IF(AsOf&gt;L700,3,1)))</f>
        <v/>
      </c>
      <c r="R700" s="79">
        <f>IF(OR(E700="",F700=""),0,IF(COUNTIFS($E$7:E700,E700,$F$7:F700,F700)=1,1,0))</f>
        <v/>
      </c>
      <c r="S700" s="79">
        <f>IF(R700=1,E700&amp;"|"&amp;SUMIFS($R$7:R700,$E$7:E700,E700),"")</f>
        <v/>
      </c>
      <c r="T700" s="112">
        <f>IF(Q700="","",IF(Q700=3,L700,IF(OR(M700="Not started",M700=""),J700,"")))</f>
        <v/>
      </c>
      <c r="U700" s="79">
        <f>IF(T700="","",IF(Q700=3,1,IF(T700="","",IF(T700&lt;AsOf,1,IF(T700&lt;=AsOf+AlertDays,2,IF(T700&lt;=AsOf+2*AlertDays,3,""))))))</f>
        <v/>
      </c>
      <c r="V700" s="79">
        <f>IF(U700="","",IF(Q700=3,"Late task: "&amp;D700,IF(T700&lt;AsOf,"Should have started: ","Starts soon: ")&amp;D700)&amp;IF(F700="",""," — "&amp;F700))</f>
        <v/>
      </c>
    </row>
    <row r="701" ht="20" customHeight="1">
      <c r="B701" s="125" t="n">
        <v>695</v>
      </c>
      <c r="C701" s="72" t="n"/>
      <c r="D701" s="72" t="n"/>
      <c r="E701" s="72" t="n"/>
      <c r="F701" s="72" t="n"/>
      <c r="G701" s="89" t="n"/>
      <c r="H701" s="89" t="n"/>
      <c r="I701" s="109" t="n"/>
      <c r="J701" s="126">
        <f>IF(OR(D701="",ProjStart=""),"",MAX(ProjStart,IF(I701&lt;&gt;"",I701,0),IF(H701="",0,IFERROR(INDEX($L$6:L700,MATCH(H701,$B$6:B700,0))+1,0))))</f>
        <v/>
      </c>
      <c r="K701" s="89" t="n"/>
      <c r="L701" s="126">
        <f>IF(J701="","",J701+MAX(1,G701)+IF(K701="",0,K701)-1)</f>
        <v/>
      </c>
      <c r="M701" s="72" t="n"/>
      <c r="N701" s="109" t="n"/>
      <c r="O701" s="127">
        <f>IF(D701="","",COUNTIF($H$7:$H$1006,B701))</f>
        <v/>
      </c>
      <c r="P701" s="78">
        <f>IF(D701="","",IF(AND(H701&lt;&gt;"",H701&gt;=B701),"⚠️ Predecessor must be above",IF(M701="Done","✓ Done",IF(Q701=3,"🔴 Late",IF(M701="In progress","In progress","")))))</f>
        <v/>
      </c>
      <c r="Q701" s="79">
        <f>IF(OR(D701="",L701=""),"",IF(M701="Done",2,IF(AsOf&gt;L701,3,1)))</f>
        <v/>
      </c>
      <c r="R701" s="79">
        <f>IF(OR(E701="",F701=""),0,IF(COUNTIFS($E$7:E701,E701,$F$7:F701,F701)=1,1,0))</f>
        <v/>
      </c>
      <c r="S701" s="79">
        <f>IF(R701=1,E701&amp;"|"&amp;SUMIFS($R$7:R701,$E$7:E701,E701),"")</f>
        <v/>
      </c>
      <c r="T701" s="112">
        <f>IF(Q701="","",IF(Q701=3,L701,IF(OR(M701="Not started",M701=""),J701,"")))</f>
        <v/>
      </c>
      <c r="U701" s="79">
        <f>IF(T701="","",IF(Q701=3,1,IF(T701="","",IF(T701&lt;AsOf,1,IF(T701&lt;=AsOf+AlertDays,2,IF(T701&lt;=AsOf+2*AlertDays,3,""))))))</f>
        <v/>
      </c>
      <c r="V701" s="79">
        <f>IF(U701="","",IF(Q701=3,"Late task: "&amp;D701,IF(T701&lt;AsOf,"Should have started: ","Starts soon: ")&amp;D701)&amp;IF(F701="",""," — "&amp;F701))</f>
        <v/>
      </c>
    </row>
    <row r="702" ht="20" customHeight="1">
      <c r="B702" s="125" t="n">
        <v>696</v>
      </c>
      <c r="C702" s="72" t="n"/>
      <c r="D702" s="72" t="n"/>
      <c r="E702" s="72" t="n"/>
      <c r="F702" s="72" t="n"/>
      <c r="G702" s="89" t="n"/>
      <c r="H702" s="89" t="n"/>
      <c r="I702" s="109" t="n"/>
      <c r="J702" s="126">
        <f>IF(OR(D702="",ProjStart=""),"",MAX(ProjStart,IF(I702&lt;&gt;"",I702,0),IF(H702="",0,IFERROR(INDEX($L$6:L701,MATCH(H702,$B$6:B701,0))+1,0))))</f>
        <v/>
      </c>
      <c r="K702" s="89" t="n"/>
      <c r="L702" s="126">
        <f>IF(J702="","",J702+MAX(1,G702)+IF(K702="",0,K702)-1)</f>
        <v/>
      </c>
      <c r="M702" s="72" t="n"/>
      <c r="N702" s="109" t="n"/>
      <c r="O702" s="127">
        <f>IF(D702="","",COUNTIF($H$7:$H$1006,B702))</f>
        <v/>
      </c>
      <c r="P702" s="78">
        <f>IF(D702="","",IF(AND(H702&lt;&gt;"",H702&gt;=B702),"⚠️ Predecessor must be above",IF(M702="Done","✓ Done",IF(Q702=3,"🔴 Late",IF(M702="In progress","In progress","")))))</f>
        <v/>
      </c>
      <c r="Q702" s="79">
        <f>IF(OR(D702="",L702=""),"",IF(M702="Done",2,IF(AsOf&gt;L702,3,1)))</f>
        <v/>
      </c>
      <c r="R702" s="79">
        <f>IF(OR(E702="",F702=""),0,IF(COUNTIFS($E$7:E702,E702,$F$7:F702,F702)=1,1,0))</f>
        <v/>
      </c>
      <c r="S702" s="79">
        <f>IF(R702=1,E702&amp;"|"&amp;SUMIFS($R$7:R702,$E$7:E702,E702),"")</f>
        <v/>
      </c>
      <c r="T702" s="112">
        <f>IF(Q702="","",IF(Q702=3,L702,IF(OR(M702="Not started",M702=""),J702,"")))</f>
        <v/>
      </c>
      <c r="U702" s="79">
        <f>IF(T702="","",IF(Q702=3,1,IF(T702="","",IF(T702&lt;AsOf,1,IF(T702&lt;=AsOf+AlertDays,2,IF(T702&lt;=AsOf+2*AlertDays,3,""))))))</f>
        <v/>
      </c>
      <c r="V702" s="79">
        <f>IF(U702="","",IF(Q702=3,"Late task: "&amp;D702,IF(T702&lt;AsOf,"Should have started: ","Starts soon: ")&amp;D702)&amp;IF(F702="",""," — "&amp;F702))</f>
        <v/>
      </c>
    </row>
    <row r="703" ht="20" customHeight="1">
      <c r="B703" s="125" t="n">
        <v>697</v>
      </c>
      <c r="C703" s="72" t="n"/>
      <c r="D703" s="72" t="n"/>
      <c r="E703" s="72" t="n"/>
      <c r="F703" s="72" t="n"/>
      <c r="G703" s="89" t="n"/>
      <c r="H703" s="89" t="n"/>
      <c r="I703" s="109" t="n"/>
      <c r="J703" s="126">
        <f>IF(OR(D703="",ProjStart=""),"",MAX(ProjStart,IF(I703&lt;&gt;"",I703,0),IF(H703="",0,IFERROR(INDEX($L$6:L702,MATCH(H703,$B$6:B702,0))+1,0))))</f>
        <v/>
      </c>
      <c r="K703" s="89" t="n"/>
      <c r="L703" s="126">
        <f>IF(J703="","",J703+MAX(1,G703)+IF(K703="",0,K703)-1)</f>
        <v/>
      </c>
      <c r="M703" s="72" t="n"/>
      <c r="N703" s="109" t="n"/>
      <c r="O703" s="127">
        <f>IF(D703="","",COUNTIF($H$7:$H$1006,B703))</f>
        <v/>
      </c>
      <c r="P703" s="78">
        <f>IF(D703="","",IF(AND(H703&lt;&gt;"",H703&gt;=B703),"⚠️ Predecessor must be above",IF(M703="Done","✓ Done",IF(Q703=3,"🔴 Late",IF(M703="In progress","In progress","")))))</f>
        <v/>
      </c>
      <c r="Q703" s="79">
        <f>IF(OR(D703="",L703=""),"",IF(M703="Done",2,IF(AsOf&gt;L703,3,1)))</f>
        <v/>
      </c>
      <c r="R703" s="79">
        <f>IF(OR(E703="",F703=""),0,IF(COUNTIFS($E$7:E703,E703,$F$7:F703,F703)=1,1,0))</f>
        <v/>
      </c>
      <c r="S703" s="79">
        <f>IF(R703=1,E703&amp;"|"&amp;SUMIFS($R$7:R703,$E$7:E703,E703),"")</f>
        <v/>
      </c>
      <c r="T703" s="112">
        <f>IF(Q703="","",IF(Q703=3,L703,IF(OR(M703="Not started",M703=""),J703,"")))</f>
        <v/>
      </c>
      <c r="U703" s="79">
        <f>IF(T703="","",IF(Q703=3,1,IF(T703="","",IF(T703&lt;AsOf,1,IF(T703&lt;=AsOf+AlertDays,2,IF(T703&lt;=AsOf+2*AlertDays,3,""))))))</f>
        <v/>
      </c>
      <c r="V703" s="79">
        <f>IF(U703="","",IF(Q703=3,"Late task: "&amp;D703,IF(T703&lt;AsOf,"Should have started: ","Starts soon: ")&amp;D703)&amp;IF(F703="",""," — "&amp;F703))</f>
        <v/>
      </c>
    </row>
    <row r="704" ht="20" customHeight="1">
      <c r="B704" s="125" t="n">
        <v>698</v>
      </c>
      <c r="C704" s="72" t="n"/>
      <c r="D704" s="72" t="n"/>
      <c r="E704" s="72" t="n"/>
      <c r="F704" s="72" t="n"/>
      <c r="G704" s="89" t="n"/>
      <c r="H704" s="89" t="n"/>
      <c r="I704" s="109" t="n"/>
      <c r="J704" s="126">
        <f>IF(OR(D704="",ProjStart=""),"",MAX(ProjStart,IF(I704&lt;&gt;"",I704,0),IF(H704="",0,IFERROR(INDEX($L$6:L703,MATCH(H704,$B$6:B703,0))+1,0))))</f>
        <v/>
      </c>
      <c r="K704" s="89" t="n"/>
      <c r="L704" s="126">
        <f>IF(J704="","",J704+MAX(1,G704)+IF(K704="",0,K704)-1)</f>
        <v/>
      </c>
      <c r="M704" s="72" t="n"/>
      <c r="N704" s="109" t="n"/>
      <c r="O704" s="127">
        <f>IF(D704="","",COUNTIF($H$7:$H$1006,B704))</f>
        <v/>
      </c>
      <c r="P704" s="78">
        <f>IF(D704="","",IF(AND(H704&lt;&gt;"",H704&gt;=B704),"⚠️ Predecessor must be above",IF(M704="Done","✓ Done",IF(Q704=3,"🔴 Late",IF(M704="In progress","In progress","")))))</f>
        <v/>
      </c>
      <c r="Q704" s="79">
        <f>IF(OR(D704="",L704=""),"",IF(M704="Done",2,IF(AsOf&gt;L704,3,1)))</f>
        <v/>
      </c>
      <c r="R704" s="79">
        <f>IF(OR(E704="",F704=""),0,IF(COUNTIFS($E$7:E704,E704,$F$7:F704,F704)=1,1,0))</f>
        <v/>
      </c>
      <c r="S704" s="79">
        <f>IF(R704=1,E704&amp;"|"&amp;SUMIFS($R$7:R704,$E$7:E704,E704),"")</f>
        <v/>
      </c>
      <c r="T704" s="112">
        <f>IF(Q704="","",IF(Q704=3,L704,IF(OR(M704="Not started",M704=""),J704,"")))</f>
        <v/>
      </c>
      <c r="U704" s="79">
        <f>IF(T704="","",IF(Q704=3,1,IF(T704="","",IF(T704&lt;AsOf,1,IF(T704&lt;=AsOf+AlertDays,2,IF(T704&lt;=AsOf+2*AlertDays,3,""))))))</f>
        <v/>
      </c>
      <c r="V704" s="79">
        <f>IF(U704="","",IF(Q704=3,"Late task: "&amp;D704,IF(T704&lt;AsOf,"Should have started: ","Starts soon: ")&amp;D704)&amp;IF(F704="",""," — "&amp;F704))</f>
        <v/>
      </c>
    </row>
    <row r="705" ht="20" customHeight="1">
      <c r="B705" s="125" t="n">
        <v>699</v>
      </c>
      <c r="C705" s="72" t="n"/>
      <c r="D705" s="72" t="n"/>
      <c r="E705" s="72" t="n"/>
      <c r="F705" s="72" t="n"/>
      <c r="G705" s="89" t="n"/>
      <c r="H705" s="89" t="n"/>
      <c r="I705" s="109" t="n"/>
      <c r="J705" s="126">
        <f>IF(OR(D705="",ProjStart=""),"",MAX(ProjStart,IF(I705&lt;&gt;"",I705,0),IF(H705="",0,IFERROR(INDEX($L$6:L704,MATCH(H705,$B$6:B704,0))+1,0))))</f>
        <v/>
      </c>
      <c r="K705" s="89" t="n"/>
      <c r="L705" s="126">
        <f>IF(J705="","",J705+MAX(1,G705)+IF(K705="",0,K705)-1)</f>
        <v/>
      </c>
      <c r="M705" s="72" t="n"/>
      <c r="N705" s="109" t="n"/>
      <c r="O705" s="127">
        <f>IF(D705="","",COUNTIF($H$7:$H$1006,B705))</f>
        <v/>
      </c>
      <c r="P705" s="78">
        <f>IF(D705="","",IF(AND(H705&lt;&gt;"",H705&gt;=B705),"⚠️ Predecessor must be above",IF(M705="Done","✓ Done",IF(Q705=3,"🔴 Late",IF(M705="In progress","In progress","")))))</f>
        <v/>
      </c>
      <c r="Q705" s="79">
        <f>IF(OR(D705="",L705=""),"",IF(M705="Done",2,IF(AsOf&gt;L705,3,1)))</f>
        <v/>
      </c>
      <c r="R705" s="79">
        <f>IF(OR(E705="",F705=""),0,IF(COUNTIFS($E$7:E705,E705,$F$7:F705,F705)=1,1,0))</f>
        <v/>
      </c>
      <c r="S705" s="79">
        <f>IF(R705=1,E705&amp;"|"&amp;SUMIFS($R$7:R705,$E$7:E705,E705),"")</f>
        <v/>
      </c>
      <c r="T705" s="112">
        <f>IF(Q705="","",IF(Q705=3,L705,IF(OR(M705="Not started",M705=""),J705,"")))</f>
        <v/>
      </c>
      <c r="U705" s="79">
        <f>IF(T705="","",IF(Q705=3,1,IF(T705="","",IF(T705&lt;AsOf,1,IF(T705&lt;=AsOf+AlertDays,2,IF(T705&lt;=AsOf+2*AlertDays,3,""))))))</f>
        <v/>
      </c>
      <c r="V705" s="79">
        <f>IF(U705="","",IF(Q705=3,"Late task: "&amp;D705,IF(T705&lt;AsOf,"Should have started: ","Starts soon: ")&amp;D705)&amp;IF(F705="",""," — "&amp;F705))</f>
        <v/>
      </c>
    </row>
    <row r="706" ht="20" customHeight="1">
      <c r="B706" s="125" t="n">
        <v>700</v>
      </c>
      <c r="C706" s="72" t="n"/>
      <c r="D706" s="72" t="n"/>
      <c r="E706" s="72" t="n"/>
      <c r="F706" s="72" t="n"/>
      <c r="G706" s="89" t="n"/>
      <c r="H706" s="89" t="n"/>
      <c r="I706" s="109" t="n"/>
      <c r="J706" s="126">
        <f>IF(OR(D706="",ProjStart=""),"",MAX(ProjStart,IF(I706&lt;&gt;"",I706,0),IF(H706="",0,IFERROR(INDEX($L$6:L705,MATCH(H706,$B$6:B705,0))+1,0))))</f>
        <v/>
      </c>
      <c r="K706" s="89" t="n"/>
      <c r="L706" s="126">
        <f>IF(J706="","",J706+MAX(1,G706)+IF(K706="",0,K706)-1)</f>
        <v/>
      </c>
      <c r="M706" s="72" t="n"/>
      <c r="N706" s="109" t="n"/>
      <c r="O706" s="127">
        <f>IF(D706="","",COUNTIF($H$7:$H$1006,B706))</f>
        <v/>
      </c>
      <c r="P706" s="78">
        <f>IF(D706="","",IF(AND(H706&lt;&gt;"",H706&gt;=B706),"⚠️ Predecessor must be above",IF(M706="Done","✓ Done",IF(Q706=3,"🔴 Late",IF(M706="In progress","In progress","")))))</f>
        <v/>
      </c>
      <c r="Q706" s="79">
        <f>IF(OR(D706="",L706=""),"",IF(M706="Done",2,IF(AsOf&gt;L706,3,1)))</f>
        <v/>
      </c>
      <c r="R706" s="79">
        <f>IF(OR(E706="",F706=""),0,IF(COUNTIFS($E$7:E706,E706,$F$7:F706,F706)=1,1,0))</f>
        <v/>
      </c>
      <c r="S706" s="79">
        <f>IF(R706=1,E706&amp;"|"&amp;SUMIFS($R$7:R706,$E$7:E706,E706),"")</f>
        <v/>
      </c>
      <c r="T706" s="112">
        <f>IF(Q706="","",IF(Q706=3,L706,IF(OR(M706="Not started",M706=""),J706,"")))</f>
        <v/>
      </c>
      <c r="U706" s="79">
        <f>IF(T706="","",IF(Q706=3,1,IF(T706="","",IF(T706&lt;AsOf,1,IF(T706&lt;=AsOf+AlertDays,2,IF(T706&lt;=AsOf+2*AlertDays,3,""))))))</f>
        <v/>
      </c>
      <c r="V706" s="79">
        <f>IF(U706="","",IF(Q706=3,"Late task: "&amp;D706,IF(T706&lt;AsOf,"Should have started: ","Starts soon: ")&amp;D706)&amp;IF(F706="",""," — "&amp;F706))</f>
        <v/>
      </c>
    </row>
    <row r="707" ht="20" customHeight="1">
      <c r="B707" s="125" t="n">
        <v>701</v>
      </c>
      <c r="C707" s="72" t="n"/>
      <c r="D707" s="72" t="n"/>
      <c r="E707" s="72" t="n"/>
      <c r="F707" s="72" t="n"/>
      <c r="G707" s="89" t="n"/>
      <c r="H707" s="89" t="n"/>
      <c r="I707" s="109" t="n"/>
      <c r="J707" s="126">
        <f>IF(OR(D707="",ProjStart=""),"",MAX(ProjStart,IF(I707&lt;&gt;"",I707,0),IF(H707="",0,IFERROR(INDEX($L$6:L706,MATCH(H707,$B$6:B706,0))+1,0))))</f>
        <v/>
      </c>
      <c r="K707" s="89" t="n"/>
      <c r="L707" s="126">
        <f>IF(J707="","",J707+MAX(1,G707)+IF(K707="",0,K707)-1)</f>
        <v/>
      </c>
      <c r="M707" s="72" t="n"/>
      <c r="N707" s="109" t="n"/>
      <c r="O707" s="127">
        <f>IF(D707="","",COUNTIF($H$7:$H$1006,B707))</f>
        <v/>
      </c>
      <c r="P707" s="78">
        <f>IF(D707="","",IF(AND(H707&lt;&gt;"",H707&gt;=B707),"⚠️ Predecessor must be above",IF(M707="Done","✓ Done",IF(Q707=3,"🔴 Late",IF(M707="In progress","In progress","")))))</f>
        <v/>
      </c>
      <c r="Q707" s="79">
        <f>IF(OR(D707="",L707=""),"",IF(M707="Done",2,IF(AsOf&gt;L707,3,1)))</f>
        <v/>
      </c>
      <c r="R707" s="79">
        <f>IF(OR(E707="",F707=""),0,IF(COUNTIFS($E$7:E707,E707,$F$7:F707,F707)=1,1,0))</f>
        <v/>
      </c>
      <c r="S707" s="79">
        <f>IF(R707=1,E707&amp;"|"&amp;SUMIFS($R$7:R707,$E$7:E707,E707),"")</f>
        <v/>
      </c>
      <c r="T707" s="112">
        <f>IF(Q707="","",IF(Q707=3,L707,IF(OR(M707="Not started",M707=""),J707,"")))</f>
        <v/>
      </c>
      <c r="U707" s="79">
        <f>IF(T707="","",IF(Q707=3,1,IF(T707="","",IF(T707&lt;AsOf,1,IF(T707&lt;=AsOf+AlertDays,2,IF(T707&lt;=AsOf+2*AlertDays,3,""))))))</f>
        <v/>
      </c>
      <c r="V707" s="79">
        <f>IF(U707="","",IF(Q707=3,"Late task: "&amp;D707,IF(T707&lt;AsOf,"Should have started: ","Starts soon: ")&amp;D707)&amp;IF(F707="",""," — "&amp;F707))</f>
        <v/>
      </c>
    </row>
    <row r="708" ht="20" customHeight="1">
      <c r="B708" s="125" t="n">
        <v>702</v>
      </c>
      <c r="C708" s="72" t="n"/>
      <c r="D708" s="72" t="n"/>
      <c r="E708" s="72" t="n"/>
      <c r="F708" s="72" t="n"/>
      <c r="G708" s="89" t="n"/>
      <c r="H708" s="89" t="n"/>
      <c r="I708" s="109" t="n"/>
      <c r="J708" s="126">
        <f>IF(OR(D708="",ProjStart=""),"",MAX(ProjStart,IF(I708&lt;&gt;"",I708,0),IF(H708="",0,IFERROR(INDEX($L$6:L707,MATCH(H708,$B$6:B707,0))+1,0))))</f>
        <v/>
      </c>
      <c r="K708" s="89" t="n"/>
      <c r="L708" s="126">
        <f>IF(J708="","",J708+MAX(1,G708)+IF(K708="",0,K708)-1)</f>
        <v/>
      </c>
      <c r="M708" s="72" t="n"/>
      <c r="N708" s="109" t="n"/>
      <c r="O708" s="127">
        <f>IF(D708="","",COUNTIF($H$7:$H$1006,B708))</f>
        <v/>
      </c>
      <c r="P708" s="78">
        <f>IF(D708="","",IF(AND(H708&lt;&gt;"",H708&gt;=B708),"⚠️ Predecessor must be above",IF(M708="Done","✓ Done",IF(Q708=3,"🔴 Late",IF(M708="In progress","In progress","")))))</f>
        <v/>
      </c>
      <c r="Q708" s="79">
        <f>IF(OR(D708="",L708=""),"",IF(M708="Done",2,IF(AsOf&gt;L708,3,1)))</f>
        <v/>
      </c>
      <c r="R708" s="79">
        <f>IF(OR(E708="",F708=""),0,IF(COUNTIFS($E$7:E708,E708,$F$7:F708,F708)=1,1,0))</f>
        <v/>
      </c>
      <c r="S708" s="79">
        <f>IF(R708=1,E708&amp;"|"&amp;SUMIFS($R$7:R708,$E$7:E708,E708),"")</f>
        <v/>
      </c>
      <c r="T708" s="112">
        <f>IF(Q708="","",IF(Q708=3,L708,IF(OR(M708="Not started",M708=""),J708,"")))</f>
        <v/>
      </c>
      <c r="U708" s="79">
        <f>IF(T708="","",IF(Q708=3,1,IF(T708="","",IF(T708&lt;AsOf,1,IF(T708&lt;=AsOf+AlertDays,2,IF(T708&lt;=AsOf+2*AlertDays,3,""))))))</f>
        <v/>
      </c>
      <c r="V708" s="79">
        <f>IF(U708="","",IF(Q708=3,"Late task: "&amp;D708,IF(T708&lt;AsOf,"Should have started: ","Starts soon: ")&amp;D708)&amp;IF(F708="",""," — "&amp;F708))</f>
        <v/>
      </c>
    </row>
    <row r="709" ht="20" customHeight="1">
      <c r="B709" s="125" t="n">
        <v>703</v>
      </c>
      <c r="C709" s="72" t="n"/>
      <c r="D709" s="72" t="n"/>
      <c r="E709" s="72" t="n"/>
      <c r="F709" s="72" t="n"/>
      <c r="G709" s="89" t="n"/>
      <c r="H709" s="89" t="n"/>
      <c r="I709" s="109" t="n"/>
      <c r="J709" s="126">
        <f>IF(OR(D709="",ProjStart=""),"",MAX(ProjStart,IF(I709&lt;&gt;"",I709,0),IF(H709="",0,IFERROR(INDEX($L$6:L708,MATCH(H709,$B$6:B708,0))+1,0))))</f>
        <v/>
      </c>
      <c r="K709" s="89" t="n"/>
      <c r="L709" s="126">
        <f>IF(J709="","",J709+MAX(1,G709)+IF(K709="",0,K709)-1)</f>
        <v/>
      </c>
      <c r="M709" s="72" t="n"/>
      <c r="N709" s="109" t="n"/>
      <c r="O709" s="127">
        <f>IF(D709="","",COUNTIF($H$7:$H$1006,B709))</f>
        <v/>
      </c>
      <c r="P709" s="78">
        <f>IF(D709="","",IF(AND(H709&lt;&gt;"",H709&gt;=B709),"⚠️ Predecessor must be above",IF(M709="Done","✓ Done",IF(Q709=3,"🔴 Late",IF(M709="In progress","In progress","")))))</f>
        <v/>
      </c>
      <c r="Q709" s="79">
        <f>IF(OR(D709="",L709=""),"",IF(M709="Done",2,IF(AsOf&gt;L709,3,1)))</f>
        <v/>
      </c>
      <c r="R709" s="79">
        <f>IF(OR(E709="",F709=""),0,IF(COUNTIFS($E$7:E709,E709,$F$7:F709,F709)=1,1,0))</f>
        <v/>
      </c>
      <c r="S709" s="79">
        <f>IF(R709=1,E709&amp;"|"&amp;SUMIFS($R$7:R709,$E$7:E709,E709),"")</f>
        <v/>
      </c>
      <c r="T709" s="112">
        <f>IF(Q709="","",IF(Q709=3,L709,IF(OR(M709="Not started",M709=""),J709,"")))</f>
        <v/>
      </c>
      <c r="U709" s="79">
        <f>IF(T709="","",IF(Q709=3,1,IF(T709="","",IF(T709&lt;AsOf,1,IF(T709&lt;=AsOf+AlertDays,2,IF(T709&lt;=AsOf+2*AlertDays,3,""))))))</f>
        <v/>
      </c>
      <c r="V709" s="79">
        <f>IF(U709="","",IF(Q709=3,"Late task: "&amp;D709,IF(T709&lt;AsOf,"Should have started: ","Starts soon: ")&amp;D709)&amp;IF(F709="",""," — "&amp;F709))</f>
        <v/>
      </c>
    </row>
    <row r="710" ht="20" customHeight="1">
      <c r="B710" s="125" t="n">
        <v>704</v>
      </c>
      <c r="C710" s="72" t="n"/>
      <c r="D710" s="72" t="n"/>
      <c r="E710" s="72" t="n"/>
      <c r="F710" s="72" t="n"/>
      <c r="G710" s="89" t="n"/>
      <c r="H710" s="89" t="n"/>
      <c r="I710" s="109" t="n"/>
      <c r="J710" s="126">
        <f>IF(OR(D710="",ProjStart=""),"",MAX(ProjStart,IF(I710&lt;&gt;"",I710,0),IF(H710="",0,IFERROR(INDEX($L$6:L709,MATCH(H710,$B$6:B709,0))+1,0))))</f>
        <v/>
      </c>
      <c r="K710" s="89" t="n"/>
      <c r="L710" s="126">
        <f>IF(J710="","",J710+MAX(1,G710)+IF(K710="",0,K710)-1)</f>
        <v/>
      </c>
      <c r="M710" s="72" t="n"/>
      <c r="N710" s="109" t="n"/>
      <c r="O710" s="127">
        <f>IF(D710="","",COUNTIF($H$7:$H$1006,B710))</f>
        <v/>
      </c>
      <c r="P710" s="78">
        <f>IF(D710="","",IF(AND(H710&lt;&gt;"",H710&gt;=B710),"⚠️ Predecessor must be above",IF(M710="Done","✓ Done",IF(Q710=3,"🔴 Late",IF(M710="In progress","In progress","")))))</f>
        <v/>
      </c>
      <c r="Q710" s="79">
        <f>IF(OR(D710="",L710=""),"",IF(M710="Done",2,IF(AsOf&gt;L710,3,1)))</f>
        <v/>
      </c>
      <c r="R710" s="79">
        <f>IF(OR(E710="",F710=""),0,IF(COUNTIFS($E$7:E710,E710,$F$7:F710,F710)=1,1,0))</f>
        <v/>
      </c>
      <c r="S710" s="79">
        <f>IF(R710=1,E710&amp;"|"&amp;SUMIFS($R$7:R710,$E$7:E710,E710),"")</f>
        <v/>
      </c>
      <c r="T710" s="112">
        <f>IF(Q710="","",IF(Q710=3,L710,IF(OR(M710="Not started",M710=""),J710,"")))</f>
        <v/>
      </c>
      <c r="U710" s="79">
        <f>IF(T710="","",IF(Q710=3,1,IF(T710="","",IF(T710&lt;AsOf,1,IF(T710&lt;=AsOf+AlertDays,2,IF(T710&lt;=AsOf+2*AlertDays,3,""))))))</f>
        <v/>
      </c>
      <c r="V710" s="79">
        <f>IF(U710="","",IF(Q710=3,"Late task: "&amp;D710,IF(T710&lt;AsOf,"Should have started: ","Starts soon: ")&amp;D710)&amp;IF(F710="",""," — "&amp;F710))</f>
        <v/>
      </c>
    </row>
    <row r="711" ht="20" customHeight="1">
      <c r="B711" s="125" t="n">
        <v>705</v>
      </c>
      <c r="C711" s="72" t="n"/>
      <c r="D711" s="72" t="n"/>
      <c r="E711" s="72" t="n"/>
      <c r="F711" s="72" t="n"/>
      <c r="G711" s="89" t="n"/>
      <c r="H711" s="89" t="n"/>
      <c r="I711" s="109" t="n"/>
      <c r="J711" s="126">
        <f>IF(OR(D711="",ProjStart=""),"",MAX(ProjStart,IF(I711&lt;&gt;"",I711,0),IF(H711="",0,IFERROR(INDEX($L$6:L710,MATCH(H711,$B$6:B710,0))+1,0))))</f>
        <v/>
      </c>
      <c r="K711" s="89" t="n"/>
      <c r="L711" s="126">
        <f>IF(J711="","",J711+MAX(1,G711)+IF(K711="",0,K711)-1)</f>
        <v/>
      </c>
      <c r="M711" s="72" t="n"/>
      <c r="N711" s="109" t="n"/>
      <c r="O711" s="127">
        <f>IF(D711="","",COUNTIF($H$7:$H$1006,B711))</f>
        <v/>
      </c>
      <c r="P711" s="78">
        <f>IF(D711="","",IF(AND(H711&lt;&gt;"",H711&gt;=B711),"⚠️ Predecessor must be above",IF(M711="Done","✓ Done",IF(Q711=3,"🔴 Late",IF(M711="In progress","In progress","")))))</f>
        <v/>
      </c>
      <c r="Q711" s="79">
        <f>IF(OR(D711="",L711=""),"",IF(M711="Done",2,IF(AsOf&gt;L711,3,1)))</f>
        <v/>
      </c>
      <c r="R711" s="79">
        <f>IF(OR(E711="",F711=""),0,IF(COUNTIFS($E$7:E711,E711,$F$7:F711,F711)=1,1,0))</f>
        <v/>
      </c>
      <c r="S711" s="79">
        <f>IF(R711=1,E711&amp;"|"&amp;SUMIFS($R$7:R711,$E$7:E711,E711),"")</f>
        <v/>
      </c>
      <c r="T711" s="112">
        <f>IF(Q711="","",IF(Q711=3,L711,IF(OR(M711="Not started",M711=""),J711,"")))</f>
        <v/>
      </c>
      <c r="U711" s="79">
        <f>IF(T711="","",IF(Q711=3,1,IF(T711="","",IF(T711&lt;AsOf,1,IF(T711&lt;=AsOf+AlertDays,2,IF(T711&lt;=AsOf+2*AlertDays,3,""))))))</f>
        <v/>
      </c>
      <c r="V711" s="79">
        <f>IF(U711="","",IF(Q711=3,"Late task: "&amp;D711,IF(T711&lt;AsOf,"Should have started: ","Starts soon: ")&amp;D711)&amp;IF(F711="",""," — "&amp;F711))</f>
        <v/>
      </c>
    </row>
    <row r="712" ht="20" customHeight="1">
      <c r="B712" s="125" t="n">
        <v>706</v>
      </c>
      <c r="C712" s="72" t="n"/>
      <c r="D712" s="72" t="n"/>
      <c r="E712" s="72" t="n"/>
      <c r="F712" s="72" t="n"/>
      <c r="G712" s="89" t="n"/>
      <c r="H712" s="89" t="n"/>
      <c r="I712" s="109" t="n"/>
      <c r="J712" s="126">
        <f>IF(OR(D712="",ProjStart=""),"",MAX(ProjStart,IF(I712&lt;&gt;"",I712,0),IF(H712="",0,IFERROR(INDEX($L$6:L711,MATCH(H712,$B$6:B711,0))+1,0))))</f>
        <v/>
      </c>
      <c r="K712" s="89" t="n"/>
      <c r="L712" s="126">
        <f>IF(J712="","",J712+MAX(1,G712)+IF(K712="",0,K712)-1)</f>
        <v/>
      </c>
      <c r="M712" s="72" t="n"/>
      <c r="N712" s="109" t="n"/>
      <c r="O712" s="127">
        <f>IF(D712="","",COUNTIF($H$7:$H$1006,B712))</f>
        <v/>
      </c>
      <c r="P712" s="78">
        <f>IF(D712="","",IF(AND(H712&lt;&gt;"",H712&gt;=B712),"⚠️ Predecessor must be above",IF(M712="Done","✓ Done",IF(Q712=3,"🔴 Late",IF(M712="In progress","In progress","")))))</f>
        <v/>
      </c>
      <c r="Q712" s="79">
        <f>IF(OR(D712="",L712=""),"",IF(M712="Done",2,IF(AsOf&gt;L712,3,1)))</f>
        <v/>
      </c>
      <c r="R712" s="79">
        <f>IF(OR(E712="",F712=""),0,IF(COUNTIFS($E$7:E712,E712,$F$7:F712,F712)=1,1,0))</f>
        <v/>
      </c>
      <c r="S712" s="79">
        <f>IF(R712=1,E712&amp;"|"&amp;SUMIFS($R$7:R712,$E$7:E712,E712),"")</f>
        <v/>
      </c>
      <c r="T712" s="112">
        <f>IF(Q712="","",IF(Q712=3,L712,IF(OR(M712="Not started",M712=""),J712,"")))</f>
        <v/>
      </c>
      <c r="U712" s="79">
        <f>IF(T712="","",IF(Q712=3,1,IF(T712="","",IF(T712&lt;AsOf,1,IF(T712&lt;=AsOf+AlertDays,2,IF(T712&lt;=AsOf+2*AlertDays,3,""))))))</f>
        <v/>
      </c>
      <c r="V712" s="79">
        <f>IF(U712="","",IF(Q712=3,"Late task: "&amp;D712,IF(T712&lt;AsOf,"Should have started: ","Starts soon: ")&amp;D712)&amp;IF(F712="",""," — "&amp;F712))</f>
        <v/>
      </c>
    </row>
    <row r="713" ht="20" customHeight="1">
      <c r="B713" s="125" t="n">
        <v>707</v>
      </c>
      <c r="C713" s="72" t="n"/>
      <c r="D713" s="72" t="n"/>
      <c r="E713" s="72" t="n"/>
      <c r="F713" s="72" t="n"/>
      <c r="G713" s="89" t="n"/>
      <c r="H713" s="89" t="n"/>
      <c r="I713" s="109" t="n"/>
      <c r="J713" s="126">
        <f>IF(OR(D713="",ProjStart=""),"",MAX(ProjStart,IF(I713&lt;&gt;"",I713,0),IF(H713="",0,IFERROR(INDEX($L$6:L712,MATCH(H713,$B$6:B712,0))+1,0))))</f>
        <v/>
      </c>
      <c r="K713" s="89" t="n"/>
      <c r="L713" s="126">
        <f>IF(J713="","",J713+MAX(1,G713)+IF(K713="",0,K713)-1)</f>
        <v/>
      </c>
      <c r="M713" s="72" t="n"/>
      <c r="N713" s="109" t="n"/>
      <c r="O713" s="127">
        <f>IF(D713="","",COUNTIF($H$7:$H$1006,B713))</f>
        <v/>
      </c>
      <c r="P713" s="78">
        <f>IF(D713="","",IF(AND(H713&lt;&gt;"",H713&gt;=B713),"⚠️ Predecessor must be above",IF(M713="Done","✓ Done",IF(Q713=3,"🔴 Late",IF(M713="In progress","In progress","")))))</f>
        <v/>
      </c>
      <c r="Q713" s="79">
        <f>IF(OR(D713="",L713=""),"",IF(M713="Done",2,IF(AsOf&gt;L713,3,1)))</f>
        <v/>
      </c>
      <c r="R713" s="79">
        <f>IF(OR(E713="",F713=""),0,IF(COUNTIFS($E$7:E713,E713,$F$7:F713,F713)=1,1,0))</f>
        <v/>
      </c>
      <c r="S713" s="79">
        <f>IF(R713=1,E713&amp;"|"&amp;SUMIFS($R$7:R713,$E$7:E713,E713),"")</f>
        <v/>
      </c>
      <c r="T713" s="112">
        <f>IF(Q713="","",IF(Q713=3,L713,IF(OR(M713="Not started",M713=""),J713,"")))</f>
        <v/>
      </c>
      <c r="U713" s="79">
        <f>IF(T713="","",IF(Q713=3,1,IF(T713="","",IF(T713&lt;AsOf,1,IF(T713&lt;=AsOf+AlertDays,2,IF(T713&lt;=AsOf+2*AlertDays,3,""))))))</f>
        <v/>
      </c>
      <c r="V713" s="79">
        <f>IF(U713="","",IF(Q713=3,"Late task: "&amp;D713,IF(T713&lt;AsOf,"Should have started: ","Starts soon: ")&amp;D713)&amp;IF(F713="",""," — "&amp;F713))</f>
        <v/>
      </c>
    </row>
    <row r="714" ht="20" customHeight="1">
      <c r="B714" s="125" t="n">
        <v>708</v>
      </c>
      <c r="C714" s="72" t="n"/>
      <c r="D714" s="72" t="n"/>
      <c r="E714" s="72" t="n"/>
      <c r="F714" s="72" t="n"/>
      <c r="G714" s="89" t="n"/>
      <c r="H714" s="89" t="n"/>
      <c r="I714" s="109" t="n"/>
      <c r="J714" s="126">
        <f>IF(OR(D714="",ProjStart=""),"",MAX(ProjStart,IF(I714&lt;&gt;"",I714,0),IF(H714="",0,IFERROR(INDEX($L$6:L713,MATCH(H714,$B$6:B713,0))+1,0))))</f>
        <v/>
      </c>
      <c r="K714" s="89" t="n"/>
      <c r="L714" s="126">
        <f>IF(J714="","",J714+MAX(1,G714)+IF(K714="",0,K714)-1)</f>
        <v/>
      </c>
      <c r="M714" s="72" t="n"/>
      <c r="N714" s="109" t="n"/>
      <c r="O714" s="127">
        <f>IF(D714="","",COUNTIF($H$7:$H$1006,B714))</f>
        <v/>
      </c>
      <c r="P714" s="78">
        <f>IF(D714="","",IF(AND(H714&lt;&gt;"",H714&gt;=B714),"⚠️ Predecessor must be above",IF(M714="Done","✓ Done",IF(Q714=3,"🔴 Late",IF(M714="In progress","In progress","")))))</f>
        <v/>
      </c>
      <c r="Q714" s="79">
        <f>IF(OR(D714="",L714=""),"",IF(M714="Done",2,IF(AsOf&gt;L714,3,1)))</f>
        <v/>
      </c>
      <c r="R714" s="79">
        <f>IF(OR(E714="",F714=""),0,IF(COUNTIFS($E$7:E714,E714,$F$7:F714,F714)=1,1,0))</f>
        <v/>
      </c>
      <c r="S714" s="79">
        <f>IF(R714=1,E714&amp;"|"&amp;SUMIFS($R$7:R714,$E$7:E714,E714),"")</f>
        <v/>
      </c>
      <c r="T714" s="112">
        <f>IF(Q714="","",IF(Q714=3,L714,IF(OR(M714="Not started",M714=""),J714,"")))</f>
        <v/>
      </c>
      <c r="U714" s="79">
        <f>IF(T714="","",IF(Q714=3,1,IF(T714="","",IF(T714&lt;AsOf,1,IF(T714&lt;=AsOf+AlertDays,2,IF(T714&lt;=AsOf+2*AlertDays,3,""))))))</f>
        <v/>
      </c>
      <c r="V714" s="79">
        <f>IF(U714="","",IF(Q714=3,"Late task: "&amp;D714,IF(T714&lt;AsOf,"Should have started: ","Starts soon: ")&amp;D714)&amp;IF(F714="",""," — "&amp;F714))</f>
        <v/>
      </c>
    </row>
    <row r="715" ht="20" customHeight="1">
      <c r="B715" s="125" t="n">
        <v>709</v>
      </c>
      <c r="C715" s="72" t="n"/>
      <c r="D715" s="72" t="n"/>
      <c r="E715" s="72" t="n"/>
      <c r="F715" s="72" t="n"/>
      <c r="G715" s="89" t="n"/>
      <c r="H715" s="89" t="n"/>
      <c r="I715" s="109" t="n"/>
      <c r="J715" s="126">
        <f>IF(OR(D715="",ProjStart=""),"",MAX(ProjStart,IF(I715&lt;&gt;"",I715,0),IF(H715="",0,IFERROR(INDEX($L$6:L714,MATCH(H715,$B$6:B714,0))+1,0))))</f>
        <v/>
      </c>
      <c r="K715" s="89" t="n"/>
      <c r="L715" s="126">
        <f>IF(J715="","",J715+MAX(1,G715)+IF(K715="",0,K715)-1)</f>
        <v/>
      </c>
      <c r="M715" s="72" t="n"/>
      <c r="N715" s="109" t="n"/>
      <c r="O715" s="127">
        <f>IF(D715="","",COUNTIF($H$7:$H$1006,B715))</f>
        <v/>
      </c>
      <c r="P715" s="78">
        <f>IF(D715="","",IF(AND(H715&lt;&gt;"",H715&gt;=B715),"⚠️ Predecessor must be above",IF(M715="Done","✓ Done",IF(Q715=3,"🔴 Late",IF(M715="In progress","In progress","")))))</f>
        <v/>
      </c>
      <c r="Q715" s="79">
        <f>IF(OR(D715="",L715=""),"",IF(M715="Done",2,IF(AsOf&gt;L715,3,1)))</f>
        <v/>
      </c>
      <c r="R715" s="79">
        <f>IF(OR(E715="",F715=""),0,IF(COUNTIFS($E$7:E715,E715,$F$7:F715,F715)=1,1,0))</f>
        <v/>
      </c>
      <c r="S715" s="79">
        <f>IF(R715=1,E715&amp;"|"&amp;SUMIFS($R$7:R715,$E$7:E715,E715),"")</f>
        <v/>
      </c>
      <c r="T715" s="112">
        <f>IF(Q715="","",IF(Q715=3,L715,IF(OR(M715="Not started",M715=""),J715,"")))</f>
        <v/>
      </c>
      <c r="U715" s="79">
        <f>IF(T715="","",IF(Q715=3,1,IF(T715="","",IF(T715&lt;AsOf,1,IF(T715&lt;=AsOf+AlertDays,2,IF(T715&lt;=AsOf+2*AlertDays,3,""))))))</f>
        <v/>
      </c>
      <c r="V715" s="79">
        <f>IF(U715="","",IF(Q715=3,"Late task: "&amp;D715,IF(T715&lt;AsOf,"Should have started: ","Starts soon: ")&amp;D715)&amp;IF(F715="",""," — "&amp;F715))</f>
        <v/>
      </c>
    </row>
    <row r="716" ht="20" customHeight="1">
      <c r="B716" s="125" t="n">
        <v>710</v>
      </c>
      <c r="C716" s="72" t="n"/>
      <c r="D716" s="72" t="n"/>
      <c r="E716" s="72" t="n"/>
      <c r="F716" s="72" t="n"/>
      <c r="G716" s="89" t="n"/>
      <c r="H716" s="89" t="n"/>
      <c r="I716" s="109" t="n"/>
      <c r="J716" s="126">
        <f>IF(OR(D716="",ProjStart=""),"",MAX(ProjStart,IF(I716&lt;&gt;"",I716,0),IF(H716="",0,IFERROR(INDEX($L$6:L715,MATCH(H716,$B$6:B715,0))+1,0))))</f>
        <v/>
      </c>
      <c r="K716" s="89" t="n"/>
      <c r="L716" s="126">
        <f>IF(J716="","",J716+MAX(1,G716)+IF(K716="",0,K716)-1)</f>
        <v/>
      </c>
      <c r="M716" s="72" t="n"/>
      <c r="N716" s="109" t="n"/>
      <c r="O716" s="127">
        <f>IF(D716="","",COUNTIF($H$7:$H$1006,B716))</f>
        <v/>
      </c>
      <c r="P716" s="78">
        <f>IF(D716="","",IF(AND(H716&lt;&gt;"",H716&gt;=B716),"⚠️ Predecessor must be above",IF(M716="Done","✓ Done",IF(Q716=3,"🔴 Late",IF(M716="In progress","In progress","")))))</f>
        <v/>
      </c>
      <c r="Q716" s="79">
        <f>IF(OR(D716="",L716=""),"",IF(M716="Done",2,IF(AsOf&gt;L716,3,1)))</f>
        <v/>
      </c>
      <c r="R716" s="79">
        <f>IF(OR(E716="",F716=""),0,IF(COUNTIFS($E$7:E716,E716,$F$7:F716,F716)=1,1,0))</f>
        <v/>
      </c>
      <c r="S716" s="79">
        <f>IF(R716=1,E716&amp;"|"&amp;SUMIFS($R$7:R716,$E$7:E716,E716),"")</f>
        <v/>
      </c>
      <c r="T716" s="112">
        <f>IF(Q716="","",IF(Q716=3,L716,IF(OR(M716="Not started",M716=""),J716,"")))</f>
        <v/>
      </c>
      <c r="U716" s="79">
        <f>IF(T716="","",IF(Q716=3,1,IF(T716="","",IF(T716&lt;AsOf,1,IF(T716&lt;=AsOf+AlertDays,2,IF(T716&lt;=AsOf+2*AlertDays,3,""))))))</f>
        <v/>
      </c>
      <c r="V716" s="79">
        <f>IF(U716="","",IF(Q716=3,"Late task: "&amp;D716,IF(T716&lt;AsOf,"Should have started: ","Starts soon: ")&amp;D716)&amp;IF(F716="",""," — "&amp;F716))</f>
        <v/>
      </c>
    </row>
    <row r="717" ht="20" customHeight="1">
      <c r="B717" s="125" t="n">
        <v>711</v>
      </c>
      <c r="C717" s="72" t="n"/>
      <c r="D717" s="72" t="n"/>
      <c r="E717" s="72" t="n"/>
      <c r="F717" s="72" t="n"/>
      <c r="G717" s="89" t="n"/>
      <c r="H717" s="89" t="n"/>
      <c r="I717" s="109" t="n"/>
      <c r="J717" s="126">
        <f>IF(OR(D717="",ProjStart=""),"",MAX(ProjStart,IF(I717&lt;&gt;"",I717,0),IF(H717="",0,IFERROR(INDEX($L$6:L716,MATCH(H717,$B$6:B716,0))+1,0))))</f>
        <v/>
      </c>
      <c r="K717" s="89" t="n"/>
      <c r="L717" s="126">
        <f>IF(J717="","",J717+MAX(1,G717)+IF(K717="",0,K717)-1)</f>
        <v/>
      </c>
      <c r="M717" s="72" t="n"/>
      <c r="N717" s="109" t="n"/>
      <c r="O717" s="127">
        <f>IF(D717="","",COUNTIF($H$7:$H$1006,B717))</f>
        <v/>
      </c>
      <c r="P717" s="78">
        <f>IF(D717="","",IF(AND(H717&lt;&gt;"",H717&gt;=B717),"⚠️ Predecessor must be above",IF(M717="Done","✓ Done",IF(Q717=3,"🔴 Late",IF(M717="In progress","In progress","")))))</f>
        <v/>
      </c>
      <c r="Q717" s="79">
        <f>IF(OR(D717="",L717=""),"",IF(M717="Done",2,IF(AsOf&gt;L717,3,1)))</f>
        <v/>
      </c>
      <c r="R717" s="79">
        <f>IF(OR(E717="",F717=""),0,IF(COUNTIFS($E$7:E717,E717,$F$7:F717,F717)=1,1,0))</f>
        <v/>
      </c>
      <c r="S717" s="79">
        <f>IF(R717=1,E717&amp;"|"&amp;SUMIFS($R$7:R717,$E$7:E717,E717),"")</f>
        <v/>
      </c>
      <c r="T717" s="112">
        <f>IF(Q717="","",IF(Q717=3,L717,IF(OR(M717="Not started",M717=""),J717,"")))</f>
        <v/>
      </c>
      <c r="U717" s="79">
        <f>IF(T717="","",IF(Q717=3,1,IF(T717="","",IF(T717&lt;AsOf,1,IF(T717&lt;=AsOf+AlertDays,2,IF(T717&lt;=AsOf+2*AlertDays,3,""))))))</f>
        <v/>
      </c>
      <c r="V717" s="79">
        <f>IF(U717="","",IF(Q717=3,"Late task: "&amp;D717,IF(T717&lt;AsOf,"Should have started: ","Starts soon: ")&amp;D717)&amp;IF(F717="",""," — "&amp;F717))</f>
        <v/>
      </c>
    </row>
    <row r="718" ht="20" customHeight="1">
      <c r="B718" s="125" t="n">
        <v>712</v>
      </c>
      <c r="C718" s="72" t="n"/>
      <c r="D718" s="72" t="n"/>
      <c r="E718" s="72" t="n"/>
      <c r="F718" s="72" t="n"/>
      <c r="G718" s="89" t="n"/>
      <c r="H718" s="89" t="n"/>
      <c r="I718" s="109" t="n"/>
      <c r="J718" s="126">
        <f>IF(OR(D718="",ProjStart=""),"",MAX(ProjStart,IF(I718&lt;&gt;"",I718,0),IF(H718="",0,IFERROR(INDEX($L$6:L717,MATCH(H718,$B$6:B717,0))+1,0))))</f>
        <v/>
      </c>
      <c r="K718" s="89" t="n"/>
      <c r="L718" s="126">
        <f>IF(J718="","",J718+MAX(1,G718)+IF(K718="",0,K718)-1)</f>
        <v/>
      </c>
      <c r="M718" s="72" t="n"/>
      <c r="N718" s="109" t="n"/>
      <c r="O718" s="127">
        <f>IF(D718="","",COUNTIF($H$7:$H$1006,B718))</f>
        <v/>
      </c>
      <c r="P718" s="78">
        <f>IF(D718="","",IF(AND(H718&lt;&gt;"",H718&gt;=B718),"⚠️ Predecessor must be above",IF(M718="Done","✓ Done",IF(Q718=3,"🔴 Late",IF(M718="In progress","In progress","")))))</f>
        <v/>
      </c>
      <c r="Q718" s="79">
        <f>IF(OR(D718="",L718=""),"",IF(M718="Done",2,IF(AsOf&gt;L718,3,1)))</f>
        <v/>
      </c>
      <c r="R718" s="79">
        <f>IF(OR(E718="",F718=""),0,IF(COUNTIFS($E$7:E718,E718,$F$7:F718,F718)=1,1,0))</f>
        <v/>
      </c>
      <c r="S718" s="79">
        <f>IF(R718=1,E718&amp;"|"&amp;SUMIFS($R$7:R718,$E$7:E718,E718),"")</f>
        <v/>
      </c>
      <c r="T718" s="112">
        <f>IF(Q718="","",IF(Q718=3,L718,IF(OR(M718="Not started",M718=""),J718,"")))</f>
        <v/>
      </c>
      <c r="U718" s="79">
        <f>IF(T718="","",IF(Q718=3,1,IF(T718="","",IF(T718&lt;AsOf,1,IF(T718&lt;=AsOf+AlertDays,2,IF(T718&lt;=AsOf+2*AlertDays,3,""))))))</f>
        <v/>
      </c>
      <c r="V718" s="79">
        <f>IF(U718="","",IF(Q718=3,"Late task: "&amp;D718,IF(T718&lt;AsOf,"Should have started: ","Starts soon: ")&amp;D718)&amp;IF(F718="",""," — "&amp;F718))</f>
        <v/>
      </c>
    </row>
    <row r="719" ht="20" customHeight="1">
      <c r="B719" s="125" t="n">
        <v>713</v>
      </c>
      <c r="C719" s="72" t="n"/>
      <c r="D719" s="72" t="n"/>
      <c r="E719" s="72" t="n"/>
      <c r="F719" s="72" t="n"/>
      <c r="G719" s="89" t="n"/>
      <c r="H719" s="89" t="n"/>
      <c r="I719" s="109" t="n"/>
      <c r="J719" s="126">
        <f>IF(OR(D719="",ProjStart=""),"",MAX(ProjStart,IF(I719&lt;&gt;"",I719,0),IF(H719="",0,IFERROR(INDEX($L$6:L718,MATCH(H719,$B$6:B718,0))+1,0))))</f>
        <v/>
      </c>
      <c r="K719" s="89" t="n"/>
      <c r="L719" s="126">
        <f>IF(J719="","",J719+MAX(1,G719)+IF(K719="",0,K719)-1)</f>
        <v/>
      </c>
      <c r="M719" s="72" t="n"/>
      <c r="N719" s="109" t="n"/>
      <c r="O719" s="127">
        <f>IF(D719="","",COUNTIF($H$7:$H$1006,B719))</f>
        <v/>
      </c>
      <c r="P719" s="78">
        <f>IF(D719="","",IF(AND(H719&lt;&gt;"",H719&gt;=B719),"⚠️ Predecessor must be above",IF(M719="Done","✓ Done",IF(Q719=3,"🔴 Late",IF(M719="In progress","In progress","")))))</f>
        <v/>
      </c>
      <c r="Q719" s="79">
        <f>IF(OR(D719="",L719=""),"",IF(M719="Done",2,IF(AsOf&gt;L719,3,1)))</f>
        <v/>
      </c>
      <c r="R719" s="79">
        <f>IF(OR(E719="",F719=""),0,IF(COUNTIFS($E$7:E719,E719,$F$7:F719,F719)=1,1,0))</f>
        <v/>
      </c>
      <c r="S719" s="79">
        <f>IF(R719=1,E719&amp;"|"&amp;SUMIFS($R$7:R719,$E$7:E719,E719),"")</f>
        <v/>
      </c>
      <c r="T719" s="112">
        <f>IF(Q719="","",IF(Q719=3,L719,IF(OR(M719="Not started",M719=""),J719,"")))</f>
        <v/>
      </c>
      <c r="U719" s="79">
        <f>IF(T719="","",IF(Q719=3,1,IF(T719="","",IF(T719&lt;AsOf,1,IF(T719&lt;=AsOf+AlertDays,2,IF(T719&lt;=AsOf+2*AlertDays,3,""))))))</f>
        <v/>
      </c>
      <c r="V719" s="79">
        <f>IF(U719="","",IF(Q719=3,"Late task: "&amp;D719,IF(T719&lt;AsOf,"Should have started: ","Starts soon: ")&amp;D719)&amp;IF(F719="",""," — "&amp;F719))</f>
        <v/>
      </c>
    </row>
    <row r="720" ht="20" customHeight="1">
      <c r="B720" s="125" t="n">
        <v>714</v>
      </c>
      <c r="C720" s="72" t="n"/>
      <c r="D720" s="72" t="n"/>
      <c r="E720" s="72" t="n"/>
      <c r="F720" s="72" t="n"/>
      <c r="G720" s="89" t="n"/>
      <c r="H720" s="89" t="n"/>
      <c r="I720" s="109" t="n"/>
      <c r="J720" s="126">
        <f>IF(OR(D720="",ProjStart=""),"",MAX(ProjStart,IF(I720&lt;&gt;"",I720,0),IF(H720="",0,IFERROR(INDEX($L$6:L719,MATCH(H720,$B$6:B719,0))+1,0))))</f>
        <v/>
      </c>
      <c r="K720" s="89" t="n"/>
      <c r="L720" s="126">
        <f>IF(J720="","",J720+MAX(1,G720)+IF(K720="",0,K720)-1)</f>
        <v/>
      </c>
      <c r="M720" s="72" t="n"/>
      <c r="N720" s="109" t="n"/>
      <c r="O720" s="127">
        <f>IF(D720="","",COUNTIF($H$7:$H$1006,B720))</f>
        <v/>
      </c>
      <c r="P720" s="78">
        <f>IF(D720="","",IF(AND(H720&lt;&gt;"",H720&gt;=B720),"⚠️ Predecessor must be above",IF(M720="Done","✓ Done",IF(Q720=3,"🔴 Late",IF(M720="In progress","In progress","")))))</f>
        <v/>
      </c>
      <c r="Q720" s="79">
        <f>IF(OR(D720="",L720=""),"",IF(M720="Done",2,IF(AsOf&gt;L720,3,1)))</f>
        <v/>
      </c>
      <c r="R720" s="79">
        <f>IF(OR(E720="",F720=""),0,IF(COUNTIFS($E$7:E720,E720,$F$7:F720,F720)=1,1,0))</f>
        <v/>
      </c>
      <c r="S720" s="79">
        <f>IF(R720=1,E720&amp;"|"&amp;SUMIFS($R$7:R720,$E$7:E720,E720),"")</f>
        <v/>
      </c>
      <c r="T720" s="112">
        <f>IF(Q720="","",IF(Q720=3,L720,IF(OR(M720="Not started",M720=""),J720,"")))</f>
        <v/>
      </c>
      <c r="U720" s="79">
        <f>IF(T720="","",IF(Q720=3,1,IF(T720="","",IF(T720&lt;AsOf,1,IF(T720&lt;=AsOf+AlertDays,2,IF(T720&lt;=AsOf+2*AlertDays,3,""))))))</f>
        <v/>
      </c>
      <c r="V720" s="79">
        <f>IF(U720="","",IF(Q720=3,"Late task: "&amp;D720,IF(T720&lt;AsOf,"Should have started: ","Starts soon: ")&amp;D720)&amp;IF(F720="",""," — "&amp;F720))</f>
        <v/>
      </c>
    </row>
    <row r="721" ht="20" customHeight="1">
      <c r="B721" s="125" t="n">
        <v>715</v>
      </c>
      <c r="C721" s="72" t="n"/>
      <c r="D721" s="72" t="n"/>
      <c r="E721" s="72" t="n"/>
      <c r="F721" s="72" t="n"/>
      <c r="G721" s="89" t="n"/>
      <c r="H721" s="89" t="n"/>
      <c r="I721" s="109" t="n"/>
      <c r="J721" s="126">
        <f>IF(OR(D721="",ProjStart=""),"",MAX(ProjStart,IF(I721&lt;&gt;"",I721,0),IF(H721="",0,IFERROR(INDEX($L$6:L720,MATCH(H721,$B$6:B720,0))+1,0))))</f>
        <v/>
      </c>
      <c r="K721" s="89" t="n"/>
      <c r="L721" s="126">
        <f>IF(J721="","",J721+MAX(1,G721)+IF(K721="",0,K721)-1)</f>
        <v/>
      </c>
      <c r="M721" s="72" t="n"/>
      <c r="N721" s="109" t="n"/>
      <c r="O721" s="127">
        <f>IF(D721="","",COUNTIF($H$7:$H$1006,B721))</f>
        <v/>
      </c>
      <c r="P721" s="78">
        <f>IF(D721="","",IF(AND(H721&lt;&gt;"",H721&gt;=B721),"⚠️ Predecessor must be above",IF(M721="Done","✓ Done",IF(Q721=3,"🔴 Late",IF(M721="In progress","In progress","")))))</f>
        <v/>
      </c>
      <c r="Q721" s="79">
        <f>IF(OR(D721="",L721=""),"",IF(M721="Done",2,IF(AsOf&gt;L721,3,1)))</f>
        <v/>
      </c>
      <c r="R721" s="79">
        <f>IF(OR(E721="",F721=""),0,IF(COUNTIFS($E$7:E721,E721,$F$7:F721,F721)=1,1,0))</f>
        <v/>
      </c>
      <c r="S721" s="79">
        <f>IF(R721=1,E721&amp;"|"&amp;SUMIFS($R$7:R721,$E$7:E721,E721),"")</f>
        <v/>
      </c>
      <c r="T721" s="112">
        <f>IF(Q721="","",IF(Q721=3,L721,IF(OR(M721="Not started",M721=""),J721,"")))</f>
        <v/>
      </c>
      <c r="U721" s="79">
        <f>IF(T721="","",IF(Q721=3,1,IF(T721="","",IF(T721&lt;AsOf,1,IF(T721&lt;=AsOf+AlertDays,2,IF(T721&lt;=AsOf+2*AlertDays,3,""))))))</f>
        <v/>
      </c>
      <c r="V721" s="79">
        <f>IF(U721="","",IF(Q721=3,"Late task: "&amp;D721,IF(T721&lt;AsOf,"Should have started: ","Starts soon: ")&amp;D721)&amp;IF(F721="",""," — "&amp;F721))</f>
        <v/>
      </c>
    </row>
    <row r="722" ht="20" customHeight="1">
      <c r="B722" s="125" t="n">
        <v>716</v>
      </c>
      <c r="C722" s="72" t="n"/>
      <c r="D722" s="72" t="n"/>
      <c r="E722" s="72" t="n"/>
      <c r="F722" s="72" t="n"/>
      <c r="G722" s="89" t="n"/>
      <c r="H722" s="89" t="n"/>
      <c r="I722" s="109" t="n"/>
      <c r="J722" s="126">
        <f>IF(OR(D722="",ProjStart=""),"",MAX(ProjStart,IF(I722&lt;&gt;"",I722,0),IF(H722="",0,IFERROR(INDEX($L$6:L721,MATCH(H722,$B$6:B721,0))+1,0))))</f>
        <v/>
      </c>
      <c r="K722" s="89" t="n"/>
      <c r="L722" s="126">
        <f>IF(J722="","",J722+MAX(1,G722)+IF(K722="",0,K722)-1)</f>
        <v/>
      </c>
      <c r="M722" s="72" t="n"/>
      <c r="N722" s="109" t="n"/>
      <c r="O722" s="127">
        <f>IF(D722="","",COUNTIF($H$7:$H$1006,B722))</f>
        <v/>
      </c>
      <c r="P722" s="78">
        <f>IF(D722="","",IF(AND(H722&lt;&gt;"",H722&gt;=B722),"⚠️ Predecessor must be above",IF(M722="Done","✓ Done",IF(Q722=3,"🔴 Late",IF(M722="In progress","In progress","")))))</f>
        <v/>
      </c>
      <c r="Q722" s="79">
        <f>IF(OR(D722="",L722=""),"",IF(M722="Done",2,IF(AsOf&gt;L722,3,1)))</f>
        <v/>
      </c>
      <c r="R722" s="79">
        <f>IF(OR(E722="",F722=""),0,IF(COUNTIFS($E$7:E722,E722,$F$7:F722,F722)=1,1,0))</f>
        <v/>
      </c>
      <c r="S722" s="79">
        <f>IF(R722=1,E722&amp;"|"&amp;SUMIFS($R$7:R722,$E$7:E722,E722),"")</f>
        <v/>
      </c>
      <c r="T722" s="112">
        <f>IF(Q722="","",IF(Q722=3,L722,IF(OR(M722="Not started",M722=""),J722,"")))</f>
        <v/>
      </c>
      <c r="U722" s="79">
        <f>IF(T722="","",IF(Q722=3,1,IF(T722="","",IF(T722&lt;AsOf,1,IF(T722&lt;=AsOf+AlertDays,2,IF(T722&lt;=AsOf+2*AlertDays,3,""))))))</f>
        <v/>
      </c>
      <c r="V722" s="79">
        <f>IF(U722="","",IF(Q722=3,"Late task: "&amp;D722,IF(T722&lt;AsOf,"Should have started: ","Starts soon: ")&amp;D722)&amp;IF(F722="",""," — "&amp;F722))</f>
        <v/>
      </c>
    </row>
    <row r="723" ht="20" customHeight="1">
      <c r="B723" s="125" t="n">
        <v>717</v>
      </c>
      <c r="C723" s="72" t="n"/>
      <c r="D723" s="72" t="n"/>
      <c r="E723" s="72" t="n"/>
      <c r="F723" s="72" t="n"/>
      <c r="G723" s="89" t="n"/>
      <c r="H723" s="89" t="n"/>
      <c r="I723" s="109" t="n"/>
      <c r="J723" s="126">
        <f>IF(OR(D723="",ProjStart=""),"",MAX(ProjStart,IF(I723&lt;&gt;"",I723,0),IF(H723="",0,IFERROR(INDEX($L$6:L722,MATCH(H723,$B$6:B722,0))+1,0))))</f>
        <v/>
      </c>
      <c r="K723" s="89" t="n"/>
      <c r="L723" s="126">
        <f>IF(J723="","",J723+MAX(1,G723)+IF(K723="",0,K723)-1)</f>
        <v/>
      </c>
      <c r="M723" s="72" t="n"/>
      <c r="N723" s="109" t="n"/>
      <c r="O723" s="127">
        <f>IF(D723="","",COUNTIF($H$7:$H$1006,B723))</f>
        <v/>
      </c>
      <c r="P723" s="78">
        <f>IF(D723="","",IF(AND(H723&lt;&gt;"",H723&gt;=B723),"⚠️ Predecessor must be above",IF(M723="Done","✓ Done",IF(Q723=3,"🔴 Late",IF(M723="In progress","In progress","")))))</f>
        <v/>
      </c>
      <c r="Q723" s="79">
        <f>IF(OR(D723="",L723=""),"",IF(M723="Done",2,IF(AsOf&gt;L723,3,1)))</f>
        <v/>
      </c>
      <c r="R723" s="79">
        <f>IF(OR(E723="",F723=""),0,IF(COUNTIFS($E$7:E723,E723,$F$7:F723,F723)=1,1,0))</f>
        <v/>
      </c>
      <c r="S723" s="79">
        <f>IF(R723=1,E723&amp;"|"&amp;SUMIFS($R$7:R723,$E$7:E723,E723),"")</f>
        <v/>
      </c>
      <c r="T723" s="112">
        <f>IF(Q723="","",IF(Q723=3,L723,IF(OR(M723="Not started",M723=""),J723,"")))</f>
        <v/>
      </c>
      <c r="U723" s="79">
        <f>IF(T723="","",IF(Q723=3,1,IF(T723="","",IF(T723&lt;AsOf,1,IF(T723&lt;=AsOf+AlertDays,2,IF(T723&lt;=AsOf+2*AlertDays,3,""))))))</f>
        <v/>
      </c>
      <c r="V723" s="79">
        <f>IF(U723="","",IF(Q723=3,"Late task: "&amp;D723,IF(T723&lt;AsOf,"Should have started: ","Starts soon: ")&amp;D723)&amp;IF(F723="",""," — "&amp;F723))</f>
        <v/>
      </c>
    </row>
    <row r="724" ht="20" customHeight="1">
      <c r="B724" s="125" t="n">
        <v>718</v>
      </c>
      <c r="C724" s="72" t="n"/>
      <c r="D724" s="72" t="n"/>
      <c r="E724" s="72" t="n"/>
      <c r="F724" s="72" t="n"/>
      <c r="G724" s="89" t="n"/>
      <c r="H724" s="89" t="n"/>
      <c r="I724" s="109" t="n"/>
      <c r="J724" s="126">
        <f>IF(OR(D724="",ProjStart=""),"",MAX(ProjStart,IF(I724&lt;&gt;"",I724,0),IF(H724="",0,IFERROR(INDEX($L$6:L723,MATCH(H724,$B$6:B723,0))+1,0))))</f>
        <v/>
      </c>
      <c r="K724" s="89" t="n"/>
      <c r="L724" s="126">
        <f>IF(J724="","",J724+MAX(1,G724)+IF(K724="",0,K724)-1)</f>
        <v/>
      </c>
      <c r="M724" s="72" t="n"/>
      <c r="N724" s="109" t="n"/>
      <c r="O724" s="127">
        <f>IF(D724="","",COUNTIF($H$7:$H$1006,B724))</f>
        <v/>
      </c>
      <c r="P724" s="78">
        <f>IF(D724="","",IF(AND(H724&lt;&gt;"",H724&gt;=B724),"⚠️ Predecessor must be above",IF(M724="Done","✓ Done",IF(Q724=3,"🔴 Late",IF(M724="In progress","In progress","")))))</f>
        <v/>
      </c>
      <c r="Q724" s="79">
        <f>IF(OR(D724="",L724=""),"",IF(M724="Done",2,IF(AsOf&gt;L724,3,1)))</f>
        <v/>
      </c>
      <c r="R724" s="79">
        <f>IF(OR(E724="",F724=""),0,IF(COUNTIFS($E$7:E724,E724,$F$7:F724,F724)=1,1,0))</f>
        <v/>
      </c>
      <c r="S724" s="79">
        <f>IF(R724=1,E724&amp;"|"&amp;SUMIFS($R$7:R724,$E$7:E724,E724),"")</f>
        <v/>
      </c>
      <c r="T724" s="112">
        <f>IF(Q724="","",IF(Q724=3,L724,IF(OR(M724="Not started",M724=""),J724,"")))</f>
        <v/>
      </c>
      <c r="U724" s="79">
        <f>IF(T724="","",IF(Q724=3,1,IF(T724="","",IF(T724&lt;AsOf,1,IF(T724&lt;=AsOf+AlertDays,2,IF(T724&lt;=AsOf+2*AlertDays,3,""))))))</f>
        <v/>
      </c>
      <c r="V724" s="79">
        <f>IF(U724="","",IF(Q724=3,"Late task: "&amp;D724,IF(T724&lt;AsOf,"Should have started: ","Starts soon: ")&amp;D724)&amp;IF(F724="",""," — "&amp;F724))</f>
        <v/>
      </c>
    </row>
    <row r="725" ht="20" customHeight="1">
      <c r="B725" s="125" t="n">
        <v>719</v>
      </c>
      <c r="C725" s="72" t="n"/>
      <c r="D725" s="72" t="n"/>
      <c r="E725" s="72" t="n"/>
      <c r="F725" s="72" t="n"/>
      <c r="G725" s="89" t="n"/>
      <c r="H725" s="89" t="n"/>
      <c r="I725" s="109" t="n"/>
      <c r="J725" s="126">
        <f>IF(OR(D725="",ProjStart=""),"",MAX(ProjStart,IF(I725&lt;&gt;"",I725,0),IF(H725="",0,IFERROR(INDEX($L$6:L724,MATCH(H725,$B$6:B724,0))+1,0))))</f>
        <v/>
      </c>
      <c r="K725" s="89" t="n"/>
      <c r="L725" s="126">
        <f>IF(J725="","",J725+MAX(1,G725)+IF(K725="",0,K725)-1)</f>
        <v/>
      </c>
      <c r="M725" s="72" t="n"/>
      <c r="N725" s="109" t="n"/>
      <c r="O725" s="127">
        <f>IF(D725="","",COUNTIF($H$7:$H$1006,B725))</f>
        <v/>
      </c>
      <c r="P725" s="78">
        <f>IF(D725="","",IF(AND(H725&lt;&gt;"",H725&gt;=B725),"⚠️ Predecessor must be above",IF(M725="Done","✓ Done",IF(Q725=3,"🔴 Late",IF(M725="In progress","In progress","")))))</f>
        <v/>
      </c>
      <c r="Q725" s="79">
        <f>IF(OR(D725="",L725=""),"",IF(M725="Done",2,IF(AsOf&gt;L725,3,1)))</f>
        <v/>
      </c>
      <c r="R725" s="79">
        <f>IF(OR(E725="",F725=""),0,IF(COUNTIFS($E$7:E725,E725,$F$7:F725,F725)=1,1,0))</f>
        <v/>
      </c>
      <c r="S725" s="79">
        <f>IF(R725=1,E725&amp;"|"&amp;SUMIFS($R$7:R725,$E$7:E725,E725),"")</f>
        <v/>
      </c>
      <c r="T725" s="112">
        <f>IF(Q725="","",IF(Q725=3,L725,IF(OR(M725="Not started",M725=""),J725,"")))</f>
        <v/>
      </c>
      <c r="U725" s="79">
        <f>IF(T725="","",IF(Q725=3,1,IF(T725="","",IF(T725&lt;AsOf,1,IF(T725&lt;=AsOf+AlertDays,2,IF(T725&lt;=AsOf+2*AlertDays,3,""))))))</f>
        <v/>
      </c>
      <c r="V725" s="79">
        <f>IF(U725="","",IF(Q725=3,"Late task: "&amp;D725,IF(T725&lt;AsOf,"Should have started: ","Starts soon: ")&amp;D725)&amp;IF(F725="",""," — "&amp;F725))</f>
        <v/>
      </c>
    </row>
    <row r="726" ht="20" customHeight="1">
      <c r="B726" s="125" t="n">
        <v>720</v>
      </c>
      <c r="C726" s="72" t="n"/>
      <c r="D726" s="72" t="n"/>
      <c r="E726" s="72" t="n"/>
      <c r="F726" s="72" t="n"/>
      <c r="G726" s="89" t="n"/>
      <c r="H726" s="89" t="n"/>
      <c r="I726" s="109" t="n"/>
      <c r="J726" s="126">
        <f>IF(OR(D726="",ProjStart=""),"",MAX(ProjStart,IF(I726&lt;&gt;"",I726,0),IF(H726="",0,IFERROR(INDEX($L$6:L725,MATCH(H726,$B$6:B725,0))+1,0))))</f>
        <v/>
      </c>
      <c r="K726" s="89" t="n"/>
      <c r="L726" s="126">
        <f>IF(J726="","",J726+MAX(1,G726)+IF(K726="",0,K726)-1)</f>
        <v/>
      </c>
      <c r="M726" s="72" t="n"/>
      <c r="N726" s="109" t="n"/>
      <c r="O726" s="127">
        <f>IF(D726="","",COUNTIF($H$7:$H$1006,B726))</f>
        <v/>
      </c>
      <c r="P726" s="78">
        <f>IF(D726="","",IF(AND(H726&lt;&gt;"",H726&gt;=B726),"⚠️ Predecessor must be above",IF(M726="Done","✓ Done",IF(Q726=3,"🔴 Late",IF(M726="In progress","In progress","")))))</f>
        <v/>
      </c>
      <c r="Q726" s="79">
        <f>IF(OR(D726="",L726=""),"",IF(M726="Done",2,IF(AsOf&gt;L726,3,1)))</f>
        <v/>
      </c>
      <c r="R726" s="79">
        <f>IF(OR(E726="",F726=""),0,IF(COUNTIFS($E$7:E726,E726,$F$7:F726,F726)=1,1,0))</f>
        <v/>
      </c>
      <c r="S726" s="79">
        <f>IF(R726=1,E726&amp;"|"&amp;SUMIFS($R$7:R726,$E$7:E726,E726),"")</f>
        <v/>
      </c>
      <c r="T726" s="112">
        <f>IF(Q726="","",IF(Q726=3,L726,IF(OR(M726="Not started",M726=""),J726,"")))</f>
        <v/>
      </c>
      <c r="U726" s="79">
        <f>IF(T726="","",IF(Q726=3,1,IF(T726="","",IF(T726&lt;AsOf,1,IF(T726&lt;=AsOf+AlertDays,2,IF(T726&lt;=AsOf+2*AlertDays,3,""))))))</f>
        <v/>
      </c>
      <c r="V726" s="79">
        <f>IF(U726="","",IF(Q726=3,"Late task: "&amp;D726,IF(T726&lt;AsOf,"Should have started: ","Starts soon: ")&amp;D726)&amp;IF(F726="",""," — "&amp;F726))</f>
        <v/>
      </c>
    </row>
    <row r="727" ht="20" customHeight="1">
      <c r="B727" s="125" t="n">
        <v>721</v>
      </c>
      <c r="C727" s="72" t="n"/>
      <c r="D727" s="72" t="n"/>
      <c r="E727" s="72" t="n"/>
      <c r="F727" s="72" t="n"/>
      <c r="G727" s="89" t="n"/>
      <c r="H727" s="89" t="n"/>
      <c r="I727" s="109" t="n"/>
      <c r="J727" s="126">
        <f>IF(OR(D727="",ProjStart=""),"",MAX(ProjStart,IF(I727&lt;&gt;"",I727,0),IF(H727="",0,IFERROR(INDEX($L$6:L726,MATCH(H727,$B$6:B726,0))+1,0))))</f>
        <v/>
      </c>
      <c r="K727" s="89" t="n"/>
      <c r="L727" s="126">
        <f>IF(J727="","",J727+MAX(1,G727)+IF(K727="",0,K727)-1)</f>
        <v/>
      </c>
      <c r="M727" s="72" t="n"/>
      <c r="N727" s="109" t="n"/>
      <c r="O727" s="127">
        <f>IF(D727="","",COUNTIF($H$7:$H$1006,B727))</f>
        <v/>
      </c>
      <c r="P727" s="78">
        <f>IF(D727="","",IF(AND(H727&lt;&gt;"",H727&gt;=B727),"⚠️ Predecessor must be above",IF(M727="Done","✓ Done",IF(Q727=3,"🔴 Late",IF(M727="In progress","In progress","")))))</f>
        <v/>
      </c>
      <c r="Q727" s="79">
        <f>IF(OR(D727="",L727=""),"",IF(M727="Done",2,IF(AsOf&gt;L727,3,1)))</f>
        <v/>
      </c>
      <c r="R727" s="79">
        <f>IF(OR(E727="",F727=""),0,IF(COUNTIFS($E$7:E727,E727,$F$7:F727,F727)=1,1,0))</f>
        <v/>
      </c>
      <c r="S727" s="79">
        <f>IF(R727=1,E727&amp;"|"&amp;SUMIFS($R$7:R727,$E$7:E727,E727),"")</f>
        <v/>
      </c>
      <c r="T727" s="112">
        <f>IF(Q727="","",IF(Q727=3,L727,IF(OR(M727="Not started",M727=""),J727,"")))</f>
        <v/>
      </c>
      <c r="U727" s="79">
        <f>IF(T727="","",IF(Q727=3,1,IF(T727="","",IF(T727&lt;AsOf,1,IF(T727&lt;=AsOf+AlertDays,2,IF(T727&lt;=AsOf+2*AlertDays,3,""))))))</f>
        <v/>
      </c>
      <c r="V727" s="79">
        <f>IF(U727="","",IF(Q727=3,"Late task: "&amp;D727,IF(T727&lt;AsOf,"Should have started: ","Starts soon: ")&amp;D727)&amp;IF(F727="",""," — "&amp;F727))</f>
        <v/>
      </c>
    </row>
    <row r="728" ht="20" customHeight="1">
      <c r="B728" s="125" t="n">
        <v>722</v>
      </c>
      <c r="C728" s="72" t="n"/>
      <c r="D728" s="72" t="n"/>
      <c r="E728" s="72" t="n"/>
      <c r="F728" s="72" t="n"/>
      <c r="G728" s="89" t="n"/>
      <c r="H728" s="89" t="n"/>
      <c r="I728" s="109" t="n"/>
      <c r="J728" s="126">
        <f>IF(OR(D728="",ProjStart=""),"",MAX(ProjStart,IF(I728&lt;&gt;"",I728,0),IF(H728="",0,IFERROR(INDEX($L$6:L727,MATCH(H728,$B$6:B727,0))+1,0))))</f>
        <v/>
      </c>
      <c r="K728" s="89" t="n"/>
      <c r="L728" s="126">
        <f>IF(J728="","",J728+MAX(1,G728)+IF(K728="",0,K728)-1)</f>
        <v/>
      </c>
      <c r="M728" s="72" t="n"/>
      <c r="N728" s="109" t="n"/>
      <c r="O728" s="127">
        <f>IF(D728="","",COUNTIF($H$7:$H$1006,B728))</f>
        <v/>
      </c>
      <c r="P728" s="78">
        <f>IF(D728="","",IF(AND(H728&lt;&gt;"",H728&gt;=B728),"⚠️ Predecessor must be above",IF(M728="Done","✓ Done",IF(Q728=3,"🔴 Late",IF(M728="In progress","In progress","")))))</f>
        <v/>
      </c>
      <c r="Q728" s="79">
        <f>IF(OR(D728="",L728=""),"",IF(M728="Done",2,IF(AsOf&gt;L728,3,1)))</f>
        <v/>
      </c>
      <c r="R728" s="79">
        <f>IF(OR(E728="",F728=""),0,IF(COUNTIFS($E$7:E728,E728,$F$7:F728,F728)=1,1,0))</f>
        <v/>
      </c>
      <c r="S728" s="79">
        <f>IF(R728=1,E728&amp;"|"&amp;SUMIFS($R$7:R728,$E$7:E728,E728),"")</f>
        <v/>
      </c>
      <c r="T728" s="112">
        <f>IF(Q728="","",IF(Q728=3,L728,IF(OR(M728="Not started",M728=""),J728,"")))</f>
        <v/>
      </c>
      <c r="U728" s="79">
        <f>IF(T728="","",IF(Q728=3,1,IF(T728="","",IF(T728&lt;AsOf,1,IF(T728&lt;=AsOf+AlertDays,2,IF(T728&lt;=AsOf+2*AlertDays,3,""))))))</f>
        <v/>
      </c>
      <c r="V728" s="79">
        <f>IF(U728="","",IF(Q728=3,"Late task: "&amp;D728,IF(T728&lt;AsOf,"Should have started: ","Starts soon: ")&amp;D728)&amp;IF(F728="",""," — "&amp;F728))</f>
        <v/>
      </c>
    </row>
    <row r="729" ht="20" customHeight="1">
      <c r="B729" s="125" t="n">
        <v>723</v>
      </c>
      <c r="C729" s="72" t="n"/>
      <c r="D729" s="72" t="n"/>
      <c r="E729" s="72" t="n"/>
      <c r="F729" s="72" t="n"/>
      <c r="G729" s="89" t="n"/>
      <c r="H729" s="89" t="n"/>
      <c r="I729" s="109" t="n"/>
      <c r="J729" s="126">
        <f>IF(OR(D729="",ProjStart=""),"",MAX(ProjStart,IF(I729&lt;&gt;"",I729,0),IF(H729="",0,IFERROR(INDEX($L$6:L728,MATCH(H729,$B$6:B728,0))+1,0))))</f>
        <v/>
      </c>
      <c r="K729" s="89" t="n"/>
      <c r="L729" s="126">
        <f>IF(J729="","",J729+MAX(1,G729)+IF(K729="",0,K729)-1)</f>
        <v/>
      </c>
      <c r="M729" s="72" t="n"/>
      <c r="N729" s="109" t="n"/>
      <c r="O729" s="127">
        <f>IF(D729="","",COUNTIF($H$7:$H$1006,B729))</f>
        <v/>
      </c>
      <c r="P729" s="78">
        <f>IF(D729="","",IF(AND(H729&lt;&gt;"",H729&gt;=B729),"⚠️ Predecessor must be above",IF(M729="Done","✓ Done",IF(Q729=3,"🔴 Late",IF(M729="In progress","In progress","")))))</f>
        <v/>
      </c>
      <c r="Q729" s="79">
        <f>IF(OR(D729="",L729=""),"",IF(M729="Done",2,IF(AsOf&gt;L729,3,1)))</f>
        <v/>
      </c>
      <c r="R729" s="79">
        <f>IF(OR(E729="",F729=""),0,IF(COUNTIFS($E$7:E729,E729,$F$7:F729,F729)=1,1,0))</f>
        <v/>
      </c>
      <c r="S729" s="79">
        <f>IF(R729=1,E729&amp;"|"&amp;SUMIFS($R$7:R729,$E$7:E729,E729),"")</f>
        <v/>
      </c>
      <c r="T729" s="112">
        <f>IF(Q729="","",IF(Q729=3,L729,IF(OR(M729="Not started",M729=""),J729,"")))</f>
        <v/>
      </c>
      <c r="U729" s="79">
        <f>IF(T729="","",IF(Q729=3,1,IF(T729="","",IF(T729&lt;AsOf,1,IF(T729&lt;=AsOf+AlertDays,2,IF(T729&lt;=AsOf+2*AlertDays,3,""))))))</f>
        <v/>
      </c>
      <c r="V729" s="79">
        <f>IF(U729="","",IF(Q729=3,"Late task: "&amp;D729,IF(T729&lt;AsOf,"Should have started: ","Starts soon: ")&amp;D729)&amp;IF(F729="",""," — "&amp;F729))</f>
        <v/>
      </c>
    </row>
    <row r="730" ht="20" customHeight="1">
      <c r="B730" s="125" t="n">
        <v>724</v>
      </c>
      <c r="C730" s="72" t="n"/>
      <c r="D730" s="72" t="n"/>
      <c r="E730" s="72" t="n"/>
      <c r="F730" s="72" t="n"/>
      <c r="G730" s="89" t="n"/>
      <c r="H730" s="89" t="n"/>
      <c r="I730" s="109" t="n"/>
      <c r="J730" s="126">
        <f>IF(OR(D730="",ProjStart=""),"",MAX(ProjStart,IF(I730&lt;&gt;"",I730,0),IF(H730="",0,IFERROR(INDEX($L$6:L729,MATCH(H730,$B$6:B729,0))+1,0))))</f>
        <v/>
      </c>
      <c r="K730" s="89" t="n"/>
      <c r="L730" s="126">
        <f>IF(J730="","",J730+MAX(1,G730)+IF(K730="",0,K730)-1)</f>
        <v/>
      </c>
      <c r="M730" s="72" t="n"/>
      <c r="N730" s="109" t="n"/>
      <c r="O730" s="127">
        <f>IF(D730="","",COUNTIF($H$7:$H$1006,B730))</f>
        <v/>
      </c>
      <c r="P730" s="78">
        <f>IF(D730="","",IF(AND(H730&lt;&gt;"",H730&gt;=B730),"⚠️ Predecessor must be above",IF(M730="Done","✓ Done",IF(Q730=3,"🔴 Late",IF(M730="In progress","In progress","")))))</f>
        <v/>
      </c>
      <c r="Q730" s="79">
        <f>IF(OR(D730="",L730=""),"",IF(M730="Done",2,IF(AsOf&gt;L730,3,1)))</f>
        <v/>
      </c>
      <c r="R730" s="79">
        <f>IF(OR(E730="",F730=""),0,IF(COUNTIFS($E$7:E730,E730,$F$7:F730,F730)=1,1,0))</f>
        <v/>
      </c>
      <c r="S730" s="79">
        <f>IF(R730=1,E730&amp;"|"&amp;SUMIFS($R$7:R730,$E$7:E730,E730),"")</f>
        <v/>
      </c>
      <c r="T730" s="112">
        <f>IF(Q730="","",IF(Q730=3,L730,IF(OR(M730="Not started",M730=""),J730,"")))</f>
        <v/>
      </c>
      <c r="U730" s="79">
        <f>IF(T730="","",IF(Q730=3,1,IF(T730="","",IF(T730&lt;AsOf,1,IF(T730&lt;=AsOf+AlertDays,2,IF(T730&lt;=AsOf+2*AlertDays,3,""))))))</f>
        <v/>
      </c>
      <c r="V730" s="79">
        <f>IF(U730="","",IF(Q730=3,"Late task: "&amp;D730,IF(T730&lt;AsOf,"Should have started: ","Starts soon: ")&amp;D730)&amp;IF(F730="",""," — "&amp;F730))</f>
        <v/>
      </c>
    </row>
    <row r="731" ht="20" customHeight="1">
      <c r="B731" s="125" t="n">
        <v>725</v>
      </c>
      <c r="C731" s="72" t="n"/>
      <c r="D731" s="72" t="n"/>
      <c r="E731" s="72" t="n"/>
      <c r="F731" s="72" t="n"/>
      <c r="G731" s="89" t="n"/>
      <c r="H731" s="89" t="n"/>
      <c r="I731" s="109" t="n"/>
      <c r="J731" s="126">
        <f>IF(OR(D731="",ProjStart=""),"",MAX(ProjStart,IF(I731&lt;&gt;"",I731,0),IF(H731="",0,IFERROR(INDEX($L$6:L730,MATCH(H731,$B$6:B730,0))+1,0))))</f>
        <v/>
      </c>
      <c r="K731" s="89" t="n"/>
      <c r="L731" s="126">
        <f>IF(J731="","",J731+MAX(1,G731)+IF(K731="",0,K731)-1)</f>
        <v/>
      </c>
      <c r="M731" s="72" t="n"/>
      <c r="N731" s="109" t="n"/>
      <c r="O731" s="127">
        <f>IF(D731="","",COUNTIF($H$7:$H$1006,B731))</f>
        <v/>
      </c>
      <c r="P731" s="78">
        <f>IF(D731="","",IF(AND(H731&lt;&gt;"",H731&gt;=B731),"⚠️ Predecessor must be above",IF(M731="Done","✓ Done",IF(Q731=3,"🔴 Late",IF(M731="In progress","In progress","")))))</f>
        <v/>
      </c>
      <c r="Q731" s="79">
        <f>IF(OR(D731="",L731=""),"",IF(M731="Done",2,IF(AsOf&gt;L731,3,1)))</f>
        <v/>
      </c>
      <c r="R731" s="79">
        <f>IF(OR(E731="",F731=""),0,IF(COUNTIFS($E$7:E731,E731,$F$7:F731,F731)=1,1,0))</f>
        <v/>
      </c>
      <c r="S731" s="79">
        <f>IF(R731=1,E731&amp;"|"&amp;SUMIFS($R$7:R731,$E$7:E731,E731),"")</f>
        <v/>
      </c>
      <c r="T731" s="112">
        <f>IF(Q731="","",IF(Q731=3,L731,IF(OR(M731="Not started",M731=""),J731,"")))</f>
        <v/>
      </c>
      <c r="U731" s="79">
        <f>IF(T731="","",IF(Q731=3,1,IF(T731="","",IF(T731&lt;AsOf,1,IF(T731&lt;=AsOf+AlertDays,2,IF(T731&lt;=AsOf+2*AlertDays,3,""))))))</f>
        <v/>
      </c>
      <c r="V731" s="79">
        <f>IF(U731="","",IF(Q731=3,"Late task: "&amp;D731,IF(T731&lt;AsOf,"Should have started: ","Starts soon: ")&amp;D731)&amp;IF(F731="",""," — "&amp;F731))</f>
        <v/>
      </c>
    </row>
    <row r="732" ht="20" customHeight="1">
      <c r="B732" s="125" t="n">
        <v>726</v>
      </c>
      <c r="C732" s="72" t="n"/>
      <c r="D732" s="72" t="n"/>
      <c r="E732" s="72" t="n"/>
      <c r="F732" s="72" t="n"/>
      <c r="G732" s="89" t="n"/>
      <c r="H732" s="89" t="n"/>
      <c r="I732" s="109" t="n"/>
      <c r="J732" s="126">
        <f>IF(OR(D732="",ProjStart=""),"",MAX(ProjStart,IF(I732&lt;&gt;"",I732,0),IF(H732="",0,IFERROR(INDEX($L$6:L731,MATCH(H732,$B$6:B731,0))+1,0))))</f>
        <v/>
      </c>
      <c r="K732" s="89" t="n"/>
      <c r="L732" s="126">
        <f>IF(J732="","",J732+MAX(1,G732)+IF(K732="",0,K732)-1)</f>
        <v/>
      </c>
      <c r="M732" s="72" t="n"/>
      <c r="N732" s="109" t="n"/>
      <c r="O732" s="127">
        <f>IF(D732="","",COUNTIF($H$7:$H$1006,B732))</f>
        <v/>
      </c>
      <c r="P732" s="78">
        <f>IF(D732="","",IF(AND(H732&lt;&gt;"",H732&gt;=B732),"⚠️ Predecessor must be above",IF(M732="Done","✓ Done",IF(Q732=3,"🔴 Late",IF(M732="In progress","In progress","")))))</f>
        <v/>
      </c>
      <c r="Q732" s="79">
        <f>IF(OR(D732="",L732=""),"",IF(M732="Done",2,IF(AsOf&gt;L732,3,1)))</f>
        <v/>
      </c>
      <c r="R732" s="79">
        <f>IF(OR(E732="",F732=""),0,IF(COUNTIFS($E$7:E732,E732,$F$7:F732,F732)=1,1,0))</f>
        <v/>
      </c>
      <c r="S732" s="79">
        <f>IF(R732=1,E732&amp;"|"&amp;SUMIFS($R$7:R732,$E$7:E732,E732),"")</f>
        <v/>
      </c>
      <c r="T732" s="112">
        <f>IF(Q732="","",IF(Q732=3,L732,IF(OR(M732="Not started",M732=""),J732,"")))</f>
        <v/>
      </c>
      <c r="U732" s="79">
        <f>IF(T732="","",IF(Q732=3,1,IF(T732="","",IF(T732&lt;AsOf,1,IF(T732&lt;=AsOf+AlertDays,2,IF(T732&lt;=AsOf+2*AlertDays,3,""))))))</f>
        <v/>
      </c>
      <c r="V732" s="79">
        <f>IF(U732="","",IF(Q732=3,"Late task: "&amp;D732,IF(T732&lt;AsOf,"Should have started: ","Starts soon: ")&amp;D732)&amp;IF(F732="",""," — "&amp;F732))</f>
        <v/>
      </c>
    </row>
    <row r="733" ht="20" customHeight="1">
      <c r="B733" s="125" t="n">
        <v>727</v>
      </c>
      <c r="C733" s="72" t="n"/>
      <c r="D733" s="72" t="n"/>
      <c r="E733" s="72" t="n"/>
      <c r="F733" s="72" t="n"/>
      <c r="G733" s="89" t="n"/>
      <c r="H733" s="89" t="n"/>
      <c r="I733" s="109" t="n"/>
      <c r="J733" s="126">
        <f>IF(OR(D733="",ProjStart=""),"",MAX(ProjStart,IF(I733&lt;&gt;"",I733,0),IF(H733="",0,IFERROR(INDEX($L$6:L732,MATCH(H733,$B$6:B732,0))+1,0))))</f>
        <v/>
      </c>
      <c r="K733" s="89" t="n"/>
      <c r="L733" s="126">
        <f>IF(J733="","",J733+MAX(1,G733)+IF(K733="",0,K733)-1)</f>
        <v/>
      </c>
      <c r="M733" s="72" t="n"/>
      <c r="N733" s="109" t="n"/>
      <c r="O733" s="127">
        <f>IF(D733="","",COUNTIF($H$7:$H$1006,B733))</f>
        <v/>
      </c>
      <c r="P733" s="78">
        <f>IF(D733="","",IF(AND(H733&lt;&gt;"",H733&gt;=B733),"⚠️ Predecessor must be above",IF(M733="Done","✓ Done",IF(Q733=3,"🔴 Late",IF(M733="In progress","In progress","")))))</f>
        <v/>
      </c>
      <c r="Q733" s="79">
        <f>IF(OR(D733="",L733=""),"",IF(M733="Done",2,IF(AsOf&gt;L733,3,1)))</f>
        <v/>
      </c>
      <c r="R733" s="79">
        <f>IF(OR(E733="",F733=""),0,IF(COUNTIFS($E$7:E733,E733,$F$7:F733,F733)=1,1,0))</f>
        <v/>
      </c>
      <c r="S733" s="79">
        <f>IF(R733=1,E733&amp;"|"&amp;SUMIFS($R$7:R733,$E$7:E733,E733),"")</f>
        <v/>
      </c>
      <c r="T733" s="112">
        <f>IF(Q733="","",IF(Q733=3,L733,IF(OR(M733="Not started",M733=""),J733,"")))</f>
        <v/>
      </c>
      <c r="U733" s="79">
        <f>IF(T733="","",IF(Q733=3,1,IF(T733="","",IF(T733&lt;AsOf,1,IF(T733&lt;=AsOf+AlertDays,2,IF(T733&lt;=AsOf+2*AlertDays,3,""))))))</f>
        <v/>
      </c>
      <c r="V733" s="79">
        <f>IF(U733="","",IF(Q733=3,"Late task: "&amp;D733,IF(T733&lt;AsOf,"Should have started: ","Starts soon: ")&amp;D733)&amp;IF(F733="",""," — "&amp;F733))</f>
        <v/>
      </c>
    </row>
    <row r="734" ht="20" customHeight="1">
      <c r="B734" s="125" t="n">
        <v>728</v>
      </c>
      <c r="C734" s="72" t="n"/>
      <c r="D734" s="72" t="n"/>
      <c r="E734" s="72" t="n"/>
      <c r="F734" s="72" t="n"/>
      <c r="G734" s="89" t="n"/>
      <c r="H734" s="89" t="n"/>
      <c r="I734" s="109" t="n"/>
      <c r="J734" s="126">
        <f>IF(OR(D734="",ProjStart=""),"",MAX(ProjStart,IF(I734&lt;&gt;"",I734,0),IF(H734="",0,IFERROR(INDEX($L$6:L733,MATCH(H734,$B$6:B733,0))+1,0))))</f>
        <v/>
      </c>
      <c r="K734" s="89" t="n"/>
      <c r="L734" s="126">
        <f>IF(J734="","",J734+MAX(1,G734)+IF(K734="",0,K734)-1)</f>
        <v/>
      </c>
      <c r="M734" s="72" t="n"/>
      <c r="N734" s="109" t="n"/>
      <c r="O734" s="127">
        <f>IF(D734="","",COUNTIF($H$7:$H$1006,B734))</f>
        <v/>
      </c>
      <c r="P734" s="78">
        <f>IF(D734="","",IF(AND(H734&lt;&gt;"",H734&gt;=B734),"⚠️ Predecessor must be above",IF(M734="Done","✓ Done",IF(Q734=3,"🔴 Late",IF(M734="In progress","In progress","")))))</f>
        <v/>
      </c>
      <c r="Q734" s="79">
        <f>IF(OR(D734="",L734=""),"",IF(M734="Done",2,IF(AsOf&gt;L734,3,1)))</f>
        <v/>
      </c>
      <c r="R734" s="79">
        <f>IF(OR(E734="",F734=""),0,IF(COUNTIFS($E$7:E734,E734,$F$7:F734,F734)=1,1,0))</f>
        <v/>
      </c>
      <c r="S734" s="79">
        <f>IF(R734=1,E734&amp;"|"&amp;SUMIFS($R$7:R734,$E$7:E734,E734),"")</f>
        <v/>
      </c>
      <c r="T734" s="112">
        <f>IF(Q734="","",IF(Q734=3,L734,IF(OR(M734="Not started",M734=""),J734,"")))</f>
        <v/>
      </c>
      <c r="U734" s="79">
        <f>IF(T734="","",IF(Q734=3,1,IF(T734="","",IF(T734&lt;AsOf,1,IF(T734&lt;=AsOf+AlertDays,2,IF(T734&lt;=AsOf+2*AlertDays,3,""))))))</f>
        <v/>
      </c>
      <c r="V734" s="79">
        <f>IF(U734="","",IF(Q734=3,"Late task: "&amp;D734,IF(T734&lt;AsOf,"Should have started: ","Starts soon: ")&amp;D734)&amp;IF(F734="",""," — "&amp;F734))</f>
        <v/>
      </c>
    </row>
    <row r="735" ht="20" customHeight="1">
      <c r="B735" s="125" t="n">
        <v>729</v>
      </c>
      <c r="C735" s="72" t="n"/>
      <c r="D735" s="72" t="n"/>
      <c r="E735" s="72" t="n"/>
      <c r="F735" s="72" t="n"/>
      <c r="G735" s="89" t="n"/>
      <c r="H735" s="89" t="n"/>
      <c r="I735" s="109" t="n"/>
      <c r="J735" s="126">
        <f>IF(OR(D735="",ProjStart=""),"",MAX(ProjStart,IF(I735&lt;&gt;"",I735,0),IF(H735="",0,IFERROR(INDEX($L$6:L734,MATCH(H735,$B$6:B734,0))+1,0))))</f>
        <v/>
      </c>
      <c r="K735" s="89" t="n"/>
      <c r="L735" s="126">
        <f>IF(J735="","",J735+MAX(1,G735)+IF(K735="",0,K735)-1)</f>
        <v/>
      </c>
      <c r="M735" s="72" t="n"/>
      <c r="N735" s="109" t="n"/>
      <c r="O735" s="127">
        <f>IF(D735="","",COUNTIF($H$7:$H$1006,B735))</f>
        <v/>
      </c>
      <c r="P735" s="78">
        <f>IF(D735="","",IF(AND(H735&lt;&gt;"",H735&gt;=B735),"⚠️ Predecessor must be above",IF(M735="Done","✓ Done",IF(Q735=3,"🔴 Late",IF(M735="In progress","In progress","")))))</f>
        <v/>
      </c>
      <c r="Q735" s="79">
        <f>IF(OR(D735="",L735=""),"",IF(M735="Done",2,IF(AsOf&gt;L735,3,1)))</f>
        <v/>
      </c>
      <c r="R735" s="79">
        <f>IF(OR(E735="",F735=""),0,IF(COUNTIFS($E$7:E735,E735,$F$7:F735,F735)=1,1,0))</f>
        <v/>
      </c>
      <c r="S735" s="79">
        <f>IF(R735=1,E735&amp;"|"&amp;SUMIFS($R$7:R735,$E$7:E735,E735),"")</f>
        <v/>
      </c>
      <c r="T735" s="112">
        <f>IF(Q735="","",IF(Q735=3,L735,IF(OR(M735="Not started",M735=""),J735,"")))</f>
        <v/>
      </c>
      <c r="U735" s="79">
        <f>IF(T735="","",IF(Q735=3,1,IF(T735="","",IF(T735&lt;AsOf,1,IF(T735&lt;=AsOf+AlertDays,2,IF(T735&lt;=AsOf+2*AlertDays,3,""))))))</f>
        <v/>
      </c>
      <c r="V735" s="79">
        <f>IF(U735="","",IF(Q735=3,"Late task: "&amp;D735,IF(T735&lt;AsOf,"Should have started: ","Starts soon: ")&amp;D735)&amp;IF(F735="",""," — "&amp;F735))</f>
        <v/>
      </c>
    </row>
    <row r="736" ht="20" customHeight="1">
      <c r="B736" s="125" t="n">
        <v>730</v>
      </c>
      <c r="C736" s="72" t="n"/>
      <c r="D736" s="72" t="n"/>
      <c r="E736" s="72" t="n"/>
      <c r="F736" s="72" t="n"/>
      <c r="G736" s="89" t="n"/>
      <c r="H736" s="89" t="n"/>
      <c r="I736" s="109" t="n"/>
      <c r="J736" s="126">
        <f>IF(OR(D736="",ProjStart=""),"",MAX(ProjStart,IF(I736&lt;&gt;"",I736,0),IF(H736="",0,IFERROR(INDEX($L$6:L735,MATCH(H736,$B$6:B735,0))+1,0))))</f>
        <v/>
      </c>
      <c r="K736" s="89" t="n"/>
      <c r="L736" s="126">
        <f>IF(J736="","",J736+MAX(1,G736)+IF(K736="",0,K736)-1)</f>
        <v/>
      </c>
      <c r="M736" s="72" t="n"/>
      <c r="N736" s="109" t="n"/>
      <c r="O736" s="127">
        <f>IF(D736="","",COUNTIF($H$7:$H$1006,B736))</f>
        <v/>
      </c>
      <c r="P736" s="78">
        <f>IF(D736="","",IF(AND(H736&lt;&gt;"",H736&gt;=B736),"⚠️ Predecessor must be above",IF(M736="Done","✓ Done",IF(Q736=3,"🔴 Late",IF(M736="In progress","In progress","")))))</f>
        <v/>
      </c>
      <c r="Q736" s="79">
        <f>IF(OR(D736="",L736=""),"",IF(M736="Done",2,IF(AsOf&gt;L736,3,1)))</f>
        <v/>
      </c>
      <c r="R736" s="79">
        <f>IF(OR(E736="",F736=""),0,IF(COUNTIFS($E$7:E736,E736,$F$7:F736,F736)=1,1,0))</f>
        <v/>
      </c>
      <c r="S736" s="79">
        <f>IF(R736=1,E736&amp;"|"&amp;SUMIFS($R$7:R736,$E$7:E736,E736),"")</f>
        <v/>
      </c>
      <c r="T736" s="112">
        <f>IF(Q736="","",IF(Q736=3,L736,IF(OR(M736="Not started",M736=""),J736,"")))</f>
        <v/>
      </c>
      <c r="U736" s="79">
        <f>IF(T736="","",IF(Q736=3,1,IF(T736="","",IF(T736&lt;AsOf,1,IF(T736&lt;=AsOf+AlertDays,2,IF(T736&lt;=AsOf+2*AlertDays,3,""))))))</f>
        <v/>
      </c>
      <c r="V736" s="79">
        <f>IF(U736="","",IF(Q736=3,"Late task: "&amp;D736,IF(T736&lt;AsOf,"Should have started: ","Starts soon: ")&amp;D736)&amp;IF(F736="",""," — "&amp;F736))</f>
        <v/>
      </c>
    </row>
    <row r="737" ht="20" customHeight="1">
      <c r="B737" s="125" t="n">
        <v>731</v>
      </c>
      <c r="C737" s="72" t="n"/>
      <c r="D737" s="72" t="n"/>
      <c r="E737" s="72" t="n"/>
      <c r="F737" s="72" t="n"/>
      <c r="G737" s="89" t="n"/>
      <c r="H737" s="89" t="n"/>
      <c r="I737" s="109" t="n"/>
      <c r="J737" s="126">
        <f>IF(OR(D737="",ProjStart=""),"",MAX(ProjStart,IF(I737&lt;&gt;"",I737,0),IF(H737="",0,IFERROR(INDEX($L$6:L736,MATCH(H737,$B$6:B736,0))+1,0))))</f>
        <v/>
      </c>
      <c r="K737" s="89" t="n"/>
      <c r="L737" s="126">
        <f>IF(J737="","",J737+MAX(1,G737)+IF(K737="",0,K737)-1)</f>
        <v/>
      </c>
      <c r="M737" s="72" t="n"/>
      <c r="N737" s="109" t="n"/>
      <c r="O737" s="127">
        <f>IF(D737="","",COUNTIF($H$7:$H$1006,B737))</f>
        <v/>
      </c>
      <c r="P737" s="78">
        <f>IF(D737="","",IF(AND(H737&lt;&gt;"",H737&gt;=B737),"⚠️ Predecessor must be above",IF(M737="Done","✓ Done",IF(Q737=3,"🔴 Late",IF(M737="In progress","In progress","")))))</f>
        <v/>
      </c>
      <c r="Q737" s="79">
        <f>IF(OR(D737="",L737=""),"",IF(M737="Done",2,IF(AsOf&gt;L737,3,1)))</f>
        <v/>
      </c>
      <c r="R737" s="79">
        <f>IF(OR(E737="",F737=""),0,IF(COUNTIFS($E$7:E737,E737,$F$7:F737,F737)=1,1,0))</f>
        <v/>
      </c>
      <c r="S737" s="79">
        <f>IF(R737=1,E737&amp;"|"&amp;SUMIFS($R$7:R737,$E$7:E737,E737),"")</f>
        <v/>
      </c>
      <c r="T737" s="112">
        <f>IF(Q737="","",IF(Q737=3,L737,IF(OR(M737="Not started",M737=""),J737,"")))</f>
        <v/>
      </c>
      <c r="U737" s="79">
        <f>IF(T737="","",IF(Q737=3,1,IF(T737="","",IF(T737&lt;AsOf,1,IF(T737&lt;=AsOf+AlertDays,2,IF(T737&lt;=AsOf+2*AlertDays,3,""))))))</f>
        <v/>
      </c>
      <c r="V737" s="79">
        <f>IF(U737="","",IF(Q737=3,"Late task: "&amp;D737,IF(T737&lt;AsOf,"Should have started: ","Starts soon: ")&amp;D737)&amp;IF(F737="",""," — "&amp;F737))</f>
        <v/>
      </c>
    </row>
    <row r="738" ht="20" customHeight="1">
      <c r="B738" s="125" t="n">
        <v>732</v>
      </c>
      <c r="C738" s="72" t="n"/>
      <c r="D738" s="72" t="n"/>
      <c r="E738" s="72" t="n"/>
      <c r="F738" s="72" t="n"/>
      <c r="G738" s="89" t="n"/>
      <c r="H738" s="89" t="n"/>
      <c r="I738" s="109" t="n"/>
      <c r="J738" s="126">
        <f>IF(OR(D738="",ProjStart=""),"",MAX(ProjStart,IF(I738&lt;&gt;"",I738,0),IF(H738="",0,IFERROR(INDEX($L$6:L737,MATCH(H738,$B$6:B737,0))+1,0))))</f>
        <v/>
      </c>
      <c r="K738" s="89" t="n"/>
      <c r="L738" s="126">
        <f>IF(J738="","",J738+MAX(1,G738)+IF(K738="",0,K738)-1)</f>
        <v/>
      </c>
      <c r="M738" s="72" t="n"/>
      <c r="N738" s="109" t="n"/>
      <c r="O738" s="127">
        <f>IF(D738="","",COUNTIF($H$7:$H$1006,B738))</f>
        <v/>
      </c>
      <c r="P738" s="78">
        <f>IF(D738="","",IF(AND(H738&lt;&gt;"",H738&gt;=B738),"⚠️ Predecessor must be above",IF(M738="Done","✓ Done",IF(Q738=3,"🔴 Late",IF(M738="In progress","In progress","")))))</f>
        <v/>
      </c>
      <c r="Q738" s="79">
        <f>IF(OR(D738="",L738=""),"",IF(M738="Done",2,IF(AsOf&gt;L738,3,1)))</f>
        <v/>
      </c>
      <c r="R738" s="79">
        <f>IF(OR(E738="",F738=""),0,IF(COUNTIFS($E$7:E738,E738,$F$7:F738,F738)=1,1,0))</f>
        <v/>
      </c>
      <c r="S738" s="79">
        <f>IF(R738=1,E738&amp;"|"&amp;SUMIFS($R$7:R738,$E$7:E738,E738),"")</f>
        <v/>
      </c>
      <c r="T738" s="112">
        <f>IF(Q738="","",IF(Q738=3,L738,IF(OR(M738="Not started",M738=""),J738,"")))</f>
        <v/>
      </c>
      <c r="U738" s="79">
        <f>IF(T738="","",IF(Q738=3,1,IF(T738="","",IF(T738&lt;AsOf,1,IF(T738&lt;=AsOf+AlertDays,2,IF(T738&lt;=AsOf+2*AlertDays,3,""))))))</f>
        <v/>
      </c>
      <c r="V738" s="79">
        <f>IF(U738="","",IF(Q738=3,"Late task: "&amp;D738,IF(T738&lt;AsOf,"Should have started: ","Starts soon: ")&amp;D738)&amp;IF(F738="",""," — "&amp;F738))</f>
        <v/>
      </c>
    </row>
    <row r="739" ht="20" customHeight="1">
      <c r="B739" s="125" t="n">
        <v>733</v>
      </c>
      <c r="C739" s="72" t="n"/>
      <c r="D739" s="72" t="n"/>
      <c r="E739" s="72" t="n"/>
      <c r="F739" s="72" t="n"/>
      <c r="G739" s="89" t="n"/>
      <c r="H739" s="89" t="n"/>
      <c r="I739" s="109" t="n"/>
      <c r="J739" s="126">
        <f>IF(OR(D739="",ProjStart=""),"",MAX(ProjStart,IF(I739&lt;&gt;"",I739,0),IF(H739="",0,IFERROR(INDEX($L$6:L738,MATCH(H739,$B$6:B738,0))+1,0))))</f>
        <v/>
      </c>
      <c r="K739" s="89" t="n"/>
      <c r="L739" s="126">
        <f>IF(J739="","",J739+MAX(1,G739)+IF(K739="",0,K739)-1)</f>
        <v/>
      </c>
      <c r="M739" s="72" t="n"/>
      <c r="N739" s="109" t="n"/>
      <c r="O739" s="127">
        <f>IF(D739="","",COUNTIF($H$7:$H$1006,B739))</f>
        <v/>
      </c>
      <c r="P739" s="78">
        <f>IF(D739="","",IF(AND(H739&lt;&gt;"",H739&gt;=B739),"⚠️ Predecessor must be above",IF(M739="Done","✓ Done",IF(Q739=3,"🔴 Late",IF(M739="In progress","In progress","")))))</f>
        <v/>
      </c>
      <c r="Q739" s="79">
        <f>IF(OR(D739="",L739=""),"",IF(M739="Done",2,IF(AsOf&gt;L739,3,1)))</f>
        <v/>
      </c>
      <c r="R739" s="79">
        <f>IF(OR(E739="",F739=""),0,IF(COUNTIFS($E$7:E739,E739,$F$7:F739,F739)=1,1,0))</f>
        <v/>
      </c>
      <c r="S739" s="79">
        <f>IF(R739=1,E739&amp;"|"&amp;SUMIFS($R$7:R739,$E$7:E739,E739),"")</f>
        <v/>
      </c>
      <c r="T739" s="112">
        <f>IF(Q739="","",IF(Q739=3,L739,IF(OR(M739="Not started",M739=""),J739,"")))</f>
        <v/>
      </c>
      <c r="U739" s="79">
        <f>IF(T739="","",IF(Q739=3,1,IF(T739="","",IF(T739&lt;AsOf,1,IF(T739&lt;=AsOf+AlertDays,2,IF(T739&lt;=AsOf+2*AlertDays,3,""))))))</f>
        <v/>
      </c>
      <c r="V739" s="79">
        <f>IF(U739="","",IF(Q739=3,"Late task: "&amp;D739,IF(T739&lt;AsOf,"Should have started: ","Starts soon: ")&amp;D739)&amp;IF(F739="",""," — "&amp;F739))</f>
        <v/>
      </c>
    </row>
    <row r="740" ht="20" customHeight="1">
      <c r="B740" s="125" t="n">
        <v>734</v>
      </c>
      <c r="C740" s="72" t="n"/>
      <c r="D740" s="72" t="n"/>
      <c r="E740" s="72" t="n"/>
      <c r="F740" s="72" t="n"/>
      <c r="G740" s="89" t="n"/>
      <c r="H740" s="89" t="n"/>
      <c r="I740" s="109" t="n"/>
      <c r="J740" s="126">
        <f>IF(OR(D740="",ProjStart=""),"",MAX(ProjStart,IF(I740&lt;&gt;"",I740,0),IF(H740="",0,IFERROR(INDEX($L$6:L739,MATCH(H740,$B$6:B739,0))+1,0))))</f>
        <v/>
      </c>
      <c r="K740" s="89" t="n"/>
      <c r="L740" s="126">
        <f>IF(J740="","",J740+MAX(1,G740)+IF(K740="",0,K740)-1)</f>
        <v/>
      </c>
      <c r="M740" s="72" t="n"/>
      <c r="N740" s="109" t="n"/>
      <c r="O740" s="127">
        <f>IF(D740="","",COUNTIF($H$7:$H$1006,B740))</f>
        <v/>
      </c>
      <c r="P740" s="78">
        <f>IF(D740="","",IF(AND(H740&lt;&gt;"",H740&gt;=B740),"⚠️ Predecessor must be above",IF(M740="Done","✓ Done",IF(Q740=3,"🔴 Late",IF(M740="In progress","In progress","")))))</f>
        <v/>
      </c>
      <c r="Q740" s="79">
        <f>IF(OR(D740="",L740=""),"",IF(M740="Done",2,IF(AsOf&gt;L740,3,1)))</f>
        <v/>
      </c>
      <c r="R740" s="79">
        <f>IF(OR(E740="",F740=""),0,IF(COUNTIFS($E$7:E740,E740,$F$7:F740,F740)=1,1,0))</f>
        <v/>
      </c>
      <c r="S740" s="79">
        <f>IF(R740=1,E740&amp;"|"&amp;SUMIFS($R$7:R740,$E$7:E740,E740),"")</f>
        <v/>
      </c>
      <c r="T740" s="112">
        <f>IF(Q740="","",IF(Q740=3,L740,IF(OR(M740="Not started",M740=""),J740,"")))</f>
        <v/>
      </c>
      <c r="U740" s="79">
        <f>IF(T740="","",IF(Q740=3,1,IF(T740="","",IF(T740&lt;AsOf,1,IF(T740&lt;=AsOf+AlertDays,2,IF(T740&lt;=AsOf+2*AlertDays,3,""))))))</f>
        <v/>
      </c>
      <c r="V740" s="79">
        <f>IF(U740="","",IF(Q740=3,"Late task: "&amp;D740,IF(T740&lt;AsOf,"Should have started: ","Starts soon: ")&amp;D740)&amp;IF(F740="",""," — "&amp;F740))</f>
        <v/>
      </c>
    </row>
    <row r="741" ht="20" customHeight="1">
      <c r="B741" s="125" t="n">
        <v>735</v>
      </c>
      <c r="C741" s="72" t="n"/>
      <c r="D741" s="72" t="n"/>
      <c r="E741" s="72" t="n"/>
      <c r="F741" s="72" t="n"/>
      <c r="G741" s="89" t="n"/>
      <c r="H741" s="89" t="n"/>
      <c r="I741" s="109" t="n"/>
      <c r="J741" s="126">
        <f>IF(OR(D741="",ProjStart=""),"",MAX(ProjStart,IF(I741&lt;&gt;"",I741,0),IF(H741="",0,IFERROR(INDEX($L$6:L740,MATCH(H741,$B$6:B740,0))+1,0))))</f>
        <v/>
      </c>
      <c r="K741" s="89" t="n"/>
      <c r="L741" s="126">
        <f>IF(J741="","",J741+MAX(1,G741)+IF(K741="",0,K741)-1)</f>
        <v/>
      </c>
      <c r="M741" s="72" t="n"/>
      <c r="N741" s="109" t="n"/>
      <c r="O741" s="127">
        <f>IF(D741="","",COUNTIF($H$7:$H$1006,B741))</f>
        <v/>
      </c>
      <c r="P741" s="78">
        <f>IF(D741="","",IF(AND(H741&lt;&gt;"",H741&gt;=B741),"⚠️ Predecessor must be above",IF(M741="Done","✓ Done",IF(Q741=3,"🔴 Late",IF(M741="In progress","In progress","")))))</f>
        <v/>
      </c>
      <c r="Q741" s="79">
        <f>IF(OR(D741="",L741=""),"",IF(M741="Done",2,IF(AsOf&gt;L741,3,1)))</f>
        <v/>
      </c>
      <c r="R741" s="79">
        <f>IF(OR(E741="",F741=""),0,IF(COUNTIFS($E$7:E741,E741,$F$7:F741,F741)=1,1,0))</f>
        <v/>
      </c>
      <c r="S741" s="79">
        <f>IF(R741=1,E741&amp;"|"&amp;SUMIFS($R$7:R741,$E$7:E741,E741),"")</f>
        <v/>
      </c>
      <c r="T741" s="112">
        <f>IF(Q741="","",IF(Q741=3,L741,IF(OR(M741="Not started",M741=""),J741,"")))</f>
        <v/>
      </c>
      <c r="U741" s="79">
        <f>IF(T741="","",IF(Q741=3,1,IF(T741="","",IF(T741&lt;AsOf,1,IF(T741&lt;=AsOf+AlertDays,2,IF(T741&lt;=AsOf+2*AlertDays,3,""))))))</f>
        <v/>
      </c>
      <c r="V741" s="79">
        <f>IF(U741="","",IF(Q741=3,"Late task: "&amp;D741,IF(T741&lt;AsOf,"Should have started: ","Starts soon: ")&amp;D741)&amp;IF(F741="",""," — "&amp;F741))</f>
        <v/>
      </c>
    </row>
    <row r="742" ht="20" customHeight="1">
      <c r="B742" s="125" t="n">
        <v>736</v>
      </c>
      <c r="C742" s="72" t="n"/>
      <c r="D742" s="72" t="n"/>
      <c r="E742" s="72" t="n"/>
      <c r="F742" s="72" t="n"/>
      <c r="G742" s="89" t="n"/>
      <c r="H742" s="89" t="n"/>
      <c r="I742" s="109" t="n"/>
      <c r="J742" s="126">
        <f>IF(OR(D742="",ProjStart=""),"",MAX(ProjStart,IF(I742&lt;&gt;"",I742,0),IF(H742="",0,IFERROR(INDEX($L$6:L741,MATCH(H742,$B$6:B741,0))+1,0))))</f>
        <v/>
      </c>
      <c r="K742" s="89" t="n"/>
      <c r="L742" s="126">
        <f>IF(J742="","",J742+MAX(1,G742)+IF(K742="",0,K742)-1)</f>
        <v/>
      </c>
      <c r="M742" s="72" t="n"/>
      <c r="N742" s="109" t="n"/>
      <c r="O742" s="127">
        <f>IF(D742="","",COUNTIF($H$7:$H$1006,B742))</f>
        <v/>
      </c>
      <c r="P742" s="78">
        <f>IF(D742="","",IF(AND(H742&lt;&gt;"",H742&gt;=B742),"⚠️ Predecessor must be above",IF(M742="Done","✓ Done",IF(Q742=3,"🔴 Late",IF(M742="In progress","In progress","")))))</f>
        <v/>
      </c>
      <c r="Q742" s="79">
        <f>IF(OR(D742="",L742=""),"",IF(M742="Done",2,IF(AsOf&gt;L742,3,1)))</f>
        <v/>
      </c>
      <c r="R742" s="79">
        <f>IF(OR(E742="",F742=""),0,IF(COUNTIFS($E$7:E742,E742,$F$7:F742,F742)=1,1,0))</f>
        <v/>
      </c>
      <c r="S742" s="79">
        <f>IF(R742=1,E742&amp;"|"&amp;SUMIFS($R$7:R742,$E$7:E742,E742),"")</f>
        <v/>
      </c>
      <c r="T742" s="112">
        <f>IF(Q742="","",IF(Q742=3,L742,IF(OR(M742="Not started",M742=""),J742,"")))</f>
        <v/>
      </c>
      <c r="U742" s="79">
        <f>IF(T742="","",IF(Q742=3,1,IF(T742="","",IF(T742&lt;AsOf,1,IF(T742&lt;=AsOf+AlertDays,2,IF(T742&lt;=AsOf+2*AlertDays,3,""))))))</f>
        <v/>
      </c>
      <c r="V742" s="79">
        <f>IF(U742="","",IF(Q742=3,"Late task: "&amp;D742,IF(T742&lt;AsOf,"Should have started: ","Starts soon: ")&amp;D742)&amp;IF(F742="",""," — "&amp;F742))</f>
        <v/>
      </c>
    </row>
    <row r="743" ht="20" customHeight="1">
      <c r="B743" s="125" t="n">
        <v>737</v>
      </c>
      <c r="C743" s="72" t="n"/>
      <c r="D743" s="72" t="n"/>
      <c r="E743" s="72" t="n"/>
      <c r="F743" s="72" t="n"/>
      <c r="G743" s="89" t="n"/>
      <c r="H743" s="89" t="n"/>
      <c r="I743" s="109" t="n"/>
      <c r="J743" s="126">
        <f>IF(OR(D743="",ProjStart=""),"",MAX(ProjStart,IF(I743&lt;&gt;"",I743,0),IF(H743="",0,IFERROR(INDEX($L$6:L742,MATCH(H743,$B$6:B742,0))+1,0))))</f>
        <v/>
      </c>
      <c r="K743" s="89" t="n"/>
      <c r="L743" s="126">
        <f>IF(J743="","",J743+MAX(1,G743)+IF(K743="",0,K743)-1)</f>
        <v/>
      </c>
      <c r="M743" s="72" t="n"/>
      <c r="N743" s="109" t="n"/>
      <c r="O743" s="127">
        <f>IF(D743="","",COUNTIF($H$7:$H$1006,B743))</f>
        <v/>
      </c>
      <c r="P743" s="78">
        <f>IF(D743="","",IF(AND(H743&lt;&gt;"",H743&gt;=B743),"⚠️ Predecessor must be above",IF(M743="Done","✓ Done",IF(Q743=3,"🔴 Late",IF(M743="In progress","In progress","")))))</f>
        <v/>
      </c>
      <c r="Q743" s="79">
        <f>IF(OR(D743="",L743=""),"",IF(M743="Done",2,IF(AsOf&gt;L743,3,1)))</f>
        <v/>
      </c>
      <c r="R743" s="79">
        <f>IF(OR(E743="",F743=""),0,IF(COUNTIFS($E$7:E743,E743,$F$7:F743,F743)=1,1,0))</f>
        <v/>
      </c>
      <c r="S743" s="79">
        <f>IF(R743=1,E743&amp;"|"&amp;SUMIFS($R$7:R743,$E$7:E743,E743),"")</f>
        <v/>
      </c>
      <c r="T743" s="112">
        <f>IF(Q743="","",IF(Q743=3,L743,IF(OR(M743="Not started",M743=""),J743,"")))</f>
        <v/>
      </c>
      <c r="U743" s="79">
        <f>IF(T743="","",IF(Q743=3,1,IF(T743="","",IF(T743&lt;AsOf,1,IF(T743&lt;=AsOf+AlertDays,2,IF(T743&lt;=AsOf+2*AlertDays,3,""))))))</f>
        <v/>
      </c>
      <c r="V743" s="79">
        <f>IF(U743="","",IF(Q743=3,"Late task: "&amp;D743,IF(T743&lt;AsOf,"Should have started: ","Starts soon: ")&amp;D743)&amp;IF(F743="",""," — "&amp;F743))</f>
        <v/>
      </c>
    </row>
    <row r="744" ht="20" customHeight="1">
      <c r="B744" s="125" t="n">
        <v>738</v>
      </c>
      <c r="C744" s="72" t="n"/>
      <c r="D744" s="72" t="n"/>
      <c r="E744" s="72" t="n"/>
      <c r="F744" s="72" t="n"/>
      <c r="G744" s="89" t="n"/>
      <c r="H744" s="89" t="n"/>
      <c r="I744" s="109" t="n"/>
      <c r="J744" s="126">
        <f>IF(OR(D744="",ProjStart=""),"",MAX(ProjStart,IF(I744&lt;&gt;"",I744,0),IF(H744="",0,IFERROR(INDEX($L$6:L743,MATCH(H744,$B$6:B743,0))+1,0))))</f>
        <v/>
      </c>
      <c r="K744" s="89" t="n"/>
      <c r="L744" s="126">
        <f>IF(J744="","",J744+MAX(1,G744)+IF(K744="",0,K744)-1)</f>
        <v/>
      </c>
      <c r="M744" s="72" t="n"/>
      <c r="N744" s="109" t="n"/>
      <c r="O744" s="127">
        <f>IF(D744="","",COUNTIF($H$7:$H$1006,B744))</f>
        <v/>
      </c>
      <c r="P744" s="78">
        <f>IF(D744="","",IF(AND(H744&lt;&gt;"",H744&gt;=B744),"⚠️ Predecessor must be above",IF(M744="Done","✓ Done",IF(Q744=3,"🔴 Late",IF(M744="In progress","In progress","")))))</f>
        <v/>
      </c>
      <c r="Q744" s="79">
        <f>IF(OR(D744="",L744=""),"",IF(M744="Done",2,IF(AsOf&gt;L744,3,1)))</f>
        <v/>
      </c>
      <c r="R744" s="79">
        <f>IF(OR(E744="",F744=""),0,IF(COUNTIFS($E$7:E744,E744,$F$7:F744,F744)=1,1,0))</f>
        <v/>
      </c>
      <c r="S744" s="79">
        <f>IF(R744=1,E744&amp;"|"&amp;SUMIFS($R$7:R744,$E$7:E744,E744),"")</f>
        <v/>
      </c>
      <c r="T744" s="112">
        <f>IF(Q744="","",IF(Q744=3,L744,IF(OR(M744="Not started",M744=""),J744,"")))</f>
        <v/>
      </c>
      <c r="U744" s="79">
        <f>IF(T744="","",IF(Q744=3,1,IF(T744="","",IF(T744&lt;AsOf,1,IF(T744&lt;=AsOf+AlertDays,2,IF(T744&lt;=AsOf+2*AlertDays,3,""))))))</f>
        <v/>
      </c>
      <c r="V744" s="79">
        <f>IF(U744="","",IF(Q744=3,"Late task: "&amp;D744,IF(T744&lt;AsOf,"Should have started: ","Starts soon: ")&amp;D744)&amp;IF(F744="",""," — "&amp;F744))</f>
        <v/>
      </c>
    </row>
    <row r="745" ht="20" customHeight="1">
      <c r="B745" s="125" t="n">
        <v>739</v>
      </c>
      <c r="C745" s="72" t="n"/>
      <c r="D745" s="72" t="n"/>
      <c r="E745" s="72" t="n"/>
      <c r="F745" s="72" t="n"/>
      <c r="G745" s="89" t="n"/>
      <c r="H745" s="89" t="n"/>
      <c r="I745" s="109" t="n"/>
      <c r="J745" s="126">
        <f>IF(OR(D745="",ProjStart=""),"",MAX(ProjStart,IF(I745&lt;&gt;"",I745,0),IF(H745="",0,IFERROR(INDEX($L$6:L744,MATCH(H745,$B$6:B744,0))+1,0))))</f>
        <v/>
      </c>
      <c r="K745" s="89" t="n"/>
      <c r="L745" s="126">
        <f>IF(J745="","",J745+MAX(1,G745)+IF(K745="",0,K745)-1)</f>
        <v/>
      </c>
      <c r="M745" s="72" t="n"/>
      <c r="N745" s="109" t="n"/>
      <c r="O745" s="127">
        <f>IF(D745="","",COUNTIF($H$7:$H$1006,B745))</f>
        <v/>
      </c>
      <c r="P745" s="78">
        <f>IF(D745="","",IF(AND(H745&lt;&gt;"",H745&gt;=B745),"⚠️ Predecessor must be above",IF(M745="Done","✓ Done",IF(Q745=3,"🔴 Late",IF(M745="In progress","In progress","")))))</f>
        <v/>
      </c>
      <c r="Q745" s="79">
        <f>IF(OR(D745="",L745=""),"",IF(M745="Done",2,IF(AsOf&gt;L745,3,1)))</f>
        <v/>
      </c>
      <c r="R745" s="79">
        <f>IF(OR(E745="",F745=""),0,IF(COUNTIFS($E$7:E745,E745,$F$7:F745,F745)=1,1,0))</f>
        <v/>
      </c>
      <c r="S745" s="79">
        <f>IF(R745=1,E745&amp;"|"&amp;SUMIFS($R$7:R745,$E$7:E745,E745),"")</f>
        <v/>
      </c>
      <c r="T745" s="112">
        <f>IF(Q745="","",IF(Q745=3,L745,IF(OR(M745="Not started",M745=""),J745,"")))</f>
        <v/>
      </c>
      <c r="U745" s="79">
        <f>IF(T745="","",IF(Q745=3,1,IF(T745="","",IF(T745&lt;AsOf,1,IF(T745&lt;=AsOf+AlertDays,2,IF(T745&lt;=AsOf+2*AlertDays,3,""))))))</f>
        <v/>
      </c>
      <c r="V745" s="79">
        <f>IF(U745="","",IF(Q745=3,"Late task: "&amp;D745,IF(T745&lt;AsOf,"Should have started: ","Starts soon: ")&amp;D745)&amp;IF(F745="",""," — "&amp;F745))</f>
        <v/>
      </c>
    </row>
    <row r="746" ht="20" customHeight="1">
      <c r="B746" s="125" t="n">
        <v>740</v>
      </c>
      <c r="C746" s="72" t="n"/>
      <c r="D746" s="72" t="n"/>
      <c r="E746" s="72" t="n"/>
      <c r="F746" s="72" t="n"/>
      <c r="G746" s="89" t="n"/>
      <c r="H746" s="89" t="n"/>
      <c r="I746" s="109" t="n"/>
      <c r="J746" s="126">
        <f>IF(OR(D746="",ProjStart=""),"",MAX(ProjStart,IF(I746&lt;&gt;"",I746,0),IF(H746="",0,IFERROR(INDEX($L$6:L745,MATCH(H746,$B$6:B745,0))+1,0))))</f>
        <v/>
      </c>
      <c r="K746" s="89" t="n"/>
      <c r="L746" s="126">
        <f>IF(J746="","",J746+MAX(1,G746)+IF(K746="",0,K746)-1)</f>
        <v/>
      </c>
      <c r="M746" s="72" t="n"/>
      <c r="N746" s="109" t="n"/>
      <c r="O746" s="127">
        <f>IF(D746="","",COUNTIF($H$7:$H$1006,B746))</f>
        <v/>
      </c>
      <c r="P746" s="78">
        <f>IF(D746="","",IF(AND(H746&lt;&gt;"",H746&gt;=B746),"⚠️ Predecessor must be above",IF(M746="Done","✓ Done",IF(Q746=3,"🔴 Late",IF(M746="In progress","In progress","")))))</f>
        <v/>
      </c>
      <c r="Q746" s="79">
        <f>IF(OR(D746="",L746=""),"",IF(M746="Done",2,IF(AsOf&gt;L746,3,1)))</f>
        <v/>
      </c>
      <c r="R746" s="79">
        <f>IF(OR(E746="",F746=""),0,IF(COUNTIFS($E$7:E746,E746,$F$7:F746,F746)=1,1,0))</f>
        <v/>
      </c>
      <c r="S746" s="79">
        <f>IF(R746=1,E746&amp;"|"&amp;SUMIFS($R$7:R746,$E$7:E746,E746),"")</f>
        <v/>
      </c>
      <c r="T746" s="112">
        <f>IF(Q746="","",IF(Q746=3,L746,IF(OR(M746="Not started",M746=""),J746,"")))</f>
        <v/>
      </c>
      <c r="U746" s="79">
        <f>IF(T746="","",IF(Q746=3,1,IF(T746="","",IF(T746&lt;AsOf,1,IF(T746&lt;=AsOf+AlertDays,2,IF(T746&lt;=AsOf+2*AlertDays,3,""))))))</f>
        <v/>
      </c>
      <c r="V746" s="79">
        <f>IF(U746="","",IF(Q746=3,"Late task: "&amp;D746,IF(T746&lt;AsOf,"Should have started: ","Starts soon: ")&amp;D746)&amp;IF(F746="",""," — "&amp;F746))</f>
        <v/>
      </c>
    </row>
    <row r="747" ht="20" customHeight="1">
      <c r="B747" s="125" t="n">
        <v>741</v>
      </c>
      <c r="C747" s="72" t="n"/>
      <c r="D747" s="72" t="n"/>
      <c r="E747" s="72" t="n"/>
      <c r="F747" s="72" t="n"/>
      <c r="G747" s="89" t="n"/>
      <c r="H747" s="89" t="n"/>
      <c r="I747" s="109" t="n"/>
      <c r="J747" s="126">
        <f>IF(OR(D747="",ProjStart=""),"",MAX(ProjStart,IF(I747&lt;&gt;"",I747,0),IF(H747="",0,IFERROR(INDEX($L$6:L746,MATCH(H747,$B$6:B746,0))+1,0))))</f>
        <v/>
      </c>
      <c r="K747" s="89" t="n"/>
      <c r="L747" s="126">
        <f>IF(J747="","",J747+MAX(1,G747)+IF(K747="",0,K747)-1)</f>
        <v/>
      </c>
      <c r="M747" s="72" t="n"/>
      <c r="N747" s="109" t="n"/>
      <c r="O747" s="127">
        <f>IF(D747="","",COUNTIF($H$7:$H$1006,B747))</f>
        <v/>
      </c>
      <c r="P747" s="78">
        <f>IF(D747="","",IF(AND(H747&lt;&gt;"",H747&gt;=B747),"⚠️ Predecessor must be above",IF(M747="Done","✓ Done",IF(Q747=3,"🔴 Late",IF(M747="In progress","In progress","")))))</f>
        <v/>
      </c>
      <c r="Q747" s="79">
        <f>IF(OR(D747="",L747=""),"",IF(M747="Done",2,IF(AsOf&gt;L747,3,1)))</f>
        <v/>
      </c>
      <c r="R747" s="79">
        <f>IF(OR(E747="",F747=""),0,IF(COUNTIFS($E$7:E747,E747,$F$7:F747,F747)=1,1,0))</f>
        <v/>
      </c>
      <c r="S747" s="79">
        <f>IF(R747=1,E747&amp;"|"&amp;SUMIFS($R$7:R747,$E$7:E747,E747),"")</f>
        <v/>
      </c>
      <c r="T747" s="112">
        <f>IF(Q747="","",IF(Q747=3,L747,IF(OR(M747="Not started",M747=""),J747,"")))</f>
        <v/>
      </c>
      <c r="U747" s="79">
        <f>IF(T747="","",IF(Q747=3,1,IF(T747="","",IF(T747&lt;AsOf,1,IF(T747&lt;=AsOf+AlertDays,2,IF(T747&lt;=AsOf+2*AlertDays,3,""))))))</f>
        <v/>
      </c>
      <c r="V747" s="79">
        <f>IF(U747="","",IF(Q747=3,"Late task: "&amp;D747,IF(T747&lt;AsOf,"Should have started: ","Starts soon: ")&amp;D747)&amp;IF(F747="",""," — "&amp;F747))</f>
        <v/>
      </c>
    </row>
    <row r="748" ht="20" customHeight="1">
      <c r="B748" s="125" t="n">
        <v>742</v>
      </c>
      <c r="C748" s="72" t="n"/>
      <c r="D748" s="72" t="n"/>
      <c r="E748" s="72" t="n"/>
      <c r="F748" s="72" t="n"/>
      <c r="G748" s="89" t="n"/>
      <c r="H748" s="89" t="n"/>
      <c r="I748" s="109" t="n"/>
      <c r="J748" s="126">
        <f>IF(OR(D748="",ProjStart=""),"",MAX(ProjStart,IF(I748&lt;&gt;"",I748,0),IF(H748="",0,IFERROR(INDEX($L$6:L747,MATCH(H748,$B$6:B747,0))+1,0))))</f>
        <v/>
      </c>
      <c r="K748" s="89" t="n"/>
      <c r="L748" s="126">
        <f>IF(J748="","",J748+MAX(1,G748)+IF(K748="",0,K748)-1)</f>
        <v/>
      </c>
      <c r="M748" s="72" t="n"/>
      <c r="N748" s="109" t="n"/>
      <c r="O748" s="127">
        <f>IF(D748="","",COUNTIF($H$7:$H$1006,B748))</f>
        <v/>
      </c>
      <c r="P748" s="78">
        <f>IF(D748="","",IF(AND(H748&lt;&gt;"",H748&gt;=B748),"⚠️ Predecessor must be above",IF(M748="Done","✓ Done",IF(Q748=3,"🔴 Late",IF(M748="In progress","In progress","")))))</f>
        <v/>
      </c>
      <c r="Q748" s="79">
        <f>IF(OR(D748="",L748=""),"",IF(M748="Done",2,IF(AsOf&gt;L748,3,1)))</f>
        <v/>
      </c>
      <c r="R748" s="79">
        <f>IF(OR(E748="",F748=""),0,IF(COUNTIFS($E$7:E748,E748,$F$7:F748,F748)=1,1,0))</f>
        <v/>
      </c>
      <c r="S748" s="79">
        <f>IF(R748=1,E748&amp;"|"&amp;SUMIFS($R$7:R748,$E$7:E748,E748),"")</f>
        <v/>
      </c>
      <c r="T748" s="112">
        <f>IF(Q748="","",IF(Q748=3,L748,IF(OR(M748="Not started",M748=""),J748,"")))</f>
        <v/>
      </c>
      <c r="U748" s="79">
        <f>IF(T748="","",IF(Q748=3,1,IF(T748="","",IF(T748&lt;AsOf,1,IF(T748&lt;=AsOf+AlertDays,2,IF(T748&lt;=AsOf+2*AlertDays,3,""))))))</f>
        <v/>
      </c>
      <c r="V748" s="79">
        <f>IF(U748="","",IF(Q748=3,"Late task: "&amp;D748,IF(T748&lt;AsOf,"Should have started: ","Starts soon: ")&amp;D748)&amp;IF(F748="",""," — "&amp;F748))</f>
        <v/>
      </c>
    </row>
    <row r="749" ht="20" customHeight="1">
      <c r="B749" s="125" t="n">
        <v>743</v>
      </c>
      <c r="C749" s="72" t="n"/>
      <c r="D749" s="72" t="n"/>
      <c r="E749" s="72" t="n"/>
      <c r="F749" s="72" t="n"/>
      <c r="G749" s="89" t="n"/>
      <c r="H749" s="89" t="n"/>
      <c r="I749" s="109" t="n"/>
      <c r="J749" s="126">
        <f>IF(OR(D749="",ProjStart=""),"",MAX(ProjStart,IF(I749&lt;&gt;"",I749,0),IF(H749="",0,IFERROR(INDEX($L$6:L748,MATCH(H749,$B$6:B748,0))+1,0))))</f>
        <v/>
      </c>
      <c r="K749" s="89" t="n"/>
      <c r="L749" s="126">
        <f>IF(J749="","",J749+MAX(1,G749)+IF(K749="",0,K749)-1)</f>
        <v/>
      </c>
      <c r="M749" s="72" t="n"/>
      <c r="N749" s="109" t="n"/>
      <c r="O749" s="127">
        <f>IF(D749="","",COUNTIF($H$7:$H$1006,B749))</f>
        <v/>
      </c>
      <c r="P749" s="78">
        <f>IF(D749="","",IF(AND(H749&lt;&gt;"",H749&gt;=B749),"⚠️ Predecessor must be above",IF(M749="Done","✓ Done",IF(Q749=3,"🔴 Late",IF(M749="In progress","In progress","")))))</f>
        <v/>
      </c>
      <c r="Q749" s="79">
        <f>IF(OR(D749="",L749=""),"",IF(M749="Done",2,IF(AsOf&gt;L749,3,1)))</f>
        <v/>
      </c>
      <c r="R749" s="79">
        <f>IF(OR(E749="",F749=""),0,IF(COUNTIFS($E$7:E749,E749,$F$7:F749,F749)=1,1,0))</f>
        <v/>
      </c>
      <c r="S749" s="79">
        <f>IF(R749=1,E749&amp;"|"&amp;SUMIFS($R$7:R749,$E$7:E749,E749),"")</f>
        <v/>
      </c>
      <c r="T749" s="112">
        <f>IF(Q749="","",IF(Q749=3,L749,IF(OR(M749="Not started",M749=""),J749,"")))</f>
        <v/>
      </c>
      <c r="U749" s="79">
        <f>IF(T749="","",IF(Q749=3,1,IF(T749="","",IF(T749&lt;AsOf,1,IF(T749&lt;=AsOf+AlertDays,2,IF(T749&lt;=AsOf+2*AlertDays,3,""))))))</f>
        <v/>
      </c>
      <c r="V749" s="79">
        <f>IF(U749="","",IF(Q749=3,"Late task: "&amp;D749,IF(T749&lt;AsOf,"Should have started: ","Starts soon: ")&amp;D749)&amp;IF(F749="",""," — "&amp;F749))</f>
        <v/>
      </c>
    </row>
    <row r="750" ht="20" customHeight="1">
      <c r="B750" s="125" t="n">
        <v>744</v>
      </c>
      <c r="C750" s="72" t="n"/>
      <c r="D750" s="72" t="n"/>
      <c r="E750" s="72" t="n"/>
      <c r="F750" s="72" t="n"/>
      <c r="G750" s="89" t="n"/>
      <c r="H750" s="89" t="n"/>
      <c r="I750" s="109" t="n"/>
      <c r="J750" s="126">
        <f>IF(OR(D750="",ProjStart=""),"",MAX(ProjStart,IF(I750&lt;&gt;"",I750,0),IF(H750="",0,IFERROR(INDEX($L$6:L749,MATCH(H750,$B$6:B749,0))+1,0))))</f>
        <v/>
      </c>
      <c r="K750" s="89" t="n"/>
      <c r="L750" s="126">
        <f>IF(J750="","",J750+MAX(1,G750)+IF(K750="",0,K750)-1)</f>
        <v/>
      </c>
      <c r="M750" s="72" t="n"/>
      <c r="N750" s="109" t="n"/>
      <c r="O750" s="127">
        <f>IF(D750="","",COUNTIF($H$7:$H$1006,B750))</f>
        <v/>
      </c>
      <c r="P750" s="78">
        <f>IF(D750="","",IF(AND(H750&lt;&gt;"",H750&gt;=B750),"⚠️ Predecessor must be above",IF(M750="Done","✓ Done",IF(Q750=3,"🔴 Late",IF(M750="In progress","In progress","")))))</f>
        <v/>
      </c>
      <c r="Q750" s="79">
        <f>IF(OR(D750="",L750=""),"",IF(M750="Done",2,IF(AsOf&gt;L750,3,1)))</f>
        <v/>
      </c>
      <c r="R750" s="79">
        <f>IF(OR(E750="",F750=""),0,IF(COUNTIFS($E$7:E750,E750,$F$7:F750,F750)=1,1,0))</f>
        <v/>
      </c>
      <c r="S750" s="79">
        <f>IF(R750=1,E750&amp;"|"&amp;SUMIFS($R$7:R750,$E$7:E750,E750),"")</f>
        <v/>
      </c>
      <c r="T750" s="112">
        <f>IF(Q750="","",IF(Q750=3,L750,IF(OR(M750="Not started",M750=""),J750,"")))</f>
        <v/>
      </c>
      <c r="U750" s="79">
        <f>IF(T750="","",IF(Q750=3,1,IF(T750="","",IF(T750&lt;AsOf,1,IF(T750&lt;=AsOf+AlertDays,2,IF(T750&lt;=AsOf+2*AlertDays,3,""))))))</f>
        <v/>
      </c>
      <c r="V750" s="79">
        <f>IF(U750="","",IF(Q750=3,"Late task: "&amp;D750,IF(T750&lt;AsOf,"Should have started: ","Starts soon: ")&amp;D750)&amp;IF(F750="",""," — "&amp;F750))</f>
        <v/>
      </c>
    </row>
    <row r="751" ht="20" customHeight="1">
      <c r="B751" s="125" t="n">
        <v>745</v>
      </c>
      <c r="C751" s="72" t="n"/>
      <c r="D751" s="72" t="n"/>
      <c r="E751" s="72" t="n"/>
      <c r="F751" s="72" t="n"/>
      <c r="G751" s="89" t="n"/>
      <c r="H751" s="89" t="n"/>
      <c r="I751" s="109" t="n"/>
      <c r="J751" s="126">
        <f>IF(OR(D751="",ProjStart=""),"",MAX(ProjStart,IF(I751&lt;&gt;"",I751,0),IF(H751="",0,IFERROR(INDEX($L$6:L750,MATCH(H751,$B$6:B750,0))+1,0))))</f>
        <v/>
      </c>
      <c r="K751" s="89" t="n"/>
      <c r="L751" s="126">
        <f>IF(J751="","",J751+MAX(1,G751)+IF(K751="",0,K751)-1)</f>
        <v/>
      </c>
      <c r="M751" s="72" t="n"/>
      <c r="N751" s="109" t="n"/>
      <c r="O751" s="127">
        <f>IF(D751="","",COUNTIF($H$7:$H$1006,B751))</f>
        <v/>
      </c>
      <c r="P751" s="78">
        <f>IF(D751="","",IF(AND(H751&lt;&gt;"",H751&gt;=B751),"⚠️ Predecessor must be above",IF(M751="Done","✓ Done",IF(Q751=3,"🔴 Late",IF(M751="In progress","In progress","")))))</f>
        <v/>
      </c>
      <c r="Q751" s="79">
        <f>IF(OR(D751="",L751=""),"",IF(M751="Done",2,IF(AsOf&gt;L751,3,1)))</f>
        <v/>
      </c>
      <c r="R751" s="79">
        <f>IF(OR(E751="",F751=""),0,IF(COUNTIFS($E$7:E751,E751,$F$7:F751,F751)=1,1,0))</f>
        <v/>
      </c>
      <c r="S751" s="79">
        <f>IF(R751=1,E751&amp;"|"&amp;SUMIFS($R$7:R751,$E$7:E751,E751),"")</f>
        <v/>
      </c>
      <c r="T751" s="112">
        <f>IF(Q751="","",IF(Q751=3,L751,IF(OR(M751="Not started",M751=""),J751,"")))</f>
        <v/>
      </c>
      <c r="U751" s="79">
        <f>IF(T751="","",IF(Q751=3,1,IF(T751="","",IF(T751&lt;AsOf,1,IF(T751&lt;=AsOf+AlertDays,2,IF(T751&lt;=AsOf+2*AlertDays,3,""))))))</f>
        <v/>
      </c>
      <c r="V751" s="79">
        <f>IF(U751="","",IF(Q751=3,"Late task: "&amp;D751,IF(T751&lt;AsOf,"Should have started: ","Starts soon: ")&amp;D751)&amp;IF(F751="",""," — "&amp;F751))</f>
        <v/>
      </c>
    </row>
    <row r="752" ht="20" customHeight="1">
      <c r="B752" s="125" t="n">
        <v>746</v>
      </c>
      <c r="C752" s="72" t="n"/>
      <c r="D752" s="72" t="n"/>
      <c r="E752" s="72" t="n"/>
      <c r="F752" s="72" t="n"/>
      <c r="G752" s="89" t="n"/>
      <c r="H752" s="89" t="n"/>
      <c r="I752" s="109" t="n"/>
      <c r="J752" s="126">
        <f>IF(OR(D752="",ProjStart=""),"",MAX(ProjStart,IF(I752&lt;&gt;"",I752,0),IF(H752="",0,IFERROR(INDEX($L$6:L751,MATCH(H752,$B$6:B751,0))+1,0))))</f>
        <v/>
      </c>
      <c r="K752" s="89" t="n"/>
      <c r="L752" s="126">
        <f>IF(J752="","",J752+MAX(1,G752)+IF(K752="",0,K752)-1)</f>
        <v/>
      </c>
      <c r="M752" s="72" t="n"/>
      <c r="N752" s="109" t="n"/>
      <c r="O752" s="127">
        <f>IF(D752="","",COUNTIF($H$7:$H$1006,B752))</f>
        <v/>
      </c>
      <c r="P752" s="78">
        <f>IF(D752="","",IF(AND(H752&lt;&gt;"",H752&gt;=B752),"⚠️ Predecessor must be above",IF(M752="Done","✓ Done",IF(Q752=3,"🔴 Late",IF(M752="In progress","In progress","")))))</f>
        <v/>
      </c>
      <c r="Q752" s="79">
        <f>IF(OR(D752="",L752=""),"",IF(M752="Done",2,IF(AsOf&gt;L752,3,1)))</f>
        <v/>
      </c>
      <c r="R752" s="79">
        <f>IF(OR(E752="",F752=""),0,IF(COUNTIFS($E$7:E752,E752,$F$7:F752,F752)=1,1,0))</f>
        <v/>
      </c>
      <c r="S752" s="79">
        <f>IF(R752=1,E752&amp;"|"&amp;SUMIFS($R$7:R752,$E$7:E752,E752),"")</f>
        <v/>
      </c>
      <c r="T752" s="112">
        <f>IF(Q752="","",IF(Q752=3,L752,IF(OR(M752="Not started",M752=""),J752,"")))</f>
        <v/>
      </c>
      <c r="U752" s="79">
        <f>IF(T752="","",IF(Q752=3,1,IF(T752="","",IF(T752&lt;AsOf,1,IF(T752&lt;=AsOf+AlertDays,2,IF(T752&lt;=AsOf+2*AlertDays,3,""))))))</f>
        <v/>
      </c>
      <c r="V752" s="79">
        <f>IF(U752="","",IF(Q752=3,"Late task: "&amp;D752,IF(T752&lt;AsOf,"Should have started: ","Starts soon: ")&amp;D752)&amp;IF(F752="",""," — "&amp;F752))</f>
        <v/>
      </c>
    </row>
    <row r="753" ht="20" customHeight="1">
      <c r="B753" s="125" t="n">
        <v>747</v>
      </c>
      <c r="C753" s="72" t="n"/>
      <c r="D753" s="72" t="n"/>
      <c r="E753" s="72" t="n"/>
      <c r="F753" s="72" t="n"/>
      <c r="G753" s="89" t="n"/>
      <c r="H753" s="89" t="n"/>
      <c r="I753" s="109" t="n"/>
      <c r="J753" s="126">
        <f>IF(OR(D753="",ProjStart=""),"",MAX(ProjStart,IF(I753&lt;&gt;"",I753,0),IF(H753="",0,IFERROR(INDEX($L$6:L752,MATCH(H753,$B$6:B752,0))+1,0))))</f>
        <v/>
      </c>
      <c r="K753" s="89" t="n"/>
      <c r="L753" s="126">
        <f>IF(J753="","",J753+MAX(1,G753)+IF(K753="",0,K753)-1)</f>
        <v/>
      </c>
      <c r="M753" s="72" t="n"/>
      <c r="N753" s="109" t="n"/>
      <c r="O753" s="127">
        <f>IF(D753="","",COUNTIF($H$7:$H$1006,B753))</f>
        <v/>
      </c>
      <c r="P753" s="78">
        <f>IF(D753="","",IF(AND(H753&lt;&gt;"",H753&gt;=B753),"⚠️ Predecessor must be above",IF(M753="Done","✓ Done",IF(Q753=3,"🔴 Late",IF(M753="In progress","In progress","")))))</f>
        <v/>
      </c>
      <c r="Q753" s="79">
        <f>IF(OR(D753="",L753=""),"",IF(M753="Done",2,IF(AsOf&gt;L753,3,1)))</f>
        <v/>
      </c>
      <c r="R753" s="79">
        <f>IF(OR(E753="",F753=""),0,IF(COUNTIFS($E$7:E753,E753,$F$7:F753,F753)=1,1,0))</f>
        <v/>
      </c>
      <c r="S753" s="79">
        <f>IF(R753=1,E753&amp;"|"&amp;SUMIFS($R$7:R753,$E$7:E753,E753),"")</f>
        <v/>
      </c>
      <c r="T753" s="112">
        <f>IF(Q753="","",IF(Q753=3,L753,IF(OR(M753="Not started",M753=""),J753,"")))</f>
        <v/>
      </c>
      <c r="U753" s="79">
        <f>IF(T753="","",IF(Q753=3,1,IF(T753="","",IF(T753&lt;AsOf,1,IF(T753&lt;=AsOf+AlertDays,2,IF(T753&lt;=AsOf+2*AlertDays,3,""))))))</f>
        <v/>
      </c>
      <c r="V753" s="79">
        <f>IF(U753="","",IF(Q753=3,"Late task: "&amp;D753,IF(T753&lt;AsOf,"Should have started: ","Starts soon: ")&amp;D753)&amp;IF(F753="",""," — "&amp;F753))</f>
        <v/>
      </c>
    </row>
    <row r="754" ht="20" customHeight="1">
      <c r="B754" s="125" t="n">
        <v>748</v>
      </c>
      <c r="C754" s="72" t="n"/>
      <c r="D754" s="72" t="n"/>
      <c r="E754" s="72" t="n"/>
      <c r="F754" s="72" t="n"/>
      <c r="G754" s="89" t="n"/>
      <c r="H754" s="89" t="n"/>
      <c r="I754" s="109" t="n"/>
      <c r="J754" s="126">
        <f>IF(OR(D754="",ProjStart=""),"",MAX(ProjStart,IF(I754&lt;&gt;"",I754,0),IF(H754="",0,IFERROR(INDEX($L$6:L753,MATCH(H754,$B$6:B753,0))+1,0))))</f>
        <v/>
      </c>
      <c r="K754" s="89" t="n"/>
      <c r="L754" s="126">
        <f>IF(J754="","",J754+MAX(1,G754)+IF(K754="",0,K754)-1)</f>
        <v/>
      </c>
      <c r="M754" s="72" t="n"/>
      <c r="N754" s="109" t="n"/>
      <c r="O754" s="127">
        <f>IF(D754="","",COUNTIF($H$7:$H$1006,B754))</f>
        <v/>
      </c>
      <c r="P754" s="78">
        <f>IF(D754="","",IF(AND(H754&lt;&gt;"",H754&gt;=B754),"⚠️ Predecessor must be above",IF(M754="Done","✓ Done",IF(Q754=3,"🔴 Late",IF(M754="In progress","In progress","")))))</f>
        <v/>
      </c>
      <c r="Q754" s="79">
        <f>IF(OR(D754="",L754=""),"",IF(M754="Done",2,IF(AsOf&gt;L754,3,1)))</f>
        <v/>
      </c>
      <c r="R754" s="79">
        <f>IF(OR(E754="",F754=""),0,IF(COUNTIFS($E$7:E754,E754,$F$7:F754,F754)=1,1,0))</f>
        <v/>
      </c>
      <c r="S754" s="79">
        <f>IF(R754=1,E754&amp;"|"&amp;SUMIFS($R$7:R754,$E$7:E754,E754),"")</f>
        <v/>
      </c>
      <c r="T754" s="112">
        <f>IF(Q754="","",IF(Q754=3,L754,IF(OR(M754="Not started",M754=""),J754,"")))</f>
        <v/>
      </c>
      <c r="U754" s="79">
        <f>IF(T754="","",IF(Q754=3,1,IF(T754="","",IF(T754&lt;AsOf,1,IF(T754&lt;=AsOf+AlertDays,2,IF(T754&lt;=AsOf+2*AlertDays,3,""))))))</f>
        <v/>
      </c>
      <c r="V754" s="79">
        <f>IF(U754="","",IF(Q754=3,"Late task: "&amp;D754,IF(T754&lt;AsOf,"Should have started: ","Starts soon: ")&amp;D754)&amp;IF(F754="",""," — "&amp;F754))</f>
        <v/>
      </c>
    </row>
    <row r="755" ht="20" customHeight="1">
      <c r="B755" s="125" t="n">
        <v>749</v>
      </c>
      <c r="C755" s="72" t="n"/>
      <c r="D755" s="72" t="n"/>
      <c r="E755" s="72" t="n"/>
      <c r="F755" s="72" t="n"/>
      <c r="G755" s="89" t="n"/>
      <c r="H755" s="89" t="n"/>
      <c r="I755" s="109" t="n"/>
      <c r="J755" s="126">
        <f>IF(OR(D755="",ProjStart=""),"",MAX(ProjStart,IF(I755&lt;&gt;"",I755,0),IF(H755="",0,IFERROR(INDEX($L$6:L754,MATCH(H755,$B$6:B754,0))+1,0))))</f>
        <v/>
      </c>
      <c r="K755" s="89" t="n"/>
      <c r="L755" s="126">
        <f>IF(J755="","",J755+MAX(1,G755)+IF(K755="",0,K755)-1)</f>
        <v/>
      </c>
      <c r="M755" s="72" t="n"/>
      <c r="N755" s="109" t="n"/>
      <c r="O755" s="127">
        <f>IF(D755="","",COUNTIF($H$7:$H$1006,B755))</f>
        <v/>
      </c>
      <c r="P755" s="78">
        <f>IF(D755="","",IF(AND(H755&lt;&gt;"",H755&gt;=B755),"⚠️ Predecessor must be above",IF(M755="Done","✓ Done",IF(Q755=3,"🔴 Late",IF(M755="In progress","In progress","")))))</f>
        <v/>
      </c>
      <c r="Q755" s="79">
        <f>IF(OR(D755="",L755=""),"",IF(M755="Done",2,IF(AsOf&gt;L755,3,1)))</f>
        <v/>
      </c>
      <c r="R755" s="79">
        <f>IF(OR(E755="",F755=""),0,IF(COUNTIFS($E$7:E755,E755,$F$7:F755,F755)=1,1,0))</f>
        <v/>
      </c>
      <c r="S755" s="79">
        <f>IF(R755=1,E755&amp;"|"&amp;SUMIFS($R$7:R755,$E$7:E755,E755),"")</f>
        <v/>
      </c>
      <c r="T755" s="112">
        <f>IF(Q755="","",IF(Q755=3,L755,IF(OR(M755="Not started",M755=""),J755,"")))</f>
        <v/>
      </c>
      <c r="U755" s="79">
        <f>IF(T755="","",IF(Q755=3,1,IF(T755="","",IF(T755&lt;AsOf,1,IF(T755&lt;=AsOf+AlertDays,2,IF(T755&lt;=AsOf+2*AlertDays,3,""))))))</f>
        <v/>
      </c>
      <c r="V755" s="79">
        <f>IF(U755="","",IF(Q755=3,"Late task: "&amp;D755,IF(T755&lt;AsOf,"Should have started: ","Starts soon: ")&amp;D755)&amp;IF(F755="",""," — "&amp;F755))</f>
        <v/>
      </c>
    </row>
    <row r="756" ht="20" customHeight="1">
      <c r="B756" s="125" t="n">
        <v>750</v>
      </c>
      <c r="C756" s="72" t="n"/>
      <c r="D756" s="72" t="n"/>
      <c r="E756" s="72" t="n"/>
      <c r="F756" s="72" t="n"/>
      <c r="G756" s="89" t="n"/>
      <c r="H756" s="89" t="n"/>
      <c r="I756" s="109" t="n"/>
      <c r="J756" s="126">
        <f>IF(OR(D756="",ProjStart=""),"",MAX(ProjStart,IF(I756&lt;&gt;"",I756,0),IF(H756="",0,IFERROR(INDEX($L$6:L755,MATCH(H756,$B$6:B755,0))+1,0))))</f>
        <v/>
      </c>
      <c r="K756" s="89" t="n"/>
      <c r="L756" s="126">
        <f>IF(J756="","",J756+MAX(1,G756)+IF(K756="",0,K756)-1)</f>
        <v/>
      </c>
      <c r="M756" s="72" t="n"/>
      <c r="N756" s="109" t="n"/>
      <c r="O756" s="127">
        <f>IF(D756="","",COUNTIF($H$7:$H$1006,B756))</f>
        <v/>
      </c>
      <c r="P756" s="78">
        <f>IF(D756="","",IF(AND(H756&lt;&gt;"",H756&gt;=B756),"⚠️ Predecessor must be above",IF(M756="Done","✓ Done",IF(Q756=3,"🔴 Late",IF(M756="In progress","In progress","")))))</f>
        <v/>
      </c>
      <c r="Q756" s="79">
        <f>IF(OR(D756="",L756=""),"",IF(M756="Done",2,IF(AsOf&gt;L756,3,1)))</f>
        <v/>
      </c>
      <c r="R756" s="79">
        <f>IF(OR(E756="",F756=""),0,IF(COUNTIFS($E$7:E756,E756,$F$7:F756,F756)=1,1,0))</f>
        <v/>
      </c>
      <c r="S756" s="79">
        <f>IF(R756=1,E756&amp;"|"&amp;SUMIFS($R$7:R756,$E$7:E756,E756),"")</f>
        <v/>
      </c>
      <c r="T756" s="112">
        <f>IF(Q756="","",IF(Q756=3,L756,IF(OR(M756="Not started",M756=""),J756,"")))</f>
        <v/>
      </c>
      <c r="U756" s="79">
        <f>IF(T756="","",IF(Q756=3,1,IF(T756="","",IF(T756&lt;AsOf,1,IF(T756&lt;=AsOf+AlertDays,2,IF(T756&lt;=AsOf+2*AlertDays,3,""))))))</f>
        <v/>
      </c>
      <c r="V756" s="79">
        <f>IF(U756="","",IF(Q756=3,"Late task: "&amp;D756,IF(T756&lt;AsOf,"Should have started: ","Starts soon: ")&amp;D756)&amp;IF(F756="",""," — "&amp;F756))</f>
        <v/>
      </c>
    </row>
    <row r="757" ht="20" customHeight="1">
      <c r="B757" s="125" t="n">
        <v>751</v>
      </c>
      <c r="C757" s="72" t="n"/>
      <c r="D757" s="72" t="n"/>
      <c r="E757" s="72" t="n"/>
      <c r="F757" s="72" t="n"/>
      <c r="G757" s="89" t="n"/>
      <c r="H757" s="89" t="n"/>
      <c r="I757" s="109" t="n"/>
      <c r="J757" s="126">
        <f>IF(OR(D757="",ProjStart=""),"",MAX(ProjStart,IF(I757&lt;&gt;"",I757,0),IF(H757="",0,IFERROR(INDEX($L$6:L756,MATCH(H757,$B$6:B756,0))+1,0))))</f>
        <v/>
      </c>
      <c r="K757" s="89" t="n"/>
      <c r="L757" s="126">
        <f>IF(J757="","",J757+MAX(1,G757)+IF(K757="",0,K757)-1)</f>
        <v/>
      </c>
      <c r="M757" s="72" t="n"/>
      <c r="N757" s="109" t="n"/>
      <c r="O757" s="127">
        <f>IF(D757="","",COUNTIF($H$7:$H$1006,B757))</f>
        <v/>
      </c>
      <c r="P757" s="78">
        <f>IF(D757="","",IF(AND(H757&lt;&gt;"",H757&gt;=B757),"⚠️ Predecessor must be above",IF(M757="Done","✓ Done",IF(Q757=3,"🔴 Late",IF(M757="In progress","In progress","")))))</f>
        <v/>
      </c>
      <c r="Q757" s="79">
        <f>IF(OR(D757="",L757=""),"",IF(M757="Done",2,IF(AsOf&gt;L757,3,1)))</f>
        <v/>
      </c>
      <c r="R757" s="79">
        <f>IF(OR(E757="",F757=""),0,IF(COUNTIFS($E$7:E757,E757,$F$7:F757,F757)=1,1,0))</f>
        <v/>
      </c>
      <c r="S757" s="79">
        <f>IF(R757=1,E757&amp;"|"&amp;SUMIFS($R$7:R757,$E$7:E757,E757),"")</f>
        <v/>
      </c>
      <c r="T757" s="112">
        <f>IF(Q757="","",IF(Q757=3,L757,IF(OR(M757="Not started",M757=""),J757,"")))</f>
        <v/>
      </c>
      <c r="U757" s="79">
        <f>IF(T757="","",IF(Q757=3,1,IF(T757="","",IF(T757&lt;AsOf,1,IF(T757&lt;=AsOf+AlertDays,2,IF(T757&lt;=AsOf+2*AlertDays,3,""))))))</f>
        <v/>
      </c>
      <c r="V757" s="79">
        <f>IF(U757="","",IF(Q757=3,"Late task: "&amp;D757,IF(T757&lt;AsOf,"Should have started: ","Starts soon: ")&amp;D757)&amp;IF(F757="",""," — "&amp;F757))</f>
        <v/>
      </c>
    </row>
    <row r="758" ht="20" customHeight="1">
      <c r="B758" s="125" t="n">
        <v>752</v>
      </c>
      <c r="C758" s="72" t="n"/>
      <c r="D758" s="72" t="n"/>
      <c r="E758" s="72" t="n"/>
      <c r="F758" s="72" t="n"/>
      <c r="G758" s="89" t="n"/>
      <c r="H758" s="89" t="n"/>
      <c r="I758" s="109" t="n"/>
      <c r="J758" s="126">
        <f>IF(OR(D758="",ProjStart=""),"",MAX(ProjStart,IF(I758&lt;&gt;"",I758,0),IF(H758="",0,IFERROR(INDEX($L$6:L757,MATCH(H758,$B$6:B757,0))+1,0))))</f>
        <v/>
      </c>
      <c r="K758" s="89" t="n"/>
      <c r="L758" s="126">
        <f>IF(J758="","",J758+MAX(1,G758)+IF(K758="",0,K758)-1)</f>
        <v/>
      </c>
      <c r="M758" s="72" t="n"/>
      <c r="N758" s="109" t="n"/>
      <c r="O758" s="127">
        <f>IF(D758="","",COUNTIF($H$7:$H$1006,B758))</f>
        <v/>
      </c>
      <c r="P758" s="78">
        <f>IF(D758="","",IF(AND(H758&lt;&gt;"",H758&gt;=B758),"⚠️ Predecessor must be above",IF(M758="Done","✓ Done",IF(Q758=3,"🔴 Late",IF(M758="In progress","In progress","")))))</f>
        <v/>
      </c>
      <c r="Q758" s="79">
        <f>IF(OR(D758="",L758=""),"",IF(M758="Done",2,IF(AsOf&gt;L758,3,1)))</f>
        <v/>
      </c>
      <c r="R758" s="79">
        <f>IF(OR(E758="",F758=""),0,IF(COUNTIFS($E$7:E758,E758,$F$7:F758,F758)=1,1,0))</f>
        <v/>
      </c>
      <c r="S758" s="79">
        <f>IF(R758=1,E758&amp;"|"&amp;SUMIFS($R$7:R758,$E$7:E758,E758),"")</f>
        <v/>
      </c>
      <c r="T758" s="112">
        <f>IF(Q758="","",IF(Q758=3,L758,IF(OR(M758="Not started",M758=""),J758,"")))</f>
        <v/>
      </c>
      <c r="U758" s="79">
        <f>IF(T758="","",IF(Q758=3,1,IF(T758="","",IF(T758&lt;AsOf,1,IF(T758&lt;=AsOf+AlertDays,2,IF(T758&lt;=AsOf+2*AlertDays,3,""))))))</f>
        <v/>
      </c>
      <c r="V758" s="79">
        <f>IF(U758="","",IF(Q758=3,"Late task: "&amp;D758,IF(T758&lt;AsOf,"Should have started: ","Starts soon: ")&amp;D758)&amp;IF(F758="",""," — "&amp;F758))</f>
        <v/>
      </c>
    </row>
    <row r="759" ht="20" customHeight="1">
      <c r="B759" s="125" t="n">
        <v>753</v>
      </c>
      <c r="C759" s="72" t="n"/>
      <c r="D759" s="72" t="n"/>
      <c r="E759" s="72" t="n"/>
      <c r="F759" s="72" t="n"/>
      <c r="G759" s="89" t="n"/>
      <c r="H759" s="89" t="n"/>
      <c r="I759" s="109" t="n"/>
      <c r="J759" s="126">
        <f>IF(OR(D759="",ProjStart=""),"",MAX(ProjStart,IF(I759&lt;&gt;"",I759,0),IF(H759="",0,IFERROR(INDEX($L$6:L758,MATCH(H759,$B$6:B758,0))+1,0))))</f>
        <v/>
      </c>
      <c r="K759" s="89" t="n"/>
      <c r="L759" s="126">
        <f>IF(J759="","",J759+MAX(1,G759)+IF(K759="",0,K759)-1)</f>
        <v/>
      </c>
      <c r="M759" s="72" t="n"/>
      <c r="N759" s="109" t="n"/>
      <c r="O759" s="127">
        <f>IF(D759="","",COUNTIF($H$7:$H$1006,B759))</f>
        <v/>
      </c>
      <c r="P759" s="78">
        <f>IF(D759="","",IF(AND(H759&lt;&gt;"",H759&gt;=B759),"⚠️ Predecessor must be above",IF(M759="Done","✓ Done",IF(Q759=3,"🔴 Late",IF(M759="In progress","In progress","")))))</f>
        <v/>
      </c>
      <c r="Q759" s="79">
        <f>IF(OR(D759="",L759=""),"",IF(M759="Done",2,IF(AsOf&gt;L759,3,1)))</f>
        <v/>
      </c>
      <c r="R759" s="79">
        <f>IF(OR(E759="",F759=""),0,IF(COUNTIFS($E$7:E759,E759,$F$7:F759,F759)=1,1,0))</f>
        <v/>
      </c>
      <c r="S759" s="79">
        <f>IF(R759=1,E759&amp;"|"&amp;SUMIFS($R$7:R759,$E$7:E759,E759),"")</f>
        <v/>
      </c>
      <c r="T759" s="112">
        <f>IF(Q759="","",IF(Q759=3,L759,IF(OR(M759="Not started",M759=""),J759,"")))</f>
        <v/>
      </c>
      <c r="U759" s="79">
        <f>IF(T759="","",IF(Q759=3,1,IF(T759="","",IF(T759&lt;AsOf,1,IF(T759&lt;=AsOf+AlertDays,2,IF(T759&lt;=AsOf+2*AlertDays,3,""))))))</f>
        <v/>
      </c>
      <c r="V759" s="79">
        <f>IF(U759="","",IF(Q759=3,"Late task: "&amp;D759,IF(T759&lt;AsOf,"Should have started: ","Starts soon: ")&amp;D759)&amp;IF(F759="",""," — "&amp;F759))</f>
        <v/>
      </c>
    </row>
    <row r="760" ht="20" customHeight="1">
      <c r="B760" s="125" t="n">
        <v>754</v>
      </c>
      <c r="C760" s="72" t="n"/>
      <c r="D760" s="72" t="n"/>
      <c r="E760" s="72" t="n"/>
      <c r="F760" s="72" t="n"/>
      <c r="G760" s="89" t="n"/>
      <c r="H760" s="89" t="n"/>
      <c r="I760" s="109" t="n"/>
      <c r="J760" s="126">
        <f>IF(OR(D760="",ProjStart=""),"",MAX(ProjStart,IF(I760&lt;&gt;"",I760,0),IF(H760="",0,IFERROR(INDEX($L$6:L759,MATCH(H760,$B$6:B759,0))+1,0))))</f>
        <v/>
      </c>
      <c r="K760" s="89" t="n"/>
      <c r="L760" s="126">
        <f>IF(J760="","",J760+MAX(1,G760)+IF(K760="",0,K760)-1)</f>
        <v/>
      </c>
      <c r="M760" s="72" t="n"/>
      <c r="N760" s="109" t="n"/>
      <c r="O760" s="127">
        <f>IF(D760="","",COUNTIF($H$7:$H$1006,B760))</f>
        <v/>
      </c>
      <c r="P760" s="78">
        <f>IF(D760="","",IF(AND(H760&lt;&gt;"",H760&gt;=B760),"⚠️ Predecessor must be above",IF(M760="Done","✓ Done",IF(Q760=3,"🔴 Late",IF(M760="In progress","In progress","")))))</f>
        <v/>
      </c>
      <c r="Q760" s="79">
        <f>IF(OR(D760="",L760=""),"",IF(M760="Done",2,IF(AsOf&gt;L760,3,1)))</f>
        <v/>
      </c>
      <c r="R760" s="79">
        <f>IF(OR(E760="",F760=""),0,IF(COUNTIFS($E$7:E760,E760,$F$7:F760,F760)=1,1,0))</f>
        <v/>
      </c>
      <c r="S760" s="79">
        <f>IF(R760=1,E760&amp;"|"&amp;SUMIFS($R$7:R760,$E$7:E760,E760),"")</f>
        <v/>
      </c>
      <c r="T760" s="112">
        <f>IF(Q760="","",IF(Q760=3,L760,IF(OR(M760="Not started",M760=""),J760,"")))</f>
        <v/>
      </c>
      <c r="U760" s="79">
        <f>IF(T760="","",IF(Q760=3,1,IF(T760="","",IF(T760&lt;AsOf,1,IF(T760&lt;=AsOf+AlertDays,2,IF(T760&lt;=AsOf+2*AlertDays,3,""))))))</f>
        <v/>
      </c>
      <c r="V760" s="79">
        <f>IF(U760="","",IF(Q760=3,"Late task: "&amp;D760,IF(T760&lt;AsOf,"Should have started: ","Starts soon: ")&amp;D760)&amp;IF(F760="",""," — "&amp;F760))</f>
        <v/>
      </c>
    </row>
    <row r="761" ht="20" customHeight="1">
      <c r="B761" s="125" t="n">
        <v>755</v>
      </c>
      <c r="C761" s="72" t="n"/>
      <c r="D761" s="72" t="n"/>
      <c r="E761" s="72" t="n"/>
      <c r="F761" s="72" t="n"/>
      <c r="G761" s="89" t="n"/>
      <c r="H761" s="89" t="n"/>
      <c r="I761" s="109" t="n"/>
      <c r="J761" s="126">
        <f>IF(OR(D761="",ProjStart=""),"",MAX(ProjStart,IF(I761&lt;&gt;"",I761,0),IF(H761="",0,IFERROR(INDEX($L$6:L760,MATCH(H761,$B$6:B760,0))+1,0))))</f>
        <v/>
      </c>
      <c r="K761" s="89" t="n"/>
      <c r="L761" s="126">
        <f>IF(J761="","",J761+MAX(1,G761)+IF(K761="",0,K761)-1)</f>
        <v/>
      </c>
      <c r="M761" s="72" t="n"/>
      <c r="N761" s="109" t="n"/>
      <c r="O761" s="127">
        <f>IF(D761="","",COUNTIF($H$7:$H$1006,B761))</f>
        <v/>
      </c>
      <c r="P761" s="78">
        <f>IF(D761="","",IF(AND(H761&lt;&gt;"",H761&gt;=B761),"⚠️ Predecessor must be above",IF(M761="Done","✓ Done",IF(Q761=3,"🔴 Late",IF(M761="In progress","In progress","")))))</f>
        <v/>
      </c>
      <c r="Q761" s="79">
        <f>IF(OR(D761="",L761=""),"",IF(M761="Done",2,IF(AsOf&gt;L761,3,1)))</f>
        <v/>
      </c>
      <c r="R761" s="79">
        <f>IF(OR(E761="",F761=""),0,IF(COUNTIFS($E$7:E761,E761,$F$7:F761,F761)=1,1,0))</f>
        <v/>
      </c>
      <c r="S761" s="79">
        <f>IF(R761=1,E761&amp;"|"&amp;SUMIFS($R$7:R761,$E$7:E761,E761),"")</f>
        <v/>
      </c>
      <c r="T761" s="112">
        <f>IF(Q761="","",IF(Q761=3,L761,IF(OR(M761="Not started",M761=""),J761,"")))</f>
        <v/>
      </c>
      <c r="U761" s="79">
        <f>IF(T761="","",IF(Q761=3,1,IF(T761="","",IF(T761&lt;AsOf,1,IF(T761&lt;=AsOf+AlertDays,2,IF(T761&lt;=AsOf+2*AlertDays,3,""))))))</f>
        <v/>
      </c>
      <c r="V761" s="79">
        <f>IF(U761="","",IF(Q761=3,"Late task: "&amp;D761,IF(T761&lt;AsOf,"Should have started: ","Starts soon: ")&amp;D761)&amp;IF(F761="",""," — "&amp;F761))</f>
        <v/>
      </c>
    </row>
    <row r="762" ht="20" customHeight="1">
      <c r="B762" s="125" t="n">
        <v>756</v>
      </c>
      <c r="C762" s="72" t="n"/>
      <c r="D762" s="72" t="n"/>
      <c r="E762" s="72" t="n"/>
      <c r="F762" s="72" t="n"/>
      <c r="G762" s="89" t="n"/>
      <c r="H762" s="89" t="n"/>
      <c r="I762" s="109" t="n"/>
      <c r="J762" s="126">
        <f>IF(OR(D762="",ProjStart=""),"",MAX(ProjStart,IF(I762&lt;&gt;"",I762,0),IF(H762="",0,IFERROR(INDEX($L$6:L761,MATCH(H762,$B$6:B761,0))+1,0))))</f>
        <v/>
      </c>
      <c r="K762" s="89" t="n"/>
      <c r="L762" s="126">
        <f>IF(J762="","",J762+MAX(1,G762)+IF(K762="",0,K762)-1)</f>
        <v/>
      </c>
      <c r="M762" s="72" t="n"/>
      <c r="N762" s="109" t="n"/>
      <c r="O762" s="127">
        <f>IF(D762="","",COUNTIF($H$7:$H$1006,B762))</f>
        <v/>
      </c>
      <c r="P762" s="78">
        <f>IF(D762="","",IF(AND(H762&lt;&gt;"",H762&gt;=B762),"⚠️ Predecessor must be above",IF(M762="Done","✓ Done",IF(Q762=3,"🔴 Late",IF(M762="In progress","In progress","")))))</f>
        <v/>
      </c>
      <c r="Q762" s="79">
        <f>IF(OR(D762="",L762=""),"",IF(M762="Done",2,IF(AsOf&gt;L762,3,1)))</f>
        <v/>
      </c>
      <c r="R762" s="79">
        <f>IF(OR(E762="",F762=""),0,IF(COUNTIFS($E$7:E762,E762,$F$7:F762,F762)=1,1,0))</f>
        <v/>
      </c>
      <c r="S762" s="79">
        <f>IF(R762=1,E762&amp;"|"&amp;SUMIFS($R$7:R762,$E$7:E762,E762),"")</f>
        <v/>
      </c>
      <c r="T762" s="112">
        <f>IF(Q762="","",IF(Q762=3,L762,IF(OR(M762="Not started",M762=""),J762,"")))</f>
        <v/>
      </c>
      <c r="U762" s="79">
        <f>IF(T762="","",IF(Q762=3,1,IF(T762="","",IF(T762&lt;AsOf,1,IF(T762&lt;=AsOf+AlertDays,2,IF(T762&lt;=AsOf+2*AlertDays,3,""))))))</f>
        <v/>
      </c>
      <c r="V762" s="79">
        <f>IF(U762="","",IF(Q762=3,"Late task: "&amp;D762,IF(T762&lt;AsOf,"Should have started: ","Starts soon: ")&amp;D762)&amp;IF(F762="",""," — "&amp;F762))</f>
        <v/>
      </c>
    </row>
    <row r="763" ht="20" customHeight="1">
      <c r="B763" s="125" t="n">
        <v>757</v>
      </c>
      <c r="C763" s="72" t="n"/>
      <c r="D763" s="72" t="n"/>
      <c r="E763" s="72" t="n"/>
      <c r="F763" s="72" t="n"/>
      <c r="G763" s="89" t="n"/>
      <c r="H763" s="89" t="n"/>
      <c r="I763" s="109" t="n"/>
      <c r="J763" s="126">
        <f>IF(OR(D763="",ProjStart=""),"",MAX(ProjStart,IF(I763&lt;&gt;"",I763,0),IF(H763="",0,IFERROR(INDEX($L$6:L762,MATCH(H763,$B$6:B762,0))+1,0))))</f>
        <v/>
      </c>
      <c r="K763" s="89" t="n"/>
      <c r="L763" s="126">
        <f>IF(J763="","",J763+MAX(1,G763)+IF(K763="",0,K763)-1)</f>
        <v/>
      </c>
      <c r="M763" s="72" t="n"/>
      <c r="N763" s="109" t="n"/>
      <c r="O763" s="127">
        <f>IF(D763="","",COUNTIF($H$7:$H$1006,B763))</f>
        <v/>
      </c>
      <c r="P763" s="78">
        <f>IF(D763="","",IF(AND(H763&lt;&gt;"",H763&gt;=B763),"⚠️ Predecessor must be above",IF(M763="Done","✓ Done",IF(Q763=3,"🔴 Late",IF(M763="In progress","In progress","")))))</f>
        <v/>
      </c>
      <c r="Q763" s="79">
        <f>IF(OR(D763="",L763=""),"",IF(M763="Done",2,IF(AsOf&gt;L763,3,1)))</f>
        <v/>
      </c>
      <c r="R763" s="79">
        <f>IF(OR(E763="",F763=""),0,IF(COUNTIFS($E$7:E763,E763,$F$7:F763,F763)=1,1,0))</f>
        <v/>
      </c>
      <c r="S763" s="79">
        <f>IF(R763=1,E763&amp;"|"&amp;SUMIFS($R$7:R763,$E$7:E763,E763),"")</f>
        <v/>
      </c>
      <c r="T763" s="112">
        <f>IF(Q763="","",IF(Q763=3,L763,IF(OR(M763="Not started",M763=""),J763,"")))</f>
        <v/>
      </c>
      <c r="U763" s="79">
        <f>IF(T763="","",IF(Q763=3,1,IF(T763="","",IF(T763&lt;AsOf,1,IF(T763&lt;=AsOf+AlertDays,2,IF(T763&lt;=AsOf+2*AlertDays,3,""))))))</f>
        <v/>
      </c>
      <c r="V763" s="79">
        <f>IF(U763="","",IF(Q763=3,"Late task: "&amp;D763,IF(T763&lt;AsOf,"Should have started: ","Starts soon: ")&amp;D763)&amp;IF(F763="",""," — "&amp;F763))</f>
        <v/>
      </c>
    </row>
    <row r="764" ht="20" customHeight="1">
      <c r="B764" s="125" t="n">
        <v>758</v>
      </c>
      <c r="C764" s="72" t="n"/>
      <c r="D764" s="72" t="n"/>
      <c r="E764" s="72" t="n"/>
      <c r="F764" s="72" t="n"/>
      <c r="G764" s="89" t="n"/>
      <c r="H764" s="89" t="n"/>
      <c r="I764" s="109" t="n"/>
      <c r="J764" s="126">
        <f>IF(OR(D764="",ProjStart=""),"",MAX(ProjStart,IF(I764&lt;&gt;"",I764,0),IF(H764="",0,IFERROR(INDEX($L$6:L763,MATCH(H764,$B$6:B763,0))+1,0))))</f>
        <v/>
      </c>
      <c r="K764" s="89" t="n"/>
      <c r="L764" s="126">
        <f>IF(J764="","",J764+MAX(1,G764)+IF(K764="",0,K764)-1)</f>
        <v/>
      </c>
      <c r="M764" s="72" t="n"/>
      <c r="N764" s="109" t="n"/>
      <c r="O764" s="127">
        <f>IF(D764="","",COUNTIF($H$7:$H$1006,B764))</f>
        <v/>
      </c>
      <c r="P764" s="78">
        <f>IF(D764="","",IF(AND(H764&lt;&gt;"",H764&gt;=B764),"⚠️ Predecessor must be above",IF(M764="Done","✓ Done",IF(Q764=3,"🔴 Late",IF(M764="In progress","In progress","")))))</f>
        <v/>
      </c>
      <c r="Q764" s="79">
        <f>IF(OR(D764="",L764=""),"",IF(M764="Done",2,IF(AsOf&gt;L764,3,1)))</f>
        <v/>
      </c>
      <c r="R764" s="79">
        <f>IF(OR(E764="",F764=""),0,IF(COUNTIFS($E$7:E764,E764,$F$7:F764,F764)=1,1,0))</f>
        <v/>
      </c>
      <c r="S764" s="79">
        <f>IF(R764=1,E764&amp;"|"&amp;SUMIFS($R$7:R764,$E$7:E764,E764),"")</f>
        <v/>
      </c>
      <c r="T764" s="112">
        <f>IF(Q764="","",IF(Q764=3,L764,IF(OR(M764="Not started",M764=""),J764,"")))</f>
        <v/>
      </c>
      <c r="U764" s="79">
        <f>IF(T764="","",IF(Q764=3,1,IF(T764="","",IF(T764&lt;AsOf,1,IF(T764&lt;=AsOf+AlertDays,2,IF(T764&lt;=AsOf+2*AlertDays,3,""))))))</f>
        <v/>
      </c>
      <c r="V764" s="79">
        <f>IF(U764="","",IF(Q764=3,"Late task: "&amp;D764,IF(T764&lt;AsOf,"Should have started: ","Starts soon: ")&amp;D764)&amp;IF(F764="",""," — "&amp;F764))</f>
        <v/>
      </c>
    </row>
    <row r="765" ht="20" customHeight="1">
      <c r="B765" s="125" t="n">
        <v>759</v>
      </c>
      <c r="C765" s="72" t="n"/>
      <c r="D765" s="72" t="n"/>
      <c r="E765" s="72" t="n"/>
      <c r="F765" s="72" t="n"/>
      <c r="G765" s="89" t="n"/>
      <c r="H765" s="89" t="n"/>
      <c r="I765" s="109" t="n"/>
      <c r="J765" s="126">
        <f>IF(OR(D765="",ProjStart=""),"",MAX(ProjStart,IF(I765&lt;&gt;"",I765,0),IF(H765="",0,IFERROR(INDEX($L$6:L764,MATCH(H765,$B$6:B764,0))+1,0))))</f>
        <v/>
      </c>
      <c r="K765" s="89" t="n"/>
      <c r="L765" s="126">
        <f>IF(J765="","",J765+MAX(1,G765)+IF(K765="",0,K765)-1)</f>
        <v/>
      </c>
      <c r="M765" s="72" t="n"/>
      <c r="N765" s="109" t="n"/>
      <c r="O765" s="127">
        <f>IF(D765="","",COUNTIF($H$7:$H$1006,B765))</f>
        <v/>
      </c>
      <c r="P765" s="78">
        <f>IF(D765="","",IF(AND(H765&lt;&gt;"",H765&gt;=B765),"⚠️ Predecessor must be above",IF(M765="Done","✓ Done",IF(Q765=3,"🔴 Late",IF(M765="In progress","In progress","")))))</f>
        <v/>
      </c>
      <c r="Q765" s="79">
        <f>IF(OR(D765="",L765=""),"",IF(M765="Done",2,IF(AsOf&gt;L765,3,1)))</f>
        <v/>
      </c>
      <c r="R765" s="79">
        <f>IF(OR(E765="",F765=""),0,IF(COUNTIFS($E$7:E765,E765,$F$7:F765,F765)=1,1,0))</f>
        <v/>
      </c>
      <c r="S765" s="79">
        <f>IF(R765=1,E765&amp;"|"&amp;SUMIFS($R$7:R765,$E$7:E765,E765),"")</f>
        <v/>
      </c>
      <c r="T765" s="112">
        <f>IF(Q765="","",IF(Q765=3,L765,IF(OR(M765="Not started",M765=""),J765,"")))</f>
        <v/>
      </c>
      <c r="U765" s="79">
        <f>IF(T765="","",IF(Q765=3,1,IF(T765="","",IF(T765&lt;AsOf,1,IF(T765&lt;=AsOf+AlertDays,2,IF(T765&lt;=AsOf+2*AlertDays,3,""))))))</f>
        <v/>
      </c>
      <c r="V765" s="79">
        <f>IF(U765="","",IF(Q765=3,"Late task: "&amp;D765,IF(T765&lt;AsOf,"Should have started: ","Starts soon: ")&amp;D765)&amp;IF(F765="",""," — "&amp;F765))</f>
        <v/>
      </c>
    </row>
    <row r="766" ht="20" customHeight="1">
      <c r="B766" s="125" t="n">
        <v>760</v>
      </c>
      <c r="C766" s="72" t="n"/>
      <c r="D766" s="72" t="n"/>
      <c r="E766" s="72" t="n"/>
      <c r="F766" s="72" t="n"/>
      <c r="G766" s="89" t="n"/>
      <c r="H766" s="89" t="n"/>
      <c r="I766" s="109" t="n"/>
      <c r="J766" s="126">
        <f>IF(OR(D766="",ProjStart=""),"",MAX(ProjStart,IF(I766&lt;&gt;"",I766,0),IF(H766="",0,IFERROR(INDEX($L$6:L765,MATCH(H766,$B$6:B765,0))+1,0))))</f>
        <v/>
      </c>
      <c r="K766" s="89" t="n"/>
      <c r="L766" s="126">
        <f>IF(J766="","",J766+MAX(1,G766)+IF(K766="",0,K766)-1)</f>
        <v/>
      </c>
      <c r="M766" s="72" t="n"/>
      <c r="N766" s="109" t="n"/>
      <c r="O766" s="127">
        <f>IF(D766="","",COUNTIF($H$7:$H$1006,B766))</f>
        <v/>
      </c>
      <c r="P766" s="78">
        <f>IF(D766="","",IF(AND(H766&lt;&gt;"",H766&gt;=B766),"⚠️ Predecessor must be above",IF(M766="Done","✓ Done",IF(Q766=3,"🔴 Late",IF(M766="In progress","In progress","")))))</f>
        <v/>
      </c>
      <c r="Q766" s="79">
        <f>IF(OR(D766="",L766=""),"",IF(M766="Done",2,IF(AsOf&gt;L766,3,1)))</f>
        <v/>
      </c>
      <c r="R766" s="79">
        <f>IF(OR(E766="",F766=""),0,IF(COUNTIFS($E$7:E766,E766,$F$7:F766,F766)=1,1,0))</f>
        <v/>
      </c>
      <c r="S766" s="79">
        <f>IF(R766=1,E766&amp;"|"&amp;SUMIFS($R$7:R766,$E$7:E766,E766),"")</f>
        <v/>
      </c>
      <c r="T766" s="112">
        <f>IF(Q766="","",IF(Q766=3,L766,IF(OR(M766="Not started",M766=""),J766,"")))</f>
        <v/>
      </c>
      <c r="U766" s="79">
        <f>IF(T766="","",IF(Q766=3,1,IF(T766="","",IF(T766&lt;AsOf,1,IF(T766&lt;=AsOf+AlertDays,2,IF(T766&lt;=AsOf+2*AlertDays,3,""))))))</f>
        <v/>
      </c>
      <c r="V766" s="79">
        <f>IF(U766="","",IF(Q766=3,"Late task: "&amp;D766,IF(T766&lt;AsOf,"Should have started: ","Starts soon: ")&amp;D766)&amp;IF(F766="",""," — "&amp;F766))</f>
        <v/>
      </c>
    </row>
    <row r="767" ht="20" customHeight="1">
      <c r="B767" s="125" t="n">
        <v>761</v>
      </c>
      <c r="C767" s="72" t="n"/>
      <c r="D767" s="72" t="n"/>
      <c r="E767" s="72" t="n"/>
      <c r="F767" s="72" t="n"/>
      <c r="G767" s="89" t="n"/>
      <c r="H767" s="89" t="n"/>
      <c r="I767" s="109" t="n"/>
      <c r="J767" s="126">
        <f>IF(OR(D767="",ProjStart=""),"",MAX(ProjStart,IF(I767&lt;&gt;"",I767,0),IF(H767="",0,IFERROR(INDEX($L$6:L766,MATCH(H767,$B$6:B766,0))+1,0))))</f>
        <v/>
      </c>
      <c r="K767" s="89" t="n"/>
      <c r="L767" s="126">
        <f>IF(J767="","",J767+MAX(1,G767)+IF(K767="",0,K767)-1)</f>
        <v/>
      </c>
      <c r="M767" s="72" t="n"/>
      <c r="N767" s="109" t="n"/>
      <c r="O767" s="127">
        <f>IF(D767="","",COUNTIF($H$7:$H$1006,B767))</f>
        <v/>
      </c>
      <c r="P767" s="78">
        <f>IF(D767="","",IF(AND(H767&lt;&gt;"",H767&gt;=B767),"⚠️ Predecessor must be above",IF(M767="Done","✓ Done",IF(Q767=3,"🔴 Late",IF(M767="In progress","In progress","")))))</f>
        <v/>
      </c>
      <c r="Q767" s="79">
        <f>IF(OR(D767="",L767=""),"",IF(M767="Done",2,IF(AsOf&gt;L767,3,1)))</f>
        <v/>
      </c>
      <c r="R767" s="79">
        <f>IF(OR(E767="",F767=""),0,IF(COUNTIFS($E$7:E767,E767,$F$7:F767,F767)=1,1,0))</f>
        <v/>
      </c>
      <c r="S767" s="79">
        <f>IF(R767=1,E767&amp;"|"&amp;SUMIFS($R$7:R767,$E$7:E767,E767),"")</f>
        <v/>
      </c>
      <c r="T767" s="112">
        <f>IF(Q767="","",IF(Q767=3,L767,IF(OR(M767="Not started",M767=""),J767,"")))</f>
        <v/>
      </c>
      <c r="U767" s="79">
        <f>IF(T767="","",IF(Q767=3,1,IF(T767="","",IF(T767&lt;AsOf,1,IF(T767&lt;=AsOf+AlertDays,2,IF(T767&lt;=AsOf+2*AlertDays,3,""))))))</f>
        <v/>
      </c>
      <c r="V767" s="79">
        <f>IF(U767="","",IF(Q767=3,"Late task: "&amp;D767,IF(T767&lt;AsOf,"Should have started: ","Starts soon: ")&amp;D767)&amp;IF(F767="",""," — "&amp;F767))</f>
        <v/>
      </c>
    </row>
    <row r="768" ht="20" customHeight="1">
      <c r="B768" s="125" t="n">
        <v>762</v>
      </c>
      <c r="C768" s="72" t="n"/>
      <c r="D768" s="72" t="n"/>
      <c r="E768" s="72" t="n"/>
      <c r="F768" s="72" t="n"/>
      <c r="G768" s="89" t="n"/>
      <c r="H768" s="89" t="n"/>
      <c r="I768" s="109" t="n"/>
      <c r="J768" s="126">
        <f>IF(OR(D768="",ProjStart=""),"",MAX(ProjStart,IF(I768&lt;&gt;"",I768,0),IF(H768="",0,IFERROR(INDEX($L$6:L767,MATCH(H768,$B$6:B767,0))+1,0))))</f>
        <v/>
      </c>
      <c r="K768" s="89" t="n"/>
      <c r="L768" s="126">
        <f>IF(J768="","",J768+MAX(1,G768)+IF(K768="",0,K768)-1)</f>
        <v/>
      </c>
      <c r="M768" s="72" t="n"/>
      <c r="N768" s="109" t="n"/>
      <c r="O768" s="127">
        <f>IF(D768="","",COUNTIF($H$7:$H$1006,B768))</f>
        <v/>
      </c>
      <c r="P768" s="78">
        <f>IF(D768="","",IF(AND(H768&lt;&gt;"",H768&gt;=B768),"⚠️ Predecessor must be above",IF(M768="Done","✓ Done",IF(Q768=3,"🔴 Late",IF(M768="In progress","In progress","")))))</f>
        <v/>
      </c>
      <c r="Q768" s="79">
        <f>IF(OR(D768="",L768=""),"",IF(M768="Done",2,IF(AsOf&gt;L768,3,1)))</f>
        <v/>
      </c>
      <c r="R768" s="79">
        <f>IF(OR(E768="",F768=""),0,IF(COUNTIFS($E$7:E768,E768,$F$7:F768,F768)=1,1,0))</f>
        <v/>
      </c>
      <c r="S768" s="79">
        <f>IF(R768=1,E768&amp;"|"&amp;SUMIFS($R$7:R768,$E$7:E768,E768),"")</f>
        <v/>
      </c>
      <c r="T768" s="112">
        <f>IF(Q768="","",IF(Q768=3,L768,IF(OR(M768="Not started",M768=""),J768,"")))</f>
        <v/>
      </c>
      <c r="U768" s="79">
        <f>IF(T768="","",IF(Q768=3,1,IF(T768="","",IF(T768&lt;AsOf,1,IF(T768&lt;=AsOf+AlertDays,2,IF(T768&lt;=AsOf+2*AlertDays,3,""))))))</f>
        <v/>
      </c>
      <c r="V768" s="79">
        <f>IF(U768="","",IF(Q768=3,"Late task: "&amp;D768,IF(T768&lt;AsOf,"Should have started: ","Starts soon: ")&amp;D768)&amp;IF(F768="",""," — "&amp;F768))</f>
        <v/>
      </c>
    </row>
    <row r="769" ht="20" customHeight="1">
      <c r="B769" s="125" t="n">
        <v>763</v>
      </c>
      <c r="C769" s="72" t="n"/>
      <c r="D769" s="72" t="n"/>
      <c r="E769" s="72" t="n"/>
      <c r="F769" s="72" t="n"/>
      <c r="G769" s="89" t="n"/>
      <c r="H769" s="89" t="n"/>
      <c r="I769" s="109" t="n"/>
      <c r="J769" s="126">
        <f>IF(OR(D769="",ProjStart=""),"",MAX(ProjStart,IF(I769&lt;&gt;"",I769,0),IF(H769="",0,IFERROR(INDEX($L$6:L768,MATCH(H769,$B$6:B768,0))+1,0))))</f>
        <v/>
      </c>
      <c r="K769" s="89" t="n"/>
      <c r="L769" s="126">
        <f>IF(J769="","",J769+MAX(1,G769)+IF(K769="",0,K769)-1)</f>
        <v/>
      </c>
      <c r="M769" s="72" t="n"/>
      <c r="N769" s="109" t="n"/>
      <c r="O769" s="127">
        <f>IF(D769="","",COUNTIF($H$7:$H$1006,B769))</f>
        <v/>
      </c>
      <c r="P769" s="78">
        <f>IF(D769="","",IF(AND(H769&lt;&gt;"",H769&gt;=B769),"⚠️ Predecessor must be above",IF(M769="Done","✓ Done",IF(Q769=3,"🔴 Late",IF(M769="In progress","In progress","")))))</f>
        <v/>
      </c>
      <c r="Q769" s="79">
        <f>IF(OR(D769="",L769=""),"",IF(M769="Done",2,IF(AsOf&gt;L769,3,1)))</f>
        <v/>
      </c>
      <c r="R769" s="79">
        <f>IF(OR(E769="",F769=""),0,IF(COUNTIFS($E$7:E769,E769,$F$7:F769,F769)=1,1,0))</f>
        <v/>
      </c>
      <c r="S769" s="79">
        <f>IF(R769=1,E769&amp;"|"&amp;SUMIFS($R$7:R769,$E$7:E769,E769),"")</f>
        <v/>
      </c>
      <c r="T769" s="112">
        <f>IF(Q769="","",IF(Q769=3,L769,IF(OR(M769="Not started",M769=""),J769,"")))</f>
        <v/>
      </c>
      <c r="U769" s="79">
        <f>IF(T769="","",IF(Q769=3,1,IF(T769="","",IF(T769&lt;AsOf,1,IF(T769&lt;=AsOf+AlertDays,2,IF(T769&lt;=AsOf+2*AlertDays,3,""))))))</f>
        <v/>
      </c>
      <c r="V769" s="79">
        <f>IF(U769="","",IF(Q769=3,"Late task: "&amp;D769,IF(T769&lt;AsOf,"Should have started: ","Starts soon: ")&amp;D769)&amp;IF(F769="",""," — "&amp;F769))</f>
        <v/>
      </c>
    </row>
    <row r="770" ht="20" customHeight="1">
      <c r="B770" s="125" t="n">
        <v>764</v>
      </c>
      <c r="C770" s="72" t="n"/>
      <c r="D770" s="72" t="n"/>
      <c r="E770" s="72" t="n"/>
      <c r="F770" s="72" t="n"/>
      <c r="G770" s="89" t="n"/>
      <c r="H770" s="89" t="n"/>
      <c r="I770" s="109" t="n"/>
      <c r="J770" s="126">
        <f>IF(OR(D770="",ProjStart=""),"",MAX(ProjStart,IF(I770&lt;&gt;"",I770,0),IF(H770="",0,IFERROR(INDEX($L$6:L769,MATCH(H770,$B$6:B769,0))+1,0))))</f>
        <v/>
      </c>
      <c r="K770" s="89" t="n"/>
      <c r="L770" s="126">
        <f>IF(J770="","",J770+MAX(1,G770)+IF(K770="",0,K770)-1)</f>
        <v/>
      </c>
      <c r="M770" s="72" t="n"/>
      <c r="N770" s="109" t="n"/>
      <c r="O770" s="127">
        <f>IF(D770="","",COUNTIF($H$7:$H$1006,B770))</f>
        <v/>
      </c>
      <c r="P770" s="78">
        <f>IF(D770="","",IF(AND(H770&lt;&gt;"",H770&gt;=B770),"⚠️ Predecessor must be above",IF(M770="Done","✓ Done",IF(Q770=3,"🔴 Late",IF(M770="In progress","In progress","")))))</f>
        <v/>
      </c>
      <c r="Q770" s="79">
        <f>IF(OR(D770="",L770=""),"",IF(M770="Done",2,IF(AsOf&gt;L770,3,1)))</f>
        <v/>
      </c>
      <c r="R770" s="79">
        <f>IF(OR(E770="",F770=""),0,IF(COUNTIFS($E$7:E770,E770,$F$7:F770,F770)=1,1,0))</f>
        <v/>
      </c>
      <c r="S770" s="79">
        <f>IF(R770=1,E770&amp;"|"&amp;SUMIFS($R$7:R770,$E$7:E770,E770),"")</f>
        <v/>
      </c>
      <c r="T770" s="112">
        <f>IF(Q770="","",IF(Q770=3,L770,IF(OR(M770="Not started",M770=""),J770,"")))</f>
        <v/>
      </c>
      <c r="U770" s="79">
        <f>IF(T770="","",IF(Q770=3,1,IF(T770="","",IF(T770&lt;AsOf,1,IF(T770&lt;=AsOf+AlertDays,2,IF(T770&lt;=AsOf+2*AlertDays,3,""))))))</f>
        <v/>
      </c>
      <c r="V770" s="79">
        <f>IF(U770="","",IF(Q770=3,"Late task: "&amp;D770,IF(T770&lt;AsOf,"Should have started: ","Starts soon: ")&amp;D770)&amp;IF(F770="",""," — "&amp;F770))</f>
        <v/>
      </c>
    </row>
    <row r="771" ht="20" customHeight="1">
      <c r="B771" s="125" t="n">
        <v>765</v>
      </c>
      <c r="C771" s="72" t="n"/>
      <c r="D771" s="72" t="n"/>
      <c r="E771" s="72" t="n"/>
      <c r="F771" s="72" t="n"/>
      <c r="G771" s="89" t="n"/>
      <c r="H771" s="89" t="n"/>
      <c r="I771" s="109" t="n"/>
      <c r="J771" s="126">
        <f>IF(OR(D771="",ProjStart=""),"",MAX(ProjStart,IF(I771&lt;&gt;"",I771,0),IF(H771="",0,IFERROR(INDEX($L$6:L770,MATCH(H771,$B$6:B770,0))+1,0))))</f>
        <v/>
      </c>
      <c r="K771" s="89" t="n"/>
      <c r="L771" s="126">
        <f>IF(J771="","",J771+MAX(1,G771)+IF(K771="",0,K771)-1)</f>
        <v/>
      </c>
      <c r="M771" s="72" t="n"/>
      <c r="N771" s="109" t="n"/>
      <c r="O771" s="127">
        <f>IF(D771="","",COUNTIF($H$7:$H$1006,B771))</f>
        <v/>
      </c>
      <c r="P771" s="78">
        <f>IF(D771="","",IF(AND(H771&lt;&gt;"",H771&gt;=B771),"⚠️ Predecessor must be above",IF(M771="Done","✓ Done",IF(Q771=3,"🔴 Late",IF(M771="In progress","In progress","")))))</f>
        <v/>
      </c>
      <c r="Q771" s="79">
        <f>IF(OR(D771="",L771=""),"",IF(M771="Done",2,IF(AsOf&gt;L771,3,1)))</f>
        <v/>
      </c>
      <c r="R771" s="79">
        <f>IF(OR(E771="",F771=""),0,IF(COUNTIFS($E$7:E771,E771,$F$7:F771,F771)=1,1,0))</f>
        <v/>
      </c>
      <c r="S771" s="79">
        <f>IF(R771=1,E771&amp;"|"&amp;SUMIFS($R$7:R771,$E$7:E771,E771),"")</f>
        <v/>
      </c>
      <c r="T771" s="112">
        <f>IF(Q771="","",IF(Q771=3,L771,IF(OR(M771="Not started",M771=""),J771,"")))</f>
        <v/>
      </c>
      <c r="U771" s="79">
        <f>IF(T771="","",IF(Q771=3,1,IF(T771="","",IF(T771&lt;AsOf,1,IF(T771&lt;=AsOf+AlertDays,2,IF(T771&lt;=AsOf+2*AlertDays,3,""))))))</f>
        <v/>
      </c>
      <c r="V771" s="79">
        <f>IF(U771="","",IF(Q771=3,"Late task: "&amp;D771,IF(T771&lt;AsOf,"Should have started: ","Starts soon: ")&amp;D771)&amp;IF(F771="",""," — "&amp;F771))</f>
        <v/>
      </c>
    </row>
    <row r="772" ht="20" customHeight="1">
      <c r="B772" s="125" t="n">
        <v>766</v>
      </c>
      <c r="C772" s="72" t="n"/>
      <c r="D772" s="72" t="n"/>
      <c r="E772" s="72" t="n"/>
      <c r="F772" s="72" t="n"/>
      <c r="G772" s="89" t="n"/>
      <c r="H772" s="89" t="n"/>
      <c r="I772" s="109" t="n"/>
      <c r="J772" s="126">
        <f>IF(OR(D772="",ProjStart=""),"",MAX(ProjStart,IF(I772&lt;&gt;"",I772,0),IF(H772="",0,IFERROR(INDEX($L$6:L771,MATCH(H772,$B$6:B771,0))+1,0))))</f>
        <v/>
      </c>
      <c r="K772" s="89" t="n"/>
      <c r="L772" s="126">
        <f>IF(J772="","",J772+MAX(1,G772)+IF(K772="",0,K772)-1)</f>
        <v/>
      </c>
      <c r="M772" s="72" t="n"/>
      <c r="N772" s="109" t="n"/>
      <c r="O772" s="127">
        <f>IF(D772="","",COUNTIF($H$7:$H$1006,B772))</f>
        <v/>
      </c>
      <c r="P772" s="78">
        <f>IF(D772="","",IF(AND(H772&lt;&gt;"",H772&gt;=B772),"⚠️ Predecessor must be above",IF(M772="Done","✓ Done",IF(Q772=3,"🔴 Late",IF(M772="In progress","In progress","")))))</f>
        <v/>
      </c>
      <c r="Q772" s="79">
        <f>IF(OR(D772="",L772=""),"",IF(M772="Done",2,IF(AsOf&gt;L772,3,1)))</f>
        <v/>
      </c>
      <c r="R772" s="79">
        <f>IF(OR(E772="",F772=""),0,IF(COUNTIFS($E$7:E772,E772,$F$7:F772,F772)=1,1,0))</f>
        <v/>
      </c>
      <c r="S772" s="79">
        <f>IF(R772=1,E772&amp;"|"&amp;SUMIFS($R$7:R772,$E$7:E772,E772),"")</f>
        <v/>
      </c>
      <c r="T772" s="112">
        <f>IF(Q772="","",IF(Q772=3,L772,IF(OR(M772="Not started",M772=""),J772,"")))</f>
        <v/>
      </c>
      <c r="U772" s="79">
        <f>IF(T772="","",IF(Q772=3,1,IF(T772="","",IF(T772&lt;AsOf,1,IF(T772&lt;=AsOf+AlertDays,2,IF(T772&lt;=AsOf+2*AlertDays,3,""))))))</f>
        <v/>
      </c>
      <c r="V772" s="79">
        <f>IF(U772="","",IF(Q772=3,"Late task: "&amp;D772,IF(T772&lt;AsOf,"Should have started: ","Starts soon: ")&amp;D772)&amp;IF(F772="",""," — "&amp;F772))</f>
        <v/>
      </c>
    </row>
    <row r="773" ht="20" customHeight="1">
      <c r="B773" s="125" t="n">
        <v>767</v>
      </c>
      <c r="C773" s="72" t="n"/>
      <c r="D773" s="72" t="n"/>
      <c r="E773" s="72" t="n"/>
      <c r="F773" s="72" t="n"/>
      <c r="G773" s="89" t="n"/>
      <c r="H773" s="89" t="n"/>
      <c r="I773" s="109" t="n"/>
      <c r="J773" s="126">
        <f>IF(OR(D773="",ProjStart=""),"",MAX(ProjStart,IF(I773&lt;&gt;"",I773,0),IF(H773="",0,IFERROR(INDEX($L$6:L772,MATCH(H773,$B$6:B772,0))+1,0))))</f>
        <v/>
      </c>
      <c r="K773" s="89" t="n"/>
      <c r="L773" s="126">
        <f>IF(J773="","",J773+MAX(1,G773)+IF(K773="",0,K773)-1)</f>
        <v/>
      </c>
      <c r="M773" s="72" t="n"/>
      <c r="N773" s="109" t="n"/>
      <c r="O773" s="127">
        <f>IF(D773="","",COUNTIF($H$7:$H$1006,B773))</f>
        <v/>
      </c>
      <c r="P773" s="78">
        <f>IF(D773="","",IF(AND(H773&lt;&gt;"",H773&gt;=B773),"⚠️ Predecessor must be above",IF(M773="Done","✓ Done",IF(Q773=3,"🔴 Late",IF(M773="In progress","In progress","")))))</f>
        <v/>
      </c>
      <c r="Q773" s="79">
        <f>IF(OR(D773="",L773=""),"",IF(M773="Done",2,IF(AsOf&gt;L773,3,1)))</f>
        <v/>
      </c>
      <c r="R773" s="79">
        <f>IF(OR(E773="",F773=""),0,IF(COUNTIFS($E$7:E773,E773,$F$7:F773,F773)=1,1,0))</f>
        <v/>
      </c>
      <c r="S773" s="79">
        <f>IF(R773=1,E773&amp;"|"&amp;SUMIFS($R$7:R773,$E$7:E773,E773),"")</f>
        <v/>
      </c>
      <c r="T773" s="112">
        <f>IF(Q773="","",IF(Q773=3,L773,IF(OR(M773="Not started",M773=""),J773,"")))</f>
        <v/>
      </c>
      <c r="U773" s="79">
        <f>IF(T773="","",IF(Q773=3,1,IF(T773="","",IF(T773&lt;AsOf,1,IF(T773&lt;=AsOf+AlertDays,2,IF(T773&lt;=AsOf+2*AlertDays,3,""))))))</f>
        <v/>
      </c>
      <c r="V773" s="79">
        <f>IF(U773="","",IF(Q773=3,"Late task: "&amp;D773,IF(T773&lt;AsOf,"Should have started: ","Starts soon: ")&amp;D773)&amp;IF(F773="",""," — "&amp;F773))</f>
        <v/>
      </c>
    </row>
    <row r="774" ht="20" customHeight="1">
      <c r="B774" s="125" t="n">
        <v>768</v>
      </c>
      <c r="C774" s="72" t="n"/>
      <c r="D774" s="72" t="n"/>
      <c r="E774" s="72" t="n"/>
      <c r="F774" s="72" t="n"/>
      <c r="G774" s="89" t="n"/>
      <c r="H774" s="89" t="n"/>
      <c r="I774" s="109" t="n"/>
      <c r="J774" s="126">
        <f>IF(OR(D774="",ProjStart=""),"",MAX(ProjStart,IF(I774&lt;&gt;"",I774,0),IF(H774="",0,IFERROR(INDEX($L$6:L773,MATCH(H774,$B$6:B773,0))+1,0))))</f>
        <v/>
      </c>
      <c r="K774" s="89" t="n"/>
      <c r="L774" s="126">
        <f>IF(J774="","",J774+MAX(1,G774)+IF(K774="",0,K774)-1)</f>
        <v/>
      </c>
      <c r="M774" s="72" t="n"/>
      <c r="N774" s="109" t="n"/>
      <c r="O774" s="127">
        <f>IF(D774="","",COUNTIF($H$7:$H$1006,B774))</f>
        <v/>
      </c>
      <c r="P774" s="78">
        <f>IF(D774="","",IF(AND(H774&lt;&gt;"",H774&gt;=B774),"⚠️ Predecessor must be above",IF(M774="Done","✓ Done",IF(Q774=3,"🔴 Late",IF(M774="In progress","In progress","")))))</f>
        <v/>
      </c>
      <c r="Q774" s="79">
        <f>IF(OR(D774="",L774=""),"",IF(M774="Done",2,IF(AsOf&gt;L774,3,1)))</f>
        <v/>
      </c>
      <c r="R774" s="79">
        <f>IF(OR(E774="",F774=""),0,IF(COUNTIFS($E$7:E774,E774,$F$7:F774,F774)=1,1,0))</f>
        <v/>
      </c>
      <c r="S774" s="79">
        <f>IF(R774=1,E774&amp;"|"&amp;SUMIFS($R$7:R774,$E$7:E774,E774),"")</f>
        <v/>
      </c>
      <c r="T774" s="112">
        <f>IF(Q774="","",IF(Q774=3,L774,IF(OR(M774="Not started",M774=""),J774,"")))</f>
        <v/>
      </c>
      <c r="U774" s="79">
        <f>IF(T774="","",IF(Q774=3,1,IF(T774="","",IF(T774&lt;AsOf,1,IF(T774&lt;=AsOf+AlertDays,2,IF(T774&lt;=AsOf+2*AlertDays,3,""))))))</f>
        <v/>
      </c>
      <c r="V774" s="79">
        <f>IF(U774="","",IF(Q774=3,"Late task: "&amp;D774,IF(T774&lt;AsOf,"Should have started: ","Starts soon: ")&amp;D774)&amp;IF(F774="",""," — "&amp;F774))</f>
        <v/>
      </c>
    </row>
    <row r="775" ht="20" customHeight="1">
      <c r="B775" s="125" t="n">
        <v>769</v>
      </c>
      <c r="C775" s="72" t="n"/>
      <c r="D775" s="72" t="n"/>
      <c r="E775" s="72" t="n"/>
      <c r="F775" s="72" t="n"/>
      <c r="G775" s="89" t="n"/>
      <c r="H775" s="89" t="n"/>
      <c r="I775" s="109" t="n"/>
      <c r="J775" s="126">
        <f>IF(OR(D775="",ProjStart=""),"",MAX(ProjStart,IF(I775&lt;&gt;"",I775,0),IF(H775="",0,IFERROR(INDEX($L$6:L774,MATCH(H775,$B$6:B774,0))+1,0))))</f>
        <v/>
      </c>
      <c r="K775" s="89" t="n"/>
      <c r="L775" s="126">
        <f>IF(J775="","",J775+MAX(1,G775)+IF(K775="",0,K775)-1)</f>
        <v/>
      </c>
      <c r="M775" s="72" t="n"/>
      <c r="N775" s="109" t="n"/>
      <c r="O775" s="127">
        <f>IF(D775="","",COUNTIF($H$7:$H$1006,B775))</f>
        <v/>
      </c>
      <c r="P775" s="78">
        <f>IF(D775="","",IF(AND(H775&lt;&gt;"",H775&gt;=B775),"⚠️ Predecessor must be above",IF(M775="Done","✓ Done",IF(Q775=3,"🔴 Late",IF(M775="In progress","In progress","")))))</f>
        <v/>
      </c>
      <c r="Q775" s="79">
        <f>IF(OR(D775="",L775=""),"",IF(M775="Done",2,IF(AsOf&gt;L775,3,1)))</f>
        <v/>
      </c>
      <c r="R775" s="79">
        <f>IF(OR(E775="",F775=""),0,IF(COUNTIFS($E$7:E775,E775,$F$7:F775,F775)=1,1,0))</f>
        <v/>
      </c>
      <c r="S775" s="79">
        <f>IF(R775=1,E775&amp;"|"&amp;SUMIFS($R$7:R775,$E$7:E775,E775),"")</f>
        <v/>
      </c>
      <c r="T775" s="112">
        <f>IF(Q775="","",IF(Q775=3,L775,IF(OR(M775="Not started",M775=""),J775,"")))</f>
        <v/>
      </c>
      <c r="U775" s="79">
        <f>IF(T775="","",IF(Q775=3,1,IF(T775="","",IF(T775&lt;AsOf,1,IF(T775&lt;=AsOf+AlertDays,2,IF(T775&lt;=AsOf+2*AlertDays,3,""))))))</f>
        <v/>
      </c>
      <c r="V775" s="79">
        <f>IF(U775="","",IF(Q775=3,"Late task: "&amp;D775,IF(T775&lt;AsOf,"Should have started: ","Starts soon: ")&amp;D775)&amp;IF(F775="",""," — "&amp;F775))</f>
        <v/>
      </c>
    </row>
    <row r="776" ht="20" customHeight="1">
      <c r="B776" s="125" t="n">
        <v>770</v>
      </c>
      <c r="C776" s="72" t="n"/>
      <c r="D776" s="72" t="n"/>
      <c r="E776" s="72" t="n"/>
      <c r="F776" s="72" t="n"/>
      <c r="G776" s="89" t="n"/>
      <c r="H776" s="89" t="n"/>
      <c r="I776" s="109" t="n"/>
      <c r="J776" s="126">
        <f>IF(OR(D776="",ProjStart=""),"",MAX(ProjStart,IF(I776&lt;&gt;"",I776,0),IF(H776="",0,IFERROR(INDEX($L$6:L775,MATCH(H776,$B$6:B775,0))+1,0))))</f>
        <v/>
      </c>
      <c r="K776" s="89" t="n"/>
      <c r="L776" s="126">
        <f>IF(J776="","",J776+MAX(1,G776)+IF(K776="",0,K776)-1)</f>
        <v/>
      </c>
      <c r="M776" s="72" t="n"/>
      <c r="N776" s="109" t="n"/>
      <c r="O776" s="127">
        <f>IF(D776="","",COUNTIF($H$7:$H$1006,B776))</f>
        <v/>
      </c>
      <c r="P776" s="78">
        <f>IF(D776="","",IF(AND(H776&lt;&gt;"",H776&gt;=B776),"⚠️ Predecessor must be above",IF(M776="Done","✓ Done",IF(Q776=3,"🔴 Late",IF(M776="In progress","In progress","")))))</f>
        <v/>
      </c>
      <c r="Q776" s="79">
        <f>IF(OR(D776="",L776=""),"",IF(M776="Done",2,IF(AsOf&gt;L776,3,1)))</f>
        <v/>
      </c>
      <c r="R776" s="79">
        <f>IF(OR(E776="",F776=""),0,IF(COUNTIFS($E$7:E776,E776,$F$7:F776,F776)=1,1,0))</f>
        <v/>
      </c>
      <c r="S776" s="79">
        <f>IF(R776=1,E776&amp;"|"&amp;SUMIFS($R$7:R776,$E$7:E776,E776),"")</f>
        <v/>
      </c>
      <c r="T776" s="112">
        <f>IF(Q776="","",IF(Q776=3,L776,IF(OR(M776="Not started",M776=""),J776,"")))</f>
        <v/>
      </c>
      <c r="U776" s="79">
        <f>IF(T776="","",IF(Q776=3,1,IF(T776="","",IF(T776&lt;AsOf,1,IF(T776&lt;=AsOf+AlertDays,2,IF(T776&lt;=AsOf+2*AlertDays,3,""))))))</f>
        <v/>
      </c>
      <c r="V776" s="79">
        <f>IF(U776="","",IF(Q776=3,"Late task: "&amp;D776,IF(T776&lt;AsOf,"Should have started: ","Starts soon: ")&amp;D776)&amp;IF(F776="",""," — "&amp;F776))</f>
        <v/>
      </c>
    </row>
    <row r="777" ht="20" customHeight="1">
      <c r="B777" s="125" t="n">
        <v>771</v>
      </c>
      <c r="C777" s="72" t="n"/>
      <c r="D777" s="72" t="n"/>
      <c r="E777" s="72" t="n"/>
      <c r="F777" s="72" t="n"/>
      <c r="G777" s="89" t="n"/>
      <c r="H777" s="89" t="n"/>
      <c r="I777" s="109" t="n"/>
      <c r="J777" s="126">
        <f>IF(OR(D777="",ProjStart=""),"",MAX(ProjStart,IF(I777&lt;&gt;"",I777,0),IF(H777="",0,IFERROR(INDEX($L$6:L776,MATCH(H777,$B$6:B776,0))+1,0))))</f>
        <v/>
      </c>
      <c r="K777" s="89" t="n"/>
      <c r="L777" s="126">
        <f>IF(J777="","",J777+MAX(1,G777)+IF(K777="",0,K777)-1)</f>
        <v/>
      </c>
      <c r="M777" s="72" t="n"/>
      <c r="N777" s="109" t="n"/>
      <c r="O777" s="127">
        <f>IF(D777="","",COUNTIF($H$7:$H$1006,B777))</f>
        <v/>
      </c>
      <c r="P777" s="78">
        <f>IF(D777="","",IF(AND(H777&lt;&gt;"",H777&gt;=B777),"⚠️ Predecessor must be above",IF(M777="Done","✓ Done",IF(Q777=3,"🔴 Late",IF(M777="In progress","In progress","")))))</f>
        <v/>
      </c>
      <c r="Q777" s="79">
        <f>IF(OR(D777="",L777=""),"",IF(M777="Done",2,IF(AsOf&gt;L777,3,1)))</f>
        <v/>
      </c>
      <c r="R777" s="79">
        <f>IF(OR(E777="",F777=""),0,IF(COUNTIFS($E$7:E777,E777,$F$7:F777,F777)=1,1,0))</f>
        <v/>
      </c>
      <c r="S777" s="79">
        <f>IF(R777=1,E777&amp;"|"&amp;SUMIFS($R$7:R777,$E$7:E777,E777),"")</f>
        <v/>
      </c>
      <c r="T777" s="112">
        <f>IF(Q777="","",IF(Q777=3,L777,IF(OR(M777="Not started",M777=""),J777,"")))</f>
        <v/>
      </c>
      <c r="U777" s="79">
        <f>IF(T777="","",IF(Q777=3,1,IF(T777="","",IF(T777&lt;AsOf,1,IF(T777&lt;=AsOf+AlertDays,2,IF(T777&lt;=AsOf+2*AlertDays,3,""))))))</f>
        <v/>
      </c>
      <c r="V777" s="79">
        <f>IF(U777="","",IF(Q777=3,"Late task: "&amp;D777,IF(T777&lt;AsOf,"Should have started: ","Starts soon: ")&amp;D777)&amp;IF(F777="",""," — "&amp;F777))</f>
        <v/>
      </c>
    </row>
    <row r="778" ht="20" customHeight="1">
      <c r="B778" s="125" t="n">
        <v>772</v>
      </c>
      <c r="C778" s="72" t="n"/>
      <c r="D778" s="72" t="n"/>
      <c r="E778" s="72" t="n"/>
      <c r="F778" s="72" t="n"/>
      <c r="G778" s="89" t="n"/>
      <c r="H778" s="89" t="n"/>
      <c r="I778" s="109" t="n"/>
      <c r="J778" s="126">
        <f>IF(OR(D778="",ProjStart=""),"",MAX(ProjStart,IF(I778&lt;&gt;"",I778,0),IF(H778="",0,IFERROR(INDEX($L$6:L777,MATCH(H778,$B$6:B777,0))+1,0))))</f>
        <v/>
      </c>
      <c r="K778" s="89" t="n"/>
      <c r="L778" s="126">
        <f>IF(J778="","",J778+MAX(1,G778)+IF(K778="",0,K778)-1)</f>
        <v/>
      </c>
      <c r="M778" s="72" t="n"/>
      <c r="N778" s="109" t="n"/>
      <c r="O778" s="127">
        <f>IF(D778="","",COUNTIF($H$7:$H$1006,B778))</f>
        <v/>
      </c>
      <c r="P778" s="78">
        <f>IF(D778="","",IF(AND(H778&lt;&gt;"",H778&gt;=B778),"⚠️ Predecessor must be above",IF(M778="Done","✓ Done",IF(Q778=3,"🔴 Late",IF(M778="In progress","In progress","")))))</f>
        <v/>
      </c>
      <c r="Q778" s="79">
        <f>IF(OR(D778="",L778=""),"",IF(M778="Done",2,IF(AsOf&gt;L778,3,1)))</f>
        <v/>
      </c>
      <c r="R778" s="79">
        <f>IF(OR(E778="",F778=""),0,IF(COUNTIFS($E$7:E778,E778,$F$7:F778,F778)=1,1,0))</f>
        <v/>
      </c>
      <c r="S778" s="79">
        <f>IF(R778=1,E778&amp;"|"&amp;SUMIFS($R$7:R778,$E$7:E778,E778),"")</f>
        <v/>
      </c>
      <c r="T778" s="112">
        <f>IF(Q778="","",IF(Q778=3,L778,IF(OR(M778="Not started",M778=""),J778,"")))</f>
        <v/>
      </c>
      <c r="U778" s="79">
        <f>IF(T778="","",IF(Q778=3,1,IF(T778="","",IF(T778&lt;AsOf,1,IF(T778&lt;=AsOf+AlertDays,2,IF(T778&lt;=AsOf+2*AlertDays,3,""))))))</f>
        <v/>
      </c>
      <c r="V778" s="79">
        <f>IF(U778="","",IF(Q778=3,"Late task: "&amp;D778,IF(T778&lt;AsOf,"Should have started: ","Starts soon: ")&amp;D778)&amp;IF(F778="",""," — "&amp;F778))</f>
        <v/>
      </c>
    </row>
    <row r="779" ht="20" customHeight="1">
      <c r="B779" s="125" t="n">
        <v>773</v>
      </c>
      <c r="C779" s="72" t="n"/>
      <c r="D779" s="72" t="n"/>
      <c r="E779" s="72" t="n"/>
      <c r="F779" s="72" t="n"/>
      <c r="G779" s="89" t="n"/>
      <c r="H779" s="89" t="n"/>
      <c r="I779" s="109" t="n"/>
      <c r="J779" s="126">
        <f>IF(OR(D779="",ProjStart=""),"",MAX(ProjStart,IF(I779&lt;&gt;"",I779,0),IF(H779="",0,IFERROR(INDEX($L$6:L778,MATCH(H779,$B$6:B778,0))+1,0))))</f>
        <v/>
      </c>
      <c r="K779" s="89" t="n"/>
      <c r="L779" s="126">
        <f>IF(J779="","",J779+MAX(1,G779)+IF(K779="",0,K779)-1)</f>
        <v/>
      </c>
      <c r="M779" s="72" t="n"/>
      <c r="N779" s="109" t="n"/>
      <c r="O779" s="127">
        <f>IF(D779="","",COUNTIF($H$7:$H$1006,B779))</f>
        <v/>
      </c>
      <c r="P779" s="78">
        <f>IF(D779="","",IF(AND(H779&lt;&gt;"",H779&gt;=B779),"⚠️ Predecessor must be above",IF(M779="Done","✓ Done",IF(Q779=3,"🔴 Late",IF(M779="In progress","In progress","")))))</f>
        <v/>
      </c>
      <c r="Q779" s="79">
        <f>IF(OR(D779="",L779=""),"",IF(M779="Done",2,IF(AsOf&gt;L779,3,1)))</f>
        <v/>
      </c>
      <c r="R779" s="79">
        <f>IF(OR(E779="",F779=""),0,IF(COUNTIFS($E$7:E779,E779,$F$7:F779,F779)=1,1,0))</f>
        <v/>
      </c>
      <c r="S779" s="79">
        <f>IF(R779=1,E779&amp;"|"&amp;SUMIFS($R$7:R779,$E$7:E779,E779),"")</f>
        <v/>
      </c>
      <c r="T779" s="112">
        <f>IF(Q779="","",IF(Q779=3,L779,IF(OR(M779="Not started",M779=""),J779,"")))</f>
        <v/>
      </c>
      <c r="U779" s="79">
        <f>IF(T779="","",IF(Q779=3,1,IF(T779="","",IF(T779&lt;AsOf,1,IF(T779&lt;=AsOf+AlertDays,2,IF(T779&lt;=AsOf+2*AlertDays,3,""))))))</f>
        <v/>
      </c>
      <c r="V779" s="79">
        <f>IF(U779="","",IF(Q779=3,"Late task: "&amp;D779,IF(T779&lt;AsOf,"Should have started: ","Starts soon: ")&amp;D779)&amp;IF(F779="",""," — "&amp;F779))</f>
        <v/>
      </c>
    </row>
    <row r="780" ht="20" customHeight="1">
      <c r="B780" s="125" t="n">
        <v>774</v>
      </c>
      <c r="C780" s="72" t="n"/>
      <c r="D780" s="72" t="n"/>
      <c r="E780" s="72" t="n"/>
      <c r="F780" s="72" t="n"/>
      <c r="G780" s="89" t="n"/>
      <c r="H780" s="89" t="n"/>
      <c r="I780" s="109" t="n"/>
      <c r="J780" s="126">
        <f>IF(OR(D780="",ProjStart=""),"",MAX(ProjStart,IF(I780&lt;&gt;"",I780,0),IF(H780="",0,IFERROR(INDEX($L$6:L779,MATCH(H780,$B$6:B779,0))+1,0))))</f>
        <v/>
      </c>
      <c r="K780" s="89" t="n"/>
      <c r="L780" s="126">
        <f>IF(J780="","",J780+MAX(1,G780)+IF(K780="",0,K780)-1)</f>
        <v/>
      </c>
      <c r="M780" s="72" t="n"/>
      <c r="N780" s="109" t="n"/>
      <c r="O780" s="127">
        <f>IF(D780="","",COUNTIF($H$7:$H$1006,B780))</f>
        <v/>
      </c>
      <c r="P780" s="78">
        <f>IF(D780="","",IF(AND(H780&lt;&gt;"",H780&gt;=B780),"⚠️ Predecessor must be above",IF(M780="Done","✓ Done",IF(Q780=3,"🔴 Late",IF(M780="In progress","In progress","")))))</f>
        <v/>
      </c>
      <c r="Q780" s="79">
        <f>IF(OR(D780="",L780=""),"",IF(M780="Done",2,IF(AsOf&gt;L780,3,1)))</f>
        <v/>
      </c>
      <c r="R780" s="79">
        <f>IF(OR(E780="",F780=""),0,IF(COUNTIFS($E$7:E780,E780,$F$7:F780,F780)=1,1,0))</f>
        <v/>
      </c>
      <c r="S780" s="79">
        <f>IF(R780=1,E780&amp;"|"&amp;SUMIFS($R$7:R780,$E$7:E780,E780),"")</f>
        <v/>
      </c>
      <c r="T780" s="112">
        <f>IF(Q780="","",IF(Q780=3,L780,IF(OR(M780="Not started",M780=""),J780,"")))</f>
        <v/>
      </c>
      <c r="U780" s="79">
        <f>IF(T780="","",IF(Q780=3,1,IF(T780="","",IF(T780&lt;AsOf,1,IF(T780&lt;=AsOf+AlertDays,2,IF(T780&lt;=AsOf+2*AlertDays,3,""))))))</f>
        <v/>
      </c>
      <c r="V780" s="79">
        <f>IF(U780="","",IF(Q780=3,"Late task: "&amp;D780,IF(T780&lt;AsOf,"Should have started: ","Starts soon: ")&amp;D780)&amp;IF(F780="",""," — "&amp;F780))</f>
        <v/>
      </c>
    </row>
    <row r="781" ht="20" customHeight="1">
      <c r="B781" s="125" t="n">
        <v>775</v>
      </c>
      <c r="C781" s="72" t="n"/>
      <c r="D781" s="72" t="n"/>
      <c r="E781" s="72" t="n"/>
      <c r="F781" s="72" t="n"/>
      <c r="G781" s="89" t="n"/>
      <c r="H781" s="89" t="n"/>
      <c r="I781" s="109" t="n"/>
      <c r="J781" s="126">
        <f>IF(OR(D781="",ProjStart=""),"",MAX(ProjStart,IF(I781&lt;&gt;"",I781,0),IF(H781="",0,IFERROR(INDEX($L$6:L780,MATCH(H781,$B$6:B780,0))+1,0))))</f>
        <v/>
      </c>
      <c r="K781" s="89" t="n"/>
      <c r="L781" s="126">
        <f>IF(J781="","",J781+MAX(1,G781)+IF(K781="",0,K781)-1)</f>
        <v/>
      </c>
      <c r="M781" s="72" t="n"/>
      <c r="N781" s="109" t="n"/>
      <c r="O781" s="127">
        <f>IF(D781="","",COUNTIF($H$7:$H$1006,B781))</f>
        <v/>
      </c>
      <c r="P781" s="78">
        <f>IF(D781="","",IF(AND(H781&lt;&gt;"",H781&gt;=B781),"⚠️ Predecessor must be above",IF(M781="Done","✓ Done",IF(Q781=3,"🔴 Late",IF(M781="In progress","In progress","")))))</f>
        <v/>
      </c>
      <c r="Q781" s="79">
        <f>IF(OR(D781="",L781=""),"",IF(M781="Done",2,IF(AsOf&gt;L781,3,1)))</f>
        <v/>
      </c>
      <c r="R781" s="79">
        <f>IF(OR(E781="",F781=""),0,IF(COUNTIFS($E$7:E781,E781,$F$7:F781,F781)=1,1,0))</f>
        <v/>
      </c>
      <c r="S781" s="79">
        <f>IF(R781=1,E781&amp;"|"&amp;SUMIFS($R$7:R781,$E$7:E781,E781),"")</f>
        <v/>
      </c>
      <c r="T781" s="112">
        <f>IF(Q781="","",IF(Q781=3,L781,IF(OR(M781="Not started",M781=""),J781,"")))</f>
        <v/>
      </c>
      <c r="U781" s="79">
        <f>IF(T781="","",IF(Q781=3,1,IF(T781="","",IF(T781&lt;AsOf,1,IF(T781&lt;=AsOf+AlertDays,2,IF(T781&lt;=AsOf+2*AlertDays,3,""))))))</f>
        <v/>
      </c>
      <c r="V781" s="79">
        <f>IF(U781="","",IF(Q781=3,"Late task: "&amp;D781,IF(T781&lt;AsOf,"Should have started: ","Starts soon: ")&amp;D781)&amp;IF(F781="",""," — "&amp;F781))</f>
        <v/>
      </c>
    </row>
    <row r="782" ht="20" customHeight="1">
      <c r="B782" s="125" t="n">
        <v>776</v>
      </c>
      <c r="C782" s="72" t="n"/>
      <c r="D782" s="72" t="n"/>
      <c r="E782" s="72" t="n"/>
      <c r="F782" s="72" t="n"/>
      <c r="G782" s="89" t="n"/>
      <c r="H782" s="89" t="n"/>
      <c r="I782" s="109" t="n"/>
      <c r="J782" s="126">
        <f>IF(OR(D782="",ProjStart=""),"",MAX(ProjStart,IF(I782&lt;&gt;"",I782,0),IF(H782="",0,IFERROR(INDEX($L$6:L781,MATCH(H782,$B$6:B781,0))+1,0))))</f>
        <v/>
      </c>
      <c r="K782" s="89" t="n"/>
      <c r="L782" s="126">
        <f>IF(J782="","",J782+MAX(1,G782)+IF(K782="",0,K782)-1)</f>
        <v/>
      </c>
      <c r="M782" s="72" t="n"/>
      <c r="N782" s="109" t="n"/>
      <c r="O782" s="127">
        <f>IF(D782="","",COUNTIF($H$7:$H$1006,B782))</f>
        <v/>
      </c>
      <c r="P782" s="78">
        <f>IF(D782="","",IF(AND(H782&lt;&gt;"",H782&gt;=B782),"⚠️ Predecessor must be above",IF(M782="Done","✓ Done",IF(Q782=3,"🔴 Late",IF(M782="In progress","In progress","")))))</f>
        <v/>
      </c>
      <c r="Q782" s="79">
        <f>IF(OR(D782="",L782=""),"",IF(M782="Done",2,IF(AsOf&gt;L782,3,1)))</f>
        <v/>
      </c>
      <c r="R782" s="79">
        <f>IF(OR(E782="",F782=""),0,IF(COUNTIFS($E$7:E782,E782,$F$7:F782,F782)=1,1,0))</f>
        <v/>
      </c>
      <c r="S782" s="79">
        <f>IF(R782=1,E782&amp;"|"&amp;SUMIFS($R$7:R782,$E$7:E782,E782),"")</f>
        <v/>
      </c>
      <c r="T782" s="112">
        <f>IF(Q782="","",IF(Q782=3,L782,IF(OR(M782="Not started",M782=""),J782,"")))</f>
        <v/>
      </c>
      <c r="U782" s="79">
        <f>IF(T782="","",IF(Q782=3,1,IF(T782="","",IF(T782&lt;AsOf,1,IF(T782&lt;=AsOf+AlertDays,2,IF(T782&lt;=AsOf+2*AlertDays,3,""))))))</f>
        <v/>
      </c>
      <c r="V782" s="79">
        <f>IF(U782="","",IF(Q782=3,"Late task: "&amp;D782,IF(T782&lt;AsOf,"Should have started: ","Starts soon: ")&amp;D782)&amp;IF(F782="",""," — "&amp;F782))</f>
        <v/>
      </c>
    </row>
    <row r="783" ht="20" customHeight="1">
      <c r="B783" s="125" t="n">
        <v>777</v>
      </c>
      <c r="C783" s="72" t="n"/>
      <c r="D783" s="72" t="n"/>
      <c r="E783" s="72" t="n"/>
      <c r="F783" s="72" t="n"/>
      <c r="G783" s="89" t="n"/>
      <c r="H783" s="89" t="n"/>
      <c r="I783" s="109" t="n"/>
      <c r="J783" s="126">
        <f>IF(OR(D783="",ProjStart=""),"",MAX(ProjStart,IF(I783&lt;&gt;"",I783,0),IF(H783="",0,IFERROR(INDEX($L$6:L782,MATCH(H783,$B$6:B782,0))+1,0))))</f>
        <v/>
      </c>
      <c r="K783" s="89" t="n"/>
      <c r="L783" s="126">
        <f>IF(J783="","",J783+MAX(1,G783)+IF(K783="",0,K783)-1)</f>
        <v/>
      </c>
      <c r="M783" s="72" t="n"/>
      <c r="N783" s="109" t="n"/>
      <c r="O783" s="127">
        <f>IF(D783="","",COUNTIF($H$7:$H$1006,B783))</f>
        <v/>
      </c>
      <c r="P783" s="78">
        <f>IF(D783="","",IF(AND(H783&lt;&gt;"",H783&gt;=B783),"⚠️ Predecessor must be above",IF(M783="Done","✓ Done",IF(Q783=3,"🔴 Late",IF(M783="In progress","In progress","")))))</f>
        <v/>
      </c>
      <c r="Q783" s="79">
        <f>IF(OR(D783="",L783=""),"",IF(M783="Done",2,IF(AsOf&gt;L783,3,1)))</f>
        <v/>
      </c>
      <c r="R783" s="79">
        <f>IF(OR(E783="",F783=""),0,IF(COUNTIFS($E$7:E783,E783,$F$7:F783,F783)=1,1,0))</f>
        <v/>
      </c>
      <c r="S783" s="79">
        <f>IF(R783=1,E783&amp;"|"&amp;SUMIFS($R$7:R783,$E$7:E783,E783),"")</f>
        <v/>
      </c>
      <c r="T783" s="112">
        <f>IF(Q783="","",IF(Q783=3,L783,IF(OR(M783="Not started",M783=""),J783,"")))</f>
        <v/>
      </c>
      <c r="U783" s="79">
        <f>IF(T783="","",IF(Q783=3,1,IF(T783="","",IF(T783&lt;AsOf,1,IF(T783&lt;=AsOf+AlertDays,2,IF(T783&lt;=AsOf+2*AlertDays,3,""))))))</f>
        <v/>
      </c>
      <c r="V783" s="79">
        <f>IF(U783="","",IF(Q783=3,"Late task: "&amp;D783,IF(T783&lt;AsOf,"Should have started: ","Starts soon: ")&amp;D783)&amp;IF(F783="",""," — "&amp;F783))</f>
        <v/>
      </c>
    </row>
    <row r="784" ht="20" customHeight="1">
      <c r="B784" s="125" t="n">
        <v>778</v>
      </c>
      <c r="C784" s="72" t="n"/>
      <c r="D784" s="72" t="n"/>
      <c r="E784" s="72" t="n"/>
      <c r="F784" s="72" t="n"/>
      <c r="G784" s="89" t="n"/>
      <c r="H784" s="89" t="n"/>
      <c r="I784" s="109" t="n"/>
      <c r="J784" s="126">
        <f>IF(OR(D784="",ProjStart=""),"",MAX(ProjStart,IF(I784&lt;&gt;"",I784,0),IF(H784="",0,IFERROR(INDEX($L$6:L783,MATCH(H784,$B$6:B783,0))+1,0))))</f>
        <v/>
      </c>
      <c r="K784" s="89" t="n"/>
      <c r="L784" s="126">
        <f>IF(J784="","",J784+MAX(1,G784)+IF(K784="",0,K784)-1)</f>
        <v/>
      </c>
      <c r="M784" s="72" t="n"/>
      <c r="N784" s="109" t="n"/>
      <c r="O784" s="127">
        <f>IF(D784="","",COUNTIF($H$7:$H$1006,B784))</f>
        <v/>
      </c>
      <c r="P784" s="78">
        <f>IF(D784="","",IF(AND(H784&lt;&gt;"",H784&gt;=B784),"⚠️ Predecessor must be above",IF(M784="Done","✓ Done",IF(Q784=3,"🔴 Late",IF(M784="In progress","In progress","")))))</f>
        <v/>
      </c>
      <c r="Q784" s="79">
        <f>IF(OR(D784="",L784=""),"",IF(M784="Done",2,IF(AsOf&gt;L784,3,1)))</f>
        <v/>
      </c>
      <c r="R784" s="79">
        <f>IF(OR(E784="",F784=""),0,IF(COUNTIFS($E$7:E784,E784,$F$7:F784,F784)=1,1,0))</f>
        <v/>
      </c>
      <c r="S784" s="79">
        <f>IF(R784=1,E784&amp;"|"&amp;SUMIFS($R$7:R784,$E$7:E784,E784),"")</f>
        <v/>
      </c>
      <c r="T784" s="112">
        <f>IF(Q784="","",IF(Q784=3,L784,IF(OR(M784="Not started",M784=""),J784,"")))</f>
        <v/>
      </c>
      <c r="U784" s="79">
        <f>IF(T784="","",IF(Q784=3,1,IF(T784="","",IF(T784&lt;AsOf,1,IF(T784&lt;=AsOf+AlertDays,2,IF(T784&lt;=AsOf+2*AlertDays,3,""))))))</f>
        <v/>
      </c>
      <c r="V784" s="79">
        <f>IF(U784="","",IF(Q784=3,"Late task: "&amp;D784,IF(T784&lt;AsOf,"Should have started: ","Starts soon: ")&amp;D784)&amp;IF(F784="",""," — "&amp;F784))</f>
        <v/>
      </c>
    </row>
    <row r="785" ht="20" customHeight="1">
      <c r="B785" s="125" t="n">
        <v>779</v>
      </c>
      <c r="C785" s="72" t="n"/>
      <c r="D785" s="72" t="n"/>
      <c r="E785" s="72" t="n"/>
      <c r="F785" s="72" t="n"/>
      <c r="G785" s="89" t="n"/>
      <c r="H785" s="89" t="n"/>
      <c r="I785" s="109" t="n"/>
      <c r="J785" s="126">
        <f>IF(OR(D785="",ProjStart=""),"",MAX(ProjStart,IF(I785&lt;&gt;"",I785,0),IF(H785="",0,IFERROR(INDEX($L$6:L784,MATCH(H785,$B$6:B784,0))+1,0))))</f>
        <v/>
      </c>
      <c r="K785" s="89" t="n"/>
      <c r="L785" s="126">
        <f>IF(J785="","",J785+MAX(1,G785)+IF(K785="",0,K785)-1)</f>
        <v/>
      </c>
      <c r="M785" s="72" t="n"/>
      <c r="N785" s="109" t="n"/>
      <c r="O785" s="127">
        <f>IF(D785="","",COUNTIF($H$7:$H$1006,B785))</f>
        <v/>
      </c>
      <c r="P785" s="78">
        <f>IF(D785="","",IF(AND(H785&lt;&gt;"",H785&gt;=B785),"⚠️ Predecessor must be above",IF(M785="Done","✓ Done",IF(Q785=3,"🔴 Late",IF(M785="In progress","In progress","")))))</f>
        <v/>
      </c>
      <c r="Q785" s="79">
        <f>IF(OR(D785="",L785=""),"",IF(M785="Done",2,IF(AsOf&gt;L785,3,1)))</f>
        <v/>
      </c>
      <c r="R785" s="79">
        <f>IF(OR(E785="",F785=""),0,IF(COUNTIFS($E$7:E785,E785,$F$7:F785,F785)=1,1,0))</f>
        <v/>
      </c>
      <c r="S785" s="79">
        <f>IF(R785=1,E785&amp;"|"&amp;SUMIFS($R$7:R785,$E$7:E785,E785),"")</f>
        <v/>
      </c>
      <c r="T785" s="112">
        <f>IF(Q785="","",IF(Q785=3,L785,IF(OR(M785="Not started",M785=""),J785,"")))</f>
        <v/>
      </c>
      <c r="U785" s="79">
        <f>IF(T785="","",IF(Q785=3,1,IF(T785="","",IF(T785&lt;AsOf,1,IF(T785&lt;=AsOf+AlertDays,2,IF(T785&lt;=AsOf+2*AlertDays,3,""))))))</f>
        <v/>
      </c>
      <c r="V785" s="79">
        <f>IF(U785="","",IF(Q785=3,"Late task: "&amp;D785,IF(T785&lt;AsOf,"Should have started: ","Starts soon: ")&amp;D785)&amp;IF(F785="",""," — "&amp;F785))</f>
        <v/>
      </c>
    </row>
    <row r="786" ht="20" customHeight="1">
      <c r="B786" s="125" t="n">
        <v>780</v>
      </c>
      <c r="C786" s="72" t="n"/>
      <c r="D786" s="72" t="n"/>
      <c r="E786" s="72" t="n"/>
      <c r="F786" s="72" t="n"/>
      <c r="G786" s="89" t="n"/>
      <c r="H786" s="89" t="n"/>
      <c r="I786" s="109" t="n"/>
      <c r="J786" s="126">
        <f>IF(OR(D786="",ProjStart=""),"",MAX(ProjStart,IF(I786&lt;&gt;"",I786,0),IF(H786="",0,IFERROR(INDEX($L$6:L785,MATCH(H786,$B$6:B785,0))+1,0))))</f>
        <v/>
      </c>
      <c r="K786" s="89" t="n"/>
      <c r="L786" s="126">
        <f>IF(J786="","",J786+MAX(1,G786)+IF(K786="",0,K786)-1)</f>
        <v/>
      </c>
      <c r="M786" s="72" t="n"/>
      <c r="N786" s="109" t="n"/>
      <c r="O786" s="127">
        <f>IF(D786="","",COUNTIF($H$7:$H$1006,B786))</f>
        <v/>
      </c>
      <c r="P786" s="78">
        <f>IF(D786="","",IF(AND(H786&lt;&gt;"",H786&gt;=B786),"⚠️ Predecessor must be above",IF(M786="Done","✓ Done",IF(Q786=3,"🔴 Late",IF(M786="In progress","In progress","")))))</f>
        <v/>
      </c>
      <c r="Q786" s="79">
        <f>IF(OR(D786="",L786=""),"",IF(M786="Done",2,IF(AsOf&gt;L786,3,1)))</f>
        <v/>
      </c>
      <c r="R786" s="79">
        <f>IF(OR(E786="",F786=""),0,IF(COUNTIFS($E$7:E786,E786,$F$7:F786,F786)=1,1,0))</f>
        <v/>
      </c>
      <c r="S786" s="79">
        <f>IF(R786=1,E786&amp;"|"&amp;SUMIFS($R$7:R786,$E$7:E786,E786),"")</f>
        <v/>
      </c>
      <c r="T786" s="112">
        <f>IF(Q786="","",IF(Q786=3,L786,IF(OR(M786="Not started",M786=""),J786,"")))</f>
        <v/>
      </c>
      <c r="U786" s="79">
        <f>IF(T786="","",IF(Q786=3,1,IF(T786="","",IF(T786&lt;AsOf,1,IF(T786&lt;=AsOf+AlertDays,2,IF(T786&lt;=AsOf+2*AlertDays,3,""))))))</f>
        <v/>
      </c>
      <c r="V786" s="79">
        <f>IF(U786="","",IF(Q786=3,"Late task: "&amp;D786,IF(T786&lt;AsOf,"Should have started: ","Starts soon: ")&amp;D786)&amp;IF(F786="",""," — "&amp;F786))</f>
        <v/>
      </c>
    </row>
    <row r="787" ht="20" customHeight="1">
      <c r="B787" s="125" t="n">
        <v>781</v>
      </c>
      <c r="C787" s="72" t="n"/>
      <c r="D787" s="72" t="n"/>
      <c r="E787" s="72" t="n"/>
      <c r="F787" s="72" t="n"/>
      <c r="G787" s="89" t="n"/>
      <c r="H787" s="89" t="n"/>
      <c r="I787" s="109" t="n"/>
      <c r="J787" s="126">
        <f>IF(OR(D787="",ProjStart=""),"",MAX(ProjStart,IF(I787&lt;&gt;"",I787,0),IF(H787="",0,IFERROR(INDEX($L$6:L786,MATCH(H787,$B$6:B786,0))+1,0))))</f>
        <v/>
      </c>
      <c r="K787" s="89" t="n"/>
      <c r="L787" s="126">
        <f>IF(J787="","",J787+MAX(1,G787)+IF(K787="",0,K787)-1)</f>
        <v/>
      </c>
      <c r="M787" s="72" t="n"/>
      <c r="N787" s="109" t="n"/>
      <c r="O787" s="127">
        <f>IF(D787="","",COUNTIF($H$7:$H$1006,B787))</f>
        <v/>
      </c>
      <c r="P787" s="78">
        <f>IF(D787="","",IF(AND(H787&lt;&gt;"",H787&gt;=B787),"⚠️ Predecessor must be above",IF(M787="Done","✓ Done",IF(Q787=3,"🔴 Late",IF(M787="In progress","In progress","")))))</f>
        <v/>
      </c>
      <c r="Q787" s="79">
        <f>IF(OR(D787="",L787=""),"",IF(M787="Done",2,IF(AsOf&gt;L787,3,1)))</f>
        <v/>
      </c>
      <c r="R787" s="79">
        <f>IF(OR(E787="",F787=""),0,IF(COUNTIFS($E$7:E787,E787,$F$7:F787,F787)=1,1,0))</f>
        <v/>
      </c>
      <c r="S787" s="79">
        <f>IF(R787=1,E787&amp;"|"&amp;SUMIFS($R$7:R787,$E$7:E787,E787),"")</f>
        <v/>
      </c>
      <c r="T787" s="112">
        <f>IF(Q787="","",IF(Q787=3,L787,IF(OR(M787="Not started",M787=""),J787,"")))</f>
        <v/>
      </c>
      <c r="U787" s="79">
        <f>IF(T787="","",IF(Q787=3,1,IF(T787="","",IF(T787&lt;AsOf,1,IF(T787&lt;=AsOf+AlertDays,2,IF(T787&lt;=AsOf+2*AlertDays,3,""))))))</f>
        <v/>
      </c>
      <c r="V787" s="79">
        <f>IF(U787="","",IF(Q787=3,"Late task: "&amp;D787,IF(T787&lt;AsOf,"Should have started: ","Starts soon: ")&amp;D787)&amp;IF(F787="",""," — "&amp;F787))</f>
        <v/>
      </c>
    </row>
    <row r="788" ht="20" customHeight="1">
      <c r="B788" s="125" t="n">
        <v>782</v>
      </c>
      <c r="C788" s="72" t="n"/>
      <c r="D788" s="72" t="n"/>
      <c r="E788" s="72" t="n"/>
      <c r="F788" s="72" t="n"/>
      <c r="G788" s="89" t="n"/>
      <c r="H788" s="89" t="n"/>
      <c r="I788" s="109" t="n"/>
      <c r="J788" s="126">
        <f>IF(OR(D788="",ProjStart=""),"",MAX(ProjStart,IF(I788&lt;&gt;"",I788,0),IF(H788="",0,IFERROR(INDEX($L$6:L787,MATCH(H788,$B$6:B787,0))+1,0))))</f>
        <v/>
      </c>
      <c r="K788" s="89" t="n"/>
      <c r="L788" s="126">
        <f>IF(J788="","",J788+MAX(1,G788)+IF(K788="",0,K788)-1)</f>
        <v/>
      </c>
      <c r="M788" s="72" t="n"/>
      <c r="N788" s="109" t="n"/>
      <c r="O788" s="127">
        <f>IF(D788="","",COUNTIF($H$7:$H$1006,B788))</f>
        <v/>
      </c>
      <c r="P788" s="78">
        <f>IF(D788="","",IF(AND(H788&lt;&gt;"",H788&gt;=B788),"⚠️ Predecessor must be above",IF(M788="Done","✓ Done",IF(Q788=3,"🔴 Late",IF(M788="In progress","In progress","")))))</f>
        <v/>
      </c>
      <c r="Q788" s="79">
        <f>IF(OR(D788="",L788=""),"",IF(M788="Done",2,IF(AsOf&gt;L788,3,1)))</f>
        <v/>
      </c>
      <c r="R788" s="79">
        <f>IF(OR(E788="",F788=""),0,IF(COUNTIFS($E$7:E788,E788,$F$7:F788,F788)=1,1,0))</f>
        <v/>
      </c>
      <c r="S788" s="79">
        <f>IF(R788=1,E788&amp;"|"&amp;SUMIFS($R$7:R788,$E$7:E788,E788),"")</f>
        <v/>
      </c>
      <c r="T788" s="112">
        <f>IF(Q788="","",IF(Q788=3,L788,IF(OR(M788="Not started",M788=""),J788,"")))</f>
        <v/>
      </c>
      <c r="U788" s="79">
        <f>IF(T788="","",IF(Q788=3,1,IF(T788="","",IF(T788&lt;AsOf,1,IF(T788&lt;=AsOf+AlertDays,2,IF(T788&lt;=AsOf+2*AlertDays,3,""))))))</f>
        <v/>
      </c>
      <c r="V788" s="79">
        <f>IF(U788="","",IF(Q788=3,"Late task: "&amp;D788,IF(T788&lt;AsOf,"Should have started: ","Starts soon: ")&amp;D788)&amp;IF(F788="",""," — "&amp;F788))</f>
        <v/>
      </c>
    </row>
    <row r="789" ht="20" customHeight="1">
      <c r="B789" s="125" t="n">
        <v>783</v>
      </c>
      <c r="C789" s="72" t="n"/>
      <c r="D789" s="72" t="n"/>
      <c r="E789" s="72" t="n"/>
      <c r="F789" s="72" t="n"/>
      <c r="G789" s="89" t="n"/>
      <c r="H789" s="89" t="n"/>
      <c r="I789" s="109" t="n"/>
      <c r="J789" s="126">
        <f>IF(OR(D789="",ProjStart=""),"",MAX(ProjStart,IF(I789&lt;&gt;"",I789,0),IF(H789="",0,IFERROR(INDEX($L$6:L788,MATCH(H789,$B$6:B788,0))+1,0))))</f>
        <v/>
      </c>
      <c r="K789" s="89" t="n"/>
      <c r="L789" s="126">
        <f>IF(J789="","",J789+MAX(1,G789)+IF(K789="",0,K789)-1)</f>
        <v/>
      </c>
      <c r="M789" s="72" t="n"/>
      <c r="N789" s="109" t="n"/>
      <c r="O789" s="127">
        <f>IF(D789="","",COUNTIF($H$7:$H$1006,B789))</f>
        <v/>
      </c>
      <c r="P789" s="78">
        <f>IF(D789="","",IF(AND(H789&lt;&gt;"",H789&gt;=B789),"⚠️ Predecessor must be above",IF(M789="Done","✓ Done",IF(Q789=3,"🔴 Late",IF(M789="In progress","In progress","")))))</f>
        <v/>
      </c>
      <c r="Q789" s="79">
        <f>IF(OR(D789="",L789=""),"",IF(M789="Done",2,IF(AsOf&gt;L789,3,1)))</f>
        <v/>
      </c>
      <c r="R789" s="79">
        <f>IF(OR(E789="",F789=""),0,IF(COUNTIFS($E$7:E789,E789,$F$7:F789,F789)=1,1,0))</f>
        <v/>
      </c>
      <c r="S789" s="79">
        <f>IF(R789=1,E789&amp;"|"&amp;SUMIFS($R$7:R789,$E$7:E789,E789),"")</f>
        <v/>
      </c>
      <c r="T789" s="112">
        <f>IF(Q789="","",IF(Q789=3,L789,IF(OR(M789="Not started",M789=""),J789,"")))</f>
        <v/>
      </c>
      <c r="U789" s="79">
        <f>IF(T789="","",IF(Q789=3,1,IF(T789="","",IF(T789&lt;AsOf,1,IF(T789&lt;=AsOf+AlertDays,2,IF(T789&lt;=AsOf+2*AlertDays,3,""))))))</f>
        <v/>
      </c>
      <c r="V789" s="79">
        <f>IF(U789="","",IF(Q789=3,"Late task: "&amp;D789,IF(T789&lt;AsOf,"Should have started: ","Starts soon: ")&amp;D789)&amp;IF(F789="",""," — "&amp;F789))</f>
        <v/>
      </c>
    </row>
    <row r="790" ht="20" customHeight="1">
      <c r="B790" s="125" t="n">
        <v>784</v>
      </c>
      <c r="C790" s="72" t="n"/>
      <c r="D790" s="72" t="n"/>
      <c r="E790" s="72" t="n"/>
      <c r="F790" s="72" t="n"/>
      <c r="G790" s="89" t="n"/>
      <c r="H790" s="89" t="n"/>
      <c r="I790" s="109" t="n"/>
      <c r="J790" s="126">
        <f>IF(OR(D790="",ProjStart=""),"",MAX(ProjStart,IF(I790&lt;&gt;"",I790,0),IF(H790="",0,IFERROR(INDEX($L$6:L789,MATCH(H790,$B$6:B789,0))+1,0))))</f>
        <v/>
      </c>
      <c r="K790" s="89" t="n"/>
      <c r="L790" s="126">
        <f>IF(J790="","",J790+MAX(1,G790)+IF(K790="",0,K790)-1)</f>
        <v/>
      </c>
      <c r="M790" s="72" t="n"/>
      <c r="N790" s="109" t="n"/>
      <c r="O790" s="127">
        <f>IF(D790="","",COUNTIF($H$7:$H$1006,B790))</f>
        <v/>
      </c>
      <c r="P790" s="78">
        <f>IF(D790="","",IF(AND(H790&lt;&gt;"",H790&gt;=B790),"⚠️ Predecessor must be above",IF(M790="Done","✓ Done",IF(Q790=3,"🔴 Late",IF(M790="In progress","In progress","")))))</f>
        <v/>
      </c>
      <c r="Q790" s="79">
        <f>IF(OR(D790="",L790=""),"",IF(M790="Done",2,IF(AsOf&gt;L790,3,1)))</f>
        <v/>
      </c>
      <c r="R790" s="79">
        <f>IF(OR(E790="",F790=""),0,IF(COUNTIFS($E$7:E790,E790,$F$7:F790,F790)=1,1,0))</f>
        <v/>
      </c>
      <c r="S790" s="79">
        <f>IF(R790=1,E790&amp;"|"&amp;SUMIFS($R$7:R790,$E$7:E790,E790),"")</f>
        <v/>
      </c>
      <c r="T790" s="112">
        <f>IF(Q790="","",IF(Q790=3,L790,IF(OR(M790="Not started",M790=""),J790,"")))</f>
        <v/>
      </c>
      <c r="U790" s="79">
        <f>IF(T790="","",IF(Q790=3,1,IF(T790="","",IF(T790&lt;AsOf,1,IF(T790&lt;=AsOf+AlertDays,2,IF(T790&lt;=AsOf+2*AlertDays,3,""))))))</f>
        <v/>
      </c>
      <c r="V790" s="79">
        <f>IF(U790="","",IF(Q790=3,"Late task: "&amp;D790,IF(T790&lt;AsOf,"Should have started: ","Starts soon: ")&amp;D790)&amp;IF(F790="",""," — "&amp;F790))</f>
        <v/>
      </c>
    </row>
    <row r="791" ht="20" customHeight="1">
      <c r="B791" s="125" t="n">
        <v>785</v>
      </c>
      <c r="C791" s="72" t="n"/>
      <c r="D791" s="72" t="n"/>
      <c r="E791" s="72" t="n"/>
      <c r="F791" s="72" t="n"/>
      <c r="G791" s="89" t="n"/>
      <c r="H791" s="89" t="n"/>
      <c r="I791" s="109" t="n"/>
      <c r="J791" s="126">
        <f>IF(OR(D791="",ProjStart=""),"",MAX(ProjStart,IF(I791&lt;&gt;"",I791,0),IF(H791="",0,IFERROR(INDEX($L$6:L790,MATCH(H791,$B$6:B790,0))+1,0))))</f>
        <v/>
      </c>
      <c r="K791" s="89" t="n"/>
      <c r="L791" s="126">
        <f>IF(J791="","",J791+MAX(1,G791)+IF(K791="",0,K791)-1)</f>
        <v/>
      </c>
      <c r="M791" s="72" t="n"/>
      <c r="N791" s="109" t="n"/>
      <c r="O791" s="127">
        <f>IF(D791="","",COUNTIF($H$7:$H$1006,B791))</f>
        <v/>
      </c>
      <c r="P791" s="78">
        <f>IF(D791="","",IF(AND(H791&lt;&gt;"",H791&gt;=B791),"⚠️ Predecessor must be above",IF(M791="Done","✓ Done",IF(Q791=3,"🔴 Late",IF(M791="In progress","In progress","")))))</f>
        <v/>
      </c>
      <c r="Q791" s="79">
        <f>IF(OR(D791="",L791=""),"",IF(M791="Done",2,IF(AsOf&gt;L791,3,1)))</f>
        <v/>
      </c>
      <c r="R791" s="79">
        <f>IF(OR(E791="",F791=""),0,IF(COUNTIFS($E$7:E791,E791,$F$7:F791,F791)=1,1,0))</f>
        <v/>
      </c>
      <c r="S791" s="79">
        <f>IF(R791=1,E791&amp;"|"&amp;SUMIFS($R$7:R791,$E$7:E791,E791),"")</f>
        <v/>
      </c>
      <c r="T791" s="112">
        <f>IF(Q791="","",IF(Q791=3,L791,IF(OR(M791="Not started",M791=""),J791,"")))</f>
        <v/>
      </c>
      <c r="U791" s="79">
        <f>IF(T791="","",IF(Q791=3,1,IF(T791="","",IF(T791&lt;AsOf,1,IF(T791&lt;=AsOf+AlertDays,2,IF(T791&lt;=AsOf+2*AlertDays,3,""))))))</f>
        <v/>
      </c>
      <c r="V791" s="79">
        <f>IF(U791="","",IF(Q791=3,"Late task: "&amp;D791,IF(T791&lt;AsOf,"Should have started: ","Starts soon: ")&amp;D791)&amp;IF(F791="",""," — "&amp;F791))</f>
        <v/>
      </c>
    </row>
    <row r="792" ht="20" customHeight="1">
      <c r="B792" s="125" t="n">
        <v>786</v>
      </c>
      <c r="C792" s="72" t="n"/>
      <c r="D792" s="72" t="n"/>
      <c r="E792" s="72" t="n"/>
      <c r="F792" s="72" t="n"/>
      <c r="G792" s="89" t="n"/>
      <c r="H792" s="89" t="n"/>
      <c r="I792" s="109" t="n"/>
      <c r="J792" s="126">
        <f>IF(OR(D792="",ProjStart=""),"",MAX(ProjStart,IF(I792&lt;&gt;"",I792,0),IF(H792="",0,IFERROR(INDEX($L$6:L791,MATCH(H792,$B$6:B791,0))+1,0))))</f>
        <v/>
      </c>
      <c r="K792" s="89" t="n"/>
      <c r="L792" s="126">
        <f>IF(J792="","",J792+MAX(1,G792)+IF(K792="",0,K792)-1)</f>
        <v/>
      </c>
      <c r="M792" s="72" t="n"/>
      <c r="N792" s="109" t="n"/>
      <c r="O792" s="127">
        <f>IF(D792="","",COUNTIF($H$7:$H$1006,B792))</f>
        <v/>
      </c>
      <c r="P792" s="78">
        <f>IF(D792="","",IF(AND(H792&lt;&gt;"",H792&gt;=B792),"⚠️ Predecessor must be above",IF(M792="Done","✓ Done",IF(Q792=3,"🔴 Late",IF(M792="In progress","In progress","")))))</f>
        <v/>
      </c>
      <c r="Q792" s="79">
        <f>IF(OR(D792="",L792=""),"",IF(M792="Done",2,IF(AsOf&gt;L792,3,1)))</f>
        <v/>
      </c>
      <c r="R792" s="79">
        <f>IF(OR(E792="",F792=""),0,IF(COUNTIFS($E$7:E792,E792,$F$7:F792,F792)=1,1,0))</f>
        <v/>
      </c>
      <c r="S792" s="79">
        <f>IF(R792=1,E792&amp;"|"&amp;SUMIFS($R$7:R792,$E$7:E792,E792),"")</f>
        <v/>
      </c>
      <c r="T792" s="112">
        <f>IF(Q792="","",IF(Q792=3,L792,IF(OR(M792="Not started",M792=""),J792,"")))</f>
        <v/>
      </c>
      <c r="U792" s="79">
        <f>IF(T792="","",IF(Q792=3,1,IF(T792="","",IF(T792&lt;AsOf,1,IF(T792&lt;=AsOf+AlertDays,2,IF(T792&lt;=AsOf+2*AlertDays,3,""))))))</f>
        <v/>
      </c>
      <c r="V792" s="79">
        <f>IF(U792="","",IF(Q792=3,"Late task: "&amp;D792,IF(T792&lt;AsOf,"Should have started: ","Starts soon: ")&amp;D792)&amp;IF(F792="",""," — "&amp;F792))</f>
        <v/>
      </c>
    </row>
    <row r="793" ht="20" customHeight="1">
      <c r="B793" s="125" t="n">
        <v>787</v>
      </c>
      <c r="C793" s="72" t="n"/>
      <c r="D793" s="72" t="n"/>
      <c r="E793" s="72" t="n"/>
      <c r="F793" s="72" t="n"/>
      <c r="G793" s="89" t="n"/>
      <c r="H793" s="89" t="n"/>
      <c r="I793" s="109" t="n"/>
      <c r="J793" s="126">
        <f>IF(OR(D793="",ProjStart=""),"",MAX(ProjStart,IF(I793&lt;&gt;"",I793,0),IF(H793="",0,IFERROR(INDEX($L$6:L792,MATCH(H793,$B$6:B792,0))+1,0))))</f>
        <v/>
      </c>
      <c r="K793" s="89" t="n"/>
      <c r="L793" s="126">
        <f>IF(J793="","",J793+MAX(1,G793)+IF(K793="",0,K793)-1)</f>
        <v/>
      </c>
      <c r="M793" s="72" t="n"/>
      <c r="N793" s="109" t="n"/>
      <c r="O793" s="127">
        <f>IF(D793="","",COUNTIF($H$7:$H$1006,B793))</f>
        <v/>
      </c>
      <c r="P793" s="78">
        <f>IF(D793="","",IF(AND(H793&lt;&gt;"",H793&gt;=B793),"⚠️ Predecessor must be above",IF(M793="Done","✓ Done",IF(Q793=3,"🔴 Late",IF(M793="In progress","In progress","")))))</f>
        <v/>
      </c>
      <c r="Q793" s="79">
        <f>IF(OR(D793="",L793=""),"",IF(M793="Done",2,IF(AsOf&gt;L793,3,1)))</f>
        <v/>
      </c>
      <c r="R793" s="79">
        <f>IF(OR(E793="",F793=""),0,IF(COUNTIFS($E$7:E793,E793,$F$7:F793,F793)=1,1,0))</f>
        <v/>
      </c>
      <c r="S793" s="79">
        <f>IF(R793=1,E793&amp;"|"&amp;SUMIFS($R$7:R793,$E$7:E793,E793),"")</f>
        <v/>
      </c>
      <c r="T793" s="112">
        <f>IF(Q793="","",IF(Q793=3,L793,IF(OR(M793="Not started",M793=""),J793,"")))</f>
        <v/>
      </c>
      <c r="U793" s="79">
        <f>IF(T793="","",IF(Q793=3,1,IF(T793="","",IF(T793&lt;AsOf,1,IF(T793&lt;=AsOf+AlertDays,2,IF(T793&lt;=AsOf+2*AlertDays,3,""))))))</f>
        <v/>
      </c>
      <c r="V793" s="79">
        <f>IF(U793="","",IF(Q793=3,"Late task: "&amp;D793,IF(T793&lt;AsOf,"Should have started: ","Starts soon: ")&amp;D793)&amp;IF(F793="",""," — "&amp;F793))</f>
        <v/>
      </c>
    </row>
    <row r="794" ht="20" customHeight="1">
      <c r="B794" s="125" t="n">
        <v>788</v>
      </c>
      <c r="C794" s="72" t="n"/>
      <c r="D794" s="72" t="n"/>
      <c r="E794" s="72" t="n"/>
      <c r="F794" s="72" t="n"/>
      <c r="G794" s="89" t="n"/>
      <c r="H794" s="89" t="n"/>
      <c r="I794" s="109" t="n"/>
      <c r="J794" s="126">
        <f>IF(OR(D794="",ProjStart=""),"",MAX(ProjStart,IF(I794&lt;&gt;"",I794,0),IF(H794="",0,IFERROR(INDEX($L$6:L793,MATCH(H794,$B$6:B793,0))+1,0))))</f>
        <v/>
      </c>
      <c r="K794" s="89" t="n"/>
      <c r="L794" s="126">
        <f>IF(J794="","",J794+MAX(1,G794)+IF(K794="",0,K794)-1)</f>
        <v/>
      </c>
      <c r="M794" s="72" t="n"/>
      <c r="N794" s="109" t="n"/>
      <c r="O794" s="127">
        <f>IF(D794="","",COUNTIF($H$7:$H$1006,B794))</f>
        <v/>
      </c>
      <c r="P794" s="78">
        <f>IF(D794="","",IF(AND(H794&lt;&gt;"",H794&gt;=B794),"⚠️ Predecessor must be above",IF(M794="Done","✓ Done",IF(Q794=3,"🔴 Late",IF(M794="In progress","In progress","")))))</f>
        <v/>
      </c>
      <c r="Q794" s="79">
        <f>IF(OR(D794="",L794=""),"",IF(M794="Done",2,IF(AsOf&gt;L794,3,1)))</f>
        <v/>
      </c>
      <c r="R794" s="79">
        <f>IF(OR(E794="",F794=""),0,IF(COUNTIFS($E$7:E794,E794,$F$7:F794,F794)=1,1,0))</f>
        <v/>
      </c>
      <c r="S794" s="79">
        <f>IF(R794=1,E794&amp;"|"&amp;SUMIFS($R$7:R794,$E$7:E794,E794),"")</f>
        <v/>
      </c>
      <c r="T794" s="112">
        <f>IF(Q794="","",IF(Q794=3,L794,IF(OR(M794="Not started",M794=""),J794,"")))</f>
        <v/>
      </c>
      <c r="U794" s="79">
        <f>IF(T794="","",IF(Q794=3,1,IF(T794="","",IF(T794&lt;AsOf,1,IF(T794&lt;=AsOf+AlertDays,2,IF(T794&lt;=AsOf+2*AlertDays,3,""))))))</f>
        <v/>
      </c>
      <c r="V794" s="79">
        <f>IF(U794="","",IF(Q794=3,"Late task: "&amp;D794,IF(T794&lt;AsOf,"Should have started: ","Starts soon: ")&amp;D794)&amp;IF(F794="",""," — "&amp;F794))</f>
        <v/>
      </c>
    </row>
    <row r="795" ht="20" customHeight="1">
      <c r="B795" s="125" t="n">
        <v>789</v>
      </c>
      <c r="C795" s="72" t="n"/>
      <c r="D795" s="72" t="n"/>
      <c r="E795" s="72" t="n"/>
      <c r="F795" s="72" t="n"/>
      <c r="G795" s="89" t="n"/>
      <c r="H795" s="89" t="n"/>
      <c r="I795" s="109" t="n"/>
      <c r="J795" s="126">
        <f>IF(OR(D795="",ProjStart=""),"",MAX(ProjStart,IF(I795&lt;&gt;"",I795,0),IF(H795="",0,IFERROR(INDEX($L$6:L794,MATCH(H795,$B$6:B794,0))+1,0))))</f>
        <v/>
      </c>
      <c r="K795" s="89" t="n"/>
      <c r="L795" s="126">
        <f>IF(J795="","",J795+MAX(1,G795)+IF(K795="",0,K795)-1)</f>
        <v/>
      </c>
      <c r="M795" s="72" t="n"/>
      <c r="N795" s="109" t="n"/>
      <c r="O795" s="127">
        <f>IF(D795="","",COUNTIF($H$7:$H$1006,B795))</f>
        <v/>
      </c>
      <c r="P795" s="78">
        <f>IF(D795="","",IF(AND(H795&lt;&gt;"",H795&gt;=B795),"⚠️ Predecessor must be above",IF(M795="Done","✓ Done",IF(Q795=3,"🔴 Late",IF(M795="In progress","In progress","")))))</f>
        <v/>
      </c>
      <c r="Q795" s="79">
        <f>IF(OR(D795="",L795=""),"",IF(M795="Done",2,IF(AsOf&gt;L795,3,1)))</f>
        <v/>
      </c>
      <c r="R795" s="79">
        <f>IF(OR(E795="",F795=""),0,IF(COUNTIFS($E$7:E795,E795,$F$7:F795,F795)=1,1,0))</f>
        <v/>
      </c>
      <c r="S795" s="79">
        <f>IF(R795=1,E795&amp;"|"&amp;SUMIFS($R$7:R795,$E$7:E795,E795),"")</f>
        <v/>
      </c>
      <c r="T795" s="112">
        <f>IF(Q795="","",IF(Q795=3,L795,IF(OR(M795="Not started",M795=""),J795,"")))</f>
        <v/>
      </c>
      <c r="U795" s="79">
        <f>IF(T795="","",IF(Q795=3,1,IF(T795="","",IF(T795&lt;AsOf,1,IF(T795&lt;=AsOf+AlertDays,2,IF(T795&lt;=AsOf+2*AlertDays,3,""))))))</f>
        <v/>
      </c>
      <c r="V795" s="79">
        <f>IF(U795="","",IF(Q795=3,"Late task: "&amp;D795,IF(T795&lt;AsOf,"Should have started: ","Starts soon: ")&amp;D795)&amp;IF(F795="",""," — "&amp;F795))</f>
        <v/>
      </c>
    </row>
    <row r="796" ht="20" customHeight="1">
      <c r="B796" s="125" t="n">
        <v>790</v>
      </c>
      <c r="C796" s="72" t="n"/>
      <c r="D796" s="72" t="n"/>
      <c r="E796" s="72" t="n"/>
      <c r="F796" s="72" t="n"/>
      <c r="G796" s="89" t="n"/>
      <c r="H796" s="89" t="n"/>
      <c r="I796" s="109" t="n"/>
      <c r="J796" s="126">
        <f>IF(OR(D796="",ProjStart=""),"",MAX(ProjStart,IF(I796&lt;&gt;"",I796,0),IF(H796="",0,IFERROR(INDEX($L$6:L795,MATCH(H796,$B$6:B795,0))+1,0))))</f>
        <v/>
      </c>
      <c r="K796" s="89" t="n"/>
      <c r="L796" s="126">
        <f>IF(J796="","",J796+MAX(1,G796)+IF(K796="",0,K796)-1)</f>
        <v/>
      </c>
      <c r="M796" s="72" t="n"/>
      <c r="N796" s="109" t="n"/>
      <c r="O796" s="127">
        <f>IF(D796="","",COUNTIF($H$7:$H$1006,B796))</f>
        <v/>
      </c>
      <c r="P796" s="78">
        <f>IF(D796="","",IF(AND(H796&lt;&gt;"",H796&gt;=B796),"⚠️ Predecessor must be above",IF(M796="Done","✓ Done",IF(Q796=3,"🔴 Late",IF(M796="In progress","In progress","")))))</f>
        <v/>
      </c>
      <c r="Q796" s="79">
        <f>IF(OR(D796="",L796=""),"",IF(M796="Done",2,IF(AsOf&gt;L796,3,1)))</f>
        <v/>
      </c>
      <c r="R796" s="79">
        <f>IF(OR(E796="",F796=""),0,IF(COUNTIFS($E$7:E796,E796,$F$7:F796,F796)=1,1,0))</f>
        <v/>
      </c>
      <c r="S796" s="79">
        <f>IF(R796=1,E796&amp;"|"&amp;SUMIFS($R$7:R796,$E$7:E796,E796),"")</f>
        <v/>
      </c>
      <c r="T796" s="112">
        <f>IF(Q796="","",IF(Q796=3,L796,IF(OR(M796="Not started",M796=""),J796,"")))</f>
        <v/>
      </c>
      <c r="U796" s="79">
        <f>IF(T796="","",IF(Q796=3,1,IF(T796="","",IF(T796&lt;AsOf,1,IF(T796&lt;=AsOf+AlertDays,2,IF(T796&lt;=AsOf+2*AlertDays,3,""))))))</f>
        <v/>
      </c>
      <c r="V796" s="79">
        <f>IF(U796="","",IF(Q796=3,"Late task: "&amp;D796,IF(T796&lt;AsOf,"Should have started: ","Starts soon: ")&amp;D796)&amp;IF(F796="",""," — "&amp;F796))</f>
        <v/>
      </c>
    </row>
    <row r="797" ht="20" customHeight="1">
      <c r="B797" s="125" t="n">
        <v>791</v>
      </c>
      <c r="C797" s="72" t="n"/>
      <c r="D797" s="72" t="n"/>
      <c r="E797" s="72" t="n"/>
      <c r="F797" s="72" t="n"/>
      <c r="G797" s="89" t="n"/>
      <c r="H797" s="89" t="n"/>
      <c r="I797" s="109" t="n"/>
      <c r="J797" s="126">
        <f>IF(OR(D797="",ProjStart=""),"",MAX(ProjStart,IF(I797&lt;&gt;"",I797,0),IF(H797="",0,IFERROR(INDEX($L$6:L796,MATCH(H797,$B$6:B796,0))+1,0))))</f>
        <v/>
      </c>
      <c r="K797" s="89" t="n"/>
      <c r="L797" s="126">
        <f>IF(J797="","",J797+MAX(1,G797)+IF(K797="",0,K797)-1)</f>
        <v/>
      </c>
      <c r="M797" s="72" t="n"/>
      <c r="N797" s="109" t="n"/>
      <c r="O797" s="127">
        <f>IF(D797="","",COUNTIF($H$7:$H$1006,B797))</f>
        <v/>
      </c>
      <c r="P797" s="78">
        <f>IF(D797="","",IF(AND(H797&lt;&gt;"",H797&gt;=B797),"⚠️ Predecessor must be above",IF(M797="Done","✓ Done",IF(Q797=3,"🔴 Late",IF(M797="In progress","In progress","")))))</f>
        <v/>
      </c>
      <c r="Q797" s="79">
        <f>IF(OR(D797="",L797=""),"",IF(M797="Done",2,IF(AsOf&gt;L797,3,1)))</f>
        <v/>
      </c>
      <c r="R797" s="79">
        <f>IF(OR(E797="",F797=""),0,IF(COUNTIFS($E$7:E797,E797,$F$7:F797,F797)=1,1,0))</f>
        <v/>
      </c>
      <c r="S797" s="79">
        <f>IF(R797=1,E797&amp;"|"&amp;SUMIFS($R$7:R797,$E$7:E797,E797),"")</f>
        <v/>
      </c>
      <c r="T797" s="112">
        <f>IF(Q797="","",IF(Q797=3,L797,IF(OR(M797="Not started",M797=""),J797,"")))</f>
        <v/>
      </c>
      <c r="U797" s="79">
        <f>IF(T797="","",IF(Q797=3,1,IF(T797="","",IF(T797&lt;AsOf,1,IF(T797&lt;=AsOf+AlertDays,2,IF(T797&lt;=AsOf+2*AlertDays,3,""))))))</f>
        <v/>
      </c>
      <c r="V797" s="79">
        <f>IF(U797="","",IF(Q797=3,"Late task: "&amp;D797,IF(T797&lt;AsOf,"Should have started: ","Starts soon: ")&amp;D797)&amp;IF(F797="",""," — "&amp;F797))</f>
        <v/>
      </c>
    </row>
    <row r="798" ht="20" customHeight="1">
      <c r="B798" s="125" t="n">
        <v>792</v>
      </c>
      <c r="C798" s="72" t="n"/>
      <c r="D798" s="72" t="n"/>
      <c r="E798" s="72" t="n"/>
      <c r="F798" s="72" t="n"/>
      <c r="G798" s="89" t="n"/>
      <c r="H798" s="89" t="n"/>
      <c r="I798" s="109" t="n"/>
      <c r="J798" s="126">
        <f>IF(OR(D798="",ProjStart=""),"",MAX(ProjStart,IF(I798&lt;&gt;"",I798,0),IF(H798="",0,IFERROR(INDEX($L$6:L797,MATCH(H798,$B$6:B797,0))+1,0))))</f>
        <v/>
      </c>
      <c r="K798" s="89" t="n"/>
      <c r="L798" s="126">
        <f>IF(J798="","",J798+MAX(1,G798)+IF(K798="",0,K798)-1)</f>
        <v/>
      </c>
      <c r="M798" s="72" t="n"/>
      <c r="N798" s="109" t="n"/>
      <c r="O798" s="127">
        <f>IF(D798="","",COUNTIF($H$7:$H$1006,B798))</f>
        <v/>
      </c>
      <c r="P798" s="78">
        <f>IF(D798="","",IF(AND(H798&lt;&gt;"",H798&gt;=B798),"⚠️ Predecessor must be above",IF(M798="Done","✓ Done",IF(Q798=3,"🔴 Late",IF(M798="In progress","In progress","")))))</f>
        <v/>
      </c>
      <c r="Q798" s="79">
        <f>IF(OR(D798="",L798=""),"",IF(M798="Done",2,IF(AsOf&gt;L798,3,1)))</f>
        <v/>
      </c>
      <c r="R798" s="79">
        <f>IF(OR(E798="",F798=""),0,IF(COUNTIFS($E$7:E798,E798,$F$7:F798,F798)=1,1,0))</f>
        <v/>
      </c>
      <c r="S798" s="79">
        <f>IF(R798=1,E798&amp;"|"&amp;SUMIFS($R$7:R798,$E$7:E798,E798),"")</f>
        <v/>
      </c>
      <c r="T798" s="112">
        <f>IF(Q798="","",IF(Q798=3,L798,IF(OR(M798="Not started",M798=""),J798,"")))</f>
        <v/>
      </c>
      <c r="U798" s="79">
        <f>IF(T798="","",IF(Q798=3,1,IF(T798="","",IF(T798&lt;AsOf,1,IF(T798&lt;=AsOf+AlertDays,2,IF(T798&lt;=AsOf+2*AlertDays,3,""))))))</f>
        <v/>
      </c>
      <c r="V798" s="79">
        <f>IF(U798="","",IF(Q798=3,"Late task: "&amp;D798,IF(T798&lt;AsOf,"Should have started: ","Starts soon: ")&amp;D798)&amp;IF(F798="",""," — "&amp;F798))</f>
        <v/>
      </c>
    </row>
    <row r="799" ht="20" customHeight="1">
      <c r="B799" s="125" t="n">
        <v>793</v>
      </c>
      <c r="C799" s="72" t="n"/>
      <c r="D799" s="72" t="n"/>
      <c r="E799" s="72" t="n"/>
      <c r="F799" s="72" t="n"/>
      <c r="G799" s="89" t="n"/>
      <c r="H799" s="89" t="n"/>
      <c r="I799" s="109" t="n"/>
      <c r="J799" s="126">
        <f>IF(OR(D799="",ProjStart=""),"",MAX(ProjStart,IF(I799&lt;&gt;"",I799,0),IF(H799="",0,IFERROR(INDEX($L$6:L798,MATCH(H799,$B$6:B798,0))+1,0))))</f>
        <v/>
      </c>
      <c r="K799" s="89" t="n"/>
      <c r="L799" s="126">
        <f>IF(J799="","",J799+MAX(1,G799)+IF(K799="",0,K799)-1)</f>
        <v/>
      </c>
      <c r="M799" s="72" t="n"/>
      <c r="N799" s="109" t="n"/>
      <c r="O799" s="127">
        <f>IF(D799="","",COUNTIF($H$7:$H$1006,B799))</f>
        <v/>
      </c>
      <c r="P799" s="78">
        <f>IF(D799="","",IF(AND(H799&lt;&gt;"",H799&gt;=B799),"⚠️ Predecessor must be above",IF(M799="Done","✓ Done",IF(Q799=3,"🔴 Late",IF(M799="In progress","In progress","")))))</f>
        <v/>
      </c>
      <c r="Q799" s="79">
        <f>IF(OR(D799="",L799=""),"",IF(M799="Done",2,IF(AsOf&gt;L799,3,1)))</f>
        <v/>
      </c>
      <c r="R799" s="79">
        <f>IF(OR(E799="",F799=""),0,IF(COUNTIFS($E$7:E799,E799,$F$7:F799,F799)=1,1,0))</f>
        <v/>
      </c>
      <c r="S799" s="79">
        <f>IF(R799=1,E799&amp;"|"&amp;SUMIFS($R$7:R799,$E$7:E799,E799),"")</f>
        <v/>
      </c>
      <c r="T799" s="112">
        <f>IF(Q799="","",IF(Q799=3,L799,IF(OR(M799="Not started",M799=""),J799,"")))</f>
        <v/>
      </c>
      <c r="U799" s="79">
        <f>IF(T799="","",IF(Q799=3,1,IF(T799="","",IF(T799&lt;AsOf,1,IF(T799&lt;=AsOf+AlertDays,2,IF(T799&lt;=AsOf+2*AlertDays,3,""))))))</f>
        <v/>
      </c>
      <c r="V799" s="79">
        <f>IF(U799="","",IF(Q799=3,"Late task: "&amp;D799,IF(T799&lt;AsOf,"Should have started: ","Starts soon: ")&amp;D799)&amp;IF(F799="",""," — "&amp;F799))</f>
        <v/>
      </c>
    </row>
    <row r="800" ht="20" customHeight="1">
      <c r="B800" s="125" t="n">
        <v>794</v>
      </c>
      <c r="C800" s="72" t="n"/>
      <c r="D800" s="72" t="n"/>
      <c r="E800" s="72" t="n"/>
      <c r="F800" s="72" t="n"/>
      <c r="G800" s="89" t="n"/>
      <c r="H800" s="89" t="n"/>
      <c r="I800" s="109" t="n"/>
      <c r="J800" s="126">
        <f>IF(OR(D800="",ProjStart=""),"",MAX(ProjStart,IF(I800&lt;&gt;"",I800,0),IF(H800="",0,IFERROR(INDEX($L$6:L799,MATCH(H800,$B$6:B799,0))+1,0))))</f>
        <v/>
      </c>
      <c r="K800" s="89" t="n"/>
      <c r="L800" s="126">
        <f>IF(J800="","",J800+MAX(1,G800)+IF(K800="",0,K800)-1)</f>
        <v/>
      </c>
      <c r="M800" s="72" t="n"/>
      <c r="N800" s="109" t="n"/>
      <c r="O800" s="127">
        <f>IF(D800="","",COUNTIF($H$7:$H$1006,B800))</f>
        <v/>
      </c>
      <c r="P800" s="78">
        <f>IF(D800="","",IF(AND(H800&lt;&gt;"",H800&gt;=B800),"⚠️ Predecessor must be above",IF(M800="Done","✓ Done",IF(Q800=3,"🔴 Late",IF(M800="In progress","In progress","")))))</f>
        <v/>
      </c>
      <c r="Q800" s="79">
        <f>IF(OR(D800="",L800=""),"",IF(M800="Done",2,IF(AsOf&gt;L800,3,1)))</f>
        <v/>
      </c>
      <c r="R800" s="79">
        <f>IF(OR(E800="",F800=""),0,IF(COUNTIFS($E$7:E800,E800,$F$7:F800,F800)=1,1,0))</f>
        <v/>
      </c>
      <c r="S800" s="79">
        <f>IF(R800=1,E800&amp;"|"&amp;SUMIFS($R$7:R800,$E$7:E800,E800),"")</f>
        <v/>
      </c>
      <c r="T800" s="112">
        <f>IF(Q800="","",IF(Q800=3,L800,IF(OR(M800="Not started",M800=""),J800,"")))</f>
        <v/>
      </c>
      <c r="U800" s="79">
        <f>IF(T800="","",IF(Q800=3,1,IF(T800="","",IF(T800&lt;AsOf,1,IF(T800&lt;=AsOf+AlertDays,2,IF(T800&lt;=AsOf+2*AlertDays,3,""))))))</f>
        <v/>
      </c>
      <c r="V800" s="79">
        <f>IF(U800="","",IF(Q800=3,"Late task: "&amp;D800,IF(T800&lt;AsOf,"Should have started: ","Starts soon: ")&amp;D800)&amp;IF(F800="",""," — "&amp;F800))</f>
        <v/>
      </c>
    </row>
    <row r="801" ht="20" customHeight="1">
      <c r="B801" s="125" t="n">
        <v>795</v>
      </c>
      <c r="C801" s="72" t="n"/>
      <c r="D801" s="72" t="n"/>
      <c r="E801" s="72" t="n"/>
      <c r="F801" s="72" t="n"/>
      <c r="G801" s="89" t="n"/>
      <c r="H801" s="89" t="n"/>
      <c r="I801" s="109" t="n"/>
      <c r="J801" s="126">
        <f>IF(OR(D801="",ProjStart=""),"",MAX(ProjStart,IF(I801&lt;&gt;"",I801,0),IF(H801="",0,IFERROR(INDEX($L$6:L800,MATCH(H801,$B$6:B800,0))+1,0))))</f>
        <v/>
      </c>
      <c r="K801" s="89" t="n"/>
      <c r="L801" s="126">
        <f>IF(J801="","",J801+MAX(1,G801)+IF(K801="",0,K801)-1)</f>
        <v/>
      </c>
      <c r="M801" s="72" t="n"/>
      <c r="N801" s="109" t="n"/>
      <c r="O801" s="127">
        <f>IF(D801="","",COUNTIF($H$7:$H$1006,B801))</f>
        <v/>
      </c>
      <c r="P801" s="78">
        <f>IF(D801="","",IF(AND(H801&lt;&gt;"",H801&gt;=B801),"⚠️ Predecessor must be above",IF(M801="Done","✓ Done",IF(Q801=3,"🔴 Late",IF(M801="In progress","In progress","")))))</f>
        <v/>
      </c>
      <c r="Q801" s="79">
        <f>IF(OR(D801="",L801=""),"",IF(M801="Done",2,IF(AsOf&gt;L801,3,1)))</f>
        <v/>
      </c>
      <c r="R801" s="79">
        <f>IF(OR(E801="",F801=""),0,IF(COUNTIFS($E$7:E801,E801,$F$7:F801,F801)=1,1,0))</f>
        <v/>
      </c>
      <c r="S801" s="79">
        <f>IF(R801=1,E801&amp;"|"&amp;SUMIFS($R$7:R801,$E$7:E801,E801),"")</f>
        <v/>
      </c>
      <c r="T801" s="112">
        <f>IF(Q801="","",IF(Q801=3,L801,IF(OR(M801="Not started",M801=""),J801,"")))</f>
        <v/>
      </c>
      <c r="U801" s="79">
        <f>IF(T801="","",IF(Q801=3,1,IF(T801="","",IF(T801&lt;AsOf,1,IF(T801&lt;=AsOf+AlertDays,2,IF(T801&lt;=AsOf+2*AlertDays,3,""))))))</f>
        <v/>
      </c>
      <c r="V801" s="79">
        <f>IF(U801="","",IF(Q801=3,"Late task: "&amp;D801,IF(T801&lt;AsOf,"Should have started: ","Starts soon: ")&amp;D801)&amp;IF(F801="",""," — "&amp;F801))</f>
        <v/>
      </c>
    </row>
    <row r="802" ht="20" customHeight="1">
      <c r="B802" s="125" t="n">
        <v>796</v>
      </c>
      <c r="C802" s="72" t="n"/>
      <c r="D802" s="72" t="n"/>
      <c r="E802" s="72" t="n"/>
      <c r="F802" s="72" t="n"/>
      <c r="G802" s="89" t="n"/>
      <c r="H802" s="89" t="n"/>
      <c r="I802" s="109" t="n"/>
      <c r="J802" s="126">
        <f>IF(OR(D802="",ProjStart=""),"",MAX(ProjStart,IF(I802&lt;&gt;"",I802,0),IF(H802="",0,IFERROR(INDEX($L$6:L801,MATCH(H802,$B$6:B801,0))+1,0))))</f>
        <v/>
      </c>
      <c r="K802" s="89" t="n"/>
      <c r="L802" s="126">
        <f>IF(J802="","",J802+MAX(1,G802)+IF(K802="",0,K802)-1)</f>
        <v/>
      </c>
      <c r="M802" s="72" t="n"/>
      <c r="N802" s="109" t="n"/>
      <c r="O802" s="127">
        <f>IF(D802="","",COUNTIF($H$7:$H$1006,B802))</f>
        <v/>
      </c>
      <c r="P802" s="78">
        <f>IF(D802="","",IF(AND(H802&lt;&gt;"",H802&gt;=B802),"⚠️ Predecessor must be above",IF(M802="Done","✓ Done",IF(Q802=3,"🔴 Late",IF(M802="In progress","In progress","")))))</f>
        <v/>
      </c>
      <c r="Q802" s="79">
        <f>IF(OR(D802="",L802=""),"",IF(M802="Done",2,IF(AsOf&gt;L802,3,1)))</f>
        <v/>
      </c>
      <c r="R802" s="79">
        <f>IF(OR(E802="",F802=""),0,IF(COUNTIFS($E$7:E802,E802,$F$7:F802,F802)=1,1,0))</f>
        <v/>
      </c>
      <c r="S802" s="79">
        <f>IF(R802=1,E802&amp;"|"&amp;SUMIFS($R$7:R802,$E$7:E802,E802),"")</f>
        <v/>
      </c>
      <c r="T802" s="112">
        <f>IF(Q802="","",IF(Q802=3,L802,IF(OR(M802="Not started",M802=""),J802,"")))</f>
        <v/>
      </c>
      <c r="U802" s="79">
        <f>IF(T802="","",IF(Q802=3,1,IF(T802="","",IF(T802&lt;AsOf,1,IF(T802&lt;=AsOf+AlertDays,2,IF(T802&lt;=AsOf+2*AlertDays,3,""))))))</f>
        <v/>
      </c>
      <c r="V802" s="79">
        <f>IF(U802="","",IF(Q802=3,"Late task: "&amp;D802,IF(T802&lt;AsOf,"Should have started: ","Starts soon: ")&amp;D802)&amp;IF(F802="",""," — "&amp;F802))</f>
        <v/>
      </c>
    </row>
    <row r="803" ht="20" customHeight="1">
      <c r="B803" s="125" t="n">
        <v>797</v>
      </c>
      <c r="C803" s="72" t="n"/>
      <c r="D803" s="72" t="n"/>
      <c r="E803" s="72" t="n"/>
      <c r="F803" s="72" t="n"/>
      <c r="G803" s="89" t="n"/>
      <c r="H803" s="89" t="n"/>
      <c r="I803" s="109" t="n"/>
      <c r="J803" s="126">
        <f>IF(OR(D803="",ProjStart=""),"",MAX(ProjStart,IF(I803&lt;&gt;"",I803,0),IF(H803="",0,IFERROR(INDEX($L$6:L802,MATCH(H803,$B$6:B802,0))+1,0))))</f>
        <v/>
      </c>
      <c r="K803" s="89" t="n"/>
      <c r="L803" s="126">
        <f>IF(J803="","",J803+MAX(1,G803)+IF(K803="",0,K803)-1)</f>
        <v/>
      </c>
      <c r="M803" s="72" t="n"/>
      <c r="N803" s="109" t="n"/>
      <c r="O803" s="127">
        <f>IF(D803="","",COUNTIF($H$7:$H$1006,B803))</f>
        <v/>
      </c>
      <c r="P803" s="78">
        <f>IF(D803="","",IF(AND(H803&lt;&gt;"",H803&gt;=B803),"⚠️ Predecessor must be above",IF(M803="Done","✓ Done",IF(Q803=3,"🔴 Late",IF(M803="In progress","In progress","")))))</f>
        <v/>
      </c>
      <c r="Q803" s="79">
        <f>IF(OR(D803="",L803=""),"",IF(M803="Done",2,IF(AsOf&gt;L803,3,1)))</f>
        <v/>
      </c>
      <c r="R803" s="79">
        <f>IF(OR(E803="",F803=""),0,IF(COUNTIFS($E$7:E803,E803,$F$7:F803,F803)=1,1,0))</f>
        <v/>
      </c>
      <c r="S803" s="79">
        <f>IF(R803=1,E803&amp;"|"&amp;SUMIFS($R$7:R803,$E$7:E803,E803),"")</f>
        <v/>
      </c>
      <c r="T803" s="112">
        <f>IF(Q803="","",IF(Q803=3,L803,IF(OR(M803="Not started",M803=""),J803,"")))</f>
        <v/>
      </c>
      <c r="U803" s="79">
        <f>IF(T803="","",IF(Q803=3,1,IF(T803="","",IF(T803&lt;AsOf,1,IF(T803&lt;=AsOf+AlertDays,2,IF(T803&lt;=AsOf+2*AlertDays,3,""))))))</f>
        <v/>
      </c>
      <c r="V803" s="79">
        <f>IF(U803="","",IF(Q803=3,"Late task: "&amp;D803,IF(T803&lt;AsOf,"Should have started: ","Starts soon: ")&amp;D803)&amp;IF(F803="",""," — "&amp;F803))</f>
        <v/>
      </c>
    </row>
    <row r="804" ht="20" customHeight="1">
      <c r="B804" s="125" t="n">
        <v>798</v>
      </c>
      <c r="C804" s="72" t="n"/>
      <c r="D804" s="72" t="n"/>
      <c r="E804" s="72" t="n"/>
      <c r="F804" s="72" t="n"/>
      <c r="G804" s="89" t="n"/>
      <c r="H804" s="89" t="n"/>
      <c r="I804" s="109" t="n"/>
      <c r="J804" s="126">
        <f>IF(OR(D804="",ProjStart=""),"",MAX(ProjStart,IF(I804&lt;&gt;"",I804,0),IF(H804="",0,IFERROR(INDEX($L$6:L803,MATCH(H804,$B$6:B803,0))+1,0))))</f>
        <v/>
      </c>
      <c r="K804" s="89" t="n"/>
      <c r="L804" s="126">
        <f>IF(J804="","",J804+MAX(1,G804)+IF(K804="",0,K804)-1)</f>
        <v/>
      </c>
      <c r="M804" s="72" t="n"/>
      <c r="N804" s="109" t="n"/>
      <c r="O804" s="127">
        <f>IF(D804="","",COUNTIF($H$7:$H$1006,B804))</f>
        <v/>
      </c>
      <c r="P804" s="78">
        <f>IF(D804="","",IF(AND(H804&lt;&gt;"",H804&gt;=B804),"⚠️ Predecessor must be above",IF(M804="Done","✓ Done",IF(Q804=3,"🔴 Late",IF(M804="In progress","In progress","")))))</f>
        <v/>
      </c>
      <c r="Q804" s="79">
        <f>IF(OR(D804="",L804=""),"",IF(M804="Done",2,IF(AsOf&gt;L804,3,1)))</f>
        <v/>
      </c>
      <c r="R804" s="79">
        <f>IF(OR(E804="",F804=""),0,IF(COUNTIFS($E$7:E804,E804,$F$7:F804,F804)=1,1,0))</f>
        <v/>
      </c>
      <c r="S804" s="79">
        <f>IF(R804=1,E804&amp;"|"&amp;SUMIFS($R$7:R804,$E$7:E804,E804),"")</f>
        <v/>
      </c>
      <c r="T804" s="112">
        <f>IF(Q804="","",IF(Q804=3,L804,IF(OR(M804="Not started",M804=""),J804,"")))</f>
        <v/>
      </c>
      <c r="U804" s="79">
        <f>IF(T804="","",IF(Q804=3,1,IF(T804="","",IF(T804&lt;AsOf,1,IF(T804&lt;=AsOf+AlertDays,2,IF(T804&lt;=AsOf+2*AlertDays,3,""))))))</f>
        <v/>
      </c>
      <c r="V804" s="79">
        <f>IF(U804="","",IF(Q804=3,"Late task: "&amp;D804,IF(T804&lt;AsOf,"Should have started: ","Starts soon: ")&amp;D804)&amp;IF(F804="",""," — "&amp;F804))</f>
        <v/>
      </c>
    </row>
    <row r="805" ht="20" customHeight="1">
      <c r="B805" s="125" t="n">
        <v>799</v>
      </c>
      <c r="C805" s="72" t="n"/>
      <c r="D805" s="72" t="n"/>
      <c r="E805" s="72" t="n"/>
      <c r="F805" s="72" t="n"/>
      <c r="G805" s="89" t="n"/>
      <c r="H805" s="89" t="n"/>
      <c r="I805" s="109" t="n"/>
      <c r="J805" s="126">
        <f>IF(OR(D805="",ProjStart=""),"",MAX(ProjStart,IF(I805&lt;&gt;"",I805,0),IF(H805="",0,IFERROR(INDEX($L$6:L804,MATCH(H805,$B$6:B804,0))+1,0))))</f>
        <v/>
      </c>
      <c r="K805" s="89" t="n"/>
      <c r="L805" s="126">
        <f>IF(J805="","",J805+MAX(1,G805)+IF(K805="",0,K805)-1)</f>
        <v/>
      </c>
      <c r="M805" s="72" t="n"/>
      <c r="N805" s="109" t="n"/>
      <c r="O805" s="127">
        <f>IF(D805="","",COUNTIF($H$7:$H$1006,B805))</f>
        <v/>
      </c>
      <c r="P805" s="78">
        <f>IF(D805="","",IF(AND(H805&lt;&gt;"",H805&gt;=B805),"⚠️ Predecessor must be above",IF(M805="Done","✓ Done",IF(Q805=3,"🔴 Late",IF(M805="In progress","In progress","")))))</f>
        <v/>
      </c>
      <c r="Q805" s="79">
        <f>IF(OR(D805="",L805=""),"",IF(M805="Done",2,IF(AsOf&gt;L805,3,1)))</f>
        <v/>
      </c>
      <c r="R805" s="79">
        <f>IF(OR(E805="",F805=""),0,IF(COUNTIFS($E$7:E805,E805,$F$7:F805,F805)=1,1,0))</f>
        <v/>
      </c>
      <c r="S805" s="79">
        <f>IF(R805=1,E805&amp;"|"&amp;SUMIFS($R$7:R805,$E$7:E805,E805),"")</f>
        <v/>
      </c>
      <c r="T805" s="112">
        <f>IF(Q805="","",IF(Q805=3,L805,IF(OR(M805="Not started",M805=""),J805,"")))</f>
        <v/>
      </c>
      <c r="U805" s="79">
        <f>IF(T805="","",IF(Q805=3,1,IF(T805="","",IF(T805&lt;AsOf,1,IF(T805&lt;=AsOf+AlertDays,2,IF(T805&lt;=AsOf+2*AlertDays,3,""))))))</f>
        <v/>
      </c>
      <c r="V805" s="79">
        <f>IF(U805="","",IF(Q805=3,"Late task: "&amp;D805,IF(T805&lt;AsOf,"Should have started: ","Starts soon: ")&amp;D805)&amp;IF(F805="",""," — "&amp;F805))</f>
        <v/>
      </c>
    </row>
    <row r="806" ht="20" customHeight="1">
      <c r="B806" s="125" t="n">
        <v>800</v>
      </c>
      <c r="C806" s="72" t="n"/>
      <c r="D806" s="72" t="n"/>
      <c r="E806" s="72" t="n"/>
      <c r="F806" s="72" t="n"/>
      <c r="G806" s="89" t="n"/>
      <c r="H806" s="89" t="n"/>
      <c r="I806" s="109" t="n"/>
      <c r="J806" s="126">
        <f>IF(OR(D806="",ProjStart=""),"",MAX(ProjStart,IF(I806&lt;&gt;"",I806,0),IF(H806="",0,IFERROR(INDEX($L$6:L805,MATCH(H806,$B$6:B805,0))+1,0))))</f>
        <v/>
      </c>
      <c r="K806" s="89" t="n"/>
      <c r="L806" s="126">
        <f>IF(J806="","",J806+MAX(1,G806)+IF(K806="",0,K806)-1)</f>
        <v/>
      </c>
      <c r="M806" s="72" t="n"/>
      <c r="N806" s="109" t="n"/>
      <c r="O806" s="127">
        <f>IF(D806="","",COUNTIF($H$7:$H$1006,B806))</f>
        <v/>
      </c>
      <c r="P806" s="78">
        <f>IF(D806="","",IF(AND(H806&lt;&gt;"",H806&gt;=B806),"⚠️ Predecessor must be above",IF(M806="Done","✓ Done",IF(Q806=3,"🔴 Late",IF(M806="In progress","In progress","")))))</f>
        <v/>
      </c>
      <c r="Q806" s="79">
        <f>IF(OR(D806="",L806=""),"",IF(M806="Done",2,IF(AsOf&gt;L806,3,1)))</f>
        <v/>
      </c>
      <c r="R806" s="79">
        <f>IF(OR(E806="",F806=""),0,IF(COUNTIFS($E$7:E806,E806,$F$7:F806,F806)=1,1,0))</f>
        <v/>
      </c>
      <c r="S806" s="79">
        <f>IF(R806=1,E806&amp;"|"&amp;SUMIFS($R$7:R806,$E$7:E806,E806),"")</f>
        <v/>
      </c>
      <c r="T806" s="112">
        <f>IF(Q806="","",IF(Q806=3,L806,IF(OR(M806="Not started",M806=""),J806,"")))</f>
        <v/>
      </c>
      <c r="U806" s="79">
        <f>IF(T806="","",IF(Q806=3,1,IF(T806="","",IF(T806&lt;AsOf,1,IF(T806&lt;=AsOf+AlertDays,2,IF(T806&lt;=AsOf+2*AlertDays,3,""))))))</f>
        <v/>
      </c>
      <c r="V806" s="79">
        <f>IF(U806="","",IF(Q806=3,"Late task: "&amp;D806,IF(T806&lt;AsOf,"Should have started: ","Starts soon: ")&amp;D806)&amp;IF(F806="",""," — "&amp;F806))</f>
        <v/>
      </c>
    </row>
    <row r="807" ht="20" customHeight="1">
      <c r="B807" s="125" t="n">
        <v>801</v>
      </c>
      <c r="C807" s="72" t="n"/>
      <c r="D807" s="72" t="n"/>
      <c r="E807" s="72" t="n"/>
      <c r="F807" s="72" t="n"/>
      <c r="G807" s="89" t="n"/>
      <c r="H807" s="89" t="n"/>
      <c r="I807" s="109" t="n"/>
      <c r="J807" s="126">
        <f>IF(OR(D807="",ProjStart=""),"",MAX(ProjStart,IF(I807&lt;&gt;"",I807,0),IF(H807="",0,IFERROR(INDEX($L$6:L806,MATCH(H807,$B$6:B806,0))+1,0))))</f>
        <v/>
      </c>
      <c r="K807" s="89" t="n"/>
      <c r="L807" s="126">
        <f>IF(J807="","",J807+MAX(1,G807)+IF(K807="",0,K807)-1)</f>
        <v/>
      </c>
      <c r="M807" s="72" t="n"/>
      <c r="N807" s="109" t="n"/>
      <c r="O807" s="127">
        <f>IF(D807="","",COUNTIF($H$7:$H$1006,B807))</f>
        <v/>
      </c>
      <c r="P807" s="78">
        <f>IF(D807="","",IF(AND(H807&lt;&gt;"",H807&gt;=B807),"⚠️ Predecessor must be above",IF(M807="Done","✓ Done",IF(Q807=3,"🔴 Late",IF(M807="In progress","In progress","")))))</f>
        <v/>
      </c>
      <c r="Q807" s="79">
        <f>IF(OR(D807="",L807=""),"",IF(M807="Done",2,IF(AsOf&gt;L807,3,1)))</f>
        <v/>
      </c>
      <c r="R807" s="79">
        <f>IF(OR(E807="",F807=""),0,IF(COUNTIFS($E$7:E807,E807,$F$7:F807,F807)=1,1,0))</f>
        <v/>
      </c>
      <c r="S807" s="79">
        <f>IF(R807=1,E807&amp;"|"&amp;SUMIFS($R$7:R807,$E$7:E807,E807),"")</f>
        <v/>
      </c>
      <c r="T807" s="112">
        <f>IF(Q807="","",IF(Q807=3,L807,IF(OR(M807="Not started",M807=""),J807,"")))</f>
        <v/>
      </c>
      <c r="U807" s="79">
        <f>IF(T807="","",IF(Q807=3,1,IF(T807="","",IF(T807&lt;AsOf,1,IF(T807&lt;=AsOf+AlertDays,2,IF(T807&lt;=AsOf+2*AlertDays,3,""))))))</f>
        <v/>
      </c>
      <c r="V807" s="79">
        <f>IF(U807="","",IF(Q807=3,"Late task: "&amp;D807,IF(T807&lt;AsOf,"Should have started: ","Starts soon: ")&amp;D807)&amp;IF(F807="",""," — "&amp;F807))</f>
        <v/>
      </c>
    </row>
    <row r="808" ht="20" customHeight="1">
      <c r="B808" s="125" t="n">
        <v>802</v>
      </c>
      <c r="C808" s="72" t="n"/>
      <c r="D808" s="72" t="n"/>
      <c r="E808" s="72" t="n"/>
      <c r="F808" s="72" t="n"/>
      <c r="G808" s="89" t="n"/>
      <c r="H808" s="89" t="n"/>
      <c r="I808" s="109" t="n"/>
      <c r="J808" s="126">
        <f>IF(OR(D808="",ProjStart=""),"",MAX(ProjStart,IF(I808&lt;&gt;"",I808,0),IF(H808="",0,IFERROR(INDEX($L$6:L807,MATCH(H808,$B$6:B807,0))+1,0))))</f>
        <v/>
      </c>
      <c r="K808" s="89" t="n"/>
      <c r="L808" s="126">
        <f>IF(J808="","",J808+MAX(1,G808)+IF(K808="",0,K808)-1)</f>
        <v/>
      </c>
      <c r="M808" s="72" t="n"/>
      <c r="N808" s="109" t="n"/>
      <c r="O808" s="127">
        <f>IF(D808="","",COUNTIF($H$7:$H$1006,B808))</f>
        <v/>
      </c>
      <c r="P808" s="78">
        <f>IF(D808="","",IF(AND(H808&lt;&gt;"",H808&gt;=B808),"⚠️ Predecessor must be above",IF(M808="Done","✓ Done",IF(Q808=3,"🔴 Late",IF(M808="In progress","In progress","")))))</f>
        <v/>
      </c>
      <c r="Q808" s="79">
        <f>IF(OR(D808="",L808=""),"",IF(M808="Done",2,IF(AsOf&gt;L808,3,1)))</f>
        <v/>
      </c>
      <c r="R808" s="79">
        <f>IF(OR(E808="",F808=""),0,IF(COUNTIFS($E$7:E808,E808,$F$7:F808,F808)=1,1,0))</f>
        <v/>
      </c>
      <c r="S808" s="79">
        <f>IF(R808=1,E808&amp;"|"&amp;SUMIFS($R$7:R808,$E$7:E808,E808),"")</f>
        <v/>
      </c>
      <c r="T808" s="112">
        <f>IF(Q808="","",IF(Q808=3,L808,IF(OR(M808="Not started",M808=""),J808,"")))</f>
        <v/>
      </c>
      <c r="U808" s="79">
        <f>IF(T808="","",IF(Q808=3,1,IF(T808="","",IF(T808&lt;AsOf,1,IF(T808&lt;=AsOf+AlertDays,2,IF(T808&lt;=AsOf+2*AlertDays,3,""))))))</f>
        <v/>
      </c>
      <c r="V808" s="79">
        <f>IF(U808="","",IF(Q808=3,"Late task: "&amp;D808,IF(T808&lt;AsOf,"Should have started: ","Starts soon: ")&amp;D808)&amp;IF(F808="",""," — "&amp;F808))</f>
        <v/>
      </c>
    </row>
    <row r="809" ht="20" customHeight="1">
      <c r="B809" s="125" t="n">
        <v>803</v>
      </c>
      <c r="C809" s="72" t="n"/>
      <c r="D809" s="72" t="n"/>
      <c r="E809" s="72" t="n"/>
      <c r="F809" s="72" t="n"/>
      <c r="G809" s="89" t="n"/>
      <c r="H809" s="89" t="n"/>
      <c r="I809" s="109" t="n"/>
      <c r="J809" s="126">
        <f>IF(OR(D809="",ProjStart=""),"",MAX(ProjStart,IF(I809&lt;&gt;"",I809,0),IF(H809="",0,IFERROR(INDEX($L$6:L808,MATCH(H809,$B$6:B808,0))+1,0))))</f>
        <v/>
      </c>
      <c r="K809" s="89" t="n"/>
      <c r="L809" s="126">
        <f>IF(J809="","",J809+MAX(1,G809)+IF(K809="",0,K809)-1)</f>
        <v/>
      </c>
      <c r="M809" s="72" t="n"/>
      <c r="N809" s="109" t="n"/>
      <c r="O809" s="127">
        <f>IF(D809="","",COUNTIF($H$7:$H$1006,B809))</f>
        <v/>
      </c>
      <c r="P809" s="78">
        <f>IF(D809="","",IF(AND(H809&lt;&gt;"",H809&gt;=B809),"⚠️ Predecessor must be above",IF(M809="Done","✓ Done",IF(Q809=3,"🔴 Late",IF(M809="In progress","In progress","")))))</f>
        <v/>
      </c>
      <c r="Q809" s="79">
        <f>IF(OR(D809="",L809=""),"",IF(M809="Done",2,IF(AsOf&gt;L809,3,1)))</f>
        <v/>
      </c>
      <c r="R809" s="79">
        <f>IF(OR(E809="",F809=""),0,IF(COUNTIFS($E$7:E809,E809,$F$7:F809,F809)=1,1,0))</f>
        <v/>
      </c>
      <c r="S809" s="79">
        <f>IF(R809=1,E809&amp;"|"&amp;SUMIFS($R$7:R809,$E$7:E809,E809),"")</f>
        <v/>
      </c>
      <c r="T809" s="112">
        <f>IF(Q809="","",IF(Q809=3,L809,IF(OR(M809="Not started",M809=""),J809,"")))</f>
        <v/>
      </c>
      <c r="U809" s="79">
        <f>IF(T809="","",IF(Q809=3,1,IF(T809="","",IF(T809&lt;AsOf,1,IF(T809&lt;=AsOf+AlertDays,2,IF(T809&lt;=AsOf+2*AlertDays,3,""))))))</f>
        <v/>
      </c>
      <c r="V809" s="79">
        <f>IF(U809="","",IF(Q809=3,"Late task: "&amp;D809,IF(T809&lt;AsOf,"Should have started: ","Starts soon: ")&amp;D809)&amp;IF(F809="",""," — "&amp;F809))</f>
        <v/>
      </c>
    </row>
    <row r="810" ht="20" customHeight="1">
      <c r="B810" s="125" t="n">
        <v>804</v>
      </c>
      <c r="C810" s="72" t="n"/>
      <c r="D810" s="72" t="n"/>
      <c r="E810" s="72" t="n"/>
      <c r="F810" s="72" t="n"/>
      <c r="G810" s="89" t="n"/>
      <c r="H810" s="89" t="n"/>
      <c r="I810" s="109" t="n"/>
      <c r="J810" s="126">
        <f>IF(OR(D810="",ProjStart=""),"",MAX(ProjStart,IF(I810&lt;&gt;"",I810,0),IF(H810="",0,IFERROR(INDEX($L$6:L809,MATCH(H810,$B$6:B809,0))+1,0))))</f>
        <v/>
      </c>
      <c r="K810" s="89" t="n"/>
      <c r="L810" s="126">
        <f>IF(J810="","",J810+MAX(1,G810)+IF(K810="",0,K810)-1)</f>
        <v/>
      </c>
      <c r="M810" s="72" t="n"/>
      <c r="N810" s="109" t="n"/>
      <c r="O810" s="127">
        <f>IF(D810="","",COUNTIF($H$7:$H$1006,B810))</f>
        <v/>
      </c>
      <c r="P810" s="78">
        <f>IF(D810="","",IF(AND(H810&lt;&gt;"",H810&gt;=B810),"⚠️ Predecessor must be above",IF(M810="Done","✓ Done",IF(Q810=3,"🔴 Late",IF(M810="In progress","In progress","")))))</f>
        <v/>
      </c>
      <c r="Q810" s="79">
        <f>IF(OR(D810="",L810=""),"",IF(M810="Done",2,IF(AsOf&gt;L810,3,1)))</f>
        <v/>
      </c>
      <c r="R810" s="79">
        <f>IF(OR(E810="",F810=""),0,IF(COUNTIFS($E$7:E810,E810,$F$7:F810,F810)=1,1,0))</f>
        <v/>
      </c>
      <c r="S810" s="79">
        <f>IF(R810=1,E810&amp;"|"&amp;SUMIFS($R$7:R810,$E$7:E810,E810),"")</f>
        <v/>
      </c>
      <c r="T810" s="112">
        <f>IF(Q810="","",IF(Q810=3,L810,IF(OR(M810="Not started",M810=""),J810,"")))</f>
        <v/>
      </c>
      <c r="U810" s="79">
        <f>IF(T810="","",IF(Q810=3,1,IF(T810="","",IF(T810&lt;AsOf,1,IF(T810&lt;=AsOf+AlertDays,2,IF(T810&lt;=AsOf+2*AlertDays,3,""))))))</f>
        <v/>
      </c>
      <c r="V810" s="79">
        <f>IF(U810="","",IF(Q810=3,"Late task: "&amp;D810,IF(T810&lt;AsOf,"Should have started: ","Starts soon: ")&amp;D810)&amp;IF(F810="",""," — "&amp;F810))</f>
        <v/>
      </c>
    </row>
    <row r="811" ht="20" customHeight="1">
      <c r="B811" s="125" t="n">
        <v>805</v>
      </c>
      <c r="C811" s="72" t="n"/>
      <c r="D811" s="72" t="n"/>
      <c r="E811" s="72" t="n"/>
      <c r="F811" s="72" t="n"/>
      <c r="G811" s="89" t="n"/>
      <c r="H811" s="89" t="n"/>
      <c r="I811" s="109" t="n"/>
      <c r="J811" s="126">
        <f>IF(OR(D811="",ProjStart=""),"",MAX(ProjStart,IF(I811&lt;&gt;"",I811,0),IF(H811="",0,IFERROR(INDEX($L$6:L810,MATCH(H811,$B$6:B810,0))+1,0))))</f>
        <v/>
      </c>
      <c r="K811" s="89" t="n"/>
      <c r="L811" s="126">
        <f>IF(J811="","",J811+MAX(1,G811)+IF(K811="",0,K811)-1)</f>
        <v/>
      </c>
      <c r="M811" s="72" t="n"/>
      <c r="N811" s="109" t="n"/>
      <c r="O811" s="127">
        <f>IF(D811="","",COUNTIF($H$7:$H$1006,B811))</f>
        <v/>
      </c>
      <c r="P811" s="78">
        <f>IF(D811="","",IF(AND(H811&lt;&gt;"",H811&gt;=B811),"⚠️ Predecessor must be above",IF(M811="Done","✓ Done",IF(Q811=3,"🔴 Late",IF(M811="In progress","In progress","")))))</f>
        <v/>
      </c>
      <c r="Q811" s="79">
        <f>IF(OR(D811="",L811=""),"",IF(M811="Done",2,IF(AsOf&gt;L811,3,1)))</f>
        <v/>
      </c>
      <c r="R811" s="79">
        <f>IF(OR(E811="",F811=""),0,IF(COUNTIFS($E$7:E811,E811,$F$7:F811,F811)=1,1,0))</f>
        <v/>
      </c>
      <c r="S811" s="79">
        <f>IF(R811=1,E811&amp;"|"&amp;SUMIFS($R$7:R811,$E$7:E811,E811),"")</f>
        <v/>
      </c>
      <c r="T811" s="112">
        <f>IF(Q811="","",IF(Q811=3,L811,IF(OR(M811="Not started",M811=""),J811,"")))</f>
        <v/>
      </c>
      <c r="U811" s="79">
        <f>IF(T811="","",IF(Q811=3,1,IF(T811="","",IF(T811&lt;AsOf,1,IF(T811&lt;=AsOf+AlertDays,2,IF(T811&lt;=AsOf+2*AlertDays,3,""))))))</f>
        <v/>
      </c>
      <c r="V811" s="79">
        <f>IF(U811="","",IF(Q811=3,"Late task: "&amp;D811,IF(T811&lt;AsOf,"Should have started: ","Starts soon: ")&amp;D811)&amp;IF(F811="",""," — "&amp;F811))</f>
        <v/>
      </c>
    </row>
    <row r="812" ht="20" customHeight="1">
      <c r="B812" s="125" t="n">
        <v>806</v>
      </c>
      <c r="C812" s="72" t="n"/>
      <c r="D812" s="72" t="n"/>
      <c r="E812" s="72" t="n"/>
      <c r="F812" s="72" t="n"/>
      <c r="G812" s="89" t="n"/>
      <c r="H812" s="89" t="n"/>
      <c r="I812" s="109" t="n"/>
      <c r="J812" s="126">
        <f>IF(OR(D812="",ProjStart=""),"",MAX(ProjStart,IF(I812&lt;&gt;"",I812,0),IF(H812="",0,IFERROR(INDEX($L$6:L811,MATCH(H812,$B$6:B811,0))+1,0))))</f>
        <v/>
      </c>
      <c r="K812" s="89" t="n"/>
      <c r="L812" s="126">
        <f>IF(J812="","",J812+MAX(1,G812)+IF(K812="",0,K812)-1)</f>
        <v/>
      </c>
      <c r="M812" s="72" t="n"/>
      <c r="N812" s="109" t="n"/>
      <c r="O812" s="127">
        <f>IF(D812="","",COUNTIF($H$7:$H$1006,B812))</f>
        <v/>
      </c>
      <c r="P812" s="78">
        <f>IF(D812="","",IF(AND(H812&lt;&gt;"",H812&gt;=B812),"⚠️ Predecessor must be above",IF(M812="Done","✓ Done",IF(Q812=3,"🔴 Late",IF(M812="In progress","In progress","")))))</f>
        <v/>
      </c>
      <c r="Q812" s="79">
        <f>IF(OR(D812="",L812=""),"",IF(M812="Done",2,IF(AsOf&gt;L812,3,1)))</f>
        <v/>
      </c>
      <c r="R812" s="79">
        <f>IF(OR(E812="",F812=""),0,IF(COUNTIFS($E$7:E812,E812,$F$7:F812,F812)=1,1,0))</f>
        <v/>
      </c>
      <c r="S812" s="79">
        <f>IF(R812=1,E812&amp;"|"&amp;SUMIFS($R$7:R812,$E$7:E812,E812),"")</f>
        <v/>
      </c>
      <c r="T812" s="112">
        <f>IF(Q812="","",IF(Q812=3,L812,IF(OR(M812="Not started",M812=""),J812,"")))</f>
        <v/>
      </c>
      <c r="U812" s="79">
        <f>IF(T812="","",IF(Q812=3,1,IF(T812="","",IF(T812&lt;AsOf,1,IF(T812&lt;=AsOf+AlertDays,2,IF(T812&lt;=AsOf+2*AlertDays,3,""))))))</f>
        <v/>
      </c>
      <c r="V812" s="79">
        <f>IF(U812="","",IF(Q812=3,"Late task: "&amp;D812,IF(T812&lt;AsOf,"Should have started: ","Starts soon: ")&amp;D812)&amp;IF(F812="",""," — "&amp;F812))</f>
        <v/>
      </c>
    </row>
    <row r="813" ht="20" customHeight="1">
      <c r="B813" s="125" t="n">
        <v>807</v>
      </c>
      <c r="C813" s="72" t="n"/>
      <c r="D813" s="72" t="n"/>
      <c r="E813" s="72" t="n"/>
      <c r="F813" s="72" t="n"/>
      <c r="G813" s="89" t="n"/>
      <c r="H813" s="89" t="n"/>
      <c r="I813" s="109" t="n"/>
      <c r="J813" s="126">
        <f>IF(OR(D813="",ProjStart=""),"",MAX(ProjStart,IF(I813&lt;&gt;"",I813,0),IF(H813="",0,IFERROR(INDEX($L$6:L812,MATCH(H813,$B$6:B812,0))+1,0))))</f>
        <v/>
      </c>
      <c r="K813" s="89" t="n"/>
      <c r="L813" s="126">
        <f>IF(J813="","",J813+MAX(1,G813)+IF(K813="",0,K813)-1)</f>
        <v/>
      </c>
      <c r="M813" s="72" t="n"/>
      <c r="N813" s="109" t="n"/>
      <c r="O813" s="127">
        <f>IF(D813="","",COUNTIF($H$7:$H$1006,B813))</f>
        <v/>
      </c>
      <c r="P813" s="78">
        <f>IF(D813="","",IF(AND(H813&lt;&gt;"",H813&gt;=B813),"⚠️ Predecessor must be above",IF(M813="Done","✓ Done",IF(Q813=3,"🔴 Late",IF(M813="In progress","In progress","")))))</f>
        <v/>
      </c>
      <c r="Q813" s="79">
        <f>IF(OR(D813="",L813=""),"",IF(M813="Done",2,IF(AsOf&gt;L813,3,1)))</f>
        <v/>
      </c>
      <c r="R813" s="79">
        <f>IF(OR(E813="",F813=""),0,IF(COUNTIFS($E$7:E813,E813,$F$7:F813,F813)=1,1,0))</f>
        <v/>
      </c>
      <c r="S813" s="79">
        <f>IF(R813=1,E813&amp;"|"&amp;SUMIFS($R$7:R813,$E$7:E813,E813),"")</f>
        <v/>
      </c>
      <c r="T813" s="112">
        <f>IF(Q813="","",IF(Q813=3,L813,IF(OR(M813="Not started",M813=""),J813,"")))</f>
        <v/>
      </c>
      <c r="U813" s="79">
        <f>IF(T813="","",IF(Q813=3,1,IF(T813="","",IF(T813&lt;AsOf,1,IF(T813&lt;=AsOf+AlertDays,2,IF(T813&lt;=AsOf+2*AlertDays,3,""))))))</f>
        <v/>
      </c>
      <c r="V813" s="79">
        <f>IF(U813="","",IF(Q813=3,"Late task: "&amp;D813,IF(T813&lt;AsOf,"Should have started: ","Starts soon: ")&amp;D813)&amp;IF(F813="",""," — "&amp;F813))</f>
        <v/>
      </c>
    </row>
    <row r="814" ht="20" customHeight="1">
      <c r="B814" s="125" t="n">
        <v>808</v>
      </c>
      <c r="C814" s="72" t="n"/>
      <c r="D814" s="72" t="n"/>
      <c r="E814" s="72" t="n"/>
      <c r="F814" s="72" t="n"/>
      <c r="G814" s="89" t="n"/>
      <c r="H814" s="89" t="n"/>
      <c r="I814" s="109" t="n"/>
      <c r="J814" s="126">
        <f>IF(OR(D814="",ProjStart=""),"",MAX(ProjStart,IF(I814&lt;&gt;"",I814,0),IF(H814="",0,IFERROR(INDEX($L$6:L813,MATCH(H814,$B$6:B813,0))+1,0))))</f>
        <v/>
      </c>
      <c r="K814" s="89" t="n"/>
      <c r="L814" s="126">
        <f>IF(J814="","",J814+MAX(1,G814)+IF(K814="",0,K814)-1)</f>
        <v/>
      </c>
      <c r="M814" s="72" t="n"/>
      <c r="N814" s="109" t="n"/>
      <c r="O814" s="127">
        <f>IF(D814="","",COUNTIF($H$7:$H$1006,B814))</f>
        <v/>
      </c>
      <c r="P814" s="78">
        <f>IF(D814="","",IF(AND(H814&lt;&gt;"",H814&gt;=B814),"⚠️ Predecessor must be above",IF(M814="Done","✓ Done",IF(Q814=3,"🔴 Late",IF(M814="In progress","In progress","")))))</f>
        <v/>
      </c>
      <c r="Q814" s="79">
        <f>IF(OR(D814="",L814=""),"",IF(M814="Done",2,IF(AsOf&gt;L814,3,1)))</f>
        <v/>
      </c>
      <c r="R814" s="79">
        <f>IF(OR(E814="",F814=""),0,IF(COUNTIFS($E$7:E814,E814,$F$7:F814,F814)=1,1,0))</f>
        <v/>
      </c>
      <c r="S814" s="79">
        <f>IF(R814=1,E814&amp;"|"&amp;SUMIFS($R$7:R814,$E$7:E814,E814),"")</f>
        <v/>
      </c>
      <c r="T814" s="112">
        <f>IF(Q814="","",IF(Q814=3,L814,IF(OR(M814="Not started",M814=""),J814,"")))</f>
        <v/>
      </c>
      <c r="U814" s="79">
        <f>IF(T814="","",IF(Q814=3,1,IF(T814="","",IF(T814&lt;AsOf,1,IF(T814&lt;=AsOf+AlertDays,2,IF(T814&lt;=AsOf+2*AlertDays,3,""))))))</f>
        <v/>
      </c>
      <c r="V814" s="79">
        <f>IF(U814="","",IF(Q814=3,"Late task: "&amp;D814,IF(T814&lt;AsOf,"Should have started: ","Starts soon: ")&amp;D814)&amp;IF(F814="",""," — "&amp;F814))</f>
        <v/>
      </c>
    </row>
    <row r="815" ht="20" customHeight="1">
      <c r="B815" s="125" t="n">
        <v>809</v>
      </c>
      <c r="C815" s="72" t="n"/>
      <c r="D815" s="72" t="n"/>
      <c r="E815" s="72" t="n"/>
      <c r="F815" s="72" t="n"/>
      <c r="G815" s="89" t="n"/>
      <c r="H815" s="89" t="n"/>
      <c r="I815" s="109" t="n"/>
      <c r="J815" s="126">
        <f>IF(OR(D815="",ProjStart=""),"",MAX(ProjStart,IF(I815&lt;&gt;"",I815,0),IF(H815="",0,IFERROR(INDEX($L$6:L814,MATCH(H815,$B$6:B814,0))+1,0))))</f>
        <v/>
      </c>
      <c r="K815" s="89" t="n"/>
      <c r="L815" s="126">
        <f>IF(J815="","",J815+MAX(1,G815)+IF(K815="",0,K815)-1)</f>
        <v/>
      </c>
      <c r="M815" s="72" t="n"/>
      <c r="N815" s="109" t="n"/>
      <c r="O815" s="127">
        <f>IF(D815="","",COUNTIF($H$7:$H$1006,B815))</f>
        <v/>
      </c>
      <c r="P815" s="78">
        <f>IF(D815="","",IF(AND(H815&lt;&gt;"",H815&gt;=B815),"⚠️ Predecessor must be above",IF(M815="Done","✓ Done",IF(Q815=3,"🔴 Late",IF(M815="In progress","In progress","")))))</f>
        <v/>
      </c>
      <c r="Q815" s="79">
        <f>IF(OR(D815="",L815=""),"",IF(M815="Done",2,IF(AsOf&gt;L815,3,1)))</f>
        <v/>
      </c>
      <c r="R815" s="79">
        <f>IF(OR(E815="",F815=""),0,IF(COUNTIFS($E$7:E815,E815,$F$7:F815,F815)=1,1,0))</f>
        <v/>
      </c>
      <c r="S815" s="79">
        <f>IF(R815=1,E815&amp;"|"&amp;SUMIFS($R$7:R815,$E$7:E815,E815),"")</f>
        <v/>
      </c>
      <c r="T815" s="112">
        <f>IF(Q815="","",IF(Q815=3,L815,IF(OR(M815="Not started",M815=""),J815,"")))</f>
        <v/>
      </c>
      <c r="U815" s="79">
        <f>IF(T815="","",IF(Q815=3,1,IF(T815="","",IF(T815&lt;AsOf,1,IF(T815&lt;=AsOf+AlertDays,2,IF(T815&lt;=AsOf+2*AlertDays,3,""))))))</f>
        <v/>
      </c>
      <c r="V815" s="79">
        <f>IF(U815="","",IF(Q815=3,"Late task: "&amp;D815,IF(T815&lt;AsOf,"Should have started: ","Starts soon: ")&amp;D815)&amp;IF(F815="",""," — "&amp;F815))</f>
        <v/>
      </c>
    </row>
    <row r="816" ht="20" customHeight="1">
      <c r="B816" s="125" t="n">
        <v>810</v>
      </c>
      <c r="C816" s="72" t="n"/>
      <c r="D816" s="72" t="n"/>
      <c r="E816" s="72" t="n"/>
      <c r="F816" s="72" t="n"/>
      <c r="G816" s="89" t="n"/>
      <c r="H816" s="89" t="n"/>
      <c r="I816" s="109" t="n"/>
      <c r="J816" s="126">
        <f>IF(OR(D816="",ProjStart=""),"",MAX(ProjStart,IF(I816&lt;&gt;"",I816,0),IF(H816="",0,IFERROR(INDEX($L$6:L815,MATCH(H816,$B$6:B815,0))+1,0))))</f>
        <v/>
      </c>
      <c r="K816" s="89" t="n"/>
      <c r="L816" s="126">
        <f>IF(J816="","",J816+MAX(1,G816)+IF(K816="",0,K816)-1)</f>
        <v/>
      </c>
      <c r="M816" s="72" t="n"/>
      <c r="N816" s="109" t="n"/>
      <c r="O816" s="127">
        <f>IF(D816="","",COUNTIF($H$7:$H$1006,B816))</f>
        <v/>
      </c>
      <c r="P816" s="78">
        <f>IF(D816="","",IF(AND(H816&lt;&gt;"",H816&gt;=B816),"⚠️ Predecessor must be above",IF(M816="Done","✓ Done",IF(Q816=3,"🔴 Late",IF(M816="In progress","In progress","")))))</f>
        <v/>
      </c>
      <c r="Q816" s="79">
        <f>IF(OR(D816="",L816=""),"",IF(M816="Done",2,IF(AsOf&gt;L816,3,1)))</f>
        <v/>
      </c>
      <c r="R816" s="79">
        <f>IF(OR(E816="",F816=""),0,IF(COUNTIFS($E$7:E816,E816,$F$7:F816,F816)=1,1,0))</f>
        <v/>
      </c>
      <c r="S816" s="79">
        <f>IF(R816=1,E816&amp;"|"&amp;SUMIFS($R$7:R816,$E$7:E816,E816),"")</f>
        <v/>
      </c>
      <c r="T816" s="112">
        <f>IF(Q816="","",IF(Q816=3,L816,IF(OR(M816="Not started",M816=""),J816,"")))</f>
        <v/>
      </c>
      <c r="U816" s="79">
        <f>IF(T816="","",IF(Q816=3,1,IF(T816="","",IF(T816&lt;AsOf,1,IF(T816&lt;=AsOf+AlertDays,2,IF(T816&lt;=AsOf+2*AlertDays,3,""))))))</f>
        <v/>
      </c>
      <c r="V816" s="79">
        <f>IF(U816="","",IF(Q816=3,"Late task: "&amp;D816,IF(T816&lt;AsOf,"Should have started: ","Starts soon: ")&amp;D816)&amp;IF(F816="",""," — "&amp;F816))</f>
        <v/>
      </c>
    </row>
    <row r="817" ht="20" customHeight="1">
      <c r="B817" s="125" t="n">
        <v>811</v>
      </c>
      <c r="C817" s="72" t="n"/>
      <c r="D817" s="72" t="n"/>
      <c r="E817" s="72" t="n"/>
      <c r="F817" s="72" t="n"/>
      <c r="G817" s="89" t="n"/>
      <c r="H817" s="89" t="n"/>
      <c r="I817" s="109" t="n"/>
      <c r="J817" s="126">
        <f>IF(OR(D817="",ProjStart=""),"",MAX(ProjStart,IF(I817&lt;&gt;"",I817,0),IF(H817="",0,IFERROR(INDEX($L$6:L816,MATCH(H817,$B$6:B816,0))+1,0))))</f>
        <v/>
      </c>
      <c r="K817" s="89" t="n"/>
      <c r="L817" s="126">
        <f>IF(J817="","",J817+MAX(1,G817)+IF(K817="",0,K817)-1)</f>
        <v/>
      </c>
      <c r="M817" s="72" t="n"/>
      <c r="N817" s="109" t="n"/>
      <c r="O817" s="127">
        <f>IF(D817="","",COUNTIF($H$7:$H$1006,B817))</f>
        <v/>
      </c>
      <c r="P817" s="78">
        <f>IF(D817="","",IF(AND(H817&lt;&gt;"",H817&gt;=B817),"⚠️ Predecessor must be above",IF(M817="Done","✓ Done",IF(Q817=3,"🔴 Late",IF(M817="In progress","In progress","")))))</f>
        <v/>
      </c>
      <c r="Q817" s="79">
        <f>IF(OR(D817="",L817=""),"",IF(M817="Done",2,IF(AsOf&gt;L817,3,1)))</f>
        <v/>
      </c>
      <c r="R817" s="79">
        <f>IF(OR(E817="",F817=""),0,IF(COUNTIFS($E$7:E817,E817,$F$7:F817,F817)=1,1,0))</f>
        <v/>
      </c>
      <c r="S817" s="79">
        <f>IF(R817=1,E817&amp;"|"&amp;SUMIFS($R$7:R817,$E$7:E817,E817),"")</f>
        <v/>
      </c>
      <c r="T817" s="112">
        <f>IF(Q817="","",IF(Q817=3,L817,IF(OR(M817="Not started",M817=""),J817,"")))</f>
        <v/>
      </c>
      <c r="U817" s="79">
        <f>IF(T817="","",IF(Q817=3,1,IF(T817="","",IF(T817&lt;AsOf,1,IF(T817&lt;=AsOf+AlertDays,2,IF(T817&lt;=AsOf+2*AlertDays,3,""))))))</f>
        <v/>
      </c>
      <c r="V817" s="79">
        <f>IF(U817="","",IF(Q817=3,"Late task: "&amp;D817,IF(T817&lt;AsOf,"Should have started: ","Starts soon: ")&amp;D817)&amp;IF(F817="",""," — "&amp;F817))</f>
        <v/>
      </c>
    </row>
    <row r="818" ht="20" customHeight="1">
      <c r="B818" s="125" t="n">
        <v>812</v>
      </c>
      <c r="C818" s="72" t="n"/>
      <c r="D818" s="72" t="n"/>
      <c r="E818" s="72" t="n"/>
      <c r="F818" s="72" t="n"/>
      <c r="G818" s="89" t="n"/>
      <c r="H818" s="89" t="n"/>
      <c r="I818" s="109" t="n"/>
      <c r="J818" s="126">
        <f>IF(OR(D818="",ProjStart=""),"",MAX(ProjStart,IF(I818&lt;&gt;"",I818,0),IF(H818="",0,IFERROR(INDEX($L$6:L817,MATCH(H818,$B$6:B817,0))+1,0))))</f>
        <v/>
      </c>
      <c r="K818" s="89" t="n"/>
      <c r="L818" s="126">
        <f>IF(J818="","",J818+MAX(1,G818)+IF(K818="",0,K818)-1)</f>
        <v/>
      </c>
      <c r="M818" s="72" t="n"/>
      <c r="N818" s="109" t="n"/>
      <c r="O818" s="127">
        <f>IF(D818="","",COUNTIF($H$7:$H$1006,B818))</f>
        <v/>
      </c>
      <c r="P818" s="78">
        <f>IF(D818="","",IF(AND(H818&lt;&gt;"",H818&gt;=B818),"⚠️ Predecessor must be above",IF(M818="Done","✓ Done",IF(Q818=3,"🔴 Late",IF(M818="In progress","In progress","")))))</f>
        <v/>
      </c>
      <c r="Q818" s="79">
        <f>IF(OR(D818="",L818=""),"",IF(M818="Done",2,IF(AsOf&gt;L818,3,1)))</f>
        <v/>
      </c>
      <c r="R818" s="79">
        <f>IF(OR(E818="",F818=""),0,IF(COUNTIFS($E$7:E818,E818,$F$7:F818,F818)=1,1,0))</f>
        <v/>
      </c>
      <c r="S818" s="79">
        <f>IF(R818=1,E818&amp;"|"&amp;SUMIFS($R$7:R818,$E$7:E818,E818),"")</f>
        <v/>
      </c>
      <c r="T818" s="112">
        <f>IF(Q818="","",IF(Q818=3,L818,IF(OR(M818="Not started",M818=""),J818,"")))</f>
        <v/>
      </c>
      <c r="U818" s="79">
        <f>IF(T818="","",IF(Q818=3,1,IF(T818="","",IF(T818&lt;AsOf,1,IF(T818&lt;=AsOf+AlertDays,2,IF(T818&lt;=AsOf+2*AlertDays,3,""))))))</f>
        <v/>
      </c>
      <c r="V818" s="79">
        <f>IF(U818="","",IF(Q818=3,"Late task: "&amp;D818,IF(T818&lt;AsOf,"Should have started: ","Starts soon: ")&amp;D818)&amp;IF(F818="",""," — "&amp;F818))</f>
        <v/>
      </c>
    </row>
    <row r="819" ht="20" customHeight="1">
      <c r="B819" s="125" t="n">
        <v>813</v>
      </c>
      <c r="C819" s="72" t="n"/>
      <c r="D819" s="72" t="n"/>
      <c r="E819" s="72" t="n"/>
      <c r="F819" s="72" t="n"/>
      <c r="G819" s="89" t="n"/>
      <c r="H819" s="89" t="n"/>
      <c r="I819" s="109" t="n"/>
      <c r="J819" s="126">
        <f>IF(OR(D819="",ProjStart=""),"",MAX(ProjStart,IF(I819&lt;&gt;"",I819,0),IF(H819="",0,IFERROR(INDEX($L$6:L818,MATCH(H819,$B$6:B818,0))+1,0))))</f>
        <v/>
      </c>
      <c r="K819" s="89" t="n"/>
      <c r="L819" s="126">
        <f>IF(J819="","",J819+MAX(1,G819)+IF(K819="",0,K819)-1)</f>
        <v/>
      </c>
      <c r="M819" s="72" t="n"/>
      <c r="N819" s="109" t="n"/>
      <c r="O819" s="127">
        <f>IF(D819="","",COUNTIF($H$7:$H$1006,B819))</f>
        <v/>
      </c>
      <c r="P819" s="78">
        <f>IF(D819="","",IF(AND(H819&lt;&gt;"",H819&gt;=B819),"⚠️ Predecessor must be above",IF(M819="Done","✓ Done",IF(Q819=3,"🔴 Late",IF(M819="In progress","In progress","")))))</f>
        <v/>
      </c>
      <c r="Q819" s="79">
        <f>IF(OR(D819="",L819=""),"",IF(M819="Done",2,IF(AsOf&gt;L819,3,1)))</f>
        <v/>
      </c>
      <c r="R819" s="79">
        <f>IF(OR(E819="",F819=""),0,IF(COUNTIFS($E$7:E819,E819,$F$7:F819,F819)=1,1,0))</f>
        <v/>
      </c>
      <c r="S819" s="79">
        <f>IF(R819=1,E819&amp;"|"&amp;SUMIFS($R$7:R819,$E$7:E819,E819),"")</f>
        <v/>
      </c>
      <c r="T819" s="112">
        <f>IF(Q819="","",IF(Q819=3,L819,IF(OR(M819="Not started",M819=""),J819,"")))</f>
        <v/>
      </c>
      <c r="U819" s="79">
        <f>IF(T819="","",IF(Q819=3,1,IF(T819="","",IF(T819&lt;AsOf,1,IF(T819&lt;=AsOf+AlertDays,2,IF(T819&lt;=AsOf+2*AlertDays,3,""))))))</f>
        <v/>
      </c>
      <c r="V819" s="79">
        <f>IF(U819="","",IF(Q819=3,"Late task: "&amp;D819,IF(T819&lt;AsOf,"Should have started: ","Starts soon: ")&amp;D819)&amp;IF(F819="",""," — "&amp;F819))</f>
        <v/>
      </c>
    </row>
    <row r="820" ht="20" customHeight="1">
      <c r="B820" s="125" t="n">
        <v>814</v>
      </c>
      <c r="C820" s="72" t="n"/>
      <c r="D820" s="72" t="n"/>
      <c r="E820" s="72" t="n"/>
      <c r="F820" s="72" t="n"/>
      <c r="G820" s="89" t="n"/>
      <c r="H820" s="89" t="n"/>
      <c r="I820" s="109" t="n"/>
      <c r="J820" s="126">
        <f>IF(OR(D820="",ProjStart=""),"",MAX(ProjStart,IF(I820&lt;&gt;"",I820,0),IF(H820="",0,IFERROR(INDEX($L$6:L819,MATCH(H820,$B$6:B819,0))+1,0))))</f>
        <v/>
      </c>
      <c r="K820" s="89" t="n"/>
      <c r="L820" s="126">
        <f>IF(J820="","",J820+MAX(1,G820)+IF(K820="",0,K820)-1)</f>
        <v/>
      </c>
      <c r="M820" s="72" t="n"/>
      <c r="N820" s="109" t="n"/>
      <c r="O820" s="127">
        <f>IF(D820="","",COUNTIF($H$7:$H$1006,B820))</f>
        <v/>
      </c>
      <c r="P820" s="78">
        <f>IF(D820="","",IF(AND(H820&lt;&gt;"",H820&gt;=B820),"⚠️ Predecessor must be above",IF(M820="Done","✓ Done",IF(Q820=3,"🔴 Late",IF(M820="In progress","In progress","")))))</f>
        <v/>
      </c>
      <c r="Q820" s="79">
        <f>IF(OR(D820="",L820=""),"",IF(M820="Done",2,IF(AsOf&gt;L820,3,1)))</f>
        <v/>
      </c>
      <c r="R820" s="79">
        <f>IF(OR(E820="",F820=""),0,IF(COUNTIFS($E$7:E820,E820,$F$7:F820,F820)=1,1,0))</f>
        <v/>
      </c>
      <c r="S820" s="79">
        <f>IF(R820=1,E820&amp;"|"&amp;SUMIFS($R$7:R820,$E$7:E820,E820),"")</f>
        <v/>
      </c>
      <c r="T820" s="112">
        <f>IF(Q820="","",IF(Q820=3,L820,IF(OR(M820="Not started",M820=""),J820,"")))</f>
        <v/>
      </c>
      <c r="U820" s="79">
        <f>IF(T820="","",IF(Q820=3,1,IF(T820="","",IF(T820&lt;AsOf,1,IF(T820&lt;=AsOf+AlertDays,2,IF(T820&lt;=AsOf+2*AlertDays,3,""))))))</f>
        <v/>
      </c>
      <c r="V820" s="79">
        <f>IF(U820="","",IF(Q820=3,"Late task: "&amp;D820,IF(T820&lt;AsOf,"Should have started: ","Starts soon: ")&amp;D820)&amp;IF(F820="",""," — "&amp;F820))</f>
        <v/>
      </c>
    </row>
    <row r="821" ht="20" customHeight="1">
      <c r="B821" s="125" t="n">
        <v>815</v>
      </c>
      <c r="C821" s="72" t="n"/>
      <c r="D821" s="72" t="n"/>
      <c r="E821" s="72" t="n"/>
      <c r="F821" s="72" t="n"/>
      <c r="G821" s="89" t="n"/>
      <c r="H821" s="89" t="n"/>
      <c r="I821" s="109" t="n"/>
      <c r="J821" s="126">
        <f>IF(OR(D821="",ProjStart=""),"",MAX(ProjStart,IF(I821&lt;&gt;"",I821,0),IF(H821="",0,IFERROR(INDEX($L$6:L820,MATCH(H821,$B$6:B820,0))+1,0))))</f>
        <v/>
      </c>
      <c r="K821" s="89" t="n"/>
      <c r="L821" s="126">
        <f>IF(J821="","",J821+MAX(1,G821)+IF(K821="",0,K821)-1)</f>
        <v/>
      </c>
      <c r="M821" s="72" t="n"/>
      <c r="N821" s="109" t="n"/>
      <c r="O821" s="127">
        <f>IF(D821="","",COUNTIF($H$7:$H$1006,B821))</f>
        <v/>
      </c>
      <c r="P821" s="78">
        <f>IF(D821="","",IF(AND(H821&lt;&gt;"",H821&gt;=B821),"⚠️ Predecessor must be above",IF(M821="Done","✓ Done",IF(Q821=3,"🔴 Late",IF(M821="In progress","In progress","")))))</f>
        <v/>
      </c>
      <c r="Q821" s="79">
        <f>IF(OR(D821="",L821=""),"",IF(M821="Done",2,IF(AsOf&gt;L821,3,1)))</f>
        <v/>
      </c>
      <c r="R821" s="79">
        <f>IF(OR(E821="",F821=""),0,IF(COUNTIFS($E$7:E821,E821,$F$7:F821,F821)=1,1,0))</f>
        <v/>
      </c>
      <c r="S821" s="79">
        <f>IF(R821=1,E821&amp;"|"&amp;SUMIFS($R$7:R821,$E$7:E821,E821),"")</f>
        <v/>
      </c>
      <c r="T821" s="112">
        <f>IF(Q821="","",IF(Q821=3,L821,IF(OR(M821="Not started",M821=""),J821,"")))</f>
        <v/>
      </c>
      <c r="U821" s="79">
        <f>IF(T821="","",IF(Q821=3,1,IF(T821="","",IF(T821&lt;AsOf,1,IF(T821&lt;=AsOf+AlertDays,2,IF(T821&lt;=AsOf+2*AlertDays,3,""))))))</f>
        <v/>
      </c>
      <c r="V821" s="79">
        <f>IF(U821="","",IF(Q821=3,"Late task: "&amp;D821,IF(T821&lt;AsOf,"Should have started: ","Starts soon: ")&amp;D821)&amp;IF(F821="",""," — "&amp;F821))</f>
        <v/>
      </c>
    </row>
    <row r="822" ht="20" customHeight="1">
      <c r="B822" s="125" t="n">
        <v>816</v>
      </c>
      <c r="C822" s="72" t="n"/>
      <c r="D822" s="72" t="n"/>
      <c r="E822" s="72" t="n"/>
      <c r="F822" s="72" t="n"/>
      <c r="G822" s="89" t="n"/>
      <c r="H822" s="89" t="n"/>
      <c r="I822" s="109" t="n"/>
      <c r="J822" s="126">
        <f>IF(OR(D822="",ProjStart=""),"",MAX(ProjStart,IF(I822&lt;&gt;"",I822,0),IF(H822="",0,IFERROR(INDEX($L$6:L821,MATCH(H822,$B$6:B821,0))+1,0))))</f>
        <v/>
      </c>
      <c r="K822" s="89" t="n"/>
      <c r="L822" s="126">
        <f>IF(J822="","",J822+MAX(1,G822)+IF(K822="",0,K822)-1)</f>
        <v/>
      </c>
      <c r="M822" s="72" t="n"/>
      <c r="N822" s="109" t="n"/>
      <c r="O822" s="127">
        <f>IF(D822="","",COUNTIF($H$7:$H$1006,B822))</f>
        <v/>
      </c>
      <c r="P822" s="78">
        <f>IF(D822="","",IF(AND(H822&lt;&gt;"",H822&gt;=B822),"⚠️ Predecessor must be above",IF(M822="Done","✓ Done",IF(Q822=3,"🔴 Late",IF(M822="In progress","In progress","")))))</f>
        <v/>
      </c>
      <c r="Q822" s="79">
        <f>IF(OR(D822="",L822=""),"",IF(M822="Done",2,IF(AsOf&gt;L822,3,1)))</f>
        <v/>
      </c>
      <c r="R822" s="79">
        <f>IF(OR(E822="",F822=""),0,IF(COUNTIFS($E$7:E822,E822,$F$7:F822,F822)=1,1,0))</f>
        <v/>
      </c>
      <c r="S822" s="79">
        <f>IF(R822=1,E822&amp;"|"&amp;SUMIFS($R$7:R822,$E$7:E822,E822),"")</f>
        <v/>
      </c>
      <c r="T822" s="112">
        <f>IF(Q822="","",IF(Q822=3,L822,IF(OR(M822="Not started",M822=""),J822,"")))</f>
        <v/>
      </c>
      <c r="U822" s="79">
        <f>IF(T822="","",IF(Q822=3,1,IF(T822="","",IF(T822&lt;AsOf,1,IF(T822&lt;=AsOf+AlertDays,2,IF(T822&lt;=AsOf+2*AlertDays,3,""))))))</f>
        <v/>
      </c>
      <c r="V822" s="79">
        <f>IF(U822="","",IF(Q822=3,"Late task: "&amp;D822,IF(T822&lt;AsOf,"Should have started: ","Starts soon: ")&amp;D822)&amp;IF(F822="",""," — "&amp;F822))</f>
        <v/>
      </c>
    </row>
    <row r="823" ht="20" customHeight="1">
      <c r="B823" s="125" t="n">
        <v>817</v>
      </c>
      <c r="C823" s="72" t="n"/>
      <c r="D823" s="72" t="n"/>
      <c r="E823" s="72" t="n"/>
      <c r="F823" s="72" t="n"/>
      <c r="G823" s="89" t="n"/>
      <c r="H823" s="89" t="n"/>
      <c r="I823" s="109" t="n"/>
      <c r="J823" s="126">
        <f>IF(OR(D823="",ProjStart=""),"",MAX(ProjStart,IF(I823&lt;&gt;"",I823,0),IF(H823="",0,IFERROR(INDEX($L$6:L822,MATCH(H823,$B$6:B822,0))+1,0))))</f>
        <v/>
      </c>
      <c r="K823" s="89" t="n"/>
      <c r="L823" s="126">
        <f>IF(J823="","",J823+MAX(1,G823)+IF(K823="",0,K823)-1)</f>
        <v/>
      </c>
      <c r="M823" s="72" t="n"/>
      <c r="N823" s="109" t="n"/>
      <c r="O823" s="127">
        <f>IF(D823="","",COUNTIF($H$7:$H$1006,B823))</f>
        <v/>
      </c>
      <c r="P823" s="78">
        <f>IF(D823="","",IF(AND(H823&lt;&gt;"",H823&gt;=B823),"⚠️ Predecessor must be above",IF(M823="Done","✓ Done",IF(Q823=3,"🔴 Late",IF(M823="In progress","In progress","")))))</f>
        <v/>
      </c>
      <c r="Q823" s="79">
        <f>IF(OR(D823="",L823=""),"",IF(M823="Done",2,IF(AsOf&gt;L823,3,1)))</f>
        <v/>
      </c>
      <c r="R823" s="79">
        <f>IF(OR(E823="",F823=""),0,IF(COUNTIFS($E$7:E823,E823,$F$7:F823,F823)=1,1,0))</f>
        <v/>
      </c>
      <c r="S823" s="79">
        <f>IF(R823=1,E823&amp;"|"&amp;SUMIFS($R$7:R823,$E$7:E823,E823),"")</f>
        <v/>
      </c>
      <c r="T823" s="112">
        <f>IF(Q823="","",IF(Q823=3,L823,IF(OR(M823="Not started",M823=""),J823,"")))</f>
        <v/>
      </c>
      <c r="U823" s="79">
        <f>IF(T823="","",IF(Q823=3,1,IF(T823="","",IF(T823&lt;AsOf,1,IF(T823&lt;=AsOf+AlertDays,2,IF(T823&lt;=AsOf+2*AlertDays,3,""))))))</f>
        <v/>
      </c>
      <c r="V823" s="79">
        <f>IF(U823="","",IF(Q823=3,"Late task: "&amp;D823,IF(T823&lt;AsOf,"Should have started: ","Starts soon: ")&amp;D823)&amp;IF(F823="",""," — "&amp;F823))</f>
        <v/>
      </c>
    </row>
    <row r="824" ht="20" customHeight="1">
      <c r="B824" s="125" t="n">
        <v>818</v>
      </c>
      <c r="C824" s="72" t="n"/>
      <c r="D824" s="72" t="n"/>
      <c r="E824" s="72" t="n"/>
      <c r="F824" s="72" t="n"/>
      <c r="G824" s="89" t="n"/>
      <c r="H824" s="89" t="n"/>
      <c r="I824" s="109" t="n"/>
      <c r="J824" s="126">
        <f>IF(OR(D824="",ProjStart=""),"",MAX(ProjStart,IF(I824&lt;&gt;"",I824,0),IF(H824="",0,IFERROR(INDEX($L$6:L823,MATCH(H824,$B$6:B823,0))+1,0))))</f>
        <v/>
      </c>
      <c r="K824" s="89" t="n"/>
      <c r="L824" s="126">
        <f>IF(J824="","",J824+MAX(1,G824)+IF(K824="",0,K824)-1)</f>
        <v/>
      </c>
      <c r="M824" s="72" t="n"/>
      <c r="N824" s="109" t="n"/>
      <c r="O824" s="127">
        <f>IF(D824="","",COUNTIF($H$7:$H$1006,B824))</f>
        <v/>
      </c>
      <c r="P824" s="78">
        <f>IF(D824="","",IF(AND(H824&lt;&gt;"",H824&gt;=B824),"⚠️ Predecessor must be above",IF(M824="Done","✓ Done",IF(Q824=3,"🔴 Late",IF(M824="In progress","In progress","")))))</f>
        <v/>
      </c>
      <c r="Q824" s="79">
        <f>IF(OR(D824="",L824=""),"",IF(M824="Done",2,IF(AsOf&gt;L824,3,1)))</f>
        <v/>
      </c>
      <c r="R824" s="79">
        <f>IF(OR(E824="",F824=""),0,IF(COUNTIFS($E$7:E824,E824,$F$7:F824,F824)=1,1,0))</f>
        <v/>
      </c>
      <c r="S824" s="79">
        <f>IF(R824=1,E824&amp;"|"&amp;SUMIFS($R$7:R824,$E$7:E824,E824),"")</f>
        <v/>
      </c>
      <c r="T824" s="112">
        <f>IF(Q824="","",IF(Q824=3,L824,IF(OR(M824="Not started",M824=""),J824,"")))</f>
        <v/>
      </c>
      <c r="U824" s="79">
        <f>IF(T824="","",IF(Q824=3,1,IF(T824="","",IF(T824&lt;AsOf,1,IF(T824&lt;=AsOf+AlertDays,2,IF(T824&lt;=AsOf+2*AlertDays,3,""))))))</f>
        <v/>
      </c>
      <c r="V824" s="79">
        <f>IF(U824="","",IF(Q824=3,"Late task: "&amp;D824,IF(T824&lt;AsOf,"Should have started: ","Starts soon: ")&amp;D824)&amp;IF(F824="",""," — "&amp;F824))</f>
        <v/>
      </c>
    </row>
    <row r="825" ht="20" customHeight="1">
      <c r="B825" s="125" t="n">
        <v>819</v>
      </c>
      <c r="C825" s="72" t="n"/>
      <c r="D825" s="72" t="n"/>
      <c r="E825" s="72" t="n"/>
      <c r="F825" s="72" t="n"/>
      <c r="G825" s="89" t="n"/>
      <c r="H825" s="89" t="n"/>
      <c r="I825" s="109" t="n"/>
      <c r="J825" s="126">
        <f>IF(OR(D825="",ProjStart=""),"",MAX(ProjStart,IF(I825&lt;&gt;"",I825,0),IF(H825="",0,IFERROR(INDEX($L$6:L824,MATCH(H825,$B$6:B824,0))+1,0))))</f>
        <v/>
      </c>
      <c r="K825" s="89" t="n"/>
      <c r="L825" s="126">
        <f>IF(J825="","",J825+MAX(1,G825)+IF(K825="",0,K825)-1)</f>
        <v/>
      </c>
      <c r="M825" s="72" t="n"/>
      <c r="N825" s="109" t="n"/>
      <c r="O825" s="127">
        <f>IF(D825="","",COUNTIF($H$7:$H$1006,B825))</f>
        <v/>
      </c>
      <c r="P825" s="78">
        <f>IF(D825="","",IF(AND(H825&lt;&gt;"",H825&gt;=B825),"⚠️ Predecessor must be above",IF(M825="Done","✓ Done",IF(Q825=3,"🔴 Late",IF(M825="In progress","In progress","")))))</f>
        <v/>
      </c>
      <c r="Q825" s="79">
        <f>IF(OR(D825="",L825=""),"",IF(M825="Done",2,IF(AsOf&gt;L825,3,1)))</f>
        <v/>
      </c>
      <c r="R825" s="79">
        <f>IF(OR(E825="",F825=""),0,IF(COUNTIFS($E$7:E825,E825,$F$7:F825,F825)=1,1,0))</f>
        <v/>
      </c>
      <c r="S825" s="79">
        <f>IF(R825=1,E825&amp;"|"&amp;SUMIFS($R$7:R825,$E$7:E825,E825),"")</f>
        <v/>
      </c>
      <c r="T825" s="112">
        <f>IF(Q825="","",IF(Q825=3,L825,IF(OR(M825="Not started",M825=""),J825,"")))</f>
        <v/>
      </c>
      <c r="U825" s="79">
        <f>IF(T825="","",IF(Q825=3,1,IF(T825="","",IF(T825&lt;AsOf,1,IF(T825&lt;=AsOf+AlertDays,2,IF(T825&lt;=AsOf+2*AlertDays,3,""))))))</f>
        <v/>
      </c>
      <c r="V825" s="79">
        <f>IF(U825="","",IF(Q825=3,"Late task: "&amp;D825,IF(T825&lt;AsOf,"Should have started: ","Starts soon: ")&amp;D825)&amp;IF(F825="",""," — "&amp;F825))</f>
        <v/>
      </c>
    </row>
    <row r="826" ht="20" customHeight="1">
      <c r="B826" s="125" t="n">
        <v>820</v>
      </c>
      <c r="C826" s="72" t="n"/>
      <c r="D826" s="72" t="n"/>
      <c r="E826" s="72" t="n"/>
      <c r="F826" s="72" t="n"/>
      <c r="G826" s="89" t="n"/>
      <c r="H826" s="89" t="n"/>
      <c r="I826" s="109" t="n"/>
      <c r="J826" s="126">
        <f>IF(OR(D826="",ProjStart=""),"",MAX(ProjStart,IF(I826&lt;&gt;"",I826,0),IF(H826="",0,IFERROR(INDEX($L$6:L825,MATCH(H826,$B$6:B825,0))+1,0))))</f>
        <v/>
      </c>
      <c r="K826" s="89" t="n"/>
      <c r="L826" s="126">
        <f>IF(J826="","",J826+MAX(1,G826)+IF(K826="",0,K826)-1)</f>
        <v/>
      </c>
      <c r="M826" s="72" t="n"/>
      <c r="N826" s="109" t="n"/>
      <c r="O826" s="127">
        <f>IF(D826="","",COUNTIF($H$7:$H$1006,B826))</f>
        <v/>
      </c>
      <c r="P826" s="78">
        <f>IF(D826="","",IF(AND(H826&lt;&gt;"",H826&gt;=B826),"⚠️ Predecessor must be above",IF(M826="Done","✓ Done",IF(Q826=3,"🔴 Late",IF(M826="In progress","In progress","")))))</f>
        <v/>
      </c>
      <c r="Q826" s="79">
        <f>IF(OR(D826="",L826=""),"",IF(M826="Done",2,IF(AsOf&gt;L826,3,1)))</f>
        <v/>
      </c>
      <c r="R826" s="79">
        <f>IF(OR(E826="",F826=""),0,IF(COUNTIFS($E$7:E826,E826,$F$7:F826,F826)=1,1,0))</f>
        <v/>
      </c>
      <c r="S826" s="79">
        <f>IF(R826=1,E826&amp;"|"&amp;SUMIFS($R$7:R826,$E$7:E826,E826),"")</f>
        <v/>
      </c>
      <c r="T826" s="112">
        <f>IF(Q826="","",IF(Q826=3,L826,IF(OR(M826="Not started",M826=""),J826,"")))</f>
        <v/>
      </c>
      <c r="U826" s="79">
        <f>IF(T826="","",IF(Q826=3,1,IF(T826="","",IF(T826&lt;AsOf,1,IF(T826&lt;=AsOf+AlertDays,2,IF(T826&lt;=AsOf+2*AlertDays,3,""))))))</f>
        <v/>
      </c>
      <c r="V826" s="79">
        <f>IF(U826="","",IF(Q826=3,"Late task: "&amp;D826,IF(T826&lt;AsOf,"Should have started: ","Starts soon: ")&amp;D826)&amp;IF(F826="",""," — "&amp;F826))</f>
        <v/>
      </c>
    </row>
    <row r="827" ht="20" customHeight="1">
      <c r="B827" s="125" t="n">
        <v>821</v>
      </c>
      <c r="C827" s="72" t="n"/>
      <c r="D827" s="72" t="n"/>
      <c r="E827" s="72" t="n"/>
      <c r="F827" s="72" t="n"/>
      <c r="G827" s="89" t="n"/>
      <c r="H827" s="89" t="n"/>
      <c r="I827" s="109" t="n"/>
      <c r="J827" s="126">
        <f>IF(OR(D827="",ProjStart=""),"",MAX(ProjStart,IF(I827&lt;&gt;"",I827,0),IF(H827="",0,IFERROR(INDEX($L$6:L826,MATCH(H827,$B$6:B826,0))+1,0))))</f>
        <v/>
      </c>
      <c r="K827" s="89" t="n"/>
      <c r="L827" s="126">
        <f>IF(J827="","",J827+MAX(1,G827)+IF(K827="",0,K827)-1)</f>
        <v/>
      </c>
      <c r="M827" s="72" t="n"/>
      <c r="N827" s="109" t="n"/>
      <c r="O827" s="127">
        <f>IF(D827="","",COUNTIF($H$7:$H$1006,B827))</f>
        <v/>
      </c>
      <c r="P827" s="78">
        <f>IF(D827="","",IF(AND(H827&lt;&gt;"",H827&gt;=B827),"⚠️ Predecessor must be above",IF(M827="Done","✓ Done",IF(Q827=3,"🔴 Late",IF(M827="In progress","In progress","")))))</f>
        <v/>
      </c>
      <c r="Q827" s="79">
        <f>IF(OR(D827="",L827=""),"",IF(M827="Done",2,IF(AsOf&gt;L827,3,1)))</f>
        <v/>
      </c>
      <c r="R827" s="79">
        <f>IF(OR(E827="",F827=""),0,IF(COUNTIFS($E$7:E827,E827,$F$7:F827,F827)=1,1,0))</f>
        <v/>
      </c>
      <c r="S827" s="79">
        <f>IF(R827=1,E827&amp;"|"&amp;SUMIFS($R$7:R827,$E$7:E827,E827),"")</f>
        <v/>
      </c>
      <c r="T827" s="112">
        <f>IF(Q827="","",IF(Q827=3,L827,IF(OR(M827="Not started",M827=""),J827,"")))</f>
        <v/>
      </c>
      <c r="U827" s="79">
        <f>IF(T827="","",IF(Q827=3,1,IF(T827="","",IF(T827&lt;AsOf,1,IF(T827&lt;=AsOf+AlertDays,2,IF(T827&lt;=AsOf+2*AlertDays,3,""))))))</f>
        <v/>
      </c>
      <c r="V827" s="79">
        <f>IF(U827="","",IF(Q827=3,"Late task: "&amp;D827,IF(T827&lt;AsOf,"Should have started: ","Starts soon: ")&amp;D827)&amp;IF(F827="",""," — "&amp;F827))</f>
        <v/>
      </c>
    </row>
    <row r="828" ht="20" customHeight="1">
      <c r="B828" s="125" t="n">
        <v>822</v>
      </c>
      <c r="C828" s="72" t="n"/>
      <c r="D828" s="72" t="n"/>
      <c r="E828" s="72" t="n"/>
      <c r="F828" s="72" t="n"/>
      <c r="G828" s="89" t="n"/>
      <c r="H828" s="89" t="n"/>
      <c r="I828" s="109" t="n"/>
      <c r="J828" s="126">
        <f>IF(OR(D828="",ProjStart=""),"",MAX(ProjStart,IF(I828&lt;&gt;"",I828,0),IF(H828="",0,IFERROR(INDEX($L$6:L827,MATCH(H828,$B$6:B827,0))+1,0))))</f>
        <v/>
      </c>
      <c r="K828" s="89" t="n"/>
      <c r="L828" s="126">
        <f>IF(J828="","",J828+MAX(1,G828)+IF(K828="",0,K828)-1)</f>
        <v/>
      </c>
      <c r="M828" s="72" t="n"/>
      <c r="N828" s="109" t="n"/>
      <c r="O828" s="127">
        <f>IF(D828="","",COUNTIF($H$7:$H$1006,B828))</f>
        <v/>
      </c>
      <c r="P828" s="78">
        <f>IF(D828="","",IF(AND(H828&lt;&gt;"",H828&gt;=B828),"⚠️ Predecessor must be above",IF(M828="Done","✓ Done",IF(Q828=3,"🔴 Late",IF(M828="In progress","In progress","")))))</f>
        <v/>
      </c>
      <c r="Q828" s="79">
        <f>IF(OR(D828="",L828=""),"",IF(M828="Done",2,IF(AsOf&gt;L828,3,1)))</f>
        <v/>
      </c>
      <c r="R828" s="79">
        <f>IF(OR(E828="",F828=""),0,IF(COUNTIFS($E$7:E828,E828,$F$7:F828,F828)=1,1,0))</f>
        <v/>
      </c>
      <c r="S828" s="79">
        <f>IF(R828=1,E828&amp;"|"&amp;SUMIFS($R$7:R828,$E$7:E828,E828),"")</f>
        <v/>
      </c>
      <c r="T828" s="112">
        <f>IF(Q828="","",IF(Q828=3,L828,IF(OR(M828="Not started",M828=""),J828,"")))</f>
        <v/>
      </c>
      <c r="U828" s="79">
        <f>IF(T828="","",IF(Q828=3,1,IF(T828="","",IF(T828&lt;AsOf,1,IF(T828&lt;=AsOf+AlertDays,2,IF(T828&lt;=AsOf+2*AlertDays,3,""))))))</f>
        <v/>
      </c>
      <c r="V828" s="79">
        <f>IF(U828="","",IF(Q828=3,"Late task: "&amp;D828,IF(T828&lt;AsOf,"Should have started: ","Starts soon: ")&amp;D828)&amp;IF(F828="",""," — "&amp;F828))</f>
        <v/>
      </c>
    </row>
    <row r="829" ht="20" customHeight="1">
      <c r="B829" s="125" t="n">
        <v>823</v>
      </c>
      <c r="C829" s="72" t="n"/>
      <c r="D829" s="72" t="n"/>
      <c r="E829" s="72" t="n"/>
      <c r="F829" s="72" t="n"/>
      <c r="G829" s="89" t="n"/>
      <c r="H829" s="89" t="n"/>
      <c r="I829" s="109" t="n"/>
      <c r="J829" s="126">
        <f>IF(OR(D829="",ProjStart=""),"",MAX(ProjStart,IF(I829&lt;&gt;"",I829,0),IF(H829="",0,IFERROR(INDEX($L$6:L828,MATCH(H829,$B$6:B828,0))+1,0))))</f>
        <v/>
      </c>
      <c r="K829" s="89" t="n"/>
      <c r="L829" s="126">
        <f>IF(J829="","",J829+MAX(1,G829)+IF(K829="",0,K829)-1)</f>
        <v/>
      </c>
      <c r="M829" s="72" t="n"/>
      <c r="N829" s="109" t="n"/>
      <c r="O829" s="127">
        <f>IF(D829="","",COUNTIF($H$7:$H$1006,B829))</f>
        <v/>
      </c>
      <c r="P829" s="78">
        <f>IF(D829="","",IF(AND(H829&lt;&gt;"",H829&gt;=B829),"⚠️ Predecessor must be above",IF(M829="Done","✓ Done",IF(Q829=3,"🔴 Late",IF(M829="In progress","In progress","")))))</f>
        <v/>
      </c>
      <c r="Q829" s="79">
        <f>IF(OR(D829="",L829=""),"",IF(M829="Done",2,IF(AsOf&gt;L829,3,1)))</f>
        <v/>
      </c>
      <c r="R829" s="79">
        <f>IF(OR(E829="",F829=""),0,IF(COUNTIFS($E$7:E829,E829,$F$7:F829,F829)=1,1,0))</f>
        <v/>
      </c>
      <c r="S829" s="79">
        <f>IF(R829=1,E829&amp;"|"&amp;SUMIFS($R$7:R829,$E$7:E829,E829),"")</f>
        <v/>
      </c>
      <c r="T829" s="112">
        <f>IF(Q829="","",IF(Q829=3,L829,IF(OR(M829="Not started",M829=""),J829,"")))</f>
        <v/>
      </c>
      <c r="U829" s="79">
        <f>IF(T829="","",IF(Q829=3,1,IF(T829="","",IF(T829&lt;AsOf,1,IF(T829&lt;=AsOf+AlertDays,2,IF(T829&lt;=AsOf+2*AlertDays,3,""))))))</f>
        <v/>
      </c>
      <c r="V829" s="79">
        <f>IF(U829="","",IF(Q829=3,"Late task: "&amp;D829,IF(T829&lt;AsOf,"Should have started: ","Starts soon: ")&amp;D829)&amp;IF(F829="",""," — "&amp;F829))</f>
        <v/>
      </c>
    </row>
    <row r="830" ht="20" customHeight="1">
      <c r="B830" s="125" t="n">
        <v>824</v>
      </c>
      <c r="C830" s="72" t="n"/>
      <c r="D830" s="72" t="n"/>
      <c r="E830" s="72" t="n"/>
      <c r="F830" s="72" t="n"/>
      <c r="G830" s="89" t="n"/>
      <c r="H830" s="89" t="n"/>
      <c r="I830" s="109" t="n"/>
      <c r="J830" s="126">
        <f>IF(OR(D830="",ProjStart=""),"",MAX(ProjStart,IF(I830&lt;&gt;"",I830,0),IF(H830="",0,IFERROR(INDEX($L$6:L829,MATCH(H830,$B$6:B829,0))+1,0))))</f>
        <v/>
      </c>
      <c r="K830" s="89" t="n"/>
      <c r="L830" s="126">
        <f>IF(J830="","",J830+MAX(1,G830)+IF(K830="",0,K830)-1)</f>
        <v/>
      </c>
      <c r="M830" s="72" t="n"/>
      <c r="N830" s="109" t="n"/>
      <c r="O830" s="127">
        <f>IF(D830="","",COUNTIF($H$7:$H$1006,B830))</f>
        <v/>
      </c>
      <c r="P830" s="78">
        <f>IF(D830="","",IF(AND(H830&lt;&gt;"",H830&gt;=B830),"⚠️ Predecessor must be above",IF(M830="Done","✓ Done",IF(Q830=3,"🔴 Late",IF(M830="In progress","In progress","")))))</f>
        <v/>
      </c>
      <c r="Q830" s="79">
        <f>IF(OR(D830="",L830=""),"",IF(M830="Done",2,IF(AsOf&gt;L830,3,1)))</f>
        <v/>
      </c>
      <c r="R830" s="79">
        <f>IF(OR(E830="",F830=""),0,IF(COUNTIFS($E$7:E830,E830,$F$7:F830,F830)=1,1,0))</f>
        <v/>
      </c>
      <c r="S830" s="79">
        <f>IF(R830=1,E830&amp;"|"&amp;SUMIFS($R$7:R830,$E$7:E830,E830),"")</f>
        <v/>
      </c>
      <c r="T830" s="112">
        <f>IF(Q830="","",IF(Q830=3,L830,IF(OR(M830="Not started",M830=""),J830,"")))</f>
        <v/>
      </c>
      <c r="U830" s="79">
        <f>IF(T830="","",IF(Q830=3,1,IF(T830="","",IF(T830&lt;AsOf,1,IF(T830&lt;=AsOf+AlertDays,2,IF(T830&lt;=AsOf+2*AlertDays,3,""))))))</f>
        <v/>
      </c>
      <c r="V830" s="79">
        <f>IF(U830="","",IF(Q830=3,"Late task: "&amp;D830,IF(T830&lt;AsOf,"Should have started: ","Starts soon: ")&amp;D830)&amp;IF(F830="",""," — "&amp;F830))</f>
        <v/>
      </c>
    </row>
    <row r="831" ht="20" customHeight="1">
      <c r="B831" s="125" t="n">
        <v>825</v>
      </c>
      <c r="C831" s="72" t="n"/>
      <c r="D831" s="72" t="n"/>
      <c r="E831" s="72" t="n"/>
      <c r="F831" s="72" t="n"/>
      <c r="G831" s="89" t="n"/>
      <c r="H831" s="89" t="n"/>
      <c r="I831" s="109" t="n"/>
      <c r="J831" s="126">
        <f>IF(OR(D831="",ProjStart=""),"",MAX(ProjStart,IF(I831&lt;&gt;"",I831,0),IF(H831="",0,IFERROR(INDEX($L$6:L830,MATCH(H831,$B$6:B830,0))+1,0))))</f>
        <v/>
      </c>
      <c r="K831" s="89" t="n"/>
      <c r="L831" s="126">
        <f>IF(J831="","",J831+MAX(1,G831)+IF(K831="",0,K831)-1)</f>
        <v/>
      </c>
      <c r="M831" s="72" t="n"/>
      <c r="N831" s="109" t="n"/>
      <c r="O831" s="127">
        <f>IF(D831="","",COUNTIF($H$7:$H$1006,B831))</f>
        <v/>
      </c>
      <c r="P831" s="78">
        <f>IF(D831="","",IF(AND(H831&lt;&gt;"",H831&gt;=B831),"⚠️ Predecessor must be above",IF(M831="Done","✓ Done",IF(Q831=3,"🔴 Late",IF(M831="In progress","In progress","")))))</f>
        <v/>
      </c>
      <c r="Q831" s="79">
        <f>IF(OR(D831="",L831=""),"",IF(M831="Done",2,IF(AsOf&gt;L831,3,1)))</f>
        <v/>
      </c>
      <c r="R831" s="79">
        <f>IF(OR(E831="",F831=""),0,IF(COUNTIFS($E$7:E831,E831,$F$7:F831,F831)=1,1,0))</f>
        <v/>
      </c>
      <c r="S831" s="79">
        <f>IF(R831=1,E831&amp;"|"&amp;SUMIFS($R$7:R831,$E$7:E831,E831),"")</f>
        <v/>
      </c>
      <c r="T831" s="112">
        <f>IF(Q831="","",IF(Q831=3,L831,IF(OR(M831="Not started",M831=""),J831,"")))</f>
        <v/>
      </c>
      <c r="U831" s="79">
        <f>IF(T831="","",IF(Q831=3,1,IF(T831="","",IF(T831&lt;AsOf,1,IF(T831&lt;=AsOf+AlertDays,2,IF(T831&lt;=AsOf+2*AlertDays,3,""))))))</f>
        <v/>
      </c>
      <c r="V831" s="79">
        <f>IF(U831="","",IF(Q831=3,"Late task: "&amp;D831,IF(T831&lt;AsOf,"Should have started: ","Starts soon: ")&amp;D831)&amp;IF(F831="",""," — "&amp;F831))</f>
        <v/>
      </c>
    </row>
    <row r="832" ht="20" customHeight="1">
      <c r="B832" s="125" t="n">
        <v>826</v>
      </c>
      <c r="C832" s="72" t="n"/>
      <c r="D832" s="72" t="n"/>
      <c r="E832" s="72" t="n"/>
      <c r="F832" s="72" t="n"/>
      <c r="G832" s="89" t="n"/>
      <c r="H832" s="89" t="n"/>
      <c r="I832" s="109" t="n"/>
      <c r="J832" s="126">
        <f>IF(OR(D832="",ProjStart=""),"",MAX(ProjStart,IF(I832&lt;&gt;"",I832,0),IF(H832="",0,IFERROR(INDEX($L$6:L831,MATCH(H832,$B$6:B831,0))+1,0))))</f>
        <v/>
      </c>
      <c r="K832" s="89" t="n"/>
      <c r="L832" s="126">
        <f>IF(J832="","",J832+MAX(1,G832)+IF(K832="",0,K832)-1)</f>
        <v/>
      </c>
      <c r="M832" s="72" t="n"/>
      <c r="N832" s="109" t="n"/>
      <c r="O832" s="127">
        <f>IF(D832="","",COUNTIF($H$7:$H$1006,B832))</f>
        <v/>
      </c>
      <c r="P832" s="78">
        <f>IF(D832="","",IF(AND(H832&lt;&gt;"",H832&gt;=B832),"⚠️ Predecessor must be above",IF(M832="Done","✓ Done",IF(Q832=3,"🔴 Late",IF(M832="In progress","In progress","")))))</f>
        <v/>
      </c>
      <c r="Q832" s="79">
        <f>IF(OR(D832="",L832=""),"",IF(M832="Done",2,IF(AsOf&gt;L832,3,1)))</f>
        <v/>
      </c>
      <c r="R832" s="79">
        <f>IF(OR(E832="",F832=""),0,IF(COUNTIFS($E$7:E832,E832,$F$7:F832,F832)=1,1,0))</f>
        <v/>
      </c>
      <c r="S832" s="79">
        <f>IF(R832=1,E832&amp;"|"&amp;SUMIFS($R$7:R832,$E$7:E832,E832),"")</f>
        <v/>
      </c>
      <c r="T832" s="112">
        <f>IF(Q832="","",IF(Q832=3,L832,IF(OR(M832="Not started",M832=""),J832,"")))</f>
        <v/>
      </c>
      <c r="U832" s="79">
        <f>IF(T832="","",IF(Q832=3,1,IF(T832="","",IF(T832&lt;AsOf,1,IF(T832&lt;=AsOf+AlertDays,2,IF(T832&lt;=AsOf+2*AlertDays,3,""))))))</f>
        <v/>
      </c>
      <c r="V832" s="79">
        <f>IF(U832="","",IF(Q832=3,"Late task: "&amp;D832,IF(T832&lt;AsOf,"Should have started: ","Starts soon: ")&amp;D832)&amp;IF(F832="",""," — "&amp;F832))</f>
        <v/>
      </c>
    </row>
    <row r="833" ht="20" customHeight="1">
      <c r="B833" s="125" t="n">
        <v>827</v>
      </c>
      <c r="C833" s="72" t="n"/>
      <c r="D833" s="72" t="n"/>
      <c r="E833" s="72" t="n"/>
      <c r="F833" s="72" t="n"/>
      <c r="G833" s="89" t="n"/>
      <c r="H833" s="89" t="n"/>
      <c r="I833" s="109" t="n"/>
      <c r="J833" s="126">
        <f>IF(OR(D833="",ProjStart=""),"",MAX(ProjStart,IF(I833&lt;&gt;"",I833,0),IF(H833="",0,IFERROR(INDEX($L$6:L832,MATCH(H833,$B$6:B832,0))+1,0))))</f>
        <v/>
      </c>
      <c r="K833" s="89" t="n"/>
      <c r="L833" s="126">
        <f>IF(J833="","",J833+MAX(1,G833)+IF(K833="",0,K833)-1)</f>
        <v/>
      </c>
      <c r="M833" s="72" t="n"/>
      <c r="N833" s="109" t="n"/>
      <c r="O833" s="127">
        <f>IF(D833="","",COUNTIF($H$7:$H$1006,B833))</f>
        <v/>
      </c>
      <c r="P833" s="78">
        <f>IF(D833="","",IF(AND(H833&lt;&gt;"",H833&gt;=B833),"⚠️ Predecessor must be above",IF(M833="Done","✓ Done",IF(Q833=3,"🔴 Late",IF(M833="In progress","In progress","")))))</f>
        <v/>
      </c>
      <c r="Q833" s="79">
        <f>IF(OR(D833="",L833=""),"",IF(M833="Done",2,IF(AsOf&gt;L833,3,1)))</f>
        <v/>
      </c>
      <c r="R833" s="79">
        <f>IF(OR(E833="",F833=""),0,IF(COUNTIFS($E$7:E833,E833,$F$7:F833,F833)=1,1,0))</f>
        <v/>
      </c>
      <c r="S833" s="79">
        <f>IF(R833=1,E833&amp;"|"&amp;SUMIFS($R$7:R833,$E$7:E833,E833),"")</f>
        <v/>
      </c>
      <c r="T833" s="112">
        <f>IF(Q833="","",IF(Q833=3,L833,IF(OR(M833="Not started",M833=""),J833,"")))</f>
        <v/>
      </c>
      <c r="U833" s="79">
        <f>IF(T833="","",IF(Q833=3,1,IF(T833="","",IF(T833&lt;AsOf,1,IF(T833&lt;=AsOf+AlertDays,2,IF(T833&lt;=AsOf+2*AlertDays,3,""))))))</f>
        <v/>
      </c>
      <c r="V833" s="79">
        <f>IF(U833="","",IF(Q833=3,"Late task: "&amp;D833,IF(T833&lt;AsOf,"Should have started: ","Starts soon: ")&amp;D833)&amp;IF(F833="",""," — "&amp;F833))</f>
        <v/>
      </c>
    </row>
    <row r="834" ht="20" customHeight="1">
      <c r="B834" s="125" t="n">
        <v>828</v>
      </c>
      <c r="C834" s="72" t="n"/>
      <c r="D834" s="72" t="n"/>
      <c r="E834" s="72" t="n"/>
      <c r="F834" s="72" t="n"/>
      <c r="G834" s="89" t="n"/>
      <c r="H834" s="89" t="n"/>
      <c r="I834" s="109" t="n"/>
      <c r="J834" s="126">
        <f>IF(OR(D834="",ProjStart=""),"",MAX(ProjStart,IF(I834&lt;&gt;"",I834,0),IF(H834="",0,IFERROR(INDEX($L$6:L833,MATCH(H834,$B$6:B833,0))+1,0))))</f>
        <v/>
      </c>
      <c r="K834" s="89" t="n"/>
      <c r="L834" s="126">
        <f>IF(J834="","",J834+MAX(1,G834)+IF(K834="",0,K834)-1)</f>
        <v/>
      </c>
      <c r="M834" s="72" t="n"/>
      <c r="N834" s="109" t="n"/>
      <c r="O834" s="127">
        <f>IF(D834="","",COUNTIF($H$7:$H$1006,B834))</f>
        <v/>
      </c>
      <c r="P834" s="78">
        <f>IF(D834="","",IF(AND(H834&lt;&gt;"",H834&gt;=B834),"⚠️ Predecessor must be above",IF(M834="Done","✓ Done",IF(Q834=3,"🔴 Late",IF(M834="In progress","In progress","")))))</f>
        <v/>
      </c>
      <c r="Q834" s="79">
        <f>IF(OR(D834="",L834=""),"",IF(M834="Done",2,IF(AsOf&gt;L834,3,1)))</f>
        <v/>
      </c>
      <c r="R834" s="79">
        <f>IF(OR(E834="",F834=""),0,IF(COUNTIFS($E$7:E834,E834,$F$7:F834,F834)=1,1,0))</f>
        <v/>
      </c>
      <c r="S834" s="79">
        <f>IF(R834=1,E834&amp;"|"&amp;SUMIFS($R$7:R834,$E$7:E834,E834),"")</f>
        <v/>
      </c>
      <c r="T834" s="112">
        <f>IF(Q834="","",IF(Q834=3,L834,IF(OR(M834="Not started",M834=""),J834,"")))</f>
        <v/>
      </c>
      <c r="U834" s="79">
        <f>IF(T834="","",IF(Q834=3,1,IF(T834="","",IF(T834&lt;AsOf,1,IF(T834&lt;=AsOf+AlertDays,2,IF(T834&lt;=AsOf+2*AlertDays,3,""))))))</f>
        <v/>
      </c>
      <c r="V834" s="79">
        <f>IF(U834="","",IF(Q834=3,"Late task: "&amp;D834,IF(T834&lt;AsOf,"Should have started: ","Starts soon: ")&amp;D834)&amp;IF(F834="",""," — "&amp;F834))</f>
        <v/>
      </c>
    </row>
    <row r="835" ht="20" customHeight="1">
      <c r="B835" s="125" t="n">
        <v>829</v>
      </c>
      <c r="C835" s="72" t="n"/>
      <c r="D835" s="72" t="n"/>
      <c r="E835" s="72" t="n"/>
      <c r="F835" s="72" t="n"/>
      <c r="G835" s="89" t="n"/>
      <c r="H835" s="89" t="n"/>
      <c r="I835" s="109" t="n"/>
      <c r="J835" s="126">
        <f>IF(OR(D835="",ProjStart=""),"",MAX(ProjStart,IF(I835&lt;&gt;"",I835,0),IF(H835="",0,IFERROR(INDEX($L$6:L834,MATCH(H835,$B$6:B834,0))+1,0))))</f>
        <v/>
      </c>
      <c r="K835" s="89" t="n"/>
      <c r="L835" s="126">
        <f>IF(J835="","",J835+MAX(1,G835)+IF(K835="",0,K835)-1)</f>
        <v/>
      </c>
      <c r="M835" s="72" t="n"/>
      <c r="N835" s="109" t="n"/>
      <c r="O835" s="127">
        <f>IF(D835="","",COUNTIF($H$7:$H$1006,B835))</f>
        <v/>
      </c>
      <c r="P835" s="78">
        <f>IF(D835="","",IF(AND(H835&lt;&gt;"",H835&gt;=B835),"⚠️ Predecessor must be above",IF(M835="Done","✓ Done",IF(Q835=3,"🔴 Late",IF(M835="In progress","In progress","")))))</f>
        <v/>
      </c>
      <c r="Q835" s="79">
        <f>IF(OR(D835="",L835=""),"",IF(M835="Done",2,IF(AsOf&gt;L835,3,1)))</f>
        <v/>
      </c>
      <c r="R835" s="79">
        <f>IF(OR(E835="",F835=""),0,IF(COUNTIFS($E$7:E835,E835,$F$7:F835,F835)=1,1,0))</f>
        <v/>
      </c>
      <c r="S835" s="79">
        <f>IF(R835=1,E835&amp;"|"&amp;SUMIFS($R$7:R835,$E$7:E835,E835),"")</f>
        <v/>
      </c>
      <c r="T835" s="112">
        <f>IF(Q835="","",IF(Q835=3,L835,IF(OR(M835="Not started",M835=""),J835,"")))</f>
        <v/>
      </c>
      <c r="U835" s="79">
        <f>IF(T835="","",IF(Q835=3,1,IF(T835="","",IF(T835&lt;AsOf,1,IF(T835&lt;=AsOf+AlertDays,2,IF(T835&lt;=AsOf+2*AlertDays,3,""))))))</f>
        <v/>
      </c>
      <c r="V835" s="79">
        <f>IF(U835="","",IF(Q835=3,"Late task: "&amp;D835,IF(T835&lt;AsOf,"Should have started: ","Starts soon: ")&amp;D835)&amp;IF(F835="",""," — "&amp;F835))</f>
        <v/>
      </c>
    </row>
    <row r="836" ht="20" customHeight="1">
      <c r="B836" s="125" t="n">
        <v>830</v>
      </c>
      <c r="C836" s="72" t="n"/>
      <c r="D836" s="72" t="n"/>
      <c r="E836" s="72" t="n"/>
      <c r="F836" s="72" t="n"/>
      <c r="G836" s="89" t="n"/>
      <c r="H836" s="89" t="n"/>
      <c r="I836" s="109" t="n"/>
      <c r="J836" s="126">
        <f>IF(OR(D836="",ProjStart=""),"",MAX(ProjStart,IF(I836&lt;&gt;"",I836,0),IF(H836="",0,IFERROR(INDEX($L$6:L835,MATCH(H836,$B$6:B835,0))+1,0))))</f>
        <v/>
      </c>
      <c r="K836" s="89" t="n"/>
      <c r="L836" s="126">
        <f>IF(J836="","",J836+MAX(1,G836)+IF(K836="",0,K836)-1)</f>
        <v/>
      </c>
      <c r="M836" s="72" t="n"/>
      <c r="N836" s="109" t="n"/>
      <c r="O836" s="127">
        <f>IF(D836="","",COUNTIF($H$7:$H$1006,B836))</f>
        <v/>
      </c>
      <c r="P836" s="78">
        <f>IF(D836="","",IF(AND(H836&lt;&gt;"",H836&gt;=B836),"⚠️ Predecessor must be above",IF(M836="Done","✓ Done",IF(Q836=3,"🔴 Late",IF(M836="In progress","In progress","")))))</f>
        <v/>
      </c>
      <c r="Q836" s="79">
        <f>IF(OR(D836="",L836=""),"",IF(M836="Done",2,IF(AsOf&gt;L836,3,1)))</f>
        <v/>
      </c>
      <c r="R836" s="79">
        <f>IF(OR(E836="",F836=""),0,IF(COUNTIFS($E$7:E836,E836,$F$7:F836,F836)=1,1,0))</f>
        <v/>
      </c>
      <c r="S836" s="79">
        <f>IF(R836=1,E836&amp;"|"&amp;SUMIFS($R$7:R836,$E$7:E836,E836),"")</f>
        <v/>
      </c>
      <c r="T836" s="112">
        <f>IF(Q836="","",IF(Q836=3,L836,IF(OR(M836="Not started",M836=""),J836,"")))</f>
        <v/>
      </c>
      <c r="U836" s="79">
        <f>IF(T836="","",IF(Q836=3,1,IF(T836="","",IF(T836&lt;AsOf,1,IF(T836&lt;=AsOf+AlertDays,2,IF(T836&lt;=AsOf+2*AlertDays,3,""))))))</f>
        <v/>
      </c>
      <c r="V836" s="79">
        <f>IF(U836="","",IF(Q836=3,"Late task: "&amp;D836,IF(T836&lt;AsOf,"Should have started: ","Starts soon: ")&amp;D836)&amp;IF(F836="",""," — "&amp;F836))</f>
        <v/>
      </c>
    </row>
    <row r="837" ht="20" customHeight="1">
      <c r="B837" s="125" t="n">
        <v>831</v>
      </c>
      <c r="C837" s="72" t="n"/>
      <c r="D837" s="72" t="n"/>
      <c r="E837" s="72" t="n"/>
      <c r="F837" s="72" t="n"/>
      <c r="G837" s="89" t="n"/>
      <c r="H837" s="89" t="n"/>
      <c r="I837" s="109" t="n"/>
      <c r="J837" s="126">
        <f>IF(OR(D837="",ProjStart=""),"",MAX(ProjStart,IF(I837&lt;&gt;"",I837,0),IF(H837="",0,IFERROR(INDEX($L$6:L836,MATCH(H837,$B$6:B836,0))+1,0))))</f>
        <v/>
      </c>
      <c r="K837" s="89" t="n"/>
      <c r="L837" s="126">
        <f>IF(J837="","",J837+MAX(1,G837)+IF(K837="",0,K837)-1)</f>
        <v/>
      </c>
      <c r="M837" s="72" t="n"/>
      <c r="N837" s="109" t="n"/>
      <c r="O837" s="127">
        <f>IF(D837="","",COUNTIF($H$7:$H$1006,B837))</f>
        <v/>
      </c>
      <c r="P837" s="78">
        <f>IF(D837="","",IF(AND(H837&lt;&gt;"",H837&gt;=B837),"⚠️ Predecessor must be above",IF(M837="Done","✓ Done",IF(Q837=3,"🔴 Late",IF(M837="In progress","In progress","")))))</f>
        <v/>
      </c>
      <c r="Q837" s="79">
        <f>IF(OR(D837="",L837=""),"",IF(M837="Done",2,IF(AsOf&gt;L837,3,1)))</f>
        <v/>
      </c>
      <c r="R837" s="79">
        <f>IF(OR(E837="",F837=""),0,IF(COUNTIFS($E$7:E837,E837,$F$7:F837,F837)=1,1,0))</f>
        <v/>
      </c>
      <c r="S837" s="79">
        <f>IF(R837=1,E837&amp;"|"&amp;SUMIFS($R$7:R837,$E$7:E837,E837),"")</f>
        <v/>
      </c>
      <c r="T837" s="112">
        <f>IF(Q837="","",IF(Q837=3,L837,IF(OR(M837="Not started",M837=""),J837,"")))</f>
        <v/>
      </c>
      <c r="U837" s="79">
        <f>IF(T837="","",IF(Q837=3,1,IF(T837="","",IF(T837&lt;AsOf,1,IF(T837&lt;=AsOf+AlertDays,2,IF(T837&lt;=AsOf+2*AlertDays,3,""))))))</f>
        <v/>
      </c>
      <c r="V837" s="79">
        <f>IF(U837="","",IF(Q837=3,"Late task: "&amp;D837,IF(T837&lt;AsOf,"Should have started: ","Starts soon: ")&amp;D837)&amp;IF(F837="",""," — "&amp;F837))</f>
        <v/>
      </c>
    </row>
    <row r="838" ht="20" customHeight="1">
      <c r="B838" s="125" t="n">
        <v>832</v>
      </c>
      <c r="C838" s="72" t="n"/>
      <c r="D838" s="72" t="n"/>
      <c r="E838" s="72" t="n"/>
      <c r="F838" s="72" t="n"/>
      <c r="G838" s="89" t="n"/>
      <c r="H838" s="89" t="n"/>
      <c r="I838" s="109" t="n"/>
      <c r="J838" s="126">
        <f>IF(OR(D838="",ProjStart=""),"",MAX(ProjStart,IF(I838&lt;&gt;"",I838,0),IF(H838="",0,IFERROR(INDEX($L$6:L837,MATCH(H838,$B$6:B837,0))+1,0))))</f>
        <v/>
      </c>
      <c r="K838" s="89" t="n"/>
      <c r="L838" s="126">
        <f>IF(J838="","",J838+MAX(1,G838)+IF(K838="",0,K838)-1)</f>
        <v/>
      </c>
      <c r="M838" s="72" t="n"/>
      <c r="N838" s="109" t="n"/>
      <c r="O838" s="127">
        <f>IF(D838="","",COUNTIF($H$7:$H$1006,B838))</f>
        <v/>
      </c>
      <c r="P838" s="78">
        <f>IF(D838="","",IF(AND(H838&lt;&gt;"",H838&gt;=B838),"⚠️ Predecessor must be above",IF(M838="Done","✓ Done",IF(Q838=3,"🔴 Late",IF(M838="In progress","In progress","")))))</f>
        <v/>
      </c>
      <c r="Q838" s="79">
        <f>IF(OR(D838="",L838=""),"",IF(M838="Done",2,IF(AsOf&gt;L838,3,1)))</f>
        <v/>
      </c>
      <c r="R838" s="79">
        <f>IF(OR(E838="",F838=""),0,IF(COUNTIFS($E$7:E838,E838,$F$7:F838,F838)=1,1,0))</f>
        <v/>
      </c>
      <c r="S838" s="79">
        <f>IF(R838=1,E838&amp;"|"&amp;SUMIFS($R$7:R838,$E$7:E838,E838),"")</f>
        <v/>
      </c>
      <c r="T838" s="112">
        <f>IF(Q838="","",IF(Q838=3,L838,IF(OR(M838="Not started",M838=""),J838,"")))</f>
        <v/>
      </c>
      <c r="U838" s="79">
        <f>IF(T838="","",IF(Q838=3,1,IF(T838="","",IF(T838&lt;AsOf,1,IF(T838&lt;=AsOf+AlertDays,2,IF(T838&lt;=AsOf+2*AlertDays,3,""))))))</f>
        <v/>
      </c>
      <c r="V838" s="79">
        <f>IF(U838="","",IF(Q838=3,"Late task: "&amp;D838,IF(T838&lt;AsOf,"Should have started: ","Starts soon: ")&amp;D838)&amp;IF(F838="",""," — "&amp;F838))</f>
        <v/>
      </c>
    </row>
    <row r="839" ht="20" customHeight="1">
      <c r="B839" s="125" t="n">
        <v>833</v>
      </c>
      <c r="C839" s="72" t="n"/>
      <c r="D839" s="72" t="n"/>
      <c r="E839" s="72" t="n"/>
      <c r="F839" s="72" t="n"/>
      <c r="G839" s="89" t="n"/>
      <c r="H839" s="89" t="n"/>
      <c r="I839" s="109" t="n"/>
      <c r="J839" s="126">
        <f>IF(OR(D839="",ProjStart=""),"",MAX(ProjStart,IF(I839&lt;&gt;"",I839,0),IF(H839="",0,IFERROR(INDEX($L$6:L838,MATCH(H839,$B$6:B838,0))+1,0))))</f>
        <v/>
      </c>
      <c r="K839" s="89" t="n"/>
      <c r="L839" s="126">
        <f>IF(J839="","",J839+MAX(1,G839)+IF(K839="",0,K839)-1)</f>
        <v/>
      </c>
      <c r="M839" s="72" t="n"/>
      <c r="N839" s="109" t="n"/>
      <c r="O839" s="127">
        <f>IF(D839="","",COUNTIF($H$7:$H$1006,B839))</f>
        <v/>
      </c>
      <c r="P839" s="78">
        <f>IF(D839="","",IF(AND(H839&lt;&gt;"",H839&gt;=B839),"⚠️ Predecessor must be above",IF(M839="Done","✓ Done",IF(Q839=3,"🔴 Late",IF(M839="In progress","In progress","")))))</f>
        <v/>
      </c>
      <c r="Q839" s="79">
        <f>IF(OR(D839="",L839=""),"",IF(M839="Done",2,IF(AsOf&gt;L839,3,1)))</f>
        <v/>
      </c>
      <c r="R839" s="79">
        <f>IF(OR(E839="",F839=""),0,IF(COUNTIFS($E$7:E839,E839,$F$7:F839,F839)=1,1,0))</f>
        <v/>
      </c>
      <c r="S839" s="79">
        <f>IF(R839=1,E839&amp;"|"&amp;SUMIFS($R$7:R839,$E$7:E839,E839),"")</f>
        <v/>
      </c>
      <c r="T839" s="112">
        <f>IF(Q839="","",IF(Q839=3,L839,IF(OR(M839="Not started",M839=""),J839,"")))</f>
        <v/>
      </c>
      <c r="U839" s="79">
        <f>IF(T839="","",IF(Q839=3,1,IF(T839="","",IF(T839&lt;AsOf,1,IF(T839&lt;=AsOf+AlertDays,2,IF(T839&lt;=AsOf+2*AlertDays,3,""))))))</f>
        <v/>
      </c>
      <c r="V839" s="79">
        <f>IF(U839="","",IF(Q839=3,"Late task: "&amp;D839,IF(T839&lt;AsOf,"Should have started: ","Starts soon: ")&amp;D839)&amp;IF(F839="",""," — "&amp;F839))</f>
        <v/>
      </c>
    </row>
    <row r="840" ht="20" customHeight="1">
      <c r="B840" s="125" t="n">
        <v>834</v>
      </c>
      <c r="C840" s="72" t="n"/>
      <c r="D840" s="72" t="n"/>
      <c r="E840" s="72" t="n"/>
      <c r="F840" s="72" t="n"/>
      <c r="G840" s="89" t="n"/>
      <c r="H840" s="89" t="n"/>
      <c r="I840" s="109" t="n"/>
      <c r="J840" s="126">
        <f>IF(OR(D840="",ProjStart=""),"",MAX(ProjStart,IF(I840&lt;&gt;"",I840,0),IF(H840="",0,IFERROR(INDEX($L$6:L839,MATCH(H840,$B$6:B839,0))+1,0))))</f>
        <v/>
      </c>
      <c r="K840" s="89" t="n"/>
      <c r="L840" s="126">
        <f>IF(J840="","",J840+MAX(1,G840)+IF(K840="",0,K840)-1)</f>
        <v/>
      </c>
      <c r="M840" s="72" t="n"/>
      <c r="N840" s="109" t="n"/>
      <c r="O840" s="127">
        <f>IF(D840="","",COUNTIF($H$7:$H$1006,B840))</f>
        <v/>
      </c>
      <c r="P840" s="78">
        <f>IF(D840="","",IF(AND(H840&lt;&gt;"",H840&gt;=B840),"⚠️ Predecessor must be above",IF(M840="Done","✓ Done",IF(Q840=3,"🔴 Late",IF(M840="In progress","In progress","")))))</f>
        <v/>
      </c>
      <c r="Q840" s="79">
        <f>IF(OR(D840="",L840=""),"",IF(M840="Done",2,IF(AsOf&gt;L840,3,1)))</f>
        <v/>
      </c>
      <c r="R840" s="79">
        <f>IF(OR(E840="",F840=""),0,IF(COUNTIFS($E$7:E840,E840,$F$7:F840,F840)=1,1,0))</f>
        <v/>
      </c>
      <c r="S840" s="79">
        <f>IF(R840=1,E840&amp;"|"&amp;SUMIFS($R$7:R840,$E$7:E840,E840),"")</f>
        <v/>
      </c>
      <c r="T840" s="112">
        <f>IF(Q840="","",IF(Q840=3,L840,IF(OR(M840="Not started",M840=""),J840,"")))</f>
        <v/>
      </c>
      <c r="U840" s="79">
        <f>IF(T840="","",IF(Q840=3,1,IF(T840="","",IF(T840&lt;AsOf,1,IF(T840&lt;=AsOf+AlertDays,2,IF(T840&lt;=AsOf+2*AlertDays,3,""))))))</f>
        <v/>
      </c>
      <c r="V840" s="79">
        <f>IF(U840="","",IF(Q840=3,"Late task: "&amp;D840,IF(T840&lt;AsOf,"Should have started: ","Starts soon: ")&amp;D840)&amp;IF(F840="",""," — "&amp;F840))</f>
        <v/>
      </c>
    </row>
    <row r="841" ht="20" customHeight="1">
      <c r="B841" s="125" t="n">
        <v>835</v>
      </c>
      <c r="C841" s="72" t="n"/>
      <c r="D841" s="72" t="n"/>
      <c r="E841" s="72" t="n"/>
      <c r="F841" s="72" t="n"/>
      <c r="G841" s="89" t="n"/>
      <c r="H841" s="89" t="n"/>
      <c r="I841" s="109" t="n"/>
      <c r="J841" s="126">
        <f>IF(OR(D841="",ProjStart=""),"",MAX(ProjStart,IF(I841&lt;&gt;"",I841,0),IF(H841="",0,IFERROR(INDEX($L$6:L840,MATCH(H841,$B$6:B840,0))+1,0))))</f>
        <v/>
      </c>
      <c r="K841" s="89" t="n"/>
      <c r="L841" s="126">
        <f>IF(J841="","",J841+MAX(1,G841)+IF(K841="",0,K841)-1)</f>
        <v/>
      </c>
      <c r="M841" s="72" t="n"/>
      <c r="N841" s="109" t="n"/>
      <c r="O841" s="127">
        <f>IF(D841="","",COUNTIF($H$7:$H$1006,B841))</f>
        <v/>
      </c>
      <c r="P841" s="78">
        <f>IF(D841="","",IF(AND(H841&lt;&gt;"",H841&gt;=B841),"⚠️ Predecessor must be above",IF(M841="Done","✓ Done",IF(Q841=3,"🔴 Late",IF(M841="In progress","In progress","")))))</f>
        <v/>
      </c>
      <c r="Q841" s="79">
        <f>IF(OR(D841="",L841=""),"",IF(M841="Done",2,IF(AsOf&gt;L841,3,1)))</f>
        <v/>
      </c>
      <c r="R841" s="79">
        <f>IF(OR(E841="",F841=""),0,IF(COUNTIFS($E$7:E841,E841,$F$7:F841,F841)=1,1,0))</f>
        <v/>
      </c>
      <c r="S841" s="79">
        <f>IF(R841=1,E841&amp;"|"&amp;SUMIFS($R$7:R841,$E$7:E841,E841),"")</f>
        <v/>
      </c>
      <c r="T841" s="112">
        <f>IF(Q841="","",IF(Q841=3,L841,IF(OR(M841="Not started",M841=""),J841,"")))</f>
        <v/>
      </c>
      <c r="U841" s="79">
        <f>IF(T841="","",IF(Q841=3,1,IF(T841="","",IF(T841&lt;AsOf,1,IF(T841&lt;=AsOf+AlertDays,2,IF(T841&lt;=AsOf+2*AlertDays,3,""))))))</f>
        <v/>
      </c>
      <c r="V841" s="79">
        <f>IF(U841="","",IF(Q841=3,"Late task: "&amp;D841,IF(T841&lt;AsOf,"Should have started: ","Starts soon: ")&amp;D841)&amp;IF(F841="",""," — "&amp;F841))</f>
        <v/>
      </c>
    </row>
    <row r="842" ht="20" customHeight="1">
      <c r="B842" s="125" t="n">
        <v>836</v>
      </c>
      <c r="C842" s="72" t="n"/>
      <c r="D842" s="72" t="n"/>
      <c r="E842" s="72" t="n"/>
      <c r="F842" s="72" t="n"/>
      <c r="G842" s="89" t="n"/>
      <c r="H842" s="89" t="n"/>
      <c r="I842" s="109" t="n"/>
      <c r="J842" s="126">
        <f>IF(OR(D842="",ProjStart=""),"",MAX(ProjStart,IF(I842&lt;&gt;"",I842,0),IF(H842="",0,IFERROR(INDEX($L$6:L841,MATCH(H842,$B$6:B841,0))+1,0))))</f>
        <v/>
      </c>
      <c r="K842" s="89" t="n"/>
      <c r="L842" s="126">
        <f>IF(J842="","",J842+MAX(1,G842)+IF(K842="",0,K842)-1)</f>
        <v/>
      </c>
      <c r="M842" s="72" t="n"/>
      <c r="N842" s="109" t="n"/>
      <c r="O842" s="127">
        <f>IF(D842="","",COUNTIF($H$7:$H$1006,B842))</f>
        <v/>
      </c>
      <c r="P842" s="78">
        <f>IF(D842="","",IF(AND(H842&lt;&gt;"",H842&gt;=B842),"⚠️ Predecessor must be above",IF(M842="Done","✓ Done",IF(Q842=3,"🔴 Late",IF(M842="In progress","In progress","")))))</f>
        <v/>
      </c>
      <c r="Q842" s="79">
        <f>IF(OR(D842="",L842=""),"",IF(M842="Done",2,IF(AsOf&gt;L842,3,1)))</f>
        <v/>
      </c>
      <c r="R842" s="79">
        <f>IF(OR(E842="",F842=""),0,IF(COUNTIFS($E$7:E842,E842,$F$7:F842,F842)=1,1,0))</f>
        <v/>
      </c>
      <c r="S842" s="79">
        <f>IF(R842=1,E842&amp;"|"&amp;SUMIFS($R$7:R842,$E$7:E842,E842),"")</f>
        <v/>
      </c>
      <c r="T842" s="112">
        <f>IF(Q842="","",IF(Q842=3,L842,IF(OR(M842="Not started",M842=""),J842,"")))</f>
        <v/>
      </c>
      <c r="U842" s="79">
        <f>IF(T842="","",IF(Q842=3,1,IF(T842="","",IF(T842&lt;AsOf,1,IF(T842&lt;=AsOf+AlertDays,2,IF(T842&lt;=AsOf+2*AlertDays,3,""))))))</f>
        <v/>
      </c>
      <c r="V842" s="79">
        <f>IF(U842="","",IF(Q842=3,"Late task: "&amp;D842,IF(T842&lt;AsOf,"Should have started: ","Starts soon: ")&amp;D842)&amp;IF(F842="",""," — "&amp;F842))</f>
        <v/>
      </c>
    </row>
    <row r="843" ht="20" customHeight="1">
      <c r="B843" s="125" t="n">
        <v>837</v>
      </c>
      <c r="C843" s="72" t="n"/>
      <c r="D843" s="72" t="n"/>
      <c r="E843" s="72" t="n"/>
      <c r="F843" s="72" t="n"/>
      <c r="G843" s="89" t="n"/>
      <c r="H843" s="89" t="n"/>
      <c r="I843" s="109" t="n"/>
      <c r="J843" s="126">
        <f>IF(OR(D843="",ProjStart=""),"",MAX(ProjStart,IF(I843&lt;&gt;"",I843,0),IF(H843="",0,IFERROR(INDEX($L$6:L842,MATCH(H843,$B$6:B842,0))+1,0))))</f>
        <v/>
      </c>
      <c r="K843" s="89" t="n"/>
      <c r="L843" s="126">
        <f>IF(J843="","",J843+MAX(1,G843)+IF(K843="",0,K843)-1)</f>
        <v/>
      </c>
      <c r="M843" s="72" t="n"/>
      <c r="N843" s="109" t="n"/>
      <c r="O843" s="127">
        <f>IF(D843="","",COUNTIF($H$7:$H$1006,B843))</f>
        <v/>
      </c>
      <c r="P843" s="78">
        <f>IF(D843="","",IF(AND(H843&lt;&gt;"",H843&gt;=B843),"⚠️ Predecessor must be above",IF(M843="Done","✓ Done",IF(Q843=3,"🔴 Late",IF(M843="In progress","In progress","")))))</f>
        <v/>
      </c>
      <c r="Q843" s="79">
        <f>IF(OR(D843="",L843=""),"",IF(M843="Done",2,IF(AsOf&gt;L843,3,1)))</f>
        <v/>
      </c>
      <c r="R843" s="79">
        <f>IF(OR(E843="",F843=""),0,IF(COUNTIFS($E$7:E843,E843,$F$7:F843,F843)=1,1,0))</f>
        <v/>
      </c>
      <c r="S843" s="79">
        <f>IF(R843=1,E843&amp;"|"&amp;SUMIFS($R$7:R843,$E$7:E843,E843),"")</f>
        <v/>
      </c>
      <c r="T843" s="112">
        <f>IF(Q843="","",IF(Q843=3,L843,IF(OR(M843="Not started",M843=""),J843,"")))</f>
        <v/>
      </c>
      <c r="U843" s="79">
        <f>IF(T843="","",IF(Q843=3,1,IF(T843="","",IF(T843&lt;AsOf,1,IF(T843&lt;=AsOf+AlertDays,2,IF(T843&lt;=AsOf+2*AlertDays,3,""))))))</f>
        <v/>
      </c>
      <c r="V843" s="79">
        <f>IF(U843="","",IF(Q843=3,"Late task: "&amp;D843,IF(T843&lt;AsOf,"Should have started: ","Starts soon: ")&amp;D843)&amp;IF(F843="",""," — "&amp;F843))</f>
        <v/>
      </c>
    </row>
    <row r="844" ht="20" customHeight="1">
      <c r="B844" s="125" t="n">
        <v>838</v>
      </c>
      <c r="C844" s="72" t="n"/>
      <c r="D844" s="72" t="n"/>
      <c r="E844" s="72" t="n"/>
      <c r="F844" s="72" t="n"/>
      <c r="G844" s="89" t="n"/>
      <c r="H844" s="89" t="n"/>
      <c r="I844" s="109" t="n"/>
      <c r="J844" s="126">
        <f>IF(OR(D844="",ProjStart=""),"",MAX(ProjStart,IF(I844&lt;&gt;"",I844,0),IF(H844="",0,IFERROR(INDEX($L$6:L843,MATCH(H844,$B$6:B843,0))+1,0))))</f>
        <v/>
      </c>
      <c r="K844" s="89" t="n"/>
      <c r="L844" s="126">
        <f>IF(J844="","",J844+MAX(1,G844)+IF(K844="",0,K844)-1)</f>
        <v/>
      </c>
      <c r="M844" s="72" t="n"/>
      <c r="N844" s="109" t="n"/>
      <c r="O844" s="127">
        <f>IF(D844="","",COUNTIF($H$7:$H$1006,B844))</f>
        <v/>
      </c>
      <c r="P844" s="78">
        <f>IF(D844="","",IF(AND(H844&lt;&gt;"",H844&gt;=B844),"⚠️ Predecessor must be above",IF(M844="Done","✓ Done",IF(Q844=3,"🔴 Late",IF(M844="In progress","In progress","")))))</f>
        <v/>
      </c>
      <c r="Q844" s="79">
        <f>IF(OR(D844="",L844=""),"",IF(M844="Done",2,IF(AsOf&gt;L844,3,1)))</f>
        <v/>
      </c>
      <c r="R844" s="79">
        <f>IF(OR(E844="",F844=""),0,IF(COUNTIFS($E$7:E844,E844,$F$7:F844,F844)=1,1,0))</f>
        <v/>
      </c>
      <c r="S844" s="79">
        <f>IF(R844=1,E844&amp;"|"&amp;SUMIFS($R$7:R844,$E$7:E844,E844),"")</f>
        <v/>
      </c>
      <c r="T844" s="112">
        <f>IF(Q844="","",IF(Q844=3,L844,IF(OR(M844="Not started",M844=""),J844,"")))</f>
        <v/>
      </c>
      <c r="U844" s="79">
        <f>IF(T844="","",IF(Q844=3,1,IF(T844="","",IF(T844&lt;AsOf,1,IF(T844&lt;=AsOf+AlertDays,2,IF(T844&lt;=AsOf+2*AlertDays,3,""))))))</f>
        <v/>
      </c>
      <c r="V844" s="79">
        <f>IF(U844="","",IF(Q844=3,"Late task: "&amp;D844,IF(T844&lt;AsOf,"Should have started: ","Starts soon: ")&amp;D844)&amp;IF(F844="",""," — "&amp;F844))</f>
        <v/>
      </c>
    </row>
    <row r="845" ht="20" customHeight="1">
      <c r="B845" s="125" t="n">
        <v>839</v>
      </c>
      <c r="C845" s="72" t="n"/>
      <c r="D845" s="72" t="n"/>
      <c r="E845" s="72" t="n"/>
      <c r="F845" s="72" t="n"/>
      <c r="G845" s="89" t="n"/>
      <c r="H845" s="89" t="n"/>
      <c r="I845" s="109" t="n"/>
      <c r="J845" s="126">
        <f>IF(OR(D845="",ProjStart=""),"",MAX(ProjStart,IF(I845&lt;&gt;"",I845,0),IF(H845="",0,IFERROR(INDEX($L$6:L844,MATCH(H845,$B$6:B844,0))+1,0))))</f>
        <v/>
      </c>
      <c r="K845" s="89" t="n"/>
      <c r="L845" s="126">
        <f>IF(J845="","",J845+MAX(1,G845)+IF(K845="",0,K845)-1)</f>
        <v/>
      </c>
      <c r="M845" s="72" t="n"/>
      <c r="N845" s="109" t="n"/>
      <c r="O845" s="127">
        <f>IF(D845="","",COUNTIF($H$7:$H$1006,B845))</f>
        <v/>
      </c>
      <c r="P845" s="78">
        <f>IF(D845="","",IF(AND(H845&lt;&gt;"",H845&gt;=B845),"⚠️ Predecessor must be above",IF(M845="Done","✓ Done",IF(Q845=3,"🔴 Late",IF(M845="In progress","In progress","")))))</f>
        <v/>
      </c>
      <c r="Q845" s="79">
        <f>IF(OR(D845="",L845=""),"",IF(M845="Done",2,IF(AsOf&gt;L845,3,1)))</f>
        <v/>
      </c>
      <c r="R845" s="79">
        <f>IF(OR(E845="",F845=""),0,IF(COUNTIFS($E$7:E845,E845,$F$7:F845,F845)=1,1,0))</f>
        <v/>
      </c>
      <c r="S845" s="79">
        <f>IF(R845=1,E845&amp;"|"&amp;SUMIFS($R$7:R845,$E$7:E845,E845),"")</f>
        <v/>
      </c>
      <c r="T845" s="112">
        <f>IF(Q845="","",IF(Q845=3,L845,IF(OR(M845="Not started",M845=""),J845,"")))</f>
        <v/>
      </c>
      <c r="U845" s="79">
        <f>IF(T845="","",IF(Q845=3,1,IF(T845="","",IF(T845&lt;AsOf,1,IF(T845&lt;=AsOf+AlertDays,2,IF(T845&lt;=AsOf+2*AlertDays,3,""))))))</f>
        <v/>
      </c>
      <c r="V845" s="79">
        <f>IF(U845="","",IF(Q845=3,"Late task: "&amp;D845,IF(T845&lt;AsOf,"Should have started: ","Starts soon: ")&amp;D845)&amp;IF(F845="",""," — "&amp;F845))</f>
        <v/>
      </c>
    </row>
    <row r="846" ht="20" customHeight="1">
      <c r="B846" s="125" t="n">
        <v>840</v>
      </c>
      <c r="C846" s="72" t="n"/>
      <c r="D846" s="72" t="n"/>
      <c r="E846" s="72" t="n"/>
      <c r="F846" s="72" t="n"/>
      <c r="G846" s="89" t="n"/>
      <c r="H846" s="89" t="n"/>
      <c r="I846" s="109" t="n"/>
      <c r="J846" s="126">
        <f>IF(OR(D846="",ProjStart=""),"",MAX(ProjStart,IF(I846&lt;&gt;"",I846,0),IF(H846="",0,IFERROR(INDEX($L$6:L845,MATCH(H846,$B$6:B845,0))+1,0))))</f>
        <v/>
      </c>
      <c r="K846" s="89" t="n"/>
      <c r="L846" s="126">
        <f>IF(J846="","",J846+MAX(1,G846)+IF(K846="",0,K846)-1)</f>
        <v/>
      </c>
      <c r="M846" s="72" t="n"/>
      <c r="N846" s="109" t="n"/>
      <c r="O846" s="127">
        <f>IF(D846="","",COUNTIF($H$7:$H$1006,B846))</f>
        <v/>
      </c>
      <c r="P846" s="78">
        <f>IF(D846="","",IF(AND(H846&lt;&gt;"",H846&gt;=B846),"⚠️ Predecessor must be above",IF(M846="Done","✓ Done",IF(Q846=3,"🔴 Late",IF(M846="In progress","In progress","")))))</f>
        <v/>
      </c>
      <c r="Q846" s="79">
        <f>IF(OR(D846="",L846=""),"",IF(M846="Done",2,IF(AsOf&gt;L846,3,1)))</f>
        <v/>
      </c>
      <c r="R846" s="79">
        <f>IF(OR(E846="",F846=""),0,IF(COUNTIFS($E$7:E846,E846,$F$7:F846,F846)=1,1,0))</f>
        <v/>
      </c>
      <c r="S846" s="79">
        <f>IF(R846=1,E846&amp;"|"&amp;SUMIFS($R$7:R846,$E$7:E846,E846),"")</f>
        <v/>
      </c>
      <c r="T846" s="112">
        <f>IF(Q846="","",IF(Q846=3,L846,IF(OR(M846="Not started",M846=""),J846,"")))</f>
        <v/>
      </c>
      <c r="U846" s="79">
        <f>IF(T846="","",IF(Q846=3,1,IF(T846="","",IF(T846&lt;AsOf,1,IF(T846&lt;=AsOf+AlertDays,2,IF(T846&lt;=AsOf+2*AlertDays,3,""))))))</f>
        <v/>
      </c>
      <c r="V846" s="79">
        <f>IF(U846="","",IF(Q846=3,"Late task: "&amp;D846,IF(T846&lt;AsOf,"Should have started: ","Starts soon: ")&amp;D846)&amp;IF(F846="",""," — "&amp;F846))</f>
        <v/>
      </c>
    </row>
    <row r="847" ht="20" customHeight="1">
      <c r="B847" s="125" t="n">
        <v>841</v>
      </c>
      <c r="C847" s="72" t="n"/>
      <c r="D847" s="72" t="n"/>
      <c r="E847" s="72" t="n"/>
      <c r="F847" s="72" t="n"/>
      <c r="G847" s="89" t="n"/>
      <c r="H847" s="89" t="n"/>
      <c r="I847" s="109" t="n"/>
      <c r="J847" s="126">
        <f>IF(OR(D847="",ProjStart=""),"",MAX(ProjStart,IF(I847&lt;&gt;"",I847,0),IF(H847="",0,IFERROR(INDEX($L$6:L846,MATCH(H847,$B$6:B846,0))+1,0))))</f>
        <v/>
      </c>
      <c r="K847" s="89" t="n"/>
      <c r="L847" s="126">
        <f>IF(J847="","",J847+MAX(1,G847)+IF(K847="",0,K847)-1)</f>
        <v/>
      </c>
      <c r="M847" s="72" t="n"/>
      <c r="N847" s="109" t="n"/>
      <c r="O847" s="127">
        <f>IF(D847="","",COUNTIF($H$7:$H$1006,B847))</f>
        <v/>
      </c>
      <c r="P847" s="78">
        <f>IF(D847="","",IF(AND(H847&lt;&gt;"",H847&gt;=B847),"⚠️ Predecessor must be above",IF(M847="Done","✓ Done",IF(Q847=3,"🔴 Late",IF(M847="In progress","In progress","")))))</f>
        <v/>
      </c>
      <c r="Q847" s="79">
        <f>IF(OR(D847="",L847=""),"",IF(M847="Done",2,IF(AsOf&gt;L847,3,1)))</f>
        <v/>
      </c>
      <c r="R847" s="79">
        <f>IF(OR(E847="",F847=""),0,IF(COUNTIFS($E$7:E847,E847,$F$7:F847,F847)=1,1,0))</f>
        <v/>
      </c>
      <c r="S847" s="79">
        <f>IF(R847=1,E847&amp;"|"&amp;SUMIFS($R$7:R847,$E$7:E847,E847),"")</f>
        <v/>
      </c>
      <c r="T847" s="112">
        <f>IF(Q847="","",IF(Q847=3,L847,IF(OR(M847="Not started",M847=""),J847,"")))</f>
        <v/>
      </c>
      <c r="U847" s="79">
        <f>IF(T847="","",IF(Q847=3,1,IF(T847="","",IF(T847&lt;AsOf,1,IF(T847&lt;=AsOf+AlertDays,2,IF(T847&lt;=AsOf+2*AlertDays,3,""))))))</f>
        <v/>
      </c>
      <c r="V847" s="79">
        <f>IF(U847="","",IF(Q847=3,"Late task: "&amp;D847,IF(T847&lt;AsOf,"Should have started: ","Starts soon: ")&amp;D847)&amp;IF(F847="",""," — "&amp;F847))</f>
        <v/>
      </c>
    </row>
    <row r="848" ht="20" customHeight="1">
      <c r="B848" s="125" t="n">
        <v>842</v>
      </c>
      <c r="C848" s="72" t="n"/>
      <c r="D848" s="72" t="n"/>
      <c r="E848" s="72" t="n"/>
      <c r="F848" s="72" t="n"/>
      <c r="G848" s="89" t="n"/>
      <c r="H848" s="89" t="n"/>
      <c r="I848" s="109" t="n"/>
      <c r="J848" s="126">
        <f>IF(OR(D848="",ProjStart=""),"",MAX(ProjStart,IF(I848&lt;&gt;"",I848,0),IF(H848="",0,IFERROR(INDEX($L$6:L847,MATCH(H848,$B$6:B847,0))+1,0))))</f>
        <v/>
      </c>
      <c r="K848" s="89" t="n"/>
      <c r="L848" s="126">
        <f>IF(J848="","",J848+MAX(1,G848)+IF(K848="",0,K848)-1)</f>
        <v/>
      </c>
      <c r="M848" s="72" t="n"/>
      <c r="N848" s="109" t="n"/>
      <c r="O848" s="127">
        <f>IF(D848="","",COUNTIF($H$7:$H$1006,B848))</f>
        <v/>
      </c>
      <c r="P848" s="78">
        <f>IF(D848="","",IF(AND(H848&lt;&gt;"",H848&gt;=B848),"⚠️ Predecessor must be above",IF(M848="Done","✓ Done",IF(Q848=3,"🔴 Late",IF(M848="In progress","In progress","")))))</f>
        <v/>
      </c>
      <c r="Q848" s="79">
        <f>IF(OR(D848="",L848=""),"",IF(M848="Done",2,IF(AsOf&gt;L848,3,1)))</f>
        <v/>
      </c>
      <c r="R848" s="79">
        <f>IF(OR(E848="",F848=""),0,IF(COUNTIFS($E$7:E848,E848,$F$7:F848,F848)=1,1,0))</f>
        <v/>
      </c>
      <c r="S848" s="79">
        <f>IF(R848=1,E848&amp;"|"&amp;SUMIFS($R$7:R848,$E$7:E848,E848),"")</f>
        <v/>
      </c>
      <c r="T848" s="112">
        <f>IF(Q848="","",IF(Q848=3,L848,IF(OR(M848="Not started",M848=""),J848,"")))</f>
        <v/>
      </c>
      <c r="U848" s="79">
        <f>IF(T848="","",IF(Q848=3,1,IF(T848="","",IF(T848&lt;AsOf,1,IF(T848&lt;=AsOf+AlertDays,2,IF(T848&lt;=AsOf+2*AlertDays,3,""))))))</f>
        <v/>
      </c>
      <c r="V848" s="79">
        <f>IF(U848="","",IF(Q848=3,"Late task: "&amp;D848,IF(T848&lt;AsOf,"Should have started: ","Starts soon: ")&amp;D848)&amp;IF(F848="",""," — "&amp;F848))</f>
        <v/>
      </c>
    </row>
    <row r="849" ht="20" customHeight="1">
      <c r="B849" s="125" t="n">
        <v>843</v>
      </c>
      <c r="C849" s="72" t="n"/>
      <c r="D849" s="72" t="n"/>
      <c r="E849" s="72" t="n"/>
      <c r="F849" s="72" t="n"/>
      <c r="G849" s="89" t="n"/>
      <c r="H849" s="89" t="n"/>
      <c r="I849" s="109" t="n"/>
      <c r="J849" s="126">
        <f>IF(OR(D849="",ProjStart=""),"",MAX(ProjStart,IF(I849&lt;&gt;"",I849,0),IF(H849="",0,IFERROR(INDEX($L$6:L848,MATCH(H849,$B$6:B848,0))+1,0))))</f>
        <v/>
      </c>
      <c r="K849" s="89" t="n"/>
      <c r="L849" s="126">
        <f>IF(J849="","",J849+MAX(1,G849)+IF(K849="",0,K849)-1)</f>
        <v/>
      </c>
      <c r="M849" s="72" t="n"/>
      <c r="N849" s="109" t="n"/>
      <c r="O849" s="127">
        <f>IF(D849="","",COUNTIF($H$7:$H$1006,B849))</f>
        <v/>
      </c>
      <c r="P849" s="78">
        <f>IF(D849="","",IF(AND(H849&lt;&gt;"",H849&gt;=B849),"⚠️ Predecessor must be above",IF(M849="Done","✓ Done",IF(Q849=3,"🔴 Late",IF(M849="In progress","In progress","")))))</f>
        <v/>
      </c>
      <c r="Q849" s="79">
        <f>IF(OR(D849="",L849=""),"",IF(M849="Done",2,IF(AsOf&gt;L849,3,1)))</f>
        <v/>
      </c>
      <c r="R849" s="79">
        <f>IF(OR(E849="",F849=""),0,IF(COUNTIFS($E$7:E849,E849,$F$7:F849,F849)=1,1,0))</f>
        <v/>
      </c>
      <c r="S849" s="79">
        <f>IF(R849=1,E849&amp;"|"&amp;SUMIFS($R$7:R849,$E$7:E849,E849),"")</f>
        <v/>
      </c>
      <c r="T849" s="112">
        <f>IF(Q849="","",IF(Q849=3,L849,IF(OR(M849="Not started",M849=""),J849,"")))</f>
        <v/>
      </c>
      <c r="U849" s="79">
        <f>IF(T849="","",IF(Q849=3,1,IF(T849="","",IF(T849&lt;AsOf,1,IF(T849&lt;=AsOf+AlertDays,2,IF(T849&lt;=AsOf+2*AlertDays,3,""))))))</f>
        <v/>
      </c>
      <c r="V849" s="79">
        <f>IF(U849="","",IF(Q849=3,"Late task: "&amp;D849,IF(T849&lt;AsOf,"Should have started: ","Starts soon: ")&amp;D849)&amp;IF(F849="",""," — "&amp;F849))</f>
        <v/>
      </c>
    </row>
    <row r="850" ht="20" customHeight="1">
      <c r="B850" s="125" t="n">
        <v>844</v>
      </c>
      <c r="C850" s="72" t="n"/>
      <c r="D850" s="72" t="n"/>
      <c r="E850" s="72" t="n"/>
      <c r="F850" s="72" t="n"/>
      <c r="G850" s="89" t="n"/>
      <c r="H850" s="89" t="n"/>
      <c r="I850" s="109" t="n"/>
      <c r="J850" s="126">
        <f>IF(OR(D850="",ProjStart=""),"",MAX(ProjStart,IF(I850&lt;&gt;"",I850,0),IF(H850="",0,IFERROR(INDEX($L$6:L849,MATCH(H850,$B$6:B849,0))+1,0))))</f>
        <v/>
      </c>
      <c r="K850" s="89" t="n"/>
      <c r="L850" s="126">
        <f>IF(J850="","",J850+MAX(1,G850)+IF(K850="",0,K850)-1)</f>
        <v/>
      </c>
      <c r="M850" s="72" t="n"/>
      <c r="N850" s="109" t="n"/>
      <c r="O850" s="127">
        <f>IF(D850="","",COUNTIF($H$7:$H$1006,B850))</f>
        <v/>
      </c>
      <c r="P850" s="78">
        <f>IF(D850="","",IF(AND(H850&lt;&gt;"",H850&gt;=B850),"⚠️ Predecessor must be above",IF(M850="Done","✓ Done",IF(Q850=3,"🔴 Late",IF(M850="In progress","In progress","")))))</f>
        <v/>
      </c>
      <c r="Q850" s="79">
        <f>IF(OR(D850="",L850=""),"",IF(M850="Done",2,IF(AsOf&gt;L850,3,1)))</f>
        <v/>
      </c>
      <c r="R850" s="79">
        <f>IF(OR(E850="",F850=""),0,IF(COUNTIFS($E$7:E850,E850,$F$7:F850,F850)=1,1,0))</f>
        <v/>
      </c>
      <c r="S850" s="79">
        <f>IF(R850=1,E850&amp;"|"&amp;SUMIFS($R$7:R850,$E$7:E850,E850),"")</f>
        <v/>
      </c>
      <c r="T850" s="112">
        <f>IF(Q850="","",IF(Q850=3,L850,IF(OR(M850="Not started",M850=""),J850,"")))</f>
        <v/>
      </c>
      <c r="U850" s="79">
        <f>IF(T850="","",IF(Q850=3,1,IF(T850="","",IF(T850&lt;AsOf,1,IF(T850&lt;=AsOf+AlertDays,2,IF(T850&lt;=AsOf+2*AlertDays,3,""))))))</f>
        <v/>
      </c>
      <c r="V850" s="79">
        <f>IF(U850="","",IF(Q850=3,"Late task: "&amp;D850,IF(T850&lt;AsOf,"Should have started: ","Starts soon: ")&amp;D850)&amp;IF(F850="",""," — "&amp;F850))</f>
        <v/>
      </c>
    </row>
    <row r="851" ht="20" customHeight="1">
      <c r="B851" s="125" t="n">
        <v>845</v>
      </c>
      <c r="C851" s="72" t="n"/>
      <c r="D851" s="72" t="n"/>
      <c r="E851" s="72" t="n"/>
      <c r="F851" s="72" t="n"/>
      <c r="G851" s="89" t="n"/>
      <c r="H851" s="89" t="n"/>
      <c r="I851" s="109" t="n"/>
      <c r="J851" s="126">
        <f>IF(OR(D851="",ProjStart=""),"",MAX(ProjStart,IF(I851&lt;&gt;"",I851,0),IF(H851="",0,IFERROR(INDEX($L$6:L850,MATCH(H851,$B$6:B850,0))+1,0))))</f>
        <v/>
      </c>
      <c r="K851" s="89" t="n"/>
      <c r="L851" s="126">
        <f>IF(J851="","",J851+MAX(1,G851)+IF(K851="",0,K851)-1)</f>
        <v/>
      </c>
      <c r="M851" s="72" t="n"/>
      <c r="N851" s="109" t="n"/>
      <c r="O851" s="127">
        <f>IF(D851="","",COUNTIF($H$7:$H$1006,B851))</f>
        <v/>
      </c>
      <c r="P851" s="78">
        <f>IF(D851="","",IF(AND(H851&lt;&gt;"",H851&gt;=B851),"⚠️ Predecessor must be above",IF(M851="Done","✓ Done",IF(Q851=3,"🔴 Late",IF(M851="In progress","In progress","")))))</f>
        <v/>
      </c>
      <c r="Q851" s="79">
        <f>IF(OR(D851="",L851=""),"",IF(M851="Done",2,IF(AsOf&gt;L851,3,1)))</f>
        <v/>
      </c>
      <c r="R851" s="79">
        <f>IF(OR(E851="",F851=""),0,IF(COUNTIFS($E$7:E851,E851,$F$7:F851,F851)=1,1,0))</f>
        <v/>
      </c>
      <c r="S851" s="79">
        <f>IF(R851=1,E851&amp;"|"&amp;SUMIFS($R$7:R851,$E$7:E851,E851),"")</f>
        <v/>
      </c>
      <c r="T851" s="112">
        <f>IF(Q851="","",IF(Q851=3,L851,IF(OR(M851="Not started",M851=""),J851,"")))</f>
        <v/>
      </c>
      <c r="U851" s="79">
        <f>IF(T851="","",IF(Q851=3,1,IF(T851="","",IF(T851&lt;AsOf,1,IF(T851&lt;=AsOf+AlertDays,2,IF(T851&lt;=AsOf+2*AlertDays,3,""))))))</f>
        <v/>
      </c>
      <c r="V851" s="79">
        <f>IF(U851="","",IF(Q851=3,"Late task: "&amp;D851,IF(T851&lt;AsOf,"Should have started: ","Starts soon: ")&amp;D851)&amp;IF(F851="",""," — "&amp;F851))</f>
        <v/>
      </c>
    </row>
    <row r="852" ht="20" customHeight="1">
      <c r="B852" s="125" t="n">
        <v>846</v>
      </c>
      <c r="C852" s="72" t="n"/>
      <c r="D852" s="72" t="n"/>
      <c r="E852" s="72" t="n"/>
      <c r="F852" s="72" t="n"/>
      <c r="G852" s="89" t="n"/>
      <c r="H852" s="89" t="n"/>
      <c r="I852" s="109" t="n"/>
      <c r="J852" s="126">
        <f>IF(OR(D852="",ProjStart=""),"",MAX(ProjStart,IF(I852&lt;&gt;"",I852,0),IF(H852="",0,IFERROR(INDEX($L$6:L851,MATCH(H852,$B$6:B851,0))+1,0))))</f>
        <v/>
      </c>
      <c r="K852" s="89" t="n"/>
      <c r="L852" s="126">
        <f>IF(J852="","",J852+MAX(1,G852)+IF(K852="",0,K852)-1)</f>
        <v/>
      </c>
      <c r="M852" s="72" t="n"/>
      <c r="N852" s="109" t="n"/>
      <c r="O852" s="127">
        <f>IF(D852="","",COUNTIF($H$7:$H$1006,B852))</f>
        <v/>
      </c>
      <c r="P852" s="78">
        <f>IF(D852="","",IF(AND(H852&lt;&gt;"",H852&gt;=B852),"⚠️ Predecessor must be above",IF(M852="Done","✓ Done",IF(Q852=3,"🔴 Late",IF(M852="In progress","In progress","")))))</f>
        <v/>
      </c>
      <c r="Q852" s="79">
        <f>IF(OR(D852="",L852=""),"",IF(M852="Done",2,IF(AsOf&gt;L852,3,1)))</f>
        <v/>
      </c>
      <c r="R852" s="79">
        <f>IF(OR(E852="",F852=""),0,IF(COUNTIFS($E$7:E852,E852,$F$7:F852,F852)=1,1,0))</f>
        <v/>
      </c>
      <c r="S852" s="79">
        <f>IF(R852=1,E852&amp;"|"&amp;SUMIFS($R$7:R852,$E$7:E852,E852),"")</f>
        <v/>
      </c>
      <c r="T852" s="112">
        <f>IF(Q852="","",IF(Q852=3,L852,IF(OR(M852="Not started",M852=""),J852,"")))</f>
        <v/>
      </c>
      <c r="U852" s="79">
        <f>IF(T852="","",IF(Q852=3,1,IF(T852="","",IF(T852&lt;AsOf,1,IF(T852&lt;=AsOf+AlertDays,2,IF(T852&lt;=AsOf+2*AlertDays,3,""))))))</f>
        <v/>
      </c>
      <c r="V852" s="79">
        <f>IF(U852="","",IF(Q852=3,"Late task: "&amp;D852,IF(T852&lt;AsOf,"Should have started: ","Starts soon: ")&amp;D852)&amp;IF(F852="",""," — "&amp;F852))</f>
        <v/>
      </c>
    </row>
    <row r="853" ht="20" customHeight="1">
      <c r="B853" s="125" t="n">
        <v>847</v>
      </c>
      <c r="C853" s="72" t="n"/>
      <c r="D853" s="72" t="n"/>
      <c r="E853" s="72" t="n"/>
      <c r="F853" s="72" t="n"/>
      <c r="G853" s="89" t="n"/>
      <c r="H853" s="89" t="n"/>
      <c r="I853" s="109" t="n"/>
      <c r="J853" s="126">
        <f>IF(OR(D853="",ProjStart=""),"",MAX(ProjStart,IF(I853&lt;&gt;"",I853,0),IF(H853="",0,IFERROR(INDEX($L$6:L852,MATCH(H853,$B$6:B852,0))+1,0))))</f>
        <v/>
      </c>
      <c r="K853" s="89" t="n"/>
      <c r="L853" s="126">
        <f>IF(J853="","",J853+MAX(1,G853)+IF(K853="",0,K853)-1)</f>
        <v/>
      </c>
      <c r="M853" s="72" t="n"/>
      <c r="N853" s="109" t="n"/>
      <c r="O853" s="127">
        <f>IF(D853="","",COUNTIF($H$7:$H$1006,B853))</f>
        <v/>
      </c>
      <c r="P853" s="78">
        <f>IF(D853="","",IF(AND(H853&lt;&gt;"",H853&gt;=B853),"⚠️ Predecessor must be above",IF(M853="Done","✓ Done",IF(Q853=3,"🔴 Late",IF(M853="In progress","In progress","")))))</f>
        <v/>
      </c>
      <c r="Q853" s="79">
        <f>IF(OR(D853="",L853=""),"",IF(M853="Done",2,IF(AsOf&gt;L853,3,1)))</f>
        <v/>
      </c>
      <c r="R853" s="79">
        <f>IF(OR(E853="",F853=""),0,IF(COUNTIFS($E$7:E853,E853,$F$7:F853,F853)=1,1,0))</f>
        <v/>
      </c>
      <c r="S853" s="79">
        <f>IF(R853=1,E853&amp;"|"&amp;SUMIFS($R$7:R853,$E$7:E853,E853),"")</f>
        <v/>
      </c>
      <c r="T853" s="112">
        <f>IF(Q853="","",IF(Q853=3,L853,IF(OR(M853="Not started",M853=""),J853,"")))</f>
        <v/>
      </c>
      <c r="U853" s="79">
        <f>IF(T853="","",IF(Q853=3,1,IF(T853="","",IF(T853&lt;AsOf,1,IF(T853&lt;=AsOf+AlertDays,2,IF(T853&lt;=AsOf+2*AlertDays,3,""))))))</f>
        <v/>
      </c>
      <c r="V853" s="79">
        <f>IF(U853="","",IF(Q853=3,"Late task: "&amp;D853,IF(T853&lt;AsOf,"Should have started: ","Starts soon: ")&amp;D853)&amp;IF(F853="",""," — "&amp;F853))</f>
        <v/>
      </c>
    </row>
    <row r="854" ht="20" customHeight="1">
      <c r="B854" s="125" t="n">
        <v>848</v>
      </c>
      <c r="C854" s="72" t="n"/>
      <c r="D854" s="72" t="n"/>
      <c r="E854" s="72" t="n"/>
      <c r="F854" s="72" t="n"/>
      <c r="G854" s="89" t="n"/>
      <c r="H854" s="89" t="n"/>
      <c r="I854" s="109" t="n"/>
      <c r="J854" s="126">
        <f>IF(OR(D854="",ProjStart=""),"",MAX(ProjStart,IF(I854&lt;&gt;"",I854,0),IF(H854="",0,IFERROR(INDEX($L$6:L853,MATCH(H854,$B$6:B853,0))+1,0))))</f>
        <v/>
      </c>
      <c r="K854" s="89" t="n"/>
      <c r="L854" s="126">
        <f>IF(J854="","",J854+MAX(1,G854)+IF(K854="",0,K854)-1)</f>
        <v/>
      </c>
      <c r="M854" s="72" t="n"/>
      <c r="N854" s="109" t="n"/>
      <c r="O854" s="127">
        <f>IF(D854="","",COUNTIF($H$7:$H$1006,B854))</f>
        <v/>
      </c>
      <c r="P854" s="78">
        <f>IF(D854="","",IF(AND(H854&lt;&gt;"",H854&gt;=B854),"⚠️ Predecessor must be above",IF(M854="Done","✓ Done",IF(Q854=3,"🔴 Late",IF(M854="In progress","In progress","")))))</f>
        <v/>
      </c>
      <c r="Q854" s="79">
        <f>IF(OR(D854="",L854=""),"",IF(M854="Done",2,IF(AsOf&gt;L854,3,1)))</f>
        <v/>
      </c>
      <c r="R854" s="79">
        <f>IF(OR(E854="",F854=""),0,IF(COUNTIFS($E$7:E854,E854,$F$7:F854,F854)=1,1,0))</f>
        <v/>
      </c>
      <c r="S854" s="79">
        <f>IF(R854=1,E854&amp;"|"&amp;SUMIFS($R$7:R854,$E$7:E854,E854),"")</f>
        <v/>
      </c>
      <c r="T854" s="112">
        <f>IF(Q854="","",IF(Q854=3,L854,IF(OR(M854="Not started",M854=""),J854,"")))</f>
        <v/>
      </c>
      <c r="U854" s="79">
        <f>IF(T854="","",IF(Q854=3,1,IF(T854="","",IF(T854&lt;AsOf,1,IF(T854&lt;=AsOf+AlertDays,2,IF(T854&lt;=AsOf+2*AlertDays,3,""))))))</f>
        <v/>
      </c>
      <c r="V854" s="79">
        <f>IF(U854="","",IF(Q854=3,"Late task: "&amp;D854,IF(T854&lt;AsOf,"Should have started: ","Starts soon: ")&amp;D854)&amp;IF(F854="",""," — "&amp;F854))</f>
        <v/>
      </c>
    </row>
    <row r="855" ht="20" customHeight="1">
      <c r="B855" s="125" t="n">
        <v>849</v>
      </c>
      <c r="C855" s="72" t="n"/>
      <c r="D855" s="72" t="n"/>
      <c r="E855" s="72" t="n"/>
      <c r="F855" s="72" t="n"/>
      <c r="G855" s="89" t="n"/>
      <c r="H855" s="89" t="n"/>
      <c r="I855" s="109" t="n"/>
      <c r="J855" s="126">
        <f>IF(OR(D855="",ProjStart=""),"",MAX(ProjStart,IF(I855&lt;&gt;"",I855,0),IF(H855="",0,IFERROR(INDEX($L$6:L854,MATCH(H855,$B$6:B854,0))+1,0))))</f>
        <v/>
      </c>
      <c r="K855" s="89" t="n"/>
      <c r="L855" s="126">
        <f>IF(J855="","",J855+MAX(1,G855)+IF(K855="",0,K855)-1)</f>
        <v/>
      </c>
      <c r="M855" s="72" t="n"/>
      <c r="N855" s="109" t="n"/>
      <c r="O855" s="127">
        <f>IF(D855="","",COUNTIF($H$7:$H$1006,B855))</f>
        <v/>
      </c>
      <c r="P855" s="78">
        <f>IF(D855="","",IF(AND(H855&lt;&gt;"",H855&gt;=B855),"⚠️ Predecessor must be above",IF(M855="Done","✓ Done",IF(Q855=3,"🔴 Late",IF(M855="In progress","In progress","")))))</f>
        <v/>
      </c>
      <c r="Q855" s="79">
        <f>IF(OR(D855="",L855=""),"",IF(M855="Done",2,IF(AsOf&gt;L855,3,1)))</f>
        <v/>
      </c>
      <c r="R855" s="79">
        <f>IF(OR(E855="",F855=""),0,IF(COUNTIFS($E$7:E855,E855,$F$7:F855,F855)=1,1,0))</f>
        <v/>
      </c>
      <c r="S855" s="79">
        <f>IF(R855=1,E855&amp;"|"&amp;SUMIFS($R$7:R855,$E$7:E855,E855),"")</f>
        <v/>
      </c>
      <c r="T855" s="112">
        <f>IF(Q855="","",IF(Q855=3,L855,IF(OR(M855="Not started",M855=""),J855,"")))</f>
        <v/>
      </c>
      <c r="U855" s="79">
        <f>IF(T855="","",IF(Q855=3,1,IF(T855="","",IF(T855&lt;AsOf,1,IF(T855&lt;=AsOf+AlertDays,2,IF(T855&lt;=AsOf+2*AlertDays,3,""))))))</f>
        <v/>
      </c>
      <c r="V855" s="79">
        <f>IF(U855="","",IF(Q855=3,"Late task: "&amp;D855,IF(T855&lt;AsOf,"Should have started: ","Starts soon: ")&amp;D855)&amp;IF(F855="",""," — "&amp;F855))</f>
        <v/>
      </c>
    </row>
    <row r="856" ht="20" customHeight="1">
      <c r="B856" s="125" t="n">
        <v>850</v>
      </c>
      <c r="C856" s="72" t="n"/>
      <c r="D856" s="72" t="n"/>
      <c r="E856" s="72" t="n"/>
      <c r="F856" s="72" t="n"/>
      <c r="G856" s="89" t="n"/>
      <c r="H856" s="89" t="n"/>
      <c r="I856" s="109" t="n"/>
      <c r="J856" s="126">
        <f>IF(OR(D856="",ProjStart=""),"",MAX(ProjStart,IF(I856&lt;&gt;"",I856,0),IF(H856="",0,IFERROR(INDEX($L$6:L855,MATCH(H856,$B$6:B855,0))+1,0))))</f>
        <v/>
      </c>
      <c r="K856" s="89" t="n"/>
      <c r="L856" s="126">
        <f>IF(J856="","",J856+MAX(1,G856)+IF(K856="",0,K856)-1)</f>
        <v/>
      </c>
      <c r="M856" s="72" t="n"/>
      <c r="N856" s="109" t="n"/>
      <c r="O856" s="127">
        <f>IF(D856="","",COUNTIF($H$7:$H$1006,B856))</f>
        <v/>
      </c>
      <c r="P856" s="78">
        <f>IF(D856="","",IF(AND(H856&lt;&gt;"",H856&gt;=B856),"⚠️ Predecessor must be above",IF(M856="Done","✓ Done",IF(Q856=3,"🔴 Late",IF(M856="In progress","In progress","")))))</f>
        <v/>
      </c>
      <c r="Q856" s="79">
        <f>IF(OR(D856="",L856=""),"",IF(M856="Done",2,IF(AsOf&gt;L856,3,1)))</f>
        <v/>
      </c>
      <c r="R856" s="79">
        <f>IF(OR(E856="",F856=""),0,IF(COUNTIFS($E$7:E856,E856,$F$7:F856,F856)=1,1,0))</f>
        <v/>
      </c>
      <c r="S856" s="79">
        <f>IF(R856=1,E856&amp;"|"&amp;SUMIFS($R$7:R856,$E$7:E856,E856),"")</f>
        <v/>
      </c>
      <c r="T856" s="112">
        <f>IF(Q856="","",IF(Q856=3,L856,IF(OR(M856="Not started",M856=""),J856,"")))</f>
        <v/>
      </c>
      <c r="U856" s="79">
        <f>IF(T856="","",IF(Q856=3,1,IF(T856="","",IF(T856&lt;AsOf,1,IF(T856&lt;=AsOf+AlertDays,2,IF(T856&lt;=AsOf+2*AlertDays,3,""))))))</f>
        <v/>
      </c>
      <c r="V856" s="79">
        <f>IF(U856="","",IF(Q856=3,"Late task: "&amp;D856,IF(T856&lt;AsOf,"Should have started: ","Starts soon: ")&amp;D856)&amp;IF(F856="",""," — "&amp;F856))</f>
        <v/>
      </c>
    </row>
    <row r="857" ht="20" customHeight="1">
      <c r="B857" s="125" t="n">
        <v>851</v>
      </c>
      <c r="C857" s="72" t="n"/>
      <c r="D857" s="72" t="n"/>
      <c r="E857" s="72" t="n"/>
      <c r="F857" s="72" t="n"/>
      <c r="G857" s="89" t="n"/>
      <c r="H857" s="89" t="n"/>
      <c r="I857" s="109" t="n"/>
      <c r="J857" s="126">
        <f>IF(OR(D857="",ProjStart=""),"",MAX(ProjStart,IF(I857&lt;&gt;"",I857,0),IF(H857="",0,IFERROR(INDEX($L$6:L856,MATCH(H857,$B$6:B856,0))+1,0))))</f>
        <v/>
      </c>
      <c r="K857" s="89" t="n"/>
      <c r="L857" s="126">
        <f>IF(J857="","",J857+MAX(1,G857)+IF(K857="",0,K857)-1)</f>
        <v/>
      </c>
      <c r="M857" s="72" t="n"/>
      <c r="N857" s="109" t="n"/>
      <c r="O857" s="127">
        <f>IF(D857="","",COUNTIF($H$7:$H$1006,B857))</f>
        <v/>
      </c>
      <c r="P857" s="78">
        <f>IF(D857="","",IF(AND(H857&lt;&gt;"",H857&gt;=B857),"⚠️ Predecessor must be above",IF(M857="Done","✓ Done",IF(Q857=3,"🔴 Late",IF(M857="In progress","In progress","")))))</f>
        <v/>
      </c>
      <c r="Q857" s="79">
        <f>IF(OR(D857="",L857=""),"",IF(M857="Done",2,IF(AsOf&gt;L857,3,1)))</f>
        <v/>
      </c>
      <c r="R857" s="79">
        <f>IF(OR(E857="",F857=""),0,IF(COUNTIFS($E$7:E857,E857,$F$7:F857,F857)=1,1,0))</f>
        <v/>
      </c>
      <c r="S857" s="79">
        <f>IF(R857=1,E857&amp;"|"&amp;SUMIFS($R$7:R857,$E$7:E857,E857),"")</f>
        <v/>
      </c>
      <c r="T857" s="112">
        <f>IF(Q857="","",IF(Q857=3,L857,IF(OR(M857="Not started",M857=""),J857,"")))</f>
        <v/>
      </c>
      <c r="U857" s="79">
        <f>IF(T857="","",IF(Q857=3,1,IF(T857="","",IF(T857&lt;AsOf,1,IF(T857&lt;=AsOf+AlertDays,2,IF(T857&lt;=AsOf+2*AlertDays,3,""))))))</f>
        <v/>
      </c>
      <c r="V857" s="79">
        <f>IF(U857="","",IF(Q857=3,"Late task: "&amp;D857,IF(T857&lt;AsOf,"Should have started: ","Starts soon: ")&amp;D857)&amp;IF(F857="",""," — "&amp;F857))</f>
        <v/>
      </c>
    </row>
    <row r="858" ht="20" customHeight="1">
      <c r="B858" s="125" t="n">
        <v>852</v>
      </c>
      <c r="C858" s="72" t="n"/>
      <c r="D858" s="72" t="n"/>
      <c r="E858" s="72" t="n"/>
      <c r="F858" s="72" t="n"/>
      <c r="G858" s="89" t="n"/>
      <c r="H858" s="89" t="n"/>
      <c r="I858" s="109" t="n"/>
      <c r="J858" s="126">
        <f>IF(OR(D858="",ProjStart=""),"",MAX(ProjStart,IF(I858&lt;&gt;"",I858,0),IF(H858="",0,IFERROR(INDEX($L$6:L857,MATCH(H858,$B$6:B857,0))+1,0))))</f>
        <v/>
      </c>
      <c r="K858" s="89" t="n"/>
      <c r="L858" s="126">
        <f>IF(J858="","",J858+MAX(1,G858)+IF(K858="",0,K858)-1)</f>
        <v/>
      </c>
      <c r="M858" s="72" t="n"/>
      <c r="N858" s="109" t="n"/>
      <c r="O858" s="127">
        <f>IF(D858="","",COUNTIF($H$7:$H$1006,B858))</f>
        <v/>
      </c>
      <c r="P858" s="78">
        <f>IF(D858="","",IF(AND(H858&lt;&gt;"",H858&gt;=B858),"⚠️ Predecessor must be above",IF(M858="Done","✓ Done",IF(Q858=3,"🔴 Late",IF(M858="In progress","In progress","")))))</f>
        <v/>
      </c>
      <c r="Q858" s="79">
        <f>IF(OR(D858="",L858=""),"",IF(M858="Done",2,IF(AsOf&gt;L858,3,1)))</f>
        <v/>
      </c>
      <c r="R858" s="79">
        <f>IF(OR(E858="",F858=""),0,IF(COUNTIFS($E$7:E858,E858,$F$7:F858,F858)=1,1,0))</f>
        <v/>
      </c>
      <c r="S858" s="79">
        <f>IF(R858=1,E858&amp;"|"&amp;SUMIFS($R$7:R858,$E$7:E858,E858),"")</f>
        <v/>
      </c>
      <c r="T858" s="112">
        <f>IF(Q858="","",IF(Q858=3,L858,IF(OR(M858="Not started",M858=""),J858,"")))</f>
        <v/>
      </c>
      <c r="U858" s="79">
        <f>IF(T858="","",IF(Q858=3,1,IF(T858="","",IF(T858&lt;AsOf,1,IF(T858&lt;=AsOf+AlertDays,2,IF(T858&lt;=AsOf+2*AlertDays,3,""))))))</f>
        <v/>
      </c>
      <c r="V858" s="79">
        <f>IF(U858="","",IF(Q858=3,"Late task: "&amp;D858,IF(T858&lt;AsOf,"Should have started: ","Starts soon: ")&amp;D858)&amp;IF(F858="",""," — "&amp;F858))</f>
        <v/>
      </c>
    </row>
    <row r="859" ht="20" customHeight="1">
      <c r="B859" s="125" t="n">
        <v>853</v>
      </c>
      <c r="C859" s="72" t="n"/>
      <c r="D859" s="72" t="n"/>
      <c r="E859" s="72" t="n"/>
      <c r="F859" s="72" t="n"/>
      <c r="G859" s="89" t="n"/>
      <c r="H859" s="89" t="n"/>
      <c r="I859" s="109" t="n"/>
      <c r="J859" s="126">
        <f>IF(OR(D859="",ProjStart=""),"",MAX(ProjStart,IF(I859&lt;&gt;"",I859,0),IF(H859="",0,IFERROR(INDEX($L$6:L858,MATCH(H859,$B$6:B858,0))+1,0))))</f>
        <v/>
      </c>
      <c r="K859" s="89" t="n"/>
      <c r="L859" s="126">
        <f>IF(J859="","",J859+MAX(1,G859)+IF(K859="",0,K859)-1)</f>
        <v/>
      </c>
      <c r="M859" s="72" t="n"/>
      <c r="N859" s="109" t="n"/>
      <c r="O859" s="127">
        <f>IF(D859="","",COUNTIF($H$7:$H$1006,B859))</f>
        <v/>
      </c>
      <c r="P859" s="78">
        <f>IF(D859="","",IF(AND(H859&lt;&gt;"",H859&gt;=B859),"⚠️ Predecessor must be above",IF(M859="Done","✓ Done",IF(Q859=3,"🔴 Late",IF(M859="In progress","In progress","")))))</f>
        <v/>
      </c>
      <c r="Q859" s="79">
        <f>IF(OR(D859="",L859=""),"",IF(M859="Done",2,IF(AsOf&gt;L859,3,1)))</f>
        <v/>
      </c>
      <c r="R859" s="79">
        <f>IF(OR(E859="",F859=""),0,IF(COUNTIFS($E$7:E859,E859,$F$7:F859,F859)=1,1,0))</f>
        <v/>
      </c>
      <c r="S859" s="79">
        <f>IF(R859=1,E859&amp;"|"&amp;SUMIFS($R$7:R859,$E$7:E859,E859),"")</f>
        <v/>
      </c>
      <c r="T859" s="112">
        <f>IF(Q859="","",IF(Q859=3,L859,IF(OR(M859="Not started",M859=""),J859,"")))</f>
        <v/>
      </c>
      <c r="U859" s="79">
        <f>IF(T859="","",IF(Q859=3,1,IF(T859="","",IF(T859&lt;AsOf,1,IF(T859&lt;=AsOf+AlertDays,2,IF(T859&lt;=AsOf+2*AlertDays,3,""))))))</f>
        <v/>
      </c>
      <c r="V859" s="79">
        <f>IF(U859="","",IF(Q859=3,"Late task: "&amp;D859,IF(T859&lt;AsOf,"Should have started: ","Starts soon: ")&amp;D859)&amp;IF(F859="",""," — "&amp;F859))</f>
        <v/>
      </c>
    </row>
    <row r="860" ht="20" customHeight="1">
      <c r="B860" s="125" t="n">
        <v>854</v>
      </c>
      <c r="C860" s="72" t="n"/>
      <c r="D860" s="72" t="n"/>
      <c r="E860" s="72" t="n"/>
      <c r="F860" s="72" t="n"/>
      <c r="G860" s="89" t="n"/>
      <c r="H860" s="89" t="n"/>
      <c r="I860" s="109" t="n"/>
      <c r="J860" s="126">
        <f>IF(OR(D860="",ProjStart=""),"",MAX(ProjStart,IF(I860&lt;&gt;"",I860,0),IF(H860="",0,IFERROR(INDEX($L$6:L859,MATCH(H860,$B$6:B859,0))+1,0))))</f>
        <v/>
      </c>
      <c r="K860" s="89" t="n"/>
      <c r="L860" s="126">
        <f>IF(J860="","",J860+MAX(1,G860)+IF(K860="",0,K860)-1)</f>
        <v/>
      </c>
      <c r="M860" s="72" t="n"/>
      <c r="N860" s="109" t="n"/>
      <c r="O860" s="127">
        <f>IF(D860="","",COUNTIF($H$7:$H$1006,B860))</f>
        <v/>
      </c>
      <c r="P860" s="78">
        <f>IF(D860="","",IF(AND(H860&lt;&gt;"",H860&gt;=B860),"⚠️ Predecessor must be above",IF(M860="Done","✓ Done",IF(Q860=3,"🔴 Late",IF(M860="In progress","In progress","")))))</f>
        <v/>
      </c>
      <c r="Q860" s="79">
        <f>IF(OR(D860="",L860=""),"",IF(M860="Done",2,IF(AsOf&gt;L860,3,1)))</f>
        <v/>
      </c>
      <c r="R860" s="79">
        <f>IF(OR(E860="",F860=""),0,IF(COUNTIFS($E$7:E860,E860,$F$7:F860,F860)=1,1,0))</f>
        <v/>
      </c>
      <c r="S860" s="79">
        <f>IF(R860=1,E860&amp;"|"&amp;SUMIFS($R$7:R860,$E$7:E860,E860),"")</f>
        <v/>
      </c>
      <c r="T860" s="112">
        <f>IF(Q860="","",IF(Q860=3,L860,IF(OR(M860="Not started",M860=""),J860,"")))</f>
        <v/>
      </c>
      <c r="U860" s="79">
        <f>IF(T860="","",IF(Q860=3,1,IF(T860="","",IF(T860&lt;AsOf,1,IF(T860&lt;=AsOf+AlertDays,2,IF(T860&lt;=AsOf+2*AlertDays,3,""))))))</f>
        <v/>
      </c>
      <c r="V860" s="79">
        <f>IF(U860="","",IF(Q860=3,"Late task: "&amp;D860,IF(T860&lt;AsOf,"Should have started: ","Starts soon: ")&amp;D860)&amp;IF(F860="",""," — "&amp;F860))</f>
        <v/>
      </c>
    </row>
    <row r="861" ht="20" customHeight="1">
      <c r="B861" s="125" t="n">
        <v>855</v>
      </c>
      <c r="C861" s="72" t="n"/>
      <c r="D861" s="72" t="n"/>
      <c r="E861" s="72" t="n"/>
      <c r="F861" s="72" t="n"/>
      <c r="G861" s="89" t="n"/>
      <c r="H861" s="89" t="n"/>
      <c r="I861" s="109" t="n"/>
      <c r="J861" s="126">
        <f>IF(OR(D861="",ProjStart=""),"",MAX(ProjStart,IF(I861&lt;&gt;"",I861,0),IF(H861="",0,IFERROR(INDEX($L$6:L860,MATCH(H861,$B$6:B860,0))+1,0))))</f>
        <v/>
      </c>
      <c r="K861" s="89" t="n"/>
      <c r="L861" s="126">
        <f>IF(J861="","",J861+MAX(1,G861)+IF(K861="",0,K861)-1)</f>
        <v/>
      </c>
      <c r="M861" s="72" t="n"/>
      <c r="N861" s="109" t="n"/>
      <c r="O861" s="127">
        <f>IF(D861="","",COUNTIF($H$7:$H$1006,B861))</f>
        <v/>
      </c>
      <c r="P861" s="78">
        <f>IF(D861="","",IF(AND(H861&lt;&gt;"",H861&gt;=B861),"⚠️ Predecessor must be above",IF(M861="Done","✓ Done",IF(Q861=3,"🔴 Late",IF(M861="In progress","In progress","")))))</f>
        <v/>
      </c>
      <c r="Q861" s="79">
        <f>IF(OR(D861="",L861=""),"",IF(M861="Done",2,IF(AsOf&gt;L861,3,1)))</f>
        <v/>
      </c>
      <c r="R861" s="79">
        <f>IF(OR(E861="",F861=""),0,IF(COUNTIFS($E$7:E861,E861,$F$7:F861,F861)=1,1,0))</f>
        <v/>
      </c>
      <c r="S861" s="79">
        <f>IF(R861=1,E861&amp;"|"&amp;SUMIFS($R$7:R861,$E$7:E861,E861),"")</f>
        <v/>
      </c>
      <c r="T861" s="112">
        <f>IF(Q861="","",IF(Q861=3,L861,IF(OR(M861="Not started",M861=""),J861,"")))</f>
        <v/>
      </c>
      <c r="U861" s="79">
        <f>IF(T861="","",IF(Q861=3,1,IF(T861="","",IF(T861&lt;AsOf,1,IF(T861&lt;=AsOf+AlertDays,2,IF(T861&lt;=AsOf+2*AlertDays,3,""))))))</f>
        <v/>
      </c>
      <c r="V861" s="79">
        <f>IF(U861="","",IF(Q861=3,"Late task: "&amp;D861,IF(T861&lt;AsOf,"Should have started: ","Starts soon: ")&amp;D861)&amp;IF(F861="",""," — "&amp;F861))</f>
        <v/>
      </c>
    </row>
    <row r="862" ht="20" customHeight="1">
      <c r="B862" s="125" t="n">
        <v>856</v>
      </c>
      <c r="C862" s="72" t="n"/>
      <c r="D862" s="72" t="n"/>
      <c r="E862" s="72" t="n"/>
      <c r="F862" s="72" t="n"/>
      <c r="G862" s="89" t="n"/>
      <c r="H862" s="89" t="n"/>
      <c r="I862" s="109" t="n"/>
      <c r="J862" s="126">
        <f>IF(OR(D862="",ProjStart=""),"",MAX(ProjStart,IF(I862&lt;&gt;"",I862,0),IF(H862="",0,IFERROR(INDEX($L$6:L861,MATCH(H862,$B$6:B861,0))+1,0))))</f>
        <v/>
      </c>
      <c r="K862" s="89" t="n"/>
      <c r="L862" s="126">
        <f>IF(J862="","",J862+MAX(1,G862)+IF(K862="",0,K862)-1)</f>
        <v/>
      </c>
      <c r="M862" s="72" t="n"/>
      <c r="N862" s="109" t="n"/>
      <c r="O862" s="127">
        <f>IF(D862="","",COUNTIF($H$7:$H$1006,B862))</f>
        <v/>
      </c>
      <c r="P862" s="78">
        <f>IF(D862="","",IF(AND(H862&lt;&gt;"",H862&gt;=B862),"⚠️ Predecessor must be above",IF(M862="Done","✓ Done",IF(Q862=3,"🔴 Late",IF(M862="In progress","In progress","")))))</f>
        <v/>
      </c>
      <c r="Q862" s="79">
        <f>IF(OR(D862="",L862=""),"",IF(M862="Done",2,IF(AsOf&gt;L862,3,1)))</f>
        <v/>
      </c>
      <c r="R862" s="79">
        <f>IF(OR(E862="",F862=""),0,IF(COUNTIFS($E$7:E862,E862,$F$7:F862,F862)=1,1,0))</f>
        <v/>
      </c>
      <c r="S862" s="79">
        <f>IF(R862=1,E862&amp;"|"&amp;SUMIFS($R$7:R862,$E$7:E862,E862),"")</f>
        <v/>
      </c>
      <c r="T862" s="112">
        <f>IF(Q862="","",IF(Q862=3,L862,IF(OR(M862="Not started",M862=""),J862,"")))</f>
        <v/>
      </c>
      <c r="U862" s="79">
        <f>IF(T862="","",IF(Q862=3,1,IF(T862="","",IF(T862&lt;AsOf,1,IF(T862&lt;=AsOf+AlertDays,2,IF(T862&lt;=AsOf+2*AlertDays,3,""))))))</f>
        <v/>
      </c>
      <c r="V862" s="79">
        <f>IF(U862="","",IF(Q862=3,"Late task: "&amp;D862,IF(T862&lt;AsOf,"Should have started: ","Starts soon: ")&amp;D862)&amp;IF(F862="",""," — "&amp;F862))</f>
        <v/>
      </c>
    </row>
    <row r="863" ht="20" customHeight="1">
      <c r="B863" s="125" t="n">
        <v>857</v>
      </c>
      <c r="C863" s="72" t="n"/>
      <c r="D863" s="72" t="n"/>
      <c r="E863" s="72" t="n"/>
      <c r="F863" s="72" t="n"/>
      <c r="G863" s="89" t="n"/>
      <c r="H863" s="89" t="n"/>
      <c r="I863" s="109" t="n"/>
      <c r="J863" s="126">
        <f>IF(OR(D863="",ProjStart=""),"",MAX(ProjStart,IF(I863&lt;&gt;"",I863,0),IF(H863="",0,IFERROR(INDEX($L$6:L862,MATCH(H863,$B$6:B862,0))+1,0))))</f>
        <v/>
      </c>
      <c r="K863" s="89" t="n"/>
      <c r="L863" s="126">
        <f>IF(J863="","",J863+MAX(1,G863)+IF(K863="",0,K863)-1)</f>
        <v/>
      </c>
      <c r="M863" s="72" t="n"/>
      <c r="N863" s="109" t="n"/>
      <c r="O863" s="127">
        <f>IF(D863="","",COUNTIF($H$7:$H$1006,B863))</f>
        <v/>
      </c>
      <c r="P863" s="78">
        <f>IF(D863="","",IF(AND(H863&lt;&gt;"",H863&gt;=B863),"⚠️ Predecessor must be above",IF(M863="Done","✓ Done",IF(Q863=3,"🔴 Late",IF(M863="In progress","In progress","")))))</f>
        <v/>
      </c>
      <c r="Q863" s="79">
        <f>IF(OR(D863="",L863=""),"",IF(M863="Done",2,IF(AsOf&gt;L863,3,1)))</f>
        <v/>
      </c>
      <c r="R863" s="79">
        <f>IF(OR(E863="",F863=""),0,IF(COUNTIFS($E$7:E863,E863,$F$7:F863,F863)=1,1,0))</f>
        <v/>
      </c>
      <c r="S863" s="79">
        <f>IF(R863=1,E863&amp;"|"&amp;SUMIFS($R$7:R863,$E$7:E863,E863),"")</f>
        <v/>
      </c>
      <c r="T863" s="112">
        <f>IF(Q863="","",IF(Q863=3,L863,IF(OR(M863="Not started",M863=""),J863,"")))</f>
        <v/>
      </c>
      <c r="U863" s="79">
        <f>IF(T863="","",IF(Q863=3,1,IF(T863="","",IF(T863&lt;AsOf,1,IF(T863&lt;=AsOf+AlertDays,2,IF(T863&lt;=AsOf+2*AlertDays,3,""))))))</f>
        <v/>
      </c>
      <c r="V863" s="79">
        <f>IF(U863="","",IF(Q863=3,"Late task: "&amp;D863,IF(T863&lt;AsOf,"Should have started: ","Starts soon: ")&amp;D863)&amp;IF(F863="",""," — "&amp;F863))</f>
        <v/>
      </c>
    </row>
    <row r="864" ht="20" customHeight="1">
      <c r="B864" s="125" t="n">
        <v>858</v>
      </c>
      <c r="C864" s="72" t="n"/>
      <c r="D864" s="72" t="n"/>
      <c r="E864" s="72" t="n"/>
      <c r="F864" s="72" t="n"/>
      <c r="G864" s="89" t="n"/>
      <c r="H864" s="89" t="n"/>
      <c r="I864" s="109" t="n"/>
      <c r="J864" s="126">
        <f>IF(OR(D864="",ProjStart=""),"",MAX(ProjStart,IF(I864&lt;&gt;"",I864,0),IF(H864="",0,IFERROR(INDEX($L$6:L863,MATCH(H864,$B$6:B863,0))+1,0))))</f>
        <v/>
      </c>
      <c r="K864" s="89" t="n"/>
      <c r="L864" s="126">
        <f>IF(J864="","",J864+MAX(1,G864)+IF(K864="",0,K864)-1)</f>
        <v/>
      </c>
      <c r="M864" s="72" t="n"/>
      <c r="N864" s="109" t="n"/>
      <c r="O864" s="127">
        <f>IF(D864="","",COUNTIF($H$7:$H$1006,B864))</f>
        <v/>
      </c>
      <c r="P864" s="78">
        <f>IF(D864="","",IF(AND(H864&lt;&gt;"",H864&gt;=B864),"⚠️ Predecessor must be above",IF(M864="Done","✓ Done",IF(Q864=3,"🔴 Late",IF(M864="In progress","In progress","")))))</f>
        <v/>
      </c>
      <c r="Q864" s="79">
        <f>IF(OR(D864="",L864=""),"",IF(M864="Done",2,IF(AsOf&gt;L864,3,1)))</f>
        <v/>
      </c>
      <c r="R864" s="79">
        <f>IF(OR(E864="",F864=""),0,IF(COUNTIFS($E$7:E864,E864,$F$7:F864,F864)=1,1,0))</f>
        <v/>
      </c>
      <c r="S864" s="79">
        <f>IF(R864=1,E864&amp;"|"&amp;SUMIFS($R$7:R864,$E$7:E864,E864),"")</f>
        <v/>
      </c>
      <c r="T864" s="112">
        <f>IF(Q864="","",IF(Q864=3,L864,IF(OR(M864="Not started",M864=""),J864,"")))</f>
        <v/>
      </c>
      <c r="U864" s="79">
        <f>IF(T864="","",IF(Q864=3,1,IF(T864="","",IF(T864&lt;AsOf,1,IF(T864&lt;=AsOf+AlertDays,2,IF(T864&lt;=AsOf+2*AlertDays,3,""))))))</f>
        <v/>
      </c>
      <c r="V864" s="79">
        <f>IF(U864="","",IF(Q864=3,"Late task: "&amp;D864,IF(T864&lt;AsOf,"Should have started: ","Starts soon: ")&amp;D864)&amp;IF(F864="",""," — "&amp;F864))</f>
        <v/>
      </c>
    </row>
    <row r="865" ht="20" customHeight="1">
      <c r="B865" s="125" t="n">
        <v>859</v>
      </c>
      <c r="C865" s="72" t="n"/>
      <c r="D865" s="72" t="n"/>
      <c r="E865" s="72" t="n"/>
      <c r="F865" s="72" t="n"/>
      <c r="G865" s="89" t="n"/>
      <c r="H865" s="89" t="n"/>
      <c r="I865" s="109" t="n"/>
      <c r="J865" s="126">
        <f>IF(OR(D865="",ProjStart=""),"",MAX(ProjStart,IF(I865&lt;&gt;"",I865,0),IF(H865="",0,IFERROR(INDEX($L$6:L864,MATCH(H865,$B$6:B864,0))+1,0))))</f>
        <v/>
      </c>
      <c r="K865" s="89" t="n"/>
      <c r="L865" s="126">
        <f>IF(J865="","",J865+MAX(1,G865)+IF(K865="",0,K865)-1)</f>
        <v/>
      </c>
      <c r="M865" s="72" t="n"/>
      <c r="N865" s="109" t="n"/>
      <c r="O865" s="127">
        <f>IF(D865="","",COUNTIF($H$7:$H$1006,B865))</f>
        <v/>
      </c>
      <c r="P865" s="78">
        <f>IF(D865="","",IF(AND(H865&lt;&gt;"",H865&gt;=B865),"⚠️ Predecessor must be above",IF(M865="Done","✓ Done",IF(Q865=3,"🔴 Late",IF(M865="In progress","In progress","")))))</f>
        <v/>
      </c>
      <c r="Q865" s="79">
        <f>IF(OR(D865="",L865=""),"",IF(M865="Done",2,IF(AsOf&gt;L865,3,1)))</f>
        <v/>
      </c>
      <c r="R865" s="79">
        <f>IF(OR(E865="",F865=""),0,IF(COUNTIFS($E$7:E865,E865,$F$7:F865,F865)=1,1,0))</f>
        <v/>
      </c>
      <c r="S865" s="79">
        <f>IF(R865=1,E865&amp;"|"&amp;SUMIFS($R$7:R865,$E$7:E865,E865),"")</f>
        <v/>
      </c>
      <c r="T865" s="112">
        <f>IF(Q865="","",IF(Q865=3,L865,IF(OR(M865="Not started",M865=""),J865,"")))</f>
        <v/>
      </c>
      <c r="U865" s="79">
        <f>IF(T865="","",IF(Q865=3,1,IF(T865="","",IF(T865&lt;AsOf,1,IF(T865&lt;=AsOf+AlertDays,2,IF(T865&lt;=AsOf+2*AlertDays,3,""))))))</f>
        <v/>
      </c>
      <c r="V865" s="79">
        <f>IF(U865="","",IF(Q865=3,"Late task: "&amp;D865,IF(T865&lt;AsOf,"Should have started: ","Starts soon: ")&amp;D865)&amp;IF(F865="",""," — "&amp;F865))</f>
        <v/>
      </c>
    </row>
    <row r="866" ht="20" customHeight="1">
      <c r="B866" s="125" t="n">
        <v>860</v>
      </c>
      <c r="C866" s="72" t="n"/>
      <c r="D866" s="72" t="n"/>
      <c r="E866" s="72" t="n"/>
      <c r="F866" s="72" t="n"/>
      <c r="G866" s="89" t="n"/>
      <c r="H866" s="89" t="n"/>
      <c r="I866" s="109" t="n"/>
      <c r="J866" s="126">
        <f>IF(OR(D866="",ProjStart=""),"",MAX(ProjStart,IF(I866&lt;&gt;"",I866,0),IF(H866="",0,IFERROR(INDEX($L$6:L865,MATCH(H866,$B$6:B865,0))+1,0))))</f>
        <v/>
      </c>
      <c r="K866" s="89" t="n"/>
      <c r="L866" s="126">
        <f>IF(J866="","",J866+MAX(1,G866)+IF(K866="",0,K866)-1)</f>
        <v/>
      </c>
      <c r="M866" s="72" t="n"/>
      <c r="N866" s="109" t="n"/>
      <c r="O866" s="127">
        <f>IF(D866="","",COUNTIF($H$7:$H$1006,B866))</f>
        <v/>
      </c>
      <c r="P866" s="78">
        <f>IF(D866="","",IF(AND(H866&lt;&gt;"",H866&gt;=B866),"⚠️ Predecessor must be above",IF(M866="Done","✓ Done",IF(Q866=3,"🔴 Late",IF(M866="In progress","In progress","")))))</f>
        <v/>
      </c>
      <c r="Q866" s="79">
        <f>IF(OR(D866="",L866=""),"",IF(M866="Done",2,IF(AsOf&gt;L866,3,1)))</f>
        <v/>
      </c>
      <c r="R866" s="79">
        <f>IF(OR(E866="",F866=""),0,IF(COUNTIFS($E$7:E866,E866,$F$7:F866,F866)=1,1,0))</f>
        <v/>
      </c>
      <c r="S866" s="79">
        <f>IF(R866=1,E866&amp;"|"&amp;SUMIFS($R$7:R866,$E$7:E866,E866),"")</f>
        <v/>
      </c>
      <c r="T866" s="112">
        <f>IF(Q866="","",IF(Q866=3,L866,IF(OR(M866="Not started",M866=""),J866,"")))</f>
        <v/>
      </c>
      <c r="U866" s="79">
        <f>IF(T866="","",IF(Q866=3,1,IF(T866="","",IF(T866&lt;AsOf,1,IF(T866&lt;=AsOf+AlertDays,2,IF(T866&lt;=AsOf+2*AlertDays,3,""))))))</f>
        <v/>
      </c>
      <c r="V866" s="79">
        <f>IF(U866="","",IF(Q866=3,"Late task: "&amp;D866,IF(T866&lt;AsOf,"Should have started: ","Starts soon: ")&amp;D866)&amp;IF(F866="",""," — "&amp;F866))</f>
        <v/>
      </c>
    </row>
    <row r="867" ht="20" customHeight="1">
      <c r="B867" s="125" t="n">
        <v>861</v>
      </c>
      <c r="C867" s="72" t="n"/>
      <c r="D867" s="72" t="n"/>
      <c r="E867" s="72" t="n"/>
      <c r="F867" s="72" t="n"/>
      <c r="G867" s="89" t="n"/>
      <c r="H867" s="89" t="n"/>
      <c r="I867" s="109" t="n"/>
      <c r="J867" s="126">
        <f>IF(OR(D867="",ProjStart=""),"",MAX(ProjStart,IF(I867&lt;&gt;"",I867,0),IF(H867="",0,IFERROR(INDEX($L$6:L866,MATCH(H867,$B$6:B866,0))+1,0))))</f>
        <v/>
      </c>
      <c r="K867" s="89" t="n"/>
      <c r="L867" s="126">
        <f>IF(J867="","",J867+MAX(1,G867)+IF(K867="",0,K867)-1)</f>
        <v/>
      </c>
      <c r="M867" s="72" t="n"/>
      <c r="N867" s="109" t="n"/>
      <c r="O867" s="127">
        <f>IF(D867="","",COUNTIF($H$7:$H$1006,B867))</f>
        <v/>
      </c>
      <c r="P867" s="78">
        <f>IF(D867="","",IF(AND(H867&lt;&gt;"",H867&gt;=B867),"⚠️ Predecessor must be above",IF(M867="Done","✓ Done",IF(Q867=3,"🔴 Late",IF(M867="In progress","In progress","")))))</f>
        <v/>
      </c>
      <c r="Q867" s="79">
        <f>IF(OR(D867="",L867=""),"",IF(M867="Done",2,IF(AsOf&gt;L867,3,1)))</f>
        <v/>
      </c>
      <c r="R867" s="79">
        <f>IF(OR(E867="",F867=""),0,IF(COUNTIFS($E$7:E867,E867,$F$7:F867,F867)=1,1,0))</f>
        <v/>
      </c>
      <c r="S867" s="79">
        <f>IF(R867=1,E867&amp;"|"&amp;SUMIFS($R$7:R867,$E$7:E867,E867),"")</f>
        <v/>
      </c>
      <c r="T867" s="112">
        <f>IF(Q867="","",IF(Q867=3,L867,IF(OR(M867="Not started",M867=""),J867,"")))</f>
        <v/>
      </c>
      <c r="U867" s="79">
        <f>IF(T867="","",IF(Q867=3,1,IF(T867="","",IF(T867&lt;AsOf,1,IF(T867&lt;=AsOf+AlertDays,2,IF(T867&lt;=AsOf+2*AlertDays,3,""))))))</f>
        <v/>
      </c>
      <c r="V867" s="79">
        <f>IF(U867="","",IF(Q867=3,"Late task: "&amp;D867,IF(T867&lt;AsOf,"Should have started: ","Starts soon: ")&amp;D867)&amp;IF(F867="",""," — "&amp;F867))</f>
        <v/>
      </c>
    </row>
    <row r="868" ht="20" customHeight="1">
      <c r="B868" s="125" t="n">
        <v>862</v>
      </c>
      <c r="C868" s="72" t="n"/>
      <c r="D868" s="72" t="n"/>
      <c r="E868" s="72" t="n"/>
      <c r="F868" s="72" t="n"/>
      <c r="G868" s="89" t="n"/>
      <c r="H868" s="89" t="n"/>
      <c r="I868" s="109" t="n"/>
      <c r="J868" s="126">
        <f>IF(OR(D868="",ProjStart=""),"",MAX(ProjStart,IF(I868&lt;&gt;"",I868,0),IF(H868="",0,IFERROR(INDEX($L$6:L867,MATCH(H868,$B$6:B867,0))+1,0))))</f>
        <v/>
      </c>
      <c r="K868" s="89" t="n"/>
      <c r="L868" s="126">
        <f>IF(J868="","",J868+MAX(1,G868)+IF(K868="",0,K868)-1)</f>
        <v/>
      </c>
      <c r="M868" s="72" t="n"/>
      <c r="N868" s="109" t="n"/>
      <c r="O868" s="127">
        <f>IF(D868="","",COUNTIF($H$7:$H$1006,B868))</f>
        <v/>
      </c>
      <c r="P868" s="78">
        <f>IF(D868="","",IF(AND(H868&lt;&gt;"",H868&gt;=B868),"⚠️ Predecessor must be above",IF(M868="Done","✓ Done",IF(Q868=3,"🔴 Late",IF(M868="In progress","In progress","")))))</f>
        <v/>
      </c>
      <c r="Q868" s="79">
        <f>IF(OR(D868="",L868=""),"",IF(M868="Done",2,IF(AsOf&gt;L868,3,1)))</f>
        <v/>
      </c>
      <c r="R868" s="79">
        <f>IF(OR(E868="",F868=""),0,IF(COUNTIFS($E$7:E868,E868,$F$7:F868,F868)=1,1,0))</f>
        <v/>
      </c>
      <c r="S868" s="79">
        <f>IF(R868=1,E868&amp;"|"&amp;SUMIFS($R$7:R868,$E$7:E868,E868),"")</f>
        <v/>
      </c>
      <c r="T868" s="112">
        <f>IF(Q868="","",IF(Q868=3,L868,IF(OR(M868="Not started",M868=""),J868,"")))</f>
        <v/>
      </c>
      <c r="U868" s="79">
        <f>IF(T868="","",IF(Q868=3,1,IF(T868="","",IF(T868&lt;AsOf,1,IF(T868&lt;=AsOf+AlertDays,2,IF(T868&lt;=AsOf+2*AlertDays,3,""))))))</f>
        <v/>
      </c>
      <c r="V868" s="79">
        <f>IF(U868="","",IF(Q868=3,"Late task: "&amp;D868,IF(T868&lt;AsOf,"Should have started: ","Starts soon: ")&amp;D868)&amp;IF(F868="",""," — "&amp;F868))</f>
        <v/>
      </c>
    </row>
    <row r="869" ht="20" customHeight="1">
      <c r="B869" s="125" t="n">
        <v>863</v>
      </c>
      <c r="C869" s="72" t="n"/>
      <c r="D869" s="72" t="n"/>
      <c r="E869" s="72" t="n"/>
      <c r="F869" s="72" t="n"/>
      <c r="G869" s="89" t="n"/>
      <c r="H869" s="89" t="n"/>
      <c r="I869" s="109" t="n"/>
      <c r="J869" s="126">
        <f>IF(OR(D869="",ProjStart=""),"",MAX(ProjStart,IF(I869&lt;&gt;"",I869,0),IF(H869="",0,IFERROR(INDEX($L$6:L868,MATCH(H869,$B$6:B868,0))+1,0))))</f>
        <v/>
      </c>
      <c r="K869" s="89" t="n"/>
      <c r="L869" s="126">
        <f>IF(J869="","",J869+MAX(1,G869)+IF(K869="",0,K869)-1)</f>
        <v/>
      </c>
      <c r="M869" s="72" t="n"/>
      <c r="N869" s="109" t="n"/>
      <c r="O869" s="127">
        <f>IF(D869="","",COUNTIF($H$7:$H$1006,B869))</f>
        <v/>
      </c>
      <c r="P869" s="78">
        <f>IF(D869="","",IF(AND(H869&lt;&gt;"",H869&gt;=B869),"⚠️ Predecessor must be above",IF(M869="Done","✓ Done",IF(Q869=3,"🔴 Late",IF(M869="In progress","In progress","")))))</f>
        <v/>
      </c>
      <c r="Q869" s="79">
        <f>IF(OR(D869="",L869=""),"",IF(M869="Done",2,IF(AsOf&gt;L869,3,1)))</f>
        <v/>
      </c>
      <c r="R869" s="79">
        <f>IF(OR(E869="",F869=""),0,IF(COUNTIFS($E$7:E869,E869,$F$7:F869,F869)=1,1,0))</f>
        <v/>
      </c>
      <c r="S869" s="79">
        <f>IF(R869=1,E869&amp;"|"&amp;SUMIFS($R$7:R869,$E$7:E869,E869),"")</f>
        <v/>
      </c>
      <c r="T869" s="112">
        <f>IF(Q869="","",IF(Q869=3,L869,IF(OR(M869="Not started",M869=""),J869,"")))</f>
        <v/>
      </c>
      <c r="U869" s="79">
        <f>IF(T869="","",IF(Q869=3,1,IF(T869="","",IF(T869&lt;AsOf,1,IF(T869&lt;=AsOf+AlertDays,2,IF(T869&lt;=AsOf+2*AlertDays,3,""))))))</f>
        <v/>
      </c>
      <c r="V869" s="79">
        <f>IF(U869="","",IF(Q869=3,"Late task: "&amp;D869,IF(T869&lt;AsOf,"Should have started: ","Starts soon: ")&amp;D869)&amp;IF(F869="",""," — "&amp;F869))</f>
        <v/>
      </c>
    </row>
    <row r="870" ht="20" customHeight="1">
      <c r="B870" s="125" t="n">
        <v>864</v>
      </c>
      <c r="C870" s="72" t="n"/>
      <c r="D870" s="72" t="n"/>
      <c r="E870" s="72" t="n"/>
      <c r="F870" s="72" t="n"/>
      <c r="G870" s="89" t="n"/>
      <c r="H870" s="89" t="n"/>
      <c r="I870" s="109" t="n"/>
      <c r="J870" s="126">
        <f>IF(OR(D870="",ProjStart=""),"",MAX(ProjStart,IF(I870&lt;&gt;"",I870,0),IF(H870="",0,IFERROR(INDEX($L$6:L869,MATCH(H870,$B$6:B869,0))+1,0))))</f>
        <v/>
      </c>
      <c r="K870" s="89" t="n"/>
      <c r="L870" s="126">
        <f>IF(J870="","",J870+MAX(1,G870)+IF(K870="",0,K870)-1)</f>
        <v/>
      </c>
      <c r="M870" s="72" t="n"/>
      <c r="N870" s="109" t="n"/>
      <c r="O870" s="127">
        <f>IF(D870="","",COUNTIF($H$7:$H$1006,B870))</f>
        <v/>
      </c>
      <c r="P870" s="78">
        <f>IF(D870="","",IF(AND(H870&lt;&gt;"",H870&gt;=B870),"⚠️ Predecessor must be above",IF(M870="Done","✓ Done",IF(Q870=3,"🔴 Late",IF(M870="In progress","In progress","")))))</f>
        <v/>
      </c>
      <c r="Q870" s="79">
        <f>IF(OR(D870="",L870=""),"",IF(M870="Done",2,IF(AsOf&gt;L870,3,1)))</f>
        <v/>
      </c>
      <c r="R870" s="79">
        <f>IF(OR(E870="",F870=""),0,IF(COUNTIFS($E$7:E870,E870,$F$7:F870,F870)=1,1,0))</f>
        <v/>
      </c>
      <c r="S870" s="79">
        <f>IF(R870=1,E870&amp;"|"&amp;SUMIFS($R$7:R870,$E$7:E870,E870),"")</f>
        <v/>
      </c>
      <c r="T870" s="112">
        <f>IF(Q870="","",IF(Q870=3,L870,IF(OR(M870="Not started",M870=""),J870,"")))</f>
        <v/>
      </c>
      <c r="U870" s="79">
        <f>IF(T870="","",IF(Q870=3,1,IF(T870="","",IF(T870&lt;AsOf,1,IF(T870&lt;=AsOf+AlertDays,2,IF(T870&lt;=AsOf+2*AlertDays,3,""))))))</f>
        <v/>
      </c>
      <c r="V870" s="79">
        <f>IF(U870="","",IF(Q870=3,"Late task: "&amp;D870,IF(T870&lt;AsOf,"Should have started: ","Starts soon: ")&amp;D870)&amp;IF(F870="",""," — "&amp;F870))</f>
        <v/>
      </c>
    </row>
    <row r="871" ht="20" customHeight="1">
      <c r="B871" s="125" t="n">
        <v>865</v>
      </c>
      <c r="C871" s="72" t="n"/>
      <c r="D871" s="72" t="n"/>
      <c r="E871" s="72" t="n"/>
      <c r="F871" s="72" t="n"/>
      <c r="G871" s="89" t="n"/>
      <c r="H871" s="89" t="n"/>
      <c r="I871" s="109" t="n"/>
      <c r="J871" s="126">
        <f>IF(OR(D871="",ProjStart=""),"",MAX(ProjStart,IF(I871&lt;&gt;"",I871,0),IF(H871="",0,IFERROR(INDEX($L$6:L870,MATCH(H871,$B$6:B870,0))+1,0))))</f>
        <v/>
      </c>
      <c r="K871" s="89" t="n"/>
      <c r="L871" s="126">
        <f>IF(J871="","",J871+MAX(1,G871)+IF(K871="",0,K871)-1)</f>
        <v/>
      </c>
      <c r="M871" s="72" t="n"/>
      <c r="N871" s="109" t="n"/>
      <c r="O871" s="127">
        <f>IF(D871="","",COUNTIF($H$7:$H$1006,B871))</f>
        <v/>
      </c>
      <c r="P871" s="78">
        <f>IF(D871="","",IF(AND(H871&lt;&gt;"",H871&gt;=B871),"⚠️ Predecessor must be above",IF(M871="Done","✓ Done",IF(Q871=3,"🔴 Late",IF(M871="In progress","In progress","")))))</f>
        <v/>
      </c>
      <c r="Q871" s="79">
        <f>IF(OR(D871="",L871=""),"",IF(M871="Done",2,IF(AsOf&gt;L871,3,1)))</f>
        <v/>
      </c>
      <c r="R871" s="79">
        <f>IF(OR(E871="",F871=""),0,IF(COUNTIFS($E$7:E871,E871,$F$7:F871,F871)=1,1,0))</f>
        <v/>
      </c>
      <c r="S871" s="79">
        <f>IF(R871=1,E871&amp;"|"&amp;SUMIFS($R$7:R871,$E$7:E871,E871),"")</f>
        <v/>
      </c>
      <c r="T871" s="112">
        <f>IF(Q871="","",IF(Q871=3,L871,IF(OR(M871="Not started",M871=""),J871,"")))</f>
        <v/>
      </c>
      <c r="U871" s="79">
        <f>IF(T871="","",IF(Q871=3,1,IF(T871="","",IF(T871&lt;AsOf,1,IF(T871&lt;=AsOf+AlertDays,2,IF(T871&lt;=AsOf+2*AlertDays,3,""))))))</f>
        <v/>
      </c>
      <c r="V871" s="79">
        <f>IF(U871="","",IF(Q871=3,"Late task: "&amp;D871,IF(T871&lt;AsOf,"Should have started: ","Starts soon: ")&amp;D871)&amp;IF(F871="",""," — "&amp;F871))</f>
        <v/>
      </c>
    </row>
    <row r="872" ht="20" customHeight="1">
      <c r="B872" s="125" t="n">
        <v>866</v>
      </c>
      <c r="C872" s="72" t="n"/>
      <c r="D872" s="72" t="n"/>
      <c r="E872" s="72" t="n"/>
      <c r="F872" s="72" t="n"/>
      <c r="G872" s="89" t="n"/>
      <c r="H872" s="89" t="n"/>
      <c r="I872" s="109" t="n"/>
      <c r="J872" s="126">
        <f>IF(OR(D872="",ProjStart=""),"",MAX(ProjStart,IF(I872&lt;&gt;"",I872,0),IF(H872="",0,IFERROR(INDEX($L$6:L871,MATCH(H872,$B$6:B871,0))+1,0))))</f>
        <v/>
      </c>
      <c r="K872" s="89" t="n"/>
      <c r="L872" s="126">
        <f>IF(J872="","",J872+MAX(1,G872)+IF(K872="",0,K872)-1)</f>
        <v/>
      </c>
      <c r="M872" s="72" t="n"/>
      <c r="N872" s="109" t="n"/>
      <c r="O872" s="127">
        <f>IF(D872="","",COUNTIF($H$7:$H$1006,B872))</f>
        <v/>
      </c>
      <c r="P872" s="78">
        <f>IF(D872="","",IF(AND(H872&lt;&gt;"",H872&gt;=B872),"⚠️ Predecessor must be above",IF(M872="Done","✓ Done",IF(Q872=3,"🔴 Late",IF(M872="In progress","In progress","")))))</f>
        <v/>
      </c>
      <c r="Q872" s="79">
        <f>IF(OR(D872="",L872=""),"",IF(M872="Done",2,IF(AsOf&gt;L872,3,1)))</f>
        <v/>
      </c>
      <c r="R872" s="79">
        <f>IF(OR(E872="",F872=""),0,IF(COUNTIFS($E$7:E872,E872,$F$7:F872,F872)=1,1,0))</f>
        <v/>
      </c>
      <c r="S872" s="79">
        <f>IF(R872=1,E872&amp;"|"&amp;SUMIFS($R$7:R872,$E$7:E872,E872),"")</f>
        <v/>
      </c>
      <c r="T872" s="112">
        <f>IF(Q872="","",IF(Q872=3,L872,IF(OR(M872="Not started",M872=""),J872,"")))</f>
        <v/>
      </c>
      <c r="U872" s="79">
        <f>IF(T872="","",IF(Q872=3,1,IF(T872="","",IF(T872&lt;AsOf,1,IF(T872&lt;=AsOf+AlertDays,2,IF(T872&lt;=AsOf+2*AlertDays,3,""))))))</f>
        <v/>
      </c>
      <c r="V872" s="79">
        <f>IF(U872="","",IF(Q872=3,"Late task: "&amp;D872,IF(T872&lt;AsOf,"Should have started: ","Starts soon: ")&amp;D872)&amp;IF(F872="",""," — "&amp;F872))</f>
        <v/>
      </c>
    </row>
    <row r="873" ht="20" customHeight="1">
      <c r="B873" s="125" t="n">
        <v>867</v>
      </c>
      <c r="C873" s="72" t="n"/>
      <c r="D873" s="72" t="n"/>
      <c r="E873" s="72" t="n"/>
      <c r="F873" s="72" t="n"/>
      <c r="G873" s="89" t="n"/>
      <c r="H873" s="89" t="n"/>
      <c r="I873" s="109" t="n"/>
      <c r="J873" s="126">
        <f>IF(OR(D873="",ProjStart=""),"",MAX(ProjStart,IF(I873&lt;&gt;"",I873,0),IF(H873="",0,IFERROR(INDEX($L$6:L872,MATCH(H873,$B$6:B872,0))+1,0))))</f>
        <v/>
      </c>
      <c r="K873" s="89" t="n"/>
      <c r="L873" s="126">
        <f>IF(J873="","",J873+MAX(1,G873)+IF(K873="",0,K873)-1)</f>
        <v/>
      </c>
      <c r="M873" s="72" t="n"/>
      <c r="N873" s="109" t="n"/>
      <c r="O873" s="127">
        <f>IF(D873="","",COUNTIF($H$7:$H$1006,B873))</f>
        <v/>
      </c>
      <c r="P873" s="78">
        <f>IF(D873="","",IF(AND(H873&lt;&gt;"",H873&gt;=B873),"⚠️ Predecessor must be above",IF(M873="Done","✓ Done",IF(Q873=3,"🔴 Late",IF(M873="In progress","In progress","")))))</f>
        <v/>
      </c>
      <c r="Q873" s="79">
        <f>IF(OR(D873="",L873=""),"",IF(M873="Done",2,IF(AsOf&gt;L873,3,1)))</f>
        <v/>
      </c>
      <c r="R873" s="79">
        <f>IF(OR(E873="",F873=""),0,IF(COUNTIFS($E$7:E873,E873,$F$7:F873,F873)=1,1,0))</f>
        <v/>
      </c>
      <c r="S873" s="79">
        <f>IF(R873=1,E873&amp;"|"&amp;SUMIFS($R$7:R873,$E$7:E873,E873),"")</f>
        <v/>
      </c>
      <c r="T873" s="112">
        <f>IF(Q873="","",IF(Q873=3,L873,IF(OR(M873="Not started",M873=""),J873,"")))</f>
        <v/>
      </c>
      <c r="U873" s="79">
        <f>IF(T873="","",IF(Q873=3,1,IF(T873="","",IF(T873&lt;AsOf,1,IF(T873&lt;=AsOf+AlertDays,2,IF(T873&lt;=AsOf+2*AlertDays,3,""))))))</f>
        <v/>
      </c>
      <c r="V873" s="79">
        <f>IF(U873="","",IF(Q873=3,"Late task: "&amp;D873,IF(T873&lt;AsOf,"Should have started: ","Starts soon: ")&amp;D873)&amp;IF(F873="",""," — "&amp;F873))</f>
        <v/>
      </c>
    </row>
    <row r="874" ht="20" customHeight="1">
      <c r="B874" s="125" t="n">
        <v>868</v>
      </c>
      <c r="C874" s="72" t="n"/>
      <c r="D874" s="72" t="n"/>
      <c r="E874" s="72" t="n"/>
      <c r="F874" s="72" t="n"/>
      <c r="G874" s="89" t="n"/>
      <c r="H874" s="89" t="n"/>
      <c r="I874" s="109" t="n"/>
      <c r="J874" s="126">
        <f>IF(OR(D874="",ProjStart=""),"",MAX(ProjStart,IF(I874&lt;&gt;"",I874,0),IF(H874="",0,IFERROR(INDEX($L$6:L873,MATCH(H874,$B$6:B873,0))+1,0))))</f>
        <v/>
      </c>
      <c r="K874" s="89" t="n"/>
      <c r="L874" s="126">
        <f>IF(J874="","",J874+MAX(1,G874)+IF(K874="",0,K874)-1)</f>
        <v/>
      </c>
      <c r="M874" s="72" t="n"/>
      <c r="N874" s="109" t="n"/>
      <c r="O874" s="127">
        <f>IF(D874="","",COUNTIF($H$7:$H$1006,B874))</f>
        <v/>
      </c>
      <c r="P874" s="78">
        <f>IF(D874="","",IF(AND(H874&lt;&gt;"",H874&gt;=B874),"⚠️ Predecessor must be above",IF(M874="Done","✓ Done",IF(Q874=3,"🔴 Late",IF(M874="In progress","In progress","")))))</f>
        <v/>
      </c>
      <c r="Q874" s="79">
        <f>IF(OR(D874="",L874=""),"",IF(M874="Done",2,IF(AsOf&gt;L874,3,1)))</f>
        <v/>
      </c>
      <c r="R874" s="79">
        <f>IF(OR(E874="",F874=""),0,IF(COUNTIFS($E$7:E874,E874,$F$7:F874,F874)=1,1,0))</f>
        <v/>
      </c>
      <c r="S874" s="79">
        <f>IF(R874=1,E874&amp;"|"&amp;SUMIFS($R$7:R874,$E$7:E874,E874),"")</f>
        <v/>
      </c>
      <c r="T874" s="112">
        <f>IF(Q874="","",IF(Q874=3,L874,IF(OR(M874="Not started",M874=""),J874,"")))</f>
        <v/>
      </c>
      <c r="U874" s="79">
        <f>IF(T874="","",IF(Q874=3,1,IF(T874="","",IF(T874&lt;AsOf,1,IF(T874&lt;=AsOf+AlertDays,2,IF(T874&lt;=AsOf+2*AlertDays,3,""))))))</f>
        <v/>
      </c>
      <c r="V874" s="79">
        <f>IF(U874="","",IF(Q874=3,"Late task: "&amp;D874,IF(T874&lt;AsOf,"Should have started: ","Starts soon: ")&amp;D874)&amp;IF(F874="",""," — "&amp;F874))</f>
        <v/>
      </c>
    </row>
    <row r="875" ht="20" customHeight="1">
      <c r="B875" s="125" t="n">
        <v>869</v>
      </c>
      <c r="C875" s="72" t="n"/>
      <c r="D875" s="72" t="n"/>
      <c r="E875" s="72" t="n"/>
      <c r="F875" s="72" t="n"/>
      <c r="G875" s="89" t="n"/>
      <c r="H875" s="89" t="n"/>
      <c r="I875" s="109" t="n"/>
      <c r="J875" s="126">
        <f>IF(OR(D875="",ProjStart=""),"",MAX(ProjStart,IF(I875&lt;&gt;"",I875,0),IF(H875="",0,IFERROR(INDEX($L$6:L874,MATCH(H875,$B$6:B874,0))+1,0))))</f>
        <v/>
      </c>
      <c r="K875" s="89" t="n"/>
      <c r="L875" s="126">
        <f>IF(J875="","",J875+MAX(1,G875)+IF(K875="",0,K875)-1)</f>
        <v/>
      </c>
      <c r="M875" s="72" t="n"/>
      <c r="N875" s="109" t="n"/>
      <c r="O875" s="127">
        <f>IF(D875="","",COUNTIF($H$7:$H$1006,B875))</f>
        <v/>
      </c>
      <c r="P875" s="78">
        <f>IF(D875="","",IF(AND(H875&lt;&gt;"",H875&gt;=B875),"⚠️ Predecessor must be above",IF(M875="Done","✓ Done",IF(Q875=3,"🔴 Late",IF(M875="In progress","In progress","")))))</f>
        <v/>
      </c>
      <c r="Q875" s="79">
        <f>IF(OR(D875="",L875=""),"",IF(M875="Done",2,IF(AsOf&gt;L875,3,1)))</f>
        <v/>
      </c>
      <c r="R875" s="79">
        <f>IF(OR(E875="",F875=""),0,IF(COUNTIFS($E$7:E875,E875,$F$7:F875,F875)=1,1,0))</f>
        <v/>
      </c>
      <c r="S875" s="79">
        <f>IF(R875=1,E875&amp;"|"&amp;SUMIFS($R$7:R875,$E$7:E875,E875),"")</f>
        <v/>
      </c>
      <c r="T875" s="112">
        <f>IF(Q875="","",IF(Q875=3,L875,IF(OR(M875="Not started",M875=""),J875,"")))</f>
        <v/>
      </c>
      <c r="U875" s="79">
        <f>IF(T875="","",IF(Q875=3,1,IF(T875="","",IF(T875&lt;AsOf,1,IF(T875&lt;=AsOf+AlertDays,2,IF(T875&lt;=AsOf+2*AlertDays,3,""))))))</f>
        <v/>
      </c>
      <c r="V875" s="79">
        <f>IF(U875="","",IF(Q875=3,"Late task: "&amp;D875,IF(T875&lt;AsOf,"Should have started: ","Starts soon: ")&amp;D875)&amp;IF(F875="",""," — "&amp;F875))</f>
        <v/>
      </c>
    </row>
    <row r="876" ht="20" customHeight="1">
      <c r="B876" s="125" t="n">
        <v>870</v>
      </c>
      <c r="C876" s="72" t="n"/>
      <c r="D876" s="72" t="n"/>
      <c r="E876" s="72" t="n"/>
      <c r="F876" s="72" t="n"/>
      <c r="G876" s="89" t="n"/>
      <c r="H876" s="89" t="n"/>
      <c r="I876" s="109" t="n"/>
      <c r="J876" s="126">
        <f>IF(OR(D876="",ProjStart=""),"",MAX(ProjStart,IF(I876&lt;&gt;"",I876,0),IF(H876="",0,IFERROR(INDEX($L$6:L875,MATCH(H876,$B$6:B875,0))+1,0))))</f>
        <v/>
      </c>
      <c r="K876" s="89" t="n"/>
      <c r="L876" s="126">
        <f>IF(J876="","",J876+MAX(1,G876)+IF(K876="",0,K876)-1)</f>
        <v/>
      </c>
      <c r="M876" s="72" t="n"/>
      <c r="N876" s="109" t="n"/>
      <c r="O876" s="127">
        <f>IF(D876="","",COUNTIF($H$7:$H$1006,B876))</f>
        <v/>
      </c>
      <c r="P876" s="78">
        <f>IF(D876="","",IF(AND(H876&lt;&gt;"",H876&gt;=B876),"⚠️ Predecessor must be above",IF(M876="Done","✓ Done",IF(Q876=3,"🔴 Late",IF(M876="In progress","In progress","")))))</f>
        <v/>
      </c>
      <c r="Q876" s="79">
        <f>IF(OR(D876="",L876=""),"",IF(M876="Done",2,IF(AsOf&gt;L876,3,1)))</f>
        <v/>
      </c>
      <c r="R876" s="79">
        <f>IF(OR(E876="",F876=""),0,IF(COUNTIFS($E$7:E876,E876,$F$7:F876,F876)=1,1,0))</f>
        <v/>
      </c>
      <c r="S876" s="79">
        <f>IF(R876=1,E876&amp;"|"&amp;SUMIFS($R$7:R876,$E$7:E876,E876),"")</f>
        <v/>
      </c>
      <c r="T876" s="112">
        <f>IF(Q876="","",IF(Q876=3,L876,IF(OR(M876="Not started",M876=""),J876,"")))</f>
        <v/>
      </c>
      <c r="U876" s="79">
        <f>IF(T876="","",IF(Q876=3,1,IF(T876="","",IF(T876&lt;AsOf,1,IF(T876&lt;=AsOf+AlertDays,2,IF(T876&lt;=AsOf+2*AlertDays,3,""))))))</f>
        <v/>
      </c>
      <c r="V876" s="79">
        <f>IF(U876="","",IF(Q876=3,"Late task: "&amp;D876,IF(T876&lt;AsOf,"Should have started: ","Starts soon: ")&amp;D876)&amp;IF(F876="",""," — "&amp;F876))</f>
        <v/>
      </c>
    </row>
    <row r="877" ht="20" customHeight="1">
      <c r="B877" s="125" t="n">
        <v>871</v>
      </c>
      <c r="C877" s="72" t="n"/>
      <c r="D877" s="72" t="n"/>
      <c r="E877" s="72" t="n"/>
      <c r="F877" s="72" t="n"/>
      <c r="G877" s="89" t="n"/>
      <c r="H877" s="89" t="n"/>
      <c r="I877" s="109" t="n"/>
      <c r="J877" s="126">
        <f>IF(OR(D877="",ProjStart=""),"",MAX(ProjStart,IF(I877&lt;&gt;"",I877,0),IF(H877="",0,IFERROR(INDEX($L$6:L876,MATCH(H877,$B$6:B876,0))+1,0))))</f>
        <v/>
      </c>
      <c r="K877" s="89" t="n"/>
      <c r="L877" s="126">
        <f>IF(J877="","",J877+MAX(1,G877)+IF(K877="",0,K877)-1)</f>
        <v/>
      </c>
      <c r="M877" s="72" t="n"/>
      <c r="N877" s="109" t="n"/>
      <c r="O877" s="127">
        <f>IF(D877="","",COUNTIF($H$7:$H$1006,B877))</f>
        <v/>
      </c>
      <c r="P877" s="78">
        <f>IF(D877="","",IF(AND(H877&lt;&gt;"",H877&gt;=B877),"⚠️ Predecessor must be above",IF(M877="Done","✓ Done",IF(Q877=3,"🔴 Late",IF(M877="In progress","In progress","")))))</f>
        <v/>
      </c>
      <c r="Q877" s="79">
        <f>IF(OR(D877="",L877=""),"",IF(M877="Done",2,IF(AsOf&gt;L877,3,1)))</f>
        <v/>
      </c>
      <c r="R877" s="79">
        <f>IF(OR(E877="",F877=""),0,IF(COUNTIFS($E$7:E877,E877,$F$7:F877,F877)=1,1,0))</f>
        <v/>
      </c>
      <c r="S877" s="79">
        <f>IF(R877=1,E877&amp;"|"&amp;SUMIFS($R$7:R877,$E$7:E877,E877),"")</f>
        <v/>
      </c>
      <c r="T877" s="112">
        <f>IF(Q877="","",IF(Q877=3,L877,IF(OR(M877="Not started",M877=""),J877,"")))</f>
        <v/>
      </c>
      <c r="U877" s="79">
        <f>IF(T877="","",IF(Q877=3,1,IF(T877="","",IF(T877&lt;AsOf,1,IF(T877&lt;=AsOf+AlertDays,2,IF(T877&lt;=AsOf+2*AlertDays,3,""))))))</f>
        <v/>
      </c>
      <c r="V877" s="79">
        <f>IF(U877="","",IF(Q877=3,"Late task: "&amp;D877,IF(T877&lt;AsOf,"Should have started: ","Starts soon: ")&amp;D877)&amp;IF(F877="",""," — "&amp;F877))</f>
        <v/>
      </c>
    </row>
    <row r="878" ht="20" customHeight="1">
      <c r="B878" s="125" t="n">
        <v>872</v>
      </c>
      <c r="C878" s="72" t="n"/>
      <c r="D878" s="72" t="n"/>
      <c r="E878" s="72" t="n"/>
      <c r="F878" s="72" t="n"/>
      <c r="G878" s="89" t="n"/>
      <c r="H878" s="89" t="n"/>
      <c r="I878" s="109" t="n"/>
      <c r="J878" s="126">
        <f>IF(OR(D878="",ProjStart=""),"",MAX(ProjStart,IF(I878&lt;&gt;"",I878,0),IF(H878="",0,IFERROR(INDEX($L$6:L877,MATCH(H878,$B$6:B877,0))+1,0))))</f>
        <v/>
      </c>
      <c r="K878" s="89" t="n"/>
      <c r="L878" s="126">
        <f>IF(J878="","",J878+MAX(1,G878)+IF(K878="",0,K878)-1)</f>
        <v/>
      </c>
      <c r="M878" s="72" t="n"/>
      <c r="N878" s="109" t="n"/>
      <c r="O878" s="127">
        <f>IF(D878="","",COUNTIF($H$7:$H$1006,B878))</f>
        <v/>
      </c>
      <c r="P878" s="78">
        <f>IF(D878="","",IF(AND(H878&lt;&gt;"",H878&gt;=B878),"⚠️ Predecessor must be above",IF(M878="Done","✓ Done",IF(Q878=3,"🔴 Late",IF(M878="In progress","In progress","")))))</f>
        <v/>
      </c>
      <c r="Q878" s="79">
        <f>IF(OR(D878="",L878=""),"",IF(M878="Done",2,IF(AsOf&gt;L878,3,1)))</f>
        <v/>
      </c>
      <c r="R878" s="79">
        <f>IF(OR(E878="",F878=""),0,IF(COUNTIFS($E$7:E878,E878,$F$7:F878,F878)=1,1,0))</f>
        <v/>
      </c>
      <c r="S878" s="79">
        <f>IF(R878=1,E878&amp;"|"&amp;SUMIFS($R$7:R878,$E$7:E878,E878),"")</f>
        <v/>
      </c>
      <c r="T878" s="112">
        <f>IF(Q878="","",IF(Q878=3,L878,IF(OR(M878="Not started",M878=""),J878,"")))</f>
        <v/>
      </c>
      <c r="U878" s="79">
        <f>IF(T878="","",IF(Q878=3,1,IF(T878="","",IF(T878&lt;AsOf,1,IF(T878&lt;=AsOf+AlertDays,2,IF(T878&lt;=AsOf+2*AlertDays,3,""))))))</f>
        <v/>
      </c>
      <c r="V878" s="79">
        <f>IF(U878="","",IF(Q878=3,"Late task: "&amp;D878,IF(T878&lt;AsOf,"Should have started: ","Starts soon: ")&amp;D878)&amp;IF(F878="",""," — "&amp;F878))</f>
        <v/>
      </c>
    </row>
    <row r="879" ht="20" customHeight="1">
      <c r="B879" s="125" t="n">
        <v>873</v>
      </c>
      <c r="C879" s="72" t="n"/>
      <c r="D879" s="72" t="n"/>
      <c r="E879" s="72" t="n"/>
      <c r="F879" s="72" t="n"/>
      <c r="G879" s="89" t="n"/>
      <c r="H879" s="89" t="n"/>
      <c r="I879" s="109" t="n"/>
      <c r="J879" s="126">
        <f>IF(OR(D879="",ProjStart=""),"",MAX(ProjStart,IF(I879&lt;&gt;"",I879,0),IF(H879="",0,IFERROR(INDEX($L$6:L878,MATCH(H879,$B$6:B878,0))+1,0))))</f>
        <v/>
      </c>
      <c r="K879" s="89" t="n"/>
      <c r="L879" s="126">
        <f>IF(J879="","",J879+MAX(1,G879)+IF(K879="",0,K879)-1)</f>
        <v/>
      </c>
      <c r="M879" s="72" t="n"/>
      <c r="N879" s="109" t="n"/>
      <c r="O879" s="127">
        <f>IF(D879="","",COUNTIF($H$7:$H$1006,B879))</f>
        <v/>
      </c>
      <c r="P879" s="78">
        <f>IF(D879="","",IF(AND(H879&lt;&gt;"",H879&gt;=B879),"⚠️ Predecessor must be above",IF(M879="Done","✓ Done",IF(Q879=3,"🔴 Late",IF(M879="In progress","In progress","")))))</f>
        <v/>
      </c>
      <c r="Q879" s="79">
        <f>IF(OR(D879="",L879=""),"",IF(M879="Done",2,IF(AsOf&gt;L879,3,1)))</f>
        <v/>
      </c>
      <c r="R879" s="79">
        <f>IF(OR(E879="",F879=""),0,IF(COUNTIFS($E$7:E879,E879,$F$7:F879,F879)=1,1,0))</f>
        <v/>
      </c>
      <c r="S879" s="79">
        <f>IF(R879=1,E879&amp;"|"&amp;SUMIFS($R$7:R879,$E$7:E879,E879),"")</f>
        <v/>
      </c>
      <c r="T879" s="112">
        <f>IF(Q879="","",IF(Q879=3,L879,IF(OR(M879="Not started",M879=""),J879,"")))</f>
        <v/>
      </c>
      <c r="U879" s="79">
        <f>IF(T879="","",IF(Q879=3,1,IF(T879="","",IF(T879&lt;AsOf,1,IF(T879&lt;=AsOf+AlertDays,2,IF(T879&lt;=AsOf+2*AlertDays,3,""))))))</f>
        <v/>
      </c>
      <c r="V879" s="79">
        <f>IF(U879="","",IF(Q879=3,"Late task: "&amp;D879,IF(T879&lt;AsOf,"Should have started: ","Starts soon: ")&amp;D879)&amp;IF(F879="",""," — "&amp;F879))</f>
        <v/>
      </c>
    </row>
    <row r="880" ht="20" customHeight="1">
      <c r="B880" s="125" t="n">
        <v>874</v>
      </c>
      <c r="C880" s="72" t="n"/>
      <c r="D880" s="72" t="n"/>
      <c r="E880" s="72" t="n"/>
      <c r="F880" s="72" t="n"/>
      <c r="G880" s="89" t="n"/>
      <c r="H880" s="89" t="n"/>
      <c r="I880" s="109" t="n"/>
      <c r="J880" s="126">
        <f>IF(OR(D880="",ProjStart=""),"",MAX(ProjStart,IF(I880&lt;&gt;"",I880,0),IF(H880="",0,IFERROR(INDEX($L$6:L879,MATCH(H880,$B$6:B879,0))+1,0))))</f>
        <v/>
      </c>
      <c r="K880" s="89" t="n"/>
      <c r="L880" s="126">
        <f>IF(J880="","",J880+MAX(1,G880)+IF(K880="",0,K880)-1)</f>
        <v/>
      </c>
      <c r="M880" s="72" t="n"/>
      <c r="N880" s="109" t="n"/>
      <c r="O880" s="127">
        <f>IF(D880="","",COUNTIF($H$7:$H$1006,B880))</f>
        <v/>
      </c>
      <c r="P880" s="78">
        <f>IF(D880="","",IF(AND(H880&lt;&gt;"",H880&gt;=B880),"⚠️ Predecessor must be above",IF(M880="Done","✓ Done",IF(Q880=3,"🔴 Late",IF(M880="In progress","In progress","")))))</f>
        <v/>
      </c>
      <c r="Q880" s="79">
        <f>IF(OR(D880="",L880=""),"",IF(M880="Done",2,IF(AsOf&gt;L880,3,1)))</f>
        <v/>
      </c>
      <c r="R880" s="79">
        <f>IF(OR(E880="",F880=""),0,IF(COUNTIFS($E$7:E880,E880,$F$7:F880,F880)=1,1,0))</f>
        <v/>
      </c>
      <c r="S880" s="79">
        <f>IF(R880=1,E880&amp;"|"&amp;SUMIFS($R$7:R880,$E$7:E880,E880),"")</f>
        <v/>
      </c>
      <c r="T880" s="112">
        <f>IF(Q880="","",IF(Q880=3,L880,IF(OR(M880="Not started",M880=""),J880,"")))</f>
        <v/>
      </c>
      <c r="U880" s="79">
        <f>IF(T880="","",IF(Q880=3,1,IF(T880="","",IF(T880&lt;AsOf,1,IF(T880&lt;=AsOf+AlertDays,2,IF(T880&lt;=AsOf+2*AlertDays,3,""))))))</f>
        <v/>
      </c>
      <c r="V880" s="79">
        <f>IF(U880="","",IF(Q880=3,"Late task: "&amp;D880,IF(T880&lt;AsOf,"Should have started: ","Starts soon: ")&amp;D880)&amp;IF(F880="",""," — "&amp;F880))</f>
        <v/>
      </c>
    </row>
    <row r="881" ht="20" customHeight="1">
      <c r="B881" s="125" t="n">
        <v>875</v>
      </c>
      <c r="C881" s="72" t="n"/>
      <c r="D881" s="72" t="n"/>
      <c r="E881" s="72" t="n"/>
      <c r="F881" s="72" t="n"/>
      <c r="G881" s="89" t="n"/>
      <c r="H881" s="89" t="n"/>
      <c r="I881" s="109" t="n"/>
      <c r="J881" s="126">
        <f>IF(OR(D881="",ProjStart=""),"",MAX(ProjStart,IF(I881&lt;&gt;"",I881,0),IF(H881="",0,IFERROR(INDEX($L$6:L880,MATCH(H881,$B$6:B880,0))+1,0))))</f>
        <v/>
      </c>
      <c r="K881" s="89" t="n"/>
      <c r="L881" s="126">
        <f>IF(J881="","",J881+MAX(1,G881)+IF(K881="",0,K881)-1)</f>
        <v/>
      </c>
      <c r="M881" s="72" t="n"/>
      <c r="N881" s="109" t="n"/>
      <c r="O881" s="127">
        <f>IF(D881="","",COUNTIF($H$7:$H$1006,B881))</f>
        <v/>
      </c>
      <c r="P881" s="78">
        <f>IF(D881="","",IF(AND(H881&lt;&gt;"",H881&gt;=B881),"⚠️ Predecessor must be above",IF(M881="Done","✓ Done",IF(Q881=3,"🔴 Late",IF(M881="In progress","In progress","")))))</f>
        <v/>
      </c>
      <c r="Q881" s="79">
        <f>IF(OR(D881="",L881=""),"",IF(M881="Done",2,IF(AsOf&gt;L881,3,1)))</f>
        <v/>
      </c>
      <c r="R881" s="79">
        <f>IF(OR(E881="",F881=""),0,IF(COUNTIFS($E$7:E881,E881,$F$7:F881,F881)=1,1,0))</f>
        <v/>
      </c>
      <c r="S881" s="79">
        <f>IF(R881=1,E881&amp;"|"&amp;SUMIFS($R$7:R881,$E$7:E881,E881),"")</f>
        <v/>
      </c>
      <c r="T881" s="112">
        <f>IF(Q881="","",IF(Q881=3,L881,IF(OR(M881="Not started",M881=""),J881,"")))</f>
        <v/>
      </c>
      <c r="U881" s="79">
        <f>IF(T881="","",IF(Q881=3,1,IF(T881="","",IF(T881&lt;AsOf,1,IF(T881&lt;=AsOf+AlertDays,2,IF(T881&lt;=AsOf+2*AlertDays,3,""))))))</f>
        <v/>
      </c>
      <c r="V881" s="79">
        <f>IF(U881="","",IF(Q881=3,"Late task: "&amp;D881,IF(T881&lt;AsOf,"Should have started: ","Starts soon: ")&amp;D881)&amp;IF(F881="",""," — "&amp;F881))</f>
        <v/>
      </c>
    </row>
    <row r="882" ht="20" customHeight="1">
      <c r="B882" s="125" t="n">
        <v>876</v>
      </c>
      <c r="C882" s="72" t="n"/>
      <c r="D882" s="72" t="n"/>
      <c r="E882" s="72" t="n"/>
      <c r="F882" s="72" t="n"/>
      <c r="G882" s="89" t="n"/>
      <c r="H882" s="89" t="n"/>
      <c r="I882" s="109" t="n"/>
      <c r="J882" s="126">
        <f>IF(OR(D882="",ProjStart=""),"",MAX(ProjStart,IF(I882&lt;&gt;"",I882,0),IF(H882="",0,IFERROR(INDEX($L$6:L881,MATCH(H882,$B$6:B881,0))+1,0))))</f>
        <v/>
      </c>
      <c r="K882" s="89" t="n"/>
      <c r="L882" s="126">
        <f>IF(J882="","",J882+MAX(1,G882)+IF(K882="",0,K882)-1)</f>
        <v/>
      </c>
      <c r="M882" s="72" t="n"/>
      <c r="N882" s="109" t="n"/>
      <c r="O882" s="127">
        <f>IF(D882="","",COUNTIF($H$7:$H$1006,B882))</f>
        <v/>
      </c>
      <c r="P882" s="78">
        <f>IF(D882="","",IF(AND(H882&lt;&gt;"",H882&gt;=B882),"⚠️ Predecessor must be above",IF(M882="Done","✓ Done",IF(Q882=3,"🔴 Late",IF(M882="In progress","In progress","")))))</f>
        <v/>
      </c>
      <c r="Q882" s="79">
        <f>IF(OR(D882="",L882=""),"",IF(M882="Done",2,IF(AsOf&gt;L882,3,1)))</f>
        <v/>
      </c>
      <c r="R882" s="79">
        <f>IF(OR(E882="",F882=""),0,IF(COUNTIFS($E$7:E882,E882,$F$7:F882,F882)=1,1,0))</f>
        <v/>
      </c>
      <c r="S882" s="79">
        <f>IF(R882=1,E882&amp;"|"&amp;SUMIFS($R$7:R882,$E$7:E882,E882),"")</f>
        <v/>
      </c>
      <c r="T882" s="112">
        <f>IF(Q882="","",IF(Q882=3,L882,IF(OR(M882="Not started",M882=""),J882,"")))</f>
        <v/>
      </c>
      <c r="U882" s="79">
        <f>IF(T882="","",IF(Q882=3,1,IF(T882="","",IF(T882&lt;AsOf,1,IF(T882&lt;=AsOf+AlertDays,2,IF(T882&lt;=AsOf+2*AlertDays,3,""))))))</f>
        <v/>
      </c>
      <c r="V882" s="79">
        <f>IF(U882="","",IF(Q882=3,"Late task: "&amp;D882,IF(T882&lt;AsOf,"Should have started: ","Starts soon: ")&amp;D882)&amp;IF(F882="",""," — "&amp;F882))</f>
        <v/>
      </c>
    </row>
    <row r="883" ht="20" customHeight="1">
      <c r="B883" s="125" t="n">
        <v>877</v>
      </c>
      <c r="C883" s="72" t="n"/>
      <c r="D883" s="72" t="n"/>
      <c r="E883" s="72" t="n"/>
      <c r="F883" s="72" t="n"/>
      <c r="G883" s="89" t="n"/>
      <c r="H883" s="89" t="n"/>
      <c r="I883" s="109" t="n"/>
      <c r="J883" s="126">
        <f>IF(OR(D883="",ProjStart=""),"",MAX(ProjStart,IF(I883&lt;&gt;"",I883,0),IF(H883="",0,IFERROR(INDEX($L$6:L882,MATCH(H883,$B$6:B882,0))+1,0))))</f>
        <v/>
      </c>
      <c r="K883" s="89" t="n"/>
      <c r="L883" s="126">
        <f>IF(J883="","",J883+MAX(1,G883)+IF(K883="",0,K883)-1)</f>
        <v/>
      </c>
      <c r="M883" s="72" t="n"/>
      <c r="N883" s="109" t="n"/>
      <c r="O883" s="127">
        <f>IF(D883="","",COUNTIF($H$7:$H$1006,B883))</f>
        <v/>
      </c>
      <c r="P883" s="78">
        <f>IF(D883="","",IF(AND(H883&lt;&gt;"",H883&gt;=B883),"⚠️ Predecessor must be above",IF(M883="Done","✓ Done",IF(Q883=3,"🔴 Late",IF(M883="In progress","In progress","")))))</f>
        <v/>
      </c>
      <c r="Q883" s="79">
        <f>IF(OR(D883="",L883=""),"",IF(M883="Done",2,IF(AsOf&gt;L883,3,1)))</f>
        <v/>
      </c>
      <c r="R883" s="79">
        <f>IF(OR(E883="",F883=""),0,IF(COUNTIFS($E$7:E883,E883,$F$7:F883,F883)=1,1,0))</f>
        <v/>
      </c>
      <c r="S883" s="79">
        <f>IF(R883=1,E883&amp;"|"&amp;SUMIFS($R$7:R883,$E$7:E883,E883),"")</f>
        <v/>
      </c>
      <c r="T883" s="112">
        <f>IF(Q883="","",IF(Q883=3,L883,IF(OR(M883="Not started",M883=""),J883,"")))</f>
        <v/>
      </c>
      <c r="U883" s="79">
        <f>IF(T883="","",IF(Q883=3,1,IF(T883="","",IF(T883&lt;AsOf,1,IF(T883&lt;=AsOf+AlertDays,2,IF(T883&lt;=AsOf+2*AlertDays,3,""))))))</f>
        <v/>
      </c>
      <c r="V883" s="79">
        <f>IF(U883="","",IF(Q883=3,"Late task: "&amp;D883,IF(T883&lt;AsOf,"Should have started: ","Starts soon: ")&amp;D883)&amp;IF(F883="",""," — "&amp;F883))</f>
        <v/>
      </c>
    </row>
    <row r="884" ht="20" customHeight="1">
      <c r="B884" s="125" t="n">
        <v>878</v>
      </c>
      <c r="C884" s="72" t="n"/>
      <c r="D884" s="72" t="n"/>
      <c r="E884" s="72" t="n"/>
      <c r="F884" s="72" t="n"/>
      <c r="G884" s="89" t="n"/>
      <c r="H884" s="89" t="n"/>
      <c r="I884" s="109" t="n"/>
      <c r="J884" s="126">
        <f>IF(OR(D884="",ProjStart=""),"",MAX(ProjStart,IF(I884&lt;&gt;"",I884,0),IF(H884="",0,IFERROR(INDEX($L$6:L883,MATCH(H884,$B$6:B883,0))+1,0))))</f>
        <v/>
      </c>
      <c r="K884" s="89" t="n"/>
      <c r="L884" s="126">
        <f>IF(J884="","",J884+MAX(1,G884)+IF(K884="",0,K884)-1)</f>
        <v/>
      </c>
      <c r="M884" s="72" t="n"/>
      <c r="N884" s="109" t="n"/>
      <c r="O884" s="127">
        <f>IF(D884="","",COUNTIF($H$7:$H$1006,B884))</f>
        <v/>
      </c>
      <c r="P884" s="78">
        <f>IF(D884="","",IF(AND(H884&lt;&gt;"",H884&gt;=B884),"⚠️ Predecessor must be above",IF(M884="Done","✓ Done",IF(Q884=3,"🔴 Late",IF(M884="In progress","In progress","")))))</f>
        <v/>
      </c>
      <c r="Q884" s="79">
        <f>IF(OR(D884="",L884=""),"",IF(M884="Done",2,IF(AsOf&gt;L884,3,1)))</f>
        <v/>
      </c>
      <c r="R884" s="79">
        <f>IF(OR(E884="",F884=""),0,IF(COUNTIFS($E$7:E884,E884,$F$7:F884,F884)=1,1,0))</f>
        <v/>
      </c>
      <c r="S884" s="79">
        <f>IF(R884=1,E884&amp;"|"&amp;SUMIFS($R$7:R884,$E$7:E884,E884),"")</f>
        <v/>
      </c>
      <c r="T884" s="112">
        <f>IF(Q884="","",IF(Q884=3,L884,IF(OR(M884="Not started",M884=""),J884,"")))</f>
        <v/>
      </c>
      <c r="U884" s="79">
        <f>IF(T884="","",IF(Q884=3,1,IF(T884="","",IF(T884&lt;AsOf,1,IF(T884&lt;=AsOf+AlertDays,2,IF(T884&lt;=AsOf+2*AlertDays,3,""))))))</f>
        <v/>
      </c>
      <c r="V884" s="79">
        <f>IF(U884="","",IF(Q884=3,"Late task: "&amp;D884,IF(T884&lt;AsOf,"Should have started: ","Starts soon: ")&amp;D884)&amp;IF(F884="",""," — "&amp;F884))</f>
        <v/>
      </c>
    </row>
    <row r="885" ht="20" customHeight="1">
      <c r="B885" s="125" t="n">
        <v>879</v>
      </c>
      <c r="C885" s="72" t="n"/>
      <c r="D885" s="72" t="n"/>
      <c r="E885" s="72" t="n"/>
      <c r="F885" s="72" t="n"/>
      <c r="G885" s="89" t="n"/>
      <c r="H885" s="89" t="n"/>
      <c r="I885" s="109" t="n"/>
      <c r="J885" s="126">
        <f>IF(OR(D885="",ProjStart=""),"",MAX(ProjStart,IF(I885&lt;&gt;"",I885,0),IF(H885="",0,IFERROR(INDEX($L$6:L884,MATCH(H885,$B$6:B884,0))+1,0))))</f>
        <v/>
      </c>
      <c r="K885" s="89" t="n"/>
      <c r="L885" s="126">
        <f>IF(J885="","",J885+MAX(1,G885)+IF(K885="",0,K885)-1)</f>
        <v/>
      </c>
      <c r="M885" s="72" t="n"/>
      <c r="N885" s="109" t="n"/>
      <c r="O885" s="127">
        <f>IF(D885="","",COUNTIF($H$7:$H$1006,B885))</f>
        <v/>
      </c>
      <c r="P885" s="78">
        <f>IF(D885="","",IF(AND(H885&lt;&gt;"",H885&gt;=B885),"⚠️ Predecessor must be above",IF(M885="Done","✓ Done",IF(Q885=3,"🔴 Late",IF(M885="In progress","In progress","")))))</f>
        <v/>
      </c>
      <c r="Q885" s="79">
        <f>IF(OR(D885="",L885=""),"",IF(M885="Done",2,IF(AsOf&gt;L885,3,1)))</f>
        <v/>
      </c>
      <c r="R885" s="79">
        <f>IF(OR(E885="",F885=""),0,IF(COUNTIFS($E$7:E885,E885,$F$7:F885,F885)=1,1,0))</f>
        <v/>
      </c>
      <c r="S885" s="79">
        <f>IF(R885=1,E885&amp;"|"&amp;SUMIFS($R$7:R885,$E$7:E885,E885),"")</f>
        <v/>
      </c>
      <c r="T885" s="112">
        <f>IF(Q885="","",IF(Q885=3,L885,IF(OR(M885="Not started",M885=""),J885,"")))</f>
        <v/>
      </c>
      <c r="U885" s="79">
        <f>IF(T885="","",IF(Q885=3,1,IF(T885="","",IF(T885&lt;AsOf,1,IF(T885&lt;=AsOf+AlertDays,2,IF(T885&lt;=AsOf+2*AlertDays,3,""))))))</f>
        <v/>
      </c>
      <c r="V885" s="79">
        <f>IF(U885="","",IF(Q885=3,"Late task: "&amp;D885,IF(T885&lt;AsOf,"Should have started: ","Starts soon: ")&amp;D885)&amp;IF(F885="",""," — "&amp;F885))</f>
        <v/>
      </c>
    </row>
    <row r="886" ht="20" customHeight="1">
      <c r="B886" s="125" t="n">
        <v>880</v>
      </c>
      <c r="C886" s="72" t="n"/>
      <c r="D886" s="72" t="n"/>
      <c r="E886" s="72" t="n"/>
      <c r="F886" s="72" t="n"/>
      <c r="G886" s="89" t="n"/>
      <c r="H886" s="89" t="n"/>
      <c r="I886" s="109" t="n"/>
      <c r="J886" s="126">
        <f>IF(OR(D886="",ProjStart=""),"",MAX(ProjStart,IF(I886&lt;&gt;"",I886,0),IF(H886="",0,IFERROR(INDEX($L$6:L885,MATCH(H886,$B$6:B885,0))+1,0))))</f>
        <v/>
      </c>
      <c r="K886" s="89" t="n"/>
      <c r="L886" s="126">
        <f>IF(J886="","",J886+MAX(1,G886)+IF(K886="",0,K886)-1)</f>
        <v/>
      </c>
      <c r="M886" s="72" t="n"/>
      <c r="N886" s="109" t="n"/>
      <c r="O886" s="127">
        <f>IF(D886="","",COUNTIF($H$7:$H$1006,B886))</f>
        <v/>
      </c>
      <c r="P886" s="78">
        <f>IF(D886="","",IF(AND(H886&lt;&gt;"",H886&gt;=B886),"⚠️ Predecessor must be above",IF(M886="Done","✓ Done",IF(Q886=3,"🔴 Late",IF(M886="In progress","In progress","")))))</f>
        <v/>
      </c>
      <c r="Q886" s="79">
        <f>IF(OR(D886="",L886=""),"",IF(M886="Done",2,IF(AsOf&gt;L886,3,1)))</f>
        <v/>
      </c>
      <c r="R886" s="79">
        <f>IF(OR(E886="",F886=""),0,IF(COUNTIFS($E$7:E886,E886,$F$7:F886,F886)=1,1,0))</f>
        <v/>
      </c>
      <c r="S886" s="79">
        <f>IF(R886=1,E886&amp;"|"&amp;SUMIFS($R$7:R886,$E$7:E886,E886),"")</f>
        <v/>
      </c>
      <c r="T886" s="112">
        <f>IF(Q886="","",IF(Q886=3,L886,IF(OR(M886="Not started",M886=""),J886,"")))</f>
        <v/>
      </c>
      <c r="U886" s="79">
        <f>IF(T886="","",IF(Q886=3,1,IF(T886="","",IF(T886&lt;AsOf,1,IF(T886&lt;=AsOf+AlertDays,2,IF(T886&lt;=AsOf+2*AlertDays,3,""))))))</f>
        <v/>
      </c>
      <c r="V886" s="79">
        <f>IF(U886="","",IF(Q886=3,"Late task: "&amp;D886,IF(T886&lt;AsOf,"Should have started: ","Starts soon: ")&amp;D886)&amp;IF(F886="",""," — "&amp;F886))</f>
        <v/>
      </c>
    </row>
    <row r="887" ht="20" customHeight="1">
      <c r="B887" s="125" t="n">
        <v>881</v>
      </c>
      <c r="C887" s="72" t="n"/>
      <c r="D887" s="72" t="n"/>
      <c r="E887" s="72" t="n"/>
      <c r="F887" s="72" t="n"/>
      <c r="G887" s="89" t="n"/>
      <c r="H887" s="89" t="n"/>
      <c r="I887" s="109" t="n"/>
      <c r="J887" s="126">
        <f>IF(OR(D887="",ProjStart=""),"",MAX(ProjStart,IF(I887&lt;&gt;"",I887,0),IF(H887="",0,IFERROR(INDEX($L$6:L886,MATCH(H887,$B$6:B886,0))+1,0))))</f>
        <v/>
      </c>
      <c r="K887" s="89" t="n"/>
      <c r="L887" s="126">
        <f>IF(J887="","",J887+MAX(1,G887)+IF(K887="",0,K887)-1)</f>
        <v/>
      </c>
      <c r="M887" s="72" t="n"/>
      <c r="N887" s="109" t="n"/>
      <c r="O887" s="127">
        <f>IF(D887="","",COUNTIF($H$7:$H$1006,B887))</f>
        <v/>
      </c>
      <c r="P887" s="78">
        <f>IF(D887="","",IF(AND(H887&lt;&gt;"",H887&gt;=B887),"⚠️ Predecessor must be above",IF(M887="Done","✓ Done",IF(Q887=3,"🔴 Late",IF(M887="In progress","In progress","")))))</f>
        <v/>
      </c>
      <c r="Q887" s="79">
        <f>IF(OR(D887="",L887=""),"",IF(M887="Done",2,IF(AsOf&gt;L887,3,1)))</f>
        <v/>
      </c>
      <c r="R887" s="79">
        <f>IF(OR(E887="",F887=""),0,IF(COUNTIFS($E$7:E887,E887,$F$7:F887,F887)=1,1,0))</f>
        <v/>
      </c>
      <c r="S887" s="79">
        <f>IF(R887=1,E887&amp;"|"&amp;SUMIFS($R$7:R887,$E$7:E887,E887),"")</f>
        <v/>
      </c>
      <c r="T887" s="112">
        <f>IF(Q887="","",IF(Q887=3,L887,IF(OR(M887="Not started",M887=""),J887,"")))</f>
        <v/>
      </c>
      <c r="U887" s="79">
        <f>IF(T887="","",IF(Q887=3,1,IF(T887="","",IF(T887&lt;AsOf,1,IF(T887&lt;=AsOf+AlertDays,2,IF(T887&lt;=AsOf+2*AlertDays,3,""))))))</f>
        <v/>
      </c>
      <c r="V887" s="79">
        <f>IF(U887="","",IF(Q887=3,"Late task: "&amp;D887,IF(T887&lt;AsOf,"Should have started: ","Starts soon: ")&amp;D887)&amp;IF(F887="",""," — "&amp;F887))</f>
        <v/>
      </c>
    </row>
    <row r="888" ht="20" customHeight="1">
      <c r="B888" s="125" t="n">
        <v>882</v>
      </c>
      <c r="C888" s="72" t="n"/>
      <c r="D888" s="72" t="n"/>
      <c r="E888" s="72" t="n"/>
      <c r="F888" s="72" t="n"/>
      <c r="G888" s="89" t="n"/>
      <c r="H888" s="89" t="n"/>
      <c r="I888" s="109" t="n"/>
      <c r="J888" s="126">
        <f>IF(OR(D888="",ProjStart=""),"",MAX(ProjStart,IF(I888&lt;&gt;"",I888,0),IF(H888="",0,IFERROR(INDEX($L$6:L887,MATCH(H888,$B$6:B887,0))+1,0))))</f>
        <v/>
      </c>
      <c r="K888" s="89" t="n"/>
      <c r="L888" s="126">
        <f>IF(J888="","",J888+MAX(1,G888)+IF(K888="",0,K888)-1)</f>
        <v/>
      </c>
      <c r="M888" s="72" t="n"/>
      <c r="N888" s="109" t="n"/>
      <c r="O888" s="127">
        <f>IF(D888="","",COUNTIF($H$7:$H$1006,B888))</f>
        <v/>
      </c>
      <c r="P888" s="78">
        <f>IF(D888="","",IF(AND(H888&lt;&gt;"",H888&gt;=B888),"⚠️ Predecessor must be above",IF(M888="Done","✓ Done",IF(Q888=3,"🔴 Late",IF(M888="In progress","In progress","")))))</f>
        <v/>
      </c>
      <c r="Q888" s="79">
        <f>IF(OR(D888="",L888=""),"",IF(M888="Done",2,IF(AsOf&gt;L888,3,1)))</f>
        <v/>
      </c>
      <c r="R888" s="79">
        <f>IF(OR(E888="",F888=""),0,IF(COUNTIFS($E$7:E888,E888,$F$7:F888,F888)=1,1,0))</f>
        <v/>
      </c>
      <c r="S888" s="79">
        <f>IF(R888=1,E888&amp;"|"&amp;SUMIFS($R$7:R888,$E$7:E888,E888),"")</f>
        <v/>
      </c>
      <c r="T888" s="112">
        <f>IF(Q888="","",IF(Q888=3,L888,IF(OR(M888="Not started",M888=""),J888,"")))</f>
        <v/>
      </c>
      <c r="U888" s="79">
        <f>IF(T888="","",IF(Q888=3,1,IF(T888="","",IF(T888&lt;AsOf,1,IF(T888&lt;=AsOf+AlertDays,2,IF(T888&lt;=AsOf+2*AlertDays,3,""))))))</f>
        <v/>
      </c>
      <c r="V888" s="79">
        <f>IF(U888="","",IF(Q888=3,"Late task: "&amp;D888,IF(T888&lt;AsOf,"Should have started: ","Starts soon: ")&amp;D888)&amp;IF(F888="",""," — "&amp;F888))</f>
        <v/>
      </c>
    </row>
    <row r="889" ht="20" customHeight="1">
      <c r="B889" s="125" t="n">
        <v>883</v>
      </c>
      <c r="C889" s="72" t="n"/>
      <c r="D889" s="72" t="n"/>
      <c r="E889" s="72" t="n"/>
      <c r="F889" s="72" t="n"/>
      <c r="G889" s="89" t="n"/>
      <c r="H889" s="89" t="n"/>
      <c r="I889" s="109" t="n"/>
      <c r="J889" s="126">
        <f>IF(OR(D889="",ProjStart=""),"",MAX(ProjStart,IF(I889&lt;&gt;"",I889,0),IF(H889="",0,IFERROR(INDEX($L$6:L888,MATCH(H889,$B$6:B888,0))+1,0))))</f>
        <v/>
      </c>
      <c r="K889" s="89" t="n"/>
      <c r="L889" s="126">
        <f>IF(J889="","",J889+MAX(1,G889)+IF(K889="",0,K889)-1)</f>
        <v/>
      </c>
      <c r="M889" s="72" t="n"/>
      <c r="N889" s="109" t="n"/>
      <c r="O889" s="127">
        <f>IF(D889="","",COUNTIF($H$7:$H$1006,B889))</f>
        <v/>
      </c>
      <c r="P889" s="78">
        <f>IF(D889="","",IF(AND(H889&lt;&gt;"",H889&gt;=B889),"⚠️ Predecessor must be above",IF(M889="Done","✓ Done",IF(Q889=3,"🔴 Late",IF(M889="In progress","In progress","")))))</f>
        <v/>
      </c>
      <c r="Q889" s="79">
        <f>IF(OR(D889="",L889=""),"",IF(M889="Done",2,IF(AsOf&gt;L889,3,1)))</f>
        <v/>
      </c>
      <c r="R889" s="79">
        <f>IF(OR(E889="",F889=""),0,IF(COUNTIFS($E$7:E889,E889,$F$7:F889,F889)=1,1,0))</f>
        <v/>
      </c>
      <c r="S889" s="79">
        <f>IF(R889=1,E889&amp;"|"&amp;SUMIFS($R$7:R889,$E$7:E889,E889),"")</f>
        <v/>
      </c>
      <c r="T889" s="112">
        <f>IF(Q889="","",IF(Q889=3,L889,IF(OR(M889="Not started",M889=""),J889,"")))</f>
        <v/>
      </c>
      <c r="U889" s="79">
        <f>IF(T889="","",IF(Q889=3,1,IF(T889="","",IF(T889&lt;AsOf,1,IF(T889&lt;=AsOf+AlertDays,2,IF(T889&lt;=AsOf+2*AlertDays,3,""))))))</f>
        <v/>
      </c>
      <c r="V889" s="79">
        <f>IF(U889="","",IF(Q889=3,"Late task: "&amp;D889,IF(T889&lt;AsOf,"Should have started: ","Starts soon: ")&amp;D889)&amp;IF(F889="",""," — "&amp;F889))</f>
        <v/>
      </c>
    </row>
    <row r="890" ht="20" customHeight="1">
      <c r="B890" s="125" t="n">
        <v>884</v>
      </c>
      <c r="C890" s="72" t="n"/>
      <c r="D890" s="72" t="n"/>
      <c r="E890" s="72" t="n"/>
      <c r="F890" s="72" t="n"/>
      <c r="G890" s="89" t="n"/>
      <c r="H890" s="89" t="n"/>
      <c r="I890" s="109" t="n"/>
      <c r="J890" s="126">
        <f>IF(OR(D890="",ProjStart=""),"",MAX(ProjStart,IF(I890&lt;&gt;"",I890,0),IF(H890="",0,IFERROR(INDEX($L$6:L889,MATCH(H890,$B$6:B889,0))+1,0))))</f>
        <v/>
      </c>
      <c r="K890" s="89" t="n"/>
      <c r="L890" s="126">
        <f>IF(J890="","",J890+MAX(1,G890)+IF(K890="",0,K890)-1)</f>
        <v/>
      </c>
      <c r="M890" s="72" t="n"/>
      <c r="N890" s="109" t="n"/>
      <c r="O890" s="127">
        <f>IF(D890="","",COUNTIF($H$7:$H$1006,B890))</f>
        <v/>
      </c>
      <c r="P890" s="78">
        <f>IF(D890="","",IF(AND(H890&lt;&gt;"",H890&gt;=B890),"⚠️ Predecessor must be above",IF(M890="Done","✓ Done",IF(Q890=3,"🔴 Late",IF(M890="In progress","In progress","")))))</f>
        <v/>
      </c>
      <c r="Q890" s="79">
        <f>IF(OR(D890="",L890=""),"",IF(M890="Done",2,IF(AsOf&gt;L890,3,1)))</f>
        <v/>
      </c>
      <c r="R890" s="79">
        <f>IF(OR(E890="",F890=""),0,IF(COUNTIFS($E$7:E890,E890,$F$7:F890,F890)=1,1,0))</f>
        <v/>
      </c>
      <c r="S890" s="79">
        <f>IF(R890=1,E890&amp;"|"&amp;SUMIFS($R$7:R890,$E$7:E890,E890),"")</f>
        <v/>
      </c>
      <c r="T890" s="112">
        <f>IF(Q890="","",IF(Q890=3,L890,IF(OR(M890="Not started",M890=""),J890,"")))</f>
        <v/>
      </c>
      <c r="U890" s="79">
        <f>IF(T890="","",IF(Q890=3,1,IF(T890="","",IF(T890&lt;AsOf,1,IF(T890&lt;=AsOf+AlertDays,2,IF(T890&lt;=AsOf+2*AlertDays,3,""))))))</f>
        <v/>
      </c>
      <c r="V890" s="79">
        <f>IF(U890="","",IF(Q890=3,"Late task: "&amp;D890,IF(T890&lt;AsOf,"Should have started: ","Starts soon: ")&amp;D890)&amp;IF(F890="",""," — "&amp;F890))</f>
        <v/>
      </c>
    </row>
    <row r="891" ht="20" customHeight="1">
      <c r="B891" s="125" t="n">
        <v>885</v>
      </c>
      <c r="C891" s="72" t="n"/>
      <c r="D891" s="72" t="n"/>
      <c r="E891" s="72" t="n"/>
      <c r="F891" s="72" t="n"/>
      <c r="G891" s="89" t="n"/>
      <c r="H891" s="89" t="n"/>
      <c r="I891" s="109" t="n"/>
      <c r="J891" s="126">
        <f>IF(OR(D891="",ProjStart=""),"",MAX(ProjStart,IF(I891&lt;&gt;"",I891,0),IF(H891="",0,IFERROR(INDEX($L$6:L890,MATCH(H891,$B$6:B890,0))+1,0))))</f>
        <v/>
      </c>
      <c r="K891" s="89" t="n"/>
      <c r="L891" s="126">
        <f>IF(J891="","",J891+MAX(1,G891)+IF(K891="",0,K891)-1)</f>
        <v/>
      </c>
      <c r="M891" s="72" t="n"/>
      <c r="N891" s="109" t="n"/>
      <c r="O891" s="127">
        <f>IF(D891="","",COUNTIF($H$7:$H$1006,B891))</f>
        <v/>
      </c>
      <c r="P891" s="78">
        <f>IF(D891="","",IF(AND(H891&lt;&gt;"",H891&gt;=B891),"⚠️ Predecessor must be above",IF(M891="Done","✓ Done",IF(Q891=3,"🔴 Late",IF(M891="In progress","In progress","")))))</f>
        <v/>
      </c>
      <c r="Q891" s="79">
        <f>IF(OR(D891="",L891=""),"",IF(M891="Done",2,IF(AsOf&gt;L891,3,1)))</f>
        <v/>
      </c>
      <c r="R891" s="79">
        <f>IF(OR(E891="",F891=""),0,IF(COUNTIFS($E$7:E891,E891,$F$7:F891,F891)=1,1,0))</f>
        <v/>
      </c>
      <c r="S891" s="79">
        <f>IF(R891=1,E891&amp;"|"&amp;SUMIFS($R$7:R891,$E$7:E891,E891),"")</f>
        <v/>
      </c>
      <c r="T891" s="112">
        <f>IF(Q891="","",IF(Q891=3,L891,IF(OR(M891="Not started",M891=""),J891,"")))</f>
        <v/>
      </c>
      <c r="U891" s="79">
        <f>IF(T891="","",IF(Q891=3,1,IF(T891="","",IF(T891&lt;AsOf,1,IF(T891&lt;=AsOf+AlertDays,2,IF(T891&lt;=AsOf+2*AlertDays,3,""))))))</f>
        <v/>
      </c>
      <c r="V891" s="79">
        <f>IF(U891="","",IF(Q891=3,"Late task: "&amp;D891,IF(T891&lt;AsOf,"Should have started: ","Starts soon: ")&amp;D891)&amp;IF(F891="",""," — "&amp;F891))</f>
        <v/>
      </c>
    </row>
    <row r="892" ht="20" customHeight="1">
      <c r="B892" s="125" t="n">
        <v>886</v>
      </c>
      <c r="C892" s="72" t="n"/>
      <c r="D892" s="72" t="n"/>
      <c r="E892" s="72" t="n"/>
      <c r="F892" s="72" t="n"/>
      <c r="G892" s="89" t="n"/>
      <c r="H892" s="89" t="n"/>
      <c r="I892" s="109" t="n"/>
      <c r="J892" s="126">
        <f>IF(OR(D892="",ProjStart=""),"",MAX(ProjStart,IF(I892&lt;&gt;"",I892,0),IF(H892="",0,IFERROR(INDEX($L$6:L891,MATCH(H892,$B$6:B891,0))+1,0))))</f>
        <v/>
      </c>
      <c r="K892" s="89" t="n"/>
      <c r="L892" s="126">
        <f>IF(J892="","",J892+MAX(1,G892)+IF(K892="",0,K892)-1)</f>
        <v/>
      </c>
      <c r="M892" s="72" t="n"/>
      <c r="N892" s="109" t="n"/>
      <c r="O892" s="127">
        <f>IF(D892="","",COUNTIF($H$7:$H$1006,B892))</f>
        <v/>
      </c>
      <c r="P892" s="78">
        <f>IF(D892="","",IF(AND(H892&lt;&gt;"",H892&gt;=B892),"⚠️ Predecessor must be above",IF(M892="Done","✓ Done",IF(Q892=3,"🔴 Late",IF(M892="In progress","In progress","")))))</f>
        <v/>
      </c>
      <c r="Q892" s="79">
        <f>IF(OR(D892="",L892=""),"",IF(M892="Done",2,IF(AsOf&gt;L892,3,1)))</f>
        <v/>
      </c>
      <c r="R892" s="79">
        <f>IF(OR(E892="",F892=""),0,IF(COUNTIFS($E$7:E892,E892,$F$7:F892,F892)=1,1,0))</f>
        <v/>
      </c>
      <c r="S892" s="79">
        <f>IF(R892=1,E892&amp;"|"&amp;SUMIFS($R$7:R892,$E$7:E892,E892),"")</f>
        <v/>
      </c>
      <c r="T892" s="112">
        <f>IF(Q892="","",IF(Q892=3,L892,IF(OR(M892="Not started",M892=""),J892,"")))</f>
        <v/>
      </c>
      <c r="U892" s="79">
        <f>IF(T892="","",IF(Q892=3,1,IF(T892="","",IF(T892&lt;AsOf,1,IF(T892&lt;=AsOf+AlertDays,2,IF(T892&lt;=AsOf+2*AlertDays,3,""))))))</f>
        <v/>
      </c>
      <c r="V892" s="79">
        <f>IF(U892="","",IF(Q892=3,"Late task: "&amp;D892,IF(T892&lt;AsOf,"Should have started: ","Starts soon: ")&amp;D892)&amp;IF(F892="",""," — "&amp;F892))</f>
        <v/>
      </c>
    </row>
    <row r="893" ht="20" customHeight="1">
      <c r="B893" s="125" t="n">
        <v>887</v>
      </c>
      <c r="C893" s="72" t="n"/>
      <c r="D893" s="72" t="n"/>
      <c r="E893" s="72" t="n"/>
      <c r="F893" s="72" t="n"/>
      <c r="G893" s="89" t="n"/>
      <c r="H893" s="89" t="n"/>
      <c r="I893" s="109" t="n"/>
      <c r="J893" s="126">
        <f>IF(OR(D893="",ProjStart=""),"",MAX(ProjStart,IF(I893&lt;&gt;"",I893,0),IF(H893="",0,IFERROR(INDEX($L$6:L892,MATCH(H893,$B$6:B892,0))+1,0))))</f>
        <v/>
      </c>
      <c r="K893" s="89" t="n"/>
      <c r="L893" s="126">
        <f>IF(J893="","",J893+MAX(1,G893)+IF(K893="",0,K893)-1)</f>
        <v/>
      </c>
      <c r="M893" s="72" t="n"/>
      <c r="N893" s="109" t="n"/>
      <c r="O893" s="127">
        <f>IF(D893="","",COUNTIF($H$7:$H$1006,B893))</f>
        <v/>
      </c>
      <c r="P893" s="78">
        <f>IF(D893="","",IF(AND(H893&lt;&gt;"",H893&gt;=B893),"⚠️ Predecessor must be above",IF(M893="Done","✓ Done",IF(Q893=3,"🔴 Late",IF(M893="In progress","In progress","")))))</f>
        <v/>
      </c>
      <c r="Q893" s="79">
        <f>IF(OR(D893="",L893=""),"",IF(M893="Done",2,IF(AsOf&gt;L893,3,1)))</f>
        <v/>
      </c>
      <c r="R893" s="79">
        <f>IF(OR(E893="",F893=""),0,IF(COUNTIFS($E$7:E893,E893,$F$7:F893,F893)=1,1,0))</f>
        <v/>
      </c>
      <c r="S893" s="79">
        <f>IF(R893=1,E893&amp;"|"&amp;SUMIFS($R$7:R893,$E$7:E893,E893),"")</f>
        <v/>
      </c>
      <c r="T893" s="112">
        <f>IF(Q893="","",IF(Q893=3,L893,IF(OR(M893="Not started",M893=""),J893,"")))</f>
        <v/>
      </c>
      <c r="U893" s="79">
        <f>IF(T893="","",IF(Q893=3,1,IF(T893="","",IF(T893&lt;AsOf,1,IF(T893&lt;=AsOf+AlertDays,2,IF(T893&lt;=AsOf+2*AlertDays,3,""))))))</f>
        <v/>
      </c>
      <c r="V893" s="79">
        <f>IF(U893="","",IF(Q893=3,"Late task: "&amp;D893,IF(T893&lt;AsOf,"Should have started: ","Starts soon: ")&amp;D893)&amp;IF(F893="",""," — "&amp;F893))</f>
        <v/>
      </c>
    </row>
    <row r="894" ht="20" customHeight="1">
      <c r="B894" s="125" t="n">
        <v>888</v>
      </c>
      <c r="C894" s="72" t="n"/>
      <c r="D894" s="72" t="n"/>
      <c r="E894" s="72" t="n"/>
      <c r="F894" s="72" t="n"/>
      <c r="G894" s="89" t="n"/>
      <c r="H894" s="89" t="n"/>
      <c r="I894" s="109" t="n"/>
      <c r="J894" s="126">
        <f>IF(OR(D894="",ProjStart=""),"",MAX(ProjStart,IF(I894&lt;&gt;"",I894,0),IF(H894="",0,IFERROR(INDEX($L$6:L893,MATCH(H894,$B$6:B893,0))+1,0))))</f>
        <v/>
      </c>
      <c r="K894" s="89" t="n"/>
      <c r="L894" s="126">
        <f>IF(J894="","",J894+MAX(1,G894)+IF(K894="",0,K894)-1)</f>
        <v/>
      </c>
      <c r="M894" s="72" t="n"/>
      <c r="N894" s="109" t="n"/>
      <c r="O894" s="127">
        <f>IF(D894="","",COUNTIF($H$7:$H$1006,B894))</f>
        <v/>
      </c>
      <c r="P894" s="78">
        <f>IF(D894="","",IF(AND(H894&lt;&gt;"",H894&gt;=B894),"⚠️ Predecessor must be above",IF(M894="Done","✓ Done",IF(Q894=3,"🔴 Late",IF(M894="In progress","In progress","")))))</f>
        <v/>
      </c>
      <c r="Q894" s="79">
        <f>IF(OR(D894="",L894=""),"",IF(M894="Done",2,IF(AsOf&gt;L894,3,1)))</f>
        <v/>
      </c>
      <c r="R894" s="79">
        <f>IF(OR(E894="",F894=""),0,IF(COUNTIFS($E$7:E894,E894,$F$7:F894,F894)=1,1,0))</f>
        <v/>
      </c>
      <c r="S894" s="79">
        <f>IF(R894=1,E894&amp;"|"&amp;SUMIFS($R$7:R894,$E$7:E894,E894),"")</f>
        <v/>
      </c>
      <c r="T894" s="112">
        <f>IF(Q894="","",IF(Q894=3,L894,IF(OR(M894="Not started",M894=""),J894,"")))</f>
        <v/>
      </c>
      <c r="U894" s="79">
        <f>IF(T894="","",IF(Q894=3,1,IF(T894="","",IF(T894&lt;AsOf,1,IF(T894&lt;=AsOf+AlertDays,2,IF(T894&lt;=AsOf+2*AlertDays,3,""))))))</f>
        <v/>
      </c>
      <c r="V894" s="79">
        <f>IF(U894="","",IF(Q894=3,"Late task: "&amp;D894,IF(T894&lt;AsOf,"Should have started: ","Starts soon: ")&amp;D894)&amp;IF(F894="",""," — "&amp;F894))</f>
        <v/>
      </c>
    </row>
    <row r="895" ht="20" customHeight="1">
      <c r="B895" s="125" t="n">
        <v>889</v>
      </c>
      <c r="C895" s="72" t="n"/>
      <c r="D895" s="72" t="n"/>
      <c r="E895" s="72" t="n"/>
      <c r="F895" s="72" t="n"/>
      <c r="G895" s="89" t="n"/>
      <c r="H895" s="89" t="n"/>
      <c r="I895" s="109" t="n"/>
      <c r="J895" s="126">
        <f>IF(OR(D895="",ProjStart=""),"",MAX(ProjStart,IF(I895&lt;&gt;"",I895,0),IF(H895="",0,IFERROR(INDEX($L$6:L894,MATCH(H895,$B$6:B894,0))+1,0))))</f>
        <v/>
      </c>
      <c r="K895" s="89" t="n"/>
      <c r="L895" s="126">
        <f>IF(J895="","",J895+MAX(1,G895)+IF(K895="",0,K895)-1)</f>
        <v/>
      </c>
      <c r="M895" s="72" t="n"/>
      <c r="N895" s="109" t="n"/>
      <c r="O895" s="127">
        <f>IF(D895="","",COUNTIF($H$7:$H$1006,B895))</f>
        <v/>
      </c>
      <c r="P895" s="78">
        <f>IF(D895="","",IF(AND(H895&lt;&gt;"",H895&gt;=B895),"⚠️ Predecessor must be above",IF(M895="Done","✓ Done",IF(Q895=3,"🔴 Late",IF(M895="In progress","In progress","")))))</f>
        <v/>
      </c>
      <c r="Q895" s="79">
        <f>IF(OR(D895="",L895=""),"",IF(M895="Done",2,IF(AsOf&gt;L895,3,1)))</f>
        <v/>
      </c>
      <c r="R895" s="79">
        <f>IF(OR(E895="",F895=""),0,IF(COUNTIFS($E$7:E895,E895,$F$7:F895,F895)=1,1,0))</f>
        <v/>
      </c>
      <c r="S895" s="79">
        <f>IF(R895=1,E895&amp;"|"&amp;SUMIFS($R$7:R895,$E$7:E895,E895),"")</f>
        <v/>
      </c>
      <c r="T895" s="112">
        <f>IF(Q895="","",IF(Q895=3,L895,IF(OR(M895="Not started",M895=""),J895,"")))</f>
        <v/>
      </c>
      <c r="U895" s="79">
        <f>IF(T895="","",IF(Q895=3,1,IF(T895="","",IF(T895&lt;AsOf,1,IF(T895&lt;=AsOf+AlertDays,2,IF(T895&lt;=AsOf+2*AlertDays,3,""))))))</f>
        <v/>
      </c>
      <c r="V895" s="79">
        <f>IF(U895="","",IF(Q895=3,"Late task: "&amp;D895,IF(T895&lt;AsOf,"Should have started: ","Starts soon: ")&amp;D895)&amp;IF(F895="",""," — "&amp;F895))</f>
        <v/>
      </c>
    </row>
    <row r="896" ht="20" customHeight="1">
      <c r="B896" s="125" t="n">
        <v>890</v>
      </c>
      <c r="C896" s="72" t="n"/>
      <c r="D896" s="72" t="n"/>
      <c r="E896" s="72" t="n"/>
      <c r="F896" s="72" t="n"/>
      <c r="G896" s="89" t="n"/>
      <c r="H896" s="89" t="n"/>
      <c r="I896" s="109" t="n"/>
      <c r="J896" s="126">
        <f>IF(OR(D896="",ProjStart=""),"",MAX(ProjStart,IF(I896&lt;&gt;"",I896,0),IF(H896="",0,IFERROR(INDEX($L$6:L895,MATCH(H896,$B$6:B895,0))+1,0))))</f>
        <v/>
      </c>
      <c r="K896" s="89" t="n"/>
      <c r="L896" s="126">
        <f>IF(J896="","",J896+MAX(1,G896)+IF(K896="",0,K896)-1)</f>
        <v/>
      </c>
      <c r="M896" s="72" t="n"/>
      <c r="N896" s="109" t="n"/>
      <c r="O896" s="127">
        <f>IF(D896="","",COUNTIF($H$7:$H$1006,B896))</f>
        <v/>
      </c>
      <c r="P896" s="78">
        <f>IF(D896="","",IF(AND(H896&lt;&gt;"",H896&gt;=B896),"⚠️ Predecessor must be above",IF(M896="Done","✓ Done",IF(Q896=3,"🔴 Late",IF(M896="In progress","In progress","")))))</f>
        <v/>
      </c>
      <c r="Q896" s="79">
        <f>IF(OR(D896="",L896=""),"",IF(M896="Done",2,IF(AsOf&gt;L896,3,1)))</f>
        <v/>
      </c>
      <c r="R896" s="79">
        <f>IF(OR(E896="",F896=""),0,IF(COUNTIFS($E$7:E896,E896,$F$7:F896,F896)=1,1,0))</f>
        <v/>
      </c>
      <c r="S896" s="79">
        <f>IF(R896=1,E896&amp;"|"&amp;SUMIFS($R$7:R896,$E$7:E896,E896),"")</f>
        <v/>
      </c>
      <c r="T896" s="112">
        <f>IF(Q896="","",IF(Q896=3,L896,IF(OR(M896="Not started",M896=""),J896,"")))</f>
        <v/>
      </c>
      <c r="U896" s="79">
        <f>IF(T896="","",IF(Q896=3,1,IF(T896="","",IF(T896&lt;AsOf,1,IF(T896&lt;=AsOf+AlertDays,2,IF(T896&lt;=AsOf+2*AlertDays,3,""))))))</f>
        <v/>
      </c>
      <c r="V896" s="79">
        <f>IF(U896="","",IF(Q896=3,"Late task: "&amp;D896,IF(T896&lt;AsOf,"Should have started: ","Starts soon: ")&amp;D896)&amp;IF(F896="",""," — "&amp;F896))</f>
        <v/>
      </c>
    </row>
    <row r="897" ht="20" customHeight="1">
      <c r="B897" s="125" t="n">
        <v>891</v>
      </c>
      <c r="C897" s="72" t="n"/>
      <c r="D897" s="72" t="n"/>
      <c r="E897" s="72" t="n"/>
      <c r="F897" s="72" t="n"/>
      <c r="G897" s="89" t="n"/>
      <c r="H897" s="89" t="n"/>
      <c r="I897" s="109" t="n"/>
      <c r="J897" s="126">
        <f>IF(OR(D897="",ProjStart=""),"",MAX(ProjStart,IF(I897&lt;&gt;"",I897,0),IF(H897="",0,IFERROR(INDEX($L$6:L896,MATCH(H897,$B$6:B896,0))+1,0))))</f>
        <v/>
      </c>
      <c r="K897" s="89" t="n"/>
      <c r="L897" s="126">
        <f>IF(J897="","",J897+MAX(1,G897)+IF(K897="",0,K897)-1)</f>
        <v/>
      </c>
      <c r="M897" s="72" t="n"/>
      <c r="N897" s="109" t="n"/>
      <c r="O897" s="127">
        <f>IF(D897="","",COUNTIF($H$7:$H$1006,B897))</f>
        <v/>
      </c>
      <c r="P897" s="78">
        <f>IF(D897="","",IF(AND(H897&lt;&gt;"",H897&gt;=B897),"⚠️ Predecessor must be above",IF(M897="Done","✓ Done",IF(Q897=3,"🔴 Late",IF(M897="In progress","In progress","")))))</f>
        <v/>
      </c>
      <c r="Q897" s="79">
        <f>IF(OR(D897="",L897=""),"",IF(M897="Done",2,IF(AsOf&gt;L897,3,1)))</f>
        <v/>
      </c>
      <c r="R897" s="79">
        <f>IF(OR(E897="",F897=""),0,IF(COUNTIFS($E$7:E897,E897,$F$7:F897,F897)=1,1,0))</f>
        <v/>
      </c>
      <c r="S897" s="79">
        <f>IF(R897=1,E897&amp;"|"&amp;SUMIFS($R$7:R897,$E$7:E897,E897),"")</f>
        <v/>
      </c>
      <c r="T897" s="112">
        <f>IF(Q897="","",IF(Q897=3,L897,IF(OR(M897="Not started",M897=""),J897,"")))</f>
        <v/>
      </c>
      <c r="U897" s="79">
        <f>IF(T897="","",IF(Q897=3,1,IF(T897="","",IF(T897&lt;AsOf,1,IF(T897&lt;=AsOf+AlertDays,2,IF(T897&lt;=AsOf+2*AlertDays,3,""))))))</f>
        <v/>
      </c>
      <c r="V897" s="79">
        <f>IF(U897="","",IF(Q897=3,"Late task: "&amp;D897,IF(T897&lt;AsOf,"Should have started: ","Starts soon: ")&amp;D897)&amp;IF(F897="",""," — "&amp;F897))</f>
        <v/>
      </c>
    </row>
    <row r="898" ht="20" customHeight="1">
      <c r="B898" s="125" t="n">
        <v>892</v>
      </c>
      <c r="C898" s="72" t="n"/>
      <c r="D898" s="72" t="n"/>
      <c r="E898" s="72" t="n"/>
      <c r="F898" s="72" t="n"/>
      <c r="G898" s="89" t="n"/>
      <c r="H898" s="89" t="n"/>
      <c r="I898" s="109" t="n"/>
      <c r="J898" s="126">
        <f>IF(OR(D898="",ProjStart=""),"",MAX(ProjStart,IF(I898&lt;&gt;"",I898,0),IF(H898="",0,IFERROR(INDEX($L$6:L897,MATCH(H898,$B$6:B897,0))+1,0))))</f>
        <v/>
      </c>
      <c r="K898" s="89" t="n"/>
      <c r="L898" s="126">
        <f>IF(J898="","",J898+MAX(1,G898)+IF(K898="",0,K898)-1)</f>
        <v/>
      </c>
      <c r="M898" s="72" t="n"/>
      <c r="N898" s="109" t="n"/>
      <c r="O898" s="127">
        <f>IF(D898="","",COUNTIF($H$7:$H$1006,B898))</f>
        <v/>
      </c>
      <c r="P898" s="78">
        <f>IF(D898="","",IF(AND(H898&lt;&gt;"",H898&gt;=B898),"⚠️ Predecessor must be above",IF(M898="Done","✓ Done",IF(Q898=3,"🔴 Late",IF(M898="In progress","In progress","")))))</f>
        <v/>
      </c>
      <c r="Q898" s="79">
        <f>IF(OR(D898="",L898=""),"",IF(M898="Done",2,IF(AsOf&gt;L898,3,1)))</f>
        <v/>
      </c>
      <c r="R898" s="79">
        <f>IF(OR(E898="",F898=""),0,IF(COUNTIFS($E$7:E898,E898,$F$7:F898,F898)=1,1,0))</f>
        <v/>
      </c>
      <c r="S898" s="79">
        <f>IF(R898=1,E898&amp;"|"&amp;SUMIFS($R$7:R898,$E$7:E898,E898),"")</f>
        <v/>
      </c>
      <c r="T898" s="112">
        <f>IF(Q898="","",IF(Q898=3,L898,IF(OR(M898="Not started",M898=""),J898,"")))</f>
        <v/>
      </c>
      <c r="U898" s="79">
        <f>IF(T898="","",IF(Q898=3,1,IF(T898="","",IF(T898&lt;AsOf,1,IF(T898&lt;=AsOf+AlertDays,2,IF(T898&lt;=AsOf+2*AlertDays,3,""))))))</f>
        <v/>
      </c>
      <c r="V898" s="79">
        <f>IF(U898="","",IF(Q898=3,"Late task: "&amp;D898,IF(T898&lt;AsOf,"Should have started: ","Starts soon: ")&amp;D898)&amp;IF(F898="",""," — "&amp;F898))</f>
        <v/>
      </c>
    </row>
    <row r="899" ht="20" customHeight="1">
      <c r="B899" s="125" t="n">
        <v>893</v>
      </c>
      <c r="C899" s="72" t="n"/>
      <c r="D899" s="72" t="n"/>
      <c r="E899" s="72" t="n"/>
      <c r="F899" s="72" t="n"/>
      <c r="G899" s="89" t="n"/>
      <c r="H899" s="89" t="n"/>
      <c r="I899" s="109" t="n"/>
      <c r="J899" s="126">
        <f>IF(OR(D899="",ProjStart=""),"",MAX(ProjStart,IF(I899&lt;&gt;"",I899,0),IF(H899="",0,IFERROR(INDEX($L$6:L898,MATCH(H899,$B$6:B898,0))+1,0))))</f>
        <v/>
      </c>
      <c r="K899" s="89" t="n"/>
      <c r="L899" s="126">
        <f>IF(J899="","",J899+MAX(1,G899)+IF(K899="",0,K899)-1)</f>
        <v/>
      </c>
      <c r="M899" s="72" t="n"/>
      <c r="N899" s="109" t="n"/>
      <c r="O899" s="127">
        <f>IF(D899="","",COUNTIF($H$7:$H$1006,B899))</f>
        <v/>
      </c>
      <c r="P899" s="78">
        <f>IF(D899="","",IF(AND(H899&lt;&gt;"",H899&gt;=B899),"⚠️ Predecessor must be above",IF(M899="Done","✓ Done",IF(Q899=3,"🔴 Late",IF(M899="In progress","In progress","")))))</f>
        <v/>
      </c>
      <c r="Q899" s="79">
        <f>IF(OR(D899="",L899=""),"",IF(M899="Done",2,IF(AsOf&gt;L899,3,1)))</f>
        <v/>
      </c>
      <c r="R899" s="79">
        <f>IF(OR(E899="",F899=""),0,IF(COUNTIFS($E$7:E899,E899,$F$7:F899,F899)=1,1,0))</f>
        <v/>
      </c>
      <c r="S899" s="79">
        <f>IF(R899=1,E899&amp;"|"&amp;SUMIFS($R$7:R899,$E$7:E899,E899),"")</f>
        <v/>
      </c>
      <c r="T899" s="112">
        <f>IF(Q899="","",IF(Q899=3,L899,IF(OR(M899="Not started",M899=""),J899,"")))</f>
        <v/>
      </c>
      <c r="U899" s="79">
        <f>IF(T899="","",IF(Q899=3,1,IF(T899="","",IF(T899&lt;AsOf,1,IF(T899&lt;=AsOf+AlertDays,2,IF(T899&lt;=AsOf+2*AlertDays,3,""))))))</f>
        <v/>
      </c>
      <c r="V899" s="79">
        <f>IF(U899="","",IF(Q899=3,"Late task: "&amp;D899,IF(T899&lt;AsOf,"Should have started: ","Starts soon: ")&amp;D899)&amp;IF(F899="",""," — "&amp;F899))</f>
        <v/>
      </c>
    </row>
    <row r="900" ht="20" customHeight="1">
      <c r="B900" s="125" t="n">
        <v>894</v>
      </c>
      <c r="C900" s="72" t="n"/>
      <c r="D900" s="72" t="n"/>
      <c r="E900" s="72" t="n"/>
      <c r="F900" s="72" t="n"/>
      <c r="G900" s="89" t="n"/>
      <c r="H900" s="89" t="n"/>
      <c r="I900" s="109" t="n"/>
      <c r="J900" s="126">
        <f>IF(OR(D900="",ProjStart=""),"",MAX(ProjStart,IF(I900&lt;&gt;"",I900,0),IF(H900="",0,IFERROR(INDEX($L$6:L899,MATCH(H900,$B$6:B899,0))+1,0))))</f>
        <v/>
      </c>
      <c r="K900" s="89" t="n"/>
      <c r="L900" s="126">
        <f>IF(J900="","",J900+MAX(1,G900)+IF(K900="",0,K900)-1)</f>
        <v/>
      </c>
      <c r="M900" s="72" t="n"/>
      <c r="N900" s="109" t="n"/>
      <c r="O900" s="127">
        <f>IF(D900="","",COUNTIF($H$7:$H$1006,B900))</f>
        <v/>
      </c>
      <c r="P900" s="78">
        <f>IF(D900="","",IF(AND(H900&lt;&gt;"",H900&gt;=B900),"⚠️ Predecessor must be above",IF(M900="Done","✓ Done",IF(Q900=3,"🔴 Late",IF(M900="In progress","In progress","")))))</f>
        <v/>
      </c>
      <c r="Q900" s="79">
        <f>IF(OR(D900="",L900=""),"",IF(M900="Done",2,IF(AsOf&gt;L900,3,1)))</f>
        <v/>
      </c>
      <c r="R900" s="79">
        <f>IF(OR(E900="",F900=""),0,IF(COUNTIFS($E$7:E900,E900,$F$7:F900,F900)=1,1,0))</f>
        <v/>
      </c>
      <c r="S900" s="79">
        <f>IF(R900=1,E900&amp;"|"&amp;SUMIFS($R$7:R900,$E$7:E900,E900),"")</f>
        <v/>
      </c>
      <c r="T900" s="112">
        <f>IF(Q900="","",IF(Q900=3,L900,IF(OR(M900="Not started",M900=""),J900,"")))</f>
        <v/>
      </c>
      <c r="U900" s="79">
        <f>IF(T900="","",IF(Q900=3,1,IF(T900="","",IF(T900&lt;AsOf,1,IF(T900&lt;=AsOf+AlertDays,2,IF(T900&lt;=AsOf+2*AlertDays,3,""))))))</f>
        <v/>
      </c>
      <c r="V900" s="79">
        <f>IF(U900="","",IF(Q900=3,"Late task: "&amp;D900,IF(T900&lt;AsOf,"Should have started: ","Starts soon: ")&amp;D900)&amp;IF(F900="",""," — "&amp;F900))</f>
        <v/>
      </c>
    </row>
    <row r="901" ht="20" customHeight="1">
      <c r="B901" s="125" t="n">
        <v>895</v>
      </c>
      <c r="C901" s="72" t="n"/>
      <c r="D901" s="72" t="n"/>
      <c r="E901" s="72" t="n"/>
      <c r="F901" s="72" t="n"/>
      <c r="G901" s="89" t="n"/>
      <c r="H901" s="89" t="n"/>
      <c r="I901" s="109" t="n"/>
      <c r="J901" s="126">
        <f>IF(OR(D901="",ProjStart=""),"",MAX(ProjStart,IF(I901&lt;&gt;"",I901,0),IF(H901="",0,IFERROR(INDEX($L$6:L900,MATCH(H901,$B$6:B900,0))+1,0))))</f>
        <v/>
      </c>
      <c r="K901" s="89" t="n"/>
      <c r="L901" s="126">
        <f>IF(J901="","",J901+MAX(1,G901)+IF(K901="",0,K901)-1)</f>
        <v/>
      </c>
      <c r="M901" s="72" t="n"/>
      <c r="N901" s="109" t="n"/>
      <c r="O901" s="127">
        <f>IF(D901="","",COUNTIF($H$7:$H$1006,B901))</f>
        <v/>
      </c>
      <c r="P901" s="78">
        <f>IF(D901="","",IF(AND(H901&lt;&gt;"",H901&gt;=B901),"⚠️ Predecessor must be above",IF(M901="Done","✓ Done",IF(Q901=3,"🔴 Late",IF(M901="In progress","In progress","")))))</f>
        <v/>
      </c>
      <c r="Q901" s="79">
        <f>IF(OR(D901="",L901=""),"",IF(M901="Done",2,IF(AsOf&gt;L901,3,1)))</f>
        <v/>
      </c>
      <c r="R901" s="79">
        <f>IF(OR(E901="",F901=""),0,IF(COUNTIFS($E$7:E901,E901,$F$7:F901,F901)=1,1,0))</f>
        <v/>
      </c>
      <c r="S901" s="79">
        <f>IF(R901=1,E901&amp;"|"&amp;SUMIFS($R$7:R901,$E$7:E901,E901),"")</f>
        <v/>
      </c>
      <c r="T901" s="112">
        <f>IF(Q901="","",IF(Q901=3,L901,IF(OR(M901="Not started",M901=""),J901,"")))</f>
        <v/>
      </c>
      <c r="U901" s="79">
        <f>IF(T901="","",IF(Q901=3,1,IF(T901="","",IF(T901&lt;AsOf,1,IF(T901&lt;=AsOf+AlertDays,2,IF(T901&lt;=AsOf+2*AlertDays,3,""))))))</f>
        <v/>
      </c>
      <c r="V901" s="79">
        <f>IF(U901="","",IF(Q901=3,"Late task: "&amp;D901,IF(T901&lt;AsOf,"Should have started: ","Starts soon: ")&amp;D901)&amp;IF(F901="",""," — "&amp;F901))</f>
        <v/>
      </c>
    </row>
    <row r="902" ht="20" customHeight="1">
      <c r="B902" s="125" t="n">
        <v>896</v>
      </c>
      <c r="C902" s="72" t="n"/>
      <c r="D902" s="72" t="n"/>
      <c r="E902" s="72" t="n"/>
      <c r="F902" s="72" t="n"/>
      <c r="G902" s="89" t="n"/>
      <c r="H902" s="89" t="n"/>
      <c r="I902" s="109" t="n"/>
      <c r="J902" s="126">
        <f>IF(OR(D902="",ProjStart=""),"",MAX(ProjStart,IF(I902&lt;&gt;"",I902,0),IF(H902="",0,IFERROR(INDEX($L$6:L901,MATCH(H902,$B$6:B901,0))+1,0))))</f>
        <v/>
      </c>
      <c r="K902" s="89" t="n"/>
      <c r="L902" s="126">
        <f>IF(J902="","",J902+MAX(1,G902)+IF(K902="",0,K902)-1)</f>
        <v/>
      </c>
      <c r="M902" s="72" t="n"/>
      <c r="N902" s="109" t="n"/>
      <c r="O902" s="127">
        <f>IF(D902="","",COUNTIF($H$7:$H$1006,B902))</f>
        <v/>
      </c>
      <c r="P902" s="78">
        <f>IF(D902="","",IF(AND(H902&lt;&gt;"",H902&gt;=B902),"⚠️ Predecessor must be above",IF(M902="Done","✓ Done",IF(Q902=3,"🔴 Late",IF(M902="In progress","In progress","")))))</f>
        <v/>
      </c>
      <c r="Q902" s="79">
        <f>IF(OR(D902="",L902=""),"",IF(M902="Done",2,IF(AsOf&gt;L902,3,1)))</f>
        <v/>
      </c>
      <c r="R902" s="79">
        <f>IF(OR(E902="",F902=""),0,IF(COUNTIFS($E$7:E902,E902,$F$7:F902,F902)=1,1,0))</f>
        <v/>
      </c>
      <c r="S902" s="79">
        <f>IF(R902=1,E902&amp;"|"&amp;SUMIFS($R$7:R902,$E$7:E902,E902),"")</f>
        <v/>
      </c>
      <c r="T902" s="112">
        <f>IF(Q902="","",IF(Q902=3,L902,IF(OR(M902="Not started",M902=""),J902,"")))</f>
        <v/>
      </c>
      <c r="U902" s="79">
        <f>IF(T902="","",IF(Q902=3,1,IF(T902="","",IF(T902&lt;AsOf,1,IF(T902&lt;=AsOf+AlertDays,2,IF(T902&lt;=AsOf+2*AlertDays,3,""))))))</f>
        <v/>
      </c>
      <c r="V902" s="79">
        <f>IF(U902="","",IF(Q902=3,"Late task: "&amp;D902,IF(T902&lt;AsOf,"Should have started: ","Starts soon: ")&amp;D902)&amp;IF(F902="",""," — "&amp;F902))</f>
        <v/>
      </c>
    </row>
    <row r="903" ht="20" customHeight="1">
      <c r="B903" s="125" t="n">
        <v>897</v>
      </c>
      <c r="C903" s="72" t="n"/>
      <c r="D903" s="72" t="n"/>
      <c r="E903" s="72" t="n"/>
      <c r="F903" s="72" t="n"/>
      <c r="G903" s="89" t="n"/>
      <c r="H903" s="89" t="n"/>
      <c r="I903" s="109" t="n"/>
      <c r="J903" s="126">
        <f>IF(OR(D903="",ProjStart=""),"",MAX(ProjStart,IF(I903&lt;&gt;"",I903,0),IF(H903="",0,IFERROR(INDEX($L$6:L902,MATCH(H903,$B$6:B902,0))+1,0))))</f>
        <v/>
      </c>
      <c r="K903" s="89" t="n"/>
      <c r="L903" s="126">
        <f>IF(J903="","",J903+MAX(1,G903)+IF(K903="",0,K903)-1)</f>
        <v/>
      </c>
      <c r="M903" s="72" t="n"/>
      <c r="N903" s="109" t="n"/>
      <c r="O903" s="127">
        <f>IF(D903="","",COUNTIF($H$7:$H$1006,B903))</f>
        <v/>
      </c>
      <c r="P903" s="78">
        <f>IF(D903="","",IF(AND(H903&lt;&gt;"",H903&gt;=B903),"⚠️ Predecessor must be above",IF(M903="Done","✓ Done",IF(Q903=3,"🔴 Late",IF(M903="In progress","In progress","")))))</f>
        <v/>
      </c>
      <c r="Q903" s="79">
        <f>IF(OR(D903="",L903=""),"",IF(M903="Done",2,IF(AsOf&gt;L903,3,1)))</f>
        <v/>
      </c>
      <c r="R903" s="79">
        <f>IF(OR(E903="",F903=""),0,IF(COUNTIFS($E$7:E903,E903,$F$7:F903,F903)=1,1,0))</f>
        <v/>
      </c>
      <c r="S903" s="79">
        <f>IF(R903=1,E903&amp;"|"&amp;SUMIFS($R$7:R903,$E$7:E903,E903),"")</f>
        <v/>
      </c>
      <c r="T903" s="112">
        <f>IF(Q903="","",IF(Q903=3,L903,IF(OR(M903="Not started",M903=""),J903,"")))</f>
        <v/>
      </c>
      <c r="U903" s="79">
        <f>IF(T903="","",IF(Q903=3,1,IF(T903="","",IF(T903&lt;AsOf,1,IF(T903&lt;=AsOf+AlertDays,2,IF(T903&lt;=AsOf+2*AlertDays,3,""))))))</f>
        <v/>
      </c>
      <c r="V903" s="79">
        <f>IF(U903="","",IF(Q903=3,"Late task: "&amp;D903,IF(T903&lt;AsOf,"Should have started: ","Starts soon: ")&amp;D903)&amp;IF(F903="",""," — "&amp;F903))</f>
        <v/>
      </c>
    </row>
    <row r="904" ht="20" customHeight="1">
      <c r="B904" s="125" t="n">
        <v>898</v>
      </c>
      <c r="C904" s="72" t="n"/>
      <c r="D904" s="72" t="n"/>
      <c r="E904" s="72" t="n"/>
      <c r="F904" s="72" t="n"/>
      <c r="G904" s="89" t="n"/>
      <c r="H904" s="89" t="n"/>
      <c r="I904" s="109" t="n"/>
      <c r="J904" s="126">
        <f>IF(OR(D904="",ProjStart=""),"",MAX(ProjStart,IF(I904&lt;&gt;"",I904,0),IF(H904="",0,IFERROR(INDEX($L$6:L903,MATCH(H904,$B$6:B903,0))+1,0))))</f>
        <v/>
      </c>
      <c r="K904" s="89" t="n"/>
      <c r="L904" s="126">
        <f>IF(J904="","",J904+MAX(1,G904)+IF(K904="",0,K904)-1)</f>
        <v/>
      </c>
      <c r="M904" s="72" t="n"/>
      <c r="N904" s="109" t="n"/>
      <c r="O904" s="127">
        <f>IF(D904="","",COUNTIF($H$7:$H$1006,B904))</f>
        <v/>
      </c>
      <c r="P904" s="78">
        <f>IF(D904="","",IF(AND(H904&lt;&gt;"",H904&gt;=B904),"⚠️ Predecessor must be above",IF(M904="Done","✓ Done",IF(Q904=3,"🔴 Late",IF(M904="In progress","In progress","")))))</f>
        <v/>
      </c>
      <c r="Q904" s="79">
        <f>IF(OR(D904="",L904=""),"",IF(M904="Done",2,IF(AsOf&gt;L904,3,1)))</f>
        <v/>
      </c>
      <c r="R904" s="79">
        <f>IF(OR(E904="",F904=""),0,IF(COUNTIFS($E$7:E904,E904,$F$7:F904,F904)=1,1,0))</f>
        <v/>
      </c>
      <c r="S904" s="79">
        <f>IF(R904=1,E904&amp;"|"&amp;SUMIFS($R$7:R904,$E$7:E904,E904),"")</f>
        <v/>
      </c>
      <c r="T904" s="112">
        <f>IF(Q904="","",IF(Q904=3,L904,IF(OR(M904="Not started",M904=""),J904,"")))</f>
        <v/>
      </c>
      <c r="U904" s="79">
        <f>IF(T904="","",IF(Q904=3,1,IF(T904="","",IF(T904&lt;AsOf,1,IF(T904&lt;=AsOf+AlertDays,2,IF(T904&lt;=AsOf+2*AlertDays,3,""))))))</f>
        <v/>
      </c>
      <c r="V904" s="79">
        <f>IF(U904="","",IF(Q904=3,"Late task: "&amp;D904,IF(T904&lt;AsOf,"Should have started: ","Starts soon: ")&amp;D904)&amp;IF(F904="",""," — "&amp;F904))</f>
        <v/>
      </c>
    </row>
    <row r="905" ht="20" customHeight="1">
      <c r="B905" s="125" t="n">
        <v>899</v>
      </c>
      <c r="C905" s="72" t="n"/>
      <c r="D905" s="72" t="n"/>
      <c r="E905" s="72" t="n"/>
      <c r="F905" s="72" t="n"/>
      <c r="G905" s="89" t="n"/>
      <c r="H905" s="89" t="n"/>
      <c r="I905" s="109" t="n"/>
      <c r="J905" s="126">
        <f>IF(OR(D905="",ProjStart=""),"",MAX(ProjStart,IF(I905&lt;&gt;"",I905,0),IF(H905="",0,IFERROR(INDEX($L$6:L904,MATCH(H905,$B$6:B904,0))+1,0))))</f>
        <v/>
      </c>
      <c r="K905" s="89" t="n"/>
      <c r="L905" s="126">
        <f>IF(J905="","",J905+MAX(1,G905)+IF(K905="",0,K905)-1)</f>
        <v/>
      </c>
      <c r="M905" s="72" t="n"/>
      <c r="N905" s="109" t="n"/>
      <c r="O905" s="127">
        <f>IF(D905="","",COUNTIF($H$7:$H$1006,B905))</f>
        <v/>
      </c>
      <c r="P905" s="78">
        <f>IF(D905="","",IF(AND(H905&lt;&gt;"",H905&gt;=B905),"⚠️ Predecessor must be above",IF(M905="Done","✓ Done",IF(Q905=3,"🔴 Late",IF(M905="In progress","In progress","")))))</f>
        <v/>
      </c>
      <c r="Q905" s="79">
        <f>IF(OR(D905="",L905=""),"",IF(M905="Done",2,IF(AsOf&gt;L905,3,1)))</f>
        <v/>
      </c>
      <c r="R905" s="79">
        <f>IF(OR(E905="",F905=""),0,IF(COUNTIFS($E$7:E905,E905,$F$7:F905,F905)=1,1,0))</f>
        <v/>
      </c>
      <c r="S905" s="79">
        <f>IF(R905=1,E905&amp;"|"&amp;SUMIFS($R$7:R905,$E$7:E905,E905),"")</f>
        <v/>
      </c>
      <c r="T905" s="112">
        <f>IF(Q905="","",IF(Q905=3,L905,IF(OR(M905="Not started",M905=""),J905,"")))</f>
        <v/>
      </c>
      <c r="U905" s="79">
        <f>IF(T905="","",IF(Q905=3,1,IF(T905="","",IF(T905&lt;AsOf,1,IF(T905&lt;=AsOf+AlertDays,2,IF(T905&lt;=AsOf+2*AlertDays,3,""))))))</f>
        <v/>
      </c>
      <c r="V905" s="79">
        <f>IF(U905="","",IF(Q905=3,"Late task: "&amp;D905,IF(T905&lt;AsOf,"Should have started: ","Starts soon: ")&amp;D905)&amp;IF(F905="",""," — "&amp;F905))</f>
        <v/>
      </c>
    </row>
    <row r="906" ht="20" customHeight="1">
      <c r="B906" s="125" t="n">
        <v>900</v>
      </c>
      <c r="C906" s="72" t="n"/>
      <c r="D906" s="72" t="n"/>
      <c r="E906" s="72" t="n"/>
      <c r="F906" s="72" t="n"/>
      <c r="G906" s="89" t="n"/>
      <c r="H906" s="89" t="n"/>
      <c r="I906" s="109" t="n"/>
      <c r="J906" s="126">
        <f>IF(OR(D906="",ProjStart=""),"",MAX(ProjStart,IF(I906&lt;&gt;"",I906,0),IF(H906="",0,IFERROR(INDEX($L$6:L905,MATCH(H906,$B$6:B905,0))+1,0))))</f>
        <v/>
      </c>
      <c r="K906" s="89" t="n"/>
      <c r="L906" s="126">
        <f>IF(J906="","",J906+MAX(1,G906)+IF(K906="",0,K906)-1)</f>
        <v/>
      </c>
      <c r="M906" s="72" t="n"/>
      <c r="N906" s="109" t="n"/>
      <c r="O906" s="127">
        <f>IF(D906="","",COUNTIF($H$7:$H$1006,B906))</f>
        <v/>
      </c>
      <c r="P906" s="78">
        <f>IF(D906="","",IF(AND(H906&lt;&gt;"",H906&gt;=B906),"⚠️ Predecessor must be above",IF(M906="Done","✓ Done",IF(Q906=3,"🔴 Late",IF(M906="In progress","In progress","")))))</f>
        <v/>
      </c>
      <c r="Q906" s="79">
        <f>IF(OR(D906="",L906=""),"",IF(M906="Done",2,IF(AsOf&gt;L906,3,1)))</f>
        <v/>
      </c>
      <c r="R906" s="79">
        <f>IF(OR(E906="",F906=""),0,IF(COUNTIFS($E$7:E906,E906,$F$7:F906,F906)=1,1,0))</f>
        <v/>
      </c>
      <c r="S906" s="79">
        <f>IF(R906=1,E906&amp;"|"&amp;SUMIFS($R$7:R906,$E$7:E906,E906),"")</f>
        <v/>
      </c>
      <c r="T906" s="112">
        <f>IF(Q906="","",IF(Q906=3,L906,IF(OR(M906="Not started",M906=""),J906,"")))</f>
        <v/>
      </c>
      <c r="U906" s="79">
        <f>IF(T906="","",IF(Q906=3,1,IF(T906="","",IF(T906&lt;AsOf,1,IF(T906&lt;=AsOf+AlertDays,2,IF(T906&lt;=AsOf+2*AlertDays,3,""))))))</f>
        <v/>
      </c>
      <c r="V906" s="79">
        <f>IF(U906="","",IF(Q906=3,"Late task: "&amp;D906,IF(T906&lt;AsOf,"Should have started: ","Starts soon: ")&amp;D906)&amp;IF(F906="",""," — "&amp;F906))</f>
        <v/>
      </c>
    </row>
    <row r="907" ht="20" customHeight="1">
      <c r="B907" s="125" t="n">
        <v>901</v>
      </c>
      <c r="C907" s="72" t="n"/>
      <c r="D907" s="72" t="n"/>
      <c r="E907" s="72" t="n"/>
      <c r="F907" s="72" t="n"/>
      <c r="G907" s="89" t="n"/>
      <c r="H907" s="89" t="n"/>
      <c r="I907" s="109" t="n"/>
      <c r="J907" s="126">
        <f>IF(OR(D907="",ProjStart=""),"",MAX(ProjStart,IF(I907&lt;&gt;"",I907,0),IF(H907="",0,IFERROR(INDEX($L$6:L906,MATCH(H907,$B$6:B906,0))+1,0))))</f>
        <v/>
      </c>
      <c r="K907" s="89" t="n"/>
      <c r="L907" s="126">
        <f>IF(J907="","",J907+MAX(1,G907)+IF(K907="",0,K907)-1)</f>
        <v/>
      </c>
      <c r="M907" s="72" t="n"/>
      <c r="N907" s="109" t="n"/>
      <c r="O907" s="127">
        <f>IF(D907="","",COUNTIF($H$7:$H$1006,B907))</f>
        <v/>
      </c>
      <c r="P907" s="78">
        <f>IF(D907="","",IF(AND(H907&lt;&gt;"",H907&gt;=B907),"⚠️ Predecessor must be above",IF(M907="Done","✓ Done",IF(Q907=3,"🔴 Late",IF(M907="In progress","In progress","")))))</f>
        <v/>
      </c>
      <c r="Q907" s="79">
        <f>IF(OR(D907="",L907=""),"",IF(M907="Done",2,IF(AsOf&gt;L907,3,1)))</f>
        <v/>
      </c>
      <c r="R907" s="79">
        <f>IF(OR(E907="",F907=""),0,IF(COUNTIFS($E$7:E907,E907,$F$7:F907,F907)=1,1,0))</f>
        <v/>
      </c>
      <c r="S907" s="79">
        <f>IF(R907=1,E907&amp;"|"&amp;SUMIFS($R$7:R907,$E$7:E907,E907),"")</f>
        <v/>
      </c>
      <c r="T907" s="112">
        <f>IF(Q907="","",IF(Q907=3,L907,IF(OR(M907="Not started",M907=""),J907,"")))</f>
        <v/>
      </c>
      <c r="U907" s="79">
        <f>IF(T907="","",IF(Q907=3,1,IF(T907="","",IF(T907&lt;AsOf,1,IF(T907&lt;=AsOf+AlertDays,2,IF(T907&lt;=AsOf+2*AlertDays,3,""))))))</f>
        <v/>
      </c>
      <c r="V907" s="79">
        <f>IF(U907="","",IF(Q907=3,"Late task: "&amp;D907,IF(T907&lt;AsOf,"Should have started: ","Starts soon: ")&amp;D907)&amp;IF(F907="",""," — "&amp;F907))</f>
        <v/>
      </c>
    </row>
    <row r="908" ht="20" customHeight="1">
      <c r="B908" s="125" t="n">
        <v>902</v>
      </c>
      <c r="C908" s="72" t="n"/>
      <c r="D908" s="72" t="n"/>
      <c r="E908" s="72" t="n"/>
      <c r="F908" s="72" t="n"/>
      <c r="G908" s="89" t="n"/>
      <c r="H908" s="89" t="n"/>
      <c r="I908" s="109" t="n"/>
      <c r="J908" s="126">
        <f>IF(OR(D908="",ProjStart=""),"",MAX(ProjStart,IF(I908&lt;&gt;"",I908,0),IF(H908="",0,IFERROR(INDEX($L$6:L907,MATCH(H908,$B$6:B907,0))+1,0))))</f>
        <v/>
      </c>
      <c r="K908" s="89" t="n"/>
      <c r="L908" s="126">
        <f>IF(J908="","",J908+MAX(1,G908)+IF(K908="",0,K908)-1)</f>
        <v/>
      </c>
      <c r="M908" s="72" t="n"/>
      <c r="N908" s="109" t="n"/>
      <c r="O908" s="127">
        <f>IF(D908="","",COUNTIF($H$7:$H$1006,B908))</f>
        <v/>
      </c>
      <c r="P908" s="78">
        <f>IF(D908="","",IF(AND(H908&lt;&gt;"",H908&gt;=B908),"⚠️ Predecessor must be above",IF(M908="Done","✓ Done",IF(Q908=3,"🔴 Late",IF(M908="In progress","In progress","")))))</f>
        <v/>
      </c>
      <c r="Q908" s="79">
        <f>IF(OR(D908="",L908=""),"",IF(M908="Done",2,IF(AsOf&gt;L908,3,1)))</f>
        <v/>
      </c>
      <c r="R908" s="79">
        <f>IF(OR(E908="",F908=""),0,IF(COUNTIFS($E$7:E908,E908,$F$7:F908,F908)=1,1,0))</f>
        <v/>
      </c>
      <c r="S908" s="79">
        <f>IF(R908=1,E908&amp;"|"&amp;SUMIFS($R$7:R908,$E$7:E908,E908),"")</f>
        <v/>
      </c>
      <c r="T908" s="112">
        <f>IF(Q908="","",IF(Q908=3,L908,IF(OR(M908="Not started",M908=""),J908,"")))</f>
        <v/>
      </c>
      <c r="U908" s="79">
        <f>IF(T908="","",IF(Q908=3,1,IF(T908="","",IF(T908&lt;AsOf,1,IF(T908&lt;=AsOf+AlertDays,2,IF(T908&lt;=AsOf+2*AlertDays,3,""))))))</f>
        <v/>
      </c>
      <c r="V908" s="79">
        <f>IF(U908="","",IF(Q908=3,"Late task: "&amp;D908,IF(T908&lt;AsOf,"Should have started: ","Starts soon: ")&amp;D908)&amp;IF(F908="",""," — "&amp;F908))</f>
        <v/>
      </c>
    </row>
    <row r="909" ht="20" customHeight="1">
      <c r="B909" s="125" t="n">
        <v>903</v>
      </c>
      <c r="C909" s="72" t="n"/>
      <c r="D909" s="72" t="n"/>
      <c r="E909" s="72" t="n"/>
      <c r="F909" s="72" t="n"/>
      <c r="G909" s="89" t="n"/>
      <c r="H909" s="89" t="n"/>
      <c r="I909" s="109" t="n"/>
      <c r="J909" s="126">
        <f>IF(OR(D909="",ProjStart=""),"",MAX(ProjStart,IF(I909&lt;&gt;"",I909,0),IF(H909="",0,IFERROR(INDEX($L$6:L908,MATCH(H909,$B$6:B908,0))+1,0))))</f>
        <v/>
      </c>
      <c r="K909" s="89" t="n"/>
      <c r="L909" s="126">
        <f>IF(J909="","",J909+MAX(1,G909)+IF(K909="",0,K909)-1)</f>
        <v/>
      </c>
      <c r="M909" s="72" t="n"/>
      <c r="N909" s="109" t="n"/>
      <c r="O909" s="127">
        <f>IF(D909="","",COUNTIF($H$7:$H$1006,B909))</f>
        <v/>
      </c>
      <c r="P909" s="78">
        <f>IF(D909="","",IF(AND(H909&lt;&gt;"",H909&gt;=B909),"⚠️ Predecessor must be above",IF(M909="Done","✓ Done",IF(Q909=3,"🔴 Late",IF(M909="In progress","In progress","")))))</f>
        <v/>
      </c>
      <c r="Q909" s="79">
        <f>IF(OR(D909="",L909=""),"",IF(M909="Done",2,IF(AsOf&gt;L909,3,1)))</f>
        <v/>
      </c>
      <c r="R909" s="79">
        <f>IF(OR(E909="",F909=""),0,IF(COUNTIFS($E$7:E909,E909,$F$7:F909,F909)=1,1,0))</f>
        <v/>
      </c>
      <c r="S909" s="79">
        <f>IF(R909=1,E909&amp;"|"&amp;SUMIFS($R$7:R909,$E$7:E909,E909),"")</f>
        <v/>
      </c>
      <c r="T909" s="112">
        <f>IF(Q909="","",IF(Q909=3,L909,IF(OR(M909="Not started",M909=""),J909,"")))</f>
        <v/>
      </c>
      <c r="U909" s="79">
        <f>IF(T909="","",IF(Q909=3,1,IF(T909="","",IF(T909&lt;AsOf,1,IF(T909&lt;=AsOf+AlertDays,2,IF(T909&lt;=AsOf+2*AlertDays,3,""))))))</f>
        <v/>
      </c>
      <c r="V909" s="79">
        <f>IF(U909="","",IF(Q909=3,"Late task: "&amp;D909,IF(T909&lt;AsOf,"Should have started: ","Starts soon: ")&amp;D909)&amp;IF(F909="",""," — "&amp;F909))</f>
        <v/>
      </c>
    </row>
    <row r="910" ht="20" customHeight="1">
      <c r="B910" s="125" t="n">
        <v>904</v>
      </c>
      <c r="C910" s="72" t="n"/>
      <c r="D910" s="72" t="n"/>
      <c r="E910" s="72" t="n"/>
      <c r="F910" s="72" t="n"/>
      <c r="G910" s="89" t="n"/>
      <c r="H910" s="89" t="n"/>
      <c r="I910" s="109" t="n"/>
      <c r="J910" s="126">
        <f>IF(OR(D910="",ProjStart=""),"",MAX(ProjStart,IF(I910&lt;&gt;"",I910,0),IF(H910="",0,IFERROR(INDEX($L$6:L909,MATCH(H910,$B$6:B909,0))+1,0))))</f>
        <v/>
      </c>
      <c r="K910" s="89" t="n"/>
      <c r="L910" s="126">
        <f>IF(J910="","",J910+MAX(1,G910)+IF(K910="",0,K910)-1)</f>
        <v/>
      </c>
      <c r="M910" s="72" t="n"/>
      <c r="N910" s="109" t="n"/>
      <c r="O910" s="127">
        <f>IF(D910="","",COUNTIF($H$7:$H$1006,B910))</f>
        <v/>
      </c>
      <c r="P910" s="78">
        <f>IF(D910="","",IF(AND(H910&lt;&gt;"",H910&gt;=B910),"⚠️ Predecessor must be above",IF(M910="Done","✓ Done",IF(Q910=3,"🔴 Late",IF(M910="In progress","In progress","")))))</f>
        <v/>
      </c>
      <c r="Q910" s="79">
        <f>IF(OR(D910="",L910=""),"",IF(M910="Done",2,IF(AsOf&gt;L910,3,1)))</f>
        <v/>
      </c>
      <c r="R910" s="79">
        <f>IF(OR(E910="",F910=""),0,IF(COUNTIFS($E$7:E910,E910,$F$7:F910,F910)=1,1,0))</f>
        <v/>
      </c>
      <c r="S910" s="79">
        <f>IF(R910=1,E910&amp;"|"&amp;SUMIFS($R$7:R910,$E$7:E910,E910),"")</f>
        <v/>
      </c>
      <c r="T910" s="112">
        <f>IF(Q910="","",IF(Q910=3,L910,IF(OR(M910="Not started",M910=""),J910,"")))</f>
        <v/>
      </c>
      <c r="U910" s="79">
        <f>IF(T910="","",IF(Q910=3,1,IF(T910="","",IF(T910&lt;AsOf,1,IF(T910&lt;=AsOf+AlertDays,2,IF(T910&lt;=AsOf+2*AlertDays,3,""))))))</f>
        <v/>
      </c>
      <c r="V910" s="79">
        <f>IF(U910="","",IF(Q910=3,"Late task: "&amp;D910,IF(T910&lt;AsOf,"Should have started: ","Starts soon: ")&amp;D910)&amp;IF(F910="",""," — "&amp;F910))</f>
        <v/>
      </c>
    </row>
    <row r="911" ht="20" customHeight="1">
      <c r="B911" s="125" t="n">
        <v>905</v>
      </c>
      <c r="C911" s="72" t="n"/>
      <c r="D911" s="72" t="n"/>
      <c r="E911" s="72" t="n"/>
      <c r="F911" s="72" t="n"/>
      <c r="G911" s="89" t="n"/>
      <c r="H911" s="89" t="n"/>
      <c r="I911" s="109" t="n"/>
      <c r="J911" s="126">
        <f>IF(OR(D911="",ProjStart=""),"",MAX(ProjStart,IF(I911&lt;&gt;"",I911,0),IF(H911="",0,IFERROR(INDEX($L$6:L910,MATCH(H911,$B$6:B910,0))+1,0))))</f>
        <v/>
      </c>
      <c r="K911" s="89" t="n"/>
      <c r="L911" s="126">
        <f>IF(J911="","",J911+MAX(1,G911)+IF(K911="",0,K911)-1)</f>
        <v/>
      </c>
      <c r="M911" s="72" t="n"/>
      <c r="N911" s="109" t="n"/>
      <c r="O911" s="127">
        <f>IF(D911="","",COUNTIF($H$7:$H$1006,B911))</f>
        <v/>
      </c>
      <c r="P911" s="78">
        <f>IF(D911="","",IF(AND(H911&lt;&gt;"",H911&gt;=B911),"⚠️ Predecessor must be above",IF(M911="Done","✓ Done",IF(Q911=3,"🔴 Late",IF(M911="In progress","In progress","")))))</f>
        <v/>
      </c>
      <c r="Q911" s="79">
        <f>IF(OR(D911="",L911=""),"",IF(M911="Done",2,IF(AsOf&gt;L911,3,1)))</f>
        <v/>
      </c>
      <c r="R911" s="79">
        <f>IF(OR(E911="",F911=""),0,IF(COUNTIFS($E$7:E911,E911,$F$7:F911,F911)=1,1,0))</f>
        <v/>
      </c>
      <c r="S911" s="79">
        <f>IF(R911=1,E911&amp;"|"&amp;SUMIFS($R$7:R911,$E$7:E911,E911),"")</f>
        <v/>
      </c>
      <c r="T911" s="112">
        <f>IF(Q911="","",IF(Q911=3,L911,IF(OR(M911="Not started",M911=""),J911,"")))</f>
        <v/>
      </c>
      <c r="U911" s="79">
        <f>IF(T911="","",IF(Q911=3,1,IF(T911="","",IF(T911&lt;AsOf,1,IF(T911&lt;=AsOf+AlertDays,2,IF(T911&lt;=AsOf+2*AlertDays,3,""))))))</f>
        <v/>
      </c>
      <c r="V911" s="79">
        <f>IF(U911="","",IF(Q911=3,"Late task: "&amp;D911,IF(T911&lt;AsOf,"Should have started: ","Starts soon: ")&amp;D911)&amp;IF(F911="",""," — "&amp;F911))</f>
        <v/>
      </c>
    </row>
    <row r="912" ht="20" customHeight="1">
      <c r="B912" s="125" t="n">
        <v>906</v>
      </c>
      <c r="C912" s="72" t="n"/>
      <c r="D912" s="72" t="n"/>
      <c r="E912" s="72" t="n"/>
      <c r="F912" s="72" t="n"/>
      <c r="G912" s="89" t="n"/>
      <c r="H912" s="89" t="n"/>
      <c r="I912" s="109" t="n"/>
      <c r="J912" s="126">
        <f>IF(OR(D912="",ProjStart=""),"",MAX(ProjStart,IF(I912&lt;&gt;"",I912,0),IF(H912="",0,IFERROR(INDEX($L$6:L911,MATCH(H912,$B$6:B911,0))+1,0))))</f>
        <v/>
      </c>
      <c r="K912" s="89" t="n"/>
      <c r="L912" s="126">
        <f>IF(J912="","",J912+MAX(1,G912)+IF(K912="",0,K912)-1)</f>
        <v/>
      </c>
      <c r="M912" s="72" t="n"/>
      <c r="N912" s="109" t="n"/>
      <c r="O912" s="127">
        <f>IF(D912="","",COUNTIF($H$7:$H$1006,B912))</f>
        <v/>
      </c>
      <c r="P912" s="78">
        <f>IF(D912="","",IF(AND(H912&lt;&gt;"",H912&gt;=B912),"⚠️ Predecessor must be above",IF(M912="Done","✓ Done",IF(Q912=3,"🔴 Late",IF(M912="In progress","In progress","")))))</f>
        <v/>
      </c>
      <c r="Q912" s="79">
        <f>IF(OR(D912="",L912=""),"",IF(M912="Done",2,IF(AsOf&gt;L912,3,1)))</f>
        <v/>
      </c>
      <c r="R912" s="79">
        <f>IF(OR(E912="",F912=""),0,IF(COUNTIFS($E$7:E912,E912,$F$7:F912,F912)=1,1,0))</f>
        <v/>
      </c>
      <c r="S912" s="79">
        <f>IF(R912=1,E912&amp;"|"&amp;SUMIFS($R$7:R912,$E$7:E912,E912),"")</f>
        <v/>
      </c>
      <c r="T912" s="112">
        <f>IF(Q912="","",IF(Q912=3,L912,IF(OR(M912="Not started",M912=""),J912,"")))</f>
        <v/>
      </c>
      <c r="U912" s="79">
        <f>IF(T912="","",IF(Q912=3,1,IF(T912="","",IF(T912&lt;AsOf,1,IF(T912&lt;=AsOf+AlertDays,2,IF(T912&lt;=AsOf+2*AlertDays,3,""))))))</f>
        <v/>
      </c>
      <c r="V912" s="79">
        <f>IF(U912="","",IF(Q912=3,"Late task: "&amp;D912,IF(T912&lt;AsOf,"Should have started: ","Starts soon: ")&amp;D912)&amp;IF(F912="",""," — "&amp;F912))</f>
        <v/>
      </c>
    </row>
    <row r="913" ht="20" customHeight="1">
      <c r="B913" s="125" t="n">
        <v>907</v>
      </c>
      <c r="C913" s="72" t="n"/>
      <c r="D913" s="72" t="n"/>
      <c r="E913" s="72" t="n"/>
      <c r="F913" s="72" t="n"/>
      <c r="G913" s="89" t="n"/>
      <c r="H913" s="89" t="n"/>
      <c r="I913" s="109" t="n"/>
      <c r="J913" s="126">
        <f>IF(OR(D913="",ProjStart=""),"",MAX(ProjStart,IF(I913&lt;&gt;"",I913,0),IF(H913="",0,IFERROR(INDEX($L$6:L912,MATCH(H913,$B$6:B912,0))+1,0))))</f>
        <v/>
      </c>
      <c r="K913" s="89" t="n"/>
      <c r="L913" s="126">
        <f>IF(J913="","",J913+MAX(1,G913)+IF(K913="",0,K913)-1)</f>
        <v/>
      </c>
      <c r="M913" s="72" t="n"/>
      <c r="N913" s="109" t="n"/>
      <c r="O913" s="127">
        <f>IF(D913="","",COUNTIF($H$7:$H$1006,B913))</f>
        <v/>
      </c>
      <c r="P913" s="78">
        <f>IF(D913="","",IF(AND(H913&lt;&gt;"",H913&gt;=B913),"⚠️ Predecessor must be above",IF(M913="Done","✓ Done",IF(Q913=3,"🔴 Late",IF(M913="In progress","In progress","")))))</f>
        <v/>
      </c>
      <c r="Q913" s="79">
        <f>IF(OR(D913="",L913=""),"",IF(M913="Done",2,IF(AsOf&gt;L913,3,1)))</f>
        <v/>
      </c>
      <c r="R913" s="79">
        <f>IF(OR(E913="",F913=""),0,IF(COUNTIFS($E$7:E913,E913,$F$7:F913,F913)=1,1,0))</f>
        <v/>
      </c>
      <c r="S913" s="79">
        <f>IF(R913=1,E913&amp;"|"&amp;SUMIFS($R$7:R913,$E$7:E913,E913),"")</f>
        <v/>
      </c>
      <c r="T913" s="112">
        <f>IF(Q913="","",IF(Q913=3,L913,IF(OR(M913="Not started",M913=""),J913,"")))</f>
        <v/>
      </c>
      <c r="U913" s="79">
        <f>IF(T913="","",IF(Q913=3,1,IF(T913="","",IF(T913&lt;AsOf,1,IF(T913&lt;=AsOf+AlertDays,2,IF(T913&lt;=AsOf+2*AlertDays,3,""))))))</f>
        <v/>
      </c>
      <c r="V913" s="79">
        <f>IF(U913="","",IF(Q913=3,"Late task: "&amp;D913,IF(T913&lt;AsOf,"Should have started: ","Starts soon: ")&amp;D913)&amp;IF(F913="",""," — "&amp;F913))</f>
        <v/>
      </c>
    </row>
    <row r="914" ht="20" customHeight="1">
      <c r="B914" s="125" t="n">
        <v>908</v>
      </c>
      <c r="C914" s="72" t="n"/>
      <c r="D914" s="72" t="n"/>
      <c r="E914" s="72" t="n"/>
      <c r="F914" s="72" t="n"/>
      <c r="G914" s="89" t="n"/>
      <c r="H914" s="89" t="n"/>
      <c r="I914" s="109" t="n"/>
      <c r="J914" s="126">
        <f>IF(OR(D914="",ProjStart=""),"",MAX(ProjStart,IF(I914&lt;&gt;"",I914,0),IF(H914="",0,IFERROR(INDEX($L$6:L913,MATCH(H914,$B$6:B913,0))+1,0))))</f>
        <v/>
      </c>
      <c r="K914" s="89" t="n"/>
      <c r="L914" s="126">
        <f>IF(J914="","",J914+MAX(1,G914)+IF(K914="",0,K914)-1)</f>
        <v/>
      </c>
      <c r="M914" s="72" t="n"/>
      <c r="N914" s="109" t="n"/>
      <c r="O914" s="127">
        <f>IF(D914="","",COUNTIF($H$7:$H$1006,B914))</f>
        <v/>
      </c>
      <c r="P914" s="78">
        <f>IF(D914="","",IF(AND(H914&lt;&gt;"",H914&gt;=B914),"⚠️ Predecessor must be above",IF(M914="Done","✓ Done",IF(Q914=3,"🔴 Late",IF(M914="In progress","In progress","")))))</f>
        <v/>
      </c>
      <c r="Q914" s="79">
        <f>IF(OR(D914="",L914=""),"",IF(M914="Done",2,IF(AsOf&gt;L914,3,1)))</f>
        <v/>
      </c>
      <c r="R914" s="79">
        <f>IF(OR(E914="",F914=""),0,IF(COUNTIFS($E$7:E914,E914,$F$7:F914,F914)=1,1,0))</f>
        <v/>
      </c>
      <c r="S914" s="79">
        <f>IF(R914=1,E914&amp;"|"&amp;SUMIFS($R$7:R914,$E$7:E914,E914),"")</f>
        <v/>
      </c>
      <c r="T914" s="112">
        <f>IF(Q914="","",IF(Q914=3,L914,IF(OR(M914="Not started",M914=""),J914,"")))</f>
        <v/>
      </c>
      <c r="U914" s="79">
        <f>IF(T914="","",IF(Q914=3,1,IF(T914="","",IF(T914&lt;AsOf,1,IF(T914&lt;=AsOf+AlertDays,2,IF(T914&lt;=AsOf+2*AlertDays,3,""))))))</f>
        <v/>
      </c>
      <c r="V914" s="79">
        <f>IF(U914="","",IF(Q914=3,"Late task: "&amp;D914,IF(T914&lt;AsOf,"Should have started: ","Starts soon: ")&amp;D914)&amp;IF(F914="",""," — "&amp;F914))</f>
        <v/>
      </c>
    </row>
    <row r="915" ht="20" customHeight="1">
      <c r="B915" s="125" t="n">
        <v>909</v>
      </c>
      <c r="C915" s="72" t="n"/>
      <c r="D915" s="72" t="n"/>
      <c r="E915" s="72" t="n"/>
      <c r="F915" s="72" t="n"/>
      <c r="G915" s="89" t="n"/>
      <c r="H915" s="89" t="n"/>
      <c r="I915" s="109" t="n"/>
      <c r="J915" s="126">
        <f>IF(OR(D915="",ProjStart=""),"",MAX(ProjStart,IF(I915&lt;&gt;"",I915,0),IF(H915="",0,IFERROR(INDEX($L$6:L914,MATCH(H915,$B$6:B914,0))+1,0))))</f>
        <v/>
      </c>
      <c r="K915" s="89" t="n"/>
      <c r="L915" s="126">
        <f>IF(J915="","",J915+MAX(1,G915)+IF(K915="",0,K915)-1)</f>
        <v/>
      </c>
      <c r="M915" s="72" t="n"/>
      <c r="N915" s="109" t="n"/>
      <c r="O915" s="127">
        <f>IF(D915="","",COUNTIF($H$7:$H$1006,B915))</f>
        <v/>
      </c>
      <c r="P915" s="78">
        <f>IF(D915="","",IF(AND(H915&lt;&gt;"",H915&gt;=B915),"⚠️ Predecessor must be above",IF(M915="Done","✓ Done",IF(Q915=3,"🔴 Late",IF(M915="In progress","In progress","")))))</f>
        <v/>
      </c>
      <c r="Q915" s="79">
        <f>IF(OR(D915="",L915=""),"",IF(M915="Done",2,IF(AsOf&gt;L915,3,1)))</f>
        <v/>
      </c>
      <c r="R915" s="79">
        <f>IF(OR(E915="",F915=""),0,IF(COUNTIFS($E$7:E915,E915,$F$7:F915,F915)=1,1,0))</f>
        <v/>
      </c>
      <c r="S915" s="79">
        <f>IF(R915=1,E915&amp;"|"&amp;SUMIFS($R$7:R915,$E$7:E915,E915),"")</f>
        <v/>
      </c>
      <c r="T915" s="112">
        <f>IF(Q915="","",IF(Q915=3,L915,IF(OR(M915="Not started",M915=""),J915,"")))</f>
        <v/>
      </c>
      <c r="U915" s="79">
        <f>IF(T915="","",IF(Q915=3,1,IF(T915="","",IF(T915&lt;AsOf,1,IF(T915&lt;=AsOf+AlertDays,2,IF(T915&lt;=AsOf+2*AlertDays,3,""))))))</f>
        <v/>
      </c>
      <c r="V915" s="79">
        <f>IF(U915="","",IF(Q915=3,"Late task: "&amp;D915,IF(T915&lt;AsOf,"Should have started: ","Starts soon: ")&amp;D915)&amp;IF(F915="",""," — "&amp;F915))</f>
        <v/>
      </c>
    </row>
    <row r="916" ht="20" customHeight="1">
      <c r="B916" s="125" t="n">
        <v>910</v>
      </c>
      <c r="C916" s="72" t="n"/>
      <c r="D916" s="72" t="n"/>
      <c r="E916" s="72" t="n"/>
      <c r="F916" s="72" t="n"/>
      <c r="G916" s="89" t="n"/>
      <c r="H916" s="89" t="n"/>
      <c r="I916" s="109" t="n"/>
      <c r="J916" s="126">
        <f>IF(OR(D916="",ProjStart=""),"",MAX(ProjStart,IF(I916&lt;&gt;"",I916,0),IF(H916="",0,IFERROR(INDEX($L$6:L915,MATCH(H916,$B$6:B915,0))+1,0))))</f>
        <v/>
      </c>
      <c r="K916" s="89" t="n"/>
      <c r="L916" s="126">
        <f>IF(J916="","",J916+MAX(1,G916)+IF(K916="",0,K916)-1)</f>
        <v/>
      </c>
      <c r="M916" s="72" t="n"/>
      <c r="N916" s="109" t="n"/>
      <c r="O916" s="127">
        <f>IF(D916="","",COUNTIF($H$7:$H$1006,B916))</f>
        <v/>
      </c>
      <c r="P916" s="78">
        <f>IF(D916="","",IF(AND(H916&lt;&gt;"",H916&gt;=B916),"⚠️ Predecessor must be above",IF(M916="Done","✓ Done",IF(Q916=3,"🔴 Late",IF(M916="In progress","In progress","")))))</f>
        <v/>
      </c>
      <c r="Q916" s="79">
        <f>IF(OR(D916="",L916=""),"",IF(M916="Done",2,IF(AsOf&gt;L916,3,1)))</f>
        <v/>
      </c>
      <c r="R916" s="79">
        <f>IF(OR(E916="",F916=""),0,IF(COUNTIFS($E$7:E916,E916,$F$7:F916,F916)=1,1,0))</f>
        <v/>
      </c>
      <c r="S916" s="79">
        <f>IF(R916=1,E916&amp;"|"&amp;SUMIFS($R$7:R916,$E$7:E916,E916),"")</f>
        <v/>
      </c>
      <c r="T916" s="112">
        <f>IF(Q916="","",IF(Q916=3,L916,IF(OR(M916="Not started",M916=""),J916,"")))</f>
        <v/>
      </c>
      <c r="U916" s="79">
        <f>IF(T916="","",IF(Q916=3,1,IF(T916="","",IF(T916&lt;AsOf,1,IF(T916&lt;=AsOf+AlertDays,2,IF(T916&lt;=AsOf+2*AlertDays,3,""))))))</f>
        <v/>
      </c>
      <c r="V916" s="79">
        <f>IF(U916="","",IF(Q916=3,"Late task: "&amp;D916,IF(T916&lt;AsOf,"Should have started: ","Starts soon: ")&amp;D916)&amp;IF(F916="",""," — "&amp;F916))</f>
        <v/>
      </c>
    </row>
    <row r="917" ht="20" customHeight="1">
      <c r="B917" s="125" t="n">
        <v>911</v>
      </c>
      <c r="C917" s="72" t="n"/>
      <c r="D917" s="72" t="n"/>
      <c r="E917" s="72" t="n"/>
      <c r="F917" s="72" t="n"/>
      <c r="G917" s="89" t="n"/>
      <c r="H917" s="89" t="n"/>
      <c r="I917" s="109" t="n"/>
      <c r="J917" s="126">
        <f>IF(OR(D917="",ProjStart=""),"",MAX(ProjStart,IF(I917&lt;&gt;"",I917,0),IF(H917="",0,IFERROR(INDEX($L$6:L916,MATCH(H917,$B$6:B916,0))+1,0))))</f>
        <v/>
      </c>
      <c r="K917" s="89" t="n"/>
      <c r="L917" s="126">
        <f>IF(J917="","",J917+MAX(1,G917)+IF(K917="",0,K917)-1)</f>
        <v/>
      </c>
      <c r="M917" s="72" t="n"/>
      <c r="N917" s="109" t="n"/>
      <c r="O917" s="127">
        <f>IF(D917="","",COUNTIF($H$7:$H$1006,B917))</f>
        <v/>
      </c>
      <c r="P917" s="78">
        <f>IF(D917="","",IF(AND(H917&lt;&gt;"",H917&gt;=B917),"⚠️ Predecessor must be above",IF(M917="Done","✓ Done",IF(Q917=3,"🔴 Late",IF(M917="In progress","In progress","")))))</f>
        <v/>
      </c>
      <c r="Q917" s="79">
        <f>IF(OR(D917="",L917=""),"",IF(M917="Done",2,IF(AsOf&gt;L917,3,1)))</f>
        <v/>
      </c>
      <c r="R917" s="79">
        <f>IF(OR(E917="",F917=""),0,IF(COUNTIFS($E$7:E917,E917,$F$7:F917,F917)=1,1,0))</f>
        <v/>
      </c>
      <c r="S917" s="79">
        <f>IF(R917=1,E917&amp;"|"&amp;SUMIFS($R$7:R917,$E$7:E917,E917),"")</f>
        <v/>
      </c>
      <c r="T917" s="112">
        <f>IF(Q917="","",IF(Q917=3,L917,IF(OR(M917="Not started",M917=""),J917,"")))</f>
        <v/>
      </c>
      <c r="U917" s="79">
        <f>IF(T917="","",IF(Q917=3,1,IF(T917="","",IF(T917&lt;AsOf,1,IF(T917&lt;=AsOf+AlertDays,2,IF(T917&lt;=AsOf+2*AlertDays,3,""))))))</f>
        <v/>
      </c>
      <c r="V917" s="79">
        <f>IF(U917="","",IF(Q917=3,"Late task: "&amp;D917,IF(T917&lt;AsOf,"Should have started: ","Starts soon: ")&amp;D917)&amp;IF(F917="",""," — "&amp;F917))</f>
        <v/>
      </c>
    </row>
    <row r="918" ht="20" customHeight="1">
      <c r="B918" s="125" t="n">
        <v>912</v>
      </c>
      <c r="C918" s="72" t="n"/>
      <c r="D918" s="72" t="n"/>
      <c r="E918" s="72" t="n"/>
      <c r="F918" s="72" t="n"/>
      <c r="G918" s="89" t="n"/>
      <c r="H918" s="89" t="n"/>
      <c r="I918" s="109" t="n"/>
      <c r="J918" s="126">
        <f>IF(OR(D918="",ProjStart=""),"",MAX(ProjStart,IF(I918&lt;&gt;"",I918,0),IF(H918="",0,IFERROR(INDEX($L$6:L917,MATCH(H918,$B$6:B917,0))+1,0))))</f>
        <v/>
      </c>
      <c r="K918" s="89" t="n"/>
      <c r="L918" s="126">
        <f>IF(J918="","",J918+MAX(1,G918)+IF(K918="",0,K918)-1)</f>
        <v/>
      </c>
      <c r="M918" s="72" t="n"/>
      <c r="N918" s="109" t="n"/>
      <c r="O918" s="127">
        <f>IF(D918="","",COUNTIF($H$7:$H$1006,B918))</f>
        <v/>
      </c>
      <c r="P918" s="78">
        <f>IF(D918="","",IF(AND(H918&lt;&gt;"",H918&gt;=B918),"⚠️ Predecessor must be above",IF(M918="Done","✓ Done",IF(Q918=3,"🔴 Late",IF(M918="In progress","In progress","")))))</f>
        <v/>
      </c>
      <c r="Q918" s="79">
        <f>IF(OR(D918="",L918=""),"",IF(M918="Done",2,IF(AsOf&gt;L918,3,1)))</f>
        <v/>
      </c>
      <c r="R918" s="79">
        <f>IF(OR(E918="",F918=""),0,IF(COUNTIFS($E$7:E918,E918,$F$7:F918,F918)=1,1,0))</f>
        <v/>
      </c>
      <c r="S918" s="79">
        <f>IF(R918=1,E918&amp;"|"&amp;SUMIFS($R$7:R918,$E$7:E918,E918),"")</f>
        <v/>
      </c>
      <c r="T918" s="112">
        <f>IF(Q918="","",IF(Q918=3,L918,IF(OR(M918="Not started",M918=""),J918,"")))</f>
        <v/>
      </c>
      <c r="U918" s="79">
        <f>IF(T918="","",IF(Q918=3,1,IF(T918="","",IF(T918&lt;AsOf,1,IF(T918&lt;=AsOf+AlertDays,2,IF(T918&lt;=AsOf+2*AlertDays,3,""))))))</f>
        <v/>
      </c>
      <c r="V918" s="79">
        <f>IF(U918="","",IF(Q918=3,"Late task: "&amp;D918,IF(T918&lt;AsOf,"Should have started: ","Starts soon: ")&amp;D918)&amp;IF(F918="",""," — "&amp;F918))</f>
        <v/>
      </c>
    </row>
    <row r="919" ht="20" customHeight="1">
      <c r="B919" s="125" t="n">
        <v>913</v>
      </c>
      <c r="C919" s="72" t="n"/>
      <c r="D919" s="72" t="n"/>
      <c r="E919" s="72" t="n"/>
      <c r="F919" s="72" t="n"/>
      <c r="G919" s="89" t="n"/>
      <c r="H919" s="89" t="n"/>
      <c r="I919" s="109" t="n"/>
      <c r="J919" s="126">
        <f>IF(OR(D919="",ProjStart=""),"",MAX(ProjStart,IF(I919&lt;&gt;"",I919,0),IF(H919="",0,IFERROR(INDEX($L$6:L918,MATCH(H919,$B$6:B918,0))+1,0))))</f>
        <v/>
      </c>
      <c r="K919" s="89" t="n"/>
      <c r="L919" s="126">
        <f>IF(J919="","",J919+MAX(1,G919)+IF(K919="",0,K919)-1)</f>
        <v/>
      </c>
      <c r="M919" s="72" t="n"/>
      <c r="N919" s="109" t="n"/>
      <c r="O919" s="127">
        <f>IF(D919="","",COUNTIF($H$7:$H$1006,B919))</f>
        <v/>
      </c>
      <c r="P919" s="78">
        <f>IF(D919="","",IF(AND(H919&lt;&gt;"",H919&gt;=B919),"⚠️ Predecessor must be above",IF(M919="Done","✓ Done",IF(Q919=3,"🔴 Late",IF(M919="In progress","In progress","")))))</f>
        <v/>
      </c>
      <c r="Q919" s="79">
        <f>IF(OR(D919="",L919=""),"",IF(M919="Done",2,IF(AsOf&gt;L919,3,1)))</f>
        <v/>
      </c>
      <c r="R919" s="79">
        <f>IF(OR(E919="",F919=""),0,IF(COUNTIFS($E$7:E919,E919,$F$7:F919,F919)=1,1,0))</f>
        <v/>
      </c>
      <c r="S919" s="79">
        <f>IF(R919=1,E919&amp;"|"&amp;SUMIFS($R$7:R919,$E$7:E919,E919),"")</f>
        <v/>
      </c>
      <c r="T919" s="112">
        <f>IF(Q919="","",IF(Q919=3,L919,IF(OR(M919="Not started",M919=""),J919,"")))</f>
        <v/>
      </c>
      <c r="U919" s="79">
        <f>IF(T919="","",IF(Q919=3,1,IF(T919="","",IF(T919&lt;AsOf,1,IF(T919&lt;=AsOf+AlertDays,2,IF(T919&lt;=AsOf+2*AlertDays,3,""))))))</f>
        <v/>
      </c>
      <c r="V919" s="79">
        <f>IF(U919="","",IF(Q919=3,"Late task: "&amp;D919,IF(T919&lt;AsOf,"Should have started: ","Starts soon: ")&amp;D919)&amp;IF(F919="",""," — "&amp;F919))</f>
        <v/>
      </c>
    </row>
    <row r="920" ht="20" customHeight="1">
      <c r="B920" s="125" t="n">
        <v>914</v>
      </c>
      <c r="C920" s="72" t="n"/>
      <c r="D920" s="72" t="n"/>
      <c r="E920" s="72" t="n"/>
      <c r="F920" s="72" t="n"/>
      <c r="G920" s="89" t="n"/>
      <c r="H920" s="89" t="n"/>
      <c r="I920" s="109" t="n"/>
      <c r="J920" s="126">
        <f>IF(OR(D920="",ProjStart=""),"",MAX(ProjStart,IF(I920&lt;&gt;"",I920,0),IF(H920="",0,IFERROR(INDEX($L$6:L919,MATCH(H920,$B$6:B919,0))+1,0))))</f>
        <v/>
      </c>
      <c r="K920" s="89" t="n"/>
      <c r="L920" s="126">
        <f>IF(J920="","",J920+MAX(1,G920)+IF(K920="",0,K920)-1)</f>
        <v/>
      </c>
      <c r="M920" s="72" t="n"/>
      <c r="N920" s="109" t="n"/>
      <c r="O920" s="127">
        <f>IF(D920="","",COUNTIF($H$7:$H$1006,B920))</f>
        <v/>
      </c>
      <c r="P920" s="78">
        <f>IF(D920="","",IF(AND(H920&lt;&gt;"",H920&gt;=B920),"⚠️ Predecessor must be above",IF(M920="Done","✓ Done",IF(Q920=3,"🔴 Late",IF(M920="In progress","In progress","")))))</f>
        <v/>
      </c>
      <c r="Q920" s="79">
        <f>IF(OR(D920="",L920=""),"",IF(M920="Done",2,IF(AsOf&gt;L920,3,1)))</f>
        <v/>
      </c>
      <c r="R920" s="79">
        <f>IF(OR(E920="",F920=""),0,IF(COUNTIFS($E$7:E920,E920,$F$7:F920,F920)=1,1,0))</f>
        <v/>
      </c>
      <c r="S920" s="79">
        <f>IF(R920=1,E920&amp;"|"&amp;SUMIFS($R$7:R920,$E$7:E920,E920),"")</f>
        <v/>
      </c>
      <c r="T920" s="112">
        <f>IF(Q920="","",IF(Q920=3,L920,IF(OR(M920="Not started",M920=""),J920,"")))</f>
        <v/>
      </c>
      <c r="U920" s="79">
        <f>IF(T920="","",IF(Q920=3,1,IF(T920="","",IF(T920&lt;AsOf,1,IF(T920&lt;=AsOf+AlertDays,2,IF(T920&lt;=AsOf+2*AlertDays,3,""))))))</f>
        <v/>
      </c>
      <c r="V920" s="79">
        <f>IF(U920="","",IF(Q920=3,"Late task: "&amp;D920,IF(T920&lt;AsOf,"Should have started: ","Starts soon: ")&amp;D920)&amp;IF(F920="",""," — "&amp;F920))</f>
        <v/>
      </c>
    </row>
    <row r="921" ht="20" customHeight="1">
      <c r="B921" s="125" t="n">
        <v>915</v>
      </c>
      <c r="C921" s="72" t="n"/>
      <c r="D921" s="72" t="n"/>
      <c r="E921" s="72" t="n"/>
      <c r="F921" s="72" t="n"/>
      <c r="G921" s="89" t="n"/>
      <c r="H921" s="89" t="n"/>
      <c r="I921" s="109" t="n"/>
      <c r="J921" s="126">
        <f>IF(OR(D921="",ProjStart=""),"",MAX(ProjStart,IF(I921&lt;&gt;"",I921,0),IF(H921="",0,IFERROR(INDEX($L$6:L920,MATCH(H921,$B$6:B920,0))+1,0))))</f>
        <v/>
      </c>
      <c r="K921" s="89" t="n"/>
      <c r="L921" s="126">
        <f>IF(J921="","",J921+MAX(1,G921)+IF(K921="",0,K921)-1)</f>
        <v/>
      </c>
      <c r="M921" s="72" t="n"/>
      <c r="N921" s="109" t="n"/>
      <c r="O921" s="127">
        <f>IF(D921="","",COUNTIF($H$7:$H$1006,B921))</f>
        <v/>
      </c>
      <c r="P921" s="78">
        <f>IF(D921="","",IF(AND(H921&lt;&gt;"",H921&gt;=B921),"⚠️ Predecessor must be above",IF(M921="Done","✓ Done",IF(Q921=3,"🔴 Late",IF(M921="In progress","In progress","")))))</f>
        <v/>
      </c>
      <c r="Q921" s="79">
        <f>IF(OR(D921="",L921=""),"",IF(M921="Done",2,IF(AsOf&gt;L921,3,1)))</f>
        <v/>
      </c>
      <c r="R921" s="79">
        <f>IF(OR(E921="",F921=""),0,IF(COUNTIFS($E$7:E921,E921,$F$7:F921,F921)=1,1,0))</f>
        <v/>
      </c>
      <c r="S921" s="79">
        <f>IF(R921=1,E921&amp;"|"&amp;SUMIFS($R$7:R921,$E$7:E921,E921),"")</f>
        <v/>
      </c>
      <c r="T921" s="112">
        <f>IF(Q921="","",IF(Q921=3,L921,IF(OR(M921="Not started",M921=""),J921,"")))</f>
        <v/>
      </c>
      <c r="U921" s="79">
        <f>IF(T921="","",IF(Q921=3,1,IF(T921="","",IF(T921&lt;AsOf,1,IF(T921&lt;=AsOf+AlertDays,2,IF(T921&lt;=AsOf+2*AlertDays,3,""))))))</f>
        <v/>
      </c>
      <c r="V921" s="79">
        <f>IF(U921="","",IF(Q921=3,"Late task: "&amp;D921,IF(T921&lt;AsOf,"Should have started: ","Starts soon: ")&amp;D921)&amp;IF(F921="",""," — "&amp;F921))</f>
        <v/>
      </c>
    </row>
    <row r="922" ht="20" customHeight="1">
      <c r="B922" s="125" t="n">
        <v>916</v>
      </c>
      <c r="C922" s="72" t="n"/>
      <c r="D922" s="72" t="n"/>
      <c r="E922" s="72" t="n"/>
      <c r="F922" s="72" t="n"/>
      <c r="G922" s="89" t="n"/>
      <c r="H922" s="89" t="n"/>
      <c r="I922" s="109" t="n"/>
      <c r="J922" s="126">
        <f>IF(OR(D922="",ProjStart=""),"",MAX(ProjStart,IF(I922&lt;&gt;"",I922,0),IF(H922="",0,IFERROR(INDEX($L$6:L921,MATCH(H922,$B$6:B921,0))+1,0))))</f>
        <v/>
      </c>
      <c r="K922" s="89" t="n"/>
      <c r="L922" s="126">
        <f>IF(J922="","",J922+MAX(1,G922)+IF(K922="",0,K922)-1)</f>
        <v/>
      </c>
      <c r="M922" s="72" t="n"/>
      <c r="N922" s="109" t="n"/>
      <c r="O922" s="127">
        <f>IF(D922="","",COUNTIF($H$7:$H$1006,B922))</f>
        <v/>
      </c>
      <c r="P922" s="78">
        <f>IF(D922="","",IF(AND(H922&lt;&gt;"",H922&gt;=B922),"⚠️ Predecessor must be above",IF(M922="Done","✓ Done",IF(Q922=3,"🔴 Late",IF(M922="In progress","In progress","")))))</f>
        <v/>
      </c>
      <c r="Q922" s="79">
        <f>IF(OR(D922="",L922=""),"",IF(M922="Done",2,IF(AsOf&gt;L922,3,1)))</f>
        <v/>
      </c>
      <c r="R922" s="79">
        <f>IF(OR(E922="",F922=""),0,IF(COUNTIFS($E$7:E922,E922,$F$7:F922,F922)=1,1,0))</f>
        <v/>
      </c>
      <c r="S922" s="79">
        <f>IF(R922=1,E922&amp;"|"&amp;SUMIFS($R$7:R922,$E$7:E922,E922),"")</f>
        <v/>
      </c>
      <c r="T922" s="112">
        <f>IF(Q922="","",IF(Q922=3,L922,IF(OR(M922="Not started",M922=""),J922,"")))</f>
        <v/>
      </c>
      <c r="U922" s="79">
        <f>IF(T922="","",IF(Q922=3,1,IF(T922="","",IF(T922&lt;AsOf,1,IF(T922&lt;=AsOf+AlertDays,2,IF(T922&lt;=AsOf+2*AlertDays,3,""))))))</f>
        <v/>
      </c>
      <c r="V922" s="79">
        <f>IF(U922="","",IF(Q922=3,"Late task: "&amp;D922,IF(T922&lt;AsOf,"Should have started: ","Starts soon: ")&amp;D922)&amp;IF(F922="",""," — "&amp;F922))</f>
        <v/>
      </c>
    </row>
    <row r="923" ht="20" customHeight="1">
      <c r="B923" s="125" t="n">
        <v>917</v>
      </c>
      <c r="C923" s="72" t="n"/>
      <c r="D923" s="72" t="n"/>
      <c r="E923" s="72" t="n"/>
      <c r="F923" s="72" t="n"/>
      <c r="G923" s="89" t="n"/>
      <c r="H923" s="89" t="n"/>
      <c r="I923" s="109" t="n"/>
      <c r="J923" s="126">
        <f>IF(OR(D923="",ProjStart=""),"",MAX(ProjStart,IF(I923&lt;&gt;"",I923,0),IF(H923="",0,IFERROR(INDEX($L$6:L922,MATCH(H923,$B$6:B922,0))+1,0))))</f>
        <v/>
      </c>
      <c r="K923" s="89" t="n"/>
      <c r="L923" s="126">
        <f>IF(J923="","",J923+MAX(1,G923)+IF(K923="",0,K923)-1)</f>
        <v/>
      </c>
      <c r="M923" s="72" t="n"/>
      <c r="N923" s="109" t="n"/>
      <c r="O923" s="127">
        <f>IF(D923="","",COUNTIF($H$7:$H$1006,B923))</f>
        <v/>
      </c>
      <c r="P923" s="78">
        <f>IF(D923="","",IF(AND(H923&lt;&gt;"",H923&gt;=B923),"⚠️ Predecessor must be above",IF(M923="Done","✓ Done",IF(Q923=3,"🔴 Late",IF(M923="In progress","In progress","")))))</f>
        <v/>
      </c>
      <c r="Q923" s="79">
        <f>IF(OR(D923="",L923=""),"",IF(M923="Done",2,IF(AsOf&gt;L923,3,1)))</f>
        <v/>
      </c>
      <c r="R923" s="79">
        <f>IF(OR(E923="",F923=""),0,IF(COUNTIFS($E$7:E923,E923,$F$7:F923,F923)=1,1,0))</f>
        <v/>
      </c>
      <c r="S923" s="79">
        <f>IF(R923=1,E923&amp;"|"&amp;SUMIFS($R$7:R923,$E$7:E923,E923),"")</f>
        <v/>
      </c>
      <c r="T923" s="112">
        <f>IF(Q923="","",IF(Q923=3,L923,IF(OR(M923="Not started",M923=""),J923,"")))</f>
        <v/>
      </c>
      <c r="U923" s="79">
        <f>IF(T923="","",IF(Q923=3,1,IF(T923="","",IF(T923&lt;AsOf,1,IF(T923&lt;=AsOf+AlertDays,2,IF(T923&lt;=AsOf+2*AlertDays,3,""))))))</f>
        <v/>
      </c>
      <c r="V923" s="79">
        <f>IF(U923="","",IF(Q923=3,"Late task: "&amp;D923,IF(T923&lt;AsOf,"Should have started: ","Starts soon: ")&amp;D923)&amp;IF(F923="",""," — "&amp;F923))</f>
        <v/>
      </c>
    </row>
    <row r="924" ht="20" customHeight="1">
      <c r="B924" s="125" t="n">
        <v>918</v>
      </c>
      <c r="C924" s="72" t="n"/>
      <c r="D924" s="72" t="n"/>
      <c r="E924" s="72" t="n"/>
      <c r="F924" s="72" t="n"/>
      <c r="G924" s="89" t="n"/>
      <c r="H924" s="89" t="n"/>
      <c r="I924" s="109" t="n"/>
      <c r="J924" s="126">
        <f>IF(OR(D924="",ProjStart=""),"",MAX(ProjStart,IF(I924&lt;&gt;"",I924,0),IF(H924="",0,IFERROR(INDEX($L$6:L923,MATCH(H924,$B$6:B923,0))+1,0))))</f>
        <v/>
      </c>
      <c r="K924" s="89" t="n"/>
      <c r="L924" s="126">
        <f>IF(J924="","",J924+MAX(1,G924)+IF(K924="",0,K924)-1)</f>
        <v/>
      </c>
      <c r="M924" s="72" t="n"/>
      <c r="N924" s="109" t="n"/>
      <c r="O924" s="127">
        <f>IF(D924="","",COUNTIF($H$7:$H$1006,B924))</f>
        <v/>
      </c>
      <c r="P924" s="78">
        <f>IF(D924="","",IF(AND(H924&lt;&gt;"",H924&gt;=B924),"⚠️ Predecessor must be above",IF(M924="Done","✓ Done",IF(Q924=3,"🔴 Late",IF(M924="In progress","In progress","")))))</f>
        <v/>
      </c>
      <c r="Q924" s="79">
        <f>IF(OR(D924="",L924=""),"",IF(M924="Done",2,IF(AsOf&gt;L924,3,1)))</f>
        <v/>
      </c>
      <c r="R924" s="79">
        <f>IF(OR(E924="",F924=""),0,IF(COUNTIFS($E$7:E924,E924,$F$7:F924,F924)=1,1,0))</f>
        <v/>
      </c>
      <c r="S924" s="79">
        <f>IF(R924=1,E924&amp;"|"&amp;SUMIFS($R$7:R924,$E$7:E924,E924),"")</f>
        <v/>
      </c>
      <c r="T924" s="112">
        <f>IF(Q924="","",IF(Q924=3,L924,IF(OR(M924="Not started",M924=""),J924,"")))</f>
        <v/>
      </c>
      <c r="U924" s="79">
        <f>IF(T924="","",IF(Q924=3,1,IF(T924="","",IF(T924&lt;AsOf,1,IF(T924&lt;=AsOf+AlertDays,2,IF(T924&lt;=AsOf+2*AlertDays,3,""))))))</f>
        <v/>
      </c>
      <c r="V924" s="79">
        <f>IF(U924="","",IF(Q924=3,"Late task: "&amp;D924,IF(T924&lt;AsOf,"Should have started: ","Starts soon: ")&amp;D924)&amp;IF(F924="",""," — "&amp;F924))</f>
        <v/>
      </c>
    </row>
    <row r="925" ht="20" customHeight="1">
      <c r="B925" s="125" t="n">
        <v>919</v>
      </c>
      <c r="C925" s="72" t="n"/>
      <c r="D925" s="72" t="n"/>
      <c r="E925" s="72" t="n"/>
      <c r="F925" s="72" t="n"/>
      <c r="G925" s="89" t="n"/>
      <c r="H925" s="89" t="n"/>
      <c r="I925" s="109" t="n"/>
      <c r="J925" s="126">
        <f>IF(OR(D925="",ProjStart=""),"",MAX(ProjStart,IF(I925&lt;&gt;"",I925,0),IF(H925="",0,IFERROR(INDEX($L$6:L924,MATCH(H925,$B$6:B924,0))+1,0))))</f>
        <v/>
      </c>
      <c r="K925" s="89" t="n"/>
      <c r="L925" s="126">
        <f>IF(J925="","",J925+MAX(1,G925)+IF(K925="",0,K925)-1)</f>
        <v/>
      </c>
      <c r="M925" s="72" t="n"/>
      <c r="N925" s="109" t="n"/>
      <c r="O925" s="127">
        <f>IF(D925="","",COUNTIF($H$7:$H$1006,B925))</f>
        <v/>
      </c>
      <c r="P925" s="78">
        <f>IF(D925="","",IF(AND(H925&lt;&gt;"",H925&gt;=B925),"⚠️ Predecessor must be above",IF(M925="Done","✓ Done",IF(Q925=3,"🔴 Late",IF(M925="In progress","In progress","")))))</f>
        <v/>
      </c>
      <c r="Q925" s="79">
        <f>IF(OR(D925="",L925=""),"",IF(M925="Done",2,IF(AsOf&gt;L925,3,1)))</f>
        <v/>
      </c>
      <c r="R925" s="79">
        <f>IF(OR(E925="",F925=""),0,IF(COUNTIFS($E$7:E925,E925,$F$7:F925,F925)=1,1,0))</f>
        <v/>
      </c>
      <c r="S925" s="79">
        <f>IF(R925=1,E925&amp;"|"&amp;SUMIFS($R$7:R925,$E$7:E925,E925),"")</f>
        <v/>
      </c>
      <c r="T925" s="112">
        <f>IF(Q925="","",IF(Q925=3,L925,IF(OR(M925="Not started",M925=""),J925,"")))</f>
        <v/>
      </c>
      <c r="U925" s="79">
        <f>IF(T925="","",IF(Q925=3,1,IF(T925="","",IF(T925&lt;AsOf,1,IF(T925&lt;=AsOf+AlertDays,2,IF(T925&lt;=AsOf+2*AlertDays,3,""))))))</f>
        <v/>
      </c>
      <c r="V925" s="79">
        <f>IF(U925="","",IF(Q925=3,"Late task: "&amp;D925,IF(T925&lt;AsOf,"Should have started: ","Starts soon: ")&amp;D925)&amp;IF(F925="",""," — "&amp;F925))</f>
        <v/>
      </c>
    </row>
    <row r="926" ht="20" customHeight="1">
      <c r="B926" s="125" t="n">
        <v>920</v>
      </c>
      <c r="C926" s="72" t="n"/>
      <c r="D926" s="72" t="n"/>
      <c r="E926" s="72" t="n"/>
      <c r="F926" s="72" t="n"/>
      <c r="G926" s="89" t="n"/>
      <c r="H926" s="89" t="n"/>
      <c r="I926" s="109" t="n"/>
      <c r="J926" s="126">
        <f>IF(OR(D926="",ProjStart=""),"",MAX(ProjStart,IF(I926&lt;&gt;"",I926,0),IF(H926="",0,IFERROR(INDEX($L$6:L925,MATCH(H926,$B$6:B925,0))+1,0))))</f>
        <v/>
      </c>
      <c r="K926" s="89" t="n"/>
      <c r="L926" s="126">
        <f>IF(J926="","",J926+MAX(1,G926)+IF(K926="",0,K926)-1)</f>
        <v/>
      </c>
      <c r="M926" s="72" t="n"/>
      <c r="N926" s="109" t="n"/>
      <c r="O926" s="127">
        <f>IF(D926="","",COUNTIF($H$7:$H$1006,B926))</f>
        <v/>
      </c>
      <c r="P926" s="78">
        <f>IF(D926="","",IF(AND(H926&lt;&gt;"",H926&gt;=B926),"⚠️ Predecessor must be above",IF(M926="Done","✓ Done",IF(Q926=3,"🔴 Late",IF(M926="In progress","In progress","")))))</f>
        <v/>
      </c>
      <c r="Q926" s="79">
        <f>IF(OR(D926="",L926=""),"",IF(M926="Done",2,IF(AsOf&gt;L926,3,1)))</f>
        <v/>
      </c>
      <c r="R926" s="79">
        <f>IF(OR(E926="",F926=""),0,IF(COUNTIFS($E$7:E926,E926,$F$7:F926,F926)=1,1,0))</f>
        <v/>
      </c>
      <c r="S926" s="79">
        <f>IF(R926=1,E926&amp;"|"&amp;SUMIFS($R$7:R926,$E$7:E926,E926),"")</f>
        <v/>
      </c>
      <c r="T926" s="112">
        <f>IF(Q926="","",IF(Q926=3,L926,IF(OR(M926="Not started",M926=""),J926,"")))</f>
        <v/>
      </c>
      <c r="U926" s="79">
        <f>IF(T926="","",IF(Q926=3,1,IF(T926="","",IF(T926&lt;AsOf,1,IF(T926&lt;=AsOf+AlertDays,2,IF(T926&lt;=AsOf+2*AlertDays,3,""))))))</f>
        <v/>
      </c>
      <c r="V926" s="79">
        <f>IF(U926="","",IF(Q926=3,"Late task: "&amp;D926,IF(T926&lt;AsOf,"Should have started: ","Starts soon: ")&amp;D926)&amp;IF(F926="",""," — "&amp;F926))</f>
        <v/>
      </c>
    </row>
    <row r="927" ht="20" customHeight="1">
      <c r="B927" s="125" t="n">
        <v>921</v>
      </c>
      <c r="C927" s="72" t="n"/>
      <c r="D927" s="72" t="n"/>
      <c r="E927" s="72" t="n"/>
      <c r="F927" s="72" t="n"/>
      <c r="G927" s="89" t="n"/>
      <c r="H927" s="89" t="n"/>
      <c r="I927" s="109" t="n"/>
      <c r="J927" s="126">
        <f>IF(OR(D927="",ProjStart=""),"",MAX(ProjStart,IF(I927&lt;&gt;"",I927,0),IF(H927="",0,IFERROR(INDEX($L$6:L926,MATCH(H927,$B$6:B926,0))+1,0))))</f>
        <v/>
      </c>
      <c r="K927" s="89" t="n"/>
      <c r="L927" s="126">
        <f>IF(J927="","",J927+MAX(1,G927)+IF(K927="",0,K927)-1)</f>
        <v/>
      </c>
      <c r="M927" s="72" t="n"/>
      <c r="N927" s="109" t="n"/>
      <c r="O927" s="127">
        <f>IF(D927="","",COUNTIF($H$7:$H$1006,B927))</f>
        <v/>
      </c>
      <c r="P927" s="78">
        <f>IF(D927="","",IF(AND(H927&lt;&gt;"",H927&gt;=B927),"⚠️ Predecessor must be above",IF(M927="Done","✓ Done",IF(Q927=3,"🔴 Late",IF(M927="In progress","In progress","")))))</f>
        <v/>
      </c>
      <c r="Q927" s="79">
        <f>IF(OR(D927="",L927=""),"",IF(M927="Done",2,IF(AsOf&gt;L927,3,1)))</f>
        <v/>
      </c>
      <c r="R927" s="79">
        <f>IF(OR(E927="",F927=""),0,IF(COUNTIFS($E$7:E927,E927,$F$7:F927,F927)=1,1,0))</f>
        <v/>
      </c>
      <c r="S927" s="79">
        <f>IF(R927=1,E927&amp;"|"&amp;SUMIFS($R$7:R927,$E$7:E927,E927),"")</f>
        <v/>
      </c>
      <c r="T927" s="112">
        <f>IF(Q927="","",IF(Q927=3,L927,IF(OR(M927="Not started",M927=""),J927,"")))</f>
        <v/>
      </c>
      <c r="U927" s="79">
        <f>IF(T927="","",IF(Q927=3,1,IF(T927="","",IF(T927&lt;AsOf,1,IF(T927&lt;=AsOf+AlertDays,2,IF(T927&lt;=AsOf+2*AlertDays,3,""))))))</f>
        <v/>
      </c>
      <c r="V927" s="79">
        <f>IF(U927="","",IF(Q927=3,"Late task: "&amp;D927,IF(T927&lt;AsOf,"Should have started: ","Starts soon: ")&amp;D927)&amp;IF(F927="",""," — "&amp;F927))</f>
        <v/>
      </c>
    </row>
    <row r="928" ht="20" customHeight="1">
      <c r="B928" s="125" t="n">
        <v>922</v>
      </c>
      <c r="C928" s="72" t="n"/>
      <c r="D928" s="72" t="n"/>
      <c r="E928" s="72" t="n"/>
      <c r="F928" s="72" t="n"/>
      <c r="G928" s="89" t="n"/>
      <c r="H928" s="89" t="n"/>
      <c r="I928" s="109" t="n"/>
      <c r="J928" s="126">
        <f>IF(OR(D928="",ProjStart=""),"",MAX(ProjStart,IF(I928&lt;&gt;"",I928,0),IF(H928="",0,IFERROR(INDEX($L$6:L927,MATCH(H928,$B$6:B927,0))+1,0))))</f>
        <v/>
      </c>
      <c r="K928" s="89" t="n"/>
      <c r="L928" s="126">
        <f>IF(J928="","",J928+MAX(1,G928)+IF(K928="",0,K928)-1)</f>
        <v/>
      </c>
      <c r="M928" s="72" t="n"/>
      <c r="N928" s="109" t="n"/>
      <c r="O928" s="127">
        <f>IF(D928="","",COUNTIF($H$7:$H$1006,B928))</f>
        <v/>
      </c>
      <c r="P928" s="78">
        <f>IF(D928="","",IF(AND(H928&lt;&gt;"",H928&gt;=B928),"⚠️ Predecessor must be above",IF(M928="Done","✓ Done",IF(Q928=3,"🔴 Late",IF(M928="In progress","In progress","")))))</f>
        <v/>
      </c>
      <c r="Q928" s="79">
        <f>IF(OR(D928="",L928=""),"",IF(M928="Done",2,IF(AsOf&gt;L928,3,1)))</f>
        <v/>
      </c>
      <c r="R928" s="79">
        <f>IF(OR(E928="",F928=""),0,IF(COUNTIFS($E$7:E928,E928,$F$7:F928,F928)=1,1,0))</f>
        <v/>
      </c>
      <c r="S928" s="79">
        <f>IF(R928=1,E928&amp;"|"&amp;SUMIFS($R$7:R928,$E$7:E928,E928),"")</f>
        <v/>
      </c>
      <c r="T928" s="112">
        <f>IF(Q928="","",IF(Q928=3,L928,IF(OR(M928="Not started",M928=""),J928,"")))</f>
        <v/>
      </c>
      <c r="U928" s="79">
        <f>IF(T928="","",IF(Q928=3,1,IF(T928="","",IF(T928&lt;AsOf,1,IF(T928&lt;=AsOf+AlertDays,2,IF(T928&lt;=AsOf+2*AlertDays,3,""))))))</f>
        <v/>
      </c>
      <c r="V928" s="79">
        <f>IF(U928="","",IF(Q928=3,"Late task: "&amp;D928,IF(T928&lt;AsOf,"Should have started: ","Starts soon: ")&amp;D928)&amp;IF(F928="",""," — "&amp;F928))</f>
        <v/>
      </c>
    </row>
    <row r="929" ht="20" customHeight="1">
      <c r="B929" s="125" t="n">
        <v>923</v>
      </c>
      <c r="C929" s="72" t="n"/>
      <c r="D929" s="72" t="n"/>
      <c r="E929" s="72" t="n"/>
      <c r="F929" s="72" t="n"/>
      <c r="G929" s="89" t="n"/>
      <c r="H929" s="89" t="n"/>
      <c r="I929" s="109" t="n"/>
      <c r="J929" s="126">
        <f>IF(OR(D929="",ProjStart=""),"",MAX(ProjStart,IF(I929&lt;&gt;"",I929,0),IF(H929="",0,IFERROR(INDEX($L$6:L928,MATCH(H929,$B$6:B928,0))+1,0))))</f>
        <v/>
      </c>
      <c r="K929" s="89" t="n"/>
      <c r="L929" s="126">
        <f>IF(J929="","",J929+MAX(1,G929)+IF(K929="",0,K929)-1)</f>
        <v/>
      </c>
      <c r="M929" s="72" t="n"/>
      <c r="N929" s="109" t="n"/>
      <c r="O929" s="127">
        <f>IF(D929="","",COUNTIF($H$7:$H$1006,B929))</f>
        <v/>
      </c>
      <c r="P929" s="78">
        <f>IF(D929="","",IF(AND(H929&lt;&gt;"",H929&gt;=B929),"⚠️ Predecessor must be above",IF(M929="Done","✓ Done",IF(Q929=3,"🔴 Late",IF(M929="In progress","In progress","")))))</f>
        <v/>
      </c>
      <c r="Q929" s="79">
        <f>IF(OR(D929="",L929=""),"",IF(M929="Done",2,IF(AsOf&gt;L929,3,1)))</f>
        <v/>
      </c>
      <c r="R929" s="79">
        <f>IF(OR(E929="",F929=""),0,IF(COUNTIFS($E$7:E929,E929,$F$7:F929,F929)=1,1,0))</f>
        <v/>
      </c>
      <c r="S929" s="79">
        <f>IF(R929=1,E929&amp;"|"&amp;SUMIFS($R$7:R929,$E$7:E929,E929),"")</f>
        <v/>
      </c>
      <c r="T929" s="112">
        <f>IF(Q929="","",IF(Q929=3,L929,IF(OR(M929="Not started",M929=""),J929,"")))</f>
        <v/>
      </c>
      <c r="U929" s="79">
        <f>IF(T929="","",IF(Q929=3,1,IF(T929="","",IF(T929&lt;AsOf,1,IF(T929&lt;=AsOf+AlertDays,2,IF(T929&lt;=AsOf+2*AlertDays,3,""))))))</f>
        <v/>
      </c>
      <c r="V929" s="79">
        <f>IF(U929="","",IF(Q929=3,"Late task: "&amp;D929,IF(T929&lt;AsOf,"Should have started: ","Starts soon: ")&amp;D929)&amp;IF(F929="",""," — "&amp;F929))</f>
        <v/>
      </c>
    </row>
    <row r="930" ht="20" customHeight="1">
      <c r="B930" s="125" t="n">
        <v>924</v>
      </c>
      <c r="C930" s="72" t="n"/>
      <c r="D930" s="72" t="n"/>
      <c r="E930" s="72" t="n"/>
      <c r="F930" s="72" t="n"/>
      <c r="G930" s="89" t="n"/>
      <c r="H930" s="89" t="n"/>
      <c r="I930" s="109" t="n"/>
      <c r="J930" s="126">
        <f>IF(OR(D930="",ProjStart=""),"",MAX(ProjStart,IF(I930&lt;&gt;"",I930,0),IF(H930="",0,IFERROR(INDEX($L$6:L929,MATCH(H930,$B$6:B929,0))+1,0))))</f>
        <v/>
      </c>
      <c r="K930" s="89" t="n"/>
      <c r="L930" s="126">
        <f>IF(J930="","",J930+MAX(1,G930)+IF(K930="",0,K930)-1)</f>
        <v/>
      </c>
      <c r="M930" s="72" t="n"/>
      <c r="N930" s="109" t="n"/>
      <c r="O930" s="127">
        <f>IF(D930="","",COUNTIF($H$7:$H$1006,B930))</f>
        <v/>
      </c>
      <c r="P930" s="78">
        <f>IF(D930="","",IF(AND(H930&lt;&gt;"",H930&gt;=B930),"⚠️ Predecessor must be above",IF(M930="Done","✓ Done",IF(Q930=3,"🔴 Late",IF(M930="In progress","In progress","")))))</f>
        <v/>
      </c>
      <c r="Q930" s="79">
        <f>IF(OR(D930="",L930=""),"",IF(M930="Done",2,IF(AsOf&gt;L930,3,1)))</f>
        <v/>
      </c>
      <c r="R930" s="79">
        <f>IF(OR(E930="",F930=""),0,IF(COUNTIFS($E$7:E930,E930,$F$7:F930,F930)=1,1,0))</f>
        <v/>
      </c>
      <c r="S930" s="79">
        <f>IF(R930=1,E930&amp;"|"&amp;SUMIFS($R$7:R930,$E$7:E930,E930),"")</f>
        <v/>
      </c>
      <c r="T930" s="112">
        <f>IF(Q930="","",IF(Q930=3,L930,IF(OR(M930="Not started",M930=""),J930,"")))</f>
        <v/>
      </c>
      <c r="U930" s="79">
        <f>IF(T930="","",IF(Q930=3,1,IF(T930="","",IF(T930&lt;AsOf,1,IF(T930&lt;=AsOf+AlertDays,2,IF(T930&lt;=AsOf+2*AlertDays,3,""))))))</f>
        <v/>
      </c>
      <c r="V930" s="79">
        <f>IF(U930="","",IF(Q930=3,"Late task: "&amp;D930,IF(T930&lt;AsOf,"Should have started: ","Starts soon: ")&amp;D930)&amp;IF(F930="",""," — "&amp;F930))</f>
        <v/>
      </c>
    </row>
    <row r="931" ht="20" customHeight="1">
      <c r="B931" s="125" t="n">
        <v>925</v>
      </c>
      <c r="C931" s="72" t="n"/>
      <c r="D931" s="72" t="n"/>
      <c r="E931" s="72" t="n"/>
      <c r="F931" s="72" t="n"/>
      <c r="G931" s="89" t="n"/>
      <c r="H931" s="89" t="n"/>
      <c r="I931" s="109" t="n"/>
      <c r="J931" s="126">
        <f>IF(OR(D931="",ProjStart=""),"",MAX(ProjStart,IF(I931&lt;&gt;"",I931,0),IF(H931="",0,IFERROR(INDEX($L$6:L930,MATCH(H931,$B$6:B930,0))+1,0))))</f>
        <v/>
      </c>
      <c r="K931" s="89" t="n"/>
      <c r="L931" s="126">
        <f>IF(J931="","",J931+MAX(1,G931)+IF(K931="",0,K931)-1)</f>
        <v/>
      </c>
      <c r="M931" s="72" t="n"/>
      <c r="N931" s="109" t="n"/>
      <c r="O931" s="127">
        <f>IF(D931="","",COUNTIF($H$7:$H$1006,B931))</f>
        <v/>
      </c>
      <c r="P931" s="78">
        <f>IF(D931="","",IF(AND(H931&lt;&gt;"",H931&gt;=B931),"⚠️ Predecessor must be above",IF(M931="Done","✓ Done",IF(Q931=3,"🔴 Late",IF(M931="In progress","In progress","")))))</f>
        <v/>
      </c>
      <c r="Q931" s="79">
        <f>IF(OR(D931="",L931=""),"",IF(M931="Done",2,IF(AsOf&gt;L931,3,1)))</f>
        <v/>
      </c>
      <c r="R931" s="79">
        <f>IF(OR(E931="",F931=""),0,IF(COUNTIFS($E$7:E931,E931,$F$7:F931,F931)=1,1,0))</f>
        <v/>
      </c>
      <c r="S931" s="79">
        <f>IF(R931=1,E931&amp;"|"&amp;SUMIFS($R$7:R931,$E$7:E931,E931),"")</f>
        <v/>
      </c>
      <c r="T931" s="112">
        <f>IF(Q931="","",IF(Q931=3,L931,IF(OR(M931="Not started",M931=""),J931,"")))</f>
        <v/>
      </c>
      <c r="U931" s="79">
        <f>IF(T931="","",IF(Q931=3,1,IF(T931="","",IF(T931&lt;AsOf,1,IF(T931&lt;=AsOf+AlertDays,2,IF(T931&lt;=AsOf+2*AlertDays,3,""))))))</f>
        <v/>
      </c>
      <c r="V931" s="79">
        <f>IF(U931="","",IF(Q931=3,"Late task: "&amp;D931,IF(T931&lt;AsOf,"Should have started: ","Starts soon: ")&amp;D931)&amp;IF(F931="",""," — "&amp;F931))</f>
        <v/>
      </c>
    </row>
    <row r="932" ht="20" customHeight="1">
      <c r="B932" s="125" t="n">
        <v>926</v>
      </c>
      <c r="C932" s="72" t="n"/>
      <c r="D932" s="72" t="n"/>
      <c r="E932" s="72" t="n"/>
      <c r="F932" s="72" t="n"/>
      <c r="G932" s="89" t="n"/>
      <c r="H932" s="89" t="n"/>
      <c r="I932" s="109" t="n"/>
      <c r="J932" s="126">
        <f>IF(OR(D932="",ProjStart=""),"",MAX(ProjStart,IF(I932&lt;&gt;"",I932,0),IF(H932="",0,IFERROR(INDEX($L$6:L931,MATCH(H932,$B$6:B931,0))+1,0))))</f>
        <v/>
      </c>
      <c r="K932" s="89" t="n"/>
      <c r="L932" s="126">
        <f>IF(J932="","",J932+MAX(1,G932)+IF(K932="",0,K932)-1)</f>
        <v/>
      </c>
      <c r="M932" s="72" t="n"/>
      <c r="N932" s="109" t="n"/>
      <c r="O932" s="127">
        <f>IF(D932="","",COUNTIF($H$7:$H$1006,B932))</f>
        <v/>
      </c>
      <c r="P932" s="78">
        <f>IF(D932="","",IF(AND(H932&lt;&gt;"",H932&gt;=B932),"⚠️ Predecessor must be above",IF(M932="Done","✓ Done",IF(Q932=3,"🔴 Late",IF(M932="In progress","In progress","")))))</f>
        <v/>
      </c>
      <c r="Q932" s="79">
        <f>IF(OR(D932="",L932=""),"",IF(M932="Done",2,IF(AsOf&gt;L932,3,1)))</f>
        <v/>
      </c>
      <c r="R932" s="79">
        <f>IF(OR(E932="",F932=""),0,IF(COUNTIFS($E$7:E932,E932,$F$7:F932,F932)=1,1,0))</f>
        <v/>
      </c>
      <c r="S932" s="79">
        <f>IF(R932=1,E932&amp;"|"&amp;SUMIFS($R$7:R932,$E$7:E932,E932),"")</f>
        <v/>
      </c>
      <c r="T932" s="112">
        <f>IF(Q932="","",IF(Q932=3,L932,IF(OR(M932="Not started",M932=""),J932,"")))</f>
        <v/>
      </c>
      <c r="U932" s="79">
        <f>IF(T932="","",IF(Q932=3,1,IF(T932="","",IF(T932&lt;AsOf,1,IF(T932&lt;=AsOf+AlertDays,2,IF(T932&lt;=AsOf+2*AlertDays,3,""))))))</f>
        <v/>
      </c>
      <c r="V932" s="79">
        <f>IF(U932="","",IF(Q932=3,"Late task: "&amp;D932,IF(T932&lt;AsOf,"Should have started: ","Starts soon: ")&amp;D932)&amp;IF(F932="",""," — "&amp;F932))</f>
        <v/>
      </c>
    </row>
    <row r="933" ht="20" customHeight="1">
      <c r="B933" s="125" t="n">
        <v>927</v>
      </c>
      <c r="C933" s="72" t="n"/>
      <c r="D933" s="72" t="n"/>
      <c r="E933" s="72" t="n"/>
      <c r="F933" s="72" t="n"/>
      <c r="G933" s="89" t="n"/>
      <c r="H933" s="89" t="n"/>
      <c r="I933" s="109" t="n"/>
      <c r="J933" s="126">
        <f>IF(OR(D933="",ProjStart=""),"",MAX(ProjStart,IF(I933&lt;&gt;"",I933,0),IF(H933="",0,IFERROR(INDEX($L$6:L932,MATCH(H933,$B$6:B932,0))+1,0))))</f>
        <v/>
      </c>
      <c r="K933" s="89" t="n"/>
      <c r="L933" s="126">
        <f>IF(J933="","",J933+MAX(1,G933)+IF(K933="",0,K933)-1)</f>
        <v/>
      </c>
      <c r="M933" s="72" t="n"/>
      <c r="N933" s="109" t="n"/>
      <c r="O933" s="127">
        <f>IF(D933="","",COUNTIF($H$7:$H$1006,B933))</f>
        <v/>
      </c>
      <c r="P933" s="78">
        <f>IF(D933="","",IF(AND(H933&lt;&gt;"",H933&gt;=B933),"⚠️ Predecessor must be above",IF(M933="Done","✓ Done",IF(Q933=3,"🔴 Late",IF(M933="In progress","In progress","")))))</f>
        <v/>
      </c>
      <c r="Q933" s="79">
        <f>IF(OR(D933="",L933=""),"",IF(M933="Done",2,IF(AsOf&gt;L933,3,1)))</f>
        <v/>
      </c>
      <c r="R933" s="79">
        <f>IF(OR(E933="",F933=""),0,IF(COUNTIFS($E$7:E933,E933,$F$7:F933,F933)=1,1,0))</f>
        <v/>
      </c>
      <c r="S933" s="79">
        <f>IF(R933=1,E933&amp;"|"&amp;SUMIFS($R$7:R933,$E$7:E933,E933),"")</f>
        <v/>
      </c>
      <c r="T933" s="112">
        <f>IF(Q933="","",IF(Q933=3,L933,IF(OR(M933="Not started",M933=""),J933,"")))</f>
        <v/>
      </c>
      <c r="U933" s="79">
        <f>IF(T933="","",IF(Q933=3,1,IF(T933="","",IF(T933&lt;AsOf,1,IF(T933&lt;=AsOf+AlertDays,2,IF(T933&lt;=AsOf+2*AlertDays,3,""))))))</f>
        <v/>
      </c>
      <c r="V933" s="79">
        <f>IF(U933="","",IF(Q933=3,"Late task: "&amp;D933,IF(T933&lt;AsOf,"Should have started: ","Starts soon: ")&amp;D933)&amp;IF(F933="",""," — "&amp;F933))</f>
        <v/>
      </c>
    </row>
    <row r="934" ht="20" customHeight="1">
      <c r="B934" s="125" t="n">
        <v>928</v>
      </c>
      <c r="C934" s="72" t="n"/>
      <c r="D934" s="72" t="n"/>
      <c r="E934" s="72" t="n"/>
      <c r="F934" s="72" t="n"/>
      <c r="G934" s="89" t="n"/>
      <c r="H934" s="89" t="n"/>
      <c r="I934" s="109" t="n"/>
      <c r="J934" s="126">
        <f>IF(OR(D934="",ProjStart=""),"",MAX(ProjStart,IF(I934&lt;&gt;"",I934,0),IF(H934="",0,IFERROR(INDEX($L$6:L933,MATCH(H934,$B$6:B933,0))+1,0))))</f>
        <v/>
      </c>
      <c r="K934" s="89" t="n"/>
      <c r="L934" s="126">
        <f>IF(J934="","",J934+MAX(1,G934)+IF(K934="",0,K934)-1)</f>
        <v/>
      </c>
      <c r="M934" s="72" t="n"/>
      <c r="N934" s="109" t="n"/>
      <c r="O934" s="127">
        <f>IF(D934="","",COUNTIF($H$7:$H$1006,B934))</f>
        <v/>
      </c>
      <c r="P934" s="78">
        <f>IF(D934="","",IF(AND(H934&lt;&gt;"",H934&gt;=B934),"⚠️ Predecessor must be above",IF(M934="Done","✓ Done",IF(Q934=3,"🔴 Late",IF(M934="In progress","In progress","")))))</f>
        <v/>
      </c>
      <c r="Q934" s="79">
        <f>IF(OR(D934="",L934=""),"",IF(M934="Done",2,IF(AsOf&gt;L934,3,1)))</f>
        <v/>
      </c>
      <c r="R934" s="79">
        <f>IF(OR(E934="",F934=""),0,IF(COUNTIFS($E$7:E934,E934,$F$7:F934,F934)=1,1,0))</f>
        <v/>
      </c>
      <c r="S934" s="79">
        <f>IF(R934=1,E934&amp;"|"&amp;SUMIFS($R$7:R934,$E$7:E934,E934),"")</f>
        <v/>
      </c>
      <c r="T934" s="112">
        <f>IF(Q934="","",IF(Q934=3,L934,IF(OR(M934="Not started",M934=""),J934,"")))</f>
        <v/>
      </c>
      <c r="U934" s="79">
        <f>IF(T934="","",IF(Q934=3,1,IF(T934="","",IF(T934&lt;AsOf,1,IF(T934&lt;=AsOf+AlertDays,2,IF(T934&lt;=AsOf+2*AlertDays,3,""))))))</f>
        <v/>
      </c>
      <c r="V934" s="79">
        <f>IF(U934="","",IF(Q934=3,"Late task: "&amp;D934,IF(T934&lt;AsOf,"Should have started: ","Starts soon: ")&amp;D934)&amp;IF(F934="",""," — "&amp;F934))</f>
        <v/>
      </c>
    </row>
    <row r="935" ht="20" customHeight="1">
      <c r="B935" s="125" t="n">
        <v>929</v>
      </c>
      <c r="C935" s="72" t="n"/>
      <c r="D935" s="72" t="n"/>
      <c r="E935" s="72" t="n"/>
      <c r="F935" s="72" t="n"/>
      <c r="G935" s="89" t="n"/>
      <c r="H935" s="89" t="n"/>
      <c r="I935" s="109" t="n"/>
      <c r="J935" s="126">
        <f>IF(OR(D935="",ProjStart=""),"",MAX(ProjStart,IF(I935&lt;&gt;"",I935,0),IF(H935="",0,IFERROR(INDEX($L$6:L934,MATCH(H935,$B$6:B934,0))+1,0))))</f>
        <v/>
      </c>
      <c r="K935" s="89" t="n"/>
      <c r="L935" s="126">
        <f>IF(J935="","",J935+MAX(1,G935)+IF(K935="",0,K935)-1)</f>
        <v/>
      </c>
      <c r="M935" s="72" t="n"/>
      <c r="N935" s="109" t="n"/>
      <c r="O935" s="127">
        <f>IF(D935="","",COUNTIF($H$7:$H$1006,B935))</f>
        <v/>
      </c>
      <c r="P935" s="78">
        <f>IF(D935="","",IF(AND(H935&lt;&gt;"",H935&gt;=B935),"⚠️ Predecessor must be above",IF(M935="Done","✓ Done",IF(Q935=3,"🔴 Late",IF(M935="In progress","In progress","")))))</f>
        <v/>
      </c>
      <c r="Q935" s="79">
        <f>IF(OR(D935="",L935=""),"",IF(M935="Done",2,IF(AsOf&gt;L935,3,1)))</f>
        <v/>
      </c>
      <c r="R935" s="79">
        <f>IF(OR(E935="",F935=""),0,IF(COUNTIFS($E$7:E935,E935,$F$7:F935,F935)=1,1,0))</f>
        <v/>
      </c>
      <c r="S935" s="79">
        <f>IF(R935=1,E935&amp;"|"&amp;SUMIFS($R$7:R935,$E$7:E935,E935),"")</f>
        <v/>
      </c>
      <c r="T935" s="112">
        <f>IF(Q935="","",IF(Q935=3,L935,IF(OR(M935="Not started",M935=""),J935,"")))</f>
        <v/>
      </c>
      <c r="U935" s="79">
        <f>IF(T935="","",IF(Q935=3,1,IF(T935="","",IF(T935&lt;AsOf,1,IF(T935&lt;=AsOf+AlertDays,2,IF(T935&lt;=AsOf+2*AlertDays,3,""))))))</f>
        <v/>
      </c>
      <c r="V935" s="79">
        <f>IF(U935="","",IF(Q935=3,"Late task: "&amp;D935,IF(T935&lt;AsOf,"Should have started: ","Starts soon: ")&amp;D935)&amp;IF(F935="",""," — "&amp;F935))</f>
        <v/>
      </c>
    </row>
    <row r="936" ht="20" customHeight="1">
      <c r="B936" s="125" t="n">
        <v>930</v>
      </c>
      <c r="C936" s="72" t="n"/>
      <c r="D936" s="72" t="n"/>
      <c r="E936" s="72" t="n"/>
      <c r="F936" s="72" t="n"/>
      <c r="G936" s="89" t="n"/>
      <c r="H936" s="89" t="n"/>
      <c r="I936" s="109" t="n"/>
      <c r="J936" s="126">
        <f>IF(OR(D936="",ProjStart=""),"",MAX(ProjStart,IF(I936&lt;&gt;"",I936,0),IF(H936="",0,IFERROR(INDEX($L$6:L935,MATCH(H936,$B$6:B935,0))+1,0))))</f>
        <v/>
      </c>
      <c r="K936" s="89" t="n"/>
      <c r="L936" s="126">
        <f>IF(J936="","",J936+MAX(1,G936)+IF(K936="",0,K936)-1)</f>
        <v/>
      </c>
      <c r="M936" s="72" t="n"/>
      <c r="N936" s="109" t="n"/>
      <c r="O936" s="127">
        <f>IF(D936="","",COUNTIF($H$7:$H$1006,B936))</f>
        <v/>
      </c>
      <c r="P936" s="78">
        <f>IF(D936="","",IF(AND(H936&lt;&gt;"",H936&gt;=B936),"⚠️ Predecessor must be above",IF(M936="Done","✓ Done",IF(Q936=3,"🔴 Late",IF(M936="In progress","In progress","")))))</f>
        <v/>
      </c>
      <c r="Q936" s="79">
        <f>IF(OR(D936="",L936=""),"",IF(M936="Done",2,IF(AsOf&gt;L936,3,1)))</f>
        <v/>
      </c>
      <c r="R936" s="79">
        <f>IF(OR(E936="",F936=""),0,IF(COUNTIFS($E$7:E936,E936,$F$7:F936,F936)=1,1,0))</f>
        <v/>
      </c>
      <c r="S936" s="79">
        <f>IF(R936=1,E936&amp;"|"&amp;SUMIFS($R$7:R936,$E$7:E936,E936),"")</f>
        <v/>
      </c>
      <c r="T936" s="112">
        <f>IF(Q936="","",IF(Q936=3,L936,IF(OR(M936="Not started",M936=""),J936,"")))</f>
        <v/>
      </c>
      <c r="U936" s="79">
        <f>IF(T936="","",IF(Q936=3,1,IF(T936="","",IF(T936&lt;AsOf,1,IF(T936&lt;=AsOf+AlertDays,2,IF(T936&lt;=AsOf+2*AlertDays,3,""))))))</f>
        <v/>
      </c>
      <c r="V936" s="79">
        <f>IF(U936="","",IF(Q936=3,"Late task: "&amp;D936,IF(T936&lt;AsOf,"Should have started: ","Starts soon: ")&amp;D936)&amp;IF(F936="",""," — "&amp;F936))</f>
        <v/>
      </c>
    </row>
    <row r="937" ht="20" customHeight="1">
      <c r="B937" s="125" t="n">
        <v>931</v>
      </c>
      <c r="C937" s="72" t="n"/>
      <c r="D937" s="72" t="n"/>
      <c r="E937" s="72" t="n"/>
      <c r="F937" s="72" t="n"/>
      <c r="G937" s="89" t="n"/>
      <c r="H937" s="89" t="n"/>
      <c r="I937" s="109" t="n"/>
      <c r="J937" s="126">
        <f>IF(OR(D937="",ProjStart=""),"",MAX(ProjStart,IF(I937&lt;&gt;"",I937,0),IF(H937="",0,IFERROR(INDEX($L$6:L936,MATCH(H937,$B$6:B936,0))+1,0))))</f>
        <v/>
      </c>
      <c r="K937" s="89" t="n"/>
      <c r="L937" s="126">
        <f>IF(J937="","",J937+MAX(1,G937)+IF(K937="",0,K937)-1)</f>
        <v/>
      </c>
      <c r="M937" s="72" t="n"/>
      <c r="N937" s="109" t="n"/>
      <c r="O937" s="127">
        <f>IF(D937="","",COUNTIF($H$7:$H$1006,B937))</f>
        <v/>
      </c>
      <c r="P937" s="78">
        <f>IF(D937="","",IF(AND(H937&lt;&gt;"",H937&gt;=B937),"⚠️ Predecessor must be above",IF(M937="Done","✓ Done",IF(Q937=3,"🔴 Late",IF(M937="In progress","In progress","")))))</f>
        <v/>
      </c>
      <c r="Q937" s="79">
        <f>IF(OR(D937="",L937=""),"",IF(M937="Done",2,IF(AsOf&gt;L937,3,1)))</f>
        <v/>
      </c>
      <c r="R937" s="79">
        <f>IF(OR(E937="",F937=""),0,IF(COUNTIFS($E$7:E937,E937,$F$7:F937,F937)=1,1,0))</f>
        <v/>
      </c>
      <c r="S937" s="79">
        <f>IF(R937=1,E937&amp;"|"&amp;SUMIFS($R$7:R937,$E$7:E937,E937),"")</f>
        <v/>
      </c>
      <c r="T937" s="112">
        <f>IF(Q937="","",IF(Q937=3,L937,IF(OR(M937="Not started",M937=""),J937,"")))</f>
        <v/>
      </c>
      <c r="U937" s="79">
        <f>IF(T937="","",IF(Q937=3,1,IF(T937="","",IF(T937&lt;AsOf,1,IF(T937&lt;=AsOf+AlertDays,2,IF(T937&lt;=AsOf+2*AlertDays,3,""))))))</f>
        <v/>
      </c>
      <c r="V937" s="79">
        <f>IF(U937="","",IF(Q937=3,"Late task: "&amp;D937,IF(T937&lt;AsOf,"Should have started: ","Starts soon: ")&amp;D937)&amp;IF(F937="",""," — "&amp;F937))</f>
        <v/>
      </c>
    </row>
    <row r="938" ht="20" customHeight="1">
      <c r="B938" s="125" t="n">
        <v>932</v>
      </c>
      <c r="C938" s="72" t="n"/>
      <c r="D938" s="72" t="n"/>
      <c r="E938" s="72" t="n"/>
      <c r="F938" s="72" t="n"/>
      <c r="G938" s="89" t="n"/>
      <c r="H938" s="89" t="n"/>
      <c r="I938" s="109" t="n"/>
      <c r="J938" s="126">
        <f>IF(OR(D938="",ProjStart=""),"",MAX(ProjStart,IF(I938&lt;&gt;"",I938,0),IF(H938="",0,IFERROR(INDEX($L$6:L937,MATCH(H938,$B$6:B937,0))+1,0))))</f>
        <v/>
      </c>
      <c r="K938" s="89" t="n"/>
      <c r="L938" s="126">
        <f>IF(J938="","",J938+MAX(1,G938)+IF(K938="",0,K938)-1)</f>
        <v/>
      </c>
      <c r="M938" s="72" t="n"/>
      <c r="N938" s="109" t="n"/>
      <c r="O938" s="127">
        <f>IF(D938="","",COUNTIF($H$7:$H$1006,B938))</f>
        <v/>
      </c>
      <c r="P938" s="78">
        <f>IF(D938="","",IF(AND(H938&lt;&gt;"",H938&gt;=B938),"⚠️ Predecessor must be above",IF(M938="Done","✓ Done",IF(Q938=3,"🔴 Late",IF(M938="In progress","In progress","")))))</f>
        <v/>
      </c>
      <c r="Q938" s="79">
        <f>IF(OR(D938="",L938=""),"",IF(M938="Done",2,IF(AsOf&gt;L938,3,1)))</f>
        <v/>
      </c>
      <c r="R938" s="79">
        <f>IF(OR(E938="",F938=""),0,IF(COUNTIFS($E$7:E938,E938,$F$7:F938,F938)=1,1,0))</f>
        <v/>
      </c>
      <c r="S938" s="79">
        <f>IF(R938=1,E938&amp;"|"&amp;SUMIFS($R$7:R938,$E$7:E938,E938),"")</f>
        <v/>
      </c>
      <c r="T938" s="112">
        <f>IF(Q938="","",IF(Q938=3,L938,IF(OR(M938="Not started",M938=""),J938,"")))</f>
        <v/>
      </c>
      <c r="U938" s="79">
        <f>IF(T938="","",IF(Q938=3,1,IF(T938="","",IF(T938&lt;AsOf,1,IF(T938&lt;=AsOf+AlertDays,2,IF(T938&lt;=AsOf+2*AlertDays,3,""))))))</f>
        <v/>
      </c>
      <c r="V938" s="79">
        <f>IF(U938="","",IF(Q938=3,"Late task: "&amp;D938,IF(T938&lt;AsOf,"Should have started: ","Starts soon: ")&amp;D938)&amp;IF(F938="",""," — "&amp;F938))</f>
        <v/>
      </c>
    </row>
    <row r="939" ht="20" customHeight="1">
      <c r="B939" s="125" t="n">
        <v>933</v>
      </c>
      <c r="C939" s="72" t="n"/>
      <c r="D939" s="72" t="n"/>
      <c r="E939" s="72" t="n"/>
      <c r="F939" s="72" t="n"/>
      <c r="G939" s="89" t="n"/>
      <c r="H939" s="89" t="n"/>
      <c r="I939" s="109" t="n"/>
      <c r="J939" s="126">
        <f>IF(OR(D939="",ProjStart=""),"",MAX(ProjStart,IF(I939&lt;&gt;"",I939,0),IF(H939="",0,IFERROR(INDEX($L$6:L938,MATCH(H939,$B$6:B938,0))+1,0))))</f>
        <v/>
      </c>
      <c r="K939" s="89" t="n"/>
      <c r="L939" s="126">
        <f>IF(J939="","",J939+MAX(1,G939)+IF(K939="",0,K939)-1)</f>
        <v/>
      </c>
      <c r="M939" s="72" t="n"/>
      <c r="N939" s="109" t="n"/>
      <c r="O939" s="127">
        <f>IF(D939="","",COUNTIF($H$7:$H$1006,B939))</f>
        <v/>
      </c>
      <c r="P939" s="78">
        <f>IF(D939="","",IF(AND(H939&lt;&gt;"",H939&gt;=B939),"⚠️ Predecessor must be above",IF(M939="Done","✓ Done",IF(Q939=3,"🔴 Late",IF(M939="In progress","In progress","")))))</f>
        <v/>
      </c>
      <c r="Q939" s="79">
        <f>IF(OR(D939="",L939=""),"",IF(M939="Done",2,IF(AsOf&gt;L939,3,1)))</f>
        <v/>
      </c>
      <c r="R939" s="79">
        <f>IF(OR(E939="",F939=""),0,IF(COUNTIFS($E$7:E939,E939,$F$7:F939,F939)=1,1,0))</f>
        <v/>
      </c>
      <c r="S939" s="79">
        <f>IF(R939=1,E939&amp;"|"&amp;SUMIFS($R$7:R939,$E$7:E939,E939),"")</f>
        <v/>
      </c>
      <c r="T939" s="112">
        <f>IF(Q939="","",IF(Q939=3,L939,IF(OR(M939="Not started",M939=""),J939,"")))</f>
        <v/>
      </c>
      <c r="U939" s="79">
        <f>IF(T939="","",IF(Q939=3,1,IF(T939="","",IF(T939&lt;AsOf,1,IF(T939&lt;=AsOf+AlertDays,2,IF(T939&lt;=AsOf+2*AlertDays,3,""))))))</f>
        <v/>
      </c>
      <c r="V939" s="79">
        <f>IF(U939="","",IF(Q939=3,"Late task: "&amp;D939,IF(T939&lt;AsOf,"Should have started: ","Starts soon: ")&amp;D939)&amp;IF(F939="",""," — "&amp;F939))</f>
        <v/>
      </c>
    </row>
    <row r="940" ht="20" customHeight="1">
      <c r="B940" s="125" t="n">
        <v>934</v>
      </c>
      <c r="C940" s="72" t="n"/>
      <c r="D940" s="72" t="n"/>
      <c r="E940" s="72" t="n"/>
      <c r="F940" s="72" t="n"/>
      <c r="G940" s="89" t="n"/>
      <c r="H940" s="89" t="n"/>
      <c r="I940" s="109" t="n"/>
      <c r="J940" s="126">
        <f>IF(OR(D940="",ProjStart=""),"",MAX(ProjStart,IF(I940&lt;&gt;"",I940,0),IF(H940="",0,IFERROR(INDEX($L$6:L939,MATCH(H940,$B$6:B939,0))+1,0))))</f>
        <v/>
      </c>
      <c r="K940" s="89" t="n"/>
      <c r="L940" s="126">
        <f>IF(J940="","",J940+MAX(1,G940)+IF(K940="",0,K940)-1)</f>
        <v/>
      </c>
      <c r="M940" s="72" t="n"/>
      <c r="N940" s="109" t="n"/>
      <c r="O940" s="127">
        <f>IF(D940="","",COUNTIF($H$7:$H$1006,B940))</f>
        <v/>
      </c>
      <c r="P940" s="78">
        <f>IF(D940="","",IF(AND(H940&lt;&gt;"",H940&gt;=B940),"⚠️ Predecessor must be above",IF(M940="Done","✓ Done",IF(Q940=3,"🔴 Late",IF(M940="In progress","In progress","")))))</f>
        <v/>
      </c>
      <c r="Q940" s="79">
        <f>IF(OR(D940="",L940=""),"",IF(M940="Done",2,IF(AsOf&gt;L940,3,1)))</f>
        <v/>
      </c>
      <c r="R940" s="79">
        <f>IF(OR(E940="",F940=""),0,IF(COUNTIFS($E$7:E940,E940,$F$7:F940,F940)=1,1,0))</f>
        <v/>
      </c>
      <c r="S940" s="79">
        <f>IF(R940=1,E940&amp;"|"&amp;SUMIFS($R$7:R940,$E$7:E940,E940),"")</f>
        <v/>
      </c>
      <c r="T940" s="112">
        <f>IF(Q940="","",IF(Q940=3,L940,IF(OR(M940="Not started",M940=""),J940,"")))</f>
        <v/>
      </c>
      <c r="U940" s="79">
        <f>IF(T940="","",IF(Q940=3,1,IF(T940="","",IF(T940&lt;AsOf,1,IF(T940&lt;=AsOf+AlertDays,2,IF(T940&lt;=AsOf+2*AlertDays,3,""))))))</f>
        <v/>
      </c>
      <c r="V940" s="79">
        <f>IF(U940="","",IF(Q940=3,"Late task: "&amp;D940,IF(T940&lt;AsOf,"Should have started: ","Starts soon: ")&amp;D940)&amp;IF(F940="",""," — "&amp;F940))</f>
        <v/>
      </c>
    </row>
    <row r="941" ht="20" customHeight="1">
      <c r="B941" s="125" t="n">
        <v>935</v>
      </c>
      <c r="C941" s="72" t="n"/>
      <c r="D941" s="72" t="n"/>
      <c r="E941" s="72" t="n"/>
      <c r="F941" s="72" t="n"/>
      <c r="G941" s="89" t="n"/>
      <c r="H941" s="89" t="n"/>
      <c r="I941" s="109" t="n"/>
      <c r="J941" s="126">
        <f>IF(OR(D941="",ProjStart=""),"",MAX(ProjStart,IF(I941&lt;&gt;"",I941,0),IF(H941="",0,IFERROR(INDEX($L$6:L940,MATCH(H941,$B$6:B940,0))+1,0))))</f>
        <v/>
      </c>
      <c r="K941" s="89" t="n"/>
      <c r="L941" s="126">
        <f>IF(J941="","",J941+MAX(1,G941)+IF(K941="",0,K941)-1)</f>
        <v/>
      </c>
      <c r="M941" s="72" t="n"/>
      <c r="N941" s="109" t="n"/>
      <c r="O941" s="127">
        <f>IF(D941="","",COUNTIF($H$7:$H$1006,B941))</f>
        <v/>
      </c>
      <c r="P941" s="78">
        <f>IF(D941="","",IF(AND(H941&lt;&gt;"",H941&gt;=B941),"⚠️ Predecessor must be above",IF(M941="Done","✓ Done",IF(Q941=3,"🔴 Late",IF(M941="In progress","In progress","")))))</f>
        <v/>
      </c>
      <c r="Q941" s="79">
        <f>IF(OR(D941="",L941=""),"",IF(M941="Done",2,IF(AsOf&gt;L941,3,1)))</f>
        <v/>
      </c>
      <c r="R941" s="79">
        <f>IF(OR(E941="",F941=""),0,IF(COUNTIFS($E$7:E941,E941,$F$7:F941,F941)=1,1,0))</f>
        <v/>
      </c>
      <c r="S941" s="79">
        <f>IF(R941=1,E941&amp;"|"&amp;SUMIFS($R$7:R941,$E$7:E941,E941),"")</f>
        <v/>
      </c>
      <c r="T941" s="112">
        <f>IF(Q941="","",IF(Q941=3,L941,IF(OR(M941="Not started",M941=""),J941,"")))</f>
        <v/>
      </c>
      <c r="U941" s="79">
        <f>IF(T941="","",IF(Q941=3,1,IF(T941="","",IF(T941&lt;AsOf,1,IF(T941&lt;=AsOf+AlertDays,2,IF(T941&lt;=AsOf+2*AlertDays,3,""))))))</f>
        <v/>
      </c>
      <c r="V941" s="79">
        <f>IF(U941="","",IF(Q941=3,"Late task: "&amp;D941,IF(T941&lt;AsOf,"Should have started: ","Starts soon: ")&amp;D941)&amp;IF(F941="",""," — "&amp;F941))</f>
        <v/>
      </c>
    </row>
    <row r="942" ht="20" customHeight="1">
      <c r="B942" s="125" t="n">
        <v>936</v>
      </c>
      <c r="C942" s="72" t="n"/>
      <c r="D942" s="72" t="n"/>
      <c r="E942" s="72" t="n"/>
      <c r="F942" s="72" t="n"/>
      <c r="G942" s="89" t="n"/>
      <c r="H942" s="89" t="n"/>
      <c r="I942" s="109" t="n"/>
      <c r="J942" s="126">
        <f>IF(OR(D942="",ProjStart=""),"",MAX(ProjStart,IF(I942&lt;&gt;"",I942,0),IF(H942="",0,IFERROR(INDEX($L$6:L941,MATCH(H942,$B$6:B941,0))+1,0))))</f>
        <v/>
      </c>
      <c r="K942" s="89" t="n"/>
      <c r="L942" s="126">
        <f>IF(J942="","",J942+MAX(1,G942)+IF(K942="",0,K942)-1)</f>
        <v/>
      </c>
      <c r="M942" s="72" t="n"/>
      <c r="N942" s="109" t="n"/>
      <c r="O942" s="127">
        <f>IF(D942="","",COUNTIF($H$7:$H$1006,B942))</f>
        <v/>
      </c>
      <c r="P942" s="78">
        <f>IF(D942="","",IF(AND(H942&lt;&gt;"",H942&gt;=B942),"⚠️ Predecessor must be above",IF(M942="Done","✓ Done",IF(Q942=3,"🔴 Late",IF(M942="In progress","In progress","")))))</f>
        <v/>
      </c>
      <c r="Q942" s="79">
        <f>IF(OR(D942="",L942=""),"",IF(M942="Done",2,IF(AsOf&gt;L942,3,1)))</f>
        <v/>
      </c>
      <c r="R942" s="79">
        <f>IF(OR(E942="",F942=""),0,IF(COUNTIFS($E$7:E942,E942,$F$7:F942,F942)=1,1,0))</f>
        <v/>
      </c>
      <c r="S942" s="79">
        <f>IF(R942=1,E942&amp;"|"&amp;SUMIFS($R$7:R942,$E$7:E942,E942),"")</f>
        <v/>
      </c>
      <c r="T942" s="112">
        <f>IF(Q942="","",IF(Q942=3,L942,IF(OR(M942="Not started",M942=""),J942,"")))</f>
        <v/>
      </c>
      <c r="U942" s="79">
        <f>IF(T942="","",IF(Q942=3,1,IF(T942="","",IF(T942&lt;AsOf,1,IF(T942&lt;=AsOf+AlertDays,2,IF(T942&lt;=AsOf+2*AlertDays,3,""))))))</f>
        <v/>
      </c>
      <c r="V942" s="79">
        <f>IF(U942="","",IF(Q942=3,"Late task: "&amp;D942,IF(T942&lt;AsOf,"Should have started: ","Starts soon: ")&amp;D942)&amp;IF(F942="",""," — "&amp;F942))</f>
        <v/>
      </c>
    </row>
    <row r="943" ht="20" customHeight="1">
      <c r="B943" s="125" t="n">
        <v>937</v>
      </c>
      <c r="C943" s="72" t="n"/>
      <c r="D943" s="72" t="n"/>
      <c r="E943" s="72" t="n"/>
      <c r="F943" s="72" t="n"/>
      <c r="G943" s="89" t="n"/>
      <c r="H943" s="89" t="n"/>
      <c r="I943" s="109" t="n"/>
      <c r="J943" s="126">
        <f>IF(OR(D943="",ProjStart=""),"",MAX(ProjStart,IF(I943&lt;&gt;"",I943,0),IF(H943="",0,IFERROR(INDEX($L$6:L942,MATCH(H943,$B$6:B942,0))+1,0))))</f>
        <v/>
      </c>
      <c r="K943" s="89" t="n"/>
      <c r="L943" s="126">
        <f>IF(J943="","",J943+MAX(1,G943)+IF(K943="",0,K943)-1)</f>
        <v/>
      </c>
      <c r="M943" s="72" t="n"/>
      <c r="N943" s="109" t="n"/>
      <c r="O943" s="127">
        <f>IF(D943="","",COUNTIF($H$7:$H$1006,B943))</f>
        <v/>
      </c>
      <c r="P943" s="78">
        <f>IF(D943="","",IF(AND(H943&lt;&gt;"",H943&gt;=B943),"⚠️ Predecessor must be above",IF(M943="Done","✓ Done",IF(Q943=3,"🔴 Late",IF(M943="In progress","In progress","")))))</f>
        <v/>
      </c>
      <c r="Q943" s="79">
        <f>IF(OR(D943="",L943=""),"",IF(M943="Done",2,IF(AsOf&gt;L943,3,1)))</f>
        <v/>
      </c>
      <c r="R943" s="79">
        <f>IF(OR(E943="",F943=""),0,IF(COUNTIFS($E$7:E943,E943,$F$7:F943,F943)=1,1,0))</f>
        <v/>
      </c>
      <c r="S943" s="79">
        <f>IF(R943=1,E943&amp;"|"&amp;SUMIFS($R$7:R943,$E$7:E943,E943),"")</f>
        <v/>
      </c>
      <c r="T943" s="112">
        <f>IF(Q943="","",IF(Q943=3,L943,IF(OR(M943="Not started",M943=""),J943,"")))</f>
        <v/>
      </c>
      <c r="U943" s="79">
        <f>IF(T943="","",IF(Q943=3,1,IF(T943="","",IF(T943&lt;AsOf,1,IF(T943&lt;=AsOf+AlertDays,2,IF(T943&lt;=AsOf+2*AlertDays,3,""))))))</f>
        <v/>
      </c>
      <c r="V943" s="79">
        <f>IF(U943="","",IF(Q943=3,"Late task: "&amp;D943,IF(T943&lt;AsOf,"Should have started: ","Starts soon: ")&amp;D943)&amp;IF(F943="",""," — "&amp;F943))</f>
        <v/>
      </c>
    </row>
    <row r="944" ht="20" customHeight="1">
      <c r="B944" s="125" t="n">
        <v>938</v>
      </c>
      <c r="C944" s="72" t="n"/>
      <c r="D944" s="72" t="n"/>
      <c r="E944" s="72" t="n"/>
      <c r="F944" s="72" t="n"/>
      <c r="G944" s="89" t="n"/>
      <c r="H944" s="89" t="n"/>
      <c r="I944" s="109" t="n"/>
      <c r="J944" s="126">
        <f>IF(OR(D944="",ProjStart=""),"",MAX(ProjStart,IF(I944&lt;&gt;"",I944,0),IF(H944="",0,IFERROR(INDEX($L$6:L943,MATCH(H944,$B$6:B943,0))+1,0))))</f>
        <v/>
      </c>
      <c r="K944" s="89" t="n"/>
      <c r="L944" s="126">
        <f>IF(J944="","",J944+MAX(1,G944)+IF(K944="",0,K944)-1)</f>
        <v/>
      </c>
      <c r="M944" s="72" t="n"/>
      <c r="N944" s="109" t="n"/>
      <c r="O944" s="127">
        <f>IF(D944="","",COUNTIF($H$7:$H$1006,B944))</f>
        <v/>
      </c>
      <c r="P944" s="78">
        <f>IF(D944="","",IF(AND(H944&lt;&gt;"",H944&gt;=B944),"⚠️ Predecessor must be above",IF(M944="Done","✓ Done",IF(Q944=3,"🔴 Late",IF(M944="In progress","In progress","")))))</f>
        <v/>
      </c>
      <c r="Q944" s="79">
        <f>IF(OR(D944="",L944=""),"",IF(M944="Done",2,IF(AsOf&gt;L944,3,1)))</f>
        <v/>
      </c>
      <c r="R944" s="79">
        <f>IF(OR(E944="",F944=""),0,IF(COUNTIFS($E$7:E944,E944,$F$7:F944,F944)=1,1,0))</f>
        <v/>
      </c>
      <c r="S944" s="79">
        <f>IF(R944=1,E944&amp;"|"&amp;SUMIFS($R$7:R944,$E$7:E944,E944),"")</f>
        <v/>
      </c>
      <c r="T944" s="112">
        <f>IF(Q944="","",IF(Q944=3,L944,IF(OR(M944="Not started",M944=""),J944,"")))</f>
        <v/>
      </c>
      <c r="U944" s="79">
        <f>IF(T944="","",IF(Q944=3,1,IF(T944="","",IF(T944&lt;AsOf,1,IF(T944&lt;=AsOf+AlertDays,2,IF(T944&lt;=AsOf+2*AlertDays,3,""))))))</f>
        <v/>
      </c>
      <c r="V944" s="79">
        <f>IF(U944="","",IF(Q944=3,"Late task: "&amp;D944,IF(T944&lt;AsOf,"Should have started: ","Starts soon: ")&amp;D944)&amp;IF(F944="",""," — "&amp;F944))</f>
        <v/>
      </c>
    </row>
    <row r="945" ht="20" customHeight="1">
      <c r="B945" s="125" t="n">
        <v>939</v>
      </c>
      <c r="C945" s="72" t="n"/>
      <c r="D945" s="72" t="n"/>
      <c r="E945" s="72" t="n"/>
      <c r="F945" s="72" t="n"/>
      <c r="G945" s="89" t="n"/>
      <c r="H945" s="89" t="n"/>
      <c r="I945" s="109" t="n"/>
      <c r="J945" s="126">
        <f>IF(OR(D945="",ProjStart=""),"",MAX(ProjStart,IF(I945&lt;&gt;"",I945,0),IF(H945="",0,IFERROR(INDEX($L$6:L944,MATCH(H945,$B$6:B944,0))+1,0))))</f>
        <v/>
      </c>
      <c r="K945" s="89" t="n"/>
      <c r="L945" s="126">
        <f>IF(J945="","",J945+MAX(1,G945)+IF(K945="",0,K945)-1)</f>
        <v/>
      </c>
      <c r="M945" s="72" t="n"/>
      <c r="N945" s="109" t="n"/>
      <c r="O945" s="127">
        <f>IF(D945="","",COUNTIF($H$7:$H$1006,B945))</f>
        <v/>
      </c>
      <c r="P945" s="78">
        <f>IF(D945="","",IF(AND(H945&lt;&gt;"",H945&gt;=B945),"⚠️ Predecessor must be above",IF(M945="Done","✓ Done",IF(Q945=3,"🔴 Late",IF(M945="In progress","In progress","")))))</f>
        <v/>
      </c>
      <c r="Q945" s="79">
        <f>IF(OR(D945="",L945=""),"",IF(M945="Done",2,IF(AsOf&gt;L945,3,1)))</f>
        <v/>
      </c>
      <c r="R945" s="79">
        <f>IF(OR(E945="",F945=""),0,IF(COUNTIFS($E$7:E945,E945,$F$7:F945,F945)=1,1,0))</f>
        <v/>
      </c>
      <c r="S945" s="79">
        <f>IF(R945=1,E945&amp;"|"&amp;SUMIFS($R$7:R945,$E$7:E945,E945),"")</f>
        <v/>
      </c>
      <c r="T945" s="112">
        <f>IF(Q945="","",IF(Q945=3,L945,IF(OR(M945="Not started",M945=""),J945,"")))</f>
        <v/>
      </c>
      <c r="U945" s="79">
        <f>IF(T945="","",IF(Q945=3,1,IF(T945="","",IF(T945&lt;AsOf,1,IF(T945&lt;=AsOf+AlertDays,2,IF(T945&lt;=AsOf+2*AlertDays,3,""))))))</f>
        <v/>
      </c>
      <c r="V945" s="79">
        <f>IF(U945="","",IF(Q945=3,"Late task: "&amp;D945,IF(T945&lt;AsOf,"Should have started: ","Starts soon: ")&amp;D945)&amp;IF(F945="",""," — "&amp;F945))</f>
        <v/>
      </c>
    </row>
    <row r="946" ht="20" customHeight="1">
      <c r="B946" s="125" t="n">
        <v>940</v>
      </c>
      <c r="C946" s="72" t="n"/>
      <c r="D946" s="72" t="n"/>
      <c r="E946" s="72" t="n"/>
      <c r="F946" s="72" t="n"/>
      <c r="G946" s="89" t="n"/>
      <c r="H946" s="89" t="n"/>
      <c r="I946" s="109" t="n"/>
      <c r="J946" s="126">
        <f>IF(OR(D946="",ProjStart=""),"",MAX(ProjStart,IF(I946&lt;&gt;"",I946,0),IF(H946="",0,IFERROR(INDEX($L$6:L945,MATCH(H946,$B$6:B945,0))+1,0))))</f>
        <v/>
      </c>
      <c r="K946" s="89" t="n"/>
      <c r="L946" s="126">
        <f>IF(J946="","",J946+MAX(1,G946)+IF(K946="",0,K946)-1)</f>
        <v/>
      </c>
      <c r="M946" s="72" t="n"/>
      <c r="N946" s="109" t="n"/>
      <c r="O946" s="127">
        <f>IF(D946="","",COUNTIF($H$7:$H$1006,B946))</f>
        <v/>
      </c>
      <c r="P946" s="78">
        <f>IF(D946="","",IF(AND(H946&lt;&gt;"",H946&gt;=B946),"⚠️ Predecessor must be above",IF(M946="Done","✓ Done",IF(Q946=3,"🔴 Late",IF(M946="In progress","In progress","")))))</f>
        <v/>
      </c>
      <c r="Q946" s="79">
        <f>IF(OR(D946="",L946=""),"",IF(M946="Done",2,IF(AsOf&gt;L946,3,1)))</f>
        <v/>
      </c>
      <c r="R946" s="79">
        <f>IF(OR(E946="",F946=""),0,IF(COUNTIFS($E$7:E946,E946,$F$7:F946,F946)=1,1,0))</f>
        <v/>
      </c>
      <c r="S946" s="79">
        <f>IF(R946=1,E946&amp;"|"&amp;SUMIFS($R$7:R946,$E$7:E946,E946),"")</f>
        <v/>
      </c>
      <c r="T946" s="112">
        <f>IF(Q946="","",IF(Q946=3,L946,IF(OR(M946="Not started",M946=""),J946,"")))</f>
        <v/>
      </c>
      <c r="U946" s="79">
        <f>IF(T946="","",IF(Q946=3,1,IF(T946="","",IF(T946&lt;AsOf,1,IF(T946&lt;=AsOf+AlertDays,2,IF(T946&lt;=AsOf+2*AlertDays,3,""))))))</f>
        <v/>
      </c>
      <c r="V946" s="79">
        <f>IF(U946="","",IF(Q946=3,"Late task: "&amp;D946,IF(T946&lt;AsOf,"Should have started: ","Starts soon: ")&amp;D946)&amp;IF(F946="",""," — "&amp;F946))</f>
        <v/>
      </c>
    </row>
    <row r="947" ht="20" customHeight="1">
      <c r="B947" s="125" t="n">
        <v>941</v>
      </c>
      <c r="C947" s="72" t="n"/>
      <c r="D947" s="72" t="n"/>
      <c r="E947" s="72" t="n"/>
      <c r="F947" s="72" t="n"/>
      <c r="G947" s="89" t="n"/>
      <c r="H947" s="89" t="n"/>
      <c r="I947" s="109" t="n"/>
      <c r="J947" s="126">
        <f>IF(OR(D947="",ProjStart=""),"",MAX(ProjStart,IF(I947&lt;&gt;"",I947,0),IF(H947="",0,IFERROR(INDEX($L$6:L946,MATCH(H947,$B$6:B946,0))+1,0))))</f>
        <v/>
      </c>
      <c r="K947" s="89" t="n"/>
      <c r="L947" s="126">
        <f>IF(J947="","",J947+MAX(1,G947)+IF(K947="",0,K947)-1)</f>
        <v/>
      </c>
      <c r="M947" s="72" t="n"/>
      <c r="N947" s="109" t="n"/>
      <c r="O947" s="127">
        <f>IF(D947="","",COUNTIF($H$7:$H$1006,B947))</f>
        <v/>
      </c>
      <c r="P947" s="78">
        <f>IF(D947="","",IF(AND(H947&lt;&gt;"",H947&gt;=B947),"⚠️ Predecessor must be above",IF(M947="Done","✓ Done",IF(Q947=3,"🔴 Late",IF(M947="In progress","In progress","")))))</f>
        <v/>
      </c>
      <c r="Q947" s="79">
        <f>IF(OR(D947="",L947=""),"",IF(M947="Done",2,IF(AsOf&gt;L947,3,1)))</f>
        <v/>
      </c>
      <c r="R947" s="79">
        <f>IF(OR(E947="",F947=""),0,IF(COUNTIFS($E$7:E947,E947,$F$7:F947,F947)=1,1,0))</f>
        <v/>
      </c>
      <c r="S947" s="79">
        <f>IF(R947=1,E947&amp;"|"&amp;SUMIFS($R$7:R947,$E$7:E947,E947),"")</f>
        <v/>
      </c>
      <c r="T947" s="112">
        <f>IF(Q947="","",IF(Q947=3,L947,IF(OR(M947="Not started",M947=""),J947,"")))</f>
        <v/>
      </c>
      <c r="U947" s="79">
        <f>IF(T947="","",IF(Q947=3,1,IF(T947="","",IF(T947&lt;AsOf,1,IF(T947&lt;=AsOf+AlertDays,2,IF(T947&lt;=AsOf+2*AlertDays,3,""))))))</f>
        <v/>
      </c>
      <c r="V947" s="79">
        <f>IF(U947="","",IF(Q947=3,"Late task: "&amp;D947,IF(T947&lt;AsOf,"Should have started: ","Starts soon: ")&amp;D947)&amp;IF(F947="",""," — "&amp;F947))</f>
        <v/>
      </c>
    </row>
    <row r="948" ht="20" customHeight="1">
      <c r="B948" s="125" t="n">
        <v>942</v>
      </c>
      <c r="C948" s="72" t="n"/>
      <c r="D948" s="72" t="n"/>
      <c r="E948" s="72" t="n"/>
      <c r="F948" s="72" t="n"/>
      <c r="G948" s="89" t="n"/>
      <c r="H948" s="89" t="n"/>
      <c r="I948" s="109" t="n"/>
      <c r="J948" s="126">
        <f>IF(OR(D948="",ProjStart=""),"",MAX(ProjStart,IF(I948&lt;&gt;"",I948,0),IF(H948="",0,IFERROR(INDEX($L$6:L947,MATCH(H948,$B$6:B947,0))+1,0))))</f>
        <v/>
      </c>
      <c r="K948" s="89" t="n"/>
      <c r="L948" s="126">
        <f>IF(J948="","",J948+MAX(1,G948)+IF(K948="",0,K948)-1)</f>
        <v/>
      </c>
      <c r="M948" s="72" t="n"/>
      <c r="N948" s="109" t="n"/>
      <c r="O948" s="127">
        <f>IF(D948="","",COUNTIF($H$7:$H$1006,B948))</f>
        <v/>
      </c>
      <c r="P948" s="78">
        <f>IF(D948="","",IF(AND(H948&lt;&gt;"",H948&gt;=B948),"⚠️ Predecessor must be above",IF(M948="Done","✓ Done",IF(Q948=3,"🔴 Late",IF(M948="In progress","In progress","")))))</f>
        <v/>
      </c>
      <c r="Q948" s="79">
        <f>IF(OR(D948="",L948=""),"",IF(M948="Done",2,IF(AsOf&gt;L948,3,1)))</f>
        <v/>
      </c>
      <c r="R948" s="79">
        <f>IF(OR(E948="",F948=""),0,IF(COUNTIFS($E$7:E948,E948,$F$7:F948,F948)=1,1,0))</f>
        <v/>
      </c>
      <c r="S948" s="79">
        <f>IF(R948=1,E948&amp;"|"&amp;SUMIFS($R$7:R948,$E$7:E948,E948),"")</f>
        <v/>
      </c>
      <c r="T948" s="112">
        <f>IF(Q948="","",IF(Q948=3,L948,IF(OR(M948="Not started",M948=""),J948,"")))</f>
        <v/>
      </c>
      <c r="U948" s="79">
        <f>IF(T948="","",IF(Q948=3,1,IF(T948="","",IF(T948&lt;AsOf,1,IF(T948&lt;=AsOf+AlertDays,2,IF(T948&lt;=AsOf+2*AlertDays,3,""))))))</f>
        <v/>
      </c>
      <c r="V948" s="79">
        <f>IF(U948="","",IF(Q948=3,"Late task: "&amp;D948,IF(T948&lt;AsOf,"Should have started: ","Starts soon: ")&amp;D948)&amp;IF(F948="",""," — "&amp;F948))</f>
        <v/>
      </c>
    </row>
    <row r="949" ht="20" customHeight="1">
      <c r="B949" s="125" t="n">
        <v>943</v>
      </c>
      <c r="C949" s="72" t="n"/>
      <c r="D949" s="72" t="n"/>
      <c r="E949" s="72" t="n"/>
      <c r="F949" s="72" t="n"/>
      <c r="G949" s="89" t="n"/>
      <c r="H949" s="89" t="n"/>
      <c r="I949" s="109" t="n"/>
      <c r="J949" s="126">
        <f>IF(OR(D949="",ProjStart=""),"",MAX(ProjStart,IF(I949&lt;&gt;"",I949,0),IF(H949="",0,IFERROR(INDEX($L$6:L948,MATCH(H949,$B$6:B948,0))+1,0))))</f>
        <v/>
      </c>
      <c r="K949" s="89" t="n"/>
      <c r="L949" s="126">
        <f>IF(J949="","",J949+MAX(1,G949)+IF(K949="",0,K949)-1)</f>
        <v/>
      </c>
      <c r="M949" s="72" t="n"/>
      <c r="N949" s="109" t="n"/>
      <c r="O949" s="127">
        <f>IF(D949="","",COUNTIF($H$7:$H$1006,B949))</f>
        <v/>
      </c>
      <c r="P949" s="78">
        <f>IF(D949="","",IF(AND(H949&lt;&gt;"",H949&gt;=B949),"⚠️ Predecessor must be above",IF(M949="Done","✓ Done",IF(Q949=3,"🔴 Late",IF(M949="In progress","In progress","")))))</f>
        <v/>
      </c>
      <c r="Q949" s="79">
        <f>IF(OR(D949="",L949=""),"",IF(M949="Done",2,IF(AsOf&gt;L949,3,1)))</f>
        <v/>
      </c>
      <c r="R949" s="79">
        <f>IF(OR(E949="",F949=""),0,IF(COUNTIFS($E$7:E949,E949,$F$7:F949,F949)=1,1,0))</f>
        <v/>
      </c>
      <c r="S949" s="79">
        <f>IF(R949=1,E949&amp;"|"&amp;SUMIFS($R$7:R949,$E$7:E949,E949),"")</f>
        <v/>
      </c>
      <c r="T949" s="112">
        <f>IF(Q949="","",IF(Q949=3,L949,IF(OR(M949="Not started",M949=""),J949,"")))</f>
        <v/>
      </c>
      <c r="U949" s="79">
        <f>IF(T949="","",IF(Q949=3,1,IF(T949="","",IF(T949&lt;AsOf,1,IF(T949&lt;=AsOf+AlertDays,2,IF(T949&lt;=AsOf+2*AlertDays,3,""))))))</f>
        <v/>
      </c>
      <c r="V949" s="79">
        <f>IF(U949="","",IF(Q949=3,"Late task: "&amp;D949,IF(T949&lt;AsOf,"Should have started: ","Starts soon: ")&amp;D949)&amp;IF(F949="",""," — "&amp;F949))</f>
        <v/>
      </c>
    </row>
    <row r="950" ht="20" customHeight="1">
      <c r="B950" s="125" t="n">
        <v>944</v>
      </c>
      <c r="C950" s="72" t="n"/>
      <c r="D950" s="72" t="n"/>
      <c r="E950" s="72" t="n"/>
      <c r="F950" s="72" t="n"/>
      <c r="G950" s="89" t="n"/>
      <c r="H950" s="89" t="n"/>
      <c r="I950" s="109" t="n"/>
      <c r="J950" s="126">
        <f>IF(OR(D950="",ProjStart=""),"",MAX(ProjStart,IF(I950&lt;&gt;"",I950,0),IF(H950="",0,IFERROR(INDEX($L$6:L949,MATCH(H950,$B$6:B949,0))+1,0))))</f>
        <v/>
      </c>
      <c r="K950" s="89" t="n"/>
      <c r="L950" s="126">
        <f>IF(J950="","",J950+MAX(1,G950)+IF(K950="",0,K950)-1)</f>
        <v/>
      </c>
      <c r="M950" s="72" t="n"/>
      <c r="N950" s="109" t="n"/>
      <c r="O950" s="127">
        <f>IF(D950="","",COUNTIF($H$7:$H$1006,B950))</f>
        <v/>
      </c>
      <c r="P950" s="78">
        <f>IF(D950="","",IF(AND(H950&lt;&gt;"",H950&gt;=B950),"⚠️ Predecessor must be above",IF(M950="Done","✓ Done",IF(Q950=3,"🔴 Late",IF(M950="In progress","In progress","")))))</f>
        <v/>
      </c>
      <c r="Q950" s="79">
        <f>IF(OR(D950="",L950=""),"",IF(M950="Done",2,IF(AsOf&gt;L950,3,1)))</f>
        <v/>
      </c>
      <c r="R950" s="79">
        <f>IF(OR(E950="",F950=""),0,IF(COUNTIFS($E$7:E950,E950,$F$7:F950,F950)=1,1,0))</f>
        <v/>
      </c>
      <c r="S950" s="79">
        <f>IF(R950=1,E950&amp;"|"&amp;SUMIFS($R$7:R950,$E$7:E950,E950),"")</f>
        <v/>
      </c>
      <c r="T950" s="112">
        <f>IF(Q950="","",IF(Q950=3,L950,IF(OR(M950="Not started",M950=""),J950,"")))</f>
        <v/>
      </c>
      <c r="U950" s="79">
        <f>IF(T950="","",IF(Q950=3,1,IF(T950="","",IF(T950&lt;AsOf,1,IF(T950&lt;=AsOf+AlertDays,2,IF(T950&lt;=AsOf+2*AlertDays,3,""))))))</f>
        <v/>
      </c>
      <c r="V950" s="79">
        <f>IF(U950="","",IF(Q950=3,"Late task: "&amp;D950,IF(T950&lt;AsOf,"Should have started: ","Starts soon: ")&amp;D950)&amp;IF(F950="",""," — "&amp;F950))</f>
        <v/>
      </c>
    </row>
    <row r="951" ht="20" customHeight="1">
      <c r="B951" s="125" t="n">
        <v>945</v>
      </c>
      <c r="C951" s="72" t="n"/>
      <c r="D951" s="72" t="n"/>
      <c r="E951" s="72" t="n"/>
      <c r="F951" s="72" t="n"/>
      <c r="G951" s="89" t="n"/>
      <c r="H951" s="89" t="n"/>
      <c r="I951" s="109" t="n"/>
      <c r="J951" s="126">
        <f>IF(OR(D951="",ProjStart=""),"",MAX(ProjStart,IF(I951&lt;&gt;"",I951,0),IF(H951="",0,IFERROR(INDEX($L$6:L950,MATCH(H951,$B$6:B950,0))+1,0))))</f>
        <v/>
      </c>
      <c r="K951" s="89" t="n"/>
      <c r="L951" s="126">
        <f>IF(J951="","",J951+MAX(1,G951)+IF(K951="",0,K951)-1)</f>
        <v/>
      </c>
      <c r="M951" s="72" t="n"/>
      <c r="N951" s="109" t="n"/>
      <c r="O951" s="127">
        <f>IF(D951="","",COUNTIF($H$7:$H$1006,B951))</f>
        <v/>
      </c>
      <c r="P951" s="78">
        <f>IF(D951="","",IF(AND(H951&lt;&gt;"",H951&gt;=B951),"⚠️ Predecessor must be above",IF(M951="Done","✓ Done",IF(Q951=3,"🔴 Late",IF(M951="In progress","In progress","")))))</f>
        <v/>
      </c>
      <c r="Q951" s="79">
        <f>IF(OR(D951="",L951=""),"",IF(M951="Done",2,IF(AsOf&gt;L951,3,1)))</f>
        <v/>
      </c>
      <c r="R951" s="79">
        <f>IF(OR(E951="",F951=""),0,IF(COUNTIFS($E$7:E951,E951,$F$7:F951,F951)=1,1,0))</f>
        <v/>
      </c>
      <c r="S951" s="79">
        <f>IF(R951=1,E951&amp;"|"&amp;SUMIFS($R$7:R951,$E$7:E951,E951),"")</f>
        <v/>
      </c>
      <c r="T951" s="112">
        <f>IF(Q951="","",IF(Q951=3,L951,IF(OR(M951="Not started",M951=""),J951,"")))</f>
        <v/>
      </c>
      <c r="U951" s="79">
        <f>IF(T951="","",IF(Q951=3,1,IF(T951="","",IF(T951&lt;AsOf,1,IF(T951&lt;=AsOf+AlertDays,2,IF(T951&lt;=AsOf+2*AlertDays,3,""))))))</f>
        <v/>
      </c>
      <c r="V951" s="79">
        <f>IF(U951="","",IF(Q951=3,"Late task: "&amp;D951,IF(T951&lt;AsOf,"Should have started: ","Starts soon: ")&amp;D951)&amp;IF(F951="",""," — "&amp;F951))</f>
        <v/>
      </c>
    </row>
    <row r="952" ht="20" customHeight="1">
      <c r="B952" s="125" t="n">
        <v>946</v>
      </c>
      <c r="C952" s="72" t="n"/>
      <c r="D952" s="72" t="n"/>
      <c r="E952" s="72" t="n"/>
      <c r="F952" s="72" t="n"/>
      <c r="G952" s="89" t="n"/>
      <c r="H952" s="89" t="n"/>
      <c r="I952" s="109" t="n"/>
      <c r="J952" s="126">
        <f>IF(OR(D952="",ProjStart=""),"",MAX(ProjStart,IF(I952&lt;&gt;"",I952,0),IF(H952="",0,IFERROR(INDEX($L$6:L951,MATCH(H952,$B$6:B951,0))+1,0))))</f>
        <v/>
      </c>
      <c r="K952" s="89" t="n"/>
      <c r="L952" s="126">
        <f>IF(J952="","",J952+MAX(1,G952)+IF(K952="",0,K952)-1)</f>
        <v/>
      </c>
      <c r="M952" s="72" t="n"/>
      <c r="N952" s="109" t="n"/>
      <c r="O952" s="127">
        <f>IF(D952="","",COUNTIF($H$7:$H$1006,B952))</f>
        <v/>
      </c>
      <c r="P952" s="78">
        <f>IF(D952="","",IF(AND(H952&lt;&gt;"",H952&gt;=B952),"⚠️ Predecessor must be above",IF(M952="Done","✓ Done",IF(Q952=3,"🔴 Late",IF(M952="In progress","In progress","")))))</f>
        <v/>
      </c>
      <c r="Q952" s="79">
        <f>IF(OR(D952="",L952=""),"",IF(M952="Done",2,IF(AsOf&gt;L952,3,1)))</f>
        <v/>
      </c>
      <c r="R952" s="79">
        <f>IF(OR(E952="",F952=""),0,IF(COUNTIFS($E$7:E952,E952,$F$7:F952,F952)=1,1,0))</f>
        <v/>
      </c>
      <c r="S952" s="79">
        <f>IF(R952=1,E952&amp;"|"&amp;SUMIFS($R$7:R952,$E$7:E952,E952),"")</f>
        <v/>
      </c>
      <c r="T952" s="112">
        <f>IF(Q952="","",IF(Q952=3,L952,IF(OR(M952="Not started",M952=""),J952,"")))</f>
        <v/>
      </c>
      <c r="U952" s="79">
        <f>IF(T952="","",IF(Q952=3,1,IF(T952="","",IF(T952&lt;AsOf,1,IF(T952&lt;=AsOf+AlertDays,2,IF(T952&lt;=AsOf+2*AlertDays,3,""))))))</f>
        <v/>
      </c>
      <c r="V952" s="79">
        <f>IF(U952="","",IF(Q952=3,"Late task: "&amp;D952,IF(T952&lt;AsOf,"Should have started: ","Starts soon: ")&amp;D952)&amp;IF(F952="",""," — "&amp;F952))</f>
        <v/>
      </c>
    </row>
    <row r="953" ht="20" customHeight="1">
      <c r="B953" s="125" t="n">
        <v>947</v>
      </c>
      <c r="C953" s="72" t="n"/>
      <c r="D953" s="72" t="n"/>
      <c r="E953" s="72" t="n"/>
      <c r="F953" s="72" t="n"/>
      <c r="G953" s="89" t="n"/>
      <c r="H953" s="89" t="n"/>
      <c r="I953" s="109" t="n"/>
      <c r="J953" s="126">
        <f>IF(OR(D953="",ProjStart=""),"",MAX(ProjStart,IF(I953&lt;&gt;"",I953,0),IF(H953="",0,IFERROR(INDEX($L$6:L952,MATCH(H953,$B$6:B952,0))+1,0))))</f>
        <v/>
      </c>
      <c r="K953" s="89" t="n"/>
      <c r="L953" s="126">
        <f>IF(J953="","",J953+MAX(1,G953)+IF(K953="",0,K953)-1)</f>
        <v/>
      </c>
      <c r="M953" s="72" t="n"/>
      <c r="N953" s="109" t="n"/>
      <c r="O953" s="127">
        <f>IF(D953="","",COUNTIF($H$7:$H$1006,B953))</f>
        <v/>
      </c>
      <c r="P953" s="78">
        <f>IF(D953="","",IF(AND(H953&lt;&gt;"",H953&gt;=B953),"⚠️ Predecessor must be above",IF(M953="Done","✓ Done",IF(Q953=3,"🔴 Late",IF(M953="In progress","In progress","")))))</f>
        <v/>
      </c>
      <c r="Q953" s="79">
        <f>IF(OR(D953="",L953=""),"",IF(M953="Done",2,IF(AsOf&gt;L953,3,1)))</f>
        <v/>
      </c>
      <c r="R953" s="79">
        <f>IF(OR(E953="",F953=""),0,IF(COUNTIFS($E$7:E953,E953,$F$7:F953,F953)=1,1,0))</f>
        <v/>
      </c>
      <c r="S953" s="79">
        <f>IF(R953=1,E953&amp;"|"&amp;SUMIFS($R$7:R953,$E$7:E953,E953),"")</f>
        <v/>
      </c>
      <c r="T953" s="112">
        <f>IF(Q953="","",IF(Q953=3,L953,IF(OR(M953="Not started",M953=""),J953,"")))</f>
        <v/>
      </c>
      <c r="U953" s="79">
        <f>IF(T953="","",IF(Q953=3,1,IF(T953="","",IF(T953&lt;AsOf,1,IF(T953&lt;=AsOf+AlertDays,2,IF(T953&lt;=AsOf+2*AlertDays,3,""))))))</f>
        <v/>
      </c>
      <c r="V953" s="79">
        <f>IF(U953="","",IF(Q953=3,"Late task: "&amp;D953,IF(T953&lt;AsOf,"Should have started: ","Starts soon: ")&amp;D953)&amp;IF(F953="",""," — "&amp;F953))</f>
        <v/>
      </c>
    </row>
    <row r="954" ht="20" customHeight="1">
      <c r="B954" s="125" t="n">
        <v>948</v>
      </c>
      <c r="C954" s="72" t="n"/>
      <c r="D954" s="72" t="n"/>
      <c r="E954" s="72" t="n"/>
      <c r="F954" s="72" t="n"/>
      <c r="G954" s="89" t="n"/>
      <c r="H954" s="89" t="n"/>
      <c r="I954" s="109" t="n"/>
      <c r="J954" s="126">
        <f>IF(OR(D954="",ProjStart=""),"",MAX(ProjStart,IF(I954&lt;&gt;"",I954,0),IF(H954="",0,IFERROR(INDEX($L$6:L953,MATCH(H954,$B$6:B953,0))+1,0))))</f>
        <v/>
      </c>
      <c r="K954" s="89" t="n"/>
      <c r="L954" s="126">
        <f>IF(J954="","",J954+MAX(1,G954)+IF(K954="",0,K954)-1)</f>
        <v/>
      </c>
      <c r="M954" s="72" t="n"/>
      <c r="N954" s="109" t="n"/>
      <c r="O954" s="127">
        <f>IF(D954="","",COUNTIF($H$7:$H$1006,B954))</f>
        <v/>
      </c>
      <c r="P954" s="78">
        <f>IF(D954="","",IF(AND(H954&lt;&gt;"",H954&gt;=B954),"⚠️ Predecessor must be above",IF(M954="Done","✓ Done",IF(Q954=3,"🔴 Late",IF(M954="In progress","In progress","")))))</f>
        <v/>
      </c>
      <c r="Q954" s="79">
        <f>IF(OR(D954="",L954=""),"",IF(M954="Done",2,IF(AsOf&gt;L954,3,1)))</f>
        <v/>
      </c>
      <c r="R954" s="79">
        <f>IF(OR(E954="",F954=""),0,IF(COUNTIFS($E$7:E954,E954,$F$7:F954,F954)=1,1,0))</f>
        <v/>
      </c>
      <c r="S954" s="79">
        <f>IF(R954=1,E954&amp;"|"&amp;SUMIFS($R$7:R954,$E$7:E954,E954),"")</f>
        <v/>
      </c>
      <c r="T954" s="112">
        <f>IF(Q954="","",IF(Q954=3,L954,IF(OR(M954="Not started",M954=""),J954,"")))</f>
        <v/>
      </c>
      <c r="U954" s="79">
        <f>IF(T954="","",IF(Q954=3,1,IF(T954="","",IF(T954&lt;AsOf,1,IF(T954&lt;=AsOf+AlertDays,2,IF(T954&lt;=AsOf+2*AlertDays,3,""))))))</f>
        <v/>
      </c>
      <c r="V954" s="79">
        <f>IF(U954="","",IF(Q954=3,"Late task: "&amp;D954,IF(T954&lt;AsOf,"Should have started: ","Starts soon: ")&amp;D954)&amp;IF(F954="",""," — "&amp;F954))</f>
        <v/>
      </c>
    </row>
    <row r="955" ht="20" customHeight="1">
      <c r="B955" s="125" t="n">
        <v>949</v>
      </c>
      <c r="C955" s="72" t="n"/>
      <c r="D955" s="72" t="n"/>
      <c r="E955" s="72" t="n"/>
      <c r="F955" s="72" t="n"/>
      <c r="G955" s="89" t="n"/>
      <c r="H955" s="89" t="n"/>
      <c r="I955" s="109" t="n"/>
      <c r="J955" s="126">
        <f>IF(OR(D955="",ProjStart=""),"",MAX(ProjStart,IF(I955&lt;&gt;"",I955,0),IF(H955="",0,IFERROR(INDEX($L$6:L954,MATCH(H955,$B$6:B954,0))+1,0))))</f>
        <v/>
      </c>
      <c r="K955" s="89" t="n"/>
      <c r="L955" s="126">
        <f>IF(J955="","",J955+MAX(1,G955)+IF(K955="",0,K955)-1)</f>
        <v/>
      </c>
      <c r="M955" s="72" t="n"/>
      <c r="N955" s="109" t="n"/>
      <c r="O955" s="127">
        <f>IF(D955="","",COUNTIF($H$7:$H$1006,B955))</f>
        <v/>
      </c>
      <c r="P955" s="78">
        <f>IF(D955="","",IF(AND(H955&lt;&gt;"",H955&gt;=B955),"⚠️ Predecessor must be above",IF(M955="Done","✓ Done",IF(Q955=3,"🔴 Late",IF(M955="In progress","In progress","")))))</f>
        <v/>
      </c>
      <c r="Q955" s="79">
        <f>IF(OR(D955="",L955=""),"",IF(M955="Done",2,IF(AsOf&gt;L955,3,1)))</f>
        <v/>
      </c>
      <c r="R955" s="79">
        <f>IF(OR(E955="",F955=""),0,IF(COUNTIFS($E$7:E955,E955,$F$7:F955,F955)=1,1,0))</f>
        <v/>
      </c>
      <c r="S955" s="79">
        <f>IF(R955=1,E955&amp;"|"&amp;SUMIFS($R$7:R955,$E$7:E955,E955),"")</f>
        <v/>
      </c>
      <c r="T955" s="112">
        <f>IF(Q955="","",IF(Q955=3,L955,IF(OR(M955="Not started",M955=""),J955,"")))</f>
        <v/>
      </c>
      <c r="U955" s="79">
        <f>IF(T955="","",IF(Q955=3,1,IF(T955="","",IF(T955&lt;AsOf,1,IF(T955&lt;=AsOf+AlertDays,2,IF(T955&lt;=AsOf+2*AlertDays,3,""))))))</f>
        <v/>
      </c>
      <c r="V955" s="79">
        <f>IF(U955="","",IF(Q955=3,"Late task: "&amp;D955,IF(T955&lt;AsOf,"Should have started: ","Starts soon: ")&amp;D955)&amp;IF(F955="",""," — "&amp;F955))</f>
        <v/>
      </c>
    </row>
    <row r="956" ht="20" customHeight="1">
      <c r="B956" s="125" t="n">
        <v>950</v>
      </c>
      <c r="C956" s="72" t="n"/>
      <c r="D956" s="72" t="n"/>
      <c r="E956" s="72" t="n"/>
      <c r="F956" s="72" t="n"/>
      <c r="G956" s="89" t="n"/>
      <c r="H956" s="89" t="n"/>
      <c r="I956" s="109" t="n"/>
      <c r="J956" s="126">
        <f>IF(OR(D956="",ProjStart=""),"",MAX(ProjStart,IF(I956&lt;&gt;"",I956,0),IF(H956="",0,IFERROR(INDEX($L$6:L955,MATCH(H956,$B$6:B955,0))+1,0))))</f>
        <v/>
      </c>
      <c r="K956" s="89" t="n"/>
      <c r="L956" s="126">
        <f>IF(J956="","",J956+MAX(1,G956)+IF(K956="",0,K956)-1)</f>
        <v/>
      </c>
      <c r="M956" s="72" t="n"/>
      <c r="N956" s="109" t="n"/>
      <c r="O956" s="127">
        <f>IF(D956="","",COUNTIF($H$7:$H$1006,B956))</f>
        <v/>
      </c>
      <c r="P956" s="78">
        <f>IF(D956="","",IF(AND(H956&lt;&gt;"",H956&gt;=B956),"⚠️ Predecessor must be above",IF(M956="Done","✓ Done",IF(Q956=3,"🔴 Late",IF(M956="In progress","In progress","")))))</f>
        <v/>
      </c>
      <c r="Q956" s="79">
        <f>IF(OR(D956="",L956=""),"",IF(M956="Done",2,IF(AsOf&gt;L956,3,1)))</f>
        <v/>
      </c>
      <c r="R956" s="79">
        <f>IF(OR(E956="",F956=""),0,IF(COUNTIFS($E$7:E956,E956,$F$7:F956,F956)=1,1,0))</f>
        <v/>
      </c>
      <c r="S956" s="79">
        <f>IF(R956=1,E956&amp;"|"&amp;SUMIFS($R$7:R956,$E$7:E956,E956),"")</f>
        <v/>
      </c>
      <c r="T956" s="112">
        <f>IF(Q956="","",IF(Q956=3,L956,IF(OR(M956="Not started",M956=""),J956,"")))</f>
        <v/>
      </c>
      <c r="U956" s="79">
        <f>IF(T956="","",IF(Q956=3,1,IF(T956="","",IF(T956&lt;AsOf,1,IF(T956&lt;=AsOf+AlertDays,2,IF(T956&lt;=AsOf+2*AlertDays,3,""))))))</f>
        <v/>
      </c>
      <c r="V956" s="79">
        <f>IF(U956="","",IF(Q956=3,"Late task: "&amp;D956,IF(T956&lt;AsOf,"Should have started: ","Starts soon: ")&amp;D956)&amp;IF(F956="",""," — "&amp;F956))</f>
        <v/>
      </c>
    </row>
    <row r="957" ht="20" customHeight="1">
      <c r="B957" s="125" t="n">
        <v>951</v>
      </c>
      <c r="C957" s="72" t="n"/>
      <c r="D957" s="72" t="n"/>
      <c r="E957" s="72" t="n"/>
      <c r="F957" s="72" t="n"/>
      <c r="G957" s="89" t="n"/>
      <c r="H957" s="89" t="n"/>
      <c r="I957" s="109" t="n"/>
      <c r="J957" s="126">
        <f>IF(OR(D957="",ProjStart=""),"",MAX(ProjStart,IF(I957&lt;&gt;"",I957,0),IF(H957="",0,IFERROR(INDEX($L$6:L956,MATCH(H957,$B$6:B956,0))+1,0))))</f>
        <v/>
      </c>
      <c r="K957" s="89" t="n"/>
      <c r="L957" s="126">
        <f>IF(J957="","",J957+MAX(1,G957)+IF(K957="",0,K957)-1)</f>
        <v/>
      </c>
      <c r="M957" s="72" t="n"/>
      <c r="N957" s="109" t="n"/>
      <c r="O957" s="127">
        <f>IF(D957="","",COUNTIF($H$7:$H$1006,B957))</f>
        <v/>
      </c>
      <c r="P957" s="78">
        <f>IF(D957="","",IF(AND(H957&lt;&gt;"",H957&gt;=B957),"⚠️ Predecessor must be above",IF(M957="Done","✓ Done",IF(Q957=3,"🔴 Late",IF(M957="In progress","In progress","")))))</f>
        <v/>
      </c>
      <c r="Q957" s="79">
        <f>IF(OR(D957="",L957=""),"",IF(M957="Done",2,IF(AsOf&gt;L957,3,1)))</f>
        <v/>
      </c>
      <c r="R957" s="79">
        <f>IF(OR(E957="",F957=""),0,IF(COUNTIFS($E$7:E957,E957,$F$7:F957,F957)=1,1,0))</f>
        <v/>
      </c>
      <c r="S957" s="79">
        <f>IF(R957=1,E957&amp;"|"&amp;SUMIFS($R$7:R957,$E$7:E957,E957),"")</f>
        <v/>
      </c>
      <c r="T957" s="112">
        <f>IF(Q957="","",IF(Q957=3,L957,IF(OR(M957="Not started",M957=""),J957,"")))</f>
        <v/>
      </c>
      <c r="U957" s="79">
        <f>IF(T957="","",IF(Q957=3,1,IF(T957="","",IF(T957&lt;AsOf,1,IF(T957&lt;=AsOf+AlertDays,2,IF(T957&lt;=AsOf+2*AlertDays,3,""))))))</f>
        <v/>
      </c>
      <c r="V957" s="79">
        <f>IF(U957="","",IF(Q957=3,"Late task: "&amp;D957,IF(T957&lt;AsOf,"Should have started: ","Starts soon: ")&amp;D957)&amp;IF(F957="",""," — "&amp;F957))</f>
        <v/>
      </c>
    </row>
    <row r="958" ht="20" customHeight="1">
      <c r="B958" s="125" t="n">
        <v>952</v>
      </c>
      <c r="C958" s="72" t="n"/>
      <c r="D958" s="72" t="n"/>
      <c r="E958" s="72" t="n"/>
      <c r="F958" s="72" t="n"/>
      <c r="G958" s="89" t="n"/>
      <c r="H958" s="89" t="n"/>
      <c r="I958" s="109" t="n"/>
      <c r="J958" s="126">
        <f>IF(OR(D958="",ProjStart=""),"",MAX(ProjStart,IF(I958&lt;&gt;"",I958,0),IF(H958="",0,IFERROR(INDEX($L$6:L957,MATCH(H958,$B$6:B957,0))+1,0))))</f>
        <v/>
      </c>
      <c r="K958" s="89" t="n"/>
      <c r="L958" s="126">
        <f>IF(J958="","",J958+MAX(1,G958)+IF(K958="",0,K958)-1)</f>
        <v/>
      </c>
      <c r="M958" s="72" t="n"/>
      <c r="N958" s="109" t="n"/>
      <c r="O958" s="127">
        <f>IF(D958="","",COUNTIF($H$7:$H$1006,B958))</f>
        <v/>
      </c>
      <c r="P958" s="78">
        <f>IF(D958="","",IF(AND(H958&lt;&gt;"",H958&gt;=B958),"⚠️ Predecessor must be above",IF(M958="Done","✓ Done",IF(Q958=3,"🔴 Late",IF(M958="In progress","In progress","")))))</f>
        <v/>
      </c>
      <c r="Q958" s="79">
        <f>IF(OR(D958="",L958=""),"",IF(M958="Done",2,IF(AsOf&gt;L958,3,1)))</f>
        <v/>
      </c>
      <c r="R958" s="79">
        <f>IF(OR(E958="",F958=""),0,IF(COUNTIFS($E$7:E958,E958,$F$7:F958,F958)=1,1,0))</f>
        <v/>
      </c>
      <c r="S958" s="79">
        <f>IF(R958=1,E958&amp;"|"&amp;SUMIFS($R$7:R958,$E$7:E958,E958),"")</f>
        <v/>
      </c>
      <c r="T958" s="112">
        <f>IF(Q958="","",IF(Q958=3,L958,IF(OR(M958="Not started",M958=""),J958,"")))</f>
        <v/>
      </c>
      <c r="U958" s="79">
        <f>IF(T958="","",IF(Q958=3,1,IF(T958="","",IF(T958&lt;AsOf,1,IF(T958&lt;=AsOf+AlertDays,2,IF(T958&lt;=AsOf+2*AlertDays,3,""))))))</f>
        <v/>
      </c>
      <c r="V958" s="79">
        <f>IF(U958="","",IF(Q958=3,"Late task: "&amp;D958,IF(T958&lt;AsOf,"Should have started: ","Starts soon: ")&amp;D958)&amp;IF(F958="",""," — "&amp;F958))</f>
        <v/>
      </c>
    </row>
    <row r="959" ht="20" customHeight="1">
      <c r="B959" s="125" t="n">
        <v>953</v>
      </c>
      <c r="C959" s="72" t="n"/>
      <c r="D959" s="72" t="n"/>
      <c r="E959" s="72" t="n"/>
      <c r="F959" s="72" t="n"/>
      <c r="G959" s="89" t="n"/>
      <c r="H959" s="89" t="n"/>
      <c r="I959" s="109" t="n"/>
      <c r="J959" s="126">
        <f>IF(OR(D959="",ProjStart=""),"",MAX(ProjStart,IF(I959&lt;&gt;"",I959,0),IF(H959="",0,IFERROR(INDEX($L$6:L958,MATCH(H959,$B$6:B958,0))+1,0))))</f>
        <v/>
      </c>
      <c r="K959" s="89" t="n"/>
      <c r="L959" s="126">
        <f>IF(J959="","",J959+MAX(1,G959)+IF(K959="",0,K959)-1)</f>
        <v/>
      </c>
      <c r="M959" s="72" t="n"/>
      <c r="N959" s="109" t="n"/>
      <c r="O959" s="127">
        <f>IF(D959="","",COUNTIF($H$7:$H$1006,B959))</f>
        <v/>
      </c>
      <c r="P959" s="78">
        <f>IF(D959="","",IF(AND(H959&lt;&gt;"",H959&gt;=B959),"⚠️ Predecessor must be above",IF(M959="Done","✓ Done",IF(Q959=3,"🔴 Late",IF(M959="In progress","In progress","")))))</f>
        <v/>
      </c>
      <c r="Q959" s="79">
        <f>IF(OR(D959="",L959=""),"",IF(M959="Done",2,IF(AsOf&gt;L959,3,1)))</f>
        <v/>
      </c>
      <c r="R959" s="79">
        <f>IF(OR(E959="",F959=""),0,IF(COUNTIFS($E$7:E959,E959,$F$7:F959,F959)=1,1,0))</f>
        <v/>
      </c>
      <c r="S959" s="79">
        <f>IF(R959=1,E959&amp;"|"&amp;SUMIFS($R$7:R959,$E$7:E959,E959),"")</f>
        <v/>
      </c>
      <c r="T959" s="112">
        <f>IF(Q959="","",IF(Q959=3,L959,IF(OR(M959="Not started",M959=""),J959,"")))</f>
        <v/>
      </c>
      <c r="U959" s="79">
        <f>IF(T959="","",IF(Q959=3,1,IF(T959="","",IF(T959&lt;AsOf,1,IF(T959&lt;=AsOf+AlertDays,2,IF(T959&lt;=AsOf+2*AlertDays,3,""))))))</f>
        <v/>
      </c>
      <c r="V959" s="79">
        <f>IF(U959="","",IF(Q959=3,"Late task: "&amp;D959,IF(T959&lt;AsOf,"Should have started: ","Starts soon: ")&amp;D959)&amp;IF(F959="",""," — "&amp;F959))</f>
        <v/>
      </c>
    </row>
    <row r="960" ht="20" customHeight="1">
      <c r="B960" s="125" t="n">
        <v>954</v>
      </c>
      <c r="C960" s="72" t="n"/>
      <c r="D960" s="72" t="n"/>
      <c r="E960" s="72" t="n"/>
      <c r="F960" s="72" t="n"/>
      <c r="G960" s="89" t="n"/>
      <c r="H960" s="89" t="n"/>
      <c r="I960" s="109" t="n"/>
      <c r="J960" s="126">
        <f>IF(OR(D960="",ProjStart=""),"",MAX(ProjStart,IF(I960&lt;&gt;"",I960,0),IF(H960="",0,IFERROR(INDEX($L$6:L959,MATCH(H960,$B$6:B959,0))+1,0))))</f>
        <v/>
      </c>
      <c r="K960" s="89" t="n"/>
      <c r="L960" s="126">
        <f>IF(J960="","",J960+MAX(1,G960)+IF(K960="",0,K960)-1)</f>
        <v/>
      </c>
      <c r="M960" s="72" t="n"/>
      <c r="N960" s="109" t="n"/>
      <c r="O960" s="127">
        <f>IF(D960="","",COUNTIF($H$7:$H$1006,B960))</f>
        <v/>
      </c>
      <c r="P960" s="78">
        <f>IF(D960="","",IF(AND(H960&lt;&gt;"",H960&gt;=B960),"⚠️ Predecessor must be above",IF(M960="Done","✓ Done",IF(Q960=3,"🔴 Late",IF(M960="In progress","In progress","")))))</f>
        <v/>
      </c>
      <c r="Q960" s="79">
        <f>IF(OR(D960="",L960=""),"",IF(M960="Done",2,IF(AsOf&gt;L960,3,1)))</f>
        <v/>
      </c>
      <c r="R960" s="79">
        <f>IF(OR(E960="",F960=""),0,IF(COUNTIFS($E$7:E960,E960,$F$7:F960,F960)=1,1,0))</f>
        <v/>
      </c>
      <c r="S960" s="79">
        <f>IF(R960=1,E960&amp;"|"&amp;SUMIFS($R$7:R960,$E$7:E960,E960),"")</f>
        <v/>
      </c>
      <c r="T960" s="112">
        <f>IF(Q960="","",IF(Q960=3,L960,IF(OR(M960="Not started",M960=""),J960,"")))</f>
        <v/>
      </c>
      <c r="U960" s="79">
        <f>IF(T960="","",IF(Q960=3,1,IF(T960="","",IF(T960&lt;AsOf,1,IF(T960&lt;=AsOf+AlertDays,2,IF(T960&lt;=AsOf+2*AlertDays,3,""))))))</f>
        <v/>
      </c>
      <c r="V960" s="79">
        <f>IF(U960="","",IF(Q960=3,"Late task: "&amp;D960,IF(T960&lt;AsOf,"Should have started: ","Starts soon: ")&amp;D960)&amp;IF(F960="",""," — "&amp;F960))</f>
        <v/>
      </c>
    </row>
    <row r="961" ht="20" customHeight="1">
      <c r="B961" s="125" t="n">
        <v>955</v>
      </c>
      <c r="C961" s="72" t="n"/>
      <c r="D961" s="72" t="n"/>
      <c r="E961" s="72" t="n"/>
      <c r="F961" s="72" t="n"/>
      <c r="G961" s="89" t="n"/>
      <c r="H961" s="89" t="n"/>
      <c r="I961" s="109" t="n"/>
      <c r="J961" s="126">
        <f>IF(OR(D961="",ProjStart=""),"",MAX(ProjStart,IF(I961&lt;&gt;"",I961,0),IF(H961="",0,IFERROR(INDEX($L$6:L960,MATCH(H961,$B$6:B960,0))+1,0))))</f>
        <v/>
      </c>
      <c r="K961" s="89" t="n"/>
      <c r="L961" s="126">
        <f>IF(J961="","",J961+MAX(1,G961)+IF(K961="",0,K961)-1)</f>
        <v/>
      </c>
      <c r="M961" s="72" t="n"/>
      <c r="N961" s="109" t="n"/>
      <c r="O961" s="127">
        <f>IF(D961="","",COUNTIF($H$7:$H$1006,B961))</f>
        <v/>
      </c>
      <c r="P961" s="78">
        <f>IF(D961="","",IF(AND(H961&lt;&gt;"",H961&gt;=B961),"⚠️ Predecessor must be above",IF(M961="Done","✓ Done",IF(Q961=3,"🔴 Late",IF(M961="In progress","In progress","")))))</f>
        <v/>
      </c>
      <c r="Q961" s="79">
        <f>IF(OR(D961="",L961=""),"",IF(M961="Done",2,IF(AsOf&gt;L961,3,1)))</f>
        <v/>
      </c>
      <c r="R961" s="79">
        <f>IF(OR(E961="",F961=""),0,IF(COUNTIFS($E$7:E961,E961,$F$7:F961,F961)=1,1,0))</f>
        <v/>
      </c>
      <c r="S961" s="79">
        <f>IF(R961=1,E961&amp;"|"&amp;SUMIFS($R$7:R961,$E$7:E961,E961),"")</f>
        <v/>
      </c>
      <c r="T961" s="112">
        <f>IF(Q961="","",IF(Q961=3,L961,IF(OR(M961="Not started",M961=""),J961,"")))</f>
        <v/>
      </c>
      <c r="U961" s="79">
        <f>IF(T961="","",IF(Q961=3,1,IF(T961="","",IF(T961&lt;AsOf,1,IF(T961&lt;=AsOf+AlertDays,2,IF(T961&lt;=AsOf+2*AlertDays,3,""))))))</f>
        <v/>
      </c>
      <c r="V961" s="79">
        <f>IF(U961="","",IF(Q961=3,"Late task: "&amp;D961,IF(T961&lt;AsOf,"Should have started: ","Starts soon: ")&amp;D961)&amp;IF(F961="",""," — "&amp;F961))</f>
        <v/>
      </c>
    </row>
    <row r="962" ht="20" customHeight="1">
      <c r="B962" s="125" t="n">
        <v>956</v>
      </c>
      <c r="C962" s="72" t="n"/>
      <c r="D962" s="72" t="n"/>
      <c r="E962" s="72" t="n"/>
      <c r="F962" s="72" t="n"/>
      <c r="G962" s="89" t="n"/>
      <c r="H962" s="89" t="n"/>
      <c r="I962" s="109" t="n"/>
      <c r="J962" s="126">
        <f>IF(OR(D962="",ProjStart=""),"",MAX(ProjStart,IF(I962&lt;&gt;"",I962,0),IF(H962="",0,IFERROR(INDEX($L$6:L961,MATCH(H962,$B$6:B961,0))+1,0))))</f>
        <v/>
      </c>
      <c r="K962" s="89" t="n"/>
      <c r="L962" s="126">
        <f>IF(J962="","",J962+MAX(1,G962)+IF(K962="",0,K962)-1)</f>
        <v/>
      </c>
      <c r="M962" s="72" t="n"/>
      <c r="N962" s="109" t="n"/>
      <c r="O962" s="127">
        <f>IF(D962="","",COUNTIF($H$7:$H$1006,B962))</f>
        <v/>
      </c>
      <c r="P962" s="78">
        <f>IF(D962="","",IF(AND(H962&lt;&gt;"",H962&gt;=B962),"⚠️ Predecessor must be above",IF(M962="Done","✓ Done",IF(Q962=3,"🔴 Late",IF(M962="In progress","In progress","")))))</f>
        <v/>
      </c>
      <c r="Q962" s="79">
        <f>IF(OR(D962="",L962=""),"",IF(M962="Done",2,IF(AsOf&gt;L962,3,1)))</f>
        <v/>
      </c>
      <c r="R962" s="79">
        <f>IF(OR(E962="",F962=""),0,IF(COUNTIFS($E$7:E962,E962,$F$7:F962,F962)=1,1,0))</f>
        <v/>
      </c>
      <c r="S962" s="79">
        <f>IF(R962=1,E962&amp;"|"&amp;SUMIFS($R$7:R962,$E$7:E962,E962),"")</f>
        <v/>
      </c>
      <c r="T962" s="112">
        <f>IF(Q962="","",IF(Q962=3,L962,IF(OR(M962="Not started",M962=""),J962,"")))</f>
        <v/>
      </c>
      <c r="U962" s="79">
        <f>IF(T962="","",IF(Q962=3,1,IF(T962="","",IF(T962&lt;AsOf,1,IF(T962&lt;=AsOf+AlertDays,2,IF(T962&lt;=AsOf+2*AlertDays,3,""))))))</f>
        <v/>
      </c>
      <c r="V962" s="79">
        <f>IF(U962="","",IF(Q962=3,"Late task: "&amp;D962,IF(T962&lt;AsOf,"Should have started: ","Starts soon: ")&amp;D962)&amp;IF(F962="",""," — "&amp;F962))</f>
        <v/>
      </c>
    </row>
    <row r="963" ht="20" customHeight="1">
      <c r="B963" s="125" t="n">
        <v>957</v>
      </c>
      <c r="C963" s="72" t="n"/>
      <c r="D963" s="72" t="n"/>
      <c r="E963" s="72" t="n"/>
      <c r="F963" s="72" t="n"/>
      <c r="G963" s="89" t="n"/>
      <c r="H963" s="89" t="n"/>
      <c r="I963" s="109" t="n"/>
      <c r="J963" s="126">
        <f>IF(OR(D963="",ProjStart=""),"",MAX(ProjStart,IF(I963&lt;&gt;"",I963,0),IF(H963="",0,IFERROR(INDEX($L$6:L962,MATCH(H963,$B$6:B962,0))+1,0))))</f>
        <v/>
      </c>
      <c r="K963" s="89" t="n"/>
      <c r="L963" s="126">
        <f>IF(J963="","",J963+MAX(1,G963)+IF(K963="",0,K963)-1)</f>
        <v/>
      </c>
      <c r="M963" s="72" t="n"/>
      <c r="N963" s="109" t="n"/>
      <c r="O963" s="127">
        <f>IF(D963="","",COUNTIF($H$7:$H$1006,B963))</f>
        <v/>
      </c>
      <c r="P963" s="78">
        <f>IF(D963="","",IF(AND(H963&lt;&gt;"",H963&gt;=B963),"⚠️ Predecessor must be above",IF(M963="Done","✓ Done",IF(Q963=3,"🔴 Late",IF(M963="In progress","In progress","")))))</f>
        <v/>
      </c>
      <c r="Q963" s="79">
        <f>IF(OR(D963="",L963=""),"",IF(M963="Done",2,IF(AsOf&gt;L963,3,1)))</f>
        <v/>
      </c>
      <c r="R963" s="79">
        <f>IF(OR(E963="",F963=""),0,IF(COUNTIFS($E$7:E963,E963,$F$7:F963,F963)=1,1,0))</f>
        <v/>
      </c>
      <c r="S963" s="79">
        <f>IF(R963=1,E963&amp;"|"&amp;SUMIFS($R$7:R963,$E$7:E963,E963),"")</f>
        <v/>
      </c>
      <c r="T963" s="112">
        <f>IF(Q963="","",IF(Q963=3,L963,IF(OR(M963="Not started",M963=""),J963,"")))</f>
        <v/>
      </c>
      <c r="U963" s="79">
        <f>IF(T963="","",IF(Q963=3,1,IF(T963="","",IF(T963&lt;AsOf,1,IF(T963&lt;=AsOf+AlertDays,2,IF(T963&lt;=AsOf+2*AlertDays,3,""))))))</f>
        <v/>
      </c>
      <c r="V963" s="79">
        <f>IF(U963="","",IF(Q963=3,"Late task: "&amp;D963,IF(T963&lt;AsOf,"Should have started: ","Starts soon: ")&amp;D963)&amp;IF(F963="",""," — "&amp;F963))</f>
        <v/>
      </c>
    </row>
    <row r="964" ht="20" customHeight="1">
      <c r="B964" s="125" t="n">
        <v>958</v>
      </c>
      <c r="C964" s="72" t="n"/>
      <c r="D964" s="72" t="n"/>
      <c r="E964" s="72" t="n"/>
      <c r="F964" s="72" t="n"/>
      <c r="G964" s="89" t="n"/>
      <c r="H964" s="89" t="n"/>
      <c r="I964" s="109" t="n"/>
      <c r="J964" s="126">
        <f>IF(OR(D964="",ProjStart=""),"",MAX(ProjStart,IF(I964&lt;&gt;"",I964,0),IF(H964="",0,IFERROR(INDEX($L$6:L963,MATCH(H964,$B$6:B963,0))+1,0))))</f>
        <v/>
      </c>
      <c r="K964" s="89" t="n"/>
      <c r="L964" s="126">
        <f>IF(J964="","",J964+MAX(1,G964)+IF(K964="",0,K964)-1)</f>
        <v/>
      </c>
      <c r="M964" s="72" t="n"/>
      <c r="N964" s="109" t="n"/>
      <c r="O964" s="127">
        <f>IF(D964="","",COUNTIF($H$7:$H$1006,B964))</f>
        <v/>
      </c>
      <c r="P964" s="78">
        <f>IF(D964="","",IF(AND(H964&lt;&gt;"",H964&gt;=B964),"⚠️ Predecessor must be above",IF(M964="Done","✓ Done",IF(Q964=3,"🔴 Late",IF(M964="In progress","In progress","")))))</f>
        <v/>
      </c>
      <c r="Q964" s="79">
        <f>IF(OR(D964="",L964=""),"",IF(M964="Done",2,IF(AsOf&gt;L964,3,1)))</f>
        <v/>
      </c>
      <c r="R964" s="79">
        <f>IF(OR(E964="",F964=""),0,IF(COUNTIFS($E$7:E964,E964,$F$7:F964,F964)=1,1,0))</f>
        <v/>
      </c>
      <c r="S964" s="79">
        <f>IF(R964=1,E964&amp;"|"&amp;SUMIFS($R$7:R964,$E$7:E964,E964),"")</f>
        <v/>
      </c>
      <c r="T964" s="112">
        <f>IF(Q964="","",IF(Q964=3,L964,IF(OR(M964="Not started",M964=""),J964,"")))</f>
        <v/>
      </c>
      <c r="U964" s="79">
        <f>IF(T964="","",IF(Q964=3,1,IF(T964="","",IF(T964&lt;AsOf,1,IF(T964&lt;=AsOf+AlertDays,2,IF(T964&lt;=AsOf+2*AlertDays,3,""))))))</f>
        <v/>
      </c>
      <c r="V964" s="79">
        <f>IF(U964="","",IF(Q964=3,"Late task: "&amp;D964,IF(T964&lt;AsOf,"Should have started: ","Starts soon: ")&amp;D964)&amp;IF(F964="",""," — "&amp;F964))</f>
        <v/>
      </c>
    </row>
    <row r="965" ht="20" customHeight="1">
      <c r="B965" s="125" t="n">
        <v>959</v>
      </c>
      <c r="C965" s="72" t="n"/>
      <c r="D965" s="72" t="n"/>
      <c r="E965" s="72" t="n"/>
      <c r="F965" s="72" t="n"/>
      <c r="G965" s="89" t="n"/>
      <c r="H965" s="89" t="n"/>
      <c r="I965" s="109" t="n"/>
      <c r="J965" s="126">
        <f>IF(OR(D965="",ProjStart=""),"",MAX(ProjStart,IF(I965&lt;&gt;"",I965,0),IF(H965="",0,IFERROR(INDEX($L$6:L964,MATCH(H965,$B$6:B964,0))+1,0))))</f>
        <v/>
      </c>
      <c r="K965" s="89" t="n"/>
      <c r="L965" s="126">
        <f>IF(J965="","",J965+MAX(1,G965)+IF(K965="",0,K965)-1)</f>
        <v/>
      </c>
      <c r="M965" s="72" t="n"/>
      <c r="N965" s="109" t="n"/>
      <c r="O965" s="127">
        <f>IF(D965="","",COUNTIF($H$7:$H$1006,B965))</f>
        <v/>
      </c>
      <c r="P965" s="78">
        <f>IF(D965="","",IF(AND(H965&lt;&gt;"",H965&gt;=B965),"⚠️ Predecessor must be above",IF(M965="Done","✓ Done",IF(Q965=3,"🔴 Late",IF(M965="In progress","In progress","")))))</f>
        <v/>
      </c>
      <c r="Q965" s="79">
        <f>IF(OR(D965="",L965=""),"",IF(M965="Done",2,IF(AsOf&gt;L965,3,1)))</f>
        <v/>
      </c>
      <c r="R965" s="79">
        <f>IF(OR(E965="",F965=""),0,IF(COUNTIFS($E$7:E965,E965,$F$7:F965,F965)=1,1,0))</f>
        <v/>
      </c>
      <c r="S965" s="79">
        <f>IF(R965=1,E965&amp;"|"&amp;SUMIFS($R$7:R965,$E$7:E965,E965),"")</f>
        <v/>
      </c>
      <c r="T965" s="112">
        <f>IF(Q965="","",IF(Q965=3,L965,IF(OR(M965="Not started",M965=""),J965,"")))</f>
        <v/>
      </c>
      <c r="U965" s="79">
        <f>IF(T965="","",IF(Q965=3,1,IF(T965="","",IF(T965&lt;AsOf,1,IF(T965&lt;=AsOf+AlertDays,2,IF(T965&lt;=AsOf+2*AlertDays,3,""))))))</f>
        <v/>
      </c>
      <c r="V965" s="79">
        <f>IF(U965="","",IF(Q965=3,"Late task: "&amp;D965,IF(T965&lt;AsOf,"Should have started: ","Starts soon: ")&amp;D965)&amp;IF(F965="",""," — "&amp;F965))</f>
        <v/>
      </c>
    </row>
    <row r="966" ht="20" customHeight="1">
      <c r="B966" s="125" t="n">
        <v>960</v>
      </c>
      <c r="C966" s="72" t="n"/>
      <c r="D966" s="72" t="n"/>
      <c r="E966" s="72" t="n"/>
      <c r="F966" s="72" t="n"/>
      <c r="G966" s="89" t="n"/>
      <c r="H966" s="89" t="n"/>
      <c r="I966" s="109" t="n"/>
      <c r="J966" s="126">
        <f>IF(OR(D966="",ProjStart=""),"",MAX(ProjStart,IF(I966&lt;&gt;"",I966,0),IF(H966="",0,IFERROR(INDEX($L$6:L965,MATCH(H966,$B$6:B965,0))+1,0))))</f>
        <v/>
      </c>
      <c r="K966" s="89" t="n"/>
      <c r="L966" s="126">
        <f>IF(J966="","",J966+MAX(1,G966)+IF(K966="",0,K966)-1)</f>
        <v/>
      </c>
      <c r="M966" s="72" t="n"/>
      <c r="N966" s="109" t="n"/>
      <c r="O966" s="127">
        <f>IF(D966="","",COUNTIF($H$7:$H$1006,B966))</f>
        <v/>
      </c>
      <c r="P966" s="78">
        <f>IF(D966="","",IF(AND(H966&lt;&gt;"",H966&gt;=B966),"⚠️ Predecessor must be above",IF(M966="Done","✓ Done",IF(Q966=3,"🔴 Late",IF(M966="In progress","In progress","")))))</f>
        <v/>
      </c>
      <c r="Q966" s="79">
        <f>IF(OR(D966="",L966=""),"",IF(M966="Done",2,IF(AsOf&gt;L966,3,1)))</f>
        <v/>
      </c>
      <c r="R966" s="79">
        <f>IF(OR(E966="",F966=""),0,IF(COUNTIFS($E$7:E966,E966,$F$7:F966,F966)=1,1,0))</f>
        <v/>
      </c>
      <c r="S966" s="79">
        <f>IF(R966=1,E966&amp;"|"&amp;SUMIFS($R$7:R966,$E$7:E966,E966),"")</f>
        <v/>
      </c>
      <c r="T966" s="112">
        <f>IF(Q966="","",IF(Q966=3,L966,IF(OR(M966="Not started",M966=""),J966,"")))</f>
        <v/>
      </c>
      <c r="U966" s="79">
        <f>IF(T966="","",IF(Q966=3,1,IF(T966="","",IF(T966&lt;AsOf,1,IF(T966&lt;=AsOf+AlertDays,2,IF(T966&lt;=AsOf+2*AlertDays,3,""))))))</f>
        <v/>
      </c>
      <c r="V966" s="79">
        <f>IF(U966="","",IF(Q966=3,"Late task: "&amp;D966,IF(T966&lt;AsOf,"Should have started: ","Starts soon: ")&amp;D966)&amp;IF(F966="",""," — "&amp;F966))</f>
        <v/>
      </c>
    </row>
    <row r="967" ht="20" customHeight="1">
      <c r="B967" s="125" t="n">
        <v>961</v>
      </c>
      <c r="C967" s="72" t="n"/>
      <c r="D967" s="72" t="n"/>
      <c r="E967" s="72" t="n"/>
      <c r="F967" s="72" t="n"/>
      <c r="G967" s="89" t="n"/>
      <c r="H967" s="89" t="n"/>
      <c r="I967" s="109" t="n"/>
      <c r="J967" s="126">
        <f>IF(OR(D967="",ProjStart=""),"",MAX(ProjStart,IF(I967&lt;&gt;"",I967,0),IF(H967="",0,IFERROR(INDEX($L$6:L966,MATCH(H967,$B$6:B966,0))+1,0))))</f>
        <v/>
      </c>
      <c r="K967" s="89" t="n"/>
      <c r="L967" s="126">
        <f>IF(J967="","",J967+MAX(1,G967)+IF(K967="",0,K967)-1)</f>
        <v/>
      </c>
      <c r="M967" s="72" t="n"/>
      <c r="N967" s="109" t="n"/>
      <c r="O967" s="127">
        <f>IF(D967="","",COUNTIF($H$7:$H$1006,B967))</f>
        <v/>
      </c>
      <c r="P967" s="78">
        <f>IF(D967="","",IF(AND(H967&lt;&gt;"",H967&gt;=B967),"⚠️ Predecessor must be above",IF(M967="Done","✓ Done",IF(Q967=3,"🔴 Late",IF(M967="In progress","In progress","")))))</f>
        <v/>
      </c>
      <c r="Q967" s="79">
        <f>IF(OR(D967="",L967=""),"",IF(M967="Done",2,IF(AsOf&gt;L967,3,1)))</f>
        <v/>
      </c>
      <c r="R967" s="79">
        <f>IF(OR(E967="",F967=""),0,IF(COUNTIFS($E$7:E967,E967,$F$7:F967,F967)=1,1,0))</f>
        <v/>
      </c>
      <c r="S967" s="79">
        <f>IF(R967=1,E967&amp;"|"&amp;SUMIFS($R$7:R967,$E$7:E967,E967),"")</f>
        <v/>
      </c>
      <c r="T967" s="112">
        <f>IF(Q967="","",IF(Q967=3,L967,IF(OR(M967="Not started",M967=""),J967,"")))</f>
        <v/>
      </c>
      <c r="U967" s="79">
        <f>IF(T967="","",IF(Q967=3,1,IF(T967="","",IF(T967&lt;AsOf,1,IF(T967&lt;=AsOf+AlertDays,2,IF(T967&lt;=AsOf+2*AlertDays,3,""))))))</f>
        <v/>
      </c>
      <c r="V967" s="79">
        <f>IF(U967="","",IF(Q967=3,"Late task: "&amp;D967,IF(T967&lt;AsOf,"Should have started: ","Starts soon: ")&amp;D967)&amp;IF(F967="",""," — "&amp;F967))</f>
        <v/>
      </c>
    </row>
    <row r="968" ht="20" customHeight="1">
      <c r="B968" s="125" t="n">
        <v>962</v>
      </c>
      <c r="C968" s="72" t="n"/>
      <c r="D968" s="72" t="n"/>
      <c r="E968" s="72" t="n"/>
      <c r="F968" s="72" t="n"/>
      <c r="G968" s="89" t="n"/>
      <c r="H968" s="89" t="n"/>
      <c r="I968" s="109" t="n"/>
      <c r="J968" s="126">
        <f>IF(OR(D968="",ProjStart=""),"",MAX(ProjStart,IF(I968&lt;&gt;"",I968,0),IF(H968="",0,IFERROR(INDEX($L$6:L967,MATCH(H968,$B$6:B967,0))+1,0))))</f>
        <v/>
      </c>
      <c r="K968" s="89" t="n"/>
      <c r="L968" s="126">
        <f>IF(J968="","",J968+MAX(1,G968)+IF(K968="",0,K968)-1)</f>
        <v/>
      </c>
      <c r="M968" s="72" t="n"/>
      <c r="N968" s="109" t="n"/>
      <c r="O968" s="127">
        <f>IF(D968="","",COUNTIF($H$7:$H$1006,B968))</f>
        <v/>
      </c>
      <c r="P968" s="78">
        <f>IF(D968="","",IF(AND(H968&lt;&gt;"",H968&gt;=B968),"⚠️ Predecessor must be above",IF(M968="Done","✓ Done",IF(Q968=3,"🔴 Late",IF(M968="In progress","In progress","")))))</f>
        <v/>
      </c>
      <c r="Q968" s="79">
        <f>IF(OR(D968="",L968=""),"",IF(M968="Done",2,IF(AsOf&gt;L968,3,1)))</f>
        <v/>
      </c>
      <c r="R968" s="79">
        <f>IF(OR(E968="",F968=""),0,IF(COUNTIFS($E$7:E968,E968,$F$7:F968,F968)=1,1,0))</f>
        <v/>
      </c>
      <c r="S968" s="79">
        <f>IF(R968=1,E968&amp;"|"&amp;SUMIFS($R$7:R968,$E$7:E968,E968),"")</f>
        <v/>
      </c>
      <c r="T968" s="112">
        <f>IF(Q968="","",IF(Q968=3,L968,IF(OR(M968="Not started",M968=""),J968,"")))</f>
        <v/>
      </c>
      <c r="U968" s="79">
        <f>IF(T968="","",IF(Q968=3,1,IF(T968="","",IF(T968&lt;AsOf,1,IF(T968&lt;=AsOf+AlertDays,2,IF(T968&lt;=AsOf+2*AlertDays,3,""))))))</f>
        <v/>
      </c>
      <c r="V968" s="79">
        <f>IF(U968="","",IF(Q968=3,"Late task: "&amp;D968,IF(T968&lt;AsOf,"Should have started: ","Starts soon: ")&amp;D968)&amp;IF(F968="",""," — "&amp;F968))</f>
        <v/>
      </c>
    </row>
    <row r="969" ht="20" customHeight="1">
      <c r="B969" s="125" t="n">
        <v>963</v>
      </c>
      <c r="C969" s="72" t="n"/>
      <c r="D969" s="72" t="n"/>
      <c r="E969" s="72" t="n"/>
      <c r="F969" s="72" t="n"/>
      <c r="G969" s="89" t="n"/>
      <c r="H969" s="89" t="n"/>
      <c r="I969" s="109" t="n"/>
      <c r="J969" s="126">
        <f>IF(OR(D969="",ProjStart=""),"",MAX(ProjStart,IF(I969&lt;&gt;"",I969,0),IF(H969="",0,IFERROR(INDEX($L$6:L968,MATCH(H969,$B$6:B968,0))+1,0))))</f>
        <v/>
      </c>
      <c r="K969" s="89" t="n"/>
      <c r="L969" s="126">
        <f>IF(J969="","",J969+MAX(1,G969)+IF(K969="",0,K969)-1)</f>
        <v/>
      </c>
      <c r="M969" s="72" t="n"/>
      <c r="N969" s="109" t="n"/>
      <c r="O969" s="127">
        <f>IF(D969="","",COUNTIF($H$7:$H$1006,B969))</f>
        <v/>
      </c>
      <c r="P969" s="78">
        <f>IF(D969="","",IF(AND(H969&lt;&gt;"",H969&gt;=B969),"⚠️ Predecessor must be above",IF(M969="Done","✓ Done",IF(Q969=3,"🔴 Late",IF(M969="In progress","In progress","")))))</f>
        <v/>
      </c>
      <c r="Q969" s="79">
        <f>IF(OR(D969="",L969=""),"",IF(M969="Done",2,IF(AsOf&gt;L969,3,1)))</f>
        <v/>
      </c>
      <c r="R969" s="79">
        <f>IF(OR(E969="",F969=""),0,IF(COUNTIFS($E$7:E969,E969,$F$7:F969,F969)=1,1,0))</f>
        <v/>
      </c>
      <c r="S969" s="79">
        <f>IF(R969=1,E969&amp;"|"&amp;SUMIFS($R$7:R969,$E$7:E969,E969),"")</f>
        <v/>
      </c>
      <c r="T969" s="112">
        <f>IF(Q969="","",IF(Q969=3,L969,IF(OR(M969="Not started",M969=""),J969,"")))</f>
        <v/>
      </c>
      <c r="U969" s="79">
        <f>IF(T969="","",IF(Q969=3,1,IF(T969="","",IF(T969&lt;AsOf,1,IF(T969&lt;=AsOf+AlertDays,2,IF(T969&lt;=AsOf+2*AlertDays,3,""))))))</f>
        <v/>
      </c>
      <c r="V969" s="79">
        <f>IF(U969="","",IF(Q969=3,"Late task: "&amp;D969,IF(T969&lt;AsOf,"Should have started: ","Starts soon: ")&amp;D969)&amp;IF(F969="",""," — "&amp;F969))</f>
        <v/>
      </c>
    </row>
    <row r="970" ht="20" customHeight="1">
      <c r="B970" s="125" t="n">
        <v>964</v>
      </c>
      <c r="C970" s="72" t="n"/>
      <c r="D970" s="72" t="n"/>
      <c r="E970" s="72" t="n"/>
      <c r="F970" s="72" t="n"/>
      <c r="G970" s="89" t="n"/>
      <c r="H970" s="89" t="n"/>
      <c r="I970" s="109" t="n"/>
      <c r="J970" s="126">
        <f>IF(OR(D970="",ProjStart=""),"",MAX(ProjStart,IF(I970&lt;&gt;"",I970,0),IF(H970="",0,IFERROR(INDEX($L$6:L969,MATCH(H970,$B$6:B969,0))+1,0))))</f>
        <v/>
      </c>
      <c r="K970" s="89" t="n"/>
      <c r="L970" s="126">
        <f>IF(J970="","",J970+MAX(1,G970)+IF(K970="",0,K970)-1)</f>
        <v/>
      </c>
      <c r="M970" s="72" t="n"/>
      <c r="N970" s="109" t="n"/>
      <c r="O970" s="127">
        <f>IF(D970="","",COUNTIF($H$7:$H$1006,B970))</f>
        <v/>
      </c>
      <c r="P970" s="78">
        <f>IF(D970="","",IF(AND(H970&lt;&gt;"",H970&gt;=B970),"⚠️ Predecessor must be above",IF(M970="Done","✓ Done",IF(Q970=3,"🔴 Late",IF(M970="In progress","In progress","")))))</f>
        <v/>
      </c>
      <c r="Q970" s="79">
        <f>IF(OR(D970="",L970=""),"",IF(M970="Done",2,IF(AsOf&gt;L970,3,1)))</f>
        <v/>
      </c>
      <c r="R970" s="79">
        <f>IF(OR(E970="",F970=""),0,IF(COUNTIFS($E$7:E970,E970,$F$7:F970,F970)=1,1,0))</f>
        <v/>
      </c>
      <c r="S970" s="79">
        <f>IF(R970=1,E970&amp;"|"&amp;SUMIFS($R$7:R970,$E$7:E970,E970),"")</f>
        <v/>
      </c>
      <c r="T970" s="112">
        <f>IF(Q970="","",IF(Q970=3,L970,IF(OR(M970="Not started",M970=""),J970,"")))</f>
        <v/>
      </c>
      <c r="U970" s="79">
        <f>IF(T970="","",IF(Q970=3,1,IF(T970="","",IF(T970&lt;AsOf,1,IF(T970&lt;=AsOf+AlertDays,2,IF(T970&lt;=AsOf+2*AlertDays,3,""))))))</f>
        <v/>
      </c>
      <c r="V970" s="79">
        <f>IF(U970="","",IF(Q970=3,"Late task: "&amp;D970,IF(T970&lt;AsOf,"Should have started: ","Starts soon: ")&amp;D970)&amp;IF(F970="",""," — "&amp;F970))</f>
        <v/>
      </c>
    </row>
    <row r="971" ht="20" customHeight="1">
      <c r="B971" s="125" t="n">
        <v>965</v>
      </c>
      <c r="C971" s="72" t="n"/>
      <c r="D971" s="72" t="n"/>
      <c r="E971" s="72" t="n"/>
      <c r="F971" s="72" t="n"/>
      <c r="G971" s="89" t="n"/>
      <c r="H971" s="89" t="n"/>
      <c r="I971" s="109" t="n"/>
      <c r="J971" s="126">
        <f>IF(OR(D971="",ProjStart=""),"",MAX(ProjStart,IF(I971&lt;&gt;"",I971,0),IF(H971="",0,IFERROR(INDEX($L$6:L970,MATCH(H971,$B$6:B970,0))+1,0))))</f>
        <v/>
      </c>
      <c r="K971" s="89" t="n"/>
      <c r="L971" s="126">
        <f>IF(J971="","",J971+MAX(1,G971)+IF(K971="",0,K971)-1)</f>
        <v/>
      </c>
      <c r="M971" s="72" t="n"/>
      <c r="N971" s="109" t="n"/>
      <c r="O971" s="127">
        <f>IF(D971="","",COUNTIF($H$7:$H$1006,B971))</f>
        <v/>
      </c>
      <c r="P971" s="78">
        <f>IF(D971="","",IF(AND(H971&lt;&gt;"",H971&gt;=B971),"⚠️ Predecessor must be above",IF(M971="Done","✓ Done",IF(Q971=3,"🔴 Late",IF(M971="In progress","In progress","")))))</f>
        <v/>
      </c>
      <c r="Q971" s="79">
        <f>IF(OR(D971="",L971=""),"",IF(M971="Done",2,IF(AsOf&gt;L971,3,1)))</f>
        <v/>
      </c>
      <c r="R971" s="79">
        <f>IF(OR(E971="",F971=""),0,IF(COUNTIFS($E$7:E971,E971,$F$7:F971,F971)=1,1,0))</f>
        <v/>
      </c>
      <c r="S971" s="79">
        <f>IF(R971=1,E971&amp;"|"&amp;SUMIFS($R$7:R971,$E$7:E971,E971),"")</f>
        <v/>
      </c>
      <c r="T971" s="112">
        <f>IF(Q971="","",IF(Q971=3,L971,IF(OR(M971="Not started",M971=""),J971,"")))</f>
        <v/>
      </c>
      <c r="U971" s="79">
        <f>IF(T971="","",IF(Q971=3,1,IF(T971="","",IF(T971&lt;AsOf,1,IF(T971&lt;=AsOf+AlertDays,2,IF(T971&lt;=AsOf+2*AlertDays,3,""))))))</f>
        <v/>
      </c>
      <c r="V971" s="79">
        <f>IF(U971="","",IF(Q971=3,"Late task: "&amp;D971,IF(T971&lt;AsOf,"Should have started: ","Starts soon: ")&amp;D971)&amp;IF(F971="",""," — "&amp;F971))</f>
        <v/>
      </c>
    </row>
    <row r="972" ht="20" customHeight="1">
      <c r="B972" s="125" t="n">
        <v>966</v>
      </c>
      <c r="C972" s="72" t="n"/>
      <c r="D972" s="72" t="n"/>
      <c r="E972" s="72" t="n"/>
      <c r="F972" s="72" t="n"/>
      <c r="G972" s="89" t="n"/>
      <c r="H972" s="89" t="n"/>
      <c r="I972" s="109" t="n"/>
      <c r="J972" s="126">
        <f>IF(OR(D972="",ProjStart=""),"",MAX(ProjStart,IF(I972&lt;&gt;"",I972,0),IF(H972="",0,IFERROR(INDEX($L$6:L971,MATCH(H972,$B$6:B971,0))+1,0))))</f>
        <v/>
      </c>
      <c r="K972" s="89" t="n"/>
      <c r="L972" s="126">
        <f>IF(J972="","",J972+MAX(1,G972)+IF(K972="",0,K972)-1)</f>
        <v/>
      </c>
      <c r="M972" s="72" t="n"/>
      <c r="N972" s="109" t="n"/>
      <c r="O972" s="127">
        <f>IF(D972="","",COUNTIF($H$7:$H$1006,B972))</f>
        <v/>
      </c>
      <c r="P972" s="78">
        <f>IF(D972="","",IF(AND(H972&lt;&gt;"",H972&gt;=B972),"⚠️ Predecessor must be above",IF(M972="Done","✓ Done",IF(Q972=3,"🔴 Late",IF(M972="In progress","In progress","")))))</f>
        <v/>
      </c>
      <c r="Q972" s="79">
        <f>IF(OR(D972="",L972=""),"",IF(M972="Done",2,IF(AsOf&gt;L972,3,1)))</f>
        <v/>
      </c>
      <c r="R972" s="79">
        <f>IF(OR(E972="",F972=""),0,IF(COUNTIFS($E$7:E972,E972,$F$7:F972,F972)=1,1,0))</f>
        <v/>
      </c>
      <c r="S972" s="79">
        <f>IF(R972=1,E972&amp;"|"&amp;SUMIFS($R$7:R972,$E$7:E972,E972),"")</f>
        <v/>
      </c>
      <c r="T972" s="112">
        <f>IF(Q972="","",IF(Q972=3,L972,IF(OR(M972="Not started",M972=""),J972,"")))</f>
        <v/>
      </c>
      <c r="U972" s="79">
        <f>IF(T972="","",IF(Q972=3,1,IF(T972="","",IF(T972&lt;AsOf,1,IF(T972&lt;=AsOf+AlertDays,2,IF(T972&lt;=AsOf+2*AlertDays,3,""))))))</f>
        <v/>
      </c>
      <c r="V972" s="79">
        <f>IF(U972="","",IF(Q972=3,"Late task: "&amp;D972,IF(T972&lt;AsOf,"Should have started: ","Starts soon: ")&amp;D972)&amp;IF(F972="",""," — "&amp;F972))</f>
        <v/>
      </c>
    </row>
    <row r="973" ht="20" customHeight="1">
      <c r="B973" s="125" t="n">
        <v>967</v>
      </c>
      <c r="C973" s="72" t="n"/>
      <c r="D973" s="72" t="n"/>
      <c r="E973" s="72" t="n"/>
      <c r="F973" s="72" t="n"/>
      <c r="G973" s="89" t="n"/>
      <c r="H973" s="89" t="n"/>
      <c r="I973" s="109" t="n"/>
      <c r="J973" s="126">
        <f>IF(OR(D973="",ProjStart=""),"",MAX(ProjStart,IF(I973&lt;&gt;"",I973,0),IF(H973="",0,IFERROR(INDEX($L$6:L972,MATCH(H973,$B$6:B972,0))+1,0))))</f>
        <v/>
      </c>
      <c r="K973" s="89" t="n"/>
      <c r="L973" s="126">
        <f>IF(J973="","",J973+MAX(1,G973)+IF(K973="",0,K973)-1)</f>
        <v/>
      </c>
      <c r="M973" s="72" t="n"/>
      <c r="N973" s="109" t="n"/>
      <c r="O973" s="127">
        <f>IF(D973="","",COUNTIF($H$7:$H$1006,B973))</f>
        <v/>
      </c>
      <c r="P973" s="78">
        <f>IF(D973="","",IF(AND(H973&lt;&gt;"",H973&gt;=B973),"⚠️ Predecessor must be above",IF(M973="Done","✓ Done",IF(Q973=3,"🔴 Late",IF(M973="In progress","In progress","")))))</f>
        <v/>
      </c>
      <c r="Q973" s="79">
        <f>IF(OR(D973="",L973=""),"",IF(M973="Done",2,IF(AsOf&gt;L973,3,1)))</f>
        <v/>
      </c>
      <c r="R973" s="79">
        <f>IF(OR(E973="",F973=""),0,IF(COUNTIFS($E$7:E973,E973,$F$7:F973,F973)=1,1,0))</f>
        <v/>
      </c>
      <c r="S973" s="79">
        <f>IF(R973=1,E973&amp;"|"&amp;SUMIFS($R$7:R973,$E$7:E973,E973),"")</f>
        <v/>
      </c>
      <c r="T973" s="112">
        <f>IF(Q973="","",IF(Q973=3,L973,IF(OR(M973="Not started",M973=""),J973,"")))</f>
        <v/>
      </c>
      <c r="U973" s="79">
        <f>IF(T973="","",IF(Q973=3,1,IF(T973="","",IF(T973&lt;AsOf,1,IF(T973&lt;=AsOf+AlertDays,2,IF(T973&lt;=AsOf+2*AlertDays,3,""))))))</f>
        <v/>
      </c>
      <c r="V973" s="79">
        <f>IF(U973="","",IF(Q973=3,"Late task: "&amp;D973,IF(T973&lt;AsOf,"Should have started: ","Starts soon: ")&amp;D973)&amp;IF(F973="",""," — "&amp;F973))</f>
        <v/>
      </c>
    </row>
    <row r="974" ht="20" customHeight="1">
      <c r="B974" s="125" t="n">
        <v>968</v>
      </c>
      <c r="C974" s="72" t="n"/>
      <c r="D974" s="72" t="n"/>
      <c r="E974" s="72" t="n"/>
      <c r="F974" s="72" t="n"/>
      <c r="G974" s="89" t="n"/>
      <c r="H974" s="89" t="n"/>
      <c r="I974" s="109" t="n"/>
      <c r="J974" s="126">
        <f>IF(OR(D974="",ProjStart=""),"",MAX(ProjStart,IF(I974&lt;&gt;"",I974,0),IF(H974="",0,IFERROR(INDEX($L$6:L973,MATCH(H974,$B$6:B973,0))+1,0))))</f>
        <v/>
      </c>
      <c r="K974" s="89" t="n"/>
      <c r="L974" s="126">
        <f>IF(J974="","",J974+MAX(1,G974)+IF(K974="",0,K974)-1)</f>
        <v/>
      </c>
      <c r="M974" s="72" t="n"/>
      <c r="N974" s="109" t="n"/>
      <c r="O974" s="127">
        <f>IF(D974="","",COUNTIF($H$7:$H$1006,B974))</f>
        <v/>
      </c>
      <c r="P974" s="78">
        <f>IF(D974="","",IF(AND(H974&lt;&gt;"",H974&gt;=B974),"⚠️ Predecessor must be above",IF(M974="Done","✓ Done",IF(Q974=3,"🔴 Late",IF(M974="In progress","In progress","")))))</f>
        <v/>
      </c>
      <c r="Q974" s="79">
        <f>IF(OR(D974="",L974=""),"",IF(M974="Done",2,IF(AsOf&gt;L974,3,1)))</f>
        <v/>
      </c>
      <c r="R974" s="79">
        <f>IF(OR(E974="",F974=""),0,IF(COUNTIFS($E$7:E974,E974,$F$7:F974,F974)=1,1,0))</f>
        <v/>
      </c>
      <c r="S974" s="79">
        <f>IF(R974=1,E974&amp;"|"&amp;SUMIFS($R$7:R974,$E$7:E974,E974),"")</f>
        <v/>
      </c>
      <c r="T974" s="112">
        <f>IF(Q974="","",IF(Q974=3,L974,IF(OR(M974="Not started",M974=""),J974,"")))</f>
        <v/>
      </c>
      <c r="U974" s="79">
        <f>IF(T974="","",IF(Q974=3,1,IF(T974="","",IF(T974&lt;AsOf,1,IF(T974&lt;=AsOf+AlertDays,2,IF(T974&lt;=AsOf+2*AlertDays,3,""))))))</f>
        <v/>
      </c>
      <c r="V974" s="79">
        <f>IF(U974="","",IF(Q974=3,"Late task: "&amp;D974,IF(T974&lt;AsOf,"Should have started: ","Starts soon: ")&amp;D974)&amp;IF(F974="",""," — "&amp;F974))</f>
        <v/>
      </c>
    </row>
    <row r="975" ht="20" customHeight="1">
      <c r="B975" s="125" t="n">
        <v>969</v>
      </c>
      <c r="C975" s="72" t="n"/>
      <c r="D975" s="72" t="n"/>
      <c r="E975" s="72" t="n"/>
      <c r="F975" s="72" t="n"/>
      <c r="G975" s="89" t="n"/>
      <c r="H975" s="89" t="n"/>
      <c r="I975" s="109" t="n"/>
      <c r="J975" s="126">
        <f>IF(OR(D975="",ProjStart=""),"",MAX(ProjStart,IF(I975&lt;&gt;"",I975,0),IF(H975="",0,IFERROR(INDEX($L$6:L974,MATCH(H975,$B$6:B974,0))+1,0))))</f>
        <v/>
      </c>
      <c r="K975" s="89" t="n"/>
      <c r="L975" s="126">
        <f>IF(J975="","",J975+MAX(1,G975)+IF(K975="",0,K975)-1)</f>
        <v/>
      </c>
      <c r="M975" s="72" t="n"/>
      <c r="N975" s="109" t="n"/>
      <c r="O975" s="127">
        <f>IF(D975="","",COUNTIF($H$7:$H$1006,B975))</f>
        <v/>
      </c>
      <c r="P975" s="78">
        <f>IF(D975="","",IF(AND(H975&lt;&gt;"",H975&gt;=B975),"⚠️ Predecessor must be above",IF(M975="Done","✓ Done",IF(Q975=3,"🔴 Late",IF(M975="In progress","In progress","")))))</f>
        <v/>
      </c>
      <c r="Q975" s="79">
        <f>IF(OR(D975="",L975=""),"",IF(M975="Done",2,IF(AsOf&gt;L975,3,1)))</f>
        <v/>
      </c>
      <c r="R975" s="79">
        <f>IF(OR(E975="",F975=""),0,IF(COUNTIFS($E$7:E975,E975,$F$7:F975,F975)=1,1,0))</f>
        <v/>
      </c>
      <c r="S975" s="79">
        <f>IF(R975=1,E975&amp;"|"&amp;SUMIFS($R$7:R975,$E$7:E975,E975),"")</f>
        <v/>
      </c>
      <c r="T975" s="112">
        <f>IF(Q975="","",IF(Q975=3,L975,IF(OR(M975="Not started",M975=""),J975,"")))</f>
        <v/>
      </c>
      <c r="U975" s="79">
        <f>IF(T975="","",IF(Q975=3,1,IF(T975="","",IF(T975&lt;AsOf,1,IF(T975&lt;=AsOf+AlertDays,2,IF(T975&lt;=AsOf+2*AlertDays,3,""))))))</f>
        <v/>
      </c>
      <c r="V975" s="79">
        <f>IF(U975="","",IF(Q975=3,"Late task: "&amp;D975,IF(T975&lt;AsOf,"Should have started: ","Starts soon: ")&amp;D975)&amp;IF(F975="",""," — "&amp;F975))</f>
        <v/>
      </c>
    </row>
    <row r="976" ht="20" customHeight="1">
      <c r="B976" s="125" t="n">
        <v>970</v>
      </c>
      <c r="C976" s="72" t="n"/>
      <c r="D976" s="72" t="n"/>
      <c r="E976" s="72" t="n"/>
      <c r="F976" s="72" t="n"/>
      <c r="G976" s="89" t="n"/>
      <c r="H976" s="89" t="n"/>
      <c r="I976" s="109" t="n"/>
      <c r="J976" s="126">
        <f>IF(OR(D976="",ProjStart=""),"",MAX(ProjStart,IF(I976&lt;&gt;"",I976,0),IF(H976="",0,IFERROR(INDEX($L$6:L975,MATCH(H976,$B$6:B975,0))+1,0))))</f>
        <v/>
      </c>
      <c r="K976" s="89" t="n"/>
      <c r="L976" s="126">
        <f>IF(J976="","",J976+MAX(1,G976)+IF(K976="",0,K976)-1)</f>
        <v/>
      </c>
      <c r="M976" s="72" t="n"/>
      <c r="N976" s="109" t="n"/>
      <c r="O976" s="127">
        <f>IF(D976="","",COUNTIF($H$7:$H$1006,B976))</f>
        <v/>
      </c>
      <c r="P976" s="78">
        <f>IF(D976="","",IF(AND(H976&lt;&gt;"",H976&gt;=B976),"⚠️ Predecessor must be above",IF(M976="Done","✓ Done",IF(Q976=3,"🔴 Late",IF(M976="In progress","In progress","")))))</f>
        <v/>
      </c>
      <c r="Q976" s="79">
        <f>IF(OR(D976="",L976=""),"",IF(M976="Done",2,IF(AsOf&gt;L976,3,1)))</f>
        <v/>
      </c>
      <c r="R976" s="79">
        <f>IF(OR(E976="",F976=""),0,IF(COUNTIFS($E$7:E976,E976,$F$7:F976,F976)=1,1,0))</f>
        <v/>
      </c>
      <c r="S976" s="79">
        <f>IF(R976=1,E976&amp;"|"&amp;SUMIFS($R$7:R976,$E$7:E976,E976),"")</f>
        <v/>
      </c>
      <c r="T976" s="112">
        <f>IF(Q976="","",IF(Q976=3,L976,IF(OR(M976="Not started",M976=""),J976,"")))</f>
        <v/>
      </c>
      <c r="U976" s="79">
        <f>IF(T976="","",IF(Q976=3,1,IF(T976="","",IF(T976&lt;AsOf,1,IF(T976&lt;=AsOf+AlertDays,2,IF(T976&lt;=AsOf+2*AlertDays,3,""))))))</f>
        <v/>
      </c>
      <c r="V976" s="79">
        <f>IF(U976="","",IF(Q976=3,"Late task: "&amp;D976,IF(T976&lt;AsOf,"Should have started: ","Starts soon: ")&amp;D976)&amp;IF(F976="",""," — "&amp;F976))</f>
        <v/>
      </c>
    </row>
    <row r="977" ht="20" customHeight="1">
      <c r="B977" s="125" t="n">
        <v>971</v>
      </c>
      <c r="C977" s="72" t="n"/>
      <c r="D977" s="72" t="n"/>
      <c r="E977" s="72" t="n"/>
      <c r="F977" s="72" t="n"/>
      <c r="G977" s="89" t="n"/>
      <c r="H977" s="89" t="n"/>
      <c r="I977" s="109" t="n"/>
      <c r="J977" s="126">
        <f>IF(OR(D977="",ProjStart=""),"",MAX(ProjStart,IF(I977&lt;&gt;"",I977,0),IF(H977="",0,IFERROR(INDEX($L$6:L976,MATCH(H977,$B$6:B976,0))+1,0))))</f>
        <v/>
      </c>
      <c r="K977" s="89" t="n"/>
      <c r="L977" s="126">
        <f>IF(J977="","",J977+MAX(1,G977)+IF(K977="",0,K977)-1)</f>
        <v/>
      </c>
      <c r="M977" s="72" t="n"/>
      <c r="N977" s="109" t="n"/>
      <c r="O977" s="127">
        <f>IF(D977="","",COUNTIF($H$7:$H$1006,B977))</f>
        <v/>
      </c>
      <c r="P977" s="78">
        <f>IF(D977="","",IF(AND(H977&lt;&gt;"",H977&gt;=B977),"⚠️ Predecessor must be above",IF(M977="Done","✓ Done",IF(Q977=3,"🔴 Late",IF(M977="In progress","In progress","")))))</f>
        <v/>
      </c>
      <c r="Q977" s="79">
        <f>IF(OR(D977="",L977=""),"",IF(M977="Done",2,IF(AsOf&gt;L977,3,1)))</f>
        <v/>
      </c>
      <c r="R977" s="79">
        <f>IF(OR(E977="",F977=""),0,IF(COUNTIFS($E$7:E977,E977,$F$7:F977,F977)=1,1,0))</f>
        <v/>
      </c>
      <c r="S977" s="79">
        <f>IF(R977=1,E977&amp;"|"&amp;SUMIFS($R$7:R977,$E$7:E977,E977),"")</f>
        <v/>
      </c>
      <c r="T977" s="112">
        <f>IF(Q977="","",IF(Q977=3,L977,IF(OR(M977="Not started",M977=""),J977,"")))</f>
        <v/>
      </c>
      <c r="U977" s="79">
        <f>IF(T977="","",IF(Q977=3,1,IF(T977="","",IF(T977&lt;AsOf,1,IF(T977&lt;=AsOf+AlertDays,2,IF(T977&lt;=AsOf+2*AlertDays,3,""))))))</f>
        <v/>
      </c>
      <c r="V977" s="79">
        <f>IF(U977="","",IF(Q977=3,"Late task: "&amp;D977,IF(T977&lt;AsOf,"Should have started: ","Starts soon: ")&amp;D977)&amp;IF(F977="",""," — "&amp;F977))</f>
        <v/>
      </c>
    </row>
    <row r="978" ht="20" customHeight="1">
      <c r="B978" s="125" t="n">
        <v>972</v>
      </c>
      <c r="C978" s="72" t="n"/>
      <c r="D978" s="72" t="n"/>
      <c r="E978" s="72" t="n"/>
      <c r="F978" s="72" t="n"/>
      <c r="G978" s="89" t="n"/>
      <c r="H978" s="89" t="n"/>
      <c r="I978" s="109" t="n"/>
      <c r="J978" s="126">
        <f>IF(OR(D978="",ProjStart=""),"",MAX(ProjStart,IF(I978&lt;&gt;"",I978,0),IF(H978="",0,IFERROR(INDEX($L$6:L977,MATCH(H978,$B$6:B977,0))+1,0))))</f>
        <v/>
      </c>
      <c r="K978" s="89" t="n"/>
      <c r="L978" s="126">
        <f>IF(J978="","",J978+MAX(1,G978)+IF(K978="",0,K978)-1)</f>
        <v/>
      </c>
      <c r="M978" s="72" t="n"/>
      <c r="N978" s="109" t="n"/>
      <c r="O978" s="127">
        <f>IF(D978="","",COUNTIF($H$7:$H$1006,B978))</f>
        <v/>
      </c>
      <c r="P978" s="78">
        <f>IF(D978="","",IF(AND(H978&lt;&gt;"",H978&gt;=B978),"⚠️ Predecessor must be above",IF(M978="Done","✓ Done",IF(Q978=3,"🔴 Late",IF(M978="In progress","In progress","")))))</f>
        <v/>
      </c>
      <c r="Q978" s="79">
        <f>IF(OR(D978="",L978=""),"",IF(M978="Done",2,IF(AsOf&gt;L978,3,1)))</f>
        <v/>
      </c>
      <c r="R978" s="79">
        <f>IF(OR(E978="",F978=""),0,IF(COUNTIFS($E$7:E978,E978,$F$7:F978,F978)=1,1,0))</f>
        <v/>
      </c>
      <c r="S978" s="79">
        <f>IF(R978=1,E978&amp;"|"&amp;SUMIFS($R$7:R978,$E$7:E978,E978),"")</f>
        <v/>
      </c>
      <c r="T978" s="112">
        <f>IF(Q978="","",IF(Q978=3,L978,IF(OR(M978="Not started",M978=""),J978,"")))</f>
        <v/>
      </c>
      <c r="U978" s="79">
        <f>IF(T978="","",IF(Q978=3,1,IF(T978="","",IF(T978&lt;AsOf,1,IF(T978&lt;=AsOf+AlertDays,2,IF(T978&lt;=AsOf+2*AlertDays,3,""))))))</f>
        <v/>
      </c>
      <c r="V978" s="79">
        <f>IF(U978="","",IF(Q978=3,"Late task: "&amp;D978,IF(T978&lt;AsOf,"Should have started: ","Starts soon: ")&amp;D978)&amp;IF(F978="",""," — "&amp;F978))</f>
        <v/>
      </c>
    </row>
    <row r="979" ht="20" customHeight="1">
      <c r="B979" s="125" t="n">
        <v>973</v>
      </c>
      <c r="C979" s="72" t="n"/>
      <c r="D979" s="72" t="n"/>
      <c r="E979" s="72" t="n"/>
      <c r="F979" s="72" t="n"/>
      <c r="G979" s="89" t="n"/>
      <c r="H979" s="89" t="n"/>
      <c r="I979" s="109" t="n"/>
      <c r="J979" s="126">
        <f>IF(OR(D979="",ProjStart=""),"",MAX(ProjStart,IF(I979&lt;&gt;"",I979,0),IF(H979="",0,IFERROR(INDEX($L$6:L978,MATCH(H979,$B$6:B978,0))+1,0))))</f>
        <v/>
      </c>
      <c r="K979" s="89" t="n"/>
      <c r="L979" s="126">
        <f>IF(J979="","",J979+MAX(1,G979)+IF(K979="",0,K979)-1)</f>
        <v/>
      </c>
      <c r="M979" s="72" t="n"/>
      <c r="N979" s="109" t="n"/>
      <c r="O979" s="127">
        <f>IF(D979="","",COUNTIF($H$7:$H$1006,B979))</f>
        <v/>
      </c>
      <c r="P979" s="78">
        <f>IF(D979="","",IF(AND(H979&lt;&gt;"",H979&gt;=B979),"⚠️ Predecessor must be above",IF(M979="Done","✓ Done",IF(Q979=3,"🔴 Late",IF(M979="In progress","In progress","")))))</f>
        <v/>
      </c>
      <c r="Q979" s="79">
        <f>IF(OR(D979="",L979=""),"",IF(M979="Done",2,IF(AsOf&gt;L979,3,1)))</f>
        <v/>
      </c>
      <c r="R979" s="79">
        <f>IF(OR(E979="",F979=""),0,IF(COUNTIFS($E$7:E979,E979,$F$7:F979,F979)=1,1,0))</f>
        <v/>
      </c>
      <c r="S979" s="79">
        <f>IF(R979=1,E979&amp;"|"&amp;SUMIFS($R$7:R979,$E$7:E979,E979),"")</f>
        <v/>
      </c>
      <c r="T979" s="112">
        <f>IF(Q979="","",IF(Q979=3,L979,IF(OR(M979="Not started",M979=""),J979,"")))</f>
        <v/>
      </c>
      <c r="U979" s="79">
        <f>IF(T979="","",IF(Q979=3,1,IF(T979="","",IF(T979&lt;AsOf,1,IF(T979&lt;=AsOf+AlertDays,2,IF(T979&lt;=AsOf+2*AlertDays,3,""))))))</f>
        <v/>
      </c>
      <c r="V979" s="79">
        <f>IF(U979="","",IF(Q979=3,"Late task: "&amp;D979,IF(T979&lt;AsOf,"Should have started: ","Starts soon: ")&amp;D979)&amp;IF(F979="",""," — "&amp;F979))</f>
        <v/>
      </c>
    </row>
    <row r="980" ht="20" customHeight="1">
      <c r="B980" s="125" t="n">
        <v>974</v>
      </c>
      <c r="C980" s="72" t="n"/>
      <c r="D980" s="72" t="n"/>
      <c r="E980" s="72" t="n"/>
      <c r="F980" s="72" t="n"/>
      <c r="G980" s="89" t="n"/>
      <c r="H980" s="89" t="n"/>
      <c r="I980" s="109" t="n"/>
      <c r="J980" s="126">
        <f>IF(OR(D980="",ProjStart=""),"",MAX(ProjStart,IF(I980&lt;&gt;"",I980,0),IF(H980="",0,IFERROR(INDEX($L$6:L979,MATCH(H980,$B$6:B979,0))+1,0))))</f>
        <v/>
      </c>
      <c r="K980" s="89" t="n"/>
      <c r="L980" s="126">
        <f>IF(J980="","",J980+MAX(1,G980)+IF(K980="",0,K980)-1)</f>
        <v/>
      </c>
      <c r="M980" s="72" t="n"/>
      <c r="N980" s="109" t="n"/>
      <c r="O980" s="127">
        <f>IF(D980="","",COUNTIF($H$7:$H$1006,B980))</f>
        <v/>
      </c>
      <c r="P980" s="78">
        <f>IF(D980="","",IF(AND(H980&lt;&gt;"",H980&gt;=B980),"⚠️ Predecessor must be above",IF(M980="Done","✓ Done",IF(Q980=3,"🔴 Late",IF(M980="In progress","In progress","")))))</f>
        <v/>
      </c>
      <c r="Q980" s="79">
        <f>IF(OR(D980="",L980=""),"",IF(M980="Done",2,IF(AsOf&gt;L980,3,1)))</f>
        <v/>
      </c>
      <c r="R980" s="79">
        <f>IF(OR(E980="",F980=""),0,IF(COUNTIFS($E$7:E980,E980,$F$7:F980,F980)=1,1,0))</f>
        <v/>
      </c>
      <c r="S980" s="79">
        <f>IF(R980=1,E980&amp;"|"&amp;SUMIFS($R$7:R980,$E$7:E980,E980),"")</f>
        <v/>
      </c>
      <c r="T980" s="112">
        <f>IF(Q980="","",IF(Q980=3,L980,IF(OR(M980="Not started",M980=""),J980,"")))</f>
        <v/>
      </c>
      <c r="U980" s="79">
        <f>IF(T980="","",IF(Q980=3,1,IF(T980="","",IF(T980&lt;AsOf,1,IF(T980&lt;=AsOf+AlertDays,2,IF(T980&lt;=AsOf+2*AlertDays,3,""))))))</f>
        <v/>
      </c>
      <c r="V980" s="79">
        <f>IF(U980="","",IF(Q980=3,"Late task: "&amp;D980,IF(T980&lt;AsOf,"Should have started: ","Starts soon: ")&amp;D980)&amp;IF(F980="",""," — "&amp;F980))</f>
        <v/>
      </c>
    </row>
    <row r="981" ht="20" customHeight="1">
      <c r="B981" s="125" t="n">
        <v>975</v>
      </c>
      <c r="C981" s="72" t="n"/>
      <c r="D981" s="72" t="n"/>
      <c r="E981" s="72" t="n"/>
      <c r="F981" s="72" t="n"/>
      <c r="G981" s="89" t="n"/>
      <c r="H981" s="89" t="n"/>
      <c r="I981" s="109" t="n"/>
      <c r="J981" s="126">
        <f>IF(OR(D981="",ProjStart=""),"",MAX(ProjStart,IF(I981&lt;&gt;"",I981,0),IF(H981="",0,IFERROR(INDEX($L$6:L980,MATCH(H981,$B$6:B980,0))+1,0))))</f>
        <v/>
      </c>
      <c r="K981" s="89" t="n"/>
      <c r="L981" s="126">
        <f>IF(J981="","",J981+MAX(1,G981)+IF(K981="",0,K981)-1)</f>
        <v/>
      </c>
      <c r="M981" s="72" t="n"/>
      <c r="N981" s="109" t="n"/>
      <c r="O981" s="127">
        <f>IF(D981="","",COUNTIF($H$7:$H$1006,B981))</f>
        <v/>
      </c>
      <c r="P981" s="78">
        <f>IF(D981="","",IF(AND(H981&lt;&gt;"",H981&gt;=B981),"⚠️ Predecessor must be above",IF(M981="Done","✓ Done",IF(Q981=3,"🔴 Late",IF(M981="In progress","In progress","")))))</f>
        <v/>
      </c>
      <c r="Q981" s="79">
        <f>IF(OR(D981="",L981=""),"",IF(M981="Done",2,IF(AsOf&gt;L981,3,1)))</f>
        <v/>
      </c>
      <c r="R981" s="79">
        <f>IF(OR(E981="",F981=""),0,IF(COUNTIFS($E$7:E981,E981,$F$7:F981,F981)=1,1,0))</f>
        <v/>
      </c>
      <c r="S981" s="79">
        <f>IF(R981=1,E981&amp;"|"&amp;SUMIFS($R$7:R981,$E$7:E981,E981),"")</f>
        <v/>
      </c>
      <c r="T981" s="112">
        <f>IF(Q981="","",IF(Q981=3,L981,IF(OR(M981="Not started",M981=""),J981,"")))</f>
        <v/>
      </c>
      <c r="U981" s="79">
        <f>IF(T981="","",IF(Q981=3,1,IF(T981="","",IF(T981&lt;AsOf,1,IF(T981&lt;=AsOf+AlertDays,2,IF(T981&lt;=AsOf+2*AlertDays,3,""))))))</f>
        <v/>
      </c>
      <c r="V981" s="79">
        <f>IF(U981="","",IF(Q981=3,"Late task: "&amp;D981,IF(T981&lt;AsOf,"Should have started: ","Starts soon: ")&amp;D981)&amp;IF(F981="",""," — "&amp;F981))</f>
        <v/>
      </c>
    </row>
    <row r="982" ht="20" customHeight="1">
      <c r="B982" s="125" t="n">
        <v>976</v>
      </c>
      <c r="C982" s="72" t="n"/>
      <c r="D982" s="72" t="n"/>
      <c r="E982" s="72" t="n"/>
      <c r="F982" s="72" t="n"/>
      <c r="G982" s="89" t="n"/>
      <c r="H982" s="89" t="n"/>
      <c r="I982" s="109" t="n"/>
      <c r="J982" s="126">
        <f>IF(OR(D982="",ProjStart=""),"",MAX(ProjStart,IF(I982&lt;&gt;"",I982,0),IF(H982="",0,IFERROR(INDEX($L$6:L981,MATCH(H982,$B$6:B981,0))+1,0))))</f>
        <v/>
      </c>
      <c r="K982" s="89" t="n"/>
      <c r="L982" s="126">
        <f>IF(J982="","",J982+MAX(1,G982)+IF(K982="",0,K982)-1)</f>
        <v/>
      </c>
      <c r="M982" s="72" t="n"/>
      <c r="N982" s="109" t="n"/>
      <c r="O982" s="127">
        <f>IF(D982="","",COUNTIF($H$7:$H$1006,B982))</f>
        <v/>
      </c>
      <c r="P982" s="78">
        <f>IF(D982="","",IF(AND(H982&lt;&gt;"",H982&gt;=B982),"⚠️ Predecessor must be above",IF(M982="Done","✓ Done",IF(Q982=3,"🔴 Late",IF(M982="In progress","In progress","")))))</f>
        <v/>
      </c>
      <c r="Q982" s="79">
        <f>IF(OR(D982="",L982=""),"",IF(M982="Done",2,IF(AsOf&gt;L982,3,1)))</f>
        <v/>
      </c>
      <c r="R982" s="79">
        <f>IF(OR(E982="",F982=""),0,IF(COUNTIFS($E$7:E982,E982,$F$7:F982,F982)=1,1,0))</f>
        <v/>
      </c>
      <c r="S982" s="79">
        <f>IF(R982=1,E982&amp;"|"&amp;SUMIFS($R$7:R982,$E$7:E982,E982),"")</f>
        <v/>
      </c>
      <c r="T982" s="112">
        <f>IF(Q982="","",IF(Q982=3,L982,IF(OR(M982="Not started",M982=""),J982,"")))</f>
        <v/>
      </c>
      <c r="U982" s="79">
        <f>IF(T982="","",IF(Q982=3,1,IF(T982="","",IF(T982&lt;AsOf,1,IF(T982&lt;=AsOf+AlertDays,2,IF(T982&lt;=AsOf+2*AlertDays,3,""))))))</f>
        <v/>
      </c>
      <c r="V982" s="79">
        <f>IF(U982="","",IF(Q982=3,"Late task: "&amp;D982,IF(T982&lt;AsOf,"Should have started: ","Starts soon: ")&amp;D982)&amp;IF(F982="",""," — "&amp;F982))</f>
        <v/>
      </c>
    </row>
    <row r="983" ht="20" customHeight="1">
      <c r="B983" s="125" t="n">
        <v>977</v>
      </c>
      <c r="C983" s="72" t="n"/>
      <c r="D983" s="72" t="n"/>
      <c r="E983" s="72" t="n"/>
      <c r="F983" s="72" t="n"/>
      <c r="G983" s="89" t="n"/>
      <c r="H983" s="89" t="n"/>
      <c r="I983" s="109" t="n"/>
      <c r="J983" s="126">
        <f>IF(OR(D983="",ProjStart=""),"",MAX(ProjStart,IF(I983&lt;&gt;"",I983,0),IF(H983="",0,IFERROR(INDEX($L$6:L982,MATCH(H983,$B$6:B982,0))+1,0))))</f>
        <v/>
      </c>
      <c r="K983" s="89" t="n"/>
      <c r="L983" s="126">
        <f>IF(J983="","",J983+MAX(1,G983)+IF(K983="",0,K983)-1)</f>
        <v/>
      </c>
      <c r="M983" s="72" t="n"/>
      <c r="N983" s="109" t="n"/>
      <c r="O983" s="127">
        <f>IF(D983="","",COUNTIF($H$7:$H$1006,B983))</f>
        <v/>
      </c>
      <c r="P983" s="78">
        <f>IF(D983="","",IF(AND(H983&lt;&gt;"",H983&gt;=B983),"⚠️ Predecessor must be above",IF(M983="Done","✓ Done",IF(Q983=3,"🔴 Late",IF(M983="In progress","In progress","")))))</f>
        <v/>
      </c>
      <c r="Q983" s="79">
        <f>IF(OR(D983="",L983=""),"",IF(M983="Done",2,IF(AsOf&gt;L983,3,1)))</f>
        <v/>
      </c>
      <c r="R983" s="79">
        <f>IF(OR(E983="",F983=""),0,IF(COUNTIFS($E$7:E983,E983,$F$7:F983,F983)=1,1,0))</f>
        <v/>
      </c>
      <c r="S983" s="79">
        <f>IF(R983=1,E983&amp;"|"&amp;SUMIFS($R$7:R983,$E$7:E983,E983),"")</f>
        <v/>
      </c>
      <c r="T983" s="112">
        <f>IF(Q983="","",IF(Q983=3,L983,IF(OR(M983="Not started",M983=""),J983,"")))</f>
        <v/>
      </c>
      <c r="U983" s="79">
        <f>IF(T983="","",IF(Q983=3,1,IF(T983="","",IF(T983&lt;AsOf,1,IF(T983&lt;=AsOf+AlertDays,2,IF(T983&lt;=AsOf+2*AlertDays,3,""))))))</f>
        <v/>
      </c>
      <c r="V983" s="79">
        <f>IF(U983="","",IF(Q983=3,"Late task: "&amp;D983,IF(T983&lt;AsOf,"Should have started: ","Starts soon: ")&amp;D983)&amp;IF(F983="",""," — "&amp;F983))</f>
        <v/>
      </c>
    </row>
    <row r="984" ht="20" customHeight="1">
      <c r="B984" s="125" t="n">
        <v>978</v>
      </c>
      <c r="C984" s="72" t="n"/>
      <c r="D984" s="72" t="n"/>
      <c r="E984" s="72" t="n"/>
      <c r="F984" s="72" t="n"/>
      <c r="G984" s="89" t="n"/>
      <c r="H984" s="89" t="n"/>
      <c r="I984" s="109" t="n"/>
      <c r="J984" s="126">
        <f>IF(OR(D984="",ProjStart=""),"",MAX(ProjStart,IF(I984&lt;&gt;"",I984,0),IF(H984="",0,IFERROR(INDEX($L$6:L983,MATCH(H984,$B$6:B983,0))+1,0))))</f>
        <v/>
      </c>
      <c r="K984" s="89" t="n"/>
      <c r="L984" s="126">
        <f>IF(J984="","",J984+MAX(1,G984)+IF(K984="",0,K984)-1)</f>
        <v/>
      </c>
      <c r="M984" s="72" t="n"/>
      <c r="N984" s="109" t="n"/>
      <c r="O984" s="127">
        <f>IF(D984="","",COUNTIF($H$7:$H$1006,B984))</f>
        <v/>
      </c>
      <c r="P984" s="78">
        <f>IF(D984="","",IF(AND(H984&lt;&gt;"",H984&gt;=B984),"⚠️ Predecessor must be above",IF(M984="Done","✓ Done",IF(Q984=3,"🔴 Late",IF(M984="In progress","In progress","")))))</f>
        <v/>
      </c>
      <c r="Q984" s="79">
        <f>IF(OR(D984="",L984=""),"",IF(M984="Done",2,IF(AsOf&gt;L984,3,1)))</f>
        <v/>
      </c>
      <c r="R984" s="79">
        <f>IF(OR(E984="",F984=""),0,IF(COUNTIFS($E$7:E984,E984,$F$7:F984,F984)=1,1,0))</f>
        <v/>
      </c>
      <c r="S984" s="79">
        <f>IF(R984=1,E984&amp;"|"&amp;SUMIFS($R$7:R984,$E$7:E984,E984),"")</f>
        <v/>
      </c>
      <c r="T984" s="112">
        <f>IF(Q984="","",IF(Q984=3,L984,IF(OR(M984="Not started",M984=""),J984,"")))</f>
        <v/>
      </c>
      <c r="U984" s="79">
        <f>IF(T984="","",IF(Q984=3,1,IF(T984="","",IF(T984&lt;AsOf,1,IF(T984&lt;=AsOf+AlertDays,2,IF(T984&lt;=AsOf+2*AlertDays,3,""))))))</f>
        <v/>
      </c>
      <c r="V984" s="79">
        <f>IF(U984="","",IF(Q984=3,"Late task: "&amp;D984,IF(T984&lt;AsOf,"Should have started: ","Starts soon: ")&amp;D984)&amp;IF(F984="",""," — "&amp;F984))</f>
        <v/>
      </c>
    </row>
    <row r="985" ht="20" customHeight="1">
      <c r="B985" s="125" t="n">
        <v>979</v>
      </c>
      <c r="C985" s="72" t="n"/>
      <c r="D985" s="72" t="n"/>
      <c r="E985" s="72" t="n"/>
      <c r="F985" s="72" t="n"/>
      <c r="G985" s="89" t="n"/>
      <c r="H985" s="89" t="n"/>
      <c r="I985" s="109" t="n"/>
      <c r="J985" s="126">
        <f>IF(OR(D985="",ProjStart=""),"",MAX(ProjStart,IF(I985&lt;&gt;"",I985,0),IF(H985="",0,IFERROR(INDEX($L$6:L984,MATCH(H985,$B$6:B984,0))+1,0))))</f>
        <v/>
      </c>
      <c r="K985" s="89" t="n"/>
      <c r="L985" s="126">
        <f>IF(J985="","",J985+MAX(1,G985)+IF(K985="",0,K985)-1)</f>
        <v/>
      </c>
      <c r="M985" s="72" t="n"/>
      <c r="N985" s="109" t="n"/>
      <c r="O985" s="127">
        <f>IF(D985="","",COUNTIF($H$7:$H$1006,B985))</f>
        <v/>
      </c>
      <c r="P985" s="78">
        <f>IF(D985="","",IF(AND(H985&lt;&gt;"",H985&gt;=B985),"⚠️ Predecessor must be above",IF(M985="Done","✓ Done",IF(Q985=3,"🔴 Late",IF(M985="In progress","In progress","")))))</f>
        <v/>
      </c>
      <c r="Q985" s="79">
        <f>IF(OR(D985="",L985=""),"",IF(M985="Done",2,IF(AsOf&gt;L985,3,1)))</f>
        <v/>
      </c>
      <c r="R985" s="79">
        <f>IF(OR(E985="",F985=""),0,IF(COUNTIFS($E$7:E985,E985,$F$7:F985,F985)=1,1,0))</f>
        <v/>
      </c>
      <c r="S985" s="79">
        <f>IF(R985=1,E985&amp;"|"&amp;SUMIFS($R$7:R985,$E$7:E985,E985),"")</f>
        <v/>
      </c>
      <c r="T985" s="112">
        <f>IF(Q985="","",IF(Q985=3,L985,IF(OR(M985="Not started",M985=""),J985,"")))</f>
        <v/>
      </c>
      <c r="U985" s="79">
        <f>IF(T985="","",IF(Q985=3,1,IF(T985="","",IF(T985&lt;AsOf,1,IF(T985&lt;=AsOf+AlertDays,2,IF(T985&lt;=AsOf+2*AlertDays,3,""))))))</f>
        <v/>
      </c>
      <c r="V985" s="79">
        <f>IF(U985="","",IF(Q985=3,"Late task: "&amp;D985,IF(T985&lt;AsOf,"Should have started: ","Starts soon: ")&amp;D985)&amp;IF(F985="",""," — "&amp;F985))</f>
        <v/>
      </c>
    </row>
    <row r="986" ht="20" customHeight="1">
      <c r="B986" s="125" t="n">
        <v>980</v>
      </c>
      <c r="C986" s="72" t="n"/>
      <c r="D986" s="72" t="n"/>
      <c r="E986" s="72" t="n"/>
      <c r="F986" s="72" t="n"/>
      <c r="G986" s="89" t="n"/>
      <c r="H986" s="89" t="n"/>
      <c r="I986" s="109" t="n"/>
      <c r="J986" s="126">
        <f>IF(OR(D986="",ProjStart=""),"",MAX(ProjStart,IF(I986&lt;&gt;"",I986,0),IF(H986="",0,IFERROR(INDEX($L$6:L985,MATCH(H986,$B$6:B985,0))+1,0))))</f>
        <v/>
      </c>
      <c r="K986" s="89" t="n"/>
      <c r="L986" s="126">
        <f>IF(J986="","",J986+MAX(1,G986)+IF(K986="",0,K986)-1)</f>
        <v/>
      </c>
      <c r="M986" s="72" t="n"/>
      <c r="N986" s="109" t="n"/>
      <c r="O986" s="127">
        <f>IF(D986="","",COUNTIF($H$7:$H$1006,B986))</f>
        <v/>
      </c>
      <c r="P986" s="78">
        <f>IF(D986="","",IF(AND(H986&lt;&gt;"",H986&gt;=B986),"⚠️ Predecessor must be above",IF(M986="Done","✓ Done",IF(Q986=3,"🔴 Late",IF(M986="In progress","In progress","")))))</f>
        <v/>
      </c>
      <c r="Q986" s="79">
        <f>IF(OR(D986="",L986=""),"",IF(M986="Done",2,IF(AsOf&gt;L986,3,1)))</f>
        <v/>
      </c>
      <c r="R986" s="79">
        <f>IF(OR(E986="",F986=""),0,IF(COUNTIFS($E$7:E986,E986,$F$7:F986,F986)=1,1,0))</f>
        <v/>
      </c>
      <c r="S986" s="79">
        <f>IF(R986=1,E986&amp;"|"&amp;SUMIFS($R$7:R986,$E$7:E986,E986),"")</f>
        <v/>
      </c>
      <c r="T986" s="112">
        <f>IF(Q986="","",IF(Q986=3,L986,IF(OR(M986="Not started",M986=""),J986,"")))</f>
        <v/>
      </c>
      <c r="U986" s="79">
        <f>IF(T986="","",IF(Q986=3,1,IF(T986="","",IF(T986&lt;AsOf,1,IF(T986&lt;=AsOf+AlertDays,2,IF(T986&lt;=AsOf+2*AlertDays,3,""))))))</f>
        <v/>
      </c>
      <c r="V986" s="79">
        <f>IF(U986="","",IF(Q986=3,"Late task: "&amp;D986,IF(T986&lt;AsOf,"Should have started: ","Starts soon: ")&amp;D986)&amp;IF(F986="",""," — "&amp;F986))</f>
        <v/>
      </c>
    </row>
    <row r="987" ht="20" customHeight="1">
      <c r="B987" s="125" t="n">
        <v>981</v>
      </c>
      <c r="C987" s="72" t="n"/>
      <c r="D987" s="72" t="n"/>
      <c r="E987" s="72" t="n"/>
      <c r="F987" s="72" t="n"/>
      <c r="G987" s="89" t="n"/>
      <c r="H987" s="89" t="n"/>
      <c r="I987" s="109" t="n"/>
      <c r="J987" s="126">
        <f>IF(OR(D987="",ProjStart=""),"",MAX(ProjStart,IF(I987&lt;&gt;"",I987,0),IF(H987="",0,IFERROR(INDEX($L$6:L986,MATCH(H987,$B$6:B986,0))+1,0))))</f>
        <v/>
      </c>
      <c r="K987" s="89" t="n"/>
      <c r="L987" s="126">
        <f>IF(J987="","",J987+MAX(1,G987)+IF(K987="",0,K987)-1)</f>
        <v/>
      </c>
      <c r="M987" s="72" t="n"/>
      <c r="N987" s="109" t="n"/>
      <c r="O987" s="127">
        <f>IF(D987="","",COUNTIF($H$7:$H$1006,B987))</f>
        <v/>
      </c>
      <c r="P987" s="78">
        <f>IF(D987="","",IF(AND(H987&lt;&gt;"",H987&gt;=B987),"⚠️ Predecessor must be above",IF(M987="Done","✓ Done",IF(Q987=3,"🔴 Late",IF(M987="In progress","In progress","")))))</f>
        <v/>
      </c>
      <c r="Q987" s="79">
        <f>IF(OR(D987="",L987=""),"",IF(M987="Done",2,IF(AsOf&gt;L987,3,1)))</f>
        <v/>
      </c>
      <c r="R987" s="79">
        <f>IF(OR(E987="",F987=""),0,IF(COUNTIFS($E$7:E987,E987,$F$7:F987,F987)=1,1,0))</f>
        <v/>
      </c>
      <c r="S987" s="79">
        <f>IF(R987=1,E987&amp;"|"&amp;SUMIFS($R$7:R987,$E$7:E987,E987),"")</f>
        <v/>
      </c>
      <c r="T987" s="112">
        <f>IF(Q987="","",IF(Q987=3,L987,IF(OR(M987="Not started",M987=""),J987,"")))</f>
        <v/>
      </c>
      <c r="U987" s="79">
        <f>IF(T987="","",IF(Q987=3,1,IF(T987="","",IF(T987&lt;AsOf,1,IF(T987&lt;=AsOf+AlertDays,2,IF(T987&lt;=AsOf+2*AlertDays,3,""))))))</f>
        <v/>
      </c>
      <c r="V987" s="79">
        <f>IF(U987="","",IF(Q987=3,"Late task: "&amp;D987,IF(T987&lt;AsOf,"Should have started: ","Starts soon: ")&amp;D987)&amp;IF(F987="",""," — "&amp;F987))</f>
        <v/>
      </c>
    </row>
    <row r="988" ht="20" customHeight="1">
      <c r="B988" s="125" t="n">
        <v>982</v>
      </c>
      <c r="C988" s="72" t="n"/>
      <c r="D988" s="72" t="n"/>
      <c r="E988" s="72" t="n"/>
      <c r="F988" s="72" t="n"/>
      <c r="G988" s="89" t="n"/>
      <c r="H988" s="89" t="n"/>
      <c r="I988" s="109" t="n"/>
      <c r="J988" s="126">
        <f>IF(OR(D988="",ProjStart=""),"",MAX(ProjStart,IF(I988&lt;&gt;"",I988,0),IF(H988="",0,IFERROR(INDEX($L$6:L987,MATCH(H988,$B$6:B987,0))+1,0))))</f>
        <v/>
      </c>
      <c r="K988" s="89" t="n"/>
      <c r="L988" s="126">
        <f>IF(J988="","",J988+MAX(1,G988)+IF(K988="",0,K988)-1)</f>
        <v/>
      </c>
      <c r="M988" s="72" t="n"/>
      <c r="N988" s="109" t="n"/>
      <c r="O988" s="127">
        <f>IF(D988="","",COUNTIF($H$7:$H$1006,B988))</f>
        <v/>
      </c>
      <c r="P988" s="78">
        <f>IF(D988="","",IF(AND(H988&lt;&gt;"",H988&gt;=B988),"⚠️ Predecessor must be above",IF(M988="Done","✓ Done",IF(Q988=3,"🔴 Late",IF(M988="In progress","In progress","")))))</f>
        <v/>
      </c>
      <c r="Q988" s="79">
        <f>IF(OR(D988="",L988=""),"",IF(M988="Done",2,IF(AsOf&gt;L988,3,1)))</f>
        <v/>
      </c>
      <c r="R988" s="79">
        <f>IF(OR(E988="",F988=""),0,IF(COUNTIFS($E$7:E988,E988,$F$7:F988,F988)=1,1,0))</f>
        <v/>
      </c>
      <c r="S988" s="79">
        <f>IF(R988=1,E988&amp;"|"&amp;SUMIFS($R$7:R988,$E$7:E988,E988),"")</f>
        <v/>
      </c>
      <c r="T988" s="112">
        <f>IF(Q988="","",IF(Q988=3,L988,IF(OR(M988="Not started",M988=""),J988,"")))</f>
        <v/>
      </c>
      <c r="U988" s="79">
        <f>IF(T988="","",IF(Q988=3,1,IF(T988="","",IF(T988&lt;AsOf,1,IF(T988&lt;=AsOf+AlertDays,2,IF(T988&lt;=AsOf+2*AlertDays,3,""))))))</f>
        <v/>
      </c>
      <c r="V988" s="79">
        <f>IF(U988="","",IF(Q988=3,"Late task: "&amp;D988,IF(T988&lt;AsOf,"Should have started: ","Starts soon: ")&amp;D988)&amp;IF(F988="",""," — "&amp;F988))</f>
        <v/>
      </c>
    </row>
    <row r="989" ht="20" customHeight="1">
      <c r="B989" s="125" t="n">
        <v>983</v>
      </c>
      <c r="C989" s="72" t="n"/>
      <c r="D989" s="72" t="n"/>
      <c r="E989" s="72" t="n"/>
      <c r="F989" s="72" t="n"/>
      <c r="G989" s="89" t="n"/>
      <c r="H989" s="89" t="n"/>
      <c r="I989" s="109" t="n"/>
      <c r="J989" s="126">
        <f>IF(OR(D989="",ProjStart=""),"",MAX(ProjStart,IF(I989&lt;&gt;"",I989,0),IF(H989="",0,IFERROR(INDEX($L$6:L988,MATCH(H989,$B$6:B988,0))+1,0))))</f>
        <v/>
      </c>
      <c r="K989" s="89" t="n"/>
      <c r="L989" s="126">
        <f>IF(J989="","",J989+MAX(1,G989)+IF(K989="",0,K989)-1)</f>
        <v/>
      </c>
      <c r="M989" s="72" t="n"/>
      <c r="N989" s="109" t="n"/>
      <c r="O989" s="127">
        <f>IF(D989="","",COUNTIF($H$7:$H$1006,B989))</f>
        <v/>
      </c>
      <c r="P989" s="78">
        <f>IF(D989="","",IF(AND(H989&lt;&gt;"",H989&gt;=B989),"⚠️ Predecessor must be above",IF(M989="Done","✓ Done",IF(Q989=3,"🔴 Late",IF(M989="In progress","In progress","")))))</f>
        <v/>
      </c>
      <c r="Q989" s="79">
        <f>IF(OR(D989="",L989=""),"",IF(M989="Done",2,IF(AsOf&gt;L989,3,1)))</f>
        <v/>
      </c>
      <c r="R989" s="79">
        <f>IF(OR(E989="",F989=""),0,IF(COUNTIFS($E$7:E989,E989,$F$7:F989,F989)=1,1,0))</f>
        <v/>
      </c>
      <c r="S989" s="79">
        <f>IF(R989=1,E989&amp;"|"&amp;SUMIFS($R$7:R989,$E$7:E989,E989),"")</f>
        <v/>
      </c>
      <c r="T989" s="112">
        <f>IF(Q989="","",IF(Q989=3,L989,IF(OR(M989="Not started",M989=""),J989,"")))</f>
        <v/>
      </c>
      <c r="U989" s="79">
        <f>IF(T989="","",IF(Q989=3,1,IF(T989="","",IF(T989&lt;AsOf,1,IF(T989&lt;=AsOf+AlertDays,2,IF(T989&lt;=AsOf+2*AlertDays,3,""))))))</f>
        <v/>
      </c>
      <c r="V989" s="79">
        <f>IF(U989="","",IF(Q989=3,"Late task: "&amp;D989,IF(T989&lt;AsOf,"Should have started: ","Starts soon: ")&amp;D989)&amp;IF(F989="",""," — "&amp;F989))</f>
        <v/>
      </c>
    </row>
    <row r="990" ht="20" customHeight="1">
      <c r="B990" s="125" t="n">
        <v>984</v>
      </c>
      <c r="C990" s="72" t="n"/>
      <c r="D990" s="72" t="n"/>
      <c r="E990" s="72" t="n"/>
      <c r="F990" s="72" t="n"/>
      <c r="G990" s="89" t="n"/>
      <c r="H990" s="89" t="n"/>
      <c r="I990" s="109" t="n"/>
      <c r="J990" s="126">
        <f>IF(OR(D990="",ProjStart=""),"",MAX(ProjStart,IF(I990&lt;&gt;"",I990,0),IF(H990="",0,IFERROR(INDEX($L$6:L989,MATCH(H990,$B$6:B989,0))+1,0))))</f>
        <v/>
      </c>
      <c r="K990" s="89" t="n"/>
      <c r="L990" s="126">
        <f>IF(J990="","",J990+MAX(1,G990)+IF(K990="",0,K990)-1)</f>
        <v/>
      </c>
      <c r="M990" s="72" t="n"/>
      <c r="N990" s="109" t="n"/>
      <c r="O990" s="127">
        <f>IF(D990="","",COUNTIF($H$7:$H$1006,B990))</f>
        <v/>
      </c>
      <c r="P990" s="78">
        <f>IF(D990="","",IF(AND(H990&lt;&gt;"",H990&gt;=B990),"⚠️ Predecessor must be above",IF(M990="Done","✓ Done",IF(Q990=3,"🔴 Late",IF(M990="In progress","In progress","")))))</f>
        <v/>
      </c>
      <c r="Q990" s="79">
        <f>IF(OR(D990="",L990=""),"",IF(M990="Done",2,IF(AsOf&gt;L990,3,1)))</f>
        <v/>
      </c>
      <c r="R990" s="79">
        <f>IF(OR(E990="",F990=""),0,IF(COUNTIFS($E$7:E990,E990,$F$7:F990,F990)=1,1,0))</f>
        <v/>
      </c>
      <c r="S990" s="79">
        <f>IF(R990=1,E990&amp;"|"&amp;SUMIFS($R$7:R990,$E$7:E990,E990),"")</f>
        <v/>
      </c>
      <c r="T990" s="112">
        <f>IF(Q990="","",IF(Q990=3,L990,IF(OR(M990="Not started",M990=""),J990,"")))</f>
        <v/>
      </c>
      <c r="U990" s="79">
        <f>IF(T990="","",IF(Q990=3,1,IF(T990="","",IF(T990&lt;AsOf,1,IF(T990&lt;=AsOf+AlertDays,2,IF(T990&lt;=AsOf+2*AlertDays,3,""))))))</f>
        <v/>
      </c>
      <c r="V990" s="79">
        <f>IF(U990="","",IF(Q990=3,"Late task: "&amp;D990,IF(T990&lt;AsOf,"Should have started: ","Starts soon: ")&amp;D990)&amp;IF(F990="",""," — "&amp;F990))</f>
        <v/>
      </c>
    </row>
    <row r="991" ht="20" customHeight="1">
      <c r="B991" s="125" t="n">
        <v>985</v>
      </c>
      <c r="C991" s="72" t="n"/>
      <c r="D991" s="72" t="n"/>
      <c r="E991" s="72" t="n"/>
      <c r="F991" s="72" t="n"/>
      <c r="G991" s="89" t="n"/>
      <c r="H991" s="89" t="n"/>
      <c r="I991" s="109" t="n"/>
      <c r="J991" s="126">
        <f>IF(OR(D991="",ProjStart=""),"",MAX(ProjStart,IF(I991&lt;&gt;"",I991,0),IF(H991="",0,IFERROR(INDEX($L$6:L990,MATCH(H991,$B$6:B990,0))+1,0))))</f>
        <v/>
      </c>
      <c r="K991" s="89" t="n"/>
      <c r="L991" s="126">
        <f>IF(J991="","",J991+MAX(1,G991)+IF(K991="",0,K991)-1)</f>
        <v/>
      </c>
      <c r="M991" s="72" t="n"/>
      <c r="N991" s="109" t="n"/>
      <c r="O991" s="127">
        <f>IF(D991="","",COUNTIF($H$7:$H$1006,B991))</f>
        <v/>
      </c>
      <c r="P991" s="78">
        <f>IF(D991="","",IF(AND(H991&lt;&gt;"",H991&gt;=B991),"⚠️ Predecessor must be above",IF(M991="Done","✓ Done",IF(Q991=3,"🔴 Late",IF(M991="In progress","In progress","")))))</f>
        <v/>
      </c>
      <c r="Q991" s="79">
        <f>IF(OR(D991="",L991=""),"",IF(M991="Done",2,IF(AsOf&gt;L991,3,1)))</f>
        <v/>
      </c>
      <c r="R991" s="79">
        <f>IF(OR(E991="",F991=""),0,IF(COUNTIFS($E$7:E991,E991,$F$7:F991,F991)=1,1,0))</f>
        <v/>
      </c>
      <c r="S991" s="79">
        <f>IF(R991=1,E991&amp;"|"&amp;SUMIFS($R$7:R991,$E$7:E991,E991),"")</f>
        <v/>
      </c>
      <c r="T991" s="112">
        <f>IF(Q991="","",IF(Q991=3,L991,IF(OR(M991="Not started",M991=""),J991,"")))</f>
        <v/>
      </c>
      <c r="U991" s="79">
        <f>IF(T991="","",IF(Q991=3,1,IF(T991="","",IF(T991&lt;AsOf,1,IF(T991&lt;=AsOf+AlertDays,2,IF(T991&lt;=AsOf+2*AlertDays,3,""))))))</f>
        <v/>
      </c>
      <c r="V991" s="79">
        <f>IF(U991="","",IF(Q991=3,"Late task: "&amp;D991,IF(T991&lt;AsOf,"Should have started: ","Starts soon: ")&amp;D991)&amp;IF(F991="",""," — "&amp;F991))</f>
        <v/>
      </c>
    </row>
    <row r="992" ht="20" customHeight="1">
      <c r="B992" s="125" t="n">
        <v>986</v>
      </c>
      <c r="C992" s="72" t="n"/>
      <c r="D992" s="72" t="n"/>
      <c r="E992" s="72" t="n"/>
      <c r="F992" s="72" t="n"/>
      <c r="G992" s="89" t="n"/>
      <c r="H992" s="89" t="n"/>
      <c r="I992" s="109" t="n"/>
      <c r="J992" s="126">
        <f>IF(OR(D992="",ProjStart=""),"",MAX(ProjStart,IF(I992&lt;&gt;"",I992,0),IF(H992="",0,IFERROR(INDEX($L$6:L991,MATCH(H992,$B$6:B991,0))+1,0))))</f>
        <v/>
      </c>
      <c r="K992" s="89" t="n"/>
      <c r="L992" s="126">
        <f>IF(J992="","",J992+MAX(1,G992)+IF(K992="",0,K992)-1)</f>
        <v/>
      </c>
      <c r="M992" s="72" t="n"/>
      <c r="N992" s="109" t="n"/>
      <c r="O992" s="127">
        <f>IF(D992="","",COUNTIF($H$7:$H$1006,B992))</f>
        <v/>
      </c>
      <c r="P992" s="78">
        <f>IF(D992="","",IF(AND(H992&lt;&gt;"",H992&gt;=B992),"⚠️ Predecessor must be above",IF(M992="Done","✓ Done",IF(Q992=3,"🔴 Late",IF(M992="In progress","In progress","")))))</f>
        <v/>
      </c>
      <c r="Q992" s="79">
        <f>IF(OR(D992="",L992=""),"",IF(M992="Done",2,IF(AsOf&gt;L992,3,1)))</f>
        <v/>
      </c>
      <c r="R992" s="79">
        <f>IF(OR(E992="",F992=""),0,IF(COUNTIFS($E$7:E992,E992,$F$7:F992,F992)=1,1,0))</f>
        <v/>
      </c>
      <c r="S992" s="79">
        <f>IF(R992=1,E992&amp;"|"&amp;SUMIFS($R$7:R992,$E$7:E992,E992),"")</f>
        <v/>
      </c>
      <c r="T992" s="112">
        <f>IF(Q992="","",IF(Q992=3,L992,IF(OR(M992="Not started",M992=""),J992,"")))</f>
        <v/>
      </c>
      <c r="U992" s="79">
        <f>IF(T992="","",IF(Q992=3,1,IF(T992="","",IF(T992&lt;AsOf,1,IF(T992&lt;=AsOf+AlertDays,2,IF(T992&lt;=AsOf+2*AlertDays,3,""))))))</f>
        <v/>
      </c>
      <c r="V992" s="79">
        <f>IF(U992="","",IF(Q992=3,"Late task: "&amp;D992,IF(T992&lt;AsOf,"Should have started: ","Starts soon: ")&amp;D992)&amp;IF(F992="",""," — "&amp;F992))</f>
        <v/>
      </c>
    </row>
    <row r="993" ht="20" customHeight="1">
      <c r="B993" s="125" t="n">
        <v>987</v>
      </c>
      <c r="C993" s="72" t="n"/>
      <c r="D993" s="72" t="n"/>
      <c r="E993" s="72" t="n"/>
      <c r="F993" s="72" t="n"/>
      <c r="G993" s="89" t="n"/>
      <c r="H993" s="89" t="n"/>
      <c r="I993" s="109" t="n"/>
      <c r="J993" s="126">
        <f>IF(OR(D993="",ProjStart=""),"",MAX(ProjStart,IF(I993&lt;&gt;"",I993,0),IF(H993="",0,IFERROR(INDEX($L$6:L992,MATCH(H993,$B$6:B992,0))+1,0))))</f>
        <v/>
      </c>
      <c r="K993" s="89" t="n"/>
      <c r="L993" s="126">
        <f>IF(J993="","",J993+MAX(1,G993)+IF(K993="",0,K993)-1)</f>
        <v/>
      </c>
      <c r="M993" s="72" t="n"/>
      <c r="N993" s="109" t="n"/>
      <c r="O993" s="127">
        <f>IF(D993="","",COUNTIF($H$7:$H$1006,B993))</f>
        <v/>
      </c>
      <c r="P993" s="78">
        <f>IF(D993="","",IF(AND(H993&lt;&gt;"",H993&gt;=B993),"⚠️ Predecessor must be above",IF(M993="Done","✓ Done",IF(Q993=3,"🔴 Late",IF(M993="In progress","In progress","")))))</f>
        <v/>
      </c>
      <c r="Q993" s="79">
        <f>IF(OR(D993="",L993=""),"",IF(M993="Done",2,IF(AsOf&gt;L993,3,1)))</f>
        <v/>
      </c>
      <c r="R993" s="79">
        <f>IF(OR(E993="",F993=""),0,IF(COUNTIFS($E$7:E993,E993,$F$7:F993,F993)=1,1,0))</f>
        <v/>
      </c>
      <c r="S993" s="79">
        <f>IF(R993=1,E993&amp;"|"&amp;SUMIFS($R$7:R993,$E$7:E993,E993),"")</f>
        <v/>
      </c>
      <c r="T993" s="112">
        <f>IF(Q993="","",IF(Q993=3,L993,IF(OR(M993="Not started",M993=""),J993,"")))</f>
        <v/>
      </c>
      <c r="U993" s="79">
        <f>IF(T993="","",IF(Q993=3,1,IF(T993="","",IF(T993&lt;AsOf,1,IF(T993&lt;=AsOf+AlertDays,2,IF(T993&lt;=AsOf+2*AlertDays,3,""))))))</f>
        <v/>
      </c>
      <c r="V993" s="79">
        <f>IF(U993="","",IF(Q993=3,"Late task: "&amp;D993,IF(T993&lt;AsOf,"Should have started: ","Starts soon: ")&amp;D993)&amp;IF(F993="",""," — "&amp;F993))</f>
        <v/>
      </c>
    </row>
    <row r="994" ht="20" customHeight="1">
      <c r="B994" s="125" t="n">
        <v>988</v>
      </c>
      <c r="C994" s="72" t="n"/>
      <c r="D994" s="72" t="n"/>
      <c r="E994" s="72" t="n"/>
      <c r="F994" s="72" t="n"/>
      <c r="G994" s="89" t="n"/>
      <c r="H994" s="89" t="n"/>
      <c r="I994" s="109" t="n"/>
      <c r="J994" s="126">
        <f>IF(OR(D994="",ProjStart=""),"",MAX(ProjStart,IF(I994&lt;&gt;"",I994,0),IF(H994="",0,IFERROR(INDEX($L$6:L993,MATCH(H994,$B$6:B993,0))+1,0))))</f>
        <v/>
      </c>
      <c r="K994" s="89" t="n"/>
      <c r="L994" s="126">
        <f>IF(J994="","",J994+MAX(1,G994)+IF(K994="",0,K994)-1)</f>
        <v/>
      </c>
      <c r="M994" s="72" t="n"/>
      <c r="N994" s="109" t="n"/>
      <c r="O994" s="127">
        <f>IF(D994="","",COUNTIF($H$7:$H$1006,B994))</f>
        <v/>
      </c>
      <c r="P994" s="78">
        <f>IF(D994="","",IF(AND(H994&lt;&gt;"",H994&gt;=B994),"⚠️ Predecessor must be above",IF(M994="Done","✓ Done",IF(Q994=3,"🔴 Late",IF(M994="In progress","In progress","")))))</f>
        <v/>
      </c>
      <c r="Q994" s="79">
        <f>IF(OR(D994="",L994=""),"",IF(M994="Done",2,IF(AsOf&gt;L994,3,1)))</f>
        <v/>
      </c>
      <c r="R994" s="79">
        <f>IF(OR(E994="",F994=""),0,IF(COUNTIFS($E$7:E994,E994,$F$7:F994,F994)=1,1,0))</f>
        <v/>
      </c>
      <c r="S994" s="79">
        <f>IF(R994=1,E994&amp;"|"&amp;SUMIFS($R$7:R994,$E$7:E994,E994),"")</f>
        <v/>
      </c>
      <c r="T994" s="112">
        <f>IF(Q994="","",IF(Q994=3,L994,IF(OR(M994="Not started",M994=""),J994,"")))</f>
        <v/>
      </c>
      <c r="U994" s="79">
        <f>IF(T994="","",IF(Q994=3,1,IF(T994="","",IF(T994&lt;AsOf,1,IF(T994&lt;=AsOf+AlertDays,2,IF(T994&lt;=AsOf+2*AlertDays,3,""))))))</f>
        <v/>
      </c>
      <c r="V994" s="79">
        <f>IF(U994="","",IF(Q994=3,"Late task: "&amp;D994,IF(T994&lt;AsOf,"Should have started: ","Starts soon: ")&amp;D994)&amp;IF(F994="",""," — "&amp;F994))</f>
        <v/>
      </c>
    </row>
    <row r="995" ht="20" customHeight="1">
      <c r="B995" s="125" t="n">
        <v>989</v>
      </c>
      <c r="C995" s="72" t="n"/>
      <c r="D995" s="72" t="n"/>
      <c r="E995" s="72" t="n"/>
      <c r="F995" s="72" t="n"/>
      <c r="G995" s="89" t="n"/>
      <c r="H995" s="89" t="n"/>
      <c r="I995" s="109" t="n"/>
      <c r="J995" s="126">
        <f>IF(OR(D995="",ProjStart=""),"",MAX(ProjStart,IF(I995&lt;&gt;"",I995,0),IF(H995="",0,IFERROR(INDEX($L$6:L994,MATCH(H995,$B$6:B994,0))+1,0))))</f>
        <v/>
      </c>
      <c r="K995" s="89" t="n"/>
      <c r="L995" s="126">
        <f>IF(J995="","",J995+MAX(1,G995)+IF(K995="",0,K995)-1)</f>
        <v/>
      </c>
      <c r="M995" s="72" t="n"/>
      <c r="N995" s="109" t="n"/>
      <c r="O995" s="127">
        <f>IF(D995="","",COUNTIF($H$7:$H$1006,B995))</f>
        <v/>
      </c>
      <c r="P995" s="78">
        <f>IF(D995="","",IF(AND(H995&lt;&gt;"",H995&gt;=B995),"⚠️ Predecessor must be above",IF(M995="Done","✓ Done",IF(Q995=3,"🔴 Late",IF(M995="In progress","In progress","")))))</f>
        <v/>
      </c>
      <c r="Q995" s="79">
        <f>IF(OR(D995="",L995=""),"",IF(M995="Done",2,IF(AsOf&gt;L995,3,1)))</f>
        <v/>
      </c>
      <c r="R995" s="79">
        <f>IF(OR(E995="",F995=""),0,IF(COUNTIFS($E$7:E995,E995,$F$7:F995,F995)=1,1,0))</f>
        <v/>
      </c>
      <c r="S995" s="79">
        <f>IF(R995=1,E995&amp;"|"&amp;SUMIFS($R$7:R995,$E$7:E995,E995),"")</f>
        <v/>
      </c>
      <c r="T995" s="112">
        <f>IF(Q995="","",IF(Q995=3,L995,IF(OR(M995="Not started",M995=""),J995,"")))</f>
        <v/>
      </c>
      <c r="U995" s="79">
        <f>IF(T995="","",IF(Q995=3,1,IF(T995="","",IF(T995&lt;AsOf,1,IF(T995&lt;=AsOf+AlertDays,2,IF(T995&lt;=AsOf+2*AlertDays,3,""))))))</f>
        <v/>
      </c>
      <c r="V995" s="79">
        <f>IF(U995="","",IF(Q995=3,"Late task: "&amp;D995,IF(T995&lt;AsOf,"Should have started: ","Starts soon: ")&amp;D995)&amp;IF(F995="",""," — "&amp;F995))</f>
        <v/>
      </c>
    </row>
    <row r="996" ht="20" customHeight="1">
      <c r="B996" s="125" t="n">
        <v>990</v>
      </c>
      <c r="C996" s="72" t="n"/>
      <c r="D996" s="72" t="n"/>
      <c r="E996" s="72" t="n"/>
      <c r="F996" s="72" t="n"/>
      <c r="G996" s="89" t="n"/>
      <c r="H996" s="89" t="n"/>
      <c r="I996" s="109" t="n"/>
      <c r="J996" s="126">
        <f>IF(OR(D996="",ProjStart=""),"",MAX(ProjStart,IF(I996&lt;&gt;"",I996,0),IF(H996="",0,IFERROR(INDEX($L$6:L995,MATCH(H996,$B$6:B995,0))+1,0))))</f>
        <v/>
      </c>
      <c r="K996" s="89" t="n"/>
      <c r="L996" s="126">
        <f>IF(J996="","",J996+MAX(1,G996)+IF(K996="",0,K996)-1)</f>
        <v/>
      </c>
      <c r="M996" s="72" t="n"/>
      <c r="N996" s="109" t="n"/>
      <c r="O996" s="127">
        <f>IF(D996="","",COUNTIF($H$7:$H$1006,B996))</f>
        <v/>
      </c>
      <c r="P996" s="78">
        <f>IF(D996="","",IF(AND(H996&lt;&gt;"",H996&gt;=B996),"⚠️ Predecessor must be above",IF(M996="Done","✓ Done",IF(Q996=3,"🔴 Late",IF(M996="In progress","In progress","")))))</f>
        <v/>
      </c>
      <c r="Q996" s="79">
        <f>IF(OR(D996="",L996=""),"",IF(M996="Done",2,IF(AsOf&gt;L996,3,1)))</f>
        <v/>
      </c>
      <c r="R996" s="79">
        <f>IF(OR(E996="",F996=""),0,IF(COUNTIFS($E$7:E996,E996,$F$7:F996,F996)=1,1,0))</f>
        <v/>
      </c>
      <c r="S996" s="79">
        <f>IF(R996=1,E996&amp;"|"&amp;SUMIFS($R$7:R996,$E$7:E996,E996),"")</f>
        <v/>
      </c>
      <c r="T996" s="112">
        <f>IF(Q996="","",IF(Q996=3,L996,IF(OR(M996="Not started",M996=""),J996,"")))</f>
        <v/>
      </c>
      <c r="U996" s="79">
        <f>IF(T996="","",IF(Q996=3,1,IF(T996="","",IF(T996&lt;AsOf,1,IF(T996&lt;=AsOf+AlertDays,2,IF(T996&lt;=AsOf+2*AlertDays,3,""))))))</f>
        <v/>
      </c>
      <c r="V996" s="79">
        <f>IF(U996="","",IF(Q996=3,"Late task: "&amp;D996,IF(T996&lt;AsOf,"Should have started: ","Starts soon: ")&amp;D996)&amp;IF(F996="",""," — "&amp;F996))</f>
        <v/>
      </c>
    </row>
    <row r="997" ht="20" customHeight="1">
      <c r="B997" s="125" t="n">
        <v>991</v>
      </c>
      <c r="C997" s="72" t="n"/>
      <c r="D997" s="72" t="n"/>
      <c r="E997" s="72" t="n"/>
      <c r="F997" s="72" t="n"/>
      <c r="G997" s="89" t="n"/>
      <c r="H997" s="89" t="n"/>
      <c r="I997" s="109" t="n"/>
      <c r="J997" s="126">
        <f>IF(OR(D997="",ProjStart=""),"",MAX(ProjStart,IF(I997&lt;&gt;"",I997,0),IF(H997="",0,IFERROR(INDEX($L$6:L996,MATCH(H997,$B$6:B996,0))+1,0))))</f>
        <v/>
      </c>
      <c r="K997" s="89" t="n"/>
      <c r="L997" s="126">
        <f>IF(J997="","",J997+MAX(1,G997)+IF(K997="",0,K997)-1)</f>
        <v/>
      </c>
      <c r="M997" s="72" t="n"/>
      <c r="N997" s="109" t="n"/>
      <c r="O997" s="127">
        <f>IF(D997="","",COUNTIF($H$7:$H$1006,B997))</f>
        <v/>
      </c>
      <c r="P997" s="78">
        <f>IF(D997="","",IF(AND(H997&lt;&gt;"",H997&gt;=B997),"⚠️ Predecessor must be above",IF(M997="Done","✓ Done",IF(Q997=3,"🔴 Late",IF(M997="In progress","In progress","")))))</f>
        <v/>
      </c>
      <c r="Q997" s="79">
        <f>IF(OR(D997="",L997=""),"",IF(M997="Done",2,IF(AsOf&gt;L997,3,1)))</f>
        <v/>
      </c>
      <c r="R997" s="79">
        <f>IF(OR(E997="",F997=""),0,IF(COUNTIFS($E$7:E997,E997,$F$7:F997,F997)=1,1,0))</f>
        <v/>
      </c>
      <c r="S997" s="79">
        <f>IF(R997=1,E997&amp;"|"&amp;SUMIFS($R$7:R997,$E$7:E997,E997),"")</f>
        <v/>
      </c>
      <c r="T997" s="112">
        <f>IF(Q997="","",IF(Q997=3,L997,IF(OR(M997="Not started",M997=""),J997,"")))</f>
        <v/>
      </c>
      <c r="U997" s="79">
        <f>IF(T997="","",IF(Q997=3,1,IF(T997="","",IF(T997&lt;AsOf,1,IF(T997&lt;=AsOf+AlertDays,2,IF(T997&lt;=AsOf+2*AlertDays,3,""))))))</f>
        <v/>
      </c>
      <c r="V997" s="79">
        <f>IF(U997="","",IF(Q997=3,"Late task: "&amp;D997,IF(T997&lt;AsOf,"Should have started: ","Starts soon: ")&amp;D997)&amp;IF(F997="",""," — "&amp;F997))</f>
        <v/>
      </c>
    </row>
    <row r="998" ht="20" customHeight="1">
      <c r="B998" s="125" t="n">
        <v>992</v>
      </c>
      <c r="C998" s="72" t="n"/>
      <c r="D998" s="72" t="n"/>
      <c r="E998" s="72" t="n"/>
      <c r="F998" s="72" t="n"/>
      <c r="G998" s="89" t="n"/>
      <c r="H998" s="89" t="n"/>
      <c r="I998" s="109" t="n"/>
      <c r="J998" s="126">
        <f>IF(OR(D998="",ProjStart=""),"",MAX(ProjStart,IF(I998&lt;&gt;"",I998,0),IF(H998="",0,IFERROR(INDEX($L$6:L997,MATCH(H998,$B$6:B997,0))+1,0))))</f>
        <v/>
      </c>
      <c r="K998" s="89" t="n"/>
      <c r="L998" s="126">
        <f>IF(J998="","",J998+MAX(1,G998)+IF(K998="",0,K998)-1)</f>
        <v/>
      </c>
      <c r="M998" s="72" t="n"/>
      <c r="N998" s="109" t="n"/>
      <c r="O998" s="127">
        <f>IF(D998="","",COUNTIF($H$7:$H$1006,B998))</f>
        <v/>
      </c>
      <c r="P998" s="78">
        <f>IF(D998="","",IF(AND(H998&lt;&gt;"",H998&gt;=B998),"⚠️ Predecessor must be above",IF(M998="Done","✓ Done",IF(Q998=3,"🔴 Late",IF(M998="In progress","In progress","")))))</f>
        <v/>
      </c>
      <c r="Q998" s="79">
        <f>IF(OR(D998="",L998=""),"",IF(M998="Done",2,IF(AsOf&gt;L998,3,1)))</f>
        <v/>
      </c>
      <c r="R998" s="79">
        <f>IF(OR(E998="",F998=""),0,IF(COUNTIFS($E$7:E998,E998,$F$7:F998,F998)=1,1,0))</f>
        <v/>
      </c>
      <c r="S998" s="79">
        <f>IF(R998=1,E998&amp;"|"&amp;SUMIFS($R$7:R998,$E$7:E998,E998),"")</f>
        <v/>
      </c>
      <c r="T998" s="112">
        <f>IF(Q998="","",IF(Q998=3,L998,IF(OR(M998="Not started",M998=""),J998,"")))</f>
        <v/>
      </c>
      <c r="U998" s="79">
        <f>IF(T998="","",IF(Q998=3,1,IF(T998="","",IF(T998&lt;AsOf,1,IF(T998&lt;=AsOf+AlertDays,2,IF(T998&lt;=AsOf+2*AlertDays,3,""))))))</f>
        <v/>
      </c>
      <c r="V998" s="79">
        <f>IF(U998="","",IF(Q998=3,"Late task: "&amp;D998,IF(T998&lt;AsOf,"Should have started: ","Starts soon: ")&amp;D998)&amp;IF(F998="",""," — "&amp;F998))</f>
        <v/>
      </c>
    </row>
    <row r="999" ht="20" customHeight="1">
      <c r="B999" s="125" t="n">
        <v>993</v>
      </c>
      <c r="C999" s="72" t="n"/>
      <c r="D999" s="72" t="n"/>
      <c r="E999" s="72" t="n"/>
      <c r="F999" s="72" t="n"/>
      <c r="G999" s="89" t="n"/>
      <c r="H999" s="89" t="n"/>
      <c r="I999" s="109" t="n"/>
      <c r="J999" s="126">
        <f>IF(OR(D999="",ProjStart=""),"",MAX(ProjStart,IF(I999&lt;&gt;"",I999,0),IF(H999="",0,IFERROR(INDEX($L$6:L998,MATCH(H999,$B$6:B998,0))+1,0))))</f>
        <v/>
      </c>
      <c r="K999" s="89" t="n"/>
      <c r="L999" s="126">
        <f>IF(J999="","",J999+MAX(1,G999)+IF(K999="",0,K999)-1)</f>
        <v/>
      </c>
      <c r="M999" s="72" t="n"/>
      <c r="N999" s="109" t="n"/>
      <c r="O999" s="127">
        <f>IF(D999="","",COUNTIF($H$7:$H$1006,B999))</f>
        <v/>
      </c>
      <c r="P999" s="78">
        <f>IF(D999="","",IF(AND(H999&lt;&gt;"",H999&gt;=B999),"⚠️ Predecessor must be above",IF(M999="Done","✓ Done",IF(Q999=3,"🔴 Late",IF(M999="In progress","In progress","")))))</f>
        <v/>
      </c>
      <c r="Q999" s="79">
        <f>IF(OR(D999="",L999=""),"",IF(M999="Done",2,IF(AsOf&gt;L999,3,1)))</f>
        <v/>
      </c>
      <c r="R999" s="79">
        <f>IF(OR(E999="",F999=""),0,IF(COUNTIFS($E$7:E999,E999,$F$7:F999,F999)=1,1,0))</f>
        <v/>
      </c>
      <c r="S999" s="79">
        <f>IF(R999=1,E999&amp;"|"&amp;SUMIFS($R$7:R999,$E$7:E999,E999),"")</f>
        <v/>
      </c>
      <c r="T999" s="112">
        <f>IF(Q999="","",IF(Q999=3,L999,IF(OR(M999="Not started",M999=""),J999,"")))</f>
        <v/>
      </c>
      <c r="U999" s="79">
        <f>IF(T999="","",IF(Q999=3,1,IF(T999="","",IF(T999&lt;AsOf,1,IF(T999&lt;=AsOf+AlertDays,2,IF(T999&lt;=AsOf+2*AlertDays,3,""))))))</f>
        <v/>
      </c>
      <c r="V999" s="79">
        <f>IF(U999="","",IF(Q999=3,"Late task: "&amp;D999,IF(T999&lt;AsOf,"Should have started: ","Starts soon: ")&amp;D999)&amp;IF(F999="",""," — "&amp;F999))</f>
        <v/>
      </c>
    </row>
    <row r="1000" ht="20" customHeight="1">
      <c r="B1000" s="125" t="n">
        <v>994</v>
      </c>
      <c r="C1000" s="72" t="n"/>
      <c r="D1000" s="72" t="n"/>
      <c r="E1000" s="72" t="n"/>
      <c r="F1000" s="72" t="n"/>
      <c r="G1000" s="89" t="n"/>
      <c r="H1000" s="89" t="n"/>
      <c r="I1000" s="109" t="n"/>
      <c r="J1000" s="126">
        <f>IF(OR(D1000="",ProjStart=""),"",MAX(ProjStart,IF(I1000&lt;&gt;"",I1000,0),IF(H1000="",0,IFERROR(INDEX($L$6:L999,MATCH(H1000,$B$6:B999,0))+1,0))))</f>
        <v/>
      </c>
      <c r="K1000" s="89" t="n"/>
      <c r="L1000" s="126">
        <f>IF(J1000="","",J1000+MAX(1,G1000)+IF(K1000="",0,K1000)-1)</f>
        <v/>
      </c>
      <c r="M1000" s="72" t="n"/>
      <c r="N1000" s="109" t="n"/>
      <c r="O1000" s="127">
        <f>IF(D1000="","",COUNTIF($H$7:$H$1006,B1000))</f>
        <v/>
      </c>
      <c r="P1000" s="78">
        <f>IF(D1000="","",IF(AND(H1000&lt;&gt;"",H1000&gt;=B1000),"⚠️ Predecessor must be above",IF(M1000="Done","✓ Done",IF(Q1000=3,"🔴 Late",IF(M1000="In progress","In progress","")))))</f>
        <v/>
      </c>
      <c r="Q1000" s="79">
        <f>IF(OR(D1000="",L1000=""),"",IF(M1000="Done",2,IF(AsOf&gt;L1000,3,1)))</f>
        <v/>
      </c>
      <c r="R1000" s="79">
        <f>IF(OR(E1000="",F1000=""),0,IF(COUNTIFS($E$7:E1000,E1000,$F$7:F1000,F1000)=1,1,0))</f>
        <v/>
      </c>
      <c r="S1000" s="79">
        <f>IF(R1000=1,E1000&amp;"|"&amp;SUMIFS($R$7:R1000,$E$7:E1000,E1000),"")</f>
        <v/>
      </c>
      <c r="T1000" s="112">
        <f>IF(Q1000="","",IF(Q1000=3,L1000,IF(OR(M1000="Not started",M1000=""),J1000,"")))</f>
        <v/>
      </c>
      <c r="U1000" s="79">
        <f>IF(T1000="","",IF(Q1000=3,1,IF(T1000="","",IF(T1000&lt;AsOf,1,IF(T1000&lt;=AsOf+AlertDays,2,IF(T1000&lt;=AsOf+2*AlertDays,3,""))))))</f>
        <v/>
      </c>
      <c r="V1000" s="79">
        <f>IF(U1000="","",IF(Q1000=3,"Late task: "&amp;D1000,IF(T1000&lt;AsOf,"Should have started: ","Starts soon: ")&amp;D1000)&amp;IF(F1000="",""," — "&amp;F1000))</f>
        <v/>
      </c>
    </row>
    <row r="1001" ht="20" customHeight="1">
      <c r="B1001" s="125" t="n">
        <v>995</v>
      </c>
      <c r="C1001" s="72" t="n"/>
      <c r="D1001" s="72" t="n"/>
      <c r="E1001" s="72" t="n"/>
      <c r="F1001" s="72" t="n"/>
      <c r="G1001" s="89" t="n"/>
      <c r="H1001" s="89" t="n"/>
      <c r="I1001" s="109" t="n"/>
      <c r="J1001" s="126">
        <f>IF(OR(D1001="",ProjStart=""),"",MAX(ProjStart,IF(I1001&lt;&gt;"",I1001,0),IF(H1001="",0,IFERROR(INDEX($L$6:L1000,MATCH(H1001,$B$6:B1000,0))+1,0))))</f>
        <v/>
      </c>
      <c r="K1001" s="89" t="n"/>
      <c r="L1001" s="126">
        <f>IF(J1001="","",J1001+MAX(1,G1001)+IF(K1001="",0,K1001)-1)</f>
        <v/>
      </c>
      <c r="M1001" s="72" t="n"/>
      <c r="N1001" s="109" t="n"/>
      <c r="O1001" s="127">
        <f>IF(D1001="","",COUNTIF($H$7:$H$1006,B1001))</f>
        <v/>
      </c>
      <c r="P1001" s="78">
        <f>IF(D1001="","",IF(AND(H1001&lt;&gt;"",H1001&gt;=B1001),"⚠️ Predecessor must be above",IF(M1001="Done","✓ Done",IF(Q1001=3,"🔴 Late",IF(M1001="In progress","In progress","")))))</f>
        <v/>
      </c>
      <c r="Q1001" s="79">
        <f>IF(OR(D1001="",L1001=""),"",IF(M1001="Done",2,IF(AsOf&gt;L1001,3,1)))</f>
        <v/>
      </c>
      <c r="R1001" s="79">
        <f>IF(OR(E1001="",F1001=""),0,IF(COUNTIFS($E$7:E1001,E1001,$F$7:F1001,F1001)=1,1,0))</f>
        <v/>
      </c>
      <c r="S1001" s="79">
        <f>IF(R1001=1,E1001&amp;"|"&amp;SUMIFS($R$7:R1001,$E$7:E1001,E1001),"")</f>
        <v/>
      </c>
      <c r="T1001" s="112">
        <f>IF(Q1001="","",IF(Q1001=3,L1001,IF(OR(M1001="Not started",M1001=""),J1001,"")))</f>
        <v/>
      </c>
      <c r="U1001" s="79">
        <f>IF(T1001="","",IF(Q1001=3,1,IF(T1001="","",IF(T1001&lt;AsOf,1,IF(T1001&lt;=AsOf+AlertDays,2,IF(T1001&lt;=AsOf+2*AlertDays,3,""))))))</f>
        <v/>
      </c>
      <c r="V1001" s="79">
        <f>IF(U1001="","",IF(Q1001=3,"Late task: "&amp;D1001,IF(T1001&lt;AsOf,"Should have started: ","Starts soon: ")&amp;D1001)&amp;IF(F1001="",""," — "&amp;F1001))</f>
        <v/>
      </c>
    </row>
    <row r="1002" ht="20" customHeight="1">
      <c r="B1002" s="125" t="n">
        <v>996</v>
      </c>
      <c r="C1002" s="72" t="n"/>
      <c r="D1002" s="72" t="n"/>
      <c r="E1002" s="72" t="n"/>
      <c r="F1002" s="72" t="n"/>
      <c r="G1002" s="89" t="n"/>
      <c r="H1002" s="89" t="n"/>
      <c r="I1002" s="109" t="n"/>
      <c r="J1002" s="126">
        <f>IF(OR(D1002="",ProjStart=""),"",MAX(ProjStart,IF(I1002&lt;&gt;"",I1002,0),IF(H1002="",0,IFERROR(INDEX($L$6:L1001,MATCH(H1002,$B$6:B1001,0))+1,0))))</f>
        <v/>
      </c>
      <c r="K1002" s="89" t="n"/>
      <c r="L1002" s="126">
        <f>IF(J1002="","",J1002+MAX(1,G1002)+IF(K1002="",0,K1002)-1)</f>
        <v/>
      </c>
      <c r="M1002" s="72" t="n"/>
      <c r="N1002" s="109" t="n"/>
      <c r="O1002" s="127">
        <f>IF(D1002="","",COUNTIF($H$7:$H$1006,B1002))</f>
        <v/>
      </c>
      <c r="P1002" s="78">
        <f>IF(D1002="","",IF(AND(H1002&lt;&gt;"",H1002&gt;=B1002),"⚠️ Predecessor must be above",IF(M1002="Done","✓ Done",IF(Q1002=3,"🔴 Late",IF(M1002="In progress","In progress","")))))</f>
        <v/>
      </c>
      <c r="Q1002" s="79">
        <f>IF(OR(D1002="",L1002=""),"",IF(M1002="Done",2,IF(AsOf&gt;L1002,3,1)))</f>
        <v/>
      </c>
      <c r="R1002" s="79">
        <f>IF(OR(E1002="",F1002=""),0,IF(COUNTIFS($E$7:E1002,E1002,$F$7:F1002,F1002)=1,1,0))</f>
        <v/>
      </c>
      <c r="S1002" s="79">
        <f>IF(R1002=1,E1002&amp;"|"&amp;SUMIFS($R$7:R1002,$E$7:E1002,E1002),"")</f>
        <v/>
      </c>
      <c r="T1002" s="112">
        <f>IF(Q1002="","",IF(Q1002=3,L1002,IF(OR(M1002="Not started",M1002=""),J1002,"")))</f>
        <v/>
      </c>
      <c r="U1002" s="79">
        <f>IF(T1002="","",IF(Q1002=3,1,IF(T1002="","",IF(T1002&lt;AsOf,1,IF(T1002&lt;=AsOf+AlertDays,2,IF(T1002&lt;=AsOf+2*AlertDays,3,""))))))</f>
        <v/>
      </c>
      <c r="V1002" s="79">
        <f>IF(U1002="","",IF(Q1002=3,"Late task: "&amp;D1002,IF(T1002&lt;AsOf,"Should have started: ","Starts soon: ")&amp;D1002)&amp;IF(F1002="",""," — "&amp;F1002))</f>
        <v/>
      </c>
    </row>
    <row r="1003" ht="20" customHeight="1">
      <c r="B1003" s="125" t="n">
        <v>997</v>
      </c>
      <c r="C1003" s="72" t="n"/>
      <c r="D1003" s="72" t="n"/>
      <c r="E1003" s="72" t="n"/>
      <c r="F1003" s="72" t="n"/>
      <c r="G1003" s="89" t="n"/>
      <c r="H1003" s="89" t="n"/>
      <c r="I1003" s="109" t="n"/>
      <c r="J1003" s="126">
        <f>IF(OR(D1003="",ProjStart=""),"",MAX(ProjStart,IF(I1003&lt;&gt;"",I1003,0),IF(H1003="",0,IFERROR(INDEX($L$6:L1002,MATCH(H1003,$B$6:B1002,0))+1,0))))</f>
        <v/>
      </c>
      <c r="K1003" s="89" t="n"/>
      <c r="L1003" s="126">
        <f>IF(J1003="","",J1003+MAX(1,G1003)+IF(K1003="",0,K1003)-1)</f>
        <v/>
      </c>
      <c r="M1003" s="72" t="n"/>
      <c r="N1003" s="109" t="n"/>
      <c r="O1003" s="127">
        <f>IF(D1003="","",COUNTIF($H$7:$H$1006,B1003))</f>
        <v/>
      </c>
      <c r="P1003" s="78">
        <f>IF(D1003="","",IF(AND(H1003&lt;&gt;"",H1003&gt;=B1003),"⚠️ Predecessor must be above",IF(M1003="Done","✓ Done",IF(Q1003=3,"🔴 Late",IF(M1003="In progress","In progress","")))))</f>
        <v/>
      </c>
      <c r="Q1003" s="79">
        <f>IF(OR(D1003="",L1003=""),"",IF(M1003="Done",2,IF(AsOf&gt;L1003,3,1)))</f>
        <v/>
      </c>
      <c r="R1003" s="79">
        <f>IF(OR(E1003="",F1003=""),0,IF(COUNTIFS($E$7:E1003,E1003,$F$7:F1003,F1003)=1,1,0))</f>
        <v/>
      </c>
      <c r="S1003" s="79">
        <f>IF(R1003=1,E1003&amp;"|"&amp;SUMIFS($R$7:R1003,$E$7:E1003,E1003),"")</f>
        <v/>
      </c>
      <c r="T1003" s="112">
        <f>IF(Q1003="","",IF(Q1003=3,L1003,IF(OR(M1003="Not started",M1003=""),J1003,"")))</f>
        <v/>
      </c>
      <c r="U1003" s="79">
        <f>IF(T1003="","",IF(Q1003=3,1,IF(T1003="","",IF(T1003&lt;AsOf,1,IF(T1003&lt;=AsOf+AlertDays,2,IF(T1003&lt;=AsOf+2*AlertDays,3,""))))))</f>
        <v/>
      </c>
      <c r="V1003" s="79">
        <f>IF(U1003="","",IF(Q1003=3,"Late task: "&amp;D1003,IF(T1003&lt;AsOf,"Should have started: ","Starts soon: ")&amp;D1003)&amp;IF(F1003="",""," — "&amp;F1003))</f>
        <v/>
      </c>
    </row>
    <row r="1004" ht="20" customHeight="1">
      <c r="B1004" s="125" t="n">
        <v>998</v>
      </c>
      <c r="C1004" s="72" t="n"/>
      <c r="D1004" s="72" t="n"/>
      <c r="E1004" s="72" t="n"/>
      <c r="F1004" s="72" t="n"/>
      <c r="G1004" s="89" t="n"/>
      <c r="H1004" s="89" t="n"/>
      <c r="I1004" s="109" t="n"/>
      <c r="J1004" s="126">
        <f>IF(OR(D1004="",ProjStart=""),"",MAX(ProjStart,IF(I1004&lt;&gt;"",I1004,0),IF(H1004="",0,IFERROR(INDEX($L$6:L1003,MATCH(H1004,$B$6:B1003,0))+1,0))))</f>
        <v/>
      </c>
      <c r="K1004" s="89" t="n"/>
      <c r="L1004" s="126">
        <f>IF(J1004="","",J1004+MAX(1,G1004)+IF(K1004="",0,K1004)-1)</f>
        <v/>
      </c>
      <c r="M1004" s="72" t="n"/>
      <c r="N1004" s="109" t="n"/>
      <c r="O1004" s="127">
        <f>IF(D1004="","",COUNTIF($H$7:$H$1006,B1004))</f>
        <v/>
      </c>
      <c r="P1004" s="78">
        <f>IF(D1004="","",IF(AND(H1004&lt;&gt;"",H1004&gt;=B1004),"⚠️ Predecessor must be above",IF(M1004="Done","✓ Done",IF(Q1004=3,"🔴 Late",IF(M1004="In progress","In progress","")))))</f>
        <v/>
      </c>
      <c r="Q1004" s="79">
        <f>IF(OR(D1004="",L1004=""),"",IF(M1004="Done",2,IF(AsOf&gt;L1004,3,1)))</f>
        <v/>
      </c>
      <c r="R1004" s="79">
        <f>IF(OR(E1004="",F1004=""),0,IF(COUNTIFS($E$7:E1004,E1004,$F$7:F1004,F1004)=1,1,0))</f>
        <v/>
      </c>
      <c r="S1004" s="79">
        <f>IF(R1004=1,E1004&amp;"|"&amp;SUMIFS($R$7:R1004,$E$7:E1004,E1004),"")</f>
        <v/>
      </c>
      <c r="T1004" s="112">
        <f>IF(Q1004="","",IF(Q1004=3,L1004,IF(OR(M1004="Not started",M1004=""),J1004,"")))</f>
        <v/>
      </c>
      <c r="U1004" s="79">
        <f>IF(T1004="","",IF(Q1004=3,1,IF(T1004="","",IF(T1004&lt;AsOf,1,IF(T1004&lt;=AsOf+AlertDays,2,IF(T1004&lt;=AsOf+2*AlertDays,3,""))))))</f>
        <v/>
      </c>
      <c r="V1004" s="79">
        <f>IF(U1004="","",IF(Q1004=3,"Late task: "&amp;D1004,IF(T1004&lt;AsOf,"Should have started: ","Starts soon: ")&amp;D1004)&amp;IF(F1004="",""," — "&amp;F1004))</f>
        <v/>
      </c>
    </row>
    <row r="1005" ht="20" customHeight="1">
      <c r="B1005" s="125" t="n">
        <v>999</v>
      </c>
      <c r="C1005" s="72" t="n"/>
      <c r="D1005" s="72" t="n"/>
      <c r="E1005" s="72" t="n"/>
      <c r="F1005" s="72" t="n"/>
      <c r="G1005" s="89" t="n"/>
      <c r="H1005" s="89" t="n"/>
      <c r="I1005" s="109" t="n"/>
      <c r="J1005" s="126">
        <f>IF(OR(D1005="",ProjStart=""),"",MAX(ProjStart,IF(I1005&lt;&gt;"",I1005,0),IF(H1005="",0,IFERROR(INDEX($L$6:L1004,MATCH(H1005,$B$6:B1004,0))+1,0))))</f>
        <v/>
      </c>
      <c r="K1005" s="89" t="n"/>
      <c r="L1005" s="126">
        <f>IF(J1005="","",J1005+MAX(1,G1005)+IF(K1005="",0,K1005)-1)</f>
        <v/>
      </c>
      <c r="M1005" s="72" t="n"/>
      <c r="N1005" s="109" t="n"/>
      <c r="O1005" s="127">
        <f>IF(D1005="","",COUNTIF($H$7:$H$1006,B1005))</f>
        <v/>
      </c>
      <c r="P1005" s="78">
        <f>IF(D1005="","",IF(AND(H1005&lt;&gt;"",H1005&gt;=B1005),"⚠️ Predecessor must be above",IF(M1005="Done","✓ Done",IF(Q1005=3,"🔴 Late",IF(M1005="In progress","In progress","")))))</f>
        <v/>
      </c>
      <c r="Q1005" s="79">
        <f>IF(OR(D1005="",L1005=""),"",IF(M1005="Done",2,IF(AsOf&gt;L1005,3,1)))</f>
        <v/>
      </c>
      <c r="R1005" s="79">
        <f>IF(OR(E1005="",F1005=""),0,IF(COUNTIFS($E$7:E1005,E1005,$F$7:F1005,F1005)=1,1,0))</f>
        <v/>
      </c>
      <c r="S1005" s="79">
        <f>IF(R1005=1,E1005&amp;"|"&amp;SUMIFS($R$7:R1005,$E$7:E1005,E1005),"")</f>
        <v/>
      </c>
      <c r="T1005" s="112">
        <f>IF(Q1005="","",IF(Q1005=3,L1005,IF(OR(M1005="Not started",M1005=""),J1005,"")))</f>
        <v/>
      </c>
      <c r="U1005" s="79">
        <f>IF(T1005="","",IF(Q1005=3,1,IF(T1005="","",IF(T1005&lt;AsOf,1,IF(T1005&lt;=AsOf+AlertDays,2,IF(T1005&lt;=AsOf+2*AlertDays,3,""))))))</f>
        <v/>
      </c>
      <c r="V1005" s="79">
        <f>IF(U1005="","",IF(Q1005=3,"Late task: "&amp;D1005,IF(T1005&lt;AsOf,"Should have started: ","Starts soon: ")&amp;D1005)&amp;IF(F1005="",""," — "&amp;F1005))</f>
        <v/>
      </c>
    </row>
    <row r="1006" ht="20" customHeight="1">
      <c r="B1006" s="125" t="n">
        <v>1000</v>
      </c>
      <c r="C1006" s="72" t="n"/>
      <c r="D1006" s="72" t="n"/>
      <c r="E1006" s="72" t="n"/>
      <c r="F1006" s="72" t="n"/>
      <c r="G1006" s="89" t="n"/>
      <c r="H1006" s="89" t="n"/>
      <c r="I1006" s="109" t="n"/>
      <c r="J1006" s="126">
        <f>IF(OR(D1006="",ProjStart=""),"",MAX(ProjStart,IF(I1006&lt;&gt;"",I1006,0),IF(H1006="",0,IFERROR(INDEX($L$6:L1005,MATCH(H1006,$B$6:B1005,0))+1,0))))</f>
        <v/>
      </c>
      <c r="K1006" s="89" t="n"/>
      <c r="L1006" s="126">
        <f>IF(J1006="","",J1006+MAX(1,G1006)+IF(K1006="",0,K1006)-1)</f>
        <v/>
      </c>
      <c r="M1006" s="72" t="n"/>
      <c r="N1006" s="109" t="n"/>
      <c r="O1006" s="127">
        <f>IF(D1006="","",COUNTIF($H$7:$H$1006,B1006))</f>
        <v/>
      </c>
      <c r="P1006" s="78">
        <f>IF(D1006="","",IF(AND(H1006&lt;&gt;"",H1006&gt;=B1006),"⚠️ Predecessor must be above",IF(M1006="Done","✓ Done",IF(Q1006=3,"🔴 Late",IF(M1006="In progress","In progress","")))))</f>
        <v/>
      </c>
      <c r="Q1006" s="79">
        <f>IF(OR(D1006="",L1006=""),"",IF(M1006="Done",2,IF(AsOf&gt;L1006,3,1)))</f>
        <v/>
      </c>
      <c r="R1006" s="79">
        <f>IF(OR(E1006="",F1006=""),0,IF(COUNTIFS($E$7:E1006,E1006,$F$7:F1006,F1006)=1,1,0))</f>
        <v/>
      </c>
      <c r="S1006" s="79">
        <f>IF(R1006=1,E1006&amp;"|"&amp;SUMIFS($R$7:R1006,$E$7:E1006,E1006),"")</f>
        <v/>
      </c>
      <c r="T1006" s="112">
        <f>IF(Q1006="","",IF(Q1006=3,L1006,IF(OR(M1006="Not started",M1006=""),J1006,"")))</f>
        <v/>
      </c>
      <c r="U1006" s="79">
        <f>IF(T1006="","",IF(Q1006=3,1,IF(T1006="","",IF(T1006&lt;AsOf,1,IF(T1006&lt;=AsOf+AlertDays,2,IF(T1006&lt;=AsOf+2*AlertDays,3,""))))))</f>
        <v/>
      </c>
      <c r="V1006" s="79">
        <f>IF(U1006="","",IF(Q1006=3,"Late task: "&amp;D1006,IF(T1006&lt;AsOf,"Should have started: ","Starts soon: ")&amp;D1006)&amp;IF(F1006="",""," — "&amp;F1006))</f>
        <v/>
      </c>
    </row>
  </sheetData>
  <sheetProtection selectLockedCells="1" selectUnlockedCells="0" sheet="1" objects="0" insertRows="1" insertHyperlinks="1" autoFilter="1" scenarios="0" formatColumns="0" deleteColumns="1" insertColumns="1" pivotTables="1" deleteRows="1" formatCells="1" formatRows="0" sort="1" password="CD61"/>
  <mergeCells count="3">
    <mergeCell ref="G4:H4"/>
    <mergeCell ref="E4:F4"/>
    <mergeCell ref="I4:L4"/>
  </mergeCells>
  <conditionalFormatting sqref="X7:BW1006">
    <cfRule type="expression" priority="1" dxfId="8" stopIfTrue="1">
      <formula>AND(AND(X$6&lt;&gt;"",$J7&lt;&gt;"",$J7&lt;=X$6+6,$L7&gt;=X$6),$Q7=3)</formula>
    </cfRule>
    <cfRule type="expression" priority="2" dxfId="9" stopIfTrue="1">
      <formula>AND(AND(X$6&lt;&gt;"",$J7&lt;&gt;"",$J7&lt;=X$6+6,$L7&gt;=X$6),$Q7=2)</formula>
    </cfRule>
    <cfRule type="expression" priority="3" dxfId="10" stopIfTrue="1">
      <formula>AND(X$6&lt;&gt;"",$J7&lt;&gt;"",$J7&lt;=X$6+6,$L7&gt;=X$6)</formula>
    </cfRule>
    <cfRule type="expression" priority="4" dxfId="11" stopIfTrue="0">
      <formula>AND(X$6&lt;&gt;"",$R$4&gt;=X$6,$R$4&lt;X$6+7)</formula>
    </cfRule>
  </conditionalFormatting>
  <conditionalFormatting sqref="X6:BW6">
    <cfRule type="expression" priority="5" dxfId="12" stopIfTrue="0">
      <formula>AND(X$6&lt;&gt;"",$R$4&gt;=X$6,$R$4&lt;X$6+7)</formula>
    </cfRule>
  </conditionalFormatting>
  <conditionalFormatting sqref="P7:P1006">
    <cfRule type="expression" priority="6" dxfId="0" stopIfTrue="0">
      <formula>$Q7=3</formula>
    </cfRule>
    <cfRule type="expression" priority="7" dxfId="3" stopIfTrue="0">
      <formula>$Q7=2</formula>
    </cfRule>
    <cfRule type="expression" priority="8" dxfId="0" stopIfTrue="0">
      <formula>LEFT(P7,1)="⚠"</formula>
    </cfRule>
  </conditionalFormatting>
  <dataValidations count="4">
    <dataValidation sqref="C7:C1006" showDropDown="0" showInputMessage="0" showErrorMessage="1" allowBlank="1" errorTitle="Renovation OS" error="Please pick a value from the dropdown list." type="list">
      <formula1>='Lists'!$G$2:$G$4</formula1>
    </dataValidation>
    <dataValidation sqref="E7:E1006" showDropDown="0" showInputMessage="0" showErrorMessage="1" allowBlank="1" errorTitle="Renovation OS" error="Please pick a value from the dropdown list." type="list">
      <formula1>='Lists'!$W$2:$W$12</formula1>
    </dataValidation>
    <dataValidation sqref="F7:F1006" showDropDown="0" showInputMessage="0" showErrorMessage="1" allowBlank="1" errorTitle="Renovation OS" error="This name is not in the list. Keep it anyway?" type="list" errorStyle="warning">
      <formula1>='Lists'!$X$2:$X$1001</formula1>
    </dataValidation>
    <dataValidation sqref="M7:M1006" showDropDown="0" showInputMessage="0" showErrorMessage="1" allowBlank="1" errorTitle="Renovation OS" error="Please pick a value from the dropdown list." type="list">
      <formula1>='Lists'!$H$2:$H$4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E07B00"/>
    <outlinePr summaryBelow="1" summaryRight="1"/>
    <pageSetUpPr/>
  </sheetPr>
  <dimension ref="A1:AH63"/>
  <sheetViews>
    <sheetView showGridLines="0" workbookViewId="0">
      <selection activeCell="A1" sqref="A1"/>
    </sheetView>
  </sheetViews>
  <sheetFormatPr baseColWidth="8" defaultRowHeight="15"/>
  <cols>
    <col width="2.5" customWidth="1" min="1" max="1"/>
    <col width="15" customWidth="1" min="2" max="2"/>
    <col width="11" customWidth="1" min="3" max="3"/>
    <col width="13" customWidth="1" min="4" max="4"/>
    <col width="15" customWidth="1" min="5" max="5"/>
    <col width="13" customWidth="1" min="6" max="6"/>
    <col width="3" customWidth="1" min="7" max="7"/>
    <col width="15" customWidth="1" min="8" max="8"/>
    <col width="11" customWidth="1" min="9" max="9"/>
    <col width="13" customWidth="1" min="10" max="10"/>
    <col width="15" customWidth="1" min="11" max="11"/>
    <col width="13" customWidth="1" min="12" max="12"/>
    <col width="3" customWidth="1" min="13" max="13"/>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ht="36" customHeight="1">
      <c r="B1" s="1" t="inlineStr">
        <is>
          <t>🛋️ Rooms</t>
        </is>
      </c>
    </row>
    <row r="2" ht="20" customHeight="1">
      <c r="B2" s="2" t="inlineStr">
        <is>
          <t>What this tab does: one card per room — money, progress, decisions and problems. Rename rooms in the yellow title cells; every dropdown follows.</t>
        </is>
      </c>
    </row>
    <row r="3">
      <c r="B3" s="3" t="inlineStr">
        <is>
          <t>© 2026 Hang Nguyen — Renovation OS. Licensed to the original purchaser for personal use only. Do not share, copy, resell or redistribute.</t>
        </is>
      </c>
    </row>
    <row r="4"/>
    <row r="5" ht="28" customHeight="1">
      <c r="B5" s="128" t="inlineStr">
        <is>
          <t>Kitchen</t>
        </is>
      </c>
      <c r="C5" s="129" t="n"/>
      <c r="D5" s="129" t="n"/>
      <c r="E5" s="129" t="n"/>
      <c r="F5" s="107">
        <f>IF(AC6="","",IF(AC6=0,"🟢 OK",IF(AC6=1,"🟡 Watch","🔴 Act")))</f>
        <v/>
      </c>
      <c r="H5" s="128" t="inlineStr">
        <is>
          <t>Bathroom 1</t>
        </is>
      </c>
      <c r="I5" s="129" t="n"/>
      <c r="J5" s="129" t="n"/>
      <c r="K5" s="129" t="n"/>
      <c r="L5" s="107">
        <f>IF(AC7="","",IF(AC7=0,"🟢 OK",IF(AC7=1,"🟡 Watch","🔴 Act")))</f>
        <v/>
      </c>
      <c r="Q5" t="inlineStr">
        <is>
          <t>name</t>
        </is>
      </c>
      <c r="R5" t="inlineStr">
        <is>
          <t>area</t>
        </is>
      </c>
      <c r="S5" t="inlineStr">
        <is>
          <t>budget</t>
        </is>
      </c>
      <c r="T5" t="inlineStr">
        <is>
          <t>committed</t>
        </is>
      </c>
      <c r="U5" t="inlineStr">
        <is>
          <t>paid</t>
        </is>
      </c>
      <c r="V5" t="inlineStr">
        <is>
          <t>t_total</t>
        </is>
      </c>
      <c r="W5" t="inlineStr">
        <is>
          <t>t_done</t>
        </is>
      </c>
      <c r="X5" t="inlineStr">
        <is>
          <t>progress</t>
        </is>
      </c>
      <c r="Y5" t="inlineStr">
        <is>
          <t>decisions</t>
        </is>
      </c>
      <c r="Z5" t="inlineStr">
        <is>
          <t>open_issues</t>
        </is>
      </c>
      <c r="AA5" t="inlineStr">
        <is>
          <t>open_high</t>
        </is>
      </c>
      <c r="AB5" t="inlineStr">
        <is>
          <t>late</t>
        </is>
      </c>
      <c r="AC5" t="inlineStr">
        <is>
          <t>lvl</t>
        </is>
      </c>
      <c r="AD5" t="inlineStr">
        <is>
          <t>c1</t>
        </is>
      </c>
      <c r="AE5" t="inlineStr">
        <is>
          <t>c2</t>
        </is>
      </c>
      <c r="AF5" t="inlineStr">
        <is>
          <t>c3</t>
        </is>
      </c>
      <c r="AG5" t="inlineStr">
        <is>
          <t>per_area</t>
        </is>
      </c>
      <c r="AH5" t="inlineStr">
        <is>
          <t>forecast_room</t>
        </is>
      </c>
    </row>
    <row r="6" ht="21" customHeight="1">
      <c r="B6" s="130">
        <f>"Floor area ("&amp;AreaUnit&amp;")"</f>
        <v/>
      </c>
      <c r="C6" s="131" t="n"/>
      <c r="D6" s="132" t="n">
        <v>18</v>
      </c>
      <c r="E6" s="130">
        <f>"Budget ("&amp;CurSym&amp;")"</f>
        <v/>
      </c>
      <c r="F6" s="73" t="n">
        <v>25000</v>
      </c>
      <c r="H6" s="130">
        <f>"Floor area ("&amp;AreaUnit&amp;")"</f>
        <v/>
      </c>
      <c r="I6" s="131" t="n"/>
      <c r="J6" s="132" t="n">
        <v>7</v>
      </c>
      <c r="K6" s="130">
        <f>"Budget ("&amp;CurSym&amp;")"</f>
        <v/>
      </c>
      <c r="L6" s="73" t="n">
        <v>17000</v>
      </c>
      <c r="Q6" s="46">
        <f>IF(B5="","",B5)</f>
        <v/>
      </c>
      <c r="R6" s="46">
        <f>IF(D6="","",D6)</f>
        <v/>
      </c>
      <c r="S6" s="46">
        <f>IF(F6="","",F6)</f>
        <v/>
      </c>
      <c r="T6" s="46">
        <f>IF(Q6="","",SUMIFS('Contractors'!$I$6:$I$1005,'Contractors'!$E$6:$E$1005,Q6,'Contractors'!$L$6:$L$1005,"Yes")+SUMIFS('Selections &amp; Orders'!$L$8:$L$1007,'Selections &amp; Orders'!$C$8:$C$1007,Q6)+SUMIFS('Change Orders'!$J$7:$J$1006,'Change Orders'!$G$7:$G$1006,Q6,'Change Orders'!$L$7:$L$1006,"Approved"))</f>
        <v/>
      </c>
      <c r="U6" s="46">
        <f>IF(Q6="","",SUMIFS('Payments'!$N$6:$N$1005,'Payments'!$Q$6:$Q$1005,Q6))</f>
        <v/>
      </c>
      <c r="V6" s="46">
        <f>IF(Q6="",0,COUNTIFS('Timeline'!$E$7:$E$1006,Q6))</f>
        <v/>
      </c>
      <c r="W6" s="46">
        <f>IF(Q6="",0,COUNTIFS('Timeline'!$E$7:$E$1006,Q6,'Timeline'!$M$7:$M$1006,"Done"))</f>
        <v/>
      </c>
      <c r="X6" s="46">
        <f>IF(V6=0,"",W6/V6)</f>
        <v/>
      </c>
      <c r="Y6" s="46">
        <f>IF(Q6="",0,SUMIFS('Selections &amp; Orders'!$AD$8:$AD$1007,'Selections &amp; Orders'!$C$8:$C$1007,Q6))</f>
        <v/>
      </c>
      <c r="Z6" s="46">
        <f>IF(Q6="",0,SUMIFS('Issues &amp; Punch List'!$O$8:$O$1007,'Issues &amp; Punch List'!$E$8:$E$1007,Q6))</f>
        <v/>
      </c>
      <c r="AA6" s="46">
        <f>IF(Q6="",0,SUMIFS('Issues &amp; Punch List'!$U$8:$U$1007,'Issues &amp; Punch List'!$E$8:$E$1007,Q6))</f>
        <v/>
      </c>
      <c r="AB6" s="46">
        <f>IF(Q6="",0,COUNTIFS('Timeline'!$E$7:$E$1006,Q6,'Timeline'!$Q$7:$Q$1006,3))</f>
        <v/>
      </c>
      <c r="AC6" s="46">
        <f>IF(Q6="","",IF(OR(AA6&gt;0,AB6&gt;0,AND(S6&lt;&gt;"",T6&gt;IF(S6="",0,S6),IF(S6="",0,S6)&gt;0)),2,IF(OR(Z6&gt;0,Y6&gt;0),1,0)))</f>
        <v/>
      </c>
      <c r="AD6" s="46">
        <f>IF(Q6="","",IFERROR(INDEX('Timeline'!$F$7:$F$1006,MATCH(Q6&amp;"|1",'Timeline'!$S$7:$S$1006,0)),""))</f>
        <v/>
      </c>
      <c r="AE6" s="46">
        <f>IF(Q6="","",IFERROR(INDEX('Timeline'!$F$7:$F$1006,MATCH(Q6&amp;"|2",'Timeline'!$S$7:$S$1006,0)),""))</f>
        <v/>
      </c>
      <c r="AF6" s="46">
        <f>IF(Q6="","",IFERROR(INDEX('Timeline'!$F$7:$F$1006,MATCH(Q6&amp;"|3",'Timeline'!$S$7:$S$1006,0)),""))</f>
        <v/>
      </c>
      <c r="AG6" s="46">
        <f>IF(OR(Q6="",R6=""),"",IF(R6=0,"",T6/R6))</f>
        <v/>
      </c>
      <c r="AH6" s="46">
        <f>IF(Q6="","",MAX(IF(S6="",0,S6),T6))</f>
        <v/>
      </c>
    </row>
    <row r="7" ht="21" customHeight="1">
      <c r="B7" s="130">
        <f>"Committed ("&amp;CurSym&amp;")"</f>
        <v/>
      </c>
      <c r="C7" s="131" t="n"/>
      <c r="D7" s="133">
        <f>T6</f>
        <v/>
      </c>
      <c r="E7" s="130">
        <f>"Paid ("&amp;CurSym&amp;")"</f>
        <v/>
      </c>
      <c r="F7" s="133">
        <f>U6</f>
        <v/>
      </c>
      <c r="H7" s="130">
        <f>"Committed ("&amp;CurSym&amp;")"</f>
        <v/>
      </c>
      <c r="I7" s="131" t="n"/>
      <c r="J7" s="133">
        <f>T7</f>
        <v/>
      </c>
      <c r="K7" s="130">
        <f>"Paid ("&amp;CurSym&amp;")"</f>
        <v/>
      </c>
      <c r="L7" s="133">
        <f>U7</f>
        <v/>
      </c>
      <c r="Q7" s="46">
        <f>IF(H5="","",H5)</f>
        <v/>
      </c>
      <c r="R7" s="46">
        <f>IF(J6="","",J6)</f>
        <v/>
      </c>
      <c r="S7" s="46">
        <f>IF(L6="","",L6)</f>
        <v/>
      </c>
      <c r="T7" s="46">
        <f>IF(Q7="","",SUMIFS('Contractors'!$I$6:$I$1005,'Contractors'!$E$6:$E$1005,Q7,'Contractors'!$L$6:$L$1005,"Yes")+SUMIFS('Selections &amp; Orders'!$L$8:$L$1007,'Selections &amp; Orders'!$C$8:$C$1007,Q7)+SUMIFS('Change Orders'!$J$7:$J$1006,'Change Orders'!$G$7:$G$1006,Q7,'Change Orders'!$L$7:$L$1006,"Approved"))</f>
        <v/>
      </c>
      <c r="U7" s="46">
        <f>IF(Q7="","",SUMIFS('Payments'!$N$6:$N$1005,'Payments'!$Q$6:$Q$1005,Q7))</f>
        <v/>
      </c>
      <c r="V7" s="46">
        <f>IF(Q7="",0,COUNTIFS('Timeline'!$E$7:$E$1006,Q7))</f>
        <v/>
      </c>
      <c r="W7" s="46">
        <f>IF(Q7="",0,COUNTIFS('Timeline'!$E$7:$E$1006,Q7,'Timeline'!$M$7:$M$1006,"Done"))</f>
        <v/>
      </c>
      <c r="X7" s="46">
        <f>IF(V7=0,"",W7/V7)</f>
        <v/>
      </c>
      <c r="Y7" s="46">
        <f>IF(Q7="",0,SUMIFS('Selections &amp; Orders'!$AD$8:$AD$1007,'Selections &amp; Orders'!$C$8:$C$1007,Q7))</f>
        <v/>
      </c>
      <c r="Z7" s="46">
        <f>IF(Q7="",0,SUMIFS('Issues &amp; Punch List'!$O$8:$O$1007,'Issues &amp; Punch List'!$E$8:$E$1007,Q7))</f>
        <v/>
      </c>
      <c r="AA7" s="46">
        <f>IF(Q7="",0,SUMIFS('Issues &amp; Punch List'!$U$8:$U$1007,'Issues &amp; Punch List'!$E$8:$E$1007,Q7))</f>
        <v/>
      </c>
      <c r="AB7" s="46">
        <f>IF(Q7="",0,COUNTIFS('Timeline'!$E$7:$E$1006,Q7,'Timeline'!$Q$7:$Q$1006,3))</f>
        <v/>
      </c>
      <c r="AC7" s="46">
        <f>IF(Q7="","",IF(OR(AA7&gt;0,AB7&gt;0,AND(S7&lt;&gt;"",T7&gt;IF(S7="",0,S7),IF(S7="",0,S7)&gt;0)),2,IF(OR(Z7&gt;0,Y7&gt;0),1,0)))</f>
        <v/>
      </c>
      <c r="AD7" s="46">
        <f>IF(Q7="","",IFERROR(INDEX('Timeline'!$F$7:$F$1006,MATCH(Q7&amp;"|1",'Timeline'!$S$7:$S$1006,0)),""))</f>
        <v/>
      </c>
      <c r="AE7" s="46">
        <f>IF(Q7="","",IFERROR(INDEX('Timeline'!$F$7:$F$1006,MATCH(Q7&amp;"|2",'Timeline'!$S$7:$S$1006,0)),""))</f>
        <v/>
      </c>
      <c r="AF7" s="46">
        <f>IF(Q7="","",IFERROR(INDEX('Timeline'!$F$7:$F$1006,MATCH(Q7&amp;"|3",'Timeline'!$S$7:$S$1006,0)),""))</f>
        <v/>
      </c>
      <c r="AG7" s="46">
        <f>IF(OR(Q7="",R7=""),"",IF(R7=0,"",T7/R7))</f>
        <v/>
      </c>
      <c r="AH7" s="46">
        <f>IF(Q7="","",MAX(IF(S7="",0,S7),T7))</f>
        <v/>
      </c>
    </row>
    <row r="8" ht="21" customHeight="1">
      <c r="B8" s="134" t="inlineStr">
        <is>
          <t>Budget used</t>
        </is>
      </c>
      <c r="C8" s="131" t="n"/>
      <c r="D8" s="135">
        <f>IF(OR(S6="",S6=0),"",REPT("█",ROUND(MIN(1,IF(OR(S6="",S6=0),0,T6/S6))*10,0))&amp;REPT("░",10-ROUND(MIN(1,IF(OR(S6="",S6=0),0,T6/S6))*10,0)))</f>
        <v/>
      </c>
      <c r="F8" s="136">
        <f>IF(OR(S6="",S6=0),"–",IF(OR(S6="",S6=0),0,T6/S6))</f>
        <v/>
      </c>
      <c r="H8" s="134" t="inlineStr">
        <is>
          <t>Budget used</t>
        </is>
      </c>
      <c r="I8" s="131" t="n"/>
      <c r="J8" s="135">
        <f>IF(OR(S7="",S7=0),"",REPT("█",ROUND(MIN(1,IF(OR(S7="",S7=0),0,T7/S7))*10,0))&amp;REPT("░",10-ROUND(MIN(1,IF(OR(S7="",S7=0),0,T7/S7))*10,0)))</f>
        <v/>
      </c>
      <c r="L8" s="136">
        <f>IF(OR(S7="",S7=0),"–",IF(OR(S7="",S7=0),0,T7/S7))</f>
        <v/>
      </c>
      <c r="Q8" s="46">
        <f>IF(B17="","",B17)</f>
        <v/>
      </c>
      <c r="R8" s="46">
        <f>IF(D18="","",D18)</f>
        <v/>
      </c>
      <c r="S8" s="46">
        <f>IF(F18="","",F18)</f>
        <v/>
      </c>
      <c r="T8" s="46">
        <f>IF(Q8="","",SUMIFS('Contractors'!$I$6:$I$1005,'Contractors'!$E$6:$E$1005,Q8,'Contractors'!$L$6:$L$1005,"Yes")+SUMIFS('Selections &amp; Orders'!$L$8:$L$1007,'Selections &amp; Orders'!$C$8:$C$1007,Q8)+SUMIFS('Change Orders'!$J$7:$J$1006,'Change Orders'!$G$7:$G$1006,Q8,'Change Orders'!$L$7:$L$1006,"Approved"))</f>
        <v/>
      </c>
      <c r="U8" s="46">
        <f>IF(Q8="","",SUMIFS('Payments'!$N$6:$N$1005,'Payments'!$Q$6:$Q$1005,Q8))</f>
        <v/>
      </c>
      <c r="V8" s="46">
        <f>IF(Q8="",0,COUNTIFS('Timeline'!$E$7:$E$1006,Q8))</f>
        <v/>
      </c>
      <c r="W8" s="46">
        <f>IF(Q8="",0,COUNTIFS('Timeline'!$E$7:$E$1006,Q8,'Timeline'!$M$7:$M$1006,"Done"))</f>
        <v/>
      </c>
      <c r="X8" s="46">
        <f>IF(V8=0,"",W8/V8)</f>
        <v/>
      </c>
      <c r="Y8" s="46">
        <f>IF(Q8="",0,SUMIFS('Selections &amp; Orders'!$AD$8:$AD$1007,'Selections &amp; Orders'!$C$8:$C$1007,Q8))</f>
        <v/>
      </c>
      <c r="Z8" s="46">
        <f>IF(Q8="",0,SUMIFS('Issues &amp; Punch List'!$O$8:$O$1007,'Issues &amp; Punch List'!$E$8:$E$1007,Q8))</f>
        <v/>
      </c>
      <c r="AA8" s="46">
        <f>IF(Q8="",0,SUMIFS('Issues &amp; Punch List'!$U$8:$U$1007,'Issues &amp; Punch List'!$E$8:$E$1007,Q8))</f>
        <v/>
      </c>
      <c r="AB8" s="46">
        <f>IF(Q8="",0,COUNTIFS('Timeline'!$E$7:$E$1006,Q8,'Timeline'!$Q$7:$Q$1006,3))</f>
        <v/>
      </c>
      <c r="AC8" s="46">
        <f>IF(Q8="","",IF(OR(AA8&gt;0,AB8&gt;0,AND(S8&lt;&gt;"",T8&gt;IF(S8="",0,S8),IF(S8="",0,S8)&gt;0)),2,IF(OR(Z8&gt;0,Y8&gt;0),1,0)))</f>
        <v/>
      </c>
      <c r="AD8" s="46">
        <f>IF(Q8="","",IFERROR(INDEX('Timeline'!$F$7:$F$1006,MATCH(Q8&amp;"|1",'Timeline'!$S$7:$S$1006,0)),""))</f>
        <v/>
      </c>
      <c r="AE8" s="46">
        <f>IF(Q8="","",IFERROR(INDEX('Timeline'!$F$7:$F$1006,MATCH(Q8&amp;"|2",'Timeline'!$S$7:$S$1006,0)),""))</f>
        <v/>
      </c>
      <c r="AF8" s="46">
        <f>IF(Q8="","",IFERROR(INDEX('Timeline'!$F$7:$F$1006,MATCH(Q8&amp;"|3",'Timeline'!$S$7:$S$1006,0)),""))</f>
        <v/>
      </c>
      <c r="AG8" s="46">
        <f>IF(OR(Q8="",R8=""),"",IF(R8=0,"",T8/R8))</f>
        <v/>
      </c>
      <c r="AH8" s="46">
        <f>IF(Q8="","",MAX(IF(S8="",0,S8),T8))</f>
        <v/>
      </c>
    </row>
    <row r="9" ht="21" customHeight="1">
      <c r="B9" s="134" t="inlineStr">
        <is>
          <t>Progress</t>
        </is>
      </c>
      <c r="C9" s="131" t="n"/>
      <c r="D9" s="137">
        <f>IF(X6="","",REPT("█",ROUND(MIN(1,X6)*10,0))&amp;REPT("░",10-ROUND(MIN(1,X6)*10,0)))</f>
        <v/>
      </c>
      <c r="F9" s="136">
        <f>IF(X6="","–",X6)</f>
        <v/>
      </c>
      <c r="H9" s="134" t="inlineStr">
        <is>
          <t>Progress</t>
        </is>
      </c>
      <c r="I9" s="131" t="n"/>
      <c r="J9" s="137">
        <f>IF(X7="","",REPT("█",ROUND(MIN(1,X7)*10,0))&amp;REPT("░",10-ROUND(MIN(1,X7)*10,0)))</f>
        <v/>
      </c>
      <c r="L9" s="136">
        <f>IF(X7="","–",X7)</f>
        <v/>
      </c>
      <c r="Q9" s="46">
        <f>IF(H17="","",H17)</f>
        <v/>
      </c>
      <c r="R9" s="46">
        <f>IF(J18="","",J18)</f>
        <v/>
      </c>
      <c r="S9" s="46">
        <f>IF(L18="","",L18)</f>
        <v/>
      </c>
      <c r="T9" s="46">
        <f>IF(Q9="","",SUMIFS('Contractors'!$I$6:$I$1005,'Contractors'!$E$6:$E$1005,Q9,'Contractors'!$L$6:$L$1005,"Yes")+SUMIFS('Selections &amp; Orders'!$L$8:$L$1007,'Selections &amp; Orders'!$C$8:$C$1007,Q9)+SUMIFS('Change Orders'!$J$7:$J$1006,'Change Orders'!$G$7:$G$1006,Q9,'Change Orders'!$L$7:$L$1006,"Approved"))</f>
        <v/>
      </c>
      <c r="U9" s="46">
        <f>IF(Q9="","",SUMIFS('Payments'!$N$6:$N$1005,'Payments'!$Q$6:$Q$1005,Q9))</f>
        <v/>
      </c>
      <c r="V9" s="46">
        <f>IF(Q9="",0,COUNTIFS('Timeline'!$E$7:$E$1006,Q9))</f>
        <v/>
      </c>
      <c r="W9" s="46">
        <f>IF(Q9="",0,COUNTIFS('Timeline'!$E$7:$E$1006,Q9,'Timeline'!$M$7:$M$1006,"Done"))</f>
        <v/>
      </c>
      <c r="X9" s="46">
        <f>IF(V9=0,"",W9/V9)</f>
        <v/>
      </c>
      <c r="Y9" s="46">
        <f>IF(Q9="",0,SUMIFS('Selections &amp; Orders'!$AD$8:$AD$1007,'Selections &amp; Orders'!$C$8:$C$1007,Q9))</f>
        <v/>
      </c>
      <c r="Z9" s="46">
        <f>IF(Q9="",0,SUMIFS('Issues &amp; Punch List'!$O$8:$O$1007,'Issues &amp; Punch List'!$E$8:$E$1007,Q9))</f>
        <v/>
      </c>
      <c r="AA9" s="46">
        <f>IF(Q9="",0,SUMIFS('Issues &amp; Punch List'!$U$8:$U$1007,'Issues &amp; Punch List'!$E$8:$E$1007,Q9))</f>
        <v/>
      </c>
      <c r="AB9" s="46">
        <f>IF(Q9="",0,COUNTIFS('Timeline'!$E$7:$E$1006,Q9,'Timeline'!$Q$7:$Q$1006,3))</f>
        <v/>
      </c>
      <c r="AC9" s="46">
        <f>IF(Q9="","",IF(OR(AA9&gt;0,AB9&gt;0,AND(S9&lt;&gt;"",T9&gt;IF(S9="",0,S9),IF(S9="",0,S9)&gt;0)),2,IF(OR(Z9&gt;0,Y9&gt;0),1,0)))</f>
        <v/>
      </c>
      <c r="AD9" s="46">
        <f>IF(Q9="","",IFERROR(INDEX('Timeline'!$F$7:$F$1006,MATCH(Q9&amp;"|1",'Timeline'!$S$7:$S$1006,0)),""))</f>
        <v/>
      </c>
      <c r="AE9" s="46">
        <f>IF(Q9="","",IFERROR(INDEX('Timeline'!$F$7:$F$1006,MATCH(Q9&amp;"|2",'Timeline'!$S$7:$S$1006,0)),""))</f>
        <v/>
      </c>
      <c r="AF9" s="46">
        <f>IF(Q9="","",IFERROR(INDEX('Timeline'!$F$7:$F$1006,MATCH(Q9&amp;"|3",'Timeline'!$S$7:$S$1006,0)),""))</f>
        <v/>
      </c>
      <c r="AG9" s="46">
        <f>IF(OR(Q9="",R9=""),"",IF(R9=0,"",T9/R9))</f>
        <v/>
      </c>
      <c r="AH9" s="46">
        <f>IF(Q9="","",MAX(IF(S9="",0,S9),T9))</f>
        <v/>
      </c>
    </row>
    <row r="10" ht="21" customHeight="1">
      <c r="B10" s="134" t="inlineStr">
        <is>
          <t>Tasks done</t>
        </is>
      </c>
      <c r="C10" s="131" t="n"/>
      <c r="D10" s="138">
        <f>W6&amp;" / "&amp;V6</f>
        <v/>
      </c>
      <c r="E10" s="134" t="inlineStr">
        <is>
          <t>Late tasks</t>
        </is>
      </c>
      <c r="F10" s="139">
        <f>AB6</f>
        <v/>
      </c>
      <c r="H10" s="134" t="inlineStr">
        <is>
          <t>Tasks done</t>
        </is>
      </c>
      <c r="I10" s="131" t="n"/>
      <c r="J10" s="138">
        <f>W7&amp;" / "&amp;V7</f>
        <v/>
      </c>
      <c r="K10" s="134" t="inlineStr">
        <is>
          <t>Late tasks</t>
        </is>
      </c>
      <c r="L10" s="139">
        <f>AB7</f>
        <v/>
      </c>
      <c r="Q10" s="46">
        <f>IF(B29="","",B29)</f>
        <v/>
      </c>
      <c r="R10" s="46">
        <f>IF(D30="","",D30)</f>
        <v/>
      </c>
      <c r="S10" s="46">
        <f>IF(F30="","",F30)</f>
        <v/>
      </c>
      <c r="T10" s="46">
        <f>IF(Q10="","",SUMIFS('Contractors'!$I$6:$I$1005,'Contractors'!$E$6:$E$1005,Q10,'Contractors'!$L$6:$L$1005,"Yes")+SUMIFS('Selections &amp; Orders'!$L$8:$L$1007,'Selections &amp; Orders'!$C$8:$C$1007,Q10)+SUMIFS('Change Orders'!$J$7:$J$1006,'Change Orders'!$G$7:$G$1006,Q10,'Change Orders'!$L$7:$L$1006,"Approved"))</f>
        <v/>
      </c>
      <c r="U10" s="46">
        <f>IF(Q10="","",SUMIFS('Payments'!$N$6:$N$1005,'Payments'!$Q$6:$Q$1005,Q10))</f>
        <v/>
      </c>
      <c r="V10" s="46">
        <f>IF(Q10="",0,COUNTIFS('Timeline'!$E$7:$E$1006,Q10))</f>
        <v/>
      </c>
      <c r="W10" s="46">
        <f>IF(Q10="",0,COUNTIFS('Timeline'!$E$7:$E$1006,Q10,'Timeline'!$M$7:$M$1006,"Done"))</f>
        <v/>
      </c>
      <c r="X10" s="46">
        <f>IF(V10=0,"",W10/V10)</f>
        <v/>
      </c>
      <c r="Y10" s="46">
        <f>IF(Q10="",0,SUMIFS('Selections &amp; Orders'!$AD$8:$AD$1007,'Selections &amp; Orders'!$C$8:$C$1007,Q10))</f>
        <v/>
      </c>
      <c r="Z10" s="46">
        <f>IF(Q10="",0,SUMIFS('Issues &amp; Punch List'!$O$8:$O$1007,'Issues &amp; Punch List'!$E$8:$E$1007,Q10))</f>
        <v/>
      </c>
      <c r="AA10" s="46">
        <f>IF(Q10="",0,SUMIFS('Issues &amp; Punch List'!$U$8:$U$1007,'Issues &amp; Punch List'!$E$8:$E$1007,Q10))</f>
        <v/>
      </c>
      <c r="AB10" s="46">
        <f>IF(Q10="",0,COUNTIFS('Timeline'!$E$7:$E$1006,Q10,'Timeline'!$Q$7:$Q$1006,3))</f>
        <v/>
      </c>
      <c r="AC10" s="46">
        <f>IF(Q10="","",IF(OR(AA10&gt;0,AB10&gt;0,AND(S10&lt;&gt;"",T10&gt;IF(S10="",0,S10),IF(S10="",0,S10)&gt;0)),2,IF(OR(Z10&gt;0,Y10&gt;0),1,0)))</f>
        <v/>
      </c>
      <c r="AD10" s="46">
        <f>IF(Q10="","",IFERROR(INDEX('Timeline'!$F$7:$F$1006,MATCH(Q10&amp;"|1",'Timeline'!$S$7:$S$1006,0)),""))</f>
        <v/>
      </c>
      <c r="AE10" s="46">
        <f>IF(Q10="","",IFERROR(INDEX('Timeline'!$F$7:$F$1006,MATCH(Q10&amp;"|2",'Timeline'!$S$7:$S$1006,0)),""))</f>
        <v/>
      </c>
      <c r="AF10" s="46">
        <f>IF(Q10="","",IFERROR(INDEX('Timeline'!$F$7:$F$1006,MATCH(Q10&amp;"|3",'Timeline'!$S$7:$S$1006,0)),""))</f>
        <v/>
      </c>
      <c r="AG10" s="46">
        <f>IF(OR(Q10="",R10=""),"",IF(R10=0,"",T10/R10))</f>
        <v/>
      </c>
      <c r="AH10" s="46">
        <f>IF(Q10="","",MAX(IF(S10="",0,S10),T10))</f>
        <v/>
      </c>
    </row>
    <row r="11" ht="21" customHeight="1">
      <c r="B11" s="134" t="inlineStr">
        <is>
          <t>Decisions waiting</t>
        </is>
      </c>
      <c r="C11" s="131" t="n"/>
      <c r="D11" s="139">
        <f>Y6</f>
        <v/>
      </c>
      <c r="E11" s="134" t="inlineStr">
        <is>
          <t>Open issues</t>
        </is>
      </c>
      <c r="F11" s="139">
        <f>Z6</f>
        <v/>
      </c>
      <c r="H11" s="134" t="inlineStr">
        <is>
          <t>Decisions waiting</t>
        </is>
      </c>
      <c r="I11" s="131" t="n"/>
      <c r="J11" s="139">
        <f>Y7</f>
        <v/>
      </c>
      <c r="K11" s="134" t="inlineStr">
        <is>
          <t>Open issues</t>
        </is>
      </c>
      <c r="L11" s="139">
        <f>Z7</f>
        <v/>
      </c>
      <c r="Q11" s="46">
        <f>IF(H29="","",H29)</f>
        <v/>
      </c>
      <c r="R11" s="46">
        <f>IF(J30="","",J30)</f>
        <v/>
      </c>
      <c r="S11" s="46">
        <f>IF(L30="","",L30)</f>
        <v/>
      </c>
      <c r="T11" s="46">
        <f>IF(Q11="","",SUMIFS('Contractors'!$I$6:$I$1005,'Contractors'!$E$6:$E$1005,Q11,'Contractors'!$L$6:$L$1005,"Yes")+SUMIFS('Selections &amp; Orders'!$L$8:$L$1007,'Selections &amp; Orders'!$C$8:$C$1007,Q11)+SUMIFS('Change Orders'!$J$7:$J$1006,'Change Orders'!$G$7:$G$1006,Q11,'Change Orders'!$L$7:$L$1006,"Approved"))</f>
        <v/>
      </c>
      <c r="U11" s="46">
        <f>IF(Q11="","",SUMIFS('Payments'!$N$6:$N$1005,'Payments'!$Q$6:$Q$1005,Q11))</f>
        <v/>
      </c>
      <c r="V11" s="46">
        <f>IF(Q11="",0,COUNTIFS('Timeline'!$E$7:$E$1006,Q11))</f>
        <v/>
      </c>
      <c r="W11" s="46">
        <f>IF(Q11="",0,COUNTIFS('Timeline'!$E$7:$E$1006,Q11,'Timeline'!$M$7:$M$1006,"Done"))</f>
        <v/>
      </c>
      <c r="X11" s="46">
        <f>IF(V11=0,"",W11/V11)</f>
        <v/>
      </c>
      <c r="Y11" s="46">
        <f>IF(Q11="",0,SUMIFS('Selections &amp; Orders'!$AD$8:$AD$1007,'Selections &amp; Orders'!$C$8:$C$1007,Q11))</f>
        <v/>
      </c>
      <c r="Z11" s="46">
        <f>IF(Q11="",0,SUMIFS('Issues &amp; Punch List'!$O$8:$O$1007,'Issues &amp; Punch List'!$E$8:$E$1007,Q11))</f>
        <v/>
      </c>
      <c r="AA11" s="46">
        <f>IF(Q11="",0,SUMIFS('Issues &amp; Punch List'!$U$8:$U$1007,'Issues &amp; Punch List'!$E$8:$E$1007,Q11))</f>
        <v/>
      </c>
      <c r="AB11" s="46">
        <f>IF(Q11="",0,COUNTIFS('Timeline'!$E$7:$E$1006,Q11,'Timeline'!$Q$7:$Q$1006,3))</f>
        <v/>
      </c>
      <c r="AC11" s="46">
        <f>IF(Q11="","",IF(OR(AA11&gt;0,AB11&gt;0,AND(S11&lt;&gt;"",T11&gt;IF(S11="",0,S11),IF(S11="",0,S11)&gt;0)),2,IF(OR(Z11&gt;0,Y11&gt;0),1,0)))</f>
        <v/>
      </c>
      <c r="AD11" s="46">
        <f>IF(Q11="","",IFERROR(INDEX('Timeline'!$F$7:$F$1006,MATCH(Q11&amp;"|1",'Timeline'!$S$7:$S$1006,0)),""))</f>
        <v/>
      </c>
      <c r="AE11" s="46">
        <f>IF(Q11="","",IFERROR(INDEX('Timeline'!$F$7:$F$1006,MATCH(Q11&amp;"|2",'Timeline'!$S$7:$S$1006,0)),""))</f>
        <v/>
      </c>
      <c r="AF11" s="46">
        <f>IF(Q11="","",IFERROR(INDEX('Timeline'!$F$7:$F$1006,MATCH(Q11&amp;"|3",'Timeline'!$S$7:$S$1006,0)),""))</f>
        <v/>
      </c>
      <c r="AG11" s="46">
        <f>IF(OR(Q11="",R11=""),"",IF(R11=0,"",T11/R11))</f>
        <v/>
      </c>
      <c r="AH11" s="46">
        <f>IF(Q11="","",MAX(IF(S11="",0,S11),T11))</f>
        <v/>
      </c>
    </row>
    <row r="12" ht="21" customHeight="1">
      <c r="B12" s="130">
        <f>"Cost per "&amp;AreaUnit</f>
        <v/>
      </c>
      <c r="C12" s="131" t="n"/>
      <c r="D12" s="133">
        <f>AG6</f>
        <v/>
      </c>
      <c r="E12" s="134" t="inlineStr">
        <is>
          <t>High-severity</t>
        </is>
      </c>
      <c r="F12" s="139">
        <f>AA6</f>
        <v/>
      </c>
      <c r="H12" s="130">
        <f>"Cost per "&amp;AreaUnit</f>
        <v/>
      </c>
      <c r="I12" s="131" t="n"/>
      <c r="J12" s="133">
        <f>AG7</f>
        <v/>
      </c>
      <c r="K12" s="134" t="inlineStr">
        <is>
          <t>High-severity</t>
        </is>
      </c>
      <c r="L12" s="139">
        <f>AA7</f>
        <v/>
      </c>
      <c r="Q12" s="46">
        <f>IF(B41="","",B41)</f>
        <v/>
      </c>
      <c r="R12" s="46">
        <f>IF(D42="","",D42)</f>
        <v/>
      </c>
      <c r="S12" s="46">
        <f>IF(F42="","",F42)</f>
        <v/>
      </c>
      <c r="T12" s="46">
        <f>IF(Q12="","",SUMIFS('Contractors'!$I$6:$I$1005,'Contractors'!$E$6:$E$1005,Q12,'Contractors'!$L$6:$L$1005,"Yes")+SUMIFS('Selections &amp; Orders'!$L$8:$L$1007,'Selections &amp; Orders'!$C$8:$C$1007,Q12)+SUMIFS('Change Orders'!$J$7:$J$1006,'Change Orders'!$G$7:$G$1006,Q12,'Change Orders'!$L$7:$L$1006,"Approved"))</f>
        <v/>
      </c>
      <c r="U12" s="46">
        <f>IF(Q12="","",SUMIFS('Payments'!$N$6:$N$1005,'Payments'!$Q$6:$Q$1005,Q12))</f>
        <v/>
      </c>
      <c r="V12" s="46">
        <f>IF(Q12="",0,COUNTIFS('Timeline'!$E$7:$E$1006,Q12))</f>
        <v/>
      </c>
      <c r="W12" s="46">
        <f>IF(Q12="",0,COUNTIFS('Timeline'!$E$7:$E$1006,Q12,'Timeline'!$M$7:$M$1006,"Done"))</f>
        <v/>
      </c>
      <c r="X12" s="46">
        <f>IF(V12=0,"",W12/V12)</f>
        <v/>
      </c>
      <c r="Y12" s="46">
        <f>IF(Q12="",0,SUMIFS('Selections &amp; Orders'!$AD$8:$AD$1007,'Selections &amp; Orders'!$C$8:$C$1007,Q12))</f>
        <v/>
      </c>
      <c r="Z12" s="46">
        <f>IF(Q12="",0,SUMIFS('Issues &amp; Punch List'!$O$8:$O$1007,'Issues &amp; Punch List'!$E$8:$E$1007,Q12))</f>
        <v/>
      </c>
      <c r="AA12" s="46">
        <f>IF(Q12="",0,SUMIFS('Issues &amp; Punch List'!$U$8:$U$1007,'Issues &amp; Punch List'!$E$8:$E$1007,Q12))</f>
        <v/>
      </c>
      <c r="AB12" s="46">
        <f>IF(Q12="",0,COUNTIFS('Timeline'!$E$7:$E$1006,Q12,'Timeline'!$Q$7:$Q$1006,3))</f>
        <v/>
      </c>
      <c r="AC12" s="46">
        <f>IF(Q12="","",IF(OR(AA12&gt;0,AB12&gt;0,AND(S12&lt;&gt;"",T12&gt;IF(S12="",0,S12),IF(S12="",0,S12)&gt;0)),2,IF(OR(Z12&gt;0,Y12&gt;0),1,0)))</f>
        <v/>
      </c>
      <c r="AD12" s="46">
        <f>IF(Q12="","",IFERROR(INDEX('Timeline'!$F$7:$F$1006,MATCH(Q12&amp;"|1",'Timeline'!$S$7:$S$1006,0)),""))</f>
        <v/>
      </c>
      <c r="AE12" s="46">
        <f>IF(Q12="","",IFERROR(INDEX('Timeline'!$F$7:$F$1006,MATCH(Q12&amp;"|2",'Timeline'!$S$7:$S$1006,0)),""))</f>
        <v/>
      </c>
      <c r="AF12" s="46">
        <f>IF(Q12="","",IFERROR(INDEX('Timeline'!$F$7:$F$1006,MATCH(Q12&amp;"|3",'Timeline'!$S$7:$S$1006,0)),""))</f>
        <v/>
      </c>
      <c r="AG12" s="46">
        <f>IF(OR(Q12="",R12=""),"",IF(R12=0,"",T12/R12))</f>
        <v/>
      </c>
      <c r="AH12" s="46">
        <f>IF(Q12="","",MAX(IF(S12="",0,S12),T12))</f>
        <v/>
      </c>
    </row>
    <row r="13" ht="21" customHeight="1">
      <c r="B13" s="134" t="inlineStr">
        <is>
          <t>Contractors</t>
        </is>
      </c>
      <c r="C13" s="140">
        <f>IF(AD6="","–",AD6&amp;IF(AE6="","",", "&amp;AE6)&amp;IF(AF6="","",", "&amp;AF6))</f>
        <v/>
      </c>
      <c r="H13" s="134" t="inlineStr">
        <is>
          <t>Contractors</t>
        </is>
      </c>
      <c r="I13" s="140">
        <f>IF(AD7="","–",AD7&amp;IF(AE7="","",", "&amp;AE7)&amp;IF(AF7="","",", "&amp;AF7))</f>
        <v/>
      </c>
      <c r="Q13" s="46">
        <f>IF(H41="","",H41)</f>
        <v/>
      </c>
      <c r="R13" s="46">
        <f>IF(J42="","",J42)</f>
        <v/>
      </c>
      <c r="S13" s="46">
        <f>IF(L42="","",L42)</f>
        <v/>
      </c>
      <c r="T13" s="46">
        <f>IF(Q13="","",SUMIFS('Contractors'!$I$6:$I$1005,'Contractors'!$E$6:$E$1005,Q13,'Contractors'!$L$6:$L$1005,"Yes")+SUMIFS('Selections &amp; Orders'!$L$8:$L$1007,'Selections &amp; Orders'!$C$8:$C$1007,Q13)+SUMIFS('Change Orders'!$J$7:$J$1006,'Change Orders'!$G$7:$G$1006,Q13,'Change Orders'!$L$7:$L$1006,"Approved"))</f>
        <v/>
      </c>
      <c r="U13" s="46">
        <f>IF(Q13="","",SUMIFS('Payments'!$N$6:$N$1005,'Payments'!$Q$6:$Q$1005,Q13))</f>
        <v/>
      </c>
      <c r="V13" s="46">
        <f>IF(Q13="",0,COUNTIFS('Timeline'!$E$7:$E$1006,Q13))</f>
        <v/>
      </c>
      <c r="W13" s="46">
        <f>IF(Q13="",0,COUNTIFS('Timeline'!$E$7:$E$1006,Q13,'Timeline'!$M$7:$M$1006,"Done"))</f>
        <v/>
      </c>
      <c r="X13" s="46">
        <f>IF(V13=0,"",W13/V13)</f>
        <v/>
      </c>
      <c r="Y13" s="46">
        <f>IF(Q13="",0,SUMIFS('Selections &amp; Orders'!$AD$8:$AD$1007,'Selections &amp; Orders'!$C$8:$C$1007,Q13))</f>
        <v/>
      </c>
      <c r="Z13" s="46">
        <f>IF(Q13="",0,SUMIFS('Issues &amp; Punch List'!$O$8:$O$1007,'Issues &amp; Punch List'!$E$8:$E$1007,Q13))</f>
        <v/>
      </c>
      <c r="AA13" s="46">
        <f>IF(Q13="",0,SUMIFS('Issues &amp; Punch List'!$U$8:$U$1007,'Issues &amp; Punch List'!$E$8:$E$1007,Q13))</f>
        <v/>
      </c>
      <c r="AB13" s="46">
        <f>IF(Q13="",0,COUNTIFS('Timeline'!$E$7:$E$1006,Q13,'Timeline'!$Q$7:$Q$1006,3))</f>
        <v/>
      </c>
      <c r="AC13" s="46">
        <f>IF(Q13="","",IF(OR(AA13&gt;0,AB13&gt;0,AND(S13&lt;&gt;"",T13&gt;IF(S13="",0,S13),IF(S13="",0,S13)&gt;0)),2,IF(OR(Z13&gt;0,Y13&gt;0),1,0)))</f>
        <v/>
      </c>
      <c r="AD13" s="46">
        <f>IF(Q13="","",IFERROR(INDEX('Timeline'!$F$7:$F$1006,MATCH(Q13&amp;"|1",'Timeline'!$S$7:$S$1006,0)),""))</f>
        <v/>
      </c>
      <c r="AE13" s="46">
        <f>IF(Q13="","",IFERROR(INDEX('Timeline'!$F$7:$F$1006,MATCH(Q13&amp;"|2",'Timeline'!$S$7:$S$1006,0)),""))</f>
        <v/>
      </c>
      <c r="AF13" s="46">
        <f>IF(Q13="","",IFERROR(INDEX('Timeline'!$F$7:$F$1006,MATCH(Q13&amp;"|3",'Timeline'!$S$7:$S$1006,0)),""))</f>
        <v/>
      </c>
      <c r="AG13" s="46">
        <f>IF(OR(Q13="",R13=""),"",IF(R13=0,"",T13/R13))</f>
        <v/>
      </c>
      <c r="AH13" s="46">
        <f>IF(Q13="","",MAX(IF(S13="",0,S13),T13))</f>
        <v/>
      </c>
    </row>
    <row r="14" ht="21" customHeight="1">
      <c r="B14" s="131" t="n"/>
      <c r="C14" s="131" t="n"/>
      <c r="D14" s="131" t="n"/>
      <c r="E14" s="131" t="n"/>
      <c r="F14" s="131" t="n"/>
      <c r="H14" s="131" t="n"/>
      <c r="I14" s="131" t="n"/>
      <c r="J14" s="131" t="n"/>
      <c r="K14" s="131" t="n"/>
      <c r="L14" s="131" t="n"/>
      <c r="Q14" s="46">
        <f>IF(B53="","",B53)</f>
        <v/>
      </c>
      <c r="R14" s="46">
        <f>IF(D54="","",D54)</f>
        <v/>
      </c>
      <c r="S14" s="46">
        <f>IF(F54="","",F54)</f>
        <v/>
      </c>
      <c r="T14" s="46">
        <f>IF(Q14="","",SUMIFS('Contractors'!$I$6:$I$1005,'Contractors'!$E$6:$E$1005,Q14,'Contractors'!$L$6:$L$1005,"Yes")+SUMIFS('Selections &amp; Orders'!$L$8:$L$1007,'Selections &amp; Orders'!$C$8:$C$1007,Q14)+SUMIFS('Change Orders'!$J$7:$J$1006,'Change Orders'!$G$7:$G$1006,Q14,'Change Orders'!$L$7:$L$1006,"Approved"))</f>
        <v/>
      </c>
      <c r="U14" s="46">
        <f>IF(Q14="","",SUMIFS('Payments'!$N$6:$N$1005,'Payments'!$Q$6:$Q$1005,Q14))</f>
        <v/>
      </c>
      <c r="V14" s="46">
        <f>IF(Q14="",0,COUNTIFS('Timeline'!$E$7:$E$1006,Q14))</f>
        <v/>
      </c>
      <c r="W14" s="46">
        <f>IF(Q14="",0,COUNTIFS('Timeline'!$E$7:$E$1006,Q14,'Timeline'!$M$7:$M$1006,"Done"))</f>
        <v/>
      </c>
      <c r="X14" s="46">
        <f>IF(V14=0,"",W14/V14)</f>
        <v/>
      </c>
      <c r="Y14" s="46">
        <f>IF(Q14="",0,SUMIFS('Selections &amp; Orders'!$AD$8:$AD$1007,'Selections &amp; Orders'!$C$8:$C$1007,Q14))</f>
        <v/>
      </c>
      <c r="Z14" s="46">
        <f>IF(Q14="",0,SUMIFS('Issues &amp; Punch List'!$O$8:$O$1007,'Issues &amp; Punch List'!$E$8:$E$1007,Q14))</f>
        <v/>
      </c>
      <c r="AA14" s="46">
        <f>IF(Q14="",0,SUMIFS('Issues &amp; Punch List'!$U$8:$U$1007,'Issues &amp; Punch List'!$E$8:$E$1007,Q14))</f>
        <v/>
      </c>
      <c r="AB14" s="46">
        <f>IF(Q14="",0,COUNTIFS('Timeline'!$E$7:$E$1006,Q14,'Timeline'!$Q$7:$Q$1006,3))</f>
        <v/>
      </c>
      <c r="AC14" s="46">
        <f>IF(Q14="","",IF(OR(AA14&gt;0,AB14&gt;0,AND(S14&lt;&gt;"",T14&gt;IF(S14="",0,S14),IF(S14="",0,S14)&gt;0)),2,IF(OR(Z14&gt;0,Y14&gt;0),1,0)))</f>
        <v/>
      </c>
      <c r="AD14" s="46">
        <f>IF(Q14="","",IFERROR(INDEX('Timeline'!$F$7:$F$1006,MATCH(Q14&amp;"|1",'Timeline'!$S$7:$S$1006,0)),""))</f>
        <v/>
      </c>
      <c r="AE14" s="46">
        <f>IF(Q14="","",IFERROR(INDEX('Timeline'!$F$7:$F$1006,MATCH(Q14&amp;"|2",'Timeline'!$S$7:$S$1006,0)),""))</f>
        <v/>
      </c>
      <c r="AF14" s="46">
        <f>IF(Q14="","",IFERROR(INDEX('Timeline'!$F$7:$F$1006,MATCH(Q14&amp;"|3",'Timeline'!$S$7:$S$1006,0)),""))</f>
        <v/>
      </c>
      <c r="AG14" s="46">
        <f>IF(OR(Q14="",R14=""),"",IF(R14=0,"",T14/R14))</f>
        <v/>
      </c>
      <c r="AH14" s="46">
        <f>IF(Q14="","",MAX(IF(S14="",0,S14),T14))</f>
        <v/>
      </c>
    </row>
    <row r="15" ht="21" customHeight="1">
      <c r="B15" s="141" t="n"/>
      <c r="C15" s="141" t="n"/>
      <c r="D15" s="141" t="n"/>
      <c r="E15" s="141" t="n"/>
      <c r="F15" s="141" t="n"/>
      <c r="H15" s="141" t="n"/>
      <c r="I15" s="141" t="n"/>
      <c r="J15" s="141" t="n"/>
      <c r="K15" s="141" t="n"/>
      <c r="L15" s="141" t="n"/>
      <c r="Q15" s="46">
        <f>IF(H53="","",H53)</f>
        <v/>
      </c>
      <c r="R15" s="46">
        <f>IF(J54="","",J54)</f>
        <v/>
      </c>
      <c r="S15" s="46">
        <f>IF(L54="","",L54)</f>
        <v/>
      </c>
      <c r="T15" s="46">
        <f>IF(Q15="","",SUMIFS('Contractors'!$I$6:$I$1005,'Contractors'!$E$6:$E$1005,Q15,'Contractors'!$L$6:$L$1005,"Yes")+SUMIFS('Selections &amp; Orders'!$L$8:$L$1007,'Selections &amp; Orders'!$C$8:$C$1007,Q15)+SUMIFS('Change Orders'!$J$7:$J$1006,'Change Orders'!$G$7:$G$1006,Q15,'Change Orders'!$L$7:$L$1006,"Approved"))</f>
        <v/>
      </c>
      <c r="U15" s="46">
        <f>IF(Q15="","",SUMIFS('Payments'!$N$6:$N$1005,'Payments'!$Q$6:$Q$1005,Q15))</f>
        <v/>
      </c>
      <c r="V15" s="46">
        <f>IF(Q15="",0,COUNTIFS('Timeline'!$E$7:$E$1006,Q15))</f>
        <v/>
      </c>
      <c r="W15" s="46">
        <f>IF(Q15="",0,COUNTIFS('Timeline'!$E$7:$E$1006,Q15,'Timeline'!$M$7:$M$1006,"Done"))</f>
        <v/>
      </c>
      <c r="X15" s="46">
        <f>IF(V15=0,"",W15/V15)</f>
        <v/>
      </c>
      <c r="Y15" s="46">
        <f>IF(Q15="",0,SUMIFS('Selections &amp; Orders'!$AD$8:$AD$1007,'Selections &amp; Orders'!$C$8:$C$1007,Q15))</f>
        <v/>
      </c>
      <c r="Z15" s="46">
        <f>IF(Q15="",0,SUMIFS('Issues &amp; Punch List'!$O$8:$O$1007,'Issues &amp; Punch List'!$E$8:$E$1007,Q15))</f>
        <v/>
      </c>
      <c r="AA15" s="46">
        <f>IF(Q15="",0,SUMIFS('Issues &amp; Punch List'!$U$8:$U$1007,'Issues &amp; Punch List'!$E$8:$E$1007,Q15))</f>
        <v/>
      </c>
      <c r="AB15" s="46">
        <f>IF(Q15="",0,COUNTIFS('Timeline'!$E$7:$E$1006,Q15,'Timeline'!$Q$7:$Q$1006,3))</f>
        <v/>
      </c>
      <c r="AC15" s="46">
        <f>IF(Q15="","",IF(OR(AA15&gt;0,AB15&gt;0,AND(S15&lt;&gt;"",T15&gt;IF(S15="",0,S15),IF(S15="",0,S15)&gt;0)),2,IF(OR(Z15&gt;0,Y15&gt;0),1,0)))</f>
        <v/>
      </c>
      <c r="AD15" s="46">
        <f>IF(Q15="","",IFERROR(INDEX('Timeline'!$F$7:$F$1006,MATCH(Q15&amp;"|1",'Timeline'!$S$7:$S$1006,0)),""))</f>
        <v/>
      </c>
      <c r="AE15" s="46">
        <f>IF(Q15="","",IFERROR(INDEX('Timeline'!$F$7:$F$1006,MATCH(Q15&amp;"|2",'Timeline'!$S$7:$S$1006,0)),""))</f>
        <v/>
      </c>
      <c r="AF15" s="46">
        <f>IF(Q15="","",IFERROR(INDEX('Timeline'!$F$7:$F$1006,MATCH(Q15&amp;"|3",'Timeline'!$S$7:$S$1006,0)),""))</f>
        <v/>
      </c>
      <c r="AG15" s="46">
        <f>IF(OR(Q15="",R15=""),"",IF(R15=0,"",T15/R15))</f>
        <v/>
      </c>
      <c r="AH15" s="46">
        <f>IF(Q15="","",MAX(IF(S15="",0,S15),T15))</f>
        <v/>
      </c>
    </row>
    <row r="16"/>
    <row r="17" ht="28" customHeight="1">
      <c r="B17" s="128" t="inlineStr">
        <is>
          <t>Bathroom 2</t>
        </is>
      </c>
      <c r="C17" s="129" t="n"/>
      <c r="D17" s="129" t="n"/>
      <c r="E17" s="129" t="n"/>
      <c r="F17" s="107">
        <f>IF(AC8="","",IF(AC8=0,"🟢 OK",IF(AC8=1,"🟡 Watch","🔴 Act")))</f>
        <v/>
      </c>
      <c r="H17" s="128" t="inlineStr">
        <is>
          <t>Master bedroom</t>
        </is>
      </c>
      <c r="I17" s="129" t="n"/>
      <c r="J17" s="129" t="n"/>
      <c r="K17" s="129" t="n"/>
      <c r="L17" s="107">
        <f>IF(AC9="","",IF(AC9=0,"🟢 OK",IF(AC9=1,"🟡 Watch","🔴 Act")))</f>
        <v/>
      </c>
    </row>
    <row r="18" ht="21" customHeight="1">
      <c r="B18" s="130">
        <f>"Floor area ("&amp;AreaUnit&amp;")"</f>
        <v/>
      </c>
      <c r="C18" s="131" t="n"/>
      <c r="D18" s="132" t="n">
        <v>5</v>
      </c>
      <c r="E18" s="130">
        <f>"Budget ("&amp;CurSym&amp;")"</f>
        <v/>
      </c>
      <c r="F18" s="73" t="n">
        <v>8000</v>
      </c>
      <c r="H18" s="130">
        <f>"Floor area ("&amp;AreaUnit&amp;")"</f>
        <v/>
      </c>
      <c r="I18" s="131" t="n"/>
      <c r="J18" s="132" t="n">
        <v>16</v>
      </c>
      <c r="K18" s="130">
        <f>"Budget ("&amp;CurSym&amp;")"</f>
        <v/>
      </c>
      <c r="L18" s="73" t="n">
        <v>4000</v>
      </c>
    </row>
    <row r="19" ht="21" customHeight="1">
      <c r="B19" s="130">
        <f>"Committed ("&amp;CurSym&amp;")"</f>
        <v/>
      </c>
      <c r="C19" s="131" t="n"/>
      <c r="D19" s="133">
        <f>T8</f>
        <v/>
      </c>
      <c r="E19" s="130">
        <f>"Paid ("&amp;CurSym&amp;")"</f>
        <v/>
      </c>
      <c r="F19" s="133">
        <f>U8</f>
        <v/>
      </c>
      <c r="H19" s="130">
        <f>"Committed ("&amp;CurSym&amp;")"</f>
        <v/>
      </c>
      <c r="I19" s="131" t="n"/>
      <c r="J19" s="133">
        <f>T9</f>
        <v/>
      </c>
      <c r="K19" s="130">
        <f>"Paid ("&amp;CurSym&amp;")"</f>
        <v/>
      </c>
      <c r="L19" s="133">
        <f>U9</f>
        <v/>
      </c>
    </row>
    <row r="20" ht="21" customHeight="1">
      <c r="B20" s="134" t="inlineStr">
        <is>
          <t>Budget used</t>
        </is>
      </c>
      <c r="C20" s="131" t="n"/>
      <c r="D20" s="135">
        <f>IF(OR(S8="",S8=0),"",REPT("█",ROUND(MIN(1,IF(OR(S8="",S8=0),0,T8/S8))*10,0))&amp;REPT("░",10-ROUND(MIN(1,IF(OR(S8="",S8=0),0,T8/S8))*10,0)))</f>
        <v/>
      </c>
      <c r="F20" s="136">
        <f>IF(OR(S8="",S8=0),"–",IF(OR(S8="",S8=0),0,T8/S8))</f>
        <v/>
      </c>
      <c r="H20" s="134" t="inlineStr">
        <is>
          <t>Budget used</t>
        </is>
      </c>
      <c r="I20" s="131" t="n"/>
      <c r="J20" s="135">
        <f>IF(OR(S9="",S9=0),"",REPT("█",ROUND(MIN(1,IF(OR(S9="",S9=0),0,T9/S9))*10,0))&amp;REPT("░",10-ROUND(MIN(1,IF(OR(S9="",S9=0),0,T9/S9))*10,0)))</f>
        <v/>
      </c>
      <c r="L20" s="136">
        <f>IF(OR(S9="",S9=0),"–",IF(OR(S9="",S9=0),0,T9/S9))</f>
        <v/>
      </c>
    </row>
    <row r="21" ht="21" customHeight="1">
      <c r="B21" s="134" t="inlineStr">
        <is>
          <t>Progress</t>
        </is>
      </c>
      <c r="C21" s="131" t="n"/>
      <c r="D21" s="137">
        <f>IF(X8="","",REPT("█",ROUND(MIN(1,X8)*10,0))&amp;REPT("░",10-ROUND(MIN(1,X8)*10,0)))</f>
        <v/>
      </c>
      <c r="F21" s="136">
        <f>IF(X8="","–",X8)</f>
        <v/>
      </c>
      <c r="H21" s="134" t="inlineStr">
        <is>
          <t>Progress</t>
        </is>
      </c>
      <c r="I21" s="131" t="n"/>
      <c r="J21" s="137">
        <f>IF(X9="","",REPT("█",ROUND(MIN(1,X9)*10,0))&amp;REPT("░",10-ROUND(MIN(1,X9)*10,0)))</f>
        <v/>
      </c>
      <c r="L21" s="136">
        <f>IF(X9="","–",X9)</f>
        <v/>
      </c>
    </row>
    <row r="22" ht="21" customHeight="1">
      <c r="B22" s="134" t="inlineStr">
        <is>
          <t>Tasks done</t>
        </is>
      </c>
      <c r="C22" s="131" t="n"/>
      <c r="D22" s="138">
        <f>W8&amp;" / "&amp;V8</f>
        <v/>
      </c>
      <c r="E22" s="134" t="inlineStr">
        <is>
          <t>Late tasks</t>
        </is>
      </c>
      <c r="F22" s="139">
        <f>AB8</f>
        <v/>
      </c>
      <c r="H22" s="134" t="inlineStr">
        <is>
          <t>Tasks done</t>
        </is>
      </c>
      <c r="I22" s="131" t="n"/>
      <c r="J22" s="138">
        <f>W9&amp;" / "&amp;V9</f>
        <v/>
      </c>
      <c r="K22" s="134" t="inlineStr">
        <is>
          <t>Late tasks</t>
        </is>
      </c>
      <c r="L22" s="139">
        <f>AB9</f>
        <v/>
      </c>
    </row>
    <row r="23" ht="21" customHeight="1">
      <c r="B23" s="134" t="inlineStr">
        <is>
          <t>Decisions waiting</t>
        </is>
      </c>
      <c r="C23" s="131" t="n"/>
      <c r="D23" s="139">
        <f>Y8</f>
        <v/>
      </c>
      <c r="E23" s="134" t="inlineStr">
        <is>
          <t>Open issues</t>
        </is>
      </c>
      <c r="F23" s="139">
        <f>Z8</f>
        <v/>
      </c>
      <c r="H23" s="134" t="inlineStr">
        <is>
          <t>Decisions waiting</t>
        </is>
      </c>
      <c r="I23" s="131" t="n"/>
      <c r="J23" s="139">
        <f>Y9</f>
        <v/>
      </c>
      <c r="K23" s="134" t="inlineStr">
        <is>
          <t>Open issues</t>
        </is>
      </c>
      <c r="L23" s="139">
        <f>Z9</f>
        <v/>
      </c>
    </row>
    <row r="24" ht="21" customHeight="1">
      <c r="B24" s="130">
        <f>"Cost per "&amp;AreaUnit</f>
        <v/>
      </c>
      <c r="C24" s="131" t="n"/>
      <c r="D24" s="133">
        <f>AG8</f>
        <v/>
      </c>
      <c r="E24" s="134" t="inlineStr">
        <is>
          <t>High-severity</t>
        </is>
      </c>
      <c r="F24" s="139">
        <f>AA8</f>
        <v/>
      </c>
      <c r="H24" s="130">
        <f>"Cost per "&amp;AreaUnit</f>
        <v/>
      </c>
      <c r="I24" s="131" t="n"/>
      <c r="J24" s="133">
        <f>AG9</f>
        <v/>
      </c>
      <c r="K24" s="134" t="inlineStr">
        <is>
          <t>High-severity</t>
        </is>
      </c>
      <c r="L24" s="139">
        <f>AA9</f>
        <v/>
      </c>
    </row>
    <row r="25" ht="21" customHeight="1">
      <c r="B25" s="134" t="inlineStr">
        <is>
          <t>Contractors</t>
        </is>
      </c>
      <c r="C25" s="140">
        <f>IF(AD8="","–",AD8&amp;IF(AE8="","",", "&amp;AE8)&amp;IF(AF8="","",", "&amp;AF8))</f>
        <v/>
      </c>
      <c r="H25" s="134" t="inlineStr">
        <is>
          <t>Contractors</t>
        </is>
      </c>
      <c r="I25" s="140">
        <f>IF(AD9="","–",AD9&amp;IF(AE9="","",", "&amp;AE9)&amp;IF(AF9="","",", "&amp;AF9))</f>
        <v/>
      </c>
    </row>
    <row r="26" ht="21" customHeight="1">
      <c r="B26" s="131" t="n"/>
      <c r="C26" s="131" t="n"/>
      <c r="D26" s="131" t="n"/>
      <c r="E26" s="131" t="n"/>
      <c r="F26" s="131" t="n"/>
      <c r="H26" s="131" t="n"/>
      <c r="I26" s="131" t="n"/>
      <c r="J26" s="131" t="n"/>
      <c r="K26" s="131" t="n"/>
      <c r="L26" s="131" t="n"/>
    </row>
    <row r="27" ht="21" customHeight="1">
      <c r="B27" s="141" t="n"/>
      <c r="C27" s="141" t="n"/>
      <c r="D27" s="141" t="n"/>
      <c r="E27" s="141" t="n"/>
      <c r="F27" s="141" t="n"/>
      <c r="H27" s="141" t="n"/>
      <c r="I27" s="141" t="n"/>
      <c r="J27" s="141" t="n"/>
      <c r="K27" s="141" t="n"/>
      <c r="L27" s="141" t="n"/>
    </row>
    <row r="28"/>
    <row r="29" ht="28" customHeight="1">
      <c r="B29" s="128" t="inlineStr">
        <is>
          <t>Living room</t>
        </is>
      </c>
      <c r="C29" s="129" t="n"/>
      <c r="D29" s="129" t="n"/>
      <c r="E29" s="129" t="n"/>
      <c r="F29" s="107">
        <f>IF(AC10="","",IF(AC10=0,"🟢 OK",IF(AC10=1,"🟡 Watch","🔴 Act")))</f>
        <v/>
      </c>
      <c r="H29" s="128" t="inlineStr">
        <is>
          <t>Exterior</t>
        </is>
      </c>
      <c r="I29" s="129" t="n"/>
      <c r="J29" s="129" t="n"/>
      <c r="K29" s="129" t="n"/>
      <c r="L29" s="107">
        <f>IF(AC11="","",IF(AC11=0,"🟢 OK",IF(AC11=1,"🟡 Watch","🔴 Act")))</f>
        <v/>
      </c>
    </row>
    <row r="30" ht="21" customHeight="1">
      <c r="B30" s="130">
        <f>"Floor area ("&amp;AreaUnit&amp;")"</f>
        <v/>
      </c>
      <c r="C30" s="131" t="n"/>
      <c r="D30" s="132" t="n">
        <v>32</v>
      </c>
      <c r="E30" s="130">
        <f>"Budget ("&amp;CurSym&amp;")"</f>
        <v/>
      </c>
      <c r="F30" s="73" t="n">
        <v>15000</v>
      </c>
      <c r="H30" s="130">
        <f>"Floor area ("&amp;AreaUnit&amp;")"</f>
        <v/>
      </c>
      <c r="I30" s="131" t="n"/>
      <c r="J30" s="132" t="n"/>
      <c r="K30" s="130">
        <f>"Budget ("&amp;CurSym&amp;")"</f>
        <v/>
      </c>
      <c r="L30" s="73" t="n">
        <v>4000</v>
      </c>
    </row>
    <row r="31" ht="21" customHeight="1">
      <c r="B31" s="130">
        <f>"Committed ("&amp;CurSym&amp;")"</f>
        <v/>
      </c>
      <c r="C31" s="131" t="n"/>
      <c r="D31" s="133">
        <f>T10</f>
        <v/>
      </c>
      <c r="E31" s="130">
        <f>"Paid ("&amp;CurSym&amp;")"</f>
        <v/>
      </c>
      <c r="F31" s="133">
        <f>U10</f>
        <v/>
      </c>
      <c r="H31" s="130">
        <f>"Committed ("&amp;CurSym&amp;")"</f>
        <v/>
      </c>
      <c r="I31" s="131" t="n"/>
      <c r="J31" s="133">
        <f>T11</f>
        <v/>
      </c>
      <c r="K31" s="130">
        <f>"Paid ("&amp;CurSym&amp;")"</f>
        <v/>
      </c>
      <c r="L31" s="133">
        <f>U11</f>
        <v/>
      </c>
    </row>
    <row r="32" ht="21" customHeight="1">
      <c r="B32" s="134" t="inlineStr">
        <is>
          <t>Budget used</t>
        </is>
      </c>
      <c r="C32" s="131" t="n"/>
      <c r="D32" s="135">
        <f>IF(OR(S10="",S10=0),"",REPT("█",ROUND(MIN(1,IF(OR(S10="",S10=0),0,T10/S10))*10,0))&amp;REPT("░",10-ROUND(MIN(1,IF(OR(S10="",S10=0),0,T10/S10))*10,0)))</f>
        <v/>
      </c>
      <c r="F32" s="136">
        <f>IF(OR(S10="",S10=0),"–",IF(OR(S10="",S10=0),0,T10/S10))</f>
        <v/>
      </c>
      <c r="H32" s="134" t="inlineStr">
        <is>
          <t>Budget used</t>
        </is>
      </c>
      <c r="I32" s="131" t="n"/>
      <c r="J32" s="135">
        <f>IF(OR(S11="",S11=0),"",REPT("█",ROUND(MIN(1,IF(OR(S11="",S11=0),0,T11/S11))*10,0))&amp;REPT("░",10-ROUND(MIN(1,IF(OR(S11="",S11=0),0,T11/S11))*10,0)))</f>
        <v/>
      </c>
      <c r="L32" s="136">
        <f>IF(OR(S11="",S11=0),"–",IF(OR(S11="",S11=0),0,T11/S11))</f>
        <v/>
      </c>
    </row>
    <row r="33" ht="21" customHeight="1">
      <c r="B33" s="134" t="inlineStr">
        <is>
          <t>Progress</t>
        </is>
      </c>
      <c r="C33" s="131" t="n"/>
      <c r="D33" s="137">
        <f>IF(X10="","",REPT("█",ROUND(MIN(1,X10)*10,0))&amp;REPT("░",10-ROUND(MIN(1,X10)*10,0)))</f>
        <v/>
      </c>
      <c r="F33" s="136">
        <f>IF(X10="","–",X10)</f>
        <v/>
      </c>
      <c r="H33" s="134" t="inlineStr">
        <is>
          <t>Progress</t>
        </is>
      </c>
      <c r="I33" s="131" t="n"/>
      <c r="J33" s="137">
        <f>IF(X11="","",REPT("█",ROUND(MIN(1,X11)*10,0))&amp;REPT("░",10-ROUND(MIN(1,X11)*10,0)))</f>
        <v/>
      </c>
      <c r="L33" s="136">
        <f>IF(X11="","–",X11)</f>
        <v/>
      </c>
    </row>
    <row r="34" ht="21" customHeight="1">
      <c r="B34" s="134" t="inlineStr">
        <is>
          <t>Tasks done</t>
        </is>
      </c>
      <c r="C34" s="131" t="n"/>
      <c r="D34" s="138">
        <f>W10&amp;" / "&amp;V10</f>
        <v/>
      </c>
      <c r="E34" s="134" t="inlineStr">
        <is>
          <t>Late tasks</t>
        </is>
      </c>
      <c r="F34" s="139">
        <f>AB10</f>
        <v/>
      </c>
      <c r="H34" s="134" t="inlineStr">
        <is>
          <t>Tasks done</t>
        </is>
      </c>
      <c r="I34" s="131" t="n"/>
      <c r="J34" s="138">
        <f>W11&amp;" / "&amp;V11</f>
        <v/>
      </c>
      <c r="K34" s="134" t="inlineStr">
        <is>
          <t>Late tasks</t>
        </is>
      </c>
      <c r="L34" s="139">
        <f>AB11</f>
        <v/>
      </c>
    </row>
    <row r="35" ht="21" customHeight="1">
      <c r="B35" s="134" t="inlineStr">
        <is>
          <t>Decisions waiting</t>
        </is>
      </c>
      <c r="C35" s="131" t="n"/>
      <c r="D35" s="139">
        <f>Y10</f>
        <v/>
      </c>
      <c r="E35" s="134" t="inlineStr">
        <is>
          <t>Open issues</t>
        </is>
      </c>
      <c r="F35" s="139">
        <f>Z10</f>
        <v/>
      </c>
      <c r="H35" s="134" t="inlineStr">
        <is>
          <t>Decisions waiting</t>
        </is>
      </c>
      <c r="I35" s="131" t="n"/>
      <c r="J35" s="139">
        <f>Y11</f>
        <v/>
      </c>
      <c r="K35" s="134" t="inlineStr">
        <is>
          <t>Open issues</t>
        </is>
      </c>
      <c r="L35" s="139">
        <f>Z11</f>
        <v/>
      </c>
    </row>
    <row r="36" ht="21" customHeight="1">
      <c r="B36" s="130">
        <f>"Cost per "&amp;AreaUnit</f>
        <v/>
      </c>
      <c r="C36" s="131" t="n"/>
      <c r="D36" s="133">
        <f>AG10</f>
        <v/>
      </c>
      <c r="E36" s="134" t="inlineStr">
        <is>
          <t>High-severity</t>
        </is>
      </c>
      <c r="F36" s="139">
        <f>AA10</f>
        <v/>
      </c>
      <c r="H36" s="130">
        <f>"Cost per "&amp;AreaUnit</f>
        <v/>
      </c>
      <c r="I36" s="131" t="n"/>
      <c r="J36" s="133">
        <f>AG11</f>
        <v/>
      </c>
      <c r="K36" s="134" t="inlineStr">
        <is>
          <t>High-severity</t>
        </is>
      </c>
      <c r="L36" s="139">
        <f>AA11</f>
        <v/>
      </c>
    </row>
    <row r="37" ht="21" customHeight="1">
      <c r="B37" s="134" t="inlineStr">
        <is>
          <t>Contractors</t>
        </is>
      </c>
      <c r="C37" s="140">
        <f>IF(AD10="","–",AD10&amp;IF(AE10="","",", "&amp;AE10)&amp;IF(AF10="","",", "&amp;AF10))</f>
        <v/>
      </c>
      <c r="H37" s="134" t="inlineStr">
        <is>
          <t>Contractors</t>
        </is>
      </c>
      <c r="I37" s="140">
        <f>IF(AD11="","–",AD11&amp;IF(AE11="","",", "&amp;AE11)&amp;IF(AF11="","",", "&amp;AF11))</f>
        <v/>
      </c>
    </row>
    <row r="38" ht="21" customHeight="1">
      <c r="B38" s="131" t="n"/>
      <c r="C38" s="131" t="n"/>
      <c r="D38" s="131" t="n"/>
      <c r="E38" s="131" t="n"/>
      <c r="F38" s="131" t="n"/>
      <c r="H38" s="131" t="n"/>
      <c r="I38" s="131" t="n"/>
      <c r="J38" s="131" t="n"/>
      <c r="K38" s="131" t="n"/>
      <c r="L38" s="131" t="n"/>
    </row>
    <row r="39" ht="21" customHeight="1">
      <c r="B39" s="141" t="n"/>
      <c r="C39" s="141" t="n"/>
      <c r="D39" s="141" t="n"/>
      <c r="E39" s="141" t="n"/>
      <c r="F39" s="141" t="n"/>
      <c r="H39" s="141" t="n"/>
      <c r="I39" s="141" t="n"/>
      <c r="J39" s="141" t="n"/>
      <c r="K39" s="141" t="n"/>
      <c r="L39" s="141" t="n"/>
    </row>
    <row r="40"/>
    <row r="41" ht="28" customHeight="1">
      <c r="B41" s="128" t="inlineStr">
        <is>
          <t>Custom room 7</t>
        </is>
      </c>
      <c r="C41" s="129" t="n"/>
      <c r="D41" s="129" t="n"/>
      <c r="E41" s="129" t="n"/>
      <c r="F41" s="107">
        <f>IF(AC12="","",IF(AC12=0,"🟢 OK",IF(AC12=1,"🟡 Watch","🔴 Act")))</f>
        <v/>
      </c>
      <c r="H41" s="128" t="inlineStr">
        <is>
          <t>Custom room 8</t>
        </is>
      </c>
      <c r="I41" s="129" t="n"/>
      <c r="J41" s="129" t="n"/>
      <c r="K41" s="129" t="n"/>
      <c r="L41" s="107">
        <f>IF(AC13="","",IF(AC13=0,"🟢 OK",IF(AC13=1,"🟡 Watch","🔴 Act")))</f>
        <v/>
      </c>
    </row>
    <row r="42" ht="21" customHeight="1">
      <c r="B42" s="130">
        <f>"Floor area ("&amp;AreaUnit&amp;")"</f>
        <v/>
      </c>
      <c r="C42" s="131" t="n"/>
      <c r="D42" s="132" t="n"/>
      <c r="E42" s="130">
        <f>"Budget ("&amp;CurSym&amp;")"</f>
        <v/>
      </c>
      <c r="F42" s="73" t="n"/>
      <c r="H42" s="130">
        <f>"Floor area ("&amp;AreaUnit&amp;")"</f>
        <v/>
      </c>
      <c r="I42" s="131" t="n"/>
      <c r="J42" s="132" t="n"/>
      <c r="K42" s="130">
        <f>"Budget ("&amp;CurSym&amp;")"</f>
        <v/>
      </c>
      <c r="L42" s="73" t="n"/>
    </row>
    <row r="43" ht="21" customHeight="1">
      <c r="B43" s="130">
        <f>"Committed ("&amp;CurSym&amp;")"</f>
        <v/>
      </c>
      <c r="C43" s="131" t="n"/>
      <c r="D43" s="133">
        <f>T12</f>
        <v/>
      </c>
      <c r="E43" s="130">
        <f>"Paid ("&amp;CurSym&amp;")"</f>
        <v/>
      </c>
      <c r="F43" s="133">
        <f>U12</f>
        <v/>
      </c>
      <c r="H43" s="130">
        <f>"Committed ("&amp;CurSym&amp;")"</f>
        <v/>
      </c>
      <c r="I43" s="131" t="n"/>
      <c r="J43" s="133">
        <f>T13</f>
        <v/>
      </c>
      <c r="K43" s="130">
        <f>"Paid ("&amp;CurSym&amp;")"</f>
        <v/>
      </c>
      <c r="L43" s="133">
        <f>U13</f>
        <v/>
      </c>
    </row>
    <row r="44" ht="21" customHeight="1">
      <c r="B44" s="134" t="inlineStr">
        <is>
          <t>Budget used</t>
        </is>
      </c>
      <c r="C44" s="131" t="n"/>
      <c r="D44" s="135">
        <f>IF(OR(S12="",S12=0),"",REPT("█",ROUND(MIN(1,IF(OR(S12="",S12=0),0,T12/S12))*10,0))&amp;REPT("░",10-ROUND(MIN(1,IF(OR(S12="",S12=0),0,T12/S12))*10,0)))</f>
        <v/>
      </c>
      <c r="F44" s="136">
        <f>IF(OR(S12="",S12=0),"–",IF(OR(S12="",S12=0),0,T12/S12))</f>
        <v/>
      </c>
      <c r="H44" s="134" t="inlineStr">
        <is>
          <t>Budget used</t>
        </is>
      </c>
      <c r="I44" s="131" t="n"/>
      <c r="J44" s="135">
        <f>IF(OR(S13="",S13=0),"",REPT("█",ROUND(MIN(1,IF(OR(S13="",S13=0),0,T13/S13))*10,0))&amp;REPT("░",10-ROUND(MIN(1,IF(OR(S13="",S13=0),0,T13/S13))*10,0)))</f>
        <v/>
      </c>
      <c r="L44" s="136">
        <f>IF(OR(S13="",S13=0),"–",IF(OR(S13="",S13=0),0,T13/S13))</f>
        <v/>
      </c>
    </row>
    <row r="45" ht="21" customHeight="1">
      <c r="B45" s="134" t="inlineStr">
        <is>
          <t>Progress</t>
        </is>
      </c>
      <c r="C45" s="131" t="n"/>
      <c r="D45" s="137">
        <f>IF(X12="","",REPT("█",ROUND(MIN(1,X12)*10,0))&amp;REPT("░",10-ROUND(MIN(1,X12)*10,0)))</f>
        <v/>
      </c>
      <c r="F45" s="136">
        <f>IF(X12="","–",X12)</f>
        <v/>
      </c>
      <c r="H45" s="134" t="inlineStr">
        <is>
          <t>Progress</t>
        </is>
      </c>
      <c r="I45" s="131" t="n"/>
      <c r="J45" s="137">
        <f>IF(X13="","",REPT("█",ROUND(MIN(1,X13)*10,0))&amp;REPT("░",10-ROUND(MIN(1,X13)*10,0)))</f>
        <v/>
      </c>
      <c r="L45" s="136">
        <f>IF(X13="","–",X13)</f>
        <v/>
      </c>
    </row>
    <row r="46" ht="21" customHeight="1">
      <c r="B46" s="134" t="inlineStr">
        <is>
          <t>Tasks done</t>
        </is>
      </c>
      <c r="C46" s="131" t="n"/>
      <c r="D46" s="138">
        <f>W12&amp;" / "&amp;V12</f>
        <v/>
      </c>
      <c r="E46" s="134" t="inlineStr">
        <is>
          <t>Late tasks</t>
        </is>
      </c>
      <c r="F46" s="139">
        <f>AB12</f>
        <v/>
      </c>
      <c r="H46" s="134" t="inlineStr">
        <is>
          <t>Tasks done</t>
        </is>
      </c>
      <c r="I46" s="131" t="n"/>
      <c r="J46" s="138">
        <f>W13&amp;" / "&amp;V13</f>
        <v/>
      </c>
      <c r="K46" s="134" t="inlineStr">
        <is>
          <t>Late tasks</t>
        </is>
      </c>
      <c r="L46" s="139">
        <f>AB13</f>
        <v/>
      </c>
    </row>
    <row r="47" ht="21" customHeight="1">
      <c r="B47" s="134" t="inlineStr">
        <is>
          <t>Decisions waiting</t>
        </is>
      </c>
      <c r="C47" s="131" t="n"/>
      <c r="D47" s="139">
        <f>Y12</f>
        <v/>
      </c>
      <c r="E47" s="134" t="inlineStr">
        <is>
          <t>Open issues</t>
        </is>
      </c>
      <c r="F47" s="139">
        <f>Z12</f>
        <v/>
      </c>
      <c r="H47" s="134" t="inlineStr">
        <is>
          <t>Decisions waiting</t>
        </is>
      </c>
      <c r="I47" s="131" t="n"/>
      <c r="J47" s="139">
        <f>Y13</f>
        <v/>
      </c>
      <c r="K47" s="134" t="inlineStr">
        <is>
          <t>Open issues</t>
        </is>
      </c>
      <c r="L47" s="139">
        <f>Z13</f>
        <v/>
      </c>
    </row>
    <row r="48" ht="21" customHeight="1">
      <c r="B48" s="130">
        <f>"Cost per "&amp;AreaUnit</f>
        <v/>
      </c>
      <c r="C48" s="131" t="n"/>
      <c r="D48" s="133">
        <f>AG12</f>
        <v/>
      </c>
      <c r="E48" s="134" t="inlineStr">
        <is>
          <t>High-severity</t>
        </is>
      </c>
      <c r="F48" s="139">
        <f>AA12</f>
        <v/>
      </c>
      <c r="H48" s="130">
        <f>"Cost per "&amp;AreaUnit</f>
        <v/>
      </c>
      <c r="I48" s="131" t="n"/>
      <c r="J48" s="133">
        <f>AG13</f>
        <v/>
      </c>
      <c r="K48" s="134" t="inlineStr">
        <is>
          <t>High-severity</t>
        </is>
      </c>
      <c r="L48" s="139">
        <f>AA13</f>
        <v/>
      </c>
    </row>
    <row r="49" ht="21" customHeight="1">
      <c r="B49" s="134" t="inlineStr">
        <is>
          <t>Contractors</t>
        </is>
      </c>
      <c r="C49" s="140">
        <f>IF(AD12="","–",AD12&amp;IF(AE12="","",", "&amp;AE12)&amp;IF(AF12="","",", "&amp;AF12))</f>
        <v/>
      </c>
      <c r="H49" s="134" t="inlineStr">
        <is>
          <t>Contractors</t>
        </is>
      </c>
      <c r="I49" s="140">
        <f>IF(AD13="","–",AD13&amp;IF(AE13="","",", "&amp;AE13)&amp;IF(AF13="","",", "&amp;AF13))</f>
        <v/>
      </c>
    </row>
    <row r="50" ht="21" customHeight="1">
      <c r="B50" s="131" t="n"/>
      <c r="C50" s="131" t="n"/>
      <c r="D50" s="131" t="n"/>
      <c r="E50" s="131" t="n"/>
      <c r="F50" s="131" t="n"/>
      <c r="H50" s="131" t="n"/>
      <c r="I50" s="131" t="n"/>
      <c r="J50" s="131" t="n"/>
      <c r="K50" s="131" t="n"/>
      <c r="L50" s="131" t="n"/>
    </row>
    <row r="51" ht="21" customHeight="1">
      <c r="B51" s="141" t="n"/>
      <c r="C51" s="141" t="n"/>
      <c r="D51" s="141" t="n"/>
      <c r="E51" s="141" t="n"/>
      <c r="F51" s="141" t="n"/>
      <c r="H51" s="141" t="n"/>
      <c r="I51" s="141" t="n"/>
      <c r="J51" s="141" t="n"/>
      <c r="K51" s="141" t="n"/>
      <c r="L51" s="141" t="n"/>
    </row>
    <row r="52"/>
    <row r="53" ht="28" customHeight="1">
      <c r="B53" s="128" t="inlineStr">
        <is>
          <t>Custom room 9</t>
        </is>
      </c>
      <c r="C53" s="129" t="n"/>
      <c r="D53" s="129" t="n"/>
      <c r="E53" s="129" t="n"/>
      <c r="F53" s="107">
        <f>IF(AC14="","",IF(AC14=0,"🟢 OK",IF(AC14=1,"🟡 Watch","🔴 Act")))</f>
        <v/>
      </c>
      <c r="H53" s="128" t="inlineStr">
        <is>
          <t>Custom room 10</t>
        </is>
      </c>
      <c r="I53" s="129" t="n"/>
      <c r="J53" s="129" t="n"/>
      <c r="K53" s="129" t="n"/>
      <c r="L53" s="107">
        <f>IF(AC15="","",IF(AC15=0,"🟢 OK",IF(AC15=1,"🟡 Watch","🔴 Act")))</f>
        <v/>
      </c>
    </row>
    <row r="54" ht="21" customHeight="1">
      <c r="B54" s="130">
        <f>"Floor area ("&amp;AreaUnit&amp;")"</f>
        <v/>
      </c>
      <c r="C54" s="131" t="n"/>
      <c r="D54" s="132" t="n"/>
      <c r="E54" s="130">
        <f>"Budget ("&amp;CurSym&amp;")"</f>
        <v/>
      </c>
      <c r="F54" s="73" t="n"/>
      <c r="H54" s="130">
        <f>"Floor area ("&amp;AreaUnit&amp;")"</f>
        <v/>
      </c>
      <c r="I54" s="131" t="n"/>
      <c r="J54" s="132" t="n"/>
      <c r="K54" s="130">
        <f>"Budget ("&amp;CurSym&amp;")"</f>
        <v/>
      </c>
      <c r="L54" s="73" t="n"/>
    </row>
    <row r="55" ht="21" customHeight="1">
      <c r="B55" s="130">
        <f>"Committed ("&amp;CurSym&amp;")"</f>
        <v/>
      </c>
      <c r="C55" s="131" t="n"/>
      <c r="D55" s="133">
        <f>T14</f>
        <v/>
      </c>
      <c r="E55" s="130">
        <f>"Paid ("&amp;CurSym&amp;")"</f>
        <v/>
      </c>
      <c r="F55" s="133">
        <f>U14</f>
        <v/>
      </c>
      <c r="H55" s="130">
        <f>"Committed ("&amp;CurSym&amp;")"</f>
        <v/>
      </c>
      <c r="I55" s="131" t="n"/>
      <c r="J55" s="133">
        <f>T15</f>
        <v/>
      </c>
      <c r="K55" s="130">
        <f>"Paid ("&amp;CurSym&amp;")"</f>
        <v/>
      </c>
      <c r="L55" s="133">
        <f>U15</f>
        <v/>
      </c>
    </row>
    <row r="56" ht="21" customHeight="1">
      <c r="B56" s="134" t="inlineStr">
        <is>
          <t>Budget used</t>
        </is>
      </c>
      <c r="C56" s="131" t="n"/>
      <c r="D56" s="135">
        <f>IF(OR(S14="",S14=0),"",REPT("█",ROUND(MIN(1,IF(OR(S14="",S14=0),0,T14/S14))*10,0))&amp;REPT("░",10-ROUND(MIN(1,IF(OR(S14="",S14=0),0,T14/S14))*10,0)))</f>
        <v/>
      </c>
      <c r="F56" s="136">
        <f>IF(OR(S14="",S14=0),"–",IF(OR(S14="",S14=0),0,T14/S14))</f>
        <v/>
      </c>
      <c r="H56" s="134" t="inlineStr">
        <is>
          <t>Budget used</t>
        </is>
      </c>
      <c r="I56" s="131" t="n"/>
      <c r="J56" s="135">
        <f>IF(OR(S15="",S15=0),"",REPT("█",ROUND(MIN(1,IF(OR(S15="",S15=0),0,T15/S15))*10,0))&amp;REPT("░",10-ROUND(MIN(1,IF(OR(S15="",S15=0),0,T15/S15))*10,0)))</f>
        <v/>
      </c>
      <c r="L56" s="136">
        <f>IF(OR(S15="",S15=0),"–",IF(OR(S15="",S15=0),0,T15/S15))</f>
        <v/>
      </c>
    </row>
    <row r="57" ht="21" customHeight="1">
      <c r="B57" s="134" t="inlineStr">
        <is>
          <t>Progress</t>
        </is>
      </c>
      <c r="C57" s="131" t="n"/>
      <c r="D57" s="137">
        <f>IF(X14="","",REPT("█",ROUND(MIN(1,X14)*10,0))&amp;REPT("░",10-ROUND(MIN(1,X14)*10,0)))</f>
        <v/>
      </c>
      <c r="F57" s="136">
        <f>IF(X14="","–",X14)</f>
        <v/>
      </c>
      <c r="H57" s="134" t="inlineStr">
        <is>
          <t>Progress</t>
        </is>
      </c>
      <c r="I57" s="131" t="n"/>
      <c r="J57" s="137">
        <f>IF(X15="","",REPT("█",ROUND(MIN(1,X15)*10,0))&amp;REPT("░",10-ROUND(MIN(1,X15)*10,0)))</f>
        <v/>
      </c>
      <c r="L57" s="136">
        <f>IF(X15="","–",X15)</f>
        <v/>
      </c>
    </row>
    <row r="58" ht="21" customHeight="1">
      <c r="B58" s="134" t="inlineStr">
        <is>
          <t>Tasks done</t>
        </is>
      </c>
      <c r="C58" s="131" t="n"/>
      <c r="D58" s="138">
        <f>W14&amp;" / "&amp;V14</f>
        <v/>
      </c>
      <c r="E58" s="134" t="inlineStr">
        <is>
          <t>Late tasks</t>
        </is>
      </c>
      <c r="F58" s="139">
        <f>AB14</f>
        <v/>
      </c>
      <c r="H58" s="134" t="inlineStr">
        <is>
          <t>Tasks done</t>
        </is>
      </c>
      <c r="I58" s="131" t="n"/>
      <c r="J58" s="138">
        <f>W15&amp;" / "&amp;V15</f>
        <v/>
      </c>
      <c r="K58" s="134" t="inlineStr">
        <is>
          <t>Late tasks</t>
        </is>
      </c>
      <c r="L58" s="139">
        <f>AB15</f>
        <v/>
      </c>
    </row>
    <row r="59" ht="21" customHeight="1">
      <c r="B59" s="134" t="inlineStr">
        <is>
          <t>Decisions waiting</t>
        </is>
      </c>
      <c r="C59" s="131" t="n"/>
      <c r="D59" s="139">
        <f>Y14</f>
        <v/>
      </c>
      <c r="E59" s="134" t="inlineStr">
        <is>
          <t>Open issues</t>
        </is>
      </c>
      <c r="F59" s="139">
        <f>Z14</f>
        <v/>
      </c>
      <c r="H59" s="134" t="inlineStr">
        <is>
          <t>Decisions waiting</t>
        </is>
      </c>
      <c r="I59" s="131" t="n"/>
      <c r="J59" s="139">
        <f>Y15</f>
        <v/>
      </c>
      <c r="K59" s="134" t="inlineStr">
        <is>
          <t>Open issues</t>
        </is>
      </c>
      <c r="L59" s="139">
        <f>Z15</f>
        <v/>
      </c>
    </row>
    <row r="60" ht="21" customHeight="1">
      <c r="B60" s="130">
        <f>"Cost per "&amp;AreaUnit</f>
        <v/>
      </c>
      <c r="C60" s="131" t="n"/>
      <c r="D60" s="133">
        <f>AG14</f>
        <v/>
      </c>
      <c r="E60" s="134" t="inlineStr">
        <is>
          <t>High-severity</t>
        </is>
      </c>
      <c r="F60" s="139">
        <f>AA14</f>
        <v/>
      </c>
      <c r="H60" s="130">
        <f>"Cost per "&amp;AreaUnit</f>
        <v/>
      </c>
      <c r="I60" s="131" t="n"/>
      <c r="J60" s="133">
        <f>AG15</f>
        <v/>
      </c>
      <c r="K60" s="134" t="inlineStr">
        <is>
          <t>High-severity</t>
        </is>
      </c>
      <c r="L60" s="139">
        <f>AA15</f>
        <v/>
      </c>
    </row>
    <row r="61" ht="21" customHeight="1">
      <c r="B61" s="134" t="inlineStr">
        <is>
          <t>Contractors</t>
        </is>
      </c>
      <c r="C61" s="140">
        <f>IF(AD14="","–",AD14&amp;IF(AE14="","",", "&amp;AE14)&amp;IF(AF14="","",", "&amp;AF14))</f>
        <v/>
      </c>
      <c r="H61" s="134" t="inlineStr">
        <is>
          <t>Contractors</t>
        </is>
      </c>
      <c r="I61" s="140">
        <f>IF(AD15="","–",AD15&amp;IF(AE15="","",", "&amp;AE15)&amp;IF(AF15="","",", "&amp;AF15))</f>
        <v/>
      </c>
    </row>
    <row r="62" ht="21" customHeight="1">
      <c r="B62" s="131" t="n"/>
      <c r="C62" s="131" t="n"/>
      <c r="D62" s="131" t="n"/>
      <c r="E62" s="131" t="n"/>
      <c r="F62" s="131" t="n"/>
      <c r="H62" s="131" t="n"/>
      <c r="I62" s="131" t="n"/>
      <c r="J62" s="131" t="n"/>
      <c r="K62" s="131" t="n"/>
      <c r="L62" s="131" t="n"/>
    </row>
    <row r="63" ht="21" customHeight="1">
      <c r="B63" s="141" t="n"/>
      <c r="C63" s="141" t="n"/>
      <c r="D63" s="141" t="n"/>
      <c r="E63" s="141" t="n"/>
      <c r="F63" s="141" t="n"/>
      <c r="H63" s="141" t="n"/>
      <c r="I63" s="141" t="n"/>
      <c r="J63" s="141" t="n"/>
      <c r="K63" s="141" t="n"/>
      <c r="L63" s="141" t="n"/>
    </row>
  </sheetData>
  <sheetProtection selectLockedCells="1" selectUnlockedCells="0" sheet="1" objects="0" insertRows="1" insertHyperlinks="1" autoFilter="1" scenarios="0" formatColumns="0" deleteColumns="1" insertColumns="1" pivotTables="1" deleteRows="1" formatCells="1" formatRows="0" sort="1" password="CD61"/>
  <mergeCells count="40">
    <mergeCell ref="D20:E20"/>
    <mergeCell ref="J44:K44"/>
    <mergeCell ref="C61:F61"/>
    <mergeCell ref="J57:K57"/>
    <mergeCell ref="B5:E5"/>
    <mergeCell ref="C37:F37"/>
    <mergeCell ref="D45:E45"/>
    <mergeCell ref="H5:K5"/>
    <mergeCell ref="D21:E21"/>
    <mergeCell ref="C13:F13"/>
    <mergeCell ref="I13:L13"/>
    <mergeCell ref="J9:K9"/>
    <mergeCell ref="B41:E41"/>
    <mergeCell ref="C49:F49"/>
    <mergeCell ref="D57:E57"/>
    <mergeCell ref="H53:K53"/>
    <mergeCell ref="D32:E32"/>
    <mergeCell ref="H29:K29"/>
    <mergeCell ref="J45:K45"/>
    <mergeCell ref="I49:L49"/>
    <mergeCell ref="H41:K41"/>
    <mergeCell ref="I61:L61"/>
    <mergeCell ref="J20:K20"/>
    <mergeCell ref="J32:K32"/>
    <mergeCell ref="C25:F25"/>
    <mergeCell ref="I25:L25"/>
    <mergeCell ref="D56:E56"/>
    <mergeCell ref="D9:E9"/>
    <mergeCell ref="I37:L37"/>
    <mergeCell ref="D8:E8"/>
    <mergeCell ref="J56:K56"/>
    <mergeCell ref="B17:E17"/>
    <mergeCell ref="J21:K21"/>
    <mergeCell ref="B53:E53"/>
    <mergeCell ref="H17:K17"/>
    <mergeCell ref="D33:E33"/>
    <mergeCell ref="B29:E29"/>
    <mergeCell ref="J33:K33"/>
    <mergeCell ref="J8:K8"/>
    <mergeCell ref="D44:E44"/>
  </mergeCells>
  <conditionalFormatting sqref="F5">
    <cfRule type="expression" priority="1" dxfId="0" stopIfTrue="0">
      <formula>$AC$6=2</formula>
    </cfRule>
    <cfRule type="expression" priority="2" dxfId="2" stopIfTrue="0">
      <formula>$AC$6=1</formula>
    </cfRule>
    <cfRule type="expression" priority="3" dxfId="3" stopIfTrue="0">
      <formula>$AC$6=0</formula>
    </cfRule>
  </conditionalFormatting>
  <conditionalFormatting sqref="D8:F8">
    <cfRule type="expression" priority="4" dxfId="0" stopIfTrue="0">
      <formula>IF(OR($S$6="",$S$6=0),0,$T$6/$S$6)&gt;1</formula>
    </cfRule>
  </conditionalFormatting>
  <conditionalFormatting sqref="F10">
    <cfRule type="expression" priority="5" dxfId="0" stopIfTrue="0">
      <formula>F10&gt;0</formula>
    </cfRule>
  </conditionalFormatting>
  <conditionalFormatting sqref="F12">
    <cfRule type="expression" priority="6" dxfId="0" stopIfTrue="0">
      <formula>F12&gt;0</formula>
    </cfRule>
  </conditionalFormatting>
  <conditionalFormatting sqref="F11">
    <cfRule type="expression" priority="7" dxfId="2" stopIfTrue="0">
      <formula>F11&gt;0</formula>
    </cfRule>
  </conditionalFormatting>
  <conditionalFormatting sqref="D11">
    <cfRule type="expression" priority="8" dxfId="2" stopIfTrue="0">
      <formula>D11&gt;0</formula>
    </cfRule>
  </conditionalFormatting>
  <conditionalFormatting sqref="L5">
    <cfRule type="expression" priority="9" dxfId="0" stopIfTrue="0">
      <formula>$AC$7=2</formula>
    </cfRule>
    <cfRule type="expression" priority="10" dxfId="2" stopIfTrue="0">
      <formula>$AC$7=1</formula>
    </cfRule>
    <cfRule type="expression" priority="11" dxfId="3" stopIfTrue="0">
      <formula>$AC$7=0</formula>
    </cfRule>
  </conditionalFormatting>
  <conditionalFormatting sqref="J8:L8">
    <cfRule type="expression" priority="12" dxfId="0" stopIfTrue="0">
      <formula>IF(OR($S$7="",$S$7=0),0,$T$7/$S$7)&gt;1</formula>
    </cfRule>
  </conditionalFormatting>
  <conditionalFormatting sqref="L10">
    <cfRule type="expression" priority="13" dxfId="0" stopIfTrue="0">
      <formula>L10&gt;0</formula>
    </cfRule>
  </conditionalFormatting>
  <conditionalFormatting sqref="L12">
    <cfRule type="expression" priority="14" dxfId="0" stopIfTrue="0">
      <formula>L12&gt;0</formula>
    </cfRule>
  </conditionalFormatting>
  <conditionalFormatting sqref="L11">
    <cfRule type="expression" priority="15" dxfId="2" stopIfTrue="0">
      <formula>L11&gt;0</formula>
    </cfRule>
  </conditionalFormatting>
  <conditionalFormatting sqref="J11">
    <cfRule type="expression" priority="16" dxfId="2" stopIfTrue="0">
      <formula>J11&gt;0</formula>
    </cfRule>
  </conditionalFormatting>
  <conditionalFormatting sqref="F17">
    <cfRule type="expression" priority="17" dxfId="0" stopIfTrue="0">
      <formula>$AC$8=2</formula>
    </cfRule>
    <cfRule type="expression" priority="18" dxfId="2" stopIfTrue="0">
      <formula>$AC$8=1</formula>
    </cfRule>
    <cfRule type="expression" priority="19" dxfId="3" stopIfTrue="0">
      <formula>$AC$8=0</formula>
    </cfRule>
  </conditionalFormatting>
  <conditionalFormatting sqref="D20:F20">
    <cfRule type="expression" priority="20" dxfId="0" stopIfTrue="0">
      <formula>IF(OR($S$8="",$S$8=0),0,$T$8/$S$8)&gt;1</formula>
    </cfRule>
  </conditionalFormatting>
  <conditionalFormatting sqref="F22">
    <cfRule type="expression" priority="21" dxfId="0" stopIfTrue="0">
      <formula>F22&gt;0</formula>
    </cfRule>
  </conditionalFormatting>
  <conditionalFormatting sqref="F24">
    <cfRule type="expression" priority="22" dxfId="0" stopIfTrue="0">
      <formula>F24&gt;0</formula>
    </cfRule>
  </conditionalFormatting>
  <conditionalFormatting sqref="F23">
    <cfRule type="expression" priority="23" dxfId="2" stopIfTrue="0">
      <formula>F23&gt;0</formula>
    </cfRule>
  </conditionalFormatting>
  <conditionalFormatting sqref="D23">
    <cfRule type="expression" priority="24" dxfId="2" stopIfTrue="0">
      <formula>D23&gt;0</formula>
    </cfRule>
  </conditionalFormatting>
  <conditionalFormatting sqref="L17">
    <cfRule type="expression" priority="25" dxfId="0" stopIfTrue="0">
      <formula>$AC$9=2</formula>
    </cfRule>
    <cfRule type="expression" priority="26" dxfId="2" stopIfTrue="0">
      <formula>$AC$9=1</formula>
    </cfRule>
    <cfRule type="expression" priority="27" dxfId="3" stopIfTrue="0">
      <formula>$AC$9=0</formula>
    </cfRule>
  </conditionalFormatting>
  <conditionalFormatting sqref="J20:L20">
    <cfRule type="expression" priority="28" dxfId="0" stopIfTrue="0">
      <formula>IF(OR($S$9="",$S$9=0),0,$T$9/$S$9)&gt;1</formula>
    </cfRule>
  </conditionalFormatting>
  <conditionalFormatting sqref="L22">
    <cfRule type="expression" priority="29" dxfId="0" stopIfTrue="0">
      <formula>L22&gt;0</formula>
    </cfRule>
  </conditionalFormatting>
  <conditionalFormatting sqref="L24">
    <cfRule type="expression" priority="30" dxfId="0" stopIfTrue="0">
      <formula>L24&gt;0</formula>
    </cfRule>
  </conditionalFormatting>
  <conditionalFormatting sqref="L23">
    <cfRule type="expression" priority="31" dxfId="2" stopIfTrue="0">
      <formula>L23&gt;0</formula>
    </cfRule>
  </conditionalFormatting>
  <conditionalFormatting sqref="J23">
    <cfRule type="expression" priority="32" dxfId="2" stopIfTrue="0">
      <formula>J23&gt;0</formula>
    </cfRule>
  </conditionalFormatting>
  <conditionalFormatting sqref="F29">
    <cfRule type="expression" priority="33" dxfId="0" stopIfTrue="0">
      <formula>$AC$10=2</formula>
    </cfRule>
    <cfRule type="expression" priority="34" dxfId="2" stopIfTrue="0">
      <formula>$AC$10=1</formula>
    </cfRule>
    <cfRule type="expression" priority="35" dxfId="3" stopIfTrue="0">
      <formula>$AC$10=0</formula>
    </cfRule>
  </conditionalFormatting>
  <conditionalFormatting sqref="D32:F32">
    <cfRule type="expression" priority="36" dxfId="0" stopIfTrue="0">
      <formula>IF(OR($S$10="",$S$10=0),0,$T$10/$S$10)&gt;1</formula>
    </cfRule>
  </conditionalFormatting>
  <conditionalFormatting sqref="F34">
    <cfRule type="expression" priority="37" dxfId="0" stopIfTrue="0">
      <formula>F34&gt;0</formula>
    </cfRule>
  </conditionalFormatting>
  <conditionalFormatting sqref="F36">
    <cfRule type="expression" priority="38" dxfId="0" stopIfTrue="0">
      <formula>F36&gt;0</formula>
    </cfRule>
  </conditionalFormatting>
  <conditionalFormatting sqref="F35">
    <cfRule type="expression" priority="39" dxfId="2" stopIfTrue="0">
      <formula>F35&gt;0</formula>
    </cfRule>
  </conditionalFormatting>
  <conditionalFormatting sqref="D35">
    <cfRule type="expression" priority="40" dxfId="2" stopIfTrue="0">
      <formula>D35&gt;0</formula>
    </cfRule>
  </conditionalFormatting>
  <conditionalFormatting sqref="L29">
    <cfRule type="expression" priority="41" dxfId="0" stopIfTrue="0">
      <formula>$AC$11=2</formula>
    </cfRule>
    <cfRule type="expression" priority="42" dxfId="2" stopIfTrue="0">
      <formula>$AC$11=1</formula>
    </cfRule>
    <cfRule type="expression" priority="43" dxfId="3" stopIfTrue="0">
      <formula>$AC$11=0</formula>
    </cfRule>
  </conditionalFormatting>
  <conditionalFormatting sqref="J32:L32">
    <cfRule type="expression" priority="44" dxfId="0" stopIfTrue="0">
      <formula>IF(OR($S$11="",$S$11=0),0,$T$11/$S$11)&gt;1</formula>
    </cfRule>
  </conditionalFormatting>
  <conditionalFormatting sqref="L34">
    <cfRule type="expression" priority="45" dxfId="0" stopIfTrue="0">
      <formula>L34&gt;0</formula>
    </cfRule>
  </conditionalFormatting>
  <conditionalFormatting sqref="L36">
    <cfRule type="expression" priority="46" dxfId="0" stopIfTrue="0">
      <formula>L36&gt;0</formula>
    </cfRule>
  </conditionalFormatting>
  <conditionalFormatting sqref="L35">
    <cfRule type="expression" priority="47" dxfId="2" stopIfTrue="0">
      <formula>L35&gt;0</formula>
    </cfRule>
  </conditionalFormatting>
  <conditionalFormatting sqref="J35">
    <cfRule type="expression" priority="48" dxfId="2" stopIfTrue="0">
      <formula>J35&gt;0</formula>
    </cfRule>
  </conditionalFormatting>
  <conditionalFormatting sqref="F41">
    <cfRule type="expression" priority="49" dxfId="0" stopIfTrue="0">
      <formula>$AC$12=2</formula>
    </cfRule>
    <cfRule type="expression" priority="50" dxfId="2" stopIfTrue="0">
      <formula>$AC$12=1</formula>
    </cfRule>
    <cfRule type="expression" priority="51" dxfId="3" stopIfTrue="0">
      <formula>$AC$12=0</formula>
    </cfRule>
  </conditionalFormatting>
  <conditionalFormatting sqref="D44:F44">
    <cfRule type="expression" priority="52" dxfId="0" stopIfTrue="0">
      <formula>IF(OR($S$12="",$S$12=0),0,$T$12/$S$12)&gt;1</formula>
    </cfRule>
  </conditionalFormatting>
  <conditionalFormatting sqref="F46">
    <cfRule type="expression" priority="53" dxfId="0" stopIfTrue="0">
      <formula>F46&gt;0</formula>
    </cfRule>
  </conditionalFormatting>
  <conditionalFormatting sqref="F48">
    <cfRule type="expression" priority="54" dxfId="0" stopIfTrue="0">
      <formula>F48&gt;0</formula>
    </cfRule>
  </conditionalFormatting>
  <conditionalFormatting sqref="F47">
    <cfRule type="expression" priority="55" dxfId="2" stopIfTrue="0">
      <formula>F47&gt;0</formula>
    </cfRule>
  </conditionalFormatting>
  <conditionalFormatting sqref="D47">
    <cfRule type="expression" priority="56" dxfId="2" stopIfTrue="0">
      <formula>D47&gt;0</formula>
    </cfRule>
  </conditionalFormatting>
  <conditionalFormatting sqref="L41">
    <cfRule type="expression" priority="57" dxfId="0" stopIfTrue="0">
      <formula>$AC$13=2</formula>
    </cfRule>
    <cfRule type="expression" priority="58" dxfId="2" stopIfTrue="0">
      <formula>$AC$13=1</formula>
    </cfRule>
    <cfRule type="expression" priority="59" dxfId="3" stopIfTrue="0">
      <formula>$AC$13=0</formula>
    </cfRule>
  </conditionalFormatting>
  <conditionalFormatting sqref="J44:L44">
    <cfRule type="expression" priority="60" dxfId="0" stopIfTrue="0">
      <formula>IF(OR($S$13="",$S$13=0),0,$T$13/$S$13)&gt;1</formula>
    </cfRule>
  </conditionalFormatting>
  <conditionalFormatting sqref="L46">
    <cfRule type="expression" priority="61" dxfId="0" stopIfTrue="0">
      <formula>L46&gt;0</formula>
    </cfRule>
  </conditionalFormatting>
  <conditionalFormatting sqref="L48">
    <cfRule type="expression" priority="62" dxfId="0" stopIfTrue="0">
      <formula>L48&gt;0</formula>
    </cfRule>
  </conditionalFormatting>
  <conditionalFormatting sqref="L47">
    <cfRule type="expression" priority="63" dxfId="2" stopIfTrue="0">
      <formula>L47&gt;0</formula>
    </cfRule>
  </conditionalFormatting>
  <conditionalFormatting sqref="J47">
    <cfRule type="expression" priority="64" dxfId="2" stopIfTrue="0">
      <formula>J47&gt;0</formula>
    </cfRule>
  </conditionalFormatting>
  <conditionalFormatting sqref="F53">
    <cfRule type="expression" priority="65" dxfId="0" stopIfTrue="0">
      <formula>$AC$14=2</formula>
    </cfRule>
    <cfRule type="expression" priority="66" dxfId="2" stopIfTrue="0">
      <formula>$AC$14=1</formula>
    </cfRule>
    <cfRule type="expression" priority="67" dxfId="3" stopIfTrue="0">
      <formula>$AC$14=0</formula>
    </cfRule>
  </conditionalFormatting>
  <conditionalFormatting sqref="D56:F56">
    <cfRule type="expression" priority="68" dxfId="0" stopIfTrue="0">
      <formula>IF(OR($S$14="",$S$14=0),0,$T$14/$S$14)&gt;1</formula>
    </cfRule>
  </conditionalFormatting>
  <conditionalFormatting sqref="F58">
    <cfRule type="expression" priority="69" dxfId="0" stopIfTrue="0">
      <formula>F58&gt;0</formula>
    </cfRule>
  </conditionalFormatting>
  <conditionalFormatting sqref="F60">
    <cfRule type="expression" priority="70" dxfId="0" stopIfTrue="0">
      <formula>F60&gt;0</formula>
    </cfRule>
  </conditionalFormatting>
  <conditionalFormatting sqref="F59">
    <cfRule type="expression" priority="71" dxfId="2" stopIfTrue="0">
      <formula>F59&gt;0</formula>
    </cfRule>
  </conditionalFormatting>
  <conditionalFormatting sqref="D59">
    <cfRule type="expression" priority="72" dxfId="2" stopIfTrue="0">
      <formula>D59&gt;0</formula>
    </cfRule>
  </conditionalFormatting>
  <conditionalFormatting sqref="L53">
    <cfRule type="expression" priority="73" dxfId="0" stopIfTrue="0">
      <formula>$AC$15=2</formula>
    </cfRule>
    <cfRule type="expression" priority="74" dxfId="2" stopIfTrue="0">
      <formula>$AC$15=1</formula>
    </cfRule>
    <cfRule type="expression" priority="75" dxfId="3" stopIfTrue="0">
      <formula>$AC$15=0</formula>
    </cfRule>
  </conditionalFormatting>
  <conditionalFormatting sqref="J56:L56">
    <cfRule type="expression" priority="76" dxfId="0" stopIfTrue="0">
      <formula>IF(OR($S$15="",$S$15=0),0,$T$15/$S$15)&gt;1</formula>
    </cfRule>
  </conditionalFormatting>
  <conditionalFormatting sqref="L58">
    <cfRule type="expression" priority="77" dxfId="0" stopIfTrue="0">
      <formula>L58&gt;0</formula>
    </cfRule>
  </conditionalFormatting>
  <conditionalFormatting sqref="L60">
    <cfRule type="expression" priority="78" dxfId="0" stopIfTrue="0">
      <formula>L60&gt;0</formula>
    </cfRule>
  </conditionalFormatting>
  <conditionalFormatting sqref="L59">
    <cfRule type="expression" priority="79" dxfId="2" stopIfTrue="0">
      <formula>L59&gt;0</formula>
    </cfRule>
  </conditionalFormatting>
  <conditionalFormatting sqref="J59">
    <cfRule type="expression" priority="80" dxfId="2" stopIfTrue="0">
      <formula>J59&gt;0</formula>
    </cfRule>
  </conditionalFormatting>
  <pageMargins left="0.75" right="0.75" top="1" bottom="1" header="0.5" footer="0.5"/>
  <headerFooter>
    <oddHeader/>
    <oddFooter>&amp;L&amp;8 © 2026 Hang Nguyen · Renovation OS&amp;R&amp;8 Personal licence — do not share or resell</oddFooter>
    <evenHeader/>
    <evenFooter/>
    <firstHeader/>
    <firstFooter/>
  </headerFooter>
</worksheet>
</file>

<file path=xl/worksheets/sheet11.xml><?xml version="1.0" encoding="utf-8"?>
<worksheet xmlns="http://schemas.openxmlformats.org/spreadsheetml/2006/main">
  <sheetPr>
    <tabColor rgb="00E07B00"/>
    <outlinePr summaryBelow="1" summaryRight="1"/>
    <pageSetUpPr/>
  </sheetPr>
  <dimension ref="A1:AJ1007"/>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13" customWidth="1" min="3" max="3"/>
    <col width="14" customWidth="1" min="4" max="4"/>
    <col width="15" customWidth="1" min="5" max="5"/>
    <col width="9" customWidth="1" min="6" max="6"/>
    <col width="15" customWidth="1" min="7" max="7"/>
    <col width="9" customWidth="1" min="8" max="8"/>
    <col width="15" customWidth="1" min="9" max="9"/>
    <col width="9" customWidth="1" min="10" max="10"/>
    <col width="8" customWidth="1" min="11" max="11"/>
    <col width="11" customWidth="1" min="12" max="12"/>
    <col width="20" customWidth="1" min="13" max="13"/>
    <col width="16" customWidth="1" min="14" max="14"/>
    <col width="9" customWidth="1" min="15" max="15"/>
    <col width="9" customWidth="1" min="16" max="16"/>
    <col width="12" customWidth="1" min="17" max="17"/>
    <col width="12" customWidth="1" min="18" max="18"/>
    <col width="12" customWidth="1" min="19" max="19"/>
    <col width="12" customWidth="1" min="20" max="20"/>
    <col width="9" customWidth="1" min="21" max="21"/>
    <col width="12" customWidth="1" min="22" max="22"/>
    <col width="12" customWidth="1" min="23" max="23"/>
    <col width="9" customWidth="1" min="24" max="24"/>
    <col width="28"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s>
  <sheetData>
    <row r="1" ht="36" customHeight="1">
      <c r="B1" s="1" t="inlineStr">
        <is>
          <t>🧩 Selections &amp; Orders</t>
        </is>
      </c>
    </row>
    <row r="2" ht="20" customHeight="1">
      <c r="B2" s="2" t="inlineStr">
        <is>
          <t>What this tab does: every choice you must make (tiles, taps, appliances…) with automatic decide-by and order-by dates so nothing holds up the builders.</t>
        </is>
      </c>
    </row>
    <row r="3">
      <c r="B3" s="3" t="inlineStr">
        <is>
          <t>© 2026 Hang Nguyen — Renovation OS. Licensed to the original purchaser for personal use only. Do not share, copy, resell or redistribute.</t>
        </is>
      </c>
    </row>
    <row r="4">
      <c r="B4" s="27" t="inlineStr">
        <is>
          <t>Decisions waiting</t>
        </is>
      </c>
      <c r="E4" s="69">
        <f>"Orders due in next "&amp;AlertDays&amp;" days"</f>
        <v/>
      </c>
      <c r="J4" s="27" t="inlineStr">
        <is>
          <t>Late orders — install at risk</t>
        </is>
      </c>
      <c r="P4" s="27" t="inlineStr">
        <is>
          <t>Deliveries after install date</t>
        </is>
      </c>
    </row>
    <row r="5" ht="30" customHeight="1">
      <c r="B5" s="142">
        <f>SUM($AD$8:$AD$1007)</f>
        <v/>
      </c>
      <c r="E5" s="142">
        <f>SUM($AG$8:$AG$1007)</f>
        <v/>
      </c>
      <c r="J5" s="142">
        <f>SUM($AJ$8:$AJ$1007)</f>
        <v/>
      </c>
      <c r="P5" s="142">
        <f>SUM($AH$8:$AH$1007)-SUM($AJ$8:$AJ$1007)</f>
        <v/>
      </c>
    </row>
    <row r="6"/>
    <row r="7" ht="32" customHeight="1">
      <c r="B7" s="52" t="inlineStr">
        <is>
          <t>Item / decision</t>
        </is>
      </c>
      <c r="C7" s="52" t="inlineStr">
        <is>
          <t>Room</t>
        </is>
      </c>
      <c r="D7" s="52" t="inlineStr">
        <is>
          <t>Budget category</t>
        </is>
      </c>
      <c r="E7" s="52" t="inlineStr">
        <is>
          <t>Option A</t>
        </is>
      </c>
      <c r="F7" s="70">
        <f>"A ("&amp;CurSym&amp;")"</f>
        <v/>
      </c>
      <c r="G7" s="52" t="inlineStr">
        <is>
          <t>Option B</t>
        </is>
      </c>
      <c r="H7" s="70">
        <f>"B ("&amp;CurSym&amp;")"</f>
        <v/>
      </c>
      <c r="I7" s="52" t="inlineStr">
        <is>
          <t>Option C</t>
        </is>
      </c>
      <c r="J7" s="70">
        <f>"C ("&amp;CurSym&amp;")"</f>
        <v/>
      </c>
      <c r="K7" s="52" t="inlineStr">
        <is>
          <t>Chosen</t>
        </is>
      </c>
      <c r="L7" s="70">
        <f>"Chosen price ("&amp;CurSym&amp;")"</f>
        <v/>
      </c>
      <c r="M7" s="52" t="inlineStr">
        <is>
          <t>Why this option</t>
        </is>
      </c>
      <c r="N7" s="52" t="inlineStr">
        <is>
          <t>Supplier</t>
        </is>
      </c>
      <c r="O7" s="52" t="inlineStr">
        <is>
          <t>Lead time (days)</t>
        </is>
      </c>
      <c r="P7" s="52" t="inlineStr">
        <is>
          <t>Timeline task ID</t>
        </is>
      </c>
      <c r="Q7" s="52" t="inlineStr">
        <is>
          <t>Needed-on (override)</t>
        </is>
      </c>
      <c r="R7" s="52" t="inlineStr">
        <is>
          <t>Needed on</t>
        </is>
      </c>
      <c r="S7" s="52" t="inlineStr">
        <is>
          <t>ORDER BY</t>
        </is>
      </c>
      <c r="T7" s="52" t="inlineStr">
        <is>
          <t>DECIDE BY</t>
        </is>
      </c>
      <c r="U7" s="52" t="inlineStr">
        <is>
          <t>Ordered?</t>
        </is>
      </c>
      <c r="V7" s="52" t="inlineStr">
        <is>
          <t>Order date</t>
        </is>
      </c>
      <c r="W7" s="52" t="inlineStr">
        <is>
          <t>Expected delivery</t>
        </is>
      </c>
      <c r="X7" s="52" t="inlineStr">
        <is>
          <t>Delivered?</t>
        </is>
      </c>
      <c r="Y7" s="52" t="inlineStr">
        <is>
          <t>Status</t>
        </is>
      </c>
      <c r="Z7" s="71" t="inlineStr">
        <is>
          <t>lvl</t>
        </is>
      </c>
      <c r="AA7" s="71" t="inlineStr">
        <is>
          <t>due</t>
        </is>
      </c>
      <c r="AB7" s="71" t="inlineStr">
        <is>
          <t>pri</t>
        </is>
      </c>
      <c r="AC7" s="71" t="inlineStr">
        <is>
          <t>text</t>
        </is>
      </c>
      <c r="AD7" s="71" t="inlineStr">
        <is>
          <t>dec_wait</t>
        </is>
      </c>
      <c r="AE7" s="71" t="inlineStr">
        <is>
          <t>dec_over</t>
        </is>
      </c>
      <c r="AF7" s="71" t="inlineStr">
        <is>
          <t>dec_soon</t>
        </is>
      </c>
      <c r="AG7" s="71" t="inlineStr">
        <is>
          <t>order_now</t>
        </is>
      </c>
      <c r="AH7" s="71" t="inlineStr">
        <is>
          <t>late_mat</t>
        </is>
      </c>
      <c r="AI7" s="71" t="inlineStr">
        <is>
          <t>need_order</t>
        </is>
      </c>
      <c r="AJ7" s="71" t="inlineStr">
        <is>
          <t>order_late</t>
        </is>
      </c>
    </row>
    <row r="8" ht="20" customHeight="1">
      <c r="B8" s="72" t="inlineStr">
        <is>
          <t>Kitchen worktop</t>
        </is>
      </c>
      <c r="C8" s="72" t="inlineStr">
        <is>
          <t>Kitchen</t>
        </is>
      </c>
      <c r="D8" s="72" t="inlineStr">
        <is>
          <t>Kitchen</t>
        </is>
      </c>
      <c r="E8" s="72" t="inlineStr">
        <is>
          <t>Quartz</t>
        </is>
      </c>
      <c r="F8" s="73" t="n">
        <v>2450</v>
      </c>
      <c r="G8" s="72" t="inlineStr">
        <is>
          <t>Laminate</t>
        </is>
      </c>
      <c r="H8" s="73" t="n">
        <v>890</v>
      </c>
      <c r="I8" s="72" t="inlineStr">
        <is>
          <t>Solid oak</t>
        </is>
      </c>
      <c r="J8" s="73" t="n">
        <v>1600</v>
      </c>
      <c r="K8" s="74" t="inlineStr">
        <is>
          <t>A</t>
        </is>
      </c>
      <c r="L8" s="75">
        <f>IF(K8="A",F8,IF(K8="B",H8,IF(K8="C",J8,"")))</f>
        <v/>
      </c>
      <c r="M8" s="72" t="inlineStr">
        <is>
          <t>Durable, matches cabinet colour</t>
        </is>
      </c>
      <c r="N8" s="72" t="inlineStr">
        <is>
          <t>StoneWorks</t>
        </is>
      </c>
      <c r="O8" s="89" t="n">
        <v>21</v>
      </c>
      <c r="P8" s="89" t="n">
        <v>14</v>
      </c>
      <c r="Q8" s="109" t="n"/>
      <c r="R8" s="120">
        <f>IF(B8="","",IF(Q8&lt;&gt;"",Q8,IF(P8="","",IFERROR(INDEX('Timeline'!$J$7:$J$1006,MATCH(P8,'Timeline'!$B$7:$B$1006,0)),""))))</f>
        <v/>
      </c>
      <c r="S8" s="126">
        <f>IF(R8="","",R8-IF(O8="",0,O8)-OrderBuf)</f>
        <v/>
      </c>
      <c r="T8" s="126">
        <f>IF(S8="","",S8-DecideBuf)</f>
        <v/>
      </c>
      <c r="U8" s="74" t="inlineStr">
        <is>
          <t>Yes</t>
        </is>
      </c>
      <c r="V8" s="109" t="n">
        <v>46174</v>
      </c>
      <c r="W8" s="109" t="n">
        <v>46199</v>
      </c>
      <c r="X8" s="74" t="inlineStr">
        <is>
          <t>No</t>
        </is>
      </c>
      <c r="Y8" s="116">
        <f>IF(B8="","",IF(X8="Yes","Delivered",IF(U8="Yes",IF(AND(W8&lt;&gt;"",R8&lt;&gt;""),IF(W8&gt;R8,"⚠️ Delivery after install date","Ordered"),"Ordered"),IF(K8="",IF(T8="","Waiting for decision",IF(T8&lt;=AsOf+AlertDays,"Decide now","Waiting for decision")),IF(S8="","Selected",IF(AsOf&gt;S8,"⚠️ Order late — install at risk",IF(S8&lt;=AsOf+AlertDays,"Order now","Selected")))))))</f>
        <v/>
      </c>
      <c r="Z8" s="79">
        <f>IF(B8="","",IF(OR(AH8=1,AE8=1),2,IF(OR(AG8=1,AF8=1),1,IF(OR(Y8="Ordered",Y8="Delivered"),0,""))))</f>
        <v/>
      </c>
      <c r="AA8" s="112">
        <f>IF(B8="","",IF(AH8=1,IF(Y8="⚠️ Delivery after install date",R8,S8),IF(AD8=1,T8,IF(AI8=1,S8,""))))</f>
        <v/>
      </c>
      <c r="AB8" s="79">
        <f>IF(AA8="","",IF(AH8=1,1,IF(AA8="","",IF(AA8&lt;AsOf,1,IF(AA8&lt;=AsOf+AlertDays,2,IF(AA8&lt;=AsOf+2*AlertDays,3,""))))))</f>
        <v/>
      </c>
      <c r="AC8" s="79">
        <f>IF(AB8="","",IF(AH8=1,IF(Y8="⚠️ Delivery after install date","Delivery after install date: "&amp;B8,"Order late — install at risk: "&amp;B8),IF(AD8=1,IF(AB8=1,"Decision overdue: ","Decide: ")&amp;B8,"Order: "&amp;B8&amp;IF(N8="",""," from "&amp;N8))))</f>
        <v/>
      </c>
      <c r="AD8" s="79">
        <f>IF(AND(B8&lt;&gt;"",K8="",U8&lt;&gt;"Yes",X8&lt;&gt;"Yes"),1,0)</f>
        <v/>
      </c>
      <c r="AE8" s="79">
        <f>IF(AND(AD8=1,T8&lt;&gt;""),IF(T8&lt;AsOf,1,0),0)</f>
        <v/>
      </c>
      <c r="AF8" s="79">
        <f>IF(AND(AD8=1,T8&lt;&gt;""),IF(AND(T8&gt;=AsOf,T8&lt;=AsOf+AlertDays),1,0),0)</f>
        <v/>
      </c>
      <c r="AG8" s="79">
        <f>IF(Y8="Order now",1,0)</f>
        <v/>
      </c>
      <c r="AH8" s="79">
        <f>IF(OR(Y8="⚠️ Order late — install at risk",Y8="⚠️ Delivery after install date"),1,0)</f>
        <v/>
      </c>
      <c r="AI8" s="79">
        <f>IF(AND(B8&lt;&gt;"",K8&lt;&gt;"",U8&lt;&gt;"Yes",X8&lt;&gt;"Yes"),1,0)</f>
        <v/>
      </c>
      <c r="AJ8" s="79">
        <f>IF(Y8="⚠️ Order late — install at risk",1,0)</f>
        <v/>
      </c>
    </row>
    <row r="9" ht="20" customHeight="1">
      <c r="B9" s="72" t="inlineStr">
        <is>
          <t>Kitchen backsplash tiles</t>
        </is>
      </c>
      <c r="C9" s="72" t="inlineStr">
        <is>
          <t>Kitchen</t>
        </is>
      </c>
      <c r="D9" s="72" t="inlineStr">
        <is>
          <t>Kitchen</t>
        </is>
      </c>
      <c r="E9" s="72" t="inlineStr">
        <is>
          <t>White gloss</t>
        </is>
      </c>
      <c r="F9" s="73" t="n">
        <v>380</v>
      </c>
      <c r="G9" s="72" t="inlineStr">
        <is>
          <t>Zellige green</t>
        </is>
      </c>
      <c r="H9" s="73" t="n">
        <v>520</v>
      </c>
      <c r="I9" s="72" t="n"/>
      <c r="J9" s="73" t="n"/>
      <c r="K9" s="74" t="inlineStr">
        <is>
          <t>A</t>
        </is>
      </c>
      <c r="L9" s="75">
        <f>IF(K9="A",F9,IF(K9="B",H9,IF(K9="C",J9,"")))</f>
        <v/>
      </c>
      <c r="M9" s="72" t="inlineStr">
        <is>
          <t>Budget</t>
        </is>
      </c>
      <c r="N9" s="72" t="inlineStr">
        <is>
          <t>TileDepot</t>
        </is>
      </c>
      <c r="O9" s="89" t="n">
        <v>10</v>
      </c>
      <c r="P9" s="89" t="n">
        <v>14</v>
      </c>
      <c r="Q9" s="109" t="n"/>
      <c r="R9" s="120">
        <f>IF(B9="","",IF(Q9&lt;&gt;"",Q9,IF(P9="","",IFERROR(INDEX('Timeline'!$J$7:$J$1006,MATCH(P9,'Timeline'!$B$7:$B$1006,0)),""))))</f>
        <v/>
      </c>
      <c r="S9" s="126">
        <f>IF(R9="","",R9-IF(O9="",0,O9)-OrderBuf)</f>
        <v/>
      </c>
      <c r="T9" s="126">
        <f>IF(S9="","",S9-DecideBuf)</f>
        <v/>
      </c>
      <c r="U9" s="74" t="inlineStr">
        <is>
          <t>No</t>
        </is>
      </c>
      <c r="V9" s="109" t="n"/>
      <c r="W9" s="109" t="n"/>
      <c r="X9" s="74" t="n"/>
      <c r="Y9" s="116">
        <f>IF(B9="","",IF(X9="Yes","Delivered",IF(U9="Yes",IF(AND(W9&lt;&gt;"",R9&lt;&gt;""),IF(W9&gt;R9,"⚠️ Delivery after install date","Ordered"),"Ordered"),IF(K9="",IF(T9="","Waiting for decision",IF(T9&lt;=AsOf+AlertDays,"Decide now","Waiting for decision")),IF(S9="","Selected",IF(AsOf&gt;S9,"⚠️ Order late — install at risk",IF(S9&lt;=AsOf+AlertDays,"Order now","Selected")))))))</f>
        <v/>
      </c>
      <c r="Z9" s="79">
        <f>IF(B9="","",IF(OR(AH9=1,AE9=1),2,IF(OR(AG9=1,AF9=1),1,IF(OR(Y9="Ordered",Y9="Delivered"),0,""))))</f>
        <v/>
      </c>
      <c r="AA9" s="112">
        <f>IF(B9="","",IF(AH9=1,IF(Y9="⚠️ Delivery after install date",R9,S9),IF(AD9=1,T9,IF(AI9=1,S9,""))))</f>
        <v/>
      </c>
      <c r="AB9" s="79">
        <f>IF(AA9="","",IF(AH9=1,1,IF(AA9="","",IF(AA9&lt;AsOf,1,IF(AA9&lt;=AsOf+AlertDays,2,IF(AA9&lt;=AsOf+2*AlertDays,3,""))))))</f>
        <v/>
      </c>
      <c r="AC9" s="79">
        <f>IF(AB9="","",IF(AH9=1,IF(Y9="⚠️ Delivery after install date","Delivery after install date: "&amp;B9,"Order late — install at risk: "&amp;B9),IF(AD9=1,IF(AB9=1,"Decision overdue: ","Decide: ")&amp;B9,"Order: "&amp;B9&amp;IF(N9="",""," from "&amp;N9))))</f>
        <v/>
      </c>
      <c r="AD9" s="79">
        <f>IF(AND(B9&lt;&gt;"",K9="",U9&lt;&gt;"Yes",X9&lt;&gt;"Yes"),1,0)</f>
        <v/>
      </c>
      <c r="AE9" s="79">
        <f>IF(AND(AD9=1,T9&lt;&gt;""),IF(T9&lt;AsOf,1,0),0)</f>
        <v/>
      </c>
      <c r="AF9" s="79">
        <f>IF(AND(AD9=1,T9&lt;&gt;""),IF(AND(T9&gt;=AsOf,T9&lt;=AsOf+AlertDays),1,0),0)</f>
        <v/>
      </c>
      <c r="AG9" s="79">
        <f>IF(Y9="Order now",1,0)</f>
        <v/>
      </c>
      <c r="AH9" s="79">
        <f>IF(OR(Y9="⚠️ Order late — install at risk",Y9="⚠️ Delivery after install date"),1,0)</f>
        <v/>
      </c>
      <c r="AI9" s="79">
        <f>IF(AND(B9&lt;&gt;"",K9&lt;&gt;"",U9&lt;&gt;"Yes",X9&lt;&gt;"Yes"),1,0)</f>
        <v/>
      </c>
      <c r="AJ9" s="79">
        <f>IF(Y9="⚠️ Order late — install at risk",1,0)</f>
        <v/>
      </c>
    </row>
    <row r="10" ht="20" customHeight="1">
      <c r="B10" s="72" t="inlineStr">
        <is>
          <t>Sink &amp; tap</t>
        </is>
      </c>
      <c r="C10" s="72" t="inlineStr">
        <is>
          <t>Kitchen</t>
        </is>
      </c>
      <c r="D10" s="72" t="inlineStr">
        <is>
          <t>Kitchen</t>
        </is>
      </c>
      <c r="E10" s="72" t="inlineStr">
        <is>
          <t>Undermount + boiling tap</t>
        </is>
      </c>
      <c r="F10" s="73" t="n">
        <v>620</v>
      </c>
      <c r="G10" s="72" t="inlineStr">
        <is>
          <t>Inset + mixer</t>
        </is>
      </c>
      <c r="H10" s="73" t="n">
        <v>410</v>
      </c>
      <c r="I10" s="72" t="n"/>
      <c r="J10" s="73" t="n"/>
      <c r="K10" s="74" t="inlineStr">
        <is>
          <t>A</t>
        </is>
      </c>
      <c r="L10" s="75">
        <f>IF(K10="A",F10,IF(K10="B",H10,IF(K10="C",J10,"")))</f>
        <v/>
      </c>
      <c r="M10" s="72" t="inlineStr">
        <is>
          <t>Daily convenience</t>
        </is>
      </c>
      <c r="N10" s="72" t="inlineStr">
        <is>
          <t>TapHouse</t>
        </is>
      </c>
      <c r="O10" s="89" t="n">
        <v>14</v>
      </c>
      <c r="P10" s="89" t="n">
        <v>14</v>
      </c>
      <c r="Q10" s="109" t="n"/>
      <c r="R10" s="120">
        <f>IF(B10="","",IF(Q10&lt;&gt;"",Q10,IF(P10="","",IFERROR(INDEX('Timeline'!$J$7:$J$1006,MATCH(P10,'Timeline'!$B$7:$B$1006,0)),""))))</f>
        <v/>
      </c>
      <c r="S10" s="126">
        <f>IF(R10="","",R10-IF(O10="",0,O10)-OrderBuf)</f>
        <v/>
      </c>
      <c r="T10" s="126">
        <f>IF(S10="","",S10-DecideBuf)</f>
        <v/>
      </c>
      <c r="U10" s="74" t="inlineStr">
        <is>
          <t>No</t>
        </is>
      </c>
      <c r="V10" s="109" t="n"/>
      <c r="W10" s="109" t="n"/>
      <c r="X10" s="74" t="n"/>
      <c r="Y10" s="116">
        <f>IF(B10="","",IF(X10="Yes","Delivered",IF(U10="Yes",IF(AND(W10&lt;&gt;"",R10&lt;&gt;""),IF(W10&gt;R10,"⚠️ Delivery after install date","Ordered"),"Ordered"),IF(K10="",IF(T10="","Waiting for decision",IF(T10&lt;=AsOf+AlertDays,"Decide now","Waiting for decision")),IF(S10="","Selected",IF(AsOf&gt;S10,"⚠️ Order late — install at risk",IF(S10&lt;=AsOf+AlertDays,"Order now","Selected")))))))</f>
        <v/>
      </c>
      <c r="Z10" s="79">
        <f>IF(B10="","",IF(OR(AH10=1,AE10=1),2,IF(OR(AG10=1,AF10=1),1,IF(OR(Y10="Ordered",Y10="Delivered"),0,""))))</f>
        <v/>
      </c>
      <c r="AA10" s="112">
        <f>IF(B10="","",IF(AH10=1,IF(Y10="⚠️ Delivery after install date",R10,S10),IF(AD10=1,T10,IF(AI10=1,S10,""))))</f>
        <v/>
      </c>
      <c r="AB10" s="79">
        <f>IF(AA10="","",IF(AH10=1,1,IF(AA10="","",IF(AA10&lt;AsOf,1,IF(AA10&lt;=AsOf+AlertDays,2,IF(AA10&lt;=AsOf+2*AlertDays,3,""))))))</f>
        <v/>
      </c>
      <c r="AC10" s="79">
        <f>IF(AB10="","",IF(AH10=1,IF(Y10="⚠️ Delivery after install date","Delivery after install date: "&amp;B10,"Order late — install at risk: "&amp;B10),IF(AD10=1,IF(AB10=1,"Decision overdue: ","Decide: ")&amp;B10,"Order: "&amp;B10&amp;IF(N10="",""," from "&amp;N10))))</f>
        <v/>
      </c>
      <c r="AD10" s="79">
        <f>IF(AND(B10&lt;&gt;"",K10="",U10&lt;&gt;"Yes",X10&lt;&gt;"Yes"),1,0)</f>
        <v/>
      </c>
      <c r="AE10" s="79">
        <f>IF(AND(AD10=1,T10&lt;&gt;""),IF(T10&lt;AsOf,1,0),0)</f>
        <v/>
      </c>
      <c r="AF10" s="79">
        <f>IF(AND(AD10=1,T10&lt;&gt;""),IF(AND(T10&gt;=AsOf,T10&lt;=AsOf+AlertDays),1,0),0)</f>
        <v/>
      </c>
      <c r="AG10" s="79">
        <f>IF(Y10="Order now",1,0)</f>
        <v/>
      </c>
      <c r="AH10" s="79">
        <f>IF(OR(Y10="⚠️ Order late — install at risk",Y10="⚠️ Delivery after install date"),1,0)</f>
        <v/>
      </c>
      <c r="AI10" s="79">
        <f>IF(AND(B10&lt;&gt;"",K10&lt;&gt;"",U10&lt;&gt;"Yes",X10&lt;&gt;"Yes"),1,0)</f>
        <v/>
      </c>
      <c r="AJ10" s="79">
        <f>IF(Y10="⚠️ Order late — install at risk",1,0)</f>
        <v/>
      </c>
    </row>
    <row r="11" ht="20" customHeight="1">
      <c r="B11" s="72" t="inlineStr">
        <is>
          <t>Oven</t>
        </is>
      </c>
      <c r="C11" s="72" t="inlineStr">
        <is>
          <t>Kitchen</t>
        </is>
      </c>
      <c r="D11" s="72" t="inlineStr">
        <is>
          <t>Appliances</t>
        </is>
      </c>
      <c r="E11" s="72" t="inlineStr">
        <is>
          <t>Pyrolytic oven</t>
        </is>
      </c>
      <c r="F11" s="73" t="n">
        <v>1150</v>
      </c>
      <c r="G11" s="72" t="inlineStr">
        <is>
          <t>Standard oven</t>
        </is>
      </c>
      <c r="H11" s="73" t="n">
        <v>890</v>
      </c>
      <c r="I11" s="72" t="n"/>
      <c r="J11" s="73" t="n"/>
      <c r="K11" s="74" t="inlineStr">
        <is>
          <t>A</t>
        </is>
      </c>
      <c r="L11" s="75">
        <f>IF(K11="A",F11,IF(K11="B",H11,IF(K11="C",J11,"")))</f>
        <v/>
      </c>
      <c r="M11" s="72" t="inlineStr">
        <is>
          <t>Self-cleaning</t>
        </is>
      </c>
      <c r="N11" s="72" t="inlineStr">
        <is>
          <t>ApplianceHub</t>
        </is>
      </c>
      <c r="O11" s="89" t="n">
        <v>7</v>
      </c>
      <c r="P11" s="89" t="n">
        <v>14</v>
      </c>
      <c r="Q11" s="109" t="n"/>
      <c r="R11" s="120">
        <f>IF(B11="","",IF(Q11&lt;&gt;"",Q11,IF(P11="","",IFERROR(INDEX('Timeline'!$J$7:$J$1006,MATCH(P11,'Timeline'!$B$7:$B$1006,0)),""))))</f>
        <v/>
      </c>
      <c r="S11" s="126">
        <f>IF(R11="","",R11-IF(O11="",0,O11)-OrderBuf)</f>
        <v/>
      </c>
      <c r="T11" s="126">
        <f>IF(S11="","",S11-DecideBuf)</f>
        <v/>
      </c>
      <c r="U11" s="74" t="inlineStr">
        <is>
          <t>No</t>
        </is>
      </c>
      <c r="V11" s="109" t="n"/>
      <c r="W11" s="109" t="n"/>
      <c r="X11" s="74" t="n"/>
      <c r="Y11" s="116">
        <f>IF(B11="","",IF(X11="Yes","Delivered",IF(U11="Yes",IF(AND(W11&lt;&gt;"",R11&lt;&gt;""),IF(W11&gt;R11,"⚠️ Delivery after install date","Ordered"),"Ordered"),IF(K11="",IF(T11="","Waiting for decision",IF(T11&lt;=AsOf+AlertDays,"Decide now","Waiting for decision")),IF(S11="","Selected",IF(AsOf&gt;S11,"⚠️ Order late — install at risk",IF(S11&lt;=AsOf+AlertDays,"Order now","Selected")))))))</f>
        <v/>
      </c>
      <c r="Z11" s="79">
        <f>IF(B11="","",IF(OR(AH11=1,AE11=1),2,IF(OR(AG11=1,AF11=1),1,IF(OR(Y11="Ordered",Y11="Delivered"),0,""))))</f>
        <v/>
      </c>
      <c r="AA11" s="112">
        <f>IF(B11="","",IF(AH11=1,IF(Y11="⚠️ Delivery after install date",R11,S11),IF(AD11=1,T11,IF(AI11=1,S11,""))))</f>
        <v/>
      </c>
      <c r="AB11" s="79">
        <f>IF(AA11="","",IF(AH11=1,1,IF(AA11="","",IF(AA11&lt;AsOf,1,IF(AA11&lt;=AsOf+AlertDays,2,IF(AA11&lt;=AsOf+2*AlertDays,3,""))))))</f>
        <v/>
      </c>
      <c r="AC11" s="79">
        <f>IF(AB11="","",IF(AH11=1,IF(Y11="⚠️ Delivery after install date","Delivery after install date: "&amp;B11,"Order late — install at risk: "&amp;B11),IF(AD11=1,IF(AB11=1,"Decision overdue: ","Decide: ")&amp;B11,"Order: "&amp;B11&amp;IF(N11="",""," from "&amp;N11))))</f>
        <v/>
      </c>
      <c r="AD11" s="79">
        <f>IF(AND(B11&lt;&gt;"",K11="",U11&lt;&gt;"Yes",X11&lt;&gt;"Yes"),1,0)</f>
        <v/>
      </c>
      <c r="AE11" s="79">
        <f>IF(AND(AD11=1,T11&lt;&gt;""),IF(T11&lt;AsOf,1,0),0)</f>
        <v/>
      </c>
      <c r="AF11" s="79">
        <f>IF(AND(AD11=1,T11&lt;&gt;""),IF(AND(T11&gt;=AsOf,T11&lt;=AsOf+AlertDays),1,0),0)</f>
        <v/>
      </c>
      <c r="AG11" s="79">
        <f>IF(Y11="Order now",1,0)</f>
        <v/>
      </c>
      <c r="AH11" s="79">
        <f>IF(OR(Y11="⚠️ Order late — install at risk",Y11="⚠️ Delivery after install date"),1,0)</f>
        <v/>
      </c>
      <c r="AI11" s="79">
        <f>IF(AND(B11&lt;&gt;"",K11&lt;&gt;"",U11&lt;&gt;"Yes",X11&lt;&gt;"Yes"),1,0)</f>
        <v/>
      </c>
      <c r="AJ11" s="79">
        <f>IF(Y11="⚠️ Order late — install at risk",1,0)</f>
        <v/>
      </c>
    </row>
    <row r="12" ht="20" customHeight="1">
      <c r="B12" s="72" t="inlineStr">
        <is>
          <t>Fridge-freezer</t>
        </is>
      </c>
      <c r="C12" s="72" t="inlineStr">
        <is>
          <t>Kitchen</t>
        </is>
      </c>
      <c r="D12" s="72" t="inlineStr">
        <is>
          <t>Appliances</t>
        </is>
      </c>
      <c r="E12" s="72" t="inlineStr">
        <is>
          <t>Integrated 70/30</t>
        </is>
      </c>
      <c r="F12" s="73" t="n">
        <v>1390</v>
      </c>
      <c r="G12" s="72" t="n"/>
      <c r="H12" s="73" t="n"/>
      <c r="I12" s="72" t="n"/>
      <c r="J12" s="73" t="n"/>
      <c r="K12" s="74" t="inlineStr">
        <is>
          <t>A</t>
        </is>
      </c>
      <c r="L12" s="75">
        <f>IF(K12="A",F12,IF(K12="B",H12,IF(K12="C",J12,"")))</f>
        <v/>
      </c>
      <c r="M12" s="72" t="n"/>
      <c r="N12" s="72" t="inlineStr">
        <is>
          <t>ApplianceHub</t>
        </is>
      </c>
      <c r="O12" s="89" t="n">
        <v>7</v>
      </c>
      <c r="P12" s="89" t="n">
        <v>14</v>
      </c>
      <c r="Q12" s="109" t="n"/>
      <c r="R12" s="120">
        <f>IF(B12="","",IF(Q12&lt;&gt;"",Q12,IF(P12="","",IFERROR(INDEX('Timeline'!$J$7:$J$1006,MATCH(P12,'Timeline'!$B$7:$B$1006,0)),""))))</f>
        <v/>
      </c>
      <c r="S12" s="126">
        <f>IF(R12="","",R12-IF(O12="",0,O12)-OrderBuf)</f>
        <v/>
      </c>
      <c r="T12" s="126">
        <f>IF(S12="","",S12-DecideBuf)</f>
        <v/>
      </c>
      <c r="U12" s="74" t="inlineStr">
        <is>
          <t>Yes</t>
        </is>
      </c>
      <c r="V12" s="109" t="n">
        <v>46167</v>
      </c>
      <c r="W12" s="109" t="n">
        <v>46175</v>
      </c>
      <c r="X12" s="74" t="inlineStr">
        <is>
          <t>Yes</t>
        </is>
      </c>
      <c r="Y12" s="116">
        <f>IF(B12="","",IF(X12="Yes","Delivered",IF(U12="Yes",IF(AND(W12&lt;&gt;"",R12&lt;&gt;""),IF(W12&gt;R12,"⚠️ Delivery after install date","Ordered"),"Ordered"),IF(K12="",IF(T12="","Waiting for decision",IF(T12&lt;=AsOf+AlertDays,"Decide now","Waiting for decision")),IF(S12="","Selected",IF(AsOf&gt;S12,"⚠️ Order late — install at risk",IF(S12&lt;=AsOf+AlertDays,"Order now","Selected")))))))</f>
        <v/>
      </c>
      <c r="Z12" s="79">
        <f>IF(B12="","",IF(OR(AH12=1,AE12=1),2,IF(OR(AG12=1,AF12=1),1,IF(OR(Y12="Ordered",Y12="Delivered"),0,""))))</f>
        <v/>
      </c>
      <c r="AA12" s="112">
        <f>IF(B12="","",IF(AH12=1,IF(Y12="⚠️ Delivery after install date",R12,S12),IF(AD12=1,T12,IF(AI12=1,S12,""))))</f>
        <v/>
      </c>
      <c r="AB12" s="79">
        <f>IF(AA12="","",IF(AH12=1,1,IF(AA12="","",IF(AA12&lt;AsOf,1,IF(AA12&lt;=AsOf+AlertDays,2,IF(AA12&lt;=AsOf+2*AlertDays,3,""))))))</f>
        <v/>
      </c>
      <c r="AC12" s="79">
        <f>IF(AB12="","",IF(AH12=1,IF(Y12="⚠️ Delivery after install date","Delivery after install date: "&amp;B12,"Order late — install at risk: "&amp;B12),IF(AD12=1,IF(AB12=1,"Decision overdue: ","Decide: ")&amp;B12,"Order: "&amp;B12&amp;IF(N12="",""," from "&amp;N12))))</f>
        <v/>
      </c>
      <c r="AD12" s="79">
        <f>IF(AND(B12&lt;&gt;"",K12="",U12&lt;&gt;"Yes",X12&lt;&gt;"Yes"),1,0)</f>
        <v/>
      </c>
      <c r="AE12" s="79">
        <f>IF(AND(AD12=1,T12&lt;&gt;""),IF(T12&lt;AsOf,1,0),0)</f>
        <v/>
      </c>
      <c r="AF12" s="79">
        <f>IF(AND(AD12=1,T12&lt;&gt;""),IF(AND(T12&gt;=AsOf,T12&lt;=AsOf+AlertDays),1,0),0)</f>
        <v/>
      </c>
      <c r="AG12" s="79">
        <f>IF(Y12="Order now",1,0)</f>
        <v/>
      </c>
      <c r="AH12" s="79">
        <f>IF(OR(Y12="⚠️ Order late — install at risk",Y12="⚠️ Delivery after install date"),1,0)</f>
        <v/>
      </c>
      <c r="AI12" s="79">
        <f>IF(AND(B12&lt;&gt;"",K12&lt;&gt;"",U12&lt;&gt;"Yes",X12&lt;&gt;"Yes"),1,0)</f>
        <v/>
      </c>
      <c r="AJ12" s="79">
        <f>IF(Y12="⚠️ Order late — install at risk",1,0)</f>
        <v/>
      </c>
    </row>
    <row r="13" ht="20" customHeight="1">
      <c r="B13" s="72" t="inlineStr">
        <is>
          <t>Dishwasher</t>
        </is>
      </c>
      <c r="C13" s="72" t="inlineStr">
        <is>
          <t>Kitchen</t>
        </is>
      </c>
      <c r="D13" s="72" t="inlineStr">
        <is>
          <t>Appliances</t>
        </is>
      </c>
      <c r="E13" s="72" t="inlineStr">
        <is>
          <t>Silent 42dB</t>
        </is>
      </c>
      <c r="F13" s="73" t="n">
        <v>690</v>
      </c>
      <c r="G13" s="72" t="inlineStr">
        <is>
          <t>Standard</t>
        </is>
      </c>
      <c r="H13" s="73" t="n">
        <v>540</v>
      </c>
      <c r="I13" s="72" t="n"/>
      <c r="J13" s="73" t="n"/>
      <c r="K13" s="74" t="inlineStr">
        <is>
          <t>A</t>
        </is>
      </c>
      <c r="L13" s="75">
        <f>IF(K13="A",F13,IF(K13="B",H13,IF(K13="C",J13,"")))</f>
        <v/>
      </c>
      <c r="M13" s="72" t="inlineStr">
        <is>
          <t>Open-plan noise</t>
        </is>
      </c>
      <c r="N13" s="72" t="inlineStr">
        <is>
          <t>ApplianceHub</t>
        </is>
      </c>
      <c r="O13" s="89" t="n">
        <v>7</v>
      </c>
      <c r="P13" s="89" t="n">
        <v>14</v>
      </c>
      <c r="Q13" s="109" t="n"/>
      <c r="R13" s="120">
        <f>IF(B13="","",IF(Q13&lt;&gt;"",Q13,IF(P13="","",IFERROR(INDEX('Timeline'!$J$7:$J$1006,MATCH(P13,'Timeline'!$B$7:$B$1006,0)),""))))</f>
        <v/>
      </c>
      <c r="S13" s="126">
        <f>IF(R13="","",R13-IF(O13="",0,O13)-OrderBuf)</f>
        <v/>
      </c>
      <c r="T13" s="126">
        <f>IF(S13="","",S13-DecideBuf)</f>
        <v/>
      </c>
      <c r="U13" s="74" t="inlineStr">
        <is>
          <t>Yes</t>
        </is>
      </c>
      <c r="V13" s="109" t="n">
        <v>46183</v>
      </c>
      <c r="W13" s="109" t="n">
        <v>46211</v>
      </c>
      <c r="X13" s="74" t="inlineStr">
        <is>
          <t>No</t>
        </is>
      </c>
      <c r="Y13" s="116">
        <f>IF(B13="","",IF(X13="Yes","Delivered",IF(U13="Yes",IF(AND(W13&lt;&gt;"",R13&lt;&gt;""),IF(W13&gt;R13,"⚠️ Delivery after install date","Ordered"),"Ordered"),IF(K13="",IF(T13="","Waiting for decision",IF(T13&lt;=AsOf+AlertDays,"Decide now","Waiting for decision")),IF(S13="","Selected",IF(AsOf&gt;S13,"⚠️ Order late — install at risk",IF(S13&lt;=AsOf+AlertDays,"Order now","Selected")))))))</f>
        <v/>
      </c>
      <c r="Z13" s="79">
        <f>IF(B13="","",IF(OR(AH13=1,AE13=1),2,IF(OR(AG13=1,AF13=1),1,IF(OR(Y13="Ordered",Y13="Delivered"),0,""))))</f>
        <v/>
      </c>
      <c r="AA13" s="112">
        <f>IF(B13="","",IF(AH13=1,IF(Y13="⚠️ Delivery after install date",R13,S13),IF(AD13=1,T13,IF(AI13=1,S13,""))))</f>
        <v/>
      </c>
      <c r="AB13" s="79">
        <f>IF(AA13="","",IF(AH13=1,1,IF(AA13="","",IF(AA13&lt;AsOf,1,IF(AA13&lt;=AsOf+AlertDays,2,IF(AA13&lt;=AsOf+2*AlertDays,3,""))))))</f>
        <v/>
      </c>
      <c r="AC13" s="79">
        <f>IF(AB13="","",IF(AH13=1,IF(Y13="⚠️ Delivery after install date","Delivery after install date: "&amp;B13,"Order late — install at risk: "&amp;B13),IF(AD13=1,IF(AB13=1,"Decision overdue: ","Decide: ")&amp;B13,"Order: "&amp;B13&amp;IF(N13="",""," from "&amp;N13))))</f>
        <v/>
      </c>
      <c r="AD13" s="79">
        <f>IF(AND(B13&lt;&gt;"",K13="",U13&lt;&gt;"Yes",X13&lt;&gt;"Yes"),1,0)</f>
        <v/>
      </c>
      <c r="AE13" s="79">
        <f>IF(AND(AD13=1,T13&lt;&gt;""),IF(T13&lt;AsOf,1,0),0)</f>
        <v/>
      </c>
      <c r="AF13" s="79">
        <f>IF(AND(AD13=1,T13&lt;&gt;""),IF(AND(T13&gt;=AsOf,T13&lt;=AsOf+AlertDays),1,0),0)</f>
        <v/>
      </c>
      <c r="AG13" s="79">
        <f>IF(Y13="Order now",1,0)</f>
        <v/>
      </c>
      <c r="AH13" s="79">
        <f>IF(OR(Y13="⚠️ Order late — install at risk",Y13="⚠️ Delivery after install date"),1,0)</f>
        <v/>
      </c>
      <c r="AI13" s="79">
        <f>IF(AND(B13&lt;&gt;"",K13&lt;&gt;"",U13&lt;&gt;"Yes",X13&lt;&gt;"Yes"),1,0)</f>
        <v/>
      </c>
      <c r="AJ13" s="79">
        <f>IF(Y13="⚠️ Order late — install at risk",1,0)</f>
        <v/>
      </c>
    </row>
    <row r="14" ht="20" customHeight="1">
      <c r="B14" s="72" t="inlineStr">
        <is>
          <t>Bathroom 1 floor &amp; wall tiles</t>
        </is>
      </c>
      <c r="C14" s="72" t="inlineStr">
        <is>
          <t>Bathroom 1</t>
        </is>
      </c>
      <c r="D14" s="72" t="inlineStr">
        <is>
          <t>Bathrooms</t>
        </is>
      </c>
      <c r="E14" s="72" t="inlineStr">
        <is>
          <t>Grey porcelain 60x60</t>
        </is>
      </c>
      <c r="F14" s="73" t="n">
        <v>1450</v>
      </c>
      <c r="G14" s="72" t="inlineStr">
        <is>
          <t>Marble look</t>
        </is>
      </c>
      <c r="H14" s="73" t="n">
        <v>1980</v>
      </c>
      <c r="I14" s="72" t="n"/>
      <c r="J14" s="73" t="n"/>
      <c r="K14" s="74" t="inlineStr">
        <is>
          <t>A</t>
        </is>
      </c>
      <c r="L14" s="75">
        <f>IF(K14="A",F14,IF(K14="B",H14,IF(K14="C",J14,"")))</f>
        <v/>
      </c>
      <c r="M14" s="72" t="inlineStr">
        <is>
          <t>Slip rating R10</t>
        </is>
      </c>
      <c r="N14" s="72" t="inlineStr">
        <is>
          <t>TileDepot</t>
        </is>
      </c>
      <c r="O14" s="89" t="n">
        <v>21</v>
      </c>
      <c r="P14" s="89" t="n">
        <v>15</v>
      </c>
      <c r="Q14" s="109" t="n"/>
      <c r="R14" s="120">
        <f>IF(B14="","",IF(Q14&lt;&gt;"",Q14,IF(P14="","",IFERROR(INDEX('Timeline'!$J$7:$J$1006,MATCH(P14,'Timeline'!$B$7:$B$1006,0)),""))))</f>
        <v/>
      </c>
      <c r="S14" s="126">
        <f>IF(R14="","",R14-IF(O14="",0,O14)-OrderBuf)</f>
        <v/>
      </c>
      <c r="T14" s="126">
        <f>IF(S14="","",S14-DecideBuf)</f>
        <v/>
      </c>
      <c r="U14" s="74" t="inlineStr">
        <is>
          <t>Yes</t>
        </is>
      </c>
      <c r="V14" s="109" t="n">
        <v>46177</v>
      </c>
      <c r="W14" s="109" t="n">
        <v>46198</v>
      </c>
      <c r="X14" s="74" t="inlineStr">
        <is>
          <t>No</t>
        </is>
      </c>
      <c r="Y14" s="116">
        <f>IF(B14="","",IF(X14="Yes","Delivered",IF(U14="Yes",IF(AND(W14&lt;&gt;"",R14&lt;&gt;""),IF(W14&gt;R14,"⚠️ Delivery after install date","Ordered"),"Ordered"),IF(K14="",IF(T14="","Waiting for decision",IF(T14&lt;=AsOf+AlertDays,"Decide now","Waiting for decision")),IF(S14="","Selected",IF(AsOf&gt;S14,"⚠️ Order late — install at risk",IF(S14&lt;=AsOf+AlertDays,"Order now","Selected")))))))</f>
        <v/>
      </c>
      <c r="Z14" s="79">
        <f>IF(B14="","",IF(OR(AH14=1,AE14=1),2,IF(OR(AG14=1,AF14=1),1,IF(OR(Y14="Ordered",Y14="Delivered"),0,""))))</f>
        <v/>
      </c>
      <c r="AA14" s="112">
        <f>IF(B14="","",IF(AH14=1,IF(Y14="⚠️ Delivery after install date",R14,S14),IF(AD14=1,T14,IF(AI14=1,S14,""))))</f>
        <v/>
      </c>
      <c r="AB14" s="79">
        <f>IF(AA14="","",IF(AH14=1,1,IF(AA14="","",IF(AA14&lt;AsOf,1,IF(AA14&lt;=AsOf+AlertDays,2,IF(AA14&lt;=AsOf+2*AlertDays,3,""))))))</f>
        <v/>
      </c>
      <c r="AC14" s="79">
        <f>IF(AB14="","",IF(AH14=1,IF(Y14="⚠️ Delivery after install date","Delivery after install date: "&amp;B14,"Order late — install at risk: "&amp;B14),IF(AD14=1,IF(AB14=1,"Decision overdue: ","Decide: ")&amp;B14,"Order: "&amp;B14&amp;IF(N14="",""," from "&amp;N14))))</f>
        <v/>
      </c>
      <c r="AD14" s="79">
        <f>IF(AND(B14&lt;&gt;"",K14="",U14&lt;&gt;"Yes",X14&lt;&gt;"Yes"),1,0)</f>
        <v/>
      </c>
      <c r="AE14" s="79">
        <f>IF(AND(AD14=1,T14&lt;&gt;""),IF(T14&lt;AsOf,1,0),0)</f>
        <v/>
      </c>
      <c r="AF14" s="79">
        <f>IF(AND(AD14=1,T14&lt;&gt;""),IF(AND(T14&gt;=AsOf,T14&lt;=AsOf+AlertDays),1,0),0)</f>
        <v/>
      </c>
      <c r="AG14" s="79">
        <f>IF(Y14="Order now",1,0)</f>
        <v/>
      </c>
      <c r="AH14" s="79">
        <f>IF(OR(Y14="⚠️ Order late — install at risk",Y14="⚠️ Delivery after install date"),1,0)</f>
        <v/>
      </c>
      <c r="AI14" s="79">
        <f>IF(AND(B14&lt;&gt;"",K14&lt;&gt;"",U14&lt;&gt;"Yes",X14&lt;&gt;"Yes"),1,0)</f>
        <v/>
      </c>
      <c r="AJ14" s="79">
        <f>IF(Y14="⚠️ Order late — install at risk",1,0)</f>
        <v/>
      </c>
    </row>
    <row r="15" ht="20" customHeight="1">
      <c r="B15" s="72" t="inlineStr">
        <is>
          <t>Bathroom 1 vanity unit</t>
        </is>
      </c>
      <c r="C15" s="72" t="inlineStr">
        <is>
          <t>Bathroom 1</t>
        </is>
      </c>
      <c r="D15" s="72" t="inlineStr">
        <is>
          <t>Bathrooms</t>
        </is>
      </c>
      <c r="E15" s="72" t="inlineStr">
        <is>
          <t>Oak 100cm double</t>
        </is>
      </c>
      <c r="F15" s="73" t="n">
        <v>890</v>
      </c>
      <c r="G15" s="72" t="inlineStr">
        <is>
          <t>Wall-hung 80cm</t>
        </is>
      </c>
      <c r="H15" s="73" t="n">
        <v>1240</v>
      </c>
      <c r="I15" s="72" t="n"/>
      <c r="J15" s="73" t="n"/>
      <c r="K15" s="74" t="inlineStr">
        <is>
          <t>A</t>
        </is>
      </c>
      <c r="L15" s="75">
        <f>IF(K15="A",F15,IF(K15="B",H15,IF(K15="C",J15,"")))</f>
        <v/>
      </c>
      <c r="M15" s="72" t="n"/>
      <c r="N15" s="72" t="inlineStr">
        <is>
          <t>BathWorld</t>
        </is>
      </c>
      <c r="O15" s="89" t="n">
        <v>28</v>
      </c>
      <c r="P15" s="89" t="n">
        <v>15</v>
      </c>
      <c r="Q15" s="109" t="n"/>
      <c r="R15" s="120">
        <f>IF(B15="","",IF(Q15&lt;&gt;"",Q15,IF(P15="","",IFERROR(INDEX('Timeline'!$J$7:$J$1006,MATCH(P15,'Timeline'!$B$7:$B$1006,0)),""))))</f>
        <v/>
      </c>
      <c r="S15" s="126">
        <f>IF(R15="","",R15-IF(O15="",0,O15)-OrderBuf)</f>
        <v/>
      </c>
      <c r="T15" s="126">
        <f>IF(S15="","",S15-DecideBuf)</f>
        <v/>
      </c>
      <c r="U15" s="74" t="inlineStr">
        <is>
          <t>Yes</t>
        </is>
      </c>
      <c r="V15" s="109" t="n">
        <v>46170</v>
      </c>
      <c r="W15" s="109" t="n">
        <v>46203</v>
      </c>
      <c r="X15" s="74" t="inlineStr">
        <is>
          <t>No</t>
        </is>
      </c>
      <c r="Y15" s="116">
        <f>IF(B15="","",IF(X15="Yes","Delivered",IF(U15="Yes",IF(AND(W15&lt;&gt;"",R15&lt;&gt;""),IF(W15&gt;R15,"⚠️ Delivery after install date","Ordered"),"Ordered"),IF(K15="",IF(T15="","Waiting for decision",IF(T15&lt;=AsOf+AlertDays,"Decide now","Waiting for decision")),IF(S15="","Selected",IF(AsOf&gt;S15,"⚠️ Order late — install at risk",IF(S15&lt;=AsOf+AlertDays,"Order now","Selected")))))))</f>
        <v/>
      </c>
      <c r="Z15" s="79">
        <f>IF(B15="","",IF(OR(AH15=1,AE15=1),2,IF(OR(AG15=1,AF15=1),1,IF(OR(Y15="Ordered",Y15="Delivered"),0,""))))</f>
        <v/>
      </c>
      <c r="AA15" s="112">
        <f>IF(B15="","",IF(AH15=1,IF(Y15="⚠️ Delivery after install date",R15,S15),IF(AD15=1,T15,IF(AI15=1,S15,""))))</f>
        <v/>
      </c>
      <c r="AB15" s="79">
        <f>IF(AA15="","",IF(AH15=1,1,IF(AA15="","",IF(AA15&lt;AsOf,1,IF(AA15&lt;=AsOf+AlertDays,2,IF(AA15&lt;=AsOf+2*AlertDays,3,""))))))</f>
        <v/>
      </c>
      <c r="AC15" s="79">
        <f>IF(AB15="","",IF(AH15=1,IF(Y15="⚠️ Delivery after install date","Delivery after install date: "&amp;B15,"Order late — install at risk: "&amp;B15),IF(AD15=1,IF(AB15=1,"Decision overdue: ","Decide: ")&amp;B15,"Order: "&amp;B15&amp;IF(N15="",""," from "&amp;N15))))</f>
        <v/>
      </c>
      <c r="AD15" s="79">
        <f>IF(AND(B15&lt;&gt;"",K15="",U15&lt;&gt;"Yes",X15&lt;&gt;"Yes"),1,0)</f>
        <v/>
      </c>
      <c r="AE15" s="79">
        <f>IF(AND(AD15=1,T15&lt;&gt;""),IF(T15&lt;AsOf,1,0),0)</f>
        <v/>
      </c>
      <c r="AF15" s="79">
        <f>IF(AND(AD15=1,T15&lt;&gt;""),IF(AND(T15&gt;=AsOf,T15&lt;=AsOf+AlertDays),1,0),0)</f>
        <v/>
      </c>
      <c r="AG15" s="79">
        <f>IF(Y15="Order now",1,0)</f>
        <v/>
      </c>
      <c r="AH15" s="79">
        <f>IF(OR(Y15="⚠️ Order late — install at risk",Y15="⚠️ Delivery after install date"),1,0)</f>
        <v/>
      </c>
      <c r="AI15" s="79">
        <f>IF(AND(B15&lt;&gt;"",K15&lt;&gt;"",U15&lt;&gt;"Yes",X15&lt;&gt;"Yes"),1,0)</f>
        <v/>
      </c>
      <c r="AJ15" s="79">
        <f>IF(Y15="⚠️ Order late — install at risk",1,0)</f>
        <v/>
      </c>
    </row>
    <row r="16" ht="20" customHeight="1">
      <c r="B16" s="72" t="inlineStr">
        <is>
          <t>Walk-in shower enclosure</t>
        </is>
      </c>
      <c r="C16" s="72" t="inlineStr">
        <is>
          <t>Bathroom 1</t>
        </is>
      </c>
      <c r="D16" s="72" t="inlineStr">
        <is>
          <t>Bathrooms</t>
        </is>
      </c>
      <c r="E16" s="72" t="inlineStr">
        <is>
          <t>Matt black 120cm</t>
        </is>
      </c>
      <c r="F16" s="73" t="n">
        <v>1150</v>
      </c>
      <c r="G16" s="72" t="inlineStr">
        <is>
          <t>Chrome 100cm</t>
        </is>
      </c>
      <c r="H16" s="73" t="n">
        <v>1600</v>
      </c>
      <c r="I16" s="72" t="n"/>
      <c r="J16" s="73" t="n"/>
      <c r="K16" s="74" t="inlineStr">
        <is>
          <t>A</t>
        </is>
      </c>
      <c r="L16" s="75">
        <f>IF(K16="A",F16,IF(K16="B",H16,IF(K16="C",J16,"")))</f>
        <v/>
      </c>
      <c r="M16" s="72" t="n"/>
      <c r="N16" s="72" t="inlineStr">
        <is>
          <t>BathWorld</t>
        </is>
      </c>
      <c r="O16" s="89" t="n">
        <v>14</v>
      </c>
      <c r="P16" s="89" t="n">
        <v>15</v>
      </c>
      <c r="Q16" s="109" t="n"/>
      <c r="R16" s="120">
        <f>IF(B16="","",IF(Q16&lt;&gt;"",Q16,IF(P16="","",IFERROR(INDEX('Timeline'!$J$7:$J$1006,MATCH(P16,'Timeline'!$B$7:$B$1006,0)),""))))</f>
        <v/>
      </c>
      <c r="S16" s="126">
        <f>IF(R16="","",R16-IF(O16="",0,O16)-OrderBuf)</f>
        <v/>
      </c>
      <c r="T16" s="126">
        <f>IF(S16="","",S16-DecideBuf)</f>
        <v/>
      </c>
      <c r="U16" s="74" t="inlineStr">
        <is>
          <t>Yes</t>
        </is>
      </c>
      <c r="V16" s="109" t="n">
        <v>46162</v>
      </c>
      <c r="W16" s="109" t="n">
        <v>46178</v>
      </c>
      <c r="X16" s="74" t="inlineStr">
        <is>
          <t>Yes</t>
        </is>
      </c>
      <c r="Y16" s="116">
        <f>IF(B16="","",IF(X16="Yes","Delivered",IF(U16="Yes",IF(AND(W16&lt;&gt;"",R16&lt;&gt;""),IF(W16&gt;R16,"⚠️ Delivery after install date","Ordered"),"Ordered"),IF(K16="",IF(T16="","Waiting for decision",IF(T16&lt;=AsOf+AlertDays,"Decide now","Waiting for decision")),IF(S16="","Selected",IF(AsOf&gt;S16,"⚠️ Order late — install at risk",IF(S16&lt;=AsOf+AlertDays,"Order now","Selected")))))))</f>
        <v/>
      </c>
      <c r="Z16" s="79">
        <f>IF(B16="","",IF(OR(AH16=1,AE16=1),2,IF(OR(AG16=1,AF16=1),1,IF(OR(Y16="Ordered",Y16="Delivered"),0,""))))</f>
        <v/>
      </c>
      <c r="AA16" s="112">
        <f>IF(B16="","",IF(AH16=1,IF(Y16="⚠️ Delivery after install date",R16,S16),IF(AD16=1,T16,IF(AI16=1,S16,""))))</f>
        <v/>
      </c>
      <c r="AB16" s="79">
        <f>IF(AA16="","",IF(AH16=1,1,IF(AA16="","",IF(AA16&lt;AsOf,1,IF(AA16&lt;=AsOf+AlertDays,2,IF(AA16&lt;=AsOf+2*AlertDays,3,""))))))</f>
        <v/>
      </c>
      <c r="AC16" s="79">
        <f>IF(AB16="","",IF(AH16=1,IF(Y16="⚠️ Delivery after install date","Delivery after install date: "&amp;B16,"Order late — install at risk: "&amp;B16),IF(AD16=1,IF(AB16=1,"Decision overdue: ","Decide: ")&amp;B16,"Order: "&amp;B16&amp;IF(N16="",""," from "&amp;N16))))</f>
        <v/>
      </c>
      <c r="AD16" s="79">
        <f>IF(AND(B16&lt;&gt;"",K16="",U16&lt;&gt;"Yes",X16&lt;&gt;"Yes"),1,0)</f>
        <v/>
      </c>
      <c r="AE16" s="79">
        <f>IF(AND(AD16=1,T16&lt;&gt;""),IF(T16&lt;AsOf,1,0),0)</f>
        <v/>
      </c>
      <c r="AF16" s="79">
        <f>IF(AND(AD16=1,T16&lt;&gt;""),IF(AND(T16&gt;=AsOf,T16&lt;=AsOf+AlertDays),1,0),0)</f>
        <v/>
      </c>
      <c r="AG16" s="79">
        <f>IF(Y16="Order now",1,0)</f>
        <v/>
      </c>
      <c r="AH16" s="79">
        <f>IF(OR(Y16="⚠️ Order late — install at risk",Y16="⚠️ Delivery after install date"),1,0)</f>
        <v/>
      </c>
      <c r="AI16" s="79">
        <f>IF(AND(B16&lt;&gt;"",K16&lt;&gt;"",U16&lt;&gt;"Yes",X16&lt;&gt;"Yes"),1,0)</f>
        <v/>
      </c>
      <c r="AJ16" s="79">
        <f>IF(Y16="⚠️ Order late — install at risk",1,0)</f>
        <v/>
      </c>
    </row>
    <row r="17" ht="20" customHeight="1">
      <c r="B17" s="72" t="inlineStr">
        <is>
          <t>Bathroom 2 tiles</t>
        </is>
      </c>
      <c r="C17" s="72" t="inlineStr">
        <is>
          <t>Bathroom 2</t>
        </is>
      </c>
      <c r="D17" s="72" t="inlineStr">
        <is>
          <t>Bathrooms</t>
        </is>
      </c>
      <c r="E17" s="72" t="inlineStr">
        <is>
          <t>Terrazzo</t>
        </is>
      </c>
      <c r="F17" s="73" t="n">
        <v>780</v>
      </c>
      <c r="G17" s="72" t="inlineStr">
        <is>
          <t>Subway white</t>
        </is>
      </c>
      <c r="H17" s="73" t="n">
        <v>1100</v>
      </c>
      <c r="I17" s="72" t="inlineStr">
        <is>
          <t>Hexagon grey</t>
        </is>
      </c>
      <c r="J17" s="73" t="n">
        <v>950</v>
      </c>
      <c r="K17" s="74" t="n"/>
      <c r="L17" s="75">
        <f>IF(K17="A",F17,IF(K17="B",H17,IF(K17="C",J17,"")))</f>
        <v/>
      </c>
      <c r="M17" s="72" t="n"/>
      <c r="N17" s="72" t="inlineStr">
        <is>
          <t>TileDepot</t>
        </is>
      </c>
      <c r="O17" s="89" t="n">
        <v>21</v>
      </c>
      <c r="P17" s="89" t="n">
        <v>16</v>
      </c>
      <c r="Q17" s="109" t="n"/>
      <c r="R17" s="120">
        <f>IF(B17="","",IF(Q17&lt;&gt;"",Q17,IF(P17="","",IFERROR(INDEX('Timeline'!$J$7:$J$1006,MATCH(P17,'Timeline'!$B$7:$B$1006,0)),""))))</f>
        <v/>
      </c>
      <c r="S17" s="126">
        <f>IF(R17="","",R17-IF(O17="",0,O17)-OrderBuf)</f>
        <v/>
      </c>
      <c r="T17" s="126">
        <f>IF(S17="","",S17-DecideBuf)</f>
        <v/>
      </c>
      <c r="U17" s="74" t="inlineStr">
        <is>
          <t>No</t>
        </is>
      </c>
      <c r="V17" s="109" t="n"/>
      <c r="W17" s="109" t="n"/>
      <c r="X17" s="74" t="n"/>
      <c r="Y17" s="116">
        <f>IF(B17="","",IF(X17="Yes","Delivered",IF(U17="Yes",IF(AND(W17&lt;&gt;"",R17&lt;&gt;""),IF(W17&gt;R17,"⚠️ Delivery after install date","Ordered"),"Ordered"),IF(K17="",IF(T17="","Waiting for decision",IF(T17&lt;=AsOf+AlertDays,"Decide now","Waiting for decision")),IF(S17="","Selected",IF(AsOf&gt;S17,"⚠️ Order late — install at risk",IF(S17&lt;=AsOf+AlertDays,"Order now","Selected")))))))</f>
        <v/>
      </c>
      <c r="Z17" s="79">
        <f>IF(B17="","",IF(OR(AH17=1,AE17=1),2,IF(OR(AG17=1,AF17=1),1,IF(OR(Y17="Ordered",Y17="Delivered"),0,""))))</f>
        <v/>
      </c>
      <c r="AA17" s="112">
        <f>IF(B17="","",IF(AH17=1,IF(Y17="⚠️ Delivery after install date",R17,S17),IF(AD17=1,T17,IF(AI17=1,S17,""))))</f>
        <v/>
      </c>
      <c r="AB17" s="79">
        <f>IF(AA17="","",IF(AH17=1,1,IF(AA17="","",IF(AA17&lt;AsOf,1,IF(AA17&lt;=AsOf+AlertDays,2,IF(AA17&lt;=AsOf+2*AlertDays,3,""))))))</f>
        <v/>
      </c>
      <c r="AC17" s="79">
        <f>IF(AB17="","",IF(AH17=1,IF(Y17="⚠️ Delivery after install date","Delivery after install date: "&amp;B17,"Order late — install at risk: "&amp;B17),IF(AD17=1,IF(AB17=1,"Decision overdue: ","Decide: ")&amp;B17,"Order: "&amp;B17&amp;IF(N17="",""," from "&amp;N17))))</f>
        <v/>
      </c>
      <c r="AD17" s="79">
        <f>IF(AND(B17&lt;&gt;"",K17="",U17&lt;&gt;"Yes",X17&lt;&gt;"Yes"),1,0)</f>
        <v/>
      </c>
      <c r="AE17" s="79">
        <f>IF(AND(AD17=1,T17&lt;&gt;""),IF(T17&lt;AsOf,1,0),0)</f>
        <v/>
      </c>
      <c r="AF17" s="79">
        <f>IF(AND(AD17=1,T17&lt;&gt;""),IF(AND(T17&gt;=AsOf,T17&lt;=AsOf+AlertDays),1,0),0)</f>
        <v/>
      </c>
      <c r="AG17" s="79">
        <f>IF(Y17="Order now",1,0)</f>
        <v/>
      </c>
      <c r="AH17" s="79">
        <f>IF(OR(Y17="⚠️ Order late — install at risk",Y17="⚠️ Delivery after install date"),1,0)</f>
        <v/>
      </c>
      <c r="AI17" s="79">
        <f>IF(AND(B17&lt;&gt;"",K17&lt;&gt;"",U17&lt;&gt;"Yes",X17&lt;&gt;"Yes"),1,0)</f>
        <v/>
      </c>
      <c r="AJ17" s="79">
        <f>IF(Y17="⚠️ Order late — install at risk",1,0)</f>
        <v/>
      </c>
    </row>
    <row r="18" ht="20" customHeight="1">
      <c r="B18" s="72" t="inlineStr">
        <is>
          <t>Bathroom 2 toilet</t>
        </is>
      </c>
      <c r="C18" s="72" t="inlineStr">
        <is>
          <t>Bathroom 2</t>
        </is>
      </c>
      <c r="D18" s="72" t="inlineStr">
        <is>
          <t>Bathrooms</t>
        </is>
      </c>
      <c r="E18" s="72" t="inlineStr">
        <is>
          <t>Wall-hung</t>
        </is>
      </c>
      <c r="F18" s="73" t="n">
        <v>420</v>
      </c>
      <c r="G18" s="72" t="inlineStr">
        <is>
          <t>Close-coupled</t>
        </is>
      </c>
      <c r="H18" s="73" t="n">
        <v>560</v>
      </c>
      <c r="I18" s="72" t="n"/>
      <c r="J18" s="73" t="n"/>
      <c r="K18" s="74" t="n"/>
      <c r="L18" s="75">
        <f>IF(K18="A",F18,IF(K18="B",H18,IF(K18="C",J18,"")))</f>
        <v/>
      </c>
      <c r="M18" s="72" t="n"/>
      <c r="N18" s="72" t="inlineStr">
        <is>
          <t>BathWorld</t>
        </is>
      </c>
      <c r="O18" s="89" t="n">
        <v>10</v>
      </c>
      <c r="P18" s="89" t="n">
        <v>16</v>
      </c>
      <c r="Q18" s="109" t="n"/>
      <c r="R18" s="120">
        <f>IF(B18="","",IF(Q18&lt;&gt;"",Q18,IF(P18="","",IFERROR(INDEX('Timeline'!$J$7:$J$1006,MATCH(P18,'Timeline'!$B$7:$B$1006,0)),""))))</f>
        <v/>
      </c>
      <c r="S18" s="126">
        <f>IF(R18="","",R18-IF(O18="",0,O18)-OrderBuf)</f>
        <v/>
      </c>
      <c r="T18" s="126">
        <f>IF(S18="","",S18-DecideBuf)</f>
        <v/>
      </c>
      <c r="U18" s="74" t="inlineStr">
        <is>
          <t>No</t>
        </is>
      </c>
      <c r="V18" s="109" t="n"/>
      <c r="W18" s="109" t="n"/>
      <c r="X18" s="74" t="n"/>
      <c r="Y18" s="116">
        <f>IF(B18="","",IF(X18="Yes","Delivered",IF(U18="Yes",IF(AND(W18&lt;&gt;"",R18&lt;&gt;""),IF(W18&gt;R18,"⚠️ Delivery after install date","Ordered"),"Ordered"),IF(K18="",IF(T18="","Waiting for decision",IF(T18&lt;=AsOf+AlertDays,"Decide now","Waiting for decision")),IF(S18="","Selected",IF(AsOf&gt;S18,"⚠️ Order late — install at risk",IF(S18&lt;=AsOf+AlertDays,"Order now","Selected")))))))</f>
        <v/>
      </c>
      <c r="Z18" s="79">
        <f>IF(B18="","",IF(OR(AH18=1,AE18=1),2,IF(OR(AG18=1,AF18=1),1,IF(OR(Y18="Ordered",Y18="Delivered"),0,""))))</f>
        <v/>
      </c>
      <c r="AA18" s="112">
        <f>IF(B18="","",IF(AH18=1,IF(Y18="⚠️ Delivery after install date",R18,S18),IF(AD18=1,T18,IF(AI18=1,S18,""))))</f>
        <v/>
      </c>
      <c r="AB18" s="79">
        <f>IF(AA18="","",IF(AH18=1,1,IF(AA18="","",IF(AA18&lt;AsOf,1,IF(AA18&lt;=AsOf+AlertDays,2,IF(AA18&lt;=AsOf+2*AlertDays,3,""))))))</f>
        <v/>
      </c>
      <c r="AC18" s="79">
        <f>IF(AB18="","",IF(AH18=1,IF(Y18="⚠️ Delivery after install date","Delivery after install date: "&amp;B18,"Order late — install at risk: "&amp;B18),IF(AD18=1,IF(AB18=1,"Decision overdue: ","Decide: ")&amp;B18,"Order: "&amp;B18&amp;IF(N18="",""," from "&amp;N18))))</f>
        <v/>
      </c>
      <c r="AD18" s="79">
        <f>IF(AND(B18&lt;&gt;"",K18="",U18&lt;&gt;"Yes",X18&lt;&gt;"Yes"),1,0)</f>
        <v/>
      </c>
      <c r="AE18" s="79">
        <f>IF(AND(AD18=1,T18&lt;&gt;""),IF(T18&lt;AsOf,1,0),0)</f>
        <v/>
      </c>
      <c r="AF18" s="79">
        <f>IF(AND(AD18=1,T18&lt;&gt;""),IF(AND(T18&gt;=AsOf,T18&lt;=AsOf+AlertDays),1,0),0)</f>
        <v/>
      </c>
      <c r="AG18" s="79">
        <f>IF(Y18="Order now",1,0)</f>
        <v/>
      </c>
      <c r="AH18" s="79">
        <f>IF(OR(Y18="⚠️ Order late — install at risk",Y18="⚠️ Delivery after install date"),1,0)</f>
        <v/>
      </c>
      <c r="AI18" s="79">
        <f>IF(AND(B18&lt;&gt;"",K18&lt;&gt;"",U18&lt;&gt;"Yes",X18&lt;&gt;"Yes"),1,0)</f>
        <v/>
      </c>
      <c r="AJ18" s="79">
        <f>IF(Y18="⚠️ Order late — install at risk",1,0)</f>
        <v/>
      </c>
    </row>
    <row r="19" ht="20" customHeight="1">
      <c r="B19" s="72" t="inlineStr">
        <is>
          <t>Living room flooring</t>
        </is>
      </c>
      <c r="C19" s="72" t="inlineStr">
        <is>
          <t>Living room</t>
        </is>
      </c>
      <c r="D19" s="72" t="inlineStr">
        <is>
          <t>Flooring</t>
        </is>
      </c>
      <c r="E19" s="72" t="inlineStr">
        <is>
          <t>Engineered oak</t>
        </is>
      </c>
      <c r="F19" s="73" t="n">
        <v>3900</v>
      </c>
      <c r="G19" s="72" t="inlineStr">
        <is>
          <t>Laminate oak look</t>
        </is>
      </c>
      <c r="H19" s="73" t="n">
        <v>1800</v>
      </c>
      <c r="I19" s="72" t="n"/>
      <c r="J19" s="73" t="n"/>
      <c r="K19" s="74" t="n"/>
      <c r="L19" s="75">
        <f>IF(K19="A",F19,IF(K19="B",H19,IF(K19="C",J19,"")))</f>
        <v/>
      </c>
      <c r="M19" s="72" t="n"/>
      <c r="N19" s="72" t="inlineStr">
        <is>
          <t>Oak &amp; Plank Flooring</t>
        </is>
      </c>
      <c r="O19" s="89" t="n">
        <v>28</v>
      </c>
      <c r="P19" s="89" t="n">
        <v>13</v>
      </c>
      <c r="Q19" s="109" t="n"/>
      <c r="R19" s="120">
        <f>IF(B19="","",IF(Q19&lt;&gt;"",Q19,IF(P19="","",IFERROR(INDEX('Timeline'!$J$7:$J$1006,MATCH(P19,'Timeline'!$B$7:$B$1006,0)),""))))</f>
        <v/>
      </c>
      <c r="S19" s="126">
        <f>IF(R19="","",R19-IF(O19="",0,O19)-OrderBuf)</f>
        <v/>
      </c>
      <c r="T19" s="126">
        <f>IF(S19="","",S19-DecideBuf)</f>
        <v/>
      </c>
      <c r="U19" s="74" t="inlineStr">
        <is>
          <t>No</t>
        </is>
      </c>
      <c r="V19" s="109" t="n"/>
      <c r="W19" s="109" t="n"/>
      <c r="X19" s="74" t="n"/>
      <c r="Y19" s="116">
        <f>IF(B19="","",IF(X19="Yes","Delivered",IF(U19="Yes",IF(AND(W19&lt;&gt;"",R19&lt;&gt;""),IF(W19&gt;R19,"⚠️ Delivery after install date","Ordered"),"Ordered"),IF(K19="",IF(T19="","Waiting for decision",IF(T19&lt;=AsOf+AlertDays,"Decide now","Waiting for decision")),IF(S19="","Selected",IF(AsOf&gt;S19,"⚠️ Order late — install at risk",IF(S19&lt;=AsOf+AlertDays,"Order now","Selected")))))))</f>
        <v/>
      </c>
      <c r="Z19" s="79">
        <f>IF(B19="","",IF(OR(AH19=1,AE19=1),2,IF(OR(AG19=1,AF19=1),1,IF(OR(Y19="Ordered",Y19="Delivered"),0,""))))</f>
        <v/>
      </c>
      <c r="AA19" s="112">
        <f>IF(B19="","",IF(AH19=1,IF(Y19="⚠️ Delivery after install date",R19,S19),IF(AD19=1,T19,IF(AI19=1,S19,""))))</f>
        <v/>
      </c>
      <c r="AB19" s="79">
        <f>IF(AA19="","",IF(AH19=1,1,IF(AA19="","",IF(AA19&lt;AsOf,1,IF(AA19&lt;=AsOf+AlertDays,2,IF(AA19&lt;=AsOf+2*AlertDays,3,""))))))</f>
        <v/>
      </c>
      <c r="AC19" s="79">
        <f>IF(AB19="","",IF(AH19=1,IF(Y19="⚠️ Delivery after install date","Delivery after install date: "&amp;B19,"Order late — install at risk: "&amp;B19),IF(AD19=1,IF(AB19=1,"Decision overdue: ","Decide: ")&amp;B19,"Order: "&amp;B19&amp;IF(N19="",""," from "&amp;N19))))</f>
        <v/>
      </c>
      <c r="AD19" s="79">
        <f>IF(AND(B19&lt;&gt;"",K19="",U19&lt;&gt;"Yes",X19&lt;&gt;"Yes"),1,0)</f>
        <v/>
      </c>
      <c r="AE19" s="79">
        <f>IF(AND(AD19=1,T19&lt;&gt;""),IF(T19&lt;AsOf,1,0),0)</f>
        <v/>
      </c>
      <c r="AF19" s="79">
        <f>IF(AND(AD19=1,T19&lt;&gt;""),IF(AND(T19&gt;=AsOf,T19&lt;=AsOf+AlertDays),1,0),0)</f>
        <v/>
      </c>
      <c r="AG19" s="79">
        <f>IF(Y19="Order now",1,0)</f>
        <v/>
      </c>
      <c r="AH19" s="79">
        <f>IF(OR(Y19="⚠️ Order late — install at risk",Y19="⚠️ Delivery after install date"),1,0)</f>
        <v/>
      </c>
      <c r="AI19" s="79">
        <f>IF(AND(B19&lt;&gt;"",K19&lt;&gt;"",U19&lt;&gt;"Yes",X19&lt;&gt;"Yes"),1,0)</f>
        <v/>
      </c>
      <c r="AJ19" s="79">
        <f>IF(Y19="⚠️ Order late — install at risk",1,0)</f>
        <v/>
      </c>
    </row>
    <row r="20" ht="20" customHeight="1">
      <c r="B20" s="72" t="inlineStr">
        <is>
          <t>Sofa</t>
        </is>
      </c>
      <c r="C20" s="72" t="inlineStr">
        <is>
          <t>Living room</t>
        </is>
      </c>
      <c r="D20" s="72" t="inlineStr">
        <is>
          <t>Furniture</t>
        </is>
      </c>
      <c r="E20" s="72" t="inlineStr">
        <is>
          <t>3-seater linen</t>
        </is>
      </c>
      <c r="F20" s="73" t="n">
        <v>2200</v>
      </c>
      <c r="G20" s="72" t="inlineStr">
        <is>
          <t>Corner sofa</t>
        </is>
      </c>
      <c r="H20" s="73" t="n">
        <v>1650</v>
      </c>
      <c r="I20" s="72" t="n"/>
      <c r="J20" s="73" t="n"/>
      <c r="K20" s="74" t="n"/>
      <c r="L20" s="75">
        <f>IF(K20="A",F20,IF(K20="B",H20,IF(K20="C",J20,"")))</f>
        <v/>
      </c>
      <c r="M20" s="72" t="n"/>
      <c r="N20" s="72" t="inlineStr">
        <is>
          <t>HomeStore</t>
        </is>
      </c>
      <c r="O20" s="89" t="n">
        <v>42</v>
      </c>
      <c r="P20" s="89" t="n"/>
      <c r="Q20" s="109" t="n">
        <v>46266</v>
      </c>
      <c r="R20" s="120">
        <f>IF(B20="","",IF(Q20&lt;&gt;"",Q20,IF(P20="","",IFERROR(INDEX('Timeline'!$J$7:$J$1006,MATCH(P20,'Timeline'!$B$7:$B$1006,0)),""))))</f>
        <v/>
      </c>
      <c r="S20" s="126">
        <f>IF(R20="","",R20-IF(O20="",0,O20)-OrderBuf)</f>
        <v/>
      </c>
      <c r="T20" s="126">
        <f>IF(S20="","",S20-DecideBuf)</f>
        <v/>
      </c>
      <c r="U20" s="74" t="inlineStr">
        <is>
          <t>No</t>
        </is>
      </c>
      <c r="V20" s="109" t="n"/>
      <c r="W20" s="109" t="n"/>
      <c r="X20" s="74" t="n"/>
      <c r="Y20" s="116">
        <f>IF(B20="","",IF(X20="Yes","Delivered",IF(U20="Yes",IF(AND(W20&lt;&gt;"",R20&lt;&gt;""),IF(W20&gt;R20,"⚠️ Delivery after install date","Ordered"),"Ordered"),IF(K20="",IF(T20="","Waiting for decision",IF(T20&lt;=AsOf+AlertDays,"Decide now","Waiting for decision")),IF(S20="","Selected",IF(AsOf&gt;S20,"⚠️ Order late — install at risk",IF(S20&lt;=AsOf+AlertDays,"Order now","Selected")))))))</f>
        <v/>
      </c>
      <c r="Z20" s="79">
        <f>IF(B20="","",IF(OR(AH20=1,AE20=1),2,IF(OR(AG20=1,AF20=1),1,IF(OR(Y20="Ordered",Y20="Delivered"),0,""))))</f>
        <v/>
      </c>
      <c r="AA20" s="112">
        <f>IF(B20="","",IF(AH20=1,IF(Y20="⚠️ Delivery after install date",R20,S20),IF(AD20=1,T20,IF(AI20=1,S20,""))))</f>
        <v/>
      </c>
      <c r="AB20" s="79">
        <f>IF(AA20="","",IF(AH20=1,1,IF(AA20="","",IF(AA20&lt;AsOf,1,IF(AA20&lt;=AsOf+AlertDays,2,IF(AA20&lt;=AsOf+2*AlertDays,3,""))))))</f>
        <v/>
      </c>
      <c r="AC20" s="79">
        <f>IF(AB20="","",IF(AH20=1,IF(Y20="⚠️ Delivery after install date","Delivery after install date: "&amp;B20,"Order late — install at risk: "&amp;B20),IF(AD20=1,IF(AB20=1,"Decision overdue: ","Decide: ")&amp;B20,"Order: "&amp;B20&amp;IF(N20="",""," from "&amp;N20))))</f>
        <v/>
      </c>
      <c r="AD20" s="79">
        <f>IF(AND(B20&lt;&gt;"",K20="",U20&lt;&gt;"Yes",X20&lt;&gt;"Yes"),1,0)</f>
        <v/>
      </c>
      <c r="AE20" s="79">
        <f>IF(AND(AD20=1,T20&lt;&gt;""),IF(T20&lt;AsOf,1,0),0)</f>
        <v/>
      </c>
      <c r="AF20" s="79">
        <f>IF(AND(AD20=1,T20&lt;&gt;""),IF(AND(T20&gt;=AsOf,T20&lt;=AsOf+AlertDays),1,0),0)</f>
        <v/>
      </c>
      <c r="AG20" s="79">
        <f>IF(Y20="Order now",1,0)</f>
        <v/>
      </c>
      <c r="AH20" s="79">
        <f>IF(OR(Y20="⚠️ Order late — install at risk",Y20="⚠️ Delivery after install date"),1,0)</f>
        <v/>
      </c>
      <c r="AI20" s="79">
        <f>IF(AND(B20&lt;&gt;"",K20&lt;&gt;"",U20&lt;&gt;"Yes",X20&lt;&gt;"Yes"),1,0)</f>
        <v/>
      </c>
      <c r="AJ20" s="79">
        <f>IF(Y20="⚠️ Order late — install at risk",1,0)</f>
        <v/>
      </c>
    </row>
    <row r="21" ht="20" customHeight="1">
      <c r="B21" s="72" t="n"/>
      <c r="C21" s="72" t="n"/>
      <c r="D21" s="72" t="n"/>
      <c r="E21" s="72" t="n"/>
      <c r="F21" s="73" t="n"/>
      <c r="G21" s="72" t="n"/>
      <c r="H21" s="73" t="n"/>
      <c r="I21" s="72" t="n"/>
      <c r="J21" s="73" t="n"/>
      <c r="K21" s="74" t="n"/>
      <c r="L21" s="75">
        <f>IF(K21="A",F21,IF(K21="B",H21,IF(K21="C",J21,"")))</f>
        <v/>
      </c>
      <c r="M21" s="72" t="n"/>
      <c r="N21" s="72" t="n"/>
      <c r="O21" s="89" t="n"/>
      <c r="P21" s="89" t="n"/>
      <c r="Q21" s="109" t="n"/>
      <c r="R21" s="120">
        <f>IF(B21="","",IF(Q21&lt;&gt;"",Q21,IF(P21="","",IFERROR(INDEX('Timeline'!$J$7:$J$1006,MATCH(P21,'Timeline'!$B$7:$B$1006,0)),""))))</f>
        <v/>
      </c>
      <c r="S21" s="126">
        <f>IF(R21="","",R21-IF(O21="",0,O21)-OrderBuf)</f>
        <v/>
      </c>
      <c r="T21" s="126">
        <f>IF(S21="","",S21-DecideBuf)</f>
        <v/>
      </c>
      <c r="U21" s="74" t="n"/>
      <c r="V21" s="109" t="n"/>
      <c r="W21" s="109" t="n"/>
      <c r="X21" s="74" t="n"/>
      <c r="Y21" s="116">
        <f>IF(B21="","",IF(X21="Yes","Delivered",IF(U21="Yes",IF(AND(W21&lt;&gt;"",R21&lt;&gt;""),IF(W21&gt;R21,"⚠️ Delivery after install date","Ordered"),"Ordered"),IF(K21="",IF(T21="","Waiting for decision",IF(T21&lt;=AsOf+AlertDays,"Decide now","Waiting for decision")),IF(S21="","Selected",IF(AsOf&gt;S21,"⚠️ Order late — install at risk",IF(S21&lt;=AsOf+AlertDays,"Order now","Selected")))))))</f>
        <v/>
      </c>
      <c r="Z21" s="79">
        <f>IF(B21="","",IF(OR(AH21=1,AE21=1),2,IF(OR(AG21=1,AF21=1),1,IF(OR(Y21="Ordered",Y21="Delivered"),0,""))))</f>
        <v/>
      </c>
      <c r="AA21" s="112">
        <f>IF(B21="","",IF(AH21=1,IF(Y21="⚠️ Delivery after install date",R21,S21),IF(AD21=1,T21,IF(AI21=1,S21,""))))</f>
        <v/>
      </c>
      <c r="AB21" s="79">
        <f>IF(AA21="","",IF(AH21=1,1,IF(AA21="","",IF(AA21&lt;AsOf,1,IF(AA21&lt;=AsOf+AlertDays,2,IF(AA21&lt;=AsOf+2*AlertDays,3,""))))))</f>
        <v/>
      </c>
      <c r="AC21" s="79">
        <f>IF(AB21="","",IF(AH21=1,IF(Y21="⚠️ Delivery after install date","Delivery after install date: "&amp;B21,"Order late — install at risk: "&amp;B21),IF(AD21=1,IF(AB21=1,"Decision overdue: ","Decide: ")&amp;B21,"Order: "&amp;B21&amp;IF(N21="",""," from "&amp;N21))))</f>
        <v/>
      </c>
      <c r="AD21" s="79">
        <f>IF(AND(B21&lt;&gt;"",K21="",U21&lt;&gt;"Yes",X21&lt;&gt;"Yes"),1,0)</f>
        <v/>
      </c>
      <c r="AE21" s="79">
        <f>IF(AND(AD21=1,T21&lt;&gt;""),IF(T21&lt;AsOf,1,0),0)</f>
        <v/>
      </c>
      <c r="AF21" s="79">
        <f>IF(AND(AD21=1,T21&lt;&gt;""),IF(AND(T21&gt;=AsOf,T21&lt;=AsOf+AlertDays),1,0),0)</f>
        <v/>
      </c>
      <c r="AG21" s="79">
        <f>IF(Y21="Order now",1,0)</f>
        <v/>
      </c>
      <c r="AH21" s="79">
        <f>IF(OR(Y21="⚠️ Order late — install at risk",Y21="⚠️ Delivery after install date"),1,0)</f>
        <v/>
      </c>
      <c r="AI21" s="79">
        <f>IF(AND(B21&lt;&gt;"",K21&lt;&gt;"",U21&lt;&gt;"Yes",X21&lt;&gt;"Yes"),1,0)</f>
        <v/>
      </c>
      <c r="AJ21" s="79">
        <f>IF(Y21="⚠️ Order late — install at risk",1,0)</f>
        <v/>
      </c>
    </row>
    <row r="22" ht="20" customHeight="1">
      <c r="B22" s="72" t="n"/>
      <c r="C22" s="72" t="n"/>
      <c r="D22" s="72" t="n"/>
      <c r="E22" s="72" t="n"/>
      <c r="F22" s="73" t="n"/>
      <c r="G22" s="72" t="n"/>
      <c r="H22" s="73" t="n"/>
      <c r="I22" s="72" t="n"/>
      <c r="J22" s="73" t="n"/>
      <c r="K22" s="74" t="n"/>
      <c r="L22" s="75">
        <f>IF(K22="A",F22,IF(K22="B",H22,IF(K22="C",J22,"")))</f>
        <v/>
      </c>
      <c r="M22" s="72" t="n"/>
      <c r="N22" s="72" t="n"/>
      <c r="O22" s="89" t="n"/>
      <c r="P22" s="89" t="n"/>
      <c r="Q22" s="109" t="n"/>
      <c r="R22" s="120">
        <f>IF(B22="","",IF(Q22&lt;&gt;"",Q22,IF(P22="","",IFERROR(INDEX('Timeline'!$J$7:$J$1006,MATCH(P22,'Timeline'!$B$7:$B$1006,0)),""))))</f>
        <v/>
      </c>
      <c r="S22" s="126">
        <f>IF(R22="","",R22-IF(O22="",0,O22)-OrderBuf)</f>
        <v/>
      </c>
      <c r="T22" s="126">
        <f>IF(S22="","",S22-DecideBuf)</f>
        <v/>
      </c>
      <c r="U22" s="74" t="n"/>
      <c r="V22" s="109" t="n"/>
      <c r="W22" s="109" t="n"/>
      <c r="X22" s="74" t="n"/>
      <c r="Y22" s="116">
        <f>IF(B22="","",IF(X22="Yes","Delivered",IF(U22="Yes",IF(AND(W22&lt;&gt;"",R22&lt;&gt;""),IF(W22&gt;R22,"⚠️ Delivery after install date","Ordered"),"Ordered"),IF(K22="",IF(T22="","Waiting for decision",IF(T22&lt;=AsOf+AlertDays,"Decide now","Waiting for decision")),IF(S22="","Selected",IF(AsOf&gt;S22,"⚠️ Order late — install at risk",IF(S22&lt;=AsOf+AlertDays,"Order now","Selected")))))))</f>
        <v/>
      </c>
      <c r="Z22" s="79">
        <f>IF(B22="","",IF(OR(AH22=1,AE22=1),2,IF(OR(AG22=1,AF22=1),1,IF(OR(Y22="Ordered",Y22="Delivered"),0,""))))</f>
        <v/>
      </c>
      <c r="AA22" s="112">
        <f>IF(B22="","",IF(AH22=1,IF(Y22="⚠️ Delivery after install date",R22,S22),IF(AD22=1,T22,IF(AI22=1,S22,""))))</f>
        <v/>
      </c>
      <c r="AB22" s="79">
        <f>IF(AA22="","",IF(AH22=1,1,IF(AA22="","",IF(AA22&lt;AsOf,1,IF(AA22&lt;=AsOf+AlertDays,2,IF(AA22&lt;=AsOf+2*AlertDays,3,""))))))</f>
        <v/>
      </c>
      <c r="AC22" s="79">
        <f>IF(AB22="","",IF(AH22=1,IF(Y22="⚠️ Delivery after install date","Delivery after install date: "&amp;B22,"Order late — install at risk: "&amp;B22),IF(AD22=1,IF(AB22=1,"Decision overdue: ","Decide: ")&amp;B22,"Order: "&amp;B22&amp;IF(N22="",""," from "&amp;N22))))</f>
        <v/>
      </c>
      <c r="AD22" s="79">
        <f>IF(AND(B22&lt;&gt;"",K22="",U22&lt;&gt;"Yes",X22&lt;&gt;"Yes"),1,0)</f>
        <v/>
      </c>
      <c r="AE22" s="79">
        <f>IF(AND(AD22=1,T22&lt;&gt;""),IF(T22&lt;AsOf,1,0),0)</f>
        <v/>
      </c>
      <c r="AF22" s="79">
        <f>IF(AND(AD22=1,T22&lt;&gt;""),IF(AND(T22&gt;=AsOf,T22&lt;=AsOf+AlertDays),1,0),0)</f>
        <v/>
      </c>
      <c r="AG22" s="79">
        <f>IF(Y22="Order now",1,0)</f>
        <v/>
      </c>
      <c r="AH22" s="79">
        <f>IF(OR(Y22="⚠️ Order late — install at risk",Y22="⚠️ Delivery after install date"),1,0)</f>
        <v/>
      </c>
      <c r="AI22" s="79">
        <f>IF(AND(B22&lt;&gt;"",K22&lt;&gt;"",U22&lt;&gt;"Yes",X22&lt;&gt;"Yes"),1,0)</f>
        <v/>
      </c>
      <c r="AJ22" s="79">
        <f>IF(Y22="⚠️ Order late — install at risk",1,0)</f>
        <v/>
      </c>
    </row>
    <row r="23" ht="20" customHeight="1">
      <c r="B23" s="72" t="n"/>
      <c r="C23" s="72" t="n"/>
      <c r="D23" s="72" t="n"/>
      <c r="E23" s="72" t="n"/>
      <c r="F23" s="73" t="n"/>
      <c r="G23" s="72" t="n"/>
      <c r="H23" s="73" t="n"/>
      <c r="I23" s="72" t="n"/>
      <c r="J23" s="73" t="n"/>
      <c r="K23" s="74" t="n"/>
      <c r="L23" s="75">
        <f>IF(K23="A",F23,IF(K23="B",H23,IF(K23="C",J23,"")))</f>
        <v/>
      </c>
      <c r="M23" s="72" t="n"/>
      <c r="N23" s="72" t="n"/>
      <c r="O23" s="89" t="n"/>
      <c r="P23" s="89" t="n"/>
      <c r="Q23" s="109" t="n"/>
      <c r="R23" s="120">
        <f>IF(B23="","",IF(Q23&lt;&gt;"",Q23,IF(P23="","",IFERROR(INDEX('Timeline'!$J$7:$J$1006,MATCH(P23,'Timeline'!$B$7:$B$1006,0)),""))))</f>
        <v/>
      </c>
      <c r="S23" s="126">
        <f>IF(R23="","",R23-IF(O23="",0,O23)-OrderBuf)</f>
        <v/>
      </c>
      <c r="T23" s="126">
        <f>IF(S23="","",S23-DecideBuf)</f>
        <v/>
      </c>
      <c r="U23" s="74" t="n"/>
      <c r="V23" s="109" t="n"/>
      <c r="W23" s="109" t="n"/>
      <c r="X23" s="74" t="n"/>
      <c r="Y23" s="116">
        <f>IF(B23="","",IF(X23="Yes","Delivered",IF(U23="Yes",IF(AND(W23&lt;&gt;"",R23&lt;&gt;""),IF(W23&gt;R23,"⚠️ Delivery after install date","Ordered"),"Ordered"),IF(K23="",IF(T23="","Waiting for decision",IF(T23&lt;=AsOf+AlertDays,"Decide now","Waiting for decision")),IF(S23="","Selected",IF(AsOf&gt;S23,"⚠️ Order late — install at risk",IF(S23&lt;=AsOf+AlertDays,"Order now","Selected")))))))</f>
        <v/>
      </c>
      <c r="Z23" s="79">
        <f>IF(B23="","",IF(OR(AH23=1,AE23=1),2,IF(OR(AG23=1,AF23=1),1,IF(OR(Y23="Ordered",Y23="Delivered"),0,""))))</f>
        <v/>
      </c>
      <c r="AA23" s="112">
        <f>IF(B23="","",IF(AH23=1,IF(Y23="⚠️ Delivery after install date",R23,S23),IF(AD23=1,T23,IF(AI23=1,S23,""))))</f>
        <v/>
      </c>
      <c r="AB23" s="79">
        <f>IF(AA23="","",IF(AH23=1,1,IF(AA23="","",IF(AA23&lt;AsOf,1,IF(AA23&lt;=AsOf+AlertDays,2,IF(AA23&lt;=AsOf+2*AlertDays,3,""))))))</f>
        <v/>
      </c>
      <c r="AC23" s="79">
        <f>IF(AB23="","",IF(AH23=1,IF(Y23="⚠️ Delivery after install date","Delivery after install date: "&amp;B23,"Order late — install at risk: "&amp;B23),IF(AD23=1,IF(AB23=1,"Decision overdue: ","Decide: ")&amp;B23,"Order: "&amp;B23&amp;IF(N23="",""," from "&amp;N23))))</f>
        <v/>
      </c>
      <c r="AD23" s="79">
        <f>IF(AND(B23&lt;&gt;"",K23="",U23&lt;&gt;"Yes",X23&lt;&gt;"Yes"),1,0)</f>
        <v/>
      </c>
      <c r="AE23" s="79">
        <f>IF(AND(AD23=1,T23&lt;&gt;""),IF(T23&lt;AsOf,1,0),0)</f>
        <v/>
      </c>
      <c r="AF23" s="79">
        <f>IF(AND(AD23=1,T23&lt;&gt;""),IF(AND(T23&gt;=AsOf,T23&lt;=AsOf+AlertDays),1,0),0)</f>
        <v/>
      </c>
      <c r="AG23" s="79">
        <f>IF(Y23="Order now",1,0)</f>
        <v/>
      </c>
      <c r="AH23" s="79">
        <f>IF(OR(Y23="⚠️ Order late — install at risk",Y23="⚠️ Delivery after install date"),1,0)</f>
        <v/>
      </c>
      <c r="AI23" s="79">
        <f>IF(AND(B23&lt;&gt;"",K23&lt;&gt;"",U23&lt;&gt;"Yes",X23&lt;&gt;"Yes"),1,0)</f>
        <v/>
      </c>
      <c r="AJ23" s="79">
        <f>IF(Y23="⚠️ Order late — install at risk",1,0)</f>
        <v/>
      </c>
    </row>
    <row r="24" ht="20" customHeight="1">
      <c r="B24" s="72" t="n"/>
      <c r="C24" s="72" t="n"/>
      <c r="D24" s="72" t="n"/>
      <c r="E24" s="72" t="n"/>
      <c r="F24" s="73" t="n"/>
      <c r="G24" s="72" t="n"/>
      <c r="H24" s="73" t="n"/>
      <c r="I24" s="72" t="n"/>
      <c r="J24" s="73" t="n"/>
      <c r="K24" s="74" t="n"/>
      <c r="L24" s="75">
        <f>IF(K24="A",F24,IF(K24="B",H24,IF(K24="C",J24,"")))</f>
        <v/>
      </c>
      <c r="M24" s="72" t="n"/>
      <c r="N24" s="72" t="n"/>
      <c r="O24" s="89" t="n"/>
      <c r="P24" s="89" t="n"/>
      <c r="Q24" s="109" t="n"/>
      <c r="R24" s="120">
        <f>IF(B24="","",IF(Q24&lt;&gt;"",Q24,IF(P24="","",IFERROR(INDEX('Timeline'!$J$7:$J$1006,MATCH(P24,'Timeline'!$B$7:$B$1006,0)),""))))</f>
        <v/>
      </c>
      <c r="S24" s="126">
        <f>IF(R24="","",R24-IF(O24="",0,O24)-OrderBuf)</f>
        <v/>
      </c>
      <c r="T24" s="126">
        <f>IF(S24="","",S24-DecideBuf)</f>
        <v/>
      </c>
      <c r="U24" s="74" t="n"/>
      <c r="V24" s="109" t="n"/>
      <c r="W24" s="109" t="n"/>
      <c r="X24" s="74" t="n"/>
      <c r="Y24" s="116">
        <f>IF(B24="","",IF(X24="Yes","Delivered",IF(U24="Yes",IF(AND(W24&lt;&gt;"",R24&lt;&gt;""),IF(W24&gt;R24,"⚠️ Delivery after install date","Ordered"),"Ordered"),IF(K24="",IF(T24="","Waiting for decision",IF(T24&lt;=AsOf+AlertDays,"Decide now","Waiting for decision")),IF(S24="","Selected",IF(AsOf&gt;S24,"⚠️ Order late — install at risk",IF(S24&lt;=AsOf+AlertDays,"Order now","Selected")))))))</f>
        <v/>
      </c>
      <c r="Z24" s="79">
        <f>IF(B24="","",IF(OR(AH24=1,AE24=1),2,IF(OR(AG24=1,AF24=1),1,IF(OR(Y24="Ordered",Y24="Delivered"),0,""))))</f>
        <v/>
      </c>
      <c r="AA24" s="112">
        <f>IF(B24="","",IF(AH24=1,IF(Y24="⚠️ Delivery after install date",R24,S24),IF(AD24=1,T24,IF(AI24=1,S24,""))))</f>
        <v/>
      </c>
      <c r="AB24" s="79">
        <f>IF(AA24="","",IF(AH24=1,1,IF(AA24="","",IF(AA24&lt;AsOf,1,IF(AA24&lt;=AsOf+AlertDays,2,IF(AA24&lt;=AsOf+2*AlertDays,3,""))))))</f>
        <v/>
      </c>
      <c r="AC24" s="79">
        <f>IF(AB24="","",IF(AH24=1,IF(Y24="⚠️ Delivery after install date","Delivery after install date: "&amp;B24,"Order late — install at risk: "&amp;B24),IF(AD24=1,IF(AB24=1,"Decision overdue: ","Decide: ")&amp;B24,"Order: "&amp;B24&amp;IF(N24="",""," from "&amp;N24))))</f>
        <v/>
      </c>
      <c r="AD24" s="79">
        <f>IF(AND(B24&lt;&gt;"",K24="",U24&lt;&gt;"Yes",X24&lt;&gt;"Yes"),1,0)</f>
        <v/>
      </c>
      <c r="AE24" s="79">
        <f>IF(AND(AD24=1,T24&lt;&gt;""),IF(T24&lt;AsOf,1,0),0)</f>
        <v/>
      </c>
      <c r="AF24" s="79">
        <f>IF(AND(AD24=1,T24&lt;&gt;""),IF(AND(T24&gt;=AsOf,T24&lt;=AsOf+AlertDays),1,0),0)</f>
        <v/>
      </c>
      <c r="AG24" s="79">
        <f>IF(Y24="Order now",1,0)</f>
        <v/>
      </c>
      <c r="AH24" s="79">
        <f>IF(OR(Y24="⚠️ Order late — install at risk",Y24="⚠️ Delivery after install date"),1,0)</f>
        <v/>
      </c>
      <c r="AI24" s="79">
        <f>IF(AND(B24&lt;&gt;"",K24&lt;&gt;"",U24&lt;&gt;"Yes",X24&lt;&gt;"Yes"),1,0)</f>
        <v/>
      </c>
      <c r="AJ24" s="79">
        <f>IF(Y24="⚠️ Order late — install at risk",1,0)</f>
        <v/>
      </c>
    </row>
    <row r="25" ht="20" customHeight="1">
      <c r="B25" s="72" t="n"/>
      <c r="C25" s="72" t="n"/>
      <c r="D25" s="72" t="n"/>
      <c r="E25" s="72" t="n"/>
      <c r="F25" s="73" t="n"/>
      <c r="G25" s="72" t="n"/>
      <c r="H25" s="73" t="n"/>
      <c r="I25" s="72" t="n"/>
      <c r="J25" s="73" t="n"/>
      <c r="K25" s="74" t="n"/>
      <c r="L25" s="75">
        <f>IF(K25="A",F25,IF(K25="B",H25,IF(K25="C",J25,"")))</f>
        <v/>
      </c>
      <c r="M25" s="72" t="n"/>
      <c r="N25" s="72" t="n"/>
      <c r="O25" s="89" t="n"/>
      <c r="P25" s="89" t="n"/>
      <c r="Q25" s="109" t="n"/>
      <c r="R25" s="120">
        <f>IF(B25="","",IF(Q25&lt;&gt;"",Q25,IF(P25="","",IFERROR(INDEX('Timeline'!$J$7:$J$1006,MATCH(P25,'Timeline'!$B$7:$B$1006,0)),""))))</f>
        <v/>
      </c>
      <c r="S25" s="126">
        <f>IF(R25="","",R25-IF(O25="",0,O25)-OrderBuf)</f>
        <v/>
      </c>
      <c r="T25" s="126">
        <f>IF(S25="","",S25-DecideBuf)</f>
        <v/>
      </c>
      <c r="U25" s="74" t="n"/>
      <c r="V25" s="109" t="n"/>
      <c r="W25" s="109" t="n"/>
      <c r="X25" s="74" t="n"/>
      <c r="Y25" s="116">
        <f>IF(B25="","",IF(X25="Yes","Delivered",IF(U25="Yes",IF(AND(W25&lt;&gt;"",R25&lt;&gt;""),IF(W25&gt;R25,"⚠️ Delivery after install date","Ordered"),"Ordered"),IF(K25="",IF(T25="","Waiting for decision",IF(T25&lt;=AsOf+AlertDays,"Decide now","Waiting for decision")),IF(S25="","Selected",IF(AsOf&gt;S25,"⚠️ Order late — install at risk",IF(S25&lt;=AsOf+AlertDays,"Order now","Selected")))))))</f>
        <v/>
      </c>
      <c r="Z25" s="79">
        <f>IF(B25="","",IF(OR(AH25=1,AE25=1),2,IF(OR(AG25=1,AF25=1),1,IF(OR(Y25="Ordered",Y25="Delivered"),0,""))))</f>
        <v/>
      </c>
      <c r="AA25" s="112">
        <f>IF(B25="","",IF(AH25=1,IF(Y25="⚠️ Delivery after install date",R25,S25),IF(AD25=1,T25,IF(AI25=1,S25,""))))</f>
        <v/>
      </c>
      <c r="AB25" s="79">
        <f>IF(AA25="","",IF(AH25=1,1,IF(AA25="","",IF(AA25&lt;AsOf,1,IF(AA25&lt;=AsOf+AlertDays,2,IF(AA25&lt;=AsOf+2*AlertDays,3,""))))))</f>
        <v/>
      </c>
      <c r="AC25" s="79">
        <f>IF(AB25="","",IF(AH25=1,IF(Y25="⚠️ Delivery after install date","Delivery after install date: "&amp;B25,"Order late — install at risk: "&amp;B25),IF(AD25=1,IF(AB25=1,"Decision overdue: ","Decide: ")&amp;B25,"Order: "&amp;B25&amp;IF(N25="",""," from "&amp;N25))))</f>
        <v/>
      </c>
      <c r="AD25" s="79">
        <f>IF(AND(B25&lt;&gt;"",K25="",U25&lt;&gt;"Yes",X25&lt;&gt;"Yes"),1,0)</f>
        <v/>
      </c>
      <c r="AE25" s="79">
        <f>IF(AND(AD25=1,T25&lt;&gt;""),IF(T25&lt;AsOf,1,0),0)</f>
        <v/>
      </c>
      <c r="AF25" s="79">
        <f>IF(AND(AD25=1,T25&lt;&gt;""),IF(AND(T25&gt;=AsOf,T25&lt;=AsOf+AlertDays),1,0),0)</f>
        <v/>
      </c>
      <c r="AG25" s="79">
        <f>IF(Y25="Order now",1,0)</f>
        <v/>
      </c>
      <c r="AH25" s="79">
        <f>IF(OR(Y25="⚠️ Order late — install at risk",Y25="⚠️ Delivery after install date"),1,0)</f>
        <v/>
      </c>
      <c r="AI25" s="79">
        <f>IF(AND(B25&lt;&gt;"",K25&lt;&gt;"",U25&lt;&gt;"Yes",X25&lt;&gt;"Yes"),1,0)</f>
        <v/>
      </c>
      <c r="AJ25" s="79">
        <f>IF(Y25="⚠️ Order late — install at risk",1,0)</f>
        <v/>
      </c>
    </row>
    <row r="26" ht="20" customHeight="1">
      <c r="B26" s="72" t="n"/>
      <c r="C26" s="72" t="n"/>
      <c r="D26" s="72" t="n"/>
      <c r="E26" s="72" t="n"/>
      <c r="F26" s="73" t="n"/>
      <c r="G26" s="72" t="n"/>
      <c r="H26" s="73" t="n"/>
      <c r="I26" s="72" t="n"/>
      <c r="J26" s="73" t="n"/>
      <c r="K26" s="74" t="n"/>
      <c r="L26" s="75">
        <f>IF(K26="A",F26,IF(K26="B",H26,IF(K26="C",J26,"")))</f>
        <v/>
      </c>
      <c r="M26" s="72" t="n"/>
      <c r="N26" s="72" t="n"/>
      <c r="O26" s="89" t="n"/>
      <c r="P26" s="89" t="n"/>
      <c r="Q26" s="109" t="n"/>
      <c r="R26" s="120">
        <f>IF(B26="","",IF(Q26&lt;&gt;"",Q26,IF(P26="","",IFERROR(INDEX('Timeline'!$J$7:$J$1006,MATCH(P26,'Timeline'!$B$7:$B$1006,0)),""))))</f>
        <v/>
      </c>
      <c r="S26" s="126">
        <f>IF(R26="","",R26-IF(O26="",0,O26)-OrderBuf)</f>
        <v/>
      </c>
      <c r="T26" s="126">
        <f>IF(S26="","",S26-DecideBuf)</f>
        <v/>
      </c>
      <c r="U26" s="74" t="n"/>
      <c r="V26" s="109" t="n"/>
      <c r="W26" s="109" t="n"/>
      <c r="X26" s="74" t="n"/>
      <c r="Y26" s="116">
        <f>IF(B26="","",IF(X26="Yes","Delivered",IF(U26="Yes",IF(AND(W26&lt;&gt;"",R26&lt;&gt;""),IF(W26&gt;R26,"⚠️ Delivery after install date","Ordered"),"Ordered"),IF(K26="",IF(T26="","Waiting for decision",IF(T26&lt;=AsOf+AlertDays,"Decide now","Waiting for decision")),IF(S26="","Selected",IF(AsOf&gt;S26,"⚠️ Order late — install at risk",IF(S26&lt;=AsOf+AlertDays,"Order now","Selected")))))))</f>
        <v/>
      </c>
      <c r="Z26" s="79">
        <f>IF(B26="","",IF(OR(AH26=1,AE26=1),2,IF(OR(AG26=1,AF26=1),1,IF(OR(Y26="Ordered",Y26="Delivered"),0,""))))</f>
        <v/>
      </c>
      <c r="AA26" s="112">
        <f>IF(B26="","",IF(AH26=1,IF(Y26="⚠️ Delivery after install date",R26,S26),IF(AD26=1,T26,IF(AI26=1,S26,""))))</f>
        <v/>
      </c>
      <c r="AB26" s="79">
        <f>IF(AA26="","",IF(AH26=1,1,IF(AA26="","",IF(AA26&lt;AsOf,1,IF(AA26&lt;=AsOf+AlertDays,2,IF(AA26&lt;=AsOf+2*AlertDays,3,""))))))</f>
        <v/>
      </c>
      <c r="AC26" s="79">
        <f>IF(AB26="","",IF(AH26=1,IF(Y26="⚠️ Delivery after install date","Delivery after install date: "&amp;B26,"Order late — install at risk: "&amp;B26),IF(AD26=1,IF(AB26=1,"Decision overdue: ","Decide: ")&amp;B26,"Order: "&amp;B26&amp;IF(N26="",""," from "&amp;N26))))</f>
        <v/>
      </c>
      <c r="AD26" s="79">
        <f>IF(AND(B26&lt;&gt;"",K26="",U26&lt;&gt;"Yes",X26&lt;&gt;"Yes"),1,0)</f>
        <v/>
      </c>
      <c r="AE26" s="79">
        <f>IF(AND(AD26=1,T26&lt;&gt;""),IF(T26&lt;AsOf,1,0),0)</f>
        <v/>
      </c>
      <c r="AF26" s="79">
        <f>IF(AND(AD26=1,T26&lt;&gt;""),IF(AND(T26&gt;=AsOf,T26&lt;=AsOf+AlertDays),1,0),0)</f>
        <v/>
      </c>
      <c r="AG26" s="79">
        <f>IF(Y26="Order now",1,0)</f>
        <v/>
      </c>
      <c r="AH26" s="79">
        <f>IF(OR(Y26="⚠️ Order late — install at risk",Y26="⚠️ Delivery after install date"),1,0)</f>
        <v/>
      </c>
      <c r="AI26" s="79">
        <f>IF(AND(B26&lt;&gt;"",K26&lt;&gt;"",U26&lt;&gt;"Yes",X26&lt;&gt;"Yes"),1,0)</f>
        <v/>
      </c>
      <c r="AJ26" s="79">
        <f>IF(Y26="⚠️ Order late — install at risk",1,0)</f>
        <v/>
      </c>
    </row>
    <row r="27" ht="20" customHeight="1">
      <c r="B27" s="72" t="n"/>
      <c r="C27" s="72" t="n"/>
      <c r="D27" s="72" t="n"/>
      <c r="E27" s="72" t="n"/>
      <c r="F27" s="73" t="n"/>
      <c r="G27" s="72" t="n"/>
      <c r="H27" s="73" t="n"/>
      <c r="I27" s="72" t="n"/>
      <c r="J27" s="73" t="n"/>
      <c r="K27" s="74" t="n"/>
      <c r="L27" s="75">
        <f>IF(K27="A",F27,IF(K27="B",H27,IF(K27="C",J27,"")))</f>
        <v/>
      </c>
      <c r="M27" s="72" t="n"/>
      <c r="N27" s="72" t="n"/>
      <c r="O27" s="89" t="n"/>
      <c r="P27" s="89" t="n"/>
      <c r="Q27" s="109" t="n"/>
      <c r="R27" s="120">
        <f>IF(B27="","",IF(Q27&lt;&gt;"",Q27,IF(P27="","",IFERROR(INDEX('Timeline'!$J$7:$J$1006,MATCH(P27,'Timeline'!$B$7:$B$1006,0)),""))))</f>
        <v/>
      </c>
      <c r="S27" s="126">
        <f>IF(R27="","",R27-IF(O27="",0,O27)-OrderBuf)</f>
        <v/>
      </c>
      <c r="T27" s="126">
        <f>IF(S27="","",S27-DecideBuf)</f>
        <v/>
      </c>
      <c r="U27" s="74" t="n"/>
      <c r="V27" s="109" t="n"/>
      <c r="W27" s="109" t="n"/>
      <c r="X27" s="74" t="n"/>
      <c r="Y27" s="116">
        <f>IF(B27="","",IF(X27="Yes","Delivered",IF(U27="Yes",IF(AND(W27&lt;&gt;"",R27&lt;&gt;""),IF(W27&gt;R27,"⚠️ Delivery after install date","Ordered"),"Ordered"),IF(K27="",IF(T27="","Waiting for decision",IF(T27&lt;=AsOf+AlertDays,"Decide now","Waiting for decision")),IF(S27="","Selected",IF(AsOf&gt;S27,"⚠️ Order late — install at risk",IF(S27&lt;=AsOf+AlertDays,"Order now","Selected")))))))</f>
        <v/>
      </c>
      <c r="Z27" s="79">
        <f>IF(B27="","",IF(OR(AH27=1,AE27=1),2,IF(OR(AG27=1,AF27=1),1,IF(OR(Y27="Ordered",Y27="Delivered"),0,""))))</f>
        <v/>
      </c>
      <c r="AA27" s="112">
        <f>IF(B27="","",IF(AH27=1,IF(Y27="⚠️ Delivery after install date",R27,S27),IF(AD27=1,T27,IF(AI27=1,S27,""))))</f>
        <v/>
      </c>
      <c r="AB27" s="79">
        <f>IF(AA27="","",IF(AH27=1,1,IF(AA27="","",IF(AA27&lt;AsOf,1,IF(AA27&lt;=AsOf+AlertDays,2,IF(AA27&lt;=AsOf+2*AlertDays,3,""))))))</f>
        <v/>
      </c>
      <c r="AC27" s="79">
        <f>IF(AB27="","",IF(AH27=1,IF(Y27="⚠️ Delivery after install date","Delivery after install date: "&amp;B27,"Order late — install at risk: "&amp;B27),IF(AD27=1,IF(AB27=1,"Decision overdue: ","Decide: ")&amp;B27,"Order: "&amp;B27&amp;IF(N27="",""," from "&amp;N27))))</f>
        <v/>
      </c>
      <c r="AD27" s="79">
        <f>IF(AND(B27&lt;&gt;"",K27="",U27&lt;&gt;"Yes",X27&lt;&gt;"Yes"),1,0)</f>
        <v/>
      </c>
      <c r="AE27" s="79">
        <f>IF(AND(AD27=1,T27&lt;&gt;""),IF(T27&lt;AsOf,1,0),0)</f>
        <v/>
      </c>
      <c r="AF27" s="79">
        <f>IF(AND(AD27=1,T27&lt;&gt;""),IF(AND(T27&gt;=AsOf,T27&lt;=AsOf+AlertDays),1,0),0)</f>
        <v/>
      </c>
      <c r="AG27" s="79">
        <f>IF(Y27="Order now",1,0)</f>
        <v/>
      </c>
      <c r="AH27" s="79">
        <f>IF(OR(Y27="⚠️ Order late — install at risk",Y27="⚠️ Delivery after install date"),1,0)</f>
        <v/>
      </c>
      <c r="AI27" s="79">
        <f>IF(AND(B27&lt;&gt;"",K27&lt;&gt;"",U27&lt;&gt;"Yes",X27&lt;&gt;"Yes"),1,0)</f>
        <v/>
      </c>
      <c r="AJ27" s="79">
        <f>IF(Y27="⚠️ Order late — install at risk",1,0)</f>
        <v/>
      </c>
    </row>
    <row r="28" ht="20" customHeight="1">
      <c r="B28" s="72" t="n"/>
      <c r="C28" s="72" t="n"/>
      <c r="D28" s="72" t="n"/>
      <c r="E28" s="72" t="n"/>
      <c r="F28" s="73" t="n"/>
      <c r="G28" s="72" t="n"/>
      <c r="H28" s="73" t="n"/>
      <c r="I28" s="72" t="n"/>
      <c r="J28" s="73" t="n"/>
      <c r="K28" s="74" t="n"/>
      <c r="L28" s="75">
        <f>IF(K28="A",F28,IF(K28="B",H28,IF(K28="C",J28,"")))</f>
        <v/>
      </c>
      <c r="M28" s="72" t="n"/>
      <c r="N28" s="72" t="n"/>
      <c r="O28" s="89" t="n"/>
      <c r="P28" s="89" t="n"/>
      <c r="Q28" s="109" t="n"/>
      <c r="R28" s="120">
        <f>IF(B28="","",IF(Q28&lt;&gt;"",Q28,IF(P28="","",IFERROR(INDEX('Timeline'!$J$7:$J$1006,MATCH(P28,'Timeline'!$B$7:$B$1006,0)),""))))</f>
        <v/>
      </c>
      <c r="S28" s="126">
        <f>IF(R28="","",R28-IF(O28="",0,O28)-OrderBuf)</f>
        <v/>
      </c>
      <c r="T28" s="126">
        <f>IF(S28="","",S28-DecideBuf)</f>
        <v/>
      </c>
      <c r="U28" s="74" t="n"/>
      <c r="V28" s="109" t="n"/>
      <c r="W28" s="109" t="n"/>
      <c r="X28" s="74" t="n"/>
      <c r="Y28" s="116">
        <f>IF(B28="","",IF(X28="Yes","Delivered",IF(U28="Yes",IF(AND(W28&lt;&gt;"",R28&lt;&gt;""),IF(W28&gt;R28,"⚠️ Delivery after install date","Ordered"),"Ordered"),IF(K28="",IF(T28="","Waiting for decision",IF(T28&lt;=AsOf+AlertDays,"Decide now","Waiting for decision")),IF(S28="","Selected",IF(AsOf&gt;S28,"⚠️ Order late — install at risk",IF(S28&lt;=AsOf+AlertDays,"Order now","Selected")))))))</f>
        <v/>
      </c>
      <c r="Z28" s="79">
        <f>IF(B28="","",IF(OR(AH28=1,AE28=1),2,IF(OR(AG28=1,AF28=1),1,IF(OR(Y28="Ordered",Y28="Delivered"),0,""))))</f>
        <v/>
      </c>
      <c r="AA28" s="112">
        <f>IF(B28="","",IF(AH28=1,IF(Y28="⚠️ Delivery after install date",R28,S28),IF(AD28=1,T28,IF(AI28=1,S28,""))))</f>
        <v/>
      </c>
      <c r="AB28" s="79">
        <f>IF(AA28="","",IF(AH28=1,1,IF(AA28="","",IF(AA28&lt;AsOf,1,IF(AA28&lt;=AsOf+AlertDays,2,IF(AA28&lt;=AsOf+2*AlertDays,3,""))))))</f>
        <v/>
      </c>
      <c r="AC28" s="79">
        <f>IF(AB28="","",IF(AH28=1,IF(Y28="⚠️ Delivery after install date","Delivery after install date: "&amp;B28,"Order late — install at risk: "&amp;B28),IF(AD28=1,IF(AB28=1,"Decision overdue: ","Decide: ")&amp;B28,"Order: "&amp;B28&amp;IF(N28="",""," from "&amp;N28))))</f>
        <v/>
      </c>
      <c r="AD28" s="79">
        <f>IF(AND(B28&lt;&gt;"",K28="",U28&lt;&gt;"Yes",X28&lt;&gt;"Yes"),1,0)</f>
        <v/>
      </c>
      <c r="AE28" s="79">
        <f>IF(AND(AD28=1,T28&lt;&gt;""),IF(T28&lt;AsOf,1,0),0)</f>
        <v/>
      </c>
      <c r="AF28" s="79">
        <f>IF(AND(AD28=1,T28&lt;&gt;""),IF(AND(T28&gt;=AsOf,T28&lt;=AsOf+AlertDays),1,0),0)</f>
        <v/>
      </c>
      <c r="AG28" s="79">
        <f>IF(Y28="Order now",1,0)</f>
        <v/>
      </c>
      <c r="AH28" s="79">
        <f>IF(OR(Y28="⚠️ Order late — install at risk",Y28="⚠️ Delivery after install date"),1,0)</f>
        <v/>
      </c>
      <c r="AI28" s="79">
        <f>IF(AND(B28&lt;&gt;"",K28&lt;&gt;"",U28&lt;&gt;"Yes",X28&lt;&gt;"Yes"),1,0)</f>
        <v/>
      </c>
      <c r="AJ28" s="79">
        <f>IF(Y28="⚠️ Order late — install at risk",1,0)</f>
        <v/>
      </c>
    </row>
    <row r="29" ht="20" customHeight="1">
      <c r="B29" s="72" t="n"/>
      <c r="C29" s="72" t="n"/>
      <c r="D29" s="72" t="n"/>
      <c r="E29" s="72" t="n"/>
      <c r="F29" s="73" t="n"/>
      <c r="G29" s="72" t="n"/>
      <c r="H29" s="73" t="n"/>
      <c r="I29" s="72" t="n"/>
      <c r="J29" s="73" t="n"/>
      <c r="K29" s="74" t="n"/>
      <c r="L29" s="75">
        <f>IF(K29="A",F29,IF(K29="B",H29,IF(K29="C",J29,"")))</f>
        <v/>
      </c>
      <c r="M29" s="72" t="n"/>
      <c r="N29" s="72" t="n"/>
      <c r="O29" s="89" t="n"/>
      <c r="P29" s="89" t="n"/>
      <c r="Q29" s="109" t="n"/>
      <c r="R29" s="120">
        <f>IF(B29="","",IF(Q29&lt;&gt;"",Q29,IF(P29="","",IFERROR(INDEX('Timeline'!$J$7:$J$1006,MATCH(P29,'Timeline'!$B$7:$B$1006,0)),""))))</f>
        <v/>
      </c>
      <c r="S29" s="126">
        <f>IF(R29="","",R29-IF(O29="",0,O29)-OrderBuf)</f>
        <v/>
      </c>
      <c r="T29" s="126">
        <f>IF(S29="","",S29-DecideBuf)</f>
        <v/>
      </c>
      <c r="U29" s="74" t="n"/>
      <c r="V29" s="109" t="n"/>
      <c r="W29" s="109" t="n"/>
      <c r="X29" s="74" t="n"/>
      <c r="Y29" s="116">
        <f>IF(B29="","",IF(X29="Yes","Delivered",IF(U29="Yes",IF(AND(W29&lt;&gt;"",R29&lt;&gt;""),IF(W29&gt;R29,"⚠️ Delivery after install date","Ordered"),"Ordered"),IF(K29="",IF(T29="","Waiting for decision",IF(T29&lt;=AsOf+AlertDays,"Decide now","Waiting for decision")),IF(S29="","Selected",IF(AsOf&gt;S29,"⚠️ Order late — install at risk",IF(S29&lt;=AsOf+AlertDays,"Order now","Selected")))))))</f>
        <v/>
      </c>
      <c r="Z29" s="79">
        <f>IF(B29="","",IF(OR(AH29=1,AE29=1),2,IF(OR(AG29=1,AF29=1),1,IF(OR(Y29="Ordered",Y29="Delivered"),0,""))))</f>
        <v/>
      </c>
      <c r="AA29" s="112">
        <f>IF(B29="","",IF(AH29=1,IF(Y29="⚠️ Delivery after install date",R29,S29),IF(AD29=1,T29,IF(AI29=1,S29,""))))</f>
        <v/>
      </c>
      <c r="AB29" s="79">
        <f>IF(AA29="","",IF(AH29=1,1,IF(AA29="","",IF(AA29&lt;AsOf,1,IF(AA29&lt;=AsOf+AlertDays,2,IF(AA29&lt;=AsOf+2*AlertDays,3,""))))))</f>
        <v/>
      </c>
      <c r="AC29" s="79">
        <f>IF(AB29="","",IF(AH29=1,IF(Y29="⚠️ Delivery after install date","Delivery after install date: "&amp;B29,"Order late — install at risk: "&amp;B29),IF(AD29=1,IF(AB29=1,"Decision overdue: ","Decide: ")&amp;B29,"Order: "&amp;B29&amp;IF(N29="",""," from "&amp;N29))))</f>
        <v/>
      </c>
      <c r="AD29" s="79">
        <f>IF(AND(B29&lt;&gt;"",K29="",U29&lt;&gt;"Yes",X29&lt;&gt;"Yes"),1,0)</f>
        <v/>
      </c>
      <c r="AE29" s="79">
        <f>IF(AND(AD29=1,T29&lt;&gt;""),IF(T29&lt;AsOf,1,0),0)</f>
        <v/>
      </c>
      <c r="AF29" s="79">
        <f>IF(AND(AD29=1,T29&lt;&gt;""),IF(AND(T29&gt;=AsOf,T29&lt;=AsOf+AlertDays),1,0),0)</f>
        <v/>
      </c>
      <c r="AG29" s="79">
        <f>IF(Y29="Order now",1,0)</f>
        <v/>
      </c>
      <c r="AH29" s="79">
        <f>IF(OR(Y29="⚠️ Order late — install at risk",Y29="⚠️ Delivery after install date"),1,0)</f>
        <v/>
      </c>
      <c r="AI29" s="79">
        <f>IF(AND(B29&lt;&gt;"",K29&lt;&gt;"",U29&lt;&gt;"Yes",X29&lt;&gt;"Yes"),1,0)</f>
        <v/>
      </c>
      <c r="AJ29" s="79">
        <f>IF(Y29="⚠️ Order late — install at risk",1,0)</f>
        <v/>
      </c>
    </row>
    <row r="30" ht="20" customHeight="1">
      <c r="B30" s="72" t="n"/>
      <c r="C30" s="72" t="n"/>
      <c r="D30" s="72" t="n"/>
      <c r="E30" s="72" t="n"/>
      <c r="F30" s="73" t="n"/>
      <c r="G30" s="72" t="n"/>
      <c r="H30" s="73" t="n"/>
      <c r="I30" s="72" t="n"/>
      <c r="J30" s="73" t="n"/>
      <c r="K30" s="74" t="n"/>
      <c r="L30" s="75">
        <f>IF(K30="A",F30,IF(K30="B",H30,IF(K30="C",J30,"")))</f>
        <v/>
      </c>
      <c r="M30" s="72" t="n"/>
      <c r="N30" s="72" t="n"/>
      <c r="O30" s="89" t="n"/>
      <c r="P30" s="89" t="n"/>
      <c r="Q30" s="109" t="n"/>
      <c r="R30" s="120">
        <f>IF(B30="","",IF(Q30&lt;&gt;"",Q30,IF(P30="","",IFERROR(INDEX('Timeline'!$J$7:$J$1006,MATCH(P30,'Timeline'!$B$7:$B$1006,0)),""))))</f>
        <v/>
      </c>
      <c r="S30" s="126">
        <f>IF(R30="","",R30-IF(O30="",0,O30)-OrderBuf)</f>
        <v/>
      </c>
      <c r="T30" s="126">
        <f>IF(S30="","",S30-DecideBuf)</f>
        <v/>
      </c>
      <c r="U30" s="74" t="n"/>
      <c r="V30" s="109" t="n"/>
      <c r="W30" s="109" t="n"/>
      <c r="X30" s="74" t="n"/>
      <c r="Y30" s="116">
        <f>IF(B30="","",IF(X30="Yes","Delivered",IF(U30="Yes",IF(AND(W30&lt;&gt;"",R30&lt;&gt;""),IF(W30&gt;R30,"⚠️ Delivery after install date","Ordered"),"Ordered"),IF(K30="",IF(T30="","Waiting for decision",IF(T30&lt;=AsOf+AlertDays,"Decide now","Waiting for decision")),IF(S30="","Selected",IF(AsOf&gt;S30,"⚠️ Order late — install at risk",IF(S30&lt;=AsOf+AlertDays,"Order now","Selected")))))))</f>
        <v/>
      </c>
      <c r="Z30" s="79">
        <f>IF(B30="","",IF(OR(AH30=1,AE30=1),2,IF(OR(AG30=1,AF30=1),1,IF(OR(Y30="Ordered",Y30="Delivered"),0,""))))</f>
        <v/>
      </c>
      <c r="AA30" s="112">
        <f>IF(B30="","",IF(AH30=1,IF(Y30="⚠️ Delivery after install date",R30,S30),IF(AD30=1,T30,IF(AI30=1,S30,""))))</f>
        <v/>
      </c>
      <c r="AB30" s="79">
        <f>IF(AA30="","",IF(AH30=1,1,IF(AA30="","",IF(AA30&lt;AsOf,1,IF(AA30&lt;=AsOf+AlertDays,2,IF(AA30&lt;=AsOf+2*AlertDays,3,""))))))</f>
        <v/>
      </c>
      <c r="AC30" s="79">
        <f>IF(AB30="","",IF(AH30=1,IF(Y30="⚠️ Delivery after install date","Delivery after install date: "&amp;B30,"Order late — install at risk: "&amp;B30),IF(AD30=1,IF(AB30=1,"Decision overdue: ","Decide: ")&amp;B30,"Order: "&amp;B30&amp;IF(N30="",""," from "&amp;N30))))</f>
        <v/>
      </c>
      <c r="AD30" s="79">
        <f>IF(AND(B30&lt;&gt;"",K30="",U30&lt;&gt;"Yes",X30&lt;&gt;"Yes"),1,0)</f>
        <v/>
      </c>
      <c r="AE30" s="79">
        <f>IF(AND(AD30=1,T30&lt;&gt;""),IF(T30&lt;AsOf,1,0),0)</f>
        <v/>
      </c>
      <c r="AF30" s="79">
        <f>IF(AND(AD30=1,T30&lt;&gt;""),IF(AND(T30&gt;=AsOf,T30&lt;=AsOf+AlertDays),1,0),0)</f>
        <v/>
      </c>
      <c r="AG30" s="79">
        <f>IF(Y30="Order now",1,0)</f>
        <v/>
      </c>
      <c r="AH30" s="79">
        <f>IF(OR(Y30="⚠️ Order late — install at risk",Y30="⚠️ Delivery after install date"),1,0)</f>
        <v/>
      </c>
      <c r="AI30" s="79">
        <f>IF(AND(B30&lt;&gt;"",K30&lt;&gt;"",U30&lt;&gt;"Yes",X30&lt;&gt;"Yes"),1,0)</f>
        <v/>
      </c>
      <c r="AJ30" s="79">
        <f>IF(Y30="⚠️ Order late — install at risk",1,0)</f>
        <v/>
      </c>
    </row>
    <row r="31" ht="20" customHeight="1">
      <c r="B31" s="72" t="n"/>
      <c r="C31" s="72" t="n"/>
      <c r="D31" s="72" t="n"/>
      <c r="E31" s="72" t="n"/>
      <c r="F31" s="73" t="n"/>
      <c r="G31" s="72" t="n"/>
      <c r="H31" s="73" t="n"/>
      <c r="I31" s="72" t="n"/>
      <c r="J31" s="73" t="n"/>
      <c r="K31" s="74" t="n"/>
      <c r="L31" s="75">
        <f>IF(K31="A",F31,IF(K31="B",H31,IF(K31="C",J31,"")))</f>
        <v/>
      </c>
      <c r="M31" s="72" t="n"/>
      <c r="N31" s="72" t="n"/>
      <c r="O31" s="89" t="n"/>
      <c r="P31" s="89" t="n"/>
      <c r="Q31" s="109" t="n"/>
      <c r="R31" s="120">
        <f>IF(B31="","",IF(Q31&lt;&gt;"",Q31,IF(P31="","",IFERROR(INDEX('Timeline'!$J$7:$J$1006,MATCH(P31,'Timeline'!$B$7:$B$1006,0)),""))))</f>
        <v/>
      </c>
      <c r="S31" s="126">
        <f>IF(R31="","",R31-IF(O31="",0,O31)-OrderBuf)</f>
        <v/>
      </c>
      <c r="T31" s="126">
        <f>IF(S31="","",S31-DecideBuf)</f>
        <v/>
      </c>
      <c r="U31" s="74" t="n"/>
      <c r="V31" s="109" t="n"/>
      <c r="W31" s="109" t="n"/>
      <c r="X31" s="74" t="n"/>
      <c r="Y31" s="116">
        <f>IF(B31="","",IF(X31="Yes","Delivered",IF(U31="Yes",IF(AND(W31&lt;&gt;"",R31&lt;&gt;""),IF(W31&gt;R31,"⚠️ Delivery after install date","Ordered"),"Ordered"),IF(K31="",IF(T31="","Waiting for decision",IF(T31&lt;=AsOf+AlertDays,"Decide now","Waiting for decision")),IF(S31="","Selected",IF(AsOf&gt;S31,"⚠️ Order late — install at risk",IF(S31&lt;=AsOf+AlertDays,"Order now","Selected")))))))</f>
        <v/>
      </c>
      <c r="Z31" s="79">
        <f>IF(B31="","",IF(OR(AH31=1,AE31=1),2,IF(OR(AG31=1,AF31=1),1,IF(OR(Y31="Ordered",Y31="Delivered"),0,""))))</f>
        <v/>
      </c>
      <c r="AA31" s="112">
        <f>IF(B31="","",IF(AH31=1,IF(Y31="⚠️ Delivery after install date",R31,S31),IF(AD31=1,T31,IF(AI31=1,S31,""))))</f>
        <v/>
      </c>
      <c r="AB31" s="79">
        <f>IF(AA31="","",IF(AH31=1,1,IF(AA31="","",IF(AA31&lt;AsOf,1,IF(AA31&lt;=AsOf+AlertDays,2,IF(AA31&lt;=AsOf+2*AlertDays,3,""))))))</f>
        <v/>
      </c>
      <c r="AC31" s="79">
        <f>IF(AB31="","",IF(AH31=1,IF(Y31="⚠️ Delivery after install date","Delivery after install date: "&amp;B31,"Order late — install at risk: "&amp;B31),IF(AD31=1,IF(AB31=1,"Decision overdue: ","Decide: ")&amp;B31,"Order: "&amp;B31&amp;IF(N31="",""," from "&amp;N31))))</f>
        <v/>
      </c>
      <c r="AD31" s="79">
        <f>IF(AND(B31&lt;&gt;"",K31="",U31&lt;&gt;"Yes",X31&lt;&gt;"Yes"),1,0)</f>
        <v/>
      </c>
      <c r="AE31" s="79">
        <f>IF(AND(AD31=1,T31&lt;&gt;""),IF(T31&lt;AsOf,1,0),0)</f>
        <v/>
      </c>
      <c r="AF31" s="79">
        <f>IF(AND(AD31=1,T31&lt;&gt;""),IF(AND(T31&gt;=AsOf,T31&lt;=AsOf+AlertDays),1,0),0)</f>
        <v/>
      </c>
      <c r="AG31" s="79">
        <f>IF(Y31="Order now",1,0)</f>
        <v/>
      </c>
      <c r="AH31" s="79">
        <f>IF(OR(Y31="⚠️ Order late — install at risk",Y31="⚠️ Delivery after install date"),1,0)</f>
        <v/>
      </c>
      <c r="AI31" s="79">
        <f>IF(AND(B31&lt;&gt;"",K31&lt;&gt;"",U31&lt;&gt;"Yes",X31&lt;&gt;"Yes"),1,0)</f>
        <v/>
      </c>
      <c r="AJ31" s="79">
        <f>IF(Y31="⚠️ Order late — install at risk",1,0)</f>
        <v/>
      </c>
    </row>
    <row r="32" ht="20" customHeight="1">
      <c r="B32" s="72" t="n"/>
      <c r="C32" s="72" t="n"/>
      <c r="D32" s="72" t="n"/>
      <c r="E32" s="72" t="n"/>
      <c r="F32" s="73" t="n"/>
      <c r="G32" s="72" t="n"/>
      <c r="H32" s="73" t="n"/>
      <c r="I32" s="72" t="n"/>
      <c r="J32" s="73" t="n"/>
      <c r="K32" s="74" t="n"/>
      <c r="L32" s="75">
        <f>IF(K32="A",F32,IF(K32="B",H32,IF(K32="C",J32,"")))</f>
        <v/>
      </c>
      <c r="M32" s="72" t="n"/>
      <c r="N32" s="72" t="n"/>
      <c r="O32" s="89" t="n"/>
      <c r="P32" s="89" t="n"/>
      <c r="Q32" s="109" t="n"/>
      <c r="R32" s="120">
        <f>IF(B32="","",IF(Q32&lt;&gt;"",Q32,IF(P32="","",IFERROR(INDEX('Timeline'!$J$7:$J$1006,MATCH(P32,'Timeline'!$B$7:$B$1006,0)),""))))</f>
        <v/>
      </c>
      <c r="S32" s="126">
        <f>IF(R32="","",R32-IF(O32="",0,O32)-OrderBuf)</f>
        <v/>
      </c>
      <c r="T32" s="126">
        <f>IF(S32="","",S32-DecideBuf)</f>
        <v/>
      </c>
      <c r="U32" s="74" t="n"/>
      <c r="V32" s="109" t="n"/>
      <c r="W32" s="109" t="n"/>
      <c r="X32" s="74" t="n"/>
      <c r="Y32" s="116">
        <f>IF(B32="","",IF(X32="Yes","Delivered",IF(U32="Yes",IF(AND(W32&lt;&gt;"",R32&lt;&gt;""),IF(W32&gt;R32,"⚠️ Delivery after install date","Ordered"),"Ordered"),IF(K32="",IF(T32="","Waiting for decision",IF(T32&lt;=AsOf+AlertDays,"Decide now","Waiting for decision")),IF(S32="","Selected",IF(AsOf&gt;S32,"⚠️ Order late — install at risk",IF(S32&lt;=AsOf+AlertDays,"Order now","Selected")))))))</f>
        <v/>
      </c>
      <c r="Z32" s="79">
        <f>IF(B32="","",IF(OR(AH32=1,AE32=1),2,IF(OR(AG32=1,AF32=1),1,IF(OR(Y32="Ordered",Y32="Delivered"),0,""))))</f>
        <v/>
      </c>
      <c r="AA32" s="112">
        <f>IF(B32="","",IF(AH32=1,IF(Y32="⚠️ Delivery after install date",R32,S32),IF(AD32=1,T32,IF(AI32=1,S32,""))))</f>
        <v/>
      </c>
      <c r="AB32" s="79">
        <f>IF(AA32="","",IF(AH32=1,1,IF(AA32="","",IF(AA32&lt;AsOf,1,IF(AA32&lt;=AsOf+AlertDays,2,IF(AA32&lt;=AsOf+2*AlertDays,3,""))))))</f>
        <v/>
      </c>
      <c r="AC32" s="79">
        <f>IF(AB32="","",IF(AH32=1,IF(Y32="⚠️ Delivery after install date","Delivery after install date: "&amp;B32,"Order late — install at risk: "&amp;B32),IF(AD32=1,IF(AB32=1,"Decision overdue: ","Decide: ")&amp;B32,"Order: "&amp;B32&amp;IF(N32="",""," from "&amp;N32))))</f>
        <v/>
      </c>
      <c r="AD32" s="79">
        <f>IF(AND(B32&lt;&gt;"",K32="",U32&lt;&gt;"Yes",X32&lt;&gt;"Yes"),1,0)</f>
        <v/>
      </c>
      <c r="AE32" s="79">
        <f>IF(AND(AD32=1,T32&lt;&gt;""),IF(T32&lt;AsOf,1,0),0)</f>
        <v/>
      </c>
      <c r="AF32" s="79">
        <f>IF(AND(AD32=1,T32&lt;&gt;""),IF(AND(T32&gt;=AsOf,T32&lt;=AsOf+AlertDays),1,0),0)</f>
        <v/>
      </c>
      <c r="AG32" s="79">
        <f>IF(Y32="Order now",1,0)</f>
        <v/>
      </c>
      <c r="AH32" s="79">
        <f>IF(OR(Y32="⚠️ Order late — install at risk",Y32="⚠️ Delivery after install date"),1,0)</f>
        <v/>
      </c>
      <c r="AI32" s="79">
        <f>IF(AND(B32&lt;&gt;"",K32&lt;&gt;"",U32&lt;&gt;"Yes",X32&lt;&gt;"Yes"),1,0)</f>
        <v/>
      </c>
      <c r="AJ32" s="79">
        <f>IF(Y32="⚠️ Order late — install at risk",1,0)</f>
        <v/>
      </c>
    </row>
    <row r="33" ht="20" customHeight="1">
      <c r="B33" s="72" t="n"/>
      <c r="C33" s="72" t="n"/>
      <c r="D33" s="72" t="n"/>
      <c r="E33" s="72" t="n"/>
      <c r="F33" s="73" t="n"/>
      <c r="G33" s="72" t="n"/>
      <c r="H33" s="73" t="n"/>
      <c r="I33" s="72" t="n"/>
      <c r="J33" s="73" t="n"/>
      <c r="K33" s="74" t="n"/>
      <c r="L33" s="75">
        <f>IF(K33="A",F33,IF(K33="B",H33,IF(K33="C",J33,"")))</f>
        <v/>
      </c>
      <c r="M33" s="72" t="n"/>
      <c r="N33" s="72" t="n"/>
      <c r="O33" s="89" t="n"/>
      <c r="P33" s="89" t="n"/>
      <c r="Q33" s="109" t="n"/>
      <c r="R33" s="120">
        <f>IF(B33="","",IF(Q33&lt;&gt;"",Q33,IF(P33="","",IFERROR(INDEX('Timeline'!$J$7:$J$1006,MATCH(P33,'Timeline'!$B$7:$B$1006,0)),""))))</f>
        <v/>
      </c>
      <c r="S33" s="126">
        <f>IF(R33="","",R33-IF(O33="",0,O33)-OrderBuf)</f>
        <v/>
      </c>
      <c r="T33" s="126">
        <f>IF(S33="","",S33-DecideBuf)</f>
        <v/>
      </c>
      <c r="U33" s="74" t="n"/>
      <c r="V33" s="109" t="n"/>
      <c r="W33" s="109" t="n"/>
      <c r="X33" s="74" t="n"/>
      <c r="Y33" s="116">
        <f>IF(B33="","",IF(X33="Yes","Delivered",IF(U33="Yes",IF(AND(W33&lt;&gt;"",R33&lt;&gt;""),IF(W33&gt;R33,"⚠️ Delivery after install date","Ordered"),"Ordered"),IF(K33="",IF(T33="","Waiting for decision",IF(T33&lt;=AsOf+AlertDays,"Decide now","Waiting for decision")),IF(S33="","Selected",IF(AsOf&gt;S33,"⚠️ Order late — install at risk",IF(S33&lt;=AsOf+AlertDays,"Order now","Selected")))))))</f>
        <v/>
      </c>
      <c r="Z33" s="79">
        <f>IF(B33="","",IF(OR(AH33=1,AE33=1),2,IF(OR(AG33=1,AF33=1),1,IF(OR(Y33="Ordered",Y33="Delivered"),0,""))))</f>
        <v/>
      </c>
      <c r="AA33" s="112">
        <f>IF(B33="","",IF(AH33=1,IF(Y33="⚠️ Delivery after install date",R33,S33),IF(AD33=1,T33,IF(AI33=1,S33,""))))</f>
        <v/>
      </c>
      <c r="AB33" s="79">
        <f>IF(AA33="","",IF(AH33=1,1,IF(AA33="","",IF(AA33&lt;AsOf,1,IF(AA33&lt;=AsOf+AlertDays,2,IF(AA33&lt;=AsOf+2*AlertDays,3,""))))))</f>
        <v/>
      </c>
      <c r="AC33" s="79">
        <f>IF(AB33="","",IF(AH33=1,IF(Y33="⚠️ Delivery after install date","Delivery after install date: "&amp;B33,"Order late — install at risk: "&amp;B33),IF(AD33=1,IF(AB33=1,"Decision overdue: ","Decide: ")&amp;B33,"Order: "&amp;B33&amp;IF(N33="",""," from "&amp;N33))))</f>
        <v/>
      </c>
      <c r="AD33" s="79">
        <f>IF(AND(B33&lt;&gt;"",K33="",U33&lt;&gt;"Yes",X33&lt;&gt;"Yes"),1,0)</f>
        <v/>
      </c>
      <c r="AE33" s="79">
        <f>IF(AND(AD33=1,T33&lt;&gt;""),IF(T33&lt;AsOf,1,0),0)</f>
        <v/>
      </c>
      <c r="AF33" s="79">
        <f>IF(AND(AD33=1,T33&lt;&gt;""),IF(AND(T33&gt;=AsOf,T33&lt;=AsOf+AlertDays),1,0),0)</f>
        <v/>
      </c>
      <c r="AG33" s="79">
        <f>IF(Y33="Order now",1,0)</f>
        <v/>
      </c>
      <c r="AH33" s="79">
        <f>IF(OR(Y33="⚠️ Order late — install at risk",Y33="⚠️ Delivery after install date"),1,0)</f>
        <v/>
      </c>
      <c r="AI33" s="79">
        <f>IF(AND(B33&lt;&gt;"",K33&lt;&gt;"",U33&lt;&gt;"Yes",X33&lt;&gt;"Yes"),1,0)</f>
        <v/>
      </c>
      <c r="AJ33" s="79">
        <f>IF(Y33="⚠️ Order late — install at risk",1,0)</f>
        <v/>
      </c>
    </row>
    <row r="34" ht="20" customHeight="1">
      <c r="B34" s="72" t="n"/>
      <c r="C34" s="72" t="n"/>
      <c r="D34" s="72" t="n"/>
      <c r="E34" s="72" t="n"/>
      <c r="F34" s="73" t="n"/>
      <c r="G34" s="72" t="n"/>
      <c r="H34" s="73" t="n"/>
      <c r="I34" s="72" t="n"/>
      <c r="J34" s="73" t="n"/>
      <c r="K34" s="74" t="n"/>
      <c r="L34" s="75">
        <f>IF(K34="A",F34,IF(K34="B",H34,IF(K34="C",J34,"")))</f>
        <v/>
      </c>
      <c r="M34" s="72" t="n"/>
      <c r="N34" s="72" t="n"/>
      <c r="O34" s="89" t="n"/>
      <c r="P34" s="89" t="n"/>
      <c r="Q34" s="109" t="n"/>
      <c r="R34" s="120">
        <f>IF(B34="","",IF(Q34&lt;&gt;"",Q34,IF(P34="","",IFERROR(INDEX('Timeline'!$J$7:$J$1006,MATCH(P34,'Timeline'!$B$7:$B$1006,0)),""))))</f>
        <v/>
      </c>
      <c r="S34" s="126">
        <f>IF(R34="","",R34-IF(O34="",0,O34)-OrderBuf)</f>
        <v/>
      </c>
      <c r="T34" s="126">
        <f>IF(S34="","",S34-DecideBuf)</f>
        <v/>
      </c>
      <c r="U34" s="74" t="n"/>
      <c r="V34" s="109" t="n"/>
      <c r="W34" s="109" t="n"/>
      <c r="X34" s="74" t="n"/>
      <c r="Y34" s="116">
        <f>IF(B34="","",IF(X34="Yes","Delivered",IF(U34="Yes",IF(AND(W34&lt;&gt;"",R34&lt;&gt;""),IF(W34&gt;R34,"⚠️ Delivery after install date","Ordered"),"Ordered"),IF(K34="",IF(T34="","Waiting for decision",IF(T34&lt;=AsOf+AlertDays,"Decide now","Waiting for decision")),IF(S34="","Selected",IF(AsOf&gt;S34,"⚠️ Order late — install at risk",IF(S34&lt;=AsOf+AlertDays,"Order now","Selected")))))))</f>
        <v/>
      </c>
      <c r="Z34" s="79">
        <f>IF(B34="","",IF(OR(AH34=1,AE34=1),2,IF(OR(AG34=1,AF34=1),1,IF(OR(Y34="Ordered",Y34="Delivered"),0,""))))</f>
        <v/>
      </c>
      <c r="AA34" s="112">
        <f>IF(B34="","",IF(AH34=1,IF(Y34="⚠️ Delivery after install date",R34,S34),IF(AD34=1,T34,IF(AI34=1,S34,""))))</f>
        <v/>
      </c>
      <c r="AB34" s="79">
        <f>IF(AA34="","",IF(AH34=1,1,IF(AA34="","",IF(AA34&lt;AsOf,1,IF(AA34&lt;=AsOf+AlertDays,2,IF(AA34&lt;=AsOf+2*AlertDays,3,""))))))</f>
        <v/>
      </c>
      <c r="AC34" s="79">
        <f>IF(AB34="","",IF(AH34=1,IF(Y34="⚠️ Delivery after install date","Delivery after install date: "&amp;B34,"Order late — install at risk: "&amp;B34),IF(AD34=1,IF(AB34=1,"Decision overdue: ","Decide: ")&amp;B34,"Order: "&amp;B34&amp;IF(N34="",""," from "&amp;N34))))</f>
        <v/>
      </c>
      <c r="AD34" s="79">
        <f>IF(AND(B34&lt;&gt;"",K34="",U34&lt;&gt;"Yes",X34&lt;&gt;"Yes"),1,0)</f>
        <v/>
      </c>
      <c r="AE34" s="79">
        <f>IF(AND(AD34=1,T34&lt;&gt;""),IF(T34&lt;AsOf,1,0),0)</f>
        <v/>
      </c>
      <c r="AF34" s="79">
        <f>IF(AND(AD34=1,T34&lt;&gt;""),IF(AND(T34&gt;=AsOf,T34&lt;=AsOf+AlertDays),1,0),0)</f>
        <v/>
      </c>
      <c r="AG34" s="79">
        <f>IF(Y34="Order now",1,0)</f>
        <v/>
      </c>
      <c r="AH34" s="79">
        <f>IF(OR(Y34="⚠️ Order late — install at risk",Y34="⚠️ Delivery after install date"),1,0)</f>
        <v/>
      </c>
      <c r="AI34" s="79">
        <f>IF(AND(B34&lt;&gt;"",K34&lt;&gt;"",U34&lt;&gt;"Yes",X34&lt;&gt;"Yes"),1,0)</f>
        <v/>
      </c>
      <c r="AJ34" s="79">
        <f>IF(Y34="⚠️ Order late — install at risk",1,0)</f>
        <v/>
      </c>
    </row>
    <row r="35" ht="20" customHeight="1">
      <c r="B35" s="72" t="n"/>
      <c r="C35" s="72" t="n"/>
      <c r="D35" s="72" t="n"/>
      <c r="E35" s="72" t="n"/>
      <c r="F35" s="73" t="n"/>
      <c r="G35" s="72" t="n"/>
      <c r="H35" s="73" t="n"/>
      <c r="I35" s="72" t="n"/>
      <c r="J35" s="73" t="n"/>
      <c r="K35" s="74" t="n"/>
      <c r="L35" s="75">
        <f>IF(K35="A",F35,IF(K35="B",H35,IF(K35="C",J35,"")))</f>
        <v/>
      </c>
      <c r="M35" s="72" t="n"/>
      <c r="N35" s="72" t="n"/>
      <c r="O35" s="89" t="n"/>
      <c r="P35" s="89" t="n"/>
      <c r="Q35" s="109" t="n"/>
      <c r="R35" s="120">
        <f>IF(B35="","",IF(Q35&lt;&gt;"",Q35,IF(P35="","",IFERROR(INDEX('Timeline'!$J$7:$J$1006,MATCH(P35,'Timeline'!$B$7:$B$1006,0)),""))))</f>
        <v/>
      </c>
      <c r="S35" s="126">
        <f>IF(R35="","",R35-IF(O35="",0,O35)-OrderBuf)</f>
        <v/>
      </c>
      <c r="T35" s="126">
        <f>IF(S35="","",S35-DecideBuf)</f>
        <v/>
      </c>
      <c r="U35" s="74" t="n"/>
      <c r="V35" s="109" t="n"/>
      <c r="W35" s="109" t="n"/>
      <c r="X35" s="74" t="n"/>
      <c r="Y35" s="116">
        <f>IF(B35="","",IF(X35="Yes","Delivered",IF(U35="Yes",IF(AND(W35&lt;&gt;"",R35&lt;&gt;""),IF(W35&gt;R35,"⚠️ Delivery after install date","Ordered"),"Ordered"),IF(K35="",IF(T35="","Waiting for decision",IF(T35&lt;=AsOf+AlertDays,"Decide now","Waiting for decision")),IF(S35="","Selected",IF(AsOf&gt;S35,"⚠️ Order late — install at risk",IF(S35&lt;=AsOf+AlertDays,"Order now","Selected")))))))</f>
        <v/>
      </c>
      <c r="Z35" s="79">
        <f>IF(B35="","",IF(OR(AH35=1,AE35=1),2,IF(OR(AG35=1,AF35=1),1,IF(OR(Y35="Ordered",Y35="Delivered"),0,""))))</f>
        <v/>
      </c>
      <c r="AA35" s="112">
        <f>IF(B35="","",IF(AH35=1,IF(Y35="⚠️ Delivery after install date",R35,S35),IF(AD35=1,T35,IF(AI35=1,S35,""))))</f>
        <v/>
      </c>
      <c r="AB35" s="79">
        <f>IF(AA35="","",IF(AH35=1,1,IF(AA35="","",IF(AA35&lt;AsOf,1,IF(AA35&lt;=AsOf+AlertDays,2,IF(AA35&lt;=AsOf+2*AlertDays,3,""))))))</f>
        <v/>
      </c>
      <c r="AC35" s="79">
        <f>IF(AB35="","",IF(AH35=1,IF(Y35="⚠️ Delivery after install date","Delivery after install date: "&amp;B35,"Order late — install at risk: "&amp;B35),IF(AD35=1,IF(AB35=1,"Decision overdue: ","Decide: ")&amp;B35,"Order: "&amp;B35&amp;IF(N35="",""," from "&amp;N35))))</f>
        <v/>
      </c>
      <c r="AD35" s="79">
        <f>IF(AND(B35&lt;&gt;"",K35="",U35&lt;&gt;"Yes",X35&lt;&gt;"Yes"),1,0)</f>
        <v/>
      </c>
      <c r="AE35" s="79">
        <f>IF(AND(AD35=1,T35&lt;&gt;""),IF(T35&lt;AsOf,1,0),0)</f>
        <v/>
      </c>
      <c r="AF35" s="79">
        <f>IF(AND(AD35=1,T35&lt;&gt;""),IF(AND(T35&gt;=AsOf,T35&lt;=AsOf+AlertDays),1,0),0)</f>
        <v/>
      </c>
      <c r="AG35" s="79">
        <f>IF(Y35="Order now",1,0)</f>
        <v/>
      </c>
      <c r="AH35" s="79">
        <f>IF(OR(Y35="⚠️ Order late — install at risk",Y35="⚠️ Delivery after install date"),1,0)</f>
        <v/>
      </c>
      <c r="AI35" s="79">
        <f>IF(AND(B35&lt;&gt;"",K35&lt;&gt;"",U35&lt;&gt;"Yes",X35&lt;&gt;"Yes"),1,0)</f>
        <v/>
      </c>
      <c r="AJ35" s="79">
        <f>IF(Y35="⚠️ Order late — install at risk",1,0)</f>
        <v/>
      </c>
    </row>
    <row r="36" ht="20" customHeight="1">
      <c r="B36" s="72" t="n"/>
      <c r="C36" s="72" t="n"/>
      <c r="D36" s="72" t="n"/>
      <c r="E36" s="72" t="n"/>
      <c r="F36" s="73" t="n"/>
      <c r="G36" s="72" t="n"/>
      <c r="H36" s="73" t="n"/>
      <c r="I36" s="72" t="n"/>
      <c r="J36" s="73" t="n"/>
      <c r="K36" s="74" t="n"/>
      <c r="L36" s="75">
        <f>IF(K36="A",F36,IF(K36="B",H36,IF(K36="C",J36,"")))</f>
        <v/>
      </c>
      <c r="M36" s="72" t="n"/>
      <c r="N36" s="72" t="n"/>
      <c r="O36" s="89" t="n"/>
      <c r="P36" s="89" t="n"/>
      <c r="Q36" s="109" t="n"/>
      <c r="R36" s="120">
        <f>IF(B36="","",IF(Q36&lt;&gt;"",Q36,IF(P36="","",IFERROR(INDEX('Timeline'!$J$7:$J$1006,MATCH(P36,'Timeline'!$B$7:$B$1006,0)),""))))</f>
        <v/>
      </c>
      <c r="S36" s="126">
        <f>IF(R36="","",R36-IF(O36="",0,O36)-OrderBuf)</f>
        <v/>
      </c>
      <c r="T36" s="126">
        <f>IF(S36="","",S36-DecideBuf)</f>
        <v/>
      </c>
      <c r="U36" s="74" t="n"/>
      <c r="V36" s="109" t="n"/>
      <c r="W36" s="109" t="n"/>
      <c r="X36" s="74" t="n"/>
      <c r="Y36" s="116">
        <f>IF(B36="","",IF(X36="Yes","Delivered",IF(U36="Yes",IF(AND(W36&lt;&gt;"",R36&lt;&gt;""),IF(W36&gt;R36,"⚠️ Delivery after install date","Ordered"),"Ordered"),IF(K36="",IF(T36="","Waiting for decision",IF(T36&lt;=AsOf+AlertDays,"Decide now","Waiting for decision")),IF(S36="","Selected",IF(AsOf&gt;S36,"⚠️ Order late — install at risk",IF(S36&lt;=AsOf+AlertDays,"Order now","Selected")))))))</f>
        <v/>
      </c>
      <c r="Z36" s="79">
        <f>IF(B36="","",IF(OR(AH36=1,AE36=1),2,IF(OR(AG36=1,AF36=1),1,IF(OR(Y36="Ordered",Y36="Delivered"),0,""))))</f>
        <v/>
      </c>
      <c r="AA36" s="112">
        <f>IF(B36="","",IF(AH36=1,IF(Y36="⚠️ Delivery after install date",R36,S36),IF(AD36=1,T36,IF(AI36=1,S36,""))))</f>
        <v/>
      </c>
      <c r="AB36" s="79">
        <f>IF(AA36="","",IF(AH36=1,1,IF(AA36="","",IF(AA36&lt;AsOf,1,IF(AA36&lt;=AsOf+AlertDays,2,IF(AA36&lt;=AsOf+2*AlertDays,3,""))))))</f>
        <v/>
      </c>
      <c r="AC36" s="79">
        <f>IF(AB36="","",IF(AH36=1,IF(Y36="⚠️ Delivery after install date","Delivery after install date: "&amp;B36,"Order late — install at risk: "&amp;B36),IF(AD36=1,IF(AB36=1,"Decision overdue: ","Decide: ")&amp;B36,"Order: "&amp;B36&amp;IF(N36="",""," from "&amp;N36))))</f>
        <v/>
      </c>
      <c r="AD36" s="79">
        <f>IF(AND(B36&lt;&gt;"",K36="",U36&lt;&gt;"Yes",X36&lt;&gt;"Yes"),1,0)</f>
        <v/>
      </c>
      <c r="AE36" s="79">
        <f>IF(AND(AD36=1,T36&lt;&gt;""),IF(T36&lt;AsOf,1,0),0)</f>
        <v/>
      </c>
      <c r="AF36" s="79">
        <f>IF(AND(AD36=1,T36&lt;&gt;""),IF(AND(T36&gt;=AsOf,T36&lt;=AsOf+AlertDays),1,0),0)</f>
        <v/>
      </c>
      <c r="AG36" s="79">
        <f>IF(Y36="Order now",1,0)</f>
        <v/>
      </c>
      <c r="AH36" s="79">
        <f>IF(OR(Y36="⚠️ Order late — install at risk",Y36="⚠️ Delivery after install date"),1,0)</f>
        <v/>
      </c>
      <c r="AI36" s="79">
        <f>IF(AND(B36&lt;&gt;"",K36&lt;&gt;"",U36&lt;&gt;"Yes",X36&lt;&gt;"Yes"),1,0)</f>
        <v/>
      </c>
      <c r="AJ36" s="79">
        <f>IF(Y36="⚠️ Order late — install at risk",1,0)</f>
        <v/>
      </c>
    </row>
    <row r="37" ht="20" customHeight="1">
      <c r="B37" s="72" t="n"/>
      <c r="C37" s="72" t="n"/>
      <c r="D37" s="72" t="n"/>
      <c r="E37" s="72" t="n"/>
      <c r="F37" s="73" t="n"/>
      <c r="G37" s="72" t="n"/>
      <c r="H37" s="73" t="n"/>
      <c r="I37" s="72" t="n"/>
      <c r="J37" s="73" t="n"/>
      <c r="K37" s="74" t="n"/>
      <c r="L37" s="75">
        <f>IF(K37="A",F37,IF(K37="B",H37,IF(K37="C",J37,"")))</f>
        <v/>
      </c>
      <c r="M37" s="72" t="n"/>
      <c r="N37" s="72" t="n"/>
      <c r="O37" s="89" t="n"/>
      <c r="P37" s="89" t="n"/>
      <c r="Q37" s="109" t="n"/>
      <c r="R37" s="120">
        <f>IF(B37="","",IF(Q37&lt;&gt;"",Q37,IF(P37="","",IFERROR(INDEX('Timeline'!$J$7:$J$1006,MATCH(P37,'Timeline'!$B$7:$B$1006,0)),""))))</f>
        <v/>
      </c>
      <c r="S37" s="126">
        <f>IF(R37="","",R37-IF(O37="",0,O37)-OrderBuf)</f>
        <v/>
      </c>
      <c r="T37" s="126">
        <f>IF(S37="","",S37-DecideBuf)</f>
        <v/>
      </c>
      <c r="U37" s="74" t="n"/>
      <c r="V37" s="109" t="n"/>
      <c r="W37" s="109" t="n"/>
      <c r="X37" s="74" t="n"/>
      <c r="Y37" s="116">
        <f>IF(B37="","",IF(X37="Yes","Delivered",IF(U37="Yes",IF(AND(W37&lt;&gt;"",R37&lt;&gt;""),IF(W37&gt;R37,"⚠️ Delivery after install date","Ordered"),"Ordered"),IF(K37="",IF(T37="","Waiting for decision",IF(T37&lt;=AsOf+AlertDays,"Decide now","Waiting for decision")),IF(S37="","Selected",IF(AsOf&gt;S37,"⚠️ Order late — install at risk",IF(S37&lt;=AsOf+AlertDays,"Order now","Selected")))))))</f>
        <v/>
      </c>
      <c r="Z37" s="79">
        <f>IF(B37="","",IF(OR(AH37=1,AE37=1),2,IF(OR(AG37=1,AF37=1),1,IF(OR(Y37="Ordered",Y37="Delivered"),0,""))))</f>
        <v/>
      </c>
      <c r="AA37" s="112">
        <f>IF(B37="","",IF(AH37=1,IF(Y37="⚠️ Delivery after install date",R37,S37),IF(AD37=1,T37,IF(AI37=1,S37,""))))</f>
        <v/>
      </c>
      <c r="AB37" s="79">
        <f>IF(AA37="","",IF(AH37=1,1,IF(AA37="","",IF(AA37&lt;AsOf,1,IF(AA37&lt;=AsOf+AlertDays,2,IF(AA37&lt;=AsOf+2*AlertDays,3,""))))))</f>
        <v/>
      </c>
      <c r="AC37" s="79">
        <f>IF(AB37="","",IF(AH37=1,IF(Y37="⚠️ Delivery after install date","Delivery after install date: "&amp;B37,"Order late — install at risk: "&amp;B37),IF(AD37=1,IF(AB37=1,"Decision overdue: ","Decide: ")&amp;B37,"Order: "&amp;B37&amp;IF(N37="",""," from "&amp;N37))))</f>
        <v/>
      </c>
      <c r="AD37" s="79">
        <f>IF(AND(B37&lt;&gt;"",K37="",U37&lt;&gt;"Yes",X37&lt;&gt;"Yes"),1,0)</f>
        <v/>
      </c>
      <c r="AE37" s="79">
        <f>IF(AND(AD37=1,T37&lt;&gt;""),IF(T37&lt;AsOf,1,0),0)</f>
        <v/>
      </c>
      <c r="AF37" s="79">
        <f>IF(AND(AD37=1,T37&lt;&gt;""),IF(AND(T37&gt;=AsOf,T37&lt;=AsOf+AlertDays),1,0),0)</f>
        <v/>
      </c>
      <c r="AG37" s="79">
        <f>IF(Y37="Order now",1,0)</f>
        <v/>
      </c>
      <c r="AH37" s="79">
        <f>IF(OR(Y37="⚠️ Order late — install at risk",Y37="⚠️ Delivery after install date"),1,0)</f>
        <v/>
      </c>
      <c r="AI37" s="79">
        <f>IF(AND(B37&lt;&gt;"",K37&lt;&gt;"",U37&lt;&gt;"Yes",X37&lt;&gt;"Yes"),1,0)</f>
        <v/>
      </c>
      <c r="AJ37" s="79">
        <f>IF(Y37="⚠️ Order late — install at risk",1,0)</f>
        <v/>
      </c>
    </row>
    <row r="38" ht="20" customHeight="1">
      <c r="B38" s="72" t="n"/>
      <c r="C38" s="72" t="n"/>
      <c r="D38" s="72" t="n"/>
      <c r="E38" s="72" t="n"/>
      <c r="F38" s="73" t="n"/>
      <c r="G38" s="72" t="n"/>
      <c r="H38" s="73" t="n"/>
      <c r="I38" s="72" t="n"/>
      <c r="J38" s="73" t="n"/>
      <c r="K38" s="74" t="n"/>
      <c r="L38" s="75">
        <f>IF(K38="A",F38,IF(K38="B",H38,IF(K38="C",J38,"")))</f>
        <v/>
      </c>
      <c r="M38" s="72" t="n"/>
      <c r="N38" s="72" t="n"/>
      <c r="O38" s="89" t="n"/>
      <c r="P38" s="89" t="n"/>
      <c r="Q38" s="109" t="n"/>
      <c r="R38" s="120">
        <f>IF(B38="","",IF(Q38&lt;&gt;"",Q38,IF(P38="","",IFERROR(INDEX('Timeline'!$J$7:$J$1006,MATCH(P38,'Timeline'!$B$7:$B$1006,0)),""))))</f>
        <v/>
      </c>
      <c r="S38" s="126">
        <f>IF(R38="","",R38-IF(O38="",0,O38)-OrderBuf)</f>
        <v/>
      </c>
      <c r="T38" s="126">
        <f>IF(S38="","",S38-DecideBuf)</f>
        <v/>
      </c>
      <c r="U38" s="74" t="n"/>
      <c r="V38" s="109" t="n"/>
      <c r="W38" s="109" t="n"/>
      <c r="X38" s="74" t="n"/>
      <c r="Y38" s="116">
        <f>IF(B38="","",IF(X38="Yes","Delivered",IF(U38="Yes",IF(AND(W38&lt;&gt;"",R38&lt;&gt;""),IF(W38&gt;R38,"⚠️ Delivery after install date","Ordered"),"Ordered"),IF(K38="",IF(T38="","Waiting for decision",IF(T38&lt;=AsOf+AlertDays,"Decide now","Waiting for decision")),IF(S38="","Selected",IF(AsOf&gt;S38,"⚠️ Order late — install at risk",IF(S38&lt;=AsOf+AlertDays,"Order now","Selected")))))))</f>
        <v/>
      </c>
      <c r="Z38" s="79">
        <f>IF(B38="","",IF(OR(AH38=1,AE38=1),2,IF(OR(AG38=1,AF38=1),1,IF(OR(Y38="Ordered",Y38="Delivered"),0,""))))</f>
        <v/>
      </c>
      <c r="AA38" s="112">
        <f>IF(B38="","",IF(AH38=1,IF(Y38="⚠️ Delivery after install date",R38,S38),IF(AD38=1,T38,IF(AI38=1,S38,""))))</f>
        <v/>
      </c>
      <c r="AB38" s="79">
        <f>IF(AA38="","",IF(AH38=1,1,IF(AA38="","",IF(AA38&lt;AsOf,1,IF(AA38&lt;=AsOf+AlertDays,2,IF(AA38&lt;=AsOf+2*AlertDays,3,""))))))</f>
        <v/>
      </c>
      <c r="AC38" s="79">
        <f>IF(AB38="","",IF(AH38=1,IF(Y38="⚠️ Delivery after install date","Delivery after install date: "&amp;B38,"Order late — install at risk: "&amp;B38),IF(AD38=1,IF(AB38=1,"Decision overdue: ","Decide: ")&amp;B38,"Order: "&amp;B38&amp;IF(N38="",""," from "&amp;N38))))</f>
        <v/>
      </c>
      <c r="AD38" s="79">
        <f>IF(AND(B38&lt;&gt;"",K38="",U38&lt;&gt;"Yes",X38&lt;&gt;"Yes"),1,0)</f>
        <v/>
      </c>
      <c r="AE38" s="79">
        <f>IF(AND(AD38=1,T38&lt;&gt;""),IF(T38&lt;AsOf,1,0),0)</f>
        <v/>
      </c>
      <c r="AF38" s="79">
        <f>IF(AND(AD38=1,T38&lt;&gt;""),IF(AND(T38&gt;=AsOf,T38&lt;=AsOf+AlertDays),1,0),0)</f>
        <v/>
      </c>
      <c r="AG38" s="79">
        <f>IF(Y38="Order now",1,0)</f>
        <v/>
      </c>
      <c r="AH38" s="79">
        <f>IF(OR(Y38="⚠️ Order late — install at risk",Y38="⚠️ Delivery after install date"),1,0)</f>
        <v/>
      </c>
      <c r="AI38" s="79">
        <f>IF(AND(B38&lt;&gt;"",K38&lt;&gt;"",U38&lt;&gt;"Yes",X38&lt;&gt;"Yes"),1,0)</f>
        <v/>
      </c>
      <c r="AJ38" s="79">
        <f>IF(Y38="⚠️ Order late — install at risk",1,0)</f>
        <v/>
      </c>
    </row>
    <row r="39" ht="20" customHeight="1">
      <c r="B39" s="72" t="n"/>
      <c r="C39" s="72" t="n"/>
      <c r="D39" s="72" t="n"/>
      <c r="E39" s="72" t="n"/>
      <c r="F39" s="73" t="n"/>
      <c r="G39" s="72" t="n"/>
      <c r="H39" s="73" t="n"/>
      <c r="I39" s="72" t="n"/>
      <c r="J39" s="73" t="n"/>
      <c r="K39" s="74" t="n"/>
      <c r="L39" s="75">
        <f>IF(K39="A",F39,IF(K39="B",H39,IF(K39="C",J39,"")))</f>
        <v/>
      </c>
      <c r="M39" s="72" t="n"/>
      <c r="N39" s="72" t="n"/>
      <c r="O39" s="89" t="n"/>
      <c r="P39" s="89" t="n"/>
      <c r="Q39" s="109" t="n"/>
      <c r="R39" s="120">
        <f>IF(B39="","",IF(Q39&lt;&gt;"",Q39,IF(P39="","",IFERROR(INDEX('Timeline'!$J$7:$J$1006,MATCH(P39,'Timeline'!$B$7:$B$1006,0)),""))))</f>
        <v/>
      </c>
      <c r="S39" s="126">
        <f>IF(R39="","",R39-IF(O39="",0,O39)-OrderBuf)</f>
        <v/>
      </c>
      <c r="T39" s="126">
        <f>IF(S39="","",S39-DecideBuf)</f>
        <v/>
      </c>
      <c r="U39" s="74" t="n"/>
      <c r="V39" s="109" t="n"/>
      <c r="W39" s="109" t="n"/>
      <c r="X39" s="74" t="n"/>
      <c r="Y39" s="116">
        <f>IF(B39="","",IF(X39="Yes","Delivered",IF(U39="Yes",IF(AND(W39&lt;&gt;"",R39&lt;&gt;""),IF(W39&gt;R39,"⚠️ Delivery after install date","Ordered"),"Ordered"),IF(K39="",IF(T39="","Waiting for decision",IF(T39&lt;=AsOf+AlertDays,"Decide now","Waiting for decision")),IF(S39="","Selected",IF(AsOf&gt;S39,"⚠️ Order late — install at risk",IF(S39&lt;=AsOf+AlertDays,"Order now","Selected")))))))</f>
        <v/>
      </c>
      <c r="Z39" s="79">
        <f>IF(B39="","",IF(OR(AH39=1,AE39=1),2,IF(OR(AG39=1,AF39=1),1,IF(OR(Y39="Ordered",Y39="Delivered"),0,""))))</f>
        <v/>
      </c>
      <c r="AA39" s="112">
        <f>IF(B39="","",IF(AH39=1,IF(Y39="⚠️ Delivery after install date",R39,S39),IF(AD39=1,T39,IF(AI39=1,S39,""))))</f>
        <v/>
      </c>
      <c r="AB39" s="79">
        <f>IF(AA39="","",IF(AH39=1,1,IF(AA39="","",IF(AA39&lt;AsOf,1,IF(AA39&lt;=AsOf+AlertDays,2,IF(AA39&lt;=AsOf+2*AlertDays,3,""))))))</f>
        <v/>
      </c>
      <c r="AC39" s="79">
        <f>IF(AB39="","",IF(AH39=1,IF(Y39="⚠️ Delivery after install date","Delivery after install date: "&amp;B39,"Order late — install at risk: "&amp;B39),IF(AD39=1,IF(AB39=1,"Decision overdue: ","Decide: ")&amp;B39,"Order: "&amp;B39&amp;IF(N39="",""," from "&amp;N39))))</f>
        <v/>
      </c>
      <c r="AD39" s="79">
        <f>IF(AND(B39&lt;&gt;"",K39="",U39&lt;&gt;"Yes",X39&lt;&gt;"Yes"),1,0)</f>
        <v/>
      </c>
      <c r="AE39" s="79">
        <f>IF(AND(AD39=1,T39&lt;&gt;""),IF(T39&lt;AsOf,1,0),0)</f>
        <v/>
      </c>
      <c r="AF39" s="79">
        <f>IF(AND(AD39=1,T39&lt;&gt;""),IF(AND(T39&gt;=AsOf,T39&lt;=AsOf+AlertDays),1,0),0)</f>
        <v/>
      </c>
      <c r="AG39" s="79">
        <f>IF(Y39="Order now",1,0)</f>
        <v/>
      </c>
      <c r="AH39" s="79">
        <f>IF(OR(Y39="⚠️ Order late — install at risk",Y39="⚠️ Delivery after install date"),1,0)</f>
        <v/>
      </c>
      <c r="AI39" s="79">
        <f>IF(AND(B39&lt;&gt;"",K39&lt;&gt;"",U39&lt;&gt;"Yes",X39&lt;&gt;"Yes"),1,0)</f>
        <v/>
      </c>
      <c r="AJ39" s="79">
        <f>IF(Y39="⚠️ Order late — install at risk",1,0)</f>
        <v/>
      </c>
    </row>
    <row r="40" ht="20" customHeight="1">
      <c r="B40" s="72" t="n"/>
      <c r="C40" s="72" t="n"/>
      <c r="D40" s="72" t="n"/>
      <c r="E40" s="72" t="n"/>
      <c r="F40" s="73" t="n"/>
      <c r="G40" s="72" t="n"/>
      <c r="H40" s="73" t="n"/>
      <c r="I40" s="72" t="n"/>
      <c r="J40" s="73" t="n"/>
      <c r="K40" s="74" t="n"/>
      <c r="L40" s="75">
        <f>IF(K40="A",F40,IF(K40="B",H40,IF(K40="C",J40,"")))</f>
        <v/>
      </c>
      <c r="M40" s="72" t="n"/>
      <c r="N40" s="72" t="n"/>
      <c r="O40" s="89" t="n"/>
      <c r="P40" s="89" t="n"/>
      <c r="Q40" s="109" t="n"/>
      <c r="R40" s="120">
        <f>IF(B40="","",IF(Q40&lt;&gt;"",Q40,IF(P40="","",IFERROR(INDEX('Timeline'!$J$7:$J$1006,MATCH(P40,'Timeline'!$B$7:$B$1006,0)),""))))</f>
        <v/>
      </c>
      <c r="S40" s="126">
        <f>IF(R40="","",R40-IF(O40="",0,O40)-OrderBuf)</f>
        <v/>
      </c>
      <c r="T40" s="126">
        <f>IF(S40="","",S40-DecideBuf)</f>
        <v/>
      </c>
      <c r="U40" s="74" t="n"/>
      <c r="V40" s="109" t="n"/>
      <c r="W40" s="109" t="n"/>
      <c r="X40" s="74" t="n"/>
      <c r="Y40" s="116">
        <f>IF(B40="","",IF(X40="Yes","Delivered",IF(U40="Yes",IF(AND(W40&lt;&gt;"",R40&lt;&gt;""),IF(W40&gt;R40,"⚠️ Delivery after install date","Ordered"),"Ordered"),IF(K40="",IF(T40="","Waiting for decision",IF(T40&lt;=AsOf+AlertDays,"Decide now","Waiting for decision")),IF(S40="","Selected",IF(AsOf&gt;S40,"⚠️ Order late — install at risk",IF(S40&lt;=AsOf+AlertDays,"Order now","Selected")))))))</f>
        <v/>
      </c>
      <c r="Z40" s="79">
        <f>IF(B40="","",IF(OR(AH40=1,AE40=1),2,IF(OR(AG40=1,AF40=1),1,IF(OR(Y40="Ordered",Y40="Delivered"),0,""))))</f>
        <v/>
      </c>
      <c r="AA40" s="112">
        <f>IF(B40="","",IF(AH40=1,IF(Y40="⚠️ Delivery after install date",R40,S40),IF(AD40=1,T40,IF(AI40=1,S40,""))))</f>
        <v/>
      </c>
      <c r="AB40" s="79">
        <f>IF(AA40="","",IF(AH40=1,1,IF(AA40="","",IF(AA40&lt;AsOf,1,IF(AA40&lt;=AsOf+AlertDays,2,IF(AA40&lt;=AsOf+2*AlertDays,3,""))))))</f>
        <v/>
      </c>
      <c r="AC40" s="79">
        <f>IF(AB40="","",IF(AH40=1,IF(Y40="⚠️ Delivery after install date","Delivery after install date: "&amp;B40,"Order late — install at risk: "&amp;B40),IF(AD40=1,IF(AB40=1,"Decision overdue: ","Decide: ")&amp;B40,"Order: "&amp;B40&amp;IF(N40="",""," from "&amp;N40))))</f>
        <v/>
      </c>
      <c r="AD40" s="79">
        <f>IF(AND(B40&lt;&gt;"",K40="",U40&lt;&gt;"Yes",X40&lt;&gt;"Yes"),1,0)</f>
        <v/>
      </c>
      <c r="AE40" s="79">
        <f>IF(AND(AD40=1,T40&lt;&gt;""),IF(T40&lt;AsOf,1,0),0)</f>
        <v/>
      </c>
      <c r="AF40" s="79">
        <f>IF(AND(AD40=1,T40&lt;&gt;""),IF(AND(T40&gt;=AsOf,T40&lt;=AsOf+AlertDays),1,0),0)</f>
        <v/>
      </c>
      <c r="AG40" s="79">
        <f>IF(Y40="Order now",1,0)</f>
        <v/>
      </c>
      <c r="AH40" s="79">
        <f>IF(OR(Y40="⚠️ Order late — install at risk",Y40="⚠️ Delivery after install date"),1,0)</f>
        <v/>
      </c>
      <c r="AI40" s="79">
        <f>IF(AND(B40&lt;&gt;"",K40&lt;&gt;"",U40&lt;&gt;"Yes",X40&lt;&gt;"Yes"),1,0)</f>
        <v/>
      </c>
      <c r="AJ40" s="79">
        <f>IF(Y40="⚠️ Order late — install at risk",1,0)</f>
        <v/>
      </c>
    </row>
    <row r="41" ht="20" customHeight="1">
      <c r="B41" s="72" t="n"/>
      <c r="C41" s="72" t="n"/>
      <c r="D41" s="72" t="n"/>
      <c r="E41" s="72" t="n"/>
      <c r="F41" s="73" t="n"/>
      <c r="G41" s="72" t="n"/>
      <c r="H41" s="73" t="n"/>
      <c r="I41" s="72" t="n"/>
      <c r="J41" s="73" t="n"/>
      <c r="K41" s="74" t="n"/>
      <c r="L41" s="75">
        <f>IF(K41="A",F41,IF(K41="B",H41,IF(K41="C",J41,"")))</f>
        <v/>
      </c>
      <c r="M41" s="72" t="n"/>
      <c r="N41" s="72" t="n"/>
      <c r="O41" s="89" t="n"/>
      <c r="P41" s="89" t="n"/>
      <c r="Q41" s="109" t="n"/>
      <c r="R41" s="120">
        <f>IF(B41="","",IF(Q41&lt;&gt;"",Q41,IF(P41="","",IFERROR(INDEX('Timeline'!$J$7:$J$1006,MATCH(P41,'Timeline'!$B$7:$B$1006,0)),""))))</f>
        <v/>
      </c>
      <c r="S41" s="126">
        <f>IF(R41="","",R41-IF(O41="",0,O41)-OrderBuf)</f>
        <v/>
      </c>
      <c r="T41" s="126">
        <f>IF(S41="","",S41-DecideBuf)</f>
        <v/>
      </c>
      <c r="U41" s="74" t="n"/>
      <c r="V41" s="109" t="n"/>
      <c r="W41" s="109" t="n"/>
      <c r="X41" s="74" t="n"/>
      <c r="Y41" s="116">
        <f>IF(B41="","",IF(X41="Yes","Delivered",IF(U41="Yes",IF(AND(W41&lt;&gt;"",R41&lt;&gt;""),IF(W41&gt;R41,"⚠️ Delivery after install date","Ordered"),"Ordered"),IF(K41="",IF(T41="","Waiting for decision",IF(T41&lt;=AsOf+AlertDays,"Decide now","Waiting for decision")),IF(S41="","Selected",IF(AsOf&gt;S41,"⚠️ Order late — install at risk",IF(S41&lt;=AsOf+AlertDays,"Order now","Selected")))))))</f>
        <v/>
      </c>
      <c r="Z41" s="79">
        <f>IF(B41="","",IF(OR(AH41=1,AE41=1),2,IF(OR(AG41=1,AF41=1),1,IF(OR(Y41="Ordered",Y41="Delivered"),0,""))))</f>
        <v/>
      </c>
      <c r="AA41" s="112">
        <f>IF(B41="","",IF(AH41=1,IF(Y41="⚠️ Delivery after install date",R41,S41),IF(AD41=1,T41,IF(AI41=1,S41,""))))</f>
        <v/>
      </c>
      <c r="AB41" s="79">
        <f>IF(AA41="","",IF(AH41=1,1,IF(AA41="","",IF(AA41&lt;AsOf,1,IF(AA41&lt;=AsOf+AlertDays,2,IF(AA41&lt;=AsOf+2*AlertDays,3,""))))))</f>
        <v/>
      </c>
      <c r="AC41" s="79">
        <f>IF(AB41="","",IF(AH41=1,IF(Y41="⚠️ Delivery after install date","Delivery after install date: "&amp;B41,"Order late — install at risk: "&amp;B41),IF(AD41=1,IF(AB41=1,"Decision overdue: ","Decide: ")&amp;B41,"Order: "&amp;B41&amp;IF(N41="",""," from "&amp;N41))))</f>
        <v/>
      </c>
      <c r="AD41" s="79">
        <f>IF(AND(B41&lt;&gt;"",K41="",U41&lt;&gt;"Yes",X41&lt;&gt;"Yes"),1,0)</f>
        <v/>
      </c>
      <c r="AE41" s="79">
        <f>IF(AND(AD41=1,T41&lt;&gt;""),IF(T41&lt;AsOf,1,0),0)</f>
        <v/>
      </c>
      <c r="AF41" s="79">
        <f>IF(AND(AD41=1,T41&lt;&gt;""),IF(AND(T41&gt;=AsOf,T41&lt;=AsOf+AlertDays),1,0),0)</f>
        <v/>
      </c>
      <c r="AG41" s="79">
        <f>IF(Y41="Order now",1,0)</f>
        <v/>
      </c>
      <c r="AH41" s="79">
        <f>IF(OR(Y41="⚠️ Order late — install at risk",Y41="⚠️ Delivery after install date"),1,0)</f>
        <v/>
      </c>
      <c r="AI41" s="79">
        <f>IF(AND(B41&lt;&gt;"",K41&lt;&gt;"",U41&lt;&gt;"Yes",X41&lt;&gt;"Yes"),1,0)</f>
        <v/>
      </c>
      <c r="AJ41" s="79">
        <f>IF(Y41="⚠️ Order late — install at risk",1,0)</f>
        <v/>
      </c>
    </row>
    <row r="42" ht="20" customHeight="1">
      <c r="B42" s="72" t="n"/>
      <c r="C42" s="72" t="n"/>
      <c r="D42" s="72" t="n"/>
      <c r="E42" s="72" t="n"/>
      <c r="F42" s="73" t="n"/>
      <c r="G42" s="72" t="n"/>
      <c r="H42" s="73" t="n"/>
      <c r="I42" s="72" t="n"/>
      <c r="J42" s="73" t="n"/>
      <c r="K42" s="74" t="n"/>
      <c r="L42" s="75">
        <f>IF(K42="A",F42,IF(K42="B",H42,IF(K42="C",J42,"")))</f>
        <v/>
      </c>
      <c r="M42" s="72" t="n"/>
      <c r="N42" s="72" t="n"/>
      <c r="O42" s="89" t="n"/>
      <c r="P42" s="89" t="n"/>
      <c r="Q42" s="109" t="n"/>
      <c r="R42" s="120">
        <f>IF(B42="","",IF(Q42&lt;&gt;"",Q42,IF(P42="","",IFERROR(INDEX('Timeline'!$J$7:$J$1006,MATCH(P42,'Timeline'!$B$7:$B$1006,0)),""))))</f>
        <v/>
      </c>
      <c r="S42" s="126">
        <f>IF(R42="","",R42-IF(O42="",0,O42)-OrderBuf)</f>
        <v/>
      </c>
      <c r="T42" s="126">
        <f>IF(S42="","",S42-DecideBuf)</f>
        <v/>
      </c>
      <c r="U42" s="74" t="n"/>
      <c r="V42" s="109" t="n"/>
      <c r="W42" s="109" t="n"/>
      <c r="X42" s="74" t="n"/>
      <c r="Y42" s="116">
        <f>IF(B42="","",IF(X42="Yes","Delivered",IF(U42="Yes",IF(AND(W42&lt;&gt;"",R42&lt;&gt;""),IF(W42&gt;R42,"⚠️ Delivery after install date","Ordered"),"Ordered"),IF(K42="",IF(T42="","Waiting for decision",IF(T42&lt;=AsOf+AlertDays,"Decide now","Waiting for decision")),IF(S42="","Selected",IF(AsOf&gt;S42,"⚠️ Order late — install at risk",IF(S42&lt;=AsOf+AlertDays,"Order now","Selected")))))))</f>
        <v/>
      </c>
      <c r="Z42" s="79">
        <f>IF(B42="","",IF(OR(AH42=1,AE42=1),2,IF(OR(AG42=1,AF42=1),1,IF(OR(Y42="Ordered",Y42="Delivered"),0,""))))</f>
        <v/>
      </c>
      <c r="AA42" s="112">
        <f>IF(B42="","",IF(AH42=1,IF(Y42="⚠️ Delivery after install date",R42,S42),IF(AD42=1,T42,IF(AI42=1,S42,""))))</f>
        <v/>
      </c>
      <c r="AB42" s="79">
        <f>IF(AA42="","",IF(AH42=1,1,IF(AA42="","",IF(AA42&lt;AsOf,1,IF(AA42&lt;=AsOf+AlertDays,2,IF(AA42&lt;=AsOf+2*AlertDays,3,""))))))</f>
        <v/>
      </c>
      <c r="AC42" s="79">
        <f>IF(AB42="","",IF(AH42=1,IF(Y42="⚠️ Delivery after install date","Delivery after install date: "&amp;B42,"Order late — install at risk: "&amp;B42),IF(AD42=1,IF(AB42=1,"Decision overdue: ","Decide: ")&amp;B42,"Order: "&amp;B42&amp;IF(N42="",""," from "&amp;N42))))</f>
        <v/>
      </c>
      <c r="AD42" s="79">
        <f>IF(AND(B42&lt;&gt;"",K42="",U42&lt;&gt;"Yes",X42&lt;&gt;"Yes"),1,0)</f>
        <v/>
      </c>
      <c r="AE42" s="79">
        <f>IF(AND(AD42=1,T42&lt;&gt;""),IF(T42&lt;AsOf,1,0),0)</f>
        <v/>
      </c>
      <c r="AF42" s="79">
        <f>IF(AND(AD42=1,T42&lt;&gt;""),IF(AND(T42&gt;=AsOf,T42&lt;=AsOf+AlertDays),1,0),0)</f>
        <v/>
      </c>
      <c r="AG42" s="79">
        <f>IF(Y42="Order now",1,0)</f>
        <v/>
      </c>
      <c r="AH42" s="79">
        <f>IF(OR(Y42="⚠️ Order late — install at risk",Y42="⚠️ Delivery after install date"),1,0)</f>
        <v/>
      </c>
      <c r="AI42" s="79">
        <f>IF(AND(B42&lt;&gt;"",K42&lt;&gt;"",U42&lt;&gt;"Yes",X42&lt;&gt;"Yes"),1,0)</f>
        <v/>
      </c>
      <c r="AJ42" s="79">
        <f>IF(Y42="⚠️ Order late — install at risk",1,0)</f>
        <v/>
      </c>
    </row>
    <row r="43" ht="20" customHeight="1">
      <c r="B43" s="72" t="n"/>
      <c r="C43" s="72" t="n"/>
      <c r="D43" s="72" t="n"/>
      <c r="E43" s="72" t="n"/>
      <c r="F43" s="73" t="n"/>
      <c r="G43" s="72" t="n"/>
      <c r="H43" s="73" t="n"/>
      <c r="I43" s="72" t="n"/>
      <c r="J43" s="73" t="n"/>
      <c r="K43" s="74" t="n"/>
      <c r="L43" s="75">
        <f>IF(K43="A",F43,IF(K43="B",H43,IF(K43="C",J43,"")))</f>
        <v/>
      </c>
      <c r="M43" s="72" t="n"/>
      <c r="N43" s="72" t="n"/>
      <c r="O43" s="89" t="n"/>
      <c r="P43" s="89" t="n"/>
      <c r="Q43" s="109" t="n"/>
      <c r="R43" s="120">
        <f>IF(B43="","",IF(Q43&lt;&gt;"",Q43,IF(P43="","",IFERROR(INDEX('Timeline'!$J$7:$J$1006,MATCH(P43,'Timeline'!$B$7:$B$1006,0)),""))))</f>
        <v/>
      </c>
      <c r="S43" s="126">
        <f>IF(R43="","",R43-IF(O43="",0,O43)-OrderBuf)</f>
        <v/>
      </c>
      <c r="T43" s="126">
        <f>IF(S43="","",S43-DecideBuf)</f>
        <v/>
      </c>
      <c r="U43" s="74" t="n"/>
      <c r="V43" s="109" t="n"/>
      <c r="W43" s="109" t="n"/>
      <c r="X43" s="74" t="n"/>
      <c r="Y43" s="116">
        <f>IF(B43="","",IF(X43="Yes","Delivered",IF(U43="Yes",IF(AND(W43&lt;&gt;"",R43&lt;&gt;""),IF(W43&gt;R43,"⚠️ Delivery after install date","Ordered"),"Ordered"),IF(K43="",IF(T43="","Waiting for decision",IF(T43&lt;=AsOf+AlertDays,"Decide now","Waiting for decision")),IF(S43="","Selected",IF(AsOf&gt;S43,"⚠️ Order late — install at risk",IF(S43&lt;=AsOf+AlertDays,"Order now","Selected")))))))</f>
        <v/>
      </c>
      <c r="Z43" s="79">
        <f>IF(B43="","",IF(OR(AH43=1,AE43=1),2,IF(OR(AG43=1,AF43=1),1,IF(OR(Y43="Ordered",Y43="Delivered"),0,""))))</f>
        <v/>
      </c>
      <c r="AA43" s="112">
        <f>IF(B43="","",IF(AH43=1,IF(Y43="⚠️ Delivery after install date",R43,S43),IF(AD43=1,T43,IF(AI43=1,S43,""))))</f>
        <v/>
      </c>
      <c r="AB43" s="79">
        <f>IF(AA43="","",IF(AH43=1,1,IF(AA43="","",IF(AA43&lt;AsOf,1,IF(AA43&lt;=AsOf+AlertDays,2,IF(AA43&lt;=AsOf+2*AlertDays,3,""))))))</f>
        <v/>
      </c>
      <c r="AC43" s="79">
        <f>IF(AB43="","",IF(AH43=1,IF(Y43="⚠️ Delivery after install date","Delivery after install date: "&amp;B43,"Order late — install at risk: "&amp;B43),IF(AD43=1,IF(AB43=1,"Decision overdue: ","Decide: ")&amp;B43,"Order: "&amp;B43&amp;IF(N43="",""," from "&amp;N43))))</f>
        <v/>
      </c>
      <c r="AD43" s="79">
        <f>IF(AND(B43&lt;&gt;"",K43="",U43&lt;&gt;"Yes",X43&lt;&gt;"Yes"),1,0)</f>
        <v/>
      </c>
      <c r="AE43" s="79">
        <f>IF(AND(AD43=1,T43&lt;&gt;""),IF(T43&lt;AsOf,1,0),0)</f>
        <v/>
      </c>
      <c r="AF43" s="79">
        <f>IF(AND(AD43=1,T43&lt;&gt;""),IF(AND(T43&gt;=AsOf,T43&lt;=AsOf+AlertDays),1,0),0)</f>
        <v/>
      </c>
      <c r="AG43" s="79">
        <f>IF(Y43="Order now",1,0)</f>
        <v/>
      </c>
      <c r="AH43" s="79">
        <f>IF(OR(Y43="⚠️ Order late — install at risk",Y43="⚠️ Delivery after install date"),1,0)</f>
        <v/>
      </c>
      <c r="AI43" s="79">
        <f>IF(AND(B43&lt;&gt;"",K43&lt;&gt;"",U43&lt;&gt;"Yes",X43&lt;&gt;"Yes"),1,0)</f>
        <v/>
      </c>
      <c r="AJ43" s="79">
        <f>IF(Y43="⚠️ Order late — install at risk",1,0)</f>
        <v/>
      </c>
    </row>
    <row r="44" ht="20" customHeight="1">
      <c r="B44" s="72" t="n"/>
      <c r="C44" s="72" t="n"/>
      <c r="D44" s="72" t="n"/>
      <c r="E44" s="72" t="n"/>
      <c r="F44" s="73" t="n"/>
      <c r="G44" s="72" t="n"/>
      <c r="H44" s="73" t="n"/>
      <c r="I44" s="72" t="n"/>
      <c r="J44" s="73" t="n"/>
      <c r="K44" s="74" t="n"/>
      <c r="L44" s="75">
        <f>IF(K44="A",F44,IF(K44="B",H44,IF(K44="C",J44,"")))</f>
        <v/>
      </c>
      <c r="M44" s="72" t="n"/>
      <c r="N44" s="72" t="n"/>
      <c r="O44" s="89" t="n"/>
      <c r="P44" s="89" t="n"/>
      <c r="Q44" s="109" t="n"/>
      <c r="R44" s="120">
        <f>IF(B44="","",IF(Q44&lt;&gt;"",Q44,IF(P44="","",IFERROR(INDEX('Timeline'!$J$7:$J$1006,MATCH(P44,'Timeline'!$B$7:$B$1006,0)),""))))</f>
        <v/>
      </c>
      <c r="S44" s="126">
        <f>IF(R44="","",R44-IF(O44="",0,O44)-OrderBuf)</f>
        <v/>
      </c>
      <c r="T44" s="126">
        <f>IF(S44="","",S44-DecideBuf)</f>
        <v/>
      </c>
      <c r="U44" s="74" t="n"/>
      <c r="V44" s="109" t="n"/>
      <c r="W44" s="109" t="n"/>
      <c r="X44" s="74" t="n"/>
      <c r="Y44" s="116">
        <f>IF(B44="","",IF(X44="Yes","Delivered",IF(U44="Yes",IF(AND(W44&lt;&gt;"",R44&lt;&gt;""),IF(W44&gt;R44,"⚠️ Delivery after install date","Ordered"),"Ordered"),IF(K44="",IF(T44="","Waiting for decision",IF(T44&lt;=AsOf+AlertDays,"Decide now","Waiting for decision")),IF(S44="","Selected",IF(AsOf&gt;S44,"⚠️ Order late — install at risk",IF(S44&lt;=AsOf+AlertDays,"Order now","Selected")))))))</f>
        <v/>
      </c>
      <c r="Z44" s="79">
        <f>IF(B44="","",IF(OR(AH44=1,AE44=1),2,IF(OR(AG44=1,AF44=1),1,IF(OR(Y44="Ordered",Y44="Delivered"),0,""))))</f>
        <v/>
      </c>
      <c r="AA44" s="112">
        <f>IF(B44="","",IF(AH44=1,IF(Y44="⚠️ Delivery after install date",R44,S44),IF(AD44=1,T44,IF(AI44=1,S44,""))))</f>
        <v/>
      </c>
      <c r="AB44" s="79">
        <f>IF(AA44="","",IF(AH44=1,1,IF(AA44="","",IF(AA44&lt;AsOf,1,IF(AA44&lt;=AsOf+AlertDays,2,IF(AA44&lt;=AsOf+2*AlertDays,3,""))))))</f>
        <v/>
      </c>
      <c r="AC44" s="79">
        <f>IF(AB44="","",IF(AH44=1,IF(Y44="⚠️ Delivery after install date","Delivery after install date: "&amp;B44,"Order late — install at risk: "&amp;B44),IF(AD44=1,IF(AB44=1,"Decision overdue: ","Decide: ")&amp;B44,"Order: "&amp;B44&amp;IF(N44="",""," from "&amp;N44))))</f>
        <v/>
      </c>
      <c r="AD44" s="79">
        <f>IF(AND(B44&lt;&gt;"",K44="",U44&lt;&gt;"Yes",X44&lt;&gt;"Yes"),1,0)</f>
        <v/>
      </c>
      <c r="AE44" s="79">
        <f>IF(AND(AD44=1,T44&lt;&gt;""),IF(T44&lt;AsOf,1,0),0)</f>
        <v/>
      </c>
      <c r="AF44" s="79">
        <f>IF(AND(AD44=1,T44&lt;&gt;""),IF(AND(T44&gt;=AsOf,T44&lt;=AsOf+AlertDays),1,0),0)</f>
        <v/>
      </c>
      <c r="AG44" s="79">
        <f>IF(Y44="Order now",1,0)</f>
        <v/>
      </c>
      <c r="AH44" s="79">
        <f>IF(OR(Y44="⚠️ Order late — install at risk",Y44="⚠️ Delivery after install date"),1,0)</f>
        <v/>
      </c>
      <c r="AI44" s="79">
        <f>IF(AND(B44&lt;&gt;"",K44&lt;&gt;"",U44&lt;&gt;"Yes",X44&lt;&gt;"Yes"),1,0)</f>
        <v/>
      </c>
      <c r="AJ44" s="79">
        <f>IF(Y44="⚠️ Order late — install at risk",1,0)</f>
        <v/>
      </c>
    </row>
    <row r="45" ht="20" customHeight="1">
      <c r="B45" s="72" t="n"/>
      <c r="C45" s="72" t="n"/>
      <c r="D45" s="72" t="n"/>
      <c r="E45" s="72" t="n"/>
      <c r="F45" s="73" t="n"/>
      <c r="G45" s="72" t="n"/>
      <c r="H45" s="73" t="n"/>
      <c r="I45" s="72" t="n"/>
      <c r="J45" s="73" t="n"/>
      <c r="K45" s="74" t="n"/>
      <c r="L45" s="75">
        <f>IF(K45="A",F45,IF(K45="B",H45,IF(K45="C",J45,"")))</f>
        <v/>
      </c>
      <c r="M45" s="72" t="n"/>
      <c r="N45" s="72" t="n"/>
      <c r="O45" s="89" t="n"/>
      <c r="P45" s="89" t="n"/>
      <c r="Q45" s="109" t="n"/>
      <c r="R45" s="120">
        <f>IF(B45="","",IF(Q45&lt;&gt;"",Q45,IF(P45="","",IFERROR(INDEX('Timeline'!$J$7:$J$1006,MATCH(P45,'Timeline'!$B$7:$B$1006,0)),""))))</f>
        <v/>
      </c>
      <c r="S45" s="126">
        <f>IF(R45="","",R45-IF(O45="",0,O45)-OrderBuf)</f>
        <v/>
      </c>
      <c r="T45" s="126">
        <f>IF(S45="","",S45-DecideBuf)</f>
        <v/>
      </c>
      <c r="U45" s="74" t="n"/>
      <c r="V45" s="109" t="n"/>
      <c r="W45" s="109" t="n"/>
      <c r="X45" s="74" t="n"/>
      <c r="Y45" s="116">
        <f>IF(B45="","",IF(X45="Yes","Delivered",IF(U45="Yes",IF(AND(W45&lt;&gt;"",R45&lt;&gt;""),IF(W45&gt;R45,"⚠️ Delivery after install date","Ordered"),"Ordered"),IF(K45="",IF(T45="","Waiting for decision",IF(T45&lt;=AsOf+AlertDays,"Decide now","Waiting for decision")),IF(S45="","Selected",IF(AsOf&gt;S45,"⚠️ Order late — install at risk",IF(S45&lt;=AsOf+AlertDays,"Order now","Selected")))))))</f>
        <v/>
      </c>
      <c r="Z45" s="79">
        <f>IF(B45="","",IF(OR(AH45=1,AE45=1),2,IF(OR(AG45=1,AF45=1),1,IF(OR(Y45="Ordered",Y45="Delivered"),0,""))))</f>
        <v/>
      </c>
      <c r="AA45" s="112">
        <f>IF(B45="","",IF(AH45=1,IF(Y45="⚠️ Delivery after install date",R45,S45),IF(AD45=1,T45,IF(AI45=1,S45,""))))</f>
        <v/>
      </c>
      <c r="AB45" s="79">
        <f>IF(AA45="","",IF(AH45=1,1,IF(AA45="","",IF(AA45&lt;AsOf,1,IF(AA45&lt;=AsOf+AlertDays,2,IF(AA45&lt;=AsOf+2*AlertDays,3,""))))))</f>
        <v/>
      </c>
      <c r="AC45" s="79">
        <f>IF(AB45="","",IF(AH45=1,IF(Y45="⚠️ Delivery after install date","Delivery after install date: "&amp;B45,"Order late — install at risk: "&amp;B45),IF(AD45=1,IF(AB45=1,"Decision overdue: ","Decide: ")&amp;B45,"Order: "&amp;B45&amp;IF(N45="",""," from "&amp;N45))))</f>
        <v/>
      </c>
      <c r="AD45" s="79">
        <f>IF(AND(B45&lt;&gt;"",K45="",U45&lt;&gt;"Yes",X45&lt;&gt;"Yes"),1,0)</f>
        <v/>
      </c>
      <c r="AE45" s="79">
        <f>IF(AND(AD45=1,T45&lt;&gt;""),IF(T45&lt;AsOf,1,0),0)</f>
        <v/>
      </c>
      <c r="AF45" s="79">
        <f>IF(AND(AD45=1,T45&lt;&gt;""),IF(AND(T45&gt;=AsOf,T45&lt;=AsOf+AlertDays),1,0),0)</f>
        <v/>
      </c>
      <c r="AG45" s="79">
        <f>IF(Y45="Order now",1,0)</f>
        <v/>
      </c>
      <c r="AH45" s="79">
        <f>IF(OR(Y45="⚠️ Order late — install at risk",Y45="⚠️ Delivery after install date"),1,0)</f>
        <v/>
      </c>
      <c r="AI45" s="79">
        <f>IF(AND(B45&lt;&gt;"",K45&lt;&gt;"",U45&lt;&gt;"Yes",X45&lt;&gt;"Yes"),1,0)</f>
        <v/>
      </c>
      <c r="AJ45" s="79">
        <f>IF(Y45="⚠️ Order late — install at risk",1,0)</f>
        <v/>
      </c>
    </row>
    <row r="46" ht="20" customHeight="1">
      <c r="B46" s="72" t="n"/>
      <c r="C46" s="72" t="n"/>
      <c r="D46" s="72" t="n"/>
      <c r="E46" s="72" t="n"/>
      <c r="F46" s="73" t="n"/>
      <c r="G46" s="72" t="n"/>
      <c r="H46" s="73" t="n"/>
      <c r="I46" s="72" t="n"/>
      <c r="J46" s="73" t="n"/>
      <c r="K46" s="74" t="n"/>
      <c r="L46" s="75">
        <f>IF(K46="A",F46,IF(K46="B",H46,IF(K46="C",J46,"")))</f>
        <v/>
      </c>
      <c r="M46" s="72" t="n"/>
      <c r="N46" s="72" t="n"/>
      <c r="O46" s="89" t="n"/>
      <c r="P46" s="89" t="n"/>
      <c r="Q46" s="109" t="n"/>
      <c r="R46" s="120">
        <f>IF(B46="","",IF(Q46&lt;&gt;"",Q46,IF(P46="","",IFERROR(INDEX('Timeline'!$J$7:$J$1006,MATCH(P46,'Timeline'!$B$7:$B$1006,0)),""))))</f>
        <v/>
      </c>
      <c r="S46" s="126">
        <f>IF(R46="","",R46-IF(O46="",0,O46)-OrderBuf)</f>
        <v/>
      </c>
      <c r="T46" s="126">
        <f>IF(S46="","",S46-DecideBuf)</f>
        <v/>
      </c>
      <c r="U46" s="74" t="n"/>
      <c r="V46" s="109" t="n"/>
      <c r="W46" s="109" t="n"/>
      <c r="X46" s="74" t="n"/>
      <c r="Y46" s="116">
        <f>IF(B46="","",IF(X46="Yes","Delivered",IF(U46="Yes",IF(AND(W46&lt;&gt;"",R46&lt;&gt;""),IF(W46&gt;R46,"⚠️ Delivery after install date","Ordered"),"Ordered"),IF(K46="",IF(T46="","Waiting for decision",IF(T46&lt;=AsOf+AlertDays,"Decide now","Waiting for decision")),IF(S46="","Selected",IF(AsOf&gt;S46,"⚠️ Order late — install at risk",IF(S46&lt;=AsOf+AlertDays,"Order now","Selected")))))))</f>
        <v/>
      </c>
      <c r="Z46" s="79">
        <f>IF(B46="","",IF(OR(AH46=1,AE46=1),2,IF(OR(AG46=1,AF46=1),1,IF(OR(Y46="Ordered",Y46="Delivered"),0,""))))</f>
        <v/>
      </c>
      <c r="AA46" s="112">
        <f>IF(B46="","",IF(AH46=1,IF(Y46="⚠️ Delivery after install date",R46,S46),IF(AD46=1,T46,IF(AI46=1,S46,""))))</f>
        <v/>
      </c>
      <c r="AB46" s="79">
        <f>IF(AA46="","",IF(AH46=1,1,IF(AA46="","",IF(AA46&lt;AsOf,1,IF(AA46&lt;=AsOf+AlertDays,2,IF(AA46&lt;=AsOf+2*AlertDays,3,""))))))</f>
        <v/>
      </c>
      <c r="AC46" s="79">
        <f>IF(AB46="","",IF(AH46=1,IF(Y46="⚠️ Delivery after install date","Delivery after install date: "&amp;B46,"Order late — install at risk: "&amp;B46),IF(AD46=1,IF(AB46=1,"Decision overdue: ","Decide: ")&amp;B46,"Order: "&amp;B46&amp;IF(N46="",""," from "&amp;N46))))</f>
        <v/>
      </c>
      <c r="AD46" s="79">
        <f>IF(AND(B46&lt;&gt;"",K46="",U46&lt;&gt;"Yes",X46&lt;&gt;"Yes"),1,0)</f>
        <v/>
      </c>
      <c r="AE46" s="79">
        <f>IF(AND(AD46=1,T46&lt;&gt;""),IF(T46&lt;AsOf,1,0),0)</f>
        <v/>
      </c>
      <c r="AF46" s="79">
        <f>IF(AND(AD46=1,T46&lt;&gt;""),IF(AND(T46&gt;=AsOf,T46&lt;=AsOf+AlertDays),1,0),0)</f>
        <v/>
      </c>
      <c r="AG46" s="79">
        <f>IF(Y46="Order now",1,0)</f>
        <v/>
      </c>
      <c r="AH46" s="79">
        <f>IF(OR(Y46="⚠️ Order late — install at risk",Y46="⚠️ Delivery after install date"),1,0)</f>
        <v/>
      </c>
      <c r="AI46" s="79">
        <f>IF(AND(B46&lt;&gt;"",K46&lt;&gt;"",U46&lt;&gt;"Yes",X46&lt;&gt;"Yes"),1,0)</f>
        <v/>
      </c>
      <c r="AJ46" s="79">
        <f>IF(Y46="⚠️ Order late — install at risk",1,0)</f>
        <v/>
      </c>
    </row>
    <row r="47" ht="20" customHeight="1">
      <c r="B47" s="72" t="n"/>
      <c r="C47" s="72" t="n"/>
      <c r="D47" s="72" t="n"/>
      <c r="E47" s="72" t="n"/>
      <c r="F47" s="73" t="n"/>
      <c r="G47" s="72" t="n"/>
      <c r="H47" s="73" t="n"/>
      <c r="I47" s="72" t="n"/>
      <c r="J47" s="73" t="n"/>
      <c r="K47" s="74" t="n"/>
      <c r="L47" s="75">
        <f>IF(K47="A",F47,IF(K47="B",H47,IF(K47="C",J47,"")))</f>
        <v/>
      </c>
      <c r="M47" s="72" t="n"/>
      <c r="N47" s="72" t="n"/>
      <c r="O47" s="89" t="n"/>
      <c r="P47" s="89" t="n"/>
      <c r="Q47" s="109" t="n"/>
      <c r="R47" s="120">
        <f>IF(B47="","",IF(Q47&lt;&gt;"",Q47,IF(P47="","",IFERROR(INDEX('Timeline'!$J$7:$J$1006,MATCH(P47,'Timeline'!$B$7:$B$1006,0)),""))))</f>
        <v/>
      </c>
      <c r="S47" s="126">
        <f>IF(R47="","",R47-IF(O47="",0,O47)-OrderBuf)</f>
        <v/>
      </c>
      <c r="T47" s="126">
        <f>IF(S47="","",S47-DecideBuf)</f>
        <v/>
      </c>
      <c r="U47" s="74" t="n"/>
      <c r="V47" s="109" t="n"/>
      <c r="W47" s="109" t="n"/>
      <c r="X47" s="74" t="n"/>
      <c r="Y47" s="116">
        <f>IF(B47="","",IF(X47="Yes","Delivered",IF(U47="Yes",IF(AND(W47&lt;&gt;"",R47&lt;&gt;""),IF(W47&gt;R47,"⚠️ Delivery after install date","Ordered"),"Ordered"),IF(K47="",IF(T47="","Waiting for decision",IF(T47&lt;=AsOf+AlertDays,"Decide now","Waiting for decision")),IF(S47="","Selected",IF(AsOf&gt;S47,"⚠️ Order late — install at risk",IF(S47&lt;=AsOf+AlertDays,"Order now","Selected")))))))</f>
        <v/>
      </c>
      <c r="Z47" s="79">
        <f>IF(B47="","",IF(OR(AH47=1,AE47=1),2,IF(OR(AG47=1,AF47=1),1,IF(OR(Y47="Ordered",Y47="Delivered"),0,""))))</f>
        <v/>
      </c>
      <c r="AA47" s="112">
        <f>IF(B47="","",IF(AH47=1,IF(Y47="⚠️ Delivery after install date",R47,S47),IF(AD47=1,T47,IF(AI47=1,S47,""))))</f>
        <v/>
      </c>
      <c r="AB47" s="79">
        <f>IF(AA47="","",IF(AH47=1,1,IF(AA47="","",IF(AA47&lt;AsOf,1,IF(AA47&lt;=AsOf+AlertDays,2,IF(AA47&lt;=AsOf+2*AlertDays,3,""))))))</f>
        <v/>
      </c>
      <c r="AC47" s="79">
        <f>IF(AB47="","",IF(AH47=1,IF(Y47="⚠️ Delivery after install date","Delivery after install date: "&amp;B47,"Order late — install at risk: "&amp;B47),IF(AD47=1,IF(AB47=1,"Decision overdue: ","Decide: ")&amp;B47,"Order: "&amp;B47&amp;IF(N47="",""," from "&amp;N47))))</f>
        <v/>
      </c>
      <c r="AD47" s="79">
        <f>IF(AND(B47&lt;&gt;"",K47="",U47&lt;&gt;"Yes",X47&lt;&gt;"Yes"),1,0)</f>
        <v/>
      </c>
      <c r="AE47" s="79">
        <f>IF(AND(AD47=1,T47&lt;&gt;""),IF(T47&lt;AsOf,1,0),0)</f>
        <v/>
      </c>
      <c r="AF47" s="79">
        <f>IF(AND(AD47=1,T47&lt;&gt;""),IF(AND(T47&gt;=AsOf,T47&lt;=AsOf+AlertDays),1,0),0)</f>
        <v/>
      </c>
      <c r="AG47" s="79">
        <f>IF(Y47="Order now",1,0)</f>
        <v/>
      </c>
      <c r="AH47" s="79">
        <f>IF(OR(Y47="⚠️ Order late — install at risk",Y47="⚠️ Delivery after install date"),1,0)</f>
        <v/>
      </c>
      <c r="AI47" s="79">
        <f>IF(AND(B47&lt;&gt;"",K47&lt;&gt;"",U47&lt;&gt;"Yes",X47&lt;&gt;"Yes"),1,0)</f>
        <v/>
      </c>
      <c r="AJ47" s="79">
        <f>IF(Y47="⚠️ Order late — install at risk",1,0)</f>
        <v/>
      </c>
    </row>
    <row r="48" ht="20" customHeight="1">
      <c r="B48" s="72" t="n"/>
      <c r="C48" s="72" t="n"/>
      <c r="D48" s="72" t="n"/>
      <c r="E48" s="72" t="n"/>
      <c r="F48" s="73" t="n"/>
      <c r="G48" s="72" t="n"/>
      <c r="H48" s="73" t="n"/>
      <c r="I48" s="72" t="n"/>
      <c r="J48" s="73" t="n"/>
      <c r="K48" s="74" t="n"/>
      <c r="L48" s="75">
        <f>IF(K48="A",F48,IF(K48="B",H48,IF(K48="C",J48,"")))</f>
        <v/>
      </c>
      <c r="M48" s="72" t="n"/>
      <c r="N48" s="72" t="n"/>
      <c r="O48" s="89" t="n"/>
      <c r="P48" s="89" t="n"/>
      <c r="Q48" s="109" t="n"/>
      <c r="R48" s="120">
        <f>IF(B48="","",IF(Q48&lt;&gt;"",Q48,IF(P48="","",IFERROR(INDEX('Timeline'!$J$7:$J$1006,MATCH(P48,'Timeline'!$B$7:$B$1006,0)),""))))</f>
        <v/>
      </c>
      <c r="S48" s="126">
        <f>IF(R48="","",R48-IF(O48="",0,O48)-OrderBuf)</f>
        <v/>
      </c>
      <c r="T48" s="126">
        <f>IF(S48="","",S48-DecideBuf)</f>
        <v/>
      </c>
      <c r="U48" s="74" t="n"/>
      <c r="V48" s="109" t="n"/>
      <c r="W48" s="109" t="n"/>
      <c r="X48" s="74" t="n"/>
      <c r="Y48" s="116">
        <f>IF(B48="","",IF(X48="Yes","Delivered",IF(U48="Yes",IF(AND(W48&lt;&gt;"",R48&lt;&gt;""),IF(W48&gt;R48,"⚠️ Delivery after install date","Ordered"),"Ordered"),IF(K48="",IF(T48="","Waiting for decision",IF(T48&lt;=AsOf+AlertDays,"Decide now","Waiting for decision")),IF(S48="","Selected",IF(AsOf&gt;S48,"⚠️ Order late — install at risk",IF(S48&lt;=AsOf+AlertDays,"Order now","Selected")))))))</f>
        <v/>
      </c>
      <c r="Z48" s="79">
        <f>IF(B48="","",IF(OR(AH48=1,AE48=1),2,IF(OR(AG48=1,AF48=1),1,IF(OR(Y48="Ordered",Y48="Delivered"),0,""))))</f>
        <v/>
      </c>
      <c r="AA48" s="112">
        <f>IF(B48="","",IF(AH48=1,IF(Y48="⚠️ Delivery after install date",R48,S48),IF(AD48=1,T48,IF(AI48=1,S48,""))))</f>
        <v/>
      </c>
      <c r="AB48" s="79">
        <f>IF(AA48="","",IF(AH48=1,1,IF(AA48="","",IF(AA48&lt;AsOf,1,IF(AA48&lt;=AsOf+AlertDays,2,IF(AA48&lt;=AsOf+2*AlertDays,3,""))))))</f>
        <v/>
      </c>
      <c r="AC48" s="79">
        <f>IF(AB48="","",IF(AH48=1,IF(Y48="⚠️ Delivery after install date","Delivery after install date: "&amp;B48,"Order late — install at risk: "&amp;B48),IF(AD48=1,IF(AB48=1,"Decision overdue: ","Decide: ")&amp;B48,"Order: "&amp;B48&amp;IF(N48="",""," from "&amp;N48))))</f>
        <v/>
      </c>
      <c r="AD48" s="79">
        <f>IF(AND(B48&lt;&gt;"",K48="",U48&lt;&gt;"Yes",X48&lt;&gt;"Yes"),1,0)</f>
        <v/>
      </c>
      <c r="AE48" s="79">
        <f>IF(AND(AD48=1,T48&lt;&gt;""),IF(T48&lt;AsOf,1,0),0)</f>
        <v/>
      </c>
      <c r="AF48" s="79">
        <f>IF(AND(AD48=1,T48&lt;&gt;""),IF(AND(T48&gt;=AsOf,T48&lt;=AsOf+AlertDays),1,0),0)</f>
        <v/>
      </c>
      <c r="AG48" s="79">
        <f>IF(Y48="Order now",1,0)</f>
        <v/>
      </c>
      <c r="AH48" s="79">
        <f>IF(OR(Y48="⚠️ Order late — install at risk",Y48="⚠️ Delivery after install date"),1,0)</f>
        <v/>
      </c>
      <c r="AI48" s="79">
        <f>IF(AND(B48&lt;&gt;"",K48&lt;&gt;"",U48&lt;&gt;"Yes",X48&lt;&gt;"Yes"),1,0)</f>
        <v/>
      </c>
      <c r="AJ48" s="79">
        <f>IF(Y48="⚠️ Order late — install at risk",1,0)</f>
        <v/>
      </c>
    </row>
    <row r="49" ht="20" customHeight="1">
      <c r="B49" s="72" t="n"/>
      <c r="C49" s="72" t="n"/>
      <c r="D49" s="72" t="n"/>
      <c r="E49" s="72" t="n"/>
      <c r="F49" s="73" t="n"/>
      <c r="G49" s="72" t="n"/>
      <c r="H49" s="73" t="n"/>
      <c r="I49" s="72" t="n"/>
      <c r="J49" s="73" t="n"/>
      <c r="K49" s="74" t="n"/>
      <c r="L49" s="75">
        <f>IF(K49="A",F49,IF(K49="B",H49,IF(K49="C",J49,"")))</f>
        <v/>
      </c>
      <c r="M49" s="72" t="n"/>
      <c r="N49" s="72" t="n"/>
      <c r="O49" s="89" t="n"/>
      <c r="P49" s="89" t="n"/>
      <c r="Q49" s="109" t="n"/>
      <c r="R49" s="120">
        <f>IF(B49="","",IF(Q49&lt;&gt;"",Q49,IF(P49="","",IFERROR(INDEX('Timeline'!$J$7:$J$1006,MATCH(P49,'Timeline'!$B$7:$B$1006,0)),""))))</f>
        <v/>
      </c>
      <c r="S49" s="126">
        <f>IF(R49="","",R49-IF(O49="",0,O49)-OrderBuf)</f>
        <v/>
      </c>
      <c r="T49" s="126">
        <f>IF(S49="","",S49-DecideBuf)</f>
        <v/>
      </c>
      <c r="U49" s="74" t="n"/>
      <c r="V49" s="109" t="n"/>
      <c r="W49" s="109" t="n"/>
      <c r="X49" s="74" t="n"/>
      <c r="Y49" s="116">
        <f>IF(B49="","",IF(X49="Yes","Delivered",IF(U49="Yes",IF(AND(W49&lt;&gt;"",R49&lt;&gt;""),IF(W49&gt;R49,"⚠️ Delivery after install date","Ordered"),"Ordered"),IF(K49="",IF(T49="","Waiting for decision",IF(T49&lt;=AsOf+AlertDays,"Decide now","Waiting for decision")),IF(S49="","Selected",IF(AsOf&gt;S49,"⚠️ Order late — install at risk",IF(S49&lt;=AsOf+AlertDays,"Order now","Selected")))))))</f>
        <v/>
      </c>
      <c r="Z49" s="79">
        <f>IF(B49="","",IF(OR(AH49=1,AE49=1),2,IF(OR(AG49=1,AF49=1),1,IF(OR(Y49="Ordered",Y49="Delivered"),0,""))))</f>
        <v/>
      </c>
      <c r="AA49" s="112">
        <f>IF(B49="","",IF(AH49=1,IF(Y49="⚠️ Delivery after install date",R49,S49),IF(AD49=1,T49,IF(AI49=1,S49,""))))</f>
        <v/>
      </c>
      <c r="AB49" s="79">
        <f>IF(AA49="","",IF(AH49=1,1,IF(AA49="","",IF(AA49&lt;AsOf,1,IF(AA49&lt;=AsOf+AlertDays,2,IF(AA49&lt;=AsOf+2*AlertDays,3,""))))))</f>
        <v/>
      </c>
      <c r="AC49" s="79">
        <f>IF(AB49="","",IF(AH49=1,IF(Y49="⚠️ Delivery after install date","Delivery after install date: "&amp;B49,"Order late — install at risk: "&amp;B49),IF(AD49=1,IF(AB49=1,"Decision overdue: ","Decide: ")&amp;B49,"Order: "&amp;B49&amp;IF(N49="",""," from "&amp;N49))))</f>
        <v/>
      </c>
      <c r="AD49" s="79">
        <f>IF(AND(B49&lt;&gt;"",K49="",U49&lt;&gt;"Yes",X49&lt;&gt;"Yes"),1,0)</f>
        <v/>
      </c>
      <c r="AE49" s="79">
        <f>IF(AND(AD49=1,T49&lt;&gt;""),IF(T49&lt;AsOf,1,0),0)</f>
        <v/>
      </c>
      <c r="AF49" s="79">
        <f>IF(AND(AD49=1,T49&lt;&gt;""),IF(AND(T49&gt;=AsOf,T49&lt;=AsOf+AlertDays),1,0),0)</f>
        <v/>
      </c>
      <c r="AG49" s="79">
        <f>IF(Y49="Order now",1,0)</f>
        <v/>
      </c>
      <c r="AH49" s="79">
        <f>IF(OR(Y49="⚠️ Order late — install at risk",Y49="⚠️ Delivery after install date"),1,0)</f>
        <v/>
      </c>
      <c r="AI49" s="79">
        <f>IF(AND(B49&lt;&gt;"",K49&lt;&gt;"",U49&lt;&gt;"Yes",X49&lt;&gt;"Yes"),1,0)</f>
        <v/>
      </c>
      <c r="AJ49" s="79">
        <f>IF(Y49="⚠️ Order late — install at risk",1,0)</f>
        <v/>
      </c>
    </row>
    <row r="50" ht="20" customHeight="1">
      <c r="B50" s="72" t="n"/>
      <c r="C50" s="72" t="n"/>
      <c r="D50" s="72" t="n"/>
      <c r="E50" s="72" t="n"/>
      <c r="F50" s="73" t="n"/>
      <c r="G50" s="72" t="n"/>
      <c r="H50" s="73" t="n"/>
      <c r="I50" s="72" t="n"/>
      <c r="J50" s="73" t="n"/>
      <c r="K50" s="74" t="n"/>
      <c r="L50" s="75">
        <f>IF(K50="A",F50,IF(K50="B",H50,IF(K50="C",J50,"")))</f>
        <v/>
      </c>
      <c r="M50" s="72" t="n"/>
      <c r="N50" s="72" t="n"/>
      <c r="O50" s="89" t="n"/>
      <c r="P50" s="89" t="n"/>
      <c r="Q50" s="109" t="n"/>
      <c r="R50" s="120">
        <f>IF(B50="","",IF(Q50&lt;&gt;"",Q50,IF(P50="","",IFERROR(INDEX('Timeline'!$J$7:$J$1006,MATCH(P50,'Timeline'!$B$7:$B$1006,0)),""))))</f>
        <v/>
      </c>
      <c r="S50" s="126">
        <f>IF(R50="","",R50-IF(O50="",0,O50)-OrderBuf)</f>
        <v/>
      </c>
      <c r="T50" s="126">
        <f>IF(S50="","",S50-DecideBuf)</f>
        <v/>
      </c>
      <c r="U50" s="74" t="n"/>
      <c r="V50" s="109" t="n"/>
      <c r="W50" s="109" t="n"/>
      <c r="X50" s="74" t="n"/>
      <c r="Y50" s="116">
        <f>IF(B50="","",IF(X50="Yes","Delivered",IF(U50="Yes",IF(AND(W50&lt;&gt;"",R50&lt;&gt;""),IF(W50&gt;R50,"⚠️ Delivery after install date","Ordered"),"Ordered"),IF(K50="",IF(T50="","Waiting for decision",IF(T50&lt;=AsOf+AlertDays,"Decide now","Waiting for decision")),IF(S50="","Selected",IF(AsOf&gt;S50,"⚠️ Order late — install at risk",IF(S50&lt;=AsOf+AlertDays,"Order now","Selected")))))))</f>
        <v/>
      </c>
      <c r="Z50" s="79">
        <f>IF(B50="","",IF(OR(AH50=1,AE50=1),2,IF(OR(AG50=1,AF50=1),1,IF(OR(Y50="Ordered",Y50="Delivered"),0,""))))</f>
        <v/>
      </c>
      <c r="AA50" s="112">
        <f>IF(B50="","",IF(AH50=1,IF(Y50="⚠️ Delivery after install date",R50,S50),IF(AD50=1,T50,IF(AI50=1,S50,""))))</f>
        <v/>
      </c>
      <c r="AB50" s="79">
        <f>IF(AA50="","",IF(AH50=1,1,IF(AA50="","",IF(AA50&lt;AsOf,1,IF(AA50&lt;=AsOf+AlertDays,2,IF(AA50&lt;=AsOf+2*AlertDays,3,""))))))</f>
        <v/>
      </c>
      <c r="AC50" s="79">
        <f>IF(AB50="","",IF(AH50=1,IF(Y50="⚠️ Delivery after install date","Delivery after install date: "&amp;B50,"Order late — install at risk: "&amp;B50),IF(AD50=1,IF(AB50=1,"Decision overdue: ","Decide: ")&amp;B50,"Order: "&amp;B50&amp;IF(N50="",""," from "&amp;N50))))</f>
        <v/>
      </c>
      <c r="AD50" s="79">
        <f>IF(AND(B50&lt;&gt;"",K50="",U50&lt;&gt;"Yes",X50&lt;&gt;"Yes"),1,0)</f>
        <v/>
      </c>
      <c r="AE50" s="79">
        <f>IF(AND(AD50=1,T50&lt;&gt;""),IF(T50&lt;AsOf,1,0),0)</f>
        <v/>
      </c>
      <c r="AF50" s="79">
        <f>IF(AND(AD50=1,T50&lt;&gt;""),IF(AND(T50&gt;=AsOf,T50&lt;=AsOf+AlertDays),1,0),0)</f>
        <v/>
      </c>
      <c r="AG50" s="79">
        <f>IF(Y50="Order now",1,0)</f>
        <v/>
      </c>
      <c r="AH50" s="79">
        <f>IF(OR(Y50="⚠️ Order late — install at risk",Y50="⚠️ Delivery after install date"),1,0)</f>
        <v/>
      </c>
      <c r="AI50" s="79">
        <f>IF(AND(B50&lt;&gt;"",K50&lt;&gt;"",U50&lt;&gt;"Yes",X50&lt;&gt;"Yes"),1,0)</f>
        <v/>
      </c>
      <c r="AJ50" s="79">
        <f>IF(Y50="⚠️ Order late — install at risk",1,0)</f>
        <v/>
      </c>
    </row>
    <row r="51" ht="20" customHeight="1">
      <c r="B51" s="72" t="n"/>
      <c r="C51" s="72" t="n"/>
      <c r="D51" s="72" t="n"/>
      <c r="E51" s="72" t="n"/>
      <c r="F51" s="73" t="n"/>
      <c r="G51" s="72" t="n"/>
      <c r="H51" s="73" t="n"/>
      <c r="I51" s="72" t="n"/>
      <c r="J51" s="73" t="n"/>
      <c r="K51" s="74" t="n"/>
      <c r="L51" s="75">
        <f>IF(K51="A",F51,IF(K51="B",H51,IF(K51="C",J51,"")))</f>
        <v/>
      </c>
      <c r="M51" s="72" t="n"/>
      <c r="N51" s="72" t="n"/>
      <c r="O51" s="89" t="n"/>
      <c r="P51" s="89" t="n"/>
      <c r="Q51" s="109" t="n"/>
      <c r="R51" s="120">
        <f>IF(B51="","",IF(Q51&lt;&gt;"",Q51,IF(P51="","",IFERROR(INDEX('Timeline'!$J$7:$J$1006,MATCH(P51,'Timeline'!$B$7:$B$1006,0)),""))))</f>
        <v/>
      </c>
      <c r="S51" s="126">
        <f>IF(R51="","",R51-IF(O51="",0,O51)-OrderBuf)</f>
        <v/>
      </c>
      <c r="T51" s="126">
        <f>IF(S51="","",S51-DecideBuf)</f>
        <v/>
      </c>
      <c r="U51" s="74" t="n"/>
      <c r="V51" s="109" t="n"/>
      <c r="W51" s="109" t="n"/>
      <c r="X51" s="74" t="n"/>
      <c r="Y51" s="116">
        <f>IF(B51="","",IF(X51="Yes","Delivered",IF(U51="Yes",IF(AND(W51&lt;&gt;"",R51&lt;&gt;""),IF(W51&gt;R51,"⚠️ Delivery after install date","Ordered"),"Ordered"),IF(K51="",IF(T51="","Waiting for decision",IF(T51&lt;=AsOf+AlertDays,"Decide now","Waiting for decision")),IF(S51="","Selected",IF(AsOf&gt;S51,"⚠️ Order late — install at risk",IF(S51&lt;=AsOf+AlertDays,"Order now","Selected")))))))</f>
        <v/>
      </c>
      <c r="Z51" s="79">
        <f>IF(B51="","",IF(OR(AH51=1,AE51=1),2,IF(OR(AG51=1,AF51=1),1,IF(OR(Y51="Ordered",Y51="Delivered"),0,""))))</f>
        <v/>
      </c>
      <c r="AA51" s="112">
        <f>IF(B51="","",IF(AH51=1,IF(Y51="⚠️ Delivery after install date",R51,S51),IF(AD51=1,T51,IF(AI51=1,S51,""))))</f>
        <v/>
      </c>
      <c r="AB51" s="79">
        <f>IF(AA51="","",IF(AH51=1,1,IF(AA51="","",IF(AA51&lt;AsOf,1,IF(AA51&lt;=AsOf+AlertDays,2,IF(AA51&lt;=AsOf+2*AlertDays,3,""))))))</f>
        <v/>
      </c>
      <c r="AC51" s="79">
        <f>IF(AB51="","",IF(AH51=1,IF(Y51="⚠️ Delivery after install date","Delivery after install date: "&amp;B51,"Order late — install at risk: "&amp;B51),IF(AD51=1,IF(AB51=1,"Decision overdue: ","Decide: ")&amp;B51,"Order: "&amp;B51&amp;IF(N51="",""," from "&amp;N51))))</f>
        <v/>
      </c>
      <c r="AD51" s="79">
        <f>IF(AND(B51&lt;&gt;"",K51="",U51&lt;&gt;"Yes",X51&lt;&gt;"Yes"),1,0)</f>
        <v/>
      </c>
      <c r="AE51" s="79">
        <f>IF(AND(AD51=1,T51&lt;&gt;""),IF(T51&lt;AsOf,1,0),0)</f>
        <v/>
      </c>
      <c r="AF51" s="79">
        <f>IF(AND(AD51=1,T51&lt;&gt;""),IF(AND(T51&gt;=AsOf,T51&lt;=AsOf+AlertDays),1,0),0)</f>
        <v/>
      </c>
      <c r="AG51" s="79">
        <f>IF(Y51="Order now",1,0)</f>
        <v/>
      </c>
      <c r="AH51" s="79">
        <f>IF(OR(Y51="⚠️ Order late — install at risk",Y51="⚠️ Delivery after install date"),1,0)</f>
        <v/>
      </c>
      <c r="AI51" s="79">
        <f>IF(AND(B51&lt;&gt;"",K51&lt;&gt;"",U51&lt;&gt;"Yes",X51&lt;&gt;"Yes"),1,0)</f>
        <v/>
      </c>
      <c r="AJ51" s="79">
        <f>IF(Y51="⚠️ Order late — install at risk",1,0)</f>
        <v/>
      </c>
    </row>
    <row r="52" ht="20" customHeight="1">
      <c r="B52" s="72" t="n"/>
      <c r="C52" s="72" t="n"/>
      <c r="D52" s="72" t="n"/>
      <c r="E52" s="72" t="n"/>
      <c r="F52" s="73" t="n"/>
      <c r="G52" s="72" t="n"/>
      <c r="H52" s="73" t="n"/>
      <c r="I52" s="72" t="n"/>
      <c r="J52" s="73" t="n"/>
      <c r="K52" s="74" t="n"/>
      <c r="L52" s="75">
        <f>IF(K52="A",F52,IF(K52="B",H52,IF(K52="C",J52,"")))</f>
        <v/>
      </c>
      <c r="M52" s="72" t="n"/>
      <c r="N52" s="72" t="n"/>
      <c r="O52" s="89" t="n"/>
      <c r="P52" s="89" t="n"/>
      <c r="Q52" s="109" t="n"/>
      <c r="R52" s="120">
        <f>IF(B52="","",IF(Q52&lt;&gt;"",Q52,IF(P52="","",IFERROR(INDEX('Timeline'!$J$7:$J$1006,MATCH(P52,'Timeline'!$B$7:$B$1006,0)),""))))</f>
        <v/>
      </c>
      <c r="S52" s="126">
        <f>IF(R52="","",R52-IF(O52="",0,O52)-OrderBuf)</f>
        <v/>
      </c>
      <c r="T52" s="126">
        <f>IF(S52="","",S52-DecideBuf)</f>
        <v/>
      </c>
      <c r="U52" s="74" t="n"/>
      <c r="V52" s="109" t="n"/>
      <c r="W52" s="109" t="n"/>
      <c r="X52" s="74" t="n"/>
      <c r="Y52" s="116">
        <f>IF(B52="","",IF(X52="Yes","Delivered",IF(U52="Yes",IF(AND(W52&lt;&gt;"",R52&lt;&gt;""),IF(W52&gt;R52,"⚠️ Delivery after install date","Ordered"),"Ordered"),IF(K52="",IF(T52="","Waiting for decision",IF(T52&lt;=AsOf+AlertDays,"Decide now","Waiting for decision")),IF(S52="","Selected",IF(AsOf&gt;S52,"⚠️ Order late — install at risk",IF(S52&lt;=AsOf+AlertDays,"Order now","Selected")))))))</f>
        <v/>
      </c>
      <c r="Z52" s="79">
        <f>IF(B52="","",IF(OR(AH52=1,AE52=1),2,IF(OR(AG52=1,AF52=1),1,IF(OR(Y52="Ordered",Y52="Delivered"),0,""))))</f>
        <v/>
      </c>
      <c r="AA52" s="112">
        <f>IF(B52="","",IF(AH52=1,IF(Y52="⚠️ Delivery after install date",R52,S52),IF(AD52=1,T52,IF(AI52=1,S52,""))))</f>
        <v/>
      </c>
      <c r="AB52" s="79">
        <f>IF(AA52="","",IF(AH52=1,1,IF(AA52="","",IF(AA52&lt;AsOf,1,IF(AA52&lt;=AsOf+AlertDays,2,IF(AA52&lt;=AsOf+2*AlertDays,3,""))))))</f>
        <v/>
      </c>
      <c r="AC52" s="79">
        <f>IF(AB52="","",IF(AH52=1,IF(Y52="⚠️ Delivery after install date","Delivery after install date: "&amp;B52,"Order late — install at risk: "&amp;B52),IF(AD52=1,IF(AB52=1,"Decision overdue: ","Decide: ")&amp;B52,"Order: "&amp;B52&amp;IF(N52="",""," from "&amp;N52))))</f>
        <v/>
      </c>
      <c r="AD52" s="79">
        <f>IF(AND(B52&lt;&gt;"",K52="",U52&lt;&gt;"Yes",X52&lt;&gt;"Yes"),1,0)</f>
        <v/>
      </c>
      <c r="AE52" s="79">
        <f>IF(AND(AD52=1,T52&lt;&gt;""),IF(T52&lt;AsOf,1,0),0)</f>
        <v/>
      </c>
      <c r="AF52" s="79">
        <f>IF(AND(AD52=1,T52&lt;&gt;""),IF(AND(T52&gt;=AsOf,T52&lt;=AsOf+AlertDays),1,0),0)</f>
        <v/>
      </c>
      <c r="AG52" s="79">
        <f>IF(Y52="Order now",1,0)</f>
        <v/>
      </c>
      <c r="AH52" s="79">
        <f>IF(OR(Y52="⚠️ Order late — install at risk",Y52="⚠️ Delivery after install date"),1,0)</f>
        <v/>
      </c>
      <c r="AI52" s="79">
        <f>IF(AND(B52&lt;&gt;"",K52&lt;&gt;"",U52&lt;&gt;"Yes",X52&lt;&gt;"Yes"),1,0)</f>
        <v/>
      </c>
      <c r="AJ52" s="79">
        <f>IF(Y52="⚠️ Order late — install at risk",1,0)</f>
        <v/>
      </c>
    </row>
    <row r="53" ht="20" customHeight="1">
      <c r="B53" s="72" t="n"/>
      <c r="C53" s="72" t="n"/>
      <c r="D53" s="72" t="n"/>
      <c r="E53" s="72" t="n"/>
      <c r="F53" s="73" t="n"/>
      <c r="G53" s="72" t="n"/>
      <c r="H53" s="73" t="n"/>
      <c r="I53" s="72" t="n"/>
      <c r="J53" s="73" t="n"/>
      <c r="K53" s="74" t="n"/>
      <c r="L53" s="75">
        <f>IF(K53="A",F53,IF(K53="B",H53,IF(K53="C",J53,"")))</f>
        <v/>
      </c>
      <c r="M53" s="72" t="n"/>
      <c r="N53" s="72" t="n"/>
      <c r="O53" s="89" t="n"/>
      <c r="P53" s="89" t="n"/>
      <c r="Q53" s="109" t="n"/>
      <c r="R53" s="120">
        <f>IF(B53="","",IF(Q53&lt;&gt;"",Q53,IF(P53="","",IFERROR(INDEX('Timeline'!$J$7:$J$1006,MATCH(P53,'Timeline'!$B$7:$B$1006,0)),""))))</f>
        <v/>
      </c>
      <c r="S53" s="126">
        <f>IF(R53="","",R53-IF(O53="",0,O53)-OrderBuf)</f>
        <v/>
      </c>
      <c r="T53" s="126">
        <f>IF(S53="","",S53-DecideBuf)</f>
        <v/>
      </c>
      <c r="U53" s="74" t="n"/>
      <c r="V53" s="109" t="n"/>
      <c r="W53" s="109" t="n"/>
      <c r="X53" s="74" t="n"/>
      <c r="Y53" s="116">
        <f>IF(B53="","",IF(X53="Yes","Delivered",IF(U53="Yes",IF(AND(W53&lt;&gt;"",R53&lt;&gt;""),IF(W53&gt;R53,"⚠️ Delivery after install date","Ordered"),"Ordered"),IF(K53="",IF(T53="","Waiting for decision",IF(T53&lt;=AsOf+AlertDays,"Decide now","Waiting for decision")),IF(S53="","Selected",IF(AsOf&gt;S53,"⚠️ Order late — install at risk",IF(S53&lt;=AsOf+AlertDays,"Order now","Selected")))))))</f>
        <v/>
      </c>
      <c r="Z53" s="79">
        <f>IF(B53="","",IF(OR(AH53=1,AE53=1),2,IF(OR(AG53=1,AF53=1),1,IF(OR(Y53="Ordered",Y53="Delivered"),0,""))))</f>
        <v/>
      </c>
      <c r="AA53" s="112">
        <f>IF(B53="","",IF(AH53=1,IF(Y53="⚠️ Delivery after install date",R53,S53),IF(AD53=1,T53,IF(AI53=1,S53,""))))</f>
        <v/>
      </c>
      <c r="AB53" s="79">
        <f>IF(AA53="","",IF(AH53=1,1,IF(AA53="","",IF(AA53&lt;AsOf,1,IF(AA53&lt;=AsOf+AlertDays,2,IF(AA53&lt;=AsOf+2*AlertDays,3,""))))))</f>
        <v/>
      </c>
      <c r="AC53" s="79">
        <f>IF(AB53="","",IF(AH53=1,IF(Y53="⚠️ Delivery after install date","Delivery after install date: "&amp;B53,"Order late — install at risk: "&amp;B53),IF(AD53=1,IF(AB53=1,"Decision overdue: ","Decide: ")&amp;B53,"Order: "&amp;B53&amp;IF(N53="",""," from "&amp;N53))))</f>
        <v/>
      </c>
      <c r="AD53" s="79">
        <f>IF(AND(B53&lt;&gt;"",K53="",U53&lt;&gt;"Yes",X53&lt;&gt;"Yes"),1,0)</f>
        <v/>
      </c>
      <c r="AE53" s="79">
        <f>IF(AND(AD53=1,T53&lt;&gt;""),IF(T53&lt;AsOf,1,0),0)</f>
        <v/>
      </c>
      <c r="AF53" s="79">
        <f>IF(AND(AD53=1,T53&lt;&gt;""),IF(AND(T53&gt;=AsOf,T53&lt;=AsOf+AlertDays),1,0),0)</f>
        <v/>
      </c>
      <c r="AG53" s="79">
        <f>IF(Y53="Order now",1,0)</f>
        <v/>
      </c>
      <c r="AH53" s="79">
        <f>IF(OR(Y53="⚠️ Order late — install at risk",Y53="⚠️ Delivery after install date"),1,0)</f>
        <v/>
      </c>
      <c r="AI53" s="79">
        <f>IF(AND(B53&lt;&gt;"",K53&lt;&gt;"",U53&lt;&gt;"Yes",X53&lt;&gt;"Yes"),1,0)</f>
        <v/>
      </c>
      <c r="AJ53" s="79">
        <f>IF(Y53="⚠️ Order late — install at risk",1,0)</f>
        <v/>
      </c>
    </row>
    <row r="54" ht="20" customHeight="1">
      <c r="B54" s="72" t="n"/>
      <c r="C54" s="72" t="n"/>
      <c r="D54" s="72" t="n"/>
      <c r="E54" s="72" t="n"/>
      <c r="F54" s="73" t="n"/>
      <c r="G54" s="72" t="n"/>
      <c r="H54" s="73" t="n"/>
      <c r="I54" s="72" t="n"/>
      <c r="J54" s="73" t="n"/>
      <c r="K54" s="74" t="n"/>
      <c r="L54" s="75">
        <f>IF(K54="A",F54,IF(K54="B",H54,IF(K54="C",J54,"")))</f>
        <v/>
      </c>
      <c r="M54" s="72" t="n"/>
      <c r="N54" s="72" t="n"/>
      <c r="O54" s="89" t="n"/>
      <c r="P54" s="89" t="n"/>
      <c r="Q54" s="109" t="n"/>
      <c r="R54" s="120">
        <f>IF(B54="","",IF(Q54&lt;&gt;"",Q54,IF(P54="","",IFERROR(INDEX('Timeline'!$J$7:$J$1006,MATCH(P54,'Timeline'!$B$7:$B$1006,0)),""))))</f>
        <v/>
      </c>
      <c r="S54" s="126">
        <f>IF(R54="","",R54-IF(O54="",0,O54)-OrderBuf)</f>
        <v/>
      </c>
      <c r="T54" s="126">
        <f>IF(S54="","",S54-DecideBuf)</f>
        <v/>
      </c>
      <c r="U54" s="74" t="n"/>
      <c r="V54" s="109" t="n"/>
      <c r="W54" s="109" t="n"/>
      <c r="X54" s="74" t="n"/>
      <c r="Y54" s="116">
        <f>IF(B54="","",IF(X54="Yes","Delivered",IF(U54="Yes",IF(AND(W54&lt;&gt;"",R54&lt;&gt;""),IF(W54&gt;R54,"⚠️ Delivery after install date","Ordered"),"Ordered"),IF(K54="",IF(T54="","Waiting for decision",IF(T54&lt;=AsOf+AlertDays,"Decide now","Waiting for decision")),IF(S54="","Selected",IF(AsOf&gt;S54,"⚠️ Order late — install at risk",IF(S54&lt;=AsOf+AlertDays,"Order now","Selected")))))))</f>
        <v/>
      </c>
      <c r="Z54" s="79">
        <f>IF(B54="","",IF(OR(AH54=1,AE54=1),2,IF(OR(AG54=1,AF54=1),1,IF(OR(Y54="Ordered",Y54="Delivered"),0,""))))</f>
        <v/>
      </c>
      <c r="AA54" s="112">
        <f>IF(B54="","",IF(AH54=1,IF(Y54="⚠️ Delivery after install date",R54,S54),IF(AD54=1,T54,IF(AI54=1,S54,""))))</f>
        <v/>
      </c>
      <c r="AB54" s="79">
        <f>IF(AA54="","",IF(AH54=1,1,IF(AA54="","",IF(AA54&lt;AsOf,1,IF(AA54&lt;=AsOf+AlertDays,2,IF(AA54&lt;=AsOf+2*AlertDays,3,""))))))</f>
        <v/>
      </c>
      <c r="AC54" s="79">
        <f>IF(AB54="","",IF(AH54=1,IF(Y54="⚠️ Delivery after install date","Delivery after install date: "&amp;B54,"Order late — install at risk: "&amp;B54),IF(AD54=1,IF(AB54=1,"Decision overdue: ","Decide: ")&amp;B54,"Order: "&amp;B54&amp;IF(N54="",""," from "&amp;N54))))</f>
        <v/>
      </c>
      <c r="AD54" s="79">
        <f>IF(AND(B54&lt;&gt;"",K54="",U54&lt;&gt;"Yes",X54&lt;&gt;"Yes"),1,0)</f>
        <v/>
      </c>
      <c r="AE54" s="79">
        <f>IF(AND(AD54=1,T54&lt;&gt;""),IF(T54&lt;AsOf,1,0),0)</f>
        <v/>
      </c>
      <c r="AF54" s="79">
        <f>IF(AND(AD54=1,T54&lt;&gt;""),IF(AND(T54&gt;=AsOf,T54&lt;=AsOf+AlertDays),1,0),0)</f>
        <v/>
      </c>
      <c r="AG54" s="79">
        <f>IF(Y54="Order now",1,0)</f>
        <v/>
      </c>
      <c r="AH54" s="79">
        <f>IF(OR(Y54="⚠️ Order late — install at risk",Y54="⚠️ Delivery after install date"),1,0)</f>
        <v/>
      </c>
      <c r="AI54" s="79">
        <f>IF(AND(B54&lt;&gt;"",K54&lt;&gt;"",U54&lt;&gt;"Yes",X54&lt;&gt;"Yes"),1,0)</f>
        <v/>
      </c>
      <c r="AJ54" s="79">
        <f>IF(Y54="⚠️ Order late — install at risk",1,0)</f>
        <v/>
      </c>
    </row>
    <row r="55" ht="20" customHeight="1">
      <c r="B55" s="72" t="n"/>
      <c r="C55" s="72" t="n"/>
      <c r="D55" s="72" t="n"/>
      <c r="E55" s="72" t="n"/>
      <c r="F55" s="73" t="n"/>
      <c r="G55" s="72" t="n"/>
      <c r="H55" s="73" t="n"/>
      <c r="I55" s="72" t="n"/>
      <c r="J55" s="73" t="n"/>
      <c r="K55" s="74" t="n"/>
      <c r="L55" s="75">
        <f>IF(K55="A",F55,IF(K55="B",H55,IF(K55="C",J55,"")))</f>
        <v/>
      </c>
      <c r="M55" s="72" t="n"/>
      <c r="N55" s="72" t="n"/>
      <c r="O55" s="89" t="n"/>
      <c r="P55" s="89" t="n"/>
      <c r="Q55" s="109" t="n"/>
      <c r="R55" s="120">
        <f>IF(B55="","",IF(Q55&lt;&gt;"",Q55,IF(P55="","",IFERROR(INDEX('Timeline'!$J$7:$J$1006,MATCH(P55,'Timeline'!$B$7:$B$1006,0)),""))))</f>
        <v/>
      </c>
      <c r="S55" s="126">
        <f>IF(R55="","",R55-IF(O55="",0,O55)-OrderBuf)</f>
        <v/>
      </c>
      <c r="T55" s="126">
        <f>IF(S55="","",S55-DecideBuf)</f>
        <v/>
      </c>
      <c r="U55" s="74" t="n"/>
      <c r="V55" s="109" t="n"/>
      <c r="W55" s="109" t="n"/>
      <c r="X55" s="74" t="n"/>
      <c r="Y55" s="116">
        <f>IF(B55="","",IF(X55="Yes","Delivered",IF(U55="Yes",IF(AND(W55&lt;&gt;"",R55&lt;&gt;""),IF(W55&gt;R55,"⚠️ Delivery after install date","Ordered"),"Ordered"),IF(K55="",IF(T55="","Waiting for decision",IF(T55&lt;=AsOf+AlertDays,"Decide now","Waiting for decision")),IF(S55="","Selected",IF(AsOf&gt;S55,"⚠️ Order late — install at risk",IF(S55&lt;=AsOf+AlertDays,"Order now","Selected")))))))</f>
        <v/>
      </c>
      <c r="Z55" s="79">
        <f>IF(B55="","",IF(OR(AH55=1,AE55=1),2,IF(OR(AG55=1,AF55=1),1,IF(OR(Y55="Ordered",Y55="Delivered"),0,""))))</f>
        <v/>
      </c>
      <c r="AA55" s="112">
        <f>IF(B55="","",IF(AH55=1,IF(Y55="⚠️ Delivery after install date",R55,S55),IF(AD55=1,T55,IF(AI55=1,S55,""))))</f>
        <v/>
      </c>
      <c r="AB55" s="79">
        <f>IF(AA55="","",IF(AH55=1,1,IF(AA55="","",IF(AA55&lt;AsOf,1,IF(AA55&lt;=AsOf+AlertDays,2,IF(AA55&lt;=AsOf+2*AlertDays,3,""))))))</f>
        <v/>
      </c>
      <c r="AC55" s="79">
        <f>IF(AB55="","",IF(AH55=1,IF(Y55="⚠️ Delivery after install date","Delivery after install date: "&amp;B55,"Order late — install at risk: "&amp;B55),IF(AD55=1,IF(AB55=1,"Decision overdue: ","Decide: ")&amp;B55,"Order: "&amp;B55&amp;IF(N55="",""," from "&amp;N55))))</f>
        <v/>
      </c>
      <c r="AD55" s="79">
        <f>IF(AND(B55&lt;&gt;"",K55="",U55&lt;&gt;"Yes",X55&lt;&gt;"Yes"),1,0)</f>
        <v/>
      </c>
      <c r="AE55" s="79">
        <f>IF(AND(AD55=1,T55&lt;&gt;""),IF(T55&lt;AsOf,1,0),0)</f>
        <v/>
      </c>
      <c r="AF55" s="79">
        <f>IF(AND(AD55=1,T55&lt;&gt;""),IF(AND(T55&gt;=AsOf,T55&lt;=AsOf+AlertDays),1,0),0)</f>
        <v/>
      </c>
      <c r="AG55" s="79">
        <f>IF(Y55="Order now",1,0)</f>
        <v/>
      </c>
      <c r="AH55" s="79">
        <f>IF(OR(Y55="⚠️ Order late — install at risk",Y55="⚠️ Delivery after install date"),1,0)</f>
        <v/>
      </c>
      <c r="AI55" s="79">
        <f>IF(AND(B55&lt;&gt;"",K55&lt;&gt;"",U55&lt;&gt;"Yes",X55&lt;&gt;"Yes"),1,0)</f>
        <v/>
      </c>
      <c r="AJ55" s="79">
        <f>IF(Y55="⚠️ Order late — install at risk",1,0)</f>
        <v/>
      </c>
    </row>
    <row r="56" ht="20" customHeight="1">
      <c r="B56" s="72" t="n"/>
      <c r="C56" s="72" t="n"/>
      <c r="D56" s="72" t="n"/>
      <c r="E56" s="72" t="n"/>
      <c r="F56" s="73" t="n"/>
      <c r="G56" s="72" t="n"/>
      <c r="H56" s="73" t="n"/>
      <c r="I56" s="72" t="n"/>
      <c r="J56" s="73" t="n"/>
      <c r="K56" s="74" t="n"/>
      <c r="L56" s="75">
        <f>IF(K56="A",F56,IF(K56="B",H56,IF(K56="C",J56,"")))</f>
        <v/>
      </c>
      <c r="M56" s="72" t="n"/>
      <c r="N56" s="72" t="n"/>
      <c r="O56" s="89" t="n"/>
      <c r="P56" s="89" t="n"/>
      <c r="Q56" s="109" t="n"/>
      <c r="R56" s="120">
        <f>IF(B56="","",IF(Q56&lt;&gt;"",Q56,IF(P56="","",IFERROR(INDEX('Timeline'!$J$7:$J$1006,MATCH(P56,'Timeline'!$B$7:$B$1006,0)),""))))</f>
        <v/>
      </c>
      <c r="S56" s="126">
        <f>IF(R56="","",R56-IF(O56="",0,O56)-OrderBuf)</f>
        <v/>
      </c>
      <c r="T56" s="126">
        <f>IF(S56="","",S56-DecideBuf)</f>
        <v/>
      </c>
      <c r="U56" s="74" t="n"/>
      <c r="V56" s="109" t="n"/>
      <c r="W56" s="109" t="n"/>
      <c r="X56" s="74" t="n"/>
      <c r="Y56" s="116">
        <f>IF(B56="","",IF(X56="Yes","Delivered",IF(U56="Yes",IF(AND(W56&lt;&gt;"",R56&lt;&gt;""),IF(W56&gt;R56,"⚠️ Delivery after install date","Ordered"),"Ordered"),IF(K56="",IF(T56="","Waiting for decision",IF(T56&lt;=AsOf+AlertDays,"Decide now","Waiting for decision")),IF(S56="","Selected",IF(AsOf&gt;S56,"⚠️ Order late — install at risk",IF(S56&lt;=AsOf+AlertDays,"Order now","Selected")))))))</f>
        <v/>
      </c>
      <c r="Z56" s="79">
        <f>IF(B56="","",IF(OR(AH56=1,AE56=1),2,IF(OR(AG56=1,AF56=1),1,IF(OR(Y56="Ordered",Y56="Delivered"),0,""))))</f>
        <v/>
      </c>
      <c r="AA56" s="112">
        <f>IF(B56="","",IF(AH56=1,IF(Y56="⚠️ Delivery after install date",R56,S56),IF(AD56=1,T56,IF(AI56=1,S56,""))))</f>
        <v/>
      </c>
      <c r="AB56" s="79">
        <f>IF(AA56="","",IF(AH56=1,1,IF(AA56="","",IF(AA56&lt;AsOf,1,IF(AA56&lt;=AsOf+AlertDays,2,IF(AA56&lt;=AsOf+2*AlertDays,3,""))))))</f>
        <v/>
      </c>
      <c r="AC56" s="79">
        <f>IF(AB56="","",IF(AH56=1,IF(Y56="⚠️ Delivery after install date","Delivery after install date: "&amp;B56,"Order late — install at risk: "&amp;B56),IF(AD56=1,IF(AB56=1,"Decision overdue: ","Decide: ")&amp;B56,"Order: "&amp;B56&amp;IF(N56="",""," from "&amp;N56))))</f>
        <v/>
      </c>
      <c r="AD56" s="79">
        <f>IF(AND(B56&lt;&gt;"",K56="",U56&lt;&gt;"Yes",X56&lt;&gt;"Yes"),1,0)</f>
        <v/>
      </c>
      <c r="AE56" s="79">
        <f>IF(AND(AD56=1,T56&lt;&gt;""),IF(T56&lt;AsOf,1,0),0)</f>
        <v/>
      </c>
      <c r="AF56" s="79">
        <f>IF(AND(AD56=1,T56&lt;&gt;""),IF(AND(T56&gt;=AsOf,T56&lt;=AsOf+AlertDays),1,0),0)</f>
        <v/>
      </c>
      <c r="AG56" s="79">
        <f>IF(Y56="Order now",1,0)</f>
        <v/>
      </c>
      <c r="AH56" s="79">
        <f>IF(OR(Y56="⚠️ Order late — install at risk",Y56="⚠️ Delivery after install date"),1,0)</f>
        <v/>
      </c>
      <c r="AI56" s="79">
        <f>IF(AND(B56&lt;&gt;"",K56&lt;&gt;"",U56&lt;&gt;"Yes",X56&lt;&gt;"Yes"),1,0)</f>
        <v/>
      </c>
      <c r="AJ56" s="79">
        <f>IF(Y56="⚠️ Order late — install at risk",1,0)</f>
        <v/>
      </c>
    </row>
    <row r="57" ht="20" customHeight="1">
      <c r="B57" s="72" t="n"/>
      <c r="C57" s="72" t="n"/>
      <c r="D57" s="72" t="n"/>
      <c r="E57" s="72" t="n"/>
      <c r="F57" s="73" t="n"/>
      <c r="G57" s="72" t="n"/>
      <c r="H57" s="73" t="n"/>
      <c r="I57" s="72" t="n"/>
      <c r="J57" s="73" t="n"/>
      <c r="K57" s="74" t="n"/>
      <c r="L57" s="75">
        <f>IF(K57="A",F57,IF(K57="B",H57,IF(K57="C",J57,"")))</f>
        <v/>
      </c>
      <c r="M57" s="72" t="n"/>
      <c r="N57" s="72" t="n"/>
      <c r="O57" s="89" t="n"/>
      <c r="P57" s="89" t="n"/>
      <c r="Q57" s="109" t="n"/>
      <c r="R57" s="120">
        <f>IF(B57="","",IF(Q57&lt;&gt;"",Q57,IF(P57="","",IFERROR(INDEX('Timeline'!$J$7:$J$1006,MATCH(P57,'Timeline'!$B$7:$B$1006,0)),""))))</f>
        <v/>
      </c>
      <c r="S57" s="126">
        <f>IF(R57="","",R57-IF(O57="",0,O57)-OrderBuf)</f>
        <v/>
      </c>
      <c r="T57" s="126">
        <f>IF(S57="","",S57-DecideBuf)</f>
        <v/>
      </c>
      <c r="U57" s="74" t="n"/>
      <c r="V57" s="109" t="n"/>
      <c r="W57" s="109" t="n"/>
      <c r="X57" s="74" t="n"/>
      <c r="Y57" s="116">
        <f>IF(B57="","",IF(X57="Yes","Delivered",IF(U57="Yes",IF(AND(W57&lt;&gt;"",R57&lt;&gt;""),IF(W57&gt;R57,"⚠️ Delivery after install date","Ordered"),"Ordered"),IF(K57="",IF(T57="","Waiting for decision",IF(T57&lt;=AsOf+AlertDays,"Decide now","Waiting for decision")),IF(S57="","Selected",IF(AsOf&gt;S57,"⚠️ Order late — install at risk",IF(S57&lt;=AsOf+AlertDays,"Order now","Selected")))))))</f>
        <v/>
      </c>
      <c r="Z57" s="79">
        <f>IF(B57="","",IF(OR(AH57=1,AE57=1),2,IF(OR(AG57=1,AF57=1),1,IF(OR(Y57="Ordered",Y57="Delivered"),0,""))))</f>
        <v/>
      </c>
      <c r="AA57" s="112">
        <f>IF(B57="","",IF(AH57=1,IF(Y57="⚠️ Delivery after install date",R57,S57),IF(AD57=1,T57,IF(AI57=1,S57,""))))</f>
        <v/>
      </c>
      <c r="AB57" s="79">
        <f>IF(AA57="","",IF(AH57=1,1,IF(AA57="","",IF(AA57&lt;AsOf,1,IF(AA57&lt;=AsOf+AlertDays,2,IF(AA57&lt;=AsOf+2*AlertDays,3,""))))))</f>
        <v/>
      </c>
      <c r="AC57" s="79">
        <f>IF(AB57="","",IF(AH57=1,IF(Y57="⚠️ Delivery after install date","Delivery after install date: "&amp;B57,"Order late — install at risk: "&amp;B57),IF(AD57=1,IF(AB57=1,"Decision overdue: ","Decide: ")&amp;B57,"Order: "&amp;B57&amp;IF(N57="",""," from "&amp;N57))))</f>
        <v/>
      </c>
      <c r="AD57" s="79">
        <f>IF(AND(B57&lt;&gt;"",K57="",U57&lt;&gt;"Yes",X57&lt;&gt;"Yes"),1,0)</f>
        <v/>
      </c>
      <c r="AE57" s="79">
        <f>IF(AND(AD57=1,T57&lt;&gt;""),IF(T57&lt;AsOf,1,0),0)</f>
        <v/>
      </c>
      <c r="AF57" s="79">
        <f>IF(AND(AD57=1,T57&lt;&gt;""),IF(AND(T57&gt;=AsOf,T57&lt;=AsOf+AlertDays),1,0),0)</f>
        <v/>
      </c>
      <c r="AG57" s="79">
        <f>IF(Y57="Order now",1,0)</f>
        <v/>
      </c>
      <c r="AH57" s="79">
        <f>IF(OR(Y57="⚠️ Order late — install at risk",Y57="⚠️ Delivery after install date"),1,0)</f>
        <v/>
      </c>
      <c r="AI57" s="79">
        <f>IF(AND(B57&lt;&gt;"",K57&lt;&gt;"",U57&lt;&gt;"Yes",X57&lt;&gt;"Yes"),1,0)</f>
        <v/>
      </c>
      <c r="AJ57" s="79">
        <f>IF(Y57="⚠️ Order late — install at risk",1,0)</f>
        <v/>
      </c>
    </row>
    <row r="58" ht="20" customHeight="1">
      <c r="B58" s="72" t="n"/>
      <c r="C58" s="72" t="n"/>
      <c r="D58" s="72" t="n"/>
      <c r="E58" s="72" t="n"/>
      <c r="F58" s="73" t="n"/>
      <c r="G58" s="72" t="n"/>
      <c r="H58" s="73" t="n"/>
      <c r="I58" s="72" t="n"/>
      <c r="J58" s="73" t="n"/>
      <c r="K58" s="74" t="n"/>
      <c r="L58" s="75">
        <f>IF(K58="A",F58,IF(K58="B",H58,IF(K58="C",J58,"")))</f>
        <v/>
      </c>
      <c r="M58" s="72" t="n"/>
      <c r="N58" s="72" t="n"/>
      <c r="O58" s="89" t="n"/>
      <c r="P58" s="89" t="n"/>
      <c r="Q58" s="109" t="n"/>
      <c r="R58" s="120">
        <f>IF(B58="","",IF(Q58&lt;&gt;"",Q58,IF(P58="","",IFERROR(INDEX('Timeline'!$J$7:$J$1006,MATCH(P58,'Timeline'!$B$7:$B$1006,0)),""))))</f>
        <v/>
      </c>
      <c r="S58" s="126">
        <f>IF(R58="","",R58-IF(O58="",0,O58)-OrderBuf)</f>
        <v/>
      </c>
      <c r="T58" s="126">
        <f>IF(S58="","",S58-DecideBuf)</f>
        <v/>
      </c>
      <c r="U58" s="74" t="n"/>
      <c r="V58" s="109" t="n"/>
      <c r="W58" s="109" t="n"/>
      <c r="X58" s="74" t="n"/>
      <c r="Y58" s="116">
        <f>IF(B58="","",IF(X58="Yes","Delivered",IF(U58="Yes",IF(AND(W58&lt;&gt;"",R58&lt;&gt;""),IF(W58&gt;R58,"⚠️ Delivery after install date","Ordered"),"Ordered"),IF(K58="",IF(T58="","Waiting for decision",IF(T58&lt;=AsOf+AlertDays,"Decide now","Waiting for decision")),IF(S58="","Selected",IF(AsOf&gt;S58,"⚠️ Order late — install at risk",IF(S58&lt;=AsOf+AlertDays,"Order now","Selected")))))))</f>
        <v/>
      </c>
      <c r="Z58" s="79">
        <f>IF(B58="","",IF(OR(AH58=1,AE58=1),2,IF(OR(AG58=1,AF58=1),1,IF(OR(Y58="Ordered",Y58="Delivered"),0,""))))</f>
        <v/>
      </c>
      <c r="AA58" s="112">
        <f>IF(B58="","",IF(AH58=1,IF(Y58="⚠️ Delivery after install date",R58,S58),IF(AD58=1,T58,IF(AI58=1,S58,""))))</f>
        <v/>
      </c>
      <c r="AB58" s="79">
        <f>IF(AA58="","",IF(AH58=1,1,IF(AA58="","",IF(AA58&lt;AsOf,1,IF(AA58&lt;=AsOf+AlertDays,2,IF(AA58&lt;=AsOf+2*AlertDays,3,""))))))</f>
        <v/>
      </c>
      <c r="AC58" s="79">
        <f>IF(AB58="","",IF(AH58=1,IF(Y58="⚠️ Delivery after install date","Delivery after install date: "&amp;B58,"Order late — install at risk: "&amp;B58),IF(AD58=1,IF(AB58=1,"Decision overdue: ","Decide: ")&amp;B58,"Order: "&amp;B58&amp;IF(N58="",""," from "&amp;N58))))</f>
        <v/>
      </c>
      <c r="AD58" s="79">
        <f>IF(AND(B58&lt;&gt;"",K58="",U58&lt;&gt;"Yes",X58&lt;&gt;"Yes"),1,0)</f>
        <v/>
      </c>
      <c r="AE58" s="79">
        <f>IF(AND(AD58=1,T58&lt;&gt;""),IF(T58&lt;AsOf,1,0),0)</f>
        <v/>
      </c>
      <c r="AF58" s="79">
        <f>IF(AND(AD58=1,T58&lt;&gt;""),IF(AND(T58&gt;=AsOf,T58&lt;=AsOf+AlertDays),1,0),0)</f>
        <v/>
      </c>
      <c r="AG58" s="79">
        <f>IF(Y58="Order now",1,0)</f>
        <v/>
      </c>
      <c r="AH58" s="79">
        <f>IF(OR(Y58="⚠️ Order late — install at risk",Y58="⚠️ Delivery after install date"),1,0)</f>
        <v/>
      </c>
      <c r="AI58" s="79">
        <f>IF(AND(B58&lt;&gt;"",K58&lt;&gt;"",U58&lt;&gt;"Yes",X58&lt;&gt;"Yes"),1,0)</f>
        <v/>
      </c>
      <c r="AJ58" s="79">
        <f>IF(Y58="⚠️ Order late — install at risk",1,0)</f>
        <v/>
      </c>
    </row>
    <row r="59" ht="20" customHeight="1">
      <c r="B59" s="72" t="n"/>
      <c r="C59" s="72" t="n"/>
      <c r="D59" s="72" t="n"/>
      <c r="E59" s="72" t="n"/>
      <c r="F59" s="73" t="n"/>
      <c r="G59" s="72" t="n"/>
      <c r="H59" s="73" t="n"/>
      <c r="I59" s="72" t="n"/>
      <c r="J59" s="73" t="n"/>
      <c r="K59" s="74" t="n"/>
      <c r="L59" s="75">
        <f>IF(K59="A",F59,IF(K59="B",H59,IF(K59="C",J59,"")))</f>
        <v/>
      </c>
      <c r="M59" s="72" t="n"/>
      <c r="N59" s="72" t="n"/>
      <c r="O59" s="89" t="n"/>
      <c r="P59" s="89" t="n"/>
      <c r="Q59" s="109" t="n"/>
      <c r="R59" s="120">
        <f>IF(B59="","",IF(Q59&lt;&gt;"",Q59,IF(P59="","",IFERROR(INDEX('Timeline'!$J$7:$J$1006,MATCH(P59,'Timeline'!$B$7:$B$1006,0)),""))))</f>
        <v/>
      </c>
      <c r="S59" s="126">
        <f>IF(R59="","",R59-IF(O59="",0,O59)-OrderBuf)</f>
        <v/>
      </c>
      <c r="T59" s="126">
        <f>IF(S59="","",S59-DecideBuf)</f>
        <v/>
      </c>
      <c r="U59" s="74" t="n"/>
      <c r="V59" s="109" t="n"/>
      <c r="W59" s="109" t="n"/>
      <c r="X59" s="74" t="n"/>
      <c r="Y59" s="116">
        <f>IF(B59="","",IF(X59="Yes","Delivered",IF(U59="Yes",IF(AND(W59&lt;&gt;"",R59&lt;&gt;""),IF(W59&gt;R59,"⚠️ Delivery after install date","Ordered"),"Ordered"),IF(K59="",IF(T59="","Waiting for decision",IF(T59&lt;=AsOf+AlertDays,"Decide now","Waiting for decision")),IF(S59="","Selected",IF(AsOf&gt;S59,"⚠️ Order late — install at risk",IF(S59&lt;=AsOf+AlertDays,"Order now","Selected")))))))</f>
        <v/>
      </c>
      <c r="Z59" s="79">
        <f>IF(B59="","",IF(OR(AH59=1,AE59=1),2,IF(OR(AG59=1,AF59=1),1,IF(OR(Y59="Ordered",Y59="Delivered"),0,""))))</f>
        <v/>
      </c>
      <c r="AA59" s="112">
        <f>IF(B59="","",IF(AH59=1,IF(Y59="⚠️ Delivery after install date",R59,S59),IF(AD59=1,T59,IF(AI59=1,S59,""))))</f>
        <v/>
      </c>
      <c r="AB59" s="79">
        <f>IF(AA59="","",IF(AH59=1,1,IF(AA59="","",IF(AA59&lt;AsOf,1,IF(AA59&lt;=AsOf+AlertDays,2,IF(AA59&lt;=AsOf+2*AlertDays,3,""))))))</f>
        <v/>
      </c>
      <c r="AC59" s="79">
        <f>IF(AB59="","",IF(AH59=1,IF(Y59="⚠️ Delivery after install date","Delivery after install date: "&amp;B59,"Order late — install at risk: "&amp;B59),IF(AD59=1,IF(AB59=1,"Decision overdue: ","Decide: ")&amp;B59,"Order: "&amp;B59&amp;IF(N59="",""," from "&amp;N59))))</f>
        <v/>
      </c>
      <c r="AD59" s="79">
        <f>IF(AND(B59&lt;&gt;"",K59="",U59&lt;&gt;"Yes",X59&lt;&gt;"Yes"),1,0)</f>
        <v/>
      </c>
      <c r="AE59" s="79">
        <f>IF(AND(AD59=1,T59&lt;&gt;""),IF(T59&lt;AsOf,1,0),0)</f>
        <v/>
      </c>
      <c r="AF59" s="79">
        <f>IF(AND(AD59=1,T59&lt;&gt;""),IF(AND(T59&gt;=AsOf,T59&lt;=AsOf+AlertDays),1,0),0)</f>
        <v/>
      </c>
      <c r="AG59" s="79">
        <f>IF(Y59="Order now",1,0)</f>
        <v/>
      </c>
      <c r="AH59" s="79">
        <f>IF(OR(Y59="⚠️ Order late — install at risk",Y59="⚠️ Delivery after install date"),1,0)</f>
        <v/>
      </c>
      <c r="AI59" s="79">
        <f>IF(AND(B59&lt;&gt;"",K59&lt;&gt;"",U59&lt;&gt;"Yes",X59&lt;&gt;"Yes"),1,0)</f>
        <v/>
      </c>
      <c r="AJ59" s="79">
        <f>IF(Y59="⚠️ Order late — install at risk",1,0)</f>
        <v/>
      </c>
    </row>
    <row r="60" ht="20" customHeight="1">
      <c r="B60" s="72" t="n"/>
      <c r="C60" s="72" t="n"/>
      <c r="D60" s="72" t="n"/>
      <c r="E60" s="72" t="n"/>
      <c r="F60" s="73" t="n"/>
      <c r="G60" s="72" t="n"/>
      <c r="H60" s="73" t="n"/>
      <c r="I60" s="72" t="n"/>
      <c r="J60" s="73" t="n"/>
      <c r="K60" s="74" t="n"/>
      <c r="L60" s="75">
        <f>IF(K60="A",F60,IF(K60="B",H60,IF(K60="C",J60,"")))</f>
        <v/>
      </c>
      <c r="M60" s="72" t="n"/>
      <c r="N60" s="72" t="n"/>
      <c r="O60" s="89" t="n"/>
      <c r="P60" s="89" t="n"/>
      <c r="Q60" s="109" t="n"/>
      <c r="R60" s="120">
        <f>IF(B60="","",IF(Q60&lt;&gt;"",Q60,IF(P60="","",IFERROR(INDEX('Timeline'!$J$7:$J$1006,MATCH(P60,'Timeline'!$B$7:$B$1006,0)),""))))</f>
        <v/>
      </c>
      <c r="S60" s="126">
        <f>IF(R60="","",R60-IF(O60="",0,O60)-OrderBuf)</f>
        <v/>
      </c>
      <c r="T60" s="126">
        <f>IF(S60="","",S60-DecideBuf)</f>
        <v/>
      </c>
      <c r="U60" s="74" t="n"/>
      <c r="V60" s="109" t="n"/>
      <c r="W60" s="109" t="n"/>
      <c r="X60" s="74" t="n"/>
      <c r="Y60" s="116">
        <f>IF(B60="","",IF(X60="Yes","Delivered",IF(U60="Yes",IF(AND(W60&lt;&gt;"",R60&lt;&gt;""),IF(W60&gt;R60,"⚠️ Delivery after install date","Ordered"),"Ordered"),IF(K60="",IF(T60="","Waiting for decision",IF(T60&lt;=AsOf+AlertDays,"Decide now","Waiting for decision")),IF(S60="","Selected",IF(AsOf&gt;S60,"⚠️ Order late — install at risk",IF(S60&lt;=AsOf+AlertDays,"Order now","Selected")))))))</f>
        <v/>
      </c>
      <c r="Z60" s="79">
        <f>IF(B60="","",IF(OR(AH60=1,AE60=1),2,IF(OR(AG60=1,AF60=1),1,IF(OR(Y60="Ordered",Y60="Delivered"),0,""))))</f>
        <v/>
      </c>
      <c r="AA60" s="112">
        <f>IF(B60="","",IF(AH60=1,IF(Y60="⚠️ Delivery after install date",R60,S60),IF(AD60=1,T60,IF(AI60=1,S60,""))))</f>
        <v/>
      </c>
      <c r="AB60" s="79">
        <f>IF(AA60="","",IF(AH60=1,1,IF(AA60="","",IF(AA60&lt;AsOf,1,IF(AA60&lt;=AsOf+AlertDays,2,IF(AA60&lt;=AsOf+2*AlertDays,3,""))))))</f>
        <v/>
      </c>
      <c r="AC60" s="79">
        <f>IF(AB60="","",IF(AH60=1,IF(Y60="⚠️ Delivery after install date","Delivery after install date: "&amp;B60,"Order late — install at risk: "&amp;B60),IF(AD60=1,IF(AB60=1,"Decision overdue: ","Decide: ")&amp;B60,"Order: "&amp;B60&amp;IF(N60="",""," from "&amp;N60))))</f>
        <v/>
      </c>
      <c r="AD60" s="79">
        <f>IF(AND(B60&lt;&gt;"",K60="",U60&lt;&gt;"Yes",X60&lt;&gt;"Yes"),1,0)</f>
        <v/>
      </c>
      <c r="AE60" s="79">
        <f>IF(AND(AD60=1,T60&lt;&gt;""),IF(T60&lt;AsOf,1,0),0)</f>
        <v/>
      </c>
      <c r="AF60" s="79">
        <f>IF(AND(AD60=1,T60&lt;&gt;""),IF(AND(T60&gt;=AsOf,T60&lt;=AsOf+AlertDays),1,0),0)</f>
        <v/>
      </c>
      <c r="AG60" s="79">
        <f>IF(Y60="Order now",1,0)</f>
        <v/>
      </c>
      <c r="AH60" s="79">
        <f>IF(OR(Y60="⚠️ Order late — install at risk",Y60="⚠️ Delivery after install date"),1,0)</f>
        <v/>
      </c>
      <c r="AI60" s="79">
        <f>IF(AND(B60&lt;&gt;"",K60&lt;&gt;"",U60&lt;&gt;"Yes",X60&lt;&gt;"Yes"),1,0)</f>
        <v/>
      </c>
      <c r="AJ60" s="79">
        <f>IF(Y60="⚠️ Order late — install at risk",1,0)</f>
        <v/>
      </c>
    </row>
    <row r="61" ht="20" customHeight="1">
      <c r="B61" s="72" t="n"/>
      <c r="C61" s="72" t="n"/>
      <c r="D61" s="72" t="n"/>
      <c r="E61" s="72" t="n"/>
      <c r="F61" s="73" t="n"/>
      <c r="G61" s="72" t="n"/>
      <c r="H61" s="73" t="n"/>
      <c r="I61" s="72" t="n"/>
      <c r="J61" s="73" t="n"/>
      <c r="K61" s="74" t="n"/>
      <c r="L61" s="75">
        <f>IF(K61="A",F61,IF(K61="B",H61,IF(K61="C",J61,"")))</f>
        <v/>
      </c>
      <c r="M61" s="72" t="n"/>
      <c r="N61" s="72" t="n"/>
      <c r="O61" s="89" t="n"/>
      <c r="P61" s="89" t="n"/>
      <c r="Q61" s="109" t="n"/>
      <c r="R61" s="120">
        <f>IF(B61="","",IF(Q61&lt;&gt;"",Q61,IF(P61="","",IFERROR(INDEX('Timeline'!$J$7:$J$1006,MATCH(P61,'Timeline'!$B$7:$B$1006,0)),""))))</f>
        <v/>
      </c>
      <c r="S61" s="126">
        <f>IF(R61="","",R61-IF(O61="",0,O61)-OrderBuf)</f>
        <v/>
      </c>
      <c r="T61" s="126">
        <f>IF(S61="","",S61-DecideBuf)</f>
        <v/>
      </c>
      <c r="U61" s="74" t="n"/>
      <c r="V61" s="109" t="n"/>
      <c r="W61" s="109" t="n"/>
      <c r="X61" s="74" t="n"/>
      <c r="Y61" s="116">
        <f>IF(B61="","",IF(X61="Yes","Delivered",IF(U61="Yes",IF(AND(W61&lt;&gt;"",R61&lt;&gt;""),IF(W61&gt;R61,"⚠️ Delivery after install date","Ordered"),"Ordered"),IF(K61="",IF(T61="","Waiting for decision",IF(T61&lt;=AsOf+AlertDays,"Decide now","Waiting for decision")),IF(S61="","Selected",IF(AsOf&gt;S61,"⚠️ Order late — install at risk",IF(S61&lt;=AsOf+AlertDays,"Order now","Selected")))))))</f>
        <v/>
      </c>
      <c r="Z61" s="79">
        <f>IF(B61="","",IF(OR(AH61=1,AE61=1),2,IF(OR(AG61=1,AF61=1),1,IF(OR(Y61="Ordered",Y61="Delivered"),0,""))))</f>
        <v/>
      </c>
      <c r="AA61" s="112">
        <f>IF(B61="","",IF(AH61=1,IF(Y61="⚠️ Delivery after install date",R61,S61),IF(AD61=1,T61,IF(AI61=1,S61,""))))</f>
        <v/>
      </c>
      <c r="AB61" s="79">
        <f>IF(AA61="","",IF(AH61=1,1,IF(AA61="","",IF(AA61&lt;AsOf,1,IF(AA61&lt;=AsOf+AlertDays,2,IF(AA61&lt;=AsOf+2*AlertDays,3,""))))))</f>
        <v/>
      </c>
      <c r="AC61" s="79">
        <f>IF(AB61="","",IF(AH61=1,IF(Y61="⚠️ Delivery after install date","Delivery after install date: "&amp;B61,"Order late — install at risk: "&amp;B61),IF(AD61=1,IF(AB61=1,"Decision overdue: ","Decide: ")&amp;B61,"Order: "&amp;B61&amp;IF(N61="",""," from "&amp;N61))))</f>
        <v/>
      </c>
      <c r="AD61" s="79">
        <f>IF(AND(B61&lt;&gt;"",K61="",U61&lt;&gt;"Yes",X61&lt;&gt;"Yes"),1,0)</f>
        <v/>
      </c>
      <c r="AE61" s="79">
        <f>IF(AND(AD61=1,T61&lt;&gt;""),IF(T61&lt;AsOf,1,0),0)</f>
        <v/>
      </c>
      <c r="AF61" s="79">
        <f>IF(AND(AD61=1,T61&lt;&gt;""),IF(AND(T61&gt;=AsOf,T61&lt;=AsOf+AlertDays),1,0),0)</f>
        <v/>
      </c>
      <c r="AG61" s="79">
        <f>IF(Y61="Order now",1,0)</f>
        <v/>
      </c>
      <c r="AH61" s="79">
        <f>IF(OR(Y61="⚠️ Order late — install at risk",Y61="⚠️ Delivery after install date"),1,0)</f>
        <v/>
      </c>
      <c r="AI61" s="79">
        <f>IF(AND(B61&lt;&gt;"",K61&lt;&gt;"",U61&lt;&gt;"Yes",X61&lt;&gt;"Yes"),1,0)</f>
        <v/>
      </c>
      <c r="AJ61" s="79">
        <f>IF(Y61="⚠️ Order late — install at risk",1,0)</f>
        <v/>
      </c>
    </row>
    <row r="62" ht="20" customHeight="1">
      <c r="B62" s="72" t="n"/>
      <c r="C62" s="72" t="n"/>
      <c r="D62" s="72" t="n"/>
      <c r="E62" s="72" t="n"/>
      <c r="F62" s="73" t="n"/>
      <c r="G62" s="72" t="n"/>
      <c r="H62" s="73" t="n"/>
      <c r="I62" s="72" t="n"/>
      <c r="J62" s="73" t="n"/>
      <c r="K62" s="74" t="n"/>
      <c r="L62" s="75">
        <f>IF(K62="A",F62,IF(K62="B",H62,IF(K62="C",J62,"")))</f>
        <v/>
      </c>
      <c r="M62" s="72" t="n"/>
      <c r="N62" s="72" t="n"/>
      <c r="O62" s="89" t="n"/>
      <c r="P62" s="89" t="n"/>
      <c r="Q62" s="109" t="n"/>
      <c r="R62" s="120">
        <f>IF(B62="","",IF(Q62&lt;&gt;"",Q62,IF(P62="","",IFERROR(INDEX('Timeline'!$J$7:$J$1006,MATCH(P62,'Timeline'!$B$7:$B$1006,0)),""))))</f>
        <v/>
      </c>
      <c r="S62" s="126">
        <f>IF(R62="","",R62-IF(O62="",0,O62)-OrderBuf)</f>
        <v/>
      </c>
      <c r="T62" s="126">
        <f>IF(S62="","",S62-DecideBuf)</f>
        <v/>
      </c>
      <c r="U62" s="74" t="n"/>
      <c r="V62" s="109" t="n"/>
      <c r="W62" s="109" t="n"/>
      <c r="X62" s="74" t="n"/>
      <c r="Y62" s="116">
        <f>IF(B62="","",IF(X62="Yes","Delivered",IF(U62="Yes",IF(AND(W62&lt;&gt;"",R62&lt;&gt;""),IF(W62&gt;R62,"⚠️ Delivery after install date","Ordered"),"Ordered"),IF(K62="",IF(T62="","Waiting for decision",IF(T62&lt;=AsOf+AlertDays,"Decide now","Waiting for decision")),IF(S62="","Selected",IF(AsOf&gt;S62,"⚠️ Order late — install at risk",IF(S62&lt;=AsOf+AlertDays,"Order now","Selected")))))))</f>
        <v/>
      </c>
      <c r="Z62" s="79">
        <f>IF(B62="","",IF(OR(AH62=1,AE62=1),2,IF(OR(AG62=1,AF62=1),1,IF(OR(Y62="Ordered",Y62="Delivered"),0,""))))</f>
        <v/>
      </c>
      <c r="AA62" s="112">
        <f>IF(B62="","",IF(AH62=1,IF(Y62="⚠️ Delivery after install date",R62,S62),IF(AD62=1,T62,IF(AI62=1,S62,""))))</f>
        <v/>
      </c>
      <c r="AB62" s="79">
        <f>IF(AA62="","",IF(AH62=1,1,IF(AA62="","",IF(AA62&lt;AsOf,1,IF(AA62&lt;=AsOf+AlertDays,2,IF(AA62&lt;=AsOf+2*AlertDays,3,""))))))</f>
        <v/>
      </c>
      <c r="AC62" s="79">
        <f>IF(AB62="","",IF(AH62=1,IF(Y62="⚠️ Delivery after install date","Delivery after install date: "&amp;B62,"Order late — install at risk: "&amp;B62),IF(AD62=1,IF(AB62=1,"Decision overdue: ","Decide: ")&amp;B62,"Order: "&amp;B62&amp;IF(N62="",""," from "&amp;N62))))</f>
        <v/>
      </c>
      <c r="AD62" s="79">
        <f>IF(AND(B62&lt;&gt;"",K62="",U62&lt;&gt;"Yes",X62&lt;&gt;"Yes"),1,0)</f>
        <v/>
      </c>
      <c r="AE62" s="79">
        <f>IF(AND(AD62=1,T62&lt;&gt;""),IF(T62&lt;AsOf,1,0),0)</f>
        <v/>
      </c>
      <c r="AF62" s="79">
        <f>IF(AND(AD62=1,T62&lt;&gt;""),IF(AND(T62&gt;=AsOf,T62&lt;=AsOf+AlertDays),1,0),0)</f>
        <v/>
      </c>
      <c r="AG62" s="79">
        <f>IF(Y62="Order now",1,0)</f>
        <v/>
      </c>
      <c r="AH62" s="79">
        <f>IF(OR(Y62="⚠️ Order late — install at risk",Y62="⚠️ Delivery after install date"),1,0)</f>
        <v/>
      </c>
      <c r="AI62" s="79">
        <f>IF(AND(B62&lt;&gt;"",K62&lt;&gt;"",U62&lt;&gt;"Yes",X62&lt;&gt;"Yes"),1,0)</f>
        <v/>
      </c>
      <c r="AJ62" s="79">
        <f>IF(Y62="⚠️ Order late — install at risk",1,0)</f>
        <v/>
      </c>
    </row>
    <row r="63" ht="20" customHeight="1">
      <c r="B63" s="72" t="n"/>
      <c r="C63" s="72" t="n"/>
      <c r="D63" s="72" t="n"/>
      <c r="E63" s="72" t="n"/>
      <c r="F63" s="73" t="n"/>
      <c r="G63" s="72" t="n"/>
      <c r="H63" s="73" t="n"/>
      <c r="I63" s="72" t="n"/>
      <c r="J63" s="73" t="n"/>
      <c r="K63" s="74" t="n"/>
      <c r="L63" s="75">
        <f>IF(K63="A",F63,IF(K63="B",H63,IF(K63="C",J63,"")))</f>
        <v/>
      </c>
      <c r="M63" s="72" t="n"/>
      <c r="N63" s="72" t="n"/>
      <c r="O63" s="89" t="n"/>
      <c r="P63" s="89" t="n"/>
      <c r="Q63" s="109" t="n"/>
      <c r="R63" s="120">
        <f>IF(B63="","",IF(Q63&lt;&gt;"",Q63,IF(P63="","",IFERROR(INDEX('Timeline'!$J$7:$J$1006,MATCH(P63,'Timeline'!$B$7:$B$1006,0)),""))))</f>
        <v/>
      </c>
      <c r="S63" s="126">
        <f>IF(R63="","",R63-IF(O63="",0,O63)-OrderBuf)</f>
        <v/>
      </c>
      <c r="T63" s="126">
        <f>IF(S63="","",S63-DecideBuf)</f>
        <v/>
      </c>
      <c r="U63" s="74" t="n"/>
      <c r="V63" s="109" t="n"/>
      <c r="W63" s="109" t="n"/>
      <c r="X63" s="74" t="n"/>
      <c r="Y63" s="116">
        <f>IF(B63="","",IF(X63="Yes","Delivered",IF(U63="Yes",IF(AND(W63&lt;&gt;"",R63&lt;&gt;""),IF(W63&gt;R63,"⚠️ Delivery after install date","Ordered"),"Ordered"),IF(K63="",IF(T63="","Waiting for decision",IF(T63&lt;=AsOf+AlertDays,"Decide now","Waiting for decision")),IF(S63="","Selected",IF(AsOf&gt;S63,"⚠️ Order late — install at risk",IF(S63&lt;=AsOf+AlertDays,"Order now","Selected")))))))</f>
        <v/>
      </c>
      <c r="Z63" s="79">
        <f>IF(B63="","",IF(OR(AH63=1,AE63=1),2,IF(OR(AG63=1,AF63=1),1,IF(OR(Y63="Ordered",Y63="Delivered"),0,""))))</f>
        <v/>
      </c>
      <c r="AA63" s="112">
        <f>IF(B63="","",IF(AH63=1,IF(Y63="⚠️ Delivery after install date",R63,S63),IF(AD63=1,T63,IF(AI63=1,S63,""))))</f>
        <v/>
      </c>
      <c r="AB63" s="79">
        <f>IF(AA63="","",IF(AH63=1,1,IF(AA63="","",IF(AA63&lt;AsOf,1,IF(AA63&lt;=AsOf+AlertDays,2,IF(AA63&lt;=AsOf+2*AlertDays,3,""))))))</f>
        <v/>
      </c>
      <c r="AC63" s="79">
        <f>IF(AB63="","",IF(AH63=1,IF(Y63="⚠️ Delivery after install date","Delivery after install date: "&amp;B63,"Order late — install at risk: "&amp;B63),IF(AD63=1,IF(AB63=1,"Decision overdue: ","Decide: ")&amp;B63,"Order: "&amp;B63&amp;IF(N63="",""," from "&amp;N63))))</f>
        <v/>
      </c>
      <c r="AD63" s="79">
        <f>IF(AND(B63&lt;&gt;"",K63="",U63&lt;&gt;"Yes",X63&lt;&gt;"Yes"),1,0)</f>
        <v/>
      </c>
      <c r="AE63" s="79">
        <f>IF(AND(AD63=1,T63&lt;&gt;""),IF(T63&lt;AsOf,1,0),0)</f>
        <v/>
      </c>
      <c r="AF63" s="79">
        <f>IF(AND(AD63=1,T63&lt;&gt;""),IF(AND(T63&gt;=AsOf,T63&lt;=AsOf+AlertDays),1,0),0)</f>
        <v/>
      </c>
      <c r="AG63" s="79">
        <f>IF(Y63="Order now",1,0)</f>
        <v/>
      </c>
      <c r="AH63" s="79">
        <f>IF(OR(Y63="⚠️ Order late — install at risk",Y63="⚠️ Delivery after install date"),1,0)</f>
        <v/>
      </c>
      <c r="AI63" s="79">
        <f>IF(AND(B63&lt;&gt;"",K63&lt;&gt;"",U63&lt;&gt;"Yes",X63&lt;&gt;"Yes"),1,0)</f>
        <v/>
      </c>
      <c r="AJ63" s="79">
        <f>IF(Y63="⚠️ Order late — install at risk",1,0)</f>
        <v/>
      </c>
    </row>
    <row r="64" ht="20" customHeight="1">
      <c r="B64" s="72" t="n"/>
      <c r="C64" s="72" t="n"/>
      <c r="D64" s="72" t="n"/>
      <c r="E64" s="72" t="n"/>
      <c r="F64" s="73" t="n"/>
      <c r="G64" s="72" t="n"/>
      <c r="H64" s="73" t="n"/>
      <c r="I64" s="72" t="n"/>
      <c r="J64" s="73" t="n"/>
      <c r="K64" s="74" t="n"/>
      <c r="L64" s="75">
        <f>IF(K64="A",F64,IF(K64="B",H64,IF(K64="C",J64,"")))</f>
        <v/>
      </c>
      <c r="M64" s="72" t="n"/>
      <c r="N64" s="72" t="n"/>
      <c r="O64" s="89" t="n"/>
      <c r="P64" s="89" t="n"/>
      <c r="Q64" s="109" t="n"/>
      <c r="R64" s="120">
        <f>IF(B64="","",IF(Q64&lt;&gt;"",Q64,IF(P64="","",IFERROR(INDEX('Timeline'!$J$7:$J$1006,MATCH(P64,'Timeline'!$B$7:$B$1006,0)),""))))</f>
        <v/>
      </c>
      <c r="S64" s="126">
        <f>IF(R64="","",R64-IF(O64="",0,O64)-OrderBuf)</f>
        <v/>
      </c>
      <c r="T64" s="126">
        <f>IF(S64="","",S64-DecideBuf)</f>
        <v/>
      </c>
      <c r="U64" s="74" t="n"/>
      <c r="V64" s="109" t="n"/>
      <c r="W64" s="109" t="n"/>
      <c r="X64" s="74" t="n"/>
      <c r="Y64" s="116">
        <f>IF(B64="","",IF(X64="Yes","Delivered",IF(U64="Yes",IF(AND(W64&lt;&gt;"",R64&lt;&gt;""),IF(W64&gt;R64,"⚠️ Delivery after install date","Ordered"),"Ordered"),IF(K64="",IF(T64="","Waiting for decision",IF(T64&lt;=AsOf+AlertDays,"Decide now","Waiting for decision")),IF(S64="","Selected",IF(AsOf&gt;S64,"⚠️ Order late — install at risk",IF(S64&lt;=AsOf+AlertDays,"Order now","Selected")))))))</f>
        <v/>
      </c>
      <c r="Z64" s="79">
        <f>IF(B64="","",IF(OR(AH64=1,AE64=1),2,IF(OR(AG64=1,AF64=1),1,IF(OR(Y64="Ordered",Y64="Delivered"),0,""))))</f>
        <v/>
      </c>
      <c r="AA64" s="112">
        <f>IF(B64="","",IF(AH64=1,IF(Y64="⚠️ Delivery after install date",R64,S64),IF(AD64=1,T64,IF(AI64=1,S64,""))))</f>
        <v/>
      </c>
      <c r="AB64" s="79">
        <f>IF(AA64="","",IF(AH64=1,1,IF(AA64="","",IF(AA64&lt;AsOf,1,IF(AA64&lt;=AsOf+AlertDays,2,IF(AA64&lt;=AsOf+2*AlertDays,3,""))))))</f>
        <v/>
      </c>
      <c r="AC64" s="79">
        <f>IF(AB64="","",IF(AH64=1,IF(Y64="⚠️ Delivery after install date","Delivery after install date: "&amp;B64,"Order late — install at risk: "&amp;B64),IF(AD64=1,IF(AB64=1,"Decision overdue: ","Decide: ")&amp;B64,"Order: "&amp;B64&amp;IF(N64="",""," from "&amp;N64))))</f>
        <v/>
      </c>
      <c r="AD64" s="79">
        <f>IF(AND(B64&lt;&gt;"",K64="",U64&lt;&gt;"Yes",X64&lt;&gt;"Yes"),1,0)</f>
        <v/>
      </c>
      <c r="AE64" s="79">
        <f>IF(AND(AD64=1,T64&lt;&gt;""),IF(T64&lt;AsOf,1,0),0)</f>
        <v/>
      </c>
      <c r="AF64" s="79">
        <f>IF(AND(AD64=1,T64&lt;&gt;""),IF(AND(T64&gt;=AsOf,T64&lt;=AsOf+AlertDays),1,0),0)</f>
        <v/>
      </c>
      <c r="AG64" s="79">
        <f>IF(Y64="Order now",1,0)</f>
        <v/>
      </c>
      <c r="AH64" s="79">
        <f>IF(OR(Y64="⚠️ Order late — install at risk",Y64="⚠️ Delivery after install date"),1,0)</f>
        <v/>
      </c>
      <c r="AI64" s="79">
        <f>IF(AND(B64&lt;&gt;"",K64&lt;&gt;"",U64&lt;&gt;"Yes",X64&lt;&gt;"Yes"),1,0)</f>
        <v/>
      </c>
      <c r="AJ64" s="79">
        <f>IF(Y64="⚠️ Order late — install at risk",1,0)</f>
        <v/>
      </c>
    </row>
    <row r="65" ht="20" customHeight="1">
      <c r="B65" s="72" t="n"/>
      <c r="C65" s="72" t="n"/>
      <c r="D65" s="72" t="n"/>
      <c r="E65" s="72" t="n"/>
      <c r="F65" s="73" t="n"/>
      <c r="G65" s="72" t="n"/>
      <c r="H65" s="73" t="n"/>
      <c r="I65" s="72" t="n"/>
      <c r="J65" s="73" t="n"/>
      <c r="K65" s="74" t="n"/>
      <c r="L65" s="75">
        <f>IF(K65="A",F65,IF(K65="B",H65,IF(K65="C",J65,"")))</f>
        <v/>
      </c>
      <c r="M65" s="72" t="n"/>
      <c r="N65" s="72" t="n"/>
      <c r="O65" s="89" t="n"/>
      <c r="P65" s="89" t="n"/>
      <c r="Q65" s="109" t="n"/>
      <c r="R65" s="120">
        <f>IF(B65="","",IF(Q65&lt;&gt;"",Q65,IF(P65="","",IFERROR(INDEX('Timeline'!$J$7:$J$1006,MATCH(P65,'Timeline'!$B$7:$B$1006,0)),""))))</f>
        <v/>
      </c>
      <c r="S65" s="126">
        <f>IF(R65="","",R65-IF(O65="",0,O65)-OrderBuf)</f>
        <v/>
      </c>
      <c r="T65" s="126">
        <f>IF(S65="","",S65-DecideBuf)</f>
        <v/>
      </c>
      <c r="U65" s="74" t="n"/>
      <c r="V65" s="109" t="n"/>
      <c r="W65" s="109" t="n"/>
      <c r="X65" s="74" t="n"/>
      <c r="Y65" s="116">
        <f>IF(B65="","",IF(X65="Yes","Delivered",IF(U65="Yes",IF(AND(W65&lt;&gt;"",R65&lt;&gt;""),IF(W65&gt;R65,"⚠️ Delivery after install date","Ordered"),"Ordered"),IF(K65="",IF(T65="","Waiting for decision",IF(T65&lt;=AsOf+AlertDays,"Decide now","Waiting for decision")),IF(S65="","Selected",IF(AsOf&gt;S65,"⚠️ Order late — install at risk",IF(S65&lt;=AsOf+AlertDays,"Order now","Selected")))))))</f>
        <v/>
      </c>
      <c r="Z65" s="79">
        <f>IF(B65="","",IF(OR(AH65=1,AE65=1),2,IF(OR(AG65=1,AF65=1),1,IF(OR(Y65="Ordered",Y65="Delivered"),0,""))))</f>
        <v/>
      </c>
      <c r="AA65" s="112">
        <f>IF(B65="","",IF(AH65=1,IF(Y65="⚠️ Delivery after install date",R65,S65),IF(AD65=1,T65,IF(AI65=1,S65,""))))</f>
        <v/>
      </c>
      <c r="AB65" s="79">
        <f>IF(AA65="","",IF(AH65=1,1,IF(AA65="","",IF(AA65&lt;AsOf,1,IF(AA65&lt;=AsOf+AlertDays,2,IF(AA65&lt;=AsOf+2*AlertDays,3,""))))))</f>
        <v/>
      </c>
      <c r="AC65" s="79">
        <f>IF(AB65="","",IF(AH65=1,IF(Y65="⚠️ Delivery after install date","Delivery after install date: "&amp;B65,"Order late — install at risk: "&amp;B65),IF(AD65=1,IF(AB65=1,"Decision overdue: ","Decide: ")&amp;B65,"Order: "&amp;B65&amp;IF(N65="",""," from "&amp;N65))))</f>
        <v/>
      </c>
      <c r="AD65" s="79">
        <f>IF(AND(B65&lt;&gt;"",K65="",U65&lt;&gt;"Yes",X65&lt;&gt;"Yes"),1,0)</f>
        <v/>
      </c>
      <c r="AE65" s="79">
        <f>IF(AND(AD65=1,T65&lt;&gt;""),IF(T65&lt;AsOf,1,0),0)</f>
        <v/>
      </c>
      <c r="AF65" s="79">
        <f>IF(AND(AD65=1,T65&lt;&gt;""),IF(AND(T65&gt;=AsOf,T65&lt;=AsOf+AlertDays),1,0),0)</f>
        <v/>
      </c>
      <c r="AG65" s="79">
        <f>IF(Y65="Order now",1,0)</f>
        <v/>
      </c>
      <c r="AH65" s="79">
        <f>IF(OR(Y65="⚠️ Order late — install at risk",Y65="⚠️ Delivery after install date"),1,0)</f>
        <v/>
      </c>
      <c r="AI65" s="79">
        <f>IF(AND(B65&lt;&gt;"",K65&lt;&gt;"",U65&lt;&gt;"Yes",X65&lt;&gt;"Yes"),1,0)</f>
        <v/>
      </c>
      <c r="AJ65" s="79">
        <f>IF(Y65="⚠️ Order late — install at risk",1,0)</f>
        <v/>
      </c>
    </row>
    <row r="66" ht="20" customHeight="1">
      <c r="B66" s="72" t="n"/>
      <c r="C66" s="72" t="n"/>
      <c r="D66" s="72" t="n"/>
      <c r="E66" s="72" t="n"/>
      <c r="F66" s="73" t="n"/>
      <c r="G66" s="72" t="n"/>
      <c r="H66" s="73" t="n"/>
      <c r="I66" s="72" t="n"/>
      <c r="J66" s="73" t="n"/>
      <c r="K66" s="74" t="n"/>
      <c r="L66" s="75">
        <f>IF(K66="A",F66,IF(K66="B",H66,IF(K66="C",J66,"")))</f>
        <v/>
      </c>
      <c r="M66" s="72" t="n"/>
      <c r="N66" s="72" t="n"/>
      <c r="O66" s="89" t="n"/>
      <c r="P66" s="89" t="n"/>
      <c r="Q66" s="109" t="n"/>
      <c r="R66" s="120">
        <f>IF(B66="","",IF(Q66&lt;&gt;"",Q66,IF(P66="","",IFERROR(INDEX('Timeline'!$J$7:$J$1006,MATCH(P66,'Timeline'!$B$7:$B$1006,0)),""))))</f>
        <v/>
      </c>
      <c r="S66" s="126">
        <f>IF(R66="","",R66-IF(O66="",0,O66)-OrderBuf)</f>
        <v/>
      </c>
      <c r="T66" s="126">
        <f>IF(S66="","",S66-DecideBuf)</f>
        <v/>
      </c>
      <c r="U66" s="74" t="n"/>
      <c r="V66" s="109" t="n"/>
      <c r="W66" s="109" t="n"/>
      <c r="X66" s="74" t="n"/>
      <c r="Y66" s="116">
        <f>IF(B66="","",IF(X66="Yes","Delivered",IF(U66="Yes",IF(AND(W66&lt;&gt;"",R66&lt;&gt;""),IF(W66&gt;R66,"⚠️ Delivery after install date","Ordered"),"Ordered"),IF(K66="",IF(T66="","Waiting for decision",IF(T66&lt;=AsOf+AlertDays,"Decide now","Waiting for decision")),IF(S66="","Selected",IF(AsOf&gt;S66,"⚠️ Order late — install at risk",IF(S66&lt;=AsOf+AlertDays,"Order now","Selected")))))))</f>
        <v/>
      </c>
      <c r="Z66" s="79">
        <f>IF(B66="","",IF(OR(AH66=1,AE66=1),2,IF(OR(AG66=1,AF66=1),1,IF(OR(Y66="Ordered",Y66="Delivered"),0,""))))</f>
        <v/>
      </c>
      <c r="AA66" s="112">
        <f>IF(B66="","",IF(AH66=1,IF(Y66="⚠️ Delivery after install date",R66,S66),IF(AD66=1,T66,IF(AI66=1,S66,""))))</f>
        <v/>
      </c>
      <c r="AB66" s="79">
        <f>IF(AA66="","",IF(AH66=1,1,IF(AA66="","",IF(AA66&lt;AsOf,1,IF(AA66&lt;=AsOf+AlertDays,2,IF(AA66&lt;=AsOf+2*AlertDays,3,""))))))</f>
        <v/>
      </c>
      <c r="AC66" s="79">
        <f>IF(AB66="","",IF(AH66=1,IF(Y66="⚠️ Delivery after install date","Delivery after install date: "&amp;B66,"Order late — install at risk: "&amp;B66),IF(AD66=1,IF(AB66=1,"Decision overdue: ","Decide: ")&amp;B66,"Order: "&amp;B66&amp;IF(N66="",""," from "&amp;N66))))</f>
        <v/>
      </c>
      <c r="AD66" s="79">
        <f>IF(AND(B66&lt;&gt;"",K66="",U66&lt;&gt;"Yes",X66&lt;&gt;"Yes"),1,0)</f>
        <v/>
      </c>
      <c r="AE66" s="79">
        <f>IF(AND(AD66=1,T66&lt;&gt;""),IF(T66&lt;AsOf,1,0),0)</f>
        <v/>
      </c>
      <c r="AF66" s="79">
        <f>IF(AND(AD66=1,T66&lt;&gt;""),IF(AND(T66&gt;=AsOf,T66&lt;=AsOf+AlertDays),1,0),0)</f>
        <v/>
      </c>
      <c r="AG66" s="79">
        <f>IF(Y66="Order now",1,0)</f>
        <v/>
      </c>
      <c r="AH66" s="79">
        <f>IF(OR(Y66="⚠️ Order late — install at risk",Y66="⚠️ Delivery after install date"),1,0)</f>
        <v/>
      </c>
      <c r="AI66" s="79">
        <f>IF(AND(B66&lt;&gt;"",K66&lt;&gt;"",U66&lt;&gt;"Yes",X66&lt;&gt;"Yes"),1,0)</f>
        <v/>
      </c>
      <c r="AJ66" s="79">
        <f>IF(Y66="⚠️ Order late — install at risk",1,0)</f>
        <v/>
      </c>
    </row>
    <row r="67" ht="20" customHeight="1">
      <c r="B67" s="72" t="n"/>
      <c r="C67" s="72" t="n"/>
      <c r="D67" s="72" t="n"/>
      <c r="E67" s="72" t="n"/>
      <c r="F67" s="73" t="n"/>
      <c r="G67" s="72" t="n"/>
      <c r="H67" s="73" t="n"/>
      <c r="I67" s="72" t="n"/>
      <c r="J67" s="73" t="n"/>
      <c r="K67" s="74" t="n"/>
      <c r="L67" s="75">
        <f>IF(K67="A",F67,IF(K67="B",H67,IF(K67="C",J67,"")))</f>
        <v/>
      </c>
      <c r="M67" s="72" t="n"/>
      <c r="N67" s="72" t="n"/>
      <c r="O67" s="89" t="n"/>
      <c r="P67" s="89" t="n"/>
      <c r="Q67" s="109" t="n"/>
      <c r="R67" s="120">
        <f>IF(B67="","",IF(Q67&lt;&gt;"",Q67,IF(P67="","",IFERROR(INDEX('Timeline'!$J$7:$J$1006,MATCH(P67,'Timeline'!$B$7:$B$1006,0)),""))))</f>
        <v/>
      </c>
      <c r="S67" s="126">
        <f>IF(R67="","",R67-IF(O67="",0,O67)-OrderBuf)</f>
        <v/>
      </c>
      <c r="T67" s="126">
        <f>IF(S67="","",S67-DecideBuf)</f>
        <v/>
      </c>
      <c r="U67" s="74" t="n"/>
      <c r="V67" s="109" t="n"/>
      <c r="W67" s="109" t="n"/>
      <c r="X67" s="74" t="n"/>
      <c r="Y67" s="116">
        <f>IF(B67="","",IF(X67="Yes","Delivered",IF(U67="Yes",IF(AND(W67&lt;&gt;"",R67&lt;&gt;""),IF(W67&gt;R67,"⚠️ Delivery after install date","Ordered"),"Ordered"),IF(K67="",IF(T67="","Waiting for decision",IF(T67&lt;=AsOf+AlertDays,"Decide now","Waiting for decision")),IF(S67="","Selected",IF(AsOf&gt;S67,"⚠️ Order late — install at risk",IF(S67&lt;=AsOf+AlertDays,"Order now","Selected")))))))</f>
        <v/>
      </c>
      <c r="Z67" s="79">
        <f>IF(B67="","",IF(OR(AH67=1,AE67=1),2,IF(OR(AG67=1,AF67=1),1,IF(OR(Y67="Ordered",Y67="Delivered"),0,""))))</f>
        <v/>
      </c>
      <c r="AA67" s="112">
        <f>IF(B67="","",IF(AH67=1,IF(Y67="⚠️ Delivery after install date",R67,S67),IF(AD67=1,T67,IF(AI67=1,S67,""))))</f>
        <v/>
      </c>
      <c r="AB67" s="79">
        <f>IF(AA67="","",IF(AH67=1,1,IF(AA67="","",IF(AA67&lt;AsOf,1,IF(AA67&lt;=AsOf+AlertDays,2,IF(AA67&lt;=AsOf+2*AlertDays,3,""))))))</f>
        <v/>
      </c>
      <c r="AC67" s="79">
        <f>IF(AB67="","",IF(AH67=1,IF(Y67="⚠️ Delivery after install date","Delivery after install date: "&amp;B67,"Order late — install at risk: "&amp;B67),IF(AD67=1,IF(AB67=1,"Decision overdue: ","Decide: ")&amp;B67,"Order: "&amp;B67&amp;IF(N67="",""," from "&amp;N67))))</f>
        <v/>
      </c>
      <c r="AD67" s="79">
        <f>IF(AND(B67&lt;&gt;"",K67="",U67&lt;&gt;"Yes",X67&lt;&gt;"Yes"),1,0)</f>
        <v/>
      </c>
      <c r="AE67" s="79">
        <f>IF(AND(AD67=1,T67&lt;&gt;""),IF(T67&lt;AsOf,1,0),0)</f>
        <v/>
      </c>
      <c r="AF67" s="79">
        <f>IF(AND(AD67=1,T67&lt;&gt;""),IF(AND(T67&gt;=AsOf,T67&lt;=AsOf+AlertDays),1,0),0)</f>
        <v/>
      </c>
      <c r="AG67" s="79">
        <f>IF(Y67="Order now",1,0)</f>
        <v/>
      </c>
      <c r="AH67" s="79">
        <f>IF(OR(Y67="⚠️ Order late — install at risk",Y67="⚠️ Delivery after install date"),1,0)</f>
        <v/>
      </c>
      <c r="AI67" s="79">
        <f>IF(AND(B67&lt;&gt;"",K67&lt;&gt;"",U67&lt;&gt;"Yes",X67&lt;&gt;"Yes"),1,0)</f>
        <v/>
      </c>
      <c r="AJ67" s="79">
        <f>IF(Y67="⚠️ Order late — install at risk",1,0)</f>
        <v/>
      </c>
    </row>
    <row r="68" ht="20" customHeight="1">
      <c r="B68" s="72" t="n"/>
      <c r="C68" s="72" t="n"/>
      <c r="D68" s="72" t="n"/>
      <c r="E68" s="72" t="n"/>
      <c r="F68" s="73" t="n"/>
      <c r="G68" s="72" t="n"/>
      <c r="H68" s="73" t="n"/>
      <c r="I68" s="72" t="n"/>
      <c r="J68" s="73" t="n"/>
      <c r="K68" s="74" t="n"/>
      <c r="L68" s="75">
        <f>IF(K68="A",F68,IF(K68="B",H68,IF(K68="C",J68,"")))</f>
        <v/>
      </c>
      <c r="M68" s="72" t="n"/>
      <c r="N68" s="72" t="n"/>
      <c r="O68" s="89" t="n"/>
      <c r="P68" s="89" t="n"/>
      <c r="Q68" s="109" t="n"/>
      <c r="R68" s="120">
        <f>IF(B68="","",IF(Q68&lt;&gt;"",Q68,IF(P68="","",IFERROR(INDEX('Timeline'!$J$7:$J$1006,MATCH(P68,'Timeline'!$B$7:$B$1006,0)),""))))</f>
        <v/>
      </c>
      <c r="S68" s="126">
        <f>IF(R68="","",R68-IF(O68="",0,O68)-OrderBuf)</f>
        <v/>
      </c>
      <c r="T68" s="126">
        <f>IF(S68="","",S68-DecideBuf)</f>
        <v/>
      </c>
      <c r="U68" s="74" t="n"/>
      <c r="V68" s="109" t="n"/>
      <c r="W68" s="109" t="n"/>
      <c r="X68" s="74" t="n"/>
      <c r="Y68" s="116">
        <f>IF(B68="","",IF(X68="Yes","Delivered",IF(U68="Yes",IF(AND(W68&lt;&gt;"",R68&lt;&gt;""),IF(W68&gt;R68,"⚠️ Delivery after install date","Ordered"),"Ordered"),IF(K68="",IF(T68="","Waiting for decision",IF(T68&lt;=AsOf+AlertDays,"Decide now","Waiting for decision")),IF(S68="","Selected",IF(AsOf&gt;S68,"⚠️ Order late — install at risk",IF(S68&lt;=AsOf+AlertDays,"Order now","Selected")))))))</f>
        <v/>
      </c>
      <c r="Z68" s="79">
        <f>IF(B68="","",IF(OR(AH68=1,AE68=1),2,IF(OR(AG68=1,AF68=1),1,IF(OR(Y68="Ordered",Y68="Delivered"),0,""))))</f>
        <v/>
      </c>
      <c r="AA68" s="112">
        <f>IF(B68="","",IF(AH68=1,IF(Y68="⚠️ Delivery after install date",R68,S68),IF(AD68=1,T68,IF(AI68=1,S68,""))))</f>
        <v/>
      </c>
      <c r="AB68" s="79">
        <f>IF(AA68="","",IF(AH68=1,1,IF(AA68="","",IF(AA68&lt;AsOf,1,IF(AA68&lt;=AsOf+AlertDays,2,IF(AA68&lt;=AsOf+2*AlertDays,3,""))))))</f>
        <v/>
      </c>
      <c r="AC68" s="79">
        <f>IF(AB68="","",IF(AH68=1,IF(Y68="⚠️ Delivery after install date","Delivery after install date: "&amp;B68,"Order late — install at risk: "&amp;B68),IF(AD68=1,IF(AB68=1,"Decision overdue: ","Decide: ")&amp;B68,"Order: "&amp;B68&amp;IF(N68="",""," from "&amp;N68))))</f>
        <v/>
      </c>
      <c r="AD68" s="79">
        <f>IF(AND(B68&lt;&gt;"",K68="",U68&lt;&gt;"Yes",X68&lt;&gt;"Yes"),1,0)</f>
        <v/>
      </c>
      <c r="AE68" s="79">
        <f>IF(AND(AD68=1,T68&lt;&gt;""),IF(T68&lt;AsOf,1,0),0)</f>
        <v/>
      </c>
      <c r="AF68" s="79">
        <f>IF(AND(AD68=1,T68&lt;&gt;""),IF(AND(T68&gt;=AsOf,T68&lt;=AsOf+AlertDays),1,0),0)</f>
        <v/>
      </c>
      <c r="AG68" s="79">
        <f>IF(Y68="Order now",1,0)</f>
        <v/>
      </c>
      <c r="AH68" s="79">
        <f>IF(OR(Y68="⚠️ Order late — install at risk",Y68="⚠️ Delivery after install date"),1,0)</f>
        <v/>
      </c>
      <c r="AI68" s="79">
        <f>IF(AND(B68&lt;&gt;"",K68&lt;&gt;"",U68&lt;&gt;"Yes",X68&lt;&gt;"Yes"),1,0)</f>
        <v/>
      </c>
      <c r="AJ68" s="79">
        <f>IF(Y68="⚠️ Order late — install at risk",1,0)</f>
        <v/>
      </c>
    </row>
    <row r="69" ht="20" customHeight="1">
      <c r="B69" s="72" t="n"/>
      <c r="C69" s="72" t="n"/>
      <c r="D69" s="72" t="n"/>
      <c r="E69" s="72" t="n"/>
      <c r="F69" s="73" t="n"/>
      <c r="G69" s="72" t="n"/>
      <c r="H69" s="73" t="n"/>
      <c r="I69" s="72" t="n"/>
      <c r="J69" s="73" t="n"/>
      <c r="K69" s="74" t="n"/>
      <c r="L69" s="75">
        <f>IF(K69="A",F69,IF(K69="B",H69,IF(K69="C",J69,"")))</f>
        <v/>
      </c>
      <c r="M69" s="72" t="n"/>
      <c r="N69" s="72" t="n"/>
      <c r="O69" s="89" t="n"/>
      <c r="P69" s="89" t="n"/>
      <c r="Q69" s="109" t="n"/>
      <c r="R69" s="120">
        <f>IF(B69="","",IF(Q69&lt;&gt;"",Q69,IF(P69="","",IFERROR(INDEX('Timeline'!$J$7:$J$1006,MATCH(P69,'Timeline'!$B$7:$B$1006,0)),""))))</f>
        <v/>
      </c>
      <c r="S69" s="126">
        <f>IF(R69="","",R69-IF(O69="",0,O69)-OrderBuf)</f>
        <v/>
      </c>
      <c r="T69" s="126">
        <f>IF(S69="","",S69-DecideBuf)</f>
        <v/>
      </c>
      <c r="U69" s="74" t="n"/>
      <c r="V69" s="109" t="n"/>
      <c r="W69" s="109" t="n"/>
      <c r="X69" s="74" t="n"/>
      <c r="Y69" s="116">
        <f>IF(B69="","",IF(X69="Yes","Delivered",IF(U69="Yes",IF(AND(W69&lt;&gt;"",R69&lt;&gt;""),IF(W69&gt;R69,"⚠️ Delivery after install date","Ordered"),"Ordered"),IF(K69="",IF(T69="","Waiting for decision",IF(T69&lt;=AsOf+AlertDays,"Decide now","Waiting for decision")),IF(S69="","Selected",IF(AsOf&gt;S69,"⚠️ Order late — install at risk",IF(S69&lt;=AsOf+AlertDays,"Order now","Selected")))))))</f>
        <v/>
      </c>
      <c r="Z69" s="79">
        <f>IF(B69="","",IF(OR(AH69=1,AE69=1),2,IF(OR(AG69=1,AF69=1),1,IF(OR(Y69="Ordered",Y69="Delivered"),0,""))))</f>
        <v/>
      </c>
      <c r="AA69" s="112">
        <f>IF(B69="","",IF(AH69=1,IF(Y69="⚠️ Delivery after install date",R69,S69),IF(AD69=1,T69,IF(AI69=1,S69,""))))</f>
        <v/>
      </c>
      <c r="AB69" s="79">
        <f>IF(AA69="","",IF(AH69=1,1,IF(AA69="","",IF(AA69&lt;AsOf,1,IF(AA69&lt;=AsOf+AlertDays,2,IF(AA69&lt;=AsOf+2*AlertDays,3,""))))))</f>
        <v/>
      </c>
      <c r="AC69" s="79">
        <f>IF(AB69="","",IF(AH69=1,IF(Y69="⚠️ Delivery after install date","Delivery after install date: "&amp;B69,"Order late — install at risk: "&amp;B69),IF(AD69=1,IF(AB69=1,"Decision overdue: ","Decide: ")&amp;B69,"Order: "&amp;B69&amp;IF(N69="",""," from "&amp;N69))))</f>
        <v/>
      </c>
      <c r="AD69" s="79">
        <f>IF(AND(B69&lt;&gt;"",K69="",U69&lt;&gt;"Yes",X69&lt;&gt;"Yes"),1,0)</f>
        <v/>
      </c>
      <c r="AE69" s="79">
        <f>IF(AND(AD69=1,T69&lt;&gt;""),IF(T69&lt;AsOf,1,0),0)</f>
        <v/>
      </c>
      <c r="AF69" s="79">
        <f>IF(AND(AD69=1,T69&lt;&gt;""),IF(AND(T69&gt;=AsOf,T69&lt;=AsOf+AlertDays),1,0),0)</f>
        <v/>
      </c>
      <c r="AG69" s="79">
        <f>IF(Y69="Order now",1,0)</f>
        <v/>
      </c>
      <c r="AH69" s="79">
        <f>IF(OR(Y69="⚠️ Order late — install at risk",Y69="⚠️ Delivery after install date"),1,0)</f>
        <v/>
      </c>
      <c r="AI69" s="79">
        <f>IF(AND(B69&lt;&gt;"",K69&lt;&gt;"",U69&lt;&gt;"Yes",X69&lt;&gt;"Yes"),1,0)</f>
        <v/>
      </c>
      <c r="AJ69" s="79">
        <f>IF(Y69="⚠️ Order late — install at risk",1,0)</f>
        <v/>
      </c>
    </row>
    <row r="70" ht="20" customHeight="1">
      <c r="B70" s="72" t="n"/>
      <c r="C70" s="72" t="n"/>
      <c r="D70" s="72" t="n"/>
      <c r="E70" s="72" t="n"/>
      <c r="F70" s="73" t="n"/>
      <c r="G70" s="72" t="n"/>
      <c r="H70" s="73" t="n"/>
      <c r="I70" s="72" t="n"/>
      <c r="J70" s="73" t="n"/>
      <c r="K70" s="74" t="n"/>
      <c r="L70" s="75">
        <f>IF(K70="A",F70,IF(K70="B",H70,IF(K70="C",J70,"")))</f>
        <v/>
      </c>
      <c r="M70" s="72" t="n"/>
      <c r="N70" s="72" t="n"/>
      <c r="O70" s="89" t="n"/>
      <c r="P70" s="89" t="n"/>
      <c r="Q70" s="109" t="n"/>
      <c r="R70" s="120">
        <f>IF(B70="","",IF(Q70&lt;&gt;"",Q70,IF(P70="","",IFERROR(INDEX('Timeline'!$J$7:$J$1006,MATCH(P70,'Timeline'!$B$7:$B$1006,0)),""))))</f>
        <v/>
      </c>
      <c r="S70" s="126">
        <f>IF(R70="","",R70-IF(O70="",0,O70)-OrderBuf)</f>
        <v/>
      </c>
      <c r="T70" s="126">
        <f>IF(S70="","",S70-DecideBuf)</f>
        <v/>
      </c>
      <c r="U70" s="74" t="n"/>
      <c r="V70" s="109" t="n"/>
      <c r="W70" s="109" t="n"/>
      <c r="X70" s="74" t="n"/>
      <c r="Y70" s="116">
        <f>IF(B70="","",IF(X70="Yes","Delivered",IF(U70="Yes",IF(AND(W70&lt;&gt;"",R70&lt;&gt;""),IF(W70&gt;R70,"⚠️ Delivery after install date","Ordered"),"Ordered"),IF(K70="",IF(T70="","Waiting for decision",IF(T70&lt;=AsOf+AlertDays,"Decide now","Waiting for decision")),IF(S70="","Selected",IF(AsOf&gt;S70,"⚠️ Order late — install at risk",IF(S70&lt;=AsOf+AlertDays,"Order now","Selected")))))))</f>
        <v/>
      </c>
      <c r="Z70" s="79">
        <f>IF(B70="","",IF(OR(AH70=1,AE70=1),2,IF(OR(AG70=1,AF70=1),1,IF(OR(Y70="Ordered",Y70="Delivered"),0,""))))</f>
        <v/>
      </c>
      <c r="AA70" s="112">
        <f>IF(B70="","",IF(AH70=1,IF(Y70="⚠️ Delivery after install date",R70,S70),IF(AD70=1,T70,IF(AI70=1,S70,""))))</f>
        <v/>
      </c>
      <c r="AB70" s="79">
        <f>IF(AA70="","",IF(AH70=1,1,IF(AA70="","",IF(AA70&lt;AsOf,1,IF(AA70&lt;=AsOf+AlertDays,2,IF(AA70&lt;=AsOf+2*AlertDays,3,""))))))</f>
        <v/>
      </c>
      <c r="AC70" s="79">
        <f>IF(AB70="","",IF(AH70=1,IF(Y70="⚠️ Delivery after install date","Delivery after install date: "&amp;B70,"Order late — install at risk: "&amp;B70),IF(AD70=1,IF(AB70=1,"Decision overdue: ","Decide: ")&amp;B70,"Order: "&amp;B70&amp;IF(N70="",""," from "&amp;N70))))</f>
        <v/>
      </c>
      <c r="AD70" s="79">
        <f>IF(AND(B70&lt;&gt;"",K70="",U70&lt;&gt;"Yes",X70&lt;&gt;"Yes"),1,0)</f>
        <v/>
      </c>
      <c r="AE70" s="79">
        <f>IF(AND(AD70=1,T70&lt;&gt;""),IF(T70&lt;AsOf,1,0),0)</f>
        <v/>
      </c>
      <c r="AF70" s="79">
        <f>IF(AND(AD70=1,T70&lt;&gt;""),IF(AND(T70&gt;=AsOf,T70&lt;=AsOf+AlertDays),1,0),0)</f>
        <v/>
      </c>
      <c r="AG70" s="79">
        <f>IF(Y70="Order now",1,0)</f>
        <v/>
      </c>
      <c r="AH70" s="79">
        <f>IF(OR(Y70="⚠️ Order late — install at risk",Y70="⚠️ Delivery after install date"),1,0)</f>
        <v/>
      </c>
      <c r="AI70" s="79">
        <f>IF(AND(B70&lt;&gt;"",K70&lt;&gt;"",U70&lt;&gt;"Yes",X70&lt;&gt;"Yes"),1,0)</f>
        <v/>
      </c>
      <c r="AJ70" s="79">
        <f>IF(Y70="⚠️ Order late — install at risk",1,0)</f>
        <v/>
      </c>
    </row>
    <row r="71" ht="20" customHeight="1">
      <c r="B71" s="72" t="n"/>
      <c r="C71" s="72" t="n"/>
      <c r="D71" s="72" t="n"/>
      <c r="E71" s="72" t="n"/>
      <c r="F71" s="73" t="n"/>
      <c r="G71" s="72" t="n"/>
      <c r="H71" s="73" t="n"/>
      <c r="I71" s="72" t="n"/>
      <c r="J71" s="73" t="n"/>
      <c r="K71" s="74" t="n"/>
      <c r="L71" s="75">
        <f>IF(K71="A",F71,IF(K71="B",H71,IF(K71="C",J71,"")))</f>
        <v/>
      </c>
      <c r="M71" s="72" t="n"/>
      <c r="N71" s="72" t="n"/>
      <c r="O71" s="89" t="n"/>
      <c r="P71" s="89" t="n"/>
      <c r="Q71" s="109" t="n"/>
      <c r="R71" s="120">
        <f>IF(B71="","",IF(Q71&lt;&gt;"",Q71,IF(P71="","",IFERROR(INDEX('Timeline'!$J$7:$J$1006,MATCH(P71,'Timeline'!$B$7:$B$1006,0)),""))))</f>
        <v/>
      </c>
      <c r="S71" s="126">
        <f>IF(R71="","",R71-IF(O71="",0,O71)-OrderBuf)</f>
        <v/>
      </c>
      <c r="T71" s="126">
        <f>IF(S71="","",S71-DecideBuf)</f>
        <v/>
      </c>
      <c r="U71" s="74" t="n"/>
      <c r="V71" s="109" t="n"/>
      <c r="W71" s="109" t="n"/>
      <c r="X71" s="74" t="n"/>
      <c r="Y71" s="116">
        <f>IF(B71="","",IF(X71="Yes","Delivered",IF(U71="Yes",IF(AND(W71&lt;&gt;"",R71&lt;&gt;""),IF(W71&gt;R71,"⚠️ Delivery after install date","Ordered"),"Ordered"),IF(K71="",IF(T71="","Waiting for decision",IF(T71&lt;=AsOf+AlertDays,"Decide now","Waiting for decision")),IF(S71="","Selected",IF(AsOf&gt;S71,"⚠️ Order late — install at risk",IF(S71&lt;=AsOf+AlertDays,"Order now","Selected")))))))</f>
        <v/>
      </c>
      <c r="Z71" s="79">
        <f>IF(B71="","",IF(OR(AH71=1,AE71=1),2,IF(OR(AG71=1,AF71=1),1,IF(OR(Y71="Ordered",Y71="Delivered"),0,""))))</f>
        <v/>
      </c>
      <c r="AA71" s="112">
        <f>IF(B71="","",IF(AH71=1,IF(Y71="⚠️ Delivery after install date",R71,S71),IF(AD71=1,T71,IF(AI71=1,S71,""))))</f>
        <v/>
      </c>
      <c r="AB71" s="79">
        <f>IF(AA71="","",IF(AH71=1,1,IF(AA71="","",IF(AA71&lt;AsOf,1,IF(AA71&lt;=AsOf+AlertDays,2,IF(AA71&lt;=AsOf+2*AlertDays,3,""))))))</f>
        <v/>
      </c>
      <c r="AC71" s="79">
        <f>IF(AB71="","",IF(AH71=1,IF(Y71="⚠️ Delivery after install date","Delivery after install date: "&amp;B71,"Order late — install at risk: "&amp;B71),IF(AD71=1,IF(AB71=1,"Decision overdue: ","Decide: ")&amp;B71,"Order: "&amp;B71&amp;IF(N71="",""," from "&amp;N71))))</f>
        <v/>
      </c>
      <c r="AD71" s="79">
        <f>IF(AND(B71&lt;&gt;"",K71="",U71&lt;&gt;"Yes",X71&lt;&gt;"Yes"),1,0)</f>
        <v/>
      </c>
      <c r="AE71" s="79">
        <f>IF(AND(AD71=1,T71&lt;&gt;""),IF(T71&lt;AsOf,1,0),0)</f>
        <v/>
      </c>
      <c r="AF71" s="79">
        <f>IF(AND(AD71=1,T71&lt;&gt;""),IF(AND(T71&gt;=AsOf,T71&lt;=AsOf+AlertDays),1,0),0)</f>
        <v/>
      </c>
      <c r="AG71" s="79">
        <f>IF(Y71="Order now",1,0)</f>
        <v/>
      </c>
      <c r="AH71" s="79">
        <f>IF(OR(Y71="⚠️ Order late — install at risk",Y71="⚠️ Delivery after install date"),1,0)</f>
        <v/>
      </c>
      <c r="AI71" s="79">
        <f>IF(AND(B71&lt;&gt;"",K71&lt;&gt;"",U71&lt;&gt;"Yes",X71&lt;&gt;"Yes"),1,0)</f>
        <v/>
      </c>
      <c r="AJ71" s="79">
        <f>IF(Y71="⚠️ Order late — install at risk",1,0)</f>
        <v/>
      </c>
    </row>
    <row r="72" ht="20" customHeight="1">
      <c r="B72" s="72" t="n"/>
      <c r="C72" s="72" t="n"/>
      <c r="D72" s="72" t="n"/>
      <c r="E72" s="72" t="n"/>
      <c r="F72" s="73" t="n"/>
      <c r="G72" s="72" t="n"/>
      <c r="H72" s="73" t="n"/>
      <c r="I72" s="72" t="n"/>
      <c r="J72" s="73" t="n"/>
      <c r="K72" s="74" t="n"/>
      <c r="L72" s="75">
        <f>IF(K72="A",F72,IF(K72="B",H72,IF(K72="C",J72,"")))</f>
        <v/>
      </c>
      <c r="M72" s="72" t="n"/>
      <c r="N72" s="72" t="n"/>
      <c r="O72" s="89" t="n"/>
      <c r="P72" s="89" t="n"/>
      <c r="Q72" s="109" t="n"/>
      <c r="R72" s="120">
        <f>IF(B72="","",IF(Q72&lt;&gt;"",Q72,IF(P72="","",IFERROR(INDEX('Timeline'!$J$7:$J$1006,MATCH(P72,'Timeline'!$B$7:$B$1006,0)),""))))</f>
        <v/>
      </c>
      <c r="S72" s="126">
        <f>IF(R72="","",R72-IF(O72="",0,O72)-OrderBuf)</f>
        <v/>
      </c>
      <c r="T72" s="126">
        <f>IF(S72="","",S72-DecideBuf)</f>
        <v/>
      </c>
      <c r="U72" s="74" t="n"/>
      <c r="V72" s="109" t="n"/>
      <c r="W72" s="109" t="n"/>
      <c r="X72" s="74" t="n"/>
      <c r="Y72" s="116">
        <f>IF(B72="","",IF(X72="Yes","Delivered",IF(U72="Yes",IF(AND(W72&lt;&gt;"",R72&lt;&gt;""),IF(W72&gt;R72,"⚠️ Delivery after install date","Ordered"),"Ordered"),IF(K72="",IF(T72="","Waiting for decision",IF(T72&lt;=AsOf+AlertDays,"Decide now","Waiting for decision")),IF(S72="","Selected",IF(AsOf&gt;S72,"⚠️ Order late — install at risk",IF(S72&lt;=AsOf+AlertDays,"Order now","Selected")))))))</f>
        <v/>
      </c>
      <c r="Z72" s="79">
        <f>IF(B72="","",IF(OR(AH72=1,AE72=1),2,IF(OR(AG72=1,AF72=1),1,IF(OR(Y72="Ordered",Y72="Delivered"),0,""))))</f>
        <v/>
      </c>
      <c r="AA72" s="112">
        <f>IF(B72="","",IF(AH72=1,IF(Y72="⚠️ Delivery after install date",R72,S72),IF(AD72=1,T72,IF(AI72=1,S72,""))))</f>
        <v/>
      </c>
      <c r="AB72" s="79">
        <f>IF(AA72="","",IF(AH72=1,1,IF(AA72="","",IF(AA72&lt;AsOf,1,IF(AA72&lt;=AsOf+AlertDays,2,IF(AA72&lt;=AsOf+2*AlertDays,3,""))))))</f>
        <v/>
      </c>
      <c r="AC72" s="79">
        <f>IF(AB72="","",IF(AH72=1,IF(Y72="⚠️ Delivery after install date","Delivery after install date: "&amp;B72,"Order late — install at risk: "&amp;B72),IF(AD72=1,IF(AB72=1,"Decision overdue: ","Decide: ")&amp;B72,"Order: "&amp;B72&amp;IF(N72="",""," from "&amp;N72))))</f>
        <v/>
      </c>
      <c r="AD72" s="79">
        <f>IF(AND(B72&lt;&gt;"",K72="",U72&lt;&gt;"Yes",X72&lt;&gt;"Yes"),1,0)</f>
        <v/>
      </c>
      <c r="AE72" s="79">
        <f>IF(AND(AD72=1,T72&lt;&gt;""),IF(T72&lt;AsOf,1,0),0)</f>
        <v/>
      </c>
      <c r="AF72" s="79">
        <f>IF(AND(AD72=1,T72&lt;&gt;""),IF(AND(T72&gt;=AsOf,T72&lt;=AsOf+AlertDays),1,0),0)</f>
        <v/>
      </c>
      <c r="AG72" s="79">
        <f>IF(Y72="Order now",1,0)</f>
        <v/>
      </c>
      <c r="AH72" s="79">
        <f>IF(OR(Y72="⚠️ Order late — install at risk",Y72="⚠️ Delivery after install date"),1,0)</f>
        <v/>
      </c>
      <c r="AI72" s="79">
        <f>IF(AND(B72&lt;&gt;"",K72&lt;&gt;"",U72&lt;&gt;"Yes",X72&lt;&gt;"Yes"),1,0)</f>
        <v/>
      </c>
      <c r="AJ72" s="79">
        <f>IF(Y72="⚠️ Order late — install at risk",1,0)</f>
        <v/>
      </c>
    </row>
    <row r="73" ht="20" customHeight="1">
      <c r="B73" s="72" t="n"/>
      <c r="C73" s="72" t="n"/>
      <c r="D73" s="72" t="n"/>
      <c r="E73" s="72" t="n"/>
      <c r="F73" s="73" t="n"/>
      <c r="G73" s="72" t="n"/>
      <c r="H73" s="73" t="n"/>
      <c r="I73" s="72" t="n"/>
      <c r="J73" s="73" t="n"/>
      <c r="K73" s="74" t="n"/>
      <c r="L73" s="75">
        <f>IF(K73="A",F73,IF(K73="B",H73,IF(K73="C",J73,"")))</f>
        <v/>
      </c>
      <c r="M73" s="72" t="n"/>
      <c r="N73" s="72" t="n"/>
      <c r="O73" s="89" t="n"/>
      <c r="P73" s="89" t="n"/>
      <c r="Q73" s="109" t="n"/>
      <c r="R73" s="120">
        <f>IF(B73="","",IF(Q73&lt;&gt;"",Q73,IF(P73="","",IFERROR(INDEX('Timeline'!$J$7:$J$1006,MATCH(P73,'Timeline'!$B$7:$B$1006,0)),""))))</f>
        <v/>
      </c>
      <c r="S73" s="126">
        <f>IF(R73="","",R73-IF(O73="",0,O73)-OrderBuf)</f>
        <v/>
      </c>
      <c r="T73" s="126">
        <f>IF(S73="","",S73-DecideBuf)</f>
        <v/>
      </c>
      <c r="U73" s="74" t="n"/>
      <c r="V73" s="109" t="n"/>
      <c r="W73" s="109" t="n"/>
      <c r="X73" s="74" t="n"/>
      <c r="Y73" s="116">
        <f>IF(B73="","",IF(X73="Yes","Delivered",IF(U73="Yes",IF(AND(W73&lt;&gt;"",R73&lt;&gt;""),IF(W73&gt;R73,"⚠️ Delivery after install date","Ordered"),"Ordered"),IF(K73="",IF(T73="","Waiting for decision",IF(T73&lt;=AsOf+AlertDays,"Decide now","Waiting for decision")),IF(S73="","Selected",IF(AsOf&gt;S73,"⚠️ Order late — install at risk",IF(S73&lt;=AsOf+AlertDays,"Order now","Selected")))))))</f>
        <v/>
      </c>
      <c r="Z73" s="79">
        <f>IF(B73="","",IF(OR(AH73=1,AE73=1),2,IF(OR(AG73=1,AF73=1),1,IF(OR(Y73="Ordered",Y73="Delivered"),0,""))))</f>
        <v/>
      </c>
      <c r="AA73" s="112">
        <f>IF(B73="","",IF(AH73=1,IF(Y73="⚠️ Delivery after install date",R73,S73),IF(AD73=1,T73,IF(AI73=1,S73,""))))</f>
        <v/>
      </c>
      <c r="AB73" s="79">
        <f>IF(AA73="","",IF(AH73=1,1,IF(AA73="","",IF(AA73&lt;AsOf,1,IF(AA73&lt;=AsOf+AlertDays,2,IF(AA73&lt;=AsOf+2*AlertDays,3,""))))))</f>
        <v/>
      </c>
      <c r="AC73" s="79">
        <f>IF(AB73="","",IF(AH73=1,IF(Y73="⚠️ Delivery after install date","Delivery after install date: "&amp;B73,"Order late — install at risk: "&amp;B73),IF(AD73=1,IF(AB73=1,"Decision overdue: ","Decide: ")&amp;B73,"Order: "&amp;B73&amp;IF(N73="",""," from "&amp;N73))))</f>
        <v/>
      </c>
      <c r="AD73" s="79">
        <f>IF(AND(B73&lt;&gt;"",K73="",U73&lt;&gt;"Yes",X73&lt;&gt;"Yes"),1,0)</f>
        <v/>
      </c>
      <c r="AE73" s="79">
        <f>IF(AND(AD73=1,T73&lt;&gt;""),IF(T73&lt;AsOf,1,0),0)</f>
        <v/>
      </c>
      <c r="AF73" s="79">
        <f>IF(AND(AD73=1,T73&lt;&gt;""),IF(AND(T73&gt;=AsOf,T73&lt;=AsOf+AlertDays),1,0),0)</f>
        <v/>
      </c>
      <c r="AG73" s="79">
        <f>IF(Y73="Order now",1,0)</f>
        <v/>
      </c>
      <c r="AH73" s="79">
        <f>IF(OR(Y73="⚠️ Order late — install at risk",Y73="⚠️ Delivery after install date"),1,0)</f>
        <v/>
      </c>
      <c r="AI73" s="79">
        <f>IF(AND(B73&lt;&gt;"",K73&lt;&gt;"",U73&lt;&gt;"Yes",X73&lt;&gt;"Yes"),1,0)</f>
        <v/>
      </c>
      <c r="AJ73" s="79">
        <f>IF(Y73="⚠️ Order late — install at risk",1,0)</f>
        <v/>
      </c>
    </row>
    <row r="74" ht="20" customHeight="1">
      <c r="B74" s="72" t="n"/>
      <c r="C74" s="72" t="n"/>
      <c r="D74" s="72" t="n"/>
      <c r="E74" s="72" t="n"/>
      <c r="F74" s="73" t="n"/>
      <c r="G74" s="72" t="n"/>
      <c r="H74" s="73" t="n"/>
      <c r="I74" s="72" t="n"/>
      <c r="J74" s="73" t="n"/>
      <c r="K74" s="74" t="n"/>
      <c r="L74" s="75">
        <f>IF(K74="A",F74,IF(K74="B",H74,IF(K74="C",J74,"")))</f>
        <v/>
      </c>
      <c r="M74" s="72" t="n"/>
      <c r="N74" s="72" t="n"/>
      <c r="O74" s="89" t="n"/>
      <c r="P74" s="89" t="n"/>
      <c r="Q74" s="109" t="n"/>
      <c r="R74" s="120">
        <f>IF(B74="","",IF(Q74&lt;&gt;"",Q74,IF(P74="","",IFERROR(INDEX('Timeline'!$J$7:$J$1006,MATCH(P74,'Timeline'!$B$7:$B$1006,0)),""))))</f>
        <v/>
      </c>
      <c r="S74" s="126">
        <f>IF(R74="","",R74-IF(O74="",0,O74)-OrderBuf)</f>
        <v/>
      </c>
      <c r="T74" s="126">
        <f>IF(S74="","",S74-DecideBuf)</f>
        <v/>
      </c>
      <c r="U74" s="74" t="n"/>
      <c r="V74" s="109" t="n"/>
      <c r="W74" s="109" t="n"/>
      <c r="X74" s="74" t="n"/>
      <c r="Y74" s="116">
        <f>IF(B74="","",IF(X74="Yes","Delivered",IF(U74="Yes",IF(AND(W74&lt;&gt;"",R74&lt;&gt;""),IF(W74&gt;R74,"⚠️ Delivery after install date","Ordered"),"Ordered"),IF(K74="",IF(T74="","Waiting for decision",IF(T74&lt;=AsOf+AlertDays,"Decide now","Waiting for decision")),IF(S74="","Selected",IF(AsOf&gt;S74,"⚠️ Order late — install at risk",IF(S74&lt;=AsOf+AlertDays,"Order now","Selected")))))))</f>
        <v/>
      </c>
      <c r="Z74" s="79">
        <f>IF(B74="","",IF(OR(AH74=1,AE74=1),2,IF(OR(AG74=1,AF74=1),1,IF(OR(Y74="Ordered",Y74="Delivered"),0,""))))</f>
        <v/>
      </c>
      <c r="AA74" s="112">
        <f>IF(B74="","",IF(AH74=1,IF(Y74="⚠️ Delivery after install date",R74,S74),IF(AD74=1,T74,IF(AI74=1,S74,""))))</f>
        <v/>
      </c>
      <c r="AB74" s="79">
        <f>IF(AA74="","",IF(AH74=1,1,IF(AA74="","",IF(AA74&lt;AsOf,1,IF(AA74&lt;=AsOf+AlertDays,2,IF(AA74&lt;=AsOf+2*AlertDays,3,""))))))</f>
        <v/>
      </c>
      <c r="AC74" s="79">
        <f>IF(AB74="","",IF(AH74=1,IF(Y74="⚠️ Delivery after install date","Delivery after install date: "&amp;B74,"Order late — install at risk: "&amp;B74),IF(AD74=1,IF(AB74=1,"Decision overdue: ","Decide: ")&amp;B74,"Order: "&amp;B74&amp;IF(N74="",""," from "&amp;N74))))</f>
        <v/>
      </c>
      <c r="AD74" s="79">
        <f>IF(AND(B74&lt;&gt;"",K74="",U74&lt;&gt;"Yes",X74&lt;&gt;"Yes"),1,0)</f>
        <v/>
      </c>
      <c r="AE74" s="79">
        <f>IF(AND(AD74=1,T74&lt;&gt;""),IF(T74&lt;AsOf,1,0),0)</f>
        <v/>
      </c>
      <c r="AF74" s="79">
        <f>IF(AND(AD74=1,T74&lt;&gt;""),IF(AND(T74&gt;=AsOf,T74&lt;=AsOf+AlertDays),1,0),0)</f>
        <v/>
      </c>
      <c r="AG74" s="79">
        <f>IF(Y74="Order now",1,0)</f>
        <v/>
      </c>
      <c r="AH74" s="79">
        <f>IF(OR(Y74="⚠️ Order late — install at risk",Y74="⚠️ Delivery after install date"),1,0)</f>
        <v/>
      </c>
      <c r="AI74" s="79">
        <f>IF(AND(B74&lt;&gt;"",K74&lt;&gt;"",U74&lt;&gt;"Yes",X74&lt;&gt;"Yes"),1,0)</f>
        <v/>
      </c>
      <c r="AJ74" s="79">
        <f>IF(Y74="⚠️ Order late — install at risk",1,0)</f>
        <v/>
      </c>
    </row>
    <row r="75" ht="20" customHeight="1">
      <c r="B75" s="72" t="n"/>
      <c r="C75" s="72" t="n"/>
      <c r="D75" s="72" t="n"/>
      <c r="E75" s="72" t="n"/>
      <c r="F75" s="73" t="n"/>
      <c r="G75" s="72" t="n"/>
      <c r="H75" s="73" t="n"/>
      <c r="I75" s="72" t="n"/>
      <c r="J75" s="73" t="n"/>
      <c r="K75" s="74" t="n"/>
      <c r="L75" s="75">
        <f>IF(K75="A",F75,IF(K75="B",H75,IF(K75="C",J75,"")))</f>
        <v/>
      </c>
      <c r="M75" s="72" t="n"/>
      <c r="N75" s="72" t="n"/>
      <c r="O75" s="89" t="n"/>
      <c r="P75" s="89" t="n"/>
      <c r="Q75" s="109" t="n"/>
      <c r="R75" s="120">
        <f>IF(B75="","",IF(Q75&lt;&gt;"",Q75,IF(P75="","",IFERROR(INDEX('Timeline'!$J$7:$J$1006,MATCH(P75,'Timeline'!$B$7:$B$1006,0)),""))))</f>
        <v/>
      </c>
      <c r="S75" s="126">
        <f>IF(R75="","",R75-IF(O75="",0,O75)-OrderBuf)</f>
        <v/>
      </c>
      <c r="T75" s="126">
        <f>IF(S75="","",S75-DecideBuf)</f>
        <v/>
      </c>
      <c r="U75" s="74" t="n"/>
      <c r="V75" s="109" t="n"/>
      <c r="W75" s="109" t="n"/>
      <c r="X75" s="74" t="n"/>
      <c r="Y75" s="116">
        <f>IF(B75="","",IF(X75="Yes","Delivered",IF(U75="Yes",IF(AND(W75&lt;&gt;"",R75&lt;&gt;""),IF(W75&gt;R75,"⚠️ Delivery after install date","Ordered"),"Ordered"),IF(K75="",IF(T75="","Waiting for decision",IF(T75&lt;=AsOf+AlertDays,"Decide now","Waiting for decision")),IF(S75="","Selected",IF(AsOf&gt;S75,"⚠️ Order late — install at risk",IF(S75&lt;=AsOf+AlertDays,"Order now","Selected")))))))</f>
        <v/>
      </c>
      <c r="Z75" s="79">
        <f>IF(B75="","",IF(OR(AH75=1,AE75=1),2,IF(OR(AG75=1,AF75=1),1,IF(OR(Y75="Ordered",Y75="Delivered"),0,""))))</f>
        <v/>
      </c>
      <c r="AA75" s="112">
        <f>IF(B75="","",IF(AH75=1,IF(Y75="⚠️ Delivery after install date",R75,S75),IF(AD75=1,T75,IF(AI75=1,S75,""))))</f>
        <v/>
      </c>
      <c r="AB75" s="79">
        <f>IF(AA75="","",IF(AH75=1,1,IF(AA75="","",IF(AA75&lt;AsOf,1,IF(AA75&lt;=AsOf+AlertDays,2,IF(AA75&lt;=AsOf+2*AlertDays,3,""))))))</f>
        <v/>
      </c>
      <c r="AC75" s="79">
        <f>IF(AB75="","",IF(AH75=1,IF(Y75="⚠️ Delivery after install date","Delivery after install date: "&amp;B75,"Order late — install at risk: "&amp;B75),IF(AD75=1,IF(AB75=1,"Decision overdue: ","Decide: ")&amp;B75,"Order: "&amp;B75&amp;IF(N75="",""," from "&amp;N75))))</f>
        <v/>
      </c>
      <c r="AD75" s="79">
        <f>IF(AND(B75&lt;&gt;"",K75="",U75&lt;&gt;"Yes",X75&lt;&gt;"Yes"),1,0)</f>
        <v/>
      </c>
      <c r="AE75" s="79">
        <f>IF(AND(AD75=1,T75&lt;&gt;""),IF(T75&lt;AsOf,1,0),0)</f>
        <v/>
      </c>
      <c r="AF75" s="79">
        <f>IF(AND(AD75=1,T75&lt;&gt;""),IF(AND(T75&gt;=AsOf,T75&lt;=AsOf+AlertDays),1,0),0)</f>
        <v/>
      </c>
      <c r="AG75" s="79">
        <f>IF(Y75="Order now",1,0)</f>
        <v/>
      </c>
      <c r="AH75" s="79">
        <f>IF(OR(Y75="⚠️ Order late — install at risk",Y75="⚠️ Delivery after install date"),1,0)</f>
        <v/>
      </c>
      <c r="AI75" s="79">
        <f>IF(AND(B75&lt;&gt;"",K75&lt;&gt;"",U75&lt;&gt;"Yes",X75&lt;&gt;"Yes"),1,0)</f>
        <v/>
      </c>
      <c r="AJ75" s="79">
        <f>IF(Y75="⚠️ Order late — install at risk",1,0)</f>
        <v/>
      </c>
    </row>
    <row r="76" ht="20" customHeight="1">
      <c r="B76" s="72" t="n"/>
      <c r="C76" s="72" t="n"/>
      <c r="D76" s="72" t="n"/>
      <c r="E76" s="72" t="n"/>
      <c r="F76" s="73" t="n"/>
      <c r="G76" s="72" t="n"/>
      <c r="H76" s="73" t="n"/>
      <c r="I76" s="72" t="n"/>
      <c r="J76" s="73" t="n"/>
      <c r="K76" s="74" t="n"/>
      <c r="L76" s="75">
        <f>IF(K76="A",F76,IF(K76="B",H76,IF(K76="C",J76,"")))</f>
        <v/>
      </c>
      <c r="M76" s="72" t="n"/>
      <c r="N76" s="72" t="n"/>
      <c r="O76" s="89" t="n"/>
      <c r="P76" s="89" t="n"/>
      <c r="Q76" s="109" t="n"/>
      <c r="R76" s="120">
        <f>IF(B76="","",IF(Q76&lt;&gt;"",Q76,IF(P76="","",IFERROR(INDEX('Timeline'!$J$7:$J$1006,MATCH(P76,'Timeline'!$B$7:$B$1006,0)),""))))</f>
        <v/>
      </c>
      <c r="S76" s="126">
        <f>IF(R76="","",R76-IF(O76="",0,O76)-OrderBuf)</f>
        <v/>
      </c>
      <c r="T76" s="126">
        <f>IF(S76="","",S76-DecideBuf)</f>
        <v/>
      </c>
      <c r="U76" s="74" t="n"/>
      <c r="V76" s="109" t="n"/>
      <c r="W76" s="109" t="n"/>
      <c r="X76" s="74" t="n"/>
      <c r="Y76" s="116">
        <f>IF(B76="","",IF(X76="Yes","Delivered",IF(U76="Yes",IF(AND(W76&lt;&gt;"",R76&lt;&gt;""),IF(W76&gt;R76,"⚠️ Delivery after install date","Ordered"),"Ordered"),IF(K76="",IF(T76="","Waiting for decision",IF(T76&lt;=AsOf+AlertDays,"Decide now","Waiting for decision")),IF(S76="","Selected",IF(AsOf&gt;S76,"⚠️ Order late — install at risk",IF(S76&lt;=AsOf+AlertDays,"Order now","Selected")))))))</f>
        <v/>
      </c>
      <c r="Z76" s="79">
        <f>IF(B76="","",IF(OR(AH76=1,AE76=1),2,IF(OR(AG76=1,AF76=1),1,IF(OR(Y76="Ordered",Y76="Delivered"),0,""))))</f>
        <v/>
      </c>
      <c r="AA76" s="112">
        <f>IF(B76="","",IF(AH76=1,IF(Y76="⚠️ Delivery after install date",R76,S76),IF(AD76=1,T76,IF(AI76=1,S76,""))))</f>
        <v/>
      </c>
      <c r="AB76" s="79">
        <f>IF(AA76="","",IF(AH76=1,1,IF(AA76="","",IF(AA76&lt;AsOf,1,IF(AA76&lt;=AsOf+AlertDays,2,IF(AA76&lt;=AsOf+2*AlertDays,3,""))))))</f>
        <v/>
      </c>
      <c r="AC76" s="79">
        <f>IF(AB76="","",IF(AH76=1,IF(Y76="⚠️ Delivery after install date","Delivery after install date: "&amp;B76,"Order late — install at risk: "&amp;B76),IF(AD76=1,IF(AB76=1,"Decision overdue: ","Decide: ")&amp;B76,"Order: "&amp;B76&amp;IF(N76="",""," from "&amp;N76))))</f>
        <v/>
      </c>
      <c r="AD76" s="79">
        <f>IF(AND(B76&lt;&gt;"",K76="",U76&lt;&gt;"Yes",X76&lt;&gt;"Yes"),1,0)</f>
        <v/>
      </c>
      <c r="AE76" s="79">
        <f>IF(AND(AD76=1,T76&lt;&gt;""),IF(T76&lt;AsOf,1,0),0)</f>
        <v/>
      </c>
      <c r="AF76" s="79">
        <f>IF(AND(AD76=1,T76&lt;&gt;""),IF(AND(T76&gt;=AsOf,T76&lt;=AsOf+AlertDays),1,0),0)</f>
        <v/>
      </c>
      <c r="AG76" s="79">
        <f>IF(Y76="Order now",1,0)</f>
        <v/>
      </c>
      <c r="AH76" s="79">
        <f>IF(OR(Y76="⚠️ Order late — install at risk",Y76="⚠️ Delivery after install date"),1,0)</f>
        <v/>
      </c>
      <c r="AI76" s="79">
        <f>IF(AND(B76&lt;&gt;"",K76&lt;&gt;"",U76&lt;&gt;"Yes",X76&lt;&gt;"Yes"),1,0)</f>
        <v/>
      </c>
      <c r="AJ76" s="79">
        <f>IF(Y76="⚠️ Order late — install at risk",1,0)</f>
        <v/>
      </c>
    </row>
    <row r="77" ht="20" customHeight="1">
      <c r="B77" s="72" t="n"/>
      <c r="C77" s="72" t="n"/>
      <c r="D77" s="72" t="n"/>
      <c r="E77" s="72" t="n"/>
      <c r="F77" s="73" t="n"/>
      <c r="G77" s="72" t="n"/>
      <c r="H77" s="73" t="n"/>
      <c r="I77" s="72" t="n"/>
      <c r="J77" s="73" t="n"/>
      <c r="K77" s="74" t="n"/>
      <c r="L77" s="75">
        <f>IF(K77="A",F77,IF(K77="B",H77,IF(K77="C",J77,"")))</f>
        <v/>
      </c>
      <c r="M77" s="72" t="n"/>
      <c r="N77" s="72" t="n"/>
      <c r="O77" s="89" t="n"/>
      <c r="P77" s="89" t="n"/>
      <c r="Q77" s="109" t="n"/>
      <c r="R77" s="120">
        <f>IF(B77="","",IF(Q77&lt;&gt;"",Q77,IF(P77="","",IFERROR(INDEX('Timeline'!$J$7:$J$1006,MATCH(P77,'Timeline'!$B$7:$B$1006,0)),""))))</f>
        <v/>
      </c>
      <c r="S77" s="126">
        <f>IF(R77="","",R77-IF(O77="",0,O77)-OrderBuf)</f>
        <v/>
      </c>
      <c r="T77" s="126">
        <f>IF(S77="","",S77-DecideBuf)</f>
        <v/>
      </c>
      <c r="U77" s="74" t="n"/>
      <c r="V77" s="109" t="n"/>
      <c r="W77" s="109" t="n"/>
      <c r="X77" s="74" t="n"/>
      <c r="Y77" s="116">
        <f>IF(B77="","",IF(X77="Yes","Delivered",IF(U77="Yes",IF(AND(W77&lt;&gt;"",R77&lt;&gt;""),IF(W77&gt;R77,"⚠️ Delivery after install date","Ordered"),"Ordered"),IF(K77="",IF(T77="","Waiting for decision",IF(T77&lt;=AsOf+AlertDays,"Decide now","Waiting for decision")),IF(S77="","Selected",IF(AsOf&gt;S77,"⚠️ Order late — install at risk",IF(S77&lt;=AsOf+AlertDays,"Order now","Selected")))))))</f>
        <v/>
      </c>
      <c r="Z77" s="79">
        <f>IF(B77="","",IF(OR(AH77=1,AE77=1),2,IF(OR(AG77=1,AF77=1),1,IF(OR(Y77="Ordered",Y77="Delivered"),0,""))))</f>
        <v/>
      </c>
      <c r="AA77" s="112">
        <f>IF(B77="","",IF(AH77=1,IF(Y77="⚠️ Delivery after install date",R77,S77),IF(AD77=1,T77,IF(AI77=1,S77,""))))</f>
        <v/>
      </c>
      <c r="AB77" s="79">
        <f>IF(AA77="","",IF(AH77=1,1,IF(AA77="","",IF(AA77&lt;AsOf,1,IF(AA77&lt;=AsOf+AlertDays,2,IF(AA77&lt;=AsOf+2*AlertDays,3,""))))))</f>
        <v/>
      </c>
      <c r="AC77" s="79">
        <f>IF(AB77="","",IF(AH77=1,IF(Y77="⚠️ Delivery after install date","Delivery after install date: "&amp;B77,"Order late — install at risk: "&amp;B77),IF(AD77=1,IF(AB77=1,"Decision overdue: ","Decide: ")&amp;B77,"Order: "&amp;B77&amp;IF(N77="",""," from "&amp;N77))))</f>
        <v/>
      </c>
      <c r="AD77" s="79">
        <f>IF(AND(B77&lt;&gt;"",K77="",U77&lt;&gt;"Yes",X77&lt;&gt;"Yes"),1,0)</f>
        <v/>
      </c>
      <c r="AE77" s="79">
        <f>IF(AND(AD77=1,T77&lt;&gt;""),IF(T77&lt;AsOf,1,0),0)</f>
        <v/>
      </c>
      <c r="AF77" s="79">
        <f>IF(AND(AD77=1,T77&lt;&gt;""),IF(AND(T77&gt;=AsOf,T77&lt;=AsOf+AlertDays),1,0),0)</f>
        <v/>
      </c>
      <c r="AG77" s="79">
        <f>IF(Y77="Order now",1,0)</f>
        <v/>
      </c>
      <c r="AH77" s="79">
        <f>IF(OR(Y77="⚠️ Order late — install at risk",Y77="⚠️ Delivery after install date"),1,0)</f>
        <v/>
      </c>
      <c r="AI77" s="79">
        <f>IF(AND(B77&lt;&gt;"",K77&lt;&gt;"",U77&lt;&gt;"Yes",X77&lt;&gt;"Yes"),1,0)</f>
        <v/>
      </c>
      <c r="AJ77" s="79">
        <f>IF(Y77="⚠️ Order late — install at risk",1,0)</f>
        <v/>
      </c>
    </row>
    <row r="78" ht="20" customHeight="1">
      <c r="B78" s="72" t="n"/>
      <c r="C78" s="72" t="n"/>
      <c r="D78" s="72" t="n"/>
      <c r="E78" s="72" t="n"/>
      <c r="F78" s="73" t="n"/>
      <c r="G78" s="72" t="n"/>
      <c r="H78" s="73" t="n"/>
      <c r="I78" s="72" t="n"/>
      <c r="J78" s="73" t="n"/>
      <c r="K78" s="74" t="n"/>
      <c r="L78" s="75">
        <f>IF(K78="A",F78,IF(K78="B",H78,IF(K78="C",J78,"")))</f>
        <v/>
      </c>
      <c r="M78" s="72" t="n"/>
      <c r="N78" s="72" t="n"/>
      <c r="O78" s="89" t="n"/>
      <c r="P78" s="89" t="n"/>
      <c r="Q78" s="109" t="n"/>
      <c r="R78" s="120">
        <f>IF(B78="","",IF(Q78&lt;&gt;"",Q78,IF(P78="","",IFERROR(INDEX('Timeline'!$J$7:$J$1006,MATCH(P78,'Timeline'!$B$7:$B$1006,0)),""))))</f>
        <v/>
      </c>
      <c r="S78" s="126">
        <f>IF(R78="","",R78-IF(O78="",0,O78)-OrderBuf)</f>
        <v/>
      </c>
      <c r="T78" s="126">
        <f>IF(S78="","",S78-DecideBuf)</f>
        <v/>
      </c>
      <c r="U78" s="74" t="n"/>
      <c r="V78" s="109" t="n"/>
      <c r="W78" s="109" t="n"/>
      <c r="X78" s="74" t="n"/>
      <c r="Y78" s="116">
        <f>IF(B78="","",IF(X78="Yes","Delivered",IF(U78="Yes",IF(AND(W78&lt;&gt;"",R78&lt;&gt;""),IF(W78&gt;R78,"⚠️ Delivery after install date","Ordered"),"Ordered"),IF(K78="",IF(T78="","Waiting for decision",IF(T78&lt;=AsOf+AlertDays,"Decide now","Waiting for decision")),IF(S78="","Selected",IF(AsOf&gt;S78,"⚠️ Order late — install at risk",IF(S78&lt;=AsOf+AlertDays,"Order now","Selected")))))))</f>
        <v/>
      </c>
      <c r="Z78" s="79">
        <f>IF(B78="","",IF(OR(AH78=1,AE78=1),2,IF(OR(AG78=1,AF78=1),1,IF(OR(Y78="Ordered",Y78="Delivered"),0,""))))</f>
        <v/>
      </c>
      <c r="AA78" s="112">
        <f>IF(B78="","",IF(AH78=1,IF(Y78="⚠️ Delivery after install date",R78,S78),IF(AD78=1,T78,IF(AI78=1,S78,""))))</f>
        <v/>
      </c>
      <c r="AB78" s="79">
        <f>IF(AA78="","",IF(AH78=1,1,IF(AA78="","",IF(AA78&lt;AsOf,1,IF(AA78&lt;=AsOf+AlertDays,2,IF(AA78&lt;=AsOf+2*AlertDays,3,""))))))</f>
        <v/>
      </c>
      <c r="AC78" s="79">
        <f>IF(AB78="","",IF(AH78=1,IF(Y78="⚠️ Delivery after install date","Delivery after install date: "&amp;B78,"Order late — install at risk: "&amp;B78),IF(AD78=1,IF(AB78=1,"Decision overdue: ","Decide: ")&amp;B78,"Order: "&amp;B78&amp;IF(N78="",""," from "&amp;N78))))</f>
        <v/>
      </c>
      <c r="AD78" s="79">
        <f>IF(AND(B78&lt;&gt;"",K78="",U78&lt;&gt;"Yes",X78&lt;&gt;"Yes"),1,0)</f>
        <v/>
      </c>
      <c r="AE78" s="79">
        <f>IF(AND(AD78=1,T78&lt;&gt;""),IF(T78&lt;AsOf,1,0),0)</f>
        <v/>
      </c>
      <c r="AF78" s="79">
        <f>IF(AND(AD78=1,T78&lt;&gt;""),IF(AND(T78&gt;=AsOf,T78&lt;=AsOf+AlertDays),1,0),0)</f>
        <v/>
      </c>
      <c r="AG78" s="79">
        <f>IF(Y78="Order now",1,0)</f>
        <v/>
      </c>
      <c r="AH78" s="79">
        <f>IF(OR(Y78="⚠️ Order late — install at risk",Y78="⚠️ Delivery after install date"),1,0)</f>
        <v/>
      </c>
      <c r="AI78" s="79">
        <f>IF(AND(B78&lt;&gt;"",K78&lt;&gt;"",U78&lt;&gt;"Yes",X78&lt;&gt;"Yes"),1,0)</f>
        <v/>
      </c>
      <c r="AJ78" s="79">
        <f>IF(Y78="⚠️ Order late — install at risk",1,0)</f>
        <v/>
      </c>
    </row>
    <row r="79" ht="20" customHeight="1">
      <c r="B79" s="72" t="n"/>
      <c r="C79" s="72" t="n"/>
      <c r="D79" s="72" t="n"/>
      <c r="E79" s="72" t="n"/>
      <c r="F79" s="73" t="n"/>
      <c r="G79" s="72" t="n"/>
      <c r="H79" s="73" t="n"/>
      <c r="I79" s="72" t="n"/>
      <c r="J79" s="73" t="n"/>
      <c r="K79" s="74" t="n"/>
      <c r="L79" s="75">
        <f>IF(K79="A",F79,IF(K79="B",H79,IF(K79="C",J79,"")))</f>
        <v/>
      </c>
      <c r="M79" s="72" t="n"/>
      <c r="N79" s="72" t="n"/>
      <c r="O79" s="89" t="n"/>
      <c r="P79" s="89" t="n"/>
      <c r="Q79" s="109" t="n"/>
      <c r="R79" s="120">
        <f>IF(B79="","",IF(Q79&lt;&gt;"",Q79,IF(P79="","",IFERROR(INDEX('Timeline'!$J$7:$J$1006,MATCH(P79,'Timeline'!$B$7:$B$1006,0)),""))))</f>
        <v/>
      </c>
      <c r="S79" s="126">
        <f>IF(R79="","",R79-IF(O79="",0,O79)-OrderBuf)</f>
        <v/>
      </c>
      <c r="T79" s="126">
        <f>IF(S79="","",S79-DecideBuf)</f>
        <v/>
      </c>
      <c r="U79" s="74" t="n"/>
      <c r="V79" s="109" t="n"/>
      <c r="W79" s="109" t="n"/>
      <c r="X79" s="74" t="n"/>
      <c r="Y79" s="116">
        <f>IF(B79="","",IF(X79="Yes","Delivered",IF(U79="Yes",IF(AND(W79&lt;&gt;"",R79&lt;&gt;""),IF(W79&gt;R79,"⚠️ Delivery after install date","Ordered"),"Ordered"),IF(K79="",IF(T79="","Waiting for decision",IF(T79&lt;=AsOf+AlertDays,"Decide now","Waiting for decision")),IF(S79="","Selected",IF(AsOf&gt;S79,"⚠️ Order late — install at risk",IF(S79&lt;=AsOf+AlertDays,"Order now","Selected")))))))</f>
        <v/>
      </c>
      <c r="Z79" s="79">
        <f>IF(B79="","",IF(OR(AH79=1,AE79=1),2,IF(OR(AG79=1,AF79=1),1,IF(OR(Y79="Ordered",Y79="Delivered"),0,""))))</f>
        <v/>
      </c>
      <c r="AA79" s="112">
        <f>IF(B79="","",IF(AH79=1,IF(Y79="⚠️ Delivery after install date",R79,S79),IF(AD79=1,T79,IF(AI79=1,S79,""))))</f>
        <v/>
      </c>
      <c r="AB79" s="79">
        <f>IF(AA79="","",IF(AH79=1,1,IF(AA79="","",IF(AA79&lt;AsOf,1,IF(AA79&lt;=AsOf+AlertDays,2,IF(AA79&lt;=AsOf+2*AlertDays,3,""))))))</f>
        <v/>
      </c>
      <c r="AC79" s="79">
        <f>IF(AB79="","",IF(AH79=1,IF(Y79="⚠️ Delivery after install date","Delivery after install date: "&amp;B79,"Order late — install at risk: "&amp;B79),IF(AD79=1,IF(AB79=1,"Decision overdue: ","Decide: ")&amp;B79,"Order: "&amp;B79&amp;IF(N79="",""," from "&amp;N79))))</f>
        <v/>
      </c>
      <c r="AD79" s="79">
        <f>IF(AND(B79&lt;&gt;"",K79="",U79&lt;&gt;"Yes",X79&lt;&gt;"Yes"),1,0)</f>
        <v/>
      </c>
      <c r="AE79" s="79">
        <f>IF(AND(AD79=1,T79&lt;&gt;""),IF(T79&lt;AsOf,1,0),0)</f>
        <v/>
      </c>
      <c r="AF79" s="79">
        <f>IF(AND(AD79=1,T79&lt;&gt;""),IF(AND(T79&gt;=AsOf,T79&lt;=AsOf+AlertDays),1,0),0)</f>
        <v/>
      </c>
      <c r="AG79" s="79">
        <f>IF(Y79="Order now",1,0)</f>
        <v/>
      </c>
      <c r="AH79" s="79">
        <f>IF(OR(Y79="⚠️ Order late — install at risk",Y79="⚠️ Delivery after install date"),1,0)</f>
        <v/>
      </c>
      <c r="AI79" s="79">
        <f>IF(AND(B79&lt;&gt;"",K79&lt;&gt;"",U79&lt;&gt;"Yes",X79&lt;&gt;"Yes"),1,0)</f>
        <v/>
      </c>
      <c r="AJ79" s="79">
        <f>IF(Y79="⚠️ Order late — install at risk",1,0)</f>
        <v/>
      </c>
    </row>
    <row r="80" ht="20" customHeight="1">
      <c r="B80" s="72" t="n"/>
      <c r="C80" s="72" t="n"/>
      <c r="D80" s="72" t="n"/>
      <c r="E80" s="72" t="n"/>
      <c r="F80" s="73" t="n"/>
      <c r="G80" s="72" t="n"/>
      <c r="H80" s="73" t="n"/>
      <c r="I80" s="72" t="n"/>
      <c r="J80" s="73" t="n"/>
      <c r="K80" s="74" t="n"/>
      <c r="L80" s="75">
        <f>IF(K80="A",F80,IF(K80="B",H80,IF(K80="C",J80,"")))</f>
        <v/>
      </c>
      <c r="M80" s="72" t="n"/>
      <c r="N80" s="72" t="n"/>
      <c r="O80" s="89" t="n"/>
      <c r="P80" s="89" t="n"/>
      <c r="Q80" s="109" t="n"/>
      <c r="R80" s="120">
        <f>IF(B80="","",IF(Q80&lt;&gt;"",Q80,IF(P80="","",IFERROR(INDEX('Timeline'!$J$7:$J$1006,MATCH(P80,'Timeline'!$B$7:$B$1006,0)),""))))</f>
        <v/>
      </c>
      <c r="S80" s="126">
        <f>IF(R80="","",R80-IF(O80="",0,O80)-OrderBuf)</f>
        <v/>
      </c>
      <c r="T80" s="126">
        <f>IF(S80="","",S80-DecideBuf)</f>
        <v/>
      </c>
      <c r="U80" s="74" t="n"/>
      <c r="V80" s="109" t="n"/>
      <c r="W80" s="109" t="n"/>
      <c r="X80" s="74" t="n"/>
      <c r="Y80" s="116">
        <f>IF(B80="","",IF(X80="Yes","Delivered",IF(U80="Yes",IF(AND(W80&lt;&gt;"",R80&lt;&gt;""),IF(W80&gt;R80,"⚠️ Delivery after install date","Ordered"),"Ordered"),IF(K80="",IF(T80="","Waiting for decision",IF(T80&lt;=AsOf+AlertDays,"Decide now","Waiting for decision")),IF(S80="","Selected",IF(AsOf&gt;S80,"⚠️ Order late — install at risk",IF(S80&lt;=AsOf+AlertDays,"Order now","Selected")))))))</f>
        <v/>
      </c>
      <c r="Z80" s="79">
        <f>IF(B80="","",IF(OR(AH80=1,AE80=1),2,IF(OR(AG80=1,AF80=1),1,IF(OR(Y80="Ordered",Y80="Delivered"),0,""))))</f>
        <v/>
      </c>
      <c r="AA80" s="112">
        <f>IF(B80="","",IF(AH80=1,IF(Y80="⚠️ Delivery after install date",R80,S80),IF(AD80=1,T80,IF(AI80=1,S80,""))))</f>
        <v/>
      </c>
      <c r="AB80" s="79">
        <f>IF(AA80="","",IF(AH80=1,1,IF(AA80="","",IF(AA80&lt;AsOf,1,IF(AA80&lt;=AsOf+AlertDays,2,IF(AA80&lt;=AsOf+2*AlertDays,3,""))))))</f>
        <v/>
      </c>
      <c r="AC80" s="79">
        <f>IF(AB80="","",IF(AH80=1,IF(Y80="⚠️ Delivery after install date","Delivery after install date: "&amp;B80,"Order late — install at risk: "&amp;B80),IF(AD80=1,IF(AB80=1,"Decision overdue: ","Decide: ")&amp;B80,"Order: "&amp;B80&amp;IF(N80="",""," from "&amp;N80))))</f>
        <v/>
      </c>
      <c r="AD80" s="79">
        <f>IF(AND(B80&lt;&gt;"",K80="",U80&lt;&gt;"Yes",X80&lt;&gt;"Yes"),1,0)</f>
        <v/>
      </c>
      <c r="AE80" s="79">
        <f>IF(AND(AD80=1,T80&lt;&gt;""),IF(T80&lt;AsOf,1,0),0)</f>
        <v/>
      </c>
      <c r="AF80" s="79">
        <f>IF(AND(AD80=1,T80&lt;&gt;""),IF(AND(T80&gt;=AsOf,T80&lt;=AsOf+AlertDays),1,0),0)</f>
        <v/>
      </c>
      <c r="AG80" s="79">
        <f>IF(Y80="Order now",1,0)</f>
        <v/>
      </c>
      <c r="AH80" s="79">
        <f>IF(OR(Y80="⚠️ Order late — install at risk",Y80="⚠️ Delivery after install date"),1,0)</f>
        <v/>
      </c>
      <c r="AI80" s="79">
        <f>IF(AND(B80&lt;&gt;"",K80&lt;&gt;"",U80&lt;&gt;"Yes",X80&lt;&gt;"Yes"),1,0)</f>
        <v/>
      </c>
      <c r="AJ80" s="79">
        <f>IF(Y80="⚠️ Order late — install at risk",1,0)</f>
        <v/>
      </c>
    </row>
    <row r="81" ht="20" customHeight="1">
      <c r="B81" s="72" t="n"/>
      <c r="C81" s="72" t="n"/>
      <c r="D81" s="72" t="n"/>
      <c r="E81" s="72" t="n"/>
      <c r="F81" s="73" t="n"/>
      <c r="G81" s="72" t="n"/>
      <c r="H81" s="73" t="n"/>
      <c r="I81" s="72" t="n"/>
      <c r="J81" s="73" t="n"/>
      <c r="K81" s="74" t="n"/>
      <c r="L81" s="75">
        <f>IF(K81="A",F81,IF(K81="B",H81,IF(K81="C",J81,"")))</f>
        <v/>
      </c>
      <c r="M81" s="72" t="n"/>
      <c r="N81" s="72" t="n"/>
      <c r="O81" s="89" t="n"/>
      <c r="P81" s="89" t="n"/>
      <c r="Q81" s="109" t="n"/>
      <c r="R81" s="120">
        <f>IF(B81="","",IF(Q81&lt;&gt;"",Q81,IF(P81="","",IFERROR(INDEX('Timeline'!$J$7:$J$1006,MATCH(P81,'Timeline'!$B$7:$B$1006,0)),""))))</f>
        <v/>
      </c>
      <c r="S81" s="126">
        <f>IF(R81="","",R81-IF(O81="",0,O81)-OrderBuf)</f>
        <v/>
      </c>
      <c r="T81" s="126">
        <f>IF(S81="","",S81-DecideBuf)</f>
        <v/>
      </c>
      <c r="U81" s="74" t="n"/>
      <c r="V81" s="109" t="n"/>
      <c r="W81" s="109" t="n"/>
      <c r="X81" s="74" t="n"/>
      <c r="Y81" s="116">
        <f>IF(B81="","",IF(X81="Yes","Delivered",IF(U81="Yes",IF(AND(W81&lt;&gt;"",R81&lt;&gt;""),IF(W81&gt;R81,"⚠️ Delivery after install date","Ordered"),"Ordered"),IF(K81="",IF(T81="","Waiting for decision",IF(T81&lt;=AsOf+AlertDays,"Decide now","Waiting for decision")),IF(S81="","Selected",IF(AsOf&gt;S81,"⚠️ Order late — install at risk",IF(S81&lt;=AsOf+AlertDays,"Order now","Selected")))))))</f>
        <v/>
      </c>
      <c r="Z81" s="79">
        <f>IF(B81="","",IF(OR(AH81=1,AE81=1),2,IF(OR(AG81=1,AF81=1),1,IF(OR(Y81="Ordered",Y81="Delivered"),0,""))))</f>
        <v/>
      </c>
      <c r="AA81" s="112">
        <f>IF(B81="","",IF(AH81=1,IF(Y81="⚠️ Delivery after install date",R81,S81),IF(AD81=1,T81,IF(AI81=1,S81,""))))</f>
        <v/>
      </c>
      <c r="AB81" s="79">
        <f>IF(AA81="","",IF(AH81=1,1,IF(AA81="","",IF(AA81&lt;AsOf,1,IF(AA81&lt;=AsOf+AlertDays,2,IF(AA81&lt;=AsOf+2*AlertDays,3,""))))))</f>
        <v/>
      </c>
      <c r="AC81" s="79">
        <f>IF(AB81="","",IF(AH81=1,IF(Y81="⚠️ Delivery after install date","Delivery after install date: "&amp;B81,"Order late — install at risk: "&amp;B81),IF(AD81=1,IF(AB81=1,"Decision overdue: ","Decide: ")&amp;B81,"Order: "&amp;B81&amp;IF(N81="",""," from "&amp;N81))))</f>
        <v/>
      </c>
      <c r="AD81" s="79">
        <f>IF(AND(B81&lt;&gt;"",K81="",U81&lt;&gt;"Yes",X81&lt;&gt;"Yes"),1,0)</f>
        <v/>
      </c>
      <c r="AE81" s="79">
        <f>IF(AND(AD81=1,T81&lt;&gt;""),IF(T81&lt;AsOf,1,0),0)</f>
        <v/>
      </c>
      <c r="AF81" s="79">
        <f>IF(AND(AD81=1,T81&lt;&gt;""),IF(AND(T81&gt;=AsOf,T81&lt;=AsOf+AlertDays),1,0),0)</f>
        <v/>
      </c>
      <c r="AG81" s="79">
        <f>IF(Y81="Order now",1,0)</f>
        <v/>
      </c>
      <c r="AH81" s="79">
        <f>IF(OR(Y81="⚠️ Order late — install at risk",Y81="⚠️ Delivery after install date"),1,0)</f>
        <v/>
      </c>
      <c r="AI81" s="79">
        <f>IF(AND(B81&lt;&gt;"",K81&lt;&gt;"",U81&lt;&gt;"Yes",X81&lt;&gt;"Yes"),1,0)</f>
        <v/>
      </c>
      <c r="AJ81" s="79">
        <f>IF(Y81="⚠️ Order late — install at risk",1,0)</f>
        <v/>
      </c>
    </row>
    <row r="82" ht="20" customHeight="1">
      <c r="B82" s="72" t="n"/>
      <c r="C82" s="72" t="n"/>
      <c r="D82" s="72" t="n"/>
      <c r="E82" s="72" t="n"/>
      <c r="F82" s="73" t="n"/>
      <c r="G82" s="72" t="n"/>
      <c r="H82" s="73" t="n"/>
      <c r="I82" s="72" t="n"/>
      <c r="J82" s="73" t="n"/>
      <c r="K82" s="74" t="n"/>
      <c r="L82" s="75">
        <f>IF(K82="A",F82,IF(K82="B",H82,IF(K82="C",J82,"")))</f>
        <v/>
      </c>
      <c r="M82" s="72" t="n"/>
      <c r="N82" s="72" t="n"/>
      <c r="O82" s="89" t="n"/>
      <c r="P82" s="89" t="n"/>
      <c r="Q82" s="109" t="n"/>
      <c r="R82" s="120">
        <f>IF(B82="","",IF(Q82&lt;&gt;"",Q82,IF(P82="","",IFERROR(INDEX('Timeline'!$J$7:$J$1006,MATCH(P82,'Timeline'!$B$7:$B$1006,0)),""))))</f>
        <v/>
      </c>
      <c r="S82" s="126">
        <f>IF(R82="","",R82-IF(O82="",0,O82)-OrderBuf)</f>
        <v/>
      </c>
      <c r="T82" s="126">
        <f>IF(S82="","",S82-DecideBuf)</f>
        <v/>
      </c>
      <c r="U82" s="74" t="n"/>
      <c r="V82" s="109" t="n"/>
      <c r="W82" s="109" t="n"/>
      <c r="X82" s="74" t="n"/>
      <c r="Y82" s="116">
        <f>IF(B82="","",IF(X82="Yes","Delivered",IF(U82="Yes",IF(AND(W82&lt;&gt;"",R82&lt;&gt;""),IF(W82&gt;R82,"⚠️ Delivery after install date","Ordered"),"Ordered"),IF(K82="",IF(T82="","Waiting for decision",IF(T82&lt;=AsOf+AlertDays,"Decide now","Waiting for decision")),IF(S82="","Selected",IF(AsOf&gt;S82,"⚠️ Order late — install at risk",IF(S82&lt;=AsOf+AlertDays,"Order now","Selected")))))))</f>
        <v/>
      </c>
      <c r="Z82" s="79">
        <f>IF(B82="","",IF(OR(AH82=1,AE82=1),2,IF(OR(AG82=1,AF82=1),1,IF(OR(Y82="Ordered",Y82="Delivered"),0,""))))</f>
        <v/>
      </c>
      <c r="AA82" s="112">
        <f>IF(B82="","",IF(AH82=1,IF(Y82="⚠️ Delivery after install date",R82,S82),IF(AD82=1,T82,IF(AI82=1,S82,""))))</f>
        <v/>
      </c>
      <c r="AB82" s="79">
        <f>IF(AA82="","",IF(AH82=1,1,IF(AA82="","",IF(AA82&lt;AsOf,1,IF(AA82&lt;=AsOf+AlertDays,2,IF(AA82&lt;=AsOf+2*AlertDays,3,""))))))</f>
        <v/>
      </c>
      <c r="AC82" s="79">
        <f>IF(AB82="","",IF(AH82=1,IF(Y82="⚠️ Delivery after install date","Delivery after install date: "&amp;B82,"Order late — install at risk: "&amp;B82),IF(AD82=1,IF(AB82=1,"Decision overdue: ","Decide: ")&amp;B82,"Order: "&amp;B82&amp;IF(N82="",""," from "&amp;N82))))</f>
        <v/>
      </c>
      <c r="AD82" s="79">
        <f>IF(AND(B82&lt;&gt;"",K82="",U82&lt;&gt;"Yes",X82&lt;&gt;"Yes"),1,0)</f>
        <v/>
      </c>
      <c r="AE82" s="79">
        <f>IF(AND(AD82=1,T82&lt;&gt;""),IF(T82&lt;AsOf,1,0),0)</f>
        <v/>
      </c>
      <c r="AF82" s="79">
        <f>IF(AND(AD82=1,T82&lt;&gt;""),IF(AND(T82&gt;=AsOf,T82&lt;=AsOf+AlertDays),1,0),0)</f>
        <v/>
      </c>
      <c r="AG82" s="79">
        <f>IF(Y82="Order now",1,0)</f>
        <v/>
      </c>
      <c r="AH82" s="79">
        <f>IF(OR(Y82="⚠️ Order late — install at risk",Y82="⚠️ Delivery after install date"),1,0)</f>
        <v/>
      </c>
      <c r="AI82" s="79">
        <f>IF(AND(B82&lt;&gt;"",K82&lt;&gt;"",U82&lt;&gt;"Yes",X82&lt;&gt;"Yes"),1,0)</f>
        <v/>
      </c>
      <c r="AJ82" s="79">
        <f>IF(Y82="⚠️ Order late — install at risk",1,0)</f>
        <v/>
      </c>
    </row>
    <row r="83" ht="20" customHeight="1">
      <c r="B83" s="72" t="n"/>
      <c r="C83" s="72" t="n"/>
      <c r="D83" s="72" t="n"/>
      <c r="E83" s="72" t="n"/>
      <c r="F83" s="73" t="n"/>
      <c r="G83" s="72" t="n"/>
      <c r="H83" s="73" t="n"/>
      <c r="I83" s="72" t="n"/>
      <c r="J83" s="73" t="n"/>
      <c r="K83" s="74" t="n"/>
      <c r="L83" s="75">
        <f>IF(K83="A",F83,IF(K83="B",H83,IF(K83="C",J83,"")))</f>
        <v/>
      </c>
      <c r="M83" s="72" t="n"/>
      <c r="N83" s="72" t="n"/>
      <c r="O83" s="89" t="n"/>
      <c r="P83" s="89" t="n"/>
      <c r="Q83" s="109" t="n"/>
      <c r="R83" s="120">
        <f>IF(B83="","",IF(Q83&lt;&gt;"",Q83,IF(P83="","",IFERROR(INDEX('Timeline'!$J$7:$J$1006,MATCH(P83,'Timeline'!$B$7:$B$1006,0)),""))))</f>
        <v/>
      </c>
      <c r="S83" s="126">
        <f>IF(R83="","",R83-IF(O83="",0,O83)-OrderBuf)</f>
        <v/>
      </c>
      <c r="T83" s="126">
        <f>IF(S83="","",S83-DecideBuf)</f>
        <v/>
      </c>
      <c r="U83" s="74" t="n"/>
      <c r="V83" s="109" t="n"/>
      <c r="W83" s="109" t="n"/>
      <c r="X83" s="74" t="n"/>
      <c r="Y83" s="116">
        <f>IF(B83="","",IF(X83="Yes","Delivered",IF(U83="Yes",IF(AND(W83&lt;&gt;"",R83&lt;&gt;""),IF(W83&gt;R83,"⚠️ Delivery after install date","Ordered"),"Ordered"),IF(K83="",IF(T83="","Waiting for decision",IF(T83&lt;=AsOf+AlertDays,"Decide now","Waiting for decision")),IF(S83="","Selected",IF(AsOf&gt;S83,"⚠️ Order late — install at risk",IF(S83&lt;=AsOf+AlertDays,"Order now","Selected")))))))</f>
        <v/>
      </c>
      <c r="Z83" s="79">
        <f>IF(B83="","",IF(OR(AH83=1,AE83=1),2,IF(OR(AG83=1,AF83=1),1,IF(OR(Y83="Ordered",Y83="Delivered"),0,""))))</f>
        <v/>
      </c>
      <c r="AA83" s="112">
        <f>IF(B83="","",IF(AH83=1,IF(Y83="⚠️ Delivery after install date",R83,S83),IF(AD83=1,T83,IF(AI83=1,S83,""))))</f>
        <v/>
      </c>
      <c r="AB83" s="79">
        <f>IF(AA83="","",IF(AH83=1,1,IF(AA83="","",IF(AA83&lt;AsOf,1,IF(AA83&lt;=AsOf+AlertDays,2,IF(AA83&lt;=AsOf+2*AlertDays,3,""))))))</f>
        <v/>
      </c>
      <c r="AC83" s="79">
        <f>IF(AB83="","",IF(AH83=1,IF(Y83="⚠️ Delivery after install date","Delivery after install date: "&amp;B83,"Order late — install at risk: "&amp;B83),IF(AD83=1,IF(AB83=1,"Decision overdue: ","Decide: ")&amp;B83,"Order: "&amp;B83&amp;IF(N83="",""," from "&amp;N83))))</f>
        <v/>
      </c>
      <c r="AD83" s="79">
        <f>IF(AND(B83&lt;&gt;"",K83="",U83&lt;&gt;"Yes",X83&lt;&gt;"Yes"),1,0)</f>
        <v/>
      </c>
      <c r="AE83" s="79">
        <f>IF(AND(AD83=1,T83&lt;&gt;""),IF(T83&lt;AsOf,1,0),0)</f>
        <v/>
      </c>
      <c r="AF83" s="79">
        <f>IF(AND(AD83=1,T83&lt;&gt;""),IF(AND(T83&gt;=AsOf,T83&lt;=AsOf+AlertDays),1,0),0)</f>
        <v/>
      </c>
      <c r="AG83" s="79">
        <f>IF(Y83="Order now",1,0)</f>
        <v/>
      </c>
      <c r="AH83" s="79">
        <f>IF(OR(Y83="⚠️ Order late — install at risk",Y83="⚠️ Delivery after install date"),1,0)</f>
        <v/>
      </c>
      <c r="AI83" s="79">
        <f>IF(AND(B83&lt;&gt;"",K83&lt;&gt;"",U83&lt;&gt;"Yes",X83&lt;&gt;"Yes"),1,0)</f>
        <v/>
      </c>
      <c r="AJ83" s="79">
        <f>IF(Y83="⚠️ Order late — install at risk",1,0)</f>
        <v/>
      </c>
    </row>
    <row r="84" ht="20" customHeight="1">
      <c r="B84" s="72" t="n"/>
      <c r="C84" s="72" t="n"/>
      <c r="D84" s="72" t="n"/>
      <c r="E84" s="72" t="n"/>
      <c r="F84" s="73" t="n"/>
      <c r="G84" s="72" t="n"/>
      <c r="H84" s="73" t="n"/>
      <c r="I84" s="72" t="n"/>
      <c r="J84" s="73" t="n"/>
      <c r="K84" s="74" t="n"/>
      <c r="L84" s="75">
        <f>IF(K84="A",F84,IF(K84="B",H84,IF(K84="C",J84,"")))</f>
        <v/>
      </c>
      <c r="M84" s="72" t="n"/>
      <c r="N84" s="72" t="n"/>
      <c r="O84" s="89" t="n"/>
      <c r="P84" s="89" t="n"/>
      <c r="Q84" s="109" t="n"/>
      <c r="R84" s="120">
        <f>IF(B84="","",IF(Q84&lt;&gt;"",Q84,IF(P84="","",IFERROR(INDEX('Timeline'!$J$7:$J$1006,MATCH(P84,'Timeline'!$B$7:$B$1006,0)),""))))</f>
        <v/>
      </c>
      <c r="S84" s="126">
        <f>IF(R84="","",R84-IF(O84="",0,O84)-OrderBuf)</f>
        <v/>
      </c>
      <c r="T84" s="126">
        <f>IF(S84="","",S84-DecideBuf)</f>
        <v/>
      </c>
      <c r="U84" s="74" t="n"/>
      <c r="V84" s="109" t="n"/>
      <c r="W84" s="109" t="n"/>
      <c r="X84" s="74" t="n"/>
      <c r="Y84" s="116">
        <f>IF(B84="","",IF(X84="Yes","Delivered",IF(U84="Yes",IF(AND(W84&lt;&gt;"",R84&lt;&gt;""),IF(W84&gt;R84,"⚠️ Delivery after install date","Ordered"),"Ordered"),IF(K84="",IF(T84="","Waiting for decision",IF(T84&lt;=AsOf+AlertDays,"Decide now","Waiting for decision")),IF(S84="","Selected",IF(AsOf&gt;S84,"⚠️ Order late — install at risk",IF(S84&lt;=AsOf+AlertDays,"Order now","Selected")))))))</f>
        <v/>
      </c>
      <c r="Z84" s="79">
        <f>IF(B84="","",IF(OR(AH84=1,AE84=1),2,IF(OR(AG84=1,AF84=1),1,IF(OR(Y84="Ordered",Y84="Delivered"),0,""))))</f>
        <v/>
      </c>
      <c r="AA84" s="112">
        <f>IF(B84="","",IF(AH84=1,IF(Y84="⚠️ Delivery after install date",R84,S84),IF(AD84=1,T84,IF(AI84=1,S84,""))))</f>
        <v/>
      </c>
      <c r="AB84" s="79">
        <f>IF(AA84="","",IF(AH84=1,1,IF(AA84="","",IF(AA84&lt;AsOf,1,IF(AA84&lt;=AsOf+AlertDays,2,IF(AA84&lt;=AsOf+2*AlertDays,3,""))))))</f>
        <v/>
      </c>
      <c r="AC84" s="79">
        <f>IF(AB84="","",IF(AH84=1,IF(Y84="⚠️ Delivery after install date","Delivery after install date: "&amp;B84,"Order late — install at risk: "&amp;B84),IF(AD84=1,IF(AB84=1,"Decision overdue: ","Decide: ")&amp;B84,"Order: "&amp;B84&amp;IF(N84="",""," from "&amp;N84))))</f>
        <v/>
      </c>
      <c r="AD84" s="79">
        <f>IF(AND(B84&lt;&gt;"",K84="",U84&lt;&gt;"Yes",X84&lt;&gt;"Yes"),1,0)</f>
        <v/>
      </c>
      <c r="AE84" s="79">
        <f>IF(AND(AD84=1,T84&lt;&gt;""),IF(T84&lt;AsOf,1,0),0)</f>
        <v/>
      </c>
      <c r="AF84" s="79">
        <f>IF(AND(AD84=1,T84&lt;&gt;""),IF(AND(T84&gt;=AsOf,T84&lt;=AsOf+AlertDays),1,0),0)</f>
        <v/>
      </c>
      <c r="AG84" s="79">
        <f>IF(Y84="Order now",1,0)</f>
        <v/>
      </c>
      <c r="AH84" s="79">
        <f>IF(OR(Y84="⚠️ Order late — install at risk",Y84="⚠️ Delivery after install date"),1,0)</f>
        <v/>
      </c>
      <c r="AI84" s="79">
        <f>IF(AND(B84&lt;&gt;"",K84&lt;&gt;"",U84&lt;&gt;"Yes",X84&lt;&gt;"Yes"),1,0)</f>
        <v/>
      </c>
      <c r="AJ84" s="79">
        <f>IF(Y84="⚠️ Order late — install at risk",1,0)</f>
        <v/>
      </c>
    </row>
    <row r="85" ht="20" customHeight="1">
      <c r="B85" s="72" t="n"/>
      <c r="C85" s="72" t="n"/>
      <c r="D85" s="72" t="n"/>
      <c r="E85" s="72" t="n"/>
      <c r="F85" s="73" t="n"/>
      <c r="G85" s="72" t="n"/>
      <c r="H85" s="73" t="n"/>
      <c r="I85" s="72" t="n"/>
      <c r="J85" s="73" t="n"/>
      <c r="K85" s="74" t="n"/>
      <c r="L85" s="75">
        <f>IF(K85="A",F85,IF(K85="B",H85,IF(K85="C",J85,"")))</f>
        <v/>
      </c>
      <c r="M85" s="72" t="n"/>
      <c r="N85" s="72" t="n"/>
      <c r="O85" s="89" t="n"/>
      <c r="P85" s="89" t="n"/>
      <c r="Q85" s="109" t="n"/>
      <c r="R85" s="120">
        <f>IF(B85="","",IF(Q85&lt;&gt;"",Q85,IF(P85="","",IFERROR(INDEX('Timeline'!$J$7:$J$1006,MATCH(P85,'Timeline'!$B$7:$B$1006,0)),""))))</f>
        <v/>
      </c>
      <c r="S85" s="126">
        <f>IF(R85="","",R85-IF(O85="",0,O85)-OrderBuf)</f>
        <v/>
      </c>
      <c r="T85" s="126">
        <f>IF(S85="","",S85-DecideBuf)</f>
        <v/>
      </c>
      <c r="U85" s="74" t="n"/>
      <c r="V85" s="109" t="n"/>
      <c r="W85" s="109" t="n"/>
      <c r="X85" s="74" t="n"/>
      <c r="Y85" s="116">
        <f>IF(B85="","",IF(X85="Yes","Delivered",IF(U85="Yes",IF(AND(W85&lt;&gt;"",R85&lt;&gt;""),IF(W85&gt;R85,"⚠️ Delivery after install date","Ordered"),"Ordered"),IF(K85="",IF(T85="","Waiting for decision",IF(T85&lt;=AsOf+AlertDays,"Decide now","Waiting for decision")),IF(S85="","Selected",IF(AsOf&gt;S85,"⚠️ Order late — install at risk",IF(S85&lt;=AsOf+AlertDays,"Order now","Selected")))))))</f>
        <v/>
      </c>
      <c r="Z85" s="79">
        <f>IF(B85="","",IF(OR(AH85=1,AE85=1),2,IF(OR(AG85=1,AF85=1),1,IF(OR(Y85="Ordered",Y85="Delivered"),0,""))))</f>
        <v/>
      </c>
      <c r="AA85" s="112">
        <f>IF(B85="","",IF(AH85=1,IF(Y85="⚠️ Delivery after install date",R85,S85),IF(AD85=1,T85,IF(AI85=1,S85,""))))</f>
        <v/>
      </c>
      <c r="AB85" s="79">
        <f>IF(AA85="","",IF(AH85=1,1,IF(AA85="","",IF(AA85&lt;AsOf,1,IF(AA85&lt;=AsOf+AlertDays,2,IF(AA85&lt;=AsOf+2*AlertDays,3,""))))))</f>
        <v/>
      </c>
      <c r="AC85" s="79">
        <f>IF(AB85="","",IF(AH85=1,IF(Y85="⚠️ Delivery after install date","Delivery after install date: "&amp;B85,"Order late — install at risk: "&amp;B85),IF(AD85=1,IF(AB85=1,"Decision overdue: ","Decide: ")&amp;B85,"Order: "&amp;B85&amp;IF(N85="",""," from "&amp;N85))))</f>
        <v/>
      </c>
      <c r="AD85" s="79">
        <f>IF(AND(B85&lt;&gt;"",K85="",U85&lt;&gt;"Yes",X85&lt;&gt;"Yes"),1,0)</f>
        <v/>
      </c>
      <c r="AE85" s="79">
        <f>IF(AND(AD85=1,T85&lt;&gt;""),IF(T85&lt;AsOf,1,0),0)</f>
        <v/>
      </c>
      <c r="AF85" s="79">
        <f>IF(AND(AD85=1,T85&lt;&gt;""),IF(AND(T85&gt;=AsOf,T85&lt;=AsOf+AlertDays),1,0),0)</f>
        <v/>
      </c>
      <c r="AG85" s="79">
        <f>IF(Y85="Order now",1,0)</f>
        <v/>
      </c>
      <c r="AH85" s="79">
        <f>IF(OR(Y85="⚠️ Order late — install at risk",Y85="⚠️ Delivery after install date"),1,0)</f>
        <v/>
      </c>
      <c r="AI85" s="79">
        <f>IF(AND(B85&lt;&gt;"",K85&lt;&gt;"",U85&lt;&gt;"Yes",X85&lt;&gt;"Yes"),1,0)</f>
        <v/>
      </c>
      <c r="AJ85" s="79">
        <f>IF(Y85="⚠️ Order late — install at risk",1,0)</f>
        <v/>
      </c>
    </row>
    <row r="86" ht="20" customHeight="1">
      <c r="B86" s="72" t="n"/>
      <c r="C86" s="72" t="n"/>
      <c r="D86" s="72" t="n"/>
      <c r="E86" s="72" t="n"/>
      <c r="F86" s="73" t="n"/>
      <c r="G86" s="72" t="n"/>
      <c r="H86" s="73" t="n"/>
      <c r="I86" s="72" t="n"/>
      <c r="J86" s="73" t="n"/>
      <c r="K86" s="74" t="n"/>
      <c r="L86" s="75">
        <f>IF(K86="A",F86,IF(K86="B",H86,IF(K86="C",J86,"")))</f>
        <v/>
      </c>
      <c r="M86" s="72" t="n"/>
      <c r="N86" s="72" t="n"/>
      <c r="O86" s="89" t="n"/>
      <c r="P86" s="89" t="n"/>
      <c r="Q86" s="109" t="n"/>
      <c r="R86" s="120">
        <f>IF(B86="","",IF(Q86&lt;&gt;"",Q86,IF(P86="","",IFERROR(INDEX('Timeline'!$J$7:$J$1006,MATCH(P86,'Timeline'!$B$7:$B$1006,0)),""))))</f>
        <v/>
      </c>
      <c r="S86" s="126">
        <f>IF(R86="","",R86-IF(O86="",0,O86)-OrderBuf)</f>
        <v/>
      </c>
      <c r="T86" s="126">
        <f>IF(S86="","",S86-DecideBuf)</f>
        <v/>
      </c>
      <c r="U86" s="74" t="n"/>
      <c r="V86" s="109" t="n"/>
      <c r="W86" s="109" t="n"/>
      <c r="X86" s="74" t="n"/>
      <c r="Y86" s="116">
        <f>IF(B86="","",IF(X86="Yes","Delivered",IF(U86="Yes",IF(AND(W86&lt;&gt;"",R86&lt;&gt;""),IF(W86&gt;R86,"⚠️ Delivery after install date","Ordered"),"Ordered"),IF(K86="",IF(T86="","Waiting for decision",IF(T86&lt;=AsOf+AlertDays,"Decide now","Waiting for decision")),IF(S86="","Selected",IF(AsOf&gt;S86,"⚠️ Order late — install at risk",IF(S86&lt;=AsOf+AlertDays,"Order now","Selected")))))))</f>
        <v/>
      </c>
      <c r="Z86" s="79">
        <f>IF(B86="","",IF(OR(AH86=1,AE86=1),2,IF(OR(AG86=1,AF86=1),1,IF(OR(Y86="Ordered",Y86="Delivered"),0,""))))</f>
        <v/>
      </c>
      <c r="AA86" s="112">
        <f>IF(B86="","",IF(AH86=1,IF(Y86="⚠️ Delivery after install date",R86,S86),IF(AD86=1,T86,IF(AI86=1,S86,""))))</f>
        <v/>
      </c>
      <c r="AB86" s="79">
        <f>IF(AA86="","",IF(AH86=1,1,IF(AA86="","",IF(AA86&lt;AsOf,1,IF(AA86&lt;=AsOf+AlertDays,2,IF(AA86&lt;=AsOf+2*AlertDays,3,""))))))</f>
        <v/>
      </c>
      <c r="AC86" s="79">
        <f>IF(AB86="","",IF(AH86=1,IF(Y86="⚠️ Delivery after install date","Delivery after install date: "&amp;B86,"Order late — install at risk: "&amp;B86),IF(AD86=1,IF(AB86=1,"Decision overdue: ","Decide: ")&amp;B86,"Order: "&amp;B86&amp;IF(N86="",""," from "&amp;N86))))</f>
        <v/>
      </c>
      <c r="AD86" s="79">
        <f>IF(AND(B86&lt;&gt;"",K86="",U86&lt;&gt;"Yes",X86&lt;&gt;"Yes"),1,0)</f>
        <v/>
      </c>
      <c r="AE86" s="79">
        <f>IF(AND(AD86=1,T86&lt;&gt;""),IF(T86&lt;AsOf,1,0),0)</f>
        <v/>
      </c>
      <c r="AF86" s="79">
        <f>IF(AND(AD86=1,T86&lt;&gt;""),IF(AND(T86&gt;=AsOf,T86&lt;=AsOf+AlertDays),1,0),0)</f>
        <v/>
      </c>
      <c r="AG86" s="79">
        <f>IF(Y86="Order now",1,0)</f>
        <v/>
      </c>
      <c r="AH86" s="79">
        <f>IF(OR(Y86="⚠️ Order late — install at risk",Y86="⚠️ Delivery after install date"),1,0)</f>
        <v/>
      </c>
      <c r="AI86" s="79">
        <f>IF(AND(B86&lt;&gt;"",K86&lt;&gt;"",U86&lt;&gt;"Yes",X86&lt;&gt;"Yes"),1,0)</f>
        <v/>
      </c>
      <c r="AJ86" s="79">
        <f>IF(Y86="⚠️ Order late — install at risk",1,0)</f>
        <v/>
      </c>
    </row>
    <row r="87" ht="20" customHeight="1">
      <c r="B87" s="72" t="n"/>
      <c r="C87" s="72" t="n"/>
      <c r="D87" s="72" t="n"/>
      <c r="E87" s="72" t="n"/>
      <c r="F87" s="73" t="n"/>
      <c r="G87" s="72" t="n"/>
      <c r="H87" s="73" t="n"/>
      <c r="I87" s="72" t="n"/>
      <c r="J87" s="73" t="n"/>
      <c r="K87" s="74" t="n"/>
      <c r="L87" s="75">
        <f>IF(K87="A",F87,IF(K87="B",H87,IF(K87="C",J87,"")))</f>
        <v/>
      </c>
      <c r="M87" s="72" t="n"/>
      <c r="N87" s="72" t="n"/>
      <c r="O87" s="89" t="n"/>
      <c r="P87" s="89" t="n"/>
      <c r="Q87" s="109" t="n"/>
      <c r="R87" s="120">
        <f>IF(B87="","",IF(Q87&lt;&gt;"",Q87,IF(P87="","",IFERROR(INDEX('Timeline'!$J$7:$J$1006,MATCH(P87,'Timeline'!$B$7:$B$1006,0)),""))))</f>
        <v/>
      </c>
      <c r="S87" s="126">
        <f>IF(R87="","",R87-IF(O87="",0,O87)-OrderBuf)</f>
        <v/>
      </c>
      <c r="T87" s="126">
        <f>IF(S87="","",S87-DecideBuf)</f>
        <v/>
      </c>
      <c r="U87" s="74" t="n"/>
      <c r="V87" s="109" t="n"/>
      <c r="W87" s="109" t="n"/>
      <c r="X87" s="74" t="n"/>
      <c r="Y87" s="116">
        <f>IF(B87="","",IF(X87="Yes","Delivered",IF(U87="Yes",IF(AND(W87&lt;&gt;"",R87&lt;&gt;""),IF(W87&gt;R87,"⚠️ Delivery after install date","Ordered"),"Ordered"),IF(K87="",IF(T87="","Waiting for decision",IF(T87&lt;=AsOf+AlertDays,"Decide now","Waiting for decision")),IF(S87="","Selected",IF(AsOf&gt;S87,"⚠️ Order late — install at risk",IF(S87&lt;=AsOf+AlertDays,"Order now","Selected")))))))</f>
        <v/>
      </c>
      <c r="Z87" s="79">
        <f>IF(B87="","",IF(OR(AH87=1,AE87=1),2,IF(OR(AG87=1,AF87=1),1,IF(OR(Y87="Ordered",Y87="Delivered"),0,""))))</f>
        <v/>
      </c>
      <c r="AA87" s="112">
        <f>IF(B87="","",IF(AH87=1,IF(Y87="⚠️ Delivery after install date",R87,S87),IF(AD87=1,T87,IF(AI87=1,S87,""))))</f>
        <v/>
      </c>
      <c r="AB87" s="79">
        <f>IF(AA87="","",IF(AH87=1,1,IF(AA87="","",IF(AA87&lt;AsOf,1,IF(AA87&lt;=AsOf+AlertDays,2,IF(AA87&lt;=AsOf+2*AlertDays,3,""))))))</f>
        <v/>
      </c>
      <c r="AC87" s="79">
        <f>IF(AB87="","",IF(AH87=1,IF(Y87="⚠️ Delivery after install date","Delivery after install date: "&amp;B87,"Order late — install at risk: "&amp;B87),IF(AD87=1,IF(AB87=1,"Decision overdue: ","Decide: ")&amp;B87,"Order: "&amp;B87&amp;IF(N87="",""," from "&amp;N87))))</f>
        <v/>
      </c>
      <c r="AD87" s="79">
        <f>IF(AND(B87&lt;&gt;"",K87="",U87&lt;&gt;"Yes",X87&lt;&gt;"Yes"),1,0)</f>
        <v/>
      </c>
      <c r="AE87" s="79">
        <f>IF(AND(AD87=1,T87&lt;&gt;""),IF(T87&lt;AsOf,1,0),0)</f>
        <v/>
      </c>
      <c r="AF87" s="79">
        <f>IF(AND(AD87=1,T87&lt;&gt;""),IF(AND(T87&gt;=AsOf,T87&lt;=AsOf+AlertDays),1,0),0)</f>
        <v/>
      </c>
      <c r="AG87" s="79">
        <f>IF(Y87="Order now",1,0)</f>
        <v/>
      </c>
      <c r="AH87" s="79">
        <f>IF(OR(Y87="⚠️ Order late — install at risk",Y87="⚠️ Delivery after install date"),1,0)</f>
        <v/>
      </c>
      <c r="AI87" s="79">
        <f>IF(AND(B87&lt;&gt;"",K87&lt;&gt;"",U87&lt;&gt;"Yes",X87&lt;&gt;"Yes"),1,0)</f>
        <v/>
      </c>
      <c r="AJ87" s="79">
        <f>IF(Y87="⚠️ Order late — install at risk",1,0)</f>
        <v/>
      </c>
    </row>
    <row r="88" ht="20" customHeight="1">
      <c r="B88" s="72" t="n"/>
      <c r="C88" s="72" t="n"/>
      <c r="D88" s="72" t="n"/>
      <c r="E88" s="72" t="n"/>
      <c r="F88" s="73" t="n"/>
      <c r="G88" s="72" t="n"/>
      <c r="H88" s="73" t="n"/>
      <c r="I88" s="72" t="n"/>
      <c r="J88" s="73" t="n"/>
      <c r="K88" s="74" t="n"/>
      <c r="L88" s="75">
        <f>IF(K88="A",F88,IF(K88="B",H88,IF(K88="C",J88,"")))</f>
        <v/>
      </c>
      <c r="M88" s="72" t="n"/>
      <c r="N88" s="72" t="n"/>
      <c r="O88" s="89" t="n"/>
      <c r="P88" s="89" t="n"/>
      <c r="Q88" s="109" t="n"/>
      <c r="R88" s="120">
        <f>IF(B88="","",IF(Q88&lt;&gt;"",Q88,IF(P88="","",IFERROR(INDEX('Timeline'!$J$7:$J$1006,MATCH(P88,'Timeline'!$B$7:$B$1006,0)),""))))</f>
        <v/>
      </c>
      <c r="S88" s="126">
        <f>IF(R88="","",R88-IF(O88="",0,O88)-OrderBuf)</f>
        <v/>
      </c>
      <c r="T88" s="126">
        <f>IF(S88="","",S88-DecideBuf)</f>
        <v/>
      </c>
      <c r="U88" s="74" t="n"/>
      <c r="V88" s="109" t="n"/>
      <c r="W88" s="109" t="n"/>
      <c r="X88" s="74" t="n"/>
      <c r="Y88" s="116">
        <f>IF(B88="","",IF(X88="Yes","Delivered",IF(U88="Yes",IF(AND(W88&lt;&gt;"",R88&lt;&gt;""),IF(W88&gt;R88,"⚠️ Delivery after install date","Ordered"),"Ordered"),IF(K88="",IF(T88="","Waiting for decision",IF(T88&lt;=AsOf+AlertDays,"Decide now","Waiting for decision")),IF(S88="","Selected",IF(AsOf&gt;S88,"⚠️ Order late — install at risk",IF(S88&lt;=AsOf+AlertDays,"Order now","Selected")))))))</f>
        <v/>
      </c>
      <c r="Z88" s="79">
        <f>IF(B88="","",IF(OR(AH88=1,AE88=1),2,IF(OR(AG88=1,AF88=1),1,IF(OR(Y88="Ordered",Y88="Delivered"),0,""))))</f>
        <v/>
      </c>
      <c r="AA88" s="112">
        <f>IF(B88="","",IF(AH88=1,IF(Y88="⚠️ Delivery after install date",R88,S88),IF(AD88=1,T88,IF(AI88=1,S88,""))))</f>
        <v/>
      </c>
      <c r="AB88" s="79">
        <f>IF(AA88="","",IF(AH88=1,1,IF(AA88="","",IF(AA88&lt;AsOf,1,IF(AA88&lt;=AsOf+AlertDays,2,IF(AA88&lt;=AsOf+2*AlertDays,3,""))))))</f>
        <v/>
      </c>
      <c r="AC88" s="79">
        <f>IF(AB88="","",IF(AH88=1,IF(Y88="⚠️ Delivery after install date","Delivery after install date: "&amp;B88,"Order late — install at risk: "&amp;B88),IF(AD88=1,IF(AB88=1,"Decision overdue: ","Decide: ")&amp;B88,"Order: "&amp;B88&amp;IF(N88="",""," from "&amp;N88))))</f>
        <v/>
      </c>
      <c r="AD88" s="79">
        <f>IF(AND(B88&lt;&gt;"",K88="",U88&lt;&gt;"Yes",X88&lt;&gt;"Yes"),1,0)</f>
        <v/>
      </c>
      <c r="AE88" s="79">
        <f>IF(AND(AD88=1,T88&lt;&gt;""),IF(T88&lt;AsOf,1,0),0)</f>
        <v/>
      </c>
      <c r="AF88" s="79">
        <f>IF(AND(AD88=1,T88&lt;&gt;""),IF(AND(T88&gt;=AsOf,T88&lt;=AsOf+AlertDays),1,0),0)</f>
        <v/>
      </c>
      <c r="AG88" s="79">
        <f>IF(Y88="Order now",1,0)</f>
        <v/>
      </c>
      <c r="AH88" s="79">
        <f>IF(OR(Y88="⚠️ Order late — install at risk",Y88="⚠️ Delivery after install date"),1,0)</f>
        <v/>
      </c>
      <c r="AI88" s="79">
        <f>IF(AND(B88&lt;&gt;"",K88&lt;&gt;"",U88&lt;&gt;"Yes",X88&lt;&gt;"Yes"),1,0)</f>
        <v/>
      </c>
      <c r="AJ88" s="79">
        <f>IF(Y88="⚠️ Order late — install at risk",1,0)</f>
        <v/>
      </c>
    </row>
    <row r="89" ht="20" customHeight="1">
      <c r="B89" s="72" t="n"/>
      <c r="C89" s="72" t="n"/>
      <c r="D89" s="72" t="n"/>
      <c r="E89" s="72" t="n"/>
      <c r="F89" s="73" t="n"/>
      <c r="G89" s="72" t="n"/>
      <c r="H89" s="73" t="n"/>
      <c r="I89" s="72" t="n"/>
      <c r="J89" s="73" t="n"/>
      <c r="K89" s="74" t="n"/>
      <c r="L89" s="75">
        <f>IF(K89="A",F89,IF(K89="B",H89,IF(K89="C",J89,"")))</f>
        <v/>
      </c>
      <c r="M89" s="72" t="n"/>
      <c r="N89" s="72" t="n"/>
      <c r="O89" s="89" t="n"/>
      <c r="P89" s="89" t="n"/>
      <c r="Q89" s="109" t="n"/>
      <c r="R89" s="120">
        <f>IF(B89="","",IF(Q89&lt;&gt;"",Q89,IF(P89="","",IFERROR(INDEX('Timeline'!$J$7:$J$1006,MATCH(P89,'Timeline'!$B$7:$B$1006,0)),""))))</f>
        <v/>
      </c>
      <c r="S89" s="126">
        <f>IF(R89="","",R89-IF(O89="",0,O89)-OrderBuf)</f>
        <v/>
      </c>
      <c r="T89" s="126">
        <f>IF(S89="","",S89-DecideBuf)</f>
        <v/>
      </c>
      <c r="U89" s="74" t="n"/>
      <c r="V89" s="109" t="n"/>
      <c r="W89" s="109" t="n"/>
      <c r="X89" s="74" t="n"/>
      <c r="Y89" s="116">
        <f>IF(B89="","",IF(X89="Yes","Delivered",IF(U89="Yes",IF(AND(W89&lt;&gt;"",R89&lt;&gt;""),IF(W89&gt;R89,"⚠️ Delivery after install date","Ordered"),"Ordered"),IF(K89="",IF(T89="","Waiting for decision",IF(T89&lt;=AsOf+AlertDays,"Decide now","Waiting for decision")),IF(S89="","Selected",IF(AsOf&gt;S89,"⚠️ Order late — install at risk",IF(S89&lt;=AsOf+AlertDays,"Order now","Selected")))))))</f>
        <v/>
      </c>
      <c r="Z89" s="79">
        <f>IF(B89="","",IF(OR(AH89=1,AE89=1),2,IF(OR(AG89=1,AF89=1),1,IF(OR(Y89="Ordered",Y89="Delivered"),0,""))))</f>
        <v/>
      </c>
      <c r="AA89" s="112">
        <f>IF(B89="","",IF(AH89=1,IF(Y89="⚠️ Delivery after install date",R89,S89),IF(AD89=1,T89,IF(AI89=1,S89,""))))</f>
        <v/>
      </c>
      <c r="AB89" s="79">
        <f>IF(AA89="","",IF(AH89=1,1,IF(AA89="","",IF(AA89&lt;AsOf,1,IF(AA89&lt;=AsOf+AlertDays,2,IF(AA89&lt;=AsOf+2*AlertDays,3,""))))))</f>
        <v/>
      </c>
      <c r="AC89" s="79">
        <f>IF(AB89="","",IF(AH89=1,IF(Y89="⚠️ Delivery after install date","Delivery after install date: "&amp;B89,"Order late — install at risk: "&amp;B89),IF(AD89=1,IF(AB89=1,"Decision overdue: ","Decide: ")&amp;B89,"Order: "&amp;B89&amp;IF(N89="",""," from "&amp;N89))))</f>
        <v/>
      </c>
      <c r="AD89" s="79">
        <f>IF(AND(B89&lt;&gt;"",K89="",U89&lt;&gt;"Yes",X89&lt;&gt;"Yes"),1,0)</f>
        <v/>
      </c>
      <c r="AE89" s="79">
        <f>IF(AND(AD89=1,T89&lt;&gt;""),IF(T89&lt;AsOf,1,0),0)</f>
        <v/>
      </c>
      <c r="AF89" s="79">
        <f>IF(AND(AD89=1,T89&lt;&gt;""),IF(AND(T89&gt;=AsOf,T89&lt;=AsOf+AlertDays),1,0),0)</f>
        <v/>
      </c>
      <c r="AG89" s="79">
        <f>IF(Y89="Order now",1,0)</f>
        <v/>
      </c>
      <c r="AH89" s="79">
        <f>IF(OR(Y89="⚠️ Order late — install at risk",Y89="⚠️ Delivery after install date"),1,0)</f>
        <v/>
      </c>
      <c r="AI89" s="79">
        <f>IF(AND(B89&lt;&gt;"",K89&lt;&gt;"",U89&lt;&gt;"Yes",X89&lt;&gt;"Yes"),1,0)</f>
        <v/>
      </c>
      <c r="AJ89" s="79">
        <f>IF(Y89="⚠️ Order late — install at risk",1,0)</f>
        <v/>
      </c>
    </row>
    <row r="90" ht="20" customHeight="1">
      <c r="B90" s="72" t="n"/>
      <c r="C90" s="72" t="n"/>
      <c r="D90" s="72" t="n"/>
      <c r="E90" s="72" t="n"/>
      <c r="F90" s="73" t="n"/>
      <c r="G90" s="72" t="n"/>
      <c r="H90" s="73" t="n"/>
      <c r="I90" s="72" t="n"/>
      <c r="J90" s="73" t="n"/>
      <c r="K90" s="74" t="n"/>
      <c r="L90" s="75">
        <f>IF(K90="A",F90,IF(K90="B",H90,IF(K90="C",J90,"")))</f>
        <v/>
      </c>
      <c r="M90" s="72" t="n"/>
      <c r="N90" s="72" t="n"/>
      <c r="O90" s="89" t="n"/>
      <c r="P90" s="89" t="n"/>
      <c r="Q90" s="109" t="n"/>
      <c r="R90" s="120">
        <f>IF(B90="","",IF(Q90&lt;&gt;"",Q90,IF(P90="","",IFERROR(INDEX('Timeline'!$J$7:$J$1006,MATCH(P90,'Timeline'!$B$7:$B$1006,0)),""))))</f>
        <v/>
      </c>
      <c r="S90" s="126">
        <f>IF(R90="","",R90-IF(O90="",0,O90)-OrderBuf)</f>
        <v/>
      </c>
      <c r="T90" s="126">
        <f>IF(S90="","",S90-DecideBuf)</f>
        <v/>
      </c>
      <c r="U90" s="74" t="n"/>
      <c r="V90" s="109" t="n"/>
      <c r="W90" s="109" t="n"/>
      <c r="X90" s="74" t="n"/>
      <c r="Y90" s="116">
        <f>IF(B90="","",IF(X90="Yes","Delivered",IF(U90="Yes",IF(AND(W90&lt;&gt;"",R90&lt;&gt;""),IF(W90&gt;R90,"⚠️ Delivery after install date","Ordered"),"Ordered"),IF(K90="",IF(T90="","Waiting for decision",IF(T90&lt;=AsOf+AlertDays,"Decide now","Waiting for decision")),IF(S90="","Selected",IF(AsOf&gt;S90,"⚠️ Order late — install at risk",IF(S90&lt;=AsOf+AlertDays,"Order now","Selected")))))))</f>
        <v/>
      </c>
      <c r="Z90" s="79">
        <f>IF(B90="","",IF(OR(AH90=1,AE90=1),2,IF(OR(AG90=1,AF90=1),1,IF(OR(Y90="Ordered",Y90="Delivered"),0,""))))</f>
        <v/>
      </c>
      <c r="AA90" s="112">
        <f>IF(B90="","",IF(AH90=1,IF(Y90="⚠️ Delivery after install date",R90,S90),IF(AD90=1,T90,IF(AI90=1,S90,""))))</f>
        <v/>
      </c>
      <c r="AB90" s="79">
        <f>IF(AA90="","",IF(AH90=1,1,IF(AA90="","",IF(AA90&lt;AsOf,1,IF(AA90&lt;=AsOf+AlertDays,2,IF(AA90&lt;=AsOf+2*AlertDays,3,""))))))</f>
        <v/>
      </c>
      <c r="AC90" s="79">
        <f>IF(AB90="","",IF(AH90=1,IF(Y90="⚠️ Delivery after install date","Delivery after install date: "&amp;B90,"Order late — install at risk: "&amp;B90),IF(AD90=1,IF(AB90=1,"Decision overdue: ","Decide: ")&amp;B90,"Order: "&amp;B90&amp;IF(N90="",""," from "&amp;N90))))</f>
        <v/>
      </c>
      <c r="AD90" s="79">
        <f>IF(AND(B90&lt;&gt;"",K90="",U90&lt;&gt;"Yes",X90&lt;&gt;"Yes"),1,0)</f>
        <v/>
      </c>
      <c r="AE90" s="79">
        <f>IF(AND(AD90=1,T90&lt;&gt;""),IF(T90&lt;AsOf,1,0),0)</f>
        <v/>
      </c>
      <c r="AF90" s="79">
        <f>IF(AND(AD90=1,T90&lt;&gt;""),IF(AND(T90&gt;=AsOf,T90&lt;=AsOf+AlertDays),1,0),0)</f>
        <v/>
      </c>
      <c r="AG90" s="79">
        <f>IF(Y90="Order now",1,0)</f>
        <v/>
      </c>
      <c r="AH90" s="79">
        <f>IF(OR(Y90="⚠️ Order late — install at risk",Y90="⚠️ Delivery after install date"),1,0)</f>
        <v/>
      </c>
      <c r="AI90" s="79">
        <f>IF(AND(B90&lt;&gt;"",K90&lt;&gt;"",U90&lt;&gt;"Yes",X90&lt;&gt;"Yes"),1,0)</f>
        <v/>
      </c>
      <c r="AJ90" s="79">
        <f>IF(Y90="⚠️ Order late — install at risk",1,0)</f>
        <v/>
      </c>
    </row>
    <row r="91" ht="20" customHeight="1">
      <c r="B91" s="72" t="n"/>
      <c r="C91" s="72" t="n"/>
      <c r="D91" s="72" t="n"/>
      <c r="E91" s="72" t="n"/>
      <c r="F91" s="73" t="n"/>
      <c r="G91" s="72" t="n"/>
      <c r="H91" s="73" t="n"/>
      <c r="I91" s="72" t="n"/>
      <c r="J91" s="73" t="n"/>
      <c r="K91" s="74" t="n"/>
      <c r="L91" s="75">
        <f>IF(K91="A",F91,IF(K91="B",H91,IF(K91="C",J91,"")))</f>
        <v/>
      </c>
      <c r="M91" s="72" t="n"/>
      <c r="N91" s="72" t="n"/>
      <c r="O91" s="89" t="n"/>
      <c r="P91" s="89" t="n"/>
      <c r="Q91" s="109" t="n"/>
      <c r="R91" s="120">
        <f>IF(B91="","",IF(Q91&lt;&gt;"",Q91,IF(P91="","",IFERROR(INDEX('Timeline'!$J$7:$J$1006,MATCH(P91,'Timeline'!$B$7:$B$1006,0)),""))))</f>
        <v/>
      </c>
      <c r="S91" s="126">
        <f>IF(R91="","",R91-IF(O91="",0,O91)-OrderBuf)</f>
        <v/>
      </c>
      <c r="T91" s="126">
        <f>IF(S91="","",S91-DecideBuf)</f>
        <v/>
      </c>
      <c r="U91" s="74" t="n"/>
      <c r="V91" s="109" t="n"/>
      <c r="W91" s="109" t="n"/>
      <c r="X91" s="74" t="n"/>
      <c r="Y91" s="116">
        <f>IF(B91="","",IF(X91="Yes","Delivered",IF(U91="Yes",IF(AND(W91&lt;&gt;"",R91&lt;&gt;""),IF(W91&gt;R91,"⚠️ Delivery after install date","Ordered"),"Ordered"),IF(K91="",IF(T91="","Waiting for decision",IF(T91&lt;=AsOf+AlertDays,"Decide now","Waiting for decision")),IF(S91="","Selected",IF(AsOf&gt;S91,"⚠️ Order late — install at risk",IF(S91&lt;=AsOf+AlertDays,"Order now","Selected")))))))</f>
        <v/>
      </c>
      <c r="Z91" s="79">
        <f>IF(B91="","",IF(OR(AH91=1,AE91=1),2,IF(OR(AG91=1,AF91=1),1,IF(OR(Y91="Ordered",Y91="Delivered"),0,""))))</f>
        <v/>
      </c>
      <c r="AA91" s="112">
        <f>IF(B91="","",IF(AH91=1,IF(Y91="⚠️ Delivery after install date",R91,S91),IF(AD91=1,T91,IF(AI91=1,S91,""))))</f>
        <v/>
      </c>
      <c r="AB91" s="79">
        <f>IF(AA91="","",IF(AH91=1,1,IF(AA91="","",IF(AA91&lt;AsOf,1,IF(AA91&lt;=AsOf+AlertDays,2,IF(AA91&lt;=AsOf+2*AlertDays,3,""))))))</f>
        <v/>
      </c>
      <c r="AC91" s="79">
        <f>IF(AB91="","",IF(AH91=1,IF(Y91="⚠️ Delivery after install date","Delivery after install date: "&amp;B91,"Order late — install at risk: "&amp;B91),IF(AD91=1,IF(AB91=1,"Decision overdue: ","Decide: ")&amp;B91,"Order: "&amp;B91&amp;IF(N91="",""," from "&amp;N91))))</f>
        <v/>
      </c>
      <c r="AD91" s="79">
        <f>IF(AND(B91&lt;&gt;"",K91="",U91&lt;&gt;"Yes",X91&lt;&gt;"Yes"),1,0)</f>
        <v/>
      </c>
      <c r="AE91" s="79">
        <f>IF(AND(AD91=1,T91&lt;&gt;""),IF(T91&lt;AsOf,1,0),0)</f>
        <v/>
      </c>
      <c r="AF91" s="79">
        <f>IF(AND(AD91=1,T91&lt;&gt;""),IF(AND(T91&gt;=AsOf,T91&lt;=AsOf+AlertDays),1,0),0)</f>
        <v/>
      </c>
      <c r="AG91" s="79">
        <f>IF(Y91="Order now",1,0)</f>
        <v/>
      </c>
      <c r="AH91" s="79">
        <f>IF(OR(Y91="⚠️ Order late — install at risk",Y91="⚠️ Delivery after install date"),1,0)</f>
        <v/>
      </c>
      <c r="AI91" s="79">
        <f>IF(AND(B91&lt;&gt;"",K91&lt;&gt;"",U91&lt;&gt;"Yes",X91&lt;&gt;"Yes"),1,0)</f>
        <v/>
      </c>
      <c r="AJ91" s="79">
        <f>IF(Y91="⚠️ Order late — install at risk",1,0)</f>
        <v/>
      </c>
    </row>
    <row r="92" ht="20" customHeight="1">
      <c r="B92" s="72" t="n"/>
      <c r="C92" s="72" t="n"/>
      <c r="D92" s="72" t="n"/>
      <c r="E92" s="72" t="n"/>
      <c r="F92" s="73" t="n"/>
      <c r="G92" s="72" t="n"/>
      <c r="H92" s="73" t="n"/>
      <c r="I92" s="72" t="n"/>
      <c r="J92" s="73" t="n"/>
      <c r="K92" s="74" t="n"/>
      <c r="L92" s="75">
        <f>IF(K92="A",F92,IF(K92="B",H92,IF(K92="C",J92,"")))</f>
        <v/>
      </c>
      <c r="M92" s="72" t="n"/>
      <c r="N92" s="72" t="n"/>
      <c r="O92" s="89" t="n"/>
      <c r="P92" s="89" t="n"/>
      <c r="Q92" s="109" t="n"/>
      <c r="R92" s="120">
        <f>IF(B92="","",IF(Q92&lt;&gt;"",Q92,IF(P92="","",IFERROR(INDEX('Timeline'!$J$7:$J$1006,MATCH(P92,'Timeline'!$B$7:$B$1006,0)),""))))</f>
        <v/>
      </c>
      <c r="S92" s="126">
        <f>IF(R92="","",R92-IF(O92="",0,O92)-OrderBuf)</f>
        <v/>
      </c>
      <c r="T92" s="126">
        <f>IF(S92="","",S92-DecideBuf)</f>
        <v/>
      </c>
      <c r="U92" s="74" t="n"/>
      <c r="V92" s="109" t="n"/>
      <c r="W92" s="109" t="n"/>
      <c r="X92" s="74" t="n"/>
      <c r="Y92" s="116">
        <f>IF(B92="","",IF(X92="Yes","Delivered",IF(U92="Yes",IF(AND(W92&lt;&gt;"",R92&lt;&gt;""),IF(W92&gt;R92,"⚠️ Delivery after install date","Ordered"),"Ordered"),IF(K92="",IF(T92="","Waiting for decision",IF(T92&lt;=AsOf+AlertDays,"Decide now","Waiting for decision")),IF(S92="","Selected",IF(AsOf&gt;S92,"⚠️ Order late — install at risk",IF(S92&lt;=AsOf+AlertDays,"Order now","Selected")))))))</f>
        <v/>
      </c>
      <c r="Z92" s="79">
        <f>IF(B92="","",IF(OR(AH92=1,AE92=1),2,IF(OR(AG92=1,AF92=1),1,IF(OR(Y92="Ordered",Y92="Delivered"),0,""))))</f>
        <v/>
      </c>
      <c r="AA92" s="112">
        <f>IF(B92="","",IF(AH92=1,IF(Y92="⚠️ Delivery after install date",R92,S92),IF(AD92=1,T92,IF(AI92=1,S92,""))))</f>
        <v/>
      </c>
      <c r="AB92" s="79">
        <f>IF(AA92="","",IF(AH92=1,1,IF(AA92="","",IF(AA92&lt;AsOf,1,IF(AA92&lt;=AsOf+AlertDays,2,IF(AA92&lt;=AsOf+2*AlertDays,3,""))))))</f>
        <v/>
      </c>
      <c r="AC92" s="79">
        <f>IF(AB92="","",IF(AH92=1,IF(Y92="⚠️ Delivery after install date","Delivery after install date: "&amp;B92,"Order late — install at risk: "&amp;B92),IF(AD92=1,IF(AB92=1,"Decision overdue: ","Decide: ")&amp;B92,"Order: "&amp;B92&amp;IF(N92="",""," from "&amp;N92))))</f>
        <v/>
      </c>
      <c r="AD92" s="79">
        <f>IF(AND(B92&lt;&gt;"",K92="",U92&lt;&gt;"Yes",X92&lt;&gt;"Yes"),1,0)</f>
        <v/>
      </c>
      <c r="AE92" s="79">
        <f>IF(AND(AD92=1,T92&lt;&gt;""),IF(T92&lt;AsOf,1,0),0)</f>
        <v/>
      </c>
      <c r="AF92" s="79">
        <f>IF(AND(AD92=1,T92&lt;&gt;""),IF(AND(T92&gt;=AsOf,T92&lt;=AsOf+AlertDays),1,0),0)</f>
        <v/>
      </c>
      <c r="AG92" s="79">
        <f>IF(Y92="Order now",1,0)</f>
        <v/>
      </c>
      <c r="AH92" s="79">
        <f>IF(OR(Y92="⚠️ Order late — install at risk",Y92="⚠️ Delivery after install date"),1,0)</f>
        <v/>
      </c>
      <c r="AI92" s="79">
        <f>IF(AND(B92&lt;&gt;"",K92&lt;&gt;"",U92&lt;&gt;"Yes",X92&lt;&gt;"Yes"),1,0)</f>
        <v/>
      </c>
      <c r="AJ92" s="79">
        <f>IF(Y92="⚠️ Order late — install at risk",1,0)</f>
        <v/>
      </c>
    </row>
    <row r="93" ht="20" customHeight="1">
      <c r="B93" s="72" t="n"/>
      <c r="C93" s="72" t="n"/>
      <c r="D93" s="72" t="n"/>
      <c r="E93" s="72" t="n"/>
      <c r="F93" s="73" t="n"/>
      <c r="G93" s="72" t="n"/>
      <c r="H93" s="73" t="n"/>
      <c r="I93" s="72" t="n"/>
      <c r="J93" s="73" t="n"/>
      <c r="K93" s="74" t="n"/>
      <c r="L93" s="75">
        <f>IF(K93="A",F93,IF(K93="B",H93,IF(K93="C",J93,"")))</f>
        <v/>
      </c>
      <c r="M93" s="72" t="n"/>
      <c r="N93" s="72" t="n"/>
      <c r="O93" s="89" t="n"/>
      <c r="P93" s="89" t="n"/>
      <c r="Q93" s="109" t="n"/>
      <c r="R93" s="120">
        <f>IF(B93="","",IF(Q93&lt;&gt;"",Q93,IF(P93="","",IFERROR(INDEX('Timeline'!$J$7:$J$1006,MATCH(P93,'Timeline'!$B$7:$B$1006,0)),""))))</f>
        <v/>
      </c>
      <c r="S93" s="126">
        <f>IF(R93="","",R93-IF(O93="",0,O93)-OrderBuf)</f>
        <v/>
      </c>
      <c r="T93" s="126">
        <f>IF(S93="","",S93-DecideBuf)</f>
        <v/>
      </c>
      <c r="U93" s="74" t="n"/>
      <c r="V93" s="109" t="n"/>
      <c r="W93" s="109" t="n"/>
      <c r="X93" s="74" t="n"/>
      <c r="Y93" s="116">
        <f>IF(B93="","",IF(X93="Yes","Delivered",IF(U93="Yes",IF(AND(W93&lt;&gt;"",R93&lt;&gt;""),IF(W93&gt;R93,"⚠️ Delivery after install date","Ordered"),"Ordered"),IF(K93="",IF(T93="","Waiting for decision",IF(T93&lt;=AsOf+AlertDays,"Decide now","Waiting for decision")),IF(S93="","Selected",IF(AsOf&gt;S93,"⚠️ Order late — install at risk",IF(S93&lt;=AsOf+AlertDays,"Order now","Selected")))))))</f>
        <v/>
      </c>
      <c r="Z93" s="79">
        <f>IF(B93="","",IF(OR(AH93=1,AE93=1),2,IF(OR(AG93=1,AF93=1),1,IF(OR(Y93="Ordered",Y93="Delivered"),0,""))))</f>
        <v/>
      </c>
      <c r="AA93" s="112">
        <f>IF(B93="","",IF(AH93=1,IF(Y93="⚠️ Delivery after install date",R93,S93),IF(AD93=1,T93,IF(AI93=1,S93,""))))</f>
        <v/>
      </c>
      <c r="AB93" s="79">
        <f>IF(AA93="","",IF(AH93=1,1,IF(AA93="","",IF(AA93&lt;AsOf,1,IF(AA93&lt;=AsOf+AlertDays,2,IF(AA93&lt;=AsOf+2*AlertDays,3,""))))))</f>
        <v/>
      </c>
      <c r="AC93" s="79">
        <f>IF(AB93="","",IF(AH93=1,IF(Y93="⚠️ Delivery after install date","Delivery after install date: "&amp;B93,"Order late — install at risk: "&amp;B93),IF(AD93=1,IF(AB93=1,"Decision overdue: ","Decide: ")&amp;B93,"Order: "&amp;B93&amp;IF(N93="",""," from "&amp;N93))))</f>
        <v/>
      </c>
      <c r="AD93" s="79">
        <f>IF(AND(B93&lt;&gt;"",K93="",U93&lt;&gt;"Yes",X93&lt;&gt;"Yes"),1,0)</f>
        <v/>
      </c>
      <c r="AE93" s="79">
        <f>IF(AND(AD93=1,T93&lt;&gt;""),IF(T93&lt;AsOf,1,0),0)</f>
        <v/>
      </c>
      <c r="AF93" s="79">
        <f>IF(AND(AD93=1,T93&lt;&gt;""),IF(AND(T93&gt;=AsOf,T93&lt;=AsOf+AlertDays),1,0),0)</f>
        <v/>
      </c>
      <c r="AG93" s="79">
        <f>IF(Y93="Order now",1,0)</f>
        <v/>
      </c>
      <c r="AH93" s="79">
        <f>IF(OR(Y93="⚠️ Order late — install at risk",Y93="⚠️ Delivery after install date"),1,0)</f>
        <v/>
      </c>
      <c r="AI93" s="79">
        <f>IF(AND(B93&lt;&gt;"",K93&lt;&gt;"",U93&lt;&gt;"Yes",X93&lt;&gt;"Yes"),1,0)</f>
        <v/>
      </c>
      <c r="AJ93" s="79">
        <f>IF(Y93="⚠️ Order late — install at risk",1,0)</f>
        <v/>
      </c>
    </row>
    <row r="94" ht="20" customHeight="1">
      <c r="B94" s="72" t="n"/>
      <c r="C94" s="72" t="n"/>
      <c r="D94" s="72" t="n"/>
      <c r="E94" s="72" t="n"/>
      <c r="F94" s="73" t="n"/>
      <c r="G94" s="72" t="n"/>
      <c r="H94" s="73" t="n"/>
      <c r="I94" s="72" t="n"/>
      <c r="J94" s="73" t="n"/>
      <c r="K94" s="74" t="n"/>
      <c r="L94" s="75">
        <f>IF(K94="A",F94,IF(K94="B",H94,IF(K94="C",J94,"")))</f>
        <v/>
      </c>
      <c r="M94" s="72" t="n"/>
      <c r="N94" s="72" t="n"/>
      <c r="O94" s="89" t="n"/>
      <c r="P94" s="89" t="n"/>
      <c r="Q94" s="109" t="n"/>
      <c r="R94" s="120">
        <f>IF(B94="","",IF(Q94&lt;&gt;"",Q94,IF(P94="","",IFERROR(INDEX('Timeline'!$J$7:$J$1006,MATCH(P94,'Timeline'!$B$7:$B$1006,0)),""))))</f>
        <v/>
      </c>
      <c r="S94" s="126">
        <f>IF(R94="","",R94-IF(O94="",0,O94)-OrderBuf)</f>
        <v/>
      </c>
      <c r="T94" s="126">
        <f>IF(S94="","",S94-DecideBuf)</f>
        <v/>
      </c>
      <c r="U94" s="74" t="n"/>
      <c r="V94" s="109" t="n"/>
      <c r="W94" s="109" t="n"/>
      <c r="X94" s="74" t="n"/>
      <c r="Y94" s="116">
        <f>IF(B94="","",IF(X94="Yes","Delivered",IF(U94="Yes",IF(AND(W94&lt;&gt;"",R94&lt;&gt;""),IF(W94&gt;R94,"⚠️ Delivery after install date","Ordered"),"Ordered"),IF(K94="",IF(T94="","Waiting for decision",IF(T94&lt;=AsOf+AlertDays,"Decide now","Waiting for decision")),IF(S94="","Selected",IF(AsOf&gt;S94,"⚠️ Order late — install at risk",IF(S94&lt;=AsOf+AlertDays,"Order now","Selected")))))))</f>
        <v/>
      </c>
      <c r="Z94" s="79">
        <f>IF(B94="","",IF(OR(AH94=1,AE94=1),2,IF(OR(AG94=1,AF94=1),1,IF(OR(Y94="Ordered",Y94="Delivered"),0,""))))</f>
        <v/>
      </c>
      <c r="AA94" s="112">
        <f>IF(B94="","",IF(AH94=1,IF(Y94="⚠️ Delivery after install date",R94,S94),IF(AD94=1,T94,IF(AI94=1,S94,""))))</f>
        <v/>
      </c>
      <c r="AB94" s="79">
        <f>IF(AA94="","",IF(AH94=1,1,IF(AA94="","",IF(AA94&lt;AsOf,1,IF(AA94&lt;=AsOf+AlertDays,2,IF(AA94&lt;=AsOf+2*AlertDays,3,""))))))</f>
        <v/>
      </c>
      <c r="AC94" s="79">
        <f>IF(AB94="","",IF(AH94=1,IF(Y94="⚠️ Delivery after install date","Delivery after install date: "&amp;B94,"Order late — install at risk: "&amp;B94),IF(AD94=1,IF(AB94=1,"Decision overdue: ","Decide: ")&amp;B94,"Order: "&amp;B94&amp;IF(N94="",""," from "&amp;N94))))</f>
        <v/>
      </c>
      <c r="AD94" s="79">
        <f>IF(AND(B94&lt;&gt;"",K94="",U94&lt;&gt;"Yes",X94&lt;&gt;"Yes"),1,0)</f>
        <v/>
      </c>
      <c r="AE94" s="79">
        <f>IF(AND(AD94=1,T94&lt;&gt;""),IF(T94&lt;AsOf,1,0),0)</f>
        <v/>
      </c>
      <c r="AF94" s="79">
        <f>IF(AND(AD94=1,T94&lt;&gt;""),IF(AND(T94&gt;=AsOf,T94&lt;=AsOf+AlertDays),1,0),0)</f>
        <v/>
      </c>
      <c r="AG94" s="79">
        <f>IF(Y94="Order now",1,0)</f>
        <v/>
      </c>
      <c r="AH94" s="79">
        <f>IF(OR(Y94="⚠️ Order late — install at risk",Y94="⚠️ Delivery after install date"),1,0)</f>
        <v/>
      </c>
      <c r="AI94" s="79">
        <f>IF(AND(B94&lt;&gt;"",K94&lt;&gt;"",U94&lt;&gt;"Yes",X94&lt;&gt;"Yes"),1,0)</f>
        <v/>
      </c>
      <c r="AJ94" s="79">
        <f>IF(Y94="⚠️ Order late — install at risk",1,0)</f>
        <v/>
      </c>
    </row>
    <row r="95" ht="20" customHeight="1">
      <c r="B95" s="72" t="n"/>
      <c r="C95" s="72" t="n"/>
      <c r="D95" s="72" t="n"/>
      <c r="E95" s="72" t="n"/>
      <c r="F95" s="73" t="n"/>
      <c r="G95" s="72" t="n"/>
      <c r="H95" s="73" t="n"/>
      <c r="I95" s="72" t="n"/>
      <c r="J95" s="73" t="n"/>
      <c r="K95" s="74" t="n"/>
      <c r="L95" s="75">
        <f>IF(K95="A",F95,IF(K95="B",H95,IF(K95="C",J95,"")))</f>
        <v/>
      </c>
      <c r="M95" s="72" t="n"/>
      <c r="N95" s="72" t="n"/>
      <c r="O95" s="89" t="n"/>
      <c r="P95" s="89" t="n"/>
      <c r="Q95" s="109" t="n"/>
      <c r="R95" s="120">
        <f>IF(B95="","",IF(Q95&lt;&gt;"",Q95,IF(P95="","",IFERROR(INDEX('Timeline'!$J$7:$J$1006,MATCH(P95,'Timeline'!$B$7:$B$1006,0)),""))))</f>
        <v/>
      </c>
      <c r="S95" s="126">
        <f>IF(R95="","",R95-IF(O95="",0,O95)-OrderBuf)</f>
        <v/>
      </c>
      <c r="T95" s="126">
        <f>IF(S95="","",S95-DecideBuf)</f>
        <v/>
      </c>
      <c r="U95" s="74" t="n"/>
      <c r="V95" s="109" t="n"/>
      <c r="W95" s="109" t="n"/>
      <c r="X95" s="74" t="n"/>
      <c r="Y95" s="116">
        <f>IF(B95="","",IF(X95="Yes","Delivered",IF(U95="Yes",IF(AND(W95&lt;&gt;"",R95&lt;&gt;""),IF(W95&gt;R95,"⚠️ Delivery after install date","Ordered"),"Ordered"),IF(K95="",IF(T95="","Waiting for decision",IF(T95&lt;=AsOf+AlertDays,"Decide now","Waiting for decision")),IF(S95="","Selected",IF(AsOf&gt;S95,"⚠️ Order late — install at risk",IF(S95&lt;=AsOf+AlertDays,"Order now","Selected")))))))</f>
        <v/>
      </c>
      <c r="Z95" s="79">
        <f>IF(B95="","",IF(OR(AH95=1,AE95=1),2,IF(OR(AG95=1,AF95=1),1,IF(OR(Y95="Ordered",Y95="Delivered"),0,""))))</f>
        <v/>
      </c>
      <c r="AA95" s="112">
        <f>IF(B95="","",IF(AH95=1,IF(Y95="⚠️ Delivery after install date",R95,S95),IF(AD95=1,T95,IF(AI95=1,S95,""))))</f>
        <v/>
      </c>
      <c r="AB95" s="79">
        <f>IF(AA95="","",IF(AH95=1,1,IF(AA95="","",IF(AA95&lt;AsOf,1,IF(AA95&lt;=AsOf+AlertDays,2,IF(AA95&lt;=AsOf+2*AlertDays,3,""))))))</f>
        <v/>
      </c>
      <c r="AC95" s="79">
        <f>IF(AB95="","",IF(AH95=1,IF(Y95="⚠️ Delivery after install date","Delivery after install date: "&amp;B95,"Order late — install at risk: "&amp;B95),IF(AD95=1,IF(AB95=1,"Decision overdue: ","Decide: ")&amp;B95,"Order: "&amp;B95&amp;IF(N95="",""," from "&amp;N95))))</f>
        <v/>
      </c>
      <c r="AD95" s="79">
        <f>IF(AND(B95&lt;&gt;"",K95="",U95&lt;&gt;"Yes",X95&lt;&gt;"Yes"),1,0)</f>
        <v/>
      </c>
      <c r="AE95" s="79">
        <f>IF(AND(AD95=1,T95&lt;&gt;""),IF(T95&lt;AsOf,1,0),0)</f>
        <v/>
      </c>
      <c r="AF95" s="79">
        <f>IF(AND(AD95=1,T95&lt;&gt;""),IF(AND(T95&gt;=AsOf,T95&lt;=AsOf+AlertDays),1,0),0)</f>
        <v/>
      </c>
      <c r="AG95" s="79">
        <f>IF(Y95="Order now",1,0)</f>
        <v/>
      </c>
      <c r="AH95" s="79">
        <f>IF(OR(Y95="⚠️ Order late — install at risk",Y95="⚠️ Delivery after install date"),1,0)</f>
        <v/>
      </c>
      <c r="AI95" s="79">
        <f>IF(AND(B95&lt;&gt;"",K95&lt;&gt;"",U95&lt;&gt;"Yes",X95&lt;&gt;"Yes"),1,0)</f>
        <v/>
      </c>
      <c r="AJ95" s="79">
        <f>IF(Y95="⚠️ Order late — install at risk",1,0)</f>
        <v/>
      </c>
    </row>
    <row r="96" ht="20" customHeight="1">
      <c r="B96" s="72" t="n"/>
      <c r="C96" s="72" t="n"/>
      <c r="D96" s="72" t="n"/>
      <c r="E96" s="72" t="n"/>
      <c r="F96" s="73" t="n"/>
      <c r="G96" s="72" t="n"/>
      <c r="H96" s="73" t="n"/>
      <c r="I96" s="72" t="n"/>
      <c r="J96" s="73" t="n"/>
      <c r="K96" s="74" t="n"/>
      <c r="L96" s="75">
        <f>IF(K96="A",F96,IF(K96="B",H96,IF(K96="C",J96,"")))</f>
        <v/>
      </c>
      <c r="M96" s="72" t="n"/>
      <c r="N96" s="72" t="n"/>
      <c r="O96" s="89" t="n"/>
      <c r="P96" s="89" t="n"/>
      <c r="Q96" s="109" t="n"/>
      <c r="R96" s="120">
        <f>IF(B96="","",IF(Q96&lt;&gt;"",Q96,IF(P96="","",IFERROR(INDEX('Timeline'!$J$7:$J$1006,MATCH(P96,'Timeline'!$B$7:$B$1006,0)),""))))</f>
        <v/>
      </c>
      <c r="S96" s="126">
        <f>IF(R96="","",R96-IF(O96="",0,O96)-OrderBuf)</f>
        <v/>
      </c>
      <c r="T96" s="126">
        <f>IF(S96="","",S96-DecideBuf)</f>
        <v/>
      </c>
      <c r="U96" s="74" t="n"/>
      <c r="V96" s="109" t="n"/>
      <c r="W96" s="109" t="n"/>
      <c r="X96" s="74" t="n"/>
      <c r="Y96" s="116">
        <f>IF(B96="","",IF(X96="Yes","Delivered",IF(U96="Yes",IF(AND(W96&lt;&gt;"",R96&lt;&gt;""),IF(W96&gt;R96,"⚠️ Delivery after install date","Ordered"),"Ordered"),IF(K96="",IF(T96="","Waiting for decision",IF(T96&lt;=AsOf+AlertDays,"Decide now","Waiting for decision")),IF(S96="","Selected",IF(AsOf&gt;S96,"⚠️ Order late — install at risk",IF(S96&lt;=AsOf+AlertDays,"Order now","Selected")))))))</f>
        <v/>
      </c>
      <c r="Z96" s="79">
        <f>IF(B96="","",IF(OR(AH96=1,AE96=1),2,IF(OR(AG96=1,AF96=1),1,IF(OR(Y96="Ordered",Y96="Delivered"),0,""))))</f>
        <v/>
      </c>
      <c r="AA96" s="112">
        <f>IF(B96="","",IF(AH96=1,IF(Y96="⚠️ Delivery after install date",R96,S96),IF(AD96=1,T96,IF(AI96=1,S96,""))))</f>
        <v/>
      </c>
      <c r="AB96" s="79">
        <f>IF(AA96="","",IF(AH96=1,1,IF(AA96="","",IF(AA96&lt;AsOf,1,IF(AA96&lt;=AsOf+AlertDays,2,IF(AA96&lt;=AsOf+2*AlertDays,3,""))))))</f>
        <v/>
      </c>
      <c r="AC96" s="79">
        <f>IF(AB96="","",IF(AH96=1,IF(Y96="⚠️ Delivery after install date","Delivery after install date: "&amp;B96,"Order late — install at risk: "&amp;B96),IF(AD96=1,IF(AB96=1,"Decision overdue: ","Decide: ")&amp;B96,"Order: "&amp;B96&amp;IF(N96="",""," from "&amp;N96))))</f>
        <v/>
      </c>
      <c r="AD96" s="79">
        <f>IF(AND(B96&lt;&gt;"",K96="",U96&lt;&gt;"Yes",X96&lt;&gt;"Yes"),1,0)</f>
        <v/>
      </c>
      <c r="AE96" s="79">
        <f>IF(AND(AD96=1,T96&lt;&gt;""),IF(T96&lt;AsOf,1,0),0)</f>
        <v/>
      </c>
      <c r="AF96" s="79">
        <f>IF(AND(AD96=1,T96&lt;&gt;""),IF(AND(T96&gt;=AsOf,T96&lt;=AsOf+AlertDays),1,0),0)</f>
        <v/>
      </c>
      <c r="AG96" s="79">
        <f>IF(Y96="Order now",1,0)</f>
        <v/>
      </c>
      <c r="AH96" s="79">
        <f>IF(OR(Y96="⚠️ Order late — install at risk",Y96="⚠️ Delivery after install date"),1,0)</f>
        <v/>
      </c>
      <c r="AI96" s="79">
        <f>IF(AND(B96&lt;&gt;"",K96&lt;&gt;"",U96&lt;&gt;"Yes",X96&lt;&gt;"Yes"),1,0)</f>
        <v/>
      </c>
      <c r="AJ96" s="79">
        <f>IF(Y96="⚠️ Order late — install at risk",1,0)</f>
        <v/>
      </c>
    </row>
    <row r="97" ht="20" customHeight="1">
      <c r="B97" s="72" t="n"/>
      <c r="C97" s="72" t="n"/>
      <c r="D97" s="72" t="n"/>
      <c r="E97" s="72" t="n"/>
      <c r="F97" s="73" t="n"/>
      <c r="G97" s="72" t="n"/>
      <c r="H97" s="73" t="n"/>
      <c r="I97" s="72" t="n"/>
      <c r="J97" s="73" t="n"/>
      <c r="K97" s="74" t="n"/>
      <c r="L97" s="75">
        <f>IF(K97="A",F97,IF(K97="B",H97,IF(K97="C",J97,"")))</f>
        <v/>
      </c>
      <c r="M97" s="72" t="n"/>
      <c r="N97" s="72" t="n"/>
      <c r="O97" s="89" t="n"/>
      <c r="P97" s="89" t="n"/>
      <c r="Q97" s="109" t="n"/>
      <c r="R97" s="120">
        <f>IF(B97="","",IF(Q97&lt;&gt;"",Q97,IF(P97="","",IFERROR(INDEX('Timeline'!$J$7:$J$1006,MATCH(P97,'Timeline'!$B$7:$B$1006,0)),""))))</f>
        <v/>
      </c>
      <c r="S97" s="126">
        <f>IF(R97="","",R97-IF(O97="",0,O97)-OrderBuf)</f>
        <v/>
      </c>
      <c r="T97" s="126">
        <f>IF(S97="","",S97-DecideBuf)</f>
        <v/>
      </c>
      <c r="U97" s="74" t="n"/>
      <c r="V97" s="109" t="n"/>
      <c r="W97" s="109" t="n"/>
      <c r="X97" s="74" t="n"/>
      <c r="Y97" s="116">
        <f>IF(B97="","",IF(X97="Yes","Delivered",IF(U97="Yes",IF(AND(W97&lt;&gt;"",R97&lt;&gt;""),IF(W97&gt;R97,"⚠️ Delivery after install date","Ordered"),"Ordered"),IF(K97="",IF(T97="","Waiting for decision",IF(T97&lt;=AsOf+AlertDays,"Decide now","Waiting for decision")),IF(S97="","Selected",IF(AsOf&gt;S97,"⚠️ Order late — install at risk",IF(S97&lt;=AsOf+AlertDays,"Order now","Selected")))))))</f>
        <v/>
      </c>
      <c r="Z97" s="79">
        <f>IF(B97="","",IF(OR(AH97=1,AE97=1),2,IF(OR(AG97=1,AF97=1),1,IF(OR(Y97="Ordered",Y97="Delivered"),0,""))))</f>
        <v/>
      </c>
      <c r="AA97" s="112">
        <f>IF(B97="","",IF(AH97=1,IF(Y97="⚠️ Delivery after install date",R97,S97),IF(AD97=1,T97,IF(AI97=1,S97,""))))</f>
        <v/>
      </c>
      <c r="AB97" s="79">
        <f>IF(AA97="","",IF(AH97=1,1,IF(AA97="","",IF(AA97&lt;AsOf,1,IF(AA97&lt;=AsOf+AlertDays,2,IF(AA97&lt;=AsOf+2*AlertDays,3,""))))))</f>
        <v/>
      </c>
      <c r="AC97" s="79">
        <f>IF(AB97="","",IF(AH97=1,IF(Y97="⚠️ Delivery after install date","Delivery after install date: "&amp;B97,"Order late — install at risk: "&amp;B97),IF(AD97=1,IF(AB97=1,"Decision overdue: ","Decide: ")&amp;B97,"Order: "&amp;B97&amp;IF(N97="",""," from "&amp;N97))))</f>
        <v/>
      </c>
      <c r="AD97" s="79">
        <f>IF(AND(B97&lt;&gt;"",K97="",U97&lt;&gt;"Yes",X97&lt;&gt;"Yes"),1,0)</f>
        <v/>
      </c>
      <c r="AE97" s="79">
        <f>IF(AND(AD97=1,T97&lt;&gt;""),IF(T97&lt;AsOf,1,0),0)</f>
        <v/>
      </c>
      <c r="AF97" s="79">
        <f>IF(AND(AD97=1,T97&lt;&gt;""),IF(AND(T97&gt;=AsOf,T97&lt;=AsOf+AlertDays),1,0),0)</f>
        <v/>
      </c>
      <c r="AG97" s="79">
        <f>IF(Y97="Order now",1,0)</f>
        <v/>
      </c>
      <c r="AH97" s="79">
        <f>IF(OR(Y97="⚠️ Order late — install at risk",Y97="⚠️ Delivery after install date"),1,0)</f>
        <v/>
      </c>
      <c r="AI97" s="79">
        <f>IF(AND(B97&lt;&gt;"",K97&lt;&gt;"",U97&lt;&gt;"Yes",X97&lt;&gt;"Yes"),1,0)</f>
        <v/>
      </c>
      <c r="AJ97" s="79">
        <f>IF(Y97="⚠️ Order late — install at risk",1,0)</f>
        <v/>
      </c>
    </row>
    <row r="98" ht="20" customHeight="1">
      <c r="B98" s="72" t="n"/>
      <c r="C98" s="72" t="n"/>
      <c r="D98" s="72" t="n"/>
      <c r="E98" s="72" t="n"/>
      <c r="F98" s="73" t="n"/>
      <c r="G98" s="72" t="n"/>
      <c r="H98" s="73" t="n"/>
      <c r="I98" s="72" t="n"/>
      <c r="J98" s="73" t="n"/>
      <c r="K98" s="74" t="n"/>
      <c r="L98" s="75">
        <f>IF(K98="A",F98,IF(K98="B",H98,IF(K98="C",J98,"")))</f>
        <v/>
      </c>
      <c r="M98" s="72" t="n"/>
      <c r="N98" s="72" t="n"/>
      <c r="O98" s="89" t="n"/>
      <c r="P98" s="89" t="n"/>
      <c r="Q98" s="109" t="n"/>
      <c r="R98" s="120">
        <f>IF(B98="","",IF(Q98&lt;&gt;"",Q98,IF(P98="","",IFERROR(INDEX('Timeline'!$J$7:$J$1006,MATCH(P98,'Timeline'!$B$7:$B$1006,0)),""))))</f>
        <v/>
      </c>
      <c r="S98" s="126">
        <f>IF(R98="","",R98-IF(O98="",0,O98)-OrderBuf)</f>
        <v/>
      </c>
      <c r="T98" s="126">
        <f>IF(S98="","",S98-DecideBuf)</f>
        <v/>
      </c>
      <c r="U98" s="74" t="n"/>
      <c r="V98" s="109" t="n"/>
      <c r="W98" s="109" t="n"/>
      <c r="X98" s="74" t="n"/>
      <c r="Y98" s="116">
        <f>IF(B98="","",IF(X98="Yes","Delivered",IF(U98="Yes",IF(AND(W98&lt;&gt;"",R98&lt;&gt;""),IF(W98&gt;R98,"⚠️ Delivery after install date","Ordered"),"Ordered"),IF(K98="",IF(T98="","Waiting for decision",IF(T98&lt;=AsOf+AlertDays,"Decide now","Waiting for decision")),IF(S98="","Selected",IF(AsOf&gt;S98,"⚠️ Order late — install at risk",IF(S98&lt;=AsOf+AlertDays,"Order now","Selected")))))))</f>
        <v/>
      </c>
      <c r="Z98" s="79">
        <f>IF(B98="","",IF(OR(AH98=1,AE98=1),2,IF(OR(AG98=1,AF98=1),1,IF(OR(Y98="Ordered",Y98="Delivered"),0,""))))</f>
        <v/>
      </c>
      <c r="AA98" s="112">
        <f>IF(B98="","",IF(AH98=1,IF(Y98="⚠️ Delivery after install date",R98,S98),IF(AD98=1,T98,IF(AI98=1,S98,""))))</f>
        <v/>
      </c>
      <c r="AB98" s="79">
        <f>IF(AA98="","",IF(AH98=1,1,IF(AA98="","",IF(AA98&lt;AsOf,1,IF(AA98&lt;=AsOf+AlertDays,2,IF(AA98&lt;=AsOf+2*AlertDays,3,""))))))</f>
        <v/>
      </c>
      <c r="AC98" s="79">
        <f>IF(AB98="","",IF(AH98=1,IF(Y98="⚠️ Delivery after install date","Delivery after install date: "&amp;B98,"Order late — install at risk: "&amp;B98),IF(AD98=1,IF(AB98=1,"Decision overdue: ","Decide: ")&amp;B98,"Order: "&amp;B98&amp;IF(N98="",""," from "&amp;N98))))</f>
        <v/>
      </c>
      <c r="AD98" s="79">
        <f>IF(AND(B98&lt;&gt;"",K98="",U98&lt;&gt;"Yes",X98&lt;&gt;"Yes"),1,0)</f>
        <v/>
      </c>
      <c r="AE98" s="79">
        <f>IF(AND(AD98=1,T98&lt;&gt;""),IF(T98&lt;AsOf,1,0),0)</f>
        <v/>
      </c>
      <c r="AF98" s="79">
        <f>IF(AND(AD98=1,T98&lt;&gt;""),IF(AND(T98&gt;=AsOf,T98&lt;=AsOf+AlertDays),1,0),0)</f>
        <v/>
      </c>
      <c r="AG98" s="79">
        <f>IF(Y98="Order now",1,0)</f>
        <v/>
      </c>
      <c r="AH98" s="79">
        <f>IF(OR(Y98="⚠️ Order late — install at risk",Y98="⚠️ Delivery after install date"),1,0)</f>
        <v/>
      </c>
      <c r="AI98" s="79">
        <f>IF(AND(B98&lt;&gt;"",K98&lt;&gt;"",U98&lt;&gt;"Yes",X98&lt;&gt;"Yes"),1,0)</f>
        <v/>
      </c>
      <c r="AJ98" s="79">
        <f>IF(Y98="⚠️ Order late — install at risk",1,0)</f>
        <v/>
      </c>
    </row>
    <row r="99" ht="20" customHeight="1">
      <c r="B99" s="72" t="n"/>
      <c r="C99" s="72" t="n"/>
      <c r="D99" s="72" t="n"/>
      <c r="E99" s="72" t="n"/>
      <c r="F99" s="73" t="n"/>
      <c r="G99" s="72" t="n"/>
      <c r="H99" s="73" t="n"/>
      <c r="I99" s="72" t="n"/>
      <c r="J99" s="73" t="n"/>
      <c r="K99" s="74" t="n"/>
      <c r="L99" s="75">
        <f>IF(K99="A",F99,IF(K99="B",H99,IF(K99="C",J99,"")))</f>
        <v/>
      </c>
      <c r="M99" s="72" t="n"/>
      <c r="N99" s="72" t="n"/>
      <c r="O99" s="89" t="n"/>
      <c r="P99" s="89" t="n"/>
      <c r="Q99" s="109" t="n"/>
      <c r="R99" s="120">
        <f>IF(B99="","",IF(Q99&lt;&gt;"",Q99,IF(P99="","",IFERROR(INDEX('Timeline'!$J$7:$J$1006,MATCH(P99,'Timeline'!$B$7:$B$1006,0)),""))))</f>
        <v/>
      </c>
      <c r="S99" s="126">
        <f>IF(R99="","",R99-IF(O99="",0,O99)-OrderBuf)</f>
        <v/>
      </c>
      <c r="T99" s="126">
        <f>IF(S99="","",S99-DecideBuf)</f>
        <v/>
      </c>
      <c r="U99" s="74" t="n"/>
      <c r="V99" s="109" t="n"/>
      <c r="W99" s="109" t="n"/>
      <c r="X99" s="74" t="n"/>
      <c r="Y99" s="116">
        <f>IF(B99="","",IF(X99="Yes","Delivered",IF(U99="Yes",IF(AND(W99&lt;&gt;"",R99&lt;&gt;""),IF(W99&gt;R99,"⚠️ Delivery after install date","Ordered"),"Ordered"),IF(K99="",IF(T99="","Waiting for decision",IF(T99&lt;=AsOf+AlertDays,"Decide now","Waiting for decision")),IF(S99="","Selected",IF(AsOf&gt;S99,"⚠️ Order late — install at risk",IF(S99&lt;=AsOf+AlertDays,"Order now","Selected")))))))</f>
        <v/>
      </c>
      <c r="Z99" s="79">
        <f>IF(B99="","",IF(OR(AH99=1,AE99=1),2,IF(OR(AG99=1,AF99=1),1,IF(OR(Y99="Ordered",Y99="Delivered"),0,""))))</f>
        <v/>
      </c>
      <c r="AA99" s="112">
        <f>IF(B99="","",IF(AH99=1,IF(Y99="⚠️ Delivery after install date",R99,S99),IF(AD99=1,T99,IF(AI99=1,S99,""))))</f>
        <v/>
      </c>
      <c r="AB99" s="79">
        <f>IF(AA99="","",IF(AH99=1,1,IF(AA99="","",IF(AA99&lt;AsOf,1,IF(AA99&lt;=AsOf+AlertDays,2,IF(AA99&lt;=AsOf+2*AlertDays,3,""))))))</f>
        <v/>
      </c>
      <c r="AC99" s="79">
        <f>IF(AB99="","",IF(AH99=1,IF(Y99="⚠️ Delivery after install date","Delivery after install date: "&amp;B99,"Order late — install at risk: "&amp;B99),IF(AD99=1,IF(AB99=1,"Decision overdue: ","Decide: ")&amp;B99,"Order: "&amp;B99&amp;IF(N99="",""," from "&amp;N99))))</f>
        <v/>
      </c>
      <c r="AD99" s="79">
        <f>IF(AND(B99&lt;&gt;"",K99="",U99&lt;&gt;"Yes",X99&lt;&gt;"Yes"),1,0)</f>
        <v/>
      </c>
      <c r="AE99" s="79">
        <f>IF(AND(AD99=1,T99&lt;&gt;""),IF(T99&lt;AsOf,1,0),0)</f>
        <v/>
      </c>
      <c r="AF99" s="79">
        <f>IF(AND(AD99=1,T99&lt;&gt;""),IF(AND(T99&gt;=AsOf,T99&lt;=AsOf+AlertDays),1,0),0)</f>
        <v/>
      </c>
      <c r="AG99" s="79">
        <f>IF(Y99="Order now",1,0)</f>
        <v/>
      </c>
      <c r="AH99" s="79">
        <f>IF(OR(Y99="⚠️ Order late — install at risk",Y99="⚠️ Delivery after install date"),1,0)</f>
        <v/>
      </c>
      <c r="AI99" s="79">
        <f>IF(AND(B99&lt;&gt;"",K99&lt;&gt;"",U99&lt;&gt;"Yes",X99&lt;&gt;"Yes"),1,0)</f>
        <v/>
      </c>
      <c r="AJ99" s="79">
        <f>IF(Y99="⚠️ Order late — install at risk",1,0)</f>
        <v/>
      </c>
    </row>
    <row r="100" ht="20" customHeight="1">
      <c r="B100" s="72" t="n"/>
      <c r="C100" s="72" t="n"/>
      <c r="D100" s="72" t="n"/>
      <c r="E100" s="72" t="n"/>
      <c r="F100" s="73" t="n"/>
      <c r="G100" s="72" t="n"/>
      <c r="H100" s="73" t="n"/>
      <c r="I100" s="72" t="n"/>
      <c r="J100" s="73" t="n"/>
      <c r="K100" s="74" t="n"/>
      <c r="L100" s="75">
        <f>IF(K100="A",F100,IF(K100="B",H100,IF(K100="C",J100,"")))</f>
        <v/>
      </c>
      <c r="M100" s="72" t="n"/>
      <c r="N100" s="72" t="n"/>
      <c r="O100" s="89" t="n"/>
      <c r="P100" s="89" t="n"/>
      <c r="Q100" s="109" t="n"/>
      <c r="R100" s="120">
        <f>IF(B100="","",IF(Q100&lt;&gt;"",Q100,IF(P100="","",IFERROR(INDEX('Timeline'!$J$7:$J$1006,MATCH(P100,'Timeline'!$B$7:$B$1006,0)),""))))</f>
        <v/>
      </c>
      <c r="S100" s="126">
        <f>IF(R100="","",R100-IF(O100="",0,O100)-OrderBuf)</f>
        <v/>
      </c>
      <c r="T100" s="126">
        <f>IF(S100="","",S100-DecideBuf)</f>
        <v/>
      </c>
      <c r="U100" s="74" t="n"/>
      <c r="V100" s="109" t="n"/>
      <c r="W100" s="109" t="n"/>
      <c r="X100" s="74" t="n"/>
      <c r="Y100" s="116">
        <f>IF(B100="","",IF(X100="Yes","Delivered",IF(U100="Yes",IF(AND(W100&lt;&gt;"",R100&lt;&gt;""),IF(W100&gt;R100,"⚠️ Delivery after install date","Ordered"),"Ordered"),IF(K100="",IF(T100="","Waiting for decision",IF(T100&lt;=AsOf+AlertDays,"Decide now","Waiting for decision")),IF(S100="","Selected",IF(AsOf&gt;S100,"⚠️ Order late — install at risk",IF(S100&lt;=AsOf+AlertDays,"Order now","Selected")))))))</f>
        <v/>
      </c>
      <c r="Z100" s="79">
        <f>IF(B100="","",IF(OR(AH100=1,AE100=1),2,IF(OR(AG100=1,AF100=1),1,IF(OR(Y100="Ordered",Y100="Delivered"),0,""))))</f>
        <v/>
      </c>
      <c r="AA100" s="112">
        <f>IF(B100="","",IF(AH100=1,IF(Y100="⚠️ Delivery after install date",R100,S100),IF(AD100=1,T100,IF(AI100=1,S100,""))))</f>
        <v/>
      </c>
      <c r="AB100" s="79">
        <f>IF(AA100="","",IF(AH100=1,1,IF(AA100="","",IF(AA100&lt;AsOf,1,IF(AA100&lt;=AsOf+AlertDays,2,IF(AA100&lt;=AsOf+2*AlertDays,3,""))))))</f>
        <v/>
      </c>
      <c r="AC100" s="79">
        <f>IF(AB100="","",IF(AH100=1,IF(Y100="⚠️ Delivery after install date","Delivery after install date: "&amp;B100,"Order late — install at risk: "&amp;B100),IF(AD100=1,IF(AB100=1,"Decision overdue: ","Decide: ")&amp;B100,"Order: "&amp;B100&amp;IF(N100="",""," from "&amp;N100))))</f>
        <v/>
      </c>
      <c r="AD100" s="79">
        <f>IF(AND(B100&lt;&gt;"",K100="",U100&lt;&gt;"Yes",X100&lt;&gt;"Yes"),1,0)</f>
        <v/>
      </c>
      <c r="AE100" s="79">
        <f>IF(AND(AD100=1,T100&lt;&gt;""),IF(T100&lt;AsOf,1,0),0)</f>
        <v/>
      </c>
      <c r="AF100" s="79">
        <f>IF(AND(AD100=1,T100&lt;&gt;""),IF(AND(T100&gt;=AsOf,T100&lt;=AsOf+AlertDays),1,0),0)</f>
        <v/>
      </c>
      <c r="AG100" s="79">
        <f>IF(Y100="Order now",1,0)</f>
        <v/>
      </c>
      <c r="AH100" s="79">
        <f>IF(OR(Y100="⚠️ Order late — install at risk",Y100="⚠️ Delivery after install date"),1,0)</f>
        <v/>
      </c>
      <c r="AI100" s="79">
        <f>IF(AND(B100&lt;&gt;"",K100&lt;&gt;"",U100&lt;&gt;"Yes",X100&lt;&gt;"Yes"),1,0)</f>
        <v/>
      </c>
      <c r="AJ100" s="79">
        <f>IF(Y100="⚠️ Order late — install at risk",1,0)</f>
        <v/>
      </c>
    </row>
    <row r="101" ht="20" customHeight="1">
      <c r="B101" s="72" t="n"/>
      <c r="C101" s="72" t="n"/>
      <c r="D101" s="72" t="n"/>
      <c r="E101" s="72" t="n"/>
      <c r="F101" s="73" t="n"/>
      <c r="G101" s="72" t="n"/>
      <c r="H101" s="73" t="n"/>
      <c r="I101" s="72" t="n"/>
      <c r="J101" s="73" t="n"/>
      <c r="K101" s="74" t="n"/>
      <c r="L101" s="75">
        <f>IF(K101="A",F101,IF(K101="B",H101,IF(K101="C",J101,"")))</f>
        <v/>
      </c>
      <c r="M101" s="72" t="n"/>
      <c r="N101" s="72" t="n"/>
      <c r="O101" s="89" t="n"/>
      <c r="P101" s="89" t="n"/>
      <c r="Q101" s="109" t="n"/>
      <c r="R101" s="120">
        <f>IF(B101="","",IF(Q101&lt;&gt;"",Q101,IF(P101="","",IFERROR(INDEX('Timeline'!$J$7:$J$1006,MATCH(P101,'Timeline'!$B$7:$B$1006,0)),""))))</f>
        <v/>
      </c>
      <c r="S101" s="126">
        <f>IF(R101="","",R101-IF(O101="",0,O101)-OrderBuf)</f>
        <v/>
      </c>
      <c r="T101" s="126">
        <f>IF(S101="","",S101-DecideBuf)</f>
        <v/>
      </c>
      <c r="U101" s="74" t="n"/>
      <c r="V101" s="109" t="n"/>
      <c r="W101" s="109" t="n"/>
      <c r="X101" s="74" t="n"/>
      <c r="Y101" s="116">
        <f>IF(B101="","",IF(X101="Yes","Delivered",IF(U101="Yes",IF(AND(W101&lt;&gt;"",R101&lt;&gt;""),IF(W101&gt;R101,"⚠️ Delivery after install date","Ordered"),"Ordered"),IF(K101="",IF(T101="","Waiting for decision",IF(T101&lt;=AsOf+AlertDays,"Decide now","Waiting for decision")),IF(S101="","Selected",IF(AsOf&gt;S101,"⚠️ Order late — install at risk",IF(S101&lt;=AsOf+AlertDays,"Order now","Selected")))))))</f>
        <v/>
      </c>
      <c r="Z101" s="79">
        <f>IF(B101="","",IF(OR(AH101=1,AE101=1),2,IF(OR(AG101=1,AF101=1),1,IF(OR(Y101="Ordered",Y101="Delivered"),0,""))))</f>
        <v/>
      </c>
      <c r="AA101" s="112">
        <f>IF(B101="","",IF(AH101=1,IF(Y101="⚠️ Delivery after install date",R101,S101),IF(AD101=1,T101,IF(AI101=1,S101,""))))</f>
        <v/>
      </c>
      <c r="AB101" s="79">
        <f>IF(AA101="","",IF(AH101=1,1,IF(AA101="","",IF(AA101&lt;AsOf,1,IF(AA101&lt;=AsOf+AlertDays,2,IF(AA101&lt;=AsOf+2*AlertDays,3,""))))))</f>
        <v/>
      </c>
      <c r="AC101" s="79">
        <f>IF(AB101="","",IF(AH101=1,IF(Y101="⚠️ Delivery after install date","Delivery after install date: "&amp;B101,"Order late — install at risk: "&amp;B101),IF(AD101=1,IF(AB101=1,"Decision overdue: ","Decide: ")&amp;B101,"Order: "&amp;B101&amp;IF(N101="",""," from "&amp;N101))))</f>
        <v/>
      </c>
      <c r="AD101" s="79">
        <f>IF(AND(B101&lt;&gt;"",K101="",U101&lt;&gt;"Yes",X101&lt;&gt;"Yes"),1,0)</f>
        <v/>
      </c>
      <c r="AE101" s="79">
        <f>IF(AND(AD101=1,T101&lt;&gt;""),IF(T101&lt;AsOf,1,0),0)</f>
        <v/>
      </c>
      <c r="AF101" s="79">
        <f>IF(AND(AD101=1,T101&lt;&gt;""),IF(AND(T101&gt;=AsOf,T101&lt;=AsOf+AlertDays),1,0),0)</f>
        <v/>
      </c>
      <c r="AG101" s="79">
        <f>IF(Y101="Order now",1,0)</f>
        <v/>
      </c>
      <c r="AH101" s="79">
        <f>IF(OR(Y101="⚠️ Order late — install at risk",Y101="⚠️ Delivery after install date"),1,0)</f>
        <v/>
      </c>
      <c r="AI101" s="79">
        <f>IF(AND(B101&lt;&gt;"",K101&lt;&gt;"",U101&lt;&gt;"Yes",X101&lt;&gt;"Yes"),1,0)</f>
        <v/>
      </c>
      <c r="AJ101" s="79">
        <f>IF(Y101="⚠️ Order late — install at risk",1,0)</f>
        <v/>
      </c>
    </row>
    <row r="102" ht="20" customHeight="1">
      <c r="B102" s="72" t="n"/>
      <c r="C102" s="72" t="n"/>
      <c r="D102" s="72" t="n"/>
      <c r="E102" s="72" t="n"/>
      <c r="F102" s="73" t="n"/>
      <c r="G102" s="72" t="n"/>
      <c r="H102" s="73" t="n"/>
      <c r="I102" s="72" t="n"/>
      <c r="J102" s="73" t="n"/>
      <c r="K102" s="74" t="n"/>
      <c r="L102" s="75">
        <f>IF(K102="A",F102,IF(K102="B",H102,IF(K102="C",J102,"")))</f>
        <v/>
      </c>
      <c r="M102" s="72" t="n"/>
      <c r="N102" s="72" t="n"/>
      <c r="O102" s="89" t="n"/>
      <c r="P102" s="89" t="n"/>
      <c r="Q102" s="109" t="n"/>
      <c r="R102" s="120">
        <f>IF(B102="","",IF(Q102&lt;&gt;"",Q102,IF(P102="","",IFERROR(INDEX('Timeline'!$J$7:$J$1006,MATCH(P102,'Timeline'!$B$7:$B$1006,0)),""))))</f>
        <v/>
      </c>
      <c r="S102" s="126">
        <f>IF(R102="","",R102-IF(O102="",0,O102)-OrderBuf)</f>
        <v/>
      </c>
      <c r="T102" s="126">
        <f>IF(S102="","",S102-DecideBuf)</f>
        <v/>
      </c>
      <c r="U102" s="74" t="n"/>
      <c r="V102" s="109" t="n"/>
      <c r="W102" s="109" t="n"/>
      <c r="X102" s="74" t="n"/>
      <c r="Y102" s="116">
        <f>IF(B102="","",IF(X102="Yes","Delivered",IF(U102="Yes",IF(AND(W102&lt;&gt;"",R102&lt;&gt;""),IF(W102&gt;R102,"⚠️ Delivery after install date","Ordered"),"Ordered"),IF(K102="",IF(T102="","Waiting for decision",IF(T102&lt;=AsOf+AlertDays,"Decide now","Waiting for decision")),IF(S102="","Selected",IF(AsOf&gt;S102,"⚠️ Order late — install at risk",IF(S102&lt;=AsOf+AlertDays,"Order now","Selected")))))))</f>
        <v/>
      </c>
      <c r="Z102" s="79">
        <f>IF(B102="","",IF(OR(AH102=1,AE102=1),2,IF(OR(AG102=1,AF102=1),1,IF(OR(Y102="Ordered",Y102="Delivered"),0,""))))</f>
        <v/>
      </c>
      <c r="AA102" s="112">
        <f>IF(B102="","",IF(AH102=1,IF(Y102="⚠️ Delivery after install date",R102,S102),IF(AD102=1,T102,IF(AI102=1,S102,""))))</f>
        <v/>
      </c>
      <c r="AB102" s="79">
        <f>IF(AA102="","",IF(AH102=1,1,IF(AA102="","",IF(AA102&lt;AsOf,1,IF(AA102&lt;=AsOf+AlertDays,2,IF(AA102&lt;=AsOf+2*AlertDays,3,""))))))</f>
        <v/>
      </c>
      <c r="AC102" s="79">
        <f>IF(AB102="","",IF(AH102=1,IF(Y102="⚠️ Delivery after install date","Delivery after install date: "&amp;B102,"Order late — install at risk: "&amp;B102),IF(AD102=1,IF(AB102=1,"Decision overdue: ","Decide: ")&amp;B102,"Order: "&amp;B102&amp;IF(N102="",""," from "&amp;N102))))</f>
        <v/>
      </c>
      <c r="AD102" s="79">
        <f>IF(AND(B102&lt;&gt;"",K102="",U102&lt;&gt;"Yes",X102&lt;&gt;"Yes"),1,0)</f>
        <v/>
      </c>
      <c r="AE102" s="79">
        <f>IF(AND(AD102=1,T102&lt;&gt;""),IF(T102&lt;AsOf,1,0),0)</f>
        <v/>
      </c>
      <c r="AF102" s="79">
        <f>IF(AND(AD102=1,T102&lt;&gt;""),IF(AND(T102&gt;=AsOf,T102&lt;=AsOf+AlertDays),1,0),0)</f>
        <v/>
      </c>
      <c r="AG102" s="79">
        <f>IF(Y102="Order now",1,0)</f>
        <v/>
      </c>
      <c r="AH102" s="79">
        <f>IF(OR(Y102="⚠️ Order late — install at risk",Y102="⚠️ Delivery after install date"),1,0)</f>
        <v/>
      </c>
      <c r="AI102" s="79">
        <f>IF(AND(B102&lt;&gt;"",K102&lt;&gt;"",U102&lt;&gt;"Yes",X102&lt;&gt;"Yes"),1,0)</f>
        <v/>
      </c>
      <c r="AJ102" s="79">
        <f>IF(Y102="⚠️ Order late — install at risk",1,0)</f>
        <v/>
      </c>
    </row>
    <row r="103" ht="20" customHeight="1">
      <c r="B103" s="72" t="n"/>
      <c r="C103" s="72" t="n"/>
      <c r="D103" s="72" t="n"/>
      <c r="E103" s="72" t="n"/>
      <c r="F103" s="73" t="n"/>
      <c r="G103" s="72" t="n"/>
      <c r="H103" s="73" t="n"/>
      <c r="I103" s="72" t="n"/>
      <c r="J103" s="73" t="n"/>
      <c r="K103" s="74" t="n"/>
      <c r="L103" s="75">
        <f>IF(K103="A",F103,IF(K103="B",H103,IF(K103="C",J103,"")))</f>
        <v/>
      </c>
      <c r="M103" s="72" t="n"/>
      <c r="N103" s="72" t="n"/>
      <c r="O103" s="89" t="n"/>
      <c r="P103" s="89" t="n"/>
      <c r="Q103" s="109" t="n"/>
      <c r="R103" s="120">
        <f>IF(B103="","",IF(Q103&lt;&gt;"",Q103,IF(P103="","",IFERROR(INDEX('Timeline'!$J$7:$J$1006,MATCH(P103,'Timeline'!$B$7:$B$1006,0)),""))))</f>
        <v/>
      </c>
      <c r="S103" s="126">
        <f>IF(R103="","",R103-IF(O103="",0,O103)-OrderBuf)</f>
        <v/>
      </c>
      <c r="T103" s="126">
        <f>IF(S103="","",S103-DecideBuf)</f>
        <v/>
      </c>
      <c r="U103" s="74" t="n"/>
      <c r="V103" s="109" t="n"/>
      <c r="W103" s="109" t="n"/>
      <c r="X103" s="74" t="n"/>
      <c r="Y103" s="116">
        <f>IF(B103="","",IF(X103="Yes","Delivered",IF(U103="Yes",IF(AND(W103&lt;&gt;"",R103&lt;&gt;""),IF(W103&gt;R103,"⚠️ Delivery after install date","Ordered"),"Ordered"),IF(K103="",IF(T103="","Waiting for decision",IF(T103&lt;=AsOf+AlertDays,"Decide now","Waiting for decision")),IF(S103="","Selected",IF(AsOf&gt;S103,"⚠️ Order late — install at risk",IF(S103&lt;=AsOf+AlertDays,"Order now","Selected")))))))</f>
        <v/>
      </c>
      <c r="Z103" s="79">
        <f>IF(B103="","",IF(OR(AH103=1,AE103=1),2,IF(OR(AG103=1,AF103=1),1,IF(OR(Y103="Ordered",Y103="Delivered"),0,""))))</f>
        <v/>
      </c>
      <c r="AA103" s="112">
        <f>IF(B103="","",IF(AH103=1,IF(Y103="⚠️ Delivery after install date",R103,S103),IF(AD103=1,T103,IF(AI103=1,S103,""))))</f>
        <v/>
      </c>
      <c r="AB103" s="79">
        <f>IF(AA103="","",IF(AH103=1,1,IF(AA103="","",IF(AA103&lt;AsOf,1,IF(AA103&lt;=AsOf+AlertDays,2,IF(AA103&lt;=AsOf+2*AlertDays,3,""))))))</f>
        <v/>
      </c>
      <c r="AC103" s="79">
        <f>IF(AB103="","",IF(AH103=1,IF(Y103="⚠️ Delivery after install date","Delivery after install date: "&amp;B103,"Order late — install at risk: "&amp;B103),IF(AD103=1,IF(AB103=1,"Decision overdue: ","Decide: ")&amp;B103,"Order: "&amp;B103&amp;IF(N103="",""," from "&amp;N103))))</f>
        <v/>
      </c>
      <c r="AD103" s="79">
        <f>IF(AND(B103&lt;&gt;"",K103="",U103&lt;&gt;"Yes",X103&lt;&gt;"Yes"),1,0)</f>
        <v/>
      </c>
      <c r="AE103" s="79">
        <f>IF(AND(AD103=1,T103&lt;&gt;""),IF(T103&lt;AsOf,1,0),0)</f>
        <v/>
      </c>
      <c r="AF103" s="79">
        <f>IF(AND(AD103=1,T103&lt;&gt;""),IF(AND(T103&gt;=AsOf,T103&lt;=AsOf+AlertDays),1,0),0)</f>
        <v/>
      </c>
      <c r="AG103" s="79">
        <f>IF(Y103="Order now",1,0)</f>
        <v/>
      </c>
      <c r="AH103" s="79">
        <f>IF(OR(Y103="⚠️ Order late — install at risk",Y103="⚠️ Delivery after install date"),1,0)</f>
        <v/>
      </c>
      <c r="AI103" s="79">
        <f>IF(AND(B103&lt;&gt;"",K103&lt;&gt;"",U103&lt;&gt;"Yes",X103&lt;&gt;"Yes"),1,0)</f>
        <v/>
      </c>
      <c r="AJ103" s="79">
        <f>IF(Y103="⚠️ Order late — install at risk",1,0)</f>
        <v/>
      </c>
    </row>
    <row r="104" ht="20" customHeight="1">
      <c r="B104" s="72" t="n"/>
      <c r="C104" s="72" t="n"/>
      <c r="D104" s="72" t="n"/>
      <c r="E104" s="72" t="n"/>
      <c r="F104" s="73" t="n"/>
      <c r="G104" s="72" t="n"/>
      <c r="H104" s="73" t="n"/>
      <c r="I104" s="72" t="n"/>
      <c r="J104" s="73" t="n"/>
      <c r="K104" s="74" t="n"/>
      <c r="L104" s="75">
        <f>IF(K104="A",F104,IF(K104="B",H104,IF(K104="C",J104,"")))</f>
        <v/>
      </c>
      <c r="M104" s="72" t="n"/>
      <c r="N104" s="72" t="n"/>
      <c r="O104" s="89" t="n"/>
      <c r="P104" s="89" t="n"/>
      <c r="Q104" s="109" t="n"/>
      <c r="R104" s="120">
        <f>IF(B104="","",IF(Q104&lt;&gt;"",Q104,IF(P104="","",IFERROR(INDEX('Timeline'!$J$7:$J$1006,MATCH(P104,'Timeline'!$B$7:$B$1006,0)),""))))</f>
        <v/>
      </c>
      <c r="S104" s="126">
        <f>IF(R104="","",R104-IF(O104="",0,O104)-OrderBuf)</f>
        <v/>
      </c>
      <c r="T104" s="126">
        <f>IF(S104="","",S104-DecideBuf)</f>
        <v/>
      </c>
      <c r="U104" s="74" t="n"/>
      <c r="V104" s="109" t="n"/>
      <c r="W104" s="109" t="n"/>
      <c r="X104" s="74" t="n"/>
      <c r="Y104" s="116">
        <f>IF(B104="","",IF(X104="Yes","Delivered",IF(U104="Yes",IF(AND(W104&lt;&gt;"",R104&lt;&gt;""),IF(W104&gt;R104,"⚠️ Delivery after install date","Ordered"),"Ordered"),IF(K104="",IF(T104="","Waiting for decision",IF(T104&lt;=AsOf+AlertDays,"Decide now","Waiting for decision")),IF(S104="","Selected",IF(AsOf&gt;S104,"⚠️ Order late — install at risk",IF(S104&lt;=AsOf+AlertDays,"Order now","Selected")))))))</f>
        <v/>
      </c>
      <c r="Z104" s="79">
        <f>IF(B104="","",IF(OR(AH104=1,AE104=1),2,IF(OR(AG104=1,AF104=1),1,IF(OR(Y104="Ordered",Y104="Delivered"),0,""))))</f>
        <v/>
      </c>
      <c r="AA104" s="112">
        <f>IF(B104="","",IF(AH104=1,IF(Y104="⚠️ Delivery after install date",R104,S104),IF(AD104=1,T104,IF(AI104=1,S104,""))))</f>
        <v/>
      </c>
      <c r="AB104" s="79">
        <f>IF(AA104="","",IF(AH104=1,1,IF(AA104="","",IF(AA104&lt;AsOf,1,IF(AA104&lt;=AsOf+AlertDays,2,IF(AA104&lt;=AsOf+2*AlertDays,3,""))))))</f>
        <v/>
      </c>
      <c r="AC104" s="79">
        <f>IF(AB104="","",IF(AH104=1,IF(Y104="⚠️ Delivery after install date","Delivery after install date: "&amp;B104,"Order late — install at risk: "&amp;B104),IF(AD104=1,IF(AB104=1,"Decision overdue: ","Decide: ")&amp;B104,"Order: "&amp;B104&amp;IF(N104="",""," from "&amp;N104))))</f>
        <v/>
      </c>
      <c r="AD104" s="79">
        <f>IF(AND(B104&lt;&gt;"",K104="",U104&lt;&gt;"Yes",X104&lt;&gt;"Yes"),1,0)</f>
        <v/>
      </c>
      <c r="AE104" s="79">
        <f>IF(AND(AD104=1,T104&lt;&gt;""),IF(T104&lt;AsOf,1,0),0)</f>
        <v/>
      </c>
      <c r="AF104" s="79">
        <f>IF(AND(AD104=1,T104&lt;&gt;""),IF(AND(T104&gt;=AsOf,T104&lt;=AsOf+AlertDays),1,0),0)</f>
        <v/>
      </c>
      <c r="AG104" s="79">
        <f>IF(Y104="Order now",1,0)</f>
        <v/>
      </c>
      <c r="AH104" s="79">
        <f>IF(OR(Y104="⚠️ Order late — install at risk",Y104="⚠️ Delivery after install date"),1,0)</f>
        <v/>
      </c>
      <c r="AI104" s="79">
        <f>IF(AND(B104&lt;&gt;"",K104&lt;&gt;"",U104&lt;&gt;"Yes",X104&lt;&gt;"Yes"),1,0)</f>
        <v/>
      </c>
      <c r="AJ104" s="79">
        <f>IF(Y104="⚠️ Order late — install at risk",1,0)</f>
        <v/>
      </c>
    </row>
    <row r="105" ht="20" customHeight="1">
      <c r="B105" s="72" t="n"/>
      <c r="C105" s="72" t="n"/>
      <c r="D105" s="72" t="n"/>
      <c r="E105" s="72" t="n"/>
      <c r="F105" s="73" t="n"/>
      <c r="G105" s="72" t="n"/>
      <c r="H105" s="73" t="n"/>
      <c r="I105" s="72" t="n"/>
      <c r="J105" s="73" t="n"/>
      <c r="K105" s="74" t="n"/>
      <c r="L105" s="75">
        <f>IF(K105="A",F105,IF(K105="B",H105,IF(K105="C",J105,"")))</f>
        <v/>
      </c>
      <c r="M105" s="72" t="n"/>
      <c r="N105" s="72" t="n"/>
      <c r="O105" s="89" t="n"/>
      <c r="P105" s="89" t="n"/>
      <c r="Q105" s="109" t="n"/>
      <c r="R105" s="120">
        <f>IF(B105="","",IF(Q105&lt;&gt;"",Q105,IF(P105="","",IFERROR(INDEX('Timeline'!$J$7:$J$1006,MATCH(P105,'Timeline'!$B$7:$B$1006,0)),""))))</f>
        <v/>
      </c>
      <c r="S105" s="126">
        <f>IF(R105="","",R105-IF(O105="",0,O105)-OrderBuf)</f>
        <v/>
      </c>
      <c r="T105" s="126">
        <f>IF(S105="","",S105-DecideBuf)</f>
        <v/>
      </c>
      <c r="U105" s="74" t="n"/>
      <c r="V105" s="109" t="n"/>
      <c r="W105" s="109" t="n"/>
      <c r="X105" s="74" t="n"/>
      <c r="Y105" s="116">
        <f>IF(B105="","",IF(X105="Yes","Delivered",IF(U105="Yes",IF(AND(W105&lt;&gt;"",R105&lt;&gt;""),IF(W105&gt;R105,"⚠️ Delivery after install date","Ordered"),"Ordered"),IF(K105="",IF(T105="","Waiting for decision",IF(T105&lt;=AsOf+AlertDays,"Decide now","Waiting for decision")),IF(S105="","Selected",IF(AsOf&gt;S105,"⚠️ Order late — install at risk",IF(S105&lt;=AsOf+AlertDays,"Order now","Selected")))))))</f>
        <v/>
      </c>
      <c r="Z105" s="79">
        <f>IF(B105="","",IF(OR(AH105=1,AE105=1),2,IF(OR(AG105=1,AF105=1),1,IF(OR(Y105="Ordered",Y105="Delivered"),0,""))))</f>
        <v/>
      </c>
      <c r="AA105" s="112">
        <f>IF(B105="","",IF(AH105=1,IF(Y105="⚠️ Delivery after install date",R105,S105),IF(AD105=1,T105,IF(AI105=1,S105,""))))</f>
        <v/>
      </c>
      <c r="AB105" s="79">
        <f>IF(AA105="","",IF(AH105=1,1,IF(AA105="","",IF(AA105&lt;AsOf,1,IF(AA105&lt;=AsOf+AlertDays,2,IF(AA105&lt;=AsOf+2*AlertDays,3,""))))))</f>
        <v/>
      </c>
      <c r="AC105" s="79">
        <f>IF(AB105="","",IF(AH105=1,IF(Y105="⚠️ Delivery after install date","Delivery after install date: "&amp;B105,"Order late — install at risk: "&amp;B105),IF(AD105=1,IF(AB105=1,"Decision overdue: ","Decide: ")&amp;B105,"Order: "&amp;B105&amp;IF(N105="",""," from "&amp;N105))))</f>
        <v/>
      </c>
      <c r="AD105" s="79">
        <f>IF(AND(B105&lt;&gt;"",K105="",U105&lt;&gt;"Yes",X105&lt;&gt;"Yes"),1,0)</f>
        <v/>
      </c>
      <c r="AE105" s="79">
        <f>IF(AND(AD105=1,T105&lt;&gt;""),IF(T105&lt;AsOf,1,0),0)</f>
        <v/>
      </c>
      <c r="AF105" s="79">
        <f>IF(AND(AD105=1,T105&lt;&gt;""),IF(AND(T105&gt;=AsOf,T105&lt;=AsOf+AlertDays),1,0),0)</f>
        <v/>
      </c>
      <c r="AG105" s="79">
        <f>IF(Y105="Order now",1,0)</f>
        <v/>
      </c>
      <c r="AH105" s="79">
        <f>IF(OR(Y105="⚠️ Order late — install at risk",Y105="⚠️ Delivery after install date"),1,0)</f>
        <v/>
      </c>
      <c r="AI105" s="79">
        <f>IF(AND(B105&lt;&gt;"",K105&lt;&gt;"",U105&lt;&gt;"Yes",X105&lt;&gt;"Yes"),1,0)</f>
        <v/>
      </c>
      <c r="AJ105" s="79">
        <f>IF(Y105="⚠️ Order late — install at risk",1,0)</f>
        <v/>
      </c>
    </row>
    <row r="106" ht="20" customHeight="1">
      <c r="B106" s="72" t="n"/>
      <c r="C106" s="72" t="n"/>
      <c r="D106" s="72" t="n"/>
      <c r="E106" s="72" t="n"/>
      <c r="F106" s="73" t="n"/>
      <c r="G106" s="72" t="n"/>
      <c r="H106" s="73" t="n"/>
      <c r="I106" s="72" t="n"/>
      <c r="J106" s="73" t="n"/>
      <c r="K106" s="74" t="n"/>
      <c r="L106" s="75">
        <f>IF(K106="A",F106,IF(K106="B",H106,IF(K106="C",J106,"")))</f>
        <v/>
      </c>
      <c r="M106" s="72" t="n"/>
      <c r="N106" s="72" t="n"/>
      <c r="O106" s="89" t="n"/>
      <c r="P106" s="89" t="n"/>
      <c r="Q106" s="109" t="n"/>
      <c r="R106" s="120">
        <f>IF(B106="","",IF(Q106&lt;&gt;"",Q106,IF(P106="","",IFERROR(INDEX('Timeline'!$J$7:$J$1006,MATCH(P106,'Timeline'!$B$7:$B$1006,0)),""))))</f>
        <v/>
      </c>
      <c r="S106" s="126">
        <f>IF(R106="","",R106-IF(O106="",0,O106)-OrderBuf)</f>
        <v/>
      </c>
      <c r="T106" s="126">
        <f>IF(S106="","",S106-DecideBuf)</f>
        <v/>
      </c>
      <c r="U106" s="74" t="n"/>
      <c r="V106" s="109" t="n"/>
      <c r="W106" s="109" t="n"/>
      <c r="X106" s="74" t="n"/>
      <c r="Y106" s="116">
        <f>IF(B106="","",IF(X106="Yes","Delivered",IF(U106="Yes",IF(AND(W106&lt;&gt;"",R106&lt;&gt;""),IF(W106&gt;R106,"⚠️ Delivery after install date","Ordered"),"Ordered"),IF(K106="",IF(T106="","Waiting for decision",IF(T106&lt;=AsOf+AlertDays,"Decide now","Waiting for decision")),IF(S106="","Selected",IF(AsOf&gt;S106,"⚠️ Order late — install at risk",IF(S106&lt;=AsOf+AlertDays,"Order now","Selected")))))))</f>
        <v/>
      </c>
      <c r="Z106" s="79">
        <f>IF(B106="","",IF(OR(AH106=1,AE106=1),2,IF(OR(AG106=1,AF106=1),1,IF(OR(Y106="Ordered",Y106="Delivered"),0,""))))</f>
        <v/>
      </c>
      <c r="AA106" s="112">
        <f>IF(B106="","",IF(AH106=1,IF(Y106="⚠️ Delivery after install date",R106,S106),IF(AD106=1,T106,IF(AI106=1,S106,""))))</f>
        <v/>
      </c>
      <c r="AB106" s="79">
        <f>IF(AA106="","",IF(AH106=1,1,IF(AA106="","",IF(AA106&lt;AsOf,1,IF(AA106&lt;=AsOf+AlertDays,2,IF(AA106&lt;=AsOf+2*AlertDays,3,""))))))</f>
        <v/>
      </c>
      <c r="AC106" s="79">
        <f>IF(AB106="","",IF(AH106=1,IF(Y106="⚠️ Delivery after install date","Delivery after install date: "&amp;B106,"Order late — install at risk: "&amp;B106),IF(AD106=1,IF(AB106=1,"Decision overdue: ","Decide: ")&amp;B106,"Order: "&amp;B106&amp;IF(N106="",""," from "&amp;N106))))</f>
        <v/>
      </c>
      <c r="AD106" s="79">
        <f>IF(AND(B106&lt;&gt;"",K106="",U106&lt;&gt;"Yes",X106&lt;&gt;"Yes"),1,0)</f>
        <v/>
      </c>
      <c r="AE106" s="79">
        <f>IF(AND(AD106=1,T106&lt;&gt;""),IF(T106&lt;AsOf,1,0),0)</f>
        <v/>
      </c>
      <c r="AF106" s="79">
        <f>IF(AND(AD106=1,T106&lt;&gt;""),IF(AND(T106&gt;=AsOf,T106&lt;=AsOf+AlertDays),1,0),0)</f>
        <v/>
      </c>
      <c r="AG106" s="79">
        <f>IF(Y106="Order now",1,0)</f>
        <v/>
      </c>
      <c r="AH106" s="79">
        <f>IF(OR(Y106="⚠️ Order late — install at risk",Y106="⚠️ Delivery after install date"),1,0)</f>
        <v/>
      </c>
      <c r="AI106" s="79">
        <f>IF(AND(B106&lt;&gt;"",K106&lt;&gt;"",U106&lt;&gt;"Yes",X106&lt;&gt;"Yes"),1,0)</f>
        <v/>
      </c>
      <c r="AJ106" s="79">
        <f>IF(Y106="⚠️ Order late — install at risk",1,0)</f>
        <v/>
      </c>
    </row>
    <row r="107" ht="20" customHeight="1">
      <c r="B107" s="72" t="n"/>
      <c r="C107" s="72" t="n"/>
      <c r="D107" s="72" t="n"/>
      <c r="E107" s="72" t="n"/>
      <c r="F107" s="73" t="n"/>
      <c r="G107" s="72" t="n"/>
      <c r="H107" s="73" t="n"/>
      <c r="I107" s="72" t="n"/>
      <c r="J107" s="73" t="n"/>
      <c r="K107" s="74" t="n"/>
      <c r="L107" s="75">
        <f>IF(K107="A",F107,IF(K107="B",H107,IF(K107="C",J107,"")))</f>
        <v/>
      </c>
      <c r="M107" s="72" t="n"/>
      <c r="N107" s="72" t="n"/>
      <c r="O107" s="89" t="n"/>
      <c r="P107" s="89" t="n"/>
      <c r="Q107" s="109" t="n"/>
      <c r="R107" s="120">
        <f>IF(B107="","",IF(Q107&lt;&gt;"",Q107,IF(P107="","",IFERROR(INDEX('Timeline'!$J$7:$J$1006,MATCH(P107,'Timeline'!$B$7:$B$1006,0)),""))))</f>
        <v/>
      </c>
      <c r="S107" s="126">
        <f>IF(R107="","",R107-IF(O107="",0,O107)-OrderBuf)</f>
        <v/>
      </c>
      <c r="T107" s="126">
        <f>IF(S107="","",S107-DecideBuf)</f>
        <v/>
      </c>
      <c r="U107" s="74" t="n"/>
      <c r="V107" s="109" t="n"/>
      <c r="W107" s="109" t="n"/>
      <c r="X107" s="74" t="n"/>
      <c r="Y107" s="116">
        <f>IF(B107="","",IF(X107="Yes","Delivered",IF(U107="Yes",IF(AND(W107&lt;&gt;"",R107&lt;&gt;""),IF(W107&gt;R107,"⚠️ Delivery after install date","Ordered"),"Ordered"),IF(K107="",IF(T107="","Waiting for decision",IF(T107&lt;=AsOf+AlertDays,"Decide now","Waiting for decision")),IF(S107="","Selected",IF(AsOf&gt;S107,"⚠️ Order late — install at risk",IF(S107&lt;=AsOf+AlertDays,"Order now","Selected")))))))</f>
        <v/>
      </c>
      <c r="Z107" s="79">
        <f>IF(B107="","",IF(OR(AH107=1,AE107=1),2,IF(OR(AG107=1,AF107=1),1,IF(OR(Y107="Ordered",Y107="Delivered"),0,""))))</f>
        <v/>
      </c>
      <c r="AA107" s="112">
        <f>IF(B107="","",IF(AH107=1,IF(Y107="⚠️ Delivery after install date",R107,S107),IF(AD107=1,T107,IF(AI107=1,S107,""))))</f>
        <v/>
      </c>
      <c r="AB107" s="79">
        <f>IF(AA107="","",IF(AH107=1,1,IF(AA107="","",IF(AA107&lt;AsOf,1,IF(AA107&lt;=AsOf+AlertDays,2,IF(AA107&lt;=AsOf+2*AlertDays,3,""))))))</f>
        <v/>
      </c>
      <c r="AC107" s="79">
        <f>IF(AB107="","",IF(AH107=1,IF(Y107="⚠️ Delivery after install date","Delivery after install date: "&amp;B107,"Order late — install at risk: "&amp;B107),IF(AD107=1,IF(AB107=1,"Decision overdue: ","Decide: ")&amp;B107,"Order: "&amp;B107&amp;IF(N107="",""," from "&amp;N107))))</f>
        <v/>
      </c>
      <c r="AD107" s="79">
        <f>IF(AND(B107&lt;&gt;"",K107="",U107&lt;&gt;"Yes",X107&lt;&gt;"Yes"),1,0)</f>
        <v/>
      </c>
      <c r="AE107" s="79">
        <f>IF(AND(AD107=1,T107&lt;&gt;""),IF(T107&lt;AsOf,1,0),0)</f>
        <v/>
      </c>
      <c r="AF107" s="79">
        <f>IF(AND(AD107=1,T107&lt;&gt;""),IF(AND(T107&gt;=AsOf,T107&lt;=AsOf+AlertDays),1,0),0)</f>
        <v/>
      </c>
      <c r="AG107" s="79">
        <f>IF(Y107="Order now",1,0)</f>
        <v/>
      </c>
      <c r="AH107" s="79">
        <f>IF(OR(Y107="⚠️ Order late — install at risk",Y107="⚠️ Delivery after install date"),1,0)</f>
        <v/>
      </c>
      <c r="AI107" s="79">
        <f>IF(AND(B107&lt;&gt;"",K107&lt;&gt;"",U107&lt;&gt;"Yes",X107&lt;&gt;"Yes"),1,0)</f>
        <v/>
      </c>
      <c r="AJ107" s="79">
        <f>IF(Y107="⚠️ Order late — install at risk",1,0)</f>
        <v/>
      </c>
    </row>
    <row r="108" ht="20" customHeight="1">
      <c r="B108" s="72" t="n"/>
      <c r="C108" s="72" t="n"/>
      <c r="D108" s="72" t="n"/>
      <c r="E108" s="72" t="n"/>
      <c r="F108" s="73" t="n"/>
      <c r="G108" s="72" t="n"/>
      <c r="H108" s="73" t="n"/>
      <c r="I108" s="72" t="n"/>
      <c r="J108" s="73" t="n"/>
      <c r="K108" s="74" t="n"/>
      <c r="L108" s="75">
        <f>IF(K108="A",F108,IF(K108="B",H108,IF(K108="C",J108,"")))</f>
        <v/>
      </c>
      <c r="M108" s="72" t="n"/>
      <c r="N108" s="72" t="n"/>
      <c r="O108" s="89" t="n"/>
      <c r="P108" s="89" t="n"/>
      <c r="Q108" s="109" t="n"/>
      <c r="R108" s="120">
        <f>IF(B108="","",IF(Q108&lt;&gt;"",Q108,IF(P108="","",IFERROR(INDEX('Timeline'!$J$7:$J$1006,MATCH(P108,'Timeline'!$B$7:$B$1006,0)),""))))</f>
        <v/>
      </c>
      <c r="S108" s="126">
        <f>IF(R108="","",R108-IF(O108="",0,O108)-OrderBuf)</f>
        <v/>
      </c>
      <c r="T108" s="126">
        <f>IF(S108="","",S108-DecideBuf)</f>
        <v/>
      </c>
      <c r="U108" s="74" t="n"/>
      <c r="V108" s="109" t="n"/>
      <c r="W108" s="109" t="n"/>
      <c r="X108" s="74" t="n"/>
      <c r="Y108" s="116">
        <f>IF(B108="","",IF(X108="Yes","Delivered",IF(U108="Yes",IF(AND(W108&lt;&gt;"",R108&lt;&gt;""),IF(W108&gt;R108,"⚠️ Delivery after install date","Ordered"),"Ordered"),IF(K108="",IF(T108="","Waiting for decision",IF(T108&lt;=AsOf+AlertDays,"Decide now","Waiting for decision")),IF(S108="","Selected",IF(AsOf&gt;S108,"⚠️ Order late — install at risk",IF(S108&lt;=AsOf+AlertDays,"Order now","Selected")))))))</f>
        <v/>
      </c>
      <c r="Z108" s="79">
        <f>IF(B108="","",IF(OR(AH108=1,AE108=1),2,IF(OR(AG108=1,AF108=1),1,IF(OR(Y108="Ordered",Y108="Delivered"),0,""))))</f>
        <v/>
      </c>
      <c r="AA108" s="112">
        <f>IF(B108="","",IF(AH108=1,IF(Y108="⚠️ Delivery after install date",R108,S108),IF(AD108=1,T108,IF(AI108=1,S108,""))))</f>
        <v/>
      </c>
      <c r="AB108" s="79">
        <f>IF(AA108="","",IF(AH108=1,1,IF(AA108="","",IF(AA108&lt;AsOf,1,IF(AA108&lt;=AsOf+AlertDays,2,IF(AA108&lt;=AsOf+2*AlertDays,3,""))))))</f>
        <v/>
      </c>
      <c r="AC108" s="79">
        <f>IF(AB108="","",IF(AH108=1,IF(Y108="⚠️ Delivery after install date","Delivery after install date: "&amp;B108,"Order late — install at risk: "&amp;B108),IF(AD108=1,IF(AB108=1,"Decision overdue: ","Decide: ")&amp;B108,"Order: "&amp;B108&amp;IF(N108="",""," from "&amp;N108))))</f>
        <v/>
      </c>
      <c r="AD108" s="79">
        <f>IF(AND(B108&lt;&gt;"",K108="",U108&lt;&gt;"Yes",X108&lt;&gt;"Yes"),1,0)</f>
        <v/>
      </c>
      <c r="AE108" s="79">
        <f>IF(AND(AD108=1,T108&lt;&gt;""),IF(T108&lt;AsOf,1,0),0)</f>
        <v/>
      </c>
      <c r="AF108" s="79">
        <f>IF(AND(AD108=1,T108&lt;&gt;""),IF(AND(T108&gt;=AsOf,T108&lt;=AsOf+AlertDays),1,0),0)</f>
        <v/>
      </c>
      <c r="AG108" s="79">
        <f>IF(Y108="Order now",1,0)</f>
        <v/>
      </c>
      <c r="AH108" s="79">
        <f>IF(OR(Y108="⚠️ Order late — install at risk",Y108="⚠️ Delivery after install date"),1,0)</f>
        <v/>
      </c>
      <c r="AI108" s="79">
        <f>IF(AND(B108&lt;&gt;"",K108&lt;&gt;"",U108&lt;&gt;"Yes",X108&lt;&gt;"Yes"),1,0)</f>
        <v/>
      </c>
      <c r="AJ108" s="79">
        <f>IF(Y108="⚠️ Order late — install at risk",1,0)</f>
        <v/>
      </c>
    </row>
    <row r="109" ht="20" customHeight="1">
      <c r="B109" s="72" t="n"/>
      <c r="C109" s="72" t="n"/>
      <c r="D109" s="72" t="n"/>
      <c r="E109" s="72" t="n"/>
      <c r="F109" s="73" t="n"/>
      <c r="G109" s="72" t="n"/>
      <c r="H109" s="73" t="n"/>
      <c r="I109" s="72" t="n"/>
      <c r="J109" s="73" t="n"/>
      <c r="K109" s="74" t="n"/>
      <c r="L109" s="75">
        <f>IF(K109="A",F109,IF(K109="B",H109,IF(K109="C",J109,"")))</f>
        <v/>
      </c>
      <c r="M109" s="72" t="n"/>
      <c r="N109" s="72" t="n"/>
      <c r="O109" s="89" t="n"/>
      <c r="P109" s="89" t="n"/>
      <c r="Q109" s="109" t="n"/>
      <c r="R109" s="120">
        <f>IF(B109="","",IF(Q109&lt;&gt;"",Q109,IF(P109="","",IFERROR(INDEX('Timeline'!$J$7:$J$1006,MATCH(P109,'Timeline'!$B$7:$B$1006,0)),""))))</f>
        <v/>
      </c>
      <c r="S109" s="126">
        <f>IF(R109="","",R109-IF(O109="",0,O109)-OrderBuf)</f>
        <v/>
      </c>
      <c r="T109" s="126">
        <f>IF(S109="","",S109-DecideBuf)</f>
        <v/>
      </c>
      <c r="U109" s="74" t="n"/>
      <c r="V109" s="109" t="n"/>
      <c r="W109" s="109" t="n"/>
      <c r="X109" s="74" t="n"/>
      <c r="Y109" s="116">
        <f>IF(B109="","",IF(X109="Yes","Delivered",IF(U109="Yes",IF(AND(W109&lt;&gt;"",R109&lt;&gt;""),IF(W109&gt;R109,"⚠️ Delivery after install date","Ordered"),"Ordered"),IF(K109="",IF(T109="","Waiting for decision",IF(T109&lt;=AsOf+AlertDays,"Decide now","Waiting for decision")),IF(S109="","Selected",IF(AsOf&gt;S109,"⚠️ Order late — install at risk",IF(S109&lt;=AsOf+AlertDays,"Order now","Selected")))))))</f>
        <v/>
      </c>
      <c r="Z109" s="79">
        <f>IF(B109="","",IF(OR(AH109=1,AE109=1),2,IF(OR(AG109=1,AF109=1),1,IF(OR(Y109="Ordered",Y109="Delivered"),0,""))))</f>
        <v/>
      </c>
      <c r="AA109" s="112">
        <f>IF(B109="","",IF(AH109=1,IF(Y109="⚠️ Delivery after install date",R109,S109),IF(AD109=1,T109,IF(AI109=1,S109,""))))</f>
        <v/>
      </c>
      <c r="AB109" s="79">
        <f>IF(AA109="","",IF(AH109=1,1,IF(AA109="","",IF(AA109&lt;AsOf,1,IF(AA109&lt;=AsOf+AlertDays,2,IF(AA109&lt;=AsOf+2*AlertDays,3,""))))))</f>
        <v/>
      </c>
      <c r="AC109" s="79">
        <f>IF(AB109="","",IF(AH109=1,IF(Y109="⚠️ Delivery after install date","Delivery after install date: "&amp;B109,"Order late — install at risk: "&amp;B109),IF(AD109=1,IF(AB109=1,"Decision overdue: ","Decide: ")&amp;B109,"Order: "&amp;B109&amp;IF(N109="",""," from "&amp;N109))))</f>
        <v/>
      </c>
      <c r="AD109" s="79">
        <f>IF(AND(B109&lt;&gt;"",K109="",U109&lt;&gt;"Yes",X109&lt;&gt;"Yes"),1,0)</f>
        <v/>
      </c>
      <c r="AE109" s="79">
        <f>IF(AND(AD109=1,T109&lt;&gt;""),IF(T109&lt;AsOf,1,0),0)</f>
        <v/>
      </c>
      <c r="AF109" s="79">
        <f>IF(AND(AD109=1,T109&lt;&gt;""),IF(AND(T109&gt;=AsOf,T109&lt;=AsOf+AlertDays),1,0),0)</f>
        <v/>
      </c>
      <c r="AG109" s="79">
        <f>IF(Y109="Order now",1,0)</f>
        <v/>
      </c>
      <c r="AH109" s="79">
        <f>IF(OR(Y109="⚠️ Order late — install at risk",Y109="⚠️ Delivery after install date"),1,0)</f>
        <v/>
      </c>
      <c r="AI109" s="79">
        <f>IF(AND(B109&lt;&gt;"",K109&lt;&gt;"",U109&lt;&gt;"Yes",X109&lt;&gt;"Yes"),1,0)</f>
        <v/>
      </c>
      <c r="AJ109" s="79">
        <f>IF(Y109="⚠️ Order late — install at risk",1,0)</f>
        <v/>
      </c>
    </row>
    <row r="110" ht="20" customHeight="1">
      <c r="B110" s="72" t="n"/>
      <c r="C110" s="72" t="n"/>
      <c r="D110" s="72" t="n"/>
      <c r="E110" s="72" t="n"/>
      <c r="F110" s="73" t="n"/>
      <c r="G110" s="72" t="n"/>
      <c r="H110" s="73" t="n"/>
      <c r="I110" s="72" t="n"/>
      <c r="J110" s="73" t="n"/>
      <c r="K110" s="74" t="n"/>
      <c r="L110" s="75">
        <f>IF(K110="A",F110,IF(K110="B",H110,IF(K110="C",J110,"")))</f>
        <v/>
      </c>
      <c r="M110" s="72" t="n"/>
      <c r="N110" s="72" t="n"/>
      <c r="O110" s="89" t="n"/>
      <c r="P110" s="89" t="n"/>
      <c r="Q110" s="109" t="n"/>
      <c r="R110" s="120">
        <f>IF(B110="","",IF(Q110&lt;&gt;"",Q110,IF(P110="","",IFERROR(INDEX('Timeline'!$J$7:$J$1006,MATCH(P110,'Timeline'!$B$7:$B$1006,0)),""))))</f>
        <v/>
      </c>
      <c r="S110" s="126">
        <f>IF(R110="","",R110-IF(O110="",0,O110)-OrderBuf)</f>
        <v/>
      </c>
      <c r="T110" s="126">
        <f>IF(S110="","",S110-DecideBuf)</f>
        <v/>
      </c>
      <c r="U110" s="74" t="n"/>
      <c r="V110" s="109" t="n"/>
      <c r="W110" s="109" t="n"/>
      <c r="X110" s="74" t="n"/>
      <c r="Y110" s="116">
        <f>IF(B110="","",IF(X110="Yes","Delivered",IF(U110="Yes",IF(AND(W110&lt;&gt;"",R110&lt;&gt;""),IF(W110&gt;R110,"⚠️ Delivery after install date","Ordered"),"Ordered"),IF(K110="",IF(T110="","Waiting for decision",IF(T110&lt;=AsOf+AlertDays,"Decide now","Waiting for decision")),IF(S110="","Selected",IF(AsOf&gt;S110,"⚠️ Order late — install at risk",IF(S110&lt;=AsOf+AlertDays,"Order now","Selected")))))))</f>
        <v/>
      </c>
      <c r="Z110" s="79">
        <f>IF(B110="","",IF(OR(AH110=1,AE110=1),2,IF(OR(AG110=1,AF110=1),1,IF(OR(Y110="Ordered",Y110="Delivered"),0,""))))</f>
        <v/>
      </c>
      <c r="AA110" s="112">
        <f>IF(B110="","",IF(AH110=1,IF(Y110="⚠️ Delivery after install date",R110,S110),IF(AD110=1,T110,IF(AI110=1,S110,""))))</f>
        <v/>
      </c>
      <c r="AB110" s="79">
        <f>IF(AA110="","",IF(AH110=1,1,IF(AA110="","",IF(AA110&lt;AsOf,1,IF(AA110&lt;=AsOf+AlertDays,2,IF(AA110&lt;=AsOf+2*AlertDays,3,""))))))</f>
        <v/>
      </c>
      <c r="AC110" s="79">
        <f>IF(AB110="","",IF(AH110=1,IF(Y110="⚠️ Delivery after install date","Delivery after install date: "&amp;B110,"Order late — install at risk: "&amp;B110),IF(AD110=1,IF(AB110=1,"Decision overdue: ","Decide: ")&amp;B110,"Order: "&amp;B110&amp;IF(N110="",""," from "&amp;N110))))</f>
        <v/>
      </c>
      <c r="AD110" s="79">
        <f>IF(AND(B110&lt;&gt;"",K110="",U110&lt;&gt;"Yes",X110&lt;&gt;"Yes"),1,0)</f>
        <v/>
      </c>
      <c r="AE110" s="79">
        <f>IF(AND(AD110=1,T110&lt;&gt;""),IF(T110&lt;AsOf,1,0),0)</f>
        <v/>
      </c>
      <c r="AF110" s="79">
        <f>IF(AND(AD110=1,T110&lt;&gt;""),IF(AND(T110&gt;=AsOf,T110&lt;=AsOf+AlertDays),1,0),0)</f>
        <v/>
      </c>
      <c r="AG110" s="79">
        <f>IF(Y110="Order now",1,0)</f>
        <v/>
      </c>
      <c r="AH110" s="79">
        <f>IF(OR(Y110="⚠️ Order late — install at risk",Y110="⚠️ Delivery after install date"),1,0)</f>
        <v/>
      </c>
      <c r="AI110" s="79">
        <f>IF(AND(B110&lt;&gt;"",K110&lt;&gt;"",U110&lt;&gt;"Yes",X110&lt;&gt;"Yes"),1,0)</f>
        <v/>
      </c>
      <c r="AJ110" s="79">
        <f>IF(Y110="⚠️ Order late — install at risk",1,0)</f>
        <v/>
      </c>
    </row>
    <row r="111" ht="20" customHeight="1">
      <c r="B111" s="72" t="n"/>
      <c r="C111" s="72" t="n"/>
      <c r="D111" s="72" t="n"/>
      <c r="E111" s="72" t="n"/>
      <c r="F111" s="73" t="n"/>
      <c r="G111" s="72" t="n"/>
      <c r="H111" s="73" t="n"/>
      <c r="I111" s="72" t="n"/>
      <c r="J111" s="73" t="n"/>
      <c r="K111" s="74" t="n"/>
      <c r="L111" s="75">
        <f>IF(K111="A",F111,IF(K111="B",H111,IF(K111="C",J111,"")))</f>
        <v/>
      </c>
      <c r="M111" s="72" t="n"/>
      <c r="N111" s="72" t="n"/>
      <c r="O111" s="89" t="n"/>
      <c r="P111" s="89" t="n"/>
      <c r="Q111" s="109" t="n"/>
      <c r="R111" s="120">
        <f>IF(B111="","",IF(Q111&lt;&gt;"",Q111,IF(P111="","",IFERROR(INDEX('Timeline'!$J$7:$J$1006,MATCH(P111,'Timeline'!$B$7:$B$1006,0)),""))))</f>
        <v/>
      </c>
      <c r="S111" s="126">
        <f>IF(R111="","",R111-IF(O111="",0,O111)-OrderBuf)</f>
        <v/>
      </c>
      <c r="T111" s="126">
        <f>IF(S111="","",S111-DecideBuf)</f>
        <v/>
      </c>
      <c r="U111" s="74" t="n"/>
      <c r="V111" s="109" t="n"/>
      <c r="W111" s="109" t="n"/>
      <c r="X111" s="74" t="n"/>
      <c r="Y111" s="116">
        <f>IF(B111="","",IF(X111="Yes","Delivered",IF(U111="Yes",IF(AND(W111&lt;&gt;"",R111&lt;&gt;""),IF(W111&gt;R111,"⚠️ Delivery after install date","Ordered"),"Ordered"),IF(K111="",IF(T111="","Waiting for decision",IF(T111&lt;=AsOf+AlertDays,"Decide now","Waiting for decision")),IF(S111="","Selected",IF(AsOf&gt;S111,"⚠️ Order late — install at risk",IF(S111&lt;=AsOf+AlertDays,"Order now","Selected")))))))</f>
        <v/>
      </c>
      <c r="Z111" s="79">
        <f>IF(B111="","",IF(OR(AH111=1,AE111=1),2,IF(OR(AG111=1,AF111=1),1,IF(OR(Y111="Ordered",Y111="Delivered"),0,""))))</f>
        <v/>
      </c>
      <c r="AA111" s="112">
        <f>IF(B111="","",IF(AH111=1,IF(Y111="⚠️ Delivery after install date",R111,S111),IF(AD111=1,T111,IF(AI111=1,S111,""))))</f>
        <v/>
      </c>
      <c r="AB111" s="79">
        <f>IF(AA111="","",IF(AH111=1,1,IF(AA111="","",IF(AA111&lt;AsOf,1,IF(AA111&lt;=AsOf+AlertDays,2,IF(AA111&lt;=AsOf+2*AlertDays,3,""))))))</f>
        <v/>
      </c>
      <c r="AC111" s="79">
        <f>IF(AB111="","",IF(AH111=1,IF(Y111="⚠️ Delivery after install date","Delivery after install date: "&amp;B111,"Order late — install at risk: "&amp;B111),IF(AD111=1,IF(AB111=1,"Decision overdue: ","Decide: ")&amp;B111,"Order: "&amp;B111&amp;IF(N111="",""," from "&amp;N111))))</f>
        <v/>
      </c>
      <c r="AD111" s="79">
        <f>IF(AND(B111&lt;&gt;"",K111="",U111&lt;&gt;"Yes",X111&lt;&gt;"Yes"),1,0)</f>
        <v/>
      </c>
      <c r="AE111" s="79">
        <f>IF(AND(AD111=1,T111&lt;&gt;""),IF(T111&lt;AsOf,1,0),0)</f>
        <v/>
      </c>
      <c r="AF111" s="79">
        <f>IF(AND(AD111=1,T111&lt;&gt;""),IF(AND(T111&gt;=AsOf,T111&lt;=AsOf+AlertDays),1,0),0)</f>
        <v/>
      </c>
      <c r="AG111" s="79">
        <f>IF(Y111="Order now",1,0)</f>
        <v/>
      </c>
      <c r="AH111" s="79">
        <f>IF(OR(Y111="⚠️ Order late — install at risk",Y111="⚠️ Delivery after install date"),1,0)</f>
        <v/>
      </c>
      <c r="AI111" s="79">
        <f>IF(AND(B111&lt;&gt;"",K111&lt;&gt;"",U111&lt;&gt;"Yes",X111&lt;&gt;"Yes"),1,0)</f>
        <v/>
      </c>
      <c r="AJ111" s="79">
        <f>IF(Y111="⚠️ Order late — install at risk",1,0)</f>
        <v/>
      </c>
    </row>
    <row r="112" ht="20" customHeight="1">
      <c r="B112" s="72" t="n"/>
      <c r="C112" s="72" t="n"/>
      <c r="D112" s="72" t="n"/>
      <c r="E112" s="72" t="n"/>
      <c r="F112" s="73" t="n"/>
      <c r="G112" s="72" t="n"/>
      <c r="H112" s="73" t="n"/>
      <c r="I112" s="72" t="n"/>
      <c r="J112" s="73" t="n"/>
      <c r="K112" s="74" t="n"/>
      <c r="L112" s="75">
        <f>IF(K112="A",F112,IF(K112="B",H112,IF(K112="C",J112,"")))</f>
        <v/>
      </c>
      <c r="M112" s="72" t="n"/>
      <c r="N112" s="72" t="n"/>
      <c r="O112" s="89" t="n"/>
      <c r="P112" s="89" t="n"/>
      <c r="Q112" s="109" t="n"/>
      <c r="R112" s="120">
        <f>IF(B112="","",IF(Q112&lt;&gt;"",Q112,IF(P112="","",IFERROR(INDEX('Timeline'!$J$7:$J$1006,MATCH(P112,'Timeline'!$B$7:$B$1006,0)),""))))</f>
        <v/>
      </c>
      <c r="S112" s="126">
        <f>IF(R112="","",R112-IF(O112="",0,O112)-OrderBuf)</f>
        <v/>
      </c>
      <c r="T112" s="126">
        <f>IF(S112="","",S112-DecideBuf)</f>
        <v/>
      </c>
      <c r="U112" s="74" t="n"/>
      <c r="V112" s="109" t="n"/>
      <c r="W112" s="109" t="n"/>
      <c r="X112" s="74" t="n"/>
      <c r="Y112" s="116">
        <f>IF(B112="","",IF(X112="Yes","Delivered",IF(U112="Yes",IF(AND(W112&lt;&gt;"",R112&lt;&gt;""),IF(W112&gt;R112,"⚠️ Delivery after install date","Ordered"),"Ordered"),IF(K112="",IF(T112="","Waiting for decision",IF(T112&lt;=AsOf+AlertDays,"Decide now","Waiting for decision")),IF(S112="","Selected",IF(AsOf&gt;S112,"⚠️ Order late — install at risk",IF(S112&lt;=AsOf+AlertDays,"Order now","Selected")))))))</f>
        <v/>
      </c>
      <c r="Z112" s="79">
        <f>IF(B112="","",IF(OR(AH112=1,AE112=1),2,IF(OR(AG112=1,AF112=1),1,IF(OR(Y112="Ordered",Y112="Delivered"),0,""))))</f>
        <v/>
      </c>
      <c r="AA112" s="112">
        <f>IF(B112="","",IF(AH112=1,IF(Y112="⚠️ Delivery after install date",R112,S112),IF(AD112=1,T112,IF(AI112=1,S112,""))))</f>
        <v/>
      </c>
      <c r="AB112" s="79">
        <f>IF(AA112="","",IF(AH112=1,1,IF(AA112="","",IF(AA112&lt;AsOf,1,IF(AA112&lt;=AsOf+AlertDays,2,IF(AA112&lt;=AsOf+2*AlertDays,3,""))))))</f>
        <v/>
      </c>
      <c r="AC112" s="79">
        <f>IF(AB112="","",IF(AH112=1,IF(Y112="⚠️ Delivery after install date","Delivery after install date: "&amp;B112,"Order late — install at risk: "&amp;B112),IF(AD112=1,IF(AB112=1,"Decision overdue: ","Decide: ")&amp;B112,"Order: "&amp;B112&amp;IF(N112="",""," from "&amp;N112))))</f>
        <v/>
      </c>
      <c r="AD112" s="79">
        <f>IF(AND(B112&lt;&gt;"",K112="",U112&lt;&gt;"Yes",X112&lt;&gt;"Yes"),1,0)</f>
        <v/>
      </c>
      <c r="AE112" s="79">
        <f>IF(AND(AD112=1,T112&lt;&gt;""),IF(T112&lt;AsOf,1,0),0)</f>
        <v/>
      </c>
      <c r="AF112" s="79">
        <f>IF(AND(AD112=1,T112&lt;&gt;""),IF(AND(T112&gt;=AsOf,T112&lt;=AsOf+AlertDays),1,0),0)</f>
        <v/>
      </c>
      <c r="AG112" s="79">
        <f>IF(Y112="Order now",1,0)</f>
        <v/>
      </c>
      <c r="AH112" s="79">
        <f>IF(OR(Y112="⚠️ Order late — install at risk",Y112="⚠️ Delivery after install date"),1,0)</f>
        <v/>
      </c>
      <c r="AI112" s="79">
        <f>IF(AND(B112&lt;&gt;"",K112&lt;&gt;"",U112&lt;&gt;"Yes",X112&lt;&gt;"Yes"),1,0)</f>
        <v/>
      </c>
      <c r="AJ112" s="79">
        <f>IF(Y112="⚠️ Order late — install at risk",1,0)</f>
        <v/>
      </c>
    </row>
    <row r="113" ht="20" customHeight="1">
      <c r="B113" s="72" t="n"/>
      <c r="C113" s="72" t="n"/>
      <c r="D113" s="72" t="n"/>
      <c r="E113" s="72" t="n"/>
      <c r="F113" s="73" t="n"/>
      <c r="G113" s="72" t="n"/>
      <c r="H113" s="73" t="n"/>
      <c r="I113" s="72" t="n"/>
      <c r="J113" s="73" t="n"/>
      <c r="K113" s="74" t="n"/>
      <c r="L113" s="75">
        <f>IF(K113="A",F113,IF(K113="B",H113,IF(K113="C",J113,"")))</f>
        <v/>
      </c>
      <c r="M113" s="72" t="n"/>
      <c r="N113" s="72" t="n"/>
      <c r="O113" s="89" t="n"/>
      <c r="P113" s="89" t="n"/>
      <c r="Q113" s="109" t="n"/>
      <c r="R113" s="120">
        <f>IF(B113="","",IF(Q113&lt;&gt;"",Q113,IF(P113="","",IFERROR(INDEX('Timeline'!$J$7:$J$1006,MATCH(P113,'Timeline'!$B$7:$B$1006,0)),""))))</f>
        <v/>
      </c>
      <c r="S113" s="126">
        <f>IF(R113="","",R113-IF(O113="",0,O113)-OrderBuf)</f>
        <v/>
      </c>
      <c r="T113" s="126">
        <f>IF(S113="","",S113-DecideBuf)</f>
        <v/>
      </c>
      <c r="U113" s="74" t="n"/>
      <c r="V113" s="109" t="n"/>
      <c r="W113" s="109" t="n"/>
      <c r="X113" s="74" t="n"/>
      <c r="Y113" s="116">
        <f>IF(B113="","",IF(X113="Yes","Delivered",IF(U113="Yes",IF(AND(W113&lt;&gt;"",R113&lt;&gt;""),IF(W113&gt;R113,"⚠️ Delivery after install date","Ordered"),"Ordered"),IF(K113="",IF(T113="","Waiting for decision",IF(T113&lt;=AsOf+AlertDays,"Decide now","Waiting for decision")),IF(S113="","Selected",IF(AsOf&gt;S113,"⚠️ Order late — install at risk",IF(S113&lt;=AsOf+AlertDays,"Order now","Selected")))))))</f>
        <v/>
      </c>
      <c r="Z113" s="79">
        <f>IF(B113="","",IF(OR(AH113=1,AE113=1),2,IF(OR(AG113=1,AF113=1),1,IF(OR(Y113="Ordered",Y113="Delivered"),0,""))))</f>
        <v/>
      </c>
      <c r="AA113" s="112">
        <f>IF(B113="","",IF(AH113=1,IF(Y113="⚠️ Delivery after install date",R113,S113),IF(AD113=1,T113,IF(AI113=1,S113,""))))</f>
        <v/>
      </c>
      <c r="AB113" s="79">
        <f>IF(AA113="","",IF(AH113=1,1,IF(AA113="","",IF(AA113&lt;AsOf,1,IF(AA113&lt;=AsOf+AlertDays,2,IF(AA113&lt;=AsOf+2*AlertDays,3,""))))))</f>
        <v/>
      </c>
      <c r="AC113" s="79">
        <f>IF(AB113="","",IF(AH113=1,IF(Y113="⚠️ Delivery after install date","Delivery after install date: "&amp;B113,"Order late — install at risk: "&amp;B113),IF(AD113=1,IF(AB113=1,"Decision overdue: ","Decide: ")&amp;B113,"Order: "&amp;B113&amp;IF(N113="",""," from "&amp;N113))))</f>
        <v/>
      </c>
      <c r="AD113" s="79">
        <f>IF(AND(B113&lt;&gt;"",K113="",U113&lt;&gt;"Yes",X113&lt;&gt;"Yes"),1,0)</f>
        <v/>
      </c>
      <c r="AE113" s="79">
        <f>IF(AND(AD113=1,T113&lt;&gt;""),IF(T113&lt;AsOf,1,0),0)</f>
        <v/>
      </c>
      <c r="AF113" s="79">
        <f>IF(AND(AD113=1,T113&lt;&gt;""),IF(AND(T113&gt;=AsOf,T113&lt;=AsOf+AlertDays),1,0),0)</f>
        <v/>
      </c>
      <c r="AG113" s="79">
        <f>IF(Y113="Order now",1,0)</f>
        <v/>
      </c>
      <c r="AH113" s="79">
        <f>IF(OR(Y113="⚠️ Order late — install at risk",Y113="⚠️ Delivery after install date"),1,0)</f>
        <v/>
      </c>
      <c r="AI113" s="79">
        <f>IF(AND(B113&lt;&gt;"",K113&lt;&gt;"",U113&lt;&gt;"Yes",X113&lt;&gt;"Yes"),1,0)</f>
        <v/>
      </c>
      <c r="AJ113" s="79">
        <f>IF(Y113="⚠️ Order late — install at risk",1,0)</f>
        <v/>
      </c>
    </row>
    <row r="114" ht="20" customHeight="1">
      <c r="B114" s="72" t="n"/>
      <c r="C114" s="72" t="n"/>
      <c r="D114" s="72" t="n"/>
      <c r="E114" s="72" t="n"/>
      <c r="F114" s="73" t="n"/>
      <c r="G114" s="72" t="n"/>
      <c r="H114" s="73" t="n"/>
      <c r="I114" s="72" t="n"/>
      <c r="J114" s="73" t="n"/>
      <c r="K114" s="74" t="n"/>
      <c r="L114" s="75">
        <f>IF(K114="A",F114,IF(K114="B",H114,IF(K114="C",J114,"")))</f>
        <v/>
      </c>
      <c r="M114" s="72" t="n"/>
      <c r="N114" s="72" t="n"/>
      <c r="O114" s="89" t="n"/>
      <c r="P114" s="89" t="n"/>
      <c r="Q114" s="109" t="n"/>
      <c r="R114" s="120">
        <f>IF(B114="","",IF(Q114&lt;&gt;"",Q114,IF(P114="","",IFERROR(INDEX('Timeline'!$J$7:$J$1006,MATCH(P114,'Timeline'!$B$7:$B$1006,0)),""))))</f>
        <v/>
      </c>
      <c r="S114" s="126">
        <f>IF(R114="","",R114-IF(O114="",0,O114)-OrderBuf)</f>
        <v/>
      </c>
      <c r="T114" s="126">
        <f>IF(S114="","",S114-DecideBuf)</f>
        <v/>
      </c>
      <c r="U114" s="74" t="n"/>
      <c r="V114" s="109" t="n"/>
      <c r="W114" s="109" t="n"/>
      <c r="X114" s="74" t="n"/>
      <c r="Y114" s="116">
        <f>IF(B114="","",IF(X114="Yes","Delivered",IF(U114="Yes",IF(AND(W114&lt;&gt;"",R114&lt;&gt;""),IF(W114&gt;R114,"⚠️ Delivery after install date","Ordered"),"Ordered"),IF(K114="",IF(T114="","Waiting for decision",IF(T114&lt;=AsOf+AlertDays,"Decide now","Waiting for decision")),IF(S114="","Selected",IF(AsOf&gt;S114,"⚠️ Order late — install at risk",IF(S114&lt;=AsOf+AlertDays,"Order now","Selected")))))))</f>
        <v/>
      </c>
      <c r="Z114" s="79">
        <f>IF(B114="","",IF(OR(AH114=1,AE114=1),2,IF(OR(AG114=1,AF114=1),1,IF(OR(Y114="Ordered",Y114="Delivered"),0,""))))</f>
        <v/>
      </c>
      <c r="AA114" s="112">
        <f>IF(B114="","",IF(AH114=1,IF(Y114="⚠️ Delivery after install date",R114,S114),IF(AD114=1,T114,IF(AI114=1,S114,""))))</f>
        <v/>
      </c>
      <c r="AB114" s="79">
        <f>IF(AA114="","",IF(AH114=1,1,IF(AA114="","",IF(AA114&lt;AsOf,1,IF(AA114&lt;=AsOf+AlertDays,2,IF(AA114&lt;=AsOf+2*AlertDays,3,""))))))</f>
        <v/>
      </c>
      <c r="AC114" s="79">
        <f>IF(AB114="","",IF(AH114=1,IF(Y114="⚠️ Delivery after install date","Delivery after install date: "&amp;B114,"Order late — install at risk: "&amp;B114),IF(AD114=1,IF(AB114=1,"Decision overdue: ","Decide: ")&amp;B114,"Order: "&amp;B114&amp;IF(N114="",""," from "&amp;N114))))</f>
        <v/>
      </c>
      <c r="AD114" s="79">
        <f>IF(AND(B114&lt;&gt;"",K114="",U114&lt;&gt;"Yes",X114&lt;&gt;"Yes"),1,0)</f>
        <v/>
      </c>
      <c r="AE114" s="79">
        <f>IF(AND(AD114=1,T114&lt;&gt;""),IF(T114&lt;AsOf,1,0),0)</f>
        <v/>
      </c>
      <c r="AF114" s="79">
        <f>IF(AND(AD114=1,T114&lt;&gt;""),IF(AND(T114&gt;=AsOf,T114&lt;=AsOf+AlertDays),1,0),0)</f>
        <v/>
      </c>
      <c r="AG114" s="79">
        <f>IF(Y114="Order now",1,0)</f>
        <v/>
      </c>
      <c r="AH114" s="79">
        <f>IF(OR(Y114="⚠️ Order late — install at risk",Y114="⚠️ Delivery after install date"),1,0)</f>
        <v/>
      </c>
      <c r="AI114" s="79">
        <f>IF(AND(B114&lt;&gt;"",K114&lt;&gt;"",U114&lt;&gt;"Yes",X114&lt;&gt;"Yes"),1,0)</f>
        <v/>
      </c>
      <c r="AJ114" s="79">
        <f>IF(Y114="⚠️ Order late — install at risk",1,0)</f>
        <v/>
      </c>
    </row>
    <row r="115" ht="20" customHeight="1">
      <c r="B115" s="72" t="n"/>
      <c r="C115" s="72" t="n"/>
      <c r="D115" s="72" t="n"/>
      <c r="E115" s="72" t="n"/>
      <c r="F115" s="73" t="n"/>
      <c r="G115" s="72" t="n"/>
      <c r="H115" s="73" t="n"/>
      <c r="I115" s="72" t="n"/>
      <c r="J115" s="73" t="n"/>
      <c r="K115" s="74" t="n"/>
      <c r="L115" s="75">
        <f>IF(K115="A",F115,IF(K115="B",H115,IF(K115="C",J115,"")))</f>
        <v/>
      </c>
      <c r="M115" s="72" t="n"/>
      <c r="N115" s="72" t="n"/>
      <c r="O115" s="89" t="n"/>
      <c r="P115" s="89" t="n"/>
      <c r="Q115" s="109" t="n"/>
      <c r="R115" s="120">
        <f>IF(B115="","",IF(Q115&lt;&gt;"",Q115,IF(P115="","",IFERROR(INDEX('Timeline'!$J$7:$J$1006,MATCH(P115,'Timeline'!$B$7:$B$1006,0)),""))))</f>
        <v/>
      </c>
      <c r="S115" s="126">
        <f>IF(R115="","",R115-IF(O115="",0,O115)-OrderBuf)</f>
        <v/>
      </c>
      <c r="T115" s="126">
        <f>IF(S115="","",S115-DecideBuf)</f>
        <v/>
      </c>
      <c r="U115" s="74" t="n"/>
      <c r="V115" s="109" t="n"/>
      <c r="W115" s="109" t="n"/>
      <c r="X115" s="74" t="n"/>
      <c r="Y115" s="116">
        <f>IF(B115="","",IF(X115="Yes","Delivered",IF(U115="Yes",IF(AND(W115&lt;&gt;"",R115&lt;&gt;""),IF(W115&gt;R115,"⚠️ Delivery after install date","Ordered"),"Ordered"),IF(K115="",IF(T115="","Waiting for decision",IF(T115&lt;=AsOf+AlertDays,"Decide now","Waiting for decision")),IF(S115="","Selected",IF(AsOf&gt;S115,"⚠️ Order late — install at risk",IF(S115&lt;=AsOf+AlertDays,"Order now","Selected")))))))</f>
        <v/>
      </c>
      <c r="Z115" s="79">
        <f>IF(B115="","",IF(OR(AH115=1,AE115=1),2,IF(OR(AG115=1,AF115=1),1,IF(OR(Y115="Ordered",Y115="Delivered"),0,""))))</f>
        <v/>
      </c>
      <c r="AA115" s="112">
        <f>IF(B115="","",IF(AH115=1,IF(Y115="⚠️ Delivery after install date",R115,S115),IF(AD115=1,T115,IF(AI115=1,S115,""))))</f>
        <v/>
      </c>
      <c r="AB115" s="79">
        <f>IF(AA115="","",IF(AH115=1,1,IF(AA115="","",IF(AA115&lt;AsOf,1,IF(AA115&lt;=AsOf+AlertDays,2,IF(AA115&lt;=AsOf+2*AlertDays,3,""))))))</f>
        <v/>
      </c>
      <c r="AC115" s="79">
        <f>IF(AB115="","",IF(AH115=1,IF(Y115="⚠️ Delivery after install date","Delivery after install date: "&amp;B115,"Order late — install at risk: "&amp;B115),IF(AD115=1,IF(AB115=1,"Decision overdue: ","Decide: ")&amp;B115,"Order: "&amp;B115&amp;IF(N115="",""," from "&amp;N115))))</f>
        <v/>
      </c>
      <c r="AD115" s="79">
        <f>IF(AND(B115&lt;&gt;"",K115="",U115&lt;&gt;"Yes",X115&lt;&gt;"Yes"),1,0)</f>
        <v/>
      </c>
      <c r="AE115" s="79">
        <f>IF(AND(AD115=1,T115&lt;&gt;""),IF(T115&lt;AsOf,1,0),0)</f>
        <v/>
      </c>
      <c r="AF115" s="79">
        <f>IF(AND(AD115=1,T115&lt;&gt;""),IF(AND(T115&gt;=AsOf,T115&lt;=AsOf+AlertDays),1,0),0)</f>
        <v/>
      </c>
      <c r="AG115" s="79">
        <f>IF(Y115="Order now",1,0)</f>
        <v/>
      </c>
      <c r="AH115" s="79">
        <f>IF(OR(Y115="⚠️ Order late — install at risk",Y115="⚠️ Delivery after install date"),1,0)</f>
        <v/>
      </c>
      <c r="AI115" s="79">
        <f>IF(AND(B115&lt;&gt;"",K115&lt;&gt;"",U115&lt;&gt;"Yes",X115&lt;&gt;"Yes"),1,0)</f>
        <v/>
      </c>
      <c r="AJ115" s="79">
        <f>IF(Y115="⚠️ Order late — install at risk",1,0)</f>
        <v/>
      </c>
    </row>
    <row r="116" ht="20" customHeight="1">
      <c r="B116" s="72" t="n"/>
      <c r="C116" s="72" t="n"/>
      <c r="D116" s="72" t="n"/>
      <c r="E116" s="72" t="n"/>
      <c r="F116" s="73" t="n"/>
      <c r="G116" s="72" t="n"/>
      <c r="H116" s="73" t="n"/>
      <c r="I116" s="72" t="n"/>
      <c r="J116" s="73" t="n"/>
      <c r="K116" s="74" t="n"/>
      <c r="L116" s="75">
        <f>IF(K116="A",F116,IF(K116="B",H116,IF(K116="C",J116,"")))</f>
        <v/>
      </c>
      <c r="M116" s="72" t="n"/>
      <c r="N116" s="72" t="n"/>
      <c r="O116" s="89" t="n"/>
      <c r="P116" s="89" t="n"/>
      <c r="Q116" s="109" t="n"/>
      <c r="R116" s="120">
        <f>IF(B116="","",IF(Q116&lt;&gt;"",Q116,IF(P116="","",IFERROR(INDEX('Timeline'!$J$7:$J$1006,MATCH(P116,'Timeline'!$B$7:$B$1006,0)),""))))</f>
        <v/>
      </c>
      <c r="S116" s="126">
        <f>IF(R116="","",R116-IF(O116="",0,O116)-OrderBuf)</f>
        <v/>
      </c>
      <c r="T116" s="126">
        <f>IF(S116="","",S116-DecideBuf)</f>
        <v/>
      </c>
      <c r="U116" s="74" t="n"/>
      <c r="V116" s="109" t="n"/>
      <c r="W116" s="109" t="n"/>
      <c r="X116" s="74" t="n"/>
      <c r="Y116" s="116">
        <f>IF(B116="","",IF(X116="Yes","Delivered",IF(U116="Yes",IF(AND(W116&lt;&gt;"",R116&lt;&gt;""),IF(W116&gt;R116,"⚠️ Delivery after install date","Ordered"),"Ordered"),IF(K116="",IF(T116="","Waiting for decision",IF(T116&lt;=AsOf+AlertDays,"Decide now","Waiting for decision")),IF(S116="","Selected",IF(AsOf&gt;S116,"⚠️ Order late — install at risk",IF(S116&lt;=AsOf+AlertDays,"Order now","Selected")))))))</f>
        <v/>
      </c>
      <c r="Z116" s="79">
        <f>IF(B116="","",IF(OR(AH116=1,AE116=1),2,IF(OR(AG116=1,AF116=1),1,IF(OR(Y116="Ordered",Y116="Delivered"),0,""))))</f>
        <v/>
      </c>
      <c r="AA116" s="112">
        <f>IF(B116="","",IF(AH116=1,IF(Y116="⚠️ Delivery after install date",R116,S116),IF(AD116=1,T116,IF(AI116=1,S116,""))))</f>
        <v/>
      </c>
      <c r="AB116" s="79">
        <f>IF(AA116="","",IF(AH116=1,1,IF(AA116="","",IF(AA116&lt;AsOf,1,IF(AA116&lt;=AsOf+AlertDays,2,IF(AA116&lt;=AsOf+2*AlertDays,3,""))))))</f>
        <v/>
      </c>
      <c r="AC116" s="79">
        <f>IF(AB116="","",IF(AH116=1,IF(Y116="⚠️ Delivery after install date","Delivery after install date: "&amp;B116,"Order late — install at risk: "&amp;B116),IF(AD116=1,IF(AB116=1,"Decision overdue: ","Decide: ")&amp;B116,"Order: "&amp;B116&amp;IF(N116="",""," from "&amp;N116))))</f>
        <v/>
      </c>
      <c r="AD116" s="79">
        <f>IF(AND(B116&lt;&gt;"",K116="",U116&lt;&gt;"Yes",X116&lt;&gt;"Yes"),1,0)</f>
        <v/>
      </c>
      <c r="AE116" s="79">
        <f>IF(AND(AD116=1,T116&lt;&gt;""),IF(T116&lt;AsOf,1,0),0)</f>
        <v/>
      </c>
      <c r="AF116" s="79">
        <f>IF(AND(AD116=1,T116&lt;&gt;""),IF(AND(T116&gt;=AsOf,T116&lt;=AsOf+AlertDays),1,0),0)</f>
        <v/>
      </c>
      <c r="AG116" s="79">
        <f>IF(Y116="Order now",1,0)</f>
        <v/>
      </c>
      <c r="AH116" s="79">
        <f>IF(OR(Y116="⚠️ Order late — install at risk",Y116="⚠️ Delivery after install date"),1,0)</f>
        <v/>
      </c>
      <c r="AI116" s="79">
        <f>IF(AND(B116&lt;&gt;"",K116&lt;&gt;"",U116&lt;&gt;"Yes",X116&lt;&gt;"Yes"),1,0)</f>
        <v/>
      </c>
      <c r="AJ116" s="79">
        <f>IF(Y116="⚠️ Order late — install at risk",1,0)</f>
        <v/>
      </c>
    </row>
    <row r="117" ht="20" customHeight="1">
      <c r="B117" s="72" t="n"/>
      <c r="C117" s="72" t="n"/>
      <c r="D117" s="72" t="n"/>
      <c r="E117" s="72" t="n"/>
      <c r="F117" s="73" t="n"/>
      <c r="G117" s="72" t="n"/>
      <c r="H117" s="73" t="n"/>
      <c r="I117" s="72" t="n"/>
      <c r="J117" s="73" t="n"/>
      <c r="K117" s="74" t="n"/>
      <c r="L117" s="75">
        <f>IF(K117="A",F117,IF(K117="B",H117,IF(K117="C",J117,"")))</f>
        <v/>
      </c>
      <c r="M117" s="72" t="n"/>
      <c r="N117" s="72" t="n"/>
      <c r="O117" s="89" t="n"/>
      <c r="P117" s="89" t="n"/>
      <c r="Q117" s="109" t="n"/>
      <c r="R117" s="120">
        <f>IF(B117="","",IF(Q117&lt;&gt;"",Q117,IF(P117="","",IFERROR(INDEX('Timeline'!$J$7:$J$1006,MATCH(P117,'Timeline'!$B$7:$B$1006,0)),""))))</f>
        <v/>
      </c>
      <c r="S117" s="126">
        <f>IF(R117="","",R117-IF(O117="",0,O117)-OrderBuf)</f>
        <v/>
      </c>
      <c r="T117" s="126">
        <f>IF(S117="","",S117-DecideBuf)</f>
        <v/>
      </c>
      <c r="U117" s="74" t="n"/>
      <c r="V117" s="109" t="n"/>
      <c r="W117" s="109" t="n"/>
      <c r="X117" s="74" t="n"/>
      <c r="Y117" s="116">
        <f>IF(B117="","",IF(X117="Yes","Delivered",IF(U117="Yes",IF(AND(W117&lt;&gt;"",R117&lt;&gt;""),IF(W117&gt;R117,"⚠️ Delivery after install date","Ordered"),"Ordered"),IF(K117="",IF(T117="","Waiting for decision",IF(T117&lt;=AsOf+AlertDays,"Decide now","Waiting for decision")),IF(S117="","Selected",IF(AsOf&gt;S117,"⚠️ Order late — install at risk",IF(S117&lt;=AsOf+AlertDays,"Order now","Selected")))))))</f>
        <v/>
      </c>
      <c r="Z117" s="79">
        <f>IF(B117="","",IF(OR(AH117=1,AE117=1),2,IF(OR(AG117=1,AF117=1),1,IF(OR(Y117="Ordered",Y117="Delivered"),0,""))))</f>
        <v/>
      </c>
      <c r="AA117" s="112">
        <f>IF(B117="","",IF(AH117=1,IF(Y117="⚠️ Delivery after install date",R117,S117),IF(AD117=1,T117,IF(AI117=1,S117,""))))</f>
        <v/>
      </c>
      <c r="AB117" s="79">
        <f>IF(AA117="","",IF(AH117=1,1,IF(AA117="","",IF(AA117&lt;AsOf,1,IF(AA117&lt;=AsOf+AlertDays,2,IF(AA117&lt;=AsOf+2*AlertDays,3,""))))))</f>
        <v/>
      </c>
      <c r="AC117" s="79">
        <f>IF(AB117="","",IF(AH117=1,IF(Y117="⚠️ Delivery after install date","Delivery after install date: "&amp;B117,"Order late — install at risk: "&amp;B117),IF(AD117=1,IF(AB117=1,"Decision overdue: ","Decide: ")&amp;B117,"Order: "&amp;B117&amp;IF(N117="",""," from "&amp;N117))))</f>
        <v/>
      </c>
      <c r="AD117" s="79">
        <f>IF(AND(B117&lt;&gt;"",K117="",U117&lt;&gt;"Yes",X117&lt;&gt;"Yes"),1,0)</f>
        <v/>
      </c>
      <c r="AE117" s="79">
        <f>IF(AND(AD117=1,T117&lt;&gt;""),IF(T117&lt;AsOf,1,0),0)</f>
        <v/>
      </c>
      <c r="AF117" s="79">
        <f>IF(AND(AD117=1,T117&lt;&gt;""),IF(AND(T117&gt;=AsOf,T117&lt;=AsOf+AlertDays),1,0),0)</f>
        <v/>
      </c>
      <c r="AG117" s="79">
        <f>IF(Y117="Order now",1,0)</f>
        <v/>
      </c>
      <c r="AH117" s="79">
        <f>IF(OR(Y117="⚠️ Order late — install at risk",Y117="⚠️ Delivery after install date"),1,0)</f>
        <v/>
      </c>
      <c r="AI117" s="79">
        <f>IF(AND(B117&lt;&gt;"",K117&lt;&gt;"",U117&lt;&gt;"Yes",X117&lt;&gt;"Yes"),1,0)</f>
        <v/>
      </c>
      <c r="AJ117" s="79">
        <f>IF(Y117="⚠️ Order late — install at risk",1,0)</f>
        <v/>
      </c>
    </row>
    <row r="118" ht="20" customHeight="1">
      <c r="B118" s="72" t="n"/>
      <c r="C118" s="72" t="n"/>
      <c r="D118" s="72" t="n"/>
      <c r="E118" s="72" t="n"/>
      <c r="F118" s="73" t="n"/>
      <c r="G118" s="72" t="n"/>
      <c r="H118" s="73" t="n"/>
      <c r="I118" s="72" t="n"/>
      <c r="J118" s="73" t="n"/>
      <c r="K118" s="74" t="n"/>
      <c r="L118" s="75">
        <f>IF(K118="A",F118,IF(K118="B",H118,IF(K118="C",J118,"")))</f>
        <v/>
      </c>
      <c r="M118" s="72" t="n"/>
      <c r="N118" s="72" t="n"/>
      <c r="O118" s="89" t="n"/>
      <c r="P118" s="89" t="n"/>
      <c r="Q118" s="109" t="n"/>
      <c r="R118" s="120">
        <f>IF(B118="","",IF(Q118&lt;&gt;"",Q118,IF(P118="","",IFERROR(INDEX('Timeline'!$J$7:$J$1006,MATCH(P118,'Timeline'!$B$7:$B$1006,0)),""))))</f>
        <v/>
      </c>
      <c r="S118" s="126">
        <f>IF(R118="","",R118-IF(O118="",0,O118)-OrderBuf)</f>
        <v/>
      </c>
      <c r="T118" s="126">
        <f>IF(S118="","",S118-DecideBuf)</f>
        <v/>
      </c>
      <c r="U118" s="74" t="n"/>
      <c r="V118" s="109" t="n"/>
      <c r="W118" s="109" t="n"/>
      <c r="X118" s="74" t="n"/>
      <c r="Y118" s="116">
        <f>IF(B118="","",IF(X118="Yes","Delivered",IF(U118="Yes",IF(AND(W118&lt;&gt;"",R118&lt;&gt;""),IF(W118&gt;R118,"⚠️ Delivery after install date","Ordered"),"Ordered"),IF(K118="",IF(T118="","Waiting for decision",IF(T118&lt;=AsOf+AlertDays,"Decide now","Waiting for decision")),IF(S118="","Selected",IF(AsOf&gt;S118,"⚠️ Order late — install at risk",IF(S118&lt;=AsOf+AlertDays,"Order now","Selected")))))))</f>
        <v/>
      </c>
      <c r="Z118" s="79">
        <f>IF(B118="","",IF(OR(AH118=1,AE118=1),2,IF(OR(AG118=1,AF118=1),1,IF(OR(Y118="Ordered",Y118="Delivered"),0,""))))</f>
        <v/>
      </c>
      <c r="AA118" s="112">
        <f>IF(B118="","",IF(AH118=1,IF(Y118="⚠️ Delivery after install date",R118,S118),IF(AD118=1,T118,IF(AI118=1,S118,""))))</f>
        <v/>
      </c>
      <c r="AB118" s="79">
        <f>IF(AA118="","",IF(AH118=1,1,IF(AA118="","",IF(AA118&lt;AsOf,1,IF(AA118&lt;=AsOf+AlertDays,2,IF(AA118&lt;=AsOf+2*AlertDays,3,""))))))</f>
        <v/>
      </c>
      <c r="AC118" s="79">
        <f>IF(AB118="","",IF(AH118=1,IF(Y118="⚠️ Delivery after install date","Delivery after install date: "&amp;B118,"Order late — install at risk: "&amp;B118),IF(AD118=1,IF(AB118=1,"Decision overdue: ","Decide: ")&amp;B118,"Order: "&amp;B118&amp;IF(N118="",""," from "&amp;N118))))</f>
        <v/>
      </c>
      <c r="AD118" s="79">
        <f>IF(AND(B118&lt;&gt;"",K118="",U118&lt;&gt;"Yes",X118&lt;&gt;"Yes"),1,0)</f>
        <v/>
      </c>
      <c r="AE118" s="79">
        <f>IF(AND(AD118=1,T118&lt;&gt;""),IF(T118&lt;AsOf,1,0),0)</f>
        <v/>
      </c>
      <c r="AF118" s="79">
        <f>IF(AND(AD118=1,T118&lt;&gt;""),IF(AND(T118&gt;=AsOf,T118&lt;=AsOf+AlertDays),1,0),0)</f>
        <v/>
      </c>
      <c r="AG118" s="79">
        <f>IF(Y118="Order now",1,0)</f>
        <v/>
      </c>
      <c r="AH118" s="79">
        <f>IF(OR(Y118="⚠️ Order late — install at risk",Y118="⚠️ Delivery after install date"),1,0)</f>
        <v/>
      </c>
      <c r="AI118" s="79">
        <f>IF(AND(B118&lt;&gt;"",K118&lt;&gt;"",U118&lt;&gt;"Yes",X118&lt;&gt;"Yes"),1,0)</f>
        <v/>
      </c>
      <c r="AJ118" s="79">
        <f>IF(Y118="⚠️ Order late — install at risk",1,0)</f>
        <v/>
      </c>
    </row>
    <row r="119" ht="20" customHeight="1">
      <c r="B119" s="72" t="n"/>
      <c r="C119" s="72" t="n"/>
      <c r="D119" s="72" t="n"/>
      <c r="E119" s="72" t="n"/>
      <c r="F119" s="73" t="n"/>
      <c r="G119" s="72" t="n"/>
      <c r="H119" s="73" t="n"/>
      <c r="I119" s="72" t="n"/>
      <c r="J119" s="73" t="n"/>
      <c r="K119" s="74" t="n"/>
      <c r="L119" s="75">
        <f>IF(K119="A",F119,IF(K119="B",H119,IF(K119="C",J119,"")))</f>
        <v/>
      </c>
      <c r="M119" s="72" t="n"/>
      <c r="N119" s="72" t="n"/>
      <c r="O119" s="89" t="n"/>
      <c r="P119" s="89" t="n"/>
      <c r="Q119" s="109" t="n"/>
      <c r="R119" s="120">
        <f>IF(B119="","",IF(Q119&lt;&gt;"",Q119,IF(P119="","",IFERROR(INDEX('Timeline'!$J$7:$J$1006,MATCH(P119,'Timeline'!$B$7:$B$1006,0)),""))))</f>
        <v/>
      </c>
      <c r="S119" s="126">
        <f>IF(R119="","",R119-IF(O119="",0,O119)-OrderBuf)</f>
        <v/>
      </c>
      <c r="T119" s="126">
        <f>IF(S119="","",S119-DecideBuf)</f>
        <v/>
      </c>
      <c r="U119" s="74" t="n"/>
      <c r="V119" s="109" t="n"/>
      <c r="W119" s="109" t="n"/>
      <c r="X119" s="74" t="n"/>
      <c r="Y119" s="116">
        <f>IF(B119="","",IF(X119="Yes","Delivered",IF(U119="Yes",IF(AND(W119&lt;&gt;"",R119&lt;&gt;""),IF(W119&gt;R119,"⚠️ Delivery after install date","Ordered"),"Ordered"),IF(K119="",IF(T119="","Waiting for decision",IF(T119&lt;=AsOf+AlertDays,"Decide now","Waiting for decision")),IF(S119="","Selected",IF(AsOf&gt;S119,"⚠️ Order late — install at risk",IF(S119&lt;=AsOf+AlertDays,"Order now","Selected")))))))</f>
        <v/>
      </c>
      <c r="Z119" s="79">
        <f>IF(B119="","",IF(OR(AH119=1,AE119=1),2,IF(OR(AG119=1,AF119=1),1,IF(OR(Y119="Ordered",Y119="Delivered"),0,""))))</f>
        <v/>
      </c>
      <c r="AA119" s="112">
        <f>IF(B119="","",IF(AH119=1,IF(Y119="⚠️ Delivery after install date",R119,S119),IF(AD119=1,T119,IF(AI119=1,S119,""))))</f>
        <v/>
      </c>
      <c r="AB119" s="79">
        <f>IF(AA119="","",IF(AH119=1,1,IF(AA119="","",IF(AA119&lt;AsOf,1,IF(AA119&lt;=AsOf+AlertDays,2,IF(AA119&lt;=AsOf+2*AlertDays,3,""))))))</f>
        <v/>
      </c>
      <c r="AC119" s="79">
        <f>IF(AB119="","",IF(AH119=1,IF(Y119="⚠️ Delivery after install date","Delivery after install date: "&amp;B119,"Order late — install at risk: "&amp;B119),IF(AD119=1,IF(AB119=1,"Decision overdue: ","Decide: ")&amp;B119,"Order: "&amp;B119&amp;IF(N119="",""," from "&amp;N119))))</f>
        <v/>
      </c>
      <c r="AD119" s="79">
        <f>IF(AND(B119&lt;&gt;"",K119="",U119&lt;&gt;"Yes",X119&lt;&gt;"Yes"),1,0)</f>
        <v/>
      </c>
      <c r="AE119" s="79">
        <f>IF(AND(AD119=1,T119&lt;&gt;""),IF(T119&lt;AsOf,1,0),0)</f>
        <v/>
      </c>
      <c r="AF119" s="79">
        <f>IF(AND(AD119=1,T119&lt;&gt;""),IF(AND(T119&gt;=AsOf,T119&lt;=AsOf+AlertDays),1,0),0)</f>
        <v/>
      </c>
      <c r="AG119" s="79">
        <f>IF(Y119="Order now",1,0)</f>
        <v/>
      </c>
      <c r="AH119" s="79">
        <f>IF(OR(Y119="⚠️ Order late — install at risk",Y119="⚠️ Delivery after install date"),1,0)</f>
        <v/>
      </c>
      <c r="AI119" s="79">
        <f>IF(AND(B119&lt;&gt;"",K119&lt;&gt;"",U119&lt;&gt;"Yes",X119&lt;&gt;"Yes"),1,0)</f>
        <v/>
      </c>
      <c r="AJ119" s="79">
        <f>IF(Y119="⚠️ Order late — install at risk",1,0)</f>
        <v/>
      </c>
    </row>
    <row r="120" ht="20" customHeight="1">
      <c r="B120" s="72" t="n"/>
      <c r="C120" s="72" t="n"/>
      <c r="D120" s="72" t="n"/>
      <c r="E120" s="72" t="n"/>
      <c r="F120" s="73" t="n"/>
      <c r="G120" s="72" t="n"/>
      <c r="H120" s="73" t="n"/>
      <c r="I120" s="72" t="n"/>
      <c r="J120" s="73" t="n"/>
      <c r="K120" s="74" t="n"/>
      <c r="L120" s="75">
        <f>IF(K120="A",F120,IF(K120="B",H120,IF(K120="C",J120,"")))</f>
        <v/>
      </c>
      <c r="M120" s="72" t="n"/>
      <c r="N120" s="72" t="n"/>
      <c r="O120" s="89" t="n"/>
      <c r="P120" s="89" t="n"/>
      <c r="Q120" s="109" t="n"/>
      <c r="R120" s="120">
        <f>IF(B120="","",IF(Q120&lt;&gt;"",Q120,IF(P120="","",IFERROR(INDEX('Timeline'!$J$7:$J$1006,MATCH(P120,'Timeline'!$B$7:$B$1006,0)),""))))</f>
        <v/>
      </c>
      <c r="S120" s="126">
        <f>IF(R120="","",R120-IF(O120="",0,O120)-OrderBuf)</f>
        <v/>
      </c>
      <c r="T120" s="126">
        <f>IF(S120="","",S120-DecideBuf)</f>
        <v/>
      </c>
      <c r="U120" s="74" t="n"/>
      <c r="V120" s="109" t="n"/>
      <c r="W120" s="109" t="n"/>
      <c r="X120" s="74" t="n"/>
      <c r="Y120" s="116">
        <f>IF(B120="","",IF(X120="Yes","Delivered",IF(U120="Yes",IF(AND(W120&lt;&gt;"",R120&lt;&gt;""),IF(W120&gt;R120,"⚠️ Delivery after install date","Ordered"),"Ordered"),IF(K120="",IF(T120="","Waiting for decision",IF(T120&lt;=AsOf+AlertDays,"Decide now","Waiting for decision")),IF(S120="","Selected",IF(AsOf&gt;S120,"⚠️ Order late — install at risk",IF(S120&lt;=AsOf+AlertDays,"Order now","Selected")))))))</f>
        <v/>
      </c>
      <c r="Z120" s="79">
        <f>IF(B120="","",IF(OR(AH120=1,AE120=1),2,IF(OR(AG120=1,AF120=1),1,IF(OR(Y120="Ordered",Y120="Delivered"),0,""))))</f>
        <v/>
      </c>
      <c r="AA120" s="112">
        <f>IF(B120="","",IF(AH120=1,IF(Y120="⚠️ Delivery after install date",R120,S120),IF(AD120=1,T120,IF(AI120=1,S120,""))))</f>
        <v/>
      </c>
      <c r="AB120" s="79">
        <f>IF(AA120="","",IF(AH120=1,1,IF(AA120="","",IF(AA120&lt;AsOf,1,IF(AA120&lt;=AsOf+AlertDays,2,IF(AA120&lt;=AsOf+2*AlertDays,3,""))))))</f>
        <v/>
      </c>
      <c r="AC120" s="79">
        <f>IF(AB120="","",IF(AH120=1,IF(Y120="⚠️ Delivery after install date","Delivery after install date: "&amp;B120,"Order late — install at risk: "&amp;B120),IF(AD120=1,IF(AB120=1,"Decision overdue: ","Decide: ")&amp;B120,"Order: "&amp;B120&amp;IF(N120="",""," from "&amp;N120))))</f>
        <v/>
      </c>
      <c r="AD120" s="79">
        <f>IF(AND(B120&lt;&gt;"",K120="",U120&lt;&gt;"Yes",X120&lt;&gt;"Yes"),1,0)</f>
        <v/>
      </c>
      <c r="AE120" s="79">
        <f>IF(AND(AD120=1,T120&lt;&gt;""),IF(T120&lt;AsOf,1,0),0)</f>
        <v/>
      </c>
      <c r="AF120" s="79">
        <f>IF(AND(AD120=1,T120&lt;&gt;""),IF(AND(T120&gt;=AsOf,T120&lt;=AsOf+AlertDays),1,0),0)</f>
        <v/>
      </c>
      <c r="AG120" s="79">
        <f>IF(Y120="Order now",1,0)</f>
        <v/>
      </c>
      <c r="AH120" s="79">
        <f>IF(OR(Y120="⚠️ Order late — install at risk",Y120="⚠️ Delivery after install date"),1,0)</f>
        <v/>
      </c>
      <c r="AI120" s="79">
        <f>IF(AND(B120&lt;&gt;"",K120&lt;&gt;"",U120&lt;&gt;"Yes",X120&lt;&gt;"Yes"),1,0)</f>
        <v/>
      </c>
      <c r="AJ120" s="79">
        <f>IF(Y120="⚠️ Order late — install at risk",1,0)</f>
        <v/>
      </c>
    </row>
    <row r="121" ht="20" customHeight="1">
      <c r="B121" s="72" t="n"/>
      <c r="C121" s="72" t="n"/>
      <c r="D121" s="72" t="n"/>
      <c r="E121" s="72" t="n"/>
      <c r="F121" s="73" t="n"/>
      <c r="G121" s="72" t="n"/>
      <c r="H121" s="73" t="n"/>
      <c r="I121" s="72" t="n"/>
      <c r="J121" s="73" t="n"/>
      <c r="K121" s="74" t="n"/>
      <c r="L121" s="75">
        <f>IF(K121="A",F121,IF(K121="B",H121,IF(K121="C",J121,"")))</f>
        <v/>
      </c>
      <c r="M121" s="72" t="n"/>
      <c r="N121" s="72" t="n"/>
      <c r="O121" s="89" t="n"/>
      <c r="P121" s="89" t="n"/>
      <c r="Q121" s="109" t="n"/>
      <c r="R121" s="120">
        <f>IF(B121="","",IF(Q121&lt;&gt;"",Q121,IF(P121="","",IFERROR(INDEX('Timeline'!$J$7:$J$1006,MATCH(P121,'Timeline'!$B$7:$B$1006,0)),""))))</f>
        <v/>
      </c>
      <c r="S121" s="126">
        <f>IF(R121="","",R121-IF(O121="",0,O121)-OrderBuf)</f>
        <v/>
      </c>
      <c r="T121" s="126">
        <f>IF(S121="","",S121-DecideBuf)</f>
        <v/>
      </c>
      <c r="U121" s="74" t="n"/>
      <c r="V121" s="109" t="n"/>
      <c r="W121" s="109" t="n"/>
      <c r="X121" s="74" t="n"/>
      <c r="Y121" s="116">
        <f>IF(B121="","",IF(X121="Yes","Delivered",IF(U121="Yes",IF(AND(W121&lt;&gt;"",R121&lt;&gt;""),IF(W121&gt;R121,"⚠️ Delivery after install date","Ordered"),"Ordered"),IF(K121="",IF(T121="","Waiting for decision",IF(T121&lt;=AsOf+AlertDays,"Decide now","Waiting for decision")),IF(S121="","Selected",IF(AsOf&gt;S121,"⚠️ Order late — install at risk",IF(S121&lt;=AsOf+AlertDays,"Order now","Selected")))))))</f>
        <v/>
      </c>
      <c r="Z121" s="79">
        <f>IF(B121="","",IF(OR(AH121=1,AE121=1),2,IF(OR(AG121=1,AF121=1),1,IF(OR(Y121="Ordered",Y121="Delivered"),0,""))))</f>
        <v/>
      </c>
      <c r="AA121" s="112">
        <f>IF(B121="","",IF(AH121=1,IF(Y121="⚠️ Delivery after install date",R121,S121),IF(AD121=1,T121,IF(AI121=1,S121,""))))</f>
        <v/>
      </c>
      <c r="AB121" s="79">
        <f>IF(AA121="","",IF(AH121=1,1,IF(AA121="","",IF(AA121&lt;AsOf,1,IF(AA121&lt;=AsOf+AlertDays,2,IF(AA121&lt;=AsOf+2*AlertDays,3,""))))))</f>
        <v/>
      </c>
      <c r="AC121" s="79">
        <f>IF(AB121="","",IF(AH121=1,IF(Y121="⚠️ Delivery after install date","Delivery after install date: "&amp;B121,"Order late — install at risk: "&amp;B121),IF(AD121=1,IF(AB121=1,"Decision overdue: ","Decide: ")&amp;B121,"Order: "&amp;B121&amp;IF(N121="",""," from "&amp;N121))))</f>
        <v/>
      </c>
      <c r="AD121" s="79">
        <f>IF(AND(B121&lt;&gt;"",K121="",U121&lt;&gt;"Yes",X121&lt;&gt;"Yes"),1,0)</f>
        <v/>
      </c>
      <c r="AE121" s="79">
        <f>IF(AND(AD121=1,T121&lt;&gt;""),IF(T121&lt;AsOf,1,0),0)</f>
        <v/>
      </c>
      <c r="AF121" s="79">
        <f>IF(AND(AD121=1,T121&lt;&gt;""),IF(AND(T121&gt;=AsOf,T121&lt;=AsOf+AlertDays),1,0),0)</f>
        <v/>
      </c>
      <c r="AG121" s="79">
        <f>IF(Y121="Order now",1,0)</f>
        <v/>
      </c>
      <c r="AH121" s="79">
        <f>IF(OR(Y121="⚠️ Order late — install at risk",Y121="⚠️ Delivery after install date"),1,0)</f>
        <v/>
      </c>
      <c r="AI121" s="79">
        <f>IF(AND(B121&lt;&gt;"",K121&lt;&gt;"",U121&lt;&gt;"Yes",X121&lt;&gt;"Yes"),1,0)</f>
        <v/>
      </c>
      <c r="AJ121" s="79">
        <f>IF(Y121="⚠️ Order late — install at risk",1,0)</f>
        <v/>
      </c>
    </row>
    <row r="122" ht="20" customHeight="1">
      <c r="B122" s="72" t="n"/>
      <c r="C122" s="72" t="n"/>
      <c r="D122" s="72" t="n"/>
      <c r="E122" s="72" t="n"/>
      <c r="F122" s="73" t="n"/>
      <c r="G122" s="72" t="n"/>
      <c r="H122" s="73" t="n"/>
      <c r="I122" s="72" t="n"/>
      <c r="J122" s="73" t="n"/>
      <c r="K122" s="74" t="n"/>
      <c r="L122" s="75">
        <f>IF(K122="A",F122,IF(K122="B",H122,IF(K122="C",J122,"")))</f>
        <v/>
      </c>
      <c r="M122" s="72" t="n"/>
      <c r="N122" s="72" t="n"/>
      <c r="O122" s="89" t="n"/>
      <c r="P122" s="89" t="n"/>
      <c r="Q122" s="109" t="n"/>
      <c r="R122" s="120">
        <f>IF(B122="","",IF(Q122&lt;&gt;"",Q122,IF(P122="","",IFERROR(INDEX('Timeline'!$J$7:$J$1006,MATCH(P122,'Timeline'!$B$7:$B$1006,0)),""))))</f>
        <v/>
      </c>
      <c r="S122" s="126">
        <f>IF(R122="","",R122-IF(O122="",0,O122)-OrderBuf)</f>
        <v/>
      </c>
      <c r="T122" s="126">
        <f>IF(S122="","",S122-DecideBuf)</f>
        <v/>
      </c>
      <c r="U122" s="74" t="n"/>
      <c r="V122" s="109" t="n"/>
      <c r="W122" s="109" t="n"/>
      <c r="X122" s="74" t="n"/>
      <c r="Y122" s="116">
        <f>IF(B122="","",IF(X122="Yes","Delivered",IF(U122="Yes",IF(AND(W122&lt;&gt;"",R122&lt;&gt;""),IF(W122&gt;R122,"⚠️ Delivery after install date","Ordered"),"Ordered"),IF(K122="",IF(T122="","Waiting for decision",IF(T122&lt;=AsOf+AlertDays,"Decide now","Waiting for decision")),IF(S122="","Selected",IF(AsOf&gt;S122,"⚠️ Order late — install at risk",IF(S122&lt;=AsOf+AlertDays,"Order now","Selected")))))))</f>
        <v/>
      </c>
      <c r="Z122" s="79">
        <f>IF(B122="","",IF(OR(AH122=1,AE122=1),2,IF(OR(AG122=1,AF122=1),1,IF(OR(Y122="Ordered",Y122="Delivered"),0,""))))</f>
        <v/>
      </c>
      <c r="AA122" s="112">
        <f>IF(B122="","",IF(AH122=1,IF(Y122="⚠️ Delivery after install date",R122,S122),IF(AD122=1,T122,IF(AI122=1,S122,""))))</f>
        <v/>
      </c>
      <c r="AB122" s="79">
        <f>IF(AA122="","",IF(AH122=1,1,IF(AA122="","",IF(AA122&lt;AsOf,1,IF(AA122&lt;=AsOf+AlertDays,2,IF(AA122&lt;=AsOf+2*AlertDays,3,""))))))</f>
        <v/>
      </c>
      <c r="AC122" s="79">
        <f>IF(AB122="","",IF(AH122=1,IF(Y122="⚠️ Delivery after install date","Delivery after install date: "&amp;B122,"Order late — install at risk: "&amp;B122),IF(AD122=1,IF(AB122=1,"Decision overdue: ","Decide: ")&amp;B122,"Order: "&amp;B122&amp;IF(N122="",""," from "&amp;N122))))</f>
        <v/>
      </c>
      <c r="AD122" s="79">
        <f>IF(AND(B122&lt;&gt;"",K122="",U122&lt;&gt;"Yes",X122&lt;&gt;"Yes"),1,0)</f>
        <v/>
      </c>
      <c r="AE122" s="79">
        <f>IF(AND(AD122=1,T122&lt;&gt;""),IF(T122&lt;AsOf,1,0),0)</f>
        <v/>
      </c>
      <c r="AF122" s="79">
        <f>IF(AND(AD122=1,T122&lt;&gt;""),IF(AND(T122&gt;=AsOf,T122&lt;=AsOf+AlertDays),1,0),0)</f>
        <v/>
      </c>
      <c r="AG122" s="79">
        <f>IF(Y122="Order now",1,0)</f>
        <v/>
      </c>
      <c r="AH122" s="79">
        <f>IF(OR(Y122="⚠️ Order late — install at risk",Y122="⚠️ Delivery after install date"),1,0)</f>
        <v/>
      </c>
      <c r="AI122" s="79">
        <f>IF(AND(B122&lt;&gt;"",K122&lt;&gt;"",U122&lt;&gt;"Yes",X122&lt;&gt;"Yes"),1,0)</f>
        <v/>
      </c>
      <c r="AJ122" s="79">
        <f>IF(Y122="⚠️ Order late — install at risk",1,0)</f>
        <v/>
      </c>
    </row>
    <row r="123" ht="20" customHeight="1">
      <c r="B123" s="72" t="n"/>
      <c r="C123" s="72" t="n"/>
      <c r="D123" s="72" t="n"/>
      <c r="E123" s="72" t="n"/>
      <c r="F123" s="73" t="n"/>
      <c r="G123" s="72" t="n"/>
      <c r="H123" s="73" t="n"/>
      <c r="I123" s="72" t="n"/>
      <c r="J123" s="73" t="n"/>
      <c r="K123" s="74" t="n"/>
      <c r="L123" s="75">
        <f>IF(K123="A",F123,IF(K123="B",H123,IF(K123="C",J123,"")))</f>
        <v/>
      </c>
      <c r="M123" s="72" t="n"/>
      <c r="N123" s="72" t="n"/>
      <c r="O123" s="89" t="n"/>
      <c r="P123" s="89" t="n"/>
      <c r="Q123" s="109" t="n"/>
      <c r="R123" s="120">
        <f>IF(B123="","",IF(Q123&lt;&gt;"",Q123,IF(P123="","",IFERROR(INDEX('Timeline'!$J$7:$J$1006,MATCH(P123,'Timeline'!$B$7:$B$1006,0)),""))))</f>
        <v/>
      </c>
      <c r="S123" s="126">
        <f>IF(R123="","",R123-IF(O123="",0,O123)-OrderBuf)</f>
        <v/>
      </c>
      <c r="T123" s="126">
        <f>IF(S123="","",S123-DecideBuf)</f>
        <v/>
      </c>
      <c r="U123" s="74" t="n"/>
      <c r="V123" s="109" t="n"/>
      <c r="W123" s="109" t="n"/>
      <c r="X123" s="74" t="n"/>
      <c r="Y123" s="116">
        <f>IF(B123="","",IF(X123="Yes","Delivered",IF(U123="Yes",IF(AND(W123&lt;&gt;"",R123&lt;&gt;""),IF(W123&gt;R123,"⚠️ Delivery after install date","Ordered"),"Ordered"),IF(K123="",IF(T123="","Waiting for decision",IF(T123&lt;=AsOf+AlertDays,"Decide now","Waiting for decision")),IF(S123="","Selected",IF(AsOf&gt;S123,"⚠️ Order late — install at risk",IF(S123&lt;=AsOf+AlertDays,"Order now","Selected")))))))</f>
        <v/>
      </c>
      <c r="Z123" s="79">
        <f>IF(B123="","",IF(OR(AH123=1,AE123=1),2,IF(OR(AG123=1,AF123=1),1,IF(OR(Y123="Ordered",Y123="Delivered"),0,""))))</f>
        <v/>
      </c>
      <c r="AA123" s="112">
        <f>IF(B123="","",IF(AH123=1,IF(Y123="⚠️ Delivery after install date",R123,S123),IF(AD123=1,T123,IF(AI123=1,S123,""))))</f>
        <v/>
      </c>
      <c r="AB123" s="79">
        <f>IF(AA123="","",IF(AH123=1,1,IF(AA123="","",IF(AA123&lt;AsOf,1,IF(AA123&lt;=AsOf+AlertDays,2,IF(AA123&lt;=AsOf+2*AlertDays,3,""))))))</f>
        <v/>
      </c>
      <c r="AC123" s="79">
        <f>IF(AB123="","",IF(AH123=1,IF(Y123="⚠️ Delivery after install date","Delivery after install date: "&amp;B123,"Order late — install at risk: "&amp;B123),IF(AD123=1,IF(AB123=1,"Decision overdue: ","Decide: ")&amp;B123,"Order: "&amp;B123&amp;IF(N123="",""," from "&amp;N123))))</f>
        <v/>
      </c>
      <c r="AD123" s="79">
        <f>IF(AND(B123&lt;&gt;"",K123="",U123&lt;&gt;"Yes",X123&lt;&gt;"Yes"),1,0)</f>
        <v/>
      </c>
      <c r="AE123" s="79">
        <f>IF(AND(AD123=1,T123&lt;&gt;""),IF(T123&lt;AsOf,1,0),0)</f>
        <v/>
      </c>
      <c r="AF123" s="79">
        <f>IF(AND(AD123=1,T123&lt;&gt;""),IF(AND(T123&gt;=AsOf,T123&lt;=AsOf+AlertDays),1,0),0)</f>
        <v/>
      </c>
      <c r="AG123" s="79">
        <f>IF(Y123="Order now",1,0)</f>
        <v/>
      </c>
      <c r="AH123" s="79">
        <f>IF(OR(Y123="⚠️ Order late — install at risk",Y123="⚠️ Delivery after install date"),1,0)</f>
        <v/>
      </c>
      <c r="AI123" s="79">
        <f>IF(AND(B123&lt;&gt;"",K123&lt;&gt;"",U123&lt;&gt;"Yes",X123&lt;&gt;"Yes"),1,0)</f>
        <v/>
      </c>
      <c r="AJ123" s="79">
        <f>IF(Y123="⚠️ Order late — install at risk",1,0)</f>
        <v/>
      </c>
    </row>
    <row r="124" ht="20" customHeight="1">
      <c r="B124" s="72" t="n"/>
      <c r="C124" s="72" t="n"/>
      <c r="D124" s="72" t="n"/>
      <c r="E124" s="72" t="n"/>
      <c r="F124" s="73" t="n"/>
      <c r="G124" s="72" t="n"/>
      <c r="H124" s="73" t="n"/>
      <c r="I124" s="72" t="n"/>
      <c r="J124" s="73" t="n"/>
      <c r="K124" s="74" t="n"/>
      <c r="L124" s="75">
        <f>IF(K124="A",F124,IF(K124="B",H124,IF(K124="C",J124,"")))</f>
        <v/>
      </c>
      <c r="M124" s="72" t="n"/>
      <c r="N124" s="72" t="n"/>
      <c r="O124" s="89" t="n"/>
      <c r="P124" s="89" t="n"/>
      <c r="Q124" s="109" t="n"/>
      <c r="R124" s="120">
        <f>IF(B124="","",IF(Q124&lt;&gt;"",Q124,IF(P124="","",IFERROR(INDEX('Timeline'!$J$7:$J$1006,MATCH(P124,'Timeline'!$B$7:$B$1006,0)),""))))</f>
        <v/>
      </c>
      <c r="S124" s="126">
        <f>IF(R124="","",R124-IF(O124="",0,O124)-OrderBuf)</f>
        <v/>
      </c>
      <c r="T124" s="126">
        <f>IF(S124="","",S124-DecideBuf)</f>
        <v/>
      </c>
      <c r="U124" s="74" t="n"/>
      <c r="V124" s="109" t="n"/>
      <c r="W124" s="109" t="n"/>
      <c r="X124" s="74" t="n"/>
      <c r="Y124" s="116">
        <f>IF(B124="","",IF(X124="Yes","Delivered",IF(U124="Yes",IF(AND(W124&lt;&gt;"",R124&lt;&gt;""),IF(W124&gt;R124,"⚠️ Delivery after install date","Ordered"),"Ordered"),IF(K124="",IF(T124="","Waiting for decision",IF(T124&lt;=AsOf+AlertDays,"Decide now","Waiting for decision")),IF(S124="","Selected",IF(AsOf&gt;S124,"⚠️ Order late — install at risk",IF(S124&lt;=AsOf+AlertDays,"Order now","Selected")))))))</f>
        <v/>
      </c>
      <c r="Z124" s="79">
        <f>IF(B124="","",IF(OR(AH124=1,AE124=1),2,IF(OR(AG124=1,AF124=1),1,IF(OR(Y124="Ordered",Y124="Delivered"),0,""))))</f>
        <v/>
      </c>
      <c r="AA124" s="112">
        <f>IF(B124="","",IF(AH124=1,IF(Y124="⚠️ Delivery after install date",R124,S124),IF(AD124=1,T124,IF(AI124=1,S124,""))))</f>
        <v/>
      </c>
      <c r="AB124" s="79">
        <f>IF(AA124="","",IF(AH124=1,1,IF(AA124="","",IF(AA124&lt;AsOf,1,IF(AA124&lt;=AsOf+AlertDays,2,IF(AA124&lt;=AsOf+2*AlertDays,3,""))))))</f>
        <v/>
      </c>
      <c r="AC124" s="79">
        <f>IF(AB124="","",IF(AH124=1,IF(Y124="⚠️ Delivery after install date","Delivery after install date: "&amp;B124,"Order late — install at risk: "&amp;B124),IF(AD124=1,IF(AB124=1,"Decision overdue: ","Decide: ")&amp;B124,"Order: "&amp;B124&amp;IF(N124="",""," from "&amp;N124))))</f>
        <v/>
      </c>
      <c r="AD124" s="79">
        <f>IF(AND(B124&lt;&gt;"",K124="",U124&lt;&gt;"Yes",X124&lt;&gt;"Yes"),1,0)</f>
        <v/>
      </c>
      <c r="AE124" s="79">
        <f>IF(AND(AD124=1,T124&lt;&gt;""),IF(T124&lt;AsOf,1,0),0)</f>
        <v/>
      </c>
      <c r="AF124" s="79">
        <f>IF(AND(AD124=1,T124&lt;&gt;""),IF(AND(T124&gt;=AsOf,T124&lt;=AsOf+AlertDays),1,0),0)</f>
        <v/>
      </c>
      <c r="AG124" s="79">
        <f>IF(Y124="Order now",1,0)</f>
        <v/>
      </c>
      <c r="AH124" s="79">
        <f>IF(OR(Y124="⚠️ Order late — install at risk",Y124="⚠️ Delivery after install date"),1,0)</f>
        <v/>
      </c>
      <c r="AI124" s="79">
        <f>IF(AND(B124&lt;&gt;"",K124&lt;&gt;"",U124&lt;&gt;"Yes",X124&lt;&gt;"Yes"),1,0)</f>
        <v/>
      </c>
      <c r="AJ124" s="79">
        <f>IF(Y124="⚠️ Order late — install at risk",1,0)</f>
        <v/>
      </c>
    </row>
    <row r="125" ht="20" customHeight="1">
      <c r="B125" s="72" t="n"/>
      <c r="C125" s="72" t="n"/>
      <c r="D125" s="72" t="n"/>
      <c r="E125" s="72" t="n"/>
      <c r="F125" s="73" t="n"/>
      <c r="G125" s="72" t="n"/>
      <c r="H125" s="73" t="n"/>
      <c r="I125" s="72" t="n"/>
      <c r="J125" s="73" t="n"/>
      <c r="K125" s="74" t="n"/>
      <c r="L125" s="75">
        <f>IF(K125="A",F125,IF(K125="B",H125,IF(K125="C",J125,"")))</f>
        <v/>
      </c>
      <c r="M125" s="72" t="n"/>
      <c r="N125" s="72" t="n"/>
      <c r="O125" s="89" t="n"/>
      <c r="P125" s="89" t="n"/>
      <c r="Q125" s="109" t="n"/>
      <c r="R125" s="120">
        <f>IF(B125="","",IF(Q125&lt;&gt;"",Q125,IF(P125="","",IFERROR(INDEX('Timeline'!$J$7:$J$1006,MATCH(P125,'Timeline'!$B$7:$B$1006,0)),""))))</f>
        <v/>
      </c>
      <c r="S125" s="126">
        <f>IF(R125="","",R125-IF(O125="",0,O125)-OrderBuf)</f>
        <v/>
      </c>
      <c r="T125" s="126">
        <f>IF(S125="","",S125-DecideBuf)</f>
        <v/>
      </c>
      <c r="U125" s="74" t="n"/>
      <c r="V125" s="109" t="n"/>
      <c r="W125" s="109" t="n"/>
      <c r="X125" s="74" t="n"/>
      <c r="Y125" s="116">
        <f>IF(B125="","",IF(X125="Yes","Delivered",IF(U125="Yes",IF(AND(W125&lt;&gt;"",R125&lt;&gt;""),IF(W125&gt;R125,"⚠️ Delivery after install date","Ordered"),"Ordered"),IF(K125="",IF(T125="","Waiting for decision",IF(T125&lt;=AsOf+AlertDays,"Decide now","Waiting for decision")),IF(S125="","Selected",IF(AsOf&gt;S125,"⚠️ Order late — install at risk",IF(S125&lt;=AsOf+AlertDays,"Order now","Selected")))))))</f>
        <v/>
      </c>
      <c r="Z125" s="79">
        <f>IF(B125="","",IF(OR(AH125=1,AE125=1),2,IF(OR(AG125=1,AF125=1),1,IF(OR(Y125="Ordered",Y125="Delivered"),0,""))))</f>
        <v/>
      </c>
      <c r="AA125" s="112">
        <f>IF(B125="","",IF(AH125=1,IF(Y125="⚠️ Delivery after install date",R125,S125),IF(AD125=1,T125,IF(AI125=1,S125,""))))</f>
        <v/>
      </c>
      <c r="AB125" s="79">
        <f>IF(AA125="","",IF(AH125=1,1,IF(AA125="","",IF(AA125&lt;AsOf,1,IF(AA125&lt;=AsOf+AlertDays,2,IF(AA125&lt;=AsOf+2*AlertDays,3,""))))))</f>
        <v/>
      </c>
      <c r="AC125" s="79">
        <f>IF(AB125="","",IF(AH125=1,IF(Y125="⚠️ Delivery after install date","Delivery after install date: "&amp;B125,"Order late — install at risk: "&amp;B125),IF(AD125=1,IF(AB125=1,"Decision overdue: ","Decide: ")&amp;B125,"Order: "&amp;B125&amp;IF(N125="",""," from "&amp;N125))))</f>
        <v/>
      </c>
      <c r="AD125" s="79">
        <f>IF(AND(B125&lt;&gt;"",K125="",U125&lt;&gt;"Yes",X125&lt;&gt;"Yes"),1,0)</f>
        <v/>
      </c>
      <c r="AE125" s="79">
        <f>IF(AND(AD125=1,T125&lt;&gt;""),IF(T125&lt;AsOf,1,0),0)</f>
        <v/>
      </c>
      <c r="AF125" s="79">
        <f>IF(AND(AD125=1,T125&lt;&gt;""),IF(AND(T125&gt;=AsOf,T125&lt;=AsOf+AlertDays),1,0),0)</f>
        <v/>
      </c>
      <c r="AG125" s="79">
        <f>IF(Y125="Order now",1,0)</f>
        <v/>
      </c>
      <c r="AH125" s="79">
        <f>IF(OR(Y125="⚠️ Order late — install at risk",Y125="⚠️ Delivery after install date"),1,0)</f>
        <v/>
      </c>
      <c r="AI125" s="79">
        <f>IF(AND(B125&lt;&gt;"",K125&lt;&gt;"",U125&lt;&gt;"Yes",X125&lt;&gt;"Yes"),1,0)</f>
        <v/>
      </c>
      <c r="AJ125" s="79">
        <f>IF(Y125="⚠️ Order late — install at risk",1,0)</f>
        <v/>
      </c>
    </row>
    <row r="126" ht="20" customHeight="1">
      <c r="B126" s="72" t="n"/>
      <c r="C126" s="72" t="n"/>
      <c r="D126" s="72" t="n"/>
      <c r="E126" s="72" t="n"/>
      <c r="F126" s="73" t="n"/>
      <c r="G126" s="72" t="n"/>
      <c r="H126" s="73" t="n"/>
      <c r="I126" s="72" t="n"/>
      <c r="J126" s="73" t="n"/>
      <c r="K126" s="74" t="n"/>
      <c r="L126" s="75">
        <f>IF(K126="A",F126,IF(K126="B",H126,IF(K126="C",J126,"")))</f>
        <v/>
      </c>
      <c r="M126" s="72" t="n"/>
      <c r="N126" s="72" t="n"/>
      <c r="O126" s="89" t="n"/>
      <c r="P126" s="89" t="n"/>
      <c r="Q126" s="109" t="n"/>
      <c r="R126" s="120">
        <f>IF(B126="","",IF(Q126&lt;&gt;"",Q126,IF(P126="","",IFERROR(INDEX('Timeline'!$J$7:$J$1006,MATCH(P126,'Timeline'!$B$7:$B$1006,0)),""))))</f>
        <v/>
      </c>
      <c r="S126" s="126">
        <f>IF(R126="","",R126-IF(O126="",0,O126)-OrderBuf)</f>
        <v/>
      </c>
      <c r="T126" s="126">
        <f>IF(S126="","",S126-DecideBuf)</f>
        <v/>
      </c>
      <c r="U126" s="74" t="n"/>
      <c r="V126" s="109" t="n"/>
      <c r="W126" s="109" t="n"/>
      <c r="X126" s="74" t="n"/>
      <c r="Y126" s="116">
        <f>IF(B126="","",IF(X126="Yes","Delivered",IF(U126="Yes",IF(AND(W126&lt;&gt;"",R126&lt;&gt;""),IF(W126&gt;R126,"⚠️ Delivery after install date","Ordered"),"Ordered"),IF(K126="",IF(T126="","Waiting for decision",IF(T126&lt;=AsOf+AlertDays,"Decide now","Waiting for decision")),IF(S126="","Selected",IF(AsOf&gt;S126,"⚠️ Order late — install at risk",IF(S126&lt;=AsOf+AlertDays,"Order now","Selected")))))))</f>
        <v/>
      </c>
      <c r="Z126" s="79">
        <f>IF(B126="","",IF(OR(AH126=1,AE126=1),2,IF(OR(AG126=1,AF126=1),1,IF(OR(Y126="Ordered",Y126="Delivered"),0,""))))</f>
        <v/>
      </c>
      <c r="AA126" s="112">
        <f>IF(B126="","",IF(AH126=1,IF(Y126="⚠️ Delivery after install date",R126,S126),IF(AD126=1,T126,IF(AI126=1,S126,""))))</f>
        <v/>
      </c>
      <c r="AB126" s="79">
        <f>IF(AA126="","",IF(AH126=1,1,IF(AA126="","",IF(AA126&lt;AsOf,1,IF(AA126&lt;=AsOf+AlertDays,2,IF(AA126&lt;=AsOf+2*AlertDays,3,""))))))</f>
        <v/>
      </c>
      <c r="AC126" s="79">
        <f>IF(AB126="","",IF(AH126=1,IF(Y126="⚠️ Delivery after install date","Delivery after install date: "&amp;B126,"Order late — install at risk: "&amp;B126),IF(AD126=1,IF(AB126=1,"Decision overdue: ","Decide: ")&amp;B126,"Order: "&amp;B126&amp;IF(N126="",""," from "&amp;N126))))</f>
        <v/>
      </c>
      <c r="AD126" s="79">
        <f>IF(AND(B126&lt;&gt;"",K126="",U126&lt;&gt;"Yes",X126&lt;&gt;"Yes"),1,0)</f>
        <v/>
      </c>
      <c r="AE126" s="79">
        <f>IF(AND(AD126=1,T126&lt;&gt;""),IF(T126&lt;AsOf,1,0),0)</f>
        <v/>
      </c>
      <c r="AF126" s="79">
        <f>IF(AND(AD126=1,T126&lt;&gt;""),IF(AND(T126&gt;=AsOf,T126&lt;=AsOf+AlertDays),1,0),0)</f>
        <v/>
      </c>
      <c r="AG126" s="79">
        <f>IF(Y126="Order now",1,0)</f>
        <v/>
      </c>
      <c r="AH126" s="79">
        <f>IF(OR(Y126="⚠️ Order late — install at risk",Y126="⚠️ Delivery after install date"),1,0)</f>
        <v/>
      </c>
      <c r="AI126" s="79">
        <f>IF(AND(B126&lt;&gt;"",K126&lt;&gt;"",U126&lt;&gt;"Yes",X126&lt;&gt;"Yes"),1,0)</f>
        <v/>
      </c>
      <c r="AJ126" s="79">
        <f>IF(Y126="⚠️ Order late — install at risk",1,0)</f>
        <v/>
      </c>
    </row>
    <row r="127" ht="20" customHeight="1">
      <c r="B127" s="72" t="n"/>
      <c r="C127" s="72" t="n"/>
      <c r="D127" s="72" t="n"/>
      <c r="E127" s="72" t="n"/>
      <c r="F127" s="73" t="n"/>
      <c r="G127" s="72" t="n"/>
      <c r="H127" s="73" t="n"/>
      <c r="I127" s="72" t="n"/>
      <c r="J127" s="73" t="n"/>
      <c r="K127" s="74" t="n"/>
      <c r="L127" s="75">
        <f>IF(K127="A",F127,IF(K127="B",H127,IF(K127="C",J127,"")))</f>
        <v/>
      </c>
      <c r="M127" s="72" t="n"/>
      <c r="N127" s="72" t="n"/>
      <c r="O127" s="89" t="n"/>
      <c r="P127" s="89" t="n"/>
      <c r="Q127" s="109" t="n"/>
      <c r="R127" s="120">
        <f>IF(B127="","",IF(Q127&lt;&gt;"",Q127,IF(P127="","",IFERROR(INDEX('Timeline'!$J$7:$J$1006,MATCH(P127,'Timeline'!$B$7:$B$1006,0)),""))))</f>
        <v/>
      </c>
      <c r="S127" s="126">
        <f>IF(R127="","",R127-IF(O127="",0,O127)-OrderBuf)</f>
        <v/>
      </c>
      <c r="T127" s="126">
        <f>IF(S127="","",S127-DecideBuf)</f>
        <v/>
      </c>
      <c r="U127" s="74" t="n"/>
      <c r="V127" s="109" t="n"/>
      <c r="W127" s="109" t="n"/>
      <c r="X127" s="74" t="n"/>
      <c r="Y127" s="116">
        <f>IF(B127="","",IF(X127="Yes","Delivered",IF(U127="Yes",IF(AND(W127&lt;&gt;"",R127&lt;&gt;""),IF(W127&gt;R127,"⚠️ Delivery after install date","Ordered"),"Ordered"),IF(K127="",IF(T127="","Waiting for decision",IF(T127&lt;=AsOf+AlertDays,"Decide now","Waiting for decision")),IF(S127="","Selected",IF(AsOf&gt;S127,"⚠️ Order late — install at risk",IF(S127&lt;=AsOf+AlertDays,"Order now","Selected")))))))</f>
        <v/>
      </c>
      <c r="Z127" s="79">
        <f>IF(B127="","",IF(OR(AH127=1,AE127=1),2,IF(OR(AG127=1,AF127=1),1,IF(OR(Y127="Ordered",Y127="Delivered"),0,""))))</f>
        <v/>
      </c>
      <c r="AA127" s="112">
        <f>IF(B127="","",IF(AH127=1,IF(Y127="⚠️ Delivery after install date",R127,S127),IF(AD127=1,T127,IF(AI127=1,S127,""))))</f>
        <v/>
      </c>
      <c r="AB127" s="79">
        <f>IF(AA127="","",IF(AH127=1,1,IF(AA127="","",IF(AA127&lt;AsOf,1,IF(AA127&lt;=AsOf+AlertDays,2,IF(AA127&lt;=AsOf+2*AlertDays,3,""))))))</f>
        <v/>
      </c>
      <c r="AC127" s="79">
        <f>IF(AB127="","",IF(AH127=1,IF(Y127="⚠️ Delivery after install date","Delivery after install date: "&amp;B127,"Order late — install at risk: "&amp;B127),IF(AD127=1,IF(AB127=1,"Decision overdue: ","Decide: ")&amp;B127,"Order: "&amp;B127&amp;IF(N127="",""," from "&amp;N127))))</f>
        <v/>
      </c>
      <c r="AD127" s="79">
        <f>IF(AND(B127&lt;&gt;"",K127="",U127&lt;&gt;"Yes",X127&lt;&gt;"Yes"),1,0)</f>
        <v/>
      </c>
      <c r="AE127" s="79">
        <f>IF(AND(AD127=1,T127&lt;&gt;""),IF(T127&lt;AsOf,1,0),0)</f>
        <v/>
      </c>
      <c r="AF127" s="79">
        <f>IF(AND(AD127=1,T127&lt;&gt;""),IF(AND(T127&gt;=AsOf,T127&lt;=AsOf+AlertDays),1,0),0)</f>
        <v/>
      </c>
      <c r="AG127" s="79">
        <f>IF(Y127="Order now",1,0)</f>
        <v/>
      </c>
      <c r="AH127" s="79">
        <f>IF(OR(Y127="⚠️ Order late — install at risk",Y127="⚠️ Delivery after install date"),1,0)</f>
        <v/>
      </c>
      <c r="AI127" s="79">
        <f>IF(AND(B127&lt;&gt;"",K127&lt;&gt;"",U127&lt;&gt;"Yes",X127&lt;&gt;"Yes"),1,0)</f>
        <v/>
      </c>
      <c r="AJ127" s="79">
        <f>IF(Y127="⚠️ Order late — install at risk",1,0)</f>
        <v/>
      </c>
    </row>
    <row r="128" ht="20" customHeight="1">
      <c r="B128" s="72" t="n"/>
      <c r="C128" s="72" t="n"/>
      <c r="D128" s="72" t="n"/>
      <c r="E128" s="72" t="n"/>
      <c r="F128" s="73" t="n"/>
      <c r="G128" s="72" t="n"/>
      <c r="H128" s="73" t="n"/>
      <c r="I128" s="72" t="n"/>
      <c r="J128" s="73" t="n"/>
      <c r="K128" s="74" t="n"/>
      <c r="L128" s="75">
        <f>IF(K128="A",F128,IF(K128="B",H128,IF(K128="C",J128,"")))</f>
        <v/>
      </c>
      <c r="M128" s="72" t="n"/>
      <c r="N128" s="72" t="n"/>
      <c r="O128" s="89" t="n"/>
      <c r="P128" s="89" t="n"/>
      <c r="Q128" s="109" t="n"/>
      <c r="R128" s="120">
        <f>IF(B128="","",IF(Q128&lt;&gt;"",Q128,IF(P128="","",IFERROR(INDEX('Timeline'!$J$7:$J$1006,MATCH(P128,'Timeline'!$B$7:$B$1006,0)),""))))</f>
        <v/>
      </c>
      <c r="S128" s="126">
        <f>IF(R128="","",R128-IF(O128="",0,O128)-OrderBuf)</f>
        <v/>
      </c>
      <c r="T128" s="126">
        <f>IF(S128="","",S128-DecideBuf)</f>
        <v/>
      </c>
      <c r="U128" s="74" t="n"/>
      <c r="V128" s="109" t="n"/>
      <c r="W128" s="109" t="n"/>
      <c r="X128" s="74" t="n"/>
      <c r="Y128" s="116">
        <f>IF(B128="","",IF(X128="Yes","Delivered",IF(U128="Yes",IF(AND(W128&lt;&gt;"",R128&lt;&gt;""),IF(W128&gt;R128,"⚠️ Delivery after install date","Ordered"),"Ordered"),IF(K128="",IF(T128="","Waiting for decision",IF(T128&lt;=AsOf+AlertDays,"Decide now","Waiting for decision")),IF(S128="","Selected",IF(AsOf&gt;S128,"⚠️ Order late — install at risk",IF(S128&lt;=AsOf+AlertDays,"Order now","Selected")))))))</f>
        <v/>
      </c>
      <c r="Z128" s="79">
        <f>IF(B128="","",IF(OR(AH128=1,AE128=1),2,IF(OR(AG128=1,AF128=1),1,IF(OR(Y128="Ordered",Y128="Delivered"),0,""))))</f>
        <v/>
      </c>
      <c r="AA128" s="112">
        <f>IF(B128="","",IF(AH128=1,IF(Y128="⚠️ Delivery after install date",R128,S128),IF(AD128=1,T128,IF(AI128=1,S128,""))))</f>
        <v/>
      </c>
      <c r="AB128" s="79">
        <f>IF(AA128="","",IF(AH128=1,1,IF(AA128="","",IF(AA128&lt;AsOf,1,IF(AA128&lt;=AsOf+AlertDays,2,IF(AA128&lt;=AsOf+2*AlertDays,3,""))))))</f>
        <v/>
      </c>
      <c r="AC128" s="79">
        <f>IF(AB128="","",IF(AH128=1,IF(Y128="⚠️ Delivery after install date","Delivery after install date: "&amp;B128,"Order late — install at risk: "&amp;B128),IF(AD128=1,IF(AB128=1,"Decision overdue: ","Decide: ")&amp;B128,"Order: "&amp;B128&amp;IF(N128="",""," from "&amp;N128))))</f>
        <v/>
      </c>
      <c r="AD128" s="79">
        <f>IF(AND(B128&lt;&gt;"",K128="",U128&lt;&gt;"Yes",X128&lt;&gt;"Yes"),1,0)</f>
        <v/>
      </c>
      <c r="AE128" s="79">
        <f>IF(AND(AD128=1,T128&lt;&gt;""),IF(T128&lt;AsOf,1,0),0)</f>
        <v/>
      </c>
      <c r="AF128" s="79">
        <f>IF(AND(AD128=1,T128&lt;&gt;""),IF(AND(T128&gt;=AsOf,T128&lt;=AsOf+AlertDays),1,0),0)</f>
        <v/>
      </c>
      <c r="AG128" s="79">
        <f>IF(Y128="Order now",1,0)</f>
        <v/>
      </c>
      <c r="AH128" s="79">
        <f>IF(OR(Y128="⚠️ Order late — install at risk",Y128="⚠️ Delivery after install date"),1,0)</f>
        <v/>
      </c>
      <c r="AI128" s="79">
        <f>IF(AND(B128&lt;&gt;"",K128&lt;&gt;"",U128&lt;&gt;"Yes",X128&lt;&gt;"Yes"),1,0)</f>
        <v/>
      </c>
      <c r="AJ128" s="79">
        <f>IF(Y128="⚠️ Order late — install at risk",1,0)</f>
        <v/>
      </c>
    </row>
    <row r="129" ht="20" customHeight="1">
      <c r="B129" s="72" t="n"/>
      <c r="C129" s="72" t="n"/>
      <c r="D129" s="72" t="n"/>
      <c r="E129" s="72" t="n"/>
      <c r="F129" s="73" t="n"/>
      <c r="G129" s="72" t="n"/>
      <c r="H129" s="73" t="n"/>
      <c r="I129" s="72" t="n"/>
      <c r="J129" s="73" t="n"/>
      <c r="K129" s="74" t="n"/>
      <c r="L129" s="75">
        <f>IF(K129="A",F129,IF(K129="B",H129,IF(K129="C",J129,"")))</f>
        <v/>
      </c>
      <c r="M129" s="72" t="n"/>
      <c r="N129" s="72" t="n"/>
      <c r="O129" s="89" t="n"/>
      <c r="P129" s="89" t="n"/>
      <c r="Q129" s="109" t="n"/>
      <c r="R129" s="120">
        <f>IF(B129="","",IF(Q129&lt;&gt;"",Q129,IF(P129="","",IFERROR(INDEX('Timeline'!$J$7:$J$1006,MATCH(P129,'Timeline'!$B$7:$B$1006,0)),""))))</f>
        <v/>
      </c>
      <c r="S129" s="126">
        <f>IF(R129="","",R129-IF(O129="",0,O129)-OrderBuf)</f>
        <v/>
      </c>
      <c r="T129" s="126">
        <f>IF(S129="","",S129-DecideBuf)</f>
        <v/>
      </c>
      <c r="U129" s="74" t="n"/>
      <c r="V129" s="109" t="n"/>
      <c r="W129" s="109" t="n"/>
      <c r="X129" s="74" t="n"/>
      <c r="Y129" s="116">
        <f>IF(B129="","",IF(X129="Yes","Delivered",IF(U129="Yes",IF(AND(W129&lt;&gt;"",R129&lt;&gt;""),IF(W129&gt;R129,"⚠️ Delivery after install date","Ordered"),"Ordered"),IF(K129="",IF(T129="","Waiting for decision",IF(T129&lt;=AsOf+AlertDays,"Decide now","Waiting for decision")),IF(S129="","Selected",IF(AsOf&gt;S129,"⚠️ Order late — install at risk",IF(S129&lt;=AsOf+AlertDays,"Order now","Selected")))))))</f>
        <v/>
      </c>
      <c r="Z129" s="79">
        <f>IF(B129="","",IF(OR(AH129=1,AE129=1),2,IF(OR(AG129=1,AF129=1),1,IF(OR(Y129="Ordered",Y129="Delivered"),0,""))))</f>
        <v/>
      </c>
      <c r="AA129" s="112">
        <f>IF(B129="","",IF(AH129=1,IF(Y129="⚠️ Delivery after install date",R129,S129),IF(AD129=1,T129,IF(AI129=1,S129,""))))</f>
        <v/>
      </c>
      <c r="AB129" s="79">
        <f>IF(AA129="","",IF(AH129=1,1,IF(AA129="","",IF(AA129&lt;AsOf,1,IF(AA129&lt;=AsOf+AlertDays,2,IF(AA129&lt;=AsOf+2*AlertDays,3,""))))))</f>
        <v/>
      </c>
      <c r="AC129" s="79">
        <f>IF(AB129="","",IF(AH129=1,IF(Y129="⚠️ Delivery after install date","Delivery after install date: "&amp;B129,"Order late — install at risk: "&amp;B129),IF(AD129=1,IF(AB129=1,"Decision overdue: ","Decide: ")&amp;B129,"Order: "&amp;B129&amp;IF(N129="",""," from "&amp;N129))))</f>
        <v/>
      </c>
      <c r="AD129" s="79">
        <f>IF(AND(B129&lt;&gt;"",K129="",U129&lt;&gt;"Yes",X129&lt;&gt;"Yes"),1,0)</f>
        <v/>
      </c>
      <c r="AE129" s="79">
        <f>IF(AND(AD129=1,T129&lt;&gt;""),IF(T129&lt;AsOf,1,0),0)</f>
        <v/>
      </c>
      <c r="AF129" s="79">
        <f>IF(AND(AD129=1,T129&lt;&gt;""),IF(AND(T129&gt;=AsOf,T129&lt;=AsOf+AlertDays),1,0),0)</f>
        <v/>
      </c>
      <c r="AG129" s="79">
        <f>IF(Y129="Order now",1,0)</f>
        <v/>
      </c>
      <c r="AH129" s="79">
        <f>IF(OR(Y129="⚠️ Order late — install at risk",Y129="⚠️ Delivery after install date"),1,0)</f>
        <v/>
      </c>
      <c r="AI129" s="79">
        <f>IF(AND(B129&lt;&gt;"",K129&lt;&gt;"",U129&lt;&gt;"Yes",X129&lt;&gt;"Yes"),1,0)</f>
        <v/>
      </c>
      <c r="AJ129" s="79">
        <f>IF(Y129="⚠️ Order late — install at risk",1,0)</f>
        <v/>
      </c>
    </row>
    <row r="130" ht="20" customHeight="1">
      <c r="B130" s="72" t="n"/>
      <c r="C130" s="72" t="n"/>
      <c r="D130" s="72" t="n"/>
      <c r="E130" s="72" t="n"/>
      <c r="F130" s="73" t="n"/>
      <c r="G130" s="72" t="n"/>
      <c r="H130" s="73" t="n"/>
      <c r="I130" s="72" t="n"/>
      <c r="J130" s="73" t="n"/>
      <c r="K130" s="74" t="n"/>
      <c r="L130" s="75">
        <f>IF(K130="A",F130,IF(K130="B",H130,IF(K130="C",J130,"")))</f>
        <v/>
      </c>
      <c r="M130" s="72" t="n"/>
      <c r="N130" s="72" t="n"/>
      <c r="O130" s="89" t="n"/>
      <c r="P130" s="89" t="n"/>
      <c r="Q130" s="109" t="n"/>
      <c r="R130" s="120">
        <f>IF(B130="","",IF(Q130&lt;&gt;"",Q130,IF(P130="","",IFERROR(INDEX('Timeline'!$J$7:$J$1006,MATCH(P130,'Timeline'!$B$7:$B$1006,0)),""))))</f>
        <v/>
      </c>
      <c r="S130" s="126">
        <f>IF(R130="","",R130-IF(O130="",0,O130)-OrderBuf)</f>
        <v/>
      </c>
      <c r="T130" s="126">
        <f>IF(S130="","",S130-DecideBuf)</f>
        <v/>
      </c>
      <c r="U130" s="74" t="n"/>
      <c r="V130" s="109" t="n"/>
      <c r="W130" s="109" t="n"/>
      <c r="X130" s="74" t="n"/>
      <c r="Y130" s="116">
        <f>IF(B130="","",IF(X130="Yes","Delivered",IF(U130="Yes",IF(AND(W130&lt;&gt;"",R130&lt;&gt;""),IF(W130&gt;R130,"⚠️ Delivery after install date","Ordered"),"Ordered"),IF(K130="",IF(T130="","Waiting for decision",IF(T130&lt;=AsOf+AlertDays,"Decide now","Waiting for decision")),IF(S130="","Selected",IF(AsOf&gt;S130,"⚠️ Order late — install at risk",IF(S130&lt;=AsOf+AlertDays,"Order now","Selected")))))))</f>
        <v/>
      </c>
      <c r="Z130" s="79">
        <f>IF(B130="","",IF(OR(AH130=1,AE130=1),2,IF(OR(AG130=1,AF130=1),1,IF(OR(Y130="Ordered",Y130="Delivered"),0,""))))</f>
        <v/>
      </c>
      <c r="AA130" s="112">
        <f>IF(B130="","",IF(AH130=1,IF(Y130="⚠️ Delivery after install date",R130,S130),IF(AD130=1,T130,IF(AI130=1,S130,""))))</f>
        <v/>
      </c>
      <c r="AB130" s="79">
        <f>IF(AA130="","",IF(AH130=1,1,IF(AA130="","",IF(AA130&lt;AsOf,1,IF(AA130&lt;=AsOf+AlertDays,2,IF(AA130&lt;=AsOf+2*AlertDays,3,""))))))</f>
        <v/>
      </c>
      <c r="AC130" s="79">
        <f>IF(AB130="","",IF(AH130=1,IF(Y130="⚠️ Delivery after install date","Delivery after install date: "&amp;B130,"Order late — install at risk: "&amp;B130),IF(AD130=1,IF(AB130=1,"Decision overdue: ","Decide: ")&amp;B130,"Order: "&amp;B130&amp;IF(N130="",""," from "&amp;N130))))</f>
        <v/>
      </c>
      <c r="AD130" s="79">
        <f>IF(AND(B130&lt;&gt;"",K130="",U130&lt;&gt;"Yes",X130&lt;&gt;"Yes"),1,0)</f>
        <v/>
      </c>
      <c r="AE130" s="79">
        <f>IF(AND(AD130=1,T130&lt;&gt;""),IF(T130&lt;AsOf,1,0),0)</f>
        <v/>
      </c>
      <c r="AF130" s="79">
        <f>IF(AND(AD130=1,T130&lt;&gt;""),IF(AND(T130&gt;=AsOf,T130&lt;=AsOf+AlertDays),1,0),0)</f>
        <v/>
      </c>
      <c r="AG130" s="79">
        <f>IF(Y130="Order now",1,0)</f>
        <v/>
      </c>
      <c r="AH130" s="79">
        <f>IF(OR(Y130="⚠️ Order late — install at risk",Y130="⚠️ Delivery after install date"),1,0)</f>
        <v/>
      </c>
      <c r="AI130" s="79">
        <f>IF(AND(B130&lt;&gt;"",K130&lt;&gt;"",U130&lt;&gt;"Yes",X130&lt;&gt;"Yes"),1,0)</f>
        <v/>
      </c>
      <c r="AJ130" s="79">
        <f>IF(Y130="⚠️ Order late — install at risk",1,0)</f>
        <v/>
      </c>
    </row>
    <row r="131" ht="20" customHeight="1">
      <c r="B131" s="72" t="n"/>
      <c r="C131" s="72" t="n"/>
      <c r="D131" s="72" t="n"/>
      <c r="E131" s="72" t="n"/>
      <c r="F131" s="73" t="n"/>
      <c r="G131" s="72" t="n"/>
      <c r="H131" s="73" t="n"/>
      <c r="I131" s="72" t="n"/>
      <c r="J131" s="73" t="n"/>
      <c r="K131" s="74" t="n"/>
      <c r="L131" s="75">
        <f>IF(K131="A",F131,IF(K131="B",H131,IF(K131="C",J131,"")))</f>
        <v/>
      </c>
      <c r="M131" s="72" t="n"/>
      <c r="N131" s="72" t="n"/>
      <c r="O131" s="89" t="n"/>
      <c r="P131" s="89" t="n"/>
      <c r="Q131" s="109" t="n"/>
      <c r="R131" s="120">
        <f>IF(B131="","",IF(Q131&lt;&gt;"",Q131,IF(P131="","",IFERROR(INDEX('Timeline'!$J$7:$J$1006,MATCH(P131,'Timeline'!$B$7:$B$1006,0)),""))))</f>
        <v/>
      </c>
      <c r="S131" s="126">
        <f>IF(R131="","",R131-IF(O131="",0,O131)-OrderBuf)</f>
        <v/>
      </c>
      <c r="T131" s="126">
        <f>IF(S131="","",S131-DecideBuf)</f>
        <v/>
      </c>
      <c r="U131" s="74" t="n"/>
      <c r="V131" s="109" t="n"/>
      <c r="W131" s="109" t="n"/>
      <c r="X131" s="74" t="n"/>
      <c r="Y131" s="116">
        <f>IF(B131="","",IF(X131="Yes","Delivered",IF(U131="Yes",IF(AND(W131&lt;&gt;"",R131&lt;&gt;""),IF(W131&gt;R131,"⚠️ Delivery after install date","Ordered"),"Ordered"),IF(K131="",IF(T131="","Waiting for decision",IF(T131&lt;=AsOf+AlertDays,"Decide now","Waiting for decision")),IF(S131="","Selected",IF(AsOf&gt;S131,"⚠️ Order late — install at risk",IF(S131&lt;=AsOf+AlertDays,"Order now","Selected")))))))</f>
        <v/>
      </c>
      <c r="Z131" s="79">
        <f>IF(B131="","",IF(OR(AH131=1,AE131=1),2,IF(OR(AG131=1,AF131=1),1,IF(OR(Y131="Ordered",Y131="Delivered"),0,""))))</f>
        <v/>
      </c>
      <c r="AA131" s="112">
        <f>IF(B131="","",IF(AH131=1,IF(Y131="⚠️ Delivery after install date",R131,S131),IF(AD131=1,T131,IF(AI131=1,S131,""))))</f>
        <v/>
      </c>
      <c r="AB131" s="79">
        <f>IF(AA131="","",IF(AH131=1,1,IF(AA131="","",IF(AA131&lt;AsOf,1,IF(AA131&lt;=AsOf+AlertDays,2,IF(AA131&lt;=AsOf+2*AlertDays,3,""))))))</f>
        <v/>
      </c>
      <c r="AC131" s="79">
        <f>IF(AB131="","",IF(AH131=1,IF(Y131="⚠️ Delivery after install date","Delivery after install date: "&amp;B131,"Order late — install at risk: "&amp;B131),IF(AD131=1,IF(AB131=1,"Decision overdue: ","Decide: ")&amp;B131,"Order: "&amp;B131&amp;IF(N131="",""," from "&amp;N131))))</f>
        <v/>
      </c>
      <c r="AD131" s="79">
        <f>IF(AND(B131&lt;&gt;"",K131="",U131&lt;&gt;"Yes",X131&lt;&gt;"Yes"),1,0)</f>
        <v/>
      </c>
      <c r="AE131" s="79">
        <f>IF(AND(AD131=1,T131&lt;&gt;""),IF(T131&lt;AsOf,1,0),0)</f>
        <v/>
      </c>
      <c r="AF131" s="79">
        <f>IF(AND(AD131=1,T131&lt;&gt;""),IF(AND(T131&gt;=AsOf,T131&lt;=AsOf+AlertDays),1,0),0)</f>
        <v/>
      </c>
      <c r="AG131" s="79">
        <f>IF(Y131="Order now",1,0)</f>
        <v/>
      </c>
      <c r="AH131" s="79">
        <f>IF(OR(Y131="⚠️ Order late — install at risk",Y131="⚠️ Delivery after install date"),1,0)</f>
        <v/>
      </c>
      <c r="AI131" s="79">
        <f>IF(AND(B131&lt;&gt;"",K131&lt;&gt;"",U131&lt;&gt;"Yes",X131&lt;&gt;"Yes"),1,0)</f>
        <v/>
      </c>
      <c r="AJ131" s="79">
        <f>IF(Y131="⚠️ Order late — install at risk",1,0)</f>
        <v/>
      </c>
    </row>
    <row r="132" ht="20" customHeight="1">
      <c r="B132" s="72" t="n"/>
      <c r="C132" s="72" t="n"/>
      <c r="D132" s="72" t="n"/>
      <c r="E132" s="72" t="n"/>
      <c r="F132" s="73" t="n"/>
      <c r="G132" s="72" t="n"/>
      <c r="H132" s="73" t="n"/>
      <c r="I132" s="72" t="n"/>
      <c r="J132" s="73" t="n"/>
      <c r="K132" s="74" t="n"/>
      <c r="L132" s="75">
        <f>IF(K132="A",F132,IF(K132="B",H132,IF(K132="C",J132,"")))</f>
        <v/>
      </c>
      <c r="M132" s="72" t="n"/>
      <c r="N132" s="72" t="n"/>
      <c r="O132" s="89" t="n"/>
      <c r="P132" s="89" t="n"/>
      <c r="Q132" s="109" t="n"/>
      <c r="R132" s="120">
        <f>IF(B132="","",IF(Q132&lt;&gt;"",Q132,IF(P132="","",IFERROR(INDEX('Timeline'!$J$7:$J$1006,MATCH(P132,'Timeline'!$B$7:$B$1006,0)),""))))</f>
        <v/>
      </c>
      <c r="S132" s="126">
        <f>IF(R132="","",R132-IF(O132="",0,O132)-OrderBuf)</f>
        <v/>
      </c>
      <c r="T132" s="126">
        <f>IF(S132="","",S132-DecideBuf)</f>
        <v/>
      </c>
      <c r="U132" s="74" t="n"/>
      <c r="V132" s="109" t="n"/>
      <c r="W132" s="109" t="n"/>
      <c r="X132" s="74" t="n"/>
      <c r="Y132" s="116">
        <f>IF(B132="","",IF(X132="Yes","Delivered",IF(U132="Yes",IF(AND(W132&lt;&gt;"",R132&lt;&gt;""),IF(W132&gt;R132,"⚠️ Delivery after install date","Ordered"),"Ordered"),IF(K132="",IF(T132="","Waiting for decision",IF(T132&lt;=AsOf+AlertDays,"Decide now","Waiting for decision")),IF(S132="","Selected",IF(AsOf&gt;S132,"⚠️ Order late — install at risk",IF(S132&lt;=AsOf+AlertDays,"Order now","Selected")))))))</f>
        <v/>
      </c>
      <c r="Z132" s="79">
        <f>IF(B132="","",IF(OR(AH132=1,AE132=1),2,IF(OR(AG132=1,AF132=1),1,IF(OR(Y132="Ordered",Y132="Delivered"),0,""))))</f>
        <v/>
      </c>
      <c r="AA132" s="112">
        <f>IF(B132="","",IF(AH132=1,IF(Y132="⚠️ Delivery after install date",R132,S132),IF(AD132=1,T132,IF(AI132=1,S132,""))))</f>
        <v/>
      </c>
      <c r="AB132" s="79">
        <f>IF(AA132="","",IF(AH132=1,1,IF(AA132="","",IF(AA132&lt;AsOf,1,IF(AA132&lt;=AsOf+AlertDays,2,IF(AA132&lt;=AsOf+2*AlertDays,3,""))))))</f>
        <v/>
      </c>
      <c r="AC132" s="79">
        <f>IF(AB132="","",IF(AH132=1,IF(Y132="⚠️ Delivery after install date","Delivery after install date: "&amp;B132,"Order late — install at risk: "&amp;B132),IF(AD132=1,IF(AB132=1,"Decision overdue: ","Decide: ")&amp;B132,"Order: "&amp;B132&amp;IF(N132="",""," from "&amp;N132))))</f>
        <v/>
      </c>
      <c r="AD132" s="79">
        <f>IF(AND(B132&lt;&gt;"",K132="",U132&lt;&gt;"Yes",X132&lt;&gt;"Yes"),1,0)</f>
        <v/>
      </c>
      <c r="AE132" s="79">
        <f>IF(AND(AD132=1,T132&lt;&gt;""),IF(T132&lt;AsOf,1,0),0)</f>
        <v/>
      </c>
      <c r="AF132" s="79">
        <f>IF(AND(AD132=1,T132&lt;&gt;""),IF(AND(T132&gt;=AsOf,T132&lt;=AsOf+AlertDays),1,0),0)</f>
        <v/>
      </c>
      <c r="AG132" s="79">
        <f>IF(Y132="Order now",1,0)</f>
        <v/>
      </c>
      <c r="AH132" s="79">
        <f>IF(OR(Y132="⚠️ Order late — install at risk",Y132="⚠️ Delivery after install date"),1,0)</f>
        <v/>
      </c>
      <c r="AI132" s="79">
        <f>IF(AND(B132&lt;&gt;"",K132&lt;&gt;"",U132&lt;&gt;"Yes",X132&lt;&gt;"Yes"),1,0)</f>
        <v/>
      </c>
      <c r="AJ132" s="79">
        <f>IF(Y132="⚠️ Order late — install at risk",1,0)</f>
        <v/>
      </c>
    </row>
    <row r="133" ht="20" customHeight="1">
      <c r="B133" s="72" t="n"/>
      <c r="C133" s="72" t="n"/>
      <c r="D133" s="72" t="n"/>
      <c r="E133" s="72" t="n"/>
      <c r="F133" s="73" t="n"/>
      <c r="G133" s="72" t="n"/>
      <c r="H133" s="73" t="n"/>
      <c r="I133" s="72" t="n"/>
      <c r="J133" s="73" t="n"/>
      <c r="K133" s="74" t="n"/>
      <c r="L133" s="75">
        <f>IF(K133="A",F133,IF(K133="B",H133,IF(K133="C",J133,"")))</f>
        <v/>
      </c>
      <c r="M133" s="72" t="n"/>
      <c r="N133" s="72" t="n"/>
      <c r="O133" s="89" t="n"/>
      <c r="P133" s="89" t="n"/>
      <c r="Q133" s="109" t="n"/>
      <c r="R133" s="120">
        <f>IF(B133="","",IF(Q133&lt;&gt;"",Q133,IF(P133="","",IFERROR(INDEX('Timeline'!$J$7:$J$1006,MATCH(P133,'Timeline'!$B$7:$B$1006,0)),""))))</f>
        <v/>
      </c>
      <c r="S133" s="126">
        <f>IF(R133="","",R133-IF(O133="",0,O133)-OrderBuf)</f>
        <v/>
      </c>
      <c r="T133" s="126">
        <f>IF(S133="","",S133-DecideBuf)</f>
        <v/>
      </c>
      <c r="U133" s="74" t="n"/>
      <c r="V133" s="109" t="n"/>
      <c r="W133" s="109" t="n"/>
      <c r="X133" s="74" t="n"/>
      <c r="Y133" s="116">
        <f>IF(B133="","",IF(X133="Yes","Delivered",IF(U133="Yes",IF(AND(W133&lt;&gt;"",R133&lt;&gt;""),IF(W133&gt;R133,"⚠️ Delivery after install date","Ordered"),"Ordered"),IF(K133="",IF(T133="","Waiting for decision",IF(T133&lt;=AsOf+AlertDays,"Decide now","Waiting for decision")),IF(S133="","Selected",IF(AsOf&gt;S133,"⚠️ Order late — install at risk",IF(S133&lt;=AsOf+AlertDays,"Order now","Selected")))))))</f>
        <v/>
      </c>
      <c r="Z133" s="79">
        <f>IF(B133="","",IF(OR(AH133=1,AE133=1),2,IF(OR(AG133=1,AF133=1),1,IF(OR(Y133="Ordered",Y133="Delivered"),0,""))))</f>
        <v/>
      </c>
      <c r="AA133" s="112">
        <f>IF(B133="","",IF(AH133=1,IF(Y133="⚠️ Delivery after install date",R133,S133),IF(AD133=1,T133,IF(AI133=1,S133,""))))</f>
        <v/>
      </c>
      <c r="AB133" s="79">
        <f>IF(AA133="","",IF(AH133=1,1,IF(AA133="","",IF(AA133&lt;AsOf,1,IF(AA133&lt;=AsOf+AlertDays,2,IF(AA133&lt;=AsOf+2*AlertDays,3,""))))))</f>
        <v/>
      </c>
      <c r="AC133" s="79">
        <f>IF(AB133="","",IF(AH133=1,IF(Y133="⚠️ Delivery after install date","Delivery after install date: "&amp;B133,"Order late — install at risk: "&amp;B133),IF(AD133=1,IF(AB133=1,"Decision overdue: ","Decide: ")&amp;B133,"Order: "&amp;B133&amp;IF(N133="",""," from "&amp;N133))))</f>
        <v/>
      </c>
      <c r="AD133" s="79">
        <f>IF(AND(B133&lt;&gt;"",K133="",U133&lt;&gt;"Yes",X133&lt;&gt;"Yes"),1,0)</f>
        <v/>
      </c>
      <c r="AE133" s="79">
        <f>IF(AND(AD133=1,T133&lt;&gt;""),IF(T133&lt;AsOf,1,0),0)</f>
        <v/>
      </c>
      <c r="AF133" s="79">
        <f>IF(AND(AD133=1,T133&lt;&gt;""),IF(AND(T133&gt;=AsOf,T133&lt;=AsOf+AlertDays),1,0),0)</f>
        <v/>
      </c>
      <c r="AG133" s="79">
        <f>IF(Y133="Order now",1,0)</f>
        <v/>
      </c>
      <c r="AH133" s="79">
        <f>IF(OR(Y133="⚠️ Order late — install at risk",Y133="⚠️ Delivery after install date"),1,0)</f>
        <v/>
      </c>
      <c r="AI133" s="79">
        <f>IF(AND(B133&lt;&gt;"",K133&lt;&gt;"",U133&lt;&gt;"Yes",X133&lt;&gt;"Yes"),1,0)</f>
        <v/>
      </c>
      <c r="AJ133" s="79">
        <f>IF(Y133="⚠️ Order late — install at risk",1,0)</f>
        <v/>
      </c>
    </row>
    <row r="134" ht="20" customHeight="1">
      <c r="B134" s="72" t="n"/>
      <c r="C134" s="72" t="n"/>
      <c r="D134" s="72" t="n"/>
      <c r="E134" s="72" t="n"/>
      <c r="F134" s="73" t="n"/>
      <c r="G134" s="72" t="n"/>
      <c r="H134" s="73" t="n"/>
      <c r="I134" s="72" t="n"/>
      <c r="J134" s="73" t="n"/>
      <c r="K134" s="74" t="n"/>
      <c r="L134" s="75">
        <f>IF(K134="A",F134,IF(K134="B",H134,IF(K134="C",J134,"")))</f>
        <v/>
      </c>
      <c r="M134" s="72" t="n"/>
      <c r="N134" s="72" t="n"/>
      <c r="O134" s="89" t="n"/>
      <c r="P134" s="89" t="n"/>
      <c r="Q134" s="109" t="n"/>
      <c r="R134" s="120">
        <f>IF(B134="","",IF(Q134&lt;&gt;"",Q134,IF(P134="","",IFERROR(INDEX('Timeline'!$J$7:$J$1006,MATCH(P134,'Timeline'!$B$7:$B$1006,0)),""))))</f>
        <v/>
      </c>
      <c r="S134" s="126">
        <f>IF(R134="","",R134-IF(O134="",0,O134)-OrderBuf)</f>
        <v/>
      </c>
      <c r="T134" s="126">
        <f>IF(S134="","",S134-DecideBuf)</f>
        <v/>
      </c>
      <c r="U134" s="74" t="n"/>
      <c r="V134" s="109" t="n"/>
      <c r="W134" s="109" t="n"/>
      <c r="X134" s="74" t="n"/>
      <c r="Y134" s="116">
        <f>IF(B134="","",IF(X134="Yes","Delivered",IF(U134="Yes",IF(AND(W134&lt;&gt;"",R134&lt;&gt;""),IF(W134&gt;R134,"⚠️ Delivery after install date","Ordered"),"Ordered"),IF(K134="",IF(T134="","Waiting for decision",IF(T134&lt;=AsOf+AlertDays,"Decide now","Waiting for decision")),IF(S134="","Selected",IF(AsOf&gt;S134,"⚠️ Order late — install at risk",IF(S134&lt;=AsOf+AlertDays,"Order now","Selected")))))))</f>
        <v/>
      </c>
      <c r="Z134" s="79">
        <f>IF(B134="","",IF(OR(AH134=1,AE134=1),2,IF(OR(AG134=1,AF134=1),1,IF(OR(Y134="Ordered",Y134="Delivered"),0,""))))</f>
        <v/>
      </c>
      <c r="AA134" s="112">
        <f>IF(B134="","",IF(AH134=1,IF(Y134="⚠️ Delivery after install date",R134,S134),IF(AD134=1,T134,IF(AI134=1,S134,""))))</f>
        <v/>
      </c>
      <c r="AB134" s="79">
        <f>IF(AA134="","",IF(AH134=1,1,IF(AA134="","",IF(AA134&lt;AsOf,1,IF(AA134&lt;=AsOf+AlertDays,2,IF(AA134&lt;=AsOf+2*AlertDays,3,""))))))</f>
        <v/>
      </c>
      <c r="AC134" s="79">
        <f>IF(AB134="","",IF(AH134=1,IF(Y134="⚠️ Delivery after install date","Delivery after install date: "&amp;B134,"Order late — install at risk: "&amp;B134),IF(AD134=1,IF(AB134=1,"Decision overdue: ","Decide: ")&amp;B134,"Order: "&amp;B134&amp;IF(N134="",""," from "&amp;N134))))</f>
        <v/>
      </c>
      <c r="AD134" s="79">
        <f>IF(AND(B134&lt;&gt;"",K134="",U134&lt;&gt;"Yes",X134&lt;&gt;"Yes"),1,0)</f>
        <v/>
      </c>
      <c r="AE134" s="79">
        <f>IF(AND(AD134=1,T134&lt;&gt;""),IF(T134&lt;AsOf,1,0),0)</f>
        <v/>
      </c>
      <c r="AF134" s="79">
        <f>IF(AND(AD134=1,T134&lt;&gt;""),IF(AND(T134&gt;=AsOf,T134&lt;=AsOf+AlertDays),1,0),0)</f>
        <v/>
      </c>
      <c r="AG134" s="79">
        <f>IF(Y134="Order now",1,0)</f>
        <v/>
      </c>
      <c r="AH134" s="79">
        <f>IF(OR(Y134="⚠️ Order late — install at risk",Y134="⚠️ Delivery after install date"),1,0)</f>
        <v/>
      </c>
      <c r="AI134" s="79">
        <f>IF(AND(B134&lt;&gt;"",K134&lt;&gt;"",U134&lt;&gt;"Yes",X134&lt;&gt;"Yes"),1,0)</f>
        <v/>
      </c>
      <c r="AJ134" s="79">
        <f>IF(Y134="⚠️ Order late — install at risk",1,0)</f>
        <v/>
      </c>
    </row>
    <row r="135" ht="20" customHeight="1">
      <c r="B135" s="72" t="n"/>
      <c r="C135" s="72" t="n"/>
      <c r="D135" s="72" t="n"/>
      <c r="E135" s="72" t="n"/>
      <c r="F135" s="73" t="n"/>
      <c r="G135" s="72" t="n"/>
      <c r="H135" s="73" t="n"/>
      <c r="I135" s="72" t="n"/>
      <c r="J135" s="73" t="n"/>
      <c r="K135" s="74" t="n"/>
      <c r="L135" s="75">
        <f>IF(K135="A",F135,IF(K135="B",H135,IF(K135="C",J135,"")))</f>
        <v/>
      </c>
      <c r="M135" s="72" t="n"/>
      <c r="N135" s="72" t="n"/>
      <c r="O135" s="89" t="n"/>
      <c r="P135" s="89" t="n"/>
      <c r="Q135" s="109" t="n"/>
      <c r="R135" s="120">
        <f>IF(B135="","",IF(Q135&lt;&gt;"",Q135,IF(P135="","",IFERROR(INDEX('Timeline'!$J$7:$J$1006,MATCH(P135,'Timeline'!$B$7:$B$1006,0)),""))))</f>
        <v/>
      </c>
      <c r="S135" s="126">
        <f>IF(R135="","",R135-IF(O135="",0,O135)-OrderBuf)</f>
        <v/>
      </c>
      <c r="T135" s="126">
        <f>IF(S135="","",S135-DecideBuf)</f>
        <v/>
      </c>
      <c r="U135" s="74" t="n"/>
      <c r="V135" s="109" t="n"/>
      <c r="W135" s="109" t="n"/>
      <c r="X135" s="74" t="n"/>
      <c r="Y135" s="116">
        <f>IF(B135="","",IF(X135="Yes","Delivered",IF(U135="Yes",IF(AND(W135&lt;&gt;"",R135&lt;&gt;""),IF(W135&gt;R135,"⚠️ Delivery after install date","Ordered"),"Ordered"),IF(K135="",IF(T135="","Waiting for decision",IF(T135&lt;=AsOf+AlertDays,"Decide now","Waiting for decision")),IF(S135="","Selected",IF(AsOf&gt;S135,"⚠️ Order late — install at risk",IF(S135&lt;=AsOf+AlertDays,"Order now","Selected")))))))</f>
        <v/>
      </c>
      <c r="Z135" s="79">
        <f>IF(B135="","",IF(OR(AH135=1,AE135=1),2,IF(OR(AG135=1,AF135=1),1,IF(OR(Y135="Ordered",Y135="Delivered"),0,""))))</f>
        <v/>
      </c>
      <c r="AA135" s="112">
        <f>IF(B135="","",IF(AH135=1,IF(Y135="⚠️ Delivery after install date",R135,S135),IF(AD135=1,T135,IF(AI135=1,S135,""))))</f>
        <v/>
      </c>
      <c r="AB135" s="79">
        <f>IF(AA135="","",IF(AH135=1,1,IF(AA135="","",IF(AA135&lt;AsOf,1,IF(AA135&lt;=AsOf+AlertDays,2,IF(AA135&lt;=AsOf+2*AlertDays,3,""))))))</f>
        <v/>
      </c>
      <c r="AC135" s="79">
        <f>IF(AB135="","",IF(AH135=1,IF(Y135="⚠️ Delivery after install date","Delivery after install date: "&amp;B135,"Order late — install at risk: "&amp;B135),IF(AD135=1,IF(AB135=1,"Decision overdue: ","Decide: ")&amp;B135,"Order: "&amp;B135&amp;IF(N135="",""," from "&amp;N135))))</f>
        <v/>
      </c>
      <c r="AD135" s="79">
        <f>IF(AND(B135&lt;&gt;"",K135="",U135&lt;&gt;"Yes",X135&lt;&gt;"Yes"),1,0)</f>
        <v/>
      </c>
      <c r="AE135" s="79">
        <f>IF(AND(AD135=1,T135&lt;&gt;""),IF(T135&lt;AsOf,1,0),0)</f>
        <v/>
      </c>
      <c r="AF135" s="79">
        <f>IF(AND(AD135=1,T135&lt;&gt;""),IF(AND(T135&gt;=AsOf,T135&lt;=AsOf+AlertDays),1,0),0)</f>
        <v/>
      </c>
      <c r="AG135" s="79">
        <f>IF(Y135="Order now",1,0)</f>
        <v/>
      </c>
      <c r="AH135" s="79">
        <f>IF(OR(Y135="⚠️ Order late — install at risk",Y135="⚠️ Delivery after install date"),1,0)</f>
        <v/>
      </c>
      <c r="AI135" s="79">
        <f>IF(AND(B135&lt;&gt;"",K135&lt;&gt;"",U135&lt;&gt;"Yes",X135&lt;&gt;"Yes"),1,0)</f>
        <v/>
      </c>
      <c r="AJ135" s="79">
        <f>IF(Y135="⚠️ Order late — install at risk",1,0)</f>
        <v/>
      </c>
    </row>
    <row r="136" ht="20" customHeight="1">
      <c r="B136" s="72" t="n"/>
      <c r="C136" s="72" t="n"/>
      <c r="D136" s="72" t="n"/>
      <c r="E136" s="72" t="n"/>
      <c r="F136" s="73" t="n"/>
      <c r="G136" s="72" t="n"/>
      <c r="H136" s="73" t="n"/>
      <c r="I136" s="72" t="n"/>
      <c r="J136" s="73" t="n"/>
      <c r="K136" s="74" t="n"/>
      <c r="L136" s="75">
        <f>IF(K136="A",F136,IF(K136="B",H136,IF(K136="C",J136,"")))</f>
        <v/>
      </c>
      <c r="M136" s="72" t="n"/>
      <c r="N136" s="72" t="n"/>
      <c r="O136" s="89" t="n"/>
      <c r="P136" s="89" t="n"/>
      <c r="Q136" s="109" t="n"/>
      <c r="R136" s="120">
        <f>IF(B136="","",IF(Q136&lt;&gt;"",Q136,IF(P136="","",IFERROR(INDEX('Timeline'!$J$7:$J$1006,MATCH(P136,'Timeline'!$B$7:$B$1006,0)),""))))</f>
        <v/>
      </c>
      <c r="S136" s="126">
        <f>IF(R136="","",R136-IF(O136="",0,O136)-OrderBuf)</f>
        <v/>
      </c>
      <c r="T136" s="126">
        <f>IF(S136="","",S136-DecideBuf)</f>
        <v/>
      </c>
      <c r="U136" s="74" t="n"/>
      <c r="V136" s="109" t="n"/>
      <c r="W136" s="109" t="n"/>
      <c r="X136" s="74" t="n"/>
      <c r="Y136" s="116">
        <f>IF(B136="","",IF(X136="Yes","Delivered",IF(U136="Yes",IF(AND(W136&lt;&gt;"",R136&lt;&gt;""),IF(W136&gt;R136,"⚠️ Delivery after install date","Ordered"),"Ordered"),IF(K136="",IF(T136="","Waiting for decision",IF(T136&lt;=AsOf+AlertDays,"Decide now","Waiting for decision")),IF(S136="","Selected",IF(AsOf&gt;S136,"⚠️ Order late — install at risk",IF(S136&lt;=AsOf+AlertDays,"Order now","Selected")))))))</f>
        <v/>
      </c>
      <c r="Z136" s="79">
        <f>IF(B136="","",IF(OR(AH136=1,AE136=1),2,IF(OR(AG136=1,AF136=1),1,IF(OR(Y136="Ordered",Y136="Delivered"),0,""))))</f>
        <v/>
      </c>
      <c r="AA136" s="112">
        <f>IF(B136="","",IF(AH136=1,IF(Y136="⚠️ Delivery after install date",R136,S136),IF(AD136=1,T136,IF(AI136=1,S136,""))))</f>
        <v/>
      </c>
      <c r="AB136" s="79">
        <f>IF(AA136="","",IF(AH136=1,1,IF(AA136="","",IF(AA136&lt;AsOf,1,IF(AA136&lt;=AsOf+AlertDays,2,IF(AA136&lt;=AsOf+2*AlertDays,3,""))))))</f>
        <v/>
      </c>
      <c r="AC136" s="79">
        <f>IF(AB136="","",IF(AH136=1,IF(Y136="⚠️ Delivery after install date","Delivery after install date: "&amp;B136,"Order late — install at risk: "&amp;B136),IF(AD136=1,IF(AB136=1,"Decision overdue: ","Decide: ")&amp;B136,"Order: "&amp;B136&amp;IF(N136="",""," from "&amp;N136))))</f>
        <v/>
      </c>
      <c r="AD136" s="79">
        <f>IF(AND(B136&lt;&gt;"",K136="",U136&lt;&gt;"Yes",X136&lt;&gt;"Yes"),1,0)</f>
        <v/>
      </c>
      <c r="AE136" s="79">
        <f>IF(AND(AD136=1,T136&lt;&gt;""),IF(T136&lt;AsOf,1,0),0)</f>
        <v/>
      </c>
      <c r="AF136" s="79">
        <f>IF(AND(AD136=1,T136&lt;&gt;""),IF(AND(T136&gt;=AsOf,T136&lt;=AsOf+AlertDays),1,0),0)</f>
        <v/>
      </c>
      <c r="AG136" s="79">
        <f>IF(Y136="Order now",1,0)</f>
        <v/>
      </c>
      <c r="AH136" s="79">
        <f>IF(OR(Y136="⚠️ Order late — install at risk",Y136="⚠️ Delivery after install date"),1,0)</f>
        <v/>
      </c>
      <c r="AI136" s="79">
        <f>IF(AND(B136&lt;&gt;"",K136&lt;&gt;"",U136&lt;&gt;"Yes",X136&lt;&gt;"Yes"),1,0)</f>
        <v/>
      </c>
      <c r="AJ136" s="79">
        <f>IF(Y136="⚠️ Order late — install at risk",1,0)</f>
        <v/>
      </c>
    </row>
    <row r="137" ht="20" customHeight="1">
      <c r="B137" s="72" t="n"/>
      <c r="C137" s="72" t="n"/>
      <c r="D137" s="72" t="n"/>
      <c r="E137" s="72" t="n"/>
      <c r="F137" s="73" t="n"/>
      <c r="G137" s="72" t="n"/>
      <c r="H137" s="73" t="n"/>
      <c r="I137" s="72" t="n"/>
      <c r="J137" s="73" t="n"/>
      <c r="K137" s="74" t="n"/>
      <c r="L137" s="75">
        <f>IF(K137="A",F137,IF(K137="B",H137,IF(K137="C",J137,"")))</f>
        <v/>
      </c>
      <c r="M137" s="72" t="n"/>
      <c r="N137" s="72" t="n"/>
      <c r="O137" s="89" t="n"/>
      <c r="P137" s="89" t="n"/>
      <c r="Q137" s="109" t="n"/>
      <c r="R137" s="120">
        <f>IF(B137="","",IF(Q137&lt;&gt;"",Q137,IF(P137="","",IFERROR(INDEX('Timeline'!$J$7:$J$1006,MATCH(P137,'Timeline'!$B$7:$B$1006,0)),""))))</f>
        <v/>
      </c>
      <c r="S137" s="126">
        <f>IF(R137="","",R137-IF(O137="",0,O137)-OrderBuf)</f>
        <v/>
      </c>
      <c r="T137" s="126">
        <f>IF(S137="","",S137-DecideBuf)</f>
        <v/>
      </c>
      <c r="U137" s="74" t="n"/>
      <c r="V137" s="109" t="n"/>
      <c r="W137" s="109" t="n"/>
      <c r="X137" s="74" t="n"/>
      <c r="Y137" s="116">
        <f>IF(B137="","",IF(X137="Yes","Delivered",IF(U137="Yes",IF(AND(W137&lt;&gt;"",R137&lt;&gt;""),IF(W137&gt;R137,"⚠️ Delivery after install date","Ordered"),"Ordered"),IF(K137="",IF(T137="","Waiting for decision",IF(T137&lt;=AsOf+AlertDays,"Decide now","Waiting for decision")),IF(S137="","Selected",IF(AsOf&gt;S137,"⚠️ Order late — install at risk",IF(S137&lt;=AsOf+AlertDays,"Order now","Selected")))))))</f>
        <v/>
      </c>
      <c r="Z137" s="79">
        <f>IF(B137="","",IF(OR(AH137=1,AE137=1),2,IF(OR(AG137=1,AF137=1),1,IF(OR(Y137="Ordered",Y137="Delivered"),0,""))))</f>
        <v/>
      </c>
      <c r="AA137" s="112">
        <f>IF(B137="","",IF(AH137=1,IF(Y137="⚠️ Delivery after install date",R137,S137),IF(AD137=1,T137,IF(AI137=1,S137,""))))</f>
        <v/>
      </c>
      <c r="AB137" s="79">
        <f>IF(AA137="","",IF(AH137=1,1,IF(AA137="","",IF(AA137&lt;AsOf,1,IF(AA137&lt;=AsOf+AlertDays,2,IF(AA137&lt;=AsOf+2*AlertDays,3,""))))))</f>
        <v/>
      </c>
      <c r="AC137" s="79">
        <f>IF(AB137="","",IF(AH137=1,IF(Y137="⚠️ Delivery after install date","Delivery after install date: "&amp;B137,"Order late — install at risk: "&amp;B137),IF(AD137=1,IF(AB137=1,"Decision overdue: ","Decide: ")&amp;B137,"Order: "&amp;B137&amp;IF(N137="",""," from "&amp;N137))))</f>
        <v/>
      </c>
      <c r="AD137" s="79">
        <f>IF(AND(B137&lt;&gt;"",K137="",U137&lt;&gt;"Yes",X137&lt;&gt;"Yes"),1,0)</f>
        <v/>
      </c>
      <c r="AE137" s="79">
        <f>IF(AND(AD137=1,T137&lt;&gt;""),IF(T137&lt;AsOf,1,0),0)</f>
        <v/>
      </c>
      <c r="AF137" s="79">
        <f>IF(AND(AD137=1,T137&lt;&gt;""),IF(AND(T137&gt;=AsOf,T137&lt;=AsOf+AlertDays),1,0),0)</f>
        <v/>
      </c>
      <c r="AG137" s="79">
        <f>IF(Y137="Order now",1,0)</f>
        <v/>
      </c>
      <c r="AH137" s="79">
        <f>IF(OR(Y137="⚠️ Order late — install at risk",Y137="⚠️ Delivery after install date"),1,0)</f>
        <v/>
      </c>
      <c r="AI137" s="79">
        <f>IF(AND(B137&lt;&gt;"",K137&lt;&gt;"",U137&lt;&gt;"Yes",X137&lt;&gt;"Yes"),1,0)</f>
        <v/>
      </c>
      <c r="AJ137" s="79">
        <f>IF(Y137="⚠️ Order late — install at risk",1,0)</f>
        <v/>
      </c>
    </row>
    <row r="138" ht="20" customHeight="1">
      <c r="B138" s="72" t="n"/>
      <c r="C138" s="72" t="n"/>
      <c r="D138" s="72" t="n"/>
      <c r="E138" s="72" t="n"/>
      <c r="F138" s="73" t="n"/>
      <c r="G138" s="72" t="n"/>
      <c r="H138" s="73" t="n"/>
      <c r="I138" s="72" t="n"/>
      <c r="J138" s="73" t="n"/>
      <c r="K138" s="74" t="n"/>
      <c r="L138" s="75">
        <f>IF(K138="A",F138,IF(K138="B",H138,IF(K138="C",J138,"")))</f>
        <v/>
      </c>
      <c r="M138" s="72" t="n"/>
      <c r="N138" s="72" t="n"/>
      <c r="O138" s="89" t="n"/>
      <c r="P138" s="89" t="n"/>
      <c r="Q138" s="109" t="n"/>
      <c r="R138" s="120">
        <f>IF(B138="","",IF(Q138&lt;&gt;"",Q138,IF(P138="","",IFERROR(INDEX('Timeline'!$J$7:$J$1006,MATCH(P138,'Timeline'!$B$7:$B$1006,0)),""))))</f>
        <v/>
      </c>
      <c r="S138" s="126">
        <f>IF(R138="","",R138-IF(O138="",0,O138)-OrderBuf)</f>
        <v/>
      </c>
      <c r="T138" s="126">
        <f>IF(S138="","",S138-DecideBuf)</f>
        <v/>
      </c>
      <c r="U138" s="74" t="n"/>
      <c r="V138" s="109" t="n"/>
      <c r="W138" s="109" t="n"/>
      <c r="X138" s="74" t="n"/>
      <c r="Y138" s="116">
        <f>IF(B138="","",IF(X138="Yes","Delivered",IF(U138="Yes",IF(AND(W138&lt;&gt;"",R138&lt;&gt;""),IF(W138&gt;R138,"⚠️ Delivery after install date","Ordered"),"Ordered"),IF(K138="",IF(T138="","Waiting for decision",IF(T138&lt;=AsOf+AlertDays,"Decide now","Waiting for decision")),IF(S138="","Selected",IF(AsOf&gt;S138,"⚠️ Order late — install at risk",IF(S138&lt;=AsOf+AlertDays,"Order now","Selected")))))))</f>
        <v/>
      </c>
      <c r="Z138" s="79">
        <f>IF(B138="","",IF(OR(AH138=1,AE138=1),2,IF(OR(AG138=1,AF138=1),1,IF(OR(Y138="Ordered",Y138="Delivered"),0,""))))</f>
        <v/>
      </c>
      <c r="AA138" s="112">
        <f>IF(B138="","",IF(AH138=1,IF(Y138="⚠️ Delivery after install date",R138,S138),IF(AD138=1,T138,IF(AI138=1,S138,""))))</f>
        <v/>
      </c>
      <c r="AB138" s="79">
        <f>IF(AA138="","",IF(AH138=1,1,IF(AA138="","",IF(AA138&lt;AsOf,1,IF(AA138&lt;=AsOf+AlertDays,2,IF(AA138&lt;=AsOf+2*AlertDays,3,""))))))</f>
        <v/>
      </c>
      <c r="AC138" s="79">
        <f>IF(AB138="","",IF(AH138=1,IF(Y138="⚠️ Delivery after install date","Delivery after install date: "&amp;B138,"Order late — install at risk: "&amp;B138),IF(AD138=1,IF(AB138=1,"Decision overdue: ","Decide: ")&amp;B138,"Order: "&amp;B138&amp;IF(N138="",""," from "&amp;N138))))</f>
        <v/>
      </c>
      <c r="AD138" s="79">
        <f>IF(AND(B138&lt;&gt;"",K138="",U138&lt;&gt;"Yes",X138&lt;&gt;"Yes"),1,0)</f>
        <v/>
      </c>
      <c r="AE138" s="79">
        <f>IF(AND(AD138=1,T138&lt;&gt;""),IF(T138&lt;AsOf,1,0),0)</f>
        <v/>
      </c>
      <c r="AF138" s="79">
        <f>IF(AND(AD138=1,T138&lt;&gt;""),IF(AND(T138&gt;=AsOf,T138&lt;=AsOf+AlertDays),1,0),0)</f>
        <v/>
      </c>
      <c r="AG138" s="79">
        <f>IF(Y138="Order now",1,0)</f>
        <v/>
      </c>
      <c r="AH138" s="79">
        <f>IF(OR(Y138="⚠️ Order late — install at risk",Y138="⚠️ Delivery after install date"),1,0)</f>
        <v/>
      </c>
      <c r="AI138" s="79">
        <f>IF(AND(B138&lt;&gt;"",K138&lt;&gt;"",U138&lt;&gt;"Yes",X138&lt;&gt;"Yes"),1,0)</f>
        <v/>
      </c>
      <c r="AJ138" s="79">
        <f>IF(Y138="⚠️ Order late — install at risk",1,0)</f>
        <v/>
      </c>
    </row>
    <row r="139" ht="20" customHeight="1">
      <c r="B139" s="72" t="n"/>
      <c r="C139" s="72" t="n"/>
      <c r="D139" s="72" t="n"/>
      <c r="E139" s="72" t="n"/>
      <c r="F139" s="73" t="n"/>
      <c r="G139" s="72" t="n"/>
      <c r="H139" s="73" t="n"/>
      <c r="I139" s="72" t="n"/>
      <c r="J139" s="73" t="n"/>
      <c r="K139" s="74" t="n"/>
      <c r="L139" s="75">
        <f>IF(K139="A",F139,IF(K139="B",H139,IF(K139="C",J139,"")))</f>
        <v/>
      </c>
      <c r="M139" s="72" t="n"/>
      <c r="N139" s="72" t="n"/>
      <c r="O139" s="89" t="n"/>
      <c r="P139" s="89" t="n"/>
      <c r="Q139" s="109" t="n"/>
      <c r="R139" s="120">
        <f>IF(B139="","",IF(Q139&lt;&gt;"",Q139,IF(P139="","",IFERROR(INDEX('Timeline'!$J$7:$J$1006,MATCH(P139,'Timeline'!$B$7:$B$1006,0)),""))))</f>
        <v/>
      </c>
      <c r="S139" s="126">
        <f>IF(R139="","",R139-IF(O139="",0,O139)-OrderBuf)</f>
        <v/>
      </c>
      <c r="T139" s="126">
        <f>IF(S139="","",S139-DecideBuf)</f>
        <v/>
      </c>
      <c r="U139" s="74" t="n"/>
      <c r="V139" s="109" t="n"/>
      <c r="W139" s="109" t="n"/>
      <c r="X139" s="74" t="n"/>
      <c r="Y139" s="116">
        <f>IF(B139="","",IF(X139="Yes","Delivered",IF(U139="Yes",IF(AND(W139&lt;&gt;"",R139&lt;&gt;""),IF(W139&gt;R139,"⚠️ Delivery after install date","Ordered"),"Ordered"),IF(K139="",IF(T139="","Waiting for decision",IF(T139&lt;=AsOf+AlertDays,"Decide now","Waiting for decision")),IF(S139="","Selected",IF(AsOf&gt;S139,"⚠️ Order late — install at risk",IF(S139&lt;=AsOf+AlertDays,"Order now","Selected")))))))</f>
        <v/>
      </c>
      <c r="Z139" s="79">
        <f>IF(B139="","",IF(OR(AH139=1,AE139=1),2,IF(OR(AG139=1,AF139=1),1,IF(OR(Y139="Ordered",Y139="Delivered"),0,""))))</f>
        <v/>
      </c>
      <c r="AA139" s="112">
        <f>IF(B139="","",IF(AH139=1,IF(Y139="⚠️ Delivery after install date",R139,S139),IF(AD139=1,T139,IF(AI139=1,S139,""))))</f>
        <v/>
      </c>
      <c r="AB139" s="79">
        <f>IF(AA139="","",IF(AH139=1,1,IF(AA139="","",IF(AA139&lt;AsOf,1,IF(AA139&lt;=AsOf+AlertDays,2,IF(AA139&lt;=AsOf+2*AlertDays,3,""))))))</f>
        <v/>
      </c>
      <c r="AC139" s="79">
        <f>IF(AB139="","",IF(AH139=1,IF(Y139="⚠️ Delivery after install date","Delivery after install date: "&amp;B139,"Order late — install at risk: "&amp;B139),IF(AD139=1,IF(AB139=1,"Decision overdue: ","Decide: ")&amp;B139,"Order: "&amp;B139&amp;IF(N139="",""," from "&amp;N139))))</f>
        <v/>
      </c>
      <c r="AD139" s="79">
        <f>IF(AND(B139&lt;&gt;"",K139="",U139&lt;&gt;"Yes",X139&lt;&gt;"Yes"),1,0)</f>
        <v/>
      </c>
      <c r="AE139" s="79">
        <f>IF(AND(AD139=1,T139&lt;&gt;""),IF(T139&lt;AsOf,1,0),0)</f>
        <v/>
      </c>
      <c r="AF139" s="79">
        <f>IF(AND(AD139=1,T139&lt;&gt;""),IF(AND(T139&gt;=AsOf,T139&lt;=AsOf+AlertDays),1,0),0)</f>
        <v/>
      </c>
      <c r="AG139" s="79">
        <f>IF(Y139="Order now",1,0)</f>
        <v/>
      </c>
      <c r="AH139" s="79">
        <f>IF(OR(Y139="⚠️ Order late — install at risk",Y139="⚠️ Delivery after install date"),1,0)</f>
        <v/>
      </c>
      <c r="AI139" s="79">
        <f>IF(AND(B139&lt;&gt;"",K139&lt;&gt;"",U139&lt;&gt;"Yes",X139&lt;&gt;"Yes"),1,0)</f>
        <v/>
      </c>
      <c r="AJ139" s="79">
        <f>IF(Y139="⚠️ Order late — install at risk",1,0)</f>
        <v/>
      </c>
    </row>
    <row r="140" ht="20" customHeight="1">
      <c r="B140" s="72" t="n"/>
      <c r="C140" s="72" t="n"/>
      <c r="D140" s="72" t="n"/>
      <c r="E140" s="72" t="n"/>
      <c r="F140" s="73" t="n"/>
      <c r="G140" s="72" t="n"/>
      <c r="H140" s="73" t="n"/>
      <c r="I140" s="72" t="n"/>
      <c r="J140" s="73" t="n"/>
      <c r="K140" s="74" t="n"/>
      <c r="L140" s="75">
        <f>IF(K140="A",F140,IF(K140="B",H140,IF(K140="C",J140,"")))</f>
        <v/>
      </c>
      <c r="M140" s="72" t="n"/>
      <c r="N140" s="72" t="n"/>
      <c r="O140" s="89" t="n"/>
      <c r="P140" s="89" t="n"/>
      <c r="Q140" s="109" t="n"/>
      <c r="R140" s="120">
        <f>IF(B140="","",IF(Q140&lt;&gt;"",Q140,IF(P140="","",IFERROR(INDEX('Timeline'!$J$7:$J$1006,MATCH(P140,'Timeline'!$B$7:$B$1006,0)),""))))</f>
        <v/>
      </c>
      <c r="S140" s="126">
        <f>IF(R140="","",R140-IF(O140="",0,O140)-OrderBuf)</f>
        <v/>
      </c>
      <c r="T140" s="126">
        <f>IF(S140="","",S140-DecideBuf)</f>
        <v/>
      </c>
      <c r="U140" s="74" t="n"/>
      <c r="V140" s="109" t="n"/>
      <c r="W140" s="109" t="n"/>
      <c r="X140" s="74" t="n"/>
      <c r="Y140" s="116">
        <f>IF(B140="","",IF(X140="Yes","Delivered",IF(U140="Yes",IF(AND(W140&lt;&gt;"",R140&lt;&gt;""),IF(W140&gt;R140,"⚠️ Delivery after install date","Ordered"),"Ordered"),IF(K140="",IF(T140="","Waiting for decision",IF(T140&lt;=AsOf+AlertDays,"Decide now","Waiting for decision")),IF(S140="","Selected",IF(AsOf&gt;S140,"⚠️ Order late — install at risk",IF(S140&lt;=AsOf+AlertDays,"Order now","Selected")))))))</f>
        <v/>
      </c>
      <c r="Z140" s="79">
        <f>IF(B140="","",IF(OR(AH140=1,AE140=1),2,IF(OR(AG140=1,AF140=1),1,IF(OR(Y140="Ordered",Y140="Delivered"),0,""))))</f>
        <v/>
      </c>
      <c r="AA140" s="112">
        <f>IF(B140="","",IF(AH140=1,IF(Y140="⚠️ Delivery after install date",R140,S140),IF(AD140=1,T140,IF(AI140=1,S140,""))))</f>
        <v/>
      </c>
      <c r="AB140" s="79">
        <f>IF(AA140="","",IF(AH140=1,1,IF(AA140="","",IF(AA140&lt;AsOf,1,IF(AA140&lt;=AsOf+AlertDays,2,IF(AA140&lt;=AsOf+2*AlertDays,3,""))))))</f>
        <v/>
      </c>
      <c r="AC140" s="79">
        <f>IF(AB140="","",IF(AH140=1,IF(Y140="⚠️ Delivery after install date","Delivery after install date: "&amp;B140,"Order late — install at risk: "&amp;B140),IF(AD140=1,IF(AB140=1,"Decision overdue: ","Decide: ")&amp;B140,"Order: "&amp;B140&amp;IF(N140="",""," from "&amp;N140))))</f>
        <v/>
      </c>
      <c r="AD140" s="79">
        <f>IF(AND(B140&lt;&gt;"",K140="",U140&lt;&gt;"Yes",X140&lt;&gt;"Yes"),1,0)</f>
        <v/>
      </c>
      <c r="AE140" s="79">
        <f>IF(AND(AD140=1,T140&lt;&gt;""),IF(T140&lt;AsOf,1,0),0)</f>
        <v/>
      </c>
      <c r="AF140" s="79">
        <f>IF(AND(AD140=1,T140&lt;&gt;""),IF(AND(T140&gt;=AsOf,T140&lt;=AsOf+AlertDays),1,0),0)</f>
        <v/>
      </c>
      <c r="AG140" s="79">
        <f>IF(Y140="Order now",1,0)</f>
        <v/>
      </c>
      <c r="AH140" s="79">
        <f>IF(OR(Y140="⚠️ Order late — install at risk",Y140="⚠️ Delivery after install date"),1,0)</f>
        <v/>
      </c>
      <c r="AI140" s="79">
        <f>IF(AND(B140&lt;&gt;"",K140&lt;&gt;"",U140&lt;&gt;"Yes",X140&lt;&gt;"Yes"),1,0)</f>
        <v/>
      </c>
      <c r="AJ140" s="79">
        <f>IF(Y140="⚠️ Order late — install at risk",1,0)</f>
        <v/>
      </c>
    </row>
    <row r="141" ht="20" customHeight="1">
      <c r="B141" s="72" t="n"/>
      <c r="C141" s="72" t="n"/>
      <c r="D141" s="72" t="n"/>
      <c r="E141" s="72" t="n"/>
      <c r="F141" s="73" t="n"/>
      <c r="G141" s="72" t="n"/>
      <c r="H141" s="73" t="n"/>
      <c r="I141" s="72" t="n"/>
      <c r="J141" s="73" t="n"/>
      <c r="K141" s="74" t="n"/>
      <c r="L141" s="75">
        <f>IF(K141="A",F141,IF(K141="B",H141,IF(K141="C",J141,"")))</f>
        <v/>
      </c>
      <c r="M141" s="72" t="n"/>
      <c r="N141" s="72" t="n"/>
      <c r="O141" s="89" t="n"/>
      <c r="P141" s="89" t="n"/>
      <c r="Q141" s="109" t="n"/>
      <c r="R141" s="120">
        <f>IF(B141="","",IF(Q141&lt;&gt;"",Q141,IF(P141="","",IFERROR(INDEX('Timeline'!$J$7:$J$1006,MATCH(P141,'Timeline'!$B$7:$B$1006,0)),""))))</f>
        <v/>
      </c>
      <c r="S141" s="126">
        <f>IF(R141="","",R141-IF(O141="",0,O141)-OrderBuf)</f>
        <v/>
      </c>
      <c r="T141" s="126">
        <f>IF(S141="","",S141-DecideBuf)</f>
        <v/>
      </c>
      <c r="U141" s="74" t="n"/>
      <c r="V141" s="109" t="n"/>
      <c r="W141" s="109" t="n"/>
      <c r="X141" s="74" t="n"/>
      <c r="Y141" s="116">
        <f>IF(B141="","",IF(X141="Yes","Delivered",IF(U141="Yes",IF(AND(W141&lt;&gt;"",R141&lt;&gt;""),IF(W141&gt;R141,"⚠️ Delivery after install date","Ordered"),"Ordered"),IF(K141="",IF(T141="","Waiting for decision",IF(T141&lt;=AsOf+AlertDays,"Decide now","Waiting for decision")),IF(S141="","Selected",IF(AsOf&gt;S141,"⚠️ Order late — install at risk",IF(S141&lt;=AsOf+AlertDays,"Order now","Selected")))))))</f>
        <v/>
      </c>
      <c r="Z141" s="79">
        <f>IF(B141="","",IF(OR(AH141=1,AE141=1),2,IF(OR(AG141=1,AF141=1),1,IF(OR(Y141="Ordered",Y141="Delivered"),0,""))))</f>
        <v/>
      </c>
      <c r="AA141" s="112">
        <f>IF(B141="","",IF(AH141=1,IF(Y141="⚠️ Delivery after install date",R141,S141),IF(AD141=1,T141,IF(AI141=1,S141,""))))</f>
        <v/>
      </c>
      <c r="AB141" s="79">
        <f>IF(AA141="","",IF(AH141=1,1,IF(AA141="","",IF(AA141&lt;AsOf,1,IF(AA141&lt;=AsOf+AlertDays,2,IF(AA141&lt;=AsOf+2*AlertDays,3,""))))))</f>
        <v/>
      </c>
      <c r="AC141" s="79">
        <f>IF(AB141="","",IF(AH141=1,IF(Y141="⚠️ Delivery after install date","Delivery after install date: "&amp;B141,"Order late — install at risk: "&amp;B141),IF(AD141=1,IF(AB141=1,"Decision overdue: ","Decide: ")&amp;B141,"Order: "&amp;B141&amp;IF(N141="",""," from "&amp;N141))))</f>
        <v/>
      </c>
      <c r="AD141" s="79">
        <f>IF(AND(B141&lt;&gt;"",K141="",U141&lt;&gt;"Yes",X141&lt;&gt;"Yes"),1,0)</f>
        <v/>
      </c>
      <c r="AE141" s="79">
        <f>IF(AND(AD141=1,T141&lt;&gt;""),IF(T141&lt;AsOf,1,0),0)</f>
        <v/>
      </c>
      <c r="AF141" s="79">
        <f>IF(AND(AD141=1,T141&lt;&gt;""),IF(AND(T141&gt;=AsOf,T141&lt;=AsOf+AlertDays),1,0),0)</f>
        <v/>
      </c>
      <c r="AG141" s="79">
        <f>IF(Y141="Order now",1,0)</f>
        <v/>
      </c>
      <c r="AH141" s="79">
        <f>IF(OR(Y141="⚠️ Order late — install at risk",Y141="⚠️ Delivery after install date"),1,0)</f>
        <v/>
      </c>
      <c r="AI141" s="79">
        <f>IF(AND(B141&lt;&gt;"",K141&lt;&gt;"",U141&lt;&gt;"Yes",X141&lt;&gt;"Yes"),1,0)</f>
        <v/>
      </c>
      <c r="AJ141" s="79">
        <f>IF(Y141="⚠️ Order late — install at risk",1,0)</f>
        <v/>
      </c>
    </row>
    <row r="142" ht="20" customHeight="1">
      <c r="B142" s="72" t="n"/>
      <c r="C142" s="72" t="n"/>
      <c r="D142" s="72" t="n"/>
      <c r="E142" s="72" t="n"/>
      <c r="F142" s="73" t="n"/>
      <c r="G142" s="72" t="n"/>
      <c r="H142" s="73" t="n"/>
      <c r="I142" s="72" t="n"/>
      <c r="J142" s="73" t="n"/>
      <c r="K142" s="74" t="n"/>
      <c r="L142" s="75">
        <f>IF(K142="A",F142,IF(K142="B",H142,IF(K142="C",J142,"")))</f>
        <v/>
      </c>
      <c r="M142" s="72" t="n"/>
      <c r="N142" s="72" t="n"/>
      <c r="O142" s="89" t="n"/>
      <c r="P142" s="89" t="n"/>
      <c r="Q142" s="109" t="n"/>
      <c r="R142" s="120">
        <f>IF(B142="","",IF(Q142&lt;&gt;"",Q142,IF(P142="","",IFERROR(INDEX('Timeline'!$J$7:$J$1006,MATCH(P142,'Timeline'!$B$7:$B$1006,0)),""))))</f>
        <v/>
      </c>
      <c r="S142" s="126">
        <f>IF(R142="","",R142-IF(O142="",0,O142)-OrderBuf)</f>
        <v/>
      </c>
      <c r="T142" s="126">
        <f>IF(S142="","",S142-DecideBuf)</f>
        <v/>
      </c>
      <c r="U142" s="74" t="n"/>
      <c r="V142" s="109" t="n"/>
      <c r="W142" s="109" t="n"/>
      <c r="X142" s="74" t="n"/>
      <c r="Y142" s="116">
        <f>IF(B142="","",IF(X142="Yes","Delivered",IF(U142="Yes",IF(AND(W142&lt;&gt;"",R142&lt;&gt;""),IF(W142&gt;R142,"⚠️ Delivery after install date","Ordered"),"Ordered"),IF(K142="",IF(T142="","Waiting for decision",IF(T142&lt;=AsOf+AlertDays,"Decide now","Waiting for decision")),IF(S142="","Selected",IF(AsOf&gt;S142,"⚠️ Order late — install at risk",IF(S142&lt;=AsOf+AlertDays,"Order now","Selected")))))))</f>
        <v/>
      </c>
      <c r="Z142" s="79">
        <f>IF(B142="","",IF(OR(AH142=1,AE142=1),2,IF(OR(AG142=1,AF142=1),1,IF(OR(Y142="Ordered",Y142="Delivered"),0,""))))</f>
        <v/>
      </c>
      <c r="AA142" s="112">
        <f>IF(B142="","",IF(AH142=1,IF(Y142="⚠️ Delivery after install date",R142,S142),IF(AD142=1,T142,IF(AI142=1,S142,""))))</f>
        <v/>
      </c>
      <c r="AB142" s="79">
        <f>IF(AA142="","",IF(AH142=1,1,IF(AA142="","",IF(AA142&lt;AsOf,1,IF(AA142&lt;=AsOf+AlertDays,2,IF(AA142&lt;=AsOf+2*AlertDays,3,""))))))</f>
        <v/>
      </c>
      <c r="AC142" s="79">
        <f>IF(AB142="","",IF(AH142=1,IF(Y142="⚠️ Delivery after install date","Delivery after install date: "&amp;B142,"Order late — install at risk: "&amp;B142),IF(AD142=1,IF(AB142=1,"Decision overdue: ","Decide: ")&amp;B142,"Order: "&amp;B142&amp;IF(N142="",""," from "&amp;N142))))</f>
        <v/>
      </c>
      <c r="AD142" s="79">
        <f>IF(AND(B142&lt;&gt;"",K142="",U142&lt;&gt;"Yes",X142&lt;&gt;"Yes"),1,0)</f>
        <v/>
      </c>
      <c r="AE142" s="79">
        <f>IF(AND(AD142=1,T142&lt;&gt;""),IF(T142&lt;AsOf,1,0),0)</f>
        <v/>
      </c>
      <c r="AF142" s="79">
        <f>IF(AND(AD142=1,T142&lt;&gt;""),IF(AND(T142&gt;=AsOf,T142&lt;=AsOf+AlertDays),1,0),0)</f>
        <v/>
      </c>
      <c r="AG142" s="79">
        <f>IF(Y142="Order now",1,0)</f>
        <v/>
      </c>
      <c r="AH142" s="79">
        <f>IF(OR(Y142="⚠️ Order late — install at risk",Y142="⚠️ Delivery after install date"),1,0)</f>
        <v/>
      </c>
      <c r="AI142" s="79">
        <f>IF(AND(B142&lt;&gt;"",K142&lt;&gt;"",U142&lt;&gt;"Yes",X142&lt;&gt;"Yes"),1,0)</f>
        <v/>
      </c>
      <c r="AJ142" s="79">
        <f>IF(Y142="⚠️ Order late — install at risk",1,0)</f>
        <v/>
      </c>
    </row>
    <row r="143" ht="20" customHeight="1">
      <c r="B143" s="72" t="n"/>
      <c r="C143" s="72" t="n"/>
      <c r="D143" s="72" t="n"/>
      <c r="E143" s="72" t="n"/>
      <c r="F143" s="73" t="n"/>
      <c r="G143" s="72" t="n"/>
      <c r="H143" s="73" t="n"/>
      <c r="I143" s="72" t="n"/>
      <c r="J143" s="73" t="n"/>
      <c r="K143" s="74" t="n"/>
      <c r="L143" s="75">
        <f>IF(K143="A",F143,IF(K143="B",H143,IF(K143="C",J143,"")))</f>
        <v/>
      </c>
      <c r="M143" s="72" t="n"/>
      <c r="N143" s="72" t="n"/>
      <c r="O143" s="89" t="n"/>
      <c r="P143" s="89" t="n"/>
      <c r="Q143" s="109" t="n"/>
      <c r="R143" s="120">
        <f>IF(B143="","",IF(Q143&lt;&gt;"",Q143,IF(P143="","",IFERROR(INDEX('Timeline'!$J$7:$J$1006,MATCH(P143,'Timeline'!$B$7:$B$1006,0)),""))))</f>
        <v/>
      </c>
      <c r="S143" s="126">
        <f>IF(R143="","",R143-IF(O143="",0,O143)-OrderBuf)</f>
        <v/>
      </c>
      <c r="T143" s="126">
        <f>IF(S143="","",S143-DecideBuf)</f>
        <v/>
      </c>
      <c r="U143" s="74" t="n"/>
      <c r="V143" s="109" t="n"/>
      <c r="W143" s="109" t="n"/>
      <c r="X143" s="74" t="n"/>
      <c r="Y143" s="116">
        <f>IF(B143="","",IF(X143="Yes","Delivered",IF(U143="Yes",IF(AND(W143&lt;&gt;"",R143&lt;&gt;""),IF(W143&gt;R143,"⚠️ Delivery after install date","Ordered"),"Ordered"),IF(K143="",IF(T143="","Waiting for decision",IF(T143&lt;=AsOf+AlertDays,"Decide now","Waiting for decision")),IF(S143="","Selected",IF(AsOf&gt;S143,"⚠️ Order late — install at risk",IF(S143&lt;=AsOf+AlertDays,"Order now","Selected")))))))</f>
        <v/>
      </c>
      <c r="Z143" s="79">
        <f>IF(B143="","",IF(OR(AH143=1,AE143=1),2,IF(OR(AG143=1,AF143=1),1,IF(OR(Y143="Ordered",Y143="Delivered"),0,""))))</f>
        <v/>
      </c>
      <c r="AA143" s="112">
        <f>IF(B143="","",IF(AH143=1,IF(Y143="⚠️ Delivery after install date",R143,S143),IF(AD143=1,T143,IF(AI143=1,S143,""))))</f>
        <v/>
      </c>
      <c r="AB143" s="79">
        <f>IF(AA143="","",IF(AH143=1,1,IF(AA143="","",IF(AA143&lt;AsOf,1,IF(AA143&lt;=AsOf+AlertDays,2,IF(AA143&lt;=AsOf+2*AlertDays,3,""))))))</f>
        <v/>
      </c>
      <c r="AC143" s="79">
        <f>IF(AB143="","",IF(AH143=1,IF(Y143="⚠️ Delivery after install date","Delivery after install date: "&amp;B143,"Order late — install at risk: "&amp;B143),IF(AD143=1,IF(AB143=1,"Decision overdue: ","Decide: ")&amp;B143,"Order: "&amp;B143&amp;IF(N143="",""," from "&amp;N143))))</f>
        <v/>
      </c>
      <c r="AD143" s="79">
        <f>IF(AND(B143&lt;&gt;"",K143="",U143&lt;&gt;"Yes",X143&lt;&gt;"Yes"),1,0)</f>
        <v/>
      </c>
      <c r="AE143" s="79">
        <f>IF(AND(AD143=1,T143&lt;&gt;""),IF(T143&lt;AsOf,1,0),0)</f>
        <v/>
      </c>
      <c r="AF143" s="79">
        <f>IF(AND(AD143=1,T143&lt;&gt;""),IF(AND(T143&gt;=AsOf,T143&lt;=AsOf+AlertDays),1,0),0)</f>
        <v/>
      </c>
      <c r="AG143" s="79">
        <f>IF(Y143="Order now",1,0)</f>
        <v/>
      </c>
      <c r="AH143" s="79">
        <f>IF(OR(Y143="⚠️ Order late — install at risk",Y143="⚠️ Delivery after install date"),1,0)</f>
        <v/>
      </c>
      <c r="AI143" s="79">
        <f>IF(AND(B143&lt;&gt;"",K143&lt;&gt;"",U143&lt;&gt;"Yes",X143&lt;&gt;"Yes"),1,0)</f>
        <v/>
      </c>
      <c r="AJ143" s="79">
        <f>IF(Y143="⚠️ Order late — install at risk",1,0)</f>
        <v/>
      </c>
    </row>
    <row r="144" ht="20" customHeight="1">
      <c r="B144" s="72" t="n"/>
      <c r="C144" s="72" t="n"/>
      <c r="D144" s="72" t="n"/>
      <c r="E144" s="72" t="n"/>
      <c r="F144" s="73" t="n"/>
      <c r="G144" s="72" t="n"/>
      <c r="H144" s="73" t="n"/>
      <c r="I144" s="72" t="n"/>
      <c r="J144" s="73" t="n"/>
      <c r="K144" s="74" t="n"/>
      <c r="L144" s="75">
        <f>IF(K144="A",F144,IF(K144="B",H144,IF(K144="C",J144,"")))</f>
        <v/>
      </c>
      <c r="M144" s="72" t="n"/>
      <c r="N144" s="72" t="n"/>
      <c r="O144" s="89" t="n"/>
      <c r="P144" s="89" t="n"/>
      <c r="Q144" s="109" t="n"/>
      <c r="R144" s="120">
        <f>IF(B144="","",IF(Q144&lt;&gt;"",Q144,IF(P144="","",IFERROR(INDEX('Timeline'!$J$7:$J$1006,MATCH(P144,'Timeline'!$B$7:$B$1006,0)),""))))</f>
        <v/>
      </c>
      <c r="S144" s="126">
        <f>IF(R144="","",R144-IF(O144="",0,O144)-OrderBuf)</f>
        <v/>
      </c>
      <c r="T144" s="126">
        <f>IF(S144="","",S144-DecideBuf)</f>
        <v/>
      </c>
      <c r="U144" s="74" t="n"/>
      <c r="V144" s="109" t="n"/>
      <c r="W144" s="109" t="n"/>
      <c r="X144" s="74" t="n"/>
      <c r="Y144" s="116">
        <f>IF(B144="","",IF(X144="Yes","Delivered",IF(U144="Yes",IF(AND(W144&lt;&gt;"",R144&lt;&gt;""),IF(W144&gt;R144,"⚠️ Delivery after install date","Ordered"),"Ordered"),IF(K144="",IF(T144="","Waiting for decision",IF(T144&lt;=AsOf+AlertDays,"Decide now","Waiting for decision")),IF(S144="","Selected",IF(AsOf&gt;S144,"⚠️ Order late — install at risk",IF(S144&lt;=AsOf+AlertDays,"Order now","Selected")))))))</f>
        <v/>
      </c>
      <c r="Z144" s="79">
        <f>IF(B144="","",IF(OR(AH144=1,AE144=1),2,IF(OR(AG144=1,AF144=1),1,IF(OR(Y144="Ordered",Y144="Delivered"),0,""))))</f>
        <v/>
      </c>
      <c r="AA144" s="112">
        <f>IF(B144="","",IF(AH144=1,IF(Y144="⚠️ Delivery after install date",R144,S144),IF(AD144=1,T144,IF(AI144=1,S144,""))))</f>
        <v/>
      </c>
      <c r="AB144" s="79">
        <f>IF(AA144="","",IF(AH144=1,1,IF(AA144="","",IF(AA144&lt;AsOf,1,IF(AA144&lt;=AsOf+AlertDays,2,IF(AA144&lt;=AsOf+2*AlertDays,3,""))))))</f>
        <v/>
      </c>
      <c r="AC144" s="79">
        <f>IF(AB144="","",IF(AH144=1,IF(Y144="⚠️ Delivery after install date","Delivery after install date: "&amp;B144,"Order late — install at risk: "&amp;B144),IF(AD144=1,IF(AB144=1,"Decision overdue: ","Decide: ")&amp;B144,"Order: "&amp;B144&amp;IF(N144="",""," from "&amp;N144))))</f>
        <v/>
      </c>
      <c r="AD144" s="79">
        <f>IF(AND(B144&lt;&gt;"",K144="",U144&lt;&gt;"Yes",X144&lt;&gt;"Yes"),1,0)</f>
        <v/>
      </c>
      <c r="AE144" s="79">
        <f>IF(AND(AD144=1,T144&lt;&gt;""),IF(T144&lt;AsOf,1,0),0)</f>
        <v/>
      </c>
      <c r="AF144" s="79">
        <f>IF(AND(AD144=1,T144&lt;&gt;""),IF(AND(T144&gt;=AsOf,T144&lt;=AsOf+AlertDays),1,0),0)</f>
        <v/>
      </c>
      <c r="AG144" s="79">
        <f>IF(Y144="Order now",1,0)</f>
        <v/>
      </c>
      <c r="AH144" s="79">
        <f>IF(OR(Y144="⚠️ Order late — install at risk",Y144="⚠️ Delivery after install date"),1,0)</f>
        <v/>
      </c>
      <c r="AI144" s="79">
        <f>IF(AND(B144&lt;&gt;"",K144&lt;&gt;"",U144&lt;&gt;"Yes",X144&lt;&gt;"Yes"),1,0)</f>
        <v/>
      </c>
      <c r="AJ144" s="79">
        <f>IF(Y144="⚠️ Order late — install at risk",1,0)</f>
        <v/>
      </c>
    </row>
    <row r="145" ht="20" customHeight="1">
      <c r="B145" s="72" t="n"/>
      <c r="C145" s="72" t="n"/>
      <c r="D145" s="72" t="n"/>
      <c r="E145" s="72" t="n"/>
      <c r="F145" s="73" t="n"/>
      <c r="G145" s="72" t="n"/>
      <c r="H145" s="73" t="n"/>
      <c r="I145" s="72" t="n"/>
      <c r="J145" s="73" t="n"/>
      <c r="K145" s="74" t="n"/>
      <c r="L145" s="75">
        <f>IF(K145="A",F145,IF(K145="B",H145,IF(K145="C",J145,"")))</f>
        <v/>
      </c>
      <c r="M145" s="72" t="n"/>
      <c r="N145" s="72" t="n"/>
      <c r="O145" s="89" t="n"/>
      <c r="P145" s="89" t="n"/>
      <c r="Q145" s="109" t="n"/>
      <c r="R145" s="120">
        <f>IF(B145="","",IF(Q145&lt;&gt;"",Q145,IF(P145="","",IFERROR(INDEX('Timeline'!$J$7:$J$1006,MATCH(P145,'Timeline'!$B$7:$B$1006,0)),""))))</f>
        <v/>
      </c>
      <c r="S145" s="126">
        <f>IF(R145="","",R145-IF(O145="",0,O145)-OrderBuf)</f>
        <v/>
      </c>
      <c r="T145" s="126">
        <f>IF(S145="","",S145-DecideBuf)</f>
        <v/>
      </c>
      <c r="U145" s="74" t="n"/>
      <c r="V145" s="109" t="n"/>
      <c r="W145" s="109" t="n"/>
      <c r="X145" s="74" t="n"/>
      <c r="Y145" s="116">
        <f>IF(B145="","",IF(X145="Yes","Delivered",IF(U145="Yes",IF(AND(W145&lt;&gt;"",R145&lt;&gt;""),IF(W145&gt;R145,"⚠️ Delivery after install date","Ordered"),"Ordered"),IF(K145="",IF(T145="","Waiting for decision",IF(T145&lt;=AsOf+AlertDays,"Decide now","Waiting for decision")),IF(S145="","Selected",IF(AsOf&gt;S145,"⚠️ Order late — install at risk",IF(S145&lt;=AsOf+AlertDays,"Order now","Selected")))))))</f>
        <v/>
      </c>
      <c r="Z145" s="79">
        <f>IF(B145="","",IF(OR(AH145=1,AE145=1),2,IF(OR(AG145=1,AF145=1),1,IF(OR(Y145="Ordered",Y145="Delivered"),0,""))))</f>
        <v/>
      </c>
      <c r="AA145" s="112">
        <f>IF(B145="","",IF(AH145=1,IF(Y145="⚠️ Delivery after install date",R145,S145),IF(AD145=1,T145,IF(AI145=1,S145,""))))</f>
        <v/>
      </c>
      <c r="AB145" s="79">
        <f>IF(AA145="","",IF(AH145=1,1,IF(AA145="","",IF(AA145&lt;AsOf,1,IF(AA145&lt;=AsOf+AlertDays,2,IF(AA145&lt;=AsOf+2*AlertDays,3,""))))))</f>
        <v/>
      </c>
      <c r="AC145" s="79">
        <f>IF(AB145="","",IF(AH145=1,IF(Y145="⚠️ Delivery after install date","Delivery after install date: "&amp;B145,"Order late — install at risk: "&amp;B145),IF(AD145=1,IF(AB145=1,"Decision overdue: ","Decide: ")&amp;B145,"Order: "&amp;B145&amp;IF(N145="",""," from "&amp;N145))))</f>
        <v/>
      </c>
      <c r="AD145" s="79">
        <f>IF(AND(B145&lt;&gt;"",K145="",U145&lt;&gt;"Yes",X145&lt;&gt;"Yes"),1,0)</f>
        <v/>
      </c>
      <c r="AE145" s="79">
        <f>IF(AND(AD145=1,T145&lt;&gt;""),IF(T145&lt;AsOf,1,0),0)</f>
        <v/>
      </c>
      <c r="AF145" s="79">
        <f>IF(AND(AD145=1,T145&lt;&gt;""),IF(AND(T145&gt;=AsOf,T145&lt;=AsOf+AlertDays),1,0),0)</f>
        <v/>
      </c>
      <c r="AG145" s="79">
        <f>IF(Y145="Order now",1,0)</f>
        <v/>
      </c>
      <c r="AH145" s="79">
        <f>IF(OR(Y145="⚠️ Order late — install at risk",Y145="⚠️ Delivery after install date"),1,0)</f>
        <v/>
      </c>
      <c r="AI145" s="79">
        <f>IF(AND(B145&lt;&gt;"",K145&lt;&gt;"",U145&lt;&gt;"Yes",X145&lt;&gt;"Yes"),1,0)</f>
        <v/>
      </c>
      <c r="AJ145" s="79">
        <f>IF(Y145="⚠️ Order late — install at risk",1,0)</f>
        <v/>
      </c>
    </row>
    <row r="146" ht="20" customHeight="1">
      <c r="B146" s="72" t="n"/>
      <c r="C146" s="72" t="n"/>
      <c r="D146" s="72" t="n"/>
      <c r="E146" s="72" t="n"/>
      <c r="F146" s="73" t="n"/>
      <c r="G146" s="72" t="n"/>
      <c r="H146" s="73" t="n"/>
      <c r="I146" s="72" t="n"/>
      <c r="J146" s="73" t="n"/>
      <c r="K146" s="74" t="n"/>
      <c r="L146" s="75">
        <f>IF(K146="A",F146,IF(K146="B",H146,IF(K146="C",J146,"")))</f>
        <v/>
      </c>
      <c r="M146" s="72" t="n"/>
      <c r="N146" s="72" t="n"/>
      <c r="O146" s="89" t="n"/>
      <c r="P146" s="89" t="n"/>
      <c r="Q146" s="109" t="n"/>
      <c r="R146" s="120">
        <f>IF(B146="","",IF(Q146&lt;&gt;"",Q146,IF(P146="","",IFERROR(INDEX('Timeline'!$J$7:$J$1006,MATCH(P146,'Timeline'!$B$7:$B$1006,0)),""))))</f>
        <v/>
      </c>
      <c r="S146" s="126">
        <f>IF(R146="","",R146-IF(O146="",0,O146)-OrderBuf)</f>
        <v/>
      </c>
      <c r="T146" s="126">
        <f>IF(S146="","",S146-DecideBuf)</f>
        <v/>
      </c>
      <c r="U146" s="74" t="n"/>
      <c r="V146" s="109" t="n"/>
      <c r="W146" s="109" t="n"/>
      <c r="X146" s="74" t="n"/>
      <c r="Y146" s="116">
        <f>IF(B146="","",IF(X146="Yes","Delivered",IF(U146="Yes",IF(AND(W146&lt;&gt;"",R146&lt;&gt;""),IF(W146&gt;R146,"⚠️ Delivery after install date","Ordered"),"Ordered"),IF(K146="",IF(T146="","Waiting for decision",IF(T146&lt;=AsOf+AlertDays,"Decide now","Waiting for decision")),IF(S146="","Selected",IF(AsOf&gt;S146,"⚠️ Order late — install at risk",IF(S146&lt;=AsOf+AlertDays,"Order now","Selected")))))))</f>
        <v/>
      </c>
      <c r="Z146" s="79">
        <f>IF(B146="","",IF(OR(AH146=1,AE146=1),2,IF(OR(AG146=1,AF146=1),1,IF(OR(Y146="Ordered",Y146="Delivered"),0,""))))</f>
        <v/>
      </c>
      <c r="AA146" s="112">
        <f>IF(B146="","",IF(AH146=1,IF(Y146="⚠️ Delivery after install date",R146,S146),IF(AD146=1,T146,IF(AI146=1,S146,""))))</f>
        <v/>
      </c>
      <c r="AB146" s="79">
        <f>IF(AA146="","",IF(AH146=1,1,IF(AA146="","",IF(AA146&lt;AsOf,1,IF(AA146&lt;=AsOf+AlertDays,2,IF(AA146&lt;=AsOf+2*AlertDays,3,""))))))</f>
        <v/>
      </c>
      <c r="AC146" s="79">
        <f>IF(AB146="","",IF(AH146=1,IF(Y146="⚠️ Delivery after install date","Delivery after install date: "&amp;B146,"Order late — install at risk: "&amp;B146),IF(AD146=1,IF(AB146=1,"Decision overdue: ","Decide: ")&amp;B146,"Order: "&amp;B146&amp;IF(N146="",""," from "&amp;N146))))</f>
        <v/>
      </c>
      <c r="AD146" s="79">
        <f>IF(AND(B146&lt;&gt;"",K146="",U146&lt;&gt;"Yes",X146&lt;&gt;"Yes"),1,0)</f>
        <v/>
      </c>
      <c r="AE146" s="79">
        <f>IF(AND(AD146=1,T146&lt;&gt;""),IF(T146&lt;AsOf,1,0),0)</f>
        <v/>
      </c>
      <c r="AF146" s="79">
        <f>IF(AND(AD146=1,T146&lt;&gt;""),IF(AND(T146&gt;=AsOf,T146&lt;=AsOf+AlertDays),1,0),0)</f>
        <v/>
      </c>
      <c r="AG146" s="79">
        <f>IF(Y146="Order now",1,0)</f>
        <v/>
      </c>
      <c r="AH146" s="79">
        <f>IF(OR(Y146="⚠️ Order late — install at risk",Y146="⚠️ Delivery after install date"),1,0)</f>
        <v/>
      </c>
      <c r="AI146" s="79">
        <f>IF(AND(B146&lt;&gt;"",K146&lt;&gt;"",U146&lt;&gt;"Yes",X146&lt;&gt;"Yes"),1,0)</f>
        <v/>
      </c>
      <c r="AJ146" s="79">
        <f>IF(Y146="⚠️ Order late — install at risk",1,0)</f>
        <v/>
      </c>
    </row>
    <row r="147" ht="20" customHeight="1">
      <c r="B147" s="72" t="n"/>
      <c r="C147" s="72" t="n"/>
      <c r="D147" s="72" t="n"/>
      <c r="E147" s="72" t="n"/>
      <c r="F147" s="73" t="n"/>
      <c r="G147" s="72" t="n"/>
      <c r="H147" s="73" t="n"/>
      <c r="I147" s="72" t="n"/>
      <c r="J147" s="73" t="n"/>
      <c r="K147" s="74" t="n"/>
      <c r="L147" s="75">
        <f>IF(K147="A",F147,IF(K147="B",H147,IF(K147="C",J147,"")))</f>
        <v/>
      </c>
      <c r="M147" s="72" t="n"/>
      <c r="N147" s="72" t="n"/>
      <c r="O147" s="89" t="n"/>
      <c r="P147" s="89" t="n"/>
      <c r="Q147" s="109" t="n"/>
      <c r="R147" s="120">
        <f>IF(B147="","",IF(Q147&lt;&gt;"",Q147,IF(P147="","",IFERROR(INDEX('Timeline'!$J$7:$J$1006,MATCH(P147,'Timeline'!$B$7:$B$1006,0)),""))))</f>
        <v/>
      </c>
      <c r="S147" s="126">
        <f>IF(R147="","",R147-IF(O147="",0,O147)-OrderBuf)</f>
        <v/>
      </c>
      <c r="T147" s="126">
        <f>IF(S147="","",S147-DecideBuf)</f>
        <v/>
      </c>
      <c r="U147" s="74" t="n"/>
      <c r="V147" s="109" t="n"/>
      <c r="W147" s="109" t="n"/>
      <c r="X147" s="74" t="n"/>
      <c r="Y147" s="116">
        <f>IF(B147="","",IF(X147="Yes","Delivered",IF(U147="Yes",IF(AND(W147&lt;&gt;"",R147&lt;&gt;""),IF(W147&gt;R147,"⚠️ Delivery after install date","Ordered"),"Ordered"),IF(K147="",IF(T147="","Waiting for decision",IF(T147&lt;=AsOf+AlertDays,"Decide now","Waiting for decision")),IF(S147="","Selected",IF(AsOf&gt;S147,"⚠️ Order late — install at risk",IF(S147&lt;=AsOf+AlertDays,"Order now","Selected")))))))</f>
        <v/>
      </c>
      <c r="Z147" s="79">
        <f>IF(B147="","",IF(OR(AH147=1,AE147=1),2,IF(OR(AG147=1,AF147=1),1,IF(OR(Y147="Ordered",Y147="Delivered"),0,""))))</f>
        <v/>
      </c>
      <c r="AA147" s="112">
        <f>IF(B147="","",IF(AH147=1,IF(Y147="⚠️ Delivery after install date",R147,S147),IF(AD147=1,T147,IF(AI147=1,S147,""))))</f>
        <v/>
      </c>
      <c r="AB147" s="79">
        <f>IF(AA147="","",IF(AH147=1,1,IF(AA147="","",IF(AA147&lt;AsOf,1,IF(AA147&lt;=AsOf+AlertDays,2,IF(AA147&lt;=AsOf+2*AlertDays,3,""))))))</f>
        <v/>
      </c>
      <c r="AC147" s="79">
        <f>IF(AB147="","",IF(AH147=1,IF(Y147="⚠️ Delivery after install date","Delivery after install date: "&amp;B147,"Order late — install at risk: "&amp;B147),IF(AD147=1,IF(AB147=1,"Decision overdue: ","Decide: ")&amp;B147,"Order: "&amp;B147&amp;IF(N147="",""," from "&amp;N147))))</f>
        <v/>
      </c>
      <c r="AD147" s="79">
        <f>IF(AND(B147&lt;&gt;"",K147="",U147&lt;&gt;"Yes",X147&lt;&gt;"Yes"),1,0)</f>
        <v/>
      </c>
      <c r="AE147" s="79">
        <f>IF(AND(AD147=1,T147&lt;&gt;""),IF(T147&lt;AsOf,1,0),0)</f>
        <v/>
      </c>
      <c r="AF147" s="79">
        <f>IF(AND(AD147=1,T147&lt;&gt;""),IF(AND(T147&gt;=AsOf,T147&lt;=AsOf+AlertDays),1,0),0)</f>
        <v/>
      </c>
      <c r="AG147" s="79">
        <f>IF(Y147="Order now",1,0)</f>
        <v/>
      </c>
      <c r="AH147" s="79">
        <f>IF(OR(Y147="⚠️ Order late — install at risk",Y147="⚠️ Delivery after install date"),1,0)</f>
        <v/>
      </c>
      <c r="AI147" s="79">
        <f>IF(AND(B147&lt;&gt;"",K147&lt;&gt;"",U147&lt;&gt;"Yes",X147&lt;&gt;"Yes"),1,0)</f>
        <v/>
      </c>
      <c r="AJ147" s="79">
        <f>IF(Y147="⚠️ Order late — install at risk",1,0)</f>
        <v/>
      </c>
    </row>
    <row r="148" ht="20" customHeight="1">
      <c r="B148" s="72" t="n"/>
      <c r="C148" s="72" t="n"/>
      <c r="D148" s="72" t="n"/>
      <c r="E148" s="72" t="n"/>
      <c r="F148" s="73" t="n"/>
      <c r="G148" s="72" t="n"/>
      <c r="H148" s="73" t="n"/>
      <c r="I148" s="72" t="n"/>
      <c r="J148" s="73" t="n"/>
      <c r="K148" s="74" t="n"/>
      <c r="L148" s="75">
        <f>IF(K148="A",F148,IF(K148="B",H148,IF(K148="C",J148,"")))</f>
        <v/>
      </c>
      <c r="M148" s="72" t="n"/>
      <c r="N148" s="72" t="n"/>
      <c r="O148" s="89" t="n"/>
      <c r="P148" s="89" t="n"/>
      <c r="Q148" s="109" t="n"/>
      <c r="R148" s="120">
        <f>IF(B148="","",IF(Q148&lt;&gt;"",Q148,IF(P148="","",IFERROR(INDEX('Timeline'!$J$7:$J$1006,MATCH(P148,'Timeline'!$B$7:$B$1006,0)),""))))</f>
        <v/>
      </c>
      <c r="S148" s="126">
        <f>IF(R148="","",R148-IF(O148="",0,O148)-OrderBuf)</f>
        <v/>
      </c>
      <c r="T148" s="126">
        <f>IF(S148="","",S148-DecideBuf)</f>
        <v/>
      </c>
      <c r="U148" s="74" t="n"/>
      <c r="V148" s="109" t="n"/>
      <c r="W148" s="109" t="n"/>
      <c r="X148" s="74" t="n"/>
      <c r="Y148" s="116">
        <f>IF(B148="","",IF(X148="Yes","Delivered",IF(U148="Yes",IF(AND(W148&lt;&gt;"",R148&lt;&gt;""),IF(W148&gt;R148,"⚠️ Delivery after install date","Ordered"),"Ordered"),IF(K148="",IF(T148="","Waiting for decision",IF(T148&lt;=AsOf+AlertDays,"Decide now","Waiting for decision")),IF(S148="","Selected",IF(AsOf&gt;S148,"⚠️ Order late — install at risk",IF(S148&lt;=AsOf+AlertDays,"Order now","Selected")))))))</f>
        <v/>
      </c>
      <c r="Z148" s="79">
        <f>IF(B148="","",IF(OR(AH148=1,AE148=1),2,IF(OR(AG148=1,AF148=1),1,IF(OR(Y148="Ordered",Y148="Delivered"),0,""))))</f>
        <v/>
      </c>
      <c r="AA148" s="112">
        <f>IF(B148="","",IF(AH148=1,IF(Y148="⚠️ Delivery after install date",R148,S148),IF(AD148=1,T148,IF(AI148=1,S148,""))))</f>
        <v/>
      </c>
      <c r="AB148" s="79">
        <f>IF(AA148="","",IF(AH148=1,1,IF(AA148="","",IF(AA148&lt;AsOf,1,IF(AA148&lt;=AsOf+AlertDays,2,IF(AA148&lt;=AsOf+2*AlertDays,3,""))))))</f>
        <v/>
      </c>
      <c r="AC148" s="79">
        <f>IF(AB148="","",IF(AH148=1,IF(Y148="⚠️ Delivery after install date","Delivery after install date: "&amp;B148,"Order late — install at risk: "&amp;B148),IF(AD148=1,IF(AB148=1,"Decision overdue: ","Decide: ")&amp;B148,"Order: "&amp;B148&amp;IF(N148="",""," from "&amp;N148))))</f>
        <v/>
      </c>
      <c r="AD148" s="79">
        <f>IF(AND(B148&lt;&gt;"",K148="",U148&lt;&gt;"Yes",X148&lt;&gt;"Yes"),1,0)</f>
        <v/>
      </c>
      <c r="AE148" s="79">
        <f>IF(AND(AD148=1,T148&lt;&gt;""),IF(T148&lt;AsOf,1,0),0)</f>
        <v/>
      </c>
      <c r="AF148" s="79">
        <f>IF(AND(AD148=1,T148&lt;&gt;""),IF(AND(T148&gt;=AsOf,T148&lt;=AsOf+AlertDays),1,0),0)</f>
        <v/>
      </c>
      <c r="AG148" s="79">
        <f>IF(Y148="Order now",1,0)</f>
        <v/>
      </c>
      <c r="AH148" s="79">
        <f>IF(OR(Y148="⚠️ Order late — install at risk",Y148="⚠️ Delivery after install date"),1,0)</f>
        <v/>
      </c>
      <c r="AI148" s="79">
        <f>IF(AND(B148&lt;&gt;"",K148&lt;&gt;"",U148&lt;&gt;"Yes",X148&lt;&gt;"Yes"),1,0)</f>
        <v/>
      </c>
      <c r="AJ148" s="79">
        <f>IF(Y148="⚠️ Order late — install at risk",1,0)</f>
        <v/>
      </c>
    </row>
    <row r="149" ht="20" customHeight="1">
      <c r="B149" s="72" t="n"/>
      <c r="C149" s="72" t="n"/>
      <c r="D149" s="72" t="n"/>
      <c r="E149" s="72" t="n"/>
      <c r="F149" s="73" t="n"/>
      <c r="G149" s="72" t="n"/>
      <c r="H149" s="73" t="n"/>
      <c r="I149" s="72" t="n"/>
      <c r="J149" s="73" t="n"/>
      <c r="K149" s="74" t="n"/>
      <c r="L149" s="75">
        <f>IF(K149="A",F149,IF(K149="B",H149,IF(K149="C",J149,"")))</f>
        <v/>
      </c>
      <c r="M149" s="72" t="n"/>
      <c r="N149" s="72" t="n"/>
      <c r="O149" s="89" t="n"/>
      <c r="P149" s="89" t="n"/>
      <c r="Q149" s="109" t="n"/>
      <c r="R149" s="120">
        <f>IF(B149="","",IF(Q149&lt;&gt;"",Q149,IF(P149="","",IFERROR(INDEX('Timeline'!$J$7:$J$1006,MATCH(P149,'Timeline'!$B$7:$B$1006,0)),""))))</f>
        <v/>
      </c>
      <c r="S149" s="126">
        <f>IF(R149="","",R149-IF(O149="",0,O149)-OrderBuf)</f>
        <v/>
      </c>
      <c r="T149" s="126">
        <f>IF(S149="","",S149-DecideBuf)</f>
        <v/>
      </c>
      <c r="U149" s="74" t="n"/>
      <c r="V149" s="109" t="n"/>
      <c r="W149" s="109" t="n"/>
      <c r="X149" s="74" t="n"/>
      <c r="Y149" s="116">
        <f>IF(B149="","",IF(X149="Yes","Delivered",IF(U149="Yes",IF(AND(W149&lt;&gt;"",R149&lt;&gt;""),IF(W149&gt;R149,"⚠️ Delivery after install date","Ordered"),"Ordered"),IF(K149="",IF(T149="","Waiting for decision",IF(T149&lt;=AsOf+AlertDays,"Decide now","Waiting for decision")),IF(S149="","Selected",IF(AsOf&gt;S149,"⚠️ Order late — install at risk",IF(S149&lt;=AsOf+AlertDays,"Order now","Selected")))))))</f>
        <v/>
      </c>
      <c r="Z149" s="79">
        <f>IF(B149="","",IF(OR(AH149=1,AE149=1),2,IF(OR(AG149=1,AF149=1),1,IF(OR(Y149="Ordered",Y149="Delivered"),0,""))))</f>
        <v/>
      </c>
      <c r="AA149" s="112">
        <f>IF(B149="","",IF(AH149=1,IF(Y149="⚠️ Delivery after install date",R149,S149),IF(AD149=1,T149,IF(AI149=1,S149,""))))</f>
        <v/>
      </c>
      <c r="AB149" s="79">
        <f>IF(AA149="","",IF(AH149=1,1,IF(AA149="","",IF(AA149&lt;AsOf,1,IF(AA149&lt;=AsOf+AlertDays,2,IF(AA149&lt;=AsOf+2*AlertDays,3,""))))))</f>
        <v/>
      </c>
      <c r="AC149" s="79">
        <f>IF(AB149="","",IF(AH149=1,IF(Y149="⚠️ Delivery after install date","Delivery after install date: "&amp;B149,"Order late — install at risk: "&amp;B149),IF(AD149=1,IF(AB149=1,"Decision overdue: ","Decide: ")&amp;B149,"Order: "&amp;B149&amp;IF(N149="",""," from "&amp;N149))))</f>
        <v/>
      </c>
      <c r="AD149" s="79">
        <f>IF(AND(B149&lt;&gt;"",K149="",U149&lt;&gt;"Yes",X149&lt;&gt;"Yes"),1,0)</f>
        <v/>
      </c>
      <c r="AE149" s="79">
        <f>IF(AND(AD149=1,T149&lt;&gt;""),IF(T149&lt;AsOf,1,0),0)</f>
        <v/>
      </c>
      <c r="AF149" s="79">
        <f>IF(AND(AD149=1,T149&lt;&gt;""),IF(AND(T149&gt;=AsOf,T149&lt;=AsOf+AlertDays),1,0),0)</f>
        <v/>
      </c>
      <c r="AG149" s="79">
        <f>IF(Y149="Order now",1,0)</f>
        <v/>
      </c>
      <c r="AH149" s="79">
        <f>IF(OR(Y149="⚠️ Order late — install at risk",Y149="⚠️ Delivery after install date"),1,0)</f>
        <v/>
      </c>
      <c r="AI149" s="79">
        <f>IF(AND(B149&lt;&gt;"",K149&lt;&gt;"",U149&lt;&gt;"Yes",X149&lt;&gt;"Yes"),1,0)</f>
        <v/>
      </c>
      <c r="AJ149" s="79">
        <f>IF(Y149="⚠️ Order late — install at risk",1,0)</f>
        <v/>
      </c>
    </row>
    <row r="150" ht="20" customHeight="1">
      <c r="B150" s="72" t="n"/>
      <c r="C150" s="72" t="n"/>
      <c r="D150" s="72" t="n"/>
      <c r="E150" s="72" t="n"/>
      <c r="F150" s="73" t="n"/>
      <c r="G150" s="72" t="n"/>
      <c r="H150" s="73" t="n"/>
      <c r="I150" s="72" t="n"/>
      <c r="J150" s="73" t="n"/>
      <c r="K150" s="74" t="n"/>
      <c r="L150" s="75">
        <f>IF(K150="A",F150,IF(K150="B",H150,IF(K150="C",J150,"")))</f>
        <v/>
      </c>
      <c r="M150" s="72" t="n"/>
      <c r="N150" s="72" t="n"/>
      <c r="O150" s="89" t="n"/>
      <c r="P150" s="89" t="n"/>
      <c r="Q150" s="109" t="n"/>
      <c r="R150" s="120">
        <f>IF(B150="","",IF(Q150&lt;&gt;"",Q150,IF(P150="","",IFERROR(INDEX('Timeline'!$J$7:$J$1006,MATCH(P150,'Timeline'!$B$7:$B$1006,0)),""))))</f>
        <v/>
      </c>
      <c r="S150" s="126">
        <f>IF(R150="","",R150-IF(O150="",0,O150)-OrderBuf)</f>
        <v/>
      </c>
      <c r="T150" s="126">
        <f>IF(S150="","",S150-DecideBuf)</f>
        <v/>
      </c>
      <c r="U150" s="74" t="n"/>
      <c r="V150" s="109" t="n"/>
      <c r="W150" s="109" t="n"/>
      <c r="X150" s="74" t="n"/>
      <c r="Y150" s="116">
        <f>IF(B150="","",IF(X150="Yes","Delivered",IF(U150="Yes",IF(AND(W150&lt;&gt;"",R150&lt;&gt;""),IF(W150&gt;R150,"⚠️ Delivery after install date","Ordered"),"Ordered"),IF(K150="",IF(T150="","Waiting for decision",IF(T150&lt;=AsOf+AlertDays,"Decide now","Waiting for decision")),IF(S150="","Selected",IF(AsOf&gt;S150,"⚠️ Order late — install at risk",IF(S150&lt;=AsOf+AlertDays,"Order now","Selected")))))))</f>
        <v/>
      </c>
      <c r="Z150" s="79">
        <f>IF(B150="","",IF(OR(AH150=1,AE150=1),2,IF(OR(AG150=1,AF150=1),1,IF(OR(Y150="Ordered",Y150="Delivered"),0,""))))</f>
        <v/>
      </c>
      <c r="AA150" s="112">
        <f>IF(B150="","",IF(AH150=1,IF(Y150="⚠️ Delivery after install date",R150,S150),IF(AD150=1,T150,IF(AI150=1,S150,""))))</f>
        <v/>
      </c>
      <c r="AB150" s="79">
        <f>IF(AA150="","",IF(AH150=1,1,IF(AA150="","",IF(AA150&lt;AsOf,1,IF(AA150&lt;=AsOf+AlertDays,2,IF(AA150&lt;=AsOf+2*AlertDays,3,""))))))</f>
        <v/>
      </c>
      <c r="AC150" s="79">
        <f>IF(AB150="","",IF(AH150=1,IF(Y150="⚠️ Delivery after install date","Delivery after install date: "&amp;B150,"Order late — install at risk: "&amp;B150),IF(AD150=1,IF(AB150=1,"Decision overdue: ","Decide: ")&amp;B150,"Order: "&amp;B150&amp;IF(N150="",""," from "&amp;N150))))</f>
        <v/>
      </c>
      <c r="AD150" s="79">
        <f>IF(AND(B150&lt;&gt;"",K150="",U150&lt;&gt;"Yes",X150&lt;&gt;"Yes"),1,0)</f>
        <v/>
      </c>
      <c r="AE150" s="79">
        <f>IF(AND(AD150=1,T150&lt;&gt;""),IF(T150&lt;AsOf,1,0),0)</f>
        <v/>
      </c>
      <c r="AF150" s="79">
        <f>IF(AND(AD150=1,T150&lt;&gt;""),IF(AND(T150&gt;=AsOf,T150&lt;=AsOf+AlertDays),1,0),0)</f>
        <v/>
      </c>
      <c r="AG150" s="79">
        <f>IF(Y150="Order now",1,0)</f>
        <v/>
      </c>
      <c r="AH150" s="79">
        <f>IF(OR(Y150="⚠️ Order late — install at risk",Y150="⚠️ Delivery after install date"),1,0)</f>
        <v/>
      </c>
      <c r="AI150" s="79">
        <f>IF(AND(B150&lt;&gt;"",K150&lt;&gt;"",U150&lt;&gt;"Yes",X150&lt;&gt;"Yes"),1,0)</f>
        <v/>
      </c>
      <c r="AJ150" s="79">
        <f>IF(Y150="⚠️ Order late — install at risk",1,0)</f>
        <v/>
      </c>
    </row>
    <row r="151" ht="20" customHeight="1">
      <c r="B151" s="72" t="n"/>
      <c r="C151" s="72" t="n"/>
      <c r="D151" s="72" t="n"/>
      <c r="E151" s="72" t="n"/>
      <c r="F151" s="73" t="n"/>
      <c r="G151" s="72" t="n"/>
      <c r="H151" s="73" t="n"/>
      <c r="I151" s="72" t="n"/>
      <c r="J151" s="73" t="n"/>
      <c r="K151" s="74" t="n"/>
      <c r="L151" s="75">
        <f>IF(K151="A",F151,IF(K151="B",H151,IF(K151="C",J151,"")))</f>
        <v/>
      </c>
      <c r="M151" s="72" t="n"/>
      <c r="N151" s="72" t="n"/>
      <c r="O151" s="89" t="n"/>
      <c r="P151" s="89" t="n"/>
      <c r="Q151" s="109" t="n"/>
      <c r="R151" s="120">
        <f>IF(B151="","",IF(Q151&lt;&gt;"",Q151,IF(P151="","",IFERROR(INDEX('Timeline'!$J$7:$J$1006,MATCH(P151,'Timeline'!$B$7:$B$1006,0)),""))))</f>
        <v/>
      </c>
      <c r="S151" s="126">
        <f>IF(R151="","",R151-IF(O151="",0,O151)-OrderBuf)</f>
        <v/>
      </c>
      <c r="T151" s="126">
        <f>IF(S151="","",S151-DecideBuf)</f>
        <v/>
      </c>
      <c r="U151" s="74" t="n"/>
      <c r="V151" s="109" t="n"/>
      <c r="W151" s="109" t="n"/>
      <c r="X151" s="74" t="n"/>
      <c r="Y151" s="116">
        <f>IF(B151="","",IF(X151="Yes","Delivered",IF(U151="Yes",IF(AND(W151&lt;&gt;"",R151&lt;&gt;""),IF(W151&gt;R151,"⚠️ Delivery after install date","Ordered"),"Ordered"),IF(K151="",IF(T151="","Waiting for decision",IF(T151&lt;=AsOf+AlertDays,"Decide now","Waiting for decision")),IF(S151="","Selected",IF(AsOf&gt;S151,"⚠️ Order late — install at risk",IF(S151&lt;=AsOf+AlertDays,"Order now","Selected")))))))</f>
        <v/>
      </c>
      <c r="Z151" s="79">
        <f>IF(B151="","",IF(OR(AH151=1,AE151=1),2,IF(OR(AG151=1,AF151=1),1,IF(OR(Y151="Ordered",Y151="Delivered"),0,""))))</f>
        <v/>
      </c>
      <c r="AA151" s="112">
        <f>IF(B151="","",IF(AH151=1,IF(Y151="⚠️ Delivery after install date",R151,S151),IF(AD151=1,T151,IF(AI151=1,S151,""))))</f>
        <v/>
      </c>
      <c r="AB151" s="79">
        <f>IF(AA151="","",IF(AH151=1,1,IF(AA151="","",IF(AA151&lt;AsOf,1,IF(AA151&lt;=AsOf+AlertDays,2,IF(AA151&lt;=AsOf+2*AlertDays,3,""))))))</f>
        <v/>
      </c>
      <c r="AC151" s="79">
        <f>IF(AB151="","",IF(AH151=1,IF(Y151="⚠️ Delivery after install date","Delivery after install date: "&amp;B151,"Order late — install at risk: "&amp;B151),IF(AD151=1,IF(AB151=1,"Decision overdue: ","Decide: ")&amp;B151,"Order: "&amp;B151&amp;IF(N151="",""," from "&amp;N151))))</f>
        <v/>
      </c>
      <c r="AD151" s="79">
        <f>IF(AND(B151&lt;&gt;"",K151="",U151&lt;&gt;"Yes",X151&lt;&gt;"Yes"),1,0)</f>
        <v/>
      </c>
      <c r="AE151" s="79">
        <f>IF(AND(AD151=1,T151&lt;&gt;""),IF(T151&lt;AsOf,1,0),0)</f>
        <v/>
      </c>
      <c r="AF151" s="79">
        <f>IF(AND(AD151=1,T151&lt;&gt;""),IF(AND(T151&gt;=AsOf,T151&lt;=AsOf+AlertDays),1,0),0)</f>
        <v/>
      </c>
      <c r="AG151" s="79">
        <f>IF(Y151="Order now",1,0)</f>
        <v/>
      </c>
      <c r="AH151" s="79">
        <f>IF(OR(Y151="⚠️ Order late — install at risk",Y151="⚠️ Delivery after install date"),1,0)</f>
        <v/>
      </c>
      <c r="AI151" s="79">
        <f>IF(AND(B151&lt;&gt;"",K151&lt;&gt;"",U151&lt;&gt;"Yes",X151&lt;&gt;"Yes"),1,0)</f>
        <v/>
      </c>
      <c r="AJ151" s="79">
        <f>IF(Y151="⚠️ Order late — install at risk",1,0)</f>
        <v/>
      </c>
    </row>
    <row r="152" ht="20" customHeight="1">
      <c r="B152" s="72" t="n"/>
      <c r="C152" s="72" t="n"/>
      <c r="D152" s="72" t="n"/>
      <c r="E152" s="72" t="n"/>
      <c r="F152" s="73" t="n"/>
      <c r="G152" s="72" t="n"/>
      <c r="H152" s="73" t="n"/>
      <c r="I152" s="72" t="n"/>
      <c r="J152" s="73" t="n"/>
      <c r="K152" s="74" t="n"/>
      <c r="L152" s="75">
        <f>IF(K152="A",F152,IF(K152="B",H152,IF(K152="C",J152,"")))</f>
        <v/>
      </c>
      <c r="M152" s="72" t="n"/>
      <c r="N152" s="72" t="n"/>
      <c r="O152" s="89" t="n"/>
      <c r="P152" s="89" t="n"/>
      <c r="Q152" s="109" t="n"/>
      <c r="R152" s="120">
        <f>IF(B152="","",IF(Q152&lt;&gt;"",Q152,IF(P152="","",IFERROR(INDEX('Timeline'!$J$7:$J$1006,MATCH(P152,'Timeline'!$B$7:$B$1006,0)),""))))</f>
        <v/>
      </c>
      <c r="S152" s="126">
        <f>IF(R152="","",R152-IF(O152="",0,O152)-OrderBuf)</f>
        <v/>
      </c>
      <c r="T152" s="126">
        <f>IF(S152="","",S152-DecideBuf)</f>
        <v/>
      </c>
      <c r="U152" s="74" t="n"/>
      <c r="V152" s="109" t="n"/>
      <c r="W152" s="109" t="n"/>
      <c r="X152" s="74" t="n"/>
      <c r="Y152" s="116">
        <f>IF(B152="","",IF(X152="Yes","Delivered",IF(U152="Yes",IF(AND(W152&lt;&gt;"",R152&lt;&gt;""),IF(W152&gt;R152,"⚠️ Delivery after install date","Ordered"),"Ordered"),IF(K152="",IF(T152="","Waiting for decision",IF(T152&lt;=AsOf+AlertDays,"Decide now","Waiting for decision")),IF(S152="","Selected",IF(AsOf&gt;S152,"⚠️ Order late — install at risk",IF(S152&lt;=AsOf+AlertDays,"Order now","Selected")))))))</f>
        <v/>
      </c>
      <c r="Z152" s="79">
        <f>IF(B152="","",IF(OR(AH152=1,AE152=1),2,IF(OR(AG152=1,AF152=1),1,IF(OR(Y152="Ordered",Y152="Delivered"),0,""))))</f>
        <v/>
      </c>
      <c r="AA152" s="112">
        <f>IF(B152="","",IF(AH152=1,IF(Y152="⚠️ Delivery after install date",R152,S152),IF(AD152=1,T152,IF(AI152=1,S152,""))))</f>
        <v/>
      </c>
      <c r="AB152" s="79">
        <f>IF(AA152="","",IF(AH152=1,1,IF(AA152="","",IF(AA152&lt;AsOf,1,IF(AA152&lt;=AsOf+AlertDays,2,IF(AA152&lt;=AsOf+2*AlertDays,3,""))))))</f>
        <v/>
      </c>
      <c r="AC152" s="79">
        <f>IF(AB152="","",IF(AH152=1,IF(Y152="⚠️ Delivery after install date","Delivery after install date: "&amp;B152,"Order late — install at risk: "&amp;B152),IF(AD152=1,IF(AB152=1,"Decision overdue: ","Decide: ")&amp;B152,"Order: "&amp;B152&amp;IF(N152="",""," from "&amp;N152))))</f>
        <v/>
      </c>
      <c r="AD152" s="79">
        <f>IF(AND(B152&lt;&gt;"",K152="",U152&lt;&gt;"Yes",X152&lt;&gt;"Yes"),1,0)</f>
        <v/>
      </c>
      <c r="AE152" s="79">
        <f>IF(AND(AD152=1,T152&lt;&gt;""),IF(T152&lt;AsOf,1,0),0)</f>
        <v/>
      </c>
      <c r="AF152" s="79">
        <f>IF(AND(AD152=1,T152&lt;&gt;""),IF(AND(T152&gt;=AsOf,T152&lt;=AsOf+AlertDays),1,0),0)</f>
        <v/>
      </c>
      <c r="AG152" s="79">
        <f>IF(Y152="Order now",1,0)</f>
        <v/>
      </c>
      <c r="AH152" s="79">
        <f>IF(OR(Y152="⚠️ Order late — install at risk",Y152="⚠️ Delivery after install date"),1,0)</f>
        <v/>
      </c>
      <c r="AI152" s="79">
        <f>IF(AND(B152&lt;&gt;"",K152&lt;&gt;"",U152&lt;&gt;"Yes",X152&lt;&gt;"Yes"),1,0)</f>
        <v/>
      </c>
      <c r="AJ152" s="79">
        <f>IF(Y152="⚠️ Order late — install at risk",1,0)</f>
        <v/>
      </c>
    </row>
    <row r="153" ht="20" customHeight="1">
      <c r="B153" s="72" t="n"/>
      <c r="C153" s="72" t="n"/>
      <c r="D153" s="72" t="n"/>
      <c r="E153" s="72" t="n"/>
      <c r="F153" s="73" t="n"/>
      <c r="G153" s="72" t="n"/>
      <c r="H153" s="73" t="n"/>
      <c r="I153" s="72" t="n"/>
      <c r="J153" s="73" t="n"/>
      <c r="K153" s="74" t="n"/>
      <c r="L153" s="75">
        <f>IF(K153="A",F153,IF(K153="B",H153,IF(K153="C",J153,"")))</f>
        <v/>
      </c>
      <c r="M153" s="72" t="n"/>
      <c r="N153" s="72" t="n"/>
      <c r="O153" s="89" t="n"/>
      <c r="P153" s="89" t="n"/>
      <c r="Q153" s="109" t="n"/>
      <c r="R153" s="120">
        <f>IF(B153="","",IF(Q153&lt;&gt;"",Q153,IF(P153="","",IFERROR(INDEX('Timeline'!$J$7:$J$1006,MATCH(P153,'Timeline'!$B$7:$B$1006,0)),""))))</f>
        <v/>
      </c>
      <c r="S153" s="126">
        <f>IF(R153="","",R153-IF(O153="",0,O153)-OrderBuf)</f>
        <v/>
      </c>
      <c r="T153" s="126">
        <f>IF(S153="","",S153-DecideBuf)</f>
        <v/>
      </c>
      <c r="U153" s="74" t="n"/>
      <c r="V153" s="109" t="n"/>
      <c r="W153" s="109" t="n"/>
      <c r="X153" s="74" t="n"/>
      <c r="Y153" s="116">
        <f>IF(B153="","",IF(X153="Yes","Delivered",IF(U153="Yes",IF(AND(W153&lt;&gt;"",R153&lt;&gt;""),IF(W153&gt;R153,"⚠️ Delivery after install date","Ordered"),"Ordered"),IF(K153="",IF(T153="","Waiting for decision",IF(T153&lt;=AsOf+AlertDays,"Decide now","Waiting for decision")),IF(S153="","Selected",IF(AsOf&gt;S153,"⚠️ Order late — install at risk",IF(S153&lt;=AsOf+AlertDays,"Order now","Selected")))))))</f>
        <v/>
      </c>
      <c r="Z153" s="79">
        <f>IF(B153="","",IF(OR(AH153=1,AE153=1),2,IF(OR(AG153=1,AF153=1),1,IF(OR(Y153="Ordered",Y153="Delivered"),0,""))))</f>
        <v/>
      </c>
      <c r="AA153" s="112">
        <f>IF(B153="","",IF(AH153=1,IF(Y153="⚠️ Delivery after install date",R153,S153),IF(AD153=1,T153,IF(AI153=1,S153,""))))</f>
        <v/>
      </c>
      <c r="AB153" s="79">
        <f>IF(AA153="","",IF(AH153=1,1,IF(AA153="","",IF(AA153&lt;AsOf,1,IF(AA153&lt;=AsOf+AlertDays,2,IF(AA153&lt;=AsOf+2*AlertDays,3,""))))))</f>
        <v/>
      </c>
      <c r="AC153" s="79">
        <f>IF(AB153="","",IF(AH153=1,IF(Y153="⚠️ Delivery after install date","Delivery after install date: "&amp;B153,"Order late — install at risk: "&amp;B153),IF(AD153=1,IF(AB153=1,"Decision overdue: ","Decide: ")&amp;B153,"Order: "&amp;B153&amp;IF(N153="",""," from "&amp;N153))))</f>
        <v/>
      </c>
      <c r="AD153" s="79">
        <f>IF(AND(B153&lt;&gt;"",K153="",U153&lt;&gt;"Yes",X153&lt;&gt;"Yes"),1,0)</f>
        <v/>
      </c>
      <c r="AE153" s="79">
        <f>IF(AND(AD153=1,T153&lt;&gt;""),IF(T153&lt;AsOf,1,0),0)</f>
        <v/>
      </c>
      <c r="AF153" s="79">
        <f>IF(AND(AD153=1,T153&lt;&gt;""),IF(AND(T153&gt;=AsOf,T153&lt;=AsOf+AlertDays),1,0),0)</f>
        <v/>
      </c>
      <c r="AG153" s="79">
        <f>IF(Y153="Order now",1,0)</f>
        <v/>
      </c>
      <c r="AH153" s="79">
        <f>IF(OR(Y153="⚠️ Order late — install at risk",Y153="⚠️ Delivery after install date"),1,0)</f>
        <v/>
      </c>
      <c r="AI153" s="79">
        <f>IF(AND(B153&lt;&gt;"",K153&lt;&gt;"",U153&lt;&gt;"Yes",X153&lt;&gt;"Yes"),1,0)</f>
        <v/>
      </c>
      <c r="AJ153" s="79">
        <f>IF(Y153="⚠️ Order late — install at risk",1,0)</f>
        <v/>
      </c>
    </row>
    <row r="154" ht="20" customHeight="1">
      <c r="B154" s="72" t="n"/>
      <c r="C154" s="72" t="n"/>
      <c r="D154" s="72" t="n"/>
      <c r="E154" s="72" t="n"/>
      <c r="F154" s="73" t="n"/>
      <c r="G154" s="72" t="n"/>
      <c r="H154" s="73" t="n"/>
      <c r="I154" s="72" t="n"/>
      <c r="J154" s="73" t="n"/>
      <c r="K154" s="74" t="n"/>
      <c r="L154" s="75">
        <f>IF(K154="A",F154,IF(K154="B",H154,IF(K154="C",J154,"")))</f>
        <v/>
      </c>
      <c r="M154" s="72" t="n"/>
      <c r="N154" s="72" t="n"/>
      <c r="O154" s="89" t="n"/>
      <c r="P154" s="89" t="n"/>
      <c r="Q154" s="109" t="n"/>
      <c r="R154" s="120">
        <f>IF(B154="","",IF(Q154&lt;&gt;"",Q154,IF(P154="","",IFERROR(INDEX('Timeline'!$J$7:$J$1006,MATCH(P154,'Timeline'!$B$7:$B$1006,0)),""))))</f>
        <v/>
      </c>
      <c r="S154" s="126">
        <f>IF(R154="","",R154-IF(O154="",0,O154)-OrderBuf)</f>
        <v/>
      </c>
      <c r="T154" s="126">
        <f>IF(S154="","",S154-DecideBuf)</f>
        <v/>
      </c>
      <c r="U154" s="74" t="n"/>
      <c r="V154" s="109" t="n"/>
      <c r="W154" s="109" t="n"/>
      <c r="X154" s="74" t="n"/>
      <c r="Y154" s="116">
        <f>IF(B154="","",IF(X154="Yes","Delivered",IF(U154="Yes",IF(AND(W154&lt;&gt;"",R154&lt;&gt;""),IF(W154&gt;R154,"⚠️ Delivery after install date","Ordered"),"Ordered"),IF(K154="",IF(T154="","Waiting for decision",IF(T154&lt;=AsOf+AlertDays,"Decide now","Waiting for decision")),IF(S154="","Selected",IF(AsOf&gt;S154,"⚠️ Order late — install at risk",IF(S154&lt;=AsOf+AlertDays,"Order now","Selected")))))))</f>
        <v/>
      </c>
      <c r="Z154" s="79">
        <f>IF(B154="","",IF(OR(AH154=1,AE154=1),2,IF(OR(AG154=1,AF154=1),1,IF(OR(Y154="Ordered",Y154="Delivered"),0,""))))</f>
        <v/>
      </c>
      <c r="AA154" s="112">
        <f>IF(B154="","",IF(AH154=1,IF(Y154="⚠️ Delivery after install date",R154,S154),IF(AD154=1,T154,IF(AI154=1,S154,""))))</f>
        <v/>
      </c>
      <c r="AB154" s="79">
        <f>IF(AA154="","",IF(AH154=1,1,IF(AA154="","",IF(AA154&lt;AsOf,1,IF(AA154&lt;=AsOf+AlertDays,2,IF(AA154&lt;=AsOf+2*AlertDays,3,""))))))</f>
        <v/>
      </c>
      <c r="AC154" s="79">
        <f>IF(AB154="","",IF(AH154=1,IF(Y154="⚠️ Delivery after install date","Delivery after install date: "&amp;B154,"Order late — install at risk: "&amp;B154),IF(AD154=1,IF(AB154=1,"Decision overdue: ","Decide: ")&amp;B154,"Order: "&amp;B154&amp;IF(N154="",""," from "&amp;N154))))</f>
        <v/>
      </c>
      <c r="AD154" s="79">
        <f>IF(AND(B154&lt;&gt;"",K154="",U154&lt;&gt;"Yes",X154&lt;&gt;"Yes"),1,0)</f>
        <v/>
      </c>
      <c r="AE154" s="79">
        <f>IF(AND(AD154=1,T154&lt;&gt;""),IF(T154&lt;AsOf,1,0),0)</f>
        <v/>
      </c>
      <c r="AF154" s="79">
        <f>IF(AND(AD154=1,T154&lt;&gt;""),IF(AND(T154&gt;=AsOf,T154&lt;=AsOf+AlertDays),1,0),0)</f>
        <v/>
      </c>
      <c r="AG154" s="79">
        <f>IF(Y154="Order now",1,0)</f>
        <v/>
      </c>
      <c r="AH154" s="79">
        <f>IF(OR(Y154="⚠️ Order late — install at risk",Y154="⚠️ Delivery after install date"),1,0)</f>
        <v/>
      </c>
      <c r="AI154" s="79">
        <f>IF(AND(B154&lt;&gt;"",K154&lt;&gt;"",U154&lt;&gt;"Yes",X154&lt;&gt;"Yes"),1,0)</f>
        <v/>
      </c>
      <c r="AJ154" s="79">
        <f>IF(Y154="⚠️ Order late — install at risk",1,0)</f>
        <v/>
      </c>
    </row>
    <row r="155" ht="20" customHeight="1">
      <c r="B155" s="72" t="n"/>
      <c r="C155" s="72" t="n"/>
      <c r="D155" s="72" t="n"/>
      <c r="E155" s="72" t="n"/>
      <c r="F155" s="73" t="n"/>
      <c r="G155" s="72" t="n"/>
      <c r="H155" s="73" t="n"/>
      <c r="I155" s="72" t="n"/>
      <c r="J155" s="73" t="n"/>
      <c r="K155" s="74" t="n"/>
      <c r="L155" s="75">
        <f>IF(K155="A",F155,IF(K155="B",H155,IF(K155="C",J155,"")))</f>
        <v/>
      </c>
      <c r="M155" s="72" t="n"/>
      <c r="N155" s="72" t="n"/>
      <c r="O155" s="89" t="n"/>
      <c r="P155" s="89" t="n"/>
      <c r="Q155" s="109" t="n"/>
      <c r="R155" s="120">
        <f>IF(B155="","",IF(Q155&lt;&gt;"",Q155,IF(P155="","",IFERROR(INDEX('Timeline'!$J$7:$J$1006,MATCH(P155,'Timeline'!$B$7:$B$1006,0)),""))))</f>
        <v/>
      </c>
      <c r="S155" s="126">
        <f>IF(R155="","",R155-IF(O155="",0,O155)-OrderBuf)</f>
        <v/>
      </c>
      <c r="T155" s="126">
        <f>IF(S155="","",S155-DecideBuf)</f>
        <v/>
      </c>
      <c r="U155" s="74" t="n"/>
      <c r="V155" s="109" t="n"/>
      <c r="W155" s="109" t="n"/>
      <c r="X155" s="74" t="n"/>
      <c r="Y155" s="116">
        <f>IF(B155="","",IF(X155="Yes","Delivered",IF(U155="Yes",IF(AND(W155&lt;&gt;"",R155&lt;&gt;""),IF(W155&gt;R155,"⚠️ Delivery after install date","Ordered"),"Ordered"),IF(K155="",IF(T155="","Waiting for decision",IF(T155&lt;=AsOf+AlertDays,"Decide now","Waiting for decision")),IF(S155="","Selected",IF(AsOf&gt;S155,"⚠️ Order late — install at risk",IF(S155&lt;=AsOf+AlertDays,"Order now","Selected")))))))</f>
        <v/>
      </c>
      <c r="Z155" s="79">
        <f>IF(B155="","",IF(OR(AH155=1,AE155=1),2,IF(OR(AG155=1,AF155=1),1,IF(OR(Y155="Ordered",Y155="Delivered"),0,""))))</f>
        <v/>
      </c>
      <c r="AA155" s="112">
        <f>IF(B155="","",IF(AH155=1,IF(Y155="⚠️ Delivery after install date",R155,S155),IF(AD155=1,T155,IF(AI155=1,S155,""))))</f>
        <v/>
      </c>
      <c r="AB155" s="79">
        <f>IF(AA155="","",IF(AH155=1,1,IF(AA155="","",IF(AA155&lt;AsOf,1,IF(AA155&lt;=AsOf+AlertDays,2,IF(AA155&lt;=AsOf+2*AlertDays,3,""))))))</f>
        <v/>
      </c>
      <c r="AC155" s="79">
        <f>IF(AB155="","",IF(AH155=1,IF(Y155="⚠️ Delivery after install date","Delivery after install date: "&amp;B155,"Order late — install at risk: "&amp;B155),IF(AD155=1,IF(AB155=1,"Decision overdue: ","Decide: ")&amp;B155,"Order: "&amp;B155&amp;IF(N155="",""," from "&amp;N155))))</f>
        <v/>
      </c>
      <c r="AD155" s="79">
        <f>IF(AND(B155&lt;&gt;"",K155="",U155&lt;&gt;"Yes",X155&lt;&gt;"Yes"),1,0)</f>
        <v/>
      </c>
      <c r="AE155" s="79">
        <f>IF(AND(AD155=1,T155&lt;&gt;""),IF(T155&lt;AsOf,1,0),0)</f>
        <v/>
      </c>
      <c r="AF155" s="79">
        <f>IF(AND(AD155=1,T155&lt;&gt;""),IF(AND(T155&gt;=AsOf,T155&lt;=AsOf+AlertDays),1,0),0)</f>
        <v/>
      </c>
      <c r="AG155" s="79">
        <f>IF(Y155="Order now",1,0)</f>
        <v/>
      </c>
      <c r="AH155" s="79">
        <f>IF(OR(Y155="⚠️ Order late — install at risk",Y155="⚠️ Delivery after install date"),1,0)</f>
        <v/>
      </c>
      <c r="AI155" s="79">
        <f>IF(AND(B155&lt;&gt;"",K155&lt;&gt;"",U155&lt;&gt;"Yes",X155&lt;&gt;"Yes"),1,0)</f>
        <v/>
      </c>
      <c r="AJ155" s="79">
        <f>IF(Y155="⚠️ Order late — install at risk",1,0)</f>
        <v/>
      </c>
    </row>
    <row r="156" ht="20" customHeight="1">
      <c r="B156" s="72" t="n"/>
      <c r="C156" s="72" t="n"/>
      <c r="D156" s="72" t="n"/>
      <c r="E156" s="72" t="n"/>
      <c r="F156" s="73" t="n"/>
      <c r="G156" s="72" t="n"/>
      <c r="H156" s="73" t="n"/>
      <c r="I156" s="72" t="n"/>
      <c r="J156" s="73" t="n"/>
      <c r="K156" s="74" t="n"/>
      <c r="L156" s="75">
        <f>IF(K156="A",F156,IF(K156="B",H156,IF(K156="C",J156,"")))</f>
        <v/>
      </c>
      <c r="M156" s="72" t="n"/>
      <c r="N156" s="72" t="n"/>
      <c r="O156" s="89" t="n"/>
      <c r="P156" s="89" t="n"/>
      <c r="Q156" s="109" t="n"/>
      <c r="R156" s="120">
        <f>IF(B156="","",IF(Q156&lt;&gt;"",Q156,IF(P156="","",IFERROR(INDEX('Timeline'!$J$7:$J$1006,MATCH(P156,'Timeline'!$B$7:$B$1006,0)),""))))</f>
        <v/>
      </c>
      <c r="S156" s="126">
        <f>IF(R156="","",R156-IF(O156="",0,O156)-OrderBuf)</f>
        <v/>
      </c>
      <c r="T156" s="126">
        <f>IF(S156="","",S156-DecideBuf)</f>
        <v/>
      </c>
      <c r="U156" s="74" t="n"/>
      <c r="V156" s="109" t="n"/>
      <c r="W156" s="109" t="n"/>
      <c r="X156" s="74" t="n"/>
      <c r="Y156" s="116">
        <f>IF(B156="","",IF(X156="Yes","Delivered",IF(U156="Yes",IF(AND(W156&lt;&gt;"",R156&lt;&gt;""),IF(W156&gt;R156,"⚠️ Delivery after install date","Ordered"),"Ordered"),IF(K156="",IF(T156="","Waiting for decision",IF(T156&lt;=AsOf+AlertDays,"Decide now","Waiting for decision")),IF(S156="","Selected",IF(AsOf&gt;S156,"⚠️ Order late — install at risk",IF(S156&lt;=AsOf+AlertDays,"Order now","Selected")))))))</f>
        <v/>
      </c>
      <c r="Z156" s="79">
        <f>IF(B156="","",IF(OR(AH156=1,AE156=1),2,IF(OR(AG156=1,AF156=1),1,IF(OR(Y156="Ordered",Y156="Delivered"),0,""))))</f>
        <v/>
      </c>
      <c r="AA156" s="112">
        <f>IF(B156="","",IF(AH156=1,IF(Y156="⚠️ Delivery after install date",R156,S156),IF(AD156=1,T156,IF(AI156=1,S156,""))))</f>
        <v/>
      </c>
      <c r="AB156" s="79">
        <f>IF(AA156="","",IF(AH156=1,1,IF(AA156="","",IF(AA156&lt;AsOf,1,IF(AA156&lt;=AsOf+AlertDays,2,IF(AA156&lt;=AsOf+2*AlertDays,3,""))))))</f>
        <v/>
      </c>
      <c r="AC156" s="79">
        <f>IF(AB156="","",IF(AH156=1,IF(Y156="⚠️ Delivery after install date","Delivery after install date: "&amp;B156,"Order late — install at risk: "&amp;B156),IF(AD156=1,IF(AB156=1,"Decision overdue: ","Decide: ")&amp;B156,"Order: "&amp;B156&amp;IF(N156="",""," from "&amp;N156))))</f>
        <v/>
      </c>
      <c r="AD156" s="79">
        <f>IF(AND(B156&lt;&gt;"",K156="",U156&lt;&gt;"Yes",X156&lt;&gt;"Yes"),1,0)</f>
        <v/>
      </c>
      <c r="AE156" s="79">
        <f>IF(AND(AD156=1,T156&lt;&gt;""),IF(T156&lt;AsOf,1,0),0)</f>
        <v/>
      </c>
      <c r="AF156" s="79">
        <f>IF(AND(AD156=1,T156&lt;&gt;""),IF(AND(T156&gt;=AsOf,T156&lt;=AsOf+AlertDays),1,0),0)</f>
        <v/>
      </c>
      <c r="AG156" s="79">
        <f>IF(Y156="Order now",1,0)</f>
        <v/>
      </c>
      <c r="AH156" s="79">
        <f>IF(OR(Y156="⚠️ Order late — install at risk",Y156="⚠️ Delivery after install date"),1,0)</f>
        <v/>
      </c>
      <c r="AI156" s="79">
        <f>IF(AND(B156&lt;&gt;"",K156&lt;&gt;"",U156&lt;&gt;"Yes",X156&lt;&gt;"Yes"),1,0)</f>
        <v/>
      </c>
      <c r="AJ156" s="79">
        <f>IF(Y156="⚠️ Order late — install at risk",1,0)</f>
        <v/>
      </c>
    </row>
    <row r="157" ht="20" customHeight="1">
      <c r="B157" s="72" t="n"/>
      <c r="C157" s="72" t="n"/>
      <c r="D157" s="72" t="n"/>
      <c r="E157" s="72" t="n"/>
      <c r="F157" s="73" t="n"/>
      <c r="G157" s="72" t="n"/>
      <c r="H157" s="73" t="n"/>
      <c r="I157" s="72" t="n"/>
      <c r="J157" s="73" t="n"/>
      <c r="K157" s="74" t="n"/>
      <c r="L157" s="75">
        <f>IF(K157="A",F157,IF(K157="B",H157,IF(K157="C",J157,"")))</f>
        <v/>
      </c>
      <c r="M157" s="72" t="n"/>
      <c r="N157" s="72" t="n"/>
      <c r="O157" s="89" t="n"/>
      <c r="P157" s="89" t="n"/>
      <c r="Q157" s="109" t="n"/>
      <c r="R157" s="120">
        <f>IF(B157="","",IF(Q157&lt;&gt;"",Q157,IF(P157="","",IFERROR(INDEX('Timeline'!$J$7:$J$1006,MATCH(P157,'Timeline'!$B$7:$B$1006,0)),""))))</f>
        <v/>
      </c>
      <c r="S157" s="126">
        <f>IF(R157="","",R157-IF(O157="",0,O157)-OrderBuf)</f>
        <v/>
      </c>
      <c r="T157" s="126">
        <f>IF(S157="","",S157-DecideBuf)</f>
        <v/>
      </c>
      <c r="U157" s="74" t="n"/>
      <c r="V157" s="109" t="n"/>
      <c r="W157" s="109" t="n"/>
      <c r="X157" s="74" t="n"/>
      <c r="Y157" s="116">
        <f>IF(B157="","",IF(X157="Yes","Delivered",IF(U157="Yes",IF(AND(W157&lt;&gt;"",R157&lt;&gt;""),IF(W157&gt;R157,"⚠️ Delivery after install date","Ordered"),"Ordered"),IF(K157="",IF(T157="","Waiting for decision",IF(T157&lt;=AsOf+AlertDays,"Decide now","Waiting for decision")),IF(S157="","Selected",IF(AsOf&gt;S157,"⚠️ Order late — install at risk",IF(S157&lt;=AsOf+AlertDays,"Order now","Selected")))))))</f>
        <v/>
      </c>
      <c r="Z157" s="79">
        <f>IF(B157="","",IF(OR(AH157=1,AE157=1),2,IF(OR(AG157=1,AF157=1),1,IF(OR(Y157="Ordered",Y157="Delivered"),0,""))))</f>
        <v/>
      </c>
      <c r="AA157" s="112">
        <f>IF(B157="","",IF(AH157=1,IF(Y157="⚠️ Delivery after install date",R157,S157),IF(AD157=1,T157,IF(AI157=1,S157,""))))</f>
        <v/>
      </c>
      <c r="AB157" s="79">
        <f>IF(AA157="","",IF(AH157=1,1,IF(AA157="","",IF(AA157&lt;AsOf,1,IF(AA157&lt;=AsOf+AlertDays,2,IF(AA157&lt;=AsOf+2*AlertDays,3,""))))))</f>
        <v/>
      </c>
      <c r="AC157" s="79">
        <f>IF(AB157="","",IF(AH157=1,IF(Y157="⚠️ Delivery after install date","Delivery after install date: "&amp;B157,"Order late — install at risk: "&amp;B157),IF(AD157=1,IF(AB157=1,"Decision overdue: ","Decide: ")&amp;B157,"Order: "&amp;B157&amp;IF(N157="",""," from "&amp;N157))))</f>
        <v/>
      </c>
      <c r="AD157" s="79">
        <f>IF(AND(B157&lt;&gt;"",K157="",U157&lt;&gt;"Yes",X157&lt;&gt;"Yes"),1,0)</f>
        <v/>
      </c>
      <c r="AE157" s="79">
        <f>IF(AND(AD157=1,T157&lt;&gt;""),IF(T157&lt;AsOf,1,0),0)</f>
        <v/>
      </c>
      <c r="AF157" s="79">
        <f>IF(AND(AD157=1,T157&lt;&gt;""),IF(AND(T157&gt;=AsOf,T157&lt;=AsOf+AlertDays),1,0),0)</f>
        <v/>
      </c>
      <c r="AG157" s="79">
        <f>IF(Y157="Order now",1,0)</f>
        <v/>
      </c>
      <c r="AH157" s="79">
        <f>IF(OR(Y157="⚠️ Order late — install at risk",Y157="⚠️ Delivery after install date"),1,0)</f>
        <v/>
      </c>
      <c r="AI157" s="79">
        <f>IF(AND(B157&lt;&gt;"",K157&lt;&gt;"",U157&lt;&gt;"Yes",X157&lt;&gt;"Yes"),1,0)</f>
        <v/>
      </c>
      <c r="AJ157" s="79">
        <f>IF(Y157="⚠️ Order late — install at risk",1,0)</f>
        <v/>
      </c>
    </row>
    <row r="158" ht="20" customHeight="1">
      <c r="B158" s="72" t="n"/>
      <c r="C158" s="72" t="n"/>
      <c r="D158" s="72" t="n"/>
      <c r="E158" s="72" t="n"/>
      <c r="F158" s="73" t="n"/>
      <c r="G158" s="72" t="n"/>
      <c r="H158" s="73" t="n"/>
      <c r="I158" s="72" t="n"/>
      <c r="J158" s="73" t="n"/>
      <c r="K158" s="74" t="n"/>
      <c r="L158" s="75">
        <f>IF(K158="A",F158,IF(K158="B",H158,IF(K158="C",J158,"")))</f>
        <v/>
      </c>
      <c r="M158" s="72" t="n"/>
      <c r="N158" s="72" t="n"/>
      <c r="O158" s="89" t="n"/>
      <c r="P158" s="89" t="n"/>
      <c r="Q158" s="109" t="n"/>
      <c r="R158" s="120">
        <f>IF(B158="","",IF(Q158&lt;&gt;"",Q158,IF(P158="","",IFERROR(INDEX('Timeline'!$J$7:$J$1006,MATCH(P158,'Timeline'!$B$7:$B$1006,0)),""))))</f>
        <v/>
      </c>
      <c r="S158" s="126">
        <f>IF(R158="","",R158-IF(O158="",0,O158)-OrderBuf)</f>
        <v/>
      </c>
      <c r="T158" s="126">
        <f>IF(S158="","",S158-DecideBuf)</f>
        <v/>
      </c>
      <c r="U158" s="74" t="n"/>
      <c r="V158" s="109" t="n"/>
      <c r="W158" s="109" t="n"/>
      <c r="X158" s="74" t="n"/>
      <c r="Y158" s="116">
        <f>IF(B158="","",IF(X158="Yes","Delivered",IF(U158="Yes",IF(AND(W158&lt;&gt;"",R158&lt;&gt;""),IF(W158&gt;R158,"⚠️ Delivery after install date","Ordered"),"Ordered"),IF(K158="",IF(T158="","Waiting for decision",IF(T158&lt;=AsOf+AlertDays,"Decide now","Waiting for decision")),IF(S158="","Selected",IF(AsOf&gt;S158,"⚠️ Order late — install at risk",IF(S158&lt;=AsOf+AlertDays,"Order now","Selected")))))))</f>
        <v/>
      </c>
      <c r="Z158" s="79">
        <f>IF(B158="","",IF(OR(AH158=1,AE158=1),2,IF(OR(AG158=1,AF158=1),1,IF(OR(Y158="Ordered",Y158="Delivered"),0,""))))</f>
        <v/>
      </c>
      <c r="AA158" s="112">
        <f>IF(B158="","",IF(AH158=1,IF(Y158="⚠️ Delivery after install date",R158,S158),IF(AD158=1,T158,IF(AI158=1,S158,""))))</f>
        <v/>
      </c>
      <c r="AB158" s="79">
        <f>IF(AA158="","",IF(AH158=1,1,IF(AA158="","",IF(AA158&lt;AsOf,1,IF(AA158&lt;=AsOf+AlertDays,2,IF(AA158&lt;=AsOf+2*AlertDays,3,""))))))</f>
        <v/>
      </c>
      <c r="AC158" s="79">
        <f>IF(AB158="","",IF(AH158=1,IF(Y158="⚠️ Delivery after install date","Delivery after install date: "&amp;B158,"Order late — install at risk: "&amp;B158),IF(AD158=1,IF(AB158=1,"Decision overdue: ","Decide: ")&amp;B158,"Order: "&amp;B158&amp;IF(N158="",""," from "&amp;N158))))</f>
        <v/>
      </c>
      <c r="AD158" s="79">
        <f>IF(AND(B158&lt;&gt;"",K158="",U158&lt;&gt;"Yes",X158&lt;&gt;"Yes"),1,0)</f>
        <v/>
      </c>
      <c r="AE158" s="79">
        <f>IF(AND(AD158=1,T158&lt;&gt;""),IF(T158&lt;AsOf,1,0),0)</f>
        <v/>
      </c>
      <c r="AF158" s="79">
        <f>IF(AND(AD158=1,T158&lt;&gt;""),IF(AND(T158&gt;=AsOf,T158&lt;=AsOf+AlertDays),1,0),0)</f>
        <v/>
      </c>
      <c r="AG158" s="79">
        <f>IF(Y158="Order now",1,0)</f>
        <v/>
      </c>
      <c r="AH158" s="79">
        <f>IF(OR(Y158="⚠️ Order late — install at risk",Y158="⚠️ Delivery after install date"),1,0)</f>
        <v/>
      </c>
      <c r="AI158" s="79">
        <f>IF(AND(B158&lt;&gt;"",K158&lt;&gt;"",U158&lt;&gt;"Yes",X158&lt;&gt;"Yes"),1,0)</f>
        <v/>
      </c>
      <c r="AJ158" s="79">
        <f>IF(Y158="⚠️ Order late — install at risk",1,0)</f>
        <v/>
      </c>
    </row>
    <row r="159" ht="20" customHeight="1">
      <c r="B159" s="72" t="n"/>
      <c r="C159" s="72" t="n"/>
      <c r="D159" s="72" t="n"/>
      <c r="E159" s="72" t="n"/>
      <c r="F159" s="73" t="n"/>
      <c r="G159" s="72" t="n"/>
      <c r="H159" s="73" t="n"/>
      <c r="I159" s="72" t="n"/>
      <c r="J159" s="73" t="n"/>
      <c r="K159" s="74" t="n"/>
      <c r="L159" s="75">
        <f>IF(K159="A",F159,IF(K159="B",H159,IF(K159="C",J159,"")))</f>
        <v/>
      </c>
      <c r="M159" s="72" t="n"/>
      <c r="N159" s="72" t="n"/>
      <c r="O159" s="89" t="n"/>
      <c r="P159" s="89" t="n"/>
      <c r="Q159" s="109" t="n"/>
      <c r="R159" s="120">
        <f>IF(B159="","",IF(Q159&lt;&gt;"",Q159,IF(P159="","",IFERROR(INDEX('Timeline'!$J$7:$J$1006,MATCH(P159,'Timeline'!$B$7:$B$1006,0)),""))))</f>
        <v/>
      </c>
      <c r="S159" s="126">
        <f>IF(R159="","",R159-IF(O159="",0,O159)-OrderBuf)</f>
        <v/>
      </c>
      <c r="T159" s="126">
        <f>IF(S159="","",S159-DecideBuf)</f>
        <v/>
      </c>
      <c r="U159" s="74" t="n"/>
      <c r="V159" s="109" t="n"/>
      <c r="W159" s="109" t="n"/>
      <c r="X159" s="74" t="n"/>
      <c r="Y159" s="116">
        <f>IF(B159="","",IF(X159="Yes","Delivered",IF(U159="Yes",IF(AND(W159&lt;&gt;"",R159&lt;&gt;""),IF(W159&gt;R159,"⚠️ Delivery after install date","Ordered"),"Ordered"),IF(K159="",IF(T159="","Waiting for decision",IF(T159&lt;=AsOf+AlertDays,"Decide now","Waiting for decision")),IF(S159="","Selected",IF(AsOf&gt;S159,"⚠️ Order late — install at risk",IF(S159&lt;=AsOf+AlertDays,"Order now","Selected")))))))</f>
        <v/>
      </c>
      <c r="Z159" s="79">
        <f>IF(B159="","",IF(OR(AH159=1,AE159=1),2,IF(OR(AG159=1,AF159=1),1,IF(OR(Y159="Ordered",Y159="Delivered"),0,""))))</f>
        <v/>
      </c>
      <c r="AA159" s="112">
        <f>IF(B159="","",IF(AH159=1,IF(Y159="⚠️ Delivery after install date",R159,S159),IF(AD159=1,T159,IF(AI159=1,S159,""))))</f>
        <v/>
      </c>
      <c r="AB159" s="79">
        <f>IF(AA159="","",IF(AH159=1,1,IF(AA159="","",IF(AA159&lt;AsOf,1,IF(AA159&lt;=AsOf+AlertDays,2,IF(AA159&lt;=AsOf+2*AlertDays,3,""))))))</f>
        <v/>
      </c>
      <c r="AC159" s="79">
        <f>IF(AB159="","",IF(AH159=1,IF(Y159="⚠️ Delivery after install date","Delivery after install date: "&amp;B159,"Order late — install at risk: "&amp;B159),IF(AD159=1,IF(AB159=1,"Decision overdue: ","Decide: ")&amp;B159,"Order: "&amp;B159&amp;IF(N159="",""," from "&amp;N159))))</f>
        <v/>
      </c>
      <c r="AD159" s="79">
        <f>IF(AND(B159&lt;&gt;"",K159="",U159&lt;&gt;"Yes",X159&lt;&gt;"Yes"),1,0)</f>
        <v/>
      </c>
      <c r="AE159" s="79">
        <f>IF(AND(AD159=1,T159&lt;&gt;""),IF(T159&lt;AsOf,1,0),0)</f>
        <v/>
      </c>
      <c r="AF159" s="79">
        <f>IF(AND(AD159=1,T159&lt;&gt;""),IF(AND(T159&gt;=AsOf,T159&lt;=AsOf+AlertDays),1,0),0)</f>
        <v/>
      </c>
      <c r="AG159" s="79">
        <f>IF(Y159="Order now",1,0)</f>
        <v/>
      </c>
      <c r="AH159" s="79">
        <f>IF(OR(Y159="⚠️ Order late — install at risk",Y159="⚠️ Delivery after install date"),1,0)</f>
        <v/>
      </c>
      <c r="AI159" s="79">
        <f>IF(AND(B159&lt;&gt;"",K159&lt;&gt;"",U159&lt;&gt;"Yes",X159&lt;&gt;"Yes"),1,0)</f>
        <v/>
      </c>
      <c r="AJ159" s="79">
        <f>IF(Y159="⚠️ Order late — install at risk",1,0)</f>
        <v/>
      </c>
    </row>
    <row r="160" ht="20" customHeight="1">
      <c r="B160" s="72" t="n"/>
      <c r="C160" s="72" t="n"/>
      <c r="D160" s="72" t="n"/>
      <c r="E160" s="72" t="n"/>
      <c r="F160" s="73" t="n"/>
      <c r="G160" s="72" t="n"/>
      <c r="H160" s="73" t="n"/>
      <c r="I160" s="72" t="n"/>
      <c r="J160" s="73" t="n"/>
      <c r="K160" s="74" t="n"/>
      <c r="L160" s="75">
        <f>IF(K160="A",F160,IF(K160="B",H160,IF(K160="C",J160,"")))</f>
        <v/>
      </c>
      <c r="M160" s="72" t="n"/>
      <c r="N160" s="72" t="n"/>
      <c r="O160" s="89" t="n"/>
      <c r="P160" s="89" t="n"/>
      <c r="Q160" s="109" t="n"/>
      <c r="R160" s="120">
        <f>IF(B160="","",IF(Q160&lt;&gt;"",Q160,IF(P160="","",IFERROR(INDEX('Timeline'!$J$7:$J$1006,MATCH(P160,'Timeline'!$B$7:$B$1006,0)),""))))</f>
        <v/>
      </c>
      <c r="S160" s="126">
        <f>IF(R160="","",R160-IF(O160="",0,O160)-OrderBuf)</f>
        <v/>
      </c>
      <c r="T160" s="126">
        <f>IF(S160="","",S160-DecideBuf)</f>
        <v/>
      </c>
      <c r="U160" s="74" t="n"/>
      <c r="V160" s="109" t="n"/>
      <c r="W160" s="109" t="n"/>
      <c r="X160" s="74" t="n"/>
      <c r="Y160" s="116">
        <f>IF(B160="","",IF(X160="Yes","Delivered",IF(U160="Yes",IF(AND(W160&lt;&gt;"",R160&lt;&gt;""),IF(W160&gt;R160,"⚠️ Delivery after install date","Ordered"),"Ordered"),IF(K160="",IF(T160="","Waiting for decision",IF(T160&lt;=AsOf+AlertDays,"Decide now","Waiting for decision")),IF(S160="","Selected",IF(AsOf&gt;S160,"⚠️ Order late — install at risk",IF(S160&lt;=AsOf+AlertDays,"Order now","Selected")))))))</f>
        <v/>
      </c>
      <c r="Z160" s="79">
        <f>IF(B160="","",IF(OR(AH160=1,AE160=1),2,IF(OR(AG160=1,AF160=1),1,IF(OR(Y160="Ordered",Y160="Delivered"),0,""))))</f>
        <v/>
      </c>
      <c r="AA160" s="112">
        <f>IF(B160="","",IF(AH160=1,IF(Y160="⚠️ Delivery after install date",R160,S160),IF(AD160=1,T160,IF(AI160=1,S160,""))))</f>
        <v/>
      </c>
      <c r="AB160" s="79">
        <f>IF(AA160="","",IF(AH160=1,1,IF(AA160="","",IF(AA160&lt;AsOf,1,IF(AA160&lt;=AsOf+AlertDays,2,IF(AA160&lt;=AsOf+2*AlertDays,3,""))))))</f>
        <v/>
      </c>
      <c r="AC160" s="79">
        <f>IF(AB160="","",IF(AH160=1,IF(Y160="⚠️ Delivery after install date","Delivery after install date: "&amp;B160,"Order late — install at risk: "&amp;B160),IF(AD160=1,IF(AB160=1,"Decision overdue: ","Decide: ")&amp;B160,"Order: "&amp;B160&amp;IF(N160="",""," from "&amp;N160))))</f>
        <v/>
      </c>
      <c r="AD160" s="79">
        <f>IF(AND(B160&lt;&gt;"",K160="",U160&lt;&gt;"Yes",X160&lt;&gt;"Yes"),1,0)</f>
        <v/>
      </c>
      <c r="AE160" s="79">
        <f>IF(AND(AD160=1,T160&lt;&gt;""),IF(T160&lt;AsOf,1,0),0)</f>
        <v/>
      </c>
      <c r="AF160" s="79">
        <f>IF(AND(AD160=1,T160&lt;&gt;""),IF(AND(T160&gt;=AsOf,T160&lt;=AsOf+AlertDays),1,0),0)</f>
        <v/>
      </c>
      <c r="AG160" s="79">
        <f>IF(Y160="Order now",1,0)</f>
        <v/>
      </c>
      <c r="AH160" s="79">
        <f>IF(OR(Y160="⚠️ Order late — install at risk",Y160="⚠️ Delivery after install date"),1,0)</f>
        <v/>
      </c>
      <c r="AI160" s="79">
        <f>IF(AND(B160&lt;&gt;"",K160&lt;&gt;"",U160&lt;&gt;"Yes",X160&lt;&gt;"Yes"),1,0)</f>
        <v/>
      </c>
      <c r="AJ160" s="79">
        <f>IF(Y160="⚠️ Order late — install at risk",1,0)</f>
        <v/>
      </c>
    </row>
    <row r="161" ht="20" customHeight="1">
      <c r="B161" s="72" t="n"/>
      <c r="C161" s="72" t="n"/>
      <c r="D161" s="72" t="n"/>
      <c r="E161" s="72" t="n"/>
      <c r="F161" s="73" t="n"/>
      <c r="G161" s="72" t="n"/>
      <c r="H161" s="73" t="n"/>
      <c r="I161" s="72" t="n"/>
      <c r="J161" s="73" t="n"/>
      <c r="K161" s="74" t="n"/>
      <c r="L161" s="75">
        <f>IF(K161="A",F161,IF(K161="B",H161,IF(K161="C",J161,"")))</f>
        <v/>
      </c>
      <c r="M161" s="72" t="n"/>
      <c r="N161" s="72" t="n"/>
      <c r="O161" s="89" t="n"/>
      <c r="P161" s="89" t="n"/>
      <c r="Q161" s="109" t="n"/>
      <c r="R161" s="120">
        <f>IF(B161="","",IF(Q161&lt;&gt;"",Q161,IF(P161="","",IFERROR(INDEX('Timeline'!$J$7:$J$1006,MATCH(P161,'Timeline'!$B$7:$B$1006,0)),""))))</f>
        <v/>
      </c>
      <c r="S161" s="126">
        <f>IF(R161="","",R161-IF(O161="",0,O161)-OrderBuf)</f>
        <v/>
      </c>
      <c r="T161" s="126">
        <f>IF(S161="","",S161-DecideBuf)</f>
        <v/>
      </c>
      <c r="U161" s="74" t="n"/>
      <c r="V161" s="109" t="n"/>
      <c r="W161" s="109" t="n"/>
      <c r="X161" s="74" t="n"/>
      <c r="Y161" s="116">
        <f>IF(B161="","",IF(X161="Yes","Delivered",IF(U161="Yes",IF(AND(W161&lt;&gt;"",R161&lt;&gt;""),IF(W161&gt;R161,"⚠️ Delivery after install date","Ordered"),"Ordered"),IF(K161="",IF(T161="","Waiting for decision",IF(T161&lt;=AsOf+AlertDays,"Decide now","Waiting for decision")),IF(S161="","Selected",IF(AsOf&gt;S161,"⚠️ Order late — install at risk",IF(S161&lt;=AsOf+AlertDays,"Order now","Selected")))))))</f>
        <v/>
      </c>
      <c r="Z161" s="79">
        <f>IF(B161="","",IF(OR(AH161=1,AE161=1),2,IF(OR(AG161=1,AF161=1),1,IF(OR(Y161="Ordered",Y161="Delivered"),0,""))))</f>
        <v/>
      </c>
      <c r="AA161" s="112">
        <f>IF(B161="","",IF(AH161=1,IF(Y161="⚠️ Delivery after install date",R161,S161),IF(AD161=1,T161,IF(AI161=1,S161,""))))</f>
        <v/>
      </c>
      <c r="AB161" s="79">
        <f>IF(AA161="","",IF(AH161=1,1,IF(AA161="","",IF(AA161&lt;AsOf,1,IF(AA161&lt;=AsOf+AlertDays,2,IF(AA161&lt;=AsOf+2*AlertDays,3,""))))))</f>
        <v/>
      </c>
      <c r="AC161" s="79">
        <f>IF(AB161="","",IF(AH161=1,IF(Y161="⚠️ Delivery after install date","Delivery after install date: "&amp;B161,"Order late — install at risk: "&amp;B161),IF(AD161=1,IF(AB161=1,"Decision overdue: ","Decide: ")&amp;B161,"Order: "&amp;B161&amp;IF(N161="",""," from "&amp;N161))))</f>
        <v/>
      </c>
      <c r="AD161" s="79">
        <f>IF(AND(B161&lt;&gt;"",K161="",U161&lt;&gt;"Yes",X161&lt;&gt;"Yes"),1,0)</f>
        <v/>
      </c>
      <c r="AE161" s="79">
        <f>IF(AND(AD161=1,T161&lt;&gt;""),IF(T161&lt;AsOf,1,0),0)</f>
        <v/>
      </c>
      <c r="AF161" s="79">
        <f>IF(AND(AD161=1,T161&lt;&gt;""),IF(AND(T161&gt;=AsOf,T161&lt;=AsOf+AlertDays),1,0),0)</f>
        <v/>
      </c>
      <c r="AG161" s="79">
        <f>IF(Y161="Order now",1,0)</f>
        <v/>
      </c>
      <c r="AH161" s="79">
        <f>IF(OR(Y161="⚠️ Order late — install at risk",Y161="⚠️ Delivery after install date"),1,0)</f>
        <v/>
      </c>
      <c r="AI161" s="79">
        <f>IF(AND(B161&lt;&gt;"",K161&lt;&gt;"",U161&lt;&gt;"Yes",X161&lt;&gt;"Yes"),1,0)</f>
        <v/>
      </c>
      <c r="AJ161" s="79">
        <f>IF(Y161="⚠️ Order late — install at risk",1,0)</f>
        <v/>
      </c>
    </row>
    <row r="162" ht="20" customHeight="1">
      <c r="B162" s="72" t="n"/>
      <c r="C162" s="72" t="n"/>
      <c r="D162" s="72" t="n"/>
      <c r="E162" s="72" t="n"/>
      <c r="F162" s="73" t="n"/>
      <c r="G162" s="72" t="n"/>
      <c r="H162" s="73" t="n"/>
      <c r="I162" s="72" t="n"/>
      <c r="J162" s="73" t="n"/>
      <c r="K162" s="74" t="n"/>
      <c r="L162" s="75">
        <f>IF(K162="A",F162,IF(K162="B",H162,IF(K162="C",J162,"")))</f>
        <v/>
      </c>
      <c r="M162" s="72" t="n"/>
      <c r="N162" s="72" t="n"/>
      <c r="O162" s="89" t="n"/>
      <c r="P162" s="89" t="n"/>
      <c r="Q162" s="109" t="n"/>
      <c r="R162" s="120">
        <f>IF(B162="","",IF(Q162&lt;&gt;"",Q162,IF(P162="","",IFERROR(INDEX('Timeline'!$J$7:$J$1006,MATCH(P162,'Timeline'!$B$7:$B$1006,0)),""))))</f>
        <v/>
      </c>
      <c r="S162" s="126">
        <f>IF(R162="","",R162-IF(O162="",0,O162)-OrderBuf)</f>
        <v/>
      </c>
      <c r="T162" s="126">
        <f>IF(S162="","",S162-DecideBuf)</f>
        <v/>
      </c>
      <c r="U162" s="74" t="n"/>
      <c r="V162" s="109" t="n"/>
      <c r="W162" s="109" t="n"/>
      <c r="X162" s="74" t="n"/>
      <c r="Y162" s="116">
        <f>IF(B162="","",IF(X162="Yes","Delivered",IF(U162="Yes",IF(AND(W162&lt;&gt;"",R162&lt;&gt;""),IF(W162&gt;R162,"⚠️ Delivery after install date","Ordered"),"Ordered"),IF(K162="",IF(T162="","Waiting for decision",IF(T162&lt;=AsOf+AlertDays,"Decide now","Waiting for decision")),IF(S162="","Selected",IF(AsOf&gt;S162,"⚠️ Order late — install at risk",IF(S162&lt;=AsOf+AlertDays,"Order now","Selected")))))))</f>
        <v/>
      </c>
      <c r="Z162" s="79">
        <f>IF(B162="","",IF(OR(AH162=1,AE162=1),2,IF(OR(AG162=1,AF162=1),1,IF(OR(Y162="Ordered",Y162="Delivered"),0,""))))</f>
        <v/>
      </c>
      <c r="AA162" s="112">
        <f>IF(B162="","",IF(AH162=1,IF(Y162="⚠️ Delivery after install date",R162,S162),IF(AD162=1,T162,IF(AI162=1,S162,""))))</f>
        <v/>
      </c>
      <c r="AB162" s="79">
        <f>IF(AA162="","",IF(AH162=1,1,IF(AA162="","",IF(AA162&lt;AsOf,1,IF(AA162&lt;=AsOf+AlertDays,2,IF(AA162&lt;=AsOf+2*AlertDays,3,""))))))</f>
        <v/>
      </c>
      <c r="AC162" s="79">
        <f>IF(AB162="","",IF(AH162=1,IF(Y162="⚠️ Delivery after install date","Delivery after install date: "&amp;B162,"Order late — install at risk: "&amp;B162),IF(AD162=1,IF(AB162=1,"Decision overdue: ","Decide: ")&amp;B162,"Order: "&amp;B162&amp;IF(N162="",""," from "&amp;N162))))</f>
        <v/>
      </c>
      <c r="AD162" s="79">
        <f>IF(AND(B162&lt;&gt;"",K162="",U162&lt;&gt;"Yes",X162&lt;&gt;"Yes"),1,0)</f>
        <v/>
      </c>
      <c r="AE162" s="79">
        <f>IF(AND(AD162=1,T162&lt;&gt;""),IF(T162&lt;AsOf,1,0),0)</f>
        <v/>
      </c>
      <c r="AF162" s="79">
        <f>IF(AND(AD162=1,T162&lt;&gt;""),IF(AND(T162&gt;=AsOf,T162&lt;=AsOf+AlertDays),1,0),0)</f>
        <v/>
      </c>
      <c r="AG162" s="79">
        <f>IF(Y162="Order now",1,0)</f>
        <v/>
      </c>
      <c r="AH162" s="79">
        <f>IF(OR(Y162="⚠️ Order late — install at risk",Y162="⚠️ Delivery after install date"),1,0)</f>
        <v/>
      </c>
      <c r="AI162" s="79">
        <f>IF(AND(B162&lt;&gt;"",K162&lt;&gt;"",U162&lt;&gt;"Yes",X162&lt;&gt;"Yes"),1,0)</f>
        <v/>
      </c>
      <c r="AJ162" s="79">
        <f>IF(Y162="⚠️ Order late — install at risk",1,0)</f>
        <v/>
      </c>
    </row>
    <row r="163" ht="20" customHeight="1">
      <c r="B163" s="72" t="n"/>
      <c r="C163" s="72" t="n"/>
      <c r="D163" s="72" t="n"/>
      <c r="E163" s="72" t="n"/>
      <c r="F163" s="73" t="n"/>
      <c r="G163" s="72" t="n"/>
      <c r="H163" s="73" t="n"/>
      <c r="I163" s="72" t="n"/>
      <c r="J163" s="73" t="n"/>
      <c r="K163" s="74" t="n"/>
      <c r="L163" s="75">
        <f>IF(K163="A",F163,IF(K163="B",H163,IF(K163="C",J163,"")))</f>
        <v/>
      </c>
      <c r="M163" s="72" t="n"/>
      <c r="N163" s="72" t="n"/>
      <c r="O163" s="89" t="n"/>
      <c r="P163" s="89" t="n"/>
      <c r="Q163" s="109" t="n"/>
      <c r="R163" s="120">
        <f>IF(B163="","",IF(Q163&lt;&gt;"",Q163,IF(P163="","",IFERROR(INDEX('Timeline'!$J$7:$J$1006,MATCH(P163,'Timeline'!$B$7:$B$1006,0)),""))))</f>
        <v/>
      </c>
      <c r="S163" s="126">
        <f>IF(R163="","",R163-IF(O163="",0,O163)-OrderBuf)</f>
        <v/>
      </c>
      <c r="T163" s="126">
        <f>IF(S163="","",S163-DecideBuf)</f>
        <v/>
      </c>
      <c r="U163" s="74" t="n"/>
      <c r="V163" s="109" t="n"/>
      <c r="W163" s="109" t="n"/>
      <c r="X163" s="74" t="n"/>
      <c r="Y163" s="116">
        <f>IF(B163="","",IF(X163="Yes","Delivered",IF(U163="Yes",IF(AND(W163&lt;&gt;"",R163&lt;&gt;""),IF(W163&gt;R163,"⚠️ Delivery after install date","Ordered"),"Ordered"),IF(K163="",IF(T163="","Waiting for decision",IF(T163&lt;=AsOf+AlertDays,"Decide now","Waiting for decision")),IF(S163="","Selected",IF(AsOf&gt;S163,"⚠️ Order late — install at risk",IF(S163&lt;=AsOf+AlertDays,"Order now","Selected")))))))</f>
        <v/>
      </c>
      <c r="Z163" s="79">
        <f>IF(B163="","",IF(OR(AH163=1,AE163=1),2,IF(OR(AG163=1,AF163=1),1,IF(OR(Y163="Ordered",Y163="Delivered"),0,""))))</f>
        <v/>
      </c>
      <c r="AA163" s="112">
        <f>IF(B163="","",IF(AH163=1,IF(Y163="⚠️ Delivery after install date",R163,S163),IF(AD163=1,T163,IF(AI163=1,S163,""))))</f>
        <v/>
      </c>
      <c r="AB163" s="79">
        <f>IF(AA163="","",IF(AH163=1,1,IF(AA163="","",IF(AA163&lt;AsOf,1,IF(AA163&lt;=AsOf+AlertDays,2,IF(AA163&lt;=AsOf+2*AlertDays,3,""))))))</f>
        <v/>
      </c>
      <c r="AC163" s="79">
        <f>IF(AB163="","",IF(AH163=1,IF(Y163="⚠️ Delivery after install date","Delivery after install date: "&amp;B163,"Order late — install at risk: "&amp;B163),IF(AD163=1,IF(AB163=1,"Decision overdue: ","Decide: ")&amp;B163,"Order: "&amp;B163&amp;IF(N163="",""," from "&amp;N163))))</f>
        <v/>
      </c>
      <c r="AD163" s="79">
        <f>IF(AND(B163&lt;&gt;"",K163="",U163&lt;&gt;"Yes",X163&lt;&gt;"Yes"),1,0)</f>
        <v/>
      </c>
      <c r="AE163" s="79">
        <f>IF(AND(AD163=1,T163&lt;&gt;""),IF(T163&lt;AsOf,1,0),0)</f>
        <v/>
      </c>
      <c r="AF163" s="79">
        <f>IF(AND(AD163=1,T163&lt;&gt;""),IF(AND(T163&gt;=AsOf,T163&lt;=AsOf+AlertDays),1,0),0)</f>
        <v/>
      </c>
      <c r="AG163" s="79">
        <f>IF(Y163="Order now",1,0)</f>
        <v/>
      </c>
      <c r="AH163" s="79">
        <f>IF(OR(Y163="⚠️ Order late — install at risk",Y163="⚠️ Delivery after install date"),1,0)</f>
        <v/>
      </c>
      <c r="AI163" s="79">
        <f>IF(AND(B163&lt;&gt;"",K163&lt;&gt;"",U163&lt;&gt;"Yes",X163&lt;&gt;"Yes"),1,0)</f>
        <v/>
      </c>
      <c r="AJ163" s="79">
        <f>IF(Y163="⚠️ Order late — install at risk",1,0)</f>
        <v/>
      </c>
    </row>
    <row r="164" ht="20" customHeight="1">
      <c r="B164" s="72" t="n"/>
      <c r="C164" s="72" t="n"/>
      <c r="D164" s="72" t="n"/>
      <c r="E164" s="72" t="n"/>
      <c r="F164" s="73" t="n"/>
      <c r="G164" s="72" t="n"/>
      <c r="H164" s="73" t="n"/>
      <c r="I164" s="72" t="n"/>
      <c r="J164" s="73" t="n"/>
      <c r="K164" s="74" t="n"/>
      <c r="L164" s="75">
        <f>IF(K164="A",F164,IF(K164="B",H164,IF(K164="C",J164,"")))</f>
        <v/>
      </c>
      <c r="M164" s="72" t="n"/>
      <c r="N164" s="72" t="n"/>
      <c r="O164" s="89" t="n"/>
      <c r="P164" s="89" t="n"/>
      <c r="Q164" s="109" t="n"/>
      <c r="R164" s="120">
        <f>IF(B164="","",IF(Q164&lt;&gt;"",Q164,IF(P164="","",IFERROR(INDEX('Timeline'!$J$7:$J$1006,MATCH(P164,'Timeline'!$B$7:$B$1006,0)),""))))</f>
        <v/>
      </c>
      <c r="S164" s="126">
        <f>IF(R164="","",R164-IF(O164="",0,O164)-OrderBuf)</f>
        <v/>
      </c>
      <c r="T164" s="126">
        <f>IF(S164="","",S164-DecideBuf)</f>
        <v/>
      </c>
      <c r="U164" s="74" t="n"/>
      <c r="V164" s="109" t="n"/>
      <c r="W164" s="109" t="n"/>
      <c r="X164" s="74" t="n"/>
      <c r="Y164" s="116">
        <f>IF(B164="","",IF(X164="Yes","Delivered",IF(U164="Yes",IF(AND(W164&lt;&gt;"",R164&lt;&gt;""),IF(W164&gt;R164,"⚠️ Delivery after install date","Ordered"),"Ordered"),IF(K164="",IF(T164="","Waiting for decision",IF(T164&lt;=AsOf+AlertDays,"Decide now","Waiting for decision")),IF(S164="","Selected",IF(AsOf&gt;S164,"⚠️ Order late — install at risk",IF(S164&lt;=AsOf+AlertDays,"Order now","Selected")))))))</f>
        <v/>
      </c>
      <c r="Z164" s="79">
        <f>IF(B164="","",IF(OR(AH164=1,AE164=1),2,IF(OR(AG164=1,AF164=1),1,IF(OR(Y164="Ordered",Y164="Delivered"),0,""))))</f>
        <v/>
      </c>
      <c r="AA164" s="112">
        <f>IF(B164="","",IF(AH164=1,IF(Y164="⚠️ Delivery after install date",R164,S164),IF(AD164=1,T164,IF(AI164=1,S164,""))))</f>
        <v/>
      </c>
      <c r="AB164" s="79">
        <f>IF(AA164="","",IF(AH164=1,1,IF(AA164="","",IF(AA164&lt;AsOf,1,IF(AA164&lt;=AsOf+AlertDays,2,IF(AA164&lt;=AsOf+2*AlertDays,3,""))))))</f>
        <v/>
      </c>
      <c r="AC164" s="79">
        <f>IF(AB164="","",IF(AH164=1,IF(Y164="⚠️ Delivery after install date","Delivery after install date: "&amp;B164,"Order late — install at risk: "&amp;B164),IF(AD164=1,IF(AB164=1,"Decision overdue: ","Decide: ")&amp;B164,"Order: "&amp;B164&amp;IF(N164="",""," from "&amp;N164))))</f>
        <v/>
      </c>
      <c r="AD164" s="79">
        <f>IF(AND(B164&lt;&gt;"",K164="",U164&lt;&gt;"Yes",X164&lt;&gt;"Yes"),1,0)</f>
        <v/>
      </c>
      <c r="AE164" s="79">
        <f>IF(AND(AD164=1,T164&lt;&gt;""),IF(T164&lt;AsOf,1,0),0)</f>
        <v/>
      </c>
      <c r="AF164" s="79">
        <f>IF(AND(AD164=1,T164&lt;&gt;""),IF(AND(T164&gt;=AsOf,T164&lt;=AsOf+AlertDays),1,0),0)</f>
        <v/>
      </c>
      <c r="AG164" s="79">
        <f>IF(Y164="Order now",1,0)</f>
        <v/>
      </c>
      <c r="AH164" s="79">
        <f>IF(OR(Y164="⚠️ Order late — install at risk",Y164="⚠️ Delivery after install date"),1,0)</f>
        <v/>
      </c>
      <c r="AI164" s="79">
        <f>IF(AND(B164&lt;&gt;"",K164&lt;&gt;"",U164&lt;&gt;"Yes",X164&lt;&gt;"Yes"),1,0)</f>
        <v/>
      </c>
      <c r="AJ164" s="79">
        <f>IF(Y164="⚠️ Order late — install at risk",1,0)</f>
        <v/>
      </c>
    </row>
    <row r="165" ht="20" customHeight="1">
      <c r="B165" s="72" t="n"/>
      <c r="C165" s="72" t="n"/>
      <c r="D165" s="72" t="n"/>
      <c r="E165" s="72" t="n"/>
      <c r="F165" s="73" t="n"/>
      <c r="G165" s="72" t="n"/>
      <c r="H165" s="73" t="n"/>
      <c r="I165" s="72" t="n"/>
      <c r="J165" s="73" t="n"/>
      <c r="K165" s="74" t="n"/>
      <c r="L165" s="75">
        <f>IF(K165="A",F165,IF(K165="B",H165,IF(K165="C",J165,"")))</f>
        <v/>
      </c>
      <c r="M165" s="72" t="n"/>
      <c r="N165" s="72" t="n"/>
      <c r="O165" s="89" t="n"/>
      <c r="P165" s="89" t="n"/>
      <c r="Q165" s="109" t="n"/>
      <c r="R165" s="120">
        <f>IF(B165="","",IF(Q165&lt;&gt;"",Q165,IF(P165="","",IFERROR(INDEX('Timeline'!$J$7:$J$1006,MATCH(P165,'Timeline'!$B$7:$B$1006,0)),""))))</f>
        <v/>
      </c>
      <c r="S165" s="126">
        <f>IF(R165="","",R165-IF(O165="",0,O165)-OrderBuf)</f>
        <v/>
      </c>
      <c r="T165" s="126">
        <f>IF(S165="","",S165-DecideBuf)</f>
        <v/>
      </c>
      <c r="U165" s="74" t="n"/>
      <c r="V165" s="109" t="n"/>
      <c r="W165" s="109" t="n"/>
      <c r="X165" s="74" t="n"/>
      <c r="Y165" s="116">
        <f>IF(B165="","",IF(X165="Yes","Delivered",IF(U165="Yes",IF(AND(W165&lt;&gt;"",R165&lt;&gt;""),IF(W165&gt;R165,"⚠️ Delivery after install date","Ordered"),"Ordered"),IF(K165="",IF(T165="","Waiting for decision",IF(T165&lt;=AsOf+AlertDays,"Decide now","Waiting for decision")),IF(S165="","Selected",IF(AsOf&gt;S165,"⚠️ Order late — install at risk",IF(S165&lt;=AsOf+AlertDays,"Order now","Selected")))))))</f>
        <v/>
      </c>
      <c r="Z165" s="79">
        <f>IF(B165="","",IF(OR(AH165=1,AE165=1),2,IF(OR(AG165=1,AF165=1),1,IF(OR(Y165="Ordered",Y165="Delivered"),0,""))))</f>
        <v/>
      </c>
      <c r="AA165" s="112">
        <f>IF(B165="","",IF(AH165=1,IF(Y165="⚠️ Delivery after install date",R165,S165),IF(AD165=1,T165,IF(AI165=1,S165,""))))</f>
        <v/>
      </c>
      <c r="AB165" s="79">
        <f>IF(AA165="","",IF(AH165=1,1,IF(AA165="","",IF(AA165&lt;AsOf,1,IF(AA165&lt;=AsOf+AlertDays,2,IF(AA165&lt;=AsOf+2*AlertDays,3,""))))))</f>
        <v/>
      </c>
      <c r="AC165" s="79">
        <f>IF(AB165="","",IF(AH165=1,IF(Y165="⚠️ Delivery after install date","Delivery after install date: "&amp;B165,"Order late — install at risk: "&amp;B165),IF(AD165=1,IF(AB165=1,"Decision overdue: ","Decide: ")&amp;B165,"Order: "&amp;B165&amp;IF(N165="",""," from "&amp;N165))))</f>
        <v/>
      </c>
      <c r="AD165" s="79">
        <f>IF(AND(B165&lt;&gt;"",K165="",U165&lt;&gt;"Yes",X165&lt;&gt;"Yes"),1,0)</f>
        <v/>
      </c>
      <c r="AE165" s="79">
        <f>IF(AND(AD165=1,T165&lt;&gt;""),IF(T165&lt;AsOf,1,0),0)</f>
        <v/>
      </c>
      <c r="AF165" s="79">
        <f>IF(AND(AD165=1,T165&lt;&gt;""),IF(AND(T165&gt;=AsOf,T165&lt;=AsOf+AlertDays),1,0),0)</f>
        <v/>
      </c>
      <c r="AG165" s="79">
        <f>IF(Y165="Order now",1,0)</f>
        <v/>
      </c>
      <c r="AH165" s="79">
        <f>IF(OR(Y165="⚠️ Order late — install at risk",Y165="⚠️ Delivery after install date"),1,0)</f>
        <v/>
      </c>
      <c r="AI165" s="79">
        <f>IF(AND(B165&lt;&gt;"",K165&lt;&gt;"",U165&lt;&gt;"Yes",X165&lt;&gt;"Yes"),1,0)</f>
        <v/>
      </c>
      <c r="AJ165" s="79">
        <f>IF(Y165="⚠️ Order late — install at risk",1,0)</f>
        <v/>
      </c>
    </row>
    <row r="166" ht="20" customHeight="1">
      <c r="B166" s="72" t="n"/>
      <c r="C166" s="72" t="n"/>
      <c r="D166" s="72" t="n"/>
      <c r="E166" s="72" t="n"/>
      <c r="F166" s="73" t="n"/>
      <c r="G166" s="72" t="n"/>
      <c r="H166" s="73" t="n"/>
      <c r="I166" s="72" t="n"/>
      <c r="J166" s="73" t="n"/>
      <c r="K166" s="74" t="n"/>
      <c r="L166" s="75">
        <f>IF(K166="A",F166,IF(K166="B",H166,IF(K166="C",J166,"")))</f>
        <v/>
      </c>
      <c r="M166" s="72" t="n"/>
      <c r="N166" s="72" t="n"/>
      <c r="O166" s="89" t="n"/>
      <c r="P166" s="89" t="n"/>
      <c r="Q166" s="109" t="n"/>
      <c r="R166" s="120">
        <f>IF(B166="","",IF(Q166&lt;&gt;"",Q166,IF(P166="","",IFERROR(INDEX('Timeline'!$J$7:$J$1006,MATCH(P166,'Timeline'!$B$7:$B$1006,0)),""))))</f>
        <v/>
      </c>
      <c r="S166" s="126">
        <f>IF(R166="","",R166-IF(O166="",0,O166)-OrderBuf)</f>
        <v/>
      </c>
      <c r="T166" s="126">
        <f>IF(S166="","",S166-DecideBuf)</f>
        <v/>
      </c>
      <c r="U166" s="74" t="n"/>
      <c r="V166" s="109" t="n"/>
      <c r="W166" s="109" t="n"/>
      <c r="X166" s="74" t="n"/>
      <c r="Y166" s="116">
        <f>IF(B166="","",IF(X166="Yes","Delivered",IF(U166="Yes",IF(AND(W166&lt;&gt;"",R166&lt;&gt;""),IF(W166&gt;R166,"⚠️ Delivery after install date","Ordered"),"Ordered"),IF(K166="",IF(T166="","Waiting for decision",IF(T166&lt;=AsOf+AlertDays,"Decide now","Waiting for decision")),IF(S166="","Selected",IF(AsOf&gt;S166,"⚠️ Order late — install at risk",IF(S166&lt;=AsOf+AlertDays,"Order now","Selected")))))))</f>
        <v/>
      </c>
      <c r="Z166" s="79">
        <f>IF(B166="","",IF(OR(AH166=1,AE166=1),2,IF(OR(AG166=1,AF166=1),1,IF(OR(Y166="Ordered",Y166="Delivered"),0,""))))</f>
        <v/>
      </c>
      <c r="AA166" s="112">
        <f>IF(B166="","",IF(AH166=1,IF(Y166="⚠️ Delivery after install date",R166,S166),IF(AD166=1,T166,IF(AI166=1,S166,""))))</f>
        <v/>
      </c>
      <c r="AB166" s="79">
        <f>IF(AA166="","",IF(AH166=1,1,IF(AA166="","",IF(AA166&lt;AsOf,1,IF(AA166&lt;=AsOf+AlertDays,2,IF(AA166&lt;=AsOf+2*AlertDays,3,""))))))</f>
        <v/>
      </c>
      <c r="AC166" s="79">
        <f>IF(AB166="","",IF(AH166=1,IF(Y166="⚠️ Delivery after install date","Delivery after install date: "&amp;B166,"Order late — install at risk: "&amp;B166),IF(AD166=1,IF(AB166=1,"Decision overdue: ","Decide: ")&amp;B166,"Order: "&amp;B166&amp;IF(N166="",""," from "&amp;N166))))</f>
        <v/>
      </c>
      <c r="AD166" s="79">
        <f>IF(AND(B166&lt;&gt;"",K166="",U166&lt;&gt;"Yes",X166&lt;&gt;"Yes"),1,0)</f>
        <v/>
      </c>
      <c r="AE166" s="79">
        <f>IF(AND(AD166=1,T166&lt;&gt;""),IF(T166&lt;AsOf,1,0),0)</f>
        <v/>
      </c>
      <c r="AF166" s="79">
        <f>IF(AND(AD166=1,T166&lt;&gt;""),IF(AND(T166&gt;=AsOf,T166&lt;=AsOf+AlertDays),1,0),0)</f>
        <v/>
      </c>
      <c r="AG166" s="79">
        <f>IF(Y166="Order now",1,0)</f>
        <v/>
      </c>
      <c r="AH166" s="79">
        <f>IF(OR(Y166="⚠️ Order late — install at risk",Y166="⚠️ Delivery after install date"),1,0)</f>
        <v/>
      </c>
      <c r="AI166" s="79">
        <f>IF(AND(B166&lt;&gt;"",K166&lt;&gt;"",U166&lt;&gt;"Yes",X166&lt;&gt;"Yes"),1,0)</f>
        <v/>
      </c>
      <c r="AJ166" s="79">
        <f>IF(Y166="⚠️ Order late — install at risk",1,0)</f>
        <v/>
      </c>
    </row>
    <row r="167" ht="20" customHeight="1">
      <c r="B167" s="72" t="n"/>
      <c r="C167" s="72" t="n"/>
      <c r="D167" s="72" t="n"/>
      <c r="E167" s="72" t="n"/>
      <c r="F167" s="73" t="n"/>
      <c r="G167" s="72" t="n"/>
      <c r="H167" s="73" t="n"/>
      <c r="I167" s="72" t="n"/>
      <c r="J167" s="73" t="n"/>
      <c r="K167" s="74" t="n"/>
      <c r="L167" s="75">
        <f>IF(K167="A",F167,IF(K167="B",H167,IF(K167="C",J167,"")))</f>
        <v/>
      </c>
      <c r="M167" s="72" t="n"/>
      <c r="N167" s="72" t="n"/>
      <c r="O167" s="89" t="n"/>
      <c r="P167" s="89" t="n"/>
      <c r="Q167" s="109" t="n"/>
      <c r="R167" s="120">
        <f>IF(B167="","",IF(Q167&lt;&gt;"",Q167,IF(P167="","",IFERROR(INDEX('Timeline'!$J$7:$J$1006,MATCH(P167,'Timeline'!$B$7:$B$1006,0)),""))))</f>
        <v/>
      </c>
      <c r="S167" s="126">
        <f>IF(R167="","",R167-IF(O167="",0,O167)-OrderBuf)</f>
        <v/>
      </c>
      <c r="T167" s="126">
        <f>IF(S167="","",S167-DecideBuf)</f>
        <v/>
      </c>
      <c r="U167" s="74" t="n"/>
      <c r="V167" s="109" t="n"/>
      <c r="W167" s="109" t="n"/>
      <c r="X167" s="74" t="n"/>
      <c r="Y167" s="116">
        <f>IF(B167="","",IF(X167="Yes","Delivered",IF(U167="Yes",IF(AND(W167&lt;&gt;"",R167&lt;&gt;""),IF(W167&gt;R167,"⚠️ Delivery after install date","Ordered"),"Ordered"),IF(K167="",IF(T167="","Waiting for decision",IF(T167&lt;=AsOf+AlertDays,"Decide now","Waiting for decision")),IF(S167="","Selected",IF(AsOf&gt;S167,"⚠️ Order late — install at risk",IF(S167&lt;=AsOf+AlertDays,"Order now","Selected")))))))</f>
        <v/>
      </c>
      <c r="Z167" s="79">
        <f>IF(B167="","",IF(OR(AH167=1,AE167=1),2,IF(OR(AG167=1,AF167=1),1,IF(OR(Y167="Ordered",Y167="Delivered"),0,""))))</f>
        <v/>
      </c>
      <c r="AA167" s="112">
        <f>IF(B167="","",IF(AH167=1,IF(Y167="⚠️ Delivery after install date",R167,S167),IF(AD167=1,T167,IF(AI167=1,S167,""))))</f>
        <v/>
      </c>
      <c r="AB167" s="79">
        <f>IF(AA167="","",IF(AH167=1,1,IF(AA167="","",IF(AA167&lt;AsOf,1,IF(AA167&lt;=AsOf+AlertDays,2,IF(AA167&lt;=AsOf+2*AlertDays,3,""))))))</f>
        <v/>
      </c>
      <c r="AC167" s="79">
        <f>IF(AB167="","",IF(AH167=1,IF(Y167="⚠️ Delivery after install date","Delivery after install date: "&amp;B167,"Order late — install at risk: "&amp;B167),IF(AD167=1,IF(AB167=1,"Decision overdue: ","Decide: ")&amp;B167,"Order: "&amp;B167&amp;IF(N167="",""," from "&amp;N167))))</f>
        <v/>
      </c>
      <c r="AD167" s="79">
        <f>IF(AND(B167&lt;&gt;"",K167="",U167&lt;&gt;"Yes",X167&lt;&gt;"Yes"),1,0)</f>
        <v/>
      </c>
      <c r="AE167" s="79">
        <f>IF(AND(AD167=1,T167&lt;&gt;""),IF(T167&lt;AsOf,1,0),0)</f>
        <v/>
      </c>
      <c r="AF167" s="79">
        <f>IF(AND(AD167=1,T167&lt;&gt;""),IF(AND(T167&gt;=AsOf,T167&lt;=AsOf+AlertDays),1,0),0)</f>
        <v/>
      </c>
      <c r="AG167" s="79">
        <f>IF(Y167="Order now",1,0)</f>
        <v/>
      </c>
      <c r="AH167" s="79">
        <f>IF(OR(Y167="⚠️ Order late — install at risk",Y167="⚠️ Delivery after install date"),1,0)</f>
        <v/>
      </c>
      <c r="AI167" s="79">
        <f>IF(AND(B167&lt;&gt;"",K167&lt;&gt;"",U167&lt;&gt;"Yes",X167&lt;&gt;"Yes"),1,0)</f>
        <v/>
      </c>
      <c r="AJ167" s="79">
        <f>IF(Y167="⚠️ Order late — install at risk",1,0)</f>
        <v/>
      </c>
    </row>
    <row r="168" ht="20" customHeight="1">
      <c r="B168" s="72" t="n"/>
      <c r="C168" s="72" t="n"/>
      <c r="D168" s="72" t="n"/>
      <c r="E168" s="72" t="n"/>
      <c r="F168" s="73" t="n"/>
      <c r="G168" s="72" t="n"/>
      <c r="H168" s="73" t="n"/>
      <c r="I168" s="72" t="n"/>
      <c r="J168" s="73" t="n"/>
      <c r="K168" s="74" t="n"/>
      <c r="L168" s="75">
        <f>IF(K168="A",F168,IF(K168="B",H168,IF(K168="C",J168,"")))</f>
        <v/>
      </c>
      <c r="M168" s="72" t="n"/>
      <c r="N168" s="72" t="n"/>
      <c r="O168" s="89" t="n"/>
      <c r="P168" s="89" t="n"/>
      <c r="Q168" s="109" t="n"/>
      <c r="R168" s="120">
        <f>IF(B168="","",IF(Q168&lt;&gt;"",Q168,IF(P168="","",IFERROR(INDEX('Timeline'!$J$7:$J$1006,MATCH(P168,'Timeline'!$B$7:$B$1006,0)),""))))</f>
        <v/>
      </c>
      <c r="S168" s="126">
        <f>IF(R168="","",R168-IF(O168="",0,O168)-OrderBuf)</f>
        <v/>
      </c>
      <c r="T168" s="126">
        <f>IF(S168="","",S168-DecideBuf)</f>
        <v/>
      </c>
      <c r="U168" s="74" t="n"/>
      <c r="V168" s="109" t="n"/>
      <c r="W168" s="109" t="n"/>
      <c r="X168" s="74" t="n"/>
      <c r="Y168" s="116">
        <f>IF(B168="","",IF(X168="Yes","Delivered",IF(U168="Yes",IF(AND(W168&lt;&gt;"",R168&lt;&gt;""),IF(W168&gt;R168,"⚠️ Delivery after install date","Ordered"),"Ordered"),IF(K168="",IF(T168="","Waiting for decision",IF(T168&lt;=AsOf+AlertDays,"Decide now","Waiting for decision")),IF(S168="","Selected",IF(AsOf&gt;S168,"⚠️ Order late — install at risk",IF(S168&lt;=AsOf+AlertDays,"Order now","Selected")))))))</f>
        <v/>
      </c>
      <c r="Z168" s="79">
        <f>IF(B168="","",IF(OR(AH168=1,AE168=1),2,IF(OR(AG168=1,AF168=1),1,IF(OR(Y168="Ordered",Y168="Delivered"),0,""))))</f>
        <v/>
      </c>
      <c r="AA168" s="112">
        <f>IF(B168="","",IF(AH168=1,IF(Y168="⚠️ Delivery after install date",R168,S168),IF(AD168=1,T168,IF(AI168=1,S168,""))))</f>
        <v/>
      </c>
      <c r="AB168" s="79">
        <f>IF(AA168="","",IF(AH168=1,1,IF(AA168="","",IF(AA168&lt;AsOf,1,IF(AA168&lt;=AsOf+AlertDays,2,IF(AA168&lt;=AsOf+2*AlertDays,3,""))))))</f>
        <v/>
      </c>
      <c r="AC168" s="79">
        <f>IF(AB168="","",IF(AH168=1,IF(Y168="⚠️ Delivery after install date","Delivery after install date: "&amp;B168,"Order late — install at risk: "&amp;B168),IF(AD168=1,IF(AB168=1,"Decision overdue: ","Decide: ")&amp;B168,"Order: "&amp;B168&amp;IF(N168="",""," from "&amp;N168))))</f>
        <v/>
      </c>
      <c r="AD168" s="79">
        <f>IF(AND(B168&lt;&gt;"",K168="",U168&lt;&gt;"Yes",X168&lt;&gt;"Yes"),1,0)</f>
        <v/>
      </c>
      <c r="AE168" s="79">
        <f>IF(AND(AD168=1,T168&lt;&gt;""),IF(T168&lt;AsOf,1,0),0)</f>
        <v/>
      </c>
      <c r="AF168" s="79">
        <f>IF(AND(AD168=1,T168&lt;&gt;""),IF(AND(T168&gt;=AsOf,T168&lt;=AsOf+AlertDays),1,0),0)</f>
        <v/>
      </c>
      <c r="AG168" s="79">
        <f>IF(Y168="Order now",1,0)</f>
        <v/>
      </c>
      <c r="AH168" s="79">
        <f>IF(OR(Y168="⚠️ Order late — install at risk",Y168="⚠️ Delivery after install date"),1,0)</f>
        <v/>
      </c>
      <c r="AI168" s="79">
        <f>IF(AND(B168&lt;&gt;"",K168&lt;&gt;"",U168&lt;&gt;"Yes",X168&lt;&gt;"Yes"),1,0)</f>
        <v/>
      </c>
      <c r="AJ168" s="79">
        <f>IF(Y168="⚠️ Order late — install at risk",1,0)</f>
        <v/>
      </c>
    </row>
    <row r="169" ht="20" customHeight="1">
      <c r="B169" s="72" t="n"/>
      <c r="C169" s="72" t="n"/>
      <c r="D169" s="72" t="n"/>
      <c r="E169" s="72" t="n"/>
      <c r="F169" s="73" t="n"/>
      <c r="G169" s="72" t="n"/>
      <c r="H169" s="73" t="n"/>
      <c r="I169" s="72" t="n"/>
      <c r="J169" s="73" t="n"/>
      <c r="K169" s="74" t="n"/>
      <c r="L169" s="75">
        <f>IF(K169="A",F169,IF(K169="B",H169,IF(K169="C",J169,"")))</f>
        <v/>
      </c>
      <c r="M169" s="72" t="n"/>
      <c r="N169" s="72" t="n"/>
      <c r="O169" s="89" t="n"/>
      <c r="P169" s="89" t="n"/>
      <c r="Q169" s="109" t="n"/>
      <c r="R169" s="120">
        <f>IF(B169="","",IF(Q169&lt;&gt;"",Q169,IF(P169="","",IFERROR(INDEX('Timeline'!$J$7:$J$1006,MATCH(P169,'Timeline'!$B$7:$B$1006,0)),""))))</f>
        <v/>
      </c>
      <c r="S169" s="126">
        <f>IF(R169="","",R169-IF(O169="",0,O169)-OrderBuf)</f>
        <v/>
      </c>
      <c r="T169" s="126">
        <f>IF(S169="","",S169-DecideBuf)</f>
        <v/>
      </c>
      <c r="U169" s="74" t="n"/>
      <c r="V169" s="109" t="n"/>
      <c r="W169" s="109" t="n"/>
      <c r="X169" s="74" t="n"/>
      <c r="Y169" s="116">
        <f>IF(B169="","",IF(X169="Yes","Delivered",IF(U169="Yes",IF(AND(W169&lt;&gt;"",R169&lt;&gt;""),IF(W169&gt;R169,"⚠️ Delivery after install date","Ordered"),"Ordered"),IF(K169="",IF(T169="","Waiting for decision",IF(T169&lt;=AsOf+AlertDays,"Decide now","Waiting for decision")),IF(S169="","Selected",IF(AsOf&gt;S169,"⚠️ Order late — install at risk",IF(S169&lt;=AsOf+AlertDays,"Order now","Selected")))))))</f>
        <v/>
      </c>
      <c r="Z169" s="79">
        <f>IF(B169="","",IF(OR(AH169=1,AE169=1),2,IF(OR(AG169=1,AF169=1),1,IF(OR(Y169="Ordered",Y169="Delivered"),0,""))))</f>
        <v/>
      </c>
      <c r="AA169" s="112">
        <f>IF(B169="","",IF(AH169=1,IF(Y169="⚠️ Delivery after install date",R169,S169),IF(AD169=1,T169,IF(AI169=1,S169,""))))</f>
        <v/>
      </c>
      <c r="AB169" s="79">
        <f>IF(AA169="","",IF(AH169=1,1,IF(AA169="","",IF(AA169&lt;AsOf,1,IF(AA169&lt;=AsOf+AlertDays,2,IF(AA169&lt;=AsOf+2*AlertDays,3,""))))))</f>
        <v/>
      </c>
      <c r="AC169" s="79">
        <f>IF(AB169="","",IF(AH169=1,IF(Y169="⚠️ Delivery after install date","Delivery after install date: "&amp;B169,"Order late — install at risk: "&amp;B169),IF(AD169=1,IF(AB169=1,"Decision overdue: ","Decide: ")&amp;B169,"Order: "&amp;B169&amp;IF(N169="",""," from "&amp;N169))))</f>
        <v/>
      </c>
      <c r="AD169" s="79">
        <f>IF(AND(B169&lt;&gt;"",K169="",U169&lt;&gt;"Yes",X169&lt;&gt;"Yes"),1,0)</f>
        <v/>
      </c>
      <c r="AE169" s="79">
        <f>IF(AND(AD169=1,T169&lt;&gt;""),IF(T169&lt;AsOf,1,0),0)</f>
        <v/>
      </c>
      <c r="AF169" s="79">
        <f>IF(AND(AD169=1,T169&lt;&gt;""),IF(AND(T169&gt;=AsOf,T169&lt;=AsOf+AlertDays),1,0),0)</f>
        <v/>
      </c>
      <c r="AG169" s="79">
        <f>IF(Y169="Order now",1,0)</f>
        <v/>
      </c>
      <c r="AH169" s="79">
        <f>IF(OR(Y169="⚠️ Order late — install at risk",Y169="⚠️ Delivery after install date"),1,0)</f>
        <v/>
      </c>
      <c r="AI169" s="79">
        <f>IF(AND(B169&lt;&gt;"",K169&lt;&gt;"",U169&lt;&gt;"Yes",X169&lt;&gt;"Yes"),1,0)</f>
        <v/>
      </c>
      <c r="AJ169" s="79">
        <f>IF(Y169="⚠️ Order late — install at risk",1,0)</f>
        <v/>
      </c>
    </row>
    <row r="170" ht="20" customHeight="1">
      <c r="B170" s="72" t="n"/>
      <c r="C170" s="72" t="n"/>
      <c r="D170" s="72" t="n"/>
      <c r="E170" s="72" t="n"/>
      <c r="F170" s="73" t="n"/>
      <c r="G170" s="72" t="n"/>
      <c r="H170" s="73" t="n"/>
      <c r="I170" s="72" t="n"/>
      <c r="J170" s="73" t="n"/>
      <c r="K170" s="74" t="n"/>
      <c r="L170" s="75">
        <f>IF(K170="A",F170,IF(K170="B",H170,IF(K170="C",J170,"")))</f>
        <v/>
      </c>
      <c r="M170" s="72" t="n"/>
      <c r="N170" s="72" t="n"/>
      <c r="O170" s="89" t="n"/>
      <c r="P170" s="89" t="n"/>
      <c r="Q170" s="109" t="n"/>
      <c r="R170" s="120">
        <f>IF(B170="","",IF(Q170&lt;&gt;"",Q170,IF(P170="","",IFERROR(INDEX('Timeline'!$J$7:$J$1006,MATCH(P170,'Timeline'!$B$7:$B$1006,0)),""))))</f>
        <v/>
      </c>
      <c r="S170" s="126">
        <f>IF(R170="","",R170-IF(O170="",0,O170)-OrderBuf)</f>
        <v/>
      </c>
      <c r="T170" s="126">
        <f>IF(S170="","",S170-DecideBuf)</f>
        <v/>
      </c>
      <c r="U170" s="74" t="n"/>
      <c r="V170" s="109" t="n"/>
      <c r="W170" s="109" t="n"/>
      <c r="X170" s="74" t="n"/>
      <c r="Y170" s="116">
        <f>IF(B170="","",IF(X170="Yes","Delivered",IF(U170="Yes",IF(AND(W170&lt;&gt;"",R170&lt;&gt;""),IF(W170&gt;R170,"⚠️ Delivery after install date","Ordered"),"Ordered"),IF(K170="",IF(T170="","Waiting for decision",IF(T170&lt;=AsOf+AlertDays,"Decide now","Waiting for decision")),IF(S170="","Selected",IF(AsOf&gt;S170,"⚠️ Order late — install at risk",IF(S170&lt;=AsOf+AlertDays,"Order now","Selected")))))))</f>
        <v/>
      </c>
      <c r="Z170" s="79">
        <f>IF(B170="","",IF(OR(AH170=1,AE170=1),2,IF(OR(AG170=1,AF170=1),1,IF(OR(Y170="Ordered",Y170="Delivered"),0,""))))</f>
        <v/>
      </c>
      <c r="AA170" s="112">
        <f>IF(B170="","",IF(AH170=1,IF(Y170="⚠️ Delivery after install date",R170,S170),IF(AD170=1,T170,IF(AI170=1,S170,""))))</f>
        <v/>
      </c>
      <c r="AB170" s="79">
        <f>IF(AA170="","",IF(AH170=1,1,IF(AA170="","",IF(AA170&lt;AsOf,1,IF(AA170&lt;=AsOf+AlertDays,2,IF(AA170&lt;=AsOf+2*AlertDays,3,""))))))</f>
        <v/>
      </c>
      <c r="AC170" s="79">
        <f>IF(AB170="","",IF(AH170=1,IF(Y170="⚠️ Delivery after install date","Delivery after install date: "&amp;B170,"Order late — install at risk: "&amp;B170),IF(AD170=1,IF(AB170=1,"Decision overdue: ","Decide: ")&amp;B170,"Order: "&amp;B170&amp;IF(N170="",""," from "&amp;N170))))</f>
        <v/>
      </c>
      <c r="AD170" s="79">
        <f>IF(AND(B170&lt;&gt;"",K170="",U170&lt;&gt;"Yes",X170&lt;&gt;"Yes"),1,0)</f>
        <v/>
      </c>
      <c r="AE170" s="79">
        <f>IF(AND(AD170=1,T170&lt;&gt;""),IF(T170&lt;AsOf,1,0),0)</f>
        <v/>
      </c>
      <c r="AF170" s="79">
        <f>IF(AND(AD170=1,T170&lt;&gt;""),IF(AND(T170&gt;=AsOf,T170&lt;=AsOf+AlertDays),1,0),0)</f>
        <v/>
      </c>
      <c r="AG170" s="79">
        <f>IF(Y170="Order now",1,0)</f>
        <v/>
      </c>
      <c r="AH170" s="79">
        <f>IF(OR(Y170="⚠️ Order late — install at risk",Y170="⚠️ Delivery after install date"),1,0)</f>
        <v/>
      </c>
      <c r="AI170" s="79">
        <f>IF(AND(B170&lt;&gt;"",K170&lt;&gt;"",U170&lt;&gt;"Yes",X170&lt;&gt;"Yes"),1,0)</f>
        <v/>
      </c>
      <c r="AJ170" s="79">
        <f>IF(Y170="⚠️ Order late — install at risk",1,0)</f>
        <v/>
      </c>
    </row>
    <row r="171" ht="20" customHeight="1">
      <c r="B171" s="72" t="n"/>
      <c r="C171" s="72" t="n"/>
      <c r="D171" s="72" t="n"/>
      <c r="E171" s="72" t="n"/>
      <c r="F171" s="73" t="n"/>
      <c r="G171" s="72" t="n"/>
      <c r="H171" s="73" t="n"/>
      <c r="I171" s="72" t="n"/>
      <c r="J171" s="73" t="n"/>
      <c r="K171" s="74" t="n"/>
      <c r="L171" s="75">
        <f>IF(K171="A",F171,IF(K171="B",H171,IF(K171="C",J171,"")))</f>
        <v/>
      </c>
      <c r="M171" s="72" t="n"/>
      <c r="N171" s="72" t="n"/>
      <c r="O171" s="89" t="n"/>
      <c r="P171" s="89" t="n"/>
      <c r="Q171" s="109" t="n"/>
      <c r="R171" s="120">
        <f>IF(B171="","",IF(Q171&lt;&gt;"",Q171,IF(P171="","",IFERROR(INDEX('Timeline'!$J$7:$J$1006,MATCH(P171,'Timeline'!$B$7:$B$1006,0)),""))))</f>
        <v/>
      </c>
      <c r="S171" s="126">
        <f>IF(R171="","",R171-IF(O171="",0,O171)-OrderBuf)</f>
        <v/>
      </c>
      <c r="T171" s="126">
        <f>IF(S171="","",S171-DecideBuf)</f>
        <v/>
      </c>
      <c r="U171" s="74" t="n"/>
      <c r="V171" s="109" t="n"/>
      <c r="W171" s="109" t="n"/>
      <c r="X171" s="74" t="n"/>
      <c r="Y171" s="116">
        <f>IF(B171="","",IF(X171="Yes","Delivered",IF(U171="Yes",IF(AND(W171&lt;&gt;"",R171&lt;&gt;""),IF(W171&gt;R171,"⚠️ Delivery after install date","Ordered"),"Ordered"),IF(K171="",IF(T171="","Waiting for decision",IF(T171&lt;=AsOf+AlertDays,"Decide now","Waiting for decision")),IF(S171="","Selected",IF(AsOf&gt;S171,"⚠️ Order late — install at risk",IF(S171&lt;=AsOf+AlertDays,"Order now","Selected")))))))</f>
        <v/>
      </c>
      <c r="Z171" s="79">
        <f>IF(B171="","",IF(OR(AH171=1,AE171=1),2,IF(OR(AG171=1,AF171=1),1,IF(OR(Y171="Ordered",Y171="Delivered"),0,""))))</f>
        <v/>
      </c>
      <c r="AA171" s="112">
        <f>IF(B171="","",IF(AH171=1,IF(Y171="⚠️ Delivery after install date",R171,S171),IF(AD171=1,T171,IF(AI171=1,S171,""))))</f>
        <v/>
      </c>
      <c r="AB171" s="79">
        <f>IF(AA171="","",IF(AH171=1,1,IF(AA171="","",IF(AA171&lt;AsOf,1,IF(AA171&lt;=AsOf+AlertDays,2,IF(AA171&lt;=AsOf+2*AlertDays,3,""))))))</f>
        <v/>
      </c>
      <c r="AC171" s="79">
        <f>IF(AB171="","",IF(AH171=1,IF(Y171="⚠️ Delivery after install date","Delivery after install date: "&amp;B171,"Order late — install at risk: "&amp;B171),IF(AD171=1,IF(AB171=1,"Decision overdue: ","Decide: ")&amp;B171,"Order: "&amp;B171&amp;IF(N171="",""," from "&amp;N171))))</f>
        <v/>
      </c>
      <c r="AD171" s="79">
        <f>IF(AND(B171&lt;&gt;"",K171="",U171&lt;&gt;"Yes",X171&lt;&gt;"Yes"),1,0)</f>
        <v/>
      </c>
      <c r="AE171" s="79">
        <f>IF(AND(AD171=1,T171&lt;&gt;""),IF(T171&lt;AsOf,1,0),0)</f>
        <v/>
      </c>
      <c r="AF171" s="79">
        <f>IF(AND(AD171=1,T171&lt;&gt;""),IF(AND(T171&gt;=AsOf,T171&lt;=AsOf+AlertDays),1,0),0)</f>
        <v/>
      </c>
      <c r="AG171" s="79">
        <f>IF(Y171="Order now",1,0)</f>
        <v/>
      </c>
      <c r="AH171" s="79">
        <f>IF(OR(Y171="⚠️ Order late — install at risk",Y171="⚠️ Delivery after install date"),1,0)</f>
        <v/>
      </c>
      <c r="AI171" s="79">
        <f>IF(AND(B171&lt;&gt;"",K171&lt;&gt;"",U171&lt;&gt;"Yes",X171&lt;&gt;"Yes"),1,0)</f>
        <v/>
      </c>
      <c r="AJ171" s="79">
        <f>IF(Y171="⚠️ Order late — install at risk",1,0)</f>
        <v/>
      </c>
    </row>
    <row r="172" ht="20" customHeight="1">
      <c r="B172" s="72" t="n"/>
      <c r="C172" s="72" t="n"/>
      <c r="D172" s="72" t="n"/>
      <c r="E172" s="72" t="n"/>
      <c r="F172" s="73" t="n"/>
      <c r="G172" s="72" t="n"/>
      <c r="H172" s="73" t="n"/>
      <c r="I172" s="72" t="n"/>
      <c r="J172" s="73" t="n"/>
      <c r="K172" s="74" t="n"/>
      <c r="L172" s="75">
        <f>IF(K172="A",F172,IF(K172="B",H172,IF(K172="C",J172,"")))</f>
        <v/>
      </c>
      <c r="M172" s="72" t="n"/>
      <c r="N172" s="72" t="n"/>
      <c r="O172" s="89" t="n"/>
      <c r="P172" s="89" t="n"/>
      <c r="Q172" s="109" t="n"/>
      <c r="R172" s="120">
        <f>IF(B172="","",IF(Q172&lt;&gt;"",Q172,IF(P172="","",IFERROR(INDEX('Timeline'!$J$7:$J$1006,MATCH(P172,'Timeline'!$B$7:$B$1006,0)),""))))</f>
        <v/>
      </c>
      <c r="S172" s="126">
        <f>IF(R172="","",R172-IF(O172="",0,O172)-OrderBuf)</f>
        <v/>
      </c>
      <c r="T172" s="126">
        <f>IF(S172="","",S172-DecideBuf)</f>
        <v/>
      </c>
      <c r="U172" s="74" t="n"/>
      <c r="V172" s="109" t="n"/>
      <c r="W172" s="109" t="n"/>
      <c r="X172" s="74" t="n"/>
      <c r="Y172" s="116">
        <f>IF(B172="","",IF(X172="Yes","Delivered",IF(U172="Yes",IF(AND(W172&lt;&gt;"",R172&lt;&gt;""),IF(W172&gt;R172,"⚠️ Delivery after install date","Ordered"),"Ordered"),IF(K172="",IF(T172="","Waiting for decision",IF(T172&lt;=AsOf+AlertDays,"Decide now","Waiting for decision")),IF(S172="","Selected",IF(AsOf&gt;S172,"⚠️ Order late — install at risk",IF(S172&lt;=AsOf+AlertDays,"Order now","Selected")))))))</f>
        <v/>
      </c>
      <c r="Z172" s="79">
        <f>IF(B172="","",IF(OR(AH172=1,AE172=1),2,IF(OR(AG172=1,AF172=1),1,IF(OR(Y172="Ordered",Y172="Delivered"),0,""))))</f>
        <v/>
      </c>
      <c r="AA172" s="112">
        <f>IF(B172="","",IF(AH172=1,IF(Y172="⚠️ Delivery after install date",R172,S172),IF(AD172=1,T172,IF(AI172=1,S172,""))))</f>
        <v/>
      </c>
      <c r="AB172" s="79">
        <f>IF(AA172="","",IF(AH172=1,1,IF(AA172="","",IF(AA172&lt;AsOf,1,IF(AA172&lt;=AsOf+AlertDays,2,IF(AA172&lt;=AsOf+2*AlertDays,3,""))))))</f>
        <v/>
      </c>
      <c r="AC172" s="79">
        <f>IF(AB172="","",IF(AH172=1,IF(Y172="⚠️ Delivery after install date","Delivery after install date: "&amp;B172,"Order late — install at risk: "&amp;B172),IF(AD172=1,IF(AB172=1,"Decision overdue: ","Decide: ")&amp;B172,"Order: "&amp;B172&amp;IF(N172="",""," from "&amp;N172))))</f>
        <v/>
      </c>
      <c r="AD172" s="79">
        <f>IF(AND(B172&lt;&gt;"",K172="",U172&lt;&gt;"Yes",X172&lt;&gt;"Yes"),1,0)</f>
        <v/>
      </c>
      <c r="AE172" s="79">
        <f>IF(AND(AD172=1,T172&lt;&gt;""),IF(T172&lt;AsOf,1,0),0)</f>
        <v/>
      </c>
      <c r="AF172" s="79">
        <f>IF(AND(AD172=1,T172&lt;&gt;""),IF(AND(T172&gt;=AsOf,T172&lt;=AsOf+AlertDays),1,0),0)</f>
        <v/>
      </c>
      <c r="AG172" s="79">
        <f>IF(Y172="Order now",1,0)</f>
        <v/>
      </c>
      <c r="AH172" s="79">
        <f>IF(OR(Y172="⚠️ Order late — install at risk",Y172="⚠️ Delivery after install date"),1,0)</f>
        <v/>
      </c>
      <c r="AI172" s="79">
        <f>IF(AND(B172&lt;&gt;"",K172&lt;&gt;"",U172&lt;&gt;"Yes",X172&lt;&gt;"Yes"),1,0)</f>
        <v/>
      </c>
      <c r="AJ172" s="79">
        <f>IF(Y172="⚠️ Order late — install at risk",1,0)</f>
        <v/>
      </c>
    </row>
    <row r="173" ht="20" customHeight="1">
      <c r="B173" s="72" t="n"/>
      <c r="C173" s="72" t="n"/>
      <c r="D173" s="72" t="n"/>
      <c r="E173" s="72" t="n"/>
      <c r="F173" s="73" t="n"/>
      <c r="G173" s="72" t="n"/>
      <c r="H173" s="73" t="n"/>
      <c r="I173" s="72" t="n"/>
      <c r="J173" s="73" t="n"/>
      <c r="K173" s="74" t="n"/>
      <c r="L173" s="75">
        <f>IF(K173="A",F173,IF(K173="B",H173,IF(K173="C",J173,"")))</f>
        <v/>
      </c>
      <c r="M173" s="72" t="n"/>
      <c r="N173" s="72" t="n"/>
      <c r="O173" s="89" t="n"/>
      <c r="P173" s="89" t="n"/>
      <c r="Q173" s="109" t="n"/>
      <c r="R173" s="120">
        <f>IF(B173="","",IF(Q173&lt;&gt;"",Q173,IF(P173="","",IFERROR(INDEX('Timeline'!$J$7:$J$1006,MATCH(P173,'Timeline'!$B$7:$B$1006,0)),""))))</f>
        <v/>
      </c>
      <c r="S173" s="126">
        <f>IF(R173="","",R173-IF(O173="",0,O173)-OrderBuf)</f>
        <v/>
      </c>
      <c r="T173" s="126">
        <f>IF(S173="","",S173-DecideBuf)</f>
        <v/>
      </c>
      <c r="U173" s="74" t="n"/>
      <c r="V173" s="109" t="n"/>
      <c r="W173" s="109" t="n"/>
      <c r="X173" s="74" t="n"/>
      <c r="Y173" s="116">
        <f>IF(B173="","",IF(X173="Yes","Delivered",IF(U173="Yes",IF(AND(W173&lt;&gt;"",R173&lt;&gt;""),IF(W173&gt;R173,"⚠️ Delivery after install date","Ordered"),"Ordered"),IF(K173="",IF(T173="","Waiting for decision",IF(T173&lt;=AsOf+AlertDays,"Decide now","Waiting for decision")),IF(S173="","Selected",IF(AsOf&gt;S173,"⚠️ Order late — install at risk",IF(S173&lt;=AsOf+AlertDays,"Order now","Selected")))))))</f>
        <v/>
      </c>
      <c r="Z173" s="79">
        <f>IF(B173="","",IF(OR(AH173=1,AE173=1),2,IF(OR(AG173=1,AF173=1),1,IF(OR(Y173="Ordered",Y173="Delivered"),0,""))))</f>
        <v/>
      </c>
      <c r="AA173" s="112">
        <f>IF(B173="","",IF(AH173=1,IF(Y173="⚠️ Delivery after install date",R173,S173),IF(AD173=1,T173,IF(AI173=1,S173,""))))</f>
        <v/>
      </c>
      <c r="AB173" s="79">
        <f>IF(AA173="","",IF(AH173=1,1,IF(AA173="","",IF(AA173&lt;AsOf,1,IF(AA173&lt;=AsOf+AlertDays,2,IF(AA173&lt;=AsOf+2*AlertDays,3,""))))))</f>
        <v/>
      </c>
      <c r="AC173" s="79">
        <f>IF(AB173="","",IF(AH173=1,IF(Y173="⚠️ Delivery after install date","Delivery after install date: "&amp;B173,"Order late — install at risk: "&amp;B173),IF(AD173=1,IF(AB173=1,"Decision overdue: ","Decide: ")&amp;B173,"Order: "&amp;B173&amp;IF(N173="",""," from "&amp;N173))))</f>
        <v/>
      </c>
      <c r="AD173" s="79">
        <f>IF(AND(B173&lt;&gt;"",K173="",U173&lt;&gt;"Yes",X173&lt;&gt;"Yes"),1,0)</f>
        <v/>
      </c>
      <c r="AE173" s="79">
        <f>IF(AND(AD173=1,T173&lt;&gt;""),IF(T173&lt;AsOf,1,0),0)</f>
        <v/>
      </c>
      <c r="AF173" s="79">
        <f>IF(AND(AD173=1,T173&lt;&gt;""),IF(AND(T173&gt;=AsOf,T173&lt;=AsOf+AlertDays),1,0),0)</f>
        <v/>
      </c>
      <c r="AG173" s="79">
        <f>IF(Y173="Order now",1,0)</f>
        <v/>
      </c>
      <c r="AH173" s="79">
        <f>IF(OR(Y173="⚠️ Order late — install at risk",Y173="⚠️ Delivery after install date"),1,0)</f>
        <v/>
      </c>
      <c r="AI173" s="79">
        <f>IF(AND(B173&lt;&gt;"",K173&lt;&gt;"",U173&lt;&gt;"Yes",X173&lt;&gt;"Yes"),1,0)</f>
        <v/>
      </c>
      <c r="AJ173" s="79">
        <f>IF(Y173="⚠️ Order late — install at risk",1,0)</f>
        <v/>
      </c>
    </row>
    <row r="174" ht="20" customHeight="1">
      <c r="B174" s="72" t="n"/>
      <c r="C174" s="72" t="n"/>
      <c r="D174" s="72" t="n"/>
      <c r="E174" s="72" t="n"/>
      <c r="F174" s="73" t="n"/>
      <c r="G174" s="72" t="n"/>
      <c r="H174" s="73" t="n"/>
      <c r="I174" s="72" t="n"/>
      <c r="J174" s="73" t="n"/>
      <c r="K174" s="74" t="n"/>
      <c r="L174" s="75">
        <f>IF(K174="A",F174,IF(K174="B",H174,IF(K174="C",J174,"")))</f>
        <v/>
      </c>
      <c r="M174" s="72" t="n"/>
      <c r="N174" s="72" t="n"/>
      <c r="O174" s="89" t="n"/>
      <c r="P174" s="89" t="n"/>
      <c r="Q174" s="109" t="n"/>
      <c r="R174" s="120">
        <f>IF(B174="","",IF(Q174&lt;&gt;"",Q174,IF(P174="","",IFERROR(INDEX('Timeline'!$J$7:$J$1006,MATCH(P174,'Timeline'!$B$7:$B$1006,0)),""))))</f>
        <v/>
      </c>
      <c r="S174" s="126">
        <f>IF(R174="","",R174-IF(O174="",0,O174)-OrderBuf)</f>
        <v/>
      </c>
      <c r="T174" s="126">
        <f>IF(S174="","",S174-DecideBuf)</f>
        <v/>
      </c>
      <c r="U174" s="74" t="n"/>
      <c r="V174" s="109" t="n"/>
      <c r="W174" s="109" t="n"/>
      <c r="X174" s="74" t="n"/>
      <c r="Y174" s="116">
        <f>IF(B174="","",IF(X174="Yes","Delivered",IF(U174="Yes",IF(AND(W174&lt;&gt;"",R174&lt;&gt;""),IF(W174&gt;R174,"⚠️ Delivery after install date","Ordered"),"Ordered"),IF(K174="",IF(T174="","Waiting for decision",IF(T174&lt;=AsOf+AlertDays,"Decide now","Waiting for decision")),IF(S174="","Selected",IF(AsOf&gt;S174,"⚠️ Order late — install at risk",IF(S174&lt;=AsOf+AlertDays,"Order now","Selected")))))))</f>
        <v/>
      </c>
      <c r="Z174" s="79">
        <f>IF(B174="","",IF(OR(AH174=1,AE174=1),2,IF(OR(AG174=1,AF174=1),1,IF(OR(Y174="Ordered",Y174="Delivered"),0,""))))</f>
        <v/>
      </c>
      <c r="AA174" s="112">
        <f>IF(B174="","",IF(AH174=1,IF(Y174="⚠️ Delivery after install date",R174,S174),IF(AD174=1,T174,IF(AI174=1,S174,""))))</f>
        <v/>
      </c>
      <c r="AB174" s="79">
        <f>IF(AA174="","",IF(AH174=1,1,IF(AA174="","",IF(AA174&lt;AsOf,1,IF(AA174&lt;=AsOf+AlertDays,2,IF(AA174&lt;=AsOf+2*AlertDays,3,""))))))</f>
        <v/>
      </c>
      <c r="AC174" s="79">
        <f>IF(AB174="","",IF(AH174=1,IF(Y174="⚠️ Delivery after install date","Delivery after install date: "&amp;B174,"Order late — install at risk: "&amp;B174),IF(AD174=1,IF(AB174=1,"Decision overdue: ","Decide: ")&amp;B174,"Order: "&amp;B174&amp;IF(N174="",""," from "&amp;N174))))</f>
        <v/>
      </c>
      <c r="AD174" s="79">
        <f>IF(AND(B174&lt;&gt;"",K174="",U174&lt;&gt;"Yes",X174&lt;&gt;"Yes"),1,0)</f>
        <v/>
      </c>
      <c r="AE174" s="79">
        <f>IF(AND(AD174=1,T174&lt;&gt;""),IF(T174&lt;AsOf,1,0),0)</f>
        <v/>
      </c>
      <c r="AF174" s="79">
        <f>IF(AND(AD174=1,T174&lt;&gt;""),IF(AND(T174&gt;=AsOf,T174&lt;=AsOf+AlertDays),1,0),0)</f>
        <v/>
      </c>
      <c r="AG174" s="79">
        <f>IF(Y174="Order now",1,0)</f>
        <v/>
      </c>
      <c r="AH174" s="79">
        <f>IF(OR(Y174="⚠️ Order late — install at risk",Y174="⚠️ Delivery after install date"),1,0)</f>
        <v/>
      </c>
      <c r="AI174" s="79">
        <f>IF(AND(B174&lt;&gt;"",K174&lt;&gt;"",U174&lt;&gt;"Yes",X174&lt;&gt;"Yes"),1,0)</f>
        <v/>
      </c>
      <c r="AJ174" s="79">
        <f>IF(Y174="⚠️ Order late — install at risk",1,0)</f>
        <v/>
      </c>
    </row>
    <row r="175" ht="20" customHeight="1">
      <c r="B175" s="72" t="n"/>
      <c r="C175" s="72" t="n"/>
      <c r="D175" s="72" t="n"/>
      <c r="E175" s="72" t="n"/>
      <c r="F175" s="73" t="n"/>
      <c r="G175" s="72" t="n"/>
      <c r="H175" s="73" t="n"/>
      <c r="I175" s="72" t="n"/>
      <c r="J175" s="73" t="n"/>
      <c r="K175" s="74" t="n"/>
      <c r="L175" s="75">
        <f>IF(K175="A",F175,IF(K175="B",H175,IF(K175="C",J175,"")))</f>
        <v/>
      </c>
      <c r="M175" s="72" t="n"/>
      <c r="N175" s="72" t="n"/>
      <c r="O175" s="89" t="n"/>
      <c r="P175" s="89" t="n"/>
      <c r="Q175" s="109" t="n"/>
      <c r="R175" s="120">
        <f>IF(B175="","",IF(Q175&lt;&gt;"",Q175,IF(P175="","",IFERROR(INDEX('Timeline'!$J$7:$J$1006,MATCH(P175,'Timeline'!$B$7:$B$1006,0)),""))))</f>
        <v/>
      </c>
      <c r="S175" s="126">
        <f>IF(R175="","",R175-IF(O175="",0,O175)-OrderBuf)</f>
        <v/>
      </c>
      <c r="T175" s="126">
        <f>IF(S175="","",S175-DecideBuf)</f>
        <v/>
      </c>
      <c r="U175" s="74" t="n"/>
      <c r="V175" s="109" t="n"/>
      <c r="W175" s="109" t="n"/>
      <c r="X175" s="74" t="n"/>
      <c r="Y175" s="116">
        <f>IF(B175="","",IF(X175="Yes","Delivered",IF(U175="Yes",IF(AND(W175&lt;&gt;"",R175&lt;&gt;""),IF(W175&gt;R175,"⚠️ Delivery after install date","Ordered"),"Ordered"),IF(K175="",IF(T175="","Waiting for decision",IF(T175&lt;=AsOf+AlertDays,"Decide now","Waiting for decision")),IF(S175="","Selected",IF(AsOf&gt;S175,"⚠️ Order late — install at risk",IF(S175&lt;=AsOf+AlertDays,"Order now","Selected")))))))</f>
        <v/>
      </c>
      <c r="Z175" s="79">
        <f>IF(B175="","",IF(OR(AH175=1,AE175=1),2,IF(OR(AG175=1,AF175=1),1,IF(OR(Y175="Ordered",Y175="Delivered"),0,""))))</f>
        <v/>
      </c>
      <c r="AA175" s="112">
        <f>IF(B175="","",IF(AH175=1,IF(Y175="⚠️ Delivery after install date",R175,S175),IF(AD175=1,T175,IF(AI175=1,S175,""))))</f>
        <v/>
      </c>
      <c r="AB175" s="79">
        <f>IF(AA175="","",IF(AH175=1,1,IF(AA175="","",IF(AA175&lt;AsOf,1,IF(AA175&lt;=AsOf+AlertDays,2,IF(AA175&lt;=AsOf+2*AlertDays,3,""))))))</f>
        <v/>
      </c>
      <c r="AC175" s="79">
        <f>IF(AB175="","",IF(AH175=1,IF(Y175="⚠️ Delivery after install date","Delivery after install date: "&amp;B175,"Order late — install at risk: "&amp;B175),IF(AD175=1,IF(AB175=1,"Decision overdue: ","Decide: ")&amp;B175,"Order: "&amp;B175&amp;IF(N175="",""," from "&amp;N175))))</f>
        <v/>
      </c>
      <c r="AD175" s="79">
        <f>IF(AND(B175&lt;&gt;"",K175="",U175&lt;&gt;"Yes",X175&lt;&gt;"Yes"),1,0)</f>
        <v/>
      </c>
      <c r="AE175" s="79">
        <f>IF(AND(AD175=1,T175&lt;&gt;""),IF(T175&lt;AsOf,1,0),0)</f>
        <v/>
      </c>
      <c r="AF175" s="79">
        <f>IF(AND(AD175=1,T175&lt;&gt;""),IF(AND(T175&gt;=AsOf,T175&lt;=AsOf+AlertDays),1,0),0)</f>
        <v/>
      </c>
      <c r="AG175" s="79">
        <f>IF(Y175="Order now",1,0)</f>
        <v/>
      </c>
      <c r="AH175" s="79">
        <f>IF(OR(Y175="⚠️ Order late — install at risk",Y175="⚠️ Delivery after install date"),1,0)</f>
        <v/>
      </c>
      <c r="AI175" s="79">
        <f>IF(AND(B175&lt;&gt;"",K175&lt;&gt;"",U175&lt;&gt;"Yes",X175&lt;&gt;"Yes"),1,0)</f>
        <v/>
      </c>
      <c r="AJ175" s="79">
        <f>IF(Y175="⚠️ Order late — install at risk",1,0)</f>
        <v/>
      </c>
    </row>
    <row r="176" ht="20" customHeight="1">
      <c r="B176" s="72" t="n"/>
      <c r="C176" s="72" t="n"/>
      <c r="D176" s="72" t="n"/>
      <c r="E176" s="72" t="n"/>
      <c r="F176" s="73" t="n"/>
      <c r="G176" s="72" t="n"/>
      <c r="H176" s="73" t="n"/>
      <c r="I176" s="72" t="n"/>
      <c r="J176" s="73" t="n"/>
      <c r="K176" s="74" t="n"/>
      <c r="L176" s="75">
        <f>IF(K176="A",F176,IF(K176="B",H176,IF(K176="C",J176,"")))</f>
        <v/>
      </c>
      <c r="M176" s="72" t="n"/>
      <c r="N176" s="72" t="n"/>
      <c r="O176" s="89" t="n"/>
      <c r="P176" s="89" t="n"/>
      <c r="Q176" s="109" t="n"/>
      <c r="R176" s="120">
        <f>IF(B176="","",IF(Q176&lt;&gt;"",Q176,IF(P176="","",IFERROR(INDEX('Timeline'!$J$7:$J$1006,MATCH(P176,'Timeline'!$B$7:$B$1006,0)),""))))</f>
        <v/>
      </c>
      <c r="S176" s="126">
        <f>IF(R176="","",R176-IF(O176="",0,O176)-OrderBuf)</f>
        <v/>
      </c>
      <c r="T176" s="126">
        <f>IF(S176="","",S176-DecideBuf)</f>
        <v/>
      </c>
      <c r="U176" s="74" t="n"/>
      <c r="V176" s="109" t="n"/>
      <c r="W176" s="109" t="n"/>
      <c r="X176" s="74" t="n"/>
      <c r="Y176" s="116">
        <f>IF(B176="","",IF(X176="Yes","Delivered",IF(U176="Yes",IF(AND(W176&lt;&gt;"",R176&lt;&gt;""),IF(W176&gt;R176,"⚠️ Delivery after install date","Ordered"),"Ordered"),IF(K176="",IF(T176="","Waiting for decision",IF(T176&lt;=AsOf+AlertDays,"Decide now","Waiting for decision")),IF(S176="","Selected",IF(AsOf&gt;S176,"⚠️ Order late — install at risk",IF(S176&lt;=AsOf+AlertDays,"Order now","Selected")))))))</f>
        <v/>
      </c>
      <c r="Z176" s="79">
        <f>IF(B176="","",IF(OR(AH176=1,AE176=1),2,IF(OR(AG176=1,AF176=1),1,IF(OR(Y176="Ordered",Y176="Delivered"),0,""))))</f>
        <v/>
      </c>
      <c r="AA176" s="112">
        <f>IF(B176="","",IF(AH176=1,IF(Y176="⚠️ Delivery after install date",R176,S176),IF(AD176=1,T176,IF(AI176=1,S176,""))))</f>
        <v/>
      </c>
      <c r="AB176" s="79">
        <f>IF(AA176="","",IF(AH176=1,1,IF(AA176="","",IF(AA176&lt;AsOf,1,IF(AA176&lt;=AsOf+AlertDays,2,IF(AA176&lt;=AsOf+2*AlertDays,3,""))))))</f>
        <v/>
      </c>
      <c r="AC176" s="79">
        <f>IF(AB176="","",IF(AH176=1,IF(Y176="⚠️ Delivery after install date","Delivery after install date: "&amp;B176,"Order late — install at risk: "&amp;B176),IF(AD176=1,IF(AB176=1,"Decision overdue: ","Decide: ")&amp;B176,"Order: "&amp;B176&amp;IF(N176="",""," from "&amp;N176))))</f>
        <v/>
      </c>
      <c r="AD176" s="79">
        <f>IF(AND(B176&lt;&gt;"",K176="",U176&lt;&gt;"Yes",X176&lt;&gt;"Yes"),1,0)</f>
        <v/>
      </c>
      <c r="AE176" s="79">
        <f>IF(AND(AD176=1,T176&lt;&gt;""),IF(T176&lt;AsOf,1,0),0)</f>
        <v/>
      </c>
      <c r="AF176" s="79">
        <f>IF(AND(AD176=1,T176&lt;&gt;""),IF(AND(T176&gt;=AsOf,T176&lt;=AsOf+AlertDays),1,0),0)</f>
        <v/>
      </c>
      <c r="AG176" s="79">
        <f>IF(Y176="Order now",1,0)</f>
        <v/>
      </c>
      <c r="AH176" s="79">
        <f>IF(OR(Y176="⚠️ Order late — install at risk",Y176="⚠️ Delivery after install date"),1,0)</f>
        <v/>
      </c>
      <c r="AI176" s="79">
        <f>IF(AND(B176&lt;&gt;"",K176&lt;&gt;"",U176&lt;&gt;"Yes",X176&lt;&gt;"Yes"),1,0)</f>
        <v/>
      </c>
      <c r="AJ176" s="79">
        <f>IF(Y176="⚠️ Order late — install at risk",1,0)</f>
        <v/>
      </c>
    </row>
    <row r="177" ht="20" customHeight="1">
      <c r="B177" s="72" t="n"/>
      <c r="C177" s="72" t="n"/>
      <c r="D177" s="72" t="n"/>
      <c r="E177" s="72" t="n"/>
      <c r="F177" s="73" t="n"/>
      <c r="G177" s="72" t="n"/>
      <c r="H177" s="73" t="n"/>
      <c r="I177" s="72" t="n"/>
      <c r="J177" s="73" t="n"/>
      <c r="K177" s="74" t="n"/>
      <c r="L177" s="75">
        <f>IF(K177="A",F177,IF(K177="B",H177,IF(K177="C",J177,"")))</f>
        <v/>
      </c>
      <c r="M177" s="72" t="n"/>
      <c r="N177" s="72" t="n"/>
      <c r="O177" s="89" t="n"/>
      <c r="P177" s="89" t="n"/>
      <c r="Q177" s="109" t="n"/>
      <c r="R177" s="120">
        <f>IF(B177="","",IF(Q177&lt;&gt;"",Q177,IF(P177="","",IFERROR(INDEX('Timeline'!$J$7:$J$1006,MATCH(P177,'Timeline'!$B$7:$B$1006,0)),""))))</f>
        <v/>
      </c>
      <c r="S177" s="126">
        <f>IF(R177="","",R177-IF(O177="",0,O177)-OrderBuf)</f>
        <v/>
      </c>
      <c r="T177" s="126">
        <f>IF(S177="","",S177-DecideBuf)</f>
        <v/>
      </c>
      <c r="U177" s="74" t="n"/>
      <c r="V177" s="109" t="n"/>
      <c r="W177" s="109" t="n"/>
      <c r="X177" s="74" t="n"/>
      <c r="Y177" s="116">
        <f>IF(B177="","",IF(X177="Yes","Delivered",IF(U177="Yes",IF(AND(W177&lt;&gt;"",R177&lt;&gt;""),IF(W177&gt;R177,"⚠️ Delivery after install date","Ordered"),"Ordered"),IF(K177="",IF(T177="","Waiting for decision",IF(T177&lt;=AsOf+AlertDays,"Decide now","Waiting for decision")),IF(S177="","Selected",IF(AsOf&gt;S177,"⚠️ Order late — install at risk",IF(S177&lt;=AsOf+AlertDays,"Order now","Selected")))))))</f>
        <v/>
      </c>
      <c r="Z177" s="79">
        <f>IF(B177="","",IF(OR(AH177=1,AE177=1),2,IF(OR(AG177=1,AF177=1),1,IF(OR(Y177="Ordered",Y177="Delivered"),0,""))))</f>
        <v/>
      </c>
      <c r="AA177" s="112">
        <f>IF(B177="","",IF(AH177=1,IF(Y177="⚠️ Delivery after install date",R177,S177),IF(AD177=1,T177,IF(AI177=1,S177,""))))</f>
        <v/>
      </c>
      <c r="AB177" s="79">
        <f>IF(AA177="","",IF(AH177=1,1,IF(AA177="","",IF(AA177&lt;AsOf,1,IF(AA177&lt;=AsOf+AlertDays,2,IF(AA177&lt;=AsOf+2*AlertDays,3,""))))))</f>
        <v/>
      </c>
      <c r="AC177" s="79">
        <f>IF(AB177="","",IF(AH177=1,IF(Y177="⚠️ Delivery after install date","Delivery after install date: "&amp;B177,"Order late — install at risk: "&amp;B177),IF(AD177=1,IF(AB177=1,"Decision overdue: ","Decide: ")&amp;B177,"Order: "&amp;B177&amp;IF(N177="",""," from "&amp;N177))))</f>
        <v/>
      </c>
      <c r="AD177" s="79">
        <f>IF(AND(B177&lt;&gt;"",K177="",U177&lt;&gt;"Yes",X177&lt;&gt;"Yes"),1,0)</f>
        <v/>
      </c>
      <c r="AE177" s="79">
        <f>IF(AND(AD177=1,T177&lt;&gt;""),IF(T177&lt;AsOf,1,0),0)</f>
        <v/>
      </c>
      <c r="AF177" s="79">
        <f>IF(AND(AD177=1,T177&lt;&gt;""),IF(AND(T177&gt;=AsOf,T177&lt;=AsOf+AlertDays),1,0),0)</f>
        <v/>
      </c>
      <c r="AG177" s="79">
        <f>IF(Y177="Order now",1,0)</f>
        <v/>
      </c>
      <c r="AH177" s="79">
        <f>IF(OR(Y177="⚠️ Order late — install at risk",Y177="⚠️ Delivery after install date"),1,0)</f>
        <v/>
      </c>
      <c r="AI177" s="79">
        <f>IF(AND(B177&lt;&gt;"",K177&lt;&gt;"",U177&lt;&gt;"Yes",X177&lt;&gt;"Yes"),1,0)</f>
        <v/>
      </c>
      <c r="AJ177" s="79">
        <f>IF(Y177="⚠️ Order late — install at risk",1,0)</f>
        <v/>
      </c>
    </row>
    <row r="178" ht="20" customHeight="1">
      <c r="B178" s="72" t="n"/>
      <c r="C178" s="72" t="n"/>
      <c r="D178" s="72" t="n"/>
      <c r="E178" s="72" t="n"/>
      <c r="F178" s="73" t="n"/>
      <c r="G178" s="72" t="n"/>
      <c r="H178" s="73" t="n"/>
      <c r="I178" s="72" t="n"/>
      <c r="J178" s="73" t="n"/>
      <c r="K178" s="74" t="n"/>
      <c r="L178" s="75">
        <f>IF(K178="A",F178,IF(K178="B",H178,IF(K178="C",J178,"")))</f>
        <v/>
      </c>
      <c r="M178" s="72" t="n"/>
      <c r="N178" s="72" t="n"/>
      <c r="O178" s="89" t="n"/>
      <c r="P178" s="89" t="n"/>
      <c r="Q178" s="109" t="n"/>
      <c r="R178" s="120">
        <f>IF(B178="","",IF(Q178&lt;&gt;"",Q178,IF(P178="","",IFERROR(INDEX('Timeline'!$J$7:$J$1006,MATCH(P178,'Timeline'!$B$7:$B$1006,0)),""))))</f>
        <v/>
      </c>
      <c r="S178" s="126">
        <f>IF(R178="","",R178-IF(O178="",0,O178)-OrderBuf)</f>
        <v/>
      </c>
      <c r="T178" s="126">
        <f>IF(S178="","",S178-DecideBuf)</f>
        <v/>
      </c>
      <c r="U178" s="74" t="n"/>
      <c r="V178" s="109" t="n"/>
      <c r="W178" s="109" t="n"/>
      <c r="X178" s="74" t="n"/>
      <c r="Y178" s="116">
        <f>IF(B178="","",IF(X178="Yes","Delivered",IF(U178="Yes",IF(AND(W178&lt;&gt;"",R178&lt;&gt;""),IF(W178&gt;R178,"⚠️ Delivery after install date","Ordered"),"Ordered"),IF(K178="",IF(T178="","Waiting for decision",IF(T178&lt;=AsOf+AlertDays,"Decide now","Waiting for decision")),IF(S178="","Selected",IF(AsOf&gt;S178,"⚠️ Order late — install at risk",IF(S178&lt;=AsOf+AlertDays,"Order now","Selected")))))))</f>
        <v/>
      </c>
      <c r="Z178" s="79">
        <f>IF(B178="","",IF(OR(AH178=1,AE178=1),2,IF(OR(AG178=1,AF178=1),1,IF(OR(Y178="Ordered",Y178="Delivered"),0,""))))</f>
        <v/>
      </c>
      <c r="AA178" s="112">
        <f>IF(B178="","",IF(AH178=1,IF(Y178="⚠️ Delivery after install date",R178,S178),IF(AD178=1,T178,IF(AI178=1,S178,""))))</f>
        <v/>
      </c>
      <c r="AB178" s="79">
        <f>IF(AA178="","",IF(AH178=1,1,IF(AA178="","",IF(AA178&lt;AsOf,1,IF(AA178&lt;=AsOf+AlertDays,2,IF(AA178&lt;=AsOf+2*AlertDays,3,""))))))</f>
        <v/>
      </c>
      <c r="AC178" s="79">
        <f>IF(AB178="","",IF(AH178=1,IF(Y178="⚠️ Delivery after install date","Delivery after install date: "&amp;B178,"Order late — install at risk: "&amp;B178),IF(AD178=1,IF(AB178=1,"Decision overdue: ","Decide: ")&amp;B178,"Order: "&amp;B178&amp;IF(N178="",""," from "&amp;N178))))</f>
        <v/>
      </c>
      <c r="AD178" s="79">
        <f>IF(AND(B178&lt;&gt;"",K178="",U178&lt;&gt;"Yes",X178&lt;&gt;"Yes"),1,0)</f>
        <v/>
      </c>
      <c r="AE178" s="79">
        <f>IF(AND(AD178=1,T178&lt;&gt;""),IF(T178&lt;AsOf,1,0),0)</f>
        <v/>
      </c>
      <c r="AF178" s="79">
        <f>IF(AND(AD178=1,T178&lt;&gt;""),IF(AND(T178&gt;=AsOf,T178&lt;=AsOf+AlertDays),1,0),0)</f>
        <v/>
      </c>
      <c r="AG178" s="79">
        <f>IF(Y178="Order now",1,0)</f>
        <v/>
      </c>
      <c r="AH178" s="79">
        <f>IF(OR(Y178="⚠️ Order late — install at risk",Y178="⚠️ Delivery after install date"),1,0)</f>
        <v/>
      </c>
      <c r="AI178" s="79">
        <f>IF(AND(B178&lt;&gt;"",K178&lt;&gt;"",U178&lt;&gt;"Yes",X178&lt;&gt;"Yes"),1,0)</f>
        <v/>
      </c>
      <c r="AJ178" s="79">
        <f>IF(Y178="⚠️ Order late — install at risk",1,0)</f>
        <v/>
      </c>
    </row>
    <row r="179" ht="20" customHeight="1">
      <c r="B179" s="72" t="n"/>
      <c r="C179" s="72" t="n"/>
      <c r="D179" s="72" t="n"/>
      <c r="E179" s="72" t="n"/>
      <c r="F179" s="73" t="n"/>
      <c r="G179" s="72" t="n"/>
      <c r="H179" s="73" t="n"/>
      <c r="I179" s="72" t="n"/>
      <c r="J179" s="73" t="n"/>
      <c r="K179" s="74" t="n"/>
      <c r="L179" s="75">
        <f>IF(K179="A",F179,IF(K179="B",H179,IF(K179="C",J179,"")))</f>
        <v/>
      </c>
      <c r="M179" s="72" t="n"/>
      <c r="N179" s="72" t="n"/>
      <c r="O179" s="89" t="n"/>
      <c r="P179" s="89" t="n"/>
      <c r="Q179" s="109" t="n"/>
      <c r="R179" s="120">
        <f>IF(B179="","",IF(Q179&lt;&gt;"",Q179,IF(P179="","",IFERROR(INDEX('Timeline'!$J$7:$J$1006,MATCH(P179,'Timeline'!$B$7:$B$1006,0)),""))))</f>
        <v/>
      </c>
      <c r="S179" s="126">
        <f>IF(R179="","",R179-IF(O179="",0,O179)-OrderBuf)</f>
        <v/>
      </c>
      <c r="T179" s="126">
        <f>IF(S179="","",S179-DecideBuf)</f>
        <v/>
      </c>
      <c r="U179" s="74" t="n"/>
      <c r="V179" s="109" t="n"/>
      <c r="W179" s="109" t="n"/>
      <c r="X179" s="74" t="n"/>
      <c r="Y179" s="116">
        <f>IF(B179="","",IF(X179="Yes","Delivered",IF(U179="Yes",IF(AND(W179&lt;&gt;"",R179&lt;&gt;""),IF(W179&gt;R179,"⚠️ Delivery after install date","Ordered"),"Ordered"),IF(K179="",IF(T179="","Waiting for decision",IF(T179&lt;=AsOf+AlertDays,"Decide now","Waiting for decision")),IF(S179="","Selected",IF(AsOf&gt;S179,"⚠️ Order late — install at risk",IF(S179&lt;=AsOf+AlertDays,"Order now","Selected")))))))</f>
        <v/>
      </c>
      <c r="Z179" s="79">
        <f>IF(B179="","",IF(OR(AH179=1,AE179=1),2,IF(OR(AG179=1,AF179=1),1,IF(OR(Y179="Ordered",Y179="Delivered"),0,""))))</f>
        <v/>
      </c>
      <c r="AA179" s="112">
        <f>IF(B179="","",IF(AH179=1,IF(Y179="⚠️ Delivery after install date",R179,S179),IF(AD179=1,T179,IF(AI179=1,S179,""))))</f>
        <v/>
      </c>
      <c r="AB179" s="79">
        <f>IF(AA179="","",IF(AH179=1,1,IF(AA179="","",IF(AA179&lt;AsOf,1,IF(AA179&lt;=AsOf+AlertDays,2,IF(AA179&lt;=AsOf+2*AlertDays,3,""))))))</f>
        <v/>
      </c>
      <c r="AC179" s="79">
        <f>IF(AB179="","",IF(AH179=1,IF(Y179="⚠️ Delivery after install date","Delivery after install date: "&amp;B179,"Order late — install at risk: "&amp;B179),IF(AD179=1,IF(AB179=1,"Decision overdue: ","Decide: ")&amp;B179,"Order: "&amp;B179&amp;IF(N179="",""," from "&amp;N179))))</f>
        <v/>
      </c>
      <c r="AD179" s="79">
        <f>IF(AND(B179&lt;&gt;"",K179="",U179&lt;&gt;"Yes",X179&lt;&gt;"Yes"),1,0)</f>
        <v/>
      </c>
      <c r="AE179" s="79">
        <f>IF(AND(AD179=1,T179&lt;&gt;""),IF(T179&lt;AsOf,1,0),0)</f>
        <v/>
      </c>
      <c r="AF179" s="79">
        <f>IF(AND(AD179=1,T179&lt;&gt;""),IF(AND(T179&gt;=AsOf,T179&lt;=AsOf+AlertDays),1,0),0)</f>
        <v/>
      </c>
      <c r="AG179" s="79">
        <f>IF(Y179="Order now",1,0)</f>
        <v/>
      </c>
      <c r="AH179" s="79">
        <f>IF(OR(Y179="⚠️ Order late — install at risk",Y179="⚠️ Delivery after install date"),1,0)</f>
        <v/>
      </c>
      <c r="AI179" s="79">
        <f>IF(AND(B179&lt;&gt;"",K179&lt;&gt;"",U179&lt;&gt;"Yes",X179&lt;&gt;"Yes"),1,0)</f>
        <v/>
      </c>
      <c r="AJ179" s="79">
        <f>IF(Y179="⚠️ Order late — install at risk",1,0)</f>
        <v/>
      </c>
    </row>
    <row r="180" ht="20" customHeight="1">
      <c r="B180" s="72" t="n"/>
      <c r="C180" s="72" t="n"/>
      <c r="D180" s="72" t="n"/>
      <c r="E180" s="72" t="n"/>
      <c r="F180" s="73" t="n"/>
      <c r="G180" s="72" t="n"/>
      <c r="H180" s="73" t="n"/>
      <c r="I180" s="72" t="n"/>
      <c r="J180" s="73" t="n"/>
      <c r="K180" s="74" t="n"/>
      <c r="L180" s="75">
        <f>IF(K180="A",F180,IF(K180="B",H180,IF(K180="C",J180,"")))</f>
        <v/>
      </c>
      <c r="M180" s="72" t="n"/>
      <c r="N180" s="72" t="n"/>
      <c r="O180" s="89" t="n"/>
      <c r="P180" s="89" t="n"/>
      <c r="Q180" s="109" t="n"/>
      <c r="R180" s="120">
        <f>IF(B180="","",IF(Q180&lt;&gt;"",Q180,IF(P180="","",IFERROR(INDEX('Timeline'!$J$7:$J$1006,MATCH(P180,'Timeline'!$B$7:$B$1006,0)),""))))</f>
        <v/>
      </c>
      <c r="S180" s="126">
        <f>IF(R180="","",R180-IF(O180="",0,O180)-OrderBuf)</f>
        <v/>
      </c>
      <c r="T180" s="126">
        <f>IF(S180="","",S180-DecideBuf)</f>
        <v/>
      </c>
      <c r="U180" s="74" t="n"/>
      <c r="V180" s="109" t="n"/>
      <c r="W180" s="109" t="n"/>
      <c r="X180" s="74" t="n"/>
      <c r="Y180" s="116">
        <f>IF(B180="","",IF(X180="Yes","Delivered",IF(U180="Yes",IF(AND(W180&lt;&gt;"",R180&lt;&gt;""),IF(W180&gt;R180,"⚠️ Delivery after install date","Ordered"),"Ordered"),IF(K180="",IF(T180="","Waiting for decision",IF(T180&lt;=AsOf+AlertDays,"Decide now","Waiting for decision")),IF(S180="","Selected",IF(AsOf&gt;S180,"⚠️ Order late — install at risk",IF(S180&lt;=AsOf+AlertDays,"Order now","Selected")))))))</f>
        <v/>
      </c>
      <c r="Z180" s="79">
        <f>IF(B180="","",IF(OR(AH180=1,AE180=1),2,IF(OR(AG180=1,AF180=1),1,IF(OR(Y180="Ordered",Y180="Delivered"),0,""))))</f>
        <v/>
      </c>
      <c r="AA180" s="112">
        <f>IF(B180="","",IF(AH180=1,IF(Y180="⚠️ Delivery after install date",R180,S180),IF(AD180=1,T180,IF(AI180=1,S180,""))))</f>
        <v/>
      </c>
      <c r="AB180" s="79">
        <f>IF(AA180="","",IF(AH180=1,1,IF(AA180="","",IF(AA180&lt;AsOf,1,IF(AA180&lt;=AsOf+AlertDays,2,IF(AA180&lt;=AsOf+2*AlertDays,3,""))))))</f>
        <v/>
      </c>
      <c r="AC180" s="79">
        <f>IF(AB180="","",IF(AH180=1,IF(Y180="⚠️ Delivery after install date","Delivery after install date: "&amp;B180,"Order late — install at risk: "&amp;B180),IF(AD180=1,IF(AB180=1,"Decision overdue: ","Decide: ")&amp;B180,"Order: "&amp;B180&amp;IF(N180="",""," from "&amp;N180))))</f>
        <v/>
      </c>
      <c r="AD180" s="79">
        <f>IF(AND(B180&lt;&gt;"",K180="",U180&lt;&gt;"Yes",X180&lt;&gt;"Yes"),1,0)</f>
        <v/>
      </c>
      <c r="AE180" s="79">
        <f>IF(AND(AD180=1,T180&lt;&gt;""),IF(T180&lt;AsOf,1,0),0)</f>
        <v/>
      </c>
      <c r="AF180" s="79">
        <f>IF(AND(AD180=1,T180&lt;&gt;""),IF(AND(T180&gt;=AsOf,T180&lt;=AsOf+AlertDays),1,0),0)</f>
        <v/>
      </c>
      <c r="AG180" s="79">
        <f>IF(Y180="Order now",1,0)</f>
        <v/>
      </c>
      <c r="AH180" s="79">
        <f>IF(OR(Y180="⚠️ Order late — install at risk",Y180="⚠️ Delivery after install date"),1,0)</f>
        <v/>
      </c>
      <c r="AI180" s="79">
        <f>IF(AND(B180&lt;&gt;"",K180&lt;&gt;"",U180&lt;&gt;"Yes",X180&lt;&gt;"Yes"),1,0)</f>
        <v/>
      </c>
      <c r="AJ180" s="79">
        <f>IF(Y180="⚠️ Order late — install at risk",1,0)</f>
        <v/>
      </c>
    </row>
    <row r="181" ht="20" customHeight="1">
      <c r="B181" s="72" t="n"/>
      <c r="C181" s="72" t="n"/>
      <c r="D181" s="72" t="n"/>
      <c r="E181" s="72" t="n"/>
      <c r="F181" s="73" t="n"/>
      <c r="G181" s="72" t="n"/>
      <c r="H181" s="73" t="n"/>
      <c r="I181" s="72" t="n"/>
      <c r="J181" s="73" t="n"/>
      <c r="K181" s="74" t="n"/>
      <c r="L181" s="75">
        <f>IF(K181="A",F181,IF(K181="B",H181,IF(K181="C",J181,"")))</f>
        <v/>
      </c>
      <c r="M181" s="72" t="n"/>
      <c r="N181" s="72" t="n"/>
      <c r="O181" s="89" t="n"/>
      <c r="P181" s="89" t="n"/>
      <c r="Q181" s="109" t="n"/>
      <c r="R181" s="120">
        <f>IF(B181="","",IF(Q181&lt;&gt;"",Q181,IF(P181="","",IFERROR(INDEX('Timeline'!$J$7:$J$1006,MATCH(P181,'Timeline'!$B$7:$B$1006,0)),""))))</f>
        <v/>
      </c>
      <c r="S181" s="126">
        <f>IF(R181="","",R181-IF(O181="",0,O181)-OrderBuf)</f>
        <v/>
      </c>
      <c r="T181" s="126">
        <f>IF(S181="","",S181-DecideBuf)</f>
        <v/>
      </c>
      <c r="U181" s="74" t="n"/>
      <c r="V181" s="109" t="n"/>
      <c r="W181" s="109" t="n"/>
      <c r="X181" s="74" t="n"/>
      <c r="Y181" s="116">
        <f>IF(B181="","",IF(X181="Yes","Delivered",IF(U181="Yes",IF(AND(W181&lt;&gt;"",R181&lt;&gt;""),IF(W181&gt;R181,"⚠️ Delivery after install date","Ordered"),"Ordered"),IF(K181="",IF(T181="","Waiting for decision",IF(T181&lt;=AsOf+AlertDays,"Decide now","Waiting for decision")),IF(S181="","Selected",IF(AsOf&gt;S181,"⚠️ Order late — install at risk",IF(S181&lt;=AsOf+AlertDays,"Order now","Selected")))))))</f>
        <v/>
      </c>
      <c r="Z181" s="79">
        <f>IF(B181="","",IF(OR(AH181=1,AE181=1),2,IF(OR(AG181=1,AF181=1),1,IF(OR(Y181="Ordered",Y181="Delivered"),0,""))))</f>
        <v/>
      </c>
      <c r="AA181" s="112">
        <f>IF(B181="","",IF(AH181=1,IF(Y181="⚠️ Delivery after install date",R181,S181),IF(AD181=1,T181,IF(AI181=1,S181,""))))</f>
        <v/>
      </c>
      <c r="AB181" s="79">
        <f>IF(AA181="","",IF(AH181=1,1,IF(AA181="","",IF(AA181&lt;AsOf,1,IF(AA181&lt;=AsOf+AlertDays,2,IF(AA181&lt;=AsOf+2*AlertDays,3,""))))))</f>
        <v/>
      </c>
      <c r="AC181" s="79">
        <f>IF(AB181="","",IF(AH181=1,IF(Y181="⚠️ Delivery after install date","Delivery after install date: "&amp;B181,"Order late — install at risk: "&amp;B181),IF(AD181=1,IF(AB181=1,"Decision overdue: ","Decide: ")&amp;B181,"Order: "&amp;B181&amp;IF(N181="",""," from "&amp;N181))))</f>
        <v/>
      </c>
      <c r="AD181" s="79">
        <f>IF(AND(B181&lt;&gt;"",K181="",U181&lt;&gt;"Yes",X181&lt;&gt;"Yes"),1,0)</f>
        <v/>
      </c>
      <c r="AE181" s="79">
        <f>IF(AND(AD181=1,T181&lt;&gt;""),IF(T181&lt;AsOf,1,0),0)</f>
        <v/>
      </c>
      <c r="AF181" s="79">
        <f>IF(AND(AD181=1,T181&lt;&gt;""),IF(AND(T181&gt;=AsOf,T181&lt;=AsOf+AlertDays),1,0),0)</f>
        <v/>
      </c>
      <c r="AG181" s="79">
        <f>IF(Y181="Order now",1,0)</f>
        <v/>
      </c>
      <c r="AH181" s="79">
        <f>IF(OR(Y181="⚠️ Order late — install at risk",Y181="⚠️ Delivery after install date"),1,0)</f>
        <v/>
      </c>
      <c r="AI181" s="79">
        <f>IF(AND(B181&lt;&gt;"",K181&lt;&gt;"",U181&lt;&gt;"Yes",X181&lt;&gt;"Yes"),1,0)</f>
        <v/>
      </c>
      <c r="AJ181" s="79">
        <f>IF(Y181="⚠️ Order late — install at risk",1,0)</f>
        <v/>
      </c>
    </row>
    <row r="182" ht="20" customHeight="1">
      <c r="B182" s="72" t="n"/>
      <c r="C182" s="72" t="n"/>
      <c r="D182" s="72" t="n"/>
      <c r="E182" s="72" t="n"/>
      <c r="F182" s="73" t="n"/>
      <c r="G182" s="72" t="n"/>
      <c r="H182" s="73" t="n"/>
      <c r="I182" s="72" t="n"/>
      <c r="J182" s="73" t="n"/>
      <c r="K182" s="74" t="n"/>
      <c r="L182" s="75">
        <f>IF(K182="A",F182,IF(K182="B",H182,IF(K182="C",J182,"")))</f>
        <v/>
      </c>
      <c r="M182" s="72" t="n"/>
      <c r="N182" s="72" t="n"/>
      <c r="O182" s="89" t="n"/>
      <c r="P182" s="89" t="n"/>
      <c r="Q182" s="109" t="n"/>
      <c r="R182" s="120">
        <f>IF(B182="","",IF(Q182&lt;&gt;"",Q182,IF(P182="","",IFERROR(INDEX('Timeline'!$J$7:$J$1006,MATCH(P182,'Timeline'!$B$7:$B$1006,0)),""))))</f>
        <v/>
      </c>
      <c r="S182" s="126">
        <f>IF(R182="","",R182-IF(O182="",0,O182)-OrderBuf)</f>
        <v/>
      </c>
      <c r="T182" s="126">
        <f>IF(S182="","",S182-DecideBuf)</f>
        <v/>
      </c>
      <c r="U182" s="74" t="n"/>
      <c r="V182" s="109" t="n"/>
      <c r="W182" s="109" t="n"/>
      <c r="X182" s="74" t="n"/>
      <c r="Y182" s="116">
        <f>IF(B182="","",IF(X182="Yes","Delivered",IF(U182="Yes",IF(AND(W182&lt;&gt;"",R182&lt;&gt;""),IF(W182&gt;R182,"⚠️ Delivery after install date","Ordered"),"Ordered"),IF(K182="",IF(T182="","Waiting for decision",IF(T182&lt;=AsOf+AlertDays,"Decide now","Waiting for decision")),IF(S182="","Selected",IF(AsOf&gt;S182,"⚠️ Order late — install at risk",IF(S182&lt;=AsOf+AlertDays,"Order now","Selected")))))))</f>
        <v/>
      </c>
      <c r="Z182" s="79">
        <f>IF(B182="","",IF(OR(AH182=1,AE182=1),2,IF(OR(AG182=1,AF182=1),1,IF(OR(Y182="Ordered",Y182="Delivered"),0,""))))</f>
        <v/>
      </c>
      <c r="AA182" s="112">
        <f>IF(B182="","",IF(AH182=1,IF(Y182="⚠️ Delivery after install date",R182,S182),IF(AD182=1,T182,IF(AI182=1,S182,""))))</f>
        <v/>
      </c>
      <c r="AB182" s="79">
        <f>IF(AA182="","",IF(AH182=1,1,IF(AA182="","",IF(AA182&lt;AsOf,1,IF(AA182&lt;=AsOf+AlertDays,2,IF(AA182&lt;=AsOf+2*AlertDays,3,""))))))</f>
        <v/>
      </c>
      <c r="AC182" s="79">
        <f>IF(AB182="","",IF(AH182=1,IF(Y182="⚠️ Delivery after install date","Delivery after install date: "&amp;B182,"Order late — install at risk: "&amp;B182),IF(AD182=1,IF(AB182=1,"Decision overdue: ","Decide: ")&amp;B182,"Order: "&amp;B182&amp;IF(N182="",""," from "&amp;N182))))</f>
        <v/>
      </c>
      <c r="AD182" s="79">
        <f>IF(AND(B182&lt;&gt;"",K182="",U182&lt;&gt;"Yes",X182&lt;&gt;"Yes"),1,0)</f>
        <v/>
      </c>
      <c r="AE182" s="79">
        <f>IF(AND(AD182=1,T182&lt;&gt;""),IF(T182&lt;AsOf,1,0),0)</f>
        <v/>
      </c>
      <c r="AF182" s="79">
        <f>IF(AND(AD182=1,T182&lt;&gt;""),IF(AND(T182&gt;=AsOf,T182&lt;=AsOf+AlertDays),1,0),0)</f>
        <v/>
      </c>
      <c r="AG182" s="79">
        <f>IF(Y182="Order now",1,0)</f>
        <v/>
      </c>
      <c r="AH182" s="79">
        <f>IF(OR(Y182="⚠️ Order late — install at risk",Y182="⚠️ Delivery after install date"),1,0)</f>
        <v/>
      </c>
      <c r="AI182" s="79">
        <f>IF(AND(B182&lt;&gt;"",K182&lt;&gt;"",U182&lt;&gt;"Yes",X182&lt;&gt;"Yes"),1,0)</f>
        <v/>
      </c>
      <c r="AJ182" s="79">
        <f>IF(Y182="⚠️ Order late — install at risk",1,0)</f>
        <v/>
      </c>
    </row>
    <row r="183" ht="20" customHeight="1">
      <c r="B183" s="72" t="n"/>
      <c r="C183" s="72" t="n"/>
      <c r="D183" s="72" t="n"/>
      <c r="E183" s="72" t="n"/>
      <c r="F183" s="73" t="n"/>
      <c r="G183" s="72" t="n"/>
      <c r="H183" s="73" t="n"/>
      <c r="I183" s="72" t="n"/>
      <c r="J183" s="73" t="n"/>
      <c r="K183" s="74" t="n"/>
      <c r="L183" s="75">
        <f>IF(K183="A",F183,IF(K183="B",H183,IF(K183="C",J183,"")))</f>
        <v/>
      </c>
      <c r="M183" s="72" t="n"/>
      <c r="N183" s="72" t="n"/>
      <c r="O183" s="89" t="n"/>
      <c r="P183" s="89" t="n"/>
      <c r="Q183" s="109" t="n"/>
      <c r="R183" s="120">
        <f>IF(B183="","",IF(Q183&lt;&gt;"",Q183,IF(P183="","",IFERROR(INDEX('Timeline'!$J$7:$J$1006,MATCH(P183,'Timeline'!$B$7:$B$1006,0)),""))))</f>
        <v/>
      </c>
      <c r="S183" s="126">
        <f>IF(R183="","",R183-IF(O183="",0,O183)-OrderBuf)</f>
        <v/>
      </c>
      <c r="T183" s="126">
        <f>IF(S183="","",S183-DecideBuf)</f>
        <v/>
      </c>
      <c r="U183" s="74" t="n"/>
      <c r="V183" s="109" t="n"/>
      <c r="W183" s="109" t="n"/>
      <c r="X183" s="74" t="n"/>
      <c r="Y183" s="116">
        <f>IF(B183="","",IF(X183="Yes","Delivered",IF(U183="Yes",IF(AND(W183&lt;&gt;"",R183&lt;&gt;""),IF(W183&gt;R183,"⚠️ Delivery after install date","Ordered"),"Ordered"),IF(K183="",IF(T183="","Waiting for decision",IF(T183&lt;=AsOf+AlertDays,"Decide now","Waiting for decision")),IF(S183="","Selected",IF(AsOf&gt;S183,"⚠️ Order late — install at risk",IF(S183&lt;=AsOf+AlertDays,"Order now","Selected")))))))</f>
        <v/>
      </c>
      <c r="Z183" s="79">
        <f>IF(B183="","",IF(OR(AH183=1,AE183=1),2,IF(OR(AG183=1,AF183=1),1,IF(OR(Y183="Ordered",Y183="Delivered"),0,""))))</f>
        <v/>
      </c>
      <c r="AA183" s="112">
        <f>IF(B183="","",IF(AH183=1,IF(Y183="⚠️ Delivery after install date",R183,S183),IF(AD183=1,T183,IF(AI183=1,S183,""))))</f>
        <v/>
      </c>
      <c r="AB183" s="79">
        <f>IF(AA183="","",IF(AH183=1,1,IF(AA183="","",IF(AA183&lt;AsOf,1,IF(AA183&lt;=AsOf+AlertDays,2,IF(AA183&lt;=AsOf+2*AlertDays,3,""))))))</f>
        <v/>
      </c>
      <c r="AC183" s="79">
        <f>IF(AB183="","",IF(AH183=1,IF(Y183="⚠️ Delivery after install date","Delivery after install date: "&amp;B183,"Order late — install at risk: "&amp;B183),IF(AD183=1,IF(AB183=1,"Decision overdue: ","Decide: ")&amp;B183,"Order: "&amp;B183&amp;IF(N183="",""," from "&amp;N183))))</f>
        <v/>
      </c>
      <c r="AD183" s="79">
        <f>IF(AND(B183&lt;&gt;"",K183="",U183&lt;&gt;"Yes",X183&lt;&gt;"Yes"),1,0)</f>
        <v/>
      </c>
      <c r="AE183" s="79">
        <f>IF(AND(AD183=1,T183&lt;&gt;""),IF(T183&lt;AsOf,1,0),0)</f>
        <v/>
      </c>
      <c r="AF183" s="79">
        <f>IF(AND(AD183=1,T183&lt;&gt;""),IF(AND(T183&gt;=AsOf,T183&lt;=AsOf+AlertDays),1,0),0)</f>
        <v/>
      </c>
      <c r="AG183" s="79">
        <f>IF(Y183="Order now",1,0)</f>
        <v/>
      </c>
      <c r="AH183" s="79">
        <f>IF(OR(Y183="⚠️ Order late — install at risk",Y183="⚠️ Delivery after install date"),1,0)</f>
        <v/>
      </c>
      <c r="AI183" s="79">
        <f>IF(AND(B183&lt;&gt;"",K183&lt;&gt;"",U183&lt;&gt;"Yes",X183&lt;&gt;"Yes"),1,0)</f>
        <v/>
      </c>
      <c r="AJ183" s="79">
        <f>IF(Y183="⚠️ Order late — install at risk",1,0)</f>
        <v/>
      </c>
    </row>
    <row r="184" ht="20" customHeight="1">
      <c r="B184" s="72" t="n"/>
      <c r="C184" s="72" t="n"/>
      <c r="D184" s="72" t="n"/>
      <c r="E184" s="72" t="n"/>
      <c r="F184" s="73" t="n"/>
      <c r="G184" s="72" t="n"/>
      <c r="H184" s="73" t="n"/>
      <c r="I184" s="72" t="n"/>
      <c r="J184" s="73" t="n"/>
      <c r="K184" s="74" t="n"/>
      <c r="L184" s="75">
        <f>IF(K184="A",F184,IF(K184="B",H184,IF(K184="C",J184,"")))</f>
        <v/>
      </c>
      <c r="M184" s="72" t="n"/>
      <c r="N184" s="72" t="n"/>
      <c r="O184" s="89" t="n"/>
      <c r="P184" s="89" t="n"/>
      <c r="Q184" s="109" t="n"/>
      <c r="R184" s="120">
        <f>IF(B184="","",IF(Q184&lt;&gt;"",Q184,IF(P184="","",IFERROR(INDEX('Timeline'!$J$7:$J$1006,MATCH(P184,'Timeline'!$B$7:$B$1006,0)),""))))</f>
        <v/>
      </c>
      <c r="S184" s="126">
        <f>IF(R184="","",R184-IF(O184="",0,O184)-OrderBuf)</f>
        <v/>
      </c>
      <c r="T184" s="126">
        <f>IF(S184="","",S184-DecideBuf)</f>
        <v/>
      </c>
      <c r="U184" s="74" t="n"/>
      <c r="V184" s="109" t="n"/>
      <c r="W184" s="109" t="n"/>
      <c r="X184" s="74" t="n"/>
      <c r="Y184" s="116">
        <f>IF(B184="","",IF(X184="Yes","Delivered",IF(U184="Yes",IF(AND(W184&lt;&gt;"",R184&lt;&gt;""),IF(W184&gt;R184,"⚠️ Delivery after install date","Ordered"),"Ordered"),IF(K184="",IF(T184="","Waiting for decision",IF(T184&lt;=AsOf+AlertDays,"Decide now","Waiting for decision")),IF(S184="","Selected",IF(AsOf&gt;S184,"⚠️ Order late — install at risk",IF(S184&lt;=AsOf+AlertDays,"Order now","Selected")))))))</f>
        <v/>
      </c>
      <c r="Z184" s="79">
        <f>IF(B184="","",IF(OR(AH184=1,AE184=1),2,IF(OR(AG184=1,AF184=1),1,IF(OR(Y184="Ordered",Y184="Delivered"),0,""))))</f>
        <v/>
      </c>
      <c r="AA184" s="112">
        <f>IF(B184="","",IF(AH184=1,IF(Y184="⚠️ Delivery after install date",R184,S184),IF(AD184=1,T184,IF(AI184=1,S184,""))))</f>
        <v/>
      </c>
      <c r="AB184" s="79">
        <f>IF(AA184="","",IF(AH184=1,1,IF(AA184="","",IF(AA184&lt;AsOf,1,IF(AA184&lt;=AsOf+AlertDays,2,IF(AA184&lt;=AsOf+2*AlertDays,3,""))))))</f>
        <v/>
      </c>
      <c r="AC184" s="79">
        <f>IF(AB184="","",IF(AH184=1,IF(Y184="⚠️ Delivery after install date","Delivery after install date: "&amp;B184,"Order late — install at risk: "&amp;B184),IF(AD184=1,IF(AB184=1,"Decision overdue: ","Decide: ")&amp;B184,"Order: "&amp;B184&amp;IF(N184="",""," from "&amp;N184))))</f>
        <v/>
      </c>
      <c r="AD184" s="79">
        <f>IF(AND(B184&lt;&gt;"",K184="",U184&lt;&gt;"Yes",X184&lt;&gt;"Yes"),1,0)</f>
        <v/>
      </c>
      <c r="AE184" s="79">
        <f>IF(AND(AD184=1,T184&lt;&gt;""),IF(T184&lt;AsOf,1,0),0)</f>
        <v/>
      </c>
      <c r="AF184" s="79">
        <f>IF(AND(AD184=1,T184&lt;&gt;""),IF(AND(T184&gt;=AsOf,T184&lt;=AsOf+AlertDays),1,0),0)</f>
        <v/>
      </c>
      <c r="AG184" s="79">
        <f>IF(Y184="Order now",1,0)</f>
        <v/>
      </c>
      <c r="AH184" s="79">
        <f>IF(OR(Y184="⚠️ Order late — install at risk",Y184="⚠️ Delivery after install date"),1,0)</f>
        <v/>
      </c>
      <c r="AI184" s="79">
        <f>IF(AND(B184&lt;&gt;"",K184&lt;&gt;"",U184&lt;&gt;"Yes",X184&lt;&gt;"Yes"),1,0)</f>
        <v/>
      </c>
      <c r="AJ184" s="79">
        <f>IF(Y184="⚠️ Order late — install at risk",1,0)</f>
        <v/>
      </c>
    </row>
    <row r="185" ht="20" customHeight="1">
      <c r="B185" s="72" t="n"/>
      <c r="C185" s="72" t="n"/>
      <c r="D185" s="72" t="n"/>
      <c r="E185" s="72" t="n"/>
      <c r="F185" s="73" t="n"/>
      <c r="G185" s="72" t="n"/>
      <c r="H185" s="73" t="n"/>
      <c r="I185" s="72" t="n"/>
      <c r="J185" s="73" t="n"/>
      <c r="K185" s="74" t="n"/>
      <c r="L185" s="75">
        <f>IF(K185="A",F185,IF(K185="B",H185,IF(K185="C",J185,"")))</f>
        <v/>
      </c>
      <c r="M185" s="72" t="n"/>
      <c r="N185" s="72" t="n"/>
      <c r="O185" s="89" t="n"/>
      <c r="P185" s="89" t="n"/>
      <c r="Q185" s="109" t="n"/>
      <c r="R185" s="120">
        <f>IF(B185="","",IF(Q185&lt;&gt;"",Q185,IF(P185="","",IFERROR(INDEX('Timeline'!$J$7:$J$1006,MATCH(P185,'Timeline'!$B$7:$B$1006,0)),""))))</f>
        <v/>
      </c>
      <c r="S185" s="126">
        <f>IF(R185="","",R185-IF(O185="",0,O185)-OrderBuf)</f>
        <v/>
      </c>
      <c r="T185" s="126">
        <f>IF(S185="","",S185-DecideBuf)</f>
        <v/>
      </c>
      <c r="U185" s="74" t="n"/>
      <c r="V185" s="109" t="n"/>
      <c r="W185" s="109" t="n"/>
      <c r="X185" s="74" t="n"/>
      <c r="Y185" s="116">
        <f>IF(B185="","",IF(X185="Yes","Delivered",IF(U185="Yes",IF(AND(W185&lt;&gt;"",R185&lt;&gt;""),IF(W185&gt;R185,"⚠️ Delivery after install date","Ordered"),"Ordered"),IF(K185="",IF(T185="","Waiting for decision",IF(T185&lt;=AsOf+AlertDays,"Decide now","Waiting for decision")),IF(S185="","Selected",IF(AsOf&gt;S185,"⚠️ Order late — install at risk",IF(S185&lt;=AsOf+AlertDays,"Order now","Selected")))))))</f>
        <v/>
      </c>
      <c r="Z185" s="79">
        <f>IF(B185="","",IF(OR(AH185=1,AE185=1),2,IF(OR(AG185=1,AF185=1),1,IF(OR(Y185="Ordered",Y185="Delivered"),0,""))))</f>
        <v/>
      </c>
      <c r="AA185" s="112">
        <f>IF(B185="","",IF(AH185=1,IF(Y185="⚠️ Delivery after install date",R185,S185),IF(AD185=1,T185,IF(AI185=1,S185,""))))</f>
        <v/>
      </c>
      <c r="AB185" s="79">
        <f>IF(AA185="","",IF(AH185=1,1,IF(AA185="","",IF(AA185&lt;AsOf,1,IF(AA185&lt;=AsOf+AlertDays,2,IF(AA185&lt;=AsOf+2*AlertDays,3,""))))))</f>
        <v/>
      </c>
      <c r="AC185" s="79">
        <f>IF(AB185="","",IF(AH185=1,IF(Y185="⚠️ Delivery after install date","Delivery after install date: "&amp;B185,"Order late — install at risk: "&amp;B185),IF(AD185=1,IF(AB185=1,"Decision overdue: ","Decide: ")&amp;B185,"Order: "&amp;B185&amp;IF(N185="",""," from "&amp;N185))))</f>
        <v/>
      </c>
      <c r="AD185" s="79">
        <f>IF(AND(B185&lt;&gt;"",K185="",U185&lt;&gt;"Yes",X185&lt;&gt;"Yes"),1,0)</f>
        <v/>
      </c>
      <c r="AE185" s="79">
        <f>IF(AND(AD185=1,T185&lt;&gt;""),IF(T185&lt;AsOf,1,0),0)</f>
        <v/>
      </c>
      <c r="AF185" s="79">
        <f>IF(AND(AD185=1,T185&lt;&gt;""),IF(AND(T185&gt;=AsOf,T185&lt;=AsOf+AlertDays),1,0),0)</f>
        <v/>
      </c>
      <c r="AG185" s="79">
        <f>IF(Y185="Order now",1,0)</f>
        <v/>
      </c>
      <c r="AH185" s="79">
        <f>IF(OR(Y185="⚠️ Order late — install at risk",Y185="⚠️ Delivery after install date"),1,0)</f>
        <v/>
      </c>
      <c r="AI185" s="79">
        <f>IF(AND(B185&lt;&gt;"",K185&lt;&gt;"",U185&lt;&gt;"Yes",X185&lt;&gt;"Yes"),1,0)</f>
        <v/>
      </c>
      <c r="AJ185" s="79">
        <f>IF(Y185="⚠️ Order late — install at risk",1,0)</f>
        <v/>
      </c>
    </row>
    <row r="186" ht="20" customHeight="1">
      <c r="B186" s="72" t="n"/>
      <c r="C186" s="72" t="n"/>
      <c r="D186" s="72" t="n"/>
      <c r="E186" s="72" t="n"/>
      <c r="F186" s="73" t="n"/>
      <c r="G186" s="72" t="n"/>
      <c r="H186" s="73" t="n"/>
      <c r="I186" s="72" t="n"/>
      <c r="J186" s="73" t="n"/>
      <c r="K186" s="74" t="n"/>
      <c r="L186" s="75">
        <f>IF(K186="A",F186,IF(K186="B",H186,IF(K186="C",J186,"")))</f>
        <v/>
      </c>
      <c r="M186" s="72" t="n"/>
      <c r="N186" s="72" t="n"/>
      <c r="O186" s="89" t="n"/>
      <c r="P186" s="89" t="n"/>
      <c r="Q186" s="109" t="n"/>
      <c r="R186" s="120">
        <f>IF(B186="","",IF(Q186&lt;&gt;"",Q186,IF(P186="","",IFERROR(INDEX('Timeline'!$J$7:$J$1006,MATCH(P186,'Timeline'!$B$7:$B$1006,0)),""))))</f>
        <v/>
      </c>
      <c r="S186" s="126">
        <f>IF(R186="","",R186-IF(O186="",0,O186)-OrderBuf)</f>
        <v/>
      </c>
      <c r="T186" s="126">
        <f>IF(S186="","",S186-DecideBuf)</f>
        <v/>
      </c>
      <c r="U186" s="74" t="n"/>
      <c r="V186" s="109" t="n"/>
      <c r="W186" s="109" t="n"/>
      <c r="X186" s="74" t="n"/>
      <c r="Y186" s="116">
        <f>IF(B186="","",IF(X186="Yes","Delivered",IF(U186="Yes",IF(AND(W186&lt;&gt;"",R186&lt;&gt;""),IF(W186&gt;R186,"⚠️ Delivery after install date","Ordered"),"Ordered"),IF(K186="",IF(T186="","Waiting for decision",IF(T186&lt;=AsOf+AlertDays,"Decide now","Waiting for decision")),IF(S186="","Selected",IF(AsOf&gt;S186,"⚠️ Order late — install at risk",IF(S186&lt;=AsOf+AlertDays,"Order now","Selected")))))))</f>
        <v/>
      </c>
      <c r="Z186" s="79">
        <f>IF(B186="","",IF(OR(AH186=1,AE186=1),2,IF(OR(AG186=1,AF186=1),1,IF(OR(Y186="Ordered",Y186="Delivered"),0,""))))</f>
        <v/>
      </c>
      <c r="AA186" s="112">
        <f>IF(B186="","",IF(AH186=1,IF(Y186="⚠️ Delivery after install date",R186,S186),IF(AD186=1,T186,IF(AI186=1,S186,""))))</f>
        <v/>
      </c>
      <c r="AB186" s="79">
        <f>IF(AA186="","",IF(AH186=1,1,IF(AA186="","",IF(AA186&lt;AsOf,1,IF(AA186&lt;=AsOf+AlertDays,2,IF(AA186&lt;=AsOf+2*AlertDays,3,""))))))</f>
        <v/>
      </c>
      <c r="AC186" s="79">
        <f>IF(AB186="","",IF(AH186=1,IF(Y186="⚠️ Delivery after install date","Delivery after install date: "&amp;B186,"Order late — install at risk: "&amp;B186),IF(AD186=1,IF(AB186=1,"Decision overdue: ","Decide: ")&amp;B186,"Order: "&amp;B186&amp;IF(N186="",""," from "&amp;N186))))</f>
        <v/>
      </c>
      <c r="AD186" s="79">
        <f>IF(AND(B186&lt;&gt;"",K186="",U186&lt;&gt;"Yes",X186&lt;&gt;"Yes"),1,0)</f>
        <v/>
      </c>
      <c r="AE186" s="79">
        <f>IF(AND(AD186=1,T186&lt;&gt;""),IF(T186&lt;AsOf,1,0),0)</f>
        <v/>
      </c>
      <c r="AF186" s="79">
        <f>IF(AND(AD186=1,T186&lt;&gt;""),IF(AND(T186&gt;=AsOf,T186&lt;=AsOf+AlertDays),1,0),0)</f>
        <v/>
      </c>
      <c r="AG186" s="79">
        <f>IF(Y186="Order now",1,0)</f>
        <v/>
      </c>
      <c r="AH186" s="79">
        <f>IF(OR(Y186="⚠️ Order late — install at risk",Y186="⚠️ Delivery after install date"),1,0)</f>
        <v/>
      </c>
      <c r="AI186" s="79">
        <f>IF(AND(B186&lt;&gt;"",K186&lt;&gt;"",U186&lt;&gt;"Yes",X186&lt;&gt;"Yes"),1,0)</f>
        <v/>
      </c>
      <c r="AJ186" s="79">
        <f>IF(Y186="⚠️ Order late — install at risk",1,0)</f>
        <v/>
      </c>
    </row>
    <row r="187" ht="20" customHeight="1">
      <c r="B187" s="72" t="n"/>
      <c r="C187" s="72" t="n"/>
      <c r="D187" s="72" t="n"/>
      <c r="E187" s="72" t="n"/>
      <c r="F187" s="73" t="n"/>
      <c r="G187" s="72" t="n"/>
      <c r="H187" s="73" t="n"/>
      <c r="I187" s="72" t="n"/>
      <c r="J187" s="73" t="n"/>
      <c r="K187" s="74" t="n"/>
      <c r="L187" s="75">
        <f>IF(K187="A",F187,IF(K187="B",H187,IF(K187="C",J187,"")))</f>
        <v/>
      </c>
      <c r="M187" s="72" t="n"/>
      <c r="N187" s="72" t="n"/>
      <c r="O187" s="89" t="n"/>
      <c r="P187" s="89" t="n"/>
      <c r="Q187" s="109" t="n"/>
      <c r="R187" s="120">
        <f>IF(B187="","",IF(Q187&lt;&gt;"",Q187,IF(P187="","",IFERROR(INDEX('Timeline'!$J$7:$J$1006,MATCH(P187,'Timeline'!$B$7:$B$1006,0)),""))))</f>
        <v/>
      </c>
      <c r="S187" s="126">
        <f>IF(R187="","",R187-IF(O187="",0,O187)-OrderBuf)</f>
        <v/>
      </c>
      <c r="T187" s="126">
        <f>IF(S187="","",S187-DecideBuf)</f>
        <v/>
      </c>
      <c r="U187" s="74" t="n"/>
      <c r="V187" s="109" t="n"/>
      <c r="W187" s="109" t="n"/>
      <c r="X187" s="74" t="n"/>
      <c r="Y187" s="116">
        <f>IF(B187="","",IF(X187="Yes","Delivered",IF(U187="Yes",IF(AND(W187&lt;&gt;"",R187&lt;&gt;""),IF(W187&gt;R187,"⚠️ Delivery after install date","Ordered"),"Ordered"),IF(K187="",IF(T187="","Waiting for decision",IF(T187&lt;=AsOf+AlertDays,"Decide now","Waiting for decision")),IF(S187="","Selected",IF(AsOf&gt;S187,"⚠️ Order late — install at risk",IF(S187&lt;=AsOf+AlertDays,"Order now","Selected")))))))</f>
        <v/>
      </c>
      <c r="Z187" s="79">
        <f>IF(B187="","",IF(OR(AH187=1,AE187=1),2,IF(OR(AG187=1,AF187=1),1,IF(OR(Y187="Ordered",Y187="Delivered"),0,""))))</f>
        <v/>
      </c>
      <c r="AA187" s="112">
        <f>IF(B187="","",IF(AH187=1,IF(Y187="⚠️ Delivery after install date",R187,S187),IF(AD187=1,T187,IF(AI187=1,S187,""))))</f>
        <v/>
      </c>
      <c r="AB187" s="79">
        <f>IF(AA187="","",IF(AH187=1,1,IF(AA187="","",IF(AA187&lt;AsOf,1,IF(AA187&lt;=AsOf+AlertDays,2,IF(AA187&lt;=AsOf+2*AlertDays,3,""))))))</f>
        <v/>
      </c>
      <c r="AC187" s="79">
        <f>IF(AB187="","",IF(AH187=1,IF(Y187="⚠️ Delivery after install date","Delivery after install date: "&amp;B187,"Order late — install at risk: "&amp;B187),IF(AD187=1,IF(AB187=1,"Decision overdue: ","Decide: ")&amp;B187,"Order: "&amp;B187&amp;IF(N187="",""," from "&amp;N187))))</f>
        <v/>
      </c>
      <c r="AD187" s="79">
        <f>IF(AND(B187&lt;&gt;"",K187="",U187&lt;&gt;"Yes",X187&lt;&gt;"Yes"),1,0)</f>
        <v/>
      </c>
      <c r="AE187" s="79">
        <f>IF(AND(AD187=1,T187&lt;&gt;""),IF(T187&lt;AsOf,1,0),0)</f>
        <v/>
      </c>
      <c r="AF187" s="79">
        <f>IF(AND(AD187=1,T187&lt;&gt;""),IF(AND(T187&gt;=AsOf,T187&lt;=AsOf+AlertDays),1,0),0)</f>
        <v/>
      </c>
      <c r="AG187" s="79">
        <f>IF(Y187="Order now",1,0)</f>
        <v/>
      </c>
      <c r="AH187" s="79">
        <f>IF(OR(Y187="⚠️ Order late — install at risk",Y187="⚠️ Delivery after install date"),1,0)</f>
        <v/>
      </c>
      <c r="AI187" s="79">
        <f>IF(AND(B187&lt;&gt;"",K187&lt;&gt;"",U187&lt;&gt;"Yes",X187&lt;&gt;"Yes"),1,0)</f>
        <v/>
      </c>
      <c r="AJ187" s="79">
        <f>IF(Y187="⚠️ Order late — install at risk",1,0)</f>
        <v/>
      </c>
    </row>
    <row r="188" ht="20" customHeight="1">
      <c r="B188" s="72" t="n"/>
      <c r="C188" s="72" t="n"/>
      <c r="D188" s="72" t="n"/>
      <c r="E188" s="72" t="n"/>
      <c r="F188" s="73" t="n"/>
      <c r="G188" s="72" t="n"/>
      <c r="H188" s="73" t="n"/>
      <c r="I188" s="72" t="n"/>
      <c r="J188" s="73" t="n"/>
      <c r="K188" s="74" t="n"/>
      <c r="L188" s="75">
        <f>IF(K188="A",F188,IF(K188="B",H188,IF(K188="C",J188,"")))</f>
        <v/>
      </c>
      <c r="M188" s="72" t="n"/>
      <c r="N188" s="72" t="n"/>
      <c r="O188" s="89" t="n"/>
      <c r="P188" s="89" t="n"/>
      <c r="Q188" s="109" t="n"/>
      <c r="R188" s="120">
        <f>IF(B188="","",IF(Q188&lt;&gt;"",Q188,IF(P188="","",IFERROR(INDEX('Timeline'!$J$7:$J$1006,MATCH(P188,'Timeline'!$B$7:$B$1006,0)),""))))</f>
        <v/>
      </c>
      <c r="S188" s="126">
        <f>IF(R188="","",R188-IF(O188="",0,O188)-OrderBuf)</f>
        <v/>
      </c>
      <c r="T188" s="126">
        <f>IF(S188="","",S188-DecideBuf)</f>
        <v/>
      </c>
      <c r="U188" s="74" t="n"/>
      <c r="V188" s="109" t="n"/>
      <c r="W188" s="109" t="n"/>
      <c r="X188" s="74" t="n"/>
      <c r="Y188" s="116">
        <f>IF(B188="","",IF(X188="Yes","Delivered",IF(U188="Yes",IF(AND(W188&lt;&gt;"",R188&lt;&gt;""),IF(W188&gt;R188,"⚠️ Delivery after install date","Ordered"),"Ordered"),IF(K188="",IF(T188="","Waiting for decision",IF(T188&lt;=AsOf+AlertDays,"Decide now","Waiting for decision")),IF(S188="","Selected",IF(AsOf&gt;S188,"⚠️ Order late — install at risk",IF(S188&lt;=AsOf+AlertDays,"Order now","Selected")))))))</f>
        <v/>
      </c>
      <c r="Z188" s="79">
        <f>IF(B188="","",IF(OR(AH188=1,AE188=1),2,IF(OR(AG188=1,AF188=1),1,IF(OR(Y188="Ordered",Y188="Delivered"),0,""))))</f>
        <v/>
      </c>
      <c r="AA188" s="112">
        <f>IF(B188="","",IF(AH188=1,IF(Y188="⚠️ Delivery after install date",R188,S188),IF(AD188=1,T188,IF(AI188=1,S188,""))))</f>
        <v/>
      </c>
      <c r="AB188" s="79">
        <f>IF(AA188="","",IF(AH188=1,1,IF(AA188="","",IF(AA188&lt;AsOf,1,IF(AA188&lt;=AsOf+AlertDays,2,IF(AA188&lt;=AsOf+2*AlertDays,3,""))))))</f>
        <v/>
      </c>
      <c r="AC188" s="79">
        <f>IF(AB188="","",IF(AH188=1,IF(Y188="⚠️ Delivery after install date","Delivery after install date: "&amp;B188,"Order late — install at risk: "&amp;B188),IF(AD188=1,IF(AB188=1,"Decision overdue: ","Decide: ")&amp;B188,"Order: "&amp;B188&amp;IF(N188="",""," from "&amp;N188))))</f>
        <v/>
      </c>
      <c r="AD188" s="79">
        <f>IF(AND(B188&lt;&gt;"",K188="",U188&lt;&gt;"Yes",X188&lt;&gt;"Yes"),1,0)</f>
        <v/>
      </c>
      <c r="AE188" s="79">
        <f>IF(AND(AD188=1,T188&lt;&gt;""),IF(T188&lt;AsOf,1,0),0)</f>
        <v/>
      </c>
      <c r="AF188" s="79">
        <f>IF(AND(AD188=1,T188&lt;&gt;""),IF(AND(T188&gt;=AsOf,T188&lt;=AsOf+AlertDays),1,0),0)</f>
        <v/>
      </c>
      <c r="AG188" s="79">
        <f>IF(Y188="Order now",1,0)</f>
        <v/>
      </c>
      <c r="AH188" s="79">
        <f>IF(OR(Y188="⚠️ Order late — install at risk",Y188="⚠️ Delivery after install date"),1,0)</f>
        <v/>
      </c>
      <c r="AI188" s="79">
        <f>IF(AND(B188&lt;&gt;"",K188&lt;&gt;"",U188&lt;&gt;"Yes",X188&lt;&gt;"Yes"),1,0)</f>
        <v/>
      </c>
      <c r="AJ188" s="79">
        <f>IF(Y188="⚠️ Order late — install at risk",1,0)</f>
        <v/>
      </c>
    </row>
    <row r="189" ht="20" customHeight="1">
      <c r="B189" s="72" t="n"/>
      <c r="C189" s="72" t="n"/>
      <c r="D189" s="72" t="n"/>
      <c r="E189" s="72" t="n"/>
      <c r="F189" s="73" t="n"/>
      <c r="G189" s="72" t="n"/>
      <c r="H189" s="73" t="n"/>
      <c r="I189" s="72" t="n"/>
      <c r="J189" s="73" t="n"/>
      <c r="K189" s="74" t="n"/>
      <c r="L189" s="75">
        <f>IF(K189="A",F189,IF(K189="B",H189,IF(K189="C",J189,"")))</f>
        <v/>
      </c>
      <c r="M189" s="72" t="n"/>
      <c r="N189" s="72" t="n"/>
      <c r="O189" s="89" t="n"/>
      <c r="P189" s="89" t="n"/>
      <c r="Q189" s="109" t="n"/>
      <c r="R189" s="120">
        <f>IF(B189="","",IF(Q189&lt;&gt;"",Q189,IF(P189="","",IFERROR(INDEX('Timeline'!$J$7:$J$1006,MATCH(P189,'Timeline'!$B$7:$B$1006,0)),""))))</f>
        <v/>
      </c>
      <c r="S189" s="126">
        <f>IF(R189="","",R189-IF(O189="",0,O189)-OrderBuf)</f>
        <v/>
      </c>
      <c r="T189" s="126">
        <f>IF(S189="","",S189-DecideBuf)</f>
        <v/>
      </c>
      <c r="U189" s="74" t="n"/>
      <c r="V189" s="109" t="n"/>
      <c r="W189" s="109" t="n"/>
      <c r="X189" s="74" t="n"/>
      <c r="Y189" s="116">
        <f>IF(B189="","",IF(X189="Yes","Delivered",IF(U189="Yes",IF(AND(W189&lt;&gt;"",R189&lt;&gt;""),IF(W189&gt;R189,"⚠️ Delivery after install date","Ordered"),"Ordered"),IF(K189="",IF(T189="","Waiting for decision",IF(T189&lt;=AsOf+AlertDays,"Decide now","Waiting for decision")),IF(S189="","Selected",IF(AsOf&gt;S189,"⚠️ Order late — install at risk",IF(S189&lt;=AsOf+AlertDays,"Order now","Selected")))))))</f>
        <v/>
      </c>
      <c r="Z189" s="79">
        <f>IF(B189="","",IF(OR(AH189=1,AE189=1),2,IF(OR(AG189=1,AF189=1),1,IF(OR(Y189="Ordered",Y189="Delivered"),0,""))))</f>
        <v/>
      </c>
      <c r="AA189" s="112">
        <f>IF(B189="","",IF(AH189=1,IF(Y189="⚠️ Delivery after install date",R189,S189),IF(AD189=1,T189,IF(AI189=1,S189,""))))</f>
        <v/>
      </c>
      <c r="AB189" s="79">
        <f>IF(AA189="","",IF(AH189=1,1,IF(AA189="","",IF(AA189&lt;AsOf,1,IF(AA189&lt;=AsOf+AlertDays,2,IF(AA189&lt;=AsOf+2*AlertDays,3,""))))))</f>
        <v/>
      </c>
      <c r="AC189" s="79">
        <f>IF(AB189="","",IF(AH189=1,IF(Y189="⚠️ Delivery after install date","Delivery after install date: "&amp;B189,"Order late — install at risk: "&amp;B189),IF(AD189=1,IF(AB189=1,"Decision overdue: ","Decide: ")&amp;B189,"Order: "&amp;B189&amp;IF(N189="",""," from "&amp;N189))))</f>
        <v/>
      </c>
      <c r="AD189" s="79">
        <f>IF(AND(B189&lt;&gt;"",K189="",U189&lt;&gt;"Yes",X189&lt;&gt;"Yes"),1,0)</f>
        <v/>
      </c>
      <c r="AE189" s="79">
        <f>IF(AND(AD189=1,T189&lt;&gt;""),IF(T189&lt;AsOf,1,0),0)</f>
        <v/>
      </c>
      <c r="AF189" s="79">
        <f>IF(AND(AD189=1,T189&lt;&gt;""),IF(AND(T189&gt;=AsOf,T189&lt;=AsOf+AlertDays),1,0),0)</f>
        <v/>
      </c>
      <c r="AG189" s="79">
        <f>IF(Y189="Order now",1,0)</f>
        <v/>
      </c>
      <c r="AH189" s="79">
        <f>IF(OR(Y189="⚠️ Order late — install at risk",Y189="⚠️ Delivery after install date"),1,0)</f>
        <v/>
      </c>
      <c r="AI189" s="79">
        <f>IF(AND(B189&lt;&gt;"",K189&lt;&gt;"",U189&lt;&gt;"Yes",X189&lt;&gt;"Yes"),1,0)</f>
        <v/>
      </c>
      <c r="AJ189" s="79">
        <f>IF(Y189="⚠️ Order late — install at risk",1,0)</f>
        <v/>
      </c>
    </row>
    <row r="190" ht="20" customHeight="1">
      <c r="B190" s="72" t="n"/>
      <c r="C190" s="72" t="n"/>
      <c r="D190" s="72" t="n"/>
      <c r="E190" s="72" t="n"/>
      <c r="F190" s="73" t="n"/>
      <c r="G190" s="72" t="n"/>
      <c r="H190" s="73" t="n"/>
      <c r="I190" s="72" t="n"/>
      <c r="J190" s="73" t="n"/>
      <c r="K190" s="74" t="n"/>
      <c r="L190" s="75">
        <f>IF(K190="A",F190,IF(K190="B",H190,IF(K190="C",J190,"")))</f>
        <v/>
      </c>
      <c r="M190" s="72" t="n"/>
      <c r="N190" s="72" t="n"/>
      <c r="O190" s="89" t="n"/>
      <c r="P190" s="89" t="n"/>
      <c r="Q190" s="109" t="n"/>
      <c r="R190" s="120">
        <f>IF(B190="","",IF(Q190&lt;&gt;"",Q190,IF(P190="","",IFERROR(INDEX('Timeline'!$J$7:$J$1006,MATCH(P190,'Timeline'!$B$7:$B$1006,0)),""))))</f>
        <v/>
      </c>
      <c r="S190" s="126">
        <f>IF(R190="","",R190-IF(O190="",0,O190)-OrderBuf)</f>
        <v/>
      </c>
      <c r="T190" s="126">
        <f>IF(S190="","",S190-DecideBuf)</f>
        <v/>
      </c>
      <c r="U190" s="74" t="n"/>
      <c r="V190" s="109" t="n"/>
      <c r="W190" s="109" t="n"/>
      <c r="X190" s="74" t="n"/>
      <c r="Y190" s="116">
        <f>IF(B190="","",IF(X190="Yes","Delivered",IF(U190="Yes",IF(AND(W190&lt;&gt;"",R190&lt;&gt;""),IF(W190&gt;R190,"⚠️ Delivery after install date","Ordered"),"Ordered"),IF(K190="",IF(T190="","Waiting for decision",IF(T190&lt;=AsOf+AlertDays,"Decide now","Waiting for decision")),IF(S190="","Selected",IF(AsOf&gt;S190,"⚠️ Order late — install at risk",IF(S190&lt;=AsOf+AlertDays,"Order now","Selected")))))))</f>
        <v/>
      </c>
      <c r="Z190" s="79">
        <f>IF(B190="","",IF(OR(AH190=1,AE190=1),2,IF(OR(AG190=1,AF190=1),1,IF(OR(Y190="Ordered",Y190="Delivered"),0,""))))</f>
        <v/>
      </c>
      <c r="AA190" s="112">
        <f>IF(B190="","",IF(AH190=1,IF(Y190="⚠️ Delivery after install date",R190,S190),IF(AD190=1,T190,IF(AI190=1,S190,""))))</f>
        <v/>
      </c>
      <c r="AB190" s="79">
        <f>IF(AA190="","",IF(AH190=1,1,IF(AA190="","",IF(AA190&lt;AsOf,1,IF(AA190&lt;=AsOf+AlertDays,2,IF(AA190&lt;=AsOf+2*AlertDays,3,""))))))</f>
        <v/>
      </c>
      <c r="AC190" s="79">
        <f>IF(AB190="","",IF(AH190=1,IF(Y190="⚠️ Delivery after install date","Delivery after install date: "&amp;B190,"Order late — install at risk: "&amp;B190),IF(AD190=1,IF(AB190=1,"Decision overdue: ","Decide: ")&amp;B190,"Order: "&amp;B190&amp;IF(N190="",""," from "&amp;N190))))</f>
        <v/>
      </c>
      <c r="AD190" s="79">
        <f>IF(AND(B190&lt;&gt;"",K190="",U190&lt;&gt;"Yes",X190&lt;&gt;"Yes"),1,0)</f>
        <v/>
      </c>
      <c r="AE190" s="79">
        <f>IF(AND(AD190=1,T190&lt;&gt;""),IF(T190&lt;AsOf,1,0),0)</f>
        <v/>
      </c>
      <c r="AF190" s="79">
        <f>IF(AND(AD190=1,T190&lt;&gt;""),IF(AND(T190&gt;=AsOf,T190&lt;=AsOf+AlertDays),1,0),0)</f>
        <v/>
      </c>
      <c r="AG190" s="79">
        <f>IF(Y190="Order now",1,0)</f>
        <v/>
      </c>
      <c r="AH190" s="79">
        <f>IF(OR(Y190="⚠️ Order late — install at risk",Y190="⚠️ Delivery after install date"),1,0)</f>
        <v/>
      </c>
      <c r="AI190" s="79">
        <f>IF(AND(B190&lt;&gt;"",K190&lt;&gt;"",U190&lt;&gt;"Yes",X190&lt;&gt;"Yes"),1,0)</f>
        <v/>
      </c>
      <c r="AJ190" s="79">
        <f>IF(Y190="⚠️ Order late — install at risk",1,0)</f>
        <v/>
      </c>
    </row>
    <row r="191" ht="20" customHeight="1">
      <c r="B191" s="72" t="n"/>
      <c r="C191" s="72" t="n"/>
      <c r="D191" s="72" t="n"/>
      <c r="E191" s="72" t="n"/>
      <c r="F191" s="73" t="n"/>
      <c r="G191" s="72" t="n"/>
      <c r="H191" s="73" t="n"/>
      <c r="I191" s="72" t="n"/>
      <c r="J191" s="73" t="n"/>
      <c r="K191" s="74" t="n"/>
      <c r="L191" s="75">
        <f>IF(K191="A",F191,IF(K191="B",H191,IF(K191="C",J191,"")))</f>
        <v/>
      </c>
      <c r="M191" s="72" t="n"/>
      <c r="N191" s="72" t="n"/>
      <c r="O191" s="89" t="n"/>
      <c r="P191" s="89" t="n"/>
      <c r="Q191" s="109" t="n"/>
      <c r="R191" s="120">
        <f>IF(B191="","",IF(Q191&lt;&gt;"",Q191,IF(P191="","",IFERROR(INDEX('Timeline'!$J$7:$J$1006,MATCH(P191,'Timeline'!$B$7:$B$1006,0)),""))))</f>
        <v/>
      </c>
      <c r="S191" s="126">
        <f>IF(R191="","",R191-IF(O191="",0,O191)-OrderBuf)</f>
        <v/>
      </c>
      <c r="T191" s="126">
        <f>IF(S191="","",S191-DecideBuf)</f>
        <v/>
      </c>
      <c r="U191" s="74" t="n"/>
      <c r="V191" s="109" t="n"/>
      <c r="W191" s="109" t="n"/>
      <c r="X191" s="74" t="n"/>
      <c r="Y191" s="116">
        <f>IF(B191="","",IF(X191="Yes","Delivered",IF(U191="Yes",IF(AND(W191&lt;&gt;"",R191&lt;&gt;""),IF(W191&gt;R191,"⚠️ Delivery after install date","Ordered"),"Ordered"),IF(K191="",IF(T191="","Waiting for decision",IF(T191&lt;=AsOf+AlertDays,"Decide now","Waiting for decision")),IF(S191="","Selected",IF(AsOf&gt;S191,"⚠️ Order late — install at risk",IF(S191&lt;=AsOf+AlertDays,"Order now","Selected")))))))</f>
        <v/>
      </c>
      <c r="Z191" s="79">
        <f>IF(B191="","",IF(OR(AH191=1,AE191=1),2,IF(OR(AG191=1,AF191=1),1,IF(OR(Y191="Ordered",Y191="Delivered"),0,""))))</f>
        <v/>
      </c>
      <c r="AA191" s="112">
        <f>IF(B191="","",IF(AH191=1,IF(Y191="⚠️ Delivery after install date",R191,S191),IF(AD191=1,T191,IF(AI191=1,S191,""))))</f>
        <v/>
      </c>
      <c r="AB191" s="79">
        <f>IF(AA191="","",IF(AH191=1,1,IF(AA191="","",IF(AA191&lt;AsOf,1,IF(AA191&lt;=AsOf+AlertDays,2,IF(AA191&lt;=AsOf+2*AlertDays,3,""))))))</f>
        <v/>
      </c>
      <c r="AC191" s="79">
        <f>IF(AB191="","",IF(AH191=1,IF(Y191="⚠️ Delivery after install date","Delivery after install date: "&amp;B191,"Order late — install at risk: "&amp;B191),IF(AD191=1,IF(AB191=1,"Decision overdue: ","Decide: ")&amp;B191,"Order: "&amp;B191&amp;IF(N191="",""," from "&amp;N191))))</f>
        <v/>
      </c>
      <c r="AD191" s="79">
        <f>IF(AND(B191&lt;&gt;"",K191="",U191&lt;&gt;"Yes",X191&lt;&gt;"Yes"),1,0)</f>
        <v/>
      </c>
      <c r="AE191" s="79">
        <f>IF(AND(AD191=1,T191&lt;&gt;""),IF(T191&lt;AsOf,1,0),0)</f>
        <v/>
      </c>
      <c r="AF191" s="79">
        <f>IF(AND(AD191=1,T191&lt;&gt;""),IF(AND(T191&gt;=AsOf,T191&lt;=AsOf+AlertDays),1,0),0)</f>
        <v/>
      </c>
      <c r="AG191" s="79">
        <f>IF(Y191="Order now",1,0)</f>
        <v/>
      </c>
      <c r="AH191" s="79">
        <f>IF(OR(Y191="⚠️ Order late — install at risk",Y191="⚠️ Delivery after install date"),1,0)</f>
        <v/>
      </c>
      <c r="AI191" s="79">
        <f>IF(AND(B191&lt;&gt;"",K191&lt;&gt;"",U191&lt;&gt;"Yes",X191&lt;&gt;"Yes"),1,0)</f>
        <v/>
      </c>
      <c r="AJ191" s="79">
        <f>IF(Y191="⚠️ Order late — install at risk",1,0)</f>
        <v/>
      </c>
    </row>
    <row r="192" ht="20" customHeight="1">
      <c r="B192" s="72" t="n"/>
      <c r="C192" s="72" t="n"/>
      <c r="D192" s="72" t="n"/>
      <c r="E192" s="72" t="n"/>
      <c r="F192" s="73" t="n"/>
      <c r="G192" s="72" t="n"/>
      <c r="H192" s="73" t="n"/>
      <c r="I192" s="72" t="n"/>
      <c r="J192" s="73" t="n"/>
      <c r="K192" s="74" t="n"/>
      <c r="L192" s="75">
        <f>IF(K192="A",F192,IF(K192="B",H192,IF(K192="C",J192,"")))</f>
        <v/>
      </c>
      <c r="M192" s="72" t="n"/>
      <c r="N192" s="72" t="n"/>
      <c r="O192" s="89" t="n"/>
      <c r="P192" s="89" t="n"/>
      <c r="Q192" s="109" t="n"/>
      <c r="R192" s="120">
        <f>IF(B192="","",IF(Q192&lt;&gt;"",Q192,IF(P192="","",IFERROR(INDEX('Timeline'!$J$7:$J$1006,MATCH(P192,'Timeline'!$B$7:$B$1006,0)),""))))</f>
        <v/>
      </c>
      <c r="S192" s="126">
        <f>IF(R192="","",R192-IF(O192="",0,O192)-OrderBuf)</f>
        <v/>
      </c>
      <c r="T192" s="126">
        <f>IF(S192="","",S192-DecideBuf)</f>
        <v/>
      </c>
      <c r="U192" s="74" t="n"/>
      <c r="V192" s="109" t="n"/>
      <c r="W192" s="109" t="n"/>
      <c r="X192" s="74" t="n"/>
      <c r="Y192" s="116">
        <f>IF(B192="","",IF(X192="Yes","Delivered",IF(U192="Yes",IF(AND(W192&lt;&gt;"",R192&lt;&gt;""),IF(W192&gt;R192,"⚠️ Delivery after install date","Ordered"),"Ordered"),IF(K192="",IF(T192="","Waiting for decision",IF(T192&lt;=AsOf+AlertDays,"Decide now","Waiting for decision")),IF(S192="","Selected",IF(AsOf&gt;S192,"⚠️ Order late — install at risk",IF(S192&lt;=AsOf+AlertDays,"Order now","Selected")))))))</f>
        <v/>
      </c>
      <c r="Z192" s="79">
        <f>IF(B192="","",IF(OR(AH192=1,AE192=1),2,IF(OR(AG192=1,AF192=1),1,IF(OR(Y192="Ordered",Y192="Delivered"),0,""))))</f>
        <v/>
      </c>
      <c r="AA192" s="112">
        <f>IF(B192="","",IF(AH192=1,IF(Y192="⚠️ Delivery after install date",R192,S192),IF(AD192=1,T192,IF(AI192=1,S192,""))))</f>
        <v/>
      </c>
      <c r="AB192" s="79">
        <f>IF(AA192="","",IF(AH192=1,1,IF(AA192="","",IF(AA192&lt;AsOf,1,IF(AA192&lt;=AsOf+AlertDays,2,IF(AA192&lt;=AsOf+2*AlertDays,3,""))))))</f>
        <v/>
      </c>
      <c r="AC192" s="79">
        <f>IF(AB192="","",IF(AH192=1,IF(Y192="⚠️ Delivery after install date","Delivery after install date: "&amp;B192,"Order late — install at risk: "&amp;B192),IF(AD192=1,IF(AB192=1,"Decision overdue: ","Decide: ")&amp;B192,"Order: "&amp;B192&amp;IF(N192="",""," from "&amp;N192))))</f>
        <v/>
      </c>
      <c r="AD192" s="79">
        <f>IF(AND(B192&lt;&gt;"",K192="",U192&lt;&gt;"Yes",X192&lt;&gt;"Yes"),1,0)</f>
        <v/>
      </c>
      <c r="AE192" s="79">
        <f>IF(AND(AD192=1,T192&lt;&gt;""),IF(T192&lt;AsOf,1,0),0)</f>
        <v/>
      </c>
      <c r="AF192" s="79">
        <f>IF(AND(AD192=1,T192&lt;&gt;""),IF(AND(T192&gt;=AsOf,T192&lt;=AsOf+AlertDays),1,0),0)</f>
        <v/>
      </c>
      <c r="AG192" s="79">
        <f>IF(Y192="Order now",1,0)</f>
        <v/>
      </c>
      <c r="AH192" s="79">
        <f>IF(OR(Y192="⚠️ Order late — install at risk",Y192="⚠️ Delivery after install date"),1,0)</f>
        <v/>
      </c>
      <c r="AI192" s="79">
        <f>IF(AND(B192&lt;&gt;"",K192&lt;&gt;"",U192&lt;&gt;"Yes",X192&lt;&gt;"Yes"),1,0)</f>
        <v/>
      </c>
      <c r="AJ192" s="79">
        <f>IF(Y192="⚠️ Order late — install at risk",1,0)</f>
        <v/>
      </c>
    </row>
    <row r="193" ht="20" customHeight="1">
      <c r="B193" s="72" t="n"/>
      <c r="C193" s="72" t="n"/>
      <c r="D193" s="72" t="n"/>
      <c r="E193" s="72" t="n"/>
      <c r="F193" s="73" t="n"/>
      <c r="G193" s="72" t="n"/>
      <c r="H193" s="73" t="n"/>
      <c r="I193" s="72" t="n"/>
      <c r="J193" s="73" t="n"/>
      <c r="K193" s="74" t="n"/>
      <c r="L193" s="75">
        <f>IF(K193="A",F193,IF(K193="B",H193,IF(K193="C",J193,"")))</f>
        <v/>
      </c>
      <c r="M193" s="72" t="n"/>
      <c r="N193" s="72" t="n"/>
      <c r="O193" s="89" t="n"/>
      <c r="P193" s="89" t="n"/>
      <c r="Q193" s="109" t="n"/>
      <c r="R193" s="120">
        <f>IF(B193="","",IF(Q193&lt;&gt;"",Q193,IF(P193="","",IFERROR(INDEX('Timeline'!$J$7:$J$1006,MATCH(P193,'Timeline'!$B$7:$B$1006,0)),""))))</f>
        <v/>
      </c>
      <c r="S193" s="126">
        <f>IF(R193="","",R193-IF(O193="",0,O193)-OrderBuf)</f>
        <v/>
      </c>
      <c r="T193" s="126">
        <f>IF(S193="","",S193-DecideBuf)</f>
        <v/>
      </c>
      <c r="U193" s="74" t="n"/>
      <c r="V193" s="109" t="n"/>
      <c r="W193" s="109" t="n"/>
      <c r="X193" s="74" t="n"/>
      <c r="Y193" s="116">
        <f>IF(B193="","",IF(X193="Yes","Delivered",IF(U193="Yes",IF(AND(W193&lt;&gt;"",R193&lt;&gt;""),IF(W193&gt;R193,"⚠️ Delivery after install date","Ordered"),"Ordered"),IF(K193="",IF(T193="","Waiting for decision",IF(T193&lt;=AsOf+AlertDays,"Decide now","Waiting for decision")),IF(S193="","Selected",IF(AsOf&gt;S193,"⚠️ Order late — install at risk",IF(S193&lt;=AsOf+AlertDays,"Order now","Selected")))))))</f>
        <v/>
      </c>
      <c r="Z193" s="79">
        <f>IF(B193="","",IF(OR(AH193=1,AE193=1),2,IF(OR(AG193=1,AF193=1),1,IF(OR(Y193="Ordered",Y193="Delivered"),0,""))))</f>
        <v/>
      </c>
      <c r="AA193" s="112">
        <f>IF(B193="","",IF(AH193=1,IF(Y193="⚠️ Delivery after install date",R193,S193),IF(AD193=1,T193,IF(AI193=1,S193,""))))</f>
        <v/>
      </c>
      <c r="AB193" s="79">
        <f>IF(AA193="","",IF(AH193=1,1,IF(AA193="","",IF(AA193&lt;AsOf,1,IF(AA193&lt;=AsOf+AlertDays,2,IF(AA193&lt;=AsOf+2*AlertDays,3,""))))))</f>
        <v/>
      </c>
      <c r="AC193" s="79">
        <f>IF(AB193="","",IF(AH193=1,IF(Y193="⚠️ Delivery after install date","Delivery after install date: "&amp;B193,"Order late — install at risk: "&amp;B193),IF(AD193=1,IF(AB193=1,"Decision overdue: ","Decide: ")&amp;B193,"Order: "&amp;B193&amp;IF(N193="",""," from "&amp;N193))))</f>
        <v/>
      </c>
      <c r="AD193" s="79">
        <f>IF(AND(B193&lt;&gt;"",K193="",U193&lt;&gt;"Yes",X193&lt;&gt;"Yes"),1,0)</f>
        <v/>
      </c>
      <c r="AE193" s="79">
        <f>IF(AND(AD193=1,T193&lt;&gt;""),IF(T193&lt;AsOf,1,0),0)</f>
        <v/>
      </c>
      <c r="AF193" s="79">
        <f>IF(AND(AD193=1,T193&lt;&gt;""),IF(AND(T193&gt;=AsOf,T193&lt;=AsOf+AlertDays),1,0),0)</f>
        <v/>
      </c>
      <c r="AG193" s="79">
        <f>IF(Y193="Order now",1,0)</f>
        <v/>
      </c>
      <c r="AH193" s="79">
        <f>IF(OR(Y193="⚠️ Order late — install at risk",Y193="⚠️ Delivery after install date"),1,0)</f>
        <v/>
      </c>
      <c r="AI193" s="79">
        <f>IF(AND(B193&lt;&gt;"",K193&lt;&gt;"",U193&lt;&gt;"Yes",X193&lt;&gt;"Yes"),1,0)</f>
        <v/>
      </c>
      <c r="AJ193" s="79">
        <f>IF(Y193="⚠️ Order late — install at risk",1,0)</f>
        <v/>
      </c>
    </row>
    <row r="194" ht="20" customHeight="1">
      <c r="B194" s="72" t="n"/>
      <c r="C194" s="72" t="n"/>
      <c r="D194" s="72" t="n"/>
      <c r="E194" s="72" t="n"/>
      <c r="F194" s="73" t="n"/>
      <c r="G194" s="72" t="n"/>
      <c r="H194" s="73" t="n"/>
      <c r="I194" s="72" t="n"/>
      <c r="J194" s="73" t="n"/>
      <c r="K194" s="74" t="n"/>
      <c r="L194" s="75">
        <f>IF(K194="A",F194,IF(K194="B",H194,IF(K194="C",J194,"")))</f>
        <v/>
      </c>
      <c r="M194" s="72" t="n"/>
      <c r="N194" s="72" t="n"/>
      <c r="O194" s="89" t="n"/>
      <c r="P194" s="89" t="n"/>
      <c r="Q194" s="109" t="n"/>
      <c r="R194" s="120">
        <f>IF(B194="","",IF(Q194&lt;&gt;"",Q194,IF(P194="","",IFERROR(INDEX('Timeline'!$J$7:$J$1006,MATCH(P194,'Timeline'!$B$7:$B$1006,0)),""))))</f>
        <v/>
      </c>
      <c r="S194" s="126">
        <f>IF(R194="","",R194-IF(O194="",0,O194)-OrderBuf)</f>
        <v/>
      </c>
      <c r="T194" s="126">
        <f>IF(S194="","",S194-DecideBuf)</f>
        <v/>
      </c>
      <c r="U194" s="74" t="n"/>
      <c r="V194" s="109" t="n"/>
      <c r="W194" s="109" t="n"/>
      <c r="X194" s="74" t="n"/>
      <c r="Y194" s="116">
        <f>IF(B194="","",IF(X194="Yes","Delivered",IF(U194="Yes",IF(AND(W194&lt;&gt;"",R194&lt;&gt;""),IF(W194&gt;R194,"⚠️ Delivery after install date","Ordered"),"Ordered"),IF(K194="",IF(T194="","Waiting for decision",IF(T194&lt;=AsOf+AlertDays,"Decide now","Waiting for decision")),IF(S194="","Selected",IF(AsOf&gt;S194,"⚠️ Order late — install at risk",IF(S194&lt;=AsOf+AlertDays,"Order now","Selected")))))))</f>
        <v/>
      </c>
      <c r="Z194" s="79">
        <f>IF(B194="","",IF(OR(AH194=1,AE194=1),2,IF(OR(AG194=1,AF194=1),1,IF(OR(Y194="Ordered",Y194="Delivered"),0,""))))</f>
        <v/>
      </c>
      <c r="AA194" s="112">
        <f>IF(B194="","",IF(AH194=1,IF(Y194="⚠️ Delivery after install date",R194,S194),IF(AD194=1,T194,IF(AI194=1,S194,""))))</f>
        <v/>
      </c>
      <c r="AB194" s="79">
        <f>IF(AA194="","",IF(AH194=1,1,IF(AA194="","",IF(AA194&lt;AsOf,1,IF(AA194&lt;=AsOf+AlertDays,2,IF(AA194&lt;=AsOf+2*AlertDays,3,""))))))</f>
        <v/>
      </c>
      <c r="AC194" s="79">
        <f>IF(AB194="","",IF(AH194=1,IF(Y194="⚠️ Delivery after install date","Delivery after install date: "&amp;B194,"Order late — install at risk: "&amp;B194),IF(AD194=1,IF(AB194=1,"Decision overdue: ","Decide: ")&amp;B194,"Order: "&amp;B194&amp;IF(N194="",""," from "&amp;N194))))</f>
        <v/>
      </c>
      <c r="AD194" s="79">
        <f>IF(AND(B194&lt;&gt;"",K194="",U194&lt;&gt;"Yes",X194&lt;&gt;"Yes"),1,0)</f>
        <v/>
      </c>
      <c r="AE194" s="79">
        <f>IF(AND(AD194=1,T194&lt;&gt;""),IF(T194&lt;AsOf,1,0),0)</f>
        <v/>
      </c>
      <c r="AF194" s="79">
        <f>IF(AND(AD194=1,T194&lt;&gt;""),IF(AND(T194&gt;=AsOf,T194&lt;=AsOf+AlertDays),1,0),0)</f>
        <v/>
      </c>
      <c r="AG194" s="79">
        <f>IF(Y194="Order now",1,0)</f>
        <v/>
      </c>
      <c r="AH194" s="79">
        <f>IF(OR(Y194="⚠️ Order late — install at risk",Y194="⚠️ Delivery after install date"),1,0)</f>
        <v/>
      </c>
      <c r="AI194" s="79">
        <f>IF(AND(B194&lt;&gt;"",K194&lt;&gt;"",U194&lt;&gt;"Yes",X194&lt;&gt;"Yes"),1,0)</f>
        <v/>
      </c>
      <c r="AJ194" s="79">
        <f>IF(Y194="⚠️ Order late — install at risk",1,0)</f>
        <v/>
      </c>
    </row>
    <row r="195" ht="20" customHeight="1">
      <c r="B195" s="72" t="n"/>
      <c r="C195" s="72" t="n"/>
      <c r="D195" s="72" t="n"/>
      <c r="E195" s="72" t="n"/>
      <c r="F195" s="73" t="n"/>
      <c r="G195" s="72" t="n"/>
      <c r="H195" s="73" t="n"/>
      <c r="I195" s="72" t="n"/>
      <c r="J195" s="73" t="n"/>
      <c r="K195" s="74" t="n"/>
      <c r="L195" s="75">
        <f>IF(K195="A",F195,IF(K195="B",H195,IF(K195="C",J195,"")))</f>
        <v/>
      </c>
      <c r="M195" s="72" t="n"/>
      <c r="N195" s="72" t="n"/>
      <c r="O195" s="89" t="n"/>
      <c r="P195" s="89" t="n"/>
      <c r="Q195" s="109" t="n"/>
      <c r="R195" s="120">
        <f>IF(B195="","",IF(Q195&lt;&gt;"",Q195,IF(P195="","",IFERROR(INDEX('Timeline'!$J$7:$J$1006,MATCH(P195,'Timeline'!$B$7:$B$1006,0)),""))))</f>
        <v/>
      </c>
      <c r="S195" s="126">
        <f>IF(R195="","",R195-IF(O195="",0,O195)-OrderBuf)</f>
        <v/>
      </c>
      <c r="T195" s="126">
        <f>IF(S195="","",S195-DecideBuf)</f>
        <v/>
      </c>
      <c r="U195" s="74" t="n"/>
      <c r="V195" s="109" t="n"/>
      <c r="W195" s="109" t="n"/>
      <c r="X195" s="74" t="n"/>
      <c r="Y195" s="116">
        <f>IF(B195="","",IF(X195="Yes","Delivered",IF(U195="Yes",IF(AND(W195&lt;&gt;"",R195&lt;&gt;""),IF(W195&gt;R195,"⚠️ Delivery after install date","Ordered"),"Ordered"),IF(K195="",IF(T195="","Waiting for decision",IF(T195&lt;=AsOf+AlertDays,"Decide now","Waiting for decision")),IF(S195="","Selected",IF(AsOf&gt;S195,"⚠️ Order late — install at risk",IF(S195&lt;=AsOf+AlertDays,"Order now","Selected")))))))</f>
        <v/>
      </c>
      <c r="Z195" s="79">
        <f>IF(B195="","",IF(OR(AH195=1,AE195=1),2,IF(OR(AG195=1,AF195=1),1,IF(OR(Y195="Ordered",Y195="Delivered"),0,""))))</f>
        <v/>
      </c>
      <c r="AA195" s="112">
        <f>IF(B195="","",IF(AH195=1,IF(Y195="⚠️ Delivery after install date",R195,S195),IF(AD195=1,T195,IF(AI195=1,S195,""))))</f>
        <v/>
      </c>
      <c r="AB195" s="79">
        <f>IF(AA195="","",IF(AH195=1,1,IF(AA195="","",IF(AA195&lt;AsOf,1,IF(AA195&lt;=AsOf+AlertDays,2,IF(AA195&lt;=AsOf+2*AlertDays,3,""))))))</f>
        <v/>
      </c>
      <c r="AC195" s="79">
        <f>IF(AB195="","",IF(AH195=1,IF(Y195="⚠️ Delivery after install date","Delivery after install date: "&amp;B195,"Order late — install at risk: "&amp;B195),IF(AD195=1,IF(AB195=1,"Decision overdue: ","Decide: ")&amp;B195,"Order: "&amp;B195&amp;IF(N195="",""," from "&amp;N195))))</f>
        <v/>
      </c>
      <c r="AD195" s="79">
        <f>IF(AND(B195&lt;&gt;"",K195="",U195&lt;&gt;"Yes",X195&lt;&gt;"Yes"),1,0)</f>
        <v/>
      </c>
      <c r="AE195" s="79">
        <f>IF(AND(AD195=1,T195&lt;&gt;""),IF(T195&lt;AsOf,1,0),0)</f>
        <v/>
      </c>
      <c r="AF195" s="79">
        <f>IF(AND(AD195=1,T195&lt;&gt;""),IF(AND(T195&gt;=AsOf,T195&lt;=AsOf+AlertDays),1,0),0)</f>
        <v/>
      </c>
      <c r="AG195" s="79">
        <f>IF(Y195="Order now",1,0)</f>
        <v/>
      </c>
      <c r="AH195" s="79">
        <f>IF(OR(Y195="⚠️ Order late — install at risk",Y195="⚠️ Delivery after install date"),1,0)</f>
        <v/>
      </c>
      <c r="AI195" s="79">
        <f>IF(AND(B195&lt;&gt;"",K195&lt;&gt;"",U195&lt;&gt;"Yes",X195&lt;&gt;"Yes"),1,0)</f>
        <v/>
      </c>
      <c r="AJ195" s="79">
        <f>IF(Y195="⚠️ Order late — install at risk",1,0)</f>
        <v/>
      </c>
    </row>
    <row r="196" ht="20" customHeight="1">
      <c r="B196" s="72" t="n"/>
      <c r="C196" s="72" t="n"/>
      <c r="D196" s="72" t="n"/>
      <c r="E196" s="72" t="n"/>
      <c r="F196" s="73" t="n"/>
      <c r="G196" s="72" t="n"/>
      <c r="H196" s="73" t="n"/>
      <c r="I196" s="72" t="n"/>
      <c r="J196" s="73" t="n"/>
      <c r="K196" s="74" t="n"/>
      <c r="L196" s="75">
        <f>IF(K196="A",F196,IF(K196="B",H196,IF(K196="C",J196,"")))</f>
        <v/>
      </c>
      <c r="M196" s="72" t="n"/>
      <c r="N196" s="72" t="n"/>
      <c r="O196" s="89" t="n"/>
      <c r="P196" s="89" t="n"/>
      <c r="Q196" s="109" t="n"/>
      <c r="R196" s="120">
        <f>IF(B196="","",IF(Q196&lt;&gt;"",Q196,IF(P196="","",IFERROR(INDEX('Timeline'!$J$7:$J$1006,MATCH(P196,'Timeline'!$B$7:$B$1006,0)),""))))</f>
        <v/>
      </c>
      <c r="S196" s="126">
        <f>IF(R196="","",R196-IF(O196="",0,O196)-OrderBuf)</f>
        <v/>
      </c>
      <c r="T196" s="126">
        <f>IF(S196="","",S196-DecideBuf)</f>
        <v/>
      </c>
      <c r="U196" s="74" t="n"/>
      <c r="V196" s="109" t="n"/>
      <c r="W196" s="109" t="n"/>
      <c r="X196" s="74" t="n"/>
      <c r="Y196" s="116">
        <f>IF(B196="","",IF(X196="Yes","Delivered",IF(U196="Yes",IF(AND(W196&lt;&gt;"",R196&lt;&gt;""),IF(W196&gt;R196,"⚠️ Delivery after install date","Ordered"),"Ordered"),IF(K196="",IF(T196="","Waiting for decision",IF(T196&lt;=AsOf+AlertDays,"Decide now","Waiting for decision")),IF(S196="","Selected",IF(AsOf&gt;S196,"⚠️ Order late — install at risk",IF(S196&lt;=AsOf+AlertDays,"Order now","Selected")))))))</f>
        <v/>
      </c>
      <c r="Z196" s="79">
        <f>IF(B196="","",IF(OR(AH196=1,AE196=1),2,IF(OR(AG196=1,AF196=1),1,IF(OR(Y196="Ordered",Y196="Delivered"),0,""))))</f>
        <v/>
      </c>
      <c r="AA196" s="112">
        <f>IF(B196="","",IF(AH196=1,IF(Y196="⚠️ Delivery after install date",R196,S196),IF(AD196=1,T196,IF(AI196=1,S196,""))))</f>
        <v/>
      </c>
      <c r="AB196" s="79">
        <f>IF(AA196="","",IF(AH196=1,1,IF(AA196="","",IF(AA196&lt;AsOf,1,IF(AA196&lt;=AsOf+AlertDays,2,IF(AA196&lt;=AsOf+2*AlertDays,3,""))))))</f>
        <v/>
      </c>
      <c r="AC196" s="79">
        <f>IF(AB196="","",IF(AH196=1,IF(Y196="⚠️ Delivery after install date","Delivery after install date: "&amp;B196,"Order late — install at risk: "&amp;B196),IF(AD196=1,IF(AB196=1,"Decision overdue: ","Decide: ")&amp;B196,"Order: "&amp;B196&amp;IF(N196="",""," from "&amp;N196))))</f>
        <v/>
      </c>
      <c r="AD196" s="79">
        <f>IF(AND(B196&lt;&gt;"",K196="",U196&lt;&gt;"Yes",X196&lt;&gt;"Yes"),1,0)</f>
        <v/>
      </c>
      <c r="AE196" s="79">
        <f>IF(AND(AD196=1,T196&lt;&gt;""),IF(T196&lt;AsOf,1,0),0)</f>
        <v/>
      </c>
      <c r="AF196" s="79">
        <f>IF(AND(AD196=1,T196&lt;&gt;""),IF(AND(T196&gt;=AsOf,T196&lt;=AsOf+AlertDays),1,0),0)</f>
        <v/>
      </c>
      <c r="AG196" s="79">
        <f>IF(Y196="Order now",1,0)</f>
        <v/>
      </c>
      <c r="AH196" s="79">
        <f>IF(OR(Y196="⚠️ Order late — install at risk",Y196="⚠️ Delivery after install date"),1,0)</f>
        <v/>
      </c>
      <c r="AI196" s="79">
        <f>IF(AND(B196&lt;&gt;"",K196&lt;&gt;"",U196&lt;&gt;"Yes",X196&lt;&gt;"Yes"),1,0)</f>
        <v/>
      </c>
      <c r="AJ196" s="79">
        <f>IF(Y196="⚠️ Order late — install at risk",1,0)</f>
        <v/>
      </c>
    </row>
    <row r="197" ht="20" customHeight="1">
      <c r="B197" s="72" t="n"/>
      <c r="C197" s="72" t="n"/>
      <c r="D197" s="72" t="n"/>
      <c r="E197" s="72" t="n"/>
      <c r="F197" s="73" t="n"/>
      <c r="G197" s="72" t="n"/>
      <c r="H197" s="73" t="n"/>
      <c r="I197" s="72" t="n"/>
      <c r="J197" s="73" t="n"/>
      <c r="K197" s="74" t="n"/>
      <c r="L197" s="75">
        <f>IF(K197="A",F197,IF(K197="B",H197,IF(K197="C",J197,"")))</f>
        <v/>
      </c>
      <c r="M197" s="72" t="n"/>
      <c r="N197" s="72" t="n"/>
      <c r="O197" s="89" t="n"/>
      <c r="P197" s="89" t="n"/>
      <c r="Q197" s="109" t="n"/>
      <c r="R197" s="120">
        <f>IF(B197="","",IF(Q197&lt;&gt;"",Q197,IF(P197="","",IFERROR(INDEX('Timeline'!$J$7:$J$1006,MATCH(P197,'Timeline'!$B$7:$B$1006,0)),""))))</f>
        <v/>
      </c>
      <c r="S197" s="126">
        <f>IF(R197="","",R197-IF(O197="",0,O197)-OrderBuf)</f>
        <v/>
      </c>
      <c r="T197" s="126">
        <f>IF(S197="","",S197-DecideBuf)</f>
        <v/>
      </c>
      <c r="U197" s="74" t="n"/>
      <c r="V197" s="109" t="n"/>
      <c r="W197" s="109" t="n"/>
      <c r="X197" s="74" t="n"/>
      <c r="Y197" s="116">
        <f>IF(B197="","",IF(X197="Yes","Delivered",IF(U197="Yes",IF(AND(W197&lt;&gt;"",R197&lt;&gt;""),IF(W197&gt;R197,"⚠️ Delivery after install date","Ordered"),"Ordered"),IF(K197="",IF(T197="","Waiting for decision",IF(T197&lt;=AsOf+AlertDays,"Decide now","Waiting for decision")),IF(S197="","Selected",IF(AsOf&gt;S197,"⚠️ Order late — install at risk",IF(S197&lt;=AsOf+AlertDays,"Order now","Selected")))))))</f>
        <v/>
      </c>
      <c r="Z197" s="79">
        <f>IF(B197="","",IF(OR(AH197=1,AE197=1),2,IF(OR(AG197=1,AF197=1),1,IF(OR(Y197="Ordered",Y197="Delivered"),0,""))))</f>
        <v/>
      </c>
      <c r="AA197" s="112">
        <f>IF(B197="","",IF(AH197=1,IF(Y197="⚠️ Delivery after install date",R197,S197),IF(AD197=1,T197,IF(AI197=1,S197,""))))</f>
        <v/>
      </c>
      <c r="AB197" s="79">
        <f>IF(AA197="","",IF(AH197=1,1,IF(AA197="","",IF(AA197&lt;AsOf,1,IF(AA197&lt;=AsOf+AlertDays,2,IF(AA197&lt;=AsOf+2*AlertDays,3,""))))))</f>
        <v/>
      </c>
      <c r="AC197" s="79">
        <f>IF(AB197="","",IF(AH197=1,IF(Y197="⚠️ Delivery after install date","Delivery after install date: "&amp;B197,"Order late — install at risk: "&amp;B197),IF(AD197=1,IF(AB197=1,"Decision overdue: ","Decide: ")&amp;B197,"Order: "&amp;B197&amp;IF(N197="",""," from "&amp;N197))))</f>
        <v/>
      </c>
      <c r="AD197" s="79">
        <f>IF(AND(B197&lt;&gt;"",K197="",U197&lt;&gt;"Yes",X197&lt;&gt;"Yes"),1,0)</f>
        <v/>
      </c>
      <c r="AE197" s="79">
        <f>IF(AND(AD197=1,T197&lt;&gt;""),IF(T197&lt;AsOf,1,0),0)</f>
        <v/>
      </c>
      <c r="AF197" s="79">
        <f>IF(AND(AD197=1,T197&lt;&gt;""),IF(AND(T197&gt;=AsOf,T197&lt;=AsOf+AlertDays),1,0),0)</f>
        <v/>
      </c>
      <c r="AG197" s="79">
        <f>IF(Y197="Order now",1,0)</f>
        <v/>
      </c>
      <c r="AH197" s="79">
        <f>IF(OR(Y197="⚠️ Order late — install at risk",Y197="⚠️ Delivery after install date"),1,0)</f>
        <v/>
      </c>
      <c r="AI197" s="79">
        <f>IF(AND(B197&lt;&gt;"",K197&lt;&gt;"",U197&lt;&gt;"Yes",X197&lt;&gt;"Yes"),1,0)</f>
        <v/>
      </c>
      <c r="AJ197" s="79">
        <f>IF(Y197="⚠️ Order late — install at risk",1,0)</f>
        <v/>
      </c>
    </row>
    <row r="198" ht="20" customHeight="1">
      <c r="B198" s="72" t="n"/>
      <c r="C198" s="72" t="n"/>
      <c r="D198" s="72" t="n"/>
      <c r="E198" s="72" t="n"/>
      <c r="F198" s="73" t="n"/>
      <c r="G198" s="72" t="n"/>
      <c r="H198" s="73" t="n"/>
      <c r="I198" s="72" t="n"/>
      <c r="J198" s="73" t="n"/>
      <c r="K198" s="74" t="n"/>
      <c r="L198" s="75">
        <f>IF(K198="A",F198,IF(K198="B",H198,IF(K198="C",J198,"")))</f>
        <v/>
      </c>
      <c r="M198" s="72" t="n"/>
      <c r="N198" s="72" t="n"/>
      <c r="O198" s="89" t="n"/>
      <c r="P198" s="89" t="n"/>
      <c r="Q198" s="109" t="n"/>
      <c r="R198" s="120">
        <f>IF(B198="","",IF(Q198&lt;&gt;"",Q198,IF(P198="","",IFERROR(INDEX('Timeline'!$J$7:$J$1006,MATCH(P198,'Timeline'!$B$7:$B$1006,0)),""))))</f>
        <v/>
      </c>
      <c r="S198" s="126">
        <f>IF(R198="","",R198-IF(O198="",0,O198)-OrderBuf)</f>
        <v/>
      </c>
      <c r="T198" s="126">
        <f>IF(S198="","",S198-DecideBuf)</f>
        <v/>
      </c>
      <c r="U198" s="74" t="n"/>
      <c r="V198" s="109" t="n"/>
      <c r="W198" s="109" t="n"/>
      <c r="X198" s="74" t="n"/>
      <c r="Y198" s="116">
        <f>IF(B198="","",IF(X198="Yes","Delivered",IF(U198="Yes",IF(AND(W198&lt;&gt;"",R198&lt;&gt;""),IF(W198&gt;R198,"⚠️ Delivery after install date","Ordered"),"Ordered"),IF(K198="",IF(T198="","Waiting for decision",IF(T198&lt;=AsOf+AlertDays,"Decide now","Waiting for decision")),IF(S198="","Selected",IF(AsOf&gt;S198,"⚠️ Order late — install at risk",IF(S198&lt;=AsOf+AlertDays,"Order now","Selected")))))))</f>
        <v/>
      </c>
      <c r="Z198" s="79">
        <f>IF(B198="","",IF(OR(AH198=1,AE198=1),2,IF(OR(AG198=1,AF198=1),1,IF(OR(Y198="Ordered",Y198="Delivered"),0,""))))</f>
        <v/>
      </c>
      <c r="AA198" s="112">
        <f>IF(B198="","",IF(AH198=1,IF(Y198="⚠️ Delivery after install date",R198,S198),IF(AD198=1,T198,IF(AI198=1,S198,""))))</f>
        <v/>
      </c>
      <c r="AB198" s="79">
        <f>IF(AA198="","",IF(AH198=1,1,IF(AA198="","",IF(AA198&lt;AsOf,1,IF(AA198&lt;=AsOf+AlertDays,2,IF(AA198&lt;=AsOf+2*AlertDays,3,""))))))</f>
        <v/>
      </c>
      <c r="AC198" s="79">
        <f>IF(AB198="","",IF(AH198=1,IF(Y198="⚠️ Delivery after install date","Delivery after install date: "&amp;B198,"Order late — install at risk: "&amp;B198),IF(AD198=1,IF(AB198=1,"Decision overdue: ","Decide: ")&amp;B198,"Order: "&amp;B198&amp;IF(N198="",""," from "&amp;N198))))</f>
        <v/>
      </c>
      <c r="AD198" s="79">
        <f>IF(AND(B198&lt;&gt;"",K198="",U198&lt;&gt;"Yes",X198&lt;&gt;"Yes"),1,0)</f>
        <v/>
      </c>
      <c r="AE198" s="79">
        <f>IF(AND(AD198=1,T198&lt;&gt;""),IF(T198&lt;AsOf,1,0),0)</f>
        <v/>
      </c>
      <c r="AF198" s="79">
        <f>IF(AND(AD198=1,T198&lt;&gt;""),IF(AND(T198&gt;=AsOf,T198&lt;=AsOf+AlertDays),1,0),0)</f>
        <v/>
      </c>
      <c r="AG198" s="79">
        <f>IF(Y198="Order now",1,0)</f>
        <v/>
      </c>
      <c r="AH198" s="79">
        <f>IF(OR(Y198="⚠️ Order late — install at risk",Y198="⚠️ Delivery after install date"),1,0)</f>
        <v/>
      </c>
      <c r="AI198" s="79">
        <f>IF(AND(B198&lt;&gt;"",K198&lt;&gt;"",U198&lt;&gt;"Yes",X198&lt;&gt;"Yes"),1,0)</f>
        <v/>
      </c>
      <c r="AJ198" s="79">
        <f>IF(Y198="⚠️ Order late — install at risk",1,0)</f>
        <v/>
      </c>
    </row>
    <row r="199" ht="20" customHeight="1">
      <c r="B199" s="72" t="n"/>
      <c r="C199" s="72" t="n"/>
      <c r="D199" s="72" t="n"/>
      <c r="E199" s="72" t="n"/>
      <c r="F199" s="73" t="n"/>
      <c r="G199" s="72" t="n"/>
      <c r="H199" s="73" t="n"/>
      <c r="I199" s="72" t="n"/>
      <c r="J199" s="73" t="n"/>
      <c r="K199" s="74" t="n"/>
      <c r="L199" s="75">
        <f>IF(K199="A",F199,IF(K199="B",H199,IF(K199="C",J199,"")))</f>
        <v/>
      </c>
      <c r="M199" s="72" t="n"/>
      <c r="N199" s="72" t="n"/>
      <c r="O199" s="89" t="n"/>
      <c r="P199" s="89" t="n"/>
      <c r="Q199" s="109" t="n"/>
      <c r="R199" s="120">
        <f>IF(B199="","",IF(Q199&lt;&gt;"",Q199,IF(P199="","",IFERROR(INDEX('Timeline'!$J$7:$J$1006,MATCH(P199,'Timeline'!$B$7:$B$1006,0)),""))))</f>
        <v/>
      </c>
      <c r="S199" s="126">
        <f>IF(R199="","",R199-IF(O199="",0,O199)-OrderBuf)</f>
        <v/>
      </c>
      <c r="T199" s="126">
        <f>IF(S199="","",S199-DecideBuf)</f>
        <v/>
      </c>
      <c r="U199" s="74" t="n"/>
      <c r="V199" s="109" t="n"/>
      <c r="W199" s="109" t="n"/>
      <c r="X199" s="74" t="n"/>
      <c r="Y199" s="116">
        <f>IF(B199="","",IF(X199="Yes","Delivered",IF(U199="Yes",IF(AND(W199&lt;&gt;"",R199&lt;&gt;""),IF(W199&gt;R199,"⚠️ Delivery after install date","Ordered"),"Ordered"),IF(K199="",IF(T199="","Waiting for decision",IF(T199&lt;=AsOf+AlertDays,"Decide now","Waiting for decision")),IF(S199="","Selected",IF(AsOf&gt;S199,"⚠️ Order late — install at risk",IF(S199&lt;=AsOf+AlertDays,"Order now","Selected")))))))</f>
        <v/>
      </c>
      <c r="Z199" s="79">
        <f>IF(B199="","",IF(OR(AH199=1,AE199=1),2,IF(OR(AG199=1,AF199=1),1,IF(OR(Y199="Ordered",Y199="Delivered"),0,""))))</f>
        <v/>
      </c>
      <c r="AA199" s="112">
        <f>IF(B199="","",IF(AH199=1,IF(Y199="⚠️ Delivery after install date",R199,S199),IF(AD199=1,T199,IF(AI199=1,S199,""))))</f>
        <v/>
      </c>
      <c r="AB199" s="79">
        <f>IF(AA199="","",IF(AH199=1,1,IF(AA199="","",IF(AA199&lt;AsOf,1,IF(AA199&lt;=AsOf+AlertDays,2,IF(AA199&lt;=AsOf+2*AlertDays,3,""))))))</f>
        <v/>
      </c>
      <c r="AC199" s="79">
        <f>IF(AB199="","",IF(AH199=1,IF(Y199="⚠️ Delivery after install date","Delivery after install date: "&amp;B199,"Order late — install at risk: "&amp;B199),IF(AD199=1,IF(AB199=1,"Decision overdue: ","Decide: ")&amp;B199,"Order: "&amp;B199&amp;IF(N199="",""," from "&amp;N199))))</f>
        <v/>
      </c>
      <c r="AD199" s="79">
        <f>IF(AND(B199&lt;&gt;"",K199="",U199&lt;&gt;"Yes",X199&lt;&gt;"Yes"),1,0)</f>
        <v/>
      </c>
      <c r="AE199" s="79">
        <f>IF(AND(AD199=1,T199&lt;&gt;""),IF(T199&lt;AsOf,1,0),0)</f>
        <v/>
      </c>
      <c r="AF199" s="79">
        <f>IF(AND(AD199=1,T199&lt;&gt;""),IF(AND(T199&gt;=AsOf,T199&lt;=AsOf+AlertDays),1,0),0)</f>
        <v/>
      </c>
      <c r="AG199" s="79">
        <f>IF(Y199="Order now",1,0)</f>
        <v/>
      </c>
      <c r="AH199" s="79">
        <f>IF(OR(Y199="⚠️ Order late — install at risk",Y199="⚠️ Delivery after install date"),1,0)</f>
        <v/>
      </c>
      <c r="AI199" s="79">
        <f>IF(AND(B199&lt;&gt;"",K199&lt;&gt;"",U199&lt;&gt;"Yes",X199&lt;&gt;"Yes"),1,0)</f>
        <v/>
      </c>
      <c r="AJ199" s="79">
        <f>IF(Y199="⚠️ Order late — install at risk",1,0)</f>
        <v/>
      </c>
    </row>
    <row r="200" ht="20" customHeight="1">
      <c r="B200" s="72" t="n"/>
      <c r="C200" s="72" t="n"/>
      <c r="D200" s="72" t="n"/>
      <c r="E200" s="72" t="n"/>
      <c r="F200" s="73" t="n"/>
      <c r="G200" s="72" t="n"/>
      <c r="H200" s="73" t="n"/>
      <c r="I200" s="72" t="n"/>
      <c r="J200" s="73" t="n"/>
      <c r="K200" s="74" t="n"/>
      <c r="L200" s="75">
        <f>IF(K200="A",F200,IF(K200="B",H200,IF(K200="C",J200,"")))</f>
        <v/>
      </c>
      <c r="M200" s="72" t="n"/>
      <c r="N200" s="72" t="n"/>
      <c r="O200" s="89" t="n"/>
      <c r="P200" s="89" t="n"/>
      <c r="Q200" s="109" t="n"/>
      <c r="R200" s="120">
        <f>IF(B200="","",IF(Q200&lt;&gt;"",Q200,IF(P200="","",IFERROR(INDEX('Timeline'!$J$7:$J$1006,MATCH(P200,'Timeline'!$B$7:$B$1006,0)),""))))</f>
        <v/>
      </c>
      <c r="S200" s="126">
        <f>IF(R200="","",R200-IF(O200="",0,O200)-OrderBuf)</f>
        <v/>
      </c>
      <c r="T200" s="126">
        <f>IF(S200="","",S200-DecideBuf)</f>
        <v/>
      </c>
      <c r="U200" s="74" t="n"/>
      <c r="V200" s="109" t="n"/>
      <c r="W200" s="109" t="n"/>
      <c r="X200" s="74" t="n"/>
      <c r="Y200" s="116">
        <f>IF(B200="","",IF(X200="Yes","Delivered",IF(U200="Yes",IF(AND(W200&lt;&gt;"",R200&lt;&gt;""),IF(W200&gt;R200,"⚠️ Delivery after install date","Ordered"),"Ordered"),IF(K200="",IF(T200="","Waiting for decision",IF(T200&lt;=AsOf+AlertDays,"Decide now","Waiting for decision")),IF(S200="","Selected",IF(AsOf&gt;S200,"⚠️ Order late — install at risk",IF(S200&lt;=AsOf+AlertDays,"Order now","Selected")))))))</f>
        <v/>
      </c>
      <c r="Z200" s="79">
        <f>IF(B200="","",IF(OR(AH200=1,AE200=1),2,IF(OR(AG200=1,AF200=1),1,IF(OR(Y200="Ordered",Y200="Delivered"),0,""))))</f>
        <v/>
      </c>
      <c r="AA200" s="112">
        <f>IF(B200="","",IF(AH200=1,IF(Y200="⚠️ Delivery after install date",R200,S200),IF(AD200=1,T200,IF(AI200=1,S200,""))))</f>
        <v/>
      </c>
      <c r="AB200" s="79">
        <f>IF(AA200="","",IF(AH200=1,1,IF(AA200="","",IF(AA200&lt;AsOf,1,IF(AA200&lt;=AsOf+AlertDays,2,IF(AA200&lt;=AsOf+2*AlertDays,3,""))))))</f>
        <v/>
      </c>
      <c r="AC200" s="79">
        <f>IF(AB200="","",IF(AH200=1,IF(Y200="⚠️ Delivery after install date","Delivery after install date: "&amp;B200,"Order late — install at risk: "&amp;B200),IF(AD200=1,IF(AB200=1,"Decision overdue: ","Decide: ")&amp;B200,"Order: "&amp;B200&amp;IF(N200="",""," from "&amp;N200))))</f>
        <v/>
      </c>
      <c r="AD200" s="79">
        <f>IF(AND(B200&lt;&gt;"",K200="",U200&lt;&gt;"Yes",X200&lt;&gt;"Yes"),1,0)</f>
        <v/>
      </c>
      <c r="AE200" s="79">
        <f>IF(AND(AD200=1,T200&lt;&gt;""),IF(T200&lt;AsOf,1,0),0)</f>
        <v/>
      </c>
      <c r="AF200" s="79">
        <f>IF(AND(AD200=1,T200&lt;&gt;""),IF(AND(T200&gt;=AsOf,T200&lt;=AsOf+AlertDays),1,0),0)</f>
        <v/>
      </c>
      <c r="AG200" s="79">
        <f>IF(Y200="Order now",1,0)</f>
        <v/>
      </c>
      <c r="AH200" s="79">
        <f>IF(OR(Y200="⚠️ Order late — install at risk",Y200="⚠️ Delivery after install date"),1,0)</f>
        <v/>
      </c>
      <c r="AI200" s="79">
        <f>IF(AND(B200&lt;&gt;"",K200&lt;&gt;"",U200&lt;&gt;"Yes",X200&lt;&gt;"Yes"),1,0)</f>
        <v/>
      </c>
      <c r="AJ200" s="79">
        <f>IF(Y200="⚠️ Order late — install at risk",1,0)</f>
        <v/>
      </c>
    </row>
    <row r="201" ht="20" customHeight="1">
      <c r="B201" s="72" t="n"/>
      <c r="C201" s="72" t="n"/>
      <c r="D201" s="72" t="n"/>
      <c r="E201" s="72" t="n"/>
      <c r="F201" s="73" t="n"/>
      <c r="G201" s="72" t="n"/>
      <c r="H201" s="73" t="n"/>
      <c r="I201" s="72" t="n"/>
      <c r="J201" s="73" t="n"/>
      <c r="K201" s="74" t="n"/>
      <c r="L201" s="75">
        <f>IF(K201="A",F201,IF(K201="B",H201,IF(K201="C",J201,"")))</f>
        <v/>
      </c>
      <c r="M201" s="72" t="n"/>
      <c r="N201" s="72" t="n"/>
      <c r="O201" s="89" t="n"/>
      <c r="P201" s="89" t="n"/>
      <c r="Q201" s="109" t="n"/>
      <c r="R201" s="120">
        <f>IF(B201="","",IF(Q201&lt;&gt;"",Q201,IF(P201="","",IFERROR(INDEX('Timeline'!$J$7:$J$1006,MATCH(P201,'Timeline'!$B$7:$B$1006,0)),""))))</f>
        <v/>
      </c>
      <c r="S201" s="126">
        <f>IF(R201="","",R201-IF(O201="",0,O201)-OrderBuf)</f>
        <v/>
      </c>
      <c r="T201" s="126">
        <f>IF(S201="","",S201-DecideBuf)</f>
        <v/>
      </c>
      <c r="U201" s="74" t="n"/>
      <c r="V201" s="109" t="n"/>
      <c r="W201" s="109" t="n"/>
      <c r="X201" s="74" t="n"/>
      <c r="Y201" s="116">
        <f>IF(B201="","",IF(X201="Yes","Delivered",IF(U201="Yes",IF(AND(W201&lt;&gt;"",R201&lt;&gt;""),IF(W201&gt;R201,"⚠️ Delivery after install date","Ordered"),"Ordered"),IF(K201="",IF(T201="","Waiting for decision",IF(T201&lt;=AsOf+AlertDays,"Decide now","Waiting for decision")),IF(S201="","Selected",IF(AsOf&gt;S201,"⚠️ Order late — install at risk",IF(S201&lt;=AsOf+AlertDays,"Order now","Selected")))))))</f>
        <v/>
      </c>
      <c r="Z201" s="79">
        <f>IF(B201="","",IF(OR(AH201=1,AE201=1),2,IF(OR(AG201=1,AF201=1),1,IF(OR(Y201="Ordered",Y201="Delivered"),0,""))))</f>
        <v/>
      </c>
      <c r="AA201" s="112">
        <f>IF(B201="","",IF(AH201=1,IF(Y201="⚠️ Delivery after install date",R201,S201),IF(AD201=1,T201,IF(AI201=1,S201,""))))</f>
        <v/>
      </c>
      <c r="AB201" s="79">
        <f>IF(AA201="","",IF(AH201=1,1,IF(AA201="","",IF(AA201&lt;AsOf,1,IF(AA201&lt;=AsOf+AlertDays,2,IF(AA201&lt;=AsOf+2*AlertDays,3,""))))))</f>
        <v/>
      </c>
      <c r="AC201" s="79">
        <f>IF(AB201="","",IF(AH201=1,IF(Y201="⚠️ Delivery after install date","Delivery after install date: "&amp;B201,"Order late — install at risk: "&amp;B201),IF(AD201=1,IF(AB201=1,"Decision overdue: ","Decide: ")&amp;B201,"Order: "&amp;B201&amp;IF(N201="",""," from "&amp;N201))))</f>
        <v/>
      </c>
      <c r="AD201" s="79">
        <f>IF(AND(B201&lt;&gt;"",K201="",U201&lt;&gt;"Yes",X201&lt;&gt;"Yes"),1,0)</f>
        <v/>
      </c>
      <c r="AE201" s="79">
        <f>IF(AND(AD201=1,T201&lt;&gt;""),IF(T201&lt;AsOf,1,0),0)</f>
        <v/>
      </c>
      <c r="AF201" s="79">
        <f>IF(AND(AD201=1,T201&lt;&gt;""),IF(AND(T201&gt;=AsOf,T201&lt;=AsOf+AlertDays),1,0),0)</f>
        <v/>
      </c>
      <c r="AG201" s="79">
        <f>IF(Y201="Order now",1,0)</f>
        <v/>
      </c>
      <c r="AH201" s="79">
        <f>IF(OR(Y201="⚠️ Order late — install at risk",Y201="⚠️ Delivery after install date"),1,0)</f>
        <v/>
      </c>
      <c r="AI201" s="79">
        <f>IF(AND(B201&lt;&gt;"",K201&lt;&gt;"",U201&lt;&gt;"Yes",X201&lt;&gt;"Yes"),1,0)</f>
        <v/>
      </c>
      <c r="AJ201" s="79">
        <f>IF(Y201="⚠️ Order late — install at risk",1,0)</f>
        <v/>
      </c>
    </row>
    <row r="202" ht="20" customHeight="1">
      <c r="B202" s="72" t="n"/>
      <c r="C202" s="72" t="n"/>
      <c r="D202" s="72" t="n"/>
      <c r="E202" s="72" t="n"/>
      <c r="F202" s="73" t="n"/>
      <c r="G202" s="72" t="n"/>
      <c r="H202" s="73" t="n"/>
      <c r="I202" s="72" t="n"/>
      <c r="J202" s="73" t="n"/>
      <c r="K202" s="74" t="n"/>
      <c r="L202" s="75">
        <f>IF(K202="A",F202,IF(K202="B",H202,IF(K202="C",J202,"")))</f>
        <v/>
      </c>
      <c r="M202" s="72" t="n"/>
      <c r="N202" s="72" t="n"/>
      <c r="O202" s="89" t="n"/>
      <c r="P202" s="89" t="n"/>
      <c r="Q202" s="109" t="n"/>
      <c r="R202" s="120">
        <f>IF(B202="","",IF(Q202&lt;&gt;"",Q202,IF(P202="","",IFERROR(INDEX('Timeline'!$J$7:$J$1006,MATCH(P202,'Timeline'!$B$7:$B$1006,0)),""))))</f>
        <v/>
      </c>
      <c r="S202" s="126">
        <f>IF(R202="","",R202-IF(O202="",0,O202)-OrderBuf)</f>
        <v/>
      </c>
      <c r="T202" s="126">
        <f>IF(S202="","",S202-DecideBuf)</f>
        <v/>
      </c>
      <c r="U202" s="74" t="n"/>
      <c r="V202" s="109" t="n"/>
      <c r="W202" s="109" t="n"/>
      <c r="X202" s="74" t="n"/>
      <c r="Y202" s="116">
        <f>IF(B202="","",IF(X202="Yes","Delivered",IF(U202="Yes",IF(AND(W202&lt;&gt;"",R202&lt;&gt;""),IF(W202&gt;R202,"⚠️ Delivery after install date","Ordered"),"Ordered"),IF(K202="",IF(T202="","Waiting for decision",IF(T202&lt;=AsOf+AlertDays,"Decide now","Waiting for decision")),IF(S202="","Selected",IF(AsOf&gt;S202,"⚠️ Order late — install at risk",IF(S202&lt;=AsOf+AlertDays,"Order now","Selected")))))))</f>
        <v/>
      </c>
      <c r="Z202" s="79">
        <f>IF(B202="","",IF(OR(AH202=1,AE202=1),2,IF(OR(AG202=1,AF202=1),1,IF(OR(Y202="Ordered",Y202="Delivered"),0,""))))</f>
        <v/>
      </c>
      <c r="AA202" s="112">
        <f>IF(B202="","",IF(AH202=1,IF(Y202="⚠️ Delivery after install date",R202,S202),IF(AD202=1,T202,IF(AI202=1,S202,""))))</f>
        <v/>
      </c>
      <c r="AB202" s="79">
        <f>IF(AA202="","",IF(AH202=1,1,IF(AA202="","",IF(AA202&lt;AsOf,1,IF(AA202&lt;=AsOf+AlertDays,2,IF(AA202&lt;=AsOf+2*AlertDays,3,""))))))</f>
        <v/>
      </c>
      <c r="AC202" s="79">
        <f>IF(AB202="","",IF(AH202=1,IF(Y202="⚠️ Delivery after install date","Delivery after install date: "&amp;B202,"Order late — install at risk: "&amp;B202),IF(AD202=1,IF(AB202=1,"Decision overdue: ","Decide: ")&amp;B202,"Order: "&amp;B202&amp;IF(N202="",""," from "&amp;N202))))</f>
        <v/>
      </c>
      <c r="AD202" s="79">
        <f>IF(AND(B202&lt;&gt;"",K202="",U202&lt;&gt;"Yes",X202&lt;&gt;"Yes"),1,0)</f>
        <v/>
      </c>
      <c r="AE202" s="79">
        <f>IF(AND(AD202=1,T202&lt;&gt;""),IF(T202&lt;AsOf,1,0),0)</f>
        <v/>
      </c>
      <c r="AF202" s="79">
        <f>IF(AND(AD202=1,T202&lt;&gt;""),IF(AND(T202&gt;=AsOf,T202&lt;=AsOf+AlertDays),1,0),0)</f>
        <v/>
      </c>
      <c r="AG202" s="79">
        <f>IF(Y202="Order now",1,0)</f>
        <v/>
      </c>
      <c r="AH202" s="79">
        <f>IF(OR(Y202="⚠️ Order late — install at risk",Y202="⚠️ Delivery after install date"),1,0)</f>
        <v/>
      </c>
      <c r="AI202" s="79">
        <f>IF(AND(B202&lt;&gt;"",K202&lt;&gt;"",U202&lt;&gt;"Yes",X202&lt;&gt;"Yes"),1,0)</f>
        <v/>
      </c>
      <c r="AJ202" s="79">
        <f>IF(Y202="⚠️ Order late — install at risk",1,0)</f>
        <v/>
      </c>
    </row>
    <row r="203" ht="20" customHeight="1">
      <c r="B203" s="72" t="n"/>
      <c r="C203" s="72" t="n"/>
      <c r="D203" s="72" t="n"/>
      <c r="E203" s="72" t="n"/>
      <c r="F203" s="73" t="n"/>
      <c r="G203" s="72" t="n"/>
      <c r="H203" s="73" t="n"/>
      <c r="I203" s="72" t="n"/>
      <c r="J203" s="73" t="n"/>
      <c r="K203" s="74" t="n"/>
      <c r="L203" s="75">
        <f>IF(K203="A",F203,IF(K203="B",H203,IF(K203="C",J203,"")))</f>
        <v/>
      </c>
      <c r="M203" s="72" t="n"/>
      <c r="N203" s="72" t="n"/>
      <c r="O203" s="89" t="n"/>
      <c r="P203" s="89" t="n"/>
      <c r="Q203" s="109" t="n"/>
      <c r="R203" s="120">
        <f>IF(B203="","",IF(Q203&lt;&gt;"",Q203,IF(P203="","",IFERROR(INDEX('Timeline'!$J$7:$J$1006,MATCH(P203,'Timeline'!$B$7:$B$1006,0)),""))))</f>
        <v/>
      </c>
      <c r="S203" s="126">
        <f>IF(R203="","",R203-IF(O203="",0,O203)-OrderBuf)</f>
        <v/>
      </c>
      <c r="T203" s="126">
        <f>IF(S203="","",S203-DecideBuf)</f>
        <v/>
      </c>
      <c r="U203" s="74" t="n"/>
      <c r="V203" s="109" t="n"/>
      <c r="W203" s="109" t="n"/>
      <c r="X203" s="74" t="n"/>
      <c r="Y203" s="116">
        <f>IF(B203="","",IF(X203="Yes","Delivered",IF(U203="Yes",IF(AND(W203&lt;&gt;"",R203&lt;&gt;""),IF(W203&gt;R203,"⚠️ Delivery after install date","Ordered"),"Ordered"),IF(K203="",IF(T203="","Waiting for decision",IF(T203&lt;=AsOf+AlertDays,"Decide now","Waiting for decision")),IF(S203="","Selected",IF(AsOf&gt;S203,"⚠️ Order late — install at risk",IF(S203&lt;=AsOf+AlertDays,"Order now","Selected")))))))</f>
        <v/>
      </c>
      <c r="Z203" s="79">
        <f>IF(B203="","",IF(OR(AH203=1,AE203=1),2,IF(OR(AG203=1,AF203=1),1,IF(OR(Y203="Ordered",Y203="Delivered"),0,""))))</f>
        <v/>
      </c>
      <c r="AA203" s="112">
        <f>IF(B203="","",IF(AH203=1,IF(Y203="⚠️ Delivery after install date",R203,S203),IF(AD203=1,T203,IF(AI203=1,S203,""))))</f>
        <v/>
      </c>
      <c r="AB203" s="79">
        <f>IF(AA203="","",IF(AH203=1,1,IF(AA203="","",IF(AA203&lt;AsOf,1,IF(AA203&lt;=AsOf+AlertDays,2,IF(AA203&lt;=AsOf+2*AlertDays,3,""))))))</f>
        <v/>
      </c>
      <c r="AC203" s="79">
        <f>IF(AB203="","",IF(AH203=1,IF(Y203="⚠️ Delivery after install date","Delivery after install date: "&amp;B203,"Order late — install at risk: "&amp;B203),IF(AD203=1,IF(AB203=1,"Decision overdue: ","Decide: ")&amp;B203,"Order: "&amp;B203&amp;IF(N203="",""," from "&amp;N203))))</f>
        <v/>
      </c>
      <c r="AD203" s="79">
        <f>IF(AND(B203&lt;&gt;"",K203="",U203&lt;&gt;"Yes",X203&lt;&gt;"Yes"),1,0)</f>
        <v/>
      </c>
      <c r="AE203" s="79">
        <f>IF(AND(AD203=1,T203&lt;&gt;""),IF(T203&lt;AsOf,1,0),0)</f>
        <v/>
      </c>
      <c r="AF203" s="79">
        <f>IF(AND(AD203=1,T203&lt;&gt;""),IF(AND(T203&gt;=AsOf,T203&lt;=AsOf+AlertDays),1,0),0)</f>
        <v/>
      </c>
      <c r="AG203" s="79">
        <f>IF(Y203="Order now",1,0)</f>
        <v/>
      </c>
      <c r="AH203" s="79">
        <f>IF(OR(Y203="⚠️ Order late — install at risk",Y203="⚠️ Delivery after install date"),1,0)</f>
        <v/>
      </c>
      <c r="AI203" s="79">
        <f>IF(AND(B203&lt;&gt;"",K203&lt;&gt;"",U203&lt;&gt;"Yes",X203&lt;&gt;"Yes"),1,0)</f>
        <v/>
      </c>
      <c r="AJ203" s="79">
        <f>IF(Y203="⚠️ Order late — install at risk",1,0)</f>
        <v/>
      </c>
    </row>
    <row r="204" ht="20" customHeight="1">
      <c r="B204" s="72" t="n"/>
      <c r="C204" s="72" t="n"/>
      <c r="D204" s="72" t="n"/>
      <c r="E204" s="72" t="n"/>
      <c r="F204" s="73" t="n"/>
      <c r="G204" s="72" t="n"/>
      <c r="H204" s="73" t="n"/>
      <c r="I204" s="72" t="n"/>
      <c r="J204" s="73" t="n"/>
      <c r="K204" s="74" t="n"/>
      <c r="L204" s="75">
        <f>IF(K204="A",F204,IF(K204="B",H204,IF(K204="C",J204,"")))</f>
        <v/>
      </c>
      <c r="M204" s="72" t="n"/>
      <c r="N204" s="72" t="n"/>
      <c r="O204" s="89" t="n"/>
      <c r="P204" s="89" t="n"/>
      <c r="Q204" s="109" t="n"/>
      <c r="R204" s="120">
        <f>IF(B204="","",IF(Q204&lt;&gt;"",Q204,IF(P204="","",IFERROR(INDEX('Timeline'!$J$7:$J$1006,MATCH(P204,'Timeline'!$B$7:$B$1006,0)),""))))</f>
        <v/>
      </c>
      <c r="S204" s="126">
        <f>IF(R204="","",R204-IF(O204="",0,O204)-OrderBuf)</f>
        <v/>
      </c>
      <c r="T204" s="126">
        <f>IF(S204="","",S204-DecideBuf)</f>
        <v/>
      </c>
      <c r="U204" s="74" t="n"/>
      <c r="V204" s="109" t="n"/>
      <c r="W204" s="109" t="n"/>
      <c r="X204" s="74" t="n"/>
      <c r="Y204" s="116">
        <f>IF(B204="","",IF(X204="Yes","Delivered",IF(U204="Yes",IF(AND(W204&lt;&gt;"",R204&lt;&gt;""),IF(W204&gt;R204,"⚠️ Delivery after install date","Ordered"),"Ordered"),IF(K204="",IF(T204="","Waiting for decision",IF(T204&lt;=AsOf+AlertDays,"Decide now","Waiting for decision")),IF(S204="","Selected",IF(AsOf&gt;S204,"⚠️ Order late — install at risk",IF(S204&lt;=AsOf+AlertDays,"Order now","Selected")))))))</f>
        <v/>
      </c>
      <c r="Z204" s="79">
        <f>IF(B204="","",IF(OR(AH204=1,AE204=1),2,IF(OR(AG204=1,AF204=1),1,IF(OR(Y204="Ordered",Y204="Delivered"),0,""))))</f>
        <v/>
      </c>
      <c r="AA204" s="112">
        <f>IF(B204="","",IF(AH204=1,IF(Y204="⚠️ Delivery after install date",R204,S204),IF(AD204=1,T204,IF(AI204=1,S204,""))))</f>
        <v/>
      </c>
      <c r="AB204" s="79">
        <f>IF(AA204="","",IF(AH204=1,1,IF(AA204="","",IF(AA204&lt;AsOf,1,IF(AA204&lt;=AsOf+AlertDays,2,IF(AA204&lt;=AsOf+2*AlertDays,3,""))))))</f>
        <v/>
      </c>
      <c r="AC204" s="79">
        <f>IF(AB204="","",IF(AH204=1,IF(Y204="⚠️ Delivery after install date","Delivery after install date: "&amp;B204,"Order late — install at risk: "&amp;B204),IF(AD204=1,IF(AB204=1,"Decision overdue: ","Decide: ")&amp;B204,"Order: "&amp;B204&amp;IF(N204="",""," from "&amp;N204))))</f>
        <v/>
      </c>
      <c r="AD204" s="79">
        <f>IF(AND(B204&lt;&gt;"",K204="",U204&lt;&gt;"Yes",X204&lt;&gt;"Yes"),1,0)</f>
        <v/>
      </c>
      <c r="AE204" s="79">
        <f>IF(AND(AD204=1,T204&lt;&gt;""),IF(T204&lt;AsOf,1,0),0)</f>
        <v/>
      </c>
      <c r="AF204" s="79">
        <f>IF(AND(AD204=1,T204&lt;&gt;""),IF(AND(T204&gt;=AsOf,T204&lt;=AsOf+AlertDays),1,0),0)</f>
        <v/>
      </c>
      <c r="AG204" s="79">
        <f>IF(Y204="Order now",1,0)</f>
        <v/>
      </c>
      <c r="AH204" s="79">
        <f>IF(OR(Y204="⚠️ Order late — install at risk",Y204="⚠️ Delivery after install date"),1,0)</f>
        <v/>
      </c>
      <c r="AI204" s="79">
        <f>IF(AND(B204&lt;&gt;"",K204&lt;&gt;"",U204&lt;&gt;"Yes",X204&lt;&gt;"Yes"),1,0)</f>
        <v/>
      </c>
      <c r="AJ204" s="79">
        <f>IF(Y204="⚠️ Order late — install at risk",1,0)</f>
        <v/>
      </c>
    </row>
    <row r="205" ht="20" customHeight="1">
      <c r="B205" s="72" t="n"/>
      <c r="C205" s="72" t="n"/>
      <c r="D205" s="72" t="n"/>
      <c r="E205" s="72" t="n"/>
      <c r="F205" s="73" t="n"/>
      <c r="G205" s="72" t="n"/>
      <c r="H205" s="73" t="n"/>
      <c r="I205" s="72" t="n"/>
      <c r="J205" s="73" t="n"/>
      <c r="K205" s="74" t="n"/>
      <c r="L205" s="75">
        <f>IF(K205="A",F205,IF(K205="B",H205,IF(K205="C",J205,"")))</f>
        <v/>
      </c>
      <c r="M205" s="72" t="n"/>
      <c r="N205" s="72" t="n"/>
      <c r="O205" s="89" t="n"/>
      <c r="P205" s="89" t="n"/>
      <c r="Q205" s="109" t="n"/>
      <c r="R205" s="120">
        <f>IF(B205="","",IF(Q205&lt;&gt;"",Q205,IF(P205="","",IFERROR(INDEX('Timeline'!$J$7:$J$1006,MATCH(P205,'Timeline'!$B$7:$B$1006,0)),""))))</f>
        <v/>
      </c>
      <c r="S205" s="126">
        <f>IF(R205="","",R205-IF(O205="",0,O205)-OrderBuf)</f>
        <v/>
      </c>
      <c r="T205" s="126">
        <f>IF(S205="","",S205-DecideBuf)</f>
        <v/>
      </c>
      <c r="U205" s="74" t="n"/>
      <c r="V205" s="109" t="n"/>
      <c r="W205" s="109" t="n"/>
      <c r="X205" s="74" t="n"/>
      <c r="Y205" s="116">
        <f>IF(B205="","",IF(X205="Yes","Delivered",IF(U205="Yes",IF(AND(W205&lt;&gt;"",R205&lt;&gt;""),IF(W205&gt;R205,"⚠️ Delivery after install date","Ordered"),"Ordered"),IF(K205="",IF(T205="","Waiting for decision",IF(T205&lt;=AsOf+AlertDays,"Decide now","Waiting for decision")),IF(S205="","Selected",IF(AsOf&gt;S205,"⚠️ Order late — install at risk",IF(S205&lt;=AsOf+AlertDays,"Order now","Selected")))))))</f>
        <v/>
      </c>
      <c r="Z205" s="79">
        <f>IF(B205="","",IF(OR(AH205=1,AE205=1),2,IF(OR(AG205=1,AF205=1),1,IF(OR(Y205="Ordered",Y205="Delivered"),0,""))))</f>
        <v/>
      </c>
      <c r="AA205" s="112">
        <f>IF(B205="","",IF(AH205=1,IF(Y205="⚠️ Delivery after install date",R205,S205),IF(AD205=1,T205,IF(AI205=1,S205,""))))</f>
        <v/>
      </c>
      <c r="AB205" s="79">
        <f>IF(AA205="","",IF(AH205=1,1,IF(AA205="","",IF(AA205&lt;AsOf,1,IF(AA205&lt;=AsOf+AlertDays,2,IF(AA205&lt;=AsOf+2*AlertDays,3,""))))))</f>
        <v/>
      </c>
      <c r="AC205" s="79">
        <f>IF(AB205="","",IF(AH205=1,IF(Y205="⚠️ Delivery after install date","Delivery after install date: "&amp;B205,"Order late — install at risk: "&amp;B205),IF(AD205=1,IF(AB205=1,"Decision overdue: ","Decide: ")&amp;B205,"Order: "&amp;B205&amp;IF(N205="",""," from "&amp;N205))))</f>
        <v/>
      </c>
      <c r="AD205" s="79">
        <f>IF(AND(B205&lt;&gt;"",K205="",U205&lt;&gt;"Yes",X205&lt;&gt;"Yes"),1,0)</f>
        <v/>
      </c>
      <c r="AE205" s="79">
        <f>IF(AND(AD205=1,T205&lt;&gt;""),IF(T205&lt;AsOf,1,0),0)</f>
        <v/>
      </c>
      <c r="AF205" s="79">
        <f>IF(AND(AD205=1,T205&lt;&gt;""),IF(AND(T205&gt;=AsOf,T205&lt;=AsOf+AlertDays),1,0),0)</f>
        <v/>
      </c>
      <c r="AG205" s="79">
        <f>IF(Y205="Order now",1,0)</f>
        <v/>
      </c>
      <c r="AH205" s="79">
        <f>IF(OR(Y205="⚠️ Order late — install at risk",Y205="⚠️ Delivery after install date"),1,0)</f>
        <v/>
      </c>
      <c r="AI205" s="79">
        <f>IF(AND(B205&lt;&gt;"",K205&lt;&gt;"",U205&lt;&gt;"Yes",X205&lt;&gt;"Yes"),1,0)</f>
        <v/>
      </c>
      <c r="AJ205" s="79">
        <f>IF(Y205="⚠️ Order late — install at risk",1,0)</f>
        <v/>
      </c>
    </row>
    <row r="206" ht="20" customHeight="1">
      <c r="B206" s="72" t="n"/>
      <c r="C206" s="72" t="n"/>
      <c r="D206" s="72" t="n"/>
      <c r="E206" s="72" t="n"/>
      <c r="F206" s="73" t="n"/>
      <c r="G206" s="72" t="n"/>
      <c r="H206" s="73" t="n"/>
      <c r="I206" s="72" t="n"/>
      <c r="J206" s="73" t="n"/>
      <c r="K206" s="74" t="n"/>
      <c r="L206" s="75">
        <f>IF(K206="A",F206,IF(K206="B",H206,IF(K206="C",J206,"")))</f>
        <v/>
      </c>
      <c r="M206" s="72" t="n"/>
      <c r="N206" s="72" t="n"/>
      <c r="O206" s="89" t="n"/>
      <c r="P206" s="89" t="n"/>
      <c r="Q206" s="109" t="n"/>
      <c r="R206" s="120">
        <f>IF(B206="","",IF(Q206&lt;&gt;"",Q206,IF(P206="","",IFERROR(INDEX('Timeline'!$J$7:$J$1006,MATCH(P206,'Timeline'!$B$7:$B$1006,0)),""))))</f>
        <v/>
      </c>
      <c r="S206" s="126">
        <f>IF(R206="","",R206-IF(O206="",0,O206)-OrderBuf)</f>
        <v/>
      </c>
      <c r="T206" s="126">
        <f>IF(S206="","",S206-DecideBuf)</f>
        <v/>
      </c>
      <c r="U206" s="74" t="n"/>
      <c r="V206" s="109" t="n"/>
      <c r="W206" s="109" t="n"/>
      <c r="X206" s="74" t="n"/>
      <c r="Y206" s="116">
        <f>IF(B206="","",IF(X206="Yes","Delivered",IF(U206="Yes",IF(AND(W206&lt;&gt;"",R206&lt;&gt;""),IF(W206&gt;R206,"⚠️ Delivery after install date","Ordered"),"Ordered"),IF(K206="",IF(T206="","Waiting for decision",IF(T206&lt;=AsOf+AlertDays,"Decide now","Waiting for decision")),IF(S206="","Selected",IF(AsOf&gt;S206,"⚠️ Order late — install at risk",IF(S206&lt;=AsOf+AlertDays,"Order now","Selected")))))))</f>
        <v/>
      </c>
      <c r="Z206" s="79">
        <f>IF(B206="","",IF(OR(AH206=1,AE206=1),2,IF(OR(AG206=1,AF206=1),1,IF(OR(Y206="Ordered",Y206="Delivered"),0,""))))</f>
        <v/>
      </c>
      <c r="AA206" s="112">
        <f>IF(B206="","",IF(AH206=1,IF(Y206="⚠️ Delivery after install date",R206,S206),IF(AD206=1,T206,IF(AI206=1,S206,""))))</f>
        <v/>
      </c>
      <c r="AB206" s="79">
        <f>IF(AA206="","",IF(AH206=1,1,IF(AA206="","",IF(AA206&lt;AsOf,1,IF(AA206&lt;=AsOf+AlertDays,2,IF(AA206&lt;=AsOf+2*AlertDays,3,""))))))</f>
        <v/>
      </c>
      <c r="AC206" s="79">
        <f>IF(AB206="","",IF(AH206=1,IF(Y206="⚠️ Delivery after install date","Delivery after install date: "&amp;B206,"Order late — install at risk: "&amp;B206),IF(AD206=1,IF(AB206=1,"Decision overdue: ","Decide: ")&amp;B206,"Order: "&amp;B206&amp;IF(N206="",""," from "&amp;N206))))</f>
        <v/>
      </c>
      <c r="AD206" s="79">
        <f>IF(AND(B206&lt;&gt;"",K206="",U206&lt;&gt;"Yes",X206&lt;&gt;"Yes"),1,0)</f>
        <v/>
      </c>
      <c r="AE206" s="79">
        <f>IF(AND(AD206=1,T206&lt;&gt;""),IF(T206&lt;AsOf,1,0),0)</f>
        <v/>
      </c>
      <c r="AF206" s="79">
        <f>IF(AND(AD206=1,T206&lt;&gt;""),IF(AND(T206&gt;=AsOf,T206&lt;=AsOf+AlertDays),1,0),0)</f>
        <v/>
      </c>
      <c r="AG206" s="79">
        <f>IF(Y206="Order now",1,0)</f>
        <v/>
      </c>
      <c r="AH206" s="79">
        <f>IF(OR(Y206="⚠️ Order late — install at risk",Y206="⚠️ Delivery after install date"),1,0)</f>
        <v/>
      </c>
      <c r="AI206" s="79">
        <f>IF(AND(B206&lt;&gt;"",K206&lt;&gt;"",U206&lt;&gt;"Yes",X206&lt;&gt;"Yes"),1,0)</f>
        <v/>
      </c>
      <c r="AJ206" s="79">
        <f>IF(Y206="⚠️ Order late — install at risk",1,0)</f>
        <v/>
      </c>
    </row>
    <row r="207" ht="20" customHeight="1">
      <c r="B207" s="72" t="n"/>
      <c r="C207" s="72" t="n"/>
      <c r="D207" s="72" t="n"/>
      <c r="E207" s="72" t="n"/>
      <c r="F207" s="73" t="n"/>
      <c r="G207" s="72" t="n"/>
      <c r="H207" s="73" t="n"/>
      <c r="I207" s="72" t="n"/>
      <c r="J207" s="73" t="n"/>
      <c r="K207" s="74" t="n"/>
      <c r="L207" s="75">
        <f>IF(K207="A",F207,IF(K207="B",H207,IF(K207="C",J207,"")))</f>
        <v/>
      </c>
      <c r="M207" s="72" t="n"/>
      <c r="N207" s="72" t="n"/>
      <c r="O207" s="89" t="n"/>
      <c r="P207" s="89" t="n"/>
      <c r="Q207" s="109" t="n"/>
      <c r="R207" s="120">
        <f>IF(B207="","",IF(Q207&lt;&gt;"",Q207,IF(P207="","",IFERROR(INDEX('Timeline'!$J$7:$J$1006,MATCH(P207,'Timeline'!$B$7:$B$1006,0)),""))))</f>
        <v/>
      </c>
      <c r="S207" s="126">
        <f>IF(R207="","",R207-IF(O207="",0,O207)-OrderBuf)</f>
        <v/>
      </c>
      <c r="T207" s="126">
        <f>IF(S207="","",S207-DecideBuf)</f>
        <v/>
      </c>
      <c r="U207" s="74" t="n"/>
      <c r="V207" s="109" t="n"/>
      <c r="W207" s="109" t="n"/>
      <c r="X207" s="74" t="n"/>
      <c r="Y207" s="116">
        <f>IF(B207="","",IF(X207="Yes","Delivered",IF(U207="Yes",IF(AND(W207&lt;&gt;"",R207&lt;&gt;""),IF(W207&gt;R207,"⚠️ Delivery after install date","Ordered"),"Ordered"),IF(K207="",IF(T207="","Waiting for decision",IF(T207&lt;=AsOf+AlertDays,"Decide now","Waiting for decision")),IF(S207="","Selected",IF(AsOf&gt;S207,"⚠️ Order late — install at risk",IF(S207&lt;=AsOf+AlertDays,"Order now","Selected")))))))</f>
        <v/>
      </c>
      <c r="Z207" s="79">
        <f>IF(B207="","",IF(OR(AH207=1,AE207=1),2,IF(OR(AG207=1,AF207=1),1,IF(OR(Y207="Ordered",Y207="Delivered"),0,""))))</f>
        <v/>
      </c>
      <c r="AA207" s="112">
        <f>IF(B207="","",IF(AH207=1,IF(Y207="⚠️ Delivery after install date",R207,S207),IF(AD207=1,T207,IF(AI207=1,S207,""))))</f>
        <v/>
      </c>
      <c r="AB207" s="79">
        <f>IF(AA207="","",IF(AH207=1,1,IF(AA207="","",IF(AA207&lt;AsOf,1,IF(AA207&lt;=AsOf+AlertDays,2,IF(AA207&lt;=AsOf+2*AlertDays,3,""))))))</f>
        <v/>
      </c>
      <c r="AC207" s="79">
        <f>IF(AB207="","",IF(AH207=1,IF(Y207="⚠️ Delivery after install date","Delivery after install date: "&amp;B207,"Order late — install at risk: "&amp;B207),IF(AD207=1,IF(AB207=1,"Decision overdue: ","Decide: ")&amp;B207,"Order: "&amp;B207&amp;IF(N207="",""," from "&amp;N207))))</f>
        <v/>
      </c>
      <c r="AD207" s="79">
        <f>IF(AND(B207&lt;&gt;"",K207="",U207&lt;&gt;"Yes",X207&lt;&gt;"Yes"),1,0)</f>
        <v/>
      </c>
      <c r="AE207" s="79">
        <f>IF(AND(AD207=1,T207&lt;&gt;""),IF(T207&lt;AsOf,1,0),0)</f>
        <v/>
      </c>
      <c r="AF207" s="79">
        <f>IF(AND(AD207=1,T207&lt;&gt;""),IF(AND(T207&gt;=AsOf,T207&lt;=AsOf+AlertDays),1,0),0)</f>
        <v/>
      </c>
      <c r="AG207" s="79">
        <f>IF(Y207="Order now",1,0)</f>
        <v/>
      </c>
      <c r="AH207" s="79">
        <f>IF(OR(Y207="⚠️ Order late — install at risk",Y207="⚠️ Delivery after install date"),1,0)</f>
        <v/>
      </c>
      <c r="AI207" s="79">
        <f>IF(AND(B207&lt;&gt;"",K207&lt;&gt;"",U207&lt;&gt;"Yes",X207&lt;&gt;"Yes"),1,0)</f>
        <v/>
      </c>
      <c r="AJ207" s="79">
        <f>IF(Y207="⚠️ Order late — install at risk",1,0)</f>
        <v/>
      </c>
    </row>
    <row r="208" ht="20" customHeight="1">
      <c r="B208" s="72" t="n"/>
      <c r="C208" s="72" t="n"/>
      <c r="D208" s="72" t="n"/>
      <c r="E208" s="72" t="n"/>
      <c r="F208" s="73" t="n"/>
      <c r="G208" s="72" t="n"/>
      <c r="H208" s="73" t="n"/>
      <c r="I208" s="72" t="n"/>
      <c r="J208" s="73" t="n"/>
      <c r="K208" s="74" t="n"/>
      <c r="L208" s="75">
        <f>IF(K208="A",F208,IF(K208="B",H208,IF(K208="C",J208,"")))</f>
        <v/>
      </c>
      <c r="M208" s="72" t="n"/>
      <c r="N208" s="72" t="n"/>
      <c r="O208" s="89" t="n"/>
      <c r="P208" s="89" t="n"/>
      <c r="Q208" s="109" t="n"/>
      <c r="R208" s="120">
        <f>IF(B208="","",IF(Q208&lt;&gt;"",Q208,IF(P208="","",IFERROR(INDEX('Timeline'!$J$7:$J$1006,MATCH(P208,'Timeline'!$B$7:$B$1006,0)),""))))</f>
        <v/>
      </c>
      <c r="S208" s="126">
        <f>IF(R208="","",R208-IF(O208="",0,O208)-OrderBuf)</f>
        <v/>
      </c>
      <c r="T208" s="126">
        <f>IF(S208="","",S208-DecideBuf)</f>
        <v/>
      </c>
      <c r="U208" s="74" t="n"/>
      <c r="V208" s="109" t="n"/>
      <c r="W208" s="109" t="n"/>
      <c r="X208" s="74" t="n"/>
      <c r="Y208" s="116">
        <f>IF(B208="","",IF(X208="Yes","Delivered",IF(U208="Yes",IF(AND(W208&lt;&gt;"",R208&lt;&gt;""),IF(W208&gt;R208,"⚠️ Delivery after install date","Ordered"),"Ordered"),IF(K208="",IF(T208="","Waiting for decision",IF(T208&lt;=AsOf+AlertDays,"Decide now","Waiting for decision")),IF(S208="","Selected",IF(AsOf&gt;S208,"⚠️ Order late — install at risk",IF(S208&lt;=AsOf+AlertDays,"Order now","Selected")))))))</f>
        <v/>
      </c>
      <c r="Z208" s="79">
        <f>IF(B208="","",IF(OR(AH208=1,AE208=1),2,IF(OR(AG208=1,AF208=1),1,IF(OR(Y208="Ordered",Y208="Delivered"),0,""))))</f>
        <v/>
      </c>
      <c r="AA208" s="112">
        <f>IF(B208="","",IF(AH208=1,IF(Y208="⚠️ Delivery after install date",R208,S208),IF(AD208=1,T208,IF(AI208=1,S208,""))))</f>
        <v/>
      </c>
      <c r="AB208" s="79">
        <f>IF(AA208="","",IF(AH208=1,1,IF(AA208="","",IF(AA208&lt;AsOf,1,IF(AA208&lt;=AsOf+AlertDays,2,IF(AA208&lt;=AsOf+2*AlertDays,3,""))))))</f>
        <v/>
      </c>
      <c r="AC208" s="79">
        <f>IF(AB208="","",IF(AH208=1,IF(Y208="⚠️ Delivery after install date","Delivery after install date: "&amp;B208,"Order late — install at risk: "&amp;B208),IF(AD208=1,IF(AB208=1,"Decision overdue: ","Decide: ")&amp;B208,"Order: "&amp;B208&amp;IF(N208="",""," from "&amp;N208))))</f>
        <v/>
      </c>
      <c r="AD208" s="79">
        <f>IF(AND(B208&lt;&gt;"",K208="",U208&lt;&gt;"Yes",X208&lt;&gt;"Yes"),1,0)</f>
        <v/>
      </c>
      <c r="AE208" s="79">
        <f>IF(AND(AD208=1,T208&lt;&gt;""),IF(T208&lt;AsOf,1,0),0)</f>
        <v/>
      </c>
      <c r="AF208" s="79">
        <f>IF(AND(AD208=1,T208&lt;&gt;""),IF(AND(T208&gt;=AsOf,T208&lt;=AsOf+AlertDays),1,0),0)</f>
        <v/>
      </c>
      <c r="AG208" s="79">
        <f>IF(Y208="Order now",1,0)</f>
        <v/>
      </c>
      <c r="AH208" s="79">
        <f>IF(OR(Y208="⚠️ Order late — install at risk",Y208="⚠️ Delivery after install date"),1,0)</f>
        <v/>
      </c>
      <c r="AI208" s="79">
        <f>IF(AND(B208&lt;&gt;"",K208&lt;&gt;"",U208&lt;&gt;"Yes",X208&lt;&gt;"Yes"),1,0)</f>
        <v/>
      </c>
      <c r="AJ208" s="79">
        <f>IF(Y208="⚠️ Order late — install at risk",1,0)</f>
        <v/>
      </c>
    </row>
    <row r="209" ht="20" customHeight="1">
      <c r="B209" s="72" t="n"/>
      <c r="C209" s="72" t="n"/>
      <c r="D209" s="72" t="n"/>
      <c r="E209" s="72" t="n"/>
      <c r="F209" s="73" t="n"/>
      <c r="G209" s="72" t="n"/>
      <c r="H209" s="73" t="n"/>
      <c r="I209" s="72" t="n"/>
      <c r="J209" s="73" t="n"/>
      <c r="K209" s="74" t="n"/>
      <c r="L209" s="75">
        <f>IF(K209="A",F209,IF(K209="B",H209,IF(K209="C",J209,"")))</f>
        <v/>
      </c>
      <c r="M209" s="72" t="n"/>
      <c r="N209" s="72" t="n"/>
      <c r="O209" s="89" t="n"/>
      <c r="P209" s="89" t="n"/>
      <c r="Q209" s="109" t="n"/>
      <c r="R209" s="120">
        <f>IF(B209="","",IF(Q209&lt;&gt;"",Q209,IF(P209="","",IFERROR(INDEX('Timeline'!$J$7:$J$1006,MATCH(P209,'Timeline'!$B$7:$B$1006,0)),""))))</f>
        <v/>
      </c>
      <c r="S209" s="126">
        <f>IF(R209="","",R209-IF(O209="",0,O209)-OrderBuf)</f>
        <v/>
      </c>
      <c r="T209" s="126">
        <f>IF(S209="","",S209-DecideBuf)</f>
        <v/>
      </c>
      <c r="U209" s="74" t="n"/>
      <c r="V209" s="109" t="n"/>
      <c r="W209" s="109" t="n"/>
      <c r="X209" s="74" t="n"/>
      <c r="Y209" s="116">
        <f>IF(B209="","",IF(X209="Yes","Delivered",IF(U209="Yes",IF(AND(W209&lt;&gt;"",R209&lt;&gt;""),IF(W209&gt;R209,"⚠️ Delivery after install date","Ordered"),"Ordered"),IF(K209="",IF(T209="","Waiting for decision",IF(T209&lt;=AsOf+AlertDays,"Decide now","Waiting for decision")),IF(S209="","Selected",IF(AsOf&gt;S209,"⚠️ Order late — install at risk",IF(S209&lt;=AsOf+AlertDays,"Order now","Selected")))))))</f>
        <v/>
      </c>
      <c r="Z209" s="79">
        <f>IF(B209="","",IF(OR(AH209=1,AE209=1),2,IF(OR(AG209=1,AF209=1),1,IF(OR(Y209="Ordered",Y209="Delivered"),0,""))))</f>
        <v/>
      </c>
      <c r="AA209" s="112">
        <f>IF(B209="","",IF(AH209=1,IF(Y209="⚠️ Delivery after install date",R209,S209),IF(AD209=1,T209,IF(AI209=1,S209,""))))</f>
        <v/>
      </c>
      <c r="AB209" s="79">
        <f>IF(AA209="","",IF(AH209=1,1,IF(AA209="","",IF(AA209&lt;AsOf,1,IF(AA209&lt;=AsOf+AlertDays,2,IF(AA209&lt;=AsOf+2*AlertDays,3,""))))))</f>
        <v/>
      </c>
      <c r="AC209" s="79">
        <f>IF(AB209="","",IF(AH209=1,IF(Y209="⚠️ Delivery after install date","Delivery after install date: "&amp;B209,"Order late — install at risk: "&amp;B209),IF(AD209=1,IF(AB209=1,"Decision overdue: ","Decide: ")&amp;B209,"Order: "&amp;B209&amp;IF(N209="",""," from "&amp;N209))))</f>
        <v/>
      </c>
      <c r="AD209" s="79">
        <f>IF(AND(B209&lt;&gt;"",K209="",U209&lt;&gt;"Yes",X209&lt;&gt;"Yes"),1,0)</f>
        <v/>
      </c>
      <c r="AE209" s="79">
        <f>IF(AND(AD209=1,T209&lt;&gt;""),IF(T209&lt;AsOf,1,0),0)</f>
        <v/>
      </c>
      <c r="AF209" s="79">
        <f>IF(AND(AD209=1,T209&lt;&gt;""),IF(AND(T209&gt;=AsOf,T209&lt;=AsOf+AlertDays),1,0),0)</f>
        <v/>
      </c>
      <c r="AG209" s="79">
        <f>IF(Y209="Order now",1,0)</f>
        <v/>
      </c>
      <c r="AH209" s="79">
        <f>IF(OR(Y209="⚠️ Order late — install at risk",Y209="⚠️ Delivery after install date"),1,0)</f>
        <v/>
      </c>
      <c r="AI209" s="79">
        <f>IF(AND(B209&lt;&gt;"",K209&lt;&gt;"",U209&lt;&gt;"Yes",X209&lt;&gt;"Yes"),1,0)</f>
        <v/>
      </c>
      <c r="AJ209" s="79">
        <f>IF(Y209="⚠️ Order late — install at risk",1,0)</f>
        <v/>
      </c>
    </row>
    <row r="210" ht="20" customHeight="1">
      <c r="B210" s="72" t="n"/>
      <c r="C210" s="72" t="n"/>
      <c r="D210" s="72" t="n"/>
      <c r="E210" s="72" t="n"/>
      <c r="F210" s="73" t="n"/>
      <c r="G210" s="72" t="n"/>
      <c r="H210" s="73" t="n"/>
      <c r="I210" s="72" t="n"/>
      <c r="J210" s="73" t="n"/>
      <c r="K210" s="74" t="n"/>
      <c r="L210" s="75">
        <f>IF(K210="A",F210,IF(K210="B",H210,IF(K210="C",J210,"")))</f>
        <v/>
      </c>
      <c r="M210" s="72" t="n"/>
      <c r="N210" s="72" t="n"/>
      <c r="O210" s="89" t="n"/>
      <c r="P210" s="89" t="n"/>
      <c r="Q210" s="109" t="n"/>
      <c r="R210" s="120">
        <f>IF(B210="","",IF(Q210&lt;&gt;"",Q210,IF(P210="","",IFERROR(INDEX('Timeline'!$J$7:$J$1006,MATCH(P210,'Timeline'!$B$7:$B$1006,0)),""))))</f>
        <v/>
      </c>
      <c r="S210" s="126">
        <f>IF(R210="","",R210-IF(O210="",0,O210)-OrderBuf)</f>
        <v/>
      </c>
      <c r="T210" s="126">
        <f>IF(S210="","",S210-DecideBuf)</f>
        <v/>
      </c>
      <c r="U210" s="74" t="n"/>
      <c r="V210" s="109" t="n"/>
      <c r="W210" s="109" t="n"/>
      <c r="X210" s="74" t="n"/>
      <c r="Y210" s="116">
        <f>IF(B210="","",IF(X210="Yes","Delivered",IF(U210="Yes",IF(AND(W210&lt;&gt;"",R210&lt;&gt;""),IF(W210&gt;R210,"⚠️ Delivery after install date","Ordered"),"Ordered"),IF(K210="",IF(T210="","Waiting for decision",IF(T210&lt;=AsOf+AlertDays,"Decide now","Waiting for decision")),IF(S210="","Selected",IF(AsOf&gt;S210,"⚠️ Order late — install at risk",IF(S210&lt;=AsOf+AlertDays,"Order now","Selected")))))))</f>
        <v/>
      </c>
      <c r="Z210" s="79">
        <f>IF(B210="","",IF(OR(AH210=1,AE210=1),2,IF(OR(AG210=1,AF210=1),1,IF(OR(Y210="Ordered",Y210="Delivered"),0,""))))</f>
        <v/>
      </c>
      <c r="AA210" s="112">
        <f>IF(B210="","",IF(AH210=1,IF(Y210="⚠️ Delivery after install date",R210,S210),IF(AD210=1,T210,IF(AI210=1,S210,""))))</f>
        <v/>
      </c>
      <c r="AB210" s="79">
        <f>IF(AA210="","",IF(AH210=1,1,IF(AA210="","",IF(AA210&lt;AsOf,1,IF(AA210&lt;=AsOf+AlertDays,2,IF(AA210&lt;=AsOf+2*AlertDays,3,""))))))</f>
        <v/>
      </c>
      <c r="AC210" s="79">
        <f>IF(AB210="","",IF(AH210=1,IF(Y210="⚠️ Delivery after install date","Delivery after install date: "&amp;B210,"Order late — install at risk: "&amp;B210),IF(AD210=1,IF(AB210=1,"Decision overdue: ","Decide: ")&amp;B210,"Order: "&amp;B210&amp;IF(N210="",""," from "&amp;N210))))</f>
        <v/>
      </c>
      <c r="AD210" s="79">
        <f>IF(AND(B210&lt;&gt;"",K210="",U210&lt;&gt;"Yes",X210&lt;&gt;"Yes"),1,0)</f>
        <v/>
      </c>
      <c r="AE210" s="79">
        <f>IF(AND(AD210=1,T210&lt;&gt;""),IF(T210&lt;AsOf,1,0),0)</f>
        <v/>
      </c>
      <c r="AF210" s="79">
        <f>IF(AND(AD210=1,T210&lt;&gt;""),IF(AND(T210&gt;=AsOf,T210&lt;=AsOf+AlertDays),1,0),0)</f>
        <v/>
      </c>
      <c r="AG210" s="79">
        <f>IF(Y210="Order now",1,0)</f>
        <v/>
      </c>
      <c r="AH210" s="79">
        <f>IF(OR(Y210="⚠️ Order late — install at risk",Y210="⚠️ Delivery after install date"),1,0)</f>
        <v/>
      </c>
      <c r="AI210" s="79">
        <f>IF(AND(B210&lt;&gt;"",K210&lt;&gt;"",U210&lt;&gt;"Yes",X210&lt;&gt;"Yes"),1,0)</f>
        <v/>
      </c>
      <c r="AJ210" s="79">
        <f>IF(Y210="⚠️ Order late — install at risk",1,0)</f>
        <v/>
      </c>
    </row>
    <row r="211" ht="20" customHeight="1">
      <c r="B211" s="72" t="n"/>
      <c r="C211" s="72" t="n"/>
      <c r="D211" s="72" t="n"/>
      <c r="E211" s="72" t="n"/>
      <c r="F211" s="73" t="n"/>
      <c r="G211" s="72" t="n"/>
      <c r="H211" s="73" t="n"/>
      <c r="I211" s="72" t="n"/>
      <c r="J211" s="73" t="n"/>
      <c r="K211" s="74" t="n"/>
      <c r="L211" s="75">
        <f>IF(K211="A",F211,IF(K211="B",H211,IF(K211="C",J211,"")))</f>
        <v/>
      </c>
      <c r="M211" s="72" t="n"/>
      <c r="N211" s="72" t="n"/>
      <c r="O211" s="89" t="n"/>
      <c r="P211" s="89" t="n"/>
      <c r="Q211" s="109" t="n"/>
      <c r="R211" s="120">
        <f>IF(B211="","",IF(Q211&lt;&gt;"",Q211,IF(P211="","",IFERROR(INDEX('Timeline'!$J$7:$J$1006,MATCH(P211,'Timeline'!$B$7:$B$1006,0)),""))))</f>
        <v/>
      </c>
      <c r="S211" s="126">
        <f>IF(R211="","",R211-IF(O211="",0,O211)-OrderBuf)</f>
        <v/>
      </c>
      <c r="T211" s="126">
        <f>IF(S211="","",S211-DecideBuf)</f>
        <v/>
      </c>
      <c r="U211" s="74" t="n"/>
      <c r="V211" s="109" t="n"/>
      <c r="W211" s="109" t="n"/>
      <c r="X211" s="74" t="n"/>
      <c r="Y211" s="116">
        <f>IF(B211="","",IF(X211="Yes","Delivered",IF(U211="Yes",IF(AND(W211&lt;&gt;"",R211&lt;&gt;""),IF(W211&gt;R211,"⚠️ Delivery after install date","Ordered"),"Ordered"),IF(K211="",IF(T211="","Waiting for decision",IF(T211&lt;=AsOf+AlertDays,"Decide now","Waiting for decision")),IF(S211="","Selected",IF(AsOf&gt;S211,"⚠️ Order late — install at risk",IF(S211&lt;=AsOf+AlertDays,"Order now","Selected")))))))</f>
        <v/>
      </c>
      <c r="Z211" s="79">
        <f>IF(B211="","",IF(OR(AH211=1,AE211=1),2,IF(OR(AG211=1,AF211=1),1,IF(OR(Y211="Ordered",Y211="Delivered"),0,""))))</f>
        <v/>
      </c>
      <c r="AA211" s="112">
        <f>IF(B211="","",IF(AH211=1,IF(Y211="⚠️ Delivery after install date",R211,S211),IF(AD211=1,T211,IF(AI211=1,S211,""))))</f>
        <v/>
      </c>
      <c r="AB211" s="79">
        <f>IF(AA211="","",IF(AH211=1,1,IF(AA211="","",IF(AA211&lt;AsOf,1,IF(AA211&lt;=AsOf+AlertDays,2,IF(AA211&lt;=AsOf+2*AlertDays,3,""))))))</f>
        <v/>
      </c>
      <c r="AC211" s="79">
        <f>IF(AB211="","",IF(AH211=1,IF(Y211="⚠️ Delivery after install date","Delivery after install date: "&amp;B211,"Order late — install at risk: "&amp;B211),IF(AD211=1,IF(AB211=1,"Decision overdue: ","Decide: ")&amp;B211,"Order: "&amp;B211&amp;IF(N211="",""," from "&amp;N211))))</f>
        <v/>
      </c>
      <c r="AD211" s="79">
        <f>IF(AND(B211&lt;&gt;"",K211="",U211&lt;&gt;"Yes",X211&lt;&gt;"Yes"),1,0)</f>
        <v/>
      </c>
      <c r="AE211" s="79">
        <f>IF(AND(AD211=1,T211&lt;&gt;""),IF(T211&lt;AsOf,1,0),0)</f>
        <v/>
      </c>
      <c r="AF211" s="79">
        <f>IF(AND(AD211=1,T211&lt;&gt;""),IF(AND(T211&gt;=AsOf,T211&lt;=AsOf+AlertDays),1,0),0)</f>
        <v/>
      </c>
      <c r="AG211" s="79">
        <f>IF(Y211="Order now",1,0)</f>
        <v/>
      </c>
      <c r="AH211" s="79">
        <f>IF(OR(Y211="⚠️ Order late — install at risk",Y211="⚠️ Delivery after install date"),1,0)</f>
        <v/>
      </c>
      <c r="AI211" s="79">
        <f>IF(AND(B211&lt;&gt;"",K211&lt;&gt;"",U211&lt;&gt;"Yes",X211&lt;&gt;"Yes"),1,0)</f>
        <v/>
      </c>
      <c r="AJ211" s="79">
        <f>IF(Y211="⚠️ Order late — install at risk",1,0)</f>
        <v/>
      </c>
    </row>
    <row r="212" ht="20" customHeight="1">
      <c r="B212" s="72" t="n"/>
      <c r="C212" s="72" t="n"/>
      <c r="D212" s="72" t="n"/>
      <c r="E212" s="72" t="n"/>
      <c r="F212" s="73" t="n"/>
      <c r="G212" s="72" t="n"/>
      <c r="H212" s="73" t="n"/>
      <c r="I212" s="72" t="n"/>
      <c r="J212" s="73" t="n"/>
      <c r="K212" s="74" t="n"/>
      <c r="L212" s="75">
        <f>IF(K212="A",F212,IF(K212="B",H212,IF(K212="C",J212,"")))</f>
        <v/>
      </c>
      <c r="M212" s="72" t="n"/>
      <c r="N212" s="72" t="n"/>
      <c r="O212" s="89" t="n"/>
      <c r="P212" s="89" t="n"/>
      <c r="Q212" s="109" t="n"/>
      <c r="R212" s="120">
        <f>IF(B212="","",IF(Q212&lt;&gt;"",Q212,IF(P212="","",IFERROR(INDEX('Timeline'!$J$7:$J$1006,MATCH(P212,'Timeline'!$B$7:$B$1006,0)),""))))</f>
        <v/>
      </c>
      <c r="S212" s="126">
        <f>IF(R212="","",R212-IF(O212="",0,O212)-OrderBuf)</f>
        <v/>
      </c>
      <c r="T212" s="126">
        <f>IF(S212="","",S212-DecideBuf)</f>
        <v/>
      </c>
      <c r="U212" s="74" t="n"/>
      <c r="V212" s="109" t="n"/>
      <c r="W212" s="109" t="n"/>
      <c r="X212" s="74" t="n"/>
      <c r="Y212" s="116">
        <f>IF(B212="","",IF(X212="Yes","Delivered",IF(U212="Yes",IF(AND(W212&lt;&gt;"",R212&lt;&gt;""),IF(W212&gt;R212,"⚠️ Delivery after install date","Ordered"),"Ordered"),IF(K212="",IF(T212="","Waiting for decision",IF(T212&lt;=AsOf+AlertDays,"Decide now","Waiting for decision")),IF(S212="","Selected",IF(AsOf&gt;S212,"⚠️ Order late — install at risk",IF(S212&lt;=AsOf+AlertDays,"Order now","Selected")))))))</f>
        <v/>
      </c>
      <c r="Z212" s="79">
        <f>IF(B212="","",IF(OR(AH212=1,AE212=1),2,IF(OR(AG212=1,AF212=1),1,IF(OR(Y212="Ordered",Y212="Delivered"),0,""))))</f>
        <v/>
      </c>
      <c r="AA212" s="112">
        <f>IF(B212="","",IF(AH212=1,IF(Y212="⚠️ Delivery after install date",R212,S212),IF(AD212=1,T212,IF(AI212=1,S212,""))))</f>
        <v/>
      </c>
      <c r="AB212" s="79">
        <f>IF(AA212="","",IF(AH212=1,1,IF(AA212="","",IF(AA212&lt;AsOf,1,IF(AA212&lt;=AsOf+AlertDays,2,IF(AA212&lt;=AsOf+2*AlertDays,3,""))))))</f>
        <v/>
      </c>
      <c r="AC212" s="79">
        <f>IF(AB212="","",IF(AH212=1,IF(Y212="⚠️ Delivery after install date","Delivery after install date: "&amp;B212,"Order late — install at risk: "&amp;B212),IF(AD212=1,IF(AB212=1,"Decision overdue: ","Decide: ")&amp;B212,"Order: "&amp;B212&amp;IF(N212="",""," from "&amp;N212))))</f>
        <v/>
      </c>
      <c r="AD212" s="79">
        <f>IF(AND(B212&lt;&gt;"",K212="",U212&lt;&gt;"Yes",X212&lt;&gt;"Yes"),1,0)</f>
        <v/>
      </c>
      <c r="AE212" s="79">
        <f>IF(AND(AD212=1,T212&lt;&gt;""),IF(T212&lt;AsOf,1,0),0)</f>
        <v/>
      </c>
      <c r="AF212" s="79">
        <f>IF(AND(AD212=1,T212&lt;&gt;""),IF(AND(T212&gt;=AsOf,T212&lt;=AsOf+AlertDays),1,0),0)</f>
        <v/>
      </c>
      <c r="AG212" s="79">
        <f>IF(Y212="Order now",1,0)</f>
        <v/>
      </c>
      <c r="AH212" s="79">
        <f>IF(OR(Y212="⚠️ Order late — install at risk",Y212="⚠️ Delivery after install date"),1,0)</f>
        <v/>
      </c>
      <c r="AI212" s="79">
        <f>IF(AND(B212&lt;&gt;"",K212&lt;&gt;"",U212&lt;&gt;"Yes",X212&lt;&gt;"Yes"),1,0)</f>
        <v/>
      </c>
      <c r="AJ212" s="79">
        <f>IF(Y212="⚠️ Order late — install at risk",1,0)</f>
        <v/>
      </c>
    </row>
    <row r="213" ht="20" customHeight="1">
      <c r="B213" s="72" t="n"/>
      <c r="C213" s="72" t="n"/>
      <c r="D213" s="72" t="n"/>
      <c r="E213" s="72" t="n"/>
      <c r="F213" s="73" t="n"/>
      <c r="G213" s="72" t="n"/>
      <c r="H213" s="73" t="n"/>
      <c r="I213" s="72" t="n"/>
      <c r="J213" s="73" t="n"/>
      <c r="K213" s="74" t="n"/>
      <c r="L213" s="75">
        <f>IF(K213="A",F213,IF(K213="B",H213,IF(K213="C",J213,"")))</f>
        <v/>
      </c>
      <c r="M213" s="72" t="n"/>
      <c r="N213" s="72" t="n"/>
      <c r="O213" s="89" t="n"/>
      <c r="P213" s="89" t="n"/>
      <c r="Q213" s="109" t="n"/>
      <c r="R213" s="120">
        <f>IF(B213="","",IF(Q213&lt;&gt;"",Q213,IF(P213="","",IFERROR(INDEX('Timeline'!$J$7:$J$1006,MATCH(P213,'Timeline'!$B$7:$B$1006,0)),""))))</f>
        <v/>
      </c>
      <c r="S213" s="126">
        <f>IF(R213="","",R213-IF(O213="",0,O213)-OrderBuf)</f>
        <v/>
      </c>
      <c r="T213" s="126">
        <f>IF(S213="","",S213-DecideBuf)</f>
        <v/>
      </c>
      <c r="U213" s="74" t="n"/>
      <c r="V213" s="109" t="n"/>
      <c r="W213" s="109" t="n"/>
      <c r="X213" s="74" t="n"/>
      <c r="Y213" s="116">
        <f>IF(B213="","",IF(X213="Yes","Delivered",IF(U213="Yes",IF(AND(W213&lt;&gt;"",R213&lt;&gt;""),IF(W213&gt;R213,"⚠️ Delivery after install date","Ordered"),"Ordered"),IF(K213="",IF(T213="","Waiting for decision",IF(T213&lt;=AsOf+AlertDays,"Decide now","Waiting for decision")),IF(S213="","Selected",IF(AsOf&gt;S213,"⚠️ Order late — install at risk",IF(S213&lt;=AsOf+AlertDays,"Order now","Selected")))))))</f>
        <v/>
      </c>
      <c r="Z213" s="79">
        <f>IF(B213="","",IF(OR(AH213=1,AE213=1),2,IF(OR(AG213=1,AF213=1),1,IF(OR(Y213="Ordered",Y213="Delivered"),0,""))))</f>
        <v/>
      </c>
      <c r="AA213" s="112">
        <f>IF(B213="","",IF(AH213=1,IF(Y213="⚠️ Delivery after install date",R213,S213),IF(AD213=1,T213,IF(AI213=1,S213,""))))</f>
        <v/>
      </c>
      <c r="AB213" s="79">
        <f>IF(AA213="","",IF(AH213=1,1,IF(AA213="","",IF(AA213&lt;AsOf,1,IF(AA213&lt;=AsOf+AlertDays,2,IF(AA213&lt;=AsOf+2*AlertDays,3,""))))))</f>
        <v/>
      </c>
      <c r="AC213" s="79">
        <f>IF(AB213="","",IF(AH213=1,IF(Y213="⚠️ Delivery after install date","Delivery after install date: "&amp;B213,"Order late — install at risk: "&amp;B213),IF(AD213=1,IF(AB213=1,"Decision overdue: ","Decide: ")&amp;B213,"Order: "&amp;B213&amp;IF(N213="",""," from "&amp;N213))))</f>
        <v/>
      </c>
      <c r="AD213" s="79">
        <f>IF(AND(B213&lt;&gt;"",K213="",U213&lt;&gt;"Yes",X213&lt;&gt;"Yes"),1,0)</f>
        <v/>
      </c>
      <c r="AE213" s="79">
        <f>IF(AND(AD213=1,T213&lt;&gt;""),IF(T213&lt;AsOf,1,0),0)</f>
        <v/>
      </c>
      <c r="AF213" s="79">
        <f>IF(AND(AD213=1,T213&lt;&gt;""),IF(AND(T213&gt;=AsOf,T213&lt;=AsOf+AlertDays),1,0),0)</f>
        <v/>
      </c>
      <c r="AG213" s="79">
        <f>IF(Y213="Order now",1,0)</f>
        <v/>
      </c>
      <c r="AH213" s="79">
        <f>IF(OR(Y213="⚠️ Order late — install at risk",Y213="⚠️ Delivery after install date"),1,0)</f>
        <v/>
      </c>
      <c r="AI213" s="79">
        <f>IF(AND(B213&lt;&gt;"",K213&lt;&gt;"",U213&lt;&gt;"Yes",X213&lt;&gt;"Yes"),1,0)</f>
        <v/>
      </c>
      <c r="AJ213" s="79">
        <f>IF(Y213="⚠️ Order late — install at risk",1,0)</f>
        <v/>
      </c>
    </row>
    <row r="214" ht="20" customHeight="1">
      <c r="B214" s="72" t="n"/>
      <c r="C214" s="72" t="n"/>
      <c r="D214" s="72" t="n"/>
      <c r="E214" s="72" t="n"/>
      <c r="F214" s="73" t="n"/>
      <c r="G214" s="72" t="n"/>
      <c r="H214" s="73" t="n"/>
      <c r="I214" s="72" t="n"/>
      <c r="J214" s="73" t="n"/>
      <c r="K214" s="74" t="n"/>
      <c r="L214" s="75">
        <f>IF(K214="A",F214,IF(K214="B",H214,IF(K214="C",J214,"")))</f>
        <v/>
      </c>
      <c r="M214" s="72" t="n"/>
      <c r="N214" s="72" t="n"/>
      <c r="O214" s="89" t="n"/>
      <c r="P214" s="89" t="n"/>
      <c r="Q214" s="109" t="n"/>
      <c r="R214" s="120">
        <f>IF(B214="","",IF(Q214&lt;&gt;"",Q214,IF(P214="","",IFERROR(INDEX('Timeline'!$J$7:$J$1006,MATCH(P214,'Timeline'!$B$7:$B$1006,0)),""))))</f>
        <v/>
      </c>
      <c r="S214" s="126">
        <f>IF(R214="","",R214-IF(O214="",0,O214)-OrderBuf)</f>
        <v/>
      </c>
      <c r="T214" s="126">
        <f>IF(S214="","",S214-DecideBuf)</f>
        <v/>
      </c>
      <c r="U214" s="74" t="n"/>
      <c r="V214" s="109" t="n"/>
      <c r="W214" s="109" t="n"/>
      <c r="X214" s="74" t="n"/>
      <c r="Y214" s="116">
        <f>IF(B214="","",IF(X214="Yes","Delivered",IF(U214="Yes",IF(AND(W214&lt;&gt;"",R214&lt;&gt;""),IF(W214&gt;R214,"⚠️ Delivery after install date","Ordered"),"Ordered"),IF(K214="",IF(T214="","Waiting for decision",IF(T214&lt;=AsOf+AlertDays,"Decide now","Waiting for decision")),IF(S214="","Selected",IF(AsOf&gt;S214,"⚠️ Order late — install at risk",IF(S214&lt;=AsOf+AlertDays,"Order now","Selected")))))))</f>
        <v/>
      </c>
      <c r="Z214" s="79">
        <f>IF(B214="","",IF(OR(AH214=1,AE214=1),2,IF(OR(AG214=1,AF214=1),1,IF(OR(Y214="Ordered",Y214="Delivered"),0,""))))</f>
        <v/>
      </c>
      <c r="AA214" s="112">
        <f>IF(B214="","",IF(AH214=1,IF(Y214="⚠️ Delivery after install date",R214,S214),IF(AD214=1,T214,IF(AI214=1,S214,""))))</f>
        <v/>
      </c>
      <c r="AB214" s="79">
        <f>IF(AA214="","",IF(AH214=1,1,IF(AA214="","",IF(AA214&lt;AsOf,1,IF(AA214&lt;=AsOf+AlertDays,2,IF(AA214&lt;=AsOf+2*AlertDays,3,""))))))</f>
        <v/>
      </c>
      <c r="AC214" s="79">
        <f>IF(AB214="","",IF(AH214=1,IF(Y214="⚠️ Delivery after install date","Delivery after install date: "&amp;B214,"Order late — install at risk: "&amp;B214),IF(AD214=1,IF(AB214=1,"Decision overdue: ","Decide: ")&amp;B214,"Order: "&amp;B214&amp;IF(N214="",""," from "&amp;N214))))</f>
        <v/>
      </c>
      <c r="AD214" s="79">
        <f>IF(AND(B214&lt;&gt;"",K214="",U214&lt;&gt;"Yes",X214&lt;&gt;"Yes"),1,0)</f>
        <v/>
      </c>
      <c r="AE214" s="79">
        <f>IF(AND(AD214=1,T214&lt;&gt;""),IF(T214&lt;AsOf,1,0),0)</f>
        <v/>
      </c>
      <c r="AF214" s="79">
        <f>IF(AND(AD214=1,T214&lt;&gt;""),IF(AND(T214&gt;=AsOf,T214&lt;=AsOf+AlertDays),1,0),0)</f>
        <v/>
      </c>
      <c r="AG214" s="79">
        <f>IF(Y214="Order now",1,0)</f>
        <v/>
      </c>
      <c r="AH214" s="79">
        <f>IF(OR(Y214="⚠️ Order late — install at risk",Y214="⚠️ Delivery after install date"),1,0)</f>
        <v/>
      </c>
      <c r="AI214" s="79">
        <f>IF(AND(B214&lt;&gt;"",K214&lt;&gt;"",U214&lt;&gt;"Yes",X214&lt;&gt;"Yes"),1,0)</f>
        <v/>
      </c>
      <c r="AJ214" s="79">
        <f>IF(Y214="⚠️ Order late — install at risk",1,0)</f>
        <v/>
      </c>
    </row>
    <row r="215" ht="20" customHeight="1">
      <c r="B215" s="72" t="n"/>
      <c r="C215" s="72" t="n"/>
      <c r="D215" s="72" t="n"/>
      <c r="E215" s="72" t="n"/>
      <c r="F215" s="73" t="n"/>
      <c r="G215" s="72" t="n"/>
      <c r="H215" s="73" t="n"/>
      <c r="I215" s="72" t="n"/>
      <c r="J215" s="73" t="n"/>
      <c r="K215" s="74" t="n"/>
      <c r="L215" s="75">
        <f>IF(K215="A",F215,IF(K215="B",H215,IF(K215="C",J215,"")))</f>
        <v/>
      </c>
      <c r="M215" s="72" t="n"/>
      <c r="N215" s="72" t="n"/>
      <c r="O215" s="89" t="n"/>
      <c r="P215" s="89" t="n"/>
      <c r="Q215" s="109" t="n"/>
      <c r="R215" s="120">
        <f>IF(B215="","",IF(Q215&lt;&gt;"",Q215,IF(P215="","",IFERROR(INDEX('Timeline'!$J$7:$J$1006,MATCH(P215,'Timeline'!$B$7:$B$1006,0)),""))))</f>
        <v/>
      </c>
      <c r="S215" s="126">
        <f>IF(R215="","",R215-IF(O215="",0,O215)-OrderBuf)</f>
        <v/>
      </c>
      <c r="T215" s="126">
        <f>IF(S215="","",S215-DecideBuf)</f>
        <v/>
      </c>
      <c r="U215" s="74" t="n"/>
      <c r="V215" s="109" t="n"/>
      <c r="W215" s="109" t="n"/>
      <c r="X215" s="74" t="n"/>
      <c r="Y215" s="116">
        <f>IF(B215="","",IF(X215="Yes","Delivered",IF(U215="Yes",IF(AND(W215&lt;&gt;"",R215&lt;&gt;""),IF(W215&gt;R215,"⚠️ Delivery after install date","Ordered"),"Ordered"),IF(K215="",IF(T215="","Waiting for decision",IF(T215&lt;=AsOf+AlertDays,"Decide now","Waiting for decision")),IF(S215="","Selected",IF(AsOf&gt;S215,"⚠️ Order late — install at risk",IF(S215&lt;=AsOf+AlertDays,"Order now","Selected")))))))</f>
        <v/>
      </c>
      <c r="Z215" s="79">
        <f>IF(B215="","",IF(OR(AH215=1,AE215=1),2,IF(OR(AG215=1,AF215=1),1,IF(OR(Y215="Ordered",Y215="Delivered"),0,""))))</f>
        <v/>
      </c>
      <c r="AA215" s="112">
        <f>IF(B215="","",IF(AH215=1,IF(Y215="⚠️ Delivery after install date",R215,S215),IF(AD215=1,T215,IF(AI215=1,S215,""))))</f>
        <v/>
      </c>
      <c r="AB215" s="79">
        <f>IF(AA215="","",IF(AH215=1,1,IF(AA215="","",IF(AA215&lt;AsOf,1,IF(AA215&lt;=AsOf+AlertDays,2,IF(AA215&lt;=AsOf+2*AlertDays,3,""))))))</f>
        <v/>
      </c>
      <c r="AC215" s="79">
        <f>IF(AB215="","",IF(AH215=1,IF(Y215="⚠️ Delivery after install date","Delivery after install date: "&amp;B215,"Order late — install at risk: "&amp;B215),IF(AD215=1,IF(AB215=1,"Decision overdue: ","Decide: ")&amp;B215,"Order: "&amp;B215&amp;IF(N215="",""," from "&amp;N215))))</f>
        <v/>
      </c>
      <c r="AD215" s="79">
        <f>IF(AND(B215&lt;&gt;"",K215="",U215&lt;&gt;"Yes",X215&lt;&gt;"Yes"),1,0)</f>
        <v/>
      </c>
      <c r="AE215" s="79">
        <f>IF(AND(AD215=1,T215&lt;&gt;""),IF(T215&lt;AsOf,1,0),0)</f>
        <v/>
      </c>
      <c r="AF215" s="79">
        <f>IF(AND(AD215=1,T215&lt;&gt;""),IF(AND(T215&gt;=AsOf,T215&lt;=AsOf+AlertDays),1,0),0)</f>
        <v/>
      </c>
      <c r="AG215" s="79">
        <f>IF(Y215="Order now",1,0)</f>
        <v/>
      </c>
      <c r="AH215" s="79">
        <f>IF(OR(Y215="⚠️ Order late — install at risk",Y215="⚠️ Delivery after install date"),1,0)</f>
        <v/>
      </c>
      <c r="AI215" s="79">
        <f>IF(AND(B215&lt;&gt;"",K215&lt;&gt;"",U215&lt;&gt;"Yes",X215&lt;&gt;"Yes"),1,0)</f>
        <v/>
      </c>
      <c r="AJ215" s="79">
        <f>IF(Y215="⚠️ Order late — install at risk",1,0)</f>
        <v/>
      </c>
    </row>
    <row r="216" ht="20" customHeight="1">
      <c r="B216" s="72" t="n"/>
      <c r="C216" s="72" t="n"/>
      <c r="D216" s="72" t="n"/>
      <c r="E216" s="72" t="n"/>
      <c r="F216" s="73" t="n"/>
      <c r="G216" s="72" t="n"/>
      <c r="H216" s="73" t="n"/>
      <c r="I216" s="72" t="n"/>
      <c r="J216" s="73" t="n"/>
      <c r="K216" s="74" t="n"/>
      <c r="L216" s="75">
        <f>IF(K216="A",F216,IF(K216="B",H216,IF(K216="C",J216,"")))</f>
        <v/>
      </c>
      <c r="M216" s="72" t="n"/>
      <c r="N216" s="72" t="n"/>
      <c r="O216" s="89" t="n"/>
      <c r="P216" s="89" t="n"/>
      <c r="Q216" s="109" t="n"/>
      <c r="R216" s="120">
        <f>IF(B216="","",IF(Q216&lt;&gt;"",Q216,IF(P216="","",IFERROR(INDEX('Timeline'!$J$7:$J$1006,MATCH(P216,'Timeline'!$B$7:$B$1006,0)),""))))</f>
        <v/>
      </c>
      <c r="S216" s="126">
        <f>IF(R216="","",R216-IF(O216="",0,O216)-OrderBuf)</f>
        <v/>
      </c>
      <c r="T216" s="126">
        <f>IF(S216="","",S216-DecideBuf)</f>
        <v/>
      </c>
      <c r="U216" s="74" t="n"/>
      <c r="V216" s="109" t="n"/>
      <c r="W216" s="109" t="n"/>
      <c r="X216" s="74" t="n"/>
      <c r="Y216" s="116">
        <f>IF(B216="","",IF(X216="Yes","Delivered",IF(U216="Yes",IF(AND(W216&lt;&gt;"",R216&lt;&gt;""),IF(W216&gt;R216,"⚠️ Delivery after install date","Ordered"),"Ordered"),IF(K216="",IF(T216="","Waiting for decision",IF(T216&lt;=AsOf+AlertDays,"Decide now","Waiting for decision")),IF(S216="","Selected",IF(AsOf&gt;S216,"⚠️ Order late — install at risk",IF(S216&lt;=AsOf+AlertDays,"Order now","Selected")))))))</f>
        <v/>
      </c>
      <c r="Z216" s="79">
        <f>IF(B216="","",IF(OR(AH216=1,AE216=1),2,IF(OR(AG216=1,AF216=1),1,IF(OR(Y216="Ordered",Y216="Delivered"),0,""))))</f>
        <v/>
      </c>
      <c r="AA216" s="112">
        <f>IF(B216="","",IF(AH216=1,IF(Y216="⚠️ Delivery after install date",R216,S216),IF(AD216=1,T216,IF(AI216=1,S216,""))))</f>
        <v/>
      </c>
      <c r="AB216" s="79">
        <f>IF(AA216="","",IF(AH216=1,1,IF(AA216="","",IF(AA216&lt;AsOf,1,IF(AA216&lt;=AsOf+AlertDays,2,IF(AA216&lt;=AsOf+2*AlertDays,3,""))))))</f>
        <v/>
      </c>
      <c r="AC216" s="79">
        <f>IF(AB216="","",IF(AH216=1,IF(Y216="⚠️ Delivery after install date","Delivery after install date: "&amp;B216,"Order late — install at risk: "&amp;B216),IF(AD216=1,IF(AB216=1,"Decision overdue: ","Decide: ")&amp;B216,"Order: "&amp;B216&amp;IF(N216="",""," from "&amp;N216))))</f>
        <v/>
      </c>
      <c r="AD216" s="79">
        <f>IF(AND(B216&lt;&gt;"",K216="",U216&lt;&gt;"Yes",X216&lt;&gt;"Yes"),1,0)</f>
        <v/>
      </c>
      <c r="AE216" s="79">
        <f>IF(AND(AD216=1,T216&lt;&gt;""),IF(T216&lt;AsOf,1,0),0)</f>
        <v/>
      </c>
      <c r="AF216" s="79">
        <f>IF(AND(AD216=1,T216&lt;&gt;""),IF(AND(T216&gt;=AsOf,T216&lt;=AsOf+AlertDays),1,0),0)</f>
        <v/>
      </c>
      <c r="AG216" s="79">
        <f>IF(Y216="Order now",1,0)</f>
        <v/>
      </c>
      <c r="AH216" s="79">
        <f>IF(OR(Y216="⚠️ Order late — install at risk",Y216="⚠️ Delivery after install date"),1,0)</f>
        <v/>
      </c>
      <c r="AI216" s="79">
        <f>IF(AND(B216&lt;&gt;"",K216&lt;&gt;"",U216&lt;&gt;"Yes",X216&lt;&gt;"Yes"),1,0)</f>
        <v/>
      </c>
      <c r="AJ216" s="79">
        <f>IF(Y216="⚠️ Order late — install at risk",1,0)</f>
        <v/>
      </c>
    </row>
    <row r="217" ht="20" customHeight="1">
      <c r="B217" s="72" t="n"/>
      <c r="C217" s="72" t="n"/>
      <c r="D217" s="72" t="n"/>
      <c r="E217" s="72" t="n"/>
      <c r="F217" s="73" t="n"/>
      <c r="G217" s="72" t="n"/>
      <c r="H217" s="73" t="n"/>
      <c r="I217" s="72" t="n"/>
      <c r="J217" s="73" t="n"/>
      <c r="K217" s="74" t="n"/>
      <c r="L217" s="75">
        <f>IF(K217="A",F217,IF(K217="B",H217,IF(K217="C",J217,"")))</f>
        <v/>
      </c>
      <c r="M217" s="72" t="n"/>
      <c r="N217" s="72" t="n"/>
      <c r="O217" s="89" t="n"/>
      <c r="P217" s="89" t="n"/>
      <c r="Q217" s="109" t="n"/>
      <c r="R217" s="120">
        <f>IF(B217="","",IF(Q217&lt;&gt;"",Q217,IF(P217="","",IFERROR(INDEX('Timeline'!$J$7:$J$1006,MATCH(P217,'Timeline'!$B$7:$B$1006,0)),""))))</f>
        <v/>
      </c>
      <c r="S217" s="126">
        <f>IF(R217="","",R217-IF(O217="",0,O217)-OrderBuf)</f>
        <v/>
      </c>
      <c r="T217" s="126">
        <f>IF(S217="","",S217-DecideBuf)</f>
        <v/>
      </c>
      <c r="U217" s="74" t="n"/>
      <c r="V217" s="109" t="n"/>
      <c r="W217" s="109" t="n"/>
      <c r="X217" s="74" t="n"/>
      <c r="Y217" s="116">
        <f>IF(B217="","",IF(X217="Yes","Delivered",IF(U217="Yes",IF(AND(W217&lt;&gt;"",R217&lt;&gt;""),IF(W217&gt;R217,"⚠️ Delivery after install date","Ordered"),"Ordered"),IF(K217="",IF(T217="","Waiting for decision",IF(T217&lt;=AsOf+AlertDays,"Decide now","Waiting for decision")),IF(S217="","Selected",IF(AsOf&gt;S217,"⚠️ Order late — install at risk",IF(S217&lt;=AsOf+AlertDays,"Order now","Selected")))))))</f>
        <v/>
      </c>
      <c r="Z217" s="79">
        <f>IF(B217="","",IF(OR(AH217=1,AE217=1),2,IF(OR(AG217=1,AF217=1),1,IF(OR(Y217="Ordered",Y217="Delivered"),0,""))))</f>
        <v/>
      </c>
      <c r="AA217" s="112">
        <f>IF(B217="","",IF(AH217=1,IF(Y217="⚠️ Delivery after install date",R217,S217),IF(AD217=1,T217,IF(AI217=1,S217,""))))</f>
        <v/>
      </c>
      <c r="AB217" s="79">
        <f>IF(AA217="","",IF(AH217=1,1,IF(AA217="","",IF(AA217&lt;AsOf,1,IF(AA217&lt;=AsOf+AlertDays,2,IF(AA217&lt;=AsOf+2*AlertDays,3,""))))))</f>
        <v/>
      </c>
      <c r="AC217" s="79">
        <f>IF(AB217="","",IF(AH217=1,IF(Y217="⚠️ Delivery after install date","Delivery after install date: "&amp;B217,"Order late — install at risk: "&amp;B217),IF(AD217=1,IF(AB217=1,"Decision overdue: ","Decide: ")&amp;B217,"Order: "&amp;B217&amp;IF(N217="",""," from "&amp;N217))))</f>
        <v/>
      </c>
      <c r="AD217" s="79">
        <f>IF(AND(B217&lt;&gt;"",K217="",U217&lt;&gt;"Yes",X217&lt;&gt;"Yes"),1,0)</f>
        <v/>
      </c>
      <c r="AE217" s="79">
        <f>IF(AND(AD217=1,T217&lt;&gt;""),IF(T217&lt;AsOf,1,0),0)</f>
        <v/>
      </c>
      <c r="AF217" s="79">
        <f>IF(AND(AD217=1,T217&lt;&gt;""),IF(AND(T217&gt;=AsOf,T217&lt;=AsOf+AlertDays),1,0),0)</f>
        <v/>
      </c>
      <c r="AG217" s="79">
        <f>IF(Y217="Order now",1,0)</f>
        <v/>
      </c>
      <c r="AH217" s="79">
        <f>IF(OR(Y217="⚠️ Order late — install at risk",Y217="⚠️ Delivery after install date"),1,0)</f>
        <v/>
      </c>
      <c r="AI217" s="79">
        <f>IF(AND(B217&lt;&gt;"",K217&lt;&gt;"",U217&lt;&gt;"Yes",X217&lt;&gt;"Yes"),1,0)</f>
        <v/>
      </c>
      <c r="AJ217" s="79">
        <f>IF(Y217="⚠️ Order late — install at risk",1,0)</f>
        <v/>
      </c>
    </row>
    <row r="218" ht="20" customHeight="1">
      <c r="B218" s="72" t="n"/>
      <c r="C218" s="72" t="n"/>
      <c r="D218" s="72" t="n"/>
      <c r="E218" s="72" t="n"/>
      <c r="F218" s="73" t="n"/>
      <c r="G218" s="72" t="n"/>
      <c r="H218" s="73" t="n"/>
      <c r="I218" s="72" t="n"/>
      <c r="J218" s="73" t="n"/>
      <c r="K218" s="74" t="n"/>
      <c r="L218" s="75">
        <f>IF(K218="A",F218,IF(K218="B",H218,IF(K218="C",J218,"")))</f>
        <v/>
      </c>
      <c r="M218" s="72" t="n"/>
      <c r="N218" s="72" t="n"/>
      <c r="O218" s="89" t="n"/>
      <c r="P218" s="89" t="n"/>
      <c r="Q218" s="109" t="n"/>
      <c r="R218" s="120">
        <f>IF(B218="","",IF(Q218&lt;&gt;"",Q218,IF(P218="","",IFERROR(INDEX('Timeline'!$J$7:$J$1006,MATCH(P218,'Timeline'!$B$7:$B$1006,0)),""))))</f>
        <v/>
      </c>
      <c r="S218" s="126">
        <f>IF(R218="","",R218-IF(O218="",0,O218)-OrderBuf)</f>
        <v/>
      </c>
      <c r="T218" s="126">
        <f>IF(S218="","",S218-DecideBuf)</f>
        <v/>
      </c>
      <c r="U218" s="74" t="n"/>
      <c r="V218" s="109" t="n"/>
      <c r="W218" s="109" t="n"/>
      <c r="X218" s="74" t="n"/>
      <c r="Y218" s="116">
        <f>IF(B218="","",IF(X218="Yes","Delivered",IF(U218="Yes",IF(AND(W218&lt;&gt;"",R218&lt;&gt;""),IF(W218&gt;R218,"⚠️ Delivery after install date","Ordered"),"Ordered"),IF(K218="",IF(T218="","Waiting for decision",IF(T218&lt;=AsOf+AlertDays,"Decide now","Waiting for decision")),IF(S218="","Selected",IF(AsOf&gt;S218,"⚠️ Order late — install at risk",IF(S218&lt;=AsOf+AlertDays,"Order now","Selected")))))))</f>
        <v/>
      </c>
      <c r="Z218" s="79">
        <f>IF(B218="","",IF(OR(AH218=1,AE218=1),2,IF(OR(AG218=1,AF218=1),1,IF(OR(Y218="Ordered",Y218="Delivered"),0,""))))</f>
        <v/>
      </c>
      <c r="AA218" s="112">
        <f>IF(B218="","",IF(AH218=1,IF(Y218="⚠️ Delivery after install date",R218,S218),IF(AD218=1,T218,IF(AI218=1,S218,""))))</f>
        <v/>
      </c>
      <c r="AB218" s="79">
        <f>IF(AA218="","",IF(AH218=1,1,IF(AA218="","",IF(AA218&lt;AsOf,1,IF(AA218&lt;=AsOf+AlertDays,2,IF(AA218&lt;=AsOf+2*AlertDays,3,""))))))</f>
        <v/>
      </c>
      <c r="AC218" s="79">
        <f>IF(AB218="","",IF(AH218=1,IF(Y218="⚠️ Delivery after install date","Delivery after install date: "&amp;B218,"Order late — install at risk: "&amp;B218),IF(AD218=1,IF(AB218=1,"Decision overdue: ","Decide: ")&amp;B218,"Order: "&amp;B218&amp;IF(N218="",""," from "&amp;N218))))</f>
        <v/>
      </c>
      <c r="AD218" s="79">
        <f>IF(AND(B218&lt;&gt;"",K218="",U218&lt;&gt;"Yes",X218&lt;&gt;"Yes"),1,0)</f>
        <v/>
      </c>
      <c r="AE218" s="79">
        <f>IF(AND(AD218=1,T218&lt;&gt;""),IF(T218&lt;AsOf,1,0),0)</f>
        <v/>
      </c>
      <c r="AF218" s="79">
        <f>IF(AND(AD218=1,T218&lt;&gt;""),IF(AND(T218&gt;=AsOf,T218&lt;=AsOf+AlertDays),1,0),0)</f>
        <v/>
      </c>
      <c r="AG218" s="79">
        <f>IF(Y218="Order now",1,0)</f>
        <v/>
      </c>
      <c r="AH218" s="79">
        <f>IF(OR(Y218="⚠️ Order late — install at risk",Y218="⚠️ Delivery after install date"),1,0)</f>
        <v/>
      </c>
      <c r="AI218" s="79">
        <f>IF(AND(B218&lt;&gt;"",K218&lt;&gt;"",U218&lt;&gt;"Yes",X218&lt;&gt;"Yes"),1,0)</f>
        <v/>
      </c>
      <c r="AJ218" s="79">
        <f>IF(Y218="⚠️ Order late — install at risk",1,0)</f>
        <v/>
      </c>
    </row>
    <row r="219" ht="20" customHeight="1">
      <c r="B219" s="72" t="n"/>
      <c r="C219" s="72" t="n"/>
      <c r="D219" s="72" t="n"/>
      <c r="E219" s="72" t="n"/>
      <c r="F219" s="73" t="n"/>
      <c r="G219" s="72" t="n"/>
      <c r="H219" s="73" t="n"/>
      <c r="I219" s="72" t="n"/>
      <c r="J219" s="73" t="n"/>
      <c r="K219" s="74" t="n"/>
      <c r="L219" s="75">
        <f>IF(K219="A",F219,IF(K219="B",H219,IF(K219="C",J219,"")))</f>
        <v/>
      </c>
      <c r="M219" s="72" t="n"/>
      <c r="N219" s="72" t="n"/>
      <c r="O219" s="89" t="n"/>
      <c r="P219" s="89" t="n"/>
      <c r="Q219" s="109" t="n"/>
      <c r="R219" s="120">
        <f>IF(B219="","",IF(Q219&lt;&gt;"",Q219,IF(P219="","",IFERROR(INDEX('Timeline'!$J$7:$J$1006,MATCH(P219,'Timeline'!$B$7:$B$1006,0)),""))))</f>
        <v/>
      </c>
      <c r="S219" s="126">
        <f>IF(R219="","",R219-IF(O219="",0,O219)-OrderBuf)</f>
        <v/>
      </c>
      <c r="T219" s="126">
        <f>IF(S219="","",S219-DecideBuf)</f>
        <v/>
      </c>
      <c r="U219" s="74" t="n"/>
      <c r="V219" s="109" t="n"/>
      <c r="W219" s="109" t="n"/>
      <c r="X219" s="74" t="n"/>
      <c r="Y219" s="116">
        <f>IF(B219="","",IF(X219="Yes","Delivered",IF(U219="Yes",IF(AND(W219&lt;&gt;"",R219&lt;&gt;""),IF(W219&gt;R219,"⚠️ Delivery after install date","Ordered"),"Ordered"),IF(K219="",IF(T219="","Waiting for decision",IF(T219&lt;=AsOf+AlertDays,"Decide now","Waiting for decision")),IF(S219="","Selected",IF(AsOf&gt;S219,"⚠️ Order late — install at risk",IF(S219&lt;=AsOf+AlertDays,"Order now","Selected")))))))</f>
        <v/>
      </c>
      <c r="Z219" s="79">
        <f>IF(B219="","",IF(OR(AH219=1,AE219=1),2,IF(OR(AG219=1,AF219=1),1,IF(OR(Y219="Ordered",Y219="Delivered"),0,""))))</f>
        <v/>
      </c>
      <c r="AA219" s="112">
        <f>IF(B219="","",IF(AH219=1,IF(Y219="⚠️ Delivery after install date",R219,S219),IF(AD219=1,T219,IF(AI219=1,S219,""))))</f>
        <v/>
      </c>
      <c r="AB219" s="79">
        <f>IF(AA219="","",IF(AH219=1,1,IF(AA219="","",IF(AA219&lt;AsOf,1,IF(AA219&lt;=AsOf+AlertDays,2,IF(AA219&lt;=AsOf+2*AlertDays,3,""))))))</f>
        <v/>
      </c>
      <c r="AC219" s="79">
        <f>IF(AB219="","",IF(AH219=1,IF(Y219="⚠️ Delivery after install date","Delivery after install date: "&amp;B219,"Order late — install at risk: "&amp;B219),IF(AD219=1,IF(AB219=1,"Decision overdue: ","Decide: ")&amp;B219,"Order: "&amp;B219&amp;IF(N219="",""," from "&amp;N219))))</f>
        <v/>
      </c>
      <c r="AD219" s="79">
        <f>IF(AND(B219&lt;&gt;"",K219="",U219&lt;&gt;"Yes",X219&lt;&gt;"Yes"),1,0)</f>
        <v/>
      </c>
      <c r="AE219" s="79">
        <f>IF(AND(AD219=1,T219&lt;&gt;""),IF(T219&lt;AsOf,1,0),0)</f>
        <v/>
      </c>
      <c r="AF219" s="79">
        <f>IF(AND(AD219=1,T219&lt;&gt;""),IF(AND(T219&gt;=AsOf,T219&lt;=AsOf+AlertDays),1,0),0)</f>
        <v/>
      </c>
      <c r="AG219" s="79">
        <f>IF(Y219="Order now",1,0)</f>
        <v/>
      </c>
      <c r="AH219" s="79">
        <f>IF(OR(Y219="⚠️ Order late — install at risk",Y219="⚠️ Delivery after install date"),1,0)</f>
        <v/>
      </c>
      <c r="AI219" s="79">
        <f>IF(AND(B219&lt;&gt;"",K219&lt;&gt;"",U219&lt;&gt;"Yes",X219&lt;&gt;"Yes"),1,0)</f>
        <v/>
      </c>
      <c r="AJ219" s="79">
        <f>IF(Y219="⚠️ Order late — install at risk",1,0)</f>
        <v/>
      </c>
    </row>
    <row r="220" ht="20" customHeight="1">
      <c r="B220" s="72" t="n"/>
      <c r="C220" s="72" t="n"/>
      <c r="D220" s="72" t="n"/>
      <c r="E220" s="72" t="n"/>
      <c r="F220" s="73" t="n"/>
      <c r="G220" s="72" t="n"/>
      <c r="H220" s="73" t="n"/>
      <c r="I220" s="72" t="n"/>
      <c r="J220" s="73" t="n"/>
      <c r="K220" s="74" t="n"/>
      <c r="L220" s="75">
        <f>IF(K220="A",F220,IF(K220="B",H220,IF(K220="C",J220,"")))</f>
        <v/>
      </c>
      <c r="M220" s="72" t="n"/>
      <c r="N220" s="72" t="n"/>
      <c r="O220" s="89" t="n"/>
      <c r="P220" s="89" t="n"/>
      <c r="Q220" s="109" t="n"/>
      <c r="R220" s="120">
        <f>IF(B220="","",IF(Q220&lt;&gt;"",Q220,IF(P220="","",IFERROR(INDEX('Timeline'!$J$7:$J$1006,MATCH(P220,'Timeline'!$B$7:$B$1006,0)),""))))</f>
        <v/>
      </c>
      <c r="S220" s="126">
        <f>IF(R220="","",R220-IF(O220="",0,O220)-OrderBuf)</f>
        <v/>
      </c>
      <c r="T220" s="126">
        <f>IF(S220="","",S220-DecideBuf)</f>
        <v/>
      </c>
      <c r="U220" s="74" t="n"/>
      <c r="V220" s="109" t="n"/>
      <c r="W220" s="109" t="n"/>
      <c r="X220" s="74" t="n"/>
      <c r="Y220" s="116">
        <f>IF(B220="","",IF(X220="Yes","Delivered",IF(U220="Yes",IF(AND(W220&lt;&gt;"",R220&lt;&gt;""),IF(W220&gt;R220,"⚠️ Delivery after install date","Ordered"),"Ordered"),IF(K220="",IF(T220="","Waiting for decision",IF(T220&lt;=AsOf+AlertDays,"Decide now","Waiting for decision")),IF(S220="","Selected",IF(AsOf&gt;S220,"⚠️ Order late — install at risk",IF(S220&lt;=AsOf+AlertDays,"Order now","Selected")))))))</f>
        <v/>
      </c>
      <c r="Z220" s="79">
        <f>IF(B220="","",IF(OR(AH220=1,AE220=1),2,IF(OR(AG220=1,AF220=1),1,IF(OR(Y220="Ordered",Y220="Delivered"),0,""))))</f>
        <v/>
      </c>
      <c r="AA220" s="112">
        <f>IF(B220="","",IF(AH220=1,IF(Y220="⚠️ Delivery after install date",R220,S220),IF(AD220=1,T220,IF(AI220=1,S220,""))))</f>
        <v/>
      </c>
      <c r="AB220" s="79">
        <f>IF(AA220="","",IF(AH220=1,1,IF(AA220="","",IF(AA220&lt;AsOf,1,IF(AA220&lt;=AsOf+AlertDays,2,IF(AA220&lt;=AsOf+2*AlertDays,3,""))))))</f>
        <v/>
      </c>
      <c r="AC220" s="79">
        <f>IF(AB220="","",IF(AH220=1,IF(Y220="⚠️ Delivery after install date","Delivery after install date: "&amp;B220,"Order late — install at risk: "&amp;B220),IF(AD220=1,IF(AB220=1,"Decision overdue: ","Decide: ")&amp;B220,"Order: "&amp;B220&amp;IF(N220="",""," from "&amp;N220))))</f>
        <v/>
      </c>
      <c r="AD220" s="79">
        <f>IF(AND(B220&lt;&gt;"",K220="",U220&lt;&gt;"Yes",X220&lt;&gt;"Yes"),1,0)</f>
        <v/>
      </c>
      <c r="AE220" s="79">
        <f>IF(AND(AD220=1,T220&lt;&gt;""),IF(T220&lt;AsOf,1,0),0)</f>
        <v/>
      </c>
      <c r="AF220" s="79">
        <f>IF(AND(AD220=1,T220&lt;&gt;""),IF(AND(T220&gt;=AsOf,T220&lt;=AsOf+AlertDays),1,0),0)</f>
        <v/>
      </c>
      <c r="AG220" s="79">
        <f>IF(Y220="Order now",1,0)</f>
        <v/>
      </c>
      <c r="AH220" s="79">
        <f>IF(OR(Y220="⚠️ Order late — install at risk",Y220="⚠️ Delivery after install date"),1,0)</f>
        <v/>
      </c>
      <c r="AI220" s="79">
        <f>IF(AND(B220&lt;&gt;"",K220&lt;&gt;"",U220&lt;&gt;"Yes",X220&lt;&gt;"Yes"),1,0)</f>
        <v/>
      </c>
      <c r="AJ220" s="79">
        <f>IF(Y220="⚠️ Order late — install at risk",1,0)</f>
        <v/>
      </c>
    </row>
    <row r="221" ht="20" customHeight="1">
      <c r="B221" s="72" t="n"/>
      <c r="C221" s="72" t="n"/>
      <c r="D221" s="72" t="n"/>
      <c r="E221" s="72" t="n"/>
      <c r="F221" s="73" t="n"/>
      <c r="G221" s="72" t="n"/>
      <c r="H221" s="73" t="n"/>
      <c r="I221" s="72" t="n"/>
      <c r="J221" s="73" t="n"/>
      <c r="K221" s="74" t="n"/>
      <c r="L221" s="75">
        <f>IF(K221="A",F221,IF(K221="B",H221,IF(K221="C",J221,"")))</f>
        <v/>
      </c>
      <c r="M221" s="72" t="n"/>
      <c r="N221" s="72" t="n"/>
      <c r="O221" s="89" t="n"/>
      <c r="P221" s="89" t="n"/>
      <c r="Q221" s="109" t="n"/>
      <c r="R221" s="120">
        <f>IF(B221="","",IF(Q221&lt;&gt;"",Q221,IF(P221="","",IFERROR(INDEX('Timeline'!$J$7:$J$1006,MATCH(P221,'Timeline'!$B$7:$B$1006,0)),""))))</f>
        <v/>
      </c>
      <c r="S221" s="126">
        <f>IF(R221="","",R221-IF(O221="",0,O221)-OrderBuf)</f>
        <v/>
      </c>
      <c r="T221" s="126">
        <f>IF(S221="","",S221-DecideBuf)</f>
        <v/>
      </c>
      <c r="U221" s="74" t="n"/>
      <c r="V221" s="109" t="n"/>
      <c r="W221" s="109" t="n"/>
      <c r="X221" s="74" t="n"/>
      <c r="Y221" s="116">
        <f>IF(B221="","",IF(X221="Yes","Delivered",IF(U221="Yes",IF(AND(W221&lt;&gt;"",R221&lt;&gt;""),IF(W221&gt;R221,"⚠️ Delivery after install date","Ordered"),"Ordered"),IF(K221="",IF(T221="","Waiting for decision",IF(T221&lt;=AsOf+AlertDays,"Decide now","Waiting for decision")),IF(S221="","Selected",IF(AsOf&gt;S221,"⚠️ Order late — install at risk",IF(S221&lt;=AsOf+AlertDays,"Order now","Selected")))))))</f>
        <v/>
      </c>
      <c r="Z221" s="79">
        <f>IF(B221="","",IF(OR(AH221=1,AE221=1),2,IF(OR(AG221=1,AF221=1),1,IF(OR(Y221="Ordered",Y221="Delivered"),0,""))))</f>
        <v/>
      </c>
      <c r="AA221" s="112">
        <f>IF(B221="","",IF(AH221=1,IF(Y221="⚠️ Delivery after install date",R221,S221),IF(AD221=1,T221,IF(AI221=1,S221,""))))</f>
        <v/>
      </c>
      <c r="AB221" s="79">
        <f>IF(AA221="","",IF(AH221=1,1,IF(AA221="","",IF(AA221&lt;AsOf,1,IF(AA221&lt;=AsOf+AlertDays,2,IF(AA221&lt;=AsOf+2*AlertDays,3,""))))))</f>
        <v/>
      </c>
      <c r="AC221" s="79">
        <f>IF(AB221="","",IF(AH221=1,IF(Y221="⚠️ Delivery after install date","Delivery after install date: "&amp;B221,"Order late — install at risk: "&amp;B221),IF(AD221=1,IF(AB221=1,"Decision overdue: ","Decide: ")&amp;B221,"Order: "&amp;B221&amp;IF(N221="",""," from "&amp;N221))))</f>
        <v/>
      </c>
      <c r="AD221" s="79">
        <f>IF(AND(B221&lt;&gt;"",K221="",U221&lt;&gt;"Yes",X221&lt;&gt;"Yes"),1,0)</f>
        <v/>
      </c>
      <c r="AE221" s="79">
        <f>IF(AND(AD221=1,T221&lt;&gt;""),IF(T221&lt;AsOf,1,0),0)</f>
        <v/>
      </c>
      <c r="AF221" s="79">
        <f>IF(AND(AD221=1,T221&lt;&gt;""),IF(AND(T221&gt;=AsOf,T221&lt;=AsOf+AlertDays),1,0),0)</f>
        <v/>
      </c>
      <c r="AG221" s="79">
        <f>IF(Y221="Order now",1,0)</f>
        <v/>
      </c>
      <c r="AH221" s="79">
        <f>IF(OR(Y221="⚠️ Order late — install at risk",Y221="⚠️ Delivery after install date"),1,0)</f>
        <v/>
      </c>
      <c r="AI221" s="79">
        <f>IF(AND(B221&lt;&gt;"",K221&lt;&gt;"",U221&lt;&gt;"Yes",X221&lt;&gt;"Yes"),1,0)</f>
        <v/>
      </c>
      <c r="AJ221" s="79">
        <f>IF(Y221="⚠️ Order late — install at risk",1,0)</f>
        <v/>
      </c>
    </row>
    <row r="222" ht="20" customHeight="1">
      <c r="B222" s="72" t="n"/>
      <c r="C222" s="72" t="n"/>
      <c r="D222" s="72" t="n"/>
      <c r="E222" s="72" t="n"/>
      <c r="F222" s="73" t="n"/>
      <c r="G222" s="72" t="n"/>
      <c r="H222" s="73" t="n"/>
      <c r="I222" s="72" t="n"/>
      <c r="J222" s="73" t="n"/>
      <c r="K222" s="74" t="n"/>
      <c r="L222" s="75">
        <f>IF(K222="A",F222,IF(K222="B",H222,IF(K222="C",J222,"")))</f>
        <v/>
      </c>
      <c r="M222" s="72" t="n"/>
      <c r="N222" s="72" t="n"/>
      <c r="O222" s="89" t="n"/>
      <c r="P222" s="89" t="n"/>
      <c r="Q222" s="109" t="n"/>
      <c r="R222" s="120">
        <f>IF(B222="","",IF(Q222&lt;&gt;"",Q222,IF(P222="","",IFERROR(INDEX('Timeline'!$J$7:$J$1006,MATCH(P222,'Timeline'!$B$7:$B$1006,0)),""))))</f>
        <v/>
      </c>
      <c r="S222" s="126">
        <f>IF(R222="","",R222-IF(O222="",0,O222)-OrderBuf)</f>
        <v/>
      </c>
      <c r="T222" s="126">
        <f>IF(S222="","",S222-DecideBuf)</f>
        <v/>
      </c>
      <c r="U222" s="74" t="n"/>
      <c r="V222" s="109" t="n"/>
      <c r="W222" s="109" t="n"/>
      <c r="X222" s="74" t="n"/>
      <c r="Y222" s="116">
        <f>IF(B222="","",IF(X222="Yes","Delivered",IF(U222="Yes",IF(AND(W222&lt;&gt;"",R222&lt;&gt;""),IF(W222&gt;R222,"⚠️ Delivery after install date","Ordered"),"Ordered"),IF(K222="",IF(T222="","Waiting for decision",IF(T222&lt;=AsOf+AlertDays,"Decide now","Waiting for decision")),IF(S222="","Selected",IF(AsOf&gt;S222,"⚠️ Order late — install at risk",IF(S222&lt;=AsOf+AlertDays,"Order now","Selected")))))))</f>
        <v/>
      </c>
      <c r="Z222" s="79">
        <f>IF(B222="","",IF(OR(AH222=1,AE222=1),2,IF(OR(AG222=1,AF222=1),1,IF(OR(Y222="Ordered",Y222="Delivered"),0,""))))</f>
        <v/>
      </c>
      <c r="AA222" s="112">
        <f>IF(B222="","",IF(AH222=1,IF(Y222="⚠️ Delivery after install date",R222,S222),IF(AD222=1,T222,IF(AI222=1,S222,""))))</f>
        <v/>
      </c>
      <c r="AB222" s="79">
        <f>IF(AA222="","",IF(AH222=1,1,IF(AA222="","",IF(AA222&lt;AsOf,1,IF(AA222&lt;=AsOf+AlertDays,2,IF(AA222&lt;=AsOf+2*AlertDays,3,""))))))</f>
        <v/>
      </c>
      <c r="AC222" s="79">
        <f>IF(AB222="","",IF(AH222=1,IF(Y222="⚠️ Delivery after install date","Delivery after install date: "&amp;B222,"Order late — install at risk: "&amp;B222),IF(AD222=1,IF(AB222=1,"Decision overdue: ","Decide: ")&amp;B222,"Order: "&amp;B222&amp;IF(N222="",""," from "&amp;N222))))</f>
        <v/>
      </c>
      <c r="AD222" s="79">
        <f>IF(AND(B222&lt;&gt;"",K222="",U222&lt;&gt;"Yes",X222&lt;&gt;"Yes"),1,0)</f>
        <v/>
      </c>
      <c r="AE222" s="79">
        <f>IF(AND(AD222=1,T222&lt;&gt;""),IF(T222&lt;AsOf,1,0),0)</f>
        <v/>
      </c>
      <c r="AF222" s="79">
        <f>IF(AND(AD222=1,T222&lt;&gt;""),IF(AND(T222&gt;=AsOf,T222&lt;=AsOf+AlertDays),1,0),0)</f>
        <v/>
      </c>
      <c r="AG222" s="79">
        <f>IF(Y222="Order now",1,0)</f>
        <v/>
      </c>
      <c r="AH222" s="79">
        <f>IF(OR(Y222="⚠️ Order late — install at risk",Y222="⚠️ Delivery after install date"),1,0)</f>
        <v/>
      </c>
      <c r="AI222" s="79">
        <f>IF(AND(B222&lt;&gt;"",K222&lt;&gt;"",U222&lt;&gt;"Yes",X222&lt;&gt;"Yes"),1,0)</f>
        <v/>
      </c>
      <c r="AJ222" s="79">
        <f>IF(Y222="⚠️ Order late — install at risk",1,0)</f>
        <v/>
      </c>
    </row>
    <row r="223" ht="20" customHeight="1">
      <c r="B223" s="72" t="n"/>
      <c r="C223" s="72" t="n"/>
      <c r="D223" s="72" t="n"/>
      <c r="E223" s="72" t="n"/>
      <c r="F223" s="73" t="n"/>
      <c r="G223" s="72" t="n"/>
      <c r="H223" s="73" t="n"/>
      <c r="I223" s="72" t="n"/>
      <c r="J223" s="73" t="n"/>
      <c r="K223" s="74" t="n"/>
      <c r="L223" s="75">
        <f>IF(K223="A",F223,IF(K223="B",H223,IF(K223="C",J223,"")))</f>
        <v/>
      </c>
      <c r="M223" s="72" t="n"/>
      <c r="N223" s="72" t="n"/>
      <c r="O223" s="89" t="n"/>
      <c r="P223" s="89" t="n"/>
      <c r="Q223" s="109" t="n"/>
      <c r="R223" s="120">
        <f>IF(B223="","",IF(Q223&lt;&gt;"",Q223,IF(P223="","",IFERROR(INDEX('Timeline'!$J$7:$J$1006,MATCH(P223,'Timeline'!$B$7:$B$1006,0)),""))))</f>
        <v/>
      </c>
      <c r="S223" s="126">
        <f>IF(R223="","",R223-IF(O223="",0,O223)-OrderBuf)</f>
        <v/>
      </c>
      <c r="T223" s="126">
        <f>IF(S223="","",S223-DecideBuf)</f>
        <v/>
      </c>
      <c r="U223" s="74" t="n"/>
      <c r="V223" s="109" t="n"/>
      <c r="W223" s="109" t="n"/>
      <c r="X223" s="74" t="n"/>
      <c r="Y223" s="116">
        <f>IF(B223="","",IF(X223="Yes","Delivered",IF(U223="Yes",IF(AND(W223&lt;&gt;"",R223&lt;&gt;""),IF(W223&gt;R223,"⚠️ Delivery after install date","Ordered"),"Ordered"),IF(K223="",IF(T223="","Waiting for decision",IF(T223&lt;=AsOf+AlertDays,"Decide now","Waiting for decision")),IF(S223="","Selected",IF(AsOf&gt;S223,"⚠️ Order late — install at risk",IF(S223&lt;=AsOf+AlertDays,"Order now","Selected")))))))</f>
        <v/>
      </c>
      <c r="Z223" s="79">
        <f>IF(B223="","",IF(OR(AH223=1,AE223=1),2,IF(OR(AG223=1,AF223=1),1,IF(OR(Y223="Ordered",Y223="Delivered"),0,""))))</f>
        <v/>
      </c>
      <c r="AA223" s="112">
        <f>IF(B223="","",IF(AH223=1,IF(Y223="⚠️ Delivery after install date",R223,S223),IF(AD223=1,T223,IF(AI223=1,S223,""))))</f>
        <v/>
      </c>
      <c r="AB223" s="79">
        <f>IF(AA223="","",IF(AH223=1,1,IF(AA223="","",IF(AA223&lt;AsOf,1,IF(AA223&lt;=AsOf+AlertDays,2,IF(AA223&lt;=AsOf+2*AlertDays,3,""))))))</f>
        <v/>
      </c>
      <c r="AC223" s="79">
        <f>IF(AB223="","",IF(AH223=1,IF(Y223="⚠️ Delivery after install date","Delivery after install date: "&amp;B223,"Order late — install at risk: "&amp;B223),IF(AD223=1,IF(AB223=1,"Decision overdue: ","Decide: ")&amp;B223,"Order: "&amp;B223&amp;IF(N223="",""," from "&amp;N223))))</f>
        <v/>
      </c>
      <c r="AD223" s="79">
        <f>IF(AND(B223&lt;&gt;"",K223="",U223&lt;&gt;"Yes",X223&lt;&gt;"Yes"),1,0)</f>
        <v/>
      </c>
      <c r="AE223" s="79">
        <f>IF(AND(AD223=1,T223&lt;&gt;""),IF(T223&lt;AsOf,1,0),0)</f>
        <v/>
      </c>
      <c r="AF223" s="79">
        <f>IF(AND(AD223=1,T223&lt;&gt;""),IF(AND(T223&gt;=AsOf,T223&lt;=AsOf+AlertDays),1,0),0)</f>
        <v/>
      </c>
      <c r="AG223" s="79">
        <f>IF(Y223="Order now",1,0)</f>
        <v/>
      </c>
      <c r="AH223" s="79">
        <f>IF(OR(Y223="⚠️ Order late — install at risk",Y223="⚠️ Delivery after install date"),1,0)</f>
        <v/>
      </c>
      <c r="AI223" s="79">
        <f>IF(AND(B223&lt;&gt;"",K223&lt;&gt;"",U223&lt;&gt;"Yes",X223&lt;&gt;"Yes"),1,0)</f>
        <v/>
      </c>
      <c r="AJ223" s="79">
        <f>IF(Y223="⚠️ Order late — install at risk",1,0)</f>
        <v/>
      </c>
    </row>
    <row r="224" ht="20" customHeight="1">
      <c r="B224" s="72" t="n"/>
      <c r="C224" s="72" t="n"/>
      <c r="D224" s="72" t="n"/>
      <c r="E224" s="72" t="n"/>
      <c r="F224" s="73" t="n"/>
      <c r="G224" s="72" t="n"/>
      <c r="H224" s="73" t="n"/>
      <c r="I224" s="72" t="n"/>
      <c r="J224" s="73" t="n"/>
      <c r="K224" s="74" t="n"/>
      <c r="L224" s="75">
        <f>IF(K224="A",F224,IF(K224="B",H224,IF(K224="C",J224,"")))</f>
        <v/>
      </c>
      <c r="M224" s="72" t="n"/>
      <c r="N224" s="72" t="n"/>
      <c r="O224" s="89" t="n"/>
      <c r="P224" s="89" t="n"/>
      <c r="Q224" s="109" t="n"/>
      <c r="R224" s="120">
        <f>IF(B224="","",IF(Q224&lt;&gt;"",Q224,IF(P224="","",IFERROR(INDEX('Timeline'!$J$7:$J$1006,MATCH(P224,'Timeline'!$B$7:$B$1006,0)),""))))</f>
        <v/>
      </c>
      <c r="S224" s="126">
        <f>IF(R224="","",R224-IF(O224="",0,O224)-OrderBuf)</f>
        <v/>
      </c>
      <c r="T224" s="126">
        <f>IF(S224="","",S224-DecideBuf)</f>
        <v/>
      </c>
      <c r="U224" s="74" t="n"/>
      <c r="V224" s="109" t="n"/>
      <c r="W224" s="109" t="n"/>
      <c r="X224" s="74" t="n"/>
      <c r="Y224" s="116">
        <f>IF(B224="","",IF(X224="Yes","Delivered",IF(U224="Yes",IF(AND(W224&lt;&gt;"",R224&lt;&gt;""),IF(W224&gt;R224,"⚠️ Delivery after install date","Ordered"),"Ordered"),IF(K224="",IF(T224="","Waiting for decision",IF(T224&lt;=AsOf+AlertDays,"Decide now","Waiting for decision")),IF(S224="","Selected",IF(AsOf&gt;S224,"⚠️ Order late — install at risk",IF(S224&lt;=AsOf+AlertDays,"Order now","Selected")))))))</f>
        <v/>
      </c>
      <c r="Z224" s="79">
        <f>IF(B224="","",IF(OR(AH224=1,AE224=1),2,IF(OR(AG224=1,AF224=1),1,IF(OR(Y224="Ordered",Y224="Delivered"),0,""))))</f>
        <v/>
      </c>
      <c r="AA224" s="112">
        <f>IF(B224="","",IF(AH224=1,IF(Y224="⚠️ Delivery after install date",R224,S224),IF(AD224=1,T224,IF(AI224=1,S224,""))))</f>
        <v/>
      </c>
      <c r="AB224" s="79">
        <f>IF(AA224="","",IF(AH224=1,1,IF(AA224="","",IF(AA224&lt;AsOf,1,IF(AA224&lt;=AsOf+AlertDays,2,IF(AA224&lt;=AsOf+2*AlertDays,3,""))))))</f>
        <v/>
      </c>
      <c r="AC224" s="79">
        <f>IF(AB224="","",IF(AH224=1,IF(Y224="⚠️ Delivery after install date","Delivery after install date: "&amp;B224,"Order late — install at risk: "&amp;B224),IF(AD224=1,IF(AB224=1,"Decision overdue: ","Decide: ")&amp;B224,"Order: "&amp;B224&amp;IF(N224="",""," from "&amp;N224))))</f>
        <v/>
      </c>
      <c r="AD224" s="79">
        <f>IF(AND(B224&lt;&gt;"",K224="",U224&lt;&gt;"Yes",X224&lt;&gt;"Yes"),1,0)</f>
        <v/>
      </c>
      <c r="AE224" s="79">
        <f>IF(AND(AD224=1,T224&lt;&gt;""),IF(T224&lt;AsOf,1,0),0)</f>
        <v/>
      </c>
      <c r="AF224" s="79">
        <f>IF(AND(AD224=1,T224&lt;&gt;""),IF(AND(T224&gt;=AsOf,T224&lt;=AsOf+AlertDays),1,0),0)</f>
        <v/>
      </c>
      <c r="AG224" s="79">
        <f>IF(Y224="Order now",1,0)</f>
        <v/>
      </c>
      <c r="AH224" s="79">
        <f>IF(OR(Y224="⚠️ Order late — install at risk",Y224="⚠️ Delivery after install date"),1,0)</f>
        <v/>
      </c>
      <c r="AI224" s="79">
        <f>IF(AND(B224&lt;&gt;"",K224&lt;&gt;"",U224&lt;&gt;"Yes",X224&lt;&gt;"Yes"),1,0)</f>
        <v/>
      </c>
      <c r="AJ224" s="79">
        <f>IF(Y224="⚠️ Order late — install at risk",1,0)</f>
        <v/>
      </c>
    </row>
    <row r="225" ht="20" customHeight="1">
      <c r="B225" s="72" t="n"/>
      <c r="C225" s="72" t="n"/>
      <c r="D225" s="72" t="n"/>
      <c r="E225" s="72" t="n"/>
      <c r="F225" s="73" t="n"/>
      <c r="G225" s="72" t="n"/>
      <c r="H225" s="73" t="n"/>
      <c r="I225" s="72" t="n"/>
      <c r="J225" s="73" t="n"/>
      <c r="K225" s="74" t="n"/>
      <c r="L225" s="75">
        <f>IF(K225="A",F225,IF(K225="B",H225,IF(K225="C",J225,"")))</f>
        <v/>
      </c>
      <c r="M225" s="72" t="n"/>
      <c r="N225" s="72" t="n"/>
      <c r="O225" s="89" t="n"/>
      <c r="P225" s="89" t="n"/>
      <c r="Q225" s="109" t="n"/>
      <c r="R225" s="120">
        <f>IF(B225="","",IF(Q225&lt;&gt;"",Q225,IF(P225="","",IFERROR(INDEX('Timeline'!$J$7:$J$1006,MATCH(P225,'Timeline'!$B$7:$B$1006,0)),""))))</f>
        <v/>
      </c>
      <c r="S225" s="126">
        <f>IF(R225="","",R225-IF(O225="",0,O225)-OrderBuf)</f>
        <v/>
      </c>
      <c r="T225" s="126">
        <f>IF(S225="","",S225-DecideBuf)</f>
        <v/>
      </c>
      <c r="U225" s="74" t="n"/>
      <c r="V225" s="109" t="n"/>
      <c r="W225" s="109" t="n"/>
      <c r="X225" s="74" t="n"/>
      <c r="Y225" s="116">
        <f>IF(B225="","",IF(X225="Yes","Delivered",IF(U225="Yes",IF(AND(W225&lt;&gt;"",R225&lt;&gt;""),IF(W225&gt;R225,"⚠️ Delivery after install date","Ordered"),"Ordered"),IF(K225="",IF(T225="","Waiting for decision",IF(T225&lt;=AsOf+AlertDays,"Decide now","Waiting for decision")),IF(S225="","Selected",IF(AsOf&gt;S225,"⚠️ Order late — install at risk",IF(S225&lt;=AsOf+AlertDays,"Order now","Selected")))))))</f>
        <v/>
      </c>
      <c r="Z225" s="79">
        <f>IF(B225="","",IF(OR(AH225=1,AE225=1),2,IF(OR(AG225=1,AF225=1),1,IF(OR(Y225="Ordered",Y225="Delivered"),0,""))))</f>
        <v/>
      </c>
      <c r="AA225" s="112">
        <f>IF(B225="","",IF(AH225=1,IF(Y225="⚠️ Delivery after install date",R225,S225),IF(AD225=1,T225,IF(AI225=1,S225,""))))</f>
        <v/>
      </c>
      <c r="AB225" s="79">
        <f>IF(AA225="","",IF(AH225=1,1,IF(AA225="","",IF(AA225&lt;AsOf,1,IF(AA225&lt;=AsOf+AlertDays,2,IF(AA225&lt;=AsOf+2*AlertDays,3,""))))))</f>
        <v/>
      </c>
      <c r="AC225" s="79">
        <f>IF(AB225="","",IF(AH225=1,IF(Y225="⚠️ Delivery after install date","Delivery after install date: "&amp;B225,"Order late — install at risk: "&amp;B225),IF(AD225=1,IF(AB225=1,"Decision overdue: ","Decide: ")&amp;B225,"Order: "&amp;B225&amp;IF(N225="",""," from "&amp;N225))))</f>
        <v/>
      </c>
      <c r="AD225" s="79">
        <f>IF(AND(B225&lt;&gt;"",K225="",U225&lt;&gt;"Yes",X225&lt;&gt;"Yes"),1,0)</f>
        <v/>
      </c>
      <c r="AE225" s="79">
        <f>IF(AND(AD225=1,T225&lt;&gt;""),IF(T225&lt;AsOf,1,0),0)</f>
        <v/>
      </c>
      <c r="AF225" s="79">
        <f>IF(AND(AD225=1,T225&lt;&gt;""),IF(AND(T225&gt;=AsOf,T225&lt;=AsOf+AlertDays),1,0),0)</f>
        <v/>
      </c>
      <c r="AG225" s="79">
        <f>IF(Y225="Order now",1,0)</f>
        <v/>
      </c>
      <c r="AH225" s="79">
        <f>IF(OR(Y225="⚠️ Order late — install at risk",Y225="⚠️ Delivery after install date"),1,0)</f>
        <v/>
      </c>
      <c r="AI225" s="79">
        <f>IF(AND(B225&lt;&gt;"",K225&lt;&gt;"",U225&lt;&gt;"Yes",X225&lt;&gt;"Yes"),1,0)</f>
        <v/>
      </c>
      <c r="AJ225" s="79">
        <f>IF(Y225="⚠️ Order late — install at risk",1,0)</f>
        <v/>
      </c>
    </row>
    <row r="226" ht="20" customHeight="1">
      <c r="B226" s="72" t="n"/>
      <c r="C226" s="72" t="n"/>
      <c r="D226" s="72" t="n"/>
      <c r="E226" s="72" t="n"/>
      <c r="F226" s="73" t="n"/>
      <c r="G226" s="72" t="n"/>
      <c r="H226" s="73" t="n"/>
      <c r="I226" s="72" t="n"/>
      <c r="J226" s="73" t="n"/>
      <c r="K226" s="74" t="n"/>
      <c r="L226" s="75">
        <f>IF(K226="A",F226,IF(K226="B",H226,IF(K226="C",J226,"")))</f>
        <v/>
      </c>
      <c r="M226" s="72" t="n"/>
      <c r="N226" s="72" t="n"/>
      <c r="O226" s="89" t="n"/>
      <c r="P226" s="89" t="n"/>
      <c r="Q226" s="109" t="n"/>
      <c r="R226" s="120">
        <f>IF(B226="","",IF(Q226&lt;&gt;"",Q226,IF(P226="","",IFERROR(INDEX('Timeline'!$J$7:$J$1006,MATCH(P226,'Timeline'!$B$7:$B$1006,0)),""))))</f>
        <v/>
      </c>
      <c r="S226" s="126">
        <f>IF(R226="","",R226-IF(O226="",0,O226)-OrderBuf)</f>
        <v/>
      </c>
      <c r="T226" s="126">
        <f>IF(S226="","",S226-DecideBuf)</f>
        <v/>
      </c>
      <c r="U226" s="74" t="n"/>
      <c r="V226" s="109" t="n"/>
      <c r="W226" s="109" t="n"/>
      <c r="X226" s="74" t="n"/>
      <c r="Y226" s="116">
        <f>IF(B226="","",IF(X226="Yes","Delivered",IF(U226="Yes",IF(AND(W226&lt;&gt;"",R226&lt;&gt;""),IF(W226&gt;R226,"⚠️ Delivery after install date","Ordered"),"Ordered"),IF(K226="",IF(T226="","Waiting for decision",IF(T226&lt;=AsOf+AlertDays,"Decide now","Waiting for decision")),IF(S226="","Selected",IF(AsOf&gt;S226,"⚠️ Order late — install at risk",IF(S226&lt;=AsOf+AlertDays,"Order now","Selected")))))))</f>
        <v/>
      </c>
      <c r="Z226" s="79">
        <f>IF(B226="","",IF(OR(AH226=1,AE226=1),2,IF(OR(AG226=1,AF226=1),1,IF(OR(Y226="Ordered",Y226="Delivered"),0,""))))</f>
        <v/>
      </c>
      <c r="AA226" s="112">
        <f>IF(B226="","",IF(AH226=1,IF(Y226="⚠️ Delivery after install date",R226,S226),IF(AD226=1,T226,IF(AI226=1,S226,""))))</f>
        <v/>
      </c>
      <c r="AB226" s="79">
        <f>IF(AA226="","",IF(AH226=1,1,IF(AA226="","",IF(AA226&lt;AsOf,1,IF(AA226&lt;=AsOf+AlertDays,2,IF(AA226&lt;=AsOf+2*AlertDays,3,""))))))</f>
        <v/>
      </c>
      <c r="AC226" s="79">
        <f>IF(AB226="","",IF(AH226=1,IF(Y226="⚠️ Delivery after install date","Delivery after install date: "&amp;B226,"Order late — install at risk: "&amp;B226),IF(AD226=1,IF(AB226=1,"Decision overdue: ","Decide: ")&amp;B226,"Order: "&amp;B226&amp;IF(N226="",""," from "&amp;N226))))</f>
        <v/>
      </c>
      <c r="AD226" s="79">
        <f>IF(AND(B226&lt;&gt;"",K226="",U226&lt;&gt;"Yes",X226&lt;&gt;"Yes"),1,0)</f>
        <v/>
      </c>
      <c r="AE226" s="79">
        <f>IF(AND(AD226=1,T226&lt;&gt;""),IF(T226&lt;AsOf,1,0),0)</f>
        <v/>
      </c>
      <c r="AF226" s="79">
        <f>IF(AND(AD226=1,T226&lt;&gt;""),IF(AND(T226&gt;=AsOf,T226&lt;=AsOf+AlertDays),1,0),0)</f>
        <v/>
      </c>
      <c r="AG226" s="79">
        <f>IF(Y226="Order now",1,0)</f>
        <v/>
      </c>
      <c r="AH226" s="79">
        <f>IF(OR(Y226="⚠️ Order late — install at risk",Y226="⚠️ Delivery after install date"),1,0)</f>
        <v/>
      </c>
      <c r="AI226" s="79">
        <f>IF(AND(B226&lt;&gt;"",K226&lt;&gt;"",U226&lt;&gt;"Yes",X226&lt;&gt;"Yes"),1,0)</f>
        <v/>
      </c>
      <c r="AJ226" s="79">
        <f>IF(Y226="⚠️ Order late — install at risk",1,0)</f>
        <v/>
      </c>
    </row>
    <row r="227" ht="20" customHeight="1">
      <c r="B227" s="72" t="n"/>
      <c r="C227" s="72" t="n"/>
      <c r="D227" s="72" t="n"/>
      <c r="E227" s="72" t="n"/>
      <c r="F227" s="73" t="n"/>
      <c r="G227" s="72" t="n"/>
      <c r="H227" s="73" t="n"/>
      <c r="I227" s="72" t="n"/>
      <c r="J227" s="73" t="n"/>
      <c r="K227" s="74" t="n"/>
      <c r="L227" s="75">
        <f>IF(K227="A",F227,IF(K227="B",H227,IF(K227="C",J227,"")))</f>
        <v/>
      </c>
      <c r="M227" s="72" t="n"/>
      <c r="N227" s="72" t="n"/>
      <c r="O227" s="89" t="n"/>
      <c r="P227" s="89" t="n"/>
      <c r="Q227" s="109" t="n"/>
      <c r="R227" s="120">
        <f>IF(B227="","",IF(Q227&lt;&gt;"",Q227,IF(P227="","",IFERROR(INDEX('Timeline'!$J$7:$J$1006,MATCH(P227,'Timeline'!$B$7:$B$1006,0)),""))))</f>
        <v/>
      </c>
      <c r="S227" s="126">
        <f>IF(R227="","",R227-IF(O227="",0,O227)-OrderBuf)</f>
        <v/>
      </c>
      <c r="T227" s="126">
        <f>IF(S227="","",S227-DecideBuf)</f>
        <v/>
      </c>
      <c r="U227" s="74" t="n"/>
      <c r="V227" s="109" t="n"/>
      <c r="W227" s="109" t="n"/>
      <c r="X227" s="74" t="n"/>
      <c r="Y227" s="116">
        <f>IF(B227="","",IF(X227="Yes","Delivered",IF(U227="Yes",IF(AND(W227&lt;&gt;"",R227&lt;&gt;""),IF(W227&gt;R227,"⚠️ Delivery after install date","Ordered"),"Ordered"),IF(K227="",IF(T227="","Waiting for decision",IF(T227&lt;=AsOf+AlertDays,"Decide now","Waiting for decision")),IF(S227="","Selected",IF(AsOf&gt;S227,"⚠️ Order late — install at risk",IF(S227&lt;=AsOf+AlertDays,"Order now","Selected")))))))</f>
        <v/>
      </c>
      <c r="Z227" s="79">
        <f>IF(B227="","",IF(OR(AH227=1,AE227=1),2,IF(OR(AG227=1,AF227=1),1,IF(OR(Y227="Ordered",Y227="Delivered"),0,""))))</f>
        <v/>
      </c>
      <c r="AA227" s="112">
        <f>IF(B227="","",IF(AH227=1,IF(Y227="⚠️ Delivery after install date",R227,S227),IF(AD227=1,T227,IF(AI227=1,S227,""))))</f>
        <v/>
      </c>
      <c r="AB227" s="79">
        <f>IF(AA227="","",IF(AH227=1,1,IF(AA227="","",IF(AA227&lt;AsOf,1,IF(AA227&lt;=AsOf+AlertDays,2,IF(AA227&lt;=AsOf+2*AlertDays,3,""))))))</f>
        <v/>
      </c>
      <c r="AC227" s="79">
        <f>IF(AB227="","",IF(AH227=1,IF(Y227="⚠️ Delivery after install date","Delivery after install date: "&amp;B227,"Order late — install at risk: "&amp;B227),IF(AD227=1,IF(AB227=1,"Decision overdue: ","Decide: ")&amp;B227,"Order: "&amp;B227&amp;IF(N227="",""," from "&amp;N227))))</f>
        <v/>
      </c>
      <c r="AD227" s="79">
        <f>IF(AND(B227&lt;&gt;"",K227="",U227&lt;&gt;"Yes",X227&lt;&gt;"Yes"),1,0)</f>
        <v/>
      </c>
      <c r="AE227" s="79">
        <f>IF(AND(AD227=1,T227&lt;&gt;""),IF(T227&lt;AsOf,1,0),0)</f>
        <v/>
      </c>
      <c r="AF227" s="79">
        <f>IF(AND(AD227=1,T227&lt;&gt;""),IF(AND(T227&gt;=AsOf,T227&lt;=AsOf+AlertDays),1,0),0)</f>
        <v/>
      </c>
      <c r="AG227" s="79">
        <f>IF(Y227="Order now",1,0)</f>
        <v/>
      </c>
      <c r="AH227" s="79">
        <f>IF(OR(Y227="⚠️ Order late — install at risk",Y227="⚠️ Delivery after install date"),1,0)</f>
        <v/>
      </c>
      <c r="AI227" s="79">
        <f>IF(AND(B227&lt;&gt;"",K227&lt;&gt;"",U227&lt;&gt;"Yes",X227&lt;&gt;"Yes"),1,0)</f>
        <v/>
      </c>
      <c r="AJ227" s="79">
        <f>IF(Y227="⚠️ Order late — install at risk",1,0)</f>
        <v/>
      </c>
    </row>
    <row r="228" ht="20" customHeight="1">
      <c r="B228" s="72" t="n"/>
      <c r="C228" s="72" t="n"/>
      <c r="D228" s="72" t="n"/>
      <c r="E228" s="72" t="n"/>
      <c r="F228" s="73" t="n"/>
      <c r="G228" s="72" t="n"/>
      <c r="H228" s="73" t="n"/>
      <c r="I228" s="72" t="n"/>
      <c r="J228" s="73" t="n"/>
      <c r="K228" s="74" t="n"/>
      <c r="L228" s="75">
        <f>IF(K228="A",F228,IF(K228="B",H228,IF(K228="C",J228,"")))</f>
        <v/>
      </c>
      <c r="M228" s="72" t="n"/>
      <c r="N228" s="72" t="n"/>
      <c r="O228" s="89" t="n"/>
      <c r="P228" s="89" t="n"/>
      <c r="Q228" s="109" t="n"/>
      <c r="R228" s="120">
        <f>IF(B228="","",IF(Q228&lt;&gt;"",Q228,IF(P228="","",IFERROR(INDEX('Timeline'!$J$7:$J$1006,MATCH(P228,'Timeline'!$B$7:$B$1006,0)),""))))</f>
        <v/>
      </c>
      <c r="S228" s="126">
        <f>IF(R228="","",R228-IF(O228="",0,O228)-OrderBuf)</f>
        <v/>
      </c>
      <c r="T228" s="126">
        <f>IF(S228="","",S228-DecideBuf)</f>
        <v/>
      </c>
      <c r="U228" s="74" t="n"/>
      <c r="V228" s="109" t="n"/>
      <c r="W228" s="109" t="n"/>
      <c r="X228" s="74" t="n"/>
      <c r="Y228" s="116">
        <f>IF(B228="","",IF(X228="Yes","Delivered",IF(U228="Yes",IF(AND(W228&lt;&gt;"",R228&lt;&gt;""),IF(W228&gt;R228,"⚠️ Delivery after install date","Ordered"),"Ordered"),IF(K228="",IF(T228="","Waiting for decision",IF(T228&lt;=AsOf+AlertDays,"Decide now","Waiting for decision")),IF(S228="","Selected",IF(AsOf&gt;S228,"⚠️ Order late — install at risk",IF(S228&lt;=AsOf+AlertDays,"Order now","Selected")))))))</f>
        <v/>
      </c>
      <c r="Z228" s="79">
        <f>IF(B228="","",IF(OR(AH228=1,AE228=1),2,IF(OR(AG228=1,AF228=1),1,IF(OR(Y228="Ordered",Y228="Delivered"),0,""))))</f>
        <v/>
      </c>
      <c r="AA228" s="112">
        <f>IF(B228="","",IF(AH228=1,IF(Y228="⚠️ Delivery after install date",R228,S228),IF(AD228=1,T228,IF(AI228=1,S228,""))))</f>
        <v/>
      </c>
      <c r="AB228" s="79">
        <f>IF(AA228="","",IF(AH228=1,1,IF(AA228="","",IF(AA228&lt;AsOf,1,IF(AA228&lt;=AsOf+AlertDays,2,IF(AA228&lt;=AsOf+2*AlertDays,3,""))))))</f>
        <v/>
      </c>
      <c r="AC228" s="79">
        <f>IF(AB228="","",IF(AH228=1,IF(Y228="⚠️ Delivery after install date","Delivery after install date: "&amp;B228,"Order late — install at risk: "&amp;B228),IF(AD228=1,IF(AB228=1,"Decision overdue: ","Decide: ")&amp;B228,"Order: "&amp;B228&amp;IF(N228="",""," from "&amp;N228))))</f>
        <v/>
      </c>
      <c r="AD228" s="79">
        <f>IF(AND(B228&lt;&gt;"",K228="",U228&lt;&gt;"Yes",X228&lt;&gt;"Yes"),1,0)</f>
        <v/>
      </c>
      <c r="AE228" s="79">
        <f>IF(AND(AD228=1,T228&lt;&gt;""),IF(T228&lt;AsOf,1,0),0)</f>
        <v/>
      </c>
      <c r="AF228" s="79">
        <f>IF(AND(AD228=1,T228&lt;&gt;""),IF(AND(T228&gt;=AsOf,T228&lt;=AsOf+AlertDays),1,0),0)</f>
        <v/>
      </c>
      <c r="AG228" s="79">
        <f>IF(Y228="Order now",1,0)</f>
        <v/>
      </c>
      <c r="AH228" s="79">
        <f>IF(OR(Y228="⚠️ Order late — install at risk",Y228="⚠️ Delivery after install date"),1,0)</f>
        <v/>
      </c>
      <c r="AI228" s="79">
        <f>IF(AND(B228&lt;&gt;"",K228&lt;&gt;"",U228&lt;&gt;"Yes",X228&lt;&gt;"Yes"),1,0)</f>
        <v/>
      </c>
      <c r="AJ228" s="79">
        <f>IF(Y228="⚠️ Order late — install at risk",1,0)</f>
        <v/>
      </c>
    </row>
    <row r="229" ht="20" customHeight="1">
      <c r="B229" s="72" t="n"/>
      <c r="C229" s="72" t="n"/>
      <c r="D229" s="72" t="n"/>
      <c r="E229" s="72" t="n"/>
      <c r="F229" s="73" t="n"/>
      <c r="G229" s="72" t="n"/>
      <c r="H229" s="73" t="n"/>
      <c r="I229" s="72" t="n"/>
      <c r="J229" s="73" t="n"/>
      <c r="K229" s="74" t="n"/>
      <c r="L229" s="75">
        <f>IF(K229="A",F229,IF(K229="B",H229,IF(K229="C",J229,"")))</f>
        <v/>
      </c>
      <c r="M229" s="72" t="n"/>
      <c r="N229" s="72" t="n"/>
      <c r="O229" s="89" t="n"/>
      <c r="P229" s="89" t="n"/>
      <c r="Q229" s="109" t="n"/>
      <c r="R229" s="120">
        <f>IF(B229="","",IF(Q229&lt;&gt;"",Q229,IF(P229="","",IFERROR(INDEX('Timeline'!$J$7:$J$1006,MATCH(P229,'Timeline'!$B$7:$B$1006,0)),""))))</f>
        <v/>
      </c>
      <c r="S229" s="126">
        <f>IF(R229="","",R229-IF(O229="",0,O229)-OrderBuf)</f>
        <v/>
      </c>
      <c r="T229" s="126">
        <f>IF(S229="","",S229-DecideBuf)</f>
        <v/>
      </c>
      <c r="U229" s="74" t="n"/>
      <c r="V229" s="109" t="n"/>
      <c r="W229" s="109" t="n"/>
      <c r="X229" s="74" t="n"/>
      <c r="Y229" s="116">
        <f>IF(B229="","",IF(X229="Yes","Delivered",IF(U229="Yes",IF(AND(W229&lt;&gt;"",R229&lt;&gt;""),IF(W229&gt;R229,"⚠️ Delivery after install date","Ordered"),"Ordered"),IF(K229="",IF(T229="","Waiting for decision",IF(T229&lt;=AsOf+AlertDays,"Decide now","Waiting for decision")),IF(S229="","Selected",IF(AsOf&gt;S229,"⚠️ Order late — install at risk",IF(S229&lt;=AsOf+AlertDays,"Order now","Selected")))))))</f>
        <v/>
      </c>
      <c r="Z229" s="79">
        <f>IF(B229="","",IF(OR(AH229=1,AE229=1),2,IF(OR(AG229=1,AF229=1),1,IF(OR(Y229="Ordered",Y229="Delivered"),0,""))))</f>
        <v/>
      </c>
      <c r="AA229" s="112">
        <f>IF(B229="","",IF(AH229=1,IF(Y229="⚠️ Delivery after install date",R229,S229),IF(AD229=1,T229,IF(AI229=1,S229,""))))</f>
        <v/>
      </c>
      <c r="AB229" s="79">
        <f>IF(AA229="","",IF(AH229=1,1,IF(AA229="","",IF(AA229&lt;AsOf,1,IF(AA229&lt;=AsOf+AlertDays,2,IF(AA229&lt;=AsOf+2*AlertDays,3,""))))))</f>
        <v/>
      </c>
      <c r="AC229" s="79">
        <f>IF(AB229="","",IF(AH229=1,IF(Y229="⚠️ Delivery after install date","Delivery after install date: "&amp;B229,"Order late — install at risk: "&amp;B229),IF(AD229=1,IF(AB229=1,"Decision overdue: ","Decide: ")&amp;B229,"Order: "&amp;B229&amp;IF(N229="",""," from "&amp;N229))))</f>
        <v/>
      </c>
      <c r="AD229" s="79">
        <f>IF(AND(B229&lt;&gt;"",K229="",U229&lt;&gt;"Yes",X229&lt;&gt;"Yes"),1,0)</f>
        <v/>
      </c>
      <c r="AE229" s="79">
        <f>IF(AND(AD229=1,T229&lt;&gt;""),IF(T229&lt;AsOf,1,0),0)</f>
        <v/>
      </c>
      <c r="AF229" s="79">
        <f>IF(AND(AD229=1,T229&lt;&gt;""),IF(AND(T229&gt;=AsOf,T229&lt;=AsOf+AlertDays),1,0),0)</f>
        <v/>
      </c>
      <c r="AG229" s="79">
        <f>IF(Y229="Order now",1,0)</f>
        <v/>
      </c>
      <c r="AH229" s="79">
        <f>IF(OR(Y229="⚠️ Order late — install at risk",Y229="⚠️ Delivery after install date"),1,0)</f>
        <v/>
      </c>
      <c r="AI229" s="79">
        <f>IF(AND(B229&lt;&gt;"",K229&lt;&gt;"",U229&lt;&gt;"Yes",X229&lt;&gt;"Yes"),1,0)</f>
        <v/>
      </c>
      <c r="AJ229" s="79">
        <f>IF(Y229="⚠️ Order late — install at risk",1,0)</f>
        <v/>
      </c>
    </row>
    <row r="230" ht="20" customHeight="1">
      <c r="B230" s="72" t="n"/>
      <c r="C230" s="72" t="n"/>
      <c r="D230" s="72" t="n"/>
      <c r="E230" s="72" t="n"/>
      <c r="F230" s="73" t="n"/>
      <c r="G230" s="72" t="n"/>
      <c r="H230" s="73" t="n"/>
      <c r="I230" s="72" t="n"/>
      <c r="J230" s="73" t="n"/>
      <c r="K230" s="74" t="n"/>
      <c r="L230" s="75">
        <f>IF(K230="A",F230,IF(K230="B",H230,IF(K230="C",J230,"")))</f>
        <v/>
      </c>
      <c r="M230" s="72" t="n"/>
      <c r="N230" s="72" t="n"/>
      <c r="O230" s="89" t="n"/>
      <c r="P230" s="89" t="n"/>
      <c r="Q230" s="109" t="n"/>
      <c r="R230" s="120">
        <f>IF(B230="","",IF(Q230&lt;&gt;"",Q230,IF(P230="","",IFERROR(INDEX('Timeline'!$J$7:$J$1006,MATCH(P230,'Timeline'!$B$7:$B$1006,0)),""))))</f>
        <v/>
      </c>
      <c r="S230" s="126">
        <f>IF(R230="","",R230-IF(O230="",0,O230)-OrderBuf)</f>
        <v/>
      </c>
      <c r="T230" s="126">
        <f>IF(S230="","",S230-DecideBuf)</f>
        <v/>
      </c>
      <c r="U230" s="74" t="n"/>
      <c r="V230" s="109" t="n"/>
      <c r="W230" s="109" t="n"/>
      <c r="X230" s="74" t="n"/>
      <c r="Y230" s="116">
        <f>IF(B230="","",IF(X230="Yes","Delivered",IF(U230="Yes",IF(AND(W230&lt;&gt;"",R230&lt;&gt;""),IF(W230&gt;R230,"⚠️ Delivery after install date","Ordered"),"Ordered"),IF(K230="",IF(T230="","Waiting for decision",IF(T230&lt;=AsOf+AlertDays,"Decide now","Waiting for decision")),IF(S230="","Selected",IF(AsOf&gt;S230,"⚠️ Order late — install at risk",IF(S230&lt;=AsOf+AlertDays,"Order now","Selected")))))))</f>
        <v/>
      </c>
      <c r="Z230" s="79">
        <f>IF(B230="","",IF(OR(AH230=1,AE230=1),2,IF(OR(AG230=1,AF230=1),1,IF(OR(Y230="Ordered",Y230="Delivered"),0,""))))</f>
        <v/>
      </c>
      <c r="AA230" s="112">
        <f>IF(B230="","",IF(AH230=1,IF(Y230="⚠️ Delivery after install date",R230,S230),IF(AD230=1,T230,IF(AI230=1,S230,""))))</f>
        <v/>
      </c>
      <c r="AB230" s="79">
        <f>IF(AA230="","",IF(AH230=1,1,IF(AA230="","",IF(AA230&lt;AsOf,1,IF(AA230&lt;=AsOf+AlertDays,2,IF(AA230&lt;=AsOf+2*AlertDays,3,""))))))</f>
        <v/>
      </c>
      <c r="AC230" s="79">
        <f>IF(AB230="","",IF(AH230=1,IF(Y230="⚠️ Delivery after install date","Delivery after install date: "&amp;B230,"Order late — install at risk: "&amp;B230),IF(AD230=1,IF(AB230=1,"Decision overdue: ","Decide: ")&amp;B230,"Order: "&amp;B230&amp;IF(N230="",""," from "&amp;N230))))</f>
        <v/>
      </c>
      <c r="AD230" s="79">
        <f>IF(AND(B230&lt;&gt;"",K230="",U230&lt;&gt;"Yes",X230&lt;&gt;"Yes"),1,0)</f>
        <v/>
      </c>
      <c r="AE230" s="79">
        <f>IF(AND(AD230=1,T230&lt;&gt;""),IF(T230&lt;AsOf,1,0),0)</f>
        <v/>
      </c>
      <c r="AF230" s="79">
        <f>IF(AND(AD230=1,T230&lt;&gt;""),IF(AND(T230&gt;=AsOf,T230&lt;=AsOf+AlertDays),1,0),0)</f>
        <v/>
      </c>
      <c r="AG230" s="79">
        <f>IF(Y230="Order now",1,0)</f>
        <v/>
      </c>
      <c r="AH230" s="79">
        <f>IF(OR(Y230="⚠️ Order late — install at risk",Y230="⚠️ Delivery after install date"),1,0)</f>
        <v/>
      </c>
      <c r="AI230" s="79">
        <f>IF(AND(B230&lt;&gt;"",K230&lt;&gt;"",U230&lt;&gt;"Yes",X230&lt;&gt;"Yes"),1,0)</f>
        <v/>
      </c>
      <c r="AJ230" s="79">
        <f>IF(Y230="⚠️ Order late — install at risk",1,0)</f>
        <v/>
      </c>
    </row>
    <row r="231" ht="20" customHeight="1">
      <c r="B231" s="72" t="n"/>
      <c r="C231" s="72" t="n"/>
      <c r="D231" s="72" t="n"/>
      <c r="E231" s="72" t="n"/>
      <c r="F231" s="73" t="n"/>
      <c r="G231" s="72" t="n"/>
      <c r="H231" s="73" t="n"/>
      <c r="I231" s="72" t="n"/>
      <c r="J231" s="73" t="n"/>
      <c r="K231" s="74" t="n"/>
      <c r="L231" s="75">
        <f>IF(K231="A",F231,IF(K231="B",H231,IF(K231="C",J231,"")))</f>
        <v/>
      </c>
      <c r="M231" s="72" t="n"/>
      <c r="N231" s="72" t="n"/>
      <c r="O231" s="89" t="n"/>
      <c r="P231" s="89" t="n"/>
      <c r="Q231" s="109" t="n"/>
      <c r="R231" s="120">
        <f>IF(B231="","",IF(Q231&lt;&gt;"",Q231,IF(P231="","",IFERROR(INDEX('Timeline'!$J$7:$J$1006,MATCH(P231,'Timeline'!$B$7:$B$1006,0)),""))))</f>
        <v/>
      </c>
      <c r="S231" s="126">
        <f>IF(R231="","",R231-IF(O231="",0,O231)-OrderBuf)</f>
        <v/>
      </c>
      <c r="T231" s="126">
        <f>IF(S231="","",S231-DecideBuf)</f>
        <v/>
      </c>
      <c r="U231" s="74" t="n"/>
      <c r="V231" s="109" t="n"/>
      <c r="W231" s="109" t="n"/>
      <c r="X231" s="74" t="n"/>
      <c r="Y231" s="116">
        <f>IF(B231="","",IF(X231="Yes","Delivered",IF(U231="Yes",IF(AND(W231&lt;&gt;"",R231&lt;&gt;""),IF(W231&gt;R231,"⚠️ Delivery after install date","Ordered"),"Ordered"),IF(K231="",IF(T231="","Waiting for decision",IF(T231&lt;=AsOf+AlertDays,"Decide now","Waiting for decision")),IF(S231="","Selected",IF(AsOf&gt;S231,"⚠️ Order late — install at risk",IF(S231&lt;=AsOf+AlertDays,"Order now","Selected")))))))</f>
        <v/>
      </c>
      <c r="Z231" s="79">
        <f>IF(B231="","",IF(OR(AH231=1,AE231=1),2,IF(OR(AG231=1,AF231=1),1,IF(OR(Y231="Ordered",Y231="Delivered"),0,""))))</f>
        <v/>
      </c>
      <c r="AA231" s="112">
        <f>IF(B231="","",IF(AH231=1,IF(Y231="⚠️ Delivery after install date",R231,S231),IF(AD231=1,T231,IF(AI231=1,S231,""))))</f>
        <v/>
      </c>
      <c r="AB231" s="79">
        <f>IF(AA231="","",IF(AH231=1,1,IF(AA231="","",IF(AA231&lt;AsOf,1,IF(AA231&lt;=AsOf+AlertDays,2,IF(AA231&lt;=AsOf+2*AlertDays,3,""))))))</f>
        <v/>
      </c>
      <c r="AC231" s="79">
        <f>IF(AB231="","",IF(AH231=1,IF(Y231="⚠️ Delivery after install date","Delivery after install date: "&amp;B231,"Order late — install at risk: "&amp;B231),IF(AD231=1,IF(AB231=1,"Decision overdue: ","Decide: ")&amp;B231,"Order: "&amp;B231&amp;IF(N231="",""," from "&amp;N231))))</f>
        <v/>
      </c>
      <c r="AD231" s="79">
        <f>IF(AND(B231&lt;&gt;"",K231="",U231&lt;&gt;"Yes",X231&lt;&gt;"Yes"),1,0)</f>
        <v/>
      </c>
      <c r="AE231" s="79">
        <f>IF(AND(AD231=1,T231&lt;&gt;""),IF(T231&lt;AsOf,1,0),0)</f>
        <v/>
      </c>
      <c r="AF231" s="79">
        <f>IF(AND(AD231=1,T231&lt;&gt;""),IF(AND(T231&gt;=AsOf,T231&lt;=AsOf+AlertDays),1,0),0)</f>
        <v/>
      </c>
      <c r="AG231" s="79">
        <f>IF(Y231="Order now",1,0)</f>
        <v/>
      </c>
      <c r="AH231" s="79">
        <f>IF(OR(Y231="⚠️ Order late — install at risk",Y231="⚠️ Delivery after install date"),1,0)</f>
        <v/>
      </c>
      <c r="AI231" s="79">
        <f>IF(AND(B231&lt;&gt;"",K231&lt;&gt;"",U231&lt;&gt;"Yes",X231&lt;&gt;"Yes"),1,0)</f>
        <v/>
      </c>
      <c r="AJ231" s="79">
        <f>IF(Y231="⚠️ Order late — install at risk",1,0)</f>
        <v/>
      </c>
    </row>
    <row r="232" ht="20" customHeight="1">
      <c r="B232" s="72" t="n"/>
      <c r="C232" s="72" t="n"/>
      <c r="D232" s="72" t="n"/>
      <c r="E232" s="72" t="n"/>
      <c r="F232" s="73" t="n"/>
      <c r="G232" s="72" t="n"/>
      <c r="H232" s="73" t="n"/>
      <c r="I232" s="72" t="n"/>
      <c r="J232" s="73" t="n"/>
      <c r="K232" s="74" t="n"/>
      <c r="L232" s="75">
        <f>IF(K232="A",F232,IF(K232="B",H232,IF(K232="C",J232,"")))</f>
        <v/>
      </c>
      <c r="M232" s="72" t="n"/>
      <c r="N232" s="72" t="n"/>
      <c r="O232" s="89" t="n"/>
      <c r="P232" s="89" t="n"/>
      <c r="Q232" s="109" t="n"/>
      <c r="R232" s="120">
        <f>IF(B232="","",IF(Q232&lt;&gt;"",Q232,IF(P232="","",IFERROR(INDEX('Timeline'!$J$7:$J$1006,MATCH(P232,'Timeline'!$B$7:$B$1006,0)),""))))</f>
        <v/>
      </c>
      <c r="S232" s="126">
        <f>IF(R232="","",R232-IF(O232="",0,O232)-OrderBuf)</f>
        <v/>
      </c>
      <c r="T232" s="126">
        <f>IF(S232="","",S232-DecideBuf)</f>
        <v/>
      </c>
      <c r="U232" s="74" t="n"/>
      <c r="V232" s="109" t="n"/>
      <c r="W232" s="109" t="n"/>
      <c r="X232" s="74" t="n"/>
      <c r="Y232" s="116">
        <f>IF(B232="","",IF(X232="Yes","Delivered",IF(U232="Yes",IF(AND(W232&lt;&gt;"",R232&lt;&gt;""),IF(W232&gt;R232,"⚠️ Delivery after install date","Ordered"),"Ordered"),IF(K232="",IF(T232="","Waiting for decision",IF(T232&lt;=AsOf+AlertDays,"Decide now","Waiting for decision")),IF(S232="","Selected",IF(AsOf&gt;S232,"⚠️ Order late — install at risk",IF(S232&lt;=AsOf+AlertDays,"Order now","Selected")))))))</f>
        <v/>
      </c>
      <c r="Z232" s="79">
        <f>IF(B232="","",IF(OR(AH232=1,AE232=1),2,IF(OR(AG232=1,AF232=1),1,IF(OR(Y232="Ordered",Y232="Delivered"),0,""))))</f>
        <v/>
      </c>
      <c r="AA232" s="112">
        <f>IF(B232="","",IF(AH232=1,IF(Y232="⚠️ Delivery after install date",R232,S232),IF(AD232=1,T232,IF(AI232=1,S232,""))))</f>
        <v/>
      </c>
      <c r="AB232" s="79">
        <f>IF(AA232="","",IF(AH232=1,1,IF(AA232="","",IF(AA232&lt;AsOf,1,IF(AA232&lt;=AsOf+AlertDays,2,IF(AA232&lt;=AsOf+2*AlertDays,3,""))))))</f>
        <v/>
      </c>
      <c r="AC232" s="79">
        <f>IF(AB232="","",IF(AH232=1,IF(Y232="⚠️ Delivery after install date","Delivery after install date: "&amp;B232,"Order late — install at risk: "&amp;B232),IF(AD232=1,IF(AB232=1,"Decision overdue: ","Decide: ")&amp;B232,"Order: "&amp;B232&amp;IF(N232="",""," from "&amp;N232))))</f>
        <v/>
      </c>
      <c r="AD232" s="79">
        <f>IF(AND(B232&lt;&gt;"",K232="",U232&lt;&gt;"Yes",X232&lt;&gt;"Yes"),1,0)</f>
        <v/>
      </c>
      <c r="AE232" s="79">
        <f>IF(AND(AD232=1,T232&lt;&gt;""),IF(T232&lt;AsOf,1,0),0)</f>
        <v/>
      </c>
      <c r="AF232" s="79">
        <f>IF(AND(AD232=1,T232&lt;&gt;""),IF(AND(T232&gt;=AsOf,T232&lt;=AsOf+AlertDays),1,0),0)</f>
        <v/>
      </c>
      <c r="AG232" s="79">
        <f>IF(Y232="Order now",1,0)</f>
        <v/>
      </c>
      <c r="AH232" s="79">
        <f>IF(OR(Y232="⚠️ Order late — install at risk",Y232="⚠️ Delivery after install date"),1,0)</f>
        <v/>
      </c>
      <c r="AI232" s="79">
        <f>IF(AND(B232&lt;&gt;"",K232&lt;&gt;"",U232&lt;&gt;"Yes",X232&lt;&gt;"Yes"),1,0)</f>
        <v/>
      </c>
      <c r="AJ232" s="79">
        <f>IF(Y232="⚠️ Order late — install at risk",1,0)</f>
        <v/>
      </c>
    </row>
    <row r="233" ht="20" customHeight="1">
      <c r="B233" s="72" t="n"/>
      <c r="C233" s="72" t="n"/>
      <c r="D233" s="72" t="n"/>
      <c r="E233" s="72" t="n"/>
      <c r="F233" s="73" t="n"/>
      <c r="G233" s="72" t="n"/>
      <c r="H233" s="73" t="n"/>
      <c r="I233" s="72" t="n"/>
      <c r="J233" s="73" t="n"/>
      <c r="K233" s="74" t="n"/>
      <c r="L233" s="75">
        <f>IF(K233="A",F233,IF(K233="B",H233,IF(K233="C",J233,"")))</f>
        <v/>
      </c>
      <c r="M233" s="72" t="n"/>
      <c r="N233" s="72" t="n"/>
      <c r="O233" s="89" t="n"/>
      <c r="P233" s="89" t="n"/>
      <c r="Q233" s="109" t="n"/>
      <c r="R233" s="120">
        <f>IF(B233="","",IF(Q233&lt;&gt;"",Q233,IF(P233="","",IFERROR(INDEX('Timeline'!$J$7:$J$1006,MATCH(P233,'Timeline'!$B$7:$B$1006,0)),""))))</f>
        <v/>
      </c>
      <c r="S233" s="126">
        <f>IF(R233="","",R233-IF(O233="",0,O233)-OrderBuf)</f>
        <v/>
      </c>
      <c r="T233" s="126">
        <f>IF(S233="","",S233-DecideBuf)</f>
        <v/>
      </c>
      <c r="U233" s="74" t="n"/>
      <c r="V233" s="109" t="n"/>
      <c r="W233" s="109" t="n"/>
      <c r="X233" s="74" t="n"/>
      <c r="Y233" s="116">
        <f>IF(B233="","",IF(X233="Yes","Delivered",IF(U233="Yes",IF(AND(W233&lt;&gt;"",R233&lt;&gt;""),IF(W233&gt;R233,"⚠️ Delivery after install date","Ordered"),"Ordered"),IF(K233="",IF(T233="","Waiting for decision",IF(T233&lt;=AsOf+AlertDays,"Decide now","Waiting for decision")),IF(S233="","Selected",IF(AsOf&gt;S233,"⚠️ Order late — install at risk",IF(S233&lt;=AsOf+AlertDays,"Order now","Selected")))))))</f>
        <v/>
      </c>
      <c r="Z233" s="79">
        <f>IF(B233="","",IF(OR(AH233=1,AE233=1),2,IF(OR(AG233=1,AF233=1),1,IF(OR(Y233="Ordered",Y233="Delivered"),0,""))))</f>
        <v/>
      </c>
      <c r="AA233" s="112">
        <f>IF(B233="","",IF(AH233=1,IF(Y233="⚠️ Delivery after install date",R233,S233),IF(AD233=1,T233,IF(AI233=1,S233,""))))</f>
        <v/>
      </c>
      <c r="AB233" s="79">
        <f>IF(AA233="","",IF(AH233=1,1,IF(AA233="","",IF(AA233&lt;AsOf,1,IF(AA233&lt;=AsOf+AlertDays,2,IF(AA233&lt;=AsOf+2*AlertDays,3,""))))))</f>
        <v/>
      </c>
      <c r="AC233" s="79">
        <f>IF(AB233="","",IF(AH233=1,IF(Y233="⚠️ Delivery after install date","Delivery after install date: "&amp;B233,"Order late — install at risk: "&amp;B233),IF(AD233=1,IF(AB233=1,"Decision overdue: ","Decide: ")&amp;B233,"Order: "&amp;B233&amp;IF(N233="",""," from "&amp;N233))))</f>
        <v/>
      </c>
      <c r="AD233" s="79">
        <f>IF(AND(B233&lt;&gt;"",K233="",U233&lt;&gt;"Yes",X233&lt;&gt;"Yes"),1,0)</f>
        <v/>
      </c>
      <c r="AE233" s="79">
        <f>IF(AND(AD233=1,T233&lt;&gt;""),IF(T233&lt;AsOf,1,0),0)</f>
        <v/>
      </c>
      <c r="AF233" s="79">
        <f>IF(AND(AD233=1,T233&lt;&gt;""),IF(AND(T233&gt;=AsOf,T233&lt;=AsOf+AlertDays),1,0),0)</f>
        <v/>
      </c>
      <c r="AG233" s="79">
        <f>IF(Y233="Order now",1,0)</f>
        <v/>
      </c>
      <c r="AH233" s="79">
        <f>IF(OR(Y233="⚠️ Order late — install at risk",Y233="⚠️ Delivery after install date"),1,0)</f>
        <v/>
      </c>
      <c r="AI233" s="79">
        <f>IF(AND(B233&lt;&gt;"",K233&lt;&gt;"",U233&lt;&gt;"Yes",X233&lt;&gt;"Yes"),1,0)</f>
        <v/>
      </c>
      <c r="AJ233" s="79">
        <f>IF(Y233="⚠️ Order late — install at risk",1,0)</f>
        <v/>
      </c>
    </row>
    <row r="234" ht="20" customHeight="1">
      <c r="B234" s="72" t="n"/>
      <c r="C234" s="72" t="n"/>
      <c r="D234" s="72" t="n"/>
      <c r="E234" s="72" t="n"/>
      <c r="F234" s="73" t="n"/>
      <c r="G234" s="72" t="n"/>
      <c r="H234" s="73" t="n"/>
      <c r="I234" s="72" t="n"/>
      <c r="J234" s="73" t="n"/>
      <c r="K234" s="74" t="n"/>
      <c r="L234" s="75">
        <f>IF(K234="A",F234,IF(K234="B",H234,IF(K234="C",J234,"")))</f>
        <v/>
      </c>
      <c r="M234" s="72" t="n"/>
      <c r="N234" s="72" t="n"/>
      <c r="O234" s="89" t="n"/>
      <c r="P234" s="89" t="n"/>
      <c r="Q234" s="109" t="n"/>
      <c r="R234" s="120">
        <f>IF(B234="","",IF(Q234&lt;&gt;"",Q234,IF(P234="","",IFERROR(INDEX('Timeline'!$J$7:$J$1006,MATCH(P234,'Timeline'!$B$7:$B$1006,0)),""))))</f>
        <v/>
      </c>
      <c r="S234" s="126">
        <f>IF(R234="","",R234-IF(O234="",0,O234)-OrderBuf)</f>
        <v/>
      </c>
      <c r="T234" s="126">
        <f>IF(S234="","",S234-DecideBuf)</f>
        <v/>
      </c>
      <c r="U234" s="74" t="n"/>
      <c r="V234" s="109" t="n"/>
      <c r="W234" s="109" t="n"/>
      <c r="X234" s="74" t="n"/>
      <c r="Y234" s="116">
        <f>IF(B234="","",IF(X234="Yes","Delivered",IF(U234="Yes",IF(AND(W234&lt;&gt;"",R234&lt;&gt;""),IF(W234&gt;R234,"⚠️ Delivery after install date","Ordered"),"Ordered"),IF(K234="",IF(T234="","Waiting for decision",IF(T234&lt;=AsOf+AlertDays,"Decide now","Waiting for decision")),IF(S234="","Selected",IF(AsOf&gt;S234,"⚠️ Order late — install at risk",IF(S234&lt;=AsOf+AlertDays,"Order now","Selected")))))))</f>
        <v/>
      </c>
      <c r="Z234" s="79">
        <f>IF(B234="","",IF(OR(AH234=1,AE234=1),2,IF(OR(AG234=1,AF234=1),1,IF(OR(Y234="Ordered",Y234="Delivered"),0,""))))</f>
        <v/>
      </c>
      <c r="AA234" s="112">
        <f>IF(B234="","",IF(AH234=1,IF(Y234="⚠️ Delivery after install date",R234,S234),IF(AD234=1,T234,IF(AI234=1,S234,""))))</f>
        <v/>
      </c>
      <c r="AB234" s="79">
        <f>IF(AA234="","",IF(AH234=1,1,IF(AA234="","",IF(AA234&lt;AsOf,1,IF(AA234&lt;=AsOf+AlertDays,2,IF(AA234&lt;=AsOf+2*AlertDays,3,""))))))</f>
        <v/>
      </c>
      <c r="AC234" s="79">
        <f>IF(AB234="","",IF(AH234=1,IF(Y234="⚠️ Delivery after install date","Delivery after install date: "&amp;B234,"Order late — install at risk: "&amp;B234),IF(AD234=1,IF(AB234=1,"Decision overdue: ","Decide: ")&amp;B234,"Order: "&amp;B234&amp;IF(N234="",""," from "&amp;N234))))</f>
        <v/>
      </c>
      <c r="AD234" s="79">
        <f>IF(AND(B234&lt;&gt;"",K234="",U234&lt;&gt;"Yes",X234&lt;&gt;"Yes"),1,0)</f>
        <v/>
      </c>
      <c r="AE234" s="79">
        <f>IF(AND(AD234=1,T234&lt;&gt;""),IF(T234&lt;AsOf,1,0),0)</f>
        <v/>
      </c>
      <c r="AF234" s="79">
        <f>IF(AND(AD234=1,T234&lt;&gt;""),IF(AND(T234&gt;=AsOf,T234&lt;=AsOf+AlertDays),1,0),0)</f>
        <v/>
      </c>
      <c r="AG234" s="79">
        <f>IF(Y234="Order now",1,0)</f>
        <v/>
      </c>
      <c r="AH234" s="79">
        <f>IF(OR(Y234="⚠️ Order late — install at risk",Y234="⚠️ Delivery after install date"),1,0)</f>
        <v/>
      </c>
      <c r="AI234" s="79">
        <f>IF(AND(B234&lt;&gt;"",K234&lt;&gt;"",U234&lt;&gt;"Yes",X234&lt;&gt;"Yes"),1,0)</f>
        <v/>
      </c>
      <c r="AJ234" s="79">
        <f>IF(Y234="⚠️ Order late — install at risk",1,0)</f>
        <v/>
      </c>
    </row>
    <row r="235" ht="20" customHeight="1">
      <c r="B235" s="72" t="n"/>
      <c r="C235" s="72" t="n"/>
      <c r="D235" s="72" t="n"/>
      <c r="E235" s="72" t="n"/>
      <c r="F235" s="73" t="n"/>
      <c r="G235" s="72" t="n"/>
      <c r="H235" s="73" t="n"/>
      <c r="I235" s="72" t="n"/>
      <c r="J235" s="73" t="n"/>
      <c r="K235" s="74" t="n"/>
      <c r="L235" s="75">
        <f>IF(K235="A",F235,IF(K235="B",H235,IF(K235="C",J235,"")))</f>
        <v/>
      </c>
      <c r="M235" s="72" t="n"/>
      <c r="N235" s="72" t="n"/>
      <c r="O235" s="89" t="n"/>
      <c r="P235" s="89" t="n"/>
      <c r="Q235" s="109" t="n"/>
      <c r="R235" s="120">
        <f>IF(B235="","",IF(Q235&lt;&gt;"",Q235,IF(P235="","",IFERROR(INDEX('Timeline'!$J$7:$J$1006,MATCH(P235,'Timeline'!$B$7:$B$1006,0)),""))))</f>
        <v/>
      </c>
      <c r="S235" s="126">
        <f>IF(R235="","",R235-IF(O235="",0,O235)-OrderBuf)</f>
        <v/>
      </c>
      <c r="T235" s="126">
        <f>IF(S235="","",S235-DecideBuf)</f>
        <v/>
      </c>
      <c r="U235" s="74" t="n"/>
      <c r="V235" s="109" t="n"/>
      <c r="W235" s="109" t="n"/>
      <c r="X235" s="74" t="n"/>
      <c r="Y235" s="116">
        <f>IF(B235="","",IF(X235="Yes","Delivered",IF(U235="Yes",IF(AND(W235&lt;&gt;"",R235&lt;&gt;""),IF(W235&gt;R235,"⚠️ Delivery after install date","Ordered"),"Ordered"),IF(K235="",IF(T235="","Waiting for decision",IF(T235&lt;=AsOf+AlertDays,"Decide now","Waiting for decision")),IF(S235="","Selected",IF(AsOf&gt;S235,"⚠️ Order late — install at risk",IF(S235&lt;=AsOf+AlertDays,"Order now","Selected")))))))</f>
        <v/>
      </c>
      <c r="Z235" s="79">
        <f>IF(B235="","",IF(OR(AH235=1,AE235=1),2,IF(OR(AG235=1,AF235=1),1,IF(OR(Y235="Ordered",Y235="Delivered"),0,""))))</f>
        <v/>
      </c>
      <c r="AA235" s="112">
        <f>IF(B235="","",IF(AH235=1,IF(Y235="⚠️ Delivery after install date",R235,S235),IF(AD235=1,T235,IF(AI235=1,S235,""))))</f>
        <v/>
      </c>
      <c r="AB235" s="79">
        <f>IF(AA235="","",IF(AH235=1,1,IF(AA235="","",IF(AA235&lt;AsOf,1,IF(AA235&lt;=AsOf+AlertDays,2,IF(AA235&lt;=AsOf+2*AlertDays,3,""))))))</f>
        <v/>
      </c>
      <c r="AC235" s="79">
        <f>IF(AB235="","",IF(AH235=1,IF(Y235="⚠️ Delivery after install date","Delivery after install date: "&amp;B235,"Order late — install at risk: "&amp;B235),IF(AD235=1,IF(AB235=1,"Decision overdue: ","Decide: ")&amp;B235,"Order: "&amp;B235&amp;IF(N235="",""," from "&amp;N235))))</f>
        <v/>
      </c>
      <c r="AD235" s="79">
        <f>IF(AND(B235&lt;&gt;"",K235="",U235&lt;&gt;"Yes",X235&lt;&gt;"Yes"),1,0)</f>
        <v/>
      </c>
      <c r="AE235" s="79">
        <f>IF(AND(AD235=1,T235&lt;&gt;""),IF(T235&lt;AsOf,1,0),0)</f>
        <v/>
      </c>
      <c r="AF235" s="79">
        <f>IF(AND(AD235=1,T235&lt;&gt;""),IF(AND(T235&gt;=AsOf,T235&lt;=AsOf+AlertDays),1,0),0)</f>
        <v/>
      </c>
      <c r="AG235" s="79">
        <f>IF(Y235="Order now",1,0)</f>
        <v/>
      </c>
      <c r="AH235" s="79">
        <f>IF(OR(Y235="⚠️ Order late — install at risk",Y235="⚠️ Delivery after install date"),1,0)</f>
        <v/>
      </c>
      <c r="AI235" s="79">
        <f>IF(AND(B235&lt;&gt;"",K235&lt;&gt;"",U235&lt;&gt;"Yes",X235&lt;&gt;"Yes"),1,0)</f>
        <v/>
      </c>
      <c r="AJ235" s="79">
        <f>IF(Y235="⚠️ Order late — install at risk",1,0)</f>
        <v/>
      </c>
    </row>
    <row r="236" ht="20" customHeight="1">
      <c r="B236" s="72" t="n"/>
      <c r="C236" s="72" t="n"/>
      <c r="D236" s="72" t="n"/>
      <c r="E236" s="72" t="n"/>
      <c r="F236" s="73" t="n"/>
      <c r="G236" s="72" t="n"/>
      <c r="H236" s="73" t="n"/>
      <c r="I236" s="72" t="n"/>
      <c r="J236" s="73" t="n"/>
      <c r="K236" s="74" t="n"/>
      <c r="L236" s="75">
        <f>IF(K236="A",F236,IF(K236="B",H236,IF(K236="C",J236,"")))</f>
        <v/>
      </c>
      <c r="M236" s="72" t="n"/>
      <c r="N236" s="72" t="n"/>
      <c r="O236" s="89" t="n"/>
      <c r="P236" s="89" t="n"/>
      <c r="Q236" s="109" t="n"/>
      <c r="R236" s="120">
        <f>IF(B236="","",IF(Q236&lt;&gt;"",Q236,IF(P236="","",IFERROR(INDEX('Timeline'!$J$7:$J$1006,MATCH(P236,'Timeline'!$B$7:$B$1006,0)),""))))</f>
        <v/>
      </c>
      <c r="S236" s="126">
        <f>IF(R236="","",R236-IF(O236="",0,O236)-OrderBuf)</f>
        <v/>
      </c>
      <c r="T236" s="126">
        <f>IF(S236="","",S236-DecideBuf)</f>
        <v/>
      </c>
      <c r="U236" s="74" t="n"/>
      <c r="V236" s="109" t="n"/>
      <c r="W236" s="109" t="n"/>
      <c r="X236" s="74" t="n"/>
      <c r="Y236" s="116">
        <f>IF(B236="","",IF(X236="Yes","Delivered",IF(U236="Yes",IF(AND(W236&lt;&gt;"",R236&lt;&gt;""),IF(W236&gt;R236,"⚠️ Delivery after install date","Ordered"),"Ordered"),IF(K236="",IF(T236="","Waiting for decision",IF(T236&lt;=AsOf+AlertDays,"Decide now","Waiting for decision")),IF(S236="","Selected",IF(AsOf&gt;S236,"⚠️ Order late — install at risk",IF(S236&lt;=AsOf+AlertDays,"Order now","Selected")))))))</f>
        <v/>
      </c>
      <c r="Z236" s="79">
        <f>IF(B236="","",IF(OR(AH236=1,AE236=1),2,IF(OR(AG236=1,AF236=1),1,IF(OR(Y236="Ordered",Y236="Delivered"),0,""))))</f>
        <v/>
      </c>
      <c r="AA236" s="112">
        <f>IF(B236="","",IF(AH236=1,IF(Y236="⚠️ Delivery after install date",R236,S236),IF(AD236=1,T236,IF(AI236=1,S236,""))))</f>
        <v/>
      </c>
      <c r="AB236" s="79">
        <f>IF(AA236="","",IF(AH236=1,1,IF(AA236="","",IF(AA236&lt;AsOf,1,IF(AA236&lt;=AsOf+AlertDays,2,IF(AA236&lt;=AsOf+2*AlertDays,3,""))))))</f>
        <v/>
      </c>
      <c r="AC236" s="79">
        <f>IF(AB236="","",IF(AH236=1,IF(Y236="⚠️ Delivery after install date","Delivery after install date: "&amp;B236,"Order late — install at risk: "&amp;B236),IF(AD236=1,IF(AB236=1,"Decision overdue: ","Decide: ")&amp;B236,"Order: "&amp;B236&amp;IF(N236="",""," from "&amp;N236))))</f>
        <v/>
      </c>
      <c r="AD236" s="79">
        <f>IF(AND(B236&lt;&gt;"",K236="",U236&lt;&gt;"Yes",X236&lt;&gt;"Yes"),1,0)</f>
        <v/>
      </c>
      <c r="AE236" s="79">
        <f>IF(AND(AD236=1,T236&lt;&gt;""),IF(T236&lt;AsOf,1,0),0)</f>
        <v/>
      </c>
      <c r="AF236" s="79">
        <f>IF(AND(AD236=1,T236&lt;&gt;""),IF(AND(T236&gt;=AsOf,T236&lt;=AsOf+AlertDays),1,0),0)</f>
        <v/>
      </c>
      <c r="AG236" s="79">
        <f>IF(Y236="Order now",1,0)</f>
        <v/>
      </c>
      <c r="AH236" s="79">
        <f>IF(OR(Y236="⚠️ Order late — install at risk",Y236="⚠️ Delivery after install date"),1,0)</f>
        <v/>
      </c>
      <c r="AI236" s="79">
        <f>IF(AND(B236&lt;&gt;"",K236&lt;&gt;"",U236&lt;&gt;"Yes",X236&lt;&gt;"Yes"),1,0)</f>
        <v/>
      </c>
      <c r="AJ236" s="79">
        <f>IF(Y236="⚠️ Order late — install at risk",1,0)</f>
        <v/>
      </c>
    </row>
    <row r="237" ht="20" customHeight="1">
      <c r="B237" s="72" t="n"/>
      <c r="C237" s="72" t="n"/>
      <c r="D237" s="72" t="n"/>
      <c r="E237" s="72" t="n"/>
      <c r="F237" s="73" t="n"/>
      <c r="G237" s="72" t="n"/>
      <c r="H237" s="73" t="n"/>
      <c r="I237" s="72" t="n"/>
      <c r="J237" s="73" t="n"/>
      <c r="K237" s="74" t="n"/>
      <c r="L237" s="75">
        <f>IF(K237="A",F237,IF(K237="B",H237,IF(K237="C",J237,"")))</f>
        <v/>
      </c>
      <c r="M237" s="72" t="n"/>
      <c r="N237" s="72" t="n"/>
      <c r="O237" s="89" t="n"/>
      <c r="P237" s="89" t="n"/>
      <c r="Q237" s="109" t="n"/>
      <c r="R237" s="120">
        <f>IF(B237="","",IF(Q237&lt;&gt;"",Q237,IF(P237="","",IFERROR(INDEX('Timeline'!$J$7:$J$1006,MATCH(P237,'Timeline'!$B$7:$B$1006,0)),""))))</f>
        <v/>
      </c>
      <c r="S237" s="126">
        <f>IF(R237="","",R237-IF(O237="",0,O237)-OrderBuf)</f>
        <v/>
      </c>
      <c r="T237" s="126">
        <f>IF(S237="","",S237-DecideBuf)</f>
        <v/>
      </c>
      <c r="U237" s="74" t="n"/>
      <c r="V237" s="109" t="n"/>
      <c r="W237" s="109" t="n"/>
      <c r="X237" s="74" t="n"/>
      <c r="Y237" s="116">
        <f>IF(B237="","",IF(X237="Yes","Delivered",IF(U237="Yes",IF(AND(W237&lt;&gt;"",R237&lt;&gt;""),IF(W237&gt;R237,"⚠️ Delivery after install date","Ordered"),"Ordered"),IF(K237="",IF(T237="","Waiting for decision",IF(T237&lt;=AsOf+AlertDays,"Decide now","Waiting for decision")),IF(S237="","Selected",IF(AsOf&gt;S237,"⚠️ Order late — install at risk",IF(S237&lt;=AsOf+AlertDays,"Order now","Selected")))))))</f>
        <v/>
      </c>
      <c r="Z237" s="79">
        <f>IF(B237="","",IF(OR(AH237=1,AE237=1),2,IF(OR(AG237=1,AF237=1),1,IF(OR(Y237="Ordered",Y237="Delivered"),0,""))))</f>
        <v/>
      </c>
      <c r="AA237" s="112">
        <f>IF(B237="","",IF(AH237=1,IF(Y237="⚠️ Delivery after install date",R237,S237),IF(AD237=1,T237,IF(AI237=1,S237,""))))</f>
        <v/>
      </c>
      <c r="AB237" s="79">
        <f>IF(AA237="","",IF(AH237=1,1,IF(AA237="","",IF(AA237&lt;AsOf,1,IF(AA237&lt;=AsOf+AlertDays,2,IF(AA237&lt;=AsOf+2*AlertDays,3,""))))))</f>
        <v/>
      </c>
      <c r="AC237" s="79">
        <f>IF(AB237="","",IF(AH237=1,IF(Y237="⚠️ Delivery after install date","Delivery after install date: "&amp;B237,"Order late — install at risk: "&amp;B237),IF(AD237=1,IF(AB237=1,"Decision overdue: ","Decide: ")&amp;B237,"Order: "&amp;B237&amp;IF(N237="",""," from "&amp;N237))))</f>
        <v/>
      </c>
      <c r="AD237" s="79">
        <f>IF(AND(B237&lt;&gt;"",K237="",U237&lt;&gt;"Yes",X237&lt;&gt;"Yes"),1,0)</f>
        <v/>
      </c>
      <c r="AE237" s="79">
        <f>IF(AND(AD237=1,T237&lt;&gt;""),IF(T237&lt;AsOf,1,0),0)</f>
        <v/>
      </c>
      <c r="AF237" s="79">
        <f>IF(AND(AD237=1,T237&lt;&gt;""),IF(AND(T237&gt;=AsOf,T237&lt;=AsOf+AlertDays),1,0),0)</f>
        <v/>
      </c>
      <c r="AG237" s="79">
        <f>IF(Y237="Order now",1,0)</f>
        <v/>
      </c>
      <c r="AH237" s="79">
        <f>IF(OR(Y237="⚠️ Order late — install at risk",Y237="⚠️ Delivery after install date"),1,0)</f>
        <v/>
      </c>
      <c r="AI237" s="79">
        <f>IF(AND(B237&lt;&gt;"",K237&lt;&gt;"",U237&lt;&gt;"Yes",X237&lt;&gt;"Yes"),1,0)</f>
        <v/>
      </c>
      <c r="AJ237" s="79">
        <f>IF(Y237="⚠️ Order late — install at risk",1,0)</f>
        <v/>
      </c>
    </row>
    <row r="238" ht="20" customHeight="1">
      <c r="B238" s="72" t="n"/>
      <c r="C238" s="72" t="n"/>
      <c r="D238" s="72" t="n"/>
      <c r="E238" s="72" t="n"/>
      <c r="F238" s="73" t="n"/>
      <c r="G238" s="72" t="n"/>
      <c r="H238" s="73" t="n"/>
      <c r="I238" s="72" t="n"/>
      <c r="J238" s="73" t="n"/>
      <c r="K238" s="74" t="n"/>
      <c r="L238" s="75">
        <f>IF(K238="A",F238,IF(K238="B",H238,IF(K238="C",J238,"")))</f>
        <v/>
      </c>
      <c r="M238" s="72" t="n"/>
      <c r="N238" s="72" t="n"/>
      <c r="O238" s="89" t="n"/>
      <c r="P238" s="89" t="n"/>
      <c r="Q238" s="109" t="n"/>
      <c r="R238" s="120">
        <f>IF(B238="","",IF(Q238&lt;&gt;"",Q238,IF(P238="","",IFERROR(INDEX('Timeline'!$J$7:$J$1006,MATCH(P238,'Timeline'!$B$7:$B$1006,0)),""))))</f>
        <v/>
      </c>
      <c r="S238" s="126">
        <f>IF(R238="","",R238-IF(O238="",0,O238)-OrderBuf)</f>
        <v/>
      </c>
      <c r="T238" s="126">
        <f>IF(S238="","",S238-DecideBuf)</f>
        <v/>
      </c>
      <c r="U238" s="74" t="n"/>
      <c r="V238" s="109" t="n"/>
      <c r="W238" s="109" t="n"/>
      <c r="X238" s="74" t="n"/>
      <c r="Y238" s="116">
        <f>IF(B238="","",IF(X238="Yes","Delivered",IF(U238="Yes",IF(AND(W238&lt;&gt;"",R238&lt;&gt;""),IF(W238&gt;R238,"⚠️ Delivery after install date","Ordered"),"Ordered"),IF(K238="",IF(T238="","Waiting for decision",IF(T238&lt;=AsOf+AlertDays,"Decide now","Waiting for decision")),IF(S238="","Selected",IF(AsOf&gt;S238,"⚠️ Order late — install at risk",IF(S238&lt;=AsOf+AlertDays,"Order now","Selected")))))))</f>
        <v/>
      </c>
      <c r="Z238" s="79">
        <f>IF(B238="","",IF(OR(AH238=1,AE238=1),2,IF(OR(AG238=1,AF238=1),1,IF(OR(Y238="Ordered",Y238="Delivered"),0,""))))</f>
        <v/>
      </c>
      <c r="AA238" s="112">
        <f>IF(B238="","",IF(AH238=1,IF(Y238="⚠️ Delivery after install date",R238,S238),IF(AD238=1,T238,IF(AI238=1,S238,""))))</f>
        <v/>
      </c>
      <c r="AB238" s="79">
        <f>IF(AA238="","",IF(AH238=1,1,IF(AA238="","",IF(AA238&lt;AsOf,1,IF(AA238&lt;=AsOf+AlertDays,2,IF(AA238&lt;=AsOf+2*AlertDays,3,""))))))</f>
        <v/>
      </c>
      <c r="AC238" s="79">
        <f>IF(AB238="","",IF(AH238=1,IF(Y238="⚠️ Delivery after install date","Delivery after install date: "&amp;B238,"Order late — install at risk: "&amp;B238),IF(AD238=1,IF(AB238=1,"Decision overdue: ","Decide: ")&amp;B238,"Order: "&amp;B238&amp;IF(N238="",""," from "&amp;N238))))</f>
        <v/>
      </c>
      <c r="AD238" s="79">
        <f>IF(AND(B238&lt;&gt;"",K238="",U238&lt;&gt;"Yes",X238&lt;&gt;"Yes"),1,0)</f>
        <v/>
      </c>
      <c r="AE238" s="79">
        <f>IF(AND(AD238=1,T238&lt;&gt;""),IF(T238&lt;AsOf,1,0),0)</f>
        <v/>
      </c>
      <c r="AF238" s="79">
        <f>IF(AND(AD238=1,T238&lt;&gt;""),IF(AND(T238&gt;=AsOf,T238&lt;=AsOf+AlertDays),1,0),0)</f>
        <v/>
      </c>
      <c r="AG238" s="79">
        <f>IF(Y238="Order now",1,0)</f>
        <v/>
      </c>
      <c r="AH238" s="79">
        <f>IF(OR(Y238="⚠️ Order late — install at risk",Y238="⚠️ Delivery after install date"),1,0)</f>
        <v/>
      </c>
      <c r="AI238" s="79">
        <f>IF(AND(B238&lt;&gt;"",K238&lt;&gt;"",U238&lt;&gt;"Yes",X238&lt;&gt;"Yes"),1,0)</f>
        <v/>
      </c>
      <c r="AJ238" s="79">
        <f>IF(Y238="⚠️ Order late — install at risk",1,0)</f>
        <v/>
      </c>
    </row>
    <row r="239" ht="20" customHeight="1">
      <c r="B239" s="72" t="n"/>
      <c r="C239" s="72" t="n"/>
      <c r="D239" s="72" t="n"/>
      <c r="E239" s="72" t="n"/>
      <c r="F239" s="73" t="n"/>
      <c r="G239" s="72" t="n"/>
      <c r="H239" s="73" t="n"/>
      <c r="I239" s="72" t="n"/>
      <c r="J239" s="73" t="n"/>
      <c r="K239" s="74" t="n"/>
      <c r="L239" s="75">
        <f>IF(K239="A",F239,IF(K239="B",H239,IF(K239="C",J239,"")))</f>
        <v/>
      </c>
      <c r="M239" s="72" t="n"/>
      <c r="N239" s="72" t="n"/>
      <c r="O239" s="89" t="n"/>
      <c r="P239" s="89" t="n"/>
      <c r="Q239" s="109" t="n"/>
      <c r="R239" s="120">
        <f>IF(B239="","",IF(Q239&lt;&gt;"",Q239,IF(P239="","",IFERROR(INDEX('Timeline'!$J$7:$J$1006,MATCH(P239,'Timeline'!$B$7:$B$1006,0)),""))))</f>
        <v/>
      </c>
      <c r="S239" s="126">
        <f>IF(R239="","",R239-IF(O239="",0,O239)-OrderBuf)</f>
        <v/>
      </c>
      <c r="T239" s="126">
        <f>IF(S239="","",S239-DecideBuf)</f>
        <v/>
      </c>
      <c r="U239" s="74" t="n"/>
      <c r="V239" s="109" t="n"/>
      <c r="W239" s="109" t="n"/>
      <c r="X239" s="74" t="n"/>
      <c r="Y239" s="116">
        <f>IF(B239="","",IF(X239="Yes","Delivered",IF(U239="Yes",IF(AND(W239&lt;&gt;"",R239&lt;&gt;""),IF(W239&gt;R239,"⚠️ Delivery after install date","Ordered"),"Ordered"),IF(K239="",IF(T239="","Waiting for decision",IF(T239&lt;=AsOf+AlertDays,"Decide now","Waiting for decision")),IF(S239="","Selected",IF(AsOf&gt;S239,"⚠️ Order late — install at risk",IF(S239&lt;=AsOf+AlertDays,"Order now","Selected")))))))</f>
        <v/>
      </c>
      <c r="Z239" s="79">
        <f>IF(B239="","",IF(OR(AH239=1,AE239=1),2,IF(OR(AG239=1,AF239=1),1,IF(OR(Y239="Ordered",Y239="Delivered"),0,""))))</f>
        <v/>
      </c>
      <c r="AA239" s="112">
        <f>IF(B239="","",IF(AH239=1,IF(Y239="⚠️ Delivery after install date",R239,S239),IF(AD239=1,T239,IF(AI239=1,S239,""))))</f>
        <v/>
      </c>
      <c r="AB239" s="79">
        <f>IF(AA239="","",IF(AH239=1,1,IF(AA239="","",IF(AA239&lt;AsOf,1,IF(AA239&lt;=AsOf+AlertDays,2,IF(AA239&lt;=AsOf+2*AlertDays,3,""))))))</f>
        <v/>
      </c>
      <c r="AC239" s="79">
        <f>IF(AB239="","",IF(AH239=1,IF(Y239="⚠️ Delivery after install date","Delivery after install date: "&amp;B239,"Order late — install at risk: "&amp;B239),IF(AD239=1,IF(AB239=1,"Decision overdue: ","Decide: ")&amp;B239,"Order: "&amp;B239&amp;IF(N239="",""," from "&amp;N239))))</f>
        <v/>
      </c>
      <c r="AD239" s="79">
        <f>IF(AND(B239&lt;&gt;"",K239="",U239&lt;&gt;"Yes",X239&lt;&gt;"Yes"),1,0)</f>
        <v/>
      </c>
      <c r="AE239" s="79">
        <f>IF(AND(AD239=1,T239&lt;&gt;""),IF(T239&lt;AsOf,1,0),0)</f>
        <v/>
      </c>
      <c r="AF239" s="79">
        <f>IF(AND(AD239=1,T239&lt;&gt;""),IF(AND(T239&gt;=AsOf,T239&lt;=AsOf+AlertDays),1,0),0)</f>
        <v/>
      </c>
      <c r="AG239" s="79">
        <f>IF(Y239="Order now",1,0)</f>
        <v/>
      </c>
      <c r="AH239" s="79">
        <f>IF(OR(Y239="⚠️ Order late — install at risk",Y239="⚠️ Delivery after install date"),1,0)</f>
        <v/>
      </c>
      <c r="AI239" s="79">
        <f>IF(AND(B239&lt;&gt;"",K239&lt;&gt;"",U239&lt;&gt;"Yes",X239&lt;&gt;"Yes"),1,0)</f>
        <v/>
      </c>
      <c r="AJ239" s="79">
        <f>IF(Y239="⚠️ Order late — install at risk",1,0)</f>
        <v/>
      </c>
    </row>
    <row r="240" ht="20" customHeight="1">
      <c r="B240" s="72" t="n"/>
      <c r="C240" s="72" t="n"/>
      <c r="D240" s="72" t="n"/>
      <c r="E240" s="72" t="n"/>
      <c r="F240" s="73" t="n"/>
      <c r="G240" s="72" t="n"/>
      <c r="H240" s="73" t="n"/>
      <c r="I240" s="72" t="n"/>
      <c r="J240" s="73" t="n"/>
      <c r="K240" s="74" t="n"/>
      <c r="L240" s="75">
        <f>IF(K240="A",F240,IF(K240="B",H240,IF(K240="C",J240,"")))</f>
        <v/>
      </c>
      <c r="M240" s="72" t="n"/>
      <c r="N240" s="72" t="n"/>
      <c r="O240" s="89" t="n"/>
      <c r="P240" s="89" t="n"/>
      <c r="Q240" s="109" t="n"/>
      <c r="R240" s="120">
        <f>IF(B240="","",IF(Q240&lt;&gt;"",Q240,IF(P240="","",IFERROR(INDEX('Timeline'!$J$7:$J$1006,MATCH(P240,'Timeline'!$B$7:$B$1006,0)),""))))</f>
        <v/>
      </c>
      <c r="S240" s="126">
        <f>IF(R240="","",R240-IF(O240="",0,O240)-OrderBuf)</f>
        <v/>
      </c>
      <c r="T240" s="126">
        <f>IF(S240="","",S240-DecideBuf)</f>
        <v/>
      </c>
      <c r="U240" s="74" t="n"/>
      <c r="V240" s="109" t="n"/>
      <c r="W240" s="109" t="n"/>
      <c r="X240" s="74" t="n"/>
      <c r="Y240" s="116">
        <f>IF(B240="","",IF(X240="Yes","Delivered",IF(U240="Yes",IF(AND(W240&lt;&gt;"",R240&lt;&gt;""),IF(W240&gt;R240,"⚠️ Delivery after install date","Ordered"),"Ordered"),IF(K240="",IF(T240="","Waiting for decision",IF(T240&lt;=AsOf+AlertDays,"Decide now","Waiting for decision")),IF(S240="","Selected",IF(AsOf&gt;S240,"⚠️ Order late — install at risk",IF(S240&lt;=AsOf+AlertDays,"Order now","Selected")))))))</f>
        <v/>
      </c>
      <c r="Z240" s="79">
        <f>IF(B240="","",IF(OR(AH240=1,AE240=1),2,IF(OR(AG240=1,AF240=1),1,IF(OR(Y240="Ordered",Y240="Delivered"),0,""))))</f>
        <v/>
      </c>
      <c r="AA240" s="112">
        <f>IF(B240="","",IF(AH240=1,IF(Y240="⚠️ Delivery after install date",R240,S240),IF(AD240=1,T240,IF(AI240=1,S240,""))))</f>
        <v/>
      </c>
      <c r="AB240" s="79">
        <f>IF(AA240="","",IF(AH240=1,1,IF(AA240="","",IF(AA240&lt;AsOf,1,IF(AA240&lt;=AsOf+AlertDays,2,IF(AA240&lt;=AsOf+2*AlertDays,3,""))))))</f>
        <v/>
      </c>
      <c r="AC240" s="79">
        <f>IF(AB240="","",IF(AH240=1,IF(Y240="⚠️ Delivery after install date","Delivery after install date: "&amp;B240,"Order late — install at risk: "&amp;B240),IF(AD240=1,IF(AB240=1,"Decision overdue: ","Decide: ")&amp;B240,"Order: "&amp;B240&amp;IF(N240="",""," from "&amp;N240))))</f>
        <v/>
      </c>
      <c r="AD240" s="79">
        <f>IF(AND(B240&lt;&gt;"",K240="",U240&lt;&gt;"Yes",X240&lt;&gt;"Yes"),1,0)</f>
        <v/>
      </c>
      <c r="AE240" s="79">
        <f>IF(AND(AD240=1,T240&lt;&gt;""),IF(T240&lt;AsOf,1,0),0)</f>
        <v/>
      </c>
      <c r="AF240" s="79">
        <f>IF(AND(AD240=1,T240&lt;&gt;""),IF(AND(T240&gt;=AsOf,T240&lt;=AsOf+AlertDays),1,0),0)</f>
        <v/>
      </c>
      <c r="AG240" s="79">
        <f>IF(Y240="Order now",1,0)</f>
        <v/>
      </c>
      <c r="AH240" s="79">
        <f>IF(OR(Y240="⚠️ Order late — install at risk",Y240="⚠️ Delivery after install date"),1,0)</f>
        <v/>
      </c>
      <c r="AI240" s="79">
        <f>IF(AND(B240&lt;&gt;"",K240&lt;&gt;"",U240&lt;&gt;"Yes",X240&lt;&gt;"Yes"),1,0)</f>
        <v/>
      </c>
      <c r="AJ240" s="79">
        <f>IF(Y240="⚠️ Order late — install at risk",1,0)</f>
        <v/>
      </c>
    </row>
    <row r="241" ht="20" customHeight="1">
      <c r="B241" s="72" t="n"/>
      <c r="C241" s="72" t="n"/>
      <c r="D241" s="72" t="n"/>
      <c r="E241" s="72" t="n"/>
      <c r="F241" s="73" t="n"/>
      <c r="G241" s="72" t="n"/>
      <c r="H241" s="73" t="n"/>
      <c r="I241" s="72" t="n"/>
      <c r="J241" s="73" t="n"/>
      <c r="K241" s="74" t="n"/>
      <c r="L241" s="75">
        <f>IF(K241="A",F241,IF(K241="B",H241,IF(K241="C",J241,"")))</f>
        <v/>
      </c>
      <c r="M241" s="72" t="n"/>
      <c r="N241" s="72" t="n"/>
      <c r="O241" s="89" t="n"/>
      <c r="P241" s="89" t="n"/>
      <c r="Q241" s="109" t="n"/>
      <c r="R241" s="120">
        <f>IF(B241="","",IF(Q241&lt;&gt;"",Q241,IF(P241="","",IFERROR(INDEX('Timeline'!$J$7:$J$1006,MATCH(P241,'Timeline'!$B$7:$B$1006,0)),""))))</f>
        <v/>
      </c>
      <c r="S241" s="126">
        <f>IF(R241="","",R241-IF(O241="",0,O241)-OrderBuf)</f>
        <v/>
      </c>
      <c r="T241" s="126">
        <f>IF(S241="","",S241-DecideBuf)</f>
        <v/>
      </c>
      <c r="U241" s="74" t="n"/>
      <c r="V241" s="109" t="n"/>
      <c r="W241" s="109" t="n"/>
      <c r="X241" s="74" t="n"/>
      <c r="Y241" s="116">
        <f>IF(B241="","",IF(X241="Yes","Delivered",IF(U241="Yes",IF(AND(W241&lt;&gt;"",R241&lt;&gt;""),IF(W241&gt;R241,"⚠️ Delivery after install date","Ordered"),"Ordered"),IF(K241="",IF(T241="","Waiting for decision",IF(T241&lt;=AsOf+AlertDays,"Decide now","Waiting for decision")),IF(S241="","Selected",IF(AsOf&gt;S241,"⚠️ Order late — install at risk",IF(S241&lt;=AsOf+AlertDays,"Order now","Selected")))))))</f>
        <v/>
      </c>
      <c r="Z241" s="79">
        <f>IF(B241="","",IF(OR(AH241=1,AE241=1),2,IF(OR(AG241=1,AF241=1),1,IF(OR(Y241="Ordered",Y241="Delivered"),0,""))))</f>
        <v/>
      </c>
      <c r="AA241" s="112">
        <f>IF(B241="","",IF(AH241=1,IF(Y241="⚠️ Delivery after install date",R241,S241),IF(AD241=1,T241,IF(AI241=1,S241,""))))</f>
        <v/>
      </c>
      <c r="AB241" s="79">
        <f>IF(AA241="","",IF(AH241=1,1,IF(AA241="","",IF(AA241&lt;AsOf,1,IF(AA241&lt;=AsOf+AlertDays,2,IF(AA241&lt;=AsOf+2*AlertDays,3,""))))))</f>
        <v/>
      </c>
      <c r="AC241" s="79">
        <f>IF(AB241="","",IF(AH241=1,IF(Y241="⚠️ Delivery after install date","Delivery after install date: "&amp;B241,"Order late — install at risk: "&amp;B241),IF(AD241=1,IF(AB241=1,"Decision overdue: ","Decide: ")&amp;B241,"Order: "&amp;B241&amp;IF(N241="",""," from "&amp;N241))))</f>
        <v/>
      </c>
      <c r="AD241" s="79">
        <f>IF(AND(B241&lt;&gt;"",K241="",U241&lt;&gt;"Yes",X241&lt;&gt;"Yes"),1,0)</f>
        <v/>
      </c>
      <c r="AE241" s="79">
        <f>IF(AND(AD241=1,T241&lt;&gt;""),IF(T241&lt;AsOf,1,0),0)</f>
        <v/>
      </c>
      <c r="AF241" s="79">
        <f>IF(AND(AD241=1,T241&lt;&gt;""),IF(AND(T241&gt;=AsOf,T241&lt;=AsOf+AlertDays),1,0),0)</f>
        <v/>
      </c>
      <c r="AG241" s="79">
        <f>IF(Y241="Order now",1,0)</f>
        <v/>
      </c>
      <c r="AH241" s="79">
        <f>IF(OR(Y241="⚠️ Order late — install at risk",Y241="⚠️ Delivery after install date"),1,0)</f>
        <v/>
      </c>
      <c r="AI241" s="79">
        <f>IF(AND(B241&lt;&gt;"",K241&lt;&gt;"",U241&lt;&gt;"Yes",X241&lt;&gt;"Yes"),1,0)</f>
        <v/>
      </c>
      <c r="AJ241" s="79">
        <f>IF(Y241="⚠️ Order late — install at risk",1,0)</f>
        <v/>
      </c>
    </row>
    <row r="242" ht="20" customHeight="1">
      <c r="B242" s="72" t="n"/>
      <c r="C242" s="72" t="n"/>
      <c r="D242" s="72" t="n"/>
      <c r="E242" s="72" t="n"/>
      <c r="F242" s="73" t="n"/>
      <c r="G242" s="72" t="n"/>
      <c r="H242" s="73" t="n"/>
      <c r="I242" s="72" t="n"/>
      <c r="J242" s="73" t="n"/>
      <c r="K242" s="74" t="n"/>
      <c r="L242" s="75">
        <f>IF(K242="A",F242,IF(K242="B",H242,IF(K242="C",J242,"")))</f>
        <v/>
      </c>
      <c r="M242" s="72" t="n"/>
      <c r="N242" s="72" t="n"/>
      <c r="O242" s="89" t="n"/>
      <c r="P242" s="89" t="n"/>
      <c r="Q242" s="109" t="n"/>
      <c r="R242" s="120">
        <f>IF(B242="","",IF(Q242&lt;&gt;"",Q242,IF(P242="","",IFERROR(INDEX('Timeline'!$J$7:$J$1006,MATCH(P242,'Timeline'!$B$7:$B$1006,0)),""))))</f>
        <v/>
      </c>
      <c r="S242" s="126">
        <f>IF(R242="","",R242-IF(O242="",0,O242)-OrderBuf)</f>
        <v/>
      </c>
      <c r="T242" s="126">
        <f>IF(S242="","",S242-DecideBuf)</f>
        <v/>
      </c>
      <c r="U242" s="74" t="n"/>
      <c r="V242" s="109" t="n"/>
      <c r="W242" s="109" t="n"/>
      <c r="X242" s="74" t="n"/>
      <c r="Y242" s="116">
        <f>IF(B242="","",IF(X242="Yes","Delivered",IF(U242="Yes",IF(AND(W242&lt;&gt;"",R242&lt;&gt;""),IF(W242&gt;R242,"⚠️ Delivery after install date","Ordered"),"Ordered"),IF(K242="",IF(T242="","Waiting for decision",IF(T242&lt;=AsOf+AlertDays,"Decide now","Waiting for decision")),IF(S242="","Selected",IF(AsOf&gt;S242,"⚠️ Order late — install at risk",IF(S242&lt;=AsOf+AlertDays,"Order now","Selected")))))))</f>
        <v/>
      </c>
      <c r="Z242" s="79">
        <f>IF(B242="","",IF(OR(AH242=1,AE242=1),2,IF(OR(AG242=1,AF242=1),1,IF(OR(Y242="Ordered",Y242="Delivered"),0,""))))</f>
        <v/>
      </c>
      <c r="AA242" s="112">
        <f>IF(B242="","",IF(AH242=1,IF(Y242="⚠️ Delivery after install date",R242,S242),IF(AD242=1,T242,IF(AI242=1,S242,""))))</f>
        <v/>
      </c>
      <c r="AB242" s="79">
        <f>IF(AA242="","",IF(AH242=1,1,IF(AA242="","",IF(AA242&lt;AsOf,1,IF(AA242&lt;=AsOf+AlertDays,2,IF(AA242&lt;=AsOf+2*AlertDays,3,""))))))</f>
        <v/>
      </c>
      <c r="AC242" s="79">
        <f>IF(AB242="","",IF(AH242=1,IF(Y242="⚠️ Delivery after install date","Delivery after install date: "&amp;B242,"Order late — install at risk: "&amp;B242),IF(AD242=1,IF(AB242=1,"Decision overdue: ","Decide: ")&amp;B242,"Order: "&amp;B242&amp;IF(N242="",""," from "&amp;N242))))</f>
        <v/>
      </c>
      <c r="AD242" s="79">
        <f>IF(AND(B242&lt;&gt;"",K242="",U242&lt;&gt;"Yes",X242&lt;&gt;"Yes"),1,0)</f>
        <v/>
      </c>
      <c r="AE242" s="79">
        <f>IF(AND(AD242=1,T242&lt;&gt;""),IF(T242&lt;AsOf,1,0),0)</f>
        <v/>
      </c>
      <c r="AF242" s="79">
        <f>IF(AND(AD242=1,T242&lt;&gt;""),IF(AND(T242&gt;=AsOf,T242&lt;=AsOf+AlertDays),1,0),0)</f>
        <v/>
      </c>
      <c r="AG242" s="79">
        <f>IF(Y242="Order now",1,0)</f>
        <v/>
      </c>
      <c r="AH242" s="79">
        <f>IF(OR(Y242="⚠️ Order late — install at risk",Y242="⚠️ Delivery after install date"),1,0)</f>
        <v/>
      </c>
      <c r="AI242" s="79">
        <f>IF(AND(B242&lt;&gt;"",K242&lt;&gt;"",U242&lt;&gt;"Yes",X242&lt;&gt;"Yes"),1,0)</f>
        <v/>
      </c>
      <c r="AJ242" s="79">
        <f>IF(Y242="⚠️ Order late — install at risk",1,0)</f>
        <v/>
      </c>
    </row>
    <row r="243" ht="20" customHeight="1">
      <c r="B243" s="72" t="n"/>
      <c r="C243" s="72" t="n"/>
      <c r="D243" s="72" t="n"/>
      <c r="E243" s="72" t="n"/>
      <c r="F243" s="73" t="n"/>
      <c r="G243" s="72" t="n"/>
      <c r="H243" s="73" t="n"/>
      <c r="I243" s="72" t="n"/>
      <c r="J243" s="73" t="n"/>
      <c r="K243" s="74" t="n"/>
      <c r="L243" s="75">
        <f>IF(K243="A",F243,IF(K243="B",H243,IF(K243="C",J243,"")))</f>
        <v/>
      </c>
      <c r="M243" s="72" t="n"/>
      <c r="N243" s="72" t="n"/>
      <c r="O243" s="89" t="n"/>
      <c r="P243" s="89" t="n"/>
      <c r="Q243" s="109" t="n"/>
      <c r="R243" s="120">
        <f>IF(B243="","",IF(Q243&lt;&gt;"",Q243,IF(P243="","",IFERROR(INDEX('Timeline'!$J$7:$J$1006,MATCH(P243,'Timeline'!$B$7:$B$1006,0)),""))))</f>
        <v/>
      </c>
      <c r="S243" s="126">
        <f>IF(R243="","",R243-IF(O243="",0,O243)-OrderBuf)</f>
        <v/>
      </c>
      <c r="T243" s="126">
        <f>IF(S243="","",S243-DecideBuf)</f>
        <v/>
      </c>
      <c r="U243" s="74" t="n"/>
      <c r="V243" s="109" t="n"/>
      <c r="W243" s="109" t="n"/>
      <c r="X243" s="74" t="n"/>
      <c r="Y243" s="116">
        <f>IF(B243="","",IF(X243="Yes","Delivered",IF(U243="Yes",IF(AND(W243&lt;&gt;"",R243&lt;&gt;""),IF(W243&gt;R243,"⚠️ Delivery after install date","Ordered"),"Ordered"),IF(K243="",IF(T243="","Waiting for decision",IF(T243&lt;=AsOf+AlertDays,"Decide now","Waiting for decision")),IF(S243="","Selected",IF(AsOf&gt;S243,"⚠️ Order late — install at risk",IF(S243&lt;=AsOf+AlertDays,"Order now","Selected")))))))</f>
        <v/>
      </c>
      <c r="Z243" s="79">
        <f>IF(B243="","",IF(OR(AH243=1,AE243=1),2,IF(OR(AG243=1,AF243=1),1,IF(OR(Y243="Ordered",Y243="Delivered"),0,""))))</f>
        <v/>
      </c>
      <c r="AA243" s="112">
        <f>IF(B243="","",IF(AH243=1,IF(Y243="⚠️ Delivery after install date",R243,S243),IF(AD243=1,T243,IF(AI243=1,S243,""))))</f>
        <v/>
      </c>
      <c r="AB243" s="79">
        <f>IF(AA243="","",IF(AH243=1,1,IF(AA243="","",IF(AA243&lt;AsOf,1,IF(AA243&lt;=AsOf+AlertDays,2,IF(AA243&lt;=AsOf+2*AlertDays,3,""))))))</f>
        <v/>
      </c>
      <c r="AC243" s="79">
        <f>IF(AB243="","",IF(AH243=1,IF(Y243="⚠️ Delivery after install date","Delivery after install date: "&amp;B243,"Order late — install at risk: "&amp;B243),IF(AD243=1,IF(AB243=1,"Decision overdue: ","Decide: ")&amp;B243,"Order: "&amp;B243&amp;IF(N243="",""," from "&amp;N243))))</f>
        <v/>
      </c>
      <c r="AD243" s="79">
        <f>IF(AND(B243&lt;&gt;"",K243="",U243&lt;&gt;"Yes",X243&lt;&gt;"Yes"),1,0)</f>
        <v/>
      </c>
      <c r="AE243" s="79">
        <f>IF(AND(AD243=1,T243&lt;&gt;""),IF(T243&lt;AsOf,1,0),0)</f>
        <v/>
      </c>
      <c r="AF243" s="79">
        <f>IF(AND(AD243=1,T243&lt;&gt;""),IF(AND(T243&gt;=AsOf,T243&lt;=AsOf+AlertDays),1,0),0)</f>
        <v/>
      </c>
      <c r="AG243" s="79">
        <f>IF(Y243="Order now",1,0)</f>
        <v/>
      </c>
      <c r="AH243" s="79">
        <f>IF(OR(Y243="⚠️ Order late — install at risk",Y243="⚠️ Delivery after install date"),1,0)</f>
        <v/>
      </c>
      <c r="AI243" s="79">
        <f>IF(AND(B243&lt;&gt;"",K243&lt;&gt;"",U243&lt;&gt;"Yes",X243&lt;&gt;"Yes"),1,0)</f>
        <v/>
      </c>
      <c r="AJ243" s="79">
        <f>IF(Y243="⚠️ Order late — install at risk",1,0)</f>
        <v/>
      </c>
    </row>
    <row r="244" ht="20" customHeight="1">
      <c r="B244" s="72" t="n"/>
      <c r="C244" s="72" t="n"/>
      <c r="D244" s="72" t="n"/>
      <c r="E244" s="72" t="n"/>
      <c r="F244" s="73" t="n"/>
      <c r="G244" s="72" t="n"/>
      <c r="H244" s="73" t="n"/>
      <c r="I244" s="72" t="n"/>
      <c r="J244" s="73" t="n"/>
      <c r="K244" s="74" t="n"/>
      <c r="L244" s="75">
        <f>IF(K244="A",F244,IF(K244="B",H244,IF(K244="C",J244,"")))</f>
        <v/>
      </c>
      <c r="M244" s="72" t="n"/>
      <c r="N244" s="72" t="n"/>
      <c r="O244" s="89" t="n"/>
      <c r="P244" s="89" t="n"/>
      <c r="Q244" s="109" t="n"/>
      <c r="R244" s="120">
        <f>IF(B244="","",IF(Q244&lt;&gt;"",Q244,IF(P244="","",IFERROR(INDEX('Timeline'!$J$7:$J$1006,MATCH(P244,'Timeline'!$B$7:$B$1006,0)),""))))</f>
        <v/>
      </c>
      <c r="S244" s="126">
        <f>IF(R244="","",R244-IF(O244="",0,O244)-OrderBuf)</f>
        <v/>
      </c>
      <c r="T244" s="126">
        <f>IF(S244="","",S244-DecideBuf)</f>
        <v/>
      </c>
      <c r="U244" s="74" t="n"/>
      <c r="V244" s="109" t="n"/>
      <c r="W244" s="109" t="n"/>
      <c r="X244" s="74" t="n"/>
      <c r="Y244" s="116">
        <f>IF(B244="","",IF(X244="Yes","Delivered",IF(U244="Yes",IF(AND(W244&lt;&gt;"",R244&lt;&gt;""),IF(W244&gt;R244,"⚠️ Delivery after install date","Ordered"),"Ordered"),IF(K244="",IF(T244="","Waiting for decision",IF(T244&lt;=AsOf+AlertDays,"Decide now","Waiting for decision")),IF(S244="","Selected",IF(AsOf&gt;S244,"⚠️ Order late — install at risk",IF(S244&lt;=AsOf+AlertDays,"Order now","Selected")))))))</f>
        <v/>
      </c>
      <c r="Z244" s="79">
        <f>IF(B244="","",IF(OR(AH244=1,AE244=1),2,IF(OR(AG244=1,AF244=1),1,IF(OR(Y244="Ordered",Y244="Delivered"),0,""))))</f>
        <v/>
      </c>
      <c r="AA244" s="112">
        <f>IF(B244="","",IF(AH244=1,IF(Y244="⚠️ Delivery after install date",R244,S244),IF(AD244=1,T244,IF(AI244=1,S244,""))))</f>
        <v/>
      </c>
      <c r="AB244" s="79">
        <f>IF(AA244="","",IF(AH244=1,1,IF(AA244="","",IF(AA244&lt;AsOf,1,IF(AA244&lt;=AsOf+AlertDays,2,IF(AA244&lt;=AsOf+2*AlertDays,3,""))))))</f>
        <v/>
      </c>
      <c r="AC244" s="79">
        <f>IF(AB244="","",IF(AH244=1,IF(Y244="⚠️ Delivery after install date","Delivery after install date: "&amp;B244,"Order late — install at risk: "&amp;B244),IF(AD244=1,IF(AB244=1,"Decision overdue: ","Decide: ")&amp;B244,"Order: "&amp;B244&amp;IF(N244="",""," from "&amp;N244))))</f>
        <v/>
      </c>
      <c r="AD244" s="79">
        <f>IF(AND(B244&lt;&gt;"",K244="",U244&lt;&gt;"Yes",X244&lt;&gt;"Yes"),1,0)</f>
        <v/>
      </c>
      <c r="AE244" s="79">
        <f>IF(AND(AD244=1,T244&lt;&gt;""),IF(T244&lt;AsOf,1,0),0)</f>
        <v/>
      </c>
      <c r="AF244" s="79">
        <f>IF(AND(AD244=1,T244&lt;&gt;""),IF(AND(T244&gt;=AsOf,T244&lt;=AsOf+AlertDays),1,0),0)</f>
        <v/>
      </c>
      <c r="AG244" s="79">
        <f>IF(Y244="Order now",1,0)</f>
        <v/>
      </c>
      <c r="AH244" s="79">
        <f>IF(OR(Y244="⚠️ Order late — install at risk",Y244="⚠️ Delivery after install date"),1,0)</f>
        <v/>
      </c>
      <c r="AI244" s="79">
        <f>IF(AND(B244&lt;&gt;"",K244&lt;&gt;"",U244&lt;&gt;"Yes",X244&lt;&gt;"Yes"),1,0)</f>
        <v/>
      </c>
      <c r="AJ244" s="79">
        <f>IF(Y244="⚠️ Order late — install at risk",1,0)</f>
        <v/>
      </c>
    </row>
    <row r="245" ht="20" customHeight="1">
      <c r="B245" s="72" t="n"/>
      <c r="C245" s="72" t="n"/>
      <c r="D245" s="72" t="n"/>
      <c r="E245" s="72" t="n"/>
      <c r="F245" s="73" t="n"/>
      <c r="G245" s="72" t="n"/>
      <c r="H245" s="73" t="n"/>
      <c r="I245" s="72" t="n"/>
      <c r="J245" s="73" t="n"/>
      <c r="K245" s="74" t="n"/>
      <c r="L245" s="75">
        <f>IF(K245="A",F245,IF(K245="B",H245,IF(K245="C",J245,"")))</f>
        <v/>
      </c>
      <c r="M245" s="72" t="n"/>
      <c r="N245" s="72" t="n"/>
      <c r="O245" s="89" t="n"/>
      <c r="P245" s="89" t="n"/>
      <c r="Q245" s="109" t="n"/>
      <c r="R245" s="120">
        <f>IF(B245="","",IF(Q245&lt;&gt;"",Q245,IF(P245="","",IFERROR(INDEX('Timeline'!$J$7:$J$1006,MATCH(P245,'Timeline'!$B$7:$B$1006,0)),""))))</f>
        <v/>
      </c>
      <c r="S245" s="126">
        <f>IF(R245="","",R245-IF(O245="",0,O245)-OrderBuf)</f>
        <v/>
      </c>
      <c r="T245" s="126">
        <f>IF(S245="","",S245-DecideBuf)</f>
        <v/>
      </c>
      <c r="U245" s="74" t="n"/>
      <c r="V245" s="109" t="n"/>
      <c r="W245" s="109" t="n"/>
      <c r="X245" s="74" t="n"/>
      <c r="Y245" s="116">
        <f>IF(B245="","",IF(X245="Yes","Delivered",IF(U245="Yes",IF(AND(W245&lt;&gt;"",R245&lt;&gt;""),IF(W245&gt;R245,"⚠️ Delivery after install date","Ordered"),"Ordered"),IF(K245="",IF(T245="","Waiting for decision",IF(T245&lt;=AsOf+AlertDays,"Decide now","Waiting for decision")),IF(S245="","Selected",IF(AsOf&gt;S245,"⚠️ Order late — install at risk",IF(S245&lt;=AsOf+AlertDays,"Order now","Selected")))))))</f>
        <v/>
      </c>
      <c r="Z245" s="79">
        <f>IF(B245="","",IF(OR(AH245=1,AE245=1),2,IF(OR(AG245=1,AF245=1),1,IF(OR(Y245="Ordered",Y245="Delivered"),0,""))))</f>
        <v/>
      </c>
      <c r="AA245" s="112">
        <f>IF(B245="","",IF(AH245=1,IF(Y245="⚠️ Delivery after install date",R245,S245),IF(AD245=1,T245,IF(AI245=1,S245,""))))</f>
        <v/>
      </c>
      <c r="AB245" s="79">
        <f>IF(AA245="","",IF(AH245=1,1,IF(AA245="","",IF(AA245&lt;AsOf,1,IF(AA245&lt;=AsOf+AlertDays,2,IF(AA245&lt;=AsOf+2*AlertDays,3,""))))))</f>
        <v/>
      </c>
      <c r="AC245" s="79">
        <f>IF(AB245="","",IF(AH245=1,IF(Y245="⚠️ Delivery after install date","Delivery after install date: "&amp;B245,"Order late — install at risk: "&amp;B245),IF(AD245=1,IF(AB245=1,"Decision overdue: ","Decide: ")&amp;B245,"Order: "&amp;B245&amp;IF(N245="",""," from "&amp;N245))))</f>
        <v/>
      </c>
      <c r="AD245" s="79">
        <f>IF(AND(B245&lt;&gt;"",K245="",U245&lt;&gt;"Yes",X245&lt;&gt;"Yes"),1,0)</f>
        <v/>
      </c>
      <c r="AE245" s="79">
        <f>IF(AND(AD245=1,T245&lt;&gt;""),IF(T245&lt;AsOf,1,0),0)</f>
        <v/>
      </c>
      <c r="AF245" s="79">
        <f>IF(AND(AD245=1,T245&lt;&gt;""),IF(AND(T245&gt;=AsOf,T245&lt;=AsOf+AlertDays),1,0),0)</f>
        <v/>
      </c>
      <c r="AG245" s="79">
        <f>IF(Y245="Order now",1,0)</f>
        <v/>
      </c>
      <c r="AH245" s="79">
        <f>IF(OR(Y245="⚠️ Order late — install at risk",Y245="⚠️ Delivery after install date"),1,0)</f>
        <v/>
      </c>
      <c r="AI245" s="79">
        <f>IF(AND(B245&lt;&gt;"",K245&lt;&gt;"",U245&lt;&gt;"Yes",X245&lt;&gt;"Yes"),1,0)</f>
        <v/>
      </c>
      <c r="AJ245" s="79">
        <f>IF(Y245="⚠️ Order late — install at risk",1,0)</f>
        <v/>
      </c>
    </row>
    <row r="246" ht="20" customHeight="1">
      <c r="B246" s="72" t="n"/>
      <c r="C246" s="72" t="n"/>
      <c r="D246" s="72" t="n"/>
      <c r="E246" s="72" t="n"/>
      <c r="F246" s="73" t="n"/>
      <c r="G246" s="72" t="n"/>
      <c r="H246" s="73" t="n"/>
      <c r="I246" s="72" t="n"/>
      <c r="J246" s="73" t="n"/>
      <c r="K246" s="74" t="n"/>
      <c r="L246" s="75">
        <f>IF(K246="A",F246,IF(K246="B",H246,IF(K246="C",J246,"")))</f>
        <v/>
      </c>
      <c r="M246" s="72" t="n"/>
      <c r="N246" s="72" t="n"/>
      <c r="O246" s="89" t="n"/>
      <c r="P246" s="89" t="n"/>
      <c r="Q246" s="109" t="n"/>
      <c r="R246" s="120">
        <f>IF(B246="","",IF(Q246&lt;&gt;"",Q246,IF(P246="","",IFERROR(INDEX('Timeline'!$J$7:$J$1006,MATCH(P246,'Timeline'!$B$7:$B$1006,0)),""))))</f>
        <v/>
      </c>
      <c r="S246" s="126">
        <f>IF(R246="","",R246-IF(O246="",0,O246)-OrderBuf)</f>
        <v/>
      </c>
      <c r="T246" s="126">
        <f>IF(S246="","",S246-DecideBuf)</f>
        <v/>
      </c>
      <c r="U246" s="74" t="n"/>
      <c r="V246" s="109" t="n"/>
      <c r="W246" s="109" t="n"/>
      <c r="X246" s="74" t="n"/>
      <c r="Y246" s="116">
        <f>IF(B246="","",IF(X246="Yes","Delivered",IF(U246="Yes",IF(AND(W246&lt;&gt;"",R246&lt;&gt;""),IF(W246&gt;R246,"⚠️ Delivery after install date","Ordered"),"Ordered"),IF(K246="",IF(T246="","Waiting for decision",IF(T246&lt;=AsOf+AlertDays,"Decide now","Waiting for decision")),IF(S246="","Selected",IF(AsOf&gt;S246,"⚠️ Order late — install at risk",IF(S246&lt;=AsOf+AlertDays,"Order now","Selected")))))))</f>
        <v/>
      </c>
      <c r="Z246" s="79">
        <f>IF(B246="","",IF(OR(AH246=1,AE246=1),2,IF(OR(AG246=1,AF246=1),1,IF(OR(Y246="Ordered",Y246="Delivered"),0,""))))</f>
        <v/>
      </c>
      <c r="AA246" s="112">
        <f>IF(B246="","",IF(AH246=1,IF(Y246="⚠️ Delivery after install date",R246,S246),IF(AD246=1,T246,IF(AI246=1,S246,""))))</f>
        <v/>
      </c>
      <c r="AB246" s="79">
        <f>IF(AA246="","",IF(AH246=1,1,IF(AA246="","",IF(AA246&lt;AsOf,1,IF(AA246&lt;=AsOf+AlertDays,2,IF(AA246&lt;=AsOf+2*AlertDays,3,""))))))</f>
        <v/>
      </c>
      <c r="AC246" s="79">
        <f>IF(AB246="","",IF(AH246=1,IF(Y246="⚠️ Delivery after install date","Delivery after install date: "&amp;B246,"Order late — install at risk: "&amp;B246),IF(AD246=1,IF(AB246=1,"Decision overdue: ","Decide: ")&amp;B246,"Order: "&amp;B246&amp;IF(N246="",""," from "&amp;N246))))</f>
        <v/>
      </c>
      <c r="AD246" s="79">
        <f>IF(AND(B246&lt;&gt;"",K246="",U246&lt;&gt;"Yes",X246&lt;&gt;"Yes"),1,0)</f>
        <v/>
      </c>
      <c r="AE246" s="79">
        <f>IF(AND(AD246=1,T246&lt;&gt;""),IF(T246&lt;AsOf,1,0),0)</f>
        <v/>
      </c>
      <c r="AF246" s="79">
        <f>IF(AND(AD246=1,T246&lt;&gt;""),IF(AND(T246&gt;=AsOf,T246&lt;=AsOf+AlertDays),1,0),0)</f>
        <v/>
      </c>
      <c r="AG246" s="79">
        <f>IF(Y246="Order now",1,0)</f>
        <v/>
      </c>
      <c r="AH246" s="79">
        <f>IF(OR(Y246="⚠️ Order late — install at risk",Y246="⚠️ Delivery after install date"),1,0)</f>
        <v/>
      </c>
      <c r="AI246" s="79">
        <f>IF(AND(B246&lt;&gt;"",K246&lt;&gt;"",U246&lt;&gt;"Yes",X246&lt;&gt;"Yes"),1,0)</f>
        <v/>
      </c>
      <c r="AJ246" s="79">
        <f>IF(Y246="⚠️ Order late — install at risk",1,0)</f>
        <v/>
      </c>
    </row>
    <row r="247" ht="20" customHeight="1">
      <c r="B247" s="72" t="n"/>
      <c r="C247" s="72" t="n"/>
      <c r="D247" s="72" t="n"/>
      <c r="E247" s="72" t="n"/>
      <c r="F247" s="73" t="n"/>
      <c r="G247" s="72" t="n"/>
      <c r="H247" s="73" t="n"/>
      <c r="I247" s="72" t="n"/>
      <c r="J247" s="73" t="n"/>
      <c r="K247" s="74" t="n"/>
      <c r="L247" s="75">
        <f>IF(K247="A",F247,IF(K247="B",H247,IF(K247="C",J247,"")))</f>
        <v/>
      </c>
      <c r="M247" s="72" t="n"/>
      <c r="N247" s="72" t="n"/>
      <c r="O247" s="89" t="n"/>
      <c r="P247" s="89" t="n"/>
      <c r="Q247" s="109" t="n"/>
      <c r="R247" s="120">
        <f>IF(B247="","",IF(Q247&lt;&gt;"",Q247,IF(P247="","",IFERROR(INDEX('Timeline'!$J$7:$J$1006,MATCH(P247,'Timeline'!$B$7:$B$1006,0)),""))))</f>
        <v/>
      </c>
      <c r="S247" s="126">
        <f>IF(R247="","",R247-IF(O247="",0,O247)-OrderBuf)</f>
        <v/>
      </c>
      <c r="T247" s="126">
        <f>IF(S247="","",S247-DecideBuf)</f>
        <v/>
      </c>
      <c r="U247" s="74" t="n"/>
      <c r="V247" s="109" t="n"/>
      <c r="W247" s="109" t="n"/>
      <c r="X247" s="74" t="n"/>
      <c r="Y247" s="116">
        <f>IF(B247="","",IF(X247="Yes","Delivered",IF(U247="Yes",IF(AND(W247&lt;&gt;"",R247&lt;&gt;""),IF(W247&gt;R247,"⚠️ Delivery after install date","Ordered"),"Ordered"),IF(K247="",IF(T247="","Waiting for decision",IF(T247&lt;=AsOf+AlertDays,"Decide now","Waiting for decision")),IF(S247="","Selected",IF(AsOf&gt;S247,"⚠️ Order late — install at risk",IF(S247&lt;=AsOf+AlertDays,"Order now","Selected")))))))</f>
        <v/>
      </c>
      <c r="Z247" s="79">
        <f>IF(B247="","",IF(OR(AH247=1,AE247=1),2,IF(OR(AG247=1,AF247=1),1,IF(OR(Y247="Ordered",Y247="Delivered"),0,""))))</f>
        <v/>
      </c>
      <c r="AA247" s="112">
        <f>IF(B247="","",IF(AH247=1,IF(Y247="⚠️ Delivery after install date",R247,S247),IF(AD247=1,T247,IF(AI247=1,S247,""))))</f>
        <v/>
      </c>
      <c r="AB247" s="79">
        <f>IF(AA247="","",IF(AH247=1,1,IF(AA247="","",IF(AA247&lt;AsOf,1,IF(AA247&lt;=AsOf+AlertDays,2,IF(AA247&lt;=AsOf+2*AlertDays,3,""))))))</f>
        <v/>
      </c>
      <c r="AC247" s="79">
        <f>IF(AB247="","",IF(AH247=1,IF(Y247="⚠️ Delivery after install date","Delivery after install date: "&amp;B247,"Order late — install at risk: "&amp;B247),IF(AD247=1,IF(AB247=1,"Decision overdue: ","Decide: ")&amp;B247,"Order: "&amp;B247&amp;IF(N247="",""," from "&amp;N247))))</f>
        <v/>
      </c>
      <c r="AD247" s="79">
        <f>IF(AND(B247&lt;&gt;"",K247="",U247&lt;&gt;"Yes",X247&lt;&gt;"Yes"),1,0)</f>
        <v/>
      </c>
      <c r="AE247" s="79">
        <f>IF(AND(AD247=1,T247&lt;&gt;""),IF(T247&lt;AsOf,1,0),0)</f>
        <v/>
      </c>
      <c r="AF247" s="79">
        <f>IF(AND(AD247=1,T247&lt;&gt;""),IF(AND(T247&gt;=AsOf,T247&lt;=AsOf+AlertDays),1,0),0)</f>
        <v/>
      </c>
      <c r="AG247" s="79">
        <f>IF(Y247="Order now",1,0)</f>
        <v/>
      </c>
      <c r="AH247" s="79">
        <f>IF(OR(Y247="⚠️ Order late — install at risk",Y247="⚠️ Delivery after install date"),1,0)</f>
        <v/>
      </c>
      <c r="AI247" s="79">
        <f>IF(AND(B247&lt;&gt;"",K247&lt;&gt;"",U247&lt;&gt;"Yes",X247&lt;&gt;"Yes"),1,0)</f>
        <v/>
      </c>
      <c r="AJ247" s="79">
        <f>IF(Y247="⚠️ Order late — install at risk",1,0)</f>
        <v/>
      </c>
    </row>
    <row r="248" ht="20" customHeight="1">
      <c r="B248" s="72" t="n"/>
      <c r="C248" s="72" t="n"/>
      <c r="D248" s="72" t="n"/>
      <c r="E248" s="72" t="n"/>
      <c r="F248" s="73" t="n"/>
      <c r="G248" s="72" t="n"/>
      <c r="H248" s="73" t="n"/>
      <c r="I248" s="72" t="n"/>
      <c r="J248" s="73" t="n"/>
      <c r="K248" s="74" t="n"/>
      <c r="L248" s="75">
        <f>IF(K248="A",F248,IF(K248="B",H248,IF(K248="C",J248,"")))</f>
        <v/>
      </c>
      <c r="M248" s="72" t="n"/>
      <c r="N248" s="72" t="n"/>
      <c r="O248" s="89" t="n"/>
      <c r="P248" s="89" t="n"/>
      <c r="Q248" s="109" t="n"/>
      <c r="R248" s="120">
        <f>IF(B248="","",IF(Q248&lt;&gt;"",Q248,IF(P248="","",IFERROR(INDEX('Timeline'!$J$7:$J$1006,MATCH(P248,'Timeline'!$B$7:$B$1006,0)),""))))</f>
        <v/>
      </c>
      <c r="S248" s="126">
        <f>IF(R248="","",R248-IF(O248="",0,O248)-OrderBuf)</f>
        <v/>
      </c>
      <c r="T248" s="126">
        <f>IF(S248="","",S248-DecideBuf)</f>
        <v/>
      </c>
      <c r="U248" s="74" t="n"/>
      <c r="V248" s="109" t="n"/>
      <c r="W248" s="109" t="n"/>
      <c r="X248" s="74" t="n"/>
      <c r="Y248" s="116">
        <f>IF(B248="","",IF(X248="Yes","Delivered",IF(U248="Yes",IF(AND(W248&lt;&gt;"",R248&lt;&gt;""),IF(W248&gt;R248,"⚠️ Delivery after install date","Ordered"),"Ordered"),IF(K248="",IF(T248="","Waiting for decision",IF(T248&lt;=AsOf+AlertDays,"Decide now","Waiting for decision")),IF(S248="","Selected",IF(AsOf&gt;S248,"⚠️ Order late — install at risk",IF(S248&lt;=AsOf+AlertDays,"Order now","Selected")))))))</f>
        <v/>
      </c>
      <c r="Z248" s="79">
        <f>IF(B248="","",IF(OR(AH248=1,AE248=1),2,IF(OR(AG248=1,AF248=1),1,IF(OR(Y248="Ordered",Y248="Delivered"),0,""))))</f>
        <v/>
      </c>
      <c r="AA248" s="112">
        <f>IF(B248="","",IF(AH248=1,IF(Y248="⚠️ Delivery after install date",R248,S248),IF(AD248=1,T248,IF(AI248=1,S248,""))))</f>
        <v/>
      </c>
      <c r="AB248" s="79">
        <f>IF(AA248="","",IF(AH248=1,1,IF(AA248="","",IF(AA248&lt;AsOf,1,IF(AA248&lt;=AsOf+AlertDays,2,IF(AA248&lt;=AsOf+2*AlertDays,3,""))))))</f>
        <v/>
      </c>
      <c r="AC248" s="79">
        <f>IF(AB248="","",IF(AH248=1,IF(Y248="⚠️ Delivery after install date","Delivery after install date: "&amp;B248,"Order late — install at risk: "&amp;B248),IF(AD248=1,IF(AB248=1,"Decision overdue: ","Decide: ")&amp;B248,"Order: "&amp;B248&amp;IF(N248="",""," from "&amp;N248))))</f>
        <v/>
      </c>
      <c r="AD248" s="79">
        <f>IF(AND(B248&lt;&gt;"",K248="",U248&lt;&gt;"Yes",X248&lt;&gt;"Yes"),1,0)</f>
        <v/>
      </c>
      <c r="AE248" s="79">
        <f>IF(AND(AD248=1,T248&lt;&gt;""),IF(T248&lt;AsOf,1,0),0)</f>
        <v/>
      </c>
      <c r="AF248" s="79">
        <f>IF(AND(AD248=1,T248&lt;&gt;""),IF(AND(T248&gt;=AsOf,T248&lt;=AsOf+AlertDays),1,0),0)</f>
        <v/>
      </c>
      <c r="AG248" s="79">
        <f>IF(Y248="Order now",1,0)</f>
        <v/>
      </c>
      <c r="AH248" s="79">
        <f>IF(OR(Y248="⚠️ Order late — install at risk",Y248="⚠️ Delivery after install date"),1,0)</f>
        <v/>
      </c>
      <c r="AI248" s="79">
        <f>IF(AND(B248&lt;&gt;"",K248&lt;&gt;"",U248&lt;&gt;"Yes",X248&lt;&gt;"Yes"),1,0)</f>
        <v/>
      </c>
      <c r="AJ248" s="79">
        <f>IF(Y248="⚠️ Order late — install at risk",1,0)</f>
        <v/>
      </c>
    </row>
    <row r="249" ht="20" customHeight="1">
      <c r="B249" s="72" t="n"/>
      <c r="C249" s="72" t="n"/>
      <c r="D249" s="72" t="n"/>
      <c r="E249" s="72" t="n"/>
      <c r="F249" s="73" t="n"/>
      <c r="G249" s="72" t="n"/>
      <c r="H249" s="73" t="n"/>
      <c r="I249" s="72" t="n"/>
      <c r="J249" s="73" t="n"/>
      <c r="K249" s="74" t="n"/>
      <c r="L249" s="75">
        <f>IF(K249="A",F249,IF(K249="B",H249,IF(K249="C",J249,"")))</f>
        <v/>
      </c>
      <c r="M249" s="72" t="n"/>
      <c r="N249" s="72" t="n"/>
      <c r="O249" s="89" t="n"/>
      <c r="P249" s="89" t="n"/>
      <c r="Q249" s="109" t="n"/>
      <c r="R249" s="120">
        <f>IF(B249="","",IF(Q249&lt;&gt;"",Q249,IF(P249="","",IFERROR(INDEX('Timeline'!$J$7:$J$1006,MATCH(P249,'Timeline'!$B$7:$B$1006,0)),""))))</f>
        <v/>
      </c>
      <c r="S249" s="126">
        <f>IF(R249="","",R249-IF(O249="",0,O249)-OrderBuf)</f>
        <v/>
      </c>
      <c r="T249" s="126">
        <f>IF(S249="","",S249-DecideBuf)</f>
        <v/>
      </c>
      <c r="U249" s="74" t="n"/>
      <c r="V249" s="109" t="n"/>
      <c r="W249" s="109" t="n"/>
      <c r="X249" s="74" t="n"/>
      <c r="Y249" s="116">
        <f>IF(B249="","",IF(X249="Yes","Delivered",IF(U249="Yes",IF(AND(W249&lt;&gt;"",R249&lt;&gt;""),IF(W249&gt;R249,"⚠️ Delivery after install date","Ordered"),"Ordered"),IF(K249="",IF(T249="","Waiting for decision",IF(T249&lt;=AsOf+AlertDays,"Decide now","Waiting for decision")),IF(S249="","Selected",IF(AsOf&gt;S249,"⚠️ Order late — install at risk",IF(S249&lt;=AsOf+AlertDays,"Order now","Selected")))))))</f>
        <v/>
      </c>
      <c r="Z249" s="79">
        <f>IF(B249="","",IF(OR(AH249=1,AE249=1),2,IF(OR(AG249=1,AF249=1),1,IF(OR(Y249="Ordered",Y249="Delivered"),0,""))))</f>
        <v/>
      </c>
      <c r="AA249" s="112">
        <f>IF(B249="","",IF(AH249=1,IF(Y249="⚠️ Delivery after install date",R249,S249),IF(AD249=1,T249,IF(AI249=1,S249,""))))</f>
        <v/>
      </c>
      <c r="AB249" s="79">
        <f>IF(AA249="","",IF(AH249=1,1,IF(AA249="","",IF(AA249&lt;AsOf,1,IF(AA249&lt;=AsOf+AlertDays,2,IF(AA249&lt;=AsOf+2*AlertDays,3,""))))))</f>
        <v/>
      </c>
      <c r="AC249" s="79">
        <f>IF(AB249="","",IF(AH249=1,IF(Y249="⚠️ Delivery after install date","Delivery after install date: "&amp;B249,"Order late — install at risk: "&amp;B249),IF(AD249=1,IF(AB249=1,"Decision overdue: ","Decide: ")&amp;B249,"Order: "&amp;B249&amp;IF(N249="",""," from "&amp;N249))))</f>
        <v/>
      </c>
      <c r="AD249" s="79">
        <f>IF(AND(B249&lt;&gt;"",K249="",U249&lt;&gt;"Yes",X249&lt;&gt;"Yes"),1,0)</f>
        <v/>
      </c>
      <c r="AE249" s="79">
        <f>IF(AND(AD249=1,T249&lt;&gt;""),IF(T249&lt;AsOf,1,0),0)</f>
        <v/>
      </c>
      <c r="AF249" s="79">
        <f>IF(AND(AD249=1,T249&lt;&gt;""),IF(AND(T249&gt;=AsOf,T249&lt;=AsOf+AlertDays),1,0),0)</f>
        <v/>
      </c>
      <c r="AG249" s="79">
        <f>IF(Y249="Order now",1,0)</f>
        <v/>
      </c>
      <c r="AH249" s="79">
        <f>IF(OR(Y249="⚠️ Order late — install at risk",Y249="⚠️ Delivery after install date"),1,0)</f>
        <v/>
      </c>
      <c r="AI249" s="79">
        <f>IF(AND(B249&lt;&gt;"",K249&lt;&gt;"",U249&lt;&gt;"Yes",X249&lt;&gt;"Yes"),1,0)</f>
        <v/>
      </c>
      <c r="AJ249" s="79">
        <f>IF(Y249="⚠️ Order late — install at risk",1,0)</f>
        <v/>
      </c>
    </row>
    <row r="250" ht="20" customHeight="1">
      <c r="B250" s="72" t="n"/>
      <c r="C250" s="72" t="n"/>
      <c r="D250" s="72" t="n"/>
      <c r="E250" s="72" t="n"/>
      <c r="F250" s="73" t="n"/>
      <c r="G250" s="72" t="n"/>
      <c r="H250" s="73" t="n"/>
      <c r="I250" s="72" t="n"/>
      <c r="J250" s="73" t="n"/>
      <c r="K250" s="74" t="n"/>
      <c r="L250" s="75">
        <f>IF(K250="A",F250,IF(K250="B",H250,IF(K250="C",J250,"")))</f>
        <v/>
      </c>
      <c r="M250" s="72" t="n"/>
      <c r="N250" s="72" t="n"/>
      <c r="O250" s="89" t="n"/>
      <c r="P250" s="89" t="n"/>
      <c r="Q250" s="109" t="n"/>
      <c r="R250" s="120">
        <f>IF(B250="","",IF(Q250&lt;&gt;"",Q250,IF(P250="","",IFERROR(INDEX('Timeline'!$J$7:$J$1006,MATCH(P250,'Timeline'!$B$7:$B$1006,0)),""))))</f>
        <v/>
      </c>
      <c r="S250" s="126">
        <f>IF(R250="","",R250-IF(O250="",0,O250)-OrderBuf)</f>
        <v/>
      </c>
      <c r="T250" s="126">
        <f>IF(S250="","",S250-DecideBuf)</f>
        <v/>
      </c>
      <c r="U250" s="74" t="n"/>
      <c r="V250" s="109" t="n"/>
      <c r="W250" s="109" t="n"/>
      <c r="X250" s="74" t="n"/>
      <c r="Y250" s="116">
        <f>IF(B250="","",IF(X250="Yes","Delivered",IF(U250="Yes",IF(AND(W250&lt;&gt;"",R250&lt;&gt;""),IF(W250&gt;R250,"⚠️ Delivery after install date","Ordered"),"Ordered"),IF(K250="",IF(T250="","Waiting for decision",IF(T250&lt;=AsOf+AlertDays,"Decide now","Waiting for decision")),IF(S250="","Selected",IF(AsOf&gt;S250,"⚠️ Order late — install at risk",IF(S250&lt;=AsOf+AlertDays,"Order now","Selected")))))))</f>
        <v/>
      </c>
      <c r="Z250" s="79">
        <f>IF(B250="","",IF(OR(AH250=1,AE250=1),2,IF(OR(AG250=1,AF250=1),1,IF(OR(Y250="Ordered",Y250="Delivered"),0,""))))</f>
        <v/>
      </c>
      <c r="AA250" s="112">
        <f>IF(B250="","",IF(AH250=1,IF(Y250="⚠️ Delivery after install date",R250,S250),IF(AD250=1,T250,IF(AI250=1,S250,""))))</f>
        <v/>
      </c>
      <c r="AB250" s="79">
        <f>IF(AA250="","",IF(AH250=1,1,IF(AA250="","",IF(AA250&lt;AsOf,1,IF(AA250&lt;=AsOf+AlertDays,2,IF(AA250&lt;=AsOf+2*AlertDays,3,""))))))</f>
        <v/>
      </c>
      <c r="AC250" s="79">
        <f>IF(AB250="","",IF(AH250=1,IF(Y250="⚠️ Delivery after install date","Delivery after install date: "&amp;B250,"Order late — install at risk: "&amp;B250),IF(AD250=1,IF(AB250=1,"Decision overdue: ","Decide: ")&amp;B250,"Order: "&amp;B250&amp;IF(N250="",""," from "&amp;N250))))</f>
        <v/>
      </c>
      <c r="AD250" s="79">
        <f>IF(AND(B250&lt;&gt;"",K250="",U250&lt;&gt;"Yes",X250&lt;&gt;"Yes"),1,0)</f>
        <v/>
      </c>
      <c r="AE250" s="79">
        <f>IF(AND(AD250=1,T250&lt;&gt;""),IF(T250&lt;AsOf,1,0),0)</f>
        <v/>
      </c>
      <c r="AF250" s="79">
        <f>IF(AND(AD250=1,T250&lt;&gt;""),IF(AND(T250&gt;=AsOf,T250&lt;=AsOf+AlertDays),1,0),0)</f>
        <v/>
      </c>
      <c r="AG250" s="79">
        <f>IF(Y250="Order now",1,0)</f>
        <v/>
      </c>
      <c r="AH250" s="79">
        <f>IF(OR(Y250="⚠️ Order late — install at risk",Y250="⚠️ Delivery after install date"),1,0)</f>
        <v/>
      </c>
      <c r="AI250" s="79">
        <f>IF(AND(B250&lt;&gt;"",K250&lt;&gt;"",U250&lt;&gt;"Yes",X250&lt;&gt;"Yes"),1,0)</f>
        <v/>
      </c>
      <c r="AJ250" s="79">
        <f>IF(Y250="⚠️ Order late — install at risk",1,0)</f>
        <v/>
      </c>
    </row>
    <row r="251" ht="20" customHeight="1">
      <c r="B251" s="72" t="n"/>
      <c r="C251" s="72" t="n"/>
      <c r="D251" s="72" t="n"/>
      <c r="E251" s="72" t="n"/>
      <c r="F251" s="73" t="n"/>
      <c r="G251" s="72" t="n"/>
      <c r="H251" s="73" t="n"/>
      <c r="I251" s="72" t="n"/>
      <c r="J251" s="73" t="n"/>
      <c r="K251" s="74" t="n"/>
      <c r="L251" s="75">
        <f>IF(K251="A",F251,IF(K251="B",H251,IF(K251="C",J251,"")))</f>
        <v/>
      </c>
      <c r="M251" s="72" t="n"/>
      <c r="N251" s="72" t="n"/>
      <c r="O251" s="89" t="n"/>
      <c r="P251" s="89" t="n"/>
      <c r="Q251" s="109" t="n"/>
      <c r="R251" s="120">
        <f>IF(B251="","",IF(Q251&lt;&gt;"",Q251,IF(P251="","",IFERROR(INDEX('Timeline'!$J$7:$J$1006,MATCH(P251,'Timeline'!$B$7:$B$1006,0)),""))))</f>
        <v/>
      </c>
      <c r="S251" s="126">
        <f>IF(R251="","",R251-IF(O251="",0,O251)-OrderBuf)</f>
        <v/>
      </c>
      <c r="T251" s="126">
        <f>IF(S251="","",S251-DecideBuf)</f>
        <v/>
      </c>
      <c r="U251" s="74" t="n"/>
      <c r="V251" s="109" t="n"/>
      <c r="W251" s="109" t="n"/>
      <c r="X251" s="74" t="n"/>
      <c r="Y251" s="116">
        <f>IF(B251="","",IF(X251="Yes","Delivered",IF(U251="Yes",IF(AND(W251&lt;&gt;"",R251&lt;&gt;""),IF(W251&gt;R251,"⚠️ Delivery after install date","Ordered"),"Ordered"),IF(K251="",IF(T251="","Waiting for decision",IF(T251&lt;=AsOf+AlertDays,"Decide now","Waiting for decision")),IF(S251="","Selected",IF(AsOf&gt;S251,"⚠️ Order late — install at risk",IF(S251&lt;=AsOf+AlertDays,"Order now","Selected")))))))</f>
        <v/>
      </c>
      <c r="Z251" s="79">
        <f>IF(B251="","",IF(OR(AH251=1,AE251=1),2,IF(OR(AG251=1,AF251=1),1,IF(OR(Y251="Ordered",Y251="Delivered"),0,""))))</f>
        <v/>
      </c>
      <c r="AA251" s="112">
        <f>IF(B251="","",IF(AH251=1,IF(Y251="⚠️ Delivery after install date",R251,S251),IF(AD251=1,T251,IF(AI251=1,S251,""))))</f>
        <v/>
      </c>
      <c r="AB251" s="79">
        <f>IF(AA251="","",IF(AH251=1,1,IF(AA251="","",IF(AA251&lt;AsOf,1,IF(AA251&lt;=AsOf+AlertDays,2,IF(AA251&lt;=AsOf+2*AlertDays,3,""))))))</f>
        <v/>
      </c>
      <c r="AC251" s="79">
        <f>IF(AB251="","",IF(AH251=1,IF(Y251="⚠️ Delivery after install date","Delivery after install date: "&amp;B251,"Order late — install at risk: "&amp;B251),IF(AD251=1,IF(AB251=1,"Decision overdue: ","Decide: ")&amp;B251,"Order: "&amp;B251&amp;IF(N251="",""," from "&amp;N251))))</f>
        <v/>
      </c>
      <c r="AD251" s="79">
        <f>IF(AND(B251&lt;&gt;"",K251="",U251&lt;&gt;"Yes",X251&lt;&gt;"Yes"),1,0)</f>
        <v/>
      </c>
      <c r="AE251" s="79">
        <f>IF(AND(AD251=1,T251&lt;&gt;""),IF(T251&lt;AsOf,1,0),0)</f>
        <v/>
      </c>
      <c r="AF251" s="79">
        <f>IF(AND(AD251=1,T251&lt;&gt;""),IF(AND(T251&gt;=AsOf,T251&lt;=AsOf+AlertDays),1,0),0)</f>
        <v/>
      </c>
      <c r="AG251" s="79">
        <f>IF(Y251="Order now",1,0)</f>
        <v/>
      </c>
      <c r="AH251" s="79">
        <f>IF(OR(Y251="⚠️ Order late — install at risk",Y251="⚠️ Delivery after install date"),1,0)</f>
        <v/>
      </c>
      <c r="AI251" s="79">
        <f>IF(AND(B251&lt;&gt;"",K251&lt;&gt;"",U251&lt;&gt;"Yes",X251&lt;&gt;"Yes"),1,0)</f>
        <v/>
      </c>
      <c r="AJ251" s="79">
        <f>IF(Y251="⚠️ Order late — install at risk",1,0)</f>
        <v/>
      </c>
    </row>
    <row r="252" ht="20" customHeight="1">
      <c r="B252" s="72" t="n"/>
      <c r="C252" s="72" t="n"/>
      <c r="D252" s="72" t="n"/>
      <c r="E252" s="72" t="n"/>
      <c r="F252" s="73" t="n"/>
      <c r="G252" s="72" t="n"/>
      <c r="H252" s="73" t="n"/>
      <c r="I252" s="72" t="n"/>
      <c r="J252" s="73" t="n"/>
      <c r="K252" s="74" t="n"/>
      <c r="L252" s="75">
        <f>IF(K252="A",F252,IF(K252="B",H252,IF(K252="C",J252,"")))</f>
        <v/>
      </c>
      <c r="M252" s="72" t="n"/>
      <c r="N252" s="72" t="n"/>
      <c r="O252" s="89" t="n"/>
      <c r="P252" s="89" t="n"/>
      <c r="Q252" s="109" t="n"/>
      <c r="R252" s="120">
        <f>IF(B252="","",IF(Q252&lt;&gt;"",Q252,IF(P252="","",IFERROR(INDEX('Timeline'!$J$7:$J$1006,MATCH(P252,'Timeline'!$B$7:$B$1006,0)),""))))</f>
        <v/>
      </c>
      <c r="S252" s="126">
        <f>IF(R252="","",R252-IF(O252="",0,O252)-OrderBuf)</f>
        <v/>
      </c>
      <c r="T252" s="126">
        <f>IF(S252="","",S252-DecideBuf)</f>
        <v/>
      </c>
      <c r="U252" s="74" t="n"/>
      <c r="V252" s="109" t="n"/>
      <c r="W252" s="109" t="n"/>
      <c r="X252" s="74" t="n"/>
      <c r="Y252" s="116">
        <f>IF(B252="","",IF(X252="Yes","Delivered",IF(U252="Yes",IF(AND(W252&lt;&gt;"",R252&lt;&gt;""),IF(W252&gt;R252,"⚠️ Delivery after install date","Ordered"),"Ordered"),IF(K252="",IF(T252="","Waiting for decision",IF(T252&lt;=AsOf+AlertDays,"Decide now","Waiting for decision")),IF(S252="","Selected",IF(AsOf&gt;S252,"⚠️ Order late — install at risk",IF(S252&lt;=AsOf+AlertDays,"Order now","Selected")))))))</f>
        <v/>
      </c>
      <c r="Z252" s="79">
        <f>IF(B252="","",IF(OR(AH252=1,AE252=1),2,IF(OR(AG252=1,AF252=1),1,IF(OR(Y252="Ordered",Y252="Delivered"),0,""))))</f>
        <v/>
      </c>
      <c r="AA252" s="112">
        <f>IF(B252="","",IF(AH252=1,IF(Y252="⚠️ Delivery after install date",R252,S252),IF(AD252=1,T252,IF(AI252=1,S252,""))))</f>
        <v/>
      </c>
      <c r="AB252" s="79">
        <f>IF(AA252="","",IF(AH252=1,1,IF(AA252="","",IF(AA252&lt;AsOf,1,IF(AA252&lt;=AsOf+AlertDays,2,IF(AA252&lt;=AsOf+2*AlertDays,3,""))))))</f>
        <v/>
      </c>
      <c r="AC252" s="79">
        <f>IF(AB252="","",IF(AH252=1,IF(Y252="⚠️ Delivery after install date","Delivery after install date: "&amp;B252,"Order late — install at risk: "&amp;B252),IF(AD252=1,IF(AB252=1,"Decision overdue: ","Decide: ")&amp;B252,"Order: "&amp;B252&amp;IF(N252="",""," from "&amp;N252))))</f>
        <v/>
      </c>
      <c r="AD252" s="79">
        <f>IF(AND(B252&lt;&gt;"",K252="",U252&lt;&gt;"Yes",X252&lt;&gt;"Yes"),1,0)</f>
        <v/>
      </c>
      <c r="AE252" s="79">
        <f>IF(AND(AD252=1,T252&lt;&gt;""),IF(T252&lt;AsOf,1,0),0)</f>
        <v/>
      </c>
      <c r="AF252" s="79">
        <f>IF(AND(AD252=1,T252&lt;&gt;""),IF(AND(T252&gt;=AsOf,T252&lt;=AsOf+AlertDays),1,0),0)</f>
        <v/>
      </c>
      <c r="AG252" s="79">
        <f>IF(Y252="Order now",1,0)</f>
        <v/>
      </c>
      <c r="AH252" s="79">
        <f>IF(OR(Y252="⚠️ Order late — install at risk",Y252="⚠️ Delivery after install date"),1,0)</f>
        <v/>
      </c>
      <c r="AI252" s="79">
        <f>IF(AND(B252&lt;&gt;"",K252&lt;&gt;"",U252&lt;&gt;"Yes",X252&lt;&gt;"Yes"),1,0)</f>
        <v/>
      </c>
      <c r="AJ252" s="79">
        <f>IF(Y252="⚠️ Order late — install at risk",1,0)</f>
        <v/>
      </c>
    </row>
    <row r="253" ht="20" customHeight="1">
      <c r="B253" s="72" t="n"/>
      <c r="C253" s="72" t="n"/>
      <c r="D253" s="72" t="n"/>
      <c r="E253" s="72" t="n"/>
      <c r="F253" s="73" t="n"/>
      <c r="G253" s="72" t="n"/>
      <c r="H253" s="73" t="n"/>
      <c r="I253" s="72" t="n"/>
      <c r="J253" s="73" t="n"/>
      <c r="K253" s="74" t="n"/>
      <c r="L253" s="75">
        <f>IF(K253="A",F253,IF(K253="B",H253,IF(K253="C",J253,"")))</f>
        <v/>
      </c>
      <c r="M253" s="72" t="n"/>
      <c r="N253" s="72" t="n"/>
      <c r="O253" s="89" t="n"/>
      <c r="P253" s="89" t="n"/>
      <c r="Q253" s="109" t="n"/>
      <c r="R253" s="120">
        <f>IF(B253="","",IF(Q253&lt;&gt;"",Q253,IF(P253="","",IFERROR(INDEX('Timeline'!$J$7:$J$1006,MATCH(P253,'Timeline'!$B$7:$B$1006,0)),""))))</f>
        <v/>
      </c>
      <c r="S253" s="126">
        <f>IF(R253="","",R253-IF(O253="",0,O253)-OrderBuf)</f>
        <v/>
      </c>
      <c r="T253" s="126">
        <f>IF(S253="","",S253-DecideBuf)</f>
        <v/>
      </c>
      <c r="U253" s="74" t="n"/>
      <c r="V253" s="109" t="n"/>
      <c r="W253" s="109" t="n"/>
      <c r="X253" s="74" t="n"/>
      <c r="Y253" s="116">
        <f>IF(B253="","",IF(X253="Yes","Delivered",IF(U253="Yes",IF(AND(W253&lt;&gt;"",R253&lt;&gt;""),IF(W253&gt;R253,"⚠️ Delivery after install date","Ordered"),"Ordered"),IF(K253="",IF(T253="","Waiting for decision",IF(T253&lt;=AsOf+AlertDays,"Decide now","Waiting for decision")),IF(S253="","Selected",IF(AsOf&gt;S253,"⚠️ Order late — install at risk",IF(S253&lt;=AsOf+AlertDays,"Order now","Selected")))))))</f>
        <v/>
      </c>
      <c r="Z253" s="79">
        <f>IF(B253="","",IF(OR(AH253=1,AE253=1),2,IF(OR(AG253=1,AF253=1),1,IF(OR(Y253="Ordered",Y253="Delivered"),0,""))))</f>
        <v/>
      </c>
      <c r="AA253" s="112">
        <f>IF(B253="","",IF(AH253=1,IF(Y253="⚠️ Delivery after install date",R253,S253),IF(AD253=1,T253,IF(AI253=1,S253,""))))</f>
        <v/>
      </c>
      <c r="AB253" s="79">
        <f>IF(AA253="","",IF(AH253=1,1,IF(AA253="","",IF(AA253&lt;AsOf,1,IF(AA253&lt;=AsOf+AlertDays,2,IF(AA253&lt;=AsOf+2*AlertDays,3,""))))))</f>
        <v/>
      </c>
      <c r="AC253" s="79">
        <f>IF(AB253="","",IF(AH253=1,IF(Y253="⚠️ Delivery after install date","Delivery after install date: "&amp;B253,"Order late — install at risk: "&amp;B253),IF(AD253=1,IF(AB253=1,"Decision overdue: ","Decide: ")&amp;B253,"Order: "&amp;B253&amp;IF(N253="",""," from "&amp;N253))))</f>
        <v/>
      </c>
      <c r="AD253" s="79">
        <f>IF(AND(B253&lt;&gt;"",K253="",U253&lt;&gt;"Yes",X253&lt;&gt;"Yes"),1,0)</f>
        <v/>
      </c>
      <c r="AE253" s="79">
        <f>IF(AND(AD253=1,T253&lt;&gt;""),IF(T253&lt;AsOf,1,0),0)</f>
        <v/>
      </c>
      <c r="AF253" s="79">
        <f>IF(AND(AD253=1,T253&lt;&gt;""),IF(AND(T253&gt;=AsOf,T253&lt;=AsOf+AlertDays),1,0),0)</f>
        <v/>
      </c>
      <c r="AG253" s="79">
        <f>IF(Y253="Order now",1,0)</f>
        <v/>
      </c>
      <c r="AH253" s="79">
        <f>IF(OR(Y253="⚠️ Order late — install at risk",Y253="⚠️ Delivery after install date"),1,0)</f>
        <v/>
      </c>
      <c r="AI253" s="79">
        <f>IF(AND(B253&lt;&gt;"",K253&lt;&gt;"",U253&lt;&gt;"Yes",X253&lt;&gt;"Yes"),1,0)</f>
        <v/>
      </c>
      <c r="AJ253" s="79">
        <f>IF(Y253="⚠️ Order late — install at risk",1,0)</f>
        <v/>
      </c>
    </row>
    <row r="254" ht="20" customHeight="1">
      <c r="B254" s="72" t="n"/>
      <c r="C254" s="72" t="n"/>
      <c r="D254" s="72" t="n"/>
      <c r="E254" s="72" t="n"/>
      <c r="F254" s="73" t="n"/>
      <c r="G254" s="72" t="n"/>
      <c r="H254" s="73" t="n"/>
      <c r="I254" s="72" t="n"/>
      <c r="J254" s="73" t="n"/>
      <c r="K254" s="74" t="n"/>
      <c r="L254" s="75">
        <f>IF(K254="A",F254,IF(K254="B",H254,IF(K254="C",J254,"")))</f>
        <v/>
      </c>
      <c r="M254" s="72" t="n"/>
      <c r="N254" s="72" t="n"/>
      <c r="O254" s="89" t="n"/>
      <c r="P254" s="89" t="n"/>
      <c r="Q254" s="109" t="n"/>
      <c r="R254" s="120">
        <f>IF(B254="","",IF(Q254&lt;&gt;"",Q254,IF(P254="","",IFERROR(INDEX('Timeline'!$J$7:$J$1006,MATCH(P254,'Timeline'!$B$7:$B$1006,0)),""))))</f>
        <v/>
      </c>
      <c r="S254" s="126">
        <f>IF(R254="","",R254-IF(O254="",0,O254)-OrderBuf)</f>
        <v/>
      </c>
      <c r="T254" s="126">
        <f>IF(S254="","",S254-DecideBuf)</f>
        <v/>
      </c>
      <c r="U254" s="74" t="n"/>
      <c r="V254" s="109" t="n"/>
      <c r="W254" s="109" t="n"/>
      <c r="X254" s="74" t="n"/>
      <c r="Y254" s="116">
        <f>IF(B254="","",IF(X254="Yes","Delivered",IF(U254="Yes",IF(AND(W254&lt;&gt;"",R254&lt;&gt;""),IF(W254&gt;R254,"⚠️ Delivery after install date","Ordered"),"Ordered"),IF(K254="",IF(T254="","Waiting for decision",IF(T254&lt;=AsOf+AlertDays,"Decide now","Waiting for decision")),IF(S254="","Selected",IF(AsOf&gt;S254,"⚠️ Order late — install at risk",IF(S254&lt;=AsOf+AlertDays,"Order now","Selected")))))))</f>
        <v/>
      </c>
      <c r="Z254" s="79">
        <f>IF(B254="","",IF(OR(AH254=1,AE254=1),2,IF(OR(AG254=1,AF254=1),1,IF(OR(Y254="Ordered",Y254="Delivered"),0,""))))</f>
        <v/>
      </c>
      <c r="AA254" s="112">
        <f>IF(B254="","",IF(AH254=1,IF(Y254="⚠️ Delivery after install date",R254,S254),IF(AD254=1,T254,IF(AI254=1,S254,""))))</f>
        <v/>
      </c>
      <c r="AB254" s="79">
        <f>IF(AA254="","",IF(AH254=1,1,IF(AA254="","",IF(AA254&lt;AsOf,1,IF(AA254&lt;=AsOf+AlertDays,2,IF(AA254&lt;=AsOf+2*AlertDays,3,""))))))</f>
        <v/>
      </c>
      <c r="AC254" s="79">
        <f>IF(AB254="","",IF(AH254=1,IF(Y254="⚠️ Delivery after install date","Delivery after install date: "&amp;B254,"Order late — install at risk: "&amp;B254),IF(AD254=1,IF(AB254=1,"Decision overdue: ","Decide: ")&amp;B254,"Order: "&amp;B254&amp;IF(N254="",""," from "&amp;N254))))</f>
        <v/>
      </c>
      <c r="AD254" s="79">
        <f>IF(AND(B254&lt;&gt;"",K254="",U254&lt;&gt;"Yes",X254&lt;&gt;"Yes"),1,0)</f>
        <v/>
      </c>
      <c r="AE254" s="79">
        <f>IF(AND(AD254=1,T254&lt;&gt;""),IF(T254&lt;AsOf,1,0),0)</f>
        <v/>
      </c>
      <c r="AF254" s="79">
        <f>IF(AND(AD254=1,T254&lt;&gt;""),IF(AND(T254&gt;=AsOf,T254&lt;=AsOf+AlertDays),1,0),0)</f>
        <v/>
      </c>
      <c r="AG254" s="79">
        <f>IF(Y254="Order now",1,0)</f>
        <v/>
      </c>
      <c r="AH254" s="79">
        <f>IF(OR(Y254="⚠️ Order late — install at risk",Y254="⚠️ Delivery after install date"),1,0)</f>
        <v/>
      </c>
      <c r="AI254" s="79">
        <f>IF(AND(B254&lt;&gt;"",K254&lt;&gt;"",U254&lt;&gt;"Yes",X254&lt;&gt;"Yes"),1,0)</f>
        <v/>
      </c>
      <c r="AJ254" s="79">
        <f>IF(Y254="⚠️ Order late — install at risk",1,0)</f>
        <v/>
      </c>
    </row>
    <row r="255" ht="20" customHeight="1">
      <c r="B255" s="72" t="n"/>
      <c r="C255" s="72" t="n"/>
      <c r="D255" s="72" t="n"/>
      <c r="E255" s="72" t="n"/>
      <c r="F255" s="73" t="n"/>
      <c r="G255" s="72" t="n"/>
      <c r="H255" s="73" t="n"/>
      <c r="I255" s="72" t="n"/>
      <c r="J255" s="73" t="n"/>
      <c r="K255" s="74" t="n"/>
      <c r="L255" s="75">
        <f>IF(K255="A",F255,IF(K255="B",H255,IF(K255="C",J255,"")))</f>
        <v/>
      </c>
      <c r="M255" s="72" t="n"/>
      <c r="N255" s="72" t="n"/>
      <c r="O255" s="89" t="n"/>
      <c r="P255" s="89" t="n"/>
      <c r="Q255" s="109" t="n"/>
      <c r="R255" s="120">
        <f>IF(B255="","",IF(Q255&lt;&gt;"",Q255,IF(P255="","",IFERROR(INDEX('Timeline'!$J$7:$J$1006,MATCH(P255,'Timeline'!$B$7:$B$1006,0)),""))))</f>
        <v/>
      </c>
      <c r="S255" s="126">
        <f>IF(R255="","",R255-IF(O255="",0,O255)-OrderBuf)</f>
        <v/>
      </c>
      <c r="T255" s="126">
        <f>IF(S255="","",S255-DecideBuf)</f>
        <v/>
      </c>
      <c r="U255" s="74" t="n"/>
      <c r="V255" s="109" t="n"/>
      <c r="W255" s="109" t="n"/>
      <c r="X255" s="74" t="n"/>
      <c r="Y255" s="116">
        <f>IF(B255="","",IF(X255="Yes","Delivered",IF(U255="Yes",IF(AND(W255&lt;&gt;"",R255&lt;&gt;""),IF(W255&gt;R255,"⚠️ Delivery after install date","Ordered"),"Ordered"),IF(K255="",IF(T255="","Waiting for decision",IF(T255&lt;=AsOf+AlertDays,"Decide now","Waiting for decision")),IF(S255="","Selected",IF(AsOf&gt;S255,"⚠️ Order late — install at risk",IF(S255&lt;=AsOf+AlertDays,"Order now","Selected")))))))</f>
        <v/>
      </c>
      <c r="Z255" s="79">
        <f>IF(B255="","",IF(OR(AH255=1,AE255=1),2,IF(OR(AG255=1,AF255=1),1,IF(OR(Y255="Ordered",Y255="Delivered"),0,""))))</f>
        <v/>
      </c>
      <c r="AA255" s="112">
        <f>IF(B255="","",IF(AH255=1,IF(Y255="⚠️ Delivery after install date",R255,S255),IF(AD255=1,T255,IF(AI255=1,S255,""))))</f>
        <v/>
      </c>
      <c r="AB255" s="79">
        <f>IF(AA255="","",IF(AH255=1,1,IF(AA255="","",IF(AA255&lt;AsOf,1,IF(AA255&lt;=AsOf+AlertDays,2,IF(AA255&lt;=AsOf+2*AlertDays,3,""))))))</f>
        <v/>
      </c>
      <c r="AC255" s="79">
        <f>IF(AB255="","",IF(AH255=1,IF(Y255="⚠️ Delivery after install date","Delivery after install date: "&amp;B255,"Order late — install at risk: "&amp;B255),IF(AD255=1,IF(AB255=1,"Decision overdue: ","Decide: ")&amp;B255,"Order: "&amp;B255&amp;IF(N255="",""," from "&amp;N255))))</f>
        <v/>
      </c>
      <c r="AD255" s="79">
        <f>IF(AND(B255&lt;&gt;"",K255="",U255&lt;&gt;"Yes",X255&lt;&gt;"Yes"),1,0)</f>
        <v/>
      </c>
      <c r="AE255" s="79">
        <f>IF(AND(AD255=1,T255&lt;&gt;""),IF(T255&lt;AsOf,1,0),0)</f>
        <v/>
      </c>
      <c r="AF255" s="79">
        <f>IF(AND(AD255=1,T255&lt;&gt;""),IF(AND(T255&gt;=AsOf,T255&lt;=AsOf+AlertDays),1,0),0)</f>
        <v/>
      </c>
      <c r="AG255" s="79">
        <f>IF(Y255="Order now",1,0)</f>
        <v/>
      </c>
      <c r="AH255" s="79">
        <f>IF(OR(Y255="⚠️ Order late — install at risk",Y255="⚠️ Delivery after install date"),1,0)</f>
        <v/>
      </c>
      <c r="AI255" s="79">
        <f>IF(AND(B255&lt;&gt;"",K255&lt;&gt;"",U255&lt;&gt;"Yes",X255&lt;&gt;"Yes"),1,0)</f>
        <v/>
      </c>
      <c r="AJ255" s="79">
        <f>IF(Y255="⚠️ Order late — install at risk",1,0)</f>
        <v/>
      </c>
    </row>
    <row r="256" ht="20" customHeight="1">
      <c r="B256" s="72" t="n"/>
      <c r="C256" s="72" t="n"/>
      <c r="D256" s="72" t="n"/>
      <c r="E256" s="72" t="n"/>
      <c r="F256" s="73" t="n"/>
      <c r="G256" s="72" t="n"/>
      <c r="H256" s="73" t="n"/>
      <c r="I256" s="72" t="n"/>
      <c r="J256" s="73" t="n"/>
      <c r="K256" s="74" t="n"/>
      <c r="L256" s="75">
        <f>IF(K256="A",F256,IF(K256="B",H256,IF(K256="C",J256,"")))</f>
        <v/>
      </c>
      <c r="M256" s="72" t="n"/>
      <c r="N256" s="72" t="n"/>
      <c r="O256" s="89" t="n"/>
      <c r="P256" s="89" t="n"/>
      <c r="Q256" s="109" t="n"/>
      <c r="R256" s="120">
        <f>IF(B256="","",IF(Q256&lt;&gt;"",Q256,IF(P256="","",IFERROR(INDEX('Timeline'!$J$7:$J$1006,MATCH(P256,'Timeline'!$B$7:$B$1006,0)),""))))</f>
        <v/>
      </c>
      <c r="S256" s="126">
        <f>IF(R256="","",R256-IF(O256="",0,O256)-OrderBuf)</f>
        <v/>
      </c>
      <c r="T256" s="126">
        <f>IF(S256="","",S256-DecideBuf)</f>
        <v/>
      </c>
      <c r="U256" s="74" t="n"/>
      <c r="V256" s="109" t="n"/>
      <c r="W256" s="109" t="n"/>
      <c r="X256" s="74" t="n"/>
      <c r="Y256" s="116">
        <f>IF(B256="","",IF(X256="Yes","Delivered",IF(U256="Yes",IF(AND(W256&lt;&gt;"",R256&lt;&gt;""),IF(W256&gt;R256,"⚠️ Delivery after install date","Ordered"),"Ordered"),IF(K256="",IF(T256="","Waiting for decision",IF(T256&lt;=AsOf+AlertDays,"Decide now","Waiting for decision")),IF(S256="","Selected",IF(AsOf&gt;S256,"⚠️ Order late — install at risk",IF(S256&lt;=AsOf+AlertDays,"Order now","Selected")))))))</f>
        <v/>
      </c>
      <c r="Z256" s="79">
        <f>IF(B256="","",IF(OR(AH256=1,AE256=1),2,IF(OR(AG256=1,AF256=1),1,IF(OR(Y256="Ordered",Y256="Delivered"),0,""))))</f>
        <v/>
      </c>
      <c r="AA256" s="112">
        <f>IF(B256="","",IF(AH256=1,IF(Y256="⚠️ Delivery after install date",R256,S256),IF(AD256=1,T256,IF(AI256=1,S256,""))))</f>
        <v/>
      </c>
      <c r="AB256" s="79">
        <f>IF(AA256="","",IF(AH256=1,1,IF(AA256="","",IF(AA256&lt;AsOf,1,IF(AA256&lt;=AsOf+AlertDays,2,IF(AA256&lt;=AsOf+2*AlertDays,3,""))))))</f>
        <v/>
      </c>
      <c r="AC256" s="79">
        <f>IF(AB256="","",IF(AH256=1,IF(Y256="⚠️ Delivery after install date","Delivery after install date: "&amp;B256,"Order late — install at risk: "&amp;B256),IF(AD256=1,IF(AB256=1,"Decision overdue: ","Decide: ")&amp;B256,"Order: "&amp;B256&amp;IF(N256="",""," from "&amp;N256))))</f>
        <v/>
      </c>
      <c r="AD256" s="79">
        <f>IF(AND(B256&lt;&gt;"",K256="",U256&lt;&gt;"Yes",X256&lt;&gt;"Yes"),1,0)</f>
        <v/>
      </c>
      <c r="AE256" s="79">
        <f>IF(AND(AD256=1,T256&lt;&gt;""),IF(T256&lt;AsOf,1,0),0)</f>
        <v/>
      </c>
      <c r="AF256" s="79">
        <f>IF(AND(AD256=1,T256&lt;&gt;""),IF(AND(T256&gt;=AsOf,T256&lt;=AsOf+AlertDays),1,0),0)</f>
        <v/>
      </c>
      <c r="AG256" s="79">
        <f>IF(Y256="Order now",1,0)</f>
        <v/>
      </c>
      <c r="AH256" s="79">
        <f>IF(OR(Y256="⚠️ Order late — install at risk",Y256="⚠️ Delivery after install date"),1,0)</f>
        <v/>
      </c>
      <c r="AI256" s="79">
        <f>IF(AND(B256&lt;&gt;"",K256&lt;&gt;"",U256&lt;&gt;"Yes",X256&lt;&gt;"Yes"),1,0)</f>
        <v/>
      </c>
      <c r="AJ256" s="79">
        <f>IF(Y256="⚠️ Order late — install at risk",1,0)</f>
        <v/>
      </c>
    </row>
    <row r="257" ht="20" customHeight="1">
      <c r="B257" s="72" t="n"/>
      <c r="C257" s="72" t="n"/>
      <c r="D257" s="72" t="n"/>
      <c r="E257" s="72" t="n"/>
      <c r="F257" s="73" t="n"/>
      <c r="G257" s="72" t="n"/>
      <c r="H257" s="73" t="n"/>
      <c r="I257" s="72" t="n"/>
      <c r="J257" s="73" t="n"/>
      <c r="K257" s="74" t="n"/>
      <c r="L257" s="75">
        <f>IF(K257="A",F257,IF(K257="B",H257,IF(K257="C",J257,"")))</f>
        <v/>
      </c>
      <c r="M257" s="72" t="n"/>
      <c r="N257" s="72" t="n"/>
      <c r="O257" s="89" t="n"/>
      <c r="P257" s="89" t="n"/>
      <c r="Q257" s="109" t="n"/>
      <c r="R257" s="120">
        <f>IF(B257="","",IF(Q257&lt;&gt;"",Q257,IF(P257="","",IFERROR(INDEX('Timeline'!$J$7:$J$1006,MATCH(P257,'Timeline'!$B$7:$B$1006,0)),""))))</f>
        <v/>
      </c>
      <c r="S257" s="126">
        <f>IF(R257="","",R257-IF(O257="",0,O257)-OrderBuf)</f>
        <v/>
      </c>
      <c r="T257" s="126">
        <f>IF(S257="","",S257-DecideBuf)</f>
        <v/>
      </c>
      <c r="U257" s="74" t="n"/>
      <c r="V257" s="109" t="n"/>
      <c r="W257" s="109" t="n"/>
      <c r="X257" s="74" t="n"/>
      <c r="Y257" s="116">
        <f>IF(B257="","",IF(X257="Yes","Delivered",IF(U257="Yes",IF(AND(W257&lt;&gt;"",R257&lt;&gt;""),IF(W257&gt;R257,"⚠️ Delivery after install date","Ordered"),"Ordered"),IF(K257="",IF(T257="","Waiting for decision",IF(T257&lt;=AsOf+AlertDays,"Decide now","Waiting for decision")),IF(S257="","Selected",IF(AsOf&gt;S257,"⚠️ Order late — install at risk",IF(S257&lt;=AsOf+AlertDays,"Order now","Selected")))))))</f>
        <v/>
      </c>
      <c r="Z257" s="79">
        <f>IF(B257="","",IF(OR(AH257=1,AE257=1),2,IF(OR(AG257=1,AF257=1),1,IF(OR(Y257="Ordered",Y257="Delivered"),0,""))))</f>
        <v/>
      </c>
      <c r="AA257" s="112">
        <f>IF(B257="","",IF(AH257=1,IF(Y257="⚠️ Delivery after install date",R257,S257),IF(AD257=1,T257,IF(AI257=1,S257,""))))</f>
        <v/>
      </c>
      <c r="AB257" s="79">
        <f>IF(AA257="","",IF(AH257=1,1,IF(AA257="","",IF(AA257&lt;AsOf,1,IF(AA257&lt;=AsOf+AlertDays,2,IF(AA257&lt;=AsOf+2*AlertDays,3,""))))))</f>
        <v/>
      </c>
      <c r="AC257" s="79">
        <f>IF(AB257="","",IF(AH257=1,IF(Y257="⚠️ Delivery after install date","Delivery after install date: "&amp;B257,"Order late — install at risk: "&amp;B257),IF(AD257=1,IF(AB257=1,"Decision overdue: ","Decide: ")&amp;B257,"Order: "&amp;B257&amp;IF(N257="",""," from "&amp;N257))))</f>
        <v/>
      </c>
      <c r="AD257" s="79">
        <f>IF(AND(B257&lt;&gt;"",K257="",U257&lt;&gt;"Yes",X257&lt;&gt;"Yes"),1,0)</f>
        <v/>
      </c>
      <c r="AE257" s="79">
        <f>IF(AND(AD257=1,T257&lt;&gt;""),IF(T257&lt;AsOf,1,0),0)</f>
        <v/>
      </c>
      <c r="AF257" s="79">
        <f>IF(AND(AD257=1,T257&lt;&gt;""),IF(AND(T257&gt;=AsOf,T257&lt;=AsOf+AlertDays),1,0),0)</f>
        <v/>
      </c>
      <c r="AG257" s="79">
        <f>IF(Y257="Order now",1,0)</f>
        <v/>
      </c>
      <c r="AH257" s="79">
        <f>IF(OR(Y257="⚠️ Order late — install at risk",Y257="⚠️ Delivery after install date"),1,0)</f>
        <v/>
      </c>
      <c r="AI257" s="79">
        <f>IF(AND(B257&lt;&gt;"",K257&lt;&gt;"",U257&lt;&gt;"Yes",X257&lt;&gt;"Yes"),1,0)</f>
        <v/>
      </c>
      <c r="AJ257" s="79">
        <f>IF(Y257="⚠️ Order late — install at risk",1,0)</f>
        <v/>
      </c>
    </row>
    <row r="258" ht="20" customHeight="1">
      <c r="B258" s="72" t="n"/>
      <c r="C258" s="72" t="n"/>
      <c r="D258" s="72" t="n"/>
      <c r="E258" s="72" t="n"/>
      <c r="F258" s="73" t="n"/>
      <c r="G258" s="72" t="n"/>
      <c r="H258" s="73" t="n"/>
      <c r="I258" s="72" t="n"/>
      <c r="J258" s="73" t="n"/>
      <c r="K258" s="74" t="n"/>
      <c r="L258" s="75">
        <f>IF(K258="A",F258,IF(K258="B",H258,IF(K258="C",J258,"")))</f>
        <v/>
      </c>
      <c r="M258" s="72" t="n"/>
      <c r="N258" s="72" t="n"/>
      <c r="O258" s="89" t="n"/>
      <c r="P258" s="89" t="n"/>
      <c r="Q258" s="109" t="n"/>
      <c r="R258" s="120">
        <f>IF(B258="","",IF(Q258&lt;&gt;"",Q258,IF(P258="","",IFERROR(INDEX('Timeline'!$J$7:$J$1006,MATCH(P258,'Timeline'!$B$7:$B$1006,0)),""))))</f>
        <v/>
      </c>
      <c r="S258" s="126">
        <f>IF(R258="","",R258-IF(O258="",0,O258)-OrderBuf)</f>
        <v/>
      </c>
      <c r="T258" s="126">
        <f>IF(S258="","",S258-DecideBuf)</f>
        <v/>
      </c>
      <c r="U258" s="74" t="n"/>
      <c r="V258" s="109" t="n"/>
      <c r="W258" s="109" t="n"/>
      <c r="X258" s="74" t="n"/>
      <c r="Y258" s="116">
        <f>IF(B258="","",IF(X258="Yes","Delivered",IF(U258="Yes",IF(AND(W258&lt;&gt;"",R258&lt;&gt;""),IF(W258&gt;R258,"⚠️ Delivery after install date","Ordered"),"Ordered"),IF(K258="",IF(T258="","Waiting for decision",IF(T258&lt;=AsOf+AlertDays,"Decide now","Waiting for decision")),IF(S258="","Selected",IF(AsOf&gt;S258,"⚠️ Order late — install at risk",IF(S258&lt;=AsOf+AlertDays,"Order now","Selected")))))))</f>
        <v/>
      </c>
      <c r="Z258" s="79">
        <f>IF(B258="","",IF(OR(AH258=1,AE258=1),2,IF(OR(AG258=1,AF258=1),1,IF(OR(Y258="Ordered",Y258="Delivered"),0,""))))</f>
        <v/>
      </c>
      <c r="AA258" s="112">
        <f>IF(B258="","",IF(AH258=1,IF(Y258="⚠️ Delivery after install date",R258,S258),IF(AD258=1,T258,IF(AI258=1,S258,""))))</f>
        <v/>
      </c>
      <c r="AB258" s="79">
        <f>IF(AA258="","",IF(AH258=1,1,IF(AA258="","",IF(AA258&lt;AsOf,1,IF(AA258&lt;=AsOf+AlertDays,2,IF(AA258&lt;=AsOf+2*AlertDays,3,""))))))</f>
        <v/>
      </c>
      <c r="AC258" s="79">
        <f>IF(AB258="","",IF(AH258=1,IF(Y258="⚠️ Delivery after install date","Delivery after install date: "&amp;B258,"Order late — install at risk: "&amp;B258),IF(AD258=1,IF(AB258=1,"Decision overdue: ","Decide: ")&amp;B258,"Order: "&amp;B258&amp;IF(N258="",""," from "&amp;N258))))</f>
        <v/>
      </c>
      <c r="AD258" s="79">
        <f>IF(AND(B258&lt;&gt;"",K258="",U258&lt;&gt;"Yes",X258&lt;&gt;"Yes"),1,0)</f>
        <v/>
      </c>
      <c r="AE258" s="79">
        <f>IF(AND(AD258=1,T258&lt;&gt;""),IF(T258&lt;AsOf,1,0),0)</f>
        <v/>
      </c>
      <c r="AF258" s="79">
        <f>IF(AND(AD258=1,T258&lt;&gt;""),IF(AND(T258&gt;=AsOf,T258&lt;=AsOf+AlertDays),1,0),0)</f>
        <v/>
      </c>
      <c r="AG258" s="79">
        <f>IF(Y258="Order now",1,0)</f>
        <v/>
      </c>
      <c r="AH258" s="79">
        <f>IF(OR(Y258="⚠️ Order late — install at risk",Y258="⚠️ Delivery after install date"),1,0)</f>
        <v/>
      </c>
      <c r="AI258" s="79">
        <f>IF(AND(B258&lt;&gt;"",K258&lt;&gt;"",U258&lt;&gt;"Yes",X258&lt;&gt;"Yes"),1,0)</f>
        <v/>
      </c>
      <c r="AJ258" s="79">
        <f>IF(Y258="⚠️ Order late — install at risk",1,0)</f>
        <v/>
      </c>
    </row>
    <row r="259" ht="20" customHeight="1">
      <c r="B259" s="72" t="n"/>
      <c r="C259" s="72" t="n"/>
      <c r="D259" s="72" t="n"/>
      <c r="E259" s="72" t="n"/>
      <c r="F259" s="73" t="n"/>
      <c r="G259" s="72" t="n"/>
      <c r="H259" s="73" t="n"/>
      <c r="I259" s="72" t="n"/>
      <c r="J259" s="73" t="n"/>
      <c r="K259" s="74" t="n"/>
      <c r="L259" s="75">
        <f>IF(K259="A",F259,IF(K259="B",H259,IF(K259="C",J259,"")))</f>
        <v/>
      </c>
      <c r="M259" s="72" t="n"/>
      <c r="N259" s="72" t="n"/>
      <c r="O259" s="89" t="n"/>
      <c r="P259" s="89" t="n"/>
      <c r="Q259" s="109" t="n"/>
      <c r="R259" s="120">
        <f>IF(B259="","",IF(Q259&lt;&gt;"",Q259,IF(P259="","",IFERROR(INDEX('Timeline'!$J$7:$J$1006,MATCH(P259,'Timeline'!$B$7:$B$1006,0)),""))))</f>
        <v/>
      </c>
      <c r="S259" s="126">
        <f>IF(R259="","",R259-IF(O259="",0,O259)-OrderBuf)</f>
        <v/>
      </c>
      <c r="T259" s="126">
        <f>IF(S259="","",S259-DecideBuf)</f>
        <v/>
      </c>
      <c r="U259" s="74" t="n"/>
      <c r="V259" s="109" t="n"/>
      <c r="W259" s="109" t="n"/>
      <c r="X259" s="74" t="n"/>
      <c r="Y259" s="116">
        <f>IF(B259="","",IF(X259="Yes","Delivered",IF(U259="Yes",IF(AND(W259&lt;&gt;"",R259&lt;&gt;""),IF(W259&gt;R259,"⚠️ Delivery after install date","Ordered"),"Ordered"),IF(K259="",IF(T259="","Waiting for decision",IF(T259&lt;=AsOf+AlertDays,"Decide now","Waiting for decision")),IF(S259="","Selected",IF(AsOf&gt;S259,"⚠️ Order late — install at risk",IF(S259&lt;=AsOf+AlertDays,"Order now","Selected")))))))</f>
        <v/>
      </c>
      <c r="Z259" s="79">
        <f>IF(B259="","",IF(OR(AH259=1,AE259=1),2,IF(OR(AG259=1,AF259=1),1,IF(OR(Y259="Ordered",Y259="Delivered"),0,""))))</f>
        <v/>
      </c>
      <c r="AA259" s="112">
        <f>IF(B259="","",IF(AH259=1,IF(Y259="⚠️ Delivery after install date",R259,S259),IF(AD259=1,T259,IF(AI259=1,S259,""))))</f>
        <v/>
      </c>
      <c r="AB259" s="79">
        <f>IF(AA259="","",IF(AH259=1,1,IF(AA259="","",IF(AA259&lt;AsOf,1,IF(AA259&lt;=AsOf+AlertDays,2,IF(AA259&lt;=AsOf+2*AlertDays,3,""))))))</f>
        <v/>
      </c>
      <c r="AC259" s="79">
        <f>IF(AB259="","",IF(AH259=1,IF(Y259="⚠️ Delivery after install date","Delivery after install date: "&amp;B259,"Order late — install at risk: "&amp;B259),IF(AD259=1,IF(AB259=1,"Decision overdue: ","Decide: ")&amp;B259,"Order: "&amp;B259&amp;IF(N259="",""," from "&amp;N259))))</f>
        <v/>
      </c>
      <c r="AD259" s="79">
        <f>IF(AND(B259&lt;&gt;"",K259="",U259&lt;&gt;"Yes",X259&lt;&gt;"Yes"),1,0)</f>
        <v/>
      </c>
      <c r="AE259" s="79">
        <f>IF(AND(AD259=1,T259&lt;&gt;""),IF(T259&lt;AsOf,1,0),0)</f>
        <v/>
      </c>
      <c r="AF259" s="79">
        <f>IF(AND(AD259=1,T259&lt;&gt;""),IF(AND(T259&gt;=AsOf,T259&lt;=AsOf+AlertDays),1,0),0)</f>
        <v/>
      </c>
      <c r="AG259" s="79">
        <f>IF(Y259="Order now",1,0)</f>
        <v/>
      </c>
      <c r="AH259" s="79">
        <f>IF(OR(Y259="⚠️ Order late — install at risk",Y259="⚠️ Delivery after install date"),1,0)</f>
        <v/>
      </c>
      <c r="AI259" s="79">
        <f>IF(AND(B259&lt;&gt;"",K259&lt;&gt;"",U259&lt;&gt;"Yes",X259&lt;&gt;"Yes"),1,0)</f>
        <v/>
      </c>
      <c r="AJ259" s="79">
        <f>IF(Y259="⚠️ Order late — install at risk",1,0)</f>
        <v/>
      </c>
    </row>
    <row r="260" ht="20" customHeight="1">
      <c r="B260" s="72" t="n"/>
      <c r="C260" s="72" t="n"/>
      <c r="D260" s="72" t="n"/>
      <c r="E260" s="72" t="n"/>
      <c r="F260" s="73" t="n"/>
      <c r="G260" s="72" t="n"/>
      <c r="H260" s="73" t="n"/>
      <c r="I260" s="72" t="n"/>
      <c r="J260" s="73" t="n"/>
      <c r="K260" s="74" t="n"/>
      <c r="L260" s="75">
        <f>IF(K260="A",F260,IF(K260="B",H260,IF(K260="C",J260,"")))</f>
        <v/>
      </c>
      <c r="M260" s="72" t="n"/>
      <c r="N260" s="72" t="n"/>
      <c r="O260" s="89" t="n"/>
      <c r="P260" s="89" t="n"/>
      <c r="Q260" s="109" t="n"/>
      <c r="R260" s="120">
        <f>IF(B260="","",IF(Q260&lt;&gt;"",Q260,IF(P260="","",IFERROR(INDEX('Timeline'!$J$7:$J$1006,MATCH(P260,'Timeline'!$B$7:$B$1006,0)),""))))</f>
        <v/>
      </c>
      <c r="S260" s="126">
        <f>IF(R260="","",R260-IF(O260="",0,O260)-OrderBuf)</f>
        <v/>
      </c>
      <c r="T260" s="126">
        <f>IF(S260="","",S260-DecideBuf)</f>
        <v/>
      </c>
      <c r="U260" s="74" t="n"/>
      <c r="V260" s="109" t="n"/>
      <c r="W260" s="109" t="n"/>
      <c r="X260" s="74" t="n"/>
      <c r="Y260" s="116">
        <f>IF(B260="","",IF(X260="Yes","Delivered",IF(U260="Yes",IF(AND(W260&lt;&gt;"",R260&lt;&gt;""),IF(W260&gt;R260,"⚠️ Delivery after install date","Ordered"),"Ordered"),IF(K260="",IF(T260="","Waiting for decision",IF(T260&lt;=AsOf+AlertDays,"Decide now","Waiting for decision")),IF(S260="","Selected",IF(AsOf&gt;S260,"⚠️ Order late — install at risk",IF(S260&lt;=AsOf+AlertDays,"Order now","Selected")))))))</f>
        <v/>
      </c>
      <c r="Z260" s="79">
        <f>IF(B260="","",IF(OR(AH260=1,AE260=1),2,IF(OR(AG260=1,AF260=1),1,IF(OR(Y260="Ordered",Y260="Delivered"),0,""))))</f>
        <v/>
      </c>
      <c r="AA260" s="112">
        <f>IF(B260="","",IF(AH260=1,IF(Y260="⚠️ Delivery after install date",R260,S260),IF(AD260=1,T260,IF(AI260=1,S260,""))))</f>
        <v/>
      </c>
      <c r="AB260" s="79">
        <f>IF(AA260="","",IF(AH260=1,1,IF(AA260="","",IF(AA260&lt;AsOf,1,IF(AA260&lt;=AsOf+AlertDays,2,IF(AA260&lt;=AsOf+2*AlertDays,3,""))))))</f>
        <v/>
      </c>
      <c r="AC260" s="79">
        <f>IF(AB260="","",IF(AH260=1,IF(Y260="⚠️ Delivery after install date","Delivery after install date: "&amp;B260,"Order late — install at risk: "&amp;B260),IF(AD260=1,IF(AB260=1,"Decision overdue: ","Decide: ")&amp;B260,"Order: "&amp;B260&amp;IF(N260="",""," from "&amp;N260))))</f>
        <v/>
      </c>
      <c r="AD260" s="79">
        <f>IF(AND(B260&lt;&gt;"",K260="",U260&lt;&gt;"Yes",X260&lt;&gt;"Yes"),1,0)</f>
        <v/>
      </c>
      <c r="AE260" s="79">
        <f>IF(AND(AD260=1,T260&lt;&gt;""),IF(T260&lt;AsOf,1,0),0)</f>
        <v/>
      </c>
      <c r="AF260" s="79">
        <f>IF(AND(AD260=1,T260&lt;&gt;""),IF(AND(T260&gt;=AsOf,T260&lt;=AsOf+AlertDays),1,0),0)</f>
        <v/>
      </c>
      <c r="AG260" s="79">
        <f>IF(Y260="Order now",1,0)</f>
        <v/>
      </c>
      <c r="AH260" s="79">
        <f>IF(OR(Y260="⚠️ Order late — install at risk",Y260="⚠️ Delivery after install date"),1,0)</f>
        <v/>
      </c>
      <c r="AI260" s="79">
        <f>IF(AND(B260&lt;&gt;"",K260&lt;&gt;"",U260&lt;&gt;"Yes",X260&lt;&gt;"Yes"),1,0)</f>
        <v/>
      </c>
      <c r="AJ260" s="79">
        <f>IF(Y260="⚠️ Order late — install at risk",1,0)</f>
        <v/>
      </c>
    </row>
    <row r="261" ht="20" customHeight="1">
      <c r="B261" s="72" t="n"/>
      <c r="C261" s="72" t="n"/>
      <c r="D261" s="72" t="n"/>
      <c r="E261" s="72" t="n"/>
      <c r="F261" s="73" t="n"/>
      <c r="G261" s="72" t="n"/>
      <c r="H261" s="73" t="n"/>
      <c r="I261" s="72" t="n"/>
      <c r="J261" s="73" t="n"/>
      <c r="K261" s="74" t="n"/>
      <c r="L261" s="75">
        <f>IF(K261="A",F261,IF(K261="B",H261,IF(K261="C",J261,"")))</f>
        <v/>
      </c>
      <c r="M261" s="72" t="n"/>
      <c r="N261" s="72" t="n"/>
      <c r="O261" s="89" t="n"/>
      <c r="P261" s="89" t="n"/>
      <c r="Q261" s="109" t="n"/>
      <c r="R261" s="120">
        <f>IF(B261="","",IF(Q261&lt;&gt;"",Q261,IF(P261="","",IFERROR(INDEX('Timeline'!$J$7:$J$1006,MATCH(P261,'Timeline'!$B$7:$B$1006,0)),""))))</f>
        <v/>
      </c>
      <c r="S261" s="126">
        <f>IF(R261="","",R261-IF(O261="",0,O261)-OrderBuf)</f>
        <v/>
      </c>
      <c r="T261" s="126">
        <f>IF(S261="","",S261-DecideBuf)</f>
        <v/>
      </c>
      <c r="U261" s="74" t="n"/>
      <c r="V261" s="109" t="n"/>
      <c r="W261" s="109" t="n"/>
      <c r="X261" s="74" t="n"/>
      <c r="Y261" s="116">
        <f>IF(B261="","",IF(X261="Yes","Delivered",IF(U261="Yes",IF(AND(W261&lt;&gt;"",R261&lt;&gt;""),IF(W261&gt;R261,"⚠️ Delivery after install date","Ordered"),"Ordered"),IF(K261="",IF(T261="","Waiting for decision",IF(T261&lt;=AsOf+AlertDays,"Decide now","Waiting for decision")),IF(S261="","Selected",IF(AsOf&gt;S261,"⚠️ Order late — install at risk",IF(S261&lt;=AsOf+AlertDays,"Order now","Selected")))))))</f>
        <v/>
      </c>
      <c r="Z261" s="79">
        <f>IF(B261="","",IF(OR(AH261=1,AE261=1),2,IF(OR(AG261=1,AF261=1),1,IF(OR(Y261="Ordered",Y261="Delivered"),0,""))))</f>
        <v/>
      </c>
      <c r="AA261" s="112">
        <f>IF(B261="","",IF(AH261=1,IF(Y261="⚠️ Delivery after install date",R261,S261),IF(AD261=1,T261,IF(AI261=1,S261,""))))</f>
        <v/>
      </c>
      <c r="AB261" s="79">
        <f>IF(AA261="","",IF(AH261=1,1,IF(AA261="","",IF(AA261&lt;AsOf,1,IF(AA261&lt;=AsOf+AlertDays,2,IF(AA261&lt;=AsOf+2*AlertDays,3,""))))))</f>
        <v/>
      </c>
      <c r="AC261" s="79">
        <f>IF(AB261="","",IF(AH261=1,IF(Y261="⚠️ Delivery after install date","Delivery after install date: "&amp;B261,"Order late — install at risk: "&amp;B261),IF(AD261=1,IF(AB261=1,"Decision overdue: ","Decide: ")&amp;B261,"Order: "&amp;B261&amp;IF(N261="",""," from "&amp;N261))))</f>
        <v/>
      </c>
      <c r="AD261" s="79">
        <f>IF(AND(B261&lt;&gt;"",K261="",U261&lt;&gt;"Yes",X261&lt;&gt;"Yes"),1,0)</f>
        <v/>
      </c>
      <c r="AE261" s="79">
        <f>IF(AND(AD261=1,T261&lt;&gt;""),IF(T261&lt;AsOf,1,0),0)</f>
        <v/>
      </c>
      <c r="AF261" s="79">
        <f>IF(AND(AD261=1,T261&lt;&gt;""),IF(AND(T261&gt;=AsOf,T261&lt;=AsOf+AlertDays),1,0),0)</f>
        <v/>
      </c>
      <c r="AG261" s="79">
        <f>IF(Y261="Order now",1,0)</f>
        <v/>
      </c>
      <c r="AH261" s="79">
        <f>IF(OR(Y261="⚠️ Order late — install at risk",Y261="⚠️ Delivery after install date"),1,0)</f>
        <v/>
      </c>
      <c r="AI261" s="79">
        <f>IF(AND(B261&lt;&gt;"",K261&lt;&gt;"",U261&lt;&gt;"Yes",X261&lt;&gt;"Yes"),1,0)</f>
        <v/>
      </c>
      <c r="AJ261" s="79">
        <f>IF(Y261="⚠️ Order late — install at risk",1,0)</f>
        <v/>
      </c>
    </row>
    <row r="262" ht="20" customHeight="1">
      <c r="B262" s="72" t="n"/>
      <c r="C262" s="72" t="n"/>
      <c r="D262" s="72" t="n"/>
      <c r="E262" s="72" t="n"/>
      <c r="F262" s="73" t="n"/>
      <c r="G262" s="72" t="n"/>
      <c r="H262" s="73" t="n"/>
      <c r="I262" s="72" t="n"/>
      <c r="J262" s="73" t="n"/>
      <c r="K262" s="74" t="n"/>
      <c r="L262" s="75">
        <f>IF(K262="A",F262,IF(K262="B",H262,IF(K262="C",J262,"")))</f>
        <v/>
      </c>
      <c r="M262" s="72" t="n"/>
      <c r="N262" s="72" t="n"/>
      <c r="O262" s="89" t="n"/>
      <c r="P262" s="89" t="n"/>
      <c r="Q262" s="109" t="n"/>
      <c r="R262" s="120">
        <f>IF(B262="","",IF(Q262&lt;&gt;"",Q262,IF(P262="","",IFERROR(INDEX('Timeline'!$J$7:$J$1006,MATCH(P262,'Timeline'!$B$7:$B$1006,0)),""))))</f>
        <v/>
      </c>
      <c r="S262" s="126">
        <f>IF(R262="","",R262-IF(O262="",0,O262)-OrderBuf)</f>
        <v/>
      </c>
      <c r="T262" s="126">
        <f>IF(S262="","",S262-DecideBuf)</f>
        <v/>
      </c>
      <c r="U262" s="74" t="n"/>
      <c r="V262" s="109" t="n"/>
      <c r="W262" s="109" t="n"/>
      <c r="X262" s="74" t="n"/>
      <c r="Y262" s="116">
        <f>IF(B262="","",IF(X262="Yes","Delivered",IF(U262="Yes",IF(AND(W262&lt;&gt;"",R262&lt;&gt;""),IF(W262&gt;R262,"⚠️ Delivery after install date","Ordered"),"Ordered"),IF(K262="",IF(T262="","Waiting for decision",IF(T262&lt;=AsOf+AlertDays,"Decide now","Waiting for decision")),IF(S262="","Selected",IF(AsOf&gt;S262,"⚠️ Order late — install at risk",IF(S262&lt;=AsOf+AlertDays,"Order now","Selected")))))))</f>
        <v/>
      </c>
      <c r="Z262" s="79">
        <f>IF(B262="","",IF(OR(AH262=1,AE262=1),2,IF(OR(AG262=1,AF262=1),1,IF(OR(Y262="Ordered",Y262="Delivered"),0,""))))</f>
        <v/>
      </c>
      <c r="AA262" s="112">
        <f>IF(B262="","",IF(AH262=1,IF(Y262="⚠️ Delivery after install date",R262,S262),IF(AD262=1,T262,IF(AI262=1,S262,""))))</f>
        <v/>
      </c>
      <c r="AB262" s="79">
        <f>IF(AA262="","",IF(AH262=1,1,IF(AA262="","",IF(AA262&lt;AsOf,1,IF(AA262&lt;=AsOf+AlertDays,2,IF(AA262&lt;=AsOf+2*AlertDays,3,""))))))</f>
        <v/>
      </c>
      <c r="AC262" s="79">
        <f>IF(AB262="","",IF(AH262=1,IF(Y262="⚠️ Delivery after install date","Delivery after install date: "&amp;B262,"Order late — install at risk: "&amp;B262),IF(AD262=1,IF(AB262=1,"Decision overdue: ","Decide: ")&amp;B262,"Order: "&amp;B262&amp;IF(N262="",""," from "&amp;N262))))</f>
        <v/>
      </c>
      <c r="AD262" s="79">
        <f>IF(AND(B262&lt;&gt;"",K262="",U262&lt;&gt;"Yes",X262&lt;&gt;"Yes"),1,0)</f>
        <v/>
      </c>
      <c r="AE262" s="79">
        <f>IF(AND(AD262=1,T262&lt;&gt;""),IF(T262&lt;AsOf,1,0),0)</f>
        <v/>
      </c>
      <c r="AF262" s="79">
        <f>IF(AND(AD262=1,T262&lt;&gt;""),IF(AND(T262&gt;=AsOf,T262&lt;=AsOf+AlertDays),1,0),0)</f>
        <v/>
      </c>
      <c r="AG262" s="79">
        <f>IF(Y262="Order now",1,0)</f>
        <v/>
      </c>
      <c r="AH262" s="79">
        <f>IF(OR(Y262="⚠️ Order late — install at risk",Y262="⚠️ Delivery after install date"),1,0)</f>
        <v/>
      </c>
      <c r="AI262" s="79">
        <f>IF(AND(B262&lt;&gt;"",K262&lt;&gt;"",U262&lt;&gt;"Yes",X262&lt;&gt;"Yes"),1,0)</f>
        <v/>
      </c>
      <c r="AJ262" s="79">
        <f>IF(Y262="⚠️ Order late — install at risk",1,0)</f>
        <v/>
      </c>
    </row>
    <row r="263" ht="20" customHeight="1">
      <c r="B263" s="72" t="n"/>
      <c r="C263" s="72" t="n"/>
      <c r="D263" s="72" t="n"/>
      <c r="E263" s="72" t="n"/>
      <c r="F263" s="73" t="n"/>
      <c r="G263" s="72" t="n"/>
      <c r="H263" s="73" t="n"/>
      <c r="I263" s="72" t="n"/>
      <c r="J263" s="73" t="n"/>
      <c r="K263" s="74" t="n"/>
      <c r="L263" s="75">
        <f>IF(K263="A",F263,IF(K263="B",H263,IF(K263="C",J263,"")))</f>
        <v/>
      </c>
      <c r="M263" s="72" t="n"/>
      <c r="N263" s="72" t="n"/>
      <c r="O263" s="89" t="n"/>
      <c r="P263" s="89" t="n"/>
      <c r="Q263" s="109" t="n"/>
      <c r="R263" s="120">
        <f>IF(B263="","",IF(Q263&lt;&gt;"",Q263,IF(P263="","",IFERROR(INDEX('Timeline'!$J$7:$J$1006,MATCH(P263,'Timeline'!$B$7:$B$1006,0)),""))))</f>
        <v/>
      </c>
      <c r="S263" s="126">
        <f>IF(R263="","",R263-IF(O263="",0,O263)-OrderBuf)</f>
        <v/>
      </c>
      <c r="T263" s="126">
        <f>IF(S263="","",S263-DecideBuf)</f>
        <v/>
      </c>
      <c r="U263" s="74" t="n"/>
      <c r="V263" s="109" t="n"/>
      <c r="W263" s="109" t="n"/>
      <c r="X263" s="74" t="n"/>
      <c r="Y263" s="116">
        <f>IF(B263="","",IF(X263="Yes","Delivered",IF(U263="Yes",IF(AND(W263&lt;&gt;"",R263&lt;&gt;""),IF(W263&gt;R263,"⚠️ Delivery after install date","Ordered"),"Ordered"),IF(K263="",IF(T263="","Waiting for decision",IF(T263&lt;=AsOf+AlertDays,"Decide now","Waiting for decision")),IF(S263="","Selected",IF(AsOf&gt;S263,"⚠️ Order late — install at risk",IF(S263&lt;=AsOf+AlertDays,"Order now","Selected")))))))</f>
        <v/>
      </c>
      <c r="Z263" s="79">
        <f>IF(B263="","",IF(OR(AH263=1,AE263=1),2,IF(OR(AG263=1,AF263=1),1,IF(OR(Y263="Ordered",Y263="Delivered"),0,""))))</f>
        <v/>
      </c>
      <c r="AA263" s="112">
        <f>IF(B263="","",IF(AH263=1,IF(Y263="⚠️ Delivery after install date",R263,S263),IF(AD263=1,T263,IF(AI263=1,S263,""))))</f>
        <v/>
      </c>
      <c r="AB263" s="79">
        <f>IF(AA263="","",IF(AH263=1,1,IF(AA263="","",IF(AA263&lt;AsOf,1,IF(AA263&lt;=AsOf+AlertDays,2,IF(AA263&lt;=AsOf+2*AlertDays,3,""))))))</f>
        <v/>
      </c>
      <c r="AC263" s="79">
        <f>IF(AB263="","",IF(AH263=1,IF(Y263="⚠️ Delivery after install date","Delivery after install date: "&amp;B263,"Order late — install at risk: "&amp;B263),IF(AD263=1,IF(AB263=1,"Decision overdue: ","Decide: ")&amp;B263,"Order: "&amp;B263&amp;IF(N263="",""," from "&amp;N263))))</f>
        <v/>
      </c>
      <c r="AD263" s="79">
        <f>IF(AND(B263&lt;&gt;"",K263="",U263&lt;&gt;"Yes",X263&lt;&gt;"Yes"),1,0)</f>
        <v/>
      </c>
      <c r="AE263" s="79">
        <f>IF(AND(AD263=1,T263&lt;&gt;""),IF(T263&lt;AsOf,1,0),0)</f>
        <v/>
      </c>
      <c r="AF263" s="79">
        <f>IF(AND(AD263=1,T263&lt;&gt;""),IF(AND(T263&gt;=AsOf,T263&lt;=AsOf+AlertDays),1,0),0)</f>
        <v/>
      </c>
      <c r="AG263" s="79">
        <f>IF(Y263="Order now",1,0)</f>
        <v/>
      </c>
      <c r="AH263" s="79">
        <f>IF(OR(Y263="⚠️ Order late — install at risk",Y263="⚠️ Delivery after install date"),1,0)</f>
        <v/>
      </c>
      <c r="AI263" s="79">
        <f>IF(AND(B263&lt;&gt;"",K263&lt;&gt;"",U263&lt;&gt;"Yes",X263&lt;&gt;"Yes"),1,0)</f>
        <v/>
      </c>
      <c r="AJ263" s="79">
        <f>IF(Y263="⚠️ Order late — install at risk",1,0)</f>
        <v/>
      </c>
    </row>
    <row r="264" ht="20" customHeight="1">
      <c r="B264" s="72" t="n"/>
      <c r="C264" s="72" t="n"/>
      <c r="D264" s="72" t="n"/>
      <c r="E264" s="72" t="n"/>
      <c r="F264" s="73" t="n"/>
      <c r="G264" s="72" t="n"/>
      <c r="H264" s="73" t="n"/>
      <c r="I264" s="72" t="n"/>
      <c r="J264" s="73" t="n"/>
      <c r="K264" s="74" t="n"/>
      <c r="L264" s="75">
        <f>IF(K264="A",F264,IF(K264="B",H264,IF(K264="C",J264,"")))</f>
        <v/>
      </c>
      <c r="M264" s="72" t="n"/>
      <c r="N264" s="72" t="n"/>
      <c r="O264" s="89" t="n"/>
      <c r="P264" s="89" t="n"/>
      <c r="Q264" s="109" t="n"/>
      <c r="R264" s="120">
        <f>IF(B264="","",IF(Q264&lt;&gt;"",Q264,IF(P264="","",IFERROR(INDEX('Timeline'!$J$7:$J$1006,MATCH(P264,'Timeline'!$B$7:$B$1006,0)),""))))</f>
        <v/>
      </c>
      <c r="S264" s="126">
        <f>IF(R264="","",R264-IF(O264="",0,O264)-OrderBuf)</f>
        <v/>
      </c>
      <c r="T264" s="126">
        <f>IF(S264="","",S264-DecideBuf)</f>
        <v/>
      </c>
      <c r="U264" s="74" t="n"/>
      <c r="V264" s="109" t="n"/>
      <c r="W264" s="109" t="n"/>
      <c r="X264" s="74" t="n"/>
      <c r="Y264" s="116">
        <f>IF(B264="","",IF(X264="Yes","Delivered",IF(U264="Yes",IF(AND(W264&lt;&gt;"",R264&lt;&gt;""),IF(W264&gt;R264,"⚠️ Delivery after install date","Ordered"),"Ordered"),IF(K264="",IF(T264="","Waiting for decision",IF(T264&lt;=AsOf+AlertDays,"Decide now","Waiting for decision")),IF(S264="","Selected",IF(AsOf&gt;S264,"⚠️ Order late — install at risk",IF(S264&lt;=AsOf+AlertDays,"Order now","Selected")))))))</f>
        <v/>
      </c>
      <c r="Z264" s="79">
        <f>IF(B264="","",IF(OR(AH264=1,AE264=1),2,IF(OR(AG264=1,AF264=1),1,IF(OR(Y264="Ordered",Y264="Delivered"),0,""))))</f>
        <v/>
      </c>
      <c r="AA264" s="112">
        <f>IF(B264="","",IF(AH264=1,IF(Y264="⚠️ Delivery after install date",R264,S264),IF(AD264=1,T264,IF(AI264=1,S264,""))))</f>
        <v/>
      </c>
      <c r="AB264" s="79">
        <f>IF(AA264="","",IF(AH264=1,1,IF(AA264="","",IF(AA264&lt;AsOf,1,IF(AA264&lt;=AsOf+AlertDays,2,IF(AA264&lt;=AsOf+2*AlertDays,3,""))))))</f>
        <v/>
      </c>
      <c r="AC264" s="79">
        <f>IF(AB264="","",IF(AH264=1,IF(Y264="⚠️ Delivery after install date","Delivery after install date: "&amp;B264,"Order late — install at risk: "&amp;B264),IF(AD264=1,IF(AB264=1,"Decision overdue: ","Decide: ")&amp;B264,"Order: "&amp;B264&amp;IF(N264="",""," from "&amp;N264))))</f>
        <v/>
      </c>
      <c r="AD264" s="79">
        <f>IF(AND(B264&lt;&gt;"",K264="",U264&lt;&gt;"Yes",X264&lt;&gt;"Yes"),1,0)</f>
        <v/>
      </c>
      <c r="AE264" s="79">
        <f>IF(AND(AD264=1,T264&lt;&gt;""),IF(T264&lt;AsOf,1,0),0)</f>
        <v/>
      </c>
      <c r="AF264" s="79">
        <f>IF(AND(AD264=1,T264&lt;&gt;""),IF(AND(T264&gt;=AsOf,T264&lt;=AsOf+AlertDays),1,0),0)</f>
        <v/>
      </c>
      <c r="AG264" s="79">
        <f>IF(Y264="Order now",1,0)</f>
        <v/>
      </c>
      <c r="AH264" s="79">
        <f>IF(OR(Y264="⚠️ Order late — install at risk",Y264="⚠️ Delivery after install date"),1,0)</f>
        <v/>
      </c>
      <c r="AI264" s="79">
        <f>IF(AND(B264&lt;&gt;"",K264&lt;&gt;"",U264&lt;&gt;"Yes",X264&lt;&gt;"Yes"),1,0)</f>
        <v/>
      </c>
      <c r="AJ264" s="79">
        <f>IF(Y264="⚠️ Order late — install at risk",1,0)</f>
        <v/>
      </c>
    </row>
    <row r="265" ht="20" customHeight="1">
      <c r="B265" s="72" t="n"/>
      <c r="C265" s="72" t="n"/>
      <c r="D265" s="72" t="n"/>
      <c r="E265" s="72" t="n"/>
      <c r="F265" s="73" t="n"/>
      <c r="G265" s="72" t="n"/>
      <c r="H265" s="73" t="n"/>
      <c r="I265" s="72" t="n"/>
      <c r="J265" s="73" t="n"/>
      <c r="K265" s="74" t="n"/>
      <c r="L265" s="75">
        <f>IF(K265="A",F265,IF(K265="B",H265,IF(K265="C",J265,"")))</f>
        <v/>
      </c>
      <c r="M265" s="72" t="n"/>
      <c r="N265" s="72" t="n"/>
      <c r="O265" s="89" t="n"/>
      <c r="P265" s="89" t="n"/>
      <c r="Q265" s="109" t="n"/>
      <c r="R265" s="120">
        <f>IF(B265="","",IF(Q265&lt;&gt;"",Q265,IF(P265="","",IFERROR(INDEX('Timeline'!$J$7:$J$1006,MATCH(P265,'Timeline'!$B$7:$B$1006,0)),""))))</f>
        <v/>
      </c>
      <c r="S265" s="126">
        <f>IF(R265="","",R265-IF(O265="",0,O265)-OrderBuf)</f>
        <v/>
      </c>
      <c r="T265" s="126">
        <f>IF(S265="","",S265-DecideBuf)</f>
        <v/>
      </c>
      <c r="U265" s="74" t="n"/>
      <c r="V265" s="109" t="n"/>
      <c r="W265" s="109" t="n"/>
      <c r="X265" s="74" t="n"/>
      <c r="Y265" s="116">
        <f>IF(B265="","",IF(X265="Yes","Delivered",IF(U265="Yes",IF(AND(W265&lt;&gt;"",R265&lt;&gt;""),IF(W265&gt;R265,"⚠️ Delivery after install date","Ordered"),"Ordered"),IF(K265="",IF(T265="","Waiting for decision",IF(T265&lt;=AsOf+AlertDays,"Decide now","Waiting for decision")),IF(S265="","Selected",IF(AsOf&gt;S265,"⚠️ Order late — install at risk",IF(S265&lt;=AsOf+AlertDays,"Order now","Selected")))))))</f>
        <v/>
      </c>
      <c r="Z265" s="79">
        <f>IF(B265="","",IF(OR(AH265=1,AE265=1),2,IF(OR(AG265=1,AF265=1),1,IF(OR(Y265="Ordered",Y265="Delivered"),0,""))))</f>
        <v/>
      </c>
      <c r="AA265" s="112">
        <f>IF(B265="","",IF(AH265=1,IF(Y265="⚠️ Delivery after install date",R265,S265),IF(AD265=1,T265,IF(AI265=1,S265,""))))</f>
        <v/>
      </c>
      <c r="AB265" s="79">
        <f>IF(AA265="","",IF(AH265=1,1,IF(AA265="","",IF(AA265&lt;AsOf,1,IF(AA265&lt;=AsOf+AlertDays,2,IF(AA265&lt;=AsOf+2*AlertDays,3,""))))))</f>
        <v/>
      </c>
      <c r="AC265" s="79">
        <f>IF(AB265="","",IF(AH265=1,IF(Y265="⚠️ Delivery after install date","Delivery after install date: "&amp;B265,"Order late — install at risk: "&amp;B265),IF(AD265=1,IF(AB265=1,"Decision overdue: ","Decide: ")&amp;B265,"Order: "&amp;B265&amp;IF(N265="",""," from "&amp;N265))))</f>
        <v/>
      </c>
      <c r="AD265" s="79">
        <f>IF(AND(B265&lt;&gt;"",K265="",U265&lt;&gt;"Yes",X265&lt;&gt;"Yes"),1,0)</f>
        <v/>
      </c>
      <c r="AE265" s="79">
        <f>IF(AND(AD265=1,T265&lt;&gt;""),IF(T265&lt;AsOf,1,0),0)</f>
        <v/>
      </c>
      <c r="AF265" s="79">
        <f>IF(AND(AD265=1,T265&lt;&gt;""),IF(AND(T265&gt;=AsOf,T265&lt;=AsOf+AlertDays),1,0),0)</f>
        <v/>
      </c>
      <c r="AG265" s="79">
        <f>IF(Y265="Order now",1,0)</f>
        <v/>
      </c>
      <c r="AH265" s="79">
        <f>IF(OR(Y265="⚠️ Order late — install at risk",Y265="⚠️ Delivery after install date"),1,0)</f>
        <v/>
      </c>
      <c r="AI265" s="79">
        <f>IF(AND(B265&lt;&gt;"",K265&lt;&gt;"",U265&lt;&gt;"Yes",X265&lt;&gt;"Yes"),1,0)</f>
        <v/>
      </c>
      <c r="AJ265" s="79">
        <f>IF(Y265="⚠️ Order late — install at risk",1,0)</f>
        <v/>
      </c>
    </row>
    <row r="266" ht="20" customHeight="1">
      <c r="B266" s="72" t="n"/>
      <c r="C266" s="72" t="n"/>
      <c r="D266" s="72" t="n"/>
      <c r="E266" s="72" t="n"/>
      <c r="F266" s="73" t="n"/>
      <c r="G266" s="72" t="n"/>
      <c r="H266" s="73" t="n"/>
      <c r="I266" s="72" t="n"/>
      <c r="J266" s="73" t="n"/>
      <c r="K266" s="74" t="n"/>
      <c r="L266" s="75">
        <f>IF(K266="A",F266,IF(K266="B",H266,IF(K266="C",J266,"")))</f>
        <v/>
      </c>
      <c r="M266" s="72" t="n"/>
      <c r="N266" s="72" t="n"/>
      <c r="O266" s="89" t="n"/>
      <c r="P266" s="89" t="n"/>
      <c r="Q266" s="109" t="n"/>
      <c r="R266" s="120">
        <f>IF(B266="","",IF(Q266&lt;&gt;"",Q266,IF(P266="","",IFERROR(INDEX('Timeline'!$J$7:$J$1006,MATCH(P266,'Timeline'!$B$7:$B$1006,0)),""))))</f>
        <v/>
      </c>
      <c r="S266" s="126">
        <f>IF(R266="","",R266-IF(O266="",0,O266)-OrderBuf)</f>
        <v/>
      </c>
      <c r="T266" s="126">
        <f>IF(S266="","",S266-DecideBuf)</f>
        <v/>
      </c>
      <c r="U266" s="74" t="n"/>
      <c r="V266" s="109" t="n"/>
      <c r="W266" s="109" t="n"/>
      <c r="X266" s="74" t="n"/>
      <c r="Y266" s="116">
        <f>IF(B266="","",IF(X266="Yes","Delivered",IF(U266="Yes",IF(AND(W266&lt;&gt;"",R266&lt;&gt;""),IF(W266&gt;R266,"⚠️ Delivery after install date","Ordered"),"Ordered"),IF(K266="",IF(T266="","Waiting for decision",IF(T266&lt;=AsOf+AlertDays,"Decide now","Waiting for decision")),IF(S266="","Selected",IF(AsOf&gt;S266,"⚠️ Order late — install at risk",IF(S266&lt;=AsOf+AlertDays,"Order now","Selected")))))))</f>
        <v/>
      </c>
      <c r="Z266" s="79">
        <f>IF(B266="","",IF(OR(AH266=1,AE266=1),2,IF(OR(AG266=1,AF266=1),1,IF(OR(Y266="Ordered",Y266="Delivered"),0,""))))</f>
        <v/>
      </c>
      <c r="AA266" s="112">
        <f>IF(B266="","",IF(AH266=1,IF(Y266="⚠️ Delivery after install date",R266,S266),IF(AD266=1,T266,IF(AI266=1,S266,""))))</f>
        <v/>
      </c>
      <c r="AB266" s="79">
        <f>IF(AA266="","",IF(AH266=1,1,IF(AA266="","",IF(AA266&lt;AsOf,1,IF(AA266&lt;=AsOf+AlertDays,2,IF(AA266&lt;=AsOf+2*AlertDays,3,""))))))</f>
        <v/>
      </c>
      <c r="AC266" s="79">
        <f>IF(AB266="","",IF(AH266=1,IF(Y266="⚠️ Delivery after install date","Delivery after install date: "&amp;B266,"Order late — install at risk: "&amp;B266),IF(AD266=1,IF(AB266=1,"Decision overdue: ","Decide: ")&amp;B266,"Order: "&amp;B266&amp;IF(N266="",""," from "&amp;N266))))</f>
        <v/>
      </c>
      <c r="AD266" s="79">
        <f>IF(AND(B266&lt;&gt;"",K266="",U266&lt;&gt;"Yes",X266&lt;&gt;"Yes"),1,0)</f>
        <v/>
      </c>
      <c r="AE266" s="79">
        <f>IF(AND(AD266=1,T266&lt;&gt;""),IF(T266&lt;AsOf,1,0),0)</f>
        <v/>
      </c>
      <c r="AF266" s="79">
        <f>IF(AND(AD266=1,T266&lt;&gt;""),IF(AND(T266&gt;=AsOf,T266&lt;=AsOf+AlertDays),1,0),0)</f>
        <v/>
      </c>
      <c r="AG266" s="79">
        <f>IF(Y266="Order now",1,0)</f>
        <v/>
      </c>
      <c r="AH266" s="79">
        <f>IF(OR(Y266="⚠️ Order late — install at risk",Y266="⚠️ Delivery after install date"),1,0)</f>
        <v/>
      </c>
      <c r="AI266" s="79">
        <f>IF(AND(B266&lt;&gt;"",K266&lt;&gt;"",U266&lt;&gt;"Yes",X266&lt;&gt;"Yes"),1,0)</f>
        <v/>
      </c>
      <c r="AJ266" s="79">
        <f>IF(Y266="⚠️ Order late — install at risk",1,0)</f>
        <v/>
      </c>
    </row>
    <row r="267" ht="20" customHeight="1">
      <c r="B267" s="72" t="n"/>
      <c r="C267" s="72" t="n"/>
      <c r="D267" s="72" t="n"/>
      <c r="E267" s="72" t="n"/>
      <c r="F267" s="73" t="n"/>
      <c r="G267" s="72" t="n"/>
      <c r="H267" s="73" t="n"/>
      <c r="I267" s="72" t="n"/>
      <c r="J267" s="73" t="n"/>
      <c r="K267" s="74" t="n"/>
      <c r="L267" s="75">
        <f>IF(K267="A",F267,IF(K267="B",H267,IF(K267="C",J267,"")))</f>
        <v/>
      </c>
      <c r="M267" s="72" t="n"/>
      <c r="N267" s="72" t="n"/>
      <c r="O267" s="89" t="n"/>
      <c r="P267" s="89" t="n"/>
      <c r="Q267" s="109" t="n"/>
      <c r="R267" s="120">
        <f>IF(B267="","",IF(Q267&lt;&gt;"",Q267,IF(P267="","",IFERROR(INDEX('Timeline'!$J$7:$J$1006,MATCH(P267,'Timeline'!$B$7:$B$1006,0)),""))))</f>
        <v/>
      </c>
      <c r="S267" s="126">
        <f>IF(R267="","",R267-IF(O267="",0,O267)-OrderBuf)</f>
        <v/>
      </c>
      <c r="T267" s="126">
        <f>IF(S267="","",S267-DecideBuf)</f>
        <v/>
      </c>
      <c r="U267" s="74" t="n"/>
      <c r="V267" s="109" t="n"/>
      <c r="W267" s="109" t="n"/>
      <c r="X267" s="74" t="n"/>
      <c r="Y267" s="116">
        <f>IF(B267="","",IF(X267="Yes","Delivered",IF(U267="Yes",IF(AND(W267&lt;&gt;"",R267&lt;&gt;""),IF(W267&gt;R267,"⚠️ Delivery after install date","Ordered"),"Ordered"),IF(K267="",IF(T267="","Waiting for decision",IF(T267&lt;=AsOf+AlertDays,"Decide now","Waiting for decision")),IF(S267="","Selected",IF(AsOf&gt;S267,"⚠️ Order late — install at risk",IF(S267&lt;=AsOf+AlertDays,"Order now","Selected")))))))</f>
        <v/>
      </c>
      <c r="Z267" s="79">
        <f>IF(B267="","",IF(OR(AH267=1,AE267=1),2,IF(OR(AG267=1,AF267=1),1,IF(OR(Y267="Ordered",Y267="Delivered"),0,""))))</f>
        <v/>
      </c>
      <c r="AA267" s="112">
        <f>IF(B267="","",IF(AH267=1,IF(Y267="⚠️ Delivery after install date",R267,S267),IF(AD267=1,T267,IF(AI267=1,S267,""))))</f>
        <v/>
      </c>
      <c r="AB267" s="79">
        <f>IF(AA267="","",IF(AH267=1,1,IF(AA267="","",IF(AA267&lt;AsOf,1,IF(AA267&lt;=AsOf+AlertDays,2,IF(AA267&lt;=AsOf+2*AlertDays,3,""))))))</f>
        <v/>
      </c>
      <c r="AC267" s="79">
        <f>IF(AB267="","",IF(AH267=1,IF(Y267="⚠️ Delivery after install date","Delivery after install date: "&amp;B267,"Order late — install at risk: "&amp;B267),IF(AD267=1,IF(AB267=1,"Decision overdue: ","Decide: ")&amp;B267,"Order: "&amp;B267&amp;IF(N267="",""," from "&amp;N267))))</f>
        <v/>
      </c>
      <c r="AD267" s="79">
        <f>IF(AND(B267&lt;&gt;"",K267="",U267&lt;&gt;"Yes",X267&lt;&gt;"Yes"),1,0)</f>
        <v/>
      </c>
      <c r="AE267" s="79">
        <f>IF(AND(AD267=1,T267&lt;&gt;""),IF(T267&lt;AsOf,1,0),0)</f>
        <v/>
      </c>
      <c r="AF267" s="79">
        <f>IF(AND(AD267=1,T267&lt;&gt;""),IF(AND(T267&gt;=AsOf,T267&lt;=AsOf+AlertDays),1,0),0)</f>
        <v/>
      </c>
      <c r="AG267" s="79">
        <f>IF(Y267="Order now",1,0)</f>
        <v/>
      </c>
      <c r="AH267" s="79">
        <f>IF(OR(Y267="⚠️ Order late — install at risk",Y267="⚠️ Delivery after install date"),1,0)</f>
        <v/>
      </c>
      <c r="AI267" s="79">
        <f>IF(AND(B267&lt;&gt;"",K267&lt;&gt;"",U267&lt;&gt;"Yes",X267&lt;&gt;"Yes"),1,0)</f>
        <v/>
      </c>
      <c r="AJ267" s="79">
        <f>IF(Y267="⚠️ Order late — install at risk",1,0)</f>
        <v/>
      </c>
    </row>
    <row r="268" ht="20" customHeight="1">
      <c r="B268" s="72" t="n"/>
      <c r="C268" s="72" t="n"/>
      <c r="D268" s="72" t="n"/>
      <c r="E268" s="72" t="n"/>
      <c r="F268" s="73" t="n"/>
      <c r="G268" s="72" t="n"/>
      <c r="H268" s="73" t="n"/>
      <c r="I268" s="72" t="n"/>
      <c r="J268" s="73" t="n"/>
      <c r="K268" s="74" t="n"/>
      <c r="L268" s="75">
        <f>IF(K268="A",F268,IF(K268="B",H268,IF(K268="C",J268,"")))</f>
        <v/>
      </c>
      <c r="M268" s="72" t="n"/>
      <c r="N268" s="72" t="n"/>
      <c r="O268" s="89" t="n"/>
      <c r="P268" s="89" t="n"/>
      <c r="Q268" s="109" t="n"/>
      <c r="R268" s="120">
        <f>IF(B268="","",IF(Q268&lt;&gt;"",Q268,IF(P268="","",IFERROR(INDEX('Timeline'!$J$7:$J$1006,MATCH(P268,'Timeline'!$B$7:$B$1006,0)),""))))</f>
        <v/>
      </c>
      <c r="S268" s="126">
        <f>IF(R268="","",R268-IF(O268="",0,O268)-OrderBuf)</f>
        <v/>
      </c>
      <c r="T268" s="126">
        <f>IF(S268="","",S268-DecideBuf)</f>
        <v/>
      </c>
      <c r="U268" s="74" t="n"/>
      <c r="V268" s="109" t="n"/>
      <c r="W268" s="109" t="n"/>
      <c r="X268" s="74" t="n"/>
      <c r="Y268" s="116">
        <f>IF(B268="","",IF(X268="Yes","Delivered",IF(U268="Yes",IF(AND(W268&lt;&gt;"",R268&lt;&gt;""),IF(W268&gt;R268,"⚠️ Delivery after install date","Ordered"),"Ordered"),IF(K268="",IF(T268="","Waiting for decision",IF(T268&lt;=AsOf+AlertDays,"Decide now","Waiting for decision")),IF(S268="","Selected",IF(AsOf&gt;S268,"⚠️ Order late — install at risk",IF(S268&lt;=AsOf+AlertDays,"Order now","Selected")))))))</f>
        <v/>
      </c>
      <c r="Z268" s="79">
        <f>IF(B268="","",IF(OR(AH268=1,AE268=1),2,IF(OR(AG268=1,AF268=1),1,IF(OR(Y268="Ordered",Y268="Delivered"),0,""))))</f>
        <v/>
      </c>
      <c r="AA268" s="112">
        <f>IF(B268="","",IF(AH268=1,IF(Y268="⚠️ Delivery after install date",R268,S268),IF(AD268=1,T268,IF(AI268=1,S268,""))))</f>
        <v/>
      </c>
      <c r="AB268" s="79">
        <f>IF(AA268="","",IF(AH268=1,1,IF(AA268="","",IF(AA268&lt;AsOf,1,IF(AA268&lt;=AsOf+AlertDays,2,IF(AA268&lt;=AsOf+2*AlertDays,3,""))))))</f>
        <v/>
      </c>
      <c r="AC268" s="79">
        <f>IF(AB268="","",IF(AH268=1,IF(Y268="⚠️ Delivery after install date","Delivery after install date: "&amp;B268,"Order late — install at risk: "&amp;B268),IF(AD268=1,IF(AB268=1,"Decision overdue: ","Decide: ")&amp;B268,"Order: "&amp;B268&amp;IF(N268="",""," from "&amp;N268))))</f>
        <v/>
      </c>
      <c r="AD268" s="79">
        <f>IF(AND(B268&lt;&gt;"",K268="",U268&lt;&gt;"Yes",X268&lt;&gt;"Yes"),1,0)</f>
        <v/>
      </c>
      <c r="AE268" s="79">
        <f>IF(AND(AD268=1,T268&lt;&gt;""),IF(T268&lt;AsOf,1,0),0)</f>
        <v/>
      </c>
      <c r="AF268" s="79">
        <f>IF(AND(AD268=1,T268&lt;&gt;""),IF(AND(T268&gt;=AsOf,T268&lt;=AsOf+AlertDays),1,0),0)</f>
        <v/>
      </c>
      <c r="AG268" s="79">
        <f>IF(Y268="Order now",1,0)</f>
        <v/>
      </c>
      <c r="AH268" s="79">
        <f>IF(OR(Y268="⚠️ Order late — install at risk",Y268="⚠️ Delivery after install date"),1,0)</f>
        <v/>
      </c>
      <c r="AI268" s="79">
        <f>IF(AND(B268&lt;&gt;"",K268&lt;&gt;"",U268&lt;&gt;"Yes",X268&lt;&gt;"Yes"),1,0)</f>
        <v/>
      </c>
      <c r="AJ268" s="79">
        <f>IF(Y268="⚠️ Order late — install at risk",1,0)</f>
        <v/>
      </c>
    </row>
    <row r="269" ht="20" customHeight="1">
      <c r="B269" s="72" t="n"/>
      <c r="C269" s="72" t="n"/>
      <c r="D269" s="72" t="n"/>
      <c r="E269" s="72" t="n"/>
      <c r="F269" s="73" t="n"/>
      <c r="G269" s="72" t="n"/>
      <c r="H269" s="73" t="n"/>
      <c r="I269" s="72" t="n"/>
      <c r="J269" s="73" t="n"/>
      <c r="K269" s="74" t="n"/>
      <c r="L269" s="75">
        <f>IF(K269="A",F269,IF(K269="B",H269,IF(K269="C",J269,"")))</f>
        <v/>
      </c>
      <c r="M269" s="72" t="n"/>
      <c r="N269" s="72" t="n"/>
      <c r="O269" s="89" t="n"/>
      <c r="P269" s="89" t="n"/>
      <c r="Q269" s="109" t="n"/>
      <c r="R269" s="120">
        <f>IF(B269="","",IF(Q269&lt;&gt;"",Q269,IF(P269="","",IFERROR(INDEX('Timeline'!$J$7:$J$1006,MATCH(P269,'Timeline'!$B$7:$B$1006,0)),""))))</f>
        <v/>
      </c>
      <c r="S269" s="126">
        <f>IF(R269="","",R269-IF(O269="",0,O269)-OrderBuf)</f>
        <v/>
      </c>
      <c r="T269" s="126">
        <f>IF(S269="","",S269-DecideBuf)</f>
        <v/>
      </c>
      <c r="U269" s="74" t="n"/>
      <c r="V269" s="109" t="n"/>
      <c r="W269" s="109" t="n"/>
      <c r="X269" s="74" t="n"/>
      <c r="Y269" s="116">
        <f>IF(B269="","",IF(X269="Yes","Delivered",IF(U269="Yes",IF(AND(W269&lt;&gt;"",R269&lt;&gt;""),IF(W269&gt;R269,"⚠️ Delivery after install date","Ordered"),"Ordered"),IF(K269="",IF(T269="","Waiting for decision",IF(T269&lt;=AsOf+AlertDays,"Decide now","Waiting for decision")),IF(S269="","Selected",IF(AsOf&gt;S269,"⚠️ Order late — install at risk",IF(S269&lt;=AsOf+AlertDays,"Order now","Selected")))))))</f>
        <v/>
      </c>
      <c r="Z269" s="79">
        <f>IF(B269="","",IF(OR(AH269=1,AE269=1),2,IF(OR(AG269=1,AF269=1),1,IF(OR(Y269="Ordered",Y269="Delivered"),0,""))))</f>
        <v/>
      </c>
      <c r="AA269" s="112">
        <f>IF(B269="","",IF(AH269=1,IF(Y269="⚠️ Delivery after install date",R269,S269),IF(AD269=1,T269,IF(AI269=1,S269,""))))</f>
        <v/>
      </c>
      <c r="AB269" s="79">
        <f>IF(AA269="","",IF(AH269=1,1,IF(AA269="","",IF(AA269&lt;AsOf,1,IF(AA269&lt;=AsOf+AlertDays,2,IF(AA269&lt;=AsOf+2*AlertDays,3,""))))))</f>
        <v/>
      </c>
      <c r="AC269" s="79">
        <f>IF(AB269="","",IF(AH269=1,IF(Y269="⚠️ Delivery after install date","Delivery after install date: "&amp;B269,"Order late — install at risk: "&amp;B269),IF(AD269=1,IF(AB269=1,"Decision overdue: ","Decide: ")&amp;B269,"Order: "&amp;B269&amp;IF(N269="",""," from "&amp;N269))))</f>
        <v/>
      </c>
      <c r="AD269" s="79">
        <f>IF(AND(B269&lt;&gt;"",K269="",U269&lt;&gt;"Yes",X269&lt;&gt;"Yes"),1,0)</f>
        <v/>
      </c>
      <c r="AE269" s="79">
        <f>IF(AND(AD269=1,T269&lt;&gt;""),IF(T269&lt;AsOf,1,0),0)</f>
        <v/>
      </c>
      <c r="AF269" s="79">
        <f>IF(AND(AD269=1,T269&lt;&gt;""),IF(AND(T269&gt;=AsOf,T269&lt;=AsOf+AlertDays),1,0),0)</f>
        <v/>
      </c>
      <c r="AG269" s="79">
        <f>IF(Y269="Order now",1,0)</f>
        <v/>
      </c>
      <c r="AH269" s="79">
        <f>IF(OR(Y269="⚠️ Order late — install at risk",Y269="⚠️ Delivery after install date"),1,0)</f>
        <v/>
      </c>
      <c r="AI269" s="79">
        <f>IF(AND(B269&lt;&gt;"",K269&lt;&gt;"",U269&lt;&gt;"Yes",X269&lt;&gt;"Yes"),1,0)</f>
        <v/>
      </c>
      <c r="AJ269" s="79">
        <f>IF(Y269="⚠️ Order late — install at risk",1,0)</f>
        <v/>
      </c>
    </row>
    <row r="270" ht="20" customHeight="1">
      <c r="B270" s="72" t="n"/>
      <c r="C270" s="72" t="n"/>
      <c r="D270" s="72" t="n"/>
      <c r="E270" s="72" t="n"/>
      <c r="F270" s="73" t="n"/>
      <c r="G270" s="72" t="n"/>
      <c r="H270" s="73" t="n"/>
      <c r="I270" s="72" t="n"/>
      <c r="J270" s="73" t="n"/>
      <c r="K270" s="74" t="n"/>
      <c r="L270" s="75">
        <f>IF(K270="A",F270,IF(K270="B",H270,IF(K270="C",J270,"")))</f>
        <v/>
      </c>
      <c r="M270" s="72" t="n"/>
      <c r="N270" s="72" t="n"/>
      <c r="O270" s="89" t="n"/>
      <c r="P270" s="89" t="n"/>
      <c r="Q270" s="109" t="n"/>
      <c r="R270" s="120">
        <f>IF(B270="","",IF(Q270&lt;&gt;"",Q270,IF(P270="","",IFERROR(INDEX('Timeline'!$J$7:$J$1006,MATCH(P270,'Timeline'!$B$7:$B$1006,0)),""))))</f>
        <v/>
      </c>
      <c r="S270" s="126">
        <f>IF(R270="","",R270-IF(O270="",0,O270)-OrderBuf)</f>
        <v/>
      </c>
      <c r="T270" s="126">
        <f>IF(S270="","",S270-DecideBuf)</f>
        <v/>
      </c>
      <c r="U270" s="74" t="n"/>
      <c r="V270" s="109" t="n"/>
      <c r="W270" s="109" t="n"/>
      <c r="X270" s="74" t="n"/>
      <c r="Y270" s="116">
        <f>IF(B270="","",IF(X270="Yes","Delivered",IF(U270="Yes",IF(AND(W270&lt;&gt;"",R270&lt;&gt;""),IF(W270&gt;R270,"⚠️ Delivery after install date","Ordered"),"Ordered"),IF(K270="",IF(T270="","Waiting for decision",IF(T270&lt;=AsOf+AlertDays,"Decide now","Waiting for decision")),IF(S270="","Selected",IF(AsOf&gt;S270,"⚠️ Order late — install at risk",IF(S270&lt;=AsOf+AlertDays,"Order now","Selected")))))))</f>
        <v/>
      </c>
      <c r="Z270" s="79">
        <f>IF(B270="","",IF(OR(AH270=1,AE270=1),2,IF(OR(AG270=1,AF270=1),1,IF(OR(Y270="Ordered",Y270="Delivered"),0,""))))</f>
        <v/>
      </c>
      <c r="AA270" s="112">
        <f>IF(B270="","",IF(AH270=1,IF(Y270="⚠️ Delivery after install date",R270,S270),IF(AD270=1,T270,IF(AI270=1,S270,""))))</f>
        <v/>
      </c>
      <c r="AB270" s="79">
        <f>IF(AA270="","",IF(AH270=1,1,IF(AA270="","",IF(AA270&lt;AsOf,1,IF(AA270&lt;=AsOf+AlertDays,2,IF(AA270&lt;=AsOf+2*AlertDays,3,""))))))</f>
        <v/>
      </c>
      <c r="AC270" s="79">
        <f>IF(AB270="","",IF(AH270=1,IF(Y270="⚠️ Delivery after install date","Delivery after install date: "&amp;B270,"Order late — install at risk: "&amp;B270),IF(AD270=1,IF(AB270=1,"Decision overdue: ","Decide: ")&amp;B270,"Order: "&amp;B270&amp;IF(N270="",""," from "&amp;N270))))</f>
        <v/>
      </c>
      <c r="AD270" s="79">
        <f>IF(AND(B270&lt;&gt;"",K270="",U270&lt;&gt;"Yes",X270&lt;&gt;"Yes"),1,0)</f>
        <v/>
      </c>
      <c r="AE270" s="79">
        <f>IF(AND(AD270=1,T270&lt;&gt;""),IF(T270&lt;AsOf,1,0),0)</f>
        <v/>
      </c>
      <c r="AF270" s="79">
        <f>IF(AND(AD270=1,T270&lt;&gt;""),IF(AND(T270&gt;=AsOf,T270&lt;=AsOf+AlertDays),1,0),0)</f>
        <v/>
      </c>
      <c r="AG270" s="79">
        <f>IF(Y270="Order now",1,0)</f>
        <v/>
      </c>
      <c r="AH270" s="79">
        <f>IF(OR(Y270="⚠️ Order late — install at risk",Y270="⚠️ Delivery after install date"),1,0)</f>
        <v/>
      </c>
      <c r="AI270" s="79">
        <f>IF(AND(B270&lt;&gt;"",K270&lt;&gt;"",U270&lt;&gt;"Yes",X270&lt;&gt;"Yes"),1,0)</f>
        <v/>
      </c>
      <c r="AJ270" s="79">
        <f>IF(Y270="⚠️ Order late — install at risk",1,0)</f>
        <v/>
      </c>
    </row>
    <row r="271" ht="20" customHeight="1">
      <c r="B271" s="72" t="n"/>
      <c r="C271" s="72" t="n"/>
      <c r="D271" s="72" t="n"/>
      <c r="E271" s="72" t="n"/>
      <c r="F271" s="73" t="n"/>
      <c r="G271" s="72" t="n"/>
      <c r="H271" s="73" t="n"/>
      <c r="I271" s="72" t="n"/>
      <c r="J271" s="73" t="n"/>
      <c r="K271" s="74" t="n"/>
      <c r="L271" s="75">
        <f>IF(K271="A",F271,IF(K271="B",H271,IF(K271="C",J271,"")))</f>
        <v/>
      </c>
      <c r="M271" s="72" t="n"/>
      <c r="N271" s="72" t="n"/>
      <c r="O271" s="89" t="n"/>
      <c r="P271" s="89" t="n"/>
      <c r="Q271" s="109" t="n"/>
      <c r="R271" s="120">
        <f>IF(B271="","",IF(Q271&lt;&gt;"",Q271,IF(P271="","",IFERROR(INDEX('Timeline'!$J$7:$J$1006,MATCH(P271,'Timeline'!$B$7:$B$1006,0)),""))))</f>
        <v/>
      </c>
      <c r="S271" s="126">
        <f>IF(R271="","",R271-IF(O271="",0,O271)-OrderBuf)</f>
        <v/>
      </c>
      <c r="T271" s="126">
        <f>IF(S271="","",S271-DecideBuf)</f>
        <v/>
      </c>
      <c r="U271" s="74" t="n"/>
      <c r="V271" s="109" t="n"/>
      <c r="W271" s="109" t="n"/>
      <c r="X271" s="74" t="n"/>
      <c r="Y271" s="116">
        <f>IF(B271="","",IF(X271="Yes","Delivered",IF(U271="Yes",IF(AND(W271&lt;&gt;"",R271&lt;&gt;""),IF(W271&gt;R271,"⚠️ Delivery after install date","Ordered"),"Ordered"),IF(K271="",IF(T271="","Waiting for decision",IF(T271&lt;=AsOf+AlertDays,"Decide now","Waiting for decision")),IF(S271="","Selected",IF(AsOf&gt;S271,"⚠️ Order late — install at risk",IF(S271&lt;=AsOf+AlertDays,"Order now","Selected")))))))</f>
        <v/>
      </c>
      <c r="Z271" s="79">
        <f>IF(B271="","",IF(OR(AH271=1,AE271=1),2,IF(OR(AG271=1,AF271=1),1,IF(OR(Y271="Ordered",Y271="Delivered"),0,""))))</f>
        <v/>
      </c>
      <c r="AA271" s="112">
        <f>IF(B271="","",IF(AH271=1,IF(Y271="⚠️ Delivery after install date",R271,S271),IF(AD271=1,T271,IF(AI271=1,S271,""))))</f>
        <v/>
      </c>
      <c r="AB271" s="79">
        <f>IF(AA271="","",IF(AH271=1,1,IF(AA271="","",IF(AA271&lt;AsOf,1,IF(AA271&lt;=AsOf+AlertDays,2,IF(AA271&lt;=AsOf+2*AlertDays,3,""))))))</f>
        <v/>
      </c>
      <c r="AC271" s="79">
        <f>IF(AB271="","",IF(AH271=1,IF(Y271="⚠️ Delivery after install date","Delivery after install date: "&amp;B271,"Order late — install at risk: "&amp;B271),IF(AD271=1,IF(AB271=1,"Decision overdue: ","Decide: ")&amp;B271,"Order: "&amp;B271&amp;IF(N271="",""," from "&amp;N271))))</f>
        <v/>
      </c>
      <c r="AD271" s="79">
        <f>IF(AND(B271&lt;&gt;"",K271="",U271&lt;&gt;"Yes",X271&lt;&gt;"Yes"),1,0)</f>
        <v/>
      </c>
      <c r="AE271" s="79">
        <f>IF(AND(AD271=1,T271&lt;&gt;""),IF(T271&lt;AsOf,1,0),0)</f>
        <v/>
      </c>
      <c r="AF271" s="79">
        <f>IF(AND(AD271=1,T271&lt;&gt;""),IF(AND(T271&gt;=AsOf,T271&lt;=AsOf+AlertDays),1,0),0)</f>
        <v/>
      </c>
      <c r="AG271" s="79">
        <f>IF(Y271="Order now",1,0)</f>
        <v/>
      </c>
      <c r="AH271" s="79">
        <f>IF(OR(Y271="⚠️ Order late — install at risk",Y271="⚠️ Delivery after install date"),1,0)</f>
        <v/>
      </c>
      <c r="AI271" s="79">
        <f>IF(AND(B271&lt;&gt;"",K271&lt;&gt;"",U271&lt;&gt;"Yes",X271&lt;&gt;"Yes"),1,0)</f>
        <v/>
      </c>
      <c r="AJ271" s="79">
        <f>IF(Y271="⚠️ Order late — install at risk",1,0)</f>
        <v/>
      </c>
    </row>
    <row r="272" ht="20" customHeight="1">
      <c r="B272" s="72" t="n"/>
      <c r="C272" s="72" t="n"/>
      <c r="D272" s="72" t="n"/>
      <c r="E272" s="72" t="n"/>
      <c r="F272" s="73" t="n"/>
      <c r="G272" s="72" t="n"/>
      <c r="H272" s="73" t="n"/>
      <c r="I272" s="72" t="n"/>
      <c r="J272" s="73" t="n"/>
      <c r="K272" s="74" t="n"/>
      <c r="L272" s="75">
        <f>IF(K272="A",F272,IF(K272="B",H272,IF(K272="C",J272,"")))</f>
        <v/>
      </c>
      <c r="M272" s="72" t="n"/>
      <c r="N272" s="72" t="n"/>
      <c r="O272" s="89" t="n"/>
      <c r="P272" s="89" t="n"/>
      <c r="Q272" s="109" t="n"/>
      <c r="R272" s="120">
        <f>IF(B272="","",IF(Q272&lt;&gt;"",Q272,IF(P272="","",IFERROR(INDEX('Timeline'!$J$7:$J$1006,MATCH(P272,'Timeline'!$B$7:$B$1006,0)),""))))</f>
        <v/>
      </c>
      <c r="S272" s="126">
        <f>IF(R272="","",R272-IF(O272="",0,O272)-OrderBuf)</f>
        <v/>
      </c>
      <c r="T272" s="126">
        <f>IF(S272="","",S272-DecideBuf)</f>
        <v/>
      </c>
      <c r="U272" s="74" t="n"/>
      <c r="V272" s="109" t="n"/>
      <c r="W272" s="109" t="n"/>
      <c r="X272" s="74" t="n"/>
      <c r="Y272" s="116">
        <f>IF(B272="","",IF(X272="Yes","Delivered",IF(U272="Yes",IF(AND(W272&lt;&gt;"",R272&lt;&gt;""),IF(W272&gt;R272,"⚠️ Delivery after install date","Ordered"),"Ordered"),IF(K272="",IF(T272="","Waiting for decision",IF(T272&lt;=AsOf+AlertDays,"Decide now","Waiting for decision")),IF(S272="","Selected",IF(AsOf&gt;S272,"⚠️ Order late — install at risk",IF(S272&lt;=AsOf+AlertDays,"Order now","Selected")))))))</f>
        <v/>
      </c>
      <c r="Z272" s="79">
        <f>IF(B272="","",IF(OR(AH272=1,AE272=1),2,IF(OR(AG272=1,AF272=1),1,IF(OR(Y272="Ordered",Y272="Delivered"),0,""))))</f>
        <v/>
      </c>
      <c r="AA272" s="112">
        <f>IF(B272="","",IF(AH272=1,IF(Y272="⚠️ Delivery after install date",R272,S272),IF(AD272=1,T272,IF(AI272=1,S272,""))))</f>
        <v/>
      </c>
      <c r="AB272" s="79">
        <f>IF(AA272="","",IF(AH272=1,1,IF(AA272="","",IF(AA272&lt;AsOf,1,IF(AA272&lt;=AsOf+AlertDays,2,IF(AA272&lt;=AsOf+2*AlertDays,3,""))))))</f>
        <v/>
      </c>
      <c r="AC272" s="79">
        <f>IF(AB272="","",IF(AH272=1,IF(Y272="⚠️ Delivery after install date","Delivery after install date: "&amp;B272,"Order late — install at risk: "&amp;B272),IF(AD272=1,IF(AB272=1,"Decision overdue: ","Decide: ")&amp;B272,"Order: "&amp;B272&amp;IF(N272="",""," from "&amp;N272))))</f>
        <v/>
      </c>
      <c r="AD272" s="79">
        <f>IF(AND(B272&lt;&gt;"",K272="",U272&lt;&gt;"Yes",X272&lt;&gt;"Yes"),1,0)</f>
        <v/>
      </c>
      <c r="AE272" s="79">
        <f>IF(AND(AD272=1,T272&lt;&gt;""),IF(T272&lt;AsOf,1,0),0)</f>
        <v/>
      </c>
      <c r="AF272" s="79">
        <f>IF(AND(AD272=1,T272&lt;&gt;""),IF(AND(T272&gt;=AsOf,T272&lt;=AsOf+AlertDays),1,0),0)</f>
        <v/>
      </c>
      <c r="AG272" s="79">
        <f>IF(Y272="Order now",1,0)</f>
        <v/>
      </c>
      <c r="AH272" s="79">
        <f>IF(OR(Y272="⚠️ Order late — install at risk",Y272="⚠️ Delivery after install date"),1,0)</f>
        <v/>
      </c>
      <c r="AI272" s="79">
        <f>IF(AND(B272&lt;&gt;"",K272&lt;&gt;"",U272&lt;&gt;"Yes",X272&lt;&gt;"Yes"),1,0)</f>
        <v/>
      </c>
      <c r="AJ272" s="79">
        <f>IF(Y272="⚠️ Order late — install at risk",1,0)</f>
        <v/>
      </c>
    </row>
    <row r="273" ht="20" customHeight="1">
      <c r="B273" s="72" t="n"/>
      <c r="C273" s="72" t="n"/>
      <c r="D273" s="72" t="n"/>
      <c r="E273" s="72" t="n"/>
      <c r="F273" s="73" t="n"/>
      <c r="G273" s="72" t="n"/>
      <c r="H273" s="73" t="n"/>
      <c r="I273" s="72" t="n"/>
      <c r="J273" s="73" t="n"/>
      <c r="K273" s="74" t="n"/>
      <c r="L273" s="75">
        <f>IF(K273="A",F273,IF(K273="B",H273,IF(K273="C",J273,"")))</f>
        <v/>
      </c>
      <c r="M273" s="72" t="n"/>
      <c r="N273" s="72" t="n"/>
      <c r="O273" s="89" t="n"/>
      <c r="P273" s="89" t="n"/>
      <c r="Q273" s="109" t="n"/>
      <c r="R273" s="120">
        <f>IF(B273="","",IF(Q273&lt;&gt;"",Q273,IF(P273="","",IFERROR(INDEX('Timeline'!$J$7:$J$1006,MATCH(P273,'Timeline'!$B$7:$B$1006,0)),""))))</f>
        <v/>
      </c>
      <c r="S273" s="126">
        <f>IF(R273="","",R273-IF(O273="",0,O273)-OrderBuf)</f>
        <v/>
      </c>
      <c r="T273" s="126">
        <f>IF(S273="","",S273-DecideBuf)</f>
        <v/>
      </c>
      <c r="U273" s="74" t="n"/>
      <c r="V273" s="109" t="n"/>
      <c r="W273" s="109" t="n"/>
      <c r="X273" s="74" t="n"/>
      <c r="Y273" s="116">
        <f>IF(B273="","",IF(X273="Yes","Delivered",IF(U273="Yes",IF(AND(W273&lt;&gt;"",R273&lt;&gt;""),IF(W273&gt;R273,"⚠️ Delivery after install date","Ordered"),"Ordered"),IF(K273="",IF(T273="","Waiting for decision",IF(T273&lt;=AsOf+AlertDays,"Decide now","Waiting for decision")),IF(S273="","Selected",IF(AsOf&gt;S273,"⚠️ Order late — install at risk",IF(S273&lt;=AsOf+AlertDays,"Order now","Selected")))))))</f>
        <v/>
      </c>
      <c r="Z273" s="79">
        <f>IF(B273="","",IF(OR(AH273=1,AE273=1),2,IF(OR(AG273=1,AF273=1),1,IF(OR(Y273="Ordered",Y273="Delivered"),0,""))))</f>
        <v/>
      </c>
      <c r="AA273" s="112">
        <f>IF(B273="","",IF(AH273=1,IF(Y273="⚠️ Delivery after install date",R273,S273),IF(AD273=1,T273,IF(AI273=1,S273,""))))</f>
        <v/>
      </c>
      <c r="AB273" s="79">
        <f>IF(AA273="","",IF(AH273=1,1,IF(AA273="","",IF(AA273&lt;AsOf,1,IF(AA273&lt;=AsOf+AlertDays,2,IF(AA273&lt;=AsOf+2*AlertDays,3,""))))))</f>
        <v/>
      </c>
      <c r="AC273" s="79">
        <f>IF(AB273="","",IF(AH273=1,IF(Y273="⚠️ Delivery after install date","Delivery after install date: "&amp;B273,"Order late — install at risk: "&amp;B273),IF(AD273=1,IF(AB273=1,"Decision overdue: ","Decide: ")&amp;B273,"Order: "&amp;B273&amp;IF(N273="",""," from "&amp;N273))))</f>
        <v/>
      </c>
      <c r="AD273" s="79">
        <f>IF(AND(B273&lt;&gt;"",K273="",U273&lt;&gt;"Yes",X273&lt;&gt;"Yes"),1,0)</f>
        <v/>
      </c>
      <c r="AE273" s="79">
        <f>IF(AND(AD273=1,T273&lt;&gt;""),IF(T273&lt;AsOf,1,0),0)</f>
        <v/>
      </c>
      <c r="AF273" s="79">
        <f>IF(AND(AD273=1,T273&lt;&gt;""),IF(AND(T273&gt;=AsOf,T273&lt;=AsOf+AlertDays),1,0),0)</f>
        <v/>
      </c>
      <c r="AG273" s="79">
        <f>IF(Y273="Order now",1,0)</f>
        <v/>
      </c>
      <c r="AH273" s="79">
        <f>IF(OR(Y273="⚠️ Order late — install at risk",Y273="⚠️ Delivery after install date"),1,0)</f>
        <v/>
      </c>
      <c r="AI273" s="79">
        <f>IF(AND(B273&lt;&gt;"",K273&lt;&gt;"",U273&lt;&gt;"Yes",X273&lt;&gt;"Yes"),1,0)</f>
        <v/>
      </c>
      <c r="AJ273" s="79">
        <f>IF(Y273="⚠️ Order late — install at risk",1,0)</f>
        <v/>
      </c>
    </row>
    <row r="274" ht="20" customHeight="1">
      <c r="B274" s="72" t="n"/>
      <c r="C274" s="72" t="n"/>
      <c r="D274" s="72" t="n"/>
      <c r="E274" s="72" t="n"/>
      <c r="F274" s="73" t="n"/>
      <c r="G274" s="72" t="n"/>
      <c r="H274" s="73" t="n"/>
      <c r="I274" s="72" t="n"/>
      <c r="J274" s="73" t="n"/>
      <c r="K274" s="74" t="n"/>
      <c r="L274" s="75">
        <f>IF(K274="A",F274,IF(K274="B",H274,IF(K274="C",J274,"")))</f>
        <v/>
      </c>
      <c r="M274" s="72" t="n"/>
      <c r="N274" s="72" t="n"/>
      <c r="O274" s="89" t="n"/>
      <c r="P274" s="89" t="n"/>
      <c r="Q274" s="109" t="n"/>
      <c r="R274" s="120">
        <f>IF(B274="","",IF(Q274&lt;&gt;"",Q274,IF(P274="","",IFERROR(INDEX('Timeline'!$J$7:$J$1006,MATCH(P274,'Timeline'!$B$7:$B$1006,0)),""))))</f>
        <v/>
      </c>
      <c r="S274" s="126">
        <f>IF(R274="","",R274-IF(O274="",0,O274)-OrderBuf)</f>
        <v/>
      </c>
      <c r="T274" s="126">
        <f>IF(S274="","",S274-DecideBuf)</f>
        <v/>
      </c>
      <c r="U274" s="74" t="n"/>
      <c r="V274" s="109" t="n"/>
      <c r="W274" s="109" t="n"/>
      <c r="X274" s="74" t="n"/>
      <c r="Y274" s="116">
        <f>IF(B274="","",IF(X274="Yes","Delivered",IF(U274="Yes",IF(AND(W274&lt;&gt;"",R274&lt;&gt;""),IF(W274&gt;R274,"⚠️ Delivery after install date","Ordered"),"Ordered"),IF(K274="",IF(T274="","Waiting for decision",IF(T274&lt;=AsOf+AlertDays,"Decide now","Waiting for decision")),IF(S274="","Selected",IF(AsOf&gt;S274,"⚠️ Order late — install at risk",IF(S274&lt;=AsOf+AlertDays,"Order now","Selected")))))))</f>
        <v/>
      </c>
      <c r="Z274" s="79">
        <f>IF(B274="","",IF(OR(AH274=1,AE274=1),2,IF(OR(AG274=1,AF274=1),1,IF(OR(Y274="Ordered",Y274="Delivered"),0,""))))</f>
        <v/>
      </c>
      <c r="AA274" s="112">
        <f>IF(B274="","",IF(AH274=1,IF(Y274="⚠️ Delivery after install date",R274,S274),IF(AD274=1,T274,IF(AI274=1,S274,""))))</f>
        <v/>
      </c>
      <c r="AB274" s="79">
        <f>IF(AA274="","",IF(AH274=1,1,IF(AA274="","",IF(AA274&lt;AsOf,1,IF(AA274&lt;=AsOf+AlertDays,2,IF(AA274&lt;=AsOf+2*AlertDays,3,""))))))</f>
        <v/>
      </c>
      <c r="AC274" s="79">
        <f>IF(AB274="","",IF(AH274=1,IF(Y274="⚠️ Delivery after install date","Delivery after install date: "&amp;B274,"Order late — install at risk: "&amp;B274),IF(AD274=1,IF(AB274=1,"Decision overdue: ","Decide: ")&amp;B274,"Order: "&amp;B274&amp;IF(N274="",""," from "&amp;N274))))</f>
        <v/>
      </c>
      <c r="AD274" s="79">
        <f>IF(AND(B274&lt;&gt;"",K274="",U274&lt;&gt;"Yes",X274&lt;&gt;"Yes"),1,0)</f>
        <v/>
      </c>
      <c r="AE274" s="79">
        <f>IF(AND(AD274=1,T274&lt;&gt;""),IF(T274&lt;AsOf,1,0),0)</f>
        <v/>
      </c>
      <c r="AF274" s="79">
        <f>IF(AND(AD274=1,T274&lt;&gt;""),IF(AND(T274&gt;=AsOf,T274&lt;=AsOf+AlertDays),1,0),0)</f>
        <v/>
      </c>
      <c r="AG274" s="79">
        <f>IF(Y274="Order now",1,0)</f>
        <v/>
      </c>
      <c r="AH274" s="79">
        <f>IF(OR(Y274="⚠️ Order late — install at risk",Y274="⚠️ Delivery after install date"),1,0)</f>
        <v/>
      </c>
      <c r="AI274" s="79">
        <f>IF(AND(B274&lt;&gt;"",K274&lt;&gt;"",U274&lt;&gt;"Yes",X274&lt;&gt;"Yes"),1,0)</f>
        <v/>
      </c>
      <c r="AJ274" s="79">
        <f>IF(Y274="⚠️ Order late — install at risk",1,0)</f>
        <v/>
      </c>
    </row>
    <row r="275" ht="20" customHeight="1">
      <c r="B275" s="72" t="n"/>
      <c r="C275" s="72" t="n"/>
      <c r="D275" s="72" t="n"/>
      <c r="E275" s="72" t="n"/>
      <c r="F275" s="73" t="n"/>
      <c r="G275" s="72" t="n"/>
      <c r="H275" s="73" t="n"/>
      <c r="I275" s="72" t="n"/>
      <c r="J275" s="73" t="n"/>
      <c r="K275" s="74" t="n"/>
      <c r="L275" s="75">
        <f>IF(K275="A",F275,IF(K275="B",H275,IF(K275="C",J275,"")))</f>
        <v/>
      </c>
      <c r="M275" s="72" t="n"/>
      <c r="N275" s="72" t="n"/>
      <c r="O275" s="89" t="n"/>
      <c r="P275" s="89" t="n"/>
      <c r="Q275" s="109" t="n"/>
      <c r="R275" s="120">
        <f>IF(B275="","",IF(Q275&lt;&gt;"",Q275,IF(P275="","",IFERROR(INDEX('Timeline'!$J$7:$J$1006,MATCH(P275,'Timeline'!$B$7:$B$1006,0)),""))))</f>
        <v/>
      </c>
      <c r="S275" s="126">
        <f>IF(R275="","",R275-IF(O275="",0,O275)-OrderBuf)</f>
        <v/>
      </c>
      <c r="T275" s="126">
        <f>IF(S275="","",S275-DecideBuf)</f>
        <v/>
      </c>
      <c r="U275" s="74" t="n"/>
      <c r="V275" s="109" t="n"/>
      <c r="W275" s="109" t="n"/>
      <c r="X275" s="74" t="n"/>
      <c r="Y275" s="116">
        <f>IF(B275="","",IF(X275="Yes","Delivered",IF(U275="Yes",IF(AND(W275&lt;&gt;"",R275&lt;&gt;""),IF(W275&gt;R275,"⚠️ Delivery after install date","Ordered"),"Ordered"),IF(K275="",IF(T275="","Waiting for decision",IF(T275&lt;=AsOf+AlertDays,"Decide now","Waiting for decision")),IF(S275="","Selected",IF(AsOf&gt;S275,"⚠️ Order late — install at risk",IF(S275&lt;=AsOf+AlertDays,"Order now","Selected")))))))</f>
        <v/>
      </c>
      <c r="Z275" s="79">
        <f>IF(B275="","",IF(OR(AH275=1,AE275=1),2,IF(OR(AG275=1,AF275=1),1,IF(OR(Y275="Ordered",Y275="Delivered"),0,""))))</f>
        <v/>
      </c>
      <c r="AA275" s="112">
        <f>IF(B275="","",IF(AH275=1,IF(Y275="⚠️ Delivery after install date",R275,S275),IF(AD275=1,T275,IF(AI275=1,S275,""))))</f>
        <v/>
      </c>
      <c r="AB275" s="79">
        <f>IF(AA275="","",IF(AH275=1,1,IF(AA275="","",IF(AA275&lt;AsOf,1,IF(AA275&lt;=AsOf+AlertDays,2,IF(AA275&lt;=AsOf+2*AlertDays,3,""))))))</f>
        <v/>
      </c>
      <c r="AC275" s="79">
        <f>IF(AB275="","",IF(AH275=1,IF(Y275="⚠️ Delivery after install date","Delivery after install date: "&amp;B275,"Order late — install at risk: "&amp;B275),IF(AD275=1,IF(AB275=1,"Decision overdue: ","Decide: ")&amp;B275,"Order: "&amp;B275&amp;IF(N275="",""," from "&amp;N275))))</f>
        <v/>
      </c>
      <c r="AD275" s="79">
        <f>IF(AND(B275&lt;&gt;"",K275="",U275&lt;&gt;"Yes",X275&lt;&gt;"Yes"),1,0)</f>
        <v/>
      </c>
      <c r="AE275" s="79">
        <f>IF(AND(AD275=1,T275&lt;&gt;""),IF(T275&lt;AsOf,1,0),0)</f>
        <v/>
      </c>
      <c r="AF275" s="79">
        <f>IF(AND(AD275=1,T275&lt;&gt;""),IF(AND(T275&gt;=AsOf,T275&lt;=AsOf+AlertDays),1,0),0)</f>
        <v/>
      </c>
      <c r="AG275" s="79">
        <f>IF(Y275="Order now",1,0)</f>
        <v/>
      </c>
      <c r="AH275" s="79">
        <f>IF(OR(Y275="⚠️ Order late — install at risk",Y275="⚠️ Delivery after install date"),1,0)</f>
        <v/>
      </c>
      <c r="AI275" s="79">
        <f>IF(AND(B275&lt;&gt;"",K275&lt;&gt;"",U275&lt;&gt;"Yes",X275&lt;&gt;"Yes"),1,0)</f>
        <v/>
      </c>
      <c r="AJ275" s="79">
        <f>IF(Y275="⚠️ Order late — install at risk",1,0)</f>
        <v/>
      </c>
    </row>
    <row r="276" ht="20" customHeight="1">
      <c r="B276" s="72" t="n"/>
      <c r="C276" s="72" t="n"/>
      <c r="D276" s="72" t="n"/>
      <c r="E276" s="72" t="n"/>
      <c r="F276" s="73" t="n"/>
      <c r="G276" s="72" t="n"/>
      <c r="H276" s="73" t="n"/>
      <c r="I276" s="72" t="n"/>
      <c r="J276" s="73" t="n"/>
      <c r="K276" s="74" t="n"/>
      <c r="L276" s="75">
        <f>IF(K276="A",F276,IF(K276="B",H276,IF(K276="C",J276,"")))</f>
        <v/>
      </c>
      <c r="M276" s="72" t="n"/>
      <c r="N276" s="72" t="n"/>
      <c r="O276" s="89" t="n"/>
      <c r="P276" s="89" t="n"/>
      <c r="Q276" s="109" t="n"/>
      <c r="R276" s="120">
        <f>IF(B276="","",IF(Q276&lt;&gt;"",Q276,IF(P276="","",IFERROR(INDEX('Timeline'!$J$7:$J$1006,MATCH(P276,'Timeline'!$B$7:$B$1006,0)),""))))</f>
        <v/>
      </c>
      <c r="S276" s="126">
        <f>IF(R276="","",R276-IF(O276="",0,O276)-OrderBuf)</f>
        <v/>
      </c>
      <c r="T276" s="126">
        <f>IF(S276="","",S276-DecideBuf)</f>
        <v/>
      </c>
      <c r="U276" s="74" t="n"/>
      <c r="V276" s="109" t="n"/>
      <c r="W276" s="109" t="n"/>
      <c r="X276" s="74" t="n"/>
      <c r="Y276" s="116">
        <f>IF(B276="","",IF(X276="Yes","Delivered",IF(U276="Yes",IF(AND(W276&lt;&gt;"",R276&lt;&gt;""),IF(W276&gt;R276,"⚠️ Delivery after install date","Ordered"),"Ordered"),IF(K276="",IF(T276="","Waiting for decision",IF(T276&lt;=AsOf+AlertDays,"Decide now","Waiting for decision")),IF(S276="","Selected",IF(AsOf&gt;S276,"⚠️ Order late — install at risk",IF(S276&lt;=AsOf+AlertDays,"Order now","Selected")))))))</f>
        <v/>
      </c>
      <c r="Z276" s="79">
        <f>IF(B276="","",IF(OR(AH276=1,AE276=1),2,IF(OR(AG276=1,AF276=1),1,IF(OR(Y276="Ordered",Y276="Delivered"),0,""))))</f>
        <v/>
      </c>
      <c r="AA276" s="112">
        <f>IF(B276="","",IF(AH276=1,IF(Y276="⚠️ Delivery after install date",R276,S276),IF(AD276=1,T276,IF(AI276=1,S276,""))))</f>
        <v/>
      </c>
      <c r="AB276" s="79">
        <f>IF(AA276="","",IF(AH276=1,1,IF(AA276="","",IF(AA276&lt;AsOf,1,IF(AA276&lt;=AsOf+AlertDays,2,IF(AA276&lt;=AsOf+2*AlertDays,3,""))))))</f>
        <v/>
      </c>
      <c r="AC276" s="79">
        <f>IF(AB276="","",IF(AH276=1,IF(Y276="⚠️ Delivery after install date","Delivery after install date: "&amp;B276,"Order late — install at risk: "&amp;B276),IF(AD276=1,IF(AB276=1,"Decision overdue: ","Decide: ")&amp;B276,"Order: "&amp;B276&amp;IF(N276="",""," from "&amp;N276))))</f>
        <v/>
      </c>
      <c r="AD276" s="79">
        <f>IF(AND(B276&lt;&gt;"",K276="",U276&lt;&gt;"Yes",X276&lt;&gt;"Yes"),1,0)</f>
        <v/>
      </c>
      <c r="AE276" s="79">
        <f>IF(AND(AD276=1,T276&lt;&gt;""),IF(T276&lt;AsOf,1,0),0)</f>
        <v/>
      </c>
      <c r="AF276" s="79">
        <f>IF(AND(AD276=1,T276&lt;&gt;""),IF(AND(T276&gt;=AsOf,T276&lt;=AsOf+AlertDays),1,0),0)</f>
        <v/>
      </c>
      <c r="AG276" s="79">
        <f>IF(Y276="Order now",1,0)</f>
        <v/>
      </c>
      <c r="AH276" s="79">
        <f>IF(OR(Y276="⚠️ Order late — install at risk",Y276="⚠️ Delivery after install date"),1,0)</f>
        <v/>
      </c>
      <c r="AI276" s="79">
        <f>IF(AND(B276&lt;&gt;"",K276&lt;&gt;"",U276&lt;&gt;"Yes",X276&lt;&gt;"Yes"),1,0)</f>
        <v/>
      </c>
      <c r="AJ276" s="79">
        <f>IF(Y276="⚠️ Order late — install at risk",1,0)</f>
        <v/>
      </c>
    </row>
    <row r="277" ht="20" customHeight="1">
      <c r="B277" s="72" t="n"/>
      <c r="C277" s="72" t="n"/>
      <c r="D277" s="72" t="n"/>
      <c r="E277" s="72" t="n"/>
      <c r="F277" s="73" t="n"/>
      <c r="G277" s="72" t="n"/>
      <c r="H277" s="73" t="n"/>
      <c r="I277" s="72" t="n"/>
      <c r="J277" s="73" t="n"/>
      <c r="K277" s="74" t="n"/>
      <c r="L277" s="75">
        <f>IF(K277="A",F277,IF(K277="B",H277,IF(K277="C",J277,"")))</f>
        <v/>
      </c>
      <c r="M277" s="72" t="n"/>
      <c r="N277" s="72" t="n"/>
      <c r="O277" s="89" t="n"/>
      <c r="P277" s="89" t="n"/>
      <c r="Q277" s="109" t="n"/>
      <c r="R277" s="120">
        <f>IF(B277="","",IF(Q277&lt;&gt;"",Q277,IF(P277="","",IFERROR(INDEX('Timeline'!$J$7:$J$1006,MATCH(P277,'Timeline'!$B$7:$B$1006,0)),""))))</f>
        <v/>
      </c>
      <c r="S277" s="126">
        <f>IF(R277="","",R277-IF(O277="",0,O277)-OrderBuf)</f>
        <v/>
      </c>
      <c r="T277" s="126">
        <f>IF(S277="","",S277-DecideBuf)</f>
        <v/>
      </c>
      <c r="U277" s="74" t="n"/>
      <c r="V277" s="109" t="n"/>
      <c r="W277" s="109" t="n"/>
      <c r="X277" s="74" t="n"/>
      <c r="Y277" s="116">
        <f>IF(B277="","",IF(X277="Yes","Delivered",IF(U277="Yes",IF(AND(W277&lt;&gt;"",R277&lt;&gt;""),IF(W277&gt;R277,"⚠️ Delivery after install date","Ordered"),"Ordered"),IF(K277="",IF(T277="","Waiting for decision",IF(T277&lt;=AsOf+AlertDays,"Decide now","Waiting for decision")),IF(S277="","Selected",IF(AsOf&gt;S277,"⚠️ Order late — install at risk",IF(S277&lt;=AsOf+AlertDays,"Order now","Selected")))))))</f>
        <v/>
      </c>
      <c r="Z277" s="79">
        <f>IF(B277="","",IF(OR(AH277=1,AE277=1),2,IF(OR(AG277=1,AF277=1),1,IF(OR(Y277="Ordered",Y277="Delivered"),0,""))))</f>
        <v/>
      </c>
      <c r="AA277" s="112">
        <f>IF(B277="","",IF(AH277=1,IF(Y277="⚠️ Delivery after install date",R277,S277),IF(AD277=1,T277,IF(AI277=1,S277,""))))</f>
        <v/>
      </c>
      <c r="AB277" s="79">
        <f>IF(AA277="","",IF(AH277=1,1,IF(AA277="","",IF(AA277&lt;AsOf,1,IF(AA277&lt;=AsOf+AlertDays,2,IF(AA277&lt;=AsOf+2*AlertDays,3,""))))))</f>
        <v/>
      </c>
      <c r="AC277" s="79">
        <f>IF(AB277="","",IF(AH277=1,IF(Y277="⚠️ Delivery after install date","Delivery after install date: "&amp;B277,"Order late — install at risk: "&amp;B277),IF(AD277=1,IF(AB277=1,"Decision overdue: ","Decide: ")&amp;B277,"Order: "&amp;B277&amp;IF(N277="",""," from "&amp;N277))))</f>
        <v/>
      </c>
      <c r="AD277" s="79">
        <f>IF(AND(B277&lt;&gt;"",K277="",U277&lt;&gt;"Yes",X277&lt;&gt;"Yes"),1,0)</f>
        <v/>
      </c>
      <c r="AE277" s="79">
        <f>IF(AND(AD277=1,T277&lt;&gt;""),IF(T277&lt;AsOf,1,0),0)</f>
        <v/>
      </c>
      <c r="AF277" s="79">
        <f>IF(AND(AD277=1,T277&lt;&gt;""),IF(AND(T277&gt;=AsOf,T277&lt;=AsOf+AlertDays),1,0),0)</f>
        <v/>
      </c>
      <c r="AG277" s="79">
        <f>IF(Y277="Order now",1,0)</f>
        <v/>
      </c>
      <c r="AH277" s="79">
        <f>IF(OR(Y277="⚠️ Order late — install at risk",Y277="⚠️ Delivery after install date"),1,0)</f>
        <v/>
      </c>
      <c r="AI277" s="79">
        <f>IF(AND(B277&lt;&gt;"",K277&lt;&gt;"",U277&lt;&gt;"Yes",X277&lt;&gt;"Yes"),1,0)</f>
        <v/>
      </c>
      <c r="AJ277" s="79">
        <f>IF(Y277="⚠️ Order late — install at risk",1,0)</f>
        <v/>
      </c>
    </row>
    <row r="278" ht="20" customHeight="1">
      <c r="B278" s="72" t="n"/>
      <c r="C278" s="72" t="n"/>
      <c r="D278" s="72" t="n"/>
      <c r="E278" s="72" t="n"/>
      <c r="F278" s="73" t="n"/>
      <c r="G278" s="72" t="n"/>
      <c r="H278" s="73" t="n"/>
      <c r="I278" s="72" t="n"/>
      <c r="J278" s="73" t="n"/>
      <c r="K278" s="74" t="n"/>
      <c r="L278" s="75">
        <f>IF(K278="A",F278,IF(K278="B",H278,IF(K278="C",J278,"")))</f>
        <v/>
      </c>
      <c r="M278" s="72" t="n"/>
      <c r="N278" s="72" t="n"/>
      <c r="O278" s="89" t="n"/>
      <c r="P278" s="89" t="n"/>
      <c r="Q278" s="109" t="n"/>
      <c r="R278" s="120">
        <f>IF(B278="","",IF(Q278&lt;&gt;"",Q278,IF(P278="","",IFERROR(INDEX('Timeline'!$J$7:$J$1006,MATCH(P278,'Timeline'!$B$7:$B$1006,0)),""))))</f>
        <v/>
      </c>
      <c r="S278" s="126">
        <f>IF(R278="","",R278-IF(O278="",0,O278)-OrderBuf)</f>
        <v/>
      </c>
      <c r="T278" s="126">
        <f>IF(S278="","",S278-DecideBuf)</f>
        <v/>
      </c>
      <c r="U278" s="74" t="n"/>
      <c r="V278" s="109" t="n"/>
      <c r="W278" s="109" t="n"/>
      <c r="X278" s="74" t="n"/>
      <c r="Y278" s="116">
        <f>IF(B278="","",IF(X278="Yes","Delivered",IF(U278="Yes",IF(AND(W278&lt;&gt;"",R278&lt;&gt;""),IF(W278&gt;R278,"⚠️ Delivery after install date","Ordered"),"Ordered"),IF(K278="",IF(T278="","Waiting for decision",IF(T278&lt;=AsOf+AlertDays,"Decide now","Waiting for decision")),IF(S278="","Selected",IF(AsOf&gt;S278,"⚠️ Order late — install at risk",IF(S278&lt;=AsOf+AlertDays,"Order now","Selected")))))))</f>
        <v/>
      </c>
      <c r="Z278" s="79">
        <f>IF(B278="","",IF(OR(AH278=1,AE278=1),2,IF(OR(AG278=1,AF278=1),1,IF(OR(Y278="Ordered",Y278="Delivered"),0,""))))</f>
        <v/>
      </c>
      <c r="AA278" s="112">
        <f>IF(B278="","",IF(AH278=1,IF(Y278="⚠️ Delivery after install date",R278,S278),IF(AD278=1,T278,IF(AI278=1,S278,""))))</f>
        <v/>
      </c>
      <c r="AB278" s="79">
        <f>IF(AA278="","",IF(AH278=1,1,IF(AA278="","",IF(AA278&lt;AsOf,1,IF(AA278&lt;=AsOf+AlertDays,2,IF(AA278&lt;=AsOf+2*AlertDays,3,""))))))</f>
        <v/>
      </c>
      <c r="AC278" s="79">
        <f>IF(AB278="","",IF(AH278=1,IF(Y278="⚠️ Delivery after install date","Delivery after install date: "&amp;B278,"Order late — install at risk: "&amp;B278),IF(AD278=1,IF(AB278=1,"Decision overdue: ","Decide: ")&amp;B278,"Order: "&amp;B278&amp;IF(N278="",""," from "&amp;N278))))</f>
        <v/>
      </c>
      <c r="AD278" s="79">
        <f>IF(AND(B278&lt;&gt;"",K278="",U278&lt;&gt;"Yes",X278&lt;&gt;"Yes"),1,0)</f>
        <v/>
      </c>
      <c r="AE278" s="79">
        <f>IF(AND(AD278=1,T278&lt;&gt;""),IF(T278&lt;AsOf,1,0),0)</f>
        <v/>
      </c>
      <c r="AF278" s="79">
        <f>IF(AND(AD278=1,T278&lt;&gt;""),IF(AND(T278&gt;=AsOf,T278&lt;=AsOf+AlertDays),1,0),0)</f>
        <v/>
      </c>
      <c r="AG278" s="79">
        <f>IF(Y278="Order now",1,0)</f>
        <v/>
      </c>
      <c r="AH278" s="79">
        <f>IF(OR(Y278="⚠️ Order late — install at risk",Y278="⚠️ Delivery after install date"),1,0)</f>
        <v/>
      </c>
      <c r="AI278" s="79">
        <f>IF(AND(B278&lt;&gt;"",K278&lt;&gt;"",U278&lt;&gt;"Yes",X278&lt;&gt;"Yes"),1,0)</f>
        <v/>
      </c>
      <c r="AJ278" s="79">
        <f>IF(Y278="⚠️ Order late — install at risk",1,0)</f>
        <v/>
      </c>
    </row>
    <row r="279" ht="20" customHeight="1">
      <c r="B279" s="72" t="n"/>
      <c r="C279" s="72" t="n"/>
      <c r="D279" s="72" t="n"/>
      <c r="E279" s="72" t="n"/>
      <c r="F279" s="73" t="n"/>
      <c r="G279" s="72" t="n"/>
      <c r="H279" s="73" t="n"/>
      <c r="I279" s="72" t="n"/>
      <c r="J279" s="73" t="n"/>
      <c r="K279" s="74" t="n"/>
      <c r="L279" s="75">
        <f>IF(K279="A",F279,IF(K279="B",H279,IF(K279="C",J279,"")))</f>
        <v/>
      </c>
      <c r="M279" s="72" t="n"/>
      <c r="N279" s="72" t="n"/>
      <c r="O279" s="89" t="n"/>
      <c r="P279" s="89" t="n"/>
      <c r="Q279" s="109" t="n"/>
      <c r="R279" s="120">
        <f>IF(B279="","",IF(Q279&lt;&gt;"",Q279,IF(P279="","",IFERROR(INDEX('Timeline'!$J$7:$J$1006,MATCH(P279,'Timeline'!$B$7:$B$1006,0)),""))))</f>
        <v/>
      </c>
      <c r="S279" s="126">
        <f>IF(R279="","",R279-IF(O279="",0,O279)-OrderBuf)</f>
        <v/>
      </c>
      <c r="T279" s="126">
        <f>IF(S279="","",S279-DecideBuf)</f>
        <v/>
      </c>
      <c r="U279" s="74" t="n"/>
      <c r="V279" s="109" t="n"/>
      <c r="W279" s="109" t="n"/>
      <c r="X279" s="74" t="n"/>
      <c r="Y279" s="116">
        <f>IF(B279="","",IF(X279="Yes","Delivered",IF(U279="Yes",IF(AND(W279&lt;&gt;"",R279&lt;&gt;""),IF(W279&gt;R279,"⚠️ Delivery after install date","Ordered"),"Ordered"),IF(K279="",IF(T279="","Waiting for decision",IF(T279&lt;=AsOf+AlertDays,"Decide now","Waiting for decision")),IF(S279="","Selected",IF(AsOf&gt;S279,"⚠️ Order late — install at risk",IF(S279&lt;=AsOf+AlertDays,"Order now","Selected")))))))</f>
        <v/>
      </c>
      <c r="Z279" s="79">
        <f>IF(B279="","",IF(OR(AH279=1,AE279=1),2,IF(OR(AG279=1,AF279=1),1,IF(OR(Y279="Ordered",Y279="Delivered"),0,""))))</f>
        <v/>
      </c>
      <c r="AA279" s="112">
        <f>IF(B279="","",IF(AH279=1,IF(Y279="⚠️ Delivery after install date",R279,S279),IF(AD279=1,T279,IF(AI279=1,S279,""))))</f>
        <v/>
      </c>
      <c r="AB279" s="79">
        <f>IF(AA279="","",IF(AH279=1,1,IF(AA279="","",IF(AA279&lt;AsOf,1,IF(AA279&lt;=AsOf+AlertDays,2,IF(AA279&lt;=AsOf+2*AlertDays,3,""))))))</f>
        <v/>
      </c>
      <c r="AC279" s="79">
        <f>IF(AB279="","",IF(AH279=1,IF(Y279="⚠️ Delivery after install date","Delivery after install date: "&amp;B279,"Order late — install at risk: "&amp;B279),IF(AD279=1,IF(AB279=1,"Decision overdue: ","Decide: ")&amp;B279,"Order: "&amp;B279&amp;IF(N279="",""," from "&amp;N279))))</f>
        <v/>
      </c>
      <c r="AD279" s="79">
        <f>IF(AND(B279&lt;&gt;"",K279="",U279&lt;&gt;"Yes",X279&lt;&gt;"Yes"),1,0)</f>
        <v/>
      </c>
      <c r="AE279" s="79">
        <f>IF(AND(AD279=1,T279&lt;&gt;""),IF(T279&lt;AsOf,1,0),0)</f>
        <v/>
      </c>
      <c r="AF279" s="79">
        <f>IF(AND(AD279=1,T279&lt;&gt;""),IF(AND(T279&gt;=AsOf,T279&lt;=AsOf+AlertDays),1,0),0)</f>
        <v/>
      </c>
      <c r="AG279" s="79">
        <f>IF(Y279="Order now",1,0)</f>
        <v/>
      </c>
      <c r="AH279" s="79">
        <f>IF(OR(Y279="⚠️ Order late — install at risk",Y279="⚠️ Delivery after install date"),1,0)</f>
        <v/>
      </c>
      <c r="AI279" s="79">
        <f>IF(AND(B279&lt;&gt;"",K279&lt;&gt;"",U279&lt;&gt;"Yes",X279&lt;&gt;"Yes"),1,0)</f>
        <v/>
      </c>
      <c r="AJ279" s="79">
        <f>IF(Y279="⚠️ Order late — install at risk",1,0)</f>
        <v/>
      </c>
    </row>
    <row r="280" ht="20" customHeight="1">
      <c r="B280" s="72" t="n"/>
      <c r="C280" s="72" t="n"/>
      <c r="D280" s="72" t="n"/>
      <c r="E280" s="72" t="n"/>
      <c r="F280" s="73" t="n"/>
      <c r="G280" s="72" t="n"/>
      <c r="H280" s="73" t="n"/>
      <c r="I280" s="72" t="n"/>
      <c r="J280" s="73" t="n"/>
      <c r="K280" s="74" t="n"/>
      <c r="L280" s="75">
        <f>IF(K280="A",F280,IF(K280="B",H280,IF(K280="C",J280,"")))</f>
        <v/>
      </c>
      <c r="M280" s="72" t="n"/>
      <c r="N280" s="72" t="n"/>
      <c r="O280" s="89" t="n"/>
      <c r="P280" s="89" t="n"/>
      <c r="Q280" s="109" t="n"/>
      <c r="R280" s="120">
        <f>IF(B280="","",IF(Q280&lt;&gt;"",Q280,IF(P280="","",IFERROR(INDEX('Timeline'!$J$7:$J$1006,MATCH(P280,'Timeline'!$B$7:$B$1006,0)),""))))</f>
        <v/>
      </c>
      <c r="S280" s="126">
        <f>IF(R280="","",R280-IF(O280="",0,O280)-OrderBuf)</f>
        <v/>
      </c>
      <c r="T280" s="126">
        <f>IF(S280="","",S280-DecideBuf)</f>
        <v/>
      </c>
      <c r="U280" s="74" t="n"/>
      <c r="V280" s="109" t="n"/>
      <c r="W280" s="109" t="n"/>
      <c r="X280" s="74" t="n"/>
      <c r="Y280" s="116">
        <f>IF(B280="","",IF(X280="Yes","Delivered",IF(U280="Yes",IF(AND(W280&lt;&gt;"",R280&lt;&gt;""),IF(W280&gt;R280,"⚠️ Delivery after install date","Ordered"),"Ordered"),IF(K280="",IF(T280="","Waiting for decision",IF(T280&lt;=AsOf+AlertDays,"Decide now","Waiting for decision")),IF(S280="","Selected",IF(AsOf&gt;S280,"⚠️ Order late — install at risk",IF(S280&lt;=AsOf+AlertDays,"Order now","Selected")))))))</f>
        <v/>
      </c>
      <c r="Z280" s="79">
        <f>IF(B280="","",IF(OR(AH280=1,AE280=1),2,IF(OR(AG280=1,AF280=1),1,IF(OR(Y280="Ordered",Y280="Delivered"),0,""))))</f>
        <v/>
      </c>
      <c r="AA280" s="112">
        <f>IF(B280="","",IF(AH280=1,IF(Y280="⚠️ Delivery after install date",R280,S280),IF(AD280=1,T280,IF(AI280=1,S280,""))))</f>
        <v/>
      </c>
      <c r="AB280" s="79">
        <f>IF(AA280="","",IF(AH280=1,1,IF(AA280="","",IF(AA280&lt;AsOf,1,IF(AA280&lt;=AsOf+AlertDays,2,IF(AA280&lt;=AsOf+2*AlertDays,3,""))))))</f>
        <v/>
      </c>
      <c r="AC280" s="79">
        <f>IF(AB280="","",IF(AH280=1,IF(Y280="⚠️ Delivery after install date","Delivery after install date: "&amp;B280,"Order late — install at risk: "&amp;B280),IF(AD280=1,IF(AB280=1,"Decision overdue: ","Decide: ")&amp;B280,"Order: "&amp;B280&amp;IF(N280="",""," from "&amp;N280))))</f>
        <v/>
      </c>
      <c r="AD280" s="79">
        <f>IF(AND(B280&lt;&gt;"",K280="",U280&lt;&gt;"Yes",X280&lt;&gt;"Yes"),1,0)</f>
        <v/>
      </c>
      <c r="AE280" s="79">
        <f>IF(AND(AD280=1,T280&lt;&gt;""),IF(T280&lt;AsOf,1,0),0)</f>
        <v/>
      </c>
      <c r="AF280" s="79">
        <f>IF(AND(AD280=1,T280&lt;&gt;""),IF(AND(T280&gt;=AsOf,T280&lt;=AsOf+AlertDays),1,0),0)</f>
        <v/>
      </c>
      <c r="AG280" s="79">
        <f>IF(Y280="Order now",1,0)</f>
        <v/>
      </c>
      <c r="AH280" s="79">
        <f>IF(OR(Y280="⚠️ Order late — install at risk",Y280="⚠️ Delivery after install date"),1,0)</f>
        <v/>
      </c>
      <c r="AI280" s="79">
        <f>IF(AND(B280&lt;&gt;"",K280&lt;&gt;"",U280&lt;&gt;"Yes",X280&lt;&gt;"Yes"),1,0)</f>
        <v/>
      </c>
      <c r="AJ280" s="79">
        <f>IF(Y280="⚠️ Order late — install at risk",1,0)</f>
        <v/>
      </c>
    </row>
    <row r="281" ht="20" customHeight="1">
      <c r="B281" s="72" t="n"/>
      <c r="C281" s="72" t="n"/>
      <c r="D281" s="72" t="n"/>
      <c r="E281" s="72" t="n"/>
      <c r="F281" s="73" t="n"/>
      <c r="G281" s="72" t="n"/>
      <c r="H281" s="73" t="n"/>
      <c r="I281" s="72" t="n"/>
      <c r="J281" s="73" t="n"/>
      <c r="K281" s="74" t="n"/>
      <c r="L281" s="75">
        <f>IF(K281="A",F281,IF(K281="B",H281,IF(K281="C",J281,"")))</f>
        <v/>
      </c>
      <c r="M281" s="72" t="n"/>
      <c r="N281" s="72" t="n"/>
      <c r="O281" s="89" t="n"/>
      <c r="P281" s="89" t="n"/>
      <c r="Q281" s="109" t="n"/>
      <c r="R281" s="120">
        <f>IF(B281="","",IF(Q281&lt;&gt;"",Q281,IF(P281="","",IFERROR(INDEX('Timeline'!$J$7:$J$1006,MATCH(P281,'Timeline'!$B$7:$B$1006,0)),""))))</f>
        <v/>
      </c>
      <c r="S281" s="126">
        <f>IF(R281="","",R281-IF(O281="",0,O281)-OrderBuf)</f>
        <v/>
      </c>
      <c r="T281" s="126">
        <f>IF(S281="","",S281-DecideBuf)</f>
        <v/>
      </c>
      <c r="U281" s="74" t="n"/>
      <c r="V281" s="109" t="n"/>
      <c r="W281" s="109" t="n"/>
      <c r="X281" s="74" t="n"/>
      <c r="Y281" s="116">
        <f>IF(B281="","",IF(X281="Yes","Delivered",IF(U281="Yes",IF(AND(W281&lt;&gt;"",R281&lt;&gt;""),IF(W281&gt;R281,"⚠️ Delivery after install date","Ordered"),"Ordered"),IF(K281="",IF(T281="","Waiting for decision",IF(T281&lt;=AsOf+AlertDays,"Decide now","Waiting for decision")),IF(S281="","Selected",IF(AsOf&gt;S281,"⚠️ Order late — install at risk",IF(S281&lt;=AsOf+AlertDays,"Order now","Selected")))))))</f>
        <v/>
      </c>
      <c r="Z281" s="79">
        <f>IF(B281="","",IF(OR(AH281=1,AE281=1),2,IF(OR(AG281=1,AF281=1),1,IF(OR(Y281="Ordered",Y281="Delivered"),0,""))))</f>
        <v/>
      </c>
      <c r="AA281" s="112">
        <f>IF(B281="","",IF(AH281=1,IF(Y281="⚠️ Delivery after install date",R281,S281),IF(AD281=1,T281,IF(AI281=1,S281,""))))</f>
        <v/>
      </c>
      <c r="AB281" s="79">
        <f>IF(AA281="","",IF(AH281=1,1,IF(AA281="","",IF(AA281&lt;AsOf,1,IF(AA281&lt;=AsOf+AlertDays,2,IF(AA281&lt;=AsOf+2*AlertDays,3,""))))))</f>
        <v/>
      </c>
      <c r="AC281" s="79">
        <f>IF(AB281="","",IF(AH281=1,IF(Y281="⚠️ Delivery after install date","Delivery after install date: "&amp;B281,"Order late — install at risk: "&amp;B281),IF(AD281=1,IF(AB281=1,"Decision overdue: ","Decide: ")&amp;B281,"Order: "&amp;B281&amp;IF(N281="",""," from "&amp;N281))))</f>
        <v/>
      </c>
      <c r="AD281" s="79">
        <f>IF(AND(B281&lt;&gt;"",K281="",U281&lt;&gt;"Yes",X281&lt;&gt;"Yes"),1,0)</f>
        <v/>
      </c>
      <c r="AE281" s="79">
        <f>IF(AND(AD281=1,T281&lt;&gt;""),IF(T281&lt;AsOf,1,0),0)</f>
        <v/>
      </c>
      <c r="AF281" s="79">
        <f>IF(AND(AD281=1,T281&lt;&gt;""),IF(AND(T281&gt;=AsOf,T281&lt;=AsOf+AlertDays),1,0),0)</f>
        <v/>
      </c>
      <c r="AG281" s="79">
        <f>IF(Y281="Order now",1,0)</f>
        <v/>
      </c>
      <c r="AH281" s="79">
        <f>IF(OR(Y281="⚠️ Order late — install at risk",Y281="⚠️ Delivery after install date"),1,0)</f>
        <v/>
      </c>
      <c r="AI281" s="79">
        <f>IF(AND(B281&lt;&gt;"",K281&lt;&gt;"",U281&lt;&gt;"Yes",X281&lt;&gt;"Yes"),1,0)</f>
        <v/>
      </c>
      <c r="AJ281" s="79">
        <f>IF(Y281="⚠️ Order late — install at risk",1,0)</f>
        <v/>
      </c>
    </row>
    <row r="282" ht="20" customHeight="1">
      <c r="B282" s="72" t="n"/>
      <c r="C282" s="72" t="n"/>
      <c r="D282" s="72" t="n"/>
      <c r="E282" s="72" t="n"/>
      <c r="F282" s="73" t="n"/>
      <c r="G282" s="72" t="n"/>
      <c r="H282" s="73" t="n"/>
      <c r="I282" s="72" t="n"/>
      <c r="J282" s="73" t="n"/>
      <c r="K282" s="74" t="n"/>
      <c r="L282" s="75">
        <f>IF(K282="A",F282,IF(K282="B",H282,IF(K282="C",J282,"")))</f>
        <v/>
      </c>
      <c r="M282" s="72" t="n"/>
      <c r="N282" s="72" t="n"/>
      <c r="O282" s="89" t="n"/>
      <c r="P282" s="89" t="n"/>
      <c r="Q282" s="109" t="n"/>
      <c r="R282" s="120">
        <f>IF(B282="","",IF(Q282&lt;&gt;"",Q282,IF(P282="","",IFERROR(INDEX('Timeline'!$J$7:$J$1006,MATCH(P282,'Timeline'!$B$7:$B$1006,0)),""))))</f>
        <v/>
      </c>
      <c r="S282" s="126">
        <f>IF(R282="","",R282-IF(O282="",0,O282)-OrderBuf)</f>
        <v/>
      </c>
      <c r="T282" s="126">
        <f>IF(S282="","",S282-DecideBuf)</f>
        <v/>
      </c>
      <c r="U282" s="74" t="n"/>
      <c r="V282" s="109" t="n"/>
      <c r="W282" s="109" t="n"/>
      <c r="X282" s="74" t="n"/>
      <c r="Y282" s="116">
        <f>IF(B282="","",IF(X282="Yes","Delivered",IF(U282="Yes",IF(AND(W282&lt;&gt;"",R282&lt;&gt;""),IF(W282&gt;R282,"⚠️ Delivery after install date","Ordered"),"Ordered"),IF(K282="",IF(T282="","Waiting for decision",IF(T282&lt;=AsOf+AlertDays,"Decide now","Waiting for decision")),IF(S282="","Selected",IF(AsOf&gt;S282,"⚠️ Order late — install at risk",IF(S282&lt;=AsOf+AlertDays,"Order now","Selected")))))))</f>
        <v/>
      </c>
      <c r="Z282" s="79">
        <f>IF(B282="","",IF(OR(AH282=1,AE282=1),2,IF(OR(AG282=1,AF282=1),1,IF(OR(Y282="Ordered",Y282="Delivered"),0,""))))</f>
        <v/>
      </c>
      <c r="AA282" s="112">
        <f>IF(B282="","",IF(AH282=1,IF(Y282="⚠️ Delivery after install date",R282,S282),IF(AD282=1,T282,IF(AI282=1,S282,""))))</f>
        <v/>
      </c>
      <c r="AB282" s="79">
        <f>IF(AA282="","",IF(AH282=1,1,IF(AA282="","",IF(AA282&lt;AsOf,1,IF(AA282&lt;=AsOf+AlertDays,2,IF(AA282&lt;=AsOf+2*AlertDays,3,""))))))</f>
        <v/>
      </c>
      <c r="AC282" s="79">
        <f>IF(AB282="","",IF(AH282=1,IF(Y282="⚠️ Delivery after install date","Delivery after install date: "&amp;B282,"Order late — install at risk: "&amp;B282),IF(AD282=1,IF(AB282=1,"Decision overdue: ","Decide: ")&amp;B282,"Order: "&amp;B282&amp;IF(N282="",""," from "&amp;N282))))</f>
        <v/>
      </c>
      <c r="AD282" s="79">
        <f>IF(AND(B282&lt;&gt;"",K282="",U282&lt;&gt;"Yes",X282&lt;&gt;"Yes"),1,0)</f>
        <v/>
      </c>
      <c r="AE282" s="79">
        <f>IF(AND(AD282=1,T282&lt;&gt;""),IF(T282&lt;AsOf,1,0),0)</f>
        <v/>
      </c>
      <c r="AF282" s="79">
        <f>IF(AND(AD282=1,T282&lt;&gt;""),IF(AND(T282&gt;=AsOf,T282&lt;=AsOf+AlertDays),1,0),0)</f>
        <v/>
      </c>
      <c r="AG282" s="79">
        <f>IF(Y282="Order now",1,0)</f>
        <v/>
      </c>
      <c r="AH282" s="79">
        <f>IF(OR(Y282="⚠️ Order late — install at risk",Y282="⚠️ Delivery after install date"),1,0)</f>
        <v/>
      </c>
      <c r="AI282" s="79">
        <f>IF(AND(B282&lt;&gt;"",K282&lt;&gt;"",U282&lt;&gt;"Yes",X282&lt;&gt;"Yes"),1,0)</f>
        <v/>
      </c>
      <c r="AJ282" s="79">
        <f>IF(Y282="⚠️ Order late — install at risk",1,0)</f>
        <v/>
      </c>
    </row>
    <row r="283" ht="20" customHeight="1">
      <c r="B283" s="72" t="n"/>
      <c r="C283" s="72" t="n"/>
      <c r="D283" s="72" t="n"/>
      <c r="E283" s="72" t="n"/>
      <c r="F283" s="73" t="n"/>
      <c r="G283" s="72" t="n"/>
      <c r="H283" s="73" t="n"/>
      <c r="I283" s="72" t="n"/>
      <c r="J283" s="73" t="n"/>
      <c r="K283" s="74" t="n"/>
      <c r="L283" s="75">
        <f>IF(K283="A",F283,IF(K283="B",H283,IF(K283="C",J283,"")))</f>
        <v/>
      </c>
      <c r="M283" s="72" t="n"/>
      <c r="N283" s="72" t="n"/>
      <c r="O283" s="89" t="n"/>
      <c r="P283" s="89" t="n"/>
      <c r="Q283" s="109" t="n"/>
      <c r="R283" s="120">
        <f>IF(B283="","",IF(Q283&lt;&gt;"",Q283,IF(P283="","",IFERROR(INDEX('Timeline'!$J$7:$J$1006,MATCH(P283,'Timeline'!$B$7:$B$1006,0)),""))))</f>
        <v/>
      </c>
      <c r="S283" s="126">
        <f>IF(R283="","",R283-IF(O283="",0,O283)-OrderBuf)</f>
        <v/>
      </c>
      <c r="T283" s="126">
        <f>IF(S283="","",S283-DecideBuf)</f>
        <v/>
      </c>
      <c r="U283" s="74" t="n"/>
      <c r="V283" s="109" t="n"/>
      <c r="W283" s="109" t="n"/>
      <c r="X283" s="74" t="n"/>
      <c r="Y283" s="116">
        <f>IF(B283="","",IF(X283="Yes","Delivered",IF(U283="Yes",IF(AND(W283&lt;&gt;"",R283&lt;&gt;""),IF(W283&gt;R283,"⚠️ Delivery after install date","Ordered"),"Ordered"),IF(K283="",IF(T283="","Waiting for decision",IF(T283&lt;=AsOf+AlertDays,"Decide now","Waiting for decision")),IF(S283="","Selected",IF(AsOf&gt;S283,"⚠️ Order late — install at risk",IF(S283&lt;=AsOf+AlertDays,"Order now","Selected")))))))</f>
        <v/>
      </c>
      <c r="Z283" s="79">
        <f>IF(B283="","",IF(OR(AH283=1,AE283=1),2,IF(OR(AG283=1,AF283=1),1,IF(OR(Y283="Ordered",Y283="Delivered"),0,""))))</f>
        <v/>
      </c>
      <c r="AA283" s="112">
        <f>IF(B283="","",IF(AH283=1,IF(Y283="⚠️ Delivery after install date",R283,S283),IF(AD283=1,T283,IF(AI283=1,S283,""))))</f>
        <v/>
      </c>
      <c r="AB283" s="79">
        <f>IF(AA283="","",IF(AH283=1,1,IF(AA283="","",IF(AA283&lt;AsOf,1,IF(AA283&lt;=AsOf+AlertDays,2,IF(AA283&lt;=AsOf+2*AlertDays,3,""))))))</f>
        <v/>
      </c>
      <c r="AC283" s="79">
        <f>IF(AB283="","",IF(AH283=1,IF(Y283="⚠️ Delivery after install date","Delivery after install date: "&amp;B283,"Order late — install at risk: "&amp;B283),IF(AD283=1,IF(AB283=1,"Decision overdue: ","Decide: ")&amp;B283,"Order: "&amp;B283&amp;IF(N283="",""," from "&amp;N283))))</f>
        <v/>
      </c>
      <c r="AD283" s="79">
        <f>IF(AND(B283&lt;&gt;"",K283="",U283&lt;&gt;"Yes",X283&lt;&gt;"Yes"),1,0)</f>
        <v/>
      </c>
      <c r="AE283" s="79">
        <f>IF(AND(AD283=1,T283&lt;&gt;""),IF(T283&lt;AsOf,1,0),0)</f>
        <v/>
      </c>
      <c r="AF283" s="79">
        <f>IF(AND(AD283=1,T283&lt;&gt;""),IF(AND(T283&gt;=AsOf,T283&lt;=AsOf+AlertDays),1,0),0)</f>
        <v/>
      </c>
      <c r="AG283" s="79">
        <f>IF(Y283="Order now",1,0)</f>
        <v/>
      </c>
      <c r="AH283" s="79">
        <f>IF(OR(Y283="⚠️ Order late — install at risk",Y283="⚠️ Delivery after install date"),1,0)</f>
        <v/>
      </c>
      <c r="AI283" s="79">
        <f>IF(AND(B283&lt;&gt;"",K283&lt;&gt;"",U283&lt;&gt;"Yes",X283&lt;&gt;"Yes"),1,0)</f>
        <v/>
      </c>
      <c r="AJ283" s="79">
        <f>IF(Y283="⚠️ Order late — install at risk",1,0)</f>
        <v/>
      </c>
    </row>
    <row r="284" ht="20" customHeight="1">
      <c r="B284" s="72" t="n"/>
      <c r="C284" s="72" t="n"/>
      <c r="D284" s="72" t="n"/>
      <c r="E284" s="72" t="n"/>
      <c r="F284" s="73" t="n"/>
      <c r="G284" s="72" t="n"/>
      <c r="H284" s="73" t="n"/>
      <c r="I284" s="72" t="n"/>
      <c r="J284" s="73" t="n"/>
      <c r="K284" s="74" t="n"/>
      <c r="L284" s="75">
        <f>IF(K284="A",F284,IF(K284="B",H284,IF(K284="C",J284,"")))</f>
        <v/>
      </c>
      <c r="M284" s="72" t="n"/>
      <c r="N284" s="72" t="n"/>
      <c r="O284" s="89" t="n"/>
      <c r="P284" s="89" t="n"/>
      <c r="Q284" s="109" t="n"/>
      <c r="R284" s="120">
        <f>IF(B284="","",IF(Q284&lt;&gt;"",Q284,IF(P284="","",IFERROR(INDEX('Timeline'!$J$7:$J$1006,MATCH(P284,'Timeline'!$B$7:$B$1006,0)),""))))</f>
        <v/>
      </c>
      <c r="S284" s="126">
        <f>IF(R284="","",R284-IF(O284="",0,O284)-OrderBuf)</f>
        <v/>
      </c>
      <c r="T284" s="126">
        <f>IF(S284="","",S284-DecideBuf)</f>
        <v/>
      </c>
      <c r="U284" s="74" t="n"/>
      <c r="V284" s="109" t="n"/>
      <c r="W284" s="109" t="n"/>
      <c r="X284" s="74" t="n"/>
      <c r="Y284" s="116">
        <f>IF(B284="","",IF(X284="Yes","Delivered",IF(U284="Yes",IF(AND(W284&lt;&gt;"",R284&lt;&gt;""),IF(W284&gt;R284,"⚠️ Delivery after install date","Ordered"),"Ordered"),IF(K284="",IF(T284="","Waiting for decision",IF(T284&lt;=AsOf+AlertDays,"Decide now","Waiting for decision")),IF(S284="","Selected",IF(AsOf&gt;S284,"⚠️ Order late — install at risk",IF(S284&lt;=AsOf+AlertDays,"Order now","Selected")))))))</f>
        <v/>
      </c>
      <c r="Z284" s="79">
        <f>IF(B284="","",IF(OR(AH284=1,AE284=1),2,IF(OR(AG284=1,AF284=1),1,IF(OR(Y284="Ordered",Y284="Delivered"),0,""))))</f>
        <v/>
      </c>
      <c r="AA284" s="112">
        <f>IF(B284="","",IF(AH284=1,IF(Y284="⚠️ Delivery after install date",R284,S284),IF(AD284=1,T284,IF(AI284=1,S284,""))))</f>
        <v/>
      </c>
      <c r="AB284" s="79">
        <f>IF(AA284="","",IF(AH284=1,1,IF(AA284="","",IF(AA284&lt;AsOf,1,IF(AA284&lt;=AsOf+AlertDays,2,IF(AA284&lt;=AsOf+2*AlertDays,3,""))))))</f>
        <v/>
      </c>
      <c r="AC284" s="79">
        <f>IF(AB284="","",IF(AH284=1,IF(Y284="⚠️ Delivery after install date","Delivery after install date: "&amp;B284,"Order late — install at risk: "&amp;B284),IF(AD284=1,IF(AB284=1,"Decision overdue: ","Decide: ")&amp;B284,"Order: "&amp;B284&amp;IF(N284="",""," from "&amp;N284))))</f>
        <v/>
      </c>
      <c r="AD284" s="79">
        <f>IF(AND(B284&lt;&gt;"",K284="",U284&lt;&gt;"Yes",X284&lt;&gt;"Yes"),1,0)</f>
        <v/>
      </c>
      <c r="AE284" s="79">
        <f>IF(AND(AD284=1,T284&lt;&gt;""),IF(T284&lt;AsOf,1,0),0)</f>
        <v/>
      </c>
      <c r="AF284" s="79">
        <f>IF(AND(AD284=1,T284&lt;&gt;""),IF(AND(T284&gt;=AsOf,T284&lt;=AsOf+AlertDays),1,0),0)</f>
        <v/>
      </c>
      <c r="AG284" s="79">
        <f>IF(Y284="Order now",1,0)</f>
        <v/>
      </c>
      <c r="AH284" s="79">
        <f>IF(OR(Y284="⚠️ Order late — install at risk",Y284="⚠️ Delivery after install date"),1,0)</f>
        <v/>
      </c>
      <c r="AI284" s="79">
        <f>IF(AND(B284&lt;&gt;"",K284&lt;&gt;"",U284&lt;&gt;"Yes",X284&lt;&gt;"Yes"),1,0)</f>
        <v/>
      </c>
      <c r="AJ284" s="79">
        <f>IF(Y284="⚠️ Order late — install at risk",1,0)</f>
        <v/>
      </c>
    </row>
    <row r="285" ht="20" customHeight="1">
      <c r="B285" s="72" t="n"/>
      <c r="C285" s="72" t="n"/>
      <c r="D285" s="72" t="n"/>
      <c r="E285" s="72" t="n"/>
      <c r="F285" s="73" t="n"/>
      <c r="G285" s="72" t="n"/>
      <c r="H285" s="73" t="n"/>
      <c r="I285" s="72" t="n"/>
      <c r="J285" s="73" t="n"/>
      <c r="K285" s="74" t="n"/>
      <c r="L285" s="75">
        <f>IF(K285="A",F285,IF(K285="B",H285,IF(K285="C",J285,"")))</f>
        <v/>
      </c>
      <c r="M285" s="72" t="n"/>
      <c r="N285" s="72" t="n"/>
      <c r="O285" s="89" t="n"/>
      <c r="P285" s="89" t="n"/>
      <c r="Q285" s="109" t="n"/>
      <c r="R285" s="120">
        <f>IF(B285="","",IF(Q285&lt;&gt;"",Q285,IF(P285="","",IFERROR(INDEX('Timeline'!$J$7:$J$1006,MATCH(P285,'Timeline'!$B$7:$B$1006,0)),""))))</f>
        <v/>
      </c>
      <c r="S285" s="126">
        <f>IF(R285="","",R285-IF(O285="",0,O285)-OrderBuf)</f>
        <v/>
      </c>
      <c r="T285" s="126">
        <f>IF(S285="","",S285-DecideBuf)</f>
        <v/>
      </c>
      <c r="U285" s="74" t="n"/>
      <c r="V285" s="109" t="n"/>
      <c r="W285" s="109" t="n"/>
      <c r="X285" s="74" t="n"/>
      <c r="Y285" s="116">
        <f>IF(B285="","",IF(X285="Yes","Delivered",IF(U285="Yes",IF(AND(W285&lt;&gt;"",R285&lt;&gt;""),IF(W285&gt;R285,"⚠️ Delivery after install date","Ordered"),"Ordered"),IF(K285="",IF(T285="","Waiting for decision",IF(T285&lt;=AsOf+AlertDays,"Decide now","Waiting for decision")),IF(S285="","Selected",IF(AsOf&gt;S285,"⚠️ Order late — install at risk",IF(S285&lt;=AsOf+AlertDays,"Order now","Selected")))))))</f>
        <v/>
      </c>
      <c r="Z285" s="79">
        <f>IF(B285="","",IF(OR(AH285=1,AE285=1),2,IF(OR(AG285=1,AF285=1),1,IF(OR(Y285="Ordered",Y285="Delivered"),0,""))))</f>
        <v/>
      </c>
      <c r="AA285" s="112">
        <f>IF(B285="","",IF(AH285=1,IF(Y285="⚠️ Delivery after install date",R285,S285),IF(AD285=1,T285,IF(AI285=1,S285,""))))</f>
        <v/>
      </c>
      <c r="AB285" s="79">
        <f>IF(AA285="","",IF(AH285=1,1,IF(AA285="","",IF(AA285&lt;AsOf,1,IF(AA285&lt;=AsOf+AlertDays,2,IF(AA285&lt;=AsOf+2*AlertDays,3,""))))))</f>
        <v/>
      </c>
      <c r="AC285" s="79">
        <f>IF(AB285="","",IF(AH285=1,IF(Y285="⚠️ Delivery after install date","Delivery after install date: "&amp;B285,"Order late — install at risk: "&amp;B285),IF(AD285=1,IF(AB285=1,"Decision overdue: ","Decide: ")&amp;B285,"Order: "&amp;B285&amp;IF(N285="",""," from "&amp;N285))))</f>
        <v/>
      </c>
      <c r="AD285" s="79">
        <f>IF(AND(B285&lt;&gt;"",K285="",U285&lt;&gt;"Yes",X285&lt;&gt;"Yes"),1,0)</f>
        <v/>
      </c>
      <c r="AE285" s="79">
        <f>IF(AND(AD285=1,T285&lt;&gt;""),IF(T285&lt;AsOf,1,0),0)</f>
        <v/>
      </c>
      <c r="AF285" s="79">
        <f>IF(AND(AD285=1,T285&lt;&gt;""),IF(AND(T285&gt;=AsOf,T285&lt;=AsOf+AlertDays),1,0),0)</f>
        <v/>
      </c>
      <c r="AG285" s="79">
        <f>IF(Y285="Order now",1,0)</f>
        <v/>
      </c>
      <c r="AH285" s="79">
        <f>IF(OR(Y285="⚠️ Order late — install at risk",Y285="⚠️ Delivery after install date"),1,0)</f>
        <v/>
      </c>
      <c r="AI285" s="79">
        <f>IF(AND(B285&lt;&gt;"",K285&lt;&gt;"",U285&lt;&gt;"Yes",X285&lt;&gt;"Yes"),1,0)</f>
        <v/>
      </c>
      <c r="AJ285" s="79">
        <f>IF(Y285="⚠️ Order late — install at risk",1,0)</f>
        <v/>
      </c>
    </row>
    <row r="286" ht="20" customHeight="1">
      <c r="B286" s="72" t="n"/>
      <c r="C286" s="72" t="n"/>
      <c r="D286" s="72" t="n"/>
      <c r="E286" s="72" t="n"/>
      <c r="F286" s="73" t="n"/>
      <c r="G286" s="72" t="n"/>
      <c r="H286" s="73" t="n"/>
      <c r="I286" s="72" t="n"/>
      <c r="J286" s="73" t="n"/>
      <c r="K286" s="74" t="n"/>
      <c r="L286" s="75">
        <f>IF(K286="A",F286,IF(K286="B",H286,IF(K286="C",J286,"")))</f>
        <v/>
      </c>
      <c r="M286" s="72" t="n"/>
      <c r="N286" s="72" t="n"/>
      <c r="O286" s="89" t="n"/>
      <c r="P286" s="89" t="n"/>
      <c r="Q286" s="109" t="n"/>
      <c r="R286" s="120">
        <f>IF(B286="","",IF(Q286&lt;&gt;"",Q286,IF(P286="","",IFERROR(INDEX('Timeline'!$J$7:$J$1006,MATCH(P286,'Timeline'!$B$7:$B$1006,0)),""))))</f>
        <v/>
      </c>
      <c r="S286" s="126">
        <f>IF(R286="","",R286-IF(O286="",0,O286)-OrderBuf)</f>
        <v/>
      </c>
      <c r="T286" s="126">
        <f>IF(S286="","",S286-DecideBuf)</f>
        <v/>
      </c>
      <c r="U286" s="74" t="n"/>
      <c r="V286" s="109" t="n"/>
      <c r="W286" s="109" t="n"/>
      <c r="X286" s="74" t="n"/>
      <c r="Y286" s="116">
        <f>IF(B286="","",IF(X286="Yes","Delivered",IF(U286="Yes",IF(AND(W286&lt;&gt;"",R286&lt;&gt;""),IF(W286&gt;R286,"⚠️ Delivery after install date","Ordered"),"Ordered"),IF(K286="",IF(T286="","Waiting for decision",IF(T286&lt;=AsOf+AlertDays,"Decide now","Waiting for decision")),IF(S286="","Selected",IF(AsOf&gt;S286,"⚠️ Order late — install at risk",IF(S286&lt;=AsOf+AlertDays,"Order now","Selected")))))))</f>
        <v/>
      </c>
      <c r="Z286" s="79">
        <f>IF(B286="","",IF(OR(AH286=1,AE286=1),2,IF(OR(AG286=1,AF286=1),1,IF(OR(Y286="Ordered",Y286="Delivered"),0,""))))</f>
        <v/>
      </c>
      <c r="AA286" s="112">
        <f>IF(B286="","",IF(AH286=1,IF(Y286="⚠️ Delivery after install date",R286,S286),IF(AD286=1,T286,IF(AI286=1,S286,""))))</f>
        <v/>
      </c>
      <c r="AB286" s="79">
        <f>IF(AA286="","",IF(AH286=1,1,IF(AA286="","",IF(AA286&lt;AsOf,1,IF(AA286&lt;=AsOf+AlertDays,2,IF(AA286&lt;=AsOf+2*AlertDays,3,""))))))</f>
        <v/>
      </c>
      <c r="AC286" s="79">
        <f>IF(AB286="","",IF(AH286=1,IF(Y286="⚠️ Delivery after install date","Delivery after install date: "&amp;B286,"Order late — install at risk: "&amp;B286),IF(AD286=1,IF(AB286=1,"Decision overdue: ","Decide: ")&amp;B286,"Order: "&amp;B286&amp;IF(N286="",""," from "&amp;N286))))</f>
        <v/>
      </c>
      <c r="AD286" s="79">
        <f>IF(AND(B286&lt;&gt;"",K286="",U286&lt;&gt;"Yes",X286&lt;&gt;"Yes"),1,0)</f>
        <v/>
      </c>
      <c r="AE286" s="79">
        <f>IF(AND(AD286=1,T286&lt;&gt;""),IF(T286&lt;AsOf,1,0),0)</f>
        <v/>
      </c>
      <c r="AF286" s="79">
        <f>IF(AND(AD286=1,T286&lt;&gt;""),IF(AND(T286&gt;=AsOf,T286&lt;=AsOf+AlertDays),1,0),0)</f>
        <v/>
      </c>
      <c r="AG286" s="79">
        <f>IF(Y286="Order now",1,0)</f>
        <v/>
      </c>
      <c r="AH286" s="79">
        <f>IF(OR(Y286="⚠️ Order late — install at risk",Y286="⚠️ Delivery after install date"),1,0)</f>
        <v/>
      </c>
      <c r="AI286" s="79">
        <f>IF(AND(B286&lt;&gt;"",K286&lt;&gt;"",U286&lt;&gt;"Yes",X286&lt;&gt;"Yes"),1,0)</f>
        <v/>
      </c>
      <c r="AJ286" s="79">
        <f>IF(Y286="⚠️ Order late — install at risk",1,0)</f>
        <v/>
      </c>
    </row>
    <row r="287" ht="20" customHeight="1">
      <c r="B287" s="72" t="n"/>
      <c r="C287" s="72" t="n"/>
      <c r="D287" s="72" t="n"/>
      <c r="E287" s="72" t="n"/>
      <c r="F287" s="73" t="n"/>
      <c r="G287" s="72" t="n"/>
      <c r="H287" s="73" t="n"/>
      <c r="I287" s="72" t="n"/>
      <c r="J287" s="73" t="n"/>
      <c r="K287" s="74" t="n"/>
      <c r="L287" s="75">
        <f>IF(K287="A",F287,IF(K287="B",H287,IF(K287="C",J287,"")))</f>
        <v/>
      </c>
      <c r="M287" s="72" t="n"/>
      <c r="N287" s="72" t="n"/>
      <c r="O287" s="89" t="n"/>
      <c r="P287" s="89" t="n"/>
      <c r="Q287" s="109" t="n"/>
      <c r="R287" s="120">
        <f>IF(B287="","",IF(Q287&lt;&gt;"",Q287,IF(P287="","",IFERROR(INDEX('Timeline'!$J$7:$J$1006,MATCH(P287,'Timeline'!$B$7:$B$1006,0)),""))))</f>
        <v/>
      </c>
      <c r="S287" s="126">
        <f>IF(R287="","",R287-IF(O287="",0,O287)-OrderBuf)</f>
        <v/>
      </c>
      <c r="T287" s="126">
        <f>IF(S287="","",S287-DecideBuf)</f>
        <v/>
      </c>
      <c r="U287" s="74" t="n"/>
      <c r="V287" s="109" t="n"/>
      <c r="W287" s="109" t="n"/>
      <c r="X287" s="74" t="n"/>
      <c r="Y287" s="116">
        <f>IF(B287="","",IF(X287="Yes","Delivered",IF(U287="Yes",IF(AND(W287&lt;&gt;"",R287&lt;&gt;""),IF(W287&gt;R287,"⚠️ Delivery after install date","Ordered"),"Ordered"),IF(K287="",IF(T287="","Waiting for decision",IF(T287&lt;=AsOf+AlertDays,"Decide now","Waiting for decision")),IF(S287="","Selected",IF(AsOf&gt;S287,"⚠️ Order late — install at risk",IF(S287&lt;=AsOf+AlertDays,"Order now","Selected")))))))</f>
        <v/>
      </c>
      <c r="Z287" s="79">
        <f>IF(B287="","",IF(OR(AH287=1,AE287=1),2,IF(OR(AG287=1,AF287=1),1,IF(OR(Y287="Ordered",Y287="Delivered"),0,""))))</f>
        <v/>
      </c>
      <c r="AA287" s="112">
        <f>IF(B287="","",IF(AH287=1,IF(Y287="⚠️ Delivery after install date",R287,S287),IF(AD287=1,T287,IF(AI287=1,S287,""))))</f>
        <v/>
      </c>
      <c r="AB287" s="79">
        <f>IF(AA287="","",IF(AH287=1,1,IF(AA287="","",IF(AA287&lt;AsOf,1,IF(AA287&lt;=AsOf+AlertDays,2,IF(AA287&lt;=AsOf+2*AlertDays,3,""))))))</f>
        <v/>
      </c>
      <c r="AC287" s="79">
        <f>IF(AB287="","",IF(AH287=1,IF(Y287="⚠️ Delivery after install date","Delivery after install date: "&amp;B287,"Order late — install at risk: "&amp;B287),IF(AD287=1,IF(AB287=1,"Decision overdue: ","Decide: ")&amp;B287,"Order: "&amp;B287&amp;IF(N287="",""," from "&amp;N287))))</f>
        <v/>
      </c>
      <c r="AD287" s="79">
        <f>IF(AND(B287&lt;&gt;"",K287="",U287&lt;&gt;"Yes",X287&lt;&gt;"Yes"),1,0)</f>
        <v/>
      </c>
      <c r="AE287" s="79">
        <f>IF(AND(AD287=1,T287&lt;&gt;""),IF(T287&lt;AsOf,1,0),0)</f>
        <v/>
      </c>
      <c r="AF287" s="79">
        <f>IF(AND(AD287=1,T287&lt;&gt;""),IF(AND(T287&gt;=AsOf,T287&lt;=AsOf+AlertDays),1,0),0)</f>
        <v/>
      </c>
      <c r="AG287" s="79">
        <f>IF(Y287="Order now",1,0)</f>
        <v/>
      </c>
      <c r="AH287" s="79">
        <f>IF(OR(Y287="⚠️ Order late — install at risk",Y287="⚠️ Delivery after install date"),1,0)</f>
        <v/>
      </c>
      <c r="AI287" s="79">
        <f>IF(AND(B287&lt;&gt;"",K287&lt;&gt;"",U287&lt;&gt;"Yes",X287&lt;&gt;"Yes"),1,0)</f>
        <v/>
      </c>
      <c r="AJ287" s="79">
        <f>IF(Y287="⚠️ Order late — install at risk",1,0)</f>
        <v/>
      </c>
    </row>
    <row r="288" ht="20" customHeight="1">
      <c r="B288" s="72" t="n"/>
      <c r="C288" s="72" t="n"/>
      <c r="D288" s="72" t="n"/>
      <c r="E288" s="72" t="n"/>
      <c r="F288" s="73" t="n"/>
      <c r="G288" s="72" t="n"/>
      <c r="H288" s="73" t="n"/>
      <c r="I288" s="72" t="n"/>
      <c r="J288" s="73" t="n"/>
      <c r="K288" s="74" t="n"/>
      <c r="L288" s="75">
        <f>IF(K288="A",F288,IF(K288="B",H288,IF(K288="C",J288,"")))</f>
        <v/>
      </c>
      <c r="M288" s="72" t="n"/>
      <c r="N288" s="72" t="n"/>
      <c r="O288" s="89" t="n"/>
      <c r="P288" s="89" t="n"/>
      <c r="Q288" s="109" t="n"/>
      <c r="R288" s="120">
        <f>IF(B288="","",IF(Q288&lt;&gt;"",Q288,IF(P288="","",IFERROR(INDEX('Timeline'!$J$7:$J$1006,MATCH(P288,'Timeline'!$B$7:$B$1006,0)),""))))</f>
        <v/>
      </c>
      <c r="S288" s="126">
        <f>IF(R288="","",R288-IF(O288="",0,O288)-OrderBuf)</f>
        <v/>
      </c>
      <c r="T288" s="126">
        <f>IF(S288="","",S288-DecideBuf)</f>
        <v/>
      </c>
      <c r="U288" s="74" t="n"/>
      <c r="V288" s="109" t="n"/>
      <c r="W288" s="109" t="n"/>
      <c r="X288" s="74" t="n"/>
      <c r="Y288" s="116">
        <f>IF(B288="","",IF(X288="Yes","Delivered",IF(U288="Yes",IF(AND(W288&lt;&gt;"",R288&lt;&gt;""),IF(W288&gt;R288,"⚠️ Delivery after install date","Ordered"),"Ordered"),IF(K288="",IF(T288="","Waiting for decision",IF(T288&lt;=AsOf+AlertDays,"Decide now","Waiting for decision")),IF(S288="","Selected",IF(AsOf&gt;S288,"⚠️ Order late — install at risk",IF(S288&lt;=AsOf+AlertDays,"Order now","Selected")))))))</f>
        <v/>
      </c>
      <c r="Z288" s="79">
        <f>IF(B288="","",IF(OR(AH288=1,AE288=1),2,IF(OR(AG288=1,AF288=1),1,IF(OR(Y288="Ordered",Y288="Delivered"),0,""))))</f>
        <v/>
      </c>
      <c r="AA288" s="112">
        <f>IF(B288="","",IF(AH288=1,IF(Y288="⚠️ Delivery after install date",R288,S288),IF(AD288=1,T288,IF(AI288=1,S288,""))))</f>
        <v/>
      </c>
      <c r="AB288" s="79">
        <f>IF(AA288="","",IF(AH288=1,1,IF(AA288="","",IF(AA288&lt;AsOf,1,IF(AA288&lt;=AsOf+AlertDays,2,IF(AA288&lt;=AsOf+2*AlertDays,3,""))))))</f>
        <v/>
      </c>
      <c r="AC288" s="79">
        <f>IF(AB288="","",IF(AH288=1,IF(Y288="⚠️ Delivery after install date","Delivery after install date: "&amp;B288,"Order late — install at risk: "&amp;B288),IF(AD288=1,IF(AB288=1,"Decision overdue: ","Decide: ")&amp;B288,"Order: "&amp;B288&amp;IF(N288="",""," from "&amp;N288))))</f>
        <v/>
      </c>
      <c r="AD288" s="79">
        <f>IF(AND(B288&lt;&gt;"",K288="",U288&lt;&gt;"Yes",X288&lt;&gt;"Yes"),1,0)</f>
        <v/>
      </c>
      <c r="AE288" s="79">
        <f>IF(AND(AD288=1,T288&lt;&gt;""),IF(T288&lt;AsOf,1,0),0)</f>
        <v/>
      </c>
      <c r="AF288" s="79">
        <f>IF(AND(AD288=1,T288&lt;&gt;""),IF(AND(T288&gt;=AsOf,T288&lt;=AsOf+AlertDays),1,0),0)</f>
        <v/>
      </c>
      <c r="AG288" s="79">
        <f>IF(Y288="Order now",1,0)</f>
        <v/>
      </c>
      <c r="AH288" s="79">
        <f>IF(OR(Y288="⚠️ Order late — install at risk",Y288="⚠️ Delivery after install date"),1,0)</f>
        <v/>
      </c>
      <c r="AI288" s="79">
        <f>IF(AND(B288&lt;&gt;"",K288&lt;&gt;"",U288&lt;&gt;"Yes",X288&lt;&gt;"Yes"),1,0)</f>
        <v/>
      </c>
      <c r="AJ288" s="79">
        <f>IF(Y288="⚠️ Order late — install at risk",1,0)</f>
        <v/>
      </c>
    </row>
    <row r="289" ht="20" customHeight="1">
      <c r="B289" s="72" t="n"/>
      <c r="C289" s="72" t="n"/>
      <c r="D289" s="72" t="n"/>
      <c r="E289" s="72" t="n"/>
      <c r="F289" s="73" t="n"/>
      <c r="G289" s="72" t="n"/>
      <c r="H289" s="73" t="n"/>
      <c r="I289" s="72" t="n"/>
      <c r="J289" s="73" t="n"/>
      <c r="K289" s="74" t="n"/>
      <c r="L289" s="75">
        <f>IF(K289="A",F289,IF(K289="B",H289,IF(K289="C",J289,"")))</f>
        <v/>
      </c>
      <c r="M289" s="72" t="n"/>
      <c r="N289" s="72" t="n"/>
      <c r="O289" s="89" t="n"/>
      <c r="P289" s="89" t="n"/>
      <c r="Q289" s="109" t="n"/>
      <c r="R289" s="120">
        <f>IF(B289="","",IF(Q289&lt;&gt;"",Q289,IF(P289="","",IFERROR(INDEX('Timeline'!$J$7:$J$1006,MATCH(P289,'Timeline'!$B$7:$B$1006,0)),""))))</f>
        <v/>
      </c>
      <c r="S289" s="126">
        <f>IF(R289="","",R289-IF(O289="",0,O289)-OrderBuf)</f>
        <v/>
      </c>
      <c r="T289" s="126">
        <f>IF(S289="","",S289-DecideBuf)</f>
        <v/>
      </c>
      <c r="U289" s="74" t="n"/>
      <c r="V289" s="109" t="n"/>
      <c r="W289" s="109" t="n"/>
      <c r="X289" s="74" t="n"/>
      <c r="Y289" s="116">
        <f>IF(B289="","",IF(X289="Yes","Delivered",IF(U289="Yes",IF(AND(W289&lt;&gt;"",R289&lt;&gt;""),IF(W289&gt;R289,"⚠️ Delivery after install date","Ordered"),"Ordered"),IF(K289="",IF(T289="","Waiting for decision",IF(T289&lt;=AsOf+AlertDays,"Decide now","Waiting for decision")),IF(S289="","Selected",IF(AsOf&gt;S289,"⚠️ Order late — install at risk",IF(S289&lt;=AsOf+AlertDays,"Order now","Selected")))))))</f>
        <v/>
      </c>
      <c r="Z289" s="79">
        <f>IF(B289="","",IF(OR(AH289=1,AE289=1),2,IF(OR(AG289=1,AF289=1),1,IF(OR(Y289="Ordered",Y289="Delivered"),0,""))))</f>
        <v/>
      </c>
      <c r="AA289" s="112">
        <f>IF(B289="","",IF(AH289=1,IF(Y289="⚠️ Delivery after install date",R289,S289),IF(AD289=1,T289,IF(AI289=1,S289,""))))</f>
        <v/>
      </c>
      <c r="AB289" s="79">
        <f>IF(AA289="","",IF(AH289=1,1,IF(AA289="","",IF(AA289&lt;AsOf,1,IF(AA289&lt;=AsOf+AlertDays,2,IF(AA289&lt;=AsOf+2*AlertDays,3,""))))))</f>
        <v/>
      </c>
      <c r="AC289" s="79">
        <f>IF(AB289="","",IF(AH289=1,IF(Y289="⚠️ Delivery after install date","Delivery after install date: "&amp;B289,"Order late — install at risk: "&amp;B289),IF(AD289=1,IF(AB289=1,"Decision overdue: ","Decide: ")&amp;B289,"Order: "&amp;B289&amp;IF(N289="",""," from "&amp;N289))))</f>
        <v/>
      </c>
      <c r="AD289" s="79">
        <f>IF(AND(B289&lt;&gt;"",K289="",U289&lt;&gt;"Yes",X289&lt;&gt;"Yes"),1,0)</f>
        <v/>
      </c>
      <c r="AE289" s="79">
        <f>IF(AND(AD289=1,T289&lt;&gt;""),IF(T289&lt;AsOf,1,0),0)</f>
        <v/>
      </c>
      <c r="AF289" s="79">
        <f>IF(AND(AD289=1,T289&lt;&gt;""),IF(AND(T289&gt;=AsOf,T289&lt;=AsOf+AlertDays),1,0),0)</f>
        <v/>
      </c>
      <c r="AG289" s="79">
        <f>IF(Y289="Order now",1,0)</f>
        <v/>
      </c>
      <c r="AH289" s="79">
        <f>IF(OR(Y289="⚠️ Order late — install at risk",Y289="⚠️ Delivery after install date"),1,0)</f>
        <v/>
      </c>
      <c r="AI289" s="79">
        <f>IF(AND(B289&lt;&gt;"",K289&lt;&gt;"",U289&lt;&gt;"Yes",X289&lt;&gt;"Yes"),1,0)</f>
        <v/>
      </c>
      <c r="AJ289" s="79">
        <f>IF(Y289="⚠️ Order late — install at risk",1,0)</f>
        <v/>
      </c>
    </row>
    <row r="290" ht="20" customHeight="1">
      <c r="B290" s="72" t="n"/>
      <c r="C290" s="72" t="n"/>
      <c r="D290" s="72" t="n"/>
      <c r="E290" s="72" t="n"/>
      <c r="F290" s="73" t="n"/>
      <c r="G290" s="72" t="n"/>
      <c r="H290" s="73" t="n"/>
      <c r="I290" s="72" t="n"/>
      <c r="J290" s="73" t="n"/>
      <c r="K290" s="74" t="n"/>
      <c r="L290" s="75">
        <f>IF(K290="A",F290,IF(K290="B",H290,IF(K290="C",J290,"")))</f>
        <v/>
      </c>
      <c r="M290" s="72" t="n"/>
      <c r="N290" s="72" t="n"/>
      <c r="O290" s="89" t="n"/>
      <c r="P290" s="89" t="n"/>
      <c r="Q290" s="109" t="n"/>
      <c r="R290" s="120">
        <f>IF(B290="","",IF(Q290&lt;&gt;"",Q290,IF(P290="","",IFERROR(INDEX('Timeline'!$J$7:$J$1006,MATCH(P290,'Timeline'!$B$7:$B$1006,0)),""))))</f>
        <v/>
      </c>
      <c r="S290" s="126">
        <f>IF(R290="","",R290-IF(O290="",0,O290)-OrderBuf)</f>
        <v/>
      </c>
      <c r="T290" s="126">
        <f>IF(S290="","",S290-DecideBuf)</f>
        <v/>
      </c>
      <c r="U290" s="74" t="n"/>
      <c r="V290" s="109" t="n"/>
      <c r="W290" s="109" t="n"/>
      <c r="X290" s="74" t="n"/>
      <c r="Y290" s="116">
        <f>IF(B290="","",IF(X290="Yes","Delivered",IF(U290="Yes",IF(AND(W290&lt;&gt;"",R290&lt;&gt;""),IF(W290&gt;R290,"⚠️ Delivery after install date","Ordered"),"Ordered"),IF(K290="",IF(T290="","Waiting for decision",IF(T290&lt;=AsOf+AlertDays,"Decide now","Waiting for decision")),IF(S290="","Selected",IF(AsOf&gt;S290,"⚠️ Order late — install at risk",IF(S290&lt;=AsOf+AlertDays,"Order now","Selected")))))))</f>
        <v/>
      </c>
      <c r="Z290" s="79">
        <f>IF(B290="","",IF(OR(AH290=1,AE290=1),2,IF(OR(AG290=1,AF290=1),1,IF(OR(Y290="Ordered",Y290="Delivered"),0,""))))</f>
        <v/>
      </c>
      <c r="AA290" s="112">
        <f>IF(B290="","",IF(AH290=1,IF(Y290="⚠️ Delivery after install date",R290,S290),IF(AD290=1,T290,IF(AI290=1,S290,""))))</f>
        <v/>
      </c>
      <c r="AB290" s="79">
        <f>IF(AA290="","",IF(AH290=1,1,IF(AA290="","",IF(AA290&lt;AsOf,1,IF(AA290&lt;=AsOf+AlertDays,2,IF(AA290&lt;=AsOf+2*AlertDays,3,""))))))</f>
        <v/>
      </c>
      <c r="AC290" s="79">
        <f>IF(AB290="","",IF(AH290=1,IF(Y290="⚠️ Delivery after install date","Delivery after install date: "&amp;B290,"Order late — install at risk: "&amp;B290),IF(AD290=1,IF(AB290=1,"Decision overdue: ","Decide: ")&amp;B290,"Order: "&amp;B290&amp;IF(N290="",""," from "&amp;N290))))</f>
        <v/>
      </c>
      <c r="AD290" s="79">
        <f>IF(AND(B290&lt;&gt;"",K290="",U290&lt;&gt;"Yes",X290&lt;&gt;"Yes"),1,0)</f>
        <v/>
      </c>
      <c r="AE290" s="79">
        <f>IF(AND(AD290=1,T290&lt;&gt;""),IF(T290&lt;AsOf,1,0),0)</f>
        <v/>
      </c>
      <c r="AF290" s="79">
        <f>IF(AND(AD290=1,T290&lt;&gt;""),IF(AND(T290&gt;=AsOf,T290&lt;=AsOf+AlertDays),1,0),0)</f>
        <v/>
      </c>
      <c r="AG290" s="79">
        <f>IF(Y290="Order now",1,0)</f>
        <v/>
      </c>
      <c r="AH290" s="79">
        <f>IF(OR(Y290="⚠️ Order late — install at risk",Y290="⚠️ Delivery after install date"),1,0)</f>
        <v/>
      </c>
      <c r="AI290" s="79">
        <f>IF(AND(B290&lt;&gt;"",K290&lt;&gt;"",U290&lt;&gt;"Yes",X290&lt;&gt;"Yes"),1,0)</f>
        <v/>
      </c>
      <c r="AJ290" s="79">
        <f>IF(Y290="⚠️ Order late — install at risk",1,0)</f>
        <v/>
      </c>
    </row>
    <row r="291" ht="20" customHeight="1">
      <c r="B291" s="72" t="n"/>
      <c r="C291" s="72" t="n"/>
      <c r="D291" s="72" t="n"/>
      <c r="E291" s="72" t="n"/>
      <c r="F291" s="73" t="n"/>
      <c r="G291" s="72" t="n"/>
      <c r="H291" s="73" t="n"/>
      <c r="I291" s="72" t="n"/>
      <c r="J291" s="73" t="n"/>
      <c r="K291" s="74" t="n"/>
      <c r="L291" s="75">
        <f>IF(K291="A",F291,IF(K291="B",H291,IF(K291="C",J291,"")))</f>
        <v/>
      </c>
      <c r="M291" s="72" t="n"/>
      <c r="N291" s="72" t="n"/>
      <c r="O291" s="89" t="n"/>
      <c r="P291" s="89" t="n"/>
      <c r="Q291" s="109" t="n"/>
      <c r="R291" s="120">
        <f>IF(B291="","",IF(Q291&lt;&gt;"",Q291,IF(P291="","",IFERROR(INDEX('Timeline'!$J$7:$J$1006,MATCH(P291,'Timeline'!$B$7:$B$1006,0)),""))))</f>
        <v/>
      </c>
      <c r="S291" s="126">
        <f>IF(R291="","",R291-IF(O291="",0,O291)-OrderBuf)</f>
        <v/>
      </c>
      <c r="T291" s="126">
        <f>IF(S291="","",S291-DecideBuf)</f>
        <v/>
      </c>
      <c r="U291" s="74" t="n"/>
      <c r="V291" s="109" t="n"/>
      <c r="W291" s="109" t="n"/>
      <c r="X291" s="74" t="n"/>
      <c r="Y291" s="116">
        <f>IF(B291="","",IF(X291="Yes","Delivered",IF(U291="Yes",IF(AND(W291&lt;&gt;"",R291&lt;&gt;""),IF(W291&gt;R291,"⚠️ Delivery after install date","Ordered"),"Ordered"),IF(K291="",IF(T291="","Waiting for decision",IF(T291&lt;=AsOf+AlertDays,"Decide now","Waiting for decision")),IF(S291="","Selected",IF(AsOf&gt;S291,"⚠️ Order late — install at risk",IF(S291&lt;=AsOf+AlertDays,"Order now","Selected")))))))</f>
        <v/>
      </c>
      <c r="Z291" s="79">
        <f>IF(B291="","",IF(OR(AH291=1,AE291=1),2,IF(OR(AG291=1,AF291=1),1,IF(OR(Y291="Ordered",Y291="Delivered"),0,""))))</f>
        <v/>
      </c>
      <c r="AA291" s="112">
        <f>IF(B291="","",IF(AH291=1,IF(Y291="⚠️ Delivery after install date",R291,S291),IF(AD291=1,T291,IF(AI291=1,S291,""))))</f>
        <v/>
      </c>
      <c r="AB291" s="79">
        <f>IF(AA291="","",IF(AH291=1,1,IF(AA291="","",IF(AA291&lt;AsOf,1,IF(AA291&lt;=AsOf+AlertDays,2,IF(AA291&lt;=AsOf+2*AlertDays,3,""))))))</f>
        <v/>
      </c>
      <c r="AC291" s="79">
        <f>IF(AB291="","",IF(AH291=1,IF(Y291="⚠️ Delivery after install date","Delivery after install date: "&amp;B291,"Order late — install at risk: "&amp;B291),IF(AD291=1,IF(AB291=1,"Decision overdue: ","Decide: ")&amp;B291,"Order: "&amp;B291&amp;IF(N291="",""," from "&amp;N291))))</f>
        <v/>
      </c>
      <c r="AD291" s="79">
        <f>IF(AND(B291&lt;&gt;"",K291="",U291&lt;&gt;"Yes",X291&lt;&gt;"Yes"),1,0)</f>
        <v/>
      </c>
      <c r="AE291" s="79">
        <f>IF(AND(AD291=1,T291&lt;&gt;""),IF(T291&lt;AsOf,1,0),0)</f>
        <v/>
      </c>
      <c r="AF291" s="79">
        <f>IF(AND(AD291=1,T291&lt;&gt;""),IF(AND(T291&gt;=AsOf,T291&lt;=AsOf+AlertDays),1,0),0)</f>
        <v/>
      </c>
      <c r="AG291" s="79">
        <f>IF(Y291="Order now",1,0)</f>
        <v/>
      </c>
      <c r="AH291" s="79">
        <f>IF(OR(Y291="⚠️ Order late — install at risk",Y291="⚠️ Delivery after install date"),1,0)</f>
        <v/>
      </c>
      <c r="AI291" s="79">
        <f>IF(AND(B291&lt;&gt;"",K291&lt;&gt;"",U291&lt;&gt;"Yes",X291&lt;&gt;"Yes"),1,0)</f>
        <v/>
      </c>
      <c r="AJ291" s="79">
        <f>IF(Y291="⚠️ Order late — install at risk",1,0)</f>
        <v/>
      </c>
    </row>
    <row r="292" ht="20" customHeight="1">
      <c r="B292" s="72" t="n"/>
      <c r="C292" s="72" t="n"/>
      <c r="D292" s="72" t="n"/>
      <c r="E292" s="72" t="n"/>
      <c r="F292" s="73" t="n"/>
      <c r="G292" s="72" t="n"/>
      <c r="H292" s="73" t="n"/>
      <c r="I292" s="72" t="n"/>
      <c r="J292" s="73" t="n"/>
      <c r="K292" s="74" t="n"/>
      <c r="L292" s="75">
        <f>IF(K292="A",F292,IF(K292="B",H292,IF(K292="C",J292,"")))</f>
        <v/>
      </c>
      <c r="M292" s="72" t="n"/>
      <c r="N292" s="72" t="n"/>
      <c r="O292" s="89" t="n"/>
      <c r="P292" s="89" t="n"/>
      <c r="Q292" s="109" t="n"/>
      <c r="R292" s="120">
        <f>IF(B292="","",IF(Q292&lt;&gt;"",Q292,IF(P292="","",IFERROR(INDEX('Timeline'!$J$7:$J$1006,MATCH(P292,'Timeline'!$B$7:$B$1006,0)),""))))</f>
        <v/>
      </c>
      <c r="S292" s="126">
        <f>IF(R292="","",R292-IF(O292="",0,O292)-OrderBuf)</f>
        <v/>
      </c>
      <c r="T292" s="126">
        <f>IF(S292="","",S292-DecideBuf)</f>
        <v/>
      </c>
      <c r="U292" s="74" t="n"/>
      <c r="V292" s="109" t="n"/>
      <c r="W292" s="109" t="n"/>
      <c r="X292" s="74" t="n"/>
      <c r="Y292" s="116">
        <f>IF(B292="","",IF(X292="Yes","Delivered",IF(U292="Yes",IF(AND(W292&lt;&gt;"",R292&lt;&gt;""),IF(W292&gt;R292,"⚠️ Delivery after install date","Ordered"),"Ordered"),IF(K292="",IF(T292="","Waiting for decision",IF(T292&lt;=AsOf+AlertDays,"Decide now","Waiting for decision")),IF(S292="","Selected",IF(AsOf&gt;S292,"⚠️ Order late — install at risk",IF(S292&lt;=AsOf+AlertDays,"Order now","Selected")))))))</f>
        <v/>
      </c>
      <c r="Z292" s="79">
        <f>IF(B292="","",IF(OR(AH292=1,AE292=1),2,IF(OR(AG292=1,AF292=1),1,IF(OR(Y292="Ordered",Y292="Delivered"),0,""))))</f>
        <v/>
      </c>
      <c r="AA292" s="112">
        <f>IF(B292="","",IF(AH292=1,IF(Y292="⚠️ Delivery after install date",R292,S292),IF(AD292=1,T292,IF(AI292=1,S292,""))))</f>
        <v/>
      </c>
      <c r="AB292" s="79">
        <f>IF(AA292="","",IF(AH292=1,1,IF(AA292="","",IF(AA292&lt;AsOf,1,IF(AA292&lt;=AsOf+AlertDays,2,IF(AA292&lt;=AsOf+2*AlertDays,3,""))))))</f>
        <v/>
      </c>
      <c r="AC292" s="79">
        <f>IF(AB292="","",IF(AH292=1,IF(Y292="⚠️ Delivery after install date","Delivery after install date: "&amp;B292,"Order late — install at risk: "&amp;B292),IF(AD292=1,IF(AB292=1,"Decision overdue: ","Decide: ")&amp;B292,"Order: "&amp;B292&amp;IF(N292="",""," from "&amp;N292))))</f>
        <v/>
      </c>
      <c r="AD292" s="79">
        <f>IF(AND(B292&lt;&gt;"",K292="",U292&lt;&gt;"Yes",X292&lt;&gt;"Yes"),1,0)</f>
        <v/>
      </c>
      <c r="AE292" s="79">
        <f>IF(AND(AD292=1,T292&lt;&gt;""),IF(T292&lt;AsOf,1,0),0)</f>
        <v/>
      </c>
      <c r="AF292" s="79">
        <f>IF(AND(AD292=1,T292&lt;&gt;""),IF(AND(T292&gt;=AsOf,T292&lt;=AsOf+AlertDays),1,0),0)</f>
        <v/>
      </c>
      <c r="AG292" s="79">
        <f>IF(Y292="Order now",1,0)</f>
        <v/>
      </c>
      <c r="AH292" s="79">
        <f>IF(OR(Y292="⚠️ Order late — install at risk",Y292="⚠️ Delivery after install date"),1,0)</f>
        <v/>
      </c>
      <c r="AI292" s="79">
        <f>IF(AND(B292&lt;&gt;"",K292&lt;&gt;"",U292&lt;&gt;"Yes",X292&lt;&gt;"Yes"),1,0)</f>
        <v/>
      </c>
      <c r="AJ292" s="79">
        <f>IF(Y292="⚠️ Order late — install at risk",1,0)</f>
        <v/>
      </c>
    </row>
    <row r="293" ht="20" customHeight="1">
      <c r="B293" s="72" t="n"/>
      <c r="C293" s="72" t="n"/>
      <c r="D293" s="72" t="n"/>
      <c r="E293" s="72" t="n"/>
      <c r="F293" s="73" t="n"/>
      <c r="G293" s="72" t="n"/>
      <c r="H293" s="73" t="n"/>
      <c r="I293" s="72" t="n"/>
      <c r="J293" s="73" t="n"/>
      <c r="K293" s="74" t="n"/>
      <c r="L293" s="75">
        <f>IF(K293="A",F293,IF(K293="B",H293,IF(K293="C",J293,"")))</f>
        <v/>
      </c>
      <c r="M293" s="72" t="n"/>
      <c r="N293" s="72" t="n"/>
      <c r="O293" s="89" t="n"/>
      <c r="P293" s="89" t="n"/>
      <c r="Q293" s="109" t="n"/>
      <c r="R293" s="120">
        <f>IF(B293="","",IF(Q293&lt;&gt;"",Q293,IF(P293="","",IFERROR(INDEX('Timeline'!$J$7:$J$1006,MATCH(P293,'Timeline'!$B$7:$B$1006,0)),""))))</f>
        <v/>
      </c>
      <c r="S293" s="126">
        <f>IF(R293="","",R293-IF(O293="",0,O293)-OrderBuf)</f>
        <v/>
      </c>
      <c r="T293" s="126">
        <f>IF(S293="","",S293-DecideBuf)</f>
        <v/>
      </c>
      <c r="U293" s="74" t="n"/>
      <c r="V293" s="109" t="n"/>
      <c r="W293" s="109" t="n"/>
      <c r="X293" s="74" t="n"/>
      <c r="Y293" s="116">
        <f>IF(B293="","",IF(X293="Yes","Delivered",IF(U293="Yes",IF(AND(W293&lt;&gt;"",R293&lt;&gt;""),IF(W293&gt;R293,"⚠️ Delivery after install date","Ordered"),"Ordered"),IF(K293="",IF(T293="","Waiting for decision",IF(T293&lt;=AsOf+AlertDays,"Decide now","Waiting for decision")),IF(S293="","Selected",IF(AsOf&gt;S293,"⚠️ Order late — install at risk",IF(S293&lt;=AsOf+AlertDays,"Order now","Selected")))))))</f>
        <v/>
      </c>
      <c r="Z293" s="79">
        <f>IF(B293="","",IF(OR(AH293=1,AE293=1),2,IF(OR(AG293=1,AF293=1),1,IF(OR(Y293="Ordered",Y293="Delivered"),0,""))))</f>
        <v/>
      </c>
      <c r="AA293" s="112">
        <f>IF(B293="","",IF(AH293=1,IF(Y293="⚠️ Delivery after install date",R293,S293),IF(AD293=1,T293,IF(AI293=1,S293,""))))</f>
        <v/>
      </c>
      <c r="AB293" s="79">
        <f>IF(AA293="","",IF(AH293=1,1,IF(AA293="","",IF(AA293&lt;AsOf,1,IF(AA293&lt;=AsOf+AlertDays,2,IF(AA293&lt;=AsOf+2*AlertDays,3,""))))))</f>
        <v/>
      </c>
      <c r="AC293" s="79">
        <f>IF(AB293="","",IF(AH293=1,IF(Y293="⚠️ Delivery after install date","Delivery after install date: "&amp;B293,"Order late — install at risk: "&amp;B293),IF(AD293=1,IF(AB293=1,"Decision overdue: ","Decide: ")&amp;B293,"Order: "&amp;B293&amp;IF(N293="",""," from "&amp;N293))))</f>
        <v/>
      </c>
      <c r="AD293" s="79">
        <f>IF(AND(B293&lt;&gt;"",K293="",U293&lt;&gt;"Yes",X293&lt;&gt;"Yes"),1,0)</f>
        <v/>
      </c>
      <c r="AE293" s="79">
        <f>IF(AND(AD293=1,T293&lt;&gt;""),IF(T293&lt;AsOf,1,0),0)</f>
        <v/>
      </c>
      <c r="AF293" s="79">
        <f>IF(AND(AD293=1,T293&lt;&gt;""),IF(AND(T293&gt;=AsOf,T293&lt;=AsOf+AlertDays),1,0),0)</f>
        <v/>
      </c>
      <c r="AG293" s="79">
        <f>IF(Y293="Order now",1,0)</f>
        <v/>
      </c>
      <c r="AH293" s="79">
        <f>IF(OR(Y293="⚠️ Order late — install at risk",Y293="⚠️ Delivery after install date"),1,0)</f>
        <v/>
      </c>
      <c r="AI293" s="79">
        <f>IF(AND(B293&lt;&gt;"",K293&lt;&gt;"",U293&lt;&gt;"Yes",X293&lt;&gt;"Yes"),1,0)</f>
        <v/>
      </c>
      <c r="AJ293" s="79">
        <f>IF(Y293="⚠️ Order late — install at risk",1,0)</f>
        <v/>
      </c>
    </row>
    <row r="294" ht="20" customHeight="1">
      <c r="B294" s="72" t="n"/>
      <c r="C294" s="72" t="n"/>
      <c r="D294" s="72" t="n"/>
      <c r="E294" s="72" t="n"/>
      <c r="F294" s="73" t="n"/>
      <c r="G294" s="72" t="n"/>
      <c r="H294" s="73" t="n"/>
      <c r="I294" s="72" t="n"/>
      <c r="J294" s="73" t="n"/>
      <c r="K294" s="74" t="n"/>
      <c r="L294" s="75">
        <f>IF(K294="A",F294,IF(K294="B",H294,IF(K294="C",J294,"")))</f>
        <v/>
      </c>
      <c r="M294" s="72" t="n"/>
      <c r="N294" s="72" t="n"/>
      <c r="O294" s="89" t="n"/>
      <c r="P294" s="89" t="n"/>
      <c r="Q294" s="109" t="n"/>
      <c r="R294" s="120">
        <f>IF(B294="","",IF(Q294&lt;&gt;"",Q294,IF(P294="","",IFERROR(INDEX('Timeline'!$J$7:$J$1006,MATCH(P294,'Timeline'!$B$7:$B$1006,0)),""))))</f>
        <v/>
      </c>
      <c r="S294" s="126">
        <f>IF(R294="","",R294-IF(O294="",0,O294)-OrderBuf)</f>
        <v/>
      </c>
      <c r="T294" s="126">
        <f>IF(S294="","",S294-DecideBuf)</f>
        <v/>
      </c>
      <c r="U294" s="74" t="n"/>
      <c r="V294" s="109" t="n"/>
      <c r="W294" s="109" t="n"/>
      <c r="X294" s="74" t="n"/>
      <c r="Y294" s="116">
        <f>IF(B294="","",IF(X294="Yes","Delivered",IF(U294="Yes",IF(AND(W294&lt;&gt;"",R294&lt;&gt;""),IF(W294&gt;R294,"⚠️ Delivery after install date","Ordered"),"Ordered"),IF(K294="",IF(T294="","Waiting for decision",IF(T294&lt;=AsOf+AlertDays,"Decide now","Waiting for decision")),IF(S294="","Selected",IF(AsOf&gt;S294,"⚠️ Order late — install at risk",IF(S294&lt;=AsOf+AlertDays,"Order now","Selected")))))))</f>
        <v/>
      </c>
      <c r="Z294" s="79">
        <f>IF(B294="","",IF(OR(AH294=1,AE294=1),2,IF(OR(AG294=1,AF294=1),1,IF(OR(Y294="Ordered",Y294="Delivered"),0,""))))</f>
        <v/>
      </c>
      <c r="AA294" s="112">
        <f>IF(B294="","",IF(AH294=1,IF(Y294="⚠️ Delivery after install date",R294,S294),IF(AD294=1,T294,IF(AI294=1,S294,""))))</f>
        <v/>
      </c>
      <c r="AB294" s="79">
        <f>IF(AA294="","",IF(AH294=1,1,IF(AA294="","",IF(AA294&lt;AsOf,1,IF(AA294&lt;=AsOf+AlertDays,2,IF(AA294&lt;=AsOf+2*AlertDays,3,""))))))</f>
        <v/>
      </c>
      <c r="AC294" s="79">
        <f>IF(AB294="","",IF(AH294=1,IF(Y294="⚠️ Delivery after install date","Delivery after install date: "&amp;B294,"Order late — install at risk: "&amp;B294),IF(AD294=1,IF(AB294=1,"Decision overdue: ","Decide: ")&amp;B294,"Order: "&amp;B294&amp;IF(N294="",""," from "&amp;N294))))</f>
        <v/>
      </c>
      <c r="AD294" s="79">
        <f>IF(AND(B294&lt;&gt;"",K294="",U294&lt;&gt;"Yes",X294&lt;&gt;"Yes"),1,0)</f>
        <v/>
      </c>
      <c r="AE294" s="79">
        <f>IF(AND(AD294=1,T294&lt;&gt;""),IF(T294&lt;AsOf,1,0),0)</f>
        <v/>
      </c>
      <c r="AF294" s="79">
        <f>IF(AND(AD294=1,T294&lt;&gt;""),IF(AND(T294&gt;=AsOf,T294&lt;=AsOf+AlertDays),1,0),0)</f>
        <v/>
      </c>
      <c r="AG294" s="79">
        <f>IF(Y294="Order now",1,0)</f>
        <v/>
      </c>
      <c r="AH294" s="79">
        <f>IF(OR(Y294="⚠️ Order late — install at risk",Y294="⚠️ Delivery after install date"),1,0)</f>
        <v/>
      </c>
      <c r="AI294" s="79">
        <f>IF(AND(B294&lt;&gt;"",K294&lt;&gt;"",U294&lt;&gt;"Yes",X294&lt;&gt;"Yes"),1,0)</f>
        <v/>
      </c>
      <c r="AJ294" s="79">
        <f>IF(Y294="⚠️ Order late — install at risk",1,0)</f>
        <v/>
      </c>
    </row>
    <row r="295" ht="20" customHeight="1">
      <c r="B295" s="72" t="n"/>
      <c r="C295" s="72" t="n"/>
      <c r="D295" s="72" t="n"/>
      <c r="E295" s="72" t="n"/>
      <c r="F295" s="73" t="n"/>
      <c r="G295" s="72" t="n"/>
      <c r="H295" s="73" t="n"/>
      <c r="I295" s="72" t="n"/>
      <c r="J295" s="73" t="n"/>
      <c r="K295" s="74" t="n"/>
      <c r="L295" s="75">
        <f>IF(K295="A",F295,IF(K295="B",H295,IF(K295="C",J295,"")))</f>
        <v/>
      </c>
      <c r="M295" s="72" t="n"/>
      <c r="N295" s="72" t="n"/>
      <c r="O295" s="89" t="n"/>
      <c r="P295" s="89" t="n"/>
      <c r="Q295" s="109" t="n"/>
      <c r="R295" s="120">
        <f>IF(B295="","",IF(Q295&lt;&gt;"",Q295,IF(P295="","",IFERROR(INDEX('Timeline'!$J$7:$J$1006,MATCH(P295,'Timeline'!$B$7:$B$1006,0)),""))))</f>
        <v/>
      </c>
      <c r="S295" s="126">
        <f>IF(R295="","",R295-IF(O295="",0,O295)-OrderBuf)</f>
        <v/>
      </c>
      <c r="T295" s="126">
        <f>IF(S295="","",S295-DecideBuf)</f>
        <v/>
      </c>
      <c r="U295" s="74" t="n"/>
      <c r="V295" s="109" t="n"/>
      <c r="W295" s="109" t="n"/>
      <c r="X295" s="74" t="n"/>
      <c r="Y295" s="116">
        <f>IF(B295="","",IF(X295="Yes","Delivered",IF(U295="Yes",IF(AND(W295&lt;&gt;"",R295&lt;&gt;""),IF(W295&gt;R295,"⚠️ Delivery after install date","Ordered"),"Ordered"),IF(K295="",IF(T295="","Waiting for decision",IF(T295&lt;=AsOf+AlertDays,"Decide now","Waiting for decision")),IF(S295="","Selected",IF(AsOf&gt;S295,"⚠️ Order late — install at risk",IF(S295&lt;=AsOf+AlertDays,"Order now","Selected")))))))</f>
        <v/>
      </c>
      <c r="Z295" s="79">
        <f>IF(B295="","",IF(OR(AH295=1,AE295=1),2,IF(OR(AG295=1,AF295=1),1,IF(OR(Y295="Ordered",Y295="Delivered"),0,""))))</f>
        <v/>
      </c>
      <c r="AA295" s="112">
        <f>IF(B295="","",IF(AH295=1,IF(Y295="⚠️ Delivery after install date",R295,S295),IF(AD295=1,T295,IF(AI295=1,S295,""))))</f>
        <v/>
      </c>
      <c r="AB295" s="79">
        <f>IF(AA295="","",IF(AH295=1,1,IF(AA295="","",IF(AA295&lt;AsOf,1,IF(AA295&lt;=AsOf+AlertDays,2,IF(AA295&lt;=AsOf+2*AlertDays,3,""))))))</f>
        <v/>
      </c>
      <c r="AC295" s="79">
        <f>IF(AB295="","",IF(AH295=1,IF(Y295="⚠️ Delivery after install date","Delivery after install date: "&amp;B295,"Order late — install at risk: "&amp;B295),IF(AD295=1,IF(AB295=1,"Decision overdue: ","Decide: ")&amp;B295,"Order: "&amp;B295&amp;IF(N295="",""," from "&amp;N295))))</f>
        <v/>
      </c>
      <c r="AD295" s="79">
        <f>IF(AND(B295&lt;&gt;"",K295="",U295&lt;&gt;"Yes",X295&lt;&gt;"Yes"),1,0)</f>
        <v/>
      </c>
      <c r="AE295" s="79">
        <f>IF(AND(AD295=1,T295&lt;&gt;""),IF(T295&lt;AsOf,1,0),0)</f>
        <v/>
      </c>
      <c r="AF295" s="79">
        <f>IF(AND(AD295=1,T295&lt;&gt;""),IF(AND(T295&gt;=AsOf,T295&lt;=AsOf+AlertDays),1,0),0)</f>
        <v/>
      </c>
      <c r="AG295" s="79">
        <f>IF(Y295="Order now",1,0)</f>
        <v/>
      </c>
      <c r="AH295" s="79">
        <f>IF(OR(Y295="⚠️ Order late — install at risk",Y295="⚠️ Delivery after install date"),1,0)</f>
        <v/>
      </c>
      <c r="AI295" s="79">
        <f>IF(AND(B295&lt;&gt;"",K295&lt;&gt;"",U295&lt;&gt;"Yes",X295&lt;&gt;"Yes"),1,0)</f>
        <v/>
      </c>
      <c r="AJ295" s="79">
        <f>IF(Y295="⚠️ Order late — install at risk",1,0)</f>
        <v/>
      </c>
    </row>
    <row r="296" ht="20" customHeight="1">
      <c r="B296" s="72" t="n"/>
      <c r="C296" s="72" t="n"/>
      <c r="D296" s="72" t="n"/>
      <c r="E296" s="72" t="n"/>
      <c r="F296" s="73" t="n"/>
      <c r="G296" s="72" t="n"/>
      <c r="H296" s="73" t="n"/>
      <c r="I296" s="72" t="n"/>
      <c r="J296" s="73" t="n"/>
      <c r="K296" s="74" t="n"/>
      <c r="L296" s="75">
        <f>IF(K296="A",F296,IF(K296="B",H296,IF(K296="C",J296,"")))</f>
        <v/>
      </c>
      <c r="M296" s="72" t="n"/>
      <c r="N296" s="72" t="n"/>
      <c r="O296" s="89" t="n"/>
      <c r="P296" s="89" t="n"/>
      <c r="Q296" s="109" t="n"/>
      <c r="R296" s="120">
        <f>IF(B296="","",IF(Q296&lt;&gt;"",Q296,IF(P296="","",IFERROR(INDEX('Timeline'!$J$7:$J$1006,MATCH(P296,'Timeline'!$B$7:$B$1006,0)),""))))</f>
        <v/>
      </c>
      <c r="S296" s="126">
        <f>IF(R296="","",R296-IF(O296="",0,O296)-OrderBuf)</f>
        <v/>
      </c>
      <c r="T296" s="126">
        <f>IF(S296="","",S296-DecideBuf)</f>
        <v/>
      </c>
      <c r="U296" s="74" t="n"/>
      <c r="V296" s="109" t="n"/>
      <c r="W296" s="109" t="n"/>
      <c r="X296" s="74" t="n"/>
      <c r="Y296" s="116">
        <f>IF(B296="","",IF(X296="Yes","Delivered",IF(U296="Yes",IF(AND(W296&lt;&gt;"",R296&lt;&gt;""),IF(W296&gt;R296,"⚠️ Delivery after install date","Ordered"),"Ordered"),IF(K296="",IF(T296="","Waiting for decision",IF(T296&lt;=AsOf+AlertDays,"Decide now","Waiting for decision")),IF(S296="","Selected",IF(AsOf&gt;S296,"⚠️ Order late — install at risk",IF(S296&lt;=AsOf+AlertDays,"Order now","Selected")))))))</f>
        <v/>
      </c>
      <c r="Z296" s="79">
        <f>IF(B296="","",IF(OR(AH296=1,AE296=1),2,IF(OR(AG296=1,AF296=1),1,IF(OR(Y296="Ordered",Y296="Delivered"),0,""))))</f>
        <v/>
      </c>
      <c r="AA296" s="112">
        <f>IF(B296="","",IF(AH296=1,IF(Y296="⚠️ Delivery after install date",R296,S296),IF(AD296=1,T296,IF(AI296=1,S296,""))))</f>
        <v/>
      </c>
      <c r="AB296" s="79">
        <f>IF(AA296="","",IF(AH296=1,1,IF(AA296="","",IF(AA296&lt;AsOf,1,IF(AA296&lt;=AsOf+AlertDays,2,IF(AA296&lt;=AsOf+2*AlertDays,3,""))))))</f>
        <v/>
      </c>
      <c r="AC296" s="79">
        <f>IF(AB296="","",IF(AH296=1,IF(Y296="⚠️ Delivery after install date","Delivery after install date: "&amp;B296,"Order late — install at risk: "&amp;B296),IF(AD296=1,IF(AB296=1,"Decision overdue: ","Decide: ")&amp;B296,"Order: "&amp;B296&amp;IF(N296="",""," from "&amp;N296))))</f>
        <v/>
      </c>
      <c r="AD296" s="79">
        <f>IF(AND(B296&lt;&gt;"",K296="",U296&lt;&gt;"Yes",X296&lt;&gt;"Yes"),1,0)</f>
        <v/>
      </c>
      <c r="AE296" s="79">
        <f>IF(AND(AD296=1,T296&lt;&gt;""),IF(T296&lt;AsOf,1,0),0)</f>
        <v/>
      </c>
      <c r="AF296" s="79">
        <f>IF(AND(AD296=1,T296&lt;&gt;""),IF(AND(T296&gt;=AsOf,T296&lt;=AsOf+AlertDays),1,0),0)</f>
        <v/>
      </c>
      <c r="AG296" s="79">
        <f>IF(Y296="Order now",1,0)</f>
        <v/>
      </c>
      <c r="AH296" s="79">
        <f>IF(OR(Y296="⚠️ Order late — install at risk",Y296="⚠️ Delivery after install date"),1,0)</f>
        <v/>
      </c>
      <c r="AI296" s="79">
        <f>IF(AND(B296&lt;&gt;"",K296&lt;&gt;"",U296&lt;&gt;"Yes",X296&lt;&gt;"Yes"),1,0)</f>
        <v/>
      </c>
      <c r="AJ296" s="79">
        <f>IF(Y296="⚠️ Order late — install at risk",1,0)</f>
        <v/>
      </c>
    </row>
    <row r="297" ht="20" customHeight="1">
      <c r="B297" s="72" t="n"/>
      <c r="C297" s="72" t="n"/>
      <c r="D297" s="72" t="n"/>
      <c r="E297" s="72" t="n"/>
      <c r="F297" s="73" t="n"/>
      <c r="G297" s="72" t="n"/>
      <c r="H297" s="73" t="n"/>
      <c r="I297" s="72" t="n"/>
      <c r="J297" s="73" t="n"/>
      <c r="K297" s="74" t="n"/>
      <c r="L297" s="75">
        <f>IF(K297="A",F297,IF(K297="B",H297,IF(K297="C",J297,"")))</f>
        <v/>
      </c>
      <c r="M297" s="72" t="n"/>
      <c r="N297" s="72" t="n"/>
      <c r="O297" s="89" t="n"/>
      <c r="P297" s="89" t="n"/>
      <c r="Q297" s="109" t="n"/>
      <c r="R297" s="120">
        <f>IF(B297="","",IF(Q297&lt;&gt;"",Q297,IF(P297="","",IFERROR(INDEX('Timeline'!$J$7:$J$1006,MATCH(P297,'Timeline'!$B$7:$B$1006,0)),""))))</f>
        <v/>
      </c>
      <c r="S297" s="126">
        <f>IF(R297="","",R297-IF(O297="",0,O297)-OrderBuf)</f>
        <v/>
      </c>
      <c r="T297" s="126">
        <f>IF(S297="","",S297-DecideBuf)</f>
        <v/>
      </c>
      <c r="U297" s="74" t="n"/>
      <c r="V297" s="109" t="n"/>
      <c r="W297" s="109" t="n"/>
      <c r="X297" s="74" t="n"/>
      <c r="Y297" s="116">
        <f>IF(B297="","",IF(X297="Yes","Delivered",IF(U297="Yes",IF(AND(W297&lt;&gt;"",R297&lt;&gt;""),IF(W297&gt;R297,"⚠️ Delivery after install date","Ordered"),"Ordered"),IF(K297="",IF(T297="","Waiting for decision",IF(T297&lt;=AsOf+AlertDays,"Decide now","Waiting for decision")),IF(S297="","Selected",IF(AsOf&gt;S297,"⚠️ Order late — install at risk",IF(S297&lt;=AsOf+AlertDays,"Order now","Selected")))))))</f>
        <v/>
      </c>
      <c r="Z297" s="79">
        <f>IF(B297="","",IF(OR(AH297=1,AE297=1),2,IF(OR(AG297=1,AF297=1),1,IF(OR(Y297="Ordered",Y297="Delivered"),0,""))))</f>
        <v/>
      </c>
      <c r="AA297" s="112">
        <f>IF(B297="","",IF(AH297=1,IF(Y297="⚠️ Delivery after install date",R297,S297),IF(AD297=1,T297,IF(AI297=1,S297,""))))</f>
        <v/>
      </c>
      <c r="AB297" s="79">
        <f>IF(AA297="","",IF(AH297=1,1,IF(AA297="","",IF(AA297&lt;AsOf,1,IF(AA297&lt;=AsOf+AlertDays,2,IF(AA297&lt;=AsOf+2*AlertDays,3,""))))))</f>
        <v/>
      </c>
      <c r="AC297" s="79">
        <f>IF(AB297="","",IF(AH297=1,IF(Y297="⚠️ Delivery after install date","Delivery after install date: "&amp;B297,"Order late — install at risk: "&amp;B297),IF(AD297=1,IF(AB297=1,"Decision overdue: ","Decide: ")&amp;B297,"Order: "&amp;B297&amp;IF(N297="",""," from "&amp;N297))))</f>
        <v/>
      </c>
      <c r="AD297" s="79">
        <f>IF(AND(B297&lt;&gt;"",K297="",U297&lt;&gt;"Yes",X297&lt;&gt;"Yes"),1,0)</f>
        <v/>
      </c>
      <c r="AE297" s="79">
        <f>IF(AND(AD297=1,T297&lt;&gt;""),IF(T297&lt;AsOf,1,0),0)</f>
        <v/>
      </c>
      <c r="AF297" s="79">
        <f>IF(AND(AD297=1,T297&lt;&gt;""),IF(AND(T297&gt;=AsOf,T297&lt;=AsOf+AlertDays),1,0),0)</f>
        <v/>
      </c>
      <c r="AG297" s="79">
        <f>IF(Y297="Order now",1,0)</f>
        <v/>
      </c>
      <c r="AH297" s="79">
        <f>IF(OR(Y297="⚠️ Order late — install at risk",Y297="⚠️ Delivery after install date"),1,0)</f>
        <v/>
      </c>
      <c r="AI297" s="79">
        <f>IF(AND(B297&lt;&gt;"",K297&lt;&gt;"",U297&lt;&gt;"Yes",X297&lt;&gt;"Yes"),1,0)</f>
        <v/>
      </c>
      <c r="AJ297" s="79">
        <f>IF(Y297="⚠️ Order late — install at risk",1,0)</f>
        <v/>
      </c>
    </row>
    <row r="298" ht="20" customHeight="1">
      <c r="B298" s="72" t="n"/>
      <c r="C298" s="72" t="n"/>
      <c r="D298" s="72" t="n"/>
      <c r="E298" s="72" t="n"/>
      <c r="F298" s="73" t="n"/>
      <c r="G298" s="72" t="n"/>
      <c r="H298" s="73" t="n"/>
      <c r="I298" s="72" t="n"/>
      <c r="J298" s="73" t="n"/>
      <c r="K298" s="74" t="n"/>
      <c r="L298" s="75">
        <f>IF(K298="A",F298,IF(K298="B",H298,IF(K298="C",J298,"")))</f>
        <v/>
      </c>
      <c r="M298" s="72" t="n"/>
      <c r="N298" s="72" t="n"/>
      <c r="O298" s="89" t="n"/>
      <c r="P298" s="89" t="n"/>
      <c r="Q298" s="109" t="n"/>
      <c r="R298" s="120">
        <f>IF(B298="","",IF(Q298&lt;&gt;"",Q298,IF(P298="","",IFERROR(INDEX('Timeline'!$J$7:$J$1006,MATCH(P298,'Timeline'!$B$7:$B$1006,0)),""))))</f>
        <v/>
      </c>
      <c r="S298" s="126">
        <f>IF(R298="","",R298-IF(O298="",0,O298)-OrderBuf)</f>
        <v/>
      </c>
      <c r="T298" s="126">
        <f>IF(S298="","",S298-DecideBuf)</f>
        <v/>
      </c>
      <c r="U298" s="74" t="n"/>
      <c r="V298" s="109" t="n"/>
      <c r="W298" s="109" t="n"/>
      <c r="X298" s="74" t="n"/>
      <c r="Y298" s="116">
        <f>IF(B298="","",IF(X298="Yes","Delivered",IF(U298="Yes",IF(AND(W298&lt;&gt;"",R298&lt;&gt;""),IF(W298&gt;R298,"⚠️ Delivery after install date","Ordered"),"Ordered"),IF(K298="",IF(T298="","Waiting for decision",IF(T298&lt;=AsOf+AlertDays,"Decide now","Waiting for decision")),IF(S298="","Selected",IF(AsOf&gt;S298,"⚠️ Order late — install at risk",IF(S298&lt;=AsOf+AlertDays,"Order now","Selected")))))))</f>
        <v/>
      </c>
      <c r="Z298" s="79">
        <f>IF(B298="","",IF(OR(AH298=1,AE298=1),2,IF(OR(AG298=1,AF298=1),1,IF(OR(Y298="Ordered",Y298="Delivered"),0,""))))</f>
        <v/>
      </c>
      <c r="AA298" s="112">
        <f>IF(B298="","",IF(AH298=1,IF(Y298="⚠️ Delivery after install date",R298,S298),IF(AD298=1,T298,IF(AI298=1,S298,""))))</f>
        <v/>
      </c>
      <c r="AB298" s="79">
        <f>IF(AA298="","",IF(AH298=1,1,IF(AA298="","",IF(AA298&lt;AsOf,1,IF(AA298&lt;=AsOf+AlertDays,2,IF(AA298&lt;=AsOf+2*AlertDays,3,""))))))</f>
        <v/>
      </c>
      <c r="AC298" s="79">
        <f>IF(AB298="","",IF(AH298=1,IF(Y298="⚠️ Delivery after install date","Delivery after install date: "&amp;B298,"Order late — install at risk: "&amp;B298),IF(AD298=1,IF(AB298=1,"Decision overdue: ","Decide: ")&amp;B298,"Order: "&amp;B298&amp;IF(N298="",""," from "&amp;N298))))</f>
        <v/>
      </c>
      <c r="AD298" s="79">
        <f>IF(AND(B298&lt;&gt;"",K298="",U298&lt;&gt;"Yes",X298&lt;&gt;"Yes"),1,0)</f>
        <v/>
      </c>
      <c r="AE298" s="79">
        <f>IF(AND(AD298=1,T298&lt;&gt;""),IF(T298&lt;AsOf,1,0),0)</f>
        <v/>
      </c>
      <c r="AF298" s="79">
        <f>IF(AND(AD298=1,T298&lt;&gt;""),IF(AND(T298&gt;=AsOf,T298&lt;=AsOf+AlertDays),1,0),0)</f>
        <v/>
      </c>
      <c r="AG298" s="79">
        <f>IF(Y298="Order now",1,0)</f>
        <v/>
      </c>
      <c r="AH298" s="79">
        <f>IF(OR(Y298="⚠️ Order late — install at risk",Y298="⚠️ Delivery after install date"),1,0)</f>
        <v/>
      </c>
      <c r="AI298" s="79">
        <f>IF(AND(B298&lt;&gt;"",K298&lt;&gt;"",U298&lt;&gt;"Yes",X298&lt;&gt;"Yes"),1,0)</f>
        <v/>
      </c>
      <c r="AJ298" s="79">
        <f>IF(Y298="⚠️ Order late — install at risk",1,0)</f>
        <v/>
      </c>
    </row>
    <row r="299" ht="20" customHeight="1">
      <c r="B299" s="72" t="n"/>
      <c r="C299" s="72" t="n"/>
      <c r="D299" s="72" t="n"/>
      <c r="E299" s="72" t="n"/>
      <c r="F299" s="73" t="n"/>
      <c r="G299" s="72" t="n"/>
      <c r="H299" s="73" t="n"/>
      <c r="I299" s="72" t="n"/>
      <c r="J299" s="73" t="n"/>
      <c r="K299" s="74" t="n"/>
      <c r="L299" s="75">
        <f>IF(K299="A",F299,IF(K299="B",H299,IF(K299="C",J299,"")))</f>
        <v/>
      </c>
      <c r="M299" s="72" t="n"/>
      <c r="N299" s="72" t="n"/>
      <c r="O299" s="89" t="n"/>
      <c r="P299" s="89" t="n"/>
      <c r="Q299" s="109" t="n"/>
      <c r="R299" s="120">
        <f>IF(B299="","",IF(Q299&lt;&gt;"",Q299,IF(P299="","",IFERROR(INDEX('Timeline'!$J$7:$J$1006,MATCH(P299,'Timeline'!$B$7:$B$1006,0)),""))))</f>
        <v/>
      </c>
      <c r="S299" s="126">
        <f>IF(R299="","",R299-IF(O299="",0,O299)-OrderBuf)</f>
        <v/>
      </c>
      <c r="T299" s="126">
        <f>IF(S299="","",S299-DecideBuf)</f>
        <v/>
      </c>
      <c r="U299" s="74" t="n"/>
      <c r="V299" s="109" t="n"/>
      <c r="W299" s="109" t="n"/>
      <c r="X299" s="74" t="n"/>
      <c r="Y299" s="116">
        <f>IF(B299="","",IF(X299="Yes","Delivered",IF(U299="Yes",IF(AND(W299&lt;&gt;"",R299&lt;&gt;""),IF(W299&gt;R299,"⚠️ Delivery after install date","Ordered"),"Ordered"),IF(K299="",IF(T299="","Waiting for decision",IF(T299&lt;=AsOf+AlertDays,"Decide now","Waiting for decision")),IF(S299="","Selected",IF(AsOf&gt;S299,"⚠️ Order late — install at risk",IF(S299&lt;=AsOf+AlertDays,"Order now","Selected")))))))</f>
        <v/>
      </c>
      <c r="Z299" s="79">
        <f>IF(B299="","",IF(OR(AH299=1,AE299=1),2,IF(OR(AG299=1,AF299=1),1,IF(OR(Y299="Ordered",Y299="Delivered"),0,""))))</f>
        <v/>
      </c>
      <c r="AA299" s="112">
        <f>IF(B299="","",IF(AH299=1,IF(Y299="⚠️ Delivery after install date",R299,S299),IF(AD299=1,T299,IF(AI299=1,S299,""))))</f>
        <v/>
      </c>
      <c r="AB299" s="79">
        <f>IF(AA299="","",IF(AH299=1,1,IF(AA299="","",IF(AA299&lt;AsOf,1,IF(AA299&lt;=AsOf+AlertDays,2,IF(AA299&lt;=AsOf+2*AlertDays,3,""))))))</f>
        <v/>
      </c>
      <c r="AC299" s="79">
        <f>IF(AB299="","",IF(AH299=1,IF(Y299="⚠️ Delivery after install date","Delivery after install date: "&amp;B299,"Order late — install at risk: "&amp;B299),IF(AD299=1,IF(AB299=1,"Decision overdue: ","Decide: ")&amp;B299,"Order: "&amp;B299&amp;IF(N299="",""," from "&amp;N299))))</f>
        <v/>
      </c>
      <c r="AD299" s="79">
        <f>IF(AND(B299&lt;&gt;"",K299="",U299&lt;&gt;"Yes",X299&lt;&gt;"Yes"),1,0)</f>
        <v/>
      </c>
      <c r="AE299" s="79">
        <f>IF(AND(AD299=1,T299&lt;&gt;""),IF(T299&lt;AsOf,1,0),0)</f>
        <v/>
      </c>
      <c r="AF299" s="79">
        <f>IF(AND(AD299=1,T299&lt;&gt;""),IF(AND(T299&gt;=AsOf,T299&lt;=AsOf+AlertDays),1,0),0)</f>
        <v/>
      </c>
      <c r="AG299" s="79">
        <f>IF(Y299="Order now",1,0)</f>
        <v/>
      </c>
      <c r="AH299" s="79">
        <f>IF(OR(Y299="⚠️ Order late — install at risk",Y299="⚠️ Delivery after install date"),1,0)</f>
        <v/>
      </c>
      <c r="AI299" s="79">
        <f>IF(AND(B299&lt;&gt;"",K299&lt;&gt;"",U299&lt;&gt;"Yes",X299&lt;&gt;"Yes"),1,0)</f>
        <v/>
      </c>
      <c r="AJ299" s="79">
        <f>IF(Y299="⚠️ Order late — install at risk",1,0)</f>
        <v/>
      </c>
    </row>
    <row r="300" ht="20" customHeight="1">
      <c r="B300" s="72" t="n"/>
      <c r="C300" s="72" t="n"/>
      <c r="D300" s="72" t="n"/>
      <c r="E300" s="72" t="n"/>
      <c r="F300" s="73" t="n"/>
      <c r="G300" s="72" t="n"/>
      <c r="H300" s="73" t="n"/>
      <c r="I300" s="72" t="n"/>
      <c r="J300" s="73" t="n"/>
      <c r="K300" s="74" t="n"/>
      <c r="L300" s="75">
        <f>IF(K300="A",F300,IF(K300="B",H300,IF(K300="C",J300,"")))</f>
        <v/>
      </c>
      <c r="M300" s="72" t="n"/>
      <c r="N300" s="72" t="n"/>
      <c r="O300" s="89" t="n"/>
      <c r="P300" s="89" t="n"/>
      <c r="Q300" s="109" t="n"/>
      <c r="R300" s="120">
        <f>IF(B300="","",IF(Q300&lt;&gt;"",Q300,IF(P300="","",IFERROR(INDEX('Timeline'!$J$7:$J$1006,MATCH(P300,'Timeline'!$B$7:$B$1006,0)),""))))</f>
        <v/>
      </c>
      <c r="S300" s="126">
        <f>IF(R300="","",R300-IF(O300="",0,O300)-OrderBuf)</f>
        <v/>
      </c>
      <c r="T300" s="126">
        <f>IF(S300="","",S300-DecideBuf)</f>
        <v/>
      </c>
      <c r="U300" s="74" t="n"/>
      <c r="V300" s="109" t="n"/>
      <c r="W300" s="109" t="n"/>
      <c r="X300" s="74" t="n"/>
      <c r="Y300" s="116">
        <f>IF(B300="","",IF(X300="Yes","Delivered",IF(U300="Yes",IF(AND(W300&lt;&gt;"",R300&lt;&gt;""),IF(W300&gt;R300,"⚠️ Delivery after install date","Ordered"),"Ordered"),IF(K300="",IF(T300="","Waiting for decision",IF(T300&lt;=AsOf+AlertDays,"Decide now","Waiting for decision")),IF(S300="","Selected",IF(AsOf&gt;S300,"⚠️ Order late — install at risk",IF(S300&lt;=AsOf+AlertDays,"Order now","Selected")))))))</f>
        <v/>
      </c>
      <c r="Z300" s="79">
        <f>IF(B300="","",IF(OR(AH300=1,AE300=1),2,IF(OR(AG300=1,AF300=1),1,IF(OR(Y300="Ordered",Y300="Delivered"),0,""))))</f>
        <v/>
      </c>
      <c r="AA300" s="112">
        <f>IF(B300="","",IF(AH300=1,IF(Y300="⚠️ Delivery after install date",R300,S300),IF(AD300=1,T300,IF(AI300=1,S300,""))))</f>
        <v/>
      </c>
      <c r="AB300" s="79">
        <f>IF(AA300="","",IF(AH300=1,1,IF(AA300="","",IF(AA300&lt;AsOf,1,IF(AA300&lt;=AsOf+AlertDays,2,IF(AA300&lt;=AsOf+2*AlertDays,3,""))))))</f>
        <v/>
      </c>
      <c r="AC300" s="79">
        <f>IF(AB300="","",IF(AH300=1,IF(Y300="⚠️ Delivery after install date","Delivery after install date: "&amp;B300,"Order late — install at risk: "&amp;B300),IF(AD300=1,IF(AB300=1,"Decision overdue: ","Decide: ")&amp;B300,"Order: "&amp;B300&amp;IF(N300="",""," from "&amp;N300))))</f>
        <v/>
      </c>
      <c r="AD300" s="79">
        <f>IF(AND(B300&lt;&gt;"",K300="",U300&lt;&gt;"Yes",X300&lt;&gt;"Yes"),1,0)</f>
        <v/>
      </c>
      <c r="AE300" s="79">
        <f>IF(AND(AD300=1,T300&lt;&gt;""),IF(T300&lt;AsOf,1,0),0)</f>
        <v/>
      </c>
      <c r="AF300" s="79">
        <f>IF(AND(AD300=1,T300&lt;&gt;""),IF(AND(T300&gt;=AsOf,T300&lt;=AsOf+AlertDays),1,0),0)</f>
        <v/>
      </c>
      <c r="AG300" s="79">
        <f>IF(Y300="Order now",1,0)</f>
        <v/>
      </c>
      <c r="AH300" s="79">
        <f>IF(OR(Y300="⚠️ Order late — install at risk",Y300="⚠️ Delivery after install date"),1,0)</f>
        <v/>
      </c>
      <c r="AI300" s="79">
        <f>IF(AND(B300&lt;&gt;"",K300&lt;&gt;"",U300&lt;&gt;"Yes",X300&lt;&gt;"Yes"),1,0)</f>
        <v/>
      </c>
      <c r="AJ300" s="79">
        <f>IF(Y300="⚠️ Order late — install at risk",1,0)</f>
        <v/>
      </c>
    </row>
    <row r="301" ht="20" customHeight="1">
      <c r="B301" s="72" t="n"/>
      <c r="C301" s="72" t="n"/>
      <c r="D301" s="72" t="n"/>
      <c r="E301" s="72" t="n"/>
      <c r="F301" s="73" t="n"/>
      <c r="G301" s="72" t="n"/>
      <c r="H301" s="73" t="n"/>
      <c r="I301" s="72" t="n"/>
      <c r="J301" s="73" t="n"/>
      <c r="K301" s="74" t="n"/>
      <c r="L301" s="75">
        <f>IF(K301="A",F301,IF(K301="B",H301,IF(K301="C",J301,"")))</f>
        <v/>
      </c>
      <c r="M301" s="72" t="n"/>
      <c r="N301" s="72" t="n"/>
      <c r="O301" s="89" t="n"/>
      <c r="P301" s="89" t="n"/>
      <c r="Q301" s="109" t="n"/>
      <c r="R301" s="120">
        <f>IF(B301="","",IF(Q301&lt;&gt;"",Q301,IF(P301="","",IFERROR(INDEX('Timeline'!$J$7:$J$1006,MATCH(P301,'Timeline'!$B$7:$B$1006,0)),""))))</f>
        <v/>
      </c>
      <c r="S301" s="126">
        <f>IF(R301="","",R301-IF(O301="",0,O301)-OrderBuf)</f>
        <v/>
      </c>
      <c r="T301" s="126">
        <f>IF(S301="","",S301-DecideBuf)</f>
        <v/>
      </c>
      <c r="U301" s="74" t="n"/>
      <c r="V301" s="109" t="n"/>
      <c r="W301" s="109" t="n"/>
      <c r="X301" s="74" t="n"/>
      <c r="Y301" s="116">
        <f>IF(B301="","",IF(X301="Yes","Delivered",IF(U301="Yes",IF(AND(W301&lt;&gt;"",R301&lt;&gt;""),IF(W301&gt;R301,"⚠️ Delivery after install date","Ordered"),"Ordered"),IF(K301="",IF(T301="","Waiting for decision",IF(T301&lt;=AsOf+AlertDays,"Decide now","Waiting for decision")),IF(S301="","Selected",IF(AsOf&gt;S301,"⚠️ Order late — install at risk",IF(S301&lt;=AsOf+AlertDays,"Order now","Selected")))))))</f>
        <v/>
      </c>
      <c r="Z301" s="79">
        <f>IF(B301="","",IF(OR(AH301=1,AE301=1),2,IF(OR(AG301=1,AF301=1),1,IF(OR(Y301="Ordered",Y301="Delivered"),0,""))))</f>
        <v/>
      </c>
      <c r="AA301" s="112">
        <f>IF(B301="","",IF(AH301=1,IF(Y301="⚠️ Delivery after install date",R301,S301),IF(AD301=1,T301,IF(AI301=1,S301,""))))</f>
        <v/>
      </c>
      <c r="AB301" s="79">
        <f>IF(AA301="","",IF(AH301=1,1,IF(AA301="","",IF(AA301&lt;AsOf,1,IF(AA301&lt;=AsOf+AlertDays,2,IF(AA301&lt;=AsOf+2*AlertDays,3,""))))))</f>
        <v/>
      </c>
      <c r="AC301" s="79">
        <f>IF(AB301="","",IF(AH301=1,IF(Y301="⚠️ Delivery after install date","Delivery after install date: "&amp;B301,"Order late — install at risk: "&amp;B301),IF(AD301=1,IF(AB301=1,"Decision overdue: ","Decide: ")&amp;B301,"Order: "&amp;B301&amp;IF(N301="",""," from "&amp;N301))))</f>
        <v/>
      </c>
      <c r="AD301" s="79">
        <f>IF(AND(B301&lt;&gt;"",K301="",U301&lt;&gt;"Yes",X301&lt;&gt;"Yes"),1,0)</f>
        <v/>
      </c>
      <c r="AE301" s="79">
        <f>IF(AND(AD301=1,T301&lt;&gt;""),IF(T301&lt;AsOf,1,0),0)</f>
        <v/>
      </c>
      <c r="AF301" s="79">
        <f>IF(AND(AD301=1,T301&lt;&gt;""),IF(AND(T301&gt;=AsOf,T301&lt;=AsOf+AlertDays),1,0),0)</f>
        <v/>
      </c>
      <c r="AG301" s="79">
        <f>IF(Y301="Order now",1,0)</f>
        <v/>
      </c>
      <c r="AH301" s="79">
        <f>IF(OR(Y301="⚠️ Order late — install at risk",Y301="⚠️ Delivery after install date"),1,0)</f>
        <v/>
      </c>
      <c r="AI301" s="79">
        <f>IF(AND(B301&lt;&gt;"",K301&lt;&gt;"",U301&lt;&gt;"Yes",X301&lt;&gt;"Yes"),1,0)</f>
        <v/>
      </c>
      <c r="AJ301" s="79">
        <f>IF(Y301="⚠️ Order late — install at risk",1,0)</f>
        <v/>
      </c>
    </row>
    <row r="302" ht="20" customHeight="1">
      <c r="B302" s="72" t="n"/>
      <c r="C302" s="72" t="n"/>
      <c r="D302" s="72" t="n"/>
      <c r="E302" s="72" t="n"/>
      <c r="F302" s="73" t="n"/>
      <c r="G302" s="72" t="n"/>
      <c r="H302" s="73" t="n"/>
      <c r="I302" s="72" t="n"/>
      <c r="J302" s="73" t="n"/>
      <c r="K302" s="74" t="n"/>
      <c r="L302" s="75">
        <f>IF(K302="A",F302,IF(K302="B",H302,IF(K302="C",J302,"")))</f>
        <v/>
      </c>
      <c r="M302" s="72" t="n"/>
      <c r="N302" s="72" t="n"/>
      <c r="O302" s="89" t="n"/>
      <c r="P302" s="89" t="n"/>
      <c r="Q302" s="109" t="n"/>
      <c r="R302" s="120">
        <f>IF(B302="","",IF(Q302&lt;&gt;"",Q302,IF(P302="","",IFERROR(INDEX('Timeline'!$J$7:$J$1006,MATCH(P302,'Timeline'!$B$7:$B$1006,0)),""))))</f>
        <v/>
      </c>
      <c r="S302" s="126">
        <f>IF(R302="","",R302-IF(O302="",0,O302)-OrderBuf)</f>
        <v/>
      </c>
      <c r="T302" s="126">
        <f>IF(S302="","",S302-DecideBuf)</f>
        <v/>
      </c>
      <c r="U302" s="74" t="n"/>
      <c r="V302" s="109" t="n"/>
      <c r="W302" s="109" t="n"/>
      <c r="X302" s="74" t="n"/>
      <c r="Y302" s="116">
        <f>IF(B302="","",IF(X302="Yes","Delivered",IF(U302="Yes",IF(AND(W302&lt;&gt;"",R302&lt;&gt;""),IF(W302&gt;R302,"⚠️ Delivery after install date","Ordered"),"Ordered"),IF(K302="",IF(T302="","Waiting for decision",IF(T302&lt;=AsOf+AlertDays,"Decide now","Waiting for decision")),IF(S302="","Selected",IF(AsOf&gt;S302,"⚠️ Order late — install at risk",IF(S302&lt;=AsOf+AlertDays,"Order now","Selected")))))))</f>
        <v/>
      </c>
      <c r="Z302" s="79">
        <f>IF(B302="","",IF(OR(AH302=1,AE302=1),2,IF(OR(AG302=1,AF302=1),1,IF(OR(Y302="Ordered",Y302="Delivered"),0,""))))</f>
        <v/>
      </c>
      <c r="AA302" s="112">
        <f>IF(B302="","",IF(AH302=1,IF(Y302="⚠️ Delivery after install date",R302,S302),IF(AD302=1,T302,IF(AI302=1,S302,""))))</f>
        <v/>
      </c>
      <c r="AB302" s="79">
        <f>IF(AA302="","",IF(AH302=1,1,IF(AA302="","",IF(AA302&lt;AsOf,1,IF(AA302&lt;=AsOf+AlertDays,2,IF(AA302&lt;=AsOf+2*AlertDays,3,""))))))</f>
        <v/>
      </c>
      <c r="AC302" s="79">
        <f>IF(AB302="","",IF(AH302=1,IF(Y302="⚠️ Delivery after install date","Delivery after install date: "&amp;B302,"Order late — install at risk: "&amp;B302),IF(AD302=1,IF(AB302=1,"Decision overdue: ","Decide: ")&amp;B302,"Order: "&amp;B302&amp;IF(N302="",""," from "&amp;N302))))</f>
        <v/>
      </c>
      <c r="AD302" s="79">
        <f>IF(AND(B302&lt;&gt;"",K302="",U302&lt;&gt;"Yes",X302&lt;&gt;"Yes"),1,0)</f>
        <v/>
      </c>
      <c r="AE302" s="79">
        <f>IF(AND(AD302=1,T302&lt;&gt;""),IF(T302&lt;AsOf,1,0),0)</f>
        <v/>
      </c>
      <c r="AF302" s="79">
        <f>IF(AND(AD302=1,T302&lt;&gt;""),IF(AND(T302&gt;=AsOf,T302&lt;=AsOf+AlertDays),1,0),0)</f>
        <v/>
      </c>
      <c r="AG302" s="79">
        <f>IF(Y302="Order now",1,0)</f>
        <v/>
      </c>
      <c r="AH302" s="79">
        <f>IF(OR(Y302="⚠️ Order late — install at risk",Y302="⚠️ Delivery after install date"),1,0)</f>
        <v/>
      </c>
      <c r="AI302" s="79">
        <f>IF(AND(B302&lt;&gt;"",K302&lt;&gt;"",U302&lt;&gt;"Yes",X302&lt;&gt;"Yes"),1,0)</f>
        <v/>
      </c>
      <c r="AJ302" s="79">
        <f>IF(Y302="⚠️ Order late — install at risk",1,0)</f>
        <v/>
      </c>
    </row>
    <row r="303" ht="20" customHeight="1">
      <c r="B303" s="72" t="n"/>
      <c r="C303" s="72" t="n"/>
      <c r="D303" s="72" t="n"/>
      <c r="E303" s="72" t="n"/>
      <c r="F303" s="73" t="n"/>
      <c r="G303" s="72" t="n"/>
      <c r="H303" s="73" t="n"/>
      <c r="I303" s="72" t="n"/>
      <c r="J303" s="73" t="n"/>
      <c r="K303" s="74" t="n"/>
      <c r="L303" s="75">
        <f>IF(K303="A",F303,IF(K303="B",H303,IF(K303="C",J303,"")))</f>
        <v/>
      </c>
      <c r="M303" s="72" t="n"/>
      <c r="N303" s="72" t="n"/>
      <c r="O303" s="89" t="n"/>
      <c r="P303" s="89" t="n"/>
      <c r="Q303" s="109" t="n"/>
      <c r="R303" s="120">
        <f>IF(B303="","",IF(Q303&lt;&gt;"",Q303,IF(P303="","",IFERROR(INDEX('Timeline'!$J$7:$J$1006,MATCH(P303,'Timeline'!$B$7:$B$1006,0)),""))))</f>
        <v/>
      </c>
      <c r="S303" s="126">
        <f>IF(R303="","",R303-IF(O303="",0,O303)-OrderBuf)</f>
        <v/>
      </c>
      <c r="T303" s="126">
        <f>IF(S303="","",S303-DecideBuf)</f>
        <v/>
      </c>
      <c r="U303" s="74" t="n"/>
      <c r="V303" s="109" t="n"/>
      <c r="W303" s="109" t="n"/>
      <c r="X303" s="74" t="n"/>
      <c r="Y303" s="116">
        <f>IF(B303="","",IF(X303="Yes","Delivered",IF(U303="Yes",IF(AND(W303&lt;&gt;"",R303&lt;&gt;""),IF(W303&gt;R303,"⚠️ Delivery after install date","Ordered"),"Ordered"),IF(K303="",IF(T303="","Waiting for decision",IF(T303&lt;=AsOf+AlertDays,"Decide now","Waiting for decision")),IF(S303="","Selected",IF(AsOf&gt;S303,"⚠️ Order late — install at risk",IF(S303&lt;=AsOf+AlertDays,"Order now","Selected")))))))</f>
        <v/>
      </c>
      <c r="Z303" s="79">
        <f>IF(B303="","",IF(OR(AH303=1,AE303=1),2,IF(OR(AG303=1,AF303=1),1,IF(OR(Y303="Ordered",Y303="Delivered"),0,""))))</f>
        <v/>
      </c>
      <c r="AA303" s="112">
        <f>IF(B303="","",IF(AH303=1,IF(Y303="⚠️ Delivery after install date",R303,S303),IF(AD303=1,T303,IF(AI303=1,S303,""))))</f>
        <v/>
      </c>
      <c r="AB303" s="79">
        <f>IF(AA303="","",IF(AH303=1,1,IF(AA303="","",IF(AA303&lt;AsOf,1,IF(AA303&lt;=AsOf+AlertDays,2,IF(AA303&lt;=AsOf+2*AlertDays,3,""))))))</f>
        <v/>
      </c>
      <c r="AC303" s="79">
        <f>IF(AB303="","",IF(AH303=1,IF(Y303="⚠️ Delivery after install date","Delivery after install date: "&amp;B303,"Order late — install at risk: "&amp;B303),IF(AD303=1,IF(AB303=1,"Decision overdue: ","Decide: ")&amp;B303,"Order: "&amp;B303&amp;IF(N303="",""," from "&amp;N303))))</f>
        <v/>
      </c>
      <c r="AD303" s="79">
        <f>IF(AND(B303&lt;&gt;"",K303="",U303&lt;&gt;"Yes",X303&lt;&gt;"Yes"),1,0)</f>
        <v/>
      </c>
      <c r="AE303" s="79">
        <f>IF(AND(AD303=1,T303&lt;&gt;""),IF(T303&lt;AsOf,1,0),0)</f>
        <v/>
      </c>
      <c r="AF303" s="79">
        <f>IF(AND(AD303=1,T303&lt;&gt;""),IF(AND(T303&gt;=AsOf,T303&lt;=AsOf+AlertDays),1,0),0)</f>
        <v/>
      </c>
      <c r="AG303" s="79">
        <f>IF(Y303="Order now",1,0)</f>
        <v/>
      </c>
      <c r="AH303" s="79">
        <f>IF(OR(Y303="⚠️ Order late — install at risk",Y303="⚠️ Delivery after install date"),1,0)</f>
        <v/>
      </c>
      <c r="AI303" s="79">
        <f>IF(AND(B303&lt;&gt;"",K303&lt;&gt;"",U303&lt;&gt;"Yes",X303&lt;&gt;"Yes"),1,0)</f>
        <v/>
      </c>
      <c r="AJ303" s="79">
        <f>IF(Y303="⚠️ Order late — install at risk",1,0)</f>
        <v/>
      </c>
    </row>
    <row r="304" ht="20" customHeight="1">
      <c r="B304" s="72" t="n"/>
      <c r="C304" s="72" t="n"/>
      <c r="D304" s="72" t="n"/>
      <c r="E304" s="72" t="n"/>
      <c r="F304" s="73" t="n"/>
      <c r="G304" s="72" t="n"/>
      <c r="H304" s="73" t="n"/>
      <c r="I304" s="72" t="n"/>
      <c r="J304" s="73" t="n"/>
      <c r="K304" s="74" t="n"/>
      <c r="L304" s="75">
        <f>IF(K304="A",F304,IF(K304="B",H304,IF(K304="C",J304,"")))</f>
        <v/>
      </c>
      <c r="M304" s="72" t="n"/>
      <c r="N304" s="72" t="n"/>
      <c r="O304" s="89" t="n"/>
      <c r="P304" s="89" t="n"/>
      <c r="Q304" s="109" t="n"/>
      <c r="R304" s="120">
        <f>IF(B304="","",IF(Q304&lt;&gt;"",Q304,IF(P304="","",IFERROR(INDEX('Timeline'!$J$7:$J$1006,MATCH(P304,'Timeline'!$B$7:$B$1006,0)),""))))</f>
        <v/>
      </c>
      <c r="S304" s="126">
        <f>IF(R304="","",R304-IF(O304="",0,O304)-OrderBuf)</f>
        <v/>
      </c>
      <c r="T304" s="126">
        <f>IF(S304="","",S304-DecideBuf)</f>
        <v/>
      </c>
      <c r="U304" s="74" t="n"/>
      <c r="V304" s="109" t="n"/>
      <c r="W304" s="109" t="n"/>
      <c r="X304" s="74" t="n"/>
      <c r="Y304" s="116">
        <f>IF(B304="","",IF(X304="Yes","Delivered",IF(U304="Yes",IF(AND(W304&lt;&gt;"",R304&lt;&gt;""),IF(W304&gt;R304,"⚠️ Delivery after install date","Ordered"),"Ordered"),IF(K304="",IF(T304="","Waiting for decision",IF(T304&lt;=AsOf+AlertDays,"Decide now","Waiting for decision")),IF(S304="","Selected",IF(AsOf&gt;S304,"⚠️ Order late — install at risk",IF(S304&lt;=AsOf+AlertDays,"Order now","Selected")))))))</f>
        <v/>
      </c>
      <c r="Z304" s="79">
        <f>IF(B304="","",IF(OR(AH304=1,AE304=1),2,IF(OR(AG304=1,AF304=1),1,IF(OR(Y304="Ordered",Y304="Delivered"),0,""))))</f>
        <v/>
      </c>
      <c r="AA304" s="112">
        <f>IF(B304="","",IF(AH304=1,IF(Y304="⚠️ Delivery after install date",R304,S304),IF(AD304=1,T304,IF(AI304=1,S304,""))))</f>
        <v/>
      </c>
      <c r="AB304" s="79">
        <f>IF(AA304="","",IF(AH304=1,1,IF(AA304="","",IF(AA304&lt;AsOf,1,IF(AA304&lt;=AsOf+AlertDays,2,IF(AA304&lt;=AsOf+2*AlertDays,3,""))))))</f>
        <v/>
      </c>
      <c r="AC304" s="79">
        <f>IF(AB304="","",IF(AH304=1,IF(Y304="⚠️ Delivery after install date","Delivery after install date: "&amp;B304,"Order late — install at risk: "&amp;B304),IF(AD304=1,IF(AB304=1,"Decision overdue: ","Decide: ")&amp;B304,"Order: "&amp;B304&amp;IF(N304="",""," from "&amp;N304))))</f>
        <v/>
      </c>
      <c r="AD304" s="79">
        <f>IF(AND(B304&lt;&gt;"",K304="",U304&lt;&gt;"Yes",X304&lt;&gt;"Yes"),1,0)</f>
        <v/>
      </c>
      <c r="AE304" s="79">
        <f>IF(AND(AD304=1,T304&lt;&gt;""),IF(T304&lt;AsOf,1,0),0)</f>
        <v/>
      </c>
      <c r="AF304" s="79">
        <f>IF(AND(AD304=1,T304&lt;&gt;""),IF(AND(T304&gt;=AsOf,T304&lt;=AsOf+AlertDays),1,0),0)</f>
        <v/>
      </c>
      <c r="AG304" s="79">
        <f>IF(Y304="Order now",1,0)</f>
        <v/>
      </c>
      <c r="AH304" s="79">
        <f>IF(OR(Y304="⚠️ Order late — install at risk",Y304="⚠️ Delivery after install date"),1,0)</f>
        <v/>
      </c>
      <c r="AI304" s="79">
        <f>IF(AND(B304&lt;&gt;"",K304&lt;&gt;"",U304&lt;&gt;"Yes",X304&lt;&gt;"Yes"),1,0)</f>
        <v/>
      </c>
      <c r="AJ304" s="79">
        <f>IF(Y304="⚠️ Order late — install at risk",1,0)</f>
        <v/>
      </c>
    </row>
    <row r="305" ht="20" customHeight="1">
      <c r="B305" s="72" t="n"/>
      <c r="C305" s="72" t="n"/>
      <c r="D305" s="72" t="n"/>
      <c r="E305" s="72" t="n"/>
      <c r="F305" s="73" t="n"/>
      <c r="G305" s="72" t="n"/>
      <c r="H305" s="73" t="n"/>
      <c r="I305" s="72" t="n"/>
      <c r="J305" s="73" t="n"/>
      <c r="K305" s="74" t="n"/>
      <c r="L305" s="75">
        <f>IF(K305="A",F305,IF(K305="B",H305,IF(K305="C",J305,"")))</f>
        <v/>
      </c>
      <c r="M305" s="72" t="n"/>
      <c r="N305" s="72" t="n"/>
      <c r="O305" s="89" t="n"/>
      <c r="P305" s="89" t="n"/>
      <c r="Q305" s="109" t="n"/>
      <c r="R305" s="120">
        <f>IF(B305="","",IF(Q305&lt;&gt;"",Q305,IF(P305="","",IFERROR(INDEX('Timeline'!$J$7:$J$1006,MATCH(P305,'Timeline'!$B$7:$B$1006,0)),""))))</f>
        <v/>
      </c>
      <c r="S305" s="126">
        <f>IF(R305="","",R305-IF(O305="",0,O305)-OrderBuf)</f>
        <v/>
      </c>
      <c r="T305" s="126">
        <f>IF(S305="","",S305-DecideBuf)</f>
        <v/>
      </c>
      <c r="U305" s="74" t="n"/>
      <c r="V305" s="109" t="n"/>
      <c r="W305" s="109" t="n"/>
      <c r="X305" s="74" t="n"/>
      <c r="Y305" s="116">
        <f>IF(B305="","",IF(X305="Yes","Delivered",IF(U305="Yes",IF(AND(W305&lt;&gt;"",R305&lt;&gt;""),IF(W305&gt;R305,"⚠️ Delivery after install date","Ordered"),"Ordered"),IF(K305="",IF(T305="","Waiting for decision",IF(T305&lt;=AsOf+AlertDays,"Decide now","Waiting for decision")),IF(S305="","Selected",IF(AsOf&gt;S305,"⚠️ Order late — install at risk",IF(S305&lt;=AsOf+AlertDays,"Order now","Selected")))))))</f>
        <v/>
      </c>
      <c r="Z305" s="79">
        <f>IF(B305="","",IF(OR(AH305=1,AE305=1),2,IF(OR(AG305=1,AF305=1),1,IF(OR(Y305="Ordered",Y305="Delivered"),0,""))))</f>
        <v/>
      </c>
      <c r="AA305" s="112">
        <f>IF(B305="","",IF(AH305=1,IF(Y305="⚠️ Delivery after install date",R305,S305),IF(AD305=1,T305,IF(AI305=1,S305,""))))</f>
        <v/>
      </c>
      <c r="AB305" s="79">
        <f>IF(AA305="","",IF(AH305=1,1,IF(AA305="","",IF(AA305&lt;AsOf,1,IF(AA305&lt;=AsOf+AlertDays,2,IF(AA305&lt;=AsOf+2*AlertDays,3,""))))))</f>
        <v/>
      </c>
      <c r="AC305" s="79">
        <f>IF(AB305="","",IF(AH305=1,IF(Y305="⚠️ Delivery after install date","Delivery after install date: "&amp;B305,"Order late — install at risk: "&amp;B305),IF(AD305=1,IF(AB305=1,"Decision overdue: ","Decide: ")&amp;B305,"Order: "&amp;B305&amp;IF(N305="",""," from "&amp;N305))))</f>
        <v/>
      </c>
      <c r="AD305" s="79">
        <f>IF(AND(B305&lt;&gt;"",K305="",U305&lt;&gt;"Yes",X305&lt;&gt;"Yes"),1,0)</f>
        <v/>
      </c>
      <c r="AE305" s="79">
        <f>IF(AND(AD305=1,T305&lt;&gt;""),IF(T305&lt;AsOf,1,0),0)</f>
        <v/>
      </c>
      <c r="AF305" s="79">
        <f>IF(AND(AD305=1,T305&lt;&gt;""),IF(AND(T305&gt;=AsOf,T305&lt;=AsOf+AlertDays),1,0),0)</f>
        <v/>
      </c>
      <c r="AG305" s="79">
        <f>IF(Y305="Order now",1,0)</f>
        <v/>
      </c>
      <c r="AH305" s="79">
        <f>IF(OR(Y305="⚠️ Order late — install at risk",Y305="⚠️ Delivery after install date"),1,0)</f>
        <v/>
      </c>
      <c r="AI305" s="79">
        <f>IF(AND(B305&lt;&gt;"",K305&lt;&gt;"",U305&lt;&gt;"Yes",X305&lt;&gt;"Yes"),1,0)</f>
        <v/>
      </c>
      <c r="AJ305" s="79">
        <f>IF(Y305="⚠️ Order late — install at risk",1,0)</f>
        <v/>
      </c>
    </row>
    <row r="306" ht="20" customHeight="1">
      <c r="B306" s="72" t="n"/>
      <c r="C306" s="72" t="n"/>
      <c r="D306" s="72" t="n"/>
      <c r="E306" s="72" t="n"/>
      <c r="F306" s="73" t="n"/>
      <c r="G306" s="72" t="n"/>
      <c r="H306" s="73" t="n"/>
      <c r="I306" s="72" t="n"/>
      <c r="J306" s="73" t="n"/>
      <c r="K306" s="74" t="n"/>
      <c r="L306" s="75">
        <f>IF(K306="A",F306,IF(K306="B",H306,IF(K306="C",J306,"")))</f>
        <v/>
      </c>
      <c r="M306" s="72" t="n"/>
      <c r="N306" s="72" t="n"/>
      <c r="O306" s="89" t="n"/>
      <c r="P306" s="89" t="n"/>
      <c r="Q306" s="109" t="n"/>
      <c r="R306" s="120">
        <f>IF(B306="","",IF(Q306&lt;&gt;"",Q306,IF(P306="","",IFERROR(INDEX('Timeline'!$J$7:$J$1006,MATCH(P306,'Timeline'!$B$7:$B$1006,0)),""))))</f>
        <v/>
      </c>
      <c r="S306" s="126">
        <f>IF(R306="","",R306-IF(O306="",0,O306)-OrderBuf)</f>
        <v/>
      </c>
      <c r="T306" s="126">
        <f>IF(S306="","",S306-DecideBuf)</f>
        <v/>
      </c>
      <c r="U306" s="74" t="n"/>
      <c r="V306" s="109" t="n"/>
      <c r="W306" s="109" t="n"/>
      <c r="X306" s="74" t="n"/>
      <c r="Y306" s="116">
        <f>IF(B306="","",IF(X306="Yes","Delivered",IF(U306="Yes",IF(AND(W306&lt;&gt;"",R306&lt;&gt;""),IF(W306&gt;R306,"⚠️ Delivery after install date","Ordered"),"Ordered"),IF(K306="",IF(T306="","Waiting for decision",IF(T306&lt;=AsOf+AlertDays,"Decide now","Waiting for decision")),IF(S306="","Selected",IF(AsOf&gt;S306,"⚠️ Order late — install at risk",IF(S306&lt;=AsOf+AlertDays,"Order now","Selected")))))))</f>
        <v/>
      </c>
      <c r="Z306" s="79">
        <f>IF(B306="","",IF(OR(AH306=1,AE306=1),2,IF(OR(AG306=1,AF306=1),1,IF(OR(Y306="Ordered",Y306="Delivered"),0,""))))</f>
        <v/>
      </c>
      <c r="AA306" s="112">
        <f>IF(B306="","",IF(AH306=1,IF(Y306="⚠️ Delivery after install date",R306,S306),IF(AD306=1,T306,IF(AI306=1,S306,""))))</f>
        <v/>
      </c>
      <c r="AB306" s="79">
        <f>IF(AA306="","",IF(AH306=1,1,IF(AA306="","",IF(AA306&lt;AsOf,1,IF(AA306&lt;=AsOf+AlertDays,2,IF(AA306&lt;=AsOf+2*AlertDays,3,""))))))</f>
        <v/>
      </c>
      <c r="AC306" s="79">
        <f>IF(AB306="","",IF(AH306=1,IF(Y306="⚠️ Delivery after install date","Delivery after install date: "&amp;B306,"Order late — install at risk: "&amp;B306),IF(AD306=1,IF(AB306=1,"Decision overdue: ","Decide: ")&amp;B306,"Order: "&amp;B306&amp;IF(N306="",""," from "&amp;N306))))</f>
        <v/>
      </c>
      <c r="AD306" s="79">
        <f>IF(AND(B306&lt;&gt;"",K306="",U306&lt;&gt;"Yes",X306&lt;&gt;"Yes"),1,0)</f>
        <v/>
      </c>
      <c r="AE306" s="79">
        <f>IF(AND(AD306=1,T306&lt;&gt;""),IF(T306&lt;AsOf,1,0),0)</f>
        <v/>
      </c>
      <c r="AF306" s="79">
        <f>IF(AND(AD306=1,T306&lt;&gt;""),IF(AND(T306&gt;=AsOf,T306&lt;=AsOf+AlertDays),1,0),0)</f>
        <v/>
      </c>
      <c r="AG306" s="79">
        <f>IF(Y306="Order now",1,0)</f>
        <v/>
      </c>
      <c r="AH306" s="79">
        <f>IF(OR(Y306="⚠️ Order late — install at risk",Y306="⚠️ Delivery after install date"),1,0)</f>
        <v/>
      </c>
      <c r="AI306" s="79">
        <f>IF(AND(B306&lt;&gt;"",K306&lt;&gt;"",U306&lt;&gt;"Yes",X306&lt;&gt;"Yes"),1,0)</f>
        <v/>
      </c>
      <c r="AJ306" s="79">
        <f>IF(Y306="⚠️ Order late — install at risk",1,0)</f>
        <v/>
      </c>
    </row>
    <row r="307" ht="20" customHeight="1">
      <c r="B307" s="72" t="n"/>
      <c r="C307" s="72" t="n"/>
      <c r="D307" s="72" t="n"/>
      <c r="E307" s="72" t="n"/>
      <c r="F307" s="73" t="n"/>
      <c r="G307" s="72" t="n"/>
      <c r="H307" s="73" t="n"/>
      <c r="I307" s="72" t="n"/>
      <c r="J307" s="73" t="n"/>
      <c r="K307" s="74" t="n"/>
      <c r="L307" s="75">
        <f>IF(K307="A",F307,IF(K307="B",H307,IF(K307="C",J307,"")))</f>
        <v/>
      </c>
      <c r="M307" s="72" t="n"/>
      <c r="N307" s="72" t="n"/>
      <c r="O307" s="89" t="n"/>
      <c r="P307" s="89" t="n"/>
      <c r="Q307" s="109" t="n"/>
      <c r="R307" s="120">
        <f>IF(B307="","",IF(Q307&lt;&gt;"",Q307,IF(P307="","",IFERROR(INDEX('Timeline'!$J$7:$J$1006,MATCH(P307,'Timeline'!$B$7:$B$1006,0)),""))))</f>
        <v/>
      </c>
      <c r="S307" s="126">
        <f>IF(R307="","",R307-IF(O307="",0,O307)-OrderBuf)</f>
        <v/>
      </c>
      <c r="T307" s="126">
        <f>IF(S307="","",S307-DecideBuf)</f>
        <v/>
      </c>
      <c r="U307" s="74" t="n"/>
      <c r="V307" s="109" t="n"/>
      <c r="W307" s="109" t="n"/>
      <c r="X307" s="74" t="n"/>
      <c r="Y307" s="116">
        <f>IF(B307="","",IF(X307="Yes","Delivered",IF(U307="Yes",IF(AND(W307&lt;&gt;"",R307&lt;&gt;""),IF(W307&gt;R307,"⚠️ Delivery after install date","Ordered"),"Ordered"),IF(K307="",IF(T307="","Waiting for decision",IF(T307&lt;=AsOf+AlertDays,"Decide now","Waiting for decision")),IF(S307="","Selected",IF(AsOf&gt;S307,"⚠️ Order late — install at risk",IF(S307&lt;=AsOf+AlertDays,"Order now","Selected")))))))</f>
        <v/>
      </c>
      <c r="Z307" s="79">
        <f>IF(B307="","",IF(OR(AH307=1,AE307=1),2,IF(OR(AG307=1,AF307=1),1,IF(OR(Y307="Ordered",Y307="Delivered"),0,""))))</f>
        <v/>
      </c>
      <c r="AA307" s="112">
        <f>IF(B307="","",IF(AH307=1,IF(Y307="⚠️ Delivery after install date",R307,S307),IF(AD307=1,T307,IF(AI307=1,S307,""))))</f>
        <v/>
      </c>
      <c r="AB307" s="79">
        <f>IF(AA307="","",IF(AH307=1,1,IF(AA307="","",IF(AA307&lt;AsOf,1,IF(AA307&lt;=AsOf+AlertDays,2,IF(AA307&lt;=AsOf+2*AlertDays,3,""))))))</f>
        <v/>
      </c>
      <c r="AC307" s="79">
        <f>IF(AB307="","",IF(AH307=1,IF(Y307="⚠️ Delivery after install date","Delivery after install date: "&amp;B307,"Order late — install at risk: "&amp;B307),IF(AD307=1,IF(AB307=1,"Decision overdue: ","Decide: ")&amp;B307,"Order: "&amp;B307&amp;IF(N307="",""," from "&amp;N307))))</f>
        <v/>
      </c>
      <c r="AD307" s="79">
        <f>IF(AND(B307&lt;&gt;"",K307="",U307&lt;&gt;"Yes",X307&lt;&gt;"Yes"),1,0)</f>
        <v/>
      </c>
      <c r="AE307" s="79">
        <f>IF(AND(AD307=1,T307&lt;&gt;""),IF(T307&lt;AsOf,1,0),0)</f>
        <v/>
      </c>
      <c r="AF307" s="79">
        <f>IF(AND(AD307=1,T307&lt;&gt;""),IF(AND(T307&gt;=AsOf,T307&lt;=AsOf+AlertDays),1,0),0)</f>
        <v/>
      </c>
      <c r="AG307" s="79">
        <f>IF(Y307="Order now",1,0)</f>
        <v/>
      </c>
      <c r="AH307" s="79">
        <f>IF(OR(Y307="⚠️ Order late — install at risk",Y307="⚠️ Delivery after install date"),1,0)</f>
        <v/>
      </c>
      <c r="AI307" s="79">
        <f>IF(AND(B307&lt;&gt;"",K307&lt;&gt;"",U307&lt;&gt;"Yes",X307&lt;&gt;"Yes"),1,0)</f>
        <v/>
      </c>
      <c r="AJ307" s="79">
        <f>IF(Y307="⚠️ Order late — install at risk",1,0)</f>
        <v/>
      </c>
    </row>
    <row r="308" ht="20" customHeight="1">
      <c r="B308" s="72" t="n"/>
      <c r="C308" s="72" t="n"/>
      <c r="D308" s="72" t="n"/>
      <c r="E308" s="72" t="n"/>
      <c r="F308" s="73" t="n"/>
      <c r="G308" s="72" t="n"/>
      <c r="H308" s="73" t="n"/>
      <c r="I308" s="72" t="n"/>
      <c r="J308" s="73" t="n"/>
      <c r="K308" s="74" t="n"/>
      <c r="L308" s="75">
        <f>IF(K308="A",F308,IF(K308="B",H308,IF(K308="C",J308,"")))</f>
        <v/>
      </c>
      <c r="M308" s="72" t="n"/>
      <c r="N308" s="72" t="n"/>
      <c r="O308" s="89" t="n"/>
      <c r="P308" s="89" t="n"/>
      <c r="Q308" s="109" t="n"/>
      <c r="R308" s="120">
        <f>IF(B308="","",IF(Q308&lt;&gt;"",Q308,IF(P308="","",IFERROR(INDEX('Timeline'!$J$7:$J$1006,MATCH(P308,'Timeline'!$B$7:$B$1006,0)),""))))</f>
        <v/>
      </c>
      <c r="S308" s="126">
        <f>IF(R308="","",R308-IF(O308="",0,O308)-OrderBuf)</f>
        <v/>
      </c>
      <c r="T308" s="126">
        <f>IF(S308="","",S308-DecideBuf)</f>
        <v/>
      </c>
      <c r="U308" s="74" t="n"/>
      <c r="V308" s="109" t="n"/>
      <c r="W308" s="109" t="n"/>
      <c r="X308" s="74" t="n"/>
      <c r="Y308" s="116">
        <f>IF(B308="","",IF(X308="Yes","Delivered",IF(U308="Yes",IF(AND(W308&lt;&gt;"",R308&lt;&gt;""),IF(W308&gt;R308,"⚠️ Delivery after install date","Ordered"),"Ordered"),IF(K308="",IF(T308="","Waiting for decision",IF(T308&lt;=AsOf+AlertDays,"Decide now","Waiting for decision")),IF(S308="","Selected",IF(AsOf&gt;S308,"⚠️ Order late — install at risk",IF(S308&lt;=AsOf+AlertDays,"Order now","Selected")))))))</f>
        <v/>
      </c>
      <c r="Z308" s="79">
        <f>IF(B308="","",IF(OR(AH308=1,AE308=1),2,IF(OR(AG308=1,AF308=1),1,IF(OR(Y308="Ordered",Y308="Delivered"),0,""))))</f>
        <v/>
      </c>
      <c r="AA308" s="112">
        <f>IF(B308="","",IF(AH308=1,IF(Y308="⚠️ Delivery after install date",R308,S308),IF(AD308=1,T308,IF(AI308=1,S308,""))))</f>
        <v/>
      </c>
      <c r="AB308" s="79">
        <f>IF(AA308="","",IF(AH308=1,1,IF(AA308="","",IF(AA308&lt;AsOf,1,IF(AA308&lt;=AsOf+AlertDays,2,IF(AA308&lt;=AsOf+2*AlertDays,3,""))))))</f>
        <v/>
      </c>
      <c r="AC308" s="79">
        <f>IF(AB308="","",IF(AH308=1,IF(Y308="⚠️ Delivery after install date","Delivery after install date: "&amp;B308,"Order late — install at risk: "&amp;B308),IF(AD308=1,IF(AB308=1,"Decision overdue: ","Decide: ")&amp;B308,"Order: "&amp;B308&amp;IF(N308="",""," from "&amp;N308))))</f>
        <v/>
      </c>
      <c r="AD308" s="79">
        <f>IF(AND(B308&lt;&gt;"",K308="",U308&lt;&gt;"Yes",X308&lt;&gt;"Yes"),1,0)</f>
        <v/>
      </c>
      <c r="AE308" s="79">
        <f>IF(AND(AD308=1,T308&lt;&gt;""),IF(T308&lt;AsOf,1,0),0)</f>
        <v/>
      </c>
      <c r="AF308" s="79">
        <f>IF(AND(AD308=1,T308&lt;&gt;""),IF(AND(T308&gt;=AsOf,T308&lt;=AsOf+AlertDays),1,0),0)</f>
        <v/>
      </c>
      <c r="AG308" s="79">
        <f>IF(Y308="Order now",1,0)</f>
        <v/>
      </c>
      <c r="AH308" s="79">
        <f>IF(OR(Y308="⚠️ Order late — install at risk",Y308="⚠️ Delivery after install date"),1,0)</f>
        <v/>
      </c>
      <c r="AI308" s="79">
        <f>IF(AND(B308&lt;&gt;"",K308&lt;&gt;"",U308&lt;&gt;"Yes",X308&lt;&gt;"Yes"),1,0)</f>
        <v/>
      </c>
      <c r="AJ308" s="79">
        <f>IF(Y308="⚠️ Order late — install at risk",1,0)</f>
        <v/>
      </c>
    </row>
    <row r="309" ht="20" customHeight="1">
      <c r="B309" s="72" t="n"/>
      <c r="C309" s="72" t="n"/>
      <c r="D309" s="72" t="n"/>
      <c r="E309" s="72" t="n"/>
      <c r="F309" s="73" t="n"/>
      <c r="G309" s="72" t="n"/>
      <c r="H309" s="73" t="n"/>
      <c r="I309" s="72" t="n"/>
      <c r="J309" s="73" t="n"/>
      <c r="K309" s="74" t="n"/>
      <c r="L309" s="75">
        <f>IF(K309="A",F309,IF(K309="B",H309,IF(K309="C",J309,"")))</f>
        <v/>
      </c>
      <c r="M309" s="72" t="n"/>
      <c r="N309" s="72" t="n"/>
      <c r="O309" s="89" t="n"/>
      <c r="P309" s="89" t="n"/>
      <c r="Q309" s="109" t="n"/>
      <c r="R309" s="120">
        <f>IF(B309="","",IF(Q309&lt;&gt;"",Q309,IF(P309="","",IFERROR(INDEX('Timeline'!$J$7:$J$1006,MATCH(P309,'Timeline'!$B$7:$B$1006,0)),""))))</f>
        <v/>
      </c>
      <c r="S309" s="126">
        <f>IF(R309="","",R309-IF(O309="",0,O309)-OrderBuf)</f>
        <v/>
      </c>
      <c r="T309" s="126">
        <f>IF(S309="","",S309-DecideBuf)</f>
        <v/>
      </c>
      <c r="U309" s="74" t="n"/>
      <c r="V309" s="109" t="n"/>
      <c r="W309" s="109" t="n"/>
      <c r="X309" s="74" t="n"/>
      <c r="Y309" s="116">
        <f>IF(B309="","",IF(X309="Yes","Delivered",IF(U309="Yes",IF(AND(W309&lt;&gt;"",R309&lt;&gt;""),IF(W309&gt;R309,"⚠️ Delivery after install date","Ordered"),"Ordered"),IF(K309="",IF(T309="","Waiting for decision",IF(T309&lt;=AsOf+AlertDays,"Decide now","Waiting for decision")),IF(S309="","Selected",IF(AsOf&gt;S309,"⚠️ Order late — install at risk",IF(S309&lt;=AsOf+AlertDays,"Order now","Selected")))))))</f>
        <v/>
      </c>
      <c r="Z309" s="79">
        <f>IF(B309="","",IF(OR(AH309=1,AE309=1),2,IF(OR(AG309=1,AF309=1),1,IF(OR(Y309="Ordered",Y309="Delivered"),0,""))))</f>
        <v/>
      </c>
      <c r="AA309" s="112">
        <f>IF(B309="","",IF(AH309=1,IF(Y309="⚠️ Delivery after install date",R309,S309),IF(AD309=1,T309,IF(AI309=1,S309,""))))</f>
        <v/>
      </c>
      <c r="AB309" s="79">
        <f>IF(AA309="","",IF(AH309=1,1,IF(AA309="","",IF(AA309&lt;AsOf,1,IF(AA309&lt;=AsOf+AlertDays,2,IF(AA309&lt;=AsOf+2*AlertDays,3,""))))))</f>
        <v/>
      </c>
      <c r="AC309" s="79">
        <f>IF(AB309="","",IF(AH309=1,IF(Y309="⚠️ Delivery after install date","Delivery after install date: "&amp;B309,"Order late — install at risk: "&amp;B309),IF(AD309=1,IF(AB309=1,"Decision overdue: ","Decide: ")&amp;B309,"Order: "&amp;B309&amp;IF(N309="",""," from "&amp;N309))))</f>
        <v/>
      </c>
      <c r="AD309" s="79">
        <f>IF(AND(B309&lt;&gt;"",K309="",U309&lt;&gt;"Yes",X309&lt;&gt;"Yes"),1,0)</f>
        <v/>
      </c>
      <c r="AE309" s="79">
        <f>IF(AND(AD309=1,T309&lt;&gt;""),IF(T309&lt;AsOf,1,0),0)</f>
        <v/>
      </c>
      <c r="AF309" s="79">
        <f>IF(AND(AD309=1,T309&lt;&gt;""),IF(AND(T309&gt;=AsOf,T309&lt;=AsOf+AlertDays),1,0),0)</f>
        <v/>
      </c>
      <c r="AG309" s="79">
        <f>IF(Y309="Order now",1,0)</f>
        <v/>
      </c>
      <c r="AH309" s="79">
        <f>IF(OR(Y309="⚠️ Order late — install at risk",Y309="⚠️ Delivery after install date"),1,0)</f>
        <v/>
      </c>
      <c r="AI309" s="79">
        <f>IF(AND(B309&lt;&gt;"",K309&lt;&gt;"",U309&lt;&gt;"Yes",X309&lt;&gt;"Yes"),1,0)</f>
        <v/>
      </c>
      <c r="AJ309" s="79">
        <f>IF(Y309="⚠️ Order late — install at risk",1,0)</f>
        <v/>
      </c>
    </row>
    <row r="310" ht="20" customHeight="1">
      <c r="B310" s="72" t="n"/>
      <c r="C310" s="72" t="n"/>
      <c r="D310" s="72" t="n"/>
      <c r="E310" s="72" t="n"/>
      <c r="F310" s="73" t="n"/>
      <c r="G310" s="72" t="n"/>
      <c r="H310" s="73" t="n"/>
      <c r="I310" s="72" t="n"/>
      <c r="J310" s="73" t="n"/>
      <c r="K310" s="74" t="n"/>
      <c r="L310" s="75">
        <f>IF(K310="A",F310,IF(K310="B",H310,IF(K310="C",J310,"")))</f>
        <v/>
      </c>
      <c r="M310" s="72" t="n"/>
      <c r="N310" s="72" t="n"/>
      <c r="O310" s="89" t="n"/>
      <c r="P310" s="89" t="n"/>
      <c r="Q310" s="109" t="n"/>
      <c r="R310" s="120">
        <f>IF(B310="","",IF(Q310&lt;&gt;"",Q310,IF(P310="","",IFERROR(INDEX('Timeline'!$J$7:$J$1006,MATCH(P310,'Timeline'!$B$7:$B$1006,0)),""))))</f>
        <v/>
      </c>
      <c r="S310" s="126">
        <f>IF(R310="","",R310-IF(O310="",0,O310)-OrderBuf)</f>
        <v/>
      </c>
      <c r="T310" s="126">
        <f>IF(S310="","",S310-DecideBuf)</f>
        <v/>
      </c>
      <c r="U310" s="74" t="n"/>
      <c r="V310" s="109" t="n"/>
      <c r="W310" s="109" t="n"/>
      <c r="X310" s="74" t="n"/>
      <c r="Y310" s="116">
        <f>IF(B310="","",IF(X310="Yes","Delivered",IF(U310="Yes",IF(AND(W310&lt;&gt;"",R310&lt;&gt;""),IF(W310&gt;R310,"⚠️ Delivery after install date","Ordered"),"Ordered"),IF(K310="",IF(T310="","Waiting for decision",IF(T310&lt;=AsOf+AlertDays,"Decide now","Waiting for decision")),IF(S310="","Selected",IF(AsOf&gt;S310,"⚠️ Order late — install at risk",IF(S310&lt;=AsOf+AlertDays,"Order now","Selected")))))))</f>
        <v/>
      </c>
      <c r="Z310" s="79">
        <f>IF(B310="","",IF(OR(AH310=1,AE310=1),2,IF(OR(AG310=1,AF310=1),1,IF(OR(Y310="Ordered",Y310="Delivered"),0,""))))</f>
        <v/>
      </c>
      <c r="AA310" s="112">
        <f>IF(B310="","",IF(AH310=1,IF(Y310="⚠️ Delivery after install date",R310,S310),IF(AD310=1,T310,IF(AI310=1,S310,""))))</f>
        <v/>
      </c>
      <c r="AB310" s="79">
        <f>IF(AA310="","",IF(AH310=1,1,IF(AA310="","",IF(AA310&lt;AsOf,1,IF(AA310&lt;=AsOf+AlertDays,2,IF(AA310&lt;=AsOf+2*AlertDays,3,""))))))</f>
        <v/>
      </c>
      <c r="AC310" s="79">
        <f>IF(AB310="","",IF(AH310=1,IF(Y310="⚠️ Delivery after install date","Delivery after install date: "&amp;B310,"Order late — install at risk: "&amp;B310),IF(AD310=1,IF(AB310=1,"Decision overdue: ","Decide: ")&amp;B310,"Order: "&amp;B310&amp;IF(N310="",""," from "&amp;N310))))</f>
        <v/>
      </c>
      <c r="AD310" s="79">
        <f>IF(AND(B310&lt;&gt;"",K310="",U310&lt;&gt;"Yes",X310&lt;&gt;"Yes"),1,0)</f>
        <v/>
      </c>
      <c r="AE310" s="79">
        <f>IF(AND(AD310=1,T310&lt;&gt;""),IF(T310&lt;AsOf,1,0),0)</f>
        <v/>
      </c>
      <c r="AF310" s="79">
        <f>IF(AND(AD310=1,T310&lt;&gt;""),IF(AND(T310&gt;=AsOf,T310&lt;=AsOf+AlertDays),1,0),0)</f>
        <v/>
      </c>
      <c r="AG310" s="79">
        <f>IF(Y310="Order now",1,0)</f>
        <v/>
      </c>
      <c r="AH310" s="79">
        <f>IF(OR(Y310="⚠️ Order late — install at risk",Y310="⚠️ Delivery after install date"),1,0)</f>
        <v/>
      </c>
      <c r="AI310" s="79">
        <f>IF(AND(B310&lt;&gt;"",K310&lt;&gt;"",U310&lt;&gt;"Yes",X310&lt;&gt;"Yes"),1,0)</f>
        <v/>
      </c>
      <c r="AJ310" s="79">
        <f>IF(Y310="⚠️ Order late — install at risk",1,0)</f>
        <v/>
      </c>
    </row>
    <row r="311" ht="20" customHeight="1">
      <c r="B311" s="72" t="n"/>
      <c r="C311" s="72" t="n"/>
      <c r="D311" s="72" t="n"/>
      <c r="E311" s="72" t="n"/>
      <c r="F311" s="73" t="n"/>
      <c r="G311" s="72" t="n"/>
      <c r="H311" s="73" t="n"/>
      <c r="I311" s="72" t="n"/>
      <c r="J311" s="73" t="n"/>
      <c r="K311" s="74" t="n"/>
      <c r="L311" s="75">
        <f>IF(K311="A",F311,IF(K311="B",H311,IF(K311="C",J311,"")))</f>
        <v/>
      </c>
      <c r="M311" s="72" t="n"/>
      <c r="N311" s="72" t="n"/>
      <c r="O311" s="89" t="n"/>
      <c r="P311" s="89" t="n"/>
      <c r="Q311" s="109" t="n"/>
      <c r="R311" s="120">
        <f>IF(B311="","",IF(Q311&lt;&gt;"",Q311,IF(P311="","",IFERROR(INDEX('Timeline'!$J$7:$J$1006,MATCH(P311,'Timeline'!$B$7:$B$1006,0)),""))))</f>
        <v/>
      </c>
      <c r="S311" s="126">
        <f>IF(R311="","",R311-IF(O311="",0,O311)-OrderBuf)</f>
        <v/>
      </c>
      <c r="T311" s="126">
        <f>IF(S311="","",S311-DecideBuf)</f>
        <v/>
      </c>
      <c r="U311" s="74" t="n"/>
      <c r="V311" s="109" t="n"/>
      <c r="W311" s="109" t="n"/>
      <c r="X311" s="74" t="n"/>
      <c r="Y311" s="116">
        <f>IF(B311="","",IF(X311="Yes","Delivered",IF(U311="Yes",IF(AND(W311&lt;&gt;"",R311&lt;&gt;""),IF(W311&gt;R311,"⚠️ Delivery after install date","Ordered"),"Ordered"),IF(K311="",IF(T311="","Waiting for decision",IF(T311&lt;=AsOf+AlertDays,"Decide now","Waiting for decision")),IF(S311="","Selected",IF(AsOf&gt;S311,"⚠️ Order late — install at risk",IF(S311&lt;=AsOf+AlertDays,"Order now","Selected")))))))</f>
        <v/>
      </c>
      <c r="Z311" s="79">
        <f>IF(B311="","",IF(OR(AH311=1,AE311=1),2,IF(OR(AG311=1,AF311=1),1,IF(OR(Y311="Ordered",Y311="Delivered"),0,""))))</f>
        <v/>
      </c>
      <c r="AA311" s="112">
        <f>IF(B311="","",IF(AH311=1,IF(Y311="⚠️ Delivery after install date",R311,S311),IF(AD311=1,T311,IF(AI311=1,S311,""))))</f>
        <v/>
      </c>
      <c r="AB311" s="79">
        <f>IF(AA311="","",IF(AH311=1,1,IF(AA311="","",IF(AA311&lt;AsOf,1,IF(AA311&lt;=AsOf+AlertDays,2,IF(AA311&lt;=AsOf+2*AlertDays,3,""))))))</f>
        <v/>
      </c>
      <c r="AC311" s="79">
        <f>IF(AB311="","",IF(AH311=1,IF(Y311="⚠️ Delivery after install date","Delivery after install date: "&amp;B311,"Order late — install at risk: "&amp;B311),IF(AD311=1,IF(AB311=1,"Decision overdue: ","Decide: ")&amp;B311,"Order: "&amp;B311&amp;IF(N311="",""," from "&amp;N311))))</f>
        <v/>
      </c>
      <c r="AD311" s="79">
        <f>IF(AND(B311&lt;&gt;"",K311="",U311&lt;&gt;"Yes",X311&lt;&gt;"Yes"),1,0)</f>
        <v/>
      </c>
      <c r="AE311" s="79">
        <f>IF(AND(AD311=1,T311&lt;&gt;""),IF(T311&lt;AsOf,1,0),0)</f>
        <v/>
      </c>
      <c r="AF311" s="79">
        <f>IF(AND(AD311=1,T311&lt;&gt;""),IF(AND(T311&gt;=AsOf,T311&lt;=AsOf+AlertDays),1,0),0)</f>
        <v/>
      </c>
      <c r="AG311" s="79">
        <f>IF(Y311="Order now",1,0)</f>
        <v/>
      </c>
      <c r="AH311" s="79">
        <f>IF(OR(Y311="⚠️ Order late — install at risk",Y311="⚠️ Delivery after install date"),1,0)</f>
        <v/>
      </c>
      <c r="AI311" s="79">
        <f>IF(AND(B311&lt;&gt;"",K311&lt;&gt;"",U311&lt;&gt;"Yes",X311&lt;&gt;"Yes"),1,0)</f>
        <v/>
      </c>
      <c r="AJ311" s="79">
        <f>IF(Y311="⚠️ Order late — install at risk",1,0)</f>
        <v/>
      </c>
    </row>
    <row r="312" ht="20" customHeight="1">
      <c r="B312" s="72" t="n"/>
      <c r="C312" s="72" t="n"/>
      <c r="D312" s="72" t="n"/>
      <c r="E312" s="72" t="n"/>
      <c r="F312" s="73" t="n"/>
      <c r="G312" s="72" t="n"/>
      <c r="H312" s="73" t="n"/>
      <c r="I312" s="72" t="n"/>
      <c r="J312" s="73" t="n"/>
      <c r="K312" s="74" t="n"/>
      <c r="L312" s="75">
        <f>IF(K312="A",F312,IF(K312="B",H312,IF(K312="C",J312,"")))</f>
        <v/>
      </c>
      <c r="M312" s="72" t="n"/>
      <c r="N312" s="72" t="n"/>
      <c r="O312" s="89" t="n"/>
      <c r="P312" s="89" t="n"/>
      <c r="Q312" s="109" t="n"/>
      <c r="R312" s="120">
        <f>IF(B312="","",IF(Q312&lt;&gt;"",Q312,IF(P312="","",IFERROR(INDEX('Timeline'!$J$7:$J$1006,MATCH(P312,'Timeline'!$B$7:$B$1006,0)),""))))</f>
        <v/>
      </c>
      <c r="S312" s="126">
        <f>IF(R312="","",R312-IF(O312="",0,O312)-OrderBuf)</f>
        <v/>
      </c>
      <c r="T312" s="126">
        <f>IF(S312="","",S312-DecideBuf)</f>
        <v/>
      </c>
      <c r="U312" s="74" t="n"/>
      <c r="V312" s="109" t="n"/>
      <c r="W312" s="109" t="n"/>
      <c r="X312" s="74" t="n"/>
      <c r="Y312" s="116">
        <f>IF(B312="","",IF(X312="Yes","Delivered",IF(U312="Yes",IF(AND(W312&lt;&gt;"",R312&lt;&gt;""),IF(W312&gt;R312,"⚠️ Delivery after install date","Ordered"),"Ordered"),IF(K312="",IF(T312="","Waiting for decision",IF(T312&lt;=AsOf+AlertDays,"Decide now","Waiting for decision")),IF(S312="","Selected",IF(AsOf&gt;S312,"⚠️ Order late — install at risk",IF(S312&lt;=AsOf+AlertDays,"Order now","Selected")))))))</f>
        <v/>
      </c>
      <c r="Z312" s="79">
        <f>IF(B312="","",IF(OR(AH312=1,AE312=1),2,IF(OR(AG312=1,AF312=1),1,IF(OR(Y312="Ordered",Y312="Delivered"),0,""))))</f>
        <v/>
      </c>
      <c r="AA312" s="112">
        <f>IF(B312="","",IF(AH312=1,IF(Y312="⚠️ Delivery after install date",R312,S312),IF(AD312=1,T312,IF(AI312=1,S312,""))))</f>
        <v/>
      </c>
      <c r="AB312" s="79">
        <f>IF(AA312="","",IF(AH312=1,1,IF(AA312="","",IF(AA312&lt;AsOf,1,IF(AA312&lt;=AsOf+AlertDays,2,IF(AA312&lt;=AsOf+2*AlertDays,3,""))))))</f>
        <v/>
      </c>
      <c r="AC312" s="79">
        <f>IF(AB312="","",IF(AH312=1,IF(Y312="⚠️ Delivery after install date","Delivery after install date: "&amp;B312,"Order late — install at risk: "&amp;B312),IF(AD312=1,IF(AB312=1,"Decision overdue: ","Decide: ")&amp;B312,"Order: "&amp;B312&amp;IF(N312="",""," from "&amp;N312))))</f>
        <v/>
      </c>
      <c r="AD312" s="79">
        <f>IF(AND(B312&lt;&gt;"",K312="",U312&lt;&gt;"Yes",X312&lt;&gt;"Yes"),1,0)</f>
        <v/>
      </c>
      <c r="AE312" s="79">
        <f>IF(AND(AD312=1,T312&lt;&gt;""),IF(T312&lt;AsOf,1,0),0)</f>
        <v/>
      </c>
      <c r="AF312" s="79">
        <f>IF(AND(AD312=1,T312&lt;&gt;""),IF(AND(T312&gt;=AsOf,T312&lt;=AsOf+AlertDays),1,0),0)</f>
        <v/>
      </c>
      <c r="AG312" s="79">
        <f>IF(Y312="Order now",1,0)</f>
        <v/>
      </c>
      <c r="AH312" s="79">
        <f>IF(OR(Y312="⚠️ Order late — install at risk",Y312="⚠️ Delivery after install date"),1,0)</f>
        <v/>
      </c>
      <c r="AI312" s="79">
        <f>IF(AND(B312&lt;&gt;"",K312&lt;&gt;"",U312&lt;&gt;"Yes",X312&lt;&gt;"Yes"),1,0)</f>
        <v/>
      </c>
      <c r="AJ312" s="79">
        <f>IF(Y312="⚠️ Order late — install at risk",1,0)</f>
        <v/>
      </c>
    </row>
    <row r="313" ht="20" customHeight="1">
      <c r="B313" s="72" t="n"/>
      <c r="C313" s="72" t="n"/>
      <c r="D313" s="72" t="n"/>
      <c r="E313" s="72" t="n"/>
      <c r="F313" s="73" t="n"/>
      <c r="G313" s="72" t="n"/>
      <c r="H313" s="73" t="n"/>
      <c r="I313" s="72" t="n"/>
      <c r="J313" s="73" t="n"/>
      <c r="K313" s="74" t="n"/>
      <c r="L313" s="75">
        <f>IF(K313="A",F313,IF(K313="B",H313,IF(K313="C",J313,"")))</f>
        <v/>
      </c>
      <c r="M313" s="72" t="n"/>
      <c r="N313" s="72" t="n"/>
      <c r="O313" s="89" t="n"/>
      <c r="P313" s="89" t="n"/>
      <c r="Q313" s="109" t="n"/>
      <c r="R313" s="120">
        <f>IF(B313="","",IF(Q313&lt;&gt;"",Q313,IF(P313="","",IFERROR(INDEX('Timeline'!$J$7:$J$1006,MATCH(P313,'Timeline'!$B$7:$B$1006,0)),""))))</f>
        <v/>
      </c>
      <c r="S313" s="126">
        <f>IF(R313="","",R313-IF(O313="",0,O313)-OrderBuf)</f>
        <v/>
      </c>
      <c r="T313" s="126">
        <f>IF(S313="","",S313-DecideBuf)</f>
        <v/>
      </c>
      <c r="U313" s="74" t="n"/>
      <c r="V313" s="109" t="n"/>
      <c r="W313" s="109" t="n"/>
      <c r="X313" s="74" t="n"/>
      <c r="Y313" s="116">
        <f>IF(B313="","",IF(X313="Yes","Delivered",IF(U313="Yes",IF(AND(W313&lt;&gt;"",R313&lt;&gt;""),IF(W313&gt;R313,"⚠️ Delivery after install date","Ordered"),"Ordered"),IF(K313="",IF(T313="","Waiting for decision",IF(T313&lt;=AsOf+AlertDays,"Decide now","Waiting for decision")),IF(S313="","Selected",IF(AsOf&gt;S313,"⚠️ Order late — install at risk",IF(S313&lt;=AsOf+AlertDays,"Order now","Selected")))))))</f>
        <v/>
      </c>
      <c r="Z313" s="79">
        <f>IF(B313="","",IF(OR(AH313=1,AE313=1),2,IF(OR(AG313=1,AF313=1),1,IF(OR(Y313="Ordered",Y313="Delivered"),0,""))))</f>
        <v/>
      </c>
      <c r="AA313" s="112">
        <f>IF(B313="","",IF(AH313=1,IF(Y313="⚠️ Delivery after install date",R313,S313),IF(AD313=1,T313,IF(AI313=1,S313,""))))</f>
        <v/>
      </c>
      <c r="AB313" s="79">
        <f>IF(AA313="","",IF(AH313=1,1,IF(AA313="","",IF(AA313&lt;AsOf,1,IF(AA313&lt;=AsOf+AlertDays,2,IF(AA313&lt;=AsOf+2*AlertDays,3,""))))))</f>
        <v/>
      </c>
      <c r="AC313" s="79">
        <f>IF(AB313="","",IF(AH313=1,IF(Y313="⚠️ Delivery after install date","Delivery after install date: "&amp;B313,"Order late — install at risk: "&amp;B313),IF(AD313=1,IF(AB313=1,"Decision overdue: ","Decide: ")&amp;B313,"Order: "&amp;B313&amp;IF(N313="",""," from "&amp;N313))))</f>
        <v/>
      </c>
      <c r="AD313" s="79">
        <f>IF(AND(B313&lt;&gt;"",K313="",U313&lt;&gt;"Yes",X313&lt;&gt;"Yes"),1,0)</f>
        <v/>
      </c>
      <c r="AE313" s="79">
        <f>IF(AND(AD313=1,T313&lt;&gt;""),IF(T313&lt;AsOf,1,0),0)</f>
        <v/>
      </c>
      <c r="AF313" s="79">
        <f>IF(AND(AD313=1,T313&lt;&gt;""),IF(AND(T313&gt;=AsOf,T313&lt;=AsOf+AlertDays),1,0),0)</f>
        <v/>
      </c>
      <c r="AG313" s="79">
        <f>IF(Y313="Order now",1,0)</f>
        <v/>
      </c>
      <c r="AH313" s="79">
        <f>IF(OR(Y313="⚠️ Order late — install at risk",Y313="⚠️ Delivery after install date"),1,0)</f>
        <v/>
      </c>
      <c r="AI313" s="79">
        <f>IF(AND(B313&lt;&gt;"",K313&lt;&gt;"",U313&lt;&gt;"Yes",X313&lt;&gt;"Yes"),1,0)</f>
        <v/>
      </c>
      <c r="AJ313" s="79">
        <f>IF(Y313="⚠️ Order late — install at risk",1,0)</f>
        <v/>
      </c>
    </row>
    <row r="314" ht="20" customHeight="1">
      <c r="B314" s="72" t="n"/>
      <c r="C314" s="72" t="n"/>
      <c r="D314" s="72" t="n"/>
      <c r="E314" s="72" t="n"/>
      <c r="F314" s="73" t="n"/>
      <c r="G314" s="72" t="n"/>
      <c r="H314" s="73" t="n"/>
      <c r="I314" s="72" t="n"/>
      <c r="J314" s="73" t="n"/>
      <c r="K314" s="74" t="n"/>
      <c r="L314" s="75">
        <f>IF(K314="A",F314,IF(K314="B",H314,IF(K314="C",J314,"")))</f>
        <v/>
      </c>
      <c r="M314" s="72" t="n"/>
      <c r="N314" s="72" t="n"/>
      <c r="O314" s="89" t="n"/>
      <c r="P314" s="89" t="n"/>
      <c r="Q314" s="109" t="n"/>
      <c r="R314" s="120">
        <f>IF(B314="","",IF(Q314&lt;&gt;"",Q314,IF(P314="","",IFERROR(INDEX('Timeline'!$J$7:$J$1006,MATCH(P314,'Timeline'!$B$7:$B$1006,0)),""))))</f>
        <v/>
      </c>
      <c r="S314" s="126">
        <f>IF(R314="","",R314-IF(O314="",0,O314)-OrderBuf)</f>
        <v/>
      </c>
      <c r="T314" s="126">
        <f>IF(S314="","",S314-DecideBuf)</f>
        <v/>
      </c>
      <c r="U314" s="74" t="n"/>
      <c r="V314" s="109" t="n"/>
      <c r="W314" s="109" t="n"/>
      <c r="X314" s="74" t="n"/>
      <c r="Y314" s="116">
        <f>IF(B314="","",IF(X314="Yes","Delivered",IF(U314="Yes",IF(AND(W314&lt;&gt;"",R314&lt;&gt;""),IF(W314&gt;R314,"⚠️ Delivery after install date","Ordered"),"Ordered"),IF(K314="",IF(T314="","Waiting for decision",IF(T314&lt;=AsOf+AlertDays,"Decide now","Waiting for decision")),IF(S314="","Selected",IF(AsOf&gt;S314,"⚠️ Order late — install at risk",IF(S314&lt;=AsOf+AlertDays,"Order now","Selected")))))))</f>
        <v/>
      </c>
      <c r="Z314" s="79">
        <f>IF(B314="","",IF(OR(AH314=1,AE314=1),2,IF(OR(AG314=1,AF314=1),1,IF(OR(Y314="Ordered",Y314="Delivered"),0,""))))</f>
        <v/>
      </c>
      <c r="AA314" s="112">
        <f>IF(B314="","",IF(AH314=1,IF(Y314="⚠️ Delivery after install date",R314,S314),IF(AD314=1,T314,IF(AI314=1,S314,""))))</f>
        <v/>
      </c>
      <c r="AB314" s="79">
        <f>IF(AA314="","",IF(AH314=1,1,IF(AA314="","",IF(AA314&lt;AsOf,1,IF(AA314&lt;=AsOf+AlertDays,2,IF(AA314&lt;=AsOf+2*AlertDays,3,""))))))</f>
        <v/>
      </c>
      <c r="AC314" s="79">
        <f>IF(AB314="","",IF(AH314=1,IF(Y314="⚠️ Delivery after install date","Delivery after install date: "&amp;B314,"Order late — install at risk: "&amp;B314),IF(AD314=1,IF(AB314=1,"Decision overdue: ","Decide: ")&amp;B314,"Order: "&amp;B314&amp;IF(N314="",""," from "&amp;N314))))</f>
        <v/>
      </c>
      <c r="AD314" s="79">
        <f>IF(AND(B314&lt;&gt;"",K314="",U314&lt;&gt;"Yes",X314&lt;&gt;"Yes"),1,0)</f>
        <v/>
      </c>
      <c r="AE314" s="79">
        <f>IF(AND(AD314=1,T314&lt;&gt;""),IF(T314&lt;AsOf,1,0),0)</f>
        <v/>
      </c>
      <c r="AF314" s="79">
        <f>IF(AND(AD314=1,T314&lt;&gt;""),IF(AND(T314&gt;=AsOf,T314&lt;=AsOf+AlertDays),1,0),0)</f>
        <v/>
      </c>
      <c r="AG314" s="79">
        <f>IF(Y314="Order now",1,0)</f>
        <v/>
      </c>
      <c r="AH314" s="79">
        <f>IF(OR(Y314="⚠️ Order late — install at risk",Y314="⚠️ Delivery after install date"),1,0)</f>
        <v/>
      </c>
      <c r="AI314" s="79">
        <f>IF(AND(B314&lt;&gt;"",K314&lt;&gt;"",U314&lt;&gt;"Yes",X314&lt;&gt;"Yes"),1,0)</f>
        <v/>
      </c>
      <c r="AJ314" s="79">
        <f>IF(Y314="⚠️ Order late — install at risk",1,0)</f>
        <v/>
      </c>
    </row>
    <row r="315" ht="20" customHeight="1">
      <c r="B315" s="72" t="n"/>
      <c r="C315" s="72" t="n"/>
      <c r="D315" s="72" t="n"/>
      <c r="E315" s="72" t="n"/>
      <c r="F315" s="73" t="n"/>
      <c r="G315" s="72" t="n"/>
      <c r="H315" s="73" t="n"/>
      <c r="I315" s="72" t="n"/>
      <c r="J315" s="73" t="n"/>
      <c r="K315" s="74" t="n"/>
      <c r="L315" s="75">
        <f>IF(K315="A",F315,IF(K315="B",H315,IF(K315="C",J315,"")))</f>
        <v/>
      </c>
      <c r="M315" s="72" t="n"/>
      <c r="N315" s="72" t="n"/>
      <c r="O315" s="89" t="n"/>
      <c r="P315" s="89" t="n"/>
      <c r="Q315" s="109" t="n"/>
      <c r="R315" s="120">
        <f>IF(B315="","",IF(Q315&lt;&gt;"",Q315,IF(P315="","",IFERROR(INDEX('Timeline'!$J$7:$J$1006,MATCH(P315,'Timeline'!$B$7:$B$1006,0)),""))))</f>
        <v/>
      </c>
      <c r="S315" s="126">
        <f>IF(R315="","",R315-IF(O315="",0,O315)-OrderBuf)</f>
        <v/>
      </c>
      <c r="T315" s="126">
        <f>IF(S315="","",S315-DecideBuf)</f>
        <v/>
      </c>
      <c r="U315" s="74" t="n"/>
      <c r="V315" s="109" t="n"/>
      <c r="W315" s="109" t="n"/>
      <c r="X315" s="74" t="n"/>
      <c r="Y315" s="116">
        <f>IF(B315="","",IF(X315="Yes","Delivered",IF(U315="Yes",IF(AND(W315&lt;&gt;"",R315&lt;&gt;""),IF(W315&gt;R315,"⚠️ Delivery after install date","Ordered"),"Ordered"),IF(K315="",IF(T315="","Waiting for decision",IF(T315&lt;=AsOf+AlertDays,"Decide now","Waiting for decision")),IF(S315="","Selected",IF(AsOf&gt;S315,"⚠️ Order late — install at risk",IF(S315&lt;=AsOf+AlertDays,"Order now","Selected")))))))</f>
        <v/>
      </c>
      <c r="Z315" s="79">
        <f>IF(B315="","",IF(OR(AH315=1,AE315=1),2,IF(OR(AG315=1,AF315=1),1,IF(OR(Y315="Ordered",Y315="Delivered"),0,""))))</f>
        <v/>
      </c>
      <c r="AA315" s="112">
        <f>IF(B315="","",IF(AH315=1,IF(Y315="⚠️ Delivery after install date",R315,S315),IF(AD315=1,T315,IF(AI315=1,S315,""))))</f>
        <v/>
      </c>
      <c r="AB315" s="79">
        <f>IF(AA315="","",IF(AH315=1,1,IF(AA315="","",IF(AA315&lt;AsOf,1,IF(AA315&lt;=AsOf+AlertDays,2,IF(AA315&lt;=AsOf+2*AlertDays,3,""))))))</f>
        <v/>
      </c>
      <c r="AC315" s="79">
        <f>IF(AB315="","",IF(AH315=1,IF(Y315="⚠️ Delivery after install date","Delivery after install date: "&amp;B315,"Order late — install at risk: "&amp;B315),IF(AD315=1,IF(AB315=1,"Decision overdue: ","Decide: ")&amp;B315,"Order: "&amp;B315&amp;IF(N315="",""," from "&amp;N315))))</f>
        <v/>
      </c>
      <c r="AD315" s="79">
        <f>IF(AND(B315&lt;&gt;"",K315="",U315&lt;&gt;"Yes",X315&lt;&gt;"Yes"),1,0)</f>
        <v/>
      </c>
      <c r="AE315" s="79">
        <f>IF(AND(AD315=1,T315&lt;&gt;""),IF(T315&lt;AsOf,1,0),0)</f>
        <v/>
      </c>
      <c r="AF315" s="79">
        <f>IF(AND(AD315=1,T315&lt;&gt;""),IF(AND(T315&gt;=AsOf,T315&lt;=AsOf+AlertDays),1,0),0)</f>
        <v/>
      </c>
      <c r="AG315" s="79">
        <f>IF(Y315="Order now",1,0)</f>
        <v/>
      </c>
      <c r="AH315" s="79">
        <f>IF(OR(Y315="⚠️ Order late — install at risk",Y315="⚠️ Delivery after install date"),1,0)</f>
        <v/>
      </c>
      <c r="AI315" s="79">
        <f>IF(AND(B315&lt;&gt;"",K315&lt;&gt;"",U315&lt;&gt;"Yes",X315&lt;&gt;"Yes"),1,0)</f>
        <v/>
      </c>
      <c r="AJ315" s="79">
        <f>IF(Y315="⚠️ Order late — install at risk",1,0)</f>
        <v/>
      </c>
    </row>
    <row r="316" ht="20" customHeight="1">
      <c r="B316" s="72" t="n"/>
      <c r="C316" s="72" t="n"/>
      <c r="D316" s="72" t="n"/>
      <c r="E316" s="72" t="n"/>
      <c r="F316" s="73" t="n"/>
      <c r="G316" s="72" t="n"/>
      <c r="H316" s="73" t="n"/>
      <c r="I316" s="72" t="n"/>
      <c r="J316" s="73" t="n"/>
      <c r="K316" s="74" t="n"/>
      <c r="L316" s="75">
        <f>IF(K316="A",F316,IF(K316="B",H316,IF(K316="C",J316,"")))</f>
        <v/>
      </c>
      <c r="M316" s="72" t="n"/>
      <c r="N316" s="72" t="n"/>
      <c r="O316" s="89" t="n"/>
      <c r="P316" s="89" t="n"/>
      <c r="Q316" s="109" t="n"/>
      <c r="R316" s="120">
        <f>IF(B316="","",IF(Q316&lt;&gt;"",Q316,IF(P316="","",IFERROR(INDEX('Timeline'!$J$7:$J$1006,MATCH(P316,'Timeline'!$B$7:$B$1006,0)),""))))</f>
        <v/>
      </c>
      <c r="S316" s="126">
        <f>IF(R316="","",R316-IF(O316="",0,O316)-OrderBuf)</f>
        <v/>
      </c>
      <c r="T316" s="126">
        <f>IF(S316="","",S316-DecideBuf)</f>
        <v/>
      </c>
      <c r="U316" s="74" t="n"/>
      <c r="V316" s="109" t="n"/>
      <c r="W316" s="109" t="n"/>
      <c r="X316" s="74" t="n"/>
      <c r="Y316" s="116">
        <f>IF(B316="","",IF(X316="Yes","Delivered",IF(U316="Yes",IF(AND(W316&lt;&gt;"",R316&lt;&gt;""),IF(W316&gt;R316,"⚠️ Delivery after install date","Ordered"),"Ordered"),IF(K316="",IF(T316="","Waiting for decision",IF(T316&lt;=AsOf+AlertDays,"Decide now","Waiting for decision")),IF(S316="","Selected",IF(AsOf&gt;S316,"⚠️ Order late — install at risk",IF(S316&lt;=AsOf+AlertDays,"Order now","Selected")))))))</f>
        <v/>
      </c>
      <c r="Z316" s="79">
        <f>IF(B316="","",IF(OR(AH316=1,AE316=1),2,IF(OR(AG316=1,AF316=1),1,IF(OR(Y316="Ordered",Y316="Delivered"),0,""))))</f>
        <v/>
      </c>
      <c r="AA316" s="112">
        <f>IF(B316="","",IF(AH316=1,IF(Y316="⚠️ Delivery after install date",R316,S316),IF(AD316=1,T316,IF(AI316=1,S316,""))))</f>
        <v/>
      </c>
      <c r="AB316" s="79">
        <f>IF(AA316="","",IF(AH316=1,1,IF(AA316="","",IF(AA316&lt;AsOf,1,IF(AA316&lt;=AsOf+AlertDays,2,IF(AA316&lt;=AsOf+2*AlertDays,3,""))))))</f>
        <v/>
      </c>
      <c r="AC316" s="79">
        <f>IF(AB316="","",IF(AH316=1,IF(Y316="⚠️ Delivery after install date","Delivery after install date: "&amp;B316,"Order late — install at risk: "&amp;B316),IF(AD316=1,IF(AB316=1,"Decision overdue: ","Decide: ")&amp;B316,"Order: "&amp;B316&amp;IF(N316="",""," from "&amp;N316))))</f>
        <v/>
      </c>
      <c r="AD316" s="79">
        <f>IF(AND(B316&lt;&gt;"",K316="",U316&lt;&gt;"Yes",X316&lt;&gt;"Yes"),1,0)</f>
        <v/>
      </c>
      <c r="AE316" s="79">
        <f>IF(AND(AD316=1,T316&lt;&gt;""),IF(T316&lt;AsOf,1,0),0)</f>
        <v/>
      </c>
      <c r="AF316" s="79">
        <f>IF(AND(AD316=1,T316&lt;&gt;""),IF(AND(T316&gt;=AsOf,T316&lt;=AsOf+AlertDays),1,0),0)</f>
        <v/>
      </c>
      <c r="AG316" s="79">
        <f>IF(Y316="Order now",1,0)</f>
        <v/>
      </c>
      <c r="AH316" s="79">
        <f>IF(OR(Y316="⚠️ Order late — install at risk",Y316="⚠️ Delivery after install date"),1,0)</f>
        <v/>
      </c>
      <c r="AI316" s="79">
        <f>IF(AND(B316&lt;&gt;"",K316&lt;&gt;"",U316&lt;&gt;"Yes",X316&lt;&gt;"Yes"),1,0)</f>
        <v/>
      </c>
      <c r="AJ316" s="79">
        <f>IF(Y316="⚠️ Order late — install at risk",1,0)</f>
        <v/>
      </c>
    </row>
    <row r="317" ht="20" customHeight="1">
      <c r="B317" s="72" t="n"/>
      <c r="C317" s="72" t="n"/>
      <c r="D317" s="72" t="n"/>
      <c r="E317" s="72" t="n"/>
      <c r="F317" s="73" t="n"/>
      <c r="G317" s="72" t="n"/>
      <c r="H317" s="73" t="n"/>
      <c r="I317" s="72" t="n"/>
      <c r="J317" s="73" t="n"/>
      <c r="K317" s="74" t="n"/>
      <c r="L317" s="75">
        <f>IF(K317="A",F317,IF(K317="B",H317,IF(K317="C",J317,"")))</f>
        <v/>
      </c>
      <c r="M317" s="72" t="n"/>
      <c r="N317" s="72" t="n"/>
      <c r="O317" s="89" t="n"/>
      <c r="P317" s="89" t="n"/>
      <c r="Q317" s="109" t="n"/>
      <c r="R317" s="120">
        <f>IF(B317="","",IF(Q317&lt;&gt;"",Q317,IF(P317="","",IFERROR(INDEX('Timeline'!$J$7:$J$1006,MATCH(P317,'Timeline'!$B$7:$B$1006,0)),""))))</f>
        <v/>
      </c>
      <c r="S317" s="126">
        <f>IF(R317="","",R317-IF(O317="",0,O317)-OrderBuf)</f>
        <v/>
      </c>
      <c r="T317" s="126">
        <f>IF(S317="","",S317-DecideBuf)</f>
        <v/>
      </c>
      <c r="U317" s="74" t="n"/>
      <c r="V317" s="109" t="n"/>
      <c r="W317" s="109" t="n"/>
      <c r="X317" s="74" t="n"/>
      <c r="Y317" s="116">
        <f>IF(B317="","",IF(X317="Yes","Delivered",IF(U317="Yes",IF(AND(W317&lt;&gt;"",R317&lt;&gt;""),IF(W317&gt;R317,"⚠️ Delivery after install date","Ordered"),"Ordered"),IF(K317="",IF(T317="","Waiting for decision",IF(T317&lt;=AsOf+AlertDays,"Decide now","Waiting for decision")),IF(S317="","Selected",IF(AsOf&gt;S317,"⚠️ Order late — install at risk",IF(S317&lt;=AsOf+AlertDays,"Order now","Selected")))))))</f>
        <v/>
      </c>
      <c r="Z317" s="79">
        <f>IF(B317="","",IF(OR(AH317=1,AE317=1),2,IF(OR(AG317=1,AF317=1),1,IF(OR(Y317="Ordered",Y317="Delivered"),0,""))))</f>
        <v/>
      </c>
      <c r="AA317" s="112">
        <f>IF(B317="","",IF(AH317=1,IF(Y317="⚠️ Delivery after install date",R317,S317),IF(AD317=1,T317,IF(AI317=1,S317,""))))</f>
        <v/>
      </c>
      <c r="AB317" s="79">
        <f>IF(AA317="","",IF(AH317=1,1,IF(AA317="","",IF(AA317&lt;AsOf,1,IF(AA317&lt;=AsOf+AlertDays,2,IF(AA317&lt;=AsOf+2*AlertDays,3,""))))))</f>
        <v/>
      </c>
      <c r="AC317" s="79">
        <f>IF(AB317="","",IF(AH317=1,IF(Y317="⚠️ Delivery after install date","Delivery after install date: "&amp;B317,"Order late — install at risk: "&amp;B317),IF(AD317=1,IF(AB317=1,"Decision overdue: ","Decide: ")&amp;B317,"Order: "&amp;B317&amp;IF(N317="",""," from "&amp;N317))))</f>
        <v/>
      </c>
      <c r="AD317" s="79">
        <f>IF(AND(B317&lt;&gt;"",K317="",U317&lt;&gt;"Yes",X317&lt;&gt;"Yes"),1,0)</f>
        <v/>
      </c>
      <c r="AE317" s="79">
        <f>IF(AND(AD317=1,T317&lt;&gt;""),IF(T317&lt;AsOf,1,0),0)</f>
        <v/>
      </c>
      <c r="AF317" s="79">
        <f>IF(AND(AD317=1,T317&lt;&gt;""),IF(AND(T317&gt;=AsOf,T317&lt;=AsOf+AlertDays),1,0),0)</f>
        <v/>
      </c>
      <c r="AG317" s="79">
        <f>IF(Y317="Order now",1,0)</f>
        <v/>
      </c>
      <c r="AH317" s="79">
        <f>IF(OR(Y317="⚠️ Order late — install at risk",Y317="⚠️ Delivery after install date"),1,0)</f>
        <v/>
      </c>
      <c r="AI317" s="79">
        <f>IF(AND(B317&lt;&gt;"",K317&lt;&gt;"",U317&lt;&gt;"Yes",X317&lt;&gt;"Yes"),1,0)</f>
        <v/>
      </c>
      <c r="AJ317" s="79">
        <f>IF(Y317="⚠️ Order late — install at risk",1,0)</f>
        <v/>
      </c>
    </row>
    <row r="318" ht="20" customHeight="1">
      <c r="B318" s="72" t="n"/>
      <c r="C318" s="72" t="n"/>
      <c r="D318" s="72" t="n"/>
      <c r="E318" s="72" t="n"/>
      <c r="F318" s="73" t="n"/>
      <c r="G318" s="72" t="n"/>
      <c r="H318" s="73" t="n"/>
      <c r="I318" s="72" t="n"/>
      <c r="J318" s="73" t="n"/>
      <c r="K318" s="74" t="n"/>
      <c r="L318" s="75">
        <f>IF(K318="A",F318,IF(K318="B",H318,IF(K318="C",J318,"")))</f>
        <v/>
      </c>
      <c r="M318" s="72" t="n"/>
      <c r="N318" s="72" t="n"/>
      <c r="O318" s="89" t="n"/>
      <c r="P318" s="89" t="n"/>
      <c r="Q318" s="109" t="n"/>
      <c r="R318" s="120">
        <f>IF(B318="","",IF(Q318&lt;&gt;"",Q318,IF(P318="","",IFERROR(INDEX('Timeline'!$J$7:$J$1006,MATCH(P318,'Timeline'!$B$7:$B$1006,0)),""))))</f>
        <v/>
      </c>
      <c r="S318" s="126">
        <f>IF(R318="","",R318-IF(O318="",0,O318)-OrderBuf)</f>
        <v/>
      </c>
      <c r="T318" s="126">
        <f>IF(S318="","",S318-DecideBuf)</f>
        <v/>
      </c>
      <c r="U318" s="74" t="n"/>
      <c r="V318" s="109" t="n"/>
      <c r="W318" s="109" t="n"/>
      <c r="X318" s="74" t="n"/>
      <c r="Y318" s="116">
        <f>IF(B318="","",IF(X318="Yes","Delivered",IF(U318="Yes",IF(AND(W318&lt;&gt;"",R318&lt;&gt;""),IF(W318&gt;R318,"⚠️ Delivery after install date","Ordered"),"Ordered"),IF(K318="",IF(T318="","Waiting for decision",IF(T318&lt;=AsOf+AlertDays,"Decide now","Waiting for decision")),IF(S318="","Selected",IF(AsOf&gt;S318,"⚠️ Order late — install at risk",IF(S318&lt;=AsOf+AlertDays,"Order now","Selected")))))))</f>
        <v/>
      </c>
      <c r="Z318" s="79">
        <f>IF(B318="","",IF(OR(AH318=1,AE318=1),2,IF(OR(AG318=1,AF318=1),1,IF(OR(Y318="Ordered",Y318="Delivered"),0,""))))</f>
        <v/>
      </c>
      <c r="AA318" s="112">
        <f>IF(B318="","",IF(AH318=1,IF(Y318="⚠️ Delivery after install date",R318,S318),IF(AD318=1,T318,IF(AI318=1,S318,""))))</f>
        <v/>
      </c>
      <c r="AB318" s="79">
        <f>IF(AA318="","",IF(AH318=1,1,IF(AA318="","",IF(AA318&lt;AsOf,1,IF(AA318&lt;=AsOf+AlertDays,2,IF(AA318&lt;=AsOf+2*AlertDays,3,""))))))</f>
        <v/>
      </c>
      <c r="AC318" s="79">
        <f>IF(AB318="","",IF(AH318=1,IF(Y318="⚠️ Delivery after install date","Delivery after install date: "&amp;B318,"Order late — install at risk: "&amp;B318),IF(AD318=1,IF(AB318=1,"Decision overdue: ","Decide: ")&amp;B318,"Order: "&amp;B318&amp;IF(N318="",""," from "&amp;N318))))</f>
        <v/>
      </c>
      <c r="AD318" s="79">
        <f>IF(AND(B318&lt;&gt;"",K318="",U318&lt;&gt;"Yes",X318&lt;&gt;"Yes"),1,0)</f>
        <v/>
      </c>
      <c r="AE318" s="79">
        <f>IF(AND(AD318=1,T318&lt;&gt;""),IF(T318&lt;AsOf,1,0),0)</f>
        <v/>
      </c>
      <c r="AF318" s="79">
        <f>IF(AND(AD318=1,T318&lt;&gt;""),IF(AND(T318&gt;=AsOf,T318&lt;=AsOf+AlertDays),1,0),0)</f>
        <v/>
      </c>
      <c r="AG318" s="79">
        <f>IF(Y318="Order now",1,0)</f>
        <v/>
      </c>
      <c r="AH318" s="79">
        <f>IF(OR(Y318="⚠️ Order late — install at risk",Y318="⚠️ Delivery after install date"),1,0)</f>
        <v/>
      </c>
      <c r="AI318" s="79">
        <f>IF(AND(B318&lt;&gt;"",K318&lt;&gt;"",U318&lt;&gt;"Yes",X318&lt;&gt;"Yes"),1,0)</f>
        <v/>
      </c>
      <c r="AJ318" s="79">
        <f>IF(Y318="⚠️ Order late — install at risk",1,0)</f>
        <v/>
      </c>
    </row>
    <row r="319" ht="20" customHeight="1">
      <c r="B319" s="72" t="n"/>
      <c r="C319" s="72" t="n"/>
      <c r="D319" s="72" t="n"/>
      <c r="E319" s="72" t="n"/>
      <c r="F319" s="73" t="n"/>
      <c r="G319" s="72" t="n"/>
      <c r="H319" s="73" t="n"/>
      <c r="I319" s="72" t="n"/>
      <c r="J319" s="73" t="n"/>
      <c r="K319" s="74" t="n"/>
      <c r="L319" s="75">
        <f>IF(K319="A",F319,IF(K319="B",H319,IF(K319="C",J319,"")))</f>
        <v/>
      </c>
      <c r="M319" s="72" t="n"/>
      <c r="N319" s="72" t="n"/>
      <c r="O319" s="89" t="n"/>
      <c r="P319" s="89" t="n"/>
      <c r="Q319" s="109" t="n"/>
      <c r="R319" s="120">
        <f>IF(B319="","",IF(Q319&lt;&gt;"",Q319,IF(P319="","",IFERROR(INDEX('Timeline'!$J$7:$J$1006,MATCH(P319,'Timeline'!$B$7:$B$1006,0)),""))))</f>
        <v/>
      </c>
      <c r="S319" s="126">
        <f>IF(R319="","",R319-IF(O319="",0,O319)-OrderBuf)</f>
        <v/>
      </c>
      <c r="T319" s="126">
        <f>IF(S319="","",S319-DecideBuf)</f>
        <v/>
      </c>
      <c r="U319" s="74" t="n"/>
      <c r="V319" s="109" t="n"/>
      <c r="W319" s="109" t="n"/>
      <c r="X319" s="74" t="n"/>
      <c r="Y319" s="116">
        <f>IF(B319="","",IF(X319="Yes","Delivered",IF(U319="Yes",IF(AND(W319&lt;&gt;"",R319&lt;&gt;""),IF(W319&gt;R319,"⚠️ Delivery after install date","Ordered"),"Ordered"),IF(K319="",IF(T319="","Waiting for decision",IF(T319&lt;=AsOf+AlertDays,"Decide now","Waiting for decision")),IF(S319="","Selected",IF(AsOf&gt;S319,"⚠️ Order late — install at risk",IF(S319&lt;=AsOf+AlertDays,"Order now","Selected")))))))</f>
        <v/>
      </c>
      <c r="Z319" s="79">
        <f>IF(B319="","",IF(OR(AH319=1,AE319=1),2,IF(OR(AG319=1,AF319=1),1,IF(OR(Y319="Ordered",Y319="Delivered"),0,""))))</f>
        <v/>
      </c>
      <c r="AA319" s="112">
        <f>IF(B319="","",IF(AH319=1,IF(Y319="⚠️ Delivery after install date",R319,S319),IF(AD319=1,T319,IF(AI319=1,S319,""))))</f>
        <v/>
      </c>
      <c r="AB319" s="79">
        <f>IF(AA319="","",IF(AH319=1,1,IF(AA319="","",IF(AA319&lt;AsOf,1,IF(AA319&lt;=AsOf+AlertDays,2,IF(AA319&lt;=AsOf+2*AlertDays,3,""))))))</f>
        <v/>
      </c>
      <c r="AC319" s="79">
        <f>IF(AB319="","",IF(AH319=1,IF(Y319="⚠️ Delivery after install date","Delivery after install date: "&amp;B319,"Order late — install at risk: "&amp;B319),IF(AD319=1,IF(AB319=1,"Decision overdue: ","Decide: ")&amp;B319,"Order: "&amp;B319&amp;IF(N319="",""," from "&amp;N319))))</f>
        <v/>
      </c>
      <c r="AD319" s="79">
        <f>IF(AND(B319&lt;&gt;"",K319="",U319&lt;&gt;"Yes",X319&lt;&gt;"Yes"),1,0)</f>
        <v/>
      </c>
      <c r="AE319" s="79">
        <f>IF(AND(AD319=1,T319&lt;&gt;""),IF(T319&lt;AsOf,1,0),0)</f>
        <v/>
      </c>
      <c r="AF319" s="79">
        <f>IF(AND(AD319=1,T319&lt;&gt;""),IF(AND(T319&gt;=AsOf,T319&lt;=AsOf+AlertDays),1,0),0)</f>
        <v/>
      </c>
      <c r="AG319" s="79">
        <f>IF(Y319="Order now",1,0)</f>
        <v/>
      </c>
      <c r="AH319" s="79">
        <f>IF(OR(Y319="⚠️ Order late — install at risk",Y319="⚠️ Delivery after install date"),1,0)</f>
        <v/>
      </c>
      <c r="AI319" s="79">
        <f>IF(AND(B319&lt;&gt;"",K319&lt;&gt;"",U319&lt;&gt;"Yes",X319&lt;&gt;"Yes"),1,0)</f>
        <v/>
      </c>
      <c r="AJ319" s="79">
        <f>IF(Y319="⚠️ Order late — install at risk",1,0)</f>
        <v/>
      </c>
    </row>
    <row r="320" ht="20" customHeight="1">
      <c r="B320" s="72" t="n"/>
      <c r="C320" s="72" t="n"/>
      <c r="D320" s="72" t="n"/>
      <c r="E320" s="72" t="n"/>
      <c r="F320" s="73" t="n"/>
      <c r="G320" s="72" t="n"/>
      <c r="H320" s="73" t="n"/>
      <c r="I320" s="72" t="n"/>
      <c r="J320" s="73" t="n"/>
      <c r="K320" s="74" t="n"/>
      <c r="L320" s="75">
        <f>IF(K320="A",F320,IF(K320="B",H320,IF(K320="C",J320,"")))</f>
        <v/>
      </c>
      <c r="M320" s="72" t="n"/>
      <c r="N320" s="72" t="n"/>
      <c r="O320" s="89" t="n"/>
      <c r="P320" s="89" t="n"/>
      <c r="Q320" s="109" t="n"/>
      <c r="R320" s="120">
        <f>IF(B320="","",IF(Q320&lt;&gt;"",Q320,IF(P320="","",IFERROR(INDEX('Timeline'!$J$7:$J$1006,MATCH(P320,'Timeline'!$B$7:$B$1006,0)),""))))</f>
        <v/>
      </c>
      <c r="S320" s="126">
        <f>IF(R320="","",R320-IF(O320="",0,O320)-OrderBuf)</f>
        <v/>
      </c>
      <c r="T320" s="126">
        <f>IF(S320="","",S320-DecideBuf)</f>
        <v/>
      </c>
      <c r="U320" s="74" t="n"/>
      <c r="V320" s="109" t="n"/>
      <c r="W320" s="109" t="n"/>
      <c r="X320" s="74" t="n"/>
      <c r="Y320" s="116">
        <f>IF(B320="","",IF(X320="Yes","Delivered",IF(U320="Yes",IF(AND(W320&lt;&gt;"",R320&lt;&gt;""),IF(W320&gt;R320,"⚠️ Delivery after install date","Ordered"),"Ordered"),IF(K320="",IF(T320="","Waiting for decision",IF(T320&lt;=AsOf+AlertDays,"Decide now","Waiting for decision")),IF(S320="","Selected",IF(AsOf&gt;S320,"⚠️ Order late — install at risk",IF(S320&lt;=AsOf+AlertDays,"Order now","Selected")))))))</f>
        <v/>
      </c>
      <c r="Z320" s="79">
        <f>IF(B320="","",IF(OR(AH320=1,AE320=1),2,IF(OR(AG320=1,AF320=1),1,IF(OR(Y320="Ordered",Y320="Delivered"),0,""))))</f>
        <v/>
      </c>
      <c r="AA320" s="112">
        <f>IF(B320="","",IF(AH320=1,IF(Y320="⚠️ Delivery after install date",R320,S320),IF(AD320=1,T320,IF(AI320=1,S320,""))))</f>
        <v/>
      </c>
      <c r="AB320" s="79">
        <f>IF(AA320="","",IF(AH320=1,1,IF(AA320="","",IF(AA320&lt;AsOf,1,IF(AA320&lt;=AsOf+AlertDays,2,IF(AA320&lt;=AsOf+2*AlertDays,3,""))))))</f>
        <v/>
      </c>
      <c r="AC320" s="79">
        <f>IF(AB320="","",IF(AH320=1,IF(Y320="⚠️ Delivery after install date","Delivery after install date: "&amp;B320,"Order late — install at risk: "&amp;B320),IF(AD320=1,IF(AB320=1,"Decision overdue: ","Decide: ")&amp;B320,"Order: "&amp;B320&amp;IF(N320="",""," from "&amp;N320))))</f>
        <v/>
      </c>
      <c r="AD320" s="79">
        <f>IF(AND(B320&lt;&gt;"",K320="",U320&lt;&gt;"Yes",X320&lt;&gt;"Yes"),1,0)</f>
        <v/>
      </c>
      <c r="AE320" s="79">
        <f>IF(AND(AD320=1,T320&lt;&gt;""),IF(T320&lt;AsOf,1,0),0)</f>
        <v/>
      </c>
      <c r="AF320" s="79">
        <f>IF(AND(AD320=1,T320&lt;&gt;""),IF(AND(T320&gt;=AsOf,T320&lt;=AsOf+AlertDays),1,0),0)</f>
        <v/>
      </c>
      <c r="AG320" s="79">
        <f>IF(Y320="Order now",1,0)</f>
        <v/>
      </c>
      <c r="AH320" s="79">
        <f>IF(OR(Y320="⚠️ Order late — install at risk",Y320="⚠️ Delivery after install date"),1,0)</f>
        <v/>
      </c>
      <c r="AI320" s="79">
        <f>IF(AND(B320&lt;&gt;"",K320&lt;&gt;"",U320&lt;&gt;"Yes",X320&lt;&gt;"Yes"),1,0)</f>
        <v/>
      </c>
      <c r="AJ320" s="79">
        <f>IF(Y320="⚠️ Order late — install at risk",1,0)</f>
        <v/>
      </c>
    </row>
    <row r="321" ht="20" customHeight="1">
      <c r="B321" s="72" t="n"/>
      <c r="C321" s="72" t="n"/>
      <c r="D321" s="72" t="n"/>
      <c r="E321" s="72" t="n"/>
      <c r="F321" s="73" t="n"/>
      <c r="G321" s="72" t="n"/>
      <c r="H321" s="73" t="n"/>
      <c r="I321" s="72" t="n"/>
      <c r="J321" s="73" t="n"/>
      <c r="K321" s="74" t="n"/>
      <c r="L321" s="75">
        <f>IF(K321="A",F321,IF(K321="B",H321,IF(K321="C",J321,"")))</f>
        <v/>
      </c>
      <c r="M321" s="72" t="n"/>
      <c r="N321" s="72" t="n"/>
      <c r="O321" s="89" t="n"/>
      <c r="P321" s="89" t="n"/>
      <c r="Q321" s="109" t="n"/>
      <c r="R321" s="120">
        <f>IF(B321="","",IF(Q321&lt;&gt;"",Q321,IF(P321="","",IFERROR(INDEX('Timeline'!$J$7:$J$1006,MATCH(P321,'Timeline'!$B$7:$B$1006,0)),""))))</f>
        <v/>
      </c>
      <c r="S321" s="126">
        <f>IF(R321="","",R321-IF(O321="",0,O321)-OrderBuf)</f>
        <v/>
      </c>
      <c r="T321" s="126">
        <f>IF(S321="","",S321-DecideBuf)</f>
        <v/>
      </c>
      <c r="U321" s="74" t="n"/>
      <c r="V321" s="109" t="n"/>
      <c r="W321" s="109" t="n"/>
      <c r="X321" s="74" t="n"/>
      <c r="Y321" s="116">
        <f>IF(B321="","",IF(X321="Yes","Delivered",IF(U321="Yes",IF(AND(W321&lt;&gt;"",R321&lt;&gt;""),IF(W321&gt;R321,"⚠️ Delivery after install date","Ordered"),"Ordered"),IF(K321="",IF(T321="","Waiting for decision",IF(T321&lt;=AsOf+AlertDays,"Decide now","Waiting for decision")),IF(S321="","Selected",IF(AsOf&gt;S321,"⚠️ Order late — install at risk",IF(S321&lt;=AsOf+AlertDays,"Order now","Selected")))))))</f>
        <v/>
      </c>
      <c r="Z321" s="79">
        <f>IF(B321="","",IF(OR(AH321=1,AE321=1),2,IF(OR(AG321=1,AF321=1),1,IF(OR(Y321="Ordered",Y321="Delivered"),0,""))))</f>
        <v/>
      </c>
      <c r="AA321" s="112">
        <f>IF(B321="","",IF(AH321=1,IF(Y321="⚠️ Delivery after install date",R321,S321),IF(AD321=1,T321,IF(AI321=1,S321,""))))</f>
        <v/>
      </c>
      <c r="AB321" s="79">
        <f>IF(AA321="","",IF(AH321=1,1,IF(AA321="","",IF(AA321&lt;AsOf,1,IF(AA321&lt;=AsOf+AlertDays,2,IF(AA321&lt;=AsOf+2*AlertDays,3,""))))))</f>
        <v/>
      </c>
      <c r="AC321" s="79">
        <f>IF(AB321="","",IF(AH321=1,IF(Y321="⚠️ Delivery after install date","Delivery after install date: "&amp;B321,"Order late — install at risk: "&amp;B321),IF(AD321=1,IF(AB321=1,"Decision overdue: ","Decide: ")&amp;B321,"Order: "&amp;B321&amp;IF(N321="",""," from "&amp;N321))))</f>
        <v/>
      </c>
      <c r="AD321" s="79">
        <f>IF(AND(B321&lt;&gt;"",K321="",U321&lt;&gt;"Yes",X321&lt;&gt;"Yes"),1,0)</f>
        <v/>
      </c>
      <c r="AE321" s="79">
        <f>IF(AND(AD321=1,T321&lt;&gt;""),IF(T321&lt;AsOf,1,0),0)</f>
        <v/>
      </c>
      <c r="AF321" s="79">
        <f>IF(AND(AD321=1,T321&lt;&gt;""),IF(AND(T321&gt;=AsOf,T321&lt;=AsOf+AlertDays),1,0),0)</f>
        <v/>
      </c>
      <c r="AG321" s="79">
        <f>IF(Y321="Order now",1,0)</f>
        <v/>
      </c>
      <c r="AH321" s="79">
        <f>IF(OR(Y321="⚠️ Order late — install at risk",Y321="⚠️ Delivery after install date"),1,0)</f>
        <v/>
      </c>
      <c r="AI321" s="79">
        <f>IF(AND(B321&lt;&gt;"",K321&lt;&gt;"",U321&lt;&gt;"Yes",X321&lt;&gt;"Yes"),1,0)</f>
        <v/>
      </c>
      <c r="AJ321" s="79">
        <f>IF(Y321="⚠️ Order late — install at risk",1,0)</f>
        <v/>
      </c>
    </row>
    <row r="322" ht="20" customHeight="1">
      <c r="B322" s="72" t="n"/>
      <c r="C322" s="72" t="n"/>
      <c r="D322" s="72" t="n"/>
      <c r="E322" s="72" t="n"/>
      <c r="F322" s="73" t="n"/>
      <c r="G322" s="72" t="n"/>
      <c r="H322" s="73" t="n"/>
      <c r="I322" s="72" t="n"/>
      <c r="J322" s="73" t="n"/>
      <c r="K322" s="74" t="n"/>
      <c r="L322" s="75">
        <f>IF(K322="A",F322,IF(K322="B",H322,IF(K322="C",J322,"")))</f>
        <v/>
      </c>
      <c r="M322" s="72" t="n"/>
      <c r="N322" s="72" t="n"/>
      <c r="O322" s="89" t="n"/>
      <c r="P322" s="89" t="n"/>
      <c r="Q322" s="109" t="n"/>
      <c r="R322" s="120">
        <f>IF(B322="","",IF(Q322&lt;&gt;"",Q322,IF(P322="","",IFERROR(INDEX('Timeline'!$J$7:$J$1006,MATCH(P322,'Timeline'!$B$7:$B$1006,0)),""))))</f>
        <v/>
      </c>
      <c r="S322" s="126">
        <f>IF(R322="","",R322-IF(O322="",0,O322)-OrderBuf)</f>
        <v/>
      </c>
      <c r="T322" s="126">
        <f>IF(S322="","",S322-DecideBuf)</f>
        <v/>
      </c>
      <c r="U322" s="74" t="n"/>
      <c r="V322" s="109" t="n"/>
      <c r="W322" s="109" t="n"/>
      <c r="X322" s="74" t="n"/>
      <c r="Y322" s="116">
        <f>IF(B322="","",IF(X322="Yes","Delivered",IF(U322="Yes",IF(AND(W322&lt;&gt;"",R322&lt;&gt;""),IF(W322&gt;R322,"⚠️ Delivery after install date","Ordered"),"Ordered"),IF(K322="",IF(T322="","Waiting for decision",IF(T322&lt;=AsOf+AlertDays,"Decide now","Waiting for decision")),IF(S322="","Selected",IF(AsOf&gt;S322,"⚠️ Order late — install at risk",IF(S322&lt;=AsOf+AlertDays,"Order now","Selected")))))))</f>
        <v/>
      </c>
      <c r="Z322" s="79">
        <f>IF(B322="","",IF(OR(AH322=1,AE322=1),2,IF(OR(AG322=1,AF322=1),1,IF(OR(Y322="Ordered",Y322="Delivered"),0,""))))</f>
        <v/>
      </c>
      <c r="AA322" s="112">
        <f>IF(B322="","",IF(AH322=1,IF(Y322="⚠️ Delivery after install date",R322,S322),IF(AD322=1,T322,IF(AI322=1,S322,""))))</f>
        <v/>
      </c>
      <c r="AB322" s="79">
        <f>IF(AA322="","",IF(AH322=1,1,IF(AA322="","",IF(AA322&lt;AsOf,1,IF(AA322&lt;=AsOf+AlertDays,2,IF(AA322&lt;=AsOf+2*AlertDays,3,""))))))</f>
        <v/>
      </c>
      <c r="AC322" s="79">
        <f>IF(AB322="","",IF(AH322=1,IF(Y322="⚠️ Delivery after install date","Delivery after install date: "&amp;B322,"Order late — install at risk: "&amp;B322),IF(AD322=1,IF(AB322=1,"Decision overdue: ","Decide: ")&amp;B322,"Order: "&amp;B322&amp;IF(N322="",""," from "&amp;N322))))</f>
        <v/>
      </c>
      <c r="AD322" s="79">
        <f>IF(AND(B322&lt;&gt;"",K322="",U322&lt;&gt;"Yes",X322&lt;&gt;"Yes"),1,0)</f>
        <v/>
      </c>
      <c r="AE322" s="79">
        <f>IF(AND(AD322=1,T322&lt;&gt;""),IF(T322&lt;AsOf,1,0),0)</f>
        <v/>
      </c>
      <c r="AF322" s="79">
        <f>IF(AND(AD322=1,T322&lt;&gt;""),IF(AND(T322&gt;=AsOf,T322&lt;=AsOf+AlertDays),1,0),0)</f>
        <v/>
      </c>
      <c r="AG322" s="79">
        <f>IF(Y322="Order now",1,0)</f>
        <v/>
      </c>
      <c r="AH322" s="79">
        <f>IF(OR(Y322="⚠️ Order late — install at risk",Y322="⚠️ Delivery after install date"),1,0)</f>
        <v/>
      </c>
      <c r="AI322" s="79">
        <f>IF(AND(B322&lt;&gt;"",K322&lt;&gt;"",U322&lt;&gt;"Yes",X322&lt;&gt;"Yes"),1,0)</f>
        <v/>
      </c>
      <c r="AJ322" s="79">
        <f>IF(Y322="⚠️ Order late — install at risk",1,0)</f>
        <v/>
      </c>
    </row>
    <row r="323" ht="20" customHeight="1">
      <c r="B323" s="72" t="n"/>
      <c r="C323" s="72" t="n"/>
      <c r="D323" s="72" t="n"/>
      <c r="E323" s="72" t="n"/>
      <c r="F323" s="73" t="n"/>
      <c r="G323" s="72" t="n"/>
      <c r="H323" s="73" t="n"/>
      <c r="I323" s="72" t="n"/>
      <c r="J323" s="73" t="n"/>
      <c r="K323" s="74" t="n"/>
      <c r="L323" s="75">
        <f>IF(K323="A",F323,IF(K323="B",H323,IF(K323="C",J323,"")))</f>
        <v/>
      </c>
      <c r="M323" s="72" t="n"/>
      <c r="N323" s="72" t="n"/>
      <c r="O323" s="89" t="n"/>
      <c r="P323" s="89" t="n"/>
      <c r="Q323" s="109" t="n"/>
      <c r="R323" s="120">
        <f>IF(B323="","",IF(Q323&lt;&gt;"",Q323,IF(P323="","",IFERROR(INDEX('Timeline'!$J$7:$J$1006,MATCH(P323,'Timeline'!$B$7:$B$1006,0)),""))))</f>
        <v/>
      </c>
      <c r="S323" s="126">
        <f>IF(R323="","",R323-IF(O323="",0,O323)-OrderBuf)</f>
        <v/>
      </c>
      <c r="T323" s="126">
        <f>IF(S323="","",S323-DecideBuf)</f>
        <v/>
      </c>
      <c r="U323" s="74" t="n"/>
      <c r="V323" s="109" t="n"/>
      <c r="W323" s="109" t="n"/>
      <c r="X323" s="74" t="n"/>
      <c r="Y323" s="116">
        <f>IF(B323="","",IF(X323="Yes","Delivered",IF(U323="Yes",IF(AND(W323&lt;&gt;"",R323&lt;&gt;""),IF(W323&gt;R323,"⚠️ Delivery after install date","Ordered"),"Ordered"),IF(K323="",IF(T323="","Waiting for decision",IF(T323&lt;=AsOf+AlertDays,"Decide now","Waiting for decision")),IF(S323="","Selected",IF(AsOf&gt;S323,"⚠️ Order late — install at risk",IF(S323&lt;=AsOf+AlertDays,"Order now","Selected")))))))</f>
        <v/>
      </c>
      <c r="Z323" s="79">
        <f>IF(B323="","",IF(OR(AH323=1,AE323=1),2,IF(OR(AG323=1,AF323=1),1,IF(OR(Y323="Ordered",Y323="Delivered"),0,""))))</f>
        <v/>
      </c>
      <c r="AA323" s="112">
        <f>IF(B323="","",IF(AH323=1,IF(Y323="⚠️ Delivery after install date",R323,S323),IF(AD323=1,T323,IF(AI323=1,S323,""))))</f>
        <v/>
      </c>
      <c r="AB323" s="79">
        <f>IF(AA323="","",IF(AH323=1,1,IF(AA323="","",IF(AA323&lt;AsOf,1,IF(AA323&lt;=AsOf+AlertDays,2,IF(AA323&lt;=AsOf+2*AlertDays,3,""))))))</f>
        <v/>
      </c>
      <c r="AC323" s="79">
        <f>IF(AB323="","",IF(AH323=1,IF(Y323="⚠️ Delivery after install date","Delivery after install date: "&amp;B323,"Order late — install at risk: "&amp;B323),IF(AD323=1,IF(AB323=1,"Decision overdue: ","Decide: ")&amp;B323,"Order: "&amp;B323&amp;IF(N323="",""," from "&amp;N323))))</f>
        <v/>
      </c>
      <c r="AD323" s="79">
        <f>IF(AND(B323&lt;&gt;"",K323="",U323&lt;&gt;"Yes",X323&lt;&gt;"Yes"),1,0)</f>
        <v/>
      </c>
      <c r="AE323" s="79">
        <f>IF(AND(AD323=1,T323&lt;&gt;""),IF(T323&lt;AsOf,1,0),0)</f>
        <v/>
      </c>
      <c r="AF323" s="79">
        <f>IF(AND(AD323=1,T323&lt;&gt;""),IF(AND(T323&gt;=AsOf,T323&lt;=AsOf+AlertDays),1,0),0)</f>
        <v/>
      </c>
      <c r="AG323" s="79">
        <f>IF(Y323="Order now",1,0)</f>
        <v/>
      </c>
      <c r="AH323" s="79">
        <f>IF(OR(Y323="⚠️ Order late — install at risk",Y323="⚠️ Delivery after install date"),1,0)</f>
        <v/>
      </c>
      <c r="AI323" s="79">
        <f>IF(AND(B323&lt;&gt;"",K323&lt;&gt;"",U323&lt;&gt;"Yes",X323&lt;&gt;"Yes"),1,0)</f>
        <v/>
      </c>
      <c r="AJ323" s="79">
        <f>IF(Y323="⚠️ Order late — install at risk",1,0)</f>
        <v/>
      </c>
    </row>
    <row r="324" ht="20" customHeight="1">
      <c r="B324" s="72" t="n"/>
      <c r="C324" s="72" t="n"/>
      <c r="D324" s="72" t="n"/>
      <c r="E324" s="72" t="n"/>
      <c r="F324" s="73" t="n"/>
      <c r="G324" s="72" t="n"/>
      <c r="H324" s="73" t="n"/>
      <c r="I324" s="72" t="n"/>
      <c r="J324" s="73" t="n"/>
      <c r="K324" s="74" t="n"/>
      <c r="L324" s="75">
        <f>IF(K324="A",F324,IF(K324="B",H324,IF(K324="C",J324,"")))</f>
        <v/>
      </c>
      <c r="M324" s="72" t="n"/>
      <c r="N324" s="72" t="n"/>
      <c r="O324" s="89" t="n"/>
      <c r="P324" s="89" t="n"/>
      <c r="Q324" s="109" t="n"/>
      <c r="R324" s="120">
        <f>IF(B324="","",IF(Q324&lt;&gt;"",Q324,IF(P324="","",IFERROR(INDEX('Timeline'!$J$7:$J$1006,MATCH(P324,'Timeline'!$B$7:$B$1006,0)),""))))</f>
        <v/>
      </c>
      <c r="S324" s="126">
        <f>IF(R324="","",R324-IF(O324="",0,O324)-OrderBuf)</f>
        <v/>
      </c>
      <c r="T324" s="126">
        <f>IF(S324="","",S324-DecideBuf)</f>
        <v/>
      </c>
      <c r="U324" s="74" t="n"/>
      <c r="V324" s="109" t="n"/>
      <c r="W324" s="109" t="n"/>
      <c r="X324" s="74" t="n"/>
      <c r="Y324" s="116">
        <f>IF(B324="","",IF(X324="Yes","Delivered",IF(U324="Yes",IF(AND(W324&lt;&gt;"",R324&lt;&gt;""),IF(W324&gt;R324,"⚠️ Delivery after install date","Ordered"),"Ordered"),IF(K324="",IF(T324="","Waiting for decision",IF(T324&lt;=AsOf+AlertDays,"Decide now","Waiting for decision")),IF(S324="","Selected",IF(AsOf&gt;S324,"⚠️ Order late — install at risk",IF(S324&lt;=AsOf+AlertDays,"Order now","Selected")))))))</f>
        <v/>
      </c>
      <c r="Z324" s="79">
        <f>IF(B324="","",IF(OR(AH324=1,AE324=1),2,IF(OR(AG324=1,AF324=1),1,IF(OR(Y324="Ordered",Y324="Delivered"),0,""))))</f>
        <v/>
      </c>
      <c r="AA324" s="112">
        <f>IF(B324="","",IF(AH324=1,IF(Y324="⚠️ Delivery after install date",R324,S324),IF(AD324=1,T324,IF(AI324=1,S324,""))))</f>
        <v/>
      </c>
      <c r="AB324" s="79">
        <f>IF(AA324="","",IF(AH324=1,1,IF(AA324="","",IF(AA324&lt;AsOf,1,IF(AA324&lt;=AsOf+AlertDays,2,IF(AA324&lt;=AsOf+2*AlertDays,3,""))))))</f>
        <v/>
      </c>
      <c r="AC324" s="79">
        <f>IF(AB324="","",IF(AH324=1,IF(Y324="⚠️ Delivery after install date","Delivery after install date: "&amp;B324,"Order late — install at risk: "&amp;B324),IF(AD324=1,IF(AB324=1,"Decision overdue: ","Decide: ")&amp;B324,"Order: "&amp;B324&amp;IF(N324="",""," from "&amp;N324))))</f>
        <v/>
      </c>
      <c r="AD324" s="79">
        <f>IF(AND(B324&lt;&gt;"",K324="",U324&lt;&gt;"Yes",X324&lt;&gt;"Yes"),1,0)</f>
        <v/>
      </c>
      <c r="AE324" s="79">
        <f>IF(AND(AD324=1,T324&lt;&gt;""),IF(T324&lt;AsOf,1,0),0)</f>
        <v/>
      </c>
      <c r="AF324" s="79">
        <f>IF(AND(AD324=1,T324&lt;&gt;""),IF(AND(T324&gt;=AsOf,T324&lt;=AsOf+AlertDays),1,0),0)</f>
        <v/>
      </c>
      <c r="AG324" s="79">
        <f>IF(Y324="Order now",1,0)</f>
        <v/>
      </c>
      <c r="AH324" s="79">
        <f>IF(OR(Y324="⚠️ Order late — install at risk",Y324="⚠️ Delivery after install date"),1,0)</f>
        <v/>
      </c>
      <c r="AI324" s="79">
        <f>IF(AND(B324&lt;&gt;"",K324&lt;&gt;"",U324&lt;&gt;"Yes",X324&lt;&gt;"Yes"),1,0)</f>
        <v/>
      </c>
      <c r="AJ324" s="79">
        <f>IF(Y324="⚠️ Order late — install at risk",1,0)</f>
        <v/>
      </c>
    </row>
    <row r="325" ht="20" customHeight="1">
      <c r="B325" s="72" t="n"/>
      <c r="C325" s="72" t="n"/>
      <c r="D325" s="72" t="n"/>
      <c r="E325" s="72" t="n"/>
      <c r="F325" s="73" t="n"/>
      <c r="G325" s="72" t="n"/>
      <c r="H325" s="73" t="n"/>
      <c r="I325" s="72" t="n"/>
      <c r="J325" s="73" t="n"/>
      <c r="K325" s="74" t="n"/>
      <c r="L325" s="75">
        <f>IF(K325="A",F325,IF(K325="B",H325,IF(K325="C",J325,"")))</f>
        <v/>
      </c>
      <c r="M325" s="72" t="n"/>
      <c r="N325" s="72" t="n"/>
      <c r="O325" s="89" t="n"/>
      <c r="P325" s="89" t="n"/>
      <c r="Q325" s="109" t="n"/>
      <c r="R325" s="120">
        <f>IF(B325="","",IF(Q325&lt;&gt;"",Q325,IF(P325="","",IFERROR(INDEX('Timeline'!$J$7:$J$1006,MATCH(P325,'Timeline'!$B$7:$B$1006,0)),""))))</f>
        <v/>
      </c>
      <c r="S325" s="126">
        <f>IF(R325="","",R325-IF(O325="",0,O325)-OrderBuf)</f>
        <v/>
      </c>
      <c r="T325" s="126">
        <f>IF(S325="","",S325-DecideBuf)</f>
        <v/>
      </c>
      <c r="U325" s="74" t="n"/>
      <c r="V325" s="109" t="n"/>
      <c r="W325" s="109" t="n"/>
      <c r="X325" s="74" t="n"/>
      <c r="Y325" s="116">
        <f>IF(B325="","",IF(X325="Yes","Delivered",IF(U325="Yes",IF(AND(W325&lt;&gt;"",R325&lt;&gt;""),IF(W325&gt;R325,"⚠️ Delivery after install date","Ordered"),"Ordered"),IF(K325="",IF(T325="","Waiting for decision",IF(T325&lt;=AsOf+AlertDays,"Decide now","Waiting for decision")),IF(S325="","Selected",IF(AsOf&gt;S325,"⚠️ Order late — install at risk",IF(S325&lt;=AsOf+AlertDays,"Order now","Selected")))))))</f>
        <v/>
      </c>
      <c r="Z325" s="79">
        <f>IF(B325="","",IF(OR(AH325=1,AE325=1),2,IF(OR(AG325=1,AF325=1),1,IF(OR(Y325="Ordered",Y325="Delivered"),0,""))))</f>
        <v/>
      </c>
      <c r="AA325" s="112">
        <f>IF(B325="","",IF(AH325=1,IF(Y325="⚠️ Delivery after install date",R325,S325),IF(AD325=1,T325,IF(AI325=1,S325,""))))</f>
        <v/>
      </c>
      <c r="AB325" s="79">
        <f>IF(AA325="","",IF(AH325=1,1,IF(AA325="","",IF(AA325&lt;AsOf,1,IF(AA325&lt;=AsOf+AlertDays,2,IF(AA325&lt;=AsOf+2*AlertDays,3,""))))))</f>
        <v/>
      </c>
      <c r="AC325" s="79">
        <f>IF(AB325="","",IF(AH325=1,IF(Y325="⚠️ Delivery after install date","Delivery after install date: "&amp;B325,"Order late — install at risk: "&amp;B325),IF(AD325=1,IF(AB325=1,"Decision overdue: ","Decide: ")&amp;B325,"Order: "&amp;B325&amp;IF(N325="",""," from "&amp;N325))))</f>
        <v/>
      </c>
      <c r="AD325" s="79">
        <f>IF(AND(B325&lt;&gt;"",K325="",U325&lt;&gt;"Yes",X325&lt;&gt;"Yes"),1,0)</f>
        <v/>
      </c>
      <c r="AE325" s="79">
        <f>IF(AND(AD325=1,T325&lt;&gt;""),IF(T325&lt;AsOf,1,0),0)</f>
        <v/>
      </c>
      <c r="AF325" s="79">
        <f>IF(AND(AD325=1,T325&lt;&gt;""),IF(AND(T325&gt;=AsOf,T325&lt;=AsOf+AlertDays),1,0),0)</f>
        <v/>
      </c>
      <c r="AG325" s="79">
        <f>IF(Y325="Order now",1,0)</f>
        <v/>
      </c>
      <c r="AH325" s="79">
        <f>IF(OR(Y325="⚠️ Order late — install at risk",Y325="⚠️ Delivery after install date"),1,0)</f>
        <v/>
      </c>
      <c r="AI325" s="79">
        <f>IF(AND(B325&lt;&gt;"",K325&lt;&gt;"",U325&lt;&gt;"Yes",X325&lt;&gt;"Yes"),1,0)</f>
        <v/>
      </c>
      <c r="AJ325" s="79">
        <f>IF(Y325="⚠️ Order late — install at risk",1,0)</f>
        <v/>
      </c>
    </row>
    <row r="326" ht="20" customHeight="1">
      <c r="B326" s="72" t="n"/>
      <c r="C326" s="72" t="n"/>
      <c r="D326" s="72" t="n"/>
      <c r="E326" s="72" t="n"/>
      <c r="F326" s="73" t="n"/>
      <c r="G326" s="72" t="n"/>
      <c r="H326" s="73" t="n"/>
      <c r="I326" s="72" t="n"/>
      <c r="J326" s="73" t="n"/>
      <c r="K326" s="74" t="n"/>
      <c r="L326" s="75">
        <f>IF(K326="A",F326,IF(K326="B",H326,IF(K326="C",J326,"")))</f>
        <v/>
      </c>
      <c r="M326" s="72" t="n"/>
      <c r="N326" s="72" t="n"/>
      <c r="O326" s="89" t="n"/>
      <c r="P326" s="89" t="n"/>
      <c r="Q326" s="109" t="n"/>
      <c r="R326" s="120">
        <f>IF(B326="","",IF(Q326&lt;&gt;"",Q326,IF(P326="","",IFERROR(INDEX('Timeline'!$J$7:$J$1006,MATCH(P326,'Timeline'!$B$7:$B$1006,0)),""))))</f>
        <v/>
      </c>
      <c r="S326" s="126">
        <f>IF(R326="","",R326-IF(O326="",0,O326)-OrderBuf)</f>
        <v/>
      </c>
      <c r="T326" s="126">
        <f>IF(S326="","",S326-DecideBuf)</f>
        <v/>
      </c>
      <c r="U326" s="74" t="n"/>
      <c r="V326" s="109" t="n"/>
      <c r="W326" s="109" t="n"/>
      <c r="X326" s="74" t="n"/>
      <c r="Y326" s="116">
        <f>IF(B326="","",IF(X326="Yes","Delivered",IF(U326="Yes",IF(AND(W326&lt;&gt;"",R326&lt;&gt;""),IF(W326&gt;R326,"⚠️ Delivery after install date","Ordered"),"Ordered"),IF(K326="",IF(T326="","Waiting for decision",IF(T326&lt;=AsOf+AlertDays,"Decide now","Waiting for decision")),IF(S326="","Selected",IF(AsOf&gt;S326,"⚠️ Order late — install at risk",IF(S326&lt;=AsOf+AlertDays,"Order now","Selected")))))))</f>
        <v/>
      </c>
      <c r="Z326" s="79">
        <f>IF(B326="","",IF(OR(AH326=1,AE326=1),2,IF(OR(AG326=1,AF326=1),1,IF(OR(Y326="Ordered",Y326="Delivered"),0,""))))</f>
        <v/>
      </c>
      <c r="AA326" s="112">
        <f>IF(B326="","",IF(AH326=1,IF(Y326="⚠️ Delivery after install date",R326,S326),IF(AD326=1,T326,IF(AI326=1,S326,""))))</f>
        <v/>
      </c>
      <c r="AB326" s="79">
        <f>IF(AA326="","",IF(AH326=1,1,IF(AA326="","",IF(AA326&lt;AsOf,1,IF(AA326&lt;=AsOf+AlertDays,2,IF(AA326&lt;=AsOf+2*AlertDays,3,""))))))</f>
        <v/>
      </c>
      <c r="AC326" s="79">
        <f>IF(AB326="","",IF(AH326=1,IF(Y326="⚠️ Delivery after install date","Delivery after install date: "&amp;B326,"Order late — install at risk: "&amp;B326),IF(AD326=1,IF(AB326=1,"Decision overdue: ","Decide: ")&amp;B326,"Order: "&amp;B326&amp;IF(N326="",""," from "&amp;N326))))</f>
        <v/>
      </c>
      <c r="AD326" s="79">
        <f>IF(AND(B326&lt;&gt;"",K326="",U326&lt;&gt;"Yes",X326&lt;&gt;"Yes"),1,0)</f>
        <v/>
      </c>
      <c r="AE326" s="79">
        <f>IF(AND(AD326=1,T326&lt;&gt;""),IF(T326&lt;AsOf,1,0),0)</f>
        <v/>
      </c>
      <c r="AF326" s="79">
        <f>IF(AND(AD326=1,T326&lt;&gt;""),IF(AND(T326&gt;=AsOf,T326&lt;=AsOf+AlertDays),1,0),0)</f>
        <v/>
      </c>
      <c r="AG326" s="79">
        <f>IF(Y326="Order now",1,0)</f>
        <v/>
      </c>
      <c r="AH326" s="79">
        <f>IF(OR(Y326="⚠️ Order late — install at risk",Y326="⚠️ Delivery after install date"),1,0)</f>
        <v/>
      </c>
      <c r="AI326" s="79">
        <f>IF(AND(B326&lt;&gt;"",K326&lt;&gt;"",U326&lt;&gt;"Yes",X326&lt;&gt;"Yes"),1,0)</f>
        <v/>
      </c>
      <c r="AJ326" s="79">
        <f>IF(Y326="⚠️ Order late — install at risk",1,0)</f>
        <v/>
      </c>
    </row>
    <row r="327" ht="20" customHeight="1">
      <c r="B327" s="72" t="n"/>
      <c r="C327" s="72" t="n"/>
      <c r="D327" s="72" t="n"/>
      <c r="E327" s="72" t="n"/>
      <c r="F327" s="73" t="n"/>
      <c r="G327" s="72" t="n"/>
      <c r="H327" s="73" t="n"/>
      <c r="I327" s="72" t="n"/>
      <c r="J327" s="73" t="n"/>
      <c r="K327" s="74" t="n"/>
      <c r="L327" s="75">
        <f>IF(K327="A",F327,IF(K327="B",H327,IF(K327="C",J327,"")))</f>
        <v/>
      </c>
      <c r="M327" s="72" t="n"/>
      <c r="N327" s="72" t="n"/>
      <c r="O327" s="89" t="n"/>
      <c r="P327" s="89" t="n"/>
      <c r="Q327" s="109" t="n"/>
      <c r="R327" s="120">
        <f>IF(B327="","",IF(Q327&lt;&gt;"",Q327,IF(P327="","",IFERROR(INDEX('Timeline'!$J$7:$J$1006,MATCH(P327,'Timeline'!$B$7:$B$1006,0)),""))))</f>
        <v/>
      </c>
      <c r="S327" s="126">
        <f>IF(R327="","",R327-IF(O327="",0,O327)-OrderBuf)</f>
        <v/>
      </c>
      <c r="T327" s="126">
        <f>IF(S327="","",S327-DecideBuf)</f>
        <v/>
      </c>
      <c r="U327" s="74" t="n"/>
      <c r="V327" s="109" t="n"/>
      <c r="W327" s="109" t="n"/>
      <c r="X327" s="74" t="n"/>
      <c r="Y327" s="116">
        <f>IF(B327="","",IF(X327="Yes","Delivered",IF(U327="Yes",IF(AND(W327&lt;&gt;"",R327&lt;&gt;""),IF(W327&gt;R327,"⚠️ Delivery after install date","Ordered"),"Ordered"),IF(K327="",IF(T327="","Waiting for decision",IF(T327&lt;=AsOf+AlertDays,"Decide now","Waiting for decision")),IF(S327="","Selected",IF(AsOf&gt;S327,"⚠️ Order late — install at risk",IF(S327&lt;=AsOf+AlertDays,"Order now","Selected")))))))</f>
        <v/>
      </c>
      <c r="Z327" s="79">
        <f>IF(B327="","",IF(OR(AH327=1,AE327=1),2,IF(OR(AG327=1,AF327=1),1,IF(OR(Y327="Ordered",Y327="Delivered"),0,""))))</f>
        <v/>
      </c>
      <c r="AA327" s="112">
        <f>IF(B327="","",IF(AH327=1,IF(Y327="⚠️ Delivery after install date",R327,S327),IF(AD327=1,T327,IF(AI327=1,S327,""))))</f>
        <v/>
      </c>
      <c r="AB327" s="79">
        <f>IF(AA327="","",IF(AH327=1,1,IF(AA327="","",IF(AA327&lt;AsOf,1,IF(AA327&lt;=AsOf+AlertDays,2,IF(AA327&lt;=AsOf+2*AlertDays,3,""))))))</f>
        <v/>
      </c>
      <c r="AC327" s="79">
        <f>IF(AB327="","",IF(AH327=1,IF(Y327="⚠️ Delivery after install date","Delivery after install date: "&amp;B327,"Order late — install at risk: "&amp;B327),IF(AD327=1,IF(AB327=1,"Decision overdue: ","Decide: ")&amp;B327,"Order: "&amp;B327&amp;IF(N327="",""," from "&amp;N327))))</f>
        <v/>
      </c>
      <c r="AD327" s="79">
        <f>IF(AND(B327&lt;&gt;"",K327="",U327&lt;&gt;"Yes",X327&lt;&gt;"Yes"),1,0)</f>
        <v/>
      </c>
      <c r="AE327" s="79">
        <f>IF(AND(AD327=1,T327&lt;&gt;""),IF(T327&lt;AsOf,1,0),0)</f>
        <v/>
      </c>
      <c r="AF327" s="79">
        <f>IF(AND(AD327=1,T327&lt;&gt;""),IF(AND(T327&gt;=AsOf,T327&lt;=AsOf+AlertDays),1,0),0)</f>
        <v/>
      </c>
      <c r="AG327" s="79">
        <f>IF(Y327="Order now",1,0)</f>
        <v/>
      </c>
      <c r="AH327" s="79">
        <f>IF(OR(Y327="⚠️ Order late — install at risk",Y327="⚠️ Delivery after install date"),1,0)</f>
        <v/>
      </c>
      <c r="AI327" s="79">
        <f>IF(AND(B327&lt;&gt;"",K327&lt;&gt;"",U327&lt;&gt;"Yes",X327&lt;&gt;"Yes"),1,0)</f>
        <v/>
      </c>
      <c r="AJ327" s="79">
        <f>IF(Y327="⚠️ Order late — install at risk",1,0)</f>
        <v/>
      </c>
    </row>
    <row r="328" ht="20" customHeight="1">
      <c r="B328" s="72" t="n"/>
      <c r="C328" s="72" t="n"/>
      <c r="D328" s="72" t="n"/>
      <c r="E328" s="72" t="n"/>
      <c r="F328" s="73" t="n"/>
      <c r="G328" s="72" t="n"/>
      <c r="H328" s="73" t="n"/>
      <c r="I328" s="72" t="n"/>
      <c r="J328" s="73" t="n"/>
      <c r="K328" s="74" t="n"/>
      <c r="L328" s="75">
        <f>IF(K328="A",F328,IF(K328="B",H328,IF(K328="C",J328,"")))</f>
        <v/>
      </c>
      <c r="M328" s="72" t="n"/>
      <c r="N328" s="72" t="n"/>
      <c r="O328" s="89" t="n"/>
      <c r="P328" s="89" t="n"/>
      <c r="Q328" s="109" t="n"/>
      <c r="R328" s="120">
        <f>IF(B328="","",IF(Q328&lt;&gt;"",Q328,IF(P328="","",IFERROR(INDEX('Timeline'!$J$7:$J$1006,MATCH(P328,'Timeline'!$B$7:$B$1006,0)),""))))</f>
        <v/>
      </c>
      <c r="S328" s="126">
        <f>IF(R328="","",R328-IF(O328="",0,O328)-OrderBuf)</f>
        <v/>
      </c>
      <c r="T328" s="126">
        <f>IF(S328="","",S328-DecideBuf)</f>
        <v/>
      </c>
      <c r="U328" s="74" t="n"/>
      <c r="V328" s="109" t="n"/>
      <c r="W328" s="109" t="n"/>
      <c r="X328" s="74" t="n"/>
      <c r="Y328" s="116">
        <f>IF(B328="","",IF(X328="Yes","Delivered",IF(U328="Yes",IF(AND(W328&lt;&gt;"",R328&lt;&gt;""),IF(W328&gt;R328,"⚠️ Delivery after install date","Ordered"),"Ordered"),IF(K328="",IF(T328="","Waiting for decision",IF(T328&lt;=AsOf+AlertDays,"Decide now","Waiting for decision")),IF(S328="","Selected",IF(AsOf&gt;S328,"⚠️ Order late — install at risk",IF(S328&lt;=AsOf+AlertDays,"Order now","Selected")))))))</f>
        <v/>
      </c>
      <c r="Z328" s="79">
        <f>IF(B328="","",IF(OR(AH328=1,AE328=1),2,IF(OR(AG328=1,AF328=1),1,IF(OR(Y328="Ordered",Y328="Delivered"),0,""))))</f>
        <v/>
      </c>
      <c r="AA328" s="112">
        <f>IF(B328="","",IF(AH328=1,IF(Y328="⚠️ Delivery after install date",R328,S328),IF(AD328=1,T328,IF(AI328=1,S328,""))))</f>
        <v/>
      </c>
      <c r="AB328" s="79">
        <f>IF(AA328="","",IF(AH328=1,1,IF(AA328="","",IF(AA328&lt;AsOf,1,IF(AA328&lt;=AsOf+AlertDays,2,IF(AA328&lt;=AsOf+2*AlertDays,3,""))))))</f>
        <v/>
      </c>
      <c r="AC328" s="79">
        <f>IF(AB328="","",IF(AH328=1,IF(Y328="⚠️ Delivery after install date","Delivery after install date: "&amp;B328,"Order late — install at risk: "&amp;B328),IF(AD328=1,IF(AB328=1,"Decision overdue: ","Decide: ")&amp;B328,"Order: "&amp;B328&amp;IF(N328="",""," from "&amp;N328))))</f>
        <v/>
      </c>
      <c r="AD328" s="79">
        <f>IF(AND(B328&lt;&gt;"",K328="",U328&lt;&gt;"Yes",X328&lt;&gt;"Yes"),1,0)</f>
        <v/>
      </c>
      <c r="AE328" s="79">
        <f>IF(AND(AD328=1,T328&lt;&gt;""),IF(T328&lt;AsOf,1,0),0)</f>
        <v/>
      </c>
      <c r="AF328" s="79">
        <f>IF(AND(AD328=1,T328&lt;&gt;""),IF(AND(T328&gt;=AsOf,T328&lt;=AsOf+AlertDays),1,0),0)</f>
        <v/>
      </c>
      <c r="AG328" s="79">
        <f>IF(Y328="Order now",1,0)</f>
        <v/>
      </c>
      <c r="AH328" s="79">
        <f>IF(OR(Y328="⚠️ Order late — install at risk",Y328="⚠️ Delivery after install date"),1,0)</f>
        <v/>
      </c>
      <c r="AI328" s="79">
        <f>IF(AND(B328&lt;&gt;"",K328&lt;&gt;"",U328&lt;&gt;"Yes",X328&lt;&gt;"Yes"),1,0)</f>
        <v/>
      </c>
      <c r="AJ328" s="79">
        <f>IF(Y328="⚠️ Order late — install at risk",1,0)</f>
        <v/>
      </c>
    </row>
    <row r="329" ht="20" customHeight="1">
      <c r="B329" s="72" t="n"/>
      <c r="C329" s="72" t="n"/>
      <c r="D329" s="72" t="n"/>
      <c r="E329" s="72" t="n"/>
      <c r="F329" s="73" t="n"/>
      <c r="G329" s="72" t="n"/>
      <c r="H329" s="73" t="n"/>
      <c r="I329" s="72" t="n"/>
      <c r="J329" s="73" t="n"/>
      <c r="K329" s="74" t="n"/>
      <c r="L329" s="75">
        <f>IF(K329="A",F329,IF(K329="B",H329,IF(K329="C",J329,"")))</f>
        <v/>
      </c>
      <c r="M329" s="72" t="n"/>
      <c r="N329" s="72" t="n"/>
      <c r="O329" s="89" t="n"/>
      <c r="P329" s="89" t="n"/>
      <c r="Q329" s="109" t="n"/>
      <c r="R329" s="120">
        <f>IF(B329="","",IF(Q329&lt;&gt;"",Q329,IF(P329="","",IFERROR(INDEX('Timeline'!$J$7:$J$1006,MATCH(P329,'Timeline'!$B$7:$B$1006,0)),""))))</f>
        <v/>
      </c>
      <c r="S329" s="126">
        <f>IF(R329="","",R329-IF(O329="",0,O329)-OrderBuf)</f>
        <v/>
      </c>
      <c r="T329" s="126">
        <f>IF(S329="","",S329-DecideBuf)</f>
        <v/>
      </c>
      <c r="U329" s="74" t="n"/>
      <c r="V329" s="109" t="n"/>
      <c r="W329" s="109" t="n"/>
      <c r="X329" s="74" t="n"/>
      <c r="Y329" s="116">
        <f>IF(B329="","",IF(X329="Yes","Delivered",IF(U329="Yes",IF(AND(W329&lt;&gt;"",R329&lt;&gt;""),IF(W329&gt;R329,"⚠️ Delivery after install date","Ordered"),"Ordered"),IF(K329="",IF(T329="","Waiting for decision",IF(T329&lt;=AsOf+AlertDays,"Decide now","Waiting for decision")),IF(S329="","Selected",IF(AsOf&gt;S329,"⚠️ Order late — install at risk",IF(S329&lt;=AsOf+AlertDays,"Order now","Selected")))))))</f>
        <v/>
      </c>
      <c r="Z329" s="79">
        <f>IF(B329="","",IF(OR(AH329=1,AE329=1),2,IF(OR(AG329=1,AF329=1),1,IF(OR(Y329="Ordered",Y329="Delivered"),0,""))))</f>
        <v/>
      </c>
      <c r="AA329" s="112">
        <f>IF(B329="","",IF(AH329=1,IF(Y329="⚠️ Delivery after install date",R329,S329),IF(AD329=1,T329,IF(AI329=1,S329,""))))</f>
        <v/>
      </c>
      <c r="AB329" s="79">
        <f>IF(AA329="","",IF(AH329=1,1,IF(AA329="","",IF(AA329&lt;AsOf,1,IF(AA329&lt;=AsOf+AlertDays,2,IF(AA329&lt;=AsOf+2*AlertDays,3,""))))))</f>
        <v/>
      </c>
      <c r="AC329" s="79">
        <f>IF(AB329="","",IF(AH329=1,IF(Y329="⚠️ Delivery after install date","Delivery after install date: "&amp;B329,"Order late — install at risk: "&amp;B329),IF(AD329=1,IF(AB329=1,"Decision overdue: ","Decide: ")&amp;B329,"Order: "&amp;B329&amp;IF(N329="",""," from "&amp;N329))))</f>
        <v/>
      </c>
      <c r="AD329" s="79">
        <f>IF(AND(B329&lt;&gt;"",K329="",U329&lt;&gt;"Yes",X329&lt;&gt;"Yes"),1,0)</f>
        <v/>
      </c>
      <c r="AE329" s="79">
        <f>IF(AND(AD329=1,T329&lt;&gt;""),IF(T329&lt;AsOf,1,0),0)</f>
        <v/>
      </c>
      <c r="AF329" s="79">
        <f>IF(AND(AD329=1,T329&lt;&gt;""),IF(AND(T329&gt;=AsOf,T329&lt;=AsOf+AlertDays),1,0),0)</f>
        <v/>
      </c>
      <c r="AG329" s="79">
        <f>IF(Y329="Order now",1,0)</f>
        <v/>
      </c>
      <c r="AH329" s="79">
        <f>IF(OR(Y329="⚠️ Order late — install at risk",Y329="⚠️ Delivery after install date"),1,0)</f>
        <v/>
      </c>
      <c r="AI329" s="79">
        <f>IF(AND(B329&lt;&gt;"",K329&lt;&gt;"",U329&lt;&gt;"Yes",X329&lt;&gt;"Yes"),1,0)</f>
        <v/>
      </c>
      <c r="AJ329" s="79">
        <f>IF(Y329="⚠️ Order late — install at risk",1,0)</f>
        <v/>
      </c>
    </row>
    <row r="330" ht="20" customHeight="1">
      <c r="B330" s="72" t="n"/>
      <c r="C330" s="72" t="n"/>
      <c r="D330" s="72" t="n"/>
      <c r="E330" s="72" t="n"/>
      <c r="F330" s="73" t="n"/>
      <c r="G330" s="72" t="n"/>
      <c r="H330" s="73" t="n"/>
      <c r="I330" s="72" t="n"/>
      <c r="J330" s="73" t="n"/>
      <c r="K330" s="74" t="n"/>
      <c r="L330" s="75">
        <f>IF(K330="A",F330,IF(K330="B",H330,IF(K330="C",J330,"")))</f>
        <v/>
      </c>
      <c r="M330" s="72" t="n"/>
      <c r="N330" s="72" t="n"/>
      <c r="O330" s="89" t="n"/>
      <c r="P330" s="89" t="n"/>
      <c r="Q330" s="109" t="n"/>
      <c r="R330" s="120">
        <f>IF(B330="","",IF(Q330&lt;&gt;"",Q330,IF(P330="","",IFERROR(INDEX('Timeline'!$J$7:$J$1006,MATCH(P330,'Timeline'!$B$7:$B$1006,0)),""))))</f>
        <v/>
      </c>
      <c r="S330" s="126">
        <f>IF(R330="","",R330-IF(O330="",0,O330)-OrderBuf)</f>
        <v/>
      </c>
      <c r="T330" s="126">
        <f>IF(S330="","",S330-DecideBuf)</f>
        <v/>
      </c>
      <c r="U330" s="74" t="n"/>
      <c r="V330" s="109" t="n"/>
      <c r="W330" s="109" t="n"/>
      <c r="X330" s="74" t="n"/>
      <c r="Y330" s="116">
        <f>IF(B330="","",IF(X330="Yes","Delivered",IF(U330="Yes",IF(AND(W330&lt;&gt;"",R330&lt;&gt;""),IF(W330&gt;R330,"⚠️ Delivery after install date","Ordered"),"Ordered"),IF(K330="",IF(T330="","Waiting for decision",IF(T330&lt;=AsOf+AlertDays,"Decide now","Waiting for decision")),IF(S330="","Selected",IF(AsOf&gt;S330,"⚠️ Order late — install at risk",IF(S330&lt;=AsOf+AlertDays,"Order now","Selected")))))))</f>
        <v/>
      </c>
      <c r="Z330" s="79">
        <f>IF(B330="","",IF(OR(AH330=1,AE330=1),2,IF(OR(AG330=1,AF330=1),1,IF(OR(Y330="Ordered",Y330="Delivered"),0,""))))</f>
        <v/>
      </c>
      <c r="AA330" s="112">
        <f>IF(B330="","",IF(AH330=1,IF(Y330="⚠️ Delivery after install date",R330,S330),IF(AD330=1,T330,IF(AI330=1,S330,""))))</f>
        <v/>
      </c>
      <c r="AB330" s="79">
        <f>IF(AA330="","",IF(AH330=1,1,IF(AA330="","",IF(AA330&lt;AsOf,1,IF(AA330&lt;=AsOf+AlertDays,2,IF(AA330&lt;=AsOf+2*AlertDays,3,""))))))</f>
        <v/>
      </c>
      <c r="AC330" s="79">
        <f>IF(AB330="","",IF(AH330=1,IF(Y330="⚠️ Delivery after install date","Delivery after install date: "&amp;B330,"Order late — install at risk: "&amp;B330),IF(AD330=1,IF(AB330=1,"Decision overdue: ","Decide: ")&amp;B330,"Order: "&amp;B330&amp;IF(N330="",""," from "&amp;N330))))</f>
        <v/>
      </c>
      <c r="AD330" s="79">
        <f>IF(AND(B330&lt;&gt;"",K330="",U330&lt;&gt;"Yes",X330&lt;&gt;"Yes"),1,0)</f>
        <v/>
      </c>
      <c r="AE330" s="79">
        <f>IF(AND(AD330=1,T330&lt;&gt;""),IF(T330&lt;AsOf,1,0),0)</f>
        <v/>
      </c>
      <c r="AF330" s="79">
        <f>IF(AND(AD330=1,T330&lt;&gt;""),IF(AND(T330&gt;=AsOf,T330&lt;=AsOf+AlertDays),1,0),0)</f>
        <v/>
      </c>
      <c r="AG330" s="79">
        <f>IF(Y330="Order now",1,0)</f>
        <v/>
      </c>
      <c r="AH330" s="79">
        <f>IF(OR(Y330="⚠️ Order late — install at risk",Y330="⚠️ Delivery after install date"),1,0)</f>
        <v/>
      </c>
      <c r="AI330" s="79">
        <f>IF(AND(B330&lt;&gt;"",K330&lt;&gt;"",U330&lt;&gt;"Yes",X330&lt;&gt;"Yes"),1,0)</f>
        <v/>
      </c>
      <c r="AJ330" s="79">
        <f>IF(Y330="⚠️ Order late — install at risk",1,0)</f>
        <v/>
      </c>
    </row>
    <row r="331" ht="20" customHeight="1">
      <c r="B331" s="72" t="n"/>
      <c r="C331" s="72" t="n"/>
      <c r="D331" s="72" t="n"/>
      <c r="E331" s="72" t="n"/>
      <c r="F331" s="73" t="n"/>
      <c r="G331" s="72" t="n"/>
      <c r="H331" s="73" t="n"/>
      <c r="I331" s="72" t="n"/>
      <c r="J331" s="73" t="n"/>
      <c r="K331" s="74" t="n"/>
      <c r="L331" s="75">
        <f>IF(K331="A",F331,IF(K331="B",H331,IF(K331="C",J331,"")))</f>
        <v/>
      </c>
      <c r="M331" s="72" t="n"/>
      <c r="N331" s="72" t="n"/>
      <c r="O331" s="89" t="n"/>
      <c r="P331" s="89" t="n"/>
      <c r="Q331" s="109" t="n"/>
      <c r="R331" s="120">
        <f>IF(B331="","",IF(Q331&lt;&gt;"",Q331,IF(P331="","",IFERROR(INDEX('Timeline'!$J$7:$J$1006,MATCH(P331,'Timeline'!$B$7:$B$1006,0)),""))))</f>
        <v/>
      </c>
      <c r="S331" s="126">
        <f>IF(R331="","",R331-IF(O331="",0,O331)-OrderBuf)</f>
        <v/>
      </c>
      <c r="T331" s="126">
        <f>IF(S331="","",S331-DecideBuf)</f>
        <v/>
      </c>
      <c r="U331" s="74" t="n"/>
      <c r="V331" s="109" t="n"/>
      <c r="W331" s="109" t="n"/>
      <c r="X331" s="74" t="n"/>
      <c r="Y331" s="116">
        <f>IF(B331="","",IF(X331="Yes","Delivered",IF(U331="Yes",IF(AND(W331&lt;&gt;"",R331&lt;&gt;""),IF(W331&gt;R331,"⚠️ Delivery after install date","Ordered"),"Ordered"),IF(K331="",IF(T331="","Waiting for decision",IF(T331&lt;=AsOf+AlertDays,"Decide now","Waiting for decision")),IF(S331="","Selected",IF(AsOf&gt;S331,"⚠️ Order late — install at risk",IF(S331&lt;=AsOf+AlertDays,"Order now","Selected")))))))</f>
        <v/>
      </c>
      <c r="Z331" s="79">
        <f>IF(B331="","",IF(OR(AH331=1,AE331=1),2,IF(OR(AG331=1,AF331=1),1,IF(OR(Y331="Ordered",Y331="Delivered"),0,""))))</f>
        <v/>
      </c>
      <c r="AA331" s="112">
        <f>IF(B331="","",IF(AH331=1,IF(Y331="⚠️ Delivery after install date",R331,S331),IF(AD331=1,T331,IF(AI331=1,S331,""))))</f>
        <v/>
      </c>
      <c r="AB331" s="79">
        <f>IF(AA331="","",IF(AH331=1,1,IF(AA331="","",IF(AA331&lt;AsOf,1,IF(AA331&lt;=AsOf+AlertDays,2,IF(AA331&lt;=AsOf+2*AlertDays,3,""))))))</f>
        <v/>
      </c>
      <c r="AC331" s="79">
        <f>IF(AB331="","",IF(AH331=1,IF(Y331="⚠️ Delivery after install date","Delivery after install date: "&amp;B331,"Order late — install at risk: "&amp;B331),IF(AD331=1,IF(AB331=1,"Decision overdue: ","Decide: ")&amp;B331,"Order: "&amp;B331&amp;IF(N331="",""," from "&amp;N331))))</f>
        <v/>
      </c>
      <c r="AD331" s="79">
        <f>IF(AND(B331&lt;&gt;"",K331="",U331&lt;&gt;"Yes",X331&lt;&gt;"Yes"),1,0)</f>
        <v/>
      </c>
      <c r="AE331" s="79">
        <f>IF(AND(AD331=1,T331&lt;&gt;""),IF(T331&lt;AsOf,1,0),0)</f>
        <v/>
      </c>
      <c r="AF331" s="79">
        <f>IF(AND(AD331=1,T331&lt;&gt;""),IF(AND(T331&gt;=AsOf,T331&lt;=AsOf+AlertDays),1,0),0)</f>
        <v/>
      </c>
      <c r="AG331" s="79">
        <f>IF(Y331="Order now",1,0)</f>
        <v/>
      </c>
      <c r="AH331" s="79">
        <f>IF(OR(Y331="⚠️ Order late — install at risk",Y331="⚠️ Delivery after install date"),1,0)</f>
        <v/>
      </c>
      <c r="AI331" s="79">
        <f>IF(AND(B331&lt;&gt;"",K331&lt;&gt;"",U331&lt;&gt;"Yes",X331&lt;&gt;"Yes"),1,0)</f>
        <v/>
      </c>
      <c r="AJ331" s="79">
        <f>IF(Y331="⚠️ Order late — install at risk",1,0)</f>
        <v/>
      </c>
    </row>
    <row r="332" ht="20" customHeight="1">
      <c r="B332" s="72" t="n"/>
      <c r="C332" s="72" t="n"/>
      <c r="D332" s="72" t="n"/>
      <c r="E332" s="72" t="n"/>
      <c r="F332" s="73" t="n"/>
      <c r="G332" s="72" t="n"/>
      <c r="H332" s="73" t="n"/>
      <c r="I332" s="72" t="n"/>
      <c r="J332" s="73" t="n"/>
      <c r="K332" s="74" t="n"/>
      <c r="L332" s="75">
        <f>IF(K332="A",F332,IF(K332="B",H332,IF(K332="C",J332,"")))</f>
        <v/>
      </c>
      <c r="M332" s="72" t="n"/>
      <c r="N332" s="72" t="n"/>
      <c r="O332" s="89" t="n"/>
      <c r="P332" s="89" t="n"/>
      <c r="Q332" s="109" t="n"/>
      <c r="R332" s="120">
        <f>IF(B332="","",IF(Q332&lt;&gt;"",Q332,IF(P332="","",IFERROR(INDEX('Timeline'!$J$7:$J$1006,MATCH(P332,'Timeline'!$B$7:$B$1006,0)),""))))</f>
        <v/>
      </c>
      <c r="S332" s="126">
        <f>IF(R332="","",R332-IF(O332="",0,O332)-OrderBuf)</f>
        <v/>
      </c>
      <c r="T332" s="126">
        <f>IF(S332="","",S332-DecideBuf)</f>
        <v/>
      </c>
      <c r="U332" s="74" t="n"/>
      <c r="V332" s="109" t="n"/>
      <c r="W332" s="109" t="n"/>
      <c r="X332" s="74" t="n"/>
      <c r="Y332" s="116">
        <f>IF(B332="","",IF(X332="Yes","Delivered",IF(U332="Yes",IF(AND(W332&lt;&gt;"",R332&lt;&gt;""),IF(W332&gt;R332,"⚠️ Delivery after install date","Ordered"),"Ordered"),IF(K332="",IF(T332="","Waiting for decision",IF(T332&lt;=AsOf+AlertDays,"Decide now","Waiting for decision")),IF(S332="","Selected",IF(AsOf&gt;S332,"⚠️ Order late — install at risk",IF(S332&lt;=AsOf+AlertDays,"Order now","Selected")))))))</f>
        <v/>
      </c>
      <c r="Z332" s="79">
        <f>IF(B332="","",IF(OR(AH332=1,AE332=1),2,IF(OR(AG332=1,AF332=1),1,IF(OR(Y332="Ordered",Y332="Delivered"),0,""))))</f>
        <v/>
      </c>
      <c r="AA332" s="112">
        <f>IF(B332="","",IF(AH332=1,IF(Y332="⚠️ Delivery after install date",R332,S332),IF(AD332=1,T332,IF(AI332=1,S332,""))))</f>
        <v/>
      </c>
      <c r="AB332" s="79">
        <f>IF(AA332="","",IF(AH332=1,1,IF(AA332="","",IF(AA332&lt;AsOf,1,IF(AA332&lt;=AsOf+AlertDays,2,IF(AA332&lt;=AsOf+2*AlertDays,3,""))))))</f>
        <v/>
      </c>
      <c r="AC332" s="79">
        <f>IF(AB332="","",IF(AH332=1,IF(Y332="⚠️ Delivery after install date","Delivery after install date: "&amp;B332,"Order late — install at risk: "&amp;B332),IF(AD332=1,IF(AB332=1,"Decision overdue: ","Decide: ")&amp;B332,"Order: "&amp;B332&amp;IF(N332="",""," from "&amp;N332))))</f>
        <v/>
      </c>
      <c r="AD332" s="79">
        <f>IF(AND(B332&lt;&gt;"",K332="",U332&lt;&gt;"Yes",X332&lt;&gt;"Yes"),1,0)</f>
        <v/>
      </c>
      <c r="AE332" s="79">
        <f>IF(AND(AD332=1,T332&lt;&gt;""),IF(T332&lt;AsOf,1,0),0)</f>
        <v/>
      </c>
      <c r="AF332" s="79">
        <f>IF(AND(AD332=1,T332&lt;&gt;""),IF(AND(T332&gt;=AsOf,T332&lt;=AsOf+AlertDays),1,0),0)</f>
        <v/>
      </c>
      <c r="AG332" s="79">
        <f>IF(Y332="Order now",1,0)</f>
        <v/>
      </c>
      <c r="AH332" s="79">
        <f>IF(OR(Y332="⚠️ Order late — install at risk",Y332="⚠️ Delivery after install date"),1,0)</f>
        <v/>
      </c>
      <c r="AI332" s="79">
        <f>IF(AND(B332&lt;&gt;"",K332&lt;&gt;"",U332&lt;&gt;"Yes",X332&lt;&gt;"Yes"),1,0)</f>
        <v/>
      </c>
      <c r="AJ332" s="79">
        <f>IF(Y332="⚠️ Order late — install at risk",1,0)</f>
        <v/>
      </c>
    </row>
    <row r="333" ht="20" customHeight="1">
      <c r="B333" s="72" t="n"/>
      <c r="C333" s="72" t="n"/>
      <c r="D333" s="72" t="n"/>
      <c r="E333" s="72" t="n"/>
      <c r="F333" s="73" t="n"/>
      <c r="G333" s="72" t="n"/>
      <c r="H333" s="73" t="n"/>
      <c r="I333" s="72" t="n"/>
      <c r="J333" s="73" t="n"/>
      <c r="K333" s="74" t="n"/>
      <c r="L333" s="75">
        <f>IF(K333="A",F333,IF(K333="B",H333,IF(K333="C",J333,"")))</f>
        <v/>
      </c>
      <c r="M333" s="72" t="n"/>
      <c r="N333" s="72" t="n"/>
      <c r="O333" s="89" t="n"/>
      <c r="P333" s="89" t="n"/>
      <c r="Q333" s="109" t="n"/>
      <c r="R333" s="120">
        <f>IF(B333="","",IF(Q333&lt;&gt;"",Q333,IF(P333="","",IFERROR(INDEX('Timeline'!$J$7:$J$1006,MATCH(P333,'Timeline'!$B$7:$B$1006,0)),""))))</f>
        <v/>
      </c>
      <c r="S333" s="126">
        <f>IF(R333="","",R333-IF(O333="",0,O333)-OrderBuf)</f>
        <v/>
      </c>
      <c r="T333" s="126">
        <f>IF(S333="","",S333-DecideBuf)</f>
        <v/>
      </c>
      <c r="U333" s="74" t="n"/>
      <c r="V333" s="109" t="n"/>
      <c r="W333" s="109" t="n"/>
      <c r="X333" s="74" t="n"/>
      <c r="Y333" s="116">
        <f>IF(B333="","",IF(X333="Yes","Delivered",IF(U333="Yes",IF(AND(W333&lt;&gt;"",R333&lt;&gt;""),IF(W333&gt;R333,"⚠️ Delivery after install date","Ordered"),"Ordered"),IF(K333="",IF(T333="","Waiting for decision",IF(T333&lt;=AsOf+AlertDays,"Decide now","Waiting for decision")),IF(S333="","Selected",IF(AsOf&gt;S333,"⚠️ Order late — install at risk",IF(S333&lt;=AsOf+AlertDays,"Order now","Selected")))))))</f>
        <v/>
      </c>
      <c r="Z333" s="79">
        <f>IF(B333="","",IF(OR(AH333=1,AE333=1),2,IF(OR(AG333=1,AF333=1),1,IF(OR(Y333="Ordered",Y333="Delivered"),0,""))))</f>
        <v/>
      </c>
      <c r="AA333" s="112">
        <f>IF(B333="","",IF(AH333=1,IF(Y333="⚠️ Delivery after install date",R333,S333),IF(AD333=1,T333,IF(AI333=1,S333,""))))</f>
        <v/>
      </c>
      <c r="AB333" s="79">
        <f>IF(AA333="","",IF(AH333=1,1,IF(AA333="","",IF(AA333&lt;AsOf,1,IF(AA333&lt;=AsOf+AlertDays,2,IF(AA333&lt;=AsOf+2*AlertDays,3,""))))))</f>
        <v/>
      </c>
      <c r="AC333" s="79">
        <f>IF(AB333="","",IF(AH333=1,IF(Y333="⚠️ Delivery after install date","Delivery after install date: "&amp;B333,"Order late — install at risk: "&amp;B333),IF(AD333=1,IF(AB333=1,"Decision overdue: ","Decide: ")&amp;B333,"Order: "&amp;B333&amp;IF(N333="",""," from "&amp;N333))))</f>
        <v/>
      </c>
      <c r="AD333" s="79">
        <f>IF(AND(B333&lt;&gt;"",K333="",U333&lt;&gt;"Yes",X333&lt;&gt;"Yes"),1,0)</f>
        <v/>
      </c>
      <c r="AE333" s="79">
        <f>IF(AND(AD333=1,T333&lt;&gt;""),IF(T333&lt;AsOf,1,0),0)</f>
        <v/>
      </c>
      <c r="AF333" s="79">
        <f>IF(AND(AD333=1,T333&lt;&gt;""),IF(AND(T333&gt;=AsOf,T333&lt;=AsOf+AlertDays),1,0),0)</f>
        <v/>
      </c>
      <c r="AG333" s="79">
        <f>IF(Y333="Order now",1,0)</f>
        <v/>
      </c>
      <c r="AH333" s="79">
        <f>IF(OR(Y333="⚠️ Order late — install at risk",Y333="⚠️ Delivery after install date"),1,0)</f>
        <v/>
      </c>
      <c r="AI333" s="79">
        <f>IF(AND(B333&lt;&gt;"",K333&lt;&gt;"",U333&lt;&gt;"Yes",X333&lt;&gt;"Yes"),1,0)</f>
        <v/>
      </c>
      <c r="AJ333" s="79">
        <f>IF(Y333="⚠️ Order late — install at risk",1,0)</f>
        <v/>
      </c>
    </row>
    <row r="334" ht="20" customHeight="1">
      <c r="B334" s="72" t="n"/>
      <c r="C334" s="72" t="n"/>
      <c r="D334" s="72" t="n"/>
      <c r="E334" s="72" t="n"/>
      <c r="F334" s="73" t="n"/>
      <c r="G334" s="72" t="n"/>
      <c r="H334" s="73" t="n"/>
      <c r="I334" s="72" t="n"/>
      <c r="J334" s="73" t="n"/>
      <c r="K334" s="74" t="n"/>
      <c r="L334" s="75">
        <f>IF(K334="A",F334,IF(K334="B",H334,IF(K334="C",J334,"")))</f>
        <v/>
      </c>
      <c r="M334" s="72" t="n"/>
      <c r="N334" s="72" t="n"/>
      <c r="O334" s="89" t="n"/>
      <c r="P334" s="89" t="n"/>
      <c r="Q334" s="109" t="n"/>
      <c r="R334" s="120">
        <f>IF(B334="","",IF(Q334&lt;&gt;"",Q334,IF(P334="","",IFERROR(INDEX('Timeline'!$J$7:$J$1006,MATCH(P334,'Timeline'!$B$7:$B$1006,0)),""))))</f>
        <v/>
      </c>
      <c r="S334" s="126">
        <f>IF(R334="","",R334-IF(O334="",0,O334)-OrderBuf)</f>
        <v/>
      </c>
      <c r="T334" s="126">
        <f>IF(S334="","",S334-DecideBuf)</f>
        <v/>
      </c>
      <c r="U334" s="74" t="n"/>
      <c r="V334" s="109" t="n"/>
      <c r="W334" s="109" t="n"/>
      <c r="X334" s="74" t="n"/>
      <c r="Y334" s="116">
        <f>IF(B334="","",IF(X334="Yes","Delivered",IF(U334="Yes",IF(AND(W334&lt;&gt;"",R334&lt;&gt;""),IF(W334&gt;R334,"⚠️ Delivery after install date","Ordered"),"Ordered"),IF(K334="",IF(T334="","Waiting for decision",IF(T334&lt;=AsOf+AlertDays,"Decide now","Waiting for decision")),IF(S334="","Selected",IF(AsOf&gt;S334,"⚠️ Order late — install at risk",IF(S334&lt;=AsOf+AlertDays,"Order now","Selected")))))))</f>
        <v/>
      </c>
      <c r="Z334" s="79">
        <f>IF(B334="","",IF(OR(AH334=1,AE334=1),2,IF(OR(AG334=1,AF334=1),1,IF(OR(Y334="Ordered",Y334="Delivered"),0,""))))</f>
        <v/>
      </c>
      <c r="AA334" s="112">
        <f>IF(B334="","",IF(AH334=1,IF(Y334="⚠️ Delivery after install date",R334,S334),IF(AD334=1,T334,IF(AI334=1,S334,""))))</f>
        <v/>
      </c>
      <c r="AB334" s="79">
        <f>IF(AA334="","",IF(AH334=1,1,IF(AA334="","",IF(AA334&lt;AsOf,1,IF(AA334&lt;=AsOf+AlertDays,2,IF(AA334&lt;=AsOf+2*AlertDays,3,""))))))</f>
        <v/>
      </c>
      <c r="AC334" s="79">
        <f>IF(AB334="","",IF(AH334=1,IF(Y334="⚠️ Delivery after install date","Delivery after install date: "&amp;B334,"Order late — install at risk: "&amp;B334),IF(AD334=1,IF(AB334=1,"Decision overdue: ","Decide: ")&amp;B334,"Order: "&amp;B334&amp;IF(N334="",""," from "&amp;N334))))</f>
        <v/>
      </c>
      <c r="AD334" s="79">
        <f>IF(AND(B334&lt;&gt;"",K334="",U334&lt;&gt;"Yes",X334&lt;&gt;"Yes"),1,0)</f>
        <v/>
      </c>
      <c r="AE334" s="79">
        <f>IF(AND(AD334=1,T334&lt;&gt;""),IF(T334&lt;AsOf,1,0),0)</f>
        <v/>
      </c>
      <c r="AF334" s="79">
        <f>IF(AND(AD334=1,T334&lt;&gt;""),IF(AND(T334&gt;=AsOf,T334&lt;=AsOf+AlertDays),1,0),0)</f>
        <v/>
      </c>
      <c r="AG334" s="79">
        <f>IF(Y334="Order now",1,0)</f>
        <v/>
      </c>
      <c r="AH334" s="79">
        <f>IF(OR(Y334="⚠️ Order late — install at risk",Y334="⚠️ Delivery after install date"),1,0)</f>
        <v/>
      </c>
      <c r="AI334" s="79">
        <f>IF(AND(B334&lt;&gt;"",K334&lt;&gt;"",U334&lt;&gt;"Yes",X334&lt;&gt;"Yes"),1,0)</f>
        <v/>
      </c>
      <c r="AJ334" s="79">
        <f>IF(Y334="⚠️ Order late — install at risk",1,0)</f>
        <v/>
      </c>
    </row>
    <row r="335" ht="20" customHeight="1">
      <c r="B335" s="72" t="n"/>
      <c r="C335" s="72" t="n"/>
      <c r="D335" s="72" t="n"/>
      <c r="E335" s="72" t="n"/>
      <c r="F335" s="73" t="n"/>
      <c r="G335" s="72" t="n"/>
      <c r="H335" s="73" t="n"/>
      <c r="I335" s="72" t="n"/>
      <c r="J335" s="73" t="n"/>
      <c r="K335" s="74" t="n"/>
      <c r="L335" s="75">
        <f>IF(K335="A",F335,IF(K335="B",H335,IF(K335="C",J335,"")))</f>
        <v/>
      </c>
      <c r="M335" s="72" t="n"/>
      <c r="N335" s="72" t="n"/>
      <c r="O335" s="89" t="n"/>
      <c r="P335" s="89" t="n"/>
      <c r="Q335" s="109" t="n"/>
      <c r="R335" s="120">
        <f>IF(B335="","",IF(Q335&lt;&gt;"",Q335,IF(P335="","",IFERROR(INDEX('Timeline'!$J$7:$J$1006,MATCH(P335,'Timeline'!$B$7:$B$1006,0)),""))))</f>
        <v/>
      </c>
      <c r="S335" s="126">
        <f>IF(R335="","",R335-IF(O335="",0,O335)-OrderBuf)</f>
        <v/>
      </c>
      <c r="T335" s="126">
        <f>IF(S335="","",S335-DecideBuf)</f>
        <v/>
      </c>
      <c r="U335" s="74" t="n"/>
      <c r="V335" s="109" t="n"/>
      <c r="W335" s="109" t="n"/>
      <c r="X335" s="74" t="n"/>
      <c r="Y335" s="116">
        <f>IF(B335="","",IF(X335="Yes","Delivered",IF(U335="Yes",IF(AND(W335&lt;&gt;"",R335&lt;&gt;""),IF(W335&gt;R335,"⚠️ Delivery after install date","Ordered"),"Ordered"),IF(K335="",IF(T335="","Waiting for decision",IF(T335&lt;=AsOf+AlertDays,"Decide now","Waiting for decision")),IF(S335="","Selected",IF(AsOf&gt;S335,"⚠️ Order late — install at risk",IF(S335&lt;=AsOf+AlertDays,"Order now","Selected")))))))</f>
        <v/>
      </c>
      <c r="Z335" s="79">
        <f>IF(B335="","",IF(OR(AH335=1,AE335=1),2,IF(OR(AG335=1,AF335=1),1,IF(OR(Y335="Ordered",Y335="Delivered"),0,""))))</f>
        <v/>
      </c>
      <c r="AA335" s="112">
        <f>IF(B335="","",IF(AH335=1,IF(Y335="⚠️ Delivery after install date",R335,S335),IF(AD335=1,T335,IF(AI335=1,S335,""))))</f>
        <v/>
      </c>
      <c r="AB335" s="79">
        <f>IF(AA335="","",IF(AH335=1,1,IF(AA335="","",IF(AA335&lt;AsOf,1,IF(AA335&lt;=AsOf+AlertDays,2,IF(AA335&lt;=AsOf+2*AlertDays,3,""))))))</f>
        <v/>
      </c>
      <c r="AC335" s="79">
        <f>IF(AB335="","",IF(AH335=1,IF(Y335="⚠️ Delivery after install date","Delivery after install date: "&amp;B335,"Order late — install at risk: "&amp;B335),IF(AD335=1,IF(AB335=1,"Decision overdue: ","Decide: ")&amp;B335,"Order: "&amp;B335&amp;IF(N335="",""," from "&amp;N335))))</f>
        <v/>
      </c>
      <c r="AD335" s="79">
        <f>IF(AND(B335&lt;&gt;"",K335="",U335&lt;&gt;"Yes",X335&lt;&gt;"Yes"),1,0)</f>
        <v/>
      </c>
      <c r="AE335" s="79">
        <f>IF(AND(AD335=1,T335&lt;&gt;""),IF(T335&lt;AsOf,1,0),0)</f>
        <v/>
      </c>
      <c r="AF335" s="79">
        <f>IF(AND(AD335=1,T335&lt;&gt;""),IF(AND(T335&gt;=AsOf,T335&lt;=AsOf+AlertDays),1,0),0)</f>
        <v/>
      </c>
      <c r="AG335" s="79">
        <f>IF(Y335="Order now",1,0)</f>
        <v/>
      </c>
      <c r="AH335" s="79">
        <f>IF(OR(Y335="⚠️ Order late — install at risk",Y335="⚠️ Delivery after install date"),1,0)</f>
        <v/>
      </c>
      <c r="AI335" s="79">
        <f>IF(AND(B335&lt;&gt;"",K335&lt;&gt;"",U335&lt;&gt;"Yes",X335&lt;&gt;"Yes"),1,0)</f>
        <v/>
      </c>
      <c r="AJ335" s="79">
        <f>IF(Y335="⚠️ Order late — install at risk",1,0)</f>
        <v/>
      </c>
    </row>
    <row r="336" ht="20" customHeight="1">
      <c r="B336" s="72" t="n"/>
      <c r="C336" s="72" t="n"/>
      <c r="D336" s="72" t="n"/>
      <c r="E336" s="72" t="n"/>
      <c r="F336" s="73" t="n"/>
      <c r="G336" s="72" t="n"/>
      <c r="H336" s="73" t="n"/>
      <c r="I336" s="72" t="n"/>
      <c r="J336" s="73" t="n"/>
      <c r="K336" s="74" t="n"/>
      <c r="L336" s="75">
        <f>IF(K336="A",F336,IF(K336="B",H336,IF(K336="C",J336,"")))</f>
        <v/>
      </c>
      <c r="M336" s="72" t="n"/>
      <c r="N336" s="72" t="n"/>
      <c r="O336" s="89" t="n"/>
      <c r="P336" s="89" t="n"/>
      <c r="Q336" s="109" t="n"/>
      <c r="R336" s="120">
        <f>IF(B336="","",IF(Q336&lt;&gt;"",Q336,IF(P336="","",IFERROR(INDEX('Timeline'!$J$7:$J$1006,MATCH(P336,'Timeline'!$B$7:$B$1006,0)),""))))</f>
        <v/>
      </c>
      <c r="S336" s="126">
        <f>IF(R336="","",R336-IF(O336="",0,O336)-OrderBuf)</f>
        <v/>
      </c>
      <c r="T336" s="126">
        <f>IF(S336="","",S336-DecideBuf)</f>
        <v/>
      </c>
      <c r="U336" s="74" t="n"/>
      <c r="V336" s="109" t="n"/>
      <c r="W336" s="109" t="n"/>
      <c r="X336" s="74" t="n"/>
      <c r="Y336" s="116">
        <f>IF(B336="","",IF(X336="Yes","Delivered",IF(U336="Yes",IF(AND(W336&lt;&gt;"",R336&lt;&gt;""),IF(W336&gt;R336,"⚠️ Delivery after install date","Ordered"),"Ordered"),IF(K336="",IF(T336="","Waiting for decision",IF(T336&lt;=AsOf+AlertDays,"Decide now","Waiting for decision")),IF(S336="","Selected",IF(AsOf&gt;S336,"⚠️ Order late — install at risk",IF(S336&lt;=AsOf+AlertDays,"Order now","Selected")))))))</f>
        <v/>
      </c>
      <c r="Z336" s="79">
        <f>IF(B336="","",IF(OR(AH336=1,AE336=1),2,IF(OR(AG336=1,AF336=1),1,IF(OR(Y336="Ordered",Y336="Delivered"),0,""))))</f>
        <v/>
      </c>
      <c r="AA336" s="112">
        <f>IF(B336="","",IF(AH336=1,IF(Y336="⚠️ Delivery after install date",R336,S336),IF(AD336=1,T336,IF(AI336=1,S336,""))))</f>
        <v/>
      </c>
      <c r="AB336" s="79">
        <f>IF(AA336="","",IF(AH336=1,1,IF(AA336="","",IF(AA336&lt;AsOf,1,IF(AA336&lt;=AsOf+AlertDays,2,IF(AA336&lt;=AsOf+2*AlertDays,3,""))))))</f>
        <v/>
      </c>
      <c r="AC336" s="79">
        <f>IF(AB336="","",IF(AH336=1,IF(Y336="⚠️ Delivery after install date","Delivery after install date: "&amp;B336,"Order late — install at risk: "&amp;B336),IF(AD336=1,IF(AB336=1,"Decision overdue: ","Decide: ")&amp;B336,"Order: "&amp;B336&amp;IF(N336="",""," from "&amp;N336))))</f>
        <v/>
      </c>
      <c r="AD336" s="79">
        <f>IF(AND(B336&lt;&gt;"",K336="",U336&lt;&gt;"Yes",X336&lt;&gt;"Yes"),1,0)</f>
        <v/>
      </c>
      <c r="AE336" s="79">
        <f>IF(AND(AD336=1,T336&lt;&gt;""),IF(T336&lt;AsOf,1,0),0)</f>
        <v/>
      </c>
      <c r="AF336" s="79">
        <f>IF(AND(AD336=1,T336&lt;&gt;""),IF(AND(T336&gt;=AsOf,T336&lt;=AsOf+AlertDays),1,0),0)</f>
        <v/>
      </c>
      <c r="AG336" s="79">
        <f>IF(Y336="Order now",1,0)</f>
        <v/>
      </c>
      <c r="AH336" s="79">
        <f>IF(OR(Y336="⚠️ Order late — install at risk",Y336="⚠️ Delivery after install date"),1,0)</f>
        <v/>
      </c>
      <c r="AI336" s="79">
        <f>IF(AND(B336&lt;&gt;"",K336&lt;&gt;"",U336&lt;&gt;"Yes",X336&lt;&gt;"Yes"),1,0)</f>
        <v/>
      </c>
      <c r="AJ336" s="79">
        <f>IF(Y336="⚠️ Order late — install at risk",1,0)</f>
        <v/>
      </c>
    </row>
    <row r="337" ht="20" customHeight="1">
      <c r="B337" s="72" t="n"/>
      <c r="C337" s="72" t="n"/>
      <c r="D337" s="72" t="n"/>
      <c r="E337" s="72" t="n"/>
      <c r="F337" s="73" t="n"/>
      <c r="G337" s="72" t="n"/>
      <c r="H337" s="73" t="n"/>
      <c r="I337" s="72" t="n"/>
      <c r="J337" s="73" t="n"/>
      <c r="K337" s="74" t="n"/>
      <c r="L337" s="75">
        <f>IF(K337="A",F337,IF(K337="B",H337,IF(K337="C",J337,"")))</f>
        <v/>
      </c>
      <c r="M337" s="72" t="n"/>
      <c r="N337" s="72" t="n"/>
      <c r="O337" s="89" t="n"/>
      <c r="P337" s="89" t="n"/>
      <c r="Q337" s="109" t="n"/>
      <c r="R337" s="120">
        <f>IF(B337="","",IF(Q337&lt;&gt;"",Q337,IF(P337="","",IFERROR(INDEX('Timeline'!$J$7:$J$1006,MATCH(P337,'Timeline'!$B$7:$B$1006,0)),""))))</f>
        <v/>
      </c>
      <c r="S337" s="126">
        <f>IF(R337="","",R337-IF(O337="",0,O337)-OrderBuf)</f>
        <v/>
      </c>
      <c r="T337" s="126">
        <f>IF(S337="","",S337-DecideBuf)</f>
        <v/>
      </c>
      <c r="U337" s="74" t="n"/>
      <c r="V337" s="109" t="n"/>
      <c r="W337" s="109" t="n"/>
      <c r="X337" s="74" t="n"/>
      <c r="Y337" s="116">
        <f>IF(B337="","",IF(X337="Yes","Delivered",IF(U337="Yes",IF(AND(W337&lt;&gt;"",R337&lt;&gt;""),IF(W337&gt;R337,"⚠️ Delivery after install date","Ordered"),"Ordered"),IF(K337="",IF(T337="","Waiting for decision",IF(T337&lt;=AsOf+AlertDays,"Decide now","Waiting for decision")),IF(S337="","Selected",IF(AsOf&gt;S337,"⚠️ Order late — install at risk",IF(S337&lt;=AsOf+AlertDays,"Order now","Selected")))))))</f>
        <v/>
      </c>
      <c r="Z337" s="79">
        <f>IF(B337="","",IF(OR(AH337=1,AE337=1),2,IF(OR(AG337=1,AF337=1),1,IF(OR(Y337="Ordered",Y337="Delivered"),0,""))))</f>
        <v/>
      </c>
      <c r="AA337" s="112">
        <f>IF(B337="","",IF(AH337=1,IF(Y337="⚠️ Delivery after install date",R337,S337),IF(AD337=1,T337,IF(AI337=1,S337,""))))</f>
        <v/>
      </c>
      <c r="AB337" s="79">
        <f>IF(AA337="","",IF(AH337=1,1,IF(AA337="","",IF(AA337&lt;AsOf,1,IF(AA337&lt;=AsOf+AlertDays,2,IF(AA337&lt;=AsOf+2*AlertDays,3,""))))))</f>
        <v/>
      </c>
      <c r="AC337" s="79">
        <f>IF(AB337="","",IF(AH337=1,IF(Y337="⚠️ Delivery after install date","Delivery after install date: "&amp;B337,"Order late — install at risk: "&amp;B337),IF(AD337=1,IF(AB337=1,"Decision overdue: ","Decide: ")&amp;B337,"Order: "&amp;B337&amp;IF(N337="",""," from "&amp;N337))))</f>
        <v/>
      </c>
      <c r="AD337" s="79">
        <f>IF(AND(B337&lt;&gt;"",K337="",U337&lt;&gt;"Yes",X337&lt;&gt;"Yes"),1,0)</f>
        <v/>
      </c>
      <c r="AE337" s="79">
        <f>IF(AND(AD337=1,T337&lt;&gt;""),IF(T337&lt;AsOf,1,0),0)</f>
        <v/>
      </c>
      <c r="AF337" s="79">
        <f>IF(AND(AD337=1,T337&lt;&gt;""),IF(AND(T337&gt;=AsOf,T337&lt;=AsOf+AlertDays),1,0),0)</f>
        <v/>
      </c>
      <c r="AG337" s="79">
        <f>IF(Y337="Order now",1,0)</f>
        <v/>
      </c>
      <c r="AH337" s="79">
        <f>IF(OR(Y337="⚠️ Order late — install at risk",Y337="⚠️ Delivery after install date"),1,0)</f>
        <v/>
      </c>
      <c r="AI337" s="79">
        <f>IF(AND(B337&lt;&gt;"",K337&lt;&gt;"",U337&lt;&gt;"Yes",X337&lt;&gt;"Yes"),1,0)</f>
        <v/>
      </c>
      <c r="AJ337" s="79">
        <f>IF(Y337="⚠️ Order late — install at risk",1,0)</f>
        <v/>
      </c>
    </row>
    <row r="338" ht="20" customHeight="1">
      <c r="B338" s="72" t="n"/>
      <c r="C338" s="72" t="n"/>
      <c r="D338" s="72" t="n"/>
      <c r="E338" s="72" t="n"/>
      <c r="F338" s="73" t="n"/>
      <c r="G338" s="72" t="n"/>
      <c r="H338" s="73" t="n"/>
      <c r="I338" s="72" t="n"/>
      <c r="J338" s="73" t="n"/>
      <c r="K338" s="74" t="n"/>
      <c r="L338" s="75">
        <f>IF(K338="A",F338,IF(K338="B",H338,IF(K338="C",J338,"")))</f>
        <v/>
      </c>
      <c r="M338" s="72" t="n"/>
      <c r="N338" s="72" t="n"/>
      <c r="O338" s="89" t="n"/>
      <c r="P338" s="89" t="n"/>
      <c r="Q338" s="109" t="n"/>
      <c r="R338" s="120">
        <f>IF(B338="","",IF(Q338&lt;&gt;"",Q338,IF(P338="","",IFERROR(INDEX('Timeline'!$J$7:$J$1006,MATCH(P338,'Timeline'!$B$7:$B$1006,0)),""))))</f>
        <v/>
      </c>
      <c r="S338" s="126">
        <f>IF(R338="","",R338-IF(O338="",0,O338)-OrderBuf)</f>
        <v/>
      </c>
      <c r="T338" s="126">
        <f>IF(S338="","",S338-DecideBuf)</f>
        <v/>
      </c>
      <c r="U338" s="74" t="n"/>
      <c r="V338" s="109" t="n"/>
      <c r="W338" s="109" t="n"/>
      <c r="X338" s="74" t="n"/>
      <c r="Y338" s="116">
        <f>IF(B338="","",IF(X338="Yes","Delivered",IF(U338="Yes",IF(AND(W338&lt;&gt;"",R338&lt;&gt;""),IF(W338&gt;R338,"⚠️ Delivery after install date","Ordered"),"Ordered"),IF(K338="",IF(T338="","Waiting for decision",IF(T338&lt;=AsOf+AlertDays,"Decide now","Waiting for decision")),IF(S338="","Selected",IF(AsOf&gt;S338,"⚠️ Order late — install at risk",IF(S338&lt;=AsOf+AlertDays,"Order now","Selected")))))))</f>
        <v/>
      </c>
      <c r="Z338" s="79">
        <f>IF(B338="","",IF(OR(AH338=1,AE338=1),2,IF(OR(AG338=1,AF338=1),1,IF(OR(Y338="Ordered",Y338="Delivered"),0,""))))</f>
        <v/>
      </c>
      <c r="AA338" s="112">
        <f>IF(B338="","",IF(AH338=1,IF(Y338="⚠️ Delivery after install date",R338,S338),IF(AD338=1,T338,IF(AI338=1,S338,""))))</f>
        <v/>
      </c>
      <c r="AB338" s="79">
        <f>IF(AA338="","",IF(AH338=1,1,IF(AA338="","",IF(AA338&lt;AsOf,1,IF(AA338&lt;=AsOf+AlertDays,2,IF(AA338&lt;=AsOf+2*AlertDays,3,""))))))</f>
        <v/>
      </c>
      <c r="AC338" s="79">
        <f>IF(AB338="","",IF(AH338=1,IF(Y338="⚠️ Delivery after install date","Delivery after install date: "&amp;B338,"Order late — install at risk: "&amp;B338),IF(AD338=1,IF(AB338=1,"Decision overdue: ","Decide: ")&amp;B338,"Order: "&amp;B338&amp;IF(N338="",""," from "&amp;N338))))</f>
        <v/>
      </c>
      <c r="AD338" s="79">
        <f>IF(AND(B338&lt;&gt;"",K338="",U338&lt;&gt;"Yes",X338&lt;&gt;"Yes"),1,0)</f>
        <v/>
      </c>
      <c r="AE338" s="79">
        <f>IF(AND(AD338=1,T338&lt;&gt;""),IF(T338&lt;AsOf,1,0),0)</f>
        <v/>
      </c>
      <c r="AF338" s="79">
        <f>IF(AND(AD338=1,T338&lt;&gt;""),IF(AND(T338&gt;=AsOf,T338&lt;=AsOf+AlertDays),1,0),0)</f>
        <v/>
      </c>
      <c r="AG338" s="79">
        <f>IF(Y338="Order now",1,0)</f>
        <v/>
      </c>
      <c r="AH338" s="79">
        <f>IF(OR(Y338="⚠️ Order late — install at risk",Y338="⚠️ Delivery after install date"),1,0)</f>
        <v/>
      </c>
      <c r="AI338" s="79">
        <f>IF(AND(B338&lt;&gt;"",K338&lt;&gt;"",U338&lt;&gt;"Yes",X338&lt;&gt;"Yes"),1,0)</f>
        <v/>
      </c>
      <c r="AJ338" s="79">
        <f>IF(Y338="⚠️ Order late — install at risk",1,0)</f>
        <v/>
      </c>
    </row>
    <row r="339" ht="20" customHeight="1">
      <c r="B339" s="72" t="n"/>
      <c r="C339" s="72" t="n"/>
      <c r="D339" s="72" t="n"/>
      <c r="E339" s="72" t="n"/>
      <c r="F339" s="73" t="n"/>
      <c r="G339" s="72" t="n"/>
      <c r="H339" s="73" t="n"/>
      <c r="I339" s="72" t="n"/>
      <c r="J339" s="73" t="n"/>
      <c r="K339" s="74" t="n"/>
      <c r="L339" s="75">
        <f>IF(K339="A",F339,IF(K339="B",H339,IF(K339="C",J339,"")))</f>
        <v/>
      </c>
      <c r="M339" s="72" t="n"/>
      <c r="N339" s="72" t="n"/>
      <c r="O339" s="89" t="n"/>
      <c r="P339" s="89" t="n"/>
      <c r="Q339" s="109" t="n"/>
      <c r="R339" s="120">
        <f>IF(B339="","",IF(Q339&lt;&gt;"",Q339,IF(P339="","",IFERROR(INDEX('Timeline'!$J$7:$J$1006,MATCH(P339,'Timeline'!$B$7:$B$1006,0)),""))))</f>
        <v/>
      </c>
      <c r="S339" s="126">
        <f>IF(R339="","",R339-IF(O339="",0,O339)-OrderBuf)</f>
        <v/>
      </c>
      <c r="T339" s="126">
        <f>IF(S339="","",S339-DecideBuf)</f>
        <v/>
      </c>
      <c r="U339" s="74" t="n"/>
      <c r="V339" s="109" t="n"/>
      <c r="W339" s="109" t="n"/>
      <c r="X339" s="74" t="n"/>
      <c r="Y339" s="116">
        <f>IF(B339="","",IF(X339="Yes","Delivered",IF(U339="Yes",IF(AND(W339&lt;&gt;"",R339&lt;&gt;""),IF(W339&gt;R339,"⚠️ Delivery after install date","Ordered"),"Ordered"),IF(K339="",IF(T339="","Waiting for decision",IF(T339&lt;=AsOf+AlertDays,"Decide now","Waiting for decision")),IF(S339="","Selected",IF(AsOf&gt;S339,"⚠️ Order late — install at risk",IF(S339&lt;=AsOf+AlertDays,"Order now","Selected")))))))</f>
        <v/>
      </c>
      <c r="Z339" s="79">
        <f>IF(B339="","",IF(OR(AH339=1,AE339=1),2,IF(OR(AG339=1,AF339=1),1,IF(OR(Y339="Ordered",Y339="Delivered"),0,""))))</f>
        <v/>
      </c>
      <c r="AA339" s="112">
        <f>IF(B339="","",IF(AH339=1,IF(Y339="⚠️ Delivery after install date",R339,S339),IF(AD339=1,T339,IF(AI339=1,S339,""))))</f>
        <v/>
      </c>
      <c r="AB339" s="79">
        <f>IF(AA339="","",IF(AH339=1,1,IF(AA339="","",IF(AA339&lt;AsOf,1,IF(AA339&lt;=AsOf+AlertDays,2,IF(AA339&lt;=AsOf+2*AlertDays,3,""))))))</f>
        <v/>
      </c>
      <c r="AC339" s="79">
        <f>IF(AB339="","",IF(AH339=1,IF(Y339="⚠️ Delivery after install date","Delivery after install date: "&amp;B339,"Order late — install at risk: "&amp;B339),IF(AD339=1,IF(AB339=1,"Decision overdue: ","Decide: ")&amp;B339,"Order: "&amp;B339&amp;IF(N339="",""," from "&amp;N339))))</f>
        <v/>
      </c>
      <c r="AD339" s="79">
        <f>IF(AND(B339&lt;&gt;"",K339="",U339&lt;&gt;"Yes",X339&lt;&gt;"Yes"),1,0)</f>
        <v/>
      </c>
      <c r="AE339" s="79">
        <f>IF(AND(AD339=1,T339&lt;&gt;""),IF(T339&lt;AsOf,1,0),0)</f>
        <v/>
      </c>
      <c r="AF339" s="79">
        <f>IF(AND(AD339=1,T339&lt;&gt;""),IF(AND(T339&gt;=AsOf,T339&lt;=AsOf+AlertDays),1,0),0)</f>
        <v/>
      </c>
      <c r="AG339" s="79">
        <f>IF(Y339="Order now",1,0)</f>
        <v/>
      </c>
      <c r="AH339" s="79">
        <f>IF(OR(Y339="⚠️ Order late — install at risk",Y339="⚠️ Delivery after install date"),1,0)</f>
        <v/>
      </c>
      <c r="AI339" s="79">
        <f>IF(AND(B339&lt;&gt;"",K339&lt;&gt;"",U339&lt;&gt;"Yes",X339&lt;&gt;"Yes"),1,0)</f>
        <v/>
      </c>
      <c r="AJ339" s="79">
        <f>IF(Y339="⚠️ Order late — install at risk",1,0)</f>
        <v/>
      </c>
    </row>
    <row r="340" ht="20" customHeight="1">
      <c r="B340" s="72" t="n"/>
      <c r="C340" s="72" t="n"/>
      <c r="D340" s="72" t="n"/>
      <c r="E340" s="72" t="n"/>
      <c r="F340" s="73" t="n"/>
      <c r="G340" s="72" t="n"/>
      <c r="H340" s="73" t="n"/>
      <c r="I340" s="72" t="n"/>
      <c r="J340" s="73" t="n"/>
      <c r="K340" s="74" t="n"/>
      <c r="L340" s="75">
        <f>IF(K340="A",F340,IF(K340="B",H340,IF(K340="C",J340,"")))</f>
        <v/>
      </c>
      <c r="M340" s="72" t="n"/>
      <c r="N340" s="72" t="n"/>
      <c r="O340" s="89" t="n"/>
      <c r="P340" s="89" t="n"/>
      <c r="Q340" s="109" t="n"/>
      <c r="R340" s="120">
        <f>IF(B340="","",IF(Q340&lt;&gt;"",Q340,IF(P340="","",IFERROR(INDEX('Timeline'!$J$7:$J$1006,MATCH(P340,'Timeline'!$B$7:$B$1006,0)),""))))</f>
        <v/>
      </c>
      <c r="S340" s="126">
        <f>IF(R340="","",R340-IF(O340="",0,O340)-OrderBuf)</f>
        <v/>
      </c>
      <c r="T340" s="126">
        <f>IF(S340="","",S340-DecideBuf)</f>
        <v/>
      </c>
      <c r="U340" s="74" t="n"/>
      <c r="V340" s="109" t="n"/>
      <c r="W340" s="109" t="n"/>
      <c r="X340" s="74" t="n"/>
      <c r="Y340" s="116">
        <f>IF(B340="","",IF(X340="Yes","Delivered",IF(U340="Yes",IF(AND(W340&lt;&gt;"",R340&lt;&gt;""),IF(W340&gt;R340,"⚠️ Delivery after install date","Ordered"),"Ordered"),IF(K340="",IF(T340="","Waiting for decision",IF(T340&lt;=AsOf+AlertDays,"Decide now","Waiting for decision")),IF(S340="","Selected",IF(AsOf&gt;S340,"⚠️ Order late — install at risk",IF(S340&lt;=AsOf+AlertDays,"Order now","Selected")))))))</f>
        <v/>
      </c>
      <c r="Z340" s="79">
        <f>IF(B340="","",IF(OR(AH340=1,AE340=1),2,IF(OR(AG340=1,AF340=1),1,IF(OR(Y340="Ordered",Y340="Delivered"),0,""))))</f>
        <v/>
      </c>
      <c r="AA340" s="112">
        <f>IF(B340="","",IF(AH340=1,IF(Y340="⚠️ Delivery after install date",R340,S340),IF(AD340=1,T340,IF(AI340=1,S340,""))))</f>
        <v/>
      </c>
      <c r="AB340" s="79">
        <f>IF(AA340="","",IF(AH340=1,1,IF(AA340="","",IF(AA340&lt;AsOf,1,IF(AA340&lt;=AsOf+AlertDays,2,IF(AA340&lt;=AsOf+2*AlertDays,3,""))))))</f>
        <v/>
      </c>
      <c r="AC340" s="79">
        <f>IF(AB340="","",IF(AH340=1,IF(Y340="⚠️ Delivery after install date","Delivery after install date: "&amp;B340,"Order late — install at risk: "&amp;B340),IF(AD340=1,IF(AB340=1,"Decision overdue: ","Decide: ")&amp;B340,"Order: "&amp;B340&amp;IF(N340="",""," from "&amp;N340))))</f>
        <v/>
      </c>
      <c r="AD340" s="79">
        <f>IF(AND(B340&lt;&gt;"",K340="",U340&lt;&gt;"Yes",X340&lt;&gt;"Yes"),1,0)</f>
        <v/>
      </c>
      <c r="AE340" s="79">
        <f>IF(AND(AD340=1,T340&lt;&gt;""),IF(T340&lt;AsOf,1,0),0)</f>
        <v/>
      </c>
      <c r="AF340" s="79">
        <f>IF(AND(AD340=1,T340&lt;&gt;""),IF(AND(T340&gt;=AsOf,T340&lt;=AsOf+AlertDays),1,0),0)</f>
        <v/>
      </c>
      <c r="AG340" s="79">
        <f>IF(Y340="Order now",1,0)</f>
        <v/>
      </c>
      <c r="AH340" s="79">
        <f>IF(OR(Y340="⚠️ Order late — install at risk",Y340="⚠️ Delivery after install date"),1,0)</f>
        <v/>
      </c>
      <c r="AI340" s="79">
        <f>IF(AND(B340&lt;&gt;"",K340&lt;&gt;"",U340&lt;&gt;"Yes",X340&lt;&gt;"Yes"),1,0)</f>
        <v/>
      </c>
      <c r="AJ340" s="79">
        <f>IF(Y340="⚠️ Order late — install at risk",1,0)</f>
        <v/>
      </c>
    </row>
    <row r="341" ht="20" customHeight="1">
      <c r="B341" s="72" t="n"/>
      <c r="C341" s="72" t="n"/>
      <c r="D341" s="72" t="n"/>
      <c r="E341" s="72" t="n"/>
      <c r="F341" s="73" t="n"/>
      <c r="G341" s="72" t="n"/>
      <c r="H341" s="73" t="n"/>
      <c r="I341" s="72" t="n"/>
      <c r="J341" s="73" t="n"/>
      <c r="K341" s="74" t="n"/>
      <c r="L341" s="75">
        <f>IF(K341="A",F341,IF(K341="B",H341,IF(K341="C",J341,"")))</f>
        <v/>
      </c>
      <c r="M341" s="72" t="n"/>
      <c r="N341" s="72" t="n"/>
      <c r="O341" s="89" t="n"/>
      <c r="P341" s="89" t="n"/>
      <c r="Q341" s="109" t="n"/>
      <c r="R341" s="120">
        <f>IF(B341="","",IF(Q341&lt;&gt;"",Q341,IF(P341="","",IFERROR(INDEX('Timeline'!$J$7:$J$1006,MATCH(P341,'Timeline'!$B$7:$B$1006,0)),""))))</f>
        <v/>
      </c>
      <c r="S341" s="126">
        <f>IF(R341="","",R341-IF(O341="",0,O341)-OrderBuf)</f>
        <v/>
      </c>
      <c r="T341" s="126">
        <f>IF(S341="","",S341-DecideBuf)</f>
        <v/>
      </c>
      <c r="U341" s="74" t="n"/>
      <c r="V341" s="109" t="n"/>
      <c r="W341" s="109" t="n"/>
      <c r="X341" s="74" t="n"/>
      <c r="Y341" s="116">
        <f>IF(B341="","",IF(X341="Yes","Delivered",IF(U341="Yes",IF(AND(W341&lt;&gt;"",R341&lt;&gt;""),IF(W341&gt;R341,"⚠️ Delivery after install date","Ordered"),"Ordered"),IF(K341="",IF(T341="","Waiting for decision",IF(T341&lt;=AsOf+AlertDays,"Decide now","Waiting for decision")),IF(S341="","Selected",IF(AsOf&gt;S341,"⚠️ Order late — install at risk",IF(S341&lt;=AsOf+AlertDays,"Order now","Selected")))))))</f>
        <v/>
      </c>
      <c r="Z341" s="79">
        <f>IF(B341="","",IF(OR(AH341=1,AE341=1),2,IF(OR(AG341=1,AF341=1),1,IF(OR(Y341="Ordered",Y341="Delivered"),0,""))))</f>
        <v/>
      </c>
      <c r="AA341" s="112">
        <f>IF(B341="","",IF(AH341=1,IF(Y341="⚠️ Delivery after install date",R341,S341),IF(AD341=1,T341,IF(AI341=1,S341,""))))</f>
        <v/>
      </c>
      <c r="AB341" s="79">
        <f>IF(AA341="","",IF(AH341=1,1,IF(AA341="","",IF(AA341&lt;AsOf,1,IF(AA341&lt;=AsOf+AlertDays,2,IF(AA341&lt;=AsOf+2*AlertDays,3,""))))))</f>
        <v/>
      </c>
      <c r="AC341" s="79">
        <f>IF(AB341="","",IF(AH341=1,IF(Y341="⚠️ Delivery after install date","Delivery after install date: "&amp;B341,"Order late — install at risk: "&amp;B341),IF(AD341=1,IF(AB341=1,"Decision overdue: ","Decide: ")&amp;B341,"Order: "&amp;B341&amp;IF(N341="",""," from "&amp;N341))))</f>
        <v/>
      </c>
      <c r="AD341" s="79">
        <f>IF(AND(B341&lt;&gt;"",K341="",U341&lt;&gt;"Yes",X341&lt;&gt;"Yes"),1,0)</f>
        <v/>
      </c>
      <c r="AE341" s="79">
        <f>IF(AND(AD341=1,T341&lt;&gt;""),IF(T341&lt;AsOf,1,0),0)</f>
        <v/>
      </c>
      <c r="AF341" s="79">
        <f>IF(AND(AD341=1,T341&lt;&gt;""),IF(AND(T341&gt;=AsOf,T341&lt;=AsOf+AlertDays),1,0),0)</f>
        <v/>
      </c>
      <c r="AG341" s="79">
        <f>IF(Y341="Order now",1,0)</f>
        <v/>
      </c>
      <c r="AH341" s="79">
        <f>IF(OR(Y341="⚠️ Order late — install at risk",Y341="⚠️ Delivery after install date"),1,0)</f>
        <v/>
      </c>
      <c r="AI341" s="79">
        <f>IF(AND(B341&lt;&gt;"",K341&lt;&gt;"",U341&lt;&gt;"Yes",X341&lt;&gt;"Yes"),1,0)</f>
        <v/>
      </c>
      <c r="AJ341" s="79">
        <f>IF(Y341="⚠️ Order late — install at risk",1,0)</f>
        <v/>
      </c>
    </row>
    <row r="342" ht="20" customHeight="1">
      <c r="B342" s="72" t="n"/>
      <c r="C342" s="72" t="n"/>
      <c r="D342" s="72" t="n"/>
      <c r="E342" s="72" t="n"/>
      <c r="F342" s="73" t="n"/>
      <c r="G342" s="72" t="n"/>
      <c r="H342" s="73" t="n"/>
      <c r="I342" s="72" t="n"/>
      <c r="J342" s="73" t="n"/>
      <c r="K342" s="74" t="n"/>
      <c r="L342" s="75">
        <f>IF(K342="A",F342,IF(K342="B",H342,IF(K342="C",J342,"")))</f>
        <v/>
      </c>
      <c r="M342" s="72" t="n"/>
      <c r="N342" s="72" t="n"/>
      <c r="O342" s="89" t="n"/>
      <c r="P342" s="89" t="n"/>
      <c r="Q342" s="109" t="n"/>
      <c r="R342" s="120">
        <f>IF(B342="","",IF(Q342&lt;&gt;"",Q342,IF(P342="","",IFERROR(INDEX('Timeline'!$J$7:$J$1006,MATCH(P342,'Timeline'!$B$7:$B$1006,0)),""))))</f>
        <v/>
      </c>
      <c r="S342" s="126">
        <f>IF(R342="","",R342-IF(O342="",0,O342)-OrderBuf)</f>
        <v/>
      </c>
      <c r="T342" s="126">
        <f>IF(S342="","",S342-DecideBuf)</f>
        <v/>
      </c>
      <c r="U342" s="74" t="n"/>
      <c r="V342" s="109" t="n"/>
      <c r="W342" s="109" t="n"/>
      <c r="X342" s="74" t="n"/>
      <c r="Y342" s="116">
        <f>IF(B342="","",IF(X342="Yes","Delivered",IF(U342="Yes",IF(AND(W342&lt;&gt;"",R342&lt;&gt;""),IF(W342&gt;R342,"⚠️ Delivery after install date","Ordered"),"Ordered"),IF(K342="",IF(T342="","Waiting for decision",IF(T342&lt;=AsOf+AlertDays,"Decide now","Waiting for decision")),IF(S342="","Selected",IF(AsOf&gt;S342,"⚠️ Order late — install at risk",IF(S342&lt;=AsOf+AlertDays,"Order now","Selected")))))))</f>
        <v/>
      </c>
      <c r="Z342" s="79">
        <f>IF(B342="","",IF(OR(AH342=1,AE342=1),2,IF(OR(AG342=1,AF342=1),1,IF(OR(Y342="Ordered",Y342="Delivered"),0,""))))</f>
        <v/>
      </c>
      <c r="AA342" s="112">
        <f>IF(B342="","",IF(AH342=1,IF(Y342="⚠️ Delivery after install date",R342,S342),IF(AD342=1,T342,IF(AI342=1,S342,""))))</f>
        <v/>
      </c>
      <c r="AB342" s="79">
        <f>IF(AA342="","",IF(AH342=1,1,IF(AA342="","",IF(AA342&lt;AsOf,1,IF(AA342&lt;=AsOf+AlertDays,2,IF(AA342&lt;=AsOf+2*AlertDays,3,""))))))</f>
        <v/>
      </c>
      <c r="AC342" s="79">
        <f>IF(AB342="","",IF(AH342=1,IF(Y342="⚠️ Delivery after install date","Delivery after install date: "&amp;B342,"Order late — install at risk: "&amp;B342),IF(AD342=1,IF(AB342=1,"Decision overdue: ","Decide: ")&amp;B342,"Order: "&amp;B342&amp;IF(N342="",""," from "&amp;N342))))</f>
        <v/>
      </c>
      <c r="AD342" s="79">
        <f>IF(AND(B342&lt;&gt;"",K342="",U342&lt;&gt;"Yes",X342&lt;&gt;"Yes"),1,0)</f>
        <v/>
      </c>
      <c r="AE342" s="79">
        <f>IF(AND(AD342=1,T342&lt;&gt;""),IF(T342&lt;AsOf,1,0),0)</f>
        <v/>
      </c>
      <c r="AF342" s="79">
        <f>IF(AND(AD342=1,T342&lt;&gt;""),IF(AND(T342&gt;=AsOf,T342&lt;=AsOf+AlertDays),1,0),0)</f>
        <v/>
      </c>
      <c r="AG342" s="79">
        <f>IF(Y342="Order now",1,0)</f>
        <v/>
      </c>
      <c r="AH342" s="79">
        <f>IF(OR(Y342="⚠️ Order late — install at risk",Y342="⚠️ Delivery after install date"),1,0)</f>
        <v/>
      </c>
      <c r="AI342" s="79">
        <f>IF(AND(B342&lt;&gt;"",K342&lt;&gt;"",U342&lt;&gt;"Yes",X342&lt;&gt;"Yes"),1,0)</f>
        <v/>
      </c>
      <c r="AJ342" s="79">
        <f>IF(Y342="⚠️ Order late — install at risk",1,0)</f>
        <v/>
      </c>
    </row>
    <row r="343" ht="20" customHeight="1">
      <c r="B343" s="72" t="n"/>
      <c r="C343" s="72" t="n"/>
      <c r="D343" s="72" t="n"/>
      <c r="E343" s="72" t="n"/>
      <c r="F343" s="73" t="n"/>
      <c r="G343" s="72" t="n"/>
      <c r="H343" s="73" t="n"/>
      <c r="I343" s="72" t="n"/>
      <c r="J343" s="73" t="n"/>
      <c r="K343" s="74" t="n"/>
      <c r="L343" s="75">
        <f>IF(K343="A",F343,IF(K343="B",H343,IF(K343="C",J343,"")))</f>
        <v/>
      </c>
      <c r="M343" s="72" t="n"/>
      <c r="N343" s="72" t="n"/>
      <c r="O343" s="89" t="n"/>
      <c r="P343" s="89" t="n"/>
      <c r="Q343" s="109" t="n"/>
      <c r="R343" s="120">
        <f>IF(B343="","",IF(Q343&lt;&gt;"",Q343,IF(P343="","",IFERROR(INDEX('Timeline'!$J$7:$J$1006,MATCH(P343,'Timeline'!$B$7:$B$1006,0)),""))))</f>
        <v/>
      </c>
      <c r="S343" s="126">
        <f>IF(R343="","",R343-IF(O343="",0,O343)-OrderBuf)</f>
        <v/>
      </c>
      <c r="T343" s="126">
        <f>IF(S343="","",S343-DecideBuf)</f>
        <v/>
      </c>
      <c r="U343" s="74" t="n"/>
      <c r="V343" s="109" t="n"/>
      <c r="W343" s="109" t="n"/>
      <c r="X343" s="74" t="n"/>
      <c r="Y343" s="116">
        <f>IF(B343="","",IF(X343="Yes","Delivered",IF(U343="Yes",IF(AND(W343&lt;&gt;"",R343&lt;&gt;""),IF(W343&gt;R343,"⚠️ Delivery after install date","Ordered"),"Ordered"),IF(K343="",IF(T343="","Waiting for decision",IF(T343&lt;=AsOf+AlertDays,"Decide now","Waiting for decision")),IF(S343="","Selected",IF(AsOf&gt;S343,"⚠️ Order late — install at risk",IF(S343&lt;=AsOf+AlertDays,"Order now","Selected")))))))</f>
        <v/>
      </c>
      <c r="Z343" s="79">
        <f>IF(B343="","",IF(OR(AH343=1,AE343=1),2,IF(OR(AG343=1,AF343=1),1,IF(OR(Y343="Ordered",Y343="Delivered"),0,""))))</f>
        <v/>
      </c>
      <c r="AA343" s="112">
        <f>IF(B343="","",IF(AH343=1,IF(Y343="⚠️ Delivery after install date",R343,S343),IF(AD343=1,T343,IF(AI343=1,S343,""))))</f>
        <v/>
      </c>
      <c r="AB343" s="79">
        <f>IF(AA343="","",IF(AH343=1,1,IF(AA343="","",IF(AA343&lt;AsOf,1,IF(AA343&lt;=AsOf+AlertDays,2,IF(AA343&lt;=AsOf+2*AlertDays,3,""))))))</f>
        <v/>
      </c>
      <c r="AC343" s="79">
        <f>IF(AB343="","",IF(AH343=1,IF(Y343="⚠️ Delivery after install date","Delivery after install date: "&amp;B343,"Order late — install at risk: "&amp;B343),IF(AD343=1,IF(AB343=1,"Decision overdue: ","Decide: ")&amp;B343,"Order: "&amp;B343&amp;IF(N343="",""," from "&amp;N343))))</f>
        <v/>
      </c>
      <c r="AD343" s="79">
        <f>IF(AND(B343&lt;&gt;"",K343="",U343&lt;&gt;"Yes",X343&lt;&gt;"Yes"),1,0)</f>
        <v/>
      </c>
      <c r="AE343" s="79">
        <f>IF(AND(AD343=1,T343&lt;&gt;""),IF(T343&lt;AsOf,1,0),0)</f>
        <v/>
      </c>
      <c r="AF343" s="79">
        <f>IF(AND(AD343=1,T343&lt;&gt;""),IF(AND(T343&gt;=AsOf,T343&lt;=AsOf+AlertDays),1,0),0)</f>
        <v/>
      </c>
      <c r="AG343" s="79">
        <f>IF(Y343="Order now",1,0)</f>
        <v/>
      </c>
      <c r="AH343" s="79">
        <f>IF(OR(Y343="⚠️ Order late — install at risk",Y343="⚠️ Delivery after install date"),1,0)</f>
        <v/>
      </c>
      <c r="AI343" s="79">
        <f>IF(AND(B343&lt;&gt;"",K343&lt;&gt;"",U343&lt;&gt;"Yes",X343&lt;&gt;"Yes"),1,0)</f>
        <v/>
      </c>
      <c r="AJ343" s="79">
        <f>IF(Y343="⚠️ Order late — install at risk",1,0)</f>
        <v/>
      </c>
    </row>
    <row r="344" ht="20" customHeight="1">
      <c r="B344" s="72" t="n"/>
      <c r="C344" s="72" t="n"/>
      <c r="D344" s="72" t="n"/>
      <c r="E344" s="72" t="n"/>
      <c r="F344" s="73" t="n"/>
      <c r="G344" s="72" t="n"/>
      <c r="H344" s="73" t="n"/>
      <c r="I344" s="72" t="n"/>
      <c r="J344" s="73" t="n"/>
      <c r="K344" s="74" t="n"/>
      <c r="L344" s="75">
        <f>IF(K344="A",F344,IF(K344="B",H344,IF(K344="C",J344,"")))</f>
        <v/>
      </c>
      <c r="M344" s="72" t="n"/>
      <c r="N344" s="72" t="n"/>
      <c r="O344" s="89" t="n"/>
      <c r="P344" s="89" t="n"/>
      <c r="Q344" s="109" t="n"/>
      <c r="R344" s="120">
        <f>IF(B344="","",IF(Q344&lt;&gt;"",Q344,IF(P344="","",IFERROR(INDEX('Timeline'!$J$7:$J$1006,MATCH(P344,'Timeline'!$B$7:$B$1006,0)),""))))</f>
        <v/>
      </c>
      <c r="S344" s="126">
        <f>IF(R344="","",R344-IF(O344="",0,O344)-OrderBuf)</f>
        <v/>
      </c>
      <c r="T344" s="126">
        <f>IF(S344="","",S344-DecideBuf)</f>
        <v/>
      </c>
      <c r="U344" s="74" t="n"/>
      <c r="V344" s="109" t="n"/>
      <c r="W344" s="109" t="n"/>
      <c r="X344" s="74" t="n"/>
      <c r="Y344" s="116">
        <f>IF(B344="","",IF(X344="Yes","Delivered",IF(U344="Yes",IF(AND(W344&lt;&gt;"",R344&lt;&gt;""),IF(W344&gt;R344,"⚠️ Delivery after install date","Ordered"),"Ordered"),IF(K344="",IF(T344="","Waiting for decision",IF(T344&lt;=AsOf+AlertDays,"Decide now","Waiting for decision")),IF(S344="","Selected",IF(AsOf&gt;S344,"⚠️ Order late — install at risk",IF(S344&lt;=AsOf+AlertDays,"Order now","Selected")))))))</f>
        <v/>
      </c>
      <c r="Z344" s="79">
        <f>IF(B344="","",IF(OR(AH344=1,AE344=1),2,IF(OR(AG344=1,AF344=1),1,IF(OR(Y344="Ordered",Y344="Delivered"),0,""))))</f>
        <v/>
      </c>
      <c r="AA344" s="112">
        <f>IF(B344="","",IF(AH344=1,IF(Y344="⚠️ Delivery after install date",R344,S344),IF(AD344=1,T344,IF(AI344=1,S344,""))))</f>
        <v/>
      </c>
      <c r="AB344" s="79">
        <f>IF(AA344="","",IF(AH344=1,1,IF(AA344="","",IF(AA344&lt;AsOf,1,IF(AA344&lt;=AsOf+AlertDays,2,IF(AA344&lt;=AsOf+2*AlertDays,3,""))))))</f>
        <v/>
      </c>
      <c r="AC344" s="79">
        <f>IF(AB344="","",IF(AH344=1,IF(Y344="⚠️ Delivery after install date","Delivery after install date: "&amp;B344,"Order late — install at risk: "&amp;B344),IF(AD344=1,IF(AB344=1,"Decision overdue: ","Decide: ")&amp;B344,"Order: "&amp;B344&amp;IF(N344="",""," from "&amp;N344))))</f>
        <v/>
      </c>
      <c r="AD344" s="79">
        <f>IF(AND(B344&lt;&gt;"",K344="",U344&lt;&gt;"Yes",X344&lt;&gt;"Yes"),1,0)</f>
        <v/>
      </c>
      <c r="AE344" s="79">
        <f>IF(AND(AD344=1,T344&lt;&gt;""),IF(T344&lt;AsOf,1,0),0)</f>
        <v/>
      </c>
      <c r="AF344" s="79">
        <f>IF(AND(AD344=1,T344&lt;&gt;""),IF(AND(T344&gt;=AsOf,T344&lt;=AsOf+AlertDays),1,0),0)</f>
        <v/>
      </c>
      <c r="AG344" s="79">
        <f>IF(Y344="Order now",1,0)</f>
        <v/>
      </c>
      <c r="AH344" s="79">
        <f>IF(OR(Y344="⚠️ Order late — install at risk",Y344="⚠️ Delivery after install date"),1,0)</f>
        <v/>
      </c>
      <c r="AI344" s="79">
        <f>IF(AND(B344&lt;&gt;"",K344&lt;&gt;"",U344&lt;&gt;"Yes",X344&lt;&gt;"Yes"),1,0)</f>
        <v/>
      </c>
      <c r="AJ344" s="79">
        <f>IF(Y344="⚠️ Order late — install at risk",1,0)</f>
        <v/>
      </c>
    </row>
    <row r="345" ht="20" customHeight="1">
      <c r="B345" s="72" t="n"/>
      <c r="C345" s="72" t="n"/>
      <c r="D345" s="72" t="n"/>
      <c r="E345" s="72" t="n"/>
      <c r="F345" s="73" t="n"/>
      <c r="G345" s="72" t="n"/>
      <c r="H345" s="73" t="n"/>
      <c r="I345" s="72" t="n"/>
      <c r="J345" s="73" t="n"/>
      <c r="K345" s="74" t="n"/>
      <c r="L345" s="75">
        <f>IF(K345="A",F345,IF(K345="B",H345,IF(K345="C",J345,"")))</f>
        <v/>
      </c>
      <c r="M345" s="72" t="n"/>
      <c r="N345" s="72" t="n"/>
      <c r="O345" s="89" t="n"/>
      <c r="P345" s="89" t="n"/>
      <c r="Q345" s="109" t="n"/>
      <c r="R345" s="120">
        <f>IF(B345="","",IF(Q345&lt;&gt;"",Q345,IF(P345="","",IFERROR(INDEX('Timeline'!$J$7:$J$1006,MATCH(P345,'Timeline'!$B$7:$B$1006,0)),""))))</f>
        <v/>
      </c>
      <c r="S345" s="126">
        <f>IF(R345="","",R345-IF(O345="",0,O345)-OrderBuf)</f>
        <v/>
      </c>
      <c r="T345" s="126">
        <f>IF(S345="","",S345-DecideBuf)</f>
        <v/>
      </c>
      <c r="U345" s="74" t="n"/>
      <c r="V345" s="109" t="n"/>
      <c r="W345" s="109" t="n"/>
      <c r="X345" s="74" t="n"/>
      <c r="Y345" s="116">
        <f>IF(B345="","",IF(X345="Yes","Delivered",IF(U345="Yes",IF(AND(W345&lt;&gt;"",R345&lt;&gt;""),IF(W345&gt;R345,"⚠️ Delivery after install date","Ordered"),"Ordered"),IF(K345="",IF(T345="","Waiting for decision",IF(T345&lt;=AsOf+AlertDays,"Decide now","Waiting for decision")),IF(S345="","Selected",IF(AsOf&gt;S345,"⚠️ Order late — install at risk",IF(S345&lt;=AsOf+AlertDays,"Order now","Selected")))))))</f>
        <v/>
      </c>
      <c r="Z345" s="79">
        <f>IF(B345="","",IF(OR(AH345=1,AE345=1),2,IF(OR(AG345=1,AF345=1),1,IF(OR(Y345="Ordered",Y345="Delivered"),0,""))))</f>
        <v/>
      </c>
      <c r="AA345" s="112">
        <f>IF(B345="","",IF(AH345=1,IF(Y345="⚠️ Delivery after install date",R345,S345),IF(AD345=1,T345,IF(AI345=1,S345,""))))</f>
        <v/>
      </c>
      <c r="AB345" s="79">
        <f>IF(AA345="","",IF(AH345=1,1,IF(AA345="","",IF(AA345&lt;AsOf,1,IF(AA345&lt;=AsOf+AlertDays,2,IF(AA345&lt;=AsOf+2*AlertDays,3,""))))))</f>
        <v/>
      </c>
      <c r="AC345" s="79">
        <f>IF(AB345="","",IF(AH345=1,IF(Y345="⚠️ Delivery after install date","Delivery after install date: "&amp;B345,"Order late — install at risk: "&amp;B345),IF(AD345=1,IF(AB345=1,"Decision overdue: ","Decide: ")&amp;B345,"Order: "&amp;B345&amp;IF(N345="",""," from "&amp;N345))))</f>
        <v/>
      </c>
      <c r="AD345" s="79">
        <f>IF(AND(B345&lt;&gt;"",K345="",U345&lt;&gt;"Yes",X345&lt;&gt;"Yes"),1,0)</f>
        <v/>
      </c>
      <c r="AE345" s="79">
        <f>IF(AND(AD345=1,T345&lt;&gt;""),IF(T345&lt;AsOf,1,0),0)</f>
        <v/>
      </c>
      <c r="AF345" s="79">
        <f>IF(AND(AD345=1,T345&lt;&gt;""),IF(AND(T345&gt;=AsOf,T345&lt;=AsOf+AlertDays),1,0),0)</f>
        <v/>
      </c>
      <c r="AG345" s="79">
        <f>IF(Y345="Order now",1,0)</f>
        <v/>
      </c>
      <c r="AH345" s="79">
        <f>IF(OR(Y345="⚠️ Order late — install at risk",Y345="⚠️ Delivery after install date"),1,0)</f>
        <v/>
      </c>
      <c r="AI345" s="79">
        <f>IF(AND(B345&lt;&gt;"",K345&lt;&gt;"",U345&lt;&gt;"Yes",X345&lt;&gt;"Yes"),1,0)</f>
        <v/>
      </c>
      <c r="AJ345" s="79">
        <f>IF(Y345="⚠️ Order late — install at risk",1,0)</f>
        <v/>
      </c>
    </row>
    <row r="346" ht="20" customHeight="1">
      <c r="B346" s="72" t="n"/>
      <c r="C346" s="72" t="n"/>
      <c r="D346" s="72" t="n"/>
      <c r="E346" s="72" t="n"/>
      <c r="F346" s="73" t="n"/>
      <c r="G346" s="72" t="n"/>
      <c r="H346" s="73" t="n"/>
      <c r="I346" s="72" t="n"/>
      <c r="J346" s="73" t="n"/>
      <c r="K346" s="74" t="n"/>
      <c r="L346" s="75">
        <f>IF(K346="A",F346,IF(K346="B",H346,IF(K346="C",J346,"")))</f>
        <v/>
      </c>
      <c r="M346" s="72" t="n"/>
      <c r="N346" s="72" t="n"/>
      <c r="O346" s="89" t="n"/>
      <c r="P346" s="89" t="n"/>
      <c r="Q346" s="109" t="n"/>
      <c r="R346" s="120">
        <f>IF(B346="","",IF(Q346&lt;&gt;"",Q346,IF(P346="","",IFERROR(INDEX('Timeline'!$J$7:$J$1006,MATCH(P346,'Timeline'!$B$7:$B$1006,0)),""))))</f>
        <v/>
      </c>
      <c r="S346" s="126">
        <f>IF(R346="","",R346-IF(O346="",0,O346)-OrderBuf)</f>
        <v/>
      </c>
      <c r="T346" s="126">
        <f>IF(S346="","",S346-DecideBuf)</f>
        <v/>
      </c>
      <c r="U346" s="74" t="n"/>
      <c r="V346" s="109" t="n"/>
      <c r="W346" s="109" t="n"/>
      <c r="X346" s="74" t="n"/>
      <c r="Y346" s="116">
        <f>IF(B346="","",IF(X346="Yes","Delivered",IF(U346="Yes",IF(AND(W346&lt;&gt;"",R346&lt;&gt;""),IF(W346&gt;R346,"⚠️ Delivery after install date","Ordered"),"Ordered"),IF(K346="",IF(T346="","Waiting for decision",IF(T346&lt;=AsOf+AlertDays,"Decide now","Waiting for decision")),IF(S346="","Selected",IF(AsOf&gt;S346,"⚠️ Order late — install at risk",IF(S346&lt;=AsOf+AlertDays,"Order now","Selected")))))))</f>
        <v/>
      </c>
      <c r="Z346" s="79">
        <f>IF(B346="","",IF(OR(AH346=1,AE346=1),2,IF(OR(AG346=1,AF346=1),1,IF(OR(Y346="Ordered",Y346="Delivered"),0,""))))</f>
        <v/>
      </c>
      <c r="AA346" s="112">
        <f>IF(B346="","",IF(AH346=1,IF(Y346="⚠️ Delivery after install date",R346,S346),IF(AD346=1,T346,IF(AI346=1,S346,""))))</f>
        <v/>
      </c>
      <c r="AB346" s="79">
        <f>IF(AA346="","",IF(AH346=1,1,IF(AA346="","",IF(AA346&lt;AsOf,1,IF(AA346&lt;=AsOf+AlertDays,2,IF(AA346&lt;=AsOf+2*AlertDays,3,""))))))</f>
        <v/>
      </c>
      <c r="AC346" s="79">
        <f>IF(AB346="","",IF(AH346=1,IF(Y346="⚠️ Delivery after install date","Delivery after install date: "&amp;B346,"Order late — install at risk: "&amp;B346),IF(AD346=1,IF(AB346=1,"Decision overdue: ","Decide: ")&amp;B346,"Order: "&amp;B346&amp;IF(N346="",""," from "&amp;N346))))</f>
        <v/>
      </c>
      <c r="AD346" s="79">
        <f>IF(AND(B346&lt;&gt;"",K346="",U346&lt;&gt;"Yes",X346&lt;&gt;"Yes"),1,0)</f>
        <v/>
      </c>
      <c r="AE346" s="79">
        <f>IF(AND(AD346=1,T346&lt;&gt;""),IF(T346&lt;AsOf,1,0),0)</f>
        <v/>
      </c>
      <c r="AF346" s="79">
        <f>IF(AND(AD346=1,T346&lt;&gt;""),IF(AND(T346&gt;=AsOf,T346&lt;=AsOf+AlertDays),1,0),0)</f>
        <v/>
      </c>
      <c r="AG346" s="79">
        <f>IF(Y346="Order now",1,0)</f>
        <v/>
      </c>
      <c r="AH346" s="79">
        <f>IF(OR(Y346="⚠️ Order late — install at risk",Y346="⚠️ Delivery after install date"),1,0)</f>
        <v/>
      </c>
      <c r="AI346" s="79">
        <f>IF(AND(B346&lt;&gt;"",K346&lt;&gt;"",U346&lt;&gt;"Yes",X346&lt;&gt;"Yes"),1,0)</f>
        <v/>
      </c>
      <c r="AJ346" s="79">
        <f>IF(Y346="⚠️ Order late — install at risk",1,0)</f>
        <v/>
      </c>
    </row>
    <row r="347" ht="20" customHeight="1">
      <c r="B347" s="72" t="n"/>
      <c r="C347" s="72" t="n"/>
      <c r="D347" s="72" t="n"/>
      <c r="E347" s="72" t="n"/>
      <c r="F347" s="73" t="n"/>
      <c r="G347" s="72" t="n"/>
      <c r="H347" s="73" t="n"/>
      <c r="I347" s="72" t="n"/>
      <c r="J347" s="73" t="n"/>
      <c r="K347" s="74" t="n"/>
      <c r="L347" s="75">
        <f>IF(K347="A",F347,IF(K347="B",H347,IF(K347="C",J347,"")))</f>
        <v/>
      </c>
      <c r="M347" s="72" t="n"/>
      <c r="N347" s="72" t="n"/>
      <c r="O347" s="89" t="n"/>
      <c r="P347" s="89" t="n"/>
      <c r="Q347" s="109" t="n"/>
      <c r="R347" s="120">
        <f>IF(B347="","",IF(Q347&lt;&gt;"",Q347,IF(P347="","",IFERROR(INDEX('Timeline'!$J$7:$J$1006,MATCH(P347,'Timeline'!$B$7:$B$1006,0)),""))))</f>
        <v/>
      </c>
      <c r="S347" s="126">
        <f>IF(R347="","",R347-IF(O347="",0,O347)-OrderBuf)</f>
        <v/>
      </c>
      <c r="T347" s="126">
        <f>IF(S347="","",S347-DecideBuf)</f>
        <v/>
      </c>
      <c r="U347" s="74" t="n"/>
      <c r="V347" s="109" t="n"/>
      <c r="W347" s="109" t="n"/>
      <c r="X347" s="74" t="n"/>
      <c r="Y347" s="116">
        <f>IF(B347="","",IF(X347="Yes","Delivered",IF(U347="Yes",IF(AND(W347&lt;&gt;"",R347&lt;&gt;""),IF(W347&gt;R347,"⚠️ Delivery after install date","Ordered"),"Ordered"),IF(K347="",IF(T347="","Waiting for decision",IF(T347&lt;=AsOf+AlertDays,"Decide now","Waiting for decision")),IF(S347="","Selected",IF(AsOf&gt;S347,"⚠️ Order late — install at risk",IF(S347&lt;=AsOf+AlertDays,"Order now","Selected")))))))</f>
        <v/>
      </c>
      <c r="Z347" s="79">
        <f>IF(B347="","",IF(OR(AH347=1,AE347=1),2,IF(OR(AG347=1,AF347=1),1,IF(OR(Y347="Ordered",Y347="Delivered"),0,""))))</f>
        <v/>
      </c>
      <c r="AA347" s="112">
        <f>IF(B347="","",IF(AH347=1,IF(Y347="⚠️ Delivery after install date",R347,S347),IF(AD347=1,T347,IF(AI347=1,S347,""))))</f>
        <v/>
      </c>
      <c r="AB347" s="79">
        <f>IF(AA347="","",IF(AH347=1,1,IF(AA347="","",IF(AA347&lt;AsOf,1,IF(AA347&lt;=AsOf+AlertDays,2,IF(AA347&lt;=AsOf+2*AlertDays,3,""))))))</f>
        <v/>
      </c>
      <c r="AC347" s="79">
        <f>IF(AB347="","",IF(AH347=1,IF(Y347="⚠️ Delivery after install date","Delivery after install date: "&amp;B347,"Order late — install at risk: "&amp;B347),IF(AD347=1,IF(AB347=1,"Decision overdue: ","Decide: ")&amp;B347,"Order: "&amp;B347&amp;IF(N347="",""," from "&amp;N347))))</f>
        <v/>
      </c>
      <c r="AD347" s="79">
        <f>IF(AND(B347&lt;&gt;"",K347="",U347&lt;&gt;"Yes",X347&lt;&gt;"Yes"),1,0)</f>
        <v/>
      </c>
      <c r="AE347" s="79">
        <f>IF(AND(AD347=1,T347&lt;&gt;""),IF(T347&lt;AsOf,1,0),0)</f>
        <v/>
      </c>
      <c r="AF347" s="79">
        <f>IF(AND(AD347=1,T347&lt;&gt;""),IF(AND(T347&gt;=AsOf,T347&lt;=AsOf+AlertDays),1,0),0)</f>
        <v/>
      </c>
      <c r="AG347" s="79">
        <f>IF(Y347="Order now",1,0)</f>
        <v/>
      </c>
      <c r="AH347" s="79">
        <f>IF(OR(Y347="⚠️ Order late — install at risk",Y347="⚠️ Delivery after install date"),1,0)</f>
        <v/>
      </c>
      <c r="AI347" s="79">
        <f>IF(AND(B347&lt;&gt;"",K347&lt;&gt;"",U347&lt;&gt;"Yes",X347&lt;&gt;"Yes"),1,0)</f>
        <v/>
      </c>
      <c r="AJ347" s="79">
        <f>IF(Y347="⚠️ Order late — install at risk",1,0)</f>
        <v/>
      </c>
    </row>
    <row r="348" ht="20" customHeight="1">
      <c r="B348" s="72" t="n"/>
      <c r="C348" s="72" t="n"/>
      <c r="D348" s="72" t="n"/>
      <c r="E348" s="72" t="n"/>
      <c r="F348" s="73" t="n"/>
      <c r="G348" s="72" t="n"/>
      <c r="H348" s="73" t="n"/>
      <c r="I348" s="72" t="n"/>
      <c r="J348" s="73" t="n"/>
      <c r="K348" s="74" t="n"/>
      <c r="L348" s="75">
        <f>IF(K348="A",F348,IF(K348="B",H348,IF(K348="C",J348,"")))</f>
        <v/>
      </c>
      <c r="M348" s="72" t="n"/>
      <c r="N348" s="72" t="n"/>
      <c r="O348" s="89" t="n"/>
      <c r="P348" s="89" t="n"/>
      <c r="Q348" s="109" t="n"/>
      <c r="R348" s="120">
        <f>IF(B348="","",IF(Q348&lt;&gt;"",Q348,IF(P348="","",IFERROR(INDEX('Timeline'!$J$7:$J$1006,MATCH(P348,'Timeline'!$B$7:$B$1006,0)),""))))</f>
        <v/>
      </c>
      <c r="S348" s="126">
        <f>IF(R348="","",R348-IF(O348="",0,O348)-OrderBuf)</f>
        <v/>
      </c>
      <c r="T348" s="126">
        <f>IF(S348="","",S348-DecideBuf)</f>
        <v/>
      </c>
      <c r="U348" s="74" t="n"/>
      <c r="V348" s="109" t="n"/>
      <c r="W348" s="109" t="n"/>
      <c r="X348" s="74" t="n"/>
      <c r="Y348" s="116">
        <f>IF(B348="","",IF(X348="Yes","Delivered",IF(U348="Yes",IF(AND(W348&lt;&gt;"",R348&lt;&gt;""),IF(W348&gt;R348,"⚠️ Delivery after install date","Ordered"),"Ordered"),IF(K348="",IF(T348="","Waiting for decision",IF(T348&lt;=AsOf+AlertDays,"Decide now","Waiting for decision")),IF(S348="","Selected",IF(AsOf&gt;S348,"⚠️ Order late — install at risk",IF(S348&lt;=AsOf+AlertDays,"Order now","Selected")))))))</f>
        <v/>
      </c>
      <c r="Z348" s="79">
        <f>IF(B348="","",IF(OR(AH348=1,AE348=1),2,IF(OR(AG348=1,AF348=1),1,IF(OR(Y348="Ordered",Y348="Delivered"),0,""))))</f>
        <v/>
      </c>
      <c r="AA348" s="112">
        <f>IF(B348="","",IF(AH348=1,IF(Y348="⚠️ Delivery after install date",R348,S348),IF(AD348=1,T348,IF(AI348=1,S348,""))))</f>
        <v/>
      </c>
      <c r="AB348" s="79">
        <f>IF(AA348="","",IF(AH348=1,1,IF(AA348="","",IF(AA348&lt;AsOf,1,IF(AA348&lt;=AsOf+AlertDays,2,IF(AA348&lt;=AsOf+2*AlertDays,3,""))))))</f>
        <v/>
      </c>
      <c r="AC348" s="79">
        <f>IF(AB348="","",IF(AH348=1,IF(Y348="⚠️ Delivery after install date","Delivery after install date: "&amp;B348,"Order late — install at risk: "&amp;B348),IF(AD348=1,IF(AB348=1,"Decision overdue: ","Decide: ")&amp;B348,"Order: "&amp;B348&amp;IF(N348="",""," from "&amp;N348))))</f>
        <v/>
      </c>
      <c r="AD348" s="79">
        <f>IF(AND(B348&lt;&gt;"",K348="",U348&lt;&gt;"Yes",X348&lt;&gt;"Yes"),1,0)</f>
        <v/>
      </c>
      <c r="AE348" s="79">
        <f>IF(AND(AD348=1,T348&lt;&gt;""),IF(T348&lt;AsOf,1,0),0)</f>
        <v/>
      </c>
      <c r="AF348" s="79">
        <f>IF(AND(AD348=1,T348&lt;&gt;""),IF(AND(T348&gt;=AsOf,T348&lt;=AsOf+AlertDays),1,0),0)</f>
        <v/>
      </c>
      <c r="AG348" s="79">
        <f>IF(Y348="Order now",1,0)</f>
        <v/>
      </c>
      <c r="AH348" s="79">
        <f>IF(OR(Y348="⚠️ Order late — install at risk",Y348="⚠️ Delivery after install date"),1,0)</f>
        <v/>
      </c>
      <c r="AI348" s="79">
        <f>IF(AND(B348&lt;&gt;"",K348&lt;&gt;"",U348&lt;&gt;"Yes",X348&lt;&gt;"Yes"),1,0)</f>
        <v/>
      </c>
      <c r="AJ348" s="79">
        <f>IF(Y348="⚠️ Order late — install at risk",1,0)</f>
        <v/>
      </c>
    </row>
    <row r="349" ht="20" customHeight="1">
      <c r="B349" s="72" t="n"/>
      <c r="C349" s="72" t="n"/>
      <c r="D349" s="72" t="n"/>
      <c r="E349" s="72" t="n"/>
      <c r="F349" s="73" t="n"/>
      <c r="G349" s="72" t="n"/>
      <c r="H349" s="73" t="n"/>
      <c r="I349" s="72" t="n"/>
      <c r="J349" s="73" t="n"/>
      <c r="K349" s="74" t="n"/>
      <c r="L349" s="75">
        <f>IF(K349="A",F349,IF(K349="B",H349,IF(K349="C",J349,"")))</f>
        <v/>
      </c>
      <c r="M349" s="72" t="n"/>
      <c r="N349" s="72" t="n"/>
      <c r="O349" s="89" t="n"/>
      <c r="P349" s="89" t="n"/>
      <c r="Q349" s="109" t="n"/>
      <c r="R349" s="120">
        <f>IF(B349="","",IF(Q349&lt;&gt;"",Q349,IF(P349="","",IFERROR(INDEX('Timeline'!$J$7:$J$1006,MATCH(P349,'Timeline'!$B$7:$B$1006,0)),""))))</f>
        <v/>
      </c>
      <c r="S349" s="126">
        <f>IF(R349="","",R349-IF(O349="",0,O349)-OrderBuf)</f>
        <v/>
      </c>
      <c r="T349" s="126">
        <f>IF(S349="","",S349-DecideBuf)</f>
        <v/>
      </c>
      <c r="U349" s="74" t="n"/>
      <c r="V349" s="109" t="n"/>
      <c r="W349" s="109" t="n"/>
      <c r="X349" s="74" t="n"/>
      <c r="Y349" s="116">
        <f>IF(B349="","",IF(X349="Yes","Delivered",IF(U349="Yes",IF(AND(W349&lt;&gt;"",R349&lt;&gt;""),IF(W349&gt;R349,"⚠️ Delivery after install date","Ordered"),"Ordered"),IF(K349="",IF(T349="","Waiting for decision",IF(T349&lt;=AsOf+AlertDays,"Decide now","Waiting for decision")),IF(S349="","Selected",IF(AsOf&gt;S349,"⚠️ Order late — install at risk",IF(S349&lt;=AsOf+AlertDays,"Order now","Selected")))))))</f>
        <v/>
      </c>
      <c r="Z349" s="79">
        <f>IF(B349="","",IF(OR(AH349=1,AE349=1),2,IF(OR(AG349=1,AF349=1),1,IF(OR(Y349="Ordered",Y349="Delivered"),0,""))))</f>
        <v/>
      </c>
      <c r="AA349" s="112">
        <f>IF(B349="","",IF(AH349=1,IF(Y349="⚠️ Delivery after install date",R349,S349),IF(AD349=1,T349,IF(AI349=1,S349,""))))</f>
        <v/>
      </c>
      <c r="AB349" s="79">
        <f>IF(AA349="","",IF(AH349=1,1,IF(AA349="","",IF(AA349&lt;AsOf,1,IF(AA349&lt;=AsOf+AlertDays,2,IF(AA349&lt;=AsOf+2*AlertDays,3,""))))))</f>
        <v/>
      </c>
      <c r="AC349" s="79">
        <f>IF(AB349="","",IF(AH349=1,IF(Y349="⚠️ Delivery after install date","Delivery after install date: "&amp;B349,"Order late — install at risk: "&amp;B349),IF(AD349=1,IF(AB349=1,"Decision overdue: ","Decide: ")&amp;B349,"Order: "&amp;B349&amp;IF(N349="",""," from "&amp;N349))))</f>
        <v/>
      </c>
      <c r="AD349" s="79">
        <f>IF(AND(B349&lt;&gt;"",K349="",U349&lt;&gt;"Yes",X349&lt;&gt;"Yes"),1,0)</f>
        <v/>
      </c>
      <c r="AE349" s="79">
        <f>IF(AND(AD349=1,T349&lt;&gt;""),IF(T349&lt;AsOf,1,0),0)</f>
        <v/>
      </c>
      <c r="AF349" s="79">
        <f>IF(AND(AD349=1,T349&lt;&gt;""),IF(AND(T349&gt;=AsOf,T349&lt;=AsOf+AlertDays),1,0),0)</f>
        <v/>
      </c>
      <c r="AG349" s="79">
        <f>IF(Y349="Order now",1,0)</f>
        <v/>
      </c>
      <c r="AH349" s="79">
        <f>IF(OR(Y349="⚠️ Order late — install at risk",Y349="⚠️ Delivery after install date"),1,0)</f>
        <v/>
      </c>
      <c r="AI349" s="79">
        <f>IF(AND(B349&lt;&gt;"",K349&lt;&gt;"",U349&lt;&gt;"Yes",X349&lt;&gt;"Yes"),1,0)</f>
        <v/>
      </c>
      <c r="AJ349" s="79">
        <f>IF(Y349="⚠️ Order late — install at risk",1,0)</f>
        <v/>
      </c>
    </row>
    <row r="350" ht="20" customHeight="1">
      <c r="B350" s="72" t="n"/>
      <c r="C350" s="72" t="n"/>
      <c r="D350" s="72" t="n"/>
      <c r="E350" s="72" t="n"/>
      <c r="F350" s="73" t="n"/>
      <c r="G350" s="72" t="n"/>
      <c r="H350" s="73" t="n"/>
      <c r="I350" s="72" t="n"/>
      <c r="J350" s="73" t="n"/>
      <c r="K350" s="74" t="n"/>
      <c r="L350" s="75">
        <f>IF(K350="A",F350,IF(K350="B",H350,IF(K350="C",J350,"")))</f>
        <v/>
      </c>
      <c r="M350" s="72" t="n"/>
      <c r="N350" s="72" t="n"/>
      <c r="O350" s="89" t="n"/>
      <c r="P350" s="89" t="n"/>
      <c r="Q350" s="109" t="n"/>
      <c r="R350" s="120">
        <f>IF(B350="","",IF(Q350&lt;&gt;"",Q350,IF(P350="","",IFERROR(INDEX('Timeline'!$J$7:$J$1006,MATCH(P350,'Timeline'!$B$7:$B$1006,0)),""))))</f>
        <v/>
      </c>
      <c r="S350" s="126">
        <f>IF(R350="","",R350-IF(O350="",0,O350)-OrderBuf)</f>
        <v/>
      </c>
      <c r="T350" s="126">
        <f>IF(S350="","",S350-DecideBuf)</f>
        <v/>
      </c>
      <c r="U350" s="74" t="n"/>
      <c r="V350" s="109" t="n"/>
      <c r="W350" s="109" t="n"/>
      <c r="X350" s="74" t="n"/>
      <c r="Y350" s="116">
        <f>IF(B350="","",IF(X350="Yes","Delivered",IF(U350="Yes",IF(AND(W350&lt;&gt;"",R350&lt;&gt;""),IF(W350&gt;R350,"⚠️ Delivery after install date","Ordered"),"Ordered"),IF(K350="",IF(T350="","Waiting for decision",IF(T350&lt;=AsOf+AlertDays,"Decide now","Waiting for decision")),IF(S350="","Selected",IF(AsOf&gt;S350,"⚠️ Order late — install at risk",IF(S350&lt;=AsOf+AlertDays,"Order now","Selected")))))))</f>
        <v/>
      </c>
      <c r="Z350" s="79">
        <f>IF(B350="","",IF(OR(AH350=1,AE350=1),2,IF(OR(AG350=1,AF350=1),1,IF(OR(Y350="Ordered",Y350="Delivered"),0,""))))</f>
        <v/>
      </c>
      <c r="AA350" s="112">
        <f>IF(B350="","",IF(AH350=1,IF(Y350="⚠️ Delivery after install date",R350,S350),IF(AD350=1,T350,IF(AI350=1,S350,""))))</f>
        <v/>
      </c>
      <c r="AB350" s="79">
        <f>IF(AA350="","",IF(AH350=1,1,IF(AA350="","",IF(AA350&lt;AsOf,1,IF(AA350&lt;=AsOf+AlertDays,2,IF(AA350&lt;=AsOf+2*AlertDays,3,""))))))</f>
        <v/>
      </c>
      <c r="AC350" s="79">
        <f>IF(AB350="","",IF(AH350=1,IF(Y350="⚠️ Delivery after install date","Delivery after install date: "&amp;B350,"Order late — install at risk: "&amp;B350),IF(AD350=1,IF(AB350=1,"Decision overdue: ","Decide: ")&amp;B350,"Order: "&amp;B350&amp;IF(N350="",""," from "&amp;N350))))</f>
        <v/>
      </c>
      <c r="AD350" s="79">
        <f>IF(AND(B350&lt;&gt;"",K350="",U350&lt;&gt;"Yes",X350&lt;&gt;"Yes"),1,0)</f>
        <v/>
      </c>
      <c r="AE350" s="79">
        <f>IF(AND(AD350=1,T350&lt;&gt;""),IF(T350&lt;AsOf,1,0),0)</f>
        <v/>
      </c>
      <c r="AF350" s="79">
        <f>IF(AND(AD350=1,T350&lt;&gt;""),IF(AND(T350&gt;=AsOf,T350&lt;=AsOf+AlertDays),1,0),0)</f>
        <v/>
      </c>
      <c r="AG350" s="79">
        <f>IF(Y350="Order now",1,0)</f>
        <v/>
      </c>
      <c r="AH350" s="79">
        <f>IF(OR(Y350="⚠️ Order late — install at risk",Y350="⚠️ Delivery after install date"),1,0)</f>
        <v/>
      </c>
      <c r="AI350" s="79">
        <f>IF(AND(B350&lt;&gt;"",K350&lt;&gt;"",U350&lt;&gt;"Yes",X350&lt;&gt;"Yes"),1,0)</f>
        <v/>
      </c>
      <c r="AJ350" s="79">
        <f>IF(Y350="⚠️ Order late — install at risk",1,0)</f>
        <v/>
      </c>
    </row>
    <row r="351" ht="20" customHeight="1">
      <c r="B351" s="72" t="n"/>
      <c r="C351" s="72" t="n"/>
      <c r="D351" s="72" t="n"/>
      <c r="E351" s="72" t="n"/>
      <c r="F351" s="73" t="n"/>
      <c r="G351" s="72" t="n"/>
      <c r="H351" s="73" t="n"/>
      <c r="I351" s="72" t="n"/>
      <c r="J351" s="73" t="n"/>
      <c r="K351" s="74" t="n"/>
      <c r="L351" s="75">
        <f>IF(K351="A",F351,IF(K351="B",H351,IF(K351="C",J351,"")))</f>
        <v/>
      </c>
      <c r="M351" s="72" t="n"/>
      <c r="N351" s="72" t="n"/>
      <c r="O351" s="89" t="n"/>
      <c r="P351" s="89" t="n"/>
      <c r="Q351" s="109" t="n"/>
      <c r="R351" s="120">
        <f>IF(B351="","",IF(Q351&lt;&gt;"",Q351,IF(P351="","",IFERROR(INDEX('Timeline'!$J$7:$J$1006,MATCH(P351,'Timeline'!$B$7:$B$1006,0)),""))))</f>
        <v/>
      </c>
      <c r="S351" s="126">
        <f>IF(R351="","",R351-IF(O351="",0,O351)-OrderBuf)</f>
        <v/>
      </c>
      <c r="T351" s="126">
        <f>IF(S351="","",S351-DecideBuf)</f>
        <v/>
      </c>
      <c r="U351" s="74" t="n"/>
      <c r="V351" s="109" t="n"/>
      <c r="W351" s="109" t="n"/>
      <c r="X351" s="74" t="n"/>
      <c r="Y351" s="116">
        <f>IF(B351="","",IF(X351="Yes","Delivered",IF(U351="Yes",IF(AND(W351&lt;&gt;"",R351&lt;&gt;""),IF(W351&gt;R351,"⚠️ Delivery after install date","Ordered"),"Ordered"),IF(K351="",IF(T351="","Waiting for decision",IF(T351&lt;=AsOf+AlertDays,"Decide now","Waiting for decision")),IF(S351="","Selected",IF(AsOf&gt;S351,"⚠️ Order late — install at risk",IF(S351&lt;=AsOf+AlertDays,"Order now","Selected")))))))</f>
        <v/>
      </c>
      <c r="Z351" s="79">
        <f>IF(B351="","",IF(OR(AH351=1,AE351=1),2,IF(OR(AG351=1,AF351=1),1,IF(OR(Y351="Ordered",Y351="Delivered"),0,""))))</f>
        <v/>
      </c>
      <c r="AA351" s="112">
        <f>IF(B351="","",IF(AH351=1,IF(Y351="⚠️ Delivery after install date",R351,S351),IF(AD351=1,T351,IF(AI351=1,S351,""))))</f>
        <v/>
      </c>
      <c r="AB351" s="79">
        <f>IF(AA351="","",IF(AH351=1,1,IF(AA351="","",IF(AA351&lt;AsOf,1,IF(AA351&lt;=AsOf+AlertDays,2,IF(AA351&lt;=AsOf+2*AlertDays,3,""))))))</f>
        <v/>
      </c>
      <c r="AC351" s="79">
        <f>IF(AB351="","",IF(AH351=1,IF(Y351="⚠️ Delivery after install date","Delivery after install date: "&amp;B351,"Order late — install at risk: "&amp;B351),IF(AD351=1,IF(AB351=1,"Decision overdue: ","Decide: ")&amp;B351,"Order: "&amp;B351&amp;IF(N351="",""," from "&amp;N351))))</f>
        <v/>
      </c>
      <c r="AD351" s="79">
        <f>IF(AND(B351&lt;&gt;"",K351="",U351&lt;&gt;"Yes",X351&lt;&gt;"Yes"),1,0)</f>
        <v/>
      </c>
      <c r="AE351" s="79">
        <f>IF(AND(AD351=1,T351&lt;&gt;""),IF(T351&lt;AsOf,1,0),0)</f>
        <v/>
      </c>
      <c r="AF351" s="79">
        <f>IF(AND(AD351=1,T351&lt;&gt;""),IF(AND(T351&gt;=AsOf,T351&lt;=AsOf+AlertDays),1,0),0)</f>
        <v/>
      </c>
      <c r="AG351" s="79">
        <f>IF(Y351="Order now",1,0)</f>
        <v/>
      </c>
      <c r="AH351" s="79">
        <f>IF(OR(Y351="⚠️ Order late — install at risk",Y351="⚠️ Delivery after install date"),1,0)</f>
        <v/>
      </c>
      <c r="AI351" s="79">
        <f>IF(AND(B351&lt;&gt;"",K351&lt;&gt;"",U351&lt;&gt;"Yes",X351&lt;&gt;"Yes"),1,0)</f>
        <v/>
      </c>
      <c r="AJ351" s="79">
        <f>IF(Y351="⚠️ Order late — install at risk",1,0)</f>
        <v/>
      </c>
    </row>
    <row r="352" ht="20" customHeight="1">
      <c r="B352" s="72" t="n"/>
      <c r="C352" s="72" t="n"/>
      <c r="D352" s="72" t="n"/>
      <c r="E352" s="72" t="n"/>
      <c r="F352" s="73" t="n"/>
      <c r="G352" s="72" t="n"/>
      <c r="H352" s="73" t="n"/>
      <c r="I352" s="72" t="n"/>
      <c r="J352" s="73" t="n"/>
      <c r="K352" s="74" t="n"/>
      <c r="L352" s="75">
        <f>IF(K352="A",F352,IF(K352="B",H352,IF(K352="C",J352,"")))</f>
        <v/>
      </c>
      <c r="M352" s="72" t="n"/>
      <c r="N352" s="72" t="n"/>
      <c r="O352" s="89" t="n"/>
      <c r="P352" s="89" t="n"/>
      <c r="Q352" s="109" t="n"/>
      <c r="R352" s="120">
        <f>IF(B352="","",IF(Q352&lt;&gt;"",Q352,IF(P352="","",IFERROR(INDEX('Timeline'!$J$7:$J$1006,MATCH(P352,'Timeline'!$B$7:$B$1006,0)),""))))</f>
        <v/>
      </c>
      <c r="S352" s="126">
        <f>IF(R352="","",R352-IF(O352="",0,O352)-OrderBuf)</f>
        <v/>
      </c>
      <c r="T352" s="126">
        <f>IF(S352="","",S352-DecideBuf)</f>
        <v/>
      </c>
      <c r="U352" s="74" t="n"/>
      <c r="V352" s="109" t="n"/>
      <c r="W352" s="109" t="n"/>
      <c r="X352" s="74" t="n"/>
      <c r="Y352" s="116">
        <f>IF(B352="","",IF(X352="Yes","Delivered",IF(U352="Yes",IF(AND(W352&lt;&gt;"",R352&lt;&gt;""),IF(W352&gt;R352,"⚠️ Delivery after install date","Ordered"),"Ordered"),IF(K352="",IF(T352="","Waiting for decision",IF(T352&lt;=AsOf+AlertDays,"Decide now","Waiting for decision")),IF(S352="","Selected",IF(AsOf&gt;S352,"⚠️ Order late — install at risk",IF(S352&lt;=AsOf+AlertDays,"Order now","Selected")))))))</f>
        <v/>
      </c>
      <c r="Z352" s="79">
        <f>IF(B352="","",IF(OR(AH352=1,AE352=1),2,IF(OR(AG352=1,AF352=1),1,IF(OR(Y352="Ordered",Y352="Delivered"),0,""))))</f>
        <v/>
      </c>
      <c r="AA352" s="112">
        <f>IF(B352="","",IF(AH352=1,IF(Y352="⚠️ Delivery after install date",R352,S352),IF(AD352=1,T352,IF(AI352=1,S352,""))))</f>
        <v/>
      </c>
      <c r="AB352" s="79">
        <f>IF(AA352="","",IF(AH352=1,1,IF(AA352="","",IF(AA352&lt;AsOf,1,IF(AA352&lt;=AsOf+AlertDays,2,IF(AA352&lt;=AsOf+2*AlertDays,3,""))))))</f>
        <v/>
      </c>
      <c r="AC352" s="79">
        <f>IF(AB352="","",IF(AH352=1,IF(Y352="⚠️ Delivery after install date","Delivery after install date: "&amp;B352,"Order late — install at risk: "&amp;B352),IF(AD352=1,IF(AB352=1,"Decision overdue: ","Decide: ")&amp;B352,"Order: "&amp;B352&amp;IF(N352="",""," from "&amp;N352))))</f>
        <v/>
      </c>
      <c r="AD352" s="79">
        <f>IF(AND(B352&lt;&gt;"",K352="",U352&lt;&gt;"Yes",X352&lt;&gt;"Yes"),1,0)</f>
        <v/>
      </c>
      <c r="AE352" s="79">
        <f>IF(AND(AD352=1,T352&lt;&gt;""),IF(T352&lt;AsOf,1,0),0)</f>
        <v/>
      </c>
      <c r="AF352" s="79">
        <f>IF(AND(AD352=1,T352&lt;&gt;""),IF(AND(T352&gt;=AsOf,T352&lt;=AsOf+AlertDays),1,0),0)</f>
        <v/>
      </c>
      <c r="AG352" s="79">
        <f>IF(Y352="Order now",1,0)</f>
        <v/>
      </c>
      <c r="AH352" s="79">
        <f>IF(OR(Y352="⚠️ Order late — install at risk",Y352="⚠️ Delivery after install date"),1,0)</f>
        <v/>
      </c>
      <c r="AI352" s="79">
        <f>IF(AND(B352&lt;&gt;"",K352&lt;&gt;"",U352&lt;&gt;"Yes",X352&lt;&gt;"Yes"),1,0)</f>
        <v/>
      </c>
      <c r="AJ352" s="79">
        <f>IF(Y352="⚠️ Order late — install at risk",1,0)</f>
        <v/>
      </c>
    </row>
    <row r="353" ht="20" customHeight="1">
      <c r="B353" s="72" t="n"/>
      <c r="C353" s="72" t="n"/>
      <c r="D353" s="72" t="n"/>
      <c r="E353" s="72" t="n"/>
      <c r="F353" s="73" t="n"/>
      <c r="G353" s="72" t="n"/>
      <c r="H353" s="73" t="n"/>
      <c r="I353" s="72" t="n"/>
      <c r="J353" s="73" t="n"/>
      <c r="K353" s="74" t="n"/>
      <c r="L353" s="75">
        <f>IF(K353="A",F353,IF(K353="B",H353,IF(K353="C",J353,"")))</f>
        <v/>
      </c>
      <c r="M353" s="72" t="n"/>
      <c r="N353" s="72" t="n"/>
      <c r="O353" s="89" t="n"/>
      <c r="P353" s="89" t="n"/>
      <c r="Q353" s="109" t="n"/>
      <c r="R353" s="120">
        <f>IF(B353="","",IF(Q353&lt;&gt;"",Q353,IF(P353="","",IFERROR(INDEX('Timeline'!$J$7:$J$1006,MATCH(P353,'Timeline'!$B$7:$B$1006,0)),""))))</f>
        <v/>
      </c>
      <c r="S353" s="126">
        <f>IF(R353="","",R353-IF(O353="",0,O353)-OrderBuf)</f>
        <v/>
      </c>
      <c r="T353" s="126">
        <f>IF(S353="","",S353-DecideBuf)</f>
        <v/>
      </c>
      <c r="U353" s="74" t="n"/>
      <c r="V353" s="109" t="n"/>
      <c r="W353" s="109" t="n"/>
      <c r="X353" s="74" t="n"/>
      <c r="Y353" s="116">
        <f>IF(B353="","",IF(X353="Yes","Delivered",IF(U353="Yes",IF(AND(W353&lt;&gt;"",R353&lt;&gt;""),IF(W353&gt;R353,"⚠️ Delivery after install date","Ordered"),"Ordered"),IF(K353="",IF(T353="","Waiting for decision",IF(T353&lt;=AsOf+AlertDays,"Decide now","Waiting for decision")),IF(S353="","Selected",IF(AsOf&gt;S353,"⚠️ Order late — install at risk",IF(S353&lt;=AsOf+AlertDays,"Order now","Selected")))))))</f>
        <v/>
      </c>
      <c r="Z353" s="79">
        <f>IF(B353="","",IF(OR(AH353=1,AE353=1),2,IF(OR(AG353=1,AF353=1),1,IF(OR(Y353="Ordered",Y353="Delivered"),0,""))))</f>
        <v/>
      </c>
      <c r="AA353" s="112">
        <f>IF(B353="","",IF(AH353=1,IF(Y353="⚠️ Delivery after install date",R353,S353),IF(AD353=1,T353,IF(AI353=1,S353,""))))</f>
        <v/>
      </c>
      <c r="AB353" s="79">
        <f>IF(AA353="","",IF(AH353=1,1,IF(AA353="","",IF(AA353&lt;AsOf,1,IF(AA353&lt;=AsOf+AlertDays,2,IF(AA353&lt;=AsOf+2*AlertDays,3,""))))))</f>
        <v/>
      </c>
      <c r="AC353" s="79">
        <f>IF(AB353="","",IF(AH353=1,IF(Y353="⚠️ Delivery after install date","Delivery after install date: "&amp;B353,"Order late — install at risk: "&amp;B353),IF(AD353=1,IF(AB353=1,"Decision overdue: ","Decide: ")&amp;B353,"Order: "&amp;B353&amp;IF(N353="",""," from "&amp;N353))))</f>
        <v/>
      </c>
      <c r="AD353" s="79">
        <f>IF(AND(B353&lt;&gt;"",K353="",U353&lt;&gt;"Yes",X353&lt;&gt;"Yes"),1,0)</f>
        <v/>
      </c>
      <c r="AE353" s="79">
        <f>IF(AND(AD353=1,T353&lt;&gt;""),IF(T353&lt;AsOf,1,0),0)</f>
        <v/>
      </c>
      <c r="AF353" s="79">
        <f>IF(AND(AD353=1,T353&lt;&gt;""),IF(AND(T353&gt;=AsOf,T353&lt;=AsOf+AlertDays),1,0),0)</f>
        <v/>
      </c>
      <c r="AG353" s="79">
        <f>IF(Y353="Order now",1,0)</f>
        <v/>
      </c>
      <c r="AH353" s="79">
        <f>IF(OR(Y353="⚠️ Order late — install at risk",Y353="⚠️ Delivery after install date"),1,0)</f>
        <v/>
      </c>
      <c r="AI353" s="79">
        <f>IF(AND(B353&lt;&gt;"",K353&lt;&gt;"",U353&lt;&gt;"Yes",X353&lt;&gt;"Yes"),1,0)</f>
        <v/>
      </c>
      <c r="AJ353" s="79">
        <f>IF(Y353="⚠️ Order late — install at risk",1,0)</f>
        <v/>
      </c>
    </row>
    <row r="354" ht="20" customHeight="1">
      <c r="B354" s="72" t="n"/>
      <c r="C354" s="72" t="n"/>
      <c r="D354" s="72" t="n"/>
      <c r="E354" s="72" t="n"/>
      <c r="F354" s="73" t="n"/>
      <c r="G354" s="72" t="n"/>
      <c r="H354" s="73" t="n"/>
      <c r="I354" s="72" t="n"/>
      <c r="J354" s="73" t="n"/>
      <c r="K354" s="74" t="n"/>
      <c r="L354" s="75">
        <f>IF(K354="A",F354,IF(K354="B",H354,IF(K354="C",J354,"")))</f>
        <v/>
      </c>
      <c r="M354" s="72" t="n"/>
      <c r="N354" s="72" t="n"/>
      <c r="O354" s="89" t="n"/>
      <c r="P354" s="89" t="n"/>
      <c r="Q354" s="109" t="n"/>
      <c r="R354" s="120">
        <f>IF(B354="","",IF(Q354&lt;&gt;"",Q354,IF(P354="","",IFERROR(INDEX('Timeline'!$J$7:$J$1006,MATCH(P354,'Timeline'!$B$7:$B$1006,0)),""))))</f>
        <v/>
      </c>
      <c r="S354" s="126">
        <f>IF(R354="","",R354-IF(O354="",0,O354)-OrderBuf)</f>
        <v/>
      </c>
      <c r="T354" s="126">
        <f>IF(S354="","",S354-DecideBuf)</f>
        <v/>
      </c>
      <c r="U354" s="74" t="n"/>
      <c r="V354" s="109" t="n"/>
      <c r="W354" s="109" t="n"/>
      <c r="X354" s="74" t="n"/>
      <c r="Y354" s="116">
        <f>IF(B354="","",IF(X354="Yes","Delivered",IF(U354="Yes",IF(AND(W354&lt;&gt;"",R354&lt;&gt;""),IF(W354&gt;R354,"⚠️ Delivery after install date","Ordered"),"Ordered"),IF(K354="",IF(T354="","Waiting for decision",IF(T354&lt;=AsOf+AlertDays,"Decide now","Waiting for decision")),IF(S354="","Selected",IF(AsOf&gt;S354,"⚠️ Order late — install at risk",IF(S354&lt;=AsOf+AlertDays,"Order now","Selected")))))))</f>
        <v/>
      </c>
      <c r="Z354" s="79">
        <f>IF(B354="","",IF(OR(AH354=1,AE354=1),2,IF(OR(AG354=1,AF354=1),1,IF(OR(Y354="Ordered",Y354="Delivered"),0,""))))</f>
        <v/>
      </c>
      <c r="AA354" s="112">
        <f>IF(B354="","",IF(AH354=1,IF(Y354="⚠️ Delivery after install date",R354,S354),IF(AD354=1,T354,IF(AI354=1,S354,""))))</f>
        <v/>
      </c>
      <c r="AB354" s="79">
        <f>IF(AA354="","",IF(AH354=1,1,IF(AA354="","",IF(AA354&lt;AsOf,1,IF(AA354&lt;=AsOf+AlertDays,2,IF(AA354&lt;=AsOf+2*AlertDays,3,""))))))</f>
        <v/>
      </c>
      <c r="AC354" s="79">
        <f>IF(AB354="","",IF(AH354=1,IF(Y354="⚠️ Delivery after install date","Delivery after install date: "&amp;B354,"Order late — install at risk: "&amp;B354),IF(AD354=1,IF(AB354=1,"Decision overdue: ","Decide: ")&amp;B354,"Order: "&amp;B354&amp;IF(N354="",""," from "&amp;N354))))</f>
        <v/>
      </c>
      <c r="AD354" s="79">
        <f>IF(AND(B354&lt;&gt;"",K354="",U354&lt;&gt;"Yes",X354&lt;&gt;"Yes"),1,0)</f>
        <v/>
      </c>
      <c r="AE354" s="79">
        <f>IF(AND(AD354=1,T354&lt;&gt;""),IF(T354&lt;AsOf,1,0),0)</f>
        <v/>
      </c>
      <c r="AF354" s="79">
        <f>IF(AND(AD354=1,T354&lt;&gt;""),IF(AND(T354&gt;=AsOf,T354&lt;=AsOf+AlertDays),1,0),0)</f>
        <v/>
      </c>
      <c r="AG354" s="79">
        <f>IF(Y354="Order now",1,0)</f>
        <v/>
      </c>
      <c r="AH354" s="79">
        <f>IF(OR(Y354="⚠️ Order late — install at risk",Y354="⚠️ Delivery after install date"),1,0)</f>
        <v/>
      </c>
      <c r="AI354" s="79">
        <f>IF(AND(B354&lt;&gt;"",K354&lt;&gt;"",U354&lt;&gt;"Yes",X354&lt;&gt;"Yes"),1,0)</f>
        <v/>
      </c>
      <c r="AJ354" s="79">
        <f>IF(Y354="⚠️ Order late — install at risk",1,0)</f>
        <v/>
      </c>
    </row>
    <row r="355" ht="20" customHeight="1">
      <c r="B355" s="72" t="n"/>
      <c r="C355" s="72" t="n"/>
      <c r="D355" s="72" t="n"/>
      <c r="E355" s="72" t="n"/>
      <c r="F355" s="73" t="n"/>
      <c r="G355" s="72" t="n"/>
      <c r="H355" s="73" t="n"/>
      <c r="I355" s="72" t="n"/>
      <c r="J355" s="73" t="n"/>
      <c r="K355" s="74" t="n"/>
      <c r="L355" s="75">
        <f>IF(K355="A",F355,IF(K355="B",H355,IF(K355="C",J355,"")))</f>
        <v/>
      </c>
      <c r="M355" s="72" t="n"/>
      <c r="N355" s="72" t="n"/>
      <c r="O355" s="89" t="n"/>
      <c r="P355" s="89" t="n"/>
      <c r="Q355" s="109" t="n"/>
      <c r="R355" s="120">
        <f>IF(B355="","",IF(Q355&lt;&gt;"",Q355,IF(P355="","",IFERROR(INDEX('Timeline'!$J$7:$J$1006,MATCH(P355,'Timeline'!$B$7:$B$1006,0)),""))))</f>
        <v/>
      </c>
      <c r="S355" s="126">
        <f>IF(R355="","",R355-IF(O355="",0,O355)-OrderBuf)</f>
        <v/>
      </c>
      <c r="T355" s="126">
        <f>IF(S355="","",S355-DecideBuf)</f>
        <v/>
      </c>
      <c r="U355" s="74" t="n"/>
      <c r="V355" s="109" t="n"/>
      <c r="W355" s="109" t="n"/>
      <c r="X355" s="74" t="n"/>
      <c r="Y355" s="116">
        <f>IF(B355="","",IF(X355="Yes","Delivered",IF(U355="Yes",IF(AND(W355&lt;&gt;"",R355&lt;&gt;""),IF(W355&gt;R355,"⚠️ Delivery after install date","Ordered"),"Ordered"),IF(K355="",IF(T355="","Waiting for decision",IF(T355&lt;=AsOf+AlertDays,"Decide now","Waiting for decision")),IF(S355="","Selected",IF(AsOf&gt;S355,"⚠️ Order late — install at risk",IF(S355&lt;=AsOf+AlertDays,"Order now","Selected")))))))</f>
        <v/>
      </c>
      <c r="Z355" s="79">
        <f>IF(B355="","",IF(OR(AH355=1,AE355=1),2,IF(OR(AG355=1,AF355=1),1,IF(OR(Y355="Ordered",Y355="Delivered"),0,""))))</f>
        <v/>
      </c>
      <c r="AA355" s="112">
        <f>IF(B355="","",IF(AH355=1,IF(Y355="⚠️ Delivery after install date",R355,S355),IF(AD355=1,T355,IF(AI355=1,S355,""))))</f>
        <v/>
      </c>
      <c r="AB355" s="79">
        <f>IF(AA355="","",IF(AH355=1,1,IF(AA355="","",IF(AA355&lt;AsOf,1,IF(AA355&lt;=AsOf+AlertDays,2,IF(AA355&lt;=AsOf+2*AlertDays,3,""))))))</f>
        <v/>
      </c>
      <c r="AC355" s="79">
        <f>IF(AB355="","",IF(AH355=1,IF(Y355="⚠️ Delivery after install date","Delivery after install date: "&amp;B355,"Order late — install at risk: "&amp;B355),IF(AD355=1,IF(AB355=1,"Decision overdue: ","Decide: ")&amp;B355,"Order: "&amp;B355&amp;IF(N355="",""," from "&amp;N355))))</f>
        <v/>
      </c>
      <c r="AD355" s="79">
        <f>IF(AND(B355&lt;&gt;"",K355="",U355&lt;&gt;"Yes",X355&lt;&gt;"Yes"),1,0)</f>
        <v/>
      </c>
      <c r="AE355" s="79">
        <f>IF(AND(AD355=1,T355&lt;&gt;""),IF(T355&lt;AsOf,1,0),0)</f>
        <v/>
      </c>
      <c r="AF355" s="79">
        <f>IF(AND(AD355=1,T355&lt;&gt;""),IF(AND(T355&gt;=AsOf,T355&lt;=AsOf+AlertDays),1,0),0)</f>
        <v/>
      </c>
      <c r="AG355" s="79">
        <f>IF(Y355="Order now",1,0)</f>
        <v/>
      </c>
      <c r="AH355" s="79">
        <f>IF(OR(Y355="⚠️ Order late — install at risk",Y355="⚠️ Delivery after install date"),1,0)</f>
        <v/>
      </c>
      <c r="AI355" s="79">
        <f>IF(AND(B355&lt;&gt;"",K355&lt;&gt;"",U355&lt;&gt;"Yes",X355&lt;&gt;"Yes"),1,0)</f>
        <v/>
      </c>
      <c r="AJ355" s="79">
        <f>IF(Y355="⚠️ Order late — install at risk",1,0)</f>
        <v/>
      </c>
    </row>
    <row r="356" ht="20" customHeight="1">
      <c r="B356" s="72" t="n"/>
      <c r="C356" s="72" t="n"/>
      <c r="D356" s="72" t="n"/>
      <c r="E356" s="72" t="n"/>
      <c r="F356" s="73" t="n"/>
      <c r="G356" s="72" t="n"/>
      <c r="H356" s="73" t="n"/>
      <c r="I356" s="72" t="n"/>
      <c r="J356" s="73" t="n"/>
      <c r="K356" s="74" t="n"/>
      <c r="L356" s="75">
        <f>IF(K356="A",F356,IF(K356="B",H356,IF(K356="C",J356,"")))</f>
        <v/>
      </c>
      <c r="M356" s="72" t="n"/>
      <c r="N356" s="72" t="n"/>
      <c r="O356" s="89" t="n"/>
      <c r="P356" s="89" t="n"/>
      <c r="Q356" s="109" t="n"/>
      <c r="R356" s="120">
        <f>IF(B356="","",IF(Q356&lt;&gt;"",Q356,IF(P356="","",IFERROR(INDEX('Timeline'!$J$7:$J$1006,MATCH(P356,'Timeline'!$B$7:$B$1006,0)),""))))</f>
        <v/>
      </c>
      <c r="S356" s="126">
        <f>IF(R356="","",R356-IF(O356="",0,O356)-OrderBuf)</f>
        <v/>
      </c>
      <c r="T356" s="126">
        <f>IF(S356="","",S356-DecideBuf)</f>
        <v/>
      </c>
      <c r="U356" s="74" t="n"/>
      <c r="V356" s="109" t="n"/>
      <c r="W356" s="109" t="n"/>
      <c r="X356" s="74" t="n"/>
      <c r="Y356" s="116">
        <f>IF(B356="","",IF(X356="Yes","Delivered",IF(U356="Yes",IF(AND(W356&lt;&gt;"",R356&lt;&gt;""),IF(W356&gt;R356,"⚠️ Delivery after install date","Ordered"),"Ordered"),IF(K356="",IF(T356="","Waiting for decision",IF(T356&lt;=AsOf+AlertDays,"Decide now","Waiting for decision")),IF(S356="","Selected",IF(AsOf&gt;S356,"⚠️ Order late — install at risk",IF(S356&lt;=AsOf+AlertDays,"Order now","Selected")))))))</f>
        <v/>
      </c>
      <c r="Z356" s="79">
        <f>IF(B356="","",IF(OR(AH356=1,AE356=1),2,IF(OR(AG356=1,AF356=1),1,IF(OR(Y356="Ordered",Y356="Delivered"),0,""))))</f>
        <v/>
      </c>
      <c r="AA356" s="112">
        <f>IF(B356="","",IF(AH356=1,IF(Y356="⚠️ Delivery after install date",R356,S356),IF(AD356=1,T356,IF(AI356=1,S356,""))))</f>
        <v/>
      </c>
      <c r="AB356" s="79">
        <f>IF(AA356="","",IF(AH356=1,1,IF(AA356="","",IF(AA356&lt;AsOf,1,IF(AA356&lt;=AsOf+AlertDays,2,IF(AA356&lt;=AsOf+2*AlertDays,3,""))))))</f>
        <v/>
      </c>
      <c r="AC356" s="79">
        <f>IF(AB356="","",IF(AH356=1,IF(Y356="⚠️ Delivery after install date","Delivery after install date: "&amp;B356,"Order late — install at risk: "&amp;B356),IF(AD356=1,IF(AB356=1,"Decision overdue: ","Decide: ")&amp;B356,"Order: "&amp;B356&amp;IF(N356="",""," from "&amp;N356))))</f>
        <v/>
      </c>
      <c r="AD356" s="79">
        <f>IF(AND(B356&lt;&gt;"",K356="",U356&lt;&gt;"Yes",X356&lt;&gt;"Yes"),1,0)</f>
        <v/>
      </c>
      <c r="AE356" s="79">
        <f>IF(AND(AD356=1,T356&lt;&gt;""),IF(T356&lt;AsOf,1,0),0)</f>
        <v/>
      </c>
      <c r="AF356" s="79">
        <f>IF(AND(AD356=1,T356&lt;&gt;""),IF(AND(T356&gt;=AsOf,T356&lt;=AsOf+AlertDays),1,0),0)</f>
        <v/>
      </c>
      <c r="AG356" s="79">
        <f>IF(Y356="Order now",1,0)</f>
        <v/>
      </c>
      <c r="AH356" s="79">
        <f>IF(OR(Y356="⚠️ Order late — install at risk",Y356="⚠️ Delivery after install date"),1,0)</f>
        <v/>
      </c>
      <c r="AI356" s="79">
        <f>IF(AND(B356&lt;&gt;"",K356&lt;&gt;"",U356&lt;&gt;"Yes",X356&lt;&gt;"Yes"),1,0)</f>
        <v/>
      </c>
      <c r="AJ356" s="79">
        <f>IF(Y356="⚠️ Order late — install at risk",1,0)</f>
        <v/>
      </c>
    </row>
    <row r="357" ht="20" customHeight="1">
      <c r="B357" s="72" t="n"/>
      <c r="C357" s="72" t="n"/>
      <c r="D357" s="72" t="n"/>
      <c r="E357" s="72" t="n"/>
      <c r="F357" s="73" t="n"/>
      <c r="G357" s="72" t="n"/>
      <c r="H357" s="73" t="n"/>
      <c r="I357" s="72" t="n"/>
      <c r="J357" s="73" t="n"/>
      <c r="K357" s="74" t="n"/>
      <c r="L357" s="75">
        <f>IF(K357="A",F357,IF(K357="B",H357,IF(K357="C",J357,"")))</f>
        <v/>
      </c>
      <c r="M357" s="72" t="n"/>
      <c r="N357" s="72" t="n"/>
      <c r="O357" s="89" t="n"/>
      <c r="P357" s="89" t="n"/>
      <c r="Q357" s="109" t="n"/>
      <c r="R357" s="120">
        <f>IF(B357="","",IF(Q357&lt;&gt;"",Q357,IF(P357="","",IFERROR(INDEX('Timeline'!$J$7:$J$1006,MATCH(P357,'Timeline'!$B$7:$B$1006,0)),""))))</f>
        <v/>
      </c>
      <c r="S357" s="126">
        <f>IF(R357="","",R357-IF(O357="",0,O357)-OrderBuf)</f>
        <v/>
      </c>
      <c r="T357" s="126">
        <f>IF(S357="","",S357-DecideBuf)</f>
        <v/>
      </c>
      <c r="U357" s="74" t="n"/>
      <c r="V357" s="109" t="n"/>
      <c r="W357" s="109" t="n"/>
      <c r="X357" s="74" t="n"/>
      <c r="Y357" s="116">
        <f>IF(B357="","",IF(X357="Yes","Delivered",IF(U357="Yes",IF(AND(W357&lt;&gt;"",R357&lt;&gt;""),IF(W357&gt;R357,"⚠️ Delivery after install date","Ordered"),"Ordered"),IF(K357="",IF(T357="","Waiting for decision",IF(T357&lt;=AsOf+AlertDays,"Decide now","Waiting for decision")),IF(S357="","Selected",IF(AsOf&gt;S357,"⚠️ Order late — install at risk",IF(S357&lt;=AsOf+AlertDays,"Order now","Selected")))))))</f>
        <v/>
      </c>
      <c r="Z357" s="79">
        <f>IF(B357="","",IF(OR(AH357=1,AE357=1),2,IF(OR(AG357=1,AF357=1),1,IF(OR(Y357="Ordered",Y357="Delivered"),0,""))))</f>
        <v/>
      </c>
      <c r="AA357" s="112">
        <f>IF(B357="","",IF(AH357=1,IF(Y357="⚠️ Delivery after install date",R357,S357),IF(AD357=1,T357,IF(AI357=1,S357,""))))</f>
        <v/>
      </c>
      <c r="AB357" s="79">
        <f>IF(AA357="","",IF(AH357=1,1,IF(AA357="","",IF(AA357&lt;AsOf,1,IF(AA357&lt;=AsOf+AlertDays,2,IF(AA357&lt;=AsOf+2*AlertDays,3,""))))))</f>
        <v/>
      </c>
      <c r="AC357" s="79">
        <f>IF(AB357="","",IF(AH357=1,IF(Y357="⚠️ Delivery after install date","Delivery after install date: "&amp;B357,"Order late — install at risk: "&amp;B357),IF(AD357=1,IF(AB357=1,"Decision overdue: ","Decide: ")&amp;B357,"Order: "&amp;B357&amp;IF(N357="",""," from "&amp;N357))))</f>
        <v/>
      </c>
      <c r="AD357" s="79">
        <f>IF(AND(B357&lt;&gt;"",K357="",U357&lt;&gt;"Yes",X357&lt;&gt;"Yes"),1,0)</f>
        <v/>
      </c>
      <c r="AE357" s="79">
        <f>IF(AND(AD357=1,T357&lt;&gt;""),IF(T357&lt;AsOf,1,0),0)</f>
        <v/>
      </c>
      <c r="AF357" s="79">
        <f>IF(AND(AD357=1,T357&lt;&gt;""),IF(AND(T357&gt;=AsOf,T357&lt;=AsOf+AlertDays),1,0),0)</f>
        <v/>
      </c>
      <c r="AG357" s="79">
        <f>IF(Y357="Order now",1,0)</f>
        <v/>
      </c>
      <c r="AH357" s="79">
        <f>IF(OR(Y357="⚠️ Order late — install at risk",Y357="⚠️ Delivery after install date"),1,0)</f>
        <v/>
      </c>
      <c r="AI357" s="79">
        <f>IF(AND(B357&lt;&gt;"",K357&lt;&gt;"",U357&lt;&gt;"Yes",X357&lt;&gt;"Yes"),1,0)</f>
        <v/>
      </c>
      <c r="AJ357" s="79">
        <f>IF(Y357="⚠️ Order late — install at risk",1,0)</f>
        <v/>
      </c>
    </row>
    <row r="358" ht="20" customHeight="1">
      <c r="B358" s="72" t="n"/>
      <c r="C358" s="72" t="n"/>
      <c r="D358" s="72" t="n"/>
      <c r="E358" s="72" t="n"/>
      <c r="F358" s="73" t="n"/>
      <c r="G358" s="72" t="n"/>
      <c r="H358" s="73" t="n"/>
      <c r="I358" s="72" t="n"/>
      <c r="J358" s="73" t="n"/>
      <c r="K358" s="74" t="n"/>
      <c r="L358" s="75">
        <f>IF(K358="A",F358,IF(K358="B",H358,IF(K358="C",J358,"")))</f>
        <v/>
      </c>
      <c r="M358" s="72" t="n"/>
      <c r="N358" s="72" t="n"/>
      <c r="O358" s="89" t="n"/>
      <c r="P358" s="89" t="n"/>
      <c r="Q358" s="109" t="n"/>
      <c r="R358" s="120">
        <f>IF(B358="","",IF(Q358&lt;&gt;"",Q358,IF(P358="","",IFERROR(INDEX('Timeline'!$J$7:$J$1006,MATCH(P358,'Timeline'!$B$7:$B$1006,0)),""))))</f>
        <v/>
      </c>
      <c r="S358" s="126">
        <f>IF(R358="","",R358-IF(O358="",0,O358)-OrderBuf)</f>
        <v/>
      </c>
      <c r="T358" s="126">
        <f>IF(S358="","",S358-DecideBuf)</f>
        <v/>
      </c>
      <c r="U358" s="74" t="n"/>
      <c r="V358" s="109" t="n"/>
      <c r="W358" s="109" t="n"/>
      <c r="X358" s="74" t="n"/>
      <c r="Y358" s="116">
        <f>IF(B358="","",IF(X358="Yes","Delivered",IF(U358="Yes",IF(AND(W358&lt;&gt;"",R358&lt;&gt;""),IF(W358&gt;R358,"⚠️ Delivery after install date","Ordered"),"Ordered"),IF(K358="",IF(T358="","Waiting for decision",IF(T358&lt;=AsOf+AlertDays,"Decide now","Waiting for decision")),IF(S358="","Selected",IF(AsOf&gt;S358,"⚠️ Order late — install at risk",IF(S358&lt;=AsOf+AlertDays,"Order now","Selected")))))))</f>
        <v/>
      </c>
      <c r="Z358" s="79">
        <f>IF(B358="","",IF(OR(AH358=1,AE358=1),2,IF(OR(AG358=1,AF358=1),1,IF(OR(Y358="Ordered",Y358="Delivered"),0,""))))</f>
        <v/>
      </c>
      <c r="AA358" s="112">
        <f>IF(B358="","",IF(AH358=1,IF(Y358="⚠️ Delivery after install date",R358,S358),IF(AD358=1,T358,IF(AI358=1,S358,""))))</f>
        <v/>
      </c>
      <c r="AB358" s="79">
        <f>IF(AA358="","",IF(AH358=1,1,IF(AA358="","",IF(AA358&lt;AsOf,1,IF(AA358&lt;=AsOf+AlertDays,2,IF(AA358&lt;=AsOf+2*AlertDays,3,""))))))</f>
        <v/>
      </c>
      <c r="AC358" s="79">
        <f>IF(AB358="","",IF(AH358=1,IF(Y358="⚠️ Delivery after install date","Delivery after install date: "&amp;B358,"Order late — install at risk: "&amp;B358),IF(AD358=1,IF(AB358=1,"Decision overdue: ","Decide: ")&amp;B358,"Order: "&amp;B358&amp;IF(N358="",""," from "&amp;N358))))</f>
        <v/>
      </c>
      <c r="AD358" s="79">
        <f>IF(AND(B358&lt;&gt;"",K358="",U358&lt;&gt;"Yes",X358&lt;&gt;"Yes"),1,0)</f>
        <v/>
      </c>
      <c r="AE358" s="79">
        <f>IF(AND(AD358=1,T358&lt;&gt;""),IF(T358&lt;AsOf,1,0),0)</f>
        <v/>
      </c>
      <c r="AF358" s="79">
        <f>IF(AND(AD358=1,T358&lt;&gt;""),IF(AND(T358&gt;=AsOf,T358&lt;=AsOf+AlertDays),1,0),0)</f>
        <v/>
      </c>
      <c r="AG358" s="79">
        <f>IF(Y358="Order now",1,0)</f>
        <v/>
      </c>
      <c r="AH358" s="79">
        <f>IF(OR(Y358="⚠️ Order late — install at risk",Y358="⚠️ Delivery after install date"),1,0)</f>
        <v/>
      </c>
      <c r="AI358" s="79">
        <f>IF(AND(B358&lt;&gt;"",K358&lt;&gt;"",U358&lt;&gt;"Yes",X358&lt;&gt;"Yes"),1,0)</f>
        <v/>
      </c>
      <c r="AJ358" s="79">
        <f>IF(Y358="⚠️ Order late — install at risk",1,0)</f>
        <v/>
      </c>
    </row>
    <row r="359" ht="20" customHeight="1">
      <c r="B359" s="72" t="n"/>
      <c r="C359" s="72" t="n"/>
      <c r="D359" s="72" t="n"/>
      <c r="E359" s="72" t="n"/>
      <c r="F359" s="73" t="n"/>
      <c r="G359" s="72" t="n"/>
      <c r="H359" s="73" t="n"/>
      <c r="I359" s="72" t="n"/>
      <c r="J359" s="73" t="n"/>
      <c r="K359" s="74" t="n"/>
      <c r="L359" s="75">
        <f>IF(K359="A",F359,IF(K359="B",H359,IF(K359="C",J359,"")))</f>
        <v/>
      </c>
      <c r="M359" s="72" t="n"/>
      <c r="N359" s="72" t="n"/>
      <c r="O359" s="89" t="n"/>
      <c r="P359" s="89" t="n"/>
      <c r="Q359" s="109" t="n"/>
      <c r="R359" s="120">
        <f>IF(B359="","",IF(Q359&lt;&gt;"",Q359,IF(P359="","",IFERROR(INDEX('Timeline'!$J$7:$J$1006,MATCH(P359,'Timeline'!$B$7:$B$1006,0)),""))))</f>
        <v/>
      </c>
      <c r="S359" s="126">
        <f>IF(R359="","",R359-IF(O359="",0,O359)-OrderBuf)</f>
        <v/>
      </c>
      <c r="T359" s="126">
        <f>IF(S359="","",S359-DecideBuf)</f>
        <v/>
      </c>
      <c r="U359" s="74" t="n"/>
      <c r="V359" s="109" t="n"/>
      <c r="W359" s="109" t="n"/>
      <c r="X359" s="74" t="n"/>
      <c r="Y359" s="116">
        <f>IF(B359="","",IF(X359="Yes","Delivered",IF(U359="Yes",IF(AND(W359&lt;&gt;"",R359&lt;&gt;""),IF(W359&gt;R359,"⚠️ Delivery after install date","Ordered"),"Ordered"),IF(K359="",IF(T359="","Waiting for decision",IF(T359&lt;=AsOf+AlertDays,"Decide now","Waiting for decision")),IF(S359="","Selected",IF(AsOf&gt;S359,"⚠️ Order late — install at risk",IF(S359&lt;=AsOf+AlertDays,"Order now","Selected")))))))</f>
        <v/>
      </c>
      <c r="Z359" s="79">
        <f>IF(B359="","",IF(OR(AH359=1,AE359=1),2,IF(OR(AG359=1,AF359=1),1,IF(OR(Y359="Ordered",Y359="Delivered"),0,""))))</f>
        <v/>
      </c>
      <c r="AA359" s="112">
        <f>IF(B359="","",IF(AH359=1,IF(Y359="⚠️ Delivery after install date",R359,S359),IF(AD359=1,T359,IF(AI359=1,S359,""))))</f>
        <v/>
      </c>
      <c r="AB359" s="79">
        <f>IF(AA359="","",IF(AH359=1,1,IF(AA359="","",IF(AA359&lt;AsOf,1,IF(AA359&lt;=AsOf+AlertDays,2,IF(AA359&lt;=AsOf+2*AlertDays,3,""))))))</f>
        <v/>
      </c>
      <c r="AC359" s="79">
        <f>IF(AB359="","",IF(AH359=1,IF(Y359="⚠️ Delivery after install date","Delivery after install date: "&amp;B359,"Order late — install at risk: "&amp;B359),IF(AD359=1,IF(AB359=1,"Decision overdue: ","Decide: ")&amp;B359,"Order: "&amp;B359&amp;IF(N359="",""," from "&amp;N359))))</f>
        <v/>
      </c>
      <c r="AD359" s="79">
        <f>IF(AND(B359&lt;&gt;"",K359="",U359&lt;&gt;"Yes",X359&lt;&gt;"Yes"),1,0)</f>
        <v/>
      </c>
      <c r="AE359" s="79">
        <f>IF(AND(AD359=1,T359&lt;&gt;""),IF(T359&lt;AsOf,1,0),0)</f>
        <v/>
      </c>
      <c r="AF359" s="79">
        <f>IF(AND(AD359=1,T359&lt;&gt;""),IF(AND(T359&gt;=AsOf,T359&lt;=AsOf+AlertDays),1,0),0)</f>
        <v/>
      </c>
      <c r="AG359" s="79">
        <f>IF(Y359="Order now",1,0)</f>
        <v/>
      </c>
      <c r="AH359" s="79">
        <f>IF(OR(Y359="⚠️ Order late — install at risk",Y359="⚠️ Delivery after install date"),1,0)</f>
        <v/>
      </c>
      <c r="AI359" s="79">
        <f>IF(AND(B359&lt;&gt;"",K359&lt;&gt;"",U359&lt;&gt;"Yes",X359&lt;&gt;"Yes"),1,0)</f>
        <v/>
      </c>
      <c r="AJ359" s="79">
        <f>IF(Y359="⚠️ Order late — install at risk",1,0)</f>
        <v/>
      </c>
    </row>
    <row r="360" ht="20" customHeight="1">
      <c r="B360" s="72" t="n"/>
      <c r="C360" s="72" t="n"/>
      <c r="D360" s="72" t="n"/>
      <c r="E360" s="72" t="n"/>
      <c r="F360" s="73" t="n"/>
      <c r="G360" s="72" t="n"/>
      <c r="H360" s="73" t="n"/>
      <c r="I360" s="72" t="n"/>
      <c r="J360" s="73" t="n"/>
      <c r="K360" s="74" t="n"/>
      <c r="L360" s="75">
        <f>IF(K360="A",F360,IF(K360="B",H360,IF(K360="C",J360,"")))</f>
        <v/>
      </c>
      <c r="M360" s="72" t="n"/>
      <c r="N360" s="72" t="n"/>
      <c r="O360" s="89" t="n"/>
      <c r="P360" s="89" t="n"/>
      <c r="Q360" s="109" t="n"/>
      <c r="R360" s="120">
        <f>IF(B360="","",IF(Q360&lt;&gt;"",Q360,IF(P360="","",IFERROR(INDEX('Timeline'!$J$7:$J$1006,MATCH(P360,'Timeline'!$B$7:$B$1006,0)),""))))</f>
        <v/>
      </c>
      <c r="S360" s="126">
        <f>IF(R360="","",R360-IF(O360="",0,O360)-OrderBuf)</f>
        <v/>
      </c>
      <c r="T360" s="126">
        <f>IF(S360="","",S360-DecideBuf)</f>
        <v/>
      </c>
      <c r="U360" s="74" t="n"/>
      <c r="V360" s="109" t="n"/>
      <c r="W360" s="109" t="n"/>
      <c r="X360" s="74" t="n"/>
      <c r="Y360" s="116">
        <f>IF(B360="","",IF(X360="Yes","Delivered",IF(U360="Yes",IF(AND(W360&lt;&gt;"",R360&lt;&gt;""),IF(W360&gt;R360,"⚠️ Delivery after install date","Ordered"),"Ordered"),IF(K360="",IF(T360="","Waiting for decision",IF(T360&lt;=AsOf+AlertDays,"Decide now","Waiting for decision")),IF(S360="","Selected",IF(AsOf&gt;S360,"⚠️ Order late — install at risk",IF(S360&lt;=AsOf+AlertDays,"Order now","Selected")))))))</f>
        <v/>
      </c>
      <c r="Z360" s="79">
        <f>IF(B360="","",IF(OR(AH360=1,AE360=1),2,IF(OR(AG360=1,AF360=1),1,IF(OR(Y360="Ordered",Y360="Delivered"),0,""))))</f>
        <v/>
      </c>
      <c r="AA360" s="112">
        <f>IF(B360="","",IF(AH360=1,IF(Y360="⚠️ Delivery after install date",R360,S360),IF(AD360=1,T360,IF(AI360=1,S360,""))))</f>
        <v/>
      </c>
      <c r="AB360" s="79">
        <f>IF(AA360="","",IF(AH360=1,1,IF(AA360="","",IF(AA360&lt;AsOf,1,IF(AA360&lt;=AsOf+AlertDays,2,IF(AA360&lt;=AsOf+2*AlertDays,3,""))))))</f>
        <v/>
      </c>
      <c r="AC360" s="79">
        <f>IF(AB360="","",IF(AH360=1,IF(Y360="⚠️ Delivery after install date","Delivery after install date: "&amp;B360,"Order late — install at risk: "&amp;B360),IF(AD360=1,IF(AB360=1,"Decision overdue: ","Decide: ")&amp;B360,"Order: "&amp;B360&amp;IF(N360="",""," from "&amp;N360))))</f>
        <v/>
      </c>
      <c r="AD360" s="79">
        <f>IF(AND(B360&lt;&gt;"",K360="",U360&lt;&gt;"Yes",X360&lt;&gt;"Yes"),1,0)</f>
        <v/>
      </c>
      <c r="AE360" s="79">
        <f>IF(AND(AD360=1,T360&lt;&gt;""),IF(T360&lt;AsOf,1,0),0)</f>
        <v/>
      </c>
      <c r="AF360" s="79">
        <f>IF(AND(AD360=1,T360&lt;&gt;""),IF(AND(T360&gt;=AsOf,T360&lt;=AsOf+AlertDays),1,0),0)</f>
        <v/>
      </c>
      <c r="AG360" s="79">
        <f>IF(Y360="Order now",1,0)</f>
        <v/>
      </c>
      <c r="AH360" s="79">
        <f>IF(OR(Y360="⚠️ Order late — install at risk",Y360="⚠️ Delivery after install date"),1,0)</f>
        <v/>
      </c>
      <c r="AI360" s="79">
        <f>IF(AND(B360&lt;&gt;"",K360&lt;&gt;"",U360&lt;&gt;"Yes",X360&lt;&gt;"Yes"),1,0)</f>
        <v/>
      </c>
      <c r="AJ360" s="79">
        <f>IF(Y360="⚠️ Order late — install at risk",1,0)</f>
        <v/>
      </c>
    </row>
    <row r="361" ht="20" customHeight="1">
      <c r="B361" s="72" t="n"/>
      <c r="C361" s="72" t="n"/>
      <c r="D361" s="72" t="n"/>
      <c r="E361" s="72" t="n"/>
      <c r="F361" s="73" t="n"/>
      <c r="G361" s="72" t="n"/>
      <c r="H361" s="73" t="n"/>
      <c r="I361" s="72" t="n"/>
      <c r="J361" s="73" t="n"/>
      <c r="K361" s="74" t="n"/>
      <c r="L361" s="75">
        <f>IF(K361="A",F361,IF(K361="B",H361,IF(K361="C",J361,"")))</f>
        <v/>
      </c>
      <c r="M361" s="72" t="n"/>
      <c r="N361" s="72" t="n"/>
      <c r="O361" s="89" t="n"/>
      <c r="P361" s="89" t="n"/>
      <c r="Q361" s="109" t="n"/>
      <c r="R361" s="120">
        <f>IF(B361="","",IF(Q361&lt;&gt;"",Q361,IF(P361="","",IFERROR(INDEX('Timeline'!$J$7:$J$1006,MATCH(P361,'Timeline'!$B$7:$B$1006,0)),""))))</f>
        <v/>
      </c>
      <c r="S361" s="126">
        <f>IF(R361="","",R361-IF(O361="",0,O361)-OrderBuf)</f>
        <v/>
      </c>
      <c r="T361" s="126">
        <f>IF(S361="","",S361-DecideBuf)</f>
        <v/>
      </c>
      <c r="U361" s="74" t="n"/>
      <c r="V361" s="109" t="n"/>
      <c r="W361" s="109" t="n"/>
      <c r="X361" s="74" t="n"/>
      <c r="Y361" s="116">
        <f>IF(B361="","",IF(X361="Yes","Delivered",IF(U361="Yes",IF(AND(W361&lt;&gt;"",R361&lt;&gt;""),IF(W361&gt;R361,"⚠️ Delivery after install date","Ordered"),"Ordered"),IF(K361="",IF(T361="","Waiting for decision",IF(T361&lt;=AsOf+AlertDays,"Decide now","Waiting for decision")),IF(S361="","Selected",IF(AsOf&gt;S361,"⚠️ Order late — install at risk",IF(S361&lt;=AsOf+AlertDays,"Order now","Selected")))))))</f>
        <v/>
      </c>
      <c r="Z361" s="79">
        <f>IF(B361="","",IF(OR(AH361=1,AE361=1),2,IF(OR(AG361=1,AF361=1),1,IF(OR(Y361="Ordered",Y361="Delivered"),0,""))))</f>
        <v/>
      </c>
      <c r="AA361" s="112">
        <f>IF(B361="","",IF(AH361=1,IF(Y361="⚠️ Delivery after install date",R361,S361),IF(AD361=1,T361,IF(AI361=1,S361,""))))</f>
        <v/>
      </c>
      <c r="AB361" s="79">
        <f>IF(AA361="","",IF(AH361=1,1,IF(AA361="","",IF(AA361&lt;AsOf,1,IF(AA361&lt;=AsOf+AlertDays,2,IF(AA361&lt;=AsOf+2*AlertDays,3,""))))))</f>
        <v/>
      </c>
      <c r="AC361" s="79">
        <f>IF(AB361="","",IF(AH361=1,IF(Y361="⚠️ Delivery after install date","Delivery after install date: "&amp;B361,"Order late — install at risk: "&amp;B361),IF(AD361=1,IF(AB361=1,"Decision overdue: ","Decide: ")&amp;B361,"Order: "&amp;B361&amp;IF(N361="",""," from "&amp;N361))))</f>
        <v/>
      </c>
      <c r="AD361" s="79">
        <f>IF(AND(B361&lt;&gt;"",K361="",U361&lt;&gt;"Yes",X361&lt;&gt;"Yes"),1,0)</f>
        <v/>
      </c>
      <c r="AE361" s="79">
        <f>IF(AND(AD361=1,T361&lt;&gt;""),IF(T361&lt;AsOf,1,0),0)</f>
        <v/>
      </c>
      <c r="AF361" s="79">
        <f>IF(AND(AD361=1,T361&lt;&gt;""),IF(AND(T361&gt;=AsOf,T361&lt;=AsOf+AlertDays),1,0),0)</f>
        <v/>
      </c>
      <c r="AG361" s="79">
        <f>IF(Y361="Order now",1,0)</f>
        <v/>
      </c>
      <c r="AH361" s="79">
        <f>IF(OR(Y361="⚠️ Order late — install at risk",Y361="⚠️ Delivery after install date"),1,0)</f>
        <v/>
      </c>
      <c r="AI361" s="79">
        <f>IF(AND(B361&lt;&gt;"",K361&lt;&gt;"",U361&lt;&gt;"Yes",X361&lt;&gt;"Yes"),1,0)</f>
        <v/>
      </c>
      <c r="AJ361" s="79">
        <f>IF(Y361="⚠️ Order late — install at risk",1,0)</f>
        <v/>
      </c>
    </row>
    <row r="362" ht="20" customHeight="1">
      <c r="B362" s="72" t="n"/>
      <c r="C362" s="72" t="n"/>
      <c r="D362" s="72" t="n"/>
      <c r="E362" s="72" t="n"/>
      <c r="F362" s="73" t="n"/>
      <c r="G362" s="72" t="n"/>
      <c r="H362" s="73" t="n"/>
      <c r="I362" s="72" t="n"/>
      <c r="J362" s="73" t="n"/>
      <c r="K362" s="74" t="n"/>
      <c r="L362" s="75">
        <f>IF(K362="A",F362,IF(K362="B",H362,IF(K362="C",J362,"")))</f>
        <v/>
      </c>
      <c r="M362" s="72" t="n"/>
      <c r="N362" s="72" t="n"/>
      <c r="O362" s="89" t="n"/>
      <c r="P362" s="89" t="n"/>
      <c r="Q362" s="109" t="n"/>
      <c r="R362" s="120">
        <f>IF(B362="","",IF(Q362&lt;&gt;"",Q362,IF(P362="","",IFERROR(INDEX('Timeline'!$J$7:$J$1006,MATCH(P362,'Timeline'!$B$7:$B$1006,0)),""))))</f>
        <v/>
      </c>
      <c r="S362" s="126">
        <f>IF(R362="","",R362-IF(O362="",0,O362)-OrderBuf)</f>
        <v/>
      </c>
      <c r="T362" s="126">
        <f>IF(S362="","",S362-DecideBuf)</f>
        <v/>
      </c>
      <c r="U362" s="74" t="n"/>
      <c r="V362" s="109" t="n"/>
      <c r="W362" s="109" t="n"/>
      <c r="X362" s="74" t="n"/>
      <c r="Y362" s="116">
        <f>IF(B362="","",IF(X362="Yes","Delivered",IF(U362="Yes",IF(AND(W362&lt;&gt;"",R362&lt;&gt;""),IF(W362&gt;R362,"⚠️ Delivery after install date","Ordered"),"Ordered"),IF(K362="",IF(T362="","Waiting for decision",IF(T362&lt;=AsOf+AlertDays,"Decide now","Waiting for decision")),IF(S362="","Selected",IF(AsOf&gt;S362,"⚠️ Order late — install at risk",IF(S362&lt;=AsOf+AlertDays,"Order now","Selected")))))))</f>
        <v/>
      </c>
      <c r="Z362" s="79">
        <f>IF(B362="","",IF(OR(AH362=1,AE362=1),2,IF(OR(AG362=1,AF362=1),1,IF(OR(Y362="Ordered",Y362="Delivered"),0,""))))</f>
        <v/>
      </c>
      <c r="AA362" s="112">
        <f>IF(B362="","",IF(AH362=1,IF(Y362="⚠️ Delivery after install date",R362,S362),IF(AD362=1,T362,IF(AI362=1,S362,""))))</f>
        <v/>
      </c>
      <c r="AB362" s="79">
        <f>IF(AA362="","",IF(AH362=1,1,IF(AA362="","",IF(AA362&lt;AsOf,1,IF(AA362&lt;=AsOf+AlertDays,2,IF(AA362&lt;=AsOf+2*AlertDays,3,""))))))</f>
        <v/>
      </c>
      <c r="AC362" s="79">
        <f>IF(AB362="","",IF(AH362=1,IF(Y362="⚠️ Delivery after install date","Delivery after install date: "&amp;B362,"Order late — install at risk: "&amp;B362),IF(AD362=1,IF(AB362=1,"Decision overdue: ","Decide: ")&amp;B362,"Order: "&amp;B362&amp;IF(N362="",""," from "&amp;N362))))</f>
        <v/>
      </c>
      <c r="AD362" s="79">
        <f>IF(AND(B362&lt;&gt;"",K362="",U362&lt;&gt;"Yes",X362&lt;&gt;"Yes"),1,0)</f>
        <v/>
      </c>
      <c r="AE362" s="79">
        <f>IF(AND(AD362=1,T362&lt;&gt;""),IF(T362&lt;AsOf,1,0),0)</f>
        <v/>
      </c>
      <c r="AF362" s="79">
        <f>IF(AND(AD362=1,T362&lt;&gt;""),IF(AND(T362&gt;=AsOf,T362&lt;=AsOf+AlertDays),1,0),0)</f>
        <v/>
      </c>
      <c r="AG362" s="79">
        <f>IF(Y362="Order now",1,0)</f>
        <v/>
      </c>
      <c r="AH362" s="79">
        <f>IF(OR(Y362="⚠️ Order late — install at risk",Y362="⚠️ Delivery after install date"),1,0)</f>
        <v/>
      </c>
      <c r="AI362" s="79">
        <f>IF(AND(B362&lt;&gt;"",K362&lt;&gt;"",U362&lt;&gt;"Yes",X362&lt;&gt;"Yes"),1,0)</f>
        <v/>
      </c>
      <c r="AJ362" s="79">
        <f>IF(Y362="⚠️ Order late — install at risk",1,0)</f>
        <v/>
      </c>
    </row>
    <row r="363" ht="20" customHeight="1">
      <c r="B363" s="72" t="n"/>
      <c r="C363" s="72" t="n"/>
      <c r="D363" s="72" t="n"/>
      <c r="E363" s="72" t="n"/>
      <c r="F363" s="73" t="n"/>
      <c r="G363" s="72" t="n"/>
      <c r="H363" s="73" t="n"/>
      <c r="I363" s="72" t="n"/>
      <c r="J363" s="73" t="n"/>
      <c r="K363" s="74" t="n"/>
      <c r="L363" s="75">
        <f>IF(K363="A",F363,IF(K363="B",H363,IF(K363="C",J363,"")))</f>
        <v/>
      </c>
      <c r="M363" s="72" t="n"/>
      <c r="N363" s="72" t="n"/>
      <c r="O363" s="89" t="n"/>
      <c r="P363" s="89" t="n"/>
      <c r="Q363" s="109" t="n"/>
      <c r="R363" s="120">
        <f>IF(B363="","",IF(Q363&lt;&gt;"",Q363,IF(P363="","",IFERROR(INDEX('Timeline'!$J$7:$J$1006,MATCH(P363,'Timeline'!$B$7:$B$1006,0)),""))))</f>
        <v/>
      </c>
      <c r="S363" s="126">
        <f>IF(R363="","",R363-IF(O363="",0,O363)-OrderBuf)</f>
        <v/>
      </c>
      <c r="T363" s="126">
        <f>IF(S363="","",S363-DecideBuf)</f>
        <v/>
      </c>
      <c r="U363" s="74" t="n"/>
      <c r="V363" s="109" t="n"/>
      <c r="W363" s="109" t="n"/>
      <c r="X363" s="74" t="n"/>
      <c r="Y363" s="116">
        <f>IF(B363="","",IF(X363="Yes","Delivered",IF(U363="Yes",IF(AND(W363&lt;&gt;"",R363&lt;&gt;""),IF(W363&gt;R363,"⚠️ Delivery after install date","Ordered"),"Ordered"),IF(K363="",IF(T363="","Waiting for decision",IF(T363&lt;=AsOf+AlertDays,"Decide now","Waiting for decision")),IF(S363="","Selected",IF(AsOf&gt;S363,"⚠️ Order late — install at risk",IF(S363&lt;=AsOf+AlertDays,"Order now","Selected")))))))</f>
        <v/>
      </c>
      <c r="Z363" s="79">
        <f>IF(B363="","",IF(OR(AH363=1,AE363=1),2,IF(OR(AG363=1,AF363=1),1,IF(OR(Y363="Ordered",Y363="Delivered"),0,""))))</f>
        <v/>
      </c>
      <c r="AA363" s="112">
        <f>IF(B363="","",IF(AH363=1,IF(Y363="⚠️ Delivery after install date",R363,S363),IF(AD363=1,T363,IF(AI363=1,S363,""))))</f>
        <v/>
      </c>
      <c r="AB363" s="79">
        <f>IF(AA363="","",IF(AH363=1,1,IF(AA363="","",IF(AA363&lt;AsOf,1,IF(AA363&lt;=AsOf+AlertDays,2,IF(AA363&lt;=AsOf+2*AlertDays,3,""))))))</f>
        <v/>
      </c>
      <c r="AC363" s="79">
        <f>IF(AB363="","",IF(AH363=1,IF(Y363="⚠️ Delivery after install date","Delivery after install date: "&amp;B363,"Order late — install at risk: "&amp;B363),IF(AD363=1,IF(AB363=1,"Decision overdue: ","Decide: ")&amp;B363,"Order: "&amp;B363&amp;IF(N363="",""," from "&amp;N363))))</f>
        <v/>
      </c>
      <c r="AD363" s="79">
        <f>IF(AND(B363&lt;&gt;"",K363="",U363&lt;&gt;"Yes",X363&lt;&gt;"Yes"),1,0)</f>
        <v/>
      </c>
      <c r="AE363" s="79">
        <f>IF(AND(AD363=1,T363&lt;&gt;""),IF(T363&lt;AsOf,1,0),0)</f>
        <v/>
      </c>
      <c r="AF363" s="79">
        <f>IF(AND(AD363=1,T363&lt;&gt;""),IF(AND(T363&gt;=AsOf,T363&lt;=AsOf+AlertDays),1,0),0)</f>
        <v/>
      </c>
      <c r="AG363" s="79">
        <f>IF(Y363="Order now",1,0)</f>
        <v/>
      </c>
      <c r="AH363" s="79">
        <f>IF(OR(Y363="⚠️ Order late — install at risk",Y363="⚠️ Delivery after install date"),1,0)</f>
        <v/>
      </c>
      <c r="AI363" s="79">
        <f>IF(AND(B363&lt;&gt;"",K363&lt;&gt;"",U363&lt;&gt;"Yes",X363&lt;&gt;"Yes"),1,0)</f>
        <v/>
      </c>
      <c r="AJ363" s="79">
        <f>IF(Y363="⚠️ Order late — install at risk",1,0)</f>
        <v/>
      </c>
    </row>
    <row r="364" ht="20" customHeight="1">
      <c r="B364" s="72" t="n"/>
      <c r="C364" s="72" t="n"/>
      <c r="D364" s="72" t="n"/>
      <c r="E364" s="72" t="n"/>
      <c r="F364" s="73" t="n"/>
      <c r="G364" s="72" t="n"/>
      <c r="H364" s="73" t="n"/>
      <c r="I364" s="72" t="n"/>
      <c r="J364" s="73" t="n"/>
      <c r="K364" s="74" t="n"/>
      <c r="L364" s="75">
        <f>IF(K364="A",F364,IF(K364="B",H364,IF(K364="C",J364,"")))</f>
        <v/>
      </c>
      <c r="M364" s="72" t="n"/>
      <c r="N364" s="72" t="n"/>
      <c r="O364" s="89" t="n"/>
      <c r="P364" s="89" t="n"/>
      <c r="Q364" s="109" t="n"/>
      <c r="R364" s="120">
        <f>IF(B364="","",IF(Q364&lt;&gt;"",Q364,IF(P364="","",IFERROR(INDEX('Timeline'!$J$7:$J$1006,MATCH(P364,'Timeline'!$B$7:$B$1006,0)),""))))</f>
        <v/>
      </c>
      <c r="S364" s="126">
        <f>IF(R364="","",R364-IF(O364="",0,O364)-OrderBuf)</f>
        <v/>
      </c>
      <c r="T364" s="126">
        <f>IF(S364="","",S364-DecideBuf)</f>
        <v/>
      </c>
      <c r="U364" s="74" t="n"/>
      <c r="V364" s="109" t="n"/>
      <c r="W364" s="109" t="n"/>
      <c r="X364" s="74" t="n"/>
      <c r="Y364" s="116">
        <f>IF(B364="","",IF(X364="Yes","Delivered",IF(U364="Yes",IF(AND(W364&lt;&gt;"",R364&lt;&gt;""),IF(W364&gt;R364,"⚠️ Delivery after install date","Ordered"),"Ordered"),IF(K364="",IF(T364="","Waiting for decision",IF(T364&lt;=AsOf+AlertDays,"Decide now","Waiting for decision")),IF(S364="","Selected",IF(AsOf&gt;S364,"⚠️ Order late — install at risk",IF(S364&lt;=AsOf+AlertDays,"Order now","Selected")))))))</f>
        <v/>
      </c>
      <c r="Z364" s="79">
        <f>IF(B364="","",IF(OR(AH364=1,AE364=1),2,IF(OR(AG364=1,AF364=1),1,IF(OR(Y364="Ordered",Y364="Delivered"),0,""))))</f>
        <v/>
      </c>
      <c r="AA364" s="112">
        <f>IF(B364="","",IF(AH364=1,IF(Y364="⚠️ Delivery after install date",R364,S364),IF(AD364=1,T364,IF(AI364=1,S364,""))))</f>
        <v/>
      </c>
      <c r="AB364" s="79">
        <f>IF(AA364="","",IF(AH364=1,1,IF(AA364="","",IF(AA364&lt;AsOf,1,IF(AA364&lt;=AsOf+AlertDays,2,IF(AA364&lt;=AsOf+2*AlertDays,3,""))))))</f>
        <v/>
      </c>
      <c r="AC364" s="79">
        <f>IF(AB364="","",IF(AH364=1,IF(Y364="⚠️ Delivery after install date","Delivery after install date: "&amp;B364,"Order late — install at risk: "&amp;B364),IF(AD364=1,IF(AB364=1,"Decision overdue: ","Decide: ")&amp;B364,"Order: "&amp;B364&amp;IF(N364="",""," from "&amp;N364))))</f>
        <v/>
      </c>
      <c r="AD364" s="79">
        <f>IF(AND(B364&lt;&gt;"",K364="",U364&lt;&gt;"Yes",X364&lt;&gt;"Yes"),1,0)</f>
        <v/>
      </c>
      <c r="AE364" s="79">
        <f>IF(AND(AD364=1,T364&lt;&gt;""),IF(T364&lt;AsOf,1,0),0)</f>
        <v/>
      </c>
      <c r="AF364" s="79">
        <f>IF(AND(AD364=1,T364&lt;&gt;""),IF(AND(T364&gt;=AsOf,T364&lt;=AsOf+AlertDays),1,0),0)</f>
        <v/>
      </c>
      <c r="AG364" s="79">
        <f>IF(Y364="Order now",1,0)</f>
        <v/>
      </c>
      <c r="AH364" s="79">
        <f>IF(OR(Y364="⚠️ Order late — install at risk",Y364="⚠️ Delivery after install date"),1,0)</f>
        <v/>
      </c>
      <c r="AI364" s="79">
        <f>IF(AND(B364&lt;&gt;"",K364&lt;&gt;"",U364&lt;&gt;"Yes",X364&lt;&gt;"Yes"),1,0)</f>
        <v/>
      </c>
      <c r="AJ364" s="79">
        <f>IF(Y364="⚠️ Order late — install at risk",1,0)</f>
        <v/>
      </c>
    </row>
    <row r="365" ht="20" customHeight="1">
      <c r="B365" s="72" t="n"/>
      <c r="C365" s="72" t="n"/>
      <c r="D365" s="72" t="n"/>
      <c r="E365" s="72" t="n"/>
      <c r="F365" s="73" t="n"/>
      <c r="G365" s="72" t="n"/>
      <c r="H365" s="73" t="n"/>
      <c r="I365" s="72" t="n"/>
      <c r="J365" s="73" t="n"/>
      <c r="K365" s="74" t="n"/>
      <c r="L365" s="75">
        <f>IF(K365="A",F365,IF(K365="B",H365,IF(K365="C",J365,"")))</f>
        <v/>
      </c>
      <c r="M365" s="72" t="n"/>
      <c r="N365" s="72" t="n"/>
      <c r="O365" s="89" t="n"/>
      <c r="P365" s="89" t="n"/>
      <c r="Q365" s="109" t="n"/>
      <c r="R365" s="120">
        <f>IF(B365="","",IF(Q365&lt;&gt;"",Q365,IF(P365="","",IFERROR(INDEX('Timeline'!$J$7:$J$1006,MATCH(P365,'Timeline'!$B$7:$B$1006,0)),""))))</f>
        <v/>
      </c>
      <c r="S365" s="126">
        <f>IF(R365="","",R365-IF(O365="",0,O365)-OrderBuf)</f>
        <v/>
      </c>
      <c r="T365" s="126">
        <f>IF(S365="","",S365-DecideBuf)</f>
        <v/>
      </c>
      <c r="U365" s="74" t="n"/>
      <c r="V365" s="109" t="n"/>
      <c r="W365" s="109" t="n"/>
      <c r="X365" s="74" t="n"/>
      <c r="Y365" s="116">
        <f>IF(B365="","",IF(X365="Yes","Delivered",IF(U365="Yes",IF(AND(W365&lt;&gt;"",R365&lt;&gt;""),IF(W365&gt;R365,"⚠️ Delivery after install date","Ordered"),"Ordered"),IF(K365="",IF(T365="","Waiting for decision",IF(T365&lt;=AsOf+AlertDays,"Decide now","Waiting for decision")),IF(S365="","Selected",IF(AsOf&gt;S365,"⚠️ Order late — install at risk",IF(S365&lt;=AsOf+AlertDays,"Order now","Selected")))))))</f>
        <v/>
      </c>
      <c r="Z365" s="79">
        <f>IF(B365="","",IF(OR(AH365=1,AE365=1),2,IF(OR(AG365=1,AF365=1),1,IF(OR(Y365="Ordered",Y365="Delivered"),0,""))))</f>
        <v/>
      </c>
      <c r="AA365" s="112">
        <f>IF(B365="","",IF(AH365=1,IF(Y365="⚠️ Delivery after install date",R365,S365),IF(AD365=1,T365,IF(AI365=1,S365,""))))</f>
        <v/>
      </c>
      <c r="AB365" s="79">
        <f>IF(AA365="","",IF(AH365=1,1,IF(AA365="","",IF(AA365&lt;AsOf,1,IF(AA365&lt;=AsOf+AlertDays,2,IF(AA365&lt;=AsOf+2*AlertDays,3,""))))))</f>
        <v/>
      </c>
      <c r="AC365" s="79">
        <f>IF(AB365="","",IF(AH365=1,IF(Y365="⚠️ Delivery after install date","Delivery after install date: "&amp;B365,"Order late — install at risk: "&amp;B365),IF(AD365=1,IF(AB365=1,"Decision overdue: ","Decide: ")&amp;B365,"Order: "&amp;B365&amp;IF(N365="",""," from "&amp;N365))))</f>
        <v/>
      </c>
      <c r="AD365" s="79">
        <f>IF(AND(B365&lt;&gt;"",K365="",U365&lt;&gt;"Yes",X365&lt;&gt;"Yes"),1,0)</f>
        <v/>
      </c>
      <c r="AE365" s="79">
        <f>IF(AND(AD365=1,T365&lt;&gt;""),IF(T365&lt;AsOf,1,0),0)</f>
        <v/>
      </c>
      <c r="AF365" s="79">
        <f>IF(AND(AD365=1,T365&lt;&gt;""),IF(AND(T365&gt;=AsOf,T365&lt;=AsOf+AlertDays),1,0),0)</f>
        <v/>
      </c>
      <c r="AG365" s="79">
        <f>IF(Y365="Order now",1,0)</f>
        <v/>
      </c>
      <c r="AH365" s="79">
        <f>IF(OR(Y365="⚠️ Order late — install at risk",Y365="⚠️ Delivery after install date"),1,0)</f>
        <v/>
      </c>
      <c r="AI365" s="79">
        <f>IF(AND(B365&lt;&gt;"",K365&lt;&gt;"",U365&lt;&gt;"Yes",X365&lt;&gt;"Yes"),1,0)</f>
        <v/>
      </c>
      <c r="AJ365" s="79">
        <f>IF(Y365="⚠️ Order late — install at risk",1,0)</f>
        <v/>
      </c>
    </row>
    <row r="366" ht="20" customHeight="1">
      <c r="B366" s="72" t="n"/>
      <c r="C366" s="72" t="n"/>
      <c r="D366" s="72" t="n"/>
      <c r="E366" s="72" t="n"/>
      <c r="F366" s="73" t="n"/>
      <c r="G366" s="72" t="n"/>
      <c r="H366" s="73" t="n"/>
      <c r="I366" s="72" t="n"/>
      <c r="J366" s="73" t="n"/>
      <c r="K366" s="74" t="n"/>
      <c r="L366" s="75">
        <f>IF(K366="A",F366,IF(K366="B",H366,IF(K366="C",J366,"")))</f>
        <v/>
      </c>
      <c r="M366" s="72" t="n"/>
      <c r="N366" s="72" t="n"/>
      <c r="O366" s="89" t="n"/>
      <c r="P366" s="89" t="n"/>
      <c r="Q366" s="109" t="n"/>
      <c r="R366" s="120">
        <f>IF(B366="","",IF(Q366&lt;&gt;"",Q366,IF(P366="","",IFERROR(INDEX('Timeline'!$J$7:$J$1006,MATCH(P366,'Timeline'!$B$7:$B$1006,0)),""))))</f>
        <v/>
      </c>
      <c r="S366" s="126">
        <f>IF(R366="","",R366-IF(O366="",0,O366)-OrderBuf)</f>
        <v/>
      </c>
      <c r="T366" s="126">
        <f>IF(S366="","",S366-DecideBuf)</f>
        <v/>
      </c>
      <c r="U366" s="74" t="n"/>
      <c r="V366" s="109" t="n"/>
      <c r="W366" s="109" t="n"/>
      <c r="X366" s="74" t="n"/>
      <c r="Y366" s="116">
        <f>IF(B366="","",IF(X366="Yes","Delivered",IF(U366="Yes",IF(AND(W366&lt;&gt;"",R366&lt;&gt;""),IF(W366&gt;R366,"⚠️ Delivery after install date","Ordered"),"Ordered"),IF(K366="",IF(T366="","Waiting for decision",IF(T366&lt;=AsOf+AlertDays,"Decide now","Waiting for decision")),IF(S366="","Selected",IF(AsOf&gt;S366,"⚠️ Order late — install at risk",IF(S366&lt;=AsOf+AlertDays,"Order now","Selected")))))))</f>
        <v/>
      </c>
      <c r="Z366" s="79">
        <f>IF(B366="","",IF(OR(AH366=1,AE366=1),2,IF(OR(AG366=1,AF366=1),1,IF(OR(Y366="Ordered",Y366="Delivered"),0,""))))</f>
        <v/>
      </c>
      <c r="AA366" s="112">
        <f>IF(B366="","",IF(AH366=1,IF(Y366="⚠️ Delivery after install date",R366,S366),IF(AD366=1,T366,IF(AI366=1,S366,""))))</f>
        <v/>
      </c>
      <c r="AB366" s="79">
        <f>IF(AA366="","",IF(AH366=1,1,IF(AA366="","",IF(AA366&lt;AsOf,1,IF(AA366&lt;=AsOf+AlertDays,2,IF(AA366&lt;=AsOf+2*AlertDays,3,""))))))</f>
        <v/>
      </c>
      <c r="AC366" s="79">
        <f>IF(AB366="","",IF(AH366=1,IF(Y366="⚠️ Delivery after install date","Delivery after install date: "&amp;B366,"Order late — install at risk: "&amp;B366),IF(AD366=1,IF(AB366=1,"Decision overdue: ","Decide: ")&amp;B366,"Order: "&amp;B366&amp;IF(N366="",""," from "&amp;N366))))</f>
        <v/>
      </c>
      <c r="AD366" s="79">
        <f>IF(AND(B366&lt;&gt;"",K366="",U366&lt;&gt;"Yes",X366&lt;&gt;"Yes"),1,0)</f>
        <v/>
      </c>
      <c r="AE366" s="79">
        <f>IF(AND(AD366=1,T366&lt;&gt;""),IF(T366&lt;AsOf,1,0),0)</f>
        <v/>
      </c>
      <c r="AF366" s="79">
        <f>IF(AND(AD366=1,T366&lt;&gt;""),IF(AND(T366&gt;=AsOf,T366&lt;=AsOf+AlertDays),1,0),0)</f>
        <v/>
      </c>
      <c r="AG366" s="79">
        <f>IF(Y366="Order now",1,0)</f>
        <v/>
      </c>
      <c r="AH366" s="79">
        <f>IF(OR(Y366="⚠️ Order late — install at risk",Y366="⚠️ Delivery after install date"),1,0)</f>
        <v/>
      </c>
      <c r="AI366" s="79">
        <f>IF(AND(B366&lt;&gt;"",K366&lt;&gt;"",U366&lt;&gt;"Yes",X366&lt;&gt;"Yes"),1,0)</f>
        <v/>
      </c>
      <c r="AJ366" s="79">
        <f>IF(Y366="⚠️ Order late — install at risk",1,0)</f>
        <v/>
      </c>
    </row>
    <row r="367" ht="20" customHeight="1">
      <c r="B367" s="72" t="n"/>
      <c r="C367" s="72" t="n"/>
      <c r="D367" s="72" t="n"/>
      <c r="E367" s="72" t="n"/>
      <c r="F367" s="73" t="n"/>
      <c r="G367" s="72" t="n"/>
      <c r="H367" s="73" t="n"/>
      <c r="I367" s="72" t="n"/>
      <c r="J367" s="73" t="n"/>
      <c r="K367" s="74" t="n"/>
      <c r="L367" s="75">
        <f>IF(K367="A",F367,IF(K367="B",H367,IF(K367="C",J367,"")))</f>
        <v/>
      </c>
      <c r="M367" s="72" t="n"/>
      <c r="N367" s="72" t="n"/>
      <c r="O367" s="89" t="n"/>
      <c r="P367" s="89" t="n"/>
      <c r="Q367" s="109" t="n"/>
      <c r="R367" s="120">
        <f>IF(B367="","",IF(Q367&lt;&gt;"",Q367,IF(P367="","",IFERROR(INDEX('Timeline'!$J$7:$J$1006,MATCH(P367,'Timeline'!$B$7:$B$1006,0)),""))))</f>
        <v/>
      </c>
      <c r="S367" s="126">
        <f>IF(R367="","",R367-IF(O367="",0,O367)-OrderBuf)</f>
        <v/>
      </c>
      <c r="T367" s="126">
        <f>IF(S367="","",S367-DecideBuf)</f>
        <v/>
      </c>
      <c r="U367" s="74" t="n"/>
      <c r="V367" s="109" t="n"/>
      <c r="W367" s="109" t="n"/>
      <c r="X367" s="74" t="n"/>
      <c r="Y367" s="116">
        <f>IF(B367="","",IF(X367="Yes","Delivered",IF(U367="Yes",IF(AND(W367&lt;&gt;"",R367&lt;&gt;""),IF(W367&gt;R367,"⚠️ Delivery after install date","Ordered"),"Ordered"),IF(K367="",IF(T367="","Waiting for decision",IF(T367&lt;=AsOf+AlertDays,"Decide now","Waiting for decision")),IF(S367="","Selected",IF(AsOf&gt;S367,"⚠️ Order late — install at risk",IF(S367&lt;=AsOf+AlertDays,"Order now","Selected")))))))</f>
        <v/>
      </c>
      <c r="Z367" s="79">
        <f>IF(B367="","",IF(OR(AH367=1,AE367=1),2,IF(OR(AG367=1,AF367=1),1,IF(OR(Y367="Ordered",Y367="Delivered"),0,""))))</f>
        <v/>
      </c>
      <c r="AA367" s="112">
        <f>IF(B367="","",IF(AH367=1,IF(Y367="⚠️ Delivery after install date",R367,S367),IF(AD367=1,T367,IF(AI367=1,S367,""))))</f>
        <v/>
      </c>
      <c r="AB367" s="79">
        <f>IF(AA367="","",IF(AH367=1,1,IF(AA367="","",IF(AA367&lt;AsOf,1,IF(AA367&lt;=AsOf+AlertDays,2,IF(AA367&lt;=AsOf+2*AlertDays,3,""))))))</f>
        <v/>
      </c>
      <c r="AC367" s="79">
        <f>IF(AB367="","",IF(AH367=1,IF(Y367="⚠️ Delivery after install date","Delivery after install date: "&amp;B367,"Order late — install at risk: "&amp;B367),IF(AD367=1,IF(AB367=1,"Decision overdue: ","Decide: ")&amp;B367,"Order: "&amp;B367&amp;IF(N367="",""," from "&amp;N367))))</f>
        <v/>
      </c>
      <c r="AD367" s="79">
        <f>IF(AND(B367&lt;&gt;"",K367="",U367&lt;&gt;"Yes",X367&lt;&gt;"Yes"),1,0)</f>
        <v/>
      </c>
      <c r="AE367" s="79">
        <f>IF(AND(AD367=1,T367&lt;&gt;""),IF(T367&lt;AsOf,1,0),0)</f>
        <v/>
      </c>
      <c r="AF367" s="79">
        <f>IF(AND(AD367=1,T367&lt;&gt;""),IF(AND(T367&gt;=AsOf,T367&lt;=AsOf+AlertDays),1,0),0)</f>
        <v/>
      </c>
      <c r="AG367" s="79">
        <f>IF(Y367="Order now",1,0)</f>
        <v/>
      </c>
      <c r="AH367" s="79">
        <f>IF(OR(Y367="⚠️ Order late — install at risk",Y367="⚠️ Delivery after install date"),1,0)</f>
        <v/>
      </c>
      <c r="AI367" s="79">
        <f>IF(AND(B367&lt;&gt;"",K367&lt;&gt;"",U367&lt;&gt;"Yes",X367&lt;&gt;"Yes"),1,0)</f>
        <v/>
      </c>
      <c r="AJ367" s="79">
        <f>IF(Y367="⚠️ Order late — install at risk",1,0)</f>
        <v/>
      </c>
    </row>
    <row r="368" ht="20" customHeight="1">
      <c r="B368" s="72" t="n"/>
      <c r="C368" s="72" t="n"/>
      <c r="D368" s="72" t="n"/>
      <c r="E368" s="72" t="n"/>
      <c r="F368" s="73" t="n"/>
      <c r="G368" s="72" t="n"/>
      <c r="H368" s="73" t="n"/>
      <c r="I368" s="72" t="n"/>
      <c r="J368" s="73" t="n"/>
      <c r="K368" s="74" t="n"/>
      <c r="L368" s="75">
        <f>IF(K368="A",F368,IF(K368="B",H368,IF(K368="C",J368,"")))</f>
        <v/>
      </c>
      <c r="M368" s="72" t="n"/>
      <c r="N368" s="72" t="n"/>
      <c r="O368" s="89" t="n"/>
      <c r="P368" s="89" t="n"/>
      <c r="Q368" s="109" t="n"/>
      <c r="R368" s="120">
        <f>IF(B368="","",IF(Q368&lt;&gt;"",Q368,IF(P368="","",IFERROR(INDEX('Timeline'!$J$7:$J$1006,MATCH(P368,'Timeline'!$B$7:$B$1006,0)),""))))</f>
        <v/>
      </c>
      <c r="S368" s="126">
        <f>IF(R368="","",R368-IF(O368="",0,O368)-OrderBuf)</f>
        <v/>
      </c>
      <c r="T368" s="126">
        <f>IF(S368="","",S368-DecideBuf)</f>
        <v/>
      </c>
      <c r="U368" s="74" t="n"/>
      <c r="V368" s="109" t="n"/>
      <c r="W368" s="109" t="n"/>
      <c r="X368" s="74" t="n"/>
      <c r="Y368" s="116">
        <f>IF(B368="","",IF(X368="Yes","Delivered",IF(U368="Yes",IF(AND(W368&lt;&gt;"",R368&lt;&gt;""),IF(W368&gt;R368,"⚠️ Delivery after install date","Ordered"),"Ordered"),IF(K368="",IF(T368="","Waiting for decision",IF(T368&lt;=AsOf+AlertDays,"Decide now","Waiting for decision")),IF(S368="","Selected",IF(AsOf&gt;S368,"⚠️ Order late — install at risk",IF(S368&lt;=AsOf+AlertDays,"Order now","Selected")))))))</f>
        <v/>
      </c>
      <c r="Z368" s="79">
        <f>IF(B368="","",IF(OR(AH368=1,AE368=1),2,IF(OR(AG368=1,AF368=1),1,IF(OR(Y368="Ordered",Y368="Delivered"),0,""))))</f>
        <v/>
      </c>
      <c r="AA368" s="112">
        <f>IF(B368="","",IF(AH368=1,IF(Y368="⚠️ Delivery after install date",R368,S368),IF(AD368=1,T368,IF(AI368=1,S368,""))))</f>
        <v/>
      </c>
      <c r="AB368" s="79">
        <f>IF(AA368="","",IF(AH368=1,1,IF(AA368="","",IF(AA368&lt;AsOf,1,IF(AA368&lt;=AsOf+AlertDays,2,IF(AA368&lt;=AsOf+2*AlertDays,3,""))))))</f>
        <v/>
      </c>
      <c r="AC368" s="79">
        <f>IF(AB368="","",IF(AH368=1,IF(Y368="⚠️ Delivery after install date","Delivery after install date: "&amp;B368,"Order late — install at risk: "&amp;B368),IF(AD368=1,IF(AB368=1,"Decision overdue: ","Decide: ")&amp;B368,"Order: "&amp;B368&amp;IF(N368="",""," from "&amp;N368))))</f>
        <v/>
      </c>
      <c r="AD368" s="79">
        <f>IF(AND(B368&lt;&gt;"",K368="",U368&lt;&gt;"Yes",X368&lt;&gt;"Yes"),1,0)</f>
        <v/>
      </c>
      <c r="AE368" s="79">
        <f>IF(AND(AD368=1,T368&lt;&gt;""),IF(T368&lt;AsOf,1,0),0)</f>
        <v/>
      </c>
      <c r="AF368" s="79">
        <f>IF(AND(AD368=1,T368&lt;&gt;""),IF(AND(T368&gt;=AsOf,T368&lt;=AsOf+AlertDays),1,0),0)</f>
        <v/>
      </c>
      <c r="AG368" s="79">
        <f>IF(Y368="Order now",1,0)</f>
        <v/>
      </c>
      <c r="AH368" s="79">
        <f>IF(OR(Y368="⚠️ Order late — install at risk",Y368="⚠️ Delivery after install date"),1,0)</f>
        <v/>
      </c>
      <c r="AI368" s="79">
        <f>IF(AND(B368&lt;&gt;"",K368&lt;&gt;"",U368&lt;&gt;"Yes",X368&lt;&gt;"Yes"),1,0)</f>
        <v/>
      </c>
      <c r="AJ368" s="79">
        <f>IF(Y368="⚠️ Order late — install at risk",1,0)</f>
        <v/>
      </c>
    </row>
    <row r="369" ht="20" customHeight="1">
      <c r="B369" s="72" t="n"/>
      <c r="C369" s="72" t="n"/>
      <c r="D369" s="72" t="n"/>
      <c r="E369" s="72" t="n"/>
      <c r="F369" s="73" t="n"/>
      <c r="G369" s="72" t="n"/>
      <c r="H369" s="73" t="n"/>
      <c r="I369" s="72" t="n"/>
      <c r="J369" s="73" t="n"/>
      <c r="K369" s="74" t="n"/>
      <c r="L369" s="75">
        <f>IF(K369="A",F369,IF(K369="B",H369,IF(K369="C",J369,"")))</f>
        <v/>
      </c>
      <c r="M369" s="72" t="n"/>
      <c r="N369" s="72" t="n"/>
      <c r="O369" s="89" t="n"/>
      <c r="P369" s="89" t="n"/>
      <c r="Q369" s="109" t="n"/>
      <c r="R369" s="120">
        <f>IF(B369="","",IF(Q369&lt;&gt;"",Q369,IF(P369="","",IFERROR(INDEX('Timeline'!$J$7:$J$1006,MATCH(P369,'Timeline'!$B$7:$B$1006,0)),""))))</f>
        <v/>
      </c>
      <c r="S369" s="126">
        <f>IF(R369="","",R369-IF(O369="",0,O369)-OrderBuf)</f>
        <v/>
      </c>
      <c r="T369" s="126">
        <f>IF(S369="","",S369-DecideBuf)</f>
        <v/>
      </c>
      <c r="U369" s="74" t="n"/>
      <c r="V369" s="109" t="n"/>
      <c r="W369" s="109" t="n"/>
      <c r="X369" s="74" t="n"/>
      <c r="Y369" s="116">
        <f>IF(B369="","",IF(X369="Yes","Delivered",IF(U369="Yes",IF(AND(W369&lt;&gt;"",R369&lt;&gt;""),IF(W369&gt;R369,"⚠️ Delivery after install date","Ordered"),"Ordered"),IF(K369="",IF(T369="","Waiting for decision",IF(T369&lt;=AsOf+AlertDays,"Decide now","Waiting for decision")),IF(S369="","Selected",IF(AsOf&gt;S369,"⚠️ Order late — install at risk",IF(S369&lt;=AsOf+AlertDays,"Order now","Selected")))))))</f>
        <v/>
      </c>
      <c r="Z369" s="79">
        <f>IF(B369="","",IF(OR(AH369=1,AE369=1),2,IF(OR(AG369=1,AF369=1),1,IF(OR(Y369="Ordered",Y369="Delivered"),0,""))))</f>
        <v/>
      </c>
      <c r="AA369" s="112">
        <f>IF(B369="","",IF(AH369=1,IF(Y369="⚠️ Delivery after install date",R369,S369),IF(AD369=1,T369,IF(AI369=1,S369,""))))</f>
        <v/>
      </c>
      <c r="AB369" s="79">
        <f>IF(AA369="","",IF(AH369=1,1,IF(AA369="","",IF(AA369&lt;AsOf,1,IF(AA369&lt;=AsOf+AlertDays,2,IF(AA369&lt;=AsOf+2*AlertDays,3,""))))))</f>
        <v/>
      </c>
      <c r="AC369" s="79">
        <f>IF(AB369="","",IF(AH369=1,IF(Y369="⚠️ Delivery after install date","Delivery after install date: "&amp;B369,"Order late — install at risk: "&amp;B369),IF(AD369=1,IF(AB369=1,"Decision overdue: ","Decide: ")&amp;B369,"Order: "&amp;B369&amp;IF(N369="",""," from "&amp;N369))))</f>
        <v/>
      </c>
      <c r="AD369" s="79">
        <f>IF(AND(B369&lt;&gt;"",K369="",U369&lt;&gt;"Yes",X369&lt;&gt;"Yes"),1,0)</f>
        <v/>
      </c>
      <c r="AE369" s="79">
        <f>IF(AND(AD369=1,T369&lt;&gt;""),IF(T369&lt;AsOf,1,0),0)</f>
        <v/>
      </c>
      <c r="AF369" s="79">
        <f>IF(AND(AD369=1,T369&lt;&gt;""),IF(AND(T369&gt;=AsOf,T369&lt;=AsOf+AlertDays),1,0),0)</f>
        <v/>
      </c>
      <c r="AG369" s="79">
        <f>IF(Y369="Order now",1,0)</f>
        <v/>
      </c>
      <c r="AH369" s="79">
        <f>IF(OR(Y369="⚠️ Order late — install at risk",Y369="⚠️ Delivery after install date"),1,0)</f>
        <v/>
      </c>
      <c r="AI369" s="79">
        <f>IF(AND(B369&lt;&gt;"",K369&lt;&gt;"",U369&lt;&gt;"Yes",X369&lt;&gt;"Yes"),1,0)</f>
        <v/>
      </c>
      <c r="AJ369" s="79">
        <f>IF(Y369="⚠️ Order late — install at risk",1,0)</f>
        <v/>
      </c>
    </row>
    <row r="370" ht="20" customHeight="1">
      <c r="B370" s="72" t="n"/>
      <c r="C370" s="72" t="n"/>
      <c r="D370" s="72" t="n"/>
      <c r="E370" s="72" t="n"/>
      <c r="F370" s="73" t="n"/>
      <c r="G370" s="72" t="n"/>
      <c r="H370" s="73" t="n"/>
      <c r="I370" s="72" t="n"/>
      <c r="J370" s="73" t="n"/>
      <c r="K370" s="74" t="n"/>
      <c r="L370" s="75">
        <f>IF(K370="A",F370,IF(K370="B",H370,IF(K370="C",J370,"")))</f>
        <v/>
      </c>
      <c r="M370" s="72" t="n"/>
      <c r="N370" s="72" t="n"/>
      <c r="O370" s="89" t="n"/>
      <c r="P370" s="89" t="n"/>
      <c r="Q370" s="109" t="n"/>
      <c r="R370" s="120">
        <f>IF(B370="","",IF(Q370&lt;&gt;"",Q370,IF(P370="","",IFERROR(INDEX('Timeline'!$J$7:$J$1006,MATCH(P370,'Timeline'!$B$7:$B$1006,0)),""))))</f>
        <v/>
      </c>
      <c r="S370" s="126">
        <f>IF(R370="","",R370-IF(O370="",0,O370)-OrderBuf)</f>
        <v/>
      </c>
      <c r="T370" s="126">
        <f>IF(S370="","",S370-DecideBuf)</f>
        <v/>
      </c>
      <c r="U370" s="74" t="n"/>
      <c r="V370" s="109" t="n"/>
      <c r="W370" s="109" t="n"/>
      <c r="X370" s="74" t="n"/>
      <c r="Y370" s="116">
        <f>IF(B370="","",IF(X370="Yes","Delivered",IF(U370="Yes",IF(AND(W370&lt;&gt;"",R370&lt;&gt;""),IF(W370&gt;R370,"⚠️ Delivery after install date","Ordered"),"Ordered"),IF(K370="",IF(T370="","Waiting for decision",IF(T370&lt;=AsOf+AlertDays,"Decide now","Waiting for decision")),IF(S370="","Selected",IF(AsOf&gt;S370,"⚠️ Order late — install at risk",IF(S370&lt;=AsOf+AlertDays,"Order now","Selected")))))))</f>
        <v/>
      </c>
      <c r="Z370" s="79">
        <f>IF(B370="","",IF(OR(AH370=1,AE370=1),2,IF(OR(AG370=1,AF370=1),1,IF(OR(Y370="Ordered",Y370="Delivered"),0,""))))</f>
        <v/>
      </c>
      <c r="AA370" s="112">
        <f>IF(B370="","",IF(AH370=1,IF(Y370="⚠️ Delivery after install date",R370,S370),IF(AD370=1,T370,IF(AI370=1,S370,""))))</f>
        <v/>
      </c>
      <c r="AB370" s="79">
        <f>IF(AA370="","",IF(AH370=1,1,IF(AA370="","",IF(AA370&lt;AsOf,1,IF(AA370&lt;=AsOf+AlertDays,2,IF(AA370&lt;=AsOf+2*AlertDays,3,""))))))</f>
        <v/>
      </c>
      <c r="AC370" s="79">
        <f>IF(AB370="","",IF(AH370=1,IF(Y370="⚠️ Delivery after install date","Delivery after install date: "&amp;B370,"Order late — install at risk: "&amp;B370),IF(AD370=1,IF(AB370=1,"Decision overdue: ","Decide: ")&amp;B370,"Order: "&amp;B370&amp;IF(N370="",""," from "&amp;N370))))</f>
        <v/>
      </c>
      <c r="AD370" s="79">
        <f>IF(AND(B370&lt;&gt;"",K370="",U370&lt;&gt;"Yes",X370&lt;&gt;"Yes"),1,0)</f>
        <v/>
      </c>
      <c r="AE370" s="79">
        <f>IF(AND(AD370=1,T370&lt;&gt;""),IF(T370&lt;AsOf,1,0),0)</f>
        <v/>
      </c>
      <c r="AF370" s="79">
        <f>IF(AND(AD370=1,T370&lt;&gt;""),IF(AND(T370&gt;=AsOf,T370&lt;=AsOf+AlertDays),1,0),0)</f>
        <v/>
      </c>
      <c r="AG370" s="79">
        <f>IF(Y370="Order now",1,0)</f>
        <v/>
      </c>
      <c r="AH370" s="79">
        <f>IF(OR(Y370="⚠️ Order late — install at risk",Y370="⚠️ Delivery after install date"),1,0)</f>
        <v/>
      </c>
      <c r="AI370" s="79">
        <f>IF(AND(B370&lt;&gt;"",K370&lt;&gt;"",U370&lt;&gt;"Yes",X370&lt;&gt;"Yes"),1,0)</f>
        <v/>
      </c>
      <c r="AJ370" s="79">
        <f>IF(Y370="⚠️ Order late — install at risk",1,0)</f>
        <v/>
      </c>
    </row>
    <row r="371" ht="20" customHeight="1">
      <c r="B371" s="72" t="n"/>
      <c r="C371" s="72" t="n"/>
      <c r="D371" s="72" t="n"/>
      <c r="E371" s="72" t="n"/>
      <c r="F371" s="73" t="n"/>
      <c r="G371" s="72" t="n"/>
      <c r="H371" s="73" t="n"/>
      <c r="I371" s="72" t="n"/>
      <c r="J371" s="73" t="n"/>
      <c r="K371" s="74" t="n"/>
      <c r="L371" s="75">
        <f>IF(K371="A",F371,IF(K371="B",H371,IF(K371="C",J371,"")))</f>
        <v/>
      </c>
      <c r="M371" s="72" t="n"/>
      <c r="N371" s="72" t="n"/>
      <c r="O371" s="89" t="n"/>
      <c r="P371" s="89" t="n"/>
      <c r="Q371" s="109" t="n"/>
      <c r="R371" s="120">
        <f>IF(B371="","",IF(Q371&lt;&gt;"",Q371,IF(P371="","",IFERROR(INDEX('Timeline'!$J$7:$J$1006,MATCH(P371,'Timeline'!$B$7:$B$1006,0)),""))))</f>
        <v/>
      </c>
      <c r="S371" s="126">
        <f>IF(R371="","",R371-IF(O371="",0,O371)-OrderBuf)</f>
        <v/>
      </c>
      <c r="T371" s="126">
        <f>IF(S371="","",S371-DecideBuf)</f>
        <v/>
      </c>
      <c r="U371" s="74" t="n"/>
      <c r="V371" s="109" t="n"/>
      <c r="W371" s="109" t="n"/>
      <c r="X371" s="74" t="n"/>
      <c r="Y371" s="116">
        <f>IF(B371="","",IF(X371="Yes","Delivered",IF(U371="Yes",IF(AND(W371&lt;&gt;"",R371&lt;&gt;""),IF(W371&gt;R371,"⚠️ Delivery after install date","Ordered"),"Ordered"),IF(K371="",IF(T371="","Waiting for decision",IF(T371&lt;=AsOf+AlertDays,"Decide now","Waiting for decision")),IF(S371="","Selected",IF(AsOf&gt;S371,"⚠️ Order late — install at risk",IF(S371&lt;=AsOf+AlertDays,"Order now","Selected")))))))</f>
        <v/>
      </c>
      <c r="Z371" s="79">
        <f>IF(B371="","",IF(OR(AH371=1,AE371=1),2,IF(OR(AG371=1,AF371=1),1,IF(OR(Y371="Ordered",Y371="Delivered"),0,""))))</f>
        <v/>
      </c>
      <c r="AA371" s="112">
        <f>IF(B371="","",IF(AH371=1,IF(Y371="⚠️ Delivery after install date",R371,S371),IF(AD371=1,T371,IF(AI371=1,S371,""))))</f>
        <v/>
      </c>
      <c r="AB371" s="79">
        <f>IF(AA371="","",IF(AH371=1,1,IF(AA371="","",IF(AA371&lt;AsOf,1,IF(AA371&lt;=AsOf+AlertDays,2,IF(AA371&lt;=AsOf+2*AlertDays,3,""))))))</f>
        <v/>
      </c>
      <c r="AC371" s="79">
        <f>IF(AB371="","",IF(AH371=1,IF(Y371="⚠️ Delivery after install date","Delivery after install date: "&amp;B371,"Order late — install at risk: "&amp;B371),IF(AD371=1,IF(AB371=1,"Decision overdue: ","Decide: ")&amp;B371,"Order: "&amp;B371&amp;IF(N371="",""," from "&amp;N371))))</f>
        <v/>
      </c>
      <c r="AD371" s="79">
        <f>IF(AND(B371&lt;&gt;"",K371="",U371&lt;&gt;"Yes",X371&lt;&gt;"Yes"),1,0)</f>
        <v/>
      </c>
      <c r="AE371" s="79">
        <f>IF(AND(AD371=1,T371&lt;&gt;""),IF(T371&lt;AsOf,1,0),0)</f>
        <v/>
      </c>
      <c r="AF371" s="79">
        <f>IF(AND(AD371=1,T371&lt;&gt;""),IF(AND(T371&gt;=AsOf,T371&lt;=AsOf+AlertDays),1,0),0)</f>
        <v/>
      </c>
      <c r="AG371" s="79">
        <f>IF(Y371="Order now",1,0)</f>
        <v/>
      </c>
      <c r="AH371" s="79">
        <f>IF(OR(Y371="⚠️ Order late — install at risk",Y371="⚠️ Delivery after install date"),1,0)</f>
        <v/>
      </c>
      <c r="AI371" s="79">
        <f>IF(AND(B371&lt;&gt;"",K371&lt;&gt;"",U371&lt;&gt;"Yes",X371&lt;&gt;"Yes"),1,0)</f>
        <v/>
      </c>
      <c r="AJ371" s="79">
        <f>IF(Y371="⚠️ Order late — install at risk",1,0)</f>
        <v/>
      </c>
    </row>
    <row r="372" ht="20" customHeight="1">
      <c r="B372" s="72" t="n"/>
      <c r="C372" s="72" t="n"/>
      <c r="D372" s="72" t="n"/>
      <c r="E372" s="72" t="n"/>
      <c r="F372" s="73" t="n"/>
      <c r="G372" s="72" t="n"/>
      <c r="H372" s="73" t="n"/>
      <c r="I372" s="72" t="n"/>
      <c r="J372" s="73" t="n"/>
      <c r="K372" s="74" t="n"/>
      <c r="L372" s="75">
        <f>IF(K372="A",F372,IF(K372="B",H372,IF(K372="C",J372,"")))</f>
        <v/>
      </c>
      <c r="M372" s="72" t="n"/>
      <c r="N372" s="72" t="n"/>
      <c r="O372" s="89" t="n"/>
      <c r="P372" s="89" t="n"/>
      <c r="Q372" s="109" t="n"/>
      <c r="R372" s="120">
        <f>IF(B372="","",IF(Q372&lt;&gt;"",Q372,IF(P372="","",IFERROR(INDEX('Timeline'!$J$7:$J$1006,MATCH(P372,'Timeline'!$B$7:$B$1006,0)),""))))</f>
        <v/>
      </c>
      <c r="S372" s="126">
        <f>IF(R372="","",R372-IF(O372="",0,O372)-OrderBuf)</f>
        <v/>
      </c>
      <c r="T372" s="126">
        <f>IF(S372="","",S372-DecideBuf)</f>
        <v/>
      </c>
      <c r="U372" s="74" t="n"/>
      <c r="V372" s="109" t="n"/>
      <c r="W372" s="109" t="n"/>
      <c r="X372" s="74" t="n"/>
      <c r="Y372" s="116">
        <f>IF(B372="","",IF(X372="Yes","Delivered",IF(U372="Yes",IF(AND(W372&lt;&gt;"",R372&lt;&gt;""),IF(W372&gt;R372,"⚠️ Delivery after install date","Ordered"),"Ordered"),IF(K372="",IF(T372="","Waiting for decision",IF(T372&lt;=AsOf+AlertDays,"Decide now","Waiting for decision")),IF(S372="","Selected",IF(AsOf&gt;S372,"⚠️ Order late — install at risk",IF(S372&lt;=AsOf+AlertDays,"Order now","Selected")))))))</f>
        <v/>
      </c>
      <c r="Z372" s="79">
        <f>IF(B372="","",IF(OR(AH372=1,AE372=1),2,IF(OR(AG372=1,AF372=1),1,IF(OR(Y372="Ordered",Y372="Delivered"),0,""))))</f>
        <v/>
      </c>
      <c r="AA372" s="112">
        <f>IF(B372="","",IF(AH372=1,IF(Y372="⚠️ Delivery after install date",R372,S372),IF(AD372=1,T372,IF(AI372=1,S372,""))))</f>
        <v/>
      </c>
      <c r="AB372" s="79">
        <f>IF(AA372="","",IF(AH372=1,1,IF(AA372="","",IF(AA372&lt;AsOf,1,IF(AA372&lt;=AsOf+AlertDays,2,IF(AA372&lt;=AsOf+2*AlertDays,3,""))))))</f>
        <v/>
      </c>
      <c r="AC372" s="79">
        <f>IF(AB372="","",IF(AH372=1,IF(Y372="⚠️ Delivery after install date","Delivery after install date: "&amp;B372,"Order late — install at risk: "&amp;B372),IF(AD372=1,IF(AB372=1,"Decision overdue: ","Decide: ")&amp;B372,"Order: "&amp;B372&amp;IF(N372="",""," from "&amp;N372))))</f>
        <v/>
      </c>
      <c r="AD372" s="79">
        <f>IF(AND(B372&lt;&gt;"",K372="",U372&lt;&gt;"Yes",X372&lt;&gt;"Yes"),1,0)</f>
        <v/>
      </c>
      <c r="AE372" s="79">
        <f>IF(AND(AD372=1,T372&lt;&gt;""),IF(T372&lt;AsOf,1,0),0)</f>
        <v/>
      </c>
      <c r="AF372" s="79">
        <f>IF(AND(AD372=1,T372&lt;&gt;""),IF(AND(T372&gt;=AsOf,T372&lt;=AsOf+AlertDays),1,0),0)</f>
        <v/>
      </c>
      <c r="AG372" s="79">
        <f>IF(Y372="Order now",1,0)</f>
        <v/>
      </c>
      <c r="AH372" s="79">
        <f>IF(OR(Y372="⚠️ Order late — install at risk",Y372="⚠️ Delivery after install date"),1,0)</f>
        <v/>
      </c>
      <c r="AI372" s="79">
        <f>IF(AND(B372&lt;&gt;"",K372&lt;&gt;"",U372&lt;&gt;"Yes",X372&lt;&gt;"Yes"),1,0)</f>
        <v/>
      </c>
      <c r="AJ372" s="79">
        <f>IF(Y372="⚠️ Order late — install at risk",1,0)</f>
        <v/>
      </c>
    </row>
    <row r="373" ht="20" customHeight="1">
      <c r="B373" s="72" t="n"/>
      <c r="C373" s="72" t="n"/>
      <c r="D373" s="72" t="n"/>
      <c r="E373" s="72" t="n"/>
      <c r="F373" s="73" t="n"/>
      <c r="G373" s="72" t="n"/>
      <c r="H373" s="73" t="n"/>
      <c r="I373" s="72" t="n"/>
      <c r="J373" s="73" t="n"/>
      <c r="K373" s="74" t="n"/>
      <c r="L373" s="75">
        <f>IF(K373="A",F373,IF(K373="B",H373,IF(K373="C",J373,"")))</f>
        <v/>
      </c>
      <c r="M373" s="72" t="n"/>
      <c r="N373" s="72" t="n"/>
      <c r="O373" s="89" t="n"/>
      <c r="P373" s="89" t="n"/>
      <c r="Q373" s="109" t="n"/>
      <c r="R373" s="120">
        <f>IF(B373="","",IF(Q373&lt;&gt;"",Q373,IF(P373="","",IFERROR(INDEX('Timeline'!$J$7:$J$1006,MATCH(P373,'Timeline'!$B$7:$B$1006,0)),""))))</f>
        <v/>
      </c>
      <c r="S373" s="126">
        <f>IF(R373="","",R373-IF(O373="",0,O373)-OrderBuf)</f>
        <v/>
      </c>
      <c r="T373" s="126">
        <f>IF(S373="","",S373-DecideBuf)</f>
        <v/>
      </c>
      <c r="U373" s="74" t="n"/>
      <c r="V373" s="109" t="n"/>
      <c r="W373" s="109" t="n"/>
      <c r="X373" s="74" t="n"/>
      <c r="Y373" s="116">
        <f>IF(B373="","",IF(X373="Yes","Delivered",IF(U373="Yes",IF(AND(W373&lt;&gt;"",R373&lt;&gt;""),IF(W373&gt;R373,"⚠️ Delivery after install date","Ordered"),"Ordered"),IF(K373="",IF(T373="","Waiting for decision",IF(T373&lt;=AsOf+AlertDays,"Decide now","Waiting for decision")),IF(S373="","Selected",IF(AsOf&gt;S373,"⚠️ Order late — install at risk",IF(S373&lt;=AsOf+AlertDays,"Order now","Selected")))))))</f>
        <v/>
      </c>
      <c r="Z373" s="79">
        <f>IF(B373="","",IF(OR(AH373=1,AE373=1),2,IF(OR(AG373=1,AF373=1),1,IF(OR(Y373="Ordered",Y373="Delivered"),0,""))))</f>
        <v/>
      </c>
      <c r="AA373" s="112">
        <f>IF(B373="","",IF(AH373=1,IF(Y373="⚠️ Delivery after install date",R373,S373),IF(AD373=1,T373,IF(AI373=1,S373,""))))</f>
        <v/>
      </c>
      <c r="AB373" s="79">
        <f>IF(AA373="","",IF(AH373=1,1,IF(AA373="","",IF(AA373&lt;AsOf,1,IF(AA373&lt;=AsOf+AlertDays,2,IF(AA373&lt;=AsOf+2*AlertDays,3,""))))))</f>
        <v/>
      </c>
      <c r="AC373" s="79">
        <f>IF(AB373="","",IF(AH373=1,IF(Y373="⚠️ Delivery after install date","Delivery after install date: "&amp;B373,"Order late — install at risk: "&amp;B373),IF(AD373=1,IF(AB373=1,"Decision overdue: ","Decide: ")&amp;B373,"Order: "&amp;B373&amp;IF(N373="",""," from "&amp;N373))))</f>
        <v/>
      </c>
      <c r="AD373" s="79">
        <f>IF(AND(B373&lt;&gt;"",K373="",U373&lt;&gt;"Yes",X373&lt;&gt;"Yes"),1,0)</f>
        <v/>
      </c>
      <c r="AE373" s="79">
        <f>IF(AND(AD373=1,T373&lt;&gt;""),IF(T373&lt;AsOf,1,0),0)</f>
        <v/>
      </c>
      <c r="AF373" s="79">
        <f>IF(AND(AD373=1,T373&lt;&gt;""),IF(AND(T373&gt;=AsOf,T373&lt;=AsOf+AlertDays),1,0),0)</f>
        <v/>
      </c>
      <c r="AG373" s="79">
        <f>IF(Y373="Order now",1,0)</f>
        <v/>
      </c>
      <c r="AH373" s="79">
        <f>IF(OR(Y373="⚠️ Order late — install at risk",Y373="⚠️ Delivery after install date"),1,0)</f>
        <v/>
      </c>
      <c r="AI373" s="79">
        <f>IF(AND(B373&lt;&gt;"",K373&lt;&gt;"",U373&lt;&gt;"Yes",X373&lt;&gt;"Yes"),1,0)</f>
        <v/>
      </c>
      <c r="AJ373" s="79">
        <f>IF(Y373="⚠️ Order late — install at risk",1,0)</f>
        <v/>
      </c>
    </row>
    <row r="374" ht="20" customHeight="1">
      <c r="B374" s="72" t="n"/>
      <c r="C374" s="72" t="n"/>
      <c r="D374" s="72" t="n"/>
      <c r="E374" s="72" t="n"/>
      <c r="F374" s="73" t="n"/>
      <c r="G374" s="72" t="n"/>
      <c r="H374" s="73" t="n"/>
      <c r="I374" s="72" t="n"/>
      <c r="J374" s="73" t="n"/>
      <c r="K374" s="74" t="n"/>
      <c r="L374" s="75">
        <f>IF(K374="A",F374,IF(K374="B",H374,IF(K374="C",J374,"")))</f>
        <v/>
      </c>
      <c r="M374" s="72" t="n"/>
      <c r="N374" s="72" t="n"/>
      <c r="O374" s="89" t="n"/>
      <c r="P374" s="89" t="n"/>
      <c r="Q374" s="109" t="n"/>
      <c r="R374" s="120">
        <f>IF(B374="","",IF(Q374&lt;&gt;"",Q374,IF(P374="","",IFERROR(INDEX('Timeline'!$J$7:$J$1006,MATCH(P374,'Timeline'!$B$7:$B$1006,0)),""))))</f>
        <v/>
      </c>
      <c r="S374" s="126">
        <f>IF(R374="","",R374-IF(O374="",0,O374)-OrderBuf)</f>
        <v/>
      </c>
      <c r="T374" s="126">
        <f>IF(S374="","",S374-DecideBuf)</f>
        <v/>
      </c>
      <c r="U374" s="74" t="n"/>
      <c r="V374" s="109" t="n"/>
      <c r="W374" s="109" t="n"/>
      <c r="X374" s="74" t="n"/>
      <c r="Y374" s="116">
        <f>IF(B374="","",IF(X374="Yes","Delivered",IF(U374="Yes",IF(AND(W374&lt;&gt;"",R374&lt;&gt;""),IF(W374&gt;R374,"⚠️ Delivery after install date","Ordered"),"Ordered"),IF(K374="",IF(T374="","Waiting for decision",IF(T374&lt;=AsOf+AlertDays,"Decide now","Waiting for decision")),IF(S374="","Selected",IF(AsOf&gt;S374,"⚠️ Order late — install at risk",IF(S374&lt;=AsOf+AlertDays,"Order now","Selected")))))))</f>
        <v/>
      </c>
      <c r="Z374" s="79">
        <f>IF(B374="","",IF(OR(AH374=1,AE374=1),2,IF(OR(AG374=1,AF374=1),1,IF(OR(Y374="Ordered",Y374="Delivered"),0,""))))</f>
        <v/>
      </c>
      <c r="AA374" s="112">
        <f>IF(B374="","",IF(AH374=1,IF(Y374="⚠️ Delivery after install date",R374,S374),IF(AD374=1,T374,IF(AI374=1,S374,""))))</f>
        <v/>
      </c>
      <c r="AB374" s="79">
        <f>IF(AA374="","",IF(AH374=1,1,IF(AA374="","",IF(AA374&lt;AsOf,1,IF(AA374&lt;=AsOf+AlertDays,2,IF(AA374&lt;=AsOf+2*AlertDays,3,""))))))</f>
        <v/>
      </c>
      <c r="AC374" s="79">
        <f>IF(AB374="","",IF(AH374=1,IF(Y374="⚠️ Delivery after install date","Delivery after install date: "&amp;B374,"Order late — install at risk: "&amp;B374),IF(AD374=1,IF(AB374=1,"Decision overdue: ","Decide: ")&amp;B374,"Order: "&amp;B374&amp;IF(N374="",""," from "&amp;N374))))</f>
        <v/>
      </c>
      <c r="AD374" s="79">
        <f>IF(AND(B374&lt;&gt;"",K374="",U374&lt;&gt;"Yes",X374&lt;&gt;"Yes"),1,0)</f>
        <v/>
      </c>
      <c r="AE374" s="79">
        <f>IF(AND(AD374=1,T374&lt;&gt;""),IF(T374&lt;AsOf,1,0),0)</f>
        <v/>
      </c>
      <c r="AF374" s="79">
        <f>IF(AND(AD374=1,T374&lt;&gt;""),IF(AND(T374&gt;=AsOf,T374&lt;=AsOf+AlertDays),1,0),0)</f>
        <v/>
      </c>
      <c r="AG374" s="79">
        <f>IF(Y374="Order now",1,0)</f>
        <v/>
      </c>
      <c r="AH374" s="79">
        <f>IF(OR(Y374="⚠️ Order late — install at risk",Y374="⚠️ Delivery after install date"),1,0)</f>
        <v/>
      </c>
      <c r="AI374" s="79">
        <f>IF(AND(B374&lt;&gt;"",K374&lt;&gt;"",U374&lt;&gt;"Yes",X374&lt;&gt;"Yes"),1,0)</f>
        <v/>
      </c>
      <c r="AJ374" s="79">
        <f>IF(Y374="⚠️ Order late — install at risk",1,0)</f>
        <v/>
      </c>
    </row>
    <row r="375" ht="20" customHeight="1">
      <c r="B375" s="72" t="n"/>
      <c r="C375" s="72" t="n"/>
      <c r="D375" s="72" t="n"/>
      <c r="E375" s="72" t="n"/>
      <c r="F375" s="73" t="n"/>
      <c r="G375" s="72" t="n"/>
      <c r="H375" s="73" t="n"/>
      <c r="I375" s="72" t="n"/>
      <c r="J375" s="73" t="n"/>
      <c r="K375" s="74" t="n"/>
      <c r="L375" s="75">
        <f>IF(K375="A",F375,IF(K375="B",H375,IF(K375="C",J375,"")))</f>
        <v/>
      </c>
      <c r="M375" s="72" t="n"/>
      <c r="N375" s="72" t="n"/>
      <c r="O375" s="89" t="n"/>
      <c r="P375" s="89" t="n"/>
      <c r="Q375" s="109" t="n"/>
      <c r="R375" s="120">
        <f>IF(B375="","",IF(Q375&lt;&gt;"",Q375,IF(P375="","",IFERROR(INDEX('Timeline'!$J$7:$J$1006,MATCH(P375,'Timeline'!$B$7:$B$1006,0)),""))))</f>
        <v/>
      </c>
      <c r="S375" s="126">
        <f>IF(R375="","",R375-IF(O375="",0,O375)-OrderBuf)</f>
        <v/>
      </c>
      <c r="T375" s="126">
        <f>IF(S375="","",S375-DecideBuf)</f>
        <v/>
      </c>
      <c r="U375" s="74" t="n"/>
      <c r="V375" s="109" t="n"/>
      <c r="W375" s="109" t="n"/>
      <c r="X375" s="74" t="n"/>
      <c r="Y375" s="116">
        <f>IF(B375="","",IF(X375="Yes","Delivered",IF(U375="Yes",IF(AND(W375&lt;&gt;"",R375&lt;&gt;""),IF(W375&gt;R375,"⚠️ Delivery after install date","Ordered"),"Ordered"),IF(K375="",IF(T375="","Waiting for decision",IF(T375&lt;=AsOf+AlertDays,"Decide now","Waiting for decision")),IF(S375="","Selected",IF(AsOf&gt;S375,"⚠️ Order late — install at risk",IF(S375&lt;=AsOf+AlertDays,"Order now","Selected")))))))</f>
        <v/>
      </c>
      <c r="Z375" s="79">
        <f>IF(B375="","",IF(OR(AH375=1,AE375=1),2,IF(OR(AG375=1,AF375=1),1,IF(OR(Y375="Ordered",Y375="Delivered"),0,""))))</f>
        <v/>
      </c>
      <c r="AA375" s="112">
        <f>IF(B375="","",IF(AH375=1,IF(Y375="⚠️ Delivery after install date",R375,S375),IF(AD375=1,T375,IF(AI375=1,S375,""))))</f>
        <v/>
      </c>
      <c r="AB375" s="79">
        <f>IF(AA375="","",IF(AH375=1,1,IF(AA375="","",IF(AA375&lt;AsOf,1,IF(AA375&lt;=AsOf+AlertDays,2,IF(AA375&lt;=AsOf+2*AlertDays,3,""))))))</f>
        <v/>
      </c>
      <c r="AC375" s="79">
        <f>IF(AB375="","",IF(AH375=1,IF(Y375="⚠️ Delivery after install date","Delivery after install date: "&amp;B375,"Order late — install at risk: "&amp;B375),IF(AD375=1,IF(AB375=1,"Decision overdue: ","Decide: ")&amp;B375,"Order: "&amp;B375&amp;IF(N375="",""," from "&amp;N375))))</f>
        <v/>
      </c>
      <c r="AD375" s="79">
        <f>IF(AND(B375&lt;&gt;"",K375="",U375&lt;&gt;"Yes",X375&lt;&gt;"Yes"),1,0)</f>
        <v/>
      </c>
      <c r="AE375" s="79">
        <f>IF(AND(AD375=1,T375&lt;&gt;""),IF(T375&lt;AsOf,1,0),0)</f>
        <v/>
      </c>
      <c r="AF375" s="79">
        <f>IF(AND(AD375=1,T375&lt;&gt;""),IF(AND(T375&gt;=AsOf,T375&lt;=AsOf+AlertDays),1,0),0)</f>
        <v/>
      </c>
      <c r="AG375" s="79">
        <f>IF(Y375="Order now",1,0)</f>
        <v/>
      </c>
      <c r="AH375" s="79">
        <f>IF(OR(Y375="⚠️ Order late — install at risk",Y375="⚠️ Delivery after install date"),1,0)</f>
        <v/>
      </c>
      <c r="AI375" s="79">
        <f>IF(AND(B375&lt;&gt;"",K375&lt;&gt;"",U375&lt;&gt;"Yes",X375&lt;&gt;"Yes"),1,0)</f>
        <v/>
      </c>
      <c r="AJ375" s="79">
        <f>IF(Y375="⚠️ Order late — install at risk",1,0)</f>
        <v/>
      </c>
    </row>
    <row r="376" ht="20" customHeight="1">
      <c r="B376" s="72" t="n"/>
      <c r="C376" s="72" t="n"/>
      <c r="D376" s="72" t="n"/>
      <c r="E376" s="72" t="n"/>
      <c r="F376" s="73" t="n"/>
      <c r="G376" s="72" t="n"/>
      <c r="H376" s="73" t="n"/>
      <c r="I376" s="72" t="n"/>
      <c r="J376" s="73" t="n"/>
      <c r="K376" s="74" t="n"/>
      <c r="L376" s="75">
        <f>IF(K376="A",F376,IF(K376="B",H376,IF(K376="C",J376,"")))</f>
        <v/>
      </c>
      <c r="M376" s="72" t="n"/>
      <c r="N376" s="72" t="n"/>
      <c r="O376" s="89" t="n"/>
      <c r="P376" s="89" t="n"/>
      <c r="Q376" s="109" t="n"/>
      <c r="R376" s="120">
        <f>IF(B376="","",IF(Q376&lt;&gt;"",Q376,IF(P376="","",IFERROR(INDEX('Timeline'!$J$7:$J$1006,MATCH(P376,'Timeline'!$B$7:$B$1006,0)),""))))</f>
        <v/>
      </c>
      <c r="S376" s="126">
        <f>IF(R376="","",R376-IF(O376="",0,O376)-OrderBuf)</f>
        <v/>
      </c>
      <c r="T376" s="126">
        <f>IF(S376="","",S376-DecideBuf)</f>
        <v/>
      </c>
      <c r="U376" s="74" t="n"/>
      <c r="V376" s="109" t="n"/>
      <c r="W376" s="109" t="n"/>
      <c r="X376" s="74" t="n"/>
      <c r="Y376" s="116">
        <f>IF(B376="","",IF(X376="Yes","Delivered",IF(U376="Yes",IF(AND(W376&lt;&gt;"",R376&lt;&gt;""),IF(W376&gt;R376,"⚠️ Delivery after install date","Ordered"),"Ordered"),IF(K376="",IF(T376="","Waiting for decision",IF(T376&lt;=AsOf+AlertDays,"Decide now","Waiting for decision")),IF(S376="","Selected",IF(AsOf&gt;S376,"⚠️ Order late — install at risk",IF(S376&lt;=AsOf+AlertDays,"Order now","Selected")))))))</f>
        <v/>
      </c>
      <c r="Z376" s="79">
        <f>IF(B376="","",IF(OR(AH376=1,AE376=1),2,IF(OR(AG376=1,AF376=1),1,IF(OR(Y376="Ordered",Y376="Delivered"),0,""))))</f>
        <v/>
      </c>
      <c r="AA376" s="112">
        <f>IF(B376="","",IF(AH376=1,IF(Y376="⚠️ Delivery after install date",R376,S376),IF(AD376=1,T376,IF(AI376=1,S376,""))))</f>
        <v/>
      </c>
      <c r="AB376" s="79">
        <f>IF(AA376="","",IF(AH376=1,1,IF(AA376="","",IF(AA376&lt;AsOf,1,IF(AA376&lt;=AsOf+AlertDays,2,IF(AA376&lt;=AsOf+2*AlertDays,3,""))))))</f>
        <v/>
      </c>
      <c r="AC376" s="79">
        <f>IF(AB376="","",IF(AH376=1,IF(Y376="⚠️ Delivery after install date","Delivery after install date: "&amp;B376,"Order late — install at risk: "&amp;B376),IF(AD376=1,IF(AB376=1,"Decision overdue: ","Decide: ")&amp;B376,"Order: "&amp;B376&amp;IF(N376="",""," from "&amp;N376))))</f>
        <v/>
      </c>
      <c r="AD376" s="79">
        <f>IF(AND(B376&lt;&gt;"",K376="",U376&lt;&gt;"Yes",X376&lt;&gt;"Yes"),1,0)</f>
        <v/>
      </c>
      <c r="AE376" s="79">
        <f>IF(AND(AD376=1,T376&lt;&gt;""),IF(T376&lt;AsOf,1,0),0)</f>
        <v/>
      </c>
      <c r="AF376" s="79">
        <f>IF(AND(AD376=1,T376&lt;&gt;""),IF(AND(T376&gt;=AsOf,T376&lt;=AsOf+AlertDays),1,0),0)</f>
        <v/>
      </c>
      <c r="AG376" s="79">
        <f>IF(Y376="Order now",1,0)</f>
        <v/>
      </c>
      <c r="AH376" s="79">
        <f>IF(OR(Y376="⚠️ Order late — install at risk",Y376="⚠️ Delivery after install date"),1,0)</f>
        <v/>
      </c>
      <c r="AI376" s="79">
        <f>IF(AND(B376&lt;&gt;"",K376&lt;&gt;"",U376&lt;&gt;"Yes",X376&lt;&gt;"Yes"),1,0)</f>
        <v/>
      </c>
      <c r="AJ376" s="79">
        <f>IF(Y376="⚠️ Order late — install at risk",1,0)</f>
        <v/>
      </c>
    </row>
    <row r="377" ht="20" customHeight="1">
      <c r="B377" s="72" t="n"/>
      <c r="C377" s="72" t="n"/>
      <c r="D377" s="72" t="n"/>
      <c r="E377" s="72" t="n"/>
      <c r="F377" s="73" t="n"/>
      <c r="G377" s="72" t="n"/>
      <c r="H377" s="73" t="n"/>
      <c r="I377" s="72" t="n"/>
      <c r="J377" s="73" t="n"/>
      <c r="K377" s="74" t="n"/>
      <c r="L377" s="75">
        <f>IF(K377="A",F377,IF(K377="B",H377,IF(K377="C",J377,"")))</f>
        <v/>
      </c>
      <c r="M377" s="72" t="n"/>
      <c r="N377" s="72" t="n"/>
      <c r="O377" s="89" t="n"/>
      <c r="P377" s="89" t="n"/>
      <c r="Q377" s="109" t="n"/>
      <c r="R377" s="120">
        <f>IF(B377="","",IF(Q377&lt;&gt;"",Q377,IF(P377="","",IFERROR(INDEX('Timeline'!$J$7:$J$1006,MATCH(P377,'Timeline'!$B$7:$B$1006,0)),""))))</f>
        <v/>
      </c>
      <c r="S377" s="126">
        <f>IF(R377="","",R377-IF(O377="",0,O377)-OrderBuf)</f>
        <v/>
      </c>
      <c r="T377" s="126">
        <f>IF(S377="","",S377-DecideBuf)</f>
        <v/>
      </c>
      <c r="U377" s="74" t="n"/>
      <c r="V377" s="109" t="n"/>
      <c r="W377" s="109" t="n"/>
      <c r="X377" s="74" t="n"/>
      <c r="Y377" s="116">
        <f>IF(B377="","",IF(X377="Yes","Delivered",IF(U377="Yes",IF(AND(W377&lt;&gt;"",R377&lt;&gt;""),IF(W377&gt;R377,"⚠️ Delivery after install date","Ordered"),"Ordered"),IF(K377="",IF(T377="","Waiting for decision",IF(T377&lt;=AsOf+AlertDays,"Decide now","Waiting for decision")),IF(S377="","Selected",IF(AsOf&gt;S377,"⚠️ Order late — install at risk",IF(S377&lt;=AsOf+AlertDays,"Order now","Selected")))))))</f>
        <v/>
      </c>
      <c r="Z377" s="79">
        <f>IF(B377="","",IF(OR(AH377=1,AE377=1),2,IF(OR(AG377=1,AF377=1),1,IF(OR(Y377="Ordered",Y377="Delivered"),0,""))))</f>
        <v/>
      </c>
      <c r="AA377" s="112">
        <f>IF(B377="","",IF(AH377=1,IF(Y377="⚠️ Delivery after install date",R377,S377),IF(AD377=1,T377,IF(AI377=1,S377,""))))</f>
        <v/>
      </c>
      <c r="AB377" s="79">
        <f>IF(AA377="","",IF(AH377=1,1,IF(AA377="","",IF(AA377&lt;AsOf,1,IF(AA377&lt;=AsOf+AlertDays,2,IF(AA377&lt;=AsOf+2*AlertDays,3,""))))))</f>
        <v/>
      </c>
      <c r="AC377" s="79">
        <f>IF(AB377="","",IF(AH377=1,IF(Y377="⚠️ Delivery after install date","Delivery after install date: "&amp;B377,"Order late — install at risk: "&amp;B377),IF(AD377=1,IF(AB377=1,"Decision overdue: ","Decide: ")&amp;B377,"Order: "&amp;B377&amp;IF(N377="",""," from "&amp;N377))))</f>
        <v/>
      </c>
      <c r="AD377" s="79">
        <f>IF(AND(B377&lt;&gt;"",K377="",U377&lt;&gt;"Yes",X377&lt;&gt;"Yes"),1,0)</f>
        <v/>
      </c>
      <c r="AE377" s="79">
        <f>IF(AND(AD377=1,T377&lt;&gt;""),IF(T377&lt;AsOf,1,0),0)</f>
        <v/>
      </c>
      <c r="AF377" s="79">
        <f>IF(AND(AD377=1,T377&lt;&gt;""),IF(AND(T377&gt;=AsOf,T377&lt;=AsOf+AlertDays),1,0),0)</f>
        <v/>
      </c>
      <c r="AG377" s="79">
        <f>IF(Y377="Order now",1,0)</f>
        <v/>
      </c>
      <c r="AH377" s="79">
        <f>IF(OR(Y377="⚠️ Order late — install at risk",Y377="⚠️ Delivery after install date"),1,0)</f>
        <v/>
      </c>
      <c r="AI377" s="79">
        <f>IF(AND(B377&lt;&gt;"",K377&lt;&gt;"",U377&lt;&gt;"Yes",X377&lt;&gt;"Yes"),1,0)</f>
        <v/>
      </c>
      <c r="AJ377" s="79">
        <f>IF(Y377="⚠️ Order late — install at risk",1,0)</f>
        <v/>
      </c>
    </row>
    <row r="378" ht="20" customHeight="1">
      <c r="B378" s="72" t="n"/>
      <c r="C378" s="72" t="n"/>
      <c r="D378" s="72" t="n"/>
      <c r="E378" s="72" t="n"/>
      <c r="F378" s="73" t="n"/>
      <c r="G378" s="72" t="n"/>
      <c r="H378" s="73" t="n"/>
      <c r="I378" s="72" t="n"/>
      <c r="J378" s="73" t="n"/>
      <c r="K378" s="74" t="n"/>
      <c r="L378" s="75">
        <f>IF(K378="A",F378,IF(K378="B",H378,IF(K378="C",J378,"")))</f>
        <v/>
      </c>
      <c r="M378" s="72" t="n"/>
      <c r="N378" s="72" t="n"/>
      <c r="O378" s="89" t="n"/>
      <c r="P378" s="89" t="n"/>
      <c r="Q378" s="109" t="n"/>
      <c r="R378" s="120">
        <f>IF(B378="","",IF(Q378&lt;&gt;"",Q378,IF(P378="","",IFERROR(INDEX('Timeline'!$J$7:$J$1006,MATCH(P378,'Timeline'!$B$7:$B$1006,0)),""))))</f>
        <v/>
      </c>
      <c r="S378" s="126">
        <f>IF(R378="","",R378-IF(O378="",0,O378)-OrderBuf)</f>
        <v/>
      </c>
      <c r="T378" s="126">
        <f>IF(S378="","",S378-DecideBuf)</f>
        <v/>
      </c>
      <c r="U378" s="74" t="n"/>
      <c r="V378" s="109" t="n"/>
      <c r="W378" s="109" t="n"/>
      <c r="X378" s="74" t="n"/>
      <c r="Y378" s="116">
        <f>IF(B378="","",IF(X378="Yes","Delivered",IF(U378="Yes",IF(AND(W378&lt;&gt;"",R378&lt;&gt;""),IF(W378&gt;R378,"⚠️ Delivery after install date","Ordered"),"Ordered"),IF(K378="",IF(T378="","Waiting for decision",IF(T378&lt;=AsOf+AlertDays,"Decide now","Waiting for decision")),IF(S378="","Selected",IF(AsOf&gt;S378,"⚠️ Order late — install at risk",IF(S378&lt;=AsOf+AlertDays,"Order now","Selected")))))))</f>
        <v/>
      </c>
      <c r="Z378" s="79">
        <f>IF(B378="","",IF(OR(AH378=1,AE378=1),2,IF(OR(AG378=1,AF378=1),1,IF(OR(Y378="Ordered",Y378="Delivered"),0,""))))</f>
        <v/>
      </c>
      <c r="AA378" s="112">
        <f>IF(B378="","",IF(AH378=1,IF(Y378="⚠️ Delivery after install date",R378,S378),IF(AD378=1,T378,IF(AI378=1,S378,""))))</f>
        <v/>
      </c>
      <c r="AB378" s="79">
        <f>IF(AA378="","",IF(AH378=1,1,IF(AA378="","",IF(AA378&lt;AsOf,1,IF(AA378&lt;=AsOf+AlertDays,2,IF(AA378&lt;=AsOf+2*AlertDays,3,""))))))</f>
        <v/>
      </c>
      <c r="AC378" s="79">
        <f>IF(AB378="","",IF(AH378=1,IF(Y378="⚠️ Delivery after install date","Delivery after install date: "&amp;B378,"Order late — install at risk: "&amp;B378),IF(AD378=1,IF(AB378=1,"Decision overdue: ","Decide: ")&amp;B378,"Order: "&amp;B378&amp;IF(N378="",""," from "&amp;N378))))</f>
        <v/>
      </c>
      <c r="AD378" s="79">
        <f>IF(AND(B378&lt;&gt;"",K378="",U378&lt;&gt;"Yes",X378&lt;&gt;"Yes"),1,0)</f>
        <v/>
      </c>
      <c r="AE378" s="79">
        <f>IF(AND(AD378=1,T378&lt;&gt;""),IF(T378&lt;AsOf,1,0),0)</f>
        <v/>
      </c>
      <c r="AF378" s="79">
        <f>IF(AND(AD378=1,T378&lt;&gt;""),IF(AND(T378&gt;=AsOf,T378&lt;=AsOf+AlertDays),1,0),0)</f>
        <v/>
      </c>
      <c r="AG378" s="79">
        <f>IF(Y378="Order now",1,0)</f>
        <v/>
      </c>
      <c r="AH378" s="79">
        <f>IF(OR(Y378="⚠️ Order late — install at risk",Y378="⚠️ Delivery after install date"),1,0)</f>
        <v/>
      </c>
      <c r="AI378" s="79">
        <f>IF(AND(B378&lt;&gt;"",K378&lt;&gt;"",U378&lt;&gt;"Yes",X378&lt;&gt;"Yes"),1,0)</f>
        <v/>
      </c>
      <c r="AJ378" s="79">
        <f>IF(Y378="⚠️ Order late — install at risk",1,0)</f>
        <v/>
      </c>
    </row>
    <row r="379" ht="20" customHeight="1">
      <c r="B379" s="72" t="n"/>
      <c r="C379" s="72" t="n"/>
      <c r="D379" s="72" t="n"/>
      <c r="E379" s="72" t="n"/>
      <c r="F379" s="73" t="n"/>
      <c r="G379" s="72" t="n"/>
      <c r="H379" s="73" t="n"/>
      <c r="I379" s="72" t="n"/>
      <c r="J379" s="73" t="n"/>
      <c r="K379" s="74" t="n"/>
      <c r="L379" s="75">
        <f>IF(K379="A",F379,IF(K379="B",H379,IF(K379="C",J379,"")))</f>
        <v/>
      </c>
      <c r="M379" s="72" t="n"/>
      <c r="N379" s="72" t="n"/>
      <c r="O379" s="89" t="n"/>
      <c r="P379" s="89" t="n"/>
      <c r="Q379" s="109" t="n"/>
      <c r="R379" s="120">
        <f>IF(B379="","",IF(Q379&lt;&gt;"",Q379,IF(P379="","",IFERROR(INDEX('Timeline'!$J$7:$J$1006,MATCH(P379,'Timeline'!$B$7:$B$1006,0)),""))))</f>
        <v/>
      </c>
      <c r="S379" s="126">
        <f>IF(R379="","",R379-IF(O379="",0,O379)-OrderBuf)</f>
        <v/>
      </c>
      <c r="T379" s="126">
        <f>IF(S379="","",S379-DecideBuf)</f>
        <v/>
      </c>
      <c r="U379" s="74" t="n"/>
      <c r="V379" s="109" t="n"/>
      <c r="W379" s="109" t="n"/>
      <c r="X379" s="74" t="n"/>
      <c r="Y379" s="116">
        <f>IF(B379="","",IF(X379="Yes","Delivered",IF(U379="Yes",IF(AND(W379&lt;&gt;"",R379&lt;&gt;""),IF(W379&gt;R379,"⚠️ Delivery after install date","Ordered"),"Ordered"),IF(K379="",IF(T379="","Waiting for decision",IF(T379&lt;=AsOf+AlertDays,"Decide now","Waiting for decision")),IF(S379="","Selected",IF(AsOf&gt;S379,"⚠️ Order late — install at risk",IF(S379&lt;=AsOf+AlertDays,"Order now","Selected")))))))</f>
        <v/>
      </c>
      <c r="Z379" s="79">
        <f>IF(B379="","",IF(OR(AH379=1,AE379=1),2,IF(OR(AG379=1,AF379=1),1,IF(OR(Y379="Ordered",Y379="Delivered"),0,""))))</f>
        <v/>
      </c>
      <c r="AA379" s="112">
        <f>IF(B379="","",IF(AH379=1,IF(Y379="⚠️ Delivery after install date",R379,S379),IF(AD379=1,T379,IF(AI379=1,S379,""))))</f>
        <v/>
      </c>
      <c r="AB379" s="79">
        <f>IF(AA379="","",IF(AH379=1,1,IF(AA379="","",IF(AA379&lt;AsOf,1,IF(AA379&lt;=AsOf+AlertDays,2,IF(AA379&lt;=AsOf+2*AlertDays,3,""))))))</f>
        <v/>
      </c>
      <c r="AC379" s="79">
        <f>IF(AB379="","",IF(AH379=1,IF(Y379="⚠️ Delivery after install date","Delivery after install date: "&amp;B379,"Order late — install at risk: "&amp;B379),IF(AD379=1,IF(AB379=1,"Decision overdue: ","Decide: ")&amp;B379,"Order: "&amp;B379&amp;IF(N379="",""," from "&amp;N379))))</f>
        <v/>
      </c>
      <c r="AD379" s="79">
        <f>IF(AND(B379&lt;&gt;"",K379="",U379&lt;&gt;"Yes",X379&lt;&gt;"Yes"),1,0)</f>
        <v/>
      </c>
      <c r="AE379" s="79">
        <f>IF(AND(AD379=1,T379&lt;&gt;""),IF(T379&lt;AsOf,1,0),0)</f>
        <v/>
      </c>
      <c r="AF379" s="79">
        <f>IF(AND(AD379=1,T379&lt;&gt;""),IF(AND(T379&gt;=AsOf,T379&lt;=AsOf+AlertDays),1,0),0)</f>
        <v/>
      </c>
      <c r="AG379" s="79">
        <f>IF(Y379="Order now",1,0)</f>
        <v/>
      </c>
      <c r="AH379" s="79">
        <f>IF(OR(Y379="⚠️ Order late — install at risk",Y379="⚠️ Delivery after install date"),1,0)</f>
        <v/>
      </c>
      <c r="AI379" s="79">
        <f>IF(AND(B379&lt;&gt;"",K379&lt;&gt;"",U379&lt;&gt;"Yes",X379&lt;&gt;"Yes"),1,0)</f>
        <v/>
      </c>
      <c r="AJ379" s="79">
        <f>IF(Y379="⚠️ Order late — install at risk",1,0)</f>
        <v/>
      </c>
    </row>
    <row r="380" ht="20" customHeight="1">
      <c r="B380" s="72" t="n"/>
      <c r="C380" s="72" t="n"/>
      <c r="D380" s="72" t="n"/>
      <c r="E380" s="72" t="n"/>
      <c r="F380" s="73" t="n"/>
      <c r="G380" s="72" t="n"/>
      <c r="H380" s="73" t="n"/>
      <c r="I380" s="72" t="n"/>
      <c r="J380" s="73" t="n"/>
      <c r="K380" s="74" t="n"/>
      <c r="L380" s="75">
        <f>IF(K380="A",F380,IF(K380="B",H380,IF(K380="C",J380,"")))</f>
        <v/>
      </c>
      <c r="M380" s="72" t="n"/>
      <c r="N380" s="72" t="n"/>
      <c r="O380" s="89" t="n"/>
      <c r="P380" s="89" t="n"/>
      <c r="Q380" s="109" t="n"/>
      <c r="R380" s="120">
        <f>IF(B380="","",IF(Q380&lt;&gt;"",Q380,IF(P380="","",IFERROR(INDEX('Timeline'!$J$7:$J$1006,MATCH(P380,'Timeline'!$B$7:$B$1006,0)),""))))</f>
        <v/>
      </c>
      <c r="S380" s="126">
        <f>IF(R380="","",R380-IF(O380="",0,O380)-OrderBuf)</f>
        <v/>
      </c>
      <c r="T380" s="126">
        <f>IF(S380="","",S380-DecideBuf)</f>
        <v/>
      </c>
      <c r="U380" s="74" t="n"/>
      <c r="V380" s="109" t="n"/>
      <c r="W380" s="109" t="n"/>
      <c r="X380" s="74" t="n"/>
      <c r="Y380" s="116">
        <f>IF(B380="","",IF(X380="Yes","Delivered",IF(U380="Yes",IF(AND(W380&lt;&gt;"",R380&lt;&gt;""),IF(W380&gt;R380,"⚠️ Delivery after install date","Ordered"),"Ordered"),IF(K380="",IF(T380="","Waiting for decision",IF(T380&lt;=AsOf+AlertDays,"Decide now","Waiting for decision")),IF(S380="","Selected",IF(AsOf&gt;S380,"⚠️ Order late — install at risk",IF(S380&lt;=AsOf+AlertDays,"Order now","Selected")))))))</f>
        <v/>
      </c>
      <c r="Z380" s="79">
        <f>IF(B380="","",IF(OR(AH380=1,AE380=1),2,IF(OR(AG380=1,AF380=1),1,IF(OR(Y380="Ordered",Y380="Delivered"),0,""))))</f>
        <v/>
      </c>
      <c r="AA380" s="112">
        <f>IF(B380="","",IF(AH380=1,IF(Y380="⚠️ Delivery after install date",R380,S380),IF(AD380=1,T380,IF(AI380=1,S380,""))))</f>
        <v/>
      </c>
      <c r="AB380" s="79">
        <f>IF(AA380="","",IF(AH380=1,1,IF(AA380="","",IF(AA380&lt;AsOf,1,IF(AA380&lt;=AsOf+AlertDays,2,IF(AA380&lt;=AsOf+2*AlertDays,3,""))))))</f>
        <v/>
      </c>
      <c r="AC380" s="79">
        <f>IF(AB380="","",IF(AH380=1,IF(Y380="⚠️ Delivery after install date","Delivery after install date: "&amp;B380,"Order late — install at risk: "&amp;B380),IF(AD380=1,IF(AB380=1,"Decision overdue: ","Decide: ")&amp;B380,"Order: "&amp;B380&amp;IF(N380="",""," from "&amp;N380))))</f>
        <v/>
      </c>
      <c r="AD380" s="79">
        <f>IF(AND(B380&lt;&gt;"",K380="",U380&lt;&gt;"Yes",X380&lt;&gt;"Yes"),1,0)</f>
        <v/>
      </c>
      <c r="AE380" s="79">
        <f>IF(AND(AD380=1,T380&lt;&gt;""),IF(T380&lt;AsOf,1,0),0)</f>
        <v/>
      </c>
      <c r="AF380" s="79">
        <f>IF(AND(AD380=1,T380&lt;&gt;""),IF(AND(T380&gt;=AsOf,T380&lt;=AsOf+AlertDays),1,0),0)</f>
        <v/>
      </c>
      <c r="AG380" s="79">
        <f>IF(Y380="Order now",1,0)</f>
        <v/>
      </c>
      <c r="AH380" s="79">
        <f>IF(OR(Y380="⚠️ Order late — install at risk",Y380="⚠️ Delivery after install date"),1,0)</f>
        <v/>
      </c>
      <c r="AI380" s="79">
        <f>IF(AND(B380&lt;&gt;"",K380&lt;&gt;"",U380&lt;&gt;"Yes",X380&lt;&gt;"Yes"),1,0)</f>
        <v/>
      </c>
      <c r="AJ380" s="79">
        <f>IF(Y380="⚠️ Order late — install at risk",1,0)</f>
        <v/>
      </c>
    </row>
    <row r="381" ht="20" customHeight="1">
      <c r="B381" s="72" t="n"/>
      <c r="C381" s="72" t="n"/>
      <c r="D381" s="72" t="n"/>
      <c r="E381" s="72" t="n"/>
      <c r="F381" s="73" t="n"/>
      <c r="G381" s="72" t="n"/>
      <c r="H381" s="73" t="n"/>
      <c r="I381" s="72" t="n"/>
      <c r="J381" s="73" t="n"/>
      <c r="K381" s="74" t="n"/>
      <c r="L381" s="75">
        <f>IF(K381="A",F381,IF(K381="B",H381,IF(K381="C",J381,"")))</f>
        <v/>
      </c>
      <c r="M381" s="72" t="n"/>
      <c r="N381" s="72" t="n"/>
      <c r="O381" s="89" t="n"/>
      <c r="P381" s="89" t="n"/>
      <c r="Q381" s="109" t="n"/>
      <c r="R381" s="120">
        <f>IF(B381="","",IF(Q381&lt;&gt;"",Q381,IF(P381="","",IFERROR(INDEX('Timeline'!$J$7:$J$1006,MATCH(P381,'Timeline'!$B$7:$B$1006,0)),""))))</f>
        <v/>
      </c>
      <c r="S381" s="126">
        <f>IF(R381="","",R381-IF(O381="",0,O381)-OrderBuf)</f>
        <v/>
      </c>
      <c r="T381" s="126">
        <f>IF(S381="","",S381-DecideBuf)</f>
        <v/>
      </c>
      <c r="U381" s="74" t="n"/>
      <c r="V381" s="109" t="n"/>
      <c r="W381" s="109" t="n"/>
      <c r="X381" s="74" t="n"/>
      <c r="Y381" s="116">
        <f>IF(B381="","",IF(X381="Yes","Delivered",IF(U381="Yes",IF(AND(W381&lt;&gt;"",R381&lt;&gt;""),IF(W381&gt;R381,"⚠️ Delivery after install date","Ordered"),"Ordered"),IF(K381="",IF(T381="","Waiting for decision",IF(T381&lt;=AsOf+AlertDays,"Decide now","Waiting for decision")),IF(S381="","Selected",IF(AsOf&gt;S381,"⚠️ Order late — install at risk",IF(S381&lt;=AsOf+AlertDays,"Order now","Selected")))))))</f>
        <v/>
      </c>
      <c r="Z381" s="79">
        <f>IF(B381="","",IF(OR(AH381=1,AE381=1),2,IF(OR(AG381=1,AF381=1),1,IF(OR(Y381="Ordered",Y381="Delivered"),0,""))))</f>
        <v/>
      </c>
      <c r="AA381" s="112">
        <f>IF(B381="","",IF(AH381=1,IF(Y381="⚠️ Delivery after install date",R381,S381),IF(AD381=1,T381,IF(AI381=1,S381,""))))</f>
        <v/>
      </c>
      <c r="AB381" s="79">
        <f>IF(AA381="","",IF(AH381=1,1,IF(AA381="","",IF(AA381&lt;AsOf,1,IF(AA381&lt;=AsOf+AlertDays,2,IF(AA381&lt;=AsOf+2*AlertDays,3,""))))))</f>
        <v/>
      </c>
      <c r="AC381" s="79">
        <f>IF(AB381="","",IF(AH381=1,IF(Y381="⚠️ Delivery after install date","Delivery after install date: "&amp;B381,"Order late — install at risk: "&amp;B381),IF(AD381=1,IF(AB381=1,"Decision overdue: ","Decide: ")&amp;B381,"Order: "&amp;B381&amp;IF(N381="",""," from "&amp;N381))))</f>
        <v/>
      </c>
      <c r="AD381" s="79">
        <f>IF(AND(B381&lt;&gt;"",K381="",U381&lt;&gt;"Yes",X381&lt;&gt;"Yes"),1,0)</f>
        <v/>
      </c>
      <c r="AE381" s="79">
        <f>IF(AND(AD381=1,T381&lt;&gt;""),IF(T381&lt;AsOf,1,0),0)</f>
        <v/>
      </c>
      <c r="AF381" s="79">
        <f>IF(AND(AD381=1,T381&lt;&gt;""),IF(AND(T381&gt;=AsOf,T381&lt;=AsOf+AlertDays),1,0),0)</f>
        <v/>
      </c>
      <c r="AG381" s="79">
        <f>IF(Y381="Order now",1,0)</f>
        <v/>
      </c>
      <c r="AH381" s="79">
        <f>IF(OR(Y381="⚠️ Order late — install at risk",Y381="⚠️ Delivery after install date"),1,0)</f>
        <v/>
      </c>
      <c r="AI381" s="79">
        <f>IF(AND(B381&lt;&gt;"",K381&lt;&gt;"",U381&lt;&gt;"Yes",X381&lt;&gt;"Yes"),1,0)</f>
        <v/>
      </c>
      <c r="AJ381" s="79">
        <f>IF(Y381="⚠️ Order late — install at risk",1,0)</f>
        <v/>
      </c>
    </row>
    <row r="382" ht="20" customHeight="1">
      <c r="B382" s="72" t="n"/>
      <c r="C382" s="72" t="n"/>
      <c r="D382" s="72" t="n"/>
      <c r="E382" s="72" t="n"/>
      <c r="F382" s="73" t="n"/>
      <c r="G382" s="72" t="n"/>
      <c r="H382" s="73" t="n"/>
      <c r="I382" s="72" t="n"/>
      <c r="J382" s="73" t="n"/>
      <c r="K382" s="74" t="n"/>
      <c r="L382" s="75">
        <f>IF(K382="A",F382,IF(K382="B",H382,IF(K382="C",J382,"")))</f>
        <v/>
      </c>
      <c r="M382" s="72" t="n"/>
      <c r="N382" s="72" t="n"/>
      <c r="O382" s="89" t="n"/>
      <c r="P382" s="89" t="n"/>
      <c r="Q382" s="109" t="n"/>
      <c r="R382" s="120">
        <f>IF(B382="","",IF(Q382&lt;&gt;"",Q382,IF(P382="","",IFERROR(INDEX('Timeline'!$J$7:$J$1006,MATCH(P382,'Timeline'!$B$7:$B$1006,0)),""))))</f>
        <v/>
      </c>
      <c r="S382" s="126">
        <f>IF(R382="","",R382-IF(O382="",0,O382)-OrderBuf)</f>
        <v/>
      </c>
      <c r="T382" s="126">
        <f>IF(S382="","",S382-DecideBuf)</f>
        <v/>
      </c>
      <c r="U382" s="74" t="n"/>
      <c r="V382" s="109" t="n"/>
      <c r="W382" s="109" t="n"/>
      <c r="X382" s="74" t="n"/>
      <c r="Y382" s="116">
        <f>IF(B382="","",IF(X382="Yes","Delivered",IF(U382="Yes",IF(AND(W382&lt;&gt;"",R382&lt;&gt;""),IF(W382&gt;R382,"⚠️ Delivery after install date","Ordered"),"Ordered"),IF(K382="",IF(T382="","Waiting for decision",IF(T382&lt;=AsOf+AlertDays,"Decide now","Waiting for decision")),IF(S382="","Selected",IF(AsOf&gt;S382,"⚠️ Order late — install at risk",IF(S382&lt;=AsOf+AlertDays,"Order now","Selected")))))))</f>
        <v/>
      </c>
      <c r="Z382" s="79">
        <f>IF(B382="","",IF(OR(AH382=1,AE382=1),2,IF(OR(AG382=1,AF382=1),1,IF(OR(Y382="Ordered",Y382="Delivered"),0,""))))</f>
        <v/>
      </c>
      <c r="AA382" s="112">
        <f>IF(B382="","",IF(AH382=1,IF(Y382="⚠️ Delivery after install date",R382,S382),IF(AD382=1,T382,IF(AI382=1,S382,""))))</f>
        <v/>
      </c>
      <c r="AB382" s="79">
        <f>IF(AA382="","",IF(AH382=1,1,IF(AA382="","",IF(AA382&lt;AsOf,1,IF(AA382&lt;=AsOf+AlertDays,2,IF(AA382&lt;=AsOf+2*AlertDays,3,""))))))</f>
        <v/>
      </c>
      <c r="AC382" s="79">
        <f>IF(AB382="","",IF(AH382=1,IF(Y382="⚠️ Delivery after install date","Delivery after install date: "&amp;B382,"Order late — install at risk: "&amp;B382),IF(AD382=1,IF(AB382=1,"Decision overdue: ","Decide: ")&amp;B382,"Order: "&amp;B382&amp;IF(N382="",""," from "&amp;N382))))</f>
        <v/>
      </c>
      <c r="AD382" s="79">
        <f>IF(AND(B382&lt;&gt;"",K382="",U382&lt;&gt;"Yes",X382&lt;&gt;"Yes"),1,0)</f>
        <v/>
      </c>
      <c r="AE382" s="79">
        <f>IF(AND(AD382=1,T382&lt;&gt;""),IF(T382&lt;AsOf,1,0),0)</f>
        <v/>
      </c>
      <c r="AF382" s="79">
        <f>IF(AND(AD382=1,T382&lt;&gt;""),IF(AND(T382&gt;=AsOf,T382&lt;=AsOf+AlertDays),1,0),0)</f>
        <v/>
      </c>
      <c r="AG382" s="79">
        <f>IF(Y382="Order now",1,0)</f>
        <v/>
      </c>
      <c r="AH382" s="79">
        <f>IF(OR(Y382="⚠️ Order late — install at risk",Y382="⚠️ Delivery after install date"),1,0)</f>
        <v/>
      </c>
      <c r="AI382" s="79">
        <f>IF(AND(B382&lt;&gt;"",K382&lt;&gt;"",U382&lt;&gt;"Yes",X382&lt;&gt;"Yes"),1,0)</f>
        <v/>
      </c>
      <c r="AJ382" s="79">
        <f>IF(Y382="⚠️ Order late — install at risk",1,0)</f>
        <v/>
      </c>
    </row>
    <row r="383" ht="20" customHeight="1">
      <c r="B383" s="72" t="n"/>
      <c r="C383" s="72" t="n"/>
      <c r="D383" s="72" t="n"/>
      <c r="E383" s="72" t="n"/>
      <c r="F383" s="73" t="n"/>
      <c r="G383" s="72" t="n"/>
      <c r="H383" s="73" t="n"/>
      <c r="I383" s="72" t="n"/>
      <c r="J383" s="73" t="n"/>
      <c r="K383" s="74" t="n"/>
      <c r="L383" s="75">
        <f>IF(K383="A",F383,IF(K383="B",H383,IF(K383="C",J383,"")))</f>
        <v/>
      </c>
      <c r="M383" s="72" t="n"/>
      <c r="N383" s="72" t="n"/>
      <c r="O383" s="89" t="n"/>
      <c r="P383" s="89" t="n"/>
      <c r="Q383" s="109" t="n"/>
      <c r="R383" s="120">
        <f>IF(B383="","",IF(Q383&lt;&gt;"",Q383,IF(P383="","",IFERROR(INDEX('Timeline'!$J$7:$J$1006,MATCH(P383,'Timeline'!$B$7:$B$1006,0)),""))))</f>
        <v/>
      </c>
      <c r="S383" s="126">
        <f>IF(R383="","",R383-IF(O383="",0,O383)-OrderBuf)</f>
        <v/>
      </c>
      <c r="T383" s="126">
        <f>IF(S383="","",S383-DecideBuf)</f>
        <v/>
      </c>
      <c r="U383" s="74" t="n"/>
      <c r="V383" s="109" t="n"/>
      <c r="W383" s="109" t="n"/>
      <c r="X383" s="74" t="n"/>
      <c r="Y383" s="116">
        <f>IF(B383="","",IF(X383="Yes","Delivered",IF(U383="Yes",IF(AND(W383&lt;&gt;"",R383&lt;&gt;""),IF(W383&gt;R383,"⚠️ Delivery after install date","Ordered"),"Ordered"),IF(K383="",IF(T383="","Waiting for decision",IF(T383&lt;=AsOf+AlertDays,"Decide now","Waiting for decision")),IF(S383="","Selected",IF(AsOf&gt;S383,"⚠️ Order late — install at risk",IF(S383&lt;=AsOf+AlertDays,"Order now","Selected")))))))</f>
        <v/>
      </c>
      <c r="Z383" s="79">
        <f>IF(B383="","",IF(OR(AH383=1,AE383=1),2,IF(OR(AG383=1,AF383=1),1,IF(OR(Y383="Ordered",Y383="Delivered"),0,""))))</f>
        <v/>
      </c>
      <c r="AA383" s="112">
        <f>IF(B383="","",IF(AH383=1,IF(Y383="⚠️ Delivery after install date",R383,S383),IF(AD383=1,T383,IF(AI383=1,S383,""))))</f>
        <v/>
      </c>
      <c r="AB383" s="79">
        <f>IF(AA383="","",IF(AH383=1,1,IF(AA383="","",IF(AA383&lt;AsOf,1,IF(AA383&lt;=AsOf+AlertDays,2,IF(AA383&lt;=AsOf+2*AlertDays,3,""))))))</f>
        <v/>
      </c>
      <c r="AC383" s="79">
        <f>IF(AB383="","",IF(AH383=1,IF(Y383="⚠️ Delivery after install date","Delivery after install date: "&amp;B383,"Order late — install at risk: "&amp;B383),IF(AD383=1,IF(AB383=1,"Decision overdue: ","Decide: ")&amp;B383,"Order: "&amp;B383&amp;IF(N383="",""," from "&amp;N383))))</f>
        <v/>
      </c>
      <c r="AD383" s="79">
        <f>IF(AND(B383&lt;&gt;"",K383="",U383&lt;&gt;"Yes",X383&lt;&gt;"Yes"),1,0)</f>
        <v/>
      </c>
      <c r="AE383" s="79">
        <f>IF(AND(AD383=1,T383&lt;&gt;""),IF(T383&lt;AsOf,1,0),0)</f>
        <v/>
      </c>
      <c r="AF383" s="79">
        <f>IF(AND(AD383=1,T383&lt;&gt;""),IF(AND(T383&gt;=AsOf,T383&lt;=AsOf+AlertDays),1,0),0)</f>
        <v/>
      </c>
      <c r="AG383" s="79">
        <f>IF(Y383="Order now",1,0)</f>
        <v/>
      </c>
      <c r="AH383" s="79">
        <f>IF(OR(Y383="⚠️ Order late — install at risk",Y383="⚠️ Delivery after install date"),1,0)</f>
        <v/>
      </c>
      <c r="AI383" s="79">
        <f>IF(AND(B383&lt;&gt;"",K383&lt;&gt;"",U383&lt;&gt;"Yes",X383&lt;&gt;"Yes"),1,0)</f>
        <v/>
      </c>
      <c r="AJ383" s="79">
        <f>IF(Y383="⚠️ Order late — install at risk",1,0)</f>
        <v/>
      </c>
    </row>
    <row r="384" ht="20" customHeight="1">
      <c r="B384" s="72" t="n"/>
      <c r="C384" s="72" t="n"/>
      <c r="D384" s="72" t="n"/>
      <c r="E384" s="72" t="n"/>
      <c r="F384" s="73" t="n"/>
      <c r="G384" s="72" t="n"/>
      <c r="H384" s="73" t="n"/>
      <c r="I384" s="72" t="n"/>
      <c r="J384" s="73" t="n"/>
      <c r="K384" s="74" t="n"/>
      <c r="L384" s="75">
        <f>IF(K384="A",F384,IF(K384="B",H384,IF(K384="C",J384,"")))</f>
        <v/>
      </c>
      <c r="M384" s="72" t="n"/>
      <c r="N384" s="72" t="n"/>
      <c r="O384" s="89" t="n"/>
      <c r="P384" s="89" t="n"/>
      <c r="Q384" s="109" t="n"/>
      <c r="R384" s="120">
        <f>IF(B384="","",IF(Q384&lt;&gt;"",Q384,IF(P384="","",IFERROR(INDEX('Timeline'!$J$7:$J$1006,MATCH(P384,'Timeline'!$B$7:$B$1006,0)),""))))</f>
        <v/>
      </c>
      <c r="S384" s="126">
        <f>IF(R384="","",R384-IF(O384="",0,O384)-OrderBuf)</f>
        <v/>
      </c>
      <c r="T384" s="126">
        <f>IF(S384="","",S384-DecideBuf)</f>
        <v/>
      </c>
      <c r="U384" s="74" t="n"/>
      <c r="V384" s="109" t="n"/>
      <c r="W384" s="109" t="n"/>
      <c r="X384" s="74" t="n"/>
      <c r="Y384" s="116">
        <f>IF(B384="","",IF(X384="Yes","Delivered",IF(U384="Yes",IF(AND(W384&lt;&gt;"",R384&lt;&gt;""),IF(W384&gt;R384,"⚠️ Delivery after install date","Ordered"),"Ordered"),IF(K384="",IF(T384="","Waiting for decision",IF(T384&lt;=AsOf+AlertDays,"Decide now","Waiting for decision")),IF(S384="","Selected",IF(AsOf&gt;S384,"⚠️ Order late — install at risk",IF(S384&lt;=AsOf+AlertDays,"Order now","Selected")))))))</f>
        <v/>
      </c>
      <c r="Z384" s="79">
        <f>IF(B384="","",IF(OR(AH384=1,AE384=1),2,IF(OR(AG384=1,AF384=1),1,IF(OR(Y384="Ordered",Y384="Delivered"),0,""))))</f>
        <v/>
      </c>
      <c r="AA384" s="112">
        <f>IF(B384="","",IF(AH384=1,IF(Y384="⚠️ Delivery after install date",R384,S384),IF(AD384=1,T384,IF(AI384=1,S384,""))))</f>
        <v/>
      </c>
      <c r="AB384" s="79">
        <f>IF(AA384="","",IF(AH384=1,1,IF(AA384="","",IF(AA384&lt;AsOf,1,IF(AA384&lt;=AsOf+AlertDays,2,IF(AA384&lt;=AsOf+2*AlertDays,3,""))))))</f>
        <v/>
      </c>
      <c r="AC384" s="79">
        <f>IF(AB384="","",IF(AH384=1,IF(Y384="⚠️ Delivery after install date","Delivery after install date: "&amp;B384,"Order late — install at risk: "&amp;B384),IF(AD384=1,IF(AB384=1,"Decision overdue: ","Decide: ")&amp;B384,"Order: "&amp;B384&amp;IF(N384="",""," from "&amp;N384))))</f>
        <v/>
      </c>
      <c r="AD384" s="79">
        <f>IF(AND(B384&lt;&gt;"",K384="",U384&lt;&gt;"Yes",X384&lt;&gt;"Yes"),1,0)</f>
        <v/>
      </c>
      <c r="AE384" s="79">
        <f>IF(AND(AD384=1,T384&lt;&gt;""),IF(T384&lt;AsOf,1,0),0)</f>
        <v/>
      </c>
      <c r="AF384" s="79">
        <f>IF(AND(AD384=1,T384&lt;&gt;""),IF(AND(T384&gt;=AsOf,T384&lt;=AsOf+AlertDays),1,0),0)</f>
        <v/>
      </c>
      <c r="AG384" s="79">
        <f>IF(Y384="Order now",1,0)</f>
        <v/>
      </c>
      <c r="AH384" s="79">
        <f>IF(OR(Y384="⚠️ Order late — install at risk",Y384="⚠️ Delivery after install date"),1,0)</f>
        <v/>
      </c>
      <c r="AI384" s="79">
        <f>IF(AND(B384&lt;&gt;"",K384&lt;&gt;"",U384&lt;&gt;"Yes",X384&lt;&gt;"Yes"),1,0)</f>
        <v/>
      </c>
      <c r="AJ384" s="79">
        <f>IF(Y384="⚠️ Order late — install at risk",1,0)</f>
        <v/>
      </c>
    </row>
    <row r="385" ht="20" customHeight="1">
      <c r="B385" s="72" t="n"/>
      <c r="C385" s="72" t="n"/>
      <c r="D385" s="72" t="n"/>
      <c r="E385" s="72" t="n"/>
      <c r="F385" s="73" t="n"/>
      <c r="G385" s="72" t="n"/>
      <c r="H385" s="73" t="n"/>
      <c r="I385" s="72" t="n"/>
      <c r="J385" s="73" t="n"/>
      <c r="K385" s="74" t="n"/>
      <c r="L385" s="75">
        <f>IF(K385="A",F385,IF(K385="B",H385,IF(K385="C",J385,"")))</f>
        <v/>
      </c>
      <c r="M385" s="72" t="n"/>
      <c r="N385" s="72" t="n"/>
      <c r="O385" s="89" t="n"/>
      <c r="P385" s="89" t="n"/>
      <c r="Q385" s="109" t="n"/>
      <c r="R385" s="120">
        <f>IF(B385="","",IF(Q385&lt;&gt;"",Q385,IF(P385="","",IFERROR(INDEX('Timeline'!$J$7:$J$1006,MATCH(P385,'Timeline'!$B$7:$B$1006,0)),""))))</f>
        <v/>
      </c>
      <c r="S385" s="126">
        <f>IF(R385="","",R385-IF(O385="",0,O385)-OrderBuf)</f>
        <v/>
      </c>
      <c r="T385" s="126">
        <f>IF(S385="","",S385-DecideBuf)</f>
        <v/>
      </c>
      <c r="U385" s="74" t="n"/>
      <c r="V385" s="109" t="n"/>
      <c r="W385" s="109" t="n"/>
      <c r="X385" s="74" t="n"/>
      <c r="Y385" s="116">
        <f>IF(B385="","",IF(X385="Yes","Delivered",IF(U385="Yes",IF(AND(W385&lt;&gt;"",R385&lt;&gt;""),IF(W385&gt;R385,"⚠️ Delivery after install date","Ordered"),"Ordered"),IF(K385="",IF(T385="","Waiting for decision",IF(T385&lt;=AsOf+AlertDays,"Decide now","Waiting for decision")),IF(S385="","Selected",IF(AsOf&gt;S385,"⚠️ Order late — install at risk",IF(S385&lt;=AsOf+AlertDays,"Order now","Selected")))))))</f>
        <v/>
      </c>
      <c r="Z385" s="79">
        <f>IF(B385="","",IF(OR(AH385=1,AE385=1),2,IF(OR(AG385=1,AF385=1),1,IF(OR(Y385="Ordered",Y385="Delivered"),0,""))))</f>
        <v/>
      </c>
      <c r="AA385" s="112">
        <f>IF(B385="","",IF(AH385=1,IF(Y385="⚠️ Delivery after install date",R385,S385),IF(AD385=1,T385,IF(AI385=1,S385,""))))</f>
        <v/>
      </c>
      <c r="AB385" s="79">
        <f>IF(AA385="","",IF(AH385=1,1,IF(AA385="","",IF(AA385&lt;AsOf,1,IF(AA385&lt;=AsOf+AlertDays,2,IF(AA385&lt;=AsOf+2*AlertDays,3,""))))))</f>
        <v/>
      </c>
      <c r="AC385" s="79">
        <f>IF(AB385="","",IF(AH385=1,IF(Y385="⚠️ Delivery after install date","Delivery after install date: "&amp;B385,"Order late — install at risk: "&amp;B385),IF(AD385=1,IF(AB385=1,"Decision overdue: ","Decide: ")&amp;B385,"Order: "&amp;B385&amp;IF(N385="",""," from "&amp;N385))))</f>
        <v/>
      </c>
      <c r="AD385" s="79">
        <f>IF(AND(B385&lt;&gt;"",K385="",U385&lt;&gt;"Yes",X385&lt;&gt;"Yes"),1,0)</f>
        <v/>
      </c>
      <c r="AE385" s="79">
        <f>IF(AND(AD385=1,T385&lt;&gt;""),IF(T385&lt;AsOf,1,0),0)</f>
        <v/>
      </c>
      <c r="AF385" s="79">
        <f>IF(AND(AD385=1,T385&lt;&gt;""),IF(AND(T385&gt;=AsOf,T385&lt;=AsOf+AlertDays),1,0),0)</f>
        <v/>
      </c>
      <c r="AG385" s="79">
        <f>IF(Y385="Order now",1,0)</f>
        <v/>
      </c>
      <c r="AH385" s="79">
        <f>IF(OR(Y385="⚠️ Order late — install at risk",Y385="⚠️ Delivery after install date"),1,0)</f>
        <v/>
      </c>
      <c r="AI385" s="79">
        <f>IF(AND(B385&lt;&gt;"",K385&lt;&gt;"",U385&lt;&gt;"Yes",X385&lt;&gt;"Yes"),1,0)</f>
        <v/>
      </c>
      <c r="AJ385" s="79">
        <f>IF(Y385="⚠️ Order late — install at risk",1,0)</f>
        <v/>
      </c>
    </row>
    <row r="386" ht="20" customHeight="1">
      <c r="B386" s="72" t="n"/>
      <c r="C386" s="72" t="n"/>
      <c r="D386" s="72" t="n"/>
      <c r="E386" s="72" t="n"/>
      <c r="F386" s="73" t="n"/>
      <c r="G386" s="72" t="n"/>
      <c r="H386" s="73" t="n"/>
      <c r="I386" s="72" t="n"/>
      <c r="J386" s="73" t="n"/>
      <c r="K386" s="74" t="n"/>
      <c r="L386" s="75">
        <f>IF(K386="A",F386,IF(K386="B",H386,IF(K386="C",J386,"")))</f>
        <v/>
      </c>
      <c r="M386" s="72" t="n"/>
      <c r="N386" s="72" t="n"/>
      <c r="O386" s="89" t="n"/>
      <c r="P386" s="89" t="n"/>
      <c r="Q386" s="109" t="n"/>
      <c r="R386" s="120">
        <f>IF(B386="","",IF(Q386&lt;&gt;"",Q386,IF(P386="","",IFERROR(INDEX('Timeline'!$J$7:$J$1006,MATCH(P386,'Timeline'!$B$7:$B$1006,0)),""))))</f>
        <v/>
      </c>
      <c r="S386" s="126">
        <f>IF(R386="","",R386-IF(O386="",0,O386)-OrderBuf)</f>
        <v/>
      </c>
      <c r="T386" s="126">
        <f>IF(S386="","",S386-DecideBuf)</f>
        <v/>
      </c>
      <c r="U386" s="74" t="n"/>
      <c r="V386" s="109" t="n"/>
      <c r="W386" s="109" t="n"/>
      <c r="X386" s="74" t="n"/>
      <c r="Y386" s="116">
        <f>IF(B386="","",IF(X386="Yes","Delivered",IF(U386="Yes",IF(AND(W386&lt;&gt;"",R386&lt;&gt;""),IF(W386&gt;R386,"⚠️ Delivery after install date","Ordered"),"Ordered"),IF(K386="",IF(T386="","Waiting for decision",IF(T386&lt;=AsOf+AlertDays,"Decide now","Waiting for decision")),IF(S386="","Selected",IF(AsOf&gt;S386,"⚠️ Order late — install at risk",IF(S386&lt;=AsOf+AlertDays,"Order now","Selected")))))))</f>
        <v/>
      </c>
      <c r="Z386" s="79">
        <f>IF(B386="","",IF(OR(AH386=1,AE386=1),2,IF(OR(AG386=1,AF386=1),1,IF(OR(Y386="Ordered",Y386="Delivered"),0,""))))</f>
        <v/>
      </c>
      <c r="AA386" s="112">
        <f>IF(B386="","",IF(AH386=1,IF(Y386="⚠️ Delivery after install date",R386,S386),IF(AD386=1,T386,IF(AI386=1,S386,""))))</f>
        <v/>
      </c>
      <c r="AB386" s="79">
        <f>IF(AA386="","",IF(AH386=1,1,IF(AA386="","",IF(AA386&lt;AsOf,1,IF(AA386&lt;=AsOf+AlertDays,2,IF(AA386&lt;=AsOf+2*AlertDays,3,""))))))</f>
        <v/>
      </c>
      <c r="AC386" s="79">
        <f>IF(AB386="","",IF(AH386=1,IF(Y386="⚠️ Delivery after install date","Delivery after install date: "&amp;B386,"Order late — install at risk: "&amp;B386),IF(AD386=1,IF(AB386=1,"Decision overdue: ","Decide: ")&amp;B386,"Order: "&amp;B386&amp;IF(N386="",""," from "&amp;N386))))</f>
        <v/>
      </c>
      <c r="AD386" s="79">
        <f>IF(AND(B386&lt;&gt;"",K386="",U386&lt;&gt;"Yes",X386&lt;&gt;"Yes"),1,0)</f>
        <v/>
      </c>
      <c r="AE386" s="79">
        <f>IF(AND(AD386=1,T386&lt;&gt;""),IF(T386&lt;AsOf,1,0),0)</f>
        <v/>
      </c>
      <c r="AF386" s="79">
        <f>IF(AND(AD386=1,T386&lt;&gt;""),IF(AND(T386&gt;=AsOf,T386&lt;=AsOf+AlertDays),1,0),0)</f>
        <v/>
      </c>
      <c r="AG386" s="79">
        <f>IF(Y386="Order now",1,0)</f>
        <v/>
      </c>
      <c r="AH386" s="79">
        <f>IF(OR(Y386="⚠️ Order late — install at risk",Y386="⚠️ Delivery after install date"),1,0)</f>
        <v/>
      </c>
      <c r="AI386" s="79">
        <f>IF(AND(B386&lt;&gt;"",K386&lt;&gt;"",U386&lt;&gt;"Yes",X386&lt;&gt;"Yes"),1,0)</f>
        <v/>
      </c>
      <c r="AJ386" s="79">
        <f>IF(Y386="⚠️ Order late — install at risk",1,0)</f>
        <v/>
      </c>
    </row>
    <row r="387" ht="20" customHeight="1">
      <c r="B387" s="72" t="n"/>
      <c r="C387" s="72" t="n"/>
      <c r="D387" s="72" t="n"/>
      <c r="E387" s="72" t="n"/>
      <c r="F387" s="73" t="n"/>
      <c r="G387" s="72" t="n"/>
      <c r="H387" s="73" t="n"/>
      <c r="I387" s="72" t="n"/>
      <c r="J387" s="73" t="n"/>
      <c r="K387" s="74" t="n"/>
      <c r="L387" s="75">
        <f>IF(K387="A",F387,IF(K387="B",H387,IF(K387="C",J387,"")))</f>
        <v/>
      </c>
      <c r="M387" s="72" t="n"/>
      <c r="N387" s="72" t="n"/>
      <c r="O387" s="89" t="n"/>
      <c r="P387" s="89" t="n"/>
      <c r="Q387" s="109" t="n"/>
      <c r="R387" s="120">
        <f>IF(B387="","",IF(Q387&lt;&gt;"",Q387,IF(P387="","",IFERROR(INDEX('Timeline'!$J$7:$J$1006,MATCH(P387,'Timeline'!$B$7:$B$1006,0)),""))))</f>
        <v/>
      </c>
      <c r="S387" s="126">
        <f>IF(R387="","",R387-IF(O387="",0,O387)-OrderBuf)</f>
        <v/>
      </c>
      <c r="T387" s="126">
        <f>IF(S387="","",S387-DecideBuf)</f>
        <v/>
      </c>
      <c r="U387" s="74" t="n"/>
      <c r="V387" s="109" t="n"/>
      <c r="W387" s="109" t="n"/>
      <c r="X387" s="74" t="n"/>
      <c r="Y387" s="116">
        <f>IF(B387="","",IF(X387="Yes","Delivered",IF(U387="Yes",IF(AND(W387&lt;&gt;"",R387&lt;&gt;""),IF(W387&gt;R387,"⚠️ Delivery after install date","Ordered"),"Ordered"),IF(K387="",IF(T387="","Waiting for decision",IF(T387&lt;=AsOf+AlertDays,"Decide now","Waiting for decision")),IF(S387="","Selected",IF(AsOf&gt;S387,"⚠️ Order late — install at risk",IF(S387&lt;=AsOf+AlertDays,"Order now","Selected")))))))</f>
        <v/>
      </c>
      <c r="Z387" s="79">
        <f>IF(B387="","",IF(OR(AH387=1,AE387=1),2,IF(OR(AG387=1,AF387=1),1,IF(OR(Y387="Ordered",Y387="Delivered"),0,""))))</f>
        <v/>
      </c>
      <c r="AA387" s="112">
        <f>IF(B387="","",IF(AH387=1,IF(Y387="⚠️ Delivery after install date",R387,S387),IF(AD387=1,T387,IF(AI387=1,S387,""))))</f>
        <v/>
      </c>
      <c r="AB387" s="79">
        <f>IF(AA387="","",IF(AH387=1,1,IF(AA387="","",IF(AA387&lt;AsOf,1,IF(AA387&lt;=AsOf+AlertDays,2,IF(AA387&lt;=AsOf+2*AlertDays,3,""))))))</f>
        <v/>
      </c>
      <c r="AC387" s="79">
        <f>IF(AB387="","",IF(AH387=1,IF(Y387="⚠️ Delivery after install date","Delivery after install date: "&amp;B387,"Order late — install at risk: "&amp;B387),IF(AD387=1,IF(AB387=1,"Decision overdue: ","Decide: ")&amp;B387,"Order: "&amp;B387&amp;IF(N387="",""," from "&amp;N387))))</f>
        <v/>
      </c>
      <c r="AD387" s="79">
        <f>IF(AND(B387&lt;&gt;"",K387="",U387&lt;&gt;"Yes",X387&lt;&gt;"Yes"),1,0)</f>
        <v/>
      </c>
      <c r="AE387" s="79">
        <f>IF(AND(AD387=1,T387&lt;&gt;""),IF(T387&lt;AsOf,1,0),0)</f>
        <v/>
      </c>
      <c r="AF387" s="79">
        <f>IF(AND(AD387=1,T387&lt;&gt;""),IF(AND(T387&gt;=AsOf,T387&lt;=AsOf+AlertDays),1,0),0)</f>
        <v/>
      </c>
      <c r="AG387" s="79">
        <f>IF(Y387="Order now",1,0)</f>
        <v/>
      </c>
      <c r="AH387" s="79">
        <f>IF(OR(Y387="⚠️ Order late — install at risk",Y387="⚠️ Delivery after install date"),1,0)</f>
        <v/>
      </c>
      <c r="AI387" s="79">
        <f>IF(AND(B387&lt;&gt;"",K387&lt;&gt;"",U387&lt;&gt;"Yes",X387&lt;&gt;"Yes"),1,0)</f>
        <v/>
      </c>
      <c r="AJ387" s="79">
        <f>IF(Y387="⚠️ Order late — install at risk",1,0)</f>
        <v/>
      </c>
    </row>
    <row r="388" ht="20" customHeight="1">
      <c r="B388" s="72" t="n"/>
      <c r="C388" s="72" t="n"/>
      <c r="D388" s="72" t="n"/>
      <c r="E388" s="72" t="n"/>
      <c r="F388" s="73" t="n"/>
      <c r="G388" s="72" t="n"/>
      <c r="H388" s="73" t="n"/>
      <c r="I388" s="72" t="n"/>
      <c r="J388" s="73" t="n"/>
      <c r="K388" s="74" t="n"/>
      <c r="L388" s="75">
        <f>IF(K388="A",F388,IF(K388="B",H388,IF(K388="C",J388,"")))</f>
        <v/>
      </c>
      <c r="M388" s="72" t="n"/>
      <c r="N388" s="72" t="n"/>
      <c r="O388" s="89" t="n"/>
      <c r="P388" s="89" t="n"/>
      <c r="Q388" s="109" t="n"/>
      <c r="R388" s="120">
        <f>IF(B388="","",IF(Q388&lt;&gt;"",Q388,IF(P388="","",IFERROR(INDEX('Timeline'!$J$7:$J$1006,MATCH(P388,'Timeline'!$B$7:$B$1006,0)),""))))</f>
        <v/>
      </c>
      <c r="S388" s="126">
        <f>IF(R388="","",R388-IF(O388="",0,O388)-OrderBuf)</f>
        <v/>
      </c>
      <c r="T388" s="126">
        <f>IF(S388="","",S388-DecideBuf)</f>
        <v/>
      </c>
      <c r="U388" s="74" t="n"/>
      <c r="V388" s="109" t="n"/>
      <c r="W388" s="109" t="n"/>
      <c r="X388" s="74" t="n"/>
      <c r="Y388" s="116">
        <f>IF(B388="","",IF(X388="Yes","Delivered",IF(U388="Yes",IF(AND(W388&lt;&gt;"",R388&lt;&gt;""),IF(W388&gt;R388,"⚠️ Delivery after install date","Ordered"),"Ordered"),IF(K388="",IF(T388="","Waiting for decision",IF(T388&lt;=AsOf+AlertDays,"Decide now","Waiting for decision")),IF(S388="","Selected",IF(AsOf&gt;S388,"⚠️ Order late — install at risk",IF(S388&lt;=AsOf+AlertDays,"Order now","Selected")))))))</f>
        <v/>
      </c>
      <c r="Z388" s="79">
        <f>IF(B388="","",IF(OR(AH388=1,AE388=1),2,IF(OR(AG388=1,AF388=1),1,IF(OR(Y388="Ordered",Y388="Delivered"),0,""))))</f>
        <v/>
      </c>
      <c r="AA388" s="112">
        <f>IF(B388="","",IF(AH388=1,IF(Y388="⚠️ Delivery after install date",R388,S388),IF(AD388=1,T388,IF(AI388=1,S388,""))))</f>
        <v/>
      </c>
      <c r="AB388" s="79">
        <f>IF(AA388="","",IF(AH388=1,1,IF(AA388="","",IF(AA388&lt;AsOf,1,IF(AA388&lt;=AsOf+AlertDays,2,IF(AA388&lt;=AsOf+2*AlertDays,3,""))))))</f>
        <v/>
      </c>
      <c r="AC388" s="79">
        <f>IF(AB388="","",IF(AH388=1,IF(Y388="⚠️ Delivery after install date","Delivery after install date: "&amp;B388,"Order late — install at risk: "&amp;B388),IF(AD388=1,IF(AB388=1,"Decision overdue: ","Decide: ")&amp;B388,"Order: "&amp;B388&amp;IF(N388="",""," from "&amp;N388))))</f>
        <v/>
      </c>
      <c r="AD388" s="79">
        <f>IF(AND(B388&lt;&gt;"",K388="",U388&lt;&gt;"Yes",X388&lt;&gt;"Yes"),1,0)</f>
        <v/>
      </c>
      <c r="AE388" s="79">
        <f>IF(AND(AD388=1,T388&lt;&gt;""),IF(T388&lt;AsOf,1,0),0)</f>
        <v/>
      </c>
      <c r="AF388" s="79">
        <f>IF(AND(AD388=1,T388&lt;&gt;""),IF(AND(T388&gt;=AsOf,T388&lt;=AsOf+AlertDays),1,0),0)</f>
        <v/>
      </c>
      <c r="AG388" s="79">
        <f>IF(Y388="Order now",1,0)</f>
        <v/>
      </c>
      <c r="AH388" s="79">
        <f>IF(OR(Y388="⚠️ Order late — install at risk",Y388="⚠️ Delivery after install date"),1,0)</f>
        <v/>
      </c>
      <c r="AI388" s="79">
        <f>IF(AND(B388&lt;&gt;"",K388&lt;&gt;"",U388&lt;&gt;"Yes",X388&lt;&gt;"Yes"),1,0)</f>
        <v/>
      </c>
      <c r="AJ388" s="79">
        <f>IF(Y388="⚠️ Order late — install at risk",1,0)</f>
        <v/>
      </c>
    </row>
    <row r="389" ht="20" customHeight="1">
      <c r="B389" s="72" t="n"/>
      <c r="C389" s="72" t="n"/>
      <c r="D389" s="72" t="n"/>
      <c r="E389" s="72" t="n"/>
      <c r="F389" s="73" t="n"/>
      <c r="G389" s="72" t="n"/>
      <c r="H389" s="73" t="n"/>
      <c r="I389" s="72" t="n"/>
      <c r="J389" s="73" t="n"/>
      <c r="K389" s="74" t="n"/>
      <c r="L389" s="75">
        <f>IF(K389="A",F389,IF(K389="B",H389,IF(K389="C",J389,"")))</f>
        <v/>
      </c>
      <c r="M389" s="72" t="n"/>
      <c r="N389" s="72" t="n"/>
      <c r="O389" s="89" t="n"/>
      <c r="P389" s="89" t="n"/>
      <c r="Q389" s="109" t="n"/>
      <c r="R389" s="120">
        <f>IF(B389="","",IF(Q389&lt;&gt;"",Q389,IF(P389="","",IFERROR(INDEX('Timeline'!$J$7:$J$1006,MATCH(P389,'Timeline'!$B$7:$B$1006,0)),""))))</f>
        <v/>
      </c>
      <c r="S389" s="126">
        <f>IF(R389="","",R389-IF(O389="",0,O389)-OrderBuf)</f>
        <v/>
      </c>
      <c r="T389" s="126">
        <f>IF(S389="","",S389-DecideBuf)</f>
        <v/>
      </c>
      <c r="U389" s="74" t="n"/>
      <c r="V389" s="109" t="n"/>
      <c r="W389" s="109" t="n"/>
      <c r="X389" s="74" t="n"/>
      <c r="Y389" s="116">
        <f>IF(B389="","",IF(X389="Yes","Delivered",IF(U389="Yes",IF(AND(W389&lt;&gt;"",R389&lt;&gt;""),IF(W389&gt;R389,"⚠️ Delivery after install date","Ordered"),"Ordered"),IF(K389="",IF(T389="","Waiting for decision",IF(T389&lt;=AsOf+AlertDays,"Decide now","Waiting for decision")),IF(S389="","Selected",IF(AsOf&gt;S389,"⚠️ Order late — install at risk",IF(S389&lt;=AsOf+AlertDays,"Order now","Selected")))))))</f>
        <v/>
      </c>
      <c r="Z389" s="79">
        <f>IF(B389="","",IF(OR(AH389=1,AE389=1),2,IF(OR(AG389=1,AF389=1),1,IF(OR(Y389="Ordered",Y389="Delivered"),0,""))))</f>
        <v/>
      </c>
      <c r="AA389" s="112">
        <f>IF(B389="","",IF(AH389=1,IF(Y389="⚠️ Delivery after install date",R389,S389),IF(AD389=1,T389,IF(AI389=1,S389,""))))</f>
        <v/>
      </c>
      <c r="AB389" s="79">
        <f>IF(AA389="","",IF(AH389=1,1,IF(AA389="","",IF(AA389&lt;AsOf,1,IF(AA389&lt;=AsOf+AlertDays,2,IF(AA389&lt;=AsOf+2*AlertDays,3,""))))))</f>
        <v/>
      </c>
      <c r="AC389" s="79">
        <f>IF(AB389="","",IF(AH389=1,IF(Y389="⚠️ Delivery after install date","Delivery after install date: "&amp;B389,"Order late — install at risk: "&amp;B389),IF(AD389=1,IF(AB389=1,"Decision overdue: ","Decide: ")&amp;B389,"Order: "&amp;B389&amp;IF(N389="",""," from "&amp;N389))))</f>
        <v/>
      </c>
      <c r="AD389" s="79">
        <f>IF(AND(B389&lt;&gt;"",K389="",U389&lt;&gt;"Yes",X389&lt;&gt;"Yes"),1,0)</f>
        <v/>
      </c>
      <c r="AE389" s="79">
        <f>IF(AND(AD389=1,T389&lt;&gt;""),IF(T389&lt;AsOf,1,0),0)</f>
        <v/>
      </c>
      <c r="AF389" s="79">
        <f>IF(AND(AD389=1,T389&lt;&gt;""),IF(AND(T389&gt;=AsOf,T389&lt;=AsOf+AlertDays),1,0),0)</f>
        <v/>
      </c>
      <c r="AG389" s="79">
        <f>IF(Y389="Order now",1,0)</f>
        <v/>
      </c>
      <c r="AH389" s="79">
        <f>IF(OR(Y389="⚠️ Order late — install at risk",Y389="⚠️ Delivery after install date"),1,0)</f>
        <v/>
      </c>
      <c r="AI389" s="79">
        <f>IF(AND(B389&lt;&gt;"",K389&lt;&gt;"",U389&lt;&gt;"Yes",X389&lt;&gt;"Yes"),1,0)</f>
        <v/>
      </c>
      <c r="AJ389" s="79">
        <f>IF(Y389="⚠️ Order late — install at risk",1,0)</f>
        <v/>
      </c>
    </row>
    <row r="390" ht="20" customHeight="1">
      <c r="B390" s="72" t="n"/>
      <c r="C390" s="72" t="n"/>
      <c r="D390" s="72" t="n"/>
      <c r="E390" s="72" t="n"/>
      <c r="F390" s="73" t="n"/>
      <c r="G390" s="72" t="n"/>
      <c r="H390" s="73" t="n"/>
      <c r="I390" s="72" t="n"/>
      <c r="J390" s="73" t="n"/>
      <c r="K390" s="74" t="n"/>
      <c r="L390" s="75">
        <f>IF(K390="A",F390,IF(K390="B",H390,IF(K390="C",J390,"")))</f>
        <v/>
      </c>
      <c r="M390" s="72" t="n"/>
      <c r="N390" s="72" t="n"/>
      <c r="O390" s="89" t="n"/>
      <c r="P390" s="89" t="n"/>
      <c r="Q390" s="109" t="n"/>
      <c r="R390" s="120">
        <f>IF(B390="","",IF(Q390&lt;&gt;"",Q390,IF(P390="","",IFERROR(INDEX('Timeline'!$J$7:$J$1006,MATCH(P390,'Timeline'!$B$7:$B$1006,0)),""))))</f>
        <v/>
      </c>
      <c r="S390" s="126">
        <f>IF(R390="","",R390-IF(O390="",0,O390)-OrderBuf)</f>
        <v/>
      </c>
      <c r="T390" s="126">
        <f>IF(S390="","",S390-DecideBuf)</f>
        <v/>
      </c>
      <c r="U390" s="74" t="n"/>
      <c r="V390" s="109" t="n"/>
      <c r="W390" s="109" t="n"/>
      <c r="X390" s="74" t="n"/>
      <c r="Y390" s="116">
        <f>IF(B390="","",IF(X390="Yes","Delivered",IF(U390="Yes",IF(AND(W390&lt;&gt;"",R390&lt;&gt;""),IF(W390&gt;R390,"⚠️ Delivery after install date","Ordered"),"Ordered"),IF(K390="",IF(T390="","Waiting for decision",IF(T390&lt;=AsOf+AlertDays,"Decide now","Waiting for decision")),IF(S390="","Selected",IF(AsOf&gt;S390,"⚠️ Order late — install at risk",IF(S390&lt;=AsOf+AlertDays,"Order now","Selected")))))))</f>
        <v/>
      </c>
      <c r="Z390" s="79">
        <f>IF(B390="","",IF(OR(AH390=1,AE390=1),2,IF(OR(AG390=1,AF390=1),1,IF(OR(Y390="Ordered",Y390="Delivered"),0,""))))</f>
        <v/>
      </c>
      <c r="AA390" s="112">
        <f>IF(B390="","",IF(AH390=1,IF(Y390="⚠️ Delivery after install date",R390,S390),IF(AD390=1,T390,IF(AI390=1,S390,""))))</f>
        <v/>
      </c>
      <c r="AB390" s="79">
        <f>IF(AA390="","",IF(AH390=1,1,IF(AA390="","",IF(AA390&lt;AsOf,1,IF(AA390&lt;=AsOf+AlertDays,2,IF(AA390&lt;=AsOf+2*AlertDays,3,""))))))</f>
        <v/>
      </c>
      <c r="AC390" s="79">
        <f>IF(AB390="","",IF(AH390=1,IF(Y390="⚠️ Delivery after install date","Delivery after install date: "&amp;B390,"Order late — install at risk: "&amp;B390),IF(AD390=1,IF(AB390=1,"Decision overdue: ","Decide: ")&amp;B390,"Order: "&amp;B390&amp;IF(N390="",""," from "&amp;N390))))</f>
        <v/>
      </c>
      <c r="AD390" s="79">
        <f>IF(AND(B390&lt;&gt;"",K390="",U390&lt;&gt;"Yes",X390&lt;&gt;"Yes"),1,0)</f>
        <v/>
      </c>
      <c r="AE390" s="79">
        <f>IF(AND(AD390=1,T390&lt;&gt;""),IF(T390&lt;AsOf,1,0),0)</f>
        <v/>
      </c>
      <c r="AF390" s="79">
        <f>IF(AND(AD390=1,T390&lt;&gt;""),IF(AND(T390&gt;=AsOf,T390&lt;=AsOf+AlertDays),1,0),0)</f>
        <v/>
      </c>
      <c r="AG390" s="79">
        <f>IF(Y390="Order now",1,0)</f>
        <v/>
      </c>
      <c r="AH390" s="79">
        <f>IF(OR(Y390="⚠️ Order late — install at risk",Y390="⚠️ Delivery after install date"),1,0)</f>
        <v/>
      </c>
      <c r="AI390" s="79">
        <f>IF(AND(B390&lt;&gt;"",K390&lt;&gt;"",U390&lt;&gt;"Yes",X390&lt;&gt;"Yes"),1,0)</f>
        <v/>
      </c>
      <c r="AJ390" s="79">
        <f>IF(Y390="⚠️ Order late — install at risk",1,0)</f>
        <v/>
      </c>
    </row>
    <row r="391" ht="20" customHeight="1">
      <c r="B391" s="72" t="n"/>
      <c r="C391" s="72" t="n"/>
      <c r="D391" s="72" t="n"/>
      <c r="E391" s="72" t="n"/>
      <c r="F391" s="73" t="n"/>
      <c r="G391" s="72" t="n"/>
      <c r="H391" s="73" t="n"/>
      <c r="I391" s="72" t="n"/>
      <c r="J391" s="73" t="n"/>
      <c r="K391" s="74" t="n"/>
      <c r="L391" s="75">
        <f>IF(K391="A",F391,IF(K391="B",H391,IF(K391="C",J391,"")))</f>
        <v/>
      </c>
      <c r="M391" s="72" t="n"/>
      <c r="N391" s="72" t="n"/>
      <c r="O391" s="89" t="n"/>
      <c r="P391" s="89" t="n"/>
      <c r="Q391" s="109" t="n"/>
      <c r="R391" s="120">
        <f>IF(B391="","",IF(Q391&lt;&gt;"",Q391,IF(P391="","",IFERROR(INDEX('Timeline'!$J$7:$J$1006,MATCH(P391,'Timeline'!$B$7:$B$1006,0)),""))))</f>
        <v/>
      </c>
      <c r="S391" s="126">
        <f>IF(R391="","",R391-IF(O391="",0,O391)-OrderBuf)</f>
        <v/>
      </c>
      <c r="T391" s="126">
        <f>IF(S391="","",S391-DecideBuf)</f>
        <v/>
      </c>
      <c r="U391" s="74" t="n"/>
      <c r="V391" s="109" t="n"/>
      <c r="W391" s="109" t="n"/>
      <c r="X391" s="74" t="n"/>
      <c r="Y391" s="116">
        <f>IF(B391="","",IF(X391="Yes","Delivered",IF(U391="Yes",IF(AND(W391&lt;&gt;"",R391&lt;&gt;""),IF(W391&gt;R391,"⚠️ Delivery after install date","Ordered"),"Ordered"),IF(K391="",IF(T391="","Waiting for decision",IF(T391&lt;=AsOf+AlertDays,"Decide now","Waiting for decision")),IF(S391="","Selected",IF(AsOf&gt;S391,"⚠️ Order late — install at risk",IF(S391&lt;=AsOf+AlertDays,"Order now","Selected")))))))</f>
        <v/>
      </c>
      <c r="Z391" s="79">
        <f>IF(B391="","",IF(OR(AH391=1,AE391=1),2,IF(OR(AG391=1,AF391=1),1,IF(OR(Y391="Ordered",Y391="Delivered"),0,""))))</f>
        <v/>
      </c>
      <c r="AA391" s="112">
        <f>IF(B391="","",IF(AH391=1,IF(Y391="⚠️ Delivery after install date",R391,S391),IF(AD391=1,T391,IF(AI391=1,S391,""))))</f>
        <v/>
      </c>
      <c r="AB391" s="79">
        <f>IF(AA391="","",IF(AH391=1,1,IF(AA391="","",IF(AA391&lt;AsOf,1,IF(AA391&lt;=AsOf+AlertDays,2,IF(AA391&lt;=AsOf+2*AlertDays,3,""))))))</f>
        <v/>
      </c>
      <c r="AC391" s="79">
        <f>IF(AB391="","",IF(AH391=1,IF(Y391="⚠️ Delivery after install date","Delivery after install date: "&amp;B391,"Order late — install at risk: "&amp;B391),IF(AD391=1,IF(AB391=1,"Decision overdue: ","Decide: ")&amp;B391,"Order: "&amp;B391&amp;IF(N391="",""," from "&amp;N391))))</f>
        <v/>
      </c>
      <c r="AD391" s="79">
        <f>IF(AND(B391&lt;&gt;"",K391="",U391&lt;&gt;"Yes",X391&lt;&gt;"Yes"),1,0)</f>
        <v/>
      </c>
      <c r="AE391" s="79">
        <f>IF(AND(AD391=1,T391&lt;&gt;""),IF(T391&lt;AsOf,1,0),0)</f>
        <v/>
      </c>
      <c r="AF391" s="79">
        <f>IF(AND(AD391=1,T391&lt;&gt;""),IF(AND(T391&gt;=AsOf,T391&lt;=AsOf+AlertDays),1,0),0)</f>
        <v/>
      </c>
      <c r="AG391" s="79">
        <f>IF(Y391="Order now",1,0)</f>
        <v/>
      </c>
      <c r="AH391" s="79">
        <f>IF(OR(Y391="⚠️ Order late — install at risk",Y391="⚠️ Delivery after install date"),1,0)</f>
        <v/>
      </c>
      <c r="AI391" s="79">
        <f>IF(AND(B391&lt;&gt;"",K391&lt;&gt;"",U391&lt;&gt;"Yes",X391&lt;&gt;"Yes"),1,0)</f>
        <v/>
      </c>
      <c r="AJ391" s="79">
        <f>IF(Y391="⚠️ Order late — install at risk",1,0)</f>
        <v/>
      </c>
    </row>
    <row r="392" ht="20" customHeight="1">
      <c r="B392" s="72" t="n"/>
      <c r="C392" s="72" t="n"/>
      <c r="D392" s="72" t="n"/>
      <c r="E392" s="72" t="n"/>
      <c r="F392" s="73" t="n"/>
      <c r="G392" s="72" t="n"/>
      <c r="H392" s="73" t="n"/>
      <c r="I392" s="72" t="n"/>
      <c r="J392" s="73" t="n"/>
      <c r="K392" s="74" t="n"/>
      <c r="L392" s="75">
        <f>IF(K392="A",F392,IF(K392="B",H392,IF(K392="C",J392,"")))</f>
        <v/>
      </c>
      <c r="M392" s="72" t="n"/>
      <c r="N392" s="72" t="n"/>
      <c r="O392" s="89" t="n"/>
      <c r="P392" s="89" t="n"/>
      <c r="Q392" s="109" t="n"/>
      <c r="R392" s="120">
        <f>IF(B392="","",IF(Q392&lt;&gt;"",Q392,IF(P392="","",IFERROR(INDEX('Timeline'!$J$7:$J$1006,MATCH(P392,'Timeline'!$B$7:$B$1006,0)),""))))</f>
        <v/>
      </c>
      <c r="S392" s="126">
        <f>IF(R392="","",R392-IF(O392="",0,O392)-OrderBuf)</f>
        <v/>
      </c>
      <c r="T392" s="126">
        <f>IF(S392="","",S392-DecideBuf)</f>
        <v/>
      </c>
      <c r="U392" s="74" t="n"/>
      <c r="V392" s="109" t="n"/>
      <c r="W392" s="109" t="n"/>
      <c r="X392" s="74" t="n"/>
      <c r="Y392" s="116">
        <f>IF(B392="","",IF(X392="Yes","Delivered",IF(U392="Yes",IF(AND(W392&lt;&gt;"",R392&lt;&gt;""),IF(W392&gt;R392,"⚠️ Delivery after install date","Ordered"),"Ordered"),IF(K392="",IF(T392="","Waiting for decision",IF(T392&lt;=AsOf+AlertDays,"Decide now","Waiting for decision")),IF(S392="","Selected",IF(AsOf&gt;S392,"⚠️ Order late — install at risk",IF(S392&lt;=AsOf+AlertDays,"Order now","Selected")))))))</f>
        <v/>
      </c>
      <c r="Z392" s="79">
        <f>IF(B392="","",IF(OR(AH392=1,AE392=1),2,IF(OR(AG392=1,AF392=1),1,IF(OR(Y392="Ordered",Y392="Delivered"),0,""))))</f>
        <v/>
      </c>
      <c r="AA392" s="112">
        <f>IF(B392="","",IF(AH392=1,IF(Y392="⚠️ Delivery after install date",R392,S392),IF(AD392=1,T392,IF(AI392=1,S392,""))))</f>
        <v/>
      </c>
      <c r="AB392" s="79">
        <f>IF(AA392="","",IF(AH392=1,1,IF(AA392="","",IF(AA392&lt;AsOf,1,IF(AA392&lt;=AsOf+AlertDays,2,IF(AA392&lt;=AsOf+2*AlertDays,3,""))))))</f>
        <v/>
      </c>
      <c r="AC392" s="79">
        <f>IF(AB392="","",IF(AH392=1,IF(Y392="⚠️ Delivery after install date","Delivery after install date: "&amp;B392,"Order late — install at risk: "&amp;B392),IF(AD392=1,IF(AB392=1,"Decision overdue: ","Decide: ")&amp;B392,"Order: "&amp;B392&amp;IF(N392="",""," from "&amp;N392))))</f>
        <v/>
      </c>
      <c r="AD392" s="79">
        <f>IF(AND(B392&lt;&gt;"",K392="",U392&lt;&gt;"Yes",X392&lt;&gt;"Yes"),1,0)</f>
        <v/>
      </c>
      <c r="AE392" s="79">
        <f>IF(AND(AD392=1,T392&lt;&gt;""),IF(T392&lt;AsOf,1,0),0)</f>
        <v/>
      </c>
      <c r="AF392" s="79">
        <f>IF(AND(AD392=1,T392&lt;&gt;""),IF(AND(T392&gt;=AsOf,T392&lt;=AsOf+AlertDays),1,0),0)</f>
        <v/>
      </c>
      <c r="AG392" s="79">
        <f>IF(Y392="Order now",1,0)</f>
        <v/>
      </c>
      <c r="AH392" s="79">
        <f>IF(OR(Y392="⚠️ Order late — install at risk",Y392="⚠️ Delivery after install date"),1,0)</f>
        <v/>
      </c>
      <c r="AI392" s="79">
        <f>IF(AND(B392&lt;&gt;"",K392&lt;&gt;"",U392&lt;&gt;"Yes",X392&lt;&gt;"Yes"),1,0)</f>
        <v/>
      </c>
      <c r="AJ392" s="79">
        <f>IF(Y392="⚠️ Order late — install at risk",1,0)</f>
        <v/>
      </c>
    </row>
    <row r="393" ht="20" customHeight="1">
      <c r="B393" s="72" t="n"/>
      <c r="C393" s="72" t="n"/>
      <c r="D393" s="72" t="n"/>
      <c r="E393" s="72" t="n"/>
      <c r="F393" s="73" t="n"/>
      <c r="G393" s="72" t="n"/>
      <c r="H393" s="73" t="n"/>
      <c r="I393" s="72" t="n"/>
      <c r="J393" s="73" t="n"/>
      <c r="K393" s="74" t="n"/>
      <c r="L393" s="75">
        <f>IF(K393="A",F393,IF(K393="B",H393,IF(K393="C",J393,"")))</f>
        <v/>
      </c>
      <c r="M393" s="72" t="n"/>
      <c r="N393" s="72" t="n"/>
      <c r="O393" s="89" t="n"/>
      <c r="P393" s="89" t="n"/>
      <c r="Q393" s="109" t="n"/>
      <c r="R393" s="120">
        <f>IF(B393="","",IF(Q393&lt;&gt;"",Q393,IF(P393="","",IFERROR(INDEX('Timeline'!$J$7:$J$1006,MATCH(P393,'Timeline'!$B$7:$B$1006,0)),""))))</f>
        <v/>
      </c>
      <c r="S393" s="126">
        <f>IF(R393="","",R393-IF(O393="",0,O393)-OrderBuf)</f>
        <v/>
      </c>
      <c r="T393" s="126">
        <f>IF(S393="","",S393-DecideBuf)</f>
        <v/>
      </c>
      <c r="U393" s="74" t="n"/>
      <c r="V393" s="109" t="n"/>
      <c r="W393" s="109" t="n"/>
      <c r="X393" s="74" t="n"/>
      <c r="Y393" s="116">
        <f>IF(B393="","",IF(X393="Yes","Delivered",IF(U393="Yes",IF(AND(W393&lt;&gt;"",R393&lt;&gt;""),IF(W393&gt;R393,"⚠️ Delivery after install date","Ordered"),"Ordered"),IF(K393="",IF(T393="","Waiting for decision",IF(T393&lt;=AsOf+AlertDays,"Decide now","Waiting for decision")),IF(S393="","Selected",IF(AsOf&gt;S393,"⚠️ Order late — install at risk",IF(S393&lt;=AsOf+AlertDays,"Order now","Selected")))))))</f>
        <v/>
      </c>
      <c r="Z393" s="79">
        <f>IF(B393="","",IF(OR(AH393=1,AE393=1),2,IF(OR(AG393=1,AF393=1),1,IF(OR(Y393="Ordered",Y393="Delivered"),0,""))))</f>
        <v/>
      </c>
      <c r="AA393" s="112">
        <f>IF(B393="","",IF(AH393=1,IF(Y393="⚠️ Delivery after install date",R393,S393),IF(AD393=1,T393,IF(AI393=1,S393,""))))</f>
        <v/>
      </c>
      <c r="AB393" s="79">
        <f>IF(AA393="","",IF(AH393=1,1,IF(AA393="","",IF(AA393&lt;AsOf,1,IF(AA393&lt;=AsOf+AlertDays,2,IF(AA393&lt;=AsOf+2*AlertDays,3,""))))))</f>
        <v/>
      </c>
      <c r="AC393" s="79">
        <f>IF(AB393="","",IF(AH393=1,IF(Y393="⚠️ Delivery after install date","Delivery after install date: "&amp;B393,"Order late — install at risk: "&amp;B393),IF(AD393=1,IF(AB393=1,"Decision overdue: ","Decide: ")&amp;B393,"Order: "&amp;B393&amp;IF(N393="",""," from "&amp;N393))))</f>
        <v/>
      </c>
      <c r="AD393" s="79">
        <f>IF(AND(B393&lt;&gt;"",K393="",U393&lt;&gt;"Yes",X393&lt;&gt;"Yes"),1,0)</f>
        <v/>
      </c>
      <c r="AE393" s="79">
        <f>IF(AND(AD393=1,T393&lt;&gt;""),IF(T393&lt;AsOf,1,0),0)</f>
        <v/>
      </c>
      <c r="AF393" s="79">
        <f>IF(AND(AD393=1,T393&lt;&gt;""),IF(AND(T393&gt;=AsOf,T393&lt;=AsOf+AlertDays),1,0),0)</f>
        <v/>
      </c>
      <c r="AG393" s="79">
        <f>IF(Y393="Order now",1,0)</f>
        <v/>
      </c>
      <c r="AH393" s="79">
        <f>IF(OR(Y393="⚠️ Order late — install at risk",Y393="⚠️ Delivery after install date"),1,0)</f>
        <v/>
      </c>
      <c r="AI393" s="79">
        <f>IF(AND(B393&lt;&gt;"",K393&lt;&gt;"",U393&lt;&gt;"Yes",X393&lt;&gt;"Yes"),1,0)</f>
        <v/>
      </c>
      <c r="AJ393" s="79">
        <f>IF(Y393="⚠️ Order late — install at risk",1,0)</f>
        <v/>
      </c>
    </row>
    <row r="394" ht="20" customHeight="1">
      <c r="B394" s="72" t="n"/>
      <c r="C394" s="72" t="n"/>
      <c r="D394" s="72" t="n"/>
      <c r="E394" s="72" t="n"/>
      <c r="F394" s="73" t="n"/>
      <c r="G394" s="72" t="n"/>
      <c r="H394" s="73" t="n"/>
      <c r="I394" s="72" t="n"/>
      <c r="J394" s="73" t="n"/>
      <c r="K394" s="74" t="n"/>
      <c r="L394" s="75">
        <f>IF(K394="A",F394,IF(K394="B",H394,IF(K394="C",J394,"")))</f>
        <v/>
      </c>
      <c r="M394" s="72" t="n"/>
      <c r="N394" s="72" t="n"/>
      <c r="O394" s="89" t="n"/>
      <c r="P394" s="89" t="n"/>
      <c r="Q394" s="109" t="n"/>
      <c r="R394" s="120">
        <f>IF(B394="","",IF(Q394&lt;&gt;"",Q394,IF(P394="","",IFERROR(INDEX('Timeline'!$J$7:$J$1006,MATCH(P394,'Timeline'!$B$7:$B$1006,0)),""))))</f>
        <v/>
      </c>
      <c r="S394" s="126">
        <f>IF(R394="","",R394-IF(O394="",0,O394)-OrderBuf)</f>
        <v/>
      </c>
      <c r="T394" s="126">
        <f>IF(S394="","",S394-DecideBuf)</f>
        <v/>
      </c>
      <c r="U394" s="74" t="n"/>
      <c r="V394" s="109" t="n"/>
      <c r="W394" s="109" t="n"/>
      <c r="X394" s="74" t="n"/>
      <c r="Y394" s="116">
        <f>IF(B394="","",IF(X394="Yes","Delivered",IF(U394="Yes",IF(AND(W394&lt;&gt;"",R394&lt;&gt;""),IF(W394&gt;R394,"⚠️ Delivery after install date","Ordered"),"Ordered"),IF(K394="",IF(T394="","Waiting for decision",IF(T394&lt;=AsOf+AlertDays,"Decide now","Waiting for decision")),IF(S394="","Selected",IF(AsOf&gt;S394,"⚠️ Order late — install at risk",IF(S394&lt;=AsOf+AlertDays,"Order now","Selected")))))))</f>
        <v/>
      </c>
      <c r="Z394" s="79">
        <f>IF(B394="","",IF(OR(AH394=1,AE394=1),2,IF(OR(AG394=1,AF394=1),1,IF(OR(Y394="Ordered",Y394="Delivered"),0,""))))</f>
        <v/>
      </c>
      <c r="AA394" s="112">
        <f>IF(B394="","",IF(AH394=1,IF(Y394="⚠️ Delivery after install date",R394,S394),IF(AD394=1,T394,IF(AI394=1,S394,""))))</f>
        <v/>
      </c>
      <c r="AB394" s="79">
        <f>IF(AA394="","",IF(AH394=1,1,IF(AA394="","",IF(AA394&lt;AsOf,1,IF(AA394&lt;=AsOf+AlertDays,2,IF(AA394&lt;=AsOf+2*AlertDays,3,""))))))</f>
        <v/>
      </c>
      <c r="AC394" s="79">
        <f>IF(AB394="","",IF(AH394=1,IF(Y394="⚠️ Delivery after install date","Delivery after install date: "&amp;B394,"Order late — install at risk: "&amp;B394),IF(AD394=1,IF(AB394=1,"Decision overdue: ","Decide: ")&amp;B394,"Order: "&amp;B394&amp;IF(N394="",""," from "&amp;N394))))</f>
        <v/>
      </c>
      <c r="AD394" s="79">
        <f>IF(AND(B394&lt;&gt;"",K394="",U394&lt;&gt;"Yes",X394&lt;&gt;"Yes"),1,0)</f>
        <v/>
      </c>
      <c r="AE394" s="79">
        <f>IF(AND(AD394=1,T394&lt;&gt;""),IF(T394&lt;AsOf,1,0),0)</f>
        <v/>
      </c>
      <c r="AF394" s="79">
        <f>IF(AND(AD394=1,T394&lt;&gt;""),IF(AND(T394&gt;=AsOf,T394&lt;=AsOf+AlertDays),1,0),0)</f>
        <v/>
      </c>
      <c r="AG394" s="79">
        <f>IF(Y394="Order now",1,0)</f>
        <v/>
      </c>
      <c r="AH394" s="79">
        <f>IF(OR(Y394="⚠️ Order late — install at risk",Y394="⚠️ Delivery after install date"),1,0)</f>
        <v/>
      </c>
      <c r="AI394" s="79">
        <f>IF(AND(B394&lt;&gt;"",K394&lt;&gt;"",U394&lt;&gt;"Yes",X394&lt;&gt;"Yes"),1,0)</f>
        <v/>
      </c>
      <c r="AJ394" s="79">
        <f>IF(Y394="⚠️ Order late — install at risk",1,0)</f>
        <v/>
      </c>
    </row>
    <row r="395" ht="20" customHeight="1">
      <c r="B395" s="72" t="n"/>
      <c r="C395" s="72" t="n"/>
      <c r="D395" s="72" t="n"/>
      <c r="E395" s="72" t="n"/>
      <c r="F395" s="73" t="n"/>
      <c r="G395" s="72" t="n"/>
      <c r="H395" s="73" t="n"/>
      <c r="I395" s="72" t="n"/>
      <c r="J395" s="73" t="n"/>
      <c r="K395" s="74" t="n"/>
      <c r="L395" s="75">
        <f>IF(K395="A",F395,IF(K395="B",H395,IF(K395="C",J395,"")))</f>
        <v/>
      </c>
      <c r="M395" s="72" t="n"/>
      <c r="N395" s="72" t="n"/>
      <c r="O395" s="89" t="n"/>
      <c r="P395" s="89" t="n"/>
      <c r="Q395" s="109" t="n"/>
      <c r="R395" s="120">
        <f>IF(B395="","",IF(Q395&lt;&gt;"",Q395,IF(P395="","",IFERROR(INDEX('Timeline'!$J$7:$J$1006,MATCH(P395,'Timeline'!$B$7:$B$1006,0)),""))))</f>
        <v/>
      </c>
      <c r="S395" s="126">
        <f>IF(R395="","",R395-IF(O395="",0,O395)-OrderBuf)</f>
        <v/>
      </c>
      <c r="T395" s="126">
        <f>IF(S395="","",S395-DecideBuf)</f>
        <v/>
      </c>
      <c r="U395" s="74" t="n"/>
      <c r="V395" s="109" t="n"/>
      <c r="W395" s="109" t="n"/>
      <c r="X395" s="74" t="n"/>
      <c r="Y395" s="116">
        <f>IF(B395="","",IF(X395="Yes","Delivered",IF(U395="Yes",IF(AND(W395&lt;&gt;"",R395&lt;&gt;""),IF(W395&gt;R395,"⚠️ Delivery after install date","Ordered"),"Ordered"),IF(K395="",IF(T395="","Waiting for decision",IF(T395&lt;=AsOf+AlertDays,"Decide now","Waiting for decision")),IF(S395="","Selected",IF(AsOf&gt;S395,"⚠️ Order late — install at risk",IF(S395&lt;=AsOf+AlertDays,"Order now","Selected")))))))</f>
        <v/>
      </c>
      <c r="Z395" s="79">
        <f>IF(B395="","",IF(OR(AH395=1,AE395=1),2,IF(OR(AG395=1,AF395=1),1,IF(OR(Y395="Ordered",Y395="Delivered"),0,""))))</f>
        <v/>
      </c>
      <c r="AA395" s="112">
        <f>IF(B395="","",IF(AH395=1,IF(Y395="⚠️ Delivery after install date",R395,S395),IF(AD395=1,T395,IF(AI395=1,S395,""))))</f>
        <v/>
      </c>
      <c r="AB395" s="79">
        <f>IF(AA395="","",IF(AH395=1,1,IF(AA395="","",IF(AA395&lt;AsOf,1,IF(AA395&lt;=AsOf+AlertDays,2,IF(AA395&lt;=AsOf+2*AlertDays,3,""))))))</f>
        <v/>
      </c>
      <c r="AC395" s="79">
        <f>IF(AB395="","",IF(AH395=1,IF(Y395="⚠️ Delivery after install date","Delivery after install date: "&amp;B395,"Order late — install at risk: "&amp;B395),IF(AD395=1,IF(AB395=1,"Decision overdue: ","Decide: ")&amp;B395,"Order: "&amp;B395&amp;IF(N395="",""," from "&amp;N395))))</f>
        <v/>
      </c>
      <c r="AD395" s="79">
        <f>IF(AND(B395&lt;&gt;"",K395="",U395&lt;&gt;"Yes",X395&lt;&gt;"Yes"),1,0)</f>
        <v/>
      </c>
      <c r="AE395" s="79">
        <f>IF(AND(AD395=1,T395&lt;&gt;""),IF(T395&lt;AsOf,1,0),0)</f>
        <v/>
      </c>
      <c r="AF395" s="79">
        <f>IF(AND(AD395=1,T395&lt;&gt;""),IF(AND(T395&gt;=AsOf,T395&lt;=AsOf+AlertDays),1,0),0)</f>
        <v/>
      </c>
      <c r="AG395" s="79">
        <f>IF(Y395="Order now",1,0)</f>
        <v/>
      </c>
      <c r="AH395" s="79">
        <f>IF(OR(Y395="⚠️ Order late — install at risk",Y395="⚠️ Delivery after install date"),1,0)</f>
        <v/>
      </c>
      <c r="AI395" s="79">
        <f>IF(AND(B395&lt;&gt;"",K395&lt;&gt;"",U395&lt;&gt;"Yes",X395&lt;&gt;"Yes"),1,0)</f>
        <v/>
      </c>
      <c r="AJ395" s="79">
        <f>IF(Y395="⚠️ Order late — install at risk",1,0)</f>
        <v/>
      </c>
    </row>
    <row r="396" ht="20" customHeight="1">
      <c r="B396" s="72" t="n"/>
      <c r="C396" s="72" t="n"/>
      <c r="D396" s="72" t="n"/>
      <c r="E396" s="72" t="n"/>
      <c r="F396" s="73" t="n"/>
      <c r="G396" s="72" t="n"/>
      <c r="H396" s="73" t="n"/>
      <c r="I396" s="72" t="n"/>
      <c r="J396" s="73" t="n"/>
      <c r="K396" s="74" t="n"/>
      <c r="L396" s="75">
        <f>IF(K396="A",F396,IF(K396="B",H396,IF(K396="C",J396,"")))</f>
        <v/>
      </c>
      <c r="M396" s="72" t="n"/>
      <c r="N396" s="72" t="n"/>
      <c r="O396" s="89" t="n"/>
      <c r="P396" s="89" t="n"/>
      <c r="Q396" s="109" t="n"/>
      <c r="R396" s="120">
        <f>IF(B396="","",IF(Q396&lt;&gt;"",Q396,IF(P396="","",IFERROR(INDEX('Timeline'!$J$7:$J$1006,MATCH(P396,'Timeline'!$B$7:$B$1006,0)),""))))</f>
        <v/>
      </c>
      <c r="S396" s="126">
        <f>IF(R396="","",R396-IF(O396="",0,O396)-OrderBuf)</f>
        <v/>
      </c>
      <c r="T396" s="126">
        <f>IF(S396="","",S396-DecideBuf)</f>
        <v/>
      </c>
      <c r="U396" s="74" t="n"/>
      <c r="V396" s="109" t="n"/>
      <c r="W396" s="109" t="n"/>
      <c r="X396" s="74" t="n"/>
      <c r="Y396" s="116">
        <f>IF(B396="","",IF(X396="Yes","Delivered",IF(U396="Yes",IF(AND(W396&lt;&gt;"",R396&lt;&gt;""),IF(W396&gt;R396,"⚠️ Delivery after install date","Ordered"),"Ordered"),IF(K396="",IF(T396="","Waiting for decision",IF(T396&lt;=AsOf+AlertDays,"Decide now","Waiting for decision")),IF(S396="","Selected",IF(AsOf&gt;S396,"⚠️ Order late — install at risk",IF(S396&lt;=AsOf+AlertDays,"Order now","Selected")))))))</f>
        <v/>
      </c>
      <c r="Z396" s="79">
        <f>IF(B396="","",IF(OR(AH396=1,AE396=1),2,IF(OR(AG396=1,AF396=1),1,IF(OR(Y396="Ordered",Y396="Delivered"),0,""))))</f>
        <v/>
      </c>
      <c r="AA396" s="112">
        <f>IF(B396="","",IF(AH396=1,IF(Y396="⚠️ Delivery after install date",R396,S396),IF(AD396=1,T396,IF(AI396=1,S396,""))))</f>
        <v/>
      </c>
      <c r="AB396" s="79">
        <f>IF(AA396="","",IF(AH396=1,1,IF(AA396="","",IF(AA396&lt;AsOf,1,IF(AA396&lt;=AsOf+AlertDays,2,IF(AA396&lt;=AsOf+2*AlertDays,3,""))))))</f>
        <v/>
      </c>
      <c r="AC396" s="79">
        <f>IF(AB396="","",IF(AH396=1,IF(Y396="⚠️ Delivery after install date","Delivery after install date: "&amp;B396,"Order late — install at risk: "&amp;B396),IF(AD396=1,IF(AB396=1,"Decision overdue: ","Decide: ")&amp;B396,"Order: "&amp;B396&amp;IF(N396="",""," from "&amp;N396))))</f>
        <v/>
      </c>
      <c r="AD396" s="79">
        <f>IF(AND(B396&lt;&gt;"",K396="",U396&lt;&gt;"Yes",X396&lt;&gt;"Yes"),1,0)</f>
        <v/>
      </c>
      <c r="AE396" s="79">
        <f>IF(AND(AD396=1,T396&lt;&gt;""),IF(T396&lt;AsOf,1,0),0)</f>
        <v/>
      </c>
      <c r="AF396" s="79">
        <f>IF(AND(AD396=1,T396&lt;&gt;""),IF(AND(T396&gt;=AsOf,T396&lt;=AsOf+AlertDays),1,0),0)</f>
        <v/>
      </c>
      <c r="AG396" s="79">
        <f>IF(Y396="Order now",1,0)</f>
        <v/>
      </c>
      <c r="AH396" s="79">
        <f>IF(OR(Y396="⚠️ Order late — install at risk",Y396="⚠️ Delivery after install date"),1,0)</f>
        <v/>
      </c>
      <c r="AI396" s="79">
        <f>IF(AND(B396&lt;&gt;"",K396&lt;&gt;"",U396&lt;&gt;"Yes",X396&lt;&gt;"Yes"),1,0)</f>
        <v/>
      </c>
      <c r="AJ396" s="79">
        <f>IF(Y396="⚠️ Order late — install at risk",1,0)</f>
        <v/>
      </c>
    </row>
    <row r="397" ht="20" customHeight="1">
      <c r="B397" s="72" t="n"/>
      <c r="C397" s="72" t="n"/>
      <c r="D397" s="72" t="n"/>
      <c r="E397" s="72" t="n"/>
      <c r="F397" s="73" t="n"/>
      <c r="G397" s="72" t="n"/>
      <c r="H397" s="73" t="n"/>
      <c r="I397" s="72" t="n"/>
      <c r="J397" s="73" t="n"/>
      <c r="K397" s="74" t="n"/>
      <c r="L397" s="75">
        <f>IF(K397="A",F397,IF(K397="B",H397,IF(K397="C",J397,"")))</f>
        <v/>
      </c>
      <c r="M397" s="72" t="n"/>
      <c r="N397" s="72" t="n"/>
      <c r="O397" s="89" t="n"/>
      <c r="P397" s="89" t="n"/>
      <c r="Q397" s="109" t="n"/>
      <c r="R397" s="120">
        <f>IF(B397="","",IF(Q397&lt;&gt;"",Q397,IF(P397="","",IFERROR(INDEX('Timeline'!$J$7:$J$1006,MATCH(P397,'Timeline'!$B$7:$B$1006,0)),""))))</f>
        <v/>
      </c>
      <c r="S397" s="126">
        <f>IF(R397="","",R397-IF(O397="",0,O397)-OrderBuf)</f>
        <v/>
      </c>
      <c r="T397" s="126">
        <f>IF(S397="","",S397-DecideBuf)</f>
        <v/>
      </c>
      <c r="U397" s="74" t="n"/>
      <c r="V397" s="109" t="n"/>
      <c r="W397" s="109" t="n"/>
      <c r="X397" s="74" t="n"/>
      <c r="Y397" s="116">
        <f>IF(B397="","",IF(X397="Yes","Delivered",IF(U397="Yes",IF(AND(W397&lt;&gt;"",R397&lt;&gt;""),IF(W397&gt;R397,"⚠️ Delivery after install date","Ordered"),"Ordered"),IF(K397="",IF(T397="","Waiting for decision",IF(T397&lt;=AsOf+AlertDays,"Decide now","Waiting for decision")),IF(S397="","Selected",IF(AsOf&gt;S397,"⚠️ Order late — install at risk",IF(S397&lt;=AsOf+AlertDays,"Order now","Selected")))))))</f>
        <v/>
      </c>
      <c r="Z397" s="79">
        <f>IF(B397="","",IF(OR(AH397=1,AE397=1),2,IF(OR(AG397=1,AF397=1),1,IF(OR(Y397="Ordered",Y397="Delivered"),0,""))))</f>
        <v/>
      </c>
      <c r="AA397" s="112">
        <f>IF(B397="","",IF(AH397=1,IF(Y397="⚠️ Delivery after install date",R397,S397),IF(AD397=1,T397,IF(AI397=1,S397,""))))</f>
        <v/>
      </c>
      <c r="AB397" s="79">
        <f>IF(AA397="","",IF(AH397=1,1,IF(AA397="","",IF(AA397&lt;AsOf,1,IF(AA397&lt;=AsOf+AlertDays,2,IF(AA397&lt;=AsOf+2*AlertDays,3,""))))))</f>
        <v/>
      </c>
      <c r="AC397" s="79">
        <f>IF(AB397="","",IF(AH397=1,IF(Y397="⚠️ Delivery after install date","Delivery after install date: "&amp;B397,"Order late — install at risk: "&amp;B397),IF(AD397=1,IF(AB397=1,"Decision overdue: ","Decide: ")&amp;B397,"Order: "&amp;B397&amp;IF(N397="",""," from "&amp;N397))))</f>
        <v/>
      </c>
      <c r="AD397" s="79">
        <f>IF(AND(B397&lt;&gt;"",K397="",U397&lt;&gt;"Yes",X397&lt;&gt;"Yes"),1,0)</f>
        <v/>
      </c>
      <c r="AE397" s="79">
        <f>IF(AND(AD397=1,T397&lt;&gt;""),IF(T397&lt;AsOf,1,0),0)</f>
        <v/>
      </c>
      <c r="AF397" s="79">
        <f>IF(AND(AD397=1,T397&lt;&gt;""),IF(AND(T397&gt;=AsOf,T397&lt;=AsOf+AlertDays),1,0),0)</f>
        <v/>
      </c>
      <c r="AG397" s="79">
        <f>IF(Y397="Order now",1,0)</f>
        <v/>
      </c>
      <c r="AH397" s="79">
        <f>IF(OR(Y397="⚠️ Order late — install at risk",Y397="⚠️ Delivery after install date"),1,0)</f>
        <v/>
      </c>
      <c r="AI397" s="79">
        <f>IF(AND(B397&lt;&gt;"",K397&lt;&gt;"",U397&lt;&gt;"Yes",X397&lt;&gt;"Yes"),1,0)</f>
        <v/>
      </c>
      <c r="AJ397" s="79">
        <f>IF(Y397="⚠️ Order late — install at risk",1,0)</f>
        <v/>
      </c>
    </row>
    <row r="398" ht="20" customHeight="1">
      <c r="B398" s="72" t="n"/>
      <c r="C398" s="72" t="n"/>
      <c r="D398" s="72" t="n"/>
      <c r="E398" s="72" t="n"/>
      <c r="F398" s="73" t="n"/>
      <c r="G398" s="72" t="n"/>
      <c r="H398" s="73" t="n"/>
      <c r="I398" s="72" t="n"/>
      <c r="J398" s="73" t="n"/>
      <c r="K398" s="74" t="n"/>
      <c r="L398" s="75">
        <f>IF(K398="A",F398,IF(K398="B",H398,IF(K398="C",J398,"")))</f>
        <v/>
      </c>
      <c r="M398" s="72" t="n"/>
      <c r="N398" s="72" t="n"/>
      <c r="O398" s="89" t="n"/>
      <c r="P398" s="89" t="n"/>
      <c r="Q398" s="109" t="n"/>
      <c r="R398" s="120">
        <f>IF(B398="","",IF(Q398&lt;&gt;"",Q398,IF(P398="","",IFERROR(INDEX('Timeline'!$J$7:$J$1006,MATCH(P398,'Timeline'!$B$7:$B$1006,0)),""))))</f>
        <v/>
      </c>
      <c r="S398" s="126">
        <f>IF(R398="","",R398-IF(O398="",0,O398)-OrderBuf)</f>
        <v/>
      </c>
      <c r="T398" s="126">
        <f>IF(S398="","",S398-DecideBuf)</f>
        <v/>
      </c>
      <c r="U398" s="74" t="n"/>
      <c r="V398" s="109" t="n"/>
      <c r="W398" s="109" t="n"/>
      <c r="X398" s="74" t="n"/>
      <c r="Y398" s="116">
        <f>IF(B398="","",IF(X398="Yes","Delivered",IF(U398="Yes",IF(AND(W398&lt;&gt;"",R398&lt;&gt;""),IF(W398&gt;R398,"⚠️ Delivery after install date","Ordered"),"Ordered"),IF(K398="",IF(T398="","Waiting for decision",IF(T398&lt;=AsOf+AlertDays,"Decide now","Waiting for decision")),IF(S398="","Selected",IF(AsOf&gt;S398,"⚠️ Order late — install at risk",IF(S398&lt;=AsOf+AlertDays,"Order now","Selected")))))))</f>
        <v/>
      </c>
      <c r="Z398" s="79">
        <f>IF(B398="","",IF(OR(AH398=1,AE398=1),2,IF(OR(AG398=1,AF398=1),1,IF(OR(Y398="Ordered",Y398="Delivered"),0,""))))</f>
        <v/>
      </c>
      <c r="AA398" s="112">
        <f>IF(B398="","",IF(AH398=1,IF(Y398="⚠️ Delivery after install date",R398,S398),IF(AD398=1,T398,IF(AI398=1,S398,""))))</f>
        <v/>
      </c>
      <c r="AB398" s="79">
        <f>IF(AA398="","",IF(AH398=1,1,IF(AA398="","",IF(AA398&lt;AsOf,1,IF(AA398&lt;=AsOf+AlertDays,2,IF(AA398&lt;=AsOf+2*AlertDays,3,""))))))</f>
        <v/>
      </c>
      <c r="AC398" s="79">
        <f>IF(AB398="","",IF(AH398=1,IF(Y398="⚠️ Delivery after install date","Delivery after install date: "&amp;B398,"Order late — install at risk: "&amp;B398),IF(AD398=1,IF(AB398=1,"Decision overdue: ","Decide: ")&amp;B398,"Order: "&amp;B398&amp;IF(N398="",""," from "&amp;N398))))</f>
        <v/>
      </c>
      <c r="AD398" s="79">
        <f>IF(AND(B398&lt;&gt;"",K398="",U398&lt;&gt;"Yes",X398&lt;&gt;"Yes"),1,0)</f>
        <v/>
      </c>
      <c r="AE398" s="79">
        <f>IF(AND(AD398=1,T398&lt;&gt;""),IF(T398&lt;AsOf,1,0),0)</f>
        <v/>
      </c>
      <c r="AF398" s="79">
        <f>IF(AND(AD398=1,T398&lt;&gt;""),IF(AND(T398&gt;=AsOf,T398&lt;=AsOf+AlertDays),1,0),0)</f>
        <v/>
      </c>
      <c r="AG398" s="79">
        <f>IF(Y398="Order now",1,0)</f>
        <v/>
      </c>
      <c r="AH398" s="79">
        <f>IF(OR(Y398="⚠️ Order late — install at risk",Y398="⚠️ Delivery after install date"),1,0)</f>
        <v/>
      </c>
      <c r="AI398" s="79">
        <f>IF(AND(B398&lt;&gt;"",K398&lt;&gt;"",U398&lt;&gt;"Yes",X398&lt;&gt;"Yes"),1,0)</f>
        <v/>
      </c>
      <c r="AJ398" s="79">
        <f>IF(Y398="⚠️ Order late — install at risk",1,0)</f>
        <v/>
      </c>
    </row>
    <row r="399" ht="20" customHeight="1">
      <c r="B399" s="72" t="n"/>
      <c r="C399" s="72" t="n"/>
      <c r="D399" s="72" t="n"/>
      <c r="E399" s="72" t="n"/>
      <c r="F399" s="73" t="n"/>
      <c r="G399" s="72" t="n"/>
      <c r="H399" s="73" t="n"/>
      <c r="I399" s="72" t="n"/>
      <c r="J399" s="73" t="n"/>
      <c r="K399" s="74" t="n"/>
      <c r="L399" s="75">
        <f>IF(K399="A",F399,IF(K399="B",H399,IF(K399="C",J399,"")))</f>
        <v/>
      </c>
      <c r="M399" s="72" t="n"/>
      <c r="N399" s="72" t="n"/>
      <c r="O399" s="89" t="n"/>
      <c r="P399" s="89" t="n"/>
      <c r="Q399" s="109" t="n"/>
      <c r="R399" s="120">
        <f>IF(B399="","",IF(Q399&lt;&gt;"",Q399,IF(P399="","",IFERROR(INDEX('Timeline'!$J$7:$J$1006,MATCH(P399,'Timeline'!$B$7:$B$1006,0)),""))))</f>
        <v/>
      </c>
      <c r="S399" s="126">
        <f>IF(R399="","",R399-IF(O399="",0,O399)-OrderBuf)</f>
        <v/>
      </c>
      <c r="T399" s="126">
        <f>IF(S399="","",S399-DecideBuf)</f>
        <v/>
      </c>
      <c r="U399" s="74" t="n"/>
      <c r="V399" s="109" t="n"/>
      <c r="W399" s="109" t="n"/>
      <c r="X399" s="74" t="n"/>
      <c r="Y399" s="116">
        <f>IF(B399="","",IF(X399="Yes","Delivered",IF(U399="Yes",IF(AND(W399&lt;&gt;"",R399&lt;&gt;""),IF(W399&gt;R399,"⚠️ Delivery after install date","Ordered"),"Ordered"),IF(K399="",IF(T399="","Waiting for decision",IF(T399&lt;=AsOf+AlertDays,"Decide now","Waiting for decision")),IF(S399="","Selected",IF(AsOf&gt;S399,"⚠️ Order late — install at risk",IF(S399&lt;=AsOf+AlertDays,"Order now","Selected")))))))</f>
        <v/>
      </c>
      <c r="Z399" s="79">
        <f>IF(B399="","",IF(OR(AH399=1,AE399=1),2,IF(OR(AG399=1,AF399=1),1,IF(OR(Y399="Ordered",Y399="Delivered"),0,""))))</f>
        <v/>
      </c>
      <c r="AA399" s="112">
        <f>IF(B399="","",IF(AH399=1,IF(Y399="⚠️ Delivery after install date",R399,S399),IF(AD399=1,T399,IF(AI399=1,S399,""))))</f>
        <v/>
      </c>
      <c r="AB399" s="79">
        <f>IF(AA399="","",IF(AH399=1,1,IF(AA399="","",IF(AA399&lt;AsOf,1,IF(AA399&lt;=AsOf+AlertDays,2,IF(AA399&lt;=AsOf+2*AlertDays,3,""))))))</f>
        <v/>
      </c>
      <c r="AC399" s="79">
        <f>IF(AB399="","",IF(AH399=1,IF(Y399="⚠️ Delivery after install date","Delivery after install date: "&amp;B399,"Order late — install at risk: "&amp;B399),IF(AD399=1,IF(AB399=1,"Decision overdue: ","Decide: ")&amp;B399,"Order: "&amp;B399&amp;IF(N399="",""," from "&amp;N399))))</f>
        <v/>
      </c>
      <c r="AD399" s="79">
        <f>IF(AND(B399&lt;&gt;"",K399="",U399&lt;&gt;"Yes",X399&lt;&gt;"Yes"),1,0)</f>
        <v/>
      </c>
      <c r="AE399" s="79">
        <f>IF(AND(AD399=1,T399&lt;&gt;""),IF(T399&lt;AsOf,1,0),0)</f>
        <v/>
      </c>
      <c r="AF399" s="79">
        <f>IF(AND(AD399=1,T399&lt;&gt;""),IF(AND(T399&gt;=AsOf,T399&lt;=AsOf+AlertDays),1,0),0)</f>
        <v/>
      </c>
      <c r="AG399" s="79">
        <f>IF(Y399="Order now",1,0)</f>
        <v/>
      </c>
      <c r="AH399" s="79">
        <f>IF(OR(Y399="⚠️ Order late — install at risk",Y399="⚠️ Delivery after install date"),1,0)</f>
        <v/>
      </c>
      <c r="AI399" s="79">
        <f>IF(AND(B399&lt;&gt;"",K399&lt;&gt;"",U399&lt;&gt;"Yes",X399&lt;&gt;"Yes"),1,0)</f>
        <v/>
      </c>
      <c r="AJ399" s="79">
        <f>IF(Y399="⚠️ Order late — install at risk",1,0)</f>
        <v/>
      </c>
    </row>
    <row r="400" ht="20" customHeight="1">
      <c r="B400" s="72" t="n"/>
      <c r="C400" s="72" t="n"/>
      <c r="D400" s="72" t="n"/>
      <c r="E400" s="72" t="n"/>
      <c r="F400" s="73" t="n"/>
      <c r="G400" s="72" t="n"/>
      <c r="H400" s="73" t="n"/>
      <c r="I400" s="72" t="n"/>
      <c r="J400" s="73" t="n"/>
      <c r="K400" s="74" t="n"/>
      <c r="L400" s="75">
        <f>IF(K400="A",F400,IF(K400="B",H400,IF(K400="C",J400,"")))</f>
        <v/>
      </c>
      <c r="M400" s="72" t="n"/>
      <c r="N400" s="72" t="n"/>
      <c r="O400" s="89" t="n"/>
      <c r="P400" s="89" t="n"/>
      <c r="Q400" s="109" t="n"/>
      <c r="R400" s="120">
        <f>IF(B400="","",IF(Q400&lt;&gt;"",Q400,IF(P400="","",IFERROR(INDEX('Timeline'!$J$7:$J$1006,MATCH(P400,'Timeline'!$B$7:$B$1006,0)),""))))</f>
        <v/>
      </c>
      <c r="S400" s="126">
        <f>IF(R400="","",R400-IF(O400="",0,O400)-OrderBuf)</f>
        <v/>
      </c>
      <c r="T400" s="126">
        <f>IF(S400="","",S400-DecideBuf)</f>
        <v/>
      </c>
      <c r="U400" s="74" t="n"/>
      <c r="V400" s="109" t="n"/>
      <c r="W400" s="109" t="n"/>
      <c r="X400" s="74" t="n"/>
      <c r="Y400" s="116">
        <f>IF(B400="","",IF(X400="Yes","Delivered",IF(U400="Yes",IF(AND(W400&lt;&gt;"",R400&lt;&gt;""),IF(W400&gt;R400,"⚠️ Delivery after install date","Ordered"),"Ordered"),IF(K400="",IF(T400="","Waiting for decision",IF(T400&lt;=AsOf+AlertDays,"Decide now","Waiting for decision")),IF(S400="","Selected",IF(AsOf&gt;S400,"⚠️ Order late — install at risk",IF(S400&lt;=AsOf+AlertDays,"Order now","Selected")))))))</f>
        <v/>
      </c>
      <c r="Z400" s="79">
        <f>IF(B400="","",IF(OR(AH400=1,AE400=1),2,IF(OR(AG400=1,AF400=1),1,IF(OR(Y400="Ordered",Y400="Delivered"),0,""))))</f>
        <v/>
      </c>
      <c r="AA400" s="112">
        <f>IF(B400="","",IF(AH400=1,IF(Y400="⚠️ Delivery after install date",R400,S400),IF(AD400=1,T400,IF(AI400=1,S400,""))))</f>
        <v/>
      </c>
      <c r="AB400" s="79">
        <f>IF(AA400="","",IF(AH400=1,1,IF(AA400="","",IF(AA400&lt;AsOf,1,IF(AA400&lt;=AsOf+AlertDays,2,IF(AA400&lt;=AsOf+2*AlertDays,3,""))))))</f>
        <v/>
      </c>
      <c r="AC400" s="79">
        <f>IF(AB400="","",IF(AH400=1,IF(Y400="⚠️ Delivery after install date","Delivery after install date: "&amp;B400,"Order late — install at risk: "&amp;B400),IF(AD400=1,IF(AB400=1,"Decision overdue: ","Decide: ")&amp;B400,"Order: "&amp;B400&amp;IF(N400="",""," from "&amp;N400))))</f>
        <v/>
      </c>
      <c r="AD400" s="79">
        <f>IF(AND(B400&lt;&gt;"",K400="",U400&lt;&gt;"Yes",X400&lt;&gt;"Yes"),1,0)</f>
        <v/>
      </c>
      <c r="AE400" s="79">
        <f>IF(AND(AD400=1,T400&lt;&gt;""),IF(T400&lt;AsOf,1,0),0)</f>
        <v/>
      </c>
      <c r="AF400" s="79">
        <f>IF(AND(AD400=1,T400&lt;&gt;""),IF(AND(T400&gt;=AsOf,T400&lt;=AsOf+AlertDays),1,0),0)</f>
        <v/>
      </c>
      <c r="AG400" s="79">
        <f>IF(Y400="Order now",1,0)</f>
        <v/>
      </c>
      <c r="AH400" s="79">
        <f>IF(OR(Y400="⚠️ Order late — install at risk",Y400="⚠️ Delivery after install date"),1,0)</f>
        <v/>
      </c>
      <c r="AI400" s="79">
        <f>IF(AND(B400&lt;&gt;"",K400&lt;&gt;"",U400&lt;&gt;"Yes",X400&lt;&gt;"Yes"),1,0)</f>
        <v/>
      </c>
      <c r="AJ400" s="79">
        <f>IF(Y400="⚠️ Order late — install at risk",1,0)</f>
        <v/>
      </c>
    </row>
    <row r="401" ht="20" customHeight="1">
      <c r="B401" s="72" t="n"/>
      <c r="C401" s="72" t="n"/>
      <c r="D401" s="72" t="n"/>
      <c r="E401" s="72" t="n"/>
      <c r="F401" s="73" t="n"/>
      <c r="G401" s="72" t="n"/>
      <c r="H401" s="73" t="n"/>
      <c r="I401" s="72" t="n"/>
      <c r="J401" s="73" t="n"/>
      <c r="K401" s="74" t="n"/>
      <c r="L401" s="75">
        <f>IF(K401="A",F401,IF(K401="B",H401,IF(K401="C",J401,"")))</f>
        <v/>
      </c>
      <c r="M401" s="72" t="n"/>
      <c r="N401" s="72" t="n"/>
      <c r="O401" s="89" t="n"/>
      <c r="P401" s="89" t="n"/>
      <c r="Q401" s="109" t="n"/>
      <c r="R401" s="120">
        <f>IF(B401="","",IF(Q401&lt;&gt;"",Q401,IF(P401="","",IFERROR(INDEX('Timeline'!$J$7:$J$1006,MATCH(P401,'Timeline'!$B$7:$B$1006,0)),""))))</f>
        <v/>
      </c>
      <c r="S401" s="126">
        <f>IF(R401="","",R401-IF(O401="",0,O401)-OrderBuf)</f>
        <v/>
      </c>
      <c r="T401" s="126">
        <f>IF(S401="","",S401-DecideBuf)</f>
        <v/>
      </c>
      <c r="U401" s="74" t="n"/>
      <c r="V401" s="109" t="n"/>
      <c r="W401" s="109" t="n"/>
      <c r="X401" s="74" t="n"/>
      <c r="Y401" s="116">
        <f>IF(B401="","",IF(X401="Yes","Delivered",IF(U401="Yes",IF(AND(W401&lt;&gt;"",R401&lt;&gt;""),IF(W401&gt;R401,"⚠️ Delivery after install date","Ordered"),"Ordered"),IF(K401="",IF(T401="","Waiting for decision",IF(T401&lt;=AsOf+AlertDays,"Decide now","Waiting for decision")),IF(S401="","Selected",IF(AsOf&gt;S401,"⚠️ Order late — install at risk",IF(S401&lt;=AsOf+AlertDays,"Order now","Selected")))))))</f>
        <v/>
      </c>
      <c r="Z401" s="79">
        <f>IF(B401="","",IF(OR(AH401=1,AE401=1),2,IF(OR(AG401=1,AF401=1),1,IF(OR(Y401="Ordered",Y401="Delivered"),0,""))))</f>
        <v/>
      </c>
      <c r="AA401" s="112">
        <f>IF(B401="","",IF(AH401=1,IF(Y401="⚠️ Delivery after install date",R401,S401),IF(AD401=1,T401,IF(AI401=1,S401,""))))</f>
        <v/>
      </c>
      <c r="AB401" s="79">
        <f>IF(AA401="","",IF(AH401=1,1,IF(AA401="","",IF(AA401&lt;AsOf,1,IF(AA401&lt;=AsOf+AlertDays,2,IF(AA401&lt;=AsOf+2*AlertDays,3,""))))))</f>
        <v/>
      </c>
      <c r="AC401" s="79">
        <f>IF(AB401="","",IF(AH401=1,IF(Y401="⚠️ Delivery after install date","Delivery after install date: "&amp;B401,"Order late — install at risk: "&amp;B401),IF(AD401=1,IF(AB401=1,"Decision overdue: ","Decide: ")&amp;B401,"Order: "&amp;B401&amp;IF(N401="",""," from "&amp;N401))))</f>
        <v/>
      </c>
      <c r="AD401" s="79">
        <f>IF(AND(B401&lt;&gt;"",K401="",U401&lt;&gt;"Yes",X401&lt;&gt;"Yes"),1,0)</f>
        <v/>
      </c>
      <c r="AE401" s="79">
        <f>IF(AND(AD401=1,T401&lt;&gt;""),IF(T401&lt;AsOf,1,0),0)</f>
        <v/>
      </c>
      <c r="AF401" s="79">
        <f>IF(AND(AD401=1,T401&lt;&gt;""),IF(AND(T401&gt;=AsOf,T401&lt;=AsOf+AlertDays),1,0),0)</f>
        <v/>
      </c>
      <c r="AG401" s="79">
        <f>IF(Y401="Order now",1,0)</f>
        <v/>
      </c>
      <c r="AH401" s="79">
        <f>IF(OR(Y401="⚠️ Order late — install at risk",Y401="⚠️ Delivery after install date"),1,0)</f>
        <v/>
      </c>
      <c r="AI401" s="79">
        <f>IF(AND(B401&lt;&gt;"",K401&lt;&gt;"",U401&lt;&gt;"Yes",X401&lt;&gt;"Yes"),1,0)</f>
        <v/>
      </c>
      <c r="AJ401" s="79">
        <f>IF(Y401="⚠️ Order late — install at risk",1,0)</f>
        <v/>
      </c>
    </row>
    <row r="402" ht="20" customHeight="1">
      <c r="B402" s="72" t="n"/>
      <c r="C402" s="72" t="n"/>
      <c r="D402" s="72" t="n"/>
      <c r="E402" s="72" t="n"/>
      <c r="F402" s="73" t="n"/>
      <c r="G402" s="72" t="n"/>
      <c r="H402" s="73" t="n"/>
      <c r="I402" s="72" t="n"/>
      <c r="J402" s="73" t="n"/>
      <c r="K402" s="74" t="n"/>
      <c r="L402" s="75">
        <f>IF(K402="A",F402,IF(K402="B",H402,IF(K402="C",J402,"")))</f>
        <v/>
      </c>
      <c r="M402" s="72" t="n"/>
      <c r="N402" s="72" t="n"/>
      <c r="O402" s="89" t="n"/>
      <c r="P402" s="89" t="n"/>
      <c r="Q402" s="109" t="n"/>
      <c r="R402" s="120">
        <f>IF(B402="","",IF(Q402&lt;&gt;"",Q402,IF(P402="","",IFERROR(INDEX('Timeline'!$J$7:$J$1006,MATCH(P402,'Timeline'!$B$7:$B$1006,0)),""))))</f>
        <v/>
      </c>
      <c r="S402" s="126">
        <f>IF(R402="","",R402-IF(O402="",0,O402)-OrderBuf)</f>
        <v/>
      </c>
      <c r="T402" s="126">
        <f>IF(S402="","",S402-DecideBuf)</f>
        <v/>
      </c>
      <c r="U402" s="74" t="n"/>
      <c r="V402" s="109" t="n"/>
      <c r="W402" s="109" t="n"/>
      <c r="X402" s="74" t="n"/>
      <c r="Y402" s="116">
        <f>IF(B402="","",IF(X402="Yes","Delivered",IF(U402="Yes",IF(AND(W402&lt;&gt;"",R402&lt;&gt;""),IF(W402&gt;R402,"⚠️ Delivery after install date","Ordered"),"Ordered"),IF(K402="",IF(T402="","Waiting for decision",IF(T402&lt;=AsOf+AlertDays,"Decide now","Waiting for decision")),IF(S402="","Selected",IF(AsOf&gt;S402,"⚠️ Order late — install at risk",IF(S402&lt;=AsOf+AlertDays,"Order now","Selected")))))))</f>
        <v/>
      </c>
      <c r="Z402" s="79">
        <f>IF(B402="","",IF(OR(AH402=1,AE402=1),2,IF(OR(AG402=1,AF402=1),1,IF(OR(Y402="Ordered",Y402="Delivered"),0,""))))</f>
        <v/>
      </c>
      <c r="AA402" s="112">
        <f>IF(B402="","",IF(AH402=1,IF(Y402="⚠️ Delivery after install date",R402,S402),IF(AD402=1,T402,IF(AI402=1,S402,""))))</f>
        <v/>
      </c>
      <c r="AB402" s="79">
        <f>IF(AA402="","",IF(AH402=1,1,IF(AA402="","",IF(AA402&lt;AsOf,1,IF(AA402&lt;=AsOf+AlertDays,2,IF(AA402&lt;=AsOf+2*AlertDays,3,""))))))</f>
        <v/>
      </c>
      <c r="AC402" s="79">
        <f>IF(AB402="","",IF(AH402=1,IF(Y402="⚠️ Delivery after install date","Delivery after install date: "&amp;B402,"Order late — install at risk: "&amp;B402),IF(AD402=1,IF(AB402=1,"Decision overdue: ","Decide: ")&amp;B402,"Order: "&amp;B402&amp;IF(N402="",""," from "&amp;N402))))</f>
        <v/>
      </c>
      <c r="AD402" s="79">
        <f>IF(AND(B402&lt;&gt;"",K402="",U402&lt;&gt;"Yes",X402&lt;&gt;"Yes"),1,0)</f>
        <v/>
      </c>
      <c r="AE402" s="79">
        <f>IF(AND(AD402=1,T402&lt;&gt;""),IF(T402&lt;AsOf,1,0),0)</f>
        <v/>
      </c>
      <c r="AF402" s="79">
        <f>IF(AND(AD402=1,T402&lt;&gt;""),IF(AND(T402&gt;=AsOf,T402&lt;=AsOf+AlertDays),1,0),0)</f>
        <v/>
      </c>
      <c r="AG402" s="79">
        <f>IF(Y402="Order now",1,0)</f>
        <v/>
      </c>
      <c r="AH402" s="79">
        <f>IF(OR(Y402="⚠️ Order late — install at risk",Y402="⚠️ Delivery after install date"),1,0)</f>
        <v/>
      </c>
      <c r="AI402" s="79">
        <f>IF(AND(B402&lt;&gt;"",K402&lt;&gt;"",U402&lt;&gt;"Yes",X402&lt;&gt;"Yes"),1,0)</f>
        <v/>
      </c>
      <c r="AJ402" s="79">
        <f>IF(Y402="⚠️ Order late — install at risk",1,0)</f>
        <v/>
      </c>
    </row>
    <row r="403" ht="20" customHeight="1">
      <c r="B403" s="72" t="n"/>
      <c r="C403" s="72" t="n"/>
      <c r="D403" s="72" t="n"/>
      <c r="E403" s="72" t="n"/>
      <c r="F403" s="73" t="n"/>
      <c r="G403" s="72" t="n"/>
      <c r="H403" s="73" t="n"/>
      <c r="I403" s="72" t="n"/>
      <c r="J403" s="73" t="n"/>
      <c r="K403" s="74" t="n"/>
      <c r="L403" s="75">
        <f>IF(K403="A",F403,IF(K403="B",H403,IF(K403="C",J403,"")))</f>
        <v/>
      </c>
      <c r="M403" s="72" t="n"/>
      <c r="N403" s="72" t="n"/>
      <c r="O403" s="89" t="n"/>
      <c r="P403" s="89" t="n"/>
      <c r="Q403" s="109" t="n"/>
      <c r="R403" s="120">
        <f>IF(B403="","",IF(Q403&lt;&gt;"",Q403,IF(P403="","",IFERROR(INDEX('Timeline'!$J$7:$J$1006,MATCH(P403,'Timeline'!$B$7:$B$1006,0)),""))))</f>
        <v/>
      </c>
      <c r="S403" s="126">
        <f>IF(R403="","",R403-IF(O403="",0,O403)-OrderBuf)</f>
        <v/>
      </c>
      <c r="T403" s="126">
        <f>IF(S403="","",S403-DecideBuf)</f>
        <v/>
      </c>
      <c r="U403" s="74" t="n"/>
      <c r="V403" s="109" t="n"/>
      <c r="W403" s="109" t="n"/>
      <c r="X403" s="74" t="n"/>
      <c r="Y403" s="116">
        <f>IF(B403="","",IF(X403="Yes","Delivered",IF(U403="Yes",IF(AND(W403&lt;&gt;"",R403&lt;&gt;""),IF(W403&gt;R403,"⚠️ Delivery after install date","Ordered"),"Ordered"),IF(K403="",IF(T403="","Waiting for decision",IF(T403&lt;=AsOf+AlertDays,"Decide now","Waiting for decision")),IF(S403="","Selected",IF(AsOf&gt;S403,"⚠️ Order late — install at risk",IF(S403&lt;=AsOf+AlertDays,"Order now","Selected")))))))</f>
        <v/>
      </c>
      <c r="Z403" s="79">
        <f>IF(B403="","",IF(OR(AH403=1,AE403=1),2,IF(OR(AG403=1,AF403=1),1,IF(OR(Y403="Ordered",Y403="Delivered"),0,""))))</f>
        <v/>
      </c>
      <c r="AA403" s="112">
        <f>IF(B403="","",IF(AH403=1,IF(Y403="⚠️ Delivery after install date",R403,S403),IF(AD403=1,T403,IF(AI403=1,S403,""))))</f>
        <v/>
      </c>
      <c r="AB403" s="79">
        <f>IF(AA403="","",IF(AH403=1,1,IF(AA403="","",IF(AA403&lt;AsOf,1,IF(AA403&lt;=AsOf+AlertDays,2,IF(AA403&lt;=AsOf+2*AlertDays,3,""))))))</f>
        <v/>
      </c>
      <c r="AC403" s="79">
        <f>IF(AB403="","",IF(AH403=1,IF(Y403="⚠️ Delivery after install date","Delivery after install date: "&amp;B403,"Order late — install at risk: "&amp;B403),IF(AD403=1,IF(AB403=1,"Decision overdue: ","Decide: ")&amp;B403,"Order: "&amp;B403&amp;IF(N403="",""," from "&amp;N403))))</f>
        <v/>
      </c>
      <c r="AD403" s="79">
        <f>IF(AND(B403&lt;&gt;"",K403="",U403&lt;&gt;"Yes",X403&lt;&gt;"Yes"),1,0)</f>
        <v/>
      </c>
      <c r="AE403" s="79">
        <f>IF(AND(AD403=1,T403&lt;&gt;""),IF(T403&lt;AsOf,1,0),0)</f>
        <v/>
      </c>
      <c r="AF403" s="79">
        <f>IF(AND(AD403=1,T403&lt;&gt;""),IF(AND(T403&gt;=AsOf,T403&lt;=AsOf+AlertDays),1,0),0)</f>
        <v/>
      </c>
      <c r="AG403" s="79">
        <f>IF(Y403="Order now",1,0)</f>
        <v/>
      </c>
      <c r="AH403" s="79">
        <f>IF(OR(Y403="⚠️ Order late — install at risk",Y403="⚠️ Delivery after install date"),1,0)</f>
        <v/>
      </c>
      <c r="AI403" s="79">
        <f>IF(AND(B403&lt;&gt;"",K403&lt;&gt;"",U403&lt;&gt;"Yes",X403&lt;&gt;"Yes"),1,0)</f>
        <v/>
      </c>
      <c r="AJ403" s="79">
        <f>IF(Y403="⚠️ Order late — install at risk",1,0)</f>
        <v/>
      </c>
    </row>
    <row r="404" ht="20" customHeight="1">
      <c r="B404" s="72" t="n"/>
      <c r="C404" s="72" t="n"/>
      <c r="D404" s="72" t="n"/>
      <c r="E404" s="72" t="n"/>
      <c r="F404" s="73" t="n"/>
      <c r="G404" s="72" t="n"/>
      <c r="H404" s="73" t="n"/>
      <c r="I404" s="72" t="n"/>
      <c r="J404" s="73" t="n"/>
      <c r="K404" s="74" t="n"/>
      <c r="L404" s="75">
        <f>IF(K404="A",F404,IF(K404="B",H404,IF(K404="C",J404,"")))</f>
        <v/>
      </c>
      <c r="M404" s="72" t="n"/>
      <c r="N404" s="72" t="n"/>
      <c r="O404" s="89" t="n"/>
      <c r="P404" s="89" t="n"/>
      <c r="Q404" s="109" t="n"/>
      <c r="R404" s="120">
        <f>IF(B404="","",IF(Q404&lt;&gt;"",Q404,IF(P404="","",IFERROR(INDEX('Timeline'!$J$7:$J$1006,MATCH(P404,'Timeline'!$B$7:$B$1006,0)),""))))</f>
        <v/>
      </c>
      <c r="S404" s="126">
        <f>IF(R404="","",R404-IF(O404="",0,O404)-OrderBuf)</f>
        <v/>
      </c>
      <c r="T404" s="126">
        <f>IF(S404="","",S404-DecideBuf)</f>
        <v/>
      </c>
      <c r="U404" s="74" t="n"/>
      <c r="V404" s="109" t="n"/>
      <c r="W404" s="109" t="n"/>
      <c r="X404" s="74" t="n"/>
      <c r="Y404" s="116">
        <f>IF(B404="","",IF(X404="Yes","Delivered",IF(U404="Yes",IF(AND(W404&lt;&gt;"",R404&lt;&gt;""),IF(W404&gt;R404,"⚠️ Delivery after install date","Ordered"),"Ordered"),IF(K404="",IF(T404="","Waiting for decision",IF(T404&lt;=AsOf+AlertDays,"Decide now","Waiting for decision")),IF(S404="","Selected",IF(AsOf&gt;S404,"⚠️ Order late — install at risk",IF(S404&lt;=AsOf+AlertDays,"Order now","Selected")))))))</f>
        <v/>
      </c>
      <c r="Z404" s="79">
        <f>IF(B404="","",IF(OR(AH404=1,AE404=1),2,IF(OR(AG404=1,AF404=1),1,IF(OR(Y404="Ordered",Y404="Delivered"),0,""))))</f>
        <v/>
      </c>
      <c r="AA404" s="112">
        <f>IF(B404="","",IF(AH404=1,IF(Y404="⚠️ Delivery after install date",R404,S404),IF(AD404=1,T404,IF(AI404=1,S404,""))))</f>
        <v/>
      </c>
      <c r="AB404" s="79">
        <f>IF(AA404="","",IF(AH404=1,1,IF(AA404="","",IF(AA404&lt;AsOf,1,IF(AA404&lt;=AsOf+AlertDays,2,IF(AA404&lt;=AsOf+2*AlertDays,3,""))))))</f>
        <v/>
      </c>
      <c r="AC404" s="79">
        <f>IF(AB404="","",IF(AH404=1,IF(Y404="⚠️ Delivery after install date","Delivery after install date: "&amp;B404,"Order late — install at risk: "&amp;B404),IF(AD404=1,IF(AB404=1,"Decision overdue: ","Decide: ")&amp;B404,"Order: "&amp;B404&amp;IF(N404="",""," from "&amp;N404))))</f>
        <v/>
      </c>
      <c r="AD404" s="79">
        <f>IF(AND(B404&lt;&gt;"",K404="",U404&lt;&gt;"Yes",X404&lt;&gt;"Yes"),1,0)</f>
        <v/>
      </c>
      <c r="AE404" s="79">
        <f>IF(AND(AD404=1,T404&lt;&gt;""),IF(T404&lt;AsOf,1,0),0)</f>
        <v/>
      </c>
      <c r="AF404" s="79">
        <f>IF(AND(AD404=1,T404&lt;&gt;""),IF(AND(T404&gt;=AsOf,T404&lt;=AsOf+AlertDays),1,0),0)</f>
        <v/>
      </c>
      <c r="AG404" s="79">
        <f>IF(Y404="Order now",1,0)</f>
        <v/>
      </c>
      <c r="AH404" s="79">
        <f>IF(OR(Y404="⚠️ Order late — install at risk",Y404="⚠️ Delivery after install date"),1,0)</f>
        <v/>
      </c>
      <c r="AI404" s="79">
        <f>IF(AND(B404&lt;&gt;"",K404&lt;&gt;"",U404&lt;&gt;"Yes",X404&lt;&gt;"Yes"),1,0)</f>
        <v/>
      </c>
      <c r="AJ404" s="79">
        <f>IF(Y404="⚠️ Order late — install at risk",1,0)</f>
        <v/>
      </c>
    </row>
    <row r="405" ht="20" customHeight="1">
      <c r="B405" s="72" t="n"/>
      <c r="C405" s="72" t="n"/>
      <c r="D405" s="72" t="n"/>
      <c r="E405" s="72" t="n"/>
      <c r="F405" s="73" t="n"/>
      <c r="G405" s="72" t="n"/>
      <c r="H405" s="73" t="n"/>
      <c r="I405" s="72" t="n"/>
      <c r="J405" s="73" t="n"/>
      <c r="K405" s="74" t="n"/>
      <c r="L405" s="75">
        <f>IF(K405="A",F405,IF(K405="B",H405,IF(K405="C",J405,"")))</f>
        <v/>
      </c>
      <c r="M405" s="72" t="n"/>
      <c r="N405" s="72" t="n"/>
      <c r="O405" s="89" t="n"/>
      <c r="P405" s="89" t="n"/>
      <c r="Q405" s="109" t="n"/>
      <c r="R405" s="120">
        <f>IF(B405="","",IF(Q405&lt;&gt;"",Q405,IF(P405="","",IFERROR(INDEX('Timeline'!$J$7:$J$1006,MATCH(P405,'Timeline'!$B$7:$B$1006,0)),""))))</f>
        <v/>
      </c>
      <c r="S405" s="126">
        <f>IF(R405="","",R405-IF(O405="",0,O405)-OrderBuf)</f>
        <v/>
      </c>
      <c r="T405" s="126">
        <f>IF(S405="","",S405-DecideBuf)</f>
        <v/>
      </c>
      <c r="U405" s="74" t="n"/>
      <c r="V405" s="109" t="n"/>
      <c r="W405" s="109" t="n"/>
      <c r="X405" s="74" t="n"/>
      <c r="Y405" s="116">
        <f>IF(B405="","",IF(X405="Yes","Delivered",IF(U405="Yes",IF(AND(W405&lt;&gt;"",R405&lt;&gt;""),IF(W405&gt;R405,"⚠️ Delivery after install date","Ordered"),"Ordered"),IF(K405="",IF(T405="","Waiting for decision",IF(T405&lt;=AsOf+AlertDays,"Decide now","Waiting for decision")),IF(S405="","Selected",IF(AsOf&gt;S405,"⚠️ Order late — install at risk",IF(S405&lt;=AsOf+AlertDays,"Order now","Selected")))))))</f>
        <v/>
      </c>
      <c r="Z405" s="79">
        <f>IF(B405="","",IF(OR(AH405=1,AE405=1),2,IF(OR(AG405=1,AF405=1),1,IF(OR(Y405="Ordered",Y405="Delivered"),0,""))))</f>
        <v/>
      </c>
      <c r="AA405" s="112">
        <f>IF(B405="","",IF(AH405=1,IF(Y405="⚠️ Delivery after install date",R405,S405),IF(AD405=1,T405,IF(AI405=1,S405,""))))</f>
        <v/>
      </c>
      <c r="AB405" s="79">
        <f>IF(AA405="","",IF(AH405=1,1,IF(AA405="","",IF(AA405&lt;AsOf,1,IF(AA405&lt;=AsOf+AlertDays,2,IF(AA405&lt;=AsOf+2*AlertDays,3,""))))))</f>
        <v/>
      </c>
      <c r="AC405" s="79">
        <f>IF(AB405="","",IF(AH405=1,IF(Y405="⚠️ Delivery after install date","Delivery after install date: "&amp;B405,"Order late — install at risk: "&amp;B405),IF(AD405=1,IF(AB405=1,"Decision overdue: ","Decide: ")&amp;B405,"Order: "&amp;B405&amp;IF(N405="",""," from "&amp;N405))))</f>
        <v/>
      </c>
      <c r="AD405" s="79">
        <f>IF(AND(B405&lt;&gt;"",K405="",U405&lt;&gt;"Yes",X405&lt;&gt;"Yes"),1,0)</f>
        <v/>
      </c>
      <c r="AE405" s="79">
        <f>IF(AND(AD405=1,T405&lt;&gt;""),IF(T405&lt;AsOf,1,0),0)</f>
        <v/>
      </c>
      <c r="AF405" s="79">
        <f>IF(AND(AD405=1,T405&lt;&gt;""),IF(AND(T405&gt;=AsOf,T405&lt;=AsOf+AlertDays),1,0),0)</f>
        <v/>
      </c>
      <c r="AG405" s="79">
        <f>IF(Y405="Order now",1,0)</f>
        <v/>
      </c>
      <c r="AH405" s="79">
        <f>IF(OR(Y405="⚠️ Order late — install at risk",Y405="⚠️ Delivery after install date"),1,0)</f>
        <v/>
      </c>
      <c r="AI405" s="79">
        <f>IF(AND(B405&lt;&gt;"",K405&lt;&gt;"",U405&lt;&gt;"Yes",X405&lt;&gt;"Yes"),1,0)</f>
        <v/>
      </c>
      <c r="AJ405" s="79">
        <f>IF(Y405="⚠️ Order late — install at risk",1,0)</f>
        <v/>
      </c>
    </row>
    <row r="406" ht="20" customHeight="1">
      <c r="B406" s="72" t="n"/>
      <c r="C406" s="72" t="n"/>
      <c r="D406" s="72" t="n"/>
      <c r="E406" s="72" t="n"/>
      <c r="F406" s="73" t="n"/>
      <c r="G406" s="72" t="n"/>
      <c r="H406" s="73" t="n"/>
      <c r="I406" s="72" t="n"/>
      <c r="J406" s="73" t="n"/>
      <c r="K406" s="74" t="n"/>
      <c r="L406" s="75">
        <f>IF(K406="A",F406,IF(K406="B",H406,IF(K406="C",J406,"")))</f>
        <v/>
      </c>
      <c r="M406" s="72" t="n"/>
      <c r="N406" s="72" t="n"/>
      <c r="O406" s="89" t="n"/>
      <c r="P406" s="89" t="n"/>
      <c r="Q406" s="109" t="n"/>
      <c r="R406" s="120">
        <f>IF(B406="","",IF(Q406&lt;&gt;"",Q406,IF(P406="","",IFERROR(INDEX('Timeline'!$J$7:$J$1006,MATCH(P406,'Timeline'!$B$7:$B$1006,0)),""))))</f>
        <v/>
      </c>
      <c r="S406" s="126">
        <f>IF(R406="","",R406-IF(O406="",0,O406)-OrderBuf)</f>
        <v/>
      </c>
      <c r="T406" s="126">
        <f>IF(S406="","",S406-DecideBuf)</f>
        <v/>
      </c>
      <c r="U406" s="74" t="n"/>
      <c r="V406" s="109" t="n"/>
      <c r="W406" s="109" t="n"/>
      <c r="X406" s="74" t="n"/>
      <c r="Y406" s="116">
        <f>IF(B406="","",IF(X406="Yes","Delivered",IF(U406="Yes",IF(AND(W406&lt;&gt;"",R406&lt;&gt;""),IF(W406&gt;R406,"⚠️ Delivery after install date","Ordered"),"Ordered"),IF(K406="",IF(T406="","Waiting for decision",IF(T406&lt;=AsOf+AlertDays,"Decide now","Waiting for decision")),IF(S406="","Selected",IF(AsOf&gt;S406,"⚠️ Order late — install at risk",IF(S406&lt;=AsOf+AlertDays,"Order now","Selected")))))))</f>
        <v/>
      </c>
      <c r="Z406" s="79">
        <f>IF(B406="","",IF(OR(AH406=1,AE406=1),2,IF(OR(AG406=1,AF406=1),1,IF(OR(Y406="Ordered",Y406="Delivered"),0,""))))</f>
        <v/>
      </c>
      <c r="AA406" s="112">
        <f>IF(B406="","",IF(AH406=1,IF(Y406="⚠️ Delivery after install date",R406,S406),IF(AD406=1,T406,IF(AI406=1,S406,""))))</f>
        <v/>
      </c>
      <c r="AB406" s="79">
        <f>IF(AA406="","",IF(AH406=1,1,IF(AA406="","",IF(AA406&lt;AsOf,1,IF(AA406&lt;=AsOf+AlertDays,2,IF(AA406&lt;=AsOf+2*AlertDays,3,""))))))</f>
        <v/>
      </c>
      <c r="AC406" s="79">
        <f>IF(AB406="","",IF(AH406=1,IF(Y406="⚠️ Delivery after install date","Delivery after install date: "&amp;B406,"Order late — install at risk: "&amp;B406),IF(AD406=1,IF(AB406=1,"Decision overdue: ","Decide: ")&amp;B406,"Order: "&amp;B406&amp;IF(N406="",""," from "&amp;N406))))</f>
        <v/>
      </c>
      <c r="AD406" s="79">
        <f>IF(AND(B406&lt;&gt;"",K406="",U406&lt;&gt;"Yes",X406&lt;&gt;"Yes"),1,0)</f>
        <v/>
      </c>
      <c r="AE406" s="79">
        <f>IF(AND(AD406=1,T406&lt;&gt;""),IF(T406&lt;AsOf,1,0),0)</f>
        <v/>
      </c>
      <c r="AF406" s="79">
        <f>IF(AND(AD406=1,T406&lt;&gt;""),IF(AND(T406&gt;=AsOf,T406&lt;=AsOf+AlertDays),1,0),0)</f>
        <v/>
      </c>
      <c r="AG406" s="79">
        <f>IF(Y406="Order now",1,0)</f>
        <v/>
      </c>
      <c r="AH406" s="79">
        <f>IF(OR(Y406="⚠️ Order late — install at risk",Y406="⚠️ Delivery after install date"),1,0)</f>
        <v/>
      </c>
      <c r="AI406" s="79">
        <f>IF(AND(B406&lt;&gt;"",K406&lt;&gt;"",U406&lt;&gt;"Yes",X406&lt;&gt;"Yes"),1,0)</f>
        <v/>
      </c>
      <c r="AJ406" s="79">
        <f>IF(Y406="⚠️ Order late — install at risk",1,0)</f>
        <v/>
      </c>
    </row>
    <row r="407" ht="20" customHeight="1">
      <c r="B407" s="72" t="n"/>
      <c r="C407" s="72" t="n"/>
      <c r="D407" s="72" t="n"/>
      <c r="E407" s="72" t="n"/>
      <c r="F407" s="73" t="n"/>
      <c r="G407" s="72" t="n"/>
      <c r="H407" s="73" t="n"/>
      <c r="I407" s="72" t="n"/>
      <c r="J407" s="73" t="n"/>
      <c r="K407" s="74" t="n"/>
      <c r="L407" s="75">
        <f>IF(K407="A",F407,IF(K407="B",H407,IF(K407="C",J407,"")))</f>
        <v/>
      </c>
      <c r="M407" s="72" t="n"/>
      <c r="N407" s="72" t="n"/>
      <c r="O407" s="89" t="n"/>
      <c r="P407" s="89" t="n"/>
      <c r="Q407" s="109" t="n"/>
      <c r="R407" s="120">
        <f>IF(B407="","",IF(Q407&lt;&gt;"",Q407,IF(P407="","",IFERROR(INDEX('Timeline'!$J$7:$J$1006,MATCH(P407,'Timeline'!$B$7:$B$1006,0)),""))))</f>
        <v/>
      </c>
      <c r="S407" s="126">
        <f>IF(R407="","",R407-IF(O407="",0,O407)-OrderBuf)</f>
        <v/>
      </c>
      <c r="T407" s="126">
        <f>IF(S407="","",S407-DecideBuf)</f>
        <v/>
      </c>
      <c r="U407" s="74" t="n"/>
      <c r="V407" s="109" t="n"/>
      <c r="W407" s="109" t="n"/>
      <c r="X407" s="74" t="n"/>
      <c r="Y407" s="116">
        <f>IF(B407="","",IF(X407="Yes","Delivered",IF(U407="Yes",IF(AND(W407&lt;&gt;"",R407&lt;&gt;""),IF(W407&gt;R407,"⚠️ Delivery after install date","Ordered"),"Ordered"),IF(K407="",IF(T407="","Waiting for decision",IF(T407&lt;=AsOf+AlertDays,"Decide now","Waiting for decision")),IF(S407="","Selected",IF(AsOf&gt;S407,"⚠️ Order late — install at risk",IF(S407&lt;=AsOf+AlertDays,"Order now","Selected")))))))</f>
        <v/>
      </c>
      <c r="Z407" s="79">
        <f>IF(B407="","",IF(OR(AH407=1,AE407=1),2,IF(OR(AG407=1,AF407=1),1,IF(OR(Y407="Ordered",Y407="Delivered"),0,""))))</f>
        <v/>
      </c>
      <c r="AA407" s="112">
        <f>IF(B407="","",IF(AH407=1,IF(Y407="⚠️ Delivery after install date",R407,S407),IF(AD407=1,T407,IF(AI407=1,S407,""))))</f>
        <v/>
      </c>
      <c r="AB407" s="79">
        <f>IF(AA407="","",IF(AH407=1,1,IF(AA407="","",IF(AA407&lt;AsOf,1,IF(AA407&lt;=AsOf+AlertDays,2,IF(AA407&lt;=AsOf+2*AlertDays,3,""))))))</f>
        <v/>
      </c>
      <c r="AC407" s="79">
        <f>IF(AB407="","",IF(AH407=1,IF(Y407="⚠️ Delivery after install date","Delivery after install date: "&amp;B407,"Order late — install at risk: "&amp;B407),IF(AD407=1,IF(AB407=1,"Decision overdue: ","Decide: ")&amp;B407,"Order: "&amp;B407&amp;IF(N407="",""," from "&amp;N407))))</f>
        <v/>
      </c>
      <c r="AD407" s="79">
        <f>IF(AND(B407&lt;&gt;"",K407="",U407&lt;&gt;"Yes",X407&lt;&gt;"Yes"),1,0)</f>
        <v/>
      </c>
      <c r="AE407" s="79">
        <f>IF(AND(AD407=1,T407&lt;&gt;""),IF(T407&lt;AsOf,1,0),0)</f>
        <v/>
      </c>
      <c r="AF407" s="79">
        <f>IF(AND(AD407=1,T407&lt;&gt;""),IF(AND(T407&gt;=AsOf,T407&lt;=AsOf+AlertDays),1,0),0)</f>
        <v/>
      </c>
      <c r="AG407" s="79">
        <f>IF(Y407="Order now",1,0)</f>
        <v/>
      </c>
      <c r="AH407" s="79">
        <f>IF(OR(Y407="⚠️ Order late — install at risk",Y407="⚠️ Delivery after install date"),1,0)</f>
        <v/>
      </c>
      <c r="AI407" s="79">
        <f>IF(AND(B407&lt;&gt;"",K407&lt;&gt;"",U407&lt;&gt;"Yes",X407&lt;&gt;"Yes"),1,0)</f>
        <v/>
      </c>
      <c r="AJ407" s="79">
        <f>IF(Y407="⚠️ Order late — install at risk",1,0)</f>
        <v/>
      </c>
    </row>
    <row r="408" ht="20" customHeight="1">
      <c r="B408" s="72" t="n"/>
      <c r="C408" s="72" t="n"/>
      <c r="D408" s="72" t="n"/>
      <c r="E408" s="72" t="n"/>
      <c r="F408" s="73" t="n"/>
      <c r="G408" s="72" t="n"/>
      <c r="H408" s="73" t="n"/>
      <c r="I408" s="72" t="n"/>
      <c r="J408" s="73" t="n"/>
      <c r="K408" s="74" t="n"/>
      <c r="L408" s="75">
        <f>IF(K408="A",F408,IF(K408="B",H408,IF(K408="C",J408,"")))</f>
        <v/>
      </c>
      <c r="M408" s="72" t="n"/>
      <c r="N408" s="72" t="n"/>
      <c r="O408" s="89" t="n"/>
      <c r="P408" s="89" t="n"/>
      <c r="Q408" s="109" t="n"/>
      <c r="R408" s="120">
        <f>IF(B408="","",IF(Q408&lt;&gt;"",Q408,IF(P408="","",IFERROR(INDEX('Timeline'!$J$7:$J$1006,MATCH(P408,'Timeline'!$B$7:$B$1006,0)),""))))</f>
        <v/>
      </c>
      <c r="S408" s="126">
        <f>IF(R408="","",R408-IF(O408="",0,O408)-OrderBuf)</f>
        <v/>
      </c>
      <c r="T408" s="126">
        <f>IF(S408="","",S408-DecideBuf)</f>
        <v/>
      </c>
      <c r="U408" s="74" t="n"/>
      <c r="V408" s="109" t="n"/>
      <c r="W408" s="109" t="n"/>
      <c r="X408" s="74" t="n"/>
      <c r="Y408" s="116">
        <f>IF(B408="","",IF(X408="Yes","Delivered",IF(U408="Yes",IF(AND(W408&lt;&gt;"",R408&lt;&gt;""),IF(W408&gt;R408,"⚠️ Delivery after install date","Ordered"),"Ordered"),IF(K408="",IF(T408="","Waiting for decision",IF(T408&lt;=AsOf+AlertDays,"Decide now","Waiting for decision")),IF(S408="","Selected",IF(AsOf&gt;S408,"⚠️ Order late — install at risk",IF(S408&lt;=AsOf+AlertDays,"Order now","Selected")))))))</f>
        <v/>
      </c>
      <c r="Z408" s="79">
        <f>IF(B408="","",IF(OR(AH408=1,AE408=1),2,IF(OR(AG408=1,AF408=1),1,IF(OR(Y408="Ordered",Y408="Delivered"),0,""))))</f>
        <v/>
      </c>
      <c r="AA408" s="112">
        <f>IF(B408="","",IF(AH408=1,IF(Y408="⚠️ Delivery after install date",R408,S408),IF(AD408=1,T408,IF(AI408=1,S408,""))))</f>
        <v/>
      </c>
      <c r="AB408" s="79">
        <f>IF(AA408="","",IF(AH408=1,1,IF(AA408="","",IF(AA408&lt;AsOf,1,IF(AA408&lt;=AsOf+AlertDays,2,IF(AA408&lt;=AsOf+2*AlertDays,3,""))))))</f>
        <v/>
      </c>
      <c r="AC408" s="79">
        <f>IF(AB408="","",IF(AH408=1,IF(Y408="⚠️ Delivery after install date","Delivery after install date: "&amp;B408,"Order late — install at risk: "&amp;B408),IF(AD408=1,IF(AB408=1,"Decision overdue: ","Decide: ")&amp;B408,"Order: "&amp;B408&amp;IF(N408="",""," from "&amp;N408))))</f>
        <v/>
      </c>
      <c r="AD408" s="79">
        <f>IF(AND(B408&lt;&gt;"",K408="",U408&lt;&gt;"Yes",X408&lt;&gt;"Yes"),1,0)</f>
        <v/>
      </c>
      <c r="AE408" s="79">
        <f>IF(AND(AD408=1,T408&lt;&gt;""),IF(T408&lt;AsOf,1,0),0)</f>
        <v/>
      </c>
      <c r="AF408" s="79">
        <f>IF(AND(AD408=1,T408&lt;&gt;""),IF(AND(T408&gt;=AsOf,T408&lt;=AsOf+AlertDays),1,0),0)</f>
        <v/>
      </c>
      <c r="AG408" s="79">
        <f>IF(Y408="Order now",1,0)</f>
        <v/>
      </c>
      <c r="AH408" s="79">
        <f>IF(OR(Y408="⚠️ Order late — install at risk",Y408="⚠️ Delivery after install date"),1,0)</f>
        <v/>
      </c>
      <c r="AI408" s="79">
        <f>IF(AND(B408&lt;&gt;"",K408&lt;&gt;"",U408&lt;&gt;"Yes",X408&lt;&gt;"Yes"),1,0)</f>
        <v/>
      </c>
      <c r="AJ408" s="79">
        <f>IF(Y408="⚠️ Order late — install at risk",1,0)</f>
        <v/>
      </c>
    </row>
    <row r="409" ht="20" customHeight="1">
      <c r="B409" s="72" t="n"/>
      <c r="C409" s="72" t="n"/>
      <c r="D409" s="72" t="n"/>
      <c r="E409" s="72" t="n"/>
      <c r="F409" s="73" t="n"/>
      <c r="G409" s="72" t="n"/>
      <c r="H409" s="73" t="n"/>
      <c r="I409" s="72" t="n"/>
      <c r="J409" s="73" t="n"/>
      <c r="K409" s="74" t="n"/>
      <c r="L409" s="75">
        <f>IF(K409="A",F409,IF(K409="B",H409,IF(K409="C",J409,"")))</f>
        <v/>
      </c>
      <c r="M409" s="72" t="n"/>
      <c r="N409" s="72" t="n"/>
      <c r="O409" s="89" t="n"/>
      <c r="P409" s="89" t="n"/>
      <c r="Q409" s="109" t="n"/>
      <c r="R409" s="120">
        <f>IF(B409="","",IF(Q409&lt;&gt;"",Q409,IF(P409="","",IFERROR(INDEX('Timeline'!$J$7:$J$1006,MATCH(P409,'Timeline'!$B$7:$B$1006,0)),""))))</f>
        <v/>
      </c>
      <c r="S409" s="126">
        <f>IF(R409="","",R409-IF(O409="",0,O409)-OrderBuf)</f>
        <v/>
      </c>
      <c r="T409" s="126">
        <f>IF(S409="","",S409-DecideBuf)</f>
        <v/>
      </c>
      <c r="U409" s="74" t="n"/>
      <c r="V409" s="109" t="n"/>
      <c r="W409" s="109" t="n"/>
      <c r="X409" s="74" t="n"/>
      <c r="Y409" s="116">
        <f>IF(B409="","",IF(X409="Yes","Delivered",IF(U409="Yes",IF(AND(W409&lt;&gt;"",R409&lt;&gt;""),IF(W409&gt;R409,"⚠️ Delivery after install date","Ordered"),"Ordered"),IF(K409="",IF(T409="","Waiting for decision",IF(T409&lt;=AsOf+AlertDays,"Decide now","Waiting for decision")),IF(S409="","Selected",IF(AsOf&gt;S409,"⚠️ Order late — install at risk",IF(S409&lt;=AsOf+AlertDays,"Order now","Selected")))))))</f>
        <v/>
      </c>
      <c r="Z409" s="79">
        <f>IF(B409="","",IF(OR(AH409=1,AE409=1),2,IF(OR(AG409=1,AF409=1),1,IF(OR(Y409="Ordered",Y409="Delivered"),0,""))))</f>
        <v/>
      </c>
      <c r="AA409" s="112">
        <f>IF(B409="","",IF(AH409=1,IF(Y409="⚠️ Delivery after install date",R409,S409),IF(AD409=1,T409,IF(AI409=1,S409,""))))</f>
        <v/>
      </c>
      <c r="AB409" s="79">
        <f>IF(AA409="","",IF(AH409=1,1,IF(AA409="","",IF(AA409&lt;AsOf,1,IF(AA409&lt;=AsOf+AlertDays,2,IF(AA409&lt;=AsOf+2*AlertDays,3,""))))))</f>
        <v/>
      </c>
      <c r="AC409" s="79">
        <f>IF(AB409="","",IF(AH409=1,IF(Y409="⚠️ Delivery after install date","Delivery after install date: "&amp;B409,"Order late — install at risk: "&amp;B409),IF(AD409=1,IF(AB409=1,"Decision overdue: ","Decide: ")&amp;B409,"Order: "&amp;B409&amp;IF(N409="",""," from "&amp;N409))))</f>
        <v/>
      </c>
      <c r="AD409" s="79">
        <f>IF(AND(B409&lt;&gt;"",K409="",U409&lt;&gt;"Yes",X409&lt;&gt;"Yes"),1,0)</f>
        <v/>
      </c>
      <c r="AE409" s="79">
        <f>IF(AND(AD409=1,T409&lt;&gt;""),IF(T409&lt;AsOf,1,0),0)</f>
        <v/>
      </c>
      <c r="AF409" s="79">
        <f>IF(AND(AD409=1,T409&lt;&gt;""),IF(AND(T409&gt;=AsOf,T409&lt;=AsOf+AlertDays),1,0),0)</f>
        <v/>
      </c>
      <c r="AG409" s="79">
        <f>IF(Y409="Order now",1,0)</f>
        <v/>
      </c>
      <c r="AH409" s="79">
        <f>IF(OR(Y409="⚠️ Order late — install at risk",Y409="⚠️ Delivery after install date"),1,0)</f>
        <v/>
      </c>
      <c r="AI409" s="79">
        <f>IF(AND(B409&lt;&gt;"",K409&lt;&gt;"",U409&lt;&gt;"Yes",X409&lt;&gt;"Yes"),1,0)</f>
        <v/>
      </c>
      <c r="AJ409" s="79">
        <f>IF(Y409="⚠️ Order late — install at risk",1,0)</f>
        <v/>
      </c>
    </row>
    <row r="410" ht="20" customHeight="1">
      <c r="B410" s="72" t="n"/>
      <c r="C410" s="72" t="n"/>
      <c r="D410" s="72" t="n"/>
      <c r="E410" s="72" t="n"/>
      <c r="F410" s="73" t="n"/>
      <c r="G410" s="72" t="n"/>
      <c r="H410" s="73" t="n"/>
      <c r="I410" s="72" t="n"/>
      <c r="J410" s="73" t="n"/>
      <c r="K410" s="74" t="n"/>
      <c r="L410" s="75">
        <f>IF(K410="A",F410,IF(K410="B",H410,IF(K410="C",J410,"")))</f>
        <v/>
      </c>
      <c r="M410" s="72" t="n"/>
      <c r="N410" s="72" t="n"/>
      <c r="O410" s="89" t="n"/>
      <c r="P410" s="89" t="n"/>
      <c r="Q410" s="109" t="n"/>
      <c r="R410" s="120">
        <f>IF(B410="","",IF(Q410&lt;&gt;"",Q410,IF(P410="","",IFERROR(INDEX('Timeline'!$J$7:$J$1006,MATCH(P410,'Timeline'!$B$7:$B$1006,0)),""))))</f>
        <v/>
      </c>
      <c r="S410" s="126">
        <f>IF(R410="","",R410-IF(O410="",0,O410)-OrderBuf)</f>
        <v/>
      </c>
      <c r="T410" s="126">
        <f>IF(S410="","",S410-DecideBuf)</f>
        <v/>
      </c>
      <c r="U410" s="74" t="n"/>
      <c r="V410" s="109" t="n"/>
      <c r="W410" s="109" t="n"/>
      <c r="X410" s="74" t="n"/>
      <c r="Y410" s="116">
        <f>IF(B410="","",IF(X410="Yes","Delivered",IF(U410="Yes",IF(AND(W410&lt;&gt;"",R410&lt;&gt;""),IF(W410&gt;R410,"⚠️ Delivery after install date","Ordered"),"Ordered"),IF(K410="",IF(T410="","Waiting for decision",IF(T410&lt;=AsOf+AlertDays,"Decide now","Waiting for decision")),IF(S410="","Selected",IF(AsOf&gt;S410,"⚠️ Order late — install at risk",IF(S410&lt;=AsOf+AlertDays,"Order now","Selected")))))))</f>
        <v/>
      </c>
      <c r="Z410" s="79">
        <f>IF(B410="","",IF(OR(AH410=1,AE410=1),2,IF(OR(AG410=1,AF410=1),1,IF(OR(Y410="Ordered",Y410="Delivered"),0,""))))</f>
        <v/>
      </c>
      <c r="AA410" s="112">
        <f>IF(B410="","",IF(AH410=1,IF(Y410="⚠️ Delivery after install date",R410,S410),IF(AD410=1,T410,IF(AI410=1,S410,""))))</f>
        <v/>
      </c>
      <c r="AB410" s="79">
        <f>IF(AA410="","",IF(AH410=1,1,IF(AA410="","",IF(AA410&lt;AsOf,1,IF(AA410&lt;=AsOf+AlertDays,2,IF(AA410&lt;=AsOf+2*AlertDays,3,""))))))</f>
        <v/>
      </c>
      <c r="AC410" s="79">
        <f>IF(AB410="","",IF(AH410=1,IF(Y410="⚠️ Delivery after install date","Delivery after install date: "&amp;B410,"Order late — install at risk: "&amp;B410),IF(AD410=1,IF(AB410=1,"Decision overdue: ","Decide: ")&amp;B410,"Order: "&amp;B410&amp;IF(N410="",""," from "&amp;N410))))</f>
        <v/>
      </c>
      <c r="AD410" s="79">
        <f>IF(AND(B410&lt;&gt;"",K410="",U410&lt;&gt;"Yes",X410&lt;&gt;"Yes"),1,0)</f>
        <v/>
      </c>
      <c r="AE410" s="79">
        <f>IF(AND(AD410=1,T410&lt;&gt;""),IF(T410&lt;AsOf,1,0),0)</f>
        <v/>
      </c>
      <c r="AF410" s="79">
        <f>IF(AND(AD410=1,T410&lt;&gt;""),IF(AND(T410&gt;=AsOf,T410&lt;=AsOf+AlertDays),1,0),0)</f>
        <v/>
      </c>
      <c r="AG410" s="79">
        <f>IF(Y410="Order now",1,0)</f>
        <v/>
      </c>
      <c r="AH410" s="79">
        <f>IF(OR(Y410="⚠️ Order late — install at risk",Y410="⚠️ Delivery after install date"),1,0)</f>
        <v/>
      </c>
      <c r="AI410" s="79">
        <f>IF(AND(B410&lt;&gt;"",K410&lt;&gt;"",U410&lt;&gt;"Yes",X410&lt;&gt;"Yes"),1,0)</f>
        <v/>
      </c>
      <c r="AJ410" s="79">
        <f>IF(Y410="⚠️ Order late — install at risk",1,0)</f>
        <v/>
      </c>
    </row>
    <row r="411" ht="20" customHeight="1">
      <c r="B411" s="72" t="n"/>
      <c r="C411" s="72" t="n"/>
      <c r="D411" s="72" t="n"/>
      <c r="E411" s="72" t="n"/>
      <c r="F411" s="73" t="n"/>
      <c r="G411" s="72" t="n"/>
      <c r="H411" s="73" t="n"/>
      <c r="I411" s="72" t="n"/>
      <c r="J411" s="73" t="n"/>
      <c r="K411" s="74" t="n"/>
      <c r="L411" s="75">
        <f>IF(K411="A",F411,IF(K411="B",H411,IF(K411="C",J411,"")))</f>
        <v/>
      </c>
      <c r="M411" s="72" t="n"/>
      <c r="N411" s="72" t="n"/>
      <c r="O411" s="89" t="n"/>
      <c r="P411" s="89" t="n"/>
      <c r="Q411" s="109" t="n"/>
      <c r="R411" s="120">
        <f>IF(B411="","",IF(Q411&lt;&gt;"",Q411,IF(P411="","",IFERROR(INDEX('Timeline'!$J$7:$J$1006,MATCH(P411,'Timeline'!$B$7:$B$1006,0)),""))))</f>
        <v/>
      </c>
      <c r="S411" s="126">
        <f>IF(R411="","",R411-IF(O411="",0,O411)-OrderBuf)</f>
        <v/>
      </c>
      <c r="T411" s="126">
        <f>IF(S411="","",S411-DecideBuf)</f>
        <v/>
      </c>
      <c r="U411" s="74" t="n"/>
      <c r="V411" s="109" t="n"/>
      <c r="W411" s="109" t="n"/>
      <c r="X411" s="74" t="n"/>
      <c r="Y411" s="116">
        <f>IF(B411="","",IF(X411="Yes","Delivered",IF(U411="Yes",IF(AND(W411&lt;&gt;"",R411&lt;&gt;""),IF(W411&gt;R411,"⚠️ Delivery after install date","Ordered"),"Ordered"),IF(K411="",IF(T411="","Waiting for decision",IF(T411&lt;=AsOf+AlertDays,"Decide now","Waiting for decision")),IF(S411="","Selected",IF(AsOf&gt;S411,"⚠️ Order late — install at risk",IF(S411&lt;=AsOf+AlertDays,"Order now","Selected")))))))</f>
        <v/>
      </c>
      <c r="Z411" s="79">
        <f>IF(B411="","",IF(OR(AH411=1,AE411=1),2,IF(OR(AG411=1,AF411=1),1,IF(OR(Y411="Ordered",Y411="Delivered"),0,""))))</f>
        <v/>
      </c>
      <c r="AA411" s="112">
        <f>IF(B411="","",IF(AH411=1,IF(Y411="⚠️ Delivery after install date",R411,S411),IF(AD411=1,T411,IF(AI411=1,S411,""))))</f>
        <v/>
      </c>
      <c r="AB411" s="79">
        <f>IF(AA411="","",IF(AH411=1,1,IF(AA411="","",IF(AA411&lt;AsOf,1,IF(AA411&lt;=AsOf+AlertDays,2,IF(AA411&lt;=AsOf+2*AlertDays,3,""))))))</f>
        <v/>
      </c>
      <c r="AC411" s="79">
        <f>IF(AB411="","",IF(AH411=1,IF(Y411="⚠️ Delivery after install date","Delivery after install date: "&amp;B411,"Order late — install at risk: "&amp;B411),IF(AD411=1,IF(AB411=1,"Decision overdue: ","Decide: ")&amp;B411,"Order: "&amp;B411&amp;IF(N411="",""," from "&amp;N411))))</f>
        <v/>
      </c>
      <c r="AD411" s="79">
        <f>IF(AND(B411&lt;&gt;"",K411="",U411&lt;&gt;"Yes",X411&lt;&gt;"Yes"),1,0)</f>
        <v/>
      </c>
      <c r="AE411" s="79">
        <f>IF(AND(AD411=1,T411&lt;&gt;""),IF(T411&lt;AsOf,1,0),0)</f>
        <v/>
      </c>
      <c r="AF411" s="79">
        <f>IF(AND(AD411=1,T411&lt;&gt;""),IF(AND(T411&gt;=AsOf,T411&lt;=AsOf+AlertDays),1,0),0)</f>
        <v/>
      </c>
      <c r="AG411" s="79">
        <f>IF(Y411="Order now",1,0)</f>
        <v/>
      </c>
      <c r="AH411" s="79">
        <f>IF(OR(Y411="⚠️ Order late — install at risk",Y411="⚠️ Delivery after install date"),1,0)</f>
        <v/>
      </c>
      <c r="AI411" s="79">
        <f>IF(AND(B411&lt;&gt;"",K411&lt;&gt;"",U411&lt;&gt;"Yes",X411&lt;&gt;"Yes"),1,0)</f>
        <v/>
      </c>
      <c r="AJ411" s="79">
        <f>IF(Y411="⚠️ Order late — install at risk",1,0)</f>
        <v/>
      </c>
    </row>
    <row r="412" ht="20" customHeight="1">
      <c r="B412" s="72" t="n"/>
      <c r="C412" s="72" t="n"/>
      <c r="D412" s="72" t="n"/>
      <c r="E412" s="72" t="n"/>
      <c r="F412" s="73" t="n"/>
      <c r="G412" s="72" t="n"/>
      <c r="H412" s="73" t="n"/>
      <c r="I412" s="72" t="n"/>
      <c r="J412" s="73" t="n"/>
      <c r="K412" s="74" t="n"/>
      <c r="L412" s="75">
        <f>IF(K412="A",F412,IF(K412="B",H412,IF(K412="C",J412,"")))</f>
        <v/>
      </c>
      <c r="M412" s="72" t="n"/>
      <c r="N412" s="72" t="n"/>
      <c r="O412" s="89" t="n"/>
      <c r="P412" s="89" t="n"/>
      <c r="Q412" s="109" t="n"/>
      <c r="R412" s="120">
        <f>IF(B412="","",IF(Q412&lt;&gt;"",Q412,IF(P412="","",IFERROR(INDEX('Timeline'!$J$7:$J$1006,MATCH(P412,'Timeline'!$B$7:$B$1006,0)),""))))</f>
        <v/>
      </c>
      <c r="S412" s="126">
        <f>IF(R412="","",R412-IF(O412="",0,O412)-OrderBuf)</f>
        <v/>
      </c>
      <c r="T412" s="126">
        <f>IF(S412="","",S412-DecideBuf)</f>
        <v/>
      </c>
      <c r="U412" s="74" t="n"/>
      <c r="V412" s="109" t="n"/>
      <c r="W412" s="109" t="n"/>
      <c r="X412" s="74" t="n"/>
      <c r="Y412" s="116">
        <f>IF(B412="","",IF(X412="Yes","Delivered",IF(U412="Yes",IF(AND(W412&lt;&gt;"",R412&lt;&gt;""),IF(W412&gt;R412,"⚠️ Delivery after install date","Ordered"),"Ordered"),IF(K412="",IF(T412="","Waiting for decision",IF(T412&lt;=AsOf+AlertDays,"Decide now","Waiting for decision")),IF(S412="","Selected",IF(AsOf&gt;S412,"⚠️ Order late — install at risk",IF(S412&lt;=AsOf+AlertDays,"Order now","Selected")))))))</f>
        <v/>
      </c>
      <c r="Z412" s="79">
        <f>IF(B412="","",IF(OR(AH412=1,AE412=1),2,IF(OR(AG412=1,AF412=1),1,IF(OR(Y412="Ordered",Y412="Delivered"),0,""))))</f>
        <v/>
      </c>
      <c r="AA412" s="112">
        <f>IF(B412="","",IF(AH412=1,IF(Y412="⚠️ Delivery after install date",R412,S412),IF(AD412=1,T412,IF(AI412=1,S412,""))))</f>
        <v/>
      </c>
      <c r="AB412" s="79">
        <f>IF(AA412="","",IF(AH412=1,1,IF(AA412="","",IF(AA412&lt;AsOf,1,IF(AA412&lt;=AsOf+AlertDays,2,IF(AA412&lt;=AsOf+2*AlertDays,3,""))))))</f>
        <v/>
      </c>
      <c r="AC412" s="79">
        <f>IF(AB412="","",IF(AH412=1,IF(Y412="⚠️ Delivery after install date","Delivery after install date: "&amp;B412,"Order late — install at risk: "&amp;B412),IF(AD412=1,IF(AB412=1,"Decision overdue: ","Decide: ")&amp;B412,"Order: "&amp;B412&amp;IF(N412="",""," from "&amp;N412))))</f>
        <v/>
      </c>
      <c r="AD412" s="79">
        <f>IF(AND(B412&lt;&gt;"",K412="",U412&lt;&gt;"Yes",X412&lt;&gt;"Yes"),1,0)</f>
        <v/>
      </c>
      <c r="AE412" s="79">
        <f>IF(AND(AD412=1,T412&lt;&gt;""),IF(T412&lt;AsOf,1,0),0)</f>
        <v/>
      </c>
      <c r="AF412" s="79">
        <f>IF(AND(AD412=1,T412&lt;&gt;""),IF(AND(T412&gt;=AsOf,T412&lt;=AsOf+AlertDays),1,0),0)</f>
        <v/>
      </c>
      <c r="AG412" s="79">
        <f>IF(Y412="Order now",1,0)</f>
        <v/>
      </c>
      <c r="AH412" s="79">
        <f>IF(OR(Y412="⚠️ Order late — install at risk",Y412="⚠️ Delivery after install date"),1,0)</f>
        <v/>
      </c>
      <c r="AI412" s="79">
        <f>IF(AND(B412&lt;&gt;"",K412&lt;&gt;"",U412&lt;&gt;"Yes",X412&lt;&gt;"Yes"),1,0)</f>
        <v/>
      </c>
      <c r="AJ412" s="79">
        <f>IF(Y412="⚠️ Order late — install at risk",1,0)</f>
        <v/>
      </c>
    </row>
    <row r="413" ht="20" customHeight="1">
      <c r="B413" s="72" t="n"/>
      <c r="C413" s="72" t="n"/>
      <c r="D413" s="72" t="n"/>
      <c r="E413" s="72" t="n"/>
      <c r="F413" s="73" t="n"/>
      <c r="G413" s="72" t="n"/>
      <c r="H413" s="73" t="n"/>
      <c r="I413" s="72" t="n"/>
      <c r="J413" s="73" t="n"/>
      <c r="K413" s="74" t="n"/>
      <c r="L413" s="75">
        <f>IF(K413="A",F413,IF(K413="B",H413,IF(K413="C",J413,"")))</f>
        <v/>
      </c>
      <c r="M413" s="72" t="n"/>
      <c r="N413" s="72" t="n"/>
      <c r="O413" s="89" t="n"/>
      <c r="P413" s="89" t="n"/>
      <c r="Q413" s="109" t="n"/>
      <c r="R413" s="120">
        <f>IF(B413="","",IF(Q413&lt;&gt;"",Q413,IF(P413="","",IFERROR(INDEX('Timeline'!$J$7:$J$1006,MATCH(P413,'Timeline'!$B$7:$B$1006,0)),""))))</f>
        <v/>
      </c>
      <c r="S413" s="126">
        <f>IF(R413="","",R413-IF(O413="",0,O413)-OrderBuf)</f>
        <v/>
      </c>
      <c r="T413" s="126">
        <f>IF(S413="","",S413-DecideBuf)</f>
        <v/>
      </c>
      <c r="U413" s="74" t="n"/>
      <c r="V413" s="109" t="n"/>
      <c r="W413" s="109" t="n"/>
      <c r="X413" s="74" t="n"/>
      <c r="Y413" s="116">
        <f>IF(B413="","",IF(X413="Yes","Delivered",IF(U413="Yes",IF(AND(W413&lt;&gt;"",R413&lt;&gt;""),IF(W413&gt;R413,"⚠️ Delivery after install date","Ordered"),"Ordered"),IF(K413="",IF(T413="","Waiting for decision",IF(T413&lt;=AsOf+AlertDays,"Decide now","Waiting for decision")),IF(S413="","Selected",IF(AsOf&gt;S413,"⚠️ Order late — install at risk",IF(S413&lt;=AsOf+AlertDays,"Order now","Selected")))))))</f>
        <v/>
      </c>
      <c r="Z413" s="79">
        <f>IF(B413="","",IF(OR(AH413=1,AE413=1),2,IF(OR(AG413=1,AF413=1),1,IF(OR(Y413="Ordered",Y413="Delivered"),0,""))))</f>
        <v/>
      </c>
      <c r="AA413" s="112">
        <f>IF(B413="","",IF(AH413=1,IF(Y413="⚠️ Delivery after install date",R413,S413),IF(AD413=1,T413,IF(AI413=1,S413,""))))</f>
        <v/>
      </c>
      <c r="AB413" s="79">
        <f>IF(AA413="","",IF(AH413=1,1,IF(AA413="","",IF(AA413&lt;AsOf,1,IF(AA413&lt;=AsOf+AlertDays,2,IF(AA413&lt;=AsOf+2*AlertDays,3,""))))))</f>
        <v/>
      </c>
      <c r="AC413" s="79">
        <f>IF(AB413="","",IF(AH413=1,IF(Y413="⚠️ Delivery after install date","Delivery after install date: "&amp;B413,"Order late — install at risk: "&amp;B413),IF(AD413=1,IF(AB413=1,"Decision overdue: ","Decide: ")&amp;B413,"Order: "&amp;B413&amp;IF(N413="",""," from "&amp;N413))))</f>
        <v/>
      </c>
      <c r="AD413" s="79">
        <f>IF(AND(B413&lt;&gt;"",K413="",U413&lt;&gt;"Yes",X413&lt;&gt;"Yes"),1,0)</f>
        <v/>
      </c>
      <c r="AE413" s="79">
        <f>IF(AND(AD413=1,T413&lt;&gt;""),IF(T413&lt;AsOf,1,0),0)</f>
        <v/>
      </c>
      <c r="AF413" s="79">
        <f>IF(AND(AD413=1,T413&lt;&gt;""),IF(AND(T413&gt;=AsOf,T413&lt;=AsOf+AlertDays),1,0),0)</f>
        <v/>
      </c>
      <c r="AG413" s="79">
        <f>IF(Y413="Order now",1,0)</f>
        <v/>
      </c>
      <c r="AH413" s="79">
        <f>IF(OR(Y413="⚠️ Order late — install at risk",Y413="⚠️ Delivery after install date"),1,0)</f>
        <v/>
      </c>
      <c r="AI413" s="79">
        <f>IF(AND(B413&lt;&gt;"",K413&lt;&gt;"",U413&lt;&gt;"Yes",X413&lt;&gt;"Yes"),1,0)</f>
        <v/>
      </c>
      <c r="AJ413" s="79">
        <f>IF(Y413="⚠️ Order late — install at risk",1,0)</f>
        <v/>
      </c>
    </row>
    <row r="414" ht="20" customHeight="1">
      <c r="B414" s="72" t="n"/>
      <c r="C414" s="72" t="n"/>
      <c r="D414" s="72" t="n"/>
      <c r="E414" s="72" t="n"/>
      <c r="F414" s="73" t="n"/>
      <c r="G414" s="72" t="n"/>
      <c r="H414" s="73" t="n"/>
      <c r="I414" s="72" t="n"/>
      <c r="J414" s="73" t="n"/>
      <c r="K414" s="74" t="n"/>
      <c r="L414" s="75">
        <f>IF(K414="A",F414,IF(K414="B",H414,IF(K414="C",J414,"")))</f>
        <v/>
      </c>
      <c r="M414" s="72" t="n"/>
      <c r="N414" s="72" t="n"/>
      <c r="O414" s="89" t="n"/>
      <c r="P414" s="89" t="n"/>
      <c r="Q414" s="109" t="n"/>
      <c r="R414" s="120">
        <f>IF(B414="","",IF(Q414&lt;&gt;"",Q414,IF(P414="","",IFERROR(INDEX('Timeline'!$J$7:$J$1006,MATCH(P414,'Timeline'!$B$7:$B$1006,0)),""))))</f>
        <v/>
      </c>
      <c r="S414" s="126">
        <f>IF(R414="","",R414-IF(O414="",0,O414)-OrderBuf)</f>
        <v/>
      </c>
      <c r="T414" s="126">
        <f>IF(S414="","",S414-DecideBuf)</f>
        <v/>
      </c>
      <c r="U414" s="74" t="n"/>
      <c r="V414" s="109" t="n"/>
      <c r="W414" s="109" t="n"/>
      <c r="X414" s="74" t="n"/>
      <c r="Y414" s="116">
        <f>IF(B414="","",IF(X414="Yes","Delivered",IF(U414="Yes",IF(AND(W414&lt;&gt;"",R414&lt;&gt;""),IF(W414&gt;R414,"⚠️ Delivery after install date","Ordered"),"Ordered"),IF(K414="",IF(T414="","Waiting for decision",IF(T414&lt;=AsOf+AlertDays,"Decide now","Waiting for decision")),IF(S414="","Selected",IF(AsOf&gt;S414,"⚠️ Order late — install at risk",IF(S414&lt;=AsOf+AlertDays,"Order now","Selected")))))))</f>
        <v/>
      </c>
      <c r="Z414" s="79">
        <f>IF(B414="","",IF(OR(AH414=1,AE414=1),2,IF(OR(AG414=1,AF414=1),1,IF(OR(Y414="Ordered",Y414="Delivered"),0,""))))</f>
        <v/>
      </c>
      <c r="AA414" s="112">
        <f>IF(B414="","",IF(AH414=1,IF(Y414="⚠️ Delivery after install date",R414,S414),IF(AD414=1,T414,IF(AI414=1,S414,""))))</f>
        <v/>
      </c>
      <c r="AB414" s="79">
        <f>IF(AA414="","",IF(AH414=1,1,IF(AA414="","",IF(AA414&lt;AsOf,1,IF(AA414&lt;=AsOf+AlertDays,2,IF(AA414&lt;=AsOf+2*AlertDays,3,""))))))</f>
        <v/>
      </c>
      <c r="AC414" s="79">
        <f>IF(AB414="","",IF(AH414=1,IF(Y414="⚠️ Delivery after install date","Delivery after install date: "&amp;B414,"Order late — install at risk: "&amp;B414),IF(AD414=1,IF(AB414=1,"Decision overdue: ","Decide: ")&amp;B414,"Order: "&amp;B414&amp;IF(N414="",""," from "&amp;N414))))</f>
        <v/>
      </c>
      <c r="AD414" s="79">
        <f>IF(AND(B414&lt;&gt;"",K414="",U414&lt;&gt;"Yes",X414&lt;&gt;"Yes"),1,0)</f>
        <v/>
      </c>
      <c r="AE414" s="79">
        <f>IF(AND(AD414=1,T414&lt;&gt;""),IF(T414&lt;AsOf,1,0),0)</f>
        <v/>
      </c>
      <c r="AF414" s="79">
        <f>IF(AND(AD414=1,T414&lt;&gt;""),IF(AND(T414&gt;=AsOf,T414&lt;=AsOf+AlertDays),1,0),0)</f>
        <v/>
      </c>
      <c r="AG414" s="79">
        <f>IF(Y414="Order now",1,0)</f>
        <v/>
      </c>
      <c r="AH414" s="79">
        <f>IF(OR(Y414="⚠️ Order late — install at risk",Y414="⚠️ Delivery after install date"),1,0)</f>
        <v/>
      </c>
      <c r="AI414" s="79">
        <f>IF(AND(B414&lt;&gt;"",K414&lt;&gt;"",U414&lt;&gt;"Yes",X414&lt;&gt;"Yes"),1,0)</f>
        <v/>
      </c>
      <c r="AJ414" s="79">
        <f>IF(Y414="⚠️ Order late — install at risk",1,0)</f>
        <v/>
      </c>
    </row>
    <row r="415" ht="20" customHeight="1">
      <c r="B415" s="72" t="n"/>
      <c r="C415" s="72" t="n"/>
      <c r="D415" s="72" t="n"/>
      <c r="E415" s="72" t="n"/>
      <c r="F415" s="73" t="n"/>
      <c r="G415" s="72" t="n"/>
      <c r="H415" s="73" t="n"/>
      <c r="I415" s="72" t="n"/>
      <c r="J415" s="73" t="n"/>
      <c r="K415" s="74" t="n"/>
      <c r="L415" s="75">
        <f>IF(K415="A",F415,IF(K415="B",H415,IF(K415="C",J415,"")))</f>
        <v/>
      </c>
      <c r="M415" s="72" t="n"/>
      <c r="N415" s="72" t="n"/>
      <c r="O415" s="89" t="n"/>
      <c r="P415" s="89" t="n"/>
      <c r="Q415" s="109" t="n"/>
      <c r="R415" s="120">
        <f>IF(B415="","",IF(Q415&lt;&gt;"",Q415,IF(P415="","",IFERROR(INDEX('Timeline'!$J$7:$J$1006,MATCH(P415,'Timeline'!$B$7:$B$1006,0)),""))))</f>
        <v/>
      </c>
      <c r="S415" s="126">
        <f>IF(R415="","",R415-IF(O415="",0,O415)-OrderBuf)</f>
        <v/>
      </c>
      <c r="T415" s="126">
        <f>IF(S415="","",S415-DecideBuf)</f>
        <v/>
      </c>
      <c r="U415" s="74" t="n"/>
      <c r="V415" s="109" t="n"/>
      <c r="W415" s="109" t="n"/>
      <c r="X415" s="74" t="n"/>
      <c r="Y415" s="116">
        <f>IF(B415="","",IF(X415="Yes","Delivered",IF(U415="Yes",IF(AND(W415&lt;&gt;"",R415&lt;&gt;""),IF(W415&gt;R415,"⚠️ Delivery after install date","Ordered"),"Ordered"),IF(K415="",IF(T415="","Waiting for decision",IF(T415&lt;=AsOf+AlertDays,"Decide now","Waiting for decision")),IF(S415="","Selected",IF(AsOf&gt;S415,"⚠️ Order late — install at risk",IF(S415&lt;=AsOf+AlertDays,"Order now","Selected")))))))</f>
        <v/>
      </c>
      <c r="Z415" s="79">
        <f>IF(B415="","",IF(OR(AH415=1,AE415=1),2,IF(OR(AG415=1,AF415=1),1,IF(OR(Y415="Ordered",Y415="Delivered"),0,""))))</f>
        <v/>
      </c>
      <c r="AA415" s="112">
        <f>IF(B415="","",IF(AH415=1,IF(Y415="⚠️ Delivery after install date",R415,S415),IF(AD415=1,T415,IF(AI415=1,S415,""))))</f>
        <v/>
      </c>
      <c r="AB415" s="79">
        <f>IF(AA415="","",IF(AH415=1,1,IF(AA415="","",IF(AA415&lt;AsOf,1,IF(AA415&lt;=AsOf+AlertDays,2,IF(AA415&lt;=AsOf+2*AlertDays,3,""))))))</f>
        <v/>
      </c>
      <c r="AC415" s="79">
        <f>IF(AB415="","",IF(AH415=1,IF(Y415="⚠️ Delivery after install date","Delivery after install date: "&amp;B415,"Order late — install at risk: "&amp;B415),IF(AD415=1,IF(AB415=1,"Decision overdue: ","Decide: ")&amp;B415,"Order: "&amp;B415&amp;IF(N415="",""," from "&amp;N415))))</f>
        <v/>
      </c>
      <c r="AD415" s="79">
        <f>IF(AND(B415&lt;&gt;"",K415="",U415&lt;&gt;"Yes",X415&lt;&gt;"Yes"),1,0)</f>
        <v/>
      </c>
      <c r="AE415" s="79">
        <f>IF(AND(AD415=1,T415&lt;&gt;""),IF(T415&lt;AsOf,1,0),0)</f>
        <v/>
      </c>
      <c r="AF415" s="79">
        <f>IF(AND(AD415=1,T415&lt;&gt;""),IF(AND(T415&gt;=AsOf,T415&lt;=AsOf+AlertDays),1,0),0)</f>
        <v/>
      </c>
      <c r="AG415" s="79">
        <f>IF(Y415="Order now",1,0)</f>
        <v/>
      </c>
      <c r="AH415" s="79">
        <f>IF(OR(Y415="⚠️ Order late — install at risk",Y415="⚠️ Delivery after install date"),1,0)</f>
        <v/>
      </c>
      <c r="AI415" s="79">
        <f>IF(AND(B415&lt;&gt;"",K415&lt;&gt;"",U415&lt;&gt;"Yes",X415&lt;&gt;"Yes"),1,0)</f>
        <v/>
      </c>
      <c r="AJ415" s="79">
        <f>IF(Y415="⚠️ Order late — install at risk",1,0)</f>
        <v/>
      </c>
    </row>
    <row r="416" ht="20" customHeight="1">
      <c r="B416" s="72" t="n"/>
      <c r="C416" s="72" t="n"/>
      <c r="D416" s="72" t="n"/>
      <c r="E416" s="72" t="n"/>
      <c r="F416" s="73" t="n"/>
      <c r="G416" s="72" t="n"/>
      <c r="H416" s="73" t="n"/>
      <c r="I416" s="72" t="n"/>
      <c r="J416" s="73" t="n"/>
      <c r="K416" s="74" t="n"/>
      <c r="L416" s="75">
        <f>IF(K416="A",F416,IF(K416="B",H416,IF(K416="C",J416,"")))</f>
        <v/>
      </c>
      <c r="M416" s="72" t="n"/>
      <c r="N416" s="72" t="n"/>
      <c r="O416" s="89" t="n"/>
      <c r="P416" s="89" t="n"/>
      <c r="Q416" s="109" t="n"/>
      <c r="R416" s="120">
        <f>IF(B416="","",IF(Q416&lt;&gt;"",Q416,IF(P416="","",IFERROR(INDEX('Timeline'!$J$7:$J$1006,MATCH(P416,'Timeline'!$B$7:$B$1006,0)),""))))</f>
        <v/>
      </c>
      <c r="S416" s="126">
        <f>IF(R416="","",R416-IF(O416="",0,O416)-OrderBuf)</f>
        <v/>
      </c>
      <c r="T416" s="126">
        <f>IF(S416="","",S416-DecideBuf)</f>
        <v/>
      </c>
      <c r="U416" s="74" t="n"/>
      <c r="V416" s="109" t="n"/>
      <c r="W416" s="109" t="n"/>
      <c r="X416" s="74" t="n"/>
      <c r="Y416" s="116">
        <f>IF(B416="","",IF(X416="Yes","Delivered",IF(U416="Yes",IF(AND(W416&lt;&gt;"",R416&lt;&gt;""),IF(W416&gt;R416,"⚠️ Delivery after install date","Ordered"),"Ordered"),IF(K416="",IF(T416="","Waiting for decision",IF(T416&lt;=AsOf+AlertDays,"Decide now","Waiting for decision")),IF(S416="","Selected",IF(AsOf&gt;S416,"⚠️ Order late — install at risk",IF(S416&lt;=AsOf+AlertDays,"Order now","Selected")))))))</f>
        <v/>
      </c>
      <c r="Z416" s="79">
        <f>IF(B416="","",IF(OR(AH416=1,AE416=1),2,IF(OR(AG416=1,AF416=1),1,IF(OR(Y416="Ordered",Y416="Delivered"),0,""))))</f>
        <v/>
      </c>
      <c r="AA416" s="112">
        <f>IF(B416="","",IF(AH416=1,IF(Y416="⚠️ Delivery after install date",R416,S416),IF(AD416=1,T416,IF(AI416=1,S416,""))))</f>
        <v/>
      </c>
      <c r="AB416" s="79">
        <f>IF(AA416="","",IF(AH416=1,1,IF(AA416="","",IF(AA416&lt;AsOf,1,IF(AA416&lt;=AsOf+AlertDays,2,IF(AA416&lt;=AsOf+2*AlertDays,3,""))))))</f>
        <v/>
      </c>
      <c r="AC416" s="79">
        <f>IF(AB416="","",IF(AH416=1,IF(Y416="⚠️ Delivery after install date","Delivery after install date: "&amp;B416,"Order late — install at risk: "&amp;B416),IF(AD416=1,IF(AB416=1,"Decision overdue: ","Decide: ")&amp;B416,"Order: "&amp;B416&amp;IF(N416="",""," from "&amp;N416))))</f>
        <v/>
      </c>
      <c r="AD416" s="79">
        <f>IF(AND(B416&lt;&gt;"",K416="",U416&lt;&gt;"Yes",X416&lt;&gt;"Yes"),1,0)</f>
        <v/>
      </c>
      <c r="AE416" s="79">
        <f>IF(AND(AD416=1,T416&lt;&gt;""),IF(T416&lt;AsOf,1,0),0)</f>
        <v/>
      </c>
      <c r="AF416" s="79">
        <f>IF(AND(AD416=1,T416&lt;&gt;""),IF(AND(T416&gt;=AsOf,T416&lt;=AsOf+AlertDays),1,0),0)</f>
        <v/>
      </c>
      <c r="AG416" s="79">
        <f>IF(Y416="Order now",1,0)</f>
        <v/>
      </c>
      <c r="AH416" s="79">
        <f>IF(OR(Y416="⚠️ Order late — install at risk",Y416="⚠️ Delivery after install date"),1,0)</f>
        <v/>
      </c>
      <c r="AI416" s="79">
        <f>IF(AND(B416&lt;&gt;"",K416&lt;&gt;"",U416&lt;&gt;"Yes",X416&lt;&gt;"Yes"),1,0)</f>
        <v/>
      </c>
      <c r="AJ416" s="79">
        <f>IF(Y416="⚠️ Order late — install at risk",1,0)</f>
        <v/>
      </c>
    </row>
    <row r="417" ht="20" customHeight="1">
      <c r="B417" s="72" t="n"/>
      <c r="C417" s="72" t="n"/>
      <c r="D417" s="72" t="n"/>
      <c r="E417" s="72" t="n"/>
      <c r="F417" s="73" t="n"/>
      <c r="G417" s="72" t="n"/>
      <c r="H417" s="73" t="n"/>
      <c r="I417" s="72" t="n"/>
      <c r="J417" s="73" t="n"/>
      <c r="K417" s="74" t="n"/>
      <c r="L417" s="75">
        <f>IF(K417="A",F417,IF(K417="B",H417,IF(K417="C",J417,"")))</f>
        <v/>
      </c>
      <c r="M417" s="72" t="n"/>
      <c r="N417" s="72" t="n"/>
      <c r="O417" s="89" t="n"/>
      <c r="P417" s="89" t="n"/>
      <c r="Q417" s="109" t="n"/>
      <c r="R417" s="120">
        <f>IF(B417="","",IF(Q417&lt;&gt;"",Q417,IF(P417="","",IFERROR(INDEX('Timeline'!$J$7:$J$1006,MATCH(P417,'Timeline'!$B$7:$B$1006,0)),""))))</f>
        <v/>
      </c>
      <c r="S417" s="126">
        <f>IF(R417="","",R417-IF(O417="",0,O417)-OrderBuf)</f>
        <v/>
      </c>
      <c r="T417" s="126">
        <f>IF(S417="","",S417-DecideBuf)</f>
        <v/>
      </c>
      <c r="U417" s="74" t="n"/>
      <c r="V417" s="109" t="n"/>
      <c r="W417" s="109" t="n"/>
      <c r="X417" s="74" t="n"/>
      <c r="Y417" s="116">
        <f>IF(B417="","",IF(X417="Yes","Delivered",IF(U417="Yes",IF(AND(W417&lt;&gt;"",R417&lt;&gt;""),IF(W417&gt;R417,"⚠️ Delivery after install date","Ordered"),"Ordered"),IF(K417="",IF(T417="","Waiting for decision",IF(T417&lt;=AsOf+AlertDays,"Decide now","Waiting for decision")),IF(S417="","Selected",IF(AsOf&gt;S417,"⚠️ Order late — install at risk",IF(S417&lt;=AsOf+AlertDays,"Order now","Selected")))))))</f>
        <v/>
      </c>
      <c r="Z417" s="79">
        <f>IF(B417="","",IF(OR(AH417=1,AE417=1),2,IF(OR(AG417=1,AF417=1),1,IF(OR(Y417="Ordered",Y417="Delivered"),0,""))))</f>
        <v/>
      </c>
      <c r="AA417" s="112">
        <f>IF(B417="","",IF(AH417=1,IF(Y417="⚠️ Delivery after install date",R417,S417),IF(AD417=1,T417,IF(AI417=1,S417,""))))</f>
        <v/>
      </c>
      <c r="AB417" s="79">
        <f>IF(AA417="","",IF(AH417=1,1,IF(AA417="","",IF(AA417&lt;AsOf,1,IF(AA417&lt;=AsOf+AlertDays,2,IF(AA417&lt;=AsOf+2*AlertDays,3,""))))))</f>
        <v/>
      </c>
      <c r="AC417" s="79">
        <f>IF(AB417="","",IF(AH417=1,IF(Y417="⚠️ Delivery after install date","Delivery after install date: "&amp;B417,"Order late — install at risk: "&amp;B417),IF(AD417=1,IF(AB417=1,"Decision overdue: ","Decide: ")&amp;B417,"Order: "&amp;B417&amp;IF(N417="",""," from "&amp;N417))))</f>
        <v/>
      </c>
      <c r="AD417" s="79">
        <f>IF(AND(B417&lt;&gt;"",K417="",U417&lt;&gt;"Yes",X417&lt;&gt;"Yes"),1,0)</f>
        <v/>
      </c>
      <c r="AE417" s="79">
        <f>IF(AND(AD417=1,T417&lt;&gt;""),IF(T417&lt;AsOf,1,0),0)</f>
        <v/>
      </c>
      <c r="AF417" s="79">
        <f>IF(AND(AD417=1,T417&lt;&gt;""),IF(AND(T417&gt;=AsOf,T417&lt;=AsOf+AlertDays),1,0),0)</f>
        <v/>
      </c>
      <c r="AG417" s="79">
        <f>IF(Y417="Order now",1,0)</f>
        <v/>
      </c>
      <c r="AH417" s="79">
        <f>IF(OR(Y417="⚠️ Order late — install at risk",Y417="⚠️ Delivery after install date"),1,0)</f>
        <v/>
      </c>
      <c r="AI417" s="79">
        <f>IF(AND(B417&lt;&gt;"",K417&lt;&gt;"",U417&lt;&gt;"Yes",X417&lt;&gt;"Yes"),1,0)</f>
        <v/>
      </c>
      <c r="AJ417" s="79">
        <f>IF(Y417="⚠️ Order late — install at risk",1,0)</f>
        <v/>
      </c>
    </row>
    <row r="418" ht="20" customHeight="1">
      <c r="B418" s="72" t="n"/>
      <c r="C418" s="72" t="n"/>
      <c r="D418" s="72" t="n"/>
      <c r="E418" s="72" t="n"/>
      <c r="F418" s="73" t="n"/>
      <c r="G418" s="72" t="n"/>
      <c r="H418" s="73" t="n"/>
      <c r="I418" s="72" t="n"/>
      <c r="J418" s="73" t="n"/>
      <c r="K418" s="74" t="n"/>
      <c r="L418" s="75">
        <f>IF(K418="A",F418,IF(K418="B",H418,IF(K418="C",J418,"")))</f>
        <v/>
      </c>
      <c r="M418" s="72" t="n"/>
      <c r="N418" s="72" t="n"/>
      <c r="O418" s="89" t="n"/>
      <c r="P418" s="89" t="n"/>
      <c r="Q418" s="109" t="n"/>
      <c r="R418" s="120">
        <f>IF(B418="","",IF(Q418&lt;&gt;"",Q418,IF(P418="","",IFERROR(INDEX('Timeline'!$J$7:$J$1006,MATCH(P418,'Timeline'!$B$7:$B$1006,0)),""))))</f>
        <v/>
      </c>
      <c r="S418" s="126">
        <f>IF(R418="","",R418-IF(O418="",0,O418)-OrderBuf)</f>
        <v/>
      </c>
      <c r="T418" s="126">
        <f>IF(S418="","",S418-DecideBuf)</f>
        <v/>
      </c>
      <c r="U418" s="74" t="n"/>
      <c r="V418" s="109" t="n"/>
      <c r="W418" s="109" t="n"/>
      <c r="X418" s="74" t="n"/>
      <c r="Y418" s="116">
        <f>IF(B418="","",IF(X418="Yes","Delivered",IF(U418="Yes",IF(AND(W418&lt;&gt;"",R418&lt;&gt;""),IF(W418&gt;R418,"⚠️ Delivery after install date","Ordered"),"Ordered"),IF(K418="",IF(T418="","Waiting for decision",IF(T418&lt;=AsOf+AlertDays,"Decide now","Waiting for decision")),IF(S418="","Selected",IF(AsOf&gt;S418,"⚠️ Order late — install at risk",IF(S418&lt;=AsOf+AlertDays,"Order now","Selected")))))))</f>
        <v/>
      </c>
      <c r="Z418" s="79">
        <f>IF(B418="","",IF(OR(AH418=1,AE418=1),2,IF(OR(AG418=1,AF418=1),1,IF(OR(Y418="Ordered",Y418="Delivered"),0,""))))</f>
        <v/>
      </c>
      <c r="AA418" s="112">
        <f>IF(B418="","",IF(AH418=1,IF(Y418="⚠️ Delivery after install date",R418,S418),IF(AD418=1,T418,IF(AI418=1,S418,""))))</f>
        <v/>
      </c>
      <c r="AB418" s="79">
        <f>IF(AA418="","",IF(AH418=1,1,IF(AA418="","",IF(AA418&lt;AsOf,1,IF(AA418&lt;=AsOf+AlertDays,2,IF(AA418&lt;=AsOf+2*AlertDays,3,""))))))</f>
        <v/>
      </c>
      <c r="AC418" s="79">
        <f>IF(AB418="","",IF(AH418=1,IF(Y418="⚠️ Delivery after install date","Delivery after install date: "&amp;B418,"Order late — install at risk: "&amp;B418),IF(AD418=1,IF(AB418=1,"Decision overdue: ","Decide: ")&amp;B418,"Order: "&amp;B418&amp;IF(N418="",""," from "&amp;N418))))</f>
        <v/>
      </c>
      <c r="AD418" s="79">
        <f>IF(AND(B418&lt;&gt;"",K418="",U418&lt;&gt;"Yes",X418&lt;&gt;"Yes"),1,0)</f>
        <v/>
      </c>
      <c r="AE418" s="79">
        <f>IF(AND(AD418=1,T418&lt;&gt;""),IF(T418&lt;AsOf,1,0),0)</f>
        <v/>
      </c>
      <c r="AF418" s="79">
        <f>IF(AND(AD418=1,T418&lt;&gt;""),IF(AND(T418&gt;=AsOf,T418&lt;=AsOf+AlertDays),1,0),0)</f>
        <v/>
      </c>
      <c r="AG418" s="79">
        <f>IF(Y418="Order now",1,0)</f>
        <v/>
      </c>
      <c r="AH418" s="79">
        <f>IF(OR(Y418="⚠️ Order late — install at risk",Y418="⚠️ Delivery after install date"),1,0)</f>
        <v/>
      </c>
      <c r="AI418" s="79">
        <f>IF(AND(B418&lt;&gt;"",K418&lt;&gt;"",U418&lt;&gt;"Yes",X418&lt;&gt;"Yes"),1,0)</f>
        <v/>
      </c>
      <c r="AJ418" s="79">
        <f>IF(Y418="⚠️ Order late — install at risk",1,0)</f>
        <v/>
      </c>
    </row>
    <row r="419" ht="20" customHeight="1">
      <c r="B419" s="72" t="n"/>
      <c r="C419" s="72" t="n"/>
      <c r="D419" s="72" t="n"/>
      <c r="E419" s="72" t="n"/>
      <c r="F419" s="73" t="n"/>
      <c r="G419" s="72" t="n"/>
      <c r="H419" s="73" t="n"/>
      <c r="I419" s="72" t="n"/>
      <c r="J419" s="73" t="n"/>
      <c r="K419" s="74" t="n"/>
      <c r="L419" s="75">
        <f>IF(K419="A",F419,IF(K419="B",H419,IF(K419="C",J419,"")))</f>
        <v/>
      </c>
      <c r="M419" s="72" t="n"/>
      <c r="N419" s="72" t="n"/>
      <c r="O419" s="89" t="n"/>
      <c r="P419" s="89" t="n"/>
      <c r="Q419" s="109" t="n"/>
      <c r="R419" s="120">
        <f>IF(B419="","",IF(Q419&lt;&gt;"",Q419,IF(P419="","",IFERROR(INDEX('Timeline'!$J$7:$J$1006,MATCH(P419,'Timeline'!$B$7:$B$1006,0)),""))))</f>
        <v/>
      </c>
      <c r="S419" s="126">
        <f>IF(R419="","",R419-IF(O419="",0,O419)-OrderBuf)</f>
        <v/>
      </c>
      <c r="T419" s="126">
        <f>IF(S419="","",S419-DecideBuf)</f>
        <v/>
      </c>
      <c r="U419" s="74" t="n"/>
      <c r="V419" s="109" t="n"/>
      <c r="W419" s="109" t="n"/>
      <c r="X419" s="74" t="n"/>
      <c r="Y419" s="116">
        <f>IF(B419="","",IF(X419="Yes","Delivered",IF(U419="Yes",IF(AND(W419&lt;&gt;"",R419&lt;&gt;""),IF(W419&gt;R419,"⚠️ Delivery after install date","Ordered"),"Ordered"),IF(K419="",IF(T419="","Waiting for decision",IF(T419&lt;=AsOf+AlertDays,"Decide now","Waiting for decision")),IF(S419="","Selected",IF(AsOf&gt;S419,"⚠️ Order late — install at risk",IF(S419&lt;=AsOf+AlertDays,"Order now","Selected")))))))</f>
        <v/>
      </c>
      <c r="Z419" s="79">
        <f>IF(B419="","",IF(OR(AH419=1,AE419=1),2,IF(OR(AG419=1,AF419=1),1,IF(OR(Y419="Ordered",Y419="Delivered"),0,""))))</f>
        <v/>
      </c>
      <c r="AA419" s="112">
        <f>IF(B419="","",IF(AH419=1,IF(Y419="⚠️ Delivery after install date",R419,S419),IF(AD419=1,T419,IF(AI419=1,S419,""))))</f>
        <v/>
      </c>
      <c r="AB419" s="79">
        <f>IF(AA419="","",IF(AH419=1,1,IF(AA419="","",IF(AA419&lt;AsOf,1,IF(AA419&lt;=AsOf+AlertDays,2,IF(AA419&lt;=AsOf+2*AlertDays,3,""))))))</f>
        <v/>
      </c>
      <c r="AC419" s="79">
        <f>IF(AB419="","",IF(AH419=1,IF(Y419="⚠️ Delivery after install date","Delivery after install date: "&amp;B419,"Order late — install at risk: "&amp;B419),IF(AD419=1,IF(AB419=1,"Decision overdue: ","Decide: ")&amp;B419,"Order: "&amp;B419&amp;IF(N419="",""," from "&amp;N419))))</f>
        <v/>
      </c>
      <c r="AD419" s="79">
        <f>IF(AND(B419&lt;&gt;"",K419="",U419&lt;&gt;"Yes",X419&lt;&gt;"Yes"),1,0)</f>
        <v/>
      </c>
      <c r="AE419" s="79">
        <f>IF(AND(AD419=1,T419&lt;&gt;""),IF(T419&lt;AsOf,1,0),0)</f>
        <v/>
      </c>
      <c r="AF419" s="79">
        <f>IF(AND(AD419=1,T419&lt;&gt;""),IF(AND(T419&gt;=AsOf,T419&lt;=AsOf+AlertDays),1,0),0)</f>
        <v/>
      </c>
      <c r="AG419" s="79">
        <f>IF(Y419="Order now",1,0)</f>
        <v/>
      </c>
      <c r="AH419" s="79">
        <f>IF(OR(Y419="⚠️ Order late — install at risk",Y419="⚠️ Delivery after install date"),1,0)</f>
        <v/>
      </c>
      <c r="AI419" s="79">
        <f>IF(AND(B419&lt;&gt;"",K419&lt;&gt;"",U419&lt;&gt;"Yes",X419&lt;&gt;"Yes"),1,0)</f>
        <v/>
      </c>
      <c r="AJ419" s="79">
        <f>IF(Y419="⚠️ Order late — install at risk",1,0)</f>
        <v/>
      </c>
    </row>
    <row r="420" ht="20" customHeight="1">
      <c r="B420" s="72" t="n"/>
      <c r="C420" s="72" t="n"/>
      <c r="D420" s="72" t="n"/>
      <c r="E420" s="72" t="n"/>
      <c r="F420" s="73" t="n"/>
      <c r="G420" s="72" t="n"/>
      <c r="H420" s="73" t="n"/>
      <c r="I420" s="72" t="n"/>
      <c r="J420" s="73" t="n"/>
      <c r="K420" s="74" t="n"/>
      <c r="L420" s="75">
        <f>IF(K420="A",F420,IF(K420="B",H420,IF(K420="C",J420,"")))</f>
        <v/>
      </c>
      <c r="M420" s="72" t="n"/>
      <c r="N420" s="72" t="n"/>
      <c r="O420" s="89" t="n"/>
      <c r="P420" s="89" t="n"/>
      <c r="Q420" s="109" t="n"/>
      <c r="R420" s="120">
        <f>IF(B420="","",IF(Q420&lt;&gt;"",Q420,IF(P420="","",IFERROR(INDEX('Timeline'!$J$7:$J$1006,MATCH(P420,'Timeline'!$B$7:$B$1006,0)),""))))</f>
        <v/>
      </c>
      <c r="S420" s="126">
        <f>IF(R420="","",R420-IF(O420="",0,O420)-OrderBuf)</f>
        <v/>
      </c>
      <c r="T420" s="126">
        <f>IF(S420="","",S420-DecideBuf)</f>
        <v/>
      </c>
      <c r="U420" s="74" t="n"/>
      <c r="V420" s="109" t="n"/>
      <c r="W420" s="109" t="n"/>
      <c r="X420" s="74" t="n"/>
      <c r="Y420" s="116">
        <f>IF(B420="","",IF(X420="Yes","Delivered",IF(U420="Yes",IF(AND(W420&lt;&gt;"",R420&lt;&gt;""),IF(W420&gt;R420,"⚠️ Delivery after install date","Ordered"),"Ordered"),IF(K420="",IF(T420="","Waiting for decision",IF(T420&lt;=AsOf+AlertDays,"Decide now","Waiting for decision")),IF(S420="","Selected",IF(AsOf&gt;S420,"⚠️ Order late — install at risk",IF(S420&lt;=AsOf+AlertDays,"Order now","Selected")))))))</f>
        <v/>
      </c>
      <c r="Z420" s="79">
        <f>IF(B420="","",IF(OR(AH420=1,AE420=1),2,IF(OR(AG420=1,AF420=1),1,IF(OR(Y420="Ordered",Y420="Delivered"),0,""))))</f>
        <v/>
      </c>
      <c r="AA420" s="112">
        <f>IF(B420="","",IF(AH420=1,IF(Y420="⚠️ Delivery after install date",R420,S420),IF(AD420=1,T420,IF(AI420=1,S420,""))))</f>
        <v/>
      </c>
      <c r="AB420" s="79">
        <f>IF(AA420="","",IF(AH420=1,1,IF(AA420="","",IF(AA420&lt;AsOf,1,IF(AA420&lt;=AsOf+AlertDays,2,IF(AA420&lt;=AsOf+2*AlertDays,3,""))))))</f>
        <v/>
      </c>
      <c r="AC420" s="79">
        <f>IF(AB420="","",IF(AH420=1,IF(Y420="⚠️ Delivery after install date","Delivery after install date: "&amp;B420,"Order late — install at risk: "&amp;B420),IF(AD420=1,IF(AB420=1,"Decision overdue: ","Decide: ")&amp;B420,"Order: "&amp;B420&amp;IF(N420="",""," from "&amp;N420))))</f>
        <v/>
      </c>
      <c r="AD420" s="79">
        <f>IF(AND(B420&lt;&gt;"",K420="",U420&lt;&gt;"Yes",X420&lt;&gt;"Yes"),1,0)</f>
        <v/>
      </c>
      <c r="AE420" s="79">
        <f>IF(AND(AD420=1,T420&lt;&gt;""),IF(T420&lt;AsOf,1,0),0)</f>
        <v/>
      </c>
      <c r="AF420" s="79">
        <f>IF(AND(AD420=1,T420&lt;&gt;""),IF(AND(T420&gt;=AsOf,T420&lt;=AsOf+AlertDays),1,0),0)</f>
        <v/>
      </c>
      <c r="AG420" s="79">
        <f>IF(Y420="Order now",1,0)</f>
        <v/>
      </c>
      <c r="AH420" s="79">
        <f>IF(OR(Y420="⚠️ Order late — install at risk",Y420="⚠️ Delivery after install date"),1,0)</f>
        <v/>
      </c>
      <c r="AI420" s="79">
        <f>IF(AND(B420&lt;&gt;"",K420&lt;&gt;"",U420&lt;&gt;"Yes",X420&lt;&gt;"Yes"),1,0)</f>
        <v/>
      </c>
      <c r="AJ420" s="79">
        <f>IF(Y420="⚠️ Order late — install at risk",1,0)</f>
        <v/>
      </c>
    </row>
    <row r="421" ht="20" customHeight="1">
      <c r="B421" s="72" t="n"/>
      <c r="C421" s="72" t="n"/>
      <c r="D421" s="72" t="n"/>
      <c r="E421" s="72" t="n"/>
      <c r="F421" s="73" t="n"/>
      <c r="G421" s="72" t="n"/>
      <c r="H421" s="73" t="n"/>
      <c r="I421" s="72" t="n"/>
      <c r="J421" s="73" t="n"/>
      <c r="K421" s="74" t="n"/>
      <c r="L421" s="75">
        <f>IF(K421="A",F421,IF(K421="B",H421,IF(K421="C",J421,"")))</f>
        <v/>
      </c>
      <c r="M421" s="72" t="n"/>
      <c r="N421" s="72" t="n"/>
      <c r="O421" s="89" t="n"/>
      <c r="P421" s="89" t="n"/>
      <c r="Q421" s="109" t="n"/>
      <c r="R421" s="120">
        <f>IF(B421="","",IF(Q421&lt;&gt;"",Q421,IF(P421="","",IFERROR(INDEX('Timeline'!$J$7:$J$1006,MATCH(P421,'Timeline'!$B$7:$B$1006,0)),""))))</f>
        <v/>
      </c>
      <c r="S421" s="126">
        <f>IF(R421="","",R421-IF(O421="",0,O421)-OrderBuf)</f>
        <v/>
      </c>
      <c r="T421" s="126">
        <f>IF(S421="","",S421-DecideBuf)</f>
        <v/>
      </c>
      <c r="U421" s="74" t="n"/>
      <c r="V421" s="109" t="n"/>
      <c r="W421" s="109" t="n"/>
      <c r="X421" s="74" t="n"/>
      <c r="Y421" s="116">
        <f>IF(B421="","",IF(X421="Yes","Delivered",IF(U421="Yes",IF(AND(W421&lt;&gt;"",R421&lt;&gt;""),IF(W421&gt;R421,"⚠️ Delivery after install date","Ordered"),"Ordered"),IF(K421="",IF(T421="","Waiting for decision",IF(T421&lt;=AsOf+AlertDays,"Decide now","Waiting for decision")),IF(S421="","Selected",IF(AsOf&gt;S421,"⚠️ Order late — install at risk",IF(S421&lt;=AsOf+AlertDays,"Order now","Selected")))))))</f>
        <v/>
      </c>
      <c r="Z421" s="79">
        <f>IF(B421="","",IF(OR(AH421=1,AE421=1),2,IF(OR(AG421=1,AF421=1),1,IF(OR(Y421="Ordered",Y421="Delivered"),0,""))))</f>
        <v/>
      </c>
      <c r="AA421" s="112">
        <f>IF(B421="","",IF(AH421=1,IF(Y421="⚠️ Delivery after install date",R421,S421),IF(AD421=1,T421,IF(AI421=1,S421,""))))</f>
        <v/>
      </c>
      <c r="AB421" s="79">
        <f>IF(AA421="","",IF(AH421=1,1,IF(AA421="","",IF(AA421&lt;AsOf,1,IF(AA421&lt;=AsOf+AlertDays,2,IF(AA421&lt;=AsOf+2*AlertDays,3,""))))))</f>
        <v/>
      </c>
      <c r="AC421" s="79">
        <f>IF(AB421="","",IF(AH421=1,IF(Y421="⚠️ Delivery after install date","Delivery after install date: "&amp;B421,"Order late — install at risk: "&amp;B421),IF(AD421=1,IF(AB421=1,"Decision overdue: ","Decide: ")&amp;B421,"Order: "&amp;B421&amp;IF(N421="",""," from "&amp;N421))))</f>
        <v/>
      </c>
      <c r="AD421" s="79">
        <f>IF(AND(B421&lt;&gt;"",K421="",U421&lt;&gt;"Yes",X421&lt;&gt;"Yes"),1,0)</f>
        <v/>
      </c>
      <c r="AE421" s="79">
        <f>IF(AND(AD421=1,T421&lt;&gt;""),IF(T421&lt;AsOf,1,0),0)</f>
        <v/>
      </c>
      <c r="AF421" s="79">
        <f>IF(AND(AD421=1,T421&lt;&gt;""),IF(AND(T421&gt;=AsOf,T421&lt;=AsOf+AlertDays),1,0),0)</f>
        <v/>
      </c>
      <c r="AG421" s="79">
        <f>IF(Y421="Order now",1,0)</f>
        <v/>
      </c>
      <c r="AH421" s="79">
        <f>IF(OR(Y421="⚠️ Order late — install at risk",Y421="⚠️ Delivery after install date"),1,0)</f>
        <v/>
      </c>
      <c r="AI421" s="79">
        <f>IF(AND(B421&lt;&gt;"",K421&lt;&gt;"",U421&lt;&gt;"Yes",X421&lt;&gt;"Yes"),1,0)</f>
        <v/>
      </c>
      <c r="AJ421" s="79">
        <f>IF(Y421="⚠️ Order late — install at risk",1,0)</f>
        <v/>
      </c>
    </row>
    <row r="422" ht="20" customHeight="1">
      <c r="B422" s="72" t="n"/>
      <c r="C422" s="72" t="n"/>
      <c r="D422" s="72" t="n"/>
      <c r="E422" s="72" t="n"/>
      <c r="F422" s="73" t="n"/>
      <c r="G422" s="72" t="n"/>
      <c r="H422" s="73" t="n"/>
      <c r="I422" s="72" t="n"/>
      <c r="J422" s="73" t="n"/>
      <c r="K422" s="74" t="n"/>
      <c r="L422" s="75">
        <f>IF(K422="A",F422,IF(K422="B",H422,IF(K422="C",J422,"")))</f>
        <v/>
      </c>
      <c r="M422" s="72" t="n"/>
      <c r="N422" s="72" t="n"/>
      <c r="O422" s="89" t="n"/>
      <c r="P422" s="89" t="n"/>
      <c r="Q422" s="109" t="n"/>
      <c r="R422" s="120">
        <f>IF(B422="","",IF(Q422&lt;&gt;"",Q422,IF(P422="","",IFERROR(INDEX('Timeline'!$J$7:$J$1006,MATCH(P422,'Timeline'!$B$7:$B$1006,0)),""))))</f>
        <v/>
      </c>
      <c r="S422" s="126">
        <f>IF(R422="","",R422-IF(O422="",0,O422)-OrderBuf)</f>
        <v/>
      </c>
      <c r="T422" s="126">
        <f>IF(S422="","",S422-DecideBuf)</f>
        <v/>
      </c>
      <c r="U422" s="74" t="n"/>
      <c r="V422" s="109" t="n"/>
      <c r="W422" s="109" t="n"/>
      <c r="X422" s="74" t="n"/>
      <c r="Y422" s="116">
        <f>IF(B422="","",IF(X422="Yes","Delivered",IF(U422="Yes",IF(AND(W422&lt;&gt;"",R422&lt;&gt;""),IF(W422&gt;R422,"⚠️ Delivery after install date","Ordered"),"Ordered"),IF(K422="",IF(T422="","Waiting for decision",IF(T422&lt;=AsOf+AlertDays,"Decide now","Waiting for decision")),IF(S422="","Selected",IF(AsOf&gt;S422,"⚠️ Order late — install at risk",IF(S422&lt;=AsOf+AlertDays,"Order now","Selected")))))))</f>
        <v/>
      </c>
      <c r="Z422" s="79">
        <f>IF(B422="","",IF(OR(AH422=1,AE422=1),2,IF(OR(AG422=1,AF422=1),1,IF(OR(Y422="Ordered",Y422="Delivered"),0,""))))</f>
        <v/>
      </c>
      <c r="AA422" s="112">
        <f>IF(B422="","",IF(AH422=1,IF(Y422="⚠️ Delivery after install date",R422,S422),IF(AD422=1,T422,IF(AI422=1,S422,""))))</f>
        <v/>
      </c>
      <c r="AB422" s="79">
        <f>IF(AA422="","",IF(AH422=1,1,IF(AA422="","",IF(AA422&lt;AsOf,1,IF(AA422&lt;=AsOf+AlertDays,2,IF(AA422&lt;=AsOf+2*AlertDays,3,""))))))</f>
        <v/>
      </c>
      <c r="AC422" s="79">
        <f>IF(AB422="","",IF(AH422=1,IF(Y422="⚠️ Delivery after install date","Delivery after install date: "&amp;B422,"Order late — install at risk: "&amp;B422),IF(AD422=1,IF(AB422=1,"Decision overdue: ","Decide: ")&amp;B422,"Order: "&amp;B422&amp;IF(N422="",""," from "&amp;N422))))</f>
        <v/>
      </c>
      <c r="AD422" s="79">
        <f>IF(AND(B422&lt;&gt;"",K422="",U422&lt;&gt;"Yes",X422&lt;&gt;"Yes"),1,0)</f>
        <v/>
      </c>
      <c r="AE422" s="79">
        <f>IF(AND(AD422=1,T422&lt;&gt;""),IF(T422&lt;AsOf,1,0),0)</f>
        <v/>
      </c>
      <c r="AF422" s="79">
        <f>IF(AND(AD422=1,T422&lt;&gt;""),IF(AND(T422&gt;=AsOf,T422&lt;=AsOf+AlertDays),1,0),0)</f>
        <v/>
      </c>
      <c r="AG422" s="79">
        <f>IF(Y422="Order now",1,0)</f>
        <v/>
      </c>
      <c r="AH422" s="79">
        <f>IF(OR(Y422="⚠️ Order late — install at risk",Y422="⚠️ Delivery after install date"),1,0)</f>
        <v/>
      </c>
      <c r="AI422" s="79">
        <f>IF(AND(B422&lt;&gt;"",K422&lt;&gt;"",U422&lt;&gt;"Yes",X422&lt;&gt;"Yes"),1,0)</f>
        <v/>
      </c>
      <c r="AJ422" s="79">
        <f>IF(Y422="⚠️ Order late — install at risk",1,0)</f>
        <v/>
      </c>
    </row>
    <row r="423" ht="20" customHeight="1">
      <c r="B423" s="72" t="n"/>
      <c r="C423" s="72" t="n"/>
      <c r="D423" s="72" t="n"/>
      <c r="E423" s="72" t="n"/>
      <c r="F423" s="73" t="n"/>
      <c r="G423" s="72" t="n"/>
      <c r="H423" s="73" t="n"/>
      <c r="I423" s="72" t="n"/>
      <c r="J423" s="73" t="n"/>
      <c r="K423" s="74" t="n"/>
      <c r="L423" s="75">
        <f>IF(K423="A",F423,IF(K423="B",H423,IF(K423="C",J423,"")))</f>
        <v/>
      </c>
      <c r="M423" s="72" t="n"/>
      <c r="N423" s="72" t="n"/>
      <c r="O423" s="89" t="n"/>
      <c r="P423" s="89" t="n"/>
      <c r="Q423" s="109" t="n"/>
      <c r="R423" s="120">
        <f>IF(B423="","",IF(Q423&lt;&gt;"",Q423,IF(P423="","",IFERROR(INDEX('Timeline'!$J$7:$J$1006,MATCH(P423,'Timeline'!$B$7:$B$1006,0)),""))))</f>
        <v/>
      </c>
      <c r="S423" s="126">
        <f>IF(R423="","",R423-IF(O423="",0,O423)-OrderBuf)</f>
        <v/>
      </c>
      <c r="T423" s="126">
        <f>IF(S423="","",S423-DecideBuf)</f>
        <v/>
      </c>
      <c r="U423" s="74" t="n"/>
      <c r="V423" s="109" t="n"/>
      <c r="W423" s="109" t="n"/>
      <c r="X423" s="74" t="n"/>
      <c r="Y423" s="116">
        <f>IF(B423="","",IF(X423="Yes","Delivered",IF(U423="Yes",IF(AND(W423&lt;&gt;"",R423&lt;&gt;""),IF(W423&gt;R423,"⚠️ Delivery after install date","Ordered"),"Ordered"),IF(K423="",IF(T423="","Waiting for decision",IF(T423&lt;=AsOf+AlertDays,"Decide now","Waiting for decision")),IF(S423="","Selected",IF(AsOf&gt;S423,"⚠️ Order late — install at risk",IF(S423&lt;=AsOf+AlertDays,"Order now","Selected")))))))</f>
        <v/>
      </c>
      <c r="Z423" s="79">
        <f>IF(B423="","",IF(OR(AH423=1,AE423=1),2,IF(OR(AG423=1,AF423=1),1,IF(OR(Y423="Ordered",Y423="Delivered"),0,""))))</f>
        <v/>
      </c>
      <c r="AA423" s="112">
        <f>IF(B423="","",IF(AH423=1,IF(Y423="⚠️ Delivery after install date",R423,S423),IF(AD423=1,T423,IF(AI423=1,S423,""))))</f>
        <v/>
      </c>
      <c r="AB423" s="79">
        <f>IF(AA423="","",IF(AH423=1,1,IF(AA423="","",IF(AA423&lt;AsOf,1,IF(AA423&lt;=AsOf+AlertDays,2,IF(AA423&lt;=AsOf+2*AlertDays,3,""))))))</f>
        <v/>
      </c>
      <c r="AC423" s="79">
        <f>IF(AB423="","",IF(AH423=1,IF(Y423="⚠️ Delivery after install date","Delivery after install date: "&amp;B423,"Order late — install at risk: "&amp;B423),IF(AD423=1,IF(AB423=1,"Decision overdue: ","Decide: ")&amp;B423,"Order: "&amp;B423&amp;IF(N423="",""," from "&amp;N423))))</f>
        <v/>
      </c>
      <c r="AD423" s="79">
        <f>IF(AND(B423&lt;&gt;"",K423="",U423&lt;&gt;"Yes",X423&lt;&gt;"Yes"),1,0)</f>
        <v/>
      </c>
      <c r="AE423" s="79">
        <f>IF(AND(AD423=1,T423&lt;&gt;""),IF(T423&lt;AsOf,1,0),0)</f>
        <v/>
      </c>
      <c r="AF423" s="79">
        <f>IF(AND(AD423=1,T423&lt;&gt;""),IF(AND(T423&gt;=AsOf,T423&lt;=AsOf+AlertDays),1,0),0)</f>
        <v/>
      </c>
      <c r="AG423" s="79">
        <f>IF(Y423="Order now",1,0)</f>
        <v/>
      </c>
      <c r="AH423" s="79">
        <f>IF(OR(Y423="⚠️ Order late — install at risk",Y423="⚠️ Delivery after install date"),1,0)</f>
        <v/>
      </c>
      <c r="AI423" s="79">
        <f>IF(AND(B423&lt;&gt;"",K423&lt;&gt;"",U423&lt;&gt;"Yes",X423&lt;&gt;"Yes"),1,0)</f>
        <v/>
      </c>
      <c r="AJ423" s="79">
        <f>IF(Y423="⚠️ Order late — install at risk",1,0)</f>
        <v/>
      </c>
    </row>
    <row r="424" ht="20" customHeight="1">
      <c r="B424" s="72" t="n"/>
      <c r="C424" s="72" t="n"/>
      <c r="D424" s="72" t="n"/>
      <c r="E424" s="72" t="n"/>
      <c r="F424" s="73" t="n"/>
      <c r="G424" s="72" t="n"/>
      <c r="H424" s="73" t="n"/>
      <c r="I424" s="72" t="n"/>
      <c r="J424" s="73" t="n"/>
      <c r="K424" s="74" t="n"/>
      <c r="L424" s="75">
        <f>IF(K424="A",F424,IF(K424="B",H424,IF(K424="C",J424,"")))</f>
        <v/>
      </c>
      <c r="M424" s="72" t="n"/>
      <c r="N424" s="72" t="n"/>
      <c r="O424" s="89" t="n"/>
      <c r="P424" s="89" t="n"/>
      <c r="Q424" s="109" t="n"/>
      <c r="R424" s="120">
        <f>IF(B424="","",IF(Q424&lt;&gt;"",Q424,IF(P424="","",IFERROR(INDEX('Timeline'!$J$7:$J$1006,MATCH(P424,'Timeline'!$B$7:$B$1006,0)),""))))</f>
        <v/>
      </c>
      <c r="S424" s="126">
        <f>IF(R424="","",R424-IF(O424="",0,O424)-OrderBuf)</f>
        <v/>
      </c>
      <c r="T424" s="126">
        <f>IF(S424="","",S424-DecideBuf)</f>
        <v/>
      </c>
      <c r="U424" s="74" t="n"/>
      <c r="V424" s="109" t="n"/>
      <c r="W424" s="109" t="n"/>
      <c r="X424" s="74" t="n"/>
      <c r="Y424" s="116">
        <f>IF(B424="","",IF(X424="Yes","Delivered",IF(U424="Yes",IF(AND(W424&lt;&gt;"",R424&lt;&gt;""),IF(W424&gt;R424,"⚠️ Delivery after install date","Ordered"),"Ordered"),IF(K424="",IF(T424="","Waiting for decision",IF(T424&lt;=AsOf+AlertDays,"Decide now","Waiting for decision")),IF(S424="","Selected",IF(AsOf&gt;S424,"⚠️ Order late — install at risk",IF(S424&lt;=AsOf+AlertDays,"Order now","Selected")))))))</f>
        <v/>
      </c>
      <c r="Z424" s="79">
        <f>IF(B424="","",IF(OR(AH424=1,AE424=1),2,IF(OR(AG424=1,AF424=1),1,IF(OR(Y424="Ordered",Y424="Delivered"),0,""))))</f>
        <v/>
      </c>
      <c r="AA424" s="112">
        <f>IF(B424="","",IF(AH424=1,IF(Y424="⚠️ Delivery after install date",R424,S424),IF(AD424=1,T424,IF(AI424=1,S424,""))))</f>
        <v/>
      </c>
      <c r="AB424" s="79">
        <f>IF(AA424="","",IF(AH424=1,1,IF(AA424="","",IF(AA424&lt;AsOf,1,IF(AA424&lt;=AsOf+AlertDays,2,IF(AA424&lt;=AsOf+2*AlertDays,3,""))))))</f>
        <v/>
      </c>
      <c r="AC424" s="79">
        <f>IF(AB424="","",IF(AH424=1,IF(Y424="⚠️ Delivery after install date","Delivery after install date: "&amp;B424,"Order late — install at risk: "&amp;B424),IF(AD424=1,IF(AB424=1,"Decision overdue: ","Decide: ")&amp;B424,"Order: "&amp;B424&amp;IF(N424="",""," from "&amp;N424))))</f>
        <v/>
      </c>
      <c r="AD424" s="79">
        <f>IF(AND(B424&lt;&gt;"",K424="",U424&lt;&gt;"Yes",X424&lt;&gt;"Yes"),1,0)</f>
        <v/>
      </c>
      <c r="AE424" s="79">
        <f>IF(AND(AD424=1,T424&lt;&gt;""),IF(T424&lt;AsOf,1,0),0)</f>
        <v/>
      </c>
      <c r="AF424" s="79">
        <f>IF(AND(AD424=1,T424&lt;&gt;""),IF(AND(T424&gt;=AsOf,T424&lt;=AsOf+AlertDays),1,0),0)</f>
        <v/>
      </c>
      <c r="AG424" s="79">
        <f>IF(Y424="Order now",1,0)</f>
        <v/>
      </c>
      <c r="AH424" s="79">
        <f>IF(OR(Y424="⚠️ Order late — install at risk",Y424="⚠️ Delivery after install date"),1,0)</f>
        <v/>
      </c>
      <c r="AI424" s="79">
        <f>IF(AND(B424&lt;&gt;"",K424&lt;&gt;"",U424&lt;&gt;"Yes",X424&lt;&gt;"Yes"),1,0)</f>
        <v/>
      </c>
      <c r="AJ424" s="79">
        <f>IF(Y424="⚠️ Order late — install at risk",1,0)</f>
        <v/>
      </c>
    </row>
    <row r="425" ht="20" customHeight="1">
      <c r="B425" s="72" t="n"/>
      <c r="C425" s="72" t="n"/>
      <c r="D425" s="72" t="n"/>
      <c r="E425" s="72" t="n"/>
      <c r="F425" s="73" t="n"/>
      <c r="G425" s="72" t="n"/>
      <c r="H425" s="73" t="n"/>
      <c r="I425" s="72" t="n"/>
      <c r="J425" s="73" t="n"/>
      <c r="K425" s="74" t="n"/>
      <c r="L425" s="75">
        <f>IF(K425="A",F425,IF(K425="B",H425,IF(K425="C",J425,"")))</f>
        <v/>
      </c>
      <c r="M425" s="72" t="n"/>
      <c r="N425" s="72" t="n"/>
      <c r="O425" s="89" t="n"/>
      <c r="P425" s="89" t="n"/>
      <c r="Q425" s="109" t="n"/>
      <c r="R425" s="120">
        <f>IF(B425="","",IF(Q425&lt;&gt;"",Q425,IF(P425="","",IFERROR(INDEX('Timeline'!$J$7:$J$1006,MATCH(P425,'Timeline'!$B$7:$B$1006,0)),""))))</f>
        <v/>
      </c>
      <c r="S425" s="126">
        <f>IF(R425="","",R425-IF(O425="",0,O425)-OrderBuf)</f>
        <v/>
      </c>
      <c r="T425" s="126">
        <f>IF(S425="","",S425-DecideBuf)</f>
        <v/>
      </c>
      <c r="U425" s="74" t="n"/>
      <c r="V425" s="109" t="n"/>
      <c r="W425" s="109" t="n"/>
      <c r="X425" s="74" t="n"/>
      <c r="Y425" s="116">
        <f>IF(B425="","",IF(X425="Yes","Delivered",IF(U425="Yes",IF(AND(W425&lt;&gt;"",R425&lt;&gt;""),IF(W425&gt;R425,"⚠️ Delivery after install date","Ordered"),"Ordered"),IF(K425="",IF(T425="","Waiting for decision",IF(T425&lt;=AsOf+AlertDays,"Decide now","Waiting for decision")),IF(S425="","Selected",IF(AsOf&gt;S425,"⚠️ Order late — install at risk",IF(S425&lt;=AsOf+AlertDays,"Order now","Selected")))))))</f>
        <v/>
      </c>
      <c r="Z425" s="79">
        <f>IF(B425="","",IF(OR(AH425=1,AE425=1),2,IF(OR(AG425=1,AF425=1),1,IF(OR(Y425="Ordered",Y425="Delivered"),0,""))))</f>
        <v/>
      </c>
      <c r="AA425" s="112">
        <f>IF(B425="","",IF(AH425=1,IF(Y425="⚠️ Delivery after install date",R425,S425),IF(AD425=1,T425,IF(AI425=1,S425,""))))</f>
        <v/>
      </c>
      <c r="AB425" s="79">
        <f>IF(AA425="","",IF(AH425=1,1,IF(AA425="","",IF(AA425&lt;AsOf,1,IF(AA425&lt;=AsOf+AlertDays,2,IF(AA425&lt;=AsOf+2*AlertDays,3,""))))))</f>
        <v/>
      </c>
      <c r="AC425" s="79">
        <f>IF(AB425="","",IF(AH425=1,IF(Y425="⚠️ Delivery after install date","Delivery after install date: "&amp;B425,"Order late — install at risk: "&amp;B425),IF(AD425=1,IF(AB425=1,"Decision overdue: ","Decide: ")&amp;B425,"Order: "&amp;B425&amp;IF(N425="",""," from "&amp;N425))))</f>
        <v/>
      </c>
      <c r="AD425" s="79">
        <f>IF(AND(B425&lt;&gt;"",K425="",U425&lt;&gt;"Yes",X425&lt;&gt;"Yes"),1,0)</f>
        <v/>
      </c>
      <c r="AE425" s="79">
        <f>IF(AND(AD425=1,T425&lt;&gt;""),IF(T425&lt;AsOf,1,0),0)</f>
        <v/>
      </c>
      <c r="AF425" s="79">
        <f>IF(AND(AD425=1,T425&lt;&gt;""),IF(AND(T425&gt;=AsOf,T425&lt;=AsOf+AlertDays),1,0),0)</f>
        <v/>
      </c>
      <c r="AG425" s="79">
        <f>IF(Y425="Order now",1,0)</f>
        <v/>
      </c>
      <c r="AH425" s="79">
        <f>IF(OR(Y425="⚠️ Order late — install at risk",Y425="⚠️ Delivery after install date"),1,0)</f>
        <v/>
      </c>
      <c r="AI425" s="79">
        <f>IF(AND(B425&lt;&gt;"",K425&lt;&gt;"",U425&lt;&gt;"Yes",X425&lt;&gt;"Yes"),1,0)</f>
        <v/>
      </c>
      <c r="AJ425" s="79">
        <f>IF(Y425="⚠️ Order late — install at risk",1,0)</f>
        <v/>
      </c>
    </row>
    <row r="426" ht="20" customHeight="1">
      <c r="B426" s="72" t="n"/>
      <c r="C426" s="72" t="n"/>
      <c r="D426" s="72" t="n"/>
      <c r="E426" s="72" t="n"/>
      <c r="F426" s="73" t="n"/>
      <c r="G426" s="72" t="n"/>
      <c r="H426" s="73" t="n"/>
      <c r="I426" s="72" t="n"/>
      <c r="J426" s="73" t="n"/>
      <c r="K426" s="74" t="n"/>
      <c r="L426" s="75">
        <f>IF(K426="A",F426,IF(K426="B",H426,IF(K426="C",J426,"")))</f>
        <v/>
      </c>
      <c r="M426" s="72" t="n"/>
      <c r="N426" s="72" t="n"/>
      <c r="O426" s="89" t="n"/>
      <c r="P426" s="89" t="n"/>
      <c r="Q426" s="109" t="n"/>
      <c r="R426" s="120">
        <f>IF(B426="","",IF(Q426&lt;&gt;"",Q426,IF(P426="","",IFERROR(INDEX('Timeline'!$J$7:$J$1006,MATCH(P426,'Timeline'!$B$7:$B$1006,0)),""))))</f>
        <v/>
      </c>
      <c r="S426" s="126">
        <f>IF(R426="","",R426-IF(O426="",0,O426)-OrderBuf)</f>
        <v/>
      </c>
      <c r="T426" s="126">
        <f>IF(S426="","",S426-DecideBuf)</f>
        <v/>
      </c>
      <c r="U426" s="74" t="n"/>
      <c r="V426" s="109" t="n"/>
      <c r="W426" s="109" t="n"/>
      <c r="X426" s="74" t="n"/>
      <c r="Y426" s="116">
        <f>IF(B426="","",IF(X426="Yes","Delivered",IF(U426="Yes",IF(AND(W426&lt;&gt;"",R426&lt;&gt;""),IF(W426&gt;R426,"⚠️ Delivery after install date","Ordered"),"Ordered"),IF(K426="",IF(T426="","Waiting for decision",IF(T426&lt;=AsOf+AlertDays,"Decide now","Waiting for decision")),IF(S426="","Selected",IF(AsOf&gt;S426,"⚠️ Order late — install at risk",IF(S426&lt;=AsOf+AlertDays,"Order now","Selected")))))))</f>
        <v/>
      </c>
      <c r="Z426" s="79">
        <f>IF(B426="","",IF(OR(AH426=1,AE426=1),2,IF(OR(AG426=1,AF426=1),1,IF(OR(Y426="Ordered",Y426="Delivered"),0,""))))</f>
        <v/>
      </c>
      <c r="AA426" s="112">
        <f>IF(B426="","",IF(AH426=1,IF(Y426="⚠️ Delivery after install date",R426,S426),IF(AD426=1,T426,IF(AI426=1,S426,""))))</f>
        <v/>
      </c>
      <c r="AB426" s="79">
        <f>IF(AA426="","",IF(AH426=1,1,IF(AA426="","",IF(AA426&lt;AsOf,1,IF(AA426&lt;=AsOf+AlertDays,2,IF(AA426&lt;=AsOf+2*AlertDays,3,""))))))</f>
        <v/>
      </c>
      <c r="AC426" s="79">
        <f>IF(AB426="","",IF(AH426=1,IF(Y426="⚠️ Delivery after install date","Delivery after install date: "&amp;B426,"Order late — install at risk: "&amp;B426),IF(AD426=1,IF(AB426=1,"Decision overdue: ","Decide: ")&amp;B426,"Order: "&amp;B426&amp;IF(N426="",""," from "&amp;N426))))</f>
        <v/>
      </c>
      <c r="AD426" s="79">
        <f>IF(AND(B426&lt;&gt;"",K426="",U426&lt;&gt;"Yes",X426&lt;&gt;"Yes"),1,0)</f>
        <v/>
      </c>
      <c r="AE426" s="79">
        <f>IF(AND(AD426=1,T426&lt;&gt;""),IF(T426&lt;AsOf,1,0),0)</f>
        <v/>
      </c>
      <c r="AF426" s="79">
        <f>IF(AND(AD426=1,T426&lt;&gt;""),IF(AND(T426&gt;=AsOf,T426&lt;=AsOf+AlertDays),1,0),0)</f>
        <v/>
      </c>
      <c r="AG426" s="79">
        <f>IF(Y426="Order now",1,0)</f>
        <v/>
      </c>
      <c r="AH426" s="79">
        <f>IF(OR(Y426="⚠️ Order late — install at risk",Y426="⚠️ Delivery after install date"),1,0)</f>
        <v/>
      </c>
      <c r="AI426" s="79">
        <f>IF(AND(B426&lt;&gt;"",K426&lt;&gt;"",U426&lt;&gt;"Yes",X426&lt;&gt;"Yes"),1,0)</f>
        <v/>
      </c>
      <c r="AJ426" s="79">
        <f>IF(Y426="⚠️ Order late — install at risk",1,0)</f>
        <v/>
      </c>
    </row>
    <row r="427" ht="20" customHeight="1">
      <c r="B427" s="72" t="n"/>
      <c r="C427" s="72" t="n"/>
      <c r="D427" s="72" t="n"/>
      <c r="E427" s="72" t="n"/>
      <c r="F427" s="73" t="n"/>
      <c r="G427" s="72" t="n"/>
      <c r="H427" s="73" t="n"/>
      <c r="I427" s="72" t="n"/>
      <c r="J427" s="73" t="n"/>
      <c r="K427" s="74" t="n"/>
      <c r="L427" s="75">
        <f>IF(K427="A",F427,IF(K427="B",H427,IF(K427="C",J427,"")))</f>
        <v/>
      </c>
      <c r="M427" s="72" t="n"/>
      <c r="N427" s="72" t="n"/>
      <c r="O427" s="89" t="n"/>
      <c r="P427" s="89" t="n"/>
      <c r="Q427" s="109" t="n"/>
      <c r="R427" s="120">
        <f>IF(B427="","",IF(Q427&lt;&gt;"",Q427,IF(P427="","",IFERROR(INDEX('Timeline'!$J$7:$J$1006,MATCH(P427,'Timeline'!$B$7:$B$1006,0)),""))))</f>
        <v/>
      </c>
      <c r="S427" s="126">
        <f>IF(R427="","",R427-IF(O427="",0,O427)-OrderBuf)</f>
        <v/>
      </c>
      <c r="T427" s="126">
        <f>IF(S427="","",S427-DecideBuf)</f>
        <v/>
      </c>
      <c r="U427" s="74" t="n"/>
      <c r="V427" s="109" t="n"/>
      <c r="W427" s="109" t="n"/>
      <c r="X427" s="74" t="n"/>
      <c r="Y427" s="116">
        <f>IF(B427="","",IF(X427="Yes","Delivered",IF(U427="Yes",IF(AND(W427&lt;&gt;"",R427&lt;&gt;""),IF(W427&gt;R427,"⚠️ Delivery after install date","Ordered"),"Ordered"),IF(K427="",IF(T427="","Waiting for decision",IF(T427&lt;=AsOf+AlertDays,"Decide now","Waiting for decision")),IF(S427="","Selected",IF(AsOf&gt;S427,"⚠️ Order late — install at risk",IF(S427&lt;=AsOf+AlertDays,"Order now","Selected")))))))</f>
        <v/>
      </c>
      <c r="Z427" s="79">
        <f>IF(B427="","",IF(OR(AH427=1,AE427=1),2,IF(OR(AG427=1,AF427=1),1,IF(OR(Y427="Ordered",Y427="Delivered"),0,""))))</f>
        <v/>
      </c>
      <c r="AA427" s="112">
        <f>IF(B427="","",IF(AH427=1,IF(Y427="⚠️ Delivery after install date",R427,S427),IF(AD427=1,T427,IF(AI427=1,S427,""))))</f>
        <v/>
      </c>
      <c r="AB427" s="79">
        <f>IF(AA427="","",IF(AH427=1,1,IF(AA427="","",IF(AA427&lt;AsOf,1,IF(AA427&lt;=AsOf+AlertDays,2,IF(AA427&lt;=AsOf+2*AlertDays,3,""))))))</f>
        <v/>
      </c>
      <c r="AC427" s="79">
        <f>IF(AB427="","",IF(AH427=1,IF(Y427="⚠️ Delivery after install date","Delivery after install date: "&amp;B427,"Order late — install at risk: "&amp;B427),IF(AD427=1,IF(AB427=1,"Decision overdue: ","Decide: ")&amp;B427,"Order: "&amp;B427&amp;IF(N427="",""," from "&amp;N427))))</f>
        <v/>
      </c>
      <c r="AD427" s="79">
        <f>IF(AND(B427&lt;&gt;"",K427="",U427&lt;&gt;"Yes",X427&lt;&gt;"Yes"),1,0)</f>
        <v/>
      </c>
      <c r="AE427" s="79">
        <f>IF(AND(AD427=1,T427&lt;&gt;""),IF(T427&lt;AsOf,1,0),0)</f>
        <v/>
      </c>
      <c r="AF427" s="79">
        <f>IF(AND(AD427=1,T427&lt;&gt;""),IF(AND(T427&gt;=AsOf,T427&lt;=AsOf+AlertDays),1,0),0)</f>
        <v/>
      </c>
      <c r="AG427" s="79">
        <f>IF(Y427="Order now",1,0)</f>
        <v/>
      </c>
      <c r="AH427" s="79">
        <f>IF(OR(Y427="⚠️ Order late — install at risk",Y427="⚠️ Delivery after install date"),1,0)</f>
        <v/>
      </c>
      <c r="AI427" s="79">
        <f>IF(AND(B427&lt;&gt;"",K427&lt;&gt;"",U427&lt;&gt;"Yes",X427&lt;&gt;"Yes"),1,0)</f>
        <v/>
      </c>
      <c r="AJ427" s="79">
        <f>IF(Y427="⚠️ Order late — install at risk",1,0)</f>
        <v/>
      </c>
    </row>
    <row r="428" ht="20" customHeight="1">
      <c r="B428" s="72" t="n"/>
      <c r="C428" s="72" t="n"/>
      <c r="D428" s="72" t="n"/>
      <c r="E428" s="72" t="n"/>
      <c r="F428" s="73" t="n"/>
      <c r="G428" s="72" t="n"/>
      <c r="H428" s="73" t="n"/>
      <c r="I428" s="72" t="n"/>
      <c r="J428" s="73" t="n"/>
      <c r="K428" s="74" t="n"/>
      <c r="L428" s="75">
        <f>IF(K428="A",F428,IF(K428="B",H428,IF(K428="C",J428,"")))</f>
        <v/>
      </c>
      <c r="M428" s="72" t="n"/>
      <c r="N428" s="72" t="n"/>
      <c r="O428" s="89" t="n"/>
      <c r="P428" s="89" t="n"/>
      <c r="Q428" s="109" t="n"/>
      <c r="R428" s="120">
        <f>IF(B428="","",IF(Q428&lt;&gt;"",Q428,IF(P428="","",IFERROR(INDEX('Timeline'!$J$7:$J$1006,MATCH(P428,'Timeline'!$B$7:$B$1006,0)),""))))</f>
        <v/>
      </c>
      <c r="S428" s="126">
        <f>IF(R428="","",R428-IF(O428="",0,O428)-OrderBuf)</f>
        <v/>
      </c>
      <c r="T428" s="126">
        <f>IF(S428="","",S428-DecideBuf)</f>
        <v/>
      </c>
      <c r="U428" s="74" t="n"/>
      <c r="V428" s="109" t="n"/>
      <c r="W428" s="109" t="n"/>
      <c r="X428" s="74" t="n"/>
      <c r="Y428" s="116">
        <f>IF(B428="","",IF(X428="Yes","Delivered",IF(U428="Yes",IF(AND(W428&lt;&gt;"",R428&lt;&gt;""),IF(W428&gt;R428,"⚠️ Delivery after install date","Ordered"),"Ordered"),IF(K428="",IF(T428="","Waiting for decision",IF(T428&lt;=AsOf+AlertDays,"Decide now","Waiting for decision")),IF(S428="","Selected",IF(AsOf&gt;S428,"⚠️ Order late — install at risk",IF(S428&lt;=AsOf+AlertDays,"Order now","Selected")))))))</f>
        <v/>
      </c>
      <c r="Z428" s="79">
        <f>IF(B428="","",IF(OR(AH428=1,AE428=1),2,IF(OR(AG428=1,AF428=1),1,IF(OR(Y428="Ordered",Y428="Delivered"),0,""))))</f>
        <v/>
      </c>
      <c r="AA428" s="112">
        <f>IF(B428="","",IF(AH428=1,IF(Y428="⚠️ Delivery after install date",R428,S428),IF(AD428=1,T428,IF(AI428=1,S428,""))))</f>
        <v/>
      </c>
      <c r="AB428" s="79">
        <f>IF(AA428="","",IF(AH428=1,1,IF(AA428="","",IF(AA428&lt;AsOf,1,IF(AA428&lt;=AsOf+AlertDays,2,IF(AA428&lt;=AsOf+2*AlertDays,3,""))))))</f>
        <v/>
      </c>
      <c r="AC428" s="79">
        <f>IF(AB428="","",IF(AH428=1,IF(Y428="⚠️ Delivery after install date","Delivery after install date: "&amp;B428,"Order late — install at risk: "&amp;B428),IF(AD428=1,IF(AB428=1,"Decision overdue: ","Decide: ")&amp;B428,"Order: "&amp;B428&amp;IF(N428="",""," from "&amp;N428))))</f>
        <v/>
      </c>
      <c r="AD428" s="79">
        <f>IF(AND(B428&lt;&gt;"",K428="",U428&lt;&gt;"Yes",X428&lt;&gt;"Yes"),1,0)</f>
        <v/>
      </c>
      <c r="AE428" s="79">
        <f>IF(AND(AD428=1,T428&lt;&gt;""),IF(T428&lt;AsOf,1,0),0)</f>
        <v/>
      </c>
      <c r="AF428" s="79">
        <f>IF(AND(AD428=1,T428&lt;&gt;""),IF(AND(T428&gt;=AsOf,T428&lt;=AsOf+AlertDays),1,0),0)</f>
        <v/>
      </c>
      <c r="AG428" s="79">
        <f>IF(Y428="Order now",1,0)</f>
        <v/>
      </c>
      <c r="AH428" s="79">
        <f>IF(OR(Y428="⚠️ Order late — install at risk",Y428="⚠️ Delivery after install date"),1,0)</f>
        <v/>
      </c>
      <c r="AI428" s="79">
        <f>IF(AND(B428&lt;&gt;"",K428&lt;&gt;"",U428&lt;&gt;"Yes",X428&lt;&gt;"Yes"),1,0)</f>
        <v/>
      </c>
      <c r="AJ428" s="79">
        <f>IF(Y428="⚠️ Order late — install at risk",1,0)</f>
        <v/>
      </c>
    </row>
    <row r="429" ht="20" customHeight="1">
      <c r="B429" s="72" t="n"/>
      <c r="C429" s="72" t="n"/>
      <c r="D429" s="72" t="n"/>
      <c r="E429" s="72" t="n"/>
      <c r="F429" s="73" t="n"/>
      <c r="G429" s="72" t="n"/>
      <c r="H429" s="73" t="n"/>
      <c r="I429" s="72" t="n"/>
      <c r="J429" s="73" t="n"/>
      <c r="K429" s="74" t="n"/>
      <c r="L429" s="75">
        <f>IF(K429="A",F429,IF(K429="B",H429,IF(K429="C",J429,"")))</f>
        <v/>
      </c>
      <c r="M429" s="72" t="n"/>
      <c r="N429" s="72" t="n"/>
      <c r="O429" s="89" t="n"/>
      <c r="P429" s="89" t="n"/>
      <c r="Q429" s="109" t="n"/>
      <c r="R429" s="120">
        <f>IF(B429="","",IF(Q429&lt;&gt;"",Q429,IF(P429="","",IFERROR(INDEX('Timeline'!$J$7:$J$1006,MATCH(P429,'Timeline'!$B$7:$B$1006,0)),""))))</f>
        <v/>
      </c>
      <c r="S429" s="126">
        <f>IF(R429="","",R429-IF(O429="",0,O429)-OrderBuf)</f>
        <v/>
      </c>
      <c r="T429" s="126">
        <f>IF(S429="","",S429-DecideBuf)</f>
        <v/>
      </c>
      <c r="U429" s="74" t="n"/>
      <c r="V429" s="109" t="n"/>
      <c r="W429" s="109" t="n"/>
      <c r="X429" s="74" t="n"/>
      <c r="Y429" s="116">
        <f>IF(B429="","",IF(X429="Yes","Delivered",IF(U429="Yes",IF(AND(W429&lt;&gt;"",R429&lt;&gt;""),IF(W429&gt;R429,"⚠️ Delivery after install date","Ordered"),"Ordered"),IF(K429="",IF(T429="","Waiting for decision",IF(T429&lt;=AsOf+AlertDays,"Decide now","Waiting for decision")),IF(S429="","Selected",IF(AsOf&gt;S429,"⚠️ Order late — install at risk",IF(S429&lt;=AsOf+AlertDays,"Order now","Selected")))))))</f>
        <v/>
      </c>
      <c r="Z429" s="79">
        <f>IF(B429="","",IF(OR(AH429=1,AE429=1),2,IF(OR(AG429=1,AF429=1),1,IF(OR(Y429="Ordered",Y429="Delivered"),0,""))))</f>
        <v/>
      </c>
      <c r="AA429" s="112">
        <f>IF(B429="","",IF(AH429=1,IF(Y429="⚠️ Delivery after install date",R429,S429),IF(AD429=1,T429,IF(AI429=1,S429,""))))</f>
        <v/>
      </c>
      <c r="AB429" s="79">
        <f>IF(AA429="","",IF(AH429=1,1,IF(AA429="","",IF(AA429&lt;AsOf,1,IF(AA429&lt;=AsOf+AlertDays,2,IF(AA429&lt;=AsOf+2*AlertDays,3,""))))))</f>
        <v/>
      </c>
      <c r="AC429" s="79">
        <f>IF(AB429="","",IF(AH429=1,IF(Y429="⚠️ Delivery after install date","Delivery after install date: "&amp;B429,"Order late — install at risk: "&amp;B429),IF(AD429=1,IF(AB429=1,"Decision overdue: ","Decide: ")&amp;B429,"Order: "&amp;B429&amp;IF(N429="",""," from "&amp;N429))))</f>
        <v/>
      </c>
      <c r="AD429" s="79">
        <f>IF(AND(B429&lt;&gt;"",K429="",U429&lt;&gt;"Yes",X429&lt;&gt;"Yes"),1,0)</f>
        <v/>
      </c>
      <c r="AE429" s="79">
        <f>IF(AND(AD429=1,T429&lt;&gt;""),IF(T429&lt;AsOf,1,0),0)</f>
        <v/>
      </c>
      <c r="AF429" s="79">
        <f>IF(AND(AD429=1,T429&lt;&gt;""),IF(AND(T429&gt;=AsOf,T429&lt;=AsOf+AlertDays),1,0),0)</f>
        <v/>
      </c>
      <c r="AG429" s="79">
        <f>IF(Y429="Order now",1,0)</f>
        <v/>
      </c>
      <c r="AH429" s="79">
        <f>IF(OR(Y429="⚠️ Order late — install at risk",Y429="⚠️ Delivery after install date"),1,0)</f>
        <v/>
      </c>
      <c r="AI429" s="79">
        <f>IF(AND(B429&lt;&gt;"",K429&lt;&gt;"",U429&lt;&gt;"Yes",X429&lt;&gt;"Yes"),1,0)</f>
        <v/>
      </c>
      <c r="AJ429" s="79">
        <f>IF(Y429="⚠️ Order late — install at risk",1,0)</f>
        <v/>
      </c>
    </row>
    <row r="430" ht="20" customHeight="1">
      <c r="B430" s="72" t="n"/>
      <c r="C430" s="72" t="n"/>
      <c r="D430" s="72" t="n"/>
      <c r="E430" s="72" t="n"/>
      <c r="F430" s="73" t="n"/>
      <c r="G430" s="72" t="n"/>
      <c r="H430" s="73" t="n"/>
      <c r="I430" s="72" t="n"/>
      <c r="J430" s="73" t="n"/>
      <c r="K430" s="74" t="n"/>
      <c r="L430" s="75">
        <f>IF(K430="A",F430,IF(K430="B",H430,IF(K430="C",J430,"")))</f>
        <v/>
      </c>
      <c r="M430" s="72" t="n"/>
      <c r="N430" s="72" t="n"/>
      <c r="O430" s="89" t="n"/>
      <c r="P430" s="89" t="n"/>
      <c r="Q430" s="109" t="n"/>
      <c r="R430" s="120">
        <f>IF(B430="","",IF(Q430&lt;&gt;"",Q430,IF(P430="","",IFERROR(INDEX('Timeline'!$J$7:$J$1006,MATCH(P430,'Timeline'!$B$7:$B$1006,0)),""))))</f>
        <v/>
      </c>
      <c r="S430" s="126">
        <f>IF(R430="","",R430-IF(O430="",0,O430)-OrderBuf)</f>
        <v/>
      </c>
      <c r="T430" s="126">
        <f>IF(S430="","",S430-DecideBuf)</f>
        <v/>
      </c>
      <c r="U430" s="74" t="n"/>
      <c r="V430" s="109" t="n"/>
      <c r="W430" s="109" t="n"/>
      <c r="X430" s="74" t="n"/>
      <c r="Y430" s="116">
        <f>IF(B430="","",IF(X430="Yes","Delivered",IF(U430="Yes",IF(AND(W430&lt;&gt;"",R430&lt;&gt;""),IF(W430&gt;R430,"⚠️ Delivery after install date","Ordered"),"Ordered"),IF(K430="",IF(T430="","Waiting for decision",IF(T430&lt;=AsOf+AlertDays,"Decide now","Waiting for decision")),IF(S430="","Selected",IF(AsOf&gt;S430,"⚠️ Order late — install at risk",IF(S430&lt;=AsOf+AlertDays,"Order now","Selected")))))))</f>
        <v/>
      </c>
      <c r="Z430" s="79">
        <f>IF(B430="","",IF(OR(AH430=1,AE430=1),2,IF(OR(AG430=1,AF430=1),1,IF(OR(Y430="Ordered",Y430="Delivered"),0,""))))</f>
        <v/>
      </c>
      <c r="AA430" s="112">
        <f>IF(B430="","",IF(AH430=1,IF(Y430="⚠️ Delivery after install date",R430,S430),IF(AD430=1,T430,IF(AI430=1,S430,""))))</f>
        <v/>
      </c>
      <c r="AB430" s="79">
        <f>IF(AA430="","",IF(AH430=1,1,IF(AA430="","",IF(AA430&lt;AsOf,1,IF(AA430&lt;=AsOf+AlertDays,2,IF(AA430&lt;=AsOf+2*AlertDays,3,""))))))</f>
        <v/>
      </c>
      <c r="AC430" s="79">
        <f>IF(AB430="","",IF(AH430=1,IF(Y430="⚠️ Delivery after install date","Delivery after install date: "&amp;B430,"Order late — install at risk: "&amp;B430),IF(AD430=1,IF(AB430=1,"Decision overdue: ","Decide: ")&amp;B430,"Order: "&amp;B430&amp;IF(N430="",""," from "&amp;N430))))</f>
        <v/>
      </c>
      <c r="AD430" s="79">
        <f>IF(AND(B430&lt;&gt;"",K430="",U430&lt;&gt;"Yes",X430&lt;&gt;"Yes"),1,0)</f>
        <v/>
      </c>
      <c r="AE430" s="79">
        <f>IF(AND(AD430=1,T430&lt;&gt;""),IF(T430&lt;AsOf,1,0),0)</f>
        <v/>
      </c>
      <c r="AF430" s="79">
        <f>IF(AND(AD430=1,T430&lt;&gt;""),IF(AND(T430&gt;=AsOf,T430&lt;=AsOf+AlertDays),1,0),0)</f>
        <v/>
      </c>
      <c r="AG430" s="79">
        <f>IF(Y430="Order now",1,0)</f>
        <v/>
      </c>
      <c r="AH430" s="79">
        <f>IF(OR(Y430="⚠️ Order late — install at risk",Y430="⚠️ Delivery after install date"),1,0)</f>
        <v/>
      </c>
      <c r="AI430" s="79">
        <f>IF(AND(B430&lt;&gt;"",K430&lt;&gt;"",U430&lt;&gt;"Yes",X430&lt;&gt;"Yes"),1,0)</f>
        <v/>
      </c>
      <c r="AJ430" s="79">
        <f>IF(Y430="⚠️ Order late — install at risk",1,0)</f>
        <v/>
      </c>
    </row>
    <row r="431" ht="20" customHeight="1">
      <c r="B431" s="72" t="n"/>
      <c r="C431" s="72" t="n"/>
      <c r="D431" s="72" t="n"/>
      <c r="E431" s="72" t="n"/>
      <c r="F431" s="73" t="n"/>
      <c r="G431" s="72" t="n"/>
      <c r="H431" s="73" t="n"/>
      <c r="I431" s="72" t="n"/>
      <c r="J431" s="73" t="n"/>
      <c r="K431" s="74" t="n"/>
      <c r="L431" s="75">
        <f>IF(K431="A",F431,IF(K431="B",H431,IF(K431="C",J431,"")))</f>
        <v/>
      </c>
      <c r="M431" s="72" t="n"/>
      <c r="N431" s="72" t="n"/>
      <c r="O431" s="89" t="n"/>
      <c r="P431" s="89" t="n"/>
      <c r="Q431" s="109" t="n"/>
      <c r="R431" s="120">
        <f>IF(B431="","",IF(Q431&lt;&gt;"",Q431,IF(P431="","",IFERROR(INDEX('Timeline'!$J$7:$J$1006,MATCH(P431,'Timeline'!$B$7:$B$1006,0)),""))))</f>
        <v/>
      </c>
      <c r="S431" s="126">
        <f>IF(R431="","",R431-IF(O431="",0,O431)-OrderBuf)</f>
        <v/>
      </c>
      <c r="T431" s="126">
        <f>IF(S431="","",S431-DecideBuf)</f>
        <v/>
      </c>
      <c r="U431" s="74" t="n"/>
      <c r="V431" s="109" t="n"/>
      <c r="W431" s="109" t="n"/>
      <c r="X431" s="74" t="n"/>
      <c r="Y431" s="116">
        <f>IF(B431="","",IF(X431="Yes","Delivered",IF(U431="Yes",IF(AND(W431&lt;&gt;"",R431&lt;&gt;""),IF(W431&gt;R431,"⚠️ Delivery after install date","Ordered"),"Ordered"),IF(K431="",IF(T431="","Waiting for decision",IF(T431&lt;=AsOf+AlertDays,"Decide now","Waiting for decision")),IF(S431="","Selected",IF(AsOf&gt;S431,"⚠️ Order late — install at risk",IF(S431&lt;=AsOf+AlertDays,"Order now","Selected")))))))</f>
        <v/>
      </c>
      <c r="Z431" s="79">
        <f>IF(B431="","",IF(OR(AH431=1,AE431=1),2,IF(OR(AG431=1,AF431=1),1,IF(OR(Y431="Ordered",Y431="Delivered"),0,""))))</f>
        <v/>
      </c>
      <c r="AA431" s="112">
        <f>IF(B431="","",IF(AH431=1,IF(Y431="⚠️ Delivery after install date",R431,S431),IF(AD431=1,T431,IF(AI431=1,S431,""))))</f>
        <v/>
      </c>
      <c r="AB431" s="79">
        <f>IF(AA431="","",IF(AH431=1,1,IF(AA431="","",IF(AA431&lt;AsOf,1,IF(AA431&lt;=AsOf+AlertDays,2,IF(AA431&lt;=AsOf+2*AlertDays,3,""))))))</f>
        <v/>
      </c>
      <c r="AC431" s="79">
        <f>IF(AB431="","",IF(AH431=1,IF(Y431="⚠️ Delivery after install date","Delivery after install date: "&amp;B431,"Order late — install at risk: "&amp;B431),IF(AD431=1,IF(AB431=1,"Decision overdue: ","Decide: ")&amp;B431,"Order: "&amp;B431&amp;IF(N431="",""," from "&amp;N431))))</f>
        <v/>
      </c>
      <c r="AD431" s="79">
        <f>IF(AND(B431&lt;&gt;"",K431="",U431&lt;&gt;"Yes",X431&lt;&gt;"Yes"),1,0)</f>
        <v/>
      </c>
      <c r="AE431" s="79">
        <f>IF(AND(AD431=1,T431&lt;&gt;""),IF(T431&lt;AsOf,1,0),0)</f>
        <v/>
      </c>
      <c r="AF431" s="79">
        <f>IF(AND(AD431=1,T431&lt;&gt;""),IF(AND(T431&gt;=AsOf,T431&lt;=AsOf+AlertDays),1,0),0)</f>
        <v/>
      </c>
      <c r="AG431" s="79">
        <f>IF(Y431="Order now",1,0)</f>
        <v/>
      </c>
      <c r="AH431" s="79">
        <f>IF(OR(Y431="⚠️ Order late — install at risk",Y431="⚠️ Delivery after install date"),1,0)</f>
        <v/>
      </c>
      <c r="AI431" s="79">
        <f>IF(AND(B431&lt;&gt;"",K431&lt;&gt;"",U431&lt;&gt;"Yes",X431&lt;&gt;"Yes"),1,0)</f>
        <v/>
      </c>
      <c r="AJ431" s="79">
        <f>IF(Y431="⚠️ Order late — install at risk",1,0)</f>
        <v/>
      </c>
    </row>
    <row r="432" ht="20" customHeight="1">
      <c r="B432" s="72" t="n"/>
      <c r="C432" s="72" t="n"/>
      <c r="D432" s="72" t="n"/>
      <c r="E432" s="72" t="n"/>
      <c r="F432" s="73" t="n"/>
      <c r="G432" s="72" t="n"/>
      <c r="H432" s="73" t="n"/>
      <c r="I432" s="72" t="n"/>
      <c r="J432" s="73" t="n"/>
      <c r="K432" s="74" t="n"/>
      <c r="L432" s="75">
        <f>IF(K432="A",F432,IF(K432="B",H432,IF(K432="C",J432,"")))</f>
        <v/>
      </c>
      <c r="M432" s="72" t="n"/>
      <c r="N432" s="72" t="n"/>
      <c r="O432" s="89" t="n"/>
      <c r="P432" s="89" t="n"/>
      <c r="Q432" s="109" t="n"/>
      <c r="R432" s="120">
        <f>IF(B432="","",IF(Q432&lt;&gt;"",Q432,IF(P432="","",IFERROR(INDEX('Timeline'!$J$7:$J$1006,MATCH(P432,'Timeline'!$B$7:$B$1006,0)),""))))</f>
        <v/>
      </c>
      <c r="S432" s="126">
        <f>IF(R432="","",R432-IF(O432="",0,O432)-OrderBuf)</f>
        <v/>
      </c>
      <c r="T432" s="126">
        <f>IF(S432="","",S432-DecideBuf)</f>
        <v/>
      </c>
      <c r="U432" s="74" t="n"/>
      <c r="V432" s="109" t="n"/>
      <c r="W432" s="109" t="n"/>
      <c r="X432" s="74" t="n"/>
      <c r="Y432" s="116">
        <f>IF(B432="","",IF(X432="Yes","Delivered",IF(U432="Yes",IF(AND(W432&lt;&gt;"",R432&lt;&gt;""),IF(W432&gt;R432,"⚠️ Delivery after install date","Ordered"),"Ordered"),IF(K432="",IF(T432="","Waiting for decision",IF(T432&lt;=AsOf+AlertDays,"Decide now","Waiting for decision")),IF(S432="","Selected",IF(AsOf&gt;S432,"⚠️ Order late — install at risk",IF(S432&lt;=AsOf+AlertDays,"Order now","Selected")))))))</f>
        <v/>
      </c>
      <c r="Z432" s="79">
        <f>IF(B432="","",IF(OR(AH432=1,AE432=1),2,IF(OR(AG432=1,AF432=1),1,IF(OR(Y432="Ordered",Y432="Delivered"),0,""))))</f>
        <v/>
      </c>
      <c r="AA432" s="112">
        <f>IF(B432="","",IF(AH432=1,IF(Y432="⚠️ Delivery after install date",R432,S432),IF(AD432=1,T432,IF(AI432=1,S432,""))))</f>
        <v/>
      </c>
      <c r="AB432" s="79">
        <f>IF(AA432="","",IF(AH432=1,1,IF(AA432="","",IF(AA432&lt;AsOf,1,IF(AA432&lt;=AsOf+AlertDays,2,IF(AA432&lt;=AsOf+2*AlertDays,3,""))))))</f>
        <v/>
      </c>
      <c r="AC432" s="79">
        <f>IF(AB432="","",IF(AH432=1,IF(Y432="⚠️ Delivery after install date","Delivery after install date: "&amp;B432,"Order late — install at risk: "&amp;B432),IF(AD432=1,IF(AB432=1,"Decision overdue: ","Decide: ")&amp;B432,"Order: "&amp;B432&amp;IF(N432="",""," from "&amp;N432))))</f>
        <v/>
      </c>
      <c r="AD432" s="79">
        <f>IF(AND(B432&lt;&gt;"",K432="",U432&lt;&gt;"Yes",X432&lt;&gt;"Yes"),1,0)</f>
        <v/>
      </c>
      <c r="AE432" s="79">
        <f>IF(AND(AD432=1,T432&lt;&gt;""),IF(T432&lt;AsOf,1,0),0)</f>
        <v/>
      </c>
      <c r="AF432" s="79">
        <f>IF(AND(AD432=1,T432&lt;&gt;""),IF(AND(T432&gt;=AsOf,T432&lt;=AsOf+AlertDays),1,0),0)</f>
        <v/>
      </c>
      <c r="AG432" s="79">
        <f>IF(Y432="Order now",1,0)</f>
        <v/>
      </c>
      <c r="AH432" s="79">
        <f>IF(OR(Y432="⚠️ Order late — install at risk",Y432="⚠️ Delivery after install date"),1,0)</f>
        <v/>
      </c>
      <c r="AI432" s="79">
        <f>IF(AND(B432&lt;&gt;"",K432&lt;&gt;"",U432&lt;&gt;"Yes",X432&lt;&gt;"Yes"),1,0)</f>
        <v/>
      </c>
      <c r="AJ432" s="79">
        <f>IF(Y432="⚠️ Order late — install at risk",1,0)</f>
        <v/>
      </c>
    </row>
    <row r="433" ht="20" customHeight="1">
      <c r="B433" s="72" t="n"/>
      <c r="C433" s="72" t="n"/>
      <c r="D433" s="72" t="n"/>
      <c r="E433" s="72" t="n"/>
      <c r="F433" s="73" t="n"/>
      <c r="G433" s="72" t="n"/>
      <c r="H433" s="73" t="n"/>
      <c r="I433" s="72" t="n"/>
      <c r="J433" s="73" t="n"/>
      <c r="K433" s="74" t="n"/>
      <c r="L433" s="75">
        <f>IF(K433="A",F433,IF(K433="B",H433,IF(K433="C",J433,"")))</f>
        <v/>
      </c>
      <c r="M433" s="72" t="n"/>
      <c r="N433" s="72" t="n"/>
      <c r="O433" s="89" t="n"/>
      <c r="P433" s="89" t="n"/>
      <c r="Q433" s="109" t="n"/>
      <c r="R433" s="120">
        <f>IF(B433="","",IF(Q433&lt;&gt;"",Q433,IF(P433="","",IFERROR(INDEX('Timeline'!$J$7:$J$1006,MATCH(P433,'Timeline'!$B$7:$B$1006,0)),""))))</f>
        <v/>
      </c>
      <c r="S433" s="126">
        <f>IF(R433="","",R433-IF(O433="",0,O433)-OrderBuf)</f>
        <v/>
      </c>
      <c r="T433" s="126">
        <f>IF(S433="","",S433-DecideBuf)</f>
        <v/>
      </c>
      <c r="U433" s="74" t="n"/>
      <c r="V433" s="109" t="n"/>
      <c r="W433" s="109" t="n"/>
      <c r="X433" s="74" t="n"/>
      <c r="Y433" s="116">
        <f>IF(B433="","",IF(X433="Yes","Delivered",IF(U433="Yes",IF(AND(W433&lt;&gt;"",R433&lt;&gt;""),IF(W433&gt;R433,"⚠️ Delivery after install date","Ordered"),"Ordered"),IF(K433="",IF(T433="","Waiting for decision",IF(T433&lt;=AsOf+AlertDays,"Decide now","Waiting for decision")),IF(S433="","Selected",IF(AsOf&gt;S433,"⚠️ Order late — install at risk",IF(S433&lt;=AsOf+AlertDays,"Order now","Selected")))))))</f>
        <v/>
      </c>
      <c r="Z433" s="79">
        <f>IF(B433="","",IF(OR(AH433=1,AE433=1),2,IF(OR(AG433=1,AF433=1),1,IF(OR(Y433="Ordered",Y433="Delivered"),0,""))))</f>
        <v/>
      </c>
      <c r="AA433" s="112">
        <f>IF(B433="","",IF(AH433=1,IF(Y433="⚠️ Delivery after install date",R433,S433),IF(AD433=1,T433,IF(AI433=1,S433,""))))</f>
        <v/>
      </c>
      <c r="AB433" s="79">
        <f>IF(AA433="","",IF(AH433=1,1,IF(AA433="","",IF(AA433&lt;AsOf,1,IF(AA433&lt;=AsOf+AlertDays,2,IF(AA433&lt;=AsOf+2*AlertDays,3,""))))))</f>
        <v/>
      </c>
      <c r="AC433" s="79">
        <f>IF(AB433="","",IF(AH433=1,IF(Y433="⚠️ Delivery after install date","Delivery after install date: "&amp;B433,"Order late — install at risk: "&amp;B433),IF(AD433=1,IF(AB433=1,"Decision overdue: ","Decide: ")&amp;B433,"Order: "&amp;B433&amp;IF(N433="",""," from "&amp;N433))))</f>
        <v/>
      </c>
      <c r="AD433" s="79">
        <f>IF(AND(B433&lt;&gt;"",K433="",U433&lt;&gt;"Yes",X433&lt;&gt;"Yes"),1,0)</f>
        <v/>
      </c>
      <c r="AE433" s="79">
        <f>IF(AND(AD433=1,T433&lt;&gt;""),IF(T433&lt;AsOf,1,0),0)</f>
        <v/>
      </c>
      <c r="AF433" s="79">
        <f>IF(AND(AD433=1,T433&lt;&gt;""),IF(AND(T433&gt;=AsOf,T433&lt;=AsOf+AlertDays),1,0),0)</f>
        <v/>
      </c>
      <c r="AG433" s="79">
        <f>IF(Y433="Order now",1,0)</f>
        <v/>
      </c>
      <c r="AH433" s="79">
        <f>IF(OR(Y433="⚠️ Order late — install at risk",Y433="⚠️ Delivery after install date"),1,0)</f>
        <v/>
      </c>
      <c r="AI433" s="79">
        <f>IF(AND(B433&lt;&gt;"",K433&lt;&gt;"",U433&lt;&gt;"Yes",X433&lt;&gt;"Yes"),1,0)</f>
        <v/>
      </c>
      <c r="AJ433" s="79">
        <f>IF(Y433="⚠️ Order late — install at risk",1,0)</f>
        <v/>
      </c>
    </row>
    <row r="434" ht="20" customHeight="1">
      <c r="B434" s="72" t="n"/>
      <c r="C434" s="72" t="n"/>
      <c r="D434" s="72" t="n"/>
      <c r="E434" s="72" t="n"/>
      <c r="F434" s="73" t="n"/>
      <c r="G434" s="72" t="n"/>
      <c r="H434" s="73" t="n"/>
      <c r="I434" s="72" t="n"/>
      <c r="J434" s="73" t="n"/>
      <c r="K434" s="74" t="n"/>
      <c r="L434" s="75">
        <f>IF(K434="A",F434,IF(K434="B",H434,IF(K434="C",J434,"")))</f>
        <v/>
      </c>
      <c r="M434" s="72" t="n"/>
      <c r="N434" s="72" t="n"/>
      <c r="O434" s="89" t="n"/>
      <c r="P434" s="89" t="n"/>
      <c r="Q434" s="109" t="n"/>
      <c r="R434" s="120">
        <f>IF(B434="","",IF(Q434&lt;&gt;"",Q434,IF(P434="","",IFERROR(INDEX('Timeline'!$J$7:$J$1006,MATCH(P434,'Timeline'!$B$7:$B$1006,0)),""))))</f>
        <v/>
      </c>
      <c r="S434" s="126">
        <f>IF(R434="","",R434-IF(O434="",0,O434)-OrderBuf)</f>
        <v/>
      </c>
      <c r="T434" s="126">
        <f>IF(S434="","",S434-DecideBuf)</f>
        <v/>
      </c>
      <c r="U434" s="74" t="n"/>
      <c r="V434" s="109" t="n"/>
      <c r="W434" s="109" t="n"/>
      <c r="X434" s="74" t="n"/>
      <c r="Y434" s="116">
        <f>IF(B434="","",IF(X434="Yes","Delivered",IF(U434="Yes",IF(AND(W434&lt;&gt;"",R434&lt;&gt;""),IF(W434&gt;R434,"⚠️ Delivery after install date","Ordered"),"Ordered"),IF(K434="",IF(T434="","Waiting for decision",IF(T434&lt;=AsOf+AlertDays,"Decide now","Waiting for decision")),IF(S434="","Selected",IF(AsOf&gt;S434,"⚠️ Order late — install at risk",IF(S434&lt;=AsOf+AlertDays,"Order now","Selected")))))))</f>
        <v/>
      </c>
      <c r="Z434" s="79">
        <f>IF(B434="","",IF(OR(AH434=1,AE434=1),2,IF(OR(AG434=1,AF434=1),1,IF(OR(Y434="Ordered",Y434="Delivered"),0,""))))</f>
        <v/>
      </c>
      <c r="AA434" s="112">
        <f>IF(B434="","",IF(AH434=1,IF(Y434="⚠️ Delivery after install date",R434,S434),IF(AD434=1,T434,IF(AI434=1,S434,""))))</f>
        <v/>
      </c>
      <c r="AB434" s="79">
        <f>IF(AA434="","",IF(AH434=1,1,IF(AA434="","",IF(AA434&lt;AsOf,1,IF(AA434&lt;=AsOf+AlertDays,2,IF(AA434&lt;=AsOf+2*AlertDays,3,""))))))</f>
        <v/>
      </c>
      <c r="AC434" s="79">
        <f>IF(AB434="","",IF(AH434=1,IF(Y434="⚠️ Delivery after install date","Delivery after install date: "&amp;B434,"Order late — install at risk: "&amp;B434),IF(AD434=1,IF(AB434=1,"Decision overdue: ","Decide: ")&amp;B434,"Order: "&amp;B434&amp;IF(N434="",""," from "&amp;N434))))</f>
        <v/>
      </c>
      <c r="AD434" s="79">
        <f>IF(AND(B434&lt;&gt;"",K434="",U434&lt;&gt;"Yes",X434&lt;&gt;"Yes"),1,0)</f>
        <v/>
      </c>
      <c r="AE434" s="79">
        <f>IF(AND(AD434=1,T434&lt;&gt;""),IF(T434&lt;AsOf,1,0),0)</f>
        <v/>
      </c>
      <c r="AF434" s="79">
        <f>IF(AND(AD434=1,T434&lt;&gt;""),IF(AND(T434&gt;=AsOf,T434&lt;=AsOf+AlertDays),1,0),0)</f>
        <v/>
      </c>
      <c r="AG434" s="79">
        <f>IF(Y434="Order now",1,0)</f>
        <v/>
      </c>
      <c r="AH434" s="79">
        <f>IF(OR(Y434="⚠️ Order late — install at risk",Y434="⚠️ Delivery after install date"),1,0)</f>
        <v/>
      </c>
      <c r="AI434" s="79">
        <f>IF(AND(B434&lt;&gt;"",K434&lt;&gt;"",U434&lt;&gt;"Yes",X434&lt;&gt;"Yes"),1,0)</f>
        <v/>
      </c>
      <c r="AJ434" s="79">
        <f>IF(Y434="⚠️ Order late — install at risk",1,0)</f>
        <v/>
      </c>
    </row>
    <row r="435" ht="20" customHeight="1">
      <c r="B435" s="72" t="n"/>
      <c r="C435" s="72" t="n"/>
      <c r="D435" s="72" t="n"/>
      <c r="E435" s="72" t="n"/>
      <c r="F435" s="73" t="n"/>
      <c r="G435" s="72" t="n"/>
      <c r="H435" s="73" t="n"/>
      <c r="I435" s="72" t="n"/>
      <c r="J435" s="73" t="n"/>
      <c r="K435" s="74" t="n"/>
      <c r="L435" s="75">
        <f>IF(K435="A",F435,IF(K435="B",H435,IF(K435="C",J435,"")))</f>
        <v/>
      </c>
      <c r="M435" s="72" t="n"/>
      <c r="N435" s="72" t="n"/>
      <c r="O435" s="89" t="n"/>
      <c r="P435" s="89" t="n"/>
      <c r="Q435" s="109" t="n"/>
      <c r="R435" s="120">
        <f>IF(B435="","",IF(Q435&lt;&gt;"",Q435,IF(P435="","",IFERROR(INDEX('Timeline'!$J$7:$J$1006,MATCH(P435,'Timeline'!$B$7:$B$1006,0)),""))))</f>
        <v/>
      </c>
      <c r="S435" s="126">
        <f>IF(R435="","",R435-IF(O435="",0,O435)-OrderBuf)</f>
        <v/>
      </c>
      <c r="T435" s="126">
        <f>IF(S435="","",S435-DecideBuf)</f>
        <v/>
      </c>
      <c r="U435" s="74" t="n"/>
      <c r="V435" s="109" t="n"/>
      <c r="W435" s="109" t="n"/>
      <c r="X435" s="74" t="n"/>
      <c r="Y435" s="116">
        <f>IF(B435="","",IF(X435="Yes","Delivered",IF(U435="Yes",IF(AND(W435&lt;&gt;"",R435&lt;&gt;""),IF(W435&gt;R435,"⚠️ Delivery after install date","Ordered"),"Ordered"),IF(K435="",IF(T435="","Waiting for decision",IF(T435&lt;=AsOf+AlertDays,"Decide now","Waiting for decision")),IF(S435="","Selected",IF(AsOf&gt;S435,"⚠️ Order late — install at risk",IF(S435&lt;=AsOf+AlertDays,"Order now","Selected")))))))</f>
        <v/>
      </c>
      <c r="Z435" s="79">
        <f>IF(B435="","",IF(OR(AH435=1,AE435=1),2,IF(OR(AG435=1,AF435=1),1,IF(OR(Y435="Ordered",Y435="Delivered"),0,""))))</f>
        <v/>
      </c>
      <c r="AA435" s="112">
        <f>IF(B435="","",IF(AH435=1,IF(Y435="⚠️ Delivery after install date",R435,S435),IF(AD435=1,T435,IF(AI435=1,S435,""))))</f>
        <v/>
      </c>
      <c r="AB435" s="79">
        <f>IF(AA435="","",IF(AH435=1,1,IF(AA435="","",IF(AA435&lt;AsOf,1,IF(AA435&lt;=AsOf+AlertDays,2,IF(AA435&lt;=AsOf+2*AlertDays,3,""))))))</f>
        <v/>
      </c>
      <c r="AC435" s="79">
        <f>IF(AB435="","",IF(AH435=1,IF(Y435="⚠️ Delivery after install date","Delivery after install date: "&amp;B435,"Order late — install at risk: "&amp;B435),IF(AD435=1,IF(AB435=1,"Decision overdue: ","Decide: ")&amp;B435,"Order: "&amp;B435&amp;IF(N435="",""," from "&amp;N435))))</f>
        <v/>
      </c>
      <c r="AD435" s="79">
        <f>IF(AND(B435&lt;&gt;"",K435="",U435&lt;&gt;"Yes",X435&lt;&gt;"Yes"),1,0)</f>
        <v/>
      </c>
      <c r="AE435" s="79">
        <f>IF(AND(AD435=1,T435&lt;&gt;""),IF(T435&lt;AsOf,1,0),0)</f>
        <v/>
      </c>
      <c r="AF435" s="79">
        <f>IF(AND(AD435=1,T435&lt;&gt;""),IF(AND(T435&gt;=AsOf,T435&lt;=AsOf+AlertDays),1,0),0)</f>
        <v/>
      </c>
      <c r="AG435" s="79">
        <f>IF(Y435="Order now",1,0)</f>
        <v/>
      </c>
      <c r="AH435" s="79">
        <f>IF(OR(Y435="⚠️ Order late — install at risk",Y435="⚠️ Delivery after install date"),1,0)</f>
        <v/>
      </c>
      <c r="AI435" s="79">
        <f>IF(AND(B435&lt;&gt;"",K435&lt;&gt;"",U435&lt;&gt;"Yes",X435&lt;&gt;"Yes"),1,0)</f>
        <v/>
      </c>
      <c r="AJ435" s="79">
        <f>IF(Y435="⚠️ Order late — install at risk",1,0)</f>
        <v/>
      </c>
    </row>
    <row r="436" ht="20" customHeight="1">
      <c r="B436" s="72" t="n"/>
      <c r="C436" s="72" t="n"/>
      <c r="D436" s="72" t="n"/>
      <c r="E436" s="72" t="n"/>
      <c r="F436" s="73" t="n"/>
      <c r="G436" s="72" t="n"/>
      <c r="H436" s="73" t="n"/>
      <c r="I436" s="72" t="n"/>
      <c r="J436" s="73" t="n"/>
      <c r="K436" s="74" t="n"/>
      <c r="L436" s="75">
        <f>IF(K436="A",F436,IF(K436="B",H436,IF(K436="C",J436,"")))</f>
        <v/>
      </c>
      <c r="M436" s="72" t="n"/>
      <c r="N436" s="72" t="n"/>
      <c r="O436" s="89" t="n"/>
      <c r="P436" s="89" t="n"/>
      <c r="Q436" s="109" t="n"/>
      <c r="R436" s="120">
        <f>IF(B436="","",IF(Q436&lt;&gt;"",Q436,IF(P436="","",IFERROR(INDEX('Timeline'!$J$7:$J$1006,MATCH(P436,'Timeline'!$B$7:$B$1006,0)),""))))</f>
        <v/>
      </c>
      <c r="S436" s="126">
        <f>IF(R436="","",R436-IF(O436="",0,O436)-OrderBuf)</f>
        <v/>
      </c>
      <c r="T436" s="126">
        <f>IF(S436="","",S436-DecideBuf)</f>
        <v/>
      </c>
      <c r="U436" s="74" t="n"/>
      <c r="V436" s="109" t="n"/>
      <c r="W436" s="109" t="n"/>
      <c r="X436" s="74" t="n"/>
      <c r="Y436" s="116">
        <f>IF(B436="","",IF(X436="Yes","Delivered",IF(U436="Yes",IF(AND(W436&lt;&gt;"",R436&lt;&gt;""),IF(W436&gt;R436,"⚠️ Delivery after install date","Ordered"),"Ordered"),IF(K436="",IF(T436="","Waiting for decision",IF(T436&lt;=AsOf+AlertDays,"Decide now","Waiting for decision")),IF(S436="","Selected",IF(AsOf&gt;S436,"⚠️ Order late — install at risk",IF(S436&lt;=AsOf+AlertDays,"Order now","Selected")))))))</f>
        <v/>
      </c>
      <c r="Z436" s="79">
        <f>IF(B436="","",IF(OR(AH436=1,AE436=1),2,IF(OR(AG436=1,AF436=1),1,IF(OR(Y436="Ordered",Y436="Delivered"),0,""))))</f>
        <v/>
      </c>
      <c r="AA436" s="112">
        <f>IF(B436="","",IF(AH436=1,IF(Y436="⚠️ Delivery after install date",R436,S436),IF(AD436=1,T436,IF(AI436=1,S436,""))))</f>
        <v/>
      </c>
      <c r="AB436" s="79">
        <f>IF(AA436="","",IF(AH436=1,1,IF(AA436="","",IF(AA436&lt;AsOf,1,IF(AA436&lt;=AsOf+AlertDays,2,IF(AA436&lt;=AsOf+2*AlertDays,3,""))))))</f>
        <v/>
      </c>
      <c r="AC436" s="79">
        <f>IF(AB436="","",IF(AH436=1,IF(Y436="⚠️ Delivery after install date","Delivery after install date: "&amp;B436,"Order late — install at risk: "&amp;B436),IF(AD436=1,IF(AB436=1,"Decision overdue: ","Decide: ")&amp;B436,"Order: "&amp;B436&amp;IF(N436="",""," from "&amp;N436))))</f>
        <v/>
      </c>
      <c r="AD436" s="79">
        <f>IF(AND(B436&lt;&gt;"",K436="",U436&lt;&gt;"Yes",X436&lt;&gt;"Yes"),1,0)</f>
        <v/>
      </c>
      <c r="AE436" s="79">
        <f>IF(AND(AD436=1,T436&lt;&gt;""),IF(T436&lt;AsOf,1,0),0)</f>
        <v/>
      </c>
      <c r="AF436" s="79">
        <f>IF(AND(AD436=1,T436&lt;&gt;""),IF(AND(T436&gt;=AsOf,T436&lt;=AsOf+AlertDays),1,0),0)</f>
        <v/>
      </c>
      <c r="AG436" s="79">
        <f>IF(Y436="Order now",1,0)</f>
        <v/>
      </c>
      <c r="AH436" s="79">
        <f>IF(OR(Y436="⚠️ Order late — install at risk",Y436="⚠️ Delivery after install date"),1,0)</f>
        <v/>
      </c>
      <c r="AI436" s="79">
        <f>IF(AND(B436&lt;&gt;"",K436&lt;&gt;"",U436&lt;&gt;"Yes",X436&lt;&gt;"Yes"),1,0)</f>
        <v/>
      </c>
      <c r="AJ436" s="79">
        <f>IF(Y436="⚠️ Order late — install at risk",1,0)</f>
        <v/>
      </c>
    </row>
    <row r="437" ht="20" customHeight="1">
      <c r="B437" s="72" t="n"/>
      <c r="C437" s="72" t="n"/>
      <c r="D437" s="72" t="n"/>
      <c r="E437" s="72" t="n"/>
      <c r="F437" s="73" t="n"/>
      <c r="G437" s="72" t="n"/>
      <c r="H437" s="73" t="n"/>
      <c r="I437" s="72" t="n"/>
      <c r="J437" s="73" t="n"/>
      <c r="K437" s="74" t="n"/>
      <c r="L437" s="75">
        <f>IF(K437="A",F437,IF(K437="B",H437,IF(K437="C",J437,"")))</f>
        <v/>
      </c>
      <c r="M437" s="72" t="n"/>
      <c r="N437" s="72" t="n"/>
      <c r="O437" s="89" t="n"/>
      <c r="P437" s="89" t="n"/>
      <c r="Q437" s="109" t="n"/>
      <c r="R437" s="120">
        <f>IF(B437="","",IF(Q437&lt;&gt;"",Q437,IF(P437="","",IFERROR(INDEX('Timeline'!$J$7:$J$1006,MATCH(P437,'Timeline'!$B$7:$B$1006,0)),""))))</f>
        <v/>
      </c>
      <c r="S437" s="126">
        <f>IF(R437="","",R437-IF(O437="",0,O437)-OrderBuf)</f>
        <v/>
      </c>
      <c r="T437" s="126">
        <f>IF(S437="","",S437-DecideBuf)</f>
        <v/>
      </c>
      <c r="U437" s="74" t="n"/>
      <c r="V437" s="109" t="n"/>
      <c r="W437" s="109" t="n"/>
      <c r="X437" s="74" t="n"/>
      <c r="Y437" s="116">
        <f>IF(B437="","",IF(X437="Yes","Delivered",IF(U437="Yes",IF(AND(W437&lt;&gt;"",R437&lt;&gt;""),IF(W437&gt;R437,"⚠️ Delivery after install date","Ordered"),"Ordered"),IF(K437="",IF(T437="","Waiting for decision",IF(T437&lt;=AsOf+AlertDays,"Decide now","Waiting for decision")),IF(S437="","Selected",IF(AsOf&gt;S437,"⚠️ Order late — install at risk",IF(S437&lt;=AsOf+AlertDays,"Order now","Selected")))))))</f>
        <v/>
      </c>
      <c r="Z437" s="79">
        <f>IF(B437="","",IF(OR(AH437=1,AE437=1),2,IF(OR(AG437=1,AF437=1),1,IF(OR(Y437="Ordered",Y437="Delivered"),0,""))))</f>
        <v/>
      </c>
      <c r="AA437" s="112">
        <f>IF(B437="","",IF(AH437=1,IF(Y437="⚠️ Delivery after install date",R437,S437),IF(AD437=1,T437,IF(AI437=1,S437,""))))</f>
        <v/>
      </c>
      <c r="AB437" s="79">
        <f>IF(AA437="","",IF(AH437=1,1,IF(AA437="","",IF(AA437&lt;AsOf,1,IF(AA437&lt;=AsOf+AlertDays,2,IF(AA437&lt;=AsOf+2*AlertDays,3,""))))))</f>
        <v/>
      </c>
      <c r="AC437" s="79">
        <f>IF(AB437="","",IF(AH437=1,IF(Y437="⚠️ Delivery after install date","Delivery after install date: "&amp;B437,"Order late — install at risk: "&amp;B437),IF(AD437=1,IF(AB437=1,"Decision overdue: ","Decide: ")&amp;B437,"Order: "&amp;B437&amp;IF(N437="",""," from "&amp;N437))))</f>
        <v/>
      </c>
      <c r="AD437" s="79">
        <f>IF(AND(B437&lt;&gt;"",K437="",U437&lt;&gt;"Yes",X437&lt;&gt;"Yes"),1,0)</f>
        <v/>
      </c>
      <c r="AE437" s="79">
        <f>IF(AND(AD437=1,T437&lt;&gt;""),IF(T437&lt;AsOf,1,0),0)</f>
        <v/>
      </c>
      <c r="AF437" s="79">
        <f>IF(AND(AD437=1,T437&lt;&gt;""),IF(AND(T437&gt;=AsOf,T437&lt;=AsOf+AlertDays),1,0),0)</f>
        <v/>
      </c>
      <c r="AG437" s="79">
        <f>IF(Y437="Order now",1,0)</f>
        <v/>
      </c>
      <c r="AH437" s="79">
        <f>IF(OR(Y437="⚠️ Order late — install at risk",Y437="⚠️ Delivery after install date"),1,0)</f>
        <v/>
      </c>
      <c r="AI437" s="79">
        <f>IF(AND(B437&lt;&gt;"",K437&lt;&gt;"",U437&lt;&gt;"Yes",X437&lt;&gt;"Yes"),1,0)</f>
        <v/>
      </c>
      <c r="AJ437" s="79">
        <f>IF(Y437="⚠️ Order late — install at risk",1,0)</f>
        <v/>
      </c>
    </row>
    <row r="438" ht="20" customHeight="1">
      <c r="B438" s="72" t="n"/>
      <c r="C438" s="72" t="n"/>
      <c r="D438" s="72" t="n"/>
      <c r="E438" s="72" t="n"/>
      <c r="F438" s="73" t="n"/>
      <c r="G438" s="72" t="n"/>
      <c r="H438" s="73" t="n"/>
      <c r="I438" s="72" t="n"/>
      <c r="J438" s="73" t="n"/>
      <c r="K438" s="74" t="n"/>
      <c r="L438" s="75">
        <f>IF(K438="A",F438,IF(K438="B",H438,IF(K438="C",J438,"")))</f>
        <v/>
      </c>
      <c r="M438" s="72" t="n"/>
      <c r="N438" s="72" t="n"/>
      <c r="O438" s="89" t="n"/>
      <c r="P438" s="89" t="n"/>
      <c r="Q438" s="109" t="n"/>
      <c r="R438" s="120">
        <f>IF(B438="","",IF(Q438&lt;&gt;"",Q438,IF(P438="","",IFERROR(INDEX('Timeline'!$J$7:$J$1006,MATCH(P438,'Timeline'!$B$7:$B$1006,0)),""))))</f>
        <v/>
      </c>
      <c r="S438" s="126">
        <f>IF(R438="","",R438-IF(O438="",0,O438)-OrderBuf)</f>
        <v/>
      </c>
      <c r="T438" s="126">
        <f>IF(S438="","",S438-DecideBuf)</f>
        <v/>
      </c>
      <c r="U438" s="74" t="n"/>
      <c r="V438" s="109" t="n"/>
      <c r="W438" s="109" t="n"/>
      <c r="X438" s="74" t="n"/>
      <c r="Y438" s="116">
        <f>IF(B438="","",IF(X438="Yes","Delivered",IF(U438="Yes",IF(AND(W438&lt;&gt;"",R438&lt;&gt;""),IF(W438&gt;R438,"⚠️ Delivery after install date","Ordered"),"Ordered"),IF(K438="",IF(T438="","Waiting for decision",IF(T438&lt;=AsOf+AlertDays,"Decide now","Waiting for decision")),IF(S438="","Selected",IF(AsOf&gt;S438,"⚠️ Order late — install at risk",IF(S438&lt;=AsOf+AlertDays,"Order now","Selected")))))))</f>
        <v/>
      </c>
      <c r="Z438" s="79">
        <f>IF(B438="","",IF(OR(AH438=1,AE438=1),2,IF(OR(AG438=1,AF438=1),1,IF(OR(Y438="Ordered",Y438="Delivered"),0,""))))</f>
        <v/>
      </c>
      <c r="AA438" s="112">
        <f>IF(B438="","",IF(AH438=1,IF(Y438="⚠️ Delivery after install date",R438,S438),IF(AD438=1,T438,IF(AI438=1,S438,""))))</f>
        <v/>
      </c>
      <c r="AB438" s="79">
        <f>IF(AA438="","",IF(AH438=1,1,IF(AA438="","",IF(AA438&lt;AsOf,1,IF(AA438&lt;=AsOf+AlertDays,2,IF(AA438&lt;=AsOf+2*AlertDays,3,""))))))</f>
        <v/>
      </c>
      <c r="AC438" s="79">
        <f>IF(AB438="","",IF(AH438=1,IF(Y438="⚠️ Delivery after install date","Delivery after install date: "&amp;B438,"Order late — install at risk: "&amp;B438),IF(AD438=1,IF(AB438=1,"Decision overdue: ","Decide: ")&amp;B438,"Order: "&amp;B438&amp;IF(N438="",""," from "&amp;N438))))</f>
        <v/>
      </c>
      <c r="AD438" s="79">
        <f>IF(AND(B438&lt;&gt;"",K438="",U438&lt;&gt;"Yes",X438&lt;&gt;"Yes"),1,0)</f>
        <v/>
      </c>
      <c r="AE438" s="79">
        <f>IF(AND(AD438=1,T438&lt;&gt;""),IF(T438&lt;AsOf,1,0),0)</f>
        <v/>
      </c>
      <c r="AF438" s="79">
        <f>IF(AND(AD438=1,T438&lt;&gt;""),IF(AND(T438&gt;=AsOf,T438&lt;=AsOf+AlertDays),1,0),0)</f>
        <v/>
      </c>
      <c r="AG438" s="79">
        <f>IF(Y438="Order now",1,0)</f>
        <v/>
      </c>
      <c r="AH438" s="79">
        <f>IF(OR(Y438="⚠️ Order late — install at risk",Y438="⚠️ Delivery after install date"),1,0)</f>
        <v/>
      </c>
      <c r="AI438" s="79">
        <f>IF(AND(B438&lt;&gt;"",K438&lt;&gt;"",U438&lt;&gt;"Yes",X438&lt;&gt;"Yes"),1,0)</f>
        <v/>
      </c>
      <c r="AJ438" s="79">
        <f>IF(Y438="⚠️ Order late — install at risk",1,0)</f>
        <v/>
      </c>
    </row>
    <row r="439" ht="20" customHeight="1">
      <c r="B439" s="72" t="n"/>
      <c r="C439" s="72" t="n"/>
      <c r="D439" s="72" t="n"/>
      <c r="E439" s="72" t="n"/>
      <c r="F439" s="73" t="n"/>
      <c r="G439" s="72" t="n"/>
      <c r="H439" s="73" t="n"/>
      <c r="I439" s="72" t="n"/>
      <c r="J439" s="73" t="n"/>
      <c r="K439" s="74" t="n"/>
      <c r="L439" s="75">
        <f>IF(K439="A",F439,IF(K439="B",H439,IF(K439="C",J439,"")))</f>
        <v/>
      </c>
      <c r="M439" s="72" t="n"/>
      <c r="N439" s="72" t="n"/>
      <c r="O439" s="89" t="n"/>
      <c r="P439" s="89" t="n"/>
      <c r="Q439" s="109" t="n"/>
      <c r="R439" s="120">
        <f>IF(B439="","",IF(Q439&lt;&gt;"",Q439,IF(P439="","",IFERROR(INDEX('Timeline'!$J$7:$J$1006,MATCH(P439,'Timeline'!$B$7:$B$1006,0)),""))))</f>
        <v/>
      </c>
      <c r="S439" s="126">
        <f>IF(R439="","",R439-IF(O439="",0,O439)-OrderBuf)</f>
        <v/>
      </c>
      <c r="T439" s="126">
        <f>IF(S439="","",S439-DecideBuf)</f>
        <v/>
      </c>
      <c r="U439" s="74" t="n"/>
      <c r="V439" s="109" t="n"/>
      <c r="W439" s="109" t="n"/>
      <c r="X439" s="74" t="n"/>
      <c r="Y439" s="116">
        <f>IF(B439="","",IF(X439="Yes","Delivered",IF(U439="Yes",IF(AND(W439&lt;&gt;"",R439&lt;&gt;""),IF(W439&gt;R439,"⚠️ Delivery after install date","Ordered"),"Ordered"),IF(K439="",IF(T439="","Waiting for decision",IF(T439&lt;=AsOf+AlertDays,"Decide now","Waiting for decision")),IF(S439="","Selected",IF(AsOf&gt;S439,"⚠️ Order late — install at risk",IF(S439&lt;=AsOf+AlertDays,"Order now","Selected")))))))</f>
        <v/>
      </c>
      <c r="Z439" s="79">
        <f>IF(B439="","",IF(OR(AH439=1,AE439=1),2,IF(OR(AG439=1,AF439=1),1,IF(OR(Y439="Ordered",Y439="Delivered"),0,""))))</f>
        <v/>
      </c>
      <c r="AA439" s="112">
        <f>IF(B439="","",IF(AH439=1,IF(Y439="⚠️ Delivery after install date",R439,S439),IF(AD439=1,T439,IF(AI439=1,S439,""))))</f>
        <v/>
      </c>
      <c r="AB439" s="79">
        <f>IF(AA439="","",IF(AH439=1,1,IF(AA439="","",IF(AA439&lt;AsOf,1,IF(AA439&lt;=AsOf+AlertDays,2,IF(AA439&lt;=AsOf+2*AlertDays,3,""))))))</f>
        <v/>
      </c>
      <c r="AC439" s="79">
        <f>IF(AB439="","",IF(AH439=1,IF(Y439="⚠️ Delivery after install date","Delivery after install date: "&amp;B439,"Order late — install at risk: "&amp;B439),IF(AD439=1,IF(AB439=1,"Decision overdue: ","Decide: ")&amp;B439,"Order: "&amp;B439&amp;IF(N439="",""," from "&amp;N439))))</f>
        <v/>
      </c>
      <c r="AD439" s="79">
        <f>IF(AND(B439&lt;&gt;"",K439="",U439&lt;&gt;"Yes",X439&lt;&gt;"Yes"),1,0)</f>
        <v/>
      </c>
      <c r="AE439" s="79">
        <f>IF(AND(AD439=1,T439&lt;&gt;""),IF(T439&lt;AsOf,1,0),0)</f>
        <v/>
      </c>
      <c r="AF439" s="79">
        <f>IF(AND(AD439=1,T439&lt;&gt;""),IF(AND(T439&gt;=AsOf,T439&lt;=AsOf+AlertDays),1,0),0)</f>
        <v/>
      </c>
      <c r="AG439" s="79">
        <f>IF(Y439="Order now",1,0)</f>
        <v/>
      </c>
      <c r="AH439" s="79">
        <f>IF(OR(Y439="⚠️ Order late — install at risk",Y439="⚠️ Delivery after install date"),1,0)</f>
        <v/>
      </c>
      <c r="AI439" s="79">
        <f>IF(AND(B439&lt;&gt;"",K439&lt;&gt;"",U439&lt;&gt;"Yes",X439&lt;&gt;"Yes"),1,0)</f>
        <v/>
      </c>
      <c r="AJ439" s="79">
        <f>IF(Y439="⚠️ Order late — install at risk",1,0)</f>
        <v/>
      </c>
    </row>
    <row r="440" ht="20" customHeight="1">
      <c r="B440" s="72" t="n"/>
      <c r="C440" s="72" t="n"/>
      <c r="D440" s="72" t="n"/>
      <c r="E440" s="72" t="n"/>
      <c r="F440" s="73" t="n"/>
      <c r="G440" s="72" t="n"/>
      <c r="H440" s="73" t="n"/>
      <c r="I440" s="72" t="n"/>
      <c r="J440" s="73" t="n"/>
      <c r="K440" s="74" t="n"/>
      <c r="L440" s="75">
        <f>IF(K440="A",F440,IF(K440="B",H440,IF(K440="C",J440,"")))</f>
        <v/>
      </c>
      <c r="M440" s="72" t="n"/>
      <c r="N440" s="72" t="n"/>
      <c r="O440" s="89" t="n"/>
      <c r="P440" s="89" t="n"/>
      <c r="Q440" s="109" t="n"/>
      <c r="R440" s="120">
        <f>IF(B440="","",IF(Q440&lt;&gt;"",Q440,IF(P440="","",IFERROR(INDEX('Timeline'!$J$7:$J$1006,MATCH(P440,'Timeline'!$B$7:$B$1006,0)),""))))</f>
        <v/>
      </c>
      <c r="S440" s="126">
        <f>IF(R440="","",R440-IF(O440="",0,O440)-OrderBuf)</f>
        <v/>
      </c>
      <c r="T440" s="126">
        <f>IF(S440="","",S440-DecideBuf)</f>
        <v/>
      </c>
      <c r="U440" s="74" t="n"/>
      <c r="V440" s="109" t="n"/>
      <c r="W440" s="109" t="n"/>
      <c r="X440" s="74" t="n"/>
      <c r="Y440" s="116">
        <f>IF(B440="","",IF(X440="Yes","Delivered",IF(U440="Yes",IF(AND(W440&lt;&gt;"",R440&lt;&gt;""),IF(W440&gt;R440,"⚠️ Delivery after install date","Ordered"),"Ordered"),IF(K440="",IF(T440="","Waiting for decision",IF(T440&lt;=AsOf+AlertDays,"Decide now","Waiting for decision")),IF(S440="","Selected",IF(AsOf&gt;S440,"⚠️ Order late — install at risk",IF(S440&lt;=AsOf+AlertDays,"Order now","Selected")))))))</f>
        <v/>
      </c>
      <c r="Z440" s="79">
        <f>IF(B440="","",IF(OR(AH440=1,AE440=1),2,IF(OR(AG440=1,AF440=1),1,IF(OR(Y440="Ordered",Y440="Delivered"),0,""))))</f>
        <v/>
      </c>
      <c r="AA440" s="112">
        <f>IF(B440="","",IF(AH440=1,IF(Y440="⚠️ Delivery after install date",R440,S440),IF(AD440=1,T440,IF(AI440=1,S440,""))))</f>
        <v/>
      </c>
      <c r="AB440" s="79">
        <f>IF(AA440="","",IF(AH440=1,1,IF(AA440="","",IF(AA440&lt;AsOf,1,IF(AA440&lt;=AsOf+AlertDays,2,IF(AA440&lt;=AsOf+2*AlertDays,3,""))))))</f>
        <v/>
      </c>
      <c r="AC440" s="79">
        <f>IF(AB440="","",IF(AH440=1,IF(Y440="⚠️ Delivery after install date","Delivery after install date: "&amp;B440,"Order late — install at risk: "&amp;B440),IF(AD440=1,IF(AB440=1,"Decision overdue: ","Decide: ")&amp;B440,"Order: "&amp;B440&amp;IF(N440="",""," from "&amp;N440))))</f>
        <v/>
      </c>
      <c r="AD440" s="79">
        <f>IF(AND(B440&lt;&gt;"",K440="",U440&lt;&gt;"Yes",X440&lt;&gt;"Yes"),1,0)</f>
        <v/>
      </c>
      <c r="AE440" s="79">
        <f>IF(AND(AD440=1,T440&lt;&gt;""),IF(T440&lt;AsOf,1,0),0)</f>
        <v/>
      </c>
      <c r="AF440" s="79">
        <f>IF(AND(AD440=1,T440&lt;&gt;""),IF(AND(T440&gt;=AsOf,T440&lt;=AsOf+AlertDays),1,0),0)</f>
        <v/>
      </c>
      <c r="AG440" s="79">
        <f>IF(Y440="Order now",1,0)</f>
        <v/>
      </c>
      <c r="AH440" s="79">
        <f>IF(OR(Y440="⚠️ Order late — install at risk",Y440="⚠️ Delivery after install date"),1,0)</f>
        <v/>
      </c>
      <c r="AI440" s="79">
        <f>IF(AND(B440&lt;&gt;"",K440&lt;&gt;"",U440&lt;&gt;"Yes",X440&lt;&gt;"Yes"),1,0)</f>
        <v/>
      </c>
      <c r="AJ440" s="79">
        <f>IF(Y440="⚠️ Order late — install at risk",1,0)</f>
        <v/>
      </c>
    </row>
    <row r="441" ht="20" customHeight="1">
      <c r="B441" s="72" t="n"/>
      <c r="C441" s="72" t="n"/>
      <c r="D441" s="72" t="n"/>
      <c r="E441" s="72" t="n"/>
      <c r="F441" s="73" t="n"/>
      <c r="G441" s="72" t="n"/>
      <c r="H441" s="73" t="n"/>
      <c r="I441" s="72" t="n"/>
      <c r="J441" s="73" t="n"/>
      <c r="K441" s="74" t="n"/>
      <c r="L441" s="75">
        <f>IF(K441="A",F441,IF(K441="B",H441,IF(K441="C",J441,"")))</f>
        <v/>
      </c>
      <c r="M441" s="72" t="n"/>
      <c r="N441" s="72" t="n"/>
      <c r="O441" s="89" t="n"/>
      <c r="P441" s="89" t="n"/>
      <c r="Q441" s="109" t="n"/>
      <c r="R441" s="120">
        <f>IF(B441="","",IF(Q441&lt;&gt;"",Q441,IF(P441="","",IFERROR(INDEX('Timeline'!$J$7:$J$1006,MATCH(P441,'Timeline'!$B$7:$B$1006,0)),""))))</f>
        <v/>
      </c>
      <c r="S441" s="126">
        <f>IF(R441="","",R441-IF(O441="",0,O441)-OrderBuf)</f>
        <v/>
      </c>
      <c r="T441" s="126">
        <f>IF(S441="","",S441-DecideBuf)</f>
        <v/>
      </c>
      <c r="U441" s="74" t="n"/>
      <c r="V441" s="109" t="n"/>
      <c r="W441" s="109" t="n"/>
      <c r="X441" s="74" t="n"/>
      <c r="Y441" s="116">
        <f>IF(B441="","",IF(X441="Yes","Delivered",IF(U441="Yes",IF(AND(W441&lt;&gt;"",R441&lt;&gt;""),IF(W441&gt;R441,"⚠️ Delivery after install date","Ordered"),"Ordered"),IF(K441="",IF(T441="","Waiting for decision",IF(T441&lt;=AsOf+AlertDays,"Decide now","Waiting for decision")),IF(S441="","Selected",IF(AsOf&gt;S441,"⚠️ Order late — install at risk",IF(S441&lt;=AsOf+AlertDays,"Order now","Selected")))))))</f>
        <v/>
      </c>
      <c r="Z441" s="79">
        <f>IF(B441="","",IF(OR(AH441=1,AE441=1),2,IF(OR(AG441=1,AF441=1),1,IF(OR(Y441="Ordered",Y441="Delivered"),0,""))))</f>
        <v/>
      </c>
      <c r="AA441" s="112">
        <f>IF(B441="","",IF(AH441=1,IF(Y441="⚠️ Delivery after install date",R441,S441),IF(AD441=1,T441,IF(AI441=1,S441,""))))</f>
        <v/>
      </c>
      <c r="AB441" s="79">
        <f>IF(AA441="","",IF(AH441=1,1,IF(AA441="","",IF(AA441&lt;AsOf,1,IF(AA441&lt;=AsOf+AlertDays,2,IF(AA441&lt;=AsOf+2*AlertDays,3,""))))))</f>
        <v/>
      </c>
      <c r="AC441" s="79">
        <f>IF(AB441="","",IF(AH441=1,IF(Y441="⚠️ Delivery after install date","Delivery after install date: "&amp;B441,"Order late — install at risk: "&amp;B441),IF(AD441=1,IF(AB441=1,"Decision overdue: ","Decide: ")&amp;B441,"Order: "&amp;B441&amp;IF(N441="",""," from "&amp;N441))))</f>
        <v/>
      </c>
      <c r="AD441" s="79">
        <f>IF(AND(B441&lt;&gt;"",K441="",U441&lt;&gt;"Yes",X441&lt;&gt;"Yes"),1,0)</f>
        <v/>
      </c>
      <c r="AE441" s="79">
        <f>IF(AND(AD441=1,T441&lt;&gt;""),IF(T441&lt;AsOf,1,0),0)</f>
        <v/>
      </c>
      <c r="AF441" s="79">
        <f>IF(AND(AD441=1,T441&lt;&gt;""),IF(AND(T441&gt;=AsOf,T441&lt;=AsOf+AlertDays),1,0),0)</f>
        <v/>
      </c>
      <c r="AG441" s="79">
        <f>IF(Y441="Order now",1,0)</f>
        <v/>
      </c>
      <c r="AH441" s="79">
        <f>IF(OR(Y441="⚠️ Order late — install at risk",Y441="⚠️ Delivery after install date"),1,0)</f>
        <v/>
      </c>
      <c r="AI441" s="79">
        <f>IF(AND(B441&lt;&gt;"",K441&lt;&gt;"",U441&lt;&gt;"Yes",X441&lt;&gt;"Yes"),1,0)</f>
        <v/>
      </c>
      <c r="AJ441" s="79">
        <f>IF(Y441="⚠️ Order late — install at risk",1,0)</f>
        <v/>
      </c>
    </row>
    <row r="442" ht="20" customHeight="1">
      <c r="B442" s="72" t="n"/>
      <c r="C442" s="72" t="n"/>
      <c r="D442" s="72" t="n"/>
      <c r="E442" s="72" t="n"/>
      <c r="F442" s="73" t="n"/>
      <c r="G442" s="72" t="n"/>
      <c r="H442" s="73" t="n"/>
      <c r="I442" s="72" t="n"/>
      <c r="J442" s="73" t="n"/>
      <c r="K442" s="74" t="n"/>
      <c r="L442" s="75">
        <f>IF(K442="A",F442,IF(K442="B",H442,IF(K442="C",J442,"")))</f>
        <v/>
      </c>
      <c r="M442" s="72" t="n"/>
      <c r="N442" s="72" t="n"/>
      <c r="O442" s="89" t="n"/>
      <c r="P442" s="89" t="n"/>
      <c r="Q442" s="109" t="n"/>
      <c r="R442" s="120">
        <f>IF(B442="","",IF(Q442&lt;&gt;"",Q442,IF(P442="","",IFERROR(INDEX('Timeline'!$J$7:$J$1006,MATCH(P442,'Timeline'!$B$7:$B$1006,0)),""))))</f>
        <v/>
      </c>
      <c r="S442" s="126">
        <f>IF(R442="","",R442-IF(O442="",0,O442)-OrderBuf)</f>
        <v/>
      </c>
      <c r="T442" s="126">
        <f>IF(S442="","",S442-DecideBuf)</f>
        <v/>
      </c>
      <c r="U442" s="74" t="n"/>
      <c r="V442" s="109" t="n"/>
      <c r="W442" s="109" t="n"/>
      <c r="X442" s="74" t="n"/>
      <c r="Y442" s="116">
        <f>IF(B442="","",IF(X442="Yes","Delivered",IF(U442="Yes",IF(AND(W442&lt;&gt;"",R442&lt;&gt;""),IF(W442&gt;R442,"⚠️ Delivery after install date","Ordered"),"Ordered"),IF(K442="",IF(T442="","Waiting for decision",IF(T442&lt;=AsOf+AlertDays,"Decide now","Waiting for decision")),IF(S442="","Selected",IF(AsOf&gt;S442,"⚠️ Order late — install at risk",IF(S442&lt;=AsOf+AlertDays,"Order now","Selected")))))))</f>
        <v/>
      </c>
      <c r="Z442" s="79">
        <f>IF(B442="","",IF(OR(AH442=1,AE442=1),2,IF(OR(AG442=1,AF442=1),1,IF(OR(Y442="Ordered",Y442="Delivered"),0,""))))</f>
        <v/>
      </c>
      <c r="AA442" s="112">
        <f>IF(B442="","",IF(AH442=1,IF(Y442="⚠️ Delivery after install date",R442,S442),IF(AD442=1,T442,IF(AI442=1,S442,""))))</f>
        <v/>
      </c>
      <c r="AB442" s="79">
        <f>IF(AA442="","",IF(AH442=1,1,IF(AA442="","",IF(AA442&lt;AsOf,1,IF(AA442&lt;=AsOf+AlertDays,2,IF(AA442&lt;=AsOf+2*AlertDays,3,""))))))</f>
        <v/>
      </c>
      <c r="AC442" s="79">
        <f>IF(AB442="","",IF(AH442=1,IF(Y442="⚠️ Delivery after install date","Delivery after install date: "&amp;B442,"Order late — install at risk: "&amp;B442),IF(AD442=1,IF(AB442=1,"Decision overdue: ","Decide: ")&amp;B442,"Order: "&amp;B442&amp;IF(N442="",""," from "&amp;N442))))</f>
        <v/>
      </c>
      <c r="AD442" s="79">
        <f>IF(AND(B442&lt;&gt;"",K442="",U442&lt;&gt;"Yes",X442&lt;&gt;"Yes"),1,0)</f>
        <v/>
      </c>
      <c r="AE442" s="79">
        <f>IF(AND(AD442=1,T442&lt;&gt;""),IF(T442&lt;AsOf,1,0),0)</f>
        <v/>
      </c>
      <c r="AF442" s="79">
        <f>IF(AND(AD442=1,T442&lt;&gt;""),IF(AND(T442&gt;=AsOf,T442&lt;=AsOf+AlertDays),1,0),0)</f>
        <v/>
      </c>
      <c r="AG442" s="79">
        <f>IF(Y442="Order now",1,0)</f>
        <v/>
      </c>
      <c r="AH442" s="79">
        <f>IF(OR(Y442="⚠️ Order late — install at risk",Y442="⚠️ Delivery after install date"),1,0)</f>
        <v/>
      </c>
      <c r="AI442" s="79">
        <f>IF(AND(B442&lt;&gt;"",K442&lt;&gt;"",U442&lt;&gt;"Yes",X442&lt;&gt;"Yes"),1,0)</f>
        <v/>
      </c>
      <c r="AJ442" s="79">
        <f>IF(Y442="⚠️ Order late — install at risk",1,0)</f>
        <v/>
      </c>
    </row>
    <row r="443" ht="20" customHeight="1">
      <c r="B443" s="72" t="n"/>
      <c r="C443" s="72" t="n"/>
      <c r="D443" s="72" t="n"/>
      <c r="E443" s="72" t="n"/>
      <c r="F443" s="73" t="n"/>
      <c r="G443" s="72" t="n"/>
      <c r="H443" s="73" t="n"/>
      <c r="I443" s="72" t="n"/>
      <c r="J443" s="73" t="n"/>
      <c r="K443" s="74" t="n"/>
      <c r="L443" s="75">
        <f>IF(K443="A",F443,IF(K443="B",H443,IF(K443="C",J443,"")))</f>
        <v/>
      </c>
      <c r="M443" s="72" t="n"/>
      <c r="N443" s="72" t="n"/>
      <c r="O443" s="89" t="n"/>
      <c r="P443" s="89" t="n"/>
      <c r="Q443" s="109" t="n"/>
      <c r="R443" s="120">
        <f>IF(B443="","",IF(Q443&lt;&gt;"",Q443,IF(P443="","",IFERROR(INDEX('Timeline'!$J$7:$J$1006,MATCH(P443,'Timeline'!$B$7:$B$1006,0)),""))))</f>
        <v/>
      </c>
      <c r="S443" s="126">
        <f>IF(R443="","",R443-IF(O443="",0,O443)-OrderBuf)</f>
        <v/>
      </c>
      <c r="T443" s="126">
        <f>IF(S443="","",S443-DecideBuf)</f>
        <v/>
      </c>
      <c r="U443" s="74" t="n"/>
      <c r="V443" s="109" t="n"/>
      <c r="W443" s="109" t="n"/>
      <c r="X443" s="74" t="n"/>
      <c r="Y443" s="116">
        <f>IF(B443="","",IF(X443="Yes","Delivered",IF(U443="Yes",IF(AND(W443&lt;&gt;"",R443&lt;&gt;""),IF(W443&gt;R443,"⚠️ Delivery after install date","Ordered"),"Ordered"),IF(K443="",IF(T443="","Waiting for decision",IF(T443&lt;=AsOf+AlertDays,"Decide now","Waiting for decision")),IF(S443="","Selected",IF(AsOf&gt;S443,"⚠️ Order late — install at risk",IF(S443&lt;=AsOf+AlertDays,"Order now","Selected")))))))</f>
        <v/>
      </c>
      <c r="Z443" s="79">
        <f>IF(B443="","",IF(OR(AH443=1,AE443=1),2,IF(OR(AG443=1,AF443=1),1,IF(OR(Y443="Ordered",Y443="Delivered"),0,""))))</f>
        <v/>
      </c>
      <c r="AA443" s="112">
        <f>IF(B443="","",IF(AH443=1,IF(Y443="⚠️ Delivery after install date",R443,S443),IF(AD443=1,T443,IF(AI443=1,S443,""))))</f>
        <v/>
      </c>
      <c r="AB443" s="79">
        <f>IF(AA443="","",IF(AH443=1,1,IF(AA443="","",IF(AA443&lt;AsOf,1,IF(AA443&lt;=AsOf+AlertDays,2,IF(AA443&lt;=AsOf+2*AlertDays,3,""))))))</f>
        <v/>
      </c>
      <c r="AC443" s="79">
        <f>IF(AB443="","",IF(AH443=1,IF(Y443="⚠️ Delivery after install date","Delivery after install date: "&amp;B443,"Order late — install at risk: "&amp;B443),IF(AD443=1,IF(AB443=1,"Decision overdue: ","Decide: ")&amp;B443,"Order: "&amp;B443&amp;IF(N443="",""," from "&amp;N443))))</f>
        <v/>
      </c>
      <c r="AD443" s="79">
        <f>IF(AND(B443&lt;&gt;"",K443="",U443&lt;&gt;"Yes",X443&lt;&gt;"Yes"),1,0)</f>
        <v/>
      </c>
      <c r="AE443" s="79">
        <f>IF(AND(AD443=1,T443&lt;&gt;""),IF(T443&lt;AsOf,1,0),0)</f>
        <v/>
      </c>
      <c r="AF443" s="79">
        <f>IF(AND(AD443=1,T443&lt;&gt;""),IF(AND(T443&gt;=AsOf,T443&lt;=AsOf+AlertDays),1,0),0)</f>
        <v/>
      </c>
      <c r="AG443" s="79">
        <f>IF(Y443="Order now",1,0)</f>
        <v/>
      </c>
      <c r="AH443" s="79">
        <f>IF(OR(Y443="⚠️ Order late — install at risk",Y443="⚠️ Delivery after install date"),1,0)</f>
        <v/>
      </c>
      <c r="AI443" s="79">
        <f>IF(AND(B443&lt;&gt;"",K443&lt;&gt;"",U443&lt;&gt;"Yes",X443&lt;&gt;"Yes"),1,0)</f>
        <v/>
      </c>
      <c r="AJ443" s="79">
        <f>IF(Y443="⚠️ Order late — install at risk",1,0)</f>
        <v/>
      </c>
    </row>
    <row r="444" ht="20" customHeight="1">
      <c r="B444" s="72" t="n"/>
      <c r="C444" s="72" t="n"/>
      <c r="D444" s="72" t="n"/>
      <c r="E444" s="72" t="n"/>
      <c r="F444" s="73" t="n"/>
      <c r="G444" s="72" t="n"/>
      <c r="H444" s="73" t="n"/>
      <c r="I444" s="72" t="n"/>
      <c r="J444" s="73" t="n"/>
      <c r="K444" s="74" t="n"/>
      <c r="L444" s="75">
        <f>IF(K444="A",F444,IF(K444="B",H444,IF(K444="C",J444,"")))</f>
        <v/>
      </c>
      <c r="M444" s="72" t="n"/>
      <c r="N444" s="72" t="n"/>
      <c r="O444" s="89" t="n"/>
      <c r="P444" s="89" t="n"/>
      <c r="Q444" s="109" t="n"/>
      <c r="R444" s="120">
        <f>IF(B444="","",IF(Q444&lt;&gt;"",Q444,IF(P444="","",IFERROR(INDEX('Timeline'!$J$7:$J$1006,MATCH(P444,'Timeline'!$B$7:$B$1006,0)),""))))</f>
        <v/>
      </c>
      <c r="S444" s="126">
        <f>IF(R444="","",R444-IF(O444="",0,O444)-OrderBuf)</f>
        <v/>
      </c>
      <c r="T444" s="126">
        <f>IF(S444="","",S444-DecideBuf)</f>
        <v/>
      </c>
      <c r="U444" s="74" t="n"/>
      <c r="V444" s="109" t="n"/>
      <c r="W444" s="109" t="n"/>
      <c r="X444" s="74" t="n"/>
      <c r="Y444" s="116">
        <f>IF(B444="","",IF(X444="Yes","Delivered",IF(U444="Yes",IF(AND(W444&lt;&gt;"",R444&lt;&gt;""),IF(W444&gt;R444,"⚠️ Delivery after install date","Ordered"),"Ordered"),IF(K444="",IF(T444="","Waiting for decision",IF(T444&lt;=AsOf+AlertDays,"Decide now","Waiting for decision")),IF(S444="","Selected",IF(AsOf&gt;S444,"⚠️ Order late — install at risk",IF(S444&lt;=AsOf+AlertDays,"Order now","Selected")))))))</f>
        <v/>
      </c>
      <c r="Z444" s="79">
        <f>IF(B444="","",IF(OR(AH444=1,AE444=1),2,IF(OR(AG444=1,AF444=1),1,IF(OR(Y444="Ordered",Y444="Delivered"),0,""))))</f>
        <v/>
      </c>
      <c r="AA444" s="112">
        <f>IF(B444="","",IF(AH444=1,IF(Y444="⚠️ Delivery after install date",R444,S444),IF(AD444=1,T444,IF(AI444=1,S444,""))))</f>
        <v/>
      </c>
      <c r="AB444" s="79">
        <f>IF(AA444="","",IF(AH444=1,1,IF(AA444="","",IF(AA444&lt;AsOf,1,IF(AA444&lt;=AsOf+AlertDays,2,IF(AA444&lt;=AsOf+2*AlertDays,3,""))))))</f>
        <v/>
      </c>
      <c r="AC444" s="79">
        <f>IF(AB444="","",IF(AH444=1,IF(Y444="⚠️ Delivery after install date","Delivery after install date: "&amp;B444,"Order late — install at risk: "&amp;B444),IF(AD444=1,IF(AB444=1,"Decision overdue: ","Decide: ")&amp;B444,"Order: "&amp;B444&amp;IF(N444="",""," from "&amp;N444))))</f>
        <v/>
      </c>
      <c r="AD444" s="79">
        <f>IF(AND(B444&lt;&gt;"",K444="",U444&lt;&gt;"Yes",X444&lt;&gt;"Yes"),1,0)</f>
        <v/>
      </c>
      <c r="AE444" s="79">
        <f>IF(AND(AD444=1,T444&lt;&gt;""),IF(T444&lt;AsOf,1,0),0)</f>
        <v/>
      </c>
      <c r="AF444" s="79">
        <f>IF(AND(AD444=1,T444&lt;&gt;""),IF(AND(T444&gt;=AsOf,T444&lt;=AsOf+AlertDays),1,0),0)</f>
        <v/>
      </c>
      <c r="AG444" s="79">
        <f>IF(Y444="Order now",1,0)</f>
        <v/>
      </c>
      <c r="AH444" s="79">
        <f>IF(OR(Y444="⚠️ Order late — install at risk",Y444="⚠️ Delivery after install date"),1,0)</f>
        <v/>
      </c>
      <c r="AI444" s="79">
        <f>IF(AND(B444&lt;&gt;"",K444&lt;&gt;"",U444&lt;&gt;"Yes",X444&lt;&gt;"Yes"),1,0)</f>
        <v/>
      </c>
      <c r="AJ444" s="79">
        <f>IF(Y444="⚠️ Order late — install at risk",1,0)</f>
        <v/>
      </c>
    </row>
    <row r="445" ht="20" customHeight="1">
      <c r="B445" s="72" t="n"/>
      <c r="C445" s="72" t="n"/>
      <c r="D445" s="72" t="n"/>
      <c r="E445" s="72" t="n"/>
      <c r="F445" s="73" t="n"/>
      <c r="G445" s="72" t="n"/>
      <c r="H445" s="73" t="n"/>
      <c r="I445" s="72" t="n"/>
      <c r="J445" s="73" t="n"/>
      <c r="K445" s="74" t="n"/>
      <c r="L445" s="75">
        <f>IF(K445="A",F445,IF(K445="B",H445,IF(K445="C",J445,"")))</f>
        <v/>
      </c>
      <c r="M445" s="72" t="n"/>
      <c r="N445" s="72" t="n"/>
      <c r="O445" s="89" t="n"/>
      <c r="P445" s="89" t="n"/>
      <c r="Q445" s="109" t="n"/>
      <c r="R445" s="120">
        <f>IF(B445="","",IF(Q445&lt;&gt;"",Q445,IF(P445="","",IFERROR(INDEX('Timeline'!$J$7:$J$1006,MATCH(P445,'Timeline'!$B$7:$B$1006,0)),""))))</f>
        <v/>
      </c>
      <c r="S445" s="126">
        <f>IF(R445="","",R445-IF(O445="",0,O445)-OrderBuf)</f>
        <v/>
      </c>
      <c r="T445" s="126">
        <f>IF(S445="","",S445-DecideBuf)</f>
        <v/>
      </c>
      <c r="U445" s="74" t="n"/>
      <c r="V445" s="109" t="n"/>
      <c r="W445" s="109" t="n"/>
      <c r="X445" s="74" t="n"/>
      <c r="Y445" s="116">
        <f>IF(B445="","",IF(X445="Yes","Delivered",IF(U445="Yes",IF(AND(W445&lt;&gt;"",R445&lt;&gt;""),IF(W445&gt;R445,"⚠️ Delivery after install date","Ordered"),"Ordered"),IF(K445="",IF(T445="","Waiting for decision",IF(T445&lt;=AsOf+AlertDays,"Decide now","Waiting for decision")),IF(S445="","Selected",IF(AsOf&gt;S445,"⚠️ Order late — install at risk",IF(S445&lt;=AsOf+AlertDays,"Order now","Selected")))))))</f>
        <v/>
      </c>
      <c r="Z445" s="79">
        <f>IF(B445="","",IF(OR(AH445=1,AE445=1),2,IF(OR(AG445=1,AF445=1),1,IF(OR(Y445="Ordered",Y445="Delivered"),0,""))))</f>
        <v/>
      </c>
      <c r="AA445" s="112">
        <f>IF(B445="","",IF(AH445=1,IF(Y445="⚠️ Delivery after install date",R445,S445),IF(AD445=1,T445,IF(AI445=1,S445,""))))</f>
        <v/>
      </c>
      <c r="AB445" s="79">
        <f>IF(AA445="","",IF(AH445=1,1,IF(AA445="","",IF(AA445&lt;AsOf,1,IF(AA445&lt;=AsOf+AlertDays,2,IF(AA445&lt;=AsOf+2*AlertDays,3,""))))))</f>
        <v/>
      </c>
      <c r="AC445" s="79">
        <f>IF(AB445="","",IF(AH445=1,IF(Y445="⚠️ Delivery after install date","Delivery after install date: "&amp;B445,"Order late — install at risk: "&amp;B445),IF(AD445=1,IF(AB445=1,"Decision overdue: ","Decide: ")&amp;B445,"Order: "&amp;B445&amp;IF(N445="",""," from "&amp;N445))))</f>
        <v/>
      </c>
      <c r="AD445" s="79">
        <f>IF(AND(B445&lt;&gt;"",K445="",U445&lt;&gt;"Yes",X445&lt;&gt;"Yes"),1,0)</f>
        <v/>
      </c>
      <c r="AE445" s="79">
        <f>IF(AND(AD445=1,T445&lt;&gt;""),IF(T445&lt;AsOf,1,0),0)</f>
        <v/>
      </c>
      <c r="AF445" s="79">
        <f>IF(AND(AD445=1,T445&lt;&gt;""),IF(AND(T445&gt;=AsOf,T445&lt;=AsOf+AlertDays),1,0),0)</f>
        <v/>
      </c>
      <c r="AG445" s="79">
        <f>IF(Y445="Order now",1,0)</f>
        <v/>
      </c>
      <c r="AH445" s="79">
        <f>IF(OR(Y445="⚠️ Order late — install at risk",Y445="⚠️ Delivery after install date"),1,0)</f>
        <v/>
      </c>
      <c r="AI445" s="79">
        <f>IF(AND(B445&lt;&gt;"",K445&lt;&gt;"",U445&lt;&gt;"Yes",X445&lt;&gt;"Yes"),1,0)</f>
        <v/>
      </c>
      <c r="AJ445" s="79">
        <f>IF(Y445="⚠️ Order late — install at risk",1,0)</f>
        <v/>
      </c>
    </row>
    <row r="446" ht="20" customHeight="1">
      <c r="B446" s="72" t="n"/>
      <c r="C446" s="72" t="n"/>
      <c r="D446" s="72" t="n"/>
      <c r="E446" s="72" t="n"/>
      <c r="F446" s="73" t="n"/>
      <c r="G446" s="72" t="n"/>
      <c r="H446" s="73" t="n"/>
      <c r="I446" s="72" t="n"/>
      <c r="J446" s="73" t="n"/>
      <c r="K446" s="74" t="n"/>
      <c r="L446" s="75">
        <f>IF(K446="A",F446,IF(K446="B",H446,IF(K446="C",J446,"")))</f>
        <v/>
      </c>
      <c r="M446" s="72" t="n"/>
      <c r="N446" s="72" t="n"/>
      <c r="O446" s="89" t="n"/>
      <c r="P446" s="89" t="n"/>
      <c r="Q446" s="109" t="n"/>
      <c r="R446" s="120">
        <f>IF(B446="","",IF(Q446&lt;&gt;"",Q446,IF(P446="","",IFERROR(INDEX('Timeline'!$J$7:$J$1006,MATCH(P446,'Timeline'!$B$7:$B$1006,0)),""))))</f>
        <v/>
      </c>
      <c r="S446" s="126">
        <f>IF(R446="","",R446-IF(O446="",0,O446)-OrderBuf)</f>
        <v/>
      </c>
      <c r="T446" s="126">
        <f>IF(S446="","",S446-DecideBuf)</f>
        <v/>
      </c>
      <c r="U446" s="74" t="n"/>
      <c r="V446" s="109" t="n"/>
      <c r="W446" s="109" t="n"/>
      <c r="X446" s="74" t="n"/>
      <c r="Y446" s="116">
        <f>IF(B446="","",IF(X446="Yes","Delivered",IF(U446="Yes",IF(AND(W446&lt;&gt;"",R446&lt;&gt;""),IF(W446&gt;R446,"⚠️ Delivery after install date","Ordered"),"Ordered"),IF(K446="",IF(T446="","Waiting for decision",IF(T446&lt;=AsOf+AlertDays,"Decide now","Waiting for decision")),IF(S446="","Selected",IF(AsOf&gt;S446,"⚠️ Order late — install at risk",IF(S446&lt;=AsOf+AlertDays,"Order now","Selected")))))))</f>
        <v/>
      </c>
      <c r="Z446" s="79">
        <f>IF(B446="","",IF(OR(AH446=1,AE446=1),2,IF(OR(AG446=1,AF446=1),1,IF(OR(Y446="Ordered",Y446="Delivered"),0,""))))</f>
        <v/>
      </c>
      <c r="AA446" s="112">
        <f>IF(B446="","",IF(AH446=1,IF(Y446="⚠️ Delivery after install date",R446,S446),IF(AD446=1,T446,IF(AI446=1,S446,""))))</f>
        <v/>
      </c>
      <c r="AB446" s="79">
        <f>IF(AA446="","",IF(AH446=1,1,IF(AA446="","",IF(AA446&lt;AsOf,1,IF(AA446&lt;=AsOf+AlertDays,2,IF(AA446&lt;=AsOf+2*AlertDays,3,""))))))</f>
        <v/>
      </c>
      <c r="AC446" s="79">
        <f>IF(AB446="","",IF(AH446=1,IF(Y446="⚠️ Delivery after install date","Delivery after install date: "&amp;B446,"Order late — install at risk: "&amp;B446),IF(AD446=1,IF(AB446=1,"Decision overdue: ","Decide: ")&amp;B446,"Order: "&amp;B446&amp;IF(N446="",""," from "&amp;N446))))</f>
        <v/>
      </c>
      <c r="AD446" s="79">
        <f>IF(AND(B446&lt;&gt;"",K446="",U446&lt;&gt;"Yes",X446&lt;&gt;"Yes"),1,0)</f>
        <v/>
      </c>
      <c r="AE446" s="79">
        <f>IF(AND(AD446=1,T446&lt;&gt;""),IF(T446&lt;AsOf,1,0),0)</f>
        <v/>
      </c>
      <c r="AF446" s="79">
        <f>IF(AND(AD446=1,T446&lt;&gt;""),IF(AND(T446&gt;=AsOf,T446&lt;=AsOf+AlertDays),1,0),0)</f>
        <v/>
      </c>
      <c r="AG446" s="79">
        <f>IF(Y446="Order now",1,0)</f>
        <v/>
      </c>
      <c r="AH446" s="79">
        <f>IF(OR(Y446="⚠️ Order late — install at risk",Y446="⚠️ Delivery after install date"),1,0)</f>
        <v/>
      </c>
      <c r="AI446" s="79">
        <f>IF(AND(B446&lt;&gt;"",K446&lt;&gt;"",U446&lt;&gt;"Yes",X446&lt;&gt;"Yes"),1,0)</f>
        <v/>
      </c>
      <c r="AJ446" s="79">
        <f>IF(Y446="⚠️ Order late — install at risk",1,0)</f>
        <v/>
      </c>
    </row>
    <row r="447" ht="20" customHeight="1">
      <c r="B447" s="72" t="n"/>
      <c r="C447" s="72" t="n"/>
      <c r="D447" s="72" t="n"/>
      <c r="E447" s="72" t="n"/>
      <c r="F447" s="73" t="n"/>
      <c r="G447" s="72" t="n"/>
      <c r="H447" s="73" t="n"/>
      <c r="I447" s="72" t="n"/>
      <c r="J447" s="73" t="n"/>
      <c r="K447" s="74" t="n"/>
      <c r="L447" s="75">
        <f>IF(K447="A",F447,IF(K447="B",H447,IF(K447="C",J447,"")))</f>
        <v/>
      </c>
      <c r="M447" s="72" t="n"/>
      <c r="N447" s="72" t="n"/>
      <c r="O447" s="89" t="n"/>
      <c r="P447" s="89" t="n"/>
      <c r="Q447" s="109" t="n"/>
      <c r="R447" s="120">
        <f>IF(B447="","",IF(Q447&lt;&gt;"",Q447,IF(P447="","",IFERROR(INDEX('Timeline'!$J$7:$J$1006,MATCH(P447,'Timeline'!$B$7:$B$1006,0)),""))))</f>
        <v/>
      </c>
      <c r="S447" s="126">
        <f>IF(R447="","",R447-IF(O447="",0,O447)-OrderBuf)</f>
        <v/>
      </c>
      <c r="T447" s="126">
        <f>IF(S447="","",S447-DecideBuf)</f>
        <v/>
      </c>
      <c r="U447" s="74" t="n"/>
      <c r="V447" s="109" t="n"/>
      <c r="W447" s="109" t="n"/>
      <c r="X447" s="74" t="n"/>
      <c r="Y447" s="116">
        <f>IF(B447="","",IF(X447="Yes","Delivered",IF(U447="Yes",IF(AND(W447&lt;&gt;"",R447&lt;&gt;""),IF(W447&gt;R447,"⚠️ Delivery after install date","Ordered"),"Ordered"),IF(K447="",IF(T447="","Waiting for decision",IF(T447&lt;=AsOf+AlertDays,"Decide now","Waiting for decision")),IF(S447="","Selected",IF(AsOf&gt;S447,"⚠️ Order late — install at risk",IF(S447&lt;=AsOf+AlertDays,"Order now","Selected")))))))</f>
        <v/>
      </c>
      <c r="Z447" s="79">
        <f>IF(B447="","",IF(OR(AH447=1,AE447=1),2,IF(OR(AG447=1,AF447=1),1,IF(OR(Y447="Ordered",Y447="Delivered"),0,""))))</f>
        <v/>
      </c>
      <c r="AA447" s="112">
        <f>IF(B447="","",IF(AH447=1,IF(Y447="⚠️ Delivery after install date",R447,S447),IF(AD447=1,T447,IF(AI447=1,S447,""))))</f>
        <v/>
      </c>
      <c r="AB447" s="79">
        <f>IF(AA447="","",IF(AH447=1,1,IF(AA447="","",IF(AA447&lt;AsOf,1,IF(AA447&lt;=AsOf+AlertDays,2,IF(AA447&lt;=AsOf+2*AlertDays,3,""))))))</f>
        <v/>
      </c>
      <c r="AC447" s="79">
        <f>IF(AB447="","",IF(AH447=1,IF(Y447="⚠️ Delivery after install date","Delivery after install date: "&amp;B447,"Order late — install at risk: "&amp;B447),IF(AD447=1,IF(AB447=1,"Decision overdue: ","Decide: ")&amp;B447,"Order: "&amp;B447&amp;IF(N447="",""," from "&amp;N447))))</f>
        <v/>
      </c>
      <c r="AD447" s="79">
        <f>IF(AND(B447&lt;&gt;"",K447="",U447&lt;&gt;"Yes",X447&lt;&gt;"Yes"),1,0)</f>
        <v/>
      </c>
      <c r="AE447" s="79">
        <f>IF(AND(AD447=1,T447&lt;&gt;""),IF(T447&lt;AsOf,1,0),0)</f>
        <v/>
      </c>
      <c r="AF447" s="79">
        <f>IF(AND(AD447=1,T447&lt;&gt;""),IF(AND(T447&gt;=AsOf,T447&lt;=AsOf+AlertDays),1,0),0)</f>
        <v/>
      </c>
      <c r="AG447" s="79">
        <f>IF(Y447="Order now",1,0)</f>
        <v/>
      </c>
      <c r="AH447" s="79">
        <f>IF(OR(Y447="⚠️ Order late — install at risk",Y447="⚠️ Delivery after install date"),1,0)</f>
        <v/>
      </c>
      <c r="AI447" s="79">
        <f>IF(AND(B447&lt;&gt;"",K447&lt;&gt;"",U447&lt;&gt;"Yes",X447&lt;&gt;"Yes"),1,0)</f>
        <v/>
      </c>
      <c r="AJ447" s="79">
        <f>IF(Y447="⚠️ Order late — install at risk",1,0)</f>
        <v/>
      </c>
    </row>
    <row r="448" ht="20" customHeight="1">
      <c r="B448" s="72" t="n"/>
      <c r="C448" s="72" t="n"/>
      <c r="D448" s="72" t="n"/>
      <c r="E448" s="72" t="n"/>
      <c r="F448" s="73" t="n"/>
      <c r="G448" s="72" t="n"/>
      <c r="H448" s="73" t="n"/>
      <c r="I448" s="72" t="n"/>
      <c r="J448" s="73" t="n"/>
      <c r="K448" s="74" t="n"/>
      <c r="L448" s="75">
        <f>IF(K448="A",F448,IF(K448="B",H448,IF(K448="C",J448,"")))</f>
        <v/>
      </c>
      <c r="M448" s="72" t="n"/>
      <c r="N448" s="72" t="n"/>
      <c r="O448" s="89" t="n"/>
      <c r="P448" s="89" t="n"/>
      <c r="Q448" s="109" t="n"/>
      <c r="R448" s="120">
        <f>IF(B448="","",IF(Q448&lt;&gt;"",Q448,IF(P448="","",IFERROR(INDEX('Timeline'!$J$7:$J$1006,MATCH(P448,'Timeline'!$B$7:$B$1006,0)),""))))</f>
        <v/>
      </c>
      <c r="S448" s="126">
        <f>IF(R448="","",R448-IF(O448="",0,O448)-OrderBuf)</f>
        <v/>
      </c>
      <c r="T448" s="126">
        <f>IF(S448="","",S448-DecideBuf)</f>
        <v/>
      </c>
      <c r="U448" s="74" t="n"/>
      <c r="V448" s="109" t="n"/>
      <c r="W448" s="109" t="n"/>
      <c r="X448" s="74" t="n"/>
      <c r="Y448" s="116">
        <f>IF(B448="","",IF(X448="Yes","Delivered",IF(U448="Yes",IF(AND(W448&lt;&gt;"",R448&lt;&gt;""),IF(W448&gt;R448,"⚠️ Delivery after install date","Ordered"),"Ordered"),IF(K448="",IF(T448="","Waiting for decision",IF(T448&lt;=AsOf+AlertDays,"Decide now","Waiting for decision")),IF(S448="","Selected",IF(AsOf&gt;S448,"⚠️ Order late — install at risk",IF(S448&lt;=AsOf+AlertDays,"Order now","Selected")))))))</f>
        <v/>
      </c>
      <c r="Z448" s="79">
        <f>IF(B448="","",IF(OR(AH448=1,AE448=1),2,IF(OR(AG448=1,AF448=1),1,IF(OR(Y448="Ordered",Y448="Delivered"),0,""))))</f>
        <v/>
      </c>
      <c r="AA448" s="112">
        <f>IF(B448="","",IF(AH448=1,IF(Y448="⚠️ Delivery after install date",R448,S448),IF(AD448=1,T448,IF(AI448=1,S448,""))))</f>
        <v/>
      </c>
      <c r="AB448" s="79">
        <f>IF(AA448="","",IF(AH448=1,1,IF(AA448="","",IF(AA448&lt;AsOf,1,IF(AA448&lt;=AsOf+AlertDays,2,IF(AA448&lt;=AsOf+2*AlertDays,3,""))))))</f>
        <v/>
      </c>
      <c r="AC448" s="79">
        <f>IF(AB448="","",IF(AH448=1,IF(Y448="⚠️ Delivery after install date","Delivery after install date: "&amp;B448,"Order late — install at risk: "&amp;B448),IF(AD448=1,IF(AB448=1,"Decision overdue: ","Decide: ")&amp;B448,"Order: "&amp;B448&amp;IF(N448="",""," from "&amp;N448))))</f>
        <v/>
      </c>
      <c r="AD448" s="79">
        <f>IF(AND(B448&lt;&gt;"",K448="",U448&lt;&gt;"Yes",X448&lt;&gt;"Yes"),1,0)</f>
        <v/>
      </c>
      <c r="AE448" s="79">
        <f>IF(AND(AD448=1,T448&lt;&gt;""),IF(T448&lt;AsOf,1,0),0)</f>
        <v/>
      </c>
      <c r="AF448" s="79">
        <f>IF(AND(AD448=1,T448&lt;&gt;""),IF(AND(T448&gt;=AsOf,T448&lt;=AsOf+AlertDays),1,0),0)</f>
        <v/>
      </c>
      <c r="AG448" s="79">
        <f>IF(Y448="Order now",1,0)</f>
        <v/>
      </c>
      <c r="AH448" s="79">
        <f>IF(OR(Y448="⚠️ Order late — install at risk",Y448="⚠️ Delivery after install date"),1,0)</f>
        <v/>
      </c>
      <c r="AI448" s="79">
        <f>IF(AND(B448&lt;&gt;"",K448&lt;&gt;"",U448&lt;&gt;"Yes",X448&lt;&gt;"Yes"),1,0)</f>
        <v/>
      </c>
      <c r="AJ448" s="79">
        <f>IF(Y448="⚠️ Order late — install at risk",1,0)</f>
        <v/>
      </c>
    </row>
    <row r="449" ht="20" customHeight="1">
      <c r="B449" s="72" t="n"/>
      <c r="C449" s="72" t="n"/>
      <c r="D449" s="72" t="n"/>
      <c r="E449" s="72" t="n"/>
      <c r="F449" s="73" t="n"/>
      <c r="G449" s="72" t="n"/>
      <c r="H449" s="73" t="n"/>
      <c r="I449" s="72" t="n"/>
      <c r="J449" s="73" t="n"/>
      <c r="K449" s="74" t="n"/>
      <c r="L449" s="75">
        <f>IF(K449="A",F449,IF(K449="B",H449,IF(K449="C",J449,"")))</f>
        <v/>
      </c>
      <c r="M449" s="72" t="n"/>
      <c r="N449" s="72" t="n"/>
      <c r="O449" s="89" t="n"/>
      <c r="P449" s="89" t="n"/>
      <c r="Q449" s="109" t="n"/>
      <c r="R449" s="120">
        <f>IF(B449="","",IF(Q449&lt;&gt;"",Q449,IF(P449="","",IFERROR(INDEX('Timeline'!$J$7:$J$1006,MATCH(P449,'Timeline'!$B$7:$B$1006,0)),""))))</f>
        <v/>
      </c>
      <c r="S449" s="126">
        <f>IF(R449="","",R449-IF(O449="",0,O449)-OrderBuf)</f>
        <v/>
      </c>
      <c r="T449" s="126">
        <f>IF(S449="","",S449-DecideBuf)</f>
        <v/>
      </c>
      <c r="U449" s="74" t="n"/>
      <c r="V449" s="109" t="n"/>
      <c r="W449" s="109" t="n"/>
      <c r="X449" s="74" t="n"/>
      <c r="Y449" s="116">
        <f>IF(B449="","",IF(X449="Yes","Delivered",IF(U449="Yes",IF(AND(W449&lt;&gt;"",R449&lt;&gt;""),IF(W449&gt;R449,"⚠️ Delivery after install date","Ordered"),"Ordered"),IF(K449="",IF(T449="","Waiting for decision",IF(T449&lt;=AsOf+AlertDays,"Decide now","Waiting for decision")),IF(S449="","Selected",IF(AsOf&gt;S449,"⚠️ Order late — install at risk",IF(S449&lt;=AsOf+AlertDays,"Order now","Selected")))))))</f>
        <v/>
      </c>
      <c r="Z449" s="79">
        <f>IF(B449="","",IF(OR(AH449=1,AE449=1),2,IF(OR(AG449=1,AF449=1),1,IF(OR(Y449="Ordered",Y449="Delivered"),0,""))))</f>
        <v/>
      </c>
      <c r="AA449" s="112">
        <f>IF(B449="","",IF(AH449=1,IF(Y449="⚠️ Delivery after install date",R449,S449),IF(AD449=1,T449,IF(AI449=1,S449,""))))</f>
        <v/>
      </c>
      <c r="AB449" s="79">
        <f>IF(AA449="","",IF(AH449=1,1,IF(AA449="","",IF(AA449&lt;AsOf,1,IF(AA449&lt;=AsOf+AlertDays,2,IF(AA449&lt;=AsOf+2*AlertDays,3,""))))))</f>
        <v/>
      </c>
      <c r="AC449" s="79">
        <f>IF(AB449="","",IF(AH449=1,IF(Y449="⚠️ Delivery after install date","Delivery after install date: "&amp;B449,"Order late — install at risk: "&amp;B449),IF(AD449=1,IF(AB449=1,"Decision overdue: ","Decide: ")&amp;B449,"Order: "&amp;B449&amp;IF(N449="",""," from "&amp;N449))))</f>
        <v/>
      </c>
      <c r="AD449" s="79">
        <f>IF(AND(B449&lt;&gt;"",K449="",U449&lt;&gt;"Yes",X449&lt;&gt;"Yes"),1,0)</f>
        <v/>
      </c>
      <c r="AE449" s="79">
        <f>IF(AND(AD449=1,T449&lt;&gt;""),IF(T449&lt;AsOf,1,0),0)</f>
        <v/>
      </c>
      <c r="AF449" s="79">
        <f>IF(AND(AD449=1,T449&lt;&gt;""),IF(AND(T449&gt;=AsOf,T449&lt;=AsOf+AlertDays),1,0),0)</f>
        <v/>
      </c>
      <c r="AG449" s="79">
        <f>IF(Y449="Order now",1,0)</f>
        <v/>
      </c>
      <c r="AH449" s="79">
        <f>IF(OR(Y449="⚠️ Order late — install at risk",Y449="⚠️ Delivery after install date"),1,0)</f>
        <v/>
      </c>
      <c r="AI449" s="79">
        <f>IF(AND(B449&lt;&gt;"",K449&lt;&gt;"",U449&lt;&gt;"Yes",X449&lt;&gt;"Yes"),1,0)</f>
        <v/>
      </c>
      <c r="AJ449" s="79">
        <f>IF(Y449="⚠️ Order late — install at risk",1,0)</f>
        <v/>
      </c>
    </row>
    <row r="450" ht="20" customHeight="1">
      <c r="B450" s="72" t="n"/>
      <c r="C450" s="72" t="n"/>
      <c r="D450" s="72" t="n"/>
      <c r="E450" s="72" t="n"/>
      <c r="F450" s="73" t="n"/>
      <c r="G450" s="72" t="n"/>
      <c r="H450" s="73" t="n"/>
      <c r="I450" s="72" t="n"/>
      <c r="J450" s="73" t="n"/>
      <c r="K450" s="74" t="n"/>
      <c r="L450" s="75">
        <f>IF(K450="A",F450,IF(K450="B",H450,IF(K450="C",J450,"")))</f>
        <v/>
      </c>
      <c r="M450" s="72" t="n"/>
      <c r="N450" s="72" t="n"/>
      <c r="O450" s="89" t="n"/>
      <c r="P450" s="89" t="n"/>
      <c r="Q450" s="109" t="n"/>
      <c r="R450" s="120">
        <f>IF(B450="","",IF(Q450&lt;&gt;"",Q450,IF(P450="","",IFERROR(INDEX('Timeline'!$J$7:$J$1006,MATCH(P450,'Timeline'!$B$7:$B$1006,0)),""))))</f>
        <v/>
      </c>
      <c r="S450" s="126">
        <f>IF(R450="","",R450-IF(O450="",0,O450)-OrderBuf)</f>
        <v/>
      </c>
      <c r="T450" s="126">
        <f>IF(S450="","",S450-DecideBuf)</f>
        <v/>
      </c>
      <c r="U450" s="74" t="n"/>
      <c r="V450" s="109" t="n"/>
      <c r="W450" s="109" t="n"/>
      <c r="X450" s="74" t="n"/>
      <c r="Y450" s="116">
        <f>IF(B450="","",IF(X450="Yes","Delivered",IF(U450="Yes",IF(AND(W450&lt;&gt;"",R450&lt;&gt;""),IF(W450&gt;R450,"⚠️ Delivery after install date","Ordered"),"Ordered"),IF(K450="",IF(T450="","Waiting for decision",IF(T450&lt;=AsOf+AlertDays,"Decide now","Waiting for decision")),IF(S450="","Selected",IF(AsOf&gt;S450,"⚠️ Order late — install at risk",IF(S450&lt;=AsOf+AlertDays,"Order now","Selected")))))))</f>
        <v/>
      </c>
      <c r="Z450" s="79">
        <f>IF(B450="","",IF(OR(AH450=1,AE450=1),2,IF(OR(AG450=1,AF450=1),1,IF(OR(Y450="Ordered",Y450="Delivered"),0,""))))</f>
        <v/>
      </c>
      <c r="AA450" s="112">
        <f>IF(B450="","",IF(AH450=1,IF(Y450="⚠️ Delivery after install date",R450,S450),IF(AD450=1,T450,IF(AI450=1,S450,""))))</f>
        <v/>
      </c>
      <c r="AB450" s="79">
        <f>IF(AA450="","",IF(AH450=1,1,IF(AA450="","",IF(AA450&lt;AsOf,1,IF(AA450&lt;=AsOf+AlertDays,2,IF(AA450&lt;=AsOf+2*AlertDays,3,""))))))</f>
        <v/>
      </c>
      <c r="AC450" s="79">
        <f>IF(AB450="","",IF(AH450=1,IF(Y450="⚠️ Delivery after install date","Delivery after install date: "&amp;B450,"Order late — install at risk: "&amp;B450),IF(AD450=1,IF(AB450=1,"Decision overdue: ","Decide: ")&amp;B450,"Order: "&amp;B450&amp;IF(N450="",""," from "&amp;N450))))</f>
        <v/>
      </c>
      <c r="AD450" s="79">
        <f>IF(AND(B450&lt;&gt;"",K450="",U450&lt;&gt;"Yes",X450&lt;&gt;"Yes"),1,0)</f>
        <v/>
      </c>
      <c r="AE450" s="79">
        <f>IF(AND(AD450=1,T450&lt;&gt;""),IF(T450&lt;AsOf,1,0),0)</f>
        <v/>
      </c>
      <c r="AF450" s="79">
        <f>IF(AND(AD450=1,T450&lt;&gt;""),IF(AND(T450&gt;=AsOf,T450&lt;=AsOf+AlertDays),1,0),0)</f>
        <v/>
      </c>
      <c r="AG450" s="79">
        <f>IF(Y450="Order now",1,0)</f>
        <v/>
      </c>
      <c r="AH450" s="79">
        <f>IF(OR(Y450="⚠️ Order late — install at risk",Y450="⚠️ Delivery after install date"),1,0)</f>
        <v/>
      </c>
      <c r="AI450" s="79">
        <f>IF(AND(B450&lt;&gt;"",K450&lt;&gt;"",U450&lt;&gt;"Yes",X450&lt;&gt;"Yes"),1,0)</f>
        <v/>
      </c>
      <c r="AJ450" s="79">
        <f>IF(Y450="⚠️ Order late — install at risk",1,0)</f>
        <v/>
      </c>
    </row>
    <row r="451" ht="20" customHeight="1">
      <c r="B451" s="72" t="n"/>
      <c r="C451" s="72" t="n"/>
      <c r="D451" s="72" t="n"/>
      <c r="E451" s="72" t="n"/>
      <c r="F451" s="73" t="n"/>
      <c r="G451" s="72" t="n"/>
      <c r="H451" s="73" t="n"/>
      <c r="I451" s="72" t="n"/>
      <c r="J451" s="73" t="n"/>
      <c r="K451" s="74" t="n"/>
      <c r="L451" s="75">
        <f>IF(K451="A",F451,IF(K451="B",H451,IF(K451="C",J451,"")))</f>
        <v/>
      </c>
      <c r="M451" s="72" t="n"/>
      <c r="N451" s="72" t="n"/>
      <c r="O451" s="89" t="n"/>
      <c r="P451" s="89" t="n"/>
      <c r="Q451" s="109" t="n"/>
      <c r="R451" s="120">
        <f>IF(B451="","",IF(Q451&lt;&gt;"",Q451,IF(P451="","",IFERROR(INDEX('Timeline'!$J$7:$J$1006,MATCH(P451,'Timeline'!$B$7:$B$1006,0)),""))))</f>
        <v/>
      </c>
      <c r="S451" s="126">
        <f>IF(R451="","",R451-IF(O451="",0,O451)-OrderBuf)</f>
        <v/>
      </c>
      <c r="T451" s="126">
        <f>IF(S451="","",S451-DecideBuf)</f>
        <v/>
      </c>
      <c r="U451" s="74" t="n"/>
      <c r="V451" s="109" t="n"/>
      <c r="W451" s="109" t="n"/>
      <c r="X451" s="74" t="n"/>
      <c r="Y451" s="116">
        <f>IF(B451="","",IF(X451="Yes","Delivered",IF(U451="Yes",IF(AND(W451&lt;&gt;"",R451&lt;&gt;""),IF(W451&gt;R451,"⚠️ Delivery after install date","Ordered"),"Ordered"),IF(K451="",IF(T451="","Waiting for decision",IF(T451&lt;=AsOf+AlertDays,"Decide now","Waiting for decision")),IF(S451="","Selected",IF(AsOf&gt;S451,"⚠️ Order late — install at risk",IF(S451&lt;=AsOf+AlertDays,"Order now","Selected")))))))</f>
        <v/>
      </c>
      <c r="Z451" s="79">
        <f>IF(B451="","",IF(OR(AH451=1,AE451=1),2,IF(OR(AG451=1,AF451=1),1,IF(OR(Y451="Ordered",Y451="Delivered"),0,""))))</f>
        <v/>
      </c>
      <c r="AA451" s="112">
        <f>IF(B451="","",IF(AH451=1,IF(Y451="⚠️ Delivery after install date",R451,S451),IF(AD451=1,T451,IF(AI451=1,S451,""))))</f>
        <v/>
      </c>
      <c r="AB451" s="79">
        <f>IF(AA451="","",IF(AH451=1,1,IF(AA451="","",IF(AA451&lt;AsOf,1,IF(AA451&lt;=AsOf+AlertDays,2,IF(AA451&lt;=AsOf+2*AlertDays,3,""))))))</f>
        <v/>
      </c>
      <c r="AC451" s="79">
        <f>IF(AB451="","",IF(AH451=1,IF(Y451="⚠️ Delivery after install date","Delivery after install date: "&amp;B451,"Order late — install at risk: "&amp;B451),IF(AD451=1,IF(AB451=1,"Decision overdue: ","Decide: ")&amp;B451,"Order: "&amp;B451&amp;IF(N451="",""," from "&amp;N451))))</f>
        <v/>
      </c>
      <c r="AD451" s="79">
        <f>IF(AND(B451&lt;&gt;"",K451="",U451&lt;&gt;"Yes",X451&lt;&gt;"Yes"),1,0)</f>
        <v/>
      </c>
      <c r="AE451" s="79">
        <f>IF(AND(AD451=1,T451&lt;&gt;""),IF(T451&lt;AsOf,1,0),0)</f>
        <v/>
      </c>
      <c r="AF451" s="79">
        <f>IF(AND(AD451=1,T451&lt;&gt;""),IF(AND(T451&gt;=AsOf,T451&lt;=AsOf+AlertDays),1,0),0)</f>
        <v/>
      </c>
      <c r="AG451" s="79">
        <f>IF(Y451="Order now",1,0)</f>
        <v/>
      </c>
      <c r="AH451" s="79">
        <f>IF(OR(Y451="⚠️ Order late — install at risk",Y451="⚠️ Delivery after install date"),1,0)</f>
        <v/>
      </c>
      <c r="AI451" s="79">
        <f>IF(AND(B451&lt;&gt;"",K451&lt;&gt;"",U451&lt;&gt;"Yes",X451&lt;&gt;"Yes"),1,0)</f>
        <v/>
      </c>
      <c r="AJ451" s="79">
        <f>IF(Y451="⚠️ Order late — install at risk",1,0)</f>
        <v/>
      </c>
    </row>
    <row r="452" ht="20" customHeight="1">
      <c r="B452" s="72" t="n"/>
      <c r="C452" s="72" t="n"/>
      <c r="D452" s="72" t="n"/>
      <c r="E452" s="72" t="n"/>
      <c r="F452" s="73" t="n"/>
      <c r="G452" s="72" t="n"/>
      <c r="H452" s="73" t="n"/>
      <c r="I452" s="72" t="n"/>
      <c r="J452" s="73" t="n"/>
      <c r="K452" s="74" t="n"/>
      <c r="L452" s="75">
        <f>IF(K452="A",F452,IF(K452="B",H452,IF(K452="C",J452,"")))</f>
        <v/>
      </c>
      <c r="M452" s="72" t="n"/>
      <c r="N452" s="72" t="n"/>
      <c r="O452" s="89" t="n"/>
      <c r="P452" s="89" t="n"/>
      <c r="Q452" s="109" t="n"/>
      <c r="R452" s="120">
        <f>IF(B452="","",IF(Q452&lt;&gt;"",Q452,IF(P452="","",IFERROR(INDEX('Timeline'!$J$7:$J$1006,MATCH(P452,'Timeline'!$B$7:$B$1006,0)),""))))</f>
        <v/>
      </c>
      <c r="S452" s="126">
        <f>IF(R452="","",R452-IF(O452="",0,O452)-OrderBuf)</f>
        <v/>
      </c>
      <c r="T452" s="126">
        <f>IF(S452="","",S452-DecideBuf)</f>
        <v/>
      </c>
      <c r="U452" s="74" t="n"/>
      <c r="V452" s="109" t="n"/>
      <c r="W452" s="109" t="n"/>
      <c r="X452" s="74" t="n"/>
      <c r="Y452" s="116">
        <f>IF(B452="","",IF(X452="Yes","Delivered",IF(U452="Yes",IF(AND(W452&lt;&gt;"",R452&lt;&gt;""),IF(W452&gt;R452,"⚠️ Delivery after install date","Ordered"),"Ordered"),IF(K452="",IF(T452="","Waiting for decision",IF(T452&lt;=AsOf+AlertDays,"Decide now","Waiting for decision")),IF(S452="","Selected",IF(AsOf&gt;S452,"⚠️ Order late — install at risk",IF(S452&lt;=AsOf+AlertDays,"Order now","Selected")))))))</f>
        <v/>
      </c>
      <c r="Z452" s="79">
        <f>IF(B452="","",IF(OR(AH452=1,AE452=1),2,IF(OR(AG452=1,AF452=1),1,IF(OR(Y452="Ordered",Y452="Delivered"),0,""))))</f>
        <v/>
      </c>
      <c r="AA452" s="112">
        <f>IF(B452="","",IF(AH452=1,IF(Y452="⚠️ Delivery after install date",R452,S452),IF(AD452=1,T452,IF(AI452=1,S452,""))))</f>
        <v/>
      </c>
      <c r="AB452" s="79">
        <f>IF(AA452="","",IF(AH452=1,1,IF(AA452="","",IF(AA452&lt;AsOf,1,IF(AA452&lt;=AsOf+AlertDays,2,IF(AA452&lt;=AsOf+2*AlertDays,3,""))))))</f>
        <v/>
      </c>
      <c r="AC452" s="79">
        <f>IF(AB452="","",IF(AH452=1,IF(Y452="⚠️ Delivery after install date","Delivery after install date: "&amp;B452,"Order late — install at risk: "&amp;B452),IF(AD452=1,IF(AB452=1,"Decision overdue: ","Decide: ")&amp;B452,"Order: "&amp;B452&amp;IF(N452="",""," from "&amp;N452))))</f>
        <v/>
      </c>
      <c r="AD452" s="79">
        <f>IF(AND(B452&lt;&gt;"",K452="",U452&lt;&gt;"Yes",X452&lt;&gt;"Yes"),1,0)</f>
        <v/>
      </c>
      <c r="AE452" s="79">
        <f>IF(AND(AD452=1,T452&lt;&gt;""),IF(T452&lt;AsOf,1,0),0)</f>
        <v/>
      </c>
      <c r="AF452" s="79">
        <f>IF(AND(AD452=1,T452&lt;&gt;""),IF(AND(T452&gt;=AsOf,T452&lt;=AsOf+AlertDays),1,0),0)</f>
        <v/>
      </c>
      <c r="AG452" s="79">
        <f>IF(Y452="Order now",1,0)</f>
        <v/>
      </c>
      <c r="AH452" s="79">
        <f>IF(OR(Y452="⚠️ Order late — install at risk",Y452="⚠️ Delivery after install date"),1,0)</f>
        <v/>
      </c>
      <c r="AI452" s="79">
        <f>IF(AND(B452&lt;&gt;"",K452&lt;&gt;"",U452&lt;&gt;"Yes",X452&lt;&gt;"Yes"),1,0)</f>
        <v/>
      </c>
      <c r="AJ452" s="79">
        <f>IF(Y452="⚠️ Order late — install at risk",1,0)</f>
        <v/>
      </c>
    </row>
    <row r="453" ht="20" customHeight="1">
      <c r="B453" s="72" t="n"/>
      <c r="C453" s="72" t="n"/>
      <c r="D453" s="72" t="n"/>
      <c r="E453" s="72" t="n"/>
      <c r="F453" s="73" t="n"/>
      <c r="G453" s="72" t="n"/>
      <c r="H453" s="73" t="n"/>
      <c r="I453" s="72" t="n"/>
      <c r="J453" s="73" t="n"/>
      <c r="K453" s="74" t="n"/>
      <c r="L453" s="75">
        <f>IF(K453="A",F453,IF(K453="B",H453,IF(K453="C",J453,"")))</f>
        <v/>
      </c>
      <c r="M453" s="72" t="n"/>
      <c r="N453" s="72" t="n"/>
      <c r="O453" s="89" t="n"/>
      <c r="P453" s="89" t="n"/>
      <c r="Q453" s="109" t="n"/>
      <c r="R453" s="120">
        <f>IF(B453="","",IF(Q453&lt;&gt;"",Q453,IF(P453="","",IFERROR(INDEX('Timeline'!$J$7:$J$1006,MATCH(P453,'Timeline'!$B$7:$B$1006,0)),""))))</f>
        <v/>
      </c>
      <c r="S453" s="126">
        <f>IF(R453="","",R453-IF(O453="",0,O453)-OrderBuf)</f>
        <v/>
      </c>
      <c r="T453" s="126">
        <f>IF(S453="","",S453-DecideBuf)</f>
        <v/>
      </c>
      <c r="U453" s="74" t="n"/>
      <c r="V453" s="109" t="n"/>
      <c r="W453" s="109" t="n"/>
      <c r="X453" s="74" t="n"/>
      <c r="Y453" s="116">
        <f>IF(B453="","",IF(X453="Yes","Delivered",IF(U453="Yes",IF(AND(W453&lt;&gt;"",R453&lt;&gt;""),IF(W453&gt;R453,"⚠️ Delivery after install date","Ordered"),"Ordered"),IF(K453="",IF(T453="","Waiting for decision",IF(T453&lt;=AsOf+AlertDays,"Decide now","Waiting for decision")),IF(S453="","Selected",IF(AsOf&gt;S453,"⚠️ Order late — install at risk",IF(S453&lt;=AsOf+AlertDays,"Order now","Selected")))))))</f>
        <v/>
      </c>
      <c r="Z453" s="79">
        <f>IF(B453="","",IF(OR(AH453=1,AE453=1),2,IF(OR(AG453=1,AF453=1),1,IF(OR(Y453="Ordered",Y453="Delivered"),0,""))))</f>
        <v/>
      </c>
      <c r="AA453" s="112">
        <f>IF(B453="","",IF(AH453=1,IF(Y453="⚠️ Delivery after install date",R453,S453),IF(AD453=1,T453,IF(AI453=1,S453,""))))</f>
        <v/>
      </c>
      <c r="AB453" s="79">
        <f>IF(AA453="","",IF(AH453=1,1,IF(AA453="","",IF(AA453&lt;AsOf,1,IF(AA453&lt;=AsOf+AlertDays,2,IF(AA453&lt;=AsOf+2*AlertDays,3,""))))))</f>
        <v/>
      </c>
      <c r="AC453" s="79">
        <f>IF(AB453="","",IF(AH453=1,IF(Y453="⚠️ Delivery after install date","Delivery after install date: "&amp;B453,"Order late — install at risk: "&amp;B453),IF(AD453=1,IF(AB453=1,"Decision overdue: ","Decide: ")&amp;B453,"Order: "&amp;B453&amp;IF(N453="",""," from "&amp;N453))))</f>
        <v/>
      </c>
      <c r="AD453" s="79">
        <f>IF(AND(B453&lt;&gt;"",K453="",U453&lt;&gt;"Yes",X453&lt;&gt;"Yes"),1,0)</f>
        <v/>
      </c>
      <c r="AE453" s="79">
        <f>IF(AND(AD453=1,T453&lt;&gt;""),IF(T453&lt;AsOf,1,0),0)</f>
        <v/>
      </c>
      <c r="AF453" s="79">
        <f>IF(AND(AD453=1,T453&lt;&gt;""),IF(AND(T453&gt;=AsOf,T453&lt;=AsOf+AlertDays),1,0),0)</f>
        <v/>
      </c>
      <c r="AG453" s="79">
        <f>IF(Y453="Order now",1,0)</f>
        <v/>
      </c>
      <c r="AH453" s="79">
        <f>IF(OR(Y453="⚠️ Order late — install at risk",Y453="⚠️ Delivery after install date"),1,0)</f>
        <v/>
      </c>
      <c r="AI453" s="79">
        <f>IF(AND(B453&lt;&gt;"",K453&lt;&gt;"",U453&lt;&gt;"Yes",X453&lt;&gt;"Yes"),1,0)</f>
        <v/>
      </c>
      <c r="AJ453" s="79">
        <f>IF(Y453="⚠️ Order late — install at risk",1,0)</f>
        <v/>
      </c>
    </row>
    <row r="454" ht="20" customHeight="1">
      <c r="B454" s="72" t="n"/>
      <c r="C454" s="72" t="n"/>
      <c r="D454" s="72" t="n"/>
      <c r="E454" s="72" t="n"/>
      <c r="F454" s="73" t="n"/>
      <c r="G454" s="72" t="n"/>
      <c r="H454" s="73" t="n"/>
      <c r="I454" s="72" t="n"/>
      <c r="J454" s="73" t="n"/>
      <c r="K454" s="74" t="n"/>
      <c r="L454" s="75">
        <f>IF(K454="A",F454,IF(K454="B",H454,IF(K454="C",J454,"")))</f>
        <v/>
      </c>
      <c r="M454" s="72" t="n"/>
      <c r="N454" s="72" t="n"/>
      <c r="O454" s="89" t="n"/>
      <c r="P454" s="89" t="n"/>
      <c r="Q454" s="109" t="n"/>
      <c r="R454" s="120">
        <f>IF(B454="","",IF(Q454&lt;&gt;"",Q454,IF(P454="","",IFERROR(INDEX('Timeline'!$J$7:$J$1006,MATCH(P454,'Timeline'!$B$7:$B$1006,0)),""))))</f>
        <v/>
      </c>
      <c r="S454" s="126">
        <f>IF(R454="","",R454-IF(O454="",0,O454)-OrderBuf)</f>
        <v/>
      </c>
      <c r="T454" s="126">
        <f>IF(S454="","",S454-DecideBuf)</f>
        <v/>
      </c>
      <c r="U454" s="74" t="n"/>
      <c r="V454" s="109" t="n"/>
      <c r="W454" s="109" t="n"/>
      <c r="X454" s="74" t="n"/>
      <c r="Y454" s="116">
        <f>IF(B454="","",IF(X454="Yes","Delivered",IF(U454="Yes",IF(AND(W454&lt;&gt;"",R454&lt;&gt;""),IF(W454&gt;R454,"⚠️ Delivery after install date","Ordered"),"Ordered"),IF(K454="",IF(T454="","Waiting for decision",IF(T454&lt;=AsOf+AlertDays,"Decide now","Waiting for decision")),IF(S454="","Selected",IF(AsOf&gt;S454,"⚠️ Order late — install at risk",IF(S454&lt;=AsOf+AlertDays,"Order now","Selected")))))))</f>
        <v/>
      </c>
      <c r="Z454" s="79">
        <f>IF(B454="","",IF(OR(AH454=1,AE454=1),2,IF(OR(AG454=1,AF454=1),1,IF(OR(Y454="Ordered",Y454="Delivered"),0,""))))</f>
        <v/>
      </c>
      <c r="AA454" s="112">
        <f>IF(B454="","",IF(AH454=1,IF(Y454="⚠️ Delivery after install date",R454,S454),IF(AD454=1,T454,IF(AI454=1,S454,""))))</f>
        <v/>
      </c>
      <c r="AB454" s="79">
        <f>IF(AA454="","",IF(AH454=1,1,IF(AA454="","",IF(AA454&lt;AsOf,1,IF(AA454&lt;=AsOf+AlertDays,2,IF(AA454&lt;=AsOf+2*AlertDays,3,""))))))</f>
        <v/>
      </c>
      <c r="AC454" s="79">
        <f>IF(AB454="","",IF(AH454=1,IF(Y454="⚠️ Delivery after install date","Delivery after install date: "&amp;B454,"Order late — install at risk: "&amp;B454),IF(AD454=1,IF(AB454=1,"Decision overdue: ","Decide: ")&amp;B454,"Order: "&amp;B454&amp;IF(N454="",""," from "&amp;N454))))</f>
        <v/>
      </c>
      <c r="AD454" s="79">
        <f>IF(AND(B454&lt;&gt;"",K454="",U454&lt;&gt;"Yes",X454&lt;&gt;"Yes"),1,0)</f>
        <v/>
      </c>
      <c r="AE454" s="79">
        <f>IF(AND(AD454=1,T454&lt;&gt;""),IF(T454&lt;AsOf,1,0),0)</f>
        <v/>
      </c>
      <c r="AF454" s="79">
        <f>IF(AND(AD454=1,T454&lt;&gt;""),IF(AND(T454&gt;=AsOf,T454&lt;=AsOf+AlertDays),1,0),0)</f>
        <v/>
      </c>
      <c r="AG454" s="79">
        <f>IF(Y454="Order now",1,0)</f>
        <v/>
      </c>
      <c r="AH454" s="79">
        <f>IF(OR(Y454="⚠️ Order late — install at risk",Y454="⚠️ Delivery after install date"),1,0)</f>
        <v/>
      </c>
      <c r="AI454" s="79">
        <f>IF(AND(B454&lt;&gt;"",K454&lt;&gt;"",U454&lt;&gt;"Yes",X454&lt;&gt;"Yes"),1,0)</f>
        <v/>
      </c>
      <c r="AJ454" s="79">
        <f>IF(Y454="⚠️ Order late — install at risk",1,0)</f>
        <v/>
      </c>
    </row>
    <row r="455" ht="20" customHeight="1">
      <c r="B455" s="72" t="n"/>
      <c r="C455" s="72" t="n"/>
      <c r="D455" s="72" t="n"/>
      <c r="E455" s="72" t="n"/>
      <c r="F455" s="73" t="n"/>
      <c r="G455" s="72" t="n"/>
      <c r="H455" s="73" t="n"/>
      <c r="I455" s="72" t="n"/>
      <c r="J455" s="73" t="n"/>
      <c r="K455" s="74" t="n"/>
      <c r="L455" s="75">
        <f>IF(K455="A",F455,IF(K455="B",H455,IF(K455="C",J455,"")))</f>
        <v/>
      </c>
      <c r="M455" s="72" t="n"/>
      <c r="N455" s="72" t="n"/>
      <c r="O455" s="89" t="n"/>
      <c r="P455" s="89" t="n"/>
      <c r="Q455" s="109" t="n"/>
      <c r="R455" s="120">
        <f>IF(B455="","",IF(Q455&lt;&gt;"",Q455,IF(P455="","",IFERROR(INDEX('Timeline'!$J$7:$J$1006,MATCH(P455,'Timeline'!$B$7:$B$1006,0)),""))))</f>
        <v/>
      </c>
      <c r="S455" s="126">
        <f>IF(R455="","",R455-IF(O455="",0,O455)-OrderBuf)</f>
        <v/>
      </c>
      <c r="T455" s="126">
        <f>IF(S455="","",S455-DecideBuf)</f>
        <v/>
      </c>
      <c r="U455" s="74" t="n"/>
      <c r="V455" s="109" t="n"/>
      <c r="W455" s="109" t="n"/>
      <c r="X455" s="74" t="n"/>
      <c r="Y455" s="116">
        <f>IF(B455="","",IF(X455="Yes","Delivered",IF(U455="Yes",IF(AND(W455&lt;&gt;"",R455&lt;&gt;""),IF(W455&gt;R455,"⚠️ Delivery after install date","Ordered"),"Ordered"),IF(K455="",IF(T455="","Waiting for decision",IF(T455&lt;=AsOf+AlertDays,"Decide now","Waiting for decision")),IF(S455="","Selected",IF(AsOf&gt;S455,"⚠️ Order late — install at risk",IF(S455&lt;=AsOf+AlertDays,"Order now","Selected")))))))</f>
        <v/>
      </c>
      <c r="Z455" s="79">
        <f>IF(B455="","",IF(OR(AH455=1,AE455=1),2,IF(OR(AG455=1,AF455=1),1,IF(OR(Y455="Ordered",Y455="Delivered"),0,""))))</f>
        <v/>
      </c>
      <c r="AA455" s="112">
        <f>IF(B455="","",IF(AH455=1,IF(Y455="⚠️ Delivery after install date",R455,S455),IF(AD455=1,T455,IF(AI455=1,S455,""))))</f>
        <v/>
      </c>
      <c r="AB455" s="79">
        <f>IF(AA455="","",IF(AH455=1,1,IF(AA455="","",IF(AA455&lt;AsOf,1,IF(AA455&lt;=AsOf+AlertDays,2,IF(AA455&lt;=AsOf+2*AlertDays,3,""))))))</f>
        <v/>
      </c>
      <c r="AC455" s="79">
        <f>IF(AB455="","",IF(AH455=1,IF(Y455="⚠️ Delivery after install date","Delivery after install date: "&amp;B455,"Order late — install at risk: "&amp;B455),IF(AD455=1,IF(AB455=1,"Decision overdue: ","Decide: ")&amp;B455,"Order: "&amp;B455&amp;IF(N455="",""," from "&amp;N455))))</f>
        <v/>
      </c>
      <c r="AD455" s="79">
        <f>IF(AND(B455&lt;&gt;"",K455="",U455&lt;&gt;"Yes",X455&lt;&gt;"Yes"),1,0)</f>
        <v/>
      </c>
      <c r="AE455" s="79">
        <f>IF(AND(AD455=1,T455&lt;&gt;""),IF(T455&lt;AsOf,1,0),0)</f>
        <v/>
      </c>
      <c r="AF455" s="79">
        <f>IF(AND(AD455=1,T455&lt;&gt;""),IF(AND(T455&gt;=AsOf,T455&lt;=AsOf+AlertDays),1,0),0)</f>
        <v/>
      </c>
      <c r="AG455" s="79">
        <f>IF(Y455="Order now",1,0)</f>
        <v/>
      </c>
      <c r="AH455" s="79">
        <f>IF(OR(Y455="⚠️ Order late — install at risk",Y455="⚠️ Delivery after install date"),1,0)</f>
        <v/>
      </c>
      <c r="AI455" s="79">
        <f>IF(AND(B455&lt;&gt;"",K455&lt;&gt;"",U455&lt;&gt;"Yes",X455&lt;&gt;"Yes"),1,0)</f>
        <v/>
      </c>
      <c r="AJ455" s="79">
        <f>IF(Y455="⚠️ Order late — install at risk",1,0)</f>
        <v/>
      </c>
    </row>
    <row r="456" ht="20" customHeight="1">
      <c r="B456" s="72" t="n"/>
      <c r="C456" s="72" t="n"/>
      <c r="D456" s="72" t="n"/>
      <c r="E456" s="72" t="n"/>
      <c r="F456" s="73" t="n"/>
      <c r="G456" s="72" t="n"/>
      <c r="H456" s="73" t="n"/>
      <c r="I456" s="72" t="n"/>
      <c r="J456" s="73" t="n"/>
      <c r="K456" s="74" t="n"/>
      <c r="L456" s="75">
        <f>IF(K456="A",F456,IF(K456="B",H456,IF(K456="C",J456,"")))</f>
        <v/>
      </c>
      <c r="M456" s="72" t="n"/>
      <c r="N456" s="72" t="n"/>
      <c r="O456" s="89" t="n"/>
      <c r="P456" s="89" t="n"/>
      <c r="Q456" s="109" t="n"/>
      <c r="R456" s="120">
        <f>IF(B456="","",IF(Q456&lt;&gt;"",Q456,IF(P456="","",IFERROR(INDEX('Timeline'!$J$7:$J$1006,MATCH(P456,'Timeline'!$B$7:$B$1006,0)),""))))</f>
        <v/>
      </c>
      <c r="S456" s="126">
        <f>IF(R456="","",R456-IF(O456="",0,O456)-OrderBuf)</f>
        <v/>
      </c>
      <c r="T456" s="126">
        <f>IF(S456="","",S456-DecideBuf)</f>
        <v/>
      </c>
      <c r="U456" s="74" t="n"/>
      <c r="V456" s="109" t="n"/>
      <c r="W456" s="109" t="n"/>
      <c r="X456" s="74" t="n"/>
      <c r="Y456" s="116">
        <f>IF(B456="","",IF(X456="Yes","Delivered",IF(U456="Yes",IF(AND(W456&lt;&gt;"",R456&lt;&gt;""),IF(W456&gt;R456,"⚠️ Delivery after install date","Ordered"),"Ordered"),IF(K456="",IF(T456="","Waiting for decision",IF(T456&lt;=AsOf+AlertDays,"Decide now","Waiting for decision")),IF(S456="","Selected",IF(AsOf&gt;S456,"⚠️ Order late — install at risk",IF(S456&lt;=AsOf+AlertDays,"Order now","Selected")))))))</f>
        <v/>
      </c>
      <c r="Z456" s="79">
        <f>IF(B456="","",IF(OR(AH456=1,AE456=1),2,IF(OR(AG456=1,AF456=1),1,IF(OR(Y456="Ordered",Y456="Delivered"),0,""))))</f>
        <v/>
      </c>
      <c r="AA456" s="112">
        <f>IF(B456="","",IF(AH456=1,IF(Y456="⚠️ Delivery after install date",R456,S456),IF(AD456=1,T456,IF(AI456=1,S456,""))))</f>
        <v/>
      </c>
      <c r="AB456" s="79">
        <f>IF(AA456="","",IF(AH456=1,1,IF(AA456="","",IF(AA456&lt;AsOf,1,IF(AA456&lt;=AsOf+AlertDays,2,IF(AA456&lt;=AsOf+2*AlertDays,3,""))))))</f>
        <v/>
      </c>
      <c r="AC456" s="79">
        <f>IF(AB456="","",IF(AH456=1,IF(Y456="⚠️ Delivery after install date","Delivery after install date: "&amp;B456,"Order late — install at risk: "&amp;B456),IF(AD456=1,IF(AB456=1,"Decision overdue: ","Decide: ")&amp;B456,"Order: "&amp;B456&amp;IF(N456="",""," from "&amp;N456))))</f>
        <v/>
      </c>
      <c r="AD456" s="79">
        <f>IF(AND(B456&lt;&gt;"",K456="",U456&lt;&gt;"Yes",X456&lt;&gt;"Yes"),1,0)</f>
        <v/>
      </c>
      <c r="AE456" s="79">
        <f>IF(AND(AD456=1,T456&lt;&gt;""),IF(T456&lt;AsOf,1,0),0)</f>
        <v/>
      </c>
      <c r="AF456" s="79">
        <f>IF(AND(AD456=1,T456&lt;&gt;""),IF(AND(T456&gt;=AsOf,T456&lt;=AsOf+AlertDays),1,0),0)</f>
        <v/>
      </c>
      <c r="AG456" s="79">
        <f>IF(Y456="Order now",1,0)</f>
        <v/>
      </c>
      <c r="AH456" s="79">
        <f>IF(OR(Y456="⚠️ Order late — install at risk",Y456="⚠️ Delivery after install date"),1,0)</f>
        <v/>
      </c>
      <c r="AI456" s="79">
        <f>IF(AND(B456&lt;&gt;"",K456&lt;&gt;"",U456&lt;&gt;"Yes",X456&lt;&gt;"Yes"),1,0)</f>
        <v/>
      </c>
      <c r="AJ456" s="79">
        <f>IF(Y456="⚠️ Order late — install at risk",1,0)</f>
        <v/>
      </c>
    </row>
    <row r="457" ht="20" customHeight="1">
      <c r="B457" s="72" t="n"/>
      <c r="C457" s="72" t="n"/>
      <c r="D457" s="72" t="n"/>
      <c r="E457" s="72" t="n"/>
      <c r="F457" s="73" t="n"/>
      <c r="G457" s="72" t="n"/>
      <c r="H457" s="73" t="n"/>
      <c r="I457" s="72" t="n"/>
      <c r="J457" s="73" t="n"/>
      <c r="K457" s="74" t="n"/>
      <c r="L457" s="75">
        <f>IF(K457="A",F457,IF(K457="B",H457,IF(K457="C",J457,"")))</f>
        <v/>
      </c>
      <c r="M457" s="72" t="n"/>
      <c r="N457" s="72" t="n"/>
      <c r="O457" s="89" t="n"/>
      <c r="P457" s="89" t="n"/>
      <c r="Q457" s="109" t="n"/>
      <c r="R457" s="120">
        <f>IF(B457="","",IF(Q457&lt;&gt;"",Q457,IF(P457="","",IFERROR(INDEX('Timeline'!$J$7:$J$1006,MATCH(P457,'Timeline'!$B$7:$B$1006,0)),""))))</f>
        <v/>
      </c>
      <c r="S457" s="126">
        <f>IF(R457="","",R457-IF(O457="",0,O457)-OrderBuf)</f>
        <v/>
      </c>
      <c r="T457" s="126">
        <f>IF(S457="","",S457-DecideBuf)</f>
        <v/>
      </c>
      <c r="U457" s="74" t="n"/>
      <c r="V457" s="109" t="n"/>
      <c r="W457" s="109" t="n"/>
      <c r="X457" s="74" t="n"/>
      <c r="Y457" s="116">
        <f>IF(B457="","",IF(X457="Yes","Delivered",IF(U457="Yes",IF(AND(W457&lt;&gt;"",R457&lt;&gt;""),IF(W457&gt;R457,"⚠️ Delivery after install date","Ordered"),"Ordered"),IF(K457="",IF(T457="","Waiting for decision",IF(T457&lt;=AsOf+AlertDays,"Decide now","Waiting for decision")),IF(S457="","Selected",IF(AsOf&gt;S457,"⚠️ Order late — install at risk",IF(S457&lt;=AsOf+AlertDays,"Order now","Selected")))))))</f>
        <v/>
      </c>
      <c r="Z457" s="79">
        <f>IF(B457="","",IF(OR(AH457=1,AE457=1),2,IF(OR(AG457=1,AF457=1),1,IF(OR(Y457="Ordered",Y457="Delivered"),0,""))))</f>
        <v/>
      </c>
      <c r="AA457" s="112">
        <f>IF(B457="","",IF(AH457=1,IF(Y457="⚠️ Delivery after install date",R457,S457),IF(AD457=1,T457,IF(AI457=1,S457,""))))</f>
        <v/>
      </c>
      <c r="AB457" s="79">
        <f>IF(AA457="","",IF(AH457=1,1,IF(AA457="","",IF(AA457&lt;AsOf,1,IF(AA457&lt;=AsOf+AlertDays,2,IF(AA457&lt;=AsOf+2*AlertDays,3,""))))))</f>
        <v/>
      </c>
      <c r="AC457" s="79">
        <f>IF(AB457="","",IF(AH457=1,IF(Y457="⚠️ Delivery after install date","Delivery after install date: "&amp;B457,"Order late — install at risk: "&amp;B457),IF(AD457=1,IF(AB457=1,"Decision overdue: ","Decide: ")&amp;B457,"Order: "&amp;B457&amp;IF(N457="",""," from "&amp;N457))))</f>
        <v/>
      </c>
      <c r="AD457" s="79">
        <f>IF(AND(B457&lt;&gt;"",K457="",U457&lt;&gt;"Yes",X457&lt;&gt;"Yes"),1,0)</f>
        <v/>
      </c>
      <c r="AE457" s="79">
        <f>IF(AND(AD457=1,T457&lt;&gt;""),IF(T457&lt;AsOf,1,0),0)</f>
        <v/>
      </c>
      <c r="AF457" s="79">
        <f>IF(AND(AD457=1,T457&lt;&gt;""),IF(AND(T457&gt;=AsOf,T457&lt;=AsOf+AlertDays),1,0),0)</f>
        <v/>
      </c>
      <c r="AG457" s="79">
        <f>IF(Y457="Order now",1,0)</f>
        <v/>
      </c>
      <c r="AH457" s="79">
        <f>IF(OR(Y457="⚠️ Order late — install at risk",Y457="⚠️ Delivery after install date"),1,0)</f>
        <v/>
      </c>
      <c r="AI457" s="79">
        <f>IF(AND(B457&lt;&gt;"",K457&lt;&gt;"",U457&lt;&gt;"Yes",X457&lt;&gt;"Yes"),1,0)</f>
        <v/>
      </c>
      <c r="AJ457" s="79">
        <f>IF(Y457="⚠️ Order late — install at risk",1,0)</f>
        <v/>
      </c>
    </row>
    <row r="458" ht="20" customHeight="1">
      <c r="B458" s="72" t="n"/>
      <c r="C458" s="72" t="n"/>
      <c r="D458" s="72" t="n"/>
      <c r="E458" s="72" t="n"/>
      <c r="F458" s="73" t="n"/>
      <c r="G458" s="72" t="n"/>
      <c r="H458" s="73" t="n"/>
      <c r="I458" s="72" t="n"/>
      <c r="J458" s="73" t="n"/>
      <c r="K458" s="74" t="n"/>
      <c r="L458" s="75">
        <f>IF(K458="A",F458,IF(K458="B",H458,IF(K458="C",J458,"")))</f>
        <v/>
      </c>
      <c r="M458" s="72" t="n"/>
      <c r="N458" s="72" t="n"/>
      <c r="O458" s="89" t="n"/>
      <c r="P458" s="89" t="n"/>
      <c r="Q458" s="109" t="n"/>
      <c r="R458" s="120">
        <f>IF(B458="","",IF(Q458&lt;&gt;"",Q458,IF(P458="","",IFERROR(INDEX('Timeline'!$J$7:$J$1006,MATCH(P458,'Timeline'!$B$7:$B$1006,0)),""))))</f>
        <v/>
      </c>
      <c r="S458" s="126">
        <f>IF(R458="","",R458-IF(O458="",0,O458)-OrderBuf)</f>
        <v/>
      </c>
      <c r="T458" s="126">
        <f>IF(S458="","",S458-DecideBuf)</f>
        <v/>
      </c>
      <c r="U458" s="74" t="n"/>
      <c r="V458" s="109" t="n"/>
      <c r="W458" s="109" t="n"/>
      <c r="X458" s="74" t="n"/>
      <c r="Y458" s="116">
        <f>IF(B458="","",IF(X458="Yes","Delivered",IF(U458="Yes",IF(AND(W458&lt;&gt;"",R458&lt;&gt;""),IF(W458&gt;R458,"⚠️ Delivery after install date","Ordered"),"Ordered"),IF(K458="",IF(T458="","Waiting for decision",IF(T458&lt;=AsOf+AlertDays,"Decide now","Waiting for decision")),IF(S458="","Selected",IF(AsOf&gt;S458,"⚠️ Order late — install at risk",IF(S458&lt;=AsOf+AlertDays,"Order now","Selected")))))))</f>
        <v/>
      </c>
      <c r="Z458" s="79">
        <f>IF(B458="","",IF(OR(AH458=1,AE458=1),2,IF(OR(AG458=1,AF458=1),1,IF(OR(Y458="Ordered",Y458="Delivered"),0,""))))</f>
        <v/>
      </c>
      <c r="AA458" s="112">
        <f>IF(B458="","",IF(AH458=1,IF(Y458="⚠️ Delivery after install date",R458,S458),IF(AD458=1,T458,IF(AI458=1,S458,""))))</f>
        <v/>
      </c>
      <c r="AB458" s="79">
        <f>IF(AA458="","",IF(AH458=1,1,IF(AA458="","",IF(AA458&lt;AsOf,1,IF(AA458&lt;=AsOf+AlertDays,2,IF(AA458&lt;=AsOf+2*AlertDays,3,""))))))</f>
        <v/>
      </c>
      <c r="AC458" s="79">
        <f>IF(AB458="","",IF(AH458=1,IF(Y458="⚠️ Delivery after install date","Delivery after install date: "&amp;B458,"Order late — install at risk: "&amp;B458),IF(AD458=1,IF(AB458=1,"Decision overdue: ","Decide: ")&amp;B458,"Order: "&amp;B458&amp;IF(N458="",""," from "&amp;N458))))</f>
        <v/>
      </c>
      <c r="AD458" s="79">
        <f>IF(AND(B458&lt;&gt;"",K458="",U458&lt;&gt;"Yes",X458&lt;&gt;"Yes"),1,0)</f>
        <v/>
      </c>
      <c r="AE458" s="79">
        <f>IF(AND(AD458=1,T458&lt;&gt;""),IF(T458&lt;AsOf,1,0),0)</f>
        <v/>
      </c>
      <c r="AF458" s="79">
        <f>IF(AND(AD458=1,T458&lt;&gt;""),IF(AND(T458&gt;=AsOf,T458&lt;=AsOf+AlertDays),1,0),0)</f>
        <v/>
      </c>
      <c r="AG458" s="79">
        <f>IF(Y458="Order now",1,0)</f>
        <v/>
      </c>
      <c r="AH458" s="79">
        <f>IF(OR(Y458="⚠️ Order late — install at risk",Y458="⚠️ Delivery after install date"),1,0)</f>
        <v/>
      </c>
      <c r="AI458" s="79">
        <f>IF(AND(B458&lt;&gt;"",K458&lt;&gt;"",U458&lt;&gt;"Yes",X458&lt;&gt;"Yes"),1,0)</f>
        <v/>
      </c>
      <c r="AJ458" s="79">
        <f>IF(Y458="⚠️ Order late — install at risk",1,0)</f>
        <v/>
      </c>
    </row>
    <row r="459" ht="20" customHeight="1">
      <c r="B459" s="72" t="n"/>
      <c r="C459" s="72" t="n"/>
      <c r="D459" s="72" t="n"/>
      <c r="E459" s="72" t="n"/>
      <c r="F459" s="73" t="n"/>
      <c r="G459" s="72" t="n"/>
      <c r="H459" s="73" t="n"/>
      <c r="I459" s="72" t="n"/>
      <c r="J459" s="73" t="n"/>
      <c r="K459" s="74" t="n"/>
      <c r="L459" s="75">
        <f>IF(K459="A",F459,IF(K459="B",H459,IF(K459="C",J459,"")))</f>
        <v/>
      </c>
      <c r="M459" s="72" t="n"/>
      <c r="N459" s="72" t="n"/>
      <c r="O459" s="89" t="n"/>
      <c r="P459" s="89" t="n"/>
      <c r="Q459" s="109" t="n"/>
      <c r="R459" s="120">
        <f>IF(B459="","",IF(Q459&lt;&gt;"",Q459,IF(P459="","",IFERROR(INDEX('Timeline'!$J$7:$J$1006,MATCH(P459,'Timeline'!$B$7:$B$1006,0)),""))))</f>
        <v/>
      </c>
      <c r="S459" s="126">
        <f>IF(R459="","",R459-IF(O459="",0,O459)-OrderBuf)</f>
        <v/>
      </c>
      <c r="T459" s="126">
        <f>IF(S459="","",S459-DecideBuf)</f>
        <v/>
      </c>
      <c r="U459" s="74" t="n"/>
      <c r="V459" s="109" t="n"/>
      <c r="W459" s="109" t="n"/>
      <c r="X459" s="74" t="n"/>
      <c r="Y459" s="116">
        <f>IF(B459="","",IF(X459="Yes","Delivered",IF(U459="Yes",IF(AND(W459&lt;&gt;"",R459&lt;&gt;""),IF(W459&gt;R459,"⚠️ Delivery after install date","Ordered"),"Ordered"),IF(K459="",IF(T459="","Waiting for decision",IF(T459&lt;=AsOf+AlertDays,"Decide now","Waiting for decision")),IF(S459="","Selected",IF(AsOf&gt;S459,"⚠️ Order late — install at risk",IF(S459&lt;=AsOf+AlertDays,"Order now","Selected")))))))</f>
        <v/>
      </c>
      <c r="Z459" s="79">
        <f>IF(B459="","",IF(OR(AH459=1,AE459=1),2,IF(OR(AG459=1,AF459=1),1,IF(OR(Y459="Ordered",Y459="Delivered"),0,""))))</f>
        <v/>
      </c>
      <c r="AA459" s="112">
        <f>IF(B459="","",IF(AH459=1,IF(Y459="⚠️ Delivery after install date",R459,S459),IF(AD459=1,T459,IF(AI459=1,S459,""))))</f>
        <v/>
      </c>
      <c r="AB459" s="79">
        <f>IF(AA459="","",IF(AH459=1,1,IF(AA459="","",IF(AA459&lt;AsOf,1,IF(AA459&lt;=AsOf+AlertDays,2,IF(AA459&lt;=AsOf+2*AlertDays,3,""))))))</f>
        <v/>
      </c>
      <c r="AC459" s="79">
        <f>IF(AB459="","",IF(AH459=1,IF(Y459="⚠️ Delivery after install date","Delivery after install date: "&amp;B459,"Order late — install at risk: "&amp;B459),IF(AD459=1,IF(AB459=1,"Decision overdue: ","Decide: ")&amp;B459,"Order: "&amp;B459&amp;IF(N459="",""," from "&amp;N459))))</f>
        <v/>
      </c>
      <c r="AD459" s="79">
        <f>IF(AND(B459&lt;&gt;"",K459="",U459&lt;&gt;"Yes",X459&lt;&gt;"Yes"),1,0)</f>
        <v/>
      </c>
      <c r="AE459" s="79">
        <f>IF(AND(AD459=1,T459&lt;&gt;""),IF(T459&lt;AsOf,1,0),0)</f>
        <v/>
      </c>
      <c r="AF459" s="79">
        <f>IF(AND(AD459=1,T459&lt;&gt;""),IF(AND(T459&gt;=AsOf,T459&lt;=AsOf+AlertDays),1,0),0)</f>
        <v/>
      </c>
      <c r="AG459" s="79">
        <f>IF(Y459="Order now",1,0)</f>
        <v/>
      </c>
      <c r="AH459" s="79">
        <f>IF(OR(Y459="⚠️ Order late — install at risk",Y459="⚠️ Delivery after install date"),1,0)</f>
        <v/>
      </c>
      <c r="AI459" s="79">
        <f>IF(AND(B459&lt;&gt;"",K459&lt;&gt;"",U459&lt;&gt;"Yes",X459&lt;&gt;"Yes"),1,0)</f>
        <v/>
      </c>
      <c r="AJ459" s="79">
        <f>IF(Y459="⚠️ Order late — install at risk",1,0)</f>
        <v/>
      </c>
    </row>
    <row r="460" ht="20" customHeight="1">
      <c r="B460" s="72" t="n"/>
      <c r="C460" s="72" t="n"/>
      <c r="D460" s="72" t="n"/>
      <c r="E460" s="72" t="n"/>
      <c r="F460" s="73" t="n"/>
      <c r="G460" s="72" t="n"/>
      <c r="H460" s="73" t="n"/>
      <c r="I460" s="72" t="n"/>
      <c r="J460" s="73" t="n"/>
      <c r="K460" s="74" t="n"/>
      <c r="L460" s="75">
        <f>IF(K460="A",F460,IF(K460="B",H460,IF(K460="C",J460,"")))</f>
        <v/>
      </c>
      <c r="M460" s="72" t="n"/>
      <c r="N460" s="72" t="n"/>
      <c r="O460" s="89" t="n"/>
      <c r="P460" s="89" t="n"/>
      <c r="Q460" s="109" t="n"/>
      <c r="R460" s="120">
        <f>IF(B460="","",IF(Q460&lt;&gt;"",Q460,IF(P460="","",IFERROR(INDEX('Timeline'!$J$7:$J$1006,MATCH(P460,'Timeline'!$B$7:$B$1006,0)),""))))</f>
        <v/>
      </c>
      <c r="S460" s="126">
        <f>IF(R460="","",R460-IF(O460="",0,O460)-OrderBuf)</f>
        <v/>
      </c>
      <c r="T460" s="126">
        <f>IF(S460="","",S460-DecideBuf)</f>
        <v/>
      </c>
      <c r="U460" s="74" t="n"/>
      <c r="V460" s="109" t="n"/>
      <c r="W460" s="109" t="n"/>
      <c r="X460" s="74" t="n"/>
      <c r="Y460" s="116">
        <f>IF(B460="","",IF(X460="Yes","Delivered",IF(U460="Yes",IF(AND(W460&lt;&gt;"",R460&lt;&gt;""),IF(W460&gt;R460,"⚠️ Delivery after install date","Ordered"),"Ordered"),IF(K460="",IF(T460="","Waiting for decision",IF(T460&lt;=AsOf+AlertDays,"Decide now","Waiting for decision")),IF(S460="","Selected",IF(AsOf&gt;S460,"⚠️ Order late — install at risk",IF(S460&lt;=AsOf+AlertDays,"Order now","Selected")))))))</f>
        <v/>
      </c>
      <c r="Z460" s="79">
        <f>IF(B460="","",IF(OR(AH460=1,AE460=1),2,IF(OR(AG460=1,AF460=1),1,IF(OR(Y460="Ordered",Y460="Delivered"),0,""))))</f>
        <v/>
      </c>
      <c r="AA460" s="112">
        <f>IF(B460="","",IF(AH460=1,IF(Y460="⚠️ Delivery after install date",R460,S460),IF(AD460=1,T460,IF(AI460=1,S460,""))))</f>
        <v/>
      </c>
      <c r="AB460" s="79">
        <f>IF(AA460="","",IF(AH460=1,1,IF(AA460="","",IF(AA460&lt;AsOf,1,IF(AA460&lt;=AsOf+AlertDays,2,IF(AA460&lt;=AsOf+2*AlertDays,3,""))))))</f>
        <v/>
      </c>
      <c r="AC460" s="79">
        <f>IF(AB460="","",IF(AH460=1,IF(Y460="⚠️ Delivery after install date","Delivery after install date: "&amp;B460,"Order late — install at risk: "&amp;B460),IF(AD460=1,IF(AB460=1,"Decision overdue: ","Decide: ")&amp;B460,"Order: "&amp;B460&amp;IF(N460="",""," from "&amp;N460))))</f>
        <v/>
      </c>
      <c r="AD460" s="79">
        <f>IF(AND(B460&lt;&gt;"",K460="",U460&lt;&gt;"Yes",X460&lt;&gt;"Yes"),1,0)</f>
        <v/>
      </c>
      <c r="AE460" s="79">
        <f>IF(AND(AD460=1,T460&lt;&gt;""),IF(T460&lt;AsOf,1,0),0)</f>
        <v/>
      </c>
      <c r="AF460" s="79">
        <f>IF(AND(AD460=1,T460&lt;&gt;""),IF(AND(T460&gt;=AsOf,T460&lt;=AsOf+AlertDays),1,0),0)</f>
        <v/>
      </c>
      <c r="AG460" s="79">
        <f>IF(Y460="Order now",1,0)</f>
        <v/>
      </c>
      <c r="AH460" s="79">
        <f>IF(OR(Y460="⚠️ Order late — install at risk",Y460="⚠️ Delivery after install date"),1,0)</f>
        <v/>
      </c>
      <c r="AI460" s="79">
        <f>IF(AND(B460&lt;&gt;"",K460&lt;&gt;"",U460&lt;&gt;"Yes",X460&lt;&gt;"Yes"),1,0)</f>
        <v/>
      </c>
      <c r="AJ460" s="79">
        <f>IF(Y460="⚠️ Order late — install at risk",1,0)</f>
        <v/>
      </c>
    </row>
    <row r="461" ht="20" customHeight="1">
      <c r="B461" s="72" t="n"/>
      <c r="C461" s="72" t="n"/>
      <c r="D461" s="72" t="n"/>
      <c r="E461" s="72" t="n"/>
      <c r="F461" s="73" t="n"/>
      <c r="G461" s="72" t="n"/>
      <c r="H461" s="73" t="n"/>
      <c r="I461" s="72" t="n"/>
      <c r="J461" s="73" t="n"/>
      <c r="K461" s="74" t="n"/>
      <c r="L461" s="75">
        <f>IF(K461="A",F461,IF(K461="B",H461,IF(K461="C",J461,"")))</f>
        <v/>
      </c>
      <c r="M461" s="72" t="n"/>
      <c r="N461" s="72" t="n"/>
      <c r="O461" s="89" t="n"/>
      <c r="P461" s="89" t="n"/>
      <c r="Q461" s="109" t="n"/>
      <c r="R461" s="120">
        <f>IF(B461="","",IF(Q461&lt;&gt;"",Q461,IF(P461="","",IFERROR(INDEX('Timeline'!$J$7:$J$1006,MATCH(P461,'Timeline'!$B$7:$B$1006,0)),""))))</f>
        <v/>
      </c>
      <c r="S461" s="126">
        <f>IF(R461="","",R461-IF(O461="",0,O461)-OrderBuf)</f>
        <v/>
      </c>
      <c r="T461" s="126">
        <f>IF(S461="","",S461-DecideBuf)</f>
        <v/>
      </c>
      <c r="U461" s="74" t="n"/>
      <c r="V461" s="109" t="n"/>
      <c r="W461" s="109" t="n"/>
      <c r="X461" s="74" t="n"/>
      <c r="Y461" s="116">
        <f>IF(B461="","",IF(X461="Yes","Delivered",IF(U461="Yes",IF(AND(W461&lt;&gt;"",R461&lt;&gt;""),IF(W461&gt;R461,"⚠️ Delivery after install date","Ordered"),"Ordered"),IF(K461="",IF(T461="","Waiting for decision",IF(T461&lt;=AsOf+AlertDays,"Decide now","Waiting for decision")),IF(S461="","Selected",IF(AsOf&gt;S461,"⚠️ Order late — install at risk",IF(S461&lt;=AsOf+AlertDays,"Order now","Selected")))))))</f>
        <v/>
      </c>
      <c r="Z461" s="79">
        <f>IF(B461="","",IF(OR(AH461=1,AE461=1),2,IF(OR(AG461=1,AF461=1),1,IF(OR(Y461="Ordered",Y461="Delivered"),0,""))))</f>
        <v/>
      </c>
      <c r="AA461" s="112">
        <f>IF(B461="","",IF(AH461=1,IF(Y461="⚠️ Delivery after install date",R461,S461),IF(AD461=1,T461,IF(AI461=1,S461,""))))</f>
        <v/>
      </c>
      <c r="AB461" s="79">
        <f>IF(AA461="","",IF(AH461=1,1,IF(AA461="","",IF(AA461&lt;AsOf,1,IF(AA461&lt;=AsOf+AlertDays,2,IF(AA461&lt;=AsOf+2*AlertDays,3,""))))))</f>
        <v/>
      </c>
      <c r="AC461" s="79">
        <f>IF(AB461="","",IF(AH461=1,IF(Y461="⚠️ Delivery after install date","Delivery after install date: "&amp;B461,"Order late — install at risk: "&amp;B461),IF(AD461=1,IF(AB461=1,"Decision overdue: ","Decide: ")&amp;B461,"Order: "&amp;B461&amp;IF(N461="",""," from "&amp;N461))))</f>
        <v/>
      </c>
      <c r="AD461" s="79">
        <f>IF(AND(B461&lt;&gt;"",K461="",U461&lt;&gt;"Yes",X461&lt;&gt;"Yes"),1,0)</f>
        <v/>
      </c>
      <c r="AE461" s="79">
        <f>IF(AND(AD461=1,T461&lt;&gt;""),IF(T461&lt;AsOf,1,0),0)</f>
        <v/>
      </c>
      <c r="AF461" s="79">
        <f>IF(AND(AD461=1,T461&lt;&gt;""),IF(AND(T461&gt;=AsOf,T461&lt;=AsOf+AlertDays),1,0),0)</f>
        <v/>
      </c>
      <c r="AG461" s="79">
        <f>IF(Y461="Order now",1,0)</f>
        <v/>
      </c>
      <c r="AH461" s="79">
        <f>IF(OR(Y461="⚠️ Order late — install at risk",Y461="⚠️ Delivery after install date"),1,0)</f>
        <v/>
      </c>
      <c r="AI461" s="79">
        <f>IF(AND(B461&lt;&gt;"",K461&lt;&gt;"",U461&lt;&gt;"Yes",X461&lt;&gt;"Yes"),1,0)</f>
        <v/>
      </c>
      <c r="AJ461" s="79">
        <f>IF(Y461="⚠️ Order late — install at risk",1,0)</f>
        <v/>
      </c>
    </row>
    <row r="462" ht="20" customHeight="1">
      <c r="B462" s="72" t="n"/>
      <c r="C462" s="72" t="n"/>
      <c r="D462" s="72" t="n"/>
      <c r="E462" s="72" t="n"/>
      <c r="F462" s="73" t="n"/>
      <c r="G462" s="72" t="n"/>
      <c r="H462" s="73" t="n"/>
      <c r="I462" s="72" t="n"/>
      <c r="J462" s="73" t="n"/>
      <c r="K462" s="74" t="n"/>
      <c r="L462" s="75">
        <f>IF(K462="A",F462,IF(K462="B",H462,IF(K462="C",J462,"")))</f>
        <v/>
      </c>
      <c r="M462" s="72" t="n"/>
      <c r="N462" s="72" t="n"/>
      <c r="O462" s="89" t="n"/>
      <c r="P462" s="89" t="n"/>
      <c r="Q462" s="109" t="n"/>
      <c r="R462" s="120">
        <f>IF(B462="","",IF(Q462&lt;&gt;"",Q462,IF(P462="","",IFERROR(INDEX('Timeline'!$J$7:$J$1006,MATCH(P462,'Timeline'!$B$7:$B$1006,0)),""))))</f>
        <v/>
      </c>
      <c r="S462" s="126">
        <f>IF(R462="","",R462-IF(O462="",0,O462)-OrderBuf)</f>
        <v/>
      </c>
      <c r="T462" s="126">
        <f>IF(S462="","",S462-DecideBuf)</f>
        <v/>
      </c>
      <c r="U462" s="74" t="n"/>
      <c r="V462" s="109" t="n"/>
      <c r="W462" s="109" t="n"/>
      <c r="X462" s="74" t="n"/>
      <c r="Y462" s="116">
        <f>IF(B462="","",IF(X462="Yes","Delivered",IF(U462="Yes",IF(AND(W462&lt;&gt;"",R462&lt;&gt;""),IF(W462&gt;R462,"⚠️ Delivery after install date","Ordered"),"Ordered"),IF(K462="",IF(T462="","Waiting for decision",IF(T462&lt;=AsOf+AlertDays,"Decide now","Waiting for decision")),IF(S462="","Selected",IF(AsOf&gt;S462,"⚠️ Order late — install at risk",IF(S462&lt;=AsOf+AlertDays,"Order now","Selected")))))))</f>
        <v/>
      </c>
      <c r="Z462" s="79">
        <f>IF(B462="","",IF(OR(AH462=1,AE462=1),2,IF(OR(AG462=1,AF462=1),1,IF(OR(Y462="Ordered",Y462="Delivered"),0,""))))</f>
        <v/>
      </c>
      <c r="AA462" s="112">
        <f>IF(B462="","",IF(AH462=1,IF(Y462="⚠️ Delivery after install date",R462,S462),IF(AD462=1,T462,IF(AI462=1,S462,""))))</f>
        <v/>
      </c>
      <c r="AB462" s="79">
        <f>IF(AA462="","",IF(AH462=1,1,IF(AA462="","",IF(AA462&lt;AsOf,1,IF(AA462&lt;=AsOf+AlertDays,2,IF(AA462&lt;=AsOf+2*AlertDays,3,""))))))</f>
        <v/>
      </c>
      <c r="AC462" s="79">
        <f>IF(AB462="","",IF(AH462=1,IF(Y462="⚠️ Delivery after install date","Delivery after install date: "&amp;B462,"Order late — install at risk: "&amp;B462),IF(AD462=1,IF(AB462=1,"Decision overdue: ","Decide: ")&amp;B462,"Order: "&amp;B462&amp;IF(N462="",""," from "&amp;N462))))</f>
        <v/>
      </c>
      <c r="AD462" s="79">
        <f>IF(AND(B462&lt;&gt;"",K462="",U462&lt;&gt;"Yes",X462&lt;&gt;"Yes"),1,0)</f>
        <v/>
      </c>
      <c r="AE462" s="79">
        <f>IF(AND(AD462=1,T462&lt;&gt;""),IF(T462&lt;AsOf,1,0),0)</f>
        <v/>
      </c>
      <c r="AF462" s="79">
        <f>IF(AND(AD462=1,T462&lt;&gt;""),IF(AND(T462&gt;=AsOf,T462&lt;=AsOf+AlertDays),1,0),0)</f>
        <v/>
      </c>
      <c r="AG462" s="79">
        <f>IF(Y462="Order now",1,0)</f>
        <v/>
      </c>
      <c r="AH462" s="79">
        <f>IF(OR(Y462="⚠️ Order late — install at risk",Y462="⚠️ Delivery after install date"),1,0)</f>
        <v/>
      </c>
      <c r="AI462" s="79">
        <f>IF(AND(B462&lt;&gt;"",K462&lt;&gt;"",U462&lt;&gt;"Yes",X462&lt;&gt;"Yes"),1,0)</f>
        <v/>
      </c>
      <c r="AJ462" s="79">
        <f>IF(Y462="⚠️ Order late — install at risk",1,0)</f>
        <v/>
      </c>
    </row>
    <row r="463" ht="20" customHeight="1">
      <c r="B463" s="72" t="n"/>
      <c r="C463" s="72" t="n"/>
      <c r="D463" s="72" t="n"/>
      <c r="E463" s="72" t="n"/>
      <c r="F463" s="73" t="n"/>
      <c r="G463" s="72" t="n"/>
      <c r="H463" s="73" t="n"/>
      <c r="I463" s="72" t="n"/>
      <c r="J463" s="73" t="n"/>
      <c r="K463" s="74" t="n"/>
      <c r="L463" s="75">
        <f>IF(K463="A",F463,IF(K463="B",H463,IF(K463="C",J463,"")))</f>
        <v/>
      </c>
      <c r="M463" s="72" t="n"/>
      <c r="N463" s="72" t="n"/>
      <c r="O463" s="89" t="n"/>
      <c r="P463" s="89" t="n"/>
      <c r="Q463" s="109" t="n"/>
      <c r="R463" s="120">
        <f>IF(B463="","",IF(Q463&lt;&gt;"",Q463,IF(P463="","",IFERROR(INDEX('Timeline'!$J$7:$J$1006,MATCH(P463,'Timeline'!$B$7:$B$1006,0)),""))))</f>
        <v/>
      </c>
      <c r="S463" s="126">
        <f>IF(R463="","",R463-IF(O463="",0,O463)-OrderBuf)</f>
        <v/>
      </c>
      <c r="T463" s="126">
        <f>IF(S463="","",S463-DecideBuf)</f>
        <v/>
      </c>
      <c r="U463" s="74" t="n"/>
      <c r="V463" s="109" t="n"/>
      <c r="W463" s="109" t="n"/>
      <c r="X463" s="74" t="n"/>
      <c r="Y463" s="116">
        <f>IF(B463="","",IF(X463="Yes","Delivered",IF(U463="Yes",IF(AND(W463&lt;&gt;"",R463&lt;&gt;""),IF(W463&gt;R463,"⚠️ Delivery after install date","Ordered"),"Ordered"),IF(K463="",IF(T463="","Waiting for decision",IF(T463&lt;=AsOf+AlertDays,"Decide now","Waiting for decision")),IF(S463="","Selected",IF(AsOf&gt;S463,"⚠️ Order late — install at risk",IF(S463&lt;=AsOf+AlertDays,"Order now","Selected")))))))</f>
        <v/>
      </c>
      <c r="Z463" s="79">
        <f>IF(B463="","",IF(OR(AH463=1,AE463=1),2,IF(OR(AG463=1,AF463=1),1,IF(OR(Y463="Ordered",Y463="Delivered"),0,""))))</f>
        <v/>
      </c>
      <c r="AA463" s="112">
        <f>IF(B463="","",IF(AH463=1,IF(Y463="⚠️ Delivery after install date",R463,S463),IF(AD463=1,T463,IF(AI463=1,S463,""))))</f>
        <v/>
      </c>
      <c r="AB463" s="79">
        <f>IF(AA463="","",IF(AH463=1,1,IF(AA463="","",IF(AA463&lt;AsOf,1,IF(AA463&lt;=AsOf+AlertDays,2,IF(AA463&lt;=AsOf+2*AlertDays,3,""))))))</f>
        <v/>
      </c>
      <c r="AC463" s="79">
        <f>IF(AB463="","",IF(AH463=1,IF(Y463="⚠️ Delivery after install date","Delivery after install date: "&amp;B463,"Order late — install at risk: "&amp;B463),IF(AD463=1,IF(AB463=1,"Decision overdue: ","Decide: ")&amp;B463,"Order: "&amp;B463&amp;IF(N463="",""," from "&amp;N463))))</f>
        <v/>
      </c>
      <c r="AD463" s="79">
        <f>IF(AND(B463&lt;&gt;"",K463="",U463&lt;&gt;"Yes",X463&lt;&gt;"Yes"),1,0)</f>
        <v/>
      </c>
      <c r="AE463" s="79">
        <f>IF(AND(AD463=1,T463&lt;&gt;""),IF(T463&lt;AsOf,1,0),0)</f>
        <v/>
      </c>
      <c r="AF463" s="79">
        <f>IF(AND(AD463=1,T463&lt;&gt;""),IF(AND(T463&gt;=AsOf,T463&lt;=AsOf+AlertDays),1,0),0)</f>
        <v/>
      </c>
      <c r="AG463" s="79">
        <f>IF(Y463="Order now",1,0)</f>
        <v/>
      </c>
      <c r="AH463" s="79">
        <f>IF(OR(Y463="⚠️ Order late — install at risk",Y463="⚠️ Delivery after install date"),1,0)</f>
        <v/>
      </c>
      <c r="AI463" s="79">
        <f>IF(AND(B463&lt;&gt;"",K463&lt;&gt;"",U463&lt;&gt;"Yes",X463&lt;&gt;"Yes"),1,0)</f>
        <v/>
      </c>
      <c r="AJ463" s="79">
        <f>IF(Y463="⚠️ Order late — install at risk",1,0)</f>
        <v/>
      </c>
    </row>
    <row r="464" ht="20" customHeight="1">
      <c r="B464" s="72" t="n"/>
      <c r="C464" s="72" t="n"/>
      <c r="D464" s="72" t="n"/>
      <c r="E464" s="72" t="n"/>
      <c r="F464" s="73" t="n"/>
      <c r="G464" s="72" t="n"/>
      <c r="H464" s="73" t="n"/>
      <c r="I464" s="72" t="n"/>
      <c r="J464" s="73" t="n"/>
      <c r="K464" s="74" t="n"/>
      <c r="L464" s="75">
        <f>IF(K464="A",F464,IF(K464="B",H464,IF(K464="C",J464,"")))</f>
        <v/>
      </c>
      <c r="M464" s="72" t="n"/>
      <c r="N464" s="72" t="n"/>
      <c r="O464" s="89" t="n"/>
      <c r="P464" s="89" t="n"/>
      <c r="Q464" s="109" t="n"/>
      <c r="R464" s="120">
        <f>IF(B464="","",IF(Q464&lt;&gt;"",Q464,IF(P464="","",IFERROR(INDEX('Timeline'!$J$7:$J$1006,MATCH(P464,'Timeline'!$B$7:$B$1006,0)),""))))</f>
        <v/>
      </c>
      <c r="S464" s="126">
        <f>IF(R464="","",R464-IF(O464="",0,O464)-OrderBuf)</f>
        <v/>
      </c>
      <c r="T464" s="126">
        <f>IF(S464="","",S464-DecideBuf)</f>
        <v/>
      </c>
      <c r="U464" s="74" t="n"/>
      <c r="V464" s="109" t="n"/>
      <c r="W464" s="109" t="n"/>
      <c r="X464" s="74" t="n"/>
      <c r="Y464" s="116">
        <f>IF(B464="","",IF(X464="Yes","Delivered",IF(U464="Yes",IF(AND(W464&lt;&gt;"",R464&lt;&gt;""),IF(W464&gt;R464,"⚠️ Delivery after install date","Ordered"),"Ordered"),IF(K464="",IF(T464="","Waiting for decision",IF(T464&lt;=AsOf+AlertDays,"Decide now","Waiting for decision")),IF(S464="","Selected",IF(AsOf&gt;S464,"⚠️ Order late — install at risk",IF(S464&lt;=AsOf+AlertDays,"Order now","Selected")))))))</f>
        <v/>
      </c>
      <c r="Z464" s="79">
        <f>IF(B464="","",IF(OR(AH464=1,AE464=1),2,IF(OR(AG464=1,AF464=1),1,IF(OR(Y464="Ordered",Y464="Delivered"),0,""))))</f>
        <v/>
      </c>
      <c r="AA464" s="112">
        <f>IF(B464="","",IF(AH464=1,IF(Y464="⚠️ Delivery after install date",R464,S464),IF(AD464=1,T464,IF(AI464=1,S464,""))))</f>
        <v/>
      </c>
      <c r="AB464" s="79">
        <f>IF(AA464="","",IF(AH464=1,1,IF(AA464="","",IF(AA464&lt;AsOf,1,IF(AA464&lt;=AsOf+AlertDays,2,IF(AA464&lt;=AsOf+2*AlertDays,3,""))))))</f>
        <v/>
      </c>
      <c r="AC464" s="79">
        <f>IF(AB464="","",IF(AH464=1,IF(Y464="⚠️ Delivery after install date","Delivery after install date: "&amp;B464,"Order late — install at risk: "&amp;B464),IF(AD464=1,IF(AB464=1,"Decision overdue: ","Decide: ")&amp;B464,"Order: "&amp;B464&amp;IF(N464="",""," from "&amp;N464))))</f>
        <v/>
      </c>
      <c r="AD464" s="79">
        <f>IF(AND(B464&lt;&gt;"",K464="",U464&lt;&gt;"Yes",X464&lt;&gt;"Yes"),1,0)</f>
        <v/>
      </c>
      <c r="AE464" s="79">
        <f>IF(AND(AD464=1,T464&lt;&gt;""),IF(T464&lt;AsOf,1,0),0)</f>
        <v/>
      </c>
      <c r="AF464" s="79">
        <f>IF(AND(AD464=1,T464&lt;&gt;""),IF(AND(T464&gt;=AsOf,T464&lt;=AsOf+AlertDays),1,0),0)</f>
        <v/>
      </c>
      <c r="AG464" s="79">
        <f>IF(Y464="Order now",1,0)</f>
        <v/>
      </c>
      <c r="AH464" s="79">
        <f>IF(OR(Y464="⚠️ Order late — install at risk",Y464="⚠️ Delivery after install date"),1,0)</f>
        <v/>
      </c>
      <c r="AI464" s="79">
        <f>IF(AND(B464&lt;&gt;"",K464&lt;&gt;"",U464&lt;&gt;"Yes",X464&lt;&gt;"Yes"),1,0)</f>
        <v/>
      </c>
      <c r="AJ464" s="79">
        <f>IF(Y464="⚠️ Order late — install at risk",1,0)</f>
        <v/>
      </c>
    </row>
    <row r="465" ht="20" customHeight="1">
      <c r="B465" s="72" t="n"/>
      <c r="C465" s="72" t="n"/>
      <c r="D465" s="72" t="n"/>
      <c r="E465" s="72" t="n"/>
      <c r="F465" s="73" t="n"/>
      <c r="G465" s="72" t="n"/>
      <c r="H465" s="73" t="n"/>
      <c r="I465" s="72" t="n"/>
      <c r="J465" s="73" t="n"/>
      <c r="K465" s="74" t="n"/>
      <c r="L465" s="75">
        <f>IF(K465="A",F465,IF(K465="B",H465,IF(K465="C",J465,"")))</f>
        <v/>
      </c>
      <c r="M465" s="72" t="n"/>
      <c r="N465" s="72" t="n"/>
      <c r="O465" s="89" t="n"/>
      <c r="P465" s="89" t="n"/>
      <c r="Q465" s="109" t="n"/>
      <c r="R465" s="120">
        <f>IF(B465="","",IF(Q465&lt;&gt;"",Q465,IF(P465="","",IFERROR(INDEX('Timeline'!$J$7:$J$1006,MATCH(P465,'Timeline'!$B$7:$B$1006,0)),""))))</f>
        <v/>
      </c>
      <c r="S465" s="126">
        <f>IF(R465="","",R465-IF(O465="",0,O465)-OrderBuf)</f>
        <v/>
      </c>
      <c r="T465" s="126">
        <f>IF(S465="","",S465-DecideBuf)</f>
        <v/>
      </c>
      <c r="U465" s="74" t="n"/>
      <c r="V465" s="109" t="n"/>
      <c r="W465" s="109" t="n"/>
      <c r="X465" s="74" t="n"/>
      <c r="Y465" s="116">
        <f>IF(B465="","",IF(X465="Yes","Delivered",IF(U465="Yes",IF(AND(W465&lt;&gt;"",R465&lt;&gt;""),IF(W465&gt;R465,"⚠️ Delivery after install date","Ordered"),"Ordered"),IF(K465="",IF(T465="","Waiting for decision",IF(T465&lt;=AsOf+AlertDays,"Decide now","Waiting for decision")),IF(S465="","Selected",IF(AsOf&gt;S465,"⚠️ Order late — install at risk",IF(S465&lt;=AsOf+AlertDays,"Order now","Selected")))))))</f>
        <v/>
      </c>
      <c r="Z465" s="79">
        <f>IF(B465="","",IF(OR(AH465=1,AE465=1),2,IF(OR(AG465=1,AF465=1),1,IF(OR(Y465="Ordered",Y465="Delivered"),0,""))))</f>
        <v/>
      </c>
      <c r="AA465" s="112">
        <f>IF(B465="","",IF(AH465=1,IF(Y465="⚠️ Delivery after install date",R465,S465),IF(AD465=1,T465,IF(AI465=1,S465,""))))</f>
        <v/>
      </c>
      <c r="AB465" s="79">
        <f>IF(AA465="","",IF(AH465=1,1,IF(AA465="","",IF(AA465&lt;AsOf,1,IF(AA465&lt;=AsOf+AlertDays,2,IF(AA465&lt;=AsOf+2*AlertDays,3,""))))))</f>
        <v/>
      </c>
      <c r="AC465" s="79">
        <f>IF(AB465="","",IF(AH465=1,IF(Y465="⚠️ Delivery after install date","Delivery after install date: "&amp;B465,"Order late — install at risk: "&amp;B465),IF(AD465=1,IF(AB465=1,"Decision overdue: ","Decide: ")&amp;B465,"Order: "&amp;B465&amp;IF(N465="",""," from "&amp;N465))))</f>
        <v/>
      </c>
      <c r="AD465" s="79">
        <f>IF(AND(B465&lt;&gt;"",K465="",U465&lt;&gt;"Yes",X465&lt;&gt;"Yes"),1,0)</f>
        <v/>
      </c>
      <c r="AE465" s="79">
        <f>IF(AND(AD465=1,T465&lt;&gt;""),IF(T465&lt;AsOf,1,0),0)</f>
        <v/>
      </c>
      <c r="AF465" s="79">
        <f>IF(AND(AD465=1,T465&lt;&gt;""),IF(AND(T465&gt;=AsOf,T465&lt;=AsOf+AlertDays),1,0),0)</f>
        <v/>
      </c>
      <c r="AG465" s="79">
        <f>IF(Y465="Order now",1,0)</f>
        <v/>
      </c>
      <c r="AH465" s="79">
        <f>IF(OR(Y465="⚠️ Order late — install at risk",Y465="⚠️ Delivery after install date"),1,0)</f>
        <v/>
      </c>
      <c r="AI465" s="79">
        <f>IF(AND(B465&lt;&gt;"",K465&lt;&gt;"",U465&lt;&gt;"Yes",X465&lt;&gt;"Yes"),1,0)</f>
        <v/>
      </c>
      <c r="AJ465" s="79">
        <f>IF(Y465="⚠️ Order late — install at risk",1,0)</f>
        <v/>
      </c>
    </row>
    <row r="466" ht="20" customHeight="1">
      <c r="B466" s="72" t="n"/>
      <c r="C466" s="72" t="n"/>
      <c r="D466" s="72" t="n"/>
      <c r="E466" s="72" t="n"/>
      <c r="F466" s="73" t="n"/>
      <c r="G466" s="72" t="n"/>
      <c r="H466" s="73" t="n"/>
      <c r="I466" s="72" t="n"/>
      <c r="J466" s="73" t="n"/>
      <c r="K466" s="74" t="n"/>
      <c r="L466" s="75">
        <f>IF(K466="A",F466,IF(K466="B",H466,IF(K466="C",J466,"")))</f>
        <v/>
      </c>
      <c r="M466" s="72" t="n"/>
      <c r="N466" s="72" t="n"/>
      <c r="O466" s="89" t="n"/>
      <c r="P466" s="89" t="n"/>
      <c r="Q466" s="109" t="n"/>
      <c r="R466" s="120">
        <f>IF(B466="","",IF(Q466&lt;&gt;"",Q466,IF(P466="","",IFERROR(INDEX('Timeline'!$J$7:$J$1006,MATCH(P466,'Timeline'!$B$7:$B$1006,0)),""))))</f>
        <v/>
      </c>
      <c r="S466" s="126">
        <f>IF(R466="","",R466-IF(O466="",0,O466)-OrderBuf)</f>
        <v/>
      </c>
      <c r="T466" s="126">
        <f>IF(S466="","",S466-DecideBuf)</f>
        <v/>
      </c>
      <c r="U466" s="74" t="n"/>
      <c r="V466" s="109" t="n"/>
      <c r="W466" s="109" t="n"/>
      <c r="X466" s="74" t="n"/>
      <c r="Y466" s="116">
        <f>IF(B466="","",IF(X466="Yes","Delivered",IF(U466="Yes",IF(AND(W466&lt;&gt;"",R466&lt;&gt;""),IF(W466&gt;R466,"⚠️ Delivery after install date","Ordered"),"Ordered"),IF(K466="",IF(T466="","Waiting for decision",IF(T466&lt;=AsOf+AlertDays,"Decide now","Waiting for decision")),IF(S466="","Selected",IF(AsOf&gt;S466,"⚠️ Order late — install at risk",IF(S466&lt;=AsOf+AlertDays,"Order now","Selected")))))))</f>
        <v/>
      </c>
      <c r="Z466" s="79">
        <f>IF(B466="","",IF(OR(AH466=1,AE466=1),2,IF(OR(AG466=1,AF466=1),1,IF(OR(Y466="Ordered",Y466="Delivered"),0,""))))</f>
        <v/>
      </c>
      <c r="AA466" s="112">
        <f>IF(B466="","",IF(AH466=1,IF(Y466="⚠️ Delivery after install date",R466,S466),IF(AD466=1,T466,IF(AI466=1,S466,""))))</f>
        <v/>
      </c>
      <c r="AB466" s="79">
        <f>IF(AA466="","",IF(AH466=1,1,IF(AA466="","",IF(AA466&lt;AsOf,1,IF(AA466&lt;=AsOf+AlertDays,2,IF(AA466&lt;=AsOf+2*AlertDays,3,""))))))</f>
        <v/>
      </c>
      <c r="AC466" s="79">
        <f>IF(AB466="","",IF(AH466=1,IF(Y466="⚠️ Delivery after install date","Delivery after install date: "&amp;B466,"Order late — install at risk: "&amp;B466),IF(AD466=1,IF(AB466=1,"Decision overdue: ","Decide: ")&amp;B466,"Order: "&amp;B466&amp;IF(N466="",""," from "&amp;N466))))</f>
        <v/>
      </c>
      <c r="AD466" s="79">
        <f>IF(AND(B466&lt;&gt;"",K466="",U466&lt;&gt;"Yes",X466&lt;&gt;"Yes"),1,0)</f>
        <v/>
      </c>
      <c r="AE466" s="79">
        <f>IF(AND(AD466=1,T466&lt;&gt;""),IF(T466&lt;AsOf,1,0),0)</f>
        <v/>
      </c>
      <c r="AF466" s="79">
        <f>IF(AND(AD466=1,T466&lt;&gt;""),IF(AND(T466&gt;=AsOf,T466&lt;=AsOf+AlertDays),1,0),0)</f>
        <v/>
      </c>
      <c r="AG466" s="79">
        <f>IF(Y466="Order now",1,0)</f>
        <v/>
      </c>
      <c r="AH466" s="79">
        <f>IF(OR(Y466="⚠️ Order late — install at risk",Y466="⚠️ Delivery after install date"),1,0)</f>
        <v/>
      </c>
      <c r="AI466" s="79">
        <f>IF(AND(B466&lt;&gt;"",K466&lt;&gt;"",U466&lt;&gt;"Yes",X466&lt;&gt;"Yes"),1,0)</f>
        <v/>
      </c>
      <c r="AJ466" s="79">
        <f>IF(Y466="⚠️ Order late — install at risk",1,0)</f>
        <v/>
      </c>
    </row>
    <row r="467" ht="20" customHeight="1">
      <c r="B467" s="72" t="n"/>
      <c r="C467" s="72" t="n"/>
      <c r="D467" s="72" t="n"/>
      <c r="E467" s="72" t="n"/>
      <c r="F467" s="73" t="n"/>
      <c r="G467" s="72" t="n"/>
      <c r="H467" s="73" t="n"/>
      <c r="I467" s="72" t="n"/>
      <c r="J467" s="73" t="n"/>
      <c r="K467" s="74" t="n"/>
      <c r="L467" s="75">
        <f>IF(K467="A",F467,IF(K467="B",H467,IF(K467="C",J467,"")))</f>
        <v/>
      </c>
      <c r="M467" s="72" t="n"/>
      <c r="N467" s="72" t="n"/>
      <c r="O467" s="89" t="n"/>
      <c r="P467" s="89" t="n"/>
      <c r="Q467" s="109" t="n"/>
      <c r="R467" s="120">
        <f>IF(B467="","",IF(Q467&lt;&gt;"",Q467,IF(P467="","",IFERROR(INDEX('Timeline'!$J$7:$J$1006,MATCH(P467,'Timeline'!$B$7:$B$1006,0)),""))))</f>
        <v/>
      </c>
      <c r="S467" s="126">
        <f>IF(R467="","",R467-IF(O467="",0,O467)-OrderBuf)</f>
        <v/>
      </c>
      <c r="T467" s="126">
        <f>IF(S467="","",S467-DecideBuf)</f>
        <v/>
      </c>
      <c r="U467" s="74" t="n"/>
      <c r="V467" s="109" t="n"/>
      <c r="W467" s="109" t="n"/>
      <c r="X467" s="74" t="n"/>
      <c r="Y467" s="116">
        <f>IF(B467="","",IF(X467="Yes","Delivered",IF(U467="Yes",IF(AND(W467&lt;&gt;"",R467&lt;&gt;""),IF(W467&gt;R467,"⚠️ Delivery after install date","Ordered"),"Ordered"),IF(K467="",IF(T467="","Waiting for decision",IF(T467&lt;=AsOf+AlertDays,"Decide now","Waiting for decision")),IF(S467="","Selected",IF(AsOf&gt;S467,"⚠️ Order late — install at risk",IF(S467&lt;=AsOf+AlertDays,"Order now","Selected")))))))</f>
        <v/>
      </c>
      <c r="Z467" s="79">
        <f>IF(B467="","",IF(OR(AH467=1,AE467=1),2,IF(OR(AG467=1,AF467=1),1,IF(OR(Y467="Ordered",Y467="Delivered"),0,""))))</f>
        <v/>
      </c>
      <c r="AA467" s="112">
        <f>IF(B467="","",IF(AH467=1,IF(Y467="⚠️ Delivery after install date",R467,S467),IF(AD467=1,T467,IF(AI467=1,S467,""))))</f>
        <v/>
      </c>
      <c r="AB467" s="79">
        <f>IF(AA467="","",IF(AH467=1,1,IF(AA467="","",IF(AA467&lt;AsOf,1,IF(AA467&lt;=AsOf+AlertDays,2,IF(AA467&lt;=AsOf+2*AlertDays,3,""))))))</f>
        <v/>
      </c>
      <c r="AC467" s="79">
        <f>IF(AB467="","",IF(AH467=1,IF(Y467="⚠️ Delivery after install date","Delivery after install date: "&amp;B467,"Order late — install at risk: "&amp;B467),IF(AD467=1,IF(AB467=1,"Decision overdue: ","Decide: ")&amp;B467,"Order: "&amp;B467&amp;IF(N467="",""," from "&amp;N467))))</f>
        <v/>
      </c>
      <c r="AD467" s="79">
        <f>IF(AND(B467&lt;&gt;"",K467="",U467&lt;&gt;"Yes",X467&lt;&gt;"Yes"),1,0)</f>
        <v/>
      </c>
      <c r="AE467" s="79">
        <f>IF(AND(AD467=1,T467&lt;&gt;""),IF(T467&lt;AsOf,1,0),0)</f>
        <v/>
      </c>
      <c r="AF467" s="79">
        <f>IF(AND(AD467=1,T467&lt;&gt;""),IF(AND(T467&gt;=AsOf,T467&lt;=AsOf+AlertDays),1,0),0)</f>
        <v/>
      </c>
      <c r="AG467" s="79">
        <f>IF(Y467="Order now",1,0)</f>
        <v/>
      </c>
      <c r="AH467" s="79">
        <f>IF(OR(Y467="⚠️ Order late — install at risk",Y467="⚠️ Delivery after install date"),1,0)</f>
        <v/>
      </c>
      <c r="AI467" s="79">
        <f>IF(AND(B467&lt;&gt;"",K467&lt;&gt;"",U467&lt;&gt;"Yes",X467&lt;&gt;"Yes"),1,0)</f>
        <v/>
      </c>
      <c r="AJ467" s="79">
        <f>IF(Y467="⚠️ Order late — install at risk",1,0)</f>
        <v/>
      </c>
    </row>
    <row r="468" ht="20" customHeight="1">
      <c r="B468" s="72" t="n"/>
      <c r="C468" s="72" t="n"/>
      <c r="D468" s="72" t="n"/>
      <c r="E468" s="72" t="n"/>
      <c r="F468" s="73" t="n"/>
      <c r="G468" s="72" t="n"/>
      <c r="H468" s="73" t="n"/>
      <c r="I468" s="72" t="n"/>
      <c r="J468" s="73" t="n"/>
      <c r="K468" s="74" t="n"/>
      <c r="L468" s="75">
        <f>IF(K468="A",F468,IF(K468="B",H468,IF(K468="C",J468,"")))</f>
        <v/>
      </c>
      <c r="M468" s="72" t="n"/>
      <c r="N468" s="72" t="n"/>
      <c r="O468" s="89" t="n"/>
      <c r="P468" s="89" t="n"/>
      <c r="Q468" s="109" t="n"/>
      <c r="R468" s="120">
        <f>IF(B468="","",IF(Q468&lt;&gt;"",Q468,IF(P468="","",IFERROR(INDEX('Timeline'!$J$7:$J$1006,MATCH(P468,'Timeline'!$B$7:$B$1006,0)),""))))</f>
        <v/>
      </c>
      <c r="S468" s="126">
        <f>IF(R468="","",R468-IF(O468="",0,O468)-OrderBuf)</f>
        <v/>
      </c>
      <c r="T468" s="126">
        <f>IF(S468="","",S468-DecideBuf)</f>
        <v/>
      </c>
      <c r="U468" s="74" t="n"/>
      <c r="V468" s="109" t="n"/>
      <c r="W468" s="109" t="n"/>
      <c r="X468" s="74" t="n"/>
      <c r="Y468" s="116">
        <f>IF(B468="","",IF(X468="Yes","Delivered",IF(U468="Yes",IF(AND(W468&lt;&gt;"",R468&lt;&gt;""),IF(W468&gt;R468,"⚠️ Delivery after install date","Ordered"),"Ordered"),IF(K468="",IF(T468="","Waiting for decision",IF(T468&lt;=AsOf+AlertDays,"Decide now","Waiting for decision")),IF(S468="","Selected",IF(AsOf&gt;S468,"⚠️ Order late — install at risk",IF(S468&lt;=AsOf+AlertDays,"Order now","Selected")))))))</f>
        <v/>
      </c>
      <c r="Z468" s="79">
        <f>IF(B468="","",IF(OR(AH468=1,AE468=1),2,IF(OR(AG468=1,AF468=1),1,IF(OR(Y468="Ordered",Y468="Delivered"),0,""))))</f>
        <v/>
      </c>
      <c r="AA468" s="112">
        <f>IF(B468="","",IF(AH468=1,IF(Y468="⚠️ Delivery after install date",R468,S468),IF(AD468=1,T468,IF(AI468=1,S468,""))))</f>
        <v/>
      </c>
      <c r="AB468" s="79">
        <f>IF(AA468="","",IF(AH468=1,1,IF(AA468="","",IF(AA468&lt;AsOf,1,IF(AA468&lt;=AsOf+AlertDays,2,IF(AA468&lt;=AsOf+2*AlertDays,3,""))))))</f>
        <v/>
      </c>
      <c r="AC468" s="79">
        <f>IF(AB468="","",IF(AH468=1,IF(Y468="⚠️ Delivery after install date","Delivery after install date: "&amp;B468,"Order late — install at risk: "&amp;B468),IF(AD468=1,IF(AB468=1,"Decision overdue: ","Decide: ")&amp;B468,"Order: "&amp;B468&amp;IF(N468="",""," from "&amp;N468))))</f>
        <v/>
      </c>
      <c r="AD468" s="79">
        <f>IF(AND(B468&lt;&gt;"",K468="",U468&lt;&gt;"Yes",X468&lt;&gt;"Yes"),1,0)</f>
        <v/>
      </c>
      <c r="AE468" s="79">
        <f>IF(AND(AD468=1,T468&lt;&gt;""),IF(T468&lt;AsOf,1,0),0)</f>
        <v/>
      </c>
      <c r="AF468" s="79">
        <f>IF(AND(AD468=1,T468&lt;&gt;""),IF(AND(T468&gt;=AsOf,T468&lt;=AsOf+AlertDays),1,0),0)</f>
        <v/>
      </c>
      <c r="AG468" s="79">
        <f>IF(Y468="Order now",1,0)</f>
        <v/>
      </c>
      <c r="AH468" s="79">
        <f>IF(OR(Y468="⚠️ Order late — install at risk",Y468="⚠️ Delivery after install date"),1,0)</f>
        <v/>
      </c>
      <c r="AI468" s="79">
        <f>IF(AND(B468&lt;&gt;"",K468&lt;&gt;"",U468&lt;&gt;"Yes",X468&lt;&gt;"Yes"),1,0)</f>
        <v/>
      </c>
      <c r="AJ468" s="79">
        <f>IF(Y468="⚠️ Order late — install at risk",1,0)</f>
        <v/>
      </c>
    </row>
    <row r="469" ht="20" customHeight="1">
      <c r="B469" s="72" t="n"/>
      <c r="C469" s="72" t="n"/>
      <c r="D469" s="72" t="n"/>
      <c r="E469" s="72" t="n"/>
      <c r="F469" s="73" t="n"/>
      <c r="G469" s="72" t="n"/>
      <c r="H469" s="73" t="n"/>
      <c r="I469" s="72" t="n"/>
      <c r="J469" s="73" t="n"/>
      <c r="K469" s="74" t="n"/>
      <c r="L469" s="75">
        <f>IF(K469="A",F469,IF(K469="B",H469,IF(K469="C",J469,"")))</f>
        <v/>
      </c>
      <c r="M469" s="72" t="n"/>
      <c r="N469" s="72" t="n"/>
      <c r="O469" s="89" t="n"/>
      <c r="P469" s="89" t="n"/>
      <c r="Q469" s="109" t="n"/>
      <c r="R469" s="120">
        <f>IF(B469="","",IF(Q469&lt;&gt;"",Q469,IF(P469="","",IFERROR(INDEX('Timeline'!$J$7:$J$1006,MATCH(P469,'Timeline'!$B$7:$B$1006,0)),""))))</f>
        <v/>
      </c>
      <c r="S469" s="126">
        <f>IF(R469="","",R469-IF(O469="",0,O469)-OrderBuf)</f>
        <v/>
      </c>
      <c r="T469" s="126">
        <f>IF(S469="","",S469-DecideBuf)</f>
        <v/>
      </c>
      <c r="U469" s="74" t="n"/>
      <c r="V469" s="109" t="n"/>
      <c r="W469" s="109" t="n"/>
      <c r="X469" s="74" t="n"/>
      <c r="Y469" s="116">
        <f>IF(B469="","",IF(X469="Yes","Delivered",IF(U469="Yes",IF(AND(W469&lt;&gt;"",R469&lt;&gt;""),IF(W469&gt;R469,"⚠️ Delivery after install date","Ordered"),"Ordered"),IF(K469="",IF(T469="","Waiting for decision",IF(T469&lt;=AsOf+AlertDays,"Decide now","Waiting for decision")),IF(S469="","Selected",IF(AsOf&gt;S469,"⚠️ Order late — install at risk",IF(S469&lt;=AsOf+AlertDays,"Order now","Selected")))))))</f>
        <v/>
      </c>
      <c r="Z469" s="79">
        <f>IF(B469="","",IF(OR(AH469=1,AE469=1),2,IF(OR(AG469=1,AF469=1),1,IF(OR(Y469="Ordered",Y469="Delivered"),0,""))))</f>
        <v/>
      </c>
      <c r="AA469" s="112">
        <f>IF(B469="","",IF(AH469=1,IF(Y469="⚠️ Delivery after install date",R469,S469),IF(AD469=1,T469,IF(AI469=1,S469,""))))</f>
        <v/>
      </c>
      <c r="AB469" s="79">
        <f>IF(AA469="","",IF(AH469=1,1,IF(AA469="","",IF(AA469&lt;AsOf,1,IF(AA469&lt;=AsOf+AlertDays,2,IF(AA469&lt;=AsOf+2*AlertDays,3,""))))))</f>
        <v/>
      </c>
      <c r="AC469" s="79">
        <f>IF(AB469="","",IF(AH469=1,IF(Y469="⚠️ Delivery after install date","Delivery after install date: "&amp;B469,"Order late — install at risk: "&amp;B469),IF(AD469=1,IF(AB469=1,"Decision overdue: ","Decide: ")&amp;B469,"Order: "&amp;B469&amp;IF(N469="",""," from "&amp;N469))))</f>
        <v/>
      </c>
      <c r="AD469" s="79">
        <f>IF(AND(B469&lt;&gt;"",K469="",U469&lt;&gt;"Yes",X469&lt;&gt;"Yes"),1,0)</f>
        <v/>
      </c>
      <c r="AE469" s="79">
        <f>IF(AND(AD469=1,T469&lt;&gt;""),IF(T469&lt;AsOf,1,0),0)</f>
        <v/>
      </c>
      <c r="AF469" s="79">
        <f>IF(AND(AD469=1,T469&lt;&gt;""),IF(AND(T469&gt;=AsOf,T469&lt;=AsOf+AlertDays),1,0),0)</f>
        <v/>
      </c>
      <c r="AG469" s="79">
        <f>IF(Y469="Order now",1,0)</f>
        <v/>
      </c>
      <c r="AH469" s="79">
        <f>IF(OR(Y469="⚠️ Order late — install at risk",Y469="⚠️ Delivery after install date"),1,0)</f>
        <v/>
      </c>
      <c r="AI469" s="79">
        <f>IF(AND(B469&lt;&gt;"",K469&lt;&gt;"",U469&lt;&gt;"Yes",X469&lt;&gt;"Yes"),1,0)</f>
        <v/>
      </c>
      <c r="AJ469" s="79">
        <f>IF(Y469="⚠️ Order late — install at risk",1,0)</f>
        <v/>
      </c>
    </row>
    <row r="470" ht="20" customHeight="1">
      <c r="B470" s="72" t="n"/>
      <c r="C470" s="72" t="n"/>
      <c r="D470" s="72" t="n"/>
      <c r="E470" s="72" t="n"/>
      <c r="F470" s="73" t="n"/>
      <c r="G470" s="72" t="n"/>
      <c r="H470" s="73" t="n"/>
      <c r="I470" s="72" t="n"/>
      <c r="J470" s="73" t="n"/>
      <c r="K470" s="74" t="n"/>
      <c r="L470" s="75">
        <f>IF(K470="A",F470,IF(K470="B",H470,IF(K470="C",J470,"")))</f>
        <v/>
      </c>
      <c r="M470" s="72" t="n"/>
      <c r="N470" s="72" t="n"/>
      <c r="O470" s="89" t="n"/>
      <c r="P470" s="89" t="n"/>
      <c r="Q470" s="109" t="n"/>
      <c r="R470" s="120">
        <f>IF(B470="","",IF(Q470&lt;&gt;"",Q470,IF(P470="","",IFERROR(INDEX('Timeline'!$J$7:$J$1006,MATCH(P470,'Timeline'!$B$7:$B$1006,0)),""))))</f>
        <v/>
      </c>
      <c r="S470" s="126">
        <f>IF(R470="","",R470-IF(O470="",0,O470)-OrderBuf)</f>
        <v/>
      </c>
      <c r="T470" s="126">
        <f>IF(S470="","",S470-DecideBuf)</f>
        <v/>
      </c>
      <c r="U470" s="74" t="n"/>
      <c r="V470" s="109" t="n"/>
      <c r="W470" s="109" t="n"/>
      <c r="X470" s="74" t="n"/>
      <c r="Y470" s="116">
        <f>IF(B470="","",IF(X470="Yes","Delivered",IF(U470="Yes",IF(AND(W470&lt;&gt;"",R470&lt;&gt;""),IF(W470&gt;R470,"⚠️ Delivery after install date","Ordered"),"Ordered"),IF(K470="",IF(T470="","Waiting for decision",IF(T470&lt;=AsOf+AlertDays,"Decide now","Waiting for decision")),IF(S470="","Selected",IF(AsOf&gt;S470,"⚠️ Order late — install at risk",IF(S470&lt;=AsOf+AlertDays,"Order now","Selected")))))))</f>
        <v/>
      </c>
      <c r="Z470" s="79">
        <f>IF(B470="","",IF(OR(AH470=1,AE470=1),2,IF(OR(AG470=1,AF470=1),1,IF(OR(Y470="Ordered",Y470="Delivered"),0,""))))</f>
        <v/>
      </c>
      <c r="AA470" s="112">
        <f>IF(B470="","",IF(AH470=1,IF(Y470="⚠️ Delivery after install date",R470,S470),IF(AD470=1,T470,IF(AI470=1,S470,""))))</f>
        <v/>
      </c>
      <c r="AB470" s="79">
        <f>IF(AA470="","",IF(AH470=1,1,IF(AA470="","",IF(AA470&lt;AsOf,1,IF(AA470&lt;=AsOf+AlertDays,2,IF(AA470&lt;=AsOf+2*AlertDays,3,""))))))</f>
        <v/>
      </c>
      <c r="AC470" s="79">
        <f>IF(AB470="","",IF(AH470=1,IF(Y470="⚠️ Delivery after install date","Delivery after install date: "&amp;B470,"Order late — install at risk: "&amp;B470),IF(AD470=1,IF(AB470=1,"Decision overdue: ","Decide: ")&amp;B470,"Order: "&amp;B470&amp;IF(N470="",""," from "&amp;N470))))</f>
        <v/>
      </c>
      <c r="AD470" s="79">
        <f>IF(AND(B470&lt;&gt;"",K470="",U470&lt;&gt;"Yes",X470&lt;&gt;"Yes"),1,0)</f>
        <v/>
      </c>
      <c r="AE470" s="79">
        <f>IF(AND(AD470=1,T470&lt;&gt;""),IF(T470&lt;AsOf,1,0),0)</f>
        <v/>
      </c>
      <c r="AF470" s="79">
        <f>IF(AND(AD470=1,T470&lt;&gt;""),IF(AND(T470&gt;=AsOf,T470&lt;=AsOf+AlertDays),1,0),0)</f>
        <v/>
      </c>
      <c r="AG470" s="79">
        <f>IF(Y470="Order now",1,0)</f>
        <v/>
      </c>
      <c r="AH470" s="79">
        <f>IF(OR(Y470="⚠️ Order late — install at risk",Y470="⚠️ Delivery after install date"),1,0)</f>
        <v/>
      </c>
      <c r="AI470" s="79">
        <f>IF(AND(B470&lt;&gt;"",K470&lt;&gt;"",U470&lt;&gt;"Yes",X470&lt;&gt;"Yes"),1,0)</f>
        <v/>
      </c>
      <c r="AJ470" s="79">
        <f>IF(Y470="⚠️ Order late — install at risk",1,0)</f>
        <v/>
      </c>
    </row>
    <row r="471" ht="20" customHeight="1">
      <c r="B471" s="72" t="n"/>
      <c r="C471" s="72" t="n"/>
      <c r="D471" s="72" t="n"/>
      <c r="E471" s="72" t="n"/>
      <c r="F471" s="73" t="n"/>
      <c r="G471" s="72" t="n"/>
      <c r="H471" s="73" t="n"/>
      <c r="I471" s="72" t="n"/>
      <c r="J471" s="73" t="n"/>
      <c r="K471" s="74" t="n"/>
      <c r="L471" s="75">
        <f>IF(K471="A",F471,IF(K471="B",H471,IF(K471="C",J471,"")))</f>
        <v/>
      </c>
      <c r="M471" s="72" t="n"/>
      <c r="N471" s="72" t="n"/>
      <c r="O471" s="89" t="n"/>
      <c r="P471" s="89" t="n"/>
      <c r="Q471" s="109" t="n"/>
      <c r="R471" s="120">
        <f>IF(B471="","",IF(Q471&lt;&gt;"",Q471,IF(P471="","",IFERROR(INDEX('Timeline'!$J$7:$J$1006,MATCH(P471,'Timeline'!$B$7:$B$1006,0)),""))))</f>
        <v/>
      </c>
      <c r="S471" s="126">
        <f>IF(R471="","",R471-IF(O471="",0,O471)-OrderBuf)</f>
        <v/>
      </c>
      <c r="T471" s="126">
        <f>IF(S471="","",S471-DecideBuf)</f>
        <v/>
      </c>
      <c r="U471" s="74" t="n"/>
      <c r="V471" s="109" t="n"/>
      <c r="W471" s="109" t="n"/>
      <c r="X471" s="74" t="n"/>
      <c r="Y471" s="116">
        <f>IF(B471="","",IF(X471="Yes","Delivered",IF(U471="Yes",IF(AND(W471&lt;&gt;"",R471&lt;&gt;""),IF(W471&gt;R471,"⚠️ Delivery after install date","Ordered"),"Ordered"),IF(K471="",IF(T471="","Waiting for decision",IF(T471&lt;=AsOf+AlertDays,"Decide now","Waiting for decision")),IF(S471="","Selected",IF(AsOf&gt;S471,"⚠️ Order late — install at risk",IF(S471&lt;=AsOf+AlertDays,"Order now","Selected")))))))</f>
        <v/>
      </c>
      <c r="Z471" s="79">
        <f>IF(B471="","",IF(OR(AH471=1,AE471=1),2,IF(OR(AG471=1,AF471=1),1,IF(OR(Y471="Ordered",Y471="Delivered"),0,""))))</f>
        <v/>
      </c>
      <c r="AA471" s="112">
        <f>IF(B471="","",IF(AH471=1,IF(Y471="⚠️ Delivery after install date",R471,S471),IF(AD471=1,T471,IF(AI471=1,S471,""))))</f>
        <v/>
      </c>
      <c r="AB471" s="79">
        <f>IF(AA471="","",IF(AH471=1,1,IF(AA471="","",IF(AA471&lt;AsOf,1,IF(AA471&lt;=AsOf+AlertDays,2,IF(AA471&lt;=AsOf+2*AlertDays,3,""))))))</f>
        <v/>
      </c>
      <c r="AC471" s="79">
        <f>IF(AB471="","",IF(AH471=1,IF(Y471="⚠️ Delivery after install date","Delivery after install date: "&amp;B471,"Order late — install at risk: "&amp;B471),IF(AD471=1,IF(AB471=1,"Decision overdue: ","Decide: ")&amp;B471,"Order: "&amp;B471&amp;IF(N471="",""," from "&amp;N471))))</f>
        <v/>
      </c>
      <c r="AD471" s="79">
        <f>IF(AND(B471&lt;&gt;"",K471="",U471&lt;&gt;"Yes",X471&lt;&gt;"Yes"),1,0)</f>
        <v/>
      </c>
      <c r="AE471" s="79">
        <f>IF(AND(AD471=1,T471&lt;&gt;""),IF(T471&lt;AsOf,1,0),0)</f>
        <v/>
      </c>
      <c r="AF471" s="79">
        <f>IF(AND(AD471=1,T471&lt;&gt;""),IF(AND(T471&gt;=AsOf,T471&lt;=AsOf+AlertDays),1,0),0)</f>
        <v/>
      </c>
      <c r="AG471" s="79">
        <f>IF(Y471="Order now",1,0)</f>
        <v/>
      </c>
      <c r="AH471" s="79">
        <f>IF(OR(Y471="⚠️ Order late — install at risk",Y471="⚠️ Delivery after install date"),1,0)</f>
        <v/>
      </c>
      <c r="AI471" s="79">
        <f>IF(AND(B471&lt;&gt;"",K471&lt;&gt;"",U471&lt;&gt;"Yes",X471&lt;&gt;"Yes"),1,0)</f>
        <v/>
      </c>
      <c r="AJ471" s="79">
        <f>IF(Y471="⚠️ Order late — install at risk",1,0)</f>
        <v/>
      </c>
    </row>
    <row r="472" ht="20" customHeight="1">
      <c r="B472" s="72" t="n"/>
      <c r="C472" s="72" t="n"/>
      <c r="D472" s="72" t="n"/>
      <c r="E472" s="72" t="n"/>
      <c r="F472" s="73" t="n"/>
      <c r="G472" s="72" t="n"/>
      <c r="H472" s="73" t="n"/>
      <c r="I472" s="72" t="n"/>
      <c r="J472" s="73" t="n"/>
      <c r="K472" s="74" t="n"/>
      <c r="L472" s="75">
        <f>IF(K472="A",F472,IF(K472="B",H472,IF(K472="C",J472,"")))</f>
        <v/>
      </c>
      <c r="M472" s="72" t="n"/>
      <c r="N472" s="72" t="n"/>
      <c r="O472" s="89" t="n"/>
      <c r="P472" s="89" t="n"/>
      <c r="Q472" s="109" t="n"/>
      <c r="R472" s="120">
        <f>IF(B472="","",IF(Q472&lt;&gt;"",Q472,IF(P472="","",IFERROR(INDEX('Timeline'!$J$7:$J$1006,MATCH(P472,'Timeline'!$B$7:$B$1006,0)),""))))</f>
        <v/>
      </c>
      <c r="S472" s="126">
        <f>IF(R472="","",R472-IF(O472="",0,O472)-OrderBuf)</f>
        <v/>
      </c>
      <c r="T472" s="126">
        <f>IF(S472="","",S472-DecideBuf)</f>
        <v/>
      </c>
      <c r="U472" s="74" t="n"/>
      <c r="V472" s="109" t="n"/>
      <c r="W472" s="109" t="n"/>
      <c r="X472" s="74" t="n"/>
      <c r="Y472" s="116">
        <f>IF(B472="","",IF(X472="Yes","Delivered",IF(U472="Yes",IF(AND(W472&lt;&gt;"",R472&lt;&gt;""),IF(W472&gt;R472,"⚠️ Delivery after install date","Ordered"),"Ordered"),IF(K472="",IF(T472="","Waiting for decision",IF(T472&lt;=AsOf+AlertDays,"Decide now","Waiting for decision")),IF(S472="","Selected",IF(AsOf&gt;S472,"⚠️ Order late — install at risk",IF(S472&lt;=AsOf+AlertDays,"Order now","Selected")))))))</f>
        <v/>
      </c>
      <c r="Z472" s="79">
        <f>IF(B472="","",IF(OR(AH472=1,AE472=1),2,IF(OR(AG472=1,AF472=1),1,IF(OR(Y472="Ordered",Y472="Delivered"),0,""))))</f>
        <v/>
      </c>
      <c r="AA472" s="112">
        <f>IF(B472="","",IF(AH472=1,IF(Y472="⚠️ Delivery after install date",R472,S472),IF(AD472=1,T472,IF(AI472=1,S472,""))))</f>
        <v/>
      </c>
      <c r="AB472" s="79">
        <f>IF(AA472="","",IF(AH472=1,1,IF(AA472="","",IF(AA472&lt;AsOf,1,IF(AA472&lt;=AsOf+AlertDays,2,IF(AA472&lt;=AsOf+2*AlertDays,3,""))))))</f>
        <v/>
      </c>
      <c r="AC472" s="79">
        <f>IF(AB472="","",IF(AH472=1,IF(Y472="⚠️ Delivery after install date","Delivery after install date: "&amp;B472,"Order late — install at risk: "&amp;B472),IF(AD472=1,IF(AB472=1,"Decision overdue: ","Decide: ")&amp;B472,"Order: "&amp;B472&amp;IF(N472="",""," from "&amp;N472))))</f>
        <v/>
      </c>
      <c r="AD472" s="79">
        <f>IF(AND(B472&lt;&gt;"",K472="",U472&lt;&gt;"Yes",X472&lt;&gt;"Yes"),1,0)</f>
        <v/>
      </c>
      <c r="AE472" s="79">
        <f>IF(AND(AD472=1,T472&lt;&gt;""),IF(T472&lt;AsOf,1,0),0)</f>
        <v/>
      </c>
      <c r="AF472" s="79">
        <f>IF(AND(AD472=1,T472&lt;&gt;""),IF(AND(T472&gt;=AsOf,T472&lt;=AsOf+AlertDays),1,0),0)</f>
        <v/>
      </c>
      <c r="AG472" s="79">
        <f>IF(Y472="Order now",1,0)</f>
        <v/>
      </c>
      <c r="AH472" s="79">
        <f>IF(OR(Y472="⚠️ Order late — install at risk",Y472="⚠️ Delivery after install date"),1,0)</f>
        <v/>
      </c>
      <c r="AI472" s="79">
        <f>IF(AND(B472&lt;&gt;"",K472&lt;&gt;"",U472&lt;&gt;"Yes",X472&lt;&gt;"Yes"),1,0)</f>
        <v/>
      </c>
      <c r="AJ472" s="79">
        <f>IF(Y472="⚠️ Order late — install at risk",1,0)</f>
        <v/>
      </c>
    </row>
    <row r="473" ht="20" customHeight="1">
      <c r="B473" s="72" t="n"/>
      <c r="C473" s="72" t="n"/>
      <c r="D473" s="72" t="n"/>
      <c r="E473" s="72" t="n"/>
      <c r="F473" s="73" t="n"/>
      <c r="G473" s="72" t="n"/>
      <c r="H473" s="73" t="n"/>
      <c r="I473" s="72" t="n"/>
      <c r="J473" s="73" t="n"/>
      <c r="K473" s="74" t="n"/>
      <c r="L473" s="75">
        <f>IF(K473="A",F473,IF(K473="B",H473,IF(K473="C",J473,"")))</f>
        <v/>
      </c>
      <c r="M473" s="72" t="n"/>
      <c r="N473" s="72" t="n"/>
      <c r="O473" s="89" t="n"/>
      <c r="P473" s="89" t="n"/>
      <c r="Q473" s="109" t="n"/>
      <c r="R473" s="120">
        <f>IF(B473="","",IF(Q473&lt;&gt;"",Q473,IF(P473="","",IFERROR(INDEX('Timeline'!$J$7:$J$1006,MATCH(P473,'Timeline'!$B$7:$B$1006,0)),""))))</f>
        <v/>
      </c>
      <c r="S473" s="126">
        <f>IF(R473="","",R473-IF(O473="",0,O473)-OrderBuf)</f>
        <v/>
      </c>
      <c r="T473" s="126">
        <f>IF(S473="","",S473-DecideBuf)</f>
        <v/>
      </c>
      <c r="U473" s="74" t="n"/>
      <c r="V473" s="109" t="n"/>
      <c r="W473" s="109" t="n"/>
      <c r="X473" s="74" t="n"/>
      <c r="Y473" s="116">
        <f>IF(B473="","",IF(X473="Yes","Delivered",IF(U473="Yes",IF(AND(W473&lt;&gt;"",R473&lt;&gt;""),IF(W473&gt;R473,"⚠️ Delivery after install date","Ordered"),"Ordered"),IF(K473="",IF(T473="","Waiting for decision",IF(T473&lt;=AsOf+AlertDays,"Decide now","Waiting for decision")),IF(S473="","Selected",IF(AsOf&gt;S473,"⚠️ Order late — install at risk",IF(S473&lt;=AsOf+AlertDays,"Order now","Selected")))))))</f>
        <v/>
      </c>
      <c r="Z473" s="79">
        <f>IF(B473="","",IF(OR(AH473=1,AE473=1),2,IF(OR(AG473=1,AF473=1),1,IF(OR(Y473="Ordered",Y473="Delivered"),0,""))))</f>
        <v/>
      </c>
      <c r="AA473" s="112">
        <f>IF(B473="","",IF(AH473=1,IF(Y473="⚠️ Delivery after install date",R473,S473),IF(AD473=1,T473,IF(AI473=1,S473,""))))</f>
        <v/>
      </c>
      <c r="AB473" s="79">
        <f>IF(AA473="","",IF(AH473=1,1,IF(AA473="","",IF(AA473&lt;AsOf,1,IF(AA473&lt;=AsOf+AlertDays,2,IF(AA473&lt;=AsOf+2*AlertDays,3,""))))))</f>
        <v/>
      </c>
      <c r="AC473" s="79">
        <f>IF(AB473="","",IF(AH473=1,IF(Y473="⚠️ Delivery after install date","Delivery after install date: "&amp;B473,"Order late — install at risk: "&amp;B473),IF(AD473=1,IF(AB473=1,"Decision overdue: ","Decide: ")&amp;B473,"Order: "&amp;B473&amp;IF(N473="",""," from "&amp;N473))))</f>
        <v/>
      </c>
      <c r="AD473" s="79">
        <f>IF(AND(B473&lt;&gt;"",K473="",U473&lt;&gt;"Yes",X473&lt;&gt;"Yes"),1,0)</f>
        <v/>
      </c>
      <c r="AE473" s="79">
        <f>IF(AND(AD473=1,T473&lt;&gt;""),IF(T473&lt;AsOf,1,0),0)</f>
        <v/>
      </c>
      <c r="AF473" s="79">
        <f>IF(AND(AD473=1,T473&lt;&gt;""),IF(AND(T473&gt;=AsOf,T473&lt;=AsOf+AlertDays),1,0),0)</f>
        <v/>
      </c>
      <c r="AG473" s="79">
        <f>IF(Y473="Order now",1,0)</f>
        <v/>
      </c>
      <c r="AH473" s="79">
        <f>IF(OR(Y473="⚠️ Order late — install at risk",Y473="⚠️ Delivery after install date"),1,0)</f>
        <v/>
      </c>
      <c r="AI473" s="79">
        <f>IF(AND(B473&lt;&gt;"",K473&lt;&gt;"",U473&lt;&gt;"Yes",X473&lt;&gt;"Yes"),1,0)</f>
        <v/>
      </c>
      <c r="AJ473" s="79">
        <f>IF(Y473="⚠️ Order late — install at risk",1,0)</f>
        <v/>
      </c>
    </row>
    <row r="474" ht="20" customHeight="1">
      <c r="B474" s="72" t="n"/>
      <c r="C474" s="72" t="n"/>
      <c r="D474" s="72" t="n"/>
      <c r="E474" s="72" t="n"/>
      <c r="F474" s="73" t="n"/>
      <c r="G474" s="72" t="n"/>
      <c r="H474" s="73" t="n"/>
      <c r="I474" s="72" t="n"/>
      <c r="J474" s="73" t="n"/>
      <c r="K474" s="74" t="n"/>
      <c r="L474" s="75">
        <f>IF(K474="A",F474,IF(K474="B",H474,IF(K474="C",J474,"")))</f>
        <v/>
      </c>
      <c r="M474" s="72" t="n"/>
      <c r="N474" s="72" t="n"/>
      <c r="O474" s="89" t="n"/>
      <c r="P474" s="89" t="n"/>
      <c r="Q474" s="109" t="n"/>
      <c r="R474" s="120">
        <f>IF(B474="","",IF(Q474&lt;&gt;"",Q474,IF(P474="","",IFERROR(INDEX('Timeline'!$J$7:$J$1006,MATCH(P474,'Timeline'!$B$7:$B$1006,0)),""))))</f>
        <v/>
      </c>
      <c r="S474" s="126">
        <f>IF(R474="","",R474-IF(O474="",0,O474)-OrderBuf)</f>
        <v/>
      </c>
      <c r="T474" s="126">
        <f>IF(S474="","",S474-DecideBuf)</f>
        <v/>
      </c>
      <c r="U474" s="74" t="n"/>
      <c r="V474" s="109" t="n"/>
      <c r="W474" s="109" t="n"/>
      <c r="X474" s="74" t="n"/>
      <c r="Y474" s="116">
        <f>IF(B474="","",IF(X474="Yes","Delivered",IF(U474="Yes",IF(AND(W474&lt;&gt;"",R474&lt;&gt;""),IF(W474&gt;R474,"⚠️ Delivery after install date","Ordered"),"Ordered"),IF(K474="",IF(T474="","Waiting for decision",IF(T474&lt;=AsOf+AlertDays,"Decide now","Waiting for decision")),IF(S474="","Selected",IF(AsOf&gt;S474,"⚠️ Order late — install at risk",IF(S474&lt;=AsOf+AlertDays,"Order now","Selected")))))))</f>
        <v/>
      </c>
      <c r="Z474" s="79">
        <f>IF(B474="","",IF(OR(AH474=1,AE474=1),2,IF(OR(AG474=1,AF474=1),1,IF(OR(Y474="Ordered",Y474="Delivered"),0,""))))</f>
        <v/>
      </c>
      <c r="AA474" s="112">
        <f>IF(B474="","",IF(AH474=1,IF(Y474="⚠️ Delivery after install date",R474,S474),IF(AD474=1,T474,IF(AI474=1,S474,""))))</f>
        <v/>
      </c>
      <c r="AB474" s="79">
        <f>IF(AA474="","",IF(AH474=1,1,IF(AA474="","",IF(AA474&lt;AsOf,1,IF(AA474&lt;=AsOf+AlertDays,2,IF(AA474&lt;=AsOf+2*AlertDays,3,""))))))</f>
        <v/>
      </c>
      <c r="AC474" s="79">
        <f>IF(AB474="","",IF(AH474=1,IF(Y474="⚠️ Delivery after install date","Delivery after install date: "&amp;B474,"Order late — install at risk: "&amp;B474),IF(AD474=1,IF(AB474=1,"Decision overdue: ","Decide: ")&amp;B474,"Order: "&amp;B474&amp;IF(N474="",""," from "&amp;N474))))</f>
        <v/>
      </c>
      <c r="AD474" s="79">
        <f>IF(AND(B474&lt;&gt;"",K474="",U474&lt;&gt;"Yes",X474&lt;&gt;"Yes"),1,0)</f>
        <v/>
      </c>
      <c r="AE474" s="79">
        <f>IF(AND(AD474=1,T474&lt;&gt;""),IF(T474&lt;AsOf,1,0),0)</f>
        <v/>
      </c>
      <c r="AF474" s="79">
        <f>IF(AND(AD474=1,T474&lt;&gt;""),IF(AND(T474&gt;=AsOf,T474&lt;=AsOf+AlertDays),1,0),0)</f>
        <v/>
      </c>
      <c r="AG474" s="79">
        <f>IF(Y474="Order now",1,0)</f>
        <v/>
      </c>
      <c r="AH474" s="79">
        <f>IF(OR(Y474="⚠️ Order late — install at risk",Y474="⚠️ Delivery after install date"),1,0)</f>
        <v/>
      </c>
      <c r="AI474" s="79">
        <f>IF(AND(B474&lt;&gt;"",K474&lt;&gt;"",U474&lt;&gt;"Yes",X474&lt;&gt;"Yes"),1,0)</f>
        <v/>
      </c>
      <c r="AJ474" s="79">
        <f>IF(Y474="⚠️ Order late — install at risk",1,0)</f>
        <v/>
      </c>
    </row>
    <row r="475" ht="20" customHeight="1">
      <c r="B475" s="72" t="n"/>
      <c r="C475" s="72" t="n"/>
      <c r="D475" s="72" t="n"/>
      <c r="E475" s="72" t="n"/>
      <c r="F475" s="73" t="n"/>
      <c r="G475" s="72" t="n"/>
      <c r="H475" s="73" t="n"/>
      <c r="I475" s="72" t="n"/>
      <c r="J475" s="73" t="n"/>
      <c r="K475" s="74" t="n"/>
      <c r="L475" s="75">
        <f>IF(K475="A",F475,IF(K475="B",H475,IF(K475="C",J475,"")))</f>
        <v/>
      </c>
      <c r="M475" s="72" t="n"/>
      <c r="N475" s="72" t="n"/>
      <c r="O475" s="89" t="n"/>
      <c r="P475" s="89" t="n"/>
      <c r="Q475" s="109" t="n"/>
      <c r="R475" s="120">
        <f>IF(B475="","",IF(Q475&lt;&gt;"",Q475,IF(P475="","",IFERROR(INDEX('Timeline'!$J$7:$J$1006,MATCH(P475,'Timeline'!$B$7:$B$1006,0)),""))))</f>
        <v/>
      </c>
      <c r="S475" s="126">
        <f>IF(R475="","",R475-IF(O475="",0,O475)-OrderBuf)</f>
        <v/>
      </c>
      <c r="T475" s="126">
        <f>IF(S475="","",S475-DecideBuf)</f>
        <v/>
      </c>
      <c r="U475" s="74" t="n"/>
      <c r="V475" s="109" t="n"/>
      <c r="W475" s="109" t="n"/>
      <c r="X475" s="74" t="n"/>
      <c r="Y475" s="116">
        <f>IF(B475="","",IF(X475="Yes","Delivered",IF(U475="Yes",IF(AND(W475&lt;&gt;"",R475&lt;&gt;""),IF(W475&gt;R475,"⚠️ Delivery after install date","Ordered"),"Ordered"),IF(K475="",IF(T475="","Waiting for decision",IF(T475&lt;=AsOf+AlertDays,"Decide now","Waiting for decision")),IF(S475="","Selected",IF(AsOf&gt;S475,"⚠️ Order late — install at risk",IF(S475&lt;=AsOf+AlertDays,"Order now","Selected")))))))</f>
        <v/>
      </c>
      <c r="Z475" s="79">
        <f>IF(B475="","",IF(OR(AH475=1,AE475=1),2,IF(OR(AG475=1,AF475=1),1,IF(OR(Y475="Ordered",Y475="Delivered"),0,""))))</f>
        <v/>
      </c>
      <c r="AA475" s="112">
        <f>IF(B475="","",IF(AH475=1,IF(Y475="⚠️ Delivery after install date",R475,S475),IF(AD475=1,T475,IF(AI475=1,S475,""))))</f>
        <v/>
      </c>
      <c r="AB475" s="79">
        <f>IF(AA475="","",IF(AH475=1,1,IF(AA475="","",IF(AA475&lt;AsOf,1,IF(AA475&lt;=AsOf+AlertDays,2,IF(AA475&lt;=AsOf+2*AlertDays,3,""))))))</f>
        <v/>
      </c>
      <c r="AC475" s="79">
        <f>IF(AB475="","",IF(AH475=1,IF(Y475="⚠️ Delivery after install date","Delivery after install date: "&amp;B475,"Order late — install at risk: "&amp;B475),IF(AD475=1,IF(AB475=1,"Decision overdue: ","Decide: ")&amp;B475,"Order: "&amp;B475&amp;IF(N475="",""," from "&amp;N475))))</f>
        <v/>
      </c>
      <c r="AD475" s="79">
        <f>IF(AND(B475&lt;&gt;"",K475="",U475&lt;&gt;"Yes",X475&lt;&gt;"Yes"),1,0)</f>
        <v/>
      </c>
      <c r="AE475" s="79">
        <f>IF(AND(AD475=1,T475&lt;&gt;""),IF(T475&lt;AsOf,1,0),0)</f>
        <v/>
      </c>
      <c r="AF475" s="79">
        <f>IF(AND(AD475=1,T475&lt;&gt;""),IF(AND(T475&gt;=AsOf,T475&lt;=AsOf+AlertDays),1,0),0)</f>
        <v/>
      </c>
      <c r="AG475" s="79">
        <f>IF(Y475="Order now",1,0)</f>
        <v/>
      </c>
      <c r="AH475" s="79">
        <f>IF(OR(Y475="⚠️ Order late — install at risk",Y475="⚠️ Delivery after install date"),1,0)</f>
        <v/>
      </c>
      <c r="AI475" s="79">
        <f>IF(AND(B475&lt;&gt;"",K475&lt;&gt;"",U475&lt;&gt;"Yes",X475&lt;&gt;"Yes"),1,0)</f>
        <v/>
      </c>
      <c r="AJ475" s="79">
        <f>IF(Y475="⚠️ Order late — install at risk",1,0)</f>
        <v/>
      </c>
    </row>
    <row r="476" ht="20" customHeight="1">
      <c r="B476" s="72" t="n"/>
      <c r="C476" s="72" t="n"/>
      <c r="D476" s="72" t="n"/>
      <c r="E476" s="72" t="n"/>
      <c r="F476" s="73" t="n"/>
      <c r="G476" s="72" t="n"/>
      <c r="H476" s="73" t="n"/>
      <c r="I476" s="72" t="n"/>
      <c r="J476" s="73" t="n"/>
      <c r="K476" s="74" t="n"/>
      <c r="L476" s="75">
        <f>IF(K476="A",F476,IF(K476="B",H476,IF(K476="C",J476,"")))</f>
        <v/>
      </c>
      <c r="M476" s="72" t="n"/>
      <c r="N476" s="72" t="n"/>
      <c r="O476" s="89" t="n"/>
      <c r="P476" s="89" t="n"/>
      <c r="Q476" s="109" t="n"/>
      <c r="R476" s="120">
        <f>IF(B476="","",IF(Q476&lt;&gt;"",Q476,IF(P476="","",IFERROR(INDEX('Timeline'!$J$7:$J$1006,MATCH(P476,'Timeline'!$B$7:$B$1006,0)),""))))</f>
        <v/>
      </c>
      <c r="S476" s="126">
        <f>IF(R476="","",R476-IF(O476="",0,O476)-OrderBuf)</f>
        <v/>
      </c>
      <c r="T476" s="126">
        <f>IF(S476="","",S476-DecideBuf)</f>
        <v/>
      </c>
      <c r="U476" s="74" t="n"/>
      <c r="V476" s="109" t="n"/>
      <c r="W476" s="109" t="n"/>
      <c r="X476" s="74" t="n"/>
      <c r="Y476" s="116">
        <f>IF(B476="","",IF(X476="Yes","Delivered",IF(U476="Yes",IF(AND(W476&lt;&gt;"",R476&lt;&gt;""),IF(W476&gt;R476,"⚠️ Delivery after install date","Ordered"),"Ordered"),IF(K476="",IF(T476="","Waiting for decision",IF(T476&lt;=AsOf+AlertDays,"Decide now","Waiting for decision")),IF(S476="","Selected",IF(AsOf&gt;S476,"⚠️ Order late — install at risk",IF(S476&lt;=AsOf+AlertDays,"Order now","Selected")))))))</f>
        <v/>
      </c>
      <c r="Z476" s="79">
        <f>IF(B476="","",IF(OR(AH476=1,AE476=1),2,IF(OR(AG476=1,AF476=1),1,IF(OR(Y476="Ordered",Y476="Delivered"),0,""))))</f>
        <v/>
      </c>
      <c r="AA476" s="112">
        <f>IF(B476="","",IF(AH476=1,IF(Y476="⚠️ Delivery after install date",R476,S476),IF(AD476=1,T476,IF(AI476=1,S476,""))))</f>
        <v/>
      </c>
      <c r="AB476" s="79">
        <f>IF(AA476="","",IF(AH476=1,1,IF(AA476="","",IF(AA476&lt;AsOf,1,IF(AA476&lt;=AsOf+AlertDays,2,IF(AA476&lt;=AsOf+2*AlertDays,3,""))))))</f>
        <v/>
      </c>
      <c r="AC476" s="79">
        <f>IF(AB476="","",IF(AH476=1,IF(Y476="⚠️ Delivery after install date","Delivery after install date: "&amp;B476,"Order late — install at risk: "&amp;B476),IF(AD476=1,IF(AB476=1,"Decision overdue: ","Decide: ")&amp;B476,"Order: "&amp;B476&amp;IF(N476="",""," from "&amp;N476))))</f>
        <v/>
      </c>
      <c r="AD476" s="79">
        <f>IF(AND(B476&lt;&gt;"",K476="",U476&lt;&gt;"Yes",X476&lt;&gt;"Yes"),1,0)</f>
        <v/>
      </c>
      <c r="AE476" s="79">
        <f>IF(AND(AD476=1,T476&lt;&gt;""),IF(T476&lt;AsOf,1,0),0)</f>
        <v/>
      </c>
      <c r="AF476" s="79">
        <f>IF(AND(AD476=1,T476&lt;&gt;""),IF(AND(T476&gt;=AsOf,T476&lt;=AsOf+AlertDays),1,0),0)</f>
        <v/>
      </c>
      <c r="AG476" s="79">
        <f>IF(Y476="Order now",1,0)</f>
        <v/>
      </c>
      <c r="AH476" s="79">
        <f>IF(OR(Y476="⚠️ Order late — install at risk",Y476="⚠️ Delivery after install date"),1,0)</f>
        <v/>
      </c>
      <c r="AI476" s="79">
        <f>IF(AND(B476&lt;&gt;"",K476&lt;&gt;"",U476&lt;&gt;"Yes",X476&lt;&gt;"Yes"),1,0)</f>
        <v/>
      </c>
      <c r="AJ476" s="79">
        <f>IF(Y476="⚠️ Order late — install at risk",1,0)</f>
        <v/>
      </c>
    </row>
    <row r="477" ht="20" customHeight="1">
      <c r="B477" s="72" t="n"/>
      <c r="C477" s="72" t="n"/>
      <c r="D477" s="72" t="n"/>
      <c r="E477" s="72" t="n"/>
      <c r="F477" s="73" t="n"/>
      <c r="G477" s="72" t="n"/>
      <c r="H477" s="73" t="n"/>
      <c r="I477" s="72" t="n"/>
      <c r="J477" s="73" t="n"/>
      <c r="K477" s="74" t="n"/>
      <c r="L477" s="75">
        <f>IF(K477="A",F477,IF(K477="B",H477,IF(K477="C",J477,"")))</f>
        <v/>
      </c>
      <c r="M477" s="72" t="n"/>
      <c r="N477" s="72" t="n"/>
      <c r="O477" s="89" t="n"/>
      <c r="P477" s="89" t="n"/>
      <c r="Q477" s="109" t="n"/>
      <c r="R477" s="120">
        <f>IF(B477="","",IF(Q477&lt;&gt;"",Q477,IF(P477="","",IFERROR(INDEX('Timeline'!$J$7:$J$1006,MATCH(P477,'Timeline'!$B$7:$B$1006,0)),""))))</f>
        <v/>
      </c>
      <c r="S477" s="126">
        <f>IF(R477="","",R477-IF(O477="",0,O477)-OrderBuf)</f>
        <v/>
      </c>
      <c r="T477" s="126">
        <f>IF(S477="","",S477-DecideBuf)</f>
        <v/>
      </c>
      <c r="U477" s="74" t="n"/>
      <c r="V477" s="109" t="n"/>
      <c r="W477" s="109" t="n"/>
      <c r="X477" s="74" t="n"/>
      <c r="Y477" s="116">
        <f>IF(B477="","",IF(X477="Yes","Delivered",IF(U477="Yes",IF(AND(W477&lt;&gt;"",R477&lt;&gt;""),IF(W477&gt;R477,"⚠️ Delivery after install date","Ordered"),"Ordered"),IF(K477="",IF(T477="","Waiting for decision",IF(T477&lt;=AsOf+AlertDays,"Decide now","Waiting for decision")),IF(S477="","Selected",IF(AsOf&gt;S477,"⚠️ Order late — install at risk",IF(S477&lt;=AsOf+AlertDays,"Order now","Selected")))))))</f>
        <v/>
      </c>
      <c r="Z477" s="79">
        <f>IF(B477="","",IF(OR(AH477=1,AE477=1),2,IF(OR(AG477=1,AF477=1),1,IF(OR(Y477="Ordered",Y477="Delivered"),0,""))))</f>
        <v/>
      </c>
      <c r="AA477" s="112">
        <f>IF(B477="","",IF(AH477=1,IF(Y477="⚠️ Delivery after install date",R477,S477),IF(AD477=1,T477,IF(AI477=1,S477,""))))</f>
        <v/>
      </c>
      <c r="AB477" s="79">
        <f>IF(AA477="","",IF(AH477=1,1,IF(AA477="","",IF(AA477&lt;AsOf,1,IF(AA477&lt;=AsOf+AlertDays,2,IF(AA477&lt;=AsOf+2*AlertDays,3,""))))))</f>
        <v/>
      </c>
      <c r="AC477" s="79">
        <f>IF(AB477="","",IF(AH477=1,IF(Y477="⚠️ Delivery after install date","Delivery after install date: "&amp;B477,"Order late — install at risk: "&amp;B477),IF(AD477=1,IF(AB477=1,"Decision overdue: ","Decide: ")&amp;B477,"Order: "&amp;B477&amp;IF(N477="",""," from "&amp;N477))))</f>
        <v/>
      </c>
      <c r="AD477" s="79">
        <f>IF(AND(B477&lt;&gt;"",K477="",U477&lt;&gt;"Yes",X477&lt;&gt;"Yes"),1,0)</f>
        <v/>
      </c>
      <c r="AE477" s="79">
        <f>IF(AND(AD477=1,T477&lt;&gt;""),IF(T477&lt;AsOf,1,0),0)</f>
        <v/>
      </c>
      <c r="AF477" s="79">
        <f>IF(AND(AD477=1,T477&lt;&gt;""),IF(AND(T477&gt;=AsOf,T477&lt;=AsOf+AlertDays),1,0),0)</f>
        <v/>
      </c>
      <c r="AG477" s="79">
        <f>IF(Y477="Order now",1,0)</f>
        <v/>
      </c>
      <c r="AH477" s="79">
        <f>IF(OR(Y477="⚠️ Order late — install at risk",Y477="⚠️ Delivery after install date"),1,0)</f>
        <v/>
      </c>
      <c r="AI477" s="79">
        <f>IF(AND(B477&lt;&gt;"",K477&lt;&gt;"",U477&lt;&gt;"Yes",X477&lt;&gt;"Yes"),1,0)</f>
        <v/>
      </c>
      <c r="AJ477" s="79">
        <f>IF(Y477="⚠️ Order late — install at risk",1,0)</f>
        <v/>
      </c>
    </row>
    <row r="478" ht="20" customHeight="1">
      <c r="B478" s="72" t="n"/>
      <c r="C478" s="72" t="n"/>
      <c r="D478" s="72" t="n"/>
      <c r="E478" s="72" t="n"/>
      <c r="F478" s="73" t="n"/>
      <c r="G478" s="72" t="n"/>
      <c r="H478" s="73" t="n"/>
      <c r="I478" s="72" t="n"/>
      <c r="J478" s="73" t="n"/>
      <c r="K478" s="74" t="n"/>
      <c r="L478" s="75">
        <f>IF(K478="A",F478,IF(K478="B",H478,IF(K478="C",J478,"")))</f>
        <v/>
      </c>
      <c r="M478" s="72" t="n"/>
      <c r="N478" s="72" t="n"/>
      <c r="O478" s="89" t="n"/>
      <c r="P478" s="89" t="n"/>
      <c r="Q478" s="109" t="n"/>
      <c r="R478" s="120">
        <f>IF(B478="","",IF(Q478&lt;&gt;"",Q478,IF(P478="","",IFERROR(INDEX('Timeline'!$J$7:$J$1006,MATCH(P478,'Timeline'!$B$7:$B$1006,0)),""))))</f>
        <v/>
      </c>
      <c r="S478" s="126">
        <f>IF(R478="","",R478-IF(O478="",0,O478)-OrderBuf)</f>
        <v/>
      </c>
      <c r="T478" s="126">
        <f>IF(S478="","",S478-DecideBuf)</f>
        <v/>
      </c>
      <c r="U478" s="74" t="n"/>
      <c r="V478" s="109" t="n"/>
      <c r="W478" s="109" t="n"/>
      <c r="X478" s="74" t="n"/>
      <c r="Y478" s="116">
        <f>IF(B478="","",IF(X478="Yes","Delivered",IF(U478="Yes",IF(AND(W478&lt;&gt;"",R478&lt;&gt;""),IF(W478&gt;R478,"⚠️ Delivery after install date","Ordered"),"Ordered"),IF(K478="",IF(T478="","Waiting for decision",IF(T478&lt;=AsOf+AlertDays,"Decide now","Waiting for decision")),IF(S478="","Selected",IF(AsOf&gt;S478,"⚠️ Order late — install at risk",IF(S478&lt;=AsOf+AlertDays,"Order now","Selected")))))))</f>
        <v/>
      </c>
      <c r="Z478" s="79">
        <f>IF(B478="","",IF(OR(AH478=1,AE478=1),2,IF(OR(AG478=1,AF478=1),1,IF(OR(Y478="Ordered",Y478="Delivered"),0,""))))</f>
        <v/>
      </c>
      <c r="AA478" s="112">
        <f>IF(B478="","",IF(AH478=1,IF(Y478="⚠️ Delivery after install date",R478,S478),IF(AD478=1,T478,IF(AI478=1,S478,""))))</f>
        <v/>
      </c>
      <c r="AB478" s="79">
        <f>IF(AA478="","",IF(AH478=1,1,IF(AA478="","",IF(AA478&lt;AsOf,1,IF(AA478&lt;=AsOf+AlertDays,2,IF(AA478&lt;=AsOf+2*AlertDays,3,""))))))</f>
        <v/>
      </c>
      <c r="AC478" s="79">
        <f>IF(AB478="","",IF(AH478=1,IF(Y478="⚠️ Delivery after install date","Delivery after install date: "&amp;B478,"Order late — install at risk: "&amp;B478),IF(AD478=1,IF(AB478=1,"Decision overdue: ","Decide: ")&amp;B478,"Order: "&amp;B478&amp;IF(N478="",""," from "&amp;N478))))</f>
        <v/>
      </c>
      <c r="AD478" s="79">
        <f>IF(AND(B478&lt;&gt;"",K478="",U478&lt;&gt;"Yes",X478&lt;&gt;"Yes"),1,0)</f>
        <v/>
      </c>
      <c r="AE478" s="79">
        <f>IF(AND(AD478=1,T478&lt;&gt;""),IF(T478&lt;AsOf,1,0),0)</f>
        <v/>
      </c>
      <c r="AF478" s="79">
        <f>IF(AND(AD478=1,T478&lt;&gt;""),IF(AND(T478&gt;=AsOf,T478&lt;=AsOf+AlertDays),1,0),0)</f>
        <v/>
      </c>
      <c r="AG478" s="79">
        <f>IF(Y478="Order now",1,0)</f>
        <v/>
      </c>
      <c r="AH478" s="79">
        <f>IF(OR(Y478="⚠️ Order late — install at risk",Y478="⚠️ Delivery after install date"),1,0)</f>
        <v/>
      </c>
      <c r="AI478" s="79">
        <f>IF(AND(B478&lt;&gt;"",K478&lt;&gt;"",U478&lt;&gt;"Yes",X478&lt;&gt;"Yes"),1,0)</f>
        <v/>
      </c>
      <c r="AJ478" s="79">
        <f>IF(Y478="⚠️ Order late — install at risk",1,0)</f>
        <v/>
      </c>
    </row>
    <row r="479" ht="20" customHeight="1">
      <c r="B479" s="72" t="n"/>
      <c r="C479" s="72" t="n"/>
      <c r="D479" s="72" t="n"/>
      <c r="E479" s="72" t="n"/>
      <c r="F479" s="73" t="n"/>
      <c r="G479" s="72" t="n"/>
      <c r="H479" s="73" t="n"/>
      <c r="I479" s="72" t="n"/>
      <c r="J479" s="73" t="n"/>
      <c r="K479" s="74" t="n"/>
      <c r="L479" s="75">
        <f>IF(K479="A",F479,IF(K479="B",H479,IF(K479="C",J479,"")))</f>
        <v/>
      </c>
      <c r="M479" s="72" t="n"/>
      <c r="N479" s="72" t="n"/>
      <c r="O479" s="89" t="n"/>
      <c r="P479" s="89" t="n"/>
      <c r="Q479" s="109" t="n"/>
      <c r="R479" s="120">
        <f>IF(B479="","",IF(Q479&lt;&gt;"",Q479,IF(P479="","",IFERROR(INDEX('Timeline'!$J$7:$J$1006,MATCH(P479,'Timeline'!$B$7:$B$1006,0)),""))))</f>
        <v/>
      </c>
      <c r="S479" s="126">
        <f>IF(R479="","",R479-IF(O479="",0,O479)-OrderBuf)</f>
        <v/>
      </c>
      <c r="T479" s="126">
        <f>IF(S479="","",S479-DecideBuf)</f>
        <v/>
      </c>
      <c r="U479" s="74" t="n"/>
      <c r="V479" s="109" t="n"/>
      <c r="W479" s="109" t="n"/>
      <c r="X479" s="74" t="n"/>
      <c r="Y479" s="116">
        <f>IF(B479="","",IF(X479="Yes","Delivered",IF(U479="Yes",IF(AND(W479&lt;&gt;"",R479&lt;&gt;""),IF(W479&gt;R479,"⚠️ Delivery after install date","Ordered"),"Ordered"),IF(K479="",IF(T479="","Waiting for decision",IF(T479&lt;=AsOf+AlertDays,"Decide now","Waiting for decision")),IF(S479="","Selected",IF(AsOf&gt;S479,"⚠️ Order late — install at risk",IF(S479&lt;=AsOf+AlertDays,"Order now","Selected")))))))</f>
        <v/>
      </c>
      <c r="Z479" s="79">
        <f>IF(B479="","",IF(OR(AH479=1,AE479=1),2,IF(OR(AG479=1,AF479=1),1,IF(OR(Y479="Ordered",Y479="Delivered"),0,""))))</f>
        <v/>
      </c>
      <c r="AA479" s="112">
        <f>IF(B479="","",IF(AH479=1,IF(Y479="⚠️ Delivery after install date",R479,S479),IF(AD479=1,T479,IF(AI479=1,S479,""))))</f>
        <v/>
      </c>
      <c r="AB479" s="79">
        <f>IF(AA479="","",IF(AH479=1,1,IF(AA479="","",IF(AA479&lt;AsOf,1,IF(AA479&lt;=AsOf+AlertDays,2,IF(AA479&lt;=AsOf+2*AlertDays,3,""))))))</f>
        <v/>
      </c>
      <c r="AC479" s="79">
        <f>IF(AB479="","",IF(AH479=1,IF(Y479="⚠️ Delivery after install date","Delivery after install date: "&amp;B479,"Order late — install at risk: "&amp;B479),IF(AD479=1,IF(AB479=1,"Decision overdue: ","Decide: ")&amp;B479,"Order: "&amp;B479&amp;IF(N479="",""," from "&amp;N479))))</f>
        <v/>
      </c>
      <c r="AD479" s="79">
        <f>IF(AND(B479&lt;&gt;"",K479="",U479&lt;&gt;"Yes",X479&lt;&gt;"Yes"),1,0)</f>
        <v/>
      </c>
      <c r="AE479" s="79">
        <f>IF(AND(AD479=1,T479&lt;&gt;""),IF(T479&lt;AsOf,1,0),0)</f>
        <v/>
      </c>
      <c r="AF479" s="79">
        <f>IF(AND(AD479=1,T479&lt;&gt;""),IF(AND(T479&gt;=AsOf,T479&lt;=AsOf+AlertDays),1,0),0)</f>
        <v/>
      </c>
      <c r="AG479" s="79">
        <f>IF(Y479="Order now",1,0)</f>
        <v/>
      </c>
      <c r="AH479" s="79">
        <f>IF(OR(Y479="⚠️ Order late — install at risk",Y479="⚠️ Delivery after install date"),1,0)</f>
        <v/>
      </c>
      <c r="AI479" s="79">
        <f>IF(AND(B479&lt;&gt;"",K479&lt;&gt;"",U479&lt;&gt;"Yes",X479&lt;&gt;"Yes"),1,0)</f>
        <v/>
      </c>
      <c r="AJ479" s="79">
        <f>IF(Y479="⚠️ Order late — install at risk",1,0)</f>
        <v/>
      </c>
    </row>
    <row r="480" ht="20" customHeight="1">
      <c r="B480" s="72" t="n"/>
      <c r="C480" s="72" t="n"/>
      <c r="D480" s="72" t="n"/>
      <c r="E480" s="72" t="n"/>
      <c r="F480" s="73" t="n"/>
      <c r="G480" s="72" t="n"/>
      <c r="H480" s="73" t="n"/>
      <c r="I480" s="72" t="n"/>
      <c r="J480" s="73" t="n"/>
      <c r="K480" s="74" t="n"/>
      <c r="L480" s="75">
        <f>IF(K480="A",F480,IF(K480="B",H480,IF(K480="C",J480,"")))</f>
        <v/>
      </c>
      <c r="M480" s="72" t="n"/>
      <c r="N480" s="72" t="n"/>
      <c r="O480" s="89" t="n"/>
      <c r="P480" s="89" t="n"/>
      <c r="Q480" s="109" t="n"/>
      <c r="R480" s="120">
        <f>IF(B480="","",IF(Q480&lt;&gt;"",Q480,IF(P480="","",IFERROR(INDEX('Timeline'!$J$7:$J$1006,MATCH(P480,'Timeline'!$B$7:$B$1006,0)),""))))</f>
        <v/>
      </c>
      <c r="S480" s="126">
        <f>IF(R480="","",R480-IF(O480="",0,O480)-OrderBuf)</f>
        <v/>
      </c>
      <c r="T480" s="126">
        <f>IF(S480="","",S480-DecideBuf)</f>
        <v/>
      </c>
      <c r="U480" s="74" t="n"/>
      <c r="V480" s="109" t="n"/>
      <c r="W480" s="109" t="n"/>
      <c r="X480" s="74" t="n"/>
      <c r="Y480" s="116">
        <f>IF(B480="","",IF(X480="Yes","Delivered",IF(U480="Yes",IF(AND(W480&lt;&gt;"",R480&lt;&gt;""),IF(W480&gt;R480,"⚠️ Delivery after install date","Ordered"),"Ordered"),IF(K480="",IF(T480="","Waiting for decision",IF(T480&lt;=AsOf+AlertDays,"Decide now","Waiting for decision")),IF(S480="","Selected",IF(AsOf&gt;S480,"⚠️ Order late — install at risk",IF(S480&lt;=AsOf+AlertDays,"Order now","Selected")))))))</f>
        <v/>
      </c>
      <c r="Z480" s="79">
        <f>IF(B480="","",IF(OR(AH480=1,AE480=1),2,IF(OR(AG480=1,AF480=1),1,IF(OR(Y480="Ordered",Y480="Delivered"),0,""))))</f>
        <v/>
      </c>
      <c r="AA480" s="112">
        <f>IF(B480="","",IF(AH480=1,IF(Y480="⚠️ Delivery after install date",R480,S480),IF(AD480=1,T480,IF(AI480=1,S480,""))))</f>
        <v/>
      </c>
      <c r="AB480" s="79">
        <f>IF(AA480="","",IF(AH480=1,1,IF(AA480="","",IF(AA480&lt;AsOf,1,IF(AA480&lt;=AsOf+AlertDays,2,IF(AA480&lt;=AsOf+2*AlertDays,3,""))))))</f>
        <v/>
      </c>
      <c r="AC480" s="79">
        <f>IF(AB480="","",IF(AH480=1,IF(Y480="⚠️ Delivery after install date","Delivery after install date: "&amp;B480,"Order late — install at risk: "&amp;B480),IF(AD480=1,IF(AB480=1,"Decision overdue: ","Decide: ")&amp;B480,"Order: "&amp;B480&amp;IF(N480="",""," from "&amp;N480))))</f>
        <v/>
      </c>
      <c r="AD480" s="79">
        <f>IF(AND(B480&lt;&gt;"",K480="",U480&lt;&gt;"Yes",X480&lt;&gt;"Yes"),1,0)</f>
        <v/>
      </c>
      <c r="AE480" s="79">
        <f>IF(AND(AD480=1,T480&lt;&gt;""),IF(T480&lt;AsOf,1,0),0)</f>
        <v/>
      </c>
      <c r="AF480" s="79">
        <f>IF(AND(AD480=1,T480&lt;&gt;""),IF(AND(T480&gt;=AsOf,T480&lt;=AsOf+AlertDays),1,0),0)</f>
        <v/>
      </c>
      <c r="AG480" s="79">
        <f>IF(Y480="Order now",1,0)</f>
        <v/>
      </c>
      <c r="AH480" s="79">
        <f>IF(OR(Y480="⚠️ Order late — install at risk",Y480="⚠️ Delivery after install date"),1,0)</f>
        <v/>
      </c>
      <c r="AI480" s="79">
        <f>IF(AND(B480&lt;&gt;"",K480&lt;&gt;"",U480&lt;&gt;"Yes",X480&lt;&gt;"Yes"),1,0)</f>
        <v/>
      </c>
      <c r="AJ480" s="79">
        <f>IF(Y480="⚠️ Order late — install at risk",1,0)</f>
        <v/>
      </c>
    </row>
    <row r="481" ht="20" customHeight="1">
      <c r="B481" s="72" t="n"/>
      <c r="C481" s="72" t="n"/>
      <c r="D481" s="72" t="n"/>
      <c r="E481" s="72" t="n"/>
      <c r="F481" s="73" t="n"/>
      <c r="G481" s="72" t="n"/>
      <c r="H481" s="73" t="n"/>
      <c r="I481" s="72" t="n"/>
      <c r="J481" s="73" t="n"/>
      <c r="K481" s="74" t="n"/>
      <c r="L481" s="75">
        <f>IF(K481="A",F481,IF(K481="B",H481,IF(K481="C",J481,"")))</f>
        <v/>
      </c>
      <c r="M481" s="72" t="n"/>
      <c r="N481" s="72" t="n"/>
      <c r="O481" s="89" t="n"/>
      <c r="P481" s="89" t="n"/>
      <c r="Q481" s="109" t="n"/>
      <c r="R481" s="120">
        <f>IF(B481="","",IF(Q481&lt;&gt;"",Q481,IF(P481="","",IFERROR(INDEX('Timeline'!$J$7:$J$1006,MATCH(P481,'Timeline'!$B$7:$B$1006,0)),""))))</f>
        <v/>
      </c>
      <c r="S481" s="126">
        <f>IF(R481="","",R481-IF(O481="",0,O481)-OrderBuf)</f>
        <v/>
      </c>
      <c r="T481" s="126">
        <f>IF(S481="","",S481-DecideBuf)</f>
        <v/>
      </c>
      <c r="U481" s="74" t="n"/>
      <c r="V481" s="109" t="n"/>
      <c r="W481" s="109" t="n"/>
      <c r="X481" s="74" t="n"/>
      <c r="Y481" s="116">
        <f>IF(B481="","",IF(X481="Yes","Delivered",IF(U481="Yes",IF(AND(W481&lt;&gt;"",R481&lt;&gt;""),IF(W481&gt;R481,"⚠️ Delivery after install date","Ordered"),"Ordered"),IF(K481="",IF(T481="","Waiting for decision",IF(T481&lt;=AsOf+AlertDays,"Decide now","Waiting for decision")),IF(S481="","Selected",IF(AsOf&gt;S481,"⚠️ Order late — install at risk",IF(S481&lt;=AsOf+AlertDays,"Order now","Selected")))))))</f>
        <v/>
      </c>
      <c r="Z481" s="79">
        <f>IF(B481="","",IF(OR(AH481=1,AE481=1),2,IF(OR(AG481=1,AF481=1),1,IF(OR(Y481="Ordered",Y481="Delivered"),0,""))))</f>
        <v/>
      </c>
      <c r="AA481" s="112">
        <f>IF(B481="","",IF(AH481=1,IF(Y481="⚠️ Delivery after install date",R481,S481),IF(AD481=1,T481,IF(AI481=1,S481,""))))</f>
        <v/>
      </c>
      <c r="AB481" s="79">
        <f>IF(AA481="","",IF(AH481=1,1,IF(AA481="","",IF(AA481&lt;AsOf,1,IF(AA481&lt;=AsOf+AlertDays,2,IF(AA481&lt;=AsOf+2*AlertDays,3,""))))))</f>
        <v/>
      </c>
      <c r="AC481" s="79">
        <f>IF(AB481="","",IF(AH481=1,IF(Y481="⚠️ Delivery after install date","Delivery after install date: "&amp;B481,"Order late — install at risk: "&amp;B481),IF(AD481=1,IF(AB481=1,"Decision overdue: ","Decide: ")&amp;B481,"Order: "&amp;B481&amp;IF(N481="",""," from "&amp;N481))))</f>
        <v/>
      </c>
      <c r="AD481" s="79">
        <f>IF(AND(B481&lt;&gt;"",K481="",U481&lt;&gt;"Yes",X481&lt;&gt;"Yes"),1,0)</f>
        <v/>
      </c>
      <c r="AE481" s="79">
        <f>IF(AND(AD481=1,T481&lt;&gt;""),IF(T481&lt;AsOf,1,0),0)</f>
        <v/>
      </c>
      <c r="AF481" s="79">
        <f>IF(AND(AD481=1,T481&lt;&gt;""),IF(AND(T481&gt;=AsOf,T481&lt;=AsOf+AlertDays),1,0),0)</f>
        <v/>
      </c>
      <c r="AG481" s="79">
        <f>IF(Y481="Order now",1,0)</f>
        <v/>
      </c>
      <c r="AH481" s="79">
        <f>IF(OR(Y481="⚠️ Order late — install at risk",Y481="⚠️ Delivery after install date"),1,0)</f>
        <v/>
      </c>
      <c r="AI481" s="79">
        <f>IF(AND(B481&lt;&gt;"",K481&lt;&gt;"",U481&lt;&gt;"Yes",X481&lt;&gt;"Yes"),1,0)</f>
        <v/>
      </c>
      <c r="AJ481" s="79">
        <f>IF(Y481="⚠️ Order late — install at risk",1,0)</f>
        <v/>
      </c>
    </row>
    <row r="482" ht="20" customHeight="1">
      <c r="B482" s="72" t="n"/>
      <c r="C482" s="72" t="n"/>
      <c r="D482" s="72" t="n"/>
      <c r="E482" s="72" t="n"/>
      <c r="F482" s="73" t="n"/>
      <c r="G482" s="72" t="n"/>
      <c r="H482" s="73" t="n"/>
      <c r="I482" s="72" t="n"/>
      <c r="J482" s="73" t="n"/>
      <c r="K482" s="74" t="n"/>
      <c r="L482" s="75">
        <f>IF(K482="A",F482,IF(K482="B",H482,IF(K482="C",J482,"")))</f>
        <v/>
      </c>
      <c r="M482" s="72" t="n"/>
      <c r="N482" s="72" t="n"/>
      <c r="O482" s="89" t="n"/>
      <c r="P482" s="89" t="n"/>
      <c r="Q482" s="109" t="n"/>
      <c r="R482" s="120">
        <f>IF(B482="","",IF(Q482&lt;&gt;"",Q482,IF(P482="","",IFERROR(INDEX('Timeline'!$J$7:$J$1006,MATCH(P482,'Timeline'!$B$7:$B$1006,0)),""))))</f>
        <v/>
      </c>
      <c r="S482" s="126">
        <f>IF(R482="","",R482-IF(O482="",0,O482)-OrderBuf)</f>
        <v/>
      </c>
      <c r="T482" s="126">
        <f>IF(S482="","",S482-DecideBuf)</f>
        <v/>
      </c>
      <c r="U482" s="74" t="n"/>
      <c r="V482" s="109" t="n"/>
      <c r="W482" s="109" t="n"/>
      <c r="X482" s="74" t="n"/>
      <c r="Y482" s="116">
        <f>IF(B482="","",IF(X482="Yes","Delivered",IF(U482="Yes",IF(AND(W482&lt;&gt;"",R482&lt;&gt;""),IF(W482&gt;R482,"⚠️ Delivery after install date","Ordered"),"Ordered"),IF(K482="",IF(T482="","Waiting for decision",IF(T482&lt;=AsOf+AlertDays,"Decide now","Waiting for decision")),IF(S482="","Selected",IF(AsOf&gt;S482,"⚠️ Order late — install at risk",IF(S482&lt;=AsOf+AlertDays,"Order now","Selected")))))))</f>
        <v/>
      </c>
      <c r="Z482" s="79">
        <f>IF(B482="","",IF(OR(AH482=1,AE482=1),2,IF(OR(AG482=1,AF482=1),1,IF(OR(Y482="Ordered",Y482="Delivered"),0,""))))</f>
        <v/>
      </c>
      <c r="AA482" s="112">
        <f>IF(B482="","",IF(AH482=1,IF(Y482="⚠️ Delivery after install date",R482,S482),IF(AD482=1,T482,IF(AI482=1,S482,""))))</f>
        <v/>
      </c>
      <c r="AB482" s="79">
        <f>IF(AA482="","",IF(AH482=1,1,IF(AA482="","",IF(AA482&lt;AsOf,1,IF(AA482&lt;=AsOf+AlertDays,2,IF(AA482&lt;=AsOf+2*AlertDays,3,""))))))</f>
        <v/>
      </c>
      <c r="AC482" s="79">
        <f>IF(AB482="","",IF(AH482=1,IF(Y482="⚠️ Delivery after install date","Delivery after install date: "&amp;B482,"Order late — install at risk: "&amp;B482),IF(AD482=1,IF(AB482=1,"Decision overdue: ","Decide: ")&amp;B482,"Order: "&amp;B482&amp;IF(N482="",""," from "&amp;N482))))</f>
        <v/>
      </c>
      <c r="AD482" s="79">
        <f>IF(AND(B482&lt;&gt;"",K482="",U482&lt;&gt;"Yes",X482&lt;&gt;"Yes"),1,0)</f>
        <v/>
      </c>
      <c r="AE482" s="79">
        <f>IF(AND(AD482=1,T482&lt;&gt;""),IF(T482&lt;AsOf,1,0),0)</f>
        <v/>
      </c>
      <c r="AF482" s="79">
        <f>IF(AND(AD482=1,T482&lt;&gt;""),IF(AND(T482&gt;=AsOf,T482&lt;=AsOf+AlertDays),1,0),0)</f>
        <v/>
      </c>
      <c r="AG482" s="79">
        <f>IF(Y482="Order now",1,0)</f>
        <v/>
      </c>
      <c r="AH482" s="79">
        <f>IF(OR(Y482="⚠️ Order late — install at risk",Y482="⚠️ Delivery after install date"),1,0)</f>
        <v/>
      </c>
      <c r="AI482" s="79">
        <f>IF(AND(B482&lt;&gt;"",K482&lt;&gt;"",U482&lt;&gt;"Yes",X482&lt;&gt;"Yes"),1,0)</f>
        <v/>
      </c>
      <c r="AJ482" s="79">
        <f>IF(Y482="⚠️ Order late — install at risk",1,0)</f>
        <v/>
      </c>
    </row>
    <row r="483" ht="20" customHeight="1">
      <c r="B483" s="72" t="n"/>
      <c r="C483" s="72" t="n"/>
      <c r="D483" s="72" t="n"/>
      <c r="E483" s="72" t="n"/>
      <c r="F483" s="73" t="n"/>
      <c r="G483" s="72" t="n"/>
      <c r="H483" s="73" t="n"/>
      <c r="I483" s="72" t="n"/>
      <c r="J483" s="73" t="n"/>
      <c r="K483" s="74" t="n"/>
      <c r="L483" s="75">
        <f>IF(K483="A",F483,IF(K483="B",H483,IF(K483="C",J483,"")))</f>
        <v/>
      </c>
      <c r="M483" s="72" t="n"/>
      <c r="N483" s="72" t="n"/>
      <c r="O483" s="89" t="n"/>
      <c r="P483" s="89" t="n"/>
      <c r="Q483" s="109" t="n"/>
      <c r="R483" s="120">
        <f>IF(B483="","",IF(Q483&lt;&gt;"",Q483,IF(P483="","",IFERROR(INDEX('Timeline'!$J$7:$J$1006,MATCH(P483,'Timeline'!$B$7:$B$1006,0)),""))))</f>
        <v/>
      </c>
      <c r="S483" s="126">
        <f>IF(R483="","",R483-IF(O483="",0,O483)-OrderBuf)</f>
        <v/>
      </c>
      <c r="T483" s="126">
        <f>IF(S483="","",S483-DecideBuf)</f>
        <v/>
      </c>
      <c r="U483" s="74" t="n"/>
      <c r="V483" s="109" t="n"/>
      <c r="W483" s="109" t="n"/>
      <c r="X483" s="74" t="n"/>
      <c r="Y483" s="116">
        <f>IF(B483="","",IF(X483="Yes","Delivered",IF(U483="Yes",IF(AND(W483&lt;&gt;"",R483&lt;&gt;""),IF(W483&gt;R483,"⚠️ Delivery after install date","Ordered"),"Ordered"),IF(K483="",IF(T483="","Waiting for decision",IF(T483&lt;=AsOf+AlertDays,"Decide now","Waiting for decision")),IF(S483="","Selected",IF(AsOf&gt;S483,"⚠️ Order late — install at risk",IF(S483&lt;=AsOf+AlertDays,"Order now","Selected")))))))</f>
        <v/>
      </c>
      <c r="Z483" s="79">
        <f>IF(B483="","",IF(OR(AH483=1,AE483=1),2,IF(OR(AG483=1,AF483=1),1,IF(OR(Y483="Ordered",Y483="Delivered"),0,""))))</f>
        <v/>
      </c>
      <c r="AA483" s="112">
        <f>IF(B483="","",IF(AH483=1,IF(Y483="⚠️ Delivery after install date",R483,S483),IF(AD483=1,T483,IF(AI483=1,S483,""))))</f>
        <v/>
      </c>
      <c r="AB483" s="79">
        <f>IF(AA483="","",IF(AH483=1,1,IF(AA483="","",IF(AA483&lt;AsOf,1,IF(AA483&lt;=AsOf+AlertDays,2,IF(AA483&lt;=AsOf+2*AlertDays,3,""))))))</f>
        <v/>
      </c>
      <c r="AC483" s="79">
        <f>IF(AB483="","",IF(AH483=1,IF(Y483="⚠️ Delivery after install date","Delivery after install date: "&amp;B483,"Order late — install at risk: "&amp;B483),IF(AD483=1,IF(AB483=1,"Decision overdue: ","Decide: ")&amp;B483,"Order: "&amp;B483&amp;IF(N483="",""," from "&amp;N483))))</f>
        <v/>
      </c>
      <c r="AD483" s="79">
        <f>IF(AND(B483&lt;&gt;"",K483="",U483&lt;&gt;"Yes",X483&lt;&gt;"Yes"),1,0)</f>
        <v/>
      </c>
      <c r="AE483" s="79">
        <f>IF(AND(AD483=1,T483&lt;&gt;""),IF(T483&lt;AsOf,1,0),0)</f>
        <v/>
      </c>
      <c r="AF483" s="79">
        <f>IF(AND(AD483=1,T483&lt;&gt;""),IF(AND(T483&gt;=AsOf,T483&lt;=AsOf+AlertDays),1,0),0)</f>
        <v/>
      </c>
      <c r="AG483" s="79">
        <f>IF(Y483="Order now",1,0)</f>
        <v/>
      </c>
      <c r="AH483" s="79">
        <f>IF(OR(Y483="⚠️ Order late — install at risk",Y483="⚠️ Delivery after install date"),1,0)</f>
        <v/>
      </c>
      <c r="AI483" s="79">
        <f>IF(AND(B483&lt;&gt;"",K483&lt;&gt;"",U483&lt;&gt;"Yes",X483&lt;&gt;"Yes"),1,0)</f>
        <v/>
      </c>
      <c r="AJ483" s="79">
        <f>IF(Y483="⚠️ Order late — install at risk",1,0)</f>
        <v/>
      </c>
    </row>
    <row r="484" ht="20" customHeight="1">
      <c r="B484" s="72" t="n"/>
      <c r="C484" s="72" t="n"/>
      <c r="D484" s="72" t="n"/>
      <c r="E484" s="72" t="n"/>
      <c r="F484" s="73" t="n"/>
      <c r="G484" s="72" t="n"/>
      <c r="H484" s="73" t="n"/>
      <c r="I484" s="72" t="n"/>
      <c r="J484" s="73" t="n"/>
      <c r="K484" s="74" t="n"/>
      <c r="L484" s="75">
        <f>IF(K484="A",F484,IF(K484="B",H484,IF(K484="C",J484,"")))</f>
        <v/>
      </c>
      <c r="M484" s="72" t="n"/>
      <c r="N484" s="72" t="n"/>
      <c r="O484" s="89" t="n"/>
      <c r="P484" s="89" t="n"/>
      <c r="Q484" s="109" t="n"/>
      <c r="R484" s="120">
        <f>IF(B484="","",IF(Q484&lt;&gt;"",Q484,IF(P484="","",IFERROR(INDEX('Timeline'!$J$7:$J$1006,MATCH(P484,'Timeline'!$B$7:$B$1006,0)),""))))</f>
        <v/>
      </c>
      <c r="S484" s="126">
        <f>IF(R484="","",R484-IF(O484="",0,O484)-OrderBuf)</f>
        <v/>
      </c>
      <c r="T484" s="126">
        <f>IF(S484="","",S484-DecideBuf)</f>
        <v/>
      </c>
      <c r="U484" s="74" t="n"/>
      <c r="V484" s="109" t="n"/>
      <c r="W484" s="109" t="n"/>
      <c r="X484" s="74" t="n"/>
      <c r="Y484" s="116">
        <f>IF(B484="","",IF(X484="Yes","Delivered",IF(U484="Yes",IF(AND(W484&lt;&gt;"",R484&lt;&gt;""),IF(W484&gt;R484,"⚠️ Delivery after install date","Ordered"),"Ordered"),IF(K484="",IF(T484="","Waiting for decision",IF(T484&lt;=AsOf+AlertDays,"Decide now","Waiting for decision")),IF(S484="","Selected",IF(AsOf&gt;S484,"⚠️ Order late — install at risk",IF(S484&lt;=AsOf+AlertDays,"Order now","Selected")))))))</f>
        <v/>
      </c>
      <c r="Z484" s="79">
        <f>IF(B484="","",IF(OR(AH484=1,AE484=1),2,IF(OR(AG484=1,AF484=1),1,IF(OR(Y484="Ordered",Y484="Delivered"),0,""))))</f>
        <v/>
      </c>
      <c r="AA484" s="112">
        <f>IF(B484="","",IF(AH484=1,IF(Y484="⚠️ Delivery after install date",R484,S484),IF(AD484=1,T484,IF(AI484=1,S484,""))))</f>
        <v/>
      </c>
      <c r="AB484" s="79">
        <f>IF(AA484="","",IF(AH484=1,1,IF(AA484="","",IF(AA484&lt;AsOf,1,IF(AA484&lt;=AsOf+AlertDays,2,IF(AA484&lt;=AsOf+2*AlertDays,3,""))))))</f>
        <v/>
      </c>
      <c r="AC484" s="79">
        <f>IF(AB484="","",IF(AH484=1,IF(Y484="⚠️ Delivery after install date","Delivery after install date: "&amp;B484,"Order late — install at risk: "&amp;B484),IF(AD484=1,IF(AB484=1,"Decision overdue: ","Decide: ")&amp;B484,"Order: "&amp;B484&amp;IF(N484="",""," from "&amp;N484))))</f>
        <v/>
      </c>
      <c r="AD484" s="79">
        <f>IF(AND(B484&lt;&gt;"",K484="",U484&lt;&gt;"Yes",X484&lt;&gt;"Yes"),1,0)</f>
        <v/>
      </c>
      <c r="AE484" s="79">
        <f>IF(AND(AD484=1,T484&lt;&gt;""),IF(T484&lt;AsOf,1,0),0)</f>
        <v/>
      </c>
      <c r="AF484" s="79">
        <f>IF(AND(AD484=1,T484&lt;&gt;""),IF(AND(T484&gt;=AsOf,T484&lt;=AsOf+AlertDays),1,0),0)</f>
        <v/>
      </c>
      <c r="AG484" s="79">
        <f>IF(Y484="Order now",1,0)</f>
        <v/>
      </c>
      <c r="AH484" s="79">
        <f>IF(OR(Y484="⚠️ Order late — install at risk",Y484="⚠️ Delivery after install date"),1,0)</f>
        <v/>
      </c>
      <c r="AI484" s="79">
        <f>IF(AND(B484&lt;&gt;"",K484&lt;&gt;"",U484&lt;&gt;"Yes",X484&lt;&gt;"Yes"),1,0)</f>
        <v/>
      </c>
      <c r="AJ484" s="79">
        <f>IF(Y484="⚠️ Order late — install at risk",1,0)</f>
        <v/>
      </c>
    </row>
    <row r="485" ht="20" customHeight="1">
      <c r="B485" s="72" t="n"/>
      <c r="C485" s="72" t="n"/>
      <c r="D485" s="72" t="n"/>
      <c r="E485" s="72" t="n"/>
      <c r="F485" s="73" t="n"/>
      <c r="G485" s="72" t="n"/>
      <c r="H485" s="73" t="n"/>
      <c r="I485" s="72" t="n"/>
      <c r="J485" s="73" t="n"/>
      <c r="K485" s="74" t="n"/>
      <c r="L485" s="75">
        <f>IF(K485="A",F485,IF(K485="B",H485,IF(K485="C",J485,"")))</f>
        <v/>
      </c>
      <c r="M485" s="72" t="n"/>
      <c r="N485" s="72" t="n"/>
      <c r="O485" s="89" t="n"/>
      <c r="P485" s="89" t="n"/>
      <c r="Q485" s="109" t="n"/>
      <c r="R485" s="120">
        <f>IF(B485="","",IF(Q485&lt;&gt;"",Q485,IF(P485="","",IFERROR(INDEX('Timeline'!$J$7:$J$1006,MATCH(P485,'Timeline'!$B$7:$B$1006,0)),""))))</f>
        <v/>
      </c>
      <c r="S485" s="126">
        <f>IF(R485="","",R485-IF(O485="",0,O485)-OrderBuf)</f>
        <v/>
      </c>
      <c r="T485" s="126">
        <f>IF(S485="","",S485-DecideBuf)</f>
        <v/>
      </c>
      <c r="U485" s="74" t="n"/>
      <c r="V485" s="109" t="n"/>
      <c r="W485" s="109" t="n"/>
      <c r="X485" s="74" t="n"/>
      <c r="Y485" s="116">
        <f>IF(B485="","",IF(X485="Yes","Delivered",IF(U485="Yes",IF(AND(W485&lt;&gt;"",R485&lt;&gt;""),IF(W485&gt;R485,"⚠️ Delivery after install date","Ordered"),"Ordered"),IF(K485="",IF(T485="","Waiting for decision",IF(T485&lt;=AsOf+AlertDays,"Decide now","Waiting for decision")),IF(S485="","Selected",IF(AsOf&gt;S485,"⚠️ Order late — install at risk",IF(S485&lt;=AsOf+AlertDays,"Order now","Selected")))))))</f>
        <v/>
      </c>
      <c r="Z485" s="79">
        <f>IF(B485="","",IF(OR(AH485=1,AE485=1),2,IF(OR(AG485=1,AF485=1),1,IF(OR(Y485="Ordered",Y485="Delivered"),0,""))))</f>
        <v/>
      </c>
      <c r="AA485" s="112">
        <f>IF(B485="","",IF(AH485=1,IF(Y485="⚠️ Delivery after install date",R485,S485),IF(AD485=1,T485,IF(AI485=1,S485,""))))</f>
        <v/>
      </c>
      <c r="AB485" s="79">
        <f>IF(AA485="","",IF(AH485=1,1,IF(AA485="","",IF(AA485&lt;AsOf,1,IF(AA485&lt;=AsOf+AlertDays,2,IF(AA485&lt;=AsOf+2*AlertDays,3,""))))))</f>
        <v/>
      </c>
      <c r="AC485" s="79">
        <f>IF(AB485="","",IF(AH485=1,IF(Y485="⚠️ Delivery after install date","Delivery after install date: "&amp;B485,"Order late — install at risk: "&amp;B485),IF(AD485=1,IF(AB485=1,"Decision overdue: ","Decide: ")&amp;B485,"Order: "&amp;B485&amp;IF(N485="",""," from "&amp;N485))))</f>
        <v/>
      </c>
      <c r="AD485" s="79">
        <f>IF(AND(B485&lt;&gt;"",K485="",U485&lt;&gt;"Yes",X485&lt;&gt;"Yes"),1,0)</f>
        <v/>
      </c>
      <c r="AE485" s="79">
        <f>IF(AND(AD485=1,T485&lt;&gt;""),IF(T485&lt;AsOf,1,0),0)</f>
        <v/>
      </c>
      <c r="AF485" s="79">
        <f>IF(AND(AD485=1,T485&lt;&gt;""),IF(AND(T485&gt;=AsOf,T485&lt;=AsOf+AlertDays),1,0),0)</f>
        <v/>
      </c>
      <c r="AG485" s="79">
        <f>IF(Y485="Order now",1,0)</f>
        <v/>
      </c>
      <c r="AH485" s="79">
        <f>IF(OR(Y485="⚠️ Order late — install at risk",Y485="⚠️ Delivery after install date"),1,0)</f>
        <v/>
      </c>
      <c r="AI485" s="79">
        <f>IF(AND(B485&lt;&gt;"",K485&lt;&gt;"",U485&lt;&gt;"Yes",X485&lt;&gt;"Yes"),1,0)</f>
        <v/>
      </c>
      <c r="AJ485" s="79">
        <f>IF(Y485="⚠️ Order late — install at risk",1,0)</f>
        <v/>
      </c>
    </row>
    <row r="486" ht="20" customHeight="1">
      <c r="B486" s="72" t="n"/>
      <c r="C486" s="72" t="n"/>
      <c r="D486" s="72" t="n"/>
      <c r="E486" s="72" t="n"/>
      <c r="F486" s="73" t="n"/>
      <c r="G486" s="72" t="n"/>
      <c r="H486" s="73" t="n"/>
      <c r="I486" s="72" t="n"/>
      <c r="J486" s="73" t="n"/>
      <c r="K486" s="74" t="n"/>
      <c r="L486" s="75">
        <f>IF(K486="A",F486,IF(K486="B",H486,IF(K486="C",J486,"")))</f>
        <v/>
      </c>
      <c r="M486" s="72" t="n"/>
      <c r="N486" s="72" t="n"/>
      <c r="O486" s="89" t="n"/>
      <c r="P486" s="89" t="n"/>
      <c r="Q486" s="109" t="n"/>
      <c r="R486" s="120">
        <f>IF(B486="","",IF(Q486&lt;&gt;"",Q486,IF(P486="","",IFERROR(INDEX('Timeline'!$J$7:$J$1006,MATCH(P486,'Timeline'!$B$7:$B$1006,0)),""))))</f>
        <v/>
      </c>
      <c r="S486" s="126">
        <f>IF(R486="","",R486-IF(O486="",0,O486)-OrderBuf)</f>
        <v/>
      </c>
      <c r="T486" s="126">
        <f>IF(S486="","",S486-DecideBuf)</f>
        <v/>
      </c>
      <c r="U486" s="74" t="n"/>
      <c r="V486" s="109" t="n"/>
      <c r="W486" s="109" t="n"/>
      <c r="X486" s="74" t="n"/>
      <c r="Y486" s="116">
        <f>IF(B486="","",IF(X486="Yes","Delivered",IF(U486="Yes",IF(AND(W486&lt;&gt;"",R486&lt;&gt;""),IF(W486&gt;R486,"⚠️ Delivery after install date","Ordered"),"Ordered"),IF(K486="",IF(T486="","Waiting for decision",IF(T486&lt;=AsOf+AlertDays,"Decide now","Waiting for decision")),IF(S486="","Selected",IF(AsOf&gt;S486,"⚠️ Order late — install at risk",IF(S486&lt;=AsOf+AlertDays,"Order now","Selected")))))))</f>
        <v/>
      </c>
      <c r="Z486" s="79">
        <f>IF(B486="","",IF(OR(AH486=1,AE486=1),2,IF(OR(AG486=1,AF486=1),1,IF(OR(Y486="Ordered",Y486="Delivered"),0,""))))</f>
        <v/>
      </c>
      <c r="AA486" s="112">
        <f>IF(B486="","",IF(AH486=1,IF(Y486="⚠️ Delivery after install date",R486,S486),IF(AD486=1,T486,IF(AI486=1,S486,""))))</f>
        <v/>
      </c>
      <c r="AB486" s="79">
        <f>IF(AA486="","",IF(AH486=1,1,IF(AA486="","",IF(AA486&lt;AsOf,1,IF(AA486&lt;=AsOf+AlertDays,2,IF(AA486&lt;=AsOf+2*AlertDays,3,""))))))</f>
        <v/>
      </c>
      <c r="AC486" s="79">
        <f>IF(AB486="","",IF(AH486=1,IF(Y486="⚠️ Delivery after install date","Delivery after install date: "&amp;B486,"Order late — install at risk: "&amp;B486),IF(AD486=1,IF(AB486=1,"Decision overdue: ","Decide: ")&amp;B486,"Order: "&amp;B486&amp;IF(N486="",""," from "&amp;N486))))</f>
        <v/>
      </c>
      <c r="AD486" s="79">
        <f>IF(AND(B486&lt;&gt;"",K486="",U486&lt;&gt;"Yes",X486&lt;&gt;"Yes"),1,0)</f>
        <v/>
      </c>
      <c r="AE486" s="79">
        <f>IF(AND(AD486=1,T486&lt;&gt;""),IF(T486&lt;AsOf,1,0),0)</f>
        <v/>
      </c>
      <c r="AF486" s="79">
        <f>IF(AND(AD486=1,T486&lt;&gt;""),IF(AND(T486&gt;=AsOf,T486&lt;=AsOf+AlertDays),1,0),0)</f>
        <v/>
      </c>
      <c r="AG486" s="79">
        <f>IF(Y486="Order now",1,0)</f>
        <v/>
      </c>
      <c r="AH486" s="79">
        <f>IF(OR(Y486="⚠️ Order late — install at risk",Y486="⚠️ Delivery after install date"),1,0)</f>
        <v/>
      </c>
      <c r="AI486" s="79">
        <f>IF(AND(B486&lt;&gt;"",K486&lt;&gt;"",U486&lt;&gt;"Yes",X486&lt;&gt;"Yes"),1,0)</f>
        <v/>
      </c>
      <c r="AJ486" s="79">
        <f>IF(Y486="⚠️ Order late — install at risk",1,0)</f>
        <v/>
      </c>
    </row>
    <row r="487" ht="20" customHeight="1">
      <c r="B487" s="72" t="n"/>
      <c r="C487" s="72" t="n"/>
      <c r="D487" s="72" t="n"/>
      <c r="E487" s="72" t="n"/>
      <c r="F487" s="73" t="n"/>
      <c r="G487" s="72" t="n"/>
      <c r="H487" s="73" t="n"/>
      <c r="I487" s="72" t="n"/>
      <c r="J487" s="73" t="n"/>
      <c r="K487" s="74" t="n"/>
      <c r="L487" s="75">
        <f>IF(K487="A",F487,IF(K487="B",H487,IF(K487="C",J487,"")))</f>
        <v/>
      </c>
      <c r="M487" s="72" t="n"/>
      <c r="N487" s="72" t="n"/>
      <c r="O487" s="89" t="n"/>
      <c r="P487" s="89" t="n"/>
      <c r="Q487" s="109" t="n"/>
      <c r="R487" s="120">
        <f>IF(B487="","",IF(Q487&lt;&gt;"",Q487,IF(P487="","",IFERROR(INDEX('Timeline'!$J$7:$J$1006,MATCH(P487,'Timeline'!$B$7:$B$1006,0)),""))))</f>
        <v/>
      </c>
      <c r="S487" s="126">
        <f>IF(R487="","",R487-IF(O487="",0,O487)-OrderBuf)</f>
        <v/>
      </c>
      <c r="T487" s="126">
        <f>IF(S487="","",S487-DecideBuf)</f>
        <v/>
      </c>
      <c r="U487" s="74" t="n"/>
      <c r="V487" s="109" t="n"/>
      <c r="W487" s="109" t="n"/>
      <c r="X487" s="74" t="n"/>
      <c r="Y487" s="116">
        <f>IF(B487="","",IF(X487="Yes","Delivered",IF(U487="Yes",IF(AND(W487&lt;&gt;"",R487&lt;&gt;""),IF(W487&gt;R487,"⚠️ Delivery after install date","Ordered"),"Ordered"),IF(K487="",IF(T487="","Waiting for decision",IF(T487&lt;=AsOf+AlertDays,"Decide now","Waiting for decision")),IF(S487="","Selected",IF(AsOf&gt;S487,"⚠️ Order late — install at risk",IF(S487&lt;=AsOf+AlertDays,"Order now","Selected")))))))</f>
        <v/>
      </c>
      <c r="Z487" s="79">
        <f>IF(B487="","",IF(OR(AH487=1,AE487=1),2,IF(OR(AG487=1,AF487=1),1,IF(OR(Y487="Ordered",Y487="Delivered"),0,""))))</f>
        <v/>
      </c>
      <c r="AA487" s="112">
        <f>IF(B487="","",IF(AH487=1,IF(Y487="⚠️ Delivery after install date",R487,S487),IF(AD487=1,T487,IF(AI487=1,S487,""))))</f>
        <v/>
      </c>
      <c r="AB487" s="79">
        <f>IF(AA487="","",IF(AH487=1,1,IF(AA487="","",IF(AA487&lt;AsOf,1,IF(AA487&lt;=AsOf+AlertDays,2,IF(AA487&lt;=AsOf+2*AlertDays,3,""))))))</f>
        <v/>
      </c>
      <c r="AC487" s="79">
        <f>IF(AB487="","",IF(AH487=1,IF(Y487="⚠️ Delivery after install date","Delivery after install date: "&amp;B487,"Order late — install at risk: "&amp;B487),IF(AD487=1,IF(AB487=1,"Decision overdue: ","Decide: ")&amp;B487,"Order: "&amp;B487&amp;IF(N487="",""," from "&amp;N487))))</f>
        <v/>
      </c>
      <c r="AD487" s="79">
        <f>IF(AND(B487&lt;&gt;"",K487="",U487&lt;&gt;"Yes",X487&lt;&gt;"Yes"),1,0)</f>
        <v/>
      </c>
      <c r="AE487" s="79">
        <f>IF(AND(AD487=1,T487&lt;&gt;""),IF(T487&lt;AsOf,1,0),0)</f>
        <v/>
      </c>
      <c r="AF487" s="79">
        <f>IF(AND(AD487=1,T487&lt;&gt;""),IF(AND(T487&gt;=AsOf,T487&lt;=AsOf+AlertDays),1,0),0)</f>
        <v/>
      </c>
      <c r="AG487" s="79">
        <f>IF(Y487="Order now",1,0)</f>
        <v/>
      </c>
      <c r="AH487" s="79">
        <f>IF(OR(Y487="⚠️ Order late — install at risk",Y487="⚠️ Delivery after install date"),1,0)</f>
        <v/>
      </c>
      <c r="AI487" s="79">
        <f>IF(AND(B487&lt;&gt;"",K487&lt;&gt;"",U487&lt;&gt;"Yes",X487&lt;&gt;"Yes"),1,0)</f>
        <v/>
      </c>
      <c r="AJ487" s="79">
        <f>IF(Y487="⚠️ Order late — install at risk",1,0)</f>
        <v/>
      </c>
    </row>
    <row r="488" ht="20" customHeight="1">
      <c r="B488" s="72" t="n"/>
      <c r="C488" s="72" t="n"/>
      <c r="D488" s="72" t="n"/>
      <c r="E488" s="72" t="n"/>
      <c r="F488" s="73" t="n"/>
      <c r="G488" s="72" t="n"/>
      <c r="H488" s="73" t="n"/>
      <c r="I488" s="72" t="n"/>
      <c r="J488" s="73" t="n"/>
      <c r="K488" s="74" t="n"/>
      <c r="L488" s="75">
        <f>IF(K488="A",F488,IF(K488="B",H488,IF(K488="C",J488,"")))</f>
        <v/>
      </c>
      <c r="M488" s="72" t="n"/>
      <c r="N488" s="72" t="n"/>
      <c r="O488" s="89" t="n"/>
      <c r="P488" s="89" t="n"/>
      <c r="Q488" s="109" t="n"/>
      <c r="R488" s="120">
        <f>IF(B488="","",IF(Q488&lt;&gt;"",Q488,IF(P488="","",IFERROR(INDEX('Timeline'!$J$7:$J$1006,MATCH(P488,'Timeline'!$B$7:$B$1006,0)),""))))</f>
        <v/>
      </c>
      <c r="S488" s="126">
        <f>IF(R488="","",R488-IF(O488="",0,O488)-OrderBuf)</f>
        <v/>
      </c>
      <c r="T488" s="126">
        <f>IF(S488="","",S488-DecideBuf)</f>
        <v/>
      </c>
      <c r="U488" s="74" t="n"/>
      <c r="V488" s="109" t="n"/>
      <c r="W488" s="109" t="n"/>
      <c r="X488" s="74" t="n"/>
      <c r="Y488" s="116">
        <f>IF(B488="","",IF(X488="Yes","Delivered",IF(U488="Yes",IF(AND(W488&lt;&gt;"",R488&lt;&gt;""),IF(W488&gt;R488,"⚠️ Delivery after install date","Ordered"),"Ordered"),IF(K488="",IF(T488="","Waiting for decision",IF(T488&lt;=AsOf+AlertDays,"Decide now","Waiting for decision")),IF(S488="","Selected",IF(AsOf&gt;S488,"⚠️ Order late — install at risk",IF(S488&lt;=AsOf+AlertDays,"Order now","Selected")))))))</f>
        <v/>
      </c>
      <c r="Z488" s="79">
        <f>IF(B488="","",IF(OR(AH488=1,AE488=1),2,IF(OR(AG488=1,AF488=1),1,IF(OR(Y488="Ordered",Y488="Delivered"),0,""))))</f>
        <v/>
      </c>
      <c r="AA488" s="112">
        <f>IF(B488="","",IF(AH488=1,IF(Y488="⚠️ Delivery after install date",R488,S488),IF(AD488=1,T488,IF(AI488=1,S488,""))))</f>
        <v/>
      </c>
      <c r="AB488" s="79">
        <f>IF(AA488="","",IF(AH488=1,1,IF(AA488="","",IF(AA488&lt;AsOf,1,IF(AA488&lt;=AsOf+AlertDays,2,IF(AA488&lt;=AsOf+2*AlertDays,3,""))))))</f>
        <v/>
      </c>
      <c r="AC488" s="79">
        <f>IF(AB488="","",IF(AH488=1,IF(Y488="⚠️ Delivery after install date","Delivery after install date: "&amp;B488,"Order late — install at risk: "&amp;B488),IF(AD488=1,IF(AB488=1,"Decision overdue: ","Decide: ")&amp;B488,"Order: "&amp;B488&amp;IF(N488="",""," from "&amp;N488))))</f>
        <v/>
      </c>
      <c r="AD488" s="79">
        <f>IF(AND(B488&lt;&gt;"",K488="",U488&lt;&gt;"Yes",X488&lt;&gt;"Yes"),1,0)</f>
        <v/>
      </c>
      <c r="AE488" s="79">
        <f>IF(AND(AD488=1,T488&lt;&gt;""),IF(T488&lt;AsOf,1,0),0)</f>
        <v/>
      </c>
      <c r="AF488" s="79">
        <f>IF(AND(AD488=1,T488&lt;&gt;""),IF(AND(T488&gt;=AsOf,T488&lt;=AsOf+AlertDays),1,0),0)</f>
        <v/>
      </c>
      <c r="AG488" s="79">
        <f>IF(Y488="Order now",1,0)</f>
        <v/>
      </c>
      <c r="AH488" s="79">
        <f>IF(OR(Y488="⚠️ Order late — install at risk",Y488="⚠️ Delivery after install date"),1,0)</f>
        <v/>
      </c>
      <c r="AI488" s="79">
        <f>IF(AND(B488&lt;&gt;"",K488&lt;&gt;"",U488&lt;&gt;"Yes",X488&lt;&gt;"Yes"),1,0)</f>
        <v/>
      </c>
      <c r="AJ488" s="79">
        <f>IF(Y488="⚠️ Order late — install at risk",1,0)</f>
        <v/>
      </c>
    </row>
    <row r="489" ht="20" customHeight="1">
      <c r="B489" s="72" t="n"/>
      <c r="C489" s="72" t="n"/>
      <c r="D489" s="72" t="n"/>
      <c r="E489" s="72" t="n"/>
      <c r="F489" s="73" t="n"/>
      <c r="G489" s="72" t="n"/>
      <c r="H489" s="73" t="n"/>
      <c r="I489" s="72" t="n"/>
      <c r="J489" s="73" t="n"/>
      <c r="K489" s="74" t="n"/>
      <c r="L489" s="75">
        <f>IF(K489="A",F489,IF(K489="B",H489,IF(K489="C",J489,"")))</f>
        <v/>
      </c>
      <c r="M489" s="72" t="n"/>
      <c r="N489" s="72" t="n"/>
      <c r="O489" s="89" t="n"/>
      <c r="P489" s="89" t="n"/>
      <c r="Q489" s="109" t="n"/>
      <c r="R489" s="120">
        <f>IF(B489="","",IF(Q489&lt;&gt;"",Q489,IF(P489="","",IFERROR(INDEX('Timeline'!$J$7:$J$1006,MATCH(P489,'Timeline'!$B$7:$B$1006,0)),""))))</f>
        <v/>
      </c>
      <c r="S489" s="126">
        <f>IF(R489="","",R489-IF(O489="",0,O489)-OrderBuf)</f>
        <v/>
      </c>
      <c r="T489" s="126">
        <f>IF(S489="","",S489-DecideBuf)</f>
        <v/>
      </c>
      <c r="U489" s="74" t="n"/>
      <c r="V489" s="109" t="n"/>
      <c r="W489" s="109" t="n"/>
      <c r="X489" s="74" t="n"/>
      <c r="Y489" s="116">
        <f>IF(B489="","",IF(X489="Yes","Delivered",IF(U489="Yes",IF(AND(W489&lt;&gt;"",R489&lt;&gt;""),IF(W489&gt;R489,"⚠️ Delivery after install date","Ordered"),"Ordered"),IF(K489="",IF(T489="","Waiting for decision",IF(T489&lt;=AsOf+AlertDays,"Decide now","Waiting for decision")),IF(S489="","Selected",IF(AsOf&gt;S489,"⚠️ Order late — install at risk",IF(S489&lt;=AsOf+AlertDays,"Order now","Selected")))))))</f>
        <v/>
      </c>
      <c r="Z489" s="79">
        <f>IF(B489="","",IF(OR(AH489=1,AE489=1),2,IF(OR(AG489=1,AF489=1),1,IF(OR(Y489="Ordered",Y489="Delivered"),0,""))))</f>
        <v/>
      </c>
      <c r="AA489" s="112">
        <f>IF(B489="","",IF(AH489=1,IF(Y489="⚠️ Delivery after install date",R489,S489),IF(AD489=1,T489,IF(AI489=1,S489,""))))</f>
        <v/>
      </c>
      <c r="AB489" s="79">
        <f>IF(AA489="","",IF(AH489=1,1,IF(AA489="","",IF(AA489&lt;AsOf,1,IF(AA489&lt;=AsOf+AlertDays,2,IF(AA489&lt;=AsOf+2*AlertDays,3,""))))))</f>
        <v/>
      </c>
      <c r="AC489" s="79">
        <f>IF(AB489="","",IF(AH489=1,IF(Y489="⚠️ Delivery after install date","Delivery after install date: "&amp;B489,"Order late — install at risk: "&amp;B489),IF(AD489=1,IF(AB489=1,"Decision overdue: ","Decide: ")&amp;B489,"Order: "&amp;B489&amp;IF(N489="",""," from "&amp;N489))))</f>
        <v/>
      </c>
      <c r="AD489" s="79">
        <f>IF(AND(B489&lt;&gt;"",K489="",U489&lt;&gt;"Yes",X489&lt;&gt;"Yes"),1,0)</f>
        <v/>
      </c>
      <c r="AE489" s="79">
        <f>IF(AND(AD489=1,T489&lt;&gt;""),IF(T489&lt;AsOf,1,0),0)</f>
        <v/>
      </c>
      <c r="AF489" s="79">
        <f>IF(AND(AD489=1,T489&lt;&gt;""),IF(AND(T489&gt;=AsOf,T489&lt;=AsOf+AlertDays),1,0),0)</f>
        <v/>
      </c>
      <c r="AG489" s="79">
        <f>IF(Y489="Order now",1,0)</f>
        <v/>
      </c>
      <c r="AH489" s="79">
        <f>IF(OR(Y489="⚠️ Order late — install at risk",Y489="⚠️ Delivery after install date"),1,0)</f>
        <v/>
      </c>
      <c r="AI489" s="79">
        <f>IF(AND(B489&lt;&gt;"",K489&lt;&gt;"",U489&lt;&gt;"Yes",X489&lt;&gt;"Yes"),1,0)</f>
        <v/>
      </c>
      <c r="AJ489" s="79">
        <f>IF(Y489="⚠️ Order late — install at risk",1,0)</f>
        <v/>
      </c>
    </row>
    <row r="490" ht="20" customHeight="1">
      <c r="B490" s="72" t="n"/>
      <c r="C490" s="72" t="n"/>
      <c r="D490" s="72" t="n"/>
      <c r="E490" s="72" t="n"/>
      <c r="F490" s="73" t="n"/>
      <c r="G490" s="72" t="n"/>
      <c r="H490" s="73" t="n"/>
      <c r="I490" s="72" t="n"/>
      <c r="J490" s="73" t="n"/>
      <c r="K490" s="74" t="n"/>
      <c r="L490" s="75">
        <f>IF(K490="A",F490,IF(K490="B",H490,IF(K490="C",J490,"")))</f>
        <v/>
      </c>
      <c r="M490" s="72" t="n"/>
      <c r="N490" s="72" t="n"/>
      <c r="O490" s="89" t="n"/>
      <c r="P490" s="89" t="n"/>
      <c r="Q490" s="109" t="n"/>
      <c r="R490" s="120">
        <f>IF(B490="","",IF(Q490&lt;&gt;"",Q490,IF(P490="","",IFERROR(INDEX('Timeline'!$J$7:$J$1006,MATCH(P490,'Timeline'!$B$7:$B$1006,0)),""))))</f>
        <v/>
      </c>
      <c r="S490" s="126">
        <f>IF(R490="","",R490-IF(O490="",0,O490)-OrderBuf)</f>
        <v/>
      </c>
      <c r="T490" s="126">
        <f>IF(S490="","",S490-DecideBuf)</f>
        <v/>
      </c>
      <c r="U490" s="74" t="n"/>
      <c r="V490" s="109" t="n"/>
      <c r="W490" s="109" t="n"/>
      <c r="X490" s="74" t="n"/>
      <c r="Y490" s="116">
        <f>IF(B490="","",IF(X490="Yes","Delivered",IF(U490="Yes",IF(AND(W490&lt;&gt;"",R490&lt;&gt;""),IF(W490&gt;R490,"⚠️ Delivery after install date","Ordered"),"Ordered"),IF(K490="",IF(T490="","Waiting for decision",IF(T490&lt;=AsOf+AlertDays,"Decide now","Waiting for decision")),IF(S490="","Selected",IF(AsOf&gt;S490,"⚠️ Order late — install at risk",IF(S490&lt;=AsOf+AlertDays,"Order now","Selected")))))))</f>
        <v/>
      </c>
      <c r="Z490" s="79">
        <f>IF(B490="","",IF(OR(AH490=1,AE490=1),2,IF(OR(AG490=1,AF490=1),1,IF(OR(Y490="Ordered",Y490="Delivered"),0,""))))</f>
        <v/>
      </c>
      <c r="AA490" s="112">
        <f>IF(B490="","",IF(AH490=1,IF(Y490="⚠️ Delivery after install date",R490,S490),IF(AD490=1,T490,IF(AI490=1,S490,""))))</f>
        <v/>
      </c>
      <c r="AB490" s="79">
        <f>IF(AA490="","",IF(AH490=1,1,IF(AA490="","",IF(AA490&lt;AsOf,1,IF(AA490&lt;=AsOf+AlertDays,2,IF(AA490&lt;=AsOf+2*AlertDays,3,""))))))</f>
        <v/>
      </c>
      <c r="AC490" s="79">
        <f>IF(AB490="","",IF(AH490=1,IF(Y490="⚠️ Delivery after install date","Delivery after install date: "&amp;B490,"Order late — install at risk: "&amp;B490),IF(AD490=1,IF(AB490=1,"Decision overdue: ","Decide: ")&amp;B490,"Order: "&amp;B490&amp;IF(N490="",""," from "&amp;N490))))</f>
        <v/>
      </c>
      <c r="AD490" s="79">
        <f>IF(AND(B490&lt;&gt;"",K490="",U490&lt;&gt;"Yes",X490&lt;&gt;"Yes"),1,0)</f>
        <v/>
      </c>
      <c r="AE490" s="79">
        <f>IF(AND(AD490=1,T490&lt;&gt;""),IF(T490&lt;AsOf,1,0),0)</f>
        <v/>
      </c>
      <c r="AF490" s="79">
        <f>IF(AND(AD490=1,T490&lt;&gt;""),IF(AND(T490&gt;=AsOf,T490&lt;=AsOf+AlertDays),1,0),0)</f>
        <v/>
      </c>
      <c r="AG490" s="79">
        <f>IF(Y490="Order now",1,0)</f>
        <v/>
      </c>
      <c r="AH490" s="79">
        <f>IF(OR(Y490="⚠️ Order late — install at risk",Y490="⚠️ Delivery after install date"),1,0)</f>
        <v/>
      </c>
      <c r="AI490" s="79">
        <f>IF(AND(B490&lt;&gt;"",K490&lt;&gt;"",U490&lt;&gt;"Yes",X490&lt;&gt;"Yes"),1,0)</f>
        <v/>
      </c>
      <c r="AJ490" s="79">
        <f>IF(Y490="⚠️ Order late — install at risk",1,0)</f>
        <v/>
      </c>
    </row>
    <row r="491" ht="20" customHeight="1">
      <c r="B491" s="72" t="n"/>
      <c r="C491" s="72" t="n"/>
      <c r="D491" s="72" t="n"/>
      <c r="E491" s="72" t="n"/>
      <c r="F491" s="73" t="n"/>
      <c r="G491" s="72" t="n"/>
      <c r="H491" s="73" t="n"/>
      <c r="I491" s="72" t="n"/>
      <c r="J491" s="73" t="n"/>
      <c r="K491" s="74" t="n"/>
      <c r="L491" s="75">
        <f>IF(K491="A",F491,IF(K491="B",H491,IF(K491="C",J491,"")))</f>
        <v/>
      </c>
      <c r="M491" s="72" t="n"/>
      <c r="N491" s="72" t="n"/>
      <c r="O491" s="89" t="n"/>
      <c r="P491" s="89" t="n"/>
      <c r="Q491" s="109" t="n"/>
      <c r="R491" s="120">
        <f>IF(B491="","",IF(Q491&lt;&gt;"",Q491,IF(P491="","",IFERROR(INDEX('Timeline'!$J$7:$J$1006,MATCH(P491,'Timeline'!$B$7:$B$1006,0)),""))))</f>
        <v/>
      </c>
      <c r="S491" s="126">
        <f>IF(R491="","",R491-IF(O491="",0,O491)-OrderBuf)</f>
        <v/>
      </c>
      <c r="T491" s="126">
        <f>IF(S491="","",S491-DecideBuf)</f>
        <v/>
      </c>
      <c r="U491" s="74" t="n"/>
      <c r="V491" s="109" t="n"/>
      <c r="W491" s="109" t="n"/>
      <c r="X491" s="74" t="n"/>
      <c r="Y491" s="116">
        <f>IF(B491="","",IF(X491="Yes","Delivered",IF(U491="Yes",IF(AND(W491&lt;&gt;"",R491&lt;&gt;""),IF(W491&gt;R491,"⚠️ Delivery after install date","Ordered"),"Ordered"),IF(K491="",IF(T491="","Waiting for decision",IF(T491&lt;=AsOf+AlertDays,"Decide now","Waiting for decision")),IF(S491="","Selected",IF(AsOf&gt;S491,"⚠️ Order late — install at risk",IF(S491&lt;=AsOf+AlertDays,"Order now","Selected")))))))</f>
        <v/>
      </c>
      <c r="Z491" s="79">
        <f>IF(B491="","",IF(OR(AH491=1,AE491=1),2,IF(OR(AG491=1,AF491=1),1,IF(OR(Y491="Ordered",Y491="Delivered"),0,""))))</f>
        <v/>
      </c>
      <c r="AA491" s="112">
        <f>IF(B491="","",IF(AH491=1,IF(Y491="⚠️ Delivery after install date",R491,S491),IF(AD491=1,T491,IF(AI491=1,S491,""))))</f>
        <v/>
      </c>
      <c r="AB491" s="79">
        <f>IF(AA491="","",IF(AH491=1,1,IF(AA491="","",IF(AA491&lt;AsOf,1,IF(AA491&lt;=AsOf+AlertDays,2,IF(AA491&lt;=AsOf+2*AlertDays,3,""))))))</f>
        <v/>
      </c>
      <c r="AC491" s="79">
        <f>IF(AB491="","",IF(AH491=1,IF(Y491="⚠️ Delivery after install date","Delivery after install date: "&amp;B491,"Order late — install at risk: "&amp;B491),IF(AD491=1,IF(AB491=1,"Decision overdue: ","Decide: ")&amp;B491,"Order: "&amp;B491&amp;IF(N491="",""," from "&amp;N491))))</f>
        <v/>
      </c>
      <c r="AD491" s="79">
        <f>IF(AND(B491&lt;&gt;"",K491="",U491&lt;&gt;"Yes",X491&lt;&gt;"Yes"),1,0)</f>
        <v/>
      </c>
      <c r="AE491" s="79">
        <f>IF(AND(AD491=1,T491&lt;&gt;""),IF(T491&lt;AsOf,1,0),0)</f>
        <v/>
      </c>
      <c r="AF491" s="79">
        <f>IF(AND(AD491=1,T491&lt;&gt;""),IF(AND(T491&gt;=AsOf,T491&lt;=AsOf+AlertDays),1,0),0)</f>
        <v/>
      </c>
      <c r="AG491" s="79">
        <f>IF(Y491="Order now",1,0)</f>
        <v/>
      </c>
      <c r="AH491" s="79">
        <f>IF(OR(Y491="⚠️ Order late — install at risk",Y491="⚠️ Delivery after install date"),1,0)</f>
        <v/>
      </c>
      <c r="AI491" s="79">
        <f>IF(AND(B491&lt;&gt;"",K491&lt;&gt;"",U491&lt;&gt;"Yes",X491&lt;&gt;"Yes"),1,0)</f>
        <v/>
      </c>
      <c r="AJ491" s="79">
        <f>IF(Y491="⚠️ Order late — install at risk",1,0)</f>
        <v/>
      </c>
    </row>
    <row r="492" ht="20" customHeight="1">
      <c r="B492" s="72" t="n"/>
      <c r="C492" s="72" t="n"/>
      <c r="D492" s="72" t="n"/>
      <c r="E492" s="72" t="n"/>
      <c r="F492" s="73" t="n"/>
      <c r="G492" s="72" t="n"/>
      <c r="H492" s="73" t="n"/>
      <c r="I492" s="72" t="n"/>
      <c r="J492" s="73" t="n"/>
      <c r="K492" s="74" t="n"/>
      <c r="L492" s="75">
        <f>IF(K492="A",F492,IF(K492="B",H492,IF(K492="C",J492,"")))</f>
        <v/>
      </c>
      <c r="M492" s="72" t="n"/>
      <c r="N492" s="72" t="n"/>
      <c r="O492" s="89" t="n"/>
      <c r="P492" s="89" t="n"/>
      <c r="Q492" s="109" t="n"/>
      <c r="R492" s="120">
        <f>IF(B492="","",IF(Q492&lt;&gt;"",Q492,IF(P492="","",IFERROR(INDEX('Timeline'!$J$7:$J$1006,MATCH(P492,'Timeline'!$B$7:$B$1006,0)),""))))</f>
        <v/>
      </c>
      <c r="S492" s="126">
        <f>IF(R492="","",R492-IF(O492="",0,O492)-OrderBuf)</f>
        <v/>
      </c>
      <c r="T492" s="126">
        <f>IF(S492="","",S492-DecideBuf)</f>
        <v/>
      </c>
      <c r="U492" s="74" t="n"/>
      <c r="V492" s="109" t="n"/>
      <c r="W492" s="109" t="n"/>
      <c r="X492" s="74" t="n"/>
      <c r="Y492" s="116">
        <f>IF(B492="","",IF(X492="Yes","Delivered",IF(U492="Yes",IF(AND(W492&lt;&gt;"",R492&lt;&gt;""),IF(W492&gt;R492,"⚠️ Delivery after install date","Ordered"),"Ordered"),IF(K492="",IF(T492="","Waiting for decision",IF(T492&lt;=AsOf+AlertDays,"Decide now","Waiting for decision")),IF(S492="","Selected",IF(AsOf&gt;S492,"⚠️ Order late — install at risk",IF(S492&lt;=AsOf+AlertDays,"Order now","Selected")))))))</f>
        <v/>
      </c>
      <c r="Z492" s="79">
        <f>IF(B492="","",IF(OR(AH492=1,AE492=1),2,IF(OR(AG492=1,AF492=1),1,IF(OR(Y492="Ordered",Y492="Delivered"),0,""))))</f>
        <v/>
      </c>
      <c r="AA492" s="112">
        <f>IF(B492="","",IF(AH492=1,IF(Y492="⚠️ Delivery after install date",R492,S492),IF(AD492=1,T492,IF(AI492=1,S492,""))))</f>
        <v/>
      </c>
      <c r="AB492" s="79">
        <f>IF(AA492="","",IF(AH492=1,1,IF(AA492="","",IF(AA492&lt;AsOf,1,IF(AA492&lt;=AsOf+AlertDays,2,IF(AA492&lt;=AsOf+2*AlertDays,3,""))))))</f>
        <v/>
      </c>
      <c r="AC492" s="79">
        <f>IF(AB492="","",IF(AH492=1,IF(Y492="⚠️ Delivery after install date","Delivery after install date: "&amp;B492,"Order late — install at risk: "&amp;B492),IF(AD492=1,IF(AB492=1,"Decision overdue: ","Decide: ")&amp;B492,"Order: "&amp;B492&amp;IF(N492="",""," from "&amp;N492))))</f>
        <v/>
      </c>
      <c r="AD492" s="79">
        <f>IF(AND(B492&lt;&gt;"",K492="",U492&lt;&gt;"Yes",X492&lt;&gt;"Yes"),1,0)</f>
        <v/>
      </c>
      <c r="AE492" s="79">
        <f>IF(AND(AD492=1,T492&lt;&gt;""),IF(T492&lt;AsOf,1,0),0)</f>
        <v/>
      </c>
      <c r="AF492" s="79">
        <f>IF(AND(AD492=1,T492&lt;&gt;""),IF(AND(T492&gt;=AsOf,T492&lt;=AsOf+AlertDays),1,0),0)</f>
        <v/>
      </c>
      <c r="AG492" s="79">
        <f>IF(Y492="Order now",1,0)</f>
        <v/>
      </c>
      <c r="AH492" s="79">
        <f>IF(OR(Y492="⚠️ Order late — install at risk",Y492="⚠️ Delivery after install date"),1,0)</f>
        <v/>
      </c>
      <c r="AI492" s="79">
        <f>IF(AND(B492&lt;&gt;"",K492&lt;&gt;"",U492&lt;&gt;"Yes",X492&lt;&gt;"Yes"),1,0)</f>
        <v/>
      </c>
      <c r="AJ492" s="79">
        <f>IF(Y492="⚠️ Order late — install at risk",1,0)</f>
        <v/>
      </c>
    </row>
    <row r="493" ht="20" customHeight="1">
      <c r="B493" s="72" t="n"/>
      <c r="C493" s="72" t="n"/>
      <c r="D493" s="72" t="n"/>
      <c r="E493" s="72" t="n"/>
      <c r="F493" s="73" t="n"/>
      <c r="G493" s="72" t="n"/>
      <c r="H493" s="73" t="n"/>
      <c r="I493" s="72" t="n"/>
      <c r="J493" s="73" t="n"/>
      <c r="K493" s="74" t="n"/>
      <c r="L493" s="75">
        <f>IF(K493="A",F493,IF(K493="B",H493,IF(K493="C",J493,"")))</f>
        <v/>
      </c>
      <c r="M493" s="72" t="n"/>
      <c r="N493" s="72" t="n"/>
      <c r="O493" s="89" t="n"/>
      <c r="P493" s="89" t="n"/>
      <c r="Q493" s="109" t="n"/>
      <c r="R493" s="120">
        <f>IF(B493="","",IF(Q493&lt;&gt;"",Q493,IF(P493="","",IFERROR(INDEX('Timeline'!$J$7:$J$1006,MATCH(P493,'Timeline'!$B$7:$B$1006,0)),""))))</f>
        <v/>
      </c>
      <c r="S493" s="126">
        <f>IF(R493="","",R493-IF(O493="",0,O493)-OrderBuf)</f>
        <v/>
      </c>
      <c r="T493" s="126">
        <f>IF(S493="","",S493-DecideBuf)</f>
        <v/>
      </c>
      <c r="U493" s="74" t="n"/>
      <c r="V493" s="109" t="n"/>
      <c r="W493" s="109" t="n"/>
      <c r="X493" s="74" t="n"/>
      <c r="Y493" s="116">
        <f>IF(B493="","",IF(X493="Yes","Delivered",IF(U493="Yes",IF(AND(W493&lt;&gt;"",R493&lt;&gt;""),IF(W493&gt;R493,"⚠️ Delivery after install date","Ordered"),"Ordered"),IF(K493="",IF(T493="","Waiting for decision",IF(T493&lt;=AsOf+AlertDays,"Decide now","Waiting for decision")),IF(S493="","Selected",IF(AsOf&gt;S493,"⚠️ Order late — install at risk",IF(S493&lt;=AsOf+AlertDays,"Order now","Selected")))))))</f>
        <v/>
      </c>
      <c r="Z493" s="79">
        <f>IF(B493="","",IF(OR(AH493=1,AE493=1),2,IF(OR(AG493=1,AF493=1),1,IF(OR(Y493="Ordered",Y493="Delivered"),0,""))))</f>
        <v/>
      </c>
      <c r="AA493" s="112">
        <f>IF(B493="","",IF(AH493=1,IF(Y493="⚠️ Delivery after install date",R493,S493),IF(AD493=1,T493,IF(AI493=1,S493,""))))</f>
        <v/>
      </c>
      <c r="AB493" s="79">
        <f>IF(AA493="","",IF(AH493=1,1,IF(AA493="","",IF(AA493&lt;AsOf,1,IF(AA493&lt;=AsOf+AlertDays,2,IF(AA493&lt;=AsOf+2*AlertDays,3,""))))))</f>
        <v/>
      </c>
      <c r="AC493" s="79">
        <f>IF(AB493="","",IF(AH493=1,IF(Y493="⚠️ Delivery after install date","Delivery after install date: "&amp;B493,"Order late — install at risk: "&amp;B493),IF(AD493=1,IF(AB493=1,"Decision overdue: ","Decide: ")&amp;B493,"Order: "&amp;B493&amp;IF(N493="",""," from "&amp;N493))))</f>
        <v/>
      </c>
      <c r="AD493" s="79">
        <f>IF(AND(B493&lt;&gt;"",K493="",U493&lt;&gt;"Yes",X493&lt;&gt;"Yes"),1,0)</f>
        <v/>
      </c>
      <c r="AE493" s="79">
        <f>IF(AND(AD493=1,T493&lt;&gt;""),IF(T493&lt;AsOf,1,0),0)</f>
        <v/>
      </c>
      <c r="AF493" s="79">
        <f>IF(AND(AD493=1,T493&lt;&gt;""),IF(AND(T493&gt;=AsOf,T493&lt;=AsOf+AlertDays),1,0),0)</f>
        <v/>
      </c>
      <c r="AG493" s="79">
        <f>IF(Y493="Order now",1,0)</f>
        <v/>
      </c>
      <c r="AH493" s="79">
        <f>IF(OR(Y493="⚠️ Order late — install at risk",Y493="⚠️ Delivery after install date"),1,0)</f>
        <v/>
      </c>
      <c r="AI493" s="79">
        <f>IF(AND(B493&lt;&gt;"",K493&lt;&gt;"",U493&lt;&gt;"Yes",X493&lt;&gt;"Yes"),1,0)</f>
        <v/>
      </c>
      <c r="AJ493" s="79">
        <f>IF(Y493="⚠️ Order late — install at risk",1,0)</f>
        <v/>
      </c>
    </row>
    <row r="494" ht="20" customHeight="1">
      <c r="B494" s="72" t="n"/>
      <c r="C494" s="72" t="n"/>
      <c r="D494" s="72" t="n"/>
      <c r="E494" s="72" t="n"/>
      <c r="F494" s="73" t="n"/>
      <c r="G494" s="72" t="n"/>
      <c r="H494" s="73" t="n"/>
      <c r="I494" s="72" t="n"/>
      <c r="J494" s="73" t="n"/>
      <c r="K494" s="74" t="n"/>
      <c r="L494" s="75">
        <f>IF(K494="A",F494,IF(K494="B",H494,IF(K494="C",J494,"")))</f>
        <v/>
      </c>
      <c r="M494" s="72" t="n"/>
      <c r="N494" s="72" t="n"/>
      <c r="O494" s="89" t="n"/>
      <c r="P494" s="89" t="n"/>
      <c r="Q494" s="109" t="n"/>
      <c r="R494" s="120">
        <f>IF(B494="","",IF(Q494&lt;&gt;"",Q494,IF(P494="","",IFERROR(INDEX('Timeline'!$J$7:$J$1006,MATCH(P494,'Timeline'!$B$7:$B$1006,0)),""))))</f>
        <v/>
      </c>
      <c r="S494" s="126">
        <f>IF(R494="","",R494-IF(O494="",0,O494)-OrderBuf)</f>
        <v/>
      </c>
      <c r="T494" s="126">
        <f>IF(S494="","",S494-DecideBuf)</f>
        <v/>
      </c>
      <c r="U494" s="74" t="n"/>
      <c r="V494" s="109" t="n"/>
      <c r="W494" s="109" t="n"/>
      <c r="X494" s="74" t="n"/>
      <c r="Y494" s="116">
        <f>IF(B494="","",IF(X494="Yes","Delivered",IF(U494="Yes",IF(AND(W494&lt;&gt;"",R494&lt;&gt;""),IF(W494&gt;R494,"⚠️ Delivery after install date","Ordered"),"Ordered"),IF(K494="",IF(T494="","Waiting for decision",IF(T494&lt;=AsOf+AlertDays,"Decide now","Waiting for decision")),IF(S494="","Selected",IF(AsOf&gt;S494,"⚠️ Order late — install at risk",IF(S494&lt;=AsOf+AlertDays,"Order now","Selected")))))))</f>
        <v/>
      </c>
      <c r="Z494" s="79">
        <f>IF(B494="","",IF(OR(AH494=1,AE494=1),2,IF(OR(AG494=1,AF494=1),1,IF(OR(Y494="Ordered",Y494="Delivered"),0,""))))</f>
        <v/>
      </c>
      <c r="AA494" s="112">
        <f>IF(B494="","",IF(AH494=1,IF(Y494="⚠️ Delivery after install date",R494,S494),IF(AD494=1,T494,IF(AI494=1,S494,""))))</f>
        <v/>
      </c>
      <c r="AB494" s="79">
        <f>IF(AA494="","",IF(AH494=1,1,IF(AA494="","",IF(AA494&lt;AsOf,1,IF(AA494&lt;=AsOf+AlertDays,2,IF(AA494&lt;=AsOf+2*AlertDays,3,""))))))</f>
        <v/>
      </c>
      <c r="AC494" s="79">
        <f>IF(AB494="","",IF(AH494=1,IF(Y494="⚠️ Delivery after install date","Delivery after install date: "&amp;B494,"Order late — install at risk: "&amp;B494),IF(AD494=1,IF(AB494=1,"Decision overdue: ","Decide: ")&amp;B494,"Order: "&amp;B494&amp;IF(N494="",""," from "&amp;N494))))</f>
        <v/>
      </c>
      <c r="AD494" s="79">
        <f>IF(AND(B494&lt;&gt;"",K494="",U494&lt;&gt;"Yes",X494&lt;&gt;"Yes"),1,0)</f>
        <v/>
      </c>
      <c r="AE494" s="79">
        <f>IF(AND(AD494=1,T494&lt;&gt;""),IF(T494&lt;AsOf,1,0),0)</f>
        <v/>
      </c>
      <c r="AF494" s="79">
        <f>IF(AND(AD494=1,T494&lt;&gt;""),IF(AND(T494&gt;=AsOf,T494&lt;=AsOf+AlertDays),1,0),0)</f>
        <v/>
      </c>
      <c r="AG494" s="79">
        <f>IF(Y494="Order now",1,0)</f>
        <v/>
      </c>
      <c r="AH494" s="79">
        <f>IF(OR(Y494="⚠️ Order late — install at risk",Y494="⚠️ Delivery after install date"),1,0)</f>
        <v/>
      </c>
      <c r="AI494" s="79">
        <f>IF(AND(B494&lt;&gt;"",K494&lt;&gt;"",U494&lt;&gt;"Yes",X494&lt;&gt;"Yes"),1,0)</f>
        <v/>
      </c>
      <c r="AJ494" s="79">
        <f>IF(Y494="⚠️ Order late — install at risk",1,0)</f>
        <v/>
      </c>
    </row>
    <row r="495" ht="20" customHeight="1">
      <c r="B495" s="72" t="n"/>
      <c r="C495" s="72" t="n"/>
      <c r="D495" s="72" t="n"/>
      <c r="E495" s="72" t="n"/>
      <c r="F495" s="73" t="n"/>
      <c r="G495" s="72" t="n"/>
      <c r="H495" s="73" t="n"/>
      <c r="I495" s="72" t="n"/>
      <c r="J495" s="73" t="n"/>
      <c r="K495" s="74" t="n"/>
      <c r="L495" s="75">
        <f>IF(K495="A",F495,IF(K495="B",H495,IF(K495="C",J495,"")))</f>
        <v/>
      </c>
      <c r="M495" s="72" t="n"/>
      <c r="N495" s="72" t="n"/>
      <c r="O495" s="89" t="n"/>
      <c r="P495" s="89" t="n"/>
      <c r="Q495" s="109" t="n"/>
      <c r="R495" s="120">
        <f>IF(B495="","",IF(Q495&lt;&gt;"",Q495,IF(P495="","",IFERROR(INDEX('Timeline'!$J$7:$J$1006,MATCH(P495,'Timeline'!$B$7:$B$1006,0)),""))))</f>
        <v/>
      </c>
      <c r="S495" s="126">
        <f>IF(R495="","",R495-IF(O495="",0,O495)-OrderBuf)</f>
        <v/>
      </c>
      <c r="T495" s="126">
        <f>IF(S495="","",S495-DecideBuf)</f>
        <v/>
      </c>
      <c r="U495" s="74" t="n"/>
      <c r="V495" s="109" t="n"/>
      <c r="W495" s="109" t="n"/>
      <c r="X495" s="74" t="n"/>
      <c r="Y495" s="116">
        <f>IF(B495="","",IF(X495="Yes","Delivered",IF(U495="Yes",IF(AND(W495&lt;&gt;"",R495&lt;&gt;""),IF(W495&gt;R495,"⚠️ Delivery after install date","Ordered"),"Ordered"),IF(K495="",IF(T495="","Waiting for decision",IF(T495&lt;=AsOf+AlertDays,"Decide now","Waiting for decision")),IF(S495="","Selected",IF(AsOf&gt;S495,"⚠️ Order late — install at risk",IF(S495&lt;=AsOf+AlertDays,"Order now","Selected")))))))</f>
        <v/>
      </c>
      <c r="Z495" s="79">
        <f>IF(B495="","",IF(OR(AH495=1,AE495=1),2,IF(OR(AG495=1,AF495=1),1,IF(OR(Y495="Ordered",Y495="Delivered"),0,""))))</f>
        <v/>
      </c>
      <c r="AA495" s="112">
        <f>IF(B495="","",IF(AH495=1,IF(Y495="⚠️ Delivery after install date",R495,S495),IF(AD495=1,T495,IF(AI495=1,S495,""))))</f>
        <v/>
      </c>
      <c r="AB495" s="79">
        <f>IF(AA495="","",IF(AH495=1,1,IF(AA495="","",IF(AA495&lt;AsOf,1,IF(AA495&lt;=AsOf+AlertDays,2,IF(AA495&lt;=AsOf+2*AlertDays,3,""))))))</f>
        <v/>
      </c>
      <c r="AC495" s="79">
        <f>IF(AB495="","",IF(AH495=1,IF(Y495="⚠️ Delivery after install date","Delivery after install date: "&amp;B495,"Order late — install at risk: "&amp;B495),IF(AD495=1,IF(AB495=1,"Decision overdue: ","Decide: ")&amp;B495,"Order: "&amp;B495&amp;IF(N495="",""," from "&amp;N495))))</f>
        <v/>
      </c>
      <c r="AD495" s="79">
        <f>IF(AND(B495&lt;&gt;"",K495="",U495&lt;&gt;"Yes",X495&lt;&gt;"Yes"),1,0)</f>
        <v/>
      </c>
      <c r="AE495" s="79">
        <f>IF(AND(AD495=1,T495&lt;&gt;""),IF(T495&lt;AsOf,1,0),0)</f>
        <v/>
      </c>
      <c r="AF495" s="79">
        <f>IF(AND(AD495=1,T495&lt;&gt;""),IF(AND(T495&gt;=AsOf,T495&lt;=AsOf+AlertDays),1,0),0)</f>
        <v/>
      </c>
      <c r="AG495" s="79">
        <f>IF(Y495="Order now",1,0)</f>
        <v/>
      </c>
      <c r="AH495" s="79">
        <f>IF(OR(Y495="⚠️ Order late — install at risk",Y495="⚠️ Delivery after install date"),1,0)</f>
        <v/>
      </c>
      <c r="AI495" s="79">
        <f>IF(AND(B495&lt;&gt;"",K495&lt;&gt;"",U495&lt;&gt;"Yes",X495&lt;&gt;"Yes"),1,0)</f>
        <v/>
      </c>
      <c r="AJ495" s="79">
        <f>IF(Y495="⚠️ Order late — install at risk",1,0)</f>
        <v/>
      </c>
    </row>
    <row r="496" ht="20" customHeight="1">
      <c r="B496" s="72" t="n"/>
      <c r="C496" s="72" t="n"/>
      <c r="D496" s="72" t="n"/>
      <c r="E496" s="72" t="n"/>
      <c r="F496" s="73" t="n"/>
      <c r="G496" s="72" t="n"/>
      <c r="H496" s="73" t="n"/>
      <c r="I496" s="72" t="n"/>
      <c r="J496" s="73" t="n"/>
      <c r="K496" s="74" t="n"/>
      <c r="L496" s="75">
        <f>IF(K496="A",F496,IF(K496="B",H496,IF(K496="C",J496,"")))</f>
        <v/>
      </c>
      <c r="M496" s="72" t="n"/>
      <c r="N496" s="72" t="n"/>
      <c r="O496" s="89" t="n"/>
      <c r="P496" s="89" t="n"/>
      <c r="Q496" s="109" t="n"/>
      <c r="R496" s="120">
        <f>IF(B496="","",IF(Q496&lt;&gt;"",Q496,IF(P496="","",IFERROR(INDEX('Timeline'!$J$7:$J$1006,MATCH(P496,'Timeline'!$B$7:$B$1006,0)),""))))</f>
        <v/>
      </c>
      <c r="S496" s="126">
        <f>IF(R496="","",R496-IF(O496="",0,O496)-OrderBuf)</f>
        <v/>
      </c>
      <c r="T496" s="126">
        <f>IF(S496="","",S496-DecideBuf)</f>
        <v/>
      </c>
      <c r="U496" s="74" t="n"/>
      <c r="V496" s="109" t="n"/>
      <c r="W496" s="109" t="n"/>
      <c r="X496" s="74" t="n"/>
      <c r="Y496" s="116">
        <f>IF(B496="","",IF(X496="Yes","Delivered",IF(U496="Yes",IF(AND(W496&lt;&gt;"",R496&lt;&gt;""),IF(W496&gt;R496,"⚠️ Delivery after install date","Ordered"),"Ordered"),IF(K496="",IF(T496="","Waiting for decision",IF(T496&lt;=AsOf+AlertDays,"Decide now","Waiting for decision")),IF(S496="","Selected",IF(AsOf&gt;S496,"⚠️ Order late — install at risk",IF(S496&lt;=AsOf+AlertDays,"Order now","Selected")))))))</f>
        <v/>
      </c>
      <c r="Z496" s="79">
        <f>IF(B496="","",IF(OR(AH496=1,AE496=1),2,IF(OR(AG496=1,AF496=1),1,IF(OR(Y496="Ordered",Y496="Delivered"),0,""))))</f>
        <v/>
      </c>
      <c r="AA496" s="112">
        <f>IF(B496="","",IF(AH496=1,IF(Y496="⚠️ Delivery after install date",R496,S496),IF(AD496=1,T496,IF(AI496=1,S496,""))))</f>
        <v/>
      </c>
      <c r="AB496" s="79">
        <f>IF(AA496="","",IF(AH496=1,1,IF(AA496="","",IF(AA496&lt;AsOf,1,IF(AA496&lt;=AsOf+AlertDays,2,IF(AA496&lt;=AsOf+2*AlertDays,3,""))))))</f>
        <v/>
      </c>
      <c r="AC496" s="79">
        <f>IF(AB496="","",IF(AH496=1,IF(Y496="⚠️ Delivery after install date","Delivery after install date: "&amp;B496,"Order late — install at risk: "&amp;B496),IF(AD496=1,IF(AB496=1,"Decision overdue: ","Decide: ")&amp;B496,"Order: "&amp;B496&amp;IF(N496="",""," from "&amp;N496))))</f>
        <v/>
      </c>
      <c r="AD496" s="79">
        <f>IF(AND(B496&lt;&gt;"",K496="",U496&lt;&gt;"Yes",X496&lt;&gt;"Yes"),1,0)</f>
        <v/>
      </c>
      <c r="AE496" s="79">
        <f>IF(AND(AD496=1,T496&lt;&gt;""),IF(T496&lt;AsOf,1,0),0)</f>
        <v/>
      </c>
      <c r="AF496" s="79">
        <f>IF(AND(AD496=1,T496&lt;&gt;""),IF(AND(T496&gt;=AsOf,T496&lt;=AsOf+AlertDays),1,0),0)</f>
        <v/>
      </c>
      <c r="AG496" s="79">
        <f>IF(Y496="Order now",1,0)</f>
        <v/>
      </c>
      <c r="AH496" s="79">
        <f>IF(OR(Y496="⚠️ Order late — install at risk",Y496="⚠️ Delivery after install date"),1,0)</f>
        <v/>
      </c>
      <c r="AI496" s="79">
        <f>IF(AND(B496&lt;&gt;"",K496&lt;&gt;"",U496&lt;&gt;"Yes",X496&lt;&gt;"Yes"),1,0)</f>
        <v/>
      </c>
      <c r="AJ496" s="79">
        <f>IF(Y496="⚠️ Order late — install at risk",1,0)</f>
        <v/>
      </c>
    </row>
    <row r="497" ht="20" customHeight="1">
      <c r="B497" s="72" t="n"/>
      <c r="C497" s="72" t="n"/>
      <c r="D497" s="72" t="n"/>
      <c r="E497" s="72" t="n"/>
      <c r="F497" s="73" t="n"/>
      <c r="G497" s="72" t="n"/>
      <c r="H497" s="73" t="n"/>
      <c r="I497" s="72" t="n"/>
      <c r="J497" s="73" t="n"/>
      <c r="K497" s="74" t="n"/>
      <c r="L497" s="75">
        <f>IF(K497="A",F497,IF(K497="B",H497,IF(K497="C",J497,"")))</f>
        <v/>
      </c>
      <c r="M497" s="72" t="n"/>
      <c r="N497" s="72" t="n"/>
      <c r="O497" s="89" t="n"/>
      <c r="P497" s="89" t="n"/>
      <c r="Q497" s="109" t="n"/>
      <c r="R497" s="120">
        <f>IF(B497="","",IF(Q497&lt;&gt;"",Q497,IF(P497="","",IFERROR(INDEX('Timeline'!$J$7:$J$1006,MATCH(P497,'Timeline'!$B$7:$B$1006,0)),""))))</f>
        <v/>
      </c>
      <c r="S497" s="126">
        <f>IF(R497="","",R497-IF(O497="",0,O497)-OrderBuf)</f>
        <v/>
      </c>
      <c r="T497" s="126">
        <f>IF(S497="","",S497-DecideBuf)</f>
        <v/>
      </c>
      <c r="U497" s="74" t="n"/>
      <c r="V497" s="109" t="n"/>
      <c r="W497" s="109" t="n"/>
      <c r="X497" s="74" t="n"/>
      <c r="Y497" s="116">
        <f>IF(B497="","",IF(X497="Yes","Delivered",IF(U497="Yes",IF(AND(W497&lt;&gt;"",R497&lt;&gt;""),IF(W497&gt;R497,"⚠️ Delivery after install date","Ordered"),"Ordered"),IF(K497="",IF(T497="","Waiting for decision",IF(T497&lt;=AsOf+AlertDays,"Decide now","Waiting for decision")),IF(S497="","Selected",IF(AsOf&gt;S497,"⚠️ Order late — install at risk",IF(S497&lt;=AsOf+AlertDays,"Order now","Selected")))))))</f>
        <v/>
      </c>
      <c r="Z497" s="79">
        <f>IF(B497="","",IF(OR(AH497=1,AE497=1),2,IF(OR(AG497=1,AF497=1),1,IF(OR(Y497="Ordered",Y497="Delivered"),0,""))))</f>
        <v/>
      </c>
      <c r="AA497" s="112">
        <f>IF(B497="","",IF(AH497=1,IF(Y497="⚠️ Delivery after install date",R497,S497),IF(AD497=1,T497,IF(AI497=1,S497,""))))</f>
        <v/>
      </c>
      <c r="AB497" s="79">
        <f>IF(AA497="","",IF(AH497=1,1,IF(AA497="","",IF(AA497&lt;AsOf,1,IF(AA497&lt;=AsOf+AlertDays,2,IF(AA497&lt;=AsOf+2*AlertDays,3,""))))))</f>
        <v/>
      </c>
      <c r="AC497" s="79">
        <f>IF(AB497="","",IF(AH497=1,IF(Y497="⚠️ Delivery after install date","Delivery after install date: "&amp;B497,"Order late — install at risk: "&amp;B497),IF(AD497=1,IF(AB497=1,"Decision overdue: ","Decide: ")&amp;B497,"Order: "&amp;B497&amp;IF(N497="",""," from "&amp;N497))))</f>
        <v/>
      </c>
      <c r="AD497" s="79">
        <f>IF(AND(B497&lt;&gt;"",K497="",U497&lt;&gt;"Yes",X497&lt;&gt;"Yes"),1,0)</f>
        <v/>
      </c>
      <c r="AE497" s="79">
        <f>IF(AND(AD497=1,T497&lt;&gt;""),IF(T497&lt;AsOf,1,0),0)</f>
        <v/>
      </c>
      <c r="AF497" s="79">
        <f>IF(AND(AD497=1,T497&lt;&gt;""),IF(AND(T497&gt;=AsOf,T497&lt;=AsOf+AlertDays),1,0),0)</f>
        <v/>
      </c>
      <c r="AG497" s="79">
        <f>IF(Y497="Order now",1,0)</f>
        <v/>
      </c>
      <c r="AH497" s="79">
        <f>IF(OR(Y497="⚠️ Order late — install at risk",Y497="⚠️ Delivery after install date"),1,0)</f>
        <v/>
      </c>
      <c r="AI497" s="79">
        <f>IF(AND(B497&lt;&gt;"",K497&lt;&gt;"",U497&lt;&gt;"Yes",X497&lt;&gt;"Yes"),1,0)</f>
        <v/>
      </c>
      <c r="AJ497" s="79">
        <f>IF(Y497="⚠️ Order late — install at risk",1,0)</f>
        <v/>
      </c>
    </row>
    <row r="498" ht="20" customHeight="1">
      <c r="B498" s="72" t="n"/>
      <c r="C498" s="72" t="n"/>
      <c r="D498" s="72" t="n"/>
      <c r="E498" s="72" t="n"/>
      <c r="F498" s="73" t="n"/>
      <c r="G498" s="72" t="n"/>
      <c r="H498" s="73" t="n"/>
      <c r="I498" s="72" t="n"/>
      <c r="J498" s="73" t="n"/>
      <c r="K498" s="74" t="n"/>
      <c r="L498" s="75">
        <f>IF(K498="A",F498,IF(K498="B",H498,IF(K498="C",J498,"")))</f>
        <v/>
      </c>
      <c r="M498" s="72" t="n"/>
      <c r="N498" s="72" t="n"/>
      <c r="O498" s="89" t="n"/>
      <c r="P498" s="89" t="n"/>
      <c r="Q498" s="109" t="n"/>
      <c r="R498" s="120">
        <f>IF(B498="","",IF(Q498&lt;&gt;"",Q498,IF(P498="","",IFERROR(INDEX('Timeline'!$J$7:$J$1006,MATCH(P498,'Timeline'!$B$7:$B$1006,0)),""))))</f>
        <v/>
      </c>
      <c r="S498" s="126">
        <f>IF(R498="","",R498-IF(O498="",0,O498)-OrderBuf)</f>
        <v/>
      </c>
      <c r="T498" s="126">
        <f>IF(S498="","",S498-DecideBuf)</f>
        <v/>
      </c>
      <c r="U498" s="74" t="n"/>
      <c r="V498" s="109" t="n"/>
      <c r="W498" s="109" t="n"/>
      <c r="X498" s="74" t="n"/>
      <c r="Y498" s="116">
        <f>IF(B498="","",IF(X498="Yes","Delivered",IF(U498="Yes",IF(AND(W498&lt;&gt;"",R498&lt;&gt;""),IF(W498&gt;R498,"⚠️ Delivery after install date","Ordered"),"Ordered"),IF(K498="",IF(T498="","Waiting for decision",IF(T498&lt;=AsOf+AlertDays,"Decide now","Waiting for decision")),IF(S498="","Selected",IF(AsOf&gt;S498,"⚠️ Order late — install at risk",IF(S498&lt;=AsOf+AlertDays,"Order now","Selected")))))))</f>
        <v/>
      </c>
      <c r="Z498" s="79">
        <f>IF(B498="","",IF(OR(AH498=1,AE498=1),2,IF(OR(AG498=1,AF498=1),1,IF(OR(Y498="Ordered",Y498="Delivered"),0,""))))</f>
        <v/>
      </c>
      <c r="AA498" s="112">
        <f>IF(B498="","",IF(AH498=1,IF(Y498="⚠️ Delivery after install date",R498,S498),IF(AD498=1,T498,IF(AI498=1,S498,""))))</f>
        <v/>
      </c>
      <c r="AB498" s="79">
        <f>IF(AA498="","",IF(AH498=1,1,IF(AA498="","",IF(AA498&lt;AsOf,1,IF(AA498&lt;=AsOf+AlertDays,2,IF(AA498&lt;=AsOf+2*AlertDays,3,""))))))</f>
        <v/>
      </c>
      <c r="AC498" s="79">
        <f>IF(AB498="","",IF(AH498=1,IF(Y498="⚠️ Delivery after install date","Delivery after install date: "&amp;B498,"Order late — install at risk: "&amp;B498),IF(AD498=1,IF(AB498=1,"Decision overdue: ","Decide: ")&amp;B498,"Order: "&amp;B498&amp;IF(N498="",""," from "&amp;N498))))</f>
        <v/>
      </c>
      <c r="AD498" s="79">
        <f>IF(AND(B498&lt;&gt;"",K498="",U498&lt;&gt;"Yes",X498&lt;&gt;"Yes"),1,0)</f>
        <v/>
      </c>
      <c r="AE498" s="79">
        <f>IF(AND(AD498=1,T498&lt;&gt;""),IF(T498&lt;AsOf,1,0),0)</f>
        <v/>
      </c>
      <c r="AF498" s="79">
        <f>IF(AND(AD498=1,T498&lt;&gt;""),IF(AND(T498&gt;=AsOf,T498&lt;=AsOf+AlertDays),1,0),0)</f>
        <v/>
      </c>
      <c r="AG498" s="79">
        <f>IF(Y498="Order now",1,0)</f>
        <v/>
      </c>
      <c r="AH498" s="79">
        <f>IF(OR(Y498="⚠️ Order late — install at risk",Y498="⚠️ Delivery after install date"),1,0)</f>
        <v/>
      </c>
      <c r="AI498" s="79">
        <f>IF(AND(B498&lt;&gt;"",K498&lt;&gt;"",U498&lt;&gt;"Yes",X498&lt;&gt;"Yes"),1,0)</f>
        <v/>
      </c>
      <c r="AJ498" s="79">
        <f>IF(Y498="⚠️ Order late — install at risk",1,0)</f>
        <v/>
      </c>
    </row>
    <row r="499" ht="20" customHeight="1">
      <c r="B499" s="72" t="n"/>
      <c r="C499" s="72" t="n"/>
      <c r="D499" s="72" t="n"/>
      <c r="E499" s="72" t="n"/>
      <c r="F499" s="73" t="n"/>
      <c r="G499" s="72" t="n"/>
      <c r="H499" s="73" t="n"/>
      <c r="I499" s="72" t="n"/>
      <c r="J499" s="73" t="n"/>
      <c r="K499" s="74" t="n"/>
      <c r="L499" s="75">
        <f>IF(K499="A",F499,IF(K499="B",H499,IF(K499="C",J499,"")))</f>
        <v/>
      </c>
      <c r="M499" s="72" t="n"/>
      <c r="N499" s="72" t="n"/>
      <c r="O499" s="89" t="n"/>
      <c r="P499" s="89" t="n"/>
      <c r="Q499" s="109" t="n"/>
      <c r="R499" s="120">
        <f>IF(B499="","",IF(Q499&lt;&gt;"",Q499,IF(P499="","",IFERROR(INDEX('Timeline'!$J$7:$J$1006,MATCH(P499,'Timeline'!$B$7:$B$1006,0)),""))))</f>
        <v/>
      </c>
      <c r="S499" s="126">
        <f>IF(R499="","",R499-IF(O499="",0,O499)-OrderBuf)</f>
        <v/>
      </c>
      <c r="T499" s="126">
        <f>IF(S499="","",S499-DecideBuf)</f>
        <v/>
      </c>
      <c r="U499" s="74" t="n"/>
      <c r="V499" s="109" t="n"/>
      <c r="W499" s="109" t="n"/>
      <c r="X499" s="74" t="n"/>
      <c r="Y499" s="116">
        <f>IF(B499="","",IF(X499="Yes","Delivered",IF(U499="Yes",IF(AND(W499&lt;&gt;"",R499&lt;&gt;""),IF(W499&gt;R499,"⚠️ Delivery after install date","Ordered"),"Ordered"),IF(K499="",IF(T499="","Waiting for decision",IF(T499&lt;=AsOf+AlertDays,"Decide now","Waiting for decision")),IF(S499="","Selected",IF(AsOf&gt;S499,"⚠️ Order late — install at risk",IF(S499&lt;=AsOf+AlertDays,"Order now","Selected")))))))</f>
        <v/>
      </c>
      <c r="Z499" s="79">
        <f>IF(B499="","",IF(OR(AH499=1,AE499=1),2,IF(OR(AG499=1,AF499=1),1,IF(OR(Y499="Ordered",Y499="Delivered"),0,""))))</f>
        <v/>
      </c>
      <c r="AA499" s="112">
        <f>IF(B499="","",IF(AH499=1,IF(Y499="⚠️ Delivery after install date",R499,S499),IF(AD499=1,T499,IF(AI499=1,S499,""))))</f>
        <v/>
      </c>
      <c r="AB499" s="79">
        <f>IF(AA499="","",IF(AH499=1,1,IF(AA499="","",IF(AA499&lt;AsOf,1,IF(AA499&lt;=AsOf+AlertDays,2,IF(AA499&lt;=AsOf+2*AlertDays,3,""))))))</f>
        <v/>
      </c>
      <c r="AC499" s="79">
        <f>IF(AB499="","",IF(AH499=1,IF(Y499="⚠️ Delivery after install date","Delivery after install date: "&amp;B499,"Order late — install at risk: "&amp;B499),IF(AD499=1,IF(AB499=1,"Decision overdue: ","Decide: ")&amp;B499,"Order: "&amp;B499&amp;IF(N499="",""," from "&amp;N499))))</f>
        <v/>
      </c>
      <c r="AD499" s="79">
        <f>IF(AND(B499&lt;&gt;"",K499="",U499&lt;&gt;"Yes",X499&lt;&gt;"Yes"),1,0)</f>
        <v/>
      </c>
      <c r="AE499" s="79">
        <f>IF(AND(AD499=1,T499&lt;&gt;""),IF(T499&lt;AsOf,1,0),0)</f>
        <v/>
      </c>
      <c r="AF499" s="79">
        <f>IF(AND(AD499=1,T499&lt;&gt;""),IF(AND(T499&gt;=AsOf,T499&lt;=AsOf+AlertDays),1,0),0)</f>
        <v/>
      </c>
      <c r="AG499" s="79">
        <f>IF(Y499="Order now",1,0)</f>
        <v/>
      </c>
      <c r="AH499" s="79">
        <f>IF(OR(Y499="⚠️ Order late — install at risk",Y499="⚠️ Delivery after install date"),1,0)</f>
        <v/>
      </c>
      <c r="AI499" s="79">
        <f>IF(AND(B499&lt;&gt;"",K499&lt;&gt;"",U499&lt;&gt;"Yes",X499&lt;&gt;"Yes"),1,0)</f>
        <v/>
      </c>
      <c r="AJ499" s="79">
        <f>IF(Y499="⚠️ Order late — install at risk",1,0)</f>
        <v/>
      </c>
    </row>
    <row r="500" ht="20" customHeight="1">
      <c r="B500" s="72" t="n"/>
      <c r="C500" s="72" t="n"/>
      <c r="D500" s="72" t="n"/>
      <c r="E500" s="72" t="n"/>
      <c r="F500" s="73" t="n"/>
      <c r="G500" s="72" t="n"/>
      <c r="H500" s="73" t="n"/>
      <c r="I500" s="72" t="n"/>
      <c r="J500" s="73" t="n"/>
      <c r="K500" s="74" t="n"/>
      <c r="L500" s="75">
        <f>IF(K500="A",F500,IF(K500="B",H500,IF(K500="C",J500,"")))</f>
        <v/>
      </c>
      <c r="M500" s="72" t="n"/>
      <c r="N500" s="72" t="n"/>
      <c r="O500" s="89" t="n"/>
      <c r="P500" s="89" t="n"/>
      <c r="Q500" s="109" t="n"/>
      <c r="R500" s="120">
        <f>IF(B500="","",IF(Q500&lt;&gt;"",Q500,IF(P500="","",IFERROR(INDEX('Timeline'!$J$7:$J$1006,MATCH(P500,'Timeline'!$B$7:$B$1006,0)),""))))</f>
        <v/>
      </c>
      <c r="S500" s="126">
        <f>IF(R500="","",R500-IF(O500="",0,O500)-OrderBuf)</f>
        <v/>
      </c>
      <c r="T500" s="126">
        <f>IF(S500="","",S500-DecideBuf)</f>
        <v/>
      </c>
      <c r="U500" s="74" t="n"/>
      <c r="V500" s="109" t="n"/>
      <c r="W500" s="109" t="n"/>
      <c r="X500" s="74" t="n"/>
      <c r="Y500" s="116">
        <f>IF(B500="","",IF(X500="Yes","Delivered",IF(U500="Yes",IF(AND(W500&lt;&gt;"",R500&lt;&gt;""),IF(W500&gt;R500,"⚠️ Delivery after install date","Ordered"),"Ordered"),IF(K500="",IF(T500="","Waiting for decision",IF(T500&lt;=AsOf+AlertDays,"Decide now","Waiting for decision")),IF(S500="","Selected",IF(AsOf&gt;S500,"⚠️ Order late — install at risk",IF(S500&lt;=AsOf+AlertDays,"Order now","Selected")))))))</f>
        <v/>
      </c>
      <c r="Z500" s="79">
        <f>IF(B500="","",IF(OR(AH500=1,AE500=1),2,IF(OR(AG500=1,AF500=1),1,IF(OR(Y500="Ordered",Y500="Delivered"),0,""))))</f>
        <v/>
      </c>
      <c r="AA500" s="112">
        <f>IF(B500="","",IF(AH500=1,IF(Y500="⚠️ Delivery after install date",R500,S500),IF(AD500=1,T500,IF(AI500=1,S500,""))))</f>
        <v/>
      </c>
      <c r="AB500" s="79">
        <f>IF(AA500="","",IF(AH500=1,1,IF(AA500="","",IF(AA500&lt;AsOf,1,IF(AA500&lt;=AsOf+AlertDays,2,IF(AA500&lt;=AsOf+2*AlertDays,3,""))))))</f>
        <v/>
      </c>
      <c r="AC500" s="79">
        <f>IF(AB500="","",IF(AH500=1,IF(Y500="⚠️ Delivery after install date","Delivery after install date: "&amp;B500,"Order late — install at risk: "&amp;B500),IF(AD500=1,IF(AB500=1,"Decision overdue: ","Decide: ")&amp;B500,"Order: "&amp;B500&amp;IF(N500="",""," from "&amp;N500))))</f>
        <v/>
      </c>
      <c r="AD500" s="79">
        <f>IF(AND(B500&lt;&gt;"",K500="",U500&lt;&gt;"Yes",X500&lt;&gt;"Yes"),1,0)</f>
        <v/>
      </c>
      <c r="AE500" s="79">
        <f>IF(AND(AD500=1,T500&lt;&gt;""),IF(T500&lt;AsOf,1,0),0)</f>
        <v/>
      </c>
      <c r="AF500" s="79">
        <f>IF(AND(AD500=1,T500&lt;&gt;""),IF(AND(T500&gt;=AsOf,T500&lt;=AsOf+AlertDays),1,0),0)</f>
        <v/>
      </c>
      <c r="AG500" s="79">
        <f>IF(Y500="Order now",1,0)</f>
        <v/>
      </c>
      <c r="AH500" s="79">
        <f>IF(OR(Y500="⚠️ Order late — install at risk",Y500="⚠️ Delivery after install date"),1,0)</f>
        <v/>
      </c>
      <c r="AI500" s="79">
        <f>IF(AND(B500&lt;&gt;"",K500&lt;&gt;"",U500&lt;&gt;"Yes",X500&lt;&gt;"Yes"),1,0)</f>
        <v/>
      </c>
      <c r="AJ500" s="79">
        <f>IF(Y500="⚠️ Order late — install at risk",1,0)</f>
        <v/>
      </c>
    </row>
    <row r="501" ht="20" customHeight="1">
      <c r="B501" s="72" t="n"/>
      <c r="C501" s="72" t="n"/>
      <c r="D501" s="72" t="n"/>
      <c r="E501" s="72" t="n"/>
      <c r="F501" s="73" t="n"/>
      <c r="G501" s="72" t="n"/>
      <c r="H501" s="73" t="n"/>
      <c r="I501" s="72" t="n"/>
      <c r="J501" s="73" t="n"/>
      <c r="K501" s="74" t="n"/>
      <c r="L501" s="75">
        <f>IF(K501="A",F501,IF(K501="B",H501,IF(K501="C",J501,"")))</f>
        <v/>
      </c>
      <c r="M501" s="72" t="n"/>
      <c r="N501" s="72" t="n"/>
      <c r="O501" s="89" t="n"/>
      <c r="P501" s="89" t="n"/>
      <c r="Q501" s="109" t="n"/>
      <c r="R501" s="120">
        <f>IF(B501="","",IF(Q501&lt;&gt;"",Q501,IF(P501="","",IFERROR(INDEX('Timeline'!$J$7:$J$1006,MATCH(P501,'Timeline'!$B$7:$B$1006,0)),""))))</f>
        <v/>
      </c>
      <c r="S501" s="126">
        <f>IF(R501="","",R501-IF(O501="",0,O501)-OrderBuf)</f>
        <v/>
      </c>
      <c r="T501" s="126">
        <f>IF(S501="","",S501-DecideBuf)</f>
        <v/>
      </c>
      <c r="U501" s="74" t="n"/>
      <c r="V501" s="109" t="n"/>
      <c r="W501" s="109" t="n"/>
      <c r="X501" s="74" t="n"/>
      <c r="Y501" s="116">
        <f>IF(B501="","",IF(X501="Yes","Delivered",IF(U501="Yes",IF(AND(W501&lt;&gt;"",R501&lt;&gt;""),IF(W501&gt;R501,"⚠️ Delivery after install date","Ordered"),"Ordered"),IF(K501="",IF(T501="","Waiting for decision",IF(T501&lt;=AsOf+AlertDays,"Decide now","Waiting for decision")),IF(S501="","Selected",IF(AsOf&gt;S501,"⚠️ Order late — install at risk",IF(S501&lt;=AsOf+AlertDays,"Order now","Selected")))))))</f>
        <v/>
      </c>
      <c r="Z501" s="79">
        <f>IF(B501="","",IF(OR(AH501=1,AE501=1),2,IF(OR(AG501=1,AF501=1),1,IF(OR(Y501="Ordered",Y501="Delivered"),0,""))))</f>
        <v/>
      </c>
      <c r="AA501" s="112">
        <f>IF(B501="","",IF(AH501=1,IF(Y501="⚠️ Delivery after install date",R501,S501),IF(AD501=1,T501,IF(AI501=1,S501,""))))</f>
        <v/>
      </c>
      <c r="AB501" s="79">
        <f>IF(AA501="","",IF(AH501=1,1,IF(AA501="","",IF(AA501&lt;AsOf,1,IF(AA501&lt;=AsOf+AlertDays,2,IF(AA501&lt;=AsOf+2*AlertDays,3,""))))))</f>
        <v/>
      </c>
      <c r="AC501" s="79">
        <f>IF(AB501="","",IF(AH501=1,IF(Y501="⚠️ Delivery after install date","Delivery after install date: "&amp;B501,"Order late — install at risk: "&amp;B501),IF(AD501=1,IF(AB501=1,"Decision overdue: ","Decide: ")&amp;B501,"Order: "&amp;B501&amp;IF(N501="",""," from "&amp;N501))))</f>
        <v/>
      </c>
      <c r="AD501" s="79">
        <f>IF(AND(B501&lt;&gt;"",K501="",U501&lt;&gt;"Yes",X501&lt;&gt;"Yes"),1,0)</f>
        <v/>
      </c>
      <c r="AE501" s="79">
        <f>IF(AND(AD501=1,T501&lt;&gt;""),IF(T501&lt;AsOf,1,0),0)</f>
        <v/>
      </c>
      <c r="AF501" s="79">
        <f>IF(AND(AD501=1,T501&lt;&gt;""),IF(AND(T501&gt;=AsOf,T501&lt;=AsOf+AlertDays),1,0),0)</f>
        <v/>
      </c>
      <c r="AG501" s="79">
        <f>IF(Y501="Order now",1,0)</f>
        <v/>
      </c>
      <c r="AH501" s="79">
        <f>IF(OR(Y501="⚠️ Order late — install at risk",Y501="⚠️ Delivery after install date"),1,0)</f>
        <v/>
      </c>
      <c r="AI501" s="79">
        <f>IF(AND(B501&lt;&gt;"",K501&lt;&gt;"",U501&lt;&gt;"Yes",X501&lt;&gt;"Yes"),1,0)</f>
        <v/>
      </c>
      <c r="AJ501" s="79">
        <f>IF(Y501="⚠️ Order late — install at risk",1,0)</f>
        <v/>
      </c>
    </row>
    <row r="502" ht="20" customHeight="1">
      <c r="B502" s="72" t="n"/>
      <c r="C502" s="72" t="n"/>
      <c r="D502" s="72" t="n"/>
      <c r="E502" s="72" t="n"/>
      <c r="F502" s="73" t="n"/>
      <c r="G502" s="72" t="n"/>
      <c r="H502" s="73" t="n"/>
      <c r="I502" s="72" t="n"/>
      <c r="J502" s="73" t="n"/>
      <c r="K502" s="74" t="n"/>
      <c r="L502" s="75">
        <f>IF(K502="A",F502,IF(K502="B",H502,IF(K502="C",J502,"")))</f>
        <v/>
      </c>
      <c r="M502" s="72" t="n"/>
      <c r="N502" s="72" t="n"/>
      <c r="O502" s="89" t="n"/>
      <c r="P502" s="89" t="n"/>
      <c r="Q502" s="109" t="n"/>
      <c r="R502" s="120">
        <f>IF(B502="","",IF(Q502&lt;&gt;"",Q502,IF(P502="","",IFERROR(INDEX('Timeline'!$J$7:$J$1006,MATCH(P502,'Timeline'!$B$7:$B$1006,0)),""))))</f>
        <v/>
      </c>
      <c r="S502" s="126">
        <f>IF(R502="","",R502-IF(O502="",0,O502)-OrderBuf)</f>
        <v/>
      </c>
      <c r="T502" s="126">
        <f>IF(S502="","",S502-DecideBuf)</f>
        <v/>
      </c>
      <c r="U502" s="74" t="n"/>
      <c r="V502" s="109" t="n"/>
      <c r="W502" s="109" t="n"/>
      <c r="X502" s="74" t="n"/>
      <c r="Y502" s="116">
        <f>IF(B502="","",IF(X502="Yes","Delivered",IF(U502="Yes",IF(AND(W502&lt;&gt;"",R502&lt;&gt;""),IF(W502&gt;R502,"⚠️ Delivery after install date","Ordered"),"Ordered"),IF(K502="",IF(T502="","Waiting for decision",IF(T502&lt;=AsOf+AlertDays,"Decide now","Waiting for decision")),IF(S502="","Selected",IF(AsOf&gt;S502,"⚠️ Order late — install at risk",IF(S502&lt;=AsOf+AlertDays,"Order now","Selected")))))))</f>
        <v/>
      </c>
      <c r="Z502" s="79">
        <f>IF(B502="","",IF(OR(AH502=1,AE502=1),2,IF(OR(AG502=1,AF502=1),1,IF(OR(Y502="Ordered",Y502="Delivered"),0,""))))</f>
        <v/>
      </c>
      <c r="AA502" s="112">
        <f>IF(B502="","",IF(AH502=1,IF(Y502="⚠️ Delivery after install date",R502,S502),IF(AD502=1,T502,IF(AI502=1,S502,""))))</f>
        <v/>
      </c>
      <c r="AB502" s="79">
        <f>IF(AA502="","",IF(AH502=1,1,IF(AA502="","",IF(AA502&lt;AsOf,1,IF(AA502&lt;=AsOf+AlertDays,2,IF(AA502&lt;=AsOf+2*AlertDays,3,""))))))</f>
        <v/>
      </c>
      <c r="AC502" s="79">
        <f>IF(AB502="","",IF(AH502=1,IF(Y502="⚠️ Delivery after install date","Delivery after install date: "&amp;B502,"Order late — install at risk: "&amp;B502),IF(AD502=1,IF(AB502=1,"Decision overdue: ","Decide: ")&amp;B502,"Order: "&amp;B502&amp;IF(N502="",""," from "&amp;N502))))</f>
        <v/>
      </c>
      <c r="AD502" s="79">
        <f>IF(AND(B502&lt;&gt;"",K502="",U502&lt;&gt;"Yes",X502&lt;&gt;"Yes"),1,0)</f>
        <v/>
      </c>
      <c r="AE502" s="79">
        <f>IF(AND(AD502=1,T502&lt;&gt;""),IF(T502&lt;AsOf,1,0),0)</f>
        <v/>
      </c>
      <c r="AF502" s="79">
        <f>IF(AND(AD502=1,T502&lt;&gt;""),IF(AND(T502&gt;=AsOf,T502&lt;=AsOf+AlertDays),1,0),0)</f>
        <v/>
      </c>
      <c r="AG502" s="79">
        <f>IF(Y502="Order now",1,0)</f>
        <v/>
      </c>
      <c r="AH502" s="79">
        <f>IF(OR(Y502="⚠️ Order late — install at risk",Y502="⚠️ Delivery after install date"),1,0)</f>
        <v/>
      </c>
      <c r="AI502" s="79">
        <f>IF(AND(B502&lt;&gt;"",K502&lt;&gt;"",U502&lt;&gt;"Yes",X502&lt;&gt;"Yes"),1,0)</f>
        <v/>
      </c>
      <c r="AJ502" s="79">
        <f>IF(Y502="⚠️ Order late — install at risk",1,0)</f>
        <v/>
      </c>
    </row>
    <row r="503" ht="20" customHeight="1">
      <c r="B503" s="72" t="n"/>
      <c r="C503" s="72" t="n"/>
      <c r="D503" s="72" t="n"/>
      <c r="E503" s="72" t="n"/>
      <c r="F503" s="73" t="n"/>
      <c r="G503" s="72" t="n"/>
      <c r="H503" s="73" t="n"/>
      <c r="I503" s="72" t="n"/>
      <c r="J503" s="73" t="n"/>
      <c r="K503" s="74" t="n"/>
      <c r="L503" s="75">
        <f>IF(K503="A",F503,IF(K503="B",H503,IF(K503="C",J503,"")))</f>
        <v/>
      </c>
      <c r="M503" s="72" t="n"/>
      <c r="N503" s="72" t="n"/>
      <c r="O503" s="89" t="n"/>
      <c r="P503" s="89" t="n"/>
      <c r="Q503" s="109" t="n"/>
      <c r="R503" s="120">
        <f>IF(B503="","",IF(Q503&lt;&gt;"",Q503,IF(P503="","",IFERROR(INDEX('Timeline'!$J$7:$J$1006,MATCH(P503,'Timeline'!$B$7:$B$1006,0)),""))))</f>
        <v/>
      </c>
      <c r="S503" s="126">
        <f>IF(R503="","",R503-IF(O503="",0,O503)-OrderBuf)</f>
        <v/>
      </c>
      <c r="T503" s="126">
        <f>IF(S503="","",S503-DecideBuf)</f>
        <v/>
      </c>
      <c r="U503" s="74" t="n"/>
      <c r="V503" s="109" t="n"/>
      <c r="W503" s="109" t="n"/>
      <c r="X503" s="74" t="n"/>
      <c r="Y503" s="116">
        <f>IF(B503="","",IF(X503="Yes","Delivered",IF(U503="Yes",IF(AND(W503&lt;&gt;"",R503&lt;&gt;""),IF(W503&gt;R503,"⚠️ Delivery after install date","Ordered"),"Ordered"),IF(K503="",IF(T503="","Waiting for decision",IF(T503&lt;=AsOf+AlertDays,"Decide now","Waiting for decision")),IF(S503="","Selected",IF(AsOf&gt;S503,"⚠️ Order late — install at risk",IF(S503&lt;=AsOf+AlertDays,"Order now","Selected")))))))</f>
        <v/>
      </c>
      <c r="Z503" s="79">
        <f>IF(B503="","",IF(OR(AH503=1,AE503=1),2,IF(OR(AG503=1,AF503=1),1,IF(OR(Y503="Ordered",Y503="Delivered"),0,""))))</f>
        <v/>
      </c>
      <c r="AA503" s="112">
        <f>IF(B503="","",IF(AH503=1,IF(Y503="⚠️ Delivery after install date",R503,S503),IF(AD503=1,T503,IF(AI503=1,S503,""))))</f>
        <v/>
      </c>
      <c r="AB503" s="79">
        <f>IF(AA503="","",IF(AH503=1,1,IF(AA503="","",IF(AA503&lt;AsOf,1,IF(AA503&lt;=AsOf+AlertDays,2,IF(AA503&lt;=AsOf+2*AlertDays,3,""))))))</f>
        <v/>
      </c>
      <c r="AC503" s="79">
        <f>IF(AB503="","",IF(AH503=1,IF(Y503="⚠️ Delivery after install date","Delivery after install date: "&amp;B503,"Order late — install at risk: "&amp;B503),IF(AD503=1,IF(AB503=1,"Decision overdue: ","Decide: ")&amp;B503,"Order: "&amp;B503&amp;IF(N503="",""," from "&amp;N503))))</f>
        <v/>
      </c>
      <c r="AD503" s="79">
        <f>IF(AND(B503&lt;&gt;"",K503="",U503&lt;&gt;"Yes",X503&lt;&gt;"Yes"),1,0)</f>
        <v/>
      </c>
      <c r="AE503" s="79">
        <f>IF(AND(AD503=1,T503&lt;&gt;""),IF(T503&lt;AsOf,1,0),0)</f>
        <v/>
      </c>
      <c r="AF503" s="79">
        <f>IF(AND(AD503=1,T503&lt;&gt;""),IF(AND(T503&gt;=AsOf,T503&lt;=AsOf+AlertDays),1,0),0)</f>
        <v/>
      </c>
      <c r="AG503" s="79">
        <f>IF(Y503="Order now",1,0)</f>
        <v/>
      </c>
      <c r="AH503" s="79">
        <f>IF(OR(Y503="⚠️ Order late — install at risk",Y503="⚠️ Delivery after install date"),1,0)</f>
        <v/>
      </c>
      <c r="AI503" s="79">
        <f>IF(AND(B503&lt;&gt;"",K503&lt;&gt;"",U503&lt;&gt;"Yes",X503&lt;&gt;"Yes"),1,0)</f>
        <v/>
      </c>
      <c r="AJ503" s="79">
        <f>IF(Y503="⚠️ Order late — install at risk",1,0)</f>
        <v/>
      </c>
    </row>
    <row r="504" ht="20" customHeight="1">
      <c r="B504" s="72" t="n"/>
      <c r="C504" s="72" t="n"/>
      <c r="D504" s="72" t="n"/>
      <c r="E504" s="72" t="n"/>
      <c r="F504" s="73" t="n"/>
      <c r="G504" s="72" t="n"/>
      <c r="H504" s="73" t="n"/>
      <c r="I504" s="72" t="n"/>
      <c r="J504" s="73" t="n"/>
      <c r="K504" s="74" t="n"/>
      <c r="L504" s="75">
        <f>IF(K504="A",F504,IF(K504="B",H504,IF(K504="C",J504,"")))</f>
        <v/>
      </c>
      <c r="M504" s="72" t="n"/>
      <c r="N504" s="72" t="n"/>
      <c r="O504" s="89" t="n"/>
      <c r="P504" s="89" t="n"/>
      <c r="Q504" s="109" t="n"/>
      <c r="R504" s="120">
        <f>IF(B504="","",IF(Q504&lt;&gt;"",Q504,IF(P504="","",IFERROR(INDEX('Timeline'!$J$7:$J$1006,MATCH(P504,'Timeline'!$B$7:$B$1006,0)),""))))</f>
        <v/>
      </c>
      <c r="S504" s="126">
        <f>IF(R504="","",R504-IF(O504="",0,O504)-OrderBuf)</f>
        <v/>
      </c>
      <c r="T504" s="126">
        <f>IF(S504="","",S504-DecideBuf)</f>
        <v/>
      </c>
      <c r="U504" s="74" t="n"/>
      <c r="V504" s="109" t="n"/>
      <c r="W504" s="109" t="n"/>
      <c r="X504" s="74" t="n"/>
      <c r="Y504" s="116">
        <f>IF(B504="","",IF(X504="Yes","Delivered",IF(U504="Yes",IF(AND(W504&lt;&gt;"",R504&lt;&gt;""),IF(W504&gt;R504,"⚠️ Delivery after install date","Ordered"),"Ordered"),IF(K504="",IF(T504="","Waiting for decision",IF(T504&lt;=AsOf+AlertDays,"Decide now","Waiting for decision")),IF(S504="","Selected",IF(AsOf&gt;S504,"⚠️ Order late — install at risk",IF(S504&lt;=AsOf+AlertDays,"Order now","Selected")))))))</f>
        <v/>
      </c>
      <c r="Z504" s="79">
        <f>IF(B504="","",IF(OR(AH504=1,AE504=1),2,IF(OR(AG504=1,AF504=1),1,IF(OR(Y504="Ordered",Y504="Delivered"),0,""))))</f>
        <v/>
      </c>
      <c r="AA504" s="112">
        <f>IF(B504="","",IF(AH504=1,IF(Y504="⚠️ Delivery after install date",R504,S504),IF(AD504=1,T504,IF(AI504=1,S504,""))))</f>
        <v/>
      </c>
      <c r="AB504" s="79">
        <f>IF(AA504="","",IF(AH504=1,1,IF(AA504="","",IF(AA504&lt;AsOf,1,IF(AA504&lt;=AsOf+AlertDays,2,IF(AA504&lt;=AsOf+2*AlertDays,3,""))))))</f>
        <v/>
      </c>
      <c r="AC504" s="79">
        <f>IF(AB504="","",IF(AH504=1,IF(Y504="⚠️ Delivery after install date","Delivery after install date: "&amp;B504,"Order late — install at risk: "&amp;B504),IF(AD504=1,IF(AB504=1,"Decision overdue: ","Decide: ")&amp;B504,"Order: "&amp;B504&amp;IF(N504="",""," from "&amp;N504))))</f>
        <v/>
      </c>
      <c r="AD504" s="79">
        <f>IF(AND(B504&lt;&gt;"",K504="",U504&lt;&gt;"Yes",X504&lt;&gt;"Yes"),1,0)</f>
        <v/>
      </c>
      <c r="AE504" s="79">
        <f>IF(AND(AD504=1,T504&lt;&gt;""),IF(T504&lt;AsOf,1,0),0)</f>
        <v/>
      </c>
      <c r="AF504" s="79">
        <f>IF(AND(AD504=1,T504&lt;&gt;""),IF(AND(T504&gt;=AsOf,T504&lt;=AsOf+AlertDays),1,0),0)</f>
        <v/>
      </c>
      <c r="AG504" s="79">
        <f>IF(Y504="Order now",1,0)</f>
        <v/>
      </c>
      <c r="AH504" s="79">
        <f>IF(OR(Y504="⚠️ Order late — install at risk",Y504="⚠️ Delivery after install date"),1,0)</f>
        <v/>
      </c>
      <c r="AI504" s="79">
        <f>IF(AND(B504&lt;&gt;"",K504&lt;&gt;"",U504&lt;&gt;"Yes",X504&lt;&gt;"Yes"),1,0)</f>
        <v/>
      </c>
      <c r="AJ504" s="79">
        <f>IF(Y504="⚠️ Order late — install at risk",1,0)</f>
        <v/>
      </c>
    </row>
    <row r="505" ht="20" customHeight="1">
      <c r="B505" s="72" t="n"/>
      <c r="C505" s="72" t="n"/>
      <c r="D505" s="72" t="n"/>
      <c r="E505" s="72" t="n"/>
      <c r="F505" s="73" t="n"/>
      <c r="G505" s="72" t="n"/>
      <c r="H505" s="73" t="n"/>
      <c r="I505" s="72" t="n"/>
      <c r="J505" s="73" t="n"/>
      <c r="K505" s="74" t="n"/>
      <c r="L505" s="75">
        <f>IF(K505="A",F505,IF(K505="B",H505,IF(K505="C",J505,"")))</f>
        <v/>
      </c>
      <c r="M505" s="72" t="n"/>
      <c r="N505" s="72" t="n"/>
      <c r="O505" s="89" t="n"/>
      <c r="P505" s="89" t="n"/>
      <c r="Q505" s="109" t="n"/>
      <c r="R505" s="120">
        <f>IF(B505="","",IF(Q505&lt;&gt;"",Q505,IF(P505="","",IFERROR(INDEX('Timeline'!$J$7:$J$1006,MATCH(P505,'Timeline'!$B$7:$B$1006,0)),""))))</f>
        <v/>
      </c>
      <c r="S505" s="126">
        <f>IF(R505="","",R505-IF(O505="",0,O505)-OrderBuf)</f>
        <v/>
      </c>
      <c r="T505" s="126">
        <f>IF(S505="","",S505-DecideBuf)</f>
        <v/>
      </c>
      <c r="U505" s="74" t="n"/>
      <c r="V505" s="109" t="n"/>
      <c r="W505" s="109" t="n"/>
      <c r="X505" s="74" t="n"/>
      <c r="Y505" s="116">
        <f>IF(B505="","",IF(X505="Yes","Delivered",IF(U505="Yes",IF(AND(W505&lt;&gt;"",R505&lt;&gt;""),IF(W505&gt;R505,"⚠️ Delivery after install date","Ordered"),"Ordered"),IF(K505="",IF(T505="","Waiting for decision",IF(T505&lt;=AsOf+AlertDays,"Decide now","Waiting for decision")),IF(S505="","Selected",IF(AsOf&gt;S505,"⚠️ Order late — install at risk",IF(S505&lt;=AsOf+AlertDays,"Order now","Selected")))))))</f>
        <v/>
      </c>
      <c r="Z505" s="79">
        <f>IF(B505="","",IF(OR(AH505=1,AE505=1),2,IF(OR(AG505=1,AF505=1),1,IF(OR(Y505="Ordered",Y505="Delivered"),0,""))))</f>
        <v/>
      </c>
      <c r="AA505" s="112">
        <f>IF(B505="","",IF(AH505=1,IF(Y505="⚠️ Delivery after install date",R505,S505),IF(AD505=1,T505,IF(AI505=1,S505,""))))</f>
        <v/>
      </c>
      <c r="AB505" s="79">
        <f>IF(AA505="","",IF(AH505=1,1,IF(AA505="","",IF(AA505&lt;AsOf,1,IF(AA505&lt;=AsOf+AlertDays,2,IF(AA505&lt;=AsOf+2*AlertDays,3,""))))))</f>
        <v/>
      </c>
      <c r="AC505" s="79">
        <f>IF(AB505="","",IF(AH505=1,IF(Y505="⚠️ Delivery after install date","Delivery after install date: "&amp;B505,"Order late — install at risk: "&amp;B505),IF(AD505=1,IF(AB505=1,"Decision overdue: ","Decide: ")&amp;B505,"Order: "&amp;B505&amp;IF(N505="",""," from "&amp;N505))))</f>
        <v/>
      </c>
      <c r="AD505" s="79">
        <f>IF(AND(B505&lt;&gt;"",K505="",U505&lt;&gt;"Yes",X505&lt;&gt;"Yes"),1,0)</f>
        <v/>
      </c>
      <c r="AE505" s="79">
        <f>IF(AND(AD505=1,T505&lt;&gt;""),IF(T505&lt;AsOf,1,0),0)</f>
        <v/>
      </c>
      <c r="AF505" s="79">
        <f>IF(AND(AD505=1,T505&lt;&gt;""),IF(AND(T505&gt;=AsOf,T505&lt;=AsOf+AlertDays),1,0),0)</f>
        <v/>
      </c>
      <c r="AG505" s="79">
        <f>IF(Y505="Order now",1,0)</f>
        <v/>
      </c>
      <c r="AH505" s="79">
        <f>IF(OR(Y505="⚠️ Order late — install at risk",Y505="⚠️ Delivery after install date"),1,0)</f>
        <v/>
      </c>
      <c r="AI505" s="79">
        <f>IF(AND(B505&lt;&gt;"",K505&lt;&gt;"",U505&lt;&gt;"Yes",X505&lt;&gt;"Yes"),1,0)</f>
        <v/>
      </c>
      <c r="AJ505" s="79">
        <f>IF(Y505="⚠️ Order late — install at risk",1,0)</f>
        <v/>
      </c>
    </row>
    <row r="506" ht="20" customHeight="1">
      <c r="B506" s="72" t="n"/>
      <c r="C506" s="72" t="n"/>
      <c r="D506" s="72" t="n"/>
      <c r="E506" s="72" t="n"/>
      <c r="F506" s="73" t="n"/>
      <c r="G506" s="72" t="n"/>
      <c r="H506" s="73" t="n"/>
      <c r="I506" s="72" t="n"/>
      <c r="J506" s="73" t="n"/>
      <c r="K506" s="74" t="n"/>
      <c r="L506" s="75">
        <f>IF(K506="A",F506,IF(K506="B",H506,IF(K506="C",J506,"")))</f>
        <v/>
      </c>
      <c r="M506" s="72" t="n"/>
      <c r="N506" s="72" t="n"/>
      <c r="O506" s="89" t="n"/>
      <c r="P506" s="89" t="n"/>
      <c r="Q506" s="109" t="n"/>
      <c r="R506" s="120">
        <f>IF(B506="","",IF(Q506&lt;&gt;"",Q506,IF(P506="","",IFERROR(INDEX('Timeline'!$J$7:$J$1006,MATCH(P506,'Timeline'!$B$7:$B$1006,0)),""))))</f>
        <v/>
      </c>
      <c r="S506" s="126">
        <f>IF(R506="","",R506-IF(O506="",0,O506)-OrderBuf)</f>
        <v/>
      </c>
      <c r="T506" s="126">
        <f>IF(S506="","",S506-DecideBuf)</f>
        <v/>
      </c>
      <c r="U506" s="74" t="n"/>
      <c r="V506" s="109" t="n"/>
      <c r="W506" s="109" t="n"/>
      <c r="X506" s="74" t="n"/>
      <c r="Y506" s="116">
        <f>IF(B506="","",IF(X506="Yes","Delivered",IF(U506="Yes",IF(AND(W506&lt;&gt;"",R506&lt;&gt;""),IF(W506&gt;R506,"⚠️ Delivery after install date","Ordered"),"Ordered"),IF(K506="",IF(T506="","Waiting for decision",IF(T506&lt;=AsOf+AlertDays,"Decide now","Waiting for decision")),IF(S506="","Selected",IF(AsOf&gt;S506,"⚠️ Order late — install at risk",IF(S506&lt;=AsOf+AlertDays,"Order now","Selected")))))))</f>
        <v/>
      </c>
      <c r="Z506" s="79">
        <f>IF(B506="","",IF(OR(AH506=1,AE506=1),2,IF(OR(AG506=1,AF506=1),1,IF(OR(Y506="Ordered",Y506="Delivered"),0,""))))</f>
        <v/>
      </c>
      <c r="AA506" s="112">
        <f>IF(B506="","",IF(AH506=1,IF(Y506="⚠️ Delivery after install date",R506,S506),IF(AD506=1,T506,IF(AI506=1,S506,""))))</f>
        <v/>
      </c>
      <c r="AB506" s="79">
        <f>IF(AA506="","",IF(AH506=1,1,IF(AA506="","",IF(AA506&lt;AsOf,1,IF(AA506&lt;=AsOf+AlertDays,2,IF(AA506&lt;=AsOf+2*AlertDays,3,""))))))</f>
        <v/>
      </c>
      <c r="AC506" s="79">
        <f>IF(AB506="","",IF(AH506=1,IF(Y506="⚠️ Delivery after install date","Delivery after install date: "&amp;B506,"Order late — install at risk: "&amp;B506),IF(AD506=1,IF(AB506=1,"Decision overdue: ","Decide: ")&amp;B506,"Order: "&amp;B506&amp;IF(N506="",""," from "&amp;N506))))</f>
        <v/>
      </c>
      <c r="AD506" s="79">
        <f>IF(AND(B506&lt;&gt;"",K506="",U506&lt;&gt;"Yes",X506&lt;&gt;"Yes"),1,0)</f>
        <v/>
      </c>
      <c r="AE506" s="79">
        <f>IF(AND(AD506=1,T506&lt;&gt;""),IF(T506&lt;AsOf,1,0),0)</f>
        <v/>
      </c>
      <c r="AF506" s="79">
        <f>IF(AND(AD506=1,T506&lt;&gt;""),IF(AND(T506&gt;=AsOf,T506&lt;=AsOf+AlertDays),1,0),0)</f>
        <v/>
      </c>
      <c r="AG506" s="79">
        <f>IF(Y506="Order now",1,0)</f>
        <v/>
      </c>
      <c r="AH506" s="79">
        <f>IF(OR(Y506="⚠️ Order late — install at risk",Y506="⚠️ Delivery after install date"),1,0)</f>
        <v/>
      </c>
      <c r="AI506" s="79">
        <f>IF(AND(B506&lt;&gt;"",K506&lt;&gt;"",U506&lt;&gt;"Yes",X506&lt;&gt;"Yes"),1,0)</f>
        <v/>
      </c>
      <c r="AJ506" s="79">
        <f>IF(Y506="⚠️ Order late — install at risk",1,0)</f>
        <v/>
      </c>
    </row>
    <row r="507" ht="20" customHeight="1">
      <c r="B507" s="72" t="n"/>
      <c r="C507" s="72" t="n"/>
      <c r="D507" s="72" t="n"/>
      <c r="E507" s="72" t="n"/>
      <c r="F507" s="73" t="n"/>
      <c r="G507" s="72" t="n"/>
      <c r="H507" s="73" t="n"/>
      <c r="I507" s="72" t="n"/>
      <c r="J507" s="73" t="n"/>
      <c r="K507" s="74" t="n"/>
      <c r="L507" s="75">
        <f>IF(K507="A",F507,IF(K507="B",H507,IF(K507="C",J507,"")))</f>
        <v/>
      </c>
      <c r="M507" s="72" t="n"/>
      <c r="N507" s="72" t="n"/>
      <c r="O507" s="89" t="n"/>
      <c r="P507" s="89" t="n"/>
      <c r="Q507" s="109" t="n"/>
      <c r="R507" s="120">
        <f>IF(B507="","",IF(Q507&lt;&gt;"",Q507,IF(P507="","",IFERROR(INDEX('Timeline'!$J$7:$J$1006,MATCH(P507,'Timeline'!$B$7:$B$1006,0)),""))))</f>
        <v/>
      </c>
      <c r="S507" s="126">
        <f>IF(R507="","",R507-IF(O507="",0,O507)-OrderBuf)</f>
        <v/>
      </c>
      <c r="T507" s="126">
        <f>IF(S507="","",S507-DecideBuf)</f>
        <v/>
      </c>
      <c r="U507" s="74" t="n"/>
      <c r="V507" s="109" t="n"/>
      <c r="W507" s="109" t="n"/>
      <c r="X507" s="74" t="n"/>
      <c r="Y507" s="116">
        <f>IF(B507="","",IF(X507="Yes","Delivered",IF(U507="Yes",IF(AND(W507&lt;&gt;"",R507&lt;&gt;""),IF(W507&gt;R507,"⚠️ Delivery after install date","Ordered"),"Ordered"),IF(K507="",IF(T507="","Waiting for decision",IF(T507&lt;=AsOf+AlertDays,"Decide now","Waiting for decision")),IF(S507="","Selected",IF(AsOf&gt;S507,"⚠️ Order late — install at risk",IF(S507&lt;=AsOf+AlertDays,"Order now","Selected")))))))</f>
        <v/>
      </c>
      <c r="Z507" s="79">
        <f>IF(B507="","",IF(OR(AH507=1,AE507=1),2,IF(OR(AG507=1,AF507=1),1,IF(OR(Y507="Ordered",Y507="Delivered"),0,""))))</f>
        <v/>
      </c>
      <c r="AA507" s="112">
        <f>IF(B507="","",IF(AH507=1,IF(Y507="⚠️ Delivery after install date",R507,S507),IF(AD507=1,T507,IF(AI507=1,S507,""))))</f>
        <v/>
      </c>
      <c r="AB507" s="79">
        <f>IF(AA507="","",IF(AH507=1,1,IF(AA507="","",IF(AA507&lt;AsOf,1,IF(AA507&lt;=AsOf+AlertDays,2,IF(AA507&lt;=AsOf+2*AlertDays,3,""))))))</f>
        <v/>
      </c>
      <c r="AC507" s="79">
        <f>IF(AB507="","",IF(AH507=1,IF(Y507="⚠️ Delivery after install date","Delivery after install date: "&amp;B507,"Order late — install at risk: "&amp;B507),IF(AD507=1,IF(AB507=1,"Decision overdue: ","Decide: ")&amp;B507,"Order: "&amp;B507&amp;IF(N507="",""," from "&amp;N507))))</f>
        <v/>
      </c>
      <c r="AD507" s="79">
        <f>IF(AND(B507&lt;&gt;"",K507="",U507&lt;&gt;"Yes",X507&lt;&gt;"Yes"),1,0)</f>
        <v/>
      </c>
      <c r="AE507" s="79">
        <f>IF(AND(AD507=1,T507&lt;&gt;""),IF(T507&lt;AsOf,1,0),0)</f>
        <v/>
      </c>
      <c r="AF507" s="79">
        <f>IF(AND(AD507=1,T507&lt;&gt;""),IF(AND(T507&gt;=AsOf,T507&lt;=AsOf+AlertDays),1,0),0)</f>
        <v/>
      </c>
      <c r="AG507" s="79">
        <f>IF(Y507="Order now",1,0)</f>
        <v/>
      </c>
      <c r="AH507" s="79">
        <f>IF(OR(Y507="⚠️ Order late — install at risk",Y507="⚠️ Delivery after install date"),1,0)</f>
        <v/>
      </c>
      <c r="AI507" s="79">
        <f>IF(AND(B507&lt;&gt;"",K507&lt;&gt;"",U507&lt;&gt;"Yes",X507&lt;&gt;"Yes"),1,0)</f>
        <v/>
      </c>
      <c r="AJ507" s="79">
        <f>IF(Y507="⚠️ Order late — install at risk",1,0)</f>
        <v/>
      </c>
    </row>
    <row r="508" ht="20" customHeight="1">
      <c r="B508" s="72" t="n"/>
      <c r="C508" s="72" t="n"/>
      <c r="D508" s="72" t="n"/>
      <c r="E508" s="72" t="n"/>
      <c r="F508" s="73" t="n"/>
      <c r="G508" s="72" t="n"/>
      <c r="H508" s="73" t="n"/>
      <c r="I508" s="72" t="n"/>
      <c r="J508" s="73" t="n"/>
      <c r="K508" s="74" t="n"/>
      <c r="L508" s="75">
        <f>IF(K508="A",F508,IF(K508="B",H508,IF(K508="C",J508,"")))</f>
        <v/>
      </c>
      <c r="M508" s="72" t="n"/>
      <c r="N508" s="72" t="n"/>
      <c r="O508" s="89" t="n"/>
      <c r="P508" s="89" t="n"/>
      <c r="Q508" s="109" t="n"/>
      <c r="R508" s="120">
        <f>IF(B508="","",IF(Q508&lt;&gt;"",Q508,IF(P508="","",IFERROR(INDEX('Timeline'!$J$7:$J$1006,MATCH(P508,'Timeline'!$B$7:$B$1006,0)),""))))</f>
        <v/>
      </c>
      <c r="S508" s="126">
        <f>IF(R508="","",R508-IF(O508="",0,O508)-OrderBuf)</f>
        <v/>
      </c>
      <c r="T508" s="126">
        <f>IF(S508="","",S508-DecideBuf)</f>
        <v/>
      </c>
      <c r="U508" s="74" t="n"/>
      <c r="V508" s="109" t="n"/>
      <c r="W508" s="109" t="n"/>
      <c r="X508" s="74" t="n"/>
      <c r="Y508" s="116">
        <f>IF(B508="","",IF(X508="Yes","Delivered",IF(U508="Yes",IF(AND(W508&lt;&gt;"",R508&lt;&gt;""),IF(W508&gt;R508,"⚠️ Delivery after install date","Ordered"),"Ordered"),IF(K508="",IF(T508="","Waiting for decision",IF(T508&lt;=AsOf+AlertDays,"Decide now","Waiting for decision")),IF(S508="","Selected",IF(AsOf&gt;S508,"⚠️ Order late — install at risk",IF(S508&lt;=AsOf+AlertDays,"Order now","Selected")))))))</f>
        <v/>
      </c>
      <c r="Z508" s="79">
        <f>IF(B508="","",IF(OR(AH508=1,AE508=1),2,IF(OR(AG508=1,AF508=1),1,IF(OR(Y508="Ordered",Y508="Delivered"),0,""))))</f>
        <v/>
      </c>
      <c r="AA508" s="112">
        <f>IF(B508="","",IF(AH508=1,IF(Y508="⚠️ Delivery after install date",R508,S508),IF(AD508=1,T508,IF(AI508=1,S508,""))))</f>
        <v/>
      </c>
      <c r="AB508" s="79">
        <f>IF(AA508="","",IF(AH508=1,1,IF(AA508="","",IF(AA508&lt;AsOf,1,IF(AA508&lt;=AsOf+AlertDays,2,IF(AA508&lt;=AsOf+2*AlertDays,3,""))))))</f>
        <v/>
      </c>
      <c r="AC508" s="79">
        <f>IF(AB508="","",IF(AH508=1,IF(Y508="⚠️ Delivery after install date","Delivery after install date: "&amp;B508,"Order late — install at risk: "&amp;B508),IF(AD508=1,IF(AB508=1,"Decision overdue: ","Decide: ")&amp;B508,"Order: "&amp;B508&amp;IF(N508="",""," from "&amp;N508))))</f>
        <v/>
      </c>
      <c r="AD508" s="79">
        <f>IF(AND(B508&lt;&gt;"",K508="",U508&lt;&gt;"Yes",X508&lt;&gt;"Yes"),1,0)</f>
        <v/>
      </c>
      <c r="AE508" s="79">
        <f>IF(AND(AD508=1,T508&lt;&gt;""),IF(T508&lt;AsOf,1,0),0)</f>
        <v/>
      </c>
      <c r="AF508" s="79">
        <f>IF(AND(AD508=1,T508&lt;&gt;""),IF(AND(T508&gt;=AsOf,T508&lt;=AsOf+AlertDays),1,0),0)</f>
        <v/>
      </c>
      <c r="AG508" s="79">
        <f>IF(Y508="Order now",1,0)</f>
        <v/>
      </c>
      <c r="AH508" s="79">
        <f>IF(OR(Y508="⚠️ Order late — install at risk",Y508="⚠️ Delivery after install date"),1,0)</f>
        <v/>
      </c>
      <c r="AI508" s="79">
        <f>IF(AND(B508&lt;&gt;"",K508&lt;&gt;"",U508&lt;&gt;"Yes",X508&lt;&gt;"Yes"),1,0)</f>
        <v/>
      </c>
      <c r="AJ508" s="79">
        <f>IF(Y508="⚠️ Order late — install at risk",1,0)</f>
        <v/>
      </c>
    </row>
    <row r="509" ht="20" customHeight="1">
      <c r="B509" s="72" t="n"/>
      <c r="C509" s="72" t="n"/>
      <c r="D509" s="72" t="n"/>
      <c r="E509" s="72" t="n"/>
      <c r="F509" s="73" t="n"/>
      <c r="G509" s="72" t="n"/>
      <c r="H509" s="73" t="n"/>
      <c r="I509" s="72" t="n"/>
      <c r="J509" s="73" t="n"/>
      <c r="K509" s="74" t="n"/>
      <c r="L509" s="75">
        <f>IF(K509="A",F509,IF(K509="B",H509,IF(K509="C",J509,"")))</f>
        <v/>
      </c>
      <c r="M509" s="72" t="n"/>
      <c r="N509" s="72" t="n"/>
      <c r="O509" s="89" t="n"/>
      <c r="P509" s="89" t="n"/>
      <c r="Q509" s="109" t="n"/>
      <c r="R509" s="120">
        <f>IF(B509="","",IF(Q509&lt;&gt;"",Q509,IF(P509="","",IFERROR(INDEX('Timeline'!$J$7:$J$1006,MATCH(P509,'Timeline'!$B$7:$B$1006,0)),""))))</f>
        <v/>
      </c>
      <c r="S509" s="126">
        <f>IF(R509="","",R509-IF(O509="",0,O509)-OrderBuf)</f>
        <v/>
      </c>
      <c r="T509" s="126">
        <f>IF(S509="","",S509-DecideBuf)</f>
        <v/>
      </c>
      <c r="U509" s="74" t="n"/>
      <c r="V509" s="109" t="n"/>
      <c r="W509" s="109" t="n"/>
      <c r="X509" s="74" t="n"/>
      <c r="Y509" s="116">
        <f>IF(B509="","",IF(X509="Yes","Delivered",IF(U509="Yes",IF(AND(W509&lt;&gt;"",R509&lt;&gt;""),IF(W509&gt;R509,"⚠️ Delivery after install date","Ordered"),"Ordered"),IF(K509="",IF(T509="","Waiting for decision",IF(T509&lt;=AsOf+AlertDays,"Decide now","Waiting for decision")),IF(S509="","Selected",IF(AsOf&gt;S509,"⚠️ Order late — install at risk",IF(S509&lt;=AsOf+AlertDays,"Order now","Selected")))))))</f>
        <v/>
      </c>
      <c r="Z509" s="79">
        <f>IF(B509="","",IF(OR(AH509=1,AE509=1),2,IF(OR(AG509=1,AF509=1),1,IF(OR(Y509="Ordered",Y509="Delivered"),0,""))))</f>
        <v/>
      </c>
      <c r="AA509" s="112">
        <f>IF(B509="","",IF(AH509=1,IF(Y509="⚠️ Delivery after install date",R509,S509),IF(AD509=1,T509,IF(AI509=1,S509,""))))</f>
        <v/>
      </c>
      <c r="AB509" s="79">
        <f>IF(AA509="","",IF(AH509=1,1,IF(AA509="","",IF(AA509&lt;AsOf,1,IF(AA509&lt;=AsOf+AlertDays,2,IF(AA509&lt;=AsOf+2*AlertDays,3,""))))))</f>
        <v/>
      </c>
      <c r="AC509" s="79">
        <f>IF(AB509="","",IF(AH509=1,IF(Y509="⚠️ Delivery after install date","Delivery after install date: "&amp;B509,"Order late — install at risk: "&amp;B509),IF(AD509=1,IF(AB509=1,"Decision overdue: ","Decide: ")&amp;B509,"Order: "&amp;B509&amp;IF(N509="",""," from "&amp;N509))))</f>
        <v/>
      </c>
      <c r="AD509" s="79">
        <f>IF(AND(B509&lt;&gt;"",K509="",U509&lt;&gt;"Yes",X509&lt;&gt;"Yes"),1,0)</f>
        <v/>
      </c>
      <c r="AE509" s="79">
        <f>IF(AND(AD509=1,T509&lt;&gt;""),IF(T509&lt;AsOf,1,0),0)</f>
        <v/>
      </c>
      <c r="AF509" s="79">
        <f>IF(AND(AD509=1,T509&lt;&gt;""),IF(AND(T509&gt;=AsOf,T509&lt;=AsOf+AlertDays),1,0),0)</f>
        <v/>
      </c>
      <c r="AG509" s="79">
        <f>IF(Y509="Order now",1,0)</f>
        <v/>
      </c>
      <c r="AH509" s="79">
        <f>IF(OR(Y509="⚠️ Order late — install at risk",Y509="⚠️ Delivery after install date"),1,0)</f>
        <v/>
      </c>
      <c r="AI509" s="79">
        <f>IF(AND(B509&lt;&gt;"",K509&lt;&gt;"",U509&lt;&gt;"Yes",X509&lt;&gt;"Yes"),1,0)</f>
        <v/>
      </c>
      <c r="AJ509" s="79">
        <f>IF(Y509="⚠️ Order late — install at risk",1,0)</f>
        <v/>
      </c>
    </row>
    <row r="510" ht="20" customHeight="1">
      <c r="B510" s="72" t="n"/>
      <c r="C510" s="72" t="n"/>
      <c r="D510" s="72" t="n"/>
      <c r="E510" s="72" t="n"/>
      <c r="F510" s="73" t="n"/>
      <c r="G510" s="72" t="n"/>
      <c r="H510" s="73" t="n"/>
      <c r="I510" s="72" t="n"/>
      <c r="J510" s="73" t="n"/>
      <c r="K510" s="74" t="n"/>
      <c r="L510" s="75">
        <f>IF(K510="A",F510,IF(K510="B",H510,IF(K510="C",J510,"")))</f>
        <v/>
      </c>
      <c r="M510" s="72" t="n"/>
      <c r="N510" s="72" t="n"/>
      <c r="O510" s="89" t="n"/>
      <c r="P510" s="89" t="n"/>
      <c r="Q510" s="109" t="n"/>
      <c r="R510" s="120">
        <f>IF(B510="","",IF(Q510&lt;&gt;"",Q510,IF(P510="","",IFERROR(INDEX('Timeline'!$J$7:$J$1006,MATCH(P510,'Timeline'!$B$7:$B$1006,0)),""))))</f>
        <v/>
      </c>
      <c r="S510" s="126">
        <f>IF(R510="","",R510-IF(O510="",0,O510)-OrderBuf)</f>
        <v/>
      </c>
      <c r="T510" s="126">
        <f>IF(S510="","",S510-DecideBuf)</f>
        <v/>
      </c>
      <c r="U510" s="74" t="n"/>
      <c r="V510" s="109" t="n"/>
      <c r="W510" s="109" t="n"/>
      <c r="X510" s="74" t="n"/>
      <c r="Y510" s="116">
        <f>IF(B510="","",IF(X510="Yes","Delivered",IF(U510="Yes",IF(AND(W510&lt;&gt;"",R510&lt;&gt;""),IF(W510&gt;R510,"⚠️ Delivery after install date","Ordered"),"Ordered"),IF(K510="",IF(T510="","Waiting for decision",IF(T510&lt;=AsOf+AlertDays,"Decide now","Waiting for decision")),IF(S510="","Selected",IF(AsOf&gt;S510,"⚠️ Order late — install at risk",IF(S510&lt;=AsOf+AlertDays,"Order now","Selected")))))))</f>
        <v/>
      </c>
      <c r="Z510" s="79">
        <f>IF(B510="","",IF(OR(AH510=1,AE510=1),2,IF(OR(AG510=1,AF510=1),1,IF(OR(Y510="Ordered",Y510="Delivered"),0,""))))</f>
        <v/>
      </c>
      <c r="AA510" s="112">
        <f>IF(B510="","",IF(AH510=1,IF(Y510="⚠️ Delivery after install date",R510,S510),IF(AD510=1,T510,IF(AI510=1,S510,""))))</f>
        <v/>
      </c>
      <c r="AB510" s="79">
        <f>IF(AA510="","",IF(AH510=1,1,IF(AA510="","",IF(AA510&lt;AsOf,1,IF(AA510&lt;=AsOf+AlertDays,2,IF(AA510&lt;=AsOf+2*AlertDays,3,""))))))</f>
        <v/>
      </c>
      <c r="AC510" s="79">
        <f>IF(AB510="","",IF(AH510=1,IF(Y510="⚠️ Delivery after install date","Delivery after install date: "&amp;B510,"Order late — install at risk: "&amp;B510),IF(AD510=1,IF(AB510=1,"Decision overdue: ","Decide: ")&amp;B510,"Order: "&amp;B510&amp;IF(N510="",""," from "&amp;N510))))</f>
        <v/>
      </c>
      <c r="AD510" s="79">
        <f>IF(AND(B510&lt;&gt;"",K510="",U510&lt;&gt;"Yes",X510&lt;&gt;"Yes"),1,0)</f>
        <v/>
      </c>
      <c r="AE510" s="79">
        <f>IF(AND(AD510=1,T510&lt;&gt;""),IF(T510&lt;AsOf,1,0),0)</f>
        <v/>
      </c>
      <c r="AF510" s="79">
        <f>IF(AND(AD510=1,T510&lt;&gt;""),IF(AND(T510&gt;=AsOf,T510&lt;=AsOf+AlertDays),1,0),0)</f>
        <v/>
      </c>
      <c r="AG510" s="79">
        <f>IF(Y510="Order now",1,0)</f>
        <v/>
      </c>
      <c r="AH510" s="79">
        <f>IF(OR(Y510="⚠️ Order late — install at risk",Y510="⚠️ Delivery after install date"),1,0)</f>
        <v/>
      </c>
      <c r="AI510" s="79">
        <f>IF(AND(B510&lt;&gt;"",K510&lt;&gt;"",U510&lt;&gt;"Yes",X510&lt;&gt;"Yes"),1,0)</f>
        <v/>
      </c>
      <c r="AJ510" s="79">
        <f>IF(Y510="⚠️ Order late — install at risk",1,0)</f>
        <v/>
      </c>
    </row>
    <row r="511" ht="20" customHeight="1">
      <c r="B511" s="72" t="n"/>
      <c r="C511" s="72" t="n"/>
      <c r="D511" s="72" t="n"/>
      <c r="E511" s="72" t="n"/>
      <c r="F511" s="73" t="n"/>
      <c r="G511" s="72" t="n"/>
      <c r="H511" s="73" t="n"/>
      <c r="I511" s="72" t="n"/>
      <c r="J511" s="73" t="n"/>
      <c r="K511" s="74" t="n"/>
      <c r="L511" s="75">
        <f>IF(K511="A",F511,IF(K511="B",H511,IF(K511="C",J511,"")))</f>
        <v/>
      </c>
      <c r="M511" s="72" t="n"/>
      <c r="N511" s="72" t="n"/>
      <c r="O511" s="89" t="n"/>
      <c r="P511" s="89" t="n"/>
      <c r="Q511" s="109" t="n"/>
      <c r="R511" s="120">
        <f>IF(B511="","",IF(Q511&lt;&gt;"",Q511,IF(P511="","",IFERROR(INDEX('Timeline'!$J$7:$J$1006,MATCH(P511,'Timeline'!$B$7:$B$1006,0)),""))))</f>
        <v/>
      </c>
      <c r="S511" s="126">
        <f>IF(R511="","",R511-IF(O511="",0,O511)-OrderBuf)</f>
        <v/>
      </c>
      <c r="T511" s="126">
        <f>IF(S511="","",S511-DecideBuf)</f>
        <v/>
      </c>
      <c r="U511" s="74" t="n"/>
      <c r="V511" s="109" t="n"/>
      <c r="W511" s="109" t="n"/>
      <c r="X511" s="74" t="n"/>
      <c r="Y511" s="116">
        <f>IF(B511="","",IF(X511="Yes","Delivered",IF(U511="Yes",IF(AND(W511&lt;&gt;"",R511&lt;&gt;""),IF(W511&gt;R511,"⚠️ Delivery after install date","Ordered"),"Ordered"),IF(K511="",IF(T511="","Waiting for decision",IF(T511&lt;=AsOf+AlertDays,"Decide now","Waiting for decision")),IF(S511="","Selected",IF(AsOf&gt;S511,"⚠️ Order late — install at risk",IF(S511&lt;=AsOf+AlertDays,"Order now","Selected")))))))</f>
        <v/>
      </c>
      <c r="Z511" s="79">
        <f>IF(B511="","",IF(OR(AH511=1,AE511=1),2,IF(OR(AG511=1,AF511=1),1,IF(OR(Y511="Ordered",Y511="Delivered"),0,""))))</f>
        <v/>
      </c>
      <c r="AA511" s="112">
        <f>IF(B511="","",IF(AH511=1,IF(Y511="⚠️ Delivery after install date",R511,S511),IF(AD511=1,T511,IF(AI511=1,S511,""))))</f>
        <v/>
      </c>
      <c r="AB511" s="79">
        <f>IF(AA511="","",IF(AH511=1,1,IF(AA511="","",IF(AA511&lt;AsOf,1,IF(AA511&lt;=AsOf+AlertDays,2,IF(AA511&lt;=AsOf+2*AlertDays,3,""))))))</f>
        <v/>
      </c>
      <c r="AC511" s="79">
        <f>IF(AB511="","",IF(AH511=1,IF(Y511="⚠️ Delivery after install date","Delivery after install date: "&amp;B511,"Order late — install at risk: "&amp;B511),IF(AD511=1,IF(AB511=1,"Decision overdue: ","Decide: ")&amp;B511,"Order: "&amp;B511&amp;IF(N511="",""," from "&amp;N511))))</f>
        <v/>
      </c>
      <c r="AD511" s="79">
        <f>IF(AND(B511&lt;&gt;"",K511="",U511&lt;&gt;"Yes",X511&lt;&gt;"Yes"),1,0)</f>
        <v/>
      </c>
      <c r="AE511" s="79">
        <f>IF(AND(AD511=1,T511&lt;&gt;""),IF(T511&lt;AsOf,1,0),0)</f>
        <v/>
      </c>
      <c r="AF511" s="79">
        <f>IF(AND(AD511=1,T511&lt;&gt;""),IF(AND(T511&gt;=AsOf,T511&lt;=AsOf+AlertDays),1,0),0)</f>
        <v/>
      </c>
      <c r="AG511" s="79">
        <f>IF(Y511="Order now",1,0)</f>
        <v/>
      </c>
      <c r="AH511" s="79">
        <f>IF(OR(Y511="⚠️ Order late — install at risk",Y511="⚠️ Delivery after install date"),1,0)</f>
        <v/>
      </c>
      <c r="AI511" s="79">
        <f>IF(AND(B511&lt;&gt;"",K511&lt;&gt;"",U511&lt;&gt;"Yes",X511&lt;&gt;"Yes"),1,0)</f>
        <v/>
      </c>
      <c r="AJ511" s="79">
        <f>IF(Y511="⚠️ Order late — install at risk",1,0)</f>
        <v/>
      </c>
    </row>
    <row r="512" ht="20" customHeight="1">
      <c r="B512" s="72" t="n"/>
      <c r="C512" s="72" t="n"/>
      <c r="D512" s="72" t="n"/>
      <c r="E512" s="72" t="n"/>
      <c r="F512" s="73" t="n"/>
      <c r="G512" s="72" t="n"/>
      <c r="H512" s="73" t="n"/>
      <c r="I512" s="72" t="n"/>
      <c r="J512" s="73" t="n"/>
      <c r="K512" s="74" t="n"/>
      <c r="L512" s="75">
        <f>IF(K512="A",F512,IF(K512="B",H512,IF(K512="C",J512,"")))</f>
        <v/>
      </c>
      <c r="M512" s="72" t="n"/>
      <c r="N512" s="72" t="n"/>
      <c r="O512" s="89" t="n"/>
      <c r="P512" s="89" t="n"/>
      <c r="Q512" s="109" t="n"/>
      <c r="R512" s="120">
        <f>IF(B512="","",IF(Q512&lt;&gt;"",Q512,IF(P512="","",IFERROR(INDEX('Timeline'!$J$7:$J$1006,MATCH(P512,'Timeline'!$B$7:$B$1006,0)),""))))</f>
        <v/>
      </c>
      <c r="S512" s="126">
        <f>IF(R512="","",R512-IF(O512="",0,O512)-OrderBuf)</f>
        <v/>
      </c>
      <c r="T512" s="126">
        <f>IF(S512="","",S512-DecideBuf)</f>
        <v/>
      </c>
      <c r="U512" s="74" t="n"/>
      <c r="V512" s="109" t="n"/>
      <c r="W512" s="109" t="n"/>
      <c r="X512" s="74" t="n"/>
      <c r="Y512" s="116">
        <f>IF(B512="","",IF(X512="Yes","Delivered",IF(U512="Yes",IF(AND(W512&lt;&gt;"",R512&lt;&gt;""),IF(W512&gt;R512,"⚠️ Delivery after install date","Ordered"),"Ordered"),IF(K512="",IF(T512="","Waiting for decision",IF(T512&lt;=AsOf+AlertDays,"Decide now","Waiting for decision")),IF(S512="","Selected",IF(AsOf&gt;S512,"⚠️ Order late — install at risk",IF(S512&lt;=AsOf+AlertDays,"Order now","Selected")))))))</f>
        <v/>
      </c>
      <c r="Z512" s="79">
        <f>IF(B512="","",IF(OR(AH512=1,AE512=1),2,IF(OR(AG512=1,AF512=1),1,IF(OR(Y512="Ordered",Y512="Delivered"),0,""))))</f>
        <v/>
      </c>
      <c r="AA512" s="112">
        <f>IF(B512="","",IF(AH512=1,IF(Y512="⚠️ Delivery after install date",R512,S512),IF(AD512=1,T512,IF(AI512=1,S512,""))))</f>
        <v/>
      </c>
      <c r="AB512" s="79">
        <f>IF(AA512="","",IF(AH512=1,1,IF(AA512="","",IF(AA512&lt;AsOf,1,IF(AA512&lt;=AsOf+AlertDays,2,IF(AA512&lt;=AsOf+2*AlertDays,3,""))))))</f>
        <v/>
      </c>
      <c r="AC512" s="79">
        <f>IF(AB512="","",IF(AH512=1,IF(Y512="⚠️ Delivery after install date","Delivery after install date: "&amp;B512,"Order late — install at risk: "&amp;B512),IF(AD512=1,IF(AB512=1,"Decision overdue: ","Decide: ")&amp;B512,"Order: "&amp;B512&amp;IF(N512="",""," from "&amp;N512))))</f>
        <v/>
      </c>
      <c r="AD512" s="79">
        <f>IF(AND(B512&lt;&gt;"",K512="",U512&lt;&gt;"Yes",X512&lt;&gt;"Yes"),1,0)</f>
        <v/>
      </c>
      <c r="AE512" s="79">
        <f>IF(AND(AD512=1,T512&lt;&gt;""),IF(T512&lt;AsOf,1,0),0)</f>
        <v/>
      </c>
      <c r="AF512" s="79">
        <f>IF(AND(AD512=1,T512&lt;&gt;""),IF(AND(T512&gt;=AsOf,T512&lt;=AsOf+AlertDays),1,0),0)</f>
        <v/>
      </c>
      <c r="AG512" s="79">
        <f>IF(Y512="Order now",1,0)</f>
        <v/>
      </c>
      <c r="AH512" s="79">
        <f>IF(OR(Y512="⚠️ Order late — install at risk",Y512="⚠️ Delivery after install date"),1,0)</f>
        <v/>
      </c>
      <c r="AI512" s="79">
        <f>IF(AND(B512&lt;&gt;"",K512&lt;&gt;"",U512&lt;&gt;"Yes",X512&lt;&gt;"Yes"),1,0)</f>
        <v/>
      </c>
      <c r="AJ512" s="79">
        <f>IF(Y512="⚠️ Order late — install at risk",1,0)</f>
        <v/>
      </c>
    </row>
    <row r="513" ht="20" customHeight="1">
      <c r="B513" s="72" t="n"/>
      <c r="C513" s="72" t="n"/>
      <c r="D513" s="72" t="n"/>
      <c r="E513" s="72" t="n"/>
      <c r="F513" s="73" t="n"/>
      <c r="G513" s="72" t="n"/>
      <c r="H513" s="73" t="n"/>
      <c r="I513" s="72" t="n"/>
      <c r="J513" s="73" t="n"/>
      <c r="K513" s="74" t="n"/>
      <c r="L513" s="75">
        <f>IF(K513="A",F513,IF(K513="B",H513,IF(K513="C",J513,"")))</f>
        <v/>
      </c>
      <c r="M513" s="72" t="n"/>
      <c r="N513" s="72" t="n"/>
      <c r="O513" s="89" t="n"/>
      <c r="P513" s="89" t="n"/>
      <c r="Q513" s="109" t="n"/>
      <c r="R513" s="120">
        <f>IF(B513="","",IF(Q513&lt;&gt;"",Q513,IF(P513="","",IFERROR(INDEX('Timeline'!$J$7:$J$1006,MATCH(P513,'Timeline'!$B$7:$B$1006,0)),""))))</f>
        <v/>
      </c>
      <c r="S513" s="126">
        <f>IF(R513="","",R513-IF(O513="",0,O513)-OrderBuf)</f>
        <v/>
      </c>
      <c r="T513" s="126">
        <f>IF(S513="","",S513-DecideBuf)</f>
        <v/>
      </c>
      <c r="U513" s="74" t="n"/>
      <c r="V513" s="109" t="n"/>
      <c r="W513" s="109" t="n"/>
      <c r="X513" s="74" t="n"/>
      <c r="Y513" s="116">
        <f>IF(B513="","",IF(X513="Yes","Delivered",IF(U513="Yes",IF(AND(W513&lt;&gt;"",R513&lt;&gt;""),IF(W513&gt;R513,"⚠️ Delivery after install date","Ordered"),"Ordered"),IF(K513="",IF(T513="","Waiting for decision",IF(T513&lt;=AsOf+AlertDays,"Decide now","Waiting for decision")),IF(S513="","Selected",IF(AsOf&gt;S513,"⚠️ Order late — install at risk",IF(S513&lt;=AsOf+AlertDays,"Order now","Selected")))))))</f>
        <v/>
      </c>
      <c r="Z513" s="79">
        <f>IF(B513="","",IF(OR(AH513=1,AE513=1),2,IF(OR(AG513=1,AF513=1),1,IF(OR(Y513="Ordered",Y513="Delivered"),0,""))))</f>
        <v/>
      </c>
      <c r="AA513" s="112">
        <f>IF(B513="","",IF(AH513=1,IF(Y513="⚠️ Delivery after install date",R513,S513),IF(AD513=1,T513,IF(AI513=1,S513,""))))</f>
        <v/>
      </c>
      <c r="AB513" s="79">
        <f>IF(AA513="","",IF(AH513=1,1,IF(AA513="","",IF(AA513&lt;AsOf,1,IF(AA513&lt;=AsOf+AlertDays,2,IF(AA513&lt;=AsOf+2*AlertDays,3,""))))))</f>
        <v/>
      </c>
      <c r="AC513" s="79">
        <f>IF(AB513="","",IF(AH513=1,IF(Y513="⚠️ Delivery after install date","Delivery after install date: "&amp;B513,"Order late — install at risk: "&amp;B513),IF(AD513=1,IF(AB513=1,"Decision overdue: ","Decide: ")&amp;B513,"Order: "&amp;B513&amp;IF(N513="",""," from "&amp;N513))))</f>
        <v/>
      </c>
      <c r="AD513" s="79">
        <f>IF(AND(B513&lt;&gt;"",K513="",U513&lt;&gt;"Yes",X513&lt;&gt;"Yes"),1,0)</f>
        <v/>
      </c>
      <c r="AE513" s="79">
        <f>IF(AND(AD513=1,T513&lt;&gt;""),IF(T513&lt;AsOf,1,0),0)</f>
        <v/>
      </c>
      <c r="AF513" s="79">
        <f>IF(AND(AD513=1,T513&lt;&gt;""),IF(AND(T513&gt;=AsOf,T513&lt;=AsOf+AlertDays),1,0),0)</f>
        <v/>
      </c>
      <c r="AG513" s="79">
        <f>IF(Y513="Order now",1,0)</f>
        <v/>
      </c>
      <c r="AH513" s="79">
        <f>IF(OR(Y513="⚠️ Order late — install at risk",Y513="⚠️ Delivery after install date"),1,0)</f>
        <v/>
      </c>
      <c r="AI513" s="79">
        <f>IF(AND(B513&lt;&gt;"",K513&lt;&gt;"",U513&lt;&gt;"Yes",X513&lt;&gt;"Yes"),1,0)</f>
        <v/>
      </c>
      <c r="AJ513" s="79">
        <f>IF(Y513="⚠️ Order late — install at risk",1,0)</f>
        <v/>
      </c>
    </row>
    <row r="514" ht="20" customHeight="1">
      <c r="B514" s="72" t="n"/>
      <c r="C514" s="72" t="n"/>
      <c r="D514" s="72" t="n"/>
      <c r="E514" s="72" t="n"/>
      <c r="F514" s="73" t="n"/>
      <c r="G514" s="72" t="n"/>
      <c r="H514" s="73" t="n"/>
      <c r="I514" s="72" t="n"/>
      <c r="J514" s="73" t="n"/>
      <c r="K514" s="74" t="n"/>
      <c r="L514" s="75">
        <f>IF(K514="A",F514,IF(K514="B",H514,IF(K514="C",J514,"")))</f>
        <v/>
      </c>
      <c r="M514" s="72" t="n"/>
      <c r="N514" s="72" t="n"/>
      <c r="O514" s="89" t="n"/>
      <c r="P514" s="89" t="n"/>
      <c r="Q514" s="109" t="n"/>
      <c r="R514" s="120">
        <f>IF(B514="","",IF(Q514&lt;&gt;"",Q514,IF(P514="","",IFERROR(INDEX('Timeline'!$J$7:$J$1006,MATCH(P514,'Timeline'!$B$7:$B$1006,0)),""))))</f>
        <v/>
      </c>
      <c r="S514" s="126">
        <f>IF(R514="","",R514-IF(O514="",0,O514)-OrderBuf)</f>
        <v/>
      </c>
      <c r="T514" s="126">
        <f>IF(S514="","",S514-DecideBuf)</f>
        <v/>
      </c>
      <c r="U514" s="74" t="n"/>
      <c r="V514" s="109" t="n"/>
      <c r="W514" s="109" t="n"/>
      <c r="X514" s="74" t="n"/>
      <c r="Y514" s="116">
        <f>IF(B514="","",IF(X514="Yes","Delivered",IF(U514="Yes",IF(AND(W514&lt;&gt;"",R514&lt;&gt;""),IF(W514&gt;R514,"⚠️ Delivery after install date","Ordered"),"Ordered"),IF(K514="",IF(T514="","Waiting for decision",IF(T514&lt;=AsOf+AlertDays,"Decide now","Waiting for decision")),IF(S514="","Selected",IF(AsOf&gt;S514,"⚠️ Order late — install at risk",IF(S514&lt;=AsOf+AlertDays,"Order now","Selected")))))))</f>
        <v/>
      </c>
      <c r="Z514" s="79">
        <f>IF(B514="","",IF(OR(AH514=1,AE514=1),2,IF(OR(AG514=1,AF514=1),1,IF(OR(Y514="Ordered",Y514="Delivered"),0,""))))</f>
        <v/>
      </c>
      <c r="AA514" s="112">
        <f>IF(B514="","",IF(AH514=1,IF(Y514="⚠️ Delivery after install date",R514,S514),IF(AD514=1,T514,IF(AI514=1,S514,""))))</f>
        <v/>
      </c>
      <c r="AB514" s="79">
        <f>IF(AA514="","",IF(AH514=1,1,IF(AA514="","",IF(AA514&lt;AsOf,1,IF(AA514&lt;=AsOf+AlertDays,2,IF(AA514&lt;=AsOf+2*AlertDays,3,""))))))</f>
        <v/>
      </c>
      <c r="AC514" s="79">
        <f>IF(AB514="","",IF(AH514=1,IF(Y514="⚠️ Delivery after install date","Delivery after install date: "&amp;B514,"Order late — install at risk: "&amp;B514),IF(AD514=1,IF(AB514=1,"Decision overdue: ","Decide: ")&amp;B514,"Order: "&amp;B514&amp;IF(N514="",""," from "&amp;N514))))</f>
        <v/>
      </c>
      <c r="AD514" s="79">
        <f>IF(AND(B514&lt;&gt;"",K514="",U514&lt;&gt;"Yes",X514&lt;&gt;"Yes"),1,0)</f>
        <v/>
      </c>
      <c r="AE514" s="79">
        <f>IF(AND(AD514=1,T514&lt;&gt;""),IF(T514&lt;AsOf,1,0),0)</f>
        <v/>
      </c>
      <c r="AF514" s="79">
        <f>IF(AND(AD514=1,T514&lt;&gt;""),IF(AND(T514&gt;=AsOf,T514&lt;=AsOf+AlertDays),1,0),0)</f>
        <v/>
      </c>
      <c r="AG514" s="79">
        <f>IF(Y514="Order now",1,0)</f>
        <v/>
      </c>
      <c r="AH514" s="79">
        <f>IF(OR(Y514="⚠️ Order late — install at risk",Y514="⚠️ Delivery after install date"),1,0)</f>
        <v/>
      </c>
      <c r="AI514" s="79">
        <f>IF(AND(B514&lt;&gt;"",K514&lt;&gt;"",U514&lt;&gt;"Yes",X514&lt;&gt;"Yes"),1,0)</f>
        <v/>
      </c>
      <c r="AJ514" s="79">
        <f>IF(Y514="⚠️ Order late — install at risk",1,0)</f>
        <v/>
      </c>
    </row>
    <row r="515" ht="20" customHeight="1">
      <c r="B515" s="72" t="n"/>
      <c r="C515" s="72" t="n"/>
      <c r="D515" s="72" t="n"/>
      <c r="E515" s="72" t="n"/>
      <c r="F515" s="73" t="n"/>
      <c r="G515" s="72" t="n"/>
      <c r="H515" s="73" t="n"/>
      <c r="I515" s="72" t="n"/>
      <c r="J515" s="73" t="n"/>
      <c r="K515" s="74" t="n"/>
      <c r="L515" s="75">
        <f>IF(K515="A",F515,IF(K515="B",H515,IF(K515="C",J515,"")))</f>
        <v/>
      </c>
      <c r="M515" s="72" t="n"/>
      <c r="N515" s="72" t="n"/>
      <c r="O515" s="89" t="n"/>
      <c r="P515" s="89" t="n"/>
      <c r="Q515" s="109" t="n"/>
      <c r="R515" s="120">
        <f>IF(B515="","",IF(Q515&lt;&gt;"",Q515,IF(P515="","",IFERROR(INDEX('Timeline'!$J$7:$J$1006,MATCH(P515,'Timeline'!$B$7:$B$1006,0)),""))))</f>
        <v/>
      </c>
      <c r="S515" s="126">
        <f>IF(R515="","",R515-IF(O515="",0,O515)-OrderBuf)</f>
        <v/>
      </c>
      <c r="T515" s="126">
        <f>IF(S515="","",S515-DecideBuf)</f>
        <v/>
      </c>
      <c r="U515" s="74" t="n"/>
      <c r="V515" s="109" t="n"/>
      <c r="W515" s="109" t="n"/>
      <c r="X515" s="74" t="n"/>
      <c r="Y515" s="116">
        <f>IF(B515="","",IF(X515="Yes","Delivered",IF(U515="Yes",IF(AND(W515&lt;&gt;"",R515&lt;&gt;""),IF(W515&gt;R515,"⚠️ Delivery after install date","Ordered"),"Ordered"),IF(K515="",IF(T515="","Waiting for decision",IF(T515&lt;=AsOf+AlertDays,"Decide now","Waiting for decision")),IF(S515="","Selected",IF(AsOf&gt;S515,"⚠️ Order late — install at risk",IF(S515&lt;=AsOf+AlertDays,"Order now","Selected")))))))</f>
        <v/>
      </c>
      <c r="Z515" s="79">
        <f>IF(B515="","",IF(OR(AH515=1,AE515=1),2,IF(OR(AG515=1,AF515=1),1,IF(OR(Y515="Ordered",Y515="Delivered"),0,""))))</f>
        <v/>
      </c>
      <c r="AA515" s="112">
        <f>IF(B515="","",IF(AH515=1,IF(Y515="⚠️ Delivery after install date",R515,S515),IF(AD515=1,T515,IF(AI515=1,S515,""))))</f>
        <v/>
      </c>
      <c r="AB515" s="79">
        <f>IF(AA515="","",IF(AH515=1,1,IF(AA515="","",IF(AA515&lt;AsOf,1,IF(AA515&lt;=AsOf+AlertDays,2,IF(AA515&lt;=AsOf+2*AlertDays,3,""))))))</f>
        <v/>
      </c>
      <c r="AC515" s="79">
        <f>IF(AB515="","",IF(AH515=1,IF(Y515="⚠️ Delivery after install date","Delivery after install date: "&amp;B515,"Order late — install at risk: "&amp;B515),IF(AD515=1,IF(AB515=1,"Decision overdue: ","Decide: ")&amp;B515,"Order: "&amp;B515&amp;IF(N515="",""," from "&amp;N515))))</f>
        <v/>
      </c>
      <c r="AD515" s="79">
        <f>IF(AND(B515&lt;&gt;"",K515="",U515&lt;&gt;"Yes",X515&lt;&gt;"Yes"),1,0)</f>
        <v/>
      </c>
      <c r="AE515" s="79">
        <f>IF(AND(AD515=1,T515&lt;&gt;""),IF(T515&lt;AsOf,1,0),0)</f>
        <v/>
      </c>
      <c r="AF515" s="79">
        <f>IF(AND(AD515=1,T515&lt;&gt;""),IF(AND(T515&gt;=AsOf,T515&lt;=AsOf+AlertDays),1,0),0)</f>
        <v/>
      </c>
      <c r="AG515" s="79">
        <f>IF(Y515="Order now",1,0)</f>
        <v/>
      </c>
      <c r="AH515" s="79">
        <f>IF(OR(Y515="⚠️ Order late — install at risk",Y515="⚠️ Delivery after install date"),1,0)</f>
        <v/>
      </c>
      <c r="AI515" s="79">
        <f>IF(AND(B515&lt;&gt;"",K515&lt;&gt;"",U515&lt;&gt;"Yes",X515&lt;&gt;"Yes"),1,0)</f>
        <v/>
      </c>
      <c r="AJ515" s="79">
        <f>IF(Y515="⚠️ Order late — install at risk",1,0)</f>
        <v/>
      </c>
    </row>
    <row r="516" ht="20" customHeight="1">
      <c r="B516" s="72" t="n"/>
      <c r="C516" s="72" t="n"/>
      <c r="D516" s="72" t="n"/>
      <c r="E516" s="72" t="n"/>
      <c r="F516" s="73" t="n"/>
      <c r="G516" s="72" t="n"/>
      <c r="H516" s="73" t="n"/>
      <c r="I516" s="72" t="n"/>
      <c r="J516" s="73" t="n"/>
      <c r="K516" s="74" t="n"/>
      <c r="L516" s="75">
        <f>IF(K516="A",F516,IF(K516="B",H516,IF(K516="C",J516,"")))</f>
        <v/>
      </c>
      <c r="M516" s="72" t="n"/>
      <c r="N516" s="72" t="n"/>
      <c r="O516" s="89" t="n"/>
      <c r="P516" s="89" t="n"/>
      <c r="Q516" s="109" t="n"/>
      <c r="R516" s="120">
        <f>IF(B516="","",IF(Q516&lt;&gt;"",Q516,IF(P516="","",IFERROR(INDEX('Timeline'!$J$7:$J$1006,MATCH(P516,'Timeline'!$B$7:$B$1006,0)),""))))</f>
        <v/>
      </c>
      <c r="S516" s="126">
        <f>IF(R516="","",R516-IF(O516="",0,O516)-OrderBuf)</f>
        <v/>
      </c>
      <c r="T516" s="126">
        <f>IF(S516="","",S516-DecideBuf)</f>
        <v/>
      </c>
      <c r="U516" s="74" t="n"/>
      <c r="V516" s="109" t="n"/>
      <c r="W516" s="109" t="n"/>
      <c r="X516" s="74" t="n"/>
      <c r="Y516" s="116">
        <f>IF(B516="","",IF(X516="Yes","Delivered",IF(U516="Yes",IF(AND(W516&lt;&gt;"",R516&lt;&gt;""),IF(W516&gt;R516,"⚠️ Delivery after install date","Ordered"),"Ordered"),IF(K516="",IF(T516="","Waiting for decision",IF(T516&lt;=AsOf+AlertDays,"Decide now","Waiting for decision")),IF(S516="","Selected",IF(AsOf&gt;S516,"⚠️ Order late — install at risk",IF(S516&lt;=AsOf+AlertDays,"Order now","Selected")))))))</f>
        <v/>
      </c>
      <c r="Z516" s="79">
        <f>IF(B516="","",IF(OR(AH516=1,AE516=1),2,IF(OR(AG516=1,AF516=1),1,IF(OR(Y516="Ordered",Y516="Delivered"),0,""))))</f>
        <v/>
      </c>
      <c r="AA516" s="112">
        <f>IF(B516="","",IF(AH516=1,IF(Y516="⚠️ Delivery after install date",R516,S516),IF(AD516=1,T516,IF(AI516=1,S516,""))))</f>
        <v/>
      </c>
      <c r="AB516" s="79">
        <f>IF(AA516="","",IF(AH516=1,1,IF(AA516="","",IF(AA516&lt;AsOf,1,IF(AA516&lt;=AsOf+AlertDays,2,IF(AA516&lt;=AsOf+2*AlertDays,3,""))))))</f>
        <v/>
      </c>
      <c r="AC516" s="79">
        <f>IF(AB516="","",IF(AH516=1,IF(Y516="⚠️ Delivery after install date","Delivery after install date: "&amp;B516,"Order late — install at risk: "&amp;B516),IF(AD516=1,IF(AB516=1,"Decision overdue: ","Decide: ")&amp;B516,"Order: "&amp;B516&amp;IF(N516="",""," from "&amp;N516))))</f>
        <v/>
      </c>
      <c r="AD516" s="79">
        <f>IF(AND(B516&lt;&gt;"",K516="",U516&lt;&gt;"Yes",X516&lt;&gt;"Yes"),1,0)</f>
        <v/>
      </c>
      <c r="AE516" s="79">
        <f>IF(AND(AD516=1,T516&lt;&gt;""),IF(T516&lt;AsOf,1,0),0)</f>
        <v/>
      </c>
      <c r="AF516" s="79">
        <f>IF(AND(AD516=1,T516&lt;&gt;""),IF(AND(T516&gt;=AsOf,T516&lt;=AsOf+AlertDays),1,0),0)</f>
        <v/>
      </c>
      <c r="AG516" s="79">
        <f>IF(Y516="Order now",1,0)</f>
        <v/>
      </c>
      <c r="AH516" s="79">
        <f>IF(OR(Y516="⚠️ Order late — install at risk",Y516="⚠️ Delivery after install date"),1,0)</f>
        <v/>
      </c>
      <c r="AI516" s="79">
        <f>IF(AND(B516&lt;&gt;"",K516&lt;&gt;"",U516&lt;&gt;"Yes",X516&lt;&gt;"Yes"),1,0)</f>
        <v/>
      </c>
      <c r="AJ516" s="79">
        <f>IF(Y516="⚠️ Order late — install at risk",1,0)</f>
        <v/>
      </c>
    </row>
    <row r="517" ht="20" customHeight="1">
      <c r="B517" s="72" t="n"/>
      <c r="C517" s="72" t="n"/>
      <c r="D517" s="72" t="n"/>
      <c r="E517" s="72" t="n"/>
      <c r="F517" s="73" t="n"/>
      <c r="G517" s="72" t="n"/>
      <c r="H517" s="73" t="n"/>
      <c r="I517" s="72" t="n"/>
      <c r="J517" s="73" t="n"/>
      <c r="K517" s="74" t="n"/>
      <c r="L517" s="75">
        <f>IF(K517="A",F517,IF(K517="B",H517,IF(K517="C",J517,"")))</f>
        <v/>
      </c>
      <c r="M517" s="72" t="n"/>
      <c r="N517" s="72" t="n"/>
      <c r="O517" s="89" t="n"/>
      <c r="P517" s="89" t="n"/>
      <c r="Q517" s="109" t="n"/>
      <c r="R517" s="120">
        <f>IF(B517="","",IF(Q517&lt;&gt;"",Q517,IF(P517="","",IFERROR(INDEX('Timeline'!$J$7:$J$1006,MATCH(P517,'Timeline'!$B$7:$B$1006,0)),""))))</f>
        <v/>
      </c>
      <c r="S517" s="126">
        <f>IF(R517="","",R517-IF(O517="",0,O517)-OrderBuf)</f>
        <v/>
      </c>
      <c r="T517" s="126">
        <f>IF(S517="","",S517-DecideBuf)</f>
        <v/>
      </c>
      <c r="U517" s="74" t="n"/>
      <c r="V517" s="109" t="n"/>
      <c r="W517" s="109" t="n"/>
      <c r="X517" s="74" t="n"/>
      <c r="Y517" s="116">
        <f>IF(B517="","",IF(X517="Yes","Delivered",IF(U517="Yes",IF(AND(W517&lt;&gt;"",R517&lt;&gt;""),IF(W517&gt;R517,"⚠️ Delivery after install date","Ordered"),"Ordered"),IF(K517="",IF(T517="","Waiting for decision",IF(T517&lt;=AsOf+AlertDays,"Decide now","Waiting for decision")),IF(S517="","Selected",IF(AsOf&gt;S517,"⚠️ Order late — install at risk",IF(S517&lt;=AsOf+AlertDays,"Order now","Selected")))))))</f>
        <v/>
      </c>
      <c r="Z517" s="79">
        <f>IF(B517="","",IF(OR(AH517=1,AE517=1),2,IF(OR(AG517=1,AF517=1),1,IF(OR(Y517="Ordered",Y517="Delivered"),0,""))))</f>
        <v/>
      </c>
      <c r="AA517" s="112">
        <f>IF(B517="","",IF(AH517=1,IF(Y517="⚠️ Delivery after install date",R517,S517),IF(AD517=1,T517,IF(AI517=1,S517,""))))</f>
        <v/>
      </c>
      <c r="AB517" s="79">
        <f>IF(AA517="","",IF(AH517=1,1,IF(AA517="","",IF(AA517&lt;AsOf,1,IF(AA517&lt;=AsOf+AlertDays,2,IF(AA517&lt;=AsOf+2*AlertDays,3,""))))))</f>
        <v/>
      </c>
      <c r="AC517" s="79">
        <f>IF(AB517="","",IF(AH517=1,IF(Y517="⚠️ Delivery after install date","Delivery after install date: "&amp;B517,"Order late — install at risk: "&amp;B517),IF(AD517=1,IF(AB517=1,"Decision overdue: ","Decide: ")&amp;B517,"Order: "&amp;B517&amp;IF(N517="",""," from "&amp;N517))))</f>
        <v/>
      </c>
      <c r="AD517" s="79">
        <f>IF(AND(B517&lt;&gt;"",K517="",U517&lt;&gt;"Yes",X517&lt;&gt;"Yes"),1,0)</f>
        <v/>
      </c>
      <c r="AE517" s="79">
        <f>IF(AND(AD517=1,T517&lt;&gt;""),IF(T517&lt;AsOf,1,0),0)</f>
        <v/>
      </c>
      <c r="AF517" s="79">
        <f>IF(AND(AD517=1,T517&lt;&gt;""),IF(AND(T517&gt;=AsOf,T517&lt;=AsOf+AlertDays),1,0),0)</f>
        <v/>
      </c>
      <c r="AG517" s="79">
        <f>IF(Y517="Order now",1,0)</f>
        <v/>
      </c>
      <c r="AH517" s="79">
        <f>IF(OR(Y517="⚠️ Order late — install at risk",Y517="⚠️ Delivery after install date"),1,0)</f>
        <v/>
      </c>
      <c r="AI517" s="79">
        <f>IF(AND(B517&lt;&gt;"",K517&lt;&gt;"",U517&lt;&gt;"Yes",X517&lt;&gt;"Yes"),1,0)</f>
        <v/>
      </c>
      <c r="AJ517" s="79">
        <f>IF(Y517="⚠️ Order late — install at risk",1,0)</f>
        <v/>
      </c>
    </row>
    <row r="518" ht="20" customHeight="1">
      <c r="B518" s="72" t="n"/>
      <c r="C518" s="72" t="n"/>
      <c r="D518" s="72" t="n"/>
      <c r="E518" s="72" t="n"/>
      <c r="F518" s="73" t="n"/>
      <c r="G518" s="72" t="n"/>
      <c r="H518" s="73" t="n"/>
      <c r="I518" s="72" t="n"/>
      <c r="J518" s="73" t="n"/>
      <c r="K518" s="74" t="n"/>
      <c r="L518" s="75">
        <f>IF(K518="A",F518,IF(K518="B",H518,IF(K518="C",J518,"")))</f>
        <v/>
      </c>
      <c r="M518" s="72" t="n"/>
      <c r="N518" s="72" t="n"/>
      <c r="O518" s="89" t="n"/>
      <c r="P518" s="89" t="n"/>
      <c r="Q518" s="109" t="n"/>
      <c r="R518" s="120">
        <f>IF(B518="","",IF(Q518&lt;&gt;"",Q518,IF(P518="","",IFERROR(INDEX('Timeline'!$J$7:$J$1006,MATCH(P518,'Timeline'!$B$7:$B$1006,0)),""))))</f>
        <v/>
      </c>
      <c r="S518" s="126">
        <f>IF(R518="","",R518-IF(O518="",0,O518)-OrderBuf)</f>
        <v/>
      </c>
      <c r="T518" s="126">
        <f>IF(S518="","",S518-DecideBuf)</f>
        <v/>
      </c>
      <c r="U518" s="74" t="n"/>
      <c r="V518" s="109" t="n"/>
      <c r="W518" s="109" t="n"/>
      <c r="X518" s="74" t="n"/>
      <c r="Y518" s="116">
        <f>IF(B518="","",IF(X518="Yes","Delivered",IF(U518="Yes",IF(AND(W518&lt;&gt;"",R518&lt;&gt;""),IF(W518&gt;R518,"⚠️ Delivery after install date","Ordered"),"Ordered"),IF(K518="",IF(T518="","Waiting for decision",IF(T518&lt;=AsOf+AlertDays,"Decide now","Waiting for decision")),IF(S518="","Selected",IF(AsOf&gt;S518,"⚠️ Order late — install at risk",IF(S518&lt;=AsOf+AlertDays,"Order now","Selected")))))))</f>
        <v/>
      </c>
      <c r="Z518" s="79">
        <f>IF(B518="","",IF(OR(AH518=1,AE518=1),2,IF(OR(AG518=1,AF518=1),1,IF(OR(Y518="Ordered",Y518="Delivered"),0,""))))</f>
        <v/>
      </c>
      <c r="AA518" s="112">
        <f>IF(B518="","",IF(AH518=1,IF(Y518="⚠️ Delivery after install date",R518,S518),IF(AD518=1,T518,IF(AI518=1,S518,""))))</f>
        <v/>
      </c>
      <c r="AB518" s="79">
        <f>IF(AA518="","",IF(AH518=1,1,IF(AA518="","",IF(AA518&lt;AsOf,1,IF(AA518&lt;=AsOf+AlertDays,2,IF(AA518&lt;=AsOf+2*AlertDays,3,""))))))</f>
        <v/>
      </c>
      <c r="AC518" s="79">
        <f>IF(AB518="","",IF(AH518=1,IF(Y518="⚠️ Delivery after install date","Delivery after install date: "&amp;B518,"Order late — install at risk: "&amp;B518),IF(AD518=1,IF(AB518=1,"Decision overdue: ","Decide: ")&amp;B518,"Order: "&amp;B518&amp;IF(N518="",""," from "&amp;N518))))</f>
        <v/>
      </c>
      <c r="AD518" s="79">
        <f>IF(AND(B518&lt;&gt;"",K518="",U518&lt;&gt;"Yes",X518&lt;&gt;"Yes"),1,0)</f>
        <v/>
      </c>
      <c r="AE518" s="79">
        <f>IF(AND(AD518=1,T518&lt;&gt;""),IF(T518&lt;AsOf,1,0),0)</f>
        <v/>
      </c>
      <c r="AF518" s="79">
        <f>IF(AND(AD518=1,T518&lt;&gt;""),IF(AND(T518&gt;=AsOf,T518&lt;=AsOf+AlertDays),1,0),0)</f>
        <v/>
      </c>
      <c r="AG518" s="79">
        <f>IF(Y518="Order now",1,0)</f>
        <v/>
      </c>
      <c r="AH518" s="79">
        <f>IF(OR(Y518="⚠️ Order late — install at risk",Y518="⚠️ Delivery after install date"),1,0)</f>
        <v/>
      </c>
      <c r="AI518" s="79">
        <f>IF(AND(B518&lt;&gt;"",K518&lt;&gt;"",U518&lt;&gt;"Yes",X518&lt;&gt;"Yes"),1,0)</f>
        <v/>
      </c>
      <c r="AJ518" s="79">
        <f>IF(Y518="⚠️ Order late — install at risk",1,0)</f>
        <v/>
      </c>
    </row>
    <row r="519" ht="20" customHeight="1">
      <c r="B519" s="72" t="n"/>
      <c r="C519" s="72" t="n"/>
      <c r="D519" s="72" t="n"/>
      <c r="E519" s="72" t="n"/>
      <c r="F519" s="73" t="n"/>
      <c r="G519" s="72" t="n"/>
      <c r="H519" s="73" t="n"/>
      <c r="I519" s="72" t="n"/>
      <c r="J519" s="73" t="n"/>
      <c r="K519" s="74" t="n"/>
      <c r="L519" s="75">
        <f>IF(K519="A",F519,IF(K519="B",H519,IF(K519="C",J519,"")))</f>
        <v/>
      </c>
      <c r="M519" s="72" t="n"/>
      <c r="N519" s="72" t="n"/>
      <c r="O519" s="89" t="n"/>
      <c r="P519" s="89" t="n"/>
      <c r="Q519" s="109" t="n"/>
      <c r="R519" s="120">
        <f>IF(B519="","",IF(Q519&lt;&gt;"",Q519,IF(P519="","",IFERROR(INDEX('Timeline'!$J$7:$J$1006,MATCH(P519,'Timeline'!$B$7:$B$1006,0)),""))))</f>
        <v/>
      </c>
      <c r="S519" s="126">
        <f>IF(R519="","",R519-IF(O519="",0,O519)-OrderBuf)</f>
        <v/>
      </c>
      <c r="T519" s="126">
        <f>IF(S519="","",S519-DecideBuf)</f>
        <v/>
      </c>
      <c r="U519" s="74" t="n"/>
      <c r="V519" s="109" t="n"/>
      <c r="W519" s="109" t="n"/>
      <c r="X519" s="74" t="n"/>
      <c r="Y519" s="116">
        <f>IF(B519="","",IF(X519="Yes","Delivered",IF(U519="Yes",IF(AND(W519&lt;&gt;"",R519&lt;&gt;""),IF(W519&gt;R519,"⚠️ Delivery after install date","Ordered"),"Ordered"),IF(K519="",IF(T519="","Waiting for decision",IF(T519&lt;=AsOf+AlertDays,"Decide now","Waiting for decision")),IF(S519="","Selected",IF(AsOf&gt;S519,"⚠️ Order late — install at risk",IF(S519&lt;=AsOf+AlertDays,"Order now","Selected")))))))</f>
        <v/>
      </c>
      <c r="Z519" s="79">
        <f>IF(B519="","",IF(OR(AH519=1,AE519=1),2,IF(OR(AG519=1,AF519=1),1,IF(OR(Y519="Ordered",Y519="Delivered"),0,""))))</f>
        <v/>
      </c>
      <c r="AA519" s="112">
        <f>IF(B519="","",IF(AH519=1,IF(Y519="⚠️ Delivery after install date",R519,S519),IF(AD519=1,T519,IF(AI519=1,S519,""))))</f>
        <v/>
      </c>
      <c r="AB519" s="79">
        <f>IF(AA519="","",IF(AH519=1,1,IF(AA519="","",IF(AA519&lt;AsOf,1,IF(AA519&lt;=AsOf+AlertDays,2,IF(AA519&lt;=AsOf+2*AlertDays,3,""))))))</f>
        <v/>
      </c>
      <c r="AC519" s="79">
        <f>IF(AB519="","",IF(AH519=1,IF(Y519="⚠️ Delivery after install date","Delivery after install date: "&amp;B519,"Order late — install at risk: "&amp;B519),IF(AD519=1,IF(AB519=1,"Decision overdue: ","Decide: ")&amp;B519,"Order: "&amp;B519&amp;IF(N519="",""," from "&amp;N519))))</f>
        <v/>
      </c>
      <c r="AD519" s="79">
        <f>IF(AND(B519&lt;&gt;"",K519="",U519&lt;&gt;"Yes",X519&lt;&gt;"Yes"),1,0)</f>
        <v/>
      </c>
      <c r="AE519" s="79">
        <f>IF(AND(AD519=1,T519&lt;&gt;""),IF(T519&lt;AsOf,1,0),0)</f>
        <v/>
      </c>
      <c r="AF519" s="79">
        <f>IF(AND(AD519=1,T519&lt;&gt;""),IF(AND(T519&gt;=AsOf,T519&lt;=AsOf+AlertDays),1,0),0)</f>
        <v/>
      </c>
      <c r="AG519" s="79">
        <f>IF(Y519="Order now",1,0)</f>
        <v/>
      </c>
      <c r="AH519" s="79">
        <f>IF(OR(Y519="⚠️ Order late — install at risk",Y519="⚠️ Delivery after install date"),1,0)</f>
        <v/>
      </c>
      <c r="AI519" s="79">
        <f>IF(AND(B519&lt;&gt;"",K519&lt;&gt;"",U519&lt;&gt;"Yes",X519&lt;&gt;"Yes"),1,0)</f>
        <v/>
      </c>
      <c r="AJ519" s="79">
        <f>IF(Y519="⚠️ Order late — install at risk",1,0)</f>
        <v/>
      </c>
    </row>
    <row r="520" ht="20" customHeight="1">
      <c r="B520" s="72" t="n"/>
      <c r="C520" s="72" t="n"/>
      <c r="D520" s="72" t="n"/>
      <c r="E520" s="72" t="n"/>
      <c r="F520" s="73" t="n"/>
      <c r="G520" s="72" t="n"/>
      <c r="H520" s="73" t="n"/>
      <c r="I520" s="72" t="n"/>
      <c r="J520" s="73" t="n"/>
      <c r="K520" s="74" t="n"/>
      <c r="L520" s="75">
        <f>IF(K520="A",F520,IF(K520="B",H520,IF(K520="C",J520,"")))</f>
        <v/>
      </c>
      <c r="M520" s="72" t="n"/>
      <c r="N520" s="72" t="n"/>
      <c r="O520" s="89" t="n"/>
      <c r="P520" s="89" t="n"/>
      <c r="Q520" s="109" t="n"/>
      <c r="R520" s="120">
        <f>IF(B520="","",IF(Q520&lt;&gt;"",Q520,IF(P520="","",IFERROR(INDEX('Timeline'!$J$7:$J$1006,MATCH(P520,'Timeline'!$B$7:$B$1006,0)),""))))</f>
        <v/>
      </c>
      <c r="S520" s="126">
        <f>IF(R520="","",R520-IF(O520="",0,O520)-OrderBuf)</f>
        <v/>
      </c>
      <c r="T520" s="126">
        <f>IF(S520="","",S520-DecideBuf)</f>
        <v/>
      </c>
      <c r="U520" s="74" t="n"/>
      <c r="V520" s="109" t="n"/>
      <c r="W520" s="109" t="n"/>
      <c r="X520" s="74" t="n"/>
      <c r="Y520" s="116">
        <f>IF(B520="","",IF(X520="Yes","Delivered",IF(U520="Yes",IF(AND(W520&lt;&gt;"",R520&lt;&gt;""),IF(W520&gt;R520,"⚠️ Delivery after install date","Ordered"),"Ordered"),IF(K520="",IF(T520="","Waiting for decision",IF(T520&lt;=AsOf+AlertDays,"Decide now","Waiting for decision")),IF(S520="","Selected",IF(AsOf&gt;S520,"⚠️ Order late — install at risk",IF(S520&lt;=AsOf+AlertDays,"Order now","Selected")))))))</f>
        <v/>
      </c>
      <c r="Z520" s="79">
        <f>IF(B520="","",IF(OR(AH520=1,AE520=1),2,IF(OR(AG520=1,AF520=1),1,IF(OR(Y520="Ordered",Y520="Delivered"),0,""))))</f>
        <v/>
      </c>
      <c r="AA520" s="112">
        <f>IF(B520="","",IF(AH520=1,IF(Y520="⚠️ Delivery after install date",R520,S520),IF(AD520=1,T520,IF(AI520=1,S520,""))))</f>
        <v/>
      </c>
      <c r="AB520" s="79">
        <f>IF(AA520="","",IF(AH520=1,1,IF(AA520="","",IF(AA520&lt;AsOf,1,IF(AA520&lt;=AsOf+AlertDays,2,IF(AA520&lt;=AsOf+2*AlertDays,3,""))))))</f>
        <v/>
      </c>
      <c r="AC520" s="79">
        <f>IF(AB520="","",IF(AH520=1,IF(Y520="⚠️ Delivery after install date","Delivery after install date: "&amp;B520,"Order late — install at risk: "&amp;B520),IF(AD520=1,IF(AB520=1,"Decision overdue: ","Decide: ")&amp;B520,"Order: "&amp;B520&amp;IF(N520="",""," from "&amp;N520))))</f>
        <v/>
      </c>
      <c r="AD520" s="79">
        <f>IF(AND(B520&lt;&gt;"",K520="",U520&lt;&gt;"Yes",X520&lt;&gt;"Yes"),1,0)</f>
        <v/>
      </c>
      <c r="AE520" s="79">
        <f>IF(AND(AD520=1,T520&lt;&gt;""),IF(T520&lt;AsOf,1,0),0)</f>
        <v/>
      </c>
      <c r="AF520" s="79">
        <f>IF(AND(AD520=1,T520&lt;&gt;""),IF(AND(T520&gt;=AsOf,T520&lt;=AsOf+AlertDays),1,0),0)</f>
        <v/>
      </c>
      <c r="AG520" s="79">
        <f>IF(Y520="Order now",1,0)</f>
        <v/>
      </c>
      <c r="AH520" s="79">
        <f>IF(OR(Y520="⚠️ Order late — install at risk",Y520="⚠️ Delivery after install date"),1,0)</f>
        <v/>
      </c>
      <c r="AI520" s="79">
        <f>IF(AND(B520&lt;&gt;"",K520&lt;&gt;"",U520&lt;&gt;"Yes",X520&lt;&gt;"Yes"),1,0)</f>
        <v/>
      </c>
      <c r="AJ520" s="79">
        <f>IF(Y520="⚠️ Order late — install at risk",1,0)</f>
        <v/>
      </c>
    </row>
    <row r="521" ht="20" customHeight="1">
      <c r="B521" s="72" t="n"/>
      <c r="C521" s="72" t="n"/>
      <c r="D521" s="72" t="n"/>
      <c r="E521" s="72" t="n"/>
      <c r="F521" s="73" t="n"/>
      <c r="G521" s="72" t="n"/>
      <c r="H521" s="73" t="n"/>
      <c r="I521" s="72" t="n"/>
      <c r="J521" s="73" t="n"/>
      <c r="K521" s="74" t="n"/>
      <c r="L521" s="75">
        <f>IF(K521="A",F521,IF(K521="B",H521,IF(K521="C",J521,"")))</f>
        <v/>
      </c>
      <c r="M521" s="72" t="n"/>
      <c r="N521" s="72" t="n"/>
      <c r="O521" s="89" t="n"/>
      <c r="P521" s="89" t="n"/>
      <c r="Q521" s="109" t="n"/>
      <c r="R521" s="120">
        <f>IF(B521="","",IF(Q521&lt;&gt;"",Q521,IF(P521="","",IFERROR(INDEX('Timeline'!$J$7:$J$1006,MATCH(P521,'Timeline'!$B$7:$B$1006,0)),""))))</f>
        <v/>
      </c>
      <c r="S521" s="126">
        <f>IF(R521="","",R521-IF(O521="",0,O521)-OrderBuf)</f>
        <v/>
      </c>
      <c r="T521" s="126">
        <f>IF(S521="","",S521-DecideBuf)</f>
        <v/>
      </c>
      <c r="U521" s="74" t="n"/>
      <c r="V521" s="109" t="n"/>
      <c r="W521" s="109" t="n"/>
      <c r="X521" s="74" t="n"/>
      <c r="Y521" s="116">
        <f>IF(B521="","",IF(X521="Yes","Delivered",IF(U521="Yes",IF(AND(W521&lt;&gt;"",R521&lt;&gt;""),IF(W521&gt;R521,"⚠️ Delivery after install date","Ordered"),"Ordered"),IF(K521="",IF(T521="","Waiting for decision",IF(T521&lt;=AsOf+AlertDays,"Decide now","Waiting for decision")),IF(S521="","Selected",IF(AsOf&gt;S521,"⚠️ Order late — install at risk",IF(S521&lt;=AsOf+AlertDays,"Order now","Selected")))))))</f>
        <v/>
      </c>
      <c r="Z521" s="79">
        <f>IF(B521="","",IF(OR(AH521=1,AE521=1),2,IF(OR(AG521=1,AF521=1),1,IF(OR(Y521="Ordered",Y521="Delivered"),0,""))))</f>
        <v/>
      </c>
      <c r="AA521" s="112">
        <f>IF(B521="","",IF(AH521=1,IF(Y521="⚠️ Delivery after install date",R521,S521),IF(AD521=1,T521,IF(AI521=1,S521,""))))</f>
        <v/>
      </c>
      <c r="AB521" s="79">
        <f>IF(AA521="","",IF(AH521=1,1,IF(AA521="","",IF(AA521&lt;AsOf,1,IF(AA521&lt;=AsOf+AlertDays,2,IF(AA521&lt;=AsOf+2*AlertDays,3,""))))))</f>
        <v/>
      </c>
      <c r="AC521" s="79">
        <f>IF(AB521="","",IF(AH521=1,IF(Y521="⚠️ Delivery after install date","Delivery after install date: "&amp;B521,"Order late — install at risk: "&amp;B521),IF(AD521=1,IF(AB521=1,"Decision overdue: ","Decide: ")&amp;B521,"Order: "&amp;B521&amp;IF(N521="",""," from "&amp;N521))))</f>
        <v/>
      </c>
      <c r="AD521" s="79">
        <f>IF(AND(B521&lt;&gt;"",K521="",U521&lt;&gt;"Yes",X521&lt;&gt;"Yes"),1,0)</f>
        <v/>
      </c>
      <c r="AE521" s="79">
        <f>IF(AND(AD521=1,T521&lt;&gt;""),IF(T521&lt;AsOf,1,0),0)</f>
        <v/>
      </c>
      <c r="AF521" s="79">
        <f>IF(AND(AD521=1,T521&lt;&gt;""),IF(AND(T521&gt;=AsOf,T521&lt;=AsOf+AlertDays),1,0),0)</f>
        <v/>
      </c>
      <c r="AG521" s="79">
        <f>IF(Y521="Order now",1,0)</f>
        <v/>
      </c>
      <c r="AH521" s="79">
        <f>IF(OR(Y521="⚠️ Order late — install at risk",Y521="⚠️ Delivery after install date"),1,0)</f>
        <v/>
      </c>
      <c r="AI521" s="79">
        <f>IF(AND(B521&lt;&gt;"",K521&lt;&gt;"",U521&lt;&gt;"Yes",X521&lt;&gt;"Yes"),1,0)</f>
        <v/>
      </c>
      <c r="AJ521" s="79">
        <f>IF(Y521="⚠️ Order late — install at risk",1,0)</f>
        <v/>
      </c>
    </row>
    <row r="522" ht="20" customHeight="1">
      <c r="B522" s="72" t="n"/>
      <c r="C522" s="72" t="n"/>
      <c r="D522" s="72" t="n"/>
      <c r="E522" s="72" t="n"/>
      <c r="F522" s="73" t="n"/>
      <c r="G522" s="72" t="n"/>
      <c r="H522" s="73" t="n"/>
      <c r="I522" s="72" t="n"/>
      <c r="J522" s="73" t="n"/>
      <c r="K522" s="74" t="n"/>
      <c r="L522" s="75">
        <f>IF(K522="A",F522,IF(K522="B",H522,IF(K522="C",J522,"")))</f>
        <v/>
      </c>
      <c r="M522" s="72" t="n"/>
      <c r="N522" s="72" t="n"/>
      <c r="O522" s="89" t="n"/>
      <c r="P522" s="89" t="n"/>
      <c r="Q522" s="109" t="n"/>
      <c r="R522" s="120">
        <f>IF(B522="","",IF(Q522&lt;&gt;"",Q522,IF(P522="","",IFERROR(INDEX('Timeline'!$J$7:$J$1006,MATCH(P522,'Timeline'!$B$7:$B$1006,0)),""))))</f>
        <v/>
      </c>
      <c r="S522" s="126">
        <f>IF(R522="","",R522-IF(O522="",0,O522)-OrderBuf)</f>
        <v/>
      </c>
      <c r="T522" s="126">
        <f>IF(S522="","",S522-DecideBuf)</f>
        <v/>
      </c>
      <c r="U522" s="74" t="n"/>
      <c r="V522" s="109" t="n"/>
      <c r="W522" s="109" t="n"/>
      <c r="X522" s="74" t="n"/>
      <c r="Y522" s="116">
        <f>IF(B522="","",IF(X522="Yes","Delivered",IF(U522="Yes",IF(AND(W522&lt;&gt;"",R522&lt;&gt;""),IF(W522&gt;R522,"⚠️ Delivery after install date","Ordered"),"Ordered"),IF(K522="",IF(T522="","Waiting for decision",IF(T522&lt;=AsOf+AlertDays,"Decide now","Waiting for decision")),IF(S522="","Selected",IF(AsOf&gt;S522,"⚠️ Order late — install at risk",IF(S522&lt;=AsOf+AlertDays,"Order now","Selected")))))))</f>
        <v/>
      </c>
      <c r="Z522" s="79">
        <f>IF(B522="","",IF(OR(AH522=1,AE522=1),2,IF(OR(AG522=1,AF522=1),1,IF(OR(Y522="Ordered",Y522="Delivered"),0,""))))</f>
        <v/>
      </c>
      <c r="AA522" s="112">
        <f>IF(B522="","",IF(AH522=1,IF(Y522="⚠️ Delivery after install date",R522,S522),IF(AD522=1,T522,IF(AI522=1,S522,""))))</f>
        <v/>
      </c>
      <c r="AB522" s="79">
        <f>IF(AA522="","",IF(AH522=1,1,IF(AA522="","",IF(AA522&lt;AsOf,1,IF(AA522&lt;=AsOf+AlertDays,2,IF(AA522&lt;=AsOf+2*AlertDays,3,""))))))</f>
        <v/>
      </c>
      <c r="AC522" s="79">
        <f>IF(AB522="","",IF(AH522=1,IF(Y522="⚠️ Delivery after install date","Delivery after install date: "&amp;B522,"Order late — install at risk: "&amp;B522),IF(AD522=1,IF(AB522=1,"Decision overdue: ","Decide: ")&amp;B522,"Order: "&amp;B522&amp;IF(N522="",""," from "&amp;N522))))</f>
        <v/>
      </c>
      <c r="AD522" s="79">
        <f>IF(AND(B522&lt;&gt;"",K522="",U522&lt;&gt;"Yes",X522&lt;&gt;"Yes"),1,0)</f>
        <v/>
      </c>
      <c r="AE522" s="79">
        <f>IF(AND(AD522=1,T522&lt;&gt;""),IF(T522&lt;AsOf,1,0),0)</f>
        <v/>
      </c>
      <c r="AF522" s="79">
        <f>IF(AND(AD522=1,T522&lt;&gt;""),IF(AND(T522&gt;=AsOf,T522&lt;=AsOf+AlertDays),1,0),0)</f>
        <v/>
      </c>
      <c r="AG522" s="79">
        <f>IF(Y522="Order now",1,0)</f>
        <v/>
      </c>
      <c r="AH522" s="79">
        <f>IF(OR(Y522="⚠️ Order late — install at risk",Y522="⚠️ Delivery after install date"),1,0)</f>
        <v/>
      </c>
      <c r="AI522" s="79">
        <f>IF(AND(B522&lt;&gt;"",K522&lt;&gt;"",U522&lt;&gt;"Yes",X522&lt;&gt;"Yes"),1,0)</f>
        <v/>
      </c>
      <c r="AJ522" s="79">
        <f>IF(Y522="⚠️ Order late — install at risk",1,0)</f>
        <v/>
      </c>
    </row>
    <row r="523" ht="20" customHeight="1">
      <c r="B523" s="72" t="n"/>
      <c r="C523" s="72" t="n"/>
      <c r="D523" s="72" t="n"/>
      <c r="E523" s="72" t="n"/>
      <c r="F523" s="73" t="n"/>
      <c r="G523" s="72" t="n"/>
      <c r="H523" s="73" t="n"/>
      <c r="I523" s="72" t="n"/>
      <c r="J523" s="73" t="n"/>
      <c r="K523" s="74" t="n"/>
      <c r="L523" s="75">
        <f>IF(K523="A",F523,IF(K523="B",H523,IF(K523="C",J523,"")))</f>
        <v/>
      </c>
      <c r="M523" s="72" t="n"/>
      <c r="N523" s="72" t="n"/>
      <c r="O523" s="89" t="n"/>
      <c r="P523" s="89" t="n"/>
      <c r="Q523" s="109" t="n"/>
      <c r="R523" s="120">
        <f>IF(B523="","",IF(Q523&lt;&gt;"",Q523,IF(P523="","",IFERROR(INDEX('Timeline'!$J$7:$J$1006,MATCH(P523,'Timeline'!$B$7:$B$1006,0)),""))))</f>
        <v/>
      </c>
      <c r="S523" s="126">
        <f>IF(R523="","",R523-IF(O523="",0,O523)-OrderBuf)</f>
        <v/>
      </c>
      <c r="T523" s="126">
        <f>IF(S523="","",S523-DecideBuf)</f>
        <v/>
      </c>
      <c r="U523" s="74" t="n"/>
      <c r="V523" s="109" t="n"/>
      <c r="W523" s="109" t="n"/>
      <c r="X523" s="74" t="n"/>
      <c r="Y523" s="116">
        <f>IF(B523="","",IF(X523="Yes","Delivered",IF(U523="Yes",IF(AND(W523&lt;&gt;"",R523&lt;&gt;""),IF(W523&gt;R523,"⚠️ Delivery after install date","Ordered"),"Ordered"),IF(K523="",IF(T523="","Waiting for decision",IF(T523&lt;=AsOf+AlertDays,"Decide now","Waiting for decision")),IF(S523="","Selected",IF(AsOf&gt;S523,"⚠️ Order late — install at risk",IF(S523&lt;=AsOf+AlertDays,"Order now","Selected")))))))</f>
        <v/>
      </c>
      <c r="Z523" s="79">
        <f>IF(B523="","",IF(OR(AH523=1,AE523=1),2,IF(OR(AG523=1,AF523=1),1,IF(OR(Y523="Ordered",Y523="Delivered"),0,""))))</f>
        <v/>
      </c>
      <c r="AA523" s="112">
        <f>IF(B523="","",IF(AH523=1,IF(Y523="⚠️ Delivery after install date",R523,S523),IF(AD523=1,T523,IF(AI523=1,S523,""))))</f>
        <v/>
      </c>
      <c r="AB523" s="79">
        <f>IF(AA523="","",IF(AH523=1,1,IF(AA523="","",IF(AA523&lt;AsOf,1,IF(AA523&lt;=AsOf+AlertDays,2,IF(AA523&lt;=AsOf+2*AlertDays,3,""))))))</f>
        <v/>
      </c>
      <c r="AC523" s="79">
        <f>IF(AB523="","",IF(AH523=1,IF(Y523="⚠️ Delivery after install date","Delivery after install date: "&amp;B523,"Order late — install at risk: "&amp;B523),IF(AD523=1,IF(AB523=1,"Decision overdue: ","Decide: ")&amp;B523,"Order: "&amp;B523&amp;IF(N523="",""," from "&amp;N523))))</f>
        <v/>
      </c>
      <c r="AD523" s="79">
        <f>IF(AND(B523&lt;&gt;"",K523="",U523&lt;&gt;"Yes",X523&lt;&gt;"Yes"),1,0)</f>
        <v/>
      </c>
      <c r="AE523" s="79">
        <f>IF(AND(AD523=1,T523&lt;&gt;""),IF(T523&lt;AsOf,1,0),0)</f>
        <v/>
      </c>
      <c r="AF523" s="79">
        <f>IF(AND(AD523=1,T523&lt;&gt;""),IF(AND(T523&gt;=AsOf,T523&lt;=AsOf+AlertDays),1,0),0)</f>
        <v/>
      </c>
      <c r="AG523" s="79">
        <f>IF(Y523="Order now",1,0)</f>
        <v/>
      </c>
      <c r="AH523" s="79">
        <f>IF(OR(Y523="⚠️ Order late — install at risk",Y523="⚠️ Delivery after install date"),1,0)</f>
        <v/>
      </c>
      <c r="AI523" s="79">
        <f>IF(AND(B523&lt;&gt;"",K523&lt;&gt;"",U523&lt;&gt;"Yes",X523&lt;&gt;"Yes"),1,0)</f>
        <v/>
      </c>
      <c r="AJ523" s="79">
        <f>IF(Y523="⚠️ Order late — install at risk",1,0)</f>
        <v/>
      </c>
    </row>
    <row r="524" ht="20" customHeight="1">
      <c r="B524" s="72" t="n"/>
      <c r="C524" s="72" t="n"/>
      <c r="D524" s="72" t="n"/>
      <c r="E524" s="72" t="n"/>
      <c r="F524" s="73" t="n"/>
      <c r="G524" s="72" t="n"/>
      <c r="H524" s="73" t="n"/>
      <c r="I524" s="72" t="n"/>
      <c r="J524" s="73" t="n"/>
      <c r="K524" s="74" t="n"/>
      <c r="L524" s="75">
        <f>IF(K524="A",F524,IF(K524="B",H524,IF(K524="C",J524,"")))</f>
        <v/>
      </c>
      <c r="M524" s="72" t="n"/>
      <c r="N524" s="72" t="n"/>
      <c r="O524" s="89" t="n"/>
      <c r="P524" s="89" t="n"/>
      <c r="Q524" s="109" t="n"/>
      <c r="R524" s="120">
        <f>IF(B524="","",IF(Q524&lt;&gt;"",Q524,IF(P524="","",IFERROR(INDEX('Timeline'!$J$7:$J$1006,MATCH(P524,'Timeline'!$B$7:$B$1006,0)),""))))</f>
        <v/>
      </c>
      <c r="S524" s="126">
        <f>IF(R524="","",R524-IF(O524="",0,O524)-OrderBuf)</f>
        <v/>
      </c>
      <c r="T524" s="126">
        <f>IF(S524="","",S524-DecideBuf)</f>
        <v/>
      </c>
      <c r="U524" s="74" t="n"/>
      <c r="V524" s="109" t="n"/>
      <c r="W524" s="109" t="n"/>
      <c r="X524" s="74" t="n"/>
      <c r="Y524" s="116">
        <f>IF(B524="","",IF(X524="Yes","Delivered",IF(U524="Yes",IF(AND(W524&lt;&gt;"",R524&lt;&gt;""),IF(W524&gt;R524,"⚠️ Delivery after install date","Ordered"),"Ordered"),IF(K524="",IF(T524="","Waiting for decision",IF(T524&lt;=AsOf+AlertDays,"Decide now","Waiting for decision")),IF(S524="","Selected",IF(AsOf&gt;S524,"⚠️ Order late — install at risk",IF(S524&lt;=AsOf+AlertDays,"Order now","Selected")))))))</f>
        <v/>
      </c>
      <c r="Z524" s="79">
        <f>IF(B524="","",IF(OR(AH524=1,AE524=1),2,IF(OR(AG524=1,AF524=1),1,IF(OR(Y524="Ordered",Y524="Delivered"),0,""))))</f>
        <v/>
      </c>
      <c r="AA524" s="112">
        <f>IF(B524="","",IF(AH524=1,IF(Y524="⚠️ Delivery after install date",R524,S524),IF(AD524=1,T524,IF(AI524=1,S524,""))))</f>
        <v/>
      </c>
      <c r="AB524" s="79">
        <f>IF(AA524="","",IF(AH524=1,1,IF(AA524="","",IF(AA524&lt;AsOf,1,IF(AA524&lt;=AsOf+AlertDays,2,IF(AA524&lt;=AsOf+2*AlertDays,3,""))))))</f>
        <v/>
      </c>
      <c r="AC524" s="79">
        <f>IF(AB524="","",IF(AH524=1,IF(Y524="⚠️ Delivery after install date","Delivery after install date: "&amp;B524,"Order late — install at risk: "&amp;B524),IF(AD524=1,IF(AB524=1,"Decision overdue: ","Decide: ")&amp;B524,"Order: "&amp;B524&amp;IF(N524="",""," from "&amp;N524))))</f>
        <v/>
      </c>
      <c r="AD524" s="79">
        <f>IF(AND(B524&lt;&gt;"",K524="",U524&lt;&gt;"Yes",X524&lt;&gt;"Yes"),1,0)</f>
        <v/>
      </c>
      <c r="AE524" s="79">
        <f>IF(AND(AD524=1,T524&lt;&gt;""),IF(T524&lt;AsOf,1,0),0)</f>
        <v/>
      </c>
      <c r="AF524" s="79">
        <f>IF(AND(AD524=1,T524&lt;&gt;""),IF(AND(T524&gt;=AsOf,T524&lt;=AsOf+AlertDays),1,0),0)</f>
        <v/>
      </c>
      <c r="AG524" s="79">
        <f>IF(Y524="Order now",1,0)</f>
        <v/>
      </c>
      <c r="AH524" s="79">
        <f>IF(OR(Y524="⚠️ Order late — install at risk",Y524="⚠️ Delivery after install date"),1,0)</f>
        <v/>
      </c>
      <c r="AI524" s="79">
        <f>IF(AND(B524&lt;&gt;"",K524&lt;&gt;"",U524&lt;&gt;"Yes",X524&lt;&gt;"Yes"),1,0)</f>
        <v/>
      </c>
      <c r="AJ524" s="79">
        <f>IF(Y524="⚠️ Order late — install at risk",1,0)</f>
        <v/>
      </c>
    </row>
    <row r="525" ht="20" customHeight="1">
      <c r="B525" s="72" t="n"/>
      <c r="C525" s="72" t="n"/>
      <c r="D525" s="72" t="n"/>
      <c r="E525" s="72" t="n"/>
      <c r="F525" s="73" t="n"/>
      <c r="G525" s="72" t="n"/>
      <c r="H525" s="73" t="n"/>
      <c r="I525" s="72" t="n"/>
      <c r="J525" s="73" t="n"/>
      <c r="K525" s="74" t="n"/>
      <c r="L525" s="75">
        <f>IF(K525="A",F525,IF(K525="B",H525,IF(K525="C",J525,"")))</f>
        <v/>
      </c>
      <c r="M525" s="72" t="n"/>
      <c r="N525" s="72" t="n"/>
      <c r="O525" s="89" t="n"/>
      <c r="P525" s="89" t="n"/>
      <c r="Q525" s="109" t="n"/>
      <c r="R525" s="120">
        <f>IF(B525="","",IF(Q525&lt;&gt;"",Q525,IF(P525="","",IFERROR(INDEX('Timeline'!$J$7:$J$1006,MATCH(P525,'Timeline'!$B$7:$B$1006,0)),""))))</f>
        <v/>
      </c>
      <c r="S525" s="126">
        <f>IF(R525="","",R525-IF(O525="",0,O525)-OrderBuf)</f>
        <v/>
      </c>
      <c r="T525" s="126">
        <f>IF(S525="","",S525-DecideBuf)</f>
        <v/>
      </c>
      <c r="U525" s="74" t="n"/>
      <c r="V525" s="109" t="n"/>
      <c r="W525" s="109" t="n"/>
      <c r="X525" s="74" t="n"/>
      <c r="Y525" s="116">
        <f>IF(B525="","",IF(X525="Yes","Delivered",IF(U525="Yes",IF(AND(W525&lt;&gt;"",R525&lt;&gt;""),IF(W525&gt;R525,"⚠️ Delivery after install date","Ordered"),"Ordered"),IF(K525="",IF(T525="","Waiting for decision",IF(T525&lt;=AsOf+AlertDays,"Decide now","Waiting for decision")),IF(S525="","Selected",IF(AsOf&gt;S525,"⚠️ Order late — install at risk",IF(S525&lt;=AsOf+AlertDays,"Order now","Selected")))))))</f>
        <v/>
      </c>
      <c r="Z525" s="79">
        <f>IF(B525="","",IF(OR(AH525=1,AE525=1),2,IF(OR(AG525=1,AF525=1),1,IF(OR(Y525="Ordered",Y525="Delivered"),0,""))))</f>
        <v/>
      </c>
      <c r="AA525" s="112">
        <f>IF(B525="","",IF(AH525=1,IF(Y525="⚠️ Delivery after install date",R525,S525),IF(AD525=1,T525,IF(AI525=1,S525,""))))</f>
        <v/>
      </c>
      <c r="AB525" s="79">
        <f>IF(AA525="","",IF(AH525=1,1,IF(AA525="","",IF(AA525&lt;AsOf,1,IF(AA525&lt;=AsOf+AlertDays,2,IF(AA525&lt;=AsOf+2*AlertDays,3,""))))))</f>
        <v/>
      </c>
      <c r="AC525" s="79">
        <f>IF(AB525="","",IF(AH525=1,IF(Y525="⚠️ Delivery after install date","Delivery after install date: "&amp;B525,"Order late — install at risk: "&amp;B525),IF(AD525=1,IF(AB525=1,"Decision overdue: ","Decide: ")&amp;B525,"Order: "&amp;B525&amp;IF(N525="",""," from "&amp;N525))))</f>
        <v/>
      </c>
      <c r="AD525" s="79">
        <f>IF(AND(B525&lt;&gt;"",K525="",U525&lt;&gt;"Yes",X525&lt;&gt;"Yes"),1,0)</f>
        <v/>
      </c>
      <c r="AE525" s="79">
        <f>IF(AND(AD525=1,T525&lt;&gt;""),IF(T525&lt;AsOf,1,0),0)</f>
        <v/>
      </c>
      <c r="AF525" s="79">
        <f>IF(AND(AD525=1,T525&lt;&gt;""),IF(AND(T525&gt;=AsOf,T525&lt;=AsOf+AlertDays),1,0),0)</f>
        <v/>
      </c>
      <c r="AG525" s="79">
        <f>IF(Y525="Order now",1,0)</f>
        <v/>
      </c>
      <c r="AH525" s="79">
        <f>IF(OR(Y525="⚠️ Order late — install at risk",Y525="⚠️ Delivery after install date"),1,0)</f>
        <v/>
      </c>
      <c r="AI525" s="79">
        <f>IF(AND(B525&lt;&gt;"",K525&lt;&gt;"",U525&lt;&gt;"Yes",X525&lt;&gt;"Yes"),1,0)</f>
        <v/>
      </c>
      <c r="AJ525" s="79">
        <f>IF(Y525="⚠️ Order late — install at risk",1,0)</f>
        <v/>
      </c>
    </row>
    <row r="526" ht="20" customHeight="1">
      <c r="B526" s="72" t="n"/>
      <c r="C526" s="72" t="n"/>
      <c r="D526" s="72" t="n"/>
      <c r="E526" s="72" t="n"/>
      <c r="F526" s="73" t="n"/>
      <c r="G526" s="72" t="n"/>
      <c r="H526" s="73" t="n"/>
      <c r="I526" s="72" t="n"/>
      <c r="J526" s="73" t="n"/>
      <c r="K526" s="74" t="n"/>
      <c r="L526" s="75">
        <f>IF(K526="A",F526,IF(K526="B",H526,IF(K526="C",J526,"")))</f>
        <v/>
      </c>
      <c r="M526" s="72" t="n"/>
      <c r="N526" s="72" t="n"/>
      <c r="O526" s="89" t="n"/>
      <c r="P526" s="89" t="n"/>
      <c r="Q526" s="109" t="n"/>
      <c r="R526" s="120">
        <f>IF(B526="","",IF(Q526&lt;&gt;"",Q526,IF(P526="","",IFERROR(INDEX('Timeline'!$J$7:$J$1006,MATCH(P526,'Timeline'!$B$7:$B$1006,0)),""))))</f>
        <v/>
      </c>
      <c r="S526" s="126">
        <f>IF(R526="","",R526-IF(O526="",0,O526)-OrderBuf)</f>
        <v/>
      </c>
      <c r="T526" s="126">
        <f>IF(S526="","",S526-DecideBuf)</f>
        <v/>
      </c>
      <c r="U526" s="74" t="n"/>
      <c r="V526" s="109" t="n"/>
      <c r="W526" s="109" t="n"/>
      <c r="X526" s="74" t="n"/>
      <c r="Y526" s="116">
        <f>IF(B526="","",IF(X526="Yes","Delivered",IF(U526="Yes",IF(AND(W526&lt;&gt;"",R526&lt;&gt;""),IF(W526&gt;R526,"⚠️ Delivery after install date","Ordered"),"Ordered"),IF(K526="",IF(T526="","Waiting for decision",IF(T526&lt;=AsOf+AlertDays,"Decide now","Waiting for decision")),IF(S526="","Selected",IF(AsOf&gt;S526,"⚠️ Order late — install at risk",IF(S526&lt;=AsOf+AlertDays,"Order now","Selected")))))))</f>
        <v/>
      </c>
      <c r="Z526" s="79">
        <f>IF(B526="","",IF(OR(AH526=1,AE526=1),2,IF(OR(AG526=1,AF526=1),1,IF(OR(Y526="Ordered",Y526="Delivered"),0,""))))</f>
        <v/>
      </c>
      <c r="AA526" s="112">
        <f>IF(B526="","",IF(AH526=1,IF(Y526="⚠️ Delivery after install date",R526,S526),IF(AD526=1,T526,IF(AI526=1,S526,""))))</f>
        <v/>
      </c>
      <c r="AB526" s="79">
        <f>IF(AA526="","",IF(AH526=1,1,IF(AA526="","",IF(AA526&lt;AsOf,1,IF(AA526&lt;=AsOf+AlertDays,2,IF(AA526&lt;=AsOf+2*AlertDays,3,""))))))</f>
        <v/>
      </c>
      <c r="AC526" s="79">
        <f>IF(AB526="","",IF(AH526=1,IF(Y526="⚠️ Delivery after install date","Delivery after install date: "&amp;B526,"Order late — install at risk: "&amp;B526),IF(AD526=1,IF(AB526=1,"Decision overdue: ","Decide: ")&amp;B526,"Order: "&amp;B526&amp;IF(N526="",""," from "&amp;N526))))</f>
        <v/>
      </c>
      <c r="AD526" s="79">
        <f>IF(AND(B526&lt;&gt;"",K526="",U526&lt;&gt;"Yes",X526&lt;&gt;"Yes"),1,0)</f>
        <v/>
      </c>
      <c r="AE526" s="79">
        <f>IF(AND(AD526=1,T526&lt;&gt;""),IF(T526&lt;AsOf,1,0),0)</f>
        <v/>
      </c>
      <c r="AF526" s="79">
        <f>IF(AND(AD526=1,T526&lt;&gt;""),IF(AND(T526&gt;=AsOf,T526&lt;=AsOf+AlertDays),1,0),0)</f>
        <v/>
      </c>
      <c r="AG526" s="79">
        <f>IF(Y526="Order now",1,0)</f>
        <v/>
      </c>
      <c r="AH526" s="79">
        <f>IF(OR(Y526="⚠️ Order late — install at risk",Y526="⚠️ Delivery after install date"),1,0)</f>
        <v/>
      </c>
      <c r="AI526" s="79">
        <f>IF(AND(B526&lt;&gt;"",K526&lt;&gt;"",U526&lt;&gt;"Yes",X526&lt;&gt;"Yes"),1,0)</f>
        <v/>
      </c>
      <c r="AJ526" s="79">
        <f>IF(Y526="⚠️ Order late — install at risk",1,0)</f>
        <v/>
      </c>
    </row>
    <row r="527" ht="20" customHeight="1">
      <c r="B527" s="72" t="n"/>
      <c r="C527" s="72" t="n"/>
      <c r="D527" s="72" t="n"/>
      <c r="E527" s="72" t="n"/>
      <c r="F527" s="73" t="n"/>
      <c r="G527" s="72" t="n"/>
      <c r="H527" s="73" t="n"/>
      <c r="I527" s="72" t="n"/>
      <c r="J527" s="73" t="n"/>
      <c r="K527" s="74" t="n"/>
      <c r="L527" s="75">
        <f>IF(K527="A",F527,IF(K527="B",H527,IF(K527="C",J527,"")))</f>
        <v/>
      </c>
      <c r="M527" s="72" t="n"/>
      <c r="N527" s="72" t="n"/>
      <c r="O527" s="89" t="n"/>
      <c r="P527" s="89" t="n"/>
      <c r="Q527" s="109" t="n"/>
      <c r="R527" s="120">
        <f>IF(B527="","",IF(Q527&lt;&gt;"",Q527,IF(P527="","",IFERROR(INDEX('Timeline'!$J$7:$J$1006,MATCH(P527,'Timeline'!$B$7:$B$1006,0)),""))))</f>
        <v/>
      </c>
      <c r="S527" s="126">
        <f>IF(R527="","",R527-IF(O527="",0,O527)-OrderBuf)</f>
        <v/>
      </c>
      <c r="T527" s="126">
        <f>IF(S527="","",S527-DecideBuf)</f>
        <v/>
      </c>
      <c r="U527" s="74" t="n"/>
      <c r="V527" s="109" t="n"/>
      <c r="W527" s="109" t="n"/>
      <c r="X527" s="74" t="n"/>
      <c r="Y527" s="116">
        <f>IF(B527="","",IF(X527="Yes","Delivered",IF(U527="Yes",IF(AND(W527&lt;&gt;"",R527&lt;&gt;""),IF(W527&gt;R527,"⚠️ Delivery after install date","Ordered"),"Ordered"),IF(K527="",IF(T527="","Waiting for decision",IF(T527&lt;=AsOf+AlertDays,"Decide now","Waiting for decision")),IF(S527="","Selected",IF(AsOf&gt;S527,"⚠️ Order late — install at risk",IF(S527&lt;=AsOf+AlertDays,"Order now","Selected")))))))</f>
        <v/>
      </c>
      <c r="Z527" s="79">
        <f>IF(B527="","",IF(OR(AH527=1,AE527=1),2,IF(OR(AG527=1,AF527=1),1,IF(OR(Y527="Ordered",Y527="Delivered"),0,""))))</f>
        <v/>
      </c>
      <c r="AA527" s="112">
        <f>IF(B527="","",IF(AH527=1,IF(Y527="⚠️ Delivery after install date",R527,S527),IF(AD527=1,T527,IF(AI527=1,S527,""))))</f>
        <v/>
      </c>
      <c r="AB527" s="79">
        <f>IF(AA527="","",IF(AH527=1,1,IF(AA527="","",IF(AA527&lt;AsOf,1,IF(AA527&lt;=AsOf+AlertDays,2,IF(AA527&lt;=AsOf+2*AlertDays,3,""))))))</f>
        <v/>
      </c>
      <c r="AC527" s="79">
        <f>IF(AB527="","",IF(AH527=1,IF(Y527="⚠️ Delivery after install date","Delivery after install date: "&amp;B527,"Order late — install at risk: "&amp;B527),IF(AD527=1,IF(AB527=1,"Decision overdue: ","Decide: ")&amp;B527,"Order: "&amp;B527&amp;IF(N527="",""," from "&amp;N527))))</f>
        <v/>
      </c>
      <c r="AD527" s="79">
        <f>IF(AND(B527&lt;&gt;"",K527="",U527&lt;&gt;"Yes",X527&lt;&gt;"Yes"),1,0)</f>
        <v/>
      </c>
      <c r="AE527" s="79">
        <f>IF(AND(AD527=1,T527&lt;&gt;""),IF(T527&lt;AsOf,1,0),0)</f>
        <v/>
      </c>
      <c r="AF527" s="79">
        <f>IF(AND(AD527=1,T527&lt;&gt;""),IF(AND(T527&gt;=AsOf,T527&lt;=AsOf+AlertDays),1,0),0)</f>
        <v/>
      </c>
      <c r="AG527" s="79">
        <f>IF(Y527="Order now",1,0)</f>
        <v/>
      </c>
      <c r="AH527" s="79">
        <f>IF(OR(Y527="⚠️ Order late — install at risk",Y527="⚠️ Delivery after install date"),1,0)</f>
        <v/>
      </c>
      <c r="AI527" s="79">
        <f>IF(AND(B527&lt;&gt;"",K527&lt;&gt;"",U527&lt;&gt;"Yes",X527&lt;&gt;"Yes"),1,0)</f>
        <v/>
      </c>
      <c r="AJ527" s="79">
        <f>IF(Y527="⚠️ Order late — install at risk",1,0)</f>
        <v/>
      </c>
    </row>
    <row r="528" ht="20" customHeight="1">
      <c r="B528" s="72" t="n"/>
      <c r="C528" s="72" t="n"/>
      <c r="D528" s="72" t="n"/>
      <c r="E528" s="72" t="n"/>
      <c r="F528" s="73" t="n"/>
      <c r="G528" s="72" t="n"/>
      <c r="H528" s="73" t="n"/>
      <c r="I528" s="72" t="n"/>
      <c r="J528" s="73" t="n"/>
      <c r="K528" s="74" t="n"/>
      <c r="L528" s="75">
        <f>IF(K528="A",F528,IF(K528="B",H528,IF(K528="C",J528,"")))</f>
        <v/>
      </c>
      <c r="M528" s="72" t="n"/>
      <c r="N528" s="72" t="n"/>
      <c r="O528" s="89" t="n"/>
      <c r="P528" s="89" t="n"/>
      <c r="Q528" s="109" t="n"/>
      <c r="R528" s="120">
        <f>IF(B528="","",IF(Q528&lt;&gt;"",Q528,IF(P528="","",IFERROR(INDEX('Timeline'!$J$7:$J$1006,MATCH(P528,'Timeline'!$B$7:$B$1006,0)),""))))</f>
        <v/>
      </c>
      <c r="S528" s="126">
        <f>IF(R528="","",R528-IF(O528="",0,O528)-OrderBuf)</f>
        <v/>
      </c>
      <c r="T528" s="126">
        <f>IF(S528="","",S528-DecideBuf)</f>
        <v/>
      </c>
      <c r="U528" s="74" t="n"/>
      <c r="V528" s="109" t="n"/>
      <c r="W528" s="109" t="n"/>
      <c r="X528" s="74" t="n"/>
      <c r="Y528" s="116">
        <f>IF(B528="","",IF(X528="Yes","Delivered",IF(U528="Yes",IF(AND(W528&lt;&gt;"",R528&lt;&gt;""),IF(W528&gt;R528,"⚠️ Delivery after install date","Ordered"),"Ordered"),IF(K528="",IF(T528="","Waiting for decision",IF(T528&lt;=AsOf+AlertDays,"Decide now","Waiting for decision")),IF(S528="","Selected",IF(AsOf&gt;S528,"⚠️ Order late — install at risk",IF(S528&lt;=AsOf+AlertDays,"Order now","Selected")))))))</f>
        <v/>
      </c>
      <c r="Z528" s="79">
        <f>IF(B528="","",IF(OR(AH528=1,AE528=1),2,IF(OR(AG528=1,AF528=1),1,IF(OR(Y528="Ordered",Y528="Delivered"),0,""))))</f>
        <v/>
      </c>
      <c r="AA528" s="112">
        <f>IF(B528="","",IF(AH528=1,IF(Y528="⚠️ Delivery after install date",R528,S528),IF(AD528=1,T528,IF(AI528=1,S528,""))))</f>
        <v/>
      </c>
      <c r="AB528" s="79">
        <f>IF(AA528="","",IF(AH528=1,1,IF(AA528="","",IF(AA528&lt;AsOf,1,IF(AA528&lt;=AsOf+AlertDays,2,IF(AA528&lt;=AsOf+2*AlertDays,3,""))))))</f>
        <v/>
      </c>
      <c r="AC528" s="79">
        <f>IF(AB528="","",IF(AH528=1,IF(Y528="⚠️ Delivery after install date","Delivery after install date: "&amp;B528,"Order late — install at risk: "&amp;B528),IF(AD528=1,IF(AB528=1,"Decision overdue: ","Decide: ")&amp;B528,"Order: "&amp;B528&amp;IF(N528="",""," from "&amp;N528))))</f>
        <v/>
      </c>
      <c r="AD528" s="79">
        <f>IF(AND(B528&lt;&gt;"",K528="",U528&lt;&gt;"Yes",X528&lt;&gt;"Yes"),1,0)</f>
        <v/>
      </c>
      <c r="AE528" s="79">
        <f>IF(AND(AD528=1,T528&lt;&gt;""),IF(T528&lt;AsOf,1,0),0)</f>
        <v/>
      </c>
      <c r="AF528" s="79">
        <f>IF(AND(AD528=1,T528&lt;&gt;""),IF(AND(T528&gt;=AsOf,T528&lt;=AsOf+AlertDays),1,0),0)</f>
        <v/>
      </c>
      <c r="AG528" s="79">
        <f>IF(Y528="Order now",1,0)</f>
        <v/>
      </c>
      <c r="AH528" s="79">
        <f>IF(OR(Y528="⚠️ Order late — install at risk",Y528="⚠️ Delivery after install date"),1,0)</f>
        <v/>
      </c>
      <c r="AI528" s="79">
        <f>IF(AND(B528&lt;&gt;"",K528&lt;&gt;"",U528&lt;&gt;"Yes",X528&lt;&gt;"Yes"),1,0)</f>
        <v/>
      </c>
      <c r="AJ528" s="79">
        <f>IF(Y528="⚠️ Order late — install at risk",1,0)</f>
        <v/>
      </c>
    </row>
    <row r="529" ht="20" customHeight="1">
      <c r="B529" s="72" t="n"/>
      <c r="C529" s="72" t="n"/>
      <c r="D529" s="72" t="n"/>
      <c r="E529" s="72" t="n"/>
      <c r="F529" s="73" t="n"/>
      <c r="G529" s="72" t="n"/>
      <c r="H529" s="73" t="n"/>
      <c r="I529" s="72" t="n"/>
      <c r="J529" s="73" t="n"/>
      <c r="K529" s="74" t="n"/>
      <c r="L529" s="75">
        <f>IF(K529="A",F529,IF(K529="B",H529,IF(K529="C",J529,"")))</f>
        <v/>
      </c>
      <c r="M529" s="72" t="n"/>
      <c r="N529" s="72" t="n"/>
      <c r="O529" s="89" t="n"/>
      <c r="P529" s="89" t="n"/>
      <c r="Q529" s="109" t="n"/>
      <c r="R529" s="120">
        <f>IF(B529="","",IF(Q529&lt;&gt;"",Q529,IF(P529="","",IFERROR(INDEX('Timeline'!$J$7:$J$1006,MATCH(P529,'Timeline'!$B$7:$B$1006,0)),""))))</f>
        <v/>
      </c>
      <c r="S529" s="126">
        <f>IF(R529="","",R529-IF(O529="",0,O529)-OrderBuf)</f>
        <v/>
      </c>
      <c r="T529" s="126">
        <f>IF(S529="","",S529-DecideBuf)</f>
        <v/>
      </c>
      <c r="U529" s="74" t="n"/>
      <c r="V529" s="109" t="n"/>
      <c r="W529" s="109" t="n"/>
      <c r="X529" s="74" t="n"/>
      <c r="Y529" s="116">
        <f>IF(B529="","",IF(X529="Yes","Delivered",IF(U529="Yes",IF(AND(W529&lt;&gt;"",R529&lt;&gt;""),IF(W529&gt;R529,"⚠️ Delivery after install date","Ordered"),"Ordered"),IF(K529="",IF(T529="","Waiting for decision",IF(T529&lt;=AsOf+AlertDays,"Decide now","Waiting for decision")),IF(S529="","Selected",IF(AsOf&gt;S529,"⚠️ Order late — install at risk",IF(S529&lt;=AsOf+AlertDays,"Order now","Selected")))))))</f>
        <v/>
      </c>
      <c r="Z529" s="79">
        <f>IF(B529="","",IF(OR(AH529=1,AE529=1),2,IF(OR(AG529=1,AF529=1),1,IF(OR(Y529="Ordered",Y529="Delivered"),0,""))))</f>
        <v/>
      </c>
      <c r="AA529" s="112">
        <f>IF(B529="","",IF(AH529=1,IF(Y529="⚠️ Delivery after install date",R529,S529),IF(AD529=1,T529,IF(AI529=1,S529,""))))</f>
        <v/>
      </c>
      <c r="AB529" s="79">
        <f>IF(AA529="","",IF(AH529=1,1,IF(AA529="","",IF(AA529&lt;AsOf,1,IF(AA529&lt;=AsOf+AlertDays,2,IF(AA529&lt;=AsOf+2*AlertDays,3,""))))))</f>
        <v/>
      </c>
      <c r="AC529" s="79">
        <f>IF(AB529="","",IF(AH529=1,IF(Y529="⚠️ Delivery after install date","Delivery after install date: "&amp;B529,"Order late — install at risk: "&amp;B529),IF(AD529=1,IF(AB529=1,"Decision overdue: ","Decide: ")&amp;B529,"Order: "&amp;B529&amp;IF(N529="",""," from "&amp;N529))))</f>
        <v/>
      </c>
      <c r="AD529" s="79">
        <f>IF(AND(B529&lt;&gt;"",K529="",U529&lt;&gt;"Yes",X529&lt;&gt;"Yes"),1,0)</f>
        <v/>
      </c>
      <c r="AE529" s="79">
        <f>IF(AND(AD529=1,T529&lt;&gt;""),IF(T529&lt;AsOf,1,0),0)</f>
        <v/>
      </c>
      <c r="AF529" s="79">
        <f>IF(AND(AD529=1,T529&lt;&gt;""),IF(AND(T529&gt;=AsOf,T529&lt;=AsOf+AlertDays),1,0),0)</f>
        <v/>
      </c>
      <c r="AG529" s="79">
        <f>IF(Y529="Order now",1,0)</f>
        <v/>
      </c>
      <c r="AH529" s="79">
        <f>IF(OR(Y529="⚠️ Order late — install at risk",Y529="⚠️ Delivery after install date"),1,0)</f>
        <v/>
      </c>
      <c r="AI529" s="79">
        <f>IF(AND(B529&lt;&gt;"",K529&lt;&gt;"",U529&lt;&gt;"Yes",X529&lt;&gt;"Yes"),1,0)</f>
        <v/>
      </c>
      <c r="AJ529" s="79">
        <f>IF(Y529="⚠️ Order late — install at risk",1,0)</f>
        <v/>
      </c>
    </row>
    <row r="530" ht="20" customHeight="1">
      <c r="B530" s="72" t="n"/>
      <c r="C530" s="72" t="n"/>
      <c r="D530" s="72" t="n"/>
      <c r="E530" s="72" t="n"/>
      <c r="F530" s="73" t="n"/>
      <c r="G530" s="72" t="n"/>
      <c r="H530" s="73" t="n"/>
      <c r="I530" s="72" t="n"/>
      <c r="J530" s="73" t="n"/>
      <c r="K530" s="74" t="n"/>
      <c r="L530" s="75">
        <f>IF(K530="A",F530,IF(K530="B",H530,IF(K530="C",J530,"")))</f>
        <v/>
      </c>
      <c r="M530" s="72" t="n"/>
      <c r="N530" s="72" t="n"/>
      <c r="O530" s="89" t="n"/>
      <c r="P530" s="89" t="n"/>
      <c r="Q530" s="109" t="n"/>
      <c r="R530" s="120">
        <f>IF(B530="","",IF(Q530&lt;&gt;"",Q530,IF(P530="","",IFERROR(INDEX('Timeline'!$J$7:$J$1006,MATCH(P530,'Timeline'!$B$7:$B$1006,0)),""))))</f>
        <v/>
      </c>
      <c r="S530" s="126">
        <f>IF(R530="","",R530-IF(O530="",0,O530)-OrderBuf)</f>
        <v/>
      </c>
      <c r="T530" s="126">
        <f>IF(S530="","",S530-DecideBuf)</f>
        <v/>
      </c>
      <c r="U530" s="74" t="n"/>
      <c r="V530" s="109" t="n"/>
      <c r="W530" s="109" t="n"/>
      <c r="X530" s="74" t="n"/>
      <c r="Y530" s="116">
        <f>IF(B530="","",IF(X530="Yes","Delivered",IF(U530="Yes",IF(AND(W530&lt;&gt;"",R530&lt;&gt;""),IF(W530&gt;R530,"⚠️ Delivery after install date","Ordered"),"Ordered"),IF(K530="",IF(T530="","Waiting for decision",IF(T530&lt;=AsOf+AlertDays,"Decide now","Waiting for decision")),IF(S530="","Selected",IF(AsOf&gt;S530,"⚠️ Order late — install at risk",IF(S530&lt;=AsOf+AlertDays,"Order now","Selected")))))))</f>
        <v/>
      </c>
      <c r="Z530" s="79">
        <f>IF(B530="","",IF(OR(AH530=1,AE530=1),2,IF(OR(AG530=1,AF530=1),1,IF(OR(Y530="Ordered",Y530="Delivered"),0,""))))</f>
        <v/>
      </c>
      <c r="AA530" s="112">
        <f>IF(B530="","",IF(AH530=1,IF(Y530="⚠️ Delivery after install date",R530,S530),IF(AD530=1,T530,IF(AI530=1,S530,""))))</f>
        <v/>
      </c>
      <c r="AB530" s="79">
        <f>IF(AA530="","",IF(AH530=1,1,IF(AA530="","",IF(AA530&lt;AsOf,1,IF(AA530&lt;=AsOf+AlertDays,2,IF(AA530&lt;=AsOf+2*AlertDays,3,""))))))</f>
        <v/>
      </c>
      <c r="AC530" s="79">
        <f>IF(AB530="","",IF(AH530=1,IF(Y530="⚠️ Delivery after install date","Delivery after install date: "&amp;B530,"Order late — install at risk: "&amp;B530),IF(AD530=1,IF(AB530=1,"Decision overdue: ","Decide: ")&amp;B530,"Order: "&amp;B530&amp;IF(N530="",""," from "&amp;N530))))</f>
        <v/>
      </c>
      <c r="AD530" s="79">
        <f>IF(AND(B530&lt;&gt;"",K530="",U530&lt;&gt;"Yes",X530&lt;&gt;"Yes"),1,0)</f>
        <v/>
      </c>
      <c r="AE530" s="79">
        <f>IF(AND(AD530=1,T530&lt;&gt;""),IF(T530&lt;AsOf,1,0),0)</f>
        <v/>
      </c>
      <c r="AF530" s="79">
        <f>IF(AND(AD530=1,T530&lt;&gt;""),IF(AND(T530&gt;=AsOf,T530&lt;=AsOf+AlertDays),1,0),0)</f>
        <v/>
      </c>
      <c r="AG530" s="79">
        <f>IF(Y530="Order now",1,0)</f>
        <v/>
      </c>
      <c r="AH530" s="79">
        <f>IF(OR(Y530="⚠️ Order late — install at risk",Y530="⚠️ Delivery after install date"),1,0)</f>
        <v/>
      </c>
      <c r="AI530" s="79">
        <f>IF(AND(B530&lt;&gt;"",K530&lt;&gt;"",U530&lt;&gt;"Yes",X530&lt;&gt;"Yes"),1,0)</f>
        <v/>
      </c>
      <c r="AJ530" s="79">
        <f>IF(Y530="⚠️ Order late — install at risk",1,0)</f>
        <v/>
      </c>
    </row>
    <row r="531" ht="20" customHeight="1">
      <c r="B531" s="72" t="n"/>
      <c r="C531" s="72" t="n"/>
      <c r="D531" s="72" t="n"/>
      <c r="E531" s="72" t="n"/>
      <c r="F531" s="73" t="n"/>
      <c r="G531" s="72" t="n"/>
      <c r="H531" s="73" t="n"/>
      <c r="I531" s="72" t="n"/>
      <c r="J531" s="73" t="n"/>
      <c r="K531" s="74" t="n"/>
      <c r="L531" s="75">
        <f>IF(K531="A",F531,IF(K531="B",H531,IF(K531="C",J531,"")))</f>
        <v/>
      </c>
      <c r="M531" s="72" t="n"/>
      <c r="N531" s="72" t="n"/>
      <c r="O531" s="89" t="n"/>
      <c r="P531" s="89" t="n"/>
      <c r="Q531" s="109" t="n"/>
      <c r="R531" s="120">
        <f>IF(B531="","",IF(Q531&lt;&gt;"",Q531,IF(P531="","",IFERROR(INDEX('Timeline'!$J$7:$J$1006,MATCH(P531,'Timeline'!$B$7:$B$1006,0)),""))))</f>
        <v/>
      </c>
      <c r="S531" s="126">
        <f>IF(R531="","",R531-IF(O531="",0,O531)-OrderBuf)</f>
        <v/>
      </c>
      <c r="T531" s="126">
        <f>IF(S531="","",S531-DecideBuf)</f>
        <v/>
      </c>
      <c r="U531" s="74" t="n"/>
      <c r="V531" s="109" t="n"/>
      <c r="W531" s="109" t="n"/>
      <c r="X531" s="74" t="n"/>
      <c r="Y531" s="116">
        <f>IF(B531="","",IF(X531="Yes","Delivered",IF(U531="Yes",IF(AND(W531&lt;&gt;"",R531&lt;&gt;""),IF(W531&gt;R531,"⚠️ Delivery after install date","Ordered"),"Ordered"),IF(K531="",IF(T531="","Waiting for decision",IF(T531&lt;=AsOf+AlertDays,"Decide now","Waiting for decision")),IF(S531="","Selected",IF(AsOf&gt;S531,"⚠️ Order late — install at risk",IF(S531&lt;=AsOf+AlertDays,"Order now","Selected")))))))</f>
        <v/>
      </c>
      <c r="Z531" s="79">
        <f>IF(B531="","",IF(OR(AH531=1,AE531=1),2,IF(OR(AG531=1,AF531=1),1,IF(OR(Y531="Ordered",Y531="Delivered"),0,""))))</f>
        <v/>
      </c>
      <c r="AA531" s="112">
        <f>IF(B531="","",IF(AH531=1,IF(Y531="⚠️ Delivery after install date",R531,S531),IF(AD531=1,T531,IF(AI531=1,S531,""))))</f>
        <v/>
      </c>
      <c r="AB531" s="79">
        <f>IF(AA531="","",IF(AH531=1,1,IF(AA531="","",IF(AA531&lt;AsOf,1,IF(AA531&lt;=AsOf+AlertDays,2,IF(AA531&lt;=AsOf+2*AlertDays,3,""))))))</f>
        <v/>
      </c>
      <c r="AC531" s="79">
        <f>IF(AB531="","",IF(AH531=1,IF(Y531="⚠️ Delivery after install date","Delivery after install date: "&amp;B531,"Order late — install at risk: "&amp;B531),IF(AD531=1,IF(AB531=1,"Decision overdue: ","Decide: ")&amp;B531,"Order: "&amp;B531&amp;IF(N531="",""," from "&amp;N531))))</f>
        <v/>
      </c>
      <c r="AD531" s="79">
        <f>IF(AND(B531&lt;&gt;"",K531="",U531&lt;&gt;"Yes",X531&lt;&gt;"Yes"),1,0)</f>
        <v/>
      </c>
      <c r="AE531" s="79">
        <f>IF(AND(AD531=1,T531&lt;&gt;""),IF(T531&lt;AsOf,1,0),0)</f>
        <v/>
      </c>
      <c r="AF531" s="79">
        <f>IF(AND(AD531=1,T531&lt;&gt;""),IF(AND(T531&gt;=AsOf,T531&lt;=AsOf+AlertDays),1,0),0)</f>
        <v/>
      </c>
      <c r="AG531" s="79">
        <f>IF(Y531="Order now",1,0)</f>
        <v/>
      </c>
      <c r="AH531" s="79">
        <f>IF(OR(Y531="⚠️ Order late — install at risk",Y531="⚠️ Delivery after install date"),1,0)</f>
        <v/>
      </c>
      <c r="AI531" s="79">
        <f>IF(AND(B531&lt;&gt;"",K531&lt;&gt;"",U531&lt;&gt;"Yes",X531&lt;&gt;"Yes"),1,0)</f>
        <v/>
      </c>
      <c r="AJ531" s="79">
        <f>IF(Y531="⚠️ Order late — install at risk",1,0)</f>
        <v/>
      </c>
    </row>
    <row r="532" ht="20" customHeight="1">
      <c r="B532" s="72" t="n"/>
      <c r="C532" s="72" t="n"/>
      <c r="D532" s="72" t="n"/>
      <c r="E532" s="72" t="n"/>
      <c r="F532" s="73" t="n"/>
      <c r="G532" s="72" t="n"/>
      <c r="H532" s="73" t="n"/>
      <c r="I532" s="72" t="n"/>
      <c r="J532" s="73" t="n"/>
      <c r="K532" s="74" t="n"/>
      <c r="L532" s="75">
        <f>IF(K532="A",F532,IF(K532="B",H532,IF(K532="C",J532,"")))</f>
        <v/>
      </c>
      <c r="M532" s="72" t="n"/>
      <c r="N532" s="72" t="n"/>
      <c r="O532" s="89" t="n"/>
      <c r="P532" s="89" t="n"/>
      <c r="Q532" s="109" t="n"/>
      <c r="R532" s="120">
        <f>IF(B532="","",IF(Q532&lt;&gt;"",Q532,IF(P532="","",IFERROR(INDEX('Timeline'!$J$7:$J$1006,MATCH(P532,'Timeline'!$B$7:$B$1006,0)),""))))</f>
        <v/>
      </c>
      <c r="S532" s="126">
        <f>IF(R532="","",R532-IF(O532="",0,O532)-OrderBuf)</f>
        <v/>
      </c>
      <c r="T532" s="126">
        <f>IF(S532="","",S532-DecideBuf)</f>
        <v/>
      </c>
      <c r="U532" s="74" t="n"/>
      <c r="V532" s="109" t="n"/>
      <c r="W532" s="109" t="n"/>
      <c r="X532" s="74" t="n"/>
      <c r="Y532" s="116">
        <f>IF(B532="","",IF(X532="Yes","Delivered",IF(U532="Yes",IF(AND(W532&lt;&gt;"",R532&lt;&gt;""),IF(W532&gt;R532,"⚠️ Delivery after install date","Ordered"),"Ordered"),IF(K532="",IF(T532="","Waiting for decision",IF(T532&lt;=AsOf+AlertDays,"Decide now","Waiting for decision")),IF(S532="","Selected",IF(AsOf&gt;S532,"⚠️ Order late — install at risk",IF(S532&lt;=AsOf+AlertDays,"Order now","Selected")))))))</f>
        <v/>
      </c>
      <c r="Z532" s="79">
        <f>IF(B532="","",IF(OR(AH532=1,AE532=1),2,IF(OR(AG532=1,AF532=1),1,IF(OR(Y532="Ordered",Y532="Delivered"),0,""))))</f>
        <v/>
      </c>
      <c r="AA532" s="112">
        <f>IF(B532="","",IF(AH532=1,IF(Y532="⚠️ Delivery after install date",R532,S532),IF(AD532=1,T532,IF(AI532=1,S532,""))))</f>
        <v/>
      </c>
      <c r="AB532" s="79">
        <f>IF(AA532="","",IF(AH532=1,1,IF(AA532="","",IF(AA532&lt;AsOf,1,IF(AA532&lt;=AsOf+AlertDays,2,IF(AA532&lt;=AsOf+2*AlertDays,3,""))))))</f>
        <v/>
      </c>
      <c r="AC532" s="79">
        <f>IF(AB532="","",IF(AH532=1,IF(Y532="⚠️ Delivery after install date","Delivery after install date: "&amp;B532,"Order late — install at risk: "&amp;B532),IF(AD532=1,IF(AB532=1,"Decision overdue: ","Decide: ")&amp;B532,"Order: "&amp;B532&amp;IF(N532="",""," from "&amp;N532))))</f>
        <v/>
      </c>
      <c r="AD532" s="79">
        <f>IF(AND(B532&lt;&gt;"",K532="",U532&lt;&gt;"Yes",X532&lt;&gt;"Yes"),1,0)</f>
        <v/>
      </c>
      <c r="AE532" s="79">
        <f>IF(AND(AD532=1,T532&lt;&gt;""),IF(T532&lt;AsOf,1,0),0)</f>
        <v/>
      </c>
      <c r="AF532" s="79">
        <f>IF(AND(AD532=1,T532&lt;&gt;""),IF(AND(T532&gt;=AsOf,T532&lt;=AsOf+AlertDays),1,0),0)</f>
        <v/>
      </c>
      <c r="AG532" s="79">
        <f>IF(Y532="Order now",1,0)</f>
        <v/>
      </c>
      <c r="AH532" s="79">
        <f>IF(OR(Y532="⚠️ Order late — install at risk",Y532="⚠️ Delivery after install date"),1,0)</f>
        <v/>
      </c>
      <c r="AI532" s="79">
        <f>IF(AND(B532&lt;&gt;"",K532&lt;&gt;"",U532&lt;&gt;"Yes",X532&lt;&gt;"Yes"),1,0)</f>
        <v/>
      </c>
      <c r="AJ532" s="79">
        <f>IF(Y532="⚠️ Order late — install at risk",1,0)</f>
        <v/>
      </c>
    </row>
    <row r="533" ht="20" customHeight="1">
      <c r="B533" s="72" t="n"/>
      <c r="C533" s="72" t="n"/>
      <c r="D533" s="72" t="n"/>
      <c r="E533" s="72" t="n"/>
      <c r="F533" s="73" t="n"/>
      <c r="G533" s="72" t="n"/>
      <c r="H533" s="73" t="n"/>
      <c r="I533" s="72" t="n"/>
      <c r="J533" s="73" t="n"/>
      <c r="K533" s="74" t="n"/>
      <c r="L533" s="75">
        <f>IF(K533="A",F533,IF(K533="B",H533,IF(K533="C",J533,"")))</f>
        <v/>
      </c>
      <c r="M533" s="72" t="n"/>
      <c r="N533" s="72" t="n"/>
      <c r="O533" s="89" t="n"/>
      <c r="P533" s="89" t="n"/>
      <c r="Q533" s="109" t="n"/>
      <c r="R533" s="120">
        <f>IF(B533="","",IF(Q533&lt;&gt;"",Q533,IF(P533="","",IFERROR(INDEX('Timeline'!$J$7:$J$1006,MATCH(P533,'Timeline'!$B$7:$B$1006,0)),""))))</f>
        <v/>
      </c>
      <c r="S533" s="126">
        <f>IF(R533="","",R533-IF(O533="",0,O533)-OrderBuf)</f>
        <v/>
      </c>
      <c r="T533" s="126">
        <f>IF(S533="","",S533-DecideBuf)</f>
        <v/>
      </c>
      <c r="U533" s="74" t="n"/>
      <c r="V533" s="109" t="n"/>
      <c r="W533" s="109" t="n"/>
      <c r="X533" s="74" t="n"/>
      <c r="Y533" s="116">
        <f>IF(B533="","",IF(X533="Yes","Delivered",IF(U533="Yes",IF(AND(W533&lt;&gt;"",R533&lt;&gt;""),IF(W533&gt;R533,"⚠️ Delivery after install date","Ordered"),"Ordered"),IF(K533="",IF(T533="","Waiting for decision",IF(T533&lt;=AsOf+AlertDays,"Decide now","Waiting for decision")),IF(S533="","Selected",IF(AsOf&gt;S533,"⚠️ Order late — install at risk",IF(S533&lt;=AsOf+AlertDays,"Order now","Selected")))))))</f>
        <v/>
      </c>
      <c r="Z533" s="79">
        <f>IF(B533="","",IF(OR(AH533=1,AE533=1),2,IF(OR(AG533=1,AF533=1),1,IF(OR(Y533="Ordered",Y533="Delivered"),0,""))))</f>
        <v/>
      </c>
      <c r="AA533" s="112">
        <f>IF(B533="","",IF(AH533=1,IF(Y533="⚠️ Delivery after install date",R533,S533),IF(AD533=1,T533,IF(AI533=1,S533,""))))</f>
        <v/>
      </c>
      <c r="AB533" s="79">
        <f>IF(AA533="","",IF(AH533=1,1,IF(AA533="","",IF(AA533&lt;AsOf,1,IF(AA533&lt;=AsOf+AlertDays,2,IF(AA533&lt;=AsOf+2*AlertDays,3,""))))))</f>
        <v/>
      </c>
      <c r="AC533" s="79">
        <f>IF(AB533="","",IF(AH533=1,IF(Y533="⚠️ Delivery after install date","Delivery after install date: "&amp;B533,"Order late — install at risk: "&amp;B533),IF(AD533=1,IF(AB533=1,"Decision overdue: ","Decide: ")&amp;B533,"Order: "&amp;B533&amp;IF(N533="",""," from "&amp;N533))))</f>
        <v/>
      </c>
      <c r="AD533" s="79">
        <f>IF(AND(B533&lt;&gt;"",K533="",U533&lt;&gt;"Yes",X533&lt;&gt;"Yes"),1,0)</f>
        <v/>
      </c>
      <c r="AE533" s="79">
        <f>IF(AND(AD533=1,T533&lt;&gt;""),IF(T533&lt;AsOf,1,0),0)</f>
        <v/>
      </c>
      <c r="AF533" s="79">
        <f>IF(AND(AD533=1,T533&lt;&gt;""),IF(AND(T533&gt;=AsOf,T533&lt;=AsOf+AlertDays),1,0),0)</f>
        <v/>
      </c>
      <c r="AG533" s="79">
        <f>IF(Y533="Order now",1,0)</f>
        <v/>
      </c>
      <c r="AH533" s="79">
        <f>IF(OR(Y533="⚠️ Order late — install at risk",Y533="⚠️ Delivery after install date"),1,0)</f>
        <v/>
      </c>
      <c r="AI533" s="79">
        <f>IF(AND(B533&lt;&gt;"",K533&lt;&gt;"",U533&lt;&gt;"Yes",X533&lt;&gt;"Yes"),1,0)</f>
        <v/>
      </c>
      <c r="AJ533" s="79">
        <f>IF(Y533="⚠️ Order late — install at risk",1,0)</f>
        <v/>
      </c>
    </row>
    <row r="534" ht="20" customHeight="1">
      <c r="B534" s="72" t="n"/>
      <c r="C534" s="72" t="n"/>
      <c r="D534" s="72" t="n"/>
      <c r="E534" s="72" t="n"/>
      <c r="F534" s="73" t="n"/>
      <c r="G534" s="72" t="n"/>
      <c r="H534" s="73" t="n"/>
      <c r="I534" s="72" t="n"/>
      <c r="J534" s="73" t="n"/>
      <c r="K534" s="74" t="n"/>
      <c r="L534" s="75">
        <f>IF(K534="A",F534,IF(K534="B",H534,IF(K534="C",J534,"")))</f>
        <v/>
      </c>
      <c r="M534" s="72" t="n"/>
      <c r="N534" s="72" t="n"/>
      <c r="O534" s="89" t="n"/>
      <c r="P534" s="89" t="n"/>
      <c r="Q534" s="109" t="n"/>
      <c r="R534" s="120">
        <f>IF(B534="","",IF(Q534&lt;&gt;"",Q534,IF(P534="","",IFERROR(INDEX('Timeline'!$J$7:$J$1006,MATCH(P534,'Timeline'!$B$7:$B$1006,0)),""))))</f>
        <v/>
      </c>
      <c r="S534" s="126">
        <f>IF(R534="","",R534-IF(O534="",0,O534)-OrderBuf)</f>
        <v/>
      </c>
      <c r="T534" s="126">
        <f>IF(S534="","",S534-DecideBuf)</f>
        <v/>
      </c>
      <c r="U534" s="74" t="n"/>
      <c r="V534" s="109" t="n"/>
      <c r="W534" s="109" t="n"/>
      <c r="X534" s="74" t="n"/>
      <c r="Y534" s="116">
        <f>IF(B534="","",IF(X534="Yes","Delivered",IF(U534="Yes",IF(AND(W534&lt;&gt;"",R534&lt;&gt;""),IF(W534&gt;R534,"⚠️ Delivery after install date","Ordered"),"Ordered"),IF(K534="",IF(T534="","Waiting for decision",IF(T534&lt;=AsOf+AlertDays,"Decide now","Waiting for decision")),IF(S534="","Selected",IF(AsOf&gt;S534,"⚠️ Order late — install at risk",IF(S534&lt;=AsOf+AlertDays,"Order now","Selected")))))))</f>
        <v/>
      </c>
      <c r="Z534" s="79">
        <f>IF(B534="","",IF(OR(AH534=1,AE534=1),2,IF(OR(AG534=1,AF534=1),1,IF(OR(Y534="Ordered",Y534="Delivered"),0,""))))</f>
        <v/>
      </c>
      <c r="AA534" s="112">
        <f>IF(B534="","",IF(AH534=1,IF(Y534="⚠️ Delivery after install date",R534,S534),IF(AD534=1,T534,IF(AI534=1,S534,""))))</f>
        <v/>
      </c>
      <c r="AB534" s="79">
        <f>IF(AA534="","",IF(AH534=1,1,IF(AA534="","",IF(AA534&lt;AsOf,1,IF(AA534&lt;=AsOf+AlertDays,2,IF(AA534&lt;=AsOf+2*AlertDays,3,""))))))</f>
        <v/>
      </c>
      <c r="AC534" s="79">
        <f>IF(AB534="","",IF(AH534=1,IF(Y534="⚠️ Delivery after install date","Delivery after install date: "&amp;B534,"Order late — install at risk: "&amp;B534),IF(AD534=1,IF(AB534=1,"Decision overdue: ","Decide: ")&amp;B534,"Order: "&amp;B534&amp;IF(N534="",""," from "&amp;N534))))</f>
        <v/>
      </c>
      <c r="AD534" s="79">
        <f>IF(AND(B534&lt;&gt;"",K534="",U534&lt;&gt;"Yes",X534&lt;&gt;"Yes"),1,0)</f>
        <v/>
      </c>
      <c r="AE534" s="79">
        <f>IF(AND(AD534=1,T534&lt;&gt;""),IF(T534&lt;AsOf,1,0),0)</f>
        <v/>
      </c>
      <c r="AF534" s="79">
        <f>IF(AND(AD534=1,T534&lt;&gt;""),IF(AND(T534&gt;=AsOf,T534&lt;=AsOf+AlertDays),1,0),0)</f>
        <v/>
      </c>
      <c r="AG534" s="79">
        <f>IF(Y534="Order now",1,0)</f>
        <v/>
      </c>
      <c r="AH534" s="79">
        <f>IF(OR(Y534="⚠️ Order late — install at risk",Y534="⚠️ Delivery after install date"),1,0)</f>
        <v/>
      </c>
      <c r="AI534" s="79">
        <f>IF(AND(B534&lt;&gt;"",K534&lt;&gt;"",U534&lt;&gt;"Yes",X534&lt;&gt;"Yes"),1,0)</f>
        <v/>
      </c>
      <c r="AJ534" s="79">
        <f>IF(Y534="⚠️ Order late — install at risk",1,0)</f>
        <v/>
      </c>
    </row>
    <row r="535" ht="20" customHeight="1">
      <c r="B535" s="72" t="n"/>
      <c r="C535" s="72" t="n"/>
      <c r="D535" s="72" t="n"/>
      <c r="E535" s="72" t="n"/>
      <c r="F535" s="73" t="n"/>
      <c r="G535" s="72" t="n"/>
      <c r="H535" s="73" t="n"/>
      <c r="I535" s="72" t="n"/>
      <c r="J535" s="73" t="n"/>
      <c r="K535" s="74" t="n"/>
      <c r="L535" s="75">
        <f>IF(K535="A",F535,IF(K535="B",H535,IF(K535="C",J535,"")))</f>
        <v/>
      </c>
      <c r="M535" s="72" t="n"/>
      <c r="N535" s="72" t="n"/>
      <c r="O535" s="89" t="n"/>
      <c r="P535" s="89" t="n"/>
      <c r="Q535" s="109" t="n"/>
      <c r="R535" s="120">
        <f>IF(B535="","",IF(Q535&lt;&gt;"",Q535,IF(P535="","",IFERROR(INDEX('Timeline'!$J$7:$J$1006,MATCH(P535,'Timeline'!$B$7:$B$1006,0)),""))))</f>
        <v/>
      </c>
      <c r="S535" s="126">
        <f>IF(R535="","",R535-IF(O535="",0,O535)-OrderBuf)</f>
        <v/>
      </c>
      <c r="T535" s="126">
        <f>IF(S535="","",S535-DecideBuf)</f>
        <v/>
      </c>
      <c r="U535" s="74" t="n"/>
      <c r="V535" s="109" t="n"/>
      <c r="W535" s="109" t="n"/>
      <c r="X535" s="74" t="n"/>
      <c r="Y535" s="116">
        <f>IF(B535="","",IF(X535="Yes","Delivered",IF(U535="Yes",IF(AND(W535&lt;&gt;"",R535&lt;&gt;""),IF(W535&gt;R535,"⚠️ Delivery after install date","Ordered"),"Ordered"),IF(K535="",IF(T535="","Waiting for decision",IF(T535&lt;=AsOf+AlertDays,"Decide now","Waiting for decision")),IF(S535="","Selected",IF(AsOf&gt;S535,"⚠️ Order late — install at risk",IF(S535&lt;=AsOf+AlertDays,"Order now","Selected")))))))</f>
        <v/>
      </c>
      <c r="Z535" s="79">
        <f>IF(B535="","",IF(OR(AH535=1,AE535=1),2,IF(OR(AG535=1,AF535=1),1,IF(OR(Y535="Ordered",Y535="Delivered"),0,""))))</f>
        <v/>
      </c>
      <c r="AA535" s="112">
        <f>IF(B535="","",IF(AH535=1,IF(Y535="⚠️ Delivery after install date",R535,S535),IF(AD535=1,T535,IF(AI535=1,S535,""))))</f>
        <v/>
      </c>
      <c r="AB535" s="79">
        <f>IF(AA535="","",IF(AH535=1,1,IF(AA535="","",IF(AA535&lt;AsOf,1,IF(AA535&lt;=AsOf+AlertDays,2,IF(AA535&lt;=AsOf+2*AlertDays,3,""))))))</f>
        <v/>
      </c>
      <c r="AC535" s="79">
        <f>IF(AB535="","",IF(AH535=1,IF(Y535="⚠️ Delivery after install date","Delivery after install date: "&amp;B535,"Order late — install at risk: "&amp;B535),IF(AD535=1,IF(AB535=1,"Decision overdue: ","Decide: ")&amp;B535,"Order: "&amp;B535&amp;IF(N535="",""," from "&amp;N535))))</f>
        <v/>
      </c>
      <c r="AD535" s="79">
        <f>IF(AND(B535&lt;&gt;"",K535="",U535&lt;&gt;"Yes",X535&lt;&gt;"Yes"),1,0)</f>
        <v/>
      </c>
      <c r="AE535" s="79">
        <f>IF(AND(AD535=1,T535&lt;&gt;""),IF(T535&lt;AsOf,1,0),0)</f>
        <v/>
      </c>
      <c r="AF535" s="79">
        <f>IF(AND(AD535=1,T535&lt;&gt;""),IF(AND(T535&gt;=AsOf,T535&lt;=AsOf+AlertDays),1,0),0)</f>
        <v/>
      </c>
      <c r="AG535" s="79">
        <f>IF(Y535="Order now",1,0)</f>
        <v/>
      </c>
      <c r="AH535" s="79">
        <f>IF(OR(Y535="⚠️ Order late — install at risk",Y535="⚠️ Delivery after install date"),1,0)</f>
        <v/>
      </c>
      <c r="AI535" s="79">
        <f>IF(AND(B535&lt;&gt;"",K535&lt;&gt;"",U535&lt;&gt;"Yes",X535&lt;&gt;"Yes"),1,0)</f>
        <v/>
      </c>
      <c r="AJ535" s="79">
        <f>IF(Y535="⚠️ Order late — install at risk",1,0)</f>
        <v/>
      </c>
    </row>
    <row r="536" ht="20" customHeight="1">
      <c r="B536" s="72" t="n"/>
      <c r="C536" s="72" t="n"/>
      <c r="D536" s="72" t="n"/>
      <c r="E536" s="72" t="n"/>
      <c r="F536" s="73" t="n"/>
      <c r="G536" s="72" t="n"/>
      <c r="H536" s="73" t="n"/>
      <c r="I536" s="72" t="n"/>
      <c r="J536" s="73" t="n"/>
      <c r="K536" s="74" t="n"/>
      <c r="L536" s="75">
        <f>IF(K536="A",F536,IF(K536="B",H536,IF(K536="C",J536,"")))</f>
        <v/>
      </c>
      <c r="M536" s="72" t="n"/>
      <c r="N536" s="72" t="n"/>
      <c r="O536" s="89" t="n"/>
      <c r="P536" s="89" t="n"/>
      <c r="Q536" s="109" t="n"/>
      <c r="R536" s="120">
        <f>IF(B536="","",IF(Q536&lt;&gt;"",Q536,IF(P536="","",IFERROR(INDEX('Timeline'!$J$7:$J$1006,MATCH(P536,'Timeline'!$B$7:$B$1006,0)),""))))</f>
        <v/>
      </c>
      <c r="S536" s="126">
        <f>IF(R536="","",R536-IF(O536="",0,O536)-OrderBuf)</f>
        <v/>
      </c>
      <c r="T536" s="126">
        <f>IF(S536="","",S536-DecideBuf)</f>
        <v/>
      </c>
      <c r="U536" s="74" t="n"/>
      <c r="V536" s="109" t="n"/>
      <c r="W536" s="109" t="n"/>
      <c r="X536" s="74" t="n"/>
      <c r="Y536" s="116">
        <f>IF(B536="","",IF(X536="Yes","Delivered",IF(U536="Yes",IF(AND(W536&lt;&gt;"",R536&lt;&gt;""),IF(W536&gt;R536,"⚠️ Delivery after install date","Ordered"),"Ordered"),IF(K536="",IF(T536="","Waiting for decision",IF(T536&lt;=AsOf+AlertDays,"Decide now","Waiting for decision")),IF(S536="","Selected",IF(AsOf&gt;S536,"⚠️ Order late — install at risk",IF(S536&lt;=AsOf+AlertDays,"Order now","Selected")))))))</f>
        <v/>
      </c>
      <c r="Z536" s="79">
        <f>IF(B536="","",IF(OR(AH536=1,AE536=1),2,IF(OR(AG536=1,AF536=1),1,IF(OR(Y536="Ordered",Y536="Delivered"),0,""))))</f>
        <v/>
      </c>
      <c r="AA536" s="112">
        <f>IF(B536="","",IF(AH536=1,IF(Y536="⚠️ Delivery after install date",R536,S536),IF(AD536=1,T536,IF(AI536=1,S536,""))))</f>
        <v/>
      </c>
      <c r="AB536" s="79">
        <f>IF(AA536="","",IF(AH536=1,1,IF(AA536="","",IF(AA536&lt;AsOf,1,IF(AA536&lt;=AsOf+AlertDays,2,IF(AA536&lt;=AsOf+2*AlertDays,3,""))))))</f>
        <v/>
      </c>
      <c r="AC536" s="79">
        <f>IF(AB536="","",IF(AH536=1,IF(Y536="⚠️ Delivery after install date","Delivery after install date: "&amp;B536,"Order late — install at risk: "&amp;B536),IF(AD536=1,IF(AB536=1,"Decision overdue: ","Decide: ")&amp;B536,"Order: "&amp;B536&amp;IF(N536="",""," from "&amp;N536))))</f>
        <v/>
      </c>
      <c r="AD536" s="79">
        <f>IF(AND(B536&lt;&gt;"",K536="",U536&lt;&gt;"Yes",X536&lt;&gt;"Yes"),1,0)</f>
        <v/>
      </c>
      <c r="AE536" s="79">
        <f>IF(AND(AD536=1,T536&lt;&gt;""),IF(T536&lt;AsOf,1,0),0)</f>
        <v/>
      </c>
      <c r="AF536" s="79">
        <f>IF(AND(AD536=1,T536&lt;&gt;""),IF(AND(T536&gt;=AsOf,T536&lt;=AsOf+AlertDays),1,0),0)</f>
        <v/>
      </c>
      <c r="AG536" s="79">
        <f>IF(Y536="Order now",1,0)</f>
        <v/>
      </c>
      <c r="AH536" s="79">
        <f>IF(OR(Y536="⚠️ Order late — install at risk",Y536="⚠️ Delivery after install date"),1,0)</f>
        <v/>
      </c>
      <c r="AI536" s="79">
        <f>IF(AND(B536&lt;&gt;"",K536&lt;&gt;"",U536&lt;&gt;"Yes",X536&lt;&gt;"Yes"),1,0)</f>
        <v/>
      </c>
      <c r="AJ536" s="79">
        <f>IF(Y536="⚠️ Order late — install at risk",1,0)</f>
        <v/>
      </c>
    </row>
    <row r="537" ht="20" customHeight="1">
      <c r="B537" s="72" t="n"/>
      <c r="C537" s="72" t="n"/>
      <c r="D537" s="72" t="n"/>
      <c r="E537" s="72" t="n"/>
      <c r="F537" s="73" t="n"/>
      <c r="G537" s="72" t="n"/>
      <c r="H537" s="73" t="n"/>
      <c r="I537" s="72" t="n"/>
      <c r="J537" s="73" t="n"/>
      <c r="K537" s="74" t="n"/>
      <c r="L537" s="75">
        <f>IF(K537="A",F537,IF(K537="B",H537,IF(K537="C",J537,"")))</f>
        <v/>
      </c>
      <c r="M537" s="72" t="n"/>
      <c r="N537" s="72" t="n"/>
      <c r="O537" s="89" t="n"/>
      <c r="P537" s="89" t="n"/>
      <c r="Q537" s="109" t="n"/>
      <c r="R537" s="120">
        <f>IF(B537="","",IF(Q537&lt;&gt;"",Q537,IF(P537="","",IFERROR(INDEX('Timeline'!$J$7:$J$1006,MATCH(P537,'Timeline'!$B$7:$B$1006,0)),""))))</f>
        <v/>
      </c>
      <c r="S537" s="126">
        <f>IF(R537="","",R537-IF(O537="",0,O537)-OrderBuf)</f>
        <v/>
      </c>
      <c r="T537" s="126">
        <f>IF(S537="","",S537-DecideBuf)</f>
        <v/>
      </c>
      <c r="U537" s="74" t="n"/>
      <c r="V537" s="109" t="n"/>
      <c r="W537" s="109" t="n"/>
      <c r="X537" s="74" t="n"/>
      <c r="Y537" s="116">
        <f>IF(B537="","",IF(X537="Yes","Delivered",IF(U537="Yes",IF(AND(W537&lt;&gt;"",R537&lt;&gt;""),IF(W537&gt;R537,"⚠️ Delivery after install date","Ordered"),"Ordered"),IF(K537="",IF(T537="","Waiting for decision",IF(T537&lt;=AsOf+AlertDays,"Decide now","Waiting for decision")),IF(S537="","Selected",IF(AsOf&gt;S537,"⚠️ Order late — install at risk",IF(S537&lt;=AsOf+AlertDays,"Order now","Selected")))))))</f>
        <v/>
      </c>
      <c r="Z537" s="79">
        <f>IF(B537="","",IF(OR(AH537=1,AE537=1),2,IF(OR(AG537=1,AF537=1),1,IF(OR(Y537="Ordered",Y537="Delivered"),0,""))))</f>
        <v/>
      </c>
      <c r="AA537" s="112">
        <f>IF(B537="","",IF(AH537=1,IF(Y537="⚠️ Delivery after install date",R537,S537),IF(AD537=1,T537,IF(AI537=1,S537,""))))</f>
        <v/>
      </c>
      <c r="AB537" s="79">
        <f>IF(AA537="","",IF(AH537=1,1,IF(AA537="","",IF(AA537&lt;AsOf,1,IF(AA537&lt;=AsOf+AlertDays,2,IF(AA537&lt;=AsOf+2*AlertDays,3,""))))))</f>
        <v/>
      </c>
      <c r="AC537" s="79">
        <f>IF(AB537="","",IF(AH537=1,IF(Y537="⚠️ Delivery after install date","Delivery after install date: "&amp;B537,"Order late — install at risk: "&amp;B537),IF(AD537=1,IF(AB537=1,"Decision overdue: ","Decide: ")&amp;B537,"Order: "&amp;B537&amp;IF(N537="",""," from "&amp;N537))))</f>
        <v/>
      </c>
      <c r="AD537" s="79">
        <f>IF(AND(B537&lt;&gt;"",K537="",U537&lt;&gt;"Yes",X537&lt;&gt;"Yes"),1,0)</f>
        <v/>
      </c>
      <c r="AE537" s="79">
        <f>IF(AND(AD537=1,T537&lt;&gt;""),IF(T537&lt;AsOf,1,0),0)</f>
        <v/>
      </c>
      <c r="AF537" s="79">
        <f>IF(AND(AD537=1,T537&lt;&gt;""),IF(AND(T537&gt;=AsOf,T537&lt;=AsOf+AlertDays),1,0),0)</f>
        <v/>
      </c>
      <c r="AG537" s="79">
        <f>IF(Y537="Order now",1,0)</f>
        <v/>
      </c>
      <c r="AH537" s="79">
        <f>IF(OR(Y537="⚠️ Order late — install at risk",Y537="⚠️ Delivery after install date"),1,0)</f>
        <v/>
      </c>
      <c r="AI537" s="79">
        <f>IF(AND(B537&lt;&gt;"",K537&lt;&gt;"",U537&lt;&gt;"Yes",X537&lt;&gt;"Yes"),1,0)</f>
        <v/>
      </c>
      <c r="AJ537" s="79">
        <f>IF(Y537="⚠️ Order late — install at risk",1,0)</f>
        <v/>
      </c>
    </row>
    <row r="538" ht="20" customHeight="1">
      <c r="B538" s="72" t="n"/>
      <c r="C538" s="72" t="n"/>
      <c r="D538" s="72" t="n"/>
      <c r="E538" s="72" t="n"/>
      <c r="F538" s="73" t="n"/>
      <c r="G538" s="72" t="n"/>
      <c r="H538" s="73" t="n"/>
      <c r="I538" s="72" t="n"/>
      <c r="J538" s="73" t="n"/>
      <c r="K538" s="74" t="n"/>
      <c r="L538" s="75">
        <f>IF(K538="A",F538,IF(K538="B",H538,IF(K538="C",J538,"")))</f>
        <v/>
      </c>
      <c r="M538" s="72" t="n"/>
      <c r="N538" s="72" t="n"/>
      <c r="O538" s="89" t="n"/>
      <c r="P538" s="89" t="n"/>
      <c r="Q538" s="109" t="n"/>
      <c r="R538" s="120">
        <f>IF(B538="","",IF(Q538&lt;&gt;"",Q538,IF(P538="","",IFERROR(INDEX('Timeline'!$J$7:$J$1006,MATCH(P538,'Timeline'!$B$7:$B$1006,0)),""))))</f>
        <v/>
      </c>
      <c r="S538" s="126">
        <f>IF(R538="","",R538-IF(O538="",0,O538)-OrderBuf)</f>
        <v/>
      </c>
      <c r="T538" s="126">
        <f>IF(S538="","",S538-DecideBuf)</f>
        <v/>
      </c>
      <c r="U538" s="74" t="n"/>
      <c r="V538" s="109" t="n"/>
      <c r="W538" s="109" t="n"/>
      <c r="X538" s="74" t="n"/>
      <c r="Y538" s="116">
        <f>IF(B538="","",IF(X538="Yes","Delivered",IF(U538="Yes",IF(AND(W538&lt;&gt;"",R538&lt;&gt;""),IF(W538&gt;R538,"⚠️ Delivery after install date","Ordered"),"Ordered"),IF(K538="",IF(T538="","Waiting for decision",IF(T538&lt;=AsOf+AlertDays,"Decide now","Waiting for decision")),IF(S538="","Selected",IF(AsOf&gt;S538,"⚠️ Order late — install at risk",IF(S538&lt;=AsOf+AlertDays,"Order now","Selected")))))))</f>
        <v/>
      </c>
      <c r="Z538" s="79">
        <f>IF(B538="","",IF(OR(AH538=1,AE538=1),2,IF(OR(AG538=1,AF538=1),1,IF(OR(Y538="Ordered",Y538="Delivered"),0,""))))</f>
        <v/>
      </c>
      <c r="AA538" s="112">
        <f>IF(B538="","",IF(AH538=1,IF(Y538="⚠️ Delivery after install date",R538,S538),IF(AD538=1,T538,IF(AI538=1,S538,""))))</f>
        <v/>
      </c>
      <c r="AB538" s="79">
        <f>IF(AA538="","",IF(AH538=1,1,IF(AA538="","",IF(AA538&lt;AsOf,1,IF(AA538&lt;=AsOf+AlertDays,2,IF(AA538&lt;=AsOf+2*AlertDays,3,""))))))</f>
        <v/>
      </c>
      <c r="AC538" s="79">
        <f>IF(AB538="","",IF(AH538=1,IF(Y538="⚠️ Delivery after install date","Delivery after install date: "&amp;B538,"Order late — install at risk: "&amp;B538),IF(AD538=1,IF(AB538=1,"Decision overdue: ","Decide: ")&amp;B538,"Order: "&amp;B538&amp;IF(N538="",""," from "&amp;N538))))</f>
        <v/>
      </c>
      <c r="AD538" s="79">
        <f>IF(AND(B538&lt;&gt;"",K538="",U538&lt;&gt;"Yes",X538&lt;&gt;"Yes"),1,0)</f>
        <v/>
      </c>
      <c r="AE538" s="79">
        <f>IF(AND(AD538=1,T538&lt;&gt;""),IF(T538&lt;AsOf,1,0),0)</f>
        <v/>
      </c>
      <c r="AF538" s="79">
        <f>IF(AND(AD538=1,T538&lt;&gt;""),IF(AND(T538&gt;=AsOf,T538&lt;=AsOf+AlertDays),1,0),0)</f>
        <v/>
      </c>
      <c r="AG538" s="79">
        <f>IF(Y538="Order now",1,0)</f>
        <v/>
      </c>
      <c r="AH538" s="79">
        <f>IF(OR(Y538="⚠️ Order late — install at risk",Y538="⚠️ Delivery after install date"),1,0)</f>
        <v/>
      </c>
      <c r="AI538" s="79">
        <f>IF(AND(B538&lt;&gt;"",K538&lt;&gt;"",U538&lt;&gt;"Yes",X538&lt;&gt;"Yes"),1,0)</f>
        <v/>
      </c>
      <c r="AJ538" s="79">
        <f>IF(Y538="⚠️ Order late — install at risk",1,0)</f>
        <v/>
      </c>
    </row>
    <row r="539" ht="20" customHeight="1">
      <c r="B539" s="72" t="n"/>
      <c r="C539" s="72" t="n"/>
      <c r="D539" s="72" t="n"/>
      <c r="E539" s="72" t="n"/>
      <c r="F539" s="73" t="n"/>
      <c r="G539" s="72" t="n"/>
      <c r="H539" s="73" t="n"/>
      <c r="I539" s="72" t="n"/>
      <c r="J539" s="73" t="n"/>
      <c r="K539" s="74" t="n"/>
      <c r="L539" s="75">
        <f>IF(K539="A",F539,IF(K539="B",H539,IF(K539="C",J539,"")))</f>
        <v/>
      </c>
      <c r="M539" s="72" t="n"/>
      <c r="N539" s="72" t="n"/>
      <c r="O539" s="89" t="n"/>
      <c r="P539" s="89" t="n"/>
      <c r="Q539" s="109" t="n"/>
      <c r="R539" s="120">
        <f>IF(B539="","",IF(Q539&lt;&gt;"",Q539,IF(P539="","",IFERROR(INDEX('Timeline'!$J$7:$J$1006,MATCH(P539,'Timeline'!$B$7:$B$1006,0)),""))))</f>
        <v/>
      </c>
      <c r="S539" s="126">
        <f>IF(R539="","",R539-IF(O539="",0,O539)-OrderBuf)</f>
        <v/>
      </c>
      <c r="T539" s="126">
        <f>IF(S539="","",S539-DecideBuf)</f>
        <v/>
      </c>
      <c r="U539" s="74" t="n"/>
      <c r="V539" s="109" t="n"/>
      <c r="W539" s="109" t="n"/>
      <c r="X539" s="74" t="n"/>
      <c r="Y539" s="116">
        <f>IF(B539="","",IF(X539="Yes","Delivered",IF(U539="Yes",IF(AND(W539&lt;&gt;"",R539&lt;&gt;""),IF(W539&gt;R539,"⚠️ Delivery after install date","Ordered"),"Ordered"),IF(K539="",IF(T539="","Waiting for decision",IF(T539&lt;=AsOf+AlertDays,"Decide now","Waiting for decision")),IF(S539="","Selected",IF(AsOf&gt;S539,"⚠️ Order late — install at risk",IF(S539&lt;=AsOf+AlertDays,"Order now","Selected")))))))</f>
        <v/>
      </c>
      <c r="Z539" s="79">
        <f>IF(B539="","",IF(OR(AH539=1,AE539=1),2,IF(OR(AG539=1,AF539=1),1,IF(OR(Y539="Ordered",Y539="Delivered"),0,""))))</f>
        <v/>
      </c>
      <c r="AA539" s="112">
        <f>IF(B539="","",IF(AH539=1,IF(Y539="⚠️ Delivery after install date",R539,S539),IF(AD539=1,T539,IF(AI539=1,S539,""))))</f>
        <v/>
      </c>
      <c r="AB539" s="79">
        <f>IF(AA539="","",IF(AH539=1,1,IF(AA539="","",IF(AA539&lt;AsOf,1,IF(AA539&lt;=AsOf+AlertDays,2,IF(AA539&lt;=AsOf+2*AlertDays,3,""))))))</f>
        <v/>
      </c>
      <c r="AC539" s="79">
        <f>IF(AB539="","",IF(AH539=1,IF(Y539="⚠️ Delivery after install date","Delivery after install date: "&amp;B539,"Order late — install at risk: "&amp;B539),IF(AD539=1,IF(AB539=1,"Decision overdue: ","Decide: ")&amp;B539,"Order: "&amp;B539&amp;IF(N539="",""," from "&amp;N539))))</f>
        <v/>
      </c>
      <c r="AD539" s="79">
        <f>IF(AND(B539&lt;&gt;"",K539="",U539&lt;&gt;"Yes",X539&lt;&gt;"Yes"),1,0)</f>
        <v/>
      </c>
      <c r="AE539" s="79">
        <f>IF(AND(AD539=1,T539&lt;&gt;""),IF(T539&lt;AsOf,1,0),0)</f>
        <v/>
      </c>
      <c r="AF539" s="79">
        <f>IF(AND(AD539=1,T539&lt;&gt;""),IF(AND(T539&gt;=AsOf,T539&lt;=AsOf+AlertDays),1,0),0)</f>
        <v/>
      </c>
      <c r="AG539" s="79">
        <f>IF(Y539="Order now",1,0)</f>
        <v/>
      </c>
      <c r="AH539" s="79">
        <f>IF(OR(Y539="⚠️ Order late — install at risk",Y539="⚠️ Delivery after install date"),1,0)</f>
        <v/>
      </c>
      <c r="AI539" s="79">
        <f>IF(AND(B539&lt;&gt;"",K539&lt;&gt;"",U539&lt;&gt;"Yes",X539&lt;&gt;"Yes"),1,0)</f>
        <v/>
      </c>
      <c r="AJ539" s="79">
        <f>IF(Y539="⚠️ Order late — install at risk",1,0)</f>
        <v/>
      </c>
    </row>
    <row r="540" ht="20" customHeight="1">
      <c r="B540" s="72" t="n"/>
      <c r="C540" s="72" t="n"/>
      <c r="D540" s="72" t="n"/>
      <c r="E540" s="72" t="n"/>
      <c r="F540" s="73" t="n"/>
      <c r="G540" s="72" t="n"/>
      <c r="H540" s="73" t="n"/>
      <c r="I540" s="72" t="n"/>
      <c r="J540" s="73" t="n"/>
      <c r="K540" s="74" t="n"/>
      <c r="L540" s="75">
        <f>IF(K540="A",F540,IF(K540="B",H540,IF(K540="C",J540,"")))</f>
        <v/>
      </c>
      <c r="M540" s="72" t="n"/>
      <c r="N540" s="72" t="n"/>
      <c r="O540" s="89" t="n"/>
      <c r="P540" s="89" t="n"/>
      <c r="Q540" s="109" t="n"/>
      <c r="R540" s="120">
        <f>IF(B540="","",IF(Q540&lt;&gt;"",Q540,IF(P540="","",IFERROR(INDEX('Timeline'!$J$7:$J$1006,MATCH(P540,'Timeline'!$B$7:$B$1006,0)),""))))</f>
        <v/>
      </c>
      <c r="S540" s="126">
        <f>IF(R540="","",R540-IF(O540="",0,O540)-OrderBuf)</f>
        <v/>
      </c>
      <c r="T540" s="126">
        <f>IF(S540="","",S540-DecideBuf)</f>
        <v/>
      </c>
      <c r="U540" s="74" t="n"/>
      <c r="V540" s="109" t="n"/>
      <c r="W540" s="109" t="n"/>
      <c r="X540" s="74" t="n"/>
      <c r="Y540" s="116">
        <f>IF(B540="","",IF(X540="Yes","Delivered",IF(U540="Yes",IF(AND(W540&lt;&gt;"",R540&lt;&gt;""),IF(W540&gt;R540,"⚠️ Delivery after install date","Ordered"),"Ordered"),IF(K540="",IF(T540="","Waiting for decision",IF(T540&lt;=AsOf+AlertDays,"Decide now","Waiting for decision")),IF(S540="","Selected",IF(AsOf&gt;S540,"⚠️ Order late — install at risk",IF(S540&lt;=AsOf+AlertDays,"Order now","Selected")))))))</f>
        <v/>
      </c>
      <c r="Z540" s="79">
        <f>IF(B540="","",IF(OR(AH540=1,AE540=1),2,IF(OR(AG540=1,AF540=1),1,IF(OR(Y540="Ordered",Y540="Delivered"),0,""))))</f>
        <v/>
      </c>
      <c r="AA540" s="112">
        <f>IF(B540="","",IF(AH540=1,IF(Y540="⚠️ Delivery after install date",R540,S540),IF(AD540=1,T540,IF(AI540=1,S540,""))))</f>
        <v/>
      </c>
      <c r="AB540" s="79">
        <f>IF(AA540="","",IF(AH540=1,1,IF(AA540="","",IF(AA540&lt;AsOf,1,IF(AA540&lt;=AsOf+AlertDays,2,IF(AA540&lt;=AsOf+2*AlertDays,3,""))))))</f>
        <v/>
      </c>
      <c r="AC540" s="79">
        <f>IF(AB540="","",IF(AH540=1,IF(Y540="⚠️ Delivery after install date","Delivery after install date: "&amp;B540,"Order late — install at risk: "&amp;B540),IF(AD540=1,IF(AB540=1,"Decision overdue: ","Decide: ")&amp;B540,"Order: "&amp;B540&amp;IF(N540="",""," from "&amp;N540))))</f>
        <v/>
      </c>
      <c r="AD540" s="79">
        <f>IF(AND(B540&lt;&gt;"",K540="",U540&lt;&gt;"Yes",X540&lt;&gt;"Yes"),1,0)</f>
        <v/>
      </c>
      <c r="AE540" s="79">
        <f>IF(AND(AD540=1,T540&lt;&gt;""),IF(T540&lt;AsOf,1,0),0)</f>
        <v/>
      </c>
      <c r="AF540" s="79">
        <f>IF(AND(AD540=1,T540&lt;&gt;""),IF(AND(T540&gt;=AsOf,T540&lt;=AsOf+AlertDays),1,0),0)</f>
        <v/>
      </c>
      <c r="AG540" s="79">
        <f>IF(Y540="Order now",1,0)</f>
        <v/>
      </c>
      <c r="AH540" s="79">
        <f>IF(OR(Y540="⚠️ Order late — install at risk",Y540="⚠️ Delivery after install date"),1,0)</f>
        <v/>
      </c>
      <c r="AI540" s="79">
        <f>IF(AND(B540&lt;&gt;"",K540&lt;&gt;"",U540&lt;&gt;"Yes",X540&lt;&gt;"Yes"),1,0)</f>
        <v/>
      </c>
      <c r="AJ540" s="79">
        <f>IF(Y540="⚠️ Order late — install at risk",1,0)</f>
        <v/>
      </c>
    </row>
    <row r="541" ht="20" customHeight="1">
      <c r="B541" s="72" t="n"/>
      <c r="C541" s="72" t="n"/>
      <c r="D541" s="72" t="n"/>
      <c r="E541" s="72" t="n"/>
      <c r="F541" s="73" t="n"/>
      <c r="G541" s="72" t="n"/>
      <c r="H541" s="73" t="n"/>
      <c r="I541" s="72" t="n"/>
      <c r="J541" s="73" t="n"/>
      <c r="K541" s="74" t="n"/>
      <c r="L541" s="75">
        <f>IF(K541="A",F541,IF(K541="B",H541,IF(K541="C",J541,"")))</f>
        <v/>
      </c>
      <c r="M541" s="72" t="n"/>
      <c r="N541" s="72" t="n"/>
      <c r="O541" s="89" t="n"/>
      <c r="P541" s="89" t="n"/>
      <c r="Q541" s="109" t="n"/>
      <c r="R541" s="120">
        <f>IF(B541="","",IF(Q541&lt;&gt;"",Q541,IF(P541="","",IFERROR(INDEX('Timeline'!$J$7:$J$1006,MATCH(P541,'Timeline'!$B$7:$B$1006,0)),""))))</f>
        <v/>
      </c>
      <c r="S541" s="126">
        <f>IF(R541="","",R541-IF(O541="",0,O541)-OrderBuf)</f>
        <v/>
      </c>
      <c r="T541" s="126">
        <f>IF(S541="","",S541-DecideBuf)</f>
        <v/>
      </c>
      <c r="U541" s="74" t="n"/>
      <c r="V541" s="109" t="n"/>
      <c r="W541" s="109" t="n"/>
      <c r="X541" s="74" t="n"/>
      <c r="Y541" s="116">
        <f>IF(B541="","",IF(X541="Yes","Delivered",IF(U541="Yes",IF(AND(W541&lt;&gt;"",R541&lt;&gt;""),IF(W541&gt;R541,"⚠️ Delivery after install date","Ordered"),"Ordered"),IF(K541="",IF(T541="","Waiting for decision",IF(T541&lt;=AsOf+AlertDays,"Decide now","Waiting for decision")),IF(S541="","Selected",IF(AsOf&gt;S541,"⚠️ Order late — install at risk",IF(S541&lt;=AsOf+AlertDays,"Order now","Selected")))))))</f>
        <v/>
      </c>
      <c r="Z541" s="79">
        <f>IF(B541="","",IF(OR(AH541=1,AE541=1),2,IF(OR(AG541=1,AF541=1),1,IF(OR(Y541="Ordered",Y541="Delivered"),0,""))))</f>
        <v/>
      </c>
      <c r="AA541" s="112">
        <f>IF(B541="","",IF(AH541=1,IF(Y541="⚠️ Delivery after install date",R541,S541),IF(AD541=1,T541,IF(AI541=1,S541,""))))</f>
        <v/>
      </c>
      <c r="AB541" s="79">
        <f>IF(AA541="","",IF(AH541=1,1,IF(AA541="","",IF(AA541&lt;AsOf,1,IF(AA541&lt;=AsOf+AlertDays,2,IF(AA541&lt;=AsOf+2*AlertDays,3,""))))))</f>
        <v/>
      </c>
      <c r="AC541" s="79">
        <f>IF(AB541="","",IF(AH541=1,IF(Y541="⚠️ Delivery after install date","Delivery after install date: "&amp;B541,"Order late — install at risk: "&amp;B541),IF(AD541=1,IF(AB541=1,"Decision overdue: ","Decide: ")&amp;B541,"Order: "&amp;B541&amp;IF(N541="",""," from "&amp;N541))))</f>
        <v/>
      </c>
      <c r="AD541" s="79">
        <f>IF(AND(B541&lt;&gt;"",K541="",U541&lt;&gt;"Yes",X541&lt;&gt;"Yes"),1,0)</f>
        <v/>
      </c>
      <c r="AE541" s="79">
        <f>IF(AND(AD541=1,T541&lt;&gt;""),IF(T541&lt;AsOf,1,0),0)</f>
        <v/>
      </c>
      <c r="AF541" s="79">
        <f>IF(AND(AD541=1,T541&lt;&gt;""),IF(AND(T541&gt;=AsOf,T541&lt;=AsOf+AlertDays),1,0),0)</f>
        <v/>
      </c>
      <c r="AG541" s="79">
        <f>IF(Y541="Order now",1,0)</f>
        <v/>
      </c>
      <c r="AH541" s="79">
        <f>IF(OR(Y541="⚠️ Order late — install at risk",Y541="⚠️ Delivery after install date"),1,0)</f>
        <v/>
      </c>
      <c r="AI541" s="79">
        <f>IF(AND(B541&lt;&gt;"",K541&lt;&gt;"",U541&lt;&gt;"Yes",X541&lt;&gt;"Yes"),1,0)</f>
        <v/>
      </c>
      <c r="AJ541" s="79">
        <f>IF(Y541="⚠️ Order late — install at risk",1,0)</f>
        <v/>
      </c>
    </row>
    <row r="542" ht="20" customHeight="1">
      <c r="B542" s="72" t="n"/>
      <c r="C542" s="72" t="n"/>
      <c r="D542" s="72" t="n"/>
      <c r="E542" s="72" t="n"/>
      <c r="F542" s="73" t="n"/>
      <c r="G542" s="72" t="n"/>
      <c r="H542" s="73" t="n"/>
      <c r="I542" s="72" t="n"/>
      <c r="J542" s="73" t="n"/>
      <c r="K542" s="74" t="n"/>
      <c r="L542" s="75">
        <f>IF(K542="A",F542,IF(K542="B",H542,IF(K542="C",J542,"")))</f>
        <v/>
      </c>
      <c r="M542" s="72" t="n"/>
      <c r="N542" s="72" t="n"/>
      <c r="O542" s="89" t="n"/>
      <c r="P542" s="89" t="n"/>
      <c r="Q542" s="109" t="n"/>
      <c r="R542" s="120">
        <f>IF(B542="","",IF(Q542&lt;&gt;"",Q542,IF(P542="","",IFERROR(INDEX('Timeline'!$J$7:$J$1006,MATCH(P542,'Timeline'!$B$7:$B$1006,0)),""))))</f>
        <v/>
      </c>
      <c r="S542" s="126">
        <f>IF(R542="","",R542-IF(O542="",0,O542)-OrderBuf)</f>
        <v/>
      </c>
      <c r="T542" s="126">
        <f>IF(S542="","",S542-DecideBuf)</f>
        <v/>
      </c>
      <c r="U542" s="74" t="n"/>
      <c r="V542" s="109" t="n"/>
      <c r="W542" s="109" t="n"/>
      <c r="X542" s="74" t="n"/>
      <c r="Y542" s="116">
        <f>IF(B542="","",IF(X542="Yes","Delivered",IF(U542="Yes",IF(AND(W542&lt;&gt;"",R542&lt;&gt;""),IF(W542&gt;R542,"⚠️ Delivery after install date","Ordered"),"Ordered"),IF(K542="",IF(T542="","Waiting for decision",IF(T542&lt;=AsOf+AlertDays,"Decide now","Waiting for decision")),IF(S542="","Selected",IF(AsOf&gt;S542,"⚠️ Order late — install at risk",IF(S542&lt;=AsOf+AlertDays,"Order now","Selected")))))))</f>
        <v/>
      </c>
      <c r="Z542" s="79">
        <f>IF(B542="","",IF(OR(AH542=1,AE542=1),2,IF(OR(AG542=1,AF542=1),1,IF(OR(Y542="Ordered",Y542="Delivered"),0,""))))</f>
        <v/>
      </c>
      <c r="AA542" s="112">
        <f>IF(B542="","",IF(AH542=1,IF(Y542="⚠️ Delivery after install date",R542,S542),IF(AD542=1,T542,IF(AI542=1,S542,""))))</f>
        <v/>
      </c>
      <c r="AB542" s="79">
        <f>IF(AA542="","",IF(AH542=1,1,IF(AA542="","",IF(AA542&lt;AsOf,1,IF(AA542&lt;=AsOf+AlertDays,2,IF(AA542&lt;=AsOf+2*AlertDays,3,""))))))</f>
        <v/>
      </c>
      <c r="AC542" s="79">
        <f>IF(AB542="","",IF(AH542=1,IF(Y542="⚠️ Delivery after install date","Delivery after install date: "&amp;B542,"Order late — install at risk: "&amp;B542),IF(AD542=1,IF(AB542=1,"Decision overdue: ","Decide: ")&amp;B542,"Order: "&amp;B542&amp;IF(N542="",""," from "&amp;N542))))</f>
        <v/>
      </c>
      <c r="AD542" s="79">
        <f>IF(AND(B542&lt;&gt;"",K542="",U542&lt;&gt;"Yes",X542&lt;&gt;"Yes"),1,0)</f>
        <v/>
      </c>
      <c r="AE542" s="79">
        <f>IF(AND(AD542=1,T542&lt;&gt;""),IF(T542&lt;AsOf,1,0),0)</f>
        <v/>
      </c>
      <c r="AF542" s="79">
        <f>IF(AND(AD542=1,T542&lt;&gt;""),IF(AND(T542&gt;=AsOf,T542&lt;=AsOf+AlertDays),1,0),0)</f>
        <v/>
      </c>
      <c r="AG542" s="79">
        <f>IF(Y542="Order now",1,0)</f>
        <v/>
      </c>
      <c r="AH542" s="79">
        <f>IF(OR(Y542="⚠️ Order late — install at risk",Y542="⚠️ Delivery after install date"),1,0)</f>
        <v/>
      </c>
      <c r="AI542" s="79">
        <f>IF(AND(B542&lt;&gt;"",K542&lt;&gt;"",U542&lt;&gt;"Yes",X542&lt;&gt;"Yes"),1,0)</f>
        <v/>
      </c>
      <c r="AJ542" s="79">
        <f>IF(Y542="⚠️ Order late — install at risk",1,0)</f>
        <v/>
      </c>
    </row>
    <row r="543" ht="20" customHeight="1">
      <c r="B543" s="72" t="n"/>
      <c r="C543" s="72" t="n"/>
      <c r="D543" s="72" t="n"/>
      <c r="E543" s="72" t="n"/>
      <c r="F543" s="73" t="n"/>
      <c r="G543" s="72" t="n"/>
      <c r="H543" s="73" t="n"/>
      <c r="I543" s="72" t="n"/>
      <c r="J543" s="73" t="n"/>
      <c r="K543" s="74" t="n"/>
      <c r="L543" s="75">
        <f>IF(K543="A",F543,IF(K543="B",H543,IF(K543="C",J543,"")))</f>
        <v/>
      </c>
      <c r="M543" s="72" t="n"/>
      <c r="N543" s="72" t="n"/>
      <c r="O543" s="89" t="n"/>
      <c r="P543" s="89" t="n"/>
      <c r="Q543" s="109" t="n"/>
      <c r="R543" s="120">
        <f>IF(B543="","",IF(Q543&lt;&gt;"",Q543,IF(P543="","",IFERROR(INDEX('Timeline'!$J$7:$J$1006,MATCH(P543,'Timeline'!$B$7:$B$1006,0)),""))))</f>
        <v/>
      </c>
      <c r="S543" s="126">
        <f>IF(R543="","",R543-IF(O543="",0,O543)-OrderBuf)</f>
        <v/>
      </c>
      <c r="T543" s="126">
        <f>IF(S543="","",S543-DecideBuf)</f>
        <v/>
      </c>
      <c r="U543" s="74" t="n"/>
      <c r="V543" s="109" t="n"/>
      <c r="W543" s="109" t="n"/>
      <c r="X543" s="74" t="n"/>
      <c r="Y543" s="116">
        <f>IF(B543="","",IF(X543="Yes","Delivered",IF(U543="Yes",IF(AND(W543&lt;&gt;"",R543&lt;&gt;""),IF(W543&gt;R543,"⚠️ Delivery after install date","Ordered"),"Ordered"),IF(K543="",IF(T543="","Waiting for decision",IF(T543&lt;=AsOf+AlertDays,"Decide now","Waiting for decision")),IF(S543="","Selected",IF(AsOf&gt;S543,"⚠️ Order late — install at risk",IF(S543&lt;=AsOf+AlertDays,"Order now","Selected")))))))</f>
        <v/>
      </c>
      <c r="Z543" s="79">
        <f>IF(B543="","",IF(OR(AH543=1,AE543=1),2,IF(OR(AG543=1,AF543=1),1,IF(OR(Y543="Ordered",Y543="Delivered"),0,""))))</f>
        <v/>
      </c>
      <c r="AA543" s="112">
        <f>IF(B543="","",IF(AH543=1,IF(Y543="⚠️ Delivery after install date",R543,S543),IF(AD543=1,T543,IF(AI543=1,S543,""))))</f>
        <v/>
      </c>
      <c r="AB543" s="79">
        <f>IF(AA543="","",IF(AH543=1,1,IF(AA543="","",IF(AA543&lt;AsOf,1,IF(AA543&lt;=AsOf+AlertDays,2,IF(AA543&lt;=AsOf+2*AlertDays,3,""))))))</f>
        <v/>
      </c>
      <c r="AC543" s="79">
        <f>IF(AB543="","",IF(AH543=1,IF(Y543="⚠️ Delivery after install date","Delivery after install date: "&amp;B543,"Order late — install at risk: "&amp;B543),IF(AD543=1,IF(AB543=1,"Decision overdue: ","Decide: ")&amp;B543,"Order: "&amp;B543&amp;IF(N543="",""," from "&amp;N543))))</f>
        <v/>
      </c>
      <c r="AD543" s="79">
        <f>IF(AND(B543&lt;&gt;"",K543="",U543&lt;&gt;"Yes",X543&lt;&gt;"Yes"),1,0)</f>
        <v/>
      </c>
      <c r="AE543" s="79">
        <f>IF(AND(AD543=1,T543&lt;&gt;""),IF(T543&lt;AsOf,1,0),0)</f>
        <v/>
      </c>
      <c r="AF543" s="79">
        <f>IF(AND(AD543=1,T543&lt;&gt;""),IF(AND(T543&gt;=AsOf,T543&lt;=AsOf+AlertDays),1,0),0)</f>
        <v/>
      </c>
      <c r="AG543" s="79">
        <f>IF(Y543="Order now",1,0)</f>
        <v/>
      </c>
      <c r="AH543" s="79">
        <f>IF(OR(Y543="⚠️ Order late — install at risk",Y543="⚠️ Delivery after install date"),1,0)</f>
        <v/>
      </c>
      <c r="AI543" s="79">
        <f>IF(AND(B543&lt;&gt;"",K543&lt;&gt;"",U543&lt;&gt;"Yes",X543&lt;&gt;"Yes"),1,0)</f>
        <v/>
      </c>
      <c r="AJ543" s="79">
        <f>IF(Y543="⚠️ Order late — install at risk",1,0)</f>
        <v/>
      </c>
    </row>
    <row r="544" ht="20" customHeight="1">
      <c r="B544" s="72" t="n"/>
      <c r="C544" s="72" t="n"/>
      <c r="D544" s="72" t="n"/>
      <c r="E544" s="72" t="n"/>
      <c r="F544" s="73" t="n"/>
      <c r="G544" s="72" t="n"/>
      <c r="H544" s="73" t="n"/>
      <c r="I544" s="72" t="n"/>
      <c r="J544" s="73" t="n"/>
      <c r="K544" s="74" t="n"/>
      <c r="L544" s="75">
        <f>IF(K544="A",F544,IF(K544="B",H544,IF(K544="C",J544,"")))</f>
        <v/>
      </c>
      <c r="M544" s="72" t="n"/>
      <c r="N544" s="72" t="n"/>
      <c r="O544" s="89" t="n"/>
      <c r="P544" s="89" t="n"/>
      <c r="Q544" s="109" t="n"/>
      <c r="R544" s="120">
        <f>IF(B544="","",IF(Q544&lt;&gt;"",Q544,IF(P544="","",IFERROR(INDEX('Timeline'!$J$7:$J$1006,MATCH(P544,'Timeline'!$B$7:$B$1006,0)),""))))</f>
        <v/>
      </c>
      <c r="S544" s="126">
        <f>IF(R544="","",R544-IF(O544="",0,O544)-OrderBuf)</f>
        <v/>
      </c>
      <c r="T544" s="126">
        <f>IF(S544="","",S544-DecideBuf)</f>
        <v/>
      </c>
      <c r="U544" s="74" t="n"/>
      <c r="V544" s="109" t="n"/>
      <c r="W544" s="109" t="n"/>
      <c r="X544" s="74" t="n"/>
      <c r="Y544" s="116">
        <f>IF(B544="","",IF(X544="Yes","Delivered",IF(U544="Yes",IF(AND(W544&lt;&gt;"",R544&lt;&gt;""),IF(W544&gt;R544,"⚠️ Delivery after install date","Ordered"),"Ordered"),IF(K544="",IF(T544="","Waiting for decision",IF(T544&lt;=AsOf+AlertDays,"Decide now","Waiting for decision")),IF(S544="","Selected",IF(AsOf&gt;S544,"⚠️ Order late — install at risk",IF(S544&lt;=AsOf+AlertDays,"Order now","Selected")))))))</f>
        <v/>
      </c>
      <c r="Z544" s="79">
        <f>IF(B544="","",IF(OR(AH544=1,AE544=1),2,IF(OR(AG544=1,AF544=1),1,IF(OR(Y544="Ordered",Y544="Delivered"),0,""))))</f>
        <v/>
      </c>
      <c r="AA544" s="112">
        <f>IF(B544="","",IF(AH544=1,IF(Y544="⚠️ Delivery after install date",R544,S544),IF(AD544=1,T544,IF(AI544=1,S544,""))))</f>
        <v/>
      </c>
      <c r="AB544" s="79">
        <f>IF(AA544="","",IF(AH544=1,1,IF(AA544="","",IF(AA544&lt;AsOf,1,IF(AA544&lt;=AsOf+AlertDays,2,IF(AA544&lt;=AsOf+2*AlertDays,3,""))))))</f>
        <v/>
      </c>
      <c r="AC544" s="79">
        <f>IF(AB544="","",IF(AH544=1,IF(Y544="⚠️ Delivery after install date","Delivery after install date: "&amp;B544,"Order late — install at risk: "&amp;B544),IF(AD544=1,IF(AB544=1,"Decision overdue: ","Decide: ")&amp;B544,"Order: "&amp;B544&amp;IF(N544="",""," from "&amp;N544))))</f>
        <v/>
      </c>
      <c r="AD544" s="79">
        <f>IF(AND(B544&lt;&gt;"",K544="",U544&lt;&gt;"Yes",X544&lt;&gt;"Yes"),1,0)</f>
        <v/>
      </c>
      <c r="AE544" s="79">
        <f>IF(AND(AD544=1,T544&lt;&gt;""),IF(T544&lt;AsOf,1,0),0)</f>
        <v/>
      </c>
      <c r="AF544" s="79">
        <f>IF(AND(AD544=1,T544&lt;&gt;""),IF(AND(T544&gt;=AsOf,T544&lt;=AsOf+AlertDays),1,0),0)</f>
        <v/>
      </c>
      <c r="AG544" s="79">
        <f>IF(Y544="Order now",1,0)</f>
        <v/>
      </c>
      <c r="AH544" s="79">
        <f>IF(OR(Y544="⚠️ Order late — install at risk",Y544="⚠️ Delivery after install date"),1,0)</f>
        <v/>
      </c>
      <c r="AI544" s="79">
        <f>IF(AND(B544&lt;&gt;"",K544&lt;&gt;"",U544&lt;&gt;"Yes",X544&lt;&gt;"Yes"),1,0)</f>
        <v/>
      </c>
      <c r="AJ544" s="79">
        <f>IF(Y544="⚠️ Order late — install at risk",1,0)</f>
        <v/>
      </c>
    </row>
    <row r="545" ht="20" customHeight="1">
      <c r="B545" s="72" t="n"/>
      <c r="C545" s="72" t="n"/>
      <c r="D545" s="72" t="n"/>
      <c r="E545" s="72" t="n"/>
      <c r="F545" s="73" t="n"/>
      <c r="G545" s="72" t="n"/>
      <c r="H545" s="73" t="n"/>
      <c r="I545" s="72" t="n"/>
      <c r="J545" s="73" t="n"/>
      <c r="K545" s="74" t="n"/>
      <c r="L545" s="75">
        <f>IF(K545="A",F545,IF(K545="B",H545,IF(K545="C",J545,"")))</f>
        <v/>
      </c>
      <c r="M545" s="72" t="n"/>
      <c r="N545" s="72" t="n"/>
      <c r="O545" s="89" t="n"/>
      <c r="P545" s="89" t="n"/>
      <c r="Q545" s="109" t="n"/>
      <c r="R545" s="120">
        <f>IF(B545="","",IF(Q545&lt;&gt;"",Q545,IF(P545="","",IFERROR(INDEX('Timeline'!$J$7:$J$1006,MATCH(P545,'Timeline'!$B$7:$B$1006,0)),""))))</f>
        <v/>
      </c>
      <c r="S545" s="126">
        <f>IF(R545="","",R545-IF(O545="",0,O545)-OrderBuf)</f>
        <v/>
      </c>
      <c r="T545" s="126">
        <f>IF(S545="","",S545-DecideBuf)</f>
        <v/>
      </c>
      <c r="U545" s="74" t="n"/>
      <c r="V545" s="109" t="n"/>
      <c r="W545" s="109" t="n"/>
      <c r="X545" s="74" t="n"/>
      <c r="Y545" s="116">
        <f>IF(B545="","",IF(X545="Yes","Delivered",IF(U545="Yes",IF(AND(W545&lt;&gt;"",R545&lt;&gt;""),IF(W545&gt;R545,"⚠️ Delivery after install date","Ordered"),"Ordered"),IF(K545="",IF(T545="","Waiting for decision",IF(T545&lt;=AsOf+AlertDays,"Decide now","Waiting for decision")),IF(S545="","Selected",IF(AsOf&gt;S545,"⚠️ Order late — install at risk",IF(S545&lt;=AsOf+AlertDays,"Order now","Selected")))))))</f>
        <v/>
      </c>
      <c r="Z545" s="79">
        <f>IF(B545="","",IF(OR(AH545=1,AE545=1),2,IF(OR(AG545=1,AF545=1),1,IF(OR(Y545="Ordered",Y545="Delivered"),0,""))))</f>
        <v/>
      </c>
      <c r="AA545" s="112">
        <f>IF(B545="","",IF(AH545=1,IF(Y545="⚠️ Delivery after install date",R545,S545),IF(AD545=1,T545,IF(AI545=1,S545,""))))</f>
        <v/>
      </c>
      <c r="AB545" s="79">
        <f>IF(AA545="","",IF(AH545=1,1,IF(AA545="","",IF(AA545&lt;AsOf,1,IF(AA545&lt;=AsOf+AlertDays,2,IF(AA545&lt;=AsOf+2*AlertDays,3,""))))))</f>
        <v/>
      </c>
      <c r="AC545" s="79">
        <f>IF(AB545="","",IF(AH545=1,IF(Y545="⚠️ Delivery after install date","Delivery after install date: "&amp;B545,"Order late — install at risk: "&amp;B545),IF(AD545=1,IF(AB545=1,"Decision overdue: ","Decide: ")&amp;B545,"Order: "&amp;B545&amp;IF(N545="",""," from "&amp;N545))))</f>
        <v/>
      </c>
      <c r="AD545" s="79">
        <f>IF(AND(B545&lt;&gt;"",K545="",U545&lt;&gt;"Yes",X545&lt;&gt;"Yes"),1,0)</f>
        <v/>
      </c>
      <c r="AE545" s="79">
        <f>IF(AND(AD545=1,T545&lt;&gt;""),IF(T545&lt;AsOf,1,0),0)</f>
        <v/>
      </c>
      <c r="AF545" s="79">
        <f>IF(AND(AD545=1,T545&lt;&gt;""),IF(AND(T545&gt;=AsOf,T545&lt;=AsOf+AlertDays),1,0),0)</f>
        <v/>
      </c>
      <c r="AG545" s="79">
        <f>IF(Y545="Order now",1,0)</f>
        <v/>
      </c>
      <c r="AH545" s="79">
        <f>IF(OR(Y545="⚠️ Order late — install at risk",Y545="⚠️ Delivery after install date"),1,0)</f>
        <v/>
      </c>
      <c r="AI545" s="79">
        <f>IF(AND(B545&lt;&gt;"",K545&lt;&gt;"",U545&lt;&gt;"Yes",X545&lt;&gt;"Yes"),1,0)</f>
        <v/>
      </c>
      <c r="AJ545" s="79">
        <f>IF(Y545="⚠️ Order late — install at risk",1,0)</f>
        <v/>
      </c>
    </row>
    <row r="546" ht="20" customHeight="1">
      <c r="B546" s="72" t="n"/>
      <c r="C546" s="72" t="n"/>
      <c r="D546" s="72" t="n"/>
      <c r="E546" s="72" t="n"/>
      <c r="F546" s="73" t="n"/>
      <c r="G546" s="72" t="n"/>
      <c r="H546" s="73" t="n"/>
      <c r="I546" s="72" t="n"/>
      <c r="J546" s="73" t="n"/>
      <c r="K546" s="74" t="n"/>
      <c r="L546" s="75">
        <f>IF(K546="A",F546,IF(K546="B",H546,IF(K546="C",J546,"")))</f>
        <v/>
      </c>
      <c r="M546" s="72" t="n"/>
      <c r="N546" s="72" t="n"/>
      <c r="O546" s="89" t="n"/>
      <c r="P546" s="89" t="n"/>
      <c r="Q546" s="109" t="n"/>
      <c r="R546" s="120">
        <f>IF(B546="","",IF(Q546&lt;&gt;"",Q546,IF(P546="","",IFERROR(INDEX('Timeline'!$J$7:$J$1006,MATCH(P546,'Timeline'!$B$7:$B$1006,0)),""))))</f>
        <v/>
      </c>
      <c r="S546" s="126">
        <f>IF(R546="","",R546-IF(O546="",0,O546)-OrderBuf)</f>
        <v/>
      </c>
      <c r="T546" s="126">
        <f>IF(S546="","",S546-DecideBuf)</f>
        <v/>
      </c>
      <c r="U546" s="74" t="n"/>
      <c r="V546" s="109" t="n"/>
      <c r="W546" s="109" t="n"/>
      <c r="X546" s="74" t="n"/>
      <c r="Y546" s="116">
        <f>IF(B546="","",IF(X546="Yes","Delivered",IF(U546="Yes",IF(AND(W546&lt;&gt;"",R546&lt;&gt;""),IF(W546&gt;R546,"⚠️ Delivery after install date","Ordered"),"Ordered"),IF(K546="",IF(T546="","Waiting for decision",IF(T546&lt;=AsOf+AlertDays,"Decide now","Waiting for decision")),IF(S546="","Selected",IF(AsOf&gt;S546,"⚠️ Order late — install at risk",IF(S546&lt;=AsOf+AlertDays,"Order now","Selected")))))))</f>
        <v/>
      </c>
      <c r="Z546" s="79">
        <f>IF(B546="","",IF(OR(AH546=1,AE546=1),2,IF(OR(AG546=1,AF546=1),1,IF(OR(Y546="Ordered",Y546="Delivered"),0,""))))</f>
        <v/>
      </c>
      <c r="AA546" s="112">
        <f>IF(B546="","",IF(AH546=1,IF(Y546="⚠️ Delivery after install date",R546,S546),IF(AD546=1,T546,IF(AI546=1,S546,""))))</f>
        <v/>
      </c>
      <c r="AB546" s="79">
        <f>IF(AA546="","",IF(AH546=1,1,IF(AA546="","",IF(AA546&lt;AsOf,1,IF(AA546&lt;=AsOf+AlertDays,2,IF(AA546&lt;=AsOf+2*AlertDays,3,""))))))</f>
        <v/>
      </c>
      <c r="AC546" s="79">
        <f>IF(AB546="","",IF(AH546=1,IF(Y546="⚠️ Delivery after install date","Delivery after install date: "&amp;B546,"Order late — install at risk: "&amp;B546),IF(AD546=1,IF(AB546=1,"Decision overdue: ","Decide: ")&amp;B546,"Order: "&amp;B546&amp;IF(N546="",""," from "&amp;N546))))</f>
        <v/>
      </c>
      <c r="AD546" s="79">
        <f>IF(AND(B546&lt;&gt;"",K546="",U546&lt;&gt;"Yes",X546&lt;&gt;"Yes"),1,0)</f>
        <v/>
      </c>
      <c r="AE546" s="79">
        <f>IF(AND(AD546=1,T546&lt;&gt;""),IF(T546&lt;AsOf,1,0),0)</f>
        <v/>
      </c>
      <c r="AF546" s="79">
        <f>IF(AND(AD546=1,T546&lt;&gt;""),IF(AND(T546&gt;=AsOf,T546&lt;=AsOf+AlertDays),1,0),0)</f>
        <v/>
      </c>
      <c r="AG546" s="79">
        <f>IF(Y546="Order now",1,0)</f>
        <v/>
      </c>
      <c r="AH546" s="79">
        <f>IF(OR(Y546="⚠️ Order late — install at risk",Y546="⚠️ Delivery after install date"),1,0)</f>
        <v/>
      </c>
      <c r="AI546" s="79">
        <f>IF(AND(B546&lt;&gt;"",K546&lt;&gt;"",U546&lt;&gt;"Yes",X546&lt;&gt;"Yes"),1,0)</f>
        <v/>
      </c>
      <c r="AJ546" s="79">
        <f>IF(Y546="⚠️ Order late — install at risk",1,0)</f>
        <v/>
      </c>
    </row>
    <row r="547" ht="20" customHeight="1">
      <c r="B547" s="72" t="n"/>
      <c r="C547" s="72" t="n"/>
      <c r="D547" s="72" t="n"/>
      <c r="E547" s="72" t="n"/>
      <c r="F547" s="73" t="n"/>
      <c r="G547" s="72" t="n"/>
      <c r="H547" s="73" t="n"/>
      <c r="I547" s="72" t="n"/>
      <c r="J547" s="73" t="n"/>
      <c r="K547" s="74" t="n"/>
      <c r="L547" s="75">
        <f>IF(K547="A",F547,IF(K547="B",H547,IF(K547="C",J547,"")))</f>
        <v/>
      </c>
      <c r="M547" s="72" t="n"/>
      <c r="N547" s="72" t="n"/>
      <c r="O547" s="89" t="n"/>
      <c r="P547" s="89" t="n"/>
      <c r="Q547" s="109" t="n"/>
      <c r="R547" s="120">
        <f>IF(B547="","",IF(Q547&lt;&gt;"",Q547,IF(P547="","",IFERROR(INDEX('Timeline'!$J$7:$J$1006,MATCH(P547,'Timeline'!$B$7:$B$1006,0)),""))))</f>
        <v/>
      </c>
      <c r="S547" s="126">
        <f>IF(R547="","",R547-IF(O547="",0,O547)-OrderBuf)</f>
        <v/>
      </c>
      <c r="T547" s="126">
        <f>IF(S547="","",S547-DecideBuf)</f>
        <v/>
      </c>
      <c r="U547" s="74" t="n"/>
      <c r="V547" s="109" t="n"/>
      <c r="W547" s="109" t="n"/>
      <c r="X547" s="74" t="n"/>
      <c r="Y547" s="116">
        <f>IF(B547="","",IF(X547="Yes","Delivered",IF(U547="Yes",IF(AND(W547&lt;&gt;"",R547&lt;&gt;""),IF(W547&gt;R547,"⚠️ Delivery after install date","Ordered"),"Ordered"),IF(K547="",IF(T547="","Waiting for decision",IF(T547&lt;=AsOf+AlertDays,"Decide now","Waiting for decision")),IF(S547="","Selected",IF(AsOf&gt;S547,"⚠️ Order late — install at risk",IF(S547&lt;=AsOf+AlertDays,"Order now","Selected")))))))</f>
        <v/>
      </c>
      <c r="Z547" s="79">
        <f>IF(B547="","",IF(OR(AH547=1,AE547=1),2,IF(OR(AG547=1,AF547=1),1,IF(OR(Y547="Ordered",Y547="Delivered"),0,""))))</f>
        <v/>
      </c>
      <c r="AA547" s="112">
        <f>IF(B547="","",IF(AH547=1,IF(Y547="⚠️ Delivery after install date",R547,S547),IF(AD547=1,T547,IF(AI547=1,S547,""))))</f>
        <v/>
      </c>
      <c r="AB547" s="79">
        <f>IF(AA547="","",IF(AH547=1,1,IF(AA547="","",IF(AA547&lt;AsOf,1,IF(AA547&lt;=AsOf+AlertDays,2,IF(AA547&lt;=AsOf+2*AlertDays,3,""))))))</f>
        <v/>
      </c>
      <c r="AC547" s="79">
        <f>IF(AB547="","",IF(AH547=1,IF(Y547="⚠️ Delivery after install date","Delivery after install date: "&amp;B547,"Order late — install at risk: "&amp;B547),IF(AD547=1,IF(AB547=1,"Decision overdue: ","Decide: ")&amp;B547,"Order: "&amp;B547&amp;IF(N547="",""," from "&amp;N547))))</f>
        <v/>
      </c>
      <c r="AD547" s="79">
        <f>IF(AND(B547&lt;&gt;"",K547="",U547&lt;&gt;"Yes",X547&lt;&gt;"Yes"),1,0)</f>
        <v/>
      </c>
      <c r="AE547" s="79">
        <f>IF(AND(AD547=1,T547&lt;&gt;""),IF(T547&lt;AsOf,1,0),0)</f>
        <v/>
      </c>
      <c r="AF547" s="79">
        <f>IF(AND(AD547=1,T547&lt;&gt;""),IF(AND(T547&gt;=AsOf,T547&lt;=AsOf+AlertDays),1,0),0)</f>
        <v/>
      </c>
      <c r="AG547" s="79">
        <f>IF(Y547="Order now",1,0)</f>
        <v/>
      </c>
      <c r="AH547" s="79">
        <f>IF(OR(Y547="⚠️ Order late — install at risk",Y547="⚠️ Delivery after install date"),1,0)</f>
        <v/>
      </c>
      <c r="AI547" s="79">
        <f>IF(AND(B547&lt;&gt;"",K547&lt;&gt;"",U547&lt;&gt;"Yes",X547&lt;&gt;"Yes"),1,0)</f>
        <v/>
      </c>
      <c r="AJ547" s="79">
        <f>IF(Y547="⚠️ Order late — install at risk",1,0)</f>
        <v/>
      </c>
    </row>
    <row r="548" ht="20" customHeight="1">
      <c r="B548" s="72" t="n"/>
      <c r="C548" s="72" t="n"/>
      <c r="D548" s="72" t="n"/>
      <c r="E548" s="72" t="n"/>
      <c r="F548" s="73" t="n"/>
      <c r="G548" s="72" t="n"/>
      <c r="H548" s="73" t="n"/>
      <c r="I548" s="72" t="n"/>
      <c r="J548" s="73" t="n"/>
      <c r="K548" s="74" t="n"/>
      <c r="L548" s="75">
        <f>IF(K548="A",F548,IF(K548="B",H548,IF(K548="C",J548,"")))</f>
        <v/>
      </c>
      <c r="M548" s="72" t="n"/>
      <c r="N548" s="72" t="n"/>
      <c r="O548" s="89" t="n"/>
      <c r="P548" s="89" t="n"/>
      <c r="Q548" s="109" t="n"/>
      <c r="R548" s="120">
        <f>IF(B548="","",IF(Q548&lt;&gt;"",Q548,IF(P548="","",IFERROR(INDEX('Timeline'!$J$7:$J$1006,MATCH(P548,'Timeline'!$B$7:$B$1006,0)),""))))</f>
        <v/>
      </c>
      <c r="S548" s="126">
        <f>IF(R548="","",R548-IF(O548="",0,O548)-OrderBuf)</f>
        <v/>
      </c>
      <c r="T548" s="126">
        <f>IF(S548="","",S548-DecideBuf)</f>
        <v/>
      </c>
      <c r="U548" s="74" t="n"/>
      <c r="V548" s="109" t="n"/>
      <c r="W548" s="109" t="n"/>
      <c r="X548" s="74" t="n"/>
      <c r="Y548" s="116">
        <f>IF(B548="","",IF(X548="Yes","Delivered",IF(U548="Yes",IF(AND(W548&lt;&gt;"",R548&lt;&gt;""),IF(W548&gt;R548,"⚠️ Delivery after install date","Ordered"),"Ordered"),IF(K548="",IF(T548="","Waiting for decision",IF(T548&lt;=AsOf+AlertDays,"Decide now","Waiting for decision")),IF(S548="","Selected",IF(AsOf&gt;S548,"⚠️ Order late — install at risk",IF(S548&lt;=AsOf+AlertDays,"Order now","Selected")))))))</f>
        <v/>
      </c>
      <c r="Z548" s="79">
        <f>IF(B548="","",IF(OR(AH548=1,AE548=1),2,IF(OR(AG548=1,AF548=1),1,IF(OR(Y548="Ordered",Y548="Delivered"),0,""))))</f>
        <v/>
      </c>
      <c r="AA548" s="112">
        <f>IF(B548="","",IF(AH548=1,IF(Y548="⚠️ Delivery after install date",R548,S548),IF(AD548=1,T548,IF(AI548=1,S548,""))))</f>
        <v/>
      </c>
      <c r="AB548" s="79">
        <f>IF(AA548="","",IF(AH548=1,1,IF(AA548="","",IF(AA548&lt;AsOf,1,IF(AA548&lt;=AsOf+AlertDays,2,IF(AA548&lt;=AsOf+2*AlertDays,3,""))))))</f>
        <v/>
      </c>
      <c r="AC548" s="79">
        <f>IF(AB548="","",IF(AH548=1,IF(Y548="⚠️ Delivery after install date","Delivery after install date: "&amp;B548,"Order late — install at risk: "&amp;B548),IF(AD548=1,IF(AB548=1,"Decision overdue: ","Decide: ")&amp;B548,"Order: "&amp;B548&amp;IF(N548="",""," from "&amp;N548))))</f>
        <v/>
      </c>
      <c r="AD548" s="79">
        <f>IF(AND(B548&lt;&gt;"",K548="",U548&lt;&gt;"Yes",X548&lt;&gt;"Yes"),1,0)</f>
        <v/>
      </c>
      <c r="AE548" s="79">
        <f>IF(AND(AD548=1,T548&lt;&gt;""),IF(T548&lt;AsOf,1,0),0)</f>
        <v/>
      </c>
      <c r="AF548" s="79">
        <f>IF(AND(AD548=1,T548&lt;&gt;""),IF(AND(T548&gt;=AsOf,T548&lt;=AsOf+AlertDays),1,0),0)</f>
        <v/>
      </c>
      <c r="AG548" s="79">
        <f>IF(Y548="Order now",1,0)</f>
        <v/>
      </c>
      <c r="AH548" s="79">
        <f>IF(OR(Y548="⚠️ Order late — install at risk",Y548="⚠️ Delivery after install date"),1,0)</f>
        <v/>
      </c>
      <c r="AI548" s="79">
        <f>IF(AND(B548&lt;&gt;"",K548&lt;&gt;"",U548&lt;&gt;"Yes",X548&lt;&gt;"Yes"),1,0)</f>
        <v/>
      </c>
      <c r="AJ548" s="79">
        <f>IF(Y548="⚠️ Order late — install at risk",1,0)</f>
        <v/>
      </c>
    </row>
    <row r="549" ht="20" customHeight="1">
      <c r="B549" s="72" t="n"/>
      <c r="C549" s="72" t="n"/>
      <c r="D549" s="72" t="n"/>
      <c r="E549" s="72" t="n"/>
      <c r="F549" s="73" t="n"/>
      <c r="G549" s="72" t="n"/>
      <c r="H549" s="73" t="n"/>
      <c r="I549" s="72" t="n"/>
      <c r="J549" s="73" t="n"/>
      <c r="K549" s="74" t="n"/>
      <c r="L549" s="75">
        <f>IF(K549="A",F549,IF(K549="B",H549,IF(K549="C",J549,"")))</f>
        <v/>
      </c>
      <c r="M549" s="72" t="n"/>
      <c r="N549" s="72" t="n"/>
      <c r="O549" s="89" t="n"/>
      <c r="P549" s="89" t="n"/>
      <c r="Q549" s="109" t="n"/>
      <c r="R549" s="120">
        <f>IF(B549="","",IF(Q549&lt;&gt;"",Q549,IF(P549="","",IFERROR(INDEX('Timeline'!$J$7:$J$1006,MATCH(P549,'Timeline'!$B$7:$B$1006,0)),""))))</f>
        <v/>
      </c>
      <c r="S549" s="126">
        <f>IF(R549="","",R549-IF(O549="",0,O549)-OrderBuf)</f>
        <v/>
      </c>
      <c r="T549" s="126">
        <f>IF(S549="","",S549-DecideBuf)</f>
        <v/>
      </c>
      <c r="U549" s="74" t="n"/>
      <c r="V549" s="109" t="n"/>
      <c r="W549" s="109" t="n"/>
      <c r="X549" s="74" t="n"/>
      <c r="Y549" s="116">
        <f>IF(B549="","",IF(X549="Yes","Delivered",IF(U549="Yes",IF(AND(W549&lt;&gt;"",R549&lt;&gt;""),IF(W549&gt;R549,"⚠️ Delivery after install date","Ordered"),"Ordered"),IF(K549="",IF(T549="","Waiting for decision",IF(T549&lt;=AsOf+AlertDays,"Decide now","Waiting for decision")),IF(S549="","Selected",IF(AsOf&gt;S549,"⚠️ Order late — install at risk",IF(S549&lt;=AsOf+AlertDays,"Order now","Selected")))))))</f>
        <v/>
      </c>
      <c r="Z549" s="79">
        <f>IF(B549="","",IF(OR(AH549=1,AE549=1),2,IF(OR(AG549=1,AF549=1),1,IF(OR(Y549="Ordered",Y549="Delivered"),0,""))))</f>
        <v/>
      </c>
      <c r="AA549" s="112">
        <f>IF(B549="","",IF(AH549=1,IF(Y549="⚠️ Delivery after install date",R549,S549),IF(AD549=1,T549,IF(AI549=1,S549,""))))</f>
        <v/>
      </c>
      <c r="AB549" s="79">
        <f>IF(AA549="","",IF(AH549=1,1,IF(AA549="","",IF(AA549&lt;AsOf,1,IF(AA549&lt;=AsOf+AlertDays,2,IF(AA549&lt;=AsOf+2*AlertDays,3,""))))))</f>
        <v/>
      </c>
      <c r="AC549" s="79">
        <f>IF(AB549="","",IF(AH549=1,IF(Y549="⚠️ Delivery after install date","Delivery after install date: "&amp;B549,"Order late — install at risk: "&amp;B549),IF(AD549=1,IF(AB549=1,"Decision overdue: ","Decide: ")&amp;B549,"Order: "&amp;B549&amp;IF(N549="",""," from "&amp;N549))))</f>
        <v/>
      </c>
      <c r="AD549" s="79">
        <f>IF(AND(B549&lt;&gt;"",K549="",U549&lt;&gt;"Yes",X549&lt;&gt;"Yes"),1,0)</f>
        <v/>
      </c>
      <c r="AE549" s="79">
        <f>IF(AND(AD549=1,T549&lt;&gt;""),IF(T549&lt;AsOf,1,0),0)</f>
        <v/>
      </c>
      <c r="AF549" s="79">
        <f>IF(AND(AD549=1,T549&lt;&gt;""),IF(AND(T549&gt;=AsOf,T549&lt;=AsOf+AlertDays),1,0),0)</f>
        <v/>
      </c>
      <c r="AG549" s="79">
        <f>IF(Y549="Order now",1,0)</f>
        <v/>
      </c>
      <c r="AH549" s="79">
        <f>IF(OR(Y549="⚠️ Order late — install at risk",Y549="⚠️ Delivery after install date"),1,0)</f>
        <v/>
      </c>
      <c r="AI549" s="79">
        <f>IF(AND(B549&lt;&gt;"",K549&lt;&gt;"",U549&lt;&gt;"Yes",X549&lt;&gt;"Yes"),1,0)</f>
        <v/>
      </c>
      <c r="AJ549" s="79">
        <f>IF(Y549="⚠️ Order late — install at risk",1,0)</f>
        <v/>
      </c>
    </row>
    <row r="550" ht="20" customHeight="1">
      <c r="B550" s="72" t="n"/>
      <c r="C550" s="72" t="n"/>
      <c r="D550" s="72" t="n"/>
      <c r="E550" s="72" t="n"/>
      <c r="F550" s="73" t="n"/>
      <c r="G550" s="72" t="n"/>
      <c r="H550" s="73" t="n"/>
      <c r="I550" s="72" t="n"/>
      <c r="J550" s="73" t="n"/>
      <c r="K550" s="74" t="n"/>
      <c r="L550" s="75">
        <f>IF(K550="A",F550,IF(K550="B",H550,IF(K550="C",J550,"")))</f>
        <v/>
      </c>
      <c r="M550" s="72" t="n"/>
      <c r="N550" s="72" t="n"/>
      <c r="O550" s="89" t="n"/>
      <c r="P550" s="89" t="n"/>
      <c r="Q550" s="109" t="n"/>
      <c r="R550" s="120">
        <f>IF(B550="","",IF(Q550&lt;&gt;"",Q550,IF(P550="","",IFERROR(INDEX('Timeline'!$J$7:$J$1006,MATCH(P550,'Timeline'!$B$7:$B$1006,0)),""))))</f>
        <v/>
      </c>
      <c r="S550" s="126">
        <f>IF(R550="","",R550-IF(O550="",0,O550)-OrderBuf)</f>
        <v/>
      </c>
      <c r="T550" s="126">
        <f>IF(S550="","",S550-DecideBuf)</f>
        <v/>
      </c>
      <c r="U550" s="74" t="n"/>
      <c r="V550" s="109" t="n"/>
      <c r="W550" s="109" t="n"/>
      <c r="X550" s="74" t="n"/>
      <c r="Y550" s="116">
        <f>IF(B550="","",IF(X550="Yes","Delivered",IF(U550="Yes",IF(AND(W550&lt;&gt;"",R550&lt;&gt;""),IF(W550&gt;R550,"⚠️ Delivery after install date","Ordered"),"Ordered"),IF(K550="",IF(T550="","Waiting for decision",IF(T550&lt;=AsOf+AlertDays,"Decide now","Waiting for decision")),IF(S550="","Selected",IF(AsOf&gt;S550,"⚠️ Order late — install at risk",IF(S550&lt;=AsOf+AlertDays,"Order now","Selected")))))))</f>
        <v/>
      </c>
      <c r="Z550" s="79">
        <f>IF(B550="","",IF(OR(AH550=1,AE550=1),2,IF(OR(AG550=1,AF550=1),1,IF(OR(Y550="Ordered",Y550="Delivered"),0,""))))</f>
        <v/>
      </c>
      <c r="AA550" s="112">
        <f>IF(B550="","",IF(AH550=1,IF(Y550="⚠️ Delivery after install date",R550,S550),IF(AD550=1,T550,IF(AI550=1,S550,""))))</f>
        <v/>
      </c>
      <c r="AB550" s="79">
        <f>IF(AA550="","",IF(AH550=1,1,IF(AA550="","",IF(AA550&lt;AsOf,1,IF(AA550&lt;=AsOf+AlertDays,2,IF(AA550&lt;=AsOf+2*AlertDays,3,""))))))</f>
        <v/>
      </c>
      <c r="AC550" s="79">
        <f>IF(AB550="","",IF(AH550=1,IF(Y550="⚠️ Delivery after install date","Delivery after install date: "&amp;B550,"Order late — install at risk: "&amp;B550),IF(AD550=1,IF(AB550=1,"Decision overdue: ","Decide: ")&amp;B550,"Order: "&amp;B550&amp;IF(N550="",""," from "&amp;N550))))</f>
        <v/>
      </c>
      <c r="AD550" s="79">
        <f>IF(AND(B550&lt;&gt;"",K550="",U550&lt;&gt;"Yes",X550&lt;&gt;"Yes"),1,0)</f>
        <v/>
      </c>
      <c r="AE550" s="79">
        <f>IF(AND(AD550=1,T550&lt;&gt;""),IF(T550&lt;AsOf,1,0),0)</f>
        <v/>
      </c>
      <c r="AF550" s="79">
        <f>IF(AND(AD550=1,T550&lt;&gt;""),IF(AND(T550&gt;=AsOf,T550&lt;=AsOf+AlertDays),1,0),0)</f>
        <v/>
      </c>
      <c r="AG550" s="79">
        <f>IF(Y550="Order now",1,0)</f>
        <v/>
      </c>
      <c r="AH550" s="79">
        <f>IF(OR(Y550="⚠️ Order late — install at risk",Y550="⚠️ Delivery after install date"),1,0)</f>
        <v/>
      </c>
      <c r="AI550" s="79">
        <f>IF(AND(B550&lt;&gt;"",K550&lt;&gt;"",U550&lt;&gt;"Yes",X550&lt;&gt;"Yes"),1,0)</f>
        <v/>
      </c>
      <c r="AJ550" s="79">
        <f>IF(Y550="⚠️ Order late — install at risk",1,0)</f>
        <v/>
      </c>
    </row>
    <row r="551" ht="20" customHeight="1">
      <c r="B551" s="72" t="n"/>
      <c r="C551" s="72" t="n"/>
      <c r="D551" s="72" t="n"/>
      <c r="E551" s="72" t="n"/>
      <c r="F551" s="73" t="n"/>
      <c r="G551" s="72" t="n"/>
      <c r="H551" s="73" t="n"/>
      <c r="I551" s="72" t="n"/>
      <c r="J551" s="73" t="n"/>
      <c r="K551" s="74" t="n"/>
      <c r="L551" s="75">
        <f>IF(K551="A",F551,IF(K551="B",H551,IF(K551="C",J551,"")))</f>
        <v/>
      </c>
      <c r="M551" s="72" t="n"/>
      <c r="N551" s="72" t="n"/>
      <c r="O551" s="89" t="n"/>
      <c r="P551" s="89" t="n"/>
      <c r="Q551" s="109" t="n"/>
      <c r="R551" s="120">
        <f>IF(B551="","",IF(Q551&lt;&gt;"",Q551,IF(P551="","",IFERROR(INDEX('Timeline'!$J$7:$J$1006,MATCH(P551,'Timeline'!$B$7:$B$1006,0)),""))))</f>
        <v/>
      </c>
      <c r="S551" s="126">
        <f>IF(R551="","",R551-IF(O551="",0,O551)-OrderBuf)</f>
        <v/>
      </c>
      <c r="T551" s="126">
        <f>IF(S551="","",S551-DecideBuf)</f>
        <v/>
      </c>
      <c r="U551" s="74" t="n"/>
      <c r="V551" s="109" t="n"/>
      <c r="W551" s="109" t="n"/>
      <c r="X551" s="74" t="n"/>
      <c r="Y551" s="116">
        <f>IF(B551="","",IF(X551="Yes","Delivered",IF(U551="Yes",IF(AND(W551&lt;&gt;"",R551&lt;&gt;""),IF(W551&gt;R551,"⚠️ Delivery after install date","Ordered"),"Ordered"),IF(K551="",IF(T551="","Waiting for decision",IF(T551&lt;=AsOf+AlertDays,"Decide now","Waiting for decision")),IF(S551="","Selected",IF(AsOf&gt;S551,"⚠️ Order late — install at risk",IF(S551&lt;=AsOf+AlertDays,"Order now","Selected")))))))</f>
        <v/>
      </c>
      <c r="Z551" s="79">
        <f>IF(B551="","",IF(OR(AH551=1,AE551=1),2,IF(OR(AG551=1,AF551=1),1,IF(OR(Y551="Ordered",Y551="Delivered"),0,""))))</f>
        <v/>
      </c>
      <c r="AA551" s="112">
        <f>IF(B551="","",IF(AH551=1,IF(Y551="⚠️ Delivery after install date",R551,S551),IF(AD551=1,T551,IF(AI551=1,S551,""))))</f>
        <v/>
      </c>
      <c r="AB551" s="79">
        <f>IF(AA551="","",IF(AH551=1,1,IF(AA551="","",IF(AA551&lt;AsOf,1,IF(AA551&lt;=AsOf+AlertDays,2,IF(AA551&lt;=AsOf+2*AlertDays,3,""))))))</f>
        <v/>
      </c>
      <c r="AC551" s="79">
        <f>IF(AB551="","",IF(AH551=1,IF(Y551="⚠️ Delivery after install date","Delivery after install date: "&amp;B551,"Order late — install at risk: "&amp;B551),IF(AD551=1,IF(AB551=1,"Decision overdue: ","Decide: ")&amp;B551,"Order: "&amp;B551&amp;IF(N551="",""," from "&amp;N551))))</f>
        <v/>
      </c>
      <c r="AD551" s="79">
        <f>IF(AND(B551&lt;&gt;"",K551="",U551&lt;&gt;"Yes",X551&lt;&gt;"Yes"),1,0)</f>
        <v/>
      </c>
      <c r="AE551" s="79">
        <f>IF(AND(AD551=1,T551&lt;&gt;""),IF(T551&lt;AsOf,1,0),0)</f>
        <v/>
      </c>
      <c r="AF551" s="79">
        <f>IF(AND(AD551=1,T551&lt;&gt;""),IF(AND(T551&gt;=AsOf,T551&lt;=AsOf+AlertDays),1,0),0)</f>
        <v/>
      </c>
      <c r="AG551" s="79">
        <f>IF(Y551="Order now",1,0)</f>
        <v/>
      </c>
      <c r="AH551" s="79">
        <f>IF(OR(Y551="⚠️ Order late — install at risk",Y551="⚠️ Delivery after install date"),1,0)</f>
        <v/>
      </c>
      <c r="AI551" s="79">
        <f>IF(AND(B551&lt;&gt;"",K551&lt;&gt;"",U551&lt;&gt;"Yes",X551&lt;&gt;"Yes"),1,0)</f>
        <v/>
      </c>
      <c r="AJ551" s="79">
        <f>IF(Y551="⚠️ Order late — install at risk",1,0)</f>
        <v/>
      </c>
    </row>
    <row r="552" ht="20" customHeight="1">
      <c r="B552" s="72" t="n"/>
      <c r="C552" s="72" t="n"/>
      <c r="D552" s="72" t="n"/>
      <c r="E552" s="72" t="n"/>
      <c r="F552" s="73" t="n"/>
      <c r="G552" s="72" t="n"/>
      <c r="H552" s="73" t="n"/>
      <c r="I552" s="72" t="n"/>
      <c r="J552" s="73" t="n"/>
      <c r="K552" s="74" t="n"/>
      <c r="L552" s="75">
        <f>IF(K552="A",F552,IF(K552="B",H552,IF(K552="C",J552,"")))</f>
        <v/>
      </c>
      <c r="M552" s="72" t="n"/>
      <c r="N552" s="72" t="n"/>
      <c r="O552" s="89" t="n"/>
      <c r="P552" s="89" t="n"/>
      <c r="Q552" s="109" t="n"/>
      <c r="R552" s="120">
        <f>IF(B552="","",IF(Q552&lt;&gt;"",Q552,IF(P552="","",IFERROR(INDEX('Timeline'!$J$7:$J$1006,MATCH(P552,'Timeline'!$B$7:$B$1006,0)),""))))</f>
        <v/>
      </c>
      <c r="S552" s="126">
        <f>IF(R552="","",R552-IF(O552="",0,O552)-OrderBuf)</f>
        <v/>
      </c>
      <c r="T552" s="126">
        <f>IF(S552="","",S552-DecideBuf)</f>
        <v/>
      </c>
      <c r="U552" s="74" t="n"/>
      <c r="V552" s="109" t="n"/>
      <c r="W552" s="109" t="n"/>
      <c r="X552" s="74" t="n"/>
      <c r="Y552" s="116">
        <f>IF(B552="","",IF(X552="Yes","Delivered",IF(U552="Yes",IF(AND(W552&lt;&gt;"",R552&lt;&gt;""),IF(W552&gt;R552,"⚠️ Delivery after install date","Ordered"),"Ordered"),IF(K552="",IF(T552="","Waiting for decision",IF(T552&lt;=AsOf+AlertDays,"Decide now","Waiting for decision")),IF(S552="","Selected",IF(AsOf&gt;S552,"⚠️ Order late — install at risk",IF(S552&lt;=AsOf+AlertDays,"Order now","Selected")))))))</f>
        <v/>
      </c>
      <c r="Z552" s="79">
        <f>IF(B552="","",IF(OR(AH552=1,AE552=1),2,IF(OR(AG552=1,AF552=1),1,IF(OR(Y552="Ordered",Y552="Delivered"),0,""))))</f>
        <v/>
      </c>
      <c r="AA552" s="112">
        <f>IF(B552="","",IF(AH552=1,IF(Y552="⚠️ Delivery after install date",R552,S552),IF(AD552=1,T552,IF(AI552=1,S552,""))))</f>
        <v/>
      </c>
      <c r="AB552" s="79">
        <f>IF(AA552="","",IF(AH552=1,1,IF(AA552="","",IF(AA552&lt;AsOf,1,IF(AA552&lt;=AsOf+AlertDays,2,IF(AA552&lt;=AsOf+2*AlertDays,3,""))))))</f>
        <v/>
      </c>
      <c r="AC552" s="79">
        <f>IF(AB552="","",IF(AH552=1,IF(Y552="⚠️ Delivery after install date","Delivery after install date: "&amp;B552,"Order late — install at risk: "&amp;B552),IF(AD552=1,IF(AB552=1,"Decision overdue: ","Decide: ")&amp;B552,"Order: "&amp;B552&amp;IF(N552="",""," from "&amp;N552))))</f>
        <v/>
      </c>
      <c r="AD552" s="79">
        <f>IF(AND(B552&lt;&gt;"",K552="",U552&lt;&gt;"Yes",X552&lt;&gt;"Yes"),1,0)</f>
        <v/>
      </c>
      <c r="AE552" s="79">
        <f>IF(AND(AD552=1,T552&lt;&gt;""),IF(T552&lt;AsOf,1,0),0)</f>
        <v/>
      </c>
      <c r="AF552" s="79">
        <f>IF(AND(AD552=1,T552&lt;&gt;""),IF(AND(T552&gt;=AsOf,T552&lt;=AsOf+AlertDays),1,0),0)</f>
        <v/>
      </c>
      <c r="AG552" s="79">
        <f>IF(Y552="Order now",1,0)</f>
        <v/>
      </c>
      <c r="AH552" s="79">
        <f>IF(OR(Y552="⚠️ Order late — install at risk",Y552="⚠️ Delivery after install date"),1,0)</f>
        <v/>
      </c>
      <c r="AI552" s="79">
        <f>IF(AND(B552&lt;&gt;"",K552&lt;&gt;"",U552&lt;&gt;"Yes",X552&lt;&gt;"Yes"),1,0)</f>
        <v/>
      </c>
      <c r="AJ552" s="79">
        <f>IF(Y552="⚠️ Order late — install at risk",1,0)</f>
        <v/>
      </c>
    </row>
    <row r="553" ht="20" customHeight="1">
      <c r="B553" s="72" t="n"/>
      <c r="C553" s="72" t="n"/>
      <c r="D553" s="72" t="n"/>
      <c r="E553" s="72" t="n"/>
      <c r="F553" s="73" t="n"/>
      <c r="G553" s="72" t="n"/>
      <c r="H553" s="73" t="n"/>
      <c r="I553" s="72" t="n"/>
      <c r="J553" s="73" t="n"/>
      <c r="K553" s="74" t="n"/>
      <c r="L553" s="75">
        <f>IF(K553="A",F553,IF(K553="B",H553,IF(K553="C",J553,"")))</f>
        <v/>
      </c>
      <c r="M553" s="72" t="n"/>
      <c r="N553" s="72" t="n"/>
      <c r="O553" s="89" t="n"/>
      <c r="P553" s="89" t="n"/>
      <c r="Q553" s="109" t="n"/>
      <c r="R553" s="120">
        <f>IF(B553="","",IF(Q553&lt;&gt;"",Q553,IF(P553="","",IFERROR(INDEX('Timeline'!$J$7:$J$1006,MATCH(P553,'Timeline'!$B$7:$B$1006,0)),""))))</f>
        <v/>
      </c>
      <c r="S553" s="126">
        <f>IF(R553="","",R553-IF(O553="",0,O553)-OrderBuf)</f>
        <v/>
      </c>
      <c r="T553" s="126">
        <f>IF(S553="","",S553-DecideBuf)</f>
        <v/>
      </c>
      <c r="U553" s="74" t="n"/>
      <c r="V553" s="109" t="n"/>
      <c r="W553" s="109" t="n"/>
      <c r="X553" s="74" t="n"/>
      <c r="Y553" s="116">
        <f>IF(B553="","",IF(X553="Yes","Delivered",IF(U553="Yes",IF(AND(W553&lt;&gt;"",R553&lt;&gt;""),IF(W553&gt;R553,"⚠️ Delivery after install date","Ordered"),"Ordered"),IF(K553="",IF(T553="","Waiting for decision",IF(T553&lt;=AsOf+AlertDays,"Decide now","Waiting for decision")),IF(S553="","Selected",IF(AsOf&gt;S553,"⚠️ Order late — install at risk",IF(S553&lt;=AsOf+AlertDays,"Order now","Selected")))))))</f>
        <v/>
      </c>
      <c r="Z553" s="79">
        <f>IF(B553="","",IF(OR(AH553=1,AE553=1),2,IF(OR(AG553=1,AF553=1),1,IF(OR(Y553="Ordered",Y553="Delivered"),0,""))))</f>
        <v/>
      </c>
      <c r="AA553" s="112">
        <f>IF(B553="","",IF(AH553=1,IF(Y553="⚠️ Delivery after install date",R553,S553),IF(AD553=1,T553,IF(AI553=1,S553,""))))</f>
        <v/>
      </c>
      <c r="AB553" s="79">
        <f>IF(AA553="","",IF(AH553=1,1,IF(AA553="","",IF(AA553&lt;AsOf,1,IF(AA553&lt;=AsOf+AlertDays,2,IF(AA553&lt;=AsOf+2*AlertDays,3,""))))))</f>
        <v/>
      </c>
      <c r="AC553" s="79">
        <f>IF(AB553="","",IF(AH553=1,IF(Y553="⚠️ Delivery after install date","Delivery after install date: "&amp;B553,"Order late — install at risk: "&amp;B553),IF(AD553=1,IF(AB553=1,"Decision overdue: ","Decide: ")&amp;B553,"Order: "&amp;B553&amp;IF(N553="",""," from "&amp;N553))))</f>
        <v/>
      </c>
      <c r="AD553" s="79">
        <f>IF(AND(B553&lt;&gt;"",K553="",U553&lt;&gt;"Yes",X553&lt;&gt;"Yes"),1,0)</f>
        <v/>
      </c>
      <c r="AE553" s="79">
        <f>IF(AND(AD553=1,T553&lt;&gt;""),IF(T553&lt;AsOf,1,0),0)</f>
        <v/>
      </c>
      <c r="AF553" s="79">
        <f>IF(AND(AD553=1,T553&lt;&gt;""),IF(AND(T553&gt;=AsOf,T553&lt;=AsOf+AlertDays),1,0),0)</f>
        <v/>
      </c>
      <c r="AG553" s="79">
        <f>IF(Y553="Order now",1,0)</f>
        <v/>
      </c>
      <c r="AH553" s="79">
        <f>IF(OR(Y553="⚠️ Order late — install at risk",Y553="⚠️ Delivery after install date"),1,0)</f>
        <v/>
      </c>
      <c r="AI553" s="79">
        <f>IF(AND(B553&lt;&gt;"",K553&lt;&gt;"",U553&lt;&gt;"Yes",X553&lt;&gt;"Yes"),1,0)</f>
        <v/>
      </c>
      <c r="AJ553" s="79">
        <f>IF(Y553="⚠️ Order late — install at risk",1,0)</f>
        <v/>
      </c>
    </row>
    <row r="554" ht="20" customHeight="1">
      <c r="B554" s="72" t="n"/>
      <c r="C554" s="72" t="n"/>
      <c r="D554" s="72" t="n"/>
      <c r="E554" s="72" t="n"/>
      <c r="F554" s="73" t="n"/>
      <c r="G554" s="72" t="n"/>
      <c r="H554" s="73" t="n"/>
      <c r="I554" s="72" t="n"/>
      <c r="J554" s="73" t="n"/>
      <c r="K554" s="74" t="n"/>
      <c r="L554" s="75">
        <f>IF(K554="A",F554,IF(K554="B",H554,IF(K554="C",J554,"")))</f>
        <v/>
      </c>
      <c r="M554" s="72" t="n"/>
      <c r="N554" s="72" t="n"/>
      <c r="O554" s="89" t="n"/>
      <c r="P554" s="89" t="n"/>
      <c r="Q554" s="109" t="n"/>
      <c r="R554" s="120">
        <f>IF(B554="","",IF(Q554&lt;&gt;"",Q554,IF(P554="","",IFERROR(INDEX('Timeline'!$J$7:$J$1006,MATCH(P554,'Timeline'!$B$7:$B$1006,0)),""))))</f>
        <v/>
      </c>
      <c r="S554" s="126">
        <f>IF(R554="","",R554-IF(O554="",0,O554)-OrderBuf)</f>
        <v/>
      </c>
      <c r="T554" s="126">
        <f>IF(S554="","",S554-DecideBuf)</f>
        <v/>
      </c>
      <c r="U554" s="74" t="n"/>
      <c r="V554" s="109" t="n"/>
      <c r="W554" s="109" t="n"/>
      <c r="X554" s="74" t="n"/>
      <c r="Y554" s="116">
        <f>IF(B554="","",IF(X554="Yes","Delivered",IF(U554="Yes",IF(AND(W554&lt;&gt;"",R554&lt;&gt;""),IF(W554&gt;R554,"⚠️ Delivery after install date","Ordered"),"Ordered"),IF(K554="",IF(T554="","Waiting for decision",IF(T554&lt;=AsOf+AlertDays,"Decide now","Waiting for decision")),IF(S554="","Selected",IF(AsOf&gt;S554,"⚠️ Order late — install at risk",IF(S554&lt;=AsOf+AlertDays,"Order now","Selected")))))))</f>
        <v/>
      </c>
      <c r="Z554" s="79">
        <f>IF(B554="","",IF(OR(AH554=1,AE554=1),2,IF(OR(AG554=1,AF554=1),1,IF(OR(Y554="Ordered",Y554="Delivered"),0,""))))</f>
        <v/>
      </c>
      <c r="AA554" s="112">
        <f>IF(B554="","",IF(AH554=1,IF(Y554="⚠️ Delivery after install date",R554,S554),IF(AD554=1,T554,IF(AI554=1,S554,""))))</f>
        <v/>
      </c>
      <c r="AB554" s="79">
        <f>IF(AA554="","",IF(AH554=1,1,IF(AA554="","",IF(AA554&lt;AsOf,1,IF(AA554&lt;=AsOf+AlertDays,2,IF(AA554&lt;=AsOf+2*AlertDays,3,""))))))</f>
        <v/>
      </c>
      <c r="AC554" s="79">
        <f>IF(AB554="","",IF(AH554=1,IF(Y554="⚠️ Delivery after install date","Delivery after install date: "&amp;B554,"Order late — install at risk: "&amp;B554),IF(AD554=1,IF(AB554=1,"Decision overdue: ","Decide: ")&amp;B554,"Order: "&amp;B554&amp;IF(N554="",""," from "&amp;N554))))</f>
        <v/>
      </c>
      <c r="AD554" s="79">
        <f>IF(AND(B554&lt;&gt;"",K554="",U554&lt;&gt;"Yes",X554&lt;&gt;"Yes"),1,0)</f>
        <v/>
      </c>
      <c r="AE554" s="79">
        <f>IF(AND(AD554=1,T554&lt;&gt;""),IF(T554&lt;AsOf,1,0),0)</f>
        <v/>
      </c>
      <c r="AF554" s="79">
        <f>IF(AND(AD554=1,T554&lt;&gt;""),IF(AND(T554&gt;=AsOf,T554&lt;=AsOf+AlertDays),1,0),0)</f>
        <v/>
      </c>
      <c r="AG554" s="79">
        <f>IF(Y554="Order now",1,0)</f>
        <v/>
      </c>
      <c r="AH554" s="79">
        <f>IF(OR(Y554="⚠️ Order late — install at risk",Y554="⚠️ Delivery after install date"),1,0)</f>
        <v/>
      </c>
      <c r="AI554" s="79">
        <f>IF(AND(B554&lt;&gt;"",K554&lt;&gt;"",U554&lt;&gt;"Yes",X554&lt;&gt;"Yes"),1,0)</f>
        <v/>
      </c>
      <c r="AJ554" s="79">
        <f>IF(Y554="⚠️ Order late — install at risk",1,0)</f>
        <v/>
      </c>
    </row>
    <row r="555" ht="20" customHeight="1">
      <c r="B555" s="72" t="n"/>
      <c r="C555" s="72" t="n"/>
      <c r="D555" s="72" t="n"/>
      <c r="E555" s="72" t="n"/>
      <c r="F555" s="73" t="n"/>
      <c r="G555" s="72" t="n"/>
      <c r="H555" s="73" t="n"/>
      <c r="I555" s="72" t="n"/>
      <c r="J555" s="73" t="n"/>
      <c r="K555" s="74" t="n"/>
      <c r="L555" s="75">
        <f>IF(K555="A",F555,IF(K555="B",H555,IF(K555="C",J555,"")))</f>
        <v/>
      </c>
      <c r="M555" s="72" t="n"/>
      <c r="N555" s="72" t="n"/>
      <c r="O555" s="89" t="n"/>
      <c r="P555" s="89" t="n"/>
      <c r="Q555" s="109" t="n"/>
      <c r="R555" s="120">
        <f>IF(B555="","",IF(Q555&lt;&gt;"",Q555,IF(P555="","",IFERROR(INDEX('Timeline'!$J$7:$J$1006,MATCH(P555,'Timeline'!$B$7:$B$1006,0)),""))))</f>
        <v/>
      </c>
      <c r="S555" s="126">
        <f>IF(R555="","",R555-IF(O555="",0,O555)-OrderBuf)</f>
        <v/>
      </c>
      <c r="T555" s="126">
        <f>IF(S555="","",S555-DecideBuf)</f>
        <v/>
      </c>
      <c r="U555" s="74" t="n"/>
      <c r="V555" s="109" t="n"/>
      <c r="W555" s="109" t="n"/>
      <c r="X555" s="74" t="n"/>
      <c r="Y555" s="116">
        <f>IF(B555="","",IF(X555="Yes","Delivered",IF(U555="Yes",IF(AND(W555&lt;&gt;"",R555&lt;&gt;""),IF(W555&gt;R555,"⚠️ Delivery after install date","Ordered"),"Ordered"),IF(K555="",IF(T555="","Waiting for decision",IF(T555&lt;=AsOf+AlertDays,"Decide now","Waiting for decision")),IF(S555="","Selected",IF(AsOf&gt;S555,"⚠️ Order late — install at risk",IF(S555&lt;=AsOf+AlertDays,"Order now","Selected")))))))</f>
        <v/>
      </c>
      <c r="Z555" s="79">
        <f>IF(B555="","",IF(OR(AH555=1,AE555=1),2,IF(OR(AG555=1,AF555=1),1,IF(OR(Y555="Ordered",Y555="Delivered"),0,""))))</f>
        <v/>
      </c>
      <c r="AA555" s="112">
        <f>IF(B555="","",IF(AH555=1,IF(Y555="⚠️ Delivery after install date",R555,S555),IF(AD555=1,T555,IF(AI555=1,S555,""))))</f>
        <v/>
      </c>
      <c r="AB555" s="79">
        <f>IF(AA555="","",IF(AH555=1,1,IF(AA555="","",IF(AA555&lt;AsOf,1,IF(AA555&lt;=AsOf+AlertDays,2,IF(AA555&lt;=AsOf+2*AlertDays,3,""))))))</f>
        <v/>
      </c>
      <c r="AC555" s="79">
        <f>IF(AB555="","",IF(AH555=1,IF(Y555="⚠️ Delivery after install date","Delivery after install date: "&amp;B555,"Order late — install at risk: "&amp;B555),IF(AD555=1,IF(AB555=1,"Decision overdue: ","Decide: ")&amp;B555,"Order: "&amp;B555&amp;IF(N555="",""," from "&amp;N555))))</f>
        <v/>
      </c>
      <c r="AD555" s="79">
        <f>IF(AND(B555&lt;&gt;"",K555="",U555&lt;&gt;"Yes",X555&lt;&gt;"Yes"),1,0)</f>
        <v/>
      </c>
      <c r="AE555" s="79">
        <f>IF(AND(AD555=1,T555&lt;&gt;""),IF(T555&lt;AsOf,1,0),0)</f>
        <v/>
      </c>
      <c r="AF555" s="79">
        <f>IF(AND(AD555=1,T555&lt;&gt;""),IF(AND(T555&gt;=AsOf,T555&lt;=AsOf+AlertDays),1,0),0)</f>
        <v/>
      </c>
      <c r="AG555" s="79">
        <f>IF(Y555="Order now",1,0)</f>
        <v/>
      </c>
      <c r="AH555" s="79">
        <f>IF(OR(Y555="⚠️ Order late — install at risk",Y555="⚠️ Delivery after install date"),1,0)</f>
        <v/>
      </c>
      <c r="AI555" s="79">
        <f>IF(AND(B555&lt;&gt;"",K555&lt;&gt;"",U555&lt;&gt;"Yes",X555&lt;&gt;"Yes"),1,0)</f>
        <v/>
      </c>
      <c r="AJ555" s="79">
        <f>IF(Y555="⚠️ Order late — install at risk",1,0)</f>
        <v/>
      </c>
    </row>
    <row r="556" ht="20" customHeight="1">
      <c r="B556" s="72" t="n"/>
      <c r="C556" s="72" t="n"/>
      <c r="D556" s="72" t="n"/>
      <c r="E556" s="72" t="n"/>
      <c r="F556" s="73" t="n"/>
      <c r="G556" s="72" t="n"/>
      <c r="H556" s="73" t="n"/>
      <c r="I556" s="72" t="n"/>
      <c r="J556" s="73" t="n"/>
      <c r="K556" s="74" t="n"/>
      <c r="L556" s="75">
        <f>IF(K556="A",F556,IF(K556="B",H556,IF(K556="C",J556,"")))</f>
        <v/>
      </c>
      <c r="M556" s="72" t="n"/>
      <c r="N556" s="72" t="n"/>
      <c r="O556" s="89" t="n"/>
      <c r="P556" s="89" t="n"/>
      <c r="Q556" s="109" t="n"/>
      <c r="R556" s="120">
        <f>IF(B556="","",IF(Q556&lt;&gt;"",Q556,IF(P556="","",IFERROR(INDEX('Timeline'!$J$7:$J$1006,MATCH(P556,'Timeline'!$B$7:$B$1006,0)),""))))</f>
        <v/>
      </c>
      <c r="S556" s="126">
        <f>IF(R556="","",R556-IF(O556="",0,O556)-OrderBuf)</f>
        <v/>
      </c>
      <c r="T556" s="126">
        <f>IF(S556="","",S556-DecideBuf)</f>
        <v/>
      </c>
      <c r="U556" s="74" t="n"/>
      <c r="V556" s="109" t="n"/>
      <c r="W556" s="109" t="n"/>
      <c r="X556" s="74" t="n"/>
      <c r="Y556" s="116">
        <f>IF(B556="","",IF(X556="Yes","Delivered",IF(U556="Yes",IF(AND(W556&lt;&gt;"",R556&lt;&gt;""),IF(W556&gt;R556,"⚠️ Delivery after install date","Ordered"),"Ordered"),IF(K556="",IF(T556="","Waiting for decision",IF(T556&lt;=AsOf+AlertDays,"Decide now","Waiting for decision")),IF(S556="","Selected",IF(AsOf&gt;S556,"⚠️ Order late — install at risk",IF(S556&lt;=AsOf+AlertDays,"Order now","Selected")))))))</f>
        <v/>
      </c>
      <c r="Z556" s="79">
        <f>IF(B556="","",IF(OR(AH556=1,AE556=1),2,IF(OR(AG556=1,AF556=1),1,IF(OR(Y556="Ordered",Y556="Delivered"),0,""))))</f>
        <v/>
      </c>
      <c r="AA556" s="112">
        <f>IF(B556="","",IF(AH556=1,IF(Y556="⚠️ Delivery after install date",R556,S556),IF(AD556=1,T556,IF(AI556=1,S556,""))))</f>
        <v/>
      </c>
      <c r="AB556" s="79">
        <f>IF(AA556="","",IF(AH556=1,1,IF(AA556="","",IF(AA556&lt;AsOf,1,IF(AA556&lt;=AsOf+AlertDays,2,IF(AA556&lt;=AsOf+2*AlertDays,3,""))))))</f>
        <v/>
      </c>
      <c r="AC556" s="79">
        <f>IF(AB556="","",IF(AH556=1,IF(Y556="⚠️ Delivery after install date","Delivery after install date: "&amp;B556,"Order late — install at risk: "&amp;B556),IF(AD556=1,IF(AB556=1,"Decision overdue: ","Decide: ")&amp;B556,"Order: "&amp;B556&amp;IF(N556="",""," from "&amp;N556))))</f>
        <v/>
      </c>
      <c r="AD556" s="79">
        <f>IF(AND(B556&lt;&gt;"",K556="",U556&lt;&gt;"Yes",X556&lt;&gt;"Yes"),1,0)</f>
        <v/>
      </c>
      <c r="AE556" s="79">
        <f>IF(AND(AD556=1,T556&lt;&gt;""),IF(T556&lt;AsOf,1,0),0)</f>
        <v/>
      </c>
      <c r="AF556" s="79">
        <f>IF(AND(AD556=1,T556&lt;&gt;""),IF(AND(T556&gt;=AsOf,T556&lt;=AsOf+AlertDays),1,0),0)</f>
        <v/>
      </c>
      <c r="AG556" s="79">
        <f>IF(Y556="Order now",1,0)</f>
        <v/>
      </c>
      <c r="AH556" s="79">
        <f>IF(OR(Y556="⚠️ Order late — install at risk",Y556="⚠️ Delivery after install date"),1,0)</f>
        <v/>
      </c>
      <c r="AI556" s="79">
        <f>IF(AND(B556&lt;&gt;"",K556&lt;&gt;"",U556&lt;&gt;"Yes",X556&lt;&gt;"Yes"),1,0)</f>
        <v/>
      </c>
      <c r="AJ556" s="79">
        <f>IF(Y556="⚠️ Order late — install at risk",1,0)</f>
        <v/>
      </c>
    </row>
    <row r="557" ht="20" customHeight="1">
      <c r="B557" s="72" t="n"/>
      <c r="C557" s="72" t="n"/>
      <c r="D557" s="72" t="n"/>
      <c r="E557" s="72" t="n"/>
      <c r="F557" s="73" t="n"/>
      <c r="G557" s="72" t="n"/>
      <c r="H557" s="73" t="n"/>
      <c r="I557" s="72" t="n"/>
      <c r="J557" s="73" t="n"/>
      <c r="K557" s="74" t="n"/>
      <c r="L557" s="75">
        <f>IF(K557="A",F557,IF(K557="B",H557,IF(K557="C",J557,"")))</f>
        <v/>
      </c>
      <c r="M557" s="72" t="n"/>
      <c r="N557" s="72" t="n"/>
      <c r="O557" s="89" t="n"/>
      <c r="P557" s="89" t="n"/>
      <c r="Q557" s="109" t="n"/>
      <c r="R557" s="120">
        <f>IF(B557="","",IF(Q557&lt;&gt;"",Q557,IF(P557="","",IFERROR(INDEX('Timeline'!$J$7:$J$1006,MATCH(P557,'Timeline'!$B$7:$B$1006,0)),""))))</f>
        <v/>
      </c>
      <c r="S557" s="126">
        <f>IF(R557="","",R557-IF(O557="",0,O557)-OrderBuf)</f>
        <v/>
      </c>
      <c r="T557" s="126">
        <f>IF(S557="","",S557-DecideBuf)</f>
        <v/>
      </c>
      <c r="U557" s="74" t="n"/>
      <c r="V557" s="109" t="n"/>
      <c r="W557" s="109" t="n"/>
      <c r="X557" s="74" t="n"/>
      <c r="Y557" s="116">
        <f>IF(B557="","",IF(X557="Yes","Delivered",IF(U557="Yes",IF(AND(W557&lt;&gt;"",R557&lt;&gt;""),IF(W557&gt;R557,"⚠️ Delivery after install date","Ordered"),"Ordered"),IF(K557="",IF(T557="","Waiting for decision",IF(T557&lt;=AsOf+AlertDays,"Decide now","Waiting for decision")),IF(S557="","Selected",IF(AsOf&gt;S557,"⚠️ Order late — install at risk",IF(S557&lt;=AsOf+AlertDays,"Order now","Selected")))))))</f>
        <v/>
      </c>
      <c r="Z557" s="79">
        <f>IF(B557="","",IF(OR(AH557=1,AE557=1),2,IF(OR(AG557=1,AF557=1),1,IF(OR(Y557="Ordered",Y557="Delivered"),0,""))))</f>
        <v/>
      </c>
      <c r="AA557" s="112">
        <f>IF(B557="","",IF(AH557=1,IF(Y557="⚠️ Delivery after install date",R557,S557),IF(AD557=1,T557,IF(AI557=1,S557,""))))</f>
        <v/>
      </c>
      <c r="AB557" s="79">
        <f>IF(AA557="","",IF(AH557=1,1,IF(AA557="","",IF(AA557&lt;AsOf,1,IF(AA557&lt;=AsOf+AlertDays,2,IF(AA557&lt;=AsOf+2*AlertDays,3,""))))))</f>
        <v/>
      </c>
      <c r="AC557" s="79">
        <f>IF(AB557="","",IF(AH557=1,IF(Y557="⚠️ Delivery after install date","Delivery after install date: "&amp;B557,"Order late — install at risk: "&amp;B557),IF(AD557=1,IF(AB557=1,"Decision overdue: ","Decide: ")&amp;B557,"Order: "&amp;B557&amp;IF(N557="",""," from "&amp;N557))))</f>
        <v/>
      </c>
      <c r="AD557" s="79">
        <f>IF(AND(B557&lt;&gt;"",K557="",U557&lt;&gt;"Yes",X557&lt;&gt;"Yes"),1,0)</f>
        <v/>
      </c>
      <c r="AE557" s="79">
        <f>IF(AND(AD557=1,T557&lt;&gt;""),IF(T557&lt;AsOf,1,0),0)</f>
        <v/>
      </c>
      <c r="AF557" s="79">
        <f>IF(AND(AD557=1,T557&lt;&gt;""),IF(AND(T557&gt;=AsOf,T557&lt;=AsOf+AlertDays),1,0),0)</f>
        <v/>
      </c>
      <c r="AG557" s="79">
        <f>IF(Y557="Order now",1,0)</f>
        <v/>
      </c>
      <c r="AH557" s="79">
        <f>IF(OR(Y557="⚠️ Order late — install at risk",Y557="⚠️ Delivery after install date"),1,0)</f>
        <v/>
      </c>
      <c r="AI557" s="79">
        <f>IF(AND(B557&lt;&gt;"",K557&lt;&gt;"",U557&lt;&gt;"Yes",X557&lt;&gt;"Yes"),1,0)</f>
        <v/>
      </c>
      <c r="AJ557" s="79">
        <f>IF(Y557="⚠️ Order late — install at risk",1,0)</f>
        <v/>
      </c>
    </row>
    <row r="558" ht="20" customHeight="1">
      <c r="B558" s="72" t="n"/>
      <c r="C558" s="72" t="n"/>
      <c r="D558" s="72" t="n"/>
      <c r="E558" s="72" t="n"/>
      <c r="F558" s="73" t="n"/>
      <c r="G558" s="72" t="n"/>
      <c r="H558" s="73" t="n"/>
      <c r="I558" s="72" t="n"/>
      <c r="J558" s="73" t="n"/>
      <c r="K558" s="74" t="n"/>
      <c r="L558" s="75">
        <f>IF(K558="A",F558,IF(K558="B",H558,IF(K558="C",J558,"")))</f>
        <v/>
      </c>
      <c r="M558" s="72" t="n"/>
      <c r="N558" s="72" t="n"/>
      <c r="O558" s="89" t="n"/>
      <c r="P558" s="89" t="n"/>
      <c r="Q558" s="109" t="n"/>
      <c r="R558" s="120">
        <f>IF(B558="","",IF(Q558&lt;&gt;"",Q558,IF(P558="","",IFERROR(INDEX('Timeline'!$J$7:$J$1006,MATCH(P558,'Timeline'!$B$7:$B$1006,0)),""))))</f>
        <v/>
      </c>
      <c r="S558" s="126">
        <f>IF(R558="","",R558-IF(O558="",0,O558)-OrderBuf)</f>
        <v/>
      </c>
      <c r="T558" s="126">
        <f>IF(S558="","",S558-DecideBuf)</f>
        <v/>
      </c>
      <c r="U558" s="74" t="n"/>
      <c r="V558" s="109" t="n"/>
      <c r="W558" s="109" t="n"/>
      <c r="X558" s="74" t="n"/>
      <c r="Y558" s="116">
        <f>IF(B558="","",IF(X558="Yes","Delivered",IF(U558="Yes",IF(AND(W558&lt;&gt;"",R558&lt;&gt;""),IF(W558&gt;R558,"⚠️ Delivery after install date","Ordered"),"Ordered"),IF(K558="",IF(T558="","Waiting for decision",IF(T558&lt;=AsOf+AlertDays,"Decide now","Waiting for decision")),IF(S558="","Selected",IF(AsOf&gt;S558,"⚠️ Order late — install at risk",IF(S558&lt;=AsOf+AlertDays,"Order now","Selected")))))))</f>
        <v/>
      </c>
      <c r="Z558" s="79">
        <f>IF(B558="","",IF(OR(AH558=1,AE558=1),2,IF(OR(AG558=1,AF558=1),1,IF(OR(Y558="Ordered",Y558="Delivered"),0,""))))</f>
        <v/>
      </c>
      <c r="AA558" s="112">
        <f>IF(B558="","",IF(AH558=1,IF(Y558="⚠️ Delivery after install date",R558,S558),IF(AD558=1,T558,IF(AI558=1,S558,""))))</f>
        <v/>
      </c>
      <c r="AB558" s="79">
        <f>IF(AA558="","",IF(AH558=1,1,IF(AA558="","",IF(AA558&lt;AsOf,1,IF(AA558&lt;=AsOf+AlertDays,2,IF(AA558&lt;=AsOf+2*AlertDays,3,""))))))</f>
        <v/>
      </c>
      <c r="AC558" s="79">
        <f>IF(AB558="","",IF(AH558=1,IF(Y558="⚠️ Delivery after install date","Delivery after install date: "&amp;B558,"Order late — install at risk: "&amp;B558),IF(AD558=1,IF(AB558=1,"Decision overdue: ","Decide: ")&amp;B558,"Order: "&amp;B558&amp;IF(N558="",""," from "&amp;N558))))</f>
        <v/>
      </c>
      <c r="AD558" s="79">
        <f>IF(AND(B558&lt;&gt;"",K558="",U558&lt;&gt;"Yes",X558&lt;&gt;"Yes"),1,0)</f>
        <v/>
      </c>
      <c r="AE558" s="79">
        <f>IF(AND(AD558=1,T558&lt;&gt;""),IF(T558&lt;AsOf,1,0),0)</f>
        <v/>
      </c>
      <c r="AF558" s="79">
        <f>IF(AND(AD558=1,T558&lt;&gt;""),IF(AND(T558&gt;=AsOf,T558&lt;=AsOf+AlertDays),1,0),0)</f>
        <v/>
      </c>
      <c r="AG558" s="79">
        <f>IF(Y558="Order now",1,0)</f>
        <v/>
      </c>
      <c r="AH558" s="79">
        <f>IF(OR(Y558="⚠️ Order late — install at risk",Y558="⚠️ Delivery after install date"),1,0)</f>
        <v/>
      </c>
      <c r="AI558" s="79">
        <f>IF(AND(B558&lt;&gt;"",K558&lt;&gt;"",U558&lt;&gt;"Yes",X558&lt;&gt;"Yes"),1,0)</f>
        <v/>
      </c>
      <c r="AJ558" s="79">
        <f>IF(Y558="⚠️ Order late — install at risk",1,0)</f>
        <v/>
      </c>
    </row>
    <row r="559" ht="20" customHeight="1">
      <c r="B559" s="72" t="n"/>
      <c r="C559" s="72" t="n"/>
      <c r="D559" s="72" t="n"/>
      <c r="E559" s="72" t="n"/>
      <c r="F559" s="73" t="n"/>
      <c r="G559" s="72" t="n"/>
      <c r="H559" s="73" t="n"/>
      <c r="I559" s="72" t="n"/>
      <c r="J559" s="73" t="n"/>
      <c r="K559" s="74" t="n"/>
      <c r="L559" s="75">
        <f>IF(K559="A",F559,IF(K559="B",H559,IF(K559="C",J559,"")))</f>
        <v/>
      </c>
      <c r="M559" s="72" t="n"/>
      <c r="N559" s="72" t="n"/>
      <c r="O559" s="89" t="n"/>
      <c r="P559" s="89" t="n"/>
      <c r="Q559" s="109" t="n"/>
      <c r="R559" s="120">
        <f>IF(B559="","",IF(Q559&lt;&gt;"",Q559,IF(P559="","",IFERROR(INDEX('Timeline'!$J$7:$J$1006,MATCH(P559,'Timeline'!$B$7:$B$1006,0)),""))))</f>
        <v/>
      </c>
      <c r="S559" s="126">
        <f>IF(R559="","",R559-IF(O559="",0,O559)-OrderBuf)</f>
        <v/>
      </c>
      <c r="T559" s="126">
        <f>IF(S559="","",S559-DecideBuf)</f>
        <v/>
      </c>
      <c r="U559" s="74" t="n"/>
      <c r="V559" s="109" t="n"/>
      <c r="W559" s="109" t="n"/>
      <c r="X559" s="74" t="n"/>
      <c r="Y559" s="116">
        <f>IF(B559="","",IF(X559="Yes","Delivered",IF(U559="Yes",IF(AND(W559&lt;&gt;"",R559&lt;&gt;""),IF(W559&gt;R559,"⚠️ Delivery after install date","Ordered"),"Ordered"),IF(K559="",IF(T559="","Waiting for decision",IF(T559&lt;=AsOf+AlertDays,"Decide now","Waiting for decision")),IF(S559="","Selected",IF(AsOf&gt;S559,"⚠️ Order late — install at risk",IF(S559&lt;=AsOf+AlertDays,"Order now","Selected")))))))</f>
        <v/>
      </c>
      <c r="Z559" s="79">
        <f>IF(B559="","",IF(OR(AH559=1,AE559=1),2,IF(OR(AG559=1,AF559=1),1,IF(OR(Y559="Ordered",Y559="Delivered"),0,""))))</f>
        <v/>
      </c>
      <c r="AA559" s="112">
        <f>IF(B559="","",IF(AH559=1,IF(Y559="⚠️ Delivery after install date",R559,S559),IF(AD559=1,T559,IF(AI559=1,S559,""))))</f>
        <v/>
      </c>
      <c r="AB559" s="79">
        <f>IF(AA559="","",IF(AH559=1,1,IF(AA559="","",IF(AA559&lt;AsOf,1,IF(AA559&lt;=AsOf+AlertDays,2,IF(AA559&lt;=AsOf+2*AlertDays,3,""))))))</f>
        <v/>
      </c>
      <c r="AC559" s="79">
        <f>IF(AB559="","",IF(AH559=1,IF(Y559="⚠️ Delivery after install date","Delivery after install date: "&amp;B559,"Order late — install at risk: "&amp;B559),IF(AD559=1,IF(AB559=1,"Decision overdue: ","Decide: ")&amp;B559,"Order: "&amp;B559&amp;IF(N559="",""," from "&amp;N559))))</f>
        <v/>
      </c>
      <c r="AD559" s="79">
        <f>IF(AND(B559&lt;&gt;"",K559="",U559&lt;&gt;"Yes",X559&lt;&gt;"Yes"),1,0)</f>
        <v/>
      </c>
      <c r="AE559" s="79">
        <f>IF(AND(AD559=1,T559&lt;&gt;""),IF(T559&lt;AsOf,1,0),0)</f>
        <v/>
      </c>
      <c r="AF559" s="79">
        <f>IF(AND(AD559=1,T559&lt;&gt;""),IF(AND(T559&gt;=AsOf,T559&lt;=AsOf+AlertDays),1,0),0)</f>
        <v/>
      </c>
      <c r="AG559" s="79">
        <f>IF(Y559="Order now",1,0)</f>
        <v/>
      </c>
      <c r="AH559" s="79">
        <f>IF(OR(Y559="⚠️ Order late — install at risk",Y559="⚠️ Delivery after install date"),1,0)</f>
        <v/>
      </c>
      <c r="AI559" s="79">
        <f>IF(AND(B559&lt;&gt;"",K559&lt;&gt;"",U559&lt;&gt;"Yes",X559&lt;&gt;"Yes"),1,0)</f>
        <v/>
      </c>
      <c r="AJ559" s="79">
        <f>IF(Y559="⚠️ Order late — install at risk",1,0)</f>
        <v/>
      </c>
    </row>
    <row r="560" ht="20" customHeight="1">
      <c r="B560" s="72" t="n"/>
      <c r="C560" s="72" t="n"/>
      <c r="D560" s="72" t="n"/>
      <c r="E560" s="72" t="n"/>
      <c r="F560" s="73" t="n"/>
      <c r="G560" s="72" t="n"/>
      <c r="H560" s="73" t="n"/>
      <c r="I560" s="72" t="n"/>
      <c r="J560" s="73" t="n"/>
      <c r="K560" s="74" t="n"/>
      <c r="L560" s="75">
        <f>IF(K560="A",F560,IF(K560="B",H560,IF(K560="C",J560,"")))</f>
        <v/>
      </c>
      <c r="M560" s="72" t="n"/>
      <c r="N560" s="72" t="n"/>
      <c r="O560" s="89" t="n"/>
      <c r="P560" s="89" t="n"/>
      <c r="Q560" s="109" t="n"/>
      <c r="R560" s="120">
        <f>IF(B560="","",IF(Q560&lt;&gt;"",Q560,IF(P560="","",IFERROR(INDEX('Timeline'!$J$7:$J$1006,MATCH(P560,'Timeline'!$B$7:$B$1006,0)),""))))</f>
        <v/>
      </c>
      <c r="S560" s="126">
        <f>IF(R560="","",R560-IF(O560="",0,O560)-OrderBuf)</f>
        <v/>
      </c>
      <c r="T560" s="126">
        <f>IF(S560="","",S560-DecideBuf)</f>
        <v/>
      </c>
      <c r="U560" s="74" t="n"/>
      <c r="V560" s="109" t="n"/>
      <c r="W560" s="109" t="n"/>
      <c r="X560" s="74" t="n"/>
      <c r="Y560" s="116">
        <f>IF(B560="","",IF(X560="Yes","Delivered",IF(U560="Yes",IF(AND(W560&lt;&gt;"",R560&lt;&gt;""),IF(W560&gt;R560,"⚠️ Delivery after install date","Ordered"),"Ordered"),IF(K560="",IF(T560="","Waiting for decision",IF(T560&lt;=AsOf+AlertDays,"Decide now","Waiting for decision")),IF(S560="","Selected",IF(AsOf&gt;S560,"⚠️ Order late — install at risk",IF(S560&lt;=AsOf+AlertDays,"Order now","Selected")))))))</f>
        <v/>
      </c>
      <c r="Z560" s="79">
        <f>IF(B560="","",IF(OR(AH560=1,AE560=1),2,IF(OR(AG560=1,AF560=1),1,IF(OR(Y560="Ordered",Y560="Delivered"),0,""))))</f>
        <v/>
      </c>
      <c r="AA560" s="112">
        <f>IF(B560="","",IF(AH560=1,IF(Y560="⚠️ Delivery after install date",R560,S560),IF(AD560=1,T560,IF(AI560=1,S560,""))))</f>
        <v/>
      </c>
      <c r="AB560" s="79">
        <f>IF(AA560="","",IF(AH560=1,1,IF(AA560="","",IF(AA560&lt;AsOf,1,IF(AA560&lt;=AsOf+AlertDays,2,IF(AA560&lt;=AsOf+2*AlertDays,3,""))))))</f>
        <v/>
      </c>
      <c r="AC560" s="79">
        <f>IF(AB560="","",IF(AH560=1,IF(Y560="⚠️ Delivery after install date","Delivery after install date: "&amp;B560,"Order late — install at risk: "&amp;B560),IF(AD560=1,IF(AB560=1,"Decision overdue: ","Decide: ")&amp;B560,"Order: "&amp;B560&amp;IF(N560="",""," from "&amp;N560))))</f>
        <v/>
      </c>
      <c r="AD560" s="79">
        <f>IF(AND(B560&lt;&gt;"",K560="",U560&lt;&gt;"Yes",X560&lt;&gt;"Yes"),1,0)</f>
        <v/>
      </c>
      <c r="AE560" s="79">
        <f>IF(AND(AD560=1,T560&lt;&gt;""),IF(T560&lt;AsOf,1,0),0)</f>
        <v/>
      </c>
      <c r="AF560" s="79">
        <f>IF(AND(AD560=1,T560&lt;&gt;""),IF(AND(T560&gt;=AsOf,T560&lt;=AsOf+AlertDays),1,0),0)</f>
        <v/>
      </c>
      <c r="AG560" s="79">
        <f>IF(Y560="Order now",1,0)</f>
        <v/>
      </c>
      <c r="AH560" s="79">
        <f>IF(OR(Y560="⚠️ Order late — install at risk",Y560="⚠️ Delivery after install date"),1,0)</f>
        <v/>
      </c>
      <c r="AI560" s="79">
        <f>IF(AND(B560&lt;&gt;"",K560&lt;&gt;"",U560&lt;&gt;"Yes",X560&lt;&gt;"Yes"),1,0)</f>
        <v/>
      </c>
      <c r="AJ560" s="79">
        <f>IF(Y560="⚠️ Order late — install at risk",1,0)</f>
        <v/>
      </c>
    </row>
    <row r="561" ht="20" customHeight="1">
      <c r="B561" s="72" t="n"/>
      <c r="C561" s="72" t="n"/>
      <c r="D561" s="72" t="n"/>
      <c r="E561" s="72" t="n"/>
      <c r="F561" s="73" t="n"/>
      <c r="G561" s="72" t="n"/>
      <c r="H561" s="73" t="n"/>
      <c r="I561" s="72" t="n"/>
      <c r="J561" s="73" t="n"/>
      <c r="K561" s="74" t="n"/>
      <c r="L561" s="75">
        <f>IF(K561="A",F561,IF(K561="B",H561,IF(K561="C",J561,"")))</f>
        <v/>
      </c>
      <c r="M561" s="72" t="n"/>
      <c r="N561" s="72" t="n"/>
      <c r="O561" s="89" t="n"/>
      <c r="P561" s="89" t="n"/>
      <c r="Q561" s="109" t="n"/>
      <c r="R561" s="120">
        <f>IF(B561="","",IF(Q561&lt;&gt;"",Q561,IF(P561="","",IFERROR(INDEX('Timeline'!$J$7:$J$1006,MATCH(P561,'Timeline'!$B$7:$B$1006,0)),""))))</f>
        <v/>
      </c>
      <c r="S561" s="126">
        <f>IF(R561="","",R561-IF(O561="",0,O561)-OrderBuf)</f>
        <v/>
      </c>
      <c r="T561" s="126">
        <f>IF(S561="","",S561-DecideBuf)</f>
        <v/>
      </c>
      <c r="U561" s="74" t="n"/>
      <c r="V561" s="109" t="n"/>
      <c r="W561" s="109" t="n"/>
      <c r="X561" s="74" t="n"/>
      <c r="Y561" s="116">
        <f>IF(B561="","",IF(X561="Yes","Delivered",IF(U561="Yes",IF(AND(W561&lt;&gt;"",R561&lt;&gt;""),IF(W561&gt;R561,"⚠️ Delivery after install date","Ordered"),"Ordered"),IF(K561="",IF(T561="","Waiting for decision",IF(T561&lt;=AsOf+AlertDays,"Decide now","Waiting for decision")),IF(S561="","Selected",IF(AsOf&gt;S561,"⚠️ Order late — install at risk",IF(S561&lt;=AsOf+AlertDays,"Order now","Selected")))))))</f>
        <v/>
      </c>
      <c r="Z561" s="79">
        <f>IF(B561="","",IF(OR(AH561=1,AE561=1),2,IF(OR(AG561=1,AF561=1),1,IF(OR(Y561="Ordered",Y561="Delivered"),0,""))))</f>
        <v/>
      </c>
      <c r="AA561" s="112">
        <f>IF(B561="","",IF(AH561=1,IF(Y561="⚠️ Delivery after install date",R561,S561),IF(AD561=1,T561,IF(AI561=1,S561,""))))</f>
        <v/>
      </c>
      <c r="AB561" s="79">
        <f>IF(AA561="","",IF(AH561=1,1,IF(AA561="","",IF(AA561&lt;AsOf,1,IF(AA561&lt;=AsOf+AlertDays,2,IF(AA561&lt;=AsOf+2*AlertDays,3,""))))))</f>
        <v/>
      </c>
      <c r="AC561" s="79">
        <f>IF(AB561="","",IF(AH561=1,IF(Y561="⚠️ Delivery after install date","Delivery after install date: "&amp;B561,"Order late — install at risk: "&amp;B561),IF(AD561=1,IF(AB561=1,"Decision overdue: ","Decide: ")&amp;B561,"Order: "&amp;B561&amp;IF(N561="",""," from "&amp;N561))))</f>
        <v/>
      </c>
      <c r="AD561" s="79">
        <f>IF(AND(B561&lt;&gt;"",K561="",U561&lt;&gt;"Yes",X561&lt;&gt;"Yes"),1,0)</f>
        <v/>
      </c>
      <c r="AE561" s="79">
        <f>IF(AND(AD561=1,T561&lt;&gt;""),IF(T561&lt;AsOf,1,0),0)</f>
        <v/>
      </c>
      <c r="AF561" s="79">
        <f>IF(AND(AD561=1,T561&lt;&gt;""),IF(AND(T561&gt;=AsOf,T561&lt;=AsOf+AlertDays),1,0),0)</f>
        <v/>
      </c>
      <c r="AG561" s="79">
        <f>IF(Y561="Order now",1,0)</f>
        <v/>
      </c>
      <c r="AH561" s="79">
        <f>IF(OR(Y561="⚠️ Order late — install at risk",Y561="⚠️ Delivery after install date"),1,0)</f>
        <v/>
      </c>
      <c r="AI561" s="79">
        <f>IF(AND(B561&lt;&gt;"",K561&lt;&gt;"",U561&lt;&gt;"Yes",X561&lt;&gt;"Yes"),1,0)</f>
        <v/>
      </c>
      <c r="AJ561" s="79">
        <f>IF(Y561="⚠️ Order late — install at risk",1,0)</f>
        <v/>
      </c>
    </row>
    <row r="562" ht="20" customHeight="1">
      <c r="B562" s="72" t="n"/>
      <c r="C562" s="72" t="n"/>
      <c r="D562" s="72" t="n"/>
      <c r="E562" s="72" t="n"/>
      <c r="F562" s="73" t="n"/>
      <c r="G562" s="72" t="n"/>
      <c r="H562" s="73" t="n"/>
      <c r="I562" s="72" t="n"/>
      <c r="J562" s="73" t="n"/>
      <c r="K562" s="74" t="n"/>
      <c r="L562" s="75">
        <f>IF(K562="A",F562,IF(K562="B",H562,IF(K562="C",J562,"")))</f>
        <v/>
      </c>
      <c r="M562" s="72" t="n"/>
      <c r="N562" s="72" t="n"/>
      <c r="O562" s="89" t="n"/>
      <c r="P562" s="89" t="n"/>
      <c r="Q562" s="109" t="n"/>
      <c r="R562" s="120">
        <f>IF(B562="","",IF(Q562&lt;&gt;"",Q562,IF(P562="","",IFERROR(INDEX('Timeline'!$J$7:$J$1006,MATCH(P562,'Timeline'!$B$7:$B$1006,0)),""))))</f>
        <v/>
      </c>
      <c r="S562" s="126">
        <f>IF(R562="","",R562-IF(O562="",0,O562)-OrderBuf)</f>
        <v/>
      </c>
      <c r="T562" s="126">
        <f>IF(S562="","",S562-DecideBuf)</f>
        <v/>
      </c>
      <c r="U562" s="74" t="n"/>
      <c r="V562" s="109" t="n"/>
      <c r="W562" s="109" t="n"/>
      <c r="X562" s="74" t="n"/>
      <c r="Y562" s="116">
        <f>IF(B562="","",IF(X562="Yes","Delivered",IF(U562="Yes",IF(AND(W562&lt;&gt;"",R562&lt;&gt;""),IF(W562&gt;R562,"⚠️ Delivery after install date","Ordered"),"Ordered"),IF(K562="",IF(T562="","Waiting for decision",IF(T562&lt;=AsOf+AlertDays,"Decide now","Waiting for decision")),IF(S562="","Selected",IF(AsOf&gt;S562,"⚠️ Order late — install at risk",IF(S562&lt;=AsOf+AlertDays,"Order now","Selected")))))))</f>
        <v/>
      </c>
      <c r="Z562" s="79">
        <f>IF(B562="","",IF(OR(AH562=1,AE562=1),2,IF(OR(AG562=1,AF562=1),1,IF(OR(Y562="Ordered",Y562="Delivered"),0,""))))</f>
        <v/>
      </c>
      <c r="AA562" s="112">
        <f>IF(B562="","",IF(AH562=1,IF(Y562="⚠️ Delivery after install date",R562,S562),IF(AD562=1,T562,IF(AI562=1,S562,""))))</f>
        <v/>
      </c>
      <c r="AB562" s="79">
        <f>IF(AA562="","",IF(AH562=1,1,IF(AA562="","",IF(AA562&lt;AsOf,1,IF(AA562&lt;=AsOf+AlertDays,2,IF(AA562&lt;=AsOf+2*AlertDays,3,""))))))</f>
        <v/>
      </c>
      <c r="AC562" s="79">
        <f>IF(AB562="","",IF(AH562=1,IF(Y562="⚠️ Delivery after install date","Delivery after install date: "&amp;B562,"Order late — install at risk: "&amp;B562),IF(AD562=1,IF(AB562=1,"Decision overdue: ","Decide: ")&amp;B562,"Order: "&amp;B562&amp;IF(N562="",""," from "&amp;N562))))</f>
        <v/>
      </c>
      <c r="AD562" s="79">
        <f>IF(AND(B562&lt;&gt;"",K562="",U562&lt;&gt;"Yes",X562&lt;&gt;"Yes"),1,0)</f>
        <v/>
      </c>
      <c r="AE562" s="79">
        <f>IF(AND(AD562=1,T562&lt;&gt;""),IF(T562&lt;AsOf,1,0),0)</f>
        <v/>
      </c>
      <c r="AF562" s="79">
        <f>IF(AND(AD562=1,T562&lt;&gt;""),IF(AND(T562&gt;=AsOf,T562&lt;=AsOf+AlertDays),1,0),0)</f>
        <v/>
      </c>
      <c r="AG562" s="79">
        <f>IF(Y562="Order now",1,0)</f>
        <v/>
      </c>
      <c r="AH562" s="79">
        <f>IF(OR(Y562="⚠️ Order late — install at risk",Y562="⚠️ Delivery after install date"),1,0)</f>
        <v/>
      </c>
      <c r="AI562" s="79">
        <f>IF(AND(B562&lt;&gt;"",K562&lt;&gt;"",U562&lt;&gt;"Yes",X562&lt;&gt;"Yes"),1,0)</f>
        <v/>
      </c>
      <c r="AJ562" s="79">
        <f>IF(Y562="⚠️ Order late — install at risk",1,0)</f>
        <v/>
      </c>
    </row>
    <row r="563" ht="20" customHeight="1">
      <c r="B563" s="72" t="n"/>
      <c r="C563" s="72" t="n"/>
      <c r="D563" s="72" t="n"/>
      <c r="E563" s="72" t="n"/>
      <c r="F563" s="73" t="n"/>
      <c r="G563" s="72" t="n"/>
      <c r="H563" s="73" t="n"/>
      <c r="I563" s="72" t="n"/>
      <c r="J563" s="73" t="n"/>
      <c r="K563" s="74" t="n"/>
      <c r="L563" s="75">
        <f>IF(K563="A",F563,IF(K563="B",H563,IF(K563="C",J563,"")))</f>
        <v/>
      </c>
      <c r="M563" s="72" t="n"/>
      <c r="N563" s="72" t="n"/>
      <c r="O563" s="89" t="n"/>
      <c r="P563" s="89" t="n"/>
      <c r="Q563" s="109" t="n"/>
      <c r="R563" s="120">
        <f>IF(B563="","",IF(Q563&lt;&gt;"",Q563,IF(P563="","",IFERROR(INDEX('Timeline'!$J$7:$J$1006,MATCH(P563,'Timeline'!$B$7:$B$1006,0)),""))))</f>
        <v/>
      </c>
      <c r="S563" s="126">
        <f>IF(R563="","",R563-IF(O563="",0,O563)-OrderBuf)</f>
        <v/>
      </c>
      <c r="T563" s="126">
        <f>IF(S563="","",S563-DecideBuf)</f>
        <v/>
      </c>
      <c r="U563" s="74" t="n"/>
      <c r="V563" s="109" t="n"/>
      <c r="W563" s="109" t="n"/>
      <c r="X563" s="74" t="n"/>
      <c r="Y563" s="116">
        <f>IF(B563="","",IF(X563="Yes","Delivered",IF(U563="Yes",IF(AND(W563&lt;&gt;"",R563&lt;&gt;""),IF(W563&gt;R563,"⚠️ Delivery after install date","Ordered"),"Ordered"),IF(K563="",IF(T563="","Waiting for decision",IF(T563&lt;=AsOf+AlertDays,"Decide now","Waiting for decision")),IF(S563="","Selected",IF(AsOf&gt;S563,"⚠️ Order late — install at risk",IF(S563&lt;=AsOf+AlertDays,"Order now","Selected")))))))</f>
        <v/>
      </c>
      <c r="Z563" s="79">
        <f>IF(B563="","",IF(OR(AH563=1,AE563=1),2,IF(OR(AG563=1,AF563=1),1,IF(OR(Y563="Ordered",Y563="Delivered"),0,""))))</f>
        <v/>
      </c>
      <c r="AA563" s="112">
        <f>IF(B563="","",IF(AH563=1,IF(Y563="⚠️ Delivery after install date",R563,S563),IF(AD563=1,T563,IF(AI563=1,S563,""))))</f>
        <v/>
      </c>
      <c r="AB563" s="79">
        <f>IF(AA563="","",IF(AH563=1,1,IF(AA563="","",IF(AA563&lt;AsOf,1,IF(AA563&lt;=AsOf+AlertDays,2,IF(AA563&lt;=AsOf+2*AlertDays,3,""))))))</f>
        <v/>
      </c>
      <c r="AC563" s="79">
        <f>IF(AB563="","",IF(AH563=1,IF(Y563="⚠️ Delivery after install date","Delivery after install date: "&amp;B563,"Order late — install at risk: "&amp;B563),IF(AD563=1,IF(AB563=1,"Decision overdue: ","Decide: ")&amp;B563,"Order: "&amp;B563&amp;IF(N563="",""," from "&amp;N563))))</f>
        <v/>
      </c>
      <c r="AD563" s="79">
        <f>IF(AND(B563&lt;&gt;"",K563="",U563&lt;&gt;"Yes",X563&lt;&gt;"Yes"),1,0)</f>
        <v/>
      </c>
      <c r="AE563" s="79">
        <f>IF(AND(AD563=1,T563&lt;&gt;""),IF(T563&lt;AsOf,1,0),0)</f>
        <v/>
      </c>
      <c r="AF563" s="79">
        <f>IF(AND(AD563=1,T563&lt;&gt;""),IF(AND(T563&gt;=AsOf,T563&lt;=AsOf+AlertDays),1,0),0)</f>
        <v/>
      </c>
      <c r="AG563" s="79">
        <f>IF(Y563="Order now",1,0)</f>
        <v/>
      </c>
      <c r="AH563" s="79">
        <f>IF(OR(Y563="⚠️ Order late — install at risk",Y563="⚠️ Delivery after install date"),1,0)</f>
        <v/>
      </c>
      <c r="AI563" s="79">
        <f>IF(AND(B563&lt;&gt;"",K563&lt;&gt;"",U563&lt;&gt;"Yes",X563&lt;&gt;"Yes"),1,0)</f>
        <v/>
      </c>
      <c r="AJ563" s="79">
        <f>IF(Y563="⚠️ Order late — install at risk",1,0)</f>
        <v/>
      </c>
    </row>
    <row r="564" ht="20" customHeight="1">
      <c r="B564" s="72" t="n"/>
      <c r="C564" s="72" t="n"/>
      <c r="D564" s="72" t="n"/>
      <c r="E564" s="72" t="n"/>
      <c r="F564" s="73" t="n"/>
      <c r="G564" s="72" t="n"/>
      <c r="H564" s="73" t="n"/>
      <c r="I564" s="72" t="n"/>
      <c r="J564" s="73" t="n"/>
      <c r="K564" s="74" t="n"/>
      <c r="L564" s="75">
        <f>IF(K564="A",F564,IF(K564="B",H564,IF(K564="C",J564,"")))</f>
        <v/>
      </c>
      <c r="M564" s="72" t="n"/>
      <c r="N564" s="72" t="n"/>
      <c r="O564" s="89" t="n"/>
      <c r="P564" s="89" t="n"/>
      <c r="Q564" s="109" t="n"/>
      <c r="R564" s="120">
        <f>IF(B564="","",IF(Q564&lt;&gt;"",Q564,IF(P564="","",IFERROR(INDEX('Timeline'!$J$7:$J$1006,MATCH(P564,'Timeline'!$B$7:$B$1006,0)),""))))</f>
        <v/>
      </c>
      <c r="S564" s="126">
        <f>IF(R564="","",R564-IF(O564="",0,O564)-OrderBuf)</f>
        <v/>
      </c>
      <c r="T564" s="126">
        <f>IF(S564="","",S564-DecideBuf)</f>
        <v/>
      </c>
      <c r="U564" s="74" t="n"/>
      <c r="V564" s="109" t="n"/>
      <c r="W564" s="109" t="n"/>
      <c r="X564" s="74" t="n"/>
      <c r="Y564" s="116">
        <f>IF(B564="","",IF(X564="Yes","Delivered",IF(U564="Yes",IF(AND(W564&lt;&gt;"",R564&lt;&gt;""),IF(W564&gt;R564,"⚠️ Delivery after install date","Ordered"),"Ordered"),IF(K564="",IF(T564="","Waiting for decision",IF(T564&lt;=AsOf+AlertDays,"Decide now","Waiting for decision")),IF(S564="","Selected",IF(AsOf&gt;S564,"⚠️ Order late — install at risk",IF(S564&lt;=AsOf+AlertDays,"Order now","Selected")))))))</f>
        <v/>
      </c>
      <c r="Z564" s="79">
        <f>IF(B564="","",IF(OR(AH564=1,AE564=1),2,IF(OR(AG564=1,AF564=1),1,IF(OR(Y564="Ordered",Y564="Delivered"),0,""))))</f>
        <v/>
      </c>
      <c r="AA564" s="112">
        <f>IF(B564="","",IF(AH564=1,IF(Y564="⚠️ Delivery after install date",R564,S564),IF(AD564=1,T564,IF(AI564=1,S564,""))))</f>
        <v/>
      </c>
      <c r="AB564" s="79">
        <f>IF(AA564="","",IF(AH564=1,1,IF(AA564="","",IF(AA564&lt;AsOf,1,IF(AA564&lt;=AsOf+AlertDays,2,IF(AA564&lt;=AsOf+2*AlertDays,3,""))))))</f>
        <v/>
      </c>
      <c r="AC564" s="79">
        <f>IF(AB564="","",IF(AH564=1,IF(Y564="⚠️ Delivery after install date","Delivery after install date: "&amp;B564,"Order late — install at risk: "&amp;B564),IF(AD564=1,IF(AB564=1,"Decision overdue: ","Decide: ")&amp;B564,"Order: "&amp;B564&amp;IF(N564="",""," from "&amp;N564))))</f>
        <v/>
      </c>
      <c r="AD564" s="79">
        <f>IF(AND(B564&lt;&gt;"",K564="",U564&lt;&gt;"Yes",X564&lt;&gt;"Yes"),1,0)</f>
        <v/>
      </c>
      <c r="AE564" s="79">
        <f>IF(AND(AD564=1,T564&lt;&gt;""),IF(T564&lt;AsOf,1,0),0)</f>
        <v/>
      </c>
      <c r="AF564" s="79">
        <f>IF(AND(AD564=1,T564&lt;&gt;""),IF(AND(T564&gt;=AsOf,T564&lt;=AsOf+AlertDays),1,0),0)</f>
        <v/>
      </c>
      <c r="AG564" s="79">
        <f>IF(Y564="Order now",1,0)</f>
        <v/>
      </c>
      <c r="AH564" s="79">
        <f>IF(OR(Y564="⚠️ Order late — install at risk",Y564="⚠️ Delivery after install date"),1,0)</f>
        <v/>
      </c>
      <c r="AI564" s="79">
        <f>IF(AND(B564&lt;&gt;"",K564&lt;&gt;"",U564&lt;&gt;"Yes",X564&lt;&gt;"Yes"),1,0)</f>
        <v/>
      </c>
      <c r="AJ564" s="79">
        <f>IF(Y564="⚠️ Order late — install at risk",1,0)</f>
        <v/>
      </c>
    </row>
    <row r="565" ht="20" customHeight="1">
      <c r="B565" s="72" t="n"/>
      <c r="C565" s="72" t="n"/>
      <c r="D565" s="72" t="n"/>
      <c r="E565" s="72" t="n"/>
      <c r="F565" s="73" t="n"/>
      <c r="G565" s="72" t="n"/>
      <c r="H565" s="73" t="n"/>
      <c r="I565" s="72" t="n"/>
      <c r="J565" s="73" t="n"/>
      <c r="K565" s="74" t="n"/>
      <c r="L565" s="75">
        <f>IF(K565="A",F565,IF(K565="B",H565,IF(K565="C",J565,"")))</f>
        <v/>
      </c>
      <c r="M565" s="72" t="n"/>
      <c r="N565" s="72" t="n"/>
      <c r="O565" s="89" t="n"/>
      <c r="P565" s="89" t="n"/>
      <c r="Q565" s="109" t="n"/>
      <c r="R565" s="120">
        <f>IF(B565="","",IF(Q565&lt;&gt;"",Q565,IF(P565="","",IFERROR(INDEX('Timeline'!$J$7:$J$1006,MATCH(P565,'Timeline'!$B$7:$B$1006,0)),""))))</f>
        <v/>
      </c>
      <c r="S565" s="126">
        <f>IF(R565="","",R565-IF(O565="",0,O565)-OrderBuf)</f>
        <v/>
      </c>
      <c r="T565" s="126">
        <f>IF(S565="","",S565-DecideBuf)</f>
        <v/>
      </c>
      <c r="U565" s="74" t="n"/>
      <c r="V565" s="109" t="n"/>
      <c r="W565" s="109" t="n"/>
      <c r="X565" s="74" t="n"/>
      <c r="Y565" s="116">
        <f>IF(B565="","",IF(X565="Yes","Delivered",IF(U565="Yes",IF(AND(W565&lt;&gt;"",R565&lt;&gt;""),IF(W565&gt;R565,"⚠️ Delivery after install date","Ordered"),"Ordered"),IF(K565="",IF(T565="","Waiting for decision",IF(T565&lt;=AsOf+AlertDays,"Decide now","Waiting for decision")),IF(S565="","Selected",IF(AsOf&gt;S565,"⚠️ Order late — install at risk",IF(S565&lt;=AsOf+AlertDays,"Order now","Selected")))))))</f>
        <v/>
      </c>
      <c r="Z565" s="79">
        <f>IF(B565="","",IF(OR(AH565=1,AE565=1),2,IF(OR(AG565=1,AF565=1),1,IF(OR(Y565="Ordered",Y565="Delivered"),0,""))))</f>
        <v/>
      </c>
      <c r="AA565" s="112">
        <f>IF(B565="","",IF(AH565=1,IF(Y565="⚠️ Delivery after install date",R565,S565),IF(AD565=1,T565,IF(AI565=1,S565,""))))</f>
        <v/>
      </c>
      <c r="AB565" s="79">
        <f>IF(AA565="","",IF(AH565=1,1,IF(AA565="","",IF(AA565&lt;AsOf,1,IF(AA565&lt;=AsOf+AlertDays,2,IF(AA565&lt;=AsOf+2*AlertDays,3,""))))))</f>
        <v/>
      </c>
      <c r="AC565" s="79">
        <f>IF(AB565="","",IF(AH565=1,IF(Y565="⚠️ Delivery after install date","Delivery after install date: "&amp;B565,"Order late — install at risk: "&amp;B565),IF(AD565=1,IF(AB565=1,"Decision overdue: ","Decide: ")&amp;B565,"Order: "&amp;B565&amp;IF(N565="",""," from "&amp;N565))))</f>
        <v/>
      </c>
      <c r="AD565" s="79">
        <f>IF(AND(B565&lt;&gt;"",K565="",U565&lt;&gt;"Yes",X565&lt;&gt;"Yes"),1,0)</f>
        <v/>
      </c>
      <c r="AE565" s="79">
        <f>IF(AND(AD565=1,T565&lt;&gt;""),IF(T565&lt;AsOf,1,0),0)</f>
        <v/>
      </c>
      <c r="AF565" s="79">
        <f>IF(AND(AD565=1,T565&lt;&gt;""),IF(AND(T565&gt;=AsOf,T565&lt;=AsOf+AlertDays),1,0),0)</f>
        <v/>
      </c>
      <c r="AG565" s="79">
        <f>IF(Y565="Order now",1,0)</f>
        <v/>
      </c>
      <c r="AH565" s="79">
        <f>IF(OR(Y565="⚠️ Order late — install at risk",Y565="⚠️ Delivery after install date"),1,0)</f>
        <v/>
      </c>
      <c r="AI565" s="79">
        <f>IF(AND(B565&lt;&gt;"",K565&lt;&gt;"",U565&lt;&gt;"Yes",X565&lt;&gt;"Yes"),1,0)</f>
        <v/>
      </c>
      <c r="AJ565" s="79">
        <f>IF(Y565="⚠️ Order late — install at risk",1,0)</f>
        <v/>
      </c>
    </row>
    <row r="566" ht="20" customHeight="1">
      <c r="B566" s="72" t="n"/>
      <c r="C566" s="72" t="n"/>
      <c r="D566" s="72" t="n"/>
      <c r="E566" s="72" t="n"/>
      <c r="F566" s="73" t="n"/>
      <c r="G566" s="72" t="n"/>
      <c r="H566" s="73" t="n"/>
      <c r="I566" s="72" t="n"/>
      <c r="J566" s="73" t="n"/>
      <c r="K566" s="74" t="n"/>
      <c r="L566" s="75">
        <f>IF(K566="A",F566,IF(K566="B",H566,IF(K566="C",J566,"")))</f>
        <v/>
      </c>
      <c r="M566" s="72" t="n"/>
      <c r="N566" s="72" t="n"/>
      <c r="O566" s="89" t="n"/>
      <c r="P566" s="89" t="n"/>
      <c r="Q566" s="109" t="n"/>
      <c r="R566" s="120">
        <f>IF(B566="","",IF(Q566&lt;&gt;"",Q566,IF(P566="","",IFERROR(INDEX('Timeline'!$J$7:$J$1006,MATCH(P566,'Timeline'!$B$7:$B$1006,0)),""))))</f>
        <v/>
      </c>
      <c r="S566" s="126">
        <f>IF(R566="","",R566-IF(O566="",0,O566)-OrderBuf)</f>
        <v/>
      </c>
      <c r="T566" s="126">
        <f>IF(S566="","",S566-DecideBuf)</f>
        <v/>
      </c>
      <c r="U566" s="74" t="n"/>
      <c r="V566" s="109" t="n"/>
      <c r="W566" s="109" t="n"/>
      <c r="X566" s="74" t="n"/>
      <c r="Y566" s="116">
        <f>IF(B566="","",IF(X566="Yes","Delivered",IF(U566="Yes",IF(AND(W566&lt;&gt;"",R566&lt;&gt;""),IF(W566&gt;R566,"⚠️ Delivery after install date","Ordered"),"Ordered"),IF(K566="",IF(T566="","Waiting for decision",IF(T566&lt;=AsOf+AlertDays,"Decide now","Waiting for decision")),IF(S566="","Selected",IF(AsOf&gt;S566,"⚠️ Order late — install at risk",IF(S566&lt;=AsOf+AlertDays,"Order now","Selected")))))))</f>
        <v/>
      </c>
      <c r="Z566" s="79">
        <f>IF(B566="","",IF(OR(AH566=1,AE566=1),2,IF(OR(AG566=1,AF566=1),1,IF(OR(Y566="Ordered",Y566="Delivered"),0,""))))</f>
        <v/>
      </c>
      <c r="AA566" s="112">
        <f>IF(B566="","",IF(AH566=1,IF(Y566="⚠️ Delivery after install date",R566,S566),IF(AD566=1,T566,IF(AI566=1,S566,""))))</f>
        <v/>
      </c>
      <c r="AB566" s="79">
        <f>IF(AA566="","",IF(AH566=1,1,IF(AA566="","",IF(AA566&lt;AsOf,1,IF(AA566&lt;=AsOf+AlertDays,2,IF(AA566&lt;=AsOf+2*AlertDays,3,""))))))</f>
        <v/>
      </c>
      <c r="AC566" s="79">
        <f>IF(AB566="","",IF(AH566=1,IF(Y566="⚠️ Delivery after install date","Delivery after install date: "&amp;B566,"Order late — install at risk: "&amp;B566),IF(AD566=1,IF(AB566=1,"Decision overdue: ","Decide: ")&amp;B566,"Order: "&amp;B566&amp;IF(N566="",""," from "&amp;N566))))</f>
        <v/>
      </c>
      <c r="AD566" s="79">
        <f>IF(AND(B566&lt;&gt;"",K566="",U566&lt;&gt;"Yes",X566&lt;&gt;"Yes"),1,0)</f>
        <v/>
      </c>
      <c r="AE566" s="79">
        <f>IF(AND(AD566=1,T566&lt;&gt;""),IF(T566&lt;AsOf,1,0),0)</f>
        <v/>
      </c>
      <c r="AF566" s="79">
        <f>IF(AND(AD566=1,T566&lt;&gt;""),IF(AND(T566&gt;=AsOf,T566&lt;=AsOf+AlertDays),1,0),0)</f>
        <v/>
      </c>
      <c r="AG566" s="79">
        <f>IF(Y566="Order now",1,0)</f>
        <v/>
      </c>
      <c r="AH566" s="79">
        <f>IF(OR(Y566="⚠️ Order late — install at risk",Y566="⚠️ Delivery after install date"),1,0)</f>
        <v/>
      </c>
      <c r="AI566" s="79">
        <f>IF(AND(B566&lt;&gt;"",K566&lt;&gt;"",U566&lt;&gt;"Yes",X566&lt;&gt;"Yes"),1,0)</f>
        <v/>
      </c>
      <c r="AJ566" s="79">
        <f>IF(Y566="⚠️ Order late — install at risk",1,0)</f>
        <v/>
      </c>
    </row>
    <row r="567" ht="20" customHeight="1">
      <c r="B567" s="72" t="n"/>
      <c r="C567" s="72" t="n"/>
      <c r="D567" s="72" t="n"/>
      <c r="E567" s="72" t="n"/>
      <c r="F567" s="73" t="n"/>
      <c r="G567" s="72" t="n"/>
      <c r="H567" s="73" t="n"/>
      <c r="I567" s="72" t="n"/>
      <c r="J567" s="73" t="n"/>
      <c r="K567" s="74" t="n"/>
      <c r="L567" s="75">
        <f>IF(K567="A",F567,IF(K567="B",H567,IF(K567="C",J567,"")))</f>
        <v/>
      </c>
      <c r="M567" s="72" t="n"/>
      <c r="N567" s="72" t="n"/>
      <c r="O567" s="89" t="n"/>
      <c r="P567" s="89" t="n"/>
      <c r="Q567" s="109" t="n"/>
      <c r="R567" s="120">
        <f>IF(B567="","",IF(Q567&lt;&gt;"",Q567,IF(P567="","",IFERROR(INDEX('Timeline'!$J$7:$J$1006,MATCH(P567,'Timeline'!$B$7:$B$1006,0)),""))))</f>
        <v/>
      </c>
      <c r="S567" s="126">
        <f>IF(R567="","",R567-IF(O567="",0,O567)-OrderBuf)</f>
        <v/>
      </c>
      <c r="T567" s="126">
        <f>IF(S567="","",S567-DecideBuf)</f>
        <v/>
      </c>
      <c r="U567" s="74" t="n"/>
      <c r="V567" s="109" t="n"/>
      <c r="W567" s="109" t="n"/>
      <c r="X567" s="74" t="n"/>
      <c r="Y567" s="116">
        <f>IF(B567="","",IF(X567="Yes","Delivered",IF(U567="Yes",IF(AND(W567&lt;&gt;"",R567&lt;&gt;""),IF(W567&gt;R567,"⚠️ Delivery after install date","Ordered"),"Ordered"),IF(K567="",IF(T567="","Waiting for decision",IF(T567&lt;=AsOf+AlertDays,"Decide now","Waiting for decision")),IF(S567="","Selected",IF(AsOf&gt;S567,"⚠️ Order late — install at risk",IF(S567&lt;=AsOf+AlertDays,"Order now","Selected")))))))</f>
        <v/>
      </c>
      <c r="Z567" s="79">
        <f>IF(B567="","",IF(OR(AH567=1,AE567=1),2,IF(OR(AG567=1,AF567=1),1,IF(OR(Y567="Ordered",Y567="Delivered"),0,""))))</f>
        <v/>
      </c>
      <c r="AA567" s="112">
        <f>IF(B567="","",IF(AH567=1,IF(Y567="⚠️ Delivery after install date",R567,S567),IF(AD567=1,T567,IF(AI567=1,S567,""))))</f>
        <v/>
      </c>
      <c r="AB567" s="79">
        <f>IF(AA567="","",IF(AH567=1,1,IF(AA567="","",IF(AA567&lt;AsOf,1,IF(AA567&lt;=AsOf+AlertDays,2,IF(AA567&lt;=AsOf+2*AlertDays,3,""))))))</f>
        <v/>
      </c>
      <c r="AC567" s="79">
        <f>IF(AB567="","",IF(AH567=1,IF(Y567="⚠️ Delivery after install date","Delivery after install date: "&amp;B567,"Order late — install at risk: "&amp;B567),IF(AD567=1,IF(AB567=1,"Decision overdue: ","Decide: ")&amp;B567,"Order: "&amp;B567&amp;IF(N567="",""," from "&amp;N567))))</f>
        <v/>
      </c>
      <c r="AD567" s="79">
        <f>IF(AND(B567&lt;&gt;"",K567="",U567&lt;&gt;"Yes",X567&lt;&gt;"Yes"),1,0)</f>
        <v/>
      </c>
      <c r="AE567" s="79">
        <f>IF(AND(AD567=1,T567&lt;&gt;""),IF(T567&lt;AsOf,1,0),0)</f>
        <v/>
      </c>
      <c r="AF567" s="79">
        <f>IF(AND(AD567=1,T567&lt;&gt;""),IF(AND(T567&gt;=AsOf,T567&lt;=AsOf+AlertDays),1,0),0)</f>
        <v/>
      </c>
      <c r="AG567" s="79">
        <f>IF(Y567="Order now",1,0)</f>
        <v/>
      </c>
      <c r="AH567" s="79">
        <f>IF(OR(Y567="⚠️ Order late — install at risk",Y567="⚠️ Delivery after install date"),1,0)</f>
        <v/>
      </c>
      <c r="AI567" s="79">
        <f>IF(AND(B567&lt;&gt;"",K567&lt;&gt;"",U567&lt;&gt;"Yes",X567&lt;&gt;"Yes"),1,0)</f>
        <v/>
      </c>
      <c r="AJ567" s="79">
        <f>IF(Y567="⚠️ Order late — install at risk",1,0)</f>
        <v/>
      </c>
    </row>
    <row r="568" ht="20" customHeight="1">
      <c r="B568" s="72" t="n"/>
      <c r="C568" s="72" t="n"/>
      <c r="D568" s="72" t="n"/>
      <c r="E568" s="72" t="n"/>
      <c r="F568" s="73" t="n"/>
      <c r="G568" s="72" t="n"/>
      <c r="H568" s="73" t="n"/>
      <c r="I568" s="72" t="n"/>
      <c r="J568" s="73" t="n"/>
      <c r="K568" s="74" t="n"/>
      <c r="L568" s="75">
        <f>IF(K568="A",F568,IF(K568="B",H568,IF(K568="C",J568,"")))</f>
        <v/>
      </c>
      <c r="M568" s="72" t="n"/>
      <c r="N568" s="72" t="n"/>
      <c r="O568" s="89" t="n"/>
      <c r="P568" s="89" t="n"/>
      <c r="Q568" s="109" t="n"/>
      <c r="R568" s="120">
        <f>IF(B568="","",IF(Q568&lt;&gt;"",Q568,IF(P568="","",IFERROR(INDEX('Timeline'!$J$7:$J$1006,MATCH(P568,'Timeline'!$B$7:$B$1006,0)),""))))</f>
        <v/>
      </c>
      <c r="S568" s="126">
        <f>IF(R568="","",R568-IF(O568="",0,O568)-OrderBuf)</f>
        <v/>
      </c>
      <c r="T568" s="126">
        <f>IF(S568="","",S568-DecideBuf)</f>
        <v/>
      </c>
      <c r="U568" s="74" t="n"/>
      <c r="V568" s="109" t="n"/>
      <c r="W568" s="109" t="n"/>
      <c r="X568" s="74" t="n"/>
      <c r="Y568" s="116">
        <f>IF(B568="","",IF(X568="Yes","Delivered",IF(U568="Yes",IF(AND(W568&lt;&gt;"",R568&lt;&gt;""),IF(W568&gt;R568,"⚠️ Delivery after install date","Ordered"),"Ordered"),IF(K568="",IF(T568="","Waiting for decision",IF(T568&lt;=AsOf+AlertDays,"Decide now","Waiting for decision")),IF(S568="","Selected",IF(AsOf&gt;S568,"⚠️ Order late — install at risk",IF(S568&lt;=AsOf+AlertDays,"Order now","Selected")))))))</f>
        <v/>
      </c>
      <c r="Z568" s="79">
        <f>IF(B568="","",IF(OR(AH568=1,AE568=1),2,IF(OR(AG568=1,AF568=1),1,IF(OR(Y568="Ordered",Y568="Delivered"),0,""))))</f>
        <v/>
      </c>
      <c r="AA568" s="112">
        <f>IF(B568="","",IF(AH568=1,IF(Y568="⚠️ Delivery after install date",R568,S568),IF(AD568=1,T568,IF(AI568=1,S568,""))))</f>
        <v/>
      </c>
      <c r="AB568" s="79">
        <f>IF(AA568="","",IF(AH568=1,1,IF(AA568="","",IF(AA568&lt;AsOf,1,IF(AA568&lt;=AsOf+AlertDays,2,IF(AA568&lt;=AsOf+2*AlertDays,3,""))))))</f>
        <v/>
      </c>
      <c r="AC568" s="79">
        <f>IF(AB568="","",IF(AH568=1,IF(Y568="⚠️ Delivery after install date","Delivery after install date: "&amp;B568,"Order late — install at risk: "&amp;B568),IF(AD568=1,IF(AB568=1,"Decision overdue: ","Decide: ")&amp;B568,"Order: "&amp;B568&amp;IF(N568="",""," from "&amp;N568))))</f>
        <v/>
      </c>
      <c r="AD568" s="79">
        <f>IF(AND(B568&lt;&gt;"",K568="",U568&lt;&gt;"Yes",X568&lt;&gt;"Yes"),1,0)</f>
        <v/>
      </c>
      <c r="AE568" s="79">
        <f>IF(AND(AD568=1,T568&lt;&gt;""),IF(T568&lt;AsOf,1,0),0)</f>
        <v/>
      </c>
      <c r="AF568" s="79">
        <f>IF(AND(AD568=1,T568&lt;&gt;""),IF(AND(T568&gt;=AsOf,T568&lt;=AsOf+AlertDays),1,0),0)</f>
        <v/>
      </c>
      <c r="AG568" s="79">
        <f>IF(Y568="Order now",1,0)</f>
        <v/>
      </c>
      <c r="AH568" s="79">
        <f>IF(OR(Y568="⚠️ Order late — install at risk",Y568="⚠️ Delivery after install date"),1,0)</f>
        <v/>
      </c>
      <c r="AI568" s="79">
        <f>IF(AND(B568&lt;&gt;"",K568&lt;&gt;"",U568&lt;&gt;"Yes",X568&lt;&gt;"Yes"),1,0)</f>
        <v/>
      </c>
      <c r="AJ568" s="79">
        <f>IF(Y568="⚠️ Order late — install at risk",1,0)</f>
        <v/>
      </c>
    </row>
    <row r="569" ht="20" customHeight="1">
      <c r="B569" s="72" t="n"/>
      <c r="C569" s="72" t="n"/>
      <c r="D569" s="72" t="n"/>
      <c r="E569" s="72" t="n"/>
      <c r="F569" s="73" t="n"/>
      <c r="G569" s="72" t="n"/>
      <c r="H569" s="73" t="n"/>
      <c r="I569" s="72" t="n"/>
      <c r="J569" s="73" t="n"/>
      <c r="K569" s="74" t="n"/>
      <c r="L569" s="75">
        <f>IF(K569="A",F569,IF(K569="B",H569,IF(K569="C",J569,"")))</f>
        <v/>
      </c>
      <c r="M569" s="72" t="n"/>
      <c r="N569" s="72" t="n"/>
      <c r="O569" s="89" t="n"/>
      <c r="P569" s="89" t="n"/>
      <c r="Q569" s="109" t="n"/>
      <c r="R569" s="120">
        <f>IF(B569="","",IF(Q569&lt;&gt;"",Q569,IF(P569="","",IFERROR(INDEX('Timeline'!$J$7:$J$1006,MATCH(P569,'Timeline'!$B$7:$B$1006,0)),""))))</f>
        <v/>
      </c>
      <c r="S569" s="126">
        <f>IF(R569="","",R569-IF(O569="",0,O569)-OrderBuf)</f>
        <v/>
      </c>
      <c r="T569" s="126">
        <f>IF(S569="","",S569-DecideBuf)</f>
        <v/>
      </c>
      <c r="U569" s="74" t="n"/>
      <c r="V569" s="109" t="n"/>
      <c r="W569" s="109" t="n"/>
      <c r="X569" s="74" t="n"/>
      <c r="Y569" s="116">
        <f>IF(B569="","",IF(X569="Yes","Delivered",IF(U569="Yes",IF(AND(W569&lt;&gt;"",R569&lt;&gt;""),IF(W569&gt;R569,"⚠️ Delivery after install date","Ordered"),"Ordered"),IF(K569="",IF(T569="","Waiting for decision",IF(T569&lt;=AsOf+AlertDays,"Decide now","Waiting for decision")),IF(S569="","Selected",IF(AsOf&gt;S569,"⚠️ Order late — install at risk",IF(S569&lt;=AsOf+AlertDays,"Order now","Selected")))))))</f>
        <v/>
      </c>
      <c r="Z569" s="79">
        <f>IF(B569="","",IF(OR(AH569=1,AE569=1),2,IF(OR(AG569=1,AF569=1),1,IF(OR(Y569="Ordered",Y569="Delivered"),0,""))))</f>
        <v/>
      </c>
      <c r="AA569" s="112">
        <f>IF(B569="","",IF(AH569=1,IF(Y569="⚠️ Delivery after install date",R569,S569),IF(AD569=1,T569,IF(AI569=1,S569,""))))</f>
        <v/>
      </c>
      <c r="AB569" s="79">
        <f>IF(AA569="","",IF(AH569=1,1,IF(AA569="","",IF(AA569&lt;AsOf,1,IF(AA569&lt;=AsOf+AlertDays,2,IF(AA569&lt;=AsOf+2*AlertDays,3,""))))))</f>
        <v/>
      </c>
      <c r="AC569" s="79">
        <f>IF(AB569="","",IF(AH569=1,IF(Y569="⚠️ Delivery after install date","Delivery after install date: "&amp;B569,"Order late — install at risk: "&amp;B569),IF(AD569=1,IF(AB569=1,"Decision overdue: ","Decide: ")&amp;B569,"Order: "&amp;B569&amp;IF(N569="",""," from "&amp;N569))))</f>
        <v/>
      </c>
      <c r="AD569" s="79">
        <f>IF(AND(B569&lt;&gt;"",K569="",U569&lt;&gt;"Yes",X569&lt;&gt;"Yes"),1,0)</f>
        <v/>
      </c>
      <c r="AE569" s="79">
        <f>IF(AND(AD569=1,T569&lt;&gt;""),IF(T569&lt;AsOf,1,0),0)</f>
        <v/>
      </c>
      <c r="AF569" s="79">
        <f>IF(AND(AD569=1,T569&lt;&gt;""),IF(AND(T569&gt;=AsOf,T569&lt;=AsOf+AlertDays),1,0),0)</f>
        <v/>
      </c>
      <c r="AG569" s="79">
        <f>IF(Y569="Order now",1,0)</f>
        <v/>
      </c>
      <c r="AH569" s="79">
        <f>IF(OR(Y569="⚠️ Order late — install at risk",Y569="⚠️ Delivery after install date"),1,0)</f>
        <v/>
      </c>
      <c r="AI569" s="79">
        <f>IF(AND(B569&lt;&gt;"",K569&lt;&gt;"",U569&lt;&gt;"Yes",X569&lt;&gt;"Yes"),1,0)</f>
        <v/>
      </c>
      <c r="AJ569" s="79">
        <f>IF(Y569="⚠️ Order late — install at risk",1,0)</f>
        <v/>
      </c>
    </row>
    <row r="570" ht="20" customHeight="1">
      <c r="B570" s="72" t="n"/>
      <c r="C570" s="72" t="n"/>
      <c r="D570" s="72" t="n"/>
      <c r="E570" s="72" t="n"/>
      <c r="F570" s="73" t="n"/>
      <c r="G570" s="72" t="n"/>
      <c r="H570" s="73" t="n"/>
      <c r="I570" s="72" t="n"/>
      <c r="J570" s="73" t="n"/>
      <c r="K570" s="74" t="n"/>
      <c r="L570" s="75">
        <f>IF(K570="A",F570,IF(K570="B",H570,IF(K570="C",J570,"")))</f>
        <v/>
      </c>
      <c r="M570" s="72" t="n"/>
      <c r="N570" s="72" t="n"/>
      <c r="O570" s="89" t="n"/>
      <c r="P570" s="89" t="n"/>
      <c r="Q570" s="109" t="n"/>
      <c r="R570" s="120">
        <f>IF(B570="","",IF(Q570&lt;&gt;"",Q570,IF(P570="","",IFERROR(INDEX('Timeline'!$J$7:$J$1006,MATCH(P570,'Timeline'!$B$7:$B$1006,0)),""))))</f>
        <v/>
      </c>
      <c r="S570" s="126">
        <f>IF(R570="","",R570-IF(O570="",0,O570)-OrderBuf)</f>
        <v/>
      </c>
      <c r="T570" s="126">
        <f>IF(S570="","",S570-DecideBuf)</f>
        <v/>
      </c>
      <c r="U570" s="74" t="n"/>
      <c r="V570" s="109" t="n"/>
      <c r="W570" s="109" t="n"/>
      <c r="X570" s="74" t="n"/>
      <c r="Y570" s="116">
        <f>IF(B570="","",IF(X570="Yes","Delivered",IF(U570="Yes",IF(AND(W570&lt;&gt;"",R570&lt;&gt;""),IF(W570&gt;R570,"⚠️ Delivery after install date","Ordered"),"Ordered"),IF(K570="",IF(T570="","Waiting for decision",IF(T570&lt;=AsOf+AlertDays,"Decide now","Waiting for decision")),IF(S570="","Selected",IF(AsOf&gt;S570,"⚠️ Order late — install at risk",IF(S570&lt;=AsOf+AlertDays,"Order now","Selected")))))))</f>
        <v/>
      </c>
      <c r="Z570" s="79">
        <f>IF(B570="","",IF(OR(AH570=1,AE570=1),2,IF(OR(AG570=1,AF570=1),1,IF(OR(Y570="Ordered",Y570="Delivered"),0,""))))</f>
        <v/>
      </c>
      <c r="AA570" s="112">
        <f>IF(B570="","",IF(AH570=1,IF(Y570="⚠️ Delivery after install date",R570,S570),IF(AD570=1,T570,IF(AI570=1,S570,""))))</f>
        <v/>
      </c>
      <c r="AB570" s="79">
        <f>IF(AA570="","",IF(AH570=1,1,IF(AA570="","",IF(AA570&lt;AsOf,1,IF(AA570&lt;=AsOf+AlertDays,2,IF(AA570&lt;=AsOf+2*AlertDays,3,""))))))</f>
        <v/>
      </c>
      <c r="AC570" s="79">
        <f>IF(AB570="","",IF(AH570=1,IF(Y570="⚠️ Delivery after install date","Delivery after install date: "&amp;B570,"Order late — install at risk: "&amp;B570),IF(AD570=1,IF(AB570=1,"Decision overdue: ","Decide: ")&amp;B570,"Order: "&amp;B570&amp;IF(N570="",""," from "&amp;N570))))</f>
        <v/>
      </c>
      <c r="AD570" s="79">
        <f>IF(AND(B570&lt;&gt;"",K570="",U570&lt;&gt;"Yes",X570&lt;&gt;"Yes"),1,0)</f>
        <v/>
      </c>
      <c r="AE570" s="79">
        <f>IF(AND(AD570=1,T570&lt;&gt;""),IF(T570&lt;AsOf,1,0),0)</f>
        <v/>
      </c>
      <c r="AF570" s="79">
        <f>IF(AND(AD570=1,T570&lt;&gt;""),IF(AND(T570&gt;=AsOf,T570&lt;=AsOf+AlertDays),1,0),0)</f>
        <v/>
      </c>
      <c r="AG570" s="79">
        <f>IF(Y570="Order now",1,0)</f>
        <v/>
      </c>
      <c r="AH570" s="79">
        <f>IF(OR(Y570="⚠️ Order late — install at risk",Y570="⚠️ Delivery after install date"),1,0)</f>
        <v/>
      </c>
      <c r="AI570" s="79">
        <f>IF(AND(B570&lt;&gt;"",K570&lt;&gt;"",U570&lt;&gt;"Yes",X570&lt;&gt;"Yes"),1,0)</f>
        <v/>
      </c>
      <c r="AJ570" s="79">
        <f>IF(Y570="⚠️ Order late — install at risk",1,0)</f>
        <v/>
      </c>
    </row>
    <row r="571" ht="20" customHeight="1">
      <c r="B571" s="72" t="n"/>
      <c r="C571" s="72" t="n"/>
      <c r="D571" s="72" t="n"/>
      <c r="E571" s="72" t="n"/>
      <c r="F571" s="73" t="n"/>
      <c r="G571" s="72" t="n"/>
      <c r="H571" s="73" t="n"/>
      <c r="I571" s="72" t="n"/>
      <c r="J571" s="73" t="n"/>
      <c r="K571" s="74" t="n"/>
      <c r="L571" s="75">
        <f>IF(K571="A",F571,IF(K571="B",H571,IF(K571="C",J571,"")))</f>
        <v/>
      </c>
      <c r="M571" s="72" t="n"/>
      <c r="N571" s="72" t="n"/>
      <c r="O571" s="89" t="n"/>
      <c r="P571" s="89" t="n"/>
      <c r="Q571" s="109" t="n"/>
      <c r="R571" s="120">
        <f>IF(B571="","",IF(Q571&lt;&gt;"",Q571,IF(P571="","",IFERROR(INDEX('Timeline'!$J$7:$J$1006,MATCH(P571,'Timeline'!$B$7:$B$1006,0)),""))))</f>
        <v/>
      </c>
      <c r="S571" s="126">
        <f>IF(R571="","",R571-IF(O571="",0,O571)-OrderBuf)</f>
        <v/>
      </c>
      <c r="T571" s="126">
        <f>IF(S571="","",S571-DecideBuf)</f>
        <v/>
      </c>
      <c r="U571" s="74" t="n"/>
      <c r="V571" s="109" t="n"/>
      <c r="W571" s="109" t="n"/>
      <c r="X571" s="74" t="n"/>
      <c r="Y571" s="116">
        <f>IF(B571="","",IF(X571="Yes","Delivered",IF(U571="Yes",IF(AND(W571&lt;&gt;"",R571&lt;&gt;""),IF(W571&gt;R571,"⚠️ Delivery after install date","Ordered"),"Ordered"),IF(K571="",IF(T571="","Waiting for decision",IF(T571&lt;=AsOf+AlertDays,"Decide now","Waiting for decision")),IF(S571="","Selected",IF(AsOf&gt;S571,"⚠️ Order late — install at risk",IF(S571&lt;=AsOf+AlertDays,"Order now","Selected")))))))</f>
        <v/>
      </c>
      <c r="Z571" s="79">
        <f>IF(B571="","",IF(OR(AH571=1,AE571=1),2,IF(OR(AG571=1,AF571=1),1,IF(OR(Y571="Ordered",Y571="Delivered"),0,""))))</f>
        <v/>
      </c>
      <c r="AA571" s="112">
        <f>IF(B571="","",IF(AH571=1,IF(Y571="⚠️ Delivery after install date",R571,S571),IF(AD571=1,T571,IF(AI571=1,S571,""))))</f>
        <v/>
      </c>
      <c r="AB571" s="79">
        <f>IF(AA571="","",IF(AH571=1,1,IF(AA571="","",IF(AA571&lt;AsOf,1,IF(AA571&lt;=AsOf+AlertDays,2,IF(AA571&lt;=AsOf+2*AlertDays,3,""))))))</f>
        <v/>
      </c>
      <c r="AC571" s="79">
        <f>IF(AB571="","",IF(AH571=1,IF(Y571="⚠️ Delivery after install date","Delivery after install date: "&amp;B571,"Order late — install at risk: "&amp;B571),IF(AD571=1,IF(AB571=1,"Decision overdue: ","Decide: ")&amp;B571,"Order: "&amp;B571&amp;IF(N571="",""," from "&amp;N571))))</f>
        <v/>
      </c>
      <c r="AD571" s="79">
        <f>IF(AND(B571&lt;&gt;"",K571="",U571&lt;&gt;"Yes",X571&lt;&gt;"Yes"),1,0)</f>
        <v/>
      </c>
      <c r="AE571" s="79">
        <f>IF(AND(AD571=1,T571&lt;&gt;""),IF(T571&lt;AsOf,1,0),0)</f>
        <v/>
      </c>
      <c r="AF571" s="79">
        <f>IF(AND(AD571=1,T571&lt;&gt;""),IF(AND(T571&gt;=AsOf,T571&lt;=AsOf+AlertDays),1,0),0)</f>
        <v/>
      </c>
      <c r="AG571" s="79">
        <f>IF(Y571="Order now",1,0)</f>
        <v/>
      </c>
      <c r="AH571" s="79">
        <f>IF(OR(Y571="⚠️ Order late — install at risk",Y571="⚠️ Delivery after install date"),1,0)</f>
        <v/>
      </c>
      <c r="AI571" s="79">
        <f>IF(AND(B571&lt;&gt;"",K571&lt;&gt;"",U571&lt;&gt;"Yes",X571&lt;&gt;"Yes"),1,0)</f>
        <v/>
      </c>
      <c r="AJ571" s="79">
        <f>IF(Y571="⚠️ Order late — install at risk",1,0)</f>
        <v/>
      </c>
    </row>
    <row r="572" ht="20" customHeight="1">
      <c r="B572" s="72" t="n"/>
      <c r="C572" s="72" t="n"/>
      <c r="D572" s="72" t="n"/>
      <c r="E572" s="72" t="n"/>
      <c r="F572" s="73" t="n"/>
      <c r="G572" s="72" t="n"/>
      <c r="H572" s="73" t="n"/>
      <c r="I572" s="72" t="n"/>
      <c r="J572" s="73" t="n"/>
      <c r="K572" s="74" t="n"/>
      <c r="L572" s="75">
        <f>IF(K572="A",F572,IF(K572="B",H572,IF(K572="C",J572,"")))</f>
        <v/>
      </c>
      <c r="M572" s="72" t="n"/>
      <c r="N572" s="72" t="n"/>
      <c r="O572" s="89" t="n"/>
      <c r="P572" s="89" t="n"/>
      <c r="Q572" s="109" t="n"/>
      <c r="R572" s="120">
        <f>IF(B572="","",IF(Q572&lt;&gt;"",Q572,IF(P572="","",IFERROR(INDEX('Timeline'!$J$7:$J$1006,MATCH(P572,'Timeline'!$B$7:$B$1006,0)),""))))</f>
        <v/>
      </c>
      <c r="S572" s="126">
        <f>IF(R572="","",R572-IF(O572="",0,O572)-OrderBuf)</f>
        <v/>
      </c>
      <c r="T572" s="126">
        <f>IF(S572="","",S572-DecideBuf)</f>
        <v/>
      </c>
      <c r="U572" s="74" t="n"/>
      <c r="V572" s="109" t="n"/>
      <c r="W572" s="109" t="n"/>
      <c r="X572" s="74" t="n"/>
      <c r="Y572" s="116">
        <f>IF(B572="","",IF(X572="Yes","Delivered",IF(U572="Yes",IF(AND(W572&lt;&gt;"",R572&lt;&gt;""),IF(W572&gt;R572,"⚠️ Delivery after install date","Ordered"),"Ordered"),IF(K572="",IF(T572="","Waiting for decision",IF(T572&lt;=AsOf+AlertDays,"Decide now","Waiting for decision")),IF(S572="","Selected",IF(AsOf&gt;S572,"⚠️ Order late — install at risk",IF(S572&lt;=AsOf+AlertDays,"Order now","Selected")))))))</f>
        <v/>
      </c>
      <c r="Z572" s="79">
        <f>IF(B572="","",IF(OR(AH572=1,AE572=1),2,IF(OR(AG572=1,AF572=1),1,IF(OR(Y572="Ordered",Y572="Delivered"),0,""))))</f>
        <v/>
      </c>
      <c r="AA572" s="112">
        <f>IF(B572="","",IF(AH572=1,IF(Y572="⚠️ Delivery after install date",R572,S572),IF(AD572=1,T572,IF(AI572=1,S572,""))))</f>
        <v/>
      </c>
      <c r="AB572" s="79">
        <f>IF(AA572="","",IF(AH572=1,1,IF(AA572="","",IF(AA572&lt;AsOf,1,IF(AA572&lt;=AsOf+AlertDays,2,IF(AA572&lt;=AsOf+2*AlertDays,3,""))))))</f>
        <v/>
      </c>
      <c r="AC572" s="79">
        <f>IF(AB572="","",IF(AH572=1,IF(Y572="⚠️ Delivery after install date","Delivery after install date: "&amp;B572,"Order late — install at risk: "&amp;B572),IF(AD572=1,IF(AB572=1,"Decision overdue: ","Decide: ")&amp;B572,"Order: "&amp;B572&amp;IF(N572="",""," from "&amp;N572))))</f>
        <v/>
      </c>
      <c r="AD572" s="79">
        <f>IF(AND(B572&lt;&gt;"",K572="",U572&lt;&gt;"Yes",X572&lt;&gt;"Yes"),1,0)</f>
        <v/>
      </c>
      <c r="AE572" s="79">
        <f>IF(AND(AD572=1,T572&lt;&gt;""),IF(T572&lt;AsOf,1,0),0)</f>
        <v/>
      </c>
      <c r="AF572" s="79">
        <f>IF(AND(AD572=1,T572&lt;&gt;""),IF(AND(T572&gt;=AsOf,T572&lt;=AsOf+AlertDays),1,0),0)</f>
        <v/>
      </c>
      <c r="AG572" s="79">
        <f>IF(Y572="Order now",1,0)</f>
        <v/>
      </c>
      <c r="AH572" s="79">
        <f>IF(OR(Y572="⚠️ Order late — install at risk",Y572="⚠️ Delivery after install date"),1,0)</f>
        <v/>
      </c>
      <c r="AI572" s="79">
        <f>IF(AND(B572&lt;&gt;"",K572&lt;&gt;"",U572&lt;&gt;"Yes",X572&lt;&gt;"Yes"),1,0)</f>
        <v/>
      </c>
      <c r="AJ572" s="79">
        <f>IF(Y572="⚠️ Order late — install at risk",1,0)</f>
        <v/>
      </c>
    </row>
    <row r="573" ht="20" customHeight="1">
      <c r="B573" s="72" t="n"/>
      <c r="C573" s="72" t="n"/>
      <c r="D573" s="72" t="n"/>
      <c r="E573" s="72" t="n"/>
      <c r="F573" s="73" t="n"/>
      <c r="G573" s="72" t="n"/>
      <c r="H573" s="73" t="n"/>
      <c r="I573" s="72" t="n"/>
      <c r="J573" s="73" t="n"/>
      <c r="K573" s="74" t="n"/>
      <c r="L573" s="75">
        <f>IF(K573="A",F573,IF(K573="B",H573,IF(K573="C",J573,"")))</f>
        <v/>
      </c>
      <c r="M573" s="72" t="n"/>
      <c r="N573" s="72" t="n"/>
      <c r="O573" s="89" t="n"/>
      <c r="P573" s="89" t="n"/>
      <c r="Q573" s="109" t="n"/>
      <c r="R573" s="120">
        <f>IF(B573="","",IF(Q573&lt;&gt;"",Q573,IF(P573="","",IFERROR(INDEX('Timeline'!$J$7:$J$1006,MATCH(P573,'Timeline'!$B$7:$B$1006,0)),""))))</f>
        <v/>
      </c>
      <c r="S573" s="126">
        <f>IF(R573="","",R573-IF(O573="",0,O573)-OrderBuf)</f>
        <v/>
      </c>
      <c r="T573" s="126">
        <f>IF(S573="","",S573-DecideBuf)</f>
        <v/>
      </c>
      <c r="U573" s="74" t="n"/>
      <c r="V573" s="109" t="n"/>
      <c r="W573" s="109" t="n"/>
      <c r="X573" s="74" t="n"/>
      <c r="Y573" s="116">
        <f>IF(B573="","",IF(X573="Yes","Delivered",IF(U573="Yes",IF(AND(W573&lt;&gt;"",R573&lt;&gt;""),IF(W573&gt;R573,"⚠️ Delivery after install date","Ordered"),"Ordered"),IF(K573="",IF(T573="","Waiting for decision",IF(T573&lt;=AsOf+AlertDays,"Decide now","Waiting for decision")),IF(S573="","Selected",IF(AsOf&gt;S573,"⚠️ Order late — install at risk",IF(S573&lt;=AsOf+AlertDays,"Order now","Selected")))))))</f>
        <v/>
      </c>
      <c r="Z573" s="79">
        <f>IF(B573="","",IF(OR(AH573=1,AE573=1),2,IF(OR(AG573=1,AF573=1),1,IF(OR(Y573="Ordered",Y573="Delivered"),0,""))))</f>
        <v/>
      </c>
      <c r="AA573" s="112">
        <f>IF(B573="","",IF(AH573=1,IF(Y573="⚠️ Delivery after install date",R573,S573),IF(AD573=1,T573,IF(AI573=1,S573,""))))</f>
        <v/>
      </c>
      <c r="AB573" s="79">
        <f>IF(AA573="","",IF(AH573=1,1,IF(AA573="","",IF(AA573&lt;AsOf,1,IF(AA573&lt;=AsOf+AlertDays,2,IF(AA573&lt;=AsOf+2*AlertDays,3,""))))))</f>
        <v/>
      </c>
      <c r="AC573" s="79">
        <f>IF(AB573="","",IF(AH573=1,IF(Y573="⚠️ Delivery after install date","Delivery after install date: "&amp;B573,"Order late — install at risk: "&amp;B573),IF(AD573=1,IF(AB573=1,"Decision overdue: ","Decide: ")&amp;B573,"Order: "&amp;B573&amp;IF(N573="",""," from "&amp;N573))))</f>
        <v/>
      </c>
      <c r="AD573" s="79">
        <f>IF(AND(B573&lt;&gt;"",K573="",U573&lt;&gt;"Yes",X573&lt;&gt;"Yes"),1,0)</f>
        <v/>
      </c>
      <c r="AE573" s="79">
        <f>IF(AND(AD573=1,T573&lt;&gt;""),IF(T573&lt;AsOf,1,0),0)</f>
        <v/>
      </c>
      <c r="AF573" s="79">
        <f>IF(AND(AD573=1,T573&lt;&gt;""),IF(AND(T573&gt;=AsOf,T573&lt;=AsOf+AlertDays),1,0),0)</f>
        <v/>
      </c>
      <c r="AG573" s="79">
        <f>IF(Y573="Order now",1,0)</f>
        <v/>
      </c>
      <c r="AH573" s="79">
        <f>IF(OR(Y573="⚠️ Order late — install at risk",Y573="⚠️ Delivery after install date"),1,0)</f>
        <v/>
      </c>
      <c r="AI573" s="79">
        <f>IF(AND(B573&lt;&gt;"",K573&lt;&gt;"",U573&lt;&gt;"Yes",X573&lt;&gt;"Yes"),1,0)</f>
        <v/>
      </c>
      <c r="AJ573" s="79">
        <f>IF(Y573="⚠️ Order late — install at risk",1,0)</f>
        <v/>
      </c>
    </row>
    <row r="574" ht="20" customHeight="1">
      <c r="B574" s="72" t="n"/>
      <c r="C574" s="72" t="n"/>
      <c r="D574" s="72" t="n"/>
      <c r="E574" s="72" t="n"/>
      <c r="F574" s="73" t="n"/>
      <c r="G574" s="72" t="n"/>
      <c r="H574" s="73" t="n"/>
      <c r="I574" s="72" t="n"/>
      <c r="J574" s="73" t="n"/>
      <c r="K574" s="74" t="n"/>
      <c r="L574" s="75">
        <f>IF(K574="A",F574,IF(K574="B",H574,IF(K574="C",J574,"")))</f>
        <v/>
      </c>
      <c r="M574" s="72" t="n"/>
      <c r="N574" s="72" t="n"/>
      <c r="O574" s="89" t="n"/>
      <c r="P574" s="89" t="n"/>
      <c r="Q574" s="109" t="n"/>
      <c r="R574" s="120">
        <f>IF(B574="","",IF(Q574&lt;&gt;"",Q574,IF(P574="","",IFERROR(INDEX('Timeline'!$J$7:$J$1006,MATCH(P574,'Timeline'!$B$7:$B$1006,0)),""))))</f>
        <v/>
      </c>
      <c r="S574" s="126">
        <f>IF(R574="","",R574-IF(O574="",0,O574)-OrderBuf)</f>
        <v/>
      </c>
      <c r="T574" s="126">
        <f>IF(S574="","",S574-DecideBuf)</f>
        <v/>
      </c>
      <c r="U574" s="74" t="n"/>
      <c r="V574" s="109" t="n"/>
      <c r="W574" s="109" t="n"/>
      <c r="X574" s="74" t="n"/>
      <c r="Y574" s="116">
        <f>IF(B574="","",IF(X574="Yes","Delivered",IF(U574="Yes",IF(AND(W574&lt;&gt;"",R574&lt;&gt;""),IF(W574&gt;R574,"⚠️ Delivery after install date","Ordered"),"Ordered"),IF(K574="",IF(T574="","Waiting for decision",IF(T574&lt;=AsOf+AlertDays,"Decide now","Waiting for decision")),IF(S574="","Selected",IF(AsOf&gt;S574,"⚠️ Order late — install at risk",IF(S574&lt;=AsOf+AlertDays,"Order now","Selected")))))))</f>
        <v/>
      </c>
      <c r="Z574" s="79">
        <f>IF(B574="","",IF(OR(AH574=1,AE574=1),2,IF(OR(AG574=1,AF574=1),1,IF(OR(Y574="Ordered",Y574="Delivered"),0,""))))</f>
        <v/>
      </c>
      <c r="AA574" s="112">
        <f>IF(B574="","",IF(AH574=1,IF(Y574="⚠️ Delivery after install date",R574,S574),IF(AD574=1,T574,IF(AI574=1,S574,""))))</f>
        <v/>
      </c>
      <c r="AB574" s="79">
        <f>IF(AA574="","",IF(AH574=1,1,IF(AA574="","",IF(AA574&lt;AsOf,1,IF(AA574&lt;=AsOf+AlertDays,2,IF(AA574&lt;=AsOf+2*AlertDays,3,""))))))</f>
        <v/>
      </c>
      <c r="AC574" s="79">
        <f>IF(AB574="","",IF(AH574=1,IF(Y574="⚠️ Delivery after install date","Delivery after install date: "&amp;B574,"Order late — install at risk: "&amp;B574),IF(AD574=1,IF(AB574=1,"Decision overdue: ","Decide: ")&amp;B574,"Order: "&amp;B574&amp;IF(N574="",""," from "&amp;N574))))</f>
        <v/>
      </c>
      <c r="AD574" s="79">
        <f>IF(AND(B574&lt;&gt;"",K574="",U574&lt;&gt;"Yes",X574&lt;&gt;"Yes"),1,0)</f>
        <v/>
      </c>
      <c r="AE574" s="79">
        <f>IF(AND(AD574=1,T574&lt;&gt;""),IF(T574&lt;AsOf,1,0),0)</f>
        <v/>
      </c>
      <c r="AF574" s="79">
        <f>IF(AND(AD574=1,T574&lt;&gt;""),IF(AND(T574&gt;=AsOf,T574&lt;=AsOf+AlertDays),1,0),0)</f>
        <v/>
      </c>
      <c r="AG574" s="79">
        <f>IF(Y574="Order now",1,0)</f>
        <v/>
      </c>
      <c r="AH574" s="79">
        <f>IF(OR(Y574="⚠️ Order late — install at risk",Y574="⚠️ Delivery after install date"),1,0)</f>
        <v/>
      </c>
      <c r="AI574" s="79">
        <f>IF(AND(B574&lt;&gt;"",K574&lt;&gt;"",U574&lt;&gt;"Yes",X574&lt;&gt;"Yes"),1,0)</f>
        <v/>
      </c>
      <c r="AJ574" s="79">
        <f>IF(Y574="⚠️ Order late — install at risk",1,0)</f>
        <v/>
      </c>
    </row>
    <row r="575" ht="20" customHeight="1">
      <c r="B575" s="72" t="n"/>
      <c r="C575" s="72" t="n"/>
      <c r="D575" s="72" t="n"/>
      <c r="E575" s="72" t="n"/>
      <c r="F575" s="73" t="n"/>
      <c r="G575" s="72" t="n"/>
      <c r="H575" s="73" t="n"/>
      <c r="I575" s="72" t="n"/>
      <c r="J575" s="73" t="n"/>
      <c r="K575" s="74" t="n"/>
      <c r="L575" s="75">
        <f>IF(K575="A",F575,IF(K575="B",H575,IF(K575="C",J575,"")))</f>
        <v/>
      </c>
      <c r="M575" s="72" t="n"/>
      <c r="N575" s="72" t="n"/>
      <c r="O575" s="89" t="n"/>
      <c r="P575" s="89" t="n"/>
      <c r="Q575" s="109" t="n"/>
      <c r="R575" s="120">
        <f>IF(B575="","",IF(Q575&lt;&gt;"",Q575,IF(P575="","",IFERROR(INDEX('Timeline'!$J$7:$J$1006,MATCH(P575,'Timeline'!$B$7:$B$1006,0)),""))))</f>
        <v/>
      </c>
      <c r="S575" s="126">
        <f>IF(R575="","",R575-IF(O575="",0,O575)-OrderBuf)</f>
        <v/>
      </c>
      <c r="T575" s="126">
        <f>IF(S575="","",S575-DecideBuf)</f>
        <v/>
      </c>
      <c r="U575" s="74" t="n"/>
      <c r="V575" s="109" t="n"/>
      <c r="W575" s="109" t="n"/>
      <c r="X575" s="74" t="n"/>
      <c r="Y575" s="116">
        <f>IF(B575="","",IF(X575="Yes","Delivered",IF(U575="Yes",IF(AND(W575&lt;&gt;"",R575&lt;&gt;""),IF(W575&gt;R575,"⚠️ Delivery after install date","Ordered"),"Ordered"),IF(K575="",IF(T575="","Waiting for decision",IF(T575&lt;=AsOf+AlertDays,"Decide now","Waiting for decision")),IF(S575="","Selected",IF(AsOf&gt;S575,"⚠️ Order late — install at risk",IF(S575&lt;=AsOf+AlertDays,"Order now","Selected")))))))</f>
        <v/>
      </c>
      <c r="Z575" s="79">
        <f>IF(B575="","",IF(OR(AH575=1,AE575=1),2,IF(OR(AG575=1,AF575=1),1,IF(OR(Y575="Ordered",Y575="Delivered"),0,""))))</f>
        <v/>
      </c>
      <c r="AA575" s="112">
        <f>IF(B575="","",IF(AH575=1,IF(Y575="⚠️ Delivery after install date",R575,S575),IF(AD575=1,T575,IF(AI575=1,S575,""))))</f>
        <v/>
      </c>
      <c r="AB575" s="79">
        <f>IF(AA575="","",IF(AH575=1,1,IF(AA575="","",IF(AA575&lt;AsOf,1,IF(AA575&lt;=AsOf+AlertDays,2,IF(AA575&lt;=AsOf+2*AlertDays,3,""))))))</f>
        <v/>
      </c>
      <c r="AC575" s="79">
        <f>IF(AB575="","",IF(AH575=1,IF(Y575="⚠️ Delivery after install date","Delivery after install date: "&amp;B575,"Order late — install at risk: "&amp;B575),IF(AD575=1,IF(AB575=1,"Decision overdue: ","Decide: ")&amp;B575,"Order: "&amp;B575&amp;IF(N575="",""," from "&amp;N575))))</f>
        <v/>
      </c>
      <c r="AD575" s="79">
        <f>IF(AND(B575&lt;&gt;"",K575="",U575&lt;&gt;"Yes",X575&lt;&gt;"Yes"),1,0)</f>
        <v/>
      </c>
      <c r="AE575" s="79">
        <f>IF(AND(AD575=1,T575&lt;&gt;""),IF(T575&lt;AsOf,1,0),0)</f>
        <v/>
      </c>
      <c r="AF575" s="79">
        <f>IF(AND(AD575=1,T575&lt;&gt;""),IF(AND(T575&gt;=AsOf,T575&lt;=AsOf+AlertDays),1,0),0)</f>
        <v/>
      </c>
      <c r="AG575" s="79">
        <f>IF(Y575="Order now",1,0)</f>
        <v/>
      </c>
      <c r="AH575" s="79">
        <f>IF(OR(Y575="⚠️ Order late — install at risk",Y575="⚠️ Delivery after install date"),1,0)</f>
        <v/>
      </c>
      <c r="AI575" s="79">
        <f>IF(AND(B575&lt;&gt;"",K575&lt;&gt;"",U575&lt;&gt;"Yes",X575&lt;&gt;"Yes"),1,0)</f>
        <v/>
      </c>
      <c r="AJ575" s="79">
        <f>IF(Y575="⚠️ Order late — install at risk",1,0)</f>
        <v/>
      </c>
    </row>
    <row r="576" ht="20" customHeight="1">
      <c r="B576" s="72" t="n"/>
      <c r="C576" s="72" t="n"/>
      <c r="D576" s="72" t="n"/>
      <c r="E576" s="72" t="n"/>
      <c r="F576" s="73" t="n"/>
      <c r="G576" s="72" t="n"/>
      <c r="H576" s="73" t="n"/>
      <c r="I576" s="72" t="n"/>
      <c r="J576" s="73" t="n"/>
      <c r="K576" s="74" t="n"/>
      <c r="L576" s="75">
        <f>IF(K576="A",F576,IF(K576="B",H576,IF(K576="C",J576,"")))</f>
        <v/>
      </c>
      <c r="M576" s="72" t="n"/>
      <c r="N576" s="72" t="n"/>
      <c r="O576" s="89" t="n"/>
      <c r="P576" s="89" t="n"/>
      <c r="Q576" s="109" t="n"/>
      <c r="R576" s="120">
        <f>IF(B576="","",IF(Q576&lt;&gt;"",Q576,IF(P576="","",IFERROR(INDEX('Timeline'!$J$7:$J$1006,MATCH(P576,'Timeline'!$B$7:$B$1006,0)),""))))</f>
        <v/>
      </c>
      <c r="S576" s="126">
        <f>IF(R576="","",R576-IF(O576="",0,O576)-OrderBuf)</f>
        <v/>
      </c>
      <c r="T576" s="126">
        <f>IF(S576="","",S576-DecideBuf)</f>
        <v/>
      </c>
      <c r="U576" s="74" t="n"/>
      <c r="V576" s="109" t="n"/>
      <c r="W576" s="109" t="n"/>
      <c r="X576" s="74" t="n"/>
      <c r="Y576" s="116">
        <f>IF(B576="","",IF(X576="Yes","Delivered",IF(U576="Yes",IF(AND(W576&lt;&gt;"",R576&lt;&gt;""),IF(W576&gt;R576,"⚠️ Delivery after install date","Ordered"),"Ordered"),IF(K576="",IF(T576="","Waiting for decision",IF(T576&lt;=AsOf+AlertDays,"Decide now","Waiting for decision")),IF(S576="","Selected",IF(AsOf&gt;S576,"⚠️ Order late — install at risk",IF(S576&lt;=AsOf+AlertDays,"Order now","Selected")))))))</f>
        <v/>
      </c>
      <c r="Z576" s="79">
        <f>IF(B576="","",IF(OR(AH576=1,AE576=1),2,IF(OR(AG576=1,AF576=1),1,IF(OR(Y576="Ordered",Y576="Delivered"),0,""))))</f>
        <v/>
      </c>
      <c r="AA576" s="112">
        <f>IF(B576="","",IF(AH576=1,IF(Y576="⚠️ Delivery after install date",R576,S576),IF(AD576=1,T576,IF(AI576=1,S576,""))))</f>
        <v/>
      </c>
      <c r="AB576" s="79">
        <f>IF(AA576="","",IF(AH576=1,1,IF(AA576="","",IF(AA576&lt;AsOf,1,IF(AA576&lt;=AsOf+AlertDays,2,IF(AA576&lt;=AsOf+2*AlertDays,3,""))))))</f>
        <v/>
      </c>
      <c r="AC576" s="79">
        <f>IF(AB576="","",IF(AH576=1,IF(Y576="⚠️ Delivery after install date","Delivery after install date: "&amp;B576,"Order late — install at risk: "&amp;B576),IF(AD576=1,IF(AB576=1,"Decision overdue: ","Decide: ")&amp;B576,"Order: "&amp;B576&amp;IF(N576="",""," from "&amp;N576))))</f>
        <v/>
      </c>
      <c r="AD576" s="79">
        <f>IF(AND(B576&lt;&gt;"",K576="",U576&lt;&gt;"Yes",X576&lt;&gt;"Yes"),1,0)</f>
        <v/>
      </c>
      <c r="AE576" s="79">
        <f>IF(AND(AD576=1,T576&lt;&gt;""),IF(T576&lt;AsOf,1,0),0)</f>
        <v/>
      </c>
      <c r="AF576" s="79">
        <f>IF(AND(AD576=1,T576&lt;&gt;""),IF(AND(T576&gt;=AsOf,T576&lt;=AsOf+AlertDays),1,0),0)</f>
        <v/>
      </c>
      <c r="AG576" s="79">
        <f>IF(Y576="Order now",1,0)</f>
        <v/>
      </c>
      <c r="AH576" s="79">
        <f>IF(OR(Y576="⚠️ Order late — install at risk",Y576="⚠️ Delivery after install date"),1,0)</f>
        <v/>
      </c>
      <c r="AI576" s="79">
        <f>IF(AND(B576&lt;&gt;"",K576&lt;&gt;"",U576&lt;&gt;"Yes",X576&lt;&gt;"Yes"),1,0)</f>
        <v/>
      </c>
      <c r="AJ576" s="79">
        <f>IF(Y576="⚠️ Order late — install at risk",1,0)</f>
        <v/>
      </c>
    </row>
    <row r="577" ht="20" customHeight="1">
      <c r="B577" s="72" t="n"/>
      <c r="C577" s="72" t="n"/>
      <c r="D577" s="72" t="n"/>
      <c r="E577" s="72" t="n"/>
      <c r="F577" s="73" t="n"/>
      <c r="G577" s="72" t="n"/>
      <c r="H577" s="73" t="n"/>
      <c r="I577" s="72" t="n"/>
      <c r="J577" s="73" t="n"/>
      <c r="K577" s="74" t="n"/>
      <c r="L577" s="75">
        <f>IF(K577="A",F577,IF(K577="B",H577,IF(K577="C",J577,"")))</f>
        <v/>
      </c>
      <c r="M577" s="72" t="n"/>
      <c r="N577" s="72" t="n"/>
      <c r="O577" s="89" t="n"/>
      <c r="P577" s="89" t="n"/>
      <c r="Q577" s="109" t="n"/>
      <c r="R577" s="120">
        <f>IF(B577="","",IF(Q577&lt;&gt;"",Q577,IF(P577="","",IFERROR(INDEX('Timeline'!$J$7:$J$1006,MATCH(P577,'Timeline'!$B$7:$B$1006,0)),""))))</f>
        <v/>
      </c>
      <c r="S577" s="126">
        <f>IF(R577="","",R577-IF(O577="",0,O577)-OrderBuf)</f>
        <v/>
      </c>
      <c r="T577" s="126">
        <f>IF(S577="","",S577-DecideBuf)</f>
        <v/>
      </c>
      <c r="U577" s="74" t="n"/>
      <c r="V577" s="109" t="n"/>
      <c r="W577" s="109" t="n"/>
      <c r="X577" s="74" t="n"/>
      <c r="Y577" s="116">
        <f>IF(B577="","",IF(X577="Yes","Delivered",IF(U577="Yes",IF(AND(W577&lt;&gt;"",R577&lt;&gt;""),IF(W577&gt;R577,"⚠️ Delivery after install date","Ordered"),"Ordered"),IF(K577="",IF(T577="","Waiting for decision",IF(T577&lt;=AsOf+AlertDays,"Decide now","Waiting for decision")),IF(S577="","Selected",IF(AsOf&gt;S577,"⚠️ Order late — install at risk",IF(S577&lt;=AsOf+AlertDays,"Order now","Selected")))))))</f>
        <v/>
      </c>
      <c r="Z577" s="79">
        <f>IF(B577="","",IF(OR(AH577=1,AE577=1),2,IF(OR(AG577=1,AF577=1),1,IF(OR(Y577="Ordered",Y577="Delivered"),0,""))))</f>
        <v/>
      </c>
      <c r="AA577" s="112">
        <f>IF(B577="","",IF(AH577=1,IF(Y577="⚠️ Delivery after install date",R577,S577),IF(AD577=1,T577,IF(AI577=1,S577,""))))</f>
        <v/>
      </c>
      <c r="AB577" s="79">
        <f>IF(AA577="","",IF(AH577=1,1,IF(AA577="","",IF(AA577&lt;AsOf,1,IF(AA577&lt;=AsOf+AlertDays,2,IF(AA577&lt;=AsOf+2*AlertDays,3,""))))))</f>
        <v/>
      </c>
      <c r="AC577" s="79">
        <f>IF(AB577="","",IF(AH577=1,IF(Y577="⚠️ Delivery after install date","Delivery after install date: "&amp;B577,"Order late — install at risk: "&amp;B577),IF(AD577=1,IF(AB577=1,"Decision overdue: ","Decide: ")&amp;B577,"Order: "&amp;B577&amp;IF(N577="",""," from "&amp;N577))))</f>
        <v/>
      </c>
      <c r="AD577" s="79">
        <f>IF(AND(B577&lt;&gt;"",K577="",U577&lt;&gt;"Yes",X577&lt;&gt;"Yes"),1,0)</f>
        <v/>
      </c>
      <c r="AE577" s="79">
        <f>IF(AND(AD577=1,T577&lt;&gt;""),IF(T577&lt;AsOf,1,0),0)</f>
        <v/>
      </c>
      <c r="AF577" s="79">
        <f>IF(AND(AD577=1,T577&lt;&gt;""),IF(AND(T577&gt;=AsOf,T577&lt;=AsOf+AlertDays),1,0),0)</f>
        <v/>
      </c>
      <c r="AG577" s="79">
        <f>IF(Y577="Order now",1,0)</f>
        <v/>
      </c>
      <c r="AH577" s="79">
        <f>IF(OR(Y577="⚠️ Order late — install at risk",Y577="⚠️ Delivery after install date"),1,0)</f>
        <v/>
      </c>
      <c r="AI577" s="79">
        <f>IF(AND(B577&lt;&gt;"",K577&lt;&gt;"",U577&lt;&gt;"Yes",X577&lt;&gt;"Yes"),1,0)</f>
        <v/>
      </c>
      <c r="AJ577" s="79">
        <f>IF(Y577="⚠️ Order late — install at risk",1,0)</f>
        <v/>
      </c>
    </row>
    <row r="578" ht="20" customHeight="1">
      <c r="B578" s="72" t="n"/>
      <c r="C578" s="72" t="n"/>
      <c r="D578" s="72" t="n"/>
      <c r="E578" s="72" t="n"/>
      <c r="F578" s="73" t="n"/>
      <c r="G578" s="72" t="n"/>
      <c r="H578" s="73" t="n"/>
      <c r="I578" s="72" t="n"/>
      <c r="J578" s="73" t="n"/>
      <c r="K578" s="74" t="n"/>
      <c r="L578" s="75">
        <f>IF(K578="A",F578,IF(K578="B",H578,IF(K578="C",J578,"")))</f>
        <v/>
      </c>
      <c r="M578" s="72" t="n"/>
      <c r="N578" s="72" t="n"/>
      <c r="O578" s="89" t="n"/>
      <c r="P578" s="89" t="n"/>
      <c r="Q578" s="109" t="n"/>
      <c r="R578" s="120">
        <f>IF(B578="","",IF(Q578&lt;&gt;"",Q578,IF(P578="","",IFERROR(INDEX('Timeline'!$J$7:$J$1006,MATCH(P578,'Timeline'!$B$7:$B$1006,0)),""))))</f>
        <v/>
      </c>
      <c r="S578" s="126">
        <f>IF(R578="","",R578-IF(O578="",0,O578)-OrderBuf)</f>
        <v/>
      </c>
      <c r="T578" s="126">
        <f>IF(S578="","",S578-DecideBuf)</f>
        <v/>
      </c>
      <c r="U578" s="74" t="n"/>
      <c r="V578" s="109" t="n"/>
      <c r="W578" s="109" t="n"/>
      <c r="X578" s="74" t="n"/>
      <c r="Y578" s="116">
        <f>IF(B578="","",IF(X578="Yes","Delivered",IF(U578="Yes",IF(AND(W578&lt;&gt;"",R578&lt;&gt;""),IF(W578&gt;R578,"⚠️ Delivery after install date","Ordered"),"Ordered"),IF(K578="",IF(T578="","Waiting for decision",IF(T578&lt;=AsOf+AlertDays,"Decide now","Waiting for decision")),IF(S578="","Selected",IF(AsOf&gt;S578,"⚠️ Order late — install at risk",IF(S578&lt;=AsOf+AlertDays,"Order now","Selected")))))))</f>
        <v/>
      </c>
      <c r="Z578" s="79">
        <f>IF(B578="","",IF(OR(AH578=1,AE578=1),2,IF(OR(AG578=1,AF578=1),1,IF(OR(Y578="Ordered",Y578="Delivered"),0,""))))</f>
        <v/>
      </c>
      <c r="AA578" s="112">
        <f>IF(B578="","",IF(AH578=1,IF(Y578="⚠️ Delivery after install date",R578,S578),IF(AD578=1,T578,IF(AI578=1,S578,""))))</f>
        <v/>
      </c>
      <c r="AB578" s="79">
        <f>IF(AA578="","",IF(AH578=1,1,IF(AA578="","",IF(AA578&lt;AsOf,1,IF(AA578&lt;=AsOf+AlertDays,2,IF(AA578&lt;=AsOf+2*AlertDays,3,""))))))</f>
        <v/>
      </c>
      <c r="AC578" s="79">
        <f>IF(AB578="","",IF(AH578=1,IF(Y578="⚠️ Delivery after install date","Delivery after install date: "&amp;B578,"Order late — install at risk: "&amp;B578),IF(AD578=1,IF(AB578=1,"Decision overdue: ","Decide: ")&amp;B578,"Order: "&amp;B578&amp;IF(N578="",""," from "&amp;N578))))</f>
        <v/>
      </c>
      <c r="AD578" s="79">
        <f>IF(AND(B578&lt;&gt;"",K578="",U578&lt;&gt;"Yes",X578&lt;&gt;"Yes"),1,0)</f>
        <v/>
      </c>
      <c r="AE578" s="79">
        <f>IF(AND(AD578=1,T578&lt;&gt;""),IF(T578&lt;AsOf,1,0),0)</f>
        <v/>
      </c>
      <c r="AF578" s="79">
        <f>IF(AND(AD578=1,T578&lt;&gt;""),IF(AND(T578&gt;=AsOf,T578&lt;=AsOf+AlertDays),1,0),0)</f>
        <v/>
      </c>
      <c r="AG578" s="79">
        <f>IF(Y578="Order now",1,0)</f>
        <v/>
      </c>
      <c r="AH578" s="79">
        <f>IF(OR(Y578="⚠️ Order late — install at risk",Y578="⚠️ Delivery after install date"),1,0)</f>
        <v/>
      </c>
      <c r="AI578" s="79">
        <f>IF(AND(B578&lt;&gt;"",K578&lt;&gt;"",U578&lt;&gt;"Yes",X578&lt;&gt;"Yes"),1,0)</f>
        <v/>
      </c>
      <c r="AJ578" s="79">
        <f>IF(Y578="⚠️ Order late — install at risk",1,0)</f>
        <v/>
      </c>
    </row>
    <row r="579" ht="20" customHeight="1">
      <c r="B579" s="72" t="n"/>
      <c r="C579" s="72" t="n"/>
      <c r="D579" s="72" t="n"/>
      <c r="E579" s="72" t="n"/>
      <c r="F579" s="73" t="n"/>
      <c r="G579" s="72" t="n"/>
      <c r="H579" s="73" t="n"/>
      <c r="I579" s="72" t="n"/>
      <c r="J579" s="73" t="n"/>
      <c r="K579" s="74" t="n"/>
      <c r="L579" s="75">
        <f>IF(K579="A",F579,IF(K579="B",H579,IF(K579="C",J579,"")))</f>
        <v/>
      </c>
      <c r="M579" s="72" t="n"/>
      <c r="N579" s="72" t="n"/>
      <c r="O579" s="89" t="n"/>
      <c r="P579" s="89" t="n"/>
      <c r="Q579" s="109" t="n"/>
      <c r="R579" s="120">
        <f>IF(B579="","",IF(Q579&lt;&gt;"",Q579,IF(P579="","",IFERROR(INDEX('Timeline'!$J$7:$J$1006,MATCH(P579,'Timeline'!$B$7:$B$1006,0)),""))))</f>
        <v/>
      </c>
      <c r="S579" s="126">
        <f>IF(R579="","",R579-IF(O579="",0,O579)-OrderBuf)</f>
        <v/>
      </c>
      <c r="T579" s="126">
        <f>IF(S579="","",S579-DecideBuf)</f>
        <v/>
      </c>
      <c r="U579" s="74" t="n"/>
      <c r="V579" s="109" t="n"/>
      <c r="W579" s="109" t="n"/>
      <c r="X579" s="74" t="n"/>
      <c r="Y579" s="116">
        <f>IF(B579="","",IF(X579="Yes","Delivered",IF(U579="Yes",IF(AND(W579&lt;&gt;"",R579&lt;&gt;""),IF(W579&gt;R579,"⚠️ Delivery after install date","Ordered"),"Ordered"),IF(K579="",IF(T579="","Waiting for decision",IF(T579&lt;=AsOf+AlertDays,"Decide now","Waiting for decision")),IF(S579="","Selected",IF(AsOf&gt;S579,"⚠️ Order late — install at risk",IF(S579&lt;=AsOf+AlertDays,"Order now","Selected")))))))</f>
        <v/>
      </c>
      <c r="Z579" s="79">
        <f>IF(B579="","",IF(OR(AH579=1,AE579=1),2,IF(OR(AG579=1,AF579=1),1,IF(OR(Y579="Ordered",Y579="Delivered"),0,""))))</f>
        <v/>
      </c>
      <c r="AA579" s="112">
        <f>IF(B579="","",IF(AH579=1,IF(Y579="⚠️ Delivery after install date",R579,S579),IF(AD579=1,T579,IF(AI579=1,S579,""))))</f>
        <v/>
      </c>
      <c r="AB579" s="79">
        <f>IF(AA579="","",IF(AH579=1,1,IF(AA579="","",IF(AA579&lt;AsOf,1,IF(AA579&lt;=AsOf+AlertDays,2,IF(AA579&lt;=AsOf+2*AlertDays,3,""))))))</f>
        <v/>
      </c>
      <c r="AC579" s="79">
        <f>IF(AB579="","",IF(AH579=1,IF(Y579="⚠️ Delivery after install date","Delivery after install date: "&amp;B579,"Order late — install at risk: "&amp;B579),IF(AD579=1,IF(AB579=1,"Decision overdue: ","Decide: ")&amp;B579,"Order: "&amp;B579&amp;IF(N579="",""," from "&amp;N579))))</f>
        <v/>
      </c>
      <c r="AD579" s="79">
        <f>IF(AND(B579&lt;&gt;"",K579="",U579&lt;&gt;"Yes",X579&lt;&gt;"Yes"),1,0)</f>
        <v/>
      </c>
      <c r="AE579" s="79">
        <f>IF(AND(AD579=1,T579&lt;&gt;""),IF(T579&lt;AsOf,1,0),0)</f>
        <v/>
      </c>
      <c r="AF579" s="79">
        <f>IF(AND(AD579=1,T579&lt;&gt;""),IF(AND(T579&gt;=AsOf,T579&lt;=AsOf+AlertDays),1,0),0)</f>
        <v/>
      </c>
      <c r="AG579" s="79">
        <f>IF(Y579="Order now",1,0)</f>
        <v/>
      </c>
      <c r="AH579" s="79">
        <f>IF(OR(Y579="⚠️ Order late — install at risk",Y579="⚠️ Delivery after install date"),1,0)</f>
        <v/>
      </c>
      <c r="AI579" s="79">
        <f>IF(AND(B579&lt;&gt;"",K579&lt;&gt;"",U579&lt;&gt;"Yes",X579&lt;&gt;"Yes"),1,0)</f>
        <v/>
      </c>
      <c r="AJ579" s="79">
        <f>IF(Y579="⚠️ Order late — install at risk",1,0)</f>
        <v/>
      </c>
    </row>
    <row r="580" ht="20" customHeight="1">
      <c r="B580" s="72" t="n"/>
      <c r="C580" s="72" t="n"/>
      <c r="D580" s="72" t="n"/>
      <c r="E580" s="72" t="n"/>
      <c r="F580" s="73" t="n"/>
      <c r="G580" s="72" t="n"/>
      <c r="H580" s="73" t="n"/>
      <c r="I580" s="72" t="n"/>
      <c r="J580" s="73" t="n"/>
      <c r="K580" s="74" t="n"/>
      <c r="L580" s="75">
        <f>IF(K580="A",F580,IF(K580="B",H580,IF(K580="C",J580,"")))</f>
        <v/>
      </c>
      <c r="M580" s="72" t="n"/>
      <c r="N580" s="72" t="n"/>
      <c r="O580" s="89" t="n"/>
      <c r="P580" s="89" t="n"/>
      <c r="Q580" s="109" t="n"/>
      <c r="R580" s="120">
        <f>IF(B580="","",IF(Q580&lt;&gt;"",Q580,IF(P580="","",IFERROR(INDEX('Timeline'!$J$7:$J$1006,MATCH(P580,'Timeline'!$B$7:$B$1006,0)),""))))</f>
        <v/>
      </c>
      <c r="S580" s="126">
        <f>IF(R580="","",R580-IF(O580="",0,O580)-OrderBuf)</f>
        <v/>
      </c>
      <c r="T580" s="126">
        <f>IF(S580="","",S580-DecideBuf)</f>
        <v/>
      </c>
      <c r="U580" s="74" t="n"/>
      <c r="V580" s="109" t="n"/>
      <c r="W580" s="109" t="n"/>
      <c r="X580" s="74" t="n"/>
      <c r="Y580" s="116">
        <f>IF(B580="","",IF(X580="Yes","Delivered",IF(U580="Yes",IF(AND(W580&lt;&gt;"",R580&lt;&gt;""),IF(W580&gt;R580,"⚠️ Delivery after install date","Ordered"),"Ordered"),IF(K580="",IF(T580="","Waiting for decision",IF(T580&lt;=AsOf+AlertDays,"Decide now","Waiting for decision")),IF(S580="","Selected",IF(AsOf&gt;S580,"⚠️ Order late — install at risk",IF(S580&lt;=AsOf+AlertDays,"Order now","Selected")))))))</f>
        <v/>
      </c>
      <c r="Z580" s="79">
        <f>IF(B580="","",IF(OR(AH580=1,AE580=1),2,IF(OR(AG580=1,AF580=1),1,IF(OR(Y580="Ordered",Y580="Delivered"),0,""))))</f>
        <v/>
      </c>
      <c r="AA580" s="112">
        <f>IF(B580="","",IF(AH580=1,IF(Y580="⚠️ Delivery after install date",R580,S580),IF(AD580=1,T580,IF(AI580=1,S580,""))))</f>
        <v/>
      </c>
      <c r="AB580" s="79">
        <f>IF(AA580="","",IF(AH580=1,1,IF(AA580="","",IF(AA580&lt;AsOf,1,IF(AA580&lt;=AsOf+AlertDays,2,IF(AA580&lt;=AsOf+2*AlertDays,3,""))))))</f>
        <v/>
      </c>
      <c r="AC580" s="79">
        <f>IF(AB580="","",IF(AH580=1,IF(Y580="⚠️ Delivery after install date","Delivery after install date: "&amp;B580,"Order late — install at risk: "&amp;B580),IF(AD580=1,IF(AB580=1,"Decision overdue: ","Decide: ")&amp;B580,"Order: "&amp;B580&amp;IF(N580="",""," from "&amp;N580))))</f>
        <v/>
      </c>
      <c r="AD580" s="79">
        <f>IF(AND(B580&lt;&gt;"",K580="",U580&lt;&gt;"Yes",X580&lt;&gt;"Yes"),1,0)</f>
        <v/>
      </c>
      <c r="AE580" s="79">
        <f>IF(AND(AD580=1,T580&lt;&gt;""),IF(T580&lt;AsOf,1,0),0)</f>
        <v/>
      </c>
      <c r="AF580" s="79">
        <f>IF(AND(AD580=1,T580&lt;&gt;""),IF(AND(T580&gt;=AsOf,T580&lt;=AsOf+AlertDays),1,0),0)</f>
        <v/>
      </c>
      <c r="AG580" s="79">
        <f>IF(Y580="Order now",1,0)</f>
        <v/>
      </c>
      <c r="AH580" s="79">
        <f>IF(OR(Y580="⚠️ Order late — install at risk",Y580="⚠️ Delivery after install date"),1,0)</f>
        <v/>
      </c>
      <c r="AI580" s="79">
        <f>IF(AND(B580&lt;&gt;"",K580&lt;&gt;"",U580&lt;&gt;"Yes",X580&lt;&gt;"Yes"),1,0)</f>
        <v/>
      </c>
      <c r="AJ580" s="79">
        <f>IF(Y580="⚠️ Order late — install at risk",1,0)</f>
        <v/>
      </c>
    </row>
    <row r="581" ht="20" customHeight="1">
      <c r="B581" s="72" t="n"/>
      <c r="C581" s="72" t="n"/>
      <c r="D581" s="72" t="n"/>
      <c r="E581" s="72" t="n"/>
      <c r="F581" s="73" t="n"/>
      <c r="G581" s="72" t="n"/>
      <c r="H581" s="73" t="n"/>
      <c r="I581" s="72" t="n"/>
      <c r="J581" s="73" t="n"/>
      <c r="K581" s="74" t="n"/>
      <c r="L581" s="75">
        <f>IF(K581="A",F581,IF(K581="B",H581,IF(K581="C",J581,"")))</f>
        <v/>
      </c>
      <c r="M581" s="72" t="n"/>
      <c r="N581" s="72" t="n"/>
      <c r="O581" s="89" t="n"/>
      <c r="P581" s="89" t="n"/>
      <c r="Q581" s="109" t="n"/>
      <c r="R581" s="120">
        <f>IF(B581="","",IF(Q581&lt;&gt;"",Q581,IF(P581="","",IFERROR(INDEX('Timeline'!$J$7:$J$1006,MATCH(P581,'Timeline'!$B$7:$B$1006,0)),""))))</f>
        <v/>
      </c>
      <c r="S581" s="126">
        <f>IF(R581="","",R581-IF(O581="",0,O581)-OrderBuf)</f>
        <v/>
      </c>
      <c r="T581" s="126">
        <f>IF(S581="","",S581-DecideBuf)</f>
        <v/>
      </c>
      <c r="U581" s="74" t="n"/>
      <c r="V581" s="109" t="n"/>
      <c r="W581" s="109" t="n"/>
      <c r="X581" s="74" t="n"/>
      <c r="Y581" s="116">
        <f>IF(B581="","",IF(X581="Yes","Delivered",IF(U581="Yes",IF(AND(W581&lt;&gt;"",R581&lt;&gt;""),IF(W581&gt;R581,"⚠️ Delivery after install date","Ordered"),"Ordered"),IF(K581="",IF(T581="","Waiting for decision",IF(T581&lt;=AsOf+AlertDays,"Decide now","Waiting for decision")),IF(S581="","Selected",IF(AsOf&gt;S581,"⚠️ Order late — install at risk",IF(S581&lt;=AsOf+AlertDays,"Order now","Selected")))))))</f>
        <v/>
      </c>
      <c r="Z581" s="79">
        <f>IF(B581="","",IF(OR(AH581=1,AE581=1),2,IF(OR(AG581=1,AF581=1),1,IF(OR(Y581="Ordered",Y581="Delivered"),0,""))))</f>
        <v/>
      </c>
      <c r="AA581" s="112">
        <f>IF(B581="","",IF(AH581=1,IF(Y581="⚠️ Delivery after install date",R581,S581),IF(AD581=1,T581,IF(AI581=1,S581,""))))</f>
        <v/>
      </c>
      <c r="AB581" s="79">
        <f>IF(AA581="","",IF(AH581=1,1,IF(AA581="","",IF(AA581&lt;AsOf,1,IF(AA581&lt;=AsOf+AlertDays,2,IF(AA581&lt;=AsOf+2*AlertDays,3,""))))))</f>
        <v/>
      </c>
      <c r="AC581" s="79">
        <f>IF(AB581="","",IF(AH581=1,IF(Y581="⚠️ Delivery after install date","Delivery after install date: "&amp;B581,"Order late — install at risk: "&amp;B581),IF(AD581=1,IF(AB581=1,"Decision overdue: ","Decide: ")&amp;B581,"Order: "&amp;B581&amp;IF(N581="",""," from "&amp;N581))))</f>
        <v/>
      </c>
      <c r="AD581" s="79">
        <f>IF(AND(B581&lt;&gt;"",K581="",U581&lt;&gt;"Yes",X581&lt;&gt;"Yes"),1,0)</f>
        <v/>
      </c>
      <c r="AE581" s="79">
        <f>IF(AND(AD581=1,T581&lt;&gt;""),IF(T581&lt;AsOf,1,0),0)</f>
        <v/>
      </c>
      <c r="AF581" s="79">
        <f>IF(AND(AD581=1,T581&lt;&gt;""),IF(AND(T581&gt;=AsOf,T581&lt;=AsOf+AlertDays),1,0),0)</f>
        <v/>
      </c>
      <c r="AG581" s="79">
        <f>IF(Y581="Order now",1,0)</f>
        <v/>
      </c>
      <c r="AH581" s="79">
        <f>IF(OR(Y581="⚠️ Order late — install at risk",Y581="⚠️ Delivery after install date"),1,0)</f>
        <v/>
      </c>
      <c r="AI581" s="79">
        <f>IF(AND(B581&lt;&gt;"",K581&lt;&gt;"",U581&lt;&gt;"Yes",X581&lt;&gt;"Yes"),1,0)</f>
        <v/>
      </c>
      <c r="AJ581" s="79">
        <f>IF(Y581="⚠️ Order late — install at risk",1,0)</f>
        <v/>
      </c>
    </row>
    <row r="582" ht="20" customHeight="1">
      <c r="B582" s="72" t="n"/>
      <c r="C582" s="72" t="n"/>
      <c r="D582" s="72" t="n"/>
      <c r="E582" s="72" t="n"/>
      <c r="F582" s="73" t="n"/>
      <c r="G582" s="72" t="n"/>
      <c r="H582" s="73" t="n"/>
      <c r="I582" s="72" t="n"/>
      <c r="J582" s="73" t="n"/>
      <c r="K582" s="74" t="n"/>
      <c r="L582" s="75">
        <f>IF(K582="A",F582,IF(K582="B",H582,IF(K582="C",J582,"")))</f>
        <v/>
      </c>
      <c r="M582" s="72" t="n"/>
      <c r="N582" s="72" t="n"/>
      <c r="O582" s="89" t="n"/>
      <c r="P582" s="89" t="n"/>
      <c r="Q582" s="109" t="n"/>
      <c r="R582" s="120">
        <f>IF(B582="","",IF(Q582&lt;&gt;"",Q582,IF(P582="","",IFERROR(INDEX('Timeline'!$J$7:$J$1006,MATCH(P582,'Timeline'!$B$7:$B$1006,0)),""))))</f>
        <v/>
      </c>
      <c r="S582" s="126">
        <f>IF(R582="","",R582-IF(O582="",0,O582)-OrderBuf)</f>
        <v/>
      </c>
      <c r="T582" s="126">
        <f>IF(S582="","",S582-DecideBuf)</f>
        <v/>
      </c>
      <c r="U582" s="74" t="n"/>
      <c r="V582" s="109" t="n"/>
      <c r="W582" s="109" t="n"/>
      <c r="X582" s="74" t="n"/>
      <c r="Y582" s="116">
        <f>IF(B582="","",IF(X582="Yes","Delivered",IF(U582="Yes",IF(AND(W582&lt;&gt;"",R582&lt;&gt;""),IF(W582&gt;R582,"⚠️ Delivery after install date","Ordered"),"Ordered"),IF(K582="",IF(T582="","Waiting for decision",IF(T582&lt;=AsOf+AlertDays,"Decide now","Waiting for decision")),IF(S582="","Selected",IF(AsOf&gt;S582,"⚠️ Order late — install at risk",IF(S582&lt;=AsOf+AlertDays,"Order now","Selected")))))))</f>
        <v/>
      </c>
      <c r="Z582" s="79">
        <f>IF(B582="","",IF(OR(AH582=1,AE582=1),2,IF(OR(AG582=1,AF582=1),1,IF(OR(Y582="Ordered",Y582="Delivered"),0,""))))</f>
        <v/>
      </c>
      <c r="AA582" s="112">
        <f>IF(B582="","",IF(AH582=1,IF(Y582="⚠️ Delivery after install date",R582,S582),IF(AD582=1,T582,IF(AI582=1,S582,""))))</f>
        <v/>
      </c>
      <c r="AB582" s="79">
        <f>IF(AA582="","",IF(AH582=1,1,IF(AA582="","",IF(AA582&lt;AsOf,1,IF(AA582&lt;=AsOf+AlertDays,2,IF(AA582&lt;=AsOf+2*AlertDays,3,""))))))</f>
        <v/>
      </c>
      <c r="AC582" s="79">
        <f>IF(AB582="","",IF(AH582=1,IF(Y582="⚠️ Delivery after install date","Delivery after install date: "&amp;B582,"Order late — install at risk: "&amp;B582),IF(AD582=1,IF(AB582=1,"Decision overdue: ","Decide: ")&amp;B582,"Order: "&amp;B582&amp;IF(N582="",""," from "&amp;N582))))</f>
        <v/>
      </c>
      <c r="AD582" s="79">
        <f>IF(AND(B582&lt;&gt;"",K582="",U582&lt;&gt;"Yes",X582&lt;&gt;"Yes"),1,0)</f>
        <v/>
      </c>
      <c r="AE582" s="79">
        <f>IF(AND(AD582=1,T582&lt;&gt;""),IF(T582&lt;AsOf,1,0),0)</f>
        <v/>
      </c>
      <c r="AF582" s="79">
        <f>IF(AND(AD582=1,T582&lt;&gt;""),IF(AND(T582&gt;=AsOf,T582&lt;=AsOf+AlertDays),1,0),0)</f>
        <v/>
      </c>
      <c r="AG582" s="79">
        <f>IF(Y582="Order now",1,0)</f>
        <v/>
      </c>
      <c r="AH582" s="79">
        <f>IF(OR(Y582="⚠️ Order late — install at risk",Y582="⚠️ Delivery after install date"),1,0)</f>
        <v/>
      </c>
      <c r="AI582" s="79">
        <f>IF(AND(B582&lt;&gt;"",K582&lt;&gt;"",U582&lt;&gt;"Yes",X582&lt;&gt;"Yes"),1,0)</f>
        <v/>
      </c>
      <c r="AJ582" s="79">
        <f>IF(Y582="⚠️ Order late — install at risk",1,0)</f>
        <v/>
      </c>
    </row>
    <row r="583" ht="20" customHeight="1">
      <c r="B583" s="72" t="n"/>
      <c r="C583" s="72" t="n"/>
      <c r="D583" s="72" t="n"/>
      <c r="E583" s="72" t="n"/>
      <c r="F583" s="73" t="n"/>
      <c r="G583" s="72" t="n"/>
      <c r="H583" s="73" t="n"/>
      <c r="I583" s="72" t="n"/>
      <c r="J583" s="73" t="n"/>
      <c r="K583" s="74" t="n"/>
      <c r="L583" s="75">
        <f>IF(K583="A",F583,IF(K583="B",H583,IF(K583="C",J583,"")))</f>
        <v/>
      </c>
      <c r="M583" s="72" t="n"/>
      <c r="N583" s="72" t="n"/>
      <c r="O583" s="89" t="n"/>
      <c r="P583" s="89" t="n"/>
      <c r="Q583" s="109" t="n"/>
      <c r="R583" s="120">
        <f>IF(B583="","",IF(Q583&lt;&gt;"",Q583,IF(P583="","",IFERROR(INDEX('Timeline'!$J$7:$J$1006,MATCH(P583,'Timeline'!$B$7:$B$1006,0)),""))))</f>
        <v/>
      </c>
      <c r="S583" s="126">
        <f>IF(R583="","",R583-IF(O583="",0,O583)-OrderBuf)</f>
        <v/>
      </c>
      <c r="T583" s="126">
        <f>IF(S583="","",S583-DecideBuf)</f>
        <v/>
      </c>
      <c r="U583" s="74" t="n"/>
      <c r="V583" s="109" t="n"/>
      <c r="W583" s="109" t="n"/>
      <c r="X583" s="74" t="n"/>
      <c r="Y583" s="116">
        <f>IF(B583="","",IF(X583="Yes","Delivered",IF(U583="Yes",IF(AND(W583&lt;&gt;"",R583&lt;&gt;""),IF(W583&gt;R583,"⚠️ Delivery after install date","Ordered"),"Ordered"),IF(K583="",IF(T583="","Waiting for decision",IF(T583&lt;=AsOf+AlertDays,"Decide now","Waiting for decision")),IF(S583="","Selected",IF(AsOf&gt;S583,"⚠️ Order late — install at risk",IF(S583&lt;=AsOf+AlertDays,"Order now","Selected")))))))</f>
        <v/>
      </c>
      <c r="Z583" s="79">
        <f>IF(B583="","",IF(OR(AH583=1,AE583=1),2,IF(OR(AG583=1,AF583=1),1,IF(OR(Y583="Ordered",Y583="Delivered"),0,""))))</f>
        <v/>
      </c>
      <c r="AA583" s="112">
        <f>IF(B583="","",IF(AH583=1,IF(Y583="⚠️ Delivery after install date",R583,S583),IF(AD583=1,T583,IF(AI583=1,S583,""))))</f>
        <v/>
      </c>
      <c r="AB583" s="79">
        <f>IF(AA583="","",IF(AH583=1,1,IF(AA583="","",IF(AA583&lt;AsOf,1,IF(AA583&lt;=AsOf+AlertDays,2,IF(AA583&lt;=AsOf+2*AlertDays,3,""))))))</f>
        <v/>
      </c>
      <c r="AC583" s="79">
        <f>IF(AB583="","",IF(AH583=1,IF(Y583="⚠️ Delivery after install date","Delivery after install date: "&amp;B583,"Order late — install at risk: "&amp;B583),IF(AD583=1,IF(AB583=1,"Decision overdue: ","Decide: ")&amp;B583,"Order: "&amp;B583&amp;IF(N583="",""," from "&amp;N583))))</f>
        <v/>
      </c>
      <c r="AD583" s="79">
        <f>IF(AND(B583&lt;&gt;"",K583="",U583&lt;&gt;"Yes",X583&lt;&gt;"Yes"),1,0)</f>
        <v/>
      </c>
      <c r="AE583" s="79">
        <f>IF(AND(AD583=1,T583&lt;&gt;""),IF(T583&lt;AsOf,1,0),0)</f>
        <v/>
      </c>
      <c r="AF583" s="79">
        <f>IF(AND(AD583=1,T583&lt;&gt;""),IF(AND(T583&gt;=AsOf,T583&lt;=AsOf+AlertDays),1,0),0)</f>
        <v/>
      </c>
      <c r="AG583" s="79">
        <f>IF(Y583="Order now",1,0)</f>
        <v/>
      </c>
      <c r="AH583" s="79">
        <f>IF(OR(Y583="⚠️ Order late — install at risk",Y583="⚠️ Delivery after install date"),1,0)</f>
        <v/>
      </c>
      <c r="AI583" s="79">
        <f>IF(AND(B583&lt;&gt;"",K583&lt;&gt;"",U583&lt;&gt;"Yes",X583&lt;&gt;"Yes"),1,0)</f>
        <v/>
      </c>
      <c r="AJ583" s="79">
        <f>IF(Y583="⚠️ Order late — install at risk",1,0)</f>
        <v/>
      </c>
    </row>
    <row r="584" ht="20" customHeight="1">
      <c r="B584" s="72" t="n"/>
      <c r="C584" s="72" t="n"/>
      <c r="D584" s="72" t="n"/>
      <c r="E584" s="72" t="n"/>
      <c r="F584" s="73" t="n"/>
      <c r="G584" s="72" t="n"/>
      <c r="H584" s="73" t="n"/>
      <c r="I584" s="72" t="n"/>
      <c r="J584" s="73" t="n"/>
      <c r="K584" s="74" t="n"/>
      <c r="L584" s="75">
        <f>IF(K584="A",F584,IF(K584="B",H584,IF(K584="C",J584,"")))</f>
        <v/>
      </c>
      <c r="M584" s="72" t="n"/>
      <c r="N584" s="72" t="n"/>
      <c r="O584" s="89" t="n"/>
      <c r="P584" s="89" t="n"/>
      <c r="Q584" s="109" t="n"/>
      <c r="R584" s="120">
        <f>IF(B584="","",IF(Q584&lt;&gt;"",Q584,IF(P584="","",IFERROR(INDEX('Timeline'!$J$7:$J$1006,MATCH(P584,'Timeline'!$B$7:$B$1006,0)),""))))</f>
        <v/>
      </c>
      <c r="S584" s="126">
        <f>IF(R584="","",R584-IF(O584="",0,O584)-OrderBuf)</f>
        <v/>
      </c>
      <c r="T584" s="126">
        <f>IF(S584="","",S584-DecideBuf)</f>
        <v/>
      </c>
      <c r="U584" s="74" t="n"/>
      <c r="V584" s="109" t="n"/>
      <c r="W584" s="109" t="n"/>
      <c r="X584" s="74" t="n"/>
      <c r="Y584" s="116">
        <f>IF(B584="","",IF(X584="Yes","Delivered",IF(U584="Yes",IF(AND(W584&lt;&gt;"",R584&lt;&gt;""),IF(W584&gt;R584,"⚠️ Delivery after install date","Ordered"),"Ordered"),IF(K584="",IF(T584="","Waiting for decision",IF(T584&lt;=AsOf+AlertDays,"Decide now","Waiting for decision")),IF(S584="","Selected",IF(AsOf&gt;S584,"⚠️ Order late — install at risk",IF(S584&lt;=AsOf+AlertDays,"Order now","Selected")))))))</f>
        <v/>
      </c>
      <c r="Z584" s="79">
        <f>IF(B584="","",IF(OR(AH584=1,AE584=1),2,IF(OR(AG584=1,AF584=1),1,IF(OR(Y584="Ordered",Y584="Delivered"),0,""))))</f>
        <v/>
      </c>
      <c r="AA584" s="112">
        <f>IF(B584="","",IF(AH584=1,IF(Y584="⚠️ Delivery after install date",R584,S584),IF(AD584=1,T584,IF(AI584=1,S584,""))))</f>
        <v/>
      </c>
      <c r="AB584" s="79">
        <f>IF(AA584="","",IF(AH584=1,1,IF(AA584="","",IF(AA584&lt;AsOf,1,IF(AA584&lt;=AsOf+AlertDays,2,IF(AA584&lt;=AsOf+2*AlertDays,3,""))))))</f>
        <v/>
      </c>
      <c r="AC584" s="79">
        <f>IF(AB584="","",IF(AH584=1,IF(Y584="⚠️ Delivery after install date","Delivery after install date: "&amp;B584,"Order late — install at risk: "&amp;B584),IF(AD584=1,IF(AB584=1,"Decision overdue: ","Decide: ")&amp;B584,"Order: "&amp;B584&amp;IF(N584="",""," from "&amp;N584))))</f>
        <v/>
      </c>
      <c r="AD584" s="79">
        <f>IF(AND(B584&lt;&gt;"",K584="",U584&lt;&gt;"Yes",X584&lt;&gt;"Yes"),1,0)</f>
        <v/>
      </c>
      <c r="AE584" s="79">
        <f>IF(AND(AD584=1,T584&lt;&gt;""),IF(T584&lt;AsOf,1,0),0)</f>
        <v/>
      </c>
      <c r="AF584" s="79">
        <f>IF(AND(AD584=1,T584&lt;&gt;""),IF(AND(T584&gt;=AsOf,T584&lt;=AsOf+AlertDays),1,0),0)</f>
        <v/>
      </c>
      <c r="AG584" s="79">
        <f>IF(Y584="Order now",1,0)</f>
        <v/>
      </c>
      <c r="AH584" s="79">
        <f>IF(OR(Y584="⚠️ Order late — install at risk",Y584="⚠️ Delivery after install date"),1,0)</f>
        <v/>
      </c>
      <c r="AI584" s="79">
        <f>IF(AND(B584&lt;&gt;"",K584&lt;&gt;"",U584&lt;&gt;"Yes",X584&lt;&gt;"Yes"),1,0)</f>
        <v/>
      </c>
      <c r="AJ584" s="79">
        <f>IF(Y584="⚠️ Order late — install at risk",1,0)</f>
        <v/>
      </c>
    </row>
    <row r="585" ht="20" customHeight="1">
      <c r="B585" s="72" t="n"/>
      <c r="C585" s="72" t="n"/>
      <c r="D585" s="72" t="n"/>
      <c r="E585" s="72" t="n"/>
      <c r="F585" s="73" t="n"/>
      <c r="G585" s="72" t="n"/>
      <c r="H585" s="73" t="n"/>
      <c r="I585" s="72" t="n"/>
      <c r="J585" s="73" t="n"/>
      <c r="K585" s="74" t="n"/>
      <c r="L585" s="75">
        <f>IF(K585="A",F585,IF(K585="B",H585,IF(K585="C",J585,"")))</f>
        <v/>
      </c>
      <c r="M585" s="72" t="n"/>
      <c r="N585" s="72" t="n"/>
      <c r="O585" s="89" t="n"/>
      <c r="P585" s="89" t="n"/>
      <c r="Q585" s="109" t="n"/>
      <c r="R585" s="120">
        <f>IF(B585="","",IF(Q585&lt;&gt;"",Q585,IF(P585="","",IFERROR(INDEX('Timeline'!$J$7:$J$1006,MATCH(P585,'Timeline'!$B$7:$B$1006,0)),""))))</f>
        <v/>
      </c>
      <c r="S585" s="126">
        <f>IF(R585="","",R585-IF(O585="",0,O585)-OrderBuf)</f>
        <v/>
      </c>
      <c r="T585" s="126">
        <f>IF(S585="","",S585-DecideBuf)</f>
        <v/>
      </c>
      <c r="U585" s="74" t="n"/>
      <c r="V585" s="109" t="n"/>
      <c r="W585" s="109" t="n"/>
      <c r="X585" s="74" t="n"/>
      <c r="Y585" s="116">
        <f>IF(B585="","",IF(X585="Yes","Delivered",IF(U585="Yes",IF(AND(W585&lt;&gt;"",R585&lt;&gt;""),IF(W585&gt;R585,"⚠️ Delivery after install date","Ordered"),"Ordered"),IF(K585="",IF(T585="","Waiting for decision",IF(T585&lt;=AsOf+AlertDays,"Decide now","Waiting for decision")),IF(S585="","Selected",IF(AsOf&gt;S585,"⚠️ Order late — install at risk",IF(S585&lt;=AsOf+AlertDays,"Order now","Selected")))))))</f>
        <v/>
      </c>
      <c r="Z585" s="79">
        <f>IF(B585="","",IF(OR(AH585=1,AE585=1),2,IF(OR(AG585=1,AF585=1),1,IF(OR(Y585="Ordered",Y585="Delivered"),0,""))))</f>
        <v/>
      </c>
      <c r="AA585" s="112">
        <f>IF(B585="","",IF(AH585=1,IF(Y585="⚠️ Delivery after install date",R585,S585),IF(AD585=1,T585,IF(AI585=1,S585,""))))</f>
        <v/>
      </c>
      <c r="AB585" s="79">
        <f>IF(AA585="","",IF(AH585=1,1,IF(AA585="","",IF(AA585&lt;AsOf,1,IF(AA585&lt;=AsOf+AlertDays,2,IF(AA585&lt;=AsOf+2*AlertDays,3,""))))))</f>
        <v/>
      </c>
      <c r="AC585" s="79">
        <f>IF(AB585="","",IF(AH585=1,IF(Y585="⚠️ Delivery after install date","Delivery after install date: "&amp;B585,"Order late — install at risk: "&amp;B585),IF(AD585=1,IF(AB585=1,"Decision overdue: ","Decide: ")&amp;B585,"Order: "&amp;B585&amp;IF(N585="",""," from "&amp;N585))))</f>
        <v/>
      </c>
      <c r="AD585" s="79">
        <f>IF(AND(B585&lt;&gt;"",K585="",U585&lt;&gt;"Yes",X585&lt;&gt;"Yes"),1,0)</f>
        <v/>
      </c>
      <c r="AE585" s="79">
        <f>IF(AND(AD585=1,T585&lt;&gt;""),IF(T585&lt;AsOf,1,0),0)</f>
        <v/>
      </c>
      <c r="AF585" s="79">
        <f>IF(AND(AD585=1,T585&lt;&gt;""),IF(AND(T585&gt;=AsOf,T585&lt;=AsOf+AlertDays),1,0),0)</f>
        <v/>
      </c>
      <c r="AG585" s="79">
        <f>IF(Y585="Order now",1,0)</f>
        <v/>
      </c>
      <c r="AH585" s="79">
        <f>IF(OR(Y585="⚠️ Order late — install at risk",Y585="⚠️ Delivery after install date"),1,0)</f>
        <v/>
      </c>
      <c r="AI585" s="79">
        <f>IF(AND(B585&lt;&gt;"",K585&lt;&gt;"",U585&lt;&gt;"Yes",X585&lt;&gt;"Yes"),1,0)</f>
        <v/>
      </c>
      <c r="AJ585" s="79">
        <f>IF(Y585="⚠️ Order late — install at risk",1,0)</f>
        <v/>
      </c>
    </row>
    <row r="586" ht="20" customHeight="1">
      <c r="B586" s="72" t="n"/>
      <c r="C586" s="72" t="n"/>
      <c r="D586" s="72" t="n"/>
      <c r="E586" s="72" t="n"/>
      <c r="F586" s="73" t="n"/>
      <c r="G586" s="72" t="n"/>
      <c r="H586" s="73" t="n"/>
      <c r="I586" s="72" t="n"/>
      <c r="J586" s="73" t="n"/>
      <c r="K586" s="74" t="n"/>
      <c r="L586" s="75">
        <f>IF(K586="A",F586,IF(K586="B",H586,IF(K586="C",J586,"")))</f>
        <v/>
      </c>
      <c r="M586" s="72" t="n"/>
      <c r="N586" s="72" t="n"/>
      <c r="O586" s="89" t="n"/>
      <c r="P586" s="89" t="n"/>
      <c r="Q586" s="109" t="n"/>
      <c r="R586" s="120">
        <f>IF(B586="","",IF(Q586&lt;&gt;"",Q586,IF(P586="","",IFERROR(INDEX('Timeline'!$J$7:$J$1006,MATCH(P586,'Timeline'!$B$7:$B$1006,0)),""))))</f>
        <v/>
      </c>
      <c r="S586" s="126">
        <f>IF(R586="","",R586-IF(O586="",0,O586)-OrderBuf)</f>
        <v/>
      </c>
      <c r="T586" s="126">
        <f>IF(S586="","",S586-DecideBuf)</f>
        <v/>
      </c>
      <c r="U586" s="74" t="n"/>
      <c r="V586" s="109" t="n"/>
      <c r="W586" s="109" t="n"/>
      <c r="X586" s="74" t="n"/>
      <c r="Y586" s="116">
        <f>IF(B586="","",IF(X586="Yes","Delivered",IF(U586="Yes",IF(AND(W586&lt;&gt;"",R586&lt;&gt;""),IF(W586&gt;R586,"⚠️ Delivery after install date","Ordered"),"Ordered"),IF(K586="",IF(T586="","Waiting for decision",IF(T586&lt;=AsOf+AlertDays,"Decide now","Waiting for decision")),IF(S586="","Selected",IF(AsOf&gt;S586,"⚠️ Order late — install at risk",IF(S586&lt;=AsOf+AlertDays,"Order now","Selected")))))))</f>
        <v/>
      </c>
      <c r="Z586" s="79">
        <f>IF(B586="","",IF(OR(AH586=1,AE586=1),2,IF(OR(AG586=1,AF586=1),1,IF(OR(Y586="Ordered",Y586="Delivered"),0,""))))</f>
        <v/>
      </c>
      <c r="AA586" s="112">
        <f>IF(B586="","",IF(AH586=1,IF(Y586="⚠️ Delivery after install date",R586,S586),IF(AD586=1,T586,IF(AI586=1,S586,""))))</f>
        <v/>
      </c>
      <c r="AB586" s="79">
        <f>IF(AA586="","",IF(AH586=1,1,IF(AA586="","",IF(AA586&lt;AsOf,1,IF(AA586&lt;=AsOf+AlertDays,2,IF(AA586&lt;=AsOf+2*AlertDays,3,""))))))</f>
        <v/>
      </c>
      <c r="AC586" s="79">
        <f>IF(AB586="","",IF(AH586=1,IF(Y586="⚠️ Delivery after install date","Delivery after install date: "&amp;B586,"Order late — install at risk: "&amp;B586),IF(AD586=1,IF(AB586=1,"Decision overdue: ","Decide: ")&amp;B586,"Order: "&amp;B586&amp;IF(N586="",""," from "&amp;N586))))</f>
        <v/>
      </c>
      <c r="AD586" s="79">
        <f>IF(AND(B586&lt;&gt;"",K586="",U586&lt;&gt;"Yes",X586&lt;&gt;"Yes"),1,0)</f>
        <v/>
      </c>
      <c r="AE586" s="79">
        <f>IF(AND(AD586=1,T586&lt;&gt;""),IF(T586&lt;AsOf,1,0),0)</f>
        <v/>
      </c>
      <c r="AF586" s="79">
        <f>IF(AND(AD586=1,T586&lt;&gt;""),IF(AND(T586&gt;=AsOf,T586&lt;=AsOf+AlertDays),1,0),0)</f>
        <v/>
      </c>
      <c r="AG586" s="79">
        <f>IF(Y586="Order now",1,0)</f>
        <v/>
      </c>
      <c r="AH586" s="79">
        <f>IF(OR(Y586="⚠️ Order late — install at risk",Y586="⚠️ Delivery after install date"),1,0)</f>
        <v/>
      </c>
      <c r="AI586" s="79">
        <f>IF(AND(B586&lt;&gt;"",K586&lt;&gt;"",U586&lt;&gt;"Yes",X586&lt;&gt;"Yes"),1,0)</f>
        <v/>
      </c>
      <c r="AJ586" s="79">
        <f>IF(Y586="⚠️ Order late — install at risk",1,0)</f>
        <v/>
      </c>
    </row>
    <row r="587" ht="20" customHeight="1">
      <c r="B587" s="72" t="n"/>
      <c r="C587" s="72" t="n"/>
      <c r="D587" s="72" t="n"/>
      <c r="E587" s="72" t="n"/>
      <c r="F587" s="73" t="n"/>
      <c r="G587" s="72" t="n"/>
      <c r="H587" s="73" t="n"/>
      <c r="I587" s="72" t="n"/>
      <c r="J587" s="73" t="n"/>
      <c r="K587" s="74" t="n"/>
      <c r="L587" s="75">
        <f>IF(K587="A",F587,IF(K587="B",H587,IF(K587="C",J587,"")))</f>
        <v/>
      </c>
      <c r="M587" s="72" t="n"/>
      <c r="N587" s="72" t="n"/>
      <c r="O587" s="89" t="n"/>
      <c r="P587" s="89" t="n"/>
      <c r="Q587" s="109" t="n"/>
      <c r="R587" s="120">
        <f>IF(B587="","",IF(Q587&lt;&gt;"",Q587,IF(P587="","",IFERROR(INDEX('Timeline'!$J$7:$J$1006,MATCH(P587,'Timeline'!$B$7:$B$1006,0)),""))))</f>
        <v/>
      </c>
      <c r="S587" s="126">
        <f>IF(R587="","",R587-IF(O587="",0,O587)-OrderBuf)</f>
        <v/>
      </c>
      <c r="T587" s="126">
        <f>IF(S587="","",S587-DecideBuf)</f>
        <v/>
      </c>
      <c r="U587" s="74" t="n"/>
      <c r="V587" s="109" t="n"/>
      <c r="W587" s="109" t="n"/>
      <c r="X587" s="74" t="n"/>
      <c r="Y587" s="116">
        <f>IF(B587="","",IF(X587="Yes","Delivered",IF(U587="Yes",IF(AND(W587&lt;&gt;"",R587&lt;&gt;""),IF(W587&gt;R587,"⚠️ Delivery after install date","Ordered"),"Ordered"),IF(K587="",IF(T587="","Waiting for decision",IF(T587&lt;=AsOf+AlertDays,"Decide now","Waiting for decision")),IF(S587="","Selected",IF(AsOf&gt;S587,"⚠️ Order late — install at risk",IF(S587&lt;=AsOf+AlertDays,"Order now","Selected")))))))</f>
        <v/>
      </c>
      <c r="Z587" s="79">
        <f>IF(B587="","",IF(OR(AH587=1,AE587=1),2,IF(OR(AG587=1,AF587=1),1,IF(OR(Y587="Ordered",Y587="Delivered"),0,""))))</f>
        <v/>
      </c>
      <c r="AA587" s="112">
        <f>IF(B587="","",IF(AH587=1,IF(Y587="⚠️ Delivery after install date",R587,S587),IF(AD587=1,T587,IF(AI587=1,S587,""))))</f>
        <v/>
      </c>
      <c r="AB587" s="79">
        <f>IF(AA587="","",IF(AH587=1,1,IF(AA587="","",IF(AA587&lt;AsOf,1,IF(AA587&lt;=AsOf+AlertDays,2,IF(AA587&lt;=AsOf+2*AlertDays,3,""))))))</f>
        <v/>
      </c>
      <c r="AC587" s="79">
        <f>IF(AB587="","",IF(AH587=1,IF(Y587="⚠️ Delivery after install date","Delivery after install date: "&amp;B587,"Order late — install at risk: "&amp;B587),IF(AD587=1,IF(AB587=1,"Decision overdue: ","Decide: ")&amp;B587,"Order: "&amp;B587&amp;IF(N587="",""," from "&amp;N587))))</f>
        <v/>
      </c>
      <c r="AD587" s="79">
        <f>IF(AND(B587&lt;&gt;"",K587="",U587&lt;&gt;"Yes",X587&lt;&gt;"Yes"),1,0)</f>
        <v/>
      </c>
      <c r="AE587" s="79">
        <f>IF(AND(AD587=1,T587&lt;&gt;""),IF(T587&lt;AsOf,1,0),0)</f>
        <v/>
      </c>
      <c r="AF587" s="79">
        <f>IF(AND(AD587=1,T587&lt;&gt;""),IF(AND(T587&gt;=AsOf,T587&lt;=AsOf+AlertDays),1,0),0)</f>
        <v/>
      </c>
      <c r="AG587" s="79">
        <f>IF(Y587="Order now",1,0)</f>
        <v/>
      </c>
      <c r="AH587" s="79">
        <f>IF(OR(Y587="⚠️ Order late — install at risk",Y587="⚠️ Delivery after install date"),1,0)</f>
        <v/>
      </c>
      <c r="AI587" s="79">
        <f>IF(AND(B587&lt;&gt;"",K587&lt;&gt;"",U587&lt;&gt;"Yes",X587&lt;&gt;"Yes"),1,0)</f>
        <v/>
      </c>
      <c r="AJ587" s="79">
        <f>IF(Y587="⚠️ Order late — install at risk",1,0)</f>
        <v/>
      </c>
    </row>
    <row r="588" ht="20" customHeight="1">
      <c r="B588" s="72" t="n"/>
      <c r="C588" s="72" t="n"/>
      <c r="D588" s="72" t="n"/>
      <c r="E588" s="72" t="n"/>
      <c r="F588" s="73" t="n"/>
      <c r="G588" s="72" t="n"/>
      <c r="H588" s="73" t="n"/>
      <c r="I588" s="72" t="n"/>
      <c r="J588" s="73" t="n"/>
      <c r="K588" s="74" t="n"/>
      <c r="L588" s="75">
        <f>IF(K588="A",F588,IF(K588="B",H588,IF(K588="C",J588,"")))</f>
        <v/>
      </c>
      <c r="M588" s="72" t="n"/>
      <c r="N588" s="72" t="n"/>
      <c r="O588" s="89" t="n"/>
      <c r="P588" s="89" t="n"/>
      <c r="Q588" s="109" t="n"/>
      <c r="R588" s="120">
        <f>IF(B588="","",IF(Q588&lt;&gt;"",Q588,IF(P588="","",IFERROR(INDEX('Timeline'!$J$7:$J$1006,MATCH(P588,'Timeline'!$B$7:$B$1006,0)),""))))</f>
        <v/>
      </c>
      <c r="S588" s="126">
        <f>IF(R588="","",R588-IF(O588="",0,O588)-OrderBuf)</f>
        <v/>
      </c>
      <c r="T588" s="126">
        <f>IF(S588="","",S588-DecideBuf)</f>
        <v/>
      </c>
      <c r="U588" s="74" t="n"/>
      <c r="V588" s="109" t="n"/>
      <c r="W588" s="109" t="n"/>
      <c r="X588" s="74" t="n"/>
      <c r="Y588" s="116">
        <f>IF(B588="","",IF(X588="Yes","Delivered",IF(U588="Yes",IF(AND(W588&lt;&gt;"",R588&lt;&gt;""),IF(W588&gt;R588,"⚠️ Delivery after install date","Ordered"),"Ordered"),IF(K588="",IF(T588="","Waiting for decision",IF(T588&lt;=AsOf+AlertDays,"Decide now","Waiting for decision")),IF(S588="","Selected",IF(AsOf&gt;S588,"⚠️ Order late — install at risk",IF(S588&lt;=AsOf+AlertDays,"Order now","Selected")))))))</f>
        <v/>
      </c>
      <c r="Z588" s="79">
        <f>IF(B588="","",IF(OR(AH588=1,AE588=1),2,IF(OR(AG588=1,AF588=1),1,IF(OR(Y588="Ordered",Y588="Delivered"),0,""))))</f>
        <v/>
      </c>
      <c r="AA588" s="112">
        <f>IF(B588="","",IF(AH588=1,IF(Y588="⚠️ Delivery after install date",R588,S588),IF(AD588=1,T588,IF(AI588=1,S588,""))))</f>
        <v/>
      </c>
      <c r="AB588" s="79">
        <f>IF(AA588="","",IF(AH588=1,1,IF(AA588="","",IF(AA588&lt;AsOf,1,IF(AA588&lt;=AsOf+AlertDays,2,IF(AA588&lt;=AsOf+2*AlertDays,3,""))))))</f>
        <v/>
      </c>
      <c r="AC588" s="79">
        <f>IF(AB588="","",IF(AH588=1,IF(Y588="⚠️ Delivery after install date","Delivery after install date: "&amp;B588,"Order late — install at risk: "&amp;B588),IF(AD588=1,IF(AB588=1,"Decision overdue: ","Decide: ")&amp;B588,"Order: "&amp;B588&amp;IF(N588="",""," from "&amp;N588))))</f>
        <v/>
      </c>
      <c r="AD588" s="79">
        <f>IF(AND(B588&lt;&gt;"",K588="",U588&lt;&gt;"Yes",X588&lt;&gt;"Yes"),1,0)</f>
        <v/>
      </c>
      <c r="AE588" s="79">
        <f>IF(AND(AD588=1,T588&lt;&gt;""),IF(T588&lt;AsOf,1,0),0)</f>
        <v/>
      </c>
      <c r="AF588" s="79">
        <f>IF(AND(AD588=1,T588&lt;&gt;""),IF(AND(T588&gt;=AsOf,T588&lt;=AsOf+AlertDays),1,0),0)</f>
        <v/>
      </c>
      <c r="AG588" s="79">
        <f>IF(Y588="Order now",1,0)</f>
        <v/>
      </c>
      <c r="AH588" s="79">
        <f>IF(OR(Y588="⚠️ Order late — install at risk",Y588="⚠️ Delivery after install date"),1,0)</f>
        <v/>
      </c>
      <c r="AI588" s="79">
        <f>IF(AND(B588&lt;&gt;"",K588&lt;&gt;"",U588&lt;&gt;"Yes",X588&lt;&gt;"Yes"),1,0)</f>
        <v/>
      </c>
      <c r="AJ588" s="79">
        <f>IF(Y588="⚠️ Order late — install at risk",1,0)</f>
        <v/>
      </c>
    </row>
    <row r="589" ht="20" customHeight="1">
      <c r="B589" s="72" t="n"/>
      <c r="C589" s="72" t="n"/>
      <c r="D589" s="72" t="n"/>
      <c r="E589" s="72" t="n"/>
      <c r="F589" s="73" t="n"/>
      <c r="G589" s="72" t="n"/>
      <c r="H589" s="73" t="n"/>
      <c r="I589" s="72" t="n"/>
      <c r="J589" s="73" t="n"/>
      <c r="K589" s="74" t="n"/>
      <c r="L589" s="75">
        <f>IF(K589="A",F589,IF(K589="B",H589,IF(K589="C",J589,"")))</f>
        <v/>
      </c>
      <c r="M589" s="72" t="n"/>
      <c r="N589" s="72" t="n"/>
      <c r="O589" s="89" t="n"/>
      <c r="P589" s="89" t="n"/>
      <c r="Q589" s="109" t="n"/>
      <c r="R589" s="120">
        <f>IF(B589="","",IF(Q589&lt;&gt;"",Q589,IF(P589="","",IFERROR(INDEX('Timeline'!$J$7:$J$1006,MATCH(P589,'Timeline'!$B$7:$B$1006,0)),""))))</f>
        <v/>
      </c>
      <c r="S589" s="126">
        <f>IF(R589="","",R589-IF(O589="",0,O589)-OrderBuf)</f>
        <v/>
      </c>
      <c r="T589" s="126">
        <f>IF(S589="","",S589-DecideBuf)</f>
        <v/>
      </c>
      <c r="U589" s="74" t="n"/>
      <c r="V589" s="109" t="n"/>
      <c r="W589" s="109" t="n"/>
      <c r="X589" s="74" t="n"/>
      <c r="Y589" s="116">
        <f>IF(B589="","",IF(X589="Yes","Delivered",IF(U589="Yes",IF(AND(W589&lt;&gt;"",R589&lt;&gt;""),IF(W589&gt;R589,"⚠️ Delivery after install date","Ordered"),"Ordered"),IF(K589="",IF(T589="","Waiting for decision",IF(T589&lt;=AsOf+AlertDays,"Decide now","Waiting for decision")),IF(S589="","Selected",IF(AsOf&gt;S589,"⚠️ Order late — install at risk",IF(S589&lt;=AsOf+AlertDays,"Order now","Selected")))))))</f>
        <v/>
      </c>
      <c r="Z589" s="79">
        <f>IF(B589="","",IF(OR(AH589=1,AE589=1),2,IF(OR(AG589=1,AF589=1),1,IF(OR(Y589="Ordered",Y589="Delivered"),0,""))))</f>
        <v/>
      </c>
      <c r="AA589" s="112">
        <f>IF(B589="","",IF(AH589=1,IF(Y589="⚠️ Delivery after install date",R589,S589),IF(AD589=1,T589,IF(AI589=1,S589,""))))</f>
        <v/>
      </c>
      <c r="AB589" s="79">
        <f>IF(AA589="","",IF(AH589=1,1,IF(AA589="","",IF(AA589&lt;AsOf,1,IF(AA589&lt;=AsOf+AlertDays,2,IF(AA589&lt;=AsOf+2*AlertDays,3,""))))))</f>
        <v/>
      </c>
      <c r="AC589" s="79">
        <f>IF(AB589="","",IF(AH589=1,IF(Y589="⚠️ Delivery after install date","Delivery after install date: "&amp;B589,"Order late — install at risk: "&amp;B589),IF(AD589=1,IF(AB589=1,"Decision overdue: ","Decide: ")&amp;B589,"Order: "&amp;B589&amp;IF(N589="",""," from "&amp;N589))))</f>
        <v/>
      </c>
      <c r="AD589" s="79">
        <f>IF(AND(B589&lt;&gt;"",K589="",U589&lt;&gt;"Yes",X589&lt;&gt;"Yes"),1,0)</f>
        <v/>
      </c>
      <c r="AE589" s="79">
        <f>IF(AND(AD589=1,T589&lt;&gt;""),IF(T589&lt;AsOf,1,0),0)</f>
        <v/>
      </c>
      <c r="AF589" s="79">
        <f>IF(AND(AD589=1,T589&lt;&gt;""),IF(AND(T589&gt;=AsOf,T589&lt;=AsOf+AlertDays),1,0),0)</f>
        <v/>
      </c>
      <c r="AG589" s="79">
        <f>IF(Y589="Order now",1,0)</f>
        <v/>
      </c>
      <c r="AH589" s="79">
        <f>IF(OR(Y589="⚠️ Order late — install at risk",Y589="⚠️ Delivery after install date"),1,0)</f>
        <v/>
      </c>
      <c r="AI589" s="79">
        <f>IF(AND(B589&lt;&gt;"",K589&lt;&gt;"",U589&lt;&gt;"Yes",X589&lt;&gt;"Yes"),1,0)</f>
        <v/>
      </c>
      <c r="AJ589" s="79">
        <f>IF(Y589="⚠️ Order late — install at risk",1,0)</f>
        <v/>
      </c>
    </row>
    <row r="590" ht="20" customHeight="1">
      <c r="B590" s="72" t="n"/>
      <c r="C590" s="72" t="n"/>
      <c r="D590" s="72" t="n"/>
      <c r="E590" s="72" t="n"/>
      <c r="F590" s="73" t="n"/>
      <c r="G590" s="72" t="n"/>
      <c r="H590" s="73" t="n"/>
      <c r="I590" s="72" t="n"/>
      <c r="J590" s="73" t="n"/>
      <c r="K590" s="74" t="n"/>
      <c r="L590" s="75">
        <f>IF(K590="A",F590,IF(K590="B",H590,IF(K590="C",J590,"")))</f>
        <v/>
      </c>
      <c r="M590" s="72" t="n"/>
      <c r="N590" s="72" t="n"/>
      <c r="O590" s="89" t="n"/>
      <c r="P590" s="89" t="n"/>
      <c r="Q590" s="109" t="n"/>
      <c r="R590" s="120">
        <f>IF(B590="","",IF(Q590&lt;&gt;"",Q590,IF(P590="","",IFERROR(INDEX('Timeline'!$J$7:$J$1006,MATCH(P590,'Timeline'!$B$7:$B$1006,0)),""))))</f>
        <v/>
      </c>
      <c r="S590" s="126">
        <f>IF(R590="","",R590-IF(O590="",0,O590)-OrderBuf)</f>
        <v/>
      </c>
      <c r="T590" s="126">
        <f>IF(S590="","",S590-DecideBuf)</f>
        <v/>
      </c>
      <c r="U590" s="74" t="n"/>
      <c r="V590" s="109" t="n"/>
      <c r="W590" s="109" t="n"/>
      <c r="X590" s="74" t="n"/>
      <c r="Y590" s="116">
        <f>IF(B590="","",IF(X590="Yes","Delivered",IF(U590="Yes",IF(AND(W590&lt;&gt;"",R590&lt;&gt;""),IF(W590&gt;R590,"⚠️ Delivery after install date","Ordered"),"Ordered"),IF(K590="",IF(T590="","Waiting for decision",IF(T590&lt;=AsOf+AlertDays,"Decide now","Waiting for decision")),IF(S590="","Selected",IF(AsOf&gt;S590,"⚠️ Order late — install at risk",IF(S590&lt;=AsOf+AlertDays,"Order now","Selected")))))))</f>
        <v/>
      </c>
      <c r="Z590" s="79">
        <f>IF(B590="","",IF(OR(AH590=1,AE590=1),2,IF(OR(AG590=1,AF590=1),1,IF(OR(Y590="Ordered",Y590="Delivered"),0,""))))</f>
        <v/>
      </c>
      <c r="AA590" s="112">
        <f>IF(B590="","",IF(AH590=1,IF(Y590="⚠️ Delivery after install date",R590,S590),IF(AD590=1,T590,IF(AI590=1,S590,""))))</f>
        <v/>
      </c>
      <c r="AB590" s="79">
        <f>IF(AA590="","",IF(AH590=1,1,IF(AA590="","",IF(AA590&lt;AsOf,1,IF(AA590&lt;=AsOf+AlertDays,2,IF(AA590&lt;=AsOf+2*AlertDays,3,""))))))</f>
        <v/>
      </c>
      <c r="AC590" s="79">
        <f>IF(AB590="","",IF(AH590=1,IF(Y590="⚠️ Delivery after install date","Delivery after install date: "&amp;B590,"Order late — install at risk: "&amp;B590),IF(AD590=1,IF(AB590=1,"Decision overdue: ","Decide: ")&amp;B590,"Order: "&amp;B590&amp;IF(N590="",""," from "&amp;N590))))</f>
        <v/>
      </c>
      <c r="AD590" s="79">
        <f>IF(AND(B590&lt;&gt;"",K590="",U590&lt;&gt;"Yes",X590&lt;&gt;"Yes"),1,0)</f>
        <v/>
      </c>
      <c r="AE590" s="79">
        <f>IF(AND(AD590=1,T590&lt;&gt;""),IF(T590&lt;AsOf,1,0),0)</f>
        <v/>
      </c>
      <c r="AF590" s="79">
        <f>IF(AND(AD590=1,T590&lt;&gt;""),IF(AND(T590&gt;=AsOf,T590&lt;=AsOf+AlertDays),1,0),0)</f>
        <v/>
      </c>
      <c r="AG590" s="79">
        <f>IF(Y590="Order now",1,0)</f>
        <v/>
      </c>
      <c r="AH590" s="79">
        <f>IF(OR(Y590="⚠️ Order late — install at risk",Y590="⚠️ Delivery after install date"),1,0)</f>
        <v/>
      </c>
      <c r="AI590" s="79">
        <f>IF(AND(B590&lt;&gt;"",K590&lt;&gt;"",U590&lt;&gt;"Yes",X590&lt;&gt;"Yes"),1,0)</f>
        <v/>
      </c>
      <c r="AJ590" s="79">
        <f>IF(Y590="⚠️ Order late — install at risk",1,0)</f>
        <v/>
      </c>
    </row>
    <row r="591" ht="20" customHeight="1">
      <c r="B591" s="72" t="n"/>
      <c r="C591" s="72" t="n"/>
      <c r="D591" s="72" t="n"/>
      <c r="E591" s="72" t="n"/>
      <c r="F591" s="73" t="n"/>
      <c r="G591" s="72" t="n"/>
      <c r="H591" s="73" t="n"/>
      <c r="I591" s="72" t="n"/>
      <c r="J591" s="73" t="n"/>
      <c r="K591" s="74" t="n"/>
      <c r="L591" s="75">
        <f>IF(K591="A",F591,IF(K591="B",H591,IF(K591="C",J591,"")))</f>
        <v/>
      </c>
      <c r="M591" s="72" t="n"/>
      <c r="N591" s="72" t="n"/>
      <c r="O591" s="89" t="n"/>
      <c r="P591" s="89" t="n"/>
      <c r="Q591" s="109" t="n"/>
      <c r="R591" s="120">
        <f>IF(B591="","",IF(Q591&lt;&gt;"",Q591,IF(P591="","",IFERROR(INDEX('Timeline'!$J$7:$J$1006,MATCH(P591,'Timeline'!$B$7:$B$1006,0)),""))))</f>
        <v/>
      </c>
      <c r="S591" s="126">
        <f>IF(R591="","",R591-IF(O591="",0,O591)-OrderBuf)</f>
        <v/>
      </c>
      <c r="T591" s="126">
        <f>IF(S591="","",S591-DecideBuf)</f>
        <v/>
      </c>
      <c r="U591" s="74" t="n"/>
      <c r="V591" s="109" t="n"/>
      <c r="W591" s="109" t="n"/>
      <c r="X591" s="74" t="n"/>
      <c r="Y591" s="116">
        <f>IF(B591="","",IF(X591="Yes","Delivered",IF(U591="Yes",IF(AND(W591&lt;&gt;"",R591&lt;&gt;""),IF(W591&gt;R591,"⚠️ Delivery after install date","Ordered"),"Ordered"),IF(K591="",IF(T591="","Waiting for decision",IF(T591&lt;=AsOf+AlertDays,"Decide now","Waiting for decision")),IF(S591="","Selected",IF(AsOf&gt;S591,"⚠️ Order late — install at risk",IF(S591&lt;=AsOf+AlertDays,"Order now","Selected")))))))</f>
        <v/>
      </c>
      <c r="Z591" s="79">
        <f>IF(B591="","",IF(OR(AH591=1,AE591=1),2,IF(OR(AG591=1,AF591=1),1,IF(OR(Y591="Ordered",Y591="Delivered"),0,""))))</f>
        <v/>
      </c>
      <c r="AA591" s="112">
        <f>IF(B591="","",IF(AH591=1,IF(Y591="⚠️ Delivery after install date",R591,S591),IF(AD591=1,T591,IF(AI591=1,S591,""))))</f>
        <v/>
      </c>
      <c r="AB591" s="79">
        <f>IF(AA591="","",IF(AH591=1,1,IF(AA591="","",IF(AA591&lt;AsOf,1,IF(AA591&lt;=AsOf+AlertDays,2,IF(AA591&lt;=AsOf+2*AlertDays,3,""))))))</f>
        <v/>
      </c>
      <c r="AC591" s="79">
        <f>IF(AB591="","",IF(AH591=1,IF(Y591="⚠️ Delivery after install date","Delivery after install date: "&amp;B591,"Order late — install at risk: "&amp;B591),IF(AD591=1,IF(AB591=1,"Decision overdue: ","Decide: ")&amp;B591,"Order: "&amp;B591&amp;IF(N591="",""," from "&amp;N591))))</f>
        <v/>
      </c>
      <c r="AD591" s="79">
        <f>IF(AND(B591&lt;&gt;"",K591="",U591&lt;&gt;"Yes",X591&lt;&gt;"Yes"),1,0)</f>
        <v/>
      </c>
      <c r="AE591" s="79">
        <f>IF(AND(AD591=1,T591&lt;&gt;""),IF(T591&lt;AsOf,1,0),0)</f>
        <v/>
      </c>
      <c r="AF591" s="79">
        <f>IF(AND(AD591=1,T591&lt;&gt;""),IF(AND(T591&gt;=AsOf,T591&lt;=AsOf+AlertDays),1,0),0)</f>
        <v/>
      </c>
      <c r="AG591" s="79">
        <f>IF(Y591="Order now",1,0)</f>
        <v/>
      </c>
      <c r="AH591" s="79">
        <f>IF(OR(Y591="⚠️ Order late — install at risk",Y591="⚠️ Delivery after install date"),1,0)</f>
        <v/>
      </c>
      <c r="AI591" s="79">
        <f>IF(AND(B591&lt;&gt;"",K591&lt;&gt;"",U591&lt;&gt;"Yes",X591&lt;&gt;"Yes"),1,0)</f>
        <v/>
      </c>
      <c r="AJ591" s="79">
        <f>IF(Y591="⚠️ Order late — install at risk",1,0)</f>
        <v/>
      </c>
    </row>
    <row r="592" ht="20" customHeight="1">
      <c r="B592" s="72" t="n"/>
      <c r="C592" s="72" t="n"/>
      <c r="D592" s="72" t="n"/>
      <c r="E592" s="72" t="n"/>
      <c r="F592" s="73" t="n"/>
      <c r="G592" s="72" t="n"/>
      <c r="H592" s="73" t="n"/>
      <c r="I592" s="72" t="n"/>
      <c r="J592" s="73" t="n"/>
      <c r="K592" s="74" t="n"/>
      <c r="L592" s="75">
        <f>IF(K592="A",F592,IF(K592="B",H592,IF(K592="C",J592,"")))</f>
        <v/>
      </c>
      <c r="M592" s="72" t="n"/>
      <c r="N592" s="72" t="n"/>
      <c r="O592" s="89" t="n"/>
      <c r="P592" s="89" t="n"/>
      <c r="Q592" s="109" t="n"/>
      <c r="R592" s="120">
        <f>IF(B592="","",IF(Q592&lt;&gt;"",Q592,IF(P592="","",IFERROR(INDEX('Timeline'!$J$7:$J$1006,MATCH(P592,'Timeline'!$B$7:$B$1006,0)),""))))</f>
        <v/>
      </c>
      <c r="S592" s="126">
        <f>IF(R592="","",R592-IF(O592="",0,O592)-OrderBuf)</f>
        <v/>
      </c>
      <c r="T592" s="126">
        <f>IF(S592="","",S592-DecideBuf)</f>
        <v/>
      </c>
      <c r="U592" s="74" t="n"/>
      <c r="V592" s="109" t="n"/>
      <c r="W592" s="109" t="n"/>
      <c r="X592" s="74" t="n"/>
      <c r="Y592" s="116">
        <f>IF(B592="","",IF(X592="Yes","Delivered",IF(U592="Yes",IF(AND(W592&lt;&gt;"",R592&lt;&gt;""),IF(W592&gt;R592,"⚠️ Delivery after install date","Ordered"),"Ordered"),IF(K592="",IF(T592="","Waiting for decision",IF(T592&lt;=AsOf+AlertDays,"Decide now","Waiting for decision")),IF(S592="","Selected",IF(AsOf&gt;S592,"⚠️ Order late — install at risk",IF(S592&lt;=AsOf+AlertDays,"Order now","Selected")))))))</f>
        <v/>
      </c>
      <c r="Z592" s="79">
        <f>IF(B592="","",IF(OR(AH592=1,AE592=1),2,IF(OR(AG592=1,AF592=1),1,IF(OR(Y592="Ordered",Y592="Delivered"),0,""))))</f>
        <v/>
      </c>
      <c r="AA592" s="112">
        <f>IF(B592="","",IF(AH592=1,IF(Y592="⚠️ Delivery after install date",R592,S592),IF(AD592=1,T592,IF(AI592=1,S592,""))))</f>
        <v/>
      </c>
      <c r="AB592" s="79">
        <f>IF(AA592="","",IF(AH592=1,1,IF(AA592="","",IF(AA592&lt;AsOf,1,IF(AA592&lt;=AsOf+AlertDays,2,IF(AA592&lt;=AsOf+2*AlertDays,3,""))))))</f>
        <v/>
      </c>
      <c r="AC592" s="79">
        <f>IF(AB592="","",IF(AH592=1,IF(Y592="⚠️ Delivery after install date","Delivery after install date: "&amp;B592,"Order late — install at risk: "&amp;B592),IF(AD592=1,IF(AB592=1,"Decision overdue: ","Decide: ")&amp;B592,"Order: "&amp;B592&amp;IF(N592="",""," from "&amp;N592))))</f>
        <v/>
      </c>
      <c r="AD592" s="79">
        <f>IF(AND(B592&lt;&gt;"",K592="",U592&lt;&gt;"Yes",X592&lt;&gt;"Yes"),1,0)</f>
        <v/>
      </c>
      <c r="AE592" s="79">
        <f>IF(AND(AD592=1,T592&lt;&gt;""),IF(T592&lt;AsOf,1,0),0)</f>
        <v/>
      </c>
      <c r="AF592" s="79">
        <f>IF(AND(AD592=1,T592&lt;&gt;""),IF(AND(T592&gt;=AsOf,T592&lt;=AsOf+AlertDays),1,0),0)</f>
        <v/>
      </c>
      <c r="AG592" s="79">
        <f>IF(Y592="Order now",1,0)</f>
        <v/>
      </c>
      <c r="AH592" s="79">
        <f>IF(OR(Y592="⚠️ Order late — install at risk",Y592="⚠️ Delivery after install date"),1,0)</f>
        <v/>
      </c>
      <c r="AI592" s="79">
        <f>IF(AND(B592&lt;&gt;"",K592&lt;&gt;"",U592&lt;&gt;"Yes",X592&lt;&gt;"Yes"),1,0)</f>
        <v/>
      </c>
      <c r="AJ592" s="79">
        <f>IF(Y592="⚠️ Order late — install at risk",1,0)</f>
        <v/>
      </c>
    </row>
    <row r="593" ht="20" customHeight="1">
      <c r="B593" s="72" t="n"/>
      <c r="C593" s="72" t="n"/>
      <c r="D593" s="72" t="n"/>
      <c r="E593" s="72" t="n"/>
      <c r="F593" s="73" t="n"/>
      <c r="G593" s="72" t="n"/>
      <c r="H593" s="73" t="n"/>
      <c r="I593" s="72" t="n"/>
      <c r="J593" s="73" t="n"/>
      <c r="K593" s="74" t="n"/>
      <c r="L593" s="75">
        <f>IF(K593="A",F593,IF(K593="B",H593,IF(K593="C",J593,"")))</f>
        <v/>
      </c>
      <c r="M593" s="72" t="n"/>
      <c r="N593" s="72" t="n"/>
      <c r="O593" s="89" t="n"/>
      <c r="P593" s="89" t="n"/>
      <c r="Q593" s="109" t="n"/>
      <c r="R593" s="120">
        <f>IF(B593="","",IF(Q593&lt;&gt;"",Q593,IF(P593="","",IFERROR(INDEX('Timeline'!$J$7:$J$1006,MATCH(P593,'Timeline'!$B$7:$B$1006,0)),""))))</f>
        <v/>
      </c>
      <c r="S593" s="126">
        <f>IF(R593="","",R593-IF(O593="",0,O593)-OrderBuf)</f>
        <v/>
      </c>
      <c r="T593" s="126">
        <f>IF(S593="","",S593-DecideBuf)</f>
        <v/>
      </c>
      <c r="U593" s="74" t="n"/>
      <c r="V593" s="109" t="n"/>
      <c r="W593" s="109" t="n"/>
      <c r="X593" s="74" t="n"/>
      <c r="Y593" s="116">
        <f>IF(B593="","",IF(X593="Yes","Delivered",IF(U593="Yes",IF(AND(W593&lt;&gt;"",R593&lt;&gt;""),IF(W593&gt;R593,"⚠️ Delivery after install date","Ordered"),"Ordered"),IF(K593="",IF(T593="","Waiting for decision",IF(T593&lt;=AsOf+AlertDays,"Decide now","Waiting for decision")),IF(S593="","Selected",IF(AsOf&gt;S593,"⚠️ Order late — install at risk",IF(S593&lt;=AsOf+AlertDays,"Order now","Selected")))))))</f>
        <v/>
      </c>
      <c r="Z593" s="79">
        <f>IF(B593="","",IF(OR(AH593=1,AE593=1),2,IF(OR(AG593=1,AF593=1),1,IF(OR(Y593="Ordered",Y593="Delivered"),0,""))))</f>
        <v/>
      </c>
      <c r="AA593" s="112">
        <f>IF(B593="","",IF(AH593=1,IF(Y593="⚠️ Delivery after install date",R593,S593),IF(AD593=1,T593,IF(AI593=1,S593,""))))</f>
        <v/>
      </c>
      <c r="AB593" s="79">
        <f>IF(AA593="","",IF(AH593=1,1,IF(AA593="","",IF(AA593&lt;AsOf,1,IF(AA593&lt;=AsOf+AlertDays,2,IF(AA593&lt;=AsOf+2*AlertDays,3,""))))))</f>
        <v/>
      </c>
      <c r="AC593" s="79">
        <f>IF(AB593="","",IF(AH593=1,IF(Y593="⚠️ Delivery after install date","Delivery after install date: "&amp;B593,"Order late — install at risk: "&amp;B593),IF(AD593=1,IF(AB593=1,"Decision overdue: ","Decide: ")&amp;B593,"Order: "&amp;B593&amp;IF(N593="",""," from "&amp;N593))))</f>
        <v/>
      </c>
      <c r="AD593" s="79">
        <f>IF(AND(B593&lt;&gt;"",K593="",U593&lt;&gt;"Yes",X593&lt;&gt;"Yes"),1,0)</f>
        <v/>
      </c>
      <c r="AE593" s="79">
        <f>IF(AND(AD593=1,T593&lt;&gt;""),IF(T593&lt;AsOf,1,0),0)</f>
        <v/>
      </c>
      <c r="AF593" s="79">
        <f>IF(AND(AD593=1,T593&lt;&gt;""),IF(AND(T593&gt;=AsOf,T593&lt;=AsOf+AlertDays),1,0),0)</f>
        <v/>
      </c>
      <c r="AG593" s="79">
        <f>IF(Y593="Order now",1,0)</f>
        <v/>
      </c>
      <c r="AH593" s="79">
        <f>IF(OR(Y593="⚠️ Order late — install at risk",Y593="⚠️ Delivery after install date"),1,0)</f>
        <v/>
      </c>
      <c r="AI593" s="79">
        <f>IF(AND(B593&lt;&gt;"",K593&lt;&gt;"",U593&lt;&gt;"Yes",X593&lt;&gt;"Yes"),1,0)</f>
        <v/>
      </c>
      <c r="AJ593" s="79">
        <f>IF(Y593="⚠️ Order late — install at risk",1,0)</f>
        <v/>
      </c>
    </row>
    <row r="594" ht="20" customHeight="1">
      <c r="B594" s="72" t="n"/>
      <c r="C594" s="72" t="n"/>
      <c r="D594" s="72" t="n"/>
      <c r="E594" s="72" t="n"/>
      <c r="F594" s="73" t="n"/>
      <c r="G594" s="72" t="n"/>
      <c r="H594" s="73" t="n"/>
      <c r="I594" s="72" t="n"/>
      <c r="J594" s="73" t="n"/>
      <c r="K594" s="74" t="n"/>
      <c r="L594" s="75">
        <f>IF(K594="A",F594,IF(K594="B",H594,IF(K594="C",J594,"")))</f>
        <v/>
      </c>
      <c r="M594" s="72" t="n"/>
      <c r="N594" s="72" t="n"/>
      <c r="O594" s="89" t="n"/>
      <c r="P594" s="89" t="n"/>
      <c r="Q594" s="109" t="n"/>
      <c r="R594" s="120">
        <f>IF(B594="","",IF(Q594&lt;&gt;"",Q594,IF(P594="","",IFERROR(INDEX('Timeline'!$J$7:$J$1006,MATCH(P594,'Timeline'!$B$7:$B$1006,0)),""))))</f>
        <v/>
      </c>
      <c r="S594" s="126">
        <f>IF(R594="","",R594-IF(O594="",0,O594)-OrderBuf)</f>
        <v/>
      </c>
      <c r="T594" s="126">
        <f>IF(S594="","",S594-DecideBuf)</f>
        <v/>
      </c>
      <c r="U594" s="74" t="n"/>
      <c r="V594" s="109" t="n"/>
      <c r="W594" s="109" t="n"/>
      <c r="X594" s="74" t="n"/>
      <c r="Y594" s="116">
        <f>IF(B594="","",IF(X594="Yes","Delivered",IF(U594="Yes",IF(AND(W594&lt;&gt;"",R594&lt;&gt;""),IF(W594&gt;R594,"⚠️ Delivery after install date","Ordered"),"Ordered"),IF(K594="",IF(T594="","Waiting for decision",IF(T594&lt;=AsOf+AlertDays,"Decide now","Waiting for decision")),IF(S594="","Selected",IF(AsOf&gt;S594,"⚠️ Order late — install at risk",IF(S594&lt;=AsOf+AlertDays,"Order now","Selected")))))))</f>
        <v/>
      </c>
      <c r="Z594" s="79">
        <f>IF(B594="","",IF(OR(AH594=1,AE594=1),2,IF(OR(AG594=1,AF594=1),1,IF(OR(Y594="Ordered",Y594="Delivered"),0,""))))</f>
        <v/>
      </c>
      <c r="AA594" s="112">
        <f>IF(B594="","",IF(AH594=1,IF(Y594="⚠️ Delivery after install date",R594,S594),IF(AD594=1,T594,IF(AI594=1,S594,""))))</f>
        <v/>
      </c>
      <c r="AB594" s="79">
        <f>IF(AA594="","",IF(AH594=1,1,IF(AA594="","",IF(AA594&lt;AsOf,1,IF(AA594&lt;=AsOf+AlertDays,2,IF(AA594&lt;=AsOf+2*AlertDays,3,""))))))</f>
        <v/>
      </c>
      <c r="AC594" s="79">
        <f>IF(AB594="","",IF(AH594=1,IF(Y594="⚠️ Delivery after install date","Delivery after install date: "&amp;B594,"Order late — install at risk: "&amp;B594),IF(AD594=1,IF(AB594=1,"Decision overdue: ","Decide: ")&amp;B594,"Order: "&amp;B594&amp;IF(N594="",""," from "&amp;N594))))</f>
        <v/>
      </c>
      <c r="AD594" s="79">
        <f>IF(AND(B594&lt;&gt;"",K594="",U594&lt;&gt;"Yes",X594&lt;&gt;"Yes"),1,0)</f>
        <v/>
      </c>
      <c r="AE594" s="79">
        <f>IF(AND(AD594=1,T594&lt;&gt;""),IF(T594&lt;AsOf,1,0),0)</f>
        <v/>
      </c>
      <c r="AF594" s="79">
        <f>IF(AND(AD594=1,T594&lt;&gt;""),IF(AND(T594&gt;=AsOf,T594&lt;=AsOf+AlertDays),1,0),0)</f>
        <v/>
      </c>
      <c r="AG594" s="79">
        <f>IF(Y594="Order now",1,0)</f>
        <v/>
      </c>
      <c r="AH594" s="79">
        <f>IF(OR(Y594="⚠️ Order late — install at risk",Y594="⚠️ Delivery after install date"),1,0)</f>
        <v/>
      </c>
      <c r="AI594" s="79">
        <f>IF(AND(B594&lt;&gt;"",K594&lt;&gt;"",U594&lt;&gt;"Yes",X594&lt;&gt;"Yes"),1,0)</f>
        <v/>
      </c>
      <c r="AJ594" s="79">
        <f>IF(Y594="⚠️ Order late — install at risk",1,0)</f>
        <v/>
      </c>
    </row>
    <row r="595" ht="20" customHeight="1">
      <c r="B595" s="72" t="n"/>
      <c r="C595" s="72" t="n"/>
      <c r="D595" s="72" t="n"/>
      <c r="E595" s="72" t="n"/>
      <c r="F595" s="73" t="n"/>
      <c r="G595" s="72" t="n"/>
      <c r="H595" s="73" t="n"/>
      <c r="I595" s="72" t="n"/>
      <c r="J595" s="73" t="n"/>
      <c r="K595" s="74" t="n"/>
      <c r="L595" s="75">
        <f>IF(K595="A",F595,IF(K595="B",H595,IF(K595="C",J595,"")))</f>
        <v/>
      </c>
      <c r="M595" s="72" t="n"/>
      <c r="N595" s="72" t="n"/>
      <c r="O595" s="89" t="n"/>
      <c r="P595" s="89" t="n"/>
      <c r="Q595" s="109" t="n"/>
      <c r="R595" s="120">
        <f>IF(B595="","",IF(Q595&lt;&gt;"",Q595,IF(P595="","",IFERROR(INDEX('Timeline'!$J$7:$J$1006,MATCH(P595,'Timeline'!$B$7:$B$1006,0)),""))))</f>
        <v/>
      </c>
      <c r="S595" s="126">
        <f>IF(R595="","",R595-IF(O595="",0,O595)-OrderBuf)</f>
        <v/>
      </c>
      <c r="T595" s="126">
        <f>IF(S595="","",S595-DecideBuf)</f>
        <v/>
      </c>
      <c r="U595" s="74" t="n"/>
      <c r="V595" s="109" t="n"/>
      <c r="W595" s="109" t="n"/>
      <c r="X595" s="74" t="n"/>
      <c r="Y595" s="116">
        <f>IF(B595="","",IF(X595="Yes","Delivered",IF(U595="Yes",IF(AND(W595&lt;&gt;"",R595&lt;&gt;""),IF(W595&gt;R595,"⚠️ Delivery after install date","Ordered"),"Ordered"),IF(K595="",IF(T595="","Waiting for decision",IF(T595&lt;=AsOf+AlertDays,"Decide now","Waiting for decision")),IF(S595="","Selected",IF(AsOf&gt;S595,"⚠️ Order late — install at risk",IF(S595&lt;=AsOf+AlertDays,"Order now","Selected")))))))</f>
        <v/>
      </c>
      <c r="Z595" s="79">
        <f>IF(B595="","",IF(OR(AH595=1,AE595=1),2,IF(OR(AG595=1,AF595=1),1,IF(OR(Y595="Ordered",Y595="Delivered"),0,""))))</f>
        <v/>
      </c>
      <c r="AA595" s="112">
        <f>IF(B595="","",IF(AH595=1,IF(Y595="⚠️ Delivery after install date",R595,S595),IF(AD595=1,T595,IF(AI595=1,S595,""))))</f>
        <v/>
      </c>
      <c r="AB595" s="79">
        <f>IF(AA595="","",IF(AH595=1,1,IF(AA595="","",IF(AA595&lt;AsOf,1,IF(AA595&lt;=AsOf+AlertDays,2,IF(AA595&lt;=AsOf+2*AlertDays,3,""))))))</f>
        <v/>
      </c>
      <c r="AC595" s="79">
        <f>IF(AB595="","",IF(AH595=1,IF(Y595="⚠️ Delivery after install date","Delivery after install date: "&amp;B595,"Order late — install at risk: "&amp;B595),IF(AD595=1,IF(AB595=1,"Decision overdue: ","Decide: ")&amp;B595,"Order: "&amp;B595&amp;IF(N595="",""," from "&amp;N595))))</f>
        <v/>
      </c>
      <c r="AD595" s="79">
        <f>IF(AND(B595&lt;&gt;"",K595="",U595&lt;&gt;"Yes",X595&lt;&gt;"Yes"),1,0)</f>
        <v/>
      </c>
      <c r="AE595" s="79">
        <f>IF(AND(AD595=1,T595&lt;&gt;""),IF(T595&lt;AsOf,1,0),0)</f>
        <v/>
      </c>
      <c r="AF595" s="79">
        <f>IF(AND(AD595=1,T595&lt;&gt;""),IF(AND(T595&gt;=AsOf,T595&lt;=AsOf+AlertDays),1,0),0)</f>
        <v/>
      </c>
      <c r="AG595" s="79">
        <f>IF(Y595="Order now",1,0)</f>
        <v/>
      </c>
      <c r="AH595" s="79">
        <f>IF(OR(Y595="⚠️ Order late — install at risk",Y595="⚠️ Delivery after install date"),1,0)</f>
        <v/>
      </c>
      <c r="AI595" s="79">
        <f>IF(AND(B595&lt;&gt;"",K595&lt;&gt;"",U595&lt;&gt;"Yes",X595&lt;&gt;"Yes"),1,0)</f>
        <v/>
      </c>
      <c r="AJ595" s="79">
        <f>IF(Y595="⚠️ Order late — install at risk",1,0)</f>
        <v/>
      </c>
    </row>
    <row r="596" ht="20" customHeight="1">
      <c r="B596" s="72" t="n"/>
      <c r="C596" s="72" t="n"/>
      <c r="D596" s="72" t="n"/>
      <c r="E596" s="72" t="n"/>
      <c r="F596" s="73" t="n"/>
      <c r="G596" s="72" t="n"/>
      <c r="H596" s="73" t="n"/>
      <c r="I596" s="72" t="n"/>
      <c r="J596" s="73" t="n"/>
      <c r="K596" s="74" t="n"/>
      <c r="L596" s="75">
        <f>IF(K596="A",F596,IF(K596="B",H596,IF(K596="C",J596,"")))</f>
        <v/>
      </c>
      <c r="M596" s="72" t="n"/>
      <c r="N596" s="72" t="n"/>
      <c r="O596" s="89" t="n"/>
      <c r="P596" s="89" t="n"/>
      <c r="Q596" s="109" t="n"/>
      <c r="R596" s="120">
        <f>IF(B596="","",IF(Q596&lt;&gt;"",Q596,IF(P596="","",IFERROR(INDEX('Timeline'!$J$7:$J$1006,MATCH(P596,'Timeline'!$B$7:$B$1006,0)),""))))</f>
        <v/>
      </c>
      <c r="S596" s="126">
        <f>IF(R596="","",R596-IF(O596="",0,O596)-OrderBuf)</f>
        <v/>
      </c>
      <c r="T596" s="126">
        <f>IF(S596="","",S596-DecideBuf)</f>
        <v/>
      </c>
      <c r="U596" s="74" t="n"/>
      <c r="V596" s="109" t="n"/>
      <c r="W596" s="109" t="n"/>
      <c r="X596" s="74" t="n"/>
      <c r="Y596" s="116">
        <f>IF(B596="","",IF(X596="Yes","Delivered",IF(U596="Yes",IF(AND(W596&lt;&gt;"",R596&lt;&gt;""),IF(W596&gt;R596,"⚠️ Delivery after install date","Ordered"),"Ordered"),IF(K596="",IF(T596="","Waiting for decision",IF(T596&lt;=AsOf+AlertDays,"Decide now","Waiting for decision")),IF(S596="","Selected",IF(AsOf&gt;S596,"⚠️ Order late — install at risk",IF(S596&lt;=AsOf+AlertDays,"Order now","Selected")))))))</f>
        <v/>
      </c>
      <c r="Z596" s="79">
        <f>IF(B596="","",IF(OR(AH596=1,AE596=1),2,IF(OR(AG596=1,AF596=1),1,IF(OR(Y596="Ordered",Y596="Delivered"),0,""))))</f>
        <v/>
      </c>
      <c r="AA596" s="112">
        <f>IF(B596="","",IF(AH596=1,IF(Y596="⚠️ Delivery after install date",R596,S596),IF(AD596=1,T596,IF(AI596=1,S596,""))))</f>
        <v/>
      </c>
      <c r="AB596" s="79">
        <f>IF(AA596="","",IF(AH596=1,1,IF(AA596="","",IF(AA596&lt;AsOf,1,IF(AA596&lt;=AsOf+AlertDays,2,IF(AA596&lt;=AsOf+2*AlertDays,3,""))))))</f>
        <v/>
      </c>
      <c r="AC596" s="79">
        <f>IF(AB596="","",IF(AH596=1,IF(Y596="⚠️ Delivery after install date","Delivery after install date: "&amp;B596,"Order late — install at risk: "&amp;B596),IF(AD596=1,IF(AB596=1,"Decision overdue: ","Decide: ")&amp;B596,"Order: "&amp;B596&amp;IF(N596="",""," from "&amp;N596))))</f>
        <v/>
      </c>
      <c r="AD596" s="79">
        <f>IF(AND(B596&lt;&gt;"",K596="",U596&lt;&gt;"Yes",X596&lt;&gt;"Yes"),1,0)</f>
        <v/>
      </c>
      <c r="AE596" s="79">
        <f>IF(AND(AD596=1,T596&lt;&gt;""),IF(T596&lt;AsOf,1,0),0)</f>
        <v/>
      </c>
      <c r="AF596" s="79">
        <f>IF(AND(AD596=1,T596&lt;&gt;""),IF(AND(T596&gt;=AsOf,T596&lt;=AsOf+AlertDays),1,0),0)</f>
        <v/>
      </c>
      <c r="AG596" s="79">
        <f>IF(Y596="Order now",1,0)</f>
        <v/>
      </c>
      <c r="AH596" s="79">
        <f>IF(OR(Y596="⚠️ Order late — install at risk",Y596="⚠️ Delivery after install date"),1,0)</f>
        <v/>
      </c>
      <c r="AI596" s="79">
        <f>IF(AND(B596&lt;&gt;"",K596&lt;&gt;"",U596&lt;&gt;"Yes",X596&lt;&gt;"Yes"),1,0)</f>
        <v/>
      </c>
      <c r="AJ596" s="79">
        <f>IF(Y596="⚠️ Order late — install at risk",1,0)</f>
        <v/>
      </c>
    </row>
    <row r="597" ht="20" customHeight="1">
      <c r="B597" s="72" t="n"/>
      <c r="C597" s="72" t="n"/>
      <c r="D597" s="72" t="n"/>
      <c r="E597" s="72" t="n"/>
      <c r="F597" s="73" t="n"/>
      <c r="G597" s="72" t="n"/>
      <c r="H597" s="73" t="n"/>
      <c r="I597" s="72" t="n"/>
      <c r="J597" s="73" t="n"/>
      <c r="K597" s="74" t="n"/>
      <c r="L597" s="75">
        <f>IF(K597="A",F597,IF(K597="B",H597,IF(K597="C",J597,"")))</f>
        <v/>
      </c>
      <c r="M597" s="72" t="n"/>
      <c r="N597" s="72" t="n"/>
      <c r="O597" s="89" t="n"/>
      <c r="P597" s="89" t="n"/>
      <c r="Q597" s="109" t="n"/>
      <c r="R597" s="120">
        <f>IF(B597="","",IF(Q597&lt;&gt;"",Q597,IF(P597="","",IFERROR(INDEX('Timeline'!$J$7:$J$1006,MATCH(P597,'Timeline'!$B$7:$B$1006,0)),""))))</f>
        <v/>
      </c>
      <c r="S597" s="126">
        <f>IF(R597="","",R597-IF(O597="",0,O597)-OrderBuf)</f>
        <v/>
      </c>
      <c r="T597" s="126">
        <f>IF(S597="","",S597-DecideBuf)</f>
        <v/>
      </c>
      <c r="U597" s="74" t="n"/>
      <c r="V597" s="109" t="n"/>
      <c r="W597" s="109" t="n"/>
      <c r="X597" s="74" t="n"/>
      <c r="Y597" s="116">
        <f>IF(B597="","",IF(X597="Yes","Delivered",IF(U597="Yes",IF(AND(W597&lt;&gt;"",R597&lt;&gt;""),IF(W597&gt;R597,"⚠️ Delivery after install date","Ordered"),"Ordered"),IF(K597="",IF(T597="","Waiting for decision",IF(T597&lt;=AsOf+AlertDays,"Decide now","Waiting for decision")),IF(S597="","Selected",IF(AsOf&gt;S597,"⚠️ Order late — install at risk",IF(S597&lt;=AsOf+AlertDays,"Order now","Selected")))))))</f>
        <v/>
      </c>
      <c r="Z597" s="79">
        <f>IF(B597="","",IF(OR(AH597=1,AE597=1),2,IF(OR(AG597=1,AF597=1),1,IF(OR(Y597="Ordered",Y597="Delivered"),0,""))))</f>
        <v/>
      </c>
      <c r="AA597" s="112">
        <f>IF(B597="","",IF(AH597=1,IF(Y597="⚠️ Delivery after install date",R597,S597),IF(AD597=1,T597,IF(AI597=1,S597,""))))</f>
        <v/>
      </c>
      <c r="AB597" s="79">
        <f>IF(AA597="","",IF(AH597=1,1,IF(AA597="","",IF(AA597&lt;AsOf,1,IF(AA597&lt;=AsOf+AlertDays,2,IF(AA597&lt;=AsOf+2*AlertDays,3,""))))))</f>
        <v/>
      </c>
      <c r="AC597" s="79">
        <f>IF(AB597="","",IF(AH597=1,IF(Y597="⚠️ Delivery after install date","Delivery after install date: "&amp;B597,"Order late — install at risk: "&amp;B597),IF(AD597=1,IF(AB597=1,"Decision overdue: ","Decide: ")&amp;B597,"Order: "&amp;B597&amp;IF(N597="",""," from "&amp;N597))))</f>
        <v/>
      </c>
      <c r="AD597" s="79">
        <f>IF(AND(B597&lt;&gt;"",K597="",U597&lt;&gt;"Yes",X597&lt;&gt;"Yes"),1,0)</f>
        <v/>
      </c>
      <c r="AE597" s="79">
        <f>IF(AND(AD597=1,T597&lt;&gt;""),IF(T597&lt;AsOf,1,0),0)</f>
        <v/>
      </c>
      <c r="AF597" s="79">
        <f>IF(AND(AD597=1,T597&lt;&gt;""),IF(AND(T597&gt;=AsOf,T597&lt;=AsOf+AlertDays),1,0),0)</f>
        <v/>
      </c>
      <c r="AG597" s="79">
        <f>IF(Y597="Order now",1,0)</f>
        <v/>
      </c>
      <c r="AH597" s="79">
        <f>IF(OR(Y597="⚠️ Order late — install at risk",Y597="⚠️ Delivery after install date"),1,0)</f>
        <v/>
      </c>
      <c r="AI597" s="79">
        <f>IF(AND(B597&lt;&gt;"",K597&lt;&gt;"",U597&lt;&gt;"Yes",X597&lt;&gt;"Yes"),1,0)</f>
        <v/>
      </c>
      <c r="AJ597" s="79">
        <f>IF(Y597="⚠️ Order late — install at risk",1,0)</f>
        <v/>
      </c>
    </row>
    <row r="598" ht="20" customHeight="1">
      <c r="B598" s="72" t="n"/>
      <c r="C598" s="72" t="n"/>
      <c r="D598" s="72" t="n"/>
      <c r="E598" s="72" t="n"/>
      <c r="F598" s="73" t="n"/>
      <c r="G598" s="72" t="n"/>
      <c r="H598" s="73" t="n"/>
      <c r="I598" s="72" t="n"/>
      <c r="J598" s="73" t="n"/>
      <c r="K598" s="74" t="n"/>
      <c r="L598" s="75">
        <f>IF(K598="A",F598,IF(K598="B",H598,IF(K598="C",J598,"")))</f>
        <v/>
      </c>
      <c r="M598" s="72" t="n"/>
      <c r="N598" s="72" t="n"/>
      <c r="O598" s="89" t="n"/>
      <c r="P598" s="89" t="n"/>
      <c r="Q598" s="109" t="n"/>
      <c r="R598" s="120">
        <f>IF(B598="","",IF(Q598&lt;&gt;"",Q598,IF(P598="","",IFERROR(INDEX('Timeline'!$J$7:$J$1006,MATCH(P598,'Timeline'!$B$7:$B$1006,0)),""))))</f>
        <v/>
      </c>
      <c r="S598" s="126">
        <f>IF(R598="","",R598-IF(O598="",0,O598)-OrderBuf)</f>
        <v/>
      </c>
      <c r="T598" s="126">
        <f>IF(S598="","",S598-DecideBuf)</f>
        <v/>
      </c>
      <c r="U598" s="74" t="n"/>
      <c r="V598" s="109" t="n"/>
      <c r="W598" s="109" t="n"/>
      <c r="X598" s="74" t="n"/>
      <c r="Y598" s="116">
        <f>IF(B598="","",IF(X598="Yes","Delivered",IF(U598="Yes",IF(AND(W598&lt;&gt;"",R598&lt;&gt;""),IF(W598&gt;R598,"⚠️ Delivery after install date","Ordered"),"Ordered"),IF(K598="",IF(T598="","Waiting for decision",IF(T598&lt;=AsOf+AlertDays,"Decide now","Waiting for decision")),IF(S598="","Selected",IF(AsOf&gt;S598,"⚠️ Order late — install at risk",IF(S598&lt;=AsOf+AlertDays,"Order now","Selected")))))))</f>
        <v/>
      </c>
      <c r="Z598" s="79">
        <f>IF(B598="","",IF(OR(AH598=1,AE598=1),2,IF(OR(AG598=1,AF598=1),1,IF(OR(Y598="Ordered",Y598="Delivered"),0,""))))</f>
        <v/>
      </c>
      <c r="AA598" s="112">
        <f>IF(B598="","",IF(AH598=1,IF(Y598="⚠️ Delivery after install date",R598,S598),IF(AD598=1,T598,IF(AI598=1,S598,""))))</f>
        <v/>
      </c>
      <c r="AB598" s="79">
        <f>IF(AA598="","",IF(AH598=1,1,IF(AA598="","",IF(AA598&lt;AsOf,1,IF(AA598&lt;=AsOf+AlertDays,2,IF(AA598&lt;=AsOf+2*AlertDays,3,""))))))</f>
        <v/>
      </c>
      <c r="AC598" s="79">
        <f>IF(AB598="","",IF(AH598=1,IF(Y598="⚠️ Delivery after install date","Delivery after install date: "&amp;B598,"Order late — install at risk: "&amp;B598),IF(AD598=1,IF(AB598=1,"Decision overdue: ","Decide: ")&amp;B598,"Order: "&amp;B598&amp;IF(N598="",""," from "&amp;N598))))</f>
        <v/>
      </c>
      <c r="AD598" s="79">
        <f>IF(AND(B598&lt;&gt;"",K598="",U598&lt;&gt;"Yes",X598&lt;&gt;"Yes"),1,0)</f>
        <v/>
      </c>
      <c r="AE598" s="79">
        <f>IF(AND(AD598=1,T598&lt;&gt;""),IF(T598&lt;AsOf,1,0),0)</f>
        <v/>
      </c>
      <c r="AF598" s="79">
        <f>IF(AND(AD598=1,T598&lt;&gt;""),IF(AND(T598&gt;=AsOf,T598&lt;=AsOf+AlertDays),1,0),0)</f>
        <v/>
      </c>
      <c r="AG598" s="79">
        <f>IF(Y598="Order now",1,0)</f>
        <v/>
      </c>
      <c r="AH598" s="79">
        <f>IF(OR(Y598="⚠️ Order late — install at risk",Y598="⚠️ Delivery after install date"),1,0)</f>
        <v/>
      </c>
      <c r="AI598" s="79">
        <f>IF(AND(B598&lt;&gt;"",K598&lt;&gt;"",U598&lt;&gt;"Yes",X598&lt;&gt;"Yes"),1,0)</f>
        <v/>
      </c>
      <c r="AJ598" s="79">
        <f>IF(Y598="⚠️ Order late — install at risk",1,0)</f>
        <v/>
      </c>
    </row>
    <row r="599" ht="20" customHeight="1">
      <c r="B599" s="72" t="n"/>
      <c r="C599" s="72" t="n"/>
      <c r="D599" s="72" t="n"/>
      <c r="E599" s="72" t="n"/>
      <c r="F599" s="73" t="n"/>
      <c r="G599" s="72" t="n"/>
      <c r="H599" s="73" t="n"/>
      <c r="I599" s="72" t="n"/>
      <c r="J599" s="73" t="n"/>
      <c r="K599" s="74" t="n"/>
      <c r="L599" s="75">
        <f>IF(K599="A",F599,IF(K599="B",H599,IF(K599="C",J599,"")))</f>
        <v/>
      </c>
      <c r="M599" s="72" t="n"/>
      <c r="N599" s="72" t="n"/>
      <c r="O599" s="89" t="n"/>
      <c r="P599" s="89" t="n"/>
      <c r="Q599" s="109" t="n"/>
      <c r="R599" s="120">
        <f>IF(B599="","",IF(Q599&lt;&gt;"",Q599,IF(P599="","",IFERROR(INDEX('Timeline'!$J$7:$J$1006,MATCH(P599,'Timeline'!$B$7:$B$1006,0)),""))))</f>
        <v/>
      </c>
      <c r="S599" s="126">
        <f>IF(R599="","",R599-IF(O599="",0,O599)-OrderBuf)</f>
        <v/>
      </c>
      <c r="T599" s="126">
        <f>IF(S599="","",S599-DecideBuf)</f>
        <v/>
      </c>
      <c r="U599" s="74" t="n"/>
      <c r="V599" s="109" t="n"/>
      <c r="W599" s="109" t="n"/>
      <c r="X599" s="74" t="n"/>
      <c r="Y599" s="116">
        <f>IF(B599="","",IF(X599="Yes","Delivered",IF(U599="Yes",IF(AND(W599&lt;&gt;"",R599&lt;&gt;""),IF(W599&gt;R599,"⚠️ Delivery after install date","Ordered"),"Ordered"),IF(K599="",IF(T599="","Waiting for decision",IF(T599&lt;=AsOf+AlertDays,"Decide now","Waiting for decision")),IF(S599="","Selected",IF(AsOf&gt;S599,"⚠️ Order late — install at risk",IF(S599&lt;=AsOf+AlertDays,"Order now","Selected")))))))</f>
        <v/>
      </c>
      <c r="Z599" s="79">
        <f>IF(B599="","",IF(OR(AH599=1,AE599=1),2,IF(OR(AG599=1,AF599=1),1,IF(OR(Y599="Ordered",Y599="Delivered"),0,""))))</f>
        <v/>
      </c>
      <c r="AA599" s="112">
        <f>IF(B599="","",IF(AH599=1,IF(Y599="⚠️ Delivery after install date",R599,S599),IF(AD599=1,T599,IF(AI599=1,S599,""))))</f>
        <v/>
      </c>
      <c r="AB599" s="79">
        <f>IF(AA599="","",IF(AH599=1,1,IF(AA599="","",IF(AA599&lt;AsOf,1,IF(AA599&lt;=AsOf+AlertDays,2,IF(AA599&lt;=AsOf+2*AlertDays,3,""))))))</f>
        <v/>
      </c>
      <c r="AC599" s="79">
        <f>IF(AB599="","",IF(AH599=1,IF(Y599="⚠️ Delivery after install date","Delivery after install date: "&amp;B599,"Order late — install at risk: "&amp;B599),IF(AD599=1,IF(AB599=1,"Decision overdue: ","Decide: ")&amp;B599,"Order: "&amp;B599&amp;IF(N599="",""," from "&amp;N599))))</f>
        <v/>
      </c>
      <c r="AD599" s="79">
        <f>IF(AND(B599&lt;&gt;"",K599="",U599&lt;&gt;"Yes",X599&lt;&gt;"Yes"),1,0)</f>
        <v/>
      </c>
      <c r="AE599" s="79">
        <f>IF(AND(AD599=1,T599&lt;&gt;""),IF(T599&lt;AsOf,1,0),0)</f>
        <v/>
      </c>
      <c r="AF599" s="79">
        <f>IF(AND(AD599=1,T599&lt;&gt;""),IF(AND(T599&gt;=AsOf,T599&lt;=AsOf+AlertDays),1,0),0)</f>
        <v/>
      </c>
      <c r="AG599" s="79">
        <f>IF(Y599="Order now",1,0)</f>
        <v/>
      </c>
      <c r="AH599" s="79">
        <f>IF(OR(Y599="⚠️ Order late — install at risk",Y599="⚠️ Delivery after install date"),1,0)</f>
        <v/>
      </c>
      <c r="AI599" s="79">
        <f>IF(AND(B599&lt;&gt;"",K599&lt;&gt;"",U599&lt;&gt;"Yes",X599&lt;&gt;"Yes"),1,0)</f>
        <v/>
      </c>
      <c r="AJ599" s="79">
        <f>IF(Y599="⚠️ Order late — install at risk",1,0)</f>
        <v/>
      </c>
    </row>
    <row r="600" ht="20" customHeight="1">
      <c r="B600" s="72" t="n"/>
      <c r="C600" s="72" t="n"/>
      <c r="D600" s="72" t="n"/>
      <c r="E600" s="72" t="n"/>
      <c r="F600" s="73" t="n"/>
      <c r="G600" s="72" t="n"/>
      <c r="H600" s="73" t="n"/>
      <c r="I600" s="72" t="n"/>
      <c r="J600" s="73" t="n"/>
      <c r="K600" s="74" t="n"/>
      <c r="L600" s="75">
        <f>IF(K600="A",F600,IF(K600="B",H600,IF(K600="C",J600,"")))</f>
        <v/>
      </c>
      <c r="M600" s="72" t="n"/>
      <c r="N600" s="72" t="n"/>
      <c r="O600" s="89" t="n"/>
      <c r="P600" s="89" t="n"/>
      <c r="Q600" s="109" t="n"/>
      <c r="R600" s="120">
        <f>IF(B600="","",IF(Q600&lt;&gt;"",Q600,IF(P600="","",IFERROR(INDEX('Timeline'!$J$7:$J$1006,MATCH(P600,'Timeline'!$B$7:$B$1006,0)),""))))</f>
        <v/>
      </c>
      <c r="S600" s="126">
        <f>IF(R600="","",R600-IF(O600="",0,O600)-OrderBuf)</f>
        <v/>
      </c>
      <c r="T600" s="126">
        <f>IF(S600="","",S600-DecideBuf)</f>
        <v/>
      </c>
      <c r="U600" s="74" t="n"/>
      <c r="V600" s="109" t="n"/>
      <c r="W600" s="109" t="n"/>
      <c r="X600" s="74" t="n"/>
      <c r="Y600" s="116">
        <f>IF(B600="","",IF(X600="Yes","Delivered",IF(U600="Yes",IF(AND(W600&lt;&gt;"",R600&lt;&gt;""),IF(W600&gt;R600,"⚠️ Delivery after install date","Ordered"),"Ordered"),IF(K600="",IF(T600="","Waiting for decision",IF(T600&lt;=AsOf+AlertDays,"Decide now","Waiting for decision")),IF(S600="","Selected",IF(AsOf&gt;S600,"⚠️ Order late — install at risk",IF(S600&lt;=AsOf+AlertDays,"Order now","Selected")))))))</f>
        <v/>
      </c>
      <c r="Z600" s="79">
        <f>IF(B600="","",IF(OR(AH600=1,AE600=1),2,IF(OR(AG600=1,AF600=1),1,IF(OR(Y600="Ordered",Y600="Delivered"),0,""))))</f>
        <v/>
      </c>
      <c r="AA600" s="112">
        <f>IF(B600="","",IF(AH600=1,IF(Y600="⚠️ Delivery after install date",R600,S600),IF(AD600=1,T600,IF(AI600=1,S600,""))))</f>
        <v/>
      </c>
      <c r="AB600" s="79">
        <f>IF(AA600="","",IF(AH600=1,1,IF(AA600="","",IF(AA600&lt;AsOf,1,IF(AA600&lt;=AsOf+AlertDays,2,IF(AA600&lt;=AsOf+2*AlertDays,3,""))))))</f>
        <v/>
      </c>
      <c r="AC600" s="79">
        <f>IF(AB600="","",IF(AH600=1,IF(Y600="⚠️ Delivery after install date","Delivery after install date: "&amp;B600,"Order late — install at risk: "&amp;B600),IF(AD600=1,IF(AB600=1,"Decision overdue: ","Decide: ")&amp;B600,"Order: "&amp;B600&amp;IF(N600="",""," from "&amp;N600))))</f>
        <v/>
      </c>
      <c r="AD600" s="79">
        <f>IF(AND(B600&lt;&gt;"",K600="",U600&lt;&gt;"Yes",X600&lt;&gt;"Yes"),1,0)</f>
        <v/>
      </c>
      <c r="AE600" s="79">
        <f>IF(AND(AD600=1,T600&lt;&gt;""),IF(T600&lt;AsOf,1,0),0)</f>
        <v/>
      </c>
      <c r="AF600" s="79">
        <f>IF(AND(AD600=1,T600&lt;&gt;""),IF(AND(T600&gt;=AsOf,T600&lt;=AsOf+AlertDays),1,0),0)</f>
        <v/>
      </c>
      <c r="AG600" s="79">
        <f>IF(Y600="Order now",1,0)</f>
        <v/>
      </c>
      <c r="AH600" s="79">
        <f>IF(OR(Y600="⚠️ Order late — install at risk",Y600="⚠️ Delivery after install date"),1,0)</f>
        <v/>
      </c>
      <c r="AI600" s="79">
        <f>IF(AND(B600&lt;&gt;"",K600&lt;&gt;"",U600&lt;&gt;"Yes",X600&lt;&gt;"Yes"),1,0)</f>
        <v/>
      </c>
      <c r="AJ600" s="79">
        <f>IF(Y600="⚠️ Order late — install at risk",1,0)</f>
        <v/>
      </c>
    </row>
    <row r="601" ht="20" customHeight="1">
      <c r="B601" s="72" t="n"/>
      <c r="C601" s="72" t="n"/>
      <c r="D601" s="72" t="n"/>
      <c r="E601" s="72" t="n"/>
      <c r="F601" s="73" t="n"/>
      <c r="G601" s="72" t="n"/>
      <c r="H601" s="73" t="n"/>
      <c r="I601" s="72" t="n"/>
      <c r="J601" s="73" t="n"/>
      <c r="K601" s="74" t="n"/>
      <c r="L601" s="75">
        <f>IF(K601="A",F601,IF(K601="B",H601,IF(K601="C",J601,"")))</f>
        <v/>
      </c>
      <c r="M601" s="72" t="n"/>
      <c r="N601" s="72" t="n"/>
      <c r="O601" s="89" t="n"/>
      <c r="P601" s="89" t="n"/>
      <c r="Q601" s="109" t="n"/>
      <c r="R601" s="120">
        <f>IF(B601="","",IF(Q601&lt;&gt;"",Q601,IF(P601="","",IFERROR(INDEX('Timeline'!$J$7:$J$1006,MATCH(P601,'Timeline'!$B$7:$B$1006,0)),""))))</f>
        <v/>
      </c>
      <c r="S601" s="126">
        <f>IF(R601="","",R601-IF(O601="",0,O601)-OrderBuf)</f>
        <v/>
      </c>
      <c r="T601" s="126">
        <f>IF(S601="","",S601-DecideBuf)</f>
        <v/>
      </c>
      <c r="U601" s="74" t="n"/>
      <c r="V601" s="109" t="n"/>
      <c r="W601" s="109" t="n"/>
      <c r="X601" s="74" t="n"/>
      <c r="Y601" s="116">
        <f>IF(B601="","",IF(X601="Yes","Delivered",IF(U601="Yes",IF(AND(W601&lt;&gt;"",R601&lt;&gt;""),IF(W601&gt;R601,"⚠️ Delivery after install date","Ordered"),"Ordered"),IF(K601="",IF(T601="","Waiting for decision",IF(T601&lt;=AsOf+AlertDays,"Decide now","Waiting for decision")),IF(S601="","Selected",IF(AsOf&gt;S601,"⚠️ Order late — install at risk",IF(S601&lt;=AsOf+AlertDays,"Order now","Selected")))))))</f>
        <v/>
      </c>
      <c r="Z601" s="79">
        <f>IF(B601="","",IF(OR(AH601=1,AE601=1),2,IF(OR(AG601=1,AF601=1),1,IF(OR(Y601="Ordered",Y601="Delivered"),0,""))))</f>
        <v/>
      </c>
      <c r="AA601" s="112">
        <f>IF(B601="","",IF(AH601=1,IF(Y601="⚠️ Delivery after install date",R601,S601),IF(AD601=1,T601,IF(AI601=1,S601,""))))</f>
        <v/>
      </c>
      <c r="AB601" s="79">
        <f>IF(AA601="","",IF(AH601=1,1,IF(AA601="","",IF(AA601&lt;AsOf,1,IF(AA601&lt;=AsOf+AlertDays,2,IF(AA601&lt;=AsOf+2*AlertDays,3,""))))))</f>
        <v/>
      </c>
      <c r="AC601" s="79">
        <f>IF(AB601="","",IF(AH601=1,IF(Y601="⚠️ Delivery after install date","Delivery after install date: "&amp;B601,"Order late — install at risk: "&amp;B601),IF(AD601=1,IF(AB601=1,"Decision overdue: ","Decide: ")&amp;B601,"Order: "&amp;B601&amp;IF(N601="",""," from "&amp;N601))))</f>
        <v/>
      </c>
      <c r="AD601" s="79">
        <f>IF(AND(B601&lt;&gt;"",K601="",U601&lt;&gt;"Yes",X601&lt;&gt;"Yes"),1,0)</f>
        <v/>
      </c>
      <c r="AE601" s="79">
        <f>IF(AND(AD601=1,T601&lt;&gt;""),IF(T601&lt;AsOf,1,0),0)</f>
        <v/>
      </c>
      <c r="AF601" s="79">
        <f>IF(AND(AD601=1,T601&lt;&gt;""),IF(AND(T601&gt;=AsOf,T601&lt;=AsOf+AlertDays),1,0),0)</f>
        <v/>
      </c>
      <c r="AG601" s="79">
        <f>IF(Y601="Order now",1,0)</f>
        <v/>
      </c>
      <c r="AH601" s="79">
        <f>IF(OR(Y601="⚠️ Order late — install at risk",Y601="⚠️ Delivery after install date"),1,0)</f>
        <v/>
      </c>
      <c r="AI601" s="79">
        <f>IF(AND(B601&lt;&gt;"",K601&lt;&gt;"",U601&lt;&gt;"Yes",X601&lt;&gt;"Yes"),1,0)</f>
        <v/>
      </c>
      <c r="AJ601" s="79">
        <f>IF(Y601="⚠️ Order late — install at risk",1,0)</f>
        <v/>
      </c>
    </row>
    <row r="602" ht="20" customHeight="1">
      <c r="B602" s="72" t="n"/>
      <c r="C602" s="72" t="n"/>
      <c r="D602" s="72" t="n"/>
      <c r="E602" s="72" t="n"/>
      <c r="F602" s="73" t="n"/>
      <c r="G602" s="72" t="n"/>
      <c r="H602" s="73" t="n"/>
      <c r="I602" s="72" t="n"/>
      <c r="J602" s="73" t="n"/>
      <c r="K602" s="74" t="n"/>
      <c r="L602" s="75">
        <f>IF(K602="A",F602,IF(K602="B",H602,IF(K602="C",J602,"")))</f>
        <v/>
      </c>
      <c r="M602" s="72" t="n"/>
      <c r="N602" s="72" t="n"/>
      <c r="O602" s="89" t="n"/>
      <c r="P602" s="89" t="n"/>
      <c r="Q602" s="109" t="n"/>
      <c r="R602" s="120">
        <f>IF(B602="","",IF(Q602&lt;&gt;"",Q602,IF(P602="","",IFERROR(INDEX('Timeline'!$J$7:$J$1006,MATCH(P602,'Timeline'!$B$7:$B$1006,0)),""))))</f>
        <v/>
      </c>
      <c r="S602" s="126">
        <f>IF(R602="","",R602-IF(O602="",0,O602)-OrderBuf)</f>
        <v/>
      </c>
      <c r="T602" s="126">
        <f>IF(S602="","",S602-DecideBuf)</f>
        <v/>
      </c>
      <c r="U602" s="74" t="n"/>
      <c r="V602" s="109" t="n"/>
      <c r="W602" s="109" t="n"/>
      <c r="X602" s="74" t="n"/>
      <c r="Y602" s="116">
        <f>IF(B602="","",IF(X602="Yes","Delivered",IF(U602="Yes",IF(AND(W602&lt;&gt;"",R602&lt;&gt;""),IF(W602&gt;R602,"⚠️ Delivery after install date","Ordered"),"Ordered"),IF(K602="",IF(T602="","Waiting for decision",IF(T602&lt;=AsOf+AlertDays,"Decide now","Waiting for decision")),IF(S602="","Selected",IF(AsOf&gt;S602,"⚠️ Order late — install at risk",IF(S602&lt;=AsOf+AlertDays,"Order now","Selected")))))))</f>
        <v/>
      </c>
      <c r="Z602" s="79">
        <f>IF(B602="","",IF(OR(AH602=1,AE602=1),2,IF(OR(AG602=1,AF602=1),1,IF(OR(Y602="Ordered",Y602="Delivered"),0,""))))</f>
        <v/>
      </c>
      <c r="AA602" s="112">
        <f>IF(B602="","",IF(AH602=1,IF(Y602="⚠️ Delivery after install date",R602,S602),IF(AD602=1,T602,IF(AI602=1,S602,""))))</f>
        <v/>
      </c>
      <c r="AB602" s="79">
        <f>IF(AA602="","",IF(AH602=1,1,IF(AA602="","",IF(AA602&lt;AsOf,1,IF(AA602&lt;=AsOf+AlertDays,2,IF(AA602&lt;=AsOf+2*AlertDays,3,""))))))</f>
        <v/>
      </c>
      <c r="AC602" s="79">
        <f>IF(AB602="","",IF(AH602=1,IF(Y602="⚠️ Delivery after install date","Delivery after install date: "&amp;B602,"Order late — install at risk: "&amp;B602),IF(AD602=1,IF(AB602=1,"Decision overdue: ","Decide: ")&amp;B602,"Order: "&amp;B602&amp;IF(N602="",""," from "&amp;N602))))</f>
        <v/>
      </c>
      <c r="AD602" s="79">
        <f>IF(AND(B602&lt;&gt;"",K602="",U602&lt;&gt;"Yes",X602&lt;&gt;"Yes"),1,0)</f>
        <v/>
      </c>
      <c r="AE602" s="79">
        <f>IF(AND(AD602=1,T602&lt;&gt;""),IF(T602&lt;AsOf,1,0),0)</f>
        <v/>
      </c>
      <c r="AF602" s="79">
        <f>IF(AND(AD602=1,T602&lt;&gt;""),IF(AND(T602&gt;=AsOf,T602&lt;=AsOf+AlertDays),1,0),0)</f>
        <v/>
      </c>
      <c r="AG602" s="79">
        <f>IF(Y602="Order now",1,0)</f>
        <v/>
      </c>
      <c r="AH602" s="79">
        <f>IF(OR(Y602="⚠️ Order late — install at risk",Y602="⚠️ Delivery after install date"),1,0)</f>
        <v/>
      </c>
      <c r="AI602" s="79">
        <f>IF(AND(B602&lt;&gt;"",K602&lt;&gt;"",U602&lt;&gt;"Yes",X602&lt;&gt;"Yes"),1,0)</f>
        <v/>
      </c>
      <c r="AJ602" s="79">
        <f>IF(Y602="⚠️ Order late — install at risk",1,0)</f>
        <v/>
      </c>
    </row>
    <row r="603" ht="20" customHeight="1">
      <c r="B603" s="72" t="n"/>
      <c r="C603" s="72" t="n"/>
      <c r="D603" s="72" t="n"/>
      <c r="E603" s="72" t="n"/>
      <c r="F603" s="73" t="n"/>
      <c r="G603" s="72" t="n"/>
      <c r="H603" s="73" t="n"/>
      <c r="I603" s="72" t="n"/>
      <c r="J603" s="73" t="n"/>
      <c r="K603" s="74" t="n"/>
      <c r="L603" s="75">
        <f>IF(K603="A",F603,IF(K603="B",H603,IF(K603="C",J603,"")))</f>
        <v/>
      </c>
      <c r="M603" s="72" t="n"/>
      <c r="N603" s="72" t="n"/>
      <c r="O603" s="89" t="n"/>
      <c r="P603" s="89" t="n"/>
      <c r="Q603" s="109" t="n"/>
      <c r="R603" s="120">
        <f>IF(B603="","",IF(Q603&lt;&gt;"",Q603,IF(P603="","",IFERROR(INDEX('Timeline'!$J$7:$J$1006,MATCH(P603,'Timeline'!$B$7:$B$1006,0)),""))))</f>
        <v/>
      </c>
      <c r="S603" s="126">
        <f>IF(R603="","",R603-IF(O603="",0,O603)-OrderBuf)</f>
        <v/>
      </c>
      <c r="T603" s="126">
        <f>IF(S603="","",S603-DecideBuf)</f>
        <v/>
      </c>
      <c r="U603" s="74" t="n"/>
      <c r="V603" s="109" t="n"/>
      <c r="W603" s="109" t="n"/>
      <c r="X603" s="74" t="n"/>
      <c r="Y603" s="116">
        <f>IF(B603="","",IF(X603="Yes","Delivered",IF(U603="Yes",IF(AND(W603&lt;&gt;"",R603&lt;&gt;""),IF(W603&gt;R603,"⚠️ Delivery after install date","Ordered"),"Ordered"),IF(K603="",IF(T603="","Waiting for decision",IF(T603&lt;=AsOf+AlertDays,"Decide now","Waiting for decision")),IF(S603="","Selected",IF(AsOf&gt;S603,"⚠️ Order late — install at risk",IF(S603&lt;=AsOf+AlertDays,"Order now","Selected")))))))</f>
        <v/>
      </c>
      <c r="Z603" s="79">
        <f>IF(B603="","",IF(OR(AH603=1,AE603=1),2,IF(OR(AG603=1,AF603=1),1,IF(OR(Y603="Ordered",Y603="Delivered"),0,""))))</f>
        <v/>
      </c>
      <c r="AA603" s="112">
        <f>IF(B603="","",IF(AH603=1,IF(Y603="⚠️ Delivery after install date",R603,S603),IF(AD603=1,T603,IF(AI603=1,S603,""))))</f>
        <v/>
      </c>
      <c r="AB603" s="79">
        <f>IF(AA603="","",IF(AH603=1,1,IF(AA603="","",IF(AA603&lt;AsOf,1,IF(AA603&lt;=AsOf+AlertDays,2,IF(AA603&lt;=AsOf+2*AlertDays,3,""))))))</f>
        <v/>
      </c>
      <c r="AC603" s="79">
        <f>IF(AB603="","",IF(AH603=1,IF(Y603="⚠️ Delivery after install date","Delivery after install date: "&amp;B603,"Order late — install at risk: "&amp;B603),IF(AD603=1,IF(AB603=1,"Decision overdue: ","Decide: ")&amp;B603,"Order: "&amp;B603&amp;IF(N603="",""," from "&amp;N603))))</f>
        <v/>
      </c>
      <c r="AD603" s="79">
        <f>IF(AND(B603&lt;&gt;"",K603="",U603&lt;&gt;"Yes",X603&lt;&gt;"Yes"),1,0)</f>
        <v/>
      </c>
      <c r="AE603" s="79">
        <f>IF(AND(AD603=1,T603&lt;&gt;""),IF(T603&lt;AsOf,1,0),0)</f>
        <v/>
      </c>
      <c r="AF603" s="79">
        <f>IF(AND(AD603=1,T603&lt;&gt;""),IF(AND(T603&gt;=AsOf,T603&lt;=AsOf+AlertDays),1,0),0)</f>
        <v/>
      </c>
      <c r="AG603" s="79">
        <f>IF(Y603="Order now",1,0)</f>
        <v/>
      </c>
      <c r="AH603" s="79">
        <f>IF(OR(Y603="⚠️ Order late — install at risk",Y603="⚠️ Delivery after install date"),1,0)</f>
        <v/>
      </c>
      <c r="AI603" s="79">
        <f>IF(AND(B603&lt;&gt;"",K603&lt;&gt;"",U603&lt;&gt;"Yes",X603&lt;&gt;"Yes"),1,0)</f>
        <v/>
      </c>
      <c r="AJ603" s="79">
        <f>IF(Y603="⚠️ Order late — install at risk",1,0)</f>
        <v/>
      </c>
    </row>
    <row r="604" ht="20" customHeight="1">
      <c r="B604" s="72" t="n"/>
      <c r="C604" s="72" t="n"/>
      <c r="D604" s="72" t="n"/>
      <c r="E604" s="72" t="n"/>
      <c r="F604" s="73" t="n"/>
      <c r="G604" s="72" t="n"/>
      <c r="H604" s="73" t="n"/>
      <c r="I604" s="72" t="n"/>
      <c r="J604" s="73" t="n"/>
      <c r="K604" s="74" t="n"/>
      <c r="L604" s="75">
        <f>IF(K604="A",F604,IF(K604="B",H604,IF(K604="C",J604,"")))</f>
        <v/>
      </c>
      <c r="M604" s="72" t="n"/>
      <c r="N604" s="72" t="n"/>
      <c r="O604" s="89" t="n"/>
      <c r="P604" s="89" t="n"/>
      <c r="Q604" s="109" t="n"/>
      <c r="R604" s="120">
        <f>IF(B604="","",IF(Q604&lt;&gt;"",Q604,IF(P604="","",IFERROR(INDEX('Timeline'!$J$7:$J$1006,MATCH(P604,'Timeline'!$B$7:$B$1006,0)),""))))</f>
        <v/>
      </c>
      <c r="S604" s="126">
        <f>IF(R604="","",R604-IF(O604="",0,O604)-OrderBuf)</f>
        <v/>
      </c>
      <c r="T604" s="126">
        <f>IF(S604="","",S604-DecideBuf)</f>
        <v/>
      </c>
      <c r="U604" s="74" t="n"/>
      <c r="V604" s="109" t="n"/>
      <c r="W604" s="109" t="n"/>
      <c r="X604" s="74" t="n"/>
      <c r="Y604" s="116">
        <f>IF(B604="","",IF(X604="Yes","Delivered",IF(U604="Yes",IF(AND(W604&lt;&gt;"",R604&lt;&gt;""),IF(W604&gt;R604,"⚠️ Delivery after install date","Ordered"),"Ordered"),IF(K604="",IF(T604="","Waiting for decision",IF(T604&lt;=AsOf+AlertDays,"Decide now","Waiting for decision")),IF(S604="","Selected",IF(AsOf&gt;S604,"⚠️ Order late — install at risk",IF(S604&lt;=AsOf+AlertDays,"Order now","Selected")))))))</f>
        <v/>
      </c>
      <c r="Z604" s="79">
        <f>IF(B604="","",IF(OR(AH604=1,AE604=1),2,IF(OR(AG604=1,AF604=1),1,IF(OR(Y604="Ordered",Y604="Delivered"),0,""))))</f>
        <v/>
      </c>
      <c r="AA604" s="112">
        <f>IF(B604="","",IF(AH604=1,IF(Y604="⚠️ Delivery after install date",R604,S604),IF(AD604=1,T604,IF(AI604=1,S604,""))))</f>
        <v/>
      </c>
      <c r="AB604" s="79">
        <f>IF(AA604="","",IF(AH604=1,1,IF(AA604="","",IF(AA604&lt;AsOf,1,IF(AA604&lt;=AsOf+AlertDays,2,IF(AA604&lt;=AsOf+2*AlertDays,3,""))))))</f>
        <v/>
      </c>
      <c r="AC604" s="79">
        <f>IF(AB604="","",IF(AH604=1,IF(Y604="⚠️ Delivery after install date","Delivery after install date: "&amp;B604,"Order late — install at risk: "&amp;B604),IF(AD604=1,IF(AB604=1,"Decision overdue: ","Decide: ")&amp;B604,"Order: "&amp;B604&amp;IF(N604="",""," from "&amp;N604))))</f>
        <v/>
      </c>
      <c r="AD604" s="79">
        <f>IF(AND(B604&lt;&gt;"",K604="",U604&lt;&gt;"Yes",X604&lt;&gt;"Yes"),1,0)</f>
        <v/>
      </c>
      <c r="AE604" s="79">
        <f>IF(AND(AD604=1,T604&lt;&gt;""),IF(T604&lt;AsOf,1,0),0)</f>
        <v/>
      </c>
      <c r="AF604" s="79">
        <f>IF(AND(AD604=1,T604&lt;&gt;""),IF(AND(T604&gt;=AsOf,T604&lt;=AsOf+AlertDays),1,0),0)</f>
        <v/>
      </c>
      <c r="AG604" s="79">
        <f>IF(Y604="Order now",1,0)</f>
        <v/>
      </c>
      <c r="AH604" s="79">
        <f>IF(OR(Y604="⚠️ Order late — install at risk",Y604="⚠️ Delivery after install date"),1,0)</f>
        <v/>
      </c>
      <c r="AI604" s="79">
        <f>IF(AND(B604&lt;&gt;"",K604&lt;&gt;"",U604&lt;&gt;"Yes",X604&lt;&gt;"Yes"),1,0)</f>
        <v/>
      </c>
      <c r="AJ604" s="79">
        <f>IF(Y604="⚠️ Order late — install at risk",1,0)</f>
        <v/>
      </c>
    </row>
    <row r="605" ht="20" customHeight="1">
      <c r="B605" s="72" t="n"/>
      <c r="C605" s="72" t="n"/>
      <c r="D605" s="72" t="n"/>
      <c r="E605" s="72" t="n"/>
      <c r="F605" s="73" t="n"/>
      <c r="G605" s="72" t="n"/>
      <c r="H605" s="73" t="n"/>
      <c r="I605" s="72" t="n"/>
      <c r="J605" s="73" t="n"/>
      <c r="K605" s="74" t="n"/>
      <c r="L605" s="75">
        <f>IF(K605="A",F605,IF(K605="B",H605,IF(K605="C",J605,"")))</f>
        <v/>
      </c>
      <c r="M605" s="72" t="n"/>
      <c r="N605" s="72" t="n"/>
      <c r="O605" s="89" t="n"/>
      <c r="P605" s="89" t="n"/>
      <c r="Q605" s="109" t="n"/>
      <c r="R605" s="120">
        <f>IF(B605="","",IF(Q605&lt;&gt;"",Q605,IF(P605="","",IFERROR(INDEX('Timeline'!$J$7:$J$1006,MATCH(P605,'Timeline'!$B$7:$B$1006,0)),""))))</f>
        <v/>
      </c>
      <c r="S605" s="126">
        <f>IF(R605="","",R605-IF(O605="",0,O605)-OrderBuf)</f>
        <v/>
      </c>
      <c r="T605" s="126">
        <f>IF(S605="","",S605-DecideBuf)</f>
        <v/>
      </c>
      <c r="U605" s="74" t="n"/>
      <c r="V605" s="109" t="n"/>
      <c r="W605" s="109" t="n"/>
      <c r="X605" s="74" t="n"/>
      <c r="Y605" s="116">
        <f>IF(B605="","",IF(X605="Yes","Delivered",IF(U605="Yes",IF(AND(W605&lt;&gt;"",R605&lt;&gt;""),IF(W605&gt;R605,"⚠️ Delivery after install date","Ordered"),"Ordered"),IF(K605="",IF(T605="","Waiting for decision",IF(T605&lt;=AsOf+AlertDays,"Decide now","Waiting for decision")),IF(S605="","Selected",IF(AsOf&gt;S605,"⚠️ Order late — install at risk",IF(S605&lt;=AsOf+AlertDays,"Order now","Selected")))))))</f>
        <v/>
      </c>
      <c r="Z605" s="79">
        <f>IF(B605="","",IF(OR(AH605=1,AE605=1),2,IF(OR(AG605=1,AF605=1),1,IF(OR(Y605="Ordered",Y605="Delivered"),0,""))))</f>
        <v/>
      </c>
      <c r="AA605" s="112">
        <f>IF(B605="","",IF(AH605=1,IF(Y605="⚠️ Delivery after install date",R605,S605),IF(AD605=1,T605,IF(AI605=1,S605,""))))</f>
        <v/>
      </c>
      <c r="AB605" s="79">
        <f>IF(AA605="","",IF(AH605=1,1,IF(AA605="","",IF(AA605&lt;AsOf,1,IF(AA605&lt;=AsOf+AlertDays,2,IF(AA605&lt;=AsOf+2*AlertDays,3,""))))))</f>
        <v/>
      </c>
      <c r="AC605" s="79">
        <f>IF(AB605="","",IF(AH605=1,IF(Y605="⚠️ Delivery after install date","Delivery after install date: "&amp;B605,"Order late — install at risk: "&amp;B605),IF(AD605=1,IF(AB605=1,"Decision overdue: ","Decide: ")&amp;B605,"Order: "&amp;B605&amp;IF(N605="",""," from "&amp;N605))))</f>
        <v/>
      </c>
      <c r="AD605" s="79">
        <f>IF(AND(B605&lt;&gt;"",K605="",U605&lt;&gt;"Yes",X605&lt;&gt;"Yes"),1,0)</f>
        <v/>
      </c>
      <c r="AE605" s="79">
        <f>IF(AND(AD605=1,T605&lt;&gt;""),IF(T605&lt;AsOf,1,0),0)</f>
        <v/>
      </c>
      <c r="AF605" s="79">
        <f>IF(AND(AD605=1,T605&lt;&gt;""),IF(AND(T605&gt;=AsOf,T605&lt;=AsOf+AlertDays),1,0),0)</f>
        <v/>
      </c>
      <c r="AG605" s="79">
        <f>IF(Y605="Order now",1,0)</f>
        <v/>
      </c>
      <c r="AH605" s="79">
        <f>IF(OR(Y605="⚠️ Order late — install at risk",Y605="⚠️ Delivery after install date"),1,0)</f>
        <v/>
      </c>
      <c r="AI605" s="79">
        <f>IF(AND(B605&lt;&gt;"",K605&lt;&gt;"",U605&lt;&gt;"Yes",X605&lt;&gt;"Yes"),1,0)</f>
        <v/>
      </c>
      <c r="AJ605" s="79">
        <f>IF(Y605="⚠️ Order late — install at risk",1,0)</f>
        <v/>
      </c>
    </row>
    <row r="606" ht="20" customHeight="1">
      <c r="B606" s="72" t="n"/>
      <c r="C606" s="72" t="n"/>
      <c r="D606" s="72" t="n"/>
      <c r="E606" s="72" t="n"/>
      <c r="F606" s="73" t="n"/>
      <c r="G606" s="72" t="n"/>
      <c r="H606" s="73" t="n"/>
      <c r="I606" s="72" t="n"/>
      <c r="J606" s="73" t="n"/>
      <c r="K606" s="74" t="n"/>
      <c r="L606" s="75">
        <f>IF(K606="A",F606,IF(K606="B",H606,IF(K606="C",J606,"")))</f>
        <v/>
      </c>
      <c r="M606" s="72" t="n"/>
      <c r="N606" s="72" t="n"/>
      <c r="O606" s="89" t="n"/>
      <c r="P606" s="89" t="n"/>
      <c r="Q606" s="109" t="n"/>
      <c r="R606" s="120">
        <f>IF(B606="","",IF(Q606&lt;&gt;"",Q606,IF(P606="","",IFERROR(INDEX('Timeline'!$J$7:$J$1006,MATCH(P606,'Timeline'!$B$7:$B$1006,0)),""))))</f>
        <v/>
      </c>
      <c r="S606" s="126">
        <f>IF(R606="","",R606-IF(O606="",0,O606)-OrderBuf)</f>
        <v/>
      </c>
      <c r="T606" s="126">
        <f>IF(S606="","",S606-DecideBuf)</f>
        <v/>
      </c>
      <c r="U606" s="74" t="n"/>
      <c r="V606" s="109" t="n"/>
      <c r="W606" s="109" t="n"/>
      <c r="X606" s="74" t="n"/>
      <c r="Y606" s="116">
        <f>IF(B606="","",IF(X606="Yes","Delivered",IF(U606="Yes",IF(AND(W606&lt;&gt;"",R606&lt;&gt;""),IF(W606&gt;R606,"⚠️ Delivery after install date","Ordered"),"Ordered"),IF(K606="",IF(T606="","Waiting for decision",IF(T606&lt;=AsOf+AlertDays,"Decide now","Waiting for decision")),IF(S606="","Selected",IF(AsOf&gt;S606,"⚠️ Order late — install at risk",IF(S606&lt;=AsOf+AlertDays,"Order now","Selected")))))))</f>
        <v/>
      </c>
      <c r="Z606" s="79">
        <f>IF(B606="","",IF(OR(AH606=1,AE606=1),2,IF(OR(AG606=1,AF606=1),1,IF(OR(Y606="Ordered",Y606="Delivered"),0,""))))</f>
        <v/>
      </c>
      <c r="AA606" s="112">
        <f>IF(B606="","",IF(AH606=1,IF(Y606="⚠️ Delivery after install date",R606,S606),IF(AD606=1,T606,IF(AI606=1,S606,""))))</f>
        <v/>
      </c>
      <c r="AB606" s="79">
        <f>IF(AA606="","",IF(AH606=1,1,IF(AA606="","",IF(AA606&lt;AsOf,1,IF(AA606&lt;=AsOf+AlertDays,2,IF(AA606&lt;=AsOf+2*AlertDays,3,""))))))</f>
        <v/>
      </c>
      <c r="AC606" s="79">
        <f>IF(AB606="","",IF(AH606=1,IF(Y606="⚠️ Delivery after install date","Delivery after install date: "&amp;B606,"Order late — install at risk: "&amp;B606),IF(AD606=1,IF(AB606=1,"Decision overdue: ","Decide: ")&amp;B606,"Order: "&amp;B606&amp;IF(N606="",""," from "&amp;N606))))</f>
        <v/>
      </c>
      <c r="AD606" s="79">
        <f>IF(AND(B606&lt;&gt;"",K606="",U606&lt;&gt;"Yes",X606&lt;&gt;"Yes"),1,0)</f>
        <v/>
      </c>
      <c r="AE606" s="79">
        <f>IF(AND(AD606=1,T606&lt;&gt;""),IF(T606&lt;AsOf,1,0),0)</f>
        <v/>
      </c>
      <c r="AF606" s="79">
        <f>IF(AND(AD606=1,T606&lt;&gt;""),IF(AND(T606&gt;=AsOf,T606&lt;=AsOf+AlertDays),1,0),0)</f>
        <v/>
      </c>
      <c r="AG606" s="79">
        <f>IF(Y606="Order now",1,0)</f>
        <v/>
      </c>
      <c r="AH606" s="79">
        <f>IF(OR(Y606="⚠️ Order late — install at risk",Y606="⚠️ Delivery after install date"),1,0)</f>
        <v/>
      </c>
      <c r="AI606" s="79">
        <f>IF(AND(B606&lt;&gt;"",K606&lt;&gt;"",U606&lt;&gt;"Yes",X606&lt;&gt;"Yes"),1,0)</f>
        <v/>
      </c>
      <c r="AJ606" s="79">
        <f>IF(Y606="⚠️ Order late — install at risk",1,0)</f>
        <v/>
      </c>
    </row>
    <row r="607" ht="20" customHeight="1">
      <c r="B607" s="72" t="n"/>
      <c r="C607" s="72" t="n"/>
      <c r="D607" s="72" t="n"/>
      <c r="E607" s="72" t="n"/>
      <c r="F607" s="73" t="n"/>
      <c r="G607" s="72" t="n"/>
      <c r="H607" s="73" t="n"/>
      <c r="I607" s="72" t="n"/>
      <c r="J607" s="73" t="n"/>
      <c r="K607" s="74" t="n"/>
      <c r="L607" s="75">
        <f>IF(K607="A",F607,IF(K607="B",H607,IF(K607="C",J607,"")))</f>
        <v/>
      </c>
      <c r="M607" s="72" t="n"/>
      <c r="N607" s="72" t="n"/>
      <c r="O607" s="89" t="n"/>
      <c r="P607" s="89" t="n"/>
      <c r="Q607" s="109" t="n"/>
      <c r="R607" s="120">
        <f>IF(B607="","",IF(Q607&lt;&gt;"",Q607,IF(P607="","",IFERROR(INDEX('Timeline'!$J$7:$J$1006,MATCH(P607,'Timeline'!$B$7:$B$1006,0)),""))))</f>
        <v/>
      </c>
      <c r="S607" s="126">
        <f>IF(R607="","",R607-IF(O607="",0,O607)-OrderBuf)</f>
        <v/>
      </c>
      <c r="T607" s="126">
        <f>IF(S607="","",S607-DecideBuf)</f>
        <v/>
      </c>
      <c r="U607" s="74" t="n"/>
      <c r="V607" s="109" t="n"/>
      <c r="W607" s="109" t="n"/>
      <c r="X607" s="74" t="n"/>
      <c r="Y607" s="116">
        <f>IF(B607="","",IF(X607="Yes","Delivered",IF(U607="Yes",IF(AND(W607&lt;&gt;"",R607&lt;&gt;""),IF(W607&gt;R607,"⚠️ Delivery after install date","Ordered"),"Ordered"),IF(K607="",IF(T607="","Waiting for decision",IF(T607&lt;=AsOf+AlertDays,"Decide now","Waiting for decision")),IF(S607="","Selected",IF(AsOf&gt;S607,"⚠️ Order late — install at risk",IF(S607&lt;=AsOf+AlertDays,"Order now","Selected")))))))</f>
        <v/>
      </c>
      <c r="Z607" s="79">
        <f>IF(B607="","",IF(OR(AH607=1,AE607=1),2,IF(OR(AG607=1,AF607=1),1,IF(OR(Y607="Ordered",Y607="Delivered"),0,""))))</f>
        <v/>
      </c>
      <c r="AA607" s="112">
        <f>IF(B607="","",IF(AH607=1,IF(Y607="⚠️ Delivery after install date",R607,S607),IF(AD607=1,T607,IF(AI607=1,S607,""))))</f>
        <v/>
      </c>
      <c r="AB607" s="79">
        <f>IF(AA607="","",IF(AH607=1,1,IF(AA607="","",IF(AA607&lt;AsOf,1,IF(AA607&lt;=AsOf+AlertDays,2,IF(AA607&lt;=AsOf+2*AlertDays,3,""))))))</f>
        <v/>
      </c>
      <c r="AC607" s="79">
        <f>IF(AB607="","",IF(AH607=1,IF(Y607="⚠️ Delivery after install date","Delivery after install date: "&amp;B607,"Order late — install at risk: "&amp;B607),IF(AD607=1,IF(AB607=1,"Decision overdue: ","Decide: ")&amp;B607,"Order: "&amp;B607&amp;IF(N607="",""," from "&amp;N607))))</f>
        <v/>
      </c>
      <c r="AD607" s="79">
        <f>IF(AND(B607&lt;&gt;"",K607="",U607&lt;&gt;"Yes",X607&lt;&gt;"Yes"),1,0)</f>
        <v/>
      </c>
      <c r="AE607" s="79">
        <f>IF(AND(AD607=1,T607&lt;&gt;""),IF(T607&lt;AsOf,1,0),0)</f>
        <v/>
      </c>
      <c r="AF607" s="79">
        <f>IF(AND(AD607=1,T607&lt;&gt;""),IF(AND(T607&gt;=AsOf,T607&lt;=AsOf+AlertDays),1,0),0)</f>
        <v/>
      </c>
      <c r="AG607" s="79">
        <f>IF(Y607="Order now",1,0)</f>
        <v/>
      </c>
      <c r="AH607" s="79">
        <f>IF(OR(Y607="⚠️ Order late — install at risk",Y607="⚠️ Delivery after install date"),1,0)</f>
        <v/>
      </c>
      <c r="AI607" s="79">
        <f>IF(AND(B607&lt;&gt;"",K607&lt;&gt;"",U607&lt;&gt;"Yes",X607&lt;&gt;"Yes"),1,0)</f>
        <v/>
      </c>
      <c r="AJ607" s="79">
        <f>IF(Y607="⚠️ Order late — install at risk",1,0)</f>
        <v/>
      </c>
    </row>
    <row r="608" ht="20" customHeight="1">
      <c r="B608" s="72" t="n"/>
      <c r="C608" s="72" t="n"/>
      <c r="D608" s="72" t="n"/>
      <c r="E608" s="72" t="n"/>
      <c r="F608" s="73" t="n"/>
      <c r="G608" s="72" t="n"/>
      <c r="H608" s="73" t="n"/>
      <c r="I608" s="72" t="n"/>
      <c r="J608" s="73" t="n"/>
      <c r="K608" s="74" t="n"/>
      <c r="L608" s="75">
        <f>IF(K608="A",F608,IF(K608="B",H608,IF(K608="C",J608,"")))</f>
        <v/>
      </c>
      <c r="M608" s="72" t="n"/>
      <c r="N608" s="72" t="n"/>
      <c r="O608" s="89" t="n"/>
      <c r="P608" s="89" t="n"/>
      <c r="Q608" s="109" t="n"/>
      <c r="R608" s="120">
        <f>IF(B608="","",IF(Q608&lt;&gt;"",Q608,IF(P608="","",IFERROR(INDEX('Timeline'!$J$7:$J$1006,MATCH(P608,'Timeline'!$B$7:$B$1006,0)),""))))</f>
        <v/>
      </c>
      <c r="S608" s="126">
        <f>IF(R608="","",R608-IF(O608="",0,O608)-OrderBuf)</f>
        <v/>
      </c>
      <c r="T608" s="126">
        <f>IF(S608="","",S608-DecideBuf)</f>
        <v/>
      </c>
      <c r="U608" s="74" t="n"/>
      <c r="V608" s="109" t="n"/>
      <c r="W608" s="109" t="n"/>
      <c r="X608" s="74" t="n"/>
      <c r="Y608" s="116">
        <f>IF(B608="","",IF(X608="Yes","Delivered",IF(U608="Yes",IF(AND(W608&lt;&gt;"",R608&lt;&gt;""),IF(W608&gt;R608,"⚠️ Delivery after install date","Ordered"),"Ordered"),IF(K608="",IF(T608="","Waiting for decision",IF(T608&lt;=AsOf+AlertDays,"Decide now","Waiting for decision")),IF(S608="","Selected",IF(AsOf&gt;S608,"⚠️ Order late — install at risk",IF(S608&lt;=AsOf+AlertDays,"Order now","Selected")))))))</f>
        <v/>
      </c>
      <c r="Z608" s="79">
        <f>IF(B608="","",IF(OR(AH608=1,AE608=1),2,IF(OR(AG608=1,AF608=1),1,IF(OR(Y608="Ordered",Y608="Delivered"),0,""))))</f>
        <v/>
      </c>
      <c r="AA608" s="112">
        <f>IF(B608="","",IF(AH608=1,IF(Y608="⚠️ Delivery after install date",R608,S608),IF(AD608=1,T608,IF(AI608=1,S608,""))))</f>
        <v/>
      </c>
      <c r="AB608" s="79">
        <f>IF(AA608="","",IF(AH608=1,1,IF(AA608="","",IF(AA608&lt;AsOf,1,IF(AA608&lt;=AsOf+AlertDays,2,IF(AA608&lt;=AsOf+2*AlertDays,3,""))))))</f>
        <v/>
      </c>
      <c r="AC608" s="79">
        <f>IF(AB608="","",IF(AH608=1,IF(Y608="⚠️ Delivery after install date","Delivery after install date: "&amp;B608,"Order late — install at risk: "&amp;B608),IF(AD608=1,IF(AB608=1,"Decision overdue: ","Decide: ")&amp;B608,"Order: "&amp;B608&amp;IF(N608="",""," from "&amp;N608))))</f>
        <v/>
      </c>
      <c r="AD608" s="79">
        <f>IF(AND(B608&lt;&gt;"",K608="",U608&lt;&gt;"Yes",X608&lt;&gt;"Yes"),1,0)</f>
        <v/>
      </c>
      <c r="AE608" s="79">
        <f>IF(AND(AD608=1,T608&lt;&gt;""),IF(T608&lt;AsOf,1,0),0)</f>
        <v/>
      </c>
      <c r="AF608" s="79">
        <f>IF(AND(AD608=1,T608&lt;&gt;""),IF(AND(T608&gt;=AsOf,T608&lt;=AsOf+AlertDays),1,0),0)</f>
        <v/>
      </c>
      <c r="AG608" s="79">
        <f>IF(Y608="Order now",1,0)</f>
        <v/>
      </c>
      <c r="AH608" s="79">
        <f>IF(OR(Y608="⚠️ Order late — install at risk",Y608="⚠️ Delivery after install date"),1,0)</f>
        <v/>
      </c>
      <c r="AI608" s="79">
        <f>IF(AND(B608&lt;&gt;"",K608&lt;&gt;"",U608&lt;&gt;"Yes",X608&lt;&gt;"Yes"),1,0)</f>
        <v/>
      </c>
      <c r="AJ608" s="79">
        <f>IF(Y608="⚠️ Order late — install at risk",1,0)</f>
        <v/>
      </c>
    </row>
    <row r="609" ht="20" customHeight="1">
      <c r="B609" s="72" t="n"/>
      <c r="C609" s="72" t="n"/>
      <c r="D609" s="72" t="n"/>
      <c r="E609" s="72" t="n"/>
      <c r="F609" s="73" t="n"/>
      <c r="G609" s="72" t="n"/>
      <c r="H609" s="73" t="n"/>
      <c r="I609" s="72" t="n"/>
      <c r="J609" s="73" t="n"/>
      <c r="K609" s="74" t="n"/>
      <c r="L609" s="75">
        <f>IF(K609="A",F609,IF(K609="B",H609,IF(K609="C",J609,"")))</f>
        <v/>
      </c>
      <c r="M609" s="72" t="n"/>
      <c r="N609" s="72" t="n"/>
      <c r="O609" s="89" t="n"/>
      <c r="P609" s="89" t="n"/>
      <c r="Q609" s="109" t="n"/>
      <c r="R609" s="120">
        <f>IF(B609="","",IF(Q609&lt;&gt;"",Q609,IF(P609="","",IFERROR(INDEX('Timeline'!$J$7:$J$1006,MATCH(P609,'Timeline'!$B$7:$B$1006,0)),""))))</f>
        <v/>
      </c>
      <c r="S609" s="126">
        <f>IF(R609="","",R609-IF(O609="",0,O609)-OrderBuf)</f>
        <v/>
      </c>
      <c r="T609" s="126">
        <f>IF(S609="","",S609-DecideBuf)</f>
        <v/>
      </c>
      <c r="U609" s="74" t="n"/>
      <c r="V609" s="109" t="n"/>
      <c r="W609" s="109" t="n"/>
      <c r="X609" s="74" t="n"/>
      <c r="Y609" s="116">
        <f>IF(B609="","",IF(X609="Yes","Delivered",IF(U609="Yes",IF(AND(W609&lt;&gt;"",R609&lt;&gt;""),IF(W609&gt;R609,"⚠️ Delivery after install date","Ordered"),"Ordered"),IF(K609="",IF(T609="","Waiting for decision",IF(T609&lt;=AsOf+AlertDays,"Decide now","Waiting for decision")),IF(S609="","Selected",IF(AsOf&gt;S609,"⚠️ Order late — install at risk",IF(S609&lt;=AsOf+AlertDays,"Order now","Selected")))))))</f>
        <v/>
      </c>
      <c r="Z609" s="79">
        <f>IF(B609="","",IF(OR(AH609=1,AE609=1),2,IF(OR(AG609=1,AF609=1),1,IF(OR(Y609="Ordered",Y609="Delivered"),0,""))))</f>
        <v/>
      </c>
      <c r="AA609" s="112">
        <f>IF(B609="","",IF(AH609=1,IF(Y609="⚠️ Delivery after install date",R609,S609),IF(AD609=1,T609,IF(AI609=1,S609,""))))</f>
        <v/>
      </c>
      <c r="AB609" s="79">
        <f>IF(AA609="","",IF(AH609=1,1,IF(AA609="","",IF(AA609&lt;AsOf,1,IF(AA609&lt;=AsOf+AlertDays,2,IF(AA609&lt;=AsOf+2*AlertDays,3,""))))))</f>
        <v/>
      </c>
      <c r="AC609" s="79">
        <f>IF(AB609="","",IF(AH609=1,IF(Y609="⚠️ Delivery after install date","Delivery after install date: "&amp;B609,"Order late — install at risk: "&amp;B609),IF(AD609=1,IF(AB609=1,"Decision overdue: ","Decide: ")&amp;B609,"Order: "&amp;B609&amp;IF(N609="",""," from "&amp;N609))))</f>
        <v/>
      </c>
      <c r="AD609" s="79">
        <f>IF(AND(B609&lt;&gt;"",K609="",U609&lt;&gt;"Yes",X609&lt;&gt;"Yes"),1,0)</f>
        <v/>
      </c>
      <c r="AE609" s="79">
        <f>IF(AND(AD609=1,T609&lt;&gt;""),IF(T609&lt;AsOf,1,0),0)</f>
        <v/>
      </c>
      <c r="AF609" s="79">
        <f>IF(AND(AD609=1,T609&lt;&gt;""),IF(AND(T609&gt;=AsOf,T609&lt;=AsOf+AlertDays),1,0),0)</f>
        <v/>
      </c>
      <c r="AG609" s="79">
        <f>IF(Y609="Order now",1,0)</f>
        <v/>
      </c>
      <c r="AH609" s="79">
        <f>IF(OR(Y609="⚠️ Order late — install at risk",Y609="⚠️ Delivery after install date"),1,0)</f>
        <v/>
      </c>
      <c r="AI609" s="79">
        <f>IF(AND(B609&lt;&gt;"",K609&lt;&gt;"",U609&lt;&gt;"Yes",X609&lt;&gt;"Yes"),1,0)</f>
        <v/>
      </c>
      <c r="AJ609" s="79">
        <f>IF(Y609="⚠️ Order late — install at risk",1,0)</f>
        <v/>
      </c>
    </row>
    <row r="610" ht="20" customHeight="1">
      <c r="B610" s="72" t="n"/>
      <c r="C610" s="72" t="n"/>
      <c r="D610" s="72" t="n"/>
      <c r="E610" s="72" t="n"/>
      <c r="F610" s="73" t="n"/>
      <c r="G610" s="72" t="n"/>
      <c r="H610" s="73" t="n"/>
      <c r="I610" s="72" t="n"/>
      <c r="J610" s="73" t="n"/>
      <c r="K610" s="74" t="n"/>
      <c r="L610" s="75">
        <f>IF(K610="A",F610,IF(K610="B",H610,IF(K610="C",J610,"")))</f>
        <v/>
      </c>
      <c r="M610" s="72" t="n"/>
      <c r="N610" s="72" t="n"/>
      <c r="O610" s="89" t="n"/>
      <c r="P610" s="89" t="n"/>
      <c r="Q610" s="109" t="n"/>
      <c r="R610" s="120">
        <f>IF(B610="","",IF(Q610&lt;&gt;"",Q610,IF(P610="","",IFERROR(INDEX('Timeline'!$J$7:$J$1006,MATCH(P610,'Timeline'!$B$7:$B$1006,0)),""))))</f>
        <v/>
      </c>
      <c r="S610" s="126">
        <f>IF(R610="","",R610-IF(O610="",0,O610)-OrderBuf)</f>
        <v/>
      </c>
      <c r="T610" s="126">
        <f>IF(S610="","",S610-DecideBuf)</f>
        <v/>
      </c>
      <c r="U610" s="74" t="n"/>
      <c r="V610" s="109" t="n"/>
      <c r="W610" s="109" t="n"/>
      <c r="X610" s="74" t="n"/>
      <c r="Y610" s="116">
        <f>IF(B610="","",IF(X610="Yes","Delivered",IF(U610="Yes",IF(AND(W610&lt;&gt;"",R610&lt;&gt;""),IF(W610&gt;R610,"⚠️ Delivery after install date","Ordered"),"Ordered"),IF(K610="",IF(T610="","Waiting for decision",IF(T610&lt;=AsOf+AlertDays,"Decide now","Waiting for decision")),IF(S610="","Selected",IF(AsOf&gt;S610,"⚠️ Order late — install at risk",IF(S610&lt;=AsOf+AlertDays,"Order now","Selected")))))))</f>
        <v/>
      </c>
      <c r="Z610" s="79">
        <f>IF(B610="","",IF(OR(AH610=1,AE610=1),2,IF(OR(AG610=1,AF610=1),1,IF(OR(Y610="Ordered",Y610="Delivered"),0,""))))</f>
        <v/>
      </c>
      <c r="AA610" s="112">
        <f>IF(B610="","",IF(AH610=1,IF(Y610="⚠️ Delivery after install date",R610,S610),IF(AD610=1,T610,IF(AI610=1,S610,""))))</f>
        <v/>
      </c>
      <c r="AB610" s="79">
        <f>IF(AA610="","",IF(AH610=1,1,IF(AA610="","",IF(AA610&lt;AsOf,1,IF(AA610&lt;=AsOf+AlertDays,2,IF(AA610&lt;=AsOf+2*AlertDays,3,""))))))</f>
        <v/>
      </c>
      <c r="AC610" s="79">
        <f>IF(AB610="","",IF(AH610=1,IF(Y610="⚠️ Delivery after install date","Delivery after install date: "&amp;B610,"Order late — install at risk: "&amp;B610),IF(AD610=1,IF(AB610=1,"Decision overdue: ","Decide: ")&amp;B610,"Order: "&amp;B610&amp;IF(N610="",""," from "&amp;N610))))</f>
        <v/>
      </c>
      <c r="AD610" s="79">
        <f>IF(AND(B610&lt;&gt;"",K610="",U610&lt;&gt;"Yes",X610&lt;&gt;"Yes"),1,0)</f>
        <v/>
      </c>
      <c r="AE610" s="79">
        <f>IF(AND(AD610=1,T610&lt;&gt;""),IF(T610&lt;AsOf,1,0),0)</f>
        <v/>
      </c>
      <c r="AF610" s="79">
        <f>IF(AND(AD610=1,T610&lt;&gt;""),IF(AND(T610&gt;=AsOf,T610&lt;=AsOf+AlertDays),1,0),0)</f>
        <v/>
      </c>
      <c r="AG610" s="79">
        <f>IF(Y610="Order now",1,0)</f>
        <v/>
      </c>
      <c r="AH610" s="79">
        <f>IF(OR(Y610="⚠️ Order late — install at risk",Y610="⚠️ Delivery after install date"),1,0)</f>
        <v/>
      </c>
      <c r="AI610" s="79">
        <f>IF(AND(B610&lt;&gt;"",K610&lt;&gt;"",U610&lt;&gt;"Yes",X610&lt;&gt;"Yes"),1,0)</f>
        <v/>
      </c>
      <c r="AJ610" s="79">
        <f>IF(Y610="⚠️ Order late — install at risk",1,0)</f>
        <v/>
      </c>
    </row>
    <row r="611" ht="20" customHeight="1">
      <c r="B611" s="72" t="n"/>
      <c r="C611" s="72" t="n"/>
      <c r="D611" s="72" t="n"/>
      <c r="E611" s="72" t="n"/>
      <c r="F611" s="73" t="n"/>
      <c r="G611" s="72" t="n"/>
      <c r="H611" s="73" t="n"/>
      <c r="I611" s="72" t="n"/>
      <c r="J611" s="73" t="n"/>
      <c r="K611" s="74" t="n"/>
      <c r="L611" s="75">
        <f>IF(K611="A",F611,IF(K611="B",H611,IF(K611="C",J611,"")))</f>
        <v/>
      </c>
      <c r="M611" s="72" t="n"/>
      <c r="N611" s="72" t="n"/>
      <c r="O611" s="89" t="n"/>
      <c r="P611" s="89" t="n"/>
      <c r="Q611" s="109" t="n"/>
      <c r="R611" s="120">
        <f>IF(B611="","",IF(Q611&lt;&gt;"",Q611,IF(P611="","",IFERROR(INDEX('Timeline'!$J$7:$J$1006,MATCH(P611,'Timeline'!$B$7:$B$1006,0)),""))))</f>
        <v/>
      </c>
      <c r="S611" s="126">
        <f>IF(R611="","",R611-IF(O611="",0,O611)-OrderBuf)</f>
        <v/>
      </c>
      <c r="T611" s="126">
        <f>IF(S611="","",S611-DecideBuf)</f>
        <v/>
      </c>
      <c r="U611" s="74" t="n"/>
      <c r="V611" s="109" t="n"/>
      <c r="W611" s="109" t="n"/>
      <c r="X611" s="74" t="n"/>
      <c r="Y611" s="116">
        <f>IF(B611="","",IF(X611="Yes","Delivered",IF(U611="Yes",IF(AND(W611&lt;&gt;"",R611&lt;&gt;""),IF(W611&gt;R611,"⚠️ Delivery after install date","Ordered"),"Ordered"),IF(K611="",IF(T611="","Waiting for decision",IF(T611&lt;=AsOf+AlertDays,"Decide now","Waiting for decision")),IF(S611="","Selected",IF(AsOf&gt;S611,"⚠️ Order late — install at risk",IF(S611&lt;=AsOf+AlertDays,"Order now","Selected")))))))</f>
        <v/>
      </c>
      <c r="Z611" s="79">
        <f>IF(B611="","",IF(OR(AH611=1,AE611=1),2,IF(OR(AG611=1,AF611=1),1,IF(OR(Y611="Ordered",Y611="Delivered"),0,""))))</f>
        <v/>
      </c>
      <c r="AA611" s="112">
        <f>IF(B611="","",IF(AH611=1,IF(Y611="⚠️ Delivery after install date",R611,S611),IF(AD611=1,T611,IF(AI611=1,S611,""))))</f>
        <v/>
      </c>
      <c r="AB611" s="79">
        <f>IF(AA611="","",IF(AH611=1,1,IF(AA611="","",IF(AA611&lt;AsOf,1,IF(AA611&lt;=AsOf+AlertDays,2,IF(AA611&lt;=AsOf+2*AlertDays,3,""))))))</f>
        <v/>
      </c>
      <c r="AC611" s="79">
        <f>IF(AB611="","",IF(AH611=1,IF(Y611="⚠️ Delivery after install date","Delivery after install date: "&amp;B611,"Order late — install at risk: "&amp;B611),IF(AD611=1,IF(AB611=1,"Decision overdue: ","Decide: ")&amp;B611,"Order: "&amp;B611&amp;IF(N611="",""," from "&amp;N611))))</f>
        <v/>
      </c>
      <c r="AD611" s="79">
        <f>IF(AND(B611&lt;&gt;"",K611="",U611&lt;&gt;"Yes",X611&lt;&gt;"Yes"),1,0)</f>
        <v/>
      </c>
      <c r="AE611" s="79">
        <f>IF(AND(AD611=1,T611&lt;&gt;""),IF(T611&lt;AsOf,1,0),0)</f>
        <v/>
      </c>
      <c r="AF611" s="79">
        <f>IF(AND(AD611=1,T611&lt;&gt;""),IF(AND(T611&gt;=AsOf,T611&lt;=AsOf+AlertDays),1,0),0)</f>
        <v/>
      </c>
      <c r="AG611" s="79">
        <f>IF(Y611="Order now",1,0)</f>
        <v/>
      </c>
      <c r="AH611" s="79">
        <f>IF(OR(Y611="⚠️ Order late — install at risk",Y611="⚠️ Delivery after install date"),1,0)</f>
        <v/>
      </c>
      <c r="AI611" s="79">
        <f>IF(AND(B611&lt;&gt;"",K611&lt;&gt;"",U611&lt;&gt;"Yes",X611&lt;&gt;"Yes"),1,0)</f>
        <v/>
      </c>
      <c r="AJ611" s="79">
        <f>IF(Y611="⚠️ Order late — install at risk",1,0)</f>
        <v/>
      </c>
    </row>
    <row r="612" ht="20" customHeight="1">
      <c r="B612" s="72" t="n"/>
      <c r="C612" s="72" t="n"/>
      <c r="D612" s="72" t="n"/>
      <c r="E612" s="72" t="n"/>
      <c r="F612" s="73" t="n"/>
      <c r="G612" s="72" t="n"/>
      <c r="H612" s="73" t="n"/>
      <c r="I612" s="72" t="n"/>
      <c r="J612" s="73" t="n"/>
      <c r="K612" s="74" t="n"/>
      <c r="L612" s="75">
        <f>IF(K612="A",F612,IF(K612="B",H612,IF(K612="C",J612,"")))</f>
        <v/>
      </c>
      <c r="M612" s="72" t="n"/>
      <c r="N612" s="72" t="n"/>
      <c r="O612" s="89" t="n"/>
      <c r="P612" s="89" t="n"/>
      <c r="Q612" s="109" t="n"/>
      <c r="R612" s="120">
        <f>IF(B612="","",IF(Q612&lt;&gt;"",Q612,IF(P612="","",IFERROR(INDEX('Timeline'!$J$7:$J$1006,MATCH(P612,'Timeline'!$B$7:$B$1006,0)),""))))</f>
        <v/>
      </c>
      <c r="S612" s="126">
        <f>IF(R612="","",R612-IF(O612="",0,O612)-OrderBuf)</f>
        <v/>
      </c>
      <c r="T612" s="126">
        <f>IF(S612="","",S612-DecideBuf)</f>
        <v/>
      </c>
      <c r="U612" s="74" t="n"/>
      <c r="V612" s="109" t="n"/>
      <c r="W612" s="109" t="n"/>
      <c r="X612" s="74" t="n"/>
      <c r="Y612" s="116">
        <f>IF(B612="","",IF(X612="Yes","Delivered",IF(U612="Yes",IF(AND(W612&lt;&gt;"",R612&lt;&gt;""),IF(W612&gt;R612,"⚠️ Delivery after install date","Ordered"),"Ordered"),IF(K612="",IF(T612="","Waiting for decision",IF(T612&lt;=AsOf+AlertDays,"Decide now","Waiting for decision")),IF(S612="","Selected",IF(AsOf&gt;S612,"⚠️ Order late — install at risk",IF(S612&lt;=AsOf+AlertDays,"Order now","Selected")))))))</f>
        <v/>
      </c>
      <c r="Z612" s="79">
        <f>IF(B612="","",IF(OR(AH612=1,AE612=1),2,IF(OR(AG612=1,AF612=1),1,IF(OR(Y612="Ordered",Y612="Delivered"),0,""))))</f>
        <v/>
      </c>
      <c r="AA612" s="112">
        <f>IF(B612="","",IF(AH612=1,IF(Y612="⚠️ Delivery after install date",R612,S612),IF(AD612=1,T612,IF(AI612=1,S612,""))))</f>
        <v/>
      </c>
      <c r="AB612" s="79">
        <f>IF(AA612="","",IF(AH612=1,1,IF(AA612="","",IF(AA612&lt;AsOf,1,IF(AA612&lt;=AsOf+AlertDays,2,IF(AA612&lt;=AsOf+2*AlertDays,3,""))))))</f>
        <v/>
      </c>
      <c r="AC612" s="79">
        <f>IF(AB612="","",IF(AH612=1,IF(Y612="⚠️ Delivery after install date","Delivery after install date: "&amp;B612,"Order late — install at risk: "&amp;B612),IF(AD612=1,IF(AB612=1,"Decision overdue: ","Decide: ")&amp;B612,"Order: "&amp;B612&amp;IF(N612="",""," from "&amp;N612))))</f>
        <v/>
      </c>
      <c r="AD612" s="79">
        <f>IF(AND(B612&lt;&gt;"",K612="",U612&lt;&gt;"Yes",X612&lt;&gt;"Yes"),1,0)</f>
        <v/>
      </c>
      <c r="AE612" s="79">
        <f>IF(AND(AD612=1,T612&lt;&gt;""),IF(T612&lt;AsOf,1,0),0)</f>
        <v/>
      </c>
      <c r="AF612" s="79">
        <f>IF(AND(AD612=1,T612&lt;&gt;""),IF(AND(T612&gt;=AsOf,T612&lt;=AsOf+AlertDays),1,0),0)</f>
        <v/>
      </c>
      <c r="AG612" s="79">
        <f>IF(Y612="Order now",1,0)</f>
        <v/>
      </c>
      <c r="AH612" s="79">
        <f>IF(OR(Y612="⚠️ Order late — install at risk",Y612="⚠️ Delivery after install date"),1,0)</f>
        <v/>
      </c>
      <c r="AI612" s="79">
        <f>IF(AND(B612&lt;&gt;"",K612&lt;&gt;"",U612&lt;&gt;"Yes",X612&lt;&gt;"Yes"),1,0)</f>
        <v/>
      </c>
      <c r="AJ612" s="79">
        <f>IF(Y612="⚠️ Order late — install at risk",1,0)</f>
        <v/>
      </c>
    </row>
    <row r="613" ht="20" customHeight="1">
      <c r="B613" s="72" t="n"/>
      <c r="C613" s="72" t="n"/>
      <c r="D613" s="72" t="n"/>
      <c r="E613" s="72" t="n"/>
      <c r="F613" s="73" t="n"/>
      <c r="G613" s="72" t="n"/>
      <c r="H613" s="73" t="n"/>
      <c r="I613" s="72" t="n"/>
      <c r="J613" s="73" t="n"/>
      <c r="K613" s="74" t="n"/>
      <c r="L613" s="75">
        <f>IF(K613="A",F613,IF(K613="B",H613,IF(K613="C",J613,"")))</f>
        <v/>
      </c>
      <c r="M613" s="72" t="n"/>
      <c r="N613" s="72" t="n"/>
      <c r="O613" s="89" t="n"/>
      <c r="P613" s="89" t="n"/>
      <c r="Q613" s="109" t="n"/>
      <c r="R613" s="120">
        <f>IF(B613="","",IF(Q613&lt;&gt;"",Q613,IF(P613="","",IFERROR(INDEX('Timeline'!$J$7:$J$1006,MATCH(P613,'Timeline'!$B$7:$B$1006,0)),""))))</f>
        <v/>
      </c>
      <c r="S613" s="126">
        <f>IF(R613="","",R613-IF(O613="",0,O613)-OrderBuf)</f>
        <v/>
      </c>
      <c r="T613" s="126">
        <f>IF(S613="","",S613-DecideBuf)</f>
        <v/>
      </c>
      <c r="U613" s="74" t="n"/>
      <c r="V613" s="109" t="n"/>
      <c r="W613" s="109" t="n"/>
      <c r="X613" s="74" t="n"/>
      <c r="Y613" s="116">
        <f>IF(B613="","",IF(X613="Yes","Delivered",IF(U613="Yes",IF(AND(W613&lt;&gt;"",R613&lt;&gt;""),IF(W613&gt;R613,"⚠️ Delivery after install date","Ordered"),"Ordered"),IF(K613="",IF(T613="","Waiting for decision",IF(T613&lt;=AsOf+AlertDays,"Decide now","Waiting for decision")),IF(S613="","Selected",IF(AsOf&gt;S613,"⚠️ Order late — install at risk",IF(S613&lt;=AsOf+AlertDays,"Order now","Selected")))))))</f>
        <v/>
      </c>
      <c r="Z613" s="79">
        <f>IF(B613="","",IF(OR(AH613=1,AE613=1),2,IF(OR(AG613=1,AF613=1),1,IF(OR(Y613="Ordered",Y613="Delivered"),0,""))))</f>
        <v/>
      </c>
      <c r="AA613" s="112">
        <f>IF(B613="","",IF(AH613=1,IF(Y613="⚠️ Delivery after install date",R613,S613),IF(AD613=1,T613,IF(AI613=1,S613,""))))</f>
        <v/>
      </c>
      <c r="AB613" s="79">
        <f>IF(AA613="","",IF(AH613=1,1,IF(AA613="","",IF(AA613&lt;AsOf,1,IF(AA613&lt;=AsOf+AlertDays,2,IF(AA613&lt;=AsOf+2*AlertDays,3,""))))))</f>
        <v/>
      </c>
      <c r="AC613" s="79">
        <f>IF(AB613="","",IF(AH613=1,IF(Y613="⚠️ Delivery after install date","Delivery after install date: "&amp;B613,"Order late — install at risk: "&amp;B613),IF(AD613=1,IF(AB613=1,"Decision overdue: ","Decide: ")&amp;B613,"Order: "&amp;B613&amp;IF(N613="",""," from "&amp;N613))))</f>
        <v/>
      </c>
      <c r="AD613" s="79">
        <f>IF(AND(B613&lt;&gt;"",K613="",U613&lt;&gt;"Yes",X613&lt;&gt;"Yes"),1,0)</f>
        <v/>
      </c>
      <c r="AE613" s="79">
        <f>IF(AND(AD613=1,T613&lt;&gt;""),IF(T613&lt;AsOf,1,0),0)</f>
        <v/>
      </c>
      <c r="AF613" s="79">
        <f>IF(AND(AD613=1,T613&lt;&gt;""),IF(AND(T613&gt;=AsOf,T613&lt;=AsOf+AlertDays),1,0),0)</f>
        <v/>
      </c>
      <c r="AG613" s="79">
        <f>IF(Y613="Order now",1,0)</f>
        <v/>
      </c>
      <c r="AH613" s="79">
        <f>IF(OR(Y613="⚠️ Order late — install at risk",Y613="⚠️ Delivery after install date"),1,0)</f>
        <v/>
      </c>
      <c r="AI613" s="79">
        <f>IF(AND(B613&lt;&gt;"",K613&lt;&gt;"",U613&lt;&gt;"Yes",X613&lt;&gt;"Yes"),1,0)</f>
        <v/>
      </c>
      <c r="AJ613" s="79">
        <f>IF(Y613="⚠️ Order late — install at risk",1,0)</f>
        <v/>
      </c>
    </row>
    <row r="614" ht="20" customHeight="1">
      <c r="B614" s="72" t="n"/>
      <c r="C614" s="72" t="n"/>
      <c r="D614" s="72" t="n"/>
      <c r="E614" s="72" t="n"/>
      <c r="F614" s="73" t="n"/>
      <c r="G614" s="72" t="n"/>
      <c r="H614" s="73" t="n"/>
      <c r="I614" s="72" t="n"/>
      <c r="J614" s="73" t="n"/>
      <c r="K614" s="74" t="n"/>
      <c r="L614" s="75">
        <f>IF(K614="A",F614,IF(K614="B",H614,IF(K614="C",J614,"")))</f>
        <v/>
      </c>
      <c r="M614" s="72" t="n"/>
      <c r="N614" s="72" t="n"/>
      <c r="O614" s="89" t="n"/>
      <c r="P614" s="89" t="n"/>
      <c r="Q614" s="109" t="n"/>
      <c r="R614" s="120">
        <f>IF(B614="","",IF(Q614&lt;&gt;"",Q614,IF(P614="","",IFERROR(INDEX('Timeline'!$J$7:$J$1006,MATCH(P614,'Timeline'!$B$7:$B$1006,0)),""))))</f>
        <v/>
      </c>
      <c r="S614" s="126">
        <f>IF(R614="","",R614-IF(O614="",0,O614)-OrderBuf)</f>
        <v/>
      </c>
      <c r="T614" s="126">
        <f>IF(S614="","",S614-DecideBuf)</f>
        <v/>
      </c>
      <c r="U614" s="74" t="n"/>
      <c r="V614" s="109" t="n"/>
      <c r="W614" s="109" t="n"/>
      <c r="X614" s="74" t="n"/>
      <c r="Y614" s="116">
        <f>IF(B614="","",IF(X614="Yes","Delivered",IF(U614="Yes",IF(AND(W614&lt;&gt;"",R614&lt;&gt;""),IF(W614&gt;R614,"⚠️ Delivery after install date","Ordered"),"Ordered"),IF(K614="",IF(T614="","Waiting for decision",IF(T614&lt;=AsOf+AlertDays,"Decide now","Waiting for decision")),IF(S614="","Selected",IF(AsOf&gt;S614,"⚠️ Order late — install at risk",IF(S614&lt;=AsOf+AlertDays,"Order now","Selected")))))))</f>
        <v/>
      </c>
      <c r="Z614" s="79">
        <f>IF(B614="","",IF(OR(AH614=1,AE614=1),2,IF(OR(AG614=1,AF614=1),1,IF(OR(Y614="Ordered",Y614="Delivered"),0,""))))</f>
        <v/>
      </c>
      <c r="AA614" s="112">
        <f>IF(B614="","",IF(AH614=1,IF(Y614="⚠️ Delivery after install date",R614,S614),IF(AD614=1,T614,IF(AI614=1,S614,""))))</f>
        <v/>
      </c>
      <c r="AB614" s="79">
        <f>IF(AA614="","",IF(AH614=1,1,IF(AA614="","",IF(AA614&lt;AsOf,1,IF(AA614&lt;=AsOf+AlertDays,2,IF(AA614&lt;=AsOf+2*AlertDays,3,""))))))</f>
        <v/>
      </c>
      <c r="AC614" s="79">
        <f>IF(AB614="","",IF(AH614=1,IF(Y614="⚠️ Delivery after install date","Delivery after install date: "&amp;B614,"Order late — install at risk: "&amp;B614),IF(AD614=1,IF(AB614=1,"Decision overdue: ","Decide: ")&amp;B614,"Order: "&amp;B614&amp;IF(N614="",""," from "&amp;N614))))</f>
        <v/>
      </c>
      <c r="AD614" s="79">
        <f>IF(AND(B614&lt;&gt;"",K614="",U614&lt;&gt;"Yes",X614&lt;&gt;"Yes"),1,0)</f>
        <v/>
      </c>
      <c r="AE614" s="79">
        <f>IF(AND(AD614=1,T614&lt;&gt;""),IF(T614&lt;AsOf,1,0),0)</f>
        <v/>
      </c>
      <c r="AF614" s="79">
        <f>IF(AND(AD614=1,T614&lt;&gt;""),IF(AND(T614&gt;=AsOf,T614&lt;=AsOf+AlertDays),1,0),0)</f>
        <v/>
      </c>
      <c r="AG614" s="79">
        <f>IF(Y614="Order now",1,0)</f>
        <v/>
      </c>
      <c r="AH614" s="79">
        <f>IF(OR(Y614="⚠️ Order late — install at risk",Y614="⚠️ Delivery after install date"),1,0)</f>
        <v/>
      </c>
      <c r="AI614" s="79">
        <f>IF(AND(B614&lt;&gt;"",K614&lt;&gt;"",U614&lt;&gt;"Yes",X614&lt;&gt;"Yes"),1,0)</f>
        <v/>
      </c>
      <c r="AJ614" s="79">
        <f>IF(Y614="⚠️ Order late — install at risk",1,0)</f>
        <v/>
      </c>
    </row>
    <row r="615" ht="20" customHeight="1">
      <c r="B615" s="72" t="n"/>
      <c r="C615" s="72" t="n"/>
      <c r="D615" s="72" t="n"/>
      <c r="E615" s="72" t="n"/>
      <c r="F615" s="73" t="n"/>
      <c r="G615" s="72" t="n"/>
      <c r="H615" s="73" t="n"/>
      <c r="I615" s="72" t="n"/>
      <c r="J615" s="73" t="n"/>
      <c r="K615" s="74" t="n"/>
      <c r="L615" s="75">
        <f>IF(K615="A",F615,IF(K615="B",H615,IF(K615="C",J615,"")))</f>
        <v/>
      </c>
      <c r="M615" s="72" t="n"/>
      <c r="N615" s="72" t="n"/>
      <c r="O615" s="89" t="n"/>
      <c r="P615" s="89" t="n"/>
      <c r="Q615" s="109" t="n"/>
      <c r="R615" s="120">
        <f>IF(B615="","",IF(Q615&lt;&gt;"",Q615,IF(P615="","",IFERROR(INDEX('Timeline'!$J$7:$J$1006,MATCH(P615,'Timeline'!$B$7:$B$1006,0)),""))))</f>
        <v/>
      </c>
      <c r="S615" s="126">
        <f>IF(R615="","",R615-IF(O615="",0,O615)-OrderBuf)</f>
        <v/>
      </c>
      <c r="T615" s="126">
        <f>IF(S615="","",S615-DecideBuf)</f>
        <v/>
      </c>
      <c r="U615" s="74" t="n"/>
      <c r="V615" s="109" t="n"/>
      <c r="W615" s="109" t="n"/>
      <c r="X615" s="74" t="n"/>
      <c r="Y615" s="116">
        <f>IF(B615="","",IF(X615="Yes","Delivered",IF(U615="Yes",IF(AND(W615&lt;&gt;"",R615&lt;&gt;""),IF(W615&gt;R615,"⚠️ Delivery after install date","Ordered"),"Ordered"),IF(K615="",IF(T615="","Waiting for decision",IF(T615&lt;=AsOf+AlertDays,"Decide now","Waiting for decision")),IF(S615="","Selected",IF(AsOf&gt;S615,"⚠️ Order late — install at risk",IF(S615&lt;=AsOf+AlertDays,"Order now","Selected")))))))</f>
        <v/>
      </c>
      <c r="Z615" s="79">
        <f>IF(B615="","",IF(OR(AH615=1,AE615=1),2,IF(OR(AG615=1,AF615=1),1,IF(OR(Y615="Ordered",Y615="Delivered"),0,""))))</f>
        <v/>
      </c>
      <c r="AA615" s="112">
        <f>IF(B615="","",IF(AH615=1,IF(Y615="⚠️ Delivery after install date",R615,S615),IF(AD615=1,T615,IF(AI615=1,S615,""))))</f>
        <v/>
      </c>
      <c r="AB615" s="79">
        <f>IF(AA615="","",IF(AH615=1,1,IF(AA615="","",IF(AA615&lt;AsOf,1,IF(AA615&lt;=AsOf+AlertDays,2,IF(AA615&lt;=AsOf+2*AlertDays,3,""))))))</f>
        <v/>
      </c>
      <c r="AC615" s="79">
        <f>IF(AB615="","",IF(AH615=1,IF(Y615="⚠️ Delivery after install date","Delivery after install date: "&amp;B615,"Order late — install at risk: "&amp;B615),IF(AD615=1,IF(AB615=1,"Decision overdue: ","Decide: ")&amp;B615,"Order: "&amp;B615&amp;IF(N615="",""," from "&amp;N615))))</f>
        <v/>
      </c>
      <c r="AD615" s="79">
        <f>IF(AND(B615&lt;&gt;"",K615="",U615&lt;&gt;"Yes",X615&lt;&gt;"Yes"),1,0)</f>
        <v/>
      </c>
      <c r="AE615" s="79">
        <f>IF(AND(AD615=1,T615&lt;&gt;""),IF(T615&lt;AsOf,1,0),0)</f>
        <v/>
      </c>
      <c r="AF615" s="79">
        <f>IF(AND(AD615=1,T615&lt;&gt;""),IF(AND(T615&gt;=AsOf,T615&lt;=AsOf+AlertDays),1,0),0)</f>
        <v/>
      </c>
      <c r="AG615" s="79">
        <f>IF(Y615="Order now",1,0)</f>
        <v/>
      </c>
      <c r="AH615" s="79">
        <f>IF(OR(Y615="⚠️ Order late — install at risk",Y615="⚠️ Delivery after install date"),1,0)</f>
        <v/>
      </c>
      <c r="AI615" s="79">
        <f>IF(AND(B615&lt;&gt;"",K615&lt;&gt;"",U615&lt;&gt;"Yes",X615&lt;&gt;"Yes"),1,0)</f>
        <v/>
      </c>
      <c r="AJ615" s="79">
        <f>IF(Y615="⚠️ Order late — install at risk",1,0)</f>
        <v/>
      </c>
    </row>
    <row r="616" ht="20" customHeight="1">
      <c r="B616" s="72" t="n"/>
      <c r="C616" s="72" t="n"/>
      <c r="D616" s="72" t="n"/>
      <c r="E616" s="72" t="n"/>
      <c r="F616" s="73" t="n"/>
      <c r="G616" s="72" t="n"/>
      <c r="H616" s="73" t="n"/>
      <c r="I616" s="72" t="n"/>
      <c r="J616" s="73" t="n"/>
      <c r="K616" s="74" t="n"/>
      <c r="L616" s="75">
        <f>IF(K616="A",F616,IF(K616="B",H616,IF(K616="C",J616,"")))</f>
        <v/>
      </c>
      <c r="M616" s="72" t="n"/>
      <c r="N616" s="72" t="n"/>
      <c r="O616" s="89" t="n"/>
      <c r="P616" s="89" t="n"/>
      <c r="Q616" s="109" t="n"/>
      <c r="R616" s="120">
        <f>IF(B616="","",IF(Q616&lt;&gt;"",Q616,IF(P616="","",IFERROR(INDEX('Timeline'!$J$7:$J$1006,MATCH(P616,'Timeline'!$B$7:$B$1006,0)),""))))</f>
        <v/>
      </c>
      <c r="S616" s="126">
        <f>IF(R616="","",R616-IF(O616="",0,O616)-OrderBuf)</f>
        <v/>
      </c>
      <c r="T616" s="126">
        <f>IF(S616="","",S616-DecideBuf)</f>
        <v/>
      </c>
      <c r="U616" s="74" t="n"/>
      <c r="V616" s="109" t="n"/>
      <c r="W616" s="109" t="n"/>
      <c r="X616" s="74" t="n"/>
      <c r="Y616" s="116">
        <f>IF(B616="","",IF(X616="Yes","Delivered",IF(U616="Yes",IF(AND(W616&lt;&gt;"",R616&lt;&gt;""),IF(W616&gt;R616,"⚠️ Delivery after install date","Ordered"),"Ordered"),IF(K616="",IF(T616="","Waiting for decision",IF(T616&lt;=AsOf+AlertDays,"Decide now","Waiting for decision")),IF(S616="","Selected",IF(AsOf&gt;S616,"⚠️ Order late — install at risk",IF(S616&lt;=AsOf+AlertDays,"Order now","Selected")))))))</f>
        <v/>
      </c>
      <c r="Z616" s="79">
        <f>IF(B616="","",IF(OR(AH616=1,AE616=1),2,IF(OR(AG616=1,AF616=1),1,IF(OR(Y616="Ordered",Y616="Delivered"),0,""))))</f>
        <v/>
      </c>
      <c r="AA616" s="112">
        <f>IF(B616="","",IF(AH616=1,IF(Y616="⚠️ Delivery after install date",R616,S616),IF(AD616=1,T616,IF(AI616=1,S616,""))))</f>
        <v/>
      </c>
      <c r="AB616" s="79">
        <f>IF(AA616="","",IF(AH616=1,1,IF(AA616="","",IF(AA616&lt;AsOf,1,IF(AA616&lt;=AsOf+AlertDays,2,IF(AA616&lt;=AsOf+2*AlertDays,3,""))))))</f>
        <v/>
      </c>
      <c r="AC616" s="79">
        <f>IF(AB616="","",IF(AH616=1,IF(Y616="⚠️ Delivery after install date","Delivery after install date: "&amp;B616,"Order late — install at risk: "&amp;B616),IF(AD616=1,IF(AB616=1,"Decision overdue: ","Decide: ")&amp;B616,"Order: "&amp;B616&amp;IF(N616="",""," from "&amp;N616))))</f>
        <v/>
      </c>
      <c r="AD616" s="79">
        <f>IF(AND(B616&lt;&gt;"",K616="",U616&lt;&gt;"Yes",X616&lt;&gt;"Yes"),1,0)</f>
        <v/>
      </c>
      <c r="AE616" s="79">
        <f>IF(AND(AD616=1,T616&lt;&gt;""),IF(T616&lt;AsOf,1,0),0)</f>
        <v/>
      </c>
      <c r="AF616" s="79">
        <f>IF(AND(AD616=1,T616&lt;&gt;""),IF(AND(T616&gt;=AsOf,T616&lt;=AsOf+AlertDays),1,0),0)</f>
        <v/>
      </c>
      <c r="AG616" s="79">
        <f>IF(Y616="Order now",1,0)</f>
        <v/>
      </c>
      <c r="AH616" s="79">
        <f>IF(OR(Y616="⚠️ Order late — install at risk",Y616="⚠️ Delivery after install date"),1,0)</f>
        <v/>
      </c>
      <c r="AI616" s="79">
        <f>IF(AND(B616&lt;&gt;"",K616&lt;&gt;"",U616&lt;&gt;"Yes",X616&lt;&gt;"Yes"),1,0)</f>
        <v/>
      </c>
      <c r="AJ616" s="79">
        <f>IF(Y616="⚠️ Order late — install at risk",1,0)</f>
        <v/>
      </c>
    </row>
    <row r="617" ht="20" customHeight="1">
      <c r="B617" s="72" t="n"/>
      <c r="C617" s="72" t="n"/>
      <c r="D617" s="72" t="n"/>
      <c r="E617" s="72" t="n"/>
      <c r="F617" s="73" t="n"/>
      <c r="G617" s="72" t="n"/>
      <c r="H617" s="73" t="n"/>
      <c r="I617" s="72" t="n"/>
      <c r="J617" s="73" t="n"/>
      <c r="K617" s="74" t="n"/>
      <c r="L617" s="75">
        <f>IF(K617="A",F617,IF(K617="B",H617,IF(K617="C",J617,"")))</f>
        <v/>
      </c>
      <c r="M617" s="72" t="n"/>
      <c r="N617" s="72" t="n"/>
      <c r="O617" s="89" t="n"/>
      <c r="P617" s="89" t="n"/>
      <c r="Q617" s="109" t="n"/>
      <c r="R617" s="120">
        <f>IF(B617="","",IF(Q617&lt;&gt;"",Q617,IF(P617="","",IFERROR(INDEX('Timeline'!$J$7:$J$1006,MATCH(P617,'Timeline'!$B$7:$B$1006,0)),""))))</f>
        <v/>
      </c>
      <c r="S617" s="126">
        <f>IF(R617="","",R617-IF(O617="",0,O617)-OrderBuf)</f>
        <v/>
      </c>
      <c r="T617" s="126">
        <f>IF(S617="","",S617-DecideBuf)</f>
        <v/>
      </c>
      <c r="U617" s="74" t="n"/>
      <c r="V617" s="109" t="n"/>
      <c r="W617" s="109" t="n"/>
      <c r="X617" s="74" t="n"/>
      <c r="Y617" s="116">
        <f>IF(B617="","",IF(X617="Yes","Delivered",IF(U617="Yes",IF(AND(W617&lt;&gt;"",R617&lt;&gt;""),IF(W617&gt;R617,"⚠️ Delivery after install date","Ordered"),"Ordered"),IF(K617="",IF(T617="","Waiting for decision",IF(T617&lt;=AsOf+AlertDays,"Decide now","Waiting for decision")),IF(S617="","Selected",IF(AsOf&gt;S617,"⚠️ Order late — install at risk",IF(S617&lt;=AsOf+AlertDays,"Order now","Selected")))))))</f>
        <v/>
      </c>
      <c r="Z617" s="79">
        <f>IF(B617="","",IF(OR(AH617=1,AE617=1),2,IF(OR(AG617=1,AF617=1),1,IF(OR(Y617="Ordered",Y617="Delivered"),0,""))))</f>
        <v/>
      </c>
      <c r="AA617" s="112">
        <f>IF(B617="","",IF(AH617=1,IF(Y617="⚠️ Delivery after install date",R617,S617),IF(AD617=1,T617,IF(AI617=1,S617,""))))</f>
        <v/>
      </c>
      <c r="AB617" s="79">
        <f>IF(AA617="","",IF(AH617=1,1,IF(AA617="","",IF(AA617&lt;AsOf,1,IF(AA617&lt;=AsOf+AlertDays,2,IF(AA617&lt;=AsOf+2*AlertDays,3,""))))))</f>
        <v/>
      </c>
      <c r="AC617" s="79">
        <f>IF(AB617="","",IF(AH617=1,IF(Y617="⚠️ Delivery after install date","Delivery after install date: "&amp;B617,"Order late — install at risk: "&amp;B617),IF(AD617=1,IF(AB617=1,"Decision overdue: ","Decide: ")&amp;B617,"Order: "&amp;B617&amp;IF(N617="",""," from "&amp;N617))))</f>
        <v/>
      </c>
      <c r="AD617" s="79">
        <f>IF(AND(B617&lt;&gt;"",K617="",U617&lt;&gt;"Yes",X617&lt;&gt;"Yes"),1,0)</f>
        <v/>
      </c>
      <c r="AE617" s="79">
        <f>IF(AND(AD617=1,T617&lt;&gt;""),IF(T617&lt;AsOf,1,0),0)</f>
        <v/>
      </c>
      <c r="AF617" s="79">
        <f>IF(AND(AD617=1,T617&lt;&gt;""),IF(AND(T617&gt;=AsOf,T617&lt;=AsOf+AlertDays),1,0),0)</f>
        <v/>
      </c>
      <c r="AG617" s="79">
        <f>IF(Y617="Order now",1,0)</f>
        <v/>
      </c>
      <c r="AH617" s="79">
        <f>IF(OR(Y617="⚠️ Order late — install at risk",Y617="⚠️ Delivery after install date"),1,0)</f>
        <v/>
      </c>
      <c r="AI617" s="79">
        <f>IF(AND(B617&lt;&gt;"",K617&lt;&gt;"",U617&lt;&gt;"Yes",X617&lt;&gt;"Yes"),1,0)</f>
        <v/>
      </c>
      <c r="AJ617" s="79">
        <f>IF(Y617="⚠️ Order late — install at risk",1,0)</f>
        <v/>
      </c>
    </row>
    <row r="618" ht="20" customHeight="1">
      <c r="B618" s="72" t="n"/>
      <c r="C618" s="72" t="n"/>
      <c r="D618" s="72" t="n"/>
      <c r="E618" s="72" t="n"/>
      <c r="F618" s="73" t="n"/>
      <c r="G618" s="72" t="n"/>
      <c r="H618" s="73" t="n"/>
      <c r="I618" s="72" t="n"/>
      <c r="J618" s="73" t="n"/>
      <c r="K618" s="74" t="n"/>
      <c r="L618" s="75">
        <f>IF(K618="A",F618,IF(K618="B",H618,IF(K618="C",J618,"")))</f>
        <v/>
      </c>
      <c r="M618" s="72" t="n"/>
      <c r="N618" s="72" t="n"/>
      <c r="O618" s="89" t="n"/>
      <c r="P618" s="89" t="n"/>
      <c r="Q618" s="109" t="n"/>
      <c r="R618" s="120">
        <f>IF(B618="","",IF(Q618&lt;&gt;"",Q618,IF(P618="","",IFERROR(INDEX('Timeline'!$J$7:$J$1006,MATCH(P618,'Timeline'!$B$7:$B$1006,0)),""))))</f>
        <v/>
      </c>
      <c r="S618" s="126">
        <f>IF(R618="","",R618-IF(O618="",0,O618)-OrderBuf)</f>
        <v/>
      </c>
      <c r="T618" s="126">
        <f>IF(S618="","",S618-DecideBuf)</f>
        <v/>
      </c>
      <c r="U618" s="74" t="n"/>
      <c r="V618" s="109" t="n"/>
      <c r="W618" s="109" t="n"/>
      <c r="X618" s="74" t="n"/>
      <c r="Y618" s="116">
        <f>IF(B618="","",IF(X618="Yes","Delivered",IF(U618="Yes",IF(AND(W618&lt;&gt;"",R618&lt;&gt;""),IF(W618&gt;R618,"⚠️ Delivery after install date","Ordered"),"Ordered"),IF(K618="",IF(T618="","Waiting for decision",IF(T618&lt;=AsOf+AlertDays,"Decide now","Waiting for decision")),IF(S618="","Selected",IF(AsOf&gt;S618,"⚠️ Order late — install at risk",IF(S618&lt;=AsOf+AlertDays,"Order now","Selected")))))))</f>
        <v/>
      </c>
      <c r="Z618" s="79">
        <f>IF(B618="","",IF(OR(AH618=1,AE618=1),2,IF(OR(AG618=1,AF618=1),1,IF(OR(Y618="Ordered",Y618="Delivered"),0,""))))</f>
        <v/>
      </c>
      <c r="AA618" s="112">
        <f>IF(B618="","",IF(AH618=1,IF(Y618="⚠️ Delivery after install date",R618,S618),IF(AD618=1,T618,IF(AI618=1,S618,""))))</f>
        <v/>
      </c>
      <c r="AB618" s="79">
        <f>IF(AA618="","",IF(AH618=1,1,IF(AA618="","",IF(AA618&lt;AsOf,1,IF(AA618&lt;=AsOf+AlertDays,2,IF(AA618&lt;=AsOf+2*AlertDays,3,""))))))</f>
        <v/>
      </c>
      <c r="AC618" s="79">
        <f>IF(AB618="","",IF(AH618=1,IF(Y618="⚠️ Delivery after install date","Delivery after install date: "&amp;B618,"Order late — install at risk: "&amp;B618),IF(AD618=1,IF(AB618=1,"Decision overdue: ","Decide: ")&amp;B618,"Order: "&amp;B618&amp;IF(N618="",""," from "&amp;N618))))</f>
        <v/>
      </c>
      <c r="AD618" s="79">
        <f>IF(AND(B618&lt;&gt;"",K618="",U618&lt;&gt;"Yes",X618&lt;&gt;"Yes"),1,0)</f>
        <v/>
      </c>
      <c r="AE618" s="79">
        <f>IF(AND(AD618=1,T618&lt;&gt;""),IF(T618&lt;AsOf,1,0),0)</f>
        <v/>
      </c>
      <c r="AF618" s="79">
        <f>IF(AND(AD618=1,T618&lt;&gt;""),IF(AND(T618&gt;=AsOf,T618&lt;=AsOf+AlertDays),1,0),0)</f>
        <v/>
      </c>
      <c r="AG618" s="79">
        <f>IF(Y618="Order now",1,0)</f>
        <v/>
      </c>
      <c r="AH618" s="79">
        <f>IF(OR(Y618="⚠️ Order late — install at risk",Y618="⚠️ Delivery after install date"),1,0)</f>
        <v/>
      </c>
      <c r="AI618" s="79">
        <f>IF(AND(B618&lt;&gt;"",K618&lt;&gt;"",U618&lt;&gt;"Yes",X618&lt;&gt;"Yes"),1,0)</f>
        <v/>
      </c>
      <c r="AJ618" s="79">
        <f>IF(Y618="⚠️ Order late — install at risk",1,0)</f>
        <v/>
      </c>
    </row>
    <row r="619" ht="20" customHeight="1">
      <c r="B619" s="72" t="n"/>
      <c r="C619" s="72" t="n"/>
      <c r="D619" s="72" t="n"/>
      <c r="E619" s="72" t="n"/>
      <c r="F619" s="73" t="n"/>
      <c r="G619" s="72" t="n"/>
      <c r="H619" s="73" t="n"/>
      <c r="I619" s="72" t="n"/>
      <c r="J619" s="73" t="n"/>
      <c r="K619" s="74" t="n"/>
      <c r="L619" s="75">
        <f>IF(K619="A",F619,IF(K619="B",H619,IF(K619="C",J619,"")))</f>
        <v/>
      </c>
      <c r="M619" s="72" t="n"/>
      <c r="N619" s="72" t="n"/>
      <c r="O619" s="89" t="n"/>
      <c r="P619" s="89" t="n"/>
      <c r="Q619" s="109" t="n"/>
      <c r="R619" s="120">
        <f>IF(B619="","",IF(Q619&lt;&gt;"",Q619,IF(P619="","",IFERROR(INDEX('Timeline'!$J$7:$J$1006,MATCH(P619,'Timeline'!$B$7:$B$1006,0)),""))))</f>
        <v/>
      </c>
      <c r="S619" s="126">
        <f>IF(R619="","",R619-IF(O619="",0,O619)-OrderBuf)</f>
        <v/>
      </c>
      <c r="T619" s="126">
        <f>IF(S619="","",S619-DecideBuf)</f>
        <v/>
      </c>
      <c r="U619" s="74" t="n"/>
      <c r="V619" s="109" t="n"/>
      <c r="W619" s="109" t="n"/>
      <c r="X619" s="74" t="n"/>
      <c r="Y619" s="116">
        <f>IF(B619="","",IF(X619="Yes","Delivered",IF(U619="Yes",IF(AND(W619&lt;&gt;"",R619&lt;&gt;""),IF(W619&gt;R619,"⚠️ Delivery after install date","Ordered"),"Ordered"),IF(K619="",IF(T619="","Waiting for decision",IF(T619&lt;=AsOf+AlertDays,"Decide now","Waiting for decision")),IF(S619="","Selected",IF(AsOf&gt;S619,"⚠️ Order late — install at risk",IF(S619&lt;=AsOf+AlertDays,"Order now","Selected")))))))</f>
        <v/>
      </c>
      <c r="Z619" s="79">
        <f>IF(B619="","",IF(OR(AH619=1,AE619=1),2,IF(OR(AG619=1,AF619=1),1,IF(OR(Y619="Ordered",Y619="Delivered"),0,""))))</f>
        <v/>
      </c>
      <c r="AA619" s="112">
        <f>IF(B619="","",IF(AH619=1,IF(Y619="⚠️ Delivery after install date",R619,S619),IF(AD619=1,T619,IF(AI619=1,S619,""))))</f>
        <v/>
      </c>
      <c r="AB619" s="79">
        <f>IF(AA619="","",IF(AH619=1,1,IF(AA619="","",IF(AA619&lt;AsOf,1,IF(AA619&lt;=AsOf+AlertDays,2,IF(AA619&lt;=AsOf+2*AlertDays,3,""))))))</f>
        <v/>
      </c>
      <c r="AC619" s="79">
        <f>IF(AB619="","",IF(AH619=1,IF(Y619="⚠️ Delivery after install date","Delivery after install date: "&amp;B619,"Order late — install at risk: "&amp;B619),IF(AD619=1,IF(AB619=1,"Decision overdue: ","Decide: ")&amp;B619,"Order: "&amp;B619&amp;IF(N619="",""," from "&amp;N619))))</f>
        <v/>
      </c>
      <c r="AD619" s="79">
        <f>IF(AND(B619&lt;&gt;"",K619="",U619&lt;&gt;"Yes",X619&lt;&gt;"Yes"),1,0)</f>
        <v/>
      </c>
      <c r="AE619" s="79">
        <f>IF(AND(AD619=1,T619&lt;&gt;""),IF(T619&lt;AsOf,1,0),0)</f>
        <v/>
      </c>
      <c r="AF619" s="79">
        <f>IF(AND(AD619=1,T619&lt;&gt;""),IF(AND(T619&gt;=AsOf,T619&lt;=AsOf+AlertDays),1,0),0)</f>
        <v/>
      </c>
      <c r="AG619" s="79">
        <f>IF(Y619="Order now",1,0)</f>
        <v/>
      </c>
      <c r="AH619" s="79">
        <f>IF(OR(Y619="⚠️ Order late — install at risk",Y619="⚠️ Delivery after install date"),1,0)</f>
        <v/>
      </c>
      <c r="AI619" s="79">
        <f>IF(AND(B619&lt;&gt;"",K619&lt;&gt;"",U619&lt;&gt;"Yes",X619&lt;&gt;"Yes"),1,0)</f>
        <v/>
      </c>
      <c r="AJ619" s="79">
        <f>IF(Y619="⚠️ Order late — install at risk",1,0)</f>
        <v/>
      </c>
    </row>
    <row r="620" ht="20" customHeight="1">
      <c r="B620" s="72" t="n"/>
      <c r="C620" s="72" t="n"/>
      <c r="D620" s="72" t="n"/>
      <c r="E620" s="72" t="n"/>
      <c r="F620" s="73" t="n"/>
      <c r="G620" s="72" t="n"/>
      <c r="H620" s="73" t="n"/>
      <c r="I620" s="72" t="n"/>
      <c r="J620" s="73" t="n"/>
      <c r="K620" s="74" t="n"/>
      <c r="L620" s="75">
        <f>IF(K620="A",F620,IF(K620="B",H620,IF(K620="C",J620,"")))</f>
        <v/>
      </c>
      <c r="M620" s="72" t="n"/>
      <c r="N620" s="72" t="n"/>
      <c r="O620" s="89" t="n"/>
      <c r="P620" s="89" t="n"/>
      <c r="Q620" s="109" t="n"/>
      <c r="R620" s="120">
        <f>IF(B620="","",IF(Q620&lt;&gt;"",Q620,IF(P620="","",IFERROR(INDEX('Timeline'!$J$7:$J$1006,MATCH(P620,'Timeline'!$B$7:$B$1006,0)),""))))</f>
        <v/>
      </c>
      <c r="S620" s="126">
        <f>IF(R620="","",R620-IF(O620="",0,O620)-OrderBuf)</f>
        <v/>
      </c>
      <c r="T620" s="126">
        <f>IF(S620="","",S620-DecideBuf)</f>
        <v/>
      </c>
      <c r="U620" s="74" t="n"/>
      <c r="V620" s="109" t="n"/>
      <c r="W620" s="109" t="n"/>
      <c r="X620" s="74" t="n"/>
      <c r="Y620" s="116">
        <f>IF(B620="","",IF(X620="Yes","Delivered",IF(U620="Yes",IF(AND(W620&lt;&gt;"",R620&lt;&gt;""),IF(W620&gt;R620,"⚠️ Delivery after install date","Ordered"),"Ordered"),IF(K620="",IF(T620="","Waiting for decision",IF(T620&lt;=AsOf+AlertDays,"Decide now","Waiting for decision")),IF(S620="","Selected",IF(AsOf&gt;S620,"⚠️ Order late — install at risk",IF(S620&lt;=AsOf+AlertDays,"Order now","Selected")))))))</f>
        <v/>
      </c>
      <c r="Z620" s="79">
        <f>IF(B620="","",IF(OR(AH620=1,AE620=1),2,IF(OR(AG620=1,AF620=1),1,IF(OR(Y620="Ordered",Y620="Delivered"),0,""))))</f>
        <v/>
      </c>
      <c r="AA620" s="112">
        <f>IF(B620="","",IF(AH620=1,IF(Y620="⚠️ Delivery after install date",R620,S620),IF(AD620=1,T620,IF(AI620=1,S620,""))))</f>
        <v/>
      </c>
      <c r="AB620" s="79">
        <f>IF(AA620="","",IF(AH620=1,1,IF(AA620="","",IF(AA620&lt;AsOf,1,IF(AA620&lt;=AsOf+AlertDays,2,IF(AA620&lt;=AsOf+2*AlertDays,3,""))))))</f>
        <v/>
      </c>
      <c r="AC620" s="79">
        <f>IF(AB620="","",IF(AH620=1,IF(Y620="⚠️ Delivery after install date","Delivery after install date: "&amp;B620,"Order late — install at risk: "&amp;B620),IF(AD620=1,IF(AB620=1,"Decision overdue: ","Decide: ")&amp;B620,"Order: "&amp;B620&amp;IF(N620="",""," from "&amp;N620))))</f>
        <v/>
      </c>
      <c r="AD620" s="79">
        <f>IF(AND(B620&lt;&gt;"",K620="",U620&lt;&gt;"Yes",X620&lt;&gt;"Yes"),1,0)</f>
        <v/>
      </c>
      <c r="AE620" s="79">
        <f>IF(AND(AD620=1,T620&lt;&gt;""),IF(T620&lt;AsOf,1,0),0)</f>
        <v/>
      </c>
      <c r="AF620" s="79">
        <f>IF(AND(AD620=1,T620&lt;&gt;""),IF(AND(T620&gt;=AsOf,T620&lt;=AsOf+AlertDays),1,0),0)</f>
        <v/>
      </c>
      <c r="AG620" s="79">
        <f>IF(Y620="Order now",1,0)</f>
        <v/>
      </c>
      <c r="AH620" s="79">
        <f>IF(OR(Y620="⚠️ Order late — install at risk",Y620="⚠️ Delivery after install date"),1,0)</f>
        <v/>
      </c>
      <c r="AI620" s="79">
        <f>IF(AND(B620&lt;&gt;"",K620&lt;&gt;"",U620&lt;&gt;"Yes",X620&lt;&gt;"Yes"),1,0)</f>
        <v/>
      </c>
      <c r="AJ620" s="79">
        <f>IF(Y620="⚠️ Order late — install at risk",1,0)</f>
        <v/>
      </c>
    </row>
    <row r="621" ht="20" customHeight="1">
      <c r="B621" s="72" t="n"/>
      <c r="C621" s="72" t="n"/>
      <c r="D621" s="72" t="n"/>
      <c r="E621" s="72" t="n"/>
      <c r="F621" s="73" t="n"/>
      <c r="G621" s="72" t="n"/>
      <c r="H621" s="73" t="n"/>
      <c r="I621" s="72" t="n"/>
      <c r="J621" s="73" t="n"/>
      <c r="K621" s="74" t="n"/>
      <c r="L621" s="75">
        <f>IF(K621="A",F621,IF(K621="B",H621,IF(K621="C",J621,"")))</f>
        <v/>
      </c>
      <c r="M621" s="72" t="n"/>
      <c r="N621" s="72" t="n"/>
      <c r="O621" s="89" t="n"/>
      <c r="P621" s="89" t="n"/>
      <c r="Q621" s="109" t="n"/>
      <c r="R621" s="120">
        <f>IF(B621="","",IF(Q621&lt;&gt;"",Q621,IF(P621="","",IFERROR(INDEX('Timeline'!$J$7:$J$1006,MATCH(P621,'Timeline'!$B$7:$B$1006,0)),""))))</f>
        <v/>
      </c>
      <c r="S621" s="126">
        <f>IF(R621="","",R621-IF(O621="",0,O621)-OrderBuf)</f>
        <v/>
      </c>
      <c r="T621" s="126">
        <f>IF(S621="","",S621-DecideBuf)</f>
        <v/>
      </c>
      <c r="U621" s="74" t="n"/>
      <c r="V621" s="109" t="n"/>
      <c r="W621" s="109" t="n"/>
      <c r="X621" s="74" t="n"/>
      <c r="Y621" s="116">
        <f>IF(B621="","",IF(X621="Yes","Delivered",IF(U621="Yes",IF(AND(W621&lt;&gt;"",R621&lt;&gt;""),IF(W621&gt;R621,"⚠️ Delivery after install date","Ordered"),"Ordered"),IF(K621="",IF(T621="","Waiting for decision",IF(T621&lt;=AsOf+AlertDays,"Decide now","Waiting for decision")),IF(S621="","Selected",IF(AsOf&gt;S621,"⚠️ Order late — install at risk",IF(S621&lt;=AsOf+AlertDays,"Order now","Selected")))))))</f>
        <v/>
      </c>
      <c r="Z621" s="79">
        <f>IF(B621="","",IF(OR(AH621=1,AE621=1),2,IF(OR(AG621=1,AF621=1),1,IF(OR(Y621="Ordered",Y621="Delivered"),0,""))))</f>
        <v/>
      </c>
      <c r="AA621" s="112">
        <f>IF(B621="","",IF(AH621=1,IF(Y621="⚠️ Delivery after install date",R621,S621),IF(AD621=1,T621,IF(AI621=1,S621,""))))</f>
        <v/>
      </c>
      <c r="AB621" s="79">
        <f>IF(AA621="","",IF(AH621=1,1,IF(AA621="","",IF(AA621&lt;AsOf,1,IF(AA621&lt;=AsOf+AlertDays,2,IF(AA621&lt;=AsOf+2*AlertDays,3,""))))))</f>
        <v/>
      </c>
      <c r="AC621" s="79">
        <f>IF(AB621="","",IF(AH621=1,IF(Y621="⚠️ Delivery after install date","Delivery after install date: "&amp;B621,"Order late — install at risk: "&amp;B621),IF(AD621=1,IF(AB621=1,"Decision overdue: ","Decide: ")&amp;B621,"Order: "&amp;B621&amp;IF(N621="",""," from "&amp;N621))))</f>
        <v/>
      </c>
      <c r="AD621" s="79">
        <f>IF(AND(B621&lt;&gt;"",K621="",U621&lt;&gt;"Yes",X621&lt;&gt;"Yes"),1,0)</f>
        <v/>
      </c>
      <c r="AE621" s="79">
        <f>IF(AND(AD621=1,T621&lt;&gt;""),IF(T621&lt;AsOf,1,0),0)</f>
        <v/>
      </c>
      <c r="AF621" s="79">
        <f>IF(AND(AD621=1,T621&lt;&gt;""),IF(AND(T621&gt;=AsOf,T621&lt;=AsOf+AlertDays),1,0),0)</f>
        <v/>
      </c>
      <c r="AG621" s="79">
        <f>IF(Y621="Order now",1,0)</f>
        <v/>
      </c>
      <c r="AH621" s="79">
        <f>IF(OR(Y621="⚠️ Order late — install at risk",Y621="⚠️ Delivery after install date"),1,0)</f>
        <v/>
      </c>
      <c r="AI621" s="79">
        <f>IF(AND(B621&lt;&gt;"",K621&lt;&gt;"",U621&lt;&gt;"Yes",X621&lt;&gt;"Yes"),1,0)</f>
        <v/>
      </c>
      <c r="AJ621" s="79">
        <f>IF(Y621="⚠️ Order late — install at risk",1,0)</f>
        <v/>
      </c>
    </row>
    <row r="622" ht="20" customHeight="1">
      <c r="B622" s="72" t="n"/>
      <c r="C622" s="72" t="n"/>
      <c r="D622" s="72" t="n"/>
      <c r="E622" s="72" t="n"/>
      <c r="F622" s="73" t="n"/>
      <c r="G622" s="72" t="n"/>
      <c r="H622" s="73" t="n"/>
      <c r="I622" s="72" t="n"/>
      <c r="J622" s="73" t="n"/>
      <c r="K622" s="74" t="n"/>
      <c r="L622" s="75">
        <f>IF(K622="A",F622,IF(K622="B",H622,IF(K622="C",J622,"")))</f>
        <v/>
      </c>
      <c r="M622" s="72" t="n"/>
      <c r="N622" s="72" t="n"/>
      <c r="O622" s="89" t="n"/>
      <c r="P622" s="89" t="n"/>
      <c r="Q622" s="109" t="n"/>
      <c r="R622" s="120">
        <f>IF(B622="","",IF(Q622&lt;&gt;"",Q622,IF(P622="","",IFERROR(INDEX('Timeline'!$J$7:$J$1006,MATCH(P622,'Timeline'!$B$7:$B$1006,0)),""))))</f>
        <v/>
      </c>
      <c r="S622" s="126">
        <f>IF(R622="","",R622-IF(O622="",0,O622)-OrderBuf)</f>
        <v/>
      </c>
      <c r="T622" s="126">
        <f>IF(S622="","",S622-DecideBuf)</f>
        <v/>
      </c>
      <c r="U622" s="74" t="n"/>
      <c r="V622" s="109" t="n"/>
      <c r="W622" s="109" t="n"/>
      <c r="X622" s="74" t="n"/>
      <c r="Y622" s="116">
        <f>IF(B622="","",IF(X622="Yes","Delivered",IF(U622="Yes",IF(AND(W622&lt;&gt;"",R622&lt;&gt;""),IF(W622&gt;R622,"⚠️ Delivery after install date","Ordered"),"Ordered"),IF(K622="",IF(T622="","Waiting for decision",IF(T622&lt;=AsOf+AlertDays,"Decide now","Waiting for decision")),IF(S622="","Selected",IF(AsOf&gt;S622,"⚠️ Order late — install at risk",IF(S622&lt;=AsOf+AlertDays,"Order now","Selected")))))))</f>
        <v/>
      </c>
      <c r="Z622" s="79">
        <f>IF(B622="","",IF(OR(AH622=1,AE622=1),2,IF(OR(AG622=1,AF622=1),1,IF(OR(Y622="Ordered",Y622="Delivered"),0,""))))</f>
        <v/>
      </c>
      <c r="AA622" s="112">
        <f>IF(B622="","",IF(AH622=1,IF(Y622="⚠️ Delivery after install date",R622,S622),IF(AD622=1,T622,IF(AI622=1,S622,""))))</f>
        <v/>
      </c>
      <c r="AB622" s="79">
        <f>IF(AA622="","",IF(AH622=1,1,IF(AA622="","",IF(AA622&lt;AsOf,1,IF(AA622&lt;=AsOf+AlertDays,2,IF(AA622&lt;=AsOf+2*AlertDays,3,""))))))</f>
        <v/>
      </c>
      <c r="AC622" s="79">
        <f>IF(AB622="","",IF(AH622=1,IF(Y622="⚠️ Delivery after install date","Delivery after install date: "&amp;B622,"Order late — install at risk: "&amp;B622),IF(AD622=1,IF(AB622=1,"Decision overdue: ","Decide: ")&amp;B622,"Order: "&amp;B622&amp;IF(N622="",""," from "&amp;N622))))</f>
        <v/>
      </c>
      <c r="AD622" s="79">
        <f>IF(AND(B622&lt;&gt;"",K622="",U622&lt;&gt;"Yes",X622&lt;&gt;"Yes"),1,0)</f>
        <v/>
      </c>
      <c r="AE622" s="79">
        <f>IF(AND(AD622=1,T622&lt;&gt;""),IF(T622&lt;AsOf,1,0),0)</f>
        <v/>
      </c>
      <c r="AF622" s="79">
        <f>IF(AND(AD622=1,T622&lt;&gt;""),IF(AND(T622&gt;=AsOf,T622&lt;=AsOf+AlertDays),1,0),0)</f>
        <v/>
      </c>
      <c r="AG622" s="79">
        <f>IF(Y622="Order now",1,0)</f>
        <v/>
      </c>
      <c r="AH622" s="79">
        <f>IF(OR(Y622="⚠️ Order late — install at risk",Y622="⚠️ Delivery after install date"),1,0)</f>
        <v/>
      </c>
      <c r="AI622" s="79">
        <f>IF(AND(B622&lt;&gt;"",K622&lt;&gt;"",U622&lt;&gt;"Yes",X622&lt;&gt;"Yes"),1,0)</f>
        <v/>
      </c>
      <c r="AJ622" s="79">
        <f>IF(Y622="⚠️ Order late — install at risk",1,0)</f>
        <v/>
      </c>
    </row>
    <row r="623" ht="20" customHeight="1">
      <c r="B623" s="72" t="n"/>
      <c r="C623" s="72" t="n"/>
      <c r="D623" s="72" t="n"/>
      <c r="E623" s="72" t="n"/>
      <c r="F623" s="73" t="n"/>
      <c r="G623" s="72" t="n"/>
      <c r="H623" s="73" t="n"/>
      <c r="I623" s="72" t="n"/>
      <c r="J623" s="73" t="n"/>
      <c r="K623" s="74" t="n"/>
      <c r="L623" s="75">
        <f>IF(K623="A",F623,IF(K623="B",H623,IF(K623="C",J623,"")))</f>
        <v/>
      </c>
      <c r="M623" s="72" t="n"/>
      <c r="N623" s="72" t="n"/>
      <c r="O623" s="89" t="n"/>
      <c r="P623" s="89" t="n"/>
      <c r="Q623" s="109" t="n"/>
      <c r="R623" s="120">
        <f>IF(B623="","",IF(Q623&lt;&gt;"",Q623,IF(P623="","",IFERROR(INDEX('Timeline'!$J$7:$J$1006,MATCH(P623,'Timeline'!$B$7:$B$1006,0)),""))))</f>
        <v/>
      </c>
      <c r="S623" s="126">
        <f>IF(R623="","",R623-IF(O623="",0,O623)-OrderBuf)</f>
        <v/>
      </c>
      <c r="T623" s="126">
        <f>IF(S623="","",S623-DecideBuf)</f>
        <v/>
      </c>
      <c r="U623" s="74" t="n"/>
      <c r="V623" s="109" t="n"/>
      <c r="W623" s="109" t="n"/>
      <c r="X623" s="74" t="n"/>
      <c r="Y623" s="116">
        <f>IF(B623="","",IF(X623="Yes","Delivered",IF(U623="Yes",IF(AND(W623&lt;&gt;"",R623&lt;&gt;""),IF(W623&gt;R623,"⚠️ Delivery after install date","Ordered"),"Ordered"),IF(K623="",IF(T623="","Waiting for decision",IF(T623&lt;=AsOf+AlertDays,"Decide now","Waiting for decision")),IF(S623="","Selected",IF(AsOf&gt;S623,"⚠️ Order late — install at risk",IF(S623&lt;=AsOf+AlertDays,"Order now","Selected")))))))</f>
        <v/>
      </c>
      <c r="Z623" s="79">
        <f>IF(B623="","",IF(OR(AH623=1,AE623=1),2,IF(OR(AG623=1,AF623=1),1,IF(OR(Y623="Ordered",Y623="Delivered"),0,""))))</f>
        <v/>
      </c>
      <c r="AA623" s="112">
        <f>IF(B623="","",IF(AH623=1,IF(Y623="⚠️ Delivery after install date",R623,S623),IF(AD623=1,T623,IF(AI623=1,S623,""))))</f>
        <v/>
      </c>
      <c r="AB623" s="79">
        <f>IF(AA623="","",IF(AH623=1,1,IF(AA623="","",IF(AA623&lt;AsOf,1,IF(AA623&lt;=AsOf+AlertDays,2,IF(AA623&lt;=AsOf+2*AlertDays,3,""))))))</f>
        <v/>
      </c>
      <c r="AC623" s="79">
        <f>IF(AB623="","",IF(AH623=1,IF(Y623="⚠️ Delivery after install date","Delivery after install date: "&amp;B623,"Order late — install at risk: "&amp;B623),IF(AD623=1,IF(AB623=1,"Decision overdue: ","Decide: ")&amp;B623,"Order: "&amp;B623&amp;IF(N623="",""," from "&amp;N623))))</f>
        <v/>
      </c>
      <c r="AD623" s="79">
        <f>IF(AND(B623&lt;&gt;"",K623="",U623&lt;&gt;"Yes",X623&lt;&gt;"Yes"),1,0)</f>
        <v/>
      </c>
      <c r="AE623" s="79">
        <f>IF(AND(AD623=1,T623&lt;&gt;""),IF(T623&lt;AsOf,1,0),0)</f>
        <v/>
      </c>
      <c r="AF623" s="79">
        <f>IF(AND(AD623=1,T623&lt;&gt;""),IF(AND(T623&gt;=AsOf,T623&lt;=AsOf+AlertDays),1,0),0)</f>
        <v/>
      </c>
      <c r="AG623" s="79">
        <f>IF(Y623="Order now",1,0)</f>
        <v/>
      </c>
      <c r="AH623" s="79">
        <f>IF(OR(Y623="⚠️ Order late — install at risk",Y623="⚠️ Delivery after install date"),1,0)</f>
        <v/>
      </c>
      <c r="AI623" s="79">
        <f>IF(AND(B623&lt;&gt;"",K623&lt;&gt;"",U623&lt;&gt;"Yes",X623&lt;&gt;"Yes"),1,0)</f>
        <v/>
      </c>
      <c r="AJ623" s="79">
        <f>IF(Y623="⚠️ Order late — install at risk",1,0)</f>
        <v/>
      </c>
    </row>
    <row r="624" ht="20" customHeight="1">
      <c r="B624" s="72" t="n"/>
      <c r="C624" s="72" t="n"/>
      <c r="D624" s="72" t="n"/>
      <c r="E624" s="72" t="n"/>
      <c r="F624" s="73" t="n"/>
      <c r="G624" s="72" t="n"/>
      <c r="H624" s="73" t="n"/>
      <c r="I624" s="72" t="n"/>
      <c r="J624" s="73" t="n"/>
      <c r="K624" s="74" t="n"/>
      <c r="L624" s="75">
        <f>IF(K624="A",F624,IF(K624="B",H624,IF(K624="C",J624,"")))</f>
        <v/>
      </c>
      <c r="M624" s="72" t="n"/>
      <c r="N624" s="72" t="n"/>
      <c r="O624" s="89" t="n"/>
      <c r="P624" s="89" t="n"/>
      <c r="Q624" s="109" t="n"/>
      <c r="R624" s="120">
        <f>IF(B624="","",IF(Q624&lt;&gt;"",Q624,IF(P624="","",IFERROR(INDEX('Timeline'!$J$7:$J$1006,MATCH(P624,'Timeline'!$B$7:$B$1006,0)),""))))</f>
        <v/>
      </c>
      <c r="S624" s="126">
        <f>IF(R624="","",R624-IF(O624="",0,O624)-OrderBuf)</f>
        <v/>
      </c>
      <c r="T624" s="126">
        <f>IF(S624="","",S624-DecideBuf)</f>
        <v/>
      </c>
      <c r="U624" s="74" t="n"/>
      <c r="V624" s="109" t="n"/>
      <c r="W624" s="109" t="n"/>
      <c r="X624" s="74" t="n"/>
      <c r="Y624" s="116">
        <f>IF(B624="","",IF(X624="Yes","Delivered",IF(U624="Yes",IF(AND(W624&lt;&gt;"",R624&lt;&gt;""),IF(W624&gt;R624,"⚠️ Delivery after install date","Ordered"),"Ordered"),IF(K624="",IF(T624="","Waiting for decision",IF(T624&lt;=AsOf+AlertDays,"Decide now","Waiting for decision")),IF(S624="","Selected",IF(AsOf&gt;S624,"⚠️ Order late — install at risk",IF(S624&lt;=AsOf+AlertDays,"Order now","Selected")))))))</f>
        <v/>
      </c>
      <c r="Z624" s="79">
        <f>IF(B624="","",IF(OR(AH624=1,AE624=1),2,IF(OR(AG624=1,AF624=1),1,IF(OR(Y624="Ordered",Y624="Delivered"),0,""))))</f>
        <v/>
      </c>
      <c r="AA624" s="112">
        <f>IF(B624="","",IF(AH624=1,IF(Y624="⚠️ Delivery after install date",R624,S624),IF(AD624=1,T624,IF(AI624=1,S624,""))))</f>
        <v/>
      </c>
      <c r="AB624" s="79">
        <f>IF(AA624="","",IF(AH624=1,1,IF(AA624="","",IF(AA624&lt;AsOf,1,IF(AA624&lt;=AsOf+AlertDays,2,IF(AA624&lt;=AsOf+2*AlertDays,3,""))))))</f>
        <v/>
      </c>
      <c r="AC624" s="79">
        <f>IF(AB624="","",IF(AH624=1,IF(Y624="⚠️ Delivery after install date","Delivery after install date: "&amp;B624,"Order late — install at risk: "&amp;B624),IF(AD624=1,IF(AB624=1,"Decision overdue: ","Decide: ")&amp;B624,"Order: "&amp;B624&amp;IF(N624="",""," from "&amp;N624))))</f>
        <v/>
      </c>
      <c r="AD624" s="79">
        <f>IF(AND(B624&lt;&gt;"",K624="",U624&lt;&gt;"Yes",X624&lt;&gt;"Yes"),1,0)</f>
        <v/>
      </c>
      <c r="AE624" s="79">
        <f>IF(AND(AD624=1,T624&lt;&gt;""),IF(T624&lt;AsOf,1,0),0)</f>
        <v/>
      </c>
      <c r="AF624" s="79">
        <f>IF(AND(AD624=1,T624&lt;&gt;""),IF(AND(T624&gt;=AsOf,T624&lt;=AsOf+AlertDays),1,0),0)</f>
        <v/>
      </c>
      <c r="AG624" s="79">
        <f>IF(Y624="Order now",1,0)</f>
        <v/>
      </c>
      <c r="AH624" s="79">
        <f>IF(OR(Y624="⚠️ Order late — install at risk",Y624="⚠️ Delivery after install date"),1,0)</f>
        <v/>
      </c>
      <c r="AI624" s="79">
        <f>IF(AND(B624&lt;&gt;"",K624&lt;&gt;"",U624&lt;&gt;"Yes",X624&lt;&gt;"Yes"),1,0)</f>
        <v/>
      </c>
      <c r="AJ624" s="79">
        <f>IF(Y624="⚠️ Order late — install at risk",1,0)</f>
        <v/>
      </c>
    </row>
    <row r="625" ht="20" customHeight="1">
      <c r="B625" s="72" t="n"/>
      <c r="C625" s="72" t="n"/>
      <c r="D625" s="72" t="n"/>
      <c r="E625" s="72" t="n"/>
      <c r="F625" s="73" t="n"/>
      <c r="G625" s="72" t="n"/>
      <c r="H625" s="73" t="n"/>
      <c r="I625" s="72" t="n"/>
      <c r="J625" s="73" t="n"/>
      <c r="K625" s="74" t="n"/>
      <c r="L625" s="75">
        <f>IF(K625="A",F625,IF(K625="B",H625,IF(K625="C",J625,"")))</f>
        <v/>
      </c>
      <c r="M625" s="72" t="n"/>
      <c r="N625" s="72" t="n"/>
      <c r="O625" s="89" t="n"/>
      <c r="P625" s="89" t="n"/>
      <c r="Q625" s="109" t="n"/>
      <c r="R625" s="120">
        <f>IF(B625="","",IF(Q625&lt;&gt;"",Q625,IF(P625="","",IFERROR(INDEX('Timeline'!$J$7:$J$1006,MATCH(P625,'Timeline'!$B$7:$B$1006,0)),""))))</f>
        <v/>
      </c>
      <c r="S625" s="126">
        <f>IF(R625="","",R625-IF(O625="",0,O625)-OrderBuf)</f>
        <v/>
      </c>
      <c r="T625" s="126">
        <f>IF(S625="","",S625-DecideBuf)</f>
        <v/>
      </c>
      <c r="U625" s="74" t="n"/>
      <c r="V625" s="109" t="n"/>
      <c r="W625" s="109" t="n"/>
      <c r="X625" s="74" t="n"/>
      <c r="Y625" s="116">
        <f>IF(B625="","",IF(X625="Yes","Delivered",IF(U625="Yes",IF(AND(W625&lt;&gt;"",R625&lt;&gt;""),IF(W625&gt;R625,"⚠️ Delivery after install date","Ordered"),"Ordered"),IF(K625="",IF(T625="","Waiting for decision",IF(T625&lt;=AsOf+AlertDays,"Decide now","Waiting for decision")),IF(S625="","Selected",IF(AsOf&gt;S625,"⚠️ Order late — install at risk",IF(S625&lt;=AsOf+AlertDays,"Order now","Selected")))))))</f>
        <v/>
      </c>
      <c r="Z625" s="79">
        <f>IF(B625="","",IF(OR(AH625=1,AE625=1),2,IF(OR(AG625=1,AF625=1),1,IF(OR(Y625="Ordered",Y625="Delivered"),0,""))))</f>
        <v/>
      </c>
      <c r="AA625" s="112">
        <f>IF(B625="","",IF(AH625=1,IF(Y625="⚠️ Delivery after install date",R625,S625),IF(AD625=1,T625,IF(AI625=1,S625,""))))</f>
        <v/>
      </c>
      <c r="AB625" s="79">
        <f>IF(AA625="","",IF(AH625=1,1,IF(AA625="","",IF(AA625&lt;AsOf,1,IF(AA625&lt;=AsOf+AlertDays,2,IF(AA625&lt;=AsOf+2*AlertDays,3,""))))))</f>
        <v/>
      </c>
      <c r="AC625" s="79">
        <f>IF(AB625="","",IF(AH625=1,IF(Y625="⚠️ Delivery after install date","Delivery after install date: "&amp;B625,"Order late — install at risk: "&amp;B625),IF(AD625=1,IF(AB625=1,"Decision overdue: ","Decide: ")&amp;B625,"Order: "&amp;B625&amp;IF(N625="",""," from "&amp;N625))))</f>
        <v/>
      </c>
      <c r="AD625" s="79">
        <f>IF(AND(B625&lt;&gt;"",K625="",U625&lt;&gt;"Yes",X625&lt;&gt;"Yes"),1,0)</f>
        <v/>
      </c>
      <c r="AE625" s="79">
        <f>IF(AND(AD625=1,T625&lt;&gt;""),IF(T625&lt;AsOf,1,0),0)</f>
        <v/>
      </c>
      <c r="AF625" s="79">
        <f>IF(AND(AD625=1,T625&lt;&gt;""),IF(AND(T625&gt;=AsOf,T625&lt;=AsOf+AlertDays),1,0),0)</f>
        <v/>
      </c>
      <c r="AG625" s="79">
        <f>IF(Y625="Order now",1,0)</f>
        <v/>
      </c>
      <c r="AH625" s="79">
        <f>IF(OR(Y625="⚠️ Order late — install at risk",Y625="⚠️ Delivery after install date"),1,0)</f>
        <v/>
      </c>
      <c r="AI625" s="79">
        <f>IF(AND(B625&lt;&gt;"",K625&lt;&gt;"",U625&lt;&gt;"Yes",X625&lt;&gt;"Yes"),1,0)</f>
        <v/>
      </c>
      <c r="AJ625" s="79">
        <f>IF(Y625="⚠️ Order late — install at risk",1,0)</f>
        <v/>
      </c>
    </row>
    <row r="626" ht="20" customHeight="1">
      <c r="B626" s="72" t="n"/>
      <c r="C626" s="72" t="n"/>
      <c r="D626" s="72" t="n"/>
      <c r="E626" s="72" t="n"/>
      <c r="F626" s="73" t="n"/>
      <c r="G626" s="72" t="n"/>
      <c r="H626" s="73" t="n"/>
      <c r="I626" s="72" t="n"/>
      <c r="J626" s="73" t="n"/>
      <c r="K626" s="74" t="n"/>
      <c r="L626" s="75">
        <f>IF(K626="A",F626,IF(K626="B",H626,IF(K626="C",J626,"")))</f>
        <v/>
      </c>
      <c r="M626" s="72" t="n"/>
      <c r="N626" s="72" t="n"/>
      <c r="O626" s="89" t="n"/>
      <c r="P626" s="89" t="n"/>
      <c r="Q626" s="109" t="n"/>
      <c r="R626" s="120">
        <f>IF(B626="","",IF(Q626&lt;&gt;"",Q626,IF(P626="","",IFERROR(INDEX('Timeline'!$J$7:$J$1006,MATCH(P626,'Timeline'!$B$7:$B$1006,0)),""))))</f>
        <v/>
      </c>
      <c r="S626" s="126">
        <f>IF(R626="","",R626-IF(O626="",0,O626)-OrderBuf)</f>
        <v/>
      </c>
      <c r="T626" s="126">
        <f>IF(S626="","",S626-DecideBuf)</f>
        <v/>
      </c>
      <c r="U626" s="74" t="n"/>
      <c r="V626" s="109" t="n"/>
      <c r="W626" s="109" t="n"/>
      <c r="X626" s="74" t="n"/>
      <c r="Y626" s="116">
        <f>IF(B626="","",IF(X626="Yes","Delivered",IF(U626="Yes",IF(AND(W626&lt;&gt;"",R626&lt;&gt;""),IF(W626&gt;R626,"⚠️ Delivery after install date","Ordered"),"Ordered"),IF(K626="",IF(T626="","Waiting for decision",IF(T626&lt;=AsOf+AlertDays,"Decide now","Waiting for decision")),IF(S626="","Selected",IF(AsOf&gt;S626,"⚠️ Order late — install at risk",IF(S626&lt;=AsOf+AlertDays,"Order now","Selected")))))))</f>
        <v/>
      </c>
      <c r="Z626" s="79">
        <f>IF(B626="","",IF(OR(AH626=1,AE626=1),2,IF(OR(AG626=1,AF626=1),1,IF(OR(Y626="Ordered",Y626="Delivered"),0,""))))</f>
        <v/>
      </c>
      <c r="AA626" s="112">
        <f>IF(B626="","",IF(AH626=1,IF(Y626="⚠️ Delivery after install date",R626,S626),IF(AD626=1,T626,IF(AI626=1,S626,""))))</f>
        <v/>
      </c>
      <c r="AB626" s="79">
        <f>IF(AA626="","",IF(AH626=1,1,IF(AA626="","",IF(AA626&lt;AsOf,1,IF(AA626&lt;=AsOf+AlertDays,2,IF(AA626&lt;=AsOf+2*AlertDays,3,""))))))</f>
        <v/>
      </c>
      <c r="AC626" s="79">
        <f>IF(AB626="","",IF(AH626=1,IF(Y626="⚠️ Delivery after install date","Delivery after install date: "&amp;B626,"Order late — install at risk: "&amp;B626),IF(AD626=1,IF(AB626=1,"Decision overdue: ","Decide: ")&amp;B626,"Order: "&amp;B626&amp;IF(N626="",""," from "&amp;N626))))</f>
        <v/>
      </c>
      <c r="AD626" s="79">
        <f>IF(AND(B626&lt;&gt;"",K626="",U626&lt;&gt;"Yes",X626&lt;&gt;"Yes"),1,0)</f>
        <v/>
      </c>
      <c r="AE626" s="79">
        <f>IF(AND(AD626=1,T626&lt;&gt;""),IF(T626&lt;AsOf,1,0),0)</f>
        <v/>
      </c>
      <c r="AF626" s="79">
        <f>IF(AND(AD626=1,T626&lt;&gt;""),IF(AND(T626&gt;=AsOf,T626&lt;=AsOf+AlertDays),1,0),0)</f>
        <v/>
      </c>
      <c r="AG626" s="79">
        <f>IF(Y626="Order now",1,0)</f>
        <v/>
      </c>
      <c r="AH626" s="79">
        <f>IF(OR(Y626="⚠️ Order late — install at risk",Y626="⚠️ Delivery after install date"),1,0)</f>
        <v/>
      </c>
      <c r="AI626" s="79">
        <f>IF(AND(B626&lt;&gt;"",K626&lt;&gt;"",U626&lt;&gt;"Yes",X626&lt;&gt;"Yes"),1,0)</f>
        <v/>
      </c>
      <c r="AJ626" s="79">
        <f>IF(Y626="⚠️ Order late — install at risk",1,0)</f>
        <v/>
      </c>
    </row>
    <row r="627" ht="20" customHeight="1">
      <c r="B627" s="72" t="n"/>
      <c r="C627" s="72" t="n"/>
      <c r="D627" s="72" t="n"/>
      <c r="E627" s="72" t="n"/>
      <c r="F627" s="73" t="n"/>
      <c r="G627" s="72" t="n"/>
      <c r="H627" s="73" t="n"/>
      <c r="I627" s="72" t="n"/>
      <c r="J627" s="73" t="n"/>
      <c r="K627" s="74" t="n"/>
      <c r="L627" s="75">
        <f>IF(K627="A",F627,IF(K627="B",H627,IF(K627="C",J627,"")))</f>
        <v/>
      </c>
      <c r="M627" s="72" t="n"/>
      <c r="N627" s="72" t="n"/>
      <c r="O627" s="89" t="n"/>
      <c r="P627" s="89" t="n"/>
      <c r="Q627" s="109" t="n"/>
      <c r="R627" s="120">
        <f>IF(B627="","",IF(Q627&lt;&gt;"",Q627,IF(P627="","",IFERROR(INDEX('Timeline'!$J$7:$J$1006,MATCH(P627,'Timeline'!$B$7:$B$1006,0)),""))))</f>
        <v/>
      </c>
      <c r="S627" s="126">
        <f>IF(R627="","",R627-IF(O627="",0,O627)-OrderBuf)</f>
        <v/>
      </c>
      <c r="T627" s="126">
        <f>IF(S627="","",S627-DecideBuf)</f>
        <v/>
      </c>
      <c r="U627" s="74" t="n"/>
      <c r="V627" s="109" t="n"/>
      <c r="W627" s="109" t="n"/>
      <c r="X627" s="74" t="n"/>
      <c r="Y627" s="116">
        <f>IF(B627="","",IF(X627="Yes","Delivered",IF(U627="Yes",IF(AND(W627&lt;&gt;"",R627&lt;&gt;""),IF(W627&gt;R627,"⚠️ Delivery after install date","Ordered"),"Ordered"),IF(K627="",IF(T627="","Waiting for decision",IF(T627&lt;=AsOf+AlertDays,"Decide now","Waiting for decision")),IF(S627="","Selected",IF(AsOf&gt;S627,"⚠️ Order late — install at risk",IF(S627&lt;=AsOf+AlertDays,"Order now","Selected")))))))</f>
        <v/>
      </c>
      <c r="Z627" s="79">
        <f>IF(B627="","",IF(OR(AH627=1,AE627=1),2,IF(OR(AG627=1,AF627=1),1,IF(OR(Y627="Ordered",Y627="Delivered"),0,""))))</f>
        <v/>
      </c>
      <c r="AA627" s="112">
        <f>IF(B627="","",IF(AH627=1,IF(Y627="⚠️ Delivery after install date",R627,S627),IF(AD627=1,T627,IF(AI627=1,S627,""))))</f>
        <v/>
      </c>
      <c r="AB627" s="79">
        <f>IF(AA627="","",IF(AH627=1,1,IF(AA627="","",IF(AA627&lt;AsOf,1,IF(AA627&lt;=AsOf+AlertDays,2,IF(AA627&lt;=AsOf+2*AlertDays,3,""))))))</f>
        <v/>
      </c>
      <c r="AC627" s="79">
        <f>IF(AB627="","",IF(AH627=1,IF(Y627="⚠️ Delivery after install date","Delivery after install date: "&amp;B627,"Order late — install at risk: "&amp;B627),IF(AD627=1,IF(AB627=1,"Decision overdue: ","Decide: ")&amp;B627,"Order: "&amp;B627&amp;IF(N627="",""," from "&amp;N627))))</f>
        <v/>
      </c>
      <c r="AD627" s="79">
        <f>IF(AND(B627&lt;&gt;"",K627="",U627&lt;&gt;"Yes",X627&lt;&gt;"Yes"),1,0)</f>
        <v/>
      </c>
      <c r="AE627" s="79">
        <f>IF(AND(AD627=1,T627&lt;&gt;""),IF(T627&lt;AsOf,1,0),0)</f>
        <v/>
      </c>
      <c r="AF627" s="79">
        <f>IF(AND(AD627=1,T627&lt;&gt;""),IF(AND(T627&gt;=AsOf,T627&lt;=AsOf+AlertDays),1,0),0)</f>
        <v/>
      </c>
      <c r="AG627" s="79">
        <f>IF(Y627="Order now",1,0)</f>
        <v/>
      </c>
      <c r="AH627" s="79">
        <f>IF(OR(Y627="⚠️ Order late — install at risk",Y627="⚠️ Delivery after install date"),1,0)</f>
        <v/>
      </c>
      <c r="AI627" s="79">
        <f>IF(AND(B627&lt;&gt;"",K627&lt;&gt;"",U627&lt;&gt;"Yes",X627&lt;&gt;"Yes"),1,0)</f>
        <v/>
      </c>
      <c r="AJ627" s="79">
        <f>IF(Y627="⚠️ Order late — install at risk",1,0)</f>
        <v/>
      </c>
    </row>
    <row r="628" ht="20" customHeight="1">
      <c r="B628" s="72" t="n"/>
      <c r="C628" s="72" t="n"/>
      <c r="D628" s="72" t="n"/>
      <c r="E628" s="72" t="n"/>
      <c r="F628" s="73" t="n"/>
      <c r="G628" s="72" t="n"/>
      <c r="H628" s="73" t="n"/>
      <c r="I628" s="72" t="n"/>
      <c r="J628" s="73" t="n"/>
      <c r="K628" s="74" t="n"/>
      <c r="L628" s="75">
        <f>IF(K628="A",F628,IF(K628="B",H628,IF(K628="C",J628,"")))</f>
        <v/>
      </c>
      <c r="M628" s="72" t="n"/>
      <c r="N628" s="72" t="n"/>
      <c r="O628" s="89" t="n"/>
      <c r="P628" s="89" t="n"/>
      <c r="Q628" s="109" t="n"/>
      <c r="R628" s="120">
        <f>IF(B628="","",IF(Q628&lt;&gt;"",Q628,IF(P628="","",IFERROR(INDEX('Timeline'!$J$7:$J$1006,MATCH(P628,'Timeline'!$B$7:$B$1006,0)),""))))</f>
        <v/>
      </c>
      <c r="S628" s="126">
        <f>IF(R628="","",R628-IF(O628="",0,O628)-OrderBuf)</f>
        <v/>
      </c>
      <c r="T628" s="126">
        <f>IF(S628="","",S628-DecideBuf)</f>
        <v/>
      </c>
      <c r="U628" s="74" t="n"/>
      <c r="V628" s="109" t="n"/>
      <c r="W628" s="109" t="n"/>
      <c r="X628" s="74" t="n"/>
      <c r="Y628" s="116">
        <f>IF(B628="","",IF(X628="Yes","Delivered",IF(U628="Yes",IF(AND(W628&lt;&gt;"",R628&lt;&gt;""),IF(W628&gt;R628,"⚠️ Delivery after install date","Ordered"),"Ordered"),IF(K628="",IF(T628="","Waiting for decision",IF(T628&lt;=AsOf+AlertDays,"Decide now","Waiting for decision")),IF(S628="","Selected",IF(AsOf&gt;S628,"⚠️ Order late — install at risk",IF(S628&lt;=AsOf+AlertDays,"Order now","Selected")))))))</f>
        <v/>
      </c>
      <c r="Z628" s="79">
        <f>IF(B628="","",IF(OR(AH628=1,AE628=1),2,IF(OR(AG628=1,AF628=1),1,IF(OR(Y628="Ordered",Y628="Delivered"),0,""))))</f>
        <v/>
      </c>
      <c r="AA628" s="112">
        <f>IF(B628="","",IF(AH628=1,IF(Y628="⚠️ Delivery after install date",R628,S628),IF(AD628=1,T628,IF(AI628=1,S628,""))))</f>
        <v/>
      </c>
      <c r="AB628" s="79">
        <f>IF(AA628="","",IF(AH628=1,1,IF(AA628="","",IF(AA628&lt;AsOf,1,IF(AA628&lt;=AsOf+AlertDays,2,IF(AA628&lt;=AsOf+2*AlertDays,3,""))))))</f>
        <v/>
      </c>
      <c r="AC628" s="79">
        <f>IF(AB628="","",IF(AH628=1,IF(Y628="⚠️ Delivery after install date","Delivery after install date: "&amp;B628,"Order late — install at risk: "&amp;B628),IF(AD628=1,IF(AB628=1,"Decision overdue: ","Decide: ")&amp;B628,"Order: "&amp;B628&amp;IF(N628="",""," from "&amp;N628))))</f>
        <v/>
      </c>
      <c r="AD628" s="79">
        <f>IF(AND(B628&lt;&gt;"",K628="",U628&lt;&gt;"Yes",X628&lt;&gt;"Yes"),1,0)</f>
        <v/>
      </c>
      <c r="AE628" s="79">
        <f>IF(AND(AD628=1,T628&lt;&gt;""),IF(T628&lt;AsOf,1,0),0)</f>
        <v/>
      </c>
      <c r="AF628" s="79">
        <f>IF(AND(AD628=1,T628&lt;&gt;""),IF(AND(T628&gt;=AsOf,T628&lt;=AsOf+AlertDays),1,0),0)</f>
        <v/>
      </c>
      <c r="AG628" s="79">
        <f>IF(Y628="Order now",1,0)</f>
        <v/>
      </c>
      <c r="AH628" s="79">
        <f>IF(OR(Y628="⚠️ Order late — install at risk",Y628="⚠️ Delivery after install date"),1,0)</f>
        <v/>
      </c>
      <c r="AI628" s="79">
        <f>IF(AND(B628&lt;&gt;"",K628&lt;&gt;"",U628&lt;&gt;"Yes",X628&lt;&gt;"Yes"),1,0)</f>
        <v/>
      </c>
      <c r="AJ628" s="79">
        <f>IF(Y628="⚠️ Order late — install at risk",1,0)</f>
        <v/>
      </c>
    </row>
    <row r="629" ht="20" customHeight="1">
      <c r="B629" s="72" t="n"/>
      <c r="C629" s="72" t="n"/>
      <c r="D629" s="72" t="n"/>
      <c r="E629" s="72" t="n"/>
      <c r="F629" s="73" t="n"/>
      <c r="G629" s="72" t="n"/>
      <c r="H629" s="73" t="n"/>
      <c r="I629" s="72" t="n"/>
      <c r="J629" s="73" t="n"/>
      <c r="K629" s="74" t="n"/>
      <c r="L629" s="75">
        <f>IF(K629="A",F629,IF(K629="B",H629,IF(K629="C",J629,"")))</f>
        <v/>
      </c>
      <c r="M629" s="72" t="n"/>
      <c r="N629" s="72" t="n"/>
      <c r="O629" s="89" t="n"/>
      <c r="P629" s="89" t="n"/>
      <c r="Q629" s="109" t="n"/>
      <c r="R629" s="120">
        <f>IF(B629="","",IF(Q629&lt;&gt;"",Q629,IF(P629="","",IFERROR(INDEX('Timeline'!$J$7:$J$1006,MATCH(P629,'Timeline'!$B$7:$B$1006,0)),""))))</f>
        <v/>
      </c>
      <c r="S629" s="126">
        <f>IF(R629="","",R629-IF(O629="",0,O629)-OrderBuf)</f>
        <v/>
      </c>
      <c r="T629" s="126">
        <f>IF(S629="","",S629-DecideBuf)</f>
        <v/>
      </c>
      <c r="U629" s="74" t="n"/>
      <c r="V629" s="109" t="n"/>
      <c r="W629" s="109" t="n"/>
      <c r="X629" s="74" t="n"/>
      <c r="Y629" s="116">
        <f>IF(B629="","",IF(X629="Yes","Delivered",IF(U629="Yes",IF(AND(W629&lt;&gt;"",R629&lt;&gt;""),IF(W629&gt;R629,"⚠️ Delivery after install date","Ordered"),"Ordered"),IF(K629="",IF(T629="","Waiting for decision",IF(T629&lt;=AsOf+AlertDays,"Decide now","Waiting for decision")),IF(S629="","Selected",IF(AsOf&gt;S629,"⚠️ Order late — install at risk",IF(S629&lt;=AsOf+AlertDays,"Order now","Selected")))))))</f>
        <v/>
      </c>
      <c r="Z629" s="79">
        <f>IF(B629="","",IF(OR(AH629=1,AE629=1),2,IF(OR(AG629=1,AF629=1),1,IF(OR(Y629="Ordered",Y629="Delivered"),0,""))))</f>
        <v/>
      </c>
      <c r="AA629" s="112">
        <f>IF(B629="","",IF(AH629=1,IF(Y629="⚠️ Delivery after install date",R629,S629),IF(AD629=1,T629,IF(AI629=1,S629,""))))</f>
        <v/>
      </c>
      <c r="AB629" s="79">
        <f>IF(AA629="","",IF(AH629=1,1,IF(AA629="","",IF(AA629&lt;AsOf,1,IF(AA629&lt;=AsOf+AlertDays,2,IF(AA629&lt;=AsOf+2*AlertDays,3,""))))))</f>
        <v/>
      </c>
      <c r="AC629" s="79">
        <f>IF(AB629="","",IF(AH629=1,IF(Y629="⚠️ Delivery after install date","Delivery after install date: "&amp;B629,"Order late — install at risk: "&amp;B629),IF(AD629=1,IF(AB629=1,"Decision overdue: ","Decide: ")&amp;B629,"Order: "&amp;B629&amp;IF(N629="",""," from "&amp;N629))))</f>
        <v/>
      </c>
      <c r="AD629" s="79">
        <f>IF(AND(B629&lt;&gt;"",K629="",U629&lt;&gt;"Yes",X629&lt;&gt;"Yes"),1,0)</f>
        <v/>
      </c>
      <c r="AE629" s="79">
        <f>IF(AND(AD629=1,T629&lt;&gt;""),IF(T629&lt;AsOf,1,0),0)</f>
        <v/>
      </c>
      <c r="AF629" s="79">
        <f>IF(AND(AD629=1,T629&lt;&gt;""),IF(AND(T629&gt;=AsOf,T629&lt;=AsOf+AlertDays),1,0),0)</f>
        <v/>
      </c>
      <c r="AG629" s="79">
        <f>IF(Y629="Order now",1,0)</f>
        <v/>
      </c>
      <c r="AH629" s="79">
        <f>IF(OR(Y629="⚠️ Order late — install at risk",Y629="⚠️ Delivery after install date"),1,0)</f>
        <v/>
      </c>
      <c r="AI629" s="79">
        <f>IF(AND(B629&lt;&gt;"",K629&lt;&gt;"",U629&lt;&gt;"Yes",X629&lt;&gt;"Yes"),1,0)</f>
        <v/>
      </c>
      <c r="AJ629" s="79">
        <f>IF(Y629="⚠️ Order late — install at risk",1,0)</f>
        <v/>
      </c>
    </row>
    <row r="630" ht="20" customHeight="1">
      <c r="B630" s="72" t="n"/>
      <c r="C630" s="72" t="n"/>
      <c r="D630" s="72" t="n"/>
      <c r="E630" s="72" t="n"/>
      <c r="F630" s="73" t="n"/>
      <c r="G630" s="72" t="n"/>
      <c r="H630" s="73" t="n"/>
      <c r="I630" s="72" t="n"/>
      <c r="J630" s="73" t="n"/>
      <c r="K630" s="74" t="n"/>
      <c r="L630" s="75">
        <f>IF(K630="A",F630,IF(K630="B",H630,IF(K630="C",J630,"")))</f>
        <v/>
      </c>
      <c r="M630" s="72" t="n"/>
      <c r="N630" s="72" t="n"/>
      <c r="O630" s="89" t="n"/>
      <c r="P630" s="89" t="n"/>
      <c r="Q630" s="109" t="n"/>
      <c r="R630" s="120">
        <f>IF(B630="","",IF(Q630&lt;&gt;"",Q630,IF(P630="","",IFERROR(INDEX('Timeline'!$J$7:$J$1006,MATCH(P630,'Timeline'!$B$7:$B$1006,0)),""))))</f>
        <v/>
      </c>
      <c r="S630" s="126">
        <f>IF(R630="","",R630-IF(O630="",0,O630)-OrderBuf)</f>
        <v/>
      </c>
      <c r="T630" s="126">
        <f>IF(S630="","",S630-DecideBuf)</f>
        <v/>
      </c>
      <c r="U630" s="74" t="n"/>
      <c r="V630" s="109" t="n"/>
      <c r="W630" s="109" t="n"/>
      <c r="X630" s="74" t="n"/>
      <c r="Y630" s="116">
        <f>IF(B630="","",IF(X630="Yes","Delivered",IF(U630="Yes",IF(AND(W630&lt;&gt;"",R630&lt;&gt;""),IF(W630&gt;R630,"⚠️ Delivery after install date","Ordered"),"Ordered"),IF(K630="",IF(T630="","Waiting for decision",IF(T630&lt;=AsOf+AlertDays,"Decide now","Waiting for decision")),IF(S630="","Selected",IF(AsOf&gt;S630,"⚠️ Order late — install at risk",IF(S630&lt;=AsOf+AlertDays,"Order now","Selected")))))))</f>
        <v/>
      </c>
      <c r="Z630" s="79">
        <f>IF(B630="","",IF(OR(AH630=1,AE630=1),2,IF(OR(AG630=1,AF630=1),1,IF(OR(Y630="Ordered",Y630="Delivered"),0,""))))</f>
        <v/>
      </c>
      <c r="AA630" s="112">
        <f>IF(B630="","",IF(AH630=1,IF(Y630="⚠️ Delivery after install date",R630,S630),IF(AD630=1,T630,IF(AI630=1,S630,""))))</f>
        <v/>
      </c>
      <c r="AB630" s="79">
        <f>IF(AA630="","",IF(AH630=1,1,IF(AA630="","",IF(AA630&lt;AsOf,1,IF(AA630&lt;=AsOf+AlertDays,2,IF(AA630&lt;=AsOf+2*AlertDays,3,""))))))</f>
        <v/>
      </c>
      <c r="AC630" s="79">
        <f>IF(AB630="","",IF(AH630=1,IF(Y630="⚠️ Delivery after install date","Delivery after install date: "&amp;B630,"Order late — install at risk: "&amp;B630),IF(AD630=1,IF(AB630=1,"Decision overdue: ","Decide: ")&amp;B630,"Order: "&amp;B630&amp;IF(N630="",""," from "&amp;N630))))</f>
        <v/>
      </c>
      <c r="AD630" s="79">
        <f>IF(AND(B630&lt;&gt;"",K630="",U630&lt;&gt;"Yes",X630&lt;&gt;"Yes"),1,0)</f>
        <v/>
      </c>
      <c r="AE630" s="79">
        <f>IF(AND(AD630=1,T630&lt;&gt;""),IF(T630&lt;AsOf,1,0),0)</f>
        <v/>
      </c>
      <c r="AF630" s="79">
        <f>IF(AND(AD630=1,T630&lt;&gt;""),IF(AND(T630&gt;=AsOf,T630&lt;=AsOf+AlertDays),1,0),0)</f>
        <v/>
      </c>
      <c r="AG630" s="79">
        <f>IF(Y630="Order now",1,0)</f>
        <v/>
      </c>
      <c r="AH630" s="79">
        <f>IF(OR(Y630="⚠️ Order late — install at risk",Y630="⚠️ Delivery after install date"),1,0)</f>
        <v/>
      </c>
      <c r="AI630" s="79">
        <f>IF(AND(B630&lt;&gt;"",K630&lt;&gt;"",U630&lt;&gt;"Yes",X630&lt;&gt;"Yes"),1,0)</f>
        <v/>
      </c>
      <c r="AJ630" s="79">
        <f>IF(Y630="⚠️ Order late — install at risk",1,0)</f>
        <v/>
      </c>
    </row>
    <row r="631" ht="20" customHeight="1">
      <c r="B631" s="72" t="n"/>
      <c r="C631" s="72" t="n"/>
      <c r="D631" s="72" t="n"/>
      <c r="E631" s="72" t="n"/>
      <c r="F631" s="73" t="n"/>
      <c r="G631" s="72" t="n"/>
      <c r="H631" s="73" t="n"/>
      <c r="I631" s="72" t="n"/>
      <c r="J631" s="73" t="n"/>
      <c r="K631" s="74" t="n"/>
      <c r="L631" s="75">
        <f>IF(K631="A",F631,IF(K631="B",H631,IF(K631="C",J631,"")))</f>
        <v/>
      </c>
      <c r="M631" s="72" t="n"/>
      <c r="N631" s="72" t="n"/>
      <c r="O631" s="89" t="n"/>
      <c r="P631" s="89" t="n"/>
      <c r="Q631" s="109" t="n"/>
      <c r="R631" s="120">
        <f>IF(B631="","",IF(Q631&lt;&gt;"",Q631,IF(P631="","",IFERROR(INDEX('Timeline'!$J$7:$J$1006,MATCH(P631,'Timeline'!$B$7:$B$1006,0)),""))))</f>
        <v/>
      </c>
      <c r="S631" s="126">
        <f>IF(R631="","",R631-IF(O631="",0,O631)-OrderBuf)</f>
        <v/>
      </c>
      <c r="T631" s="126">
        <f>IF(S631="","",S631-DecideBuf)</f>
        <v/>
      </c>
      <c r="U631" s="74" t="n"/>
      <c r="V631" s="109" t="n"/>
      <c r="W631" s="109" t="n"/>
      <c r="X631" s="74" t="n"/>
      <c r="Y631" s="116">
        <f>IF(B631="","",IF(X631="Yes","Delivered",IF(U631="Yes",IF(AND(W631&lt;&gt;"",R631&lt;&gt;""),IF(W631&gt;R631,"⚠️ Delivery after install date","Ordered"),"Ordered"),IF(K631="",IF(T631="","Waiting for decision",IF(T631&lt;=AsOf+AlertDays,"Decide now","Waiting for decision")),IF(S631="","Selected",IF(AsOf&gt;S631,"⚠️ Order late — install at risk",IF(S631&lt;=AsOf+AlertDays,"Order now","Selected")))))))</f>
        <v/>
      </c>
      <c r="Z631" s="79">
        <f>IF(B631="","",IF(OR(AH631=1,AE631=1),2,IF(OR(AG631=1,AF631=1),1,IF(OR(Y631="Ordered",Y631="Delivered"),0,""))))</f>
        <v/>
      </c>
      <c r="AA631" s="112">
        <f>IF(B631="","",IF(AH631=1,IF(Y631="⚠️ Delivery after install date",R631,S631),IF(AD631=1,T631,IF(AI631=1,S631,""))))</f>
        <v/>
      </c>
      <c r="AB631" s="79">
        <f>IF(AA631="","",IF(AH631=1,1,IF(AA631="","",IF(AA631&lt;AsOf,1,IF(AA631&lt;=AsOf+AlertDays,2,IF(AA631&lt;=AsOf+2*AlertDays,3,""))))))</f>
        <v/>
      </c>
      <c r="AC631" s="79">
        <f>IF(AB631="","",IF(AH631=1,IF(Y631="⚠️ Delivery after install date","Delivery after install date: "&amp;B631,"Order late — install at risk: "&amp;B631),IF(AD631=1,IF(AB631=1,"Decision overdue: ","Decide: ")&amp;B631,"Order: "&amp;B631&amp;IF(N631="",""," from "&amp;N631))))</f>
        <v/>
      </c>
      <c r="AD631" s="79">
        <f>IF(AND(B631&lt;&gt;"",K631="",U631&lt;&gt;"Yes",X631&lt;&gt;"Yes"),1,0)</f>
        <v/>
      </c>
      <c r="AE631" s="79">
        <f>IF(AND(AD631=1,T631&lt;&gt;""),IF(T631&lt;AsOf,1,0),0)</f>
        <v/>
      </c>
      <c r="AF631" s="79">
        <f>IF(AND(AD631=1,T631&lt;&gt;""),IF(AND(T631&gt;=AsOf,T631&lt;=AsOf+AlertDays),1,0),0)</f>
        <v/>
      </c>
      <c r="AG631" s="79">
        <f>IF(Y631="Order now",1,0)</f>
        <v/>
      </c>
      <c r="AH631" s="79">
        <f>IF(OR(Y631="⚠️ Order late — install at risk",Y631="⚠️ Delivery after install date"),1,0)</f>
        <v/>
      </c>
      <c r="AI631" s="79">
        <f>IF(AND(B631&lt;&gt;"",K631&lt;&gt;"",U631&lt;&gt;"Yes",X631&lt;&gt;"Yes"),1,0)</f>
        <v/>
      </c>
      <c r="AJ631" s="79">
        <f>IF(Y631="⚠️ Order late — install at risk",1,0)</f>
        <v/>
      </c>
    </row>
    <row r="632" ht="20" customHeight="1">
      <c r="B632" s="72" t="n"/>
      <c r="C632" s="72" t="n"/>
      <c r="D632" s="72" t="n"/>
      <c r="E632" s="72" t="n"/>
      <c r="F632" s="73" t="n"/>
      <c r="G632" s="72" t="n"/>
      <c r="H632" s="73" t="n"/>
      <c r="I632" s="72" t="n"/>
      <c r="J632" s="73" t="n"/>
      <c r="K632" s="74" t="n"/>
      <c r="L632" s="75">
        <f>IF(K632="A",F632,IF(K632="B",H632,IF(K632="C",J632,"")))</f>
        <v/>
      </c>
      <c r="M632" s="72" t="n"/>
      <c r="N632" s="72" t="n"/>
      <c r="O632" s="89" t="n"/>
      <c r="P632" s="89" t="n"/>
      <c r="Q632" s="109" t="n"/>
      <c r="R632" s="120">
        <f>IF(B632="","",IF(Q632&lt;&gt;"",Q632,IF(P632="","",IFERROR(INDEX('Timeline'!$J$7:$J$1006,MATCH(P632,'Timeline'!$B$7:$B$1006,0)),""))))</f>
        <v/>
      </c>
      <c r="S632" s="126">
        <f>IF(R632="","",R632-IF(O632="",0,O632)-OrderBuf)</f>
        <v/>
      </c>
      <c r="T632" s="126">
        <f>IF(S632="","",S632-DecideBuf)</f>
        <v/>
      </c>
      <c r="U632" s="74" t="n"/>
      <c r="V632" s="109" t="n"/>
      <c r="W632" s="109" t="n"/>
      <c r="X632" s="74" t="n"/>
      <c r="Y632" s="116">
        <f>IF(B632="","",IF(X632="Yes","Delivered",IF(U632="Yes",IF(AND(W632&lt;&gt;"",R632&lt;&gt;""),IF(W632&gt;R632,"⚠️ Delivery after install date","Ordered"),"Ordered"),IF(K632="",IF(T632="","Waiting for decision",IF(T632&lt;=AsOf+AlertDays,"Decide now","Waiting for decision")),IF(S632="","Selected",IF(AsOf&gt;S632,"⚠️ Order late — install at risk",IF(S632&lt;=AsOf+AlertDays,"Order now","Selected")))))))</f>
        <v/>
      </c>
      <c r="Z632" s="79">
        <f>IF(B632="","",IF(OR(AH632=1,AE632=1),2,IF(OR(AG632=1,AF632=1),1,IF(OR(Y632="Ordered",Y632="Delivered"),0,""))))</f>
        <v/>
      </c>
      <c r="AA632" s="112">
        <f>IF(B632="","",IF(AH632=1,IF(Y632="⚠️ Delivery after install date",R632,S632),IF(AD632=1,T632,IF(AI632=1,S632,""))))</f>
        <v/>
      </c>
      <c r="AB632" s="79">
        <f>IF(AA632="","",IF(AH632=1,1,IF(AA632="","",IF(AA632&lt;AsOf,1,IF(AA632&lt;=AsOf+AlertDays,2,IF(AA632&lt;=AsOf+2*AlertDays,3,""))))))</f>
        <v/>
      </c>
      <c r="AC632" s="79">
        <f>IF(AB632="","",IF(AH632=1,IF(Y632="⚠️ Delivery after install date","Delivery after install date: "&amp;B632,"Order late — install at risk: "&amp;B632),IF(AD632=1,IF(AB632=1,"Decision overdue: ","Decide: ")&amp;B632,"Order: "&amp;B632&amp;IF(N632="",""," from "&amp;N632))))</f>
        <v/>
      </c>
      <c r="AD632" s="79">
        <f>IF(AND(B632&lt;&gt;"",K632="",U632&lt;&gt;"Yes",X632&lt;&gt;"Yes"),1,0)</f>
        <v/>
      </c>
      <c r="AE632" s="79">
        <f>IF(AND(AD632=1,T632&lt;&gt;""),IF(T632&lt;AsOf,1,0),0)</f>
        <v/>
      </c>
      <c r="AF632" s="79">
        <f>IF(AND(AD632=1,T632&lt;&gt;""),IF(AND(T632&gt;=AsOf,T632&lt;=AsOf+AlertDays),1,0),0)</f>
        <v/>
      </c>
      <c r="AG632" s="79">
        <f>IF(Y632="Order now",1,0)</f>
        <v/>
      </c>
      <c r="AH632" s="79">
        <f>IF(OR(Y632="⚠️ Order late — install at risk",Y632="⚠️ Delivery after install date"),1,0)</f>
        <v/>
      </c>
      <c r="AI632" s="79">
        <f>IF(AND(B632&lt;&gt;"",K632&lt;&gt;"",U632&lt;&gt;"Yes",X632&lt;&gt;"Yes"),1,0)</f>
        <v/>
      </c>
      <c r="AJ632" s="79">
        <f>IF(Y632="⚠️ Order late — install at risk",1,0)</f>
        <v/>
      </c>
    </row>
    <row r="633" ht="20" customHeight="1">
      <c r="B633" s="72" t="n"/>
      <c r="C633" s="72" t="n"/>
      <c r="D633" s="72" t="n"/>
      <c r="E633" s="72" t="n"/>
      <c r="F633" s="73" t="n"/>
      <c r="G633" s="72" t="n"/>
      <c r="H633" s="73" t="n"/>
      <c r="I633" s="72" t="n"/>
      <c r="J633" s="73" t="n"/>
      <c r="K633" s="74" t="n"/>
      <c r="L633" s="75">
        <f>IF(K633="A",F633,IF(K633="B",H633,IF(K633="C",J633,"")))</f>
        <v/>
      </c>
      <c r="M633" s="72" t="n"/>
      <c r="N633" s="72" t="n"/>
      <c r="O633" s="89" t="n"/>
      <c r="P633" s="89" t="n"/>
      <c r="Q633" s="109" t="n"/>
      <c r="R633" s="120">
        <f>IF(B633="","",IF(Q633&lt;&gt;"",Q633,IF(P633="","",IFERROR(INDEX('Timeline'!$J$7:$J$1006,MATCH(P633,'Timeline'!$B$7:$B$1006,0)),""))))</f>
        <v/>
      </c>
      <c r="S633" s="126">
        <f>IF(R633="","",R633-IF(O633="",0,O633)-OrderBuf)</f>
        <v/>
      </c>
      <c r="T633" s="126">
        <f>IF(S633="","",S633-DecideBuf)</f>
        <v/>
      </c>
      <c r="U633" s="74" t="n"/>
      <c r="V633" s="109" t="n"/>
      <c r="W633" s="109" t="n"/>
      <c r="X633" s="74" t="n"/>
      <c r="Y633" s="116">
        <f>IF(B633="","",IF(X633="Yes","Delivered",IF(U633="Yes",IF(AND(W633&lt;&gt;"",R633&lt;&gt;""),IF(W633&gt;R633,"⚠️ Delivery after install date","Ordered"),"Ordered"),IF(K633="",IF(T633="","Waiting for decision",IF(T633&lt;=AsOf+AlertDays,"Decide now","Waiting for decision")),IF(S633="","Selected",IF(AsOf&gt;S633,"⚠️ Order late — install at risk",IF(S633&lt;=AsOf+AlertDays,"Order now","Selected")))))))</f>
        <v/>
      </c>
      <c r="Z633" s="79">
        <f>IF(B633="","",IF(OR(AH633=1,AE633=1),2,IF(OR(AG633=1,AF633=1),1,IF(OR(Y633="Ordered",Y633="Delivered"),0,""))))</f>
        <v/>
      </c>
      <c r="AA633" s="112">
        <f>IF(B633="","",IF(AH633=1,IF(Y633="⚠️ Delivery after install date",R633,S633),IF(AD633=1,T633,IF(AI633=1,S633,""))))</f>
        <v/>
      </c>
      <c r="AB633" s="79">
        <f>IF(AA633="","",IF(AH633=1,1,IF(AA633="","",IF(AA633&lt;AsOf,1,IF(AA633&lt;=AsOf+AlertDays,2,IF(AA633&lt;=AsOf+2*AlertDays,3,""))))))</f>
        <v/>
      </c>
      <c r="AC633" s="79">
        <f>IF(AB633="","",IF(AH633=1,IF(Y633="⚠️ Delivery after install date","Delivery after install date: "&amp;B633,"Order late — install at risk: "&amp;B633),IF(AD633=1,IF(AB633=1,"Decision overdue: ","Decide: ")&amp;B633,"Order: "&amp;B633&amp;IF(N633="",""," from "&amp;N633))))</f>
        <v/>
      </c>
      <c r="AD633" s="79">
        <f>IF(AND(B633&lt;&gt;"",K633="",U633&lt;&gt;"Yes",X633&lt;&gt;"Yes"),1,0)</f>
        <v/>
      </c>
      <c r="AE633" s="79">
        <f>IF(AND(AD633=1,T633&lt;&gt;""),IF(T633&lt;AsOf,1,0),0)</f>
        <v/>
      </c>
      <c r="AF633" s="79">
        <f>IF(AND(AD633=1,T633&lt;&gt;""),IF(AND(T633&gt;=AsOf,T633&lt;=AsOf+AlertDays),1,0),0)</f>
        <v/>
      </c>
      <c r="AG633" s="79">
        <f>IF(Y633="Order now",1,0)</f>
        <v/>
      </c>
      <c r="AH633" s="79">
        <f>IF(OR(Y633="⚠️ Order late — install at risk",Y633="⚠️ Delivery after install date"),1,0)</f>
        <v/>
      </c>
      <c r="AI633" s="79">
        <f>IF(AND(B633&lt;&gt;"",K633&lt;&gt;"",U633&lt;&gt;"Yes",X633&lt;&gt;"Yes"),1,0)</f>
        <v/>
      </c>
      <c r="AJ633" s="79">
        <f>IF(Y633="⚠️ Order late — install at risk",1,0)</f>
        <v/>
      </c>
    </row>
    <row r="634" ht="20" customHeight="1">
      <c r="B634" s="72" t="n"/>
      <c r="C634" s="72" t="n"/>
      <c r="D634" s="72" t="n"/>
      <c r="E634" s="72" t="n"/>
      <c r="F634" s="73" t="n"/>
      <c r="G634" s="72" t="n"/>
      <c r="H634" s="73" t="n"/>
      <c r="I634" s="72" t="n"/>
      <c r="J634" s="73" t="n"/>
      <c r="K634" s="74" t="n"/>
      <c r="L634" s="75">
        <f>IF(K634="A",F634,IF(K634="B",H634,IF(K634="C",J634,"")))</f>
        <v/>
      </c>
      <c r="M634" s="72" t="n"/>
      <c r="N634" s="72" t="n"/>
      <c r="O634" s="89" t="n"/>
      <c r="P634" s="89" t="n"/>
      <c r="Q634" s="109" t="n"/>
      <c r="R634" s="120">
        <f>IF(B634="","",IF(Q634&lt;&gt;"",Q634,IF(P634="","",IFERROR(INDEX('Timeline'!$J$7:$J$1006,MATCH(P634,'Timeline'!$B$7:$B$1006,0)),""))))</f>
        <v/>
      </c>
      <c r="S634" s="126">
        <f>IF(R634="","",R634-IF(O634="",0,O634)-OrderBuf)</f>
        <v/>
      </c>
      <c r="T634" s="126">
        <f>IF(S634="","",S634-DecideBuf)</f>
        <v/>
      </c>
      <c r="U634" s="74" t="n"/>
      <c r="V634" s="109" t="n"/>
      <c r="W634" s="109" t="n"/>
      <c r="X634" s="74" t="n"/>
      <c r="Y634" s="116">
        <f>IF(B634="","",IF(X634="Yes","Delivered",IF(U634="Yes",IF(AND(W634&lt;&gt;"",R634&lt;&gt;""),IF(W634&gt;R634,"⚠️ Delivery after install date","Ordered"),"Ordered"),IF(K634="",IF(T634="","Waiting for decision",IF(T634&lt;=AsOf+AlertDays,"Decide now","Waiting for decision")),IF(S634="","Selected",IF(AsOf&gt;S634,"⚠️ Order late — install at risk",IF(S634&lt;=AsOf+AlertDays,"Order now","Selected")))))))</f>
        <v/>
      </c>
      <c r="Z634" s="79">
        <f>IF(B634="","",IF(OR(AH634=1,AE634=1),2,IF(OR(AG634=1,AF634=1),1,IF(OR(Y634="Ordered",Y634="Delivered"),0,""))))</f>
        <v/>
      </c>
      <c r="AA634" s="112">
        <f>IF(B634="","",IF(AH634=1,IF(Y634="⚠️ Delivery after install date",R634,S634),IF(AD634=1,T634,IF(AI634=1,S634,""))))</f>
        <v/>
      </c>
      <c r="AB634" s="79">
        <f>IF(AA634="","",IF(AH634=1,1,IF(AA634="","",IF(AA634&lt;AsOf,1,IF(AA634&lt;=AsOf+AlertDays,2,IF(AA634&lt;=AsOf+2*AlertDays,3,""))))))</f>
        <v/>
      </c>
      <c r="AC634" s="79">
        <f>IF(AB634="","",IF(AH634=1,IF(Y634="⚠️ Delivery after install date","Delivery after install date: "&amp;B634,"Order late — install at risk: "&amp;B634),IF(AD634=1,IF(AB634=1,"Decision overdue: ","Decide: ")&amp;B634,"Order: "&amp;B634&amp;IF(N634="",""," from "&amp;N634))))</f>
        <v/>
      </c>
      <c r="AD634" s="79">
        <f>IF(AND(B634&lt;&gt;"",K634="",U634&lt;&gt;"Yes",X634&lt;&gt;"Yes"),1,0)</f>
        <v/>
      </c>
      <c r="AE634" s="79">
        <f>IF(AND(AD634=1,T634&lt;&gt;""),IF(T634&lt;AsOf,1,0),0)</f>
        <v/>
      </c>
      <c r="AF634" s="79">
        <f>IF(AND(AD634=1,T634&lt;&gt;""),IF(AND(T634&gt;=AsOf,T634&lt;=AsOf+AlertDays),1,0),0)</f>
        <v/>
      </c>
      <c r="AG634" s="79">
        <f>IF(Y634="Order now",1,0)</f>
        <v/>
      </c>
      <c r="AH634" s="79">
        <f>IF(OR(Y634="⚠️ Order late — install at risk",Y634="⚠️ Delivery after install date"),1,0)</f>
        <v/>
      </c>
      <c r="AI634" s="79">
        <f>IF(AND(B634&lt;&gt;"",K634&lt;&gt;"",U634&lt;&gt;"Yes",X634&lt;&gt;"Yes"),1,0)</f>
        <v/>
      </c>
      <c r="AJ634" s="79">
        <f>IF(Y634="⚠️ Order late — install at risk",1,0)</f>
        <v/>
      </c>
    </row>
    <row r="635" ht="20" customHeight="1">
      <c r="B635" s="72" t="n"/>
      <c r="C635" s="72" t="n"/>
      <c r="D635" s="72" t="n"/>
      <c r="E635" s="72" t="n"/>
      <c r="F635" s="73" t="n"/>
      <c r="G635" s="72" t="n"/>
      <c r="H635" s="73" t="n"/>
      <c r="I635" s="72" t="n"/>
      <c r="J635" s="73" t="n"/>
      <c r="K635" s="74" t="n"/>
      <c r="L635" s="75">
        <f>IF(K635="A",F635,IF(K635="B",H635,IF(K635="C",J635,"")))</f>
        <v/>
      </c>
      <c r="M635" s="72" t="n"/>
      <c r="N635" s="72" t="n"/>
      <c r="O635" s="89" t="n"/>
      <c r="P635" s="89" t="n"/>
      <c r="Q635" s="109" t="n"/>
      <c r="R635" s="120">
        <f>IF(B635="","",IF(Q635&lt;&gt;"",Q635,IF(P635="","",IFERROR(INDEX('Timeline'!$J$7:$J$1006,MATCH(P635,'Timeline'!$B$7:$B$1006,0)),""))))</f>
        <v/>
      </c>
      <c r="S635" s="126">
        <f>IF(R635="","",R635-IF(O635="",0,O635)-OrderBuf)</f>
        <v/>
      </c>
      <c r="T635" s="126">
        <f>IF(S635="","",S635-DecideBuf)</f>
        <v/>
      </c>
      <c r="U635" s="74" t="n"/>
      <c r="V635" s="109" t="n"/>
      <c r="W635" s="109" t="n"/>
      <c r="X635" s="74" t="n"/>
      <c r="Y635" s="116">
        <f>IF(B635="","",IF(X635="Yes","Delivered",IF(U635="Yes",IF(AND(W635&lt;&gt;"",R635&lt;&gt;""),IF(W635&gt;R635,"⚠️ Delivery after install date","Ordered"),"Ordered"),IF(K635="",IF(T635="","Waiting for decision",IF(T635&lt;=AsOf+AlertDays,"Decide now","Waiting for decision")),IF(S635="","Selected",IF(AsOf&gt;S635,"⚠️ Order late — install at risk",IF(S635&lt;=AsOf+AlertDays,"Order now","Selected")))))))</f>
        <v/>
      </c>
      <c r="Z635" s="79">
        <f>IF(B635="","",IF(OR(AH635=1,AE635=1),2,IF(OR(AG635=1,AF635=1),1,IF(OR(Y635="Ordered",Y635="Delivered"),0,""))))</f>
        <v/>
      </c>
      <c r="AA635" s="112">
        <f>IF(B635="","",IF(AH635=1,IF(Y635="⚠️ Delivery after install date",R635,S635),IF(AD635=1,T635,IF(AI635=1,S635,""))))</f>
        <v/>
      </c>
      <c r="AB635" s="79">
        <f>IF(AA635="","",IF(AH635=1,1,IF(AA635="","",IF(AA635&lt;AsOf,1,IF(AA635&lt;=AsOf+AlertDays,2,IF(AA635&lt;=AsOf+2*AlertDays,3,""))))))</f>
        <v/>
      </c>
      <c r="AC635" s="79">
        <f>IF(AB635="","",IF(AH635=1,IF(Y635="⚠️ Delivery after install date","Delivery after install date: "&amp;B635,"Order late — install at risk: "&amp;B635),IF(AD635=1,IF(AB635=1,"Decision overdue: ","Decide: ")&amp;B635,"Order: "&amp;B635&amp;IF(N635="",""," from "&amp;N635))))</f>
        <v/>
      </c>
      <c r="AD635" s="79">
        <f>IF(AND(B635&lt;&gt;"",K635="",U635&lt;&gt;"Yes",X635&lt;&gt;"Yes"),1,0)</f>
        <v/>
      </c>
      <c r="AE635" s="79">
        <f>IF(AND(AD635=1,T635&lt;&gt;""),IF(T635&lt;AsOf,1,0),0)</f>
        <v/>
      </c>
      <c r="AF635" s="79">
        <f>IF(AND(AD635=1,T635&lt;&gt;""),IF(AND(T635&gt;=AsOf,T635&lt;=AsOf+AlertDays),1,0),0)</f>
        <v/>
      </c>
      <c r="AG635" s="79">
        <f>IF(Y635="Order now",1,0)</f>
        <v/>
      </c>
      <c r="AH635" s="79">
        <f>IF(OR(Y635="⚠️ Order late — install at risk",Y635="⚠️ Delivery after install date"),1,0)</f>
        <v/>
      </c>
      <c r="AI635" s="79">
        <f>IF(AND(B635&lt;&gt;"",K635&lt;&gt;"",U635&lt;&gt;"Yes",X635&lt;&gt;"Yes"),1,0)</f>
        <v/>
      </c>
      <c r="AJ635" s="79">
        <f>IF(Y635="⚠️ Order late — install at risk",1,0)</f>
        <v/>
      </c>
    </row>
    <row r="636" ht="20" customHeight="1">
      <c r="B636" s="72" t="n"/>
      <c r="C636" s="72" t="n"/>
      <c r="D636" s="72" t="n"/>
      <c r="E636" s="72" t="n"/>
      <c r="F636" s="73" t="n"/>
      <c r="G636" s="72" t="n"/>
      <c r="H636" s="73" t="n"/>
      <c r="I636" s="72" t="n"/>
      <c r="J636" s="73" t="n"/>
      <c r="K636" s="74" t="n"/>
      <c r="L636" s="75">
        <f>IF(K636="A",F636,IF(K636="B",H636,IF(K636="C",J636,"")))</f>
        <v/>
      </c>
      <c r="M636" s="72" t="n"/>
      <c r="N636" s="72" t="n"/>
      <c r="O636" s="89" t="n"/>
      <c r="P636" s="89" t="n"/>
      <c r="Q636" s="109" t="n"/>
      <c r="R636" s="120">
        <f>IF(B636="","",IF(Q636&lt;&gt;"",Q636,IF(P636="","",IFERROR(INDEX('Timeline'!$J$7:$J$1006,MATCH(P636,'Timeline'!$B$7:$B$1006,0)),""))))</f>
        <v/>
      </c>
      <c r="S636" s="126">
        <f>IF(R636="","",R636-IF(O636="",0,O636)-OrderBuf)</f>
        <v/>
      </c>
      <c r="T636" s="126">
        <f>IF(S636="","",S636-DecideBuf)</f>
        <v/>
      </c>
      <c r="U636" s="74" t="n"/>
      <c r="V636" s="109" t="n"/>
      <c r="W636" s="109" t="n"/>
      <c r="X636" s="74" t="n"/>
      <c r="Y636" s="116">
        <f>IF(B636="","",IF(X636="Yes","Delivered",IF(U636="Yes",IF(AND(W636&lt;&gt;"",R636&lt;&gt;""),IF(W636&gt;R636,"⚠️ Delivery after install date","Ordered"),"Ordered"),IF(K636="",IF(T636="","Waiting for decision",IF(T636&lt;=AsOf+AlertDays,"Decide now","Waiting for decision")),IF(S636="","Selected",IF(AsOf&gt;S636,"⚠️ Order late — install at risk",IF(S636&lt;=AsOf+AlertDays,"Order now","Selected")))))))</f>
        <v/>
      </c>
      <c r="Z636" s="79">
        <f>IF(B636="","",IF(OR(AH636=1,AE636=1),2,IF(OR(AG636=1,AF636=1),1,IF(OR(Y636="Ordered",Y636="Delivered"),0,""))))</f>
        <v/>
      </c>
      <c r="AA636" s="112">
        <f>IF(B636="","",IF(AH636=1,IF(Y636="⚠️ Delivery after install date",R636,S636),IF(AD636=1,T636,IF(AI636=1,S636,""))))</f>
        <v/>
      </c>
      <c r="AB636" s="79">
        <f>IF(AA636="","",IF(AH636=1,1,IF(AA636="","",IF(AA636&lt;AsOf,1,IF(AA636&lt;=AsOf+AlertDays,2,IF(AA636&lt;=AsOf+2*AlertDays,3,""))))))</f>
        <v/>
      </c>
      <c r="AC636" s="79">
        <f>IF(AB636="","",IF(AH636=1,IF(Y636="⚠️ Delivery after install date","Delivery after install date: "&amp;B636,"Order late — install at risk: "&amp;B636),IF(AD636=1,IF(AB636=1,"Decision overdue: ","Decide: ")&amp;B636,"Order: "&amp;B636&amp;IF(N636="",""," from "&amp;N636))))</f>
        <v/>
      </c>
      <c r="AD636" s="79">
        <f>IF(AND(B636&lt;&gt;"",K636="",U636&lt;&gt;"Yes",X636&lt;&gt;"Yes"),1,0)</f>
        <v/>
      </c>
      <c r="AE636" s="79">
        <f>IF(AND(AD636=1,T636&lt;&gt;""),IF(T636&lt;AsOf,1,0),0)</f>
        <v/>
      </c>
      <c r="AF636" s="79">
        <f>IF(AND(AD636=1,T636&lt;&gt;""),IF(AND(T636&gt;=AsOf,T636&lt;=AsOf+AlertDays),1,0),0)</f>
        <v/>
      </c>
      <c r="AG636" s="79">
        <f>IF(Y636="Order now",1,0)</f>
        <v/>
      </c>
      <c r="AH636" s="79">
        <f>IF(OR(Y636="⚠️ Order late — install at risk",Y636="⚠️ Delivery after install date"),1,0)</f>
        <v/>
      </c>
      <c r="AI636" s="79">
        <f>IF(AND(B636&lt;&gt;"",K636&lt;&gt;"",U636&lt;&gt;"Yes",X636&lt;&gt;"Yes"),1,0)</f>
        <v/>
      </c>
      <c r="AJ636" s="79">
        <f>IF(Y636="⚠️ Order late — install at risk",1,0)</f>
        <v/>
      </c>
    </row>
    <row r="637" ht="20" customHeight="1">
      <c r="B637" s="72" t="n"/>
      <c r="C637" s="72" t="n"/>
      <c r="D637" s="72" t="n"/>
      <c r="E637" s="72" t="n"/>
      <c r="F637" s="73" t="n"/>
      <c r="G637" s="72" t="n"/>
      <c r="H637" s="73" t="n"/>
      <c r="I637" s="72" t="n"/>
      <c r="J637" s="73" t="n"/>
      <c r="K637" s="74" t="n"/>
      <c r="L637" s="75">
        <f>IF(K637="A",F637,IF(K637="B",H637,IF(K637="C",J637,"")))</f>
        <v/>
      </c>
      <c r="M637" s="72" t="n"/>
      <c r="N637" s="72" t="n"/>
      <c r="O637" s="89" t="n"/>
      <c r="P637" s="89" t="n"/>
      <c r="Q637" s="109" t="n"/>
      <c r="R637" s="120">
        <f>IF(B637="","",IF(Q637&lt;&gt;"",Q637,IF(P637="","",IFERROR(INDEX('Timeline'!$J$7:$J$1006,MATCH(P637,'Timeline'!$B$7:$B$1006,0)),""))))</f>
        <v/>
      </c>
      <c r="S637" s="126">
        <f>IF(R637="","",R637-IF(O637="",0,O637)-OrderBuf)</f>
        <v/>
      </c>
      <c r="T637" s="126">
        <f>IF(S637="","",S637-DecideBuf)</f>
        <v/>
      </c>
      <c r="U637" s="74" t="n"/>
      <c r="V637" s="109" t="n"/>
      <c r="W637" s="109" t="n"/>
      <c r="X637" s="74" t="n"/>
      <c r="Y637" s="116">
        <f>IF(B637="","",IF(X637="Yes","Delivered",IF(U637="Yes",IF(AND(W637&lt;&gt;"",R637&lt;&gt;""),IF(W637&gt;R637,"⚠️ Delivery after install date","Ordered"),"Ordered"),IF(K637="",IF(T637="","Waiting for decision",IF(T637&lt;=AsOf+AlertDays,"Decide now","Waiting for decision")),IF(S637="","Selected",IF(AsOf&gt;S637,"⚠️ Order late — install at risk",IF(S637&lt;=AsOf+AlertDays,"Order now","Selected")))))))</f>
        <v/>
      </c>
      <c r="Z637" s="79">
        <f>IF(B637="","",IF(OR(AH637=1,AE637=1),2,IF(OR(AG637=1,AF637=1),1,IF(OR(Y637="Ordered",Y637="Delivered"),0,""))))</f>
        <v/>
      </c>
      <c r="AA637" s="112">
        <f>IF(B637="","",IF(AH637=1,IF(Y637="⚠️ Delivery after install date",R637,S637),IF(AD637=1,T637,IF(AI637=1,S637,""))))</f>
        <v/>
      </c>
      <c r="AB637" s="79">
        <f>IF(AA637="","",IF(AH637=1,1,IF(AA637="","",IF(AA637&lt;AsOf,1,IF(AA637&lt;=AsOf+AlertDays,2,IF(AA637&lt;=AsOf+2*AlertDays,3,""))))))</f>
        <v/>
      </c>
      <c r="AC637" s="79">
        <f>IF(AB637="","",IF(AH637=1,IF(Y637="⚠️ Delivery after install date","Delivery after install date: "&amp;B637,"Order late — install at risk: "&amp;B637),IF(AD637=1,IF(AB637=1,"Decision overdue: ","Decide: ")&amp;B637,"Order: "&amp;B637&amp;IF(N637="",""," from "&amp;N637))))</f>
        <v/>
      </c>
      <c r="AD637" s="79">
        <f>IF(AND(B637&lt;&gt;"",K637="",U637&lt;&gt;"Yes",X637&lt;&gt;"Yes"),1,0)</f>
        <v/>
      </c>
      <c r="AE637" s="79">
        <f>IF(AND(AD637=1,T637&lt;&gt;""),IF(T637&lt;AsOf,1,0),0)</f>
        <v/>
      </c>
      <c r="AF637" s="79">
        <f>IF(AND(AD637=1,T637&lt;&gt;""),IF(AND(T637&gt;=AsOf,T637&lt;=AsOf+AlertDays),1,0),0)</f>
        <v/>
      </c>
      <c r="AG637" s="79">
        <f>IF(Y637="Order now",1,0)</f>
        <v/>
      </c>
      <c r="AH637" s="79">
        <f>IF(OR(Y637="⚠️ Order late — install at risk",Y637="⚠️ Delivery after install date"),1,0)</f>
        <v/>
      </c>
      <c r="AI637" s="79">
        <f>IF(AND(B637&lt;&gt;"",K637&lt;&gt;"",U637&lt;&gt;"Yes",X637&lt;&gt;"Yes"),1,0)</f>
        <v/>
      </c>
      <c r="AJ637" s="79">
        <f>IF(Y637="⚠️ Order late — install at risk",1,0)</f>
        <v/>
      </c>
    </row>
    <row r="638" ht="20" customHeight="1">
      <c r="B638" s="72" t="n"/>
      <c r="C638" s="72" t="n"/>
      <c r="D638" s="72" t="n"/>
      <c r="E638" s="72" t="n"/>
      <c r="F638" s="73" t="n"/>
      <c r="G638" s="72" t="n"/>
      <c r="H638" s="73" t="n"/>
      <c r="I638" s="72" t="n"/>
      <c r="J638" s="73" t="n"/>
      <c r="K638" s="74" t="n"/>
      <c r="L638" s="75">
        <f>IF(K638="A",F638,IF(K638="B",H638,IF(K638="C",J638,"")))</f>
        <v/>
      </c>
      <c r="M638" s="72" t="n"/>
      <c r="N638" s="72" t="n"/>
      <c r="O638" s="89" t="n"/>
      <c r="P638" s="89" t="n"/>
      <c r="Q638" s="109" t="n"/>
      <c r="R638" s="120">
        <f>IF(B638="","",IF(Q638&lt;&gt;"",Q638,IF(P638="","",IFERROR(INDEX('Timeline'!$J$7:$J$1006,MATCH(P638,'Timeline'!$B$7:$B$1006,0)),""))))</f>
        <v/>
      </c>
      <c r="S638" s="126">
        <f>IF(R638="","",R638-IF(O638="",0,O638)-OrderBuf)</f>
        <v/>
      </c>
      <c r="T638" s="126">
        <f>IF(S638="","",S638-DecideBuf)</f>
        <v/>
      </c>
      <c r="U638" s="74" t="n"/>
      <c r="V638" s="109" t="n"/>
      <c r="W638" s="109" t="n"/>
      <c r="X638" s="74" t="n"/>
      <c r="Y638" s="116">
        <f>IF(B638="","",IF(X638="Yes","Delivered",IF(U638="Yes",IF(AND(W638&lt;&gt;"",R638&lt;&gt;""),IF(W638&gt;R638,"⚠️ Delivery after install date","Ordered"),"Ordered"),IF(K638="",IF(T638="","Waiting for decision",IF(T638&lt;=AsOf+AlertDays,"Decide now","Waiting for decision")),IF(S638="","Selected",IF(AsOf&gt;S638,"⚠️ Order late — install at risk",IF(S638&lt;=AsOf+AlertDays,"Order now","Selected")))))))</f>
        <v/>
      </c>
      <c r="Z638" s="79">
        <f>IF(B638="","",IF(OR(AH638=1,AE638=1),2,IF(OR(AG638=1,AF638=1),1,IF(OR(Y638="Ordered",Y638="Delivered"),0,""))))</f>
        <v/>
      </c>
      <c r="AA638" s="112">
        <f>IF(B638="","",IF(AH638=1,IF(Y638="⚠️ Delivery after install date",R638,S638),IF(AD638=1,T638,IF(AI638=1,S638,""))))</f>
        <v/>
      </c>
      <c r="AB638" s="79">
        <f>IF(AA638="","",IF(AH638=1,1,IF(AA638="","",IF(AA638&lt;AsOf,1,IF(AA638&lt;=AsOf+AlertDays,2,IF(AA638&lt;=AsOf+2*AlertDays,3,""))))))</f>
        <v/>
      </c>
      <c r="AC638" s="79">
        <f>IF(AB638="","",IF(AH638=1,IF(Y638="⚠️ Delivery after install date","Delivery after install date: "&amp;B638,"Order late — install at risk: "&amp;B638),IF(AD638=1,IF(AB638=1,"Decision overdue: ","Decide: ")&amp;B638,"Order: "&amp;B638&amp;IF(N638="",""," from "&amp;N638))))</f>
        <v/>
      </c>
      <c r="AD638" s="79">
        <f>IF(AND(B638&lt;&gt;"",K638="",U638&lt;&gt;"Yes",X638&lt;&gt;"Yes"),1,0)</f>
        <v/>
      </c>
      <c r="AE638" s="79">
        <f>IF(AND(AD638=1,T638&lt;&gt;""),IF(T638&lt;AsOf,1,0),0)</f>
        <v/>
      </c>
      <c r="AF638" s="79">
        <f>IF(AND(AD638=1,T638&lt;&gt;""),IF(AND(T638&gt;=AsOf,T638&lt;=AsOf+AlertDays),1,0),0)</f>
        <v/>
      </c>
      <c r="AG638" s="79">
        <f>IF(Y638="Order now",1,0)</f>
        <v/>
      </c>
      <c r="AH638" s="79">
        <f>IF(OR(Y638="⚠️ Order late — install at risk",Y638="⚠️ Delivery after install date"),1,0)</f>
        <v/>
      </c>
      <c r="AI638" s="79">
        <f>IF(AND(B638&lt;&gt;"",K638&lt;&gt;"",U638&lt;&gt;"Yes",X638&lt;&gt;"Yes"),1,0)</f>
        <v/>
      </c>
      <c r="AJ638" s="79">
        <f>IF(Y638="⚠️ Order late — install at risk",1,0)</f>
        <v/>
      </c>
    </row>
    <row r="639" ht="20" customHeight="1">
      <c r="B639" s="72" t="n"/>
      <c r="C639" s="72" t="n"/>
      <c r="D639" s="72" t="n"/>
      <c r="E639" s="72" t="n"/>
      <c r="F639" s="73" t="n"/>
      <c r="G639" s="72" t="n"/>
      <c r="H639" s="73" t="n"/>
      <c r="I639" s="72" t="n"/>
      <c r="J639" s="73" t="n"/>
      <c r="K639" s="74" t="n"/>
      <c r="L639" s="75">
        <f>IF(K639="A",F639,IF(K639="B",H639,IF(K639="C",J639,"")))</f>
        <v/>
      </c>
      <c r="M639" s="72" t="n"/>
      <c r="N639" s="72" t="n"/>
      <c r="O639" s="89" t="n"/>
      <c r="P639" s="89" t="n"/>
      <c r="Q639" s="109" t="n"/>
      <c r="R639" s="120">
        <f>IF(B639="","",IF(Q639&lt;&gt;"",Q639,IF(P639="","",IFERROR(INDEX('Timeline'!$J$7:$J$1006,MATCH(P639,'Timeline'!$B$7:$B$1006,0)),""))))</f>
        <v/>
      </c>
      <c r="S639" s="126">
        <f>IF(R639="","",R639-IF(O639="",0,O639)-OrderBuf)</f>
        <v/>
      </c>
      <c r="T639" s="126">
        <f>IF(S639="","",S639-DecideBuf)</f>
        <v/>
      </c>
      <c r="U639" s="74" t="n"/>
      <c r="V639" s="109" t="n"/>
      <c r="W639" s="109" t="n"/>
      <c r="X639" s="74" t="n"/>
      <c r="Y639" s="116">
        <f>IF(B639="","",IF(X639="Yes","Delivered",IF(U639="Yes",IF(AND(W639&lt;&gt;"",R639&lt;&gt;""),IF(W639&gt;R639,"⚠️ Delivery after install date","Ordered"),"Ordered"),IF(K639="",IF(T639="","Waiting for decision",IF(T639&lt;=AsOf+AlertDays,"Decide now","Waiting for decision")),IF(S639="","Selected",IF(AsOf&gt;S639,"⚠️ Order late — install at risk",IF(S639&lt;=AsOf+AlertDays,"Order now","Selected")))))))</f>
        <v/>
      </c>
      <c r="Z639" s="79">
        <f>IF(B639="","",IF(OR(AH639=1,AE639=1),2,IF(OR(AG639=1,AF639=1),1,IF(OR(Y639="Ordered",Y639="Delivered"),0,""))))</f>
        <v/>
      </c>
      <c r="AA639" s="112">
        <f>IF(B639="","",IF(AH639=1,IF(Y639="⚠️ Delivery after install date",R639,S639),IF(AD639=1,T639,IF(AI639=1,S639,""))))</f>
        <v/>
      </c>
      <c r="AB639" s="79">
        <f>IF(AA639="","",IF(AH639=1,1,IF(AA639="","",IF(AA639&lt;AsOf,1,IF(AA639&lt;=AsOf+AlertDays,2,IF(AA639&lt;=AsOf+2*AlertDays,3,""))))))</f>
        <v/>
      </c>
      <c r="AC639" s="79">
        <f>IF(AB639="","",IF(AH639=1,IF(Y639="⚠️ Delivery after install date","Delivery after install date: "&amp;B639,"Order late — install at risk: "&amp;B639),IF(AD639=1,IF(AB639=1,"Decision overdue: ","Decide: ")&amp;B639,"Order: "&amp;B639&amp;IF(N639="",""," from "&amp;N639))))</f>
        <v/>
      </c>
      <c r="AD639" s="79">
        <f>IF(AND(B639&lt;&gt;"",K639="",U639&lt;&gt;"Yes",X639&lt;&gt;"Yes"),1,0)</f>
        <v/>
      </c>
      <c r="AE639" s="79">
        <f>IF(AND(AD639=1,T639&lt;&gt;""),IF(T639&lt;AsOf,1,0),0)</f>
        <v/>
      </c>
      <c r="AF639" s="79">
        <f>IF(AND(AD639=1,T639&lt;&gt;""),IF(AND(T639&gt;=AsOf,T639&lt;=AsOf+AlertDays),1,0),0)</f>
        <v/>
      </c>
      <c r="AG639" s="79">
        <f>IF(Y639="Order now",1,0)</f>
        <v/>
      </c>
      <c r="AH639" s="79">
        <f>IF(OR(Y639="⚠️ Order late — install at risk",Y639="⚠️ Delivery after install date"),1,0)</f>
        <v/>
      </c>
      <c r="AI639" s="79">
        <f>IF(AND(B639&lt;&gt;"",K639&lt;&gt;"",U639&lt;&gt;"Yes",X639&lt;&gt;"Yes"),1,0)</f>
        <v/>
      </c>
      <c r="AJ639" s="79">
        <f>IF(Y639="⚠️ Order late — install at risk",1,0)</f>
        <v/>
      </c>
    </row>
    <row r="640" ht="20" customHeight="1">
      <c r="B640" s="72" t="n"/>
      <c r="C640" s="72" t="n"/>
      <c r="D640" s="72" t="n"/>
      <c r="E640" s="72" t="n"/>
      <c r="F640" s="73" t="n"/>
      <c r="G640" s="72" t="n"/>
      <c r="H640" s="73" t="n"/>
      <c r="I640" s="72" t="n"/>
      <c r="J640" s="73" t="n"/>
      <c r="K640" s="74" t="n"/>
      <c r="L640" s="75">
        <f>IF(K640="A",F640,IF(K640="B",H640,IF(K640="C",J640,"")))</f>
        <v/>
      </c>
      <c r="M640" s="72" t="n"/>
      <c r="N640" s="72" t="n"/>
      <c r="O640" s="89" t="n"/>
      <c r="P640" s="89" t="n"/>
      <c r="Q640" s="109" t="n"/>
      <c r="R640" s="120">
        <f>IF(B640="","",IF(Q640&lt;&gt;"",Q640,IF(P640="","",IFERROR(INDEX('Timeline'!$J$7:$J$1006,MATCH(P640,'Timeline'!$B$7:$B$1006,0)),""))))</f>
        <v/>
      </c>
      <c r="S640" s="126">
        <f>IF(R640="","",R640-IF(O640="",0,O640)-OrderBuf)</f>
        <v/>
      </c>
      <c r="T640" s="126">
        <f>IF(S640="","",S640-DecideBuf)</f>
        <v/>
      </c>
      <c r="U640" s="74" t="n"/>
      <c r="V640" s="109" t="n"/>
      <c r="W640" s="109" t="n"/>
      <c r="X640" s="74" t="n"/>
      <c r="Y640" s="116">
        <f>IF(B640="","",IF(X640="Yes","Delivered",IF(U640="Yes",IF(AND(W640&lt;&gt;"",R640&lt;&gt;""),IF(W640&gt;R640,"⚠️ Delivery after install date","Ordered"),"Ordered"),IF(K640="",IF(T640="","Waiting for decision",IF(T640&lt;=AsOf+AlertDays,"Decide now","Waiting for decision")),IF(S640="","Selected",IF(AsOf&gt;S640,"⚠️ Order late — install at risk",IF(S640&lt;=AsOf+AlertDays,"Order now","Selected")))))))</f>
        <v/>
      </c>
      <c r="Z640" s="79">
        <f>IF(B640="","",IF(OR(AH640=1,AE640=1),2,IF(OR(AG640=1,AF640=1),1,IF(OR(Y640="Ordered",Y640="Delivered"),0,""))))</f>
        <v/>
      </c>
      <c r="AA640" s="112">
        <f>IF(B640="","",IF(AH640=1,IF(Y640="⚠️ Delivery after install date",R640,S640),IF(AD640=1,T640,IF(AI640=1,S640,""))))</f>
        <v/>
      </c>
      <c r="AB640" s="79">
        <f>IF(AA640="","",IF(AH640=1,1,IF(AA640="","",IF(AA640&lt;AsOf,1,IF(AA640&lt;=AsOf+AlertDays,2,IF(AA640&lt;=AsOf+2*AlertDays,3,""))))))</f>
        <v/>
      </c>
      <c r="AC640" s="79">
        <f>IF(AB640="","",IF(AH640=1,IF(Y640="⚠️ Delivery after install date","Delivery after install date: "&amp;B640,"Order late — install at risk: "&amp;B640),IF(AD640=1,IF(AB640=1,"Decision overdue: ","Decide: ")&amp;B640,"Order: "&amp;B640&amp;IF(N640="",""," from "&amp;N640))))</f>
        <v/>
      </c>
      <c r="AD640" s="79">
        <f>IF(AND(B640&lt;&gt;"",K640="",U640&lt;&gt;"Yes",X640&lt;&gt;"Yes"),1,0)</f>
        <v/>
      </c>
      <c r="AE640" s="79">
        <f>IF(AND(AD640=1,T640&lt;&gt;""),IF(T640&lt;AsOf,1,0),0)</f>
        <v/>
      </c>
      <c r="AF640" s="79">
        <f>IF(AND(AD640=1,T640&lt;&gt;""),IF(AND(T640&gt;=AsOf,T640&lt;=AsOf+AlertDays),1,0),0)</f>
        <v/>
      </c>
      <c r="AG640" s="79">
        <f>IF(Y640="Order now",1,0)</f>
        <v/>
      </c>
      <c r="AH640" s="79">
        <f>IF(OR(Y640="⚠️ Order late — install at risk",Y640="⚠️ Delivery after install date"),1,0)</f>
        <v/>
      </c>
      <c r="AI640" s="79">
        <f>IF(AND(B640&lt;&gt;"",K640&lt;&gt;"",U640&lt;&gt;"Yes",X640&lt;&gt;"Yes"),1,0)</f>
        <v/>
      </c>
      <c r="AJ640" s="79">
        <f>IF(Y640="⚠️ Order late — install at risk",1,0)</f>
        <v/>
      </c>
    </row>
    <row r="641" ht="20" customHeight="1">
      <c r="B641" s="72" t="n"/>
      <c r="C641" s="72" t="n"/>
      <c r="D641" s="72" t="n"/>
      <c r="E641" s="72" t="n"/>
      <c r="F641" s="73" t="n"/>
      <c r="G641" s="72" t="n"/>
      <c r="H641" s="73" t="n"/>
      <c r="I641" s="72" t="n"/>
      <c r="J641" s="73" t="n"/>
      <c r="K641" s="74" t="n"/>
      <c r="L641" s="75">
        <f>IF(K641="A",F641,IF(K641="B",H641,IF(K641="C",J641,"")))</f>
        <v/>
      </c>
      <c r="M641" s="72" t="n"/>
      <c r="N641" s="72" t="n"/>
      <c r="O641" s="89" t="n"/>
      <c r="P641" s="89" t="n"/>
      <c r="Q641" s="109" t="n"/>
      <c r="R641" s="120">
        <f>IF(B641="","",IF(Q641&lt;&gt;"",Q641,IF(P641="","",IFERROR(INDEX('Timeline'!$J$7:$J$1006,MATCH(P641,'Timeline'!$B$7:$B$1006,0)),""))))</f>
        <v/>
      </c>
      <c r="S641" s="126">
        <f>IF(R641="","",R641-IF(O641="",0,O641)-OrderBuf)</f>
        <v/>
      </c>
      <c r="T641" s="126">
        <f>IF(S641="","",S641-DecideBuf)</f>
        <v/>
      </c>
      <c r="U641" s="74" t="n"/>
      <c r="V641" s="109" t="n"/>
      <c r="W641" s="109" t="n"/>
      <c r="X641" s="74" t="n"/>
      <c r="Y641" s="116">
        <f>IF(B641="","",IF(X641="Yes","Delivered",IF(U641="Yes",IF(AND(W641&lt;&gt;"",R641&lt;&gt;""),IF(W641&gt;R641,"⚠️ Delivery after install date","Ordered"),"Ordered"),IF(K641="",IF(T641="","Waiting for decision",IF(T641&lt;=AsOf+AlertDays,"Decide now","Waiting for decision")),IF(S641="","Selected",IF(AsOf&gt;S641,"⚠️ Order late — install at risk",IF(S641&lt;=AsOf+AlertDays,"Order now","Selected")))))))</f>
        <v/>
      </c>
      <c r="Z641" s="79">
        <f>IF(B641="","",IF(OR(AH641=1,AE641=1),2,IF(OR(AG641=1,AF641=1),1,IF(OR(Y641="Ordered",Y641="Delivered"),0,""))))</f>
        <v/>
      </c>
      <c r="AA641" s="112">
        <f>IF(B641="","",IF(AH641=1,IF(Y641="⚠️ Delivery after install date",R641,S641),IF(AD641=1,T641,IF(AI641=1,S641,""))))</f>
        <v/>
      </c>
      <c r="AB641" s="79">
        <f>IF(AA641="","",IF(AH641=1,1,IF(AA641="","",IF(AA641&lt;AsOf,1,IF(AA641&lt;=AsOf+AlertDays,2,IF(AA641&lt;=AsOf+2*AlertDays,3,""))))))</f>
        <v/>
      </c>
      <c r="AC641" s="79">
        <f>IF(AB641="","",IF(AH641=1,IF(Y641="⚠️ Delivery after install date","Delivery after install date: "&amp;B641,"Order late — install at risk: "&amp;B641),IF(AD641=1,IF(AB641=1,"Decision overdue: ","Decide: ")&amp;B641,"Order: "&amp;B641&amp;IF(N641="",""," from "&amp;N641))))</f>
        <v/>
      </c>
      <c r="AD641" s="79">
        <f>IF(AND(B641&lt;&gt;"",K641="",U641&lt;&gt;"Yes",X641&lt;&gt;"Yes"),1,0)</f>
        <v/>
      </c>
      <c r="AE641" s="79">
        <f>IF(AND(AD641=1,T641&lt;&gt;""),IF(T641&lt;AsOf,1,0),0)</f>
        <v/>
      </c>
      <c r="AF641" s="79">
        <f>IF(AND(AD641=1,T641&lt;&gt;""),IF(AND(T641&gt;=AsOf,T641&lt;=AsOf+AlertDays),1,0),0)</f>
        <v/>
      </c>
      <c r="AG641" s="79">
        <f>IF(Y641="Order now",1,0)</f>
        <v/>
      </c>
      <c r="AH641" s="79">
        <f>IF(OR(Y641="⚠️ Order late — install at risk",Y641="⚠️ Delivery after install date"),1,0)</f>
        <v/>
      </c>
      <c r="AI641" s="79">
        <f>IF(AND(B641&lt;&gt;"",K641&lt;&gt;"",U641&lt;&gt;"Yes",X641&lt;&gt;"Yes"),1,0)</f>
        <v/>
      </c>
      <c r="AJ641" s="79">
        <f>IF(Y641="⚠️ Order late — install at risk",1,0)</f>
        <v/>
      </c>
    </row>
    <row r="642" ht="20" customHeight="1">
      <c r="B642" s="72" t="n"/>
      <c r="C642" s="72" t="n"/>
      <c r="D642" s="72" t="n"/>
      <c r="E642" s="72" t="n"/>
      <c r="F642" s="73" t="n"/>
      <c r="G642" s="72" t="n"/>
      <c r="H642" s="73" t="n"/>
      <c r="I642" s="72" t="n"/>
      <c r="J642" s="73" t="n"/>
      <c r="K642" s="74" t="n"/>
      <c r="L642" s="75">
        <f>IF(K642="A",F642,IF(K642="B",H642,IF(K642="C",J642,"")))</f>
        <v/>
      </c>
      <c r="M642" s="72" t="n"/>
      <c r="N642" s="72" t="n"/>
      <c r="O642" s="89" t="n"/>
      <c r="P642" s="89" t="n"/>
      <c r="Q642" s="109" t="n"/>
      <c r="R642" s="120">
        <f>IF(B642="","",IF(Q642&lt;&gt;"",Q642,IF(P642="","",IFERROR(INDEX('Timeline'!$J$7:$J$1006,MATCH(P642,'Timeline'!$B$7:$B$1006,0)),""))))</f>
        <v/>
      </c>
      <c r="S642" s="126">
        <f>IF(R642="","",R642-IF(O642="",0,O642)-OrderBuf)</f>
        <v/>
      </c>
      <c r="T642" s="126">
        <f>IF(S642="","",S642-DecideBuf)</f>
        <v/>
      </c>
      <c r="U642" s="74" t="n"/>
      <c r="V642" s="109" t="n"/>
      <c r="W642" s="109" t="n"/>
      <c r="X642" s="74" t="n"/>
      <c r="Y642" s="116">
        <f>IF(B642="","",IF(X642="Yes","Delivered",IF(U642="Yes",IF(AND(W642&lt;&gt;"",R642&lt;&gt;""),IF(W642&gt;R642,"⚠️ Delivery after install date","Ordered"),"Ordered"),IF(K642="",IF(T642="","Waiting for decision",IF(T642&lt;=AsOf+AlertDays,"Decide now","Waiting for decision")),IF(S642="","Selected",IF(AsOf&gt;S642,"⚠️ Order late — install at risk",IF(S642&lt;=AsOf+AlertDays,"Order now","Selected")))))))</f>
        <v/>
      </c>
      <c r="Z642" s="79">
        <f>IF(B642="","",IF(OR(AH642=1,AE642=1),2,IF(OR(AG642=1,AF642=1),1,IF(OR(Y642="Ordered",Y642="Delivered"),0,""))))</f>
        <v/>
      </c>
      <c r="AA642" s="112">
        <f>IF(B642="","",IF(AH642=1,IF(Y642="⚠️ Delivery after install date",R642,S642),IF(AD642=1,T642,IF(AI642=1,S642,""))))</f>
        <v/>
      </c>
      <c r="AB642" s="79">
        <f>IF(AA642="","",IF(AH642=1,1,IF(AA642="","",IF(AA642&lt;AsOf,1,IF(AA642&lt;=AsOf+AlertDays,2,IF(AA642&lt;=AsOf+2*AlertDays,3,""))))))</f>
        <v/>
      </c>
      <c r="AC642" s="79">
        <f>IF(AB642="","",IF(AH642=1,IF(Y642="⚠️ Delivery after install date","Delivery after install date: "&amp;B642,"Order late — install at risk: "&amp;B642),IF(AD642=1,IF(AB642=1,"Decision overdue: ","Decide: ")&amp;B642,"Order: "&amp;B642&amp;IF(N642="",""," from "&amp;N642))))</f>
        <v/>
      </c>
      <c r="AD642" s="79">
        <f>IF(AND(B642&lt;&gt;"",K642="",U642&lt;&gt;"Yes",X642&lt;&gt;"Yes"),1,0)</f>
        <v/>
      </c>
      <c r="AE642" s="79">
        <f>IF(AND(AD642=1,T642&lt;&gt;""),IF(T642&lt;AsOf,1,0),0)</f>
        <v/>
      </c>
      <c r="AF642" s="79">
        <f>IF(AND(AD642=1,T642&lt;&gt;""),IF(AND(T642&gt;=AsOf,T642&lt;=AsOf+AlertDays),1,0),0)</f>
        <v/>
      </c>
      <c r="AG642" s="79">
        <f>IF(Y642="Order now",1,0)</f>
        <v/>
      </c>
      <c r="AH642" s="79">
        <f>IF(OR(Y642="⚠️ Order late — install at risk",Y642="⚠️ Delivery after install date"),1,0)</f>
        <v/>
      </c>
      <c r="AI642" s="79">
        <f>IF(AND(B642&lt;&gt;"",K642&lt;&gt;"",U642&lt;&gt;"Yes",X642&lt;&gt;"Yes"),1,0)</f>
        <v/>
      </c>
      <c r="AJ642" s="79">
        <f>IF(Y642="⚠️ Order late — install at risk",1,0)</f>
        <v/>
      </c>
    </row>
    <row r="643" ht="20" customHeight="1">
      <c r="B643" s="72" t="n"/>
      <c r="C643" s="72" t="n"/>
      <c r="D643" s="72" t="n"/>
      <c r="E643" s="72" t="n"/>
      <c r="F643" s="73" t="n"/>
      <c r="G643" s="72" t="n"/>
      <c r="H643" s="73" t="n"/>
      <c r="I643" s="72" t="n"/>
      <c r="J643" s="73" t="n"/>
      <c r="K643" s="74" t="n"/>
      <c r="L643" s="75">
        <f>IF(K643="A",F643,IF(K643="B",H643,IF(K643="C",J643,"")))</f>
        <v/>
      </c>
      <c r="M643" s="72" t="n"/>
      <c r="N643" s="72" t="n"/>
      <c r="O643" s="89" t="n"/>
      <c r="P643" s="89" t="n"/>
      <c r="Q643" s="109" t="n"/>
      <c r="R643" s="120">
        <f>IF(B643="","",IF(Q643&lt;&gt;"",Q643,IF(P643="","",IFERROR(INDEX('Timeline'!$J$7:$J$1006,MATCH(P643,'Timeline'!$B$7:$B$1006,0)),""))))</f>
        <v/>
      </c>
      <c r="S643" s="126">
        <f>IF(R643="","",R643-IF(O643="",0,O643)-OrderBuf)</f>
        <v/>
      </c>
      <c r="T643" s="126">
        <f>IF(S643="","",S643-DecideBuf)</f>
        <v/>
      </c>
      <c r="U643" s="74" t="n"/>
      <c r="V643" s="109" t="n"/>
      <c r="W643" s="109" t="n"/>
      <c r="X643" s="74" t="n"/>
      <c r="Y643" s="116">
        <f>IF(B643="","",IF(X643="Yes","Delivered",IF(U643="Yes",IF(AND(W643&lt;&gt;"",R643&lt;&gt;""),IF(W643&gt;R643,"⚠️ Delivery after install date","Ordered"),"Ordered"),IF(K643="",IF(T643="","Waiting for decision",IF(T643&lt;=AsOf+AlertDays,"Decide now","Waiting for decision")),IF(S643="","Selected",IF(AsOf&gt;S643,"⚠️ Order late — install at risk",IF(S643&lt;=AsOf+AlertDays,"Order now","Selected")))))))</f>
        <v/>
      </c>
      <c r="Z643" s="79">
        <f>IF(B643="","",IF(OR(AH643=1,AE643=1),2,IF(OR(AG643=1,AF643=1),1,IF(OR(Y643="Ordered",Y643="Delivered"),0,""))))</f>
        <v/>
      </c>
      <c r="AA643" s="112">
        <f>IF(B643="","",IF(AH643=1,IF(Y643="⚠️ Delivery after install date",R643,S643),IF(AD643=1,T643,IF(AI643=1,S643,""))))</f>
        <v/>
      </c>
      <c r="AB643" s="79">
        <f>IF(AA643="","",IF(AH643=1,1,IF(AA643="","",IF(AA643&lt;AsOf,1,IF(AA643&lt;=AsOf+AlertDays,2,IF(AA643&lt;=AsOf+2*AlertDays,3,""))))))</f>
        <v/>
      </c>
      <c r="AC643" s="79">
        <f>IF(AB643="","",IF(AH643=1,IF(Y643="⚠️ Delivery after install date","Delivery after install date: "&amp;B643,"Order late — install at risk: "&amp;B643),IF(AD643=1,IF(AB643=1,"Decision overdue: ","Decide: ")&amp;B643,"Order: "&amp;B643&amp;IF(N643="",""," from "&amp;N643))))</f>
        <v/>
      </c>
      <c r="AD643" s="79">
        <f>IF(AND(B643&lt;&gt;"",K643="",U643&lt;&gt;"Yes",X643&lt;&gt;"Yes"),1,0)</f>
        <v/>
      </c>
      <c r="AE643" s="79">
        <f>IF(AND(AD643=1,T643&lt;&gt;""),IF(T643&lt;AsOf,1,0),0)</f>
        <v/>
      </c>
      <c r="AF643" s="79">
        <f>IF(AND(AD643=1,T643&lt;&gt;""),IF(AND(T643&gt;=AsOf,T643&lt;=AsOf+AlertDays),1,0),0)</f>
        <v/>
      </c>
      <c r="AG643" s="79">
        <f>IF(Y643="Order now",1,0)</f>
        <v/>
      </c>
      <c r="AH643" s="79">
        <f>IF(OR(Y643="⚠️ Order late — install at risk",Y643="⚠️ Delivery after install date"),1,0)</f>
        <v/>
      </c>
      <c r="AI643" s="79">
        <f>IF(AND(B643&lt;&gt;"",K643&lt;&gt;"",U643&lt;&gt;"Yes",X643&lt;&gt;"Yes"),1,0)</f>
        <v/>
      </c>
      <c r="AJ643" s="79">
        <f>IF(Y643="⚠️ Order late — install at risk",1,0)</f>
        <v/>
      </c>
    </row>
    <row r="644" ht="20" customHeight="1">
      <c r="B644" s="72" t="n"/>
      <c r="C644" s="72" t="n"/>
      <c r="D644" s="72" t="n"/>
      <c r="E644" s="72" t="n"/>
      <c r="F644" s="73" t="n"/>
      <c r="G644" s="72" t="n"/>
      <c r="H644" s="73" t="n"/>
      <c r="I644" s="72" t="n"/>
      <c r="J644" s="73" t="n"/>
      <c r="K644" s="74" t="n"/>
      <c r="L644" s="75">
        <f>IF(K644="A",F644,IF(K644="B",H644,IF(K644="C",J644,"")))</f>
        <v/>
      </c>
      <c r="M644" s="72" t="n"/>
      <c r="N644" s="72" t="n"/>
      <c r="O644" s="89" t="n"/>
      <c r="P644" s="89" t="n"/>
      <c r="Q644" s="109" t="n"/>
      <c r="R644" s="120">
        <f>IF(B644="","",IF(Q644&lt;&gt;"",Q644,IF(P644="","",IFERROR(INDEX('Timeline'!$J$7:$J$1006,MATCH(P644,'Timeline'!$B$7:$B$1006,0)),""))))</f>
        <v/>
      </c>
      <c r="S644" s="126">
        <f>IF(R644="","",R644-IF(O644="",0,O644)-OrderBuf)</f>
        <v/>
      </c>
      <c r="T644" s="126">
        <f>IF(S644="","",S644-DecideBuf)</f>
        <v/>
      </c>
      <c r="U644" s="74" t="n"/>
      <c r="V644" s="109" t="n"/>
      <c r="W644" s="109" t="n"/>
      <c r="X644" s="74" t="n"/>
      <c r="Y644" s="116">
        <f>IF(B644="","",IF(X644="Yes","Delivered",IF(U644="Yes",IF(AND(W644&lt;&gt;"",R644&lt;&gt;""),IF(W644&gt;R644,"⚠️ Delivery after install date","Ordered"),"Ordered"),IF(K644="",IF(T644="","Waiting for decision",IF(T644&lt;=AsOf+AlertDays,"Decide now","Waiting for decision")),IF(S644="","Selected",IF(AsOf&gt;S644,"⚠️ Order late — install at risk",IF(S644&lt;=AsOf+AlertDays,"Order now","Selected")))))))</f>
        <v/>
      </c>
      <c r="Z644" s="79">
        <f>IF(B644="","",IF(OR(AH644=1,AE644=1),2,IF(OR(AG644=1,AF644=1),1,IF(OR(Y644="Ordered",Y644="Delivered"),0,""))))</f>
        <v/>
      </c>
      <c r="AA644" s="112">
        <f>IF(B644="","",IF(AH644=1,IF(Y644="⚠️ Delivery after install date",R644,S644),IF(AD644=1,T644,IF(AI644=1,S644,""))))</f>
        <v/>
      </c>
      <c r="AB644" s="79">
        <f>IF(AA644="","",IF(AH644=1,1,IF(AA644="","",IF(AA644&lt;AsOf,1,IF(AA644&lt;=AsOf+AlertDays,2,IF(AA644&lt;=AsOf+2*AlertDays,3,""))))))</f>
        <v/>
      </c>
      <c r="AC644" s="79">
        <f>IF(AB644="","",IF(AH644=1,IF(Y644="⚠️ Delivery after install date","Delivery after install date: "&amp;B644,"Order late — install at risk: "&amp;B644),IF(AD644=1,IF(AB644=1,"Decision overdue: ","Decide: ")&amp;B644,"Order: "&amp;B644&amp;IF(N644="",""," from "&amp;N644))))</f>
        <v/>
      </c>
      <c r="AD644" s="79">
        <f>IF(AND(B644&lt;&gt;"",K644="",U644&lt;&gt;"Yes",X644&lt;&gt;"Yes"),1,0)</f>
        <v/>
      </c>
      <c r="AE644" s="79">
        <f>IF(AND(AD644=1,T644&lt;&gt;""),IF(T644&lt;AsOf,1,0),0)</f>
        <v/>
      </c>
      <c r="AF644" s="79">
        <f>IF(AND(AD644=1,T644&lt;&gt;""),IF(AND(T644&gt;=AsOf,T644&lt;=AsOf+AlertDays),1,0),0)</f>
        <v/>
      </c>
      <c r="AG644" s="79">
        <f>IF(Y644="Order now",1,0)</f>
        <v/>
      </c>
      <c r="AH644" s="79">
        <f>IF(OR(Y644="⚠️ Order late — install at risk",Y644="⚠️ Delivery after install date"),1,0)</f>
        <v/>
      </c>
      <c r="AI644" s="79">
        <f>IF(AND(B644&lt;&gt;"",K644&lt;&gt;"",U644&lt;&gt;"Yes",X644&lt;&gt;"Yes"),1,0)</f>
        <v/>
      </c>
      <c r="AJ644" s="79">
        <f>IF(Y644="⚠️ Order late — install at risk",1,0)</f>
        <v/>
      </c>
    </row>
    <row r="645" ht="20" customHeight="1">
      <c r="B645" s="72" t="n"/>
      <c r="C645" s="72" t="n"/>
      <c r="D645" s="72" t="n"/>
      <c r="E645" s="72" t="n"/>
      <c r="F645" s="73" t="n"/>
      <c r="G645" s="72" t="n"/>
      <c r="H645" s="73" t="n"/>
      <c r="I645" s="72" t="n"/>
      <c r="J645" s="73" t="n"/>
      <c r="K645" s="74" t="n"/>
      <c r="L645" s="75">
        <f>IF(K645="A",F645,IF(K645="B",H645,IF(K645="C",J645,"")))</f>
        <v/>
      </c>
      <c r="M645" s="72" t="n"/>
      <c r="N645" s="72" t="n"/>
      <c r="O645" s="89" t="n"/>
      <c r="P645" s="89" t="n"/>
      <c r="Q645" s="109" t="n"/>
      <c r="R645" s="120">
        <f>IF(B645="","",IF(Q645&lt;&gt;"",Q645,IF(P645="","",IFERROR(INDEX('Timeline'!$J$7:$J$1006,MATCH(P645,'Timeline'!$B$7:$B$1006,0)),""))))</f>
        <v/>
      </c>
      <c r="S645" s="126">
        <f>IF(R645="","",R645-IF(O645="",0,O645)-OrderBuf)</f>
        <v/>
      </c>
      <c r="T645" s="126">
        <f>IF(S645="","",S645-DecideBuf)</f>
        <v/>
      </c>
      <c r="U645" s="74" t="n"/>
      <c r="V645" s="109" t="n"/>
      <c r="W645" s="109" t="n"/>
      <c r="X645" s="74" t="n"/>
      <c r="Y645" s="116">
        <f>IF(B645="","",IF(X645="Yes","Delivered",IF(U645="Yes",IF(AND(W645&lt;&gt;"",R645&lt;&gt;""),IF(W645&gt;R645,"⚠️ Delivery after install date","Ordered"),"Ordered"),IF(K645="",IF(T645="","Waiting for decision",IF(T645&lt;=AsOf+AlertDays,"Decide now","Waiting for decision")),IF(S645="","Selected",IF(AsOf&gt;S645,"⚠️ Order late — install at risk",IF(S645&lt;=AsOf+AlertDays,"Order now","Selected")))))))</f>
        <v/>
      </c>
      <c r="Z645" s="79">
        <f>IF(B645="","",IF(OR(AH645=1,AE645=1),2,IF(OR(AG645=1,AF645=1),1,IF(OR(Y645="Ordered",Y645="Delivered"),0,""))))</f>
        <v/>
      </c>
      <c r="AA645" s="112">
        <f>IF(B645="","",IF(AH645=1,IF(Y645="⚠️ Delivery after install date",R645,S645),IF(AD645=1,T645,IF(AI645=1,S645,""))))</f>
        <v/>
      </c>
      <c r="AB645" s="79">
        <f>IF(AA645="","",IF(AH645=1,1,IF(AA645="","",IF(AA645&lt;AsOf,1,IF(AA645&lt;=AsOf+AlertDays,2,IF(AA645&lt;=AsOf+2*AlertDays,3,""))))))</f>
        <v/>
      </c>
      <c r="AC645" s="79">
        <f>IF(AB645="","",IF(AH645=1,IF(Y645="⚠️ Delivery after install date","Delivery after install date: "&amp;B645,"Order late — install at risk: "&amp;B645),IF(AD645=1,IF(AB645=1,"Decision overdue: ","Decide: ")&amp;B645,"Order: "&amp;B645&amp;IF(N645="",""," from "&amp;N645))))</f>
        <v/>
      </c>
      <c r="AD645" s="79">
        <f>IF(AND(B645&lt;&gt;"",K645="",U645&lt;&gt;"Yes",X645&lt;&gt;"Yes"),1,0)</f>
        <v/>
      </c>
      <c r="AE645" s="79">
        <f>IF(AND(AD645=1,T645&lt;&gt;""),IF(T645&lt;AsOf,1,0),0)</f>
        <v/>
      </c>
      <c r="AF645" s="79">
        <f>IF(AND(AD645=1,T645&lt;&gt;""),IF(AND(T645&gt;=AsOf,T645&lt;=AsOf+AlertDays),1,0),0)</f>
        <v/>
      </c>
      <c r="AG645" s="79">
        <f>IF(Y645="Order now",1,0)</f>
        <v/>
      </c>
      <c r="AH645" s="79">
        <f>IF(OR(Y645="⚠️ Order late — install at risk",Y645="⚠️ Delivery after install date"),1,0)</f>
        <v/>
      </c>
      <c r="AI645" s="79">
        <f>IF(AND(B645&lt;&gt;"",K645&lt;&gt;"",U645&lt;&gt;"Yes",X645&lt;&gt;"Yes"),1,0)</f>
        <v/>
      </c>
      <c r="AJ645" s="79">
        <f>IF(Y645="⚠️ Order late — install at risk",1,0)</f>
        <v/>
      </c>
    </row>
    <row r="646" ht="20" customHeight="1">
      <c r="B646" s="72" t="n"/>
      <c r="C646" s="72" t="n"/>
      <c r="D646" s="72" t="n"/>
      <c r="E646" s="72" t="n"/>
      <c r="F646" s="73" t="n"/>
      <c r="G646" s="72" t="n"/>
      <c r="H646" s="73" t="n"/>
      <c r="I646" s="72" t="n"/>
      <c r="J646" s="73" t="n"/>
      <c r="K646" s="74" t="n"/>
      <c r="L646" s="75">
        <f>IF(K646="A",F646,IF(K646="B",H646,IF(K646="C",J646,"")))</f>
        <v/>
      </c>
      <c r="M646" s="72" t="n"/>
      <c r="N646" s="72" t="n"/>
      <c r="O646" s="89" t="n"/>
      <c r="P646" s="89" t="n"/>
      <c r="Q646" s="109" t="n"/>
      <c r="R646" s="120">
        <f>IF(B646="","",IF(Q646&lt;&gt;"",Q646,IF(P646="","",IFERROR(INDEX('Timeline'!$J$7:$J$1006,MATCH(P646,'Timeline'!$B$7:$B$1006,0)),""))))</f>
        <v/>
      </c>
      <c r="S646" s="126">
        <f>IF(R646="","",R646-IF(O646="",0,O646)-OrderBuf)</f>
        <v/>
      </c>
      <c r="T646" s="126">
        <f>IF(S646="","",S646-DecideBuf)</f>
        <v/>
      </c>
      <c r="U646" s="74" t="n"/>
      <c r="V646" s="109" t="n"/>
      <c r="W646" s="109" t="n"/>
      <c r="X646" s="74" t="n"/>
      <c r="Y646" s="116">
        <f>IF(B646="","",IF(X646="Yes","Delivered",IF(U646="Yes",IF(AND(W646&lt;&gt;"",R646&lt;&gt;""),IF(W646&gt;R646,"⚠️ Delivery after install date","Ordered"),"Ordered"),IF(K646="",IF(T646="","Waiting for decision",IF(T646&lt;=AsOf+AlertDays,"Decide now","Waiting for decision")),IF(S646="","Selected",IF(AsOf&gt;S646,"⚠️ Order late — install at risk",IF(S646&lt;=AsOf+AlertDays,"Order now","Selected")))))))</f>
        <v/>
      </c>
      <c r="Z646" s="79">
        <f>IF(B646="","",IF(OR(AH646=1,AE646=1),2,IF(OR(AG646=1,AF646=1),1,IF(OR(Y646="Ordered",Y646="Delivered"),0,""))))</f>
        <v/>
      </c>
      <c r="AA646" s="112">
        <f>IF(B646="","",IF(AH646=1,IF(Y646="⚠️ Delivery after install date",R646,S646),IF(AD646=1,T646,IF(AI646=1,S646,""))))</f>
        <v/>
      </c>
      <c r="AB646" s="79">
        <f>IF(AA646="","",IF(AH646=1,1,IF(AA646="","",IF(AA646&lt;AsOf,1,IF(AA646&lt;=AsOf+AlertDays,2,IF(AA646&lt;=AsOf+2*AlertDays,3,""))))))</f>
        <v/>
      </c>
      <c r="AC646" s="79">
        <f>IF(AB646="","",IF(AH646=1,IF(Y646="⚠️ Delivery after install date","Delivery after install date: "&amp;B646,"Order late — install at risk: "&amp;B646),IF(AD646=1,IF(AB646=1,"Decision overdue: ","Decide: ")&amp;B646,"Order: "&amp;B646&amp;IF(N646="",""," from "&amp;N646))))</f>
        <v/>
      </c>
      <c r="AD646" s="79">
        <f>IF(AND(B646&lt;&gt;"",K646="",U646&lt;&gt;"Yes",X646&lt;&gt;"Yes"),1,0)</f>
        <v/>
      </c>
      <c r="AE646" s="79">
        <f>IF(AND(AD646=1,T646&lt;&gt;""),IF(T646&lt;AsOf,1,0),0)</f>
        <v/>
      </c>
      <c r="AF646" s="79">
        <f>IF(AND(AD646=1,T646&lt;&gt;""),IF(AND(T646&gt;=AsOf,T646&lt;=AsOf+AlertDays),1,0),0)</f>
        <v/>
      </c>
      <c r="AG646" s="79">
        <f>IF(Y646="Order now",1,0)</f>
        <v/>
      </c>
      <c r="AH646" s="79">
        <f>IF(OR(Y646="⚠️ Order late — install at risk",Y646="⚠️ Delivery after install date"),1,0)</f>
        <v/>
      </c>
      <c r="AI646" s="79">
        <f>IF(AND(B646&lt;&gt;"",K646&lt;&gt;"",U646&lt;&gt;"Yes",X646&lt;&gt;"Yes"),1,0)</f>
        <v/>
      </c>
      <c r="AJ646" s="79">
        <f>IF(Y646="⚠️ Order late — install at risk",1,0)</f>
        <v/>
      </c>
    </row>
    <row r="647" ht="20" customHeight="1">
      <c r="B647" s="72" t="n"/>
      <c r="C647" s="72" t="n"/>
      <c r="D647" s="72" t="n"/>
      <c r="E647" s="72" t="n"/>
      <c r="F647" s="73" t="n"/>
      <c r="G647" s="72" t="n"/>
      <c r="H647" s="73" t="n"/>
      <c r="I647" s="72" t="n"/>
      <c r="J647" s="73" t="n"/>
      <c r="K647" s="74" t="n"/>
      <c r="L647" s="75">
        <f>IF(K647="A",F647,IF(K647="B",H647,IF(K647="C",J647,"")))</f>
        <v/>
      </c>
      <c r="M647" s="72" t="n"/>
      <c r="N647" s="72" t="n"/>
      <c r="O647" s="89" t="n"/>
      <c r="P647" s="89" t="n"/>
      <c r="Q647" s="109" t="n"/>
      <c r="R647" s="120">
        <f>IF(B647="","",IF(Q647&lt;&gt;"",Q647,IF(P647="","",IFERROR(INDEX('Timeline'!$J$7:$J$1006,MATCH(P647,'Timeline'!$B$7:$B$1006,0)),""))))</f>
        <v/>
      </c>
      <c r="S647" s="126">
        <f>IF(R647="","",R647-IF(O647="",0,O647)-OrderBuf)</f>
        <v/>
      </c>
      <c r="T647" s="126">
        <f>IF(S647="","",S647-DecideBuf)</f>
        <v/>
      </c>
      <c r="U647" s="74" t="n"/>
      <c r="V647" s="109" t="n"/>
      <c r="W647" s="109" t="n"/>
      <c r="X647" s="74" t="n"/>
      <c r="Y647" s="116">
        <f>IF(B647="","",IF(X647="Yes","Delivered",IF(U647="Yes",IF(AND(W647&lt;&gt;"",R647&lt;&gt;""),IF(W647&gt;R647,"⚠️ Delivery after install date","Ordered"),"Ordered"),IF(K647="",IF(T647="","Waiting for decision",IF(T647&lt;=AsOf+AlertDays,"Decide now","Waiting for decision")),IF(S647="","Selected",IF(AsOf&gt;S647,"⚠️ Order late — install at risk",IF(S647&lt;=AsOf+AlertDays,"Order now","Selected")))))))</f>
        <v/>
      </c>
      <c r="Z647" s="79">
        <f>IF(B647="","",IF(OR(AH647=1,AE647=1),2,IF(OR(AG647=1,AF647=1),1,IF(OR(Y647="Ordered",Y647="Delivered"),0,""))))</f>
        <v/>
      </c>
      <c r="AA647" s="112">
        <f>IF(B647="","",IF(AH647=1,IF(Y647="⚠️ Delivery after install date",R647,S647),IF(AD647=1,T647,IF(AI647=1,S647,""))))</f>
        <v/>
      </c>
      <c r="AB647" s="79">
        <f>IF(AA647="","",IF(AH647=1,1,IF(AA647="","",IF(AA647&lt;AsOf,1,IF(AA647&lt;=AsOf+AlertDays,2,IF(AA647&lt;=AsOf+2*AlertDays,3,""))))))</f>
        <v/>
      </c>
      <c r="AC647" s="79">
        <f>IF(AB647="","",IF(AH647=1,IF(Y647="⚠️ Delivery after install date","Delivery after install date: "&amp;B647,"Order late — install at risk: "&amp;B647),IF(AD647=1,IF(AB647=1,"Decision overdue: ","Decide: ")&amp;B647,"Order: "&amp;B647&amp;IF(N647="",""," from "&amp;N647))))</f>
        <v/>
      </c>
      <c r="AD647" s="79">
        <f>IF(AND(B647&lt;&gt;"",K647="",U647&lt;&gt;"Yes",X647&lt;&gt;"Yes"),1,0)</f>
        <v/>
      </c>
      <c r="AE647" s="79">
        <f>IF(AND(AD647=1,T647&lt;&gt;""),IF(T647&lt;AsOf,1,0),0)</f>
        <v/>
      </c>
      <c r="AF647" s="79">
        <f>IF(AND(AD647=1,T647&lt;&gt;""),IF(AND(T647&gt;=AsOf,T647&lt;=AsOf+AlertDays),1,0),0)</f>
        <v/>
      </c>
      <c r="AG647" s="79">
        <f>IF(Y647="Order now",1,0)</f>
        <v/>
      </c>
      <c r="AH647" s="79">
        <f>IF(OR(Y647="⚠️ Order late — install at risk",Y647="⚠️ Delivery after install date"),1,0)</f>
        <v/>
      </c>
      <c r="AI647" s="79">
        <f>IF(AND(B647&lt;&gt;"",K647&lt;&gt;"",U647&lt;&gt;"Yes",X647&lt;&gt;"Yes"),1,0)</f>
        <v/>
      </c>
      <c r="AJ647" s="79">
        <f>IF(Y647="⚠️ Order late — install at risk",1,0)</f>
        <v/>
      </c>
    </row>
    <row r="648" ht="20" customHeight="1">
      <c r="B648" s="72" t="n"/>
      <c r="C648" s="72" t="n"/>
      <c r="D648" s="72" t="n"/>
      <c r="E648" s="72" t="n"/>
      <c r="F648" s="73" t="n"/>
      <c r="G648" s="72" t="n"/>
      <c r="H648" s="73" t="n"/>
      <c r="I648" s="72" t="n"/>
      <c r="J648" s="73" t="n"/>
      <c r="K648" s="74" t="n"/>
      <c r="L648" s="75">
        <f>IF(K648="A",F648,IF(K648="B",H648,IF(K648="C",J648,"")))</f>
        <v/>
      </c>
      <c r="M648" s="72" t="n"/>
      <c r="N648" s="72" t="n"/>
      <c r="O648" s="89" t="n"/>
      <c r="P648" s="89" t="n"/>
      <c r="Q648" s="109" t="n"/>
      <c r="R648" s="120">
        <f>IF(B648="","",IF(Q648&lt;&gt;"",Q648,IF(P648="","",IFERROR(INDEX('Timeline'!$J$7:$J$1006,MATCH(P648,'Timeline'!$B$7:$B$1006,0)),""))))</f>
        <v/>
      </c>
      <c r="S648" s="126">
        <f>IF(R648="","",R648-IF(O648="",0,O648)-OrderBuf)</f>
        <v/>
      </c>
      <c r="T648" s="126">
        <f>IF(S648="","",S648-DecideBuf)</f>
        <v/>
      </c>
      <c r="U648" s="74" t="n"/>
      <c r="V648" s="109" t="n"/>
      <c r="W648" s="109" t="n"/>
      <c r="X648" s="74" t="n"/>
      <c r="Y648" s="116">
        <f>IF(B648="","",IF(X648="Yes","Delivered",IF(U648="Yes",IF(AND(W648&lt;&gt;"",R648&lt;&gt;""),IF(W648&gt;R648,"⚠️ Delivery after install date","Ordered"),"Ordered"),IF(K648="",IF(T648="","Waiting for decision",IF(T648&lt;=AsOf+AlertDays,"Decide now","Waiting for decision")),IF(S648="","Selected",IF(AsOf&gt;S648,"⚠️ Order late — install at risk",IF(S648&lt;=AsOf+AlertDays,"Order now","Selected")))))))</f>
        <v/>
      </c>
      <c r="Z648" s="79">
        <f>IF(B648="","",IF(OR(AH648=1,AE648=1),2,IF(OR(AG648=1,AF648=1),1,IF(OR(Y648="Ordered",Y648="Delivered"),0,""))))</f>
        <v/>
      </c>
      <c r="AA648" s="112">
        <f>IF(B648="","",IF(AH648=1,IF(Y648="⚠️ Delivery after install date",R648,S648),IF(AD648=1,T648,IF(AI648=1,S648,""))))</f>
        <v/>
      </c>
      <c r="AB648" s="79">
        <f>IF(AA648="","",IF(AH648=1,1,IF(AA648="","",IF(AA648&lt;AsOf,1,IF(AA648&lt;=AsOf+AlertDays,2,IF(AA648&lt;=AsOf+2*AlertDays,3,""))))))</f>
        <v/>
      </c>
      <c r="AC648" s="79">
        <f>IF(AB648="","",IF(AH648=1,IF(Y648="⚠️ Delivery after install date","Delivery after install date: "&amp;B648,"Order late — install at risk: "&amp;B648),IF(AD648=1,IF(AB648=1,"Decision overdue: ","Decide: ")&amp;B648,"Order: "&amp;B648&amp;IF(N648="",""," from "&amp;N648))))</f>
        <v/>
      </c>
      <c r="AD648" s="79">
        <f>IF(AND(B648&lt;&gt;"",K648="",U648&lt;&gt;"Yes",X648&lt;&gt;"Yes"),1,0)</f>
        <v/>
      </c>
      <c r="AE648" s="79">
        <f>IF(AND(AD648=1,T648&lt;&gt;""),IF(T648&lt;AsOf,1,0),0)</f>
        <v/>
      </c>
      <c r="AF648" s="79">
        <f>IF(AND(AD648=1,T648&lt;&gt;""),IF(AND(T648&gt;=AsOf,T648&lt;=AsOf+AlertDays),1,0),0)</f>
        <v/>
      </c>
      <c r="AG648" s="79">
        <f>IF(Y648="Order now",1,0)</f>
        <v/>
      </c>
      <c r="AH648" s="79">
        <f>IF(OR(Y648="⚠️ Order late — install at risk",Y648="⚠️ Delivery after install date"),1,0)</f>
        <v/>
      </c>
      <c r="AI648" s="79">
        <f>IF(AND(B648&lt;&gt;"",K648&lt;&gt;"",U648&lt;&gt;"Yes",X648&lt;&gt;"Yes"),1,0)</f>
        <v/>
      </c>
      <c r="AJ648" s="79">
        <f>IF(Y648="⚠️ Order late — install at risk",1,0)</f>
        <v/>
      </c>
    </row>
    <row r="649" ht="20" customHeight="1">
      <c r="B649" s="72" t="n"/>
      <c r="C649" s="72" t="n"/>
      <c r="D649" s="72" t="n"/>
      <c r="E649" s="72" t="n"/>
      <c r="F649" s="73" t="n"/>
      <c r="G649" s="72" t="n"/>
      <c r="H649" s="73" t="n"/>
      <c r="I649" s="72" t="n"/>
      <c r="J649" s="73" t="n"/>
      <c r="K649" s="74" t="n"/>
      <c r="L649" s="75">
        <f>IF(K649="A",F649,IF(K649="B",H649,IF(K649="C",J649,"")))</f>
        <v/>
      </c>
      <c r="M649" s="72" t="n"/>
      <c r="N649" s="72" t="n"/>
      <c r="O649" s="89" t="n"/>
      <c r="P649" s="89" t="n"/>
      <c r="Q649" s="109" t="n"/>
      <c r="R649" s="120">
        <f>IF(B649="","",IF(Q649&lt;&gt;"",Q649,IF(P649="","",IFERROR(INDEX('Timeline'!$J$7:$J$1006,MATCH(P649,'Timeline'!$B$7:$B$1006,0)),""))))</f>
        <v/>
      </c>
      <c r="S649" s="126">
        <f>IF(R649="","",R649-IF(O649="",0,O649)-OrderBuf)</f>
        <v/>
      </c>
      <c r="T649" s="126">
        <f>IF(S649="","",S649-DecideBuf)</f>
        <v/>
      </c>
      <c r="U649" s="74" t="n"/>
      <c r="V649" s="109" t="n"/>
      <c r="W649" s="109" t="n"/>
      <c r="X649" s="74" t="n"/>
      <c r="Y649" s="116">
        <f>IF(B649="","",IF(X649="Yes","Delivered",IF(U649="Yes",IF(AND(W649&lt;&gt;"",R649&lt;&gt;""),IF(W649&gt;R649,"⚠️ Delivery after install date","Ordered"),"Ordered"),IF(K649="",IF(T649="","Waiting for decision",IF(T649&lt;=AsOf+AlertDays,"Decide now","Waiting for decision")),IF(S649="","Selected",IF(AsOf&gt;S649,"⚠️ Order late — install at risk",IF(S649&lt;=AsOf+AlertDays,"Order now","Selected")))))))</f>
        <v/>
      </c>
      <c r="Z649" s="79">
        <f>IF(B649="","",IF(OR(AH649=1,AE649=1),2,IF(OR(AG649=1,AF649=1),1,IF(OR(Y649="Ordered",Y649="Delivered"),0,""))))</f>
        <v/>
      </c>
      <c r="AA649" s="112">
        <f>IF(B649="","",IF(AH649=1,IF(Y649="⚠️ Delivery after install date",R649,S649),IF(AD649=1,T649,IF(AI649=1,S649,""))))</f>
        <v/>
      </c>
      <c r="AB649" s="79">
        <f>IF(AA649="","",IF(AH649=1,1,IF(AA649="","",IF(AA649&lt;AsOf,1,IF(AA649&lt;=AsOf+AlertDays,2,IF(AA649&lt;=AsOf+2*AlertDays,3,""))))))</f>
        <v/>
      </c>
      <c r="AC649" s="79">
        <f>IF(AB649="","",IF(AH649=1,IF(Y649="⚠️ Delivery after install date","Delivery after install date: "&amp;B649,"Order late — install at risk: "&amp;B649),IF(AD649=1,IF(AB649=1,"Decision overdue: ","Decide: ")&amp;B649,"Order: "&amp;B649&amp;IF(N649="",""," from "&amp;N649))))</f>
        <v/>
      </c>
      <c r="AD649" s="79">
        <f>IF(AND(B649&lt;&gt;"",K649="",U649&lt;&gt;"Yes",X649&lt;&gt;"Yes"),1,0)</f>
        <v/>
      </c>
      <c r="AE649" s="79">
        <f>IF(AND(AD649=1,T649&lt;&gt;""),IF(T649&lt;AsOf,1,0),0)</f>
        <v/>
      </c>
      <c r="AF649" s="79">
        <f>IF(AND(AD649=1,T649&lt;&gt;""),IF(AND(T649&gt;=AsOf,T649&lt;=AsOf+AlertDays),1,0),0)</f>
        <v/>
      </c>
      <c r="AG649" s="79">
        <f>IF(Y649="Order now",1,0)</f>
        <v/>
      </c>
      <c r="AH649" s="79">
        <f>IF(OR(Y649="⚠️ Order late — install at risk",Y649="⚠️ Delivery after install date"),1,0)</f>
        <v/>
      </c>
      <c r="AI649" s="79">
        <f>IF(AND(B649&lt;&gt;"",K649&lt;&gt;"",U649&lt;&gt;"Yes",X649&lt;&gt;"Yes"),1,0)</f>
        <v/>
      </c>
      <c r="AJ649" s="79">
        <f>IF(Y649="⚠️ Order late — install at risk",1,0)</f>
        <v/>
      </c>
    </row>
    <row r="650" ht="20" customHeight="1">
      <c r="B650" s="72" t="n"/>
      <c r="C650" s="72" t="n"/>
      <c r="D650" s="72" t="n"/>
      <c r="E650" s="72" t="n"/>
      <c r="F650" s="73" t="n"/>
      <c r="G650" s="72" t="n"/>
      <c r="H650" s="73" t="n"/>
      <c r="I650" s="72" t="n"/>
      <c r="J650" s="73" t="n"/>
      <c r="K650" s="74" t="n"/>
      <c r="L650" s="75">
        <f>IF(K650="A",F650,IF(K650="B",H650,IF(K650="C",J650,"")))</f>
        <v/>
      </c>
      <c r="M650" s="72" t="n"/>
      <c r="N650" s="72" t="n"/>
      <c r="O650" s="89" t="n"/>
      <c r="P650" s="89" t="n"/>
      <c r="Q650" s="109" t="n"/>
      <c r="R650" s="120">
        <f>IF(B650="","",IF(Q650&lt;&gt;"",Q650,IF(P650="","",IFERROR(INDEX('Timeline'!$J$7:$J$1006,MATCH(P650,'Timeline'!$B$7:$B$1006,0)),""))))</f>
        <v/>
      </c>
      <c r="S650" s="126">
        <f>IF(R650="","",R650-IF(O650="",0,O650)-OrderBuf)</f>
        <v/>
      </c>
      <c r="T650" s="126">
        <f>IF(S650="","",S650-DecideBuf)</f>
        <v/>
      </c>
      <c r="U650" s="74" t="n"/>
      <c r="V650" s="109" t="n"/>
      <c r="W650" s="109" t="n"/>
      <c r="X650" s="74" t="n"/>
      <c r="Y650" s="116">
        <f>IF(B650="","",IF(X650="Yes","Delivered",IF(U650="Yes",IF(AND(W650&lt;&gt;"",R650&lt;&gt;""),IF(W650&gt;R650,"⚠️ Delivery after install date","Ordered"),"Ordered"),IF(K650="",IF(T650="","Waiting for decision",IF(T650&lt;=AsOf+AlertDays,"Decide now","Waiting for decision")),IF(S650="","Selected",IF(AsOf&gt;S650,"⚠️ Order late — install at risk",IF(S650&lt;=AsOf+AlertDays,"Order now","Selected")))))))</f>
        <v/>
      </c>
      <c r="Z650" s="79">
        <f>IF(B650="","",IF(OR(AH650=1,AE650=1),2,IF(OR(AG650=1,AF650=1),1,IF(OR(Y650="Ordered",Y650="Delivered"),0,""))))</f>
        <v/>
      </c>
      <c r="AA650" s="112">
        <f>IF(B650="","",IF(AH650=1,IF(Y650="⚠️ Delivery after install date",R650,S650),IF(AD650=1,T650,IF(AI650=1,S650,""))))</f>
        <v/>
      </c>
      <c r="AB650" s="79">
        <f>IF(AA650="","",IF(AH650=1,1,IF(AA650="","",IF(AA650&lt;AsOf,1,IF(AA650&lt;=AsOf+AlertDays,2,IF(AA650&lt;=AsOf+2*AlertDays,3,""))))))</f>
        <v/>
      </c>
      <c r="AC650" s="79">
        <f>IF(AB650="","",IF(AH650=1,IF(Y650="⚠️ Delivery after install date","Delivery after install date: "&amp;B650,"Order late — install at risk: "&amp;B650),IF(AD650=1,IF(AB650=1,"Decision overdue: ","Decide: ")&amp;B650,"Order: "&amp;B650&amp;IF(N650="",""," from "&amp;N650))))</f>
        <v/>
      </c>
      <c r="AD650" s="79">
        <f>IF(AND(B650&lt;&gt;"",K650="",U650&lt;&gt;"Yes",X650&lt;&gt;"Yes"),1,0)</f>
        <v/>
      </c>
      <c r="AE650" s="79">
        <f>IF(AND(AD650=1,T650&lt;&gt;""),IF(T650&lt;AsOf,1,0),0)</f>
        <v/>
      </c>
      <c r="AF650" s="79">
        <f>IF(AND(AD650=1,T650&lt;&gt;""),IF(AND(T650&gt;=AsOf,T650&lt;=AsOf+AlertDays),1,0),0)</f>
        <v/>
      </c>
      <c r="AG650" s="79">
        <f>IF(Y650="Order now",1,0)</f>
        <v/>
      </c>
      <c r="AH650" s="79">
        <f>IF(OR(Y650="⚠️ Order late — install at risk",Y650="⚠️ Delivery after install date"),1,0)</f>
        <v/>
      </c>
      <c r="AI650" s="79">
        <f>IF(AND(B650&lt;&gt;"",K650&lt;&gt;"",U650&lt;&gt;"Yes",X650&lt;&gt;"Yes"),1,0)</f>
        <v/>
      </c>
      <c r="AJ650" s="79">
        <f>IF(Y650="⚠️ Order late — install at risk",1,0)</f>
        <v/>
      </c>
    </row>
    <row r="651" ht="20" customHeight="1">
      <c r="B651" s="72" t="n"/>
      <c r="C651" s="72" t="n"/>
      <c r="D651" s="72" t="n"/>
      <c r="E651" s="72" t="n"/>
      <c r="F651" s="73" t="n"/>
      <c r="G651" s="72" t="n"/>
      <c r="H651" s="73" t="n"/>
      <c r="I651" s="72" t="n"/>
      <c r="J651" s="73" t="n"/>
      <c r="K651" s="74" t="n"/>
      <c r="L651" s="75">
        <f>IF(K651="A",F651,IF(K651="B",H651,IF(K651="C",J651,"")))</f>
        <v/>
      </c>
      <c r="M651" s="72" t="n"/>
      <c r="N651" s="72" t="n"/>
      <c r="O651" s="89" t="n"/>
      <c r="P651" s="89" t="n"/>
      <c r="Q651" s="109" t="n"/>
      <c r="R651" s="120">
        <f>IF(B651="","",IF(Q651&lt;&gt;"",Q651,IF(P651="","",IFERROR(INDEX('Timeline'!$J$7:$J$1006,MATCH(P651,'Timeline'!$B$7:$B$1006,0)),""))))</f>
        <v/>
      </c>
      <c r="S651" s="126">
        <f>IF(R651="","",R651-IF(O651="",0,O651)-OrderBuf)</f>
        <v/>
      </c>
      <c r="T651" s="126">
        <f>IF(S651="","",S651-DecideBuf)</f>
        <v/>
      </c>
      <c r="U651" s="74" t="n"/>
      <c r="V651" s="109" t="n"/>
      <c r="W651" s="109" t="n"/>
      <c r="X651" s="74" t="n"/>
      <c r="Y651" s="116">
        <f>IF(B651="","",IF(X651="Yes","Delivered",IF(U651="Yes",IF(AND(W651&lt;&gt;"",R651&lt;&gt;""),IF(W651&gt;R651,"⚠️ Delivery after install date","Ordered"),"Ordered"),IF(K651="",IF(T651="","Waiting for decision",IF(T651&lt;=AsOf+AlertDays,"Decide now","Waiting for decision")),IF(S651="","Selected",IF(AsOf&gt;S651,"⚠️ Order late — install at risk",IF(S651&lt;=AsOf+AlertDays,"Order now","Selected")))))))</f>
        <v/>
      </c>
      <c r="Z651" s="79">
        <f>IF(B651="","",IF(OR(AH651=1,AE651=1),2,IF(OR(AG651=1,AF651=1),1,IF(OR(Y651="Ordered",Y651="Delivered"),0,""))))</f>
        <v/>
      </c>
      <c r="AA651" s="112">
        <f>IF(B651="","",IF(AH651=1,IF(Y651="⚠️ Delivery after install date",R651,S651),IF(AD651=1,T651,IF(AI651=1,S651,""))))</f>
        <v/>
      </c>
      <c r="AB651" s="79">
        <f>IF(AA651="","",IF(AH651=1,1,IF(AA651="","",IF(AA651&lt;AsOf,1,IF(AA651&lt;=AsOf+AlertDays,2,IF(AA651&lt;=AsOf+2*AlertDays,3,""))))))</f>
        <v/>
      </c>
      <c r="AC651" s="79">
        <f>IF(AB651="","",IF(AH651=1,IF(Y651="⚠️ Delivery after install date","Delivery after install date: "&amp;B651,"Order late — install at risk: "&amp;B651),IF(AD651=1,IF(AB651=1,"Decision overdue: ","Decide: ")&amp;B651,"Order: "&amp;B651&amp;IF(N651="",""," from "&amp;N651))))</f>
        <v/>
      </c>
      <c r="AD651" s="79">
        <f>IF(AND(B651&lt;&gt;"",K651="",U651&lt;&gt;"Yes",X651&lt;&gt;"Yes"),1,0)</f>
        <v/>
      </c>
      <c r="AE651" s="79">
        <f>IF(AND(AD651=1,T651&lt;&gt;""),IF(T651&lt;AsOf,1,0),0)</f>
        <v/>
      </c>
      <c r="AF651" s="79">
        <f>IF(AND(AD651=1,T651&lt;&gt;""),IF(AND(T651&gt;=AsOf,T651&lt;=AsOf+AlertDays),1,0),0)</f>
        <v/>
      </c>
      <c r="AG651" s="79">
        <f>IF(Y651="Order now",1,0)</f>
        <v/>
      </c>
      <c r="AH651" s="79">
        <f>IF(OR(Y651="⚠️ Order late — install at risk",Y651="⚠️ Delivery after install date"),1,0)</f>
        <v/>
      </c>
      <c r="AI651" s="79">
        <f>IF(AND(B651&lt;&gt;"",K651&lt;&gt;"",U651&lt;&gt;"Yes",X651&lt;&gt;"Yes"),1,0)</f>
        <v/>
      </c>
      <c r="AJ651" s="79">
        <f>IF(Y651="⚠️ Order late — install at risk",1,0)</f>
        <v/>
      </c>
    </row>
    <row r="652" ht="20" customHeight="1">
      <c r="B652" s="72" t="n"/>
      <c r="C652" s="72" t="n"/>
      <c r="D652" s="72" t="n"/>
      <c r="E652" s="72" t="n"/>
      <c r="F652" s="73" t="n"/>
      <c r="G652" s="72" t="n"/>
      <c r="H652" s="73" t="n"/>
      <c r="I652" s="72" t="n"/>
      <c r="J652" s="73" t="n"/>
      <c r="K652" s="74" t="n"/>
      <c r="L652" s="75">
        <f>IF(K652="A",F652,IF(K652="B",H652,IF(K652="C",J652,"")))</f>
        <v/>
      </c>
      <c r="M652" s="72" t="n"/>
      <c r="N652" s="72" t="n"/>
      <c r="O652" s="89" t="n"/>
      <c r="P652" s="89" t="n"/>
      <c r="Q652" s="109" t="n"/>
      <c r="R652" s="120">
        <f>IF(B652="","",IF(Q652&lt;&gt;"",Q652,IF(P652="","",IFERROR(INDEX('Timeline'!$J$7:$J$1006,MATCH(P652,'Timeline'!$B$7:$B$1006,0)),""))))</f>
        <v/>
      </c>
      <c r="S652" s="126">
        <f>IF(R652="","",R652-IF(O652="",0,O652)-OrderBuf)</f>
        <v/>
      </c>
      <c r="T652" s="126">
        <f>IF(S652="","",S652-DecideBuf)</f>
        <v/>
      </c>
      <c r="U652" s="74" t="n"/>
      <c r="V652" s="109" t="n"/>
      <c r="W652" s="109" t="n"/>
      <c r="X652" s="74" t="n"/>
      <c r="Y652" s="116">
        <f>IF(B652="","",IF(X652="Yes","Delivered",IF(U652="Yes",IF(AND(W652&lt;&gt;"",R652&lt;&gt;""),IF(W652&gt;R652,"⚠️ Delivery after install date","Ordered"),"Ordered"),IF(K652="",IF(T652="","Waiting for decision",IF(T652&lt;=AsOf+AlertDays,"Decide now","Waiting for decision")),IF(S652="","Selected",IF(AsOf&gt;S652,"⚠️ Order late — install at risk",IF(S652&lt;=AsOf+AlertDays,"Order now","Selected")))))))</f>
        <v/>
      </c>
      <c r="Z652" s="79">
        <f>IF(B652="","",IF(OR(AH652=1,AE652=1),2,IF(OR(AG652=1,AF652=1),1,IF(OR(Y652="Ordered",Y652="Delivered"),0,""))))</f>
        <v/>
      </c>
      <c r="AA652" s="112">
        <f>IF(B652="","",IF(AH652=1,IF(Y652="⚠️ Delivery after install date",R652,S652),IF(AD652=1,T652,IF(AI652=1,S652,""))))</f>
        <v/>
      </c>
      <c r="AB652" s="79">
        <f>IF(AA652="","",IF(AH652=1,1,IF(AA652="","",IF(AA652&lt;AsOf,1,IF(AA652&lt;=AsOf+AlertDays,2,IF(AA652&lt;=AsOf+2*AlertDays,3,""))))))</f>
        <v/>
      </c>
      <c r="AC652" s="79">
        <f>IF(AB652="","",IF(AH652=1,IF(Y652="⚠️ Delivery after install date","Delivery after install date: "&amp;B652,"Order late — install at risk: "&amp;B652),IF(AD652=1,IF(AB652=1,"Decision overdue: ","Decide: ")&amp;B652,"Order: "&amp;B652&amp;IF(N652="",""," from "&amp;N652))))</f>
        <v/>
      </c>
      <c r="AD652" s="79">
        <f>IF(AND(B652&lt;&gt;"",K652="",U652&lt;&gt;"Yes",X652&lt;&gt;"Yes"),1,0)</f>
        <v/>
      </c>
      <c r="AE652" s="79">
        <f>IF(AND(AD652=1,T652&lt;&gt;""),IF(T652&lt;AsOf,1,0),0)</f>
        <v/>
      </c>
      <c r="AF652" s="79">
        <f>IF(AND(AD652=1,T652&lt;&gt;""),IF(AND(T652&gt;=AsOf,T652&lt;=AsOf+AlertDays),1,0),0)</f>
        <v/>
      </c>
      <c r="AG652" s="79">
        <f>IF(Y652="Order now",1,0)</f>
        <v/>
      </c>
      <c r="AH652" s="79">
        <f>IF(OR(Y652="⚠️ Order late — install at risk",Y652="⚠️ Delivery after install date"),1,0)</f>
        <v/>
      </c>
      <c r="AI652" s="79">
        <f>IF(AND(B652&lt;&gt;"",K652&lt;&gt;"",U652&lt;&gt;"Yes",X652&lt;&gt;"Yes"),1,0)</f>
        <v/>
      </c>
      <c r="AJ652" s="79">
        <f>IF(Y652="⚠️ Order late — install at risk",1,0)</f>
        <v/>
      </c>
    </row>
    <row r="653" ht="20" customHeight="1">
      <c r="B653" s="72" t="n"/>
      <c r="C653" s="72" t="n"/>
      <c r="D653" s="72" t="n"/>
      <c r="E653" s="72" t="n"/>
      <c r="F653" s="73" t="n"/>
      <c r="G653" s="72" t="n"/>
      <c r="H653" s="73" t="n"/>
      <c r="I653" s="72" t="n"/>
      <c r="J653" s="73" t="n"/>
      <c r="K653" s="74" t="n"/>
      <c r="L653" s="75">
        <f>IF(K653="A",F653,IF(K653="B",H653,IF(K653="C",J653,"")))</f>
        <v/>
      </c>
      <c r="M653" s="72" t="n"/>
      <c r="N653" s="72" t="n"/>
      <c r="O653" s="89" t="n"/>
      <c r="P653" s="89" t="n"/>
      <c r="Q653" s="109" t="n"/>
      <c r="R653" s="120">
        <f>IF(B653="","",IF(Q653&lt;&gt;"",Q653,IF(P653="","",IFERROR(INDEX('Timeline'!$J$7:$J$1006,MATCH(P653,'Timeline'!$B$7:$B$1006,0)),""))))</f>
        <v/>
      </c>
      <c r="S653" s="126">
        <f>IF(R653="","",R653-IF(O653="",0,O653)-OrderBuf)</f>
        <v/>
      </c>
      <c r="T653" s="126">
        <f>IF(S653="","",S653-DecideBuf)</f>
        <v/>
      </c>
      <c r="U653" s="74" t="n"/>
      <c r="V653" s="109" t="n"/>
      <c r="W653" s="109" t="n"/>
      <c r="X653" s="74" t="n"/>
      <c r="Y653" s="116">
        <f>IF(B653="","",IF(X653="Yes","Delivered",IF(U653="Yes",IF(AND(W653&lt;&gt;"",R653&lt;&gt;""),IF(W653&gt;R653,"⚠️ Delivery after install date","Ordered"),"Ordered"),IF(K653="",IF(T653="","Waiting for decision",IF(T653&lt;=AsOf+AlertDays,"Decide now","Waiting for decision")),IF(S653="","Selected",IF(AsOf&gt;S653,"⚠️ Order late — install at risk",IF(S653&lt;=AsOf+AlertDays,"Order now","Selected")))))))</f>
        <v/>
      </c>
      <c r="Z653" s="79">
        <f>IF(B653="","",IF(OR(AH653=1,AE653=1),2,IF(OR(AG653=1,AF653=1),1,IF(OR(Y653="Ordered",Y653="Delivered"),0,""))))</f>
        <v/>
      </c>
      <c r="AA653" s="112">
        <f>IF(B653="","",IF(AH653=1,IF(Y653="⚠️ Delivery after install date",R653,S653),IF(AD653=1,T653,IF(AI653=1,S653,""))))</f>
        <v/>
      </c>
      <c r="AB653" s="79">
        <f>IF(AA653="","",IF(AH653=1,1,IF(AA653="","",IF(AA653&lt;AsOf,1,IF(AA653&lt;=AsOf+AlertDays,2,IF(AA653&lt;=AsOf+2*AlertDays,3,""))))))</f>
        <v/>
      </c>
      <c r="AC653" s="79">
        <f>IF(AB653="","",IF(AH653=1,IF(Y653="⚠️ Delivery after install date","Delivery after install date: "&amp;B653,"Order late — install at risk: "&amp;B653),IF(AD653=1,IF(AB653=1,"Decision overdue: ","Decide: ")&amp;B653,"Order: "&amp;B653&amp;IF(N653="",""," from "&amp;N653))))</f>
        <v/>
      </c>
      <c r="AD653" s="79">
        <f>IF(AND(B653&lt;&gt;"",K653="",U653&lt;&gt;"Yes",X653&lt;&gt;"Yes"),1,0)</f>
        <v/>
      </c>
      <c r="AE653" s="79">
        <f>IF(AND(AD653=1,T653&lt;&gt;""),IF(T653&lt;AsOf,1,0),0)</f>
        <v/>
      </c>
      <c r="AF653" s="79">
        <f>IF(AND(AD653=1,T653&lt;&gt;""),IF(AND(T653&gt;=AsOf,T653&lt;=AsOf+AlertDays),1,0),0)</f>
        <v/>
      </c>
      <c r="AG653" s="79">
        <f>IF(Y653="Order now",1,0)</f>
        <v/>
      </c>
      <c r="AH653" s="79">
        <f>IF(OR(Y653="⚠️ Order late — install at risk",Y653="⚠️ Delivery after install date"),1,0)</f>
        <v/>
      </c>
      <c r="AI653" s="79">
        <f>IF(AND(B653&lt;&gt;"",K653&lt;&gt;"",U653&lt;&gt;"Yes",X653&lt;&gt;"Yes"),1,0)</f>
        <v/>
      </c>
      <c r="AJ653" s="79">
        <f>IF(Y653="⚠️ Order late — install at risk",1,0)</f>
        <v/>
      </c>
    </row>
    <row r="654" ht="20" customHeight="1">
      <c r="B654" s="72" t="n"/>
      <c r="C654" s="72" t="n"/>
      <c r="D654" s="72" t="n"/>
      <c r="E654" s="72" t="n"/>
      <c r="F654" s="73" t="n"/>
      <c r="G654" s="72" t="n"/>
      <c r="H654" s="73" t="n"/>
      <c r="I654" s="72" t="n"/>
      <c r="J654" s="73" t="n"/>
      <c r="K654" s="74" t="n"/>
      <c r="L654" s="75">
        <f>IF(K654="A",F654,IF(K654="B",H654,IF(K654="C",J654,"")))</f>
        <v/>
      </c>
      <c r="M654" s="72" t="n"/>
      <c r="N654" s="72" t="n"/>
      <c r="O654" s="89" t="n"/>
      <c r="P654" s="89" t="n"/>
      <c r="Q654" s="109" t="n"/>
      <c r="R654" s="120">
        <f>IF(B654="","",IF(Q654&lt;&gt;"",Q654,IF(P654="","",IFERROR(INDEX('Timeline'!$J$7:$J$1006,MATCH(P654,'Timeline'!$B$7:$B$1006,0)),""))))</f>
        <v/>
      </c>
      <c r="S654" s="126">
        <f>IF(R654="","",R654-IF(O654="",0,O654)-OrderBuf)</f>
        <v/>
      </c>
      <c r="T654" s="126">
        <f>IF(S654="","",S654-DecideBuf)</f>
        <v/>
      </c>
      <c r="U654" s="74" t="n"/>
      <c r="V654" s="109" t="n"/>
      <c r="W654" s="109" t="n"/>
      <c r="X654" s="74" t="n"/>
      <c r="Y654" s="116">
        <f>IF(B654="","",IF(X654="Yes","Delivered",IF(U654="Yes",IF(AND(W654&lt;&gt;"",R654&lt;&gt;""),IF(W654&gt;R654,"⚠️ Delivery after install date","Ordered"),"Ordered"),IF(K654="",IF(T654="","Waiting for decision",IF(T654&lt;=AsOf+AlertDays,"Decide now","Waiting for decision")),IF(S654="","Selected",IF(AsOf&gt;S654,"⚠️ Order late — install at risk",IF(S654&lt;=AsOf+AlertDays,"Order now","Selected")))))))</f>
        <v/>
      </c>
      <c r="Z654" s="79">
        <f>IF(B654="","",IF(OR(AH654=1,AE654=1),2,IF(OR(AG654=1,AF654=1),1,IF(OR(Y654="Ordered",Y654="Delivered"),0,""))))</f>
        <v/>
      </c>
      <c r="AA654" s="112">
        <f>IF(B654="","",IF(AH654=1,IF(Y654="⚠️ Delivery after install date",R654,S654),IF(AD654=1,T654,IF(AI654=1,S654,""))))</f>
        <v/>
      </c>
      <c r="AB654" s="79">
        <f>IF(AA654="","",IF(AH654=1,1,IF(AA654="","",IF(AA654&lt;AsOf,1,IF(AA654&lt;=AsOf+AlertDays,2,IF(AA654&lt;=AsOf+2*AlertDays,3,""))))))</f>
        <v/>
      </c>
      <c r="AC654" s="79">
        <f>IF(AB654="","",IF(AH654=1,IF(Y654="⚠️ Delivery after install date","Delivery after install date: "&amp;B654,"Order late — install at risk: "&amp;B654),IF(AD654=1,IF(AB654=1,"Decision overdue: ","Decide: ")&amp;B654,"Order: "&amp;B654&amp;IF(N654="",""," from "&amp;N654))))</f>
        <v/>
      </c>
      <c r="AD654" s="79">
        <f>IF(AND(B654&lt;&gt;"",K654="",U654&lt;&gt;"Yes",X654&lt;&gt;"Yes"),1,0)</f>
        <v/>
      </c>
      <c r="AE654" s="79">
        <f>IF(AND(AD654=1,T654&lt;&gt;""),IF(T654&lt;AsOf,1,0),0)</f>
        <v/>
      </c>
      <c r="AF654" s="79">
        <f>IF(AND(AD654=1,T654&lt;&gt;""),IF(AND(T654&gt;=AsOf,T654&lt;=AsOf+AlertDays),1,0),0)</f>
        <v/>
      </c>
      <c r="AG654" s="79">
        <f>IF(Y654="Order now",1,0)</f>
        <v/>
      </c>
      <c r="AH654" s="79">
        <f>IF(OR(Y654="⚠️ Order late — install at risk",Y654="⚠️ Delivery after install date"),1,0)</f>
        <v/>
      </c>
      <c r="AI654" s="79">
        <f>IF(AND(B654&lt;&gt;"",K654&lt;&gt;"",U654&lt;&gt;"Yes",X654&lt;&gt;"Yes"),1,0)</f>
        <v/>
      </c>
      <c r="AJ654" s="79">
        <f>IF(Y654="⚠️ Order late — install at risk",1,0)</f>
        <v/>
      </c>
    </row>
    <row r="655" ht="20" customHeight="1">
      <c r="B655" s="72" t="n"/>
      <c r="C655" s="72" t="n"/>
      <c r="D655" s="72" t="n"/>
      <c r="E655" s="72" t="n"/>
      <c r="F655" s="73" t="n"/>
      <c r="G655" s="72" t="n"/>
      <c r="H655" s="73" t="n"/>
      <c r="I655" s="72" t="n"/>
      <c r="J655" s="73" t="n"/>
      <c r="K655" s="74" t="n"/>
      <c r="L655" s="75">
        <f>IF(K655="A",F655,IF(K655="B",H655,IF(K655="C",J655,"")))</f>
        <v/>
      </c>
      <c r="M655" s="72" t="n"/>
      <c r="N655" s="72" t="n"/>
      <c r="O655" s="89" t="n"/>
      <c r="P655" s="89" t="n"/>
      <c r="Q655" s="109" t="n"/>
      <c r="R655" s="120">
        <f>IF(B655="","",IF(Q655&lt;&gt;"",Q655,IF(P655="","",IFERROR(INDEX('Timeline'!$J$7:$J$1006,MATCH(P655,'Timeline'!$B$7:$B$1006,0)),""))))</f>
        <v/>
      </c>
      <c r="S655" s="126">
        <f>IF(R655="","",R655-IF(O655="",0,O655)-OrderBuf)</f>
        <v/>
      </c>
      <c r="T655" s="126">
        <f>IF(S655="","",S655-DecideBuf)</f>
        <v/>
      </c>
      <c r="U655" s="74" t="n"/>
      <c r="V655" s="109" t="n"/>
      <c r="W655" s="109" t="n"/>
      <c r="X655" s="74" t="n"/>
      <c r="Y655" s="116">
        <f>IF(B655="","",IF(X655="Yes","Delivered",IF(U655="Yes",IF(AND(W655&lt;&gt;"",R655&lt;&gt;""),IF(W655&gt;R655,"⚠️ Delivery after install date","Ordered"),"Ordered"),IF(K655="",IF(T655="","Waiting for decision",IF(T655&lt;=AsOf+AlertDays,"Decide now","Waiting for decision")),IF(S655="","Selected",IF(AsOf&gt;S655,"⚠️ Order late — install at risk",IF(S655&lt;=AsOf+AlertDays,"Order now","Selected")))))))</f>
        <v/>
      </c>
      <c r="Z655" s="79">
        <f>IF(B655="","",IF(OR(AH655=1,AE655=1),2,IF(OR(AG655=1,AF655=1),1,IF(OR(Y655="Ordered",Y655="Delivered"),0,""))))</f>
        <v/>
      </c>
      <c r="AA655" s="112">
        <f>IF(B655="","",IF(AH655=1,IF(Y655="⚠️ Delivery after install date",R655,S655),IF(AD655=1,T655,IF(AI655=1,S655,""))))</f>
        <v/>
      </c>
      <c r="AB655" s="79">
        <f>IF(AA655="","",IF(AH655=1,1,IF(AA655="","",IF(AA655&lt;AsOf,1,IF(AA655&lt;=AsOf+AlertDays,2,IF(AA655&lt;=AsOf+2*AlertDays,3,""))))))</f>
        <v/>
      </c>
      <c r="AC655" s="79">
        <f>IF(AB655="","",IF(AH655=1,IF(Y655="⚠️ Delivery after install date","Delivery after install date: "&amp;B655,"Order late — install at risk: "&amp;B655),IF(AD655=1,IF(AB655=1,"Decision overdue: ","Decide: ")&amp;B655,"Order: "&amp;B655&amp;IF(N655="",""," from "&amp;N655))))</f>
        <v/>
      </c>
      <c r="AD655" s="79">
        <f>IF(AND(B655&lt;&gt;"",K655="",U655&lt;&gt;"Yes",X655&lt;&gt;"Yes"),1,0)</f>
        <v/>
      </c>
      <c r="AE655" s="79">
        <f>IF(AND(AD655=1,T655&lt;&gt;""),IF(T655&lt;AsOf,1,0),0)</f>
        <v/>
      </c>
      <c r="AF655" s="79">
        <f>IF(AND(AD655=1,T655&lt;&gt;""),IF(AND(T655&gt;=AsOf,T655&lt;=AsOf+AlertDays),1,0),0)</f>
        <v/>
      </c>
      <c r="AG655" s="79">
        <f>IF(Y655="Order now",1,0)</f>
        <v/>
      </c>
      <c r="AH655" s="79">
        <f>IF(OR(Y655="⚠️ Order late — install at risk",Y655="⚠️ Delivery after install date"),1,0)</f>
        <v/>
      </c>
      <c r="AI655" s="79">
        <f>IF(AND(B655&lt;&gt;"",K655&lt;&gt;"",U655&lt;&gt;"Yes",X655&lt;&gt;"Yes"),1,0)</f>
        <v/>
      </c>
      <c r="AJ655" s="79">
        <f>IF(Y655="⚠️ Order late — install at risk",1,0)</f>
        <v/>
      </c>
    </row>
    <row r="656" ht="20" customHeight="1">
      <c r="B656" s="72" t="n"/>
      <c r="C656" s="72" t="n"/>
      <c r="D656" s="72" t="n"/>
      <c r="E656" s="72" t="n"/>
      <c r="F656" s="73" t="n"/>
      <c r="G656" s="72" t="n"/>
      <c r="H656" s="73" t="n"/>
      <c r="I656" s="72" t="n"/>
      <c r="J656" s="73" t="n"/>
      <c r="K656" s="74" t="n"/>
      <c r="L656" s="75">
        <f>IF(K656="A",F656,IF(K656="B",H656,IF(K656="C",J656,"")))</f>
        <v/>
      </c>
      <c r="M656" s="72" t="n"/>
      <c r="N656" s="72" t="n"/>
      <c r="O656" s="89" t="n"/>
      <c r="P656" s="89" t="n"/>
      <c r="Q656" s="109" t="n"/>
      <c r="R656" s="120">
        <f>IF(B656="","",IF(Q656&lt;&gt;"",Q656,IF(P656="","",IFERROR(INDEX('Timeline'!$J$7:$J$1006,MATCH(P656,'Timeline'!$B$7:$B$1006,0)),""))))</f>
        <v/>
      </c>
      <c r="S656" s="126">
        <f>IF(R656="","",R656-IF(O656="",0,O656)-OrderBuf)</f>
        <v/>
      </c>
      <c r="T656" s="126">
        <f>IF(S656="","",S656-DecideBuf)</f>
        <v/>
      </c>
      <c r="U656" s="74" t="n"/>
      <c r="V656" s="109" t="n"/>
      <c r="W656" s="109" t="n"/>
      <c r="X656" s="74" t="n"/>
      <c r="Y656" s="116">
        <f>IF(B656="","",IF(X656="Yes","Delivered",IF(U656="Yes",IF(AND(W656&lt;&gt;"",R656&lt;&gt;""),IF(W656&gt;R656,"⚠️ Delivery after install date","Ordered"),"Ordered"),IF(K656="",IF(T656="","Waiting for decision",IF(T656&lt;=AsOf+AlertDays,"Decide now","Waiting for decision")),IF(S656="","Selected",IF(AsOf&gt;S656,"⚠️ Order late — install at risk",IF(S656&lt;=AsOf+AlertDays,"Order now","Selected")))))))</f>
        <v/>
      </c>
      <c r="Z656" s="79">
        <f>IF(B656="","",IF(OR(AH656=1,AE656=1),2,IF(OR(AG656=1,AF656=1),1,IF(OR(Y656="Ordered",Y656="Delivered"),0,""))))</f>
        <v/>
      </c>
      <c r="AA656" s="112">
        <f>IF(B656="","",IF(AH656=1,IF(Y656="⚠️ Delivery after install date",R656,S656),IF(AD656=1,T656,IF(AI656=1,S656,""))))</f>
        <v/>
      </c>
      <c r="AB656" s="79">
        <f>IF(AA656="","",IF(AH656=1,1,IF(AA656="","",IF(AA656&lt;AsOf,1,IF(AA656&lt;=AsOf+AlertDays,2,IF(AA656&lt;=AsOf+2*AlertDays,3,""))))))</f>
        <v/>
      </c>
      <c r="AC656" s="79">
        <f>IF(AB656="","",IF(AH656=1,IF(Y656="⚠️ Delivery after install date","Delivery after install date: "&amp;B656,"Order late — install at risk: "&amp;B656),IF(AD656=1,IF(AB656=1,"Decision overdue: ","Decide: ")&amp;B656,"Order: "&amp;B656&amp;IF(N656="",""," from "&amp;N656))))</f>
        <v/>
      </c>
      <c r="AD656" s="79">
        <f>IF(AND(B656&lt;&gt;"",K656="",U656&lt;&gt;"Yes",X656&lt;&gt;"Yes"),1,0)</f>
        <v/>
      </c>
      <c r="AE656" s="79">
        <f>IF(AND(AD656=1,T656&lt;&gt;""),IF(T656&lt;AsOf,1,0),0)</f>
        <v/>
      </c>
      <c r="AF656" s="79">
        <f>IF(AND(AD656=1,T656&lt;&gt;""),IF(AND(T656&gt;=AsOf,T656&lt;=AsOf+AlertDays),1,0),0)</f>
        <v/>
      </c>
      <c r="AG656" s="79">
        <f>IF(Y656="Order now",1,0)</f>
        <v/>
      </c>
      <c r="AH656" s="79">
        <f>IF(OR(Y656="⚠️ Order late — install at risk",Y656="⚠️ Delivery after install date"),1,0)</f>
        <v/>
      </c>
      <c r="AI656" s="79">
        <f>IF(AND(B656&lt;&gt;"",K656&lt;&gt;"",U656&lt;&gt;"Yes",X656&lt;&gt;"Yes"),1,0)</f>
        <v/>
      </c>
      <c r="AJ656" s="79">
        <f>IF(Y656="⚠️ Order late — install at risk",1,0)</f>
        <v/>
      </c>
    </row>
    <row r="657" ht="20" customHeight="1">
      <c r="B657" s="72" t="n"/>
      <c r="C657" s="72" t="n"/>
      <c r="D657" s="72" t="n"/>
      <c r="E657" s="72" t="n"/>
      <c r="F657" s="73" t="n"/>
      <c r="G657" s="72" t="n"/>
      <c r="H657" s="73" t="n"/>
      <c r="I657" s="72" t="n"/>
      <c r="J657" s="73" t="n"/>
      <c r="K657" s="74" t="n"/>
      <c r="L657" s="75">
        <f>IF(K657="A",F657,IF(K657="B",H657,IF(K657="C",J657,"")))</f>
        <v/>
      </c>
      <c r="M657" s="72" t="n"/>
      <c r="N657" s="72" t="n"/>
      <c r="O657" s="89" t="n"/>
      <c r="P657" s="89" t="n"/>
      <c r="Q657" s="109" t="n"/>
      <c r="R657" s="120">
        <f>IF(B657="","",IF(Q657&lt;&gt;"",Q657,IF(P657="","",IFERROR(INDEX('Timeline'!$J$7:$J$1006,MATCH(P657,'Timeline'!$B$7:$B$1006,0)),""))))</f>
        <v/>
      </c>
      <c r="S657" s="126">
        <f>IF(R657="","",R657-IF(O657="",0,O657)-OrderBuf)</f>
        <v/>
      </c>
      <c r="T657" s="126">
        <f>IF(S657="","",S657-DecideBuf)</f>
        <v/>
      </c>
      <c r="U657" s="74" t="n"/>
      <c r="V657" s="109" t="n"/>
      <c r="W657" s="109" t="n"/>
      <c r="X657" s="74" t="n"/>
      <c r="Y657" s="116">
        <f>IF(B657="","",IF(X657="Yes","Delivered",IF(U657="Yes",IF(AND(W657&lt;&gt;"",R657&lt;&gt;""),IF(W657&gt;R657,"⚠️ Delivery after install date","Ordered"),"Ordered"),IF(K657="",IF(T657="","Waiting for decision",IF(T657&lt;=AsOf+AlertDays,"Decide now","Waiting for decision")),IF(S657="","Selected",IF(AsOf&gt;S657,"⚠️ Order late — install at risk",IF(S657&lt;=AsOf+AlertDays,"Order now","Selected")))))))</f>
        <v/>
      </c>
      <c r="Z657" s="79">
        <f>IF(B657="","",IF(OR(AH657=1,AE657=1),2,IF(OR(AG657=1,AF657=1),1,IF(OR(Y657="Ordered",Y657="Delivered"),0,""))))</f>
        <v/>
      </c>
      <c r="AA657" s="112">
        <f>IF(B657="","",IF(AH657=1,IF(Y657="⚠️ Delivery after install date",R657,S657),IF(AD657=1,T657,IF(AI657=1,S657,""))))</f>
        <v/>
      </c>
      <c r="AB657" s="79">
        <f>IF(AA657="","",IF(AH657=1,1,IF(AA657="","",IF(AA657&lt;AsOf,1,IF(AA657&lt;=AsOf+AlertDays,2,IF(AA657&lt;=AsOf+2*AlertDays,3,""))))))</f>
        <v/>
      </c>
      <c r="AC657" s="79">
        <f>IF(AB657="","",IF(AH657=1,IF(Y657="⚠️ Delivery after install date","Delivery after install date: "&amp;B657,"Order late — install at risk: "&amp;B657),IF(AD657=1,IF(AB657=1,"Decision overdue: ","Decide: ")&amp;B657,"Order: "&amp;B657&amp;IF(N657="",""," from "&amp;N657))))</f>
        <v/>
      </c>
      <c r="AD657" s="79">
        <f>IF(AND(B657&lt;&gt;"",K657="",U657&lt;&gt;"Yes",X657&lt;&gt;"Yes"),1,0)</f>
        <v/>
      </c>
      <c r="AE657" s="79">
        <f>IF(AND(AD657=1,T657&lt;&gt;""),IF(T657&lt;AsOf,1,0),0)</f>
        <v/>
      </c>
      <c r="AF657" s="79">
        <f>IF(AND(AD657=1,T657&lt;&gt;""),IF(AND(T657&gt;=AsOf,T657&lt;=AsOf+AlertDays),1,0),0)</f>
        <v/>
      </c>
      <c r="AG657" s="79">
        <f>IF(Y657="Order now",1,0)</f>
        <v/>
      </c>
      <c r="AH657" s="79">
        <f>IF(OR(Y657="⚠️ Order late — install at risk",Y657="⚠️ Delivery after install date"),1,0)</f>
        <v/>
      </c>
      <c r="AI657" s="79">
        <f>IF(AND(B657&lt;&gt;"",K657&lt;&gt;"",U657&lt;&gt;"Yes",X657&lt;&gt;"Yes"),1,0)</f>
        <v/>
      </c>
      <c r="AJ657" s="79">
        <f>IF(Y657="⚠️ Order late — install at risk",1,0)</f>
        <v/>
      </c>
    </row>
    <row r="658" ht="20" customHeight="1">
      <c r="B658" s="72" t="n"/>
      <c r="C658" s="72" t="n"/>
      <c r="D658" s="72" t="n"/>
      <c r="E658" s="72" t="n"/>
      <c r="F658" s="73" t="n"/>
      <c r="G658" s="72" t="n"/>
      <c r="H658" s="73" t="n"/>
      <c r="I658" s="72" t="n"/>
      <c r="J658" s="73" t="n"/>
      <c r="K658" s="74" t="n"/>
      <c r="L658" s="75">
        <f>IF(K658="A",F658,IF(K658="B",H658,IF(K658="C",J658,"")))</f>
        <v/>
      </c>
      <c r="M658" s="72" t="n"/>
      <c r="N658" s="72" t="n"/>
      <c r="O658" s="89" t="n"/>
      <c r="P658" s="89" t="n"/>
      <c r="Q658" s="109" t="n"/>
      <c r="R658" s="120">
        <f>IF(B658="","",IF(Q658&lt;&gt;"",Q658,IF(P658="","",IFERROR(INDEX('Timeline'!$J$7:$J$1006,MATCH(P658,'Timeline'!$B$7:$B$1006,0)),""))))</f>
        <v/>
      </c>
      <c r="S658" s="126">
        <f>IF(R658="","",R658-IF(O658="",0,O658)-OrderBuf)</f>
        <v/>
      </c>
      <c r="T658" s="126">
        <f>IF(S658="","",S658-DecideBuf)</f>
        <v/>
      </c>
      <c r="U658" s="74" t="n"/>
      <c r="V658" s="109" t="n"/>
      <c r="W658" s="109" t="n"/>
      <c r="X658" s="74" t="n"/>
      <c r="Y658" s="116">
        <f>IF(B658="","",IF(X658="Yes","Delivered",IF(U658="Yes",IF(AND(W658&lt;&gt;"",R658&lt;&gt;""),IF(W658&gt;R658,"⚠️ Delivery after install date","Ordered"),"Ordered"),IF(K658="",IF(T658="","Waiting for decision",IF(T658&lt;=AsOf+AlertDays,"Decide now","Waiting for decision")),IF(S658="","Selected",IF(AsOf&gt;S658,"⚠️ Order late — install at risk",IF(S658&lt;=AsOf+AlertDays,"Order now","Selected")))))))</f>
        <v/>
      </c>
      <c r="Z658" s="79">
        <f>IF(B658="","",IF(OR(AH658=1,AE658=1),2,IF(OR(AG658=1,AF658=1),1,IF(OR(Y658="Ordered",Y658="Delivered"),0,""))))</f>
        <v/>
      </c>
      <c r="AA658" s="112">
        <f>IF(B658="","",IF(AH658=1,IF(Y658="⚠️ Delivery after install date",R658,S658),IF(AD658=1,T658,IF(AI658=1,S658,""))))</f>
        <v/>
      </c>
      <c r="AB658" s="79">
        <f>IF(AA658="","",IF(AH658=1,1,IF(AA658="","",IF(AA658&lt;AsOf,1,IF(AA658&lt;=AsOf+AlertDays,2,IF(AA658&lt;=AsOf+2*AlertDays,3,""))))))</f>
        <v/>
      </c>
      <c r="AC658" s="79">
        <f>IF(AB658="","",IF(AH658=1,IF(Y658="⚠️ Delivery after install date","Delivery after install date: "&amp;B658,"Order late — install at risk: "&amp;B658),IF(AD658=1,IF(AB658=1,"Decision overdue: ","Decide: ")&amp;B658,"Order: "&amp;B658&amp;IF(N658="",""," from "&amp;N658))))</f>
        <v/>
      </c>
      <c r="AD658" s="79">
        <f>IF(AND(B658&lt;&gt;"",K658="",U658&lt;&gt;"Yes",X658&lt;&gt;"Yes"),1,0)</f>
        <v/>
      </c>
      <c r="AE658" s="79">
        <f>IF(AND(AD658=1,T658&lt;&gt;""),IF(T658&lt;AsOf,1,0),0)</f>
        <v/>
      </c>
      <c r="AF658" s="79">
        <f>IF(AND(AD658=1,T658&lt;&gt;""),IF(AND(T658&gt;=AsOf,T658&lt;=AsOf+AlertDays),1,0),0)</f>
        <v/>
      </c>
      <c r="AG658" s="79">
        <f>IF(Y658="Order now",1,0)</f>
        <v/>
      </c>
      <c r="AH658" s="79">
        <f>IF(OR(Y658="⚠️ Order late — install at risk",Y658="⚠️ Delivery after install date"),1,0)</f>
        <v/>
      </c>
      <c r="AI658" s="79">
        <f>IF(AND(B658&lt;&gt;"",K658&lt;&gt;"",U658&lt;&gt;"Yes",X658&lt;&gt;"Yes"),1,0)</f>
        <v/>
      </c>
      <c r="AJ658" s="79">
        <f>IF(Y658="⚠️ Order late — install at risk",1,0)</f>
        <v/>
      </c>
    </row>
    <row r="659" ht="20" customHeight="1">
      <c r="B659" s="72" t="n"/>
      <c r="C659" s="72" t="n"/>
      <c r="D659" s="72" t="n"/>
      <c r="E659" s="72" t="n"/>
      <c r="F659" s="73" t="n"/>
      <c r="G659" s="72" t="n"/>
      <c r="H659" s="73" t="n"/>
      <c r="I659" s="72" t="n"/>
      <c r="J659" s="73" t="n"/>
      <c r="K659" s="74" t="n"/>
      <c r="L659" s="75">
        <f>IF(K659="A",F659,IF(K659="B",H659,IF(K659="C",J659,"")))</f>
        <v/>
      </c>
      <c r="M659" s="72" t="n"/>
      <c r="N659" s="72" t="n"/>
      <c r="O659" s="89" t="n"/>
      <c r="P659" s="89" t="n"/>
      <c r="Q659" s="109" t="n"/>
      <c r="R659" s="120">
        <f>IF(B659="","",IF(Q659&lt;&gt;"",Q659,IF(P659="","",IFERROR(INDEX('Timeline'!$J$7:$J$1006,MATCH(P659,'Timeline'!$B$7:$B$1006,0)),""))))</f>
        <v/>
      </c>
      <c r="S659" s="126">
        <f>IF(R659="","",R659-IF(O659="",0,O659)-OrderBuf)</f>
        <v/>
      </c>
      <c r="T659" s="126">
        <f>IF(S659="","",S659-DecideBuf)</f>
        <v/>
      </c>
      <c r="U659" s="74" t="n"/>
      <c r="V659" s="109" t="n"/>
      <c r="W659" s="109" t="n"/>
      <c r="X659" s="74" t="n"/>
      <c r="Y659" s="116">
        <f>IF(B659="","",IF(X659="Yes","Delivered",IF(U659="Yes",IF(AND(W659&lt;&gt;"",R659&lt;&gt;""),IF(W659&gt;R659,"⚠️ Delivery after install date","Ordered"),"Ordered"),IF(K659="",IF(T659="","Waiting for decision",IF(T659&lt;=AsOf+AlertDays,"Decide now","Waiting for decision")),IF(S659="","Selected",IF(AsOf&gt;S659,"⚠️ Order late — install at risk",IF(S659&lt;=AsOf+AlertDays,"Order now","Selected")))))))</f>
        <v/>
      </c>
      <c r="Z659" s="79">
        <f>IF(B659="","",IF(OR(AH659=1,AE659=1),2,IF(OR(AG659=1,AF659=1),1,IF(OR(Y659="Ordered",Y659="Delivered"),0,""))))</f>
        <v/>
      </c>
      <c r="AA659" s="112">
        <f>IF(B659="","",IF(AH659=1,IF(Y659="⚠️ Delivery after install date",R659,S659),IF(AD659=1,T659,IF(AI659=1,S659,""))))</f>
        <v/>
      </c>
      <c r="AB659" s="79">
        <f>IF(AA659="","",IF(AH659=1,1,IF(AA659="","",IF(AA659&lt;AsOf,1,IF(AA659&lt;=AsOf+AlertDays,2,IF(AA659&lt;=AsOf+2*AlertDays,3,""))))))</f>
        <v/>
      </c>
      <c r="AC659" s="79">
        <f>IF(AB659="","",IF(AH659=1,IF(Y659="⚠️ Delivery after install date","Delivery after install date: "&amp;B659,"Order late — install at risk: "&amp;B659),IF(AD659=1,IF(AB659=1,"Decision overdue: ","Decide: ")&amp;B659,"Order: "&amp;B659&amp;IF(N659="",""," from "&amp;N659))))</f>
        <v/>
      </c>
      <c r="AD659" s="79">
        <f>IF(AND(B659&lt;&gt;"",K659="",U659&lt;&gt;"Yes",X659&lt;&gt;"Yes"),1,0)</f>
        <v/>
      </c>
      <c r="AE659" s="79">
        <f>IF(AND(AD659=1,T659&lt;&gt;""),IF(T659&lt;AsOf,1,0),0)</f>
        <v/>
      </c>
      <c r="AF659" s="79">
        <f>IF(AND(AD659=1,T659&lt;&gt;""),IF(AND(T659&gt;=AsOf,T659&lt;=AsOf+AlertDays),1,0),0)</f>
        <v/>
      </c>
      <c r="AG659" s="79">
        <f>IF(Y659="Order now",1,0)</f>
        <v/>
      </c>
      <c r="AH659" s="79">
        <f>IF(OR(Y659="⚠️ Order late — install at risk",Y659="⚠️ Delivery after install date"),1,0)</f>
        <v/>
      </c>
      <c r="AI659" s="79">
        <f>IF(AND(B659&lt;&gt;"",K659&lt;&gt;"",U659&lt;&gt;"Yes",X659&lt;&gt;"Yes"),1,0)</f>
        <v/>
      </c>
      <c r="AJ659" s="79">
        <f>IF(Y659="⚠️ Order late — install at risk",1,0)</f>
        <v/>
      </c>
    </row>
    <row r="660" ht="20" customHeight="1">
      <c r="B660" s="72" t="n"/>
      <c r="C660" s="72" t="n"/>
      <c r="D660" s="72" t="n"/>
      <c r="E660" s="72" t="n"/>
      <c r="F660" s="73" t="n"/>
      <c r="G660" s="72" t="n"/>
      <c r="H660" s="73" t="n"/>
      <c r="I660" s="72" t="n"/>
      <c r="J660" s="73" t="n"/>
      <c r="K660" s="74" t="n"/>
      <c r="L660" s="75">
        <f>IF(K660="A",F660,IF(K660="B",H660,IF(K660="C",J660,"")))</f>
        <v/>
      </c>
      <c r="M660" s="72" t="n"/>
      <c r="N660" s="72" t="n"/>
      <c r="O660" s="89" t="n"/>
      <c r="P660" s="89" t="n"/>
      <c r="Q660" s="109" t="n"/>
      <c r="R660" s="120">
        <f>IF(B660="","",IF(Q660&lt;&gt;"",Q660,IF(P660="","",IFERROR(INDEX('Timeline'!$J$7:$J$1006,MATCH(P660,'Timeline'!$B$7:$B$1006,0)),""))))</f>
        <v/>
      </c>
      <c r="S660" s="126">
        <f>IF(R660="","",R660-IF(O660="",0,O660)-OrderBuf)</f>
        <v/>
      </c>
      <c r="T660" s="126">
        <f>IF(S660="","",S660-DecideBuf)</f>
        <v/>
      </c>
      <c r="U660" s="74" t="n"/>
      <c r="V660" s="109" t="n"/>
      <c r="W660" s="109" t="n"/>
      <c r="X660" s="74" t="n"/>
      <c r="Y660" s="116">
        <f>IF(B660="","",IF(X660="Yes","Delivered",IF(U660="Yes",IF(AND(W660&lt;&gt;"",R660&lt;&gt;""),IF(W660&gt;R660,"⚠️ Delivery after install date","Ordered"),"Ordered"),IF(K660="",IF(T660="","Waiting for decision",IF(T660&lt;=AsOf+AlertDays,"Decide now","Waiting for decision")),IF(S660="","Selected",IF(AsOf&gt;S660,"⚠️ Order late — install at risk",IF(S660&lt;=AsOf+AlertDays,"Order now","Selected")))))))</f>
        <v/>
      </c>
      <c r="Z660" s="79">
        <f>IF(B660="","",IF(OR(AH660=1,AE660=1),2,IF(OR(AG660=1,AF660=1),1,IF(OR(Y660="Ordered",Y660="Delivered"),0,""))))</f>
        <v/>
      </c>
      <c r="AA660" s="112">
        <f>IF(B660="","",IF(AH660=1,IF(Y660="⚠️ Delivery after install date",R660,S660),IF(AD660=1,T660,IF(AI660=1,S660,""))))</f>
        <v/>
      </c>
      <c r="AB660" s="79">
        <f>IF(AA660="","",IF(AH660=1,1,IF(AA660="","",IF(AA660&lt;AsOf,1,IF(AA660&lt;=AsOf+AlertDays,2,IF(AA660&lt;=AsOf+2*AlertDays,3,""))))))</f>
        <v/>
      </c>
      <c r="AC660" s="79">
        <f>IF(AB660="","",IF(AH660=1,IF(Y660="⚠️ Delivery after install date","Delivery after install date: "&amp;B660,"Order late — install at risk: "&amp;B660),IF(AD660=1,IF(AB660=1,"Decision overdue: ","Decide: ")&amp;B660,"Order: "&amp;B660&amp;IF(N660="",""," from "&amp;N660))))</f>
        <v/>
      </c>
      <c r="AD660" s="79">
        <f>IF(AND(B660&lt;&gt;"",K660="",U660&lt;&gt;"Yes",X660&lt;&gt;"Yes"),1,0)</f>
        <v/>
      </c>
      <c r="AE660" s="79">
        <f>IF(AND(AD660=1,T660&lt;&gt;""),IF(T660&lt;AsOf,1,0),0)</f>
        <v/>
      </c>
      <c r="AF660" s="79">
        <f>IF(AND(AD660=1,T660&lt;&gt;""),IF(AND(T660&gt;=AsOf,T660&lt;=AsOf+AlertDays),1,0),0)</f>
        <v/>
      </c>
      <c r="AG660" s="79">
        <f>IF(Y660="Order now",1,0)</f>
        <v/>
      </c>
      <c r="AH660" s="79">
        <f>IF(OR(Y660="⚠️ Order late — install at risk",Y660="⚠️ Delivery after install date"),1,0)</f>
        <v/>
      </c>
      <c r="AI660" s="79">
        <f>IF(AND(B660&lt;&gt;"",K660&lt;&gt;"",U660&lt;&gt;"Yes",X660&lt;&gt;"Yes"),1,0)</f>
        <v/>
      </c>
      <c r="AJ660" s="79">
        <f>IF(Y660="⚠️ Order late — install at risk",1,0)</f>
        <v/>
      </c>
    </row>
    <row r="661" ht="20" customHeight="1">
      <c r="B661" s="72" t="n"/>
      <c r="C661" s="72" t="n"/>
      <c r="D661" s="72" t="n"/>
      <c r="E661" s="72" t="n"/>
      <c r="F661" s="73" t="n"/>
      <c r="G661" s="72" t="n"/>
      <c r="H661" s="73" t="n"/>
      <c r="I661" s="72" t="n"/>
      <c r="J661" s="73" t="n"/>
      <c r="K661" s="74" t="n"/>
      <c r="L661" s="75">
        <f>IF(K661="A",F661,IF(K661="B",H661,IF(K661="C",J661,"")))</f>
        <v/>
      </c>
      <c r="M661" s="72" t="n"/>
      <c r="N661" s="72" t="n"/>
      <c r="O661" s="89" t="n"/>
      <c r="P661" s="89" t="n"/>
      <c r="Q661" s="109" t="n"/>
      <c r="R661" s="120">
        <f>IF(B661="","",IF(Q661&lt;&gt;"",Q661,IF(P661="","",IFERROR(INDEX('Timeline'!$J$7:$J$1006,MATCH(P661,'Timeline'!$B$7:$B$1006,0)),""))))</f>
        <v/>
      </c>
      <c r="S661" s="126">
        <f>IF(R661="","",R661-IF(O661="",0,O661)-OrderBuf)</f>
        <v/>
      </c>
      <c r="T661" s="126">
        <f>IF(S661="","",S661-DecideBuf)</f>
        <v/>
      </c>
      <c r="U661" s="74" t="n"/>
      <c r="V661" s="109" t="n"/>
      <c r="W661" s="109" t="n"/>
      <c r="X661" s="74" t="n"/>
      <c r="Y661" s="116">
        <f>IF(B661="","",IF(X661="Yes","Delivered",IF(U661="Yes",IF(AND(W661&lt;&gt;"",R661&lt;&gt;""),IF(W661&gt;R661,"⚠️ Delivery after install date","Ordered"),"Ordered"),IF(K661="",IF(T661="","Waiting for decision",IF(T661&lt;=AsOf+AlertDays,"Decide now","Waiting for decision")),IF(S661="","Selected",IF(AsOf&gt;S661,"⚠️ Order late — install at risk",IF(S661&lt;=AsOf+AlertDays,"Order now","Selected")))))))</f>
        <v/>
      </c>
      <c r="Z661" s="79">
        <f>IF(B661="","",IF(OR(AH661=1,AE661=1),2,IF(OR(AG661=1,AF661=1),1,IF(OR(Y661="Ordered",Y661="Delivered"),0,""))))</f>
        <v/>
      </c>
      <c r="AA661" s="112">
        <f>IF(B661="","",IF(AH661=1,IF(Y661="⚠️ Delivery after install date",R661,S661),IF(AD661=1,T661,IF(AI661=1,S661,""))))</f>
        <v/>
      </c>
      <c r="AB661" s="79">
        <f>IF(AA661="","",IF(AH661=1,1,IF(AA661="","",IF(AA661&lt;AsOf,1,IF(AA661&lt;=AsOf+AlertDays,2,IF(AA661&lt;=AsOf+2*AlertDays,3,""))))))</f>
        <v/>
      </c>
      <c r="AC661" s="79">
        <f>IF(AB661="","",IF(AH661=1,IF(Y661="⚠️ Delivery after install date","Delivery after install date: "&amp;B661,"Order late — install at risk: "&amp;B661),IF(AD661=1,IF(AB661=1,"Decision overdue: ","Decide: ")&amp;B661,"Order: "&amp;B661&amp;IF(N661="",""," from "&amp;N661))))</f>
        <v/>
      </c>
      <c r="AD661" s="79">
        <f>IF(AND(B661&lt;&gt;"",K661="",U661&lt;&gt;"Yes",X661&lt;&gt;"Yes"),1,0)</f>
        <v/>
      </c>
      <c r="AE661" s="79">
        <f>IF(AND(AD661=1,T661&lt;&gt;""),IF(T661&lt;AsOf,1,0),0)</f>
        <v/>
      </c>
      <c r="AF661" s="79">
        <f>IF(AND(AD661=1,T661&lt;&gt;""),IF(AND(T661&gt;=AsOf,T661&lt;=AsOf+AlertDays),1,0),0)</f>
        <v/>
      </c>
      <c r="AG661" s="79">
        <f>IF(Y661="Order now",1,0)</f>
        <v/>
      </c>
      <c r="AH661" s="79">
        <f>IF(OR(Y661="⚠️ Order late — install at risk",Y661="⚠️ Delivery after install date"),1,0)</f>
        <v/>
      </c>
      <c r="AI661" s="79">
        <f>IF(AND(B661&lt;&gt;"",K661&lt;&gt;"",U661&lt;&gt;"Yes",X661&lt;&gt;"Yes"),1,0)</f>
        <v/>
      </c>
      <c r="AJ661" s="79">
        <f>IF(Y661="⚠️ Order late — install at risk",1,0)</f>
        <v/>
      </c>
    </row>
    <row r="662" ht="20" customHeight="1">
      <c r="B662" s="72" t="n"/>
      <c r="C662" s="72" t="n"/>
      <c r="D662" s="72" t="n"/>
      <c r="E662" s="72" t="n"/>
      <c r="F662" s="73" t="n"/>
      <c r="G662" s="72" t="n"/>
      <c r="H662" s="73" t="n"/>
      <c r="I662" s="72" t="n"/>
      <c r="J662" s="73" t="n"/>
      <c r="K662" s="74" t="n"/>
      <c r="L662" s="75">
        <f>IF(K662="A",F662,IF(K662="B",H662,IF(K662="C",J662,"")))</f>
        <v/>
      </c>
      <c r="M662" s="72" t="n"/>
      <c r="N662" s="72" t="n"/>
      <c r="O662" s="89" t="n"/>
      <c r="P662" s="89" t="n"/>
      <c r="Q662" s="109" t="n"/>
      <c r="R662" s="120">
        <f>IF(B662="","",IF(Q662&lt;&gt;"",Q662,IF(P662="","",IFERROR(INDEX('Timeline'!$J$7:$J$1006,MATCH(P662,'Timeline'!$B$7:$B$1006,0)),""))))</f>
        <v/>
      </c>
      <c r="S662" s="126">
        <f>IF(R662="","",R662-IF(O662="",0,O662)-OrderBuf)</f>
        <v/>
      </c>
      <c r="T662" s="126">
        <f>IF(S662="","",S662-DecideBuf)</f>
        <v/>
      </c>
      <c r="U662" s="74" t="n"/>
      <c r="V662" s="109" t="n"/>
      <c r="W662" s="109" t="n"/>
      <c r="X662" s="74" t="n"/>
      <c r="Y662" s="116">
        <f>IF(B662="","",IF(X662="Yes","Delivered",IF(U662="Yes",IF(AND(W662&lt;&gt;"",R662&lt;&gt;""),IF(W662&gt;R662,"⚠️ Delivery after install date","Ordered"),"Ordered"),IF(K662="",IF(T662="","Waiting for decision",IF(T662&lt;=AsOf+AlertDays,"Decide now","Waiting for decision")),IF(S662="","Selected",IF(AsOf&gt;S662,"⚠️ Order late — install at risk",IF(S662&lt;=AsOf+AlertDays,"Order now","Selected")))))))</f>
        <v/>
      </c>
      <c r="Z662" s="79">
        <f>IF(B662="","",IF(OR(AH662=1,AE662=1),2,IF(OR(AG662=1,AF662=1),1,IF(OR(Y662="Ordered",Y662="Delivered"),0,""))))</f>
        <v/>
      </c>
      <c r="AA662" s="112">
        <f>IF(B662="","",IF(AH662=1,IF(Y662="⚠️ Delivery after install date",R662,S662),IF(AD662=1,T662,IF(AI662=1,S662,""))))</f>
        <v/>
      </c>
      <c r="AB662" s="79">
        <f>IF(AA662="","",IF(AH662=1,1,IF(AA662="","",IF(AA662&lt;AsOf,1,IF(AA662&lt;=AsOf+AlertDays,2,IF(AA662&lt;=AsOf+2*AlertDays,3,""))))))</f>
        <v/>
      </c>
      <c r="AC662" s="79">
        <f>IF(AB662="","",IF(AH662=1,IF(Y662="⚠️ Delivery after install date","Delivery after install date: "&amp;B662,"Order late — install at risk: "&amp;B662),IF(AD662=1,IF(AB662=1,"Decision overdue: ","Decide: ")&amp;B662,"Order: "&amp;B662&amp;IF(N662="",""," from "&amp;N662))))</f>
        <v/>
      </c>
      <c r="AD662" s="79">
        <f>IF(AND(B662&lt;&gt;"",K662="",U662&lt;&gt;"Yes",X662&lt;&gt;"Yes"),1,0)</f>
        <v/>
      </c>
      <c r="AE662" s="79">
        <f>IF(AND(AD662=1,T662&lt;&gt;""),IF(T662&lt;AsOf,1,0),0)</f>
        <v/>
      </c>
      <c r="AF662" s="79">
        <f>IF(AND(AD662=1,T662&lt;&gt;""),IF(AND(T662&gt;=AsOf,T662&lt;=AsOf+AlertDays),1,0),0)</f>
        <v/>
      </c>
      <c r="AG662" s="79">
        <f>IF(Y662="Order now",1,0)</f>
        <v/>
      </c>
      <c r="AH662" s="79">
        <f>IF(OR(Y662="⚠️ Order late — install at risk",Y662="⚠️ Delivery after install date"),1,0)</f>
        <v/>
      </c>
      <c r="AI662" s="79">
        <f>IF(AND(B662&lt;&gt;"",K662&lt;&gt;"",U662&lt;&gt;"Yes",X662&lt;&gt;"Yes"),1,0)</f>
        <v/>
      </c>
      <c r="AJ662" s="79">
        <f>IF(Y662="⚠️ Order late — install at risk",1,0)</f>
        <v/>
      </c>
    </row>
    <row r="663" ht="20" customHeight="1">
      <c r="B663" s="72" t="n"/>
      <c r="C663" s="72" t="n"/>
      <c r="D663" s="72" t="n"/>
      <c r="E663" s="72" t="n"/>
      <c r="F663" s="73" t="n"/>
      <c r="G663" s="72" t="n"/>
      <c r="H663" s="73" t="n"/>
      <c r="I663" s="72" t="n"/>
      <c r="J663" s="73" t="n"/>
      <c r="K663" s="74" t="n"/>
      <c r="L663" s="75">
        <f>IF(K663="A",F663,IF(K663="B",H663,IF(K663="C",J663,"")))</f>
        <v/>
      </c>
      <c r="M663" s="72" t="n"/>
      <c r="N663" s="72" t="n"/>
      <c r="O663" s="89" t="n"/>
      <c r="P663" s="89" t="n"/>
      <c r="Q663" s="109" t="n"/>
      <c r="R663" s="120">
        <f>IF(B663="","",IF(Q663&lt;&gt;"",Q663,IF(P663="","",IFERROR(INDEX('Timeline'!$J$7:$J$1006,MATCH(P663,'Timeline'!$B$7:$B$1006,0)),""))))</f>
        <v/>
      </c>
      <c r="S663" s="126">
        <f>IF(R663="","",R663-IF(O663="",0,O663)-OrderBuf)</f>
        <v/>
      </c>
      <c r="T663" s="126">
        <f>IF(S663="","",S663-DecideBuf)</f>
        <v/>
      </c>
      <c r="U663" s="74" t="n"/>
      <c r="V663" s="109" t="n"/>
      <c r="W663" s="109" t="n"/>
      <c r="X663" s="74" t="n"/>
      <c r="Y663" s="116">
        <f>IF(B663="","",IF(X663="Yes","Delivered",IF(U663="Yes",IF(AND(W663&lt;&gt;"",R663&lt;&gt;""),IF(W663&gt;R663,"⚠️ Delivery after install date","Ordered"),"Ordered"),IF(K663="",IF(T663="","Waiting for decision",IF(T663&lt;=AsOf+AlertDays,"Decide now","Waiting for decision")),IF(S663="","Selected",IF(AsOf&gt;S663,"⚠️ Order late — install at risk",IF(S663&lt;=AsOf+AlertDays,"Order now","Selected")))))))</f>
        <v/>
      </c>
      <c r="Z663" s="79">
        <f>IF(B663="","",IF(OR(AH663=1,AE663=1),2,IF(OR(AG663=1,AF663=1),1,IF(OR(Y663="Ordered",Y663="Delivered"),0,""))))</f>
        <v/>
      </c>
      <c r="AA663" s="112">
        <f>IF(B663="","",IF(AH663=1,IF(Y663="⚠️ Delivery after install date",R663,S663),IF(AD663=1,T663,IF(AI663=1,S663,""))))</f>
        <v/>
      </c>
      <c r="AB663" s="79">
        <f>IF(AA663="","",IF(AH663=1,1,IF(AA663="","",IF(AA663&lt;AsOf,1,IF(AA663&lt;=AsOf+AlertDays,2,IF(AA663&lt;=AsOf+2*AlertDays,3,""))))))</f>
        <v/>
      </c>
      <c r="AC663" s="79">
        <f>IF(AB663="","",IF(AH663=1,IF(Y663="⚠️ Delivery after install date","Delivery after install date: "&amp;B663,"Order late — install at risk: "&amp;B663),IF(AD663=1,IF(AB663=1,"Decision overdue: ","Decide: ")&amp;B663,"Order: "&amp;B663&amp;IF(N663="",""," from "&amp;N663))))</f>
        <v/>
      </c>
      <c r="AD663" s="79">
        <f>IF(AND(B663&lt;&gt;"",K663="",U663&lt;&gt;"Yes",X663&lt;&gt;"Yes"),1,0)</f>
        <v/>
      </c>
      <c r="AE663" s="79">
        <f>IF(AND(AD663=1,T663&lt;&gt;""),IF(T663&lt;AsOf,1,0),0)</f>
        <v/>
      </c>
      <c r="AF663" s="79">
        <f>IF(AND(AD663=1,T663&lt;&gt;""),IF(AND(T663&gt;=AsOf,T663&lt;=AsOf+AlertDays),1,0),0)</f>
        <v/>
      </c>
      <c r="AG663" s="79">
        <f>IF(Y663="Order now",1,0)</f>
        <v/>
      </c>
      <c r="AH663" s="79">
        <f>IF(OR(Y663="⚠️ Order late — install at risk",Y663="⚠️ Delivery after install date"),1,0)</f>
        <v/>
      </c>
      <c r="AI663" s="79">
        <f>IF(AND(B663&lt;&gt;"",K663&lt;&gt;"",U663&lt;&gt;"Yes",X663&lt;&gt;"Yes"),1,0)</f>
        <v/>
      </c>
      <c r="AJ663" s="79">
        <f>IF(Y663="⚠️ Order late — install at risk",1,0)</f>
        <v/>
      </c>
    </row>
    <row r="664" ht="20" customHeight="1">
      <c r="B664" s="72" t="n"/>
      <c r="C664" s="72" t="n"/>
      <c r="D664" s="72" t="n"/>
      <c r="E664" s="72" t="n"/>
      <c r="F664" s="73" t="n"/>
      <c r="G664" s="72" t="n"/>
      <c r="H664" s="73" t="n"/>
      <c r="I664" s="72" t="n"/>
      <c r="J664" s="73" t="n"/>
      <c r="K664" s="74" t="n"/>
      <c r="L664" s="75">
        <f>IF(K664="A",F664,IF(K664="B",H664,IF(K664="C",J664,"")))</f>
        <v/>
      </c>
      <c r="M664" s="72" t="n"/>
      <c r="N664" s="72" t="n"/>
      <c r="O664" s="89" t="n"/>
      <c r="P664" s="89" t="n"/>
      <c r="Q664" s="109" t="n"/>
      <c r="R664" s="120">
        <f>IF(B664="","",IF(Q664&lt;&gt;"",Q664,IF(P664="","",IFERROR(INDEX('Timeline'!$J$7:$J$1006,MATCH(P664,'Timeline'!$B$7:$B$1006,0)),""))))</f>
        <v/>
      </c>
      <c r="S664" s="126">
        <f>IF(R664="","",R664-IF(O664="",0,O664)-OrderBuf)</f>
        <v/>
      </c>
      <c r="T664" s="126">
        <f>IF(S664="","",S664-DecideBuf)</f>
        <v/>
      </c>
      <c r="U664" s="74" t="n"/>
      <c r="V664" s="109" t="n"/>
      <c r="W664" s="109" t="n"/>
      <c r="X664" s="74" t="n"/>
      <c r="Y664" s="116">
        <f>IF(B664="","",IF(X664="Yes","Delivered",IF(U664="Yes",IF(AND(W664&lt;&gt;"",R664&lt;&gt;""),IF(W664&gt;R664,"⚠️ Delivery after install date","Ordered"),"Ordered"),IF(K664="",IF(T664="","Waiting for decision",IF(T664&lt;=AsOf+AlertDays,"Decide now","Waiting for decision")),IF(S664="","Selected",IF(AsOf&gt;S664,"⚠️ Order late — install at risk",IF(S664&lt;=AsOf+AlertDays,"Order now","Selected")))))))</f>
        <v/>
      </c>
      <c r="Z664" s="79">
        <f>IF(B664="","",IF(OR(AH664=1,AE664=1),2,IF(OR(AG664=1,AF664=1),1,IF(OR(Y664="Ordered",Y664="Delivered"),0,""))))</f>
        <v/>
      </c>
      <c r="AA664" s="112">
        <f>IF(B664="","",IF(AH664=1,IF(Y664="⚠️ Delivery after install date",R664,S664),IF(AD664=1,T664,IF(AI664=1,S664,""))))</f>
        <v/>
      </c>
      <c r="AB664" s="79">
        <f>IF(AA664="","",IF(AH664=1,1,IF(AA664="","",IF(AA664&lt;AsOf,1,IF(AA664&lt;=AsOf+AlertDays,2,IF(AA664&lt;=AsOf+2*AlertDays,3,""))))))</f>
        <v/>
      </c>
      <c r="AC664" s="79">
        <f>IF(AB664="","",IF(AH664=1,IF(Y664="⚠️ Delivery after install date","Delivery after install date: "&amp;B664,"Order late — install at risk: "&amp;B664),IF(AD664=1,IF(AB664=1,"Decision overdue: ","Decide: ")&amp;B664,"Order: "&amp;B664&amp;IF(N664="",""," from "&amp;N664))))</f>
        <v/>
      </c>
      <c r="AD664" s="79">
        <f>IF(AND(B664&lt;&gt;"",K664="",U664&lt;&gt;"Yes",X664&lt;&gt;"Yes"),1,0)</f>
        <v/>
      </c>
      <c r="AE664" s="79">
        <f>IF(AND(AD664=1,T664&lt;&gt;""),IF(T664&lt;AsOf,1,0),0)</f>
        <v/>
      </c>
      <c r="AF664" s="79">
        <f>IF(AND(AD664=1,T664&lt;&gt;""),IF(AND(T664&gt;=AsOf,T664&lt;=AsOf+AlertDays),1,0),0)</f>
        <v/>
      </c>
      <c r="AG664" s="79">
        <f>IF(Y664="Order now",1,0)</f>
        <v/>
      </c>
      <c r="AH664" s="79">
        <f>IF(OR(Y664="⚠️ Order late — install at risk",Y664="⚠️ Delivery after install date"),1,0)</f>
        <v/>
      </c>
      <c r="AI664" s="79">
        <f>IF(AND(B664&lt;&gt;"",K664&lt;&gt;"",U664&lt;&gt;"Yes",X664&lt;&gt;"Yes"),1,0)</f>
        <v/>
      </c>
      <c r="AJ664" s="79">
        <f>IF(Y664="⚠️ Order late — install at risk",1,0)</f>
        <v/>
      </c>
    </row>
    <row r="665" ht="20" customHeight="1">
      <c r="B665" s="72" t="n"/>
      <c r="C665" s="72" t="n"/>
      <c r="D665" s="72" t="n"/>
      <c r="E665" s="72" t="n"/>
      <c r="F665" s="73" t="n"/>
      <c r="G665" s="72" t="n"/>
      <c r="H665" s="73" t="n"/>
      <c r="I665" s="72" t="n"/>
      <c r="J665" s="73" t="n"/>
      <c r="K665" s="74" t="n"/>
      <c r="L665" s="75">
        <f>IF(K665="A",F665,IF(K665="B",H665,IF(K665="C",J665,"")))</f>
        <v/>
      </c>
      <c r="M665" s="72" t="n"/>
      <c r="N665" s="72" t="n"/>
      <c r="O665" s="89" t="n"/>
      <c r="P665" s="89" t="n"/>
      <c r="Q665" s="109" t="n"/>
      <c r="R665" s="120">
        <f>IF(B665="","",IF(Q665&lt;&gt;"",Q665,IF(P665="","",IFERROR(INDEX('Timeline'!$J$7:$J$1006,MATCH(P665,'Timeline'!$B$7:$B$1006,0)),""))))</f>
        <v/>
      </c>
      <c r="S665" s="126">
        <f>IF(R665="","",R665-IF(O665="",0,O665)-OrderBuf)</f>
        <v/>
      </c>
      <c r="T665" s="126">
        <f>IF(S665="","",S665-DecideBuf)</f>
        <v/>
      </c>
      <c r="U665" s="74" t="n"/>
      <c r="V665" s="109" t="n"/>
      <c r="W665" s="109" t="n"/>
      <c r="X665" s="74" t="n"/>
      <c r="Y665" s="116">
        <f>IF(B665="","",IF(X665="Yes","Delivered",IF(U665="Yes",IF(AND(W665&lt;&gt;"",R665&lt;&gt;""),IF(W665&gt;R665,"⚠️ Delivery after install date","Ordered"),"Ordered"),IF(K665="",IF(T665="","Waiting for decision",IF(T665&lt;=AsOf+AlertDays,"Decide now","Waiting for decision")),IF(S665="","Selected",IF(AsOf&gt;S665,"⚠️ Order late — install at risk",IF(S665&lt;=AsOf+AlertDays,"Order now","Selected")))))))</f>
        <v/>
      </c>
      <c r="Z665" s="79">
        <f>IF(B665="","",IF(OR(AH665=1,AE665=1),2,IF(OR(AG665=1,AF665=1),1,IF(OR(Y665="Ordered",Y665="Delivered"),0,""))))</f>
        <v/>
      </c>
      <c r="AA665" s="112">
        <f>IF(B665="","",IF(AH665=1,IF(Y665="⚠️ Delivery after install date",R665,S665),IF(AD665=1,T665,IF(AI665=1,S665,""))))</f>
        <v/>
      </c>
      <c r="AB665" s="79">
        <f>IF(AA665="","",IF(AH665=1,1,IF(AA665="","",IF(AA665&lt;AsOf,1,IF(AA665&lt;=AsOf+AlertDays,2,IF(AA665&lt;=AsOf+2*AlertDays,3,""))))))</f>
        <v/>
      </c>
      <c r="AC665" s="79">
        <f>IF(AB665="","",IF(AH665=1,IF(Y665="⚠️ Delivery after install date","Delivery after install date: "&amp;B665,"Order late — install at risk: "&amp;B665),IF(AD665=1,IF(AB665=1,"Decision overdue: ","Decide: ")&amp;B665,"Order: "&amp;B665&amp;IF(N665="",""," from "&amp;N665))))</f>
        <v/>
      </c>
      <c r="AD665" s="79">
        <f>IF(AND(B665&lt;&gt;"",K665="",U665&lt;&gt;"Yes",X665&lt;&gt;"Yes"),1,0)</f>
        <v/>
      </c>
      <c r="AE665" s="79">
        <f>IF(AND(AD665=1,T665&lt;&gt;""),IF(T665&lt;AsOf,1,0),0)</f>
        <v/>
      </c>
      <c r="AF665" s="79">
        <f>IF(AND(AD665=1,T665&lt;&gt;""),IF(AND(T665&gt;=AsOf,T665&lt;=AsOf+AlertDays),1,0),0)</f>
        <v/>
      </c>
      <c r="AG665" s="79">
        <f>IF(Y665="Order now",1,0)</f>
        <v/>
      </c>
      <c r="AH665" s="79">
        <f>IF(OR(Y665="⚠️ Order late — install at risk",Y665="⚠️ Delivery after install date"),1,0)</f>
        <v/>
      </c>
      <c r="AI665" s="79">
        <f>IF(AND(B665&lt;&gt;"",K665&lt;&gt;"",U665&lt;&gt;"Yes",X665&lt;&gt;"Yes"),1,0)</f>
        <v/>
      </c>
      <c r="AJ665" s="79">
        <f>IF(Y665="⚠️ Order late — install at risk",1,0)</f>
        <v/>
      </c>
    </row>
    <row r="666" ht="20" customHeight="1">
      <c r="B666" s="72" t="n"/>
      <c r="C666" s="72" t="n"/>
      <c r="D666" s="72" t="n"/>
      <c r="E666" s="72" t="n"/>
      <c r="F666" s="73" t="n"/>
      <c r="G666" s="72" t="n"/>
      <c r="H666" s="73" t="n"/>
      <c r="I666" s="72" t="n"/>
      <c r="J666" s="73" t="n"/>
      <c r="K666" s="74" t="n"/>
      <c r="L666" s="75">
        <f>IF(K666="A",F666,IF(K666="B",H666,IF(K666="C",J666,"")))</f>
        <v/>
      </c>
      <c r="M666" s="72" t="n"/>
      <c r="N666" s="72" t="n"/>
      <c r="O666" s="89" t="n"/>
      <c r="P666" s="89" t="n"/>
      <c r="Q666" s="109" t="n"/>
      <c r="R666" s="120">
        <f>IF(B666="","",IF(Q666&lt;&gt;"",Q666,IF(P666="","",IFERROR(INDEX('Timeline'!$J$7:$J$1006,MATCH(P666,'Timeline'!$B$7:$B$1006,0)),""))))</f>
        <v/>
      </c>
      <c r="S666" s="126">
        <f>IF(R666="","",R666-IF(O666="",0,O666)-OrderBuf)</f>
        <v/>
      </c>
      <c r="T666" s="126">
        <f>IF(S666="","",S666-DecideBuf)</f>
        <v/>
      </c>
      <c r="U666" s="74" t="n"/>
      <c r="V666" s="109" t="n"/>
      <c r="W666" s="109" t="n"/>
      <c r="X666" s="74" t="n"/>
      <c r="Y666" s="116">
        <f>IF(B666="","",IF(X666="Yes","Delivered",IF(U666="Yes",IF(AND(W666&lt;&gt;"",R666&lt;&gt;""),IF(W666&gt;R666,"⚠️ Delivery after install date","Ordered"),"Ordered"),IF(K666="",IF(T666="","Waiting for decision",IF(T666&lt;=AsOf+AlertDays,"Decide now","Waiting for decision")),IF(S666="","Selected",IF(AsOf&gt;S666,"⚠️ Order late — install at risk",IF(S666&lt;=AsOf+AlertDays,"Order now","Selected")))))))</f>
        <v/>
      </c>
      <c r="Z666" s="79">
        <f>IF(B666="","",IF(OR(AH666=1,AE666=1),2,IF(OR(AG666=1,AF666=1),1,IF(OR(Y666="Ordered",Y666="Delivered"),0,""))))</f>
        <v/>
      </c>
      <c r="AA666" s="112">
        <f>IF(B666="","",IF(AH666=1,IF(Y666="⚠️ Delivery after install date",R666,S666),IF(AD666=1,T666,IF(AI666=1,S666,""))))</f>
        <v/>
      </c>
      <c r="AB666" s="79">
        <f>IF(AA666="","",IF(AH666=1,1,IF(AA666="","",IF(AA666&lt;AsOf,1,IF(AA666&lt;=AsOf+AlertDays,2,IF(AA666&lt;=AsOf+2*AlertDays,3,""))))))</f>
        <v/>
      </c>
      <c r="AC666" s="79">
        <f>IF(AB666="","",IF(AH666=1,IF(Y666="⚠️ Delivery after install date","Delivery after install date: "&amp;B666,"Order late — install at risk: "&amp;B666),IF(AD666=1,IF(AB666=1,"Decision overdue: ","Decide: ")&amp;B666,"Order: "&amp;B666&amp;IF(N666="",""," from "&amp;N666))))</f>
        <v/>
      </c>
      <c r="AD666" s="79">
        <f>IF(AND(B666&lt;&gt;"",K666="",U666&lt;&gt;"Yes",X666&lt;&gt;"Yes"),1,0)</f>
        <v/>
      </c>
      <c r="AE666" s="79">
        <f>IF(AND(AD666=1,T666&lt;&gt;""),IF(T666&lt;AsOf,1,0),0)</f>
        <v/>
      </c>
      <c r="AF666" s="79">
        <f>IF(AND(AD666=1,T666&lt;&gt;""),IF(AND(T666&gt;=AsOf,T666&lt;=AsOf+AlertDays),1,0),0)</f>
        <v/>
      </c>
      <c r="AG666" s="79">
        <f>IF(Y666="Order now",1,0)</f>
        <v/>
      </c>
      <c r="AH666" s="79">
        <f>IF(OR(Y666="⚠️ Order late — install at risk",Y666="⚠️ Delivery after install date"),1,0)</f>
        <v/>
      </c>
      <c r="AI666" s="79">
        <f>IF(AND(B666&lt;&gt;"",K666&lt;&gt;"",U666&lt;&gt;"Yes",X666&lt;&gt;"Yes"),1,0)</f>
        <v/>
      </c>
      <c r="AJ666" s="79">
        <f>IF(Y666="⚠️ Order late — install at risk",1,0)</f>
        <v/>
      </c>
    </row>
    <row r="667" ht="20" customHeight="1">
      <c r="B667" s="72" t="n"/>
      <c r="C667" s="72" t="n"/>
      <c r="D667" s="72" t="n"/>
      <c r="E667" s="72" t="n"/>
      <c r="F667" s="73" t="n"/>
      <c r="G667" s="72" t="n"/>
      <c r="H667" s="73" t="n"/>
      <c r="I667" s="72" t="n"/>
      <c r="J667" s="73" t="n"/>
      <c r="K667" s="74" t="n"/>
      <c r="L667" s="75">
        <f>IF(K667="A",F667,IF(K667="B",H667,IF(K667="C",J667,"")))</f>
        <v/>
      </c>
      <c r="M667" s="72" t="n"/>
      <c r="N667" s="72" t="n"/>
      <c r="O667" s="89" t="n"/>
      <c r="P667" s="89" t="n"/>
      <c r="Q667" s="109" t="n"/>
      <c r="R667" s="120">
        <f>IF(B667="","",IF(Q667&lt;&gt;"",Q667,IF(P667="","",IFERROR(INDEX('Timeline'!$J$7:$J$1006,MATCH(P667,'Timeline'!$B$7:$B$1006,0)),""))))</f>
        <v/>
      </c>
      <c r="S667" s="126">
        <f>IF(R667="","",R667-IF(O667="",0,O667)-OrderBuf)</f>
        <v/>
      </c>
      <c r="T667" s="126">
        <f>IF(S667="","",S667-DecideBuf)</f>
        <v/>
      </c>
      <c r="U667" s="74" t="n"/>
      <c r="V667" s="109" t="n"/>
      <c r="W667" s="109" t="n"/>
      <c r="X667" s="74" t="n"/>
      <c r="Y667" s="116">
        <f>IF(B667="","",IF(X667="Yes","Delivered",IF(U667="Yes",IF(AND(W667&lt;&gt;"",R667&lt;&gt;""),IF(W667&gt;R667,"⚠️ Delivery after install date","Ordered"),"Ordered"),IF(K667="",IF(T667="","Waiting for decision",IF(T667&lt;=AsOf+AlertDays,"Decide now","Waiting for decision")),IF(S667="","Selected",IF(AsOf&gt;S667,"⚠️ Order late — install at risk",IF(S667&lt;=AsOf+AlertDays,"Order now","Selected")))))))</f>
        <v/>
      </c>
      <c r="Z667" s="79">
        <f>IF(B667="","",IF(OR(AH667=1,AE667=1),2,IF(OR(AG667=1,AF667=1),1,IF(OR(Y667="Ordered",Y667="Delivered"),0,""))))</f>
        <v/>
      </c>
      <c r="AA667" s="112">
        <f>IF(B667="","",IF(AH667=1,IF(Y667="⚠️ Delivery after install date",R667,S667),IF(AD667=1,T667,IF(AI667=1,S667,""))))</f>
        <v/>
      </c>
      <c r="AB667" s="79">
        <f>IF(AA667="","",IF(AH667=1,1,IF(AA667="","",IF(AA667&lt;AsOf,1,IF(AA667&lt;=AsOf+AlertDays,2,IF(AA667&lt;=AsOf+2*AlertDays,3,""))))))</f>
        <v/>
      </c>
      <c r="AC667" s="79">
        <f>IF(AB667="","",IF(AH667=1,IF(Y667="⚠️ Delivery after install date","Delivery after install date: "&amp;B667,"Order late — install at risk: "&amp;B667),IF(AD667=1,IF(AB667=1,"Decision overdue: ","Decide: ")&amp;B667,"Order: "&amp;B667&amp;IF(N667="",""," from "&amp;N667))))</f>
        <v/>
      </c>
      <c r="AD667" s="79">
        <f>IF(AND(B667&lt;&gt;"",K667="",U667&lt;&gt;"Yes",X667&lt;&gt;"Yes"),1,0)</f>
        <v/>
      </c>
      <c r="AE667" s="79">
        <f>IF(AND(AD667=1,T667&lt;&gt;""),IF(T667&lt;AsOf,1,0),0)</f>
        <v/>
      </c>
      <c r="AF667" s="79">
        <f>IF(AND(AD667=1,T667&lt;&gt;""),IF(AND(T667&gt;=AsOf,T667&lt;=AsOf+AlertDays),1,0),0)</f>
        <v/>
      </c>
      <c r="AG667" s="79">
        <f>IF(Y667="Order now",1,0)</f>
        <v/>
      </c>
      <c r="AH667" s="79">
        <f>IF(OR(Y667="⚠️ Order late — install at risk",Y667="⚠️ Delivery after install date"),1,0)</f>
        <v/>
      </c>
      <c r="AI667" s="79">
        <f>IF(AND(B667&lt;&gt;"",K667&lt;&gt;"",U667&lt;&gt;"Yes",X667&lt;&gt;"Yes"),1,0)</f>
        <v/>
      </c>
      <c r="AJ667" s="79">
        <f>IF(Y667="⚠️ Order late — install at risk",1,0)</f>
        <v/>
      </c>
    </row>
    <row r="668" ht="20" customHeight="1">
      <c r="B668" s="72" t="n"/>
      <c r="C668" s="72" t="n"/>
      <c r="D668" s="72" t="n"/>
      <c r="E668" s="72" t="n"/>
      <c r="F668" s="73" t="n"/>
      <c r="G668" s="72" t="n"/>
      <c r="H668" s="73" t="n"/>
      <c r="I668" s="72" t="n"/>
      <c r="J668" s="73" t="n"/>
      <c r="K668" s="74" t="n"/>
      <c r="L668" s="75">
        <f>IF(K668="A",F668,IF(K668="B",H668,IF(K668="C",J668,"")))</f>
        <v/>
      </c>
      <c r="M668" s="72" t="n"/>
      <c r="N668" s="72" t="n"/>
      <c r="O668" s="89" t="n"/>
      <c r="P668" s="89" t="n"/>
      <c r="Q668" s="109" t="n"/>
      <c r="R668" s="120">
        <f>IF(B668="","",IF(Q668&lt;&gt;"",Q668,IF(P668="","",IFERROR(INDEX('Timeline'!$J$7:$J$1006,MATCH(P668,'Timeline'!$B$7:$B$1006,0)),""))))</f>
        <v/>
      </c>
      <c r="S668" s="126">
        <f>IF(R668="","",R668-IF(O668="",0,O668)-OrderBuf)</f>
        <v/>
      </c>
      <c r="T668" s="126">
        <f>IF(S668="","",S668-DecideBuf)</f>
        <v/>
      </c>
      <c r="U668" s="74" t="n"/>
      <c r="V668" s="109" t="n"/>
      <c r="W668" s="109" t="n"/>
      <c r="X668" s="74" t="n"/>
      <c r="Y668" s="116">
        <f>IF(B668="","",IF(X668="Yes","Delivered",IF(U668="Yes",IF(AND(W668&lt;&gt;"",R668&lt;&gt;""),IF(W668&gt;R668,"⚠️ Delivery after install date","Ordered"),"Ordered"),IF(K668="",IF(T668="","Waiting for decision",IF(T668&lt;=AsOf+AlertDays,"Decide now","Waiting for decision")),IF(S668="","Selected",IF(AsOf&gt;S668,"⚠️ Order late — install at risk",IF(S668&lt;=AsOf+AlertDays,"Order now","Selected")))))))</f>
        <v/>
      </c>
      <c r="Z668" s="79">
        <f>IF(B668="","",IF(OR(AH668=1,AE668=1),2,IF(OR(AG668=1,AF668=1),1,IF(OR(Y668="Ordered",Y668="Delivered"),0,""))))</f>
        <v/>
      </c>
      <c r="AA668" s="112">
        <f>IF(B668="","",IF(AH668=1,IF(Y668="⚠️ Delivery after install date",R668,S668),IF(AD668=1,T668,IF(AI668=1,S668,""))))</f>
        <v/>
      </c>
      <c r="AB668" s="79">
        <f>IF(AA668="","",IF(AH668=1,1,IF(AA668="","",IF(AA668&lt;AsOf,1,IF(AA668&lt;=AsOf+AlertDays,2,IF(AA668&lt;=AsOf+2*AlertDays,3,""))))))</f>
        <v/>
      </c>
      <c r="AC668" s="79">
        <f>IF(AB668="","",IF(AH668=1,IF(Y668="⚠️ Delivery after install date","Delivery after install date: "&amp;B668,"Order late — install at risk: "&amp;B668),IF(AD668=1,IF(AB668=1,"Decision overdue: ","Decide: ")&amp;B668,"Order: "&amp;B668&amp;IF(N668="",""," from "&amp;N668))))</f>
        <v/>
      </c>
      <c r="AD668" s="79">
        <f>IF(AND(B668&lt;&gt;"",K668="",U668&lt;&gt;"Yes",X668&lt;&gt;"Yes"),1,0)</f>
        <v/>
      </c>
      <c r="AE668" s="79">
        <f>IF(AND(AD668=1,T668&lt;&gt;""),IF(T668&lt;AsOf,1,0),0)</f>
        <v/>
      </c>
      <c r="AF668" s="79">
        <f>IF(AND(AD668=1,T668&lt;&gt;""),IF(AND(T668&gt;=AsOf,T668&lt;=AsOf+AlertDays),1,0),0)</f>
        <v/>
      </c>
      <c r="AG668" s="79">
        <f>IF(Y668="Order now",1,0)</f>
        <v/>
      </c>
      <c r="AH668" s="79">
        <f>IF(OR(Y668="⚠️ Order late — install at risk",Y668="⚠️ Delivery after install date"),1,0)</f>
        <v/>
      </c>
      <c r="AI668" s="79">
        <f>IF(AND(B668&lt;&gt;"",K668&lt;&gt;"",U668&lt;&gt;"Yes",X668&lt;&gt;"Yes"),1,0)</f>
        <v/>
      </c>
      <c r="AJ668" s="79">
        <f>IF(Y668="⚠️ Order late — install at risk",1,0)</f>
        <v/>
      </c>
    </row>
    <row r="669" ht="20" customHeight="1">
      <c r="B669" s="72" t="n"/>
      <c r="C669" s="72" t="n"/>
      <c r="D669" s="72" t="n"/>
      <c r="E669" s="72" t="n"/>
      <c r="F669" s="73" t="n"/>
      <c r="G669" s="72" t="n"/>
      <c r="H669" s="73" t="n"/>
      <c r="I669" s="72" t="n"/>
      <c r="J669" s="73" t="n"/>
      <c r="K669" s="74" t="n"/>
      <c r="L669" s="75">
        <f>IF(K669="A",F669,IF(K669="B",H669,IF(K669="C",J669,"")))</f>
        <v/>
      </c>
      <c r="M669" s="72" t="n"/>
      <c r="N669" s="72" t="n"/>
      <c r="O669" s="89" t="n"/>
      <c r="P669" s="89" t="n"/>
      <c r="Q669" s="109" t="n"/>
      <c r="R669" s="120">
        <f>IF(B669="","",IF(Q669&lt;&gt;"",Q669,IF(P669="","",IFERROR(INDEX('Timeline'!$J$7:$J$1006,MATCH(P669,'Timeline'!$B$7:$B$1006,0)),""))))</f>
        <v/>
      </c>
      <c r="S669" s="126">
        <f>IF(R669="","",R669-IF(O669="",0,O669)-OrderBuf)</f>
        <v/>
      </c>
      <c r="T669" s="126">
        <f>IF(S669="","",S669-DecideBuf)</f>
        <v/>
      </c>
      <c r="U669" s="74" t="n"/>
      <c r="V669" s="109" t="n"/>
      <c r="W669" s="109" t="n"/>
      <c r="X669" s="74" t="n"/>
      <c r="Y669" s="116">
        <f>IF(B669="","",IF(X669="Yes","Delivered",IF(U669="Yes",IF(AND(W669&lt;&gt;"",R669&lt;&gt;""),IF(W669&gt;R669,"⚠️ Delivery after install date","Ordered"),"Ordered"),IF(K669="",IF(T669="","Waiting for decision",IF(T669&lt;=AsOf+AlertDays,"Decide now","Waiting for decision")),IF(S669="","Selected",IF(AsOf&gt;S669,"⚠️ Order late — install at risk",IF(S669&lt;=AsOf+AlertDays,"Order now","Selected")))))))</f>
        <v/>
      </c>
      <c r="Z669" s="79">
        <f>IF(B669="","",IF(OR(AH669=1,AE669=1),2,IF(OR(AG669=1,AF669=1),1,IF(OR(Y669="Ordered",Y669="Delivered"),0,""))))</f>
        <v/>
      </c>
      <c r="AA669" s="112">
        <f>IF(B669="","",IF(AH669=1,IF(Y669="⚠️ Delivery after install date",R669,S669),IF(AD669=1,T669,IF(AI669=1,S669,""))))</f>
        <v/>
      </c>
      <c r="AB669" s="79">
        <f>IF(AA669="","",IF(AH669=1,1,IF(AA669="","",IF(AA669&lt;AsOf,1,IF(AA669&lt;=AsOf+AlertDays,2,IF(AA669&lt;=AsOf+2*AlertDays,3,""))))))</f>
        <v/>
      </c>
      <c r="AC669" s="79">
        <f>IF(AB669="","",IF(AH669=1,IF(Y669="⚠️ Delivery after install date","Delivery after install date: "&amp;B669,"Order late — install at risk: "&amp;B669),IF(AD669=1,IF(AB669=1,"Decision overdue: ","Decide: ")&amp;B669,"Order: "&amp;B669&amp;IF(N669="",""," from "&amp;N669))))</f>
        <v/>
      </c>
      <c r="AD669" s="79">
        <f>IF(AND(B669&lt;&gt;"",K669="",U669&lt;&gt;"Yes",X669&lt;&gt;"Yes"),1,0)</f>
        <v/>
      </c>
      <c r="AE669" s="79">
        <f>IF(AND(AD669=1,T669&lt;&gt;""),IF(T669&lt;AsOf,1,0),0)</f>
        <v/>
      </c>
      <c r="AF669" s="79">
        <f>IF(AND(AD669=1,T669&lt;&gt;""),IF(AND(T669&gt;=AsOf,T669&lt;=AsOf+AlertDays),1,0),0)</f>
        <v/>
      </c>
      <c r="AG669" s="79">
        <f>IF(Y669="Order now",1,0)</f>
        <v/>
      </c>
      <c r="AH669" s="79">
        <f>IF(OR(Y669="⚠️ Order late — install at risk",Y669="⚠️ Delivery after install date"),1,0)</f>
        <v/>
      </c>
      <c r="AI669" s="79">
        <f>IF(AND(B669&lt;&gt;"",K669&lt;&gt;"",U669&lt;&gt;"Yes",X669&lt;&gt;"Yes"),1,0)</f>
        <v/>
      </c>
      <c r="AJ669" s="79">
        <f>IF(Y669="⚠️ Order late — install at risk",1,0)</f>
        <v/>
      </c>
    </row>
    <row r="670" ht="20" customHeight="1">
      <c r="B670" s="72" t="n"/>
      <c r="C670" s="72" t="n"/>
      <c r="D670" s="72" t="n"/>
      <c r="E670" s="72" t="n"/>
      <c r="F670" s="73" t="n"/>
      <c r="G670" s="72" t="n"/>
      <c r="H670" s="73" t="n"/>
      <c r="I670" s="72" t="n"/>
      <c r="J670" s="73" t="n"/>
      <c r="K670" s="74" t="n"/>
      <c r="L670" s="75">
        <f>IF(K670="A",F670,IF(K670="B",H670,IF(K670="C",J670,"")))</f>
        <v/>
      </c>
      <c r="M670" s="72" t="n"/>
      <c r="N670" s="72" t="n"/>
      <c r="O670" s="89" t="n"/>
      <c r="P670" s="89" t="n"/>
      <c r="Q670" s="109" t="n"/>
      <c r="R670" s="120">
        <f>IF(B670="","",IF(Q670&lt;&gt;"",Q670,IF(P670="","",IFERROR(INDEX('Timeline'!$J$7:$J$1006,MATCH(P670,'Timeline'!$B$7:$B$1006,0)),""))))</f>
        <v/>
      </c>
      <c r="S670" s="126">
        <f>IF(R670="","",R670-IF(O670="",0,O670)-OrderBuf)</f>
        <v/>
      </c>
      <c r="T670" s="126">
        <f>IF(S670="","",S670-DecideBuf)</f>
        <v/>
      </c>
      <c r="U670" s="74" t="n"/>
      <c r="V670" s="109" t="n"/>
      <c r="W670" s="109" t="n"/>
      <c r="X670" s="74" t="n"/>
      <c r="Y670" s="116">
        <f>IF(B670="","",IF(X670="Yes","Delivered",IF(U670="Yes",IF(AND(W670&lt;&gt;"",R670&lt;&gt;""),IF(W670&gt;R670,"⚠️ Delivery after install date","Ordered"),"Ordered"),IF(K670="",IF(T670="","Waiting for decision",IF(T670&lt;=AsOf+AlertDays,"Decide now","Waiting for decision")),IF(S670="","Selected",IF(AsOf&gt;S670,"⚠️ Order late — install at risk",IF(S670&lt;=AsOf+AlertDays,"Order now","Selected")))))))</f>
        <v/>
      </c>
      <c r="Z670" s="79">
        <f>IF(B670="","",IF(OR(AH670=1,AE670=1),2,IF(OR(AG670=1,AF670=1),1,IF(OR(Y670="Ordered",Y670="Delivered"),0,""))))</f>
        <v/>
      </c>
      <c r="AA670" s="112">
        <f>IF(B670="","",IF(AH670=1,IF(Y670="⚠️ Delivery after install date",R670,S670),IF(AD670=1,T670,IF(AI670=1,S670,""))))</f>
        <v/>
      </c>
      <c r="AB670" s="79">
        <f>IF(AA670="","",IF(AH670=1,1,IF(AA670="","",IF(AA670&lt;AsOf,1,IF(AA670&lt;=AsOf+AlertDays,2,IF(AA670&lt;=AsOf+2*AlertDays,3,""))))))</f>
        <v/>
      </c>
      <c r="AC670" s="79">
        <f>IF(AB670="","",IF(AH670=1,IF(Y670="⚠️ Delivery after install date","Delivery after install date: "&amp;B670,"Order late — install at risk: "&amp;B670),IF(AD670=1,IF(AB670=1,"Decision overdue: ","Decide: ")&amp;B670,"Order: "&amp;B670&amp;IF(N670="",""," from "&amp;N670))))</f>
        <v/>
      </c>
      <c r="AD670" s="79">
        <f>IF(AND(B670&lt;&gt;"",K670="",U670&lt;&gt;"Yes",X670&lt;&gt;"Yes"),1,0)</f>
        <v/>
      </c>
      <c r="AE670" s="79">
        <f>IF(AND(AD670=1,T670&lt;&gt;""),IF(T670&lt;AsOf,1,0),0)</f>
        <v/>
      </c>
      <c r="AF670" s="79">
        <f>IF(AND(AD670=1,T670&lt;&gt;""),IF(AND(T670&gt;=AsOf,T670&lt;=AsOf+AlertDays),1,0),0)</f>
        <v/>
      </c>
      <c r="AG670" s="79">
        <f>IF(Y670="Order now",1,0)</f>
        <v/>
      </c>
      <c r="AH670" s="79">
        <f>IF(OR(Y670="⚠️ Order late — install at risk",Y670="⚠️ Delivery after install date"),1,0)</f>
        <v/>
      </c>
      <c r="AI670" s="79">
        <f>IF(AND(B670&lt;&gt;"",K670&lt;&gt;"",U670&lt;&gt;"Yes",X670&lt;&gt;"Yes"),1,0)</f>
        <v/>
      </c>
      <c r="AJ670" s="79">
        <f>IF(Y670="⚠️ Order late — install at risk",1,0)</f>
        <v/>
      </c>
    </row>
    <row r="671" ht="20" customHeight="1">
      <c r="B671" s="72" t="n"/>
      <c r="C671" s="72" t="n"/>
      <c r="D671" s="72" t="n"/>
      <c r="E671" s="72" t="n"/>
      <c r="F671" s="73" t="n"/>
      <c r="G671" s="72" t="n"/>
      <c r="H671" s="73" t="n"/>
      <c r="I671" s="72" t="n"/>
      <c r="J671" s="73" t="n"/>
      <c r="K671" s="74" t="n"/>
      <c r="L671" s="75">
        <f>IF(K671="A",F671,IF(K671="B",H671,IF(K671="C",J671,"")))</f>
        <v/>
      </c>
      <c r="M671" s="72" t="n"/>
      <c r="N671" s="72" t="n"/>
      <c r="O671" s="89" t="n"/>
      <c r="P671" s="89" t="n"/>
      <c r="Q671" s="109" t="n"/>
      <c r="R671" s="120">
        <f>IF(B671="","",IF(Q671&lt;&gt;"",Q671,IF(P671="","",IFERROR(INDEX('Timeline'!$J$7:$J$1006,MATCH(P671,'Timeline'!$B$7:$B$1006,0)),""))))</f>
        <v/>
      </c>
      <c r="S671" s="126">
        <f>IF(R671="","",R671-IF(O671="",0,O671)-OrderBuf)</f>
        <v/>
      </c>
      <c r="T671" s="126">
        <f>IF(S671="","",S671-DecideBuf)</f>
        <v/>
      </c>
      <c r="U671" s="74" t="n"/>
      <c r="V671" s="109" t="n"/>
      <c r="W671" s="109" t="n"/>
      <c r="X671" s="74" t="n"/>
      <c r="Y671" s="116">
        <f>IF(B671="","",IF(X671="Yes","Delivered",IF(U671="Yes",IF(AND(W671&lt;&gt;"",R671&lt;&gt;""),IF(W671&gt;R671,"⚠️ Delivery after install date","Ordered"),"Ordered"),IF(K671="",IF(T671="","Waiting for decision",IF(T671&lt;=AsOf+AlertDays,"Decide now","Waiting for decision")),IF(S671="","Selected",IF(AsOf&gt;S671,"⚠️ Order late — install at risk",IF(S671&lt;=AsOf+AlertDays,"Order now","Selected")))))))</f>
        <v/>
      </c>
      <c r="Z671" s="79">
        <f>IF(B671="","",IF(OR(AH671=1,AE671=1),2,IF(OR(AG671=1,AF671=1),1,IF(OR(Y671="Ordered",Y671="Delivered"),0,""))))</f>
        <v/>
      </c>
      <c r="AA671" s="112">
        <f>IF(B671="","",IF(AH671=1,IF(Y671="⚠️ Delivery after install date",R671,S671),IF(AD671=1,T671,IF(AI671=1,S671,""))))</f>
        <v/>
      </c>
      <c r="AB671" s="79">
        <f>IF(AA671="","",IF(AH671=1,1,IF(AA671="","",IF(AA671&lt;AsOf,1,IF(AA671&lt;=AsOf+AlertDays,2,IF(AA671&lt;=AsOf+2*AlertDays,3,""))))))</f>
        <v/>
      </c>
      <c r="AC671" s="79">
        <f>IF(AB671="","",IF(AH671=1,IF(Y671="⚠️ Delivery after install date","Delivery after install date: "&amp;B671,"Order late — install at risk: "&amp;B671),IF(AD671=1,IF(AB671=1,"Decision overdue: ","Decide: ")&amp;B671,"Order: "&amp;B671&amp;IF(N671="",""," from "&amp;N671))))</f>
        <v/>
      </c>
      <c r="AD671" s="79">
        <f>IF(AND(B671&lt;&gt;"",K671="",U671&lt;&gt;"Yes",X671&lt;&gt;"Yes"),1,0)</f>
        <v/>
      </c>
      <c r="AE671" s="79">
        <f>IF(AND(AD671=1,T671&lt;&gt;""),IF(T671&lt;AsOf,1,0),0)</f>
        <v/>
      </c>
      <c r="AF671" s="79">
        <f>IF(AND(AD671=1,T671&lt;&gt;""),IF(AND(T671&gt;=AsOf,T671&lt;=AsOf+AlertDays),1,0),0)</f>
        <v/>
      </c>
      <c r="AG671" s="79">
        <f>IF(Y671="Order now",1,0)</f>
        <v/>
      </c>
      <c r="AH671" s="79">
        <f>IF(OR(Y671="⚠️ Order late — install at risk",Y671="⚠️ Delivery after install date"),1,0)</f>
        <v/>
      </c>
      <c r="AI671" s="79">
        <f>IF(AND(B671&lt;&gt;"",K671&lt;&gt;"",U671&lt;&gt;"Yes",X671&lt;&gt;"Yes"),1,0)</f>
        <v/>
      </c>
      <c r="AJ671" s="79">
        <f>IF(Y671="⚠️ Order late — install at risk",1,0)</f>
        <v/>
      </c>
    </row>
    <row r="672" ht="20" customHeight="1">
      <c r="B672" s="72" t="n"/>
      <c r="C672" s="72" t="n"/>
      <c r="D672" s="72" t="n"/>
      <c r="E672" s="72" t="n"/>
      <c r="F672" s="73" t="n"/>
      <c r="G672" s="72" t="n"/>
      <c r="H672" s="73" t="n"/>
      <c r="I672" s="72" t="n"/>
      <c r="J672" s="73" t="n"/>
      <c r="K672" s="74" t="n"/>
      <c r="L672" s="75">
        <f>IF(K672="A",F672,IF(K672="B",H672,IF(K672="C",J672,"")))</f>
        <v/>
      </c>
      <c r="M672" s="72" t="n"/>
      <c r="N672" s="72" t="n"/>
      <c r="O672" s="89" t="n"/>
      <c r="P672" s="89" t="n"/>
      <c r="Q672" s="109" t="n"/>
      <c r="R672" s="120">
        <f>IF(B672="","",IF(Q672&lt;&gt;"",Q672,IF(P672="","",IFERROR(INDEX('Timeline'!$J$7:$J$1006,MATCH(P672,'Timeline'!$B$7:$B$1006,0)),""))))</f>
        <v/>
      </c>
      <c r="S672" s="126">
        <f>IF(R672="","",R672-IF(O672="",0,O672)-OrderBuf)</f>
        <v/>
      </c>
      <c r="T672" s="126">
        <f>IF(S672="","",S672-DecideBuf)</f>
        <v/>
      </c>
      <c r="U672" s="74" t="n"/>
      <c r="V672" s="109" t="n"/>
      <c r="W672" s="109" t="n"/>
      <c r="X672" s="74" t="n"/>
      <c r="Y672" s="116">
        <f>IF(B672="","",IF(X672="Yes","Delivered",IF(U672="Yes",IF(AND(W672&lt;&gt;"",R672&lt;&gt;""),IF(W672&gt;R672,"⚠️ Delivery after install date","Ordered"),"Ordered"),IF(K672="",IF(T672="","Waiting for decision",IF(T672&lt;=AsOf+AlertDays,"Decide now","Waiting for decision")),IF(S672="","Selected",IF(AsOf&gt;S672,"⚠️ Order late — install at risk",IF(S672&lt;=AsOf+AlertDays,"Order now","Selected")))))))</f>
        <v/>
      </c>
      <c r="Z672" s="79">
        <f>IF(B672="","",IF(OR(AH672=1,AE672=1),2,IF(OR(AG672=1,AF672=1),1,IF(OR(Y672="Ordered",Y672="Delivered"),0,""))))</f>
        <v/>
      </c>
      <c r="AA672" s="112">
        <f>IF(B672="","",IF(AH672=1,IF(Y672="⚠️ Delivery after install date",R672,S672),IF(AD672=1,T672,IF(AI672=1,S672,""))))</f>
        <v/>
      </c>
      <c r="AB672" s="79">
        <f>IF(AA672="","",IF(AH672=1,1,IF(AA672="","",IF(AA672&lt;AsOf,1,IF(AA672&lt;=AsOf+AlertDays,2,IF(AA672&lt;=AsOf+2*AlertDays,3,""))))))</f>
        <v/>
      </c>
      <c r="AC672" s="79">
        <f>IF(AB672="","",IF(AH672=1,IF(Y672="⚠️ Delivery after install date","Delivery after install date: "&amp;B672,"Order late — install at risk: "&amp;B672),IF(AD672=1,IF(AB672=1,"Decision overdue: ","Decide: ")&amp;B672,"Order: "&amp;B672&amp;IF(N672="",""," from "&amp;N672))))</f>
        <v/>
      </c>
      <c r="AD672" s="79">
        <f>IF(AND(B672&lt;&gt;"",K672="",U672&lt;&gt;"Yes",X672&lt;&gt;"Yes"),1,0)</f>
        <v/>
      </c>
      <c r="AE672" s="79">
        <f>IF(AND(AD672=1,T672&lt;&gt;""),IF(T672&lt;AsOf,1,0),0)</f>
        <v/>
      </c>
      <c r="AF672" s="79">
        <f>IF(AND(AD672=1,T672&lt;&gt;""),IF(AND(T672&gt;=AsOf,T672&lt;=AsOf+AlertDays),1,0),0)</f>
        <v/>
      </c>
      <c r="AG672" s="79">
        <f>IF(Y672="Order now",1,0)</f>
        <v/>
      </c>
      <c r="AH672" s="79">
        <f>IF(OR(Y672="⚠️ Order late — install at risk",Y672="⚠️ Delivery after install date"),1,0)</f>
        <v/>
      </c>
      <c r="AI672" s="79">
        <f>IF(AND(B672&lt;&gt;"",K672&lt;&gt;"",U672&lt;&gt;"Yes",X672&lt;&gt;"Yes"),1,0)</f>
        <v/>
      </c>
      <c r="AJ672" s="79">
        <f>IF(Y672="⚠️ Order late — install at risk",1,0)</f>
        <v/>
      </c>
    </row>
    <row r="673" ht="20" customHeight="1">
      <c r="B673" s="72" t="n"/>
      <c r="C673" s="72" t="n"/>
      <c r="D673" s="72" t="n"/>
      <c r="E673" s="72" t="n"/>
      <c r="F673" s="73" t="n"/>
      <c r="G673" s="72" t="n"/>
      <c r="H673" s="73" t="n"/>
      <c r="I673" s="72" t="n"/>
      <c r="J673" s="73" t="n"/>
      <c r="K673" s="74" t="n"/>
      <c r="L673" s="75">
        <f>IF(K673="A",F673,IF(K673="B",H673,IF(K673="C",J673,"")))</f>
        <v/>
      </c>
      <c r="M673" s="72" t="n"/>
      <c r="N673" s="72" t="n"/>
      <c r="O673" s="89" t="n"/>
      <c r="P673" s="89" t="n"/>
      <c r="Q673" s="109" t="n"/>
      <c r="R673" s="120">
        <f>IF(B673="","",IF(Q673&lt;&gt;"",Q673,IF(P673="","",IFERROR(INDEX('Timeline'!$J$7:$J$1006,MATCH(P673,'Timeline'!$B$7:$B$1006,0)),""))))</f>
        <v/>
      </c>
      <c r="S673" s="126">
        <f>IF(R673="","",R673-IF(O673="",0,O673)-OrderBuf)</f>
        <v/>
      </c>
      <c r="T673" s="126">
        <f>IF(S673="","",S673-DecideBuf)</f>
        <v/>
      </c>
      <c r="U673" s="74" t="n"/>
      <c r="V673" s="109" t="n"/>
      <c r="W673" s="109" t="n"/>
      <c r="X673" s="74" t="n"/>
      <c r="Y673" s="116">
        <f>IF(B673="","",IF(X673="Yes","Delivered",IF(U673="Yes",IF(AND(W673&lt;&gt;"",R673&lt;&gt;""),IF(W673&gt;R673,"⚠️ Delivery after install date","Ordered"),"Ordered"),IF(K673="",IF(T673="","Waiting for decision",IF(T673&lt;=AsOf+AlertDays,"Decide now","Waiting for decision")),IF(S673="","Selected",IF(AsOf&gt;S673,"⚠️ Order late — install at risk",IF(S673&lt;=AsOf+AlertDays,"Order now","Selected")))))))</f>
        <v/>
      </c>
      <c r="Z673" s="79">
        <f>IF(B673="","",IF(OR(AH673=1,AE673=1),2,IF(OR(AG673=1,AF673=1),1,IF(OR(Y673="Ordered",Y673="Delivered"),0,""))))</f>
        <v/>
      </c>
      <c r="AA673" s="112">
        <f>IF(B673="","",IF(AH673=1,IF(Y673="⚠️ Delivery after install date",R673,S673),IF(AD673=1,T673,IF(AI673=1,S673,""))))</f>
        <v/>
      </c>
      <c r="AB673" s="79">
        <f>IF(AA673="","",IF(AH673=1,1,IF(AA673="","",IF(AA673&lt;AsOf,1,IF(AA673&lt;=AsOf+AlertDays,2,IF(AA673&lt;=AsOf+2*AlertDays,3,""))))))</f>
        <v/>
      </c>
      <c r="AC673" s="79">
        <f>IF(AB673="","",IF(AH673=1,IF(Y673="⚠️ Delivery after install date","Delivery after install date: "&amp;B673,"Order late — install at risk: "&amp;B673),IF(AD673=1,IF(AB673=1,"Decision overdue: ","Decide: ")&amp;B673,"Order: "&amp;B673&amp;IF(N673="",""," from "&amp;N673))))</f>
        <v/>
      </c>
      <c r="AD673" s="79">
        <f>IF(AND(B673&lt;&gt;"",K673="",U673&lt;&gt;"Yes",X673&lt;&gt;"Yes"),1,0)</f>
        <v/>
      </c>
      <c r="AE673" s="79">
        <f>IF(AND(AD673=1,T673&lt;&gt;""),IF(T673&lt;AsOf,1,0),0)</f>
        <v/>
      </c>
      <c r="AF673" s="79">
        <f>IF(AND(AD673=1,T673&lt;&gt;""),IF(AND(T673&gt;=AsOf,T673&lt;=AsOf+AlertDays),1,0),0)</f>
        <v/>
      </c>
      <c r="AG673" s="79">
        <f>IF(Y673="Order now",1,0)</f>
        <v/>
      </c>
      <c r="AH673" s="79">
        <f>IF(OR(Y673="⚠️ Order late — install at risk",Y673="⚠️ Delivery after install date"),1,0)</f>
        <v/>
      </c>
      <c r="AI673" s="79">
        <f>IF(AND(B673&lt;&gt;"",K673&lt;&gt;"",U673&lt;&gt;"Yes",X673&lt;&gt;"Yes"),1,0)</f>
        <v/>
      </c>
      <c r="AJ673" s="79">
        <f>IF(Y673="⚠️ Order late — install at risk",1,0)</f>
        <v/>
      </c>
    </row>
    <row r="674" ht="20" customHeight="1">
      <c r="B674" s="72" t="n"/>
      <c r="C674" s="72" t="n"/>
      <c r="D674" s="72" t="n"/>
      <c r="E674" s="72" t="n"/>
      <c r="F674" s="73" t="n"/>
      <c r="G674" s="72" t="n"/>
      <c r="H674" s="73" t="n"/>
      <c r="I674" s="72" t="n"/>
      <c r="J674" s="73" t="n"/>
      <c r="K674" s="74" t="n"/>
      <c r="L674" s="75">
        <f>IF(K674="A",F674,IF(K674="B",H674,IF(K674="C",J674,"")))</f>
        <v/>
      </c>
      <c r="M674" s="72" t="n"/>
      <c r="N674" s="72" t="n"/>
      <c r="O674" s="89" t="n"/>
      <c r="P674" s="89" t="n"/>
      <c r="Q674" s="109" t="n"/>
      <c r="R674" s="120">
        <f>IF(B674="","",IF(Q674&lt;&gt;"",Q674,IF(P674="","",IFERROR(INDEX('Timeline'!$J$7:$J$1006,MATCH(P674,'Timeline'!$B$7:$B$1006,0)),""))))</f>
        <v/>
      </c>
      <c r="S674" s="126">
        <f>IF(R674="","",R674-IF(O674="",0,O674)-OrderBuf)</f>
        <v/>
      </c>
      <c r="T674" s="126">
        <f>IF(S674="","",S674-DecideBuf)</f>
        <v/>
      </c>
      <c r="U674" s="74" t="n"/>
      <c r="V674" s="109" t="n"/>
      <c r="W674" s="109" t="n"/>
      <c r="X674" s="74" t="n"/>
      <c r="Y674" s="116">
        <f>IF(B674="","",IF(X674="Yes","Delivered",IF(U674="Yes",IF(AND(W674&lt;&gt;"",R674&lt;&gt;""),IF(W674&gt;R674,"⚠️ Delivery after install date","Ordered"),"Ordered"),IF(K674="",IF(T674="","Waiting for decision",IF(T674&lt;=AsOf+AlertDays,"Decide now","Waiting for decision")),IF(S674="","Selected",IF(AsOf&gt;S674,"⚠️ Order late — install at risk",IF(S674&lt;=AsOf+AlertDays,"Order now","Selected")))))))</f>
        <v/>
      </c>
      <c r="Z674" s="79">
        <f>IF(B674="","",IF(OR(AH674=1,AE674=1),2,IF(OR(AG674=1,AF674=1),1,IF(OR(Y674="Ordered",Y674="Delivered"),0,""))))</f>
        <v/>
      </c>
      <c r="AA674" s="112">
        <f>IF(B674="","",IF(AH674=1,IF(Y674="⚠️ Delivery after install date",R674,S674),IF(AD674=1,T674,IF(AI674=1,S674,""))))</f>
        <v/>
      </c>
      <c r="AB674" s="79">
        <f>IF(AA674="","",IF(AH674=1,1,IF(AA674="","",IF(AA674&lt;AsOf,1,IF(AA674&lt;=AsOf+AlertDays,2,IF(AA674&lt;=AsOf+2*AlertDays,3,""))))))</f>
        <v/>
      </c>
      <c r="AC674" s="79">
        <f>IF(AB674="","",IF(AH674=1,IF(Y674="⚠️ Delivery after install date","Delivery after install date: "&amp;B674,"Order late — install at risk: "&amp;B674),IF(AD674=1,IF(AB674=1,"Decision overdue: ","Decide: ")&amp;B674,"Order: "&amp;B674&amp;IF(N674="",""," from "&amp;N674))))</f>
        <v/>
      </c>
      <c r="AD674" s="79">
        <f>IF(AND(B674&lt;&gt;"",K674="",U674&lt;&gt;"Yes",X674&lt;&gt;"Yes"),1,0)</f>
        <v/>
      </c>
      <c r="AE674" s="79">
        <f>IF(AND(AD674=1,T674&lt;&gt;""),IF(T674&lt;AsOf,1,0),0)</f>
        <v/>
      </c>
      <c r="AF674" s="79">
        <f>IF(AND(AD674=1,T674&lt;&gt;""),IF(AND(T674&gt;=AsOf,T674&lt;=AsOf+AlertDays),1,0),0)</f>
        <v/>
      </c>
      <c r="AG674" s="79">
        <f>IF(Y674="Order now",1,0)</f>
        <v/>
      </c>
      <c r="AH674" s="79">
        <f>IF(OR(Y674="⚠️ Order late — install at risk",Y674="⚠️ Delivery after install date"),1,0)</f>
        <v/>
      </c>
      <c r="AI674" s="79">
        <f>IF(AND(B674&lt;&gt;"",K674&lt;&gt;"",U674&lt;&gt;"Yes",X674&lt;&gt;"Yes"),1,0)</f>
        <v/>
      </c>
      <c r="AJ674" s="79">
        <f>IF(Y674="⚠️ Order late — install at risk",1,0)</f>
        <v/>
      </c>
    </row>
    <row r="675" ht="20" customHeight="1">
      <c r="B675" s="72" t="n"/>
      <c r="C675" s="72" t="n"/>
      <c r="D675" s="72" t="n"/>
      <c r="E675" s="72" t="n"/>
      <c r="F675" s="73" t="n"/>
      <c r="G675" s="72" t="n"/>
      <c r="H675" s="73" t="n"/>
      <c r="I675" s="72" t="n"/>
      <c r="J675" s="73" t="n"/>
      <c r="K675" s="74" t="n"/>
      <c r="L675" s="75">
        <f>IF(K675="A",F675,IF(K675="B",H675,IF(K675="C",J675,"")))</f>
        <v/>
      </c>
      <c r="M675" s="72" t="n"/>
      <c r="N675" s="72" t="n"/>
      <c r="O675" s="89" t="n"/>
      <c r="P675" s="89" t="n"/>
      <c r="Q675" s="109" t="n"/>
      <c r="R675" s="120">
        <f>IF(B675="","",IF(Q675&lt;&gt;"",Q675,IF(P675="","",IFERROR(INDEX('Timeline'!$J$7:$J$1006,MATCH(P675,'Timeline'!$B$7:$B$1006,0)),""))))</f>
        <v/>
      </c>
      <c r="S675" s="126">
        <f>IF(R675="","",R675-IF(O675="",0,O675)-OrderBuf)</f>
        <v/>
      </c>
      <c r="T675" s="126">
        <f>IF(S675="","",S675-DecideBuf)</f>
        <v/>
      </c>
      <c r="U675" s="74" t="n"/>
      <c r="V675" s="109" t="n"/>
      <c r="W675" s="109" t="n"/>
      <c r="X675" s="74" t="n"/>
      <c r="Y675" s="116">
        <f>IF(B675="","",IF(X675="Yes","Delivered",IF(U675="Yes",IF(AND(W675&lt;&gt;"",R675&lt;&gt;""),IF(W675&gt;R675,"⚠️ Delivery after install date","Ordered"),"Ordered"),IF(K675="",IF(T675="","Waiting for decision",IF(T675&lt;=AsOf+AlertDays,"Decide now","Waiting for decision")),IF(S675="","Selected",IF(AsOf&gt;S675,"⚠️ Order late — install at risk",IF(S675&lt;=AsOf+AlertDays,"Order now","Selected")))))))</f>
        <v/>
      </c>
      <c r="Z675" s="79">
        <f>IF(B675="","",IF(OR(AH675=1,AE675=1),2,IF(OR(AG675=1,AF675=1),1,IF(OR(Y675="Ordered",Y675="Delivered"),0,""))))</f>
        <v/>
      </c>
      <c r="AA675" s="112">
        <f>IF(B675="","",IF(AH675=1,IF(Y675="⚠️ Delivery after install date",R675,S675),IF(AD675=1,T675,IF(AI675=1,S675,""))))</f>
        <v/>
      </c>
      <c r="AB675" s="79">
        <f>IF(AA675="","",IF(AH675=1,1,IF(AA675="","",IF(AA675&lt;AsOf,1,IF(AA675&lt;=AsOf+AlertDays,2,IF(AA675&lt;=AsOf+2*AlertDays,3,""))))))</f>
        <v/>
      </c>
      <c r="AC675" s="79">
        <f>IF(AB675="","",IF(AH675=1,IF(Y675="⚠️ Delivery after install date","Delivery after install date: "&amp;B675,"Order late — install at risk: "&amp;B675),IF(AD675=1,IF(AB675=1,"Decision overdue: ","Decide: ")&amp;B675,"Order: "&amp;B675&amp;IF(N675="",""," from "&amp;N675))))</f>
        <v/>
      </c>
      <c r="AD675" s="79">
        <f>IF(AND(B675&lt;&gt;"",K675="",U675&lt;&gt;"Yes",X675&lt;&gt;"Yes"),1,0)</f>
        <v/>
      </c>
      <c r="AE675" s="79">
        <f>IF(AND(AD675=1,T675&lt;&gt;""),IF(T675&lt;AsOf,1,0),0)</f>
        <v/>
      </c>
      <c r="AF675" s="79">
        <f>IF(AND(AD675=1,T675&lt;&gt;""),IF(AND(T675&gt;=AsOf,T675&lt;=AsOf+AlertDays),1,0),0)</f>
        <v/>
      </c>
      <c r="AG675" s="79">
        <f>IF(Y675="Order now",1,0)</f>
        <v/>
      </c>
      <c r="AH675" s="79">
        <f>IF(OR(Y675="⚠️ Order late — install at risk",Y675="⚠️ Delivery after install date"),1,0)</f>
        <v/>
      </c>
      <c r="AI675" s="79">
        <f>IF(AND(B675&lt;&gt;"",K675&lt;&gt;"",U675&lt;&gt;"Yes",X675&lt;&gt;"Yes"),1,0)</f>
        <v/>
      </c>
      <c r="AJ675" s="79">
        <f>IF(Y675="⚠️ Order late — install at risk",1,0)</f>
        <v/>
      </c>
    </row>
    <row r="676" ht="20" customHeight="1">
      <c r="B676" s="72" t="n"/>
      <c r="C676" s="72" t="n"/>
      <c r="D676" s="72" t="n"/>
      <c r="E676" s="72" t="n"/>
      <c r="F676" s="73" t="n"/>
      <c r="G676" s="72" t="n"/>
      <c r="H676" s="73" t="n"/>
      <c r="I676" s="72" t="n"/>
      <c r="J676" s="73" t="n"/>
      <c r="K676" s="74" t="n"/>
      <c r="L676" s="75">
        <f>IF(K676="A",F676,IF(K676="B",H676,IF(K676="C",J676,"")))</f>
        <v/>
      </c>
      <c r="M676" s="72" t="n"/>
      <c r="N676" s="72" t="n"/>
      <c r="O676" s="89" t="n"/>
      <c r="P676" s="89" t="n"/>
      <c r="Q676" s="109" t="n"/>
      <c r="R676" s="120">
        <f>IF(B676="","",IF(Q676&lt;&gt;"",Q676,IF(P676="","",IFERROR(INDEX('Timeline'!$J$7:$J$1006,MATCH(P676,'Timeline'!$B$7:$B$1006,0)),""))))</f>
        <v/>
      </c>
      <c r="S676" s="126">
        <f>IF(R676="","",R676-IF(O676="",0,O676)-OrderBuf)</f>
        <v/>
      </c>
      <c r="T676" s="126">
        <f>IF(S676="","",S676-DecideBuf)</f>
        <v/>
      </c>
      <c r="U676" s="74" t="n"/>
      <c r="V676" s="109" t="n"/>
      <c r="W676" s="109" t="n"/>
      <c r="X676" s="74" t="n"/>
      <c r="Y676" s="116">
        <f>IF(B676="","",IF(X676="Yes","Delivered",IF(U676="Yes",IF(AND(W676&lt;&gt;"",R676&lt;&gt;""),IF(W676&gt;R676,"⚠️ Delivery after install date","Ordered"),"Ordered"),IF(K676="",IF(T676="","Waiting for decision",IF(T676&lt;=AsOf+AlertDays,"Decide now","Waiting for decision")),IF(S676="","Selected",IF(AsOf&gt;S676,"⚠️ Order late — install at risk",IF(S676&lt;=AsOf+AlertDays,"Order now","Selected")))))))</f>
        <v/>
      </c>
      <c r="Z676" s="79">
        <f>IF(B676="","",IF(OR(AH676=1,AE676=1),2,IF(OR(AG676=1,AF676=1),1,IF(OR(Y676="Ordered",Y676="Delivered"),0,""))))</f>
        <v/>
      </c>
      <c r="AA676" s="112">
        <f>IF(B676="","",IF(AH676=1,IF(Y676="⚠️ Delivery after install date",R676,S676),IF(AD676=1,T676,IF(AI676=1,S676,""))))</f>
        <v/>
      </c>
      <c r="AB676" s="79">
        <f>IF(AA676="","",IF(AH676=1,1,IF(AA676="","",IF(AA676&lt;AsOf,1,IF(AA676&lt;=AsOf+AlertDays,2,IF(AA676&lt;=AsOf+2*AlertDays,3,""))))))</f>
        <v/>
      </c>
      <c r="AC676" s="79">
        <f>IF(AB676="","",IF(AH676=1,IF(Y676="⚠️ Delivery after install date","Delivery after install date: "&amp;B676,"Order late — install at risk: "&amp;B676),IF(AD676=1,IF(AB676=1,"Decision overdue: ","Decide: ")&amp;B676,"Order: "&amp;B676&amp;IF(N676="",""," from "&amp;N676))))</f>
        <v/>
      </c>
      <c r="AD676" s="79">
        <f>IF(AND(B676&lt;&gt;"",K676="",U676&lt;&gt;"Yes",X676&lt;&gt;"Yes"),1,0)</f>
        <v/>
      </c>
      <c r="AE676" s="79">
        <f>IF(AND(AD676=1,T676&lt;&gt;""),IF(T676&lt;AsOf,1,0),0)</f>
        <v/>
      </c>
      <c r="AF676" s="79">
        <f>IF(AND(AD676=1,T676&lt;&gt;""),IF(AND(T676&gt;=AsOf,T676&lt;=AsOf+AlertDays),1,0),0)</f>
        <v/>
      </c>
      <c r="AG676" s="79">
        <f>IF(Y676="Order now",1,0)</f>
        <v/>
      </c>
      <c r="AH676" s="79">
        <f>IF(OR(Y676="⚠️ Order late — install at risk",Y676="⚠️ Delivery after install date"),1,0)</f>
        <v/>
      </c>
      <c r="AI676" s="79">
        <f>IF(AND(B676&lt;&gt;"",K676&lt;&gt;"",U676&lt;&gt;"Yes",X676&lt;&gt;"Yes"),1,0)</f>
        <v/>
      </c>
      <c r="AJ676" s="79">
        <f>IF(Y676="⚠️ Order late — install at risk",1,0)</f>
        <v/>
      </c>
    </row>
    <row r="677" ht="20" customHeight="1">
      <c r="B677" s="72" t="n"/>
      <c r="C677" s="72" t="n"/>
      <c r="D677" s="72" t="n"/>
      <c r="E677" s="72" t="n"/>
      <c r="F677" s="73" t="n"/>
      <c r="G677" s="72" t="n"/>
      <c r="H677" s="73" t="n"/>
      <c r="I677" s="72" t="n"/>
      <c r="J677" s="73" t="n"/>
      <c r="K677" s="74" t="n"/>
      <c r="L677" s="75">
        <f>IF(K677="A",F677,IF(K677="B",H677,IF(K677="C",J677,"")))</f>
        <v/>
      </c>
      <c r="M677" s="72" t="n"/>
      <c r="N677" s="72" t="n"/>
      <c r="O677" s="89" t="n"/>
      <c r="P677" s="89" t="n"/>
      <c r="Q677" s="109" t="n"/>
      <c r="R677" s="120">
        <f>IF(B677="","",IF(Q677&lt;&gt;"",Q677,IF(P677="","",IFERROR(INDEX('Timeline'!$J$7:$J$1006,MATCH(P677,'Timeline'!$B$7:$B$1006,0)),""))))</f>
        <v/>
      </c>
      <c r="S677" s="126">
        <f>IF(R677="","",R677-IF(O677="",0,O677)-OrderBuf)</f>
        <v/>
      </c>
      <c r="T677" s="126">
        <f>IF(S677="","",S677-DecideBuf)</f>
        <v/>
      </c>
      <c r="U677" s="74" t="n"/>
      <c r="V677" s="109" t="n"/>
      <c r="W677" s="109" t="n"/>
      <c r="X677" s="74" t="n"/>
      <c r="Y677" s="116">
        <f>IF(B677="","",IF(X677="Yes","Delivered",IF(U677="Yes",IF(AND(W677&lt;&gt;"",R677&lt;&gt;""),IF(W677&gt;R677,"⚠️ Delivery after install date","Ordered"),"Ordered"),IF(K677="",IF(T677="","Waiting for decision",IF(T677&lt;=AsOf+AlertDays,"Decide now","Waiting for decision")),IF(S677="","Selected",IF(AsOf&gt;S677,"⚠️ Order late — install at risk",IF(S677&lt;=AsOf+AlertDays,"Order now","Selected")))))))</f>
        <v/>
      </c>
      <c r="Z677" s="79">
        <f>IF(B677="","",IF(OR(AH677=1,AE677=1),2,IF(OR(AG677=1,AF677=1),1,IF(OR(Y677="Ordered",Y677="Delivered"),0,""))))</f>
        <v/>
      </c>
      <c r="AA677" s="112">
        <f>IF(B677="","",IF(AH677=1,IF(Y677="⚠️ Delivery after install date",R677,S677),IF(AD677=1,T677,IF(AI677=1,S677,""))))</f>
        <v/>
      </c>
      <c r="AB677" s="79">
        <f>IF(AA677="","",IF(AH677=1,1,IF(AA677="","",IF(AA677&lt;AsOf,1,IF(AA677&lt;=AsOf+AlertDays,2,IF(AA677&lt;=AsOf+2*AlertDays,3,""))))))</f>
        <v/>
      </c>
      <c r="AC677" s="79">
        <f>IF(AB677="","",IF(AH677=1,IF(Y677="⚠️ Delivery after install date","Delivery after install date: "&amp;B677,"Order late — install at risk: "&amp;B677),IF(AD677=1,IF(AB677=1,"Decision overdue: ","Decide: ")&amp;B677,"Order: "&amp;B677&amp;IF(N677="",""," from "&amp;N677))))</f>
        <v/>
      </c>
      <c r="AD677" s="79">
        <f>IF(AND(B677&lt;&gt;"",K677="",U677&lt;&gt;"Yes",X677&lt;&gt;"Yes"),1,0)</f>
        <v/>
      </c>
      <c r="AE677" s="79">
        <f>IF(AND(AD677=1,T677&lt;&gt;""),IF(T677&lt;AsOf,1,0),0)</f>
        <v/>
      </c>
      <c r="AF677" s="79">
        <f>IF(AND(AD677=1,T677&lt;&gt;""),IF(AND(T677&gt;=AsOf,T677&lt;=AsOf+AlertDays),1,0),0)</f>
        <v/>
      </c>
      <c r="AG677" s="79">
        <f>IF(Y677="Order now",1,0)</f>
        <v/>
      </c>
      <c r="AH677" s="79">
        <f>IF(OR(Y677="⚠️ Order late — install at risk",Y677="⚠️ Delivery after install date"),1,0)</f>
        <v/>
      </c>
      <c r="AI677" s="79">
        <f>IF(AND(B677&lt;&gt;"",K677&lt;&gt;"",U677&lt;&gt;"Yes",X677&lt;&gt;"Yes"),1,0)</f>
        <v/>
      </c>
      <c r="AJ677" s="79">
        <f>IF(Y677="⚠️ Order late — install at risk",1,0)</f>
        <v/>
      </c>
    </row>
    <row r="678" ht="20" customHeight="1">
      <c r="B678" s="72" t="n"/>
      <c r="C678" s="72" t="n"/>
      <c r="D678" s="72" t="n"/>
      <c r="E678" s="72" t="n"/>
      <c r="F678" s="73" t="n"/>
      <c r="G678" s="72" t="n"/>
      <c r="H678" s="73" t="n"/>
      <c r="I678" s="72" t="n"/>
      <c r="J678" s="73" t="n"/>
      <c r="K678" s="74" t="n"/>
      <c r="L678" s="75">
        <f>IF(K678="A",F678,IF(K678="B",H678,IF(K678="C",J678,"")))</f>
        <v/>
      </c>
      <c r="M678" s="72" t="n"/>
      <c r="N678" s="72" t="n"/>
      <c r="O678" s="89" t="n"/>
      <c r="P678" s="89" t="n"/>
      <c r="Q678" s="109" t="n"/>
      <c r="R678" s="120">
        <f>IF(B678="","",IF(Q678&lt;&gt;"",Q678,IF(P678="","",IFERROR(INDEX('Timeline'!$J$7:$J$1006,MATCH(P678,'Timeline'!$B$7:$B$1006,0)),""))))</f>
        <v/>
      </c>
      <c r="S678" s="126">
        <f>IF(R678="","",R678-IF(O678="",0,O678)-OrderBuf)</f>
        <v/>
      </c>
      <c r="T678" s="126">
        <f>IF(S678="","",S678-DecideBuf)</f>
        <v/>
      </c>
      <c r="U678" s="74" t="n"/>
      <c r="V678" s="109" t="n"/>
      <c r="W678" s="109" t="n"/>
      <c r="X678" s="74" t="n"/>
      <c r="Y678" s="116">
        <f>IF(B678="","",IF(X678="Yes","Delivered",IF(U678="Yes",IF(AND(W678&lt;&gt;"",R678&lt;&gt;""),IF(W678&gt;R678,"⚠️ Delivery after install date","Ordered"),"Ordered"),IF(K678="",IF(T678="","Waiting for decision",IF(T678&lt;=AsOf+AlertDays,"Decide now","Waiting for decision")),IF(S678="","Selected",IF(AsOf&gt;S678,"⚠️ Order late — install at risk",IF(S678&lt;=AsOf+AlertDays,"Order now","Selected")))))))</f>
        <v/>
      </c>
      <c r="Z678" s="79">
        <f>IF(B678="","",IF(OR(AH678=1,AE678=1),2,IF(OR(AG678=1,AF678=1),1,IF(OR(Y678="Ordered",Y678="Delivered"),0,""))))</f>
        <v/>
      </c>
      <c r="AA678" s="112">
        <f>IF(B678="","",IF(AH678=1,IF(Y678="⚠️ Delivery after install date",R678,S678),IF(AD678=1,T678,IF(AI678=1,S678,""))))</f>
        <v/>
      </c>
      <c r="AB678" s="79">
        <f>IF(AA678="","",IF(AH678=1,1,IF(AA678="","",IF(AA678&lt;AsOf,1,IF(AA678&lt;=AsOf+AlertDays,2,IF(AA678&lt;=AsOf+2*AlertDays,3,""))))))</f>
        <v/>
      </c>
      <c r="AC678" s="79">
        <f>IF(AB678="","",IF(AH678=1,IF(Y678="⚠️ Delivery after install date","Delivery after install date: "&amp;B678,"Order late — install at risk: "&amp;B678),IF(AD678=1,IF(AB678=1,"Decision overdue: ","Decide: ")&amp;B678,"Order: "&amp;B678&amp;IF(N678="",""," from "&amp;N678))))</f>
        <v/>
      </c>
      <c r="AD678" s="79">
        <f>IF(AND(B678&lt;&gt;"",K678="",U678&lt;&gt;"Yes",X678&lt;&gt;"Yes"),1,0)</f>
        <v/>
      </c>
      <c r="AE678" s="79">
        <f>IF(AND(AD678=1,T678&lt;&gt;""),IF(T678&lt;AsOf,1,0),0)</f>
        <v/>
      </c>
      <c r="AF678" s="79">
        <f>IF(AND(AD678=1,T678&lt;&gt;""),IF(AND(T678&gt;=AsOf,T678&lt;=AsOf+AlertDays),1,0),0)</f>
        <v/>
      </c>
      <c r="AG678" s="79">
        <f>IF(Y678="Order now",1,0)</f>
        <v/>
      </c>
      <c r="AH678" s="79">
        <f>IF(OR(Y678="⚠️ Order late — install at risk",Y678="⚠️ Delivery after install date"),1,0)</f>
        <v/>
      </c>
      <c r="AI678" s="79">
        <f>IF(AND(B678&lt;&gt;"",K678&lt;&gt;"",U678&lt;&gt;"Yes",X678&lt;&gt;"Yes"),1,0)</f>
        <v/>
      </c>
      <c r="AJ678" s="79">
        <f>IF(Y678="⚠️ Order late — install at risk",1,0)</f>
        <v/>
      </c>
    </row>
    <row r="679" ht="20" customHeight="1">
      <c r="B679" s="72" t="n"/>
      <c r="C679" s="72" t="n"/>
      <c r="D679" s="72" t="n"/>
      <c r="E679" s="72" t="n"/>
      <c r="F679" s="73" t="n"/>
      <c r="G679" s="72" t="n"/>
      <c r="H679" s="73" t="n"/>
      <c r="I679" s="72" t="n"/>
      <c r="J679" s="73" t="n"/>
      <c r="K679" s="74" t="n"/>
      <c r="L679" s="75">
        <f>IF(K679="A",F679,IF(K679="B",H679,IF(K679="C",J679,"")))</f>
        <v/>
      </c>
      <c r="M679" s="72" t="n"/>
      <c r="N679" s="72" t="n"/>
      <c r="O679" s="89" t="n"/>
      <c r="P679" s="89" t="n"/>
      <c r="Q679" s="109" t="n"/>
      <c r="R679" s="120">
        <f>IF(B679="","",IF(Q679&lt;&gt;"",Q679,IF(P679="","",IFERROR(INDEX('Timeline'!$J$7:$J$1006,MATCH(P679,'Timeline'!$B$7:$B$1006,0)),""))))</f>
        <v/>
      </c>
      <c r="S679" s="126">
        <f>IF(R679="","",R679-IF(O679="",0,O679)-OrderBuf)</f>
        <v/>
      </c>
      <c r="T679" s="126">
        <f>IF(S679="","",S679-DecideBuf)</f>
        <v/>
      </c>
      <c r="U679" s="74" t="n"/>
      <c r="V679" s="109" t="n"/>
      <c r="W679" s="109" t="n"/>
      <c r="X679" s="74" t="n"/>
      <c r="Y679" s="116">
        <f>IF(B679="","",IF(X679="Yes","Delivered",IF(U679="Yes",IF(AND(W679&lt;&gt;"",R679&lt;&gt;""),IF(W679&gt;R679,"⚠️ Delivery after install date","Ordered"),"Ordered"),IF(K679="",IF(T679="","Waiting for decision",IF(T679&lt;=AsOf+AlertDays,"Decide now","Waiting for decision")),IF(S679="","Selected",IF(AsOf&gt;S679,"⚠️ Order late — install at risk",IF(S679&lt;=AsOf+AlertDays,"Order now","Selected")))))))</f>
        <v/>
      </c>
      <c r="Z679" s="79">
        <f>IF(B679="","",IF(OR(AH679=1,AE679=1),2,IF(OR(AG679=1,AF679=1),1,IF(OR(Y679="Ordered",Y679="Delivered"),0,""))))</f>
        <v/>
      </c>
      <c r="AA679" s="112">
        <f>IF(B679="","",IF(AH679=1,IF(Y679="⚠️ Delivery after install date",R679,S679),IF(AD679=1,T679,IF(AI679=1,S679,""))))</f>
        <v/>
      </c>
      <c r="AB679" s="79">
        <f>IF(AA679="","",IF(AH679=1,1,IF(AA679="","",IF(AA679&lt;AsOf,1,IF(AA679&lt;=AsOf+AlertDays,2,IF(AA679&lt;=AsOf+2*AlertDays,3,""))))))</f>
        <v/>
      </c>
      <c r="AC679" s="79">
        <f>IF(AB679="","",IF(AH679=1,IF(Y679="⚠️ Delivery after install date","Delivery after install date: "&amp;B679,"Order late — install at risk: "&amp;B679),IF(AD679=1,IF(AB679=1,"Decision overdue: ","Decide: ")&amp;B679,"Order: "&amp;B679&amp;IF(N679="",""," from "&amp;N679))))</f>
        <v/>
      </c>
      <c r="AD679" s="79">
        <f>IF(AND(B679&lt;&gt;"",K679="",U679&lt;&gt;"Yes",X679&lt;&gt;"Yes"),1,0)</f>
        <v/>
      </c>
      <c r="AE679" s="79">
        <f>IF(AND(AD679=1,T679&lt;&gt;""),IF(T679&lt;AsOf,1,0),0)</f>
        <v/>
      </c>
      <c r="AF679" s="79">
        <f>IF(AND(AD679=1,T679&lt;&gt;""),IF(AND(T679&gt;=AsOf,T679&lt;=AsOf+AlertDays),1,0),0)</f>
        <v/>
      </c>
      <c r="AG679" s="79">
        <f>IF(Y679="Order now",1,0)</f>
        <v/>
      </c>
      <c r="AH679" s="79">
        <f>IF(OR(Y679="⚠️ Order late — install at risk",Y679="⚠️ Delivery after install date"),1,0)</f>
        <v/>
      </c>
      <c r="AI679" s="79">
        <f>IF(AND(B679&lt;&gt;"",K679&lt;&gt;"",U679&lt;&gt;"Yes",X679&lt;&gt;"Yes"),1,0)</f>
        <v/>
      </c>
      <c r="AJ679" s="79">
        <f>IF(Y679="⚠️ Order late — install at risk",1,0)</f>
        <v/>
      </c>
    </row>
    <row r="680" ht="20" customHeight="1">
      <c r="B680" s="72" t="n"/>
      <c r="C680" s="72" t="n"/>
      <c r="D680" s="72" t="n"/>
      <c r="E680" s="72" t="n"/>
      <c r="F680" s="73" t="n"/>
      <c r="G680" s="72" t="n"/>
      <c r="H680" s="73" t="n"/>
      <c r="I680" s="72" t="n"/>
      <c r="J680" s="73" t="n"/>
      <c r="K680" s="74" t="n"/>
      <c r="L680" s="75">
        <f>IF(K680="A",F680,IF(K680="B",H680,IF(K680="C",J680,"")))</f>
        <v/>
      </c>
      <c r="M680" s="72" t="n"/>
      <c r="N680" s="72" t="n"/>
      <c r="O680" s="89" t="n"/>
      <c r="P680" s="89" t="n"/>
      <c r="Q680" s="109" t="n"/>
      <c r="R680" s="120">
        <f>IF(B680="","",IF(Q680&lt;&gt;"",Q680,IF(P680="","",IFERROR(INDEX('Timeline'!$J$7:$J$1006,MATCH(P680,'Timeline'!$B$7:$B$1006,0)),""))))</f>
        <v/>
      </c>
      <c r="S680" s="126">
        <f>IF(R680="","",R680-IF(O680="",0,O680)-OrderBuf)</f>
        <v/>
      </c>
      <c r="T680" s="126">
        <f>IF(S680="","",S680-DecideBuf)</f>
        <v/>
      </c>
      <c r="U680" s="74" t="n"/>
      <c r="V680" s="109" t="n"/>
      <c r="W680" s="109" t="n"/>
      <c r="X680" s="74" t="n"/>
      <c r="Y680" s="116">
        <f>IF(B680="","",IF(X680="Yes","Delivered",IF(U680="Yes",IF(AND(W680&lt;&gt;"",R680&lt;&gt;""),IF(W680&gt;R680,"⚠️ Delivery after install date","Ordered"),"Ordered"),IF(K680="",IF(T680="","Waiting for decision",IF(T680&lt;=AsOf+AlertDays,"Decide now","Waiting for decision")),IF(S680="","Selected",IF(AsOf&gt;S680,"⚠️ Order late — install at risk",IF(S680&lt;=AsOf+AlertDays,"Order now","Selected")))))))</f>
        <v/>
      </c>
      <c r="Z680" s="79">
        <f>IF(B680="","",IF(OR(AH680=1,AE680=1),2,IF(OR(AG680=1,AF680=1),1,IF(OR(Y680="Ordered",Y680="Delivered"),0,""))))</f>
        <v/>
      </c>
      <c r="AA680" s="112">
        <f>IF(B680="","",IF(AH680=1,IF(Y680="⚠️ Delivery after install date",R680,S680),IF(AD680=1,T680,IF(AI680=1,S680,""))))</f>
        <v/>
      </c>
      <c r="AB680" s="79">
        <f>IF(AA680="","",IF(AH680=1,1,IF(AA680="","",IF(AA680&lt;AsOf,1,IF(AA680&lt;=AsOf+AlertDays,2,IF(AA680&lt;=AsOf+2*AlertDays,3,""))))))</f>
        <v/>
      </c>
      <c r="AC680" s="79">
        <f>IF(AB680="","",IF(AH680=1,IF(Y680="⚠️ Delivery after install date","Delivery after install date: "&amp;B680,"Order late — install at risk: "&amp;B680),IF(AD680=1,IF(AB680=1,"Decision overdue: ","Decide: ")&amp;B680,"Order: "&amp;B680&amp;IF(N680="",""," from "&amp;N680))))</f>
        <v/>
      </c>
      <c r="AD680" s="79">
        <f>IF(AND(B680&lt;&gt;"",K680="",U680&lt;&gt;"Yes",X680&lt;&gt;"Yes"),1,0)</f>
        <v/>
      </c>
      <c r="AE680" s="79">
        <f>IF(AND(AD680=1,T680&lt;&gt;""),IF(T680&lt;AsOf,1,0),0)</f>
        <v/>
      </c>
      <c r="AF680" s="79">
        <f>IF(AND(AD680=1,T680&lt;&gt;""),IF(AND(T680&gt;=AsOf,T680&lt;=AsOf+AlertDays),1,0),0)</f>
        <v/>
      </c>
      <c r="AG680" s="79">
        <f>IF(Y680="Order now",1,0)</f>
        <v/>
      </c>
      <c r="AH680" s="79">
        <f>IF(OR(Y680="⚠️ Order late — install at risk",Y680="⚠️ Delivery after install date"),1,0)</f>
        <v/>
      </c>
      <c r="AI680" s="79">
        <f>IF(AND(B680&lt;&gt;"",K680&lt;&gt;"",U680&lt;&gt;"Yes",X680&lt;&gt;"Yes"),1,0)</f>
        <v/>
      </c>
      <c r="AJ680" s="79">
        <f>IF(Y680="⚠️ Order late — install at risk",1,0)</f>
        <v/>
      </c>
    </row>
    <row r="681" ht="20" customHeight="1">
      <c r="B681" s="72" t="n"/>
      <c r="C681" s="72" t="n"/>
      <c r="D681" s="72" t="n"/>
      <c r="E681" s="72" t="n"/>
      <c r="F681" s="73" t="n"/>
      <c r="G681" s="72" t="n"/>
      <c r="H681" s="73" t="n"/>
      <c r="I681" s="72" t="n"/>
      <c r="J681" s="73" t="n"/>
      <c r="K681" s="74" t="n"/>
      <c r="L681" s="75">
        <f>IF(K681="A",F681,IF(K681="B",H681,IF(K681="C",J681,"")))</f>
        <v/>
      </c>
      <c r="M681" s="72" t="n"/>
      <c r="N681" s="72" t="n"/>
      <c r="O681" s="89" t="n"/>
      <c r="P681" s="89" t="n"/>
      <c r="Q681" s="109" t="n"/>
      <c r="R681" s="120">
        <f>IF(B681="","",IF(Q681&lt;&gt;"",Q681,IF(P681="","",IFERROR(INDEX('Timeline'!$J$7:$J$1006,MATCH(P681,'Timeline'!$B$7:$B$1006,0)),""))))</f>
        <v/>
      </c>
      <c r="S681" s="126">
        <f>IF(R681="","",R681-IF(O681="",0,O681)-OrderBuf)</f>
        <v/>
      </c>
      <c r="T681" s="126">
        <f>IF(S681="","",S681-DecideBuf)</f>
        <v/>
      </c>
      <c r="U681" s="74" t="n"/>
      <c r="V681" s="109" t="n"/>
      <c r="W681" s="109" t="n"/>
      <c r="X681" s="74" t="n"/>
      <c r="Y681" s="116">
        <f>IF(B681="","",IF(X681="Yes","Delivered",IF(U681="Yes",IF(AND(W681&lt;&gt;"",R681&lt;&gt;""),IF(W681&gt;R681,"⚠️ Delivery after install date","Ordered"),"Ordered"),IF(K681="",IF(T681="","Waiting for decision",IF(T681&lt;=AsOf+AlertDays,"Decide now","Waiting for decision")),IF(S681="","Selected",IF(AsOf&gt;S681,"⚠️ Order late — install at risk",IF(S681&lt;=AsOf+AlertDays,"Order now","Selected")))))))</f>
        <v/>
      </c>
      <c r="Z681" s="79">
        <f>IF(B681="","",IF(OR(AH681=1,AE681=1),2,IF(OR(AG681=1,AF681=1),1,IF(OR(Y681="Ordered",Y681="Delivered"),0,""))))</f>
        <v/>
      </c>
      <c r="AA681" s="112">
        <f>IF(B681="","",IF(AH681=1,IF(Y681="⚠️ Delivery after install date",R681,S681),IF(AD681=1,T681,IF(AI681=1,S681,""))))</f>
        <v/>
      </c>
      <c r="AB681" s="79">
        <f>IF(AA681="","",IF(AH681=1,1,IF(AA681="","",IF(AA681&lt;AsOf,1,IF(AA681&lt;=AsOf+AlertDays,2,IF(AA681&lt;=AsOf+2*AlertDays,3,""))))))</f>
        <v/>
      </c>
      <c r="AC681" s="79">
        <f>IF(AB681="","",IF(AH681=1,IF(Y681="⚠️ Delivery after install date","Delivery after install date: "&amp;B681,"Order late — install at risk: "&amp;B681),IF(AD681=1,IF(AB681=1,"Decision overdue: ","Decide: ")&amp;B681,"Order: "&amp;B681&amp;IF(N681="",""," from "&amp;N681))))</f>
        <v/>
      </c>
      <c r="AD681" s="79">
        <f>IF(AND(B681&lt;&gt;"",K681="",U681&lt;&gt;"Yes",X681&lt;&gt;"Yes"),1,0)</f>
        <v/>
      </c>
      <c r="AE681" s="79">
        <f>IF(AND(AD681=1,T681&lt;&gt;""),IF(T681&lt;AsOf,1,0),0)</f>
        <v/>
      </c>
      <c r="AF681" s="79">
        <f>IF(AND(AD681=1,T681&lt;&gt;""),IF(AND(T681&gt;=AsOf,T681&lt;=AsOf+AlertDays),1,0),0)</f>
        <v/>
      </c>
      <c r="AG681" s="79">
        <f>IF(Y681="Order now",1,0)</f>
        <v/>
      </c>
      <c r="AH681" s="79">
        <f>IF(OR(Y681="⚠️ Order late — install at risk",Y681="⚠️ Delivery after install date"),1,0)</f>
        <v/>
      </c>
      <c r="AI681" s="79">
        <f>IF(AND(B681&lt;&gt;"",K681&lt;&gt;"",U681&lt;&gt;"Yes",X681&lt;&gt;"Yes"),1,0)</f>
        <v/>
      </c>
      <c r="AJ681" s="79">
        <f>IF(Y681="⚠️ Order late — install at risk",1,0)</f>
        <v/>
      </c>
    </row>
    <row r="682" ht="20" customHeight="1">
      <c r="B682" s="72" t="n"/>
      <c r="C682" s="72" t="n"/>
      <c r="D682" s="72" t="n"/>
      <c r="E682" s="72" t="n"/>
      <c r="F682" s="73" t="n"/>
      <c r="G682" s="72" t="n"/>
      <c r="H682" s="73" t="n"/>
      <c r="I682" s="72" t="n"/>
      <c r="J682" s="73" t="n"/>
      <c r="K682" s="74" t="n"/>
      <c r="L682" s="75">
        <f>IF(K682="A",F682,IF(K682="B",H682,IF(K682="C",J682,"")))</f>
        <v/>
      </c>
      <c r="M682" s="72" t="n"/>
      <c r="N682" s="72" t="n"/>
      <c r="O682" s="89" t="n"/>
      <c r="P682" s="89" t="n"/>
      <c r="Q682" s="109" t="n"/>
      <c r="R682" s="120">
        <f>IF(B682="","",IF(Q682&lt;&gt;"",Q682,IF(P682="","",IFERROR(INDEX('Timeline'!$J$7:$J$1006,MATCH(P682,'Timeline'!$B$7:$B$1006,0)),""))))</f>
        <v/>
      </c>
      <c r="S682" s="126">
        <f>IF(R682="","",R682-IF(O682="",0,O682)-OrderBuf)</f>
        <v/>
      </c>
      <c r="T682" s="126">
        <f>IF(S682="","",S682-DecideBuf)</f>
        <v/>
      </c>
      <c r="U682" s="74" t="n"/>
      <c r="V682" s="109" t="n"/>
      <c r="W682" s="109" t="n"/>
      <c r="X682" s="74" t="n"/>
      <c r="Y682" s="116">
        <f>IF(B682="","",IF(X682="Yes","Delivered",IF(U682="Yes",IF(AND(W682&lt;&gt;"",R682&lt;&gt;""),IF(W682&gt;R682,"⚠️ Delivery after install date","Ordered"),"Ordered"),IF(K682="",IF(T682="","Waiting for decision",IF(T682&lt;=AsOf+AlertDays,"Decide now","Waiting for decision")),IF(S682="","Selected",IF(AsOf&gt;S682,"⚠️ Order late — install at risk",IF(S682&lt;=AsOf+AlertDays,"Order now","Selected")))))))</f>
        <v/>
      </c>
      <c r="Z682" s="79">
        <f>IF(B682="","",IF(OR(AH682=1,AE682=1),2,IF(OR(AG682=1,AF682=1),1,IF(OR(Y682="Ordered",Y682="Delivered"),0,""))))</f>
        <v/>
      </c>
      <c r="AA682" s="112">
        <f>IF(B682="","",IF(AH682=1,IF(Y682="⚠️ Delivery after install date",R682,S682),IF(AD682=1,T682,IF(AI682=1,S682,""))))</f>
        <v/>
      </c>
      <c r="AB682" s="79">
        <f>IF(AA682="","",IF(AH682=1,1,IF(AA682="","",IF(AA682&lt;AsOf,1,IF(AA682&lt;=AsOf+AlertDays,2,IF(AA682&lt;=AsOf+2*AlertDays,3,""))))))</f>
        <v/>
      </c>
      <c r="AC682" s="79">
        <f>IF(AB682="","",IF(AH682=1,IF(Y682="⚠️ Delivery after install date","Delivery after install date: "&amp;B682,"Order late — install at risk: "&amp;B682),IF(AD682=1,IF(AB682=1,"Decision overdue: ","Decide: ")&amp;B682,"Order: "&amp;B682&amp;IF(N682="",""," from "&amp;N682))))</f>
        <v/>
      </c>
      <c r="AD682" s="79">
        <f>IF(AND(B682&lt;&gt;"",K682="",U682&lt;&gt;"Yes",X682&lt;&gt;"Yes"),1,0)</f>
        <v/>
      </c>
      <c r="AE682" s="79">
        <f>IF(AND(AD682=1,T682&lt;&gt;""),IF(T682&lt;AsOf,1,0),0)</f>
        <v/>
      </c>
      <c r="AF682" s="79">
        <f>IF(AND(AD682=1,T682&lt;&gt;""),IF(AND(T682&gt;=AsOf,T682&lt;=AsOf+AlertDays),1,0),0)</f>
        <v/>
      </c>
      <c r="AG682" s="79">
        <f>IF(Y682="Order now",1,0)</f>
        <v/>
      </c>
      <c r="AH682" s="79">
        <f>IF(OR(Y682="⚠️ Order late — install at risk",Y682="⚠️ Delivery after install date"),1,0)</f>
        <v/>
      </c>
      <c r="AI682" s="79">
        <f>IF(AND(B682&lt;&gt;"",K682&lt;&gt;"",U682&lt;&gt;"Yes",X682&lt;&gt;"Yes"),1,0)</f>
        <v/>
      </c>
      <c r="AJ682" s="79">
        <f>IF(Y682="⚠️ Order late — install at risk",1,0)</f>
        <v/>
      </c>
    </row>
    <row r="683" ht="20" customHeight="1">
      <c r="B683" s="72" t="n"/>
      <c r="C683" s="72" t="n"/>
      <c r="D683" s="72" t="n"/>
      <c r="E683" s="72" t="n"/>
      <c r="F683" s="73" t="n"/>
      <c r="G683" s="72" t="n"/>
      <c r="H683" s="73" t="n"/>
      <c r="I683" s="72" t="n"/>
      <c r="J683" s="73" t="n"/>
      <c r="K683" s="74" t="n"/>
      <c r="L683" s="75">
        <f>IF(K683="A",F683,IF(K683="B",H683,IF(K683="C",J683,"")))</f>
        <v/>
      </c>
      <c r="M683" s="72" t="n"/>
      <c r="N683" s="72" t="n"/>
      <c r="O683" s="89" t="n"/>
      <c r="P683" s="89" t="n"/>
      <c r="Q683" s="109" t="n"/>
      <c r="R683" s="120">
        <f>IF(B683="","",IF(Q683&lt;&gt;"",Q683,IF(P683="","",IFERROR(INDEX('Timeline'!$J$7:$J$1006,MATCH(P683,'Timeline'!$B$7:$B$1006,0)),""))))</f>
        <v/>
      </c>
      <c r="S683" s="126">
        <f>IF(R683="","",R683-IF(O683="",0,O683)-OrderBuf)</f>
        <v/>
      </c>
      <c r="T683" s="126">
        <f>IF(S683="","",S683-DecideBuf)</f>
        <v/>
      </c>
      <c r="U683" s="74" t="n"/>
      <c r="V683" s="109" t="n"/>
      <c r="W683" s="109" t="n"/>
      <c r="X683" s="74" t="n"/>
      <c r="Y683" s="116">
        <f>IF(B683="","",IF(X683="Yes","Delivered",IF(U683="Yes",IF(AND(W683&lt;&gt;"",R683&lt;&gt;""),IF(W683&gt;R683,"⚠️ Delivery after install date","Ordered"),"Ordered"),IF(K683="",IF(T683="","Waiting for decision",IF(T683&lt;=AsOf+AlertDays,"Decide now","Waiting for decision")),IF(S683="","Selected",IF(AsOf&gt;S683,"⚠️ Order late — install at risk",IF(S683&lt;=AsOf+AlertDays,"Order now","Selected")))))))</f>
        <v/>
      </c>
      <c r="Z683" s="79">
        <f>IF(B683="","",IF(OR(AH683=1,AE683=1),2,IF(OR(AG683=1,AF683=1),1,IF(OR(Y683="Ordered",Y683="Delivered"),0,""))))</f>
        <v/>
      </c>
      <c r="AA683" s="112">
        <f>IF(B683="","",IF(AH683=1,IF(Y683="⚠️ Delivery after install date",R683,S683),IF(AD683=1,T683,IF(AI683=1,S683,""))))</f>
        <v/>
      </c>
      <c r="AB683" s="79">
        <f>IF(AA683="","",IF(AH683=1,1,IF(AA683="","",IF(AA683&lt;AsOf,1,IF(AA683&lt;=AsOf+AlertDays,2,IF(AA683&lt;=AsOf+2*AlertDays,3,""))))))</f>
        <v/>
      </c>
      <c r="AC683" s="79">
        <f>IF(AB683="","",IF(AH683=1,IF(Y683="⚠️ Delivery after install date","Delivery after install date: "&amp;B683,"Order late — install at risk: "&amp;B683),IF(AD683=1,IF(AB683=1,"Decision overdue: ","Decide: ")&amp;B683,"Order: "&amp;B683&amp;IF(N683="",""," from "&amp;N683))))</f>
        <v/>
      </c>
      <c r="AD683" s="79">
        <f>IF(AND(B683&lt;&gt;"",K683="",U683&lt;&gt;"Yes",X683&lt;&gt;"Yes"),1,0)</f>
        <v/>
      </c>
      <c r="AE683" s="79">
        <f>IF(AND(AD683=1,T683&lt;&gt;""),IF(T683&lt;AsOf,1,0),0)</f>
        <v/>
      </c>
      <c r="AF683" s="79">
        <f>IF(AND(AD683=1,T683&lt;&gt;""),IF(AND(T683&gt;=AsOf,T683&lt;=AsOf+AlertDays),1,0),0)</f>
        <v/>
      </c>
      <c r="AG683" s="79">
        <f>IF(Y683="Order now",1,0)</f>
        <v/>
      </c>
      <c r="AH683" s="79">
        <f>IF(OR(Y683="⚠️ Order late — install at risk",Y683="⚠️ Delivery after install date"),1,0)</f>
        <v/>
      </c>
      <c r="AI683" s="79">
        <f>IF(AND(B683&lt;&gt;"",K683&lt;&gt;"",U683&lt;&gt;"Yes",X683&lt;&gt;"Yes"),1,0)</f>
        <v/>
      </c>
      <c r="AJ683" s="79">
        <f>IF(Y683="⚠️ Order late — install at risk",1,0)</f>
        <v/>
      </c>
    </row>
    <row r="684" ht="20" customHeight="1">
      <c r="B684" s="72" t="n"/>
      <c r="C684" s="72" t="n"/>
      <c r="D684" s="72" t="n"/>
      <c r="E684" s="72" t="n"/>
      <c r="F684" s="73" t="n"/>
      <c r="G684" s="72" t="n"/>
      <c r="H684" s="73" t="n"/>
      <c r="I684" s="72" t="n"/>
      <c r="J684" s="73" t="n"/>
      <c r="K684" s="74" t="n"/>
      <c r="L684" s="75">
        <f>IF(K684="A",F684,IF(K684="B",H684,IF(K684="C",J684,"")))</f>
        <v/>
      </c>
      <c r="M684" s="72" t="n"/>
      <c r="N684" s="72" t="n"/>
      <c r="O684" s="89" t="n"/>
      <c r="P684" s="89" t="n"/>
      <c r="Q684" s="109" t="n"/>
      <c r="R684" s="120">
        <f>IF(B684="","",IF(Q684&lt;&gt;"",Q684,IF(P684="","",IFERROR(INDEX('Timeline'!$J$7:$J$1006,MATCH(P684,'Timeline'!$B$7:$B$1006,0)),""))))</f>
        <v/>
      </c>
      <c r="S684" s="126">
        <f>IF(R684="","",R684-IF(O684="",0,O684)-OrderBuf)</f>
        <v/>
      </c>
      <c r="T684" s="126">
        <f>IF(S684="","",S684-DecideBuf)</f>
        <v/>
      </c>
      <c r="U684" s="74" t="n"/>
      <c r="V684" s="109" t="n"/>
      <c r="W684" s="109" t="n"/>
      <c r="X684" s="74" t="n"/>
      <c r="Y684" s="116">
        <f>IF(B684="","",IF(X684="Yes","Delivered",IF(U684="Yes",IF(AND(W684&lt;&gt;"",R684&lt;&gt;""),IF(W684&gt;R684,"⚠️ Delivery after install date","Ordered"),"Ordered"),IF(K684="",IF(T684="","Waiting for decision",IF(T684&lt;=AsOf+AlertDays,"Decide now","Waiting for decision")),IF(S684="","Selected",IF(AsOf&gt;S684,"⚠️ Order late — install at risk",IF(S684&lt;=AsOf+AlertDays,"Order now","Selected")))))))</f>
        <v/>
      </c>
      <c r="Z684" s="79">
        <f>IF(B684="","",IF(OR(AH684=1,AE684=1),2,IF(OR(AG684=1,AF684=1),1,IF(OR(Y684="Ordered",Y684="Delivered"),0,""))))</f>
        <v/>
      </c>
      <c r="AA684" s="112">
        <f>IF(B684="","",IF(AH684=1,IF(Y684="⚠️ Delivery after install date",R684,S684),IF(AD684=1,T684,IF(AI684=1,S684,""))))</f>
        <v/>
      </c>
      <c r="AB684" s="79">
        <f>IF(AA684="","",IF(AH684=1,1,IF(AA684="","",IF(AA684&lt;AsOf,1,IF(AA684&lt;=AsOf+AlertDays,2,IF(AA684&lt;=AsOf+2*AlertDays,3,""))))))</f>
        <v/>
      </c>
      <c r="AC684" s="79">
        <f>IF(AB684="","",IF(AH684=1,IF(Y684="⚠️ Delivery after install date","Delivery after install date: "&amp;B684,"Order late — install at risk: "&amp;B684),IF(AD684=1,IF(AB684=1,"Decision overdue: ","Decide: ")&amp;B684,"Order: "&amp;B684&amp;IF(N684="",""," from "&amp;N684))))</f>
        <v/>
      </c>
      <c r="AD684" s="79">
        <f>IF(AND(B684&lt;&gt;"",K684="",U684&lt;&gt;"Yes",X684&lt;&gt;"Yes"),1,0)</f>
        <v/>
      </c>
      <c r="AE684" s="79">
        <f>IF(AND(AD684=1,T684&lt;&gt;""),IF(T684&lt;AsOf,1,0),0)</f>
        <v/>
      </c>
      <c r="AF684" s="79">
        <f>IF(AND(AD684=1,T684&lt;&gt;""),IF(AND(T684&gt;=AsOf,T684&lt;=AsOf+AlertDays),1,0),0)</f>
        <v/>
      </c>
      <c r="AG684" s="79">
        <f>IF(Y684="Order now",1,0)</f>
        <v/>
      </c>
      <c r="AH684" s="79">
        <f>IF(OR(Y684="⚠️ Order late — install at risk",Y684="⚠️ Delivery after install date"),1,0)</f>
        <v/>
      </c>
      <c r="AI684" s="79">
        <f>IF(AND(B684&lt;&gt;"",K684&lt;&gt;"",U684&lt;&gt;"Yes",X684&lt;&gt;"Yes"),1,0)</f>
        <v/>
      </c>
      <c r="AJ684" s="79">
        <f>IF(Y684="⚠️ Order late — install at risk",1,0)</f>
        <v/>
      </c>
    </row>
    <row r="685" ht="20" customHeight="1">
      <c r="B685" s="72" t="n"/>
      <c r="C685" s="72" t="n"/>
      <c r="D685" s="72" t="n"/>
      <c r="E685" s="72" t="n"/>
      <c r="F685" s="73" t="n"/>
      <c r="G685" s="72" t="n"/>
      <c r="H685" s="73" t="n"/>
      <c r="I685" s="72" t="n"/>
      <c r="J685" s="73" t="n"/>
      <c r="K685" s="74" t="n"/>
      <c r="L685" s="75">
        <f>IF(K685="A",F685,IF(K685="B",H685,IF(K685="C",J685,"")))</f>
        <v/>
      </c>
      <c r="M685" s="72" t="n"/>
      <c r="N685" s="72" t="n"/>
      <c r="O685" s="89" t="n"/>
      <c r="P685" s="89" t="n"/>
      <c r="Q685" s="109" t="n"/>
      <c r="R685" s="120">
        <f>IF(B685="","",IF(Q685&lt;&gt;"",Q685,IF(P685="","",IFERROR(INDEX('Timeline'!$J$7:$J$1006,MATCH(P685,'Timeline'!$B$7:$B$1006,0)),""))))</f>
        <v/>
      </c>
      <c r="S685" s="126">
        <f>IF(R685="","",R685-IF(O685="",0,O685)-OrderBuf)</f>
        <v/>
      </c>
      <c r="T685" s="126">
        <f>IF(S685="","",S685-DecideBuf)</f>
        <v/>
      </c>
      <c r="U685" s="74" t="n"/>
      <c r="V685" s="109" t="n"/>
      <c r="W685" s="109" t="n"/>
      <c r="X685" s="74" t="n"/>
      <c r="Y685" s="116">
        <f>IF(B685="","",IF(X685="Yes","Delivered",IF(U685="Yes",IF(AND(W685&lt;&gt;"",R685&lt;&gt;""),IF(W685&gt;R685,"⚠️ Delivery after install date","Ordered"),"Ordered"),IF(K685="",IF(T685="","Waiting for decision",IF(T685&lt;=AsOf+AlertDays,"Decide now","Waiting for decision")),IF(S685="","Selected",IF(AsOf&gt;S685,"⚠️ Order late — install at risk",IF(S685&lt;=AsOf+AlertDays,"Order now","Selected")))))))</f>
        <v/>
      </c>
      <c r="Z685" s="79">
        <f>IF(B685="","",IF(OR(AH685=1,AE685=1),2,IF(OR(AG685=1,AF685=1),1,IF(OR(Y685="Ordered",Y685="Delivered"),0,""))))</f>
        <v/>
      </c>
      <c r="AA685" s="112">
        <f>IF(B685="","",IF(AH685=1,IF(Y685="⚠️ Delivery after install date",R685,S685),IF(AD685=1,T685,IF(AI685=1,S685,""))))</f>
        <v/>
      </c>
      <c r="AB685" s="79">
        <f>IF(AA685="","",IF(AH685=1,1,IF(AA685="","",IF(AA685&lt;AsOf,1,IF(AA685&lt;=AsOf+AlertDays,2,IF(AA685&lt;=AsOf+2*AlertDays,3,""))))))</f>
        <v/>
      </c>
      <c r="AC685" s="79">
        <f>IF(AB685="","",IF(AH685=1,IF(Y685="⚠️ Delivery after install date","Delivery after install date: "&amp;B685,"Order late — install at risk: "&amp;B685),IF(AD685=1,IF(AB685=1,"Decision overdue: ","Decide: ")&amp;B685,"Order: "&amp;B685&amp;IF(N685="",""," from "&amp;N685))))</f>
        <v/>
      </c>
      <c r="AD685" s="79">
        <f>IF(AND(B685&lt;&gt;"",K685="",U685&lt;&gt;"Yes",X685&lt;&gt;"Yes"),1,0)</f>
        <v/>
      </c>
      <c r="AE685" s="79">
        <f>IF(AND(AD685=1,T685&lt;&gt;""),IF(T685&lt;AsOf,1,0),0)</f>
        <v/>
      </c>
      <c r="AF685" s="79">
        <f>IF(AND(AD685=1,T685&lt;&gt;""),IF(AND(T685&gt;=AsOf,T685&lt;=AsOf+AlertDays),1,0),0)</f>
        <v/>
      </c>
      <c r="AG685" s="79">
        <f>IF(Y685="Order now",1,0)</f>
        <v/>
      </c>
      <c r="AH685" s="79">
        <f>IF(OR(Y685="⚠️ Order late — install at risk",Y685="⚠️ Delivery after install date"),1,0)</f>
        <v/>
      </c>
      <c r="AI685" s="79">
        <f>IF(AND(B685&lt;&gt;"",K685&lt;&gt;"",U685&lt;&gt;"Yes",X685&lt;&gt;"Yes"),1,0)</f>
        <v/>
      </c>
      <c r="AJ685" s="79">
        <f>IF(Y685="⚠️ Order late — install at risk",1,0)</f>
        <v/>
      </c>
    </row>
    <row r="686" ht="20" customHeight="1">
      <c r="B686" s="72" t="n"/>
      <c r="C686" s="72" t="n"/>
      <c r="D686" s="72" t="n"/>
      <c r="E686" s="72" t="n"/>
      <c r="F686" s="73" t="n"/>
      <c r="G686" s="72" t="n"/>
      <c r="H686" s="73" t="n"/>
      <c r="I686" s="72" t="n"/>
      <c r="J686" s="73" t="n"/>
      <c r="K686" s="74" t="n"/>
      <c r="L686" s="75">
        <f>IF(K686="A",F686,IF(K686="B",H686,IF(K686="C",J686,"")))</f>
        <v/>
      </c>
      <c r="M686" s="72" t="n"/>
      <c r="N686" s="72" t="n"/>
      <c r="O686" s="89" t="n"/>
      <c r="P686" s="89" t="n"/>
      <c r="Q686" s="109" t="n"/>
      <c r="R686" s="120">
        <f>IF(B686="","",IF(Q686&lt;&gt;"",Q686,IF(P686="","",IFERROR(INDEX('Timeline'!$J$7:$J$1006,MATCH(P686,'Timeline'!$B$7:$B$1006,0)),""))))</f>
        <v/>
      </c>
      <c r="S686" s="126">
        <f>IF(R686="","",R686-IF(O686="",0,O686)-OrderBuf)</f>
        <v/>
      </c>
      <c r="T686" s="126">
        <f>IF(S686="","",S686-DecideBuf)</f>
        <v/>
      </c>
      <c r="U686" s="74" t="n"/>
      <c r="V686" s="109" t="n"/>
      <c r="W686" s="109" t="n"/>
      <c r="X686" s="74" t="n"/>
      <c r="Y686" s="116">
        <f>IF(B686="","",IF(X686="Yes","Delivered",IF(U686="Yes",IF(AND(W686&lt;&gt;"",R686&lt;&gt;""),IF(W686&gt;R686,"⚠️ Delivery after install date","Ordered"),"Ordered"),IF(K686="",IF(T686="","Waiting for decision",IF(T686&lt;=AsOf+AlertDays,"Decide now","Waiting for decision")),IF(S686="","Selected",IF(AsOf&gt;S686,"⚠️ Order late — install at risk",IF(S686&lt;=AsOf+AlertDays,"Order now","Selected")))))))</f>
        <v/>
      </c>
      <c r="Z686" s="79">
        <f>IF(B686="","",IF(OR(AH686=1,AE686=1),2,IF(OR(AG686=1,AF686=1),1,IF(OR(Y686="Ordered",Y686="Delivered"),0,""))))</f>
        <v/>
      </c>
      <c r="AA686" s="112">
        <f>IF(B686="","",IF(AH686=1,IF(Y686="⚠️ Delivery after install date",R686,S686),IF(AD686=1,T686,IF(AI686=1,S686,""))))</f>
        <v/>
      </c>
      <c r="AB686" s="79">
        <f>IF(AA686="","",IF(AH686=1,1,IF(AA686="","",IF(AA686&lt;AsOf,1,IF(AA686&lt;=AsOf+AlertDays,2,IF(AA686&lt;=AsOf+2*AlertDays,3,""))))))</f>
        <v/>
      </c>
      <c r="AC686" s="79">
        <f>IF(AB686="","",IF(AH686=1,IF(Y686="⚠️ Delivery after install date","Delivery after install date: "&amp;B686,"Order late — install at risk: "&amp;B686),IF(AD686=1,IF(AB686=1,"Decision overdue: ","Decide: ")&amp;B686,"Order: "&amp;B686&amp;IF(N686="",""," from "&amp;N686))))</f>
        <v/>
      </c>
      <c r="AD686" s="79">
        <f>IF(AND(B686&lt;&gt;"",K686="",U686&lt;&gt;"Yes",X686&lt;&gt;"Yes"),1,0)</f>
        <v/>
      </c>
      <c r="AE686" s="79">
        <f>IF(AND(AD686=1,T686&lt;&gt;""),IF(T686&lt;AsOf,1,0),0)</f>
        <v/>
      </c>
      <c r="AF686" s="79">
        <f>IF(AND(AD686=1,T686&lt;&gt;""),IF(AND(T686&gt;=AsOf,T686&lt;=AsOf+AlertDays),1,0),0)</f>
        <v/>
      </c>
      <c r="AG686" s="79">
        <f>IF(Y686="Order now",1,0)</f>
        <v/>
      </c>
      <c r="AH686" s="79">
        <f>IF(OR(Y686="⚠️ Order late — install at risk",Y686="⚠️ Delivery after install date"),1,0)</f>
        <v/>
      </c>
      <c r="AI686" s="79">
        <f>IF(AND(B686&lt;&gt;"",K686&lt;&gt;"",U686&lt;&gt;"Yes",X686&lt;&gt;"Yes"),1,0)</f>
        <v/>
      </c>
      <c r="AJ686" s="79">
        <f>IF(Y686="⚠️ Order late — install at risk",1,0)</f>
        <v/>
      </c>
    </row>
    <row r="687" ht="20" customHeight="1">
      <c r="B687" s="72" t="n"/>
      <c r="C687" s="72" t="n"/>
      <c r="D687" s="72" t="n"/>
      <c r="E687" s="72" t="n"/>
      <c r="F687" s="73" t="n"/>
      <c r="G687" s="72" t="n"/>
      <c r="H687" s="73" t="n"/>
      <c r="I687" s="72" t="n"/>
      <c r="J687" s="73" t="n"/>
      <c r="K687" s="74" t="n"/>
      <c r="L687" s="75">
        <f>IF(K687="A",F687,IF(K687="B",H687,IF(K687="C",J687,"")))</f>
        <v/>
      </c>
      <c r="M687" s="72" t="n"/>
      <c r="N687" s="72" t="n"/>
      <c r="O687" s="89" t="n"/>
      <c r="P687" s="89" t="n"/>
      <c r="Q687" s="109" t="n"/>
      <c r="R687" s="120">
        <f>IF(B687="","",IF(Q687&lt;&gt;"",Q687,IF(P687="","",IFERROR(INDEX('Timeline'!$J$7:$J$1006,MATCH(P687,'Timeline'!$B$7:$B$1006,0)),""))))</f>
        <v/>
      </c>
      <c r="S687" s="126">
        <f>IF(R687="","",R687-IF(O687="",0,O687)-OrderBuf)</f>
        <v/>
      </c>
      <c r="T687" s="126">
        <f>IF(S687="","",S687-DecideBuf)</f>
        <v/>
      </c>
      <c r="U687" s="74" t="n"/>
      <c r="V687" s="109" t="n"/>
      <c r="W687" s="109" t="n"/>
      <c r="X687" s="74" t="n"/>
      <c r="Y687" s="116">
        <f>IF(B687="","",IF(X687="Yes","Delivered",IF(U687="Yes",IF(AND(W687&lt;&gt;"",R687&lt;&gt;""),IF(W687&gt;R687,"⚠️ Delivery after install date","Ordered"),"Ordered"),IF(K687="",IF(T687="","Waiting for decision",IF(T687&lt;=AsOf+AlertDays,"Decide now","Waiting for decision")),IF(S687="","Selected",IF(AsOf&gt;S687,"⚠️ Order late — install at risk",IF(S687&lt;=AsOf+AlertDays,"Order now","Selected")))))))</f>
        <v/>
      </c>
      <c r="Z687" s="79">
        <f>IF(B687="","",IF(OR(AH687=1,AE687=1),2,IF(OR(AG687=1,AF687=1),1,IF(OR(Y687="Ordered",Y687="Delivered"),0,""))))</f>
        <v/>
      </c>
      <c r="AA687" s="112">
        <f>IF(B687="","",IF(AH687=1,IF(Y687="⚠️ Delivery after install date",R687,S687),IF(AD687=1,T687,IF(AI687=1,S687,""))))</f>
        <v/>
      </c>
      <c r="AB687" s="79">
        <f>IF(AA687="","",IF(AH687=1,1,IF(AA687="","",IF(AA687&lt;AsOf,1,IF(AA687&lt;=AsOf+AlertDays,2,IF(AA687&lt;=AsOf+2*AlertDays,3,""))))))</f>
        <v/>
      </c>
      <c r="AC687" s="79">
        <f>IF(AB687="","",IF(AH687=1,IF(Y687="⚠️ Delivery after install date","Delivery after install date: "&amp;B687,"Order late — install at risk: "&amp;B687),IF(AD687=1,IF(AB687=1,"Decision overdue: ","Decide: ")&amp;B687,"Order: "&amp;B687&amp;IF(N687="",""," from "&amp;N687))))</f>
        <v/>
      </c>
      <c r="AD687" s="79">
        <f>IF(AND(B687&lt;&gt;"",K687="",U687&lt;&gt;"Yes",X687&lt;&gt;"Yes"),1,0)</f>
        <v/>
      </c>
      <c r="AE687" s="79">
        <f>IF(AND(AD687=1,T687&lt;&gt;""),IF(T687&lt;AsOf,1,0),0)</f>
        <v/>
      </c>
      <c r="AF687" s="79">
        <f>IF(AND(AD687=1,T687&lt;&gt;""),IF(AND(T687&gt;=AsOf,T687&lt;=AsOf+AlertDays),1,0),0)</f>
        <v/>
      </c>
      <c r="AG687" s="79">
        <f>IF(Y687="Order now",1,0)</f>
        <v/>
      </c>
      <c r="AH687" s="79">
        <f>IF(OR(Y687="⚠️ Order late — install at risk",Y687="⚠️ Delivery after install date"),1,0)</f>
        <v/>
      </c>
      <c r="AI687" s="79">
        <f>IF(AND(B687&lt;&gt;"",K687&lt;&gt;"",U687&lt;&gt;"Yes",X687&lt;&gt;"Yes"),1,0)</f>
        <v/>
      </c>
      <c r="AJ687" s="79">
        <f>IF(Y687="⚠️ Order late — install at risk",1,0)</f>
        <v/>
      </c>
    </row>
    <row r="688" ht="20" customHeight="1">
      <c r="B688" s="72" t="n"/>
      <c r="C688" s="72" t="n"/>
      <c r="D688" s="72" t="n"/>
      <c r="E688" s="72" t="n"/>
      <c r="F688" s="73" t="n"/>
      <c r="G688" s="72" t="n"/>
      <c r="H688" s="73" t="n"/>
      <c r="I688" s="72" t="n"/>
      <c r="J688" s="73" t="n"/>
      <c r="K688" s="74" t="n"/>
      <c r="L688" s="75">
        <f>IF(K688="A",F688,IF(K688="B",H688,IF(K688="C",J688,"")))</f>
        <v/>
      </c>
      <c r="M688" s="72" t="n"/>
      <c r="N688" s="72" t="n"/>
      <c r="O688" s="89" t="n"/>
      <c r="P688" s="89" t="n"/>
      <c r="Q688" s="109" t="n"/>
      <c r="R688" s="120">
        <f>IF(B688="","",IF(Q688&lt;&gt;"",Q688,IF(P688="","",IFERROR(INDEX('Timeline'!$J$7:$J$1006,MATCH(P688,'Timeline'!$B$7:$B$1006,0)),""))))</f>
        <v/>
      </c>
      <c r="S688" s="126">
        <f>IF(R688="","",R688-IF(O688="",0,O688)-OrderBuf)</f>
        <v/>
      </c>
      <c r="T688" s="126">
        <f>IF(S688="","",S688-DecideBuf)</f>
        <v/>
      </c>
      <c r="U688" s="74" t="n"/>
      <c r="V688" s="109" t="n"/>
      <c r="W688" s="109" t="n"/>
      <c r="X688" s="74" t="n"/>
      <c r="Y688" s="116">
        <f>IF(B688="","",IF(X688="Yes","Delivered",IF(U688="Yes",IF(AND(W688&lt;&gt;"",R688&lt;&gt;""),IF(W688&gt;R688,"⚠️ Delivery after install date","Ordered"),"Ordered"),IF(K688="",IF(T688="","Waiting for decision",IF(T688&lt;=AsOf+AlertDays,"Decide now","Waiting for decision")),IF(S688="","Selected",IF(AsOf&gt;S688,"⚠️ Order late — install at risk",IF(S688&lt;=AsOf+AlertDays,"Order now","Selected")))))))</f>
        <v/>
      </c>
      <c r="Z688" s="79">
        <f>IF(B688="","",IF(OR(AH688=1,AE688=1),2,IF(OR(AG688=1,AF688=1),1,IF(OR(Y688="Ordered",Y688="Delivered"),0,""))))</f>
        <v/>
      </c>
      <c r="AA688" s="112">
        <f>IF(B688="","",IF(AH688=1,IF(Y688="⚠️ Delivery after install date",R688,S688),IF(AD688=1,T688,IF(AI688=1,S688,""))))</f>
        <v/>
      </c>
      <c r="AB688" s="79">
        <f>IF(AA688="","",IF(AH688=1,1,IF(AA688="","",IF(AA688&lt;AsOf,1,IF(AA688&lt;=AsOf+AlertDays,2,IF(AA688&lt;=AsOf+2*AlertDays,3,""))))))</f>
        <v/>
      </c>
      <c r="AC688" s="79">
        <f>IF(AB688="","",IF(AH688=1,IF(Y688="⚠️ Delivery after install date","Delivery after install date: "&amp;B688,"Order late — install at risk: "&amp;B688),IF(AD688=1,IF(AB688=1,"Decision overdue: ","Decide: ")&amp;B688,"Order: "&amp;B688&amp;IF(N688="",""," from "&amp;N688))))</f>
        <v/>
      </c>
      <c r="AD688" s="79">
        <f>IF(AND(B688&lt;&gt;"",K688="",U688&lt;&gt;"Yes",X688&lt;&gt;"Yes"),1,0)</f>
        <v/>
      </c>
      <c r="AE688" s="79">
        <f>IF(AND(AD688=1,T688&lt;&gt;""),IF(T688&lt;AsOf,1,0),0)</f>
        <v/>
      </c>
      <c r="AF688" s="79">
        <f>IF(AND(AD688=1,T688&lt;&gt;""),IF(AND(T688&gt;=AsOf,T688&lt;=AsOf+AlertDays),1,0),0)</f>
        <v/>
      </c>
      <c r="AG688" s="79">
        <f>IF(Y688="Order now",1,0)</f>
        <v/>
      </c>
      <c r="AH688" s="79">
        <f>IF(OR(Y688="⚠️ Order late — install at risk",Y688="⚠️ Delivery after install date"),1,0)</f>
        <v/>
      </c>
      <c r="AI688" s="79">
        <f>IF(AND(B688&lt;&gt;"",K688&lt;&gt;"",U688&lt;&gt;"Yes",X688&lt;&gt;"Yes"),1,0)</f>
        <v/>
      </c>
      <c r="AJ688" s="79">
        <f>IF(Y688="⚠️ Order late — install at risk",1,0)</f>
        <v/>
      </c>
    </row>
    <row r="689" ht="20" customHeight="1">
      <c r="B689" s="72" t="n"/>
      <c r="C689" s="72" t="n"/>
      <c r="D689" s="72" t="n"/>
      <c r="E689" s="72" t="n"/>
      <c r="F689" s="73" t="n"/>
      <c r="G689" s="72" t="n"/>
      <c r="H689" s="73" t="n"/>
      <c r="I689" s="72" t="n"/>
      <c r="J689" s="73" t="n"/>
      <c r="K689" s="74" t="n"/>
      <c r="L689" s="75">
        <f>IF(K689="A",F689,IF(K689="B",H689,IF(K689="C",J689,"")))</f>
        <v/>
      </c>
      <c r="M689" s="72" t="n"/>
      <c r="N689" s="72" t="n"/>
      <c r="O689" s="89" t="n"/>
      <c r="P689" s="89" t="n"/>
      <c r="Q689" s="109" t="n"/>
      <c r="R689" s="120">
        <f>IF(B689="","",IF(Q689&lt;&gt;"",Q689,IF(P689="","",IFERROR(INDEX('Timeline'!$J$7:$J$1006,MATCH(P689,'Timeline'!$B$7:$B$1006,0)),""))))</f>
        <v/>
      </c>
      <c r="S689" s="126">
        <f>IF(R689="","",R689-IF(O689="",0,O689)-OrderBuf)</f>
        <v/>
      </c>
      <c r="T689" s="126">
        <f>IF(S689="","",S689-DecideBuf)</f>
        <v/>
      </c>
      <c r="U689" s="74" t="n"/>
      <c r="V689" s="109" t="n"/>
      <c r="W689" s="109" t="n"/>
      <c r="X689" s="74" t="n"/>
      <c r="Y689" s="116">
        <f>IF(B689="","",IF(X689="Yes","Delivered",IF(U689="Yes",IF(AND(W689&lt;&gt;"",R689&lt;&gt;""),IF(W689&gt;R689,"⚠️ Delivery after install date","Ordered"),"Ordered"),IF(K689="",IF(T689="","Waiting for decision",IF(T689&lt;=AsOf+AlertDays,"Decide now","Waiting for decision")),IF(S689="","Selected",IF(AsOf&gt;S689,"⚠️ Order late — install at risk",IF(S689&lt;=AsOf+AlertDays,"Order now","Selected")))))))</f>
        <v/>
      </c>
      <c r="Z689" s="79">
        <f>IF(B689="","",IF(OR(AH689=1,AE689=1),2,IF(OR(AG689=1,AF689=1),1,IF(OR(Y689="Ordered",Y689="Delivered"),0,""))))</f>
        <v/>
      </c>
      <c r="AA689" s="112">
        <f>IF(B689="","",IF(AH689=1,IF(Y689="⚠️ Delivery after install date",R689,S689),IF(AD689=1,T689,IF(AI689=1,S689,""))))</f>
        <v/>
      </c>
      <c r="AB689" s="79">
        <f>IF(AA689="","",IF(AH689=1,1,IF(AA689="","",IF(AA689&lt;AsOf,1,IF(AA689&lt;=AsOf+AlertDays,2,IF(AA689&lt;=AsOf+2*AlertDays,3,""))))))</f>
        <v/>
      </c>
      <c r="AC689" s="79">
        <f>IF(AB689="","",IF(AH689=1,IF(Y689="⚠️ Delivery after install date","Delivery after install date: "&amp;B689,"Order late — install at risk: "&amp;B689),IF(AD689=1,IF(AB689=1,"Decision overdue: ","Decide: ")&amp;B689,"Order: "&amp;B689&amp;IF(N689="",""," from "&amp;N689))))</f>
        <v/>
      </c>
      <c r="AD689" s="79">
        <f>IF(AND(B689&lt;&gt;"",K689="",U689&lt;&gt;"Yes",X689&lt;&gt;"Yes"),1,0)</f>
        <v/>
      </c>
      <c r="AE689" s="79">
        <f>IF(AND(AD689=1,T689&lt;&gt;""),IF(T689&lt;AsOf,1,0),0)</f>
        <v/>
      </c>
      <c r="AF689" s="79">
        <f>IF(AND(AD689=1,T689&lt;&gt;""),IF(AND(T689&gt;=AsOf,T689&lt;=AsOf+AlertDays),1,0),0)</f>
        <v/>
      </c>
      <c r="AG689" s="79">
        <f>IF(Y689="Order now",1,0)</f>
        <v/>
      </c>
      <c r="AH689" s="79">
        <f>IF(OR(Y689="⚠️ Order late — install at risk",Y689="⚠️ Delivery after install date"),1,0)</f>
        <v/>
      </c>
      <c r="AI689" s="79">
        <f>IF(AND(B689&lt;&gt;"",K689&lt;&gt;"",U689&lt;&gt;"Yes",X689&lt;&gt;"Yes"),1,0)</f>
        <v/>
      </c>
      <c r="AJ689" s="79">
        <f>IF(Y689="⚠️ Order late — install at risk",1,0)</f>
        <v/>
      </c>
    </row>
    <row r="690" ht="20" customHeight="1">
      <c r="B690" s="72" t="n"/>
      <c r="C690" s="72" t="n"/>
      <c r="D690" s="72" t="n"/>
      <c r="E690" s="72" t="n"/>
      <c r="F690" s="73" t="n"/>
      <c r="G690" s="72" t="n"/>
      <c r="H690" s="73" t="n"/>
      <c r="I690" s="72" t="n"/>
      <c r="J690" s="73" t="n"/>
      <c r="K690" s="74" t="n"/>
      <c r="L690" s="75">
        <f>IF(K690="A",F690,IF(K690="B",H690,IF(K690="C",J690,"")))</f>
        <v/>
      </c>
      <c r="M690" s="72" t="n"/>
      <c r="N690" s="72" t="n"/>
      <c r="O690" s="89" t="n"/>
      <c r="P690" s="89" t="n"/>
      <c r="Q690" s="109" t="n"/>
      <c r="R690" s="120">
        <f>IF(B690="","",IF(Q690&lt;&gt;"",Q690,IF(P690="","",IFERROR(INDEX('Timeline'!$J$7:$J$1006,MATCH(P690,'Timeline'!$B$7:$B$1006,0)),""))))</f>
        <v/>
      </c>
      <c r="S690" s="126">
        <f>IF(R690="","",R690-IF(O690="",0,O690)-OrderBuf)</f>
        <v/>
      </c>
      <c r="T690" s="126">
        <f>IF(S690="","",S690-DecideBuf)</f>
        <v/>
      </c>
      <c r="U690" s="74" t="n"/>
      <c r="V690" s="109" t="n"/>
      <c r="W690" s="109" t="n"/>
      <c r="X690" s="74" t="n"/>
      <c r="Y690" s="116">
        <f>IF(B690="","",IF(X690="Yes","Delivered",IF(U690="Yes",IF(AND(W690&lt;&gt;"",R690&lt;&gt;""),IF(W690&gt;R690,"⚠️ Delivery after install date","Ordered"),"Ordered"),IF(K690="",IF(T690="","Waiting for decision",IF(T690&lt;=AsOf+AlertDays,"Decide now","Waiting for decision")),IF(S690="","Selected",IF(AsOf&gt;S690,"⚠️ Order late — install at risk",IF(S690&lt;=AsOf+AlertDays,"Order now","Selected")))))))</f>
        <v/>
      </c>
      <c r="Z690" s="79">
        <f>IF(B690="","",IF(OR(AH690=1,AE690=1),2,IF(OR(AG690=1,AF690=1),1,IF(OR(Y690="Ordered",Y690="Delivered"),0,""))))</f>
        <v/>
      </c>
      <c r="AA690" s="112">
        <f>IF(B690="","",IF(AH690=1,IF(Y690="⚠️ Delivery after install date",R690,S690),IF(AD690=1,T690,IF(AI690=1,S690,""))))</f>
        <v/>
      </c>
      <c r="AB690" s="79">
        <f>IF(AA690="","",IF(AH690=1,1,IF(AA690="","",IF(AA690&lt;AsOf,1,IF(AA690&lt;=AsOf+AlertDays,2,IF(AA690&lt;=AsOf+2*AlertDays,3,""))))))</f>
        <v/>
      </c>
      <c r="AC690" s="79">
        <f>IF(AB690="","",IF(AH690=1,IF(Y690="⚠️ Delivery after install date","Delivery after install date: "&amp;B690,"Order late — install at risk: "&amp;B690),IF(AD690=1,IF(AB690=1,"Decision overdue: ","Decide: ")&amp;B690,"Order: "&amp;B690&amp;IF(N690="",""," from "&amp;N690))))</f>
        <v/>
      </c>
      <c r="AD690" s="79">
        <f>IF(AND(B690&lt;&gt;"",K690="",U690&lt;&gt;"Yes",X690&lt;&gt;"Yes"),1,0)</f>
        <v/>
      </c>
      <c r="AE690" s="79">
        <f>IF(AND(AD690=1,T690&lt;&gt;""),IF(T690&lt;AsOf,1,0),0)</f>
        <v/>
      </c>
      <c r="AF690" s="79">
        <f>IF(AND(AD690=1,T690&lt;&gt;""),IF(AND(T690&gt;=AsOf,T690&lt;=AsOf+AlertDays),1,0),0)</f>
        <v/>
      </c>
      <c r="AG690" s="79">
        <f>IF(Y690="Order now",1,0)</f>
        <v/>
      </c>
      <c r="AH690" s="79">
        <f>IF(OR(Y690="⚠️ Order late — install at risk",Y690="⚠️ Delivery after install date"),1,0)</f>
        <v/>
      </c>
      <c r="AI690" s="79">
        <f>IF(AND(B690&lt;&gt;"",K690&lt;&gt;"",U690&lt;&gt;"Yes",X690&lt;&gt;"Yes"),1,0)</f>
        <v/>
      </c>
      <c r="AJ690" s="79">
        <f>IF(Y690="⚠️ Order late — install at risk",1,0)</f>
        <v/>
      </c>
    </row>
    <row r="691" ht="20" customHeight="1">
      <c r="B691" s="72" t="n"/>
      <c r="C691" s="72" t="n"/>
      <c r="D691" s="72" t="n"/>
      <c r="E691" s="72" t="n"/>
      <c r="F691" s="73" t="n"/>
      <c r="G691" s="72" t="n"/>
      <c r="H691" s="73" t="n"/>
      <c r="I691" s="72" t="n"/>
      <c r="J691" s="73" t="n"/>
      <c r="K691" s="74" t="n"/>
      <c r="L691" s="75">
        <f>IF(K691="A",F691,IF(K691="B",H691,IF(K691="C",J691,"")))</f>
        <v/>
      </c>
      <c r="M691" s="72" t="n"/>
      <c r="N691" s="72" t="n"/>
      <c r="O691" s="89" t="n"/>
      <c r="P691" s="89" t="n"/>
      <c r="Q691" s="109" t="n"/>
      <c r="R691" s="120">
        <f>IF(B691="","",IF(Q691&lt;&gt;"",Q691,IF(P691="","",IFERROR(INDEX('Timeline'!$J$7:$J$1006,MATCH(P691,'Timeline'!$B$7:$B$1006,0)),""))))</f>
        <v/>
      </c>
      <c r="S691" s="126">
        <f>IF(R691="","",R691-IF(O691="",0,O691)-OrderBuf)</f>
        <v/>
      </c>
      <c r="T691" s="126">
        <f>IF(S691="","",S691-DecideBuf)</f>
        <v/>
      </c>
      <c r="U691" s="74" t="n"/>
      <c r="V691" s="109" t="n"/>
      <c r="W691" s="109" t="n"/>
      <c r="X691" s="74" t="n"/>
      <c r="Y691" s="116">
        <f>IF(B691="","",IF(X691="Yes","Delivered",IF(U691="Yes",IF(AND(W691&lt;&gt;"",R691&lt;&gt;""),IF(W691&gt;R691,"⚠️ Delivery after install date","Ordered"),"Ordered"),IF(K691="",IF(T691="","Waiting for decision",IF(T691&lt;=AsOf+AlertDays,"Decide now","Waiting for decision")),IF(S691="","Selected",IF(AsOf&gt;S691,"⚠️ Order late — install at risk",IF(S691&lt;=AsOf+AlertDays,"Order now","Selected")))))))</f>
        <v/>
      </c>
      <c r="Z691" s="79">
        <f>IF(B691="","",IF(OR(AH691=1,AE691=1),2,IF(OR(AG691=1,AF691=1),1,IF(OR(Y691="Ordered",Y691="Delivered"),0,""))))</f>
        <v/>
      </c>
      <c r="AA691" s="112">
        <f>IF(B691="","",IF(AH691=1,IF(Y691="⚠️ Delivery after install date",R691,S691),IF(AD691=1,T691,IF(AI691=1,S691,""))))</f>
        <v/>
      </c>
      <c r="AB691" s="79">
        <f>IF(AA691="","",IF(AH691=1,1,IF(AA691="","",IF(AA691&lt;AsOf,1,IF(AA691&lt;=AsOf+AlertDays,2,IF(AA691&lt;=AsOf+2*AlertDays,3,""))))))</f>
        <v/>
      </c>
      <c r="AC691" s="79">
        <f>IF(AB691="","",IF(AH691=1,IF(Y691="⚠️ Delivery after install date","Delivery after install date: "&amp;B691,"Order late — install at risk: "&amp;B691),IF(AD691=1,IF(AB691=1,"Decision overdue: ","Decide: ")&amp;B691,"Order: "&amp;B691&amp;IF(N691="",""," from "&amp;N691))))</f>
        <v/>
      </c>
      <c r="AD691" s="79">
        <f>IF(AND(B691&lt;&gt;"",K691="",U691&lt;&gt;"Yes",X691&lt;&gt;"Yes"),1,0)</f>
        <v/>
      </c>
      <c r="AE691" s="79">
        <f>IF(AND(AD691=1,T691&lt;&gt;""),IF(T691&lt;AsOf,1,0),0)</f>
        <v/>
      </c>
      <c r="AF691" s="79">
        <f>IF(AND(AD691=1,T691&lt;&gt;""),IF(AND(T691&gt;=AsOf,T691&lt;=AsOf+AlertDays),1,0),0)</f>
        <v/>
      </c>
      <c r="AG691" s="79">
        <f>IF(Y691="Order now",1,0)</f>
        <v/>
      </c>
      <c r="AH691" s="79">
        <f>IF(OR(Y691="⚠️ Order late — install at risk",Y691="⚠️ Delivery after install date"),1,0)</f>
        <v/>
      </c>
      <c r="AI691" s="79">
        <f>IF(AND(B691&lt;&gt;"",K691&lt;&gt;"",U691&lt;&gt;"Yes",X691&lt;&gt;"Yes"),1,0)</f>
        <v/>
      </c>
      <c r="AJ691" s="79">
        <f>IF(Y691="⚠️ Order late — install at risk",1,0)</f>
        <v/>
      </c>
    </row>
    <row r="692" ht="20" customHeight="1">
      <c r="B692" s="72" t="n"/>
      <c r="C692" s="72" t="n"/>
      <c r="D692" s="72" t="n"/>
      <c r="E692" s="72" t="n"/>
      <c r="F692" s="73" t="n"/>
      <c r="G692" s="72" t="n"/>
      <c r="H692" s="73" t="n"/>
      <c r="I692" s="72" t="n"/>
      <c r="J692" s="73" t="n"/>
      <c r="K692" s="74" t="n"/>
      <c r="L692" s="75">
        <f>IF(K692="A",F692,IF(K692="B",H692,IF(K692="C",J692,"")))</f>
        <v/>
      </c>
      <c r="M692" s="72" t="n"/>
      <c r="N692" s="72" t="n"/>
      <c r="O692" s="89" t="n"/>
      <c r="P692" s="89" t="n"/>
      <c r="Q692" s="109" t="n"/>
      <c r="R692" s="120">
        <f>IF(B692="","",IF(Q692&lt;&gt;"",Q692,IF(P692="","",IFERROR(INDEX('Timeline'!$J$7:$J$1006,MATCH(P692,'Timeline'!$B$7:$B$1006,0)),""))))</f>
        <v/>
      </c>
      <c r="S692" s="126">
        <f>IF(R692="","",R692-IF(O692="",0,O692)-OrderBuf)</f>
        <v/>
      </c>
      <c r="T692" s="126">
        <f>IF(S692="","",S692-DecideBuf)</f>
        <v/>
      </c>
      <c r="U692" s="74" t="n"/>
      <c r="V692" s="109" t="n"/>
      <c r="W692" s="109" t="n"/>
      <c r="X692" s="74" t="n"/>
      <c r="Y692" s="116">
        <f>IF(B692="","",IF(X692="Yes","Delivered",IF(U692="Yes",IF(AND(W692&lt;&gt;"",R692&lt;&gt;""),IF(W692&gt;R692,"⚠️ Delivery after install date","Ordered"),"Ordered"),IF(K692="",IF(T692="","Waiting for decision",IF(T692&lt;=AsOf+AlertDays,"Decide now","Waiting for decision")),IF(S692="","Selected",IF(AsOf&gt;S692,"⚠️ Order late — install at risk",IF(S692&lt;=AsOf+AlertDays,"Order now","Selected")))))))</f>
        <v/>
      </c>
      <c r="Z692" s="79">
        <f>IF(B692="","",IF(OR(AH692=1,AE692=1),2,IF(OR(AG692=1,AF692=1),1,IF(OR(Y692="Ordered",Y692="Delivered"),0,""))))</f>
        <v/>
      </c>
      <c r="AA692" s="112">
        <f>IF(B692="","",IF(AH692=1,IF(Y692="⚠️ Delivery after install date",R692,S692),IF(AD692=1,T692,IF(AI692=1,S692,""))))</f>
        <v/>
      </c>
      <c r="AB692" s="79">
        <f>IF(AA692="","",IF(AH692=1,1,IF(AA692="","",IF(AA692&lt;AsOf,1,IF(AA692&lt;=AsOf+AlertDays,2,IF(AA692&lt;=AsOf+2*AlertDays,3,""))))))</f>
        <v/>
      </c>
      <c r="AC692" s="79">
        <f>IF(AB692="","",IF(AH692=1,IF(Y692="⚠️ Delivery after install date","Delivery after install date: "&amp;B692,"Order late — install at risk: "&amp;B692),IF(AD692=1,IF(AB692=1,"Decision overdue: ","Decide: ")&amp;B692,"Order: "&amp;B692&amp;IF(N692="",""," from "&amp;N692))))</f>
        <v/>
      </c>
      <c r="AD692" s="79">
        <f>IF(AND(B692&lt;&gt;"",K692="",U692&lt;&gt;"Yes",X692&lt;&gt;"Yes"),1,0)</f>
        <v/>
      </c>
      <c r="AE692" s="79">
        <f>IF(AND(AD692=1,T692&lt;&gt;""),IF(T692&lt;AsOf,1,0),0)</f>
        <v/>
      </c>
      <c r="AF692" s="79">
        <f>IF(AND(AD692=1,T692&lt;&gt;""),IF(AND(T692&gt;=AsOf,T692&lt;=AsOf+AlertDays),1,0),0)</f>
        <v/>
      </c>
      <c r="AG692" s="79">
        <f>IF(Y692="Order now",1,0)</f>
        <v/>
      </c>
      <c r="AH692" s="79">
        <f>IF(OR(Y692="⚠️ Order late — install at risk",Y692="⚠️ Delivery after install date"),1,0)</f>
        <v/>
      </c>
      <c r="AI692" s="79">
        <f>IF(AND(B692&lt;&gt;"",K692&lt;&gt;"",U692&lt;&gt;"Yes",X692&lt;&gt;"Yes"),1,0)</f>
        <v/>
      </c>
      <c r="AJ692" s="79">
        <f>IF(Y692="⚠️ Order late — install at risk",1,0)</f>
        <v/>
      </c>
    </row>
    <row r="693" ht="20" customHeight="1">
      <c r="B693" s="72" t="n"/>
      <c r="C693" s="72" t="n"/>
      <c r="D693" s="72" t="n"/>
      <c r="E693" s="72" t="n"/>
      <c r="F693" s="73" t="n"/>
      <c r="G693" s="72" t="n"/>
      <c r="H693" s="73" t="n"/>
      <c r="I693" s="72" t="n"/>
      <c r="J693" s="73" t="n"/>
      <c r="K693" s="74" t="n"/>
      <c r="L693" s="75">
        <f>IF(K693="A",F693,IF(K693="B",H693,IF(K693="C",J693,"")))</f>
        <v/>
      </c>
      <c r="M693" s="72" t="n"/>
      <c r="N693" s="72" t="n"/>
      <c r="O693" s="89" t="n"/>
      <c r="P693" s="89" t="n"/>
      <c r="Q693" s="109" t="n"/>
      <c r="R693" s="120">
        <f>IF(B693="","",IF(Q693&lt;&gt;"",Q693,IF(P693="","",IFERROR(INDEX('Timeline'!$J$7:$J$1006,MATCH(P693,'Timeline'!$B$7:$B$1006,0)),""))))</f>
        <v/>
      </c>
      <c r="S693" s="126">
        <f>IF(R693="","",R693-IF(O693="",0,O693)-OrderBuf)</f>
        <v/>
      </c>
      <c r="T693" s="126">
        <f>IF(S693="","",S693-DecideBuf)</f>
        <v/>
      </c>
      <c r="U693" s="74" t="n"/>
      <c r="V693" s="109" t="n"/>
      <c r="W693" s="109" t="n"/>
      <c r="X693" s="74" t="n"/>
      <c r="Y693" s="116">
        <f>IF(B693="","",IF(X693="Yes","Delivered",IF(U693="Yes",IF(AND(W693&lt;&gt;"",R693&lt;&gt;""),IF(W693&gt;R693,"⚠️ Delivery after install date","Ordered"),"Ordered"),IF(K693="",IF(T693="","Waiting for decision",IF(T693&lt;=AsOf+AlertDays,"Decide now","Waiting for decision")),IF(S693="","Selected",IF(AsOf&gt;S693,"⚠️ Order late — install at risk",IF(S693&lt;=AsOf+AlertDays,"Order now","Selected")))))))</f>
        <v/>
      </c>
      <c r="Z693" s="79">
        <f>IF(B693="","",IF(OR(AH693=1,AE693=1),2,IF(OR(AG693=1,AF693=1),1,IF(OR(Y693="Ordered",Y693="Delivered"),0,""))))</f>
        <v/>
      </c>
      <c r="AA693" s="112">
        <f>IF(B693="","",IF(AH693=1,IF(Y693="⚠️ Delivery after install date",R693,S693),IF(AD693=1,T693,IF(AI693=1,S693,""))))</f>
        <v/>
      </c>
      <c r="AB693" s="79">
        <f>IF(AA693="","",IF(AH693=1,1,IF(AA693="","",IF(AA693&lt;AsOf,1,IF(AA693&lt;=AsOf+AlertDays,2,IF(AA693&lt;=AsOf+2*AlertDays,3,""))))))</f>
        <v/>
      </c>
      <c r="AC693" s="79">
        <f>IF(AB693="","",IF(AH693=1,IF(Y693="⚠️ Delivery after install date","Delivery after install date: "&amp;B693,"Order late — install at risk: "&amp;B693),IF(AD693=1,IF(AB693=1,"Decision overdue: ","Decide: ")&amp;B693,"Order: "&amp;B693&amp;IF(N693="",""," from "&amp;N693))))</f>
        <v/>
      </c>
      <c r="AD693" s="79">
        <f>IF(AND(B693&lt;&gt;"",K693="",U693&lt;&gt;"Yes",X693&lt;&gt;"Yes"),1,0)</f>
        <v/>
      </c>
      <c r="AE693" s="79">
        <f>IF(AND(AD693=1,T693&lt;&gt;""),IF(T693&lt;AsOf,1,0),0)</f>
        <v/>
      </c>
      <c r="AF693" s="79">
        <f>IF(AND(AD693=1,T693&lt;&gt;""),IF(AND(T693&gt;=AsOf,T693&lt;=AsOf+AlertDays),1,0),0)</f>
        <v/>
      </c>
      <c r="AG693" s="79">
        <f>IF(Y693="Order now",1,0)</f>
        <v/>
      </c>
      <c r="AH693" s="79">
        <f>IF(OR(Y693="⚠️ Order late — install at risk",Y693="⚠️ Delivery after install date"),1,0)</f>
        <v/>
      </c>
      <c r="AI693" s="79">
        <f>IF(AND(B693&lt;&gt;"",K693&lt;&gt;"",U693&lt;&gt;"Yes",X693&lt;&gt;"Yes"),1,0)</f>
        <v/>
      </c>
      <c r="AJ693" s="79">
        <f>IF(Y693="⚠️ Order late — install at risk",1,0)</f>
        <v/>
      </c>
    </row>
    <row r="694" ht="20" customHeight="1">
      <c r="B694" s="72" t="n"/>
      <c r="C694" s="72" t="n"/>
      <c r="D694" s="72" t="n"/>
      <c r="E694" s="72" t="n"/>
      <c r="F694" s="73" t="n"/>
      <c r="G694" s="72" t="n"/>
      <c r="H694" s="73" t="n"/>
      <c r="I694" s="72" t="n"/>
      <c r="J694" s="73" t="n"/>
      <c r="K694" s="74" t="n"/>
      <c r="L694" s="75">
        <f>IF(K694="A",F694,IF(K694="B",H694,IF(K694="C",J694,"")))</f>
        <v/>
      </c>
      <c r="M694" s="72" t="n"/>
      <c r="N694" s="72" t="n"/>
      <c r="O694" s="89" t="n"/>
      <c r="P694" s="89" t="n"/>
      <c r="Q694" s="109" t="n"/>
      <c r="R694" s="120">
        <f>IF(B694="","",IF(Q694&lt;&gt;"",Q694,IF(P694="","",IFERROR(INDEX('Timeline'!$J$7:$J$1006,MATCH(P694,'Timeline'!$B$7:$B$1006,0)),""))))</f>
        <v/>
      </c>
      <c r="S694" s="126">
        <f>IF(R694="","",R694-IF(O694="",0,O694)-OrderBuf)</f>
        <v/>
      </c>
      <c r="T694" s="126">
        <f>IF(S694="","",S694-DecideBuf)</f>
        <v/>
      </c>
      <c r="U694" s="74" t="n"/>
      <c r="V694" s="109" t="n"/>
      <c r="W694" s="109" t="n"/>
      <c r="X694" s="74" t="n"/>
      <c r="Y694" s="116">
        <f>IF(B694="","",IF(X694="Yes","Delivered",IF(U694="Yes",IF(AND(W694&lt;&gt;"",R694&lt;&gt;""),IF(W694&gt;R694,"⚠️ Delivery after install date","Ordered"),"Ordered"),IF(K694="",IF(T694="","Waiting for decision",IF(T694&lt;=AsOf+AlertDays,"Decide now","Waiting for decision")),IF(S694="","Selected",IF(AsOf&gt;S694,"⚠️ Order late — install at risk",IF(S694&lt;=AsOf+AlertDays,"Order now","Selected")))))))</f>
        <v/>
      </c>
      <c r="Z694" s="79">
        <f>IF(B694="","",IF(OR(AH694=1,AE694=1),2,IF(OR(AG694=1,AF694=1),1,IF(OR(Y694="Ordered",Y694="Delivered"),0,""))))</f>
        <v/>
      </c>
      <c r="AA694" s="112">
        <f>IF(B694="","",IF(AH694=1,IF(Y694="⚠️ Delivery after install date",R694,S694),IF(AD694=1,T694,IF(AI694=1,S694,""))))</f>
        <v/>
      </c>
      <c r="AB694" s="79">
        <f>IF(AA694="","",IF(AH694=1,1,IF(AA694="","",IF(AA694&lt;AsOf,1,IF(AA694&lt;=AsOf+AlertDays,2,IF(AA694&lt;=AsOf+2*AlertDays,3,""))))))</f>
        <v/>
      </c>
      <c r="AC694" s="79">
        <f>IF(AB694="","",IF(AH694=1,IF(Y694="⚠️ Delivery after install date","Delivery after install date: "&amp;B694,"Order late — install at risk: "&amp;B694),IF(AD694=1,IF(AB694=1,"Decision overdue: ","Decide: ")&amp;B694,"Order: "&amp;B694&amp;IF(N694="",""," from "&amp;N694))))</f>
        <v/>
      </c>
      <c r="AD694" s="79">
        <f>IF(AND(B694&lt;&gt;"",K694="",U694&lt;&gt;"Yes",X694&lt;&gt;"Yes"),1,0)</f>
        <v/>
      </c>
      <c r="AE694" s="79">
        <f>IF(AND(AD694=1,T694&lt;&gt;""),IF(T694&lt;AsOf,1,0),0)</f>
        <v/>
      </c>
      <c r="AF694" s="79">
        <f>IF(AND(AD694=1,T694&lt;&gt;""),IF(AND(T694&gt;=AsOf,T694&lt;=AsOf+AlertDays),1,0),0)</f>
        <v/>
      </c>
      <c r="AG694" s="79">
        <f>IF(Y694="Order now",1,0)</f>
        <v/>
      </c>
      <c r="AH694" s="79">
        <f>IF(OR(Y694="⚠️ Order late — install at risk",Y694="⚠️ Delivery after install date"),1,0)</f>
        <v/>
      </c>
      <c r="AI694" s="79">
        <f>IF(AND(B694&lt;&gt;"",K694&lt;&gt;"",U694&lt;&gt;"Yes",X694&lt;&gt;"Yes"),1,0)</f>
        <v/>
      </c>
      <c r="AJ694" s="79">
        <f>IF(Y694="⚠️ Order late — install at risk",1,0)</f>
        <v/>
      </c>
    </row>
    <row r="695" ht="20" customHeight="1">
      <c r="B695" s="72" t="n"/>
      <c r="C695" s="72" t="n"/>
      <c r="D695" s="72" t="n"/>
      <c r="E695" s="72" t="n"/>
      <c r="F695" s="73" t="n"/>
      <c r="G695" s="72" t="n"/>
      <c r="H695" s="73" t="n"/>
      <c r="I695" s="72" t="n"/>
      <c r="J695" s="73" t="n"/>
      <c r="K695" s="74" t="n"/>
      <c r="L695" s="75">
        <f>IF(K695="A",F695,IF(K695="B",H695,IF(K695="C",J695,"")))</f>
        <v/>
      </c>
      <c r="M695" s="72" t="n"/>
      <c r="N695" s="72" t="n"/>
      <c r="O695" s="89" t="n"/>
      <c r="P695" s="89" t="n"/>
      <c r="Q695" s="109" t="n"/>
      <c r="R695" s="120">
        <f>IF(B695="","",IF(Q695&lt;&gt;"",Q695,IF(P695="","",IFERROR(INDEX('Timeline'!$J$7:$J$1006,MATCH(P695,'Timeline'!$B$7:$B$1006,0)),""))))</f>
        <v/>
      </c>
      <c r="S695" s="126">
        <f>IF(R695="","",R695-IF(O695="",0,O695)-OrderBuf)</f>
        <v/>
      </c>
      <c r="T695" s="126">
        <f>IF(S695="","",S695-DecideBuf)</f>
        <v/>
      </c>
      <c r="U695" s="74" t="n"/>
      <c r="V695" s="109" t="n"/>
      <c r="W695" s="109" t="n"/>
      <c r="X695" s="74" t="n"/>
      <c r="Y695" s="116">
        <f>IF(B695="","",IF(X695="Yes","Delivered",IF(U695="Yes",IF(AND(W695&lt;&gt;"",R695&lt;&gt;""),IF(W695&gt;R695,"⚠️ Delivery after install date","Ordered"),"Ordered"),IF(K695="",IF(T695="","Waiting for decision",IF(T695&lt;=AsOf+AlertDays,"Decide now","Waiting for decision")),IF(S695="","Selected",IF(AsOf&gt;S695,"⚠️ Order late — install at risk",IF(S695&lt;=AsOf+AlertDays,"Order now","Selected")))))))</f>
        <v/>
      </c>
      <c r="Z695" s="79">
        <f>IF(B695="","",IF(OR(AH695=1,AE695=1),2,IF(OR(AG695=1,AF695=1),1,IF(OR(Y695="Ordered",Y695="Delivered"),0,""))))</f>
        <v/>
      </c>
      <c r="AA695" s="112">
        <f>IF(B695="","",IF(AH695=1,IF(Y695="⚠️ Delivery after install date",R695,S695),IF(AD695=1,T695,IF(AI695=1,S695,""))))</f>
        <v/>
      </c>
      <c r="AB695" s="79">
        <f>IF(AA695="","",IF(AH695=1,1,IF(AA695="","",IF(AA695&lt;AsOf,1,IF(AA695&lt;=AsOf+AlertDays,2,IF(AA695&lt;=AsOf+2*AlertDays,3,""))))))</f>
        <v/>
      </c>
      <c r="AC695" s="79">
        <f>IF(AB695="","",IF(AH695=1,IF(Y695="⚠️ Delivery after install date","Delivery after install date: "&amp;B695,"Order late — install at risk: "&amp;B695),IF(AD695=1,IF(AB695=1,"Decision overdue: ","Decide: ")&amp;B695,"Order: "&amp;B695&amp;IF(N695="",""," from "&amp;N695))))</f>
        <v/>
      </c>
      <c r="AD695" s="79">
        <f>IF(AND(B695&lt;&gt;"",K695="",U695&lt;&gt;"Yes",X695&lt;&gt;"Yes"),1,0)</f>
        <v/>
      </c>
      <c r="AE695" s="79">
        <f>IF(AND(AD695=1,T695&lt;&gt;""),IF(T695&lt;AsOf,1,0),0)</f>
        <v/>
      </c>
      <c r="AF695" s="79">
        <f>IF(AND(AD695=1,T695&lt;&gt;""),IF(AND(T695&gt;=AsOf,T695&lt;=AsOf+AlertDays),1,0),0)</f>
        <v/>
      </c>
      <c r="AG695" s="79">
        <f>IF(Y695="Order now",1,0)</f>
        <v/>
      </c>
      <c r="AH695" s="79">
        <f>IF(OR(Y695="⚠️ Order late — install at risk",Y695="⚠️ Delivery after install date"),1,0)</f>
        <v/>
      </c>
      <c r="AI695" s="79">
        <f>IF(AND(B695&lt;&gt;"",K695&lt;&gt;"",U695&lt;&gt;"Yes",X695&lt;&gt;"Yes"),1,0)</f>
        <v/>
      </c>
      <c r="AJ695" s="79">
        <f>IF(Y695="⚠️ Order late — install at risk",1,0)</f>
        <v/>
      </c>
    </row>
    <row r="696" ht="20" customHeight="1">
      <c r="B696" s="72" t="n"/>
      <c r="C696" s="72" t="n"/>
      <c r="D696" s="72" t="n"/>
      <c r="E696" s="72" t="n"/>
      <c r="F696" s="73" t="n"/>
      <c r="G696" s="72" t="n"/>
      <c r="H696" s="73" t="n"/>
      <c r="I696" s="72" t="n"/>
      <c r="J696" s="73" t="n"/>
      <c r="K696" s="74" t="n"/>
      <c r="L696" s="75">
        <f>IF(K696="A",F696,IF(K696="B",H696,IF(K696="C",J696,"")))</f>
        <v/>
      </c>
      <c r="M696" s="72" t="n"/>
      <c r="N696" s="72" t="n"/>
      <c r="O696" s="89" t="n"/>
      <c r="P696" s="89" t="n"/>
      <c r="Q696" s="109" t="n"/>
      <c r="R696" s="120">
        <f>IF(B696="","",IF(Q696&lt;&gt;"",Q696,IF(P696="","",IFERROR(INDEX('Timeline'!$J$7:$J$1006,MATCH(P696,'Timeline'!$B$7:$B$1006,0)),""))))</f>
        <v/>
      </c>
      <c r="S696" s="126">
        <f>IF(R696="","",R696-IF(O696="",0,O696)-OrderBuf)</f>
        <v/>
      </c>
      <c r="T696" s="126">
        <f>IF(S696="","",S696-DecideBuf)</f>
        <v/>
      </c>
      <c r="U696" s="74" t="n"/>
      <c r="V696" s="109" t="n"/>
      <c r="W696" s="109" t="n"/>
      <c r="X696" s="74" t="n"/>
      <c r="Y696" s="116">
        <f>IF(B696="","",IF(X696="Yes","Delivered",IF(U696="Yes",IF(AND(W696&lt;&gt;"",R696&lt;&gt;""),IF(W696&gt;R696,"⚠️ Delivery after install date","Ordered"),"Ordered"),IF(K696="",IF(T696="","Waiting for decision",IF(T696&lt;=AsOf+AlertDays,"Decide now","Waiting for decision")),IF(S696="","Selected",IF(AsOf&gt;S696,"⚠️ Order late — install at risk",IF(S696&lt;=AsOf+AlertDays,"Order now","Selected")))))))</f>
        <v/>
      </c>
      <c r="Z696" s="79">
        <f>IF(B696="","",IF(OR(AH696=1,AE696=1),2,IF(OR(AG696=1,AF696=1),1,IF(OR(Y696="Ordered",Y696="Delivered"),0,""))))</f>
        <v/>
      </c>
      <c r="AA696" s="112">
        <f>IF(B696="","",IF(AH696=1,IF(Y696="⚠️ Delivery after install date",R696,S696),IF(AD696=1,T696,IF(AI696=1,S696,""))))</f>
        <v/>
      </c>
      <c r="AB696" s="79">
        <f>IF(AA696="","",IF(AH696=1,1,IF(AA696="","",IF(AA696&lt;AsOf,1,IF(AA696&lt;=AsOf+AlertDays,2,IF(AA696&lt;=AsOf+2*AlertDays,3,""))))))</f>
        <v/>
      </c>
      <c r="AC696" s="79">
        <f>IF(AB696="","",IF(AH696=1,IF(Y696="⚠️ Delivery after install date","Delivery after install date: "&amp;B696,"Order late — install at risk: "&amp;B696),IF(AD696=1,IF(AB696=1,"Decision overdue: ","Decide: ")&amp;B696,"Order: "&amp;B696&amp;IF(N696="",""," from "&amp;N696))))</f>
        <v/>
      </c>
      <c r="AD696" s="79">
        <f>IF(AND(B696&lt;&gt;"",K696="",U696&lt;&gt;"Yes",X696&lt;&gt;"Yes"),1,0)</f>
        <v/>
      </c>
      <c r="AE696" s="79">
        <f>IF(AND(AD696=1,T696&lt;&gt;""),IF(T696&lt;AsOf,1,0),0)</f>
        <v/>
      </c>
      <c r="AF696" s="79">
        <f>IF(AND(AD696=1,T696&lt;&gt;""),IF(AND(T696&gt;=AsOf,T696&lt;=AsOf+AlertDays),1,0),0)</f>
        <v/>
      </c>
      <c r="AG696" s="79">
        <f>IF(Y696="Order now",1,0)</f>
        <v/>
      </c>
      <c r="AH696" s="79">
        <f>IF(OR(Y696="⚠️ Order late — install at risk",Y696="⚠️ Delivery after install date"),1,0)</f>
        <v/>
      </c>
      <c r="AI696" s="79">
        <f>IF(AND(B696&lt;&gt;"",K696&lt;&gt;"",U696&lt;&gt;"Yes",X696&lt;&gt;"Yes"),1,0)</f>
        <v/>
      </c>
      <c r="AJ696" s="79">
        <f>IF(Y696="⚠️ Order late — install at risk",1,0)</f>
        <v/>
      </c>
    </row>
    <row r="697" ht="20" customHeight="1">
      <c r="B697" s="72" t="n"/>
      <c r="C697" s="72" t="n"/>
      <c r="D697" s="72" t="n"/>
      <c r="E697" s="72" t="n"/>
      <c r="F697" s="73" t="n"/>
      <c r="G697" s="72" t="n"/>
      <c r="H697" s="73" t="n"/>
      <c r="I697" s="72" t="n"/>
      <c r="J697" s="73" t="n"/>
      <c r="K697" s="74" t="n"/>
      <c r="L697" s="75">
        <f>IF(K697="A",F697,IF(K697="B",H697,IF(K697="C",J697,"")))</f>
        <v/>
      </c>
      <c r="M697" s="72" t="n"/>
      <c r="N697" s="72" t="n"/>
      <c r="O697" s="89" t="n"/>
      <c r="P697" s="89" t="n"/>
      <c r="Q697" s="109" t="n"/>
      <c r="R697" s="120">
        <f>IF(B697="","",IF(Q697&lt;&gt;"",Q697,IF(P697="","",IFERROR(INDEX('Timeline'!$J$7:$J$1006,MATCH(P697,'Timeline'!$B$7:$B$1006,0)),""))))</f>
        <v/>
      </c>
      <c r="S697" s="126">
        <f>IF(R697="","",R697-IF(O697="",0,O697)-OrderBuf)</f>
        <v/>
      </c>
      <c r="T697" s="126">
        <f>IF(S697="","",S697-DecideBuf)</f>
        <v/>
      </c>
      <c r="U697" s="74" t="n"/>
      <c r="V697" s="109" t="n"/>
      <c r="W697" s="109" t="n"/>
      <c r="X697" s="74" t="n"/>
      <c r="Y697" s="116">
        <f>IF(B697="","",IF(X697="Yes","Delivered",IF(U697="Yes",IF(AND(W697&lt;&gt;"",R697&lt;&gt;""),IF(W697&gt;R697,"⚠️ Delivery after install date","Ordered"),"Ordered"),IF(K697="",IF(T697="","Waiting for decision",IF(T697&lt;=AsOf+AlertDays,"Decide now","Waiting for decision")),IF(S697="","Selected",IF(AsOf&gt;S697,"⚠️ Order late — install at risk",IF(S697&lt;=AsOf+AlertDays,"Order now","Selected")))))))</f>
        <v/>
      </c>
      <c r="Z697" s="79">
        <f>IF(B697="","",IF(OR(AH697=1,AE697=1),2,IF(OR(AG697=1,AF697=1),1,IF(OR(Y697="Ordered",Y697="Delivered"),0,""))))</f>
        <v/>
      </c>
      <c r="AA697" s="112">
        <f>IF(B697="","",IF(AH697=1,IF(Y697="⚠️ Delivery after install date",R697,S697),IF(AD697=1,T697,IF(AI697=1,S697,""))))</f>
        <v/>
      </c>
      <c r="AB697" s="79">
        <f>IF(AA697="","",IF(AH697=1,1,IF(AA697="","",IF(AA697&lt;AsOf,1,IF(AA697&lt;=AsOf+AlertDays,2,IF(AA697&lt;=AsOf+2*AlertDays,3,""))))))</f>
        <v/>
      </c>
      <c r="AC697" s="79">
        <f>IF(AB697="","",IF(AH697=1,IF(Y697="⚠️ Delivery after install date","Delivery after install date: "&amp;B697,"Order late — install at risk: "&amp;B697),IF(AD697=1,IF(AB697=1,"Decision overdue: ","Decide: ")&amp;B697,"Order: "&amp;B697&amp;IF(N697="",""," from "&amp;N697))))</f>
        <v/>
      </c>
      <c r="AD697" s="79">
        <f>IF(AND(B697&lt;&gt;"",K697="",U697&lt;&gt;"Yes",X697&lt;&gt;"Yes"),1,0)</f>
        <v/>
      </c>
      <c r="AE697" s="79">
        <f>IF(AND(AD697=1,T697&lt;&gt;""),IF(T697&lt;AsOf,1,0),0)</f>
        <v/>
      </c>
      <c r="AF697" s="79">
        <f>IF(AND(AD697=1,T697&lt;&gt;""),IF(AND(T697&gt;=AsOf,T697&lt;=AsOf+AlertDays),1,0),0)</f>
        <v/>
      </c>
      <c r="AG697" s="79">
        <f>IF(Y697="Order now",1,0)</f>
        <v/>
      </c>
      <c r="AH697" s="79">
        <f>IF(OR(Y697="⚠️ Order late — install at risk",Y697="⚠️ Delivery after install date"),1,0)</f>
        <v/>
      </c>
      <c r="AI697" s="79">
        <f>IF(AND(B697&lt;&gt;"",K697&lt;&gt;"",U697&lt;&gt;"Yes",X697&lt;&gt;"Yes"),1,0)</f>
        <v/>
      </c>
      <c r="AJ697" s="79">
        <f>IF(Y697="⚠️ Order late — install at risk",1,0)</f>
        <v/>
      </c>
    </row>
    <row r="698" ht="20" customHeight="1">
      <c r="B698" s="72" t="n"/>
      <c r="C698" s="72" t="n"/>
      <c r="D698" s="72" t="n"/>
      <c r="E698" s="72" t="n"/>
      <c r="F698" s="73" t="n"/>
      <c r="G698" s="72" t="n"/>
      <c r="H698" s="73" t="n"/>
      <c r="I698" s="72" t="n"/>
      <c r="J698" s="73" t="n"/>
      <c r="K698" s="74" t="n"/>
      <c r="L698" s="75">
        <f>IF(K698="A",F698,IF(K698="B",H698,IF(K698="C",J698,"")))</f>
        <v/>
      </c>
      <c r="M698" s="72" t="n"/>
      <c r="N698" s="72" t="n"/>
      <c r="O698" s="89" t="n"/>
      <c r="P698" s="89" t="n"/>
      <c r="Q698" s="109" t="n"/>
      <c r="R698" s="120">
        <f>IF(B698="","",IF(Q698&lt;&gt;"",Q698,IF(P698="","",IFERROR(INDEX('Timeline'!$J$7:$J$1006,MATCH(P698,'Timeline'!$B$7:$B$1006,0)),""))))</f>
        <v/>
      </c>
      <c r="S698" s="126">
        <f>IF(R698="","",R698-IF(O698="",0,O698)-OrderBuf)</f>
        <v/>
      </c>
      <c r="T698" s="126">
        <f>IF(S698="","",S698-DecideBuf)</f>
        <v/>
      </c>
      <c r="U698" s="74" t="n"/>
      <c r="V698" s="109" t="n"/>
      <c r="W698" s="109" t="n"/>
      <c r="X698" s="74" t="n"/>
      <c r="Y698" s="116">
        <f>IF(B698="","",IF(X698="Yes","Delivered",IF(U698="Yes",IF(AND(W698&lt;&gt;"",R698&lt;&gt;""),IF(W698&gt;R698,"⚠️ Delivery after install date","Ordered"),"Ordered"),IF(K698="",IF(T698="","Waiting for decision",IF(T698&lt;=AsOf+AlertDays,"Decide now","Waiting for decision")),IF(S698="","Selected",IF(AsOf&gt;S698,"⚠️ Order late — install at risk",IF(S698&lt;=AsOf+AlertDays,"Order now","Selected")))))))</f>
        <v/>
      </c>
      <c r="Z698" s="79">
        <f>IF(B698="","",IF(OR(AH698=1,AE698=1),2,IF(OR(AG698=1,AF698=1),1,IF(OR(Y698="Ordered",Y698="Delivered"),0,""))))</f>
        <v/>
      </c>
      <c r="AA698" s="112">
        <f>IF(B698="","",IF(AH698=1,IF(Y698="⚠️ Delivery after install date",R698,S698),IF(AD698=1,T698,IF(AI698=1,S698,""))))</f>
        <v/>
      </c>
      <c r="AB698" s="79">
        <f>IF(AA698="","",IF(AH698=1,1,IF(AA698="","",IF(AA698&lt;AsOf,1,IF(AA698&lt;=AsOf+AlertDays,2,IF(AA698&lt;=AsOf+2*AlertDays,3,""))))))</f>
        <v/>
      </c>
      <c r="AC698" s="79">
        <f>IF(AB698="","",IF(AH698=1,IF(Y698="⚠️ Delivery after install date","Delivery after install date: "&amp;B698,"Order late — install at risk: "&amp;B698),IF(AD698=1,IF(AB698=1,"Decision overdue: ","Decide: ")&amp;B698,"Order: "&amp;B698&amp;IF(N698="",""," from "&amp;N698))))</f>
        <v/>
      </c>
      <c r="AD698" s="79">
        <f>IF(AND(B698&lt;&gt;"",K698="",U698&lt;&gt;"Yes",X698&lt;&gt;"Yes"),1,0)</f>
        <v/>
      </c>
      <c r="AE698" s="79">
        <f>IF(AND(AD698=1,T698&lt;&gt;""),IF(T698&lt;AsOf,1,0),0)</f>
        <v/>
      </c>
      <c r="AF698" s="79">
        <f>IF(AND(AD698=1,T698&lt;&gt;""),IF(AND(T698&gt;=AsOf,T698&lt;=AsOf+AlertDays),1,0),0)</f>
        <v/>
      </c>
      <c r="AG698" s="79">
        <f>IF(Y698="Order now",1,0)</f>
        <v/>
      </c>
      <c r="AH698" s="79">
        <f>IF(OR(Y698="⚠️ Order late — install at risk",Y698="⚠️ Delivery after install date"),1,0)</f>
        <v/>
      </c>
      <c r="AI698" s="79">
        <f>IF(AND(B698&lt;&gt;"",K698&lt;&gt;"",U698&lt;&gt;"Yes",X698&lt;&gt;"Yes"),1,0)</f>
        <v/>
      </c>
      <c r="AJ698" s="79">
        <f>IF(Y698="⚠️ Order late — install at risk",1,0)</f>
        <v/>
      </c>
    </row>
    <row r="699" ht="20" customHeight="1">
      <c r="B699" s="72" t="n"/>
      <c r="C699" s="72" t="n"/>
      <c r="D699" s="72" t="n"/>
      <c r="E699" s="72" t="n"/>
      <c r="F699" s="73" t="n"/>
      <c r="G699" s="72" t="n"/>
      <c r="H699" s="73" t="n"/>
      <c r="I699" s="72" t="n"/>
      <c r="J699" s="73" t="n"/>
      <c r="K699" s="74" t="n"/>
      <c r="L699" s="75">
        <f>IF(K699="A",F699,IF(K699="B",H699,IF(K699="C",J699,"")))</f>
        <v/>
      </c>
      <c r="M699" s="72" t="n"/>
      <c r="N699" s="72" t="n"/>
      <c r="O699" s="89" t="n"/>
      <c r="P699" s="89" t="n"/>
      <c r="Q699" s="109" t="n"/>
      <c r="R699" s="120">
        <f>IF(B699="","",IF(Q699&lt;&gt;"",Q699,IF(P699="","",IFERROR(INDEX('Timeline'!$J$7:$J$1006,MATCH(P699,'Timeline'!$B$7:$B$1006,0)),""))))</f>
        <v/>
      </c>
      <c r="S699" s="126">
        <f>IF(R699="","",R699-IF(O699="",0,O699)-OrderBuf)</f>
        <v/>
      </c>
      <c r="T699" s="126">
        <f>IF(S699="","",S699-DecideBuf)</f>
        <v/>
      </c>
      <c r="U699" s="74" t="n"/>
      <c r="V699" s="109" t="n"/>
      <c r="W699" s="109" t="n"/>
      <c r="X699" s="74" t="n"/>
      <c r="Y699" s="116">
        <f>IF(B699="","",IF(X699="Yes","Delivered",IF(U699="Yes",IF(AND(W699&lt;&gt;"",R699&lt;&gt;""),IF(W699&gt;R699,"⚠️ Delivery after install date","Ordered"),"Ordered"),IF(K699="",IF(T699="","Waiting for decision",IF(T699&lt;=AsOf+AlertDays,"Decide now","Waiting for decision")),IF(S699="","Selected",IF(AsOf&gt;S699,"⚠️ Order late — install at risk",IF(S699&lt;=AsOf+AlertDays,"Order now","Selected")))))))</f>
        <v/>
      </c>
      <c r="Z699" s="79">
        <f>IF(B699="","",IF(OR(AH699=1,AE699=1),2,IF(OR(AG699=1,AF699=1),1,IF(OR(Y699="Ordered",Y699="Delivered"),0,""))))</f>
        <v/>
      </c>
      <c r="AA699" s="112">
        <f>IF(B699="","",IF(AH699=1,IF(Y699="⚠️ Delivery after install date",R699,S699),IF(AD699=1,T699,IF(AI699=1,S699,""))))</f>
        <v/>
      </c>
      <c r="AB699" s="79">
        <f>IF(AA699="","",IF(AH699=1,1,IF(AA699="","",IF(AA699&lt;AsOf,1,IF(AA699&lt;=AsOf+AlertDays,2,IF(AA699&lt;=AsOf+2*AlertDays,3,""))))))</f>
        <v/>
      </c>
      <c r="AC699" s="79">
        <f>IF(AB699="","",IF(AH699=1,IF(Y699="⚠️ Delivery after install date","Delivery after install date: "&amp;B699,"Order late — install at risk: "&amp;B699),IF(AD699=1,IF(AB699=1,"Decision overdue: ","Decide: ")&amp;B699,"Order: "&amp;B699&amp;IF(N699="",""," from "&amp;N699))))</f>
        <v/>
      </c>
      <c r="AD699" s="79">
        <f>IF(AND(B699&lt;&gt;"",K699="",U699&lt;&gt;"Yes",X699&lt;&gt;"Yes"),1,0)</f>
        <v/>
      </c>
      <c r="AE699" s="79">
        <f>IF(AND(AD699=1,T699&lt;&gt;""),IF(T699&lt;AsOf,1,0),0)</f>
        <v/>
      </c>
      <c r="AF699" s="79">
        <f>IF(AND(AD699=1,T699&lt;&gt;""),IF(AND(T699&gt;=AsOf,T699&lt;=AsOf+AlertDays),1,0),0)</f>
        <v/>
      </c>
      <c r="AG699" s="79">
        <f>IF(Y699="Order now",1,0)</f>
        <v/>
      </c>
      <c r="AH699" s="79">
        <f>IF(OR(Y699="⚠️ Order late — install at risk",Y699="⚠️ Delivery after install date"),1,0)</f>
        <v/>
      </c>
      <c r="AI699" s="79">
        <f>IF(AND(B699&lt;&gt;"",K699&lt;&gt;"",U699&lt;&gt;"Yes",X699&lt;&gt;"Yes"),1,0)</f>
        <v/>
      </c>
      <c r="AJ699" s="79">
        <f>IF(Y699="⚠️ Order late — install at risk",1,0)</f>
        <v/>
      </c>
    </row>
    <row r="700" ht="20" customHeight="1">
      <c r="B700" s="72" t="n"/>
      <c r="C700" s="72" t="n"/>
      <c r="D700" s="72" t="n"/>
      <c r="E700" s="72" t="n"/>
      <c r="F700" s="73" t="n"/>
      <c r="G700" s="72" t="n"/>
      <c r="H700" s="73" t="n"/>
      <c r="I700" s="72" t="n"/>
      <c r="J700" s="73" t="n"/>
      <c r="K700" s="74" t="n"/>
      <c r="L700" s="75">
        <f>IF(K700="A",F700,IF(K700="B",H700,IF(K700="C",J700,"")))</f>
        <v/>
      </c>
      <c r="M700" s="72" t="n"/>
      <c r="N700" s="72" t="n"/>
      <c r="O700" s="89" t="n"/>
      <c r="P700" s="89" t="n"/>
      <c r="Q700" s="109" t="n"/>
      <c r="R700" s="120">
        <f>IF(B700="","",IF(Q700&lt;&gt;"",Q700,IF(P700="","",IFERROR(INDEX('Timeline'!$J$7:$J$1006,MATCH(P700,'Timeline'!$B$7:$B$1006,0)),""))))</f>
        <v/>
      </c>
      <c r="S700" s="126">
        <f>IF(R700="","",R700-IF(O700="",0,O700)-OrderBuf)</f>
        <v/>
      </c>
      <c r="T700" s="126">
        <f>IF(S700="","",S700-DecideBuf)</f>
        <v/>
      </c>
      <c r="U700" s="74" t="n"/>
      <c r="V700" s="109" t="n"/>
      <c r="W700" s="109" t="n"/>
      <c r="X700" s="74" t="n"/>
      <c r="Y700" s="116">
        <f>IF(B700="","",IF(X700="Yes","Delivered",IF(U700="Yes",IF(AND(W700&lt;&gt;"",R700&lt;&gt;""),IF(W700&gt;R700,"⚠️ Delivery after install date","Ordered"),"Ordered"),IF(K700="",IF(T700="","Waiting for decision",IF(T700&lt;=AsOf+AlertDays,"Decide now","Waiting for decision")),IF(S700="","Selected",IF(AsOf&gt;S700,"⚠️ Order late — install at risk",IF(S700&lt;=AsOf+AlertDays,"Order now","Selected")))))))</f>
        <v/>
      </c>
      <c r="Z700" s="79">
        <f>IF(B700="","",IF(OR(AH700=1,AE700=1),2,IF(OR(AG700=1,AF700=1),1,IF(OR(Y700="Ordered",Y700="Delivered"),0,""))))</f>
        <v/>
      </c>
      <c r="AA700" s="112">
        <f>IF(B700="","",IF(AH700=1,IF(Y700="⚠️ Delivery after install date",R700,S700),IF(AD700=1,T700,IF(AI700=1,S700,""))))</f>
        <v/>
      </c>
      <c r="AB700" s="79">
        <f>IF(AA700="","",IF(AH700=1,1,IF(AA700="","",IF(AA700&lt;AsOf,1,IF(AA700&lt;=AsOf+AlertDays,2,IF(AA700&lt;=AsOf+2*AlertDays,3,""))))))</f>
        <v/>
      </c>
      <c r="AC700" s="79">
        <f>IF(AB700="","",IF(AH700=1,IF(Y700="⚠️ Delivery after install date","Delivery after install date: "&amp;B700,"Order late — install at risk: "&amp;B700),IF(AD700=1,IF(AB700=1,"Decision overdue: ","Decide: ")&amp;B700,"Order: "&amp;B700&amp;IF(N700="",""," from "&amp;N700))))</f>
        <v/>
      </c>
      <c r="AD700" s="79">
        <f>IF(AND(B700&lt;&gt;"",K700="",U700&lt;&gt;"Yes",X700&lt;&gt;"Yes"),1,0)</f>
        <v/>
      </c>
      <c r="AE700" s="79">
        <f>IF(AND(AD700=1,T700&lt;&gt;""),IF(T700&lt;AsOf,1,0),0)</f>
        <v/>
      </c>
      <c r="AF700" s="79">
        <f>IF(AND(AD700=1,T700&lt;&gt;""),IF(AND(T700&gt;=AsOf,T700&lt;=AsOf+AlertDays),1,0),0)</f>
        <v/>
      </c>
      <c r="AG700" s="79">
        <f>IF(Y700="Order now",1,0)</f>
        <v/>
      </c>
      <c r="AH700" s="79">
        <f>IF(OR(Y700="⚠️ Order late — install at risk",Y700="⚠️ Delivery after install date"),1,0)</f>
        <v/>
      </c>
      <c r="AI700" s="79">
        <f>IF(AND(B700&lt;&gt;"",K700&lt;&gt;"",U700&lt;&gt;"Yes",X700&lt;&gt;"Yes"),1,0)</f>
        <v/>
      </c>
      <c r="AJ700" s="79">
        <f>IF(Y700="⚠️ Order late — install at risk",1,0)</f>
        <v/>
      </c>
    </row>
    <row r="701" ht="20" customHeight="1">
      <c r="B701" s="72" t="n"/>
      <c r="C701" s="72" t="n"/>
      <c r="D701" s="72" t="n"/>
      <c r="E701" s="72" t="n"/>
      <c r="F701" s="73" t="n"/>
      <c r="G701" s="72" t="n"/>
      <c r="H701" s="73" t="n"/>
      <c r="I701" s="72" t="n"/>
      <c r="J701" s="73" t="n"/>
      <c r="K701" s="74" t="n"/>
      <c r="L701" s="75">
        <f>IF(K701="A",F701,IF(K701="B",H701,IF(K701="C",J701,"")))</f>
        <v/>
      </c>
      <c r="M701" s="72" t="n"/>
      <c r="N701" s="72" t="n"/>
      <c r="O701" s="89" t="n"/>
      <c r="P701" s="89" t="n"/>
      <c r="Q701" s="109" t="n"/>
      <c r="R701" s="120">
        <f>IF(B701="","",IF(Q701&lt;&gt;"",Q701,IF(P701="","",IFERROR(INDEX('Timeline'!$J$7:$J$1006,MATCH(P701,'Timeline'!$B$7:$B$1006,0)),""))))</f>
        <v/>
      </c>
      <c r="S701" s="126">
        <f>IF(R701="","",R701-IF(O701="",0,O701)-OrderBuf)</f>
        <v/>
      </c>
      <c r="T701" s="126">
        <f>IF(S701="","",S701-DecideBuf)</f>
        <v/>
      </c>
      <c r="U701" s="74" t="n"/>
      <c r="V701" s="109" t="n"/>
      <c r="W701" s="109" t="n"/>
      <c r="X701" s="74" t="n"/>
      <c r="Y701" s="116">
        <f>IF(B701="","",IF(X701="Yes","Delivered",IF(U701="Yes",IF(AND(W701&lt;&gt;"",R701&lt;&gt;""),IF(W701&gt;R701,"⚠️ Delivery after install date","Ordered"),"Ordered"),IF(K701="",IF(T701="","Waiting for decision",IF(T701&lt;=AsOf+AlertDays,"Decide now","Waiting for decision")),IF(S701="","Selected",IF(AsOf&gt;S701,"⚠️ Order late — install at risk",IF(S701&lt;=AsOf+AlertDays,"Order now","Selected")))))))</f>
        <v/>
      </c>
      <c r="Z701" s="79">
        <f>IF(B701="","",IF(OR(AH701=1,AE701=1),2,IF(OR(AG701=1,AF701=1),1,IF(OR(Y701="Ordered",Y701="Delivered"),0,""))))</f>
        <v/>
      </c>
      <c r="AA701" s="112">
        <f>IF(B701="","",IF(AH701=1,IF(Y701="⚠️ Delivery after install date",R701,S701),IF(AD701=1,T701,IF(AI701=1,S701,""))))</f>
        <v/>
      </c>
      <c r="AB701" s="79">
        <f>IF(AA701="","",IF(AH701=1,1,IF(AA701="","",IF(AA701&lt;AsOf,1,IF(AA701&lt;=AsOf+AlertDays,2,IF(AA701&lt;=AsOf+2*AlertDays,3,""))))))</f>
        <v/>
      </c>
      <c r="AC701" s="79">
        <f>IF(AB701="","",IF(AH701=1,IF(Y701="⚠️ Delivery after install date","Delivery after install date: "&amp;B701,"Order late — install at risk: "&amp;B701),IF(AD701=1,IF(AB701=1,"Decision overdue: ","Decide: ")&amp;B701,"Order: "&amp;B701&amp;IF(N701="",""," from "&amp;N701))))</f>
        <v/>
      </c>
      <c r="AD701" s="79">
        <f>IF(AND(B701&lt;&gt;"",K701="",U701&lt;&gt;"Yes",X701&lt;&gt;"Yes"),1,0)</f>
        <v/>
      </c>
      <c r="AE701" s="79">
        <f>IF(AND(AD701=1,T701&lt;&gt;""),IF(T701&lt;AsOf,1,0),0)</f>
        <v/>
      </c>
      <c r="AF701" s="79">
        <f>IF(AND(AD701=1,T701&lt;&gt;""),IF(AND(T701&gt;=AsOf,T701&lt;=AsOf+AlertDays),1,0),0)</f>
        <v/>
      </c>
      <c r="AG701" s="79">
        <f>IF(Y701="Order now",1,0)</f>
        <v/>
      </c>
      <c r="AH701" s="79">
        <f>IF(OR(Y701="⚠️ Order late — install at risk",Y701="⚠️ Delivery after install date"),1,0)</f>
        <v/>
      </c>
      <c r="AI701" s="79">
        <f>IF(AND(B701&lt;&gt;"",K701&lt;&gt;"",U701&lt;&gt;"Yes",X701&lt;&gt;"Yes"),1,0)</f>
        <v/>
      </c>
      <c r="AJ701" s="79">
        <f>IF(Y701="⚠️ Order late — install at risk",1,0)</f>
        <v/>
      </c>
    </row>
    <row r="702" ht="20" customHeight="1">
      <c r="B702" s="72" t="n"/>
      <c r="C702" s="72" t="n"/>
      <c r="D702" s="72" t="n"/>
      <c r="E702" s="72" t="n"/>
      <c r="F702" s="73" t="n"/>
      <c r="G702" s="72" t="n"/>
      <c r="H702" s="73" t="n"/>
      <c r="I702" s="72" t="n"/>
      <c r="J702" s="73" t="n"/>
      <c r="K702" s="74" t="n"/>
      <c r="L702" s="75">
        <f>IF(K702="A",F702,IF(K702="B",H702,IF(K702="C",J702,"")))</f>
        <v/>
      </c>
      <c r="M702" s="72" t="n"/>
      <c r="N702" s="72" t="n"/>
      <c r="O702" s="89" t="n"/>
      <c r="P702" s="89" t="n"/>
      <c r="Q702" s="109" t="n"/>
      <c r="R702" s="120">
        <f>IF(B702="","",IF(Q702&lt;&gt;"",Q702,IF(P702="","",IFERROR(INDEX('Timeline'!$J$7:$J$1006,MATCH(P702,'Timeline'!$B$7:$B$1006,0)),""))))</f>
        <v/>
      </c>
      <c r="S702" s="126">
        <f>IF(R702="","",R702-IF(O702="",0,O702)-OrderBuf)</f>
        <v/>
      </c>
      <c r="T702" s="126">
        <f>IF(S702="","",S702-DecideBuf)</f>
        <v/>
      </c>
      <c r="U702" s="74" t="n"/>
      <c r="V702" s="109" t="n"/>
      <c r="W702" s="109" t="n"/>
      <c r="X702" s="74" t="n"/>
      <c r="Y702" s="116">
        <f>IF(B702="","",IF(X702="Yes","Delivered",IF(U702="Yes",IF(AND(W702&lt;&gt;"",R702&lt;&gt;""),IF(W702&gt;R702,"⚠️ Delivery after install date","Ordered"),"Ordered"),IF(K702="",IF(T702="","Waiting for decision",IF(T702&lt;=AsOf+AlertDays,"Decide now","Waiting for decision")),IF(S702="","Selected",IF(AsOf&gt;S702,"⚠️ Order late — install at risk",IF(S702&lt;=AsOf+AlertDays,"Order now","Selected")))))))</f>
        <v/>
      </c>
      <c r="Z702" s="79">
        <f>IF(B702="","",IF(OR(AH702=1,AE702=1),2,IF(OR(AG702=1,AF702=1),1,IF(OR(Y702="Ordered",Y702="Delivered"),0,""))))</f>
        <v/>
      </c>
      <c r="AA702" s="112">
        <f>IF(B702="","",IF(AH702=1,IF(Y702="⚠️ Delivery after install date",R702,S702),IF(AD702=1,T702,IF(AI702=1,S702,""))))</f>
        <v/>
      </c>
      <c r="AB702" s="79">
        <f>IF(AA702="","",IF(AH702=1,1,IF(AA702="","",IF(AA702&lt;AsOf,1,IF(AA702&lt;=AsOf+AlertDays,2,IF(AA702&lt;=AsOf+2*AlertDays,3,""))))))</f>
        <v/>
      </c>
      <c r="AC702" s="79">
        <f>IF(AB702="","",IF(AH702=1,IF(Y702="⚠️ Delivery after install date","Delivery after install date: "&amp;B702,"Order late — install at risk: "&amp;B702),IF(AD702=1,IF(AB702=1,"Decision overdue: ","Decide: ")&amp;B702,"Order: "&amp;B702&amp;IF(N702="",""," from "&amp;N702))))</f>
        <v/>
      </c>
      <c r="AD702" s="79">
        <f>IF(AND(B702&lt;&gt;"",K702="",U702&lt;&gt;"Yes",X702&lt;&gt;"Yes"),1,0)</f>
        <v/>
      </c>
      <c r="AE702" s="79">
        <f>IF(AND(AD702=1,T702&lt;&gt;""),IF(T702&lt;AsOf,1,0),0)</f>
        <v/>
      </c>
      <c r="AF702" s="79">
        <f>IF(AND(AD702=1,T702&lt;&gt;""),IF(AND(T702&gt;=AsOf,T702&lt;=AsOf+AlertDays),1,0),0)</f>
        <v/>
      </c>
      <c r="AG702" s="79">
        <f>IF(Y702="Order now",1,0)</f>
        <v/>
      </c>
      <c r="AH702" s="79">
        <f>IF(OR(Y702="⚠️ Order late — install at risk",Y702="⚠️ Delivery after install date"),1,0)</f>
        <v/>
      </c>
      <c r="AI702" s="79">
        <f>IF(AND(B702&lt;&gt;"",K702&lt;&gt;"",U702&lt;&gt;"Yes",X702&lt;&gt;"Yes"),1,0)</f>
        <v/>
      </c>
      <c r="AJ702" s="79">
        <f>IF(Y702="⚠️ Order late — install at risk",1,0)</f>
        <v/>
      </c>
    </row>
    <row r="703" ht="20" customHeight="1">
      <c r="B703" s="72" t="n"/>
      <c r="C703" s="72" t="n"/>
      <c r="D703" s="72" t="n"/>
      <c r="E703" s="72" t="n"/>
      <c r="F703" s="73" t="n"/>
      <c r="G703" s="72" t="n"/>
      <c r="H703" s="73" t="n"/>
      <c r="I703" s="72" t="n"/>
      <c r="J703" s="73" t="n"/>
      <c r="K703" s="74" t="n"/>
      <c r="L703" s="75">
        <f>IF(K703="A",F703,IF(K703="B",H703,IF(K703="C",J703,"")))</f>
        <v/>
      </c>
      <c r="M703" s="72" t="n"/>
      <c r="N703" s="72" t="n"/>
      <c r="O703" s="89" t="n"/>
      <c r="P703" s="89" t="n"/>
      <c r="Q703" s="109" t="n"/>
      <c r="R703" s="120">
        <f>IF(B703="","",IF(Q703&lt;&gt;"",Q703,IF(P703="","",IFERROR(INDEX('Timeline'!$J$7:$J$1006,MATCH(P703,'Timeline'!$B$7:$B$1006,0)),""))))</f>
        <v/>
      </c>
      <c r="S703" s="126">
        <f>IF(R703="","",R703-IF(O703="",0,O703)-OrderBuf)</f>
        <v/>
      </c>
      <c r="T703" s="126">
        <f>IF(S703="","",S703-DecideBuf)</f>
        <v/>
      </c>
      <c r="U703" s="74" t="n"/>
      <c r="V703" s="109" t="n"/>
      <c r="W703" s="109" t="n"/>
      <c r="X703" s="74" t="n"/>
      <c r="Y703" s="116">
        <f>IF(B703="","",IF(X703="Yes","Delivered",IF(U703="Yes",IF(AND(W703&lt;&gt;"",R703&lt;&gt;""),IF(W703&gt;R703,"⚠️ Delivery after install date","Ordered"),"Ordered"),IF(K703="",IF(T703="","Waiting for decision",IF(T703&lt;=AsOf+AlertDays,"Decide now","Waiting for decision")),IF(S703="","Selected",IF(AsOf&gt;S703,"⚠️ Order late — install at risk",IF(S703&lt;=AsOf+AlertDays,"Order now","Selected")))))))</f>
        <v/>
      </c>
      <c r="Z703" s="79">
        <f>IF(B703="","",IF(OR(AH703=1,AE703=1),2,IF(OR(AG703=1,AF703=1),1,IF(OR(Y703="Ordered",Y703="Delivered"),0,""))))</f>
        <v/>
      </c>
      <c r="AA703" s="112">
        <f>IF(B703="","",IF(AH703=1,IF(Y703="⚠️ Delivery after install date",R703,S703),IF(AD703=1,T703,IF(AI703=1,S703,""))))</f>
        <v/>
      </c>
      <c r="AB703" s="79">
        <f>IF(AA703="","",IF(AH703=1,1,IF(AA703="","",IF(AA703&lt;AsOf,1,IF(AA703&lt;=AsOf+AlertDays,2,IF(AA703&lt;=AsOf+2*AlertDays,3,""))))))</f>
        <v/>
      </c>
      <c r="AC703" s="79">
        <f>IF(AB703="","",IF(AH703=1,IF(Y703="⚠️ Delivery after install date","Delivery after install date: "&amp;B703,"Order late — install at risk: "&amp;B703),IF(AD703=1,IF(AB703=1,"Decision overdue: ","Decide: ")&amp;B703,"Order: "&amp;B703&amp;IF(N703="",""," from "&amp;N703))))</f>
        <v/>
      </c>
      <c r="AD703" s="79">
        <f>IF(AND(B703&lt;&gt;"",K703="",U703&lt;&gt;"Yes",X703&lt;&gt;"Yes"),1,0)</f>
        <v/>
      </c>
      <c r="AE703" s="79">
        <f>IF(AND(AD703=1,T703&lt;&gt;""),IF(T703&lt;AsOf,1,0),0)</f>
        <v/>
      </c>
      <c r="AF703" s="79">
        <f>IF(AND(AD703=1,T703&lt;&gt;""),IF(AND(T703&gt;=AsOf,T703&lt;=AsOf+AlertDays),1,0),0)</f>
        <v/>
      </c>
      <c r="AG703" s="79">
        <f>IF(Y703="Order now",1,0)</f>
        <v/>
      </c>
      <c r="AH703" s="79">
        <f>IF(OR(Y703="⚠️ Order late — install at risk",Y703="⚠️ Delivery after install date"),1,0)</f>
        <v/>
      </c>
      <c r="AI703" s="79">
        <f>IF(AND(B703&lt;&gt;"",K703&lt;&gt;"",U703&lt;&gt;"Yes",X703&lt;&gt;"Yes"),1,0)</f>
        <v/>
      </c>
      <c r="AJ703" s="79">
        <f>IF(Y703="⚠️ Order late — install at risk",1,0)</f>
        <v/>
      </c>
    </row>
    <row r="704" ht="20" customHeight="1">
      <c r="B704" s="72" t="n"/>
      <c r="C704" s="72" t="n"/>
      <c r="D704" s="72" t="n"/>
      <c r="E704" s="72" t="n"/>
      <c r="F704" s="73" t="n"/>
      <c r="G704" s="72" t="n"/>
      <c r="H704" s="73" t="n"/>
      <c r="I704" s="72" t="n"/>
      <c r="J704" s="73" t="n"/>
      <c r="K704" s="74" t="n"/>
      <c r="L704" s="75">
        <f>IF(K704="A",F704,IF(K704="B",H704,IF(K704="C",J704,"")))</f>
        <v/>
      </c>
      <c r="M704" s="72" t="n"/>
      <c r="N704" s="72" t="n"/>
      <c r="O704" s="89" t="n"/>
      <c r="P704" s="89" t="n"/>
      <c r="Q704" s="109" t="n"/>
      <c r="R704" s="120">
        <f>IF(B704="","",IF(Q704&lt;&gt;"",Q704,IF(P704="","",IFERROR(INDEX('Timeline'!$J$7:$J$1006,MATCH(P704,'Timeline'!$B$7:$B$1006,0)),""))))</f>
        <v/>
      </c>
      <c r="S704" s="126">
        <f>IF(R704="","",R704-IF(O704="",0,O704)-OrderBuf)</f>
        <v/>
      </c>
      <c r="T704" s="126">
        <f>IF(S704="","",S704-DecideBuf)</f>
        <v/>
      </c>
      <c r="U704" s="74" t="n"/>
      <c r="V704" s="109" t="n"/>
      <c r="W704" s="109" t="n"/>
      <c r="X704" s="74" t="n"/>
      <c r="Y704" s="116">
        <f>IF(B704="","",IF(X704="Yes","Delivered",IF(U704="Yes",IF(AND(W704&lt;&gt;"",R704&lt;&gt;""),IF(W704&gt;R704,"⚠️ Delivery after install date","Ordered"),"Ordered"),IF(K704="",IF(T704="","Waiting for decision",IF(T704&lt;=AsOf+AlertDays,"Decide now","Waiting for decision")),IF(S704="","Selected",IF(AsOf&gt;S704,"⚠️ Order late — install at risk",IF(S704&lt;=AsOf+AlertDays,"Order now","Selected")))))))</f>
        <v/>
      </c>
      <c r="Z704" s="79">
        <f>IF(B704="","",IF(OR(AH704=1,AE704=1),2,IF(OR(AG704=1,AF704=1),1,IF(OR(Y704="Ordered",Y704="Delivered"),0,""))))</f>
        <v/>
      </c>
      <c r="AA704" s="112">
        <f>IF(B704="","",IF(AH704=1,IF(Y704="⚠️ Delivery after install date",R704,S704),IF(AD704=1,T704,IF(AI704=1,S704,""))))</f>
        <v/>
      </c>
      <c r="AB704" s="79">
        <f>IF(AA704="","",IF(AH704=1,1,IF(AA704="","",IF(AA704&lt;AsOf,1,IF(AA704&lt;=AsOf+AlertDays,2,IF(AA704&lt;=AsOf+2*AlertDays,3,""))))))</f>
        <v/>
      </c>
      <c r="AC704" s="79">
        <f>IF(AB704="","",IF(AH704=1,IF(Y704="⚠️ Delivery after install date","Delivery after install date: "&amp;B704,"Order late — install at risk: "&amp;B704),IF(AD704=1,IF(AB704=1,"Decision overdue: ","Decide: ")&amp;B704,"Order: "&amp;B704&amp;IF(N704="",""," from "&amp;N704))))</f>
        <v/>
      </c>
      <c r="AD704" s="79">
        <f>IF(AND(B704&lt;&gt;"",K704="",U704&lt;&gt;"Yes",X704&lt;&gt;"Yes"),1,0)</f>
        <v/>
      </c>
      <c r="AE704" s="79">
        <f>IF(AND(AD704=1,T704&lt;&gt;""),IF(T704&lt;AsOf,1,0),0)</f>
        <v/>
      </c>
      <c r="AF704" s="79">
        <f>IF(AND(AD704=1,T704&lt;&gt;""),IF(AND(T704&gt;=AsOf,T704&lt;=AsOf+AlertDays),1,0),0)</f>
        <v/>
      </c>
      <c r="AG704" s="79">
        <f>IF(Y704="Order now",1,0)</f>
        <v/>
      </c>
      <c r="AH704" s="79">
        <f>IF(OR(Y704="⚠️ Order late — install at risk",Y704="⚠️ Delivery after install date"),1,0)</f>
        <v/>
      </c>
      <c r="AI704" s="79">
        <f>IF(AND(B704&lt;&gt;"",K704&lt;&gt;"",U704&lt;&gt;"Yes",X704&lt;&gt;"Yes"),1,0)</f>
        <v/>
      </c>
      <c r="AJ704" s="79">
        <f>IF(Y704="⚠️ Order late — install at risk",1,0)</f>
        <v/>
      </c>
    </row>
    <row r="705" ht="20" customHeight="1">
      <c r="B705" s="72" t="n"/>
      <c r="C705" s="72" t="n"/>
      <c r="D705" s="72" t="n"/>
      <c r="E705" s="72" t="n"/>
      <c r="F705" s="73" t="n"/>
      <c r="G705" s="72" t="n"/>
      <c r="H705" s="73" t="n"/>
      <c r="I705" s="72" t="n"/>
      <c r="J705" s="73" t="n"/>
      <c r="K705" s="74" t="n"/>
      <c r="L705" s="75">
        <f>IF(K705="A",F705,IF(K705="B",H705,IF(K705="C",J705,"")))</f>
        <v/>
      </c>
      <c r="M705" s="72" t="n"/>
      <c r="N705" s="72" t="n"/>
      <c r="O705" s="89" t="n"/>
      <c r="P705" s="89" t="n"/>
      <c r="Q705" s="109" t="n"/>
      <c r="R705" s="120">
        <f>IF(B705="","",IF(Q705&lt;&gt;"",Q705,IF(P705="","",IFERROR(INDEX('Timeline'!$J$7:$J$1006,MATCH(P705,'Timeline'!$B$7:$B$1006,0)),""))))</f>
        <v/>
      </c>
      <c r="S705" s="126">
        <f>IF(R705="","",R705-IF(O705="",0,O705)-OrderBuf)</f>
        <v/>
      </c>
      <c r="T705" s="126">
        <f>IF(S705="","",S705-DecideBuf)</f>
        <v/>
      </c>
      <c r="U705" s="74" t="n"/>
      <c r="V705" s="109" t="n"/>
      <c r="W705" s="109" t="n"/>
      <c r="X705" s="74" t="n"/>
      <c r="Y705" s="116">
        <f>IF(B705="","",IF(X705="Yes","Delivered",IF(U705="Yes",IF(AND(W705&lt;&gt;"",R705&lt;&gt;""),IF(W705&gt;R705,"⚠️ Delivery after install date","Ordered"),"Ordered"),IF(K705="",IF(T705="","Waiting for decision",IF(T705&lt;=AsOf+AlertDays,"Decide now","Waiting for decision")),IF(S705="","Selected",IF(AsOf&gt;S705,"⚠️ Order late — install at risk",IF(S705&lt;=AsOf+AlertDays,"Order now","Selected")))))))</f>
        <v/>
      </c>
      <c r="Z705" s="79">
        <f>IF(B705="","",IF(OR(AH705=1,AE705=1),2,IF(OR(AG705=1,AF705=1),1,IF(OR(Y705="Ordered",Y705="Delivered"),0,""))))</f>
        <v/>
      </c>
      <c r="AA705" s="112">
        <f>IF(B705="","",IF(AH705=1,IF(Y705="⚠️ Delivery after install date",R705,S705),IF(AD705=1,T705,IF(AI705=1,S705,""))))</f>
        <v/>
      </c>
      <c r="AB705" s="79">
        <f>IF(AA705="","",IF(AH705=1,1,IF(AA705="","",IF(AA705&lt;AsOf,1,IF(AA705&lt;=AsOf+AlertDays,2,IF(AA705&lt;=AsOf+2*AlertDays,3,""))))))</f>
        <v/>
      </c>
      <c r="AC705" s="79">
        <f>IF(AB705="","",IF(AH705=1,IF(Y705="⚠️ Delivery after install date","Delivery after install date: "&amp;B705,"Order late — install at risk: "&amp;B705),IF(AD705=1,IF(AB705=1,"Decision overdue: ","Decide: ")&amp;B705,"Order: "&amp;B705&amp;IF(N705="",""," from "&amp;N705))))</f>
        <v/>
      </c>
      <c r="AD705" s="79">
        <f>IF(AND(B705&lt;&gt;"",K705="",U705&lt;&gt;"Yes",X705&lt;&gt;"Yes"),1,0)</f>
        <v/>
      </c>
      <c r="AE705" s="79">
        <f>IF(AND(AD705=1,T705&lt;&gt;""),IF(T705&lt;AsOf,1,0),0)</f>
        <v/>
      </c>
      <c r="AF705" s="79">
        <f>IF(AND(AD705=1,T705&lt;&gt;""),IF(AND(T705&gt;=AsOf,T705&lt;=AsOf+AlertDays),1,0),0)</f>
        <v/>
      </c>
      <c r="AG705" s="79">
        <f>IF(Y705="Order now",1,0)</f>
        <v/>
      </c>
      <c r="AH705" s="79">
        <f>IF(OR(Y705="⚠️ Order late — install at risk",Y705="⚠️ Delivery after install date"),1,0)</f>
        <v/>
      </c>
      <c r="AI705" s="79">
        <f>IF(AND(B705&lt;&gt;"",K705&lt;&gt;"",U705&lt;&gt;"Yes",X705&lt;&gt;"Yes"),1,0)</f>
        <v/>
      </c>
      <c r="AJ705" s="79">
        <f>IF(Y705="⚠️ Order late — install at risk",1,0)</f>
        <v/>
      </c>
    </row>
    <row r="706" ht="20" customHeight="1">
      <c r="B706" s="72" t="n"/>
      <c r="C706" s="72" t="n"/>
      <c r="D706" s="72" t="n"/>
      <c r="E706" s="72" t="n"/>
      <c r="F706" s="73" t="n"/>
      <c r="G706" s="72" t="n"/>
      <c r="H706" s="73" t="n"/>
      <c r="I706" s="72" t="n"/>
      <c r="J706" s="73" t="n"/>
      <c r="K706" s="74" t="n"/>
      <c r="L706" s="75">
        <f>IF(K706="A",F706,IF(K706="B",H706,IF(K706="C",J706,"")))</f>
        <v/>
      </c>
      <c r="M706" s="72" t="n"/>
      <c r="N706" s="72" t="n"/>
      <c r="O706" s="89" t="n"/>
      <c r="P706" s="89" t="n"/>
      <c r="Q706" s="109" t="n"/>
      <c r="R706" s="120">
        <f>IF(B706="","",IF(Q706&lt;&gt;"",Q706,IF(P706="","",IFERROR(INDEX('Timeline'!$J$7:$J$1006,MATCH(P706,'Timeline'!$B$7:$B$1006,0)),""))))</f>
        <v/>
      </c>
      <c r="S706" s="126">
        <f>IF(R706="","",R706-IF(O706="",0,O706)-OrderBuf)</f>
        <v/>
      </c>
      <c r="T706" s="126">
        <f>IF(S706="","",S706-DecideBuf)</f>
        <v/>
      </c>
      <c r="U706" s="74" t="n"/>
      <c r="V706" s="109" t="n"/>
      <c r="W706" s="109" t="n"/>
      <c r="X706" s="74" t="n"/>
      <c r="Y706" s="116">
        <f>IF(B706="","",IF(X706="Yes","Delivered",IF(U706="Yes",IF(AND(W706&lt;&gt;"",R706&lt;&gt;""),IF(W706&gt;R706,"⚠️ Delivery after install date","Ordered"),"Ordered"),IF(K706="",IF(T706="","Waiting for decision",IF(T706&lt;=AsOf+AlertDays,"Decide now","Waiting for decision")),IF(S706="","Selected",IF(AsOf&gt;S706,"⚠️ Order late — install at risk",IF(S706&lt;=AsOf+AlertDays,"Order now","Selected")))))))</f>
        <v/>
      </c>
      <c r="Z706" s="79">
        <f>IF(B706="","",IF(OR(AH706=1,AE706=1),2,IF(OR(AG706=1,AF706=1),1,IF(OR(Y706="Ordered",Y706="Delivered"),0,""))))</f>
        <v/>
      </c>
      <c r="AA706" s="112">
        <f>IF(B706="","",IF(AH706=1,IF(Y706="⚠️ Delivery after install date",R706,S706),IF(AD706=1,T706,IF(AI706=1,S706,""))))</f>
        <v/>
      </c>
      <c r="AB706" s="79">
        <f>IF(AA706="","",IF(AH706=1,1,IF(AA706="","",IF(AA706&lt;AsOf,1,IF(AA706&lt;=AsOf+AlertDays,2,IF(AA706&lt;=AsOf+2*AlertDays,3,""))))))</f>
        <v/>
      </c>
      <c r="AC706" s="79">
        <f>IF(AB706="","",IF(AH706=1,IF(Y706="⚠️ Delivery after install date","Delivery after install date: "&amp;B706,"Order late — install at risk: "&amp;B706),IF(AD706=1,IF(AB706=1,"Decision overdue: ","Decide: ")&amp;B706,"Order: "&amp;B706&amp;IF(N706="",""," from "&amp;N706))))</f>
        <v/>
      </c>
      <c r="AD706" s="79">
        <f>IF(AND(B706&lt;&gt;"",K706="",U706&lt;&gt;"Yes",X706&lt;&gt;"Yes"),1,0)</f>
        <v/>
      </c>
      <c r="AE706" s="79">
        <f>IF(AND(AD706=1,T706&lt;&gt;""),IF(T706&lt;AsOf,1,0),0)</f>
        <v/>
      </c>
      <c r="AF706" s="79">
        <f>IF(AND(AD706=1,T706&lt;&gt;""),IF(AND(T706&gt;=AsOf,T706&lt;=AsOf+AlertDays),1,0),0)</f>
        <v/>
      </c>
      <c r="AG706" s="79">
        <f>IF(Y706="Order now",1,0)</f>
        <v/>
      </c>
      <c r="AH706" s="79">
        <f>IF(OR(Y706="⚠️ Order late — install at risk",Y706="⚠️ Delivery after install date"),1,0)</f>
        <v/>
      </c>
      <c r="AI706" s="79">
        <f>IF(AND(B706&lt;&gt;"",K706&lt;&gt;"",U706&lt;&gt;"Yes",X706&lt;&gt;"Yes"),1,0)</f>
        <v/>
      </c>
      <c r="AJ706" s="79">
        <f>IF(Y706="⚠️ Order late — install at risk",1,0)</f>
        <v/>
      </c>
    </row>
    <row r="707" ht="20" customHeight="1">
      <c r="B707" s="72" t="n"/>
      <c r="C707" s="72" t="n"/>
      <c r="D707" s="72" t="n"/>
      <c r="E707" s="72" t="n"/>
      <c r="F707" s="73" t="n"/>
      <c r="G707" s="72" t="n"/>
      <c r="H707" s="73" t="n"/>
      <c r="I707" s="72" t="n"/>
      <c r="J707" s="73" t="n"/>
      <c r="K707" s="74" t="n"/>
      <c r="L707" s="75">
        <f>IF(K707="A",F707,IF(K707="B",H707,IF(K707="C",J707,"")))</f>
        <v/>
      </c>
      <c r="M707" s="72" t="n"/>
      <c r="N707" s="72" t="n"/>
      <c r="O707" s="89" t="n"/>
      <c r="P707" s="89" t="n"/>
      <c r="Q707" s="109" t="n"/>
      <c r="R707" s="120">
        <f>IF(B707="","",IF(Q707&lt;&gt;"",Q707,IF(P707="","",IFERROR(INDEX('Timeline'!$J$7:$J$1006,MATCH(P707,'Timeline'!$B$7:$B$1006,0)),""))))</f>
        <v/>
      </c>
      <c r="S707" s="126">
        <f>IF(R707="","",R707-IF(O707="",0,O707)-OrderBuf)</f>
        <v/>
      </c>
      <c r="T707" s="126">
        <f>IF(S707="","",S707-DecideBuf)</f>
        <v/>
      </c>
      <c r="U707" s="74" t="n"/>
      <c r="V707" s="109" t="n"/>
      <c r="W707" s="109" t="n"/>
      <c r="X707" s="74" t="n"/>
      <c r="Y707" s="116">
        <f>IF(B707="","",IF(X707="Yes","Delivered",IF(U707="Yes",IF(AND(W707&lt;&gt;"",R707&lt;&gt;""),IF(W707&gt;R707,"⚠️ Delivery after install date","Ordered"),"Ordered"),IF(K707="",IF(T707="","Waiting for decision",IF(T707&lt;=AsOf+AlertDays,"Decide now","Waiting for decision")),IF(S707="","Selected",IF(AsOf&gt;S707,"⚠️ Order late — install at risk",IF(S707&lt;=AsOf+AlertDays,"Order now","Selected")))))))</f>
        <v/>
      </c>
      <c r="Z707" s="79">
        <f>IF(B707="","",IF(OR(AH707=1,AE707=1),2,IF(OR(AG707=1,AF707=1),1,IF(OR(Y707="Ordered",Y707="Delivered"),0,""))))</f>
        <v/>
      </c>
      <c r="AA707" s="112">
        <f>IF(B707="","",IF(AH707=1,IF(Y707="⚠️ Delivery after install date",R707,S707),IF(AD707=1,T707,IF(AI707=1,S707,""))))</f>
        <v/>
      </c>
      <c r="AB707" s="79">
        <f>IF(AA707="","",IF(AH707=1,1,IF(AA707="","",IF(AA707&lt;AsOf,1,IF(AA707&lt;=AsOf+AlertDays,2,IF(AA707&lt;=AsOf+2*AlertDays,3,""))))))</f>
        <v/>
      </c>
      <c r="AC707" s="79">
        <f>IF(AB707="","",IF(AH707=1,IF(Y707="⚠️ Delivery after install date","Delivery after install date: "&amp;B707,"Order late — install at risk: "&amp;B707),IF(AD707=1,IF(AB707=1,"Decision overdue: ","Decide: ")&amp;B707,"Order: "&amp;B707&amp;IF(N707="",""," from "&amp;N707))))</f>
        <v/>
      </c>
      <c r="AD707" s="79">
        <f>IF(AND(B707&lt;&gt;"",K707="",U707&lt;&gt;"Yes",X707&lt;&gt;"Yes"),1,0)</f>
        <v/>
      </c>
      <c r="AE707" s="79">
        <f>IF(AND(AD707=1,T707&lt;&gt;""),IF(T707&lt;AsOf,1,0),0)</f>
        <v/>
      </c>
      <c r="AF707" s="79">
        <f>IF(AND(AD707=1,T707&lt;&gt;""),IF(AND(T707&gt;=AsOf,T707&lt;=AsOf+AlertDays),1,0),0)</f>
        <v/>
      </c>
      <c r="AG707" s="79">
        <f>IF(Y707="Order now",1,0)</f>
        <v/>
      </c>
      <c r="AH707" s="79">
        <f>IF(OR(Y707="⚠️ Order late — install at risk",Y707="⚠️ Delivery after install date"),1,0)</f>
        <v/>
      </c>
      <c r="AI707" s="79">
        <f>IF(AND(B707&lt;&gt;"",K707&lt;&gt;"",U707&lt;&gt;"Yes",X707&lt;&gt;"Yes"),1,0)</f>
        <v/>
      </c>
      <c r="AJ707" s="79">
        <f>IF(Y707="⚠️ Order late — install at risk",1,0)</f>
        <v/>
      </c>
    </row>
    <row r="708" ht="20" customHeight="1">
      <c r="B708" s="72" t="n"/>
      <c r="C708" s="72" t="n"/>
      <c r="D708" s="72" t="n"/>
      <c r="E708" s="72" t="n"/>
      <c r="F708" s="73" t="n"/>
      <c r="G708" s="72" t="n"/>
      <c r="H708" s="73" t="n"/>
      <c r="I708" s="72" t="n"/>
      <c r="J708" s="73" t="n"/>
      <c r="K708" s="74" t="n"/>
      <c r="L708" s="75">
        <f>IF(K708="A",F708,IF(K708="B",H708,IF(K708="C",J708,"")))</f>
        <v/>
      </c>
      <c r="M708" s="72" t="n"/>
      <c r="N708" s="72" t="n"/>
      <c r="O708" s="89" t="n"/>
      <c r="P708" s="89" t="n"/>
      <c r="Q708" s="109" t="n"/>
      <c r="R708" s="120">
        <f>IF(B708="","",IF(Q708&lt;&gt;"",Q708,IF(P708="","",IFERROR(INDEX('Timeline'!$J$7:$J$1006,MATCH(P708,'Timeline'!$B$7:$B$1006,0)),""))))</f>
        <v/>
      </c>
      <c r="S708" s="126">
        <f>IF(R708="","",R708-IF(O708="",0,O708)-OrderBuf)</f>
        <v/>
      </c>
      <c r="T708" s="126">
        <f>IF(S708="","",S708-DecideBuf)</f>
        <v/>
      </c>
      <c r="U708" s="74" t="n"/>
      <c r="V708" s="109" t="n"/>
      <c r="W708" s="109" t="n"/>
      <c r="X708" s="74" t="n"/>
      <c r="Y708" s="116">
        <f>IF(B708="","",IF(X708="Yes","Delivered",IF(U708="Yes",IF(AND(W708&lt;&gt;"",R708&lt;&gt;""),IF(W708&gt;R708,"⚠️ Delivery after install date","Ordered"),"Ordered"),IF(K708="",IF(T708="","Waiting for decision",IF(T708&lt;=AsOf+AlertDays,"Decide now","Waiting for decision")),IF(S708="","Selected",IF(AsOf&gt;S708,"⚠️ Order late — install at risk",IF(S708&lt;=AsOf+AlertDays,"Order now","Selected")))))))</f>
        <v/>
      </c>
      <c r="Z708" s="79">
        <f>IF(B708="","",IF(OR(AH708=1,AE708=1),2,IF(OR(AG708=1,AF708=1),1,IF(OR(Y708="Ordered",Y708="Delivered"),0,""))))</f>
        <v/>
      </c>
      <c r="AA708" s="112">
        <f>IF(B708="","",IF(AH708=1,IF(Y708="⚠️ Delivery after install date",R708,S708),IF(AD708=1,T708,IF(AI708=1,S708,""))))</f>
        <v/>
      </c>
      <c r="AB708" s="79">
        <f>IF(AA708="","",IF(AH708=1,1,IF(AA708="","",IF(AA708&lt;AsOf,1,IF(AA708&lt;=AsOf+AlertDays,2,IF(AA708&lt;=AsOf+2*AlertDays,3,""))))))</f>
        <v/>
      </c>
      <c r="AC708" s="79">
        <f>IF(AB708="","",IF(AH708=1,IF(Y708="⚠️ Delivery after install date","Delivery after install date: "&amp;B708,"Order late — install at risk: "&amp;B708),IF(AD708=1,IF(AB708=1,"Decision overdue: ","Decide: ")&amp;B708,"Order: "&amp;B708&amp;IF(N708="",""," from "&amp;N708))))</f>
        <v/>
      </c>
      <c r="AD708" s="79">
        <f>IF(AND(B708&lt;&gt;"",K708="",U708&lt;&gt;"Yes",X708&lt;&gt;"Yes"),1,0)</f>
        <v/>
      </c>
      <c r="AE708" s="79">
        <f>IF(AND(AD708=1,T708&lt;&gt;""),IF(T708&lt;AsOf,1,0),0)</f>
        <v/>
      </c>
      <c r="AF708" s="79">
        <f>IF(AND(AD708=1,T708&lt;&gt;""),IF(AND(T708&gt;=AsOf,T708&lt;=AsOf+AlertDays),1,0),0)</f>
        <v/>
      </c>
      <c r="AG708" s="79">
        <f>IF(Y708="Order now",1,0)</f>
        <v/>
      </c>
      <c r="AH708" s="79">
        <f>IF(OR(Y708="⚠️ Order late — install at risk",Y708="⚠️ Delivery after install date"),1,0)</f>
        <v/>
      </c>
      <c r="AI708" s="79">
        <f>IF(AND(B708&lt;&gt;"",K708&lt;&gt;"",U708&lt;&gt;"Yes",X708&lt;&gt;"Yes"),1,0)</f>
        <v/>
      </c>
      <c r="AJ708" s="79">
        <f>IF(Y708="⚠️ Order late — install at risk",1,0)</f>
        <v/>
      </c>
    </row>
    <row r="709" ht="20" customHeight="1">
      <c r="B709" s="72" t="n"/>
      <c r="C709" s="72" t="n"/>
      <c r="D709" s="72" t="n"/>
      <c r="E709" s="72" t="n"/>
      <c r="F709" s="73" t="n"/>
      <c r="G709" s="72" t="n"/>
      <c r="H709" s="73" t="n"/>
      <c r="I709" s="72" t="n"/>
      <c r="J709" s="73" t="n"/>
      <c r="K709" s="74" t="n"/>
      <c r="L709" s="75">
        <f>IF(K709="A",F709,IF(K709="B",H709,IF(K709="C",J709,"")))</f>
        <v/>
      </c>
      <c r="M709" s="72" t="n"/>
      <c r="N709" s="72" t="n"/>
      <c r="O709" s="89" t="n"/>
      <c r="P709" s="89" t="n"/>
      <c r="Q709" s="109" t="n"/>
      <c r="R709" s="120">
        <f>IF(B709="","",IF(Q709&lt;&gt;"",Q709,IF(P709="","",IFERROR(INDEX('Timeline'!$J$7:$J$1006,MATCH(P709,'Timeline'!$B$7:$B$1006,0)),""))))</f>
        <v/>
      </c>
      <c r="S709" s="126">
        <f>IF(R709="","",R709-IF(O709="",0,O709)-OrderBuf)</f>
        <v/>
      </c>
      <c r="T709" s="126">
        <f>IF(S709="","",S709-DecideBuf)</f>
        <v/>
      </c>
      <c r="U709" s="74" t="n"/>
      <c r="V709" s="109" t="n"/>
      <c r="W709" s="109" t="n"/>
      <c r="X709" s="74" t="n"/>
      <c r="Y709" s="116">
        <f>IF(B709="","",IF(X709="Yes","Delivered",IF(U709="Yes",IF(AND(W709&lt;&gt;"",R709&lt;&gt;""),IF(W709&gt;R709,"⚠️ Delivery after install date","Ordered"),"Ordered"),IF(K709="",IF(T709="","Waiting for decision",IF(T709&lt;=AsOf+AlertDays,"Decide now","Waiting for decision")),IF(S709="","Selected",IF(AsOf&gt;S709,"⚠️ Order late — install at risk",IF(S709&lt;=AsOf+AlertDays,"Order now","Selected")))))))</f>
        <v/>
      </c>
      <c r="Z709" s="79">
        <f>IF(B709="","",IF(OR(AH709=1,AE709=1),2,IF(OR(AG709=1,AF709=1),1,IF(OR(Y709="Ordered",Y709="Delivered"),0,""))))</f>
        <v/>
      </c>
      <c r="AA709" s="112">
        <f>IF(B709="","",IF(AH709=1,IF(Y709="⚠️ Delivery after install date",R709,S709),IF(AD709=1,T709,IF(AI709=1,S709,""))))</f>
        <v/>
      </c>
      <c r="AB709" s="79">
        <f>IF(AA709="","",IF(AH709=1,1,IF(AA709="","",IF(AA709&lt;AsOf,1,IF(AA709&lt;=AsOf+AlertDays,2,IF(AA709&lt;=AsOf+2*AlertDays,3,""))))))</f>
        <v/>
      </c>
      <c r="AC709" s="79">
        <f>IF(AB709="","",IF(AH709=1,IF(Y709="⚠️ Delivery after install date","Delivery after install date: "&amp;B709,"Order late — install at risk: "&amp;B709),IF(AD709=1,IF(AB709=1,"Decision overdue: ","Decide: ")&amp;B709,"Order: "&amp;B709&amp;IF(N709="",""," from "&amp;N709))))</f>
        <v/>
      </c>
      <c r="AD709" s="79">
        <f>IF(AND(B709&lt;&gt;"",K709="",U709&lt;&gt;"Yes",X709&lt;&gt;"Yes"),1,0)</f>
        <v/>
      </c>
      <c r="AE709" s="79">
        <f>IF(AND(AD709=1,T709&lt;&gt;""),IF(T709&lt;AsOf,1,0),0)</f>
        <v/>
      </c>
      <c r="AF709" s="79">
        <f>IF(AND(AD709=1,T709&lt;&gt;""),IF(AND(T709&gt;=AsOf,T709&lt;=AsOf+AlertDays),1,0),0)</f>
        <v/>
      </c>
      <c r="AG709" s="79">
        <f>IF(Y709="Order now",1,0)</f>
        <v/>
      </c>
      <c r="AH709" s="79">
        <f>IF(OR(Y709="⚠️ Order late — install at risk",Y709="⚠️ Delivery after install date"),1,0)</f>
        <v/>
      </c>
      <c r="AI709" s="79">
        <f>IF(AND(B709&lt;&gt;"",K709&lt;&gt;"",U709&lt;&gt;"Yes",X709&lt;&gt;"Yes"),1,0)</f>
        <v/>
      </c>
      <c r="AJ709" s="79">
        <f>IF(Y709="⚠️ Order late — install at risk",1,0)</f>
        <v/>
      </c>
    </row>
    <row r="710" ht="20" customHeight="1">
      <c r="B710" s="72" t="n"/>
      <c r="C710" s="72" t="n"/>
      <c r="D710" s="72" t="n"/>
      <c r="E710" s="72" t="n"/>
      <c r="F710" s="73" t="n"/>
      <c r="G710" s="72" t="n"/>
      <c r="H710" s="73" t="n"/>
      <c r="I710" s="72" t="n"/>
      <c r="J710" s="73" t="n"/>
      <c r="K710" s="74" t="n"/>
      <c r="L710" s="75">
        <f>IF(K710="A",F710,IF(K710="B",H710,IF(K710="C",J710,"")))</f>
        <v/>
      </c>
      <c r="M710" s="72" t="n"/>
      <c r="N710" s="72" t="n"/>
      <c r="O710" s="89" t="n"/>
      <c r="P710" s="89" t="n"/>
      <c r="Q710" s="109" t="n"/>
      <c r="R710" s="120">
        <f>IF(B710="","",IF(Q710&lt;&gt;"",Q710,IF(P710="","",IFERROR(INDEX('Timeline'!$J$7:$J$1006,MATCH(P710,'Timeline'!$B$7:$B$1006,0)),""))))</f>
        <v/>
      </c>
      <c r="S710" s="126">
        <f>IF(R710="","",R710-IF(O710="",0,O710)-OrderBuf)</f>
        <v/>
      </c>
      <c r="T710" s="126">
        <f>IF(S710="","",S710-DecideBuf)</f>
        <v/>
      </c>
      <c r="U710" s="74" t="n"/>
      <c r="V710" s="109" t="n"/>
      <c r="W710" s="109" t="n"/>
      <c r="X710" s="74" t="n"/>
      <c r="Y710" s="116">
        <f>IF(B710="","",IF(X710="Yes","Delivered",IF(U710="Yes",IF(AND(W710&lt;&gt;"",R710&lt;&gt;""),IF(W710&gt;R710,"⚠️ Delivery after install date","Ordered"),"Ordered"),IF(K710="",IF(T710="","Waiting for decision",IF(T710&lt;=AsOf+AlertDays,"Decide now","Waiting for decision")),IF(S710="","Selected",IF(AsOf&gt;S710,"⚠️ Order late — install at risk",IF(S710&lt;=AsOf+AlertDays,"Order now","Selected")))))))</f>
        <v/>
      </c>
      <c r="Z710" s="79">
        <f>IF(B710="","",IF(OR(AH710=1,AE710=1),2,IF(OR(AG710=1,AF710=1),1,IF(OR(Y710="Ordered",Y710="Delivered"),0,""))))</f>
        <v/>
      </c>
      <c r="AA710" s="112">
        <f>IF(B710="","",IF(AH710=1,IF(Y710="⚠️ Delivery after install date",R710,S710),IF(AD710=1,T710,IF(AI710=1,S710,""))))</f>
        <v/>
      </c>
      <c r="AB710" s="79">
        <f>IF(AA710="","",IF(AH710=1,1,IF(AA710="","",IF(AA710&lt;AsOf,1,IF(AA710&lt;=AsOf+AlertDays,2,IF(AA710&lt;=AsOf+2*AlertDays,3,""))))))</f>
        <v/>
      </c>
      <c r="AC710" s="79">
        <f>IF(AB710="","",IF(AH710=1,IF(Y710="⚠️ Delivery after install date","Delivery after install date: "&amp;B710,"Order late — install at risk: "&amp;B710),IF(AD710=1,IF(AB710=1,"Decision overdue: ","Decide: ")&amp;B710,"Order: "&amp;B710&amp;IF(N710="",""," from "&amp;N710))))</f>
        <v/>
      </c>
      <c r="AD710" s="79">
        <f>IF(AND(B710&lt;&gt;"",K710="",U710&lt;&gt;"Yes",X710&lt;&gt;"Yes"),1,0)</f>
        <v/>
      </c>
      <c r="AE710" s="79">
        <f>IF(AND(AD710=1,T710&lt;&gt;""),IF(T710&lt;AsOf,1,0),0)</f>
        <v/>
      </c>
      <c r="AF710" s="79">
        <f>IF(AND(AD710=1,T710&lt;&gt;""),IF(AND(T710&gt;=AsOf,T710&lt;=AsOf+AlertDays),1,0),0)</f>
        <v/>
      </c>
      <c r="AG710" s="79">
        <f>IF(Y710="Order now",1,0)</f>
        <v/>
      </c>
      <c r="AH710" s="79">
        <f>IF(OR(Y710="⚠️ Order late — install at risk",Y710="⚠️ Delivery after install date"),1,0)</f>
        <v/>
      </c>
      <c r="AI710" s="79">
        <f>IF(AND(B710&lt;&gt;"",K710&lt;&gt;"",U710&lt;&gt;"Yes",X710&lt;&gt;"Yes"),1,0)</f>
        <v/>
      </c>
      <c r="AJ710" s="79">
        <f>IF(Y710="⚠️ Order late — install at risk",1,0)</f>
        <v/>
      </c>
    </row>
    <row r="711" ht="20" customHeight="1">
      <c r="B711" s="72" t="n"/>
      <c r="C711" s="72" t="n"/>
      <c r="D711" s="72" t="n"/>
      <c r="E711" s="72" t="n"/>
      <c r="F711" s="73" t="n"/>
      <c r="G711" s="72" t="n"/>
      <c r="H711" s="73" t="n"/>
      <c r="I711" s="72" t="n"/>
      <c r="J711" s="73" t="n"/>
      <c r="K711" s="74" t="n"/>
      <c r="L711" s="75">
        <f>IF(K711="A",F711,IF(K711="B",H711,IF(K711="C",J711,"")))</f>
        <v/>
      </c>
      <c r="M711" s="72" t="n"/>
      <c r="N711" s="72" t="n"/>
      <c r="O711" s="89" t="n"/>
      <c r="P711" s="89" t="n"/>
      <c r="Q711" s="109" t="n"/>
      <c r="R711" s="120">
        <f>IF(B711="","",IF(Q711&lt;&gt;"",Q711,IF(P711="","",IFERROR(INDEX('Timeline'!$J$7:$J$1006,MATCH(P711,'Timeline'!$B$7:$B$1006,0)),""))))</f>
        <v/>
      </c>
      <c r="S711" s="126">
        <f>IF(R711="","",R711-IF(O711="",0,O711)-OrderBuf)</f>
        <v/>
      </c>
      <c r="T711" s="126">
        <f>IF(S711="","",S711-DecideBuf)</f>
        <v/>
      </c>
      <c r="U711" s="74" t="n"/>
      <c r="V711" s="109" t="n"/>
      <c r="W711" s="109" t="n"/>
      <c r="X711" s="74" t="n"/>
      <c r="Y711" s="116">
        <f>IF(B711="","",IF(X711="Yes","Delivered",IF(U711="Yes",IF(AND(W711&lt;&gt;"",R711&lt;&gt;""),IF(W711&gt;R711,"⚠️ Delivery after install date","Ordered"),"Ordered"),IF(K711="",IF(T711="","Waiting for decision",IF(T711&lt;=AsOf+AlertDays,"Decide now","Waiting for decision")),IF(S711="","Selected",IF(AsOf&gt;S711,"⚠️ Order late — install at risk",IF(S711&lt;=AsOf+AlertDays,"Order now","Selected")))))))</f>
        <v/>
      </c>
      <c r="Z711" s="79">
        <f>IF(B711="","",IF(OR(AH711=1,AE711=1),2,IF(OR(AG711=1,AF711=1),1,IF(OR(Y711="Ordered",Y711="Delivered"),0,""))))</f>
        <v/>
      </c>
      <c r="AA711" s="112">
        <f>IF(B711="","",IF(AH711=1,IF(Y711="⚠️ Delivery after install date",R711,S711),IF(AD711=1,T711,IF(AI711=1,S711,""))))</f>
        <v/>
      </c>
      <c r="AB711" s="79">
        <f>IF(AA711="","",IF(AH711=1,1,IF(AA711="","",IF(AA711&lt;AsOf,1,IF(AA711&lt;=AsOf+AlertDays,2,IF(AA711&lt;=AsOf+2*AlertDays,3,""))))))</f>
        <v/>
      </c>
      <c r="AC711" s="79">
        <f>IF(AB711="","",IF(AH711=1,IF(Y711="⚠️ Delivery after install date","Delivery after install date: "&amp;B711,"Order late — install at risk: "&amp;B711),IF(AD711=1,IF(AB711=1,"Decision overdue: ","Decide: ")&amp;B711,"Order: "&amp;B711&amp;IF(N711="",""," from "&amp;N711))))</f>
        <v/>
      </c>
      <c r="AD711" s="79">
        <f>IF(AND(B711&lt;&gt;"",K711="",U711&lt;&gt;"Yes",X711&lt;&gt;"Yes"),1,0)</f>
        <v/>
      </c>
      <c r="AE711" s="79">
        <f>IF(AND(AD711=1,T711&lt;&gt;""),IF(T711&lt;AsOf,1,0),0)</f>
        <v/>
      </c>
      <c r="AF711" s="79">
        <f>IF(AND(AD711=1,T711&lt;&gt;""),IF(AND(T711&gt;=AsOf,T711&lt;=AsOf+AlertDays),1,0),0)</f>
        <v/>
      </c>
      <c r="AG711" s="79">
        <f>IF(Y711="Order now",1,0)</f>
        <v/>
      </c>
      <c r="AH711" s="79">
        <f>IF(OR(Y711="⚠️ Order late — install at risk",Y711="⚠️ Delivery after install date"),1,0)</f>
        <v/>
      </c>
      <c r="AI711" s="79">
        <f>IF(AND(B711&lt;&gt;"",K711&lt;&gt;"",U711&lt;&gt;"Yes",X711&lt;&gt;"Yes"),1,0)</f>
        <v/>
      </c>
      <c r="AJ711" s="79">
        <f>IF(Y711="⚠️ Order late — install at risk",1,0)</f>
        <v/>
      </c>
    </row>
    <row r="712" ht="20" customHeight="1">
      <c r="B712" s="72" t="n"/>
      <c r="C712" s="72" t="n"/>
      <c r="D712" s="72" t="n"/>
      <c r="E712" s="72" t="n"/>
      <c r="F712" s="73" t="n"/>
      <c r="G712" s="72" t="n"/>
      <c r="H712" s="73" t="n"/>
      <c r="I712" s="72" t="n"/>
      <c r="J712" s="73" t="n"/>
      <c r="K712" s="74" t="n"/>
      <c r="L712" s="75">
        <f>IF(K712="A",F712,IF(K712="B",H712,IF(K712="C",J712,"")))</f>
        <v/>
      </c>
      <c r="M712" s="72" t="n"/>
      <c r="N712" s="72" t="n"/>
      <c r="O712" s="89" t="n"/>
      <c r="P712" s="89" t="n"/>
      <c r="Q712" s="109" t="n"/>
      <c r="R712" s="120">
        <f>IF(B712="","",IF(Q712&lt;&gt;"",Q712,IF(P712="","",IFERROR(INDEX('Timeline'!$J$7:$J$1006,MATCH(P712,'Timeline'!$B$7:$B$1006,0)),""))))</f>
        <v/>
      </c>
      <c r="S712" s="126">
        <f>IF(R712="","",R712-IF(O712="",0,O712)-OrderBuf)</f>
        <v/>
      </c>
      <c r="T712" s="126">
        <f>IF(S712="","",S712-DecideBuf)</f>
        <v/>
      </c>
      <c r="U712" s="74" t="n"/>
      <c r="V712" s="109" t="n"/>
      <c r="W712" s="109" t="n"/>
      <c r="X712" s="74" t="n"/>
      <c r="Y712" s="116">
        <f>IF(B712="","",IF(X712="Yes","Delivered",IF(U712="Yes",IF(AND(W712&lt;&gt;"",R712&lt;&gt;""),IF(W712&gt;R712,"⚠️ Delivery after install date","Ordered"),"Ordered"),IF(K712="",IF(T712="","Waiting for decision",IF(T712&lt;=AsOf+AlertDays,"Decide now","Waiting for decision")),IF(S712="","Selected",IF(AsOf&gt;S712,"⚠️ Order late — install at risk",IF(S712&lt;=AsOf+AlertDays,"Order now","Selected")))))))</f>
        <v/>
      </c>
      <c r="Z712" s="79">
        <f>IF(B712="","",IF(OR(AH712=1,AE712=1),2,IF(OR(AG712=1,AF712=1),1,IF(OR(Y712="Ordered",Y712="Delivered"),0,""))))</f>
        <v/>
      </c>
      <c r="AA712" s="112">
        <f>IF(B712="","",IF(AH712=1,IF(Y712="⚠️ Delivery after install date",R712,S712),IF(AD712=1,T712,IF(AI712=1,S712,""))))</f>
        <v/>
      </c>
      <c r="AB712" s="79">
        <f>IF(AA712="","",IF(AH712=1,1,IF(AA712="","",IF(AA712&lt;AsOf,1,IF(AA712&lt;=AsOf+AlertDays,2,IF(AA712&lt;=AsOf+2*AlertDays,3,""))))))</f>
        <v/>
      </c>
      <c r="AC712" s="79">
        <f>IF(AB712="","",IF(AH712=1,IF(Y712="⚠️ Delivery after install date","Delivery after install date: "&amp;B712,"Order late — install at risk: "&amp;B712),IF(AD712=1,IF(AB712=1,"Decision overdue: ","Decide: ")&amp;B712,"Order: "&amp;B712&amp;IF(N712="",""," from "&amp;N712))))</f>
        <v/>
      </c>
      <c r="AD712" s="79">
        <f>IF(AND(B712&lt;&gt;"",K712="",U712&lt;&gt;"Yes",X712&lt;&gt;"Yes"),1,0)</f>
        <v/>
      </c>
      <c r="AE712" s="79">
        <f>IF(AND(AD712=1,T712&lt;&gt;""),IF(T712&lt;AsOf,1,0),0)</f>
        <v/>
      </c>
      <c r="AF712" s="79">
        <f>IF(AND(AD712=1,T712&lt;&gt;""),IF(AND(T712&gt;=AsOf,T712&lt;=AsOf+AlertDays),1,0),0)</f>
        <v/>
      </c>
      <c r="AG712" s="79">
        <f>IF(Y712="Order now",1,0)</f>
        <v/>
      </c>
      <c r="AH712" s="79">
        <f>IF(OR(Y712="⚠️ Order late — install at risk",Y712="⚠️ Delivery after install date"),1,0)</f>
        <v/>
      </c>
      <c r="AI712" s="79">
        <f>IF(AND(B712&lt;&gt;"",K712&lt;&gt;"",U712&lt;&gt;"Yes",X712&lt;&gt;"Yes"),1,0)</f>
        <v/>
      </c>
      <c r="AJ712" s="79">
        <f>IF(Y712="⚠️ Order late — install at risk",1,0)</f>
        <v/>
      </c>
    </row>
    <row r="713" ht="20" customHeight="1">
      <c r="B713" s="72" t="n"/>
      <c r="C713" s="72" t="n"/>
      <c r="D713" s="72" t="n"/>
      <c r="E713" s="72" t="n"/>
      <c r="F713" s="73" t="n"/>
      <c r="G713" s="72" t="n"/>
      <c r="H713" s="73" t="n"/>
      <c r="I713" s="72" t="n"/>
      <c r="J713" s="73" t="n"/>
      <c r="K713" s="74" t="n"/>
      <c r="L713" s="75">
        <f>IF(K713="A",F713,IF(K713="B",H713,IF(K713="C",J713,"")))</f>
        <v/>
      </c>
      <c r="M713" s="72" t="n"/>
      <c r="N713" s="72" t="n"/>
      <c r="O713" s="89" t="n"/>
      <c r="P713" s="89" t="n"/>
      <c r="Q713" s="109" t="n"/>
      <c r="R713" s="120">
        <f>IF(B713="","",IF(Q713&lt;&gt;"",Q713,IF(P713="","",IFERROR(INDEX('Timeline'!$J$7:$J$1006,MATCH(P713,'Timeline'!$B$7:$B$1006,0)),""))))</f>
        <v/>
      </c>
      <c r="S713" s="126">
        <f>IF(R713="","",R713-IF(O713="",0,O713)-OrderBuf)</f>
        <v/>
      </c>
      <c r="T713" s="126">
        <f>IF(S713="","",S713-DecideBuf)</f>
        <v/>
      </c>
      <c r="U713" s="74" t="n"/>
      <c r="V713" s="109" t="n"/>
      <c r="W713" s="109" t="n"/>
      <c r="X713" s="74" t="n"/>
      <c r="Y713" s="116">
        <f>IF(B713="","",IF(X713="Yes","Delivered",IF(U713="Yes",IF(AND(W713&lt;&gt;"",R713&lt;&gt;""),IF(W713&gt;R713,"⚠️ Delivery after install date","Ordered"),"Ordered"),IF(K713="",IF(T713="","Waiting for decision",IF(T713&lt;=AsOf+AlertDays,"Decide now","Waiting for decision")),IF(S713="","Selected",IF(AsOf&gt;S713,"⚠️ Order late — install at risk",IF(S713&lt;=AsOf+AlertDays,"Order now","Selected")))))))</f>
        <v/>
      </c>
      <c r="Z713" s="79">
        <f>IF(B713="","",IF(OR(AH713=1,AE713=1),2,IF(OR(AG713=1,AF713=1),1,IF(OR(Y713="Ordered",Y713="Delivered"),0,""))))</f>
        <v/>
      </c>
      <c r="AA713" s="112">
        <f>IF(B713="","",IF(AH713=1,IF(Y713="⚠️ Delivery after install date",R713,S713),IF(AD713=1,T713,IF(AI713=1,S713,""))))</f>
        <v/>
      </c>
      <c r="AB713" s="79">
        <f>IF(AA713="","",IF(AH713=1,1,IF(AA713="","",IF(AA713&lt;AsOf,1,IF(AA713&lt;=AsOf+AlertDays,2,IF(AA713&lt;=AsOf+2*AlertDays,3,""))))))</f>
        <v/>
      </c>
      <c r="AC713" s="79">
        <f>IF(AB713="","",IF(AH713=1,IF(Y713="⚠️ Delivery after install date","Delivery after install date: "&amp;B713,"Order late — install at risk: "&amp;B713),IF(AD713=1,IF(AB713=1,"Decision overdue: ","Decide: ")&amp;B713,"Order: "&amp;B713&amp;IF(N713="",""," from "&amp;N713))))</f>
        <v/>
      </c>
      <c r="AD713" s="79">
        <f>IF(AND(B713&lt;&gt;"",K713="",U713&lt;&gt;"Yes",X713&lt;&gt;"Yes"),1,0)</f>
        <v/>
      </c>
      <c r="AE713" s="79">
        <f>IF(AND(AD713=1,T713&lt;&gt;""),IF(T713&lt;AsOf,1,0),0)</f>
        <v/>
      </c>
      <c r="AF713" s="79">
        <f>IF(AND(AD713=1,T713&lt;&gt;""),IF(AND(T713&gt;=AsOf,T713&lt;=AsOf+AlertDays),1,0),0)</f>
        <v/>
      </c>
      <c r="AG713" s="79">
        <f>IF(Y713="Order now",1,0)</f>
        <v/>
      </c>
      <c r="AH713" s="79">
        <f>IF(OR(Y713="⚠️ Order late — install at risk",Y713="⚠️ Delivery after install date"),1,0)</f>
        <v/>
      </c>
      <c r="AI713" s="79">
        <f>IF(AND(B713&lt;&gt;"",K713&lt;&gt;"",U713&lt;&gt;"Yes",X713&lt;&gt;"Yes"),1,0)</f>
        <v/>
      </c>
      <c r="AJ713" s="79">
        <f>IF(Y713="⚠️ Order late — install at risk",1,0)</f>
        <v/>
      </c>
    </row>
    <row r="714" ht="20" customHeight="1">
      <c r="B714" s="72" t="n"/>
      <c r="C714" s="72" t="n"/>
      <c r="D714" s="72" t="n"/>
      <c r="E714" s="72" t="n"/>
      <c r="F714" s="73" t="n"/>
      <c r="G714" s="72" t="n"/>
      <c r="H714" s="73" t="n"/>
      <c r="I714" s="72" t="n"/>
      <c r="J714" s="73" t="n"/>
      <c r="K714" s="74" t="n"/>
      <c r="L714" s="75">
        <f>IF(K714="A",F714,IF(K714="B",H714,IF(K714="C",J714,"")))</f>
        <v/>
      </c>
      <c r="M714" s="72" t="n"/>
      <c r="N714" s="72" t="n"/>
      <c r="O714" s="89" t="n"/>
      <c r="P714" s="89" t="n"/>
      <c r="Q714" s="109" t="n"/>
      <c r="R714" s="120">
        <f>IF(B714="","",IF(Q714&lt;&gt;"",Q714,IF(P714="","",IFERROR(INDEX('Timeline'!$J$7:$J$1006,MATCH(P714,'Timeline'!$B$7:$B$1006,0)),""))))</f>
        <v/>
      </c>
      <c r="S714" s="126">
        <f>IF(R714="","",R714-IF(O714="",0,O714)-OrderBuf)</f>
        <v/>
      </c>
      <c r="T714" s="126">
        <f>IF(S714="","",S714-DecideBuf)</f>
        <v/>
      </c>
      <c r="U714" s="74" t="n"/>
      <c r="V714" s="109" t="n"/>
      <c r="W714" s="109" t="n"/>
      <c r="X714" s="74" t="n"/>
      <c r="Y714" s="116">
        <f>IF(B714="","",IF(X714="Yes","Delivered",IF(U714="Yes",IF(AND(W714&lt;&gt;"",R714&lt;&gt;""),IF(W714&gt;R714,"⚠️ Delivery after install date","Ordered"),"Ordered"),IF(K714="",IF(T714="","Waiting for decision",IF(T714&lt;=AsOf+AlertDays,"Decide now","Waiting for decision")),IF(S714="","Selected",IF(AsOf&gt;S714,"⚠️ Order late — install at risk",IF(S714&lt;=AsOf+AlertDays,"Order now","Selected")))))))</f>
        <v/>
      </c>
      <c r="Z714" s="79">
        <f>IF(B714="","",IF(OR(AH714=1,AE714=1),2,IF(OR(AG714=1,AF714=1),1,IF(OR(Y714="Ordered",Y714="Delivered"),0,""))))</f>
        <v/>
      </c>
      <c r="AA714" s="112">
        <f>IF(B714="","",IF(AH714=1,IF(Y714="⚠️ Delivery after install date",R714,S714),IF(AD714=1,T714,IF(AI714=1,S714,""))))</f>
        <v/>
      </c>
      <c r="AB714" s="79">
        <f>IF(AA714="","",IF(AH714=1,1,IF(AA714="","",IF(AA714&lt;AsOf,1,IF(AA714&lt;=AsOf+AlertDays,2,IF(AA714&lt;=AsOf+2*AlertDays,3,""))))))</f>
        <v/>
      </c>
      <c r="AC714" s="79">
        <f>IF(AB714="","",IF(AH714=1,IF(Y714="⚠️ Delivery after install date","Delivery after install date: "&amp;B714,"Order late — install at risk: "&amp;B714),IF(AD714=1,IF(AB714=1,"Decision overdue: ","Decide: ")&amp;B714,"Order: "&amp;B714&amp;IF(N714="",""," from "&amp;N714))))</f>
        <v/>
      </c>
      <c r="AD714" s="79">
        <f>IF(AND(B714&lt;&gt;"",K714="",U714&lt;&gt;"Yes",X714&lt;&gt;"Yes"),1,0)</f>
        <v/>
      </c>
      <c r="AE714" s="79">
        <f>IF(AND(AD714=1,T714&lt;&gt;""),IF(T714&lt;AsOf,1,0),0)</f>
        <v/>
      </c>
      <c r="AF714" s="79">
        <f>IF(AND(AD714=1,T714&lt;&gt;""),IF(AND(T714&gt;=AsOf,T714&lt;=AsOf+AlertDays),1,0),0)</f>
        <v/>
      </c>
      <c r="AG714" s="79">
        <f>IF(Y714="Order now",1,0)</f>
        <v/>
      </c>
      <c r="AH714" s="79">
        <f>IF(OR(Y714="⚠️ Order late — install at risk",Y714="⚠️ Delivery after install date"),1,0)</f>
        <v/>
      </c>
      <c r="AI714" s="79">
        <f>IF(AND(B714&lt;&gt;"",K714&lt;&gt;"",U714&lt;&gt;"Yes",X714&lt;&gt;"Yes"),1,0)</f>
        <v/>
      </c>
      <c r="AJ714" s="79">
        <f>IF(Y714="⚠️ Order late — install at risk",1,0)</f>
        <v/>
      </c>
    </row>
    <row r="715" ht="20" customHeight="1">
      <c r="B715" s="72" t="n"/>
      <c r="C715" s="72" t="n"/>
      <c r="D715" s="72" t="n"/>
      <c r="E715" s="72" t="n"/>
      <c r="F715" s="73" t="n"/>
      <c r="G715" s="72" t="n"/>
      <c r="H715" s="73" t="n"/>
      <c r="I715" s="72" t="n"/>
      <c r="J715" s="73" t="n"/>
      <c r="K715" s="74" t="n"/>
      <c r="L715" s="75">
        <f>IF(K715="A",F715,IF(K715="B",H715,IF(K715="C",J715,"")))</f>
        <v/>
      </c>
      <c r="M715" s="72" t="n"/>
      <c r="N715" s="72" t="n"/>
      <c r="O715" s="89" t="n"/>
      <c r="P715" s="89" t="n"/>
      <c r="Q715" s="109" t="n"/>
      <c r="R715" s="120">
        <f>IF(B715="","",IF(Q715&lt;&gt;"",Q715,IF(P715="","",IFERROR(INDEX('Timeline'!$J$7:$J$1006,MATCH(P715,'Timeline'!$B$7:$B$1006,0)),""))))</f>
        <v/>
      </c>
      <c r="S715" s="126">
        <f>IF(R715="","",R715-IF(O715="",0,O715)-OrderBuf)</f>
        <v/>
      </c>
      <c r="T715" s="126">
        <f>IF(S715="","",S715-DecideBuf)</f>
        <v/>
      </c>
      <c r="U715" s="74" t="n"/>
      <c r="V715" s="109" t="n"/>
      <c r="W715" s="109" t="n"/>
      <c r="X715" s="74" t="n"/>
      <c r="Y715" s="116">
        <f>IF(B715="","",IF(X715="Yes","Delivered",IF(U715="Yes",IF(AND(W715&lt;&gt;"",R715&lt;&gt;""),IF(W715&gt;R715,"⚠️ Delivery after install date","Ordered"),"Ordered"),IF(K715="",IF(T715="","Waiting for decision",IF(T715&lt;=AsOf+AlertDays,"Decide now","Waiting for decision")),IF(S715="","Selected",IF(AsOf&gt;S715,"⚠️ Order late — install at risk",IF(S715&lt;=AsOf+AlertDays,"Order now","Selected")))))))</f>
        <v/>
      </c>
      <c r="Z715" s="79">
        <f>IF(B715="","",IF(OR(AH715=1,AE715=1),2,IF(OR(AG715=1,AF715=1),1,IF(OR(Y715="Ordered",Y715="Delivered"),0,""))))</f>
        <v/>
      </c>
      <c r="AA715" s="112">
        <f>IF(B715="","",IF(AH715=1,IF(Y715="⚠️ Delivery after install date",R715,S715),IF(AD715=1,T715,IF(AI715=1,S715,""))))</f>
        <v/>
      </c>
      <c r="AB715" s="79">
        <f>IF(AA715="","",IF(AH715=1,1,IF(AA715="","",IF(AA715&lt;AsOf,1,IF(AA715&lt;=AsOf+AlertDays,2,IF(AA715&lt;=AsOf+2*AlertDays,3,""))))))</f>
        <v/>
      </c>
      <c r="AC715" s="79">
        <f>IF(AB715="","",IF(AH715=1,IF(Y715="⚠️ Delivery after install date","Delivery after install date: "&amp;B715,"Order late — install at risk: "&amp;B715),IF(AD715=1,IF(AB715=1,"Decision overdue: ","Decide: ")&amp;B715,"Order: "&amp;B715&amp;IF(N715="",""," from "&amp;N715))))</f>
        <v/>
      </c>
      <c r="AD715" s="79">
        <f>IF(AND(B715&lt;&gt;"",K715="",U715&lt;&gt;"Yes",X715&lt;&gt;"Yes"),1,0)</f>
        <v/>
      </c>
      <c r="AE715" s="79">
        <f>IF(AND(AD715=1,T715&lt;&gt;""),IF(T715&lt;AsOf,1,0),0)</f>
        <v/>
      </c>
      <c r="AF715" s="79">
        <f>IF(AND(AD715=1,T715&lt;&gt;""),IF(AND(T715&gt;=AsOf,T715&lt;=AsOf+AlertDays),1,0),0)</f>
        <v/>
      </c>
      <c r="AG715" s="79">
        <f>IF(Y715="Order now",1,0)</f>
        <v/>
      </c>
      <c r="AH715" s="79">
        <f>IF(OR(Y715="⚠️ Order late — install at risk",Y715="⚠️ Delivery after install date"),1,0)</f>
        <v/>
      </c>
      <c r="AI715" s="79">
        <f>IF(AND(B715&lt;&gt;"",K715&lt;&gt;"",U715&lt;&gt;"Yes",X715&lt;&gt;"Yes"),1,0)</f>
        <v/>
      </c>
      <c r="AJ715" s="79">
        <f>IF(Y715="⚠️ Order late — install at risk",1,0)</f>
        <v/>
      </c>
    </row>
    <row r="716" ht="20" customHeight="1">
      <c r="B716" s="72" t="n"/>
      <c r="C716" s="72" t="n"/>
      <c r="D716" s="72" t="n"/>
      <c r="E716" s="72" t="n"/>
      <c r="F716" s="73" t="n"/>
      <c r="G716" s="72" t="n"/>
      <c r="H716" s="73" t="n"/>
      <c r="I716" s="72" t="n"/>
      <c r="J716" s="73" t="n"/>
      <c r="K716" s="74" t="n"/>
      <c r="L716" s="75">
        <f>IF(K716="A",F716,IF(K716="B",H716,IF(K716="C",J716,"")))</f>
        <v/>
      </c>
      <c r="M716" s="72" t="n"/>
      <c r="N716" s="72" t="n"/>
      <c r="O716" s="89" t="n"/>
      <c r="P716" s="89" t="n"/>
      <c r="Q716" s="109" t="n"/>
      <c r="R716" s="120">
        <f>IF(B716="","",IF(Q716&lt;&gt;"",Q716,IF(P716="","",IFERROR(INDEX('Timeline'!$J$7:$J$1006,MATCH(P716,'Timeline'!$B$7:$B$1006,0)),""))))</f>
        <v/>
      </c>
      <c r="S716" s="126">
        <f>IF(R716="","",R716-IF(O716="",0,O716)-OrderBuf)</f>
        <v/>
      </c>
      <c r="T716" s="126">
        <f>IF(S716="","",S716-DecideBuf)</f>
        <v/>
      </c>
      <c r="U716" s="74" t="n"/>
      <c r="V716" s="109" t="n"/>
      <c r="W716" s="109" t="n"/>
      <c r="X716" s="74" t="n"/>
      <c r="Y716" s="116">
        <f>IF(B716="","",IF(X716="Yes","Delivered",IF(U716="Yes",IF(AND(W716&lt;&gt;"",R716&lt;&gt;""),IF(W716&gt;R716,"⚠️ Delivery after install date","Ordered"),"Ordered"),IF(K716="",IF(T716="","Waiting for decision",IF(T716&lt;=AsOf+AlertDays,"Decide now","Waiting for decision")),IF(S716="","Selected",IF(AsOf&gt;S716,"⚠️ Order late — install at risk",IF(S716&lt;=AsOf+AlertDays,"Order now","Selected")))))))</f>
        <v/>
      </c>
      <c r="Z716" s="79">
        <f>IF(B716="","",IF(OR(AH716=1,AE716=1),2,IF(OR(AG716=1,AF716=1),1,IF(OR(Y716="Ordered",Y716="Delivered"),0,""))))</f>
        <v/>
      </c>
      <c r="AA716" s="112">
        <f>IF(B716="","",IF(AH716=1,IF(Y716="⚠️ Delivery after install date",R716,S716),IF(AD716=1,T716,IF(AI716=1,S716,""))))</f>
        <v/>
      </c>
      <c r="AB716" s="79">
        <f>IF(AA716="","",IF(AH716=1,1,IF(AA716="","",IF(AA716&lt;AsOf,1,IF(AA716&lt;=AsOf+AlertDays,2,IF(AA716&lt;=AsOf+2*AlertDays,3,""))))))</f>
        <v/>
      </c>
      <c r="AC716" s="79">
        <f>IF(AB716="","",IF(AH716=1,IF(Y716="⚠️ Delivery after install date","Delivery after install date: "&amp;B716,"Order late — install at risk: "&amp;B716),IF(AD716=1,IF(AB716=1,"Decision overdue: ","Decide: ")&amp;B716,"Order: "&amp;B716&amp;IF(N716="",""," from "&amp;N716))))</f>
        <v/>
      </c>
      <c r="AD716" s="79">
        <f>IF(AND(B716&lt;&gt;"",K716="",U716&lt;&gt;"Yes",X716&lt;&gt;"Yes"),1,0)</f>
        <v/>
      </c>
      <c r="AE716" s="79">
        <f>IF(AND(AD716=1,T716&lt;&gt;""),IF(T716&lt;AsOf,1,0),0)</f>
        <v/>
      </c>
      <c r="AF716" s="79">
        <f>IF(AND(AD716=1,T716&lt;&gt;""),IF(AND(T716&gt;=AsOf,T716&lt;=AsOf+AlertDays),1,0),0)</f>
        <v/>
      </c>
      <c r="AG716" s="79">
        <f>IF(Y716="Order now",1,0)</f>
        <v/>
      </c>
      <c r="AH716" s="79">
        <f>IF(OR(Y716="⚠️ Order late — install at risk",Y716="⚠️ Delivery after install date"),1,0)</f>
        <v/>
      </c>
      <c r="AI716" s="79">
        <f>IF(AND(B716&lt;&gt;"",K716&lt;&gt;"",U716&lt;&gt;"Yes",X716&lt;&gt;"Yes"),1,0)</f>
        <v/>
      </c>
      <c r="AJ716" s="79">
        <f>IF(Y716="⚠️ Order late — install at risk",1,0)</f>
        <v/>
      </c>
    </row>
    <row r="717" ht="20" customHeight="1">
      <c r="B717" s="72" t="n"/>
      <c r="C717" s="72" t="n"/>
      <c r="D717" s="72" t="n"/>
      <c r="E717" s="72" t="n"/>
      <c r="F717" s="73" t="n"/>
      <c r="G717" s="72" t="n"/>
      <c r="H717" s="73" t="n"/>
      <c r="I717" s="72" t="n"/>
      <c r="J717" s="73" t="n"/>
      <c r="K717" s="74" t="n"/>
      <c r="L717" s="75">
        <f>IF(K717="A",F717,IF(K717="B",H717,IF(K717="C",J717,"")))</f>
        <v/>
      </c>
      <c r="M717" s="72" t="n"/>
      <c r="N717" s="72" t="n"/>
      <c r="O717" s="89" t="n"/>
      <c r="P717" s="89" t="n"/>
      <c r="Q717" s="109" t="n"/>
      <c r="R717" s="120">
        <f>IF(B717="","",IF(Q717&lt;&gt;"",Q717,IF(P717="","",IFERROR(INDEX('Timeline'!$J$7:$J$1006,MATCH(P717,'Timeline'!$B$7:$B$1006,0)),""))))</f>
        <v/>
      </c>
      <c r="S717" s="126">
        <f>IF(R717="","",R717-IF(O717="",0,O717)-OrderBuf)</f>
        <v/>
      </c>
      <c r="T717" s="126">
        <f>IF(S717="","",S717-DecideBuf)</f>
        <v/>
      </c>
      <c r="U717" s="74" t="n"/>
      <c r="V717" s="109" t="n"/>
      <c r="W717" s="109" t="n"/>
      <c r="X717" s="74" t="n"/>
      <c r="Y717" s="116">
        <f>IF(B717="","",IF(X717="Yes","Delivered",IF(U717="Yes",IF(AND(W717&lt;&gt;"",R717&lt;&gt;""),IF(W717&gt;R717,"⚠️ Delivery after install date","Ordered"),"Ordered"),IF(K717="",IF(T717="","Waiting for decision",IF(T717&lt;=AsOf+AlertDays,"Decide now","Waiting for decision")),IF(S717="","Selected",IF(AsOf&gt;S717,"⚠️ Order late — install at risk",IF(S717&lt;=AsOf+AlertDays,"Order now","Selected")))))))</f>
        <v/>
      </c>
      <c r="Z717" s="79">
        <f>IF(B717="","",IF(OR(AH717=1,AE717=1),2,IF(OR(AG717=1,AF717=1),1,IF(OR(Y717="Ordered",Y717="Delivered"),0,""))))</f>
        <v/>
      </c>
      <c r="AA717" s="112">
        <f>IF(B717="","",IF(AH717=1,IF(Y717="⚠️ Delivery after install date",R717,S717),IF(AD717=1,T717,IF(AI717=1,S717,""))))</f>
        <v/>
      </c>
      <c r="AB717" s="79">
        <f>IF(AA717="","",IF(AH717=1,1,IF(AA717="","",IF(AA717&lt;AsOf,1,IF(AA717&lt;=AsOf+AlertDays,2,IF(AA717&lt;=AsOf+2*AlertDays,3,""))))))</f>
        <v/>
      </c>
      <c r="AC717" s="79">
        <f>IF(AB717="","",IF(AH717=1,IF(Y717="⚠️ Delivery after install date","Delivery after install date: "&amp;B717,"Order late — install at risk: "&amp;B717),IF(AD717=1,IF(AB717=1,"Decision overdue: ","Decide: ")&amp;B717,"Order: "&amp;B717&amp;IF(N717="",""," from "&amp;N717))))</f>
        <v/>
      </c>
      <c r="AD717" s="79">
        <f>IF(AND(B717&lt;&gt;"",K717="",U717&lt;&gt;"Yes",X717&lt;&gt;"Yes"),1,0)</f>
        <v/>
      </c>
      <c r="AE717" s="79">
        <f>IF(AND(AD717=1,T717&lt;&gt;""),IF(T717&lt;AsOf,1,0),0)</f>
        <v/>
      </c>
      <c r="AF717" s="79">
        <f>IF(AND(AD717=1,T717&lt;&gt;""),IF(AND(T717&gt;=AsOf,T717&lt;=AsOf+AlertDays),1,0),0)</f>
        <v/>
      </c>
      <c r="AG717" s="79">
        <f>IF(Y717="Order now",1,0)</f>
        <v/>
      </c>
      <c r="AH717" s="79">
        <f>IF(OR(Y717="⚠️ Order late — install at risk",Y717="⚠️ Delivery after install date"),1,0)</f>
        <v/>
      </c>
      <c r="AI717" s="79">
        <f>IF(AND(B717&lt;&gt;"",K717&lt;&gt;"",U717&lt;&gt;"Yes",X717&lt;&gt;"Yes"),1,0)</f>
        <v/>
      </c>
      <c r="AJ717" s="79">
        <f>IF(Y717="⚠️ Order late — install at risk",1,0)</f>
        <v/>
      </c>
    </row>
    <row r="718" ht="20" customHeight="1">
      <c r="B718" s="72" t="n"/>
      <c r="C718" s="72" t="n"/>
      <c r="D718" s="72" t="n"/>
      <c r="E718" s="72" t="n"/>
      <c r="F718" s="73" t="n"/>
      <c r="G718" s="72" t="n"/>
      <c r="H718" s="73" t="n"/>
      <c r="I718" s="72" t="n"/>
      <c r="J718" s="73" t="n"/>
      <c r="K718" s="74" t="n"/>
      <c r="L718" s="75">
        <f>IF(K718="A",F718,IF(K718="B",H718,IF(K718="C",J718,"")))</f>
        <v/>
      </c>
      <c r="M718" s="72" t="n"/>
      <c r="N718" s="72" t="n"/>
      <c r="O718" s="89" t="n"/>
      <c r="P718" s="89" t="n"/>
      <c r="Q718" s="109" t="n"/>
      <c r="R718" s="120">
        <f>IF(B718="","",IF(Q718&lt;&gt;"",Q718,IF(P718="","",IFERROR(INDEX('Timeline'!$J$7:$J$1006,MATCH(P718,'Timeline'!$B$7:$B$1006,0)),""))))</f>
        <v/>
      </c>
      <c r="S718" s="126">
        <f>IF(R718="","",R718-IF(O718="",0,O718)-OrderBuf)</f>
        <v/>
      </c>
      <c r="T718" s="126">
        <f>IF(S718="","",S718-DecideBuf)</f>
        <v/>
      </c>
      <c r="U718" s="74" t="n"/>
      <c r="V718" s="109" t="n"/>
      <c r="W718" s="109" t="n"/>
      <c r="X718" s="74" t="n"/>
      <c r="Y718" s="116">
        <f>IF(B718="","",IF(X718="Yes","Delivered",IF(U718="Yes",IF(AND(W718&lt;&gt;"",R718&lt;&gt;""),IF(W718&gt;R718,"⚠️ Delivery after install date","Ordered"),"Ordered"),IF(K718="",IF(T718="","Waiting for decision",IF(T718&lt;=AsOf+AlertDays,"Decide now","Waiting for decision")),IF(S718="","Selected",IF(AsOf&gt;S718,"⚠️ Order late — install at risk",IF(S718&lt;=AsOf+AlertDays,"Order now","Selected")))))))</f>
        <v/>
      </c>
      <c r="Z718" s="79">
        <f>IF(B718="","",IF(OR(AH718=1,AE718=1),2,IF(OR(AG718=1,AF718=1),1,IF(OR(Y718="Ordered",Y718="Delivered"),0,""))))</f>
        <v/>
      </c>
      <c r="AA718" s="112">
        <f>IF(B718="","",IF(AH718=1,IF(Y718="⚠️ Delivery after install date",R718,S718),IF(AD718=1,T718,IF(AI718=1,S718,""))))</f>
        <v/>
      </c>
      <c r="AB718" s="79">
        <f>IF(AA718="","",IF(AH718=1,1,IF(AA718="","",IF(AA718&lt;AsOf,1,IF(AA718&lt;=AsOf+AlertDays,2,IF(AA718&lt;=AsOf+2*AlertDays,3,""))))))</f>
        <v/>
      </c>
      <c r="AC718" s="79">
        <f>IF(AB718="","",IF(AH718=1,IF(Y718="⚠️ Delivery after install date","Delivery after install date: "&amp;B718,"Order late — install at risk: "&amp;B718),IF(AD718=1,IF(AB718=1,"Decision overdue: ","Decide: ")&amp;B718,"Order: "&amp;B718&amp;IF(N718="",""," from "&amp;N718))))</f>
        <v/>
      </c>
      <c r="AD718" s="79">
        <f>IF(AND(B718&lt;&gt;"",K718="",U718&lt;&gt;"Yes",X718&lt;&gt;"Yes"),1,0)</f>
        <v/>
      </c>
      <c r="AE718" s="79">
        <f>IF(AND(AD718=1,T718&lt;&gt;""),IF(T718&lt;AsOf,1,0),0)</f>
        <v/>
      </c>
      <c r="AF718" s="79">
        <f>IF(AND(AD718=1,T718&lt;&gt;""),IF(AND(T718&gt;=AsOf,T718&lt;=AsOf+AlertDays),1,0),0)</f>
        <v/>
      </c>
      <c r="AG718" s="79">
        <f>IF(Y718="Order now",1,0)</f>
        <v/>
      </c>
      <c r="AH718" s="79">
        <f>IF(OR(Y718="⚠️ Order late — install at risk",Y718="⚠️ Delivery after install date"),1,0)</f>
        <v/>
      </c>
      <c r="AI718" s="79">
        <f>IF(AND(B718&lt;&gt;"",K718&lt;&gt;"",U718&lt;&gt;"Yes",X718&lt;&gt;"Yes"),1,0)</f>
        <v/>
      </c>
      <c r="AJ718" s="79">
        <f>IF(Y718="⚠️ Order late — install at risk",1,0)</f>
        <v/>
      </c>
    </row>
    <row r="719" ht="20" customHeight="1">
      <c r="B719" s="72" t="n"/>
      <c r="C719" s="72" t="n"/>
      <c r="D719" s="72" t="n"/>
      <c r="E719" s="72" t="n"/>
      <c r="F719" s="73" t="n"/>
      <c r="G719" s="72" t="n"/>
      <c r="H719" s="73" t="n"/>
      <c r="I719" s="72" t="n"/>
      <c r="J719" s="73" t="n"/>
      <c r="K719" s="74" t="n"/>
      <c r="L719" s="75">
        <f>IF(K719="A",F719,IF(K719="B",H719,IF(K719="C",J719,"")))</f>
        <v/>
      </c>
      <c r="M719" s="72" t="n"/>
      <c r="N719" s="72" t="n"/>
      <c r="O719" s="89" t="n"/>
      <c r="P719" s="89" t="n"/>
      <c r="Q719" s="109" t="n"/>
      <c r="R719" s="120">
        <f>IF(B719="","",IF(Q719&lt;&gt;"",Q719,IF(P719="","",IFERROR(INDEX('Timeline'!$J$7:$J$1006,MATCH(P719,'Timeline'!$B$7:$B$1006,0)),""))))</f>
        <v/>
      </c>
      <c r="S719" s="126">
        <f>IF(R719="","",R719-IF(O719="",0,O719)-OrderBuf)</f>
        <v/>
      </c>
      <c r="T719" s="126">
        <f>IF(S719="","",S719-DecideBuf)</f>
        <v/>
      </c>
      <c r="U719" s="74" t="n"/>
      <c r="V719" s="109" t="n"/>
      <c r="W719" s="109" t="n"/>
      <c r="X719" s="74" t="n"/>
      <c r="Y719" s="116">
        <f>IF(B719="","",IF(X719="Yes","Delivered",IF(U719="Yes",IF(AND(W719&lt;&gt;"",R719&lt;&gt;""),IF(W719&gt;R719,"⚠️ Delivery after install date","Ordered"),"Ordered"),IF(K719="",IF(T719="","Waiting for decision",IF(T719&lt;=AsOf+AlertDays,"Decide now","Waiting for decision")),IF(S719="","Selected",IF(AsOf&gt;S719,"⚠️ Order late — install at risk",IF(S719&lt;=AsOf+AlertDays,"Order now","Selected")))))))</f>
        <v/>
      </c>
      <c r="Z719" s="79">
        <f>IF(B719="","",IF(OR(AH719=1,AE719=1),2,IF(OR(AG719=1,AF719=1),1,IF(OR(Y719="Ordered",Y719="Delivered"),0,""))))</f>
        <v/>
      </c>
      <c r="AA719" s="112">
        <f>IF(B719="","",IF(AH719=1,IF(Y719="⚠️ Delivery after install date",R719,S719),IF(AD719=1,T719,IF(AI719=1,S719,""))))</f>
        <v/>
      </c>
      <c r="AB719" s="79">
        <f>IF(AA719="","",IF(AH719=1,1,IF(AA719="","",IF(AA719&lt;AsOf,1,IF(AA719&lt;=AsOf+AlertDays,2,IF(AA719&lt;=AsOf+2*AlertDays,3,""))))))</f>
        <v/>
      </c>
      <c r="AC719" s="79">
        <f>IF(AB719="","",IF(AH719=1,IF(Y719="⚠️ Delivery after install date","Delivery after install date: "&amp;B719,"Order late — install at risk: "&amp;B719),IF(AD719=1,IF(AB719=1,"Decision overdue: ","Decide: ")&amp;B719,"Order: "&amp;B719&amp;IF(N719="",""," from "&amp;N719))))</f>
        <v/>
      </c>
      <c r="AD719" s="79">
        <f>IF(AND(B719&lt;&gt;"",K719="",U719&lt;&gt;"Yes",X719&lt;&gt;"Yes"),1,0)</f>
        <v/>
      </c>
      <c r="AE719" s="79">
        <f>IF(AND(AD719=1,T719&lt;&gt;""),IF(T719&lt;AsOf,1,0),0)</f>
        <v/>
      </c>
      <c r="AF719" s="79">
        <f>IF(AND(AD719=1,T719&lt;&gt;""),IF(AND(T719&gt;=AsOf,T719&lt;=AsOf+AlertDays),1,0),0)</f>
        <v/>
      </c>
      <c r="AG719" s="79">
        <f>IF(Y719="Order now",1,0)</f>
        <v/>
      </c>
      <c r="AH719" s="79">
        <f>IF(OR(Y719="⚠️ Order late — install at risk",Y719="⚠️ Delivery after install date"),1,0)</f>
        <v/>
      </c>
      <c r="AI719" s="79">
        <f>IF(AND(B719&lt;&gt;"",K719&lt;&gt;"",U719&lt;&gt;"Yes",X719&lt;&gt;"Yes"),1,0)</f>
        <v/>
      </c>
      <c r="AJ719" s="79">
        <f>IF(Y719="⚠️ Order late — install at risk",1,0)</f>
        <v/>
      </c>
    </row>
    <row r="720" ht="20" customHeight="1">
      <c r="B720" s="72" t="n"/>
      <c r="C720" s="72" t="n"/>
      <c r="D720" s="72" t="n"/>
      <c r="E720" s="72" t="n"/>
      <c r="F720" s="73" t="n"/>
      <c r="G720" s="72" t="n"/>
      <c r="H720" s="73" t="n"/>
      <c r="I720" s="72" t="n"/>
      <c r="J720" s="73" t="n"/>
      <c r="K720" s="74" t="n"/>
      <c r="L720" s="75">
        <f>IF(K720="A",F720,IF(K720="B",H720,IF(K720="C",J720,"")))</f>
        <v/>
      </c>
      <c r="M720" s="72" t="n"/>
      <c r="N720" s="72" t="n"/>
      <c r="O720" s="89" t="n"/>
      <c r="P720" s="89" t="n"/>
      <c r="Q720" s="109" t="n"/>
      <c r="R720" s="120">
        <f>IF(B720="","",IF(Q720&lt;&gt;"",Q720,IF(P720="","",IFERROR(INDEX('Timeline'!$J$7:$J$1006,MATCH(P720,'Timeline'!$B$7:$B$1006,0)),""))))</f>
        <v/>
      </c>
      <c r="S720" s="126">
        <f>IF(R720="","",R720-IF(O720="",0,O720)-OrderBuf)</f>
        <v/>
      </c>
      <c r="T720" s="126">
        <f>IF(S720="","",S720-DecideBuf)</f>
        <v/>
      </c>
      <c r="U720" s="74" t="n"/>
      <c r="V720" s="109" t="n"/>
      <c r="W720" s="109" t="n"/>
      <c r="X720" s="74" t="n"/>
      <c r="Y720" s="116">
        <f>IF(B720="","",IF(X720="Yes","Delivered",IF(U720="Yes",IF(AND(W720&lt;&gt;"",R720&lt;&gt;""),IF(W720&gt;R720,"⚠️ Delivery after install date","Ordered"),"Ordered"),IF(K720="",IF(T720="","Waiting for decision",IF(T720&lt;=AsOf+AlertDays,"Decide now","Waiting for decision")),IF(S720="","Selected",IF(AsOf&gt;S720,"⚠️ Order late — install at risk",IF(S720&lt;=AsOf+AlertDays,"Order now","Selected")))))))</f>
        <v/>
      </c>
      <c r="Z720" s="79">
        <f>IF(B720="","",IF(OR(AH720=1,AE720=1),2,IF(OR(AG720=1,AF720=1),1,IF(OR(Y720="Ordered",Y720="Delivered"),0,""))))</f>
        <v/>
      </c>
      <c r="AA720" s="112">
        <f>IF(B720="","",IF(AH720=1,IF(Y720="⚠️ Delivery after install date",R720,S720),IF(AD720=1,T720,IF(AI720=1,S720,""))))</f>
        <v/>
      </c>
      <c r="AB720" s="79">
        <f>IF(AA720="","",IF(AH720=1,1,IF(AA720="","",IF(AA720&lt;AsOf,1,IF(AA720&lt;=AsOf+AlertDays,2,IF(AA720&lt;=AsOf+2*AlertDays,3,""))))))</f>
        <v/>
      </c>
      <c r="AC720" s="79">
        <f>IF(AB720="","",IF(AH720=1,IF(Y720="⚠️ Delivery after install date","Delivery after install date: "&amp;B720,"Order late — install at risk: "&amp;B720),IF(AD720=1,IF(AB720=1,"Decision overdue: ","Decide: ")&amp;B720,"Order: "&amp;B720&amp;IF(N720="",""," from "&amp;N720))))</f>
        <v/>
      </c>
      <c r="AD720" s="79">
        <f>IF(AND(B720&lt;&gt;"",K720="",U720&lt;&gt;"Yes",X720&lt;&gt;"Yes"),1,0)</f>
        <v/>
      </c>
      <c r="AE720" s="79">
        <f>IF(AND(AD720=1,T720&lt;&gt;""),IF(T720&lt;AsOf,1,0),0)</f>
        <v/>
      </c>
      <c r="AF720" s="79">
        <f>IF(AND(AD720=1,T720&lt;&gt;""),IF(AND(T720&gt;=AsOf,T720&lt;=AsOf+AlertDays),1,0),0)</f>
        <v/>
      </c>
      <c r="AG720" s="79">
        <f>IF(Y720="Order now",1,0)</f>
        <v/>
      </c>
      <c r="AH720" s="79">
        <f>IF(OR(Y720="⚠️ Order late — install at risk",Y720="⚠️ Delivery after install date"),1,0)</f>
        <v/>
      </c>
      <c r="AI720" s="79">
        <f>IF(AND(B720&lt;&gt;"",K720&lt;&gt;"",U720&lt;&gt;"Yes",X720&lt;&gt;"Yes"),1,0)</f>
        <v/>
      </c>
      <c r="AJ720" s="79">
        <f>IF(Y720="⚠️ Order late — install at risk",1,0)</f>
        <v/>
      </c>
    </row>
    <row r="721" ht="20" customHeight="1">
      <c r="B721" s="72" t="n"/>
      <c r="C721" s="72" t="n"/>
      <c r="D721" s="72" t="n"/>
      <c r="E721" s="72" t="n"/>
      <c r="F721" s="73" t="n"/>
      <c r="G721" s="72" t="n"/>
      <c r="H721" s="73" t="n"/>
      <c r="I721" s="72" t="n"/>
      <c r="J721" s="73" t="n"/>
      <c r="K721" s="74" t="n"/>
      <c r="L721" s="75">
        <f>IF(K721="A",F721,IF(K721="B",H721,IF(K721="C",J721,"")))</f>
        <v/>
      </c>
      <c r="M721" s="72" t="n"/>
      <c r="N721" s="72" t="n"/>
      <c r="O721" s="89" t="n"/>
      <c r="P721" s="89" t="n"/>
      <c r="Q721" s="109" t="n"/>
      <c r="R721" s="120">
        <f>IF(B721="","",IF(Q721&lt;&gt;"",Q721,IF(P721="","",IFERROR(INDEX('Timeline'!$J$7:$J$1006,MATCH(P721,'Timeline'!$B$7:$B$1006,0)),""))))</f>
        <v/>
      </c>
      <c r="S721" s="126">
        <f>IF(R721="","",R721-IF(O721="",0,O721)-OrderBuf)</f>
        <v/>
      </c>
      <c r="T721" s="126">
        <f>IF(S721="","",S721-DecideBuf)</f>
        <v/>
      </c>
      <c r="U721" s="74" t="n"/>
      <c r="V721" s="109" t="n"/>
      <c r="W721" s="109" t="n"/>
      <c r="X721" s="74" t="n"/>
      <c r="Y721" s="116">
        <f>IF(B721="","",IF(X721="Yes","Delivered",IF(U721="Yes",IF(AND(W721&lt;&gt;"",R721&lt;&gt;""),IF(W721&gt;R721,"⚠️ Delivery after install date","Ordered"),"Ordered"),IF(K721="",IF(T721="","Waiting for decision",IF(T721&lt;=AsOf+AlertDays,"Decide now","Waiting for decision")),IF(S721="","Selected",IF(AsOf&gt;S721,"⚠️ Order late — install at risk",IF(S721&lt;=AsOf+AlertDays,"Order now","Selected")))))))</f>
        <v/>
      </c>
      <c r="Z721" s="79">
        <f>IF(B721="","",IF(OR(AH721=1,AE721=1),2,IF(OR(AG721=1,AF721=1),1,IF(OR(Y721="Ordered",Y721="Delivered"),0,""))))</f>
        <v/>
      </c>
      <c r="AA721" s="112">
        <f>IF(B721="","",IF(AH721=1,IF(Y721="⚠️ Delivery after install date",R721,S721),IF(AD721=1,T721,IF(AI721=1,S721,""))))</f>
        <v/>
      </c>
      <c r="AB721" s="79">
        <f>IF(AA721="","",IF(AH721=1,1,IF(AA721="","",IF(AA721&lt;AsOf,1,IF(AA721&lt;=AsOf+AlertDays,2,IF(AA721&lt;=AsOf+2*AlertDays,3,""))))))</f>
        <v/>
      </c>
      <c r="AC721" s="79">
        <f>IF(AB721="","",IF(AH721=1,IF(Y721="⚠️ Delivery after install date","Delivery after install date: "&amp;B721,"Order late — install at risk: "&amp;B721),IF(AD721=1,IF(AB721=1,"Decision overdue: ","Decide: ")&amp;B721,"Order: "&amp;B721&amp;IF(N721="",""," from "&amp;N721))))</f>
        <v/>
      </c>
      <c r="AD721" s="79">
        <f>IF(AND(B721&lt;&gt;"",K721="",U721&lt;&gt;"Yes",X721&lt;&gt;"Yes"),1,0)</f>
        <v/>
      </c>
      <c r="AE721" s="79">
        <f>IF(AND(AD721=1,T721&lt;&gt;""),IF(T721&lt;AsOf,1,0),0)</f>
        <v/>
      </c>
      <c r="AF721" s="79">
        <f>IF(AND(AD721=1,T721&lt;&gt;""),IF(AND(T721&gt;=AsOf,T721&lt;=AsOf+AlertDays),1,0),0)</f>
        <v/>
      </c>
      <c r="AG721" s="79">
        <f>IF(Y721="Order now",1,0)</f>
        <v/>
      </c>
      <c r="AH721" s="79">
        <f>IF(OR(Y721="⚠️ Order late — install at risk",Y721="⚠️ Delivery after install date"),1,0)</f>
        <v/>
      </c>
      <c r="AI721" s="79">
        <f>IF(AND(B721&lt;&gt;"",K721&lt;&gt;"",U721&lt;&gt;"Yes",X721&lt;&gt;"Yes"),1,0)</f>
        <v/>
      </c>
      <c r="AJ721" s="79">
        <f>IF(Y721="⚠️ Order late — install at risk",1,0)</f>
        <v/>
      </c>
    </row>
    <row r="722" ht="20" customHeight="1">
      <c r="B722" s="72" t="n"/>
      <c r="C722" s="72" t="n"/>
      <c r="D722" s="72" t="n"/>
      <c r="E722" s="72" t="n"/>
      <c r="F722" s="73" t="n"/>
      <c r="G722" s="72" t="n"/>
      <c r="H722" s="73" t="n"/>
      <c r="I722" s="72" t="n"/>
      <c r="J722" s="73" t="n"/>
      <c r="K722" s="74" t="n"/>
      <c r="L722" s="75">
        <f>IF(K722="A",F722,IF(K722="B",H722,IF(K722="C",J722,"")))</f>
        <v/>
      </c>
      <c r="M722" s="72" t="n"/>
      <c r="N722" s="72" t="n"/>
      <c r="O722" s="89" t="n"/>
      <c r="P722" s="89" t="n"/>
      <c r="Q722" s="109" t="n"/>
      <c r="R722" s="120">
        <f>IF(B722="","",IF(Q722&lt;&gt;"",Q722,IF(P722="","",IFERROR(INDEX('Timeline'!$J$7:$J$1006,MATCH(P722,'Timeline'!$B$7:$B$1006,0)),""))))</f>
        <v/>
      </c>
      <c r="S722" s="126">
        <f>IF(R722="","",R722-IF(O722="",0,O722)-OrderBuf)</f>
        <v/>
      </c>
      <c r="T722" s="126">
        <f>IF(S722="","",S722-DecideBuf)</f>
        <v/>
      </c>
      <c r="U722" s="74" t="n"/>
      <c r="V722" s="109" t="n"/>
      <c r="W722" s="109" t="n"/>
      <c r="X722" s="74" t="n"/>
      <c r="Y722" s="116">
        <f>IF(B722="","",IF(X722="Yes","Delivered",IF(U722="Yes",IF(AND(W722&lt;&gt;"",R722&lt;&gt;""),IF(W722&gt;R722,"⚠️ Delivery after install date","Ordered"),"Ordered"),IF(K722="",IF(T722="","Waiting for decision",IF(T722&lt;=AsOf+AlertDays,"Decide now","Waiting for decision")),IF(S722="","Selected",IF(AsOf&gt;S722,"⚠️ Order late — install at risk",IF(S722&lt;=AsOf+AlertDays,"Order now","Selected")))))))</f>
        <v/>
      </c>
      <c r="Z722" s="79">
        <f>IF(B722="","",IF(OR(AH722=1,AE722=1),2,IF(OR(AG722=1,AF722=1),1,IF(OR(Y722="Ordered",Y722="Delivered"),0,""))))</f>
        <v/>
      </c>
      <c r="AA722" s="112">
        <f>IF(B722="","",IF(AH722=1,IF(Y722="⚠️ Delivery after install date",R722,S722),IF(AD722=1,T722,IF(AI722=1,S722,""))))</f>
        <v/>
      </c>
      <c r="AB722" s="79">
        <f>IF(AA722="","",IF(AH722=1,1,IF(AA722="","",IF(AA722&lt;AsOf,1,IF(AA722&lt;=AsOf+AlertDays,2,IF(AA722&lt;=AsOf+2*AlertDays,3,""))))))</f>
        <v/>
      </c>
      <c r="AC722" s="79">
        <f>IF(AB722="","",IF(AH722=1,IF(Y722="⚠️ Delivery after install date","Delivery after install date: "&amp;B722,"Order late — install at risk: "&amp;B722),IF(AD722=1,IF(AB722=1,"Decision overdue: ","Decide: ")&amp;B722,"Order: "&amp;B722&amp;IF(N722="",""," from "&amp;N722))))</f>
        <v/>
      </c>
      <c r="AD722" s="79">
        <f>IF(AND(B722&lt;&gt;"",K722="",U722&lt;&gt;"Yes",X722&lt;&gt;"Yes"),1,0)</f>
        <v/>
      </c>
      <c r="AE722" s="79">
        <f>IF(AND(AD722=1,T722&lt;&gt;""),IF(T722&lt;AsOf,1,0),0)</f>
        <v/>
      </c>
      <c r="AF722" s="79">
        <f>IF(AND(AD722=1,T722&lt;&gt;""),IF(AND(T722&gt;=AsOf,T722&lt;=AsOf+AlertDays),1,0),0)</f>
        <v/>
      </c>
      <c r="AG722" s="79">
        <f>IF(Y722="Order now",1,0)</f>
        <v/>
      </c>
      <c r="AH722" s="79">
        <f>IF(OR(Y722="⚠️ Order late — install at risk",Y722="⚠️ Delivery after install date"),1,0)</f>
        <v/>
      </c>
      <c r="AI722" s="79">
        <f>IF(AND(B722&lt;&gt;"",K722&lt;&gt;"",U722&lt;&gt;"Yes",X722&lt;&gt;"Yes"),1,0)</f>
        <v/>
      </c>
      <c r="AJ722" s="79">
        <f>IF(Y722="⚠️ Order late — install at risk",1,0)</f>
        <v/>
      </c>
    </row>
    <row r="723" ht="20" customHeight="1">
      <c r="B723" s="72" t="n"/>
      <c r="C723" s="72" t="n"/>
      <c r="D723" s="72" t="n"/>
      <c r="E723" s="72" t="n"/>
      <c r="F723" s="73" t="n"/>
      <c r="G723" s="72" t="n"/>
      <c r="H723" s="73" t="n"/>
      <c r="I723" s="72" t="n"/>
      <c r="J723" s="73" t="n"/>
      <c r="K723" s="74" t="n"/>
      <c r="L723" s="75">
        <f>IF(K723="A",F723,IF(K723="B",H723,IF(K723="C",J723,"")))</f>
        <v/>
      </c>
      <c r="M723" s="72" t="n"/>
      <c r="N723" s="72" t="n"/>
      <c r="O723" s="89" t="n"/>
      <c r="P723" s="89" t="n"/>
      <c r="Q723" s="109" t="n"/>
      <c r="R723" s="120">
        <f>IF(B723="","",IF(Q723&lt;&gt;"",Q723,IF(P723="","",IFERROR(INDEX('Timeline'!$J$7:$J$1006,MATCH(P723,'Timeline'!$B$7:$B$1006,0)),""))))</f>
        <v/>
      </c>
      <c r="S723" s="126">
        <f>IF(R723="","",R723-IF(O723="",0,O723)-OrderBuf)</f>
        <v/>
      </c>
      <c r="T723" s="126">
        <f>IF(S723="","",S723-DecideBuf)</f>
        <v/>
      </c>
      <c r="U723" s="74" t="n"/>
      <c r="V723" s="109" t="n"/>
      <c r="W723" s="109" t="n"/>
      <c r="X723" s="74" t="n"/>
      <c r="Y723" s="116">
        <f>IF(B723="","",IF(X723="Yes","Delivered",IF(U723="Yes",IF(AND(W723&lt;&gt;"",R723&lt;&gt;""),IF(W723&gt;R723,"⚠️ Delivery after install date","Ordered"),"Ordered"),IF(K723="",IF(T723="","Waiting for decision",IF(T723&lt;=AsOf+AlertDays,"Decide now","Waiting for decision")),IF(S723="","Selected",IF(AsOf&gt;S723,"⚠️ Order late — install at risk",IF(S723&lt;=AsOf+AlertDays,"Order now","Selected")))))))</f>
        <v/>
      </c>
      <c r="Z723" s="79">
        <f>IF(B723="","",IF(OR(AH723=1,AE723=1),2,IF(OR(AG723=1,AF723=1),1,IF(OR(Y723="Ordered",Y723="Delivered"),0,""))))</f>
        <v/>
      </c>
      <c r="AA723" s="112">
        <f>IF(B723="","",IF(AH723=1,IF(Y723="⚠️ Delivery after install date",R723,S723),IF(AD723=1,T723,IF(AI723=1,S723,""))))</f>
        <v/>
      </c>
      <c r="AB723" s="79">
        <f>IF(AA723="","",IF(AH723=1,1,IF(AA723="","",IF(AA723&lt;AsOf,1,IF(AA723&lt;=AsOf+AlertDays,2,IF(AA723&lt;=AsOf+2*AlertDays,3,""))))))</f>
        <v/>
      </c>
      <c r="AC723" s="79">
        <f>IF(AB723="","",IF(AH723=1,IF(Y723="⚠️ Delivery after install date","Delivery after install date: "&amp;B723,"Order late — install at risk: "&amp;B723),IF(AD723=1,IF(AB723=1,"Decision overdue: ","Decide: ")&amp;B723,"Order: "&amp;B723&amp;IF(N723="",""," from "&amp;N723))))</f>
        <v/>
      </c>
      <c r="AD723" s="79">
        <f>IF(AND(B723&lt;&gt;"",K723="",U723&lt;&gt;"Yes",X723&lt;&gt;"Yes"),1,0)</f>
        <v/>
      </c>
      <c r="AE723" s="79">
        <f>IF(AND(AD723=1,T723&lt;&gt;""),IF(T723&lt;AsOf,1,0),0)</f>
        <v/>
      </c>
      <c r="AF723" s="79">
        <f>IF(AND(AD723=1,T723&lt;&gt;""),IF(AND(T723&gt;=AsOf,T723&lt;=AsOf+AlertDays),1,0),0)</f>
        <v/>
      </c>
      <c r="AG723" s="79">
        <f>IF(Y723="Order now",1,0)</f>
        <v/>
      </c>
      <c r="AH723" s="79">
        <f>IF(OR(Y723="⚠️ Order late — install at risk",Y723="⚠️ Delivery after install date"),1,0)</f>
        <v/>
      </c>
      <c r="AI723" s="79">
        <f>IF(AND(B723&lt;&gt;"",K723&lt;&gt;"",U723&lt;&gt;"Yes",X723&lt;&gt;"Yes"),1,0)</f>
        <v/>
      </c>
      <c r="AJ723" s="79">
        <f>IF(Y723="⚠️ Order late — install at risk",1,0)</f>
        <v/>
      </c>
    </row>
    <row r="724" ht="20" customHeight="1">
      <c r="B724" s="72" t="n"/>
      <c r="C724" s="72" t="n"/>
      <c r="D724" s="72" t="n"/>
      <c r="E724" s="72" t="n"/>
      <c r="F724" s="73" t="n"/>
      <c r="G724" s="72" t="n"/>
      <c r="H724" s="73" t="n"/>
      <c r="I724" s="72" t="n"/>
      <c r="J724" s="73" t="n"/>
      <c r="K724" s="74" t="n"/>
      <c r="L724" s="75">
        <f>IF(K724="A",F724,IF(K724="B",H724,IF(K724="C",J724,"")))</f>
        <v/>
      </c>
      <c r="M724" s="72" t="n"/>
      <c r="N724" s="72" t="n"/>
      <c r="O724" s="89" t="n"/>
      <c r="P724" s="89" t="n"/>
      <c r="Q724" s="109" t="n"/>
      <c r="R724" s="120">
        <f>IF(B724="","",IF(Q724&lt;&gt;"",Q724,IF(P724="","",IFERROR(INDEX('Timeline'!$J$7:$J$1006,MATCH(P724,'Timeline'!$B$7:$B$1006,0)),""))))</f>
        <v/>
      </c>
      <c r="S724" s="126">
        <f>IF(R724="","",R724-IF(O724="",0,O724)-OrderBuf)</f>
        <v/>
      </c>
      <c r="T724" s="126">
        <f>IF(S724="","",S724-DecideBuf)</f>
        <v/>
      </c>
      <c r="U724" s="74" t="n"/>
      <c r="V724" s="109" t="n"/>
      <c r="W724" s="109" t="n"/>
      <c r="X724" s="74" t="n"/>
      <c r="Y724" s="116">
        <f>IF(B724="","",IF(X724="Yes","Delivered",IF(U724="Yes",IF(AND(W724&lt;&gt;"",R724&lt;&gt;""),IF(W724&gt;R724,"⚠️ Delivery after install date","Ordered"),"Ordered"),IF(K724="",IF(T724="","Waiting for decision",IF(T724&lt;=AsOf+AlertDays,"Decide now","Waiting for decision")),IF(S724="","Selected",IF(AsOf&gt;S724,"⚠️ Order late — install at risk",IF(S724&lt;=AsOf+AlertDays,"Order now","Selected")))))))</f>
        <v/>
      </c>
      <c r="Z724" s="79">
        <f>IF(B724="","",IF(OR(AH724=1,AE724=1),2,IF(OR(AG724=1,AF724=1),1,IF(OR(Y724="Ordered",Y724="Delivered"),0,""))))</f>
        <v/>
      </c>
      <c r="AA724" s="112">
        <f>IF(B724="","",IF(AH724=1,IF(Y724="⚠️ Delivery after install date",R724,S724),IF(AD724=1,T724,IF(AI724=1,S724,""))))</f>
        <v/>
      </c>
      <c r="AB724" s="79">
        <f>IF(AA724="","",IF(AH724=1,1,IF(AA724="","",IF(AA724&lt;AsOf,1,IF(AA724&lt;=AsOf+AlertDays,2,IF(AA724&lt;=AsOf+2*AlertDays,3,""))))))</f>
        <v/>
      </c>
      <c r="AC724" s="79">
        <f>IF(AB724="","",IF(AH724=1,IF(Y724="⚠️ Delivery after install date","Delivery after install date: "&amp;B724,"Order late — install at risk: "&amp;B724),IF(AD724=1,IF(AB724=1,"Decision overdue: ","Decide: ")&amp;B724,"Order: "&amp;B724&amp;IF(N724="",""," from "&amp;N724))))</f>
        <v/>
      </c>
      <c r="AD724" s="79">
        <f>IF(AND(B724&lt;&gt;"",K724="",U724&lt;&gt;"Yes",X724&lt;&gt;"Yes"),1,0)</f>
        <v/>
      </c>
      <c r="AE724" s="79">
        <f>IF(AND(AD724=1,T724&lt;&gt;""),IF(T724&lt;AsOf,1,0),0)</f>
        <v/>
      </c>
      <c r="AF724" s="79">
        <f>IF(AND(AD724=1,T724&lt;&gt;""),IF(AND(T724&gt;=AsOf,T724&lt;=AsOf+AlertDays),1,0),0)</f>
        <v/>
      </c>
      <c r="AG724" s="79">
        <f>IF(Y724="Order now",1,0)</f>
        <v/>
      </c>
      <c r="AH724" s="79">
        <f>IF(OR(Y724="⚠️ Order late — install at risk",Y724="⚠️ Delivery after install date"),1,0)</f>
        <v/>
      </c>
      <c r="AI724" s="79">
        <f>IF(AND(B724&lt;&gt;"",K724&lt;&gt;"",U724&lt;&gt;"Yes",X724&lt;&gt;"Yes"),1,0)</f>
        <v/>
      </c>
      <c r="AJ724" s="79">
        <f>IF(Y724="⚠️ Order late — install at risk",1,0)</f>
        <v/>
      </c>
    </row>
    <row r="725" ht="20" customHeight="1">
      <c r="B725" s="72" t="n"/>
      <c r="C725" s="72" t="n"/>
      <c r="D725" s="72" t="n"/>
      <c r="E725" s="72" t="n"/>
      <c r="F725" s="73" t="n"/>
      <c r="G725" s="72" t="n"/>
      <c r="H725" s="73" t="n"/>
      <c r="I725" s="72" t="n"/>
      <c r="J725" s="73" t="n"/>
      <c r="K725" s="74" t="n"/>
      <c r="L725" s="75">
        <f>IF(K725="A",F725,IF(K725="B",H725,IF(K725="C",J725,"")))</f>
        <v/>
      </c>
      <c r="M725" s="72" t="n"/>
      <c r="N725" s="72" t="n"/>
      <c r="O725" s="89" t="n"/>
      <c r="P725" s="89" t="n"/>
      <c r="Q725" s="109" t="n"/>
      <c r="R725" s="120">
        <f>IF(B725="","",IF(Q725&lt;&gt;"",Q725,IF(P725="","",IFERROR(INDEX('Timeline'!$J$7:$J$1006,MATCH(P725,'Timeline'!$B$7:$B$1006,0)),""))))</f>
        <v/>
      </c>
      <c r="S725" s="126">
        <f>IF(R725="","",R725-IF(O725="",0,O725)-OrderBuf)</f>
        <v/>
      </c>
      <c r="T725" s="126">
        <f>IF(S725="","",S725-DecideBuf)</f>
        <v/>
      </c>
      <c r="U725" s="74" t="n"/>
      <c r="V725" s="109" t="n"/>
      <c r="W725" s="109" t="n"/>
      <c r="X725" s="74" t="n"/>
      <c r="Y725" s="116">
        <f>IF(B725="","",IF(X725="Yes","Delivered",IF(U725="Yes",IF(AND(W725&lt;&gt;"",R725&lt;&gt;""),IF(W725&gt;R725,"⚠️ Delivery after install date","Ordered"),"Ordered"),IF(K725="",IF(T725="","Waiting for decision",IF(T725&lt;=AsOf+AlertDays,"Decide now","Waiting for decision")),IF(S725="","Selected",IF(AsOf&gt;S725,"⚠️ Order late — install at risk",IF(S725&lt;=AsOf+AlertDays,"Order now","Selected")))))))</f>
        <v/>
      </c>
      <c r="Z725" s="79">
        <f>IF(B725="","",IF(OR(AH725=1,AE725=1),2,IF(OR(AG725=1,AF725=1),1,IF(OR(Y725="Ordered",Y725="Delivered"),0,""))))</f>
        <v/>
      </c>
      <c r="AA725" s="112">
        <f>IF(B725="","",IF(AH725=1,IF(Y725="⚠️ Delivery after install date",R725,S725),IF(AD725=1,T725,IF(AI725=1,S725,""))))</f>
        <v/>
      </c>
      <c r="AB725" s="79">
        <f>IF(AA725="","",IF(AH725=1,1,IF(AA725="","",IF(AA725&lt;AsOf,1,IF(AA725&lt;=AsOf+AlertDays,2,IF(AA725&lt;=AsOf+2*AlertDays,3,""))))))</f>
        <v/>
      </c>
      <c r="AC725" s="79">
        <f>IF(AB725="","",IF(AH725=1,IF(Y725="⚠️ Delivery after install date","Delivery after install date: "&amp;B725,"Order late — install at risk: "&amp;B725),IF(AD725=1,IF(AB725=1,"Decision overdue: ","Decide: ")&amp;B725,"Order: "&amp;B725&amp;IF(N725="",""," from "&amp;N725))))</f>
        <v/>
      </c>
      <c r="AD725" s="79">
        <f>IF(AND(B725&lt;&gt;"",K725="",U725&lt;&gt;"Yes",X725&lt;&gt;"Yes"),1,0)</f>
        <v/>
      </c>
      <c r="AE725" s="79">
        <f>IF(AND(AD725=1,T725&lt;&gt;""),IF(T725&lt;AsOf,1,0),0)</f>
        <v/>
      </c>
      <c r="AF725" s="79">
        <f>IF(AND(AD725=1,T725&lt;&gt;""),IF(AND(T725&gt;=AsOf,T725&lt;=AsOf+AlertDays),1,0),0)</f>
        <v/>
      </c>
      <c r="AG725" s="79">
        <f>IF(Y725="Order now",1,0)</f>
        <v/>
      </c>
      <c r="AH725" s="79">
        <f>IF(OR(Y725="⚠️ Order late — install at risk",Y725="⚠️ Delivery after install date"),1,0)</f>
        <v/>
      </c>
      <c r="AI725" s="79">
        <f>IF(AND(B725&lt;&gt;"",K725&lt;&gt;"",U725&lt;&gt;"Yes",X725&lt;&gt;"Yes"),1,0)</f>
        <v/>
      </c>
      <c r="AJ725" s="79">
        <f>IF(Y725="⚠️ Order late — install at risk",1,0)</f>
        <v/>
      </c>
    </row>
    <row r="726" ht="20" customHeight="1">
      <c r="B726" s="72" t="n"/>
      <c r="C726" s="72" t="n"/>
      <c r="D726" s="72" t="n"/>
      <c r="E726" s="72" t="n"/>
      <c r="F726" s="73" t="n"/>
      <c r="G726" s="72" t="n"/>
      <c r="H726" s="73" t="n"/>
      <c r="I726" s="72" t="n"/>
      <c r="J726" s="73" t="n"/>
      <c r="K726" s="74" t="n"/>
      <c r="L726" s="75">
        <f>IF(K726="A",F726,IF(K726="B",H726,IF(K726="C",J726,"")))</f>
        <v/>
      </c>
      <c r="M726" s="72" t="n"/>
      <c r="N726" s="72" t="n"/>
      <c r="O726" s="89" t="n"/>
      <c r="P726" s="89" t="n"/>
      <c r="Q726" s="109" t="n"/>
      <c r="R726" s="120">
        <f>IF(B726="","",IF(Q726&lt;&gt;"",Q726,IF(P726="","",IFERROR(INDEX('Timeline'!$J$7:$J$1006,MATCH(P726,'Timeline'!$B$7:$B$1006,0)),""))))</f>
        <v/>
      </c>
      <c r="S726" s="126">
        <f>IF(R726="","",R726-IF(O726="",0,O726)-OrderBuf)</f>
        <v/>
      </c>
      <c r="T726" s="126">
        <f>IF(S726="","",S726-DecideBuf)</f>
        <v/>
      </c>
      <c r="U726" s="74" t="n"/>
      <c r="V726" s="109" t="n"/>
      <c r="W726" s="109" t="n"/>
      <c r="X726" s="74" t="n"/>
      <c r="Y726" s="116">
        <f>IF(B726="","",IF(X726="Yes","Delivered",IF(U726="Yes",IF(AND(W726&lt;&gt;"",R726&lt;&gt;""),IF(W726&gt;R726,"⚠️ Delivery after install date","Ordered"),"Ordered"),IF(K726="",IF(T726="","Waiting for decision",IF(T726&lt;=AsOf+AlertDays,"Decide now","Waiting for decision")),IF(S726="","Selected",IF(AsOf&gt;S726,"⚠️ Order late — install at risk",IF(S726&lt;=AsOf+AlertDays,"Order now","Selected")))))))</f>
        <v/>
      </c>
      <c r="Z726" s="79">
        <f>IF(B726="","",IF(OR(AH726=1,AE726=1),2,IF(OR(AG726=1,AF726=1),1,IF(OR(Y726="Ordered",Y726="Delivered"),0,""))))</f>
        <v/>
      </c>
      <c r="AA726" s="112">
        <f>IF(B726="","",IF(AH726=1,IF(Y726="⚠️ Delivery after install date",R726,S726),IF(AD726=1,T726,IF(AI726=1,S726,""))))</f>
        <v/>
      </c>
      <c r="AB726" s="79">
        <f>IF(AA726="","",IF(AH726=1,1,IF(AA726="","",IF(AA726&lt;AsOf,1,IF(AA726&lt;=AsOf+AlertDays,2,IF(AA726&lt;=AsOf+2*AlertDays,3,""))))))</f>
        <v/>
      </c>
      <c r="AC726" s="79">
        <f>IF(AB726="","",IF(AH726=1,IF(Y726="⚠️ Delivery after install date","Delivery after install date: "&amp;B726,"Order late — install at risk: "&amp;B726),IF(AD726=1,IF(AB726=1,"Decision overdue: ","Decide: ")&amp;B726,"Order: "&amp;B726&amp;IF(N726="",""," from "&amp;N726))))</f>
        <v/>
      </c>
      <c r="AD726" s="79">
        <f>IF(AND(B726&lt;&gt;"",K726="",U726&lt;&gt;"Yes",X726&lt;&gt;"Yes"),1,0)</f>
        <v/>
      </c>
      <c r="AE726" s="79">
        <f>IF(AND(AD726=1,T726&lt;&gt;""),IF(T726&lt;AsOf,1,0),0)</f>
        <v/>
      </c>
      <c r="AF726" s="79">
        <f>IF(AND(AD726=1,T726&lt;&gt;""),IF(AND(T726&gt;=AsOf,T726&lt;=AsOf+AlertDays),1,0),0)</f>
        <v/>
      </c>
      <c r="AG726" s="79">
        <f>IF(Y726="Order now",1,0)</f>
        <v/>
      </c>
      <c r="AH726" s="79">
        <f>IF(OR(Y726="⚠️ Order late — install at risk",Y726="⚠️ Delivery after install date"),1,0)</f>
        <v/>
      </c>
      <c r="AI726" s="79">
        <f>IF(AND(B726&lt;&gt;"",K726&lt;&gt;"",U726&lt;&gt;"Yes",X726&lt;&gt;"Yes"),1,0)</f>
        <v/>
      </c>
      <c r="AJ726" s="79">
        <f>IF(Y726="⚠️ Order late — install at risk",1,0)</f>
        <v/>
      </c>
    </row>
    <row r="727" ht="20" customHeight="1">
      <c r="B727" s="72" t="n"/>
      <c r="C727" s="72" t="n"/>
      <c r="D727" s="72" t="n"/>
      <c r="E727" s="72" t="n"/>
      <c r="F727" s="73" t="n"/>
      <c r="G727" s="72" t="n"/>
      <c r="H727" s="73" t="n"/>
      <c r="I727" s="72" t="n"/>
      <c r="J727" s="73" t="n"/>
      <c r="K727" s="74" t="n"/>
      <c r="L727" s="75">
        <f>IF(K727="A",F727,IF(K727="B",H727,IF(K727="C",J727,"")))</f>
        <v/>
      </c>
      <c r="M727" s="72" t="n"/>
      <c r="N727" s="72" t="n"/>
      <c r="O727" s="89" t="n"/>
      <c r="P727" s="89" t="n"/>
      <c r="Q727" s="109" t="n"/>
      <c r="R727" s="120">
        <f>IF(B727="","",IF(Q727&lt;&gt;"",Q727,IF(P727="","",IFERROR(INDEX('Timeline'!$J$7:$J$1006,MATCH(P727,'Timeline'!$B$7:$B$1006,0)),""))))</f>
        <v/>
      </c>
      <c r="S727" s="126">
        <f>IF(R727="","",R727-IF(O727="",0,O727)-OrderBuf)</f>
        <v/>
      </c>
      <c r="T727" s="126">
        <f>IF(S727="","",S727-DecideBuf)</f>
        <v/>
      </c>
      <c r="U727" s="74" t="n"/>
      <c r="V727" s="109" t="n"/>
      <c r="W727" s="109" t="n"/>
      <c r="X727" s="74" t="n"/>
      <c r="Y727" s="116">
        <f>IF(B727="","",IF(X727="Yes","Delivered",IF(U727="Yes",IF(AND(W727&lt;&gt;"",R727&lt;&gt;""),IF(W727&gt;R727,"⚠️ Delivery after install date","Ordered"),"Ordered"),IF(K727="",IF(T727="","Waiting for decision",IF(T727&lt;=AsOf+AlertDays,"Decide now","Waiting for decision")),IF(S727="","Selected",IF(AsOf&gt;S727,"⚠️ Order late — install at risk",IF(S727&lt;=AsOf+AlertDays,"Order now","Selected")))))))</f>
        <v/>
      </c>
      <c r="Z727" s="79">
        <f>IF(B727="","",IF(OR(AH727=1,AE727=1),2,IF(OR(AG727=1,AF727=1),1,IF(OR(Y727="Ordered",Y727="Delivered"),0,""))))</f>
        <v/>
      </c>
      <c r="AA727" s="112">
        <f>IF(B727="","",IF(AH727=1,IF(Y727="⚠️ Delivery after install date",R727,S727),IF(AD727=1,T727,IF(AI727=1,S727,""))))</f>
        <v/>
      </c>
      <c r="AB727" s="79">
        <f>IF(AA727="","",IF(AH727=1,1,IF(AA727="","",IF(AA727&lt;AsOf,1,IF(AA727&lt;=AsOf+AlertDays,2,IF(AA727&lt;=AsOf+2*AlertDays,3,""))))))</f>
        <v/>
      </c>
      <c r="AC727" s="79">
        <f>IF(AB727="","",IF(AH727=1,IF(Y727="⚠️ Delivery after install date","Delivery after install date: "&amp;B727,"Order late — install at risk: "&amp;B727),IF(AD727=1,IF(AB727=1,"Decision overdue: ","Decide: ")&amp;B727,"Order: "&amp;B727&amp;IF(N727="",""," from "&amp;N727))))</f>
        <v/>
      </c>
      <c r="AD727" s="79">
        <f>IF(AND(B727&lt;&gt;"",K727="",U727&lt;&gt;"Yes",X727&lt;&gt;"Yes"),1,0)</f>
        <v/>
      </c>
      <c r="AE727" s="79">
        <f>IF(AND(AD727=1,T727&lt;&gt;""),IF(T727&lt;AsOf,1,0),0)</f>
        <v/>
      </c>
      <c r="AF727" s="79">
        <f>IF(AND(AD727=1,T727&lt;&gt;""),IF(AND(T727&gt;=AsOf,T727&lt;=AsOf+AlertDays),1,0),0)</f>
        <v/>
      </c>
      <c r="AG727" s="79">
        <f>IF(Y727="Order now",1,0)</f>
        <v/>
      </c>
      <c r="AH727" s="79">
        <f>IF(OR(Y727="⚠️ Order late — install at risk",Y727="⚠️ Delivery after install date"),1,0)</f>
        <v/>
      </c>
      <c r="AI727" s="79">
        <f>IF(AND(B727&lt;&gt;"",K727&lt;&gt;"",U727&lt;&gt;"Yes",X727&lt;&gt;"Yes"),1,0)</f>
        <v/>
      </c>
      <c r="AJ727" s="79">
        <f>IF(Y727="⚠️ Order late — install at risk",1,0)</f>
        <v/>
      </c>
    </row>
    <row r="728" ht="20" customHeight="1">
      <c r="B728" s="72" t="n"/>
      <c r="C728" s="72" t="n"/>
      <c r="D728" s="72" t="n"/>
      <c r="E728" s="72" t="n"/>
      <c r="F728" s="73" t="n"/>
      <c r="G728" s="72" t="n"/>
      <c r="H728" s="73" t="n"/>
      <c r="I728" s="72" t="n"/>
      <c r="J728" s="73" t="n"/>
      <c r="K728" s="74" t="n"/>
      <c r="L728" s="75">
        <f>IF(K728="A",F728,IF(K728="B",H728,IF(K728="C",J728,"")))</f>
        <v/>
      </c>
      <c r="M728" s="72" t="n"/>
      <c r="N728" s="72" t="n"/>
      <c r="O728" s="89" t="n"/>
      <c r="P728" s="89" t="n"/>
      <c r="Q728" s="109" t="n"/>
      <c r="R728" s="120">
        <f>IF(B728="","",IF(Q728&lt;&gt;"",Q728,IF(P728="","",IFERROR(INDEX('Timeline'!$J$7:$J$1006,MATCH(P728,'Timeline'!$B$7:$B$1006,0)),""))))</f>
        <v/>
      </c>
      <c r="S728" s="126">
        <f>IF(R728="","",R728-IF(O728="",0,O728)-OrderBuf)</f>
        <v/>
      </c>
      <c r="T728" s="126">
        <f>IF(S728="","",S728-DecideBuf)</f>
        <v/>
      </c>
      <c r="U728" s="74" t="n"/>
      <c r="V728" s="109" t="n"/>
      <c r="W728" s="109" t="n"/>
      <c r="X728" s="74" t="n"/>
      <c r="Y728" s="116">
        <f>IF(B728="","",IF(X728="Yes","Delivered",IF(U728="Yes",IF(AND(W728&lt;&gt;"",R728&lt;&gt;""),IF(W728&gt;R728,"⚠️ Delivery after install date","Ordered"),"Ordered"),IF(K728="",IF(T728="","Waiting for decision",IF(T728&lt;=AsOf+AlertDays,"Decide now","Waiting for decision")),IF(S728="","Selected",IF(AsOf&gt;S728,"⚠️ Order late — install at risk",IF(S728&lt;=AsOf+AlertDays,"Order now","Selected")))))))</f>
        <v/>
      </c>
      <c r="Z728" s="79">
        <f>IF(B728="","",IF(OR(AH728=1,AE728=1),2,IF(OR(AG728=1,AF728=1),1,IF(OR(Y728="Ordered",Y728="Delivered"),0,""))))</f>
        <v/>
      </c>
      <c r="AA728" s="112">
        <f>IF(B728="","",IF(AH728=1,IF(Y728="⚠️ Delivery after install date",R728,S728),IF(AD728=1,T728,IF(AI728=1,S728,""))))</f>
        <v/>
      </c>
      <c r="AB728" s="79">
        <f>IF(AA728="","",IF(AH728=1,1,IF(AA728="","",IF(AA728&lt;AsOf,1,IF(AA728&lt;=AsOf+AlertDays,2,IF(AA728&lt;=AsOf+2*AlertDays,3,""))))))</f>
        <v/>
      </c>
      <c r="AC728" s="79">
        <f>IF(AB728="","",IF(AH728=1,IF(Y728="⚠️ Delivery after install date","Delivery after install date: "&amp;B728,"Order late — install at risk: "&amp;B728),IF(AD728=1,IF(AB728=1,"Decision overdue: ","Decide: ")&amp;B728,"Order: "&amp;B728&amp;IF(N728="",""," from "&amp;N728))))</f>
        <v/>
      </c>
      <c r="AD728" s="79">
        <f>IF(AND(B728&lt;&gt;"",K728="",U728&lt;&gt;"Yes",X728&lt;&gt;"Yes"),1,0)</f>
        <v/>
      </c>
      <c r="AE728" s="79">
        <f>IF(AND(AD728=1,T728&lt;&gt;""),IF(T728&lt;AsOf,1,0),0)</f>
        <v/>
      </c>
      <c r="AF728" s="79">
        <f>IF(AND(AD728=1,T728&lt;&gt;""),IF(AND(T728&gt;=AsOf,T728&lt;=AsOf+AlertDays),1,0),0)</f>
        <v/>
      </c>
      <c r="AG728" s="79">
        <f>IF(Y728="Order now",1,0)</f>
        <v/>
      </c>
      <c r="AH728" s="79">
        <f>IF(OR(Y728="⚠️ Order late — install at risk",Y728="⚠️ Delivery after install date"),1,0)</f>
        <v/>
      </c>
      <c r="AI728" s="79">
        <f>IF(AND(B728&lt;&gt;"",K728&lt;&gt;"",U728&lt;&gt;"Yes",X728&lt;&gt;"Yes"),1,0)</f>
        <v/>
      </c>
      <c r="AJ728" s="79">
        <f>IF(Y728="⚠️ Order late — install at risk",1,0)</f>
        <v/>
      </c>
    </row>
    <row r="729" ht="20" customHeight="1">
      <c r="B729" s="72" t="n"/>
      <c r="C729" s="72" t="n"/>
      <c r="D729" s="72" t="n"/>
      <c r="E729" s="72" t="n"/>
      <c r="F729" s="73" t="n"/>
      <c r="G729" s="72" t="n"/>
      <c r="H729" s="73" t="n"/>
      <c r="I729" s="72" t="n"/>
      <c r="J729" s="73" t="n"/>
      <c r="K729" s="74" t="n"/>
      <c r="L729" s="75">
        <f>IF(K729="A",F729,IF(K729="B",H729,IF(K729="C",J729,"")))</f>
        <v/>
      </c>
      <c r="M729" s="72" t="n"/>
      <c r="N729" s="72" t="n"/>
      <c r="O729" s="89" t="n"/>
      <c r="P729" s="89" t="n"/>
      <c r="Q729" s="109" t="n"/>
      <c r="R729" s="120">
        <f>IF(B729="","",IF(Q729&lt;&gt;"",Q729,IF(P729="","",IFERROR(INDEX('Timeline'!$J$7:$J$1006,MATCH(P729,'Timeline'!$B$7:$B$1006,0)),""))))</f>
        <v/>
      </c>
      <c r="S729" s="126">
        <f>IF(R729="","",R729-IF(O729="",0,O729)-OrderBuf)</f>
        <v/>
      </c>
      <c r="T729" s="126">
        <f>IF(S729="","",S729-DecideBuf)</f>
        <v/>
      </c>
      <c r="U729" s="74" t="n"/>
      <c r="V729" s="109" t="n"/>
      <c r="W729" s="109" t="n"/>
      <c r="X729" s="74" t="n"/>
      <c r="Y729" s="116">
        <f>IF(B729="","",IF(X729="Yes","Delivered",IF(U729="Yes",IF(AND(W729&lt;&gt;"",R729&lt;&gt;""),IF(W729&gt;R729,"⚠️ Delivery after install date","Ordered"),"Ordered"),IF(K729="",IF(T729="","Waiting for decision",IF(T729&lt;=AsOf+AlertDays,"Decide now","Waiting for decision")),IF(S729="","Selected",IF(AsOf&gt;S729,"⚠️ Order late — install at risk",IF(S729&lt;=AsOf+AlertDays,"Order now","Selected")))))))</f>
        <v/>
      </c>
      <c r="Z729" s="79">
        <f>IF(B729="","",IF(OR(AH729=1,AE729=1),2,IF(OR(AG729=1,AF729=1),1,IF(OR(Y729="Ordered",Y729="Delivered"),0,""))))</f>
        <v/>
      </c>
      <c r="AA729" s="112">
        <f>IF(B729="","",IF(AH729=1,IF(Y729="⚠️ Delivery after install date",R729,S729),IF(AD729=1,T729,IF(AI729=1,S729,""))))</f>
        <v/>
      </c>
      <c r="AB729" s="79">
        <f>IF(AA729="","",IF(AH729=1,1,IF(AA729="","",IF(AA729&lt;AsOf,1,IF(AA729&lt;=AsOf+AlertDays,2,IF(AA729&lt;=AsOf+2*AlertDays,3,""))))))</f>
        <v/>
      </c>
      <c r="AC729" s="79">
        <f>IF(AB729="","",IF(AH729=1,IF(Y729="⚠️ Delivery after install date","Delivery after install date: "&amp;B729,"Order late — install at risk: "&amp;B729),IF(AD729=1,IF(AB729=1,"Decision overdue: ","Decide: ")&amp;B729,"Order: "&amp;B729&amp;IF(N729="",""," from "&amp;N729))))</f>
        <v/>
      </c>
      <c r="AD729" s="79">
        <f>IF(AND(B729&lt;&gt;"",K729="",U729&lt;&gt;"Yes",X729&lt;&gt;"Yes"),1,0)</f>
        <v/>
      </c>
      <c r="AE729" s="79">
        <f>IF(AND(AD729=1,T729&lt;&gt;""),IF(T729&lt;AsOf,1,0),0)</f>
        <v/>
      </c>
      <c r="AF729" s="79">
        <f>IF(AND(AD729=1,T729&lt;&gt;""),IF(AND(T729&gt;=AsOf,T729&lt;=AsOf+AlertDays),1,0),0)</f>
        <v/>
      </c>
      <c r="AG729" s="79">
        <f>IF(Y729="Order now",1,0)</f>
        <v/>
      </c>
      <c r="AH729" s="79">
        <f>IF(OR(Y729="⚠️ Order late — install at risk",Y729="⚠️ Delivery after install date"),1,0)</f>
        <v/>
      </c>
      <c r="AI729" s="79">
        <f>IF(AND(B729&lt;&gt;"",K729&lt;&gt;"",U729&lt;&gt;"Yes",X729&lt;&gt;"Yes"),1,0)</f>
        <v/>
      </c>
      <c r="AJ729" s="79">
        <f>IF(Y729="⚠️ Order late — install at risk",1,0)</f>
        <v/>
      </c>
    </row>
    <row r="730" ht="20" customHeight="1">
      <c r="B730" s="72" t="n"/>
      <c r="C730" s="72" t="n"/>
      <c r="D730" s="72" t="n"/>
      <c r="E730" s="72" t="n"/>
      <c r="F730" s="73" t="n"/>
      <c r="G730" s="72" t="n"/>
      <c r="H730" s="73" t="n"/>
      <c r="I730" s="72" t="n"/>
      <c r="J730" s="73" t="n"/>
      <c r="K730" s="74" t="n"/>
      <c r="L730" s="75">
        <f>IF(K730="A",F730,IF(K730="B",H730,IF(K730="C",J730,"")))</f>
        <v/>
      </c>
      <c r="M730" s="72" t="n"/>
      <c r="N730" s="72" t="n"/>
      <c r="O730" s="89" t="n"/>
      <c r="P730" s="89" t="n"/>
      <c r="Q730" s="109" t="n"/>
      <c r="R730" s="120">
        <f>IF(B730="","",IF(Q730&lt;&gt;"",Q730,IF(P730="","",IFERROR(INDEX('Timeline'!$J$7:$J$1006,MATCH(P730,'Timeline'!$B$7:$B$1006,0)),""))))</f>
        <v/>
      </c>
      <c r="S730" s="126">
        <f>IF(R730="","",R730-IF(O730="",0,O730)-OrderBuf)</f>
        <v/>
      </c>
      <c r="T730" s="126">
        <f>IF(S730="","",S730-DecideBuf)</f>
        <v/>
      </c>
      <c r="U730" s="74" t="n"/>
      <c r="V730" s="109" t="n"/>
      <c r="W730" s="109" t="n"/>
      <c r="X730" s="74" t="n"/>
      <c r="Y730" s="116">
        <f>IF(B730="","",IF(X730="Yes","Delivered",IF(U730="Yes",IF(AND(W730&lt;&gt;"",R730&lt;&gt;""),IF(W730&gt;R730,"⚠️ Delivery after install date","Ordered"),"Ordered"),IF(K730="",IF(T730="","Waiting for decision",IF(T730&lt;=AsOf+AlertDays,"Decide now","Waiting for decision")),IF(S730="","Selected",IF(AsOf&gt;S730,"⚠️ Order late — install at risk",IF(S730&lt;=AsOf+AlertDays,"Order now","Selected")))))))</f>
        <v/>
      </c>
      <c r="Z730" s="79">
        <f>IF(B730="","",IF(OR(AH730=1,AE730=1),2,IF(OR(AG730=1,AF730=1),1,IF(OR(Y730="Ordered",Y730="Delivered"),0,""))))</f>
        <v/>
      </c>
      <c r="AA730" s="112">
        <f>IF(B730="","",IF(AH730=1,IF(Y730="⚠️ Delivery after install date",R730,S730),IF(AD730=1,T730,IF(AI730=1,S730,""))))</f>
        <v/>
      </c>
      <c r="AB730" s="79">
        <f>IF(AA730="","",IF(AH730=1,1,IF(AA730="","",IF(AA730&lt;AsOf,1,IF(AA730&lt;=AsOf+AlertDays,2,IF(AA730&lt;=AsOf+2*AlertDays,3,""))))))</f>
        <v/>
      </c>
      <c r="AC730" s="79">
        <f>IF(AB730="","",IF(AH730=1,IF(Y730="⚠️ Delivery after install date","Delivery after install date: "&amp;B730,"Order late — install at risk: "&amp;B730),IF(AD730=1,IF(AB730=1,"Decision overdue: ","Decide: ")&amp;B730,"Order: "&amp;B730&amp;IF(N730="",""," from "&amp;N730))))</f>
        <v/>
      </c>
      <c r="AD730" s="79">
        <f>IF(AND(B730&lt;&gt;"",K730="",U730&lt;&gt;"Yes",X730&lt;&gt;"Yes"),1,0)</f>
        <v/>
      </c>
      <c r="AE730" s="79">
        <f>IF(AND(AD730=1,T730&lt;&gt;""),IF(T730&lt;AsOf,1,0),0)</f>
        <v/>
      </c>
      <c r="AF730" s="79">
        <f>IF(AND(AD730=1,T730&lt;&gt;""),IF(AND(T730&gt;=AsOf,T730&lt;=AsOf+AlertDays),1,0),0)</f>
        <v/>
      </c>
      <c r="AG730" s="79">
        <f>IF(Y730="Order now",1,0)</f>
        <v/>
      </c>
      <c r="AH730" s="79">
        <f>IF(OR(Y730="⚠️ Order late — install at risk",Y730="⚠️ Delivery after install date"),1,0)</f>
        <v/>
      </c>
      <c r="AI730" s="79">
        <f>IF(AND(B730&lt;&gt;"",K730&lt;&gt;"",U730&lt;&gt;"Yes",X730&lt;&gt;"Yes"),1,0)</f>
        <v/>
      </c>
      <c r="AJ730" s="79">
        <f>IF(Y730="⚠️ Order late — install at risk",1,0)</f>
        <v/>
      </c>
    </row>
    <row r="731" ht="20" customHeight="1">
      <c r="B731" s="72" t="n"/>
      <c r="C731" s="72" t="n"/>
      <c r="D731" s="72" t="n"/>
      <c r="E731" s="72" t="n"/>
      <c r="F731" s="73" t="n"/>
      <c r="G731" s="72" t="n"/>
      <c r="H731" s="73" t="n"/>
      <c r="I731" s="72" t="n"/>
      <c r="J731" s="73" t="n"/>
      <c r="K731" s="74" t="n"/>
      <c r="L731" s="75">
        <f>IF(K731="A",F731,IF(K731="B",H731,IF(K731="C",J731,"")))</f>
        <v/>
      </c>
      <c r="M731" s="72" t="n"/>
      <c r="N731" s="72" t="n"/>
      <c r="O731" s="89" t="n"/>
      <c r="P731" s="89" t="n"/>
      <c r="Q731" s="109" t="n"/>
      <c r="R731" s="120">
        <f>IF(B731="","",IF(Q731&lt;&gt;"",Q731,IF(P731="","",IFERROR(INDEX('Timeline'!$J$7:$J$1006,MATCH(P731,'Timeline'!$B$7:$B$1006,0)),""))))</f>
        <v/>
      </c>
      <c r="S731" s="126">
        <f>IF(R731="","",R731-IF(O731="",0,O731)-OrderBuf)</f>
        <v/>
      </c>
      <c r="T731" s="126">
        <f>IF(S731="","",S731-DecideBuf)</f>
        <v/>
      </c>
      <c r="U731" s="74" t="n"/>
      <c r="V731" s="109" t="n"/>
      <c r="W731" s="109" t="n"/>
      <c r="X731" s="74" t="n"/>
      <c r="Y731" s="116">
        <f>IF(B731="","",IF(X731="Yes","Delivered",IF(U731="Yes",IF(AND(W731&lt;&gt;"",R731&lt;&gt;""),IF(W731&gt;R731,"⚠️ Delivery after install date","Ordered"),"Ordered"),IF(K731="",IF(T731="","Waiting for decision",IF(T731&lt;=AsOf+AlertDays,"Decide now","Waiting for decision")),IF(S731="","Selected",IF(AsOf&gt;S731,"⚠️ Order late — install at risk",IF(S731&lt;=AsOf+AlertDays,"Order now","Selected")))))))</f>
        <v/>
      </c>
      <c r="Z731" s="79">
        <f>IF(B731="","",IF(OR(AH731=1,AE731=1),2,IF(OR(AG731=1,AF731=1),1,IF(OR(Y731="Ordered",Y731="Delivered"),0,""))))</f>
        <v/>
      </c>
      <c r="AA731" s="112">
        <f>IF(B731="","",IF(AH731=1,IF(Y731="⚠️ Delivery after install date",R731,S731),IF(AD731=1,T731,IF(AI731=1,S731,""))))</f>
        <v/>
      </c>
      <c r="AB731" s="79">
        <f>IF(AA731="","",IF(AH731=1,1,IF(AA731="","",IF(AA731&lt;AsOf,1,IF(AA731&lt;=AsOf+AlertDays,2,IF(AA731&lt;=AsOf+2*AlertDays,3,""))))))</f>
        <v/>
      </c>
      <c r="AC731" s="79">
        <f>IF(AB731="","",IF(AH731=1,IF(Y731="⚠️ Delivery after install date","Delivery after install date: "&amp;B731,"Order late — install at risk: "&amp;B731),IF(AD731=1,IF(AB731=1,"Decision overdue: ","Decide: ")&amp;B731,"Order: "&amp;B731&amp;IF(N731="",""," from "&amp;N731))))</f>
        <v/>
      </c>
      <c r="AD731" s="79">
        <f>IF(AND(B731&lt;&gt;"",K731="",U731&lt;&gt;"Yes",X731&lt;&gt;"Yes"),1,0)</f>
        <v/>
      </c>
      <c r="AE731" s="79">
        <f>IF(AND(AD731=1,T731&lt;&gt;""),IF(T731&lt;AsOf,1,0),0)</f>
        <v/>
      </c>
      <c r="AF731" s="79">
        <f>IF(AND(AD731=1,T731&lt;&gt;""),IF(AND(T731&gt;=AsOf,T731&lt;=AsOf+AlertDays),1,0),0)</f>
        <v/>
      </c>
      <c r="AG731" s="79">
        <f>IF(Y731="Order now",1,0)</f>
        <v/>
      </c>
      <c r="AH731" s="79">
        <f>IF(OR(Y731="⚠️ Order late — install at risk",Y731="⚠️ Delivery after install date"),1,0)</f>
        <v/>
      </c>
      <c r="AI731" s="79">
        <f>IF(AND(B731&lt;&gt;"",K731&lt;&gt;"",U731&lt;&gt;"Yes",X731&lt;&gt;"Yes"),1,0)</f>
        <v/>
      </c>
      <c r="AJ731" s="79">
        <f>IF(Y731="⚠️ Order late — install at risk",1,0)</f>
        <v/>
      </c>
    </row>
    <row r="732" ht="20" customHeight="1">
      <c r="B732" s="72" t="n"/>
      <c r="C732" s="72" t="n"/>
      <c r="D732" s="72" t="n"/>
      <c r="E732" s="72" t="n"/>
      <c r="F732" s="73" t="n"/>
      <c r="G732" s="72" t="n"/>
      <c r="H732" s="73" t="n"/>
      <c r="I732" s="72" t="n"/>
      <c r="J732" s="73" t="n"/>
      <c r="K732" s="74" t="n"/>
      <c r="L732" s="75">
        <f>IF(K732="A",F732,IF(K732="B",H732,IF(K732="C",J732,"")))</f>
        <v/>
      </c>
      <c r="M732" s="72" t="n"/>
      <c r="N732" s="72" t="n"/>
      <c r="O732" s="89" t="n"/>
      <c r="P732" s="89" t="n"/>
      <c r="Q732" s="109" t="n"/>
      <c r="R732" s="120">
        <f>IF(B732="","",IF(Q732&lt;&gt;"",Q732,IF(P732="","",IFERROR(INDEX('Timeline'!$J$7:$J$1006,MATCH(P732,'Timeline'!$B$7:$B$1006,0)),""))))</f>
        <v/>
      </c>
      <c r="S732" s="126">
        <f>IF(R732="","",R732-IF(O732="",0,O732)-OrderBuf)</f>
        <v/>
      </c>
      <c r="T732" s="126">
        <f>IF(S732="","",S732-DecideBuf)</f>
        <v/>
      </c>
      <c r="U732" s="74" t="n"/>
      <c r="V732" s="109" t="n"/>
      <c r="W732" s="109" t="n"/>
      <c r="X732" s="74" t="n"/>
      <c r="Y732" s="116">
        <f>IF(B732="","",IF(X732="Yes","Delivered",IF(U732="Yes",IF(AND(W732&lt;&gt;"",R732&lt;&gt;""),IF(W732&gt;R732,"⚠️ Delivery after install date","Ordered"),"Ordered"),IF(K732="",IF(T732="","Waiting for decision",IF(T732&lt;=AsOf+AlertDays,"Decide now","Waiting for decision")),IF(S732="","Selected",IF(AsOf&gt;S732,"⚠️ Order late — install at risk",IF(S732&lt;=AsOf+AlertDays,"Order now","Selected")))))))</f>
        <v/>
      </c>
      <c r="Z732" s="79">
        <f>IF(B732="","",IF(OR(AH732=1,AE732=1),2,IF(OR(AG732=1,AF732=1),1,IF(OR(Y732="Ordered",Y732="Delivered"),0,""))))</f>
        <v/>
      </c>
      <c r="AA732" s="112">
        <f>IF(B732="","",IF(AH732=1,IF(Y732="⚠️ Delivery after install date",R732,S732),IF(AD732=1,T732,IF(AI732=1,S732,""))))</f>
        <v/>
      </c>
      <c r="AB732" s="79">
        <f>IF(AA732="","",IF(AH732=1,1,IF(AA732="","",IF(AA732&lt;AsOf,1,IF(AA732&lt;=AsOf+AlertDays,2,IF(AA732&lt;=AsOf+2*AlertDays,3,""))))))</f>
        <v/>
      </c>
      <c r="AC732" s="79">
        <f>IF(AB732="","",IF(AH732=1,IF(Y732="⚠️ Delivery after install date","Delivery after install date: "&amp;B732,"Order late — install at risk: "&amp;B732),IF(AD732=1,IF(AB732=1,"Decision overdue: ","Decide: ")&amp;B732,"Order: "&amp;B732&amp;IF(N732="",""," from "&amp;N732))))</f>
        <v/>
      </c>
      <c r="AD732" s="79">
        <f>IF(AND(B732&lt;&gt;"",K732="",U732&lt;&gt;"Yes",X732&lt;&gt;"Yes"),1,0)</f>
        <v/>
      </c>
      <c r="AE732" s="79">
        <f>IF(AND(AD732=1,T732&lt;&gt;""),IF(T732&lt;AsOf,1,0),0)</f>
        <v/>
      </c>
      <c r="AF732" s="79">
        <f>IF(AND(AD732=1,T732&lt;&gt;""),IF(AND(T732&gt;=AsOf,T732&lt;=AsOf+AlertDays),1,0),0)</f>
        <v/>
      </c>
      <c r="AG732" s="79">
        <f>IF(Y732="Order now",1,0)</f>
        <v/>
      </c>
      <c r="AH732" s="79">
        <f>IF(OR(Y732="⚠️ Order late — install at risk",Y732="⚠️ Delivery after install date"),1,0)</f>
        <v/>
      </c>
      <c r="AI732" s="79">
        <f>IF(AND(B732&lt;&gt;"",K732&lt;&gt;"",U732&lt;&gt;"Yes",X732&lt;&gt;"Yes"),1,0)</f>
        <v/>
      </c>
      <c r="AJ732" s="79">
        <f>IF(Y732="⚠️ Order late — install at risk",1,0)</f>
        <v/>
      </c>
    </row>
    <row r="733" ht="20" customHeight="1">
      <c r="B733" s="72" t="n"/>
      <c r="C733" s="72" t="n"/>
      <c r="D733" s="72" t="n"/>
      <c r="E733" s="72" t="n"/>
      <c r="F733" s="73" t="n"/>
      <c r="G733" s="72" t="n"/>
      <c r="H733" s="73" t="n"/>
      <c r="I733" s="72" t="n"/>
      <c r="J733" s="73" t="n"/>
      <c r="K733" s="74" t="n"/>
      <c r="L733" s="75">
        <f>IF(K733="A",F733,IF(K733="B",H733,IF(K733="C",J733,"")))</f>
        <v/>
      </c>
      <c r="M733" s="72" t="n"/>
      <c r="N733" s="72" t="n"/>
      <c r="O733" s="89" t="n"/>
      <c r="P733" s="89" t="n"/>
      <c r="Q733" s="109" t="n"/>
      <c r="R733" s="120">
        <f>IF(B733="","",IF(Q733&lt;&gt;"",Q733,IF(P733="","",IFERROR(INDEX('Timeline'!$J$7:$J$1006,MATCH(P733,'Timeline'!$B$7:$B$1006,0)),""))))</f>
        <v/>
      </c>
      <c r="S733" s="126">
        <f>IF(R733="","",R733-IF(O733="",0,O733)-OrderBuf)</f>
        <v/>
      </c>
      <c r="T733" s="126">
        <f>IF(S733="","",S733-DecideBuf)</f>
        <v/>
      </c>
      <c r="U733" s="74" t="n"/>
      <c r="V733" s="109" t="n"/>
      <c r="W733" s="109" t="n"/>
      <c r="X733" s="74" t="n"/>
      <c r="Y733" s="116">
        <f>IF(B733="","",IF(X733="Yes","Delivered",IF(U733="Yes",IF(AND(W733&lt;&gt;"",R733&lt;&gt;""),IF(W733&gt;R733,"⚠️ Delivery after install date","Ordered"),"Ordered"),IF(K733="",IF(T733="","Waiting for decision",IF(T733&lt;=AsOf+AlertDays,"Decide now","Waiting for decision")),IF(S733="","Selected",IF(AsOf&gt;S733,"⚠️ Order late — install at risk",IF(S733&lt;=AsOf+AlertDays,"Order now","Selected")))))))</f>
        <v/>
      </c>
      <c r="Z733" s="79">
        <f>IF(B733="","",IF(OR(AH733=1,AE733=1),2,IF(OR(AG733=1,AF733=1),1,IF(OR(Y733="Ordered",Y733="Delivered"),0,""))))</f>
        <v/>
      </c>
      <c r="AA733" s="112">
        <f>IF(B733="","",IF(AH733=1,IF(Y733="⚠️ Delivery after install date",R733,S733),IF(AD733=1,T733,IF(AI733=1,S733,""))))</f>
        <v/>
      </c>
      <c r="AB733" s="79">
        <f>IF(AA733="","",IF(AH733=1,1,IF(AA733="","",IF(AA733&lt;AsOf,1,IF(AA733&lt;=AsOf+AlertDays,2,IF(AA733&lt;=AsOf+2*AlertDays,3,""))))))</f>
        <v/>
      </c>
      <c r="AC733" s="79">
        <f>IF(AB733="","",IF(AH733=1,IF(Y733="⚠️ Delivery after install date","Delivery after install date: "&amp;B733,"Order late — install at risk: "&amp;B733),IF(AD733=1,IF(AB733=1,"Decision overdue: ","Decide: ")&amp;B733,"Order: "&amp;B733&amp;IF(N733="",""," from "&amp;N733))))</f>
        <v/>
      </c>
      <c r="AD733" s="79">
        <f>IF(AND(B733&lt;&gt;"",K733="",U733&lt;&gt;"Yes",X733&lt;&gt;"Yes"),1,0)</f>
        <v/>
      </c>
      <c r="AE733" s="79">
        <f>IF(AND(AD733=1,T733&lt;&gt;""),IF(T733&lt;AsOf,1,0),0)</f>
        <v/>
      </c>
      <c r="AF733" s="79">
        <f>IF(AND(AD733=1,T733&lt;&gt;""),IF(AND(T733&gt;=AsOf,T733&lt;=AsOf+AlertDays),1,0),0)</f>
        <v/>
      </c>
      <c r="AG733" s="79">
        <f>IF(Y733="Order now",1,0)</f>
        <v/>
      </c>
      <c r="AH733" s="79">
        <f>IF(OR(Y733="⚠️ Order late — install at risk",Y733="⚠️ Delivery after install date"),1,0)</f>
        <v/>
      </c>
      <c r="AI733" s="79">
        <f>IF(AND(B733&lt;&gt;"",K733&lt;&gt;"",U733&lt;&gt;"Yes",X733&lt;&gt;"Yes"),1,0)</f>
        <v/>
      </c>
      <c r="AJ733" s="79">
        <f>IF(Y733="⚠️ Order late — install at risk",1,0)</f>
        <v/>
      </c>
    </row>
    <row r="734" ht="20" customHeight="1">
      <c r="B734" s="72" t="n"/>
      <c r="C734" s="72" t="n"/>
      <c r="D734" s="72" t="n"/>
      <c r="E734" s="72" t="n"/>
      <c r="F734" s="73" t="n"/>
      <c r="G734" s="72" t="n"/>
      <c r="H734" s="73" t="n"/>
      <c r="I734" s="72" t="n"/>
      <c r="J734" s="73" t="n"/>
      <c r="K734" s="74" t="n"/>
      <c r="L734" s="75">
        <f>IF(K734="A",F734,IF(K734="B",H734,IF(K734="C",J734,"")))</f>
        <v/>
      </c>
      <c r="M734" s="72" t="n"/>
      <c r="N734" s="72" t="n"/>
      <c r="O734" s="89" t="n"/>
      <c r="P734" s="89" t="n"/>
      <c r="Q734" s="109" t="n"/>
      <c r="R734" s="120">
        <f>IF(B734="","",IF(Q734&lt;&gt;"",Q734,IF(P734="","",IFERROR(INDEX('Timeline'!$J$7:$J$1006,MATCH(P734,'Timeline'!$B$7:$B$1006,0)),""))))</f>
        <v/>
      </c>
      <c r="S734" s="126">
        <f>IF(R734="","",R734-IF(O734="",0,O734)-OrderBuf)</f>
        <v/>
      </c>
      <c r="T734" s="126">
        <f>IF(S734="","",S734-DecideBuf)</f>
        <v/>
      </c>
      <c r="U734" s="74" t="n"/>
      <c r="V734" s="109" t="n"/>
      <c r="W734" s="109" t="n"/>
      <c r="X734" s="74" t="n"/>
      <c r="Y734" s="116">
        <f>IF(B734="","",IF(X734="Yes","Delivered",IF(U734="Yes",IF(AND(W734&lt;&gt;"",R734&lt;&gt;""),IF(W734&gt;R734,"⚠️ Delivery after install date","Ordered"),"Ordered"),IF(K734="",IF(T734="","Waiting for decision",IF(T734&lt;=AsOf+AlertDays,"Decide now","Waiting for decision")),IF(S734="","Selected",IF(AsOf&gt;S734,"⚠️ Order late — install at risk",IF(S734&lt;=AsOf+AlertDays,"Order now","Selected")))))))</f>
        <v/>
      </c>
      <c r="Z734" s="79">
        <f>IF(B734="","",IF(OR(AH734=1,AE734=1),2,IF(OR(AG734=1,AF734=1),1,IF(OR(Y734="Ordered",Y734="Delivered"),0,""))))</f>
        <v/>
      </c>
      <c r="AA734" s="112">
        <f>IF(B734="","",IF(AH734=1,IF(Y734="⚠️ Delivery after install date",R734,S734),IF(AD734=1,T734,IF(AI734=1,S734,""))))</f>
        <v/>
      </c>
      <c r="AB734" s="79">
        <f>IF(AA734="","",IF(AH734=1,1,IF(AA734="","",IF(AA734&lt;AsOf,1,IF(AA734&lt;=AsOf+AlertDays,2,IF(AA734&lt;=AsOf+2*AlertDays,3,""))))))</f>
        <v/>
      </c>
      <c r="AC734" s="79">
        <f>IF(AB734="","",IF(AH734=1,IF(Y734="⚠️ Delivery after install date","Delivery after install date: "&amp;B734,"Order late — install at risk: "&amp;B734),IF(AD734=1,IF(AB734=1,"Decision overdue: ","Decide: ")&amp;B734,"Order: "&amp;B734&amp;IF(N734="",""," from "&amp;N734))))</f>
        <v/>
      </c>
      <c r="AD734" s="79">
        <f>IF(AND(B734&lt;&gt;"",K734="",U734&lt;&gt;"Yes",X734&lt;&gt;"Yes"),1,0)</f>
        <v/>
      </c>
      <c r="AE734" s="79">
        <f>IF(AND(AD734=1,T734&lt;&gt;""),IF(T734&lt;AsOf,1,0),0)</f>
        <v/>
      </c>
      <c r="AF734" s="79">
        <f>IF(AND(AD734=1,T734&lt;&gt;""),IF(AND(T734&gt;=AsOf,T734&lt;=AsOf+AlertDays),1,0),0)</f>
        <v/>
      </c>
      <c r="AG734" s="79">
        <f>IF(Y734="Order now",1,0)</f>
        <v/>
      </c>
      <c r="AH734" s="79">
        <f>IF(OR(Y734="⚠️ Order late — install at risk",Y734="⚠️ Delivery after install date"),1,0)</f>
        <v/>
      </c>
      <c r="AI734" s="79">
        <f>IF(AND(B734&lt;&gt;"",K734&lt;&gt;"",U734&lt;&gt;"Yes",X734&lt;&gt;"Yes"),1,0)</f>
        <v/>
      </c>
      <c r="AJ734" s="79">
        <f>IF(Y734="⚠️ Order late — install at risk",1,0)</f>
        <v/>
      </c>
    </row>
    <row r="735" ht="20" customHeight="1">
      <c r="B735" s="72" t="n"/>
      <c r="C735" s="72" t="n"/>
      <c r="D735" s="72" t="n"/>
      <c r="E735" s="72" t="n"/>
      <c r="F735" s="73" t="n"/>
      <c r="G735" s="72" t="n"/>
      <c r="H735" s="73" t="n"/>
      <c r="I735" s="72" t="n"/>
      <c r="J735" s="73" t="n"/>
      <c r="K735" s="74" t="n"/>
      <c r="L735" s="75">
        <f>IF(K735="A",F735,IF(K735="B",H735,IF(K735="C",J735,"")))</f>
        <v/>
      </c>
      <c r="M735" s="72" t="n"/>
      <c r="N735" s="72" t="n"/>
      <c r="O735" s="89" t="n"/>
      <c r="P735" s="89" t="n"/>
      <c r="Q735" s="109" t="n"/>
      <c r="R735" s="120">
        <f>IF(B735="","",IF(Q735&lt;&gt;"",Q735,IF(P735="","",IFERROR(INDEX('Timeline'!$J$7:$J$1006,MATCH(P735,'Timeline'!$B$7:$B$1006,0)),""))))</f>
        <v/>
      </c>
      <c r="S735" s="126">
        <f>IF(R735="","",R735-IF(O735="",0,O735)-OrderBuf)</f>
        <v/>
      </c>
      <c r="T735" s="126">
        <f>IF(S735="","",S735-DecideBuf)</f>
        <v/>
      </c>
      <c r="U735" s="74" t="n"/>
      <c r="V735" s="109" t="n"/>
      <c r="W735" s="109" t="n"/>
      <c r="X735" s="74" t="n"/>
      <c r="Y735" s="116">
        <f>IF(B735="","",IF(X735="Yes","Delivered",IF(U735="Yes",IF(AND(W735&lt;&gt;"",R735&lt;&gt;""),IF(W735&gt;R735,"⚠️ Delivery after install date","Ordered"),"Ordered"),IF(K735="",IF(T735="","Waiting for decision",IF(T735&lt;=AsOf+AlertDays,"Decide now","Waiting for decision")),IF(S735="","Selected",IF(AsOf&gt;S735,"⚠️ Order late — install at risk",IF(S735&lt;=AsOf+AlertDays,"Order now","Selected")))))))</f>
        <v/>
      </c>
      <c r="Z735" s="79">
        <f>IF(B735="","",IF(OR(AH735=1,AE735=1),2,IF(OR(AG735=1,AF735=1),1,IF(OR(Y735="Ordered",Y735="Delivered"),0,""))))</f>
        <v/>
      </c>
      <c r="AA735" s="112">
        <f>IF(B735="","",IF(AH735=1,IF(Y735="⚠️ Delivery after install date",R735,S735),IF(AD735=1,T735,IF(AI735=1,S735,""))))</f>
        <v/>
      </c>
      <c r="AB735" s="79">
        <f>IF(AA735="","",IF(AH735=1,1,IF(AA735="","",IF(AA735&lt;AsOf,1,IF(AA735&lt;=AsOf+AlertDays,2,IF(AA735&lt;=AsOf+2*AlertDays,3,""))))))</f>
        <v/>
      </c>
      <c r="AC735" s="79">
        <f>IF(AB735="","",IF(AH735=1,IF(Y735="⚠️ Delivery after install date","Delivery after install date: "&amp;B735,"Order late — install at risk: "&amp;B735),IF(AD735=1,IF(AB735=1,"Decision overdue: ","Decide: ")&amp;B735,"Order: "&amp;B735&amp;IF(N735="",""," from "&amp;N735))))</f>
        <v/>
      </c>
      <c r="AD735" s="79">
        <f>IF(AND(B735&lt;&gt;"",K735="",U735&lt;&gt;"Yes",X735&lt;&gt;"Yes"),1,0)</f>
        <v/>
      </c>
      <c r="AE735" s="79">
        <f>IF(AND(AD735=1,T735&lt;&gt;""),IF(T735&lt;AsOf,1,0),0)</f>
        <v/>
      </c>
      <c r="AF735" s="79">
        <f>IF(AND(AD735=1,T735&lt;&gt;""),IF(AND(T735&gt;=AsOf,T735&lt;=AsOf+AlertDays),1,0),0)</f>
        <v/>
      </c>
      <c r="AG735" s="79">
        <f>IF(Y735="Order now",1,0)</f>
        <v/>
      </c>
      <c r="AH735" s="79">
        <f>IF(OR(Y735="⚠️ Order late — install at risk",Y735="⚠️ Delivery after install date"),1,0)</f>
        <v/>
      </c>
      <c r="AI735" s="79">
        <f>IF(AND(B735&lt;&gt;"",K735&lt;&gt;"",U735&lt;&gt;"Yes",X735&lt;&gt;"Yes"),1,0)</f>
        <v/>
      </c>
      <c r="AJ735" s="79">
        <f>IF(Y735="⚠️ Order late — install at risk",1,0)</f>
        <v/>
      </c>
    </row>
    <row r="736" ht="20" customHeight="1">
      <c r="B736" s="72" t="n"/>
      <c r="C736" s="72" t="n"/>
      <c r="D736" s="72" t="n"/>
      <c r="E736" s="72" t="n"/>
      <c r="F736" s="73" t="n"/>
      <c r="G736" s="72" t="n"/>
      <c r="H736" s="73" t="n"/>
      <c r="I736" s="72" t="n"/>
      <c r="J736" s="73" t="n"/>
      <c r="K736" s="74" t="n"/>
      <c r="L736" s="75">
        <f>IF(K736="A",F736,IF(K736="B",H736,IF(K736="C",J736,"")))</f>
        <v/>
      </c>
      <c r="M736" s="72" t="n"/>
      <c r="N736" s="72" t="n"/>
      <c r="O736" s="89" t="n"/>
      <c r="P736" s="89" t="n"/>
      <c r="Q736" s="109" t="n"/>
      <c r="R736" s="120">
        <f>IF(B736="","",IF(Q736&lt;&gt;"",Q736,IF(P736="","",IFERROR(INDEX('Timeline'!$J$7:$J$1006,MATCH(P736,'Timeline'!$B$7:$B$1006,0)),""))))</f>
        <v/>
      </c>
      <c r="S736" s="126">
        <f>IF(R736="","",R736-IF(O736="",0,O736)-OrderBuf)</f>
        <v/>
      </c>
      <c r="T736" s="126">
        <f>IF(S736="","",S736-DecideBuf)</f>
        <v/>
      </c>
      <c r="U736" s="74" t="n"/>
      <c r="V736" s="109" t="n"/>
      <c r="W736" s="109" t="n"/>
      <c r="X736" s="74" t="n"/>
      <c r="Y736" s="116">
        <f>IF(B736="","",IF(X736="Yes","Delivered",IF(U736="Yes",IF(AND(W736&lt;&gt;"",R736&lt;&gt;""),IF(W736&gt;R736,"⚠️ Delivery after install date","Ordered"),"Ordered"),IF(K736="",IF(T736="","Waiting for decision",IF(T736&lt;=AsOf+AlertDays,"Decide now","Waiting for decision")),IF(S736="","Selected",IF(AsOf&gt;S736,"⚠️ Order late — install at risk",IF(S736&lt;=AsOf+AlertDays,"Order now","Selected")))))))</f>
        <v/>
      </c>
      <c r="Z736" s="79">
        <f>IF(B736="","",IF(OR(AH736=1,AE736=1),2,IF(OR(AG736=1,AF736=1),1,IF(OR(Y736="Ordered",Y736="Delivered"),0,""))))</f>
        <v/>
      </c>
      <c r="AA736" s="112">
        <f>IF(B736="","",IF(AH736=1,IF(Y736="⚠️ Delivery after install date",R736,S736),IF(AD736=1,T736,IF(AI736=1,S736,""))))</f>
        <v/>
      </c>
      <c r="AB736" s="79">
        <f>IF(AA736="","",IF(AH736=1,1,IF(AA736="","",IF(AA736&lt;AsOf,1,IF(AA736&lt;=AsOf+AlertDays,2,IF(AA736&lt;=AsOf+2*AlertDays,3,""))))))</f>
        <v/>
      </c>
      <c r="AC736" s="79">
        <f>IF(AB736="","",IF(AH736=1,IF(Y736="⚠️ Delivery after install date","Delivery after install date: "&amp;B736,"Order late — install at risk: "&amp;B736),IF(AD736=1,IF(AB736=1,"Decision overdue: ","Decide: ")&amp;B736,"Order: "&amp;B736&amp;IF(N736="",""," from "&amp;N736))))</f>
        <v/>
      </c>
      <c r="AD736" s="79">
        <f>IF(AND(B736&lt;&gt;"",K736="",U736&lt;&gt;"Yes",X736&lt;&gt;"Yes"),1,0)</f>
        <v/>
      </c>
      <c r="AE736" s="79">
        <f>IF(AND(AD736=1,T736&lt;&gt;""),IF(T736&lt;AsOf,1,0),0)</f>
        <v/>
      </c>
      <c r="AF736" s="79">
        <f>IF(AND(AD736=1,T736&lt;&gt;""),IF(AND(T736&gt;=AsOf,T736&lt;=AsOf+AlertDays),1,0),0)</f>
        <v/>
      </c>
      <c r="AG736" s="79">
        <f>IF(Y736="Order now",1,0)</f>
        <v/>
      </c>
      <c r="AH736" s="79">
        <f>IF(OR(Y736="⚠️ Order late — install at risk",Y736="⚠️ Delivery after install date"),1,0)</f>
        <v/>
      </c>
      <c r="AI736" s="79">
        <f>IF(AND(B736&lt;&gt;"",K736&lt;&gt;"",U736&lt;&gt;"Yes",X736&lt;&gt;"Yes"),1,0)</f>
        <v/>
      </c>
      <c r="AJ736" s="79">
        <f>IF(Y736="⚠️ Order late — install at risk",1,0)</f>
        <v/>
      </c>
    </row>
    <row r="737" ht="20" customHeight="1">
      <c r="B737" s="72" t="n"/>
      <c r="C737" s="72" t="n"/>
      <c r="D737" s="72" t="n"/>
      <c r="E737" s="72" t="n"/>
      <c r="F737" s="73" t="n"/>
      <c r="G737" s="72" t="n"/>
      <c r="H737" s="73" t="n"/>
      <c r="I737" s="72" t="n"/>
      <c r="J737" s="73" t="n"/>
      <c r="K737" s="74" t="n"/>
      <c r="L737" s="75">
        <f>IF(K737="A",F737,IF(K737="B",H737,IF(K737="C",J737,"")))</f>
        <v/>
      </c>
      <c r="M737" s="72" t="n"/>
      <c r="N737" s="72" t="n"/>
      <c r="O737" s="89" t="n"/>
      <c r="P737" s="89" t="n"/>
      <c r="Q737" s="109" t="n"/>
      <c r="R737" s="120">
        <f>IF(B737="","",IF(Q737&lt;&gt;"",Q737,IF(P737="","",IFERROR(INDEX('Timeline'!$J$7:$J$1006,MATCH(P737,'Timeline'!$B$7:$B$1006,0)),""))))</f>
        <v/>
      </c>
      <c r="S737" s="126">
        <f>IF(R737="","",R737-IF(O737="",0,O737)-OrderBuf)</f>
        <v/>
      </c>
      <c r="T737" s="126">
        <f>IF(S737="","",S737-DecideBuf)</f>
        <v/>
      </c>
      <c r="U737" s="74" t="n"/>
      <c r="V737" s="109" t="n"/>
      <c r="W737" s="109" t="n"/>
      <c r="X737" s="74" t="n"/>
      <c r="Y737" s="116">
        <f>IF(B737="","",IF(X737="Yes","Delivered",IF(U737="Yes",IF(AND(W737&lt;&gt;"",R737&lt;&gt;""),IF(W737&gt;R737,"⚠️ Delivery after install date","Ordered"),"Ordered"),IF(K737="",IF(T737="","Waiting for decision",IF(T737&lt;=AsOf+AlertDays,"Decide now","Waiting for decision")),IF(S737="","Selected",IF(AsOf&gt;S737,"⚠️ Order late — install at risk",IF(S737&lt;=AsOf+AlertDays,"Order now","Selected")))))))</f>
        <v/>
      </c>
      <c r="Z737" s="79">
        <f>IF(B737="","",IF(OR(AH737=1,AE737=1),2,IF(OR(AG737=1,AF737=1),1,IF(OR(Y737="Ordered",Y737="Delivered"),0,""))))</f>
        <v/>
      </c>
      <c r="AA737" s="112">
        <f>IF(B737="","",IF(AH737=1,IF(Y737="⚠️ Delivery after install date",R737,S737),IF(AD737=1,T737,IF(AI737=1,S737,""))))</f>
        <v/>
      </c>
      <c r="AB737" s="79">
        <f>IF(AA737="","",IF(AH737=1,1,IF(AA737="","",IF(AA737&lt;AsOf,1,IF(AA737&lt;=AsOf+AlertDays,2,IF(AA737&lt;=AsOf+2*AlertDays,3,""))))))</f>
        <v/>
      </c>
      <c r="AC737" s="79">
        <f>IF(AB737="","",IF(AH737=1,IF(Y737="⚠️ Delivery after install date","Delivery after install date: "&amp;B737,"Order late — install at risk: "&amp;B737),IF(AD737=1,IF(AB737=1,"Decision overdue: ","Decide: ")&amp;B737,"Order: "&amp;B737&amp;IF(N737="",""," from "&amp;N737))))</f>
        <v/>
      </c>
      <c r="AD737" s="79">
        <f>IF(AND(B737&lt;&gt;"",K737="",U737&lt;&gt;"Yes",X737&lt;&gt;"Yes"),1,0)</f>
        <v/>
      </c>
      <c r="AE737" s="79">
        <f>IF(AND(AD737=1,T737&lt;&gt;""),IF(T737&lt;AsOf,1,0),0)</f>
        <v/>
      </c>
      <c r="AF737" s="79">
        <f>IF(AND(AD737=1,T737&lt;&gt;""),IF(AND(T737&gt;=AsOf,T737&lt;=AsOf+AlertDays),1,0),0)</f>
        <v/>
      </c>
      <c r="AG737" s="79">
        <f>IF(Y737="Order now",1,0)</f>
        <v/>
      </c>
      <c r="AH737" s="79">
        <f>IF(OR(Y737="⚠️ Order late — install at risk",Y737="⚠️ Delivery after install date"),1,0)</f>
        <v/>
      </c>
      <c r="AI737" s="79">
        <f>IF(AND(B737&lt;&gt;"",K737&lt;&gt;"",U737&lt;&gt;"Yes",X737&lt;&gt;"Yes"),1,0)</f>
        <v/>
      </c>
      <c r="AJ737" s="79">
        <f>IF(Y737="⚠️ Order late — install at risk",1,0)</f>
        <v/>
      </c>
    </row>
    <row r="738" ht="20" customHeight="1">
      <c r="B738" s="72" t="n"/>
      <c r="C738" s="72" t="n"/>
      <c r="D738" s="72" t="n"/>
      <c r="E738" s="72" t="n"/>
      <c r="F738" s="73" t="n"/>
      <c r="G738" s="72" t="n"/>
      <c r="H738" s="73" t="n"/>
      <c r="I738" s="72" t="n"/>
      <c r="J738" s="73" t="n"/>
      <c r="K738" s="74" t="n"/>
      <c r="L738" s="75">
        <f>IF(K738="A",F738,IF(K738="B",H738,IF(K738="C",J738,"")))</f>
        <v/>
      </c>
      <c r="M738" s="72" t="n"/>
      <c r="N738" s="72" t="n"/>
      <c r="O738" s="89" t="n"/>
      <c r="P738" s="89" t="n"/>
      <c r="Q738" s="109" t="n"/>
      <c r="R738" s="120">
        <f>IF(B738="","",IF(Q738&lt;&gt;"",Q738,IF(P738="","",IFERROR(INDEX('Timeline'!$J$7:$J$1006,MATCH(P738,'Timeline'!$B$7:$B$1006,0)),""))))</f>
        <v/>
      </c>
      <c r="S738" s="126">
        <f>IF(R738="","",R738-IF(O738="",0,O738)-OrderBuf)</f>
        <v/>
      </c>
      <c r="T738" s="126">
        <f>IF(S738="","",S738-DecideBuf)</f>
        <v/>
      </c>
      <c r="U738" s="74" t="n"/>
      <c r="V738" s="109" t="n"/>
      <c r="W738" s="109" t="n"/>
      <c r="X738" s="74" t="n"/>
      <c r="Y738" s="116">
        <f>IF(B738="","",IF(X738="Yes","Delivered",IF(U738="Yes",IF(AND(W738&lt;&gt;"",R738&lt;&gt;""),IF(W738&gt;R738,"⚠️ Delivery after install date","Ordered"),"Ordered"),IF(K738="",IF(T738="","Waiting for decision",IF(T738&lt;=AsOf+AlertDays,"Decide now","Waiting for decision")),IF(S738="","Selected",IF(AsOf&gt;S738,"⚠️ Order late — install at risk",IF(S738&lt;=AsOf+AlertDays,"Order now","Selected")))))))</f>
        <v/>
      </c>
      <c r="Z738" s="79">
        <f>IF(B738="","",IF(OR(AH738=1,AE738=1),2,IF(OR(AG738=1,AF738=1),1,IF(OR(Y738="Ordered",Y738="Delivered"),0,""))))</f>
        <v/>
      </c>
      <c r="AA738" s="112">
        <f>IF(B738="","",IF(AH738=1,IF(Y738="⚠️ Delivery after install date",R738,S738),IF(AD738=1,T738,IF(AI738=1,S738,""))))</f>
        <v/>
      </c>
      <c r="AB738" s="79">
        <f>IF(AA738="","",IF(AH738=1,1,IF(AA738="","",IF(AA738&lt;AsOf,1,IF(AA738&lt;=AsOf+AlertDays,2,IF(AA738&lt;=AsOf+2*AlertDays,3,""))))))</f>
        <v/>
      </c>
      <c r="AC738" s="79">
        <f>IF(AB738="","",IF(AH738=1,IF(Y738="⚠️ Delivery after install date","Delivery after install date: "&amp;B738,"Order late — install at risk: "&amp;B738),IF(AD738=1,IF(AB738=1,"Decision overdue: ","Decide: ")&amp;B738,"Order: "&amp;B738&amp;IF(N738="",""," from "&amp;N738))))</f>
        <v/>
      </c>
      <c r="AD738" s="79">
        <f>IF(AND(B738&lt;&gt;"",K738="",U738&lt;&gt;"Yes",X738&lt;&gt;"Yes"),1,0)</f>
        <v/>
      </c>
      <c r="AE738" s="79">
        <f>IF(AND(AD738=1,T738&lt;&gt;""),IF(T738&lt;AsOf,1,0),0)</f>
        <v/>
      </c>
      <c r="AF738" s="79">
        <f>IF(AND(AD738=1,T738&lt;&gt;""),IF(AND(T738&gt;=AsOf,T738&lt;=AsOf+AlertDays),1,0),0)</f>
        <v/>
      </c>
      <c r="AG738" s="79">
        <f>IF(Y738="Order now",1,0)</f>
        <v/>
      </c>
      <c r="AH738" s="79">
        <f>IF(OR(Y738="⚠️ Order late — install at risk",Y738="⚠️ Delivery after install date"),1,0)</f>
        <v/>
      </c>
      <c r="AI738" s="79">
        <f>IF(AND(B738&lt;&gt;"",K738&lt;&gt;"",U738&lt;&gt;"Yes",X738&lt;&gt;"Yes"),1,0)</f>
        <v/>
      </c>
      <c r="AJ738" s="79">
        <f>IF(Y738="⚠️ Order late — install at risk",1,0)</f>
        <v/>
      </c>
    </row>
    <row r="739" ht="20" customHeight="1">
      <c r="B739" s="72" t="n"/>
      <c r="C739" s="72" t="n"/>
      <c r="D739" s="72" t="n"/>
      <c r="E739" s="72" t="n"/>
      <c r="F739" s="73" t="n"/>
      <c r="G739" s="72" t="n"/>
      <c r="H739" s="73" t="n"/>
      <c r="I739" s="72" t="n"/>
      <c r="J739" s="73" t="n"/>
      <c r="K739" s="74" t="n"/>
      <c r="L739" s="75">
        <f>IF(K739="A",F739,IF(K739="B",H739,IF(K739="C",J739,"")))</f>
        <v/>
      </c>
      <c r="M739" s="72" t="n"/>
      <c r="N739" s="72" t="n"/>
      <c r="O739" s="89" t="n"/>
      <c r="P739" s="89" t="n"/>
      <c r="Q739" s="109" t="n"/>
      <c r="R739" s="120">
        <f>IF(B739="","",IF(Q739&lt;&gt;"",Q739,IF(P739="","",IFERROR(INDEX('Timeline'!$J$7:$J$1006,MATCH(P739,'Timeline'!$B$7:$B$1006,0)),""))))</f>
        <v/>
      </c>
      <c r="S739" s="126">
        <f>IF(R739="","",R739-IF(O739="",0,O739)-OrderBuf)</f>
        <v/>
      </c>
      <c r="T739" s="126">
        <f>IF(S739="","",S739-DecideBuf)</f>
        <v/>
      </c>
      <c r="U739" s="74" t="n"/>
      <c r="V739" s="109" t="n"/>
      <c r="W739" s="109" t="n"/>
      <c r="X739" s="74" t="n"/>
      <c r="Y739" s="116">
        <f>IF(B739="","",IF(X739="Yes","Delivered",IF(U739="Yes",IF(AND(W739&lt;&gt;"",R739&lt;&gt;""),IF(W739&gt;R739,"⚠️ Delivery after install date","Ordered"),"Ordered"),IF(K739="",IF(T739="","Waiting for decision",IF(T739&lt;=AsOf+AlertDays,"Decide now","Waiting for decision")),IF(S739="","Selected",IF(AsOf&gt;S739,"⚠️ Order late — install at risk",IF(S739&lt;=AsOf+AlertDays,"Order now","Selected")))))))</f>
        <v/>
      </c>
      <c r="Z739" s="79">
        <f>IF(B739="","",IF(OR(AH739=1,AE739=1),2,IF(OR(AG739=1,AF739=1),1,IF(OR(Y739="Ordered",Y739="Delivered"),0,""))))</f>
        <v/>
      </c>
      <c r="AA739" s="112">
        <f>IF(B739="","",IF(AH739=1,IF(Y739="⚠️ Delivery after install date",R739,S739),IF(AD739=1,T739,IF(AI739=1,S739,""))))</f>
        <v/>
      </c>
      <c r="AB739" s="79">
        <f>IF(AA739="","",IF(AH739=1,1,IF(AA739="","",IF(AA739&lt;AsOf,1,IF(AA739&lt;=AsOf+AlertDays,2,IF(AA739&lt;=AsOf+2*AlertDays,3,""))))))</f>
        <v/>
      </c>
      <c r="AC739" s="79">
        <f>IF(AB739="","",IF(AH739=1,IF(Y739="⚠️ Delivery after install date","Delivery after install date: "&amp;B739,"Order late — install at risk: "&amp;B739),IF(AD739=1,IF(AB739=1,"Decision overdue: ","Decide: ")&amp;B739,"Order: "&amp;B739&amp;IF(N739="",""," from "&amp;N739))))</f>
        <v/>
      </c>
      <c r="AD739" s="79">
        <f>IF(AND(B739&lt;&gt;"",K739="",U739&lt;&gt;"Yes",X739&lt;&gt;"Yes"),1,0)</f>
        <v/>
      </c>
      <c r="AE739" s="79">
        <f>IF(AND(AD739=1,T739&lt;&gt;""),IF(T739&lt;AsOf,1,0),0)</f>
        <v/>
      </c>
      <c r="AF739" s="79">
        <f>IF(AND(AD739=1,T739&lt;&gt;""),IF(AND(T739&gt;=AsOf,T739&lt;=AsOf+AlertDays),1,0),0)</f>
        <v/>
      </c>
      <c r="AG739" s="79">
        <f>IF(Y739="Order now",1,0)</f>
        <v/>
      </c>
      <c r="AH739" s="79">
        <f>IF(OR(Y739="⚠️ Order late — install at risk",Y739="⚠️ Delivery after install date"),1,0)</f>
        <v/>
      </c>
      <c r="AI739" s="79">
        <f>IF(AND(B739&lt;&gt;"",K739&lt;&gt;"",U739&lt;&gt;"Yes",X739&lt;&gt;"Yes"),1,0)</f>
        <v/>
      </c>
      <c r="AJ739" s="79">
        <f>IF(Y739="⚠️ Order late — install at risk",1,0)</f>
        <v/>
      </c>
    </row>
    <row r="740" ht="20" customHeight="1">
      <c r="B740" s="72" t="n"/>
      <c r="C740" s="72" t="n"/>
      <c r="D740" s="72" t="n"/>
      <c r="E740" s="72" t="n"/>
      <c r="F740" s="73" t="n"/>
      <c r="G740" s="72" t="n"/>
      <c r="H740" s="73" t="n"/>
      <c r="I740" s="72" t="n"/>
      <c r="J740" s="73" t="n"/>
      <c r="K740" s="74" t="n"/>
      <c r="L740" s="75">
        <f>IF(K740="A",F740,IF(K740="B",H740,IF(K740="C",J740,"")))</f>
        <v/>
      </c>
      <c r="M740" s="72" t="n"/>
      <c r="N740" s="72" t="n"/>
      <c r="O740" s="89" t="n"/>
      <c r="P740" s="89" t="n"/>
      <c r="Q740" s="109" t="n"/>
      <c r="R740" s="120">
        <f>IF(B740="","",IF(Q740&lt;&gt;"",Q740,IF(P740="","",IFERROR(INDEX('Timeline'!$J$7:$J$1006,MATCH(P740,'Timeline'!$B$7:$B$1006,0)),""))))</f>
        <v/>
      </c>
      <c r="S740" s="126">
        <f>IF(R740="","",R740-IF(O740="",0,O740)-OrderBuf)</f>
        <v/>
      </c>
      <c r="T740" s="126">
        <f>IF(S740="","",S740-DecideBuf)</f>
        <v/>
      </c>
      <c r="U740" s="74" t="n"/>
      <c r="V740" s="109" t="n"/>
      <c r="W740" s="109" t="n"/>
      <c r="X740" s="74" t="n"/>
      <c r="Y740" s="116">
        <f>IF(B740="","",IF(X740="Yes","Delivered",IF(U740="Yes",IF(AND(W740&lt;&gt;"",R740&lt;&gt;""),IF(W740&gt;R740,"⚠️ Delivery after install date","Ordered"),"Ordered"),IF(K740="",IF(T740="","Waiting for decision",IF(T740&lt;=AsOf+AlertDays,"Decide now","Waiting for decision")),IF(S740="","Selected",IF(AsOf&gt;S740,"⚠️ Order late — install at risk",IF(S740&lt;=AsOf+AlertDays,"Order now","Selected")))))))</f>
        <v/>
      </c>
      <c r="Z740" s="79">
        <f>IF(B740="","",IF(OR(AH740=1,AE740=1),2,IF(OR(AG740=1,AF740=1),1,IF(OR(Y740="Ordered",Y740="Delivered"),0,""))))</f>
        <v/>
      </c>
      <c r="AA740" s="112">
        <f>IF(B740="","",IF(AH740=1,IF(Y740="⚠️ Delivery after install date",R740,S740),IF(AD740=1,T740,IF(AI740=1,S740,""))))</f>
        <v/>
      </c>
      <c r="AB740" s="79">
        <f>IF(AA740="","",IF(AH740=1,1,IF(AA740="","",IF(AA740&lt;AsOf,1,IF(AA740&lt;=AsOf+AlertDays,2,IF(AA740&lt;=AsOf+2*AlertDays,3,""))))))</f>
        <v/>
      </c>
      <c r="AC740" s="79">
        <f>IF(AB740="","",IF(AH740=1,IF(Y740="⚠️ Delivery after install date","Delivery after install date: "&amp;B740,"Order late — install at risk: "&amp;B740),IF(AD740=1,IF(AB740=1,"Decision overdue: ","Decide: ")&amp;B740,"Order: "&amp;B740&amp;IF(N740="",""," from "&amp;N740))))</f>
        <v/>
      </c>
      <c r="AD740" s="79">
        <f>IF(AND(B740&lt;&gt;"",K740="",U740&lt;&gt;"Yes",X740&lt;&gt;"Yes"),1,0)</f>
        <v/>
      </c>
      <c r="AE740" s="79">
        <f>IF(AND(AD740=1,T740&lt;&gt;""),IF(T740&lt;AsOf,1,0),0)</f>
        <v/>
      </c>
      <c r="AF740" s="79">
        <f>IF(AND(AD740=1,T740&lt;&gt;""),IF(AND(T740&gt;=AsOf,T740&lt;=AsOf+AlertDays),1,0),0)</f>
        <v/>
      </c>
      <c r="AG740" s="79">
        <f>IF(Y740="Order now",1,0)</f>
        <v/>
      </c>
      <c r="AH740" s="79">
        <f>IF(OR(Y740="⚠️ Order late — install at risk",Y740="⚠️ Delivery after install date"),1,0)</f>
        <v/>
      </c>
      <c r="AI740" s="79">
        <f>IF(AND(B740&lt;&gt;"",K740&lt;&gt;"",U740&lt;&gt;"Yes",X740&lt;&gt;"Yes"),1,0)</f>
        <v/>
      </c>
      <c r="AJ740" s="79">
        <f>IF(Y740="⚠️ Order late — install at risk",1,0)</f>
        <v/>
      </c>
    </row>
    <row r="741" ht="20" customHeight="1">
      <c r="B741" s="72" t="n"/>
      <c r="C741" s="72" t="n"/>
      <c r="D741" s="72" t="n"/>
      <c r="E741" s="72" t="n"/>
      <c r="F741" s="73" t="n"/>
      <c r="G741" s="72" t="n"/>
      <c r="H741" s="73" t="n"/>
      <c r="I741" s="72" t="n"/>
      <c r="J741" s="73" t="n"/>
      <c r="K741" s="74" t="n"/>
      <c r="L741" s="75">
        <f>IF(K741="A",F741,IF(K741="B",H741,IF(K741="C",J741,"")))</f>
        <v/>
      </c>
      <c r="M741" s="72" t="n"/>
      <c r="N741" s="72" t="n"/>
      <c r="O741" s="89" t="n"/>
      <c r="P741" s="89" t="n"/>
      <c r="Q741" s="109" t="n"/>
      <c r="R741" s="120">
        <f>IF(B741="","",IF(Q741&lt;&gt;"",Q741,IF(P741="","",IFERROR(INDEX('Timeline'!$J$7:$J$1006,MATCH(P741,'Timeline'!$B$7:$B$1006,0)),""))))</f>
        <v/>
      </c>
      <c r="S741" s="126">
        <f>IF(R741="","",R741-IF(O741="",0,O741)-OrderBuf)</f>
        <v/>
      </c>
      <c r="T741" s="126">
        <f>IF(S741="","",S741-DecideBuf)</f>
        <v/>
      </c>
      <c r="U741" s="74" t="n"/>
      <c r="V741" s="109" t="n"/>
      <c r="W741" s="109" t="n"/>
      <c r="X741" s="74" t="n"/>
      <c r="Y741" s="116">
        <f>IF(B741="","",IF(X741="Yes","Delivered",IF(U741="Yes",IF(AND(W741&lt;&gt;"",R741&lt;&gt;""),IF(W741&gt;R741,"⚠️ Delivery after install date","Ordered"),"Ordered"),IF(K741="",IF(T741="","Waiting for decision",IF(T741&lt;=AsOf+AlertDays,"Decide now","Waiting for decision")),IF(S741="","Selected",IF(AsOf&gt;S741,"⚠️ Order late — install at risk",IF(S741&lt;=AsOf+AlertDays,"Order now","Selected")))))))</f>
        <v/>
      </c>
      <c r="Z741" s="79">
        <f>IF(B741="","",IF(OR(AH741=1,AE741=1),2,IF(OR(AG741=1,AF741=1),1,IF(OR(Y741="Ordered",Y741="Delivered"),0,""))))</f>
        <v/>
      </c>
      <c r="AA741" s="112">
        <f>IF(B741="","",IF(AH741=1,IF(Y741="⚠️ Delivery after install date",R741,S741),IF(AD741=1,T741,IF(AI741=1,S741,""))))</f>
        <v/>
      </c>
      <c r="AB741" s="79">
        <f>IF(AA741="","",IF(AH741=1,1,IF(AA741="","",IF(AA741&lt;AsOf,1,IF(AA741&lt;=AsOf+AlertDays,2,IF(AA741&lt;=AsOf+2*AlertDays,3,""))))))</f>
        <v/>
      </c>
      <c r="AC741" s="79">
        <f>IF(AB741="","",IF(AH741=1,IF(Y741="⚠️ Delivery after install date","Delivery after install date: "&amp;B741,"Order late — install at risk: "&amp;B741),IF(AD741=1,IF(AB741=1,"Decision overdue: ","Decide: ")&amp;B741,"Order: "&amp;B741&amp;IF(N741="",""," from "&amp;N741))))</f>
        <v/>
      </c>
      <c r="AD741" s="79">
        <f>IF(AND(B741&lt;&gt;"",K741="",U741&lt;&gt;"Yes",X741&lt;&gt;"Yes"),1,0)</f>
        <v/>
      </c>
      <c r="AE741" s="79">
        <f>IF(AND(AD741=1,T741&lt;&gt;""),IF(T741&lt;AsOf,1,0),0)</f>
        <v/>
      </c>
      <c r="AF741" s="79">
        <f>IF(AND(AD741=1,T741&lt;&gt;""),IF(AND(T741&gt;=AsOf,T741&lt;=AsOf+AlertDays),1,0),0)</f>
        <v/>
      </c>
      <c r="AG741" s="79">
        <f>IF(Y741="Order now",1,0)</f>
        <v/>
      </c>
      <c r="AH741" s="79">
        <f>IF(OR(Y741="⚠️ Order late — install at risk",Y741="⚠️ Delivery after install date"),1,0)</f>
        <v/>
      </c>
      <c r="AI741" s="79">
        <f>IF(AND(B741&lt;&gt;"",K741&lt;&gt;"",U741&lt;&gt;"Yes",X741&lt;&gt;"Yes"),1,0)</f>
        <v/>
      </c>
      <c r="AJ741" s="79">
        <f>IF(Y741="⚠️ Order late — install at risk",1,0)</f>
        <v/>
      </c>
    </row>
    <row r="742" ht="20" customHeight="1">
      <c r="B742" s="72" t="n"/>
      <c r="C742" s="72" t="n"/>
      <c r="D742" s="72" t="n"/>
      <c r="E742" s="72" t="n"/>
      <c r="F742" s="73" t="n"/>
      <c r="G742" s="72" t="n"/>
      <c r="H742" s="73" t="n"/>
      <c r="I742" s="72" t="n"/>
      <c r="J742" s="73" t="n"/>
      <c r="K742" s="74" t="n"/>
      <c r="L742" s="75">
        <f>IF(K742="A",F742,IF(K742="B",H742,IF(K742="C",J742,"")))</f>
        <v/>
      </c>
      <c r="M742" s="72" t="n"/>
      <c r="N742" s="72" t="n"/>
      <c r="O742" s="89" t="n"/>
      <c r="P742" s="89" t="n"/>
      <c r="Q742" s="109" t="n"/>
      <c r="R742" s="120">
        <f>IF(B742="","",IF(Q742&lt;&gt;"",Q742,IF(P742="","",IFERROR(INDEX('Timeline'!$J$7:$J$1006,MATCH(P742,'Timeline'!$B$7:$B$1006,0)),""))))</f>
        <v/>
      </c>
      <c r="S742" s="126">
        <f>IF(R742="","",R742-IF(O742="",0,O742)-OrderBuf)</f>
        <v/>
      </c>
      <c r="T742" s="126">
        <f>IF(S742="","",S742-DecideBuf)</f>
        <v/>
      </c>
      <c r="U742" s="74" t="n"/>
      <c r="V742" s="109" t="n"/>
      <c r="W742" s="109" t="n"/>
      <c r="X742" s="74" t="n"/>
      <c r="Y742" s="116">
        <f>IF(B742="","",IF(X742="Yes","Delivered",IF(U742="Yes",IF(AND(W742&lt;&gt;"",R742&lt;&gt;""),IF(W742&gt;R742,"⚠️ Delivery after install date","Ordered"),"Ordered"),IF(K742="",IF(T742="","Waiting for decision",IF(T742&lt;=AsOf+AlertDays,"Decide now","Waiting for decision")),IF(S742="","Selected",IF(AsOf&gt;S742,"⚠️ Order late — install at risk",IF(S742&lt;=AsOf+AlertDays,"Order now","Selected")))))))</f>
        <v/>
      </c>
      <c r="Z742" s="79">
        <f>IF(B742="","",IF(OR(AH742=1,AE742=1),2,IF(OR(AG742=1,AF742=1),1,IF(OR(Y742="Ordered",Y742="Delivered"),0,""))))</f>
        <v/>
      </c>
      <c r="AA742" s="112">
        <f>IF(B742="","",IF(AH742=1,IF(Y742="⚠️ Delivery after install date",R742,S742),IF(AD742=1,T742,IF(AI742=1,S742,""))))</f>
        <v/>
      </c>
      <c r="AB742" s="79">
        <f>IF(AA742="","",IF(AH742=1,1,IF(AA742="","",IF(AA742&lt;AsOf,1,IF(AA742&lt;=AsOf+AlertDays,2,IF(AA742&lt;=AsOf+2*AlertDays,3,""))))))</f>
        <v/>
      </c>
      <c r="AC742" s="79">
        <f>IF(AB742="","",IF(AH742=1,IF(Y742="⚠️ Delivery after install date","Delivery after install date: "&amp;B742,"Order late — install at risk: "&amp;B742),IF(AD742=1,IF(AB742=1,"Decision overdue: ","Decide: ")&amp;B742,"Order: "&amp;B742&amp;IF(N742="",""," from "&amp;N742))))</f>
        <v/>
      </c>
      <c r="AD742" s="79">
        <f>IF(AND(B742&lt;&gt;"",K742="",U742&lt;&gt;"Yes",X742&lt;&gt;"Yes"),1,0)</f>
        <v/>
      </c>
      <c r="AE742" s="79">
        <f>IF(AND(AD742=1,T742&lt;&gt;""),IF(T742&lt;AsOf,1,0),0)</f>
        <v/>
      </c>
      <c r="AF742" s="79">
        <f>IF(AND(AD742=1,T742&lt;&gt;""),IF(AND(T742&gt;=AsOf,T742&lt;=AsOf+AlertDays),1,0),0)</f>
        <v/>
      </c>
      <c r="AG742" s="79">
        <f>IF(Y742="Order now",1,0)</f>
        <v/>
      </c>
      <c r="AH742" s="79">
        <f>IF(OR(Y742="⚠️ Order late — install at risk",Y742="⚠️ Delivery after install date"),1,0)</f>
        <v/>
      </c>
      <c r="AI742" s="79">
        <f>IF(AND(B742&lt;&gt;"",K742&lt;&gt;"",U742&lt;&gt;"Yes",X742&lt;&gt;"Yes"),1,0)</f>
        <v/>
      </c>
      <c r="AJ742" s="79">
        <f>IF(Y742="⚠️ Order late — install at risk",1,0)</f>
        <v/>
      </c>
    </row>
    <row r="743" ht="20" customHeight="1">
      <c r="B743" s="72" t="n"/>
      <c r="C743" s="72" t="n"/>
      <c r="D743" s="72" t="n"/>
      <c r="E743" s="72" t="n"/>
      <c r="F743" s="73" t="n"/>
      <c r="G743" s="72" t="n"/>
      <c r="H743" s="73" t="n"/>
      <c r="I743" s="72" t="n"/>
      <c r="J743" s="73" t="n"/>
      <c r="K743" s="74" t="n"/>
      <c r="L743" s="75">
        <f>IF(K743="A",F743,IF(K743="B",H743,IF(K743="C",J743,"")))</f>
        <v/>
      </c>
      <c r="M743" s="72" t="n"/>
      <c r="N743" s="72" t="n"/>
      <c r="O743" s="89" t="n"/>
      <c r="P743" s="89" t="n"/>
      <c r="Q743" s="109" t="n"/>
      <c r="R743" s="120">
        <f>IF(B743="","",IF(Q743&lt;&gt;"",Q743,IF(P743="","",IFERROR(INDEX('Timeline'!$J$7:$J$1006,MATCH(P743,'Timeline'!$B$7:$B$1006,0)),""))))</f>
        <v/>
      </c>
      <c r="S743" s="126">
        <f>IF(R743="","",R743-IF(O743="",0,O743)-OrderBuf)</f>
        <v/>
      </c>
      <c r="T743" s="126">
        <f>IF(S743="","",S743-DecideBuf)</f>
        <v/>
      </c>
      <c r="U743" s="74" t="n"/>
      <c r="V743" s="109" t="n"/>
      <c r="W743" s="109" t="n"/>
      <c r="X743" s="74" t="n"/>
      <c r="Y743" s="116">
        <f>IF(B743="","",IF(X743="Yes","Delivered",IF(U743="Yes",IF(AND(W743&lt;&gt;"",R743&lt;&gt;""),IF(W743&gt;R743,"⚠️ Delivery after install date","Ordered"),"Ordered"),IF(K743="",IF(T743="","Waiting for decision",IF(T743&lt;=AsOf+AlertDays,"Decide now","Waiting for decision")),IF(S743="","Selected",IF(AsOf&gt;S743,"⚠️ Order late — install at risk",IF(S743&lt;=AsOf+AlertDays,"Order now","Selected")))))))</f>
        <v/>
      </c>
      <c r="Z743" s="79">
        <f>IF(B743="","",IF(OR(AH743=1,AE743=1),2,IF(OR(AG743=1,AF743=1),1,IF(OR(Y743="Ordered",Y743="Delivered"),0,""))))</f>
        <v/>
      </c>
      <c r="AA743" s="112">
        <f>IF(B743="","",IF(AH743=1,IF(Y743="⚠️ Delivery after install date",R743,S743),IF(AD743=1,T743,IF(AI743=1,S743,""))))</f>
        <v/>
      </c>
      <c r="AB743" s="79">
        <f>IF(AA743="","",IF(AH743=1,1,IF(AA743="","",IF(AA743&lt;AsOf,1,IF(AA743&lt;=AsOf+AlertDays,2,IF(AA743&lt;=AsOf+2*AlertDays,3,""))))))</f>
        <v/>
      </c>
      <c r="AC743" s="79">
        <f>IF(AB743="","",IF(AH743=1,IF(Y743="⚠️ Delivery after install date","Delivery after install date: "&amp;B743,"Order late — install at risk: "&amp;B743),IF(AD743=1,IF(AB743=1,"Decision overdue: ","Decide: ")&amp;B743,"Order: "&amp;B743&amp;IF(N743="",""," from "&amp;N743))))</f>
        <v/>
      </c>
      <c r="AD743" s="79">
        <f>IF(AND(B743&lt;&gt;"",K743="",U743&lt;&gt;"Yes",X743&lt;&gt;"Yes"),1,0)</f>
        <v/>
      </c>
      <c r="AE743" s="79">
        <f>IF(AND(AD743=1,T743&lt;&gt;""),IF(T743&lt;AsOf,1,0),0)</f>
        <v/>
      </c>
      <c r="AF743" s="79">
        <f>IF(AND(AD743=1,T743&lt;&gt;""),IF(AND(T743&gt;=AsOf,T743&lt;=AsOf+AlertDays),1,0),0)</f>
        <v/>
      </c>
      <c r="AG743" s="79">
        <f>IF(Y743="Order now",1,0)</f>
        <v/>
      </c>
      <c r="AH743" s="79">
        <f>IF(OR(Y743="⚠️ Order late — install at risk",Y743="⚠️ Delivery after install date"),1,0)</f>
        <v/>
      </c>
      <c r="AI743" s="79">
        <f>IF(AND(B743&lt;&gt;"",K743&lt;&gt;"",U743&lt;&gt;"Yes",X743&lt;&gt;"Yes"),1,0)</f>
        <v/>
      </c>
      <c r="AJ743" s="79">
        <f>IF(Y743="⚠️ Order late — install at risk",1,0)</f>
        <v/>
      </c>
    </row>
    <row r="744" ht="20" customHeight="1">
      <c r="B744" s="72" t="n"/>
      <c r="C744" s="72" t="n"/>
      <c r="D744" s="72" t="n"/>
      <c r="E744" s="72" t="n"/>
      <c r="F744" s="73" t="n"/>
      <c r="G744" s="72" t="n"/>
      <c r="H744" s="73" t="n"/>
      <c r="I744" s="72" t="n"/>
      <c r="J744" s="73" t="n"/>
      <c r="K744" s="74" t="n"/>
      <c r="L744" s="75">
        <f>IF(K744="A",F744,IF(K744="B",H744,IF(K744="C",J744,"")))</f>
        <v/>
      </c>
      <c r="M744" s="72" t="n"/>
      <c r="N744" s="72" t="n"/>
      <c r="O744" s="89" t="n"/>
      <c r="P744" s="89" t="n"/>
      <c r="Q744" s="109" t="n"/>
      <c r="R744" s="120">
        <f>IF(B744="","",IF(Q744&lt;&gt;"",Q744,IF(P744="","",IFERROR(INDEX('Timeline'!$J$7:$J$1006,MATCH(P744,'Timeline'!$B$7:$B$1006,0)),""))))</f>
        <v/>
      </c>
      <c r="S744" s="126">
        <f>IF(R744="","",R744-IF(O744="",0,O744)-OrderBuf)</f>
        <v/>
      </c>
      <c r="T744" s="126">
        <f>IF(S744="","",S744-DecideBuf)</f>
        <v/>
      </c>
      <c r="U744" s="74" t="n"/>
      <c r="V744" s="109" t="n"/>
      <c r="W744" s="109" t="n"/>
      <c r="X744" s="74" t="n"/>
      <c r="Y744" s="116">
        <f>IF(B744="","",IF(X744="Yes","Delivered",IF(U744="Yes",IF(AND(W744&lt;&gt;"",R744&lt;&gt;""),IF(W744&gt;R744,"⚠️ Delivery after install date","Ordered"),"Ordered"),IF(K744="",IF(T744="","Waiting for decision",IF(T744&lt;=AsOf+AlertDays,"Decide now","Waiting for decision")),IF(S744="","Selected",IF(AsOf&gt;S744,"⚠️ Order late — install at risk",IF(S744&lt;=AsOf+AlertDays,"Order now","Selected")))))))</f>
        <v/>
      </c>
      <c r="Z744" s="79">
        <f>IF(B744="","",IF(OR(AH744=1,AE744=1),2,IF(OR(AG744=1,AF744=1),1,IF(OR(Y744="Ordered",Y744="Delivered"),0,""))))</f>
        <v/>
      </c>
      <c r="AA744" s="112">
        <f>IF(B744="","",IF(AH744=1,IF(Y744="⚠️ Delivery after install date",R744,S744),IF(AD744=1,T744,IF(AI744=1,S744,""))))</f>
        <v/>
      </c>
      <c r="AB744" s="79">
        <f>IF(AA744="","",IF(AH744=1,1,IF(AA744="","",IF(AA744&lt;AsOf,1,IF(AA744&lt;=AsOf+AlertDays,2,IF(AA744&lt;=AsOf+2*AlertDays,3,""))))))</f>
        <v/>
      </c>
      <c r="AC744" s="79">
        <f>IF(AB744="","",IF(AH744=1,IF(Y744="⚠️ Delivery after install date","Delivery after install date: "&amp;B744,"Order late — install at risk: "&amp;B744),IF(AD744=1,IF(AB744=1,"Decision overdue: ","Decide: ")&amp;B744,"Order: "&amp;B744&amp;IF(N744="",""," from "&amp;N744))))</f>
        <v/>
      </c>
      <c r="AD744" s="79">
        <f>IF(AND(B744&lt;&gt;"",K744="",U744&lt;&gt;"Yes",X744&lt;&gt;"Yes"),1,0)</f>
        <v/>
      </c>
      <c r="AE744" s="79">
        <f>IF(AND(AD744=1,T744&lt;&gt;""),IF(T744&lt;AsOf,1,0),0)</f>
        <v/>
      </c>
      <c r="AF744" s="79">
        <f>IF(AND(AD744=1,T744&lt;&gt;""),IF(AND(T744&gt;=AsOf,T744&lt;=AsOf+AlertDays),1,0),0)</f>
        <v/>
      </c>
      <c r="AG744" s="79">
        <f>IF(Y744="Order now",1,0)</f>
        <v/>
      </c>
      <c r="AH744" s="79">
        <f>IF(OR(Y744="⚠️ Order late — install at risk",Y744="⚠️ Delivery after install date"),1,0)</f>
        <v/>
      </c>
      <c r="AI744" s="79">
        <f>IF(AND(B744&lt;&gt;"",K744&lt;&gt;"",U744&lt;&gt;"Yes",X744&lt;&gt;"Yes"),1,0)</f>
        <v/>
      </c>
      <c r="AJ744" s="79">
        <f>IF(Y744="⚠️ Order late — install at risk",1,0)</f>
        <v/>
      </c>
    </row>
    <row r="745" ht="20" customHeight="1">
      <c r="B745" s="72" t="n"/>
      <c r="C745" s="72" t="n"/>
      <c r="D745" s="72" t="n"/>
      <c r="E745" s="72" t="n"/>
      <c r="F745" s="73" t="n"/>
      <c r="G745" s="72" t="n"/>
      <c r="H745" s="73" t="n"/>
      <c r="I745" s="72" t="n"/>
      <c r="J745" s="73" t="n"/>
      <c r="K745" s="74" t="n"/>
      <c r="L745" s="75">
        <f>IF(K745="A",F745,IF(K745="B",H745,IF(K745="C",J745,"")))</f>
        <v/>
      </c>
      <c r="M745" s="72" t="n"/>
      <c r="N745" s="72" t="n"/>
      <c r="O745" s="89" t="n"/>
      <c r="P745" s="89" t="n"/>
      <c r="Q745" s="109" t="n"/>
      <c r="R745" s="120">
        <f>IF(B745="","",IF(Q745&lt;&gt;"",Q745,IF(P745="","",IFERROR(INDEX('Timeline'!$J$7:$J$1006,MATCH(P745,'Timeline'!$B$7:$B$1006,0)),""))))</f>
        <v/>
      </c>
      <c r="S745" s="126">
        <f>IF(R745="","",R745-IF(O745="",0,O745)-OrderBuf)</f>
        <v/>
      </c>
      <c r="T745" s="126">
        <f>IF(S745="","",S745-DecideBuf)</f>
        <v/>
      </c>
      <c r="U745" s="74" t="n"/>
      <c r="V745" s="109" t="n"/>
      <c r="W745" s="109" t="n"/>
      <c r="X745" s="74" t="n"/>
      <c r="Y745" s="116">
        <f>IF(B745="","",IF(X745="Yes","Delivered",IF(U745="Yes",IF(AND(W745&lt;&gt;"",R745&lt;&gt;""),IF(W745&gt;R745,"⚠️ Delivery after install date","Ordered"),"Ordered"),IF(K745="",IF(T745="","Waiting for decision",IF(T745&lt;=AsOf+AlertDays,"Decide now","Waiting for decision")),IF(S745="","Selected",IF(AsOf&gt;S745,"⚠️ Order late — install at risk",IF(S745&lt;=AsOf+AlertDays,"Order now","Selected")))))))</f>
        <v/>
      </c>
      <c r="Z745" s="79">
        <f>IF(B745="","",IF(OR(AH745=1,AE745=1),2,IF(OR(AG745=1,AF745=1),1,IF(OR(Y745="Ordered",Y745="Delivered"),0,""))))</f>
        <v/>
      </c>
      <c r="AA745" s="112">
        <f>IF(B745="","",IF(AH745=1,IF(Y745="⚠️ Delivery after install date",R745,S745),IF(AD745=1,T745,IF(AI745=1,S745,""))))</f>
        <v/>
      </c>
      <c r="AB745" s="79">
        <f>IF(AA745="","",IF(AH745=1,1,IF(AA745="","",IF(AA745&lt;AsOf,1,IF(AA745&lt;=AsOf+AlertDays,2,IF(AA745&lt;=AsOf+2*AlertDays,3,""))))))</f>
        <v/>
      </c>
      <c r="AC745" s="79">
        <f>IF(AB745="","",IF(AH745=1,IF(Y745="⚠️ Delivery after install date","Delivery after install date: "&amp;B745,"Order late — install at risk: "&amp;B745),IF(AD745=1,IF(AB745=1,"Decision overdue: ","Decide: ")&amp;B745,"Order: "&amp;B745&amp;IF(N745="",""," from "&amp;N745))))</f>
        <v/>
      </c>
      <c r="AD745" s="79">
        <f>IF(AND(B745&lt;&gt;"",K745="",U745&lt;&gt;"Yes",X745&lt;&gt;"Yes"),1,0)</f>
        <v/>
      </c>
      <c r="AE745" s="79">
        <f>IF(AND(AD745=1,T745&lt;&gt;""),IF(T745&lt;AsOf,1,0),0)</f>
        <v/>
      </c>
      <c r="AF745" s="79">
        <f>IF(AND(AD745=1,T745&lt;&gt;""),IF(AND(T745&gt;=AsOf,T745&lt;=AsOf+AlertDays),1,0),0)</f>
        <v/>
      </c>
      <c r="AG745" s="79">
        <f>IF(Y745="Order now",1,0)</f>
        <v/>
      </c>
      <c r="AH745" s="79">
        <f>IF(OR(Y745="⚠️ Order late — install at risk",Y745="⚠️ Delivery after install date"),1,0)</f>
        <v/>
      </c>
      <c r="AI745" s="79">
        <f>IF(AND(B745&lt;&gt;"",K745&lt;&gt;"",U745&lt;&gt;"Yes",X745&lt;&gt;"Yes"),1,0)</f>
        <v/>
      </c>
      <c r="AJ745" s="79">
        <f>IF(Y745="⚠️ Order late — install at risk",1,0)</f>
        <v/>
      </c>
    </row>
    <row r="746" ht="20" customHeight="1">
      <c r="B746" s="72" t="n"/>
      <c r="C746" s="72" t="n"/>
      <c r="D746" s="72" t="n"/>
      <c r="E746" s="72" t="n"/>
      <c r="F746" s="73" t="n"/>
      <c r="G746" s="72" t="n"/>
      <c r="H746" s="73" t="n"/>
      <c r="I746" s="72" t="n"/>
      <c r="J746" s="73" t="n"/>
      <c r="K746" s="74" t="n"/>
      <c r="L746" s="75">
        <f>IF(K746="A",F746,IF(K746="B",H746,IF(K746="C",J746,"")))</f>
        <v/>
      </c>
      <c r="M746" s="72" t="n"/>
      <c r="N746" s="72" t="n"/>
      <c r="O746" s="89" t="n"/>
      <c r="P746" s="89" t="n"/>
      <c r="Q746" s="109" t="n"/>
      <c r="R746" s="120">
        <f>IF(B746="","",IF(Q746&lt;&gt;"",Q746,IF(P746="","",IFERROR(INDEX('Timeline'!$J$7:$J$1006,MATCH(P746,'Timeline'!$B$7:$B$1006,0)),""))))</f>
        <v/>
      </c>
      <c r="S746" s="126">
        <f>IF(R746="","",R746-IF(O746="",0,O746)-OrderBuf)</f>
        <v/>
      </c>
      <c r="T746" s="126">
        <f>IF(S746="","",S746-DecideBuf)</f>
        <v/>
      </c>
      <c r="U746" s="74" t="n"/>
      <c r="V746" s="109" t="n"/>
      <c r="W746" s="109" t="n"/>
      <c r="X746" s="74" t="n"/>
      <c r="Y746" s="116">
        <f>IF(B746="","",IF(X746="Yes","Delivered",IF(U746="Yes",IF(AND(W746&lt;&gt;"",R746&lt;&gt;""),IF(W746&gt;R746,"⚠️ Delivery after install date","Ordered"),"Ordered"),IF(K746="",IF(T746="","Waiting for decision",IF(T746&lt;=AsOf+AlertDays,"Decide now","Waiting for decision")),IF(S746="","Selected",IF(AsOf&gt;S746,"⚠️ Order late — install at risk",IF(S746&lt;=AsOf+AlertDays,"Order now","Selected")))))))</f>
        <v/>
      </c>
      <c r="Z746" s="79">
        <f>IF(B746="","",IF(OR(AH746=1,AE746=1),2,IF(OR(AG746=1,AF746=1),1,IF(OR(Y746="Ordered",Y746="Delivered"),0,""))))</f>
        <v/>
      </c>
      <c r="AA746" s="112">
        <f>IF(B746="","",IF(AH746=1,IF(Y746="⚠️ Delivery after install date",R746,S746),IF(AD746=1,T746,IF(AI746=1,S746,""))))</f>
        <v/>
      </c>
      <c r="AB746" s="79">
        <f>IF(AA746="","",IF(AH746=1,1,IF(AA746="","",IF(AA746&lt;AsOf,1,IF(AA746&lt;=AsOf+AlertDays,2,IF(AA746&lt;=AsOf+2*AlertDays,3,""))))))</f>
        <v/>
      </c>
      <c r="AC746" s="79">
        <f>IF(AB746="","",IF(AH746=1,IF(Y746="⚠️ Delivery after install date","Delivery after install date: "&amp;B746,"Order late — install at risk: "&amp;B746),IF(AD746=1,IF(AB746=1,"Decision overdue: ","Decide: ")&amp;B746,"Order: "&amp;B746&amp;IF(N746="",""," from "&amp;N746))))</f>
        <v/>
      </c>
      <c r="AD746" s="79">
        <f>IF(AND(B746&lt;&gt;"",K746="",U746&lt;&gt;"Yes",X746&lt;&gt;"Yes"),1,0)</f>
        <v/>
      </c>
      <c r="AE746" s="79">
        <f>IF(AND(AD746=1,T746&lt;&gt;""),IF(T746&lt;AsOf,1,0),0)</f>
        <v/>
      </c>
      <c r="AF746" s="79">
        <f>IF(AND(AD746=1,T746&lt;&gt;""),IF(AND(T746&gt;=AsOf,T746&lt;=AsOf+AlertDays),1,0),0)</f>
        <v/>
      </c>
      <c r="AG746" s="79">
        <f>IF(Y746="Order now",1,0)</f>
        <v/>
      </c>
      <c r="AH746" s="79">
        <f>IF(OR(Y746="⚠️ Order late — install at risk",Y746="⚠️ Delivery after install date"),1,0)</f>
        <v/>
      </c>
      <c r="AI746" s="79">
        <f>IF(AND(B746&lt;&gt;"",K746&lt;&gt;"",U746&lt;&gt;"Yes",X746&lt;&gt;"Yes"),1,0)</f>
        <v/>
      </c>
      <c r="AJ746" s="79">
        <f>IF(Y746="⚠️ Order late — install at risk",1,0)</f>
        <v/>
      </c>
    </row>
    <row r="747" ht="20" customHeight="1">
      <c r="B747" s="72" t="n"/>
      <c r="C747" s="72" t="n"/>
      <c r="D747" s="72" t="n"/>
      <c r="E747" s="72" t="n"/>
      <c r="F747" s="73" t="n"/>
      <c r="G747" s="72" t="n"/>
      <c r="H747" s="73" t="n"/>
      <c r="I747" s="72" t="n"/>
      <c r="J747" s="73" t="n"/>
      <c r="K747" s="74" t="n"/>
      <c r="L747" s="75">
        <f>IF(K747="A",F747,IF(K747="B",H747,IF(K747="C",J747,"")))</f>
        <v/>
      </c>
      <c r="M747" s="72" t="n"/>
      <c r="N747" s="72" t="n"/>
      <c r="O747" s="89" t="n"/>
      <c r="P747" s="89" t="n"/>
      <c r="Q747" s="109" t="n"/>
      <c r="R747" s="120">
        <f>IF(B747="","",IF(Q747&lt;&gt;"",Q747,IF(P747="","",IFERROR(INDEX('Timeline'!$J$7:$J$1006,MATCH(P747,'Timeline'!$B$7:$B$1006,0)),""))))</f>
        <v/>
      </c>
      <c r="S747" s="126">
        <f>IF(R747="","",R747-IF(O747="",0,O747)-OrderBuf)</f>
        <v/>
      </c>
      <c r="T747" s="126">
        <f>IF(S747="","",S747-DecideBuf)</f>
        <v/>
      </c>
      <c r="U747" s="74" t="n"/>
      <c r="V747" s="109" t="n"/>
      <c r="W747" s="109" t="n"/>
      <c r="X747" s="74" t="n"/>
      <c r="Y747" s="116">
        <f>IF(B747="","",IF(X747="Yes","Delivered",IF(U747="Yes",IF(AND(W747&lt;&gt;"",R747&lt;&gt;""),IF(W747&gt;R747,"⚠️ Delivery after install date","Ordered"),"Ordered"),IF(K747="",IF(T747="","Waiting for decision",IF(T747&lt;=AsOf+AlertDays,"Decide now","Waiting for decision")),IF(S747="","Selected",IF(AsOf&gt;S747,"⚠️ Order late — install at risk",IF(S747&lt;=AsOf+AlertDays,"Order now","Selected")))))))</f>
        <v/>
      </c>
      <c r="Z747" s="79">
        <f>IF(B747="","",IF(OR(AH747=1,AE747=1),2,IF(OR(AG747=1,AF747=1),1,IF(OR(Y747="Ordered",Y747="Delivered"),0,""))))</f>
        <v/>
      </c>
      <c r="AA747" s="112">
        <f>IF(B747="","",IF(AH747=1,IF(Y747="⚠️ Delivery after install date",R747,S747),IF(AD747=1,T747,IF(AI747=1,S747,""))))</f>
        <v/>
      </c>
      <c r="AB747" s="79">
        <f>IF(AA747="","",IF(AH747=1,1,IF(AA747="","",IF(AA747&lt;AsOf,1,IF(AA747&lt;=AsOf+AlertDays,2,IF(AA747&lt;=AsOf+2*AlertDays,3,""))))))</f>
        <v/>
      </c>
      <c r="AC747" s="79">
        <f>IF(AB747="","",IF(AH747=1,IF(Y747="⚠️ Delivery after install date","Delivery after install date: "&amp;B747,"Order late — install at risk: "&amp;B747),IF(AD747=1,IF(AB747=1,"Decision overdue: ","Decide: ")&amp;B747,"Order: "&amp;B747&amp;IF(N747="",""," from "&amp;N747))))</f>
        <v/>
      </c>
      <c r="AD747" s="79">
        <f>IF(AND(B747&lt;&gt;"",K747="",U747&lt;&gt;"Yes",X747&lt;&gt;"Yes"),1,0)</f>
        <v/>
      </c>
      <c r="AE747" s="79">
        <f>IF(AND(AD747=1,T747&lt;&gt;""),IF(T747&lt;AsOf,1,0),0)</f>
        <v/>
      </c>
      <c r="AF747" s="79">
        <f>IF(AND(AD747=1,T747&lt;&gt;""),IF(AND(T747&gt;=AsOf,T747&lt;=AsOf+AlertDays),1,0),0)</f>
        <v/>
      </c>
      <c r="AG747" s="79">
        <f>IF(Y747="Order now",1,0)</f>
        <v/>
      </c>
      <c r="AH747" s="79">
        <f>IF(OR(Y747="⚠️ Order late — install at risk",Y747="⚠️ Delivery after install date"),1,0)</f>
        <v/>
      </c>
      <c r="AI747" s="79">
        <f>IF(AND(B747&lt;&gt;"",K747&lt;&gt;"",U747&lt;&gt;"Yes",X747&lt;&gt;"Yes"),1,0)</f>
        <v/>
      </c>
      <c r="AJ747" s="79">
        <f>IF(Y747="⚠️ Order late — install at risk",1,0)</f>
        <v/>
      </c>
    </row>
    <row r="748" ht="20" customHeight="1">
      <c r="B748" s="72" t="n"/>
      <c r="C748" s="72" t="n"/>
      <c r="D748" s="72" t="n"/>
      <c r="E748" s="72" t="n"/>
      <c r="F748" s="73" t="n"/>
      <c r="G748" s="72" t="n"/>
      <c r="H748" s="73" t="n"/>
      <c r="I748" s="72" t="n"/>
      <c r="J748" s="73" t="n"/>
      <c r="K748" s="74" t="n"/>
      <c r="L748" s="75">
        <f>IF(K748="A",F748,IF(K748="B",H748,IF(K748="C",J748,"")))</f>
        <v/>
      </c>
      <c r="M748" s="72" t="n"/>
      <c r="N748" s="72" t="n"/>
      <c r="O748" s="89" t="n"/>
      <c r="P748" s="89" t="n"/>
      <c r="Q748" s="109" t="n"/>
      <c r="R748" s="120">
        <f>IF(B748="","",IF(Q748&lt;&gt;"",Q748,IF(P748="","",IFERROR(INDEX('Timeline'!$J$7:$J$1006,MATCH(P748,'Timeline'!$B$7:$B$1006,0)),""))))</f>
        <v/>
      </c>
      <c r="S748" s="126">
        <f>IF(R748="","",R748-IF(O748="",0,O748)-OrderBuf)</f>
        <v/>
      </c>
      <c r="T748" s="126">
        <f>IF(S748="","",S748-DecideBuf)</f>
        <v/>
      </c>
      <c r="U748" s="74" t="n"/>
      <c r="V748" s="109" t="n"/>
      <c r="W748" s="109" t="n"/>
      <c r="X748" s="74" t="n"/>
      <c r="Y748" s="116">
        <f>IF(B748="","",IF(X748="Yes","Delivered",IF(U748="Yes",IF(AND(W748&lt;&gt;"",R748&lt;&gt;""),IF(W748&gt;R748,"⚠️ Delivery after install date","Ordered"),"Ordered"),IF(K748="",IF(T748="","Waiting for decision",IF(T748&lt;=AsOf+AlertDays,"Decide now","Waiting for decision")),IF(S748="","Selected",IF(AsOf&gt;S748,"⚠️ Order late — install at risk",IF(S748&lt;=AsOf+AlertDays,"Order now","Selected")))))))</f>
        <v/>
      </c>
      <c r="Z748" s="79">
        <f>IF(B748="","",IF(OR(AH748=1,AE748=1),2,IF(OR(AG748=1,AF748=1),1,IF(OR(Y748="Ordered",Y748="Delivered"),0,""))))</f>
        <v/>
      </c>
      <c r="AA748" s="112">
        <f>IF(B748="","",IF(AH748=1,IF(Y748="⚠️ Delivery after install date",R748,S748),IF(AD748=1,T748,IF(AI748=1,S748,""))))</f>
        <v/>
      </c>
      <c r="AB748" s="79">
        <f>IF(AA748="","",IF(AH748=1,1,IF(AA748="","",IF(AA748&lt;AsOf,1,IF(AA748&lt;=AsOf+AlertDays,2,IF(AA748&lt;=AsOf+2*AlertDays,3,""))))))</f>
        <v/>
      </c>
      <c r="AC748" s="79">
        <f>IF(AB748="","",IF(AH748=1,IF(Y748="⚠️ Delivery after install date","Delivery after install date: "&amp;B748,"Order late — install at risk: "&amp;B748),IF(AD748=1,IF(AB748=1,"Decision overdue: ","Decide: ")&amp;B748,"Order: "&amp;B748&amp;IF(N748="",""," from "&amp;N748))))</f>
        <v/>
      </c>
      <c r="AD748" s="79">
        <f>IF(AND(B748&lt;&gt;"",K748="",U748&lt;&gt;"Yes",X748&lt;&gt;"Yes"),1,0)</f>
        <v/>
      </c>
      <c r="AE748" s="79">
        <f>IF(AND(AD748=1,T748&lt;&gt;""),IF(T748&lt;AsOf,1,0),0)</f>
        <v/>
      </c>
      <c r="AF748" s="79">
        <f>IF(AND(AD748=1,T748&lt;&gt;""),IF(AND(T748&gt;=AsOf,T748&lt;=AsOf+AlertDays),1,0),0)</f>
        <v/>
      </c>
      <c r="AG748" s="79">
        <f>IF(Y748="Order now",1,0)</f>
        <v/>
      </c>
      <c r="AH748" s="79">
        <f>IF(OR(Y748="⚠️ Order late — install at risk",Y748="⚠️ Delivery after install date"),1,0)</f>
        <v/>
      </c>
      <c r="AI748" s="79">
        <f>IF(AND(B748&lt;&gt;"",K748&lt;&gt;"",U748&lt;&gt;"Yes",X748&lt;&gt;"Yes"),1,0)</f>
        <v/>
      </c>
      <c r="AJ748" s="79">
        <f>IF(Y748="⚠️ Order late — install at risk",1,0)</f>
        <v/>
      </c>
    </row>
    <row r="749" ht="20" customHeight="1">
      <c r="B749" s="72" t="n"/>
      <c r="C749" s="72" t="n"/>
      <c r="D749" s="72" t="n"/>
      <c r="E749" s="72" t="n"/>
      <c r="F749" s="73" t="n"/>
      <c r="G749" s="72" t="n"/>
      <c r="H749" s="73" t="n"/>
      <c r="I749" s="72" t="n"/>
      <c r="J749" s="73" t="n"/>
      <c r="K749" s="74" t="n"/>
      <c r="L749" s="75">
        <f>IF(K749="A",F749,IF(K749="B",H749,IF(K749="C",J749,"")))</f>
        <v/>
      </c>
      <c r="M749" s="72" t="n"/>
      <c r="N749" s="72" t="n"/>
      <c r="O749" s="89" t="n"/>
      <c r="P749" s="89" t="n"/>
      <c r="Q749" s="109" t="n"/>
      <c r="R749" s="120">
        <f>IF(B749="","",IF(Q749&lt;&gt;"",Q749,IF(P749="","",IFERROR(INDEX('Timeline'!$J$7:$J$1006,MATCH(P749,'Timeline'!$B$7:$B$1006,0)),""))))</f>
        <v/>
      </c>
      <c r="S749" s="126">
        <f>IF(R749="","",R749-IF(O749="",0,O749)-OrderBuf)</f>
        <v/>
      </c>
      <c r="T749" s="126">
        <f>IF(S749="","",S749-DecideBuf)</f>
        <v/>
      </c>
      <c r="U749" s="74" t="n"/>
      <c r="V749" s="109" t="n"/>
      <c r="W749" s="109" t="n"/>
      <c r="X749" s="74" t="n"/>
      <c r="Y749" s="116">
        <f>IF(B749="","",IF(X749="Yes","Delivered",IF(U749="Yes",IF(AND(W749&lt;&gt;"",R749&lt;&gt;""),IF(W749&gt;R749,"⚠️ Delivery after install date","Ordered"),"Ordered"),IF(K749="",IF(T749="","Waiting for decision",IF(T749&lt;=AsOf+AlertDays,"Decide now","Waiting for decision")),IF(S749="","Selected",IF(AsOf&gt;S749,"⚠️ Order late — install at risk",IF(S749&lt;=AsOf+AlertDays,"Order now","Selected")))))))</f>
        <v/>
      </c>
      <c r="Z749" s="79">
        <f>IF(B749="","",IF(OR(AH749=1,AE749=1),2,IF(OR(AG749=1,AF749=1),1,IF(OR(Y749="Ordered",Y749="Delivered"),0,""))))</f>
        <v/>
      </c>
      <c r="AA749" s="112">
        <f>IF(B749="","",IF(AH749=1,IF(Y749="⚠️ Delivery after install date",R749,S749),IF(AD749=1,T749,IF(AI749=1,S749,""))))</f>
        <v/>
      </c>
      <c r="AB749" s="79">
        <f>IF(AA749="","",IF(AH749=1,1,IF(AA749="","",IF(AA749&lt;AsOf,1,IF(AA749&lt;=AsOf+AlertDays,2,IF(AA749&lt;=AsOf+2*AlertDays,3,""))))))</f>
        <v/>
      </c>
      <c r="AC749" s="79">
        <f>IF(AB749="","",IF(AH749=1,IF(Y749="⚠️ Delivery after install date","Delivery after install date: "&amp;B749,"Order late — install at risk: "&amp;B749),IF(AD749=1,IF(AB749=1,"Decision overdue: ","Decide: ")&amp;B749,"Order: "&amp;B749&amp;IF(N749="",""," from "&amp;N749))))</f>
        <v/>
      </c>
      <c r="AD749" s="79">
        <f>IF(AND(B749&lt;&gt;"",K749="",U749&lt;&gt;"Yes",X749&lt;&gt;"Yes"),1,0)</f>
        <v/>
      </c>
      <c r="AE749" s="79">
        <f>IF(AND(AD749=1,T749&lt;&gt;""),IF(T749&lt;AsOf,1,0),0)</f>
        <v/>
      </c>
      <c r="AF749" s="79">
        <f>IF(AND(AD749=1,T749&lt;&gt;""),IF(AND(T749&gt;=AsOf,T749&lt;=AsOf+AlertDays),1,0),0)</f>
        <v/>
      </c>
      <c r="AG749" s="79">
        <f>IF(Y749="Order now",1,0)</f>
        <v/>
      </c>
      <c r="AH749" s="79">
        <f>IF(OR(Y749="⚠️ Order late — install at risk",Y749="⚠️ Delivery after install date"),1,0)</f>
        <v/>
      </c>
      <c r="AI749" s="79">
        <f>IF(AND(B749&lt;&gt;"",K749&lt;&gt;"",U749&lt;&gt;"Yes",X749&lt;&gt;"Yes"),1,0)</f>
        <v/>
      </c>
      <c r="AJ749" s="79">
        <f>IF(Y749="⚠️ Order late — install at risk",1,0)</f>
        <v/>
      </c>
    </row>
    <row r="750" ht="20" customHeight="1">
      <c r="B750" s="72" t="n"/>
      <c r="C750" s="72" t="n"/>
      <c r="D750" s="72" t="n"/>
      <c r="E750" s="72" t="n"/>
      <c r="F750" s="73" t="n"/>
      <c r="G750" s="72" t="n"/>
      <c r="H750" s="73" t="n"/>
      <c r="I750" s="72" t="n"/>
      <c r="J750" s="73" t="n"/>
      <c r="K750" s="74" t="n"/>
      <c r="L750" s="75">
        <f>IF(K750="A",F750,IF(K750="B",H750,IF(K750="C",J750,"")))</f>
        <v/>
      </c>
      <c r="M750" s="72" t="n"/>
      <c r="N750" s="72" t="n"/>
      <c r="O750" s="89" t="n"/>
      <c r="P750" s="89" t="n"/>
      <c r="Q750" s="109" t="n"/>
      <c r="R750" s="120">
        <f>IF(B750="","",IF(Q750&lt;&gt;"",Q750,IF(P750="","",IFERROR(INDEX('Timeline'!$J$7:$J$1006,MATCH(P750,'Timeline'!$B$7:$B$1006,0)),""))))</f>
        <v/>
      </c>
      <c r="S750" s="126">
        <f>IF(R750="","",R750-IF(O750="",0,O750)-OrderBuf)</f>
        <v/>
      </c>
      <c r="T750" s="126">
        <f>IF(S750="","",S750-DecideBuf)</f>
        <v/>
      </c>
      <c r="U750" s="74" t="n"/>
      <c r="V750" s="109" t="n"/>
      <c r="W750" s="109" t="n"/>
      <c r="X750" s="74" t="n"/>
      <c r="Y750" s="116">
        <f>IF(B750="","",IF(X750="Yes","Delivered",IF(U750="Yes",IF(AND(W750&lt;&gt;"",R750&lt;&gt;""),IF(W750&gt;R750,"⚠️ Delivery after install date","Ordered"),"Ordered"),IF(K750="",IF(T750="","Waiting for decision",IF(T750&lt;=AsOf+AlertDays,"Decide now","Waiting for decision")),IF(S750="","Selected",IF(AsOf&gt;S750,"⚠️ Order late — install at risk",IF(S750&lt;=AsOf+AlertDays,"Order now","Selected")))))))</f>
        <v/>
      </c>
      <c r="Z750" s="79">
        <f>IF(B750="","",IF(OR(AH750=1,AE750=1),2,IF(OR(AG750=1,AF750=1),1,IF(OR(Y750="Ordered",Y750="Delivered"),0,""))))</f>
        <v/>
      </c>
      <c r="AA750" s="112">
        <f>IF(B750="","",IF(AH750=1,IF(Y750="⚠️ Delivery after install date",R750,S750),IF(AD750=1,T750,IF(AI750=1,S750,""))))</f>
        <v/>
      </c>
      <c r="AB750" s="79">
        <f>IF(AA750="","",IF(AH750=1,1,IF(AA750="","",IF(AA750&lt;AsOf,1,IF(AA750&lt;=AsOf+AlertDays,2,IF(AA750&lt;=AsOf+2*AlertDays,3,""))))))</f>
        <v/>
      </c>
      <c r="AC750" s="79">
        <f>IF(AB750="","",IF(AH750=1,IF(Y750="⚠️ Delivery after install date","Delivery after install date: "&amp;B750,"Order late — install at risk: "&amp;B750),IF(AD750=1,IF(AB750=1,"Decision overdue: ","Decide: ")&amp;B750,"Order: "&amp;B750&amp;IF(N750="",""," from "&amp;N750))))</f>
        <v/>
      </c>
      <c r="AD750" s="79">
        <f>IF(AND(B750&lt;&gt;"",K750="",U750&lt;&gt;"Yes",X750&lt;&gt;"Yes"),1,0)</f>
        <v/>
      </c>
      <c r="AE750" s="79">
        <f>IF(AND(AD750=1,T750&lt;&gt;""),IF(T750&lt;AsOf,1,0),0)</f>
        <v/>
      </c>
      <c r="AF750" s="79">
        <f>IF(AND(AD750=1,T750&lt;&gt;""),IF(AND(T750&gt;=AsOf,T750&lt;=AsOf+AlertDays),1,0),0)</f>
        <v/>
      </c>
      <c r="AG750" s="79">
        <f>IF(Y750="Order now",1,0)</f>
        <v/>
      </c>
      <c r="AH750" s="79">
        <f>IF(OR(Y750="⚠️ Order late — install at risk",Y750="⚠️ Delivery after install date"),1,0)</f>
        <v/>
      </c>
      <c r="AI750" s="79">
        <f>IF(AND(B750&lt;&gt;"",K750&lt;&gt;"",U750&lt;&gt;"Yes",X750&lt;&gt;"Yes"),1,0)</f>
        <v/>
      </c>
      <c r="AJ750" s="79">
        <f>IF(Y750="⚠️ Order late — install at risk",1,0)</f>
        <v/>
      </c>
    </row>
    <row r="751" ht="20" customHeight="1">
      <c r="B751" s="72" t="n"/>
      <c r="C751" s="72" t="n"/>
      <c r="D751" s="72" t="n"/>
      <c r="E751" s="72" t="n"/>
      <c r="F751" s="73" t="n"/>
      <c r="G751" s="72" t="n"/>
      <c r="H751" s="73" t="n"/>
      <c r="I751" s="72" t="n"/>
      <c r="J751" s="73" t="n"/>
      <c r="K751" s="74" t="n"/>
      <c r="L751" s="75">
        <f>IF(K751="A",F751,IF(K751="B",H751,IF(K751="C",J751,"")))</f>
        <v/>
      </c>
      <c r="M751" s="72" t="n"/>
      <c r="N751" s="72" t="n"/>
      <c r="O751" s="89" t="n"/>
      <c r="P751" s="89" t="n"/>
      <c r="Q751" s="109" t="n"/>
      <c r="R751" s="120">
        <f>IF(B751="","",IF(Q751&lt;&gt;"",Q751,IF(P751="","",IFERROR(INDEX('Timeline'!$J$7:$J$1006,MATCH(P751,'Timeline'!$B$7:$B$1006,0)),""))))</f>
        <v/>
      </c>
      <c r="S751" s="126">
        <f>IF(R751="","",R751-IF(O751="",0,O751)-OrderBuf)</f>
        <v/>
      </c>
      <c r="T751" s="126">
        <f>IF(S751="","",S751-DecideBuf)</f>
        <v/>
      </c>
      <c r="U751" s="74" t="n"/>
      <c r="V751" s="109" t="n"/>
      <c r="W751" s="109" t="n"/>
      <c r="X751" s="74" t="n"/>
      <c r="Y751" s="116">
        <f>IF(B751="","",IF(X751="Yes","Delivered",IF(U751="Yes",IF(AND(W751&lt;&gt;"",R751&lt;&gt;""),IF(W751&gt;R751,"⚠️ Delivery after install date","Ordered"),"Ordered"),IF(K751="",IF(T751="","Waiting for decision",IF(T751&lt;=AsOf+AlertDays,"Decide now","Waiting for decision")),IF(S751="","Selected",IF(AsOf&gt;S751,"⚠️ Order late — install at risk",IF(S751&lt;=AsOf+AlertDays,"Order now","Selected")))))))</f>
        <v/>
      </c>
      <c r="Z751" s="79">
        <f>IF(B751="","",IF(OR(AH751=1,AE751=1),2,IF(OR(AG751=1,AF751=1),1,IF(OR(Y751="Ordered",Y751="Delivered"),0,""))))</f>
        <v/>
      </c>
      <c r="AA751" s="112">
        <f>IF(B751="","",IF(AH751=1,IF(Y751="⚠️ Delivery after install date",R751,S751),IF(AD751=1,T751,IF(AI751=1,S751,""))))</f>
        <v/>
      </c>
      <c r="AB751" s="79">
        <f>IF(AA751="","",IF(AH751=1,1,IF(AA751="","",IF(AA751&lt;AsOf,1,IF(AA751&lt;=AsOf+AlertDays,2,IF(AA751&lt;=AsOf+2*AlertDays,3,""))))))</f>
        <v/>
      </c>
      <c r="AC751" s="79">
        <f>IF(AB751="","",IF(AH751=1,IF(Y751="⚠️ Delivery after install date","Delivery after install date: "&amp;B751,"Order late — install at risk: "&amp;B751),IF(AD751=1,IF(AB751=1,"Decision overdue: ","Decide: ")&amp;B751,"Order: "&amp;B751&amp;IF(N751="",""," from "&amp;N751))))</f>
        <v/>
      </c>
      <c r="AD751" s="79">
        <f>IF(AND(B751&lt;&gt;"",K751="",U751&lt;&gt;"Yes",X751&lt;&gt;"Yes"),1,0)</f>
        <v/>
      </c>
      <c r="AE751" s="79">
        <f>IF(AND(AD751=1,T751&lt;&gt;""),IF(T751&lt;AsOf,1,0),0)</f>
        <v/>
      </c>
      <c r="AF751" s="79">
        <f>IF(AND(AD751=1,T751&lt;&gt;""),IF(AND(T751&gt;=AsOf,T751&lt;=AsOf+AlertDays),1,0),0)</f>
        <v/>
      </c>
      <c r="AG751" s="79">
        <f>IF(Y751="Order now",1,0)</f>
        <v/>
      </c>
      <c r="AH751" s="79">
        <f>IF(OR(Y751="⚠️ Order late — install at risk",Y751="⚠️ Delivery after install date"),1,0)</f>
        <v/>
      </c>
      <c r="AI751" s="79">
        <f>IF(AND(B751&lt;&gt;"",K751&lt;&gt;"",U751&lt;&gt;"Yes",X751&lt;&gt;"Yes"),1,0)</f>
        <v/>
      </c>
      <c r="AJ751" s="79">
        <f>IF(Y751="⚠️ Order late — install at risk",1,0)</f>
        <v/>
      </c>
    </row>
    <row r="752" ht="20" customHeight="1">
      <c r="B752" s="72" t="n"/>
      <c r="C752" s="72" t="n"/>
      <c r="D752" s="72" t="n"/>
      <c r="E752" s="72" t="n"/>
      <c r="F752" s="73" t="n"/>
      <c r="G752" s="72" t="n"/>
      <c r="H752" s="73" t="n"/>
      <c r="I752" s="72" t="n"/>
      <c r="J752" s="73" t="n"/>
      <c r="K752" s="74" t="n"/>
      <c r="L752" s="75">
        <f>IF(K752="A",F752,IF(K752="B",H752,IF(K752="C",J752,"")))</f>
        <v/>
      </c>
      <c r="M752" s="72" t="n"/>
      <c r="N752" s="72" t="n"/>
      <c r="O752" s="89" t="n"/>
      <c r="P752" s="89" t="n"/>
      <c r="Q752" s="109" t="n"/>
      <c r="R752" s="120">
        <f>IF(B752="","",IF(Q752&lt;&gt;"",Q752,IF(P752="","",IFERROR(INDEX('Timeline'!$J$7:$J$1006,MATCH(P752,'Timeline'!$B$7:$B$1006,0)),""))))</f>
        <v/>
      </c>
      <c r="S752" s="126">
        <f>IF(R752="","",R752-IF(O752="",0,O752)-OrderBuf)</f>
        <v/>
      </c>
      <c r="T752" s="126">
        <f>IF(S752="","",S752-DecideBuf)</f>
        <v/>
      </c>
      <c r="U752" s="74" t="n"/>
      <c r="V752" s="109" t="n"/>
      <c r="W752" s="109" t="n"/>
      <c r="X752" s="74" t="n"/>
      <c r="Y752" s="116">
        <f>IF(B752="","",IF(X752="Yes","Delivered",IF(U752="Yes",IF(AND(W752&lt;&gt;"",R752&lt;&gt;""),IF(W752&gt;R752,"⚠️ Delivery after install date","Ordered"),"Ordered"),IF(K752="",IF(T752="","Waiting for decision",IF(T752&lt;=AsOf+AlertDays,"Decide now","Waiting for decision")),IF(S752="","Selected",IF(AsOf&gt;S752,"⚠️ Order late — install at risk",IF(S752&lt;=AsOf+AlertDays,"Order now","Selected")))))))</f>
        <v/>
      </c>
      <c r="Z752" s="79">
        <f>IF(B752="","",IF(OR(AH752=1,AE752=1),2,IF(OR(AG752=1,AF752=1),1,IF(OR(Y752="Ordered",Y752="Delivered"),0,""))))</f>
        <v/>
      </c>
      <c r="AA752" s="112">
        <f>IF(B752="","",IF(AH752=1,IF(Y752="⚠️ Delivery after install date",R752,S752),IF(AD752=1,T752,IF(AI752=1,S752,""))))</f>
        <v/>
      </c>
      <c r="AB752" s="79">
        <f>IF(AA752="","",IF(AH752=1,1,IF(AA752="","",IF(AA752&lt;AsOf,1,IF(AA752&lt;=AsOf+AlertDays,2,IF(AA752&lt;=AsOf+2*AlertDays,3,""))))))</f>
        <v/>
      </c>
      <c r="AC752" s="79">
        <f>IF(AB752="","",IF(AH752=1,IF(Y752="⚠️ Delivery after install date","Delivery after install date: "&amp;B752,"Order late — install at risk: "&amp;B752),IF(AD752=1,IF(AB752=1,"Decision overdue: ","Decide: ")&amp;B752,"Order: "&amp;B752&amp;IF(N752="",""," from "&amp;N752))))</f>
        <v/>
      </c>
      <c r="AD752" s="79">
        <f>IF(AND(B752&lt;&gt;"",K752="",U752&lt;&gt;"Yes",X752&lt;&gt;"Yes"),1,0)</f>
        <v/>
      </c>
      <c r="AE752" s="79">
        <f>IF(AND(AD752=1,T752&lt;&gt;""),IF(T752&lt;AsOf,1,0),0)</f>
        <v/>
      </c>
      <c r="AF752" s="79">
        <f>IF(AND(AD752=1,T752&lt;&gt;""),IF(AND(T752&gt;=AsOf,T752&lt;=AsOf+AlertDays),1,0),0)</f>
        <v/>
      </c>
      <c r="AG752" s="79">
        <f>IF(Y752="Order now",1,0)</f>
        <v/>
      </c>
      <c r="AH752" s="79">
        <f>IF(OR(Y752="⚠️ Order late — install at risk",Y752="⚠️ Delivery after install date"),1,0)</f>
        <v/>
      </c>
      <c r="AI752" s="79">
        <f>IF(AND(B752&lt;&gt;"",K752&lt;&gt;"",U752&lt;&gt;"Yes",X752&lt;&gt;"Yes"),1,0)</f>
        <v/>
      </c>
      <c r="AJ752" s="79">
        <f>IF(Y752="⚠️ Order late — install at risk",1,0)</f>
        <v/>
      </c>
    </row>
    <row r="753" ht="20" customHeight="1">
      <c r="B753" s="72" t="n"/>
      <c r="C753" s="72" t="n"/>
      <c r="D753" s="72" t="n"/>
      <c r="E753" s="72" t="n"/>
      <c r="F753" s="73" t="n"/>
      <c r="G753" s="72" t="n"/>
      <c r="H753" s="73" t="n"/>
      <c r="I753" s="72" t="n"/>
      <c r="J753" s="73" t="n"/>
      <c r="K753" s="74" t="n"/>
      <c r="L753" s="75">
        <f>IF(K753="A",F753,IF(K753="B",H753,IF(K753="C",J753,"")))</f>
        <v/>
      </c>
      <c r="M753" s="72" t="n"/>
      <c r="N753" s="72" t="n"/>
      <c r="O753" s="89" t="n"/>
      <c r="P753" s="89" t="n"/>
      <c r="Q753" s="109" t="n"/>
      <c r="R753" s="120">
        <f>IF(B753="","",IF(Q753&lt;&gt;"",Q753,IF(P753="","",IFERROR(INDEX('Timeline'!$J$7:$J$1006,MATCH(P753,'Timeline'!$B$7:$B$1006,0)),""))))</f>
        <v/>
      </c>
      <c r="S753" s="126">
        <f>IF(R753="","",R753-IF(O753="",0,O753)-OrderBuf)</f>
        <v/>
      </c>
      <c r="T753" s="126">
        <f>IF(S753="","",S753-DecideBuf)</f>
        <v/>
      </c>
      <c r="U753" s="74" t="n"/>
      <c r="V753" s="109" t="n"/>
      <c r="W753" s="109" t="n"/>
      <c r="X753" s="74" t="n"/>
      <c r="Y753" s="116">
        <f>IF(B753="","",IF(X753="Yes","Delivered",IF(U753="Yes",IF(AND(W753&lt;&gt;"",R753&lt;&gt;""),IF(W753&gt;R753,"⚠️ Delivery after install date","Ordered"),"Ordered"),IF(K753="",IF(T753="","Waiting for decision",IF(T753&lt;=AsOf+AlertDays,"Decide now","Waiting for decision")),IF(S753="","Selected",IF(AsOf&gt;S753,"⚠️ Order late — install at risk",IF(S753&lt;=AsOf+AlertDays,"Order now","Selected")))))))</f>
        <v/>
      </c>
      <c r="Z753" s="79">
        <f>IF(B753="","",IF(OR(AH753=1,AE753=1),2,IF(OR(AG753=1,AF753=1),1,IF(OR(Y753="Ordered",Y753="Delivered"),0,""))))</f>
        <v/>
      </c>
      <c r="AA753" s="112">
        <f>IF(B753="","",IF(AH753=1,IF(Y753="⚠️ Delivery after install date",R753,S753),IF(AD753=1,T753,IF(AI753=1,S753,""))))</f>
        <v/>
      </c>
      <c r="AB753" s="79">
        <f>IF(AA753="","",IF(AH753=1,1,IF(AA753="","",IF(AA753&lt;AsOf,1,IF(AA753&lt;=AsOf+AlertDays,2,IF(AA753&lt;=AsOf+2*AlertDays,3,""))))))</f>
        <v/>
      </c>
      <c r="AC753" s="79">
        <f>IF(AB753="","",IF(AH753=1,IF(Y753="⚠️ Delivery after install date","Delivery after install date: "&amp;B753,"Order late — install at risk: "&amp;B753),IF(AD753=1,IF(AB753=1,"Decision overdue: ","Decide: ")&amp;B753,"Order: "&amp;B753&amp;IF(N753="",""," from "&amp;N753))))</f>
        <v/>
      </c>
      <c r="AD753" s="79">
        <f>IF(AND(B753&lt;&gt;"",K753="",U753&lt;&gt;"Yes",X753&lt;&gt;"Yes"),1,0)</f>
        <v/>
      </c>
      <c r="AE753" s="79">
        <f>IF(AND(AD753=1,T753&lt;&gt;""),IF(T753&lt;AsOf,1,0),0)</f>
        <v/>
      </c>
      <c r="AF753" s="79">
        <f>IF(AND(AD753=1,T753&lt;&gt;""),IF(AND(T753&gt;=AsOf,T753&lt;=AsOf+AlertDays),1,0),0)</f>
        <v/>
      </c>
      <c r="AG753" s="79">
        <f>IF(Y753="Order now",1,0)</f>
        <v/>
      </c>
      <c r="AH753" s="79">
        <f>IF(OR(Y753="⚠️ Order late — install at risk",Y753="⚠️ Delivery after install date"),1,0)</f>
        <v/>
      </c>
      <c r="AI753" s="79">
        <f>IF(AND(B753&lt;&gt;"",K753&lt;&gt;"",U753&lt;&gt;"Yes",X753&lt;&gt;"Yes"),1,0)</f>
        <v/>
      </c>
      <c r="AJ753" s="79">
        <f>IF(Y753="⚠️ Order late — install at risk",1,0)</f>
        <v/>
      </c>
    </row>
    <row r="754" ht="20" customHeight="1">
      <c r="B754" s="72" t="n"/>
      <c r="C754" s="72" t="n"/>
      <c r="D754" s="72" t="n"/>
      <c r="E754" s="72" t="n"/>
      <c r="F754" s="73" t="n"/>
      <c r="G754" s="72" t="n"/>
      <c r="H754" s="73" t="n"/>
      <c r="I754" s="72" t="n"/>
      <c r="J754" s="73" t="n"/>
      <c r="K754" s="74" t="n"/>
      <c r="L754" s="75">
        <f>IF(K754="A",F754,IF(K754="B",H754,IF(K754="C",J754,"")))</f>
        <v/>
      </c>
      <c r="M754" s="72" t="n"/>
      <c r="N754" s="72" t="n"/>
      <c r="O754" s="89" t="n"/>
      <c r="P754" s="89" t="n"/>
      <c r="Q754" s="109" t="n"/>
      <c r="R754" s="120">
        <f>IF(B754="","",IF(Q754&lt;&gt;"",Q754,IF(P754="","",IFERROR(INDEX('Timeline'!$J$7:$J$1006,MATCH(P754,'Timeline'!$B$7:$B$1006,0)),""))))</f>
        <v/>
      </c>
      <c r="S754" s="126">
        <f>IF(R754="","",R754-IF(O754="",0,O754)-OrderBuf)</f>
        <v/>
      </c>
      <c r="T754" s="126">
        <f>IF(S754="","",S754-DecideBuf)</f>
        <v/>
      </c>
      <c r="U754" s="74" t="n"/>
      <c r="V754" s="109" t="n"/>
      <c r="W754" s="109" t="n"/>
      <c r="X754" s="74" t="n"/>
      <c r="Y754" s="116">
        <f>IF(B754="","",IF(X754="Yes","Delivered",IF(U754="Yes",IF(AND(W754&lt;&gt;"",R754&lt;&gt;""),IF(W754&gt;R754,"⚠️ Delivery after install date","Ordered"),"Ordered"),IF(K754="",IF(T754="","Waiting for decision",IF(T754&lt;=AsOf+AlertDays,"Decide now","Waiting for decision")),IF(S754="","Selected",IF(AsOf&gt;S754,"⚠️ Order late — install at risk",IF(S754&lt;=AsOf+AlertDays,"Order now","Selected")))))))</f>
        <v/>
      </c>
      <c r="Z754" s="79">
        <f>IF(B754="","",IF(OR(AH754=1,AE754=1),2,IF(OR(AG754=1,AF754=1),1,IF(OR(Y754="Ordered",Y754="Delivered"),0,""))))</f>
        <v/>
      </c>
      <c r="AA754" s="112">
        <f>IF(B754="","",IF(AH754=1,IF(Y754="⚠️ Delivery after install date",R754,S754),IF(AD754=1,T754,IF(AI754=1,S754,""))))</f>
        <v/>
      </c>
      <c r="AB754" s="79">
        <f>IF(AA754="","",IF(AH754=1,1,IF(AA754="","",IF(AA754&lt;AsOf,1,IF(AA754&lt;=AsOf+AlertDays,2,IF(AA754&lt;=AsOf+2*AlertDays,3,""))))))</f>
        <v/>
      </c>
      <c r="AC754" s="79">
        <f>IF(AB754="","",IF(AH754=1,IF(Y754="⚠️ Delivery after install date","Delivery after install date: "&amp;B754,"Order late — install at risk: "&amp;B754),IF(AD754=1,IF(AB754=1,"Decision overdue: ","Decide: ")&amp;B754,"Order: "&amp;B754&amp;IF(N754="",""," from "&amp;N754))))</f>
        <v/>
      </c>
      <c r="AD754" s="79">
        <f>IF(AND(B754&lt;&gt;"",K754="",U754&lt;&gt;"Yes",X754&lt;&gt;"Yes"),1,0)</f>
        <v/>
      </c>
      <c r="AE754" s="79">
        <f>IF(AND(AD754=1,T754&lt;&gt;""),IF(T754&lt;AsOf,1,0),0)</f>
        <v/>
      </c>
      <c r="AF754" s="79">
        <f>IF(AND(AD754=1,T754&lt;&gt;""),IF(AND(T754&gt;=AsOf,T754&lt;=AsOf+AlertDays),1,0),0)</f>
        <v/>
      </c>
      <c r="AG754" s="79">
        <f>IF(Y754="Order now",1,0)</f>
        <v/>
      </c>
      <c r="AH754" s="79">
        <f>IF(OR(Y754="⚠️ Order late — install at risk",Y754="⚠️ Delivery after install date"),1,0)</f>
        <v/>
      </c>
      <c r="AI754" s="79">
        <f>IF(AND(B754&lt;&gt;"",K754&lt;&gt;"",U754&lt;&gt;"Yes",X754&lt;&gt;"Yes"),1,0)</f>
        <v/>
      </c>
      <c r="AJ754" s="79">
        <f>IF(Y754="⚠️ Order late — install at risk",1,0)</f>
        <v/>
      </c>
    </row>
    <row r="755" ht="20" customHeight="1">
      <c r="B755" s="72" t="n"/>
      <c r="C755" s="72" t="n"/>
      <c r="D755" s="72" t="n"/>
      <c r="E755" s="72" t="n"/>
      <c r="F755" s="73" t="n"/>
      <c r="G755" s="72" t="n"/>
      <c r="H755" s="73" t="n"/>
      <c r="I755" s="72" t="n"/>
      <c r="J755" s="73" t="n"/>
      <c r="K755" s="74" t="n"/>
      <c r="L755" s="75">
        <f>IF(K755="A",F755,IF(K755="B",H755,IF(K755="C",J755,"")))</f>
        <v/>
      </c>
      <c r="M755" s="72" t="n"/>
      <c r="N755" s="72" t="n"/>
      <c r="O755" s="89" t="n"/>
      <c r="P755" s="89" t="n"/>
      <c r="Q755" s="109" t="n"/>
      <c r="R755" s="120">
        <f>IF(B755="","",IF(Q755&lt;&gt;"",Q755,IF(P755="","",IFERROR(INDEX('Timeline'!$J$7:$J$1006,MATCH(P755,'Timeline'!$B$7:$B$1006,0)),""))))</f>
        <v/>
      </c>
      <c r="S755" s="126">
        <f>IF(R755="","",R755-IF(O755="",0,O755)-OrderBuf)</f>
        <v/>
      </c>
      <c r="T755" s="126">
        <f>IF(S755="","",S755-DecideBuf)</f>
        <v/>
      </c>
      <c r="U755" s="74" t="n"/>
      <c r="V755" s="109" t="n"/>
      <c r="W755" s="109" t="n"/>
      <c r="X755" s="74" t="n"/>
      <c r="Y755" s="116">
        <f>IF(B755="","",IF(X755="Yes","Delivered",IF(U755="Yes",IF(AND(W755&lt;&gt;"",R755&lt;&gt;""),IF(W755&gt;R755,"⚠️ Delivery after install date","Ordered"),"Ordered"),IF(K755="",IF(T755="","Waiting for decision",IF(T755&lt;=AsOf+AlertDays,"Decide now","Waiting for decision")),IF(S755="","Selected",IF(AsOf&gt;S755,"⚠️ Order late — install at risk",IF(S755&lt;=AsOf+AlertDays,"Order now","Selected")))))))</f>
        <v/>
      </c>
      <c r="Z755" s="79">
        <f>IF(B755="","",IF(OR(AH755=1,AE755=1),2,IF(OR(AG755=1,AF755=1),1,IF(OR(Y755="Ordered",Y755="Delivered"),0,""))))</f>
        <v/>
      </c>
      <c r="AA755" s="112">
        <f>IF(B755="","",IF(AH755=1,IF(Y755="⚠️ Delivery after install date",R755,S755),IF(AD755=1,T755,IF(AI755=1,S755,""))))</f>
        <v/>
      </c>
      <c r="AB755" s="79">
        <f>IF(AA755="","",IF(AH755=1,1,IF(AA755="","",IF(AA755&lt;AsOf,1,IF(AA755&lt;=AsOf+AlertDays,2,IF(AA755&lt;=AsOf+2*AlertDays,3,""))))))</f>
        <v/>
      </c>
      <c r="AC755" s="79">
        <f>IF(AB755="","",IF(AH755=1,IF(Y755="⚠️ Delivery after install date","Delivery after install date: "&amp;B755,"Order late — install at risk: "&amp;B755),IF(AD755=1,IF(AB755=1,"Decision overdue: ","Decide: ")&amp;B755,"Order: "&amp;B755&amp;IF(N755="",""," from "&amp;N755))))</f>
        <v/>
      </c>
      <c r="AD755" s="79">
        <f>IF(AND(B755&lt;&gt;"",K755="",U755&lt;&gt;"Yes",X755&lt;&gt;"Yes"),1,0)</f>
        <v/>
      </c>
      <c r="AE755" s="79">
        <f>IF(AND(AD755=1,T755&lt;&gt;""),IF(T755&lt;AsOf,1,0),0)</f>
        <v/>
      </c>
      <c r="AF755" s="79">
        <f>IF(AND(AD755=1,T755&lt;&gt;""),IF(AND(T755&gt;=AsOf,T755&lt;=AsOf+AlertDays),1,0),0)</f>
        <v/>
      </c>
      <c r="AG755" s="79">
        <f>IF(Y755="Order now",1,0)</f>
        <v/>
      </c>
      <c r="AH755" s="79">
        <f>IF(OR(Y755="⚠️ Order late — install at risk",Y755="⚠️ Delivery after install date"),1,0)</f>
        <v/>
      </c>
      <c r="AI755" s="79">
        <f>IF(AND(B755&lt;&gt;"",K755&lt;&gt;"",U755&lt;&gt;"Yes",X755&lt;&gt;"Yes"),1,0)</f>
        <v/>
      </c>
      <c r="AJ755" s="79">
        <f>IF(Y755="⚠️ Order late — install at risk",1,0)</f>
        <v/>
      </c>
    </row>
    <row r="756" ht="20" customHeight="1">
      <c r="B756" s="72" t="n"/>
      <c r="C756" s="72" t="n"/>
      <c r="D756" s="72" t="n"/>
      <c r="E756" s="72" t="n"/>
      <c r="F756" s="73" t="n"/>
      <c r="G756" s="72" t="n"/>
      <c r="H756" s="73" t="n"/>
      <c r="I756" s="72" t="n"/>
      <c r="J756" s="73" t="n"/>
      <c r="K756" s="74" t="n"/>
      <c r="L756" s="75">
        <f>IF(K756="A",F756,IF(K756="B",H756,IF(K756="C",J756,"")))</f>
        <v/>
      </c>
      <c r="M756" s="72" t="n"/>
      <c r="N756" s="72" t="n"/>
      <c r="O756" s="89" t="n"/>
      <c r="P756" s="89" t="n"/>
      <c r="Q756" s="109" t="n"/>
      <c r="R756" s="120">
        <f>IF(B756="","",IF(Q756&lt;&gt;"",Q756,IF(P756="","",IFERROR(INDEX('Timeline'!$J$7:$J$1006,MATCH(P756,'Timeline'!$B$7:$B$1006,0)),""))))</f>
        <v/>
      </c>
      <c r="S756" s="126">
        <f>IF(R756="","",R756-IF(O756="",0,O756)-OrderBuf)</f>
        <v/>
      </c>
      <c r="T756" s="126">
        <f>IF(S756="","",S756-DecideBuf)</f>
        <v/>
      </c>
      <c r="U756" s="74" t="n"/>
      <c r="V756" s="109" t="n"/>
      <c r="W756" s="109" t="n"/>
      <c r="X756" s="74" t="n"/>
      <c r="Y756" s="116">
        <f>IF(B756="","",IF(X756="Yes","Delivered",IF(U756="Yes",IF(AND(W756&lt;&gt;"",R756&lt;&gt;""),IF(W756&gt;R756,"⚠️ Delivery after install date","Ordered"),"Ordered"),IF(K756="",IF(T756="","Waiting for decision",IF(T756&lt;=AsOf+AlertDays,"Decide now","Waiting for decision")),IF(S756="","Selected",IF(AsOf&gt;S756,"⚠️ Order late — install at risk",IF(S756&lt;=AsOf+AlertDays,"Order now","Selected")))))))</f>
        <v/>
      </c>
      <c r="Z756" s="79">
        <f>IF(B756="","",IF(OR(AH756=1,AE756=1),2,IF(OR(AG756=1,AF756=1),1,IF(OR(Y756="Ordered",Y756="Delivered"),0,""))))</f>
        <v/>
      </c>
      <c r="AA756" s="112">
        <f>IF(B756="","",IF(AH756=1,IF(Y756="⚠️ Delivery after install date",R756,S756),IF(AD756=1,T756,IF(AI756=1,S756,""))))</f>
        <v/>
      </c>
      <c r="AB756" s="79">
        <f>IF(AA756="","",IF(AH756=1,1,IF(AA756="","",IF(AA756&lt;AsOf,1,IF(AA756&lt;=AsOf+AlertDays,2,IF(AA756&lt;=AsOf+2*AlertDays,3,""))))))</f>
        <v/>
      </c>
      <c r="AC756" s="79">
        <f>IF(AB756="","",IF(AH756=1,IF(Y756="⚠️ Delivery after install date","Delivery after install date: "&amp;B756,"Order late — install at risk: "&amp;B756),IF(AD756=1,IF(AB756=1,"Decision overdue: ","Decide: ")&amp;B756,"Order: "&amp;B756&amp;IF(N756="",""," from "&amp;N756))))</f>
        <v/>
      </c>
      <c r="AD756" s="79">
        <f>IF(AND(B756&lt;&gt;"",K756="",U756&lt;&gt;"Yes",X756&lt;&gt;"Yes"),1,0)</f>
        <v/>
      </c>
      <c r="AE756" s="79">
        <f>IF(AND(AD756=1,T756&lt;&gt;""),IF(T756&lt;AsOf,1,0),0)</f>
        <v/>
      </c>
      <c r="AF756" s="79">
        <f>IF(AND(AD756=1,T756&lt;&gt;""),IF(AND(T756&gt;=AsOf,T756&lt;=AsOf+AlertDays),1,0),0)</f>
        <v/>
      </c>
      <c r="AG756" s="79">
        <f>IF(Y756="Order now",1,0)</f>
        <v/>
      </c>
      <c r="AH756" s="79">
        <f>IF(OR(Y756="⚠️ Order late — install at risk",Y756="⚠️ Delivery after install date"),1,0)</f>
        <v/>
      </c>
      <c r="AI756" s="79">
        <f>IF(AND(B756&lt;&gt;"",K756&lt;&gt;"",U756&lt;&gt;"Yes",X756&lt;&gt;"Yes"),1,0)</f>
        <v/>
      </c>
      <c r="AJ756" s="79">
        <f>IF(Y756="⚠️ Order late — install at risk",1,0)</f>
        <v/>
      </c>
    </row>
    <row r="757" ht="20" customHeight="1">
      <c r="B757" s="72" t="n"/>
      <c r="C757" s="72" t="n"/>
      <c r="D757" s="72" t="n"/>
      <c r="E757" s="72" t="n"/>
      <c r="F757" s="73" t="n"/>
      <c r="G757" s="72" t="n"/>
      <c r="H757" s="73" t="n"/>
      <c r="I757" s="72" t="n"/>
      <c r="J757" s="73" t="n"/>
      <c r="K757" s="74" t="n"/>
      <c r="L757" s="75">
        <f>IF(K757="A",F757,IF(K757="B",H757,IF(K757="C",J757,"")))</f>
        <v/>
      </c>
      <c r="M757" s="72" t="n"/>
      <c r="N757" s="72" t="n"/>
      <c r="O757" s="89" t="n"/>
      <c r="P757" s="89" t="n"/>
      <c r="Q757" s="109" t="n"/>
      <c r="R757" s="120">
        <f>IF(B757="","",IF(Q757&lt;&gt;"",Q757,IF(P757="","",IFERROR(INDEX('Timeline'!$J$7:$J$1006,MATCH(P757,'Timeline'!$B$7:$B$1006,0)),""))))</f>
        <v/>
      </c>
      <c r="S757" s="126">
        <f>IF(R757="","",R757-IF(O757="",0,O757)-OrderBuf)</f>
        <v/>
      </c>
      <c r="T757" s="126">
        <f>IF(S757="","",S757-DecideBuf)</f>
        <v/>
      </c>
      <c r="U757" s="74" t="n"/>
      <c r="V757" s="109" t="n"/>
      <c r="W757" s="109" t="n"/>
      <c r="X757" s="74" t="n"/>
      <c r="Y757" s="116">
        <f>IF(B757="","",IF(X757="Yes","Delivered",IF(U757="Yes",IF(AND(W757&lt;&gt;"",R757&lt;&gt;""),IF(W757&gt;R757,"⚠️ Delivery after install date","Ordered"),"Ordered"),IF(K757="",IF(T757="","Waiting for decision",IF(T757&lt;=AsOf+AlertDays,"Decide now","Waiting for decision")),IF(S757="","Selected",IF(AsOf&gt;S757,"⚠️ Order late — install at risk",IF(S757&lt;=AsOf+AlertDays,"Order now","Selected")))))))</f>
        <v/>
      </c>
      <c r="Z757" s="79">
        <f>IF(B757="","",IF(OR(AH757=1,AE757=1),2,IF(OR(AG757=1,AF757=1),1,IF(OR(Y757="Ordered",Y757="Delivered"),0,""))))</f>
        <v/>
      </c>
      <c r="AA757" s="112">
        <f>IF(B757="","",IF(AH757=1,IF(Y757="⚠️ Delivery after install date",R757,S757),IF(AD757=1,T757,IF(AI757=1,S757,""))))</f>
        <v/>
      </c>
      <c r="AB757" s="79">
        <f>IF(AA757="","",IF(AH757=1,1,IF(AA757="","",IF(AA757&lt;AsOf,1,IF(AA757&lt;=AsOf+AlertDays,2,IF(AA757&lt;=AsOf+2*AlertDays,3,""))))))</f>
        <v/>
      </c>
      <c r="AC757" s="79">
        <f>IF(AB757="","",IF(AH757=1,IF(Y757="⚠️ Delivery after install date","Delivery after install date: "&amp;B757,"Order late — install at risk: "&amp;B757),IF(AD757=1,IF(AB757=1,"Decision overdue: ","Decide: ")&amp;B757,"Order: "&amp;B757&amp;IF(N757="",""," from "&amp;N757))))</f>
        <v/>
      </c>
      <c r="AD757" s="79">
        <f>IF(AND(B757&lt;&gt;"",K757="",U757&lt;&gt;"Yes",X757&lt;&gt;"Yes"),1,0)</f>
        <v/>
      </c>
      <c r="AE757" s="79">
        <f>IF(AND(AD757=1,T757&lt;&gt;""),IF(T757&lt;AsOf,1,0),0)</f>
        <v/>
      </c>
      <c r="AF757" s="79">
        <f>IF(AND(AD757=1,T757&lt;&gt;""),IF(AND(T757&gt;=AsOf,T757&lt;=AsOf+AlertDays),1,0),0)</f>
        <v/>
      </c>
      <c r="AG757" s="79">
        <f>IF(Y757="Order now",1,0)</f>
        <v/>
      </c>
      <c r="AH757" s="79">
        <f>IF(OR(Y757="⚠️ Order late — install at risk",Y757="⚠️ Delivery after install date"),1,0)</f>
        <v/>
      </c>
      <c r="AI757" s="79">
        <f>IF(AND(B757&lt;&gt;"",K757&lt;&gt;"",U757&lt;&gt;"Yes",X757&lt;&gt;"Yes"),1,0)</f>
        <v/>
      </c>
      <c r="AJ757" s="79">
        <f>IF(Y757="⚠️ Order late — install at risk",1,0)</f>
        <v/>
      </c>
    </row>
    <row r="758" ht="20" customHeight="1">
      <c r="B758" s="72" t="n"/>
      <c r="C758" s="72" t="n"/>
      <c r="D758" s="72" t="n"/>
      <c r="E758" s="72" t="n"/>
      <c r="F758" s="73" t="n"/>
      <c r="G758" s="72" t="n"/>
      <c r="H758" s="73" t="n"/>
      <c r="I758" s="72" t="n"/>
      <c r="J758" s="73" t="n"/>
      <c r="K758" s="74" t="n"/>
      <c r="L758" s="75">
        <f>IF(K758="A",F758,IF(K758="B",H758,IF(K758="C",J758,"")))</f>
        <v/>
      </c>
      <c r="M758" s="72" t="n"/>
      <c r="N758" s="72" t="n"/>
      <c r="O758" s="89" t="n"/>
      <c r="P758" s="89" t="n"/>
      <c r="Q758" s="109" t="n"/>
      <c r="R758" s="120">
        <f>IF(B758="","",IF(Q758&lt;&gt;"",Q758,IF(P758="","",IFERROR(INDEX('Timeline'!$J$7:$J$1006,MATCH(P758,'Timeline'!$B$7:$B$1006,0)),""))))</f>
        <v/>
      </c>
      <c r="S758" s="126">
        <f>IF(R758="","",R758-IF(O758="",0,O758)-OrderBuf)</f>
        <v/>
      </c>
      <c r="T758" s="126">
        <f>IF(S758="","",S758-DecideBuf)</f>
        <v/>
      </c>
      <c r="U758" s="74" t="n"/>
      <c r="V758" s="109" t="n"/>
      <c r="W758" s="109" t="n"/>
      <c r="X758" s="74" t="n"/>
      <c r="Y758" s="116">
        <f>IF(B758="","",IF(X758="Yes","Delivered",IF(U758="Yes",IF(AND(W758&lt;&gt;"",R758&lt;&gt;""),IF(W758&gt;R758,"⚠️ Delivery after install date","Ordered"),"Ordered"),IF(K758="",IF(T758="","Waiting for decision",IF(T758&lt;=AsOf+AlertDays,"Decide now","Waiting for decision")),IF(S758="","Selected",IF(AsOf&gt;S758,"⚠️ Order late — install at risk",IF(S758&lt;=AsOf+AlertDays,"Order now","Selected")))))))</f>
        <v/>
      </c>
      <c r="Z758" s="79">
        <f>IF(B758="","",IF(OR(AH758=1,AE758=1),2,IF(OR(AG758=1,AF758=1),1,IF(OR(Y758="Ordered",Y758="Delivered"),0,""))))</f>
        <v/>
      </c>
      <c r="AA758" s="112">
        <f>IF(B758="","",IF(AH758=1,IF(Y758="⚠️ Delivery after install date",R758,S758),IF(AD758=1,T758,IF(AI758=1,S758,""))))</f>
        <v/>
      </c>
      <c r="AB758" s="79">
        <f>IF(AA758="","",IF(AH758=1,1,IF(AA758="","",IF(AA758&lt;AsOf,1,IF(AA758&lt;=AsOf+AlertDays,2,IF(AA758&lt;=AsOf+2*AlertDays,3,""))))))</f>
        <v/>
      </c>
      <c r="AC758" s="79">
        <f>IF(AB758="","",IF(AH758=1,IF(Y758="⚠️ Delivery after install date","Delivery after install date: "&amp;B758,"Order late — install at risk: "&amp;B758),IF(AD758=1,IF(AB758=1,"Decision overdue: ","Decide: ")&amp;B758,"Order: "&amp;B758&amp;IF(N758="",""," from "&amp;N758))))</f>
        <v/>
      </c>
      <c r="AD758" s="79">
        <f>IF(AND(B758&lt;&gt;"",K758="",U758&lt;&gt;"Yes",X758&lt;&gt;"Yes"),1,0)</f>
        <v/>
      </c>
      <c r="AE758" s="79">
        <f>IF(AND(AD758=1,T758&lt;&gt;""),IF(T758&lt;AsOf,1,0),0)</f>
        <v/>
      </c>
      <c r="AF758" s="79">
        <f>IF(AND(AD758=1,T758&lt;&gt;""),IF(AND(T758&gt;=AsOf,T758&lt;=AsOf+AlertDays),1,0),0)</f>
        <v/>
      </c>
      <c r="AG758" s="79">
        <f>IF(Y758="Order now",1,0)</f>
        <v/>
      </c>
      <c r="AH758" s="79">
        <f>IF(OR(Y758="⚠️ Order late — install at risk",Y758="⚠️ Delivery after install date"),1,0)</f>
        <v/>
      </c>
      <c r="AI758" s="79">
        <f>IF(AND(B758&lt;&gt;"",K758&lt;&gt;"",U758&lt;&gt;"Yes",X758&lt;&gt;"Yes"),1,0)</f>
        <v/>
      </c>
      <c r="AJ758" s="79">
        <f>IF(Y758="⚠️ Order late — install at risk",1,0)</f>
        <v/>
      </c>
    </row>
    <row r="759" ht="20" customHeight="1">
      <c r="B759" s="72" t="n"/>
      <c r="C759" s="72" t="n"/>
      <c r="D759" s="72" t="n"/>
      <c r="E759" s="72" t="n"/>
      <c r="F759" s="73" t="n"/>
      <c r="G759" s="72" t="n"/>
      <c r="H759" s="73" t="n"/>
      <c r="I759" s="72" t="n"/>
      <c r="J759" s="73" t="n"/>
      <c r="K759" s="74" t="n"/>
      <c r="L759" s="75">
        <f>IF(K759="A",F759,IF(K759="B",H759,IF(K759="C",J759,"")))</f>
        <v/>
      </c>
      <c r="M759" s="72" t="n"/>
      <c r="N759" s="72" t="n"/>
      <c r="O759" s="89" t="n"/>
      <c r="P759" s="89" t="n"/>
      <c r="Q759" s="109" t="n"/>
      <c r="R759" s="120">
        <f>IF(B759="","",IF(Q759&lt;&gt;"",Q759,IF(P759="","",IFERROR(INDEX('Timeline'!$J$7:$J$1006,MATCH(P759,'Timeline'!$B$7:$B$1006,0)),""))))</f>
        <v/>
      </c>
      <c r="S759" s="126">
        <f>IF(R759="","",R759-IF(O759="",0,O759)-OrderBuf)</f>
        <v/>
      </c>
      <c r="T759" s="126">
        <f>IF(S759="","",S759-DecideBuf)</f>
        <v/>
      </c>
      <c r="U759" s="74" t="n"/>
      <c r="V759" s="109" t="n"/>
      <c r="W759" s="109" t="n"/>
      <c r="X759" s="74" t="n"/>
      <c r="Y759" s="116">
        <f>IF(B759="","",IF(X759="Yes","Delivered",IF(U759="Yes",IF(AND(W759&lt;&gt;"",R759&lt;&gt;""),IF(W759&gt;R759,"⚠️ Delivery after install date","Ordered"),"Ordered"),IF(K759="",IF(T759="","Waiting for decision",IF(T759&lt;=AsOf+AlertDays,"Decide now","Waiting for decision")),IF(S759="","Selected",IF(AsOf&gt;S759,"⚠️ Order late — install at risk",IF(S759&lt;=AsOf+AlertDays,"Order now","Selected")))))))</f>
        <v/>
      </c>
      <c r="Z759" s="79">
        <f>IF(B759="","",IF(OR(AH759=1,AE759=1),2,IF(OR(AG759=1,AF759=1),1,IF(OR(Y759="Ordered",Y759="Delivered"),0,""))))</f>
        <v/>
      </c>
      <c r="AA759" s="112">
        <f>IF(B759="","",IF(AH759=1,IF(Y759="⚠️ Delivery after install date",R759,S759),IF(AD759=1,T759,IF(AI759=1,S759,""))))</f>
        <v/>
      </c>
      <c r="AB759" s="79">
        <f>IF(AA759="","",IF(AH759=1,1,IF(AA759="","",IF(AA759&lt;AsOf,1,IF(AA759&lt;=AsOf+AlertDays,2,IF(AA759&lt;=AsOf+2*AlertDays,3,""))))))</f>
        <v/>
      </c>
      <c r="AC759" s="79">
        <f>IF(AB759="","",IF(AH759=1,IF(Y759="⚠️ Delivery after install date","Delivery after install date: "&amp;B759,"Order late — install at risk: "&amp;B759),IF(AD759=1,IF(AB759=1,"Decision overdue: ","Decide: ")&amp;B759,"Order: "&amp;B759&amp;IF(N759="",""," from "&amp;N759))))</f>
        <v/>
      </c>
      <c r="AD759" s="79">
        <f>IF(AND(B759&lt;&gt;"",K759="",U759&lt;&gt;"Yes",X759&lt;&gt;"Yes"),1,0)</f>
        <v/>
      </c>
      <c r="AE759" s="79">
        <f>IF(AND(AD759=1,T759&lt;&gt;""),IF(T759&lt;AsOf,1,0),0)</f>
        <v/>
      </c>
      <c r="AF759" s="79">
        <f>IF(AND(AD759=1,T759&lt;&gt;""),IF(AND(T759&gt;=AsOf,T759&lt;=AsOf+AlertDays),1,0),0)</f>
        <v/>
      </c>
      <c r="AG759" s="79">
        <f>IF(Y759="Order now",1,0)</f>
        <v/>
      </c>
      <c r="AH759" s="79">
        <f>IF(OR(Y759="⚠️ Order late — install at risk",Y759="⚠️ Delivery after install date"),1,0)</f>
        <v/>
      </c>
      <c r="AI759" s="79">
        <f>IF(AND(B759&lt;&gt;"",K759&lt;&gt;"",U759&lt;&gt;"Yes",X759&lt;&gt;"Yes"),1,0)</f>
        <v/>
      </c>
      <c r="AJ759" s="79">
        <f>IF(Y759="⚠️ Order late — install at risk",1,0)</f>
        <v/>
      </c>
    </row>
    <row r="760" ht="20" customHeight="1">
      <c r="B760" s="72" t="n"/>
      <c r="C760" s="72" t="n"/>
      <c r="D760" s="72" t="n"/>
      <c r="E760" s="72" t="n"/>
      <c r="F760" s="73" t="n"/>
      <c r="G760" s="72" t="n"/>
      <c r="H760" s="73" t="n"/>
      <c r="I760" s="72" t="n"/>
      <c r="J760" s="73" t="n"/>
      <c r="K760" s="74" t="n"/>
      <c r="L760" s="75">
        <f>IF(K760="A",F760,IF(K760="B",H760,IF(K760="C",J760,"")))</f>
        <v/>
      </c>
      <c r="M760" s="72" t="n"/>
      <c r="N760" s="72" t="n"/>
      <c r="O760" s="89" t="n"/>
      <c r="P760" s="89" t="n"/>
      <c r="Q760" s="109" t="n"/>
      <c r="R760" s="120">
        <f>IF(B760="","",IF(Q760&lt;&gt;"",Q760,IF(P760="","",IFERROR(INDEX('Timeline'!$J$7:$J$1006,MATCH(P760,'Timeline'!$B$7:$B$1006,0)),""))))</f>
        <v/>
      </c>
      <c r="S760" s="126">
        <f>IF(R760="","",R760-IF(O760="",0,O760)-OrderBuf)</f>
        <v/>
      </c>
      <c r="T760" s="126">
        <f>IF(S760="","",S760-DecideBuf)</f>
        <v/>
      </c>
      <c r="U760" s="74" t="n"/>
      <c r="V760" s="109" t="n"/>
      <c r="W760" s="109" t="n"/>
      <c r="X760" s="74" t="n"/>
      <c r="Y760" s="116">
        <f>IF(B760="","",IF(X760="Yes","Delivered",IF(U760="Yes",IF(AND(W760&lt;&gt;"",R760&lt;&gt;""),IF(W760&gt;R760,"⚠️ Delivery after install date","Ordered"),"Ordered"),IF(K760="",IF(T760="","Waiting for decision",IF(T760&lt;=AsOf+AlertDays,"Decide now","Waiting for decision")),IF(S760="","Selected",IF(AsOf&gt;S760,"⚠️ Order late — install at risk",IF(S760&lt;=AsOf+AlertDays,"Order now","Selected")))))))</f>
        <v/>
      </c>
      <c r="Z760" s="79">
        <f>IF(B760="","",IF(OR(AH760=1,AE760=1),2,IF(OR(AG760=1,AF760=1),1,IF(OR(Y760="Ordered",Y760="Delivered"),0,""))))</f>
        <v/>
      </c>
      <c r="AA760" s="112">
        <f>IF(B760="","",IF(AH760=1,IF(Y760="⚠️ Delivery after install date",R760,S760),IF(AD760=1,T760,IF(AI760=1,S760,""))))</f>
        <v/>
      </c>
      <c r="AB760" s="79">
        <f>IF(AA760="","",IF(AH760=1,1,IF(AA760="","",IF(AA760&lt;AsOf,1,IF(AA760&lt;=AsOf+AlertDays,2,IF(AA760&lt;=AsOf+2*AlertDays,3,""))))))</f>
        <v/>
      </c>
      <c r="AC760" s="79">
        <f>IF(AB760="","",IF(AH760=1,IF(Y760="⚠️ Delivery after install date","Delivery after install date: "&amp;B760,"Order late — install at risk: "&amp;B760),IF(AD760=1,IF(AB760=1,"Decision overdue: ","Decide: ")&amp;B760,"Order: "&amp;B760&amp;IF(N760="",""," from "&amp;N760))))</f>
        <v/>
      </c>
      <c r="AD760" s="79">
        <f>IF(AND(B760&lt;&gt;"",K760="",U760&lt;&gt;"Yes",X760&lt;&gt;"Yes"),1,0)</f>
        <v/>
      </c>
      <c r="AE760" s="79">
        <f>IF(AND(AD760=1,T760&lt;&gt;""),IF(T760&lt;AsOf,1,0),0)</f>
        <v/>
      </c>
      <c r="AF760" s="79">
        <f>IF(AND(AD760=1,T760&lt;&gt;""),IF(AND(T760&gt;=AsOf,T760&lt;=AsOf+AlertDays),1,0),0)</f>
        <v/>
      </c>
      <c r="AG760" s="79">
        <f>IF(Y760="Order now",1,0)</f>
        <v/>
      </c>
      <c r="AH760" s="79">
        <f>IF(OR(Y760="⚠️ Order late — install at risk",Y760="⚠️ Delivery after install date"),1,0)</f>
        <v/>
      </c>
      <c r="AI760" s="79">
        <f>IF(AND(B760&lt;&gt;"",K760&lt;&gt;"",U760&lt;&gt;"Yes",X760&lt;&gt;"Yes"),1,0)</f>
        <v/>
      </c>
      <c r="AJ760" s="79">
        <f>IF(Y760="⚠️ Order late — install at risk",1,0)</f>
        <v/>
      </c>
    </row>
    <row r="761" ht="20" customHeight="1">
      <c r="B761" s="72" t="n"/>
      <c r="C761" s="72" t="n"/>
      <c r="D761" s="72" t="n"/>
      <c r="E761" s="72" t="n"/>
      <c r="F761" s="73" t="n"/>
      <c r="G761" s="72" t="n"/>
      <c r="H761" s="73" t="n"/>
      <c r="I761" s="72" t="n"/>
      <c r="J761" s="73" t="n"/>
      <c r="K761" s="74" t="n"/>
      <c r="L761" s="75">
        <f>IF(K761="A",F761,IF(K761="B",H761,IF(K761="C",J761,"")))</f>
        <v/>
      </c>
      <c r="M761" s="72" t="n"/>
      <c r="N761" s="72" t="n"/>
      <c r="O761" s="89" t="n"/>
      <c r="P761" s="89" t="n"/>
      <c r="Q761" s="109" t="n"/>
      <c r="R761" s="120">
        <f>IF(B761="","",IF(Q761&lt;&gt;"",Q761,IF(P761="","",IFERROR(INDEX('Timeline'!$J$7:$J$1006,MATCH(P761,'Timeline'!$B$7:$B$1006,0)),""))))</f>
        <v/>
      </c>
      <c r="S761" s="126">
        <f>IF(R761="","",R761-IF(O761="",0,O761)-OrderBuf)</f>
        <v/>
      </c>
      <c r="T761" s="126">
        <f>IF(S761="","",S761-DecideBuf)</f>
        <v/>
      </c>
      <c r="U761" s="74" t="n"/>
      <c r="V761" s="109" t="n"/>
      <c r="W761" s="109" t="n"/>
      <c r="X761" s="74" t="n"/>
      <c r="Y761" s="116">
        <f>IF(B761="","",IF(X761="Yes","Delivered",IF(U761="Yes",IF(AND(W761&lt;&gt;"",R761&lt;&gt;""),IF(W761&gt;R761,"⚠️ Delivery after install date","Ordered"),"Ordered"),IF(K761="",IF(T761="","Waiting for decision",IF(T761&lt;=AsOf+AlertDays,"Decide now","Waiting for decision")),IF(S761="","Selected",IF(AsOf&gt;S761,"⚠️ Order late — install at risk",IF(S761&lt;=AsOf+AlertDays,"Order now","Selected")))))))</f>
        <v/>
      </c>
      <c r="Z761" s="79">
        <f>IF(B761="","",IF(OR(AH761=1,AE761=1),2,IF(OR(AG761=1,AF761=1),1,IF(OR(Y761="Ordered",Y761="Delivered"),0,""))))</f>
        <v/>
      </c>
      <c r="AA761" s="112">
        <f>IF(B761="","",IF(AH761=1,IF(Y761="⚠️ Delivery after install date",R761,S761),IF(AD761=1,T761,IF(AI761=1,S761,""))))</f>
        <v/>
      </c>
      <c r="AB761" s="79">
        <f>IF(AA761="","",IF(AH761=1,1,IF(AA761="","",IF(AA761&lt;AsOf,1,IF(AA761&lt;=AsOf+AlertDays,2,IF(AA761&lt;=AsOf+2*AlertDays,3,""))))))</f>
        <v/>
      </c>
      <c r="AC761" s="79">
        <f>IF(AB761="","",IF(AH761=1,IF(Y761="⚠️ Delivery after install date","Delivery after install date: "&amp;B761,"Order late — install at risk: "&amp;B761),IF(AD761=1,IF(AB761=1,"Decision overdue: ","Decide: ")&amp;B761,"Order: "&amp;B761&amp;IF(N761="",""," from "&amp;N761))))</f>
        <v/>
      </c>
      <c r="AD761" s="79">
        <f>IF(AND(B761&lt;&gt;"",K761="",U761&lt;&gt;"Yes",X761&lt;&gt;"Yes"),1,0)</f>
        <v/>
      </c>
      <c r="AE761" s="79">
        <f>IF(AND(AD761=1,T761&lt;&gt;""),IF(T761&lt;AsOf,1,0),0)</f>
        <v/>
      </c>
      <c r="AF761" s="79">
        <f>IF(AND(AD761=1,T761&lt;&gt;""),IF(AND(T761&gt;=AsOf,T761&lt;=AsOf+AlertDays),1,0),0)</f>
        <v/>
      </c>
      <c r="AG761" s="79">
        <f>IF(Y761="Order now",1,0)</f>
        <v/>
      </c>
      <c r="AH761" s="79">
        <f>IF(OR(Y761="⚠️ Order late — install at risk",Y761="⚠️ Delivery after install date"),1,0)</f>
        <v/>
      </c>
      <c r="AI761" s="79">
        <f>IF(AND(B761&lt;&gt;"",K761&lt;&gt;"",U761&lt;&gt;"Yes",X761&lt;&gt;"Yes"),1,0)</f>
        <v/>
      </c>
      <c r="AJ761" s="79">
        <f>IF(Y761="⚠️ Order late — install at risk",1,0)</f>
        <v/>
      </c>
    </row>
    <row r="762" ht="20" customHeight="1">
      <c r="B762" s="72" t="n"/>
      <c r="C762" s="72" t="n"/>
      <c r="D762" s="72" t="n"/>
      <c r="E762" s="72" t="n"/>
      <c r="F762" s="73" t="n"/>
      <c r="G762" s="72" t="n"/>
      <c r="H762" s="73" t="n"/>
      <c r="I762" s="72" t="n"/>
      <c r="J762" s="73" t="n"/>
      <c r="K762" s="74" t="n"/>
      <c r="L762" s="75">
        <f>IF(K762="A",F762,IF(K762="B",H762,IF(K762="C",J762,"")))</f>
        <v/>
      </c>
      <c r="M762" s="72" t="n"/>
      <c r="N762" s="72" t="n"/>
      <c r="O762" s="89" t="n"/>
      <c r="P762" s="89" t="n"/>
      <c r="Q762" s="109" t="n"/>
      <c r="R762" s="120">
        <f>IF(B762="","",IF(Q762&lt;&gt;"",Q762,IF(P762="","",IFERROR(INDEX('Timeline'!$J$7:$J$1006,MATCH(P762,'Timeline'!$B$7:$B$1006,0)),""))))</f>
        <v/>
      </c>
      <c r="S762" s="126">
        <f>IF(R762="","",R762-IF(O762="",0,O762)-OrderBuf)</f>
        <v/>
      </c>
      <c r="T762" s="126">
        <f>IF(S762="","",S762-DecideBuf)</f>
        <v/>
      </c>
      <c r="U762" s="74" t="n"/>
      <c r="V762" s="109" t="n"/>
      <c r="W762" s="109" t="n"/>
      <c r="X762" s="74" t="n"/>
      <c r="Y762" s="116">
        <f>IF(B762="","",IF(X762="Yes","Delivered",IF(U762="Yes",IF(AND(W762&lt;&gt;"",R762&lt;&gt;""),IF(W762&gt;R762,"⚠️ Delivery after install date","Ordered"),"Ordered"),IF(K762="",IF(T762="","Waiting for decision",IF(T762&lt;=AsOf+AlertDays,"Decide now","Waiting for decision")),IF(S762="","Selected",IF(AsOf&gt;S762,"⚠️ Order late — install at risk",IF(S762&lt;=AsOf+AlertDays,"Order now","Selected")))))))</f>
        <v/>
      </c>
      <c r="Z762" s="79">
        <f>IF(B762="","",IF(OR(AH762=1,AE762=1),2,IF(OR(AG762=1,AF762=1),1,IF(OR(Y762="Ordered",Y762="Delivered"),0,""))))</f>
        <v/>
      </c>
      <c r="AA762" s="112">
        <f>IF(B762="","",IF(AH762=1,IF(Y762="⚠️ Delivery after install date",R762,S762),IF(AD762=1,T762,IF(AI762=1,S762,""))))</f>
        <v/>
      </c>
      <c r="AB762" s="79">
        <f>IF(AA762="","",IF(AH762=1,1,IF(AA762="","",IF(AA762&lt;AsOf,1,IF(AA762&lt;=AsOf+AlertDays,2,IF(AA762&lt;=AsOf+2*AlertDays,3,""))))))</f>
        <v/>
      </c>
      <c r="AC762" s="79">
        <f>IF(AB762="","",IF(AH762=1,IF(Y762="⚠️ Delivery after install date","Delivery after install date: "&amp;B762,"Order late — install at risk: "&amp;B762),IF(AD762=1,IF(AB762=1,"Decision overdue: ","Decide: ")&amp;B762,"Order: "&amp;B762&amp;IF(N762="",""," from "&amp;N762))))</f>
        <v/>
      </c>
      <c r="AD762" s="79">
        <f>IF(AND(B762&lt;&gt;"",K762="",U762&lt;&gt;"Yes",X762&lt;&gt;"Yes"),1,0)</f>
        <v/>
      </c>
      <c r="AE762" s="79">
        <f>IF(AND(AD762=1,T762&lt;&gt;""),IF(T762&lt;AsOf,1,0),0)</f>
        <v/>
      </c>
      <c r="AF762" s="79">
        <f>IF(AND(AD762=1,T762&lt;&gt;""),IF(AND(T762&gt;=AsOf,T762&lt;=AsOf+AlertDays),1,0),0)</f>
        <v/>
      </c>
      <c r="AG762" s="79">
        <f>IF(Y762="Order now",1,0)</f>
        <v/>
      </c>
      <c r="AH762" s="79">
        <f>IF(OR(Y762="⚠️ Order late — install at risk",Y762="⚠️ Delivery after install date"),1,0)</f>
        <v/>
      </c>
      <c r="AI762" s="79">
        <f>IF(AND(B762&lt;&gt;"",K762&lt;&gt;"",U762&lt;&gt;"Yes",X762&lt;&gt;"Yes"),1,0)</f>
        <v/>
      </c>
      <c r="AJ762" s="79">
        <f>IF(Y762="⚠️ Order late — install at risk",1,0)</f>
        <v/>
      </c>
    </row>
    <row r="763" ht="20" customHeight="1">
      <c r="B763" s="72" t="n"/>
      <c r="C763" s="72" t="n"/>
      <c r="D763" s="72" t="n"/>
      <c r="E763" s="72" t="n"/>
      <c r="F763" s="73" t="n"/>
      <c r="G763" s="72" t="n"/>
      <c r="H763" s="73" t="n"/>
      <c r="I763" s="72" t="n"/>
      <c r="J763" s="73" t="n"/>
      <c r="K763" s="74" t="n"/>
      <c r="L763" s="75">
        <f>IF(K763="A",F763,IF(K763="B",H763,IF(K763="C",J763,"")))</f>
        <v/>
      </c>
      <c r="M763" s="72" t="n"/>
      <c r="N763" s="72" t="n"/>
      <c r="O763" s="89" t="n"/>
      <c r="P763" s="89" t="n"/>
      <c r="Q763" s="109" t="n"/>
      <c r="R763" s="120">
        <f>IF(B763="","",IF(Q763&lt;&gt;"",Q763,IF(P763="","",IFERROR(INDEX('Timeline'!$J$7:$J$1006,MATCH(P763,'Timeline'!$B$7:$B$1006,0)),""))))</f>
        <v/>
      </c>
      <c r="S763" s="126">
        <f>IF(R763="","",R763-IF(O763="",0,O763)-OrderBuf)</f>
        <v/>
      </c>
      <c r="T763" s="126">
        <f>IF(S763="","",S763-DecideBuf)</f>
        <v/>
      </c>
      <c r="U763" s="74" t="n"/>
      <c r="V763" s="109" t="n"/>
      <c r="W763" s="109" t="n"/>
      <c r="X763" s="74" t="n"/>
      <c r="Y763" s="116">
        <f>IF(B763="","",IF(X763="Yes","Delivered",IF(U763="Yes",IF(AND(W763&lt;&gt;"",R763&lt;&gt;""),IF(W763&gt;R763,"⚠️ Delivery after install date","Ordered"),"Ordered"),IF(K763="",IF(T763="","Waiting for decision",IF(T763&lt;=AsOf+AlertDays,"Decide now","Waiting for decision")),IF(S763="","Selected",IF(AsOf&gt;S763,"⚠️ Order late — install at risk",IF(S763&lt;=AsOf+AlertDays,"Order now","Selected")))))))</f>
        <v/>
      </c>
      <c r="Z763" s="79">
        <f>IF(B763="","",IF(OR(AH763=1,AE763=1),2,IF(OR(AG763=1,AF763=1),1,IF(OR(Y763="Ordered",Y763="Delivered"),0,""))))</f>
        <v/>
      </c>
      <c r="AA763" s="112">
        <f>IF(B763="","",IF(AH763=1,IF(Y763="⚠️ Delivery after install date",R763,S763),IF(AD763=1,T763,IF(AI763=1,S763,""))))</f>
        <v/>
      </c>
      <c r="AB763" s="79">
        <f>IF(AA763="","",IF(AH763=1,1,IF(AA763="","",IF(AA763&lt;AsOf,1,IF(AA763&lt;=AsOf+AlertDays,2,IF(AA763&lt;=AsOf+2*AlertDays,3,""))))))</f>
        <v/>
      </c>
      <c r="AC763" s="79">
        <f>IF(AB763="","",IF(AH763=1,IF(Y763="⚠️ Delivery after install date","Delivery after install date: "&amp;B763,"Order late — install at risk: "&amp;B763),IF(AD763=1,IF(AB763=1,"Decision overdue: ","Decide: ")&amp;B763,"Order: "&amp;B763&amp;IF(N763="",""," from "&amp;N763))))</f>
        <v/>
      </c>
      <c r="AD763" s="79">
        <f>IF(AND(B763&lt;&gt;"",K763="",U763&lt;&gt;"Yes",X763&lt;&gt;"Yes"),1,0)</f>
        <v/>
      </c>
      <c r="AE763" s="79">
        <f>IF(AND(AD763=1,T763&lt;&gt;""),IF(T763&lt;AsOf,1,0),0)</f>
        <v/>
      </c>
      <c r="AF763" s="79">
        <f>IF(AND(AD763=1,T763&lt;&gt;""),IF(AND(T763&gt;=AsOf,T763&lt;=AsOf+AlertDays),1,0),0)</f>
        <v/>
      </c>
      <c r="AG763" s="79">
        <f>IF(Y763="Order now",1,0)</f>
        <v/>
      </c>
      <c r="AH763" s="79">
        <f>IF(OR(Y763="⚠️ Order late — install at risk",Y763="⚠️ Delivery after install date"),1,0)</f>
        <v/>
      </c>
      <c r="AI763" s="79">
        <f>IF(AND(B763&lt;&gt;"",K763&lt;&gt;"",U763&lt;&gt;"Yes",X763&lt;&gt;"Yes"),1,0)</f>
        <v/>
      </c>
      <c r="AJ763" s="79">
        <f>IF(Y763="⚠️ Order late — install at risk",1,0)</f>
        <v/>
      </c>
    </row>
    <row r="764" ht="20" customHeight="1">
      <c r="B764" s="72" t="n"/>
      <c r="C764" s="72" t="n"/>
      <c r="D764" s="72" t="n"/>
      <c r="E764" s="72" t="n"/>
      <c r="F764" s="73" t="n"/>
      <c r="G764" s="72" t="n"/>
      <c r="H764" s="73" t="n"/>
      <c r="I764" s="72" t="n"/>
      <c r="J764" s="73" t="n"/>
      <c r="K764" s="74" t="n"/>
      <c r="L764" s="75">
        <f>IF(K764="A",F764,IF(K764="B",H764,IF(K764="C",J764,"")))</f>
        <v/>
      </c>
      <c r="M764" s="72" t="n"/>
      <c r="N764" s="72" t="n"/>
      <c r="O764" s="89" t="n"/>
      <c r="P764" s="89" t="n"/>
      <c r="Q764" s="109" t="n"/>
      <c r="R764" s="120">
        <f>IF(B764="","",IF(Q764&lt;&gt;"",Q764,IF(P764="","",IFERROR(INDEX('Timeline'!$J$7:$J$1006,MATCH(P764,'Timeline'!$B$7:$B$1006,0)),""))))</f>
        <v/>
      </c>
      <c r="S764" s="126">
        <f>IF(R764="","",R764-IF(O764="",0,O764)-OrderBuf)</f>
        <v/>
      </c>
      <c r="T764" s="126">
        <f>IF(S764="","",S764-DecideBuf)</f>
        <v/>
      </c>
      <c r="U764" s="74" t="n"/>
      <c r="V764" s="109" t="n"/>
      <c r="W764" s="109" t="n"/>
      <c r="X764" s="74" t="n"/>
      <c r="Y764" s="116">
        <f>IF(B764="","",IF(X764="Yes","Delivered",IF(U764="Yes",IF(AND(W764&lt;&gt;"",R764&lt;&gt;""),IF(W764&gt;R764,"⚠️ Delivery after install date","Ordered"),"Ordered"),IF(K764="",IF(T764="","Waiting for decision",IF(T764&lt;=AsOf+AlertDays,"Decide now","Waiting for decision")),IF(S764="","Selected",IF(AsOf&gt;S764,"⚠️ Order late — install at risk",IF(S764&lt;=AsOf+AlertDays,"Order now","Selected")))))))</f>
        <v/>
      </c>
      <c r="Z764" s="79">
        <f>IF(B764="","",IF(OR(AH764=1,AE764=1),2,IF(OR(AG764=1,AF764=1),1,IF(OR(Y764="Ordered",Y764="Delivered"),0,""))))</f>
        <v/>
      </c>
      <c r="AA764" s="112">
        <f>IF(B764="","",IF(AH764=1,IF(Y764="⚠️ Delivery after install date",R764,S764),IF(AD764=1,T764,IF(AI764=1,S764,""))))</f>
        <v/>
      </c>
      <c r="AB764" s="79">
        <f>IF(AA764="","",IF(AH764=1,1,IF(AA764="","",IF(AA764&lt;AsOf,1,IF(AA764&lt;=AsOf+AlertDays,2,IF(AA764&lt;=AsOf+2*AlertDays,3,""))))))</f>
        <v/>
      </c>
      <c r="AC764" s="79">
        <f>IF(AB764="","",IF(AH764=1,IF(Y764="⚠️ Delivery after install date","Delivery after install date: "&amp;B764,"Order late — install at risk: "&amp;B764),IF(AD764=1,IF(AB764=1,"Decision overdue: ","Decide: ")&amp;B764,"Order: "&amp;B764&amp;IF(N764="",""," from "&amp;N764))))</f>
        <v/>
      </c>
      <c r="AD764" s="79">
        <f>IF(AND(B764&lt;&gt;"",K764="",U764&lt;&gt;"Yes",X764&lt;&gt;"Yes"),1,0)</f>
        <v/>
      </c>
      <c r="AE764" s="79">
        <f>IF(AND(AD764=1,T764&lt;&gt;""),IF(T764&lt;AsOf,1,0),0)</f>
        <v/>
      </c>
      <c r="AF764" s="79">
        <f>IF(AND(AD764=1,T764&lt;&gt;""),IF(AND(T764&gt;=AsOf,T764&lt;=AsOf+AlertDays),1,0),0)</f>
        <v/>
      </c>
      <c r="AG764" s="79">
        <f>IF(Y764="Order now",1,0)</f>
        <v/>
      </c>
      <c r="AH764" s="79">
        <f>IF(OR(Y764="⚠️ Order late — install at risk",Y764="⚠️ Delivery after install date"),1,0)</f>
        <v/>
      </c>
      <c r="AI764" s="79">
        <f>IF(AND(B764&lt;&gt;"",K764&lt;&gt;"",U764&lt;&gt;"Yes",X764&lt;&gt;"Yes"),1,0)</f>
        <v/>
      </c>
      <c r="AJ764" s="79">
        <f>IF(Y764="⚠️ Order late — install at risk",1,0)</f>
        <v/>
      </c>
    </row>
    <row r="765" ht="20" customHeight="1">
      <c r="B765" s="72" t="n"/>
      <c r="C765" s="72" t="n"/>
      <c r="D765" s="72" t="n"/>
      <c r="E765" s="72" t="n"/>
      <c r="F765" s="73" t="n"/>
      <c r="G765" s="72" t="n"/>
      <c r="H765" s="73" t="n"/>
      <c r="I765" s="72" t="n"/>
      <c r="J765" s="73" t="n"/>
      <c r="K765" s="74" t="n"/>
      <c r="L765" s="75">
        <f>IF(K765="A",F765,IF(K765="B",H765,IF(K765="C",J765,"")))</f>
        <v/>
      </c>
      <c r="M765" s="72" t="n"/>
      <c r="N765" s="72" t="n"/>
      <c r="O765" s="89" t="n"/>
      <c r="P765" s="89" t="n"/>
      <c r="Q765" s="109" t="n"/>
      <c r="R765" s="120">
        <f>IF(B765="","",IF(Q765&lt;&gt;"",Q765,IF(P765="","",IFERROR(INDEX('Timeline'!$J$7:$J$1006,MATCH(P765,'Timeline'!$B$7:$B$1006,0)),""))))</f>
        <v/>
      </c>
      <c r="S765" s="126">
        <f>IF(R765="","",R765-IF(O765="",0,O765)-OrderBuf)</f>
        <v/>
      </c>
      <c r="T765" s="126">
        <f>IF(S765="","",S765-DecideBuf)</f>
        <v/>
      </c>
      <c r="U765" s="74" t="n"/>
      <c r="V765" s="109" t="n"/>
      <c r="W765" s="109" t="n"/>
      <c r="X765" s="74" t="n"/>
      <c r="Y765" s="116">
        <f>IF(B765="","",IF(X765="Yes","Delivered",IF(U765="Yes",IF(AND(W765&lt;&gt;"",R765&lt;&gt;""),IF(W765&gt;R765,"⚠️ Delivery after install date","Ordered"),"Ordered"),IF(K765="",IF(T765="","Waiting for decision",IF(T765&lt;=AsOf+AlertDays,"Decide now","Waiting for decision")),IF(S765="","Selected",IF(AsOf&gt;S765,"⚠️ Order late — install at risk",IF(S765&lt;=AsOf+AlertDays,"Order now","Selected")))))))</f>
        <v/>
      </c>
      <c r="Z765" s="79">
        <f>IF(B765="","",IF(OR(AH765=1,AE765=1),2,IF(OR(AG765=1,AF765=1),1,IF(OR(Y765="Ordered",Y765="Delivered"),0,""))))</f>
        <v/>
      </c>
      <c r="AA765" s="112">
        <f>IF(B765="","",IF(AH765=1,IF(Y765="⚠️ Delivery after install date",R765,S765),IF(AD765=1,T765,IF(AI765=1,S765,""))))</f>
        <v/>
      </c>
      <c r="AB765" s="79">
        <f>IF(AA765="","",IF(AH765=1,1,IF(AA765="","",IF(AA765&lt;AsOf,1,IF(AA765&lt;=AsOf+AlertDays,2,IF(AA765&lt;=AsOf+2*AlertDays,3,""))))))</f>
        <v/>
      </c>
      <c r="AC765" s="79">
        <f>IF(AB765="","",IF(AH765=1,IF(Y765="⚠️ Delivery after install date","Delivery after install date: "&amp;B765,"Order late — install at risk: "&amp;B765),IF(AD765=1,IF(AB765=1,"Decision overdue: ","Decide: ")&amp;B765,"Order: "&amp;B765&amp;IF(N765="",""," from "&amp;N765))))</f>
        <v/>
      </c>
      <c r="AD765" s="79">
        <f>IF(AND(B765&lt;&gt;"",K765="",U765&lt;&gt;"Yes",X765&lt;&gt;"Yes"),1,0)</f>
        <v/>
      </c>
      <c r="AE765" s="79">
        <f>IF(AND(AD765=1,T765&lt;&gt;""),IF(T765&lt;AsOf,1,0),0)</f>
        <v/>
      </c>
      <c r="AF765" s="79">
        <f>IF(AND(AD765=1,T765&lt;&gt;""),IF(AND(T765&gt;=AsOf,T765&lt;=AsOf+AlertDays),1,0),0)</f>
        <v/>
      </c>
      <c r="AG765" s="79">
        <f>IF(Y765="Order now",1,0)</f>
        <v/>
      </c>
      <c r="AH765" s="79">
        <f>IF(OR(Y765="⚠️ Order late — install at risk",Y765="⚠️ Delivery after install date"),1,0)</f>
        <v/>
      </c>
      <c r="AI765" s="79">
        <f>IF(AND(B765&lt;&gt;"",K765&lt;&gt;"",U765&lt;&gt;"Yes",X765&lt;&gt;"Yes"),1,0)</f>
        <v/>
      </c>
      <c r="AJ765" s="79">
        <f>IF(Y765="⚠️ Order late — install at risk",1,0)</f>
        <v/>
      </c>
    </row>
    <row r="766" ht="20" customHeight="1">
      <c r="B766" s="72" t="n"/>
      <c r="C766" s="72" t="n"/>
      <c r="D766" s="72" t="n"/>
      <c r="E766" s="72" t="n"/>
      <c r="F766" s="73" t="n"/>
      <c r="G766" s="72" t="n"/>
      <c r="H766" s="73" t="n"/>
      <c r="I766" s="72" t="n"/>
      <c r="J766" s="73" t="n"/>
      <c r="K766" s="74" t="n"/>
      <c r="L766" s="75">
        <f>IF(K766="A",F766,IF(K766="B",H766,IF(K766="C",J766,"")))</f>
        <v/>
      </c>
      <c r="M766" s="72" t="n"/>
      <c r="N766" s="72" t="n"/>
      <c r="O766" s="89" t="n"/>
      <c r="P766" s="89" t="n"/>
      <c r="Q766" s="109" t="n"/>
      <c r="R766" s="120">
        <f>IF(B766="","",IF(Q766&lt;&gt;"",Q766,IF(P766="","",IFERROR(INDEX('Timeline'!$J$7:$J$1006,MATCH(P766,'Timeline'!$B$7:$B$1006,0)),""))))</f>
        <v/>
      </c>
      <c r="S766" s="126">
        <f>IF(R766="","",R766-IF(O766="",0,O766)-OrderBuf)</f>
        <v/>
      </c>
      <c r="T766" s="126">
        <f>IF(S766="","",S766-DecideBuf)</f>
        <v/>
      </c>
      <c r="U766" s="74" t="n"/>
      <c r="V766" s="109" t="n"/>
      <c r="W766" s="109" t="n"/>
      <c r="X766" s="74" t="n"/>
      <c r="Y766" s="116">
        <f>IF(B766="","",IF(X766="Yes","Delivered",IF(U766="Yes",IF(AND(W766&lt;&gt;"",R766&lt;&gt;""),IF(W766&gt;R766,"⚠️ Delivery after install date","Ordered"),"Ordered"),IF(K766="",IF(T766="","Waiting for decision",IF(T766&lt;=AsOf+AlertDays,"Decide now","Waiting for decision")),IF(S766="","Selected",IF(AsOf&gt;S766,"⚠️ Order late — install at risk",IF(S766&lt;=AsOf+AlertDays,"Order now","Selected")))))))</f>
        <v/>
      </c>
      <c r="Z766" s="79">
        <f>IF(B766="","",IF(OR(AH766=1,AE766=1),2,IF(OR(AG766=1,AF766=1),1,IF(OR(Y766="Ordered",Y766="Delivered"),0,""))))</f>
        <v/>
      </c>
      <c r="AA766" s="112">
        <f>IF(B766="","",IF(AH766=1,IF(Y766="⚠️ Delivery after install date",R766,S766),IF(AD766=1,T766,IF(AI766=1,S766,""))))</f>
        <v/>
      </c>
      <c r="AB766" s="79">
        <f>IF(AA766="","",IF(AH766=1,1,IF(AA766="","",IF(AA766&lt;AsOf,1,IF(AA766&lt;=AsOf+AlertDays,2,IF(AA766&lt;=AsOf+2*AlertDays,3,""))))))</f>
        <v/>
      </c>
      <c r="AC766" s="79">
        <f>IF(AB766="","",IF(AH766=1,IF(Y766="⚠️ Delivery after install date","Delivery after install date: "&amp;B766,"Order late — install at risk: "&amp;B766),IF(AD766=1,IF(AB766=1,"Decision overdue: ","Decide: ")&amp;B766,"Order: "&amp;B766&amp;IF(N766="",""," from "&amp;N766))))</f>
        <v/>
      </c>
      <c r="AD766" s="79">
        <f>IF(AND(B766&lt;&gt;"",K766="",U766&lt;&gt;"Yes",X766&lt;&gt;"Yes"),1,0)</f>
        <v/>
      </c>
      <c r="AE766" s="79">
        <f>IF(AND(AD766=1,T766&lt;&gt;""),IF(T766&lt;AsOf,1,0),0)</f>
        <v/>
      </c>
      <c r="AF766" s="79">
        <f>IF(AND(AD766=1,T766&lt;&gt;""),IF(AND(T766&gt;=AsOf,T766&lt;=AsOf+AlertDays),1,0),0)</f>
        <v/>
      </c>
      <c r="AG766" s="79">
        <f>IF(Y766="Order now",1,0)</f>
        <v/>
      </c>
      <c r="AH766" s="79">
        <f>IF(OR(Y766="⚠️ Order late — install at risk",Y766="⚠️ Delivery after install date"),1,0)</f>
        <v/>
      </c>
      <c r="AI766" s="79">
        <f>IF(AND(B766&lt;&gt;"",K766&lt;&gt;"",U766&lt;&gt;"Yes",X766&lt;&gt;"Yes"),1,0)</f>
        <v/>
      </c>
      <c r="AJ766" s="79">
        <f>IF(Y766="⚠️ Order late — install at risk",1,0)</f>
        <v/>
      </c>
    </row>
    <row r="767" ht="20" customHeight="1">
      <c r="B767" s="72" t="n"/>
      <c r="C767" s="72" t="n"/>
      <c r="D767" s="72" t="n"/>
      <c r="E767" s="72" t="n"/>
      <c r="F767" s="73" t="n"/>
      <c r="G767" s="72" t="n"/>
      <c r="H767" s="73" t="n"/>
      <c r="I767" s="72" t="n"/>
      <c r="J767" s="73" t="n"/>
      <c r="K767" s="74" t="n"/>
      <c r="L767" s="75">
        <f>IF(K767="A",F767,IF(K767="B",H767,IF(K767="C",J767,"")))</f>
        <v/>
      </c>
      <c r="M767" s="72" t="n"/>
      <c r="N767" s="72" t="n"/>
      <c r="O767" s="89" t="n"/>
      <c r="P767" s="89" t="n"/>
      <c r="Q767" s="109" t="n"/>
      <c r="R767" s="120">
        <f>IF(B767="","",IF(Q767&lt;&gt;"",Q767,IF(P767="","",IFERROR(INDEX('Timeline'!$J$7:$J$1006,MATCH(P767,'Timeline'!$B$7:$B$1006,0)),""))))</f>
        <v/>
      </c>
      <c r="S767" s="126">
        <f>IF(R767="","",R767-IF(O767="",0,O767)-OrderBuf)</f>
        <v/>
      </c>
      <c r="T767" s="126">
        <f>IF(S767="","",S767-DecideBuf)</f>
        <v/>
      </c>
      <c r="U767" s="74" t="n"/>
      <c r="V767" s="109" t="n"/>
      <c r="W767" s="109" t="n"/>
      <c r="X767" s="74" t="n"/>
      <c r="Y767" s="116">
        <f>IF(B767="","",IF(X767="Yes","Delivered",IF(U767="Yes",IF(AND(W767&lt;&gt;"",R767&lt;&gt;""),IF(W767&gt;R767,"⚠️ Delivery after install date","Ordered"),"Ordered"),IF(K767="",IF(T767="","Waiting for decision",IF(T767&lt;=AsOf+AlertDays,"Decide now","Waiting for decision")),IF(S767="","Selected",IF(AsOf&gt;S767,"⚠️ Order late — install at risk",IF(S767&lt;=AsOf+AlertDays,"Order now","Selected")))))))</f>
        <v/>
      </c>
      <c r="Z767" s="79">
        <f>IF(B767="","",IF(OR(AH767=1,AE767=1),2,IF(OR(AG767=1,AF767=1),1,IF(OR(Y767="Ordered",Y767="Delivered"),0,""))))</f>
        <v/>
      </c>
      <c r="AA767" s="112">
        <f>IF(B767="","",IF(AH767=1,IF(Y767="⚠️ Delivery after install date",R767,S767),IF(AD767=1,T767,IF(AI767=1,S767,""))))</f>
        <v/>
      </c>
      <c r="AB767" s="79">
        <f>IF(AA767="","",IF(AH767=1,1,IF(AA767="","",IF(AA767&lt;AsOf,1,IF(AA767&lt;=AsOf+AlertDays,2,IF(AA767&lt;=AsOf+2*AlertDays,3,""))))))</f>
        <v/>
      </c>
      <c r="AC767" s="79">
        <f>IF(AB767="","",IF(AH767=1,IF(Y767="⚠️ Delivery after install date","Delivery after install date: "&amp;B767,"Order late — install at risk: "&amp;B767),IF(AD767=1,IF(AB767=1,"Decision overdue: ","Decide: ")&amp;B767,"Order: "&amp;B767&amp;IF(N767="",""," from "&amp;N767))))</f>
        <v/>
      </c>
      <c r="AD767" s="79">
        <f>IF(AND(B767&lt;&gt;"",K767="",U767&lt;&gt;"Yes",X767&lt;&gt;"Yes"),1,0)</f>
        <v/>
      </c>
      <c r="AE767" s="79">
        <f>IF(AND(AD767=1,T767&lt;&gt;""),IF(T767&lt;AsOf,1,0),0)</f>
        <v/>
      </c>
      <c r="AF767" s="79">
        <f>IF(AND(AD767=1,T767&lt;&gt;""),IF(AND(T767&gt;=AsOf,T767&lt;=AsOf+AlertDays),1,0),0)</f>
        <v/>
      </c>
      <c r="AG767" s="79">
        <f>IF(Y767="Order now",1,0)</f>
        <v/>
      </c>
      <c r="AH767" s="79">
        <f>IF(OR(Y767="⚠️ Order late — install at risk",Y767="⚠️ Delivery after install date"),1,0)</f>
        <v/>
      </c>
      <c r="AI767" s="79">
        <f>IF(AND(B767&lt;&gt;"",K767&lt;&gt;"",U767&lt;&gt;"Yes",X767&lt;&gt;"Yes"),1,0)</f>
        <v/>
      </c>
      <c r="AJ767" s="79">
        <f>IF(Y767="⚠️ Order late — install at risk",1,0)</f>
        <v/>
      </c>
    </row>
    <row r="768" ht="20" customHeight="1">
      <c r="B768" s="72" t="n"/>
      <c r="C768" s="72" t="n"/>
      <c r="D768" s="72" t="n"/>
      <c r="E768" s="72" t="n"/>
      <c r="F768" s="73" t="n"/>
      <c r="G768" s="72" t="n"/>
      <c r="H768" s="73" t="n"/>
      <c r="I768" s="72" t="n"/>
      <c r="J768" s="73" t="n"/>
      <c r="K768" s="74" t="n"/>
      <c r="L768" s="75">
        <f>IF(K768="A",F768,IF(K768="B",H768,IF(K768="C",J768,"")))</f>
        <v/>
      </c>
      <c r="M768" s="72" t="n"/>
      <c r="N768" s="72" t="n"/>
      <c r="O768" s="89" t="n"/>
      <c r="P768" s="89" t="n"/>
      <c r="Q768" s="109" t="n"/>
      <c r="R768" s="120">
        <f>IF(B768="","",IF(Q768&lt;&gt;"",Q768,IF(P768="","",IFERROR(INDEX('Timeline'!$J$7:$J$1006,MATCH(P768,'Timeline'!$B$7:$B$1006,0)),""))))</f>
        <v/>
      </c>
      <c r="S768" s="126">
        <f>IF(R768="","",R768-IF(O768="",0,O768)-OrderBuf)</f>
        <v/>
      </c>
      <c r="T768" s="126">
        <f>IF(S768="","",S768-DecideBuf)</f>
        <v/>
      </c>
      <c r="U768" s="74" t="n"/>
      <c r="V768" s="109" t="n"/>
      <c r="W768" s="109" t="n"/>
      <c r="X768" s="74" t="n"/>
      <c r="Y768" s="116">
        <f>IF(B768="","",IF(X768="Yes","Delivered",IF(U768="Yes",IF(AND(W768&lt;&gt;"",R768&lt;&gt;""),IF(W768&gt;R768,"⚠️ Delivery after install date","Ordered"),"Ordered"),IF(K768="",IF(T768="","Waiting for decision",IF(T768&lt;=AsOf+AlertDays,"Decide now","Waiting for decision")),IF(S768="","Selected",IF(AsOf&gt;S768,"⚠️ Order late — install at risk",IF(S768&lt;=AsOf+AlertDays,"Order now","Selected")))))))</f>
        <v/>
      </c>
      <c r="Z768" s="79">
        <f>IF(B768="","",IF(OR(AH768=1,AE768=1),2,IF(OR(AG768=1,AF768=1),1,IF(OR(Y768="Ordered",Y768="Delivered"),0,""))))</f>
        <v/>
      </c>
      <c r="AA768" s="112">
        <f>IF(B768="","",IF(AH768=1,IF(Y768="⚠️ Delivery after install date",R768,S768),IF(AD768=1,T768,IF(AI768=1,S768,""))))</f>
        <v/>
      </c>
      <c r="AB768" s="79">
        <f>IF(AA768="","",IF(AH768=1,1,IF(AA768="","",IF(AA768&lt;AsOf,1,IF(AA768&lt;=AsOf+AlertDays,2,IF(AA768&lt;=AsOf+2*AlertDays,3,""))))))</f>
        <v/>
      </c>
      <c r="AC768" s="79">
        <f>IF(AB768="","",IF(AH768=1,IF(Y768="⚠️ Delivery after install date","Delivery after install date: "&amp;B768,"Order late — install at risk: "&amp;B768),IF(AD768=1,IF(AB768=1,"Decision overdue: ","Decide: ")&amp;B768,"Order: "&amp;B768&amp;IF(N768="",""," from "&amp;N768))))</f>
        <v/>
      </c>
      <c r="AD768" s="79">
        <f>IF(AND(B768&lt;&gt;"",K768="",U768&lt;&gt;"Yes",X768&lt;&gt;"Yes"),1,0)</f>
        <v/>
      </c>
      <c r="AE768" s="79">
        <f>IF(AND(AD768=1,T768&lt;&gt;""),IF(T768&lt;AsOf,1,0),0)</f>
        <v/>
      </c>
      <c r="AF768" s="79">
        <f>IF(AND(AD768=1,T768&lt;&gt;""),IF(AND(T768&gt;=AsOf,T768&lt;=AsOf+AlertDays),1,0),0)</f>
        <v/>
      </c>
      <c r="AG768" s="79">
        <f>IF(Y768="Order now",1,0)</f>
        <v/>
      </c>
      <c r="AH768" s="79">
        <f>IF(OR(Y768="⚠️ Order late — install at risk",Y768="⚠️ Delivery after install date"),1,0)</f>
        <v/>
      </c>
      <c r="AI768" s="79">
        <f>IF(AND(B768&lt;&gt;"",K768&lt;&gt;"",U768&lt;&gt;"Yes",X768&lt;&gt;"Yes"),1,0)</f>
        <v/>
      </c>
      <c r="AJ768" s="79">
        <f>IF(Y768="⚠️ Order late — install at risk",1,0)</f>
        <v/>
      </c>
    </row>
    <row r="769" ht="20" customHeight="1">
      <c r="B769" s="72" t="n"/>
      <c r="C769" s="72" t="n"/>
      <c r="D769" s="72" t="n"/>
      <c r="E769" s="72" t="n"/>
      <c r="F769" s="73" t="n"/>
      <c r="G769" s="72" t="n"/>
      <c r="H769" s="73" t="n"/>
      <c r="I769" s="72" t="n"/>
      <c r="J769" s="73" t="n"/>
      <c r="K769" s="74" t="n"/>
      <c r="L769" s="75">
        <f>IF(K769="A",F769,IF(K769="B",H769,IF(K769="C",J769,"")))</f>
        <v/>
      </c>
      <c r="M769" s="72" t="n"/>
      <c r="N769" s="72" t="n"/>
      <c r="O769" s="89" t="n"/>
      <c r="P769" s="89" t="n"/>
      <c r="Q769" s="109" t="n"/>
      <c r="R769" s="120">
        <f>IF(B769="","",IF(Q769&lt;&gt;"",Q769,IF(P769="","",IFERROR(INDEX('Timeline'!$J$7:$J$1006,MATCH(P769,'Timeline'!$B$7:$B$1006,0)),""))))</f>
        <v/>
      </c>
      <c r="S769" s="126">
        <f>IF(R769="","",R769-IF(O769="",0,O769)-OrderBuf)</f>
        <v/>
      </c>
      <c r="T769" s="126">
        <f>IF(S769="","",S769-DecideBuf)</f>
        <v/>
      </c>
      <c r="U769" s="74" t="n"/>
      <c r="V769" s="109" t="n"/>
      <c r="W769" s="109" t="n"/>
      <c r="X769" s="74" t="n"/>
      <c r="Y769" s="116">
        <f>IF(B769="","",IF(X769="Yes","Delivered",IF(U769="Yes",IF(AND(W769&lt;&gt;"",R769&lt;&gt;""),IF(W769&gt;R769,"⚠️ Delivery after install date","Ordered"),"Ordered"),IF(K769="",IF(T769="","Waiting for decision",IF(T769&lt;=AsOf+AlertDays,"Decide now","Waiting for decision")),IF(S769="","Selected",IF(AsOf&gt;S769,"⚠️ Order late — install at risk",IF(S769&lt;=AsOf+AlertDays,"Order now","Selected")))))))</f>
        <v/>
      </c>
      <c r="Z769" s="79">
        <f>IF(B769="","",IF(OR(AH769=1,AE769=1),2,IF(OR(AG769=1,AF769=1),1,IF(OR(Y769="Ordered",Y769="Delivered"),0,""))))</f>
        <v/>
      </c>
      <c r="AA769" s="112">
        <f>IF(B769="","",IF(AH769=1,IF(Y769="⚠️ Delivery after install date",R769,S769),IF(AD769=1,T769,IF(AI769=1,S769,""))))</f>
        <v/>
      </c>
      <c r="AB769" s="79">
        <f>IF(AA769="","",IF(AH769=1,1,IF(AA769="","",IF(AA769&lt;AsOf,1,IF(AA769&lt;=AsOf+AlertDays,2,IF(AA769&lt;=AsOf+2*AlertDays,3,""))))))</f>
        <v/>
      </c>
      <c r="AC769" s="79">
        <f>IF(AB769="","",IF(AH769=1,IF(Y769="⚠️ Delivery after install date","Delivery after install date: "&amp;B769,"Order late — install at risk: "&amp;B769),IF(AD769=1,IF(AB769=1,"Decision overdue: ","Decide: ")&amp;B769,"Order: "&amp;B769&amp;IF(N769="",""," from "&amp;N769))))</f>
        <v/>
      </c>
      <c r="AD769" s="79">
        <f>IF(AND(B769&lt;&gt;"",K769="",U769&lt;&gt;"Yes",X769&lt;&gt;"Yes"),1,0)</f>
        <v/>
      </c>
      <c r="AE769" s="79">
        <f>IF(AND(AD769=1,T769&lt;&gt;""),IF(T769&lt;AsOf,1,0),0)</f>
        <v/>
      </c>
      <c r="AF769" s="79">
        <f>IF(AND(AD769=1,T769&lt;&gt;""),IF(AND(T769&gt;=AsOf,T769&lt;=AsOf+AlertDays),1,0),0)</f>
        <v/>
      </c>
      <c r="AG769" s="79">
        <f>IF(Y769="Order now",1,0)</f>
        <v/>
      </c>
      <c r="AH769" s="79">
        <f>IF(OR(Y769="⚠️ Order late — install at risk",Y769="⚠️ Delivery after install date"),1,0)</f>
        <v/>
      </c>
      <c r="AI769" s="79">
        <f>IF(AND(B769&lt;&gt;"",K769&lt;&gt;"",U769&lt;&gt;"Yes",X769&lt;&gt;"Yes"),1,0)</f>
        <v/>
      </c>
      <c r="AJ769" s="79">
        <f>IF(Y769="⚠️ Order late — install at risk",1,0)</f>
        <v/>
      </c>
    </row>
    <row r="770" ht="20" customHeight="1">
      <c r="B770" s="72" t="n"/>
      <c r="C770" s="72" t="n"/>
      <c r="D770" s="72" t="n"/>
      <c r="E770" s="72" t="n"/>
      <c r="F770" s="73" t="n"/>
      <c r="G770" s="72" t="n"/>
      <c r="H770" s="73" t="n"/>
      <c r="I770" s="72" t="n"/>
      <c r="J770" s="73" t="n"/>
      <c r="K770" s="74" t="n"/>
      <c r="L770" s="75">
        <f>IF(K770="A",F770,IF(K770="B",H770,IF(K770="C",J770,"")))</f>
        <v/>
      </c>
      <c r="M770" s="72" t="n"/>
      <c r="N770" s="72" t="n"/>
      <c r="O770" s="89" t="n"/>
      <c r="P770" s="89" t="n"/>
      <c r="Q770" s="109" t="n"/>
      <c r="R770" s="120">
        <f>IF(B770="","",IF(Q770&lt;&gt;"",Q770,IF(P770="","",IFERROR(INDEX('Timeline'!$J$7:$J$1006,MATCH(P770,'Timeline'!$B$7:$B$1006,0)),""))))</f>
        <v/>
      </c>
      <c r="S770" s="126">
        <f>IF(R770="","",R770-IF(O770="",0,O770)-OrderBuf)</f>
        <v/>
      </c>
      <c r="T770" s="126">
        <f>IF(S770="","",S770-DecideBuf)</f>
        <v/>
      </c>
      <c r="U770" s="74" t="n"/>
      <c r="V770" s="109" t="n"/>
      <c r="W770" s="109" t="n"/>
      <c r="X770" s="74" t="n"/>
      <c r="Y770" s="116">
        <f>IF(B770="","",IF(X770="Yes","Delivered",IF(U770="Yes",IF(AND(W770&lt;&gt;"",R770&lt;&gt;""),IF(W770&gt;R770,"⚠️ Delivery after install date","Ordered"),"Ordered"),IF(K770="",IF(T770="","Waiting for decision",IF(T770&lt;=AsOf+AlertDays,"Decide now","Waiting for decision")),IF(S770="","Selected",IF(AsOf&gt;S770,"⚠️ Order late — install at risk",IF(S770&lt;=AsOf+AlertDays,"Order now","Selected")))))))</f>
        <v/>
      </c>
      <c r="Z770" s="79">
        <f>IF(B770="","",IF(OR(AH770=1,AE770=1),2,IF(OR(AG770=1,AF770=1),1,IF(OR(Y770="Ordered",Y770="Delivered"),0,""))))</f>
        <v/>
      </c>
      <c r="AA770" s="112">
        <f>IF(B770="","",IF(AH770=1,IF(Y770="⚠️ Delivery after install date",R770,S770),IF(AD770=1,T770,IF(AI770=1,S770,""))))</f>
        <v/>
      </c>
      <c r="AB770" s="79">
        <f>IF(AA770="","",IF(AH770=1,1,IF(AA770="","",IF(AA770&lt;AsOf,1,IF(AA770&lt;=AsOf+AlertDays,2,IF(AA770&lt;=AsOf+2*AlertDays,3,""))))))</f>
        <v/>
      </c>
      <c r="AC770" s="79">
        <f>IF(AB770="","",IF(AH770=1,IF(Y770="⚠️ Delivery after install date","Delivery after install date: "&amp;B770,"Order late — install at risk: "&amp;B770),IF(AD770=1,IF(AB770=1,"Decision overdue: ","Decide: ")&amp;B770,"Order: "&amp;B770&amp;IF(N770="",""," from "&amp;N770))))</f>
        <v/>
      </c>
      <c r="AD770" s="79">
        <f>IF(AND(B770&lt;&gt;"",K770="",U770&lt;&gt;"Yes",X770&lt;&gt;"Yes"),1,0)</f>
        <v/>
      </c>
      <c r="AE770" s="79">
        <f>IF(AND(AD770=1,T770&lt;&gt;""),IF(T770&lt;AsOf,1,0),0)</f>
        <v/>
      </c>
      <c r="AF770" s="79">
        <f>IF(AND(AD770=1,T770&lt;&gt;""),IF(AND(T770&gt;=AsOf,T770&lt;=AsOf+AlertDays),1,0),0)</f>
        <v/>
      </c>
      <c r="AG770" s="79">
        <f>IF(Y770="Order now",1,0)</f>
        <v/>
      </c>
      <c r="AH770" s="79">
        <f>IF(OR(Y770="⚠️ Order late — install at risk",Y770="⚠️ Delivery after install date"),1,0)</f>
        <v/>
      </c>
      <c r="AI770" s="79">
        <f>IF(AND(B770&lt;&gt;"",K770&lt;&gt;"",U770&lt;&gt;"Yes",X770&lt;&gt;"Yes"),1,0)</f>
        <v/>
      </c>
      <c r="AJ770" s="79">
        <f>IF(Y770="⚠️ Order late — install at risk",1,0)</f>
        <v/>
      </c>
    </row>
    <row r="771" ht="20" customHeight="1">
      <c r="B771" s="72" t="n"/>
      <c r="C771" s="72" t="n"/>
      <c r="D771" s="72" t="n"/>
      <c r="E771" s="72" t="n"/>
      <c r="F771" s="73" t="n"/>
      <c r="G771" s="72" t="n"/>
      <c r="H771" s="73" t="n"/>
      <c r="I771" s="72" t="n"/>
      <c r="J771" s="73" t="n"/>
      <c r="K771" s="74" t="n"/>
      <c r="L771" s="75">
        <f>IF(K771="A",F771,IF(K771="B",H771,IF(K771="C",J771,"")))</f>
        <v/>
      </c>
      <c r="M771" s="72" t="n"/>
      <c r="N771" s="72" t="n"/>
      <c r="O771" s="89" t="n"/>
      <c r="P771" s="89" t="n"/>
      <c r="Q771" s="109" t="n"/>
      <c r="R771" s="120">
        <f>IF(B771="","",IF(Q771&lt;&gt;"",Q771,IF(P771="","",IFERROR(INDEX('Timeline'!$J$7:$J$1006,MATCH(P771,'Timeline'!$B$7:$B$1006,0)),""))))</f>
        <v/>
      </c>
      <c r="S771" s="126">
        <f>IF(R771="","",R771-IF(O771="",0,O771)-OrderBuf)</f>
        <v/>
      </c>
      <c r="T771" s="126">
        <f>IF(S771="","",S771-DecideBuf)</f>
        <v/>
      </c>
      <c r="U771" s="74" t="n"/>
      <c r="V771" s="109" t="n"/>
      <c r="W771" s="109" t="n"/>
      <c r="X771" s="74" t="n"/>
      <c r="Y771" s="116">
        <f>IF(B771="","",IF(X771="Yes","Delivered",IF(U771="Yes",IF(AND(W771&lt;&gt;"",R771&lt;&gt;""),IF(W771&gt;R771,"⚠️ Delivery after install date","Ordered"),"Ordered"),IF(K771="",IF(T771="","Waiting for decision",IF(T771&lt;=AsOf+AlertDays,"Decide now","Waiting for decision")),IF(S771="","Selected",IF(AsOf&gt;S771,"⚠️ Order late — install at risk",IF(S771&lt;=AsOf+AlertDays,"Order now","Selected")))))))</f>
        <v/>
      </c>
      <c r="Z771" s="79">
        <f>IF(B771="","",IF(OR(AH771=1,AE771=1),2,IF(OR(AG771=1,AF771=1),1,IF(OR(Y771="Ordered",Y771="Delivered"),0,""))))</f>
        <v/>
      </c>
      <c r="AA771" s="112">
        <f>IF(B771="","",IF(AH771=1,IF(Y771="⚠️ Delivery after install date",R771,S771),IF(AD771=1,T771,IF(AI771=1,S771,""))))</f>
        <v/>
      </c>
      <c r="AB771" s="79">
        <f>IF(AA771="","",IF(AH771=1,1,IF(AA771="","",IF(AA771&lt;AsOf,1,IF(AA771&lt;=AsOf+AlertDays,2,IF(AA771&lt;=AsOf+2*AlertDays,3,""))))))</f>
        <v/>
      </c>
      <c r="AC771" s="79">
        <f>IF(AB771="","",IF(AH771=1,IF(Y771="⚠️ Delivery after install date","Delivery after install date: "&amp;B771,"Order late — install at risk: "&amp;B771),IF(AD771=1,IF(AB771=1,"Decision overdue: ","Decide: ")&amp;B771,"Order: "&amp;B771&amp;IF(N771="",""," from "&amp;N771))))</f>
        <v/>
      </c>
      <c r="AD771" s="79">
        <f>IF(AND(B771&lt;&gt;"",K771="",U771&lt;&gt;"Yes",X771&lt;&gt;"Yes"),1,0)</f>
        <v/>
      </c>
      <c r="AE771" s="79">
        <f>IF(AND(AD771=1,T771&lt;&gt;""),IF(T771&lt;AsOf,1,0),0)</f>
        <v/>
      </c>
      <c r="AF771" s="79">
        <f>IF(AND(AD771=1,T771&lt;&gt;""),IF(AND(T771&gt;=AsOf,T771&lt;=AsOf+AlertDays),1,0),0)</f>
        <v/>
      </c>
      <c r="AG771" s="79">
        <f>IF(Y771="Order now",1,0)</f>
        <v/>
      </c>
      <c r="AH771" s="79">
        <f>IF(OR(Y771="⚠️ Order late — install at risk",Y771="⚠️ Delivery after install date"),1,0)</f>
        <v/>
      </c>
      <c r="AI771" s="79">
        <f>IF(AND(B771&lt;&gt;"",K771&lt;&gt;"",U771&lt;&gt;"Yes",X771&lt;&gt;"Yes"),1,0)</f>
        <v/>
      </c>
      <c r="AJ771" s="79">
        <f>IF(Y771="⚠️ Order late — install at risk",1,0)</f>
        <v/>
      </c>
    </row>
    <row r="772" ht="20" customHeight="1">
      <c r="B772" s="72" t="n"/>
      <c r="C772" s="72" t="n"/>
      <c r="D772" s="72" t="n"/>
      <c r="E772" s="72" t="n"/>
      <c r="F772" s="73" t="n"/>
      <c r="G772" s="72" t="n"/>
      <c r="H772" s="73" t="n"/>
      <c r="I772" s="72" t="n"/>
      <c r="J772" s="73" t="n"/>
      <c r="K772" s="74" t="n"/>
      <c r="L772" s="75">
        <f>IF(K772="A",F772,IF(K772="B",H772,IF(K772="C",J772,"")))</f>
        <v/>
      </c>
      <c r="M772" s="72" t="n"/>
      <c r="N772" s="72" t="n"/>
      <c r="O772" s="89" t="n"/>
      <c r="P772" s="89" t="n"/>
      <c r="Q772" s="109" t="n"/>
      <c r="R772" s="120">
        <f>IF(B772="","",IF(Q772&lt;&gt;"",Q772,IF(P772="","",IFERROR(INDEX('Timeline'!$J$7:$J$1006,MATCH(P772,'Timeline'!$B$7:$B$1006,0)),""))))</f>
        <v/>
      </c>
      <c r="S772" s="126">
        <f>IF(R772="","",R772-IF(O772="",0,O772)-OrderBuf)</f>
        <v/>
      </c>
      <c r="T772" s="126">
        <f>IF(S772="","",S772-DecideBuf)</f>
        <v/>
      </c>
      <c r="U772" s="74" t="n"/>
      <c r="V772" s="109" t="n"/>
      <c r="W772" s="109" t="n"/>
      <c r="X772" s="74" t="n"/>
      <c r="Y772" s="116">
        <f>IF(B772="","",IF(X772="Yes","Delivered",IF(U772="Yes",IF(AND(W772&lt;&gt;"",R772&lt;&gt;""),IF(W772&gt;R772,"⚠️ Delivery after install date","Ordered"),"Ordered"),IF(K772="",IF(T772="","Waiting for decision",IF(T772&lt;=AsOf+AlertDays,"Decide now","Waiting for decision")),IF(S772="","Selected",IF(AsOf&gt;S772,"⚠️ Order late — install at risk",IF(S772&lt;=AsOf+AlertDays,"Order now","Selected")))))))</f>
        <v/>
      </c>
      <c r="Z772" s="79">
        <f>IF(B772="","",IF(OR(AH772=1,AE772=1),2,IF(OR(AG772=1,AF772=1),1,IF(OR(Y772="Ordered",Y772="Delivered"),0,""))))</f>
        <v/>
      </c>
      <c r="AA772" s="112">
        <f>IF(B772="","",IF(AH772=1,IF(Y772="⚠️ Delivery after install date",R772,S772),IF(AD772=1,T772,IF(AI772=1,S772,""))))</f>
        <v/>
      </c>
      <c r="AB772" s="79">
        <f>IF(AA772="","",IF(AH772=1,1,IF(AA772="","",IF(AA772&lt;AsOf,1,IF(AA772&lt;=AsOf+AlertDays,2,IF(AA772&lt;=AsOf+2*AlertDays,3,""))))))</f>
        <v/>
      </c>
      <c r="AC772" s="79">
        <f>IF(AB772="","",IF(AH772=1,IF(Y772="⚠️ Delivery after install date","Delivery after install date: "&amp;B772,"Order late — install at risk: "&amp;B772),IF(AD772=1,IF(AB772=1,"Decision overdue: ","Decide: ")&amp;B772,"Order: "&amp;B772&amp;IF(N772="",""," from "&amp;N772))))</f>
        <v/>
      </c>
      <c r="AD772" s="79">
        <f>IF(AND(B772&lt;&gt;"",K772="",U772&lt;&gt;"Yes",X772&lt;&gt;"Yes"),1,0)</f>
        <v/>
      </c>
      <c r="AE772" s="79">
        <f>IF(AND(AD772=1,T772&lt;&gt;""),IF(T772&lt;AsOf,1,0),0)</f>
        <v/>
      </c>
      <c r="AF772" s="79">
        <f>IF(AND(AD772=1,T772&lt;&gt;""),IF(AND(T772&gt;=AsOf,T772&lt;=AsOf+AlertDays),1,0),0)</f>
        <v/>
      </c>
      <c r="AG772" s="79">
        <f>IF(Y772="Order now",1,0)</f>
        <v/>
      </c>
      <c r="AH772" s="79">
        <f>IF(OR(Y772="⚠️ Order late — install at risk",Y772="⚠️ Delivery after install date"),1,0)</f>
        <v/>
      </c>
      <c r="AI772" s="79">
        <f>IF(AND(B772&lt;&gt;"",K772&lt;&gt;"",U772&lt;&gt;"Yes",X772&lt;&gt;"Yes"),1,0)</f>
        <v/>
      </c>
      <c r="AJ772" s="79">
        <f>IF(Y772="⚠️ Order late — install at risk",1,0)</f>
        <v/>
      </c>
    </row>
    <row r="773" ht="20" customHeight="1">
      <c r="B773" s="72" t="n"/>
      <c r="C773" s="72" t="n"/>
      <c r="D773" s="72" t="n"/>
      <c r="E773" s="72" t="n"/>
      <c r="F773" s="73" t="n"/>
      <c r="G773" s="72" t="n"/>
      <c r="H773" s="73" t="n"/>
      <c r="I773" s="72" t="n"/>
      <c r="J773" s="73" t="n"/>
      <c r="K773" s="74" t="n"/>
      <c r="L773" s="75">
        <f>IF(K773="A",F773,IF(K773="B",H773,IF(K773="C",J773,"")))</f>
        <v/>
      </c>
      <c r="M773" s="72" t="n"/>
      <c r="N773" s="72" t="n"/>
      <c r="O773" s="89" t="n"/>
      <c r="P773" s="89" t="n"/>
      <c r="Q773" s="109" t="n"/>
      <c r="R773" s="120">
        <f>IF(B773="","",IF(Q773&lt;&gt;"",Q773,IF(P773="","",IFERROR(INDEX('Timeline'!$J$7:$J$1006,MATCH(P773,'Timeline'!$B$7:$B$1006,0)),""))))</f>
        <v/>
      </c>
      <c r="S773" s="126">
        <f>IF(R773="","",R773-IF(O773="",0,O773)-OrderBuf)</f>
        <v/>
      </c>
      <c r="T773" s="126">
        <f>IF(S773="","",S773-DecideBuf)</f>
        <v/>
      </c>
      <c r="U773" s="74" t="n"/>
      <c r="V773" s="109" t="n"/>
      <c r="W773" s="109" t="n"/>
      <c r="X773" s="74" t="n"/>
      <c r="Y773" s="116">
        <f>IF(B773="","",IF(X773="Yes","Delivered",IF(U773="Yes",IF(AND(W773&lt;&gt;"",R773&lt;&gt;""),IF(W773&gt;R773,"⚠️ Delivery after install date","Ordered"),"Ordered"),IF(K773="",IF(T773="","Waiting for decision",IF(T773&lt;=AsOf+AlertDays,"Decide now","Waiting for decision")),IF(S773="","Selected",IF(AsOf&gt;S773,"⚠️ Order late — install at risk",IF(S773&lt;=AsOf+AlertDays,"Order now","Selected")))))))</f>
        <v/>
      </c>
      <c r="Z773" s="79">
        <f>IF(B773="","",IF(OR(AH773=1,AE773=1),2,IF(OR(AG773=1,AF773=1),1,IF(OR(Y773="Ordered",Y773="Delivered"),0,""))))</f>
        <v/>
      </c>
      <c r="AA773" s="112">
        <f>IF(B773="","",IF(AH773=1,IF(Y773="⚠️ Delivery after install date",R773,S773),IF(AD773=1,T773,IF(AI773=1,S773,""))))</f>
        <v/>
      </c>
      <c r="AB773" s="79">
        <f>IF(AA773="","",IF(AH773=1,1,IF(AA773="","",IF(AA773&lt;AsOf,1,IF(AA773&lt;=AsOf+AlertDays,2,IF(AA773&lt;=AsOf+2*AlertDays,3,""))))))</f>
        <v/>
      </c>
      <c r="AC773" s="79">
        <f>IF(AB773="","",IF(AH773=1,IF(Y773="⚠️ Delivery after install date","Delivery after install date: "&amp;B773,"Order late — install at risk: "&amp;B773),IF(AD773=1,IF(AB773=1,"Decision overdue: ","Decide: ")&amp;B773,"Order: "&amp;B773&amp;IF(N773="",""," from "&amp;N773))))</f>
        <v/>
      </c>
      <c r="AD773" s="79">
        <f>IF(AND(B773&lt;&gt;"",K773="",U773&lt;&gt;"Yes",X773&lt;&gt;"Yes"),1,0)</f>
        <v/>
      </c>
      <c r="AE773" s="79">
        <f>IF(AND(AD773=1,T773&lt;&gt;""),IF(T773&lt;AsOf,1,0),0)</f>
        <v/>
      </c>
      <c r="AF773" s="79">
        <f>IF(AND(AD773=1,T773&lt;&gt;""),IF(AND(T773&gt;=AsOf,T773&lt;=AsOf+AlertDays),1,0),0)</f>
        <v/>
      </c>
      <c r="AG773" s="79">
        <f>IF(Y773="Order now",1,0)</f>
        <v/>
      </c>
      <c r="AH773" s="79">
        <f>IF(OR(Y773="⚠️ Order late — install at risk",Y773="⚠️ Delivery after install date"),1,0)</f>
        <v/>
      </c>
      <c r="AI773" s="79">
        <f>IF(AND(B773&lt;&gt;"",K773&lt;&gt;"",U773&lt;&gt;"Yes",X773&lt;&gt;"Yes"),1,0)</f>
        <v/>
      </c>
      <c r="AJ773" s="79">
        <f>IF(Y773="⚠️ Order late — install at risk",1,0)</f>
        <v/>
      </c>
    </row>
    <row r="774" ht="20" customHeight="1">
      <c r="B774" s="72" t="n"/>
      <c r="C774" s="72" t="n"/>
      <c r="D774" s="72" t="n"/>
      <c r="E774" s="72" t="n"/>
      <c r="F774" s="73" t="n"/>
      <c r="G774" s="72" t="n"/>
      <c r="H774" s="73" t="n"/>
      <c r="I774" s="72" t="n"/>
      <c r="J774" s="73" t="n"/>
      <c r="K774" s="74" t="n"/>
      <c r="L774" s="75">
        <f>IF(K774="A",F774,IF(K774="B",H774,IF(K774="C",J774,"")))</f>
        <v/>
      </c>
      <c r="M774" s="72" t="n"/>
      <c r="N774" s="72" t="n"/>
      <c r="O774" s="89" t="n"/>
      <c r="P774" s="89" t="n"/>
      <c r="Q774" s="109" t="n"/>
      <c r="R774" s="120">
        <f>IF(B774="","",IF(Q774&lt;&gt;"",Q774,IF(P774="","",IFERROR(INDEX('Timeline'!$J$7:$J$1006,MATCH(P774,'Timeline'!$B$7:$B$1006,0)),""))))</f>
        <v/>
      </c>
      <c r="S774" s="126">
        <f>IF(R774="","",R774-IF(O774="",0,O774)-OrderBuf)</f>
        <v/>
      </c>
      <c r="T774" s="126">
        <f>IF(S774="","",S774-DecideBuf)</f>
        <v/>
      </c>
      <c r="U774" s="74" t="n"/>
      <c r="V774" s="109" t="n"/>
      <c r="W774" s="109" t="n"/>
      <c r="X774" s="74" t="n"/>
      <c r="Y774" s="116">
        <f>IF(B774="","",IF(X774="Yes","Delivered",IF(U774="Yes",IF(AND(W774&lt;&gt;"",R774&lt;&gt;""),IF(W774&gt;R774,"⚠️ Delivery after install date","Ordered"),"Ordered"),IF(K774="",IF(T774="","Waiting for decision",IF(T774&lt;=AsOf+AlertDays,"Decide now","Waiting for decision")),IF(S774="","Selected",IF(AsOf&gt;S774,"⚠️ Order late — install at risk",IF(S774&lt;=AsOf+AlertDays,"Order now","Selected")))))))</f>
        <v/>
      </c>
      <c r="Z774" s="79">
        <f>IF(B774="","",IF(OR(AH774=1,AE774=1),2,IF(OR(AG774=1,AF774=1),1,IF(OR(Y774="Ordered",Y774="Delivered"),0,""))))</f>
        <v/>
      </c>
      <c r="AA774" s="112">
        <f>IF(B774="","",IF(AH774=1,IF(Y774="⚠️ Delivery after install date",R774,S774),IF(AD774=1,T774,IF(AI774=1,S774,""))))</f>
        <v/>
      </c>
      <c r="AB774" s="79">
        <f>IF(AA774="","",IF(AH774=1,1,IF(AA774="","",IF(AA774&lt;AsOf,1,IF(AA774&lt;=AsOf+AlertDays,2,IF(AA774&lt;=AsOf+2*AlertDays,3,""))))))</f>
        <v/>
      </c>
      <c r="AC774" s="79">
        <f>IF(AB774="","",IF(AH774=1,IF(Y774="⚠️ Delivery after install date","Delivery after install date: "&amp;B774,"Order late — install at risk: "&amp;B774),IF(AD774=1,IF(AB774=1,"Decision overdue: ","Decide: ")&amp;B774,"Order: "&amp;B774&amp;IF(N774="",""," from "&amp;N774))))</f>
        <v/>
      </c>
      <c r="AD774" s="79">
        <f>IF(AND(B774&lt;&gt;"",K774="",U774&lt;&gt;"Yes",X774&lt;&gt;"Yes"),1,0)</f>
        <v/>
      </c>
      <c r="AE774" s="79">
        <f>IF(AND(AD774=1,T774&lt;&gt;""),IF(T774&lt;AsOf,1,0),0)</f>
        <v/>
      </c>
      <c r="AF774" s="79">
        <f>IF(AND(AD774=1,T774&lt;&gt;""),IF(AND(T774&gt;=AsOf,T774&lt;=AsOf+AlertDays),1,0),0)</f>
        <v/>
      </c>
      <c r="AG774" s="79">
        <f>IF(Y774="Order now",1,0)</f>
        <v/>
      </c>
      <c r="AH774" s="79">
        <f>IF(OR(Y774="⚠️ Order late — install at risk",Y774="⚠️ Delivery after install date"),1,0)</f>
        <v/>
      </c>
      <c r="AI774" s="79">
        <f>IF(AND(B774&lt;&gt;"",K774&lt;&gt;"",U774&lt;&gt;"Yes",X774&lt;&gt;"Yes"),1,0)</f>
        <v/>
      </c>
      <c r="AJ774" s="79">
        <f>IF(Y774="⚠️ Order late — install at risk",1,0)</f>
        <v/>
      </c>
    </row>
    <row r="775" ht="20" customHeight="1">
      <c r="B775" s="72" t="n"/>
      <c r="C775" s="72" t="n"/>
      <c r="D775" s="72" t="n"/>
      <c r="E775" s="72" t="n"/>
      <c r="F775" s="73" t="n"/>
      <c r="G775" s="72" t="n"/>
      <c r="H775" s="73" t="n"/>
      <c r="I775" s="72" t="n"/>
      <c r="J775" s="73" t="n"/>
      <c r="K775" s="74" t="n"/>
      <c r="L775" s="75">
        <f>IF(K775="A",F775,IF(K775="B",H775,IF(K775="C",J775,"")))</f>
        <v/>
      </c>
      <c r="M775" s="72" t="n"/>
      <c r="N775" s="72" t="n"/>
      <c r="O775" s="89" t="n"/>
      <c r="P775" s="89" t="n"/>
      <c r="Q775" s="109" t="n"/>
      <c r="R775" s="120">
        <f>IF(B775="","",IF(Q775&lt;&gt;"",Q775,IF(P775="","",IFERROR(INDEX('Timeline'!$J$7:$J$1006,MATCH(P775,'Timeline'!$B$7:$B$1006,0)),""))))</f>
        <v/>
      </c>
      <c r="S775" s="126">
        <f>IF(R775="","",R775-IF(O775="",0,O775)-OrderBuf)</f>
        <v/>
      </c>
      <c r="T775" s="126">
        <f>IF(S775="","",S775-DecideBuf)</f>
        <v/>
      </c>
      <c r="U775" s="74" t="n"/>
      <c r="V775" s="109" t="n"/>
      <c r="W775" s="109" t="n"/>
      <c r="X775" s="74" t="n"/>
      <c r="Y775" s="116">
        <f>IF(B775="","",IF(X775="Yes","Delivered",IF(U775="Yes",IF(AND(W775&lt;&gt;"",R775&lt;&gt;""),IF(W775&gt;R775,"⚠️ Delivery after install date","Ordered"),"Ordered"),IF(K775="",IF(T775="","Waiting for decision",IF(T775&lt;=AsOf+AlertDays,"Decide now","Waiting for decision")),IF(S775="","Selected",IF(AsOf&gt;S775,"⚠️ Order late — install at risk",IF(S775&lt;=AsOf+AlertDays,"Order now","Selected")))))))</f>
        <v/>
      </c>
      <c r="Z775" s="79">
        <f>IF(B775="","",IF(OR(AH775=1,AE775=1),2,IF(OR(AG775=1,AF775=1),1,IF(OR(Y775="Ordered",Y775="Delivered"),0,""))))</f>
        <v/>
      </c>
      <c r="AA775" s="112">
        <f>IF(B775="","",IF(AH775=1,IF(Y775="⚠️ Delivery after install date",R775,S775),IF(AD775=1,T775,IF(AI775=1,S775,""))))</f>
        <v/>
      </c>
      <c r="AB775" s="79">
        <f>IF(AA775="","",IF(AH775=1,1,IF(AA775="","",IF(AA775&lt;AsOf,1,IF(AA775&lt;=AsOf+AlertDays,2,IF(AA775&lt;=AsOf+2*AlertDays,3,""))))))</f>
        <v/>
      </c>
      <c r="AC775" s="79">
        <f>IF(AB775="","",IF(AH775=1,IF(Y775="⚠️ Delivery after install date","Delivery after install date: "&amp;B775,"Order late — install at risk: "&amp;B775),IF(AD775=1,IF(AB775=1,"Decision overdue: ","Decide: ")&amp;B775,"Order: "&amp;B775&amp;IF(N775="",""," from "&amp;N775))))</f>
        <v/>
      </c>
      <c r="AD775" s="79">
        <f>IF(AND(B775&lt;&gt;"",K775="",U775&lt;&gt;"Yes",X775&lt;&gt;"Yes"),1,0)</f>
        <v/>
      </c>
      <c r="AE775" s="79">
        <f>IF(AND(AD775=1,T775&lt;&gt;""),IF(T775&lt;AsOf,1,0),0)</f>
        <v/>
      </c>
      <c r="AF775" s="79">
        <f>IF(AND(AD775=1,T775&lt;&gt;""),IF(AND(T775&gt;=AsOf,T775&lt;=AsOf+AlertDays),1,0),0)</f>
        <v/>
      </c>
      <c r="AG775" s="79">
        <f>IF(Y775="Order now",1,0)</f>
        <v/>
      </c>
      <c r="AH775" s="79">
        <f>IF(OR(Y775="⚠️ Order late — install at risk",Y775="⚠️ Delivery after install date"),1,0)</f>
        <v/>
      </c>
      <c r="AI775" s="79">
        <f>IF(AND(B775&lt;&gt;"",K775&lt;&gt;"",U775&lt;&gt;"Yes",X775&lt;&gt;"Yes"),1,0)</f>
        <v/>
      </c>
      <c r="AJ775" s="79">
        <f>IF(Y775="⚠️ Order late — install at risk",1,0)</f>
        <v/>
      </c>
    </row>
    <row r="776" ht="20" customHeight="1">
      <c r="B776" s="72" t="n"/>
      <c r="C776" s="72" t="n"/>
      <c r="D776" s="72" t="n"/>
      <c r="E776" s="72" t="n"/>
      <c r="F776" s="73" t="n"/>
      <c r="G776" s="72" t="n"/>
      <c r="H776" s="73" t="n"/>
      <c r="I776" s="72" t="n"/>
      <c r="J776" s="73" t="n"/>
      <c r="K776" s="74" t="n"/>
      <c r="L776" s="75">
        <f>IF(K776="A",F776,IF(K776="B",H776,IF(K776="C",J776,"")))</f>
        <v/>
      </c>
      <c r="M776" s="72" t="n"/>
      <c r="N776" s="72" t="n"/>
      <c r="O776" s="89" t="n"/>
      <c r="P776" s="89" t="n"/>
      <c r="Q776" s="109" t="n"/>
      <c r="R776" s="120">
        <f>IF(B776="","",IF(Q776&lt;&gt;"",Q776,IF(P776="","",IFERROR(INDEX('Timeline'!$J$7:$J$1006,MATCH(P776,'Timeline'!$B$7:$B$1006,0)),""))))</f>
        <v/>
      </c>
      <c r="S776" s="126">
        <f>IF(R776="","",R776-IF(O776="",0,O776)-OrderBuf)</f>
        <v/>
      </c>
      <c r="T776" s="126">
        <f>IF(S776="","",S776-DecideBuf)</f>
        <v/>
      </c>
      <c r="U776" s="74" t="n"/>
      <c r="V776" s="109" t="n"/>
      <c r="W776" s="109" t="n"/>
      <c r="X776" s="74" t="n"/>
      <c r="Y776" s="116">
        <f>IF(B776="","",IF(X776="Yes","Delivered",IF(U776="Yes",IF(AND(W776&lt;&gt;"",R776&lt;&gt;""),IF(W776&gt;R776,"⚠️ Delivery after install date","Ordered"),"Ordered"),IF(K776="",IF(T776="","Waiting for decision",IF(T776&lt;=AsOf+AlertDays,"Decide now","Waiting for decision")),IF(S776="","Selected",IF(AsOf&gt;S776,"⚠️ Order late — install at risk",IF(S776&lt;=AsOf+AlertDays,"Order now","Selected")))))))</f>
        <v/>
      </c>
      <c r="Z776" s="79">
        <f>IF(B776="","",IF(OR(AH776=1,AE776=1),2,IF(OR(AG776=1,AF776=1),1,IF(OR(Y776="Ordered",Y776="Delivered"),0,""))))</f>
        <v/>
      </c>
      <c r="AA776" s="112">
        <f>IF(B776="","",IF(AH776=1,IF(Y776="⚠️ Delivery after install date",R776,S776),IF(AD776=1,T776,IF(AI776=1,S776,""))))</f>
        <v/>
      </c>
      <c r="AB776" s="79">
        <f>IF(AA776="","",IF(AH776=1,1,IF(AA776="","",IF(AA776&lt;AsOf,1,IF(AA776&lt;=AsOf+AlertDays,2,IF(AA776&lt;=AsOf+2*AlertDays,3,""))))))</f>
        <v/>
      </c>
      <c r="AC776" s="79">
        <f>IF(AB776="","",IF(AH776=1,IF(Y776="⚠️ Delivery after install date","Delivery after install date: "&amp;B776,"Order late — install at risk: "&amp;B776),IF(AD776=1,IF(AB776=1,"Decision overdue: ","Decide: ")&amp;B776,"Order: "&amp;B776&amp;IF(N776="",""," from "&amp;N776))))</f>
        <v/>
      </c>
      <c r="AD776" s="79">
        <f>IF(AND(B776&lt;&gt;"",K776="",U776&lt;&gt;"Yes",X776&lt;&gt;"Yes"),1,0)</f>
        <v/>
      </c>
      <c r="AE776" s="79">
        <f>IF(AND(AD776=1,T776&lt;&gt;""),IF(T776&lt;AsOf,1,0),0)</f>
        <v/>
      </c>
      <c r="AF776" s="79">
        <f>IF(AND(AD776=1,T776&lt;&gt;""),IF(AND(T776&gt;=AsOf,T776&lt;=AsOf+AlertDays),1,0),0)</f>
        <v/>
      </c>
      <c r="AG776" s="79">
        <f>IF(Y776="Order now",1,0)</f>
        <v/>
      </c>
      <c r="AH776" s="79">
        <f>IF(OR(Y776="⚠️ Order late — install at risk",Y776="⚠️ Delivery after install date"),1,0)</f>
        <v/>
      </c>
      <c r="AI776" s="79">
        <f>IF(AND(B776&lt;&gt;"",K776&lt;&gt;"",U776&lt;&gt;"Yes",X776&lt;&gt;"Yes"),1,0)</f>
        <v/>
      </c>
      <c r="AJ776" s="79">
        <f>IF(Y776="⚠️ Order late — install at risk",1,0)</f>
        <v/>
      </c>
    </row>
    <row r="777" ht="20" customHeight="1">
      <c r="B777" s="72" t="n"/>
      <c r="C777" s="72" t="n"/>
      <c r="D777" s="72" t="n"/>
      <c r="E777" s="72" t="n"/>
      <c r="F777" s="73" t="n"/>
      <c r="G777" s="72" t="n"/>
      <c r="H777" s="73" t="n"/>
      <c r="I777" s="72" t="n"/>
      <c r="J777" s="73" t="n"/>
      <c r="K777" s="74" t="n"/>
      <c r="L777" s="75">
        <f>IF(K777="A",F777,IF(K777="B",H777,IF(K777="C",J777,"")))</f>
        <v/>
      </c>
      <c r="M777" s="72" t="n"/>
      <c r="N777" s="72" t="n"/>
      <c r="O777" s="89" t="n"/>
      <c r="P777" s="89" t="n"/>
      <c r="Q777" s="109" t="n"/>
      <c r="R777" s="120">
        <f>IF(B777="","",IF(Q777&lt;&gt;"",Q777,IF(P777="","",IFERROR(INDEX('Timeline'!$J$7:$J$1006,MATCH(P777,'Timeline'!$B$7:$B$1006,0)),""))))</f>
        <v/>
      </c>
      <c r="S777" s="126">
        <f>IF(R777="","",R777-IF(O777="",0,O777)-OrderBuf)</f>
        <v/>
      </c>
      <c r="T777" s="126">
        <f>IF(S777="","",S777-DecideBuf)</f>
        <v/>
      </c>
      <c r="U777" s="74" t="n"/>
      <c r="V777" s="109" t="n"/>
      <c r="W777" s="109" t="n"/>
      <c r="X777" s="74" t="n"/>
      <c r="Y777" s="116">
        <f>IF(B777="","",IF(X777="Yes","Delivered",IF(U777="Yes",IF(AND(W777&lt;&gt;"",R777&lt;&gt;""),IF(W777&gt;R777,"⚠️ Delivery after install date","Ordered"),"Ordered"),IF(K777="",IF(T777="","Waiting for decision",IF(T777&lt;=AsOf+AlertDays,"Decide now","Waiting for decision")),IF(S777="","Selected",IF(AsOf&gt;S777,"⚠️ Order late — install at risk",IF(S777&lt;=AsOf+AlertDays,"Order now","Selected")))))))</f>
        <v/>
      </c>
      <c r="Z777" s="79">
        <f>IF(B777="","",IF(OR(AH777=1,AE777=1),2,IF(OR(AG777=1,AF777=1),1,IF(OR(Y777="Ordered",Y777="Delivered"),0,""))))</f>
        <v/>
      </c>
      <c r="AA777" s="112">
        <f>IF(B777="","",IF(AH777=1,IF(Y777="⚠️ Delivery after install date",R777,S777),IF(AD777=1,T777,IF(AI777=1,S777,""))))</f>
        <v/>
      </c>
      <c r="AB777" s="79">
        <f>IF(AA777="","",IF(AH777=1,1,IF(AA777="","",IF(AA777&lt;AsOf,1,IF(AA777&lt;=AsOf+AlertDays,2,IF(AA777&lt;=AsOf+2*AlertDays,3,""))))))</f>
        <v/>
      </c>
      <c r="AC777" s="79">
        <f>IF(AB777="","",IF(AH777=1,IF(Y777="⚠️ Delivery after install date","Delivery after install date: "&amp;B777,"Order late — install at risk: "&amp;B777),IF(AD777=1,IF(AB777=1,"Decision overdue: ","Decide: ")&amp;B777,"Order: "&amp;B777&amp;IF(N777="",""," from "&amp;N777))))</f>
        <v/>
      </c>
      <c r="AD777" s="79">
        <f>IF(AND(B777&lt;&gt;"",K777="",U777&lt;&gt;"Yes",X777&lt;&gt;"Yes"),1,0)</f>
        <v/>
      </c>
      <c r="AE777" s="79">
        <f>IF(AND(AD777=1,T777&lt;&gt;""),IF(T777&lt;AsOf,1,0),0)</f>
        <v/>
      </c>
      <c r="AF777" s="79">
        <f>IF(AND(AD777=1,T777&lt;&gt;""),IF(AND(T777&gt;=AsOf,T777&lt;=AsOf+AlertDays),1,0),0)</f>
        <v/>
      </c>
      <c r="AG777" s="79">
        <f>IF(Y777="Order now",1,0)</f>
        <v/>
      </c>
      <c r="AH777" s="79">
        <f>IF(OR(Y777="⚠️ Order late — install at risk",Y777="⚠️ Delivery after install date"),1,0)</f>
        <v/>
      </c>
      <c r="AI777" s="79">
        <f>IF(AND(B777&lt;&gt;"",K777&lt;&gt;"",U777&lt;&gt;"Yes",X777&lt;&gt;"Yes"),1,0)</f>
        <v/>
      </c>
      <c r="AJ777" s="79">
        <f>IF(Y777="⚠️ Order late — install at risk",1,0)</f>
        <v/>
      </c>
    </row>
    <row r="778" ht="20" customHeight="1">
      <c r="B778" s="72" t="n"/>
      <c r="C778" s="72" t="n"/>
      <c r="D778" s="72" t="n"/>
      <c r="E778" s="72" t="n"/>
      <c r="F778" s="73" t="n"/>
      <c r="G778" s="72" t="n"/>
      <c r="H778" s="73" t="n"/>
      <c r="I778" s="72" t="n"/>
      <c r="J778" s="73" t="n"/>
      <c r="K778" s="74" t="n"/>
      <c r="L778" s="75">
        <f>IF(K778="A",F778,IF(K778="B",H778,IF(K778="C",J778,"")))</f>
        <v/>
      </c>
      <c r="M778" s="72" t="n"/>
      <c r="N778" s="72" t="n"/>
      <c r="O778" s="89" t="n"/>
      <c r="P778" s="89" t="n"/>
      <c r="Q778" s="109" t="n"/>
      <c r="R778" s="120">
        <f>IF(B778="","",IF(Q778&lt;&gt;"",Q778,IF(P778="","",IFERROR(INDEX('Timeline'!$J$7:$J$1006,MATCH(P778,'Timeline'!$B$7:$B$1006,0)),""))))</f>
        <v/>
      </c>
      <c r="S778" s="126">
        <f>IF(R778="","",R778-IF(O778="",0,O778)-OrderBuf)</f>
        <v/>
      </c>
      <c r="T778" s="126">
        <f>IF(S778="","",S778-DecideBuf)</f>
        <v/>
      </c>
      <c r="U778" s="74" t="n"/>
      <c r="V778" s="109" t="n"/>
      <c r="W778" s="109" t="n"/>
      <c r="X778" s="74" t="n"/>
      <c r="Y778" s="116">
        <f>IF(B778="","",IF(X778="Yes","Delivered",IF(U778="Yes",IF(AND(W778&lt;&gt;"",R778&lt;&gt;""),IF(W778&gt;R778,"⚠️ Delivery after install date","Ordered"),"Ordered"),IF(K778="",IF(T778="","Waiting for decision",IF(T778&lt;=AsOf+AlertDays,"Decide now","Waiting for decision")),IF(S778="","Selected",IF(AsOf&gt;S778,"⚠️ Order late — install at risk",IF(S778&lt;=AsOf+AlertDays,"Order now","Selected")))))))</f>
        <v/>
      </c>
      <c r="Z778" s="79">
        <f>IF(B778="","",IF(OR(AH778=1,AE778=1),2,IF(OR(AG778=1,AF778=1),1,IF(OR(Y778="Ordered",Y778="Delivered"),0,""))))</f>
        <v/>
      </c>
      <c r="AA778" s="112">
        <f>IF(B778="","",IF(AH778=1,IF(Y778="⚠️ Delivery after install date",R778,S778),IF(AD778=1,T778,IF(AI778=1,S778,""))))</f>
        <v/>
      </c>
      <c r="AB778" s="79">
        <f>IF(AA778="","",IF(AH778=1,1,IF(AA778="","",IF(AA778&lt;AsOf,1,IF(AA778&lt;=AsOf+AlertDays,2,IF(AA778&lt;=AsOf+2*AlertDays,3,""))))))</f>
        <v/>
      </c>
      <c r="AC778" s="79">
        <f>IF(AB778="","",IF(AH778=1,IF(Y778="⚠️ Delivery after install date","Delivery after install date: "&amp;B778,"Order late — install at risk: "&amp;B778),IF(AD778=1,IF(AB778=1,"Decision overdue: ","Decide: ")&amp;B778,"Order: "&amp;B778&amp;IF(N778="",""," from "&amp;N778))))</f>
        <v/>
      </c>
      <c r="AD778" s="79">
        <f>IF(AND(B778&lt;&gt;"",K778="",U778&lt;&gt;"Yes",X778&lt;&gt;"Yes"),1,0)</f>
        <v/>
      </c>
      <c r="AE778" s="79">
        <f>IF(AND(AD778=1,T778&lt;&gt;""),IF(T778&lt;AsOf,1,0),0)</f>
        <v/>
      </c>
      <c r="AF778" s="79">
        <f>IF(AND(AD778=1,T778&lt;&gt;""),IF(AND(T778&gt;=AsOf,T778&lt;=AsOf+AlertDays),1,0),0)</f>
        <v/>
      </c>
      <c r="AG778" s="79">
        <f>IF(Y778="Order now",1,0)</f>
        <v/>
      </c>
      <c r="AH778" s="79">
        <f>IF(OR(Y778="⚠️ Order late — install at risk",Y778="⚠️ Delivery after install date"),1,0)</f>
        <v/>
      </c>
      <c r="AI778" s="79">
        <f>IF(AND(B778&lt;&gt;"",K778&lt;&gt;"",U778&lt;&gt;"Yes",X778&lt;&gt;"Yes"),1,0)</f>
        <v/>
      </c>
      <c r="AJ778" s="79">
        <f>IF(Y778="⚠️ Order late — install at risk",1,0)</f>
        <v/>
      </c>
    </row>
    <row r="779" ht="20" customHeight="1">
      <c r="B779" s="72" t="n"/>
      <c r="C779" s="72" t="n"/>
      <c r="D779" s="72" t="n"/>
      <c r="E779" s="72" t="n"/>
      <c r="F779" s="73" t="n"/>
      <c r="G779" s="72" t="n"/>
      <c r="H779" s="73" t="n"/>
      <c r="I779" s="72" t="n"/>
      <c r="J779" s="73" t="n"/>
      <c r="K779" s="74" t="n"/>
      <c r="L779" s="75">
        <f>IF(K779="A",F779,IF(K779="B",H779,IF(K779="C",J779,"")))</f>
        <v/>
      </c>
      <c r="M779" s="72" t="n"/>
      <c r="N779" s="72" t="n"/>
      <c r="O779" s="89" t="n"/>
      <c r="P779" s="89" t="n"/>
      <c r="Q779" s="109" t="n"/>
      <c r="R779" s="120">
        <f>IF(B779="","",IF(Q779&lt;&gt;"",Q779,IF(P779="","",IFERROR(INDEX('Timeline'!$J$7:$J$1006,MATCH(P779,'Timeline'!$B$7:$B$1006,0)),""))))</f>
        <v/>
      </c>
      <c r="S779" s="126">
        <f>IF(R779="","",R779-IF(O779="",0,O779)-OrderBuf)</f>
        <v/>
      </c>
      <c r="T779" s="126">
        <f>IF(S779="","",S779-DecideBuf)</f>
        <v/>
      </c>
      <c r="U779" s="74" t="n"/>
      <c r="V779" s="109" t="n"/>
      <c r="W779" s="109" t="n"/>
      <c r="X779" s="74" t="n"/>
      <c r="Y779" s="116">
        <f>IF(B779="","",IF(X779="Yes","Delivered",IF(U779="Yes",IF(AND(W779&lt;&gt;"",R779&lt;&gt;""),IF(W779&gt;R779,"⚠️ Delivery after install date","Ordered"),"Ordered"),IF(K779="",IF(T779="","Waiting for decision",IF(T779&lt;=AsOf+AlertDays,"Decide now","Waiting for decision")),IF(S779="","Selected",IF(AsOf&gt;S779,"⚠️ Order late — install at risk",IF(S779&lt;=AsOf+AlertDays,"Order now","Selected")))))))</f>
        <v/>
      </c>
      <c r="Z779" s="79">
        <f>IF(B779="","",IF(OR(AH779=1,AE779=1),2,IF(OR(AG779=1,AF779=1),1,IF(OR(Y779="Ordered",Y779="Delivered"),0,""))))</f>
        <v/>
      </c>
      <c r="AA779" s="112">
        <f>IF(B779="","",IF(AH779=1,IF(Y779="⚠️ Delivery after install date",R779,S779),IF(AD779=1,T779,IF(AI779=1,S779,""))))</f>
        <v/>
      </c>
      <c r="AB779" s="79">
        <f>IF(AA779="","",IF(AH779=1,1,IF(AA779="","",IF(AA779&lt;AsOf,1,IF(AA779&lt;=AsOf+AlertDays,2,IF(AA779&lt;=AsOf+2*AlertDays,3,""))))))</f>
        <v/>
      </c>
      <c r="AC779" s="79">
        <f>IF(AB779="","",IF(AH779=1,IF(Y779="⚠️ Delivery after install date","Delivery after install date: "&amp;B779,"Order late — install at risk: "&amp;B779),IF(AD779=1,IF(AB779=1,"Decision overdue: ","Decide: ")&amp;B779,"Order: "&amp;B779&amp;IF(N779="",""," from "&amp;N779))))</f>
        <v/>
      </c>
      <c r="AD779" s="79">
        <f>IF(AND(B779&lt;&gt;"",K779="",U779&lt;&gt;"Yes",X779&lt;&gt;"Yes"),1,0)</f>
        <v/>
      </c>
      <c r="AE779" s="79">
        <f>IF(AND(AD779=1,T779&lt;&gt;""),IF(T779&lt;AsOf,1,0),0)</f>
        <v/>
      </c>
      <c r="AF779" s="79">
        <f>IF(AND(AD779=1,T779&lt;&gt;""),IF(AND(T779&gt;=AsOf,T779&lt;=AsOf+AlertDays),1,0),0)</f>
        <v/>
      </c>
      <c r="AG779" s="79">
        <f>IF(Y779="Order now",1,0)</f>
        <v/>
      </c>
      <c r="AH779" s="79">
        <f>IF(OR(Y779="⚠️ Order late — install at risk",Y779="⚠️ Delivery after install date"),1,0)</f>
        <v/>
      </c>
      <c r="AI779" s="79">
        <f>IF(AND(B779&lt;&gt;"",K779&lt;&gt;"",U779&lt;&gt;"Yes",X779&lt;&gt;"Yes"),1,0)</f>
        <v/>
      </c>
      <c r="AJ779" s="79">
        <f>IF(Y779="⚠️ Order late — install at risk",1,0)</f>
        <v/>
      </c>
    </row>
    <row r="780" ht="20" customHeight="1">
      <c r="B780" s="72" t="n"/>
      <c r="C780" s="72" t="n"/>
      <c r="D780" s="72" t="n"/>
      <c r="E780" s="72" t="n"/>
      <c r="F780" s="73" t="n"/>
      <c r="G780" s="72" t="n"/>
      <c r="H780" s="73" t="n"/>
      <c r="I780" s="72" t="n"/>
      <c r="J780" s="73" t="n"/>
      <c r="K780" s="74" t="n"/>
      <c r="L780" s="75">
        <f>IF(K780="A",F780,IF(K780="B",H780,IF(K780="C",J780,"")))</f>
        <v/>
      </c>
      <c r="M780" s="72" t="n"/>
      <c r="N780" s="72" t="n"/>
      <c r="O780" s="89" t="n"/>
      <c r="P780" s="89" t="n"/>
      <c r="Q780" s="109" t="n"/>
      <c r="R780" s="120">
        <f>IF(B780="","",IF(Q780&lt;&gt;"",Q780,IF(P780="","",IFERROR(INDEX('Timeline'!$J$7:$J$1006,MATCH(P780,'Timeline'!$B$7:$B$1006,0)),""))))</f>
        <v/>
      </c>
      <c r="S780" s="126">
        <f>IF(R780="","",R780-IF(O780="",0,O780)-OrderBuf)</f>
        <v/>
      </c>
      <c r="T780" s="126">
        <f>IF(S780="","",S780-DecideBuf)</f>
        <v/>
      </c>
      <c r="U780" s="74" t="n"/>
      <c r="V780" s="109" t="n"/>
      <c r="W780" s="109" t="n"/>
      <c r="X780" s="74" t="n"/>
      <c r="Y780" s="116">
        <f>IF(B780="","",IF(X780="Yes","Delivered",IF(U780="Yes",IF(AND(W780&lt;&gt;"",R780&lt;&gt;""),IF(W780&gt;R780,"⚠️ Delivery after install date","Ordered"),"Ordered"),IF(K780="",IF(T780="","Waiting for decision",IF(T780&lt;=AsOf+AlertDays,"Decide now","Waiting for decision")),IF(S780="","Selected",IF(AsOf&gt;S780,"⚠️ Order late — install at risk",IF(S780&lt;=AsOf+AlertDays,"Order now","Selected")))))))</f>
        <v/>
      </c>
      <c r="Z780" s="79">
        <f>IF(B780="","",IF(OR(AH780=1,AE780=1),2,IF(OR(AG780=1,AF780=1),1,IF(OR(Y780="Ordered",Y780="Delivered"),0,""))))</f>
        <v/>
      </c>
      <c r="AA780" s="112">
        <f>IF(B780="","",IF(AH780=1,IF(Y780="⚠️ Delivery after install date",R780,S780),IF(AD780=1,T780,IF(AI780=1,S780,""))))</f>
        <v/>
      </c>
      <c r="AB780" s="79">
        <f>IF(AA780="","",IF(AH780=1,1,IF(AA780="","",IF(AA780&lt;AsOf,1,IF(AA780&lt;=AsOf+AlertDays,2,IF(AA780&lt;=AsOf+2*AlertDays,3,""))))))</f>
        <v/>
      </c>
      <c r="AC780" s="79">
        <f>IF(AB780="","",IF(AH780=1,IF(Y780="⚠️ Delivery after install date","Delivery after install date: "&amp;B780,"Order late — install at risk: "&amp;B780),IF(AD780=1,IF(AB780=1,"Decision overdue: ","Decide: ")&amp;B780,"Order: "&amp;B780&amp;IF(N780="",""," from "&amp;N780))))</f>
        <v/>
      </c>
      <c r="AD780" s="79">
        <f>IF(AND(B780&lt;&gt;"",K780="",U780&lt;&gt;"Yes",X780&lt;&gt;"Yes"),1,0)</f>
        <v/>
      </c>
      <c r="AE780" s="79">
        <f>IF(AND(AD780=1,T780&lt;&gt;""),IF(T780&lt;AsOf,1,0),0)</f>
        <v/>
      </c>
      <c r="AF780" s="79">
        <f>IF(AND(AD780=1,T780&lt;&gt;""),IF(AND(T780&gt;=AsOf,T780&lt;=AsOf+AlertDays),1,0),0)</f>
        <v/>
      </c>
      <c r="AG780" s="79">
        <f>IF(Y780="Order now",1,0)</f>
        <v/>
      </c>
      <c r="AH780" s="79">
        <f>IF(OR(Y780="⚠️ Order late — install at risk",Y780="⚠️ Delivery after install date"),1,0)</f>
        <v/>
      </c>
      <c r="AI780" s="79">
        <f>IF(AND(B780&lt;&gt;"",K780&lt;&gt;"",U780&lt;&gt;"Yes",X780&lt;&gt;"Yes"),1,0)</f>
        <v/>
      </c>
      <c r="AJ780" s="79">
        <f>IF(Y780="⚠️ Order late — install at risk",1,0)</f>
        <v/>
      </c>
    </row>
    <row r="781" ht="20" customHeight="1">
      <c r="B781" s="72" t="n"/>
      <c r="C781" s="72" t="n"/>
      <c r="D781" s="72" t="n"/>
      <c r="E781" s="72" t="n"/>
      <c r="F781" s="73" t="n"/>
      <c r="G781" s="72" t="n"/>
      <c r="H781" s="73" t="n"/>
      <c r="I781" s="72" t="n"/>
      <c r="J781" s="73" t="n"/>
      <c r="K781" s="74" t="n"/>
      <c r="L781" s="75">
        <f>IF(K781="A",F781,IF(K781="B",H781,IF(K781="C",J781,"")))</f>
        <v/>
      </c>
      <c r="M781" s="72" t="n"/>
      <c r="N781" s="72" t="n"/>
      <c r="O781" s="89" t="n"/>
      <c r="P781" s="89" t="n"/>
      <c r="Q781" s="109" t="n"/>
      <c r="R781" s="120">
        <f>IF(B781="","",IF(Q781&lt;&gt;"",Q781,IF(P781="","",IFERROR(INDEX('Timeline'!$J$7:$J$1006,MATCH(P781,'Timeline'!$B$7:$B$1006,0)),""))))</f>
        <v/>
      </c>
      <c r="S781" s="126">
        <f>IF(R781="","",R781-IF(O781="",0,O781)-OrderBuf)</f>
        <v/>
      </c>
      <c r="T781" s="126">
        <f>IF(S781="","",S781-DecideBuf)</f>
        <v/>
      </c>
      <c r="U781" s="74" t="n"/>
      <c r="V781" s="109" t="n"/>
      <c r="W781" s="109" t="n"/>
      <c r="X781" s="74" t="n"/>
      <c r="Y781" s="116">
        <f>IF(B781="","",IF(X781="Yes","Delivered",IF(U781="Yes",IF(AND(W781&lt;&gt;"",R781&lt;&gt;""),IF(W781&gt;R781,"⚠️ Delivery after install date","Ordered"),"Ordered"),IF(K781="",IF(T781="","Waiting for decision",IF(T781&lt;=AsOf+AlertDays,"Decide now","Waiting for decision")),IF(S781="","Selected",IF(AsOf&gt;S781,"⚠️ Order late — install at risk",IF(S781&lt;=AsOf+AlertDays,"Order now","Selected")))))))</f>
        <v/>
      </c>
      <c r="Z781" s="79">
        <f>IF(B781="","",IF(OR(AH781=1,AE781=1),2,IF(OR(AG781=1,AF781=1),1,IF(OR(Y781="Ordered",Y781="Delivered"),0,""))))</f>
        <v/>
      </c>
      <c r="AA781" s="112">
        <f>IF(B781="","",IF(AH781=1,IF(Y781="⚠️ Delivery after install date",R781,S781),IF(AD781=1,T781,IF(AI781=1,S781,""))))</f>
        <v/>
      </c>
      <c r="AB781" s="79">
        <f>IF(AA781="","",IF(AH781=1,1,IF(AA781="","",IF(AA781&lt;AsOf,1,IF(AA781&lt;=AsOf+AlertDays,2,IF(AA781&lt;=AsOf+2*AlertDays,3,""))))))</f>
        <v/>
      </c>
      <c r="AC781" s="79">
        <f>IF(AB781="","",IF(AH781=1,IF(Y781="⚠️ Delivery after install date","Delivery after install date: "&amp;B781,"Order late — install at risk: "&amp;B781),IF(AD781=1,IF(AB781=1,"Decision overdue: ","Decide: ")&amp;B781,"Order: "&amp;B781&amp;IF(N781="",""," from "&amp;N781))))</f>
        <v/>
      </c>
      <c r="AD781" s="79">
        <f>IF(AND(B781&lt;&gt;"",K781="",U781&lt;&gt;"Yes",X781&lt;&gt;"Yes"),1,0)</f>
        <v/>
      </c>
      <c r="AE781" s="79">
        <f>IF(AND(AD781=1,T781&lt;&gt;""),IF(T781&lt;AsOf,1,0),0)</f>
        <v/>
      </c>
      <c r="AF781" s="79">
        <f>IF(AND(AD781=1,T781&lt;&gt;""),IF(AND(T781&gt;=AsOf,T781&lt;=AsOf+AlertDays),1,0),0)</f>
        <v/>
      </c>
      <c r="AG781" s="79">
        <f>IF(Y781="Order now",1,0)</f>
        <v/>
      </c>
      <c r="AH781" s="79">
        <f>IF(OR(Y781="⚠️ Order late — install at risk",Y781="⚠️ Delivery after install date"),1,0)</f>
        <v/>
      </c>
      <c r="AI781" s="79">
        <f>IF(AND(B781&lt;&gt;"",K781&lt;&gt;"",U781&lt;&gt;"Yes",X781&lt;&gt;"Yes"),1,0)</f>
        <v/>
      </c>
      <c r="AJ781" s="79">
        <f>IF(Y781="⚠️ Order late — install at risk",1,0)</f>
        <v/>
      </c>
    </row>
    <row r="782" ht="20" customHeight="1">
      <c r="B782" s="72" t="n"/>
      <c r="C782" s="72" t="n"/>
      <c r="D782" s="72" t="n"/>
      <c r="E782" s="72" t="n"/>
      <c r="F782" s="73" t="n"/>
      <c r="G782" s="72" t="n"/>
      <c r="H782" s="73" t="n"/>
      <c r="I782" s="72" t="n"/>
      <c r="J782" s="73" t="n"/>
      <c r="K782" s="74" t="n"/>
      <c r="L782" s="75">
        <f>IF(K782="A",F782,IF(K782="B",H782,IF(K782="C",J782,"")))</f>
        <v/>
      </c>
      <c r="M782" s="72" t="n"/>
      <c r="N782" s="72" t="n"/>
      <c r="O782" s="89" t="n"/>
      <c r="P782" s="89" t="n"/>
      <c r="Q782" s="109" t="n"/>
      <c r="R782" s="120">
        <f>IF(B782="","",IF(Q782&lt;&gt;"",Q782,IF(P782="","",IFERROR(INDEX('Timeline'!$J$7:$J$1006,MATCH(P782,'Timeline'!$B$7:$B$1006,0)),""))))</f>
        <v/>
      </c>
      <c r="S782" s="126">
        <f>IF(R782="","",R782-IF(O782="",0,O782)-OrderBuf)</f>
        <v/>
      </c>
      <c r="T782" s="126">
        <f>IF(S782="","",S782-DecideBuf)</f>
        <v/>
      </c>
      <c r="U782" s="74" t="n"/>
      <c r="V782" s="109" t="n"/>
      <c r="W782" s="109" t="n"/>
      <c r="X782" s="74" t="n"/>
      <c r="Y782" s="116">
        <f>IF(B782="","",IF(X782="Yes","Delivered",IF(U782="Yes",IF(AND(W782&lt;&gt;"",R782&lt;&gt;""),IF(W782&gt;R782,"⚠️ Delivery after install date","Ordered"),"Ordered"),IF(K782="",IF(T782="","Waiting for decision",IF(T782&lt;=AsOf+AlertDays,"Decide now","Waiting for decision")),IF(S782="","Selected",IF(AsOf&gt;S782,"⚠️ Order late — install at risk",IF(S782&lt;=AsOf+AlertDays,"Order now","Selected")))))))</f>
        <v/>
      </c>
      <c r="Z782" s="79">
        <f>IF(B782="","",IF(OR(AH782=1,AE782=1),2,IF(OR(AG782=1,AF782=1),1,IF(OR(Y782="Ordered",Y782="Delivered"),0,""))))</f>
        <v/>
      </c>
      <c r="AA782" s="112">
        <f>IF(B782="","",IF(AH782=1,IF(Y782="⚠️ Delivery after install date",R782,S782),IF(AD782=1,T782,IF(AI782=1,S782,""))))</f>
        <v/>
      </c>
      <c r="AB782" s="79">
        <f>IF(AA782="","",IF(AH782=1,1,IF(AA782="","",IF(AA782&lt;AsOf,1,IF(AA782&lt;=AsOf+AlertDays,2,IF(AA782&lt;=AsOf+2*AlertDays,3,""))))))</f>
        <v/>
      </c>
      <c r="AC782" s="79">
        <f>IF(AB782="","",IF(AH782=1,IF(Y782="⚠️ Delivery after install date","Delivery after install date: "&amp;B782,"Order late — install at risk: "&amp;B782),IF(AD782=1,IF(AB782=1,"Decision overdue: ","Decide: ")&amp;B782,"Order: "&amp;B782&amp;IF(N782="",""," from "&amp;N782))))</f>
        <v/>
      </c>
      <c r="AD782" s="79">
        <f>IF(AND(B782&lt;&gt;"",K782="",U782&lt;&gt;"Yes",X782&lt;&gt;"Yes"),1,0)</f>
        <v/>
      </c>
      <c r="AE782" s="79">
        <f>IF(AND(AD782=1,T782&lt;&gt;""),IF(T782&lt;AsOf,1,0),0)</f>
        <v/>
      </c>
      <c r="AF782" s="79">
        <f>IF(AND(AD782=1,T782&lt;&gt;""),IF(AND(T782&gt;=AsOf,T782&lt;=AsOf+AlertDays),1,0),0)</f>
        <v/>
      </c>
      <c r="AG782" s="79">
        <f>IF(Y782="Order now",1,0)</f>
        <v/>
      </c>
      <c r="AH782" s="79">
        <f>IF(OR(Y782="⚠️ Order late — install at risk",Y782="⚠️ Delivery after install date"),1,0)</f>
        <v/>
      </c>
      <c r="AI782" s="79">
        <f>IF(AND(B782&lt;&gt;"",K782&lt;&gt;"",U782&lt;&gt;"Yes",X782&lt;&gt;"Yes"),1,0)</f>
        <v/>
      </c>
      <c r="AJ782" s="79">
        <f>IF(Y782="⚠️ Order late — install at risk",1,0)</f>
        <v/>
      </c>
    </row>
    <row r="783" ht="20" customHeight="1">
      <c r="B783" s="72" t="n"/>
      <c r="C783" s="72" t="n"/>
      <c r="D783" s="72" t="n"/>
      <c r="E783" s="72" t="n"/>
      <c r="F783" s="73" t="n"/>
      <c r="G783" s="72" t="n"/>
      <c r="H783" s="73" t="n"/>
      <c r="I783" s="72" t="n"/>
      <c r="J783" s="73" t="n"/>
      <c r="K783" s="74" t="n"/>
      <c r="L783" s="75">
        <f>IF(K783="A",F783,IF(K783="B",H783,IF(K783="C",J783,"")))</f>
        <v/>
      </c>
      <c r="M783" s="72" t="n"/>
      <c r="N783" s="72" t="n"/>
      <c r="O783" s="89" t="n"/>
      <c r="P783" s="89" t="n"/>
      <c r="Q783" s="109" t="n"/>
      <c r="R783" s="120">
        <f>IF(B783="","",IF(Q783&lt;&gt;"",Q783,IF(P783="","",IFERROR(INDEX('Timeline'!$J$7:$J$1006,MATCH(P783,'Timeline'!$B$7:$B$1006,0)),""))))</f>
        <v/>
      </c>
      <c r="S783" s="126">
        <f>IF(R783="","",R783-IF(O783="",0,O783)-OrderBuf)</f>
        <v/>
      </c>
      <c r="T783" s="126">
        <f>IF(S783="","",S783-DecideBuf)</f>
        <v/>
      </c>
      <c r="U783" s="74" t="n"/>
      <c r="V783" s="109" t="n"/>
      <c r="W783" s="109" t="n"/>
      <c r="X783" s="74" t="n"/>
      <c r="Y783" s="116">
        <f>IF(B783="","",IF(X783="Yes","Delivered",IF(U783="Yes",IF(AND(W783&lt;&gt;"",R783&lt;&gt;""),IF(W783&gt;R783,"⚠️ Delivery after install date","Ordered"),"Ordered"),IF(K783="",IF(T783="","Waiting for decision",IF(T783&lt;=AsOf+AlertDays,"Decide now","Waiting for decision")),IF(S783="","Selected",IF(AsOf&gt;S783,"⚠️ Order late — install at risk",IF(S783&lt;=AsOf+AlertDays,"Order now","Selected")))))))</f>
        <v/>
      </c>
      <c r="Z783" s="79">
        <f>IF(B783="","",IF(OR(AH783=1,AE783=1),2,IF(OR(AG783=1,AF783=1),1,IF(OR(Y783="Ordered",Y783="Delivered"),0,""))))</f>
        <v/>
      </c>
      <c r="AA783" s="112">
        <f>IF(B783="","",IF(AH783=1,IF(Y783="⚠️ Delivery after install date",R783,S783),IF(AD783=1,T783,IF(AI783=1,S783,""))))</f>
        <v/>
      </c>
      <c r="AB783" s="79">
        <f>IF(AA783="","",IF(AH783=1,1,IF(AA783="","",IF(AA783&lt;AsOf,1,IF(AA783&lt;=AsOf+AlertDays,2,IF(AA783&lt;=AsOf+2*AlertDays,3,""))))))</f>
        <v/>
      </c>
      <c r="AC783" s="79">
        <f>IF(AB783="","",IF(AH783=1,IF(Y783="⚠️ Delivery after install date","Delivery after install date: "&amp;B783,"Order late — install at risk: "&amp;B783),IF(AD783=1,IF(AB783=1,"Decision overdue: ","Decide: ")&amp;B783,"Order: "&amp;B783&amp;IF(N783="",""," from "&amp;N783))))</f>
        <v/>
      </c>
      <c r="AD783" s="79">
        <f>IF(AND(B783&lt;&gt;"",K783="",U783&lt;&gt;"Yes",X783&lt;&gt;"Yes"),1,0)</f>
        <v/>
      </c>
      <c r="AE783" s="79">
        <f>IF(AND(AD783=1,T783&lt;&gt;""),IF(T783&lt;AsOf,1,0),0)</f>
        <v/>
      </c>
      <c r="AF783" s="79">
        <f>IF(AND(AD783=1,T783&lt;&gt;""),IF(AND(T783&gt;=AsOf,T783&lt;=AsOf+AlertDays),1,0),0)</f>
        <v/>
      </c>
      <c r="AG783" s="79">
        <f>IF(Y783="Order now",1,0)</f>
        <v/>
      </c>
      <c r="AH783" s="79">
        <f>IF(OR(Y783="⚠️ Order late — install at risk",Y783="⚠️ Delivery after install date"),1,0)</f>
        <v/>
      </c>
      <c r="AI783" s="79">
        <f>IF(AND(B783&lt;&gt;"",K783&lt;&gt;"",U783&lt;&gt;"Yes",X783&lt;&gt;"Yes"),1,0)</f>
        <v/>
      </c>
      <c r="AJ783" s="79">
        <f>IF(Y783="⚠️ Order late — install at risk",1,0)</f>
        <v/>
      </c>
    </row>
    <row r="784" ht="20" customHeight="1">
      <c r="B784" s="72" t="n"/>
      <c r="C784" s="72" t="n"/>
      <c r="D784" s="72" t="n"/>
      <c r="E784" s="72" t="n"/>
      <c r="F784" s="73" t="n"/>
      <c r="G784" s="72" t="n"/>
      <c r="H784" s="73" t="n"/>
      <c r="I784" s="72" t="n"/>
      <c r="J784" s="73" t="n"/>
      <c r="K784" s="74" t="n"/>
      <c r="L784" s="75">
        <f>IF(K784="A",F784,IF(K784="B",H784,IF(K784="C",J784,"")))</f>
        <v/>
      </c>
      <c r="M784" s="72" t="n"/>
      <c r="N784" s="72" t="n"/>
      <c r="O784" s="89" t="n"/>
      <c r="P784" s="89" t="n"/>
      <c r="Q784" s="109" t="n"/>
      <c r="R784" s="120">
        <f>IF(B784="","",IF(Q784&lt;&gt;"",Q784,IF(P784="","",IFERROR(INDEX('Timeline'!$J$7:$J$1006,MATCH(P784,'Timeline'!$B$7:$B$1006,0)),""))))</f>
        <v/>
      </c>
      <c r="S784" s="126">
        <f>IF(R784="","",R784-IF(O784="",0,O784)-OrderBuf)</f>
        <v/>
      </c>
      <c r="T784" s="126">
        <f>IF(S784="","",S784-DecideBuf)</f>
        <v/>
      </c>
      <c r="U784" s="74" t="n"/>
      <c r="V784" s="109" t="n"/>
      <c r="W784" s="109" t="n"/>
      <c r="X784" s="74" t="n"/>
      <c r="Y784" s="116">
        <f>IF(B784="","",IF(X784="Yes","Delivered",IF(U784="Yes",IF(AND(W784&lt;&gt;"",R784&lt;&gt;""),IF(W784&gt;R784,"⚠️ Delivery after install date","Ordered"),"Ordered"),IF(K784="",IF(T784="","Waiting for decision",IF(T784&lt;=AsOf+AlertDays,"Decide now","Waiting for decision")),IF(S784="","Selected",IF(AsOf&gt;S784,"⚠️ Order late — install at risk",IF(S784&lt;=AsOf+AlertDays,"Order now","Selected")))))))</f>
        <v/>
      </c>
      <c r="Z784" s="79">
        <f>IF(B784="","",IF(OR(AH784=1,AE784=1),2,IF(OR(AG784=1,AF784=1),1,IF(OR(Y784="Ordered",Y784="Delivered"),0,""))))</f>
        <v/>
      </c>
      <c r="AA784" s="112">
        <f>IF(B784="","",IF(AH784=1,IF(Y784="⚠️ Delivery after install date",R784,S784),IF(AD784=1,T784,IF(AI784=1,S784,""))))</f>
        <v/>
      </c>
      <c r="AB784" s="79">
        <f>IF(AA784="","",IF(AH784=1,1,IF(AA784="","",IF(AA784&lt;AsOf,1,IF(AA784&lt;=AsOf+AlertDays,2,IF(AA784&lt;=AsOf+2*AlertDays,3,""))))))</f>
        <v/>
      </c>
      <c r="AC784" s="79">
        <f>IF(AB784="","",IF(AH784=1,IF(Y784="⚠️ Delivery after install date","Delivery after install date: "&amp;B784,"Order late — install at risk: "&amp;B784),IF(AD784=1,IF(AB784=1,"Decision overdue: ","Decide: ")&amp;B784,"Order: "&amp;B784&amp;IF(N784="",""," from "&amp;N784))))</f>
        <v/>
      </c>
      <c r="AD784" s="79">
        <f>IF(AND(B784&lt;&gt;"",K784="",U784&lt;&gt;"Yes",X784&lt;&gt;"Yes"),1,0)</f>
        <v/>
      </c>
      <c r="AE784" s="79">
        <f>IF(AND(AD784=1,T784&lt;&gt;""),IF(T784&lt;AsOf,1,0),0)</f>
        <v/>
      </c>
      <c r="AF784" s="79">
        <f>IF(AND(AD784=1,T784&lt;&gt;""),IF(AND(T784&gt;=AsOf,T784&lt;=AsOf+AlertDays),1,0),0)</f>
        <v/>
      </c>
      <c r="AG784" s="79">
        <f>IF(Y784="Order now",1,0)</f>
        <v/>
      </c>
      <c r="AH784" s="79">
        <f>IF(OR(Y784="⚠️ Order late — install at risk",Y784="⚠️ Delivery after install date"),1,0)</f>
        <v/>
      </c>
      <c r="AI784" s="79">
        <f>IF(AND(B784&lt;&gt;"",K784&lt;&gt;"",U784&lt;&gt;"Yes",X784&lt;&gt;"Yes"),1,0)</f>
        <v/>
      </c>
      <c r="AJ784" s="79">
        <f>IF(Y784="⚠️ Order late — install at risk",1,0)</f>
        <v/>
      </c>
    </row>
    <row r="785" ht="20" customHeight="1">
      <c r="B785" s="72" t="n"/>
      <c r="C785" s="72" t="n"/>
      <c r="D785" s="72" t="n"/>
      <c r="E785" s="72" t="n"/>
      <c r="F785" s="73" t="n"/>
      <c r="G785" s="72" t="n"/>
      <c r="H785" s="73" t="n"/>
      <c r="I785" s="72" t="n"/>
      <c r="J785" s="73" t="n"/>
      <c r="K785" s="74" t="n"/>
      <c r="L785" s="75">
        <f>IF(K785="A",F785,IF(K785="B",H785,IF(K785="C",J785,"")))</f>
        <v/>
      </c>
      <c r="M785" s="72" t="n"/>
      <c r="N785" s="72" t="n"/>
      <c r="O785" s="89" t="n"/>
      <c r="P785" s="89" t="n"/>
      <c r="Q785" s="109" t="n"/>
      <c r="R785" s="120">
        <f>IF(B785="","",IF(Q785&lt;&gt;"",Q785,IF(P785="","",IFERROR(INDEX('Timeline'!$J$7:$J$1006,MATCH(P785,'Timeline'!$B$7:$B$1006,0)),""))))</f>
        <v/>
      </c>
      <c r="S785" s="126">
        <f>IF(R785="","",R785-IF(O785="",0,O785)-OrderBuf)</f>
        <v/>
      </c>
      <c r="T785" s="126">
        <f>IF(S785="","",S785-DecideBuf)</f>
        <v/>
      </c>
      <c r="U785" s="74" t="n"/>
      <c r="V785" s="109" t="n"/>
      <c r="W785" s="109" t="n"/>
      <c r="X785" s="74" t="n"/>
      <c r="Y785" s="116">
        <f>IF(B785="","",IF(X785="Yes","Delivered",IF(U785="Yes",IF(AND(W785&lt;&gt;"",R785&lt;&gt;""),IF(W785&gt;R785,"⚠️ Delivery after install date","Ordered"),"Ordered"),IF(K785="",IF(T785="","Waiting for decision",IF(T785&lt;=AsOf+AlertDays,"Decide now","Waiting for decision")),IF(S785="","Selected",IF(AsOf&gt;S785,"⚠️ Order late — install at risk",IF(S785&lt;=AsOf+AlertDays,"Order now","Selected")))))))</f>
        <v/>
      </c>
      <c r="Z785" s="79">
        <f>IF(B785="","",IF(OR(AH785=1,AE785=1),2,IF(OR(AG785=1,AF785=1),1,IF(OR(Y785="Ordered",Y785="Delivered"),0,""))))</f>
        <v/>
      </c>
      <c r="AA785" s="112">
        <f>IF(B785="","",IF(AH785=1,IF(Y785="⚠️ Delivery after install date",R785,S785),IF(AD785=1,T785,IF(AI785=1,S785,""))))</f>
        <v/>
      </c>
      <c r="AB785" s="79">
        <f>IF(AA785="","",IF(AH785=1,1,IF(AA785="","",IF(AA785&lt;AsOf,1,IF(AA785&lt;=AsOf+AlertDays,2,IF(AA785&lt;=AsOf+2*AlertDays,3,""))))))</f>
        <v/>
      </c>
      <c r="AC785" s="79">
        <f>IF(AB785="","",IF(AH785=1,IF(Y785="⚠️ Delivery after install date","Delivery after install date: "&amp;B785,"Order late — install at risk: "&amp;B785),IF(AD785=1,IF(AB785=1,"Decision overdue: ","Decide: ")&amp;B785,"Order: "&amp;B785&amp;IF(N785="",""," from "&amp;N785))))</f>
        <v/>
      </c>
      <c r="AD785" s="79">
        <f>IF(AND(B785&lt;&gt;"",K785="",U785&lt;&gt;"Yes",X785&lt;&gt;"Yes"),1,0)</f>
        <v/>
      </c>
      <c r="AE785" s="79">
        <f>IF(AND(AD785=1,T785&lt;&gt;""),IF(T785&lt;AsOf,1,0),0)</f>
        <v/>
      </c>
      <c r="AF785" s="79">
        <f>IF(AND(AD785=1,T785&lt;&gt;""),IF(AND(T785&gt;=AsOf,T785&lt;=AsOf+AlertDays),1,0),0)</f>
        <v/>
      </c>
      <c r="AG785" s="79">
        <f>IF(Y785="Order now",1,0)</f>
        <v/>
      </c>
      <c r="AH785" s="79">
        <f>IF(OR(Y785="⚠️ Order late — install at risk",Y785="⚠️ Delivery after install date"),1,0)</f>
        <v/>
      </c>
      <c r="AI785" s="79">
        <f>IF(AND(B785&lt;&gt;"",K785&lt;&gt;"",U785&lt;&gt;"Yes",X785&lt;&gt;"Yes"),1,0)</f>
        <v/>
      </c>
      <c r="AJ785" s="79">
        <f>IF(Y785="⚠️ Order late — install at risk",1,0)</f>
        <v/>
      </c>
    </row>
    <row r="786" ht="20" customHeight="1">
      <c r="B786" s="72" t="n"/>
      <c r="C786" s="72" t="n"/>
      <c r="D786" s="72" t="n"/>
      <c r="E786" s="72" t="n"/>
      <c r="F786" s="73" t="n"/>
      <c r="G786" s="72" t="n"/>
      <c r="H786" s="73" t="n"/>
      <c r="I786" s="72" t="n"/>
      <c r="J786" s="73" t="n"/>
      <c r="K786" s="74" t="n"/>
      <c r="L786" s="75">
        <f>IF(K786="A",F786,IF(K786="B",H786,IF(K786="C",J786,"")))</f>
        <v/>
      </c>
      <c r="M786" s="72" t="n"/>
      <c r="N786" s="72" t="n"/>
      <c r="O786" s="89" t="n"/>
      <c r="P786" s="89" t="n"/>
      <c r="Q786" s="109" t="n"/>
      <c r="R786" s="120">
        <f>IF(B786="","",IF(Q786&lt;&gt;"",Q786,IF(P786="","",IFERROR(INDEX('Timeline'!$J$7:$J$1006,MATCH(P786,'Timeline'!$B$7:$B$1006,0)),""))))</f>
        <v/>
      </c>
      <c r="S786" s="126">
        <f>IF(R786="","",R786-IF(O786="",0,O786)-OrderBuf)</f>
        <v/>
      </c>
      <c r="T786" s="126">
        <f>IF(S786="","",S786-DecideBuf)</f>
        <v/>
      </c>
      <c r="U786" s="74" t="n"/>
      <c r="V786" s="109" t="n"/>
      <c r="W786" s="109" t="n"/>
      <c r="X786" s="74" t="n"/>
      <c r="Y786" s="116">
        <f>IF(B786="","",IF(X786="Yes","Delivered",IF(U786="Yes",IF(AND(W786&lt;&gt;"",R786&lt;&gt;""),IF(W786&gt;R786,"⚠️ Delivery after install date","Ordered"),"Ordered"),IF(K786="",IF(T786="","Waiting for decision",IF(T786&lt;=AsOf+AlertDays,"Decide now","Waiting for decision")),IF(S786="","Selected",IF(AsOf&gt;S786,"⚠️ Order late — install at risk",IF(S786&lt;=AsOf+AlertDays,"Order now","Selected")))))))</f>
        <v/>
      </c>
      <c r="Z786" s="79">
        <f>IF(B786="","",IF(OR(AH786=1,AE786=1),2,IF(OR(AG786=1,AF786=1),1,IF(OR(Y786="Ordered",Y786="Delivered"),0,""))))</f>
        <v/>
      </c>
      <c r="AA786" s="112">
        <f>IF(B786="","",IF(AH786=1,IF(Y786="⚠️ Delivery after install date",R786,S786),IF(AD786=1,T786,IF(AI786=1,S786,""))))</f>
        <v/>
      </c>
      <c r="AB786" s="79">
        <f>IF(AA786="","",IF(AH786=1,1,IF(AA786="","",IF(AA786&lt;AsOf,1,IF(AA786&lt;=AsOf+AlertDays,2,IF(AA786&lt;=AsOf+2*AlertDays,3,""))))))</f>
        <v/>
      </c>
      <c r="AC786" s="79">
        <f>IF(AB786="","",IF(AH786=1,IF(Y786="⚠️ Delivery after install date","Delivery after install date: "&amp;B786,"Order late — install at risk: "&amp;B786),IF(AD786=1,IF(AB786=1,"Decision overdue: ","Decide: ")&amp;B786,"Order: "&amp;B786&amp;IF(N786="",""," from "&amp;N786))))</f>
        <v/>
      </c>
      <c r="AD786" s="79">
        <f>IF(AND(B786&lt;&gt;"",K786="",U786&lt;&gt;"Yes",X786&lt;&gt;"Yes"),1,0)</f>
        <v/>
      </c>
      <c r="AE786" s="79">
        <f>IF(AND(AD786=1,T786&lt;&gt;""),IF(T786&lt;AsOf,1,0),0)</f>
        <v/>
      </c>
      <c r="AF786" s="79">
        <f>IF(AND(AD786=1,T786&lt;&gt;""),IF(AND(T786&gt;=AsOf,T786&lt;=AsOf+AlertDays),1,0),0)</f>
        <v/>
      </c>
      <c r="AG786" s="79">
        <f>IF(Y786="Order now",1,0)</f>
        <v/>
      </c>
      <c r="AH786" s="79">
        <f>IF(OR(Y786="⚠️ Order late — install at risk",Y786="⚠️ Delivery after install date"),1,0)</f>
        <v/>
      </c>
      <c r="AI786" s="79">
        <f>IF(AND(B786&lt;&gt;"",K786&lt;&gt;"",U786&lt;&gt;"Yes",X786&lt;&gt;"Yes"),1,0)</f>
        <v/>
      </c>
      <c r="AJ786" s="79">
        <f>IF(Y786="⚠️ Order late — install at risk",1,0)</f>
        <v/>
      </c>
    </row>
    <row r="787" ht="20" customHeight="1">
      <c r="B787" s="72" t="n"/>
      <c r="C787" s="72" t="n"/>
      <c r="D787" s="72" t="n"/>
      <c r="E787" s="72" t="n"/>
      <c r="F787" s="73" t="n"/>
      <c r="G787" s="72" t="n"/>
      <c r="H787" s="73" t="n"/>
      <c r="I787" s="72" t="n"/>
      <c r="J787" s="73" t="n"/>
      <c r="K787" s="74" t="n"/>
      <c r="L787" s="75">
        <f>IF(K787="A",F787,IF(K787="B",H787,IF(K787="C",J787,"")))</f>
        <v/>
      </c>
      <c r="M787" s="72" t="n"/>
      <c r="N787" s="72" t="n"/>
      <c r="O787" s="89" t="n"/>
      <c r="P787" s="89" t="n"/>
      <c r="Q787" s="109" t="n"/>
      <c r="R787" s="120">
        <f>IF(B787="","",IF(Q787&lt;&gt;"",Q787,IF(P787="","",IFERROR(INDEX('Timeline'!$J$7:$J$1006,MATCH(P787,'Timeline'!$B$7:$B$1006,0)),""))))</f>
        <v/>
      </c>
      <c r="S787" s="126">
        <f>IF(R787="","",R787-IF(O787="",0,O787)-OrderBuf)</f>
        <v/>
      </c>
      <c r="T787" s="126">
        <f>IF(S787="","",S787-DecideBuf)</f>
        <v/>
      </c>
      <c r="U787" s="74" t="n"/>
      <c r="V787" s="109" t="n"/>
      <c r="W787" s="109" t="n"/>
      <c r="X787" s="74" t="n"/>
      <c r="Y787" s="116">
        <f>IF(B787="","",IF(X787="Yes","Delivered",IF(U787="Yes",IF(AND(W787&lt;&gt;"",R787&lt;&gt;""),IF(W787&gt;R787,"⚠️ Delivery after install date","Ordered"),"Ordered"),IF(K787="",IF(T787="","Waiting for decision",IF(T787&lt;=AsOf+AlertDays,"Decide now","Waiting for decision")),IF(S787="","Selected",IF(AsOf&gt;S787,"⚠️ Order late — install at risk",IF(S787&lt;=AsOf+AlertDays,"Order now","Selected")))))))</f>
        <v/>
      </c>
      <c r="Z787" s="79">
        <f>IF(B787="","",IF(OR(AH787=1,AE787=1),2,IF(OR(AG787=1,AF787=1),1,IF(OR(Y787="Ordered",Y787="Delivered"),0,""))))</f>
        <v/>
      </c>
      <c r="AA787" s="112">
        <f>IF(B787="","",IF(AH787=1,IF(Y787="⚠️ Delivery after install date",R787,S787),IF(AD787=1,T787,IF(AI787=1,S787,""))))</f>
        <v/>
      </c>
      <c r="AB787" s="79">
        <f>IF(AA787="","",IF(AH787=1,1,IF(AA787="","",IF(AA787&lt;AsOf,1,IF(AA787&lt;=AsOf+AlertDays,2,IF(AA787&lt;=AsOf+2*AlertDays,3,""))))))</f>
        <v/>
      </c>
      <c r="AC787" s="79">
        <f>IF(AB787="","",IF(AH787=1,IF(Y787="⚠️ Delivery after install date","Delivery after install date: "&amp;B787,"Order late — install at risk: "&amp;B787),IF(AD787=1,IF(AB787=1,"Decision overdue: ","Decide: ")&amp;B787,"Order: "&amp;B787&amp;IF(N787="",""," from "&amp;N787))))</f>
        <v/>
      </c>
      <c r="AD787" s="79">
        <f>IF(AND(B787&lt;&gt;"",K787="",U787&lt;&gt;"Yes",X787&lt;&gt;"Yes"),1,0)</f>
        <v/>
      </c>
      <c r="AE787" s="79">
        <f>IF(AND(AD787=1,T787&lt;&gt;""),IF(T787&lt;AsOf,1,0),0)</f>
        <v/>
      </c>
      <c r="AF787" s="79">
        <f>IF(AND(AD787=1,T787&lt;&gt;""),IF(AND(T787&gt;=AsOf,T787&lt;=AsOf+AlertDays),1,0),0)</f>
        <v/>
      </c>
      <c r="AG787" s="79">
        <f>IF(Y787="Order now",1,0)</f>
        <v/>
      </c>
      <c r="AH787" s="79">
        <f>IF(OR(Y787="⚠️ Order late — install at risk",Y787="⚠️ Delivery after install date"),1,0)</f>
        <v/>
      </c>
      <c r="AI787" s="79">
        <f>IF(AND(B787&lt;&gt;"",K787&lt;&gt;"",U787&lt;&gt;"Yes",X787&lt;&gt;"Yes"),1,0)</f>
        <v/>
      </c>
      <c r="AJ787" s="79">
        <f>IF(Y787="⚠️ Order late — install at risk",1,0)</f>
        <v/>
      </c>
    </row>
    <row r="788" ht="20" customHeight="1">
      <c r="B788" s="72" t="n"/>
      <c r="C788" s="72" t="n"/>
      <c r="D788" s="72" t="n"/>
      <c r="E788" s="72" t="n"/>
      <c r="F788" s="73" t="n"/>
      <c r="G788" s="72" t="n"/>
      <c r="H788" s="73" t="n"/>
      <c r="I788" s="72" t="n"/>
      <c r="J788" s="73" t="n"/>
      <c r="K788" s="74" t="n"/>
      <c r="L788" s="75">
        <f>IF(K788="A",F788,IF(K788="B",H788,IF(K788="C",J788,"")))</f>
        <v/>
      </c>
      <c r="M788" s="72" t="n"/>
      <c r="N788" s="72" t="n"/>
      <c r="O788" s="89" t="n"/>
      <c r="P788" s="89" t="n"/>
      <c r="Q788" s="109" t="n"/>
      <c r="R788" s="120">
        <f>IF(B788="","",IF(Q788&lt;&gt;"",Q788,IF(P788="","",IFERROR(INDEX('Timeline'!$J$7:$J$1006,MATCH(P788,'Timeline'!$B$7:$B$1006,0)),""))))</f>
        <v/>
      </c>
      <c r="S788" s="126">
        <f>IF(R788="","",R788-IF(O788="",0,O788)-OrderBuf)</f>
        <v/>
      </c>
      <c r="T788" s="126">
        <f>IF(S788="","",S788-DecideBuf)</f>
        <v/>
      </c>
      <c r="U788" s="74" t="n"/>
      <c r="V788" s="109" t="n"/>
      <c r="W788" s="109" t="n"/>
      <c r="X788" s="74" t="n"/>
      <c r="Y788" s="116">
        <f>IF(B788="","",IF(X788="Yes","Delivered",IF(U788="Yes",IF(AND(W788&lt;&gt;"",R788&lt;&gt;""),IF(W788&gt;R788,"⚠️ Delivery after install date","Ordered"),"Ordered"),IF(K788="",IF(T788="","Waiting for decision",IF(T788&lt;=AsOf+AlertDays,"Decide now","Waiting for decision")),IF(S788="","Selected",IF(AsOf&gt;S788,"⚠️ Order late — install at risk",IF(S788&lt;=AsOf+AlertDays,"Order now","Selected")))))))</f>
        <v/>
      </c>
      <c r="Z788" s="79">
        <f>IF(B788="","",IF(OR(AH788=1,AE788=1),2,IF(OR(AG788=1,AF788=1),1,IF(OR(Y788="Ordered",Y788="Delivered"),0,""))))</f>
        <v/>
      </c>
      <c r="AA788" s="112">
        <f>IF(B788="","",IF(AH788=1,IF(Y788="⚠️ Delivery after install date",R788,S788),IF(AD788=1,T788,IF(AI788=1,S788,""))))</f>
        <v/>
      </c>
      <c r="AB788" s="79">
        <f>IF(AA788="","",IF(AH788=1,1,IF(AA788="","",IF(AA788&lt;AsOf,1,IF(AA788&lt;=AsOf+AlertDays,2,IF(AA788&lt;=AsOf+2*AlertDays,3,""))))))</f>
        <v/>
      </c>
      <c r="AC788" s="79">
        <f>IF(AB788="","",IF(AH788=1,IF(Y788="⚠️ Delivery after install date","Delivery after install date: "&amp;B788,"Order late — install at risk: "&amp;B788),IF(AD788=1,IF(AB788=1,"Decision overdue: ","Decide: ")&amp;B788,"Order: "&amp;B788&amp;IF(N788="",""," from "&amp;N788))))</f>
        <v/>
      </c>
      <c r="AD788" s="79">
        <f>IF(AND(B788&lt;&gt;"",K788="",U788&lt;&gt;"Yes",X788&lt;&gt;"Yes"),1,0)</f>
        <v/>
      </c>
      <c r="AE788" s="79">
        <f>IF(AND(AD788=1,T788&lt;&gt;""),IF(T788&lt;AsOf,1,0),0)</f>
        <v/>
      </c>
      <c r="AF788" s="79">
        <f>IF(AND(AD788=1,T788&lt;&gt;""),IF(AND(T788&gt;=AsOf,T788&lt;=AsOf+AlertDays),1,0),0)</f>
        <v/>
      </c>
      <c r="AG788" s="79">
        <f>IF(Y788="Order now",1,0)</f>
        <v/>
      </c>
      <c r="AH788" s="79">
        <f>IF(OR(Y788="⚠️ Order late — install at risk",Y788="⚠️ Delivery after install date"),1,0)</f>
        <v/>
      </c>
      <c r="AI788" s="79">
        <f>IF(AND(B788&lt;&gt;"",K788&lt;&gt;"",U788&lt;&gt;"Yes",X788&lt;&gt;"Yes"),1,0)</f>
        <v/>
      </c>
      <c r="AJ788" s="79">
        <f>IF(Y788="⚠️ Order late — install at risk",1,0)</f>
        <v/>
      </c>
    </row>
    <row r="789" ht="20" customHeight="1">
      <c r="B789" s="72" t="n"/>
      <c r="C789" s="72" t="n"/>
      <c r="D789" s="72" t="n"/>
      <c r="E789" s="72" t="n"/>
      <c r="F789" s="73" t="n"/>
      <c r="G789" s="72" t="n"/>
      <c r="H789" s="73" t="n"/>
      <c r="I789" s="72" t="n"/>
      <c r="J789" s="73" t="n"/>
      <c r="K789" s="74" t="n"/>
      <c r="L789" s="75">
        <f>IF(K789="A",F789,IF(K789="B",H789,IF(K789="C",J789,"")))</f>
        <v/>
      </c>
      <c r="M789" s="72" t="n"/>
      <c r="N789" s="72" t="n"/>
      <c r="O789" s="89" t="n"/>
      <c r="P789" s="89" t="n"/>
      <c r="Q789" s="109" t="n"/>
      <c r="R789" s="120">
        <f>IF(B789="","",IF(Q789&lt;&gt;"",Q789,IF(P789="","",IFERROR(INDEX('Timeline'!$J$7:$J$1006,MATCH(P789,'Timeline'!$B$7:$B$1006,0)),""))))</f>
        <v/>
      </c>
      <c r="S789" s="126">
        <f>IF(R789="","",R789-IF(O789="",0,O789)-OrderBuf)</f>
        <v/>
      </c>
      <c r="T789" s="126">
        <f>IF(S789="","",S789-DecideBuf)</f>
        <v/>
      </c>
      <c r="U789" s="74" t="n"/>
      <c r="V789" s="109" t="n"/>
      <c r="W789" s="109" t="n"/>
      <c r="X789" s="74" t="n"/>
      <c r="Y789" s="116">
        <f>IF(B789="","",IF(X789="Yes","Delivered",IF(U789="Yes",IF(AND(W789&lt;&gt;"",R789&lt;&gt;""),IF(W789&gt;R789,"⚠️ Delivery after install date","Ordered"),"Ordered"),IF(K789="",IF(T789="","Waiting for decision",IF(T789&lt;=AsOf+AlertDays,"Decide now","Waiting for decision")),IF(S789="","Selected",IF(AsOf&gt;S789,"⚠️ Order late — install at risk",IF(S789&lt;=AsOf+AlertDays,"Order now","Selected")))))))</f>
        <v/>
      </c>
      <c r="Z789" s="79">
        <f>IF(B789="","",IF(OR(AH789=1,AE789=1),2,IF(OR(AG789=1,AF789=1),1,IF(OR(Y789="Ordered",Y789="Delivered"),0,""))))</f>
        <v/>
      </c>
      <c r="AA789" s="112">
        <f>IF(B789="","",IF(AH789=1,IF(Y789="⚠️ Delivery after install date",R789,S789),IF(AD789=1,T789,IF(AI789=1,S789,""))))</f>
        <v/>
      </c>
      <c r="AB789" s="79">
        <f>IF(AA789="","",IF(AH789=1,1,IF(AA789="","",IF(AA789&lt;AsOf,1,IF(AA789&lt;=AsOf+AlertDays,2,IF(AA789&lt;=AsOf+2*AlertDays,3,""))))))</f>
        <v/>
      </c>
      <c r="AC789" s="79">
        <f>IF(AB789="","",IF(AH789=1,IF(Y789="⚠️ Delivery after install date","Delivery after install date: "&amp;B789,"Order late — install at risk: "&amp;B789),IF(AD789=1,IF(AB789=1,"Decision overdue: ","Decide: ")&amp;B789,"Order: "&amp;B789&amp;IF(N789="",""," from "&amp;N789))))</f>
        <v/>
      </c>
      <c r="AD789" s="79">
        <f>IF(AND(B789&lt;&gt;"",K789="",U789&lt;&gt;"Yes",X789&lt;&gt;"Yes"),1,0)</f>
        <v/>
      </c>
      <c r="AE789" s="79">
        <f>IF(AND(AD789=1,T789&lt;&gt;""),IF(T789&lt;AsOf,1,0),0)</f>
        <v/>
      </c>
      <c r="AF789" s="79">
        <f>IF(AND(AD789=1,T789&lt;&gt;""),IF(AND(T789&gt;=AsOf,T789&lt;=AsOf+AlertDays),1,0),0)</f>
        <v/>
      </c>
      <c r="AG789" s="79">
        <f>IF(Y789="Order now",1,0)</f>
        <v/>
      </c>
      <c r="AH789" s="79">
        <f>IF(OR(Y789="⚠️ Order late — install at risk",Y789="⚠️ Delivery after install date"),1,0)</f>
        <v/>
      </c>
      <c r="AI789" s="79">
        <f>IF(AND(B789&lt;&gt;"",K789&lt;&gt;"",U789&lt;&gt;"Yes",X789&lt;&gt;"Yes"),1,0)</f>
        <v/>
      </c>
      <c r="AJ789" s="79">
        <f>IF(Y789="⚠️ Order late — install at risk",1,0)</f>
        <v/>
      </c>
    </row>
    <row r="790" ht="20" customHeight="1">
      <c r="B790" s="72" t="n"/>
      <c r="C790" s="72" t="n"/>
      <c r="D790" s="72" t="n"/>
      <c r="E790" s="72" t="n"/>
      <c r="F790" s="73" t="n"/>
      <c r="G790" s="72" t="n"/>
      <c r="H790" s="73" t="n"/>
      <c r="I790" s="72" t="n"/>
      <c r="J790" s="73" t="n"/>
      <c r="K790" s="74" t="n"/>
      <c r="L790" s="75">
        <f>IF(K790="A",F790,IF(K790="B",H790,IF(K790="C",J790,"")))</f>
        <v/>
      </c>
      <c r="M790" s="72" t="n"/>
      <c r="N790" s="72" t="n"/>
      <c r="O790" s="89" t="n"/>
      <c r="P790" s="89" t="n"/>
      <c r="Q790" s="109" t="n"/>
      <c r="R790" s="120">
        <f>IF(B790="","",IF(Q790&lt;&gt;"",Q790,IF(P790="","",IFERROR(INDEX('Timeline'!$J$7:$J$1006,MATCH(P790,'Timeline'!$B$7:$B$1006,0)),""))))</f>
        <v/>
      </c>
      <c r="S790" s="126">
        <f>IF(R790="","",R790-IF(O790="",0,O790)-OrderBuf)</f>
        <v/>
      </c>
      <c r="T790" s="126">
        <f>IF(S790="","",S790-DecideBuf)</f>
        <v/>
      </c>
      <c r="U790" s="74" t="n"/>
      <c r="V790" s="109" t="n"/>
      <c r="W790" s="109" t="n"/>
      <c r="X790" s="74" t="n"/>
      <c r="Y790" s="116">
        <f>IF(B790="","",IF(X790="Yes","Delivered",IF(U790="Yes",IF(AND(W790&lt;&gt;"",R790&lt;&gt;""),IF(W790&gt;R790,"⚠️ Delivery after install date","Ordered"),"Ordered"),IF(K790="",IF(T790="","Waiting for decision",IF(T790&lt;=AsOf+AlertDays,"Decide now","Waiting for decision")),IF(S790="","Selected",IF(AsOf&gt;S790,"⚠️ Order late — install at risk",IF(S790&lt;=AsOf+AlertDays,"Order now","Selected")))))))</f>
        <v/>
      </c>
      <c r="Z790" s="79">
        <f>IF(B790="","",IF(OR(AH790=1,AE790=1),2,IF(OR(AG790=1,AF790=1),1,IF(OR(Y790="Ordered",Y790="Delivered"),0,""))))</f>
        <v/>
      </c>
      <c r="AA790" s="112">
        <f>IF(B790="","",IF(AH790=1,IF(Y790="⚠️ Delivery after install date",R790,S790),IF(AD790=1,T790,IF(AI790=1,S790,""))))</f>
        <v/>
      </c>
      <c r="AB790" s="79">
        <f>IF(AA790="","",IF(AH790=1,1,IF(AA790="","",IF(AA790&lt;AsOf,1,IF(AA790&lt;=AsOf+AlertDays,2,IF(AA790&lt;=AsOf+2*AlertDays,3,""))))))</f>
        <v/>
      </c>
      <c r="AC790" s="79">
        <f>IF(AB790="","",IF(AH790=1,IF(Y790="⚠️ Delivery after install date","Delivery after install date: "&amp;B790,"Order late — install at risk: "&amp;B790),IF(AD790=1,IF(AB790=1,"Decision overdue: ","Decide: ")&amp;B790,"Order: "&amp;B790&amp;IF(N790="",""," from "&amp;N790))))</f>
        <v/>
      </c>
      <c r="AD790" s="79">
        <f>IF(AND(B790&lt;&gt;"",K790="",U790&lt;&gt;"Yes",X790&lt;&gt;"Yes"),1,0)</f>
        <v/>
      </c>
      <c r="AE790" s="79">
        <f>IF(AND(AD790=1,T790&lt;&gt;""),IF(T790&lt;AsOf,1,0),0)</f>
        <v/>
      </c>
      <c r="AF790" s="79">
        <f>IF(AND(AD790=1,T790&lt;&gt;""),IF(AND(T790&gt;=AsOf,T790&lt;=AsOf+AlertDays),1,0),0)</f>
        <v/>
      </c>
      <c r="AG790" s="79">
        <f>IF(Y790="Order now",1,0)</f>
        <v/>
      </c>
      <c r="AH790" s="79">
        <f>IF(OR(Y790="⚠️ Order late — install at risk",Y790="⚠️ Delivery after install date"),1,0)</f>
        <v/>
      </c>
      <c r="AI790" s="79">
        <f>IF(AND(B790&lt;&gt;"",K790&lt;&gt;"",U790&lt;&gt;"Yes",X790&lt;&gt;"Yes"),1,0)</f>
        <v/>
      </c>
      <c r="AJ790" s="79">
        <f>IF(Y790="⚠️ Order late — install at risk",1,0)</f>
        <v/>
      </c>
    </row>
    <row r="791" ht="20" customHeight="1">
      <c r="B791" s="72" t="n"/>
      <c r="C791" s="72" t="n"/>
      <c r="D791" s="72" t="n"/>
      <c r="E791" s="72" t="n"/>
      <c r="F791" s="73" t="n"/>
      <c r="G791" s="72" t="n"/>
      <c r="H791" s="73" t="n"/>
      <c r="I791" s="72" t="n"/>
      <c r="J791" s="73" t="n"/>
      <c r="K791" s="74" t="n"/>
      <c r="L791" s="75">
        <f>IF(K791="A",F791,IF(K791="B",H791,IF(K791="C",J791,"")))</f>
        <v/>
      </c>
      <c r="M791" s="72" t="n"/>
      <c r="N791" s="72" t="n"/>
      <c r="O791" s="89" t="n"/>
      <c r="P791" s="89" t="n"/>
      <c r="Q791" s="109" t="n"/>
      <c r="R791" s="120">
        <f>IF(B791="","",IF(Q791&lt;&gt;"",Q791,IF(P791="","",IFERROR(INDEX('Timeline'!$J$7:$J$1006,MATCH(P791,'Timeline'!$B$7:$B$1006,0)),""))))</f>
        <v/>
      </c>
      <c r="S791" s="126">
        <f>IF(R791="","",R791-IF(O791="",0,O791)-OrderBuf)</f>
        <v/>
      </c>
      <c r="T791" s="126">
        <f>IF(S791="","",S791-DecideBuf)</f>
        <v/>
      </c>
      <c r="U791" s="74" t="n"/>
      <c r="V791" s="109" t="n"/>
      <c r="W791" s="109" t="n"/>
      <c r="X791" s="74" t="n"/>
      <c r="Y791" s="116">
        <f>IF(B791="","",IF(X791="Yes","Delivered",IF(U791="Yes",IF(AND(W791&lt;&gt;"",R791&lt;&gt;""),IF(W791&gt;R791,"⚠️ Delivery after install date","Ordered"),"Ordered"),IF(K791="",IF(T791="","Waiting for decision",IF(T791&lt;=AsOf+AlertDays,"Decide now","Waiting for decision")),IF(S791="","Selected",IF(AsOf&gt;S791,"⚠️ Order late — install at risk",IF(S791&lt;=AsOf+AlertDays,"Order now","Selected")))))))</f>
        <v/>
      </c>
      <c r="Z791" s="79">
        <f>IF(B791="","",IF(OR(AH791=1,AE791=1),2,IF(OR(AG791=1,AF791=1),1,IF(OR(Y791="Ordered",Y791="Delivered"),0,""))))</f>
        <v/>
      </c>
      <c r="AA791" s="112">
        <f>IF(B791="","",IF(AH791=1,IF(Y791="⚠️ Delivery after install date",R791,S791),IF(AD791=1,T791,IF(AI791=1,S791,""))))</f>
        <v/>
      </c>
      <c r="AB791" s="79">
        <f>IF(AA791="","",IF(AH791=1,1,IF(AA791="","",IF(AA791&lt;AsOf,1,IF(AA791&lt;=AsOf+AlertDays,2,IF(AA791&lt;=AsOf+2*AlertDays,3,""))))))</f>
        <v/>
      </c>
      <c r="AC791" s="79">
        <f>IF(AB791="","",IF(AH791=1,IF(Y791="⚠️ Delivery after install date","Delivery after install date: "&amp;B791,"Order late — install at risk: "&amp;B791),IF(AD791=1,IF(AB791=1,"Decision overdue: ","Decide: ")&amp;B791,"Order: "&amp;B791&amp;IF(N791="",""," from "&amp;N791))))</f>
        <v/>
      </c>
      <c r="AD791" s="79">
        <f>IF(AND(B791&lt;&gt;"",K791="",U791&lt;&gt;"Yes",X791&lt;&gt;"Yes"),1,0)</f>
        <v/>
      </c>
      <c r="AE791" s="79">
        <f>IF(AND(AD791=1,T791&lt;&gt;""),IF(T791&lt;AsOf,1,0),0)</f>
        <v/>
      </c>
      <c r="AF791" s="79">
        <f>IF(AND(AD791=1,T791&lt;&gt;""),IF(AND(T791&gt;=AsOf,T791&lt;=AsOf+AlertDays),1,0),0)</f>
        <v/>
      </c>
      <c r="AG791" s="79">
        <f>IF(Y791="Order now",1,0)</f>
        <v/>
      </c>
      <c r="AH791" s="79">
        <f>IF(OR(Y791="⚠️ Order late — install at risk",Y791="⚠️ Delivery after install date"),1,0)</f>
        <v/>
      </c>
      <c r="AI791" s="79">
        <f>IF(AND(B791&lt;&gt;"",K791&lt;&gt;"",U791&lt;&gt;"Yes",X791&lt;&gt;"Yes"),1,0)</f>
        <v/>
      </c>
      <c r="AJ791" s="79">
        <f>IF(Y791="⚠️ Order late — install at risk",1,0)</f>
        <v/>
      </c>
    </row>
    <row r="792" ht="20" customHeight="1">
      <c r="B792" s="72" t="n"/>
      <c r="C792" s="72" t="n"/>
      <c r="D792" s="72" t="n"/>
      <c r="E792" s="72" t="n"/>
      <c r="F792" s="73" t="n"/>
      <c r="G792" s="72" t="n"/>
      <c r="H792" s="73" t="n"/>
      <c r="I792" s="72" t="n"/>
      <c r="J792" s="73" t="n"/>
      <c r="K792" s="74" t="n"/>
      <c r="L792" s="75">
        <f>IF(K792="A",F792,IF(K792="B",H792,IF(K792="C",J792,"")))</f>
        <v/>
      </c>
      <c r="M792" s="72" t="n"/>
      <c r="N792" s="72" t="n"/>
      <c r="O792" s="89" t="n"/>
      <c r="P792" s="89" t="n"/>
      <c r="Q792" s="109" t="n"/>
      <c r="R792" s="120">
        <f>IF(B792="","",IF(Q792&lt;&gt;"",Q792,IF(P792="","",IFERROR(INDEX('Timeline'!$J$7:$J$1006,MATCH(P792,'Timeline'!$B$7:$B$1006,0)),""))))</f>
        <v/>
      </c>
      <c r="S792" s="126">
        <f>IF(R792="","",R792-IF(O792="",0,O792)-OrderBuf)</f>
        <v/>
      </c>
      <c r="T792" s="126">
        <f>IF(S792="","",S792-DecideBuf)</f>
        <v/>
      </c>
      <c r="U792" s="74" t="n"/>
      <c r="V792" s="109" t="n"/>
      <c r="W792" s="109" t="n"/>
      <c r="X792" s="74" t="n"/>
      <c r="Y792" s="116">
        <f>IF(B792="","",IF(X792="Yes","Delivered",IF(U792="Yes",IF(AND(W792&lt;&gt;"",R792&lt;&gt;""),IF(W792&gt;R792,"⚠️ Delivery after install date","Ordered"),"Ordered"),IF(K792="",IF(T792="","Waiting for decision",IF(T792&lt;=AsOf+AlertDays,"Decide now","Waiting for decision")),IF(S792="","Selected",IF(AsOf&gt;S792,"⚠️ Order late — install at risk",IF(S792&lt;=AsOf+AlertDays,"Order now","Selected")))))))</f>
        <v/>
      </c>
      <c r="Z792" s="79">
        <f>IF(B792="","",IF(OR(AH792=1,AE792=1),2,IF(OR(AG792=1,AF792=1),1,IF(OR(Y792="Ordered",Y792="Delivered"),0,""))))</f>
        <v/>
      </c>
      <c r="AA792" s="112">
        <f>IF(B792="","",IF(AH792=1,IF(Y792="⚠️ Delivery after install date",R792,S792),IF(AD792=1,T792,IF(AI792=1,S792,""))))</f>
        <v/>
      </c>
      <c r="AB792" s="79">
        <f>IF(AA792="","",IF(AH792=1,1,IF(AA792="","",IF(AA792&lt;AsOf,1,IF(AA792&lt;=AsOf+AlertDays,2,IF(AA792&lt;=AsOf+2*AlertDays,3,""))))))</f>
        <v/>
      </c>
      <c r="AC792" s="79">
        <f>IF(AB792="","",IF(AH792=1,IF(Y792="⚠️ Delivery after install date","Delivery after install date: "&amp;B792,"Order late — install at risk: "&amp;B792),IF(AD792=1,IF(AB792=1,"Decision overdue: ","Decide: ")&amp;B792,"Order: "&amp;B792&amp;IF(N792="",""," from "&amp;N792))))</f>
        <v/>
      </c>
      <c r="AD792" s="79">
        <f>IF(AND(B792&lt;&gt;"",K792="",U792&lt;&gt;"Yes",X792&lt;&gt;"Yes"),1,0)</f>
        <v/>
      </c>
      <c r="AE792" s="79">
        <f>IF(AND(AD792=1,T792&lt;&gt;""),IF(T792&lt;AsOf,1,0),0)</f>
        <v/>
      </c>
      <c r="AF792" s="79">
        <f>IF(AND(AD792=1,T792&lt;&gt;""),IF(AND(T792&gt;=AsOf,T792&lt;=AsOf+AlertDays),1,0),0)</f>
        <v/>
      </c>
      <c r="AG792" s="79">
        <f>IF(Y792="Order now",1,0)</f>
        <v/>
      </c>
      <c r="AH792" s="79">
        <f>IF(OR(Y792="⚠️ Order late — install at risk",Y792="⚠️ Delivery after install date"),1,0)</f>
        <v/>
      </c>
      <c r="AI792" s="79">
        <f>IF(AND(B792&lt;&gt;"",K792&lt;&gt;"",U792&lt;&gt;"Yes",X792&lt;&gt;"Yes"),1,0)</f>
        <v/>
      </c>
      <c r="AJ792" s="79">
        <f>IF(Y792="⚠️ Order late — install at risk",1,0)</f>
        <v/>
      </c>
    </row>
    <row r="793" ht="20" customHeight="1">
      <c r="B793" s="72" t="n"/>
      <c r="C793" s="72" t="n"/>
      <c r="D793" s="72" t="n"/>
      <c r="E793" s="72" t="n"/>
      <c r="F793" s="73" t="n"/>
      <c r="G793" s="72" t="n"/>
      <c r="H793" s="73" t="n"/>
      <c r="I793" s="72" t="n"/>
      <c r="J793" s="73" t="n"/>
      <c r="K793" s="74" t="n"/>
      <c r="L793" s="75">
        <f>IF(K793="A",F793,IF(K793="B",H793,IF(K793="C",J793,"")))</f>
        <v/>
      </c>
      <c r="M793" s="72" t="n"/>
      <c r="N793" s="72" t="n"/>
      <c r="O793" s="89" t="n"/>
      <c r="P793" s="89" t="n"/>
      <c r="Q793" s="109" t="n"/>
      <c r="R793" s="120">
        <f>IF(B793="","",IF(Q793&lt;&gt;"",Q793,IF(P793="","",IFERROR(INDEX('Timeline'!$J$7:$J$1006,MATCH(P793,'Timeline'!$B$7:$B$1006,0)),""))))</f>
        <v/>
      </c>
      <c r="S793" s="126">
        <f>IF(R793="","",R793-IF(O793="",0,O793)-OrderBuf)</f>
        <v/>
      </c>
      <c r="T793" s="126">
        <f>IF(S793="","",S793-DecideBuf)</f>
        <v/>
      </c>
      <c r="U793" s="74" t="n"/>
      <c r="V793" s="109" t="n"/>
      <c r="W793" s="109" t="n"/>
      <c r="X793" s="74" t="n"/>
      <c r="Y793" s="116">
        <f>IF(B793="","",IF(X793="Yes","Delivered",IF(U793="Yes",IF(AND(W793&lt;&gt;"",R793&lt;&gt;""),IF(W793&gt;R793,"⚠️ Delivery after install date","Ordered"),"Ordered"),IF(K793="",IF(T793="","Waiting for decision",IF(T793&lt;=AsOf+AlertDays,"Decide now","Waiting for decision")),IF(S793="","Selected",IF(AsOf&gt;S793,"⚠️ Order late — install at risk",IF(S793&lt;=AsOf+AlertDays,"Order now","Selected")))))))</f>
        <v/>
      </c>
      <c r="Z793" s="79">
        <f>IF(B793="","",IF(OR(AH793=1,AE793=1),2,IF(OR(AG793=1,AF793=1),1,IF(OR(Y793="Ordered",Y793="Delivered"),0,""))))</f>
        <v/>
      </c>
      <c r="AA793" s="112">
        <f>IF(B793="","",IF(AH793=1,IF(Y793="⚠️ Delivery after install date",R793,S793),IF(AD793=1,T793,IF(AI793=1,S793,""))))</f>
        <v/>
      </c>
      <c r="AB793" s="79">
        <f>IF(AA793="","",IF(AH793=1,1,IF(AA793="","",IF(AA793&lt;AsOf,1,IF(AA793&lt;=AsOf+AlertDays,2,IF(AA793&lt;=AsOf+2*AlertDays,3,""))))))</f>
        <v/>
      </c>
      <c r="AC793" s="79">
        <f>IF(AB793="","",IF(AH793=1,IF(Y793="⚠️ Delivery after install date","Delivery after install date: "&amp;B793,"Order late — install at risk: "&amp;B793),IF(AD793=1,IF(AB793=1,"Decision overdue: ","Decide: ")&amp;B793,"Order: "&amp;B793&amp;IF(N793="",""," from "&amp;N793))))</f>
        <v/>
      </c>
      <c r="AD793" s="79">
        <f>IF(AND(B793&lt;&gt;"",K793="",U793&lt;&gt;"Yes",X793&lt;&gt;"Yes"),1,0)</f>
        <v/>
      </c>
      <c r="AE793" s="79">
        <f>IF(AND(AD793=1,T793&lt;&gt;""),IF(T793&lt;AsOf,1,0),0)</f>
        <v/>
      </c>
      <c r="AF793" s="79">
        <f>IF(AND(AD793=1,T793&lt;&gt;""),IF(AND(T793&gt;=AsOf,T793&lt;=AsOf+AlertDays),1,0),0)</f>
        <v/>
      </c>
      <c r="AG793" s="79">
        <f>IF(Y793="Order now",1,0)</f>
        <v/>
      </c>
      <c r="AH793" s="79">
        <f>IF(OR(Y793="⚠️ Order late — install at risk",Y793="⚠️ Delivery after install date"),1,0)</f>
        <v/>
      </c>
      <c r="AI793" s="79">
        <f>IF(AND(B793&lt;&gt;"",K793&lt;&gt;"",U793&lt;&gt;"Yes",X793&lt;&gt;"Yes"),1,0)</f>
        <v/>
      </c>
      <c r="AJ793" s="79">
        <f>IF(Y793="⚠️ Order late — install at risk",1,0)</f>
        <v/>
      </c>
    </row>
    <row r="794" ht="20" customHeight="1">
      <c r="B794" s="72" t="n"/>
      <c r="C794" s="72" t="n"/>
      <c r="D794" s="72" t="n"/>
      <c r="E794" s="72" t="n"/>
      <c r="F794" s="73" t="n"/>
      <c r="G794" s="72" t="n"/>
      <c r="H794" s="73" t="n"/>
      <c r="I794" s="72" t="n"/>
      <c r="J794" s="73" t="n"/>
      <c r="K794" s="74" t="n"/>
      <c r="L794" s="75">
        <f>IF(K794="A",F794,IF(K794="B",H794,IF(K794="C",J794,"")))</f>
        <v/>
      </c>
      <c r="M794" s="72" t="n"/>
      <c r="N794" s="72" t="n"/>
      <c r="O794" s="89" t="n"/>
      <c r="P794" s="89" t="n"/>
      <c r="Q794" s="109" t="n"/>
      <c r="R794" s="120">
        <f>IF(B794="","",IF(Q794&lt;&gt;"",Q794,IF(P794="","",IFERROR(INDEX('Timeline'!$J$7:$J$1006,MATCH(P794,'Timeline'!$B$7:$B$1006,0)),""))))</f>
        <v/>
      </c>
      <c r="S794" s="126">
        <f>IF(R794="","",R794-IF(O794="",0,O794)-OrderBuf)</f>
        <v/>
      </c>
      <c r="T794" s="126">
        <f>IF(S794="","",S794-DecideBuf)</f>
        <v/>
      </c>
      <c r="U794" s="74" t="n"/>
      <c r="V794" s="109" t="n"/>
      <c r="W794" s="109" t="n"/>
      <c r="X794" s="74" t="n"/>
      <c r="Y794" s="116">
        <f>IF(B794="","",IF(X794="Yes","Delivered",IF(U794="Yes",IF(AND(W794&lt;&gt;"",R794&lt;&gt;""),IF(W794&gt;R794,"⚠️ Delivery after install date","Ordered"),"Ordered"),IF(K794="",IF(T794="","Waiting for decision",IF(T794&lt;=AsOf+AlertDays,"Decide now","Waiting for decision")),IF(S794="","Selected",IF(AsOf&gt;S794,"⚠️ Order late — install at risk",IF(S794&lt;=AsOf+AlertDays,"Order now","Selected")))))))</f>
        <v/>
      </c>
      <c r="Z794" s="79">
        <f>IF(B794="","",IF(OR(AH794=1,AE794=1),2,IF(OR(AG794=1,AF794=1),1,IF(OR(Y794="Ordered",Y794="Delivered"),0,""))))</f>
        <v/>
      </c>
      <c r="AA794" s="112">
        <f>IF(B794="","",IF(AH794=1,IF(Y794="⚠️ Delivery after install date",R794,S794),IF(AD794=1,T794,IF(AI794=1,S794,""))))</f>
        <v/>
      </c>
      <c r="AB794" s="79">
        <f>IF(AA794="","",IF(AH794=1,1,IF(AA794="","",IF(AA794&lt;AsOf,1,IF(AA794&lt;=AsOf+AlertDays,2,IF(AA794&lt;=AsOf+2*AlertDays,3,""))))))</f>
        <v/>
      </c>
      <c r="AC794" s="79">
        <f>IF(AB794="","",IF(AH794=1,IF(Y794="⚠️ Delivery after install date","Delivery after install date: "&amp;B794,"Order late — install at risk: "&amp;B794),IF(AD794=1,IF(AB794=1,"Decision overdue: ","Decide: ")&amp;B794,"Order: "&amp;B794&amp;IF(N794="",""," from "&amp;N794))))</f>
        <v/>
      </c>
      <c r="AD794" s="79">
        <f>IF(AND(B794&lt;&gt;"",K794="",U794&lt;&gt;"Yes",X794&lt;&gt;"Yes"),1,0)</f>
        <v/>
      </c>
      <c r="AE794" s="79">
        <f>IF(AND(AD794=1,T794&lt;&gt;""),IF(T794&lt;AsOf,1,0),0)</f>
        <v/>
      </c>
      <c r="AF794" s="79">
        <f>IF(AND(AD794=1,T794&lt;&gt;""),IF(AND(T794&gt;=AsOf,T794&lt;=AsOf+AlertDays),1,0),0)</f>
        <v/>
      </c>
      <c r="AG794" s="79">
        <f>IF(Y794="Order now",1,0)</f>
        <v/>
      </c>
      <c r="AH794" s="79">
        <f>IF(OR(Y794="⚠️ Order late — install at risk",Y794="⚠️ Delivery after install date"),1,0)</f>
        <v/>
      </c>
      <c r="AI794" s="79">
        <f>IF(AND(B794&lt;&gt;"",K794&lt;&gt;"",U794&lt;&gt;"Yes",X794&lt;&gt;"Yes"),1,0)</f>
        <v/>
      </c>
      <c r="AJ794" s="79">
        <f>IF(Y794="⚠️ Order late — install at risk",1,0)</f>
        <v/>
      </c>
    </row>
    <row r="795" ht="20" customHeight="1">
      <c r="B795" s="72" t="n"/>
      <c r="C795" s="72" t="n"/>
      <c r="D795" s="72" t="n"/>
      <c r="E795" s="72" t="n"/>
      <c r="F795" s="73" t="n"/>
      <c r="G795" s="72" t="n"/>
      <c r="H795" s="73" t="n"/>
      <c r="I795" s="72" t="n"/>
      <c r="J795" s="73" t="n"/>
      <c r="K795" s="74" t="n"/>
      <c r="L795" s="75">
        <f>IF(K795="A",F795,IF(K795="B",H795,IF(K795="C",J795,"")))</f>
        <v/>
      </c>
      <c r="M795" s="72" t="n"/>
      <c r="N795" s="72" t="n"/>
      <c r="O795" s="89" t="n"/>
      <c r="P795" s="89" t="n"/>
      <c r="Q795" s="109" t="n"/>
      <c r="R795" s="120">
        <f>IF(B795="","",IF(Q795&lt;&gt;"",Q795,IF(P795="","",IFERROR(INDEX('Timeline'!$J$7:$J$1006,MATCH(P795,'Timeline'!$B$7:$B$1006,0)),""))))</f>
        <v/>
      </c>
      <c r="S795" s="126">
        <f>IF(R795="","",R795-IF(O795="",0,O795)-OrderBuf)</f>
        <v/>
      </c>
      <c r="T795" s="126">
        <f>IF(S795="","",S795-DecideBuf)</f>
        <v/>
      </c>
      <c r="U795" s="74" t="n"/>
      <c r="V795" s="109" t="n"/>
      <c r="W795" s="109" t="n"/>
      <c r="X795" s="74" t="n"/>
      <c r="Y795" s="116">
        <f>IF(B795="","",IF(X795="Yes","Delivered",IF(U795="Yes",IF(AND(W795&lt;&gt;"",R795&lt;&gt;""),IF(W795&gt;R795,"⚠️ Delivery after install date","Ordered"),"Ordered"),IF(K795="",IF(T795="","Waiting for decision",IF(T795&lt;=AsOf+AlertDays,"Decide now","Waiting for decision")),IF(S795="","Selected",IF(AsOf&gt;S795,"⚠️ Order late — install at risk",IF(S795&lt;=AsOf+AlertDays,"Order now","Selected")))))))</f>
        <v/>
      </c>
      <c r="Z795" s="79">
        <f>IF(B795="","",IF(OR(AH795=1,AE795=1),2,IF(OR(AG795=1,AF795=1),1,IF(OR(Y795="Ordered",Y795="Delivered"),0,""))))</f>
        <v/>
      </c>
      <c r="AA795" s="112">
        <f>IF(B795="","",IF(AH795=1,IF(Y795="⚠️ Delivery after install date",R795,S795),IF(AD795=1,T795,IF(AI795=1,S795,""))))</f>
        <v/>
      </c>
      <c r="AB795" s="79">
        <f>IF(AA795="","",IF(AH795=1,1,IF(AA795="","",IF(AA795&lt;AsOf,1,IF(AA795&lt;=AsOf+AlertDays,2,IF(AA795&lt;=AsOf+2*AlertDays,3,""))))))</f>
        <v/>
      </c>
      <c r="AC795" s="79">
        <f>IF(AB795="","",IF(AH795=1,IF(Y795="⚠️ Delivery after install date","Delivery after install date: "&amp;B795,"Order late — install at risk: "&amp;B795),IF(AD795=1,IF(AB795=1,"Decision overdue: ","Decide: ")&amp;B795,"Order: "&amp;B795&amp;IF(N795="",""," from "&amp;N795))))</f>
        <v/>
      </c>
      <c r="AD795" s="79">
        <f>IF(AND(B795&lt;&gt;"",K795="",U795&lt;&gt;"Yes",X795&lt;&gt;"Yes"),1,0)</f>
        <v/>
      </c>
      <c r="AE795" s="79">
        <f>IF(AND(AD795=1,T795&lt;&gt;""),IF(T795&lt;AsOf,1,0),0)</f>
        <v/>
      </c>
      <c r="AF795" s="79">
        <f>IF(AND(AD795=1,T795&lt;&gt;""),IF(AND(T795&gt;=AsOf,T795&lt;=AsOf+AlertDays),1,0),0)</f>
        <v/>
      </c>
      <c r="AG795" s="79">
        <f>IF(Y795="Order now",1,0)</f>
        <v/>
      </c>
      <c r="AH795" s="79">
        <f>IF(OR(Y795="⚠️ Order late — install at risk",Y795="⚠️ Delivery after install date"),1,0)</f>
        <v/>
      </c>
      <c r="AI795" s="79">
        <f>IF(AND(B795&lt;&gt;"",K795&lt;&gt;"",U795&lt;&gt;"Yes",X795&lt;&gt;"Yes"),1,0)</f>
        <v/>
      </c>
      <c r="AJ795" s="79">
        <f>IF(Y795="⚠️ Order late — install at risk",1,0)</f>
        <v/>
      </c>
    </row>
    <row r="796" ht="20" customHeight="1">
      <c r="B796" s="72" t="n"/>
      <c r="C796" s="72" t="n"/>
      <c r="D796" s="72" t="n"/>
      <c r="E796" s="72" t="n"/>
      <c r="F796" s="73" t="n"/>
      <c r="G796" s="72" t="n"/>
      <c r="H796" s="73" t="n"/>
      <c r="I796" s="72" t="n"/>
      <c r="J796" s="73" t="n"/>
      <c r="K796" s="74" t="n"/>
      <c r="L796" s="75">
        <f>IF(K796="A",F796,IF(K796="B",H796,IF(K796="C",J796,"")))</f>
        <v/>
      </c>
      <c r="M796" s="72" t="n"/>
      <c r="N796" s="72" t="n"/>
      <c r="O796" s="89" t="n"/>
      <c r="P796" s="89" t="n"/>
      <c r="Q796" s="109" t="n"/>
      <c r="R796" s="120">
        <f>IF(B796="","",IF(Q796&lt;&gt;"",Q796,IF(P796="","",IFERROR(INDEX('Timeline'!$J$7:$J$1006,MATCH(P796,'Timeline'!$B$7:$B$1006,0)),""))))</f>
        <v/>
      </c>
      <c r="S796" s="126">
        <f>IF(R796="","",R796-IF(O796="",0,O796)-OrderBuf)</f>
        <v/>
      </c>
      <c r="T796" s="126">
        <f>IF(S796="","",S796-DecideBuf)</f>
        <v/>
      </c>
      <c r="U796" s="74" t="n"/>
      <c r="V796" s="109" t="n"/>
      <c r="W796" s="109" t="n"/>
      <c r="X796" s="74" t="n"/>
      <c r="Y796" s="116">
        <f>IF(B796="","",IF(X796="Yes","Delivered",IF(U796="Yes",IF(AND(W796&lt;&gt;"",R796&lt;&gt;""),IF(W796&gt;R796,"⚠️ Delivery after install date","Ordered"),"Ordered"),IF(K796="",IF(T796="","Waiting for decision",IF(T796&lt;=AsOf+AlertDays,"Decide now","Waiting for decision")),IF(S796="","Selected",IF(AsOf&gt;S796,"⚠️ Order late — install at risk",IF(S796&lt;=AsOf+AlertDays,"Order now","Selected")))))))</f>
        <v/>
      </c>
      <c r="Z796" s="79">
        <f>IF(B796="","",IF(OR(AH796=1,AE796=1),2,IF(OR(AG796=1,AF796=1),1,IF(OR(Y796="Ordered",Y796="Delivered"),0,""))))</f>
        <v/>
      </c>
      <c r="AA796" s="112">
        <f>IF(B796="","",IF(AH796=1,IF(Y796="⚠️ Delivery after install date",R796,S796),IF(AD796=1,T796,IF(AI796=1,S796,""))))</f>
        <v/>
      </c>
      <c r="AB796" s="79">
        <f>IF(AA796="","",IF(AH796=1,1,IF(AA796="","",IF(AA796&lt;AsOf,1,IF(AA796&lt;=AsOf+AlertDays,2,IF(AA796&lt;=AsOf+2*AlertDays,3,""))))))</f>
        <v/>
      </c>
      <c r="AC796" s="79">
        <f>IF(AB796="","",IF(AH796=1,IF(Y796="⚠️ Delivery after install date","Delivery after install date: "&amp;B796,"Order late — install at risk: "&amp;B796),IF(AD796=1,IF(AB796=1,"Decision overdue: ","Decide: ")&amp;B796,"Order: "&amp;B796&amp;IF(N796="",""," from "&amp;N796))))</f>
        <v/>
      </c>
      <c r="AD796" s="79">
        <f>IF(AND(B796&lt;&gt;"",K796="",U796&lt;&gt;"Yes",X796&lt;&gt;"Yes"),1,0)</f>
        <v/>
      </c>
      <c r="AE796" s="79">
        <f>IF(AND(AD796=1,T796&lt;&gt;""),IF(T796&lt;AsOf,1,0),0)</f>
        <v/>
      </c>
      <c r="AF796" s="79">
        <f>IF(AND(AD796=1,T796&lt;&gt;""),IF(AND(T796&gt;=AsOf,T796&lt;=AsOf+AlertDays),1,0),0)</f>
        <v/>
      </c>
      <c r="AG796" s="79">
        <f>IF(Y796="Order now",1,0)</f>
        <v/>
      </c>
      <c r="AH796" s="79">
        <f>IF(OR(Y796="⚠️ Order late — install at risk",Y796="⚠️ Delivery after install date"),1,0)</f>
        <v/>
      </c>
      <c r="AI796" s="79">
        <f>IF(AND(B796&lt;&gt;"",K796&lt;&gt;"",U796&lt;&gt;"Yes",X796&lt;&gt;"Yes"),1,0)</f>
        <v/>
      </c>
      <c r="AJ796" s="79">
        <f>IF(Y796="⚠️ Order late — install at risk",1,0)</f>
        <v/>
      </c>
    </row>
    <row r="797" ht="20" customHeight="1">
      <c r="B797" s="72" t="n"/>
      <c r="C797" s="72" t="n"/>
      <c r="D797" s="72" t="n"/>
      <c r="E797" s="72" t="n"/>
      <c r="F797" s="73" t="n"/>
      <c r="G797" s="72" t="n"/>
      <c r="H797" s="73" t="n"/>
      <c r="I797" s="72" t="n"/>
      <c r="J797" s="73" t="n"/>
      <c r="K797" s="74" t="n"/>
      <c r="L797" s="75">
        <f>IF(K797="A",F797,IF(K797="B",H797,IF(K797="C",J797,"")))</f>
        <v/>
      </c>
      <c r="M797" s="72" t="n"/>
      <c r="N797" s="72" t="n"/>
      <c r="O797" s="89" t="n"/>
      <c r="P797" s="89" t="n"/>
      <c r="Q797" s="109" t="n"/>
      <c r="R797" s="120">
        <f>IF(B797="","",IF(Q797&lt;&gt;"",Q797,IF(P797="","",IFERROR(INDEX('Timeline'!$J$7:$J$1006,MATCH(P797,'Timeline'!$B$7:$B$1006,0)),""))))</f>
        <v/>
      </c>
      <c r="S797" s="126">
        <f>IF(R797="","",R797-IF(O797="",0,O797)-OrderBuf)</f>
        <v/>
      </c>
      <c r="T797" s="126">
        <f>IF(S797="","",S797-DecideBuf)</f>
        <v/>
      </c>
      <c r="U797" s="74" t="n"/>
      <c r="V797" s="109" t="n"/>
      <c r="W797" s="109" t="n"/>
      <c r="X797" s="74" t="n"/>
      <c r="Y797" s="116">
        <f>IF(B797="","",IF(X797="Yes","Delivered",IF(U797="Yes",IF(AND(W797&lt;&gt;"",R797&lt;&gt;""),IF(W797&gt;R797,"⚠️ Delivery after install date","Ordered"),"Ordered"),IF(K797="",IF(T797="","Waiting for decision",IF(T797&lt;=AsOf+AlertDays,"Decide now","Waiting for decision")),IF(S797="","Selected",IF(AsOf&gt;S797,"⚠️ Order late — install at risk",IF(S797&lt;=AsOf+AlertDays,"Order now","Selected")))))))</f>
        <v/>
      </c>
      <c r="Z797" s="79">
        <f>IF(B797="","",IF(OR(AH797=1,AE797=1),2,IF(OR(AG797=1,AF797=1),1,IF(OR(Y797="Ordered",Y797="Delivered"),0,""))))</f>
        <v/>
      </c>
      <c r="AA797" s="112">
        <f>IF(B797="","",IF(AH797=1,IF(Y797="⚠️ Delivery after install date",R797,S797),IF(AD797=1,T797,IF(AI797=1,S797,""))))</f>
        <v/>
      </c>
      <c r="AB797" s="79">
        <f>IF(AA797="","",IF(AH797=1,1,IF(AA797="","",IF(AA797&lt;AsOf,1,IF(AA797&lt;=AsOf+AlertDays,2,IF(AA797&lt;=AsOf+2*AlertDays,3,""))))))</f>
        <v/>
      </c>
      <c r="AC797" s="79">
        <f>IF(AB797="","",IF(AH797=1,IF(Y797="⚠️ Delivery after install date","Delivery after install date: "&amp;B797,"Order late — install at risk: "&amp;B797),IF(AD797=1,IF(AB797=1,"Decision overdue: ","Decide: ")&amp;B797,"Order: "&amp;B797&amp;IF(N797="",""," from "&amp;N797))))</f>
        <v/>
      </c>
      <c r="AD797" s="79">
        <f>IF(AND(B797&lt;&gt;"",K797="",U797&lt;&gt;"Yes",X797&lt;&gt;"Yes"),1,0)</f>
        <v/>
      </c>
      <c r="AE797" s="79">
        <f>IF(AND(AD797=1,T797&lt;&gt;""),IF(T797&lt;AsOf,1,0),0)</f>
        <v/>
      </c>
      <c r="AF797" s="79">
        <f>IF(AND(AD797=1,T797&lt;&gt;""),IF(AND(T797&gt;=AsOf,T797&lt;=AsOf+AlertDays),1,0),0)</f>
        <v/>
      </c>
      <c r="AG797" s="79">
        <f>IF(Y797="Order now",1,0)</f>
        <v/>
      </c>
      <c r="AH797" s="79">
        <f>IF(OR(Y797="⚠️ Order late — install at risk",Y797="⚠️ Delivery after install date"),1,0)</f>
        <v/>
      </c>
      <c r="AI797" s="79">
        <f>IF(AND(B797&lt;&gt;"",K797&lt;&gt;"",U797&lt;&gt;"Yes",X797&lt;&gt;"Yes"),1,0)</f>
        <v/>
      </c>
      <c r="AJ797" s="79">
        <f>IF(Y797="⚠️ Order late — install at risk",1,0)</f>
        <v/>
      </c>
    </row>
    <row r="798" ht="20" customHeight="1">
      <c r="B798" s="72" t="n"/>
      <c r="C798" s="72" t="n"/>
      <c r="D798" s="72" t="n"/>
      <c r="E798" s="72" t="n"/>
      <c r="F798" s="73" t="n"/>
      <c r="G798" s="72" t="n"/>
      <c r="H798" s="73" t="n"/>
      <c r="I798" s="72" t="n"/>
      <c r="J798" s="73" t="n"/>
      <c r="K798" s="74" t="n"/>
      <c r="L798" s="75">
        <f>IF(K798="A",F798,IF(K798="B",H798,IF(K798="C",J798,"")))</f>
        <v/>
      </c>
      <c r="M798" s="72" t="n"/>
      <c r="N798" s="72" t="n"/>
      <c r="O798" s="89" t="n"/>
      <c r="P798" s="89" t="n"/>
      <c r="Q798" s="109" t="n"/>
      <c r="R798" s="120">
        <f>IF(B798="","",IF(Q798&lt;&gt;"",Q798,IF(P798="","",IFERROR(INDEX('Timeline'!$J$7:$J$1006,MATCH(P798,'Timeline'!$B$7:$B$1006,0)),""))))</f>
        <v/>
      </c>
      <c r="S798" s="126">
        <f>IF(R798="","",R798-IF(O798="",0,O798)-OrderBuf)</f>
        <v/>
      </c>
      <c r="T798" s="126">
        <f>IF(S798="","",S798-DecideBuf)</f>
        <v/>
      </c>
      <c r="U798" s="74" t="n"/>
      <c r="V798" s="109" t="n"/>
      <c r="W798" s="109" t="n"/>
      <c r="X798" s="74" t="n"/>
      <c r="Y798" s="116">
        <f>IF(B798="","",IF(X798="Yes","Delivered",IF(U798="Yes",IF(AND(W798&lt;&gt;"",R798&lt;&gt;""),IF(W798&gt;R798,"⚠️ Delivery after install date","Ordered"),"Ordered"),IF(K798="",IF(T798="","Waiting for decision",IF(T798&lt;=AsOf+AlertDays,"Decide now","Waiting for decision")),IF(S798="","Selected",IF(AsOf&gt;S798,"⚠️ Order late — install at risk",IF(S798&lt;=AsOf+AlertDays,"Order now","Selected")))))))</f>
        <v/>
      </c>
      <c r="Z798" s="79">
        <f>IF(B798="","",IF(OR(AH798=1,AE798=1),2,IF(OR(AG798=1,AF798=1),1,IF(OR(Y798="Ordered",Y798="Delivered"),0,""))))</f>
        <v/>
      </c>
      <c r="AA798" s="112">
        <f>IF(B798="","",IF(AH798=1,IF(Y798="⚠️ Delivery after install date",R798,S798),IF(AD798=1,T798,IF(AI798=1,S798,""))))</f>
        <v/>
      </c>
      <c r="AB798" s="79">
        <f>IF(AA798="","",IF(AH798=1,1,IF(AA798="","",IF(AA798&lt;AsOf,1,IF(AA798&lt;=AsOf+AlertDays,2,IF(AA798&lt;=AsOf+2*AlertDays,3,""))))))</f>
        <v/>
      </c>
      <c r="AC798" s="79">
        <f>IF(AB798="","",IF(AH798=1,IF(Y798="⚠️ Delivery after install date","Delivery after install date: "&amp;B798,"Order late — install at risk: "&amp;B798),IF(AD798=1,IF(AB798=1,"Decision overdue: ","Decide: ")&amp;B798,"Order: "&amp;B798&amp;IF(N798="",""," from "&amp;N798))))</f>
        <v/>
      </c>
      <c r="AD798" s="79">
        <f>IF(AND(B798&lt;&gt;"",K798="",U798&lt;&gt;"Yes",X798&lt;&gt;"Yes"),1,0)</f>
        <v/>
      </c>
      <c r="AE798" s="79">
        <f>IF(AND(AD798=1,T798&lt;&gt;""),IF(T798&lt;AsOf,1,0),0)</f>
        <v/>
      </c>
      <c r="AF798" s="79">
        <f>IF(AND(AD798=1,T798&lt;&gt;""),IF(AND(T798&gt;=AsOf,T798&lt;=AsOf+AlertDays),1,0),0)</f>
        <v/>
      </c>
      <c r="AG798" s="79">
        <f>IF(Y798="Order now",1,0)</f>
        <v/>
      </c>
      <c r="AH798" s="79">
        <f>IF(OR(Y798="⚠️ Order late — install at risk",Y798="⚠️ Delivery after install date"),1,0)</f>
        <v/>
      </c>
      <c r="AI798" s="79">
        <f>IF(AND(B798&lt;&gt;"",K798&lt;&gt;"",U798&lt;&gt;"Yes",X798&lt;&gt;"Yes"),1,0)</f>
        <v/>
      </c>
      <c r="AJ798" s="79">
        <f>IF(Y798="⚠️ Order late — install at risk",1,0)</f>
        <v/>
      </c>
    </row>
    <row r="799" ht="20" customHeight="1">
      <c r="B799" s="72" t="n"/>
      <c r="C799" s="72" t="n"/>
      <c r="D799" s="72" t="n"/>
      <c r="E799" s="72" t="n"/>
      <c r="F799" s="73" t="n"/>
      <c r="G799" s="72" t="n"/>
      <c r="H799" s="73" t="n"/>
      <c r="I799" s="72" t="n"/>
      <c r="J799" s="73" t="n"/>
      <c r="K799" s="74" t="n"/>
      <c r="L799" s="75">
        <f>IF(K799="A",F799,IF(K799="B",H799,IF(K799="C",J799,"")))</f>
        <v/>
      </c>
      <c r="M799" s="72" t="n"/>
      <c r="N799" s="72" t="n"/>
      <c r="O799" s="89" t="n"/>
      <c r="P799" s="89" t="n"/>
      <c r="Q799" s="109" t="n"/>
      <c r="R799" s="120">
        <f>IF(B799="","",IF(Q799&lt;&gt;"",Q799,IF(P799="","",IFERROR(INDEX('Timeline'!$J$7:$J$1006,MATCH(P799,'Timeline'!$B$7:$B$1006,0)),""))))</f>
        <v/>
      </c>
      <c r="S799" s="126">
        <f>IF(R799="","",R799-IF(O799="",0,O799)-OrderBuf)</f>
        <v/>
      </c>
      <c r="T799" s="126">
        <f>IF(S799="","",S799-DecideBuf)</f>
        <v/>
      </c>
      <c r="U799" s="74" t="n"/>
      <c r="V799" s="109" t="n"/>
      <c r="W799" s="109" t="n"/>
      <c r="X799" s="74" t="n"/>
      <c r="Y799" s="116">
        <f>IF(B799="","",IF(X799="Yes","Delivered",IF(U799="Yes",IF(AND(W799&lt;&gt;"",R799&lt;&gt;""),IF(W799&gt;R799,"⚠️ Delivery after install date","Ordered"),"Ordered"),IF(K799="",IF(T799="","Waiting for decision",IF(T799&lt;=AsOf+AlertDays,"Decide now","Waiting for decision")),IF(S799="","Selected",IF(AsOf&gt;S799,"⚠️ Order late — install at risk",IF(S799&lt;=AsOf+AlertDays,"Order now","Selected")))))))</f>
        <v/>
      </c>
      <c r="Z799" s="79">
        <f>IF(B799="","",IF(OR(AH799=1,AE799=1),2,IF(OR(AG799=1,AF799=1),1,IF(OR(Y799="Ordered",Y799="Delivered"),0,""))))</f>
        <v/>
      </c>
      <c r="AA799" s="112">
        <f>IF(B799="","",IF(AH799=1,IF(Y799="⚠️ Delivery after install date",R799,S799),IF(AD799=1,T799,IF(AI799=1,S799,""))))</f>
        <v/>
      </c>
      <c r="AB799" s="79">
        <f>IF(AA799="","",IF(AH799=1,1,IF(AA799="","",IF(AA799&lt;AsOf,1,IF(AA799&lt;=AsOf+AlertDays,2,IF(AA799&lt;=AsOf+2*AlertDays,3,""))))))</f>
        <v/>
      </c>
      <c r="AC799" s="79">
        <f>IF(AB799="","",IF(AH799=1,IF(Y799="⚠️ Delivery after install date","Delivery after install date: "&amp;B799,"Order late — install at risk: "&amp;B799),IF(AD799=1,IF(AB799=1,"Decision overdue: ","Decide: ")&amp;B799,"Order: "&amp;B799&amp;IF(N799="",""," from "&amp;N799))))</f>
        <v/>
      </c>
      <c r="AD799" s="79">
        <f>IF(AND(B799&lt;&gt;"",K799="",U799&lt;&gt;"Yes",X799&lt;&gt;"Yes"),1,0)</f>
        <v/>
      </c>
      <c r="AE799" s="79">
        <f>IF(AND(AD799=1,T799&lt;&gt;""),IF(T799&lt;AsOf,1,0),0)</f>
        <v/>
      </c>
      <c r="AF799" s="79">
        <f>IF(AND(AD799=1,T799&lt;&gt;""),IF(AND(T799&gt;=AsOf,T799&lt;=AsOf+AlertDays),1,0),0)</f>
        <v/>
      </c>
      <c r="AG799" s="79">
        <f>IF(Y799="Order now",1,0)</f>
        <v/>
      </c>
      <c r="AH799" s="79">
        <f>IF(OR(Y799="⚠️ Order late — install at risk",Y799="⚠️ Delivery after install date"),1,0)</f>
        <v/>
      </c>
      <c r="AI799" s="79">
        <f>IF(AND(B799&lt;&gt;"",K799&lt;&gt;"",U799&lt;&gt;"Yes",X799&lt;&gt;"Yes"),1,0)</f>
        <v/>
      </c>
      <c r="AJ799" s="79">
        <f>IF(Y799="⚠️ Order late — install at risk",1,0)</f>
        <v/>
      </c>
    </row>
    <row r="800" ht="20" customHeight="1">
      <c r="B800" s="72" t="n"/>
      <c r="C800" s="72" t="n"/>
      <c r="D800" s="72" t="n"/>
      <c r="E800" s="72" t="n"/>
      <c r="F800" s="73" t="n"/>
      <c r="G800" s="72" t="n"/>
      <c r="H800" s="73" t="n"/>
      <c r="I800" s="72" t="n"/>
      <c r="J800" s="73" t="n"/>
      <c r="K800" s="74" t="n"/>
      <c r="L800" s="75">
        <f>IF(K800="A",F800,IF(K800="B",H800,IF(K800="C",J800,"")))</f>
        <v/>
      </c>
      <c r="M800" s="72" t="n"/>
      <c r="N800" s="72" t="n"/>
      <c r="O800" s="89" t="n"/>
      <c r="P800" s="89" t="n"/>
      <c r="Q800" s="109" t="n"/>
      <c r="R800" s="120">
        <f>IF(B800="","",IF(Q800&lt;&gt;"",Q800,IF(P800="","",IFERROR(INDEX('Timeline'!$J$7:$J$1006,MATCH(P800,'Timeline'!$B$7:$B$1006,0)),""))))</f>
        <v/>
      </c>
      <c r="S800" s="126">
        <f>IF(R800="","",R800-IF(O800="",0,O800)-OrderBuf)</f>
        <v/>
      </c>
      <c r="T800" s="126">
        <f>IF(S800="","",S800-DecideBuf)</f>
        <v/>
      </c>
      <c r="U800" s="74" t="n"/>
      <c r="V800" s="109" t="n"/>
      <c r="W800" s="109" t="n"/>
      <c r="X800" s="74" t="n"/>
      <c r="Y800" s="116">
        <f>IF(B800="","",IF(X800="Yes","Delivered",IF(U800="Yes",IF(AND(W800&lt;&gt;"",R800&lt;&gt;""),IF(W800&gt;R800,"⚠️ Delivery after install date","Ordered"),"Ordered"),IF(K800="",IF(T800="","Waiting for decision",IF(T800&lt;=AsOf+AlertDays,"Decide now","Waiting for decision")),IF(S800="","Selected",IF(AsOf&gt;S800,"⚠️ Order late — install at risk",IF(S800&lt;=AsOf+AlertDays,"Order now","Selected")))))))</f>
        <v/>
      </c>
      <c r="Z800" s="79">
        <f>IF(B800="","",IF(OR(AH800=1,AE800=1),2,IF(OR(AG800=1,AF800=1),1,IF(OR(Y800="Ordered",Y800="Delivered"),0,""))))</f>
        <v/>
      </c>
      <c r="AA800" s="112">
        <f>IF(B800="","",IF(AH800=1,IF(Y800="⚠️ Delivery after install date",R800,S800),IF(AD800=1,T800,IF(AI800=1,S800,""))))</f>
        <v/>
      </c>
      <c r="AB800" s="79">
        <f>IF(AA800="","",IF(AH800=1,1,IF(AA800="","",IF(AA800&lt;AsOf,1,IF(AA800&lt;=AsOf+AlertDays,2,IF(AA800&lt;=AsOf+2*AlertDays,3,""))))))</f>
        <v/>
      </c>
      <c r="AC800" s="79">
        <f>IF(AB800="","",IF(AH800=1,IF(Y800="⚠️ Delivery after install date","Delivery after install date: "&amp;B800,"Order late — install at risk: "&amp;B800),IF(AD800=1,IF(AB800=1,"Decision overdue: ","Decide: ")&amp;B800,"Order: "&amp;B800&amp;IF(N800="",""," from "&amp;N800))))</f>
        <v/>
      </c>
      <c r="AD800" s="79">
        <f>IF(AND(B800&lt;&gt;"",K800="",U800&lt;&gt;"Yes",X800&lt;&gt;"Yes"),1,0)</f>
        <v/>
      </c>
      <c r="AE800" s="79">
        <f>IF(AND(AD800=1,T800&lt;&gt;""),IF(T800&lt;AsOf,1,0),0)</f>
        <v/>
      </c>
      <c r="AF800" s="79">
        <f>IF(AND(AD800=1,T800&lt;&gt;""),IF(AND(T800&gt;=AsOf,T800&lt;=AsOf+AlertDays),1,0),0)</f>
        <v/>
      </c>
      <c r="AG800" s="79">
        <f>IF(Y800="Order now",1,0)</f>
        <v/>
      </c>
      <c r="AH800" s="79">
        <f>IF(OR(Y800="⚠️ Order late — install at risk",Y800="⚠️ Delivery after install date"),1,0)</f>
        <v/>
      </c>
      <c r="AI800" s="79">
        <f>IF(AND(B800&lt;&gt;"",K800&lt;&gt;"",U800&lt;&gt;"Yes",X800&lt;&gt;"Yes"),1,0)</f>
        <v/>
      </c>
      <c r="AJ800" s="79">
        <f>IF(Y800="⚠️ Order late — install at risk",1,0)</f>
        <v/>
      </c>
    </row>
    <row r="801" ht="20" customHeight="1">
      <c r="B801" s="72" t="n"/>
      <c r="C801" s="72" t="n"/>
      <c r="D801" s="72" t="n"/>
      <c r="E801" s="72" t="n"/>
      <c r="F801" s="73" t="n"/>
      <c r="G801" s="72" t="n"/>
      <c r="H801" s="73" t="n"/>
      <c r="I801" s="72" t="n"/>
      <c r="J801" s="73" t="n"/>
      <c r="K801" s="74" t="n"/>
      <c r="L801" s="75">
        <f>IF(K801="A",F801,IF(K801="B",H801,IF(K801="C",J801,"")))</f>
        <v/>
      </c>
      <c r="M801" s="72" t="n"/>
      <c r="N801" s="72" t="n"/>
      <c r="O801" s="89" t="n"/>
      <c r="P801" s="89" t="n"/>
      <c r="Q801" s="109" t="n"/>
      <c r="R801" s="120">
        <f>IF(B801="","",IF(Q801&lt;&gt;"",Q801,IF(P801="","",IFERROR(INDEX('Timeline'!$J$7:$J$1006,MATCH(P801,'Timeline'!$B$7:$B$1006,0)),""))))</f>
        <v/>
      </c>
      <c r="S801" s="126">
        <f>IF(R801="","",R801-IF(O801="",0,O801)-OrderBuf)</f>
        <v/>
      </c>
      <c r="T801" s="126">
        <f>IF(S801="","",S801-DecideBuf)</f>
        <v/>
      </c>
      <c r="U801" s="74" t="n"/>
      <c r="V801" s="109" t="n"/>
      <c r="W801" s="109" t="n"/>
      <c r="X801" s="74" t="n"/>
      <c r="Y801" s="116">
        <f>IF(B801="","",IF(X801="Yes","Delivered",IF(U801="Yes",IF(AND(W801&lt;&gt;"",R801&lt;&gt;""),IF(W801&gt;R801,"⚠️ Delivery after install date","Ordered"),"Ordered"),IF(K801="",IF(T801="","Waiting for decision",IF(T801&lt;=AsOf+AlertDays,"Decide now","Waiting for decision")),IF(S801="","Selected",IF(AsOf&gt;S801,"⚠️ Order late — install at risk",IF(S801&lt;=AsOf+AlertDays,"Order now","Selected")))))))</f>
        <v/>
      </c>
      <c r="Z801" s="79">
        <f>IF(B801="","",IF(OR(AH801=1,AE801=1),2,IF(OR(AG801=1,AF801=1),1,IF(OR(Y801="Ordered",Y801="Delivered"),0,""))))</f>
        <v/>
      </c>
      <c r="AA801" s="112">
        <f>IF(B801="","",IF(AH801=1,IF(Y801="⚠️ Delivery after install date",R801,S801),IF(AD801=1,T801,IF(AI801=1,S801,""))))</f>
        <v/>
      </c>
      <c r="AB801" s="79">
        <f>IF(AA801="","",IF(AH801=1,1,IF(AA801="","",IF(AA801&lt;AsOf,1,IF(AA801&lt;=AsOf+AlertDays,2,IF(AA801&lt;=AsOf+2*AlertDays,3,""))))))</f>
        <v/>
      </c>
      <c r="AC801" s="79">
        <f>IF(AB801="","",IF(AH801=1,IF(Y801="⚠️ Delivery after install date","Delivery after install date: "&amp;B801,"Order late — install at risk: "&amp;B801),IF(AD801=1,IF(AB801=1,"Decision overdue: ","Decide: ")&amp;B801,"Order: "&amp;B801&amp;IF(N801="",""," from "&amp;N801))))</f>
        <v/>
      </c>
      <c r="AD801" s="79">
        <f>IF(AND(B801&lt;&gt;"",K801="",U801&lt;&gt;"Yes",X801&lt;&gt;"Yes"),1,0)</f>
        <v/>
      </c>
      <c r="AE801" s="79">
        <f>IF(AND(AD801=1,T801&lt;&gt;""),IF(T801&lt;AsOf,1,0),0)</f>
        <v/>
      </c>
      <c r="AF801" s="79">
        <f>IF(AND(AD801=1,T801&lt;&gt;""),IF(AND(T801&gt;=AsOf,T801&lt;=AsOf+AlertDays),1,0),0)</f>
        <v/>
      </c>
      <c r="AG801" s="79">
        <f>IF(Y801="Order now",1,0)</f>
        <v/>
      </c>
      <c r="AH801" s="79">
        <f>IF(OR(Y801="⚠️ Order late — install at risk",Y801="⚠️ Delivery after install date"),1,0)</f>
        <v/>
      </c>
      <c r="AI801" s="79">
        <f>IF(AND(B801&lt;&gt;"",K801&lt;&gt;"",U801&lt;&gt;"Yes",X801&lt;&gt;"Yes"),1,0)</f>
        <v/>
      </c>
      <c r="AJ801" s="79">
        <f>IF(Y801="⚠️ Order late — install at risk",1,0)</f>
        <v/>
      </c>
    </row>
    <row r="802" ht="20" customHeight="1">
      <c r="B802" s="72" t="n"/>
      <c r="C802" s="72" t="n"/>
      <c r="D802" s="72" t="n"/>
      <c r="E802" s="72" t="n"/>
      <c r="F802" s="73" t="n"/>
      <c r="G802" s="72" t="n"/>
      <c r="H802" s="73" t="n"/>
      <c r="I802" s="72" t="n"/>
      <c r="J802" s="73" t="n"/>
      <c r="K802" s="74" t="n"/>
      <c r="L802" s="75">
        <f>IF(K802="A",F802,IF(K802="B",H802,IF(K802="C",J802,"")))</f>
        <v/>
      </c>
      <c r="M802" s="72" t="n"/>
      <c r="N802" s="72" t="n"/>
      <c r="O802" s="89" t="n"/>
      <c r="P802" s="89" t="n"/>
      <c r="Q802" s="109" t="n"/>
      <c r="R802" s="120">
        <f>IF(B802="","",IF(Q802&lt;&gt;"",Q802,IF(P802="","",IFERROR(INDEX('Timeline'!$J$7:$J$1006,MATCH(P802,'Timeline'!$B$7:$B$1006,0)),""))))</f>
        <v/>
      </c>
      <c r="S802" s="126">
        <f>IF(R802="","",R802-IF(O802="",0,O802)-OrderBuf)</f>
        <v/>
      </c>
      <c r="T802" s="126">
        <f>IF(S802="","",S802-DecideBuf)</f>
        <v/>
      </c>
      <c r="U802" s="74" t="n"/>
      <c r="V802" s="109" t="n"/>
      <c r="W802" s="109" t="n"/>
      <c r="X802" s="74" t="n"/>
      <c r="Y802" s="116">
        <f>IF(B802="","",IF(X802="Yes","Delivered",IF(U802="Yes",IF(AND(W802&lt;&gt;"",R802&lt;&gt;""),IF(W802&gt;R802,"⚠️ Delivery after install date","Ordered"),"Ordered"),IF(K802="",IF(T802="","Waiting for decision",IF(T802&lt;=AsOf+AlertDays,"Decide now","Waiting for decision")),IF(S802="","Selected",IF(AsOf&gt;S802,"⚠️ Order late — install at risk",IF(S802&lt;=AsOf+AlertDays,"Order now","Selected")))))))</f>
        <v/>
      </c>
      <c r="Z802" s="79">
        <f>IF(B802="","",IF(OR(AH802=1,AE802=1),2,IF(OR(AG802=1,AF802=1),1,IF(OR(Y802="Ordered",Y802="Delivered"),0,""))))</f>
        <v/>
      </c>
      <c r="AA802" s="112">
        <f>IF(B802="","",IF(AH802=1,IF(Y802="⚠️ Delivery after install date",R802,S802),IF(AD802=1,T802,IF(AI802=1,S802,""))))</f>
        <v/>
      </c>
      <c r="AB802" s="79">
        <f>IF(AA802="","",IF(AH802=1,1,IF(AA802="","",IF(AA802&lt;AsOf,1,IF(AA802&lt;=AsOf+AlertDays,2,IF(AA802&lt;=AsOf+2*AlertDays,3,""))))))</f>
        <v/>
      </c>
      <c r="AC802" s="79">
        <f>IF(AB802="","",IF(AH802=1,IF(Y802="⚠️ Delivery after install date","Delivery after install date: "&amp;B802,"Order late — install at risk: "&amp;B802),IF(AD802=1,IF(AB802=1,"Decision overdue: ","Decide: ")&amp;B802,"Order: "&amp;B802&amp;IF(N802="",""," from "&amp;N802))))</f>
        <v/>
      </c>
      <c r="AD802" s="79">
        <f>IF(AND(B802&lt;&gt;"",K802="",U802&lt;&gt;"Yes",X802&lt;&gt;"Yes"),1,0)</f>
        <v/>
      </c>
      <c r="AE802" s="79">
        <f>IF(AND(AD802=1,T802&lt;&gt;""),IF(T802&lt;AsOf,1,0),0)</f>
        <v/>
      </c>
      <c r="AF802" s="79">
        <f>IF(AND(AD802=1,T802&lt;&gt;""),IF(AND(T802&gt;=AsOf,T802&lt;=AsOf+AlertDays),1,0),0)</f>
        <v/>
      </c>
      <c r="AG802" s="79">
        <f>IF(Y802="Order now",1,0)</f>
        <v/>
      </c>
      <c r="AH802" s="79">
        <f>IF(OR(Y802="⚠️ Order late — install at risk",Y802="⚠️ Delivery after install date"),1,0)</f>
        <v/>
      </c>
      <c r="AI802" s="79">
        <f>IF(AND(B802&lt;&gt;"",K802&lt;&gt;"",U802&lt;&gt;"Yes",X802&lt;&gt;"Yes"),1,0)</f>
        <v/>
      </c>
      <c r="AJ802" s="79">
        <f>IF(Y802="⚠️ Order late — install at risk",1,0)</f>
        <v/>
      </c>
    </row>
    <row r="803" ht="20" customHeight="1">
      <c r="B803" s="72" t="n"/>
      <c r="C803" s="72" t="n"/>
      <c r="D803" s="72" t="n"/>
      <c r="E803" s="72" t="n"/>
      <c r="F803" s="73" t="n"/>
      <c r="G803" s="72" t="n"/>
      <c r="H803" s="73" t="n"/>
      <c r="I803" s="72" t="n"/>
      <c r="J803" s="73" t="n"/>
      <c r="K803" s="74" t="n"/>
      <c r="L803" s="75">
        <f>IF(K803="A",F803,IF(K803="B",H803,IF(K803="C",J803,"")))</f>
        <v/>
      </c>
      <c r="M803" s="72" t="n"/>
      <c r="N803" s="72" t="n"/>
      <c r="O803" s="89" t="n"/>
      <c r="P803" s="89" t="n"/>
      <c r="Q803" s="109" t="n"/>
      <c r="R803" s="120">
        <f>IF(B803="","",IF(Q803&lt;&gt;"",Q803,IF(P803="","",IFERROR(INDEX('Timeline'!$J$7:$J$1006,MATCH(P803,'Timeline'!$B$7:$B$1006,0)),""))))</f>
        <v/>
      </c>
      <c r="S803" s="126">
        <f>IF(R803="","",R803-IF(O803="",0,O803)-OrderBuf)</f>
        <v/>
      </c>
      <c r="T803" s="126">
        <f>IF(S803="","",S803-DecideBuf)</f>
        <v/>
      </c>
      <c r="U803" s="74" t="n"/>
      <c r="V803" s="109" t="n"/>
      <c r="W803" s="109" t="n"/>
      <c r="X803" s="74" t="n"/>
      <c r="Y803" s="116">
        <f>IF(B803="","",IF(X803="Yes","Delivered",IF(U803="Yes",IF(AND(W803&lt;&gt;"",R803&lt;&gt;""),IF(W803&gt;R803,"⚠️ Delivery after install date","Ordered"),"Ordered"),IF(K803="",IF(T803="","Waiting for decision",IF(T803&lt;=AsOf+AlertDays,"Decide now","Waiting for decision")),IF(S803="","Selected",IF(AsOf&gt;S803,"⚠️ Order late — install at risk",IF(S803&lt;=AsOf+AlertDays,"Order now","Selected")))))))</f>
        <v/>
      </c>
      <c r="Z803" s="79">
        <f>IF(B803="","",IF(OR(AH803=1,AE803=1),2,IF(OR(AG803=1,AF803=1),1,IF(OR(Y803="Ordered",Y803="Delivered"),0,""))))</f>
        <v/>
      </c>
      <c r="AA803" s="112">
        <f>IF(B803="","",IF(AH803=1,IF(Y803="⚠️ Delivery after install date",R803,S803),IF(AD803=1,T803,IF(AI803=1,S803,""))))</f>
        <v/>
      </c>
      <c r="AB803" s="79">
        <f>IF(AA803="","",IF(AH803=1,1,IF(AA803="","",IF(AA803&lt;AsOf,1,IF(AA803&lt;=AsOf+AlertDays,2,IF(AA803&lt;=AsOf+2*AlertDays,3,""))))))</f>
        <v/>
      </c>
      <c r="AC803" s="79">
        <f>IF(AB803="","",IF(AH803=1,IF(Y803="⚠️ Delivery after install date","Delivery after install date: "&amp;B803,"Order late — install at risk: "&amp;B803),IF(AD803=1,IF(AB803=1,"Decision overdue: ","Decide: ")&amp;B803,"Order: "&amp;B803&amp;IF(N803="",""," from "&amp;N803))))</f>
        <v/>
      </c>
      <c r="AD803" s="79">
        <f>IF(AND(B803&lt;&gt;"",K803="",U803&lt;&gt;"Yes",X803&lt;&gt;"Yes"),1,0)</f>
        <v/>
      </c>
      <c r="AE803" s="79">
        <f>IF(AND(AD803=1,T803&lt;&gt;""),IF(T803&lt;AsOf,1,0),0)</f>
        <v/>
      </c>
      <c r="AF803" s="79">
        <f>IF(AND(AD803=1,T803&lt;&gt;""),IF(AND(T803&gt;=AsOf,T803&lt;=AsOf+AlertDays),1,0),0)</f>
        <v/>
      </c>
      <c r="AG803" s="79">
        <f>IF(Y803="Order now",1,0)</f>
        <v/>
      </c>
      <c r="AH803" s="79">
        <f>IF(OR(Y803="⚠️ Order late — install at risk",Y803="⚠️ Delivery after install date"),1,0)</f>
        <v/>
      </c>
      <c r="AI803" s="79">
        <f>IF(AND(B803&lt;&gt;"",K803&lt;&gt;"",U803&lt;&gt;"Yes",X803&lt;&gt;"Yes"),1,0)</f>
        <v/>
      </c>
      <c r="AJ803" s="79">
        <f>IF(Y803="⚠️ Order late — install at risk",1,0)</f>
        <v/>
      </c>
    </row>
    <row r="804" ht="20" customHeight="1">
      <c r="B804" s="72" t="n"/>
      <c r="C804" s="72" t="n"/>
      <c r="D804" s="72" t="n"/>
      <c r="E804" s="72" t="n"/>
      <c r="F804" s="73" t="n"/>
      <c r="G804" s="72" t="n"/>
      <c r="H804" s="73" t="n"/>
      <c r="I804" s="72" t="n"/>
      <c r="J804" s="73" t="n"/>
      <c r="K804" s="74" t="n"/>
      <c r="L804" s="75">
        <f>IF(K804="A",F804,IF(K804="B",H804,IF(K804="C",J804,"")))</f>
        <v/>
      </c>
      <c r="M804" s="72" t="n"/>
      <c r="N804" s="72" t="n"/>
      <c r="O804" s="89" t="n"/>
      <c r="P804" s="89" t="n"/>
      <c r="Q804" s="109" t="n"/>
      <c r="R804" s="120">
        <f>IF(B804="","",IF(Q804&lt;&gt;"",Q804,IF(P804="","",IFERROR(INDEX('Timeline'!$J$7:$J$1006,MATCH(P804,'Timeline'!$B$7:$B$1006,0)),""))))</f>
        <v/>
      </c>
      <c r="S804" s="126">
        <f>IF(R804="","",R804-IF(O804="",0,O804)-OrderBuf)</f>
        <v/>
      </c>
      <c r="T804" s="126">
        <f>IF(S804="","",S804-DecideBuf)</f>
        <v/>
      </c>
      <c r="U804" s="74" t="n"/>
      <c r="V804" s="109" t="n"/>
      <c r="W804" s="109" t="n"/>
      <c r="X804" s="74" t="n"/>
      <c r="Y804" s="116">
        <f>IF(B804="","",IF(X804="Yes","Delivered",IF(U804="Yes",IF(AND(W804&lt;&gt;"",R804&lt;&gt;""),IF(W804&gt;R804,"⚠️ Delivery after install date","Ordered"),"Ordered"),IF(K804="",IF(T804="","Waiting for decision",IF(T804&lt;=AsOf+AlertDays,"Decide now","Waiting for decision")),IF(S804="","Selected",IF(AsOf&gt;S804,"⚠️ Order late — install at risk",IF(S804&lt;=AsOf+AlertDays,"Order now","Selected")))))))</f>
        <v/>
      </c>
      <c r="Z804" s="79">
        <f>IF(B804="","",IF(OR(AH804=1,AE804=1),2,IF(OR(AG804=1,AF804=1),1,IF(OR(Y804="Ordered",Y804="Delivered"),0,""))))</f>
        <v/>
      </c>
      <c r="AA804" s="112">
        <f>IF(B804="","",IF(AH804=1,IF(Y804="⚠️ Delivery after install date",R804,S804),IF(AD804=1,T804,IF(AI804=1,S804,""))))</f>
        <v/>
      </c>
      <c r="AB804" s="79">
        <f>IF(AA804="","",IF(AH804=1,1,IF(AA804="","",IF(AA804&lt;AsOf,1,IF(AA804&lt;=AsOf+AlertDays,2,IF(AA804&lt;=AsOf+2*AlertDays,3,""))))))</f>
        <v/>
      </c>
      <c r="AC804" s="79">
        <f>IF(AB804="","",IF(AH804=1,IF(Y804="⚠️ Delivery after install date","Delivery after install date: "&amp;B804,"Order late — install at risk: "&amp;B804),IF(AD804=1,IF(AB804=1,"Decision overdue: ","Decide: ")&amp;B804,"Order: "&amp;B804&amp;IF(N804="",""," from "&amp;N804))))</f>
        <v/>
      </c>
      <c r="AD804" s="79">
        <f>IF(AND(B804&lt;&gt;"",K804="",U804&lt;&gt;"Yes",X804&lt;&gt;"Yes"),1,0)</f>
        <v/>
      </c>
      <c r="AE804" s="79">
        <f>IF(AND(AD804=1,T804&lt;&gt;""),IF(T804&lt;AsOf,1,0),0)</f>
        <v/>
      </c>
      <c r="AF804" s="79">
        <f>IF(AND(AD804=1,T804&lt;&gt;""),IF(AND(T804&gt;=AsOf,T804&lt;=AsOf+AlertDays),1,0),0)</f>
        <v/>
      </c>
      <c r="AG804" s="79">
        <f>IF(Y804="Order now",1,0)</f>
        <v/>
      </c>
      <c r="AH804" s="79">
        <f>IF(OR(Y804="⚠️ Order late — install at risk",Y804="⚠️ Delivery after install date"),1,0)</f>
        <v/>
      </c>
      <c r="AI804" s="79">
        <f>IF(AND(B804&lt;&gt;"",K804&lt;&gt;"",U804&lt;&gt;"Yes",X804&lt;&gt;"Yes"),1,0)</f>
        <v/>
      </c>
      <c r="AJ804" s="79">
        <f>IF(Y804="⚠️ Order late — install at risk",1,0)</f>
        <v/>
      </c>
    </row>
    <row r="805" ht="20" customHeight="1">
      <c r="B805" s="72" t="n"/>
      <c r="C805" s="72" t="n"/>
      <c r="D805" s="72" t="n"/>
      <c r="E805" s="72" t="n"/>
      <c r="F805" s="73" t="n"/>
      <c r="G805" s="72" t="n"/>
      <c r="H805" s="73" t="n"/>
      <c r="I805" s="72" t="n"/>
      <c r="J805" s="73" t="n"/>
      <c r="K805" s="74" t="n"/>
      <c r="L805" s="75">
        <f>IF(K805="A",F805,IF(K805="B",H805,IF(K805="C",J805,"")))</f>
        <v/>
      </c>
      <c r="M805" s="72" t="n"/>
      <c r="N805" s="72" t="n"/>
      <c r="O805" s="89" t="n"/>
      <c r="P805" s="89" t="n"/>
      <c r="Q805" s="109" t="n"/>
      <c r="R805" s="120">
        <f>IF(B805="","",IF(Q805&lt;&gt;"",Q805,IF(P805="","",IFERROR(INDEX('Timeline'!$J$7:$J$1006,MATCH(P805,'Timeline'!$B$7:$B$1006,0)),""))))</f>
        <v/>
      </c>
      <c r="S805" s="126">
        <f>IF(R805="","",R805-IF(O805="",0,O805)-OrderBuf)</f>
        <v/>
      </c>
      <c r="T805" s="126">
        <f>IF(S805="","",S805-DecideBuf)</f>
        <v/>
      </c>
      <c r="U805" s="74" t="n"/>
      <c r="V805" s="109" t="n"/>
      <c r="W805" s="109" t="n"/>
      <c r="X805" s="74" t="n"/>
      <c r="Y805" s="116">
        <f>IF(B805="","",IF(X805="Yes","Delivered",IF(U805="Yes",IF(AND(W805&lt;&gt;"",R805&lt;&gt;""),IF(W805&gt;R805,"⚠️ Delivery after install date","Ordered"),"Ordered"),IF(K805="",IF(T805="","Waiting for decision",IF(T805&lt;=AsOf+AlertDays,"Decide now","Waiting for decision")),IF(S805="","Selected",IF(AsOf&gt;S805,"⚠️ Order late — install at risk",IF(S805&lt;=AsOf+AlertDays,"Order now","Selected")))))))</f>
        <v/>
      </c>
      <c r="Z805" s="79">
        <f>IF(B805="","",IF(OR(AH805=1,AE805=1),2,IF(OR(AG805=1,AF805=1),1,IF(OR(Y805="Ordered",Y805="Delivered"),0,""))))</f>
        <v/>
      </c>
      <c r="AA805" s="112">
        <f>IF(B805="","",IF(AH805=1,IF(Y805="⚠️ Delivery after install date",R805,S805),IF(AD805=1,T805,IF(AI805=1,S805,""))))</f>
        <v/>
      </c>
      <c r="AB805" s="79">
        <f>IF(AA805="","",IF(AH805=1,1,IF(AA805="","",IF(AA805&lt;AsOf,1,IF(AA805&lt;=AsOf+AlertDays,2,IF(AA805&lt;=AsOf+2*AlertDays,3,""))))))</f>
        <v/>
      </c>
      <c r="AC805" s="79">
        <f>IF(AB805="","",IF(AH805=1,IF(Y805="⚠️ Delivery after install date","Delivery after install date: "&amp;B805,"Order late — install at risk: "&amp;B805),IF(AD805=1,IF(AB805=1,"Decision overdue: ","Decide: ")&amp;B805,"Order: "&amp;B805&amp;IF(N805="",""," from "&amp;N805))))</f>
        <v/>
      </c>
      <c r="AD805" s="79">
        <f>IF(AND(B805&lt;&gt;"",K805="",U805&lt;&gt;"Yes",X805&lt;&gt;"Yes"),1,0)</f>
        <v/>
      </c>
      <c r="AE805" s="79">
        <f>IF(AND(AD805=1,T805&lt;&gt;""),IF(T805&lt;AsOf,1,0),0)</f>
        <v/>
      </c>
      <c r="AF805" s="79">
        <f>IF(AND(AD805=1,T805&lt;&gt;""),IF(AND(T805&gt;=AsOf,T805&lt;=AsOf+AlertDays),1,0),0)</f>
        <v/>
      </c>
      <c r="AG805" s="79">
        <f>IF(Y805="Order now",1,0)</f>
        <v/>
      </c>
      <c r="AH805" s="79">
        <f>IF(OR(Y805="⚠️ Order late — install at risk",Y805="⚠️ Delivery after install date"),1,0)</f>
        <v/>
      </c>
      <c r="AI805" s="79">
        <f>IF(AND(B805&lt;&gt;"",K805&lt;&gt;"",U805&lt;&gt;"Yes",X805&lt;&gt;"Yes"),1,0)</f>
        <v/>
      </c>
      <c r="AJ805" s="79">
        <f>IF(Y805="⚠️ Order late — install at risk",1,0)</f>
        <v/>
      </c>
    </row>
    <row r="806" ht="20" customHeight="1">
      <c r="B806" s="72" t="n"/>
      <c r="C806" s="72" t="n"/>
      <c r="D806" s="72" t="n"/>
      <c r="E806" s="72" t="n"/>
      <c r="F806" s="73" t="n"/>
      <c r="G806" s="72" t="n"/>
      <c r="H806" s="73" t="n"/>
      <c r="I806" s="72" t="n"/>
      <c r="J806" s="73" t="n"/>
      <c r="K806" s="74" t="n"/>
      <c r="L806" s="75">
        <f>IF(K806="A",F806,IF(K806="B",H806,IF(K806="C",J806,"")))</f>
        <v/>
      </c>
      <c r="M806" s="72" t="n"/>
      <c r="N806" s="72" t="n"/>
      <c r="O806" s="89" t="n"/>
      <c r="P806" s="89" t="n"/>
      <c r="Q806" s="109" t="n"/>
      <c r="R806" s="120">
        <f>IF(B806="","",IF(Q806&lt;&gt;"",Q806,IF(P806="","",IFERROR(INDEX('Timeline'!$J$7:$J$1006,MATCH(P806,'Timeline'!$B$7:$B$1006,0)),""))))</f>
        <v/>
      </c>
      <c r="S806" s="126">
        <f>IF(R806="","",R806-IF(O806="",0,O806)-OrderBuf)</f>
        <v/>
      </c>
      <c r="T806" s="126">
        <f>IF(S806="","",S806-DecideBuf)</f>
        <v/>
      </c>
      <c r="U806" s="74" t="n"/>
      <c r="V806" s="109" t="n"/>
      <c r="W806" s="109" t="n"/>
      <c r="X806" s="74" t="n"/>
      <c r="Y806" s="116">
        <f>IF(B806="","",IF(X806="Yes","Delivered",IF(U806="Yes",IF(AND(W806&lt;&gt;"",R806&lt;&gt;""),IF(W806&gt;R806,"⚠️ Delivery after install date","Ordered"),"Ordered"),IF(K806="",IF(T806="","Waiting for decision",IF(T806&lt;=AsOf+AlertDays,"Decide now","Waiting for decision")),IF(S806="","Selected",IF(AsOf&gt;S806,"⚠️ Order late — install at risk",IF(S806&lt;=AsOf+AlertDays,"Order now","Selected")))))))</f>
        <v/>
      </c>
      <c r="Z806" s="79">
        <f>IF(B806="","",IF(OR(AH806=1,AE806=1),2,IF(OR(AG806=1,AF806=1),1,IF(OR(Y806="Ordered",Y806="Delivered"),0,""))))</f>
        <v/>
      </c>
      <c r="AA806" s="112">
        <f>IF(B806="","",IF(AH806=1,IF(Y806="⚠️ Delivery after install date",R806,S806),IF(AD806=1,T806,IF(AI806=1,S806,""))))</f>
        <v/>
      </c>
      <c r="AB806" s="79">
        <f>IF(AA806="","",IF(AH806=1,1,IF(AA806="","",IF(AA806&lt;AsOf,1,IF(AA806&lt;=AsOf+AlertDays,2,IF(AA806&lt;=AsOf+2*AlertDays,3,""))))))</f>
        <v/>
      </c>
      <c r="AC806" s="79">
        <f>IF(AB806="","",IF(AH806=1,IF(Y806="⚠️ Delivery after install date","Delivery after install date: "&amp;B806,"Order late — install at risk: "&amp;B806),IF(AD806=1,IF(AB806=1,"Decision overdue: ","Decide: ")&amp;B806,"Order: "&amp;B806&amp;IF(N806="",""," from "&amp;N806))))</f>
        <v/>
      </c>
      <c r="AD806" s="79">
        <f>IF(AND(B806&lt;&gt;"",K806="",U806&lt;&gt;"Yes",X806&lt;&gt;"Yes"),1,0)</f>
        <v/>
      </c>
      <c r="AE806" s="79">
        <f>IF(AND(AD806=1,T806&lt;&gt;""),IF(T806&lt;AsOf,1,0),0)</f>
        <v/>
      </c>
      <c r="AF806" s="79">
        <f>IF(AND(AD806=1,T806&lt;&gt;""),IF(AND(T806&gt;=AsOf,T806&lt;=AsOf+AlertDays),1,0),0)</f>
        <v/>
      </c>
      <c r="AG806" s="79">
        <f>IF(Y806="Order now",1,0)</f>
        <v/>
      </c>
      <c r="AH806" s="79">
        <f>IF(OR(Y806="⚠️ Order late — install at risk",Y806="⚠️ Delivery after install date"),1,0)</f>
        <v/>
      </c>
      <c r="AI806" s="79">
        <f>IF(AND(B806&lt;&gt;"",K806&lt;&gt;"",U806&lt;&gt;"Yes",X806&lt;&gt;"Yes"),1,0)</f>
        <v/>
      </c>
      <c r="AJ806" s="79">
        <f>IF(Y806="⚠️ Order late — install at risk",1,0)</f>
        <v/>
      </c>
    </row>
    <row r="807" ht="20" customHeight="1">
      <c r="B807" s="72" t="n"/>
      <c r="C807" s="72" t="n"/>
      <c r="D807" s="72" t="n"/>
      <c r="E807" s="72" t="n"/>
      <c r="F807" s="73" t="n"/>
      <c r="G807" s="72" t="n"/>
      <c r="H807" s="73" t="n"/>
      <c r="I807" s="72" t="n"/>
      <c r="J807" s="73" t="n"/>
      <c r="K807" s="74" t="n"/>
      <c r="L807" s="75">
        <f>IF(K807="A",F807,IF(K807="B",H807,IF(K807="C",J807,"")))</f>
        <v/>
      </c>
      <c r="M807" s="72" t="n"/>
      <c r="N807" s="72" t="n"/>
      <c r="O807" s="89" t="n"/>
      <c r="P807" s="89" t="n"/>
      <c r="Q807" s="109" t="n"/>
      <c r="R807" s="120">
        <f>IF(B807="","",IF(Q807&lt;&gt;"",Q807,IF(P807="","",IFERROR(INDEX('Timeline'!$J$7:$J$1006,MATCH(P807,'Timeline'!$B$7:$B$1006,0)),""))))</f>
        <v/>
      </c>
      <c r="S807" s="126">
        <f>IF(R807="","",R807-IF(O807="",0,O807)-OrderBuf)</f>
        <v/>
      </c>
      <c r="T807" s="126">
        <f>IF(S807="","",S807-DecideBuf)</f>
        <v/>
      </c>
      <c r="U807" s="74" t="n"/>
      <c r="V807" s="109" t="n"/>
      <c r="W807" s="109" t="n"/>
      <c r="X807" s="74" t="n"/>
      <c r="Y807" s="116">
        <f>IF(B807="","",IF(X807="Yes","Delivered",IF(U807="Yes",IF(AND(W807&lt;&gt;"",R807&lt;&gt;""),IF(W807&gt;R807,"⚠️ Delivery after install date","Ordered"),"Ordered"),IF(K807="",IF(T807="","Waiting for decision",IF(T807&lt;=AsOf+AlertDays,"Decide now","Waiting for decision")),IF(S807="","Selected",IF(AsOf&gt;S807,"⚠️ Order late — install at risk",IF(S807&lt;=AsOf+AlertDays,"Order now","Selected")))))))</f>
        <v/>
      </c>
      <c r="Z807" s="79">
        <f>IF(B807="","",IF(OR(AH807=1,AE807=1),2,IF(OR(AG807=1,AF807=1),1,IF(OR(Y807="Ordered",Y807="Delivered"),0,""))))</f>
        <v/>
      </c>
      <c r="AA807" s="112">
        <f>IF(B807="","",IF(AH807=1,IF(Y807="⚠️ Delivery after install date",R807,S807),IF(AD807=1,T807,IF(AI807=1,S807,""))))</f>
        <v/>
      </c>
      <c r="AB807" s="79">
        <f>IF(AA807="","",IF(AH807=1,1,IF(AA807="","",IF(AA807&lt;AsOf,1,IF(AA807&lt;=AsOf+AlertDays,2,IF(AA807&lt;=AsOf+2*AlertDays,3,""))))))</f>
        <v/>
      </c>
      <c r="AC807" s="79">
        <f>IF(AB807="","",IF(AH807=1,IF(Y807="⚠️ Delivery after install date","Delivery after install date: "&amp;B807,"Order late — install at risk: "&amp;B807),IF(AD807=1,IF(AB807=1,"Decision overdue: ","Decide: ")&amp;B807,"Order: "&amp;B807&amp;IF(N807="",""," from "&amp;N807))))</f>
        <v/>
      </c>
      <c r="AD807" s="79">
        <f>IF(AND(B807&lt;&gt;"",K807="",U807&lt;&gt;"Yes",X807&lt;&gt;"Yes"),1,0)</f>
        <v/>
      </c>
      <c r="AE807" s="79">
        <f>IF(AND(AD807=1,T807&lt;&gt;""),IF(T807&lt;AsOf,1,0),0)</f>
        <v/>
      </c>
      <c r="AF807" s="79">
        <f>IF(AND(AD807=1,T807&lt;&gt;""),IF(AND(T807&gt;=AsOf,T807&lt;=AsOf+AlertDays),1,0),0)</f>
        <v/>
      </c>
      <c r="AG807" s="79">
        <f>IF(Y807="Order now",1,0)</f>
        <v/>
      </c>
      <c r="AH807" s="79">
        <f>IF(OR(Y807="⚠️ Order late — install at risk",Y807="⚠️ Delivery after install date"),1,0)</f>
        <v/>
      </c>
      <c r="AI807" s="79">
        <f>IF(AND(B807&lt;&gt;"",K807&lt;&gt;"",U807&lt;&gt;"Yes",X807&lt;&gt;"Yes"),1,0)</f>
        <v/>
      </c>
      <c r="AJ807" s="79">
        <f>IF(Y807="⚠️ Order late — install at risk",1,0)</f>
        <v/>
      </c>
    </row>
    <row r="808" ht="20" customHeight="1">
      <c r="B808" s="72" t="n"/>
      <c r="C808" s="72" t="n"/>
      <c r="D808" s="72" t="n"/>
      <c r="E808" s="72" t="n"/>
      <c r="F808" s="73" t="n"/>
      <c r="G808" s="72" t="n"/>
      <c r="H808" s="73" t="n"/>
      <c r="I808" s="72" t="n"/>
      <c r="J808" s="73" t="n"/>
      <c r="K808" s="74" t="n"/>
      <c r="L808" s="75">
        <f>IF(K808="A",F808,IF(K808="B",H808,IF(K808="C",J808,"")))</f>
        <v/>
      </c>
      <c r="M808" s="72" t="n"/>
      <c r="N808" s="72" t="n"/>
      <c r="O808" s="89" t="n"/>
      <c r="P808" s="89" t="n"/>
      <c r="Q808" s="109" t="n"/>
      <c r="R808" s="120">
        <f>IF(B808="","",IF(Q808&lt;&gt;"",Q808,IF(P808="","",IFERROR(INDEX('Timeline'!$J$7:$J$1006,MATCH(P808,'Timeline'!$B$7:$B$1006,0)),""))))</f>
        <v/>
      </c>
      <c r="S808" s="126">
        <f>IF(R808="","",R808-IF(O808="",0,O808)-OrderBuf)</f>
        <v/>
      </c>
      <c r="T808" s="126">
        <f>IF(S808="","",S808-DecideBuf)</f>
        <v/>
      </c>
      <c r="U808" s="74" t="n"/>
      <c r="V808" s="109" t="n"/>
      <c r="W808" s="109" t="n"/>
      <c r="X808" s="74" t="n"/>
      <c r="Y808" s="116">
        <f>IF(B808="","",IF(X808="Yes","Delivered",IF(U808="Yes",IF(AND(W808&lt;&gt;"",R808&lt;&gt;""),IF(W808&gt;R808,"⚠️ Delivery after install date","Ordered"),"Ordered"),IF(K808="",IF(T808="","Waiting for decision",IF(T808&lt;=AsOf+AlertDays,"Decide now","Waiting for decision")),IF(S808="","Selected",IF(AsOf&gt;S808,"⚠️ Order late — install at risk",IF(S808&lt;=AsOf+AlertDays,"Order now","Selected")))))))</f>
        <v/>
      </c>
      <c r="Z808" s="79">
        <f>IF(B808="","",IF(OR(AH808=1,AE808=1),2,IF(OR(AG808=1,AF808=1),1,IF(OR(Y808="Ordered",Y808="Delivered"),0,""))))</f>
        <v/>
      </c>
      <c r="AA808" s="112">
        <f>IF(B808="","",IF(AH808=1,IF(Y808="⚠️ Delivery after install date",R808,S808),IF(AD808=1,T808,IF(AI808=1,S808,""))))</f>
        <v/>
      </c>
      <c r="AB808" s="79">
        <f>IF(AA808="","",IF(AH808=1,1,IF(AA808="","",IF(AA808&lt;AsOf,1,IF(AA808&lt;=AsOf+AlertDays,2,IF(AA808&lt;=AsOf+2*AlertDays,3,""))))))</f>
        <v/>
      </c>
      <c r="AC808" s="79">
        <f>IF(AB808="","",IF(AH808=1,IF(Y808="⚠️ Delivery after install date","Delivery after install date: "&amp;B808,"Order late — install at risk: "&amp;B808),IF(AD808=1,IF(AB808=1,"Decision overdue: ","Decide: ")&amp;B808,"Order: "&amp;B808&amp;IF(N808="",""," from "&amp;N808))))</f>
        <v/>
      </c>
      <c r="AD808" s="79">
        <f>IF(AND(B808&lt;&gt;"",K808="",U808&lt;&gt;"Yes",X808&lt;&gt;"Yes"),1,0)</f>
        <v/>
      </c>
      <c r="AE808" s="79">
        <f>IF(AND(AD808=1,T808&lt;&gt;""),IF(T808&lt;AsOf,1,0),0)</f>
        <v/>
      </c>
      <c r="AF808" s="79">
        <f>IF(AND(AD808=1,T808&lt;&gt;""),IF(AND(T808&gt;=AsOf,T808&lt;=AsOf+AlertDays),1,0),0)</f>
        <v/>
      </c>
      <c r="AG808" s="79">
        <f>IF(Y808="Order now",1,0)</f>
        <v/>
      </c>
      <c r="AH808" s="79">
        <f>IF(OR(Y808="⚠️ Order late — install at risk",Y808="⚠️ Delivery after install date"),1,0)</f>
        <v/>
      </c>
      <c r="AI808" s="79">
        <f>IF(AND(B808&lt;&gt;"",K808&lt;&gt;"",U808&lt;&gt;"Yes",X808&lt;&gt;"Yes"),1,0)</f>
        <v/>
      </c>
      <c r="AJ808" s="79">
        <f>IF(Y808="⚠️ Order late — install at risk",1,0)</f>
        <v/>
      </c>
    </row>
    <row r="809" ht="20" customHeight="1">
      <c r="B809" s="72" t="n"/>
      <c r="C809" s="72" t="n"/>
      <c r="D809" s="72" t="n"/>
      <c r="E809" s="72" t="n"/>
      <c r="F809" s="73" t="n"/>
      <c r="G809" s="72" t="n"/>
      <c r="H809" s="73" t="n"/>
      <c r="I809" s="72" t="n"/>
      <c r="J809" s="73" t="n"/>
      <c r="K809" s="74" t="n"/>
      <c r="L809" s="75">
        <f>IF(K809="A",F809,IF(K809="B",H809,IF(K809="C",J809,"")))</f>
        <v/>
      </c>
      <c r="M809" s="72" t="n"/>
      <c r="N809" s="72" t="n"/>
      <c r="O809" s="89" t="n"/>
      <c r="P809" s="89" t="n"/>
      <c r="Q809" s="109" t="n"/>
      <c r="R809" s="120">
        <f>IF(B809="","",IF(Q809&lt;&gt;"",Q809,IF(P809="","",IFERROR(INDEX('Timeline'!$J$7:$J$1006,MATCH(P809,'Timeline'!$B$7:$B$1006,0)),""))))</f>
        <v/>
      </c>
      <c r="S809" s="126">
        <f>IF(R809="","",R809-IF(O809="",0,O809)-OrderBuf)</f>
        <v/>
      </c>
      <c r="T809" s="126">
        <f>IF(S809="","",S809-DecideBuf)</f>
        <v/>
      </c>
      <c r="U809" s="74" t="n"/>
      <c r="V809" s="109" t="n"/>
      <c r="W809" s="109" t="n"/>
      <c r="X809" s="74" t="n"/>
      <c r="Y809" s="116">
        <f>IF(B809="","",IF(X809="Yes","Delivered",IF(U809="Yes",IF(AND(W809&lt;&gt;"",R809&lt;&gt;""),IF(W809&gt;R809,"⚠️ Delivery after install date","Ordered"),"Ordered"),IF(K809="",IF(T809="","Waiting for decision",IF(T809&lt;=AsOf+AlertDays,"Decide now","Waiting for decision")),IF(S809="","Selected",IF(AsOf&gt;S809,"⚠️ Order late — install at risk",IF(S809&lt;=AsOf+AlertDays,"Order now","Selected")))))))</f>
        <v/>
      </c>
      <c r="Z809" s="79">
        <f>IF(B809="","",IF(OR(AH809=1,AE809=1),2,IF(OR(AG809=1,AF809=1),1,IF(OR(Y809="Ordered",Y809="Delivered"),0,""))))</f>
        <v/>
      </c>
      <c r="AA809" s="112">
        <f>IF(B809="","",IF(AH809=1,IF(Y809="⚠️ Delivery after install date",R809,S809),IF(AD809=1,T809,IF(AI809=1,S809,""))))</f>
        <v/>
      </c>
      <c r="AB809" s="79">
        <f>IF(AA809="","",IF(AH809=1,1,IF(AA809="","",IF(AA809&lt;AsOf,1,IF(AA809&lt;=AsOf+AlertDays,2,IF(AA809&lt;=AsOf+2*AlertDays,3,""))))))</f>
        <v/>
      </c>
      <c r="AC809" s="79">
        <f>IF(AB809="","",IF(AH809=1,IF(Y809="⚠️ Delivery after install date","Delivery after install date: "&amp;B809,"Order late — install at risk: "&amp;B809),IF(AD809=1,IF(AB809=1,"Decision overdue: ","Decide: ")&amp;B809,"Order: "&amp;B809&amp;IF(N809="",""," from "&amp;N809))))</f>
        <v/>
      </c>
      <c r="AD809" s="79">
        <f>IF(AND(B809&lt;&gt;"",K809="",U809&lt;&gt;"Yes",X809&lt;&gt;"Yes"),1,0)</f>
        <v/>
      </c>
      <c r="AE809" s="79">
        <f>IF(AND(AD809=1,T809&lt;&gt;""),IF(T809&lt;AsOf,1,0),0)</f>
        <v/>
      </c>
      <c r="AF809" s="79">
        <f>IF(AND(AD809=1,T809&lt;&gt;""),IF(AND(T809&gt;=AsOf,T809&lt;=AsOf+AlertDays),1,0),0)</f>
        <v/>
      </c>
      <c r="AG809" s="79">
        <f>IF(Y809="Order now",1,0)</f>
        <v/>
      </c>
      <c r="AH809" s="79">
        <f>IF(OR(Y809="⚠️ Order late — install at risk",Y809="⚠️ Delivery after install date"),1,0)</f>
        <v/>
      </c>
      <c r="AI809" s="79">
        <f>IF(AND(B809&lt;&gt;"",K809&lt;&gt;"",U809&lt;&gt;"Yes",X809&lt;&gt;"Yes"),1,0)</f>
        <v/>
      </c>
      <c r="AJ809" s="79">
        <f>IF(Y809="⚠️ Order late — install at risk",1,0)</f>
        <v/>
      </c>
    </row>
    <row r="810" ht="20" customHeight="1">
      <c r="B810" s="72" t="n"/>
      <c r="C810" s="72" t="n"/>
      <c r="D810" s="72" t="n"/>
      <c r="E810" s="72" t="n"/>
      <c r="F810" s="73" t="n"/>
      <c r="G810" s="72" t="n"/>
      <c r="H810" s="73" t="n"/>
      <c r="I810" s="72" t="n"/>
      <c r="J810" s="73" t="n"/>
      <c r="K810" s="74" t="n"/>
      <c r="L810" s="75">
        <f>IF(K810="A",F810,IF(K810="B",H810,IF(K810="C",J810,"")))</f>
        <v/>
      </c>
      <c r="M810" s="72" t="n"/>
      <c r="N810" s="72" t="n"/>
      <c r="O810" s="89" t="n"/>
      <c r="P810" s="89" t="n"/>
      <c r="Q810" s="109" t="n"/>
      <c r="R810" s="120">
        <f>IF(B810="","",IF(Q810&lt;&gt;"",Q810,IF(P810="","",IFERROR(INDEX('Timeline'!$J$7:$J$1006,MATCH(P810,'Timeline'!$B$7:$B$1006,0)),""))))</f>
        <v/>
      </c>
      <c r="S810" s="126">
        <f>IF(R810="","",R810-IF(O810="",0,O810)-OrderBuf)</f>
        <v/>
      </c>
      <c r="T810" s="126">
        <f>IF(S810="","",S810-DecideBuf)</f>
        <v/>
      </c>
      <c r="U810" s="74" t="n"/>
      <c r="V810" s="109" t="n"/>
      <c r="W810" s="109" t="n"/>
      <c r="X810" s="74" t="n"/>
      <c r="Y810" s="116">
        <f>IF(B810="","",IF(X810="Yes","Delivered",IF(U810="Yes",IF(AND(W810&lt;&gt;"",R810&lt;&gt;""),IF(W810&gt;R810,"⚠️ Delivery after install date","Ordered"),"Ordered"),IF(K810="",IF(T810="","Waiting for decision",IF(T810&lt;=AsOf+AlertDays,"Decide now","Waiting for decision")),IF(S810="","Selected",IF(AsOf&gt;S810,"⚠️ Order late — install at risk",IF(S810&lt;=AsOf+AlertDays,"Order now","Selected")))))))</f>
        <v/>
      </c>
      <c r="Z810" s="79">
        <f>IF(B810="","",IF(OR(AH810=1,AE810=1),2,IF(OR(AG810=1,AF810=1),1,IF(OR(Y810="Ordered",Y810="Delivered"),0,""))))</f>
        <v/>
      </c>
      <c r="AA810" s="112">
        <f>IF(B810="","",IF(AH810=1,IF(Y810="⚠️ Delivery after install date",R810,S810),IF(AD810=1,T810,IF(AI810=1,S810,""))))</f>
        <v/>
      </c>
      <c r="AB810" s="79">
        <f>IF(AA810="","",IF(AH810=1,1,IF(AA810="","",IF(AA810&lt;AsOf,1,IF(AA810&lt;=AsOf+AlertDays,2,IF(AA810&lt;=AsOf+2*AlertDays,3,""))))))</f>
        <v/>
      </c>
      <c r="AC810" s="79">
        <f>IF(AB810="","",IF(AH810=1,IF(Y810="⚠️ Delivery after install date","Delivery after install date: "&amp;B810,"Order late — install at risk: "&amp;B810),IF(AD810=1,IF(AB810=1,"Decision overdue: ","Decide: ")&amp;B810,"Order: "&amp;B810&amp;IF(N810="",""," from "&amp;N810))))</f>
        <v/>
      </c>
      <c r="AD810" s="79">
        <f>IF(AND(B810&lt;&gt;"",K810="",U810&lt;&gt;"Yes",X810&lt;&gt;"Yes"),1,0)</f>
        <v/>
      </c>
      <c r="AE810" s="79">
        <f>IF(AND(AD810=1,T810&lt;&gt;""),IF(T810&lt;AsOf,1,0),0)</f>
        <v/>
      </c>
      <c r="AF810" s="79">
        <f>IF(AND(AD810=1,T810&lt;&gt;""),IF(AND(T810&gt;=AsOf,T810&lt;=AsOf+AlertDays),1,0),0)</f>
        <v/>
      </c>
      <c r="AG810" s="79">
        <f>IF(Y810="Order now",1,0)</f>
        <v/>
      </c>
      <c r="AH810" s="79">
        <f>IF(OR(Y810="⚠️ Order late — install at risk",Y810="⚠️ Delivery after install date"),1,0)</f>
        <v/>
      </c>
      <c r="AI810" s="79">
        <f>IF(AND(B810&lt;&gt;"",K810&lt;&gt;"",U810&lt;&gt;"Yes",X810&lt;&gt;"Yes"),1,0)</f>
        <v/>
      </c>
      <c r="AJ810" s="79">
        <f>IF(Y810="⚠️ Order late — install at risk",1,0)</f>
        <v/>
      </c>
    </row>
    <row r="811" ht="20" customHeight="1">
      <c r="B811" s="72" t="n"/>
      <c r="C811" s="72" t="n"/>
      <c r="D811" s="72" t="n"/>
      <c r="E811" s="72" t="n"/>
      <c r="F811" s="73" t="n"/>
      <c r="G811" s="72" t="n"/>
      <c r="H811" s="73" t="n"/>
      <c r="I811" s="72" t="n"/>
      <c r="J811" s="73" t="n"/>
      <c r="K811" s="74" t="n"/>
      <c r="L811" s="75">
        <f>IF(K811="A",F811,IF(K811="B",H811,IF(K811="C",J811,"")))</f>
        <v/>
      </c>
      <c r="M811" s="72" t="n"/>
      <c r="N811" s="72" t="n"/>
      <c r="O811" s="89" t="n"/>
      <c r="P811" s="89" t="n"/>
      <c r="Q811" s="109" t="n"/>
      <c r="R811" s="120">
        <f>IF(B811="","",IF(Q811&lt;&gt;"",Q811,IF(P811="","",IFERROR(INDEX('Timeline'!$J$7:$J$1006,MATCH(P811,'Timeline'!$B$7:$B$1006,0)),""))))</f>
        <v/>
      </c>
      <c r="S811" s="126">
        <f>IF(R811="","",R811-IF(O811="",0,O811)-OrderBuf)</f>
        <v/>
      </c>
      <c r="T811" s="126">
        <f>IF(S811="","",S811-DecideBuf)</f>
        <v/>
      </c>
      <c r="U811" s="74" t="n"/>
      <c r="V811" s="109" t="n"/>
      <c r="W811" s="109" t="n"/>
      <c r="X811" s="74" t="n"/>
      <c r="Y811" s="116">
        <f>IF(B811="","",IF(X811="Yes","Delivered",IF(U811="Yes",IF(AND(W811&lt;&gt;"",R811&lt;&gt;""),IF(W811&gt;R811,"⚠️ Delivery after install date","Ordered"),"Ordered"),IF(K811="",IF(T811="","Waiting for decision",IF(T811&lt;=AsOf+AlertDays,"Decide now","Waiting for decision")),IF(S811="","Selected",IF(AsOf&gt;S811,"⚠️ Order late — install at risk",IF(S811&lt;=AsOf+AlertDays,"Order now","Selected")))))))</f>
        <v/>
      </c>
      <c r="Z811" s="79">
        <f>IF(B811="","",IF(OR(AH811=1,AE811=1),2,IF(OR(AG811=1,AF811=1),1,IF(OR(Y811="Ordered",Y811="Delivered"),0,""))))</f>
        <v/>
      </c>
      <c r="AA811" s="112">
        <f>IF(B811="","",IF(AH811=1,IF(Y811="⚠️ Delivery after install date",R811,S811),IF(AD811=1,T811,IF(AI811=1,S811,""))))</f>
        <v/>
      </c>
      <c r="AB811" s="79">
        <f>IF(AA811="","",IF(AH811=1,1,IF(AA811="","",IF(AA811&lt;AsOf,1,IF(AA811&lt;=AsOf+AlertDays,2,IF(AA811&lt;=AsOf+2*AlertDays,3,""))))))</f>
        <v/>
      </c>
      <c r="AC811" s="79">
        <f>IF(AB811="","",IF(AH811=1,IF(Y811="⚠️ Delivery after install date","Delivery after install date: "&amp;B811,"Order late — install at risk: "&amp;B811),IF(AD811=1,IF(AB811=1,"Decision overdue: ","Decide: ")&amp;B811,"Order: "&amp;B811&amp;IF(N811="",""," from "&amp;N811))))</f>
        <v/>
      </c>
      <c r="AD811" s="79">
        <f>IF(AND(B811&lt;&gt;"",K811="",U811&lt;&gt;"Yes",X811&lt;&gt;"Yes"),1,0)</f>
        <v/>
      </c>
      <c r="AE811" s="79">
        <f>IF(AND(AD811=1,T811&lt;&gt;""),IF(T811&lt;AsOf,1,0),0)</f>
        <v/>
      </c>
      <c r="AF811" s="79">
        <f>IF(AND(AD811=1,T811&lt;&gt;""),IF(AND(T811&gt;=AsOf,T811&lt;=AsOf+AlertDays),1,0),0)</f>
        <v/>
      </c>
      <c r="AG811" s="79">
        <f>IF(Y811="Order now",1,0)</f>
        <v/>
      </c>
      <c r="AH811" s="79">
        <f>IF(OR(Y811="⚠️ Order late — install at risk",Y811="⚠️ Delivery after install date"),1,0)</f>
        <v/>
      </c>
      <c r="AI811" s="79">
        <f>IF(AND(B811&lt;&gt;"",K811&lt;&gt;"",U811&lt;&gt;"Yes",X811&lt;&gt;"Yes"),1,0)</f>
        <v/>
      </c>
      <c r="AJ811" s="79">
        <f>IF(Y811="⚠️ Order late — install at risk",1,0)</f>
        <v/>
      </c>
    </row>
    <row r="812" ht="20" customHeight="1">
      <c r="B812" s="72" t="n"/>
      <c r="C812" s="72" t="n"/>
      <c r="D812" s="72" t="n"/>
      <c r="E812" s="72" t="n"/>
      <c r="F812" s="73" t="n"/>
      <c r="G812" s="72" t="n"/>
      <c r="H812" s="73" t="n"/>
      <c r="I812" s="72" t="n"/>
      <c r="J812" s="73" t="n"/>
      <c r="K812" s="74" t="n"/>
      <c r="L812" s="75">
        <f>IF(K812="A",F812,IF(K812="B",H812,IF(K812="C",J812,"")))</f>
        <v/>
      </c>
      <c r="M812" s="72" t="n"/>
      <c r="N812" s="72" t="n"/>
      <c r="O812" s="89" t="n"/>
      <c r="P812" s="89" t="n"/>
      <c r="Q812" s="109" t="n"/>
      <c r="R812" s="120">
        <f>IF(B812="","",IF(Q812&lt;&gt;"",Q812,IF(P812="","",IFERROR(INDEX('Timeline'!$J$7:$J$1006,MATCH(P812,'Timeline'!$B$7:$B$1006,0)),""))))</f>
        <v/>
      </c>
      <c r="S812" s="126">
        <f>IF(R812="","",R812-IF(O812="",0,O812)-OrderBuf)</f>
        <v/>
      </c>
      <c r="T812" s="126">
        <f>IF(S812="","",S812-DecideBuf)</f>
        <v/>
      </c>
      <c r="U812" s="74" t="n"/>
      <c r="V812" s="109" t="n"/>
      <c r="W812" s="109" t="n"/>
      <c r="X812" s="74" t="n"/>
      <c r="Y812" s="116">
        <f>IF(B812="","",IF(X812="Yes","Delivered",IF(U812="Yes",IF(AND(W812&lt;&gt;"",R812&lt;&gt;""),IF(W812&gt;R812,"⚠️ Delivery after install date","Ordered"),"Ordered"),IF(K812="",IF(T812="","Waiting for decision",IF(T812&lt;=AsOf+AlertDays,"Decide now","Waiting for decision")),IF(S812="","Selected",IF(AsOf&gt;S812,"⚠️ Order late — install at risk",IF(S812&lt;=AsOf+AlertDays,"Order now","Selected")))))))</f>
        <v/>
      </c>
      <c r="Z812" s="79">
        <f>IF(B812="","",IF(OR(AH812=1,AE812=1),2,IF(OR(AG812=1,AF812=1),1,IF(OR(Y812="Ordered",Y812="Delivered"),0,""))))</f>
        <v/>
      </c>
      <c r="AA812" s="112">
        <f>IF(B812="","",IF(AH812=1,IF(Y812="⚠️ Delivery after install date",R812,S812),IF(AD812=1,T812,IF(AI812=1,S812,""))))</f>
        <v/>
      </c>
      <c r="AB812" s="79">
        <f>IF(AA812="","",IF(AH812=1,1,IF(AA812="","",IF(AA812&lt;AsOf,1,IF(AA812&lt;=AsOf+AlertDays,2,IF(AA812&lt;=AsOf+2*AlertDays,3,""))))))</f>
        <v/>
      </c>
      <c r="AC812" s="79">
        <f>IF(AB812="","",IF(AH812=1,IF(Y812="⚠️ Delivery after install date","Delivery after install date: "&amp;B812,"Order late — install at risk: "&amp;B812),IF(AD812=1,IF(AB812=1,"Decision overdue: ","Decide: ")&amp;B812,"Order: "&amp;B812&amp;IF(N812="",""," from "&amp;N812))))</f>
        <v/>
      </c>
      <c r="AD812" s="79">
        <f>IF(AND(B812&lt;&gt;"",K812="",U812&lt;&gt;"Yes",X812&lt;&gt;"Yes"),1,0)</f>
        <v/>
      </c>
      <c r="AE812" s="79">
        <f>IF(AND(AD812=1,T812&lt;&gt;""),IF(T812&lt;AsOf,1,0),0)</f>
        <v/>
      </c>
      <c r="AF812" s="79">
        <f>IF(AND(AD812=1,T812&lt;&gt;""),IF(AND(T812&gt;=AsOf,T812&lt;=AsOf+AlertDays),1,0),0)</f>
        <v/>
      </c>
      <c r="AG812" s="79">
        <f>IF(Y812="Order now",1,0)</f>
        <v/>
      </c>
      <c r="AH812" s="79">
        <f>IF(OR(Y812="⚠️ Order late — install at risk",Y812="⚠️ Delivery after install date"),1,0)</f>
        <v/>
      </c>
      <c r="AI812" s="79">
        <f>IF(AND(B812&lt;&gt;"",K812&lt;&gt;"",U812&lt;&gt;"Yes",X812&lt;&gt;"Yes"),1,0)</f>
        <v/>
      </c>
      <c r="AJ812" s="79">
        <f>IF(Y812="⚠️ Order late — install at risk",1,0)</f>
        <v/>
      </c>
    </row>
    <row r="813" ht="20" customHeight="1">
      <c r="B813" s="72" t="n"/>
      <c r="C813" s="72" t="n"/>
      <c r="D813" s="72" t="n"/>
      <c r="E813" s="72" t="n"/>
      <c r="F813" s="73" t="n"/>
      <c r="G813" s="72" t="n"/>
      <c r="H813" s="73" t="n"/>
      <c r="I813" s="72" t="n"/>
      <c r="J813" s="73" t="n"/>
      <c r="K813" s="74" t="n"/>
      <c r="L813" s="75">
        <f>IF(K813="A",F813,IF(K813="B",H813,IF(K813="C",J813,"")))</f>
        <v/>
      </c>
      <c r="M813" s="72" t="n"/>
      <c r="N813" s="72" t="n"/>
      <c r="O813" s="89" t="n"/>
      <c r="P813" s="89" t="n"/>
      <c r="Q813" s="109" t="n"/>
      <c r="R813" s="120">
        <f>IF(B813="","",IF(Q813&lt;&gt;"",Q813,IF(P813="","",IFERROR(INDEX('Timeline'!$J$7:$J$1006,MATCH(P813,'Timeline'!$B$7:$B$1006,0)),""))))</f>
        <v/>
      </c>
      <c r="S813" s="126">
        <f>IF(R813="","",R813-IF(O813="",0,O813)-OrderBuf)</f>
        <v/>
      </c>
      <c r="T813" s="126">
        <f>IF(S813="","",S813-DecideBuf)</f>
        <v/>
      </c>
      <c r="U813" s="74" t="n"/>
      <c r="V813" s="109" t="n"/>
      <c r="W813" s="109" t="n"/>
      <c r="X813" s="74" t="n"/>
      <c r="Y813" s="116">
        <f>IF(B813="","",IF(X813="Yes","Delivered",IF(U813="Yes",IF(AND(W813&lt;&gt;"",R813&lt;&gt;""),IF(W813&gt;R813,"⚠️ Delivery after install date","Ordered"),"Ordered"),IF(K813="",IF(T813="","Waiting for decision",IF(T813&lt;=AsOf+AlertDays,"Decide now","Waiting for decision")),IF(S813="","Selected",IF(AsOf&gt;S813,"⚠️ Order late — install at risk",IF(S813&lt;=AsOf+AlertDays,"Order now","Selected")))))))</f>
        <v/>
      </c>
      <c r="Z813" s="79">
        <f>IF(B813="","",IF(OR(AH813=1,AE813=1),2,IF(OR(AG813=1,AF813=1),1,IF(OR(Y813="Ordered",Y813="Delivered"),0,""))))</f>
        <v/>
      </c>
      <c r="AA813" s="112">
        <f>IF(B813="","",IF(AH813=1,IF(Y813="⚠️ Delivery after install date",R813,S813),IF(AD813=1,T813,IF(AI813=1,S813,""))))</f>
        <v/>
      </c>
      <c r="AB813" s="79">
        <f>IF(AA813="","",IF(AH813=1,1,IF(AA813="","",IF(AA813&lt;AsOf,1,IF(AA813&lt;=AsOf+AlertDays,2,IF(AA813&lt;=AsOf+2*AlertDays,3,""))))))</f>
        <v/>
      </c>
      <c r="AC813" s="79">
        <f>IF(AB813="","",IF(AH813=1,IF(Y813="⚠️ Delivery after install date","Delivery after install date: "&amp;B813,"Order late — install at risk: "&amp;B813),IF(AD813=1,IF(AB813=1,"Decision overdue: ","Decide: ")&amp;B813,"Order: "&amp;B813&amp;IF(N813="",""," from "&amp;N813))))</f>
        <v/>
      </c>
      <c r="AD813" s="79">
        <f>IF(AND(B813&lt;&gt;"",K813="",U813&lt;&gt;"Yes",X813&lt;&gt;"Yes"),1,0)</f>
        <v/>
      </c>
      <c r="AE813" s="79">
        <f>IF(AND(AD813=1,T813&lt;&gt;""),IF(T813&lt;AsOf,1,0),0)</f>
        <v/>
      </c>
      <c r="AF813" s="79">
        <f>IF(AND(AD813=1,T813&lt;&gt;""),IF(AND(T813&gt;=AsOf,T813&lt;=AsOf+AlertDays),1,0),0)</f>
        <v/>
      </c>
      <c r="AG813" s="79">
        <f>IF(Y813="Order now",1,0)</f>
        <v/>
      </c>
      <c r="AH813" s="79">
        <f>IF(OR(Y813="⚠️ Order late — install at risk",Y813="⚠️ Delivery after install date"),1,0)</f>
        <v/>
      </c>
      <c r="AI813" s="79">
        <f>IF(AND(B813&lt;&gt;"",K813&lt;&gt;"",U813&lt;&gt;"Yes",X813&lt;&gt;"Yes"),1,0)</f>
        <v/>
      </c>
      <c r="AJ813" s="79">
        <f>IF(Y813="⚠️ Order late — install at risk",1,0)</f>
        <v/>
      </c>
    </row>
    <row r="814" ht="20" customHeight="1">
      <c r="B814" s="72" t="n"/>
      <c r="C814" s="72" t="n"/>
      <c r="D814" s="72" t="n"/>
      <c r="E814" s="72" t="n"/>
      <c r="F814" s="73" t="n"/>
      <c r="G814" s="72" t="n"/>
      <c r="H814" s="73" t="n"/>
      <c r="I814" s="72" t="n"/>
      <c r="J814" s="73" t="n"/>
      <c r="K814" s="74" t="n"/>
      <c r="L814" s="75">
        <f>IF(K814="A",F814,IF(K814="B",H814,IF(K814="C",J814,"")))</f>
        <v/>
      </c>
      <c r="M814" s="72" t="n"/>
      <c r="N814" s="72" t="n"/>
      <c r="O814" s="89" t="n"/>
      <c r="P814" s="89" t="n"/>
      <c r="Q814" s="109" t="n"/>
      <c r="R814" s="120">
        <f>IF(B814="","",IF(Q814&lt;&gt;"",Q814,IF(P814="","",IFERROR(INDEX('Timeline'!$J$7:$J$1006,MATCH(P814,'Timeline'!$B$7:$B$1006,0)),""))))</f>
        <v/>
      </c>
      <c r="S814" s="126">
        <f>IF(R814="","",R814-IF(O814="",0,O814)-OrderBuf)</f>
        <v/>
      </c>
      <c r="T814" s="126">
        <f>IF(S814="","",S814-DecideBuf)</f>
        <v/>
      </c>
      <c r="U814" s="74" t="n"/>
      <c r="V814" s="109" t="n"/>
      <c r="W814" s="109" t="n"/>
      <c r="X814" s="74" t="n"/>
      <c r="Y814" s="116">
        <f>IF(B814="","",IF(X814="Yes","Delivered",IF(U814="Yes",IF(AND(W814&lt;&gt;"",R814&lt;&gt;""),IF(W814&gt;R814,"⚠️ Delivery after install date","Ordered"),"Ordered"),IF(K814="",IF(T814="","Waiting for decision",IF(T814&lt;=AsOf+AlertDays,"Decide now","Waiting for decision")),IF(S814="","Selected",IF(AsOf&gt;S814,"⚠️ Order late — install at risk",IF(S814&lt;=AsOf+AlertDays,"Order now","Selected")))))))</f>
        <v/>
      </c>
      <c r="Z814" s="79">
        <f>IF(B814="","",IF(OR(AH814=1,AE814=1),2,IF(OR(AG814=1,AF814=1),1,IF(OR(Y814="Ordered",Y814="Delivered"),0,""))))</f>
        <v/>
      </c>
      <c r="AA814" s="112">
        <f>IF(B814="","",IF(AH814=1,IF(Y814="⚠️ Delivery after install date",R814,S814),IF(AD814=1,T814,IF(AI814=1,S814,""))))</f>
        <v/>
      </c>
      <c r="AB814" s="79">
        <f>IF(AA814="","",IF(AH814=1,1,IF(AA814="","",IF(AA814&lt;AsOf,1,IF(AA814&lt;=AsOf+AlertDays,2,IF(AA814&lt;=AsOf+2*AlertDays,3,""))))))</f>
        <v/>
      </c>
      <c r="AC814" s="79">
        <f>IF(AB814="","",IF(AH814=1,IF(Y814="⚠️ Delivery after install date","Delivery after install date: "&amp;B814,"Order late — install at risk: "&amp;B814),IF(AD814=1,IF(AB814=1,"Decision overdue: ","Decide: ")&amp;B814,"Order: "&amp;B814&amp;IF(N814="",""," from "&amp;N814))))</f>
        <v/>
      </c>
      <c r="AD814" s="79">
        <f>IF(AND(B814&lt;&gt;"",K814="",U814&lt;&gt;"Yes",X814&lt;&gt;"Yes"),1,0)</f>
        <v/>
      </c>
      <c r="AE814" s="79">
        <f>IF(AND(AD814=1,T814&lt;&gt;""),IF(T814&lt;AsOf,1,0),0)</f>
        <v/>
      </c>
      <c r="AF814" s="79">
        <f>IF(AND(AD814=1,T814&lt;&gt;""),IF(AND(T814&gt;=AsOf,T814&lt;=AsOf+AlertDays),1,0),0)</f>
        <v/>
      </c>
      <c r="AG814" s="79">
        <f>IF(Y814="Order now",1,0)</f>
        <v/>
      </c>
      <c r="AH814" s="79">
        <f>IF(OR(Y814="⚠️ Order late — install at risk",Y814="⚠️ Delivery after install date"),1,0)</f>
        <v/>
      </c>
      <c r="AI814" s="79">
        <f>IF(AND(B814&lt;&gt;"",K814&lt;&gt;"",U814&lt;&gt;"Yes",X814&lt;&gt;"Yes"),1,0)</f>
        <v/>
      </c>
      <c r="AJ814" s="79">
        <f>IF(Y814="⚠️ Order late — install at risk",1,0)</f>
        <v/>
      </c>
    </row>
    <row r="815" ht="20" customHeight="1">
      <c r="B815" s="72" t="n"/>
      <c r="C815" s="72" t="n"/>
      <c r="D815" s="72" t="n"/>
      <c r="E815" s="72" t="n"/>
      <c r="F815" s="73" t="n"/>
      <c r="G815" s="72" t="n"/>
      <c r="H815" s="73" t="n"/>
      <c r="I815" s="72" t="n"/>
      <c r="J815" s="73" t="n"/>
      <c r="K815" s="74" t="n"/>
      <c r="L815" s="75">
        <f>IF(K815="A",F815,IF(K815="B",H815,IF(K815="C",J815,"")))</f>
        <v/>
      </c>
      <c r="M815" s="72" t="n"/>
      <c r="N815" s="72" t="n"/>
      <c r="O815" s="89" t="n"/>
      <c r="P815" s="89" t="n"/>
      <c r="Q815" s="109" t="n"/>
      <c r="R815" s="120">
        <f>IF(B815="","",IF(Q815&lt;&gt;"",Q815,IF(P815="","",IFERROR(INDEX('Timeline'!$J$7:$J$1006,MATCH(P815,'Timeline'!$B$7:$B$1006,0)),""))))</f>
        <v/>
      </c>
      <c r="S815" s="126">
        <f>IF(R815="","",R815-IF(O815="",0,O815)-OrderBuf)</f>
        <v/>
      </c>
      <c r="T815" s="126">
        <f>IF(S815="","",S815-DecideBuf)</f>
        <v/>
      </c>
      <c r="U815" s="74" t="n"/>
      <c r="V815" s="109" t="n"/>
      <c r="W815" s="109" t="n"/>
      <c r="X815" s="74" t="n"/>
      <c r="Y815" s="116">
        <f>IF(B815="","",IF(X815="Yes","Delivered",IF(U815="Yes",IF(AND(W815&lt;&gt;"",R815&lt;&gt;""),IF(W815&gt;R815,"⚠️ Delivery after install date","Ordered"),"Ordered"),IF(K815="",IF(T815="","Waiting for decision",IF(T815&lt;=AsOf+AlertDays,"Decide now","Waiting for decision")),IF(S815="","Selected",IF(AsOf&gt;S815,"⚠️ Order late — install at risk",IF(S815&lt;=AsOf+AlertDays,"Order now","Selected")))))))</f>
        <v/>
      </c>
      <c r="Z815" s="79">
        <f>IF(B815="","",IF(OR(AH815=1,AE815=1),2,IF(OR(AG815=1,AF815=1),1,IF(OR(Y815="Ordered",Y815="Delivered"),0,""))))</f>
        <v/>
      </c>
      <c r="AA815" s="112">
        <f>IF(B815="","",IF(AH815=1,IF(Y815="⚠️ Delivery after install date",R815,S815),IF(AD815=1,T815,IF(AI815=1,S815,""))))</f>
        <v/>
      </c>
      <c r="AB815" s="79">
        <f>IF(AA815="","",IF(AH815=1,1,IF(AA815="","",IF(AA815&lt;AsOf,1,IF(AA815&lt;=AsOf+AlertDays,2,IF(AA815&lt;=AsOf+2*AlertDays,3,""))))))</f>
        <v/>
      </c>
      <c r="AC815" s="79">
        <f>IF(AB815="","",IF(AH815=1,IF(Y815="⚠️ Delivery after install date","Delivery after install date: "&amp;B815,"Order late — install at risk: "&amp;B815),IF(AD815=1,IF(AB815=1,"Decision overdue: ","Decide: ")&amp;B815,"Order: "&amp;B815&amp;IF(N815="",""," from "&amp;N815))))</f>
        <v/>
      </c>
      <c r="AD815" s="79">
        <f>IF(AND(B815&lt;&gt;"",K815="",U815&lt;&gt;"Yes",X815&lt;&gt;"Yes"),1,0)</f>
        <v/>
      </c>
      <c r="AE815" s="79">
        <f>IF(AND(AD815=1,T815&lt;&gt;""),IF(T815&lt;AsOf,1,0),0)</f>
        <v/>
      </c>
      <c r="AF815" s="79">
        <f>IF(AND(AD815=1,T815&lt;&gt;""),IF(AND(T815&gt;=AsOf,T815&lt;=AsOf+AlertDays),1,0),0)</f>
        <v/>
      </c>
      <c r="AG815" s="79">
        <f>IF(Y815="Order now",1,0)</f>
        <v/>
      </c>
      <c r="AH815" s="79">
        <f>IF(OR(Y815="⚠️ Order late — install at risk",Y815="⚠️ Delivery after install date"),1,0)</f>
        <v/>
      </c>
      <c r="AI815" s="79">
        <f>IF(AND(B815&lt;&gt;"",K815&lt;&gt;"",U815&lt;&gt;"Yes",X815&lt;&gt;"Yes"),1,0)</f>
        <v/>
      </c>
      <c r="AJ815" s="79">
        <f>IF(Y815="⚠️ Order late — install at risk",1,0)</f>
        <v/>
      </c>
    </row>
    <row r="816" ht="20" customHeight="1">
      <c r="B816" s="72" t="n"/>
      <c r="C816" s="72" t="n"/>
      <c r="D816" s="72" t="n"/>
      <c r="E816" s="72" t="n"/>
      <c r="F816" s="73" t="n"/>
      <c r="G816" s="72" t="n"/>
      <c r="H816" s="73" t="n"/>
      <c r="I816" s="72" t="n"/>
      <c r="J816" s="73" t="n"/>
      <c r="K816" s="74" t="n"/>
      <c r="L816" s="75">
        <f>IF(K816="A",F816,IF(K816="B",H816,IF(K816="C",J816,"")))</f>
        <v/>
      </c>
      <c r="M816" s="72" t="n"/>
      <c r="N816" s="72" t="n"/>
      <c r="O816" s="89" t="n"/>
      <c r="P816" s="89" t="n"/>
      <c r="Q816" s="109" t="n"/>
      <c r="R816" s="120">
        <f>IF(B816="","",IF(Q816&lt;&gt;"",Q816,IF(P816="","",IFERROR(INDEX('Timeline'!$J$7:$J$1006,MATCH(P816,'Timeline'!$B$7:$B$1006,0)),""))))</f>
        <v/>
      </c>
      <c r="S816" s="126">
        <f>IF(R816="","",R816-IF(O816="",0,O816)-OrderBuf)</f>
        <v/>
      </c>
      <c r="T816" s="126">
        <f>IF(S816="","",S816-DecideBuf)</f>
        <v/>
      </c>
      <c r="U816" s="74" t="n"/>
      <c r="V816" s="109" t="n"/>
      <c r="W816" s="109" t="n"/>
      <c r="X816" s="74" t="n"/>
      <c r="Y816" s="116">
        <f>IF(B816="","",IF(X816="Yes","Delivered",IF(U816="Yes",IF(AND(W816&lt;&gt;"",R816&lt;&gt;""),IF(W816&gt;R816,"⚠️ Delivery after install date","Ordered"),"Ordered"),IF(K816="",IF(T816="","Waiting for decision",IF(T816&lt;=AsOf+AlertDays,"Decide now","Waiting for decision")),IF(S816="","Selected",IF(AsOf&gt;S816,"⚠️ Order late — install at risk",IF(S816&lt;=AsOf+AlertDays,"Order now","Selected")))))))</f>
        <v/>
      </c>
      <c r="Z816" s="79">
        <f>IF(B816="","",IF(OR(AH816=1,AE816=1),2,IF(OR(AG816=1,AF816=1),1,IF(OR(Y816="Ordered",Y816="Delivered"),0,""))))</f>
        <v/>
      </c>
      <c r="AA816" s="112">
        <f>IF(B816="","",IF(AH816=1,IF(Y816="⚠️ Delivery after install date",R816,S816),IF(AD816=1,T816,IF(AI816=1,S816,""))))</f>
        <v/>
      </c>
      <c r="AB816" s="79">
        <f>IF(AA816="","",IF(AH816=1,1,IF(AA816="","",IF(AA816&lt;AsOf,1,IF(AA816&lt;=AsOf+AlertDays,2,IF(AA816&lt;=AsOf+2*AlertDays,3,""))))))</f>
        <v/>
      </c>
      <c r="AC816" s="79">
        <f>IF(AB816="","",IF(AH816=1,IF(Y816="⚠️ Delivery after install date","Delivery after install date: "&amp;B816,"Order late — install at risk: "&amp;B816),IF(AD816=1,IF(AB816=1,"Decision overdue: ","Decide: ")&amp;B816,"Order: "&amp;B816&amp;IF(N816="",""," from "&amp;N816))))</f>
        <v/>
      </c>
      <c r="AD816" s="79">
        <f>IF(AND(B816&lt;&gt;"",K816="",U816&lt;&gt;"Yes",X816&lt;&gt;"Yes"),1,0)</f>
        <v/>
      </c>
      <c r="AE816" s="79">
        <f>IF(AND(AD816=1,T816&lt;&gt;""),IF(T816&lt;AsOf,1,0),0)</f>
        <v/>
      </c>
      <c r="AF816" s="79">
        <f>IF(AND(AD816=1,T816&lt;&gt;""),IF(AND(T816&gt;=AsOf,T816&lt;=AsOf+AlertDays),1,0),0)</f>
        <v/>
      </c>
      <c r="AG816" s="79">
        <f>IF(Y816="Order now",1,0)</f>
        <v/>
      </c>
      <c r="AH816" s="79">
        <f>IF(OR(Y816="⚠️ Order late — install at risk",Y816="⚠️ Delivery after install date"),1,0)</f>
        <v/>
      </c>
      <c r="AI816" s="79">
        <f>IF(AND(B816&lt;&gt;"",K816&lt;&gt;"",U816&lt;&gt;"Yes",X816&lt;&gt;"Yes"),1,0)</f>
        <v/>
      </c>
      <c r="AJ816" s="79">
        <f>IF(Y816="⚠️ Order late — install at risk",1,0)</f>
        <v/>
      </c>
    </row>
    <row r="817" ht="20" customHeight="1">
      <c r="B817" s="72" t="n"/>
      <c r="C817" s="72" t="n"/>
      <c r="D817" s="72" t="n"/>
      <c r="E817" s="72" t="n"/>
      <c r="F817" s="73" t="n"/>
      <c r="G817" s="72" t="n"/>
      <c r="H817" s="73" t="n"/>
      <c r="I817" s="72" t="n"/>
      <c r="J817" s="73" t="n"/>
      <c r="K817" s="74" t="n"/>
      <c r="L817" s="75">
        <f>IF(K817="A",F817,IF(K817="B",H817,IF(K817="C",J817,"")))</f>
        <v/>
      </c>
      <c r="M817" s="72" t="n"/>
      <c r="N817" s="72" t="n"/>
      <c r="O817" s="89" t="n"/>
      <c r="P817" s="89" t="n"/>
      <c r="Q817" s="109" t="n"/>
      <c r="R817" s="120">
        <f>IF(B817="","",IF(Q817&lt;&gt;"",Q817,IF(P817="","",IFERROR(INDEX('Timeline'!$J$7:$J$1006,MATCH(P817,'Timeline'!$B$7:$B$1006,0)),""))))</f>
        <v/>
      </c>
      <c r="S817" s="126">
        <f>IF(R817="","",R817-IF(O817="",0,O817)-OrderBuf)</f>
        <v/>
      </c>
      <c r="T817" s="126">
        <f>IF(S817="","",S817-DecideBuf)</f>
        <v/>
      </c>
      <c r="U817" s="74" t="n"/>
      <c r="V817" s="109" t="n"/>
      <c r="W817" s="109" t="n"/>
      <c r="X817" s="74" t="n"/>
      <c r="Y817" s="116">
        <f>IF(B817="","",IF(X817="Yes","Delivered",IF(U817="Yes",IF(AND(W817&lt;&gt;"",R817&lt;&gt;""),IF(W817&gt;R817,"⚠️ Delivery after install date","Ordered"),"Ordered"),IF(K817="",IF(T817="","Waiting for decision",IF(T817&lt;=AsOf+AlertDays,"Decide now","Waiting for decision")),IF(S817="","Selected",IF(AsOf&gt;S817,"⚠️ Order late — install at risk",IF(S817&lt;=AsOf+AlertDays,"Order now","Selected")))))))</f>
        <v/>
      </c>
      <c r="Z817" s="79">
        <f>IF(B817="","",IF(OR(AH817=1,AE817=1),2,IF(OR(AG817=1,AF817=1),1,IF(OR(Y817="Ordered",Y817="Delivered"),0,""))))</f>
        <v/>
      </c>
      <c r="AA817" s="112">
        <f>IF(B817="","",IF(AH817=1,IF(Y817="⚠️ Delivery after install date",R817,S817),IF(AD817=1,T817,IF(AI817=1,S817,""))))</f>
        <v/>
      </c>
      <c r="AB817" s="79">
        <f>IF(AA817="","",IF(AH817=1,1,IF(AA817="","",IF(AA817&lt;AsOf,1,IF(AA817&lt;=AsOf+AlertDays,2,IF(AA817&lt;=AsOf+2*AlertDays,3,""))))))</f>
        <v/>
      </c>
      <c r="AC817" s="79">
        <f>IF(AB817="","",IF(AH817=1,IF(Y817="⚠️ Delivery after install date","Delivery after install date: "&amp;B817,"Order late — install at risk: "&amp;B817),IF(AD817=1,IF(AB817=1,"Decision overdue: ","Decide: ")&amp;B817,"Order: "&amp;B817&amp;IF(N817="",""," from "&amp;N817))))</f>
        <v/>
      </c>
      <c r="AD817" s="79">
        <f>IF(AND(B817&lt;&gt;"",K817="",U817&lt;&gt;"Yes",X817&lt;&gt;"Yes"),1,0)</f>
        <v/>
      </c>
      <c r="AE817" s="79">
        <f>IF(AND(AD817=1,T817&lt;&gt;""),IF(T817&lt;AsOf,1,0),0)</f>
        <v/>
      </c>
      <c r="AF817" s="79">
        <f>IF(AND(AD817=1,T817&lt;&gt;""),IF(AND(T817&gt;=AsOf,T817&lt;=AsOf+AlertDays),1,0),0)</f>
        <v/>
      </c>
      <c r="AG817" s="79">
        <f>IF(Y817="Order now",1,0)</f>
        <v/>
      </c>
      <c r="AH817" s="79">
        <f>IF(OR(Y817="⚠️ Order late — install at risk",Y817="⚠️ Delivery after install date"),1,0)</f>
        <v/>
      </c>
      <c r="AI817" s="79">
        <f>IF(AND(B817&lt;&gt;"",K817&lt;&gt;"",U817&lt;&gt;"Yes",X817&lt;&gt;"Yes"),1,0)</f>
        <v/>
      </c>
      <c r="AJ817" s="79">
        <f>IF(Y817="⚠️ Order late — install at risk",1,0)</f>
        <v/>
      </c>
    </row>
    <row r="818" ht="20" customHeight="1">
      <c r="B818" s="72" t="n"/>
      <c r="C818" s="72" t="n"/>
      <c r="D818" s="72" t="n"/>
      <c r="E818" s="72" t="n"/>
      <c r="F818" s="73" t="n"/>
      <c r="G818" s="72" t="n"/>
      <c r="H818" s="73" t="n"/>
      <c r="I818" s="72" t="n"/>
      <c r="J818" s="73" t="n"/>
      <c r="K818" s="74" t="n"/>
      <c r="L818" s="75">
        <f>IF(K818="A",F818,IF(K818="B",H818,IF(K818="C",J818,"")))</f>
        <v/>
      </c>
      <c r="M818" s="72" t="n"/>
      <c r="N818" s="72" t="n"/>
      <c r="O818" s="89" t="n"/>
      <c r="P818" s="89" t="n"/>
      <c r="Q818" s="109" t="n"/>
      <c r="R818" s="120">
        <f>IF(B818="","",IF(Q818&lt;&gt;"",Q818,IF(P818="","",IFERROR(INDEX('Timeline'!$J$7:$J$1006,MATCH(P818,'Timeline'!$B$7:$B$1006,0)),""))))</f>
        <v/>
      </c>
      <c r="S818" s="126">
        <f>IF(R818="","",R818-IF(O818="",0,O818)-OrderBuf)</f>
        <v/>
      </c>
      <c r="T818" s="126">
        <f>IF(S818="","",S818-DecideBuf)</f>
        <v/>
      </c>
      <c r="U818" s="74" t="n"/>
      <c r="V818" s="109" t="n"/>
      <c r="W818" s="109" t="n"/>
      <c r="X818" s="74" t="n"/>
      <c r="Y818" s="116">
        <f>IF(B818="","",IF(X818="Yes","Delivered",IF(U818="Yes",IF(AND(W818&lt;&gt;"",R818&lt;&gt;""),IF(W818&gt;R818,"⚠️ Delivery after install date","Ordered"),"Ordered"),IF(K818="",IF(T818="","Waiting for decision",IF(T818&lt;=AsOf+AlertDays,"Decide now","Waiting for decision")),IF(S818="","Selected",IF(AsOf&gt;S818,"⚠️ Order late — install at risk",IF(S818&lt;=AsOf+AlertDays,"Order now","Selected")))))))</f>
        <v/>
      </c>
      <c r="Z818" s="79">
        <f>IF(B818="","",IF(OR(AH818=1,AE818=1),2,IF(OR(AG818=1,AF818=1),1,IF(OR(Y818="Ordered",Y818="Delivered"),0,""))))</f>
        <v/>
      </c>
      <c r="AA818" s="112">
        <f>IF(B818="","",IF(AH818=1,IF(Y818="⚠️ Delivery after install date",R818,S818),IF(AD818=1,T818,IF(AI818=1,S818,""))))</f>
        <v/>
      </c>
      <c r="AB818" s="79">
        <f>IF(AA818="","",IF(AH818=1,1,IF(AA818="","",IF(AA818&lt;AsOf,1,IF(AA818&lt;=AsOf+AlertDays,2,IF(AA818&lt;=AsOf+2*AlertDays,3,""))))))</f>
        <v/>
      </c>
      <c r="AC818" s="79">
        <f>IF(AB818="","",IF(AH818=1,IF(Y818="⚠️ Delivery after install date","Delivery after install date: "&amp;B818,"Order late — install at risk: "&amp;B818),IF(AD818=1,IF(AB818=1,"Decision overdue: ","Decide: ")&amp;B818,"Order: "&amp;B818&amp;IF(N818="",""," from "&amp;N818))))</f>
        <v/>
      </c>
      <c r="AD818" s="79">
        <f>IF(AND(B818&lt;&gt;"",K818="",U818&lt;&gt;"Yes",X818&lt;&gt;"Yes"),1,0)</f>
        <v/>
      </c>
      <c r="AE818" s="79">
        <f>IF(AND(AD818=1,T818&lt;&gt;""),IF(T818&lt;AsOf,1,0),0)</f>
        <v/>
      </c>
      <c r="AF818" s="79">
        <f>IF(AND(AD818=1,T818&lt;&gt;""),IF(AND(T818&gt;=AsOf,T818&lt;=AsOf+AlertDays),1,0),0)</f>
        <v/>
      </c>
      <c r="AG818" s="79">
        <f>IF(Y818="Order now",1,0)</f>
        <v/>
      </c>
      <c r="AH818" s="79">
        <f>IF(OR(Y818="⚠️ Order late — install at risk",Y818="⚠️ Delivery after install date"),1,0)</f>
        <v/>
      </c>
      <c r="AI818" s="79">
        <f>IF(AND(B818&lt;&gt;"",K818&lt;&gt;"",U818&lt;&gt;"Yes",X818&lt;&gt;"Yes"),1,0)</f>
        <v/>
      </c>
      <c r="AJ818" s="79">
        <f>IF(Y818="⚠️ Order late — install at risk",1,0)</f>
        <v/>
      </c>
    </row>
    <row r="819" ht="20" customHeight="1">
      <c r="B819" s="72" t="n"/>
      <c r="C819" s="72" t="n"/>
      <c r="D819" s="72" t="n"/>
      <c r="E819" s="72" t="n"/>
      <c r="F819" s="73" t="n"/>
      <c r="G819" s="72" t="n"/>
      <c r="H819" s="73" t="n"/>
      <c r="I819" s="72" t="n"/>
      <c r="J819" s="73" t="n"/>
      <c r="K819" s="74" t="n"/>
      <c r="L819" s="75">
        <f>IF(K819="A",F819,IF(K819="B",H819,IF(K819="C",J819,"")))</f>
        <v/>
      </c>
      <c r="M819" s="72" t="n"/>
      <c r="N819" s="72" t="n"/>
      <c r="O819" s="89" t="n"/>
      <c r="P819" s="89" t="n"/>
      <c r="Q819" s="109" t="n"/>
      <c r="R819" s="120">
        <f>IF(B819="","",IF(Q819&lt;&gt;"",Q819,IF(P819="","",IFERROR(INDEX('Timeline'!$J$7:$J$1006,MATCH(P819,'Timeline'!$B$7:$B$1006,0)),""))))</f>
        <v/>
      </c>
      <c r="S819" s="126">
        <f>IF(R819="","",R819-IF(O819="",0,O819)-OrderBuf)</f>
        <v/>
      </c>
      <c r="T819" s="126">
        <f>IF(S819="","",S819-DecideBuf)</f>
        <v/>
      </c>
      <c r="U819" s="74" t="n"/>
      <c r="V819" s="109" t="n"/>
      <c r="W819" s="109" t="n"/>
      <c r="X819" s="74" t="n"/>
      <c r="Y819" s="116">
        <f>IF(B819="","",IF(X819="Yes","Delivered",IF(U819="Yes",IF(AND(W819&lt;&gt;"",R819&lt;&gt;""),IF(W819&gt;R819,"⚠️ Delivery after install date","Ordered"),"Ordered"),IF(K819="",IF(T819="","Waiting for decision",IF(T819&lt;=AsOf+AlertDays,"Decide now","Waiting for decision")),IF(S819="","Selected",IF(AsOf&gt;S819,"⚠️ Order late — install at risk",IF(S819&lt;=AsOf+AlertDays,"Order now","Selected")))))))</f>
        <v/>
      </c>
      <c r="Z819" s="79">
        <f>IF(B819="","",IF(OR(AH819=1,AE819=1),2,IF(OR(AG819=1,AF819=1),1,IF(OR(Y819="Ordered",Y819="Delivered"),0,""))))</f>
        <v/>
      </c>
      <c r="AA819" s="112">
        <f>IF(B819="","",IF(AH819=1,IF(Y819="⚠️ Delivery after install date",R819,S819),IF(AD819=1,T819,IF(AI819=1,S819,""))))</f>
        <v/>
      </c>
      <c r="AB819" s="79">
        <f>IF(AA819="","",IF(AH819=1,1,IF(AA819="","",IF(AA819&lt;AsOf,1,IF(AA819&lt;=AsOf+AlertDays,2,IF(AA819&lt;=AsOf+2*AlertDays,3,""))))))</f>
        <v/>
      </c>
      <c r="AC819" s="79">
        <f>IF(AB819="","",IF(AH819=1,IF(Y819="⚠️ Delivery after install date","Delivery after install date: "&amp;B819,"Order late — install at risk: "&amp;B819),IF(AD819=1,IF(AB819=1,"Decision overdue: ","Decide: ")&amp;B819,"Order: "&amp;B819&amp;IF(N819="",""," from "&amp;N819))))</f>
        <v/>
      </c>
      <c r="AD819" s="79">
        <f>IF(AND(B819&lt;&gt;"",K819="",U819&lt;&gt;"Yes",X819&lt;&gt;"Yes"),1,0)</f>
        <v/>
      </c>
      <c r="AE819" s="79">
        <f>IF(AND(AD819=1,T819&lt;&gt;""),IF(T819&lt;AsOf,1,0),0)</f>
        <v/>
      </c>
      <c r="AF819" s="79">
        <f>IF(AND(AD819=1,T819&lt;&gt;""),IF(AND(T819&gt;=AsOf,T819&lt;=AsOf+AlertDays),1,0),0)</f>
        <v/>
      </c>
      <c r="AG819" s="79">
        <f>IF(Y819="Order now",1,0)</f>
        <v/>
      </c>
      <c r="AH819" s="79">
        <f>IF(OR(Y819="⚠️ Order late — install at risk",Y819="⚠️ Delivery after install date"),1,0)</f>
        <v/>
      </c>
      <c r="AI819" s="79">
        <f>IF(AND(B819&lt;&gt;"",K819&lt;&gt;"",U819&lt;&gt;"Yes",X819&lt;&gt;"Yes"),1,0)</f>
        <v/>
      </c>
      <c r="AJ819" s="79">
        <f>IF(Y819="⚠️ Order late — install at risk",1,0)</f>
        <v/>
      </c>
    </row>
    <row r="820" ht="20" customHeight="1">
      <c r="B820" s="72" t="n"/>
      <c r="C820" s="72" t="n"/>
      <c r="D820" s="72" t="n"/>
      <c r="E820" s="72" t="n"/>
      <c r="F820" s="73" t="n"/>
      <c r="G820" s="72" t="n"/>
      <c r="H820" s="73" t="n"/>
      <c r="I820" s="72" t="n"/>
      <c r="J820" s="73" t="n"/>
      <c r="K820" s="74" t="n"/>
      <c r="L820" s="75">
        <f>IF(K820="A",F820,IF(K820="B",H820,IF(K820="C",J820,"")))</f>
        <v/>
      </c>
      <c r="M820" s="72" t="n"/>
      <c r="N820" s="72" t="n"/>
      <c r="O820" s="89" t="n"/>
      <c r="P820" s="89" t="n"/>
      <c r="Q820" s="109" t="n"/>
      <c r="R820" s="120">
        <f>IF(B820="","",IF(Q820&lt;&gt;"",Q820,IF(P820="","",IFERROR(INDEX('Timeline'!$J$7:$J$1006,MATCH(P820,'Timeline'!$B$7:$B$1006,0)),""))))</f>
        <v/>
      </c>
      <c r="S820" s="126">
        <f>IF(R820="","",R820-IF(O820="",0,O820)-OrderBuf)</f>
        <v/>
      </c>
      <c r="T820" s="126">
        <f>IF(S820="","",S820-DecideBuf)</f>
        <v/>
      </c>
      <c r="U820" s="74" t="n"/>
      <c r="V820" s="109" t="n"/>
      <c r="W820" s="109" t="n"/>
      <c r="X820" s="74" t="n"/>
      <c r="Y820" s="116">
        <f>IF(B820="","",IF(X820="Yes","Delivered",IF(U820="Yes",IF(AND(W820&lt;&gt;"",R820&lt;&gt;""),IF(W820&gt;R820,"⚠️ Delivery after install date","Ordered"),"Ordered"),IF(K820="",IF(T820="","Waiting for decision",IF(T820&lt;=AsOf+AlertDays,"Decide now","Waiting for decision")),IF(S820="","Selected",IF(AsOf&gt;S820,"⚠️ Order late — install at risk",IF(S820&lt;=AsOf+AlertDays,"Order now","Selected")))))))</f>
        <v/>
      </c>
      <c r="Z820" s="79">
        <f>IF(B820="","",IF(OR(AH820=1,AE820=1),2,IF(OR(AG820=1,AF820=1),1,IF(OR(Y820="Ordered",Y820="Delivered"),0,""))))</f>
        <v/>
      </c>
      <c r="AA820" s="112">
        <f>IF(B820="","",IF(AH820=1,IF(Y820="⚠️ Delivery after install date",R820,S820),IF(AD820=1,T820,IF(AI820=1,S820,""))))</f>
        <v/>
      </c>
      <c r="AB820" s="79">
        <f>IF(AA820="","",IF(AH820=1,1,IF(AA820="","",IF(AA820&lt;AsOf,1,IF(AA820&lt;=AsOf+AlertDays,2,IF(AA820&lt;=AsOf+2*AlertDays,3,""))))))</f>
        <v/>
      </c>
      <c r="AC820" s="79">
        <f>IF(AB820="","",IF(AH820=1,IF(Y820="⚠️ Delivery after install date","Delivery after install date: "&amp;B820,"Order late — install at risk: "&amp;B820),IF(AD820=1,IF(AB820=1,"Decision overdue: ","Decide: ")&amp;B820,"Order: "&amp;B820&amp;IF(N820="",""," from "&amp;N820))))</f>
        <v/>
      </c>
      <c r="AD820" s="79">
        <f>IF(AND(B820&lt;&gt;"",K820="",U820&lt;&gt;"Yes",X820&lt;&gt;"Yes"),1,0)</f>
        <v/>
      </c>
      <c r="AE820" s="79">
        <f>IF(AND(AD820=1,T820&lt;&gt;""),IF(T820&lt;AsOf,1,0),0)</f>
        <v/>
      </c>
      <c r="AF820" s="79">
        <f>IF(AND(AD820=1,T820&lt;&gt;""),IF(AND(T820&gt;=AsOf,T820&lt;=AsOf+AlertDays),1,0),0)</f>
        <v/>
      </c>
      <c r="AG820" s="79">
        <f>IF(Y820="Order now",1,0)</f>
        <v/>
      </c>
      <c r="AH820" s="79">
        <f>IF(OR(Y820="⚠️ Order late — install at risk",Y820="⚠️ Delivery after install date"),1,0)</f>
        <v/>
      </c>
      <c r="AI820" s="79">
        <f>IF(AND(B820&lt;&gt;"",K820&lt;&gt;"",U820&lt;&gt;"Yes",X820&lt;&gt;"Yes"),1,0)</f>
        <v/>
      </c>
      <c r="AJ820" s="79">
        <f>IF(Y820="⚠️ Order late — install at risk",1,0)</f>
        <v/>
      </c>
    </row>
    <row r="821" ht="20" customHeight="1">
      <c r="B821" s="72" t="n"/>
      <c r="C821" s="72" t="n"/>
      <c r="D821" s="72" t="n"/>
      <c r="E821" s="72" t="n"/>
      <c r="F821" s="73" t="n"/>
      <c r="G821" s="72" t="n"/>
      <c r="H821" s="73" t="n"/>
      <c r="I821" s="72" t="n"/>
      <c r="J821" s="73" t="n"/>
      <c r="K821" s="74" t="n"/>
      <c r="L821" s="75">
        <f>IF(K821="A",F821,IF(K821="B",H821,IF(K821="C",J821,"")))</f>
        <v/>
      </c>
      <c r="M821" s="72" t="n"/>
      <c r="N821" s="72" t="n"/>
      <c r="O821" s="89" t="n"/>
      <c r="P821" s="89" t="n"/>
      <c r="Q821" s="109" t="n"/>
      <c r="R821" s="120">
        <f>IF(B821="","",IF(Q821&lt;&gt;"",Q821,IF(P821="","",IFERROR(INDEX('Timeline'!$J$7:$J$1006,MATCH(P821,'Timeline'!$B$7:$B$1006,0)),""))))</f>
        <v/>
      </c>
      <c r="S821" s="126">
        <f>IF(R821="","",R821-IF(O821="",0,O821)-OrderBuf)</f>
        <v/>
      </c>
      <c r="T821" s="126">
        <f>IF(S821="","",S821-DecideBuf)</f>
        <v/>
      </c>
      <c r="U821" s="74" t="n"/>
      <c r="V821" s="109" t="n"/>
      <c r="W821" s="109" t="n"/>
      <c r="X821" s="74" t="n"/>
      <c r="Y821" s="116">
        <f>IF(B821="","",IF(X821="Yes","Delivered",IF(U821="Yes",IF(AND(W821&lt;&gt;"",R821&lt;&gt;""),IF(W821&gt;R821,"⚠️ Delivery after install date","Ordered"),"Ordered"),IF(K821="",IF(T821="","Waiting for decision",IF(T821&lt;=AsOf+AlertDays,"Decide now","Waiting for decision")),IF(S821="","Selected",IF(AsOf&gt;S821,"⚠️ Order late — install at risk",IF(S821&lt;=AsOf+AlertDays,"Order now","Selected")))))))</f>
        <v/>
      </c>
      <c r="Z821" s="79">
        <f>IF(B821="","",IF(OR(AH821=1,AE821=1),2,IF(OR(AG821=1,AF821=1),1,IF(OR(Y821="Ordered",Y821="Delivered"),0,""))))</f>
        <v/>
      </c>
      <c r="AA821" s="112">
        <f>IF(B821="","",IF(AH821=1,IF(Y821="⚠️ Delivery after install date",R821,S821),IF(AD821=1,T821,IF(AI821=1,S821,""))))</f>
        <v/>
      </c>
      <c r="AB821" s="79">
        <f>IF(AA821="","",IF(AH821=1,1,IF(AA821="","",IF(AA821&lt;AsOf,1,IF(AA821&lt;=AsOf+AlertDays,2,IF(AA821&lt;=AsOf+2*AlertDays,3,""))))))</f>
        <v/>
      </c>
      <c r="AC821" s="79">
        <f>IF(AB821="","",IF(AH821=1,IF(Y821="⚠️ Delivery after install date","Delivery after install date: "&amp;B821,"Order late — install at risk: "&amp;B821),IF(AD821=1,IF(AB821=1,"Decision overdue: ","Decide: ")&amp;B821,"Order: "&amp;B821&amp;IF(N821="",""," from "&amp;N821))))</f>
        <v/>
      </c>
      <c r="AD821" s="79">
        <f>IF(AND(B821&lt;&gt;"",K821="",U821&lt;&gt;"Yes",X821&lt;&gt;"Yes"),1,0)</f>
        <v/>
      </c>
      <c r="AE821" s="79">
        <f>IF(AND(AD821=1,T821&lt;&gt;""),IF(T821&lt;AsOf,1,0),0)</f>
        <v/>
      </c>
      <c r="AF821" s="79">
        <f>IF(AND(AD821=1,T821&lt;&gt;""),IF(AND(T821&gt;=AsOf,T821&lt;=AsOf+AlertDays),1,0),0)</f>
        <v/>
      </c>
      <c r="AG821" s="79">
        <f>IF(Y821="Order now",1,0)</f>
        <v/>
      </c>
      <c r="AH821" s="79">
        <f>IF(OR(Y821="⚠️ Order late — install at risk",Y821="⚠️ Delivery after install date"),1,0)</f>
        <v/>
      </c>
      <c r="AI821" s="79">
        <f>IF(AND(B821&lt;&gt;"",K821&lt;&gt;"",U821&lt;&gt;"Yes",X821&lt;&gt;"Yes"),1,0)</f>
        <v/>
      </c>
      <c r="AJ821" s="79">
        <f>IF(Y821="⚠️ Order late — install at risk",1,0)</f>
        <v/>
      </c>
    </row>
    <row r="822" ht="20" customHeight="1">
      <c r="B822" s="72" t="n"/>
      <c r="C822" s="72" t="n"/>
      <c r="D822" s="72" t="n"/>
      <c r="E822" s="72" t="n"/>
      <c r="F822" s="73" t="n"/>
      <c r="G822" s="72" t="n"/>
      <c r="H822" s="73" t="n"/>
      <c r="I822" s="72" t="n"/>
      <c r="J822" s="73" t="n"/>
      <c r="K822" s="74" t="n"/>
      <c r="L822" s="75">
        <f>IF(K822="A",F822,IF(K822="B",H822,IF(K822="C",J822,"")))</f>
        <v/>
      </c>
      <c r="M822" s="72" t="n"/>
      <c r="N822" s="72" t="n"/>
      <c r="O822" s="89" t="n"/>
      <c r="P822" s="89" t="n"/>
      <c r="Q822" s="109" t="n"/>
      <c r="R822" s="120">
        <f>IF(B822="","",IF(Q822&lt;&gt;"",Q822,IF(P822="","",IFERROR(INDEX('Timeline'!$J$7:$J$1006,MATCH(P822,'Timeline'!$B$7:$B$1006,0)),""))))</f>
        <v/>
      </c>
      <c r="S822" s="126">
        <f>IF(R822="","",R822-IF(O822="",0,O822)-OrderBuf)</f>
        <v/>
      </c>
      <c r="T822" s="126">
        <f>IF(S822="","",S822-DecideBuf)</f>
        <v/>
      </c>
      <c r="U822" s="74" t="n"/>
      <c r="V822" s="109" t="n"/>
      <c r="W822" s="109" t="n"/>
      <c r="X822" s="74" t="n"/>
      <c r="Y822" s="116">
        <f>IF(B822="","",IF(X822="Yes","Delivered",IF(U822="Yes",IF(AND(W822&lt;&gt;"",R822&lt;&gt;""),IF(W822&gt;R822,"⚠️ Delivery after install date","Ordered"),"Ordered"),IF(K822="",IF(T822="","Waiting for decision",IF(T822&lt;=AsOf+AlertDays,"Decide now","Waiting for decision")),IF(S822="","Selected",IF(AsOf&gt;S822,"⚠️ Order late — install at risk",IF(S822&lt;=AsOf+AlertDays,"Order now","Selected")))))))</f>
        <v/>
      </c>
      <c r="Z822" s="79">
        <f>IF(B822="","",IF(OR(AH822=1,AE822=1),2,IF(OR(AG822=1,AF822=1),1,IF(OR(Y822="Ordered",Y822="Delivered"),0,""))))</f>
        <v/>
      </c>
      <c r="AA822" s="112">
        <f>IF(B822="","",IF(AH822=1,IF(Y822="⚠️ Delivery after install date",R822,S822),IF(AD822=1,T822,IF(AI822=1,S822,""))))</f>
        <v/>
      </c>
      <c r="AB822" s="79">
        <f>IF(AA822="","",IF(AH822=1,1,IF(AA822="","",IF(AA822&lt;AsOf,1,IF(AA822&lt;=AsOf+AlertDays,2,IF(AA822&lt;=AsOf+2*AlertDays,3,""))))))</f>
        <v/>
      </c>
      <c r="AC822" s="79">
        <f>IF(AB822="","",IF(AH822=1,IF(Y822="⚠️ Delivery after install date","Delivery after install date: "&amp;B822,"Order late — install at risk: "&amp;B822),IF(AD822=1,IF(AB822=1,"Decision overdue: ","Decide: ")&amp;B822,"Order: "&amp;B822&amp;IF(N822="",""," from "&amp;N822))))</f>
        <v/>
      </c>
      <c r="AD822" s="79">
        <f>IF(AND(B822&lt;&gt;"",K822="",U822&lt;&gt;"Yes",X822&lt;&gt;"Yes"),1,0)</f>
        <v/>
      </c>
      <c r="AE822" s="79">
        <f>IF(AND(AD822=1,T822&lt;&gt;""),IF(T822&lt;AsOf,1,0),0)</f>
        <v/>
      </c>
      <c r="AF822" s="79">
        <f>IF(AND(AD822=1,T822&lt;&gt;""),IF(AND(T822&gt;=AsOf,T822&lt;=AsOf+AlertDays),1,0),0)</f>
        <v/>
      </c>
      <c r="AG822" s="79">
        <f>IF(Y822="Order now",1,0)</f>
        <v/>
      </c>
      <c r="AH822" s="79">
        <f>IF(OR(Y822="⚠️ Order late — install at risk",Y822="⚠️ Delivery after install date"),1,0)</f>
        <v/>
      </c>
      <c r="AI822" s="79">
        <f>IF(AND(B822&lt;&gt;"",K822&lt;&gt;"",U822&lt;&gt;"Yes",X822&lt;&gt;"Yes"),1,0)</f>
        <v/>
      </c>
      <c r="AJ822" s="79">
        <f>IF(Y822="⚠️ Order late — install at risk",1,0)</f>
        <v/>
      </c>
    </row>
    <row r="823" ht="20" customHeight="1">
      <c r="B823" s="72" t="n"/>
      <c r="C823" s="72" t="n"/>
      <c r="D823" s="72" t="n"/>
      <c r="E823" s="72" t="n"/>
      <c r="F823" s="73" t="n"/>
      <c r="G823" s="72" t="n"/>
      <c r="H823" s="73" t="n"/>
      <c r="I823" s="72" t="n"/>
      <c r="J823" s="73" t="n"/>
      <c r="K823" s="74" t="n"/>
      <c r="L823" s="75">
        <f>IF(K823="A",F823,IF(K823="B",H823,IF(K823="C",J823,"")))</f>
        <v/>
      </c>
      <c r="M823" s="72" t="n"/>
      <c r="N823" s="72" t="n"/>
      <c r="O823" s="89" t="n"/>
      <c r="P823" s="89" t="n"/>
      <c r="Q823" s="109" t="n"/>
      <c r="R823" s="120">
        <f>IF(B823="","",IF(Q823&lt;&gt;"",Q823,IF(P823="","",IFERROR(INDEX('Timeline'!$J$7:$J$1006,MATCH(P823,'Timeline'!$B$7:$B$1006,0)),""))))</f>
        <v/>
      </c>
      <c r="S823" s="126">
        <f>IF(R823="","",R823-IF(O823="",0,O823)-OrderBuf)</f>
        <v/>
      </c>
      <c r="T823" s="126">
        <f>IF(S823="","",S823-DecideBuf)</f>
        <v/>
      </c>
      <c r="U823" s="74" t="n"/>
      <c r="V823" s="109" t="n"/>
      <c r="W823" s="109" t="n"/>
      <c r="X823" s="74" t="n"/>
      <c r="Y823" s="116">
        <f>IF(B823="","",IF(X823="Yes","Delivered",IF(U823="Yes",IF(AND(W823&lt;&gt;"",R823&lt;&gt;""),IF(W823&gt;R823,"⚠️ Delivery after install date","Ordered"),"Ordered"),IF(K823="",IF(T823="","Waiting for decision",IF(T823&lt;=AsOf+AlertDays,"Decide now","Waiting for decision")),IF(S823="","Selected",IF(AsOf&gt;S823,"⚠️ Order late — install at risk",IF(S823&lt;=AsOf+AlertDays,"Order now","Selected")))))))</f>
        <v/>
      </c>
      <c r="Z823" s="79">
        <f>IF(B823="","",IF(OR(AH823=1,AE823=1),2,IF(OR(AG823=1,AF823=1),1,IF(OR(Y823="Ordered",Y823="Delivered"),0,""))))</f>
        <v/>
      </c>
      <c r="AA823" s="112">
        <f>IF(B823="","",IF(AH823=1,IF(Y823="⚠️ Delivery after install date",R823,S823),IF(AD823=1,T823,IF(AI823=1,S823,""))))</f>
        <v/>
      </c>
      <c r="AB823" s="79">
        <f>IF(AA823="","",IF(AH823=1,1,IF(AA823="","",IF(AA823&lt;AsOf,1,IF(AA823&lt;=AsOf+AlertDays,2,IF(AA823&lt;=AsOf+2*AlertDays,3,""))))))</f>
        <v/>
      </c>
      <c r="AC823" s="79">
        <f>IF(AB823="","",IF(AH823=1,IF(Y823="⚠️ Delivery after install date","Delivery after install date: "&amp;B823,"Order late — install at risk: "&amp;B823),IF(AD823=1,IF(AB823=1,"Decision overdue: ","Decide: ")&amp;B823,"Order: "&amp;B823&amp;IF(N823="",""," from "&amp;N823))))</f>
        <v/>
      </c>
      <c r="AD823" s="79">
        <f>IF(AND(B823&lt;&gt;"",K823="",U823&lt;&gt;"Yes",X823&lt;&gt;"Yes"),1,0)</f>
        <v/>
      </c>
      <c r="AE823" s="79">
        <f>IF(AND(AD823=1,T823&lt;&gt;""),IF(T823&lt;AsOf,1,0),0)</f>
        <v/>
      </c>
      <c r="AF823" s="79">
        <f>IF(AND(AD823=1,T823&lt;&gt;""),IF(AND(T823&gt;=AsOf,T823&lt;=AsOf+AlertDays),1,0),0)</f>
        <v/>
      </c>
      <c r="AG823" s="79">
        <f>IF(Y823="Order now",1,0)</f>
        <v/>
      </c>
      <c r="AH823" s="79">
        <f>IF(OR(Y823="⚠️ Order late — install at risk",Y823="⚠️ Delivery after install date"),1,0)</f>
        <v/>
      </c>
      <c r="AI823" s="79">
        <f>IF(AND(B823&lt;&gt;"",K823&lt;&gt;"",U823&lt;&gt;"Yes",X823&lt;&gt;"Yes"),1,0)</f>
        <v/>
      </c>
      <c r="AJ823" s="79">
        <f>IF(Y823="⚠️ Order late — install at risk",1,0)</f>
        <v/>
      </c>
    </row>
    <row r="824" ht="20" customHeight="1">
      <c r="B824" s="72" t="n"/>
      <c r="C824" s="72" t="n"/>
      <c r="D824" s="72" t="n"/>
      <c r="E824" s="72" t="n"/>
      <c r="F824" s="73" t="n"/>
      <c r="G824" s="72" t="n"/>
      <c r="H824" s="73" t="n"/>
      <c r="I824" s="72" t="n"/>
      <c r="J824" s="73" t="n"/>
      <c r="K824" s="74" t="n"/>
      <c r="L824" s="75">
        <f>IF(K824="A",F824,IF(K824="B",H824,IF(K824="C",J824,"")))</f>
        <v/>
      </c>
      <c r="M824" s="72" t="n"/>
      <c r="N824" s="72" t="n"/>
      <c r="O824" s="89" t="n"/>
      <c r="P824" s="89" t="n"/>
      <c r="Q824" s="109" t="n"/>
      <c r="R824" s="120">
        <f>IF(B824="","",IF(Q824&lt;&gt;"",Q824,IF(P824="","",IFERROR(INDEX('Timeline'!$J$7:$J$1006,MATCH(P824,'Timeline'!$B$7:$B$1006,0)),""))))</f>
        <v/>
      </c>
      <c r="S824" s="126">
        <f>IF(R824="","",R824-IF(O824="",0,O824)-OrderBuf)</f>
        <v/>
      </c>
      <c r="T824" s="126">
        <f>IF(S824="","",S824-DecideBuf)</f>
        <v/>
      </c>
      <c r="U824" s="74" t="n"/>
      <c r="V824" s="109" t="n"/>
      <c r="W824" s="109" t="n"/>
      <c r="X824" s="74" t="n"/>
      <c r="Y824" s="116">
        <f>IF(B824="","",IF(X824="Yes","Delivered",IF(U824="Yes",IF(AND(W824&lt;&gt;"",R824&lt;&gt;""),IF(W824&gt;R824,"⚠️ Delivery after install date","Ordered"),"Ordered"),IF(K824="",IF(T824="","Waiting for decision",IF(T824&lt;=AsOf+AlertDays,"Decide now","Waiting for decision")),IF(S824="","Selected",IF(AsOf&gt;S824,"⚠️ Order late — install at risk",IF(S824&lt;=AsOf+AlertDays,"Order now","Selected")))))))</f>
        <v/>
      </c>
      <c r="Z824" s="79">
        <f>IF(B824="","",IF(OR(AH824=1,AE824=1),2,IF(OR(AG824=1,AF824=1),1,IF(OR(Y824="Ordered",Y824="Delivered"),0,""))))</f>
        <v/>
      </c>
      <c r="AA824" s="112">
        <f>IF(B824="","",IF(AH824=1,IF(Y824="⚠️ Delivery after install date",R824,S824),IF(AD824=1,T824,IF(AI824=1,S824,""))))</f>
        <v/>
      </c>
      <c r="AB824" s="79">
        <f>IF(AA824="","",IF(AH824=1,1,IF(AA824="","",IF(AA824&lt;AsOf,1,IF(AA824&lt;=AsOf+AlertDays,2,IF(AA824&lt;=AsOf+2*AlertDays,3,""))))))</f>
        <v/>
      </c>
      <c r="AC824" s="79">
        <f>IF(AB824="","",IF(AH824=1,IF(Y824="⚠️ Delivery after install date","Delivery after install date: "&amp;B824,"Order late — install at risk: "&amp;B824),IF(AD824=1,IF(AB824=1,"Decision overdue: ","Decide: ")&amp;B824,"Order: "&amp;B824&amp;IF(N824="",""," from "&amp;N824))))</f>
        <v/>
      </c>
      <c r="AD824" s="79">
        <f>IF(AND(B824&lt;&gt;"",K824="",U824&lt;&gt;"Yes",X824&lt;&gt;"Yes"),1,0)</f>
        <v/>
      </c>
      <c r="AE824" s="79">
        <f>IF(AND(AD824=1,T824&lt;&gt;""),IF(T824&lt;AsOf,1,0),0)</f>
        <v/>
      </c>
      <c r="AF824" s="79">
        <f>IF(AND(AD824=1,T824&lt;&gt;""),IF(AND(T824&gt;=AsOf,T824&lt;=AsOf+AlertDays),1,0),0)</f>
        <v/>
      </c>
      <c r="AG824" s="79">
        <f>IF(Y824="Order now",1,0)</f>
        <v/>
      </c>
      <c r="AH824" s="79">
        <f>IF(OR(Y824="⚠️ Order late — install at risk",Y824="⚠️ Delivery after install date"),1,0)</f>
        <v/>
      </c>
      <c r="AI824" s="79">
        <f>IF(AND(B824&lt;&gt;"",K824&lt;&gt;"",U824&lt;&gt;"Yes",X824&lt;&gt;"Yes"),1,0)</f>
        <v/>
      </c>
      <c r="AJ824" s="79">
        <f>IF(Y824="⚠️ Order late — install at risk",1,0)</f>
        <v/>
      </c>
    </row>
    <row r="825" ht="20" customHeight="1">
      <c r="B825" s="72" t="n"/>
      <c r="C825" s="72" t="n"/>
      <c r="D825" s="72" t="n"/>
      <c r="E825" s="72" t="n"/>
      <c r="F825" s="73" t="n"/>
      <c r="G825" s="72" t="n"/>
      <c r="H825" s="73" t="n"/>
      <c r="I825" s="72" t="n"/>
      <c r="J825" s="73" t="n"/>
      <c r="K825" s="74" t="n"/>
      <c r="L825" s="75">
        <f>IF(K825="A",F825,IF(K825="B",H825,IF(K825="C",J825,"")))</f>
        <v/>
      </c>
      <c r="M825" s="72" t="n"/>
      <c r="N825" s="72" t="n"/>
      <c r="O825" s="89" t="n"/>
      <c r="P825" s="89" t="n"/>
      <c r="Q825" s="109" t="n"/>
      <c r="R825" s="120">
        <f>IF(B825="","",IF(Q825&lt;&gt;"",Q825,IF(P825="","",IFERROR(INDEX('Timeline'!$J$7:$J$1006,MATCH(P825,'Timeline'!$B$7:$B$1006,0)),""))))</f>
        <v/>
      </c>
      <c r="S825" s="126">
        <f>IF(R825="","",R825-IF(O825="",0,O825)-OrderBuf)</f>
        <v/>
      </c>
      <c r="T825" s="126">
        <f>IF(S825="","",S825-DecideBuf)</f>
        <v/>
      </c>
      <c r="U825" s="74" t="n"/>
      <c r="V825" s="109" t="n"/>
      <c r="W825" s="109" t="n"/>
      <c r="X825" s="74" t="n"/>
      <c r="Y825" s="116">
        <f>IF(B825="","",IF(X825="Yes","Delivered",IF(U825="Yes",IF(AND(W825&lt;&gt;"",R825&lt;&gt;""),IF(W825&gt;R825,"⚠️ Delivery after install date","Ordered"),"Ordered"),IF(K825="",IF(T825="","Waiting for decision",IF(T825&lt;=AsOf+AlertDays,"Decide now","Waiting for decision")),IF(S825="","Selected",IF(AsOf&gt;S825,"⚠️ Order late — install at risk",IF(S825&lt;=AsOf+AlertDays,"Order now","Selected")))))))</f>
        <v/>
      </c>
      <c r="Z825" s="79">
        <f>IF(B825="","",IF(OR(AH825=1,AE825=1),2,IF(OR(AG825=1,AF825=1),1,IF(OR(Y825="Ordered",Y825="Delivered"),0,""))))</f>
        <v/>
      </c>
      <c r="AA825" s="112">
        <f>IF(B825="","",IF(AH825=1,IF(Y825="⚠️ Delivery after install date",R825,S825),IF(AD825=1,T825,IF(AI825=1,S825,""))))</f>
        <v/>
      </c>
      <c r="AB825" s="79">
        <f>IF(AA825="","",IF(AH825=1,1,IF(AA825="","",IF(AA825&lt;AsOf,1,IF(AA825&lt;=AsOf+AlertDays,2,IF(AA825&lt;=AsOf+2*AlertDays,3,""))))))</f>
        <v/>
      </c>
      <c r="AC825" s="79">
        <f>IF(AB825="","",IF(AH825=1,IF(Y825="⚠️ Delivery after install date","Delivery after install date: "&amp;B825,"Order late — install at risk: "&amp;B825),IF(AD825=1,IF(AB825=1,"Decision overdue: ","Decide: ")&amp;B825,"Order: "&amp;B825&amp;IF(N825="",""," from "&amp;N825))))</f>
        <v/>
      </c>
      <c r="AD825" s="79">
        <f>IF(AND(B825&lt;&gt;"",K825="",U825&lt;&gt;"Yes",X825&lt;&gt;"Yes"),1,0)</f>
        <v/>
      </c>
      <c r="AE825" s="79">
        <f>IF(AND(AD825=1,T825&lt;&gt;""),IF(T825&lt;AsOf,1,0),0)</f>
        <v/>
      </c>
      <c r="AF825" s="79">
        <f>IF(AND(AD825=1,T825&lt;&gt;""),IF(AND(T825&gt;=AsOf,T825&lt;=AsOf+AlertDays),1,0),0)</f>
        <v/>
      </c>
      <c r="AG825" s="79">
        <f>IF(Y825="Order now",1,0)</f>
        <v/>
      </c>
      <c r="AH825" s="79">
        <f>IF(OR(Y825="⚠️ Order late — install at risk",Y825="⚠️ Delivery after install date"),1,0)</f>
        <v/>
      </c>
      <c r="AI825" s="79">
        <f>IF(AND(B825&lt;&gt;"",K825&lt;&gt;"",U825&lt;&gt;"Yes",X825&lt;&gt;"Yes"),1,0)</f>
        <v/>
      </c>
      <c r="AJ825" s="79">
        <f>IF(Y825="⚠️ Order late — install at risk",1,0)</f>
        <v/>
      </c>
    </row>
    <row r="826" ht="20" customHeight="1">
      <c r="B826" s="72" t="n"/>
      <c r="C826" s="72" t="n"/>
      <c r="D826" s="72" t="n"/>
      <c r="E826" s="72" t="n"/>
      <c r="F826" s="73" t="n"/>
      <c r="G826" s="72" t="n"/>
      <c r="H826" s="73" t="n"/>
      <c r="I826" s="72" t="n"/>
      <c r="J826" s="73" t="n"/>
      <c r="K826" s="74" t="n"/>
      <c r="L826" s="75">
        <f>IF(K826="A",F826,IF(K826="B",H826,IF(K826="C",J826,"")))</f>
        <v/>
      </c>
      <c r="M826" s="72" t="n"/>
      <c r="N826" s="72" t="n"/>
      <c r="O826" s="89" t="n"/>
      <c r="P826" s="89" t="n"/>
      <c r="Q826" s="109" t="n"/>
      <c r="R826" s="120">
        <f>IF(B826="","",IF(Q826&lt;&gt;"",Q826,IF(P826="","",IFERROR(INDEX('Timeline'!$J$7:$J$1006,MATCH(P826,'Timeline'!$B$7:$B$1006,0)),""))))</f>
        <v/>
      </c>
      <c r="S826" s="126">
        <f>IF(R826="","",R826-IF(O826="",0,O826)-OrderBuf)</f>
        <v/>
      </c>
      <c r="T826" s="126">
        <f>IF(S826="","",S826-DecideBuf)</f>
        <v/>
      </c>
      <c r="U826" s="74" t="n"/>
      <c r="V826" s="109" t="n"/>
      <c r="W826" s="109" t="n"/>
      <c r="X826" s="74" t="n"/>
      <c r="Y826" s="116">
        <f>IF(B826="","",IF(X826="Yes","Delivered",IF(U826="Yes",IF(AND(W826&lt;&gt;"",R826&lt;&gt;""),IF(W826&gt;R826,"⚠️ Delivery after install date","Ordered"),"Ordered"),IF(K826="",IF(T826="","Waiting for decision",IF(T826&lt;=AsOf+AlertDays,"Decide now","Waiting for decision")),IF(S826="","Selected",IF(AsOf&gt;S826,"⚠️ Order late — install at risk",IF(S826&lt;=AsOf+AlertDays,"Order now","Selected")))))))</f>
        <v/>
      </c>
      <c r="Z826" s="79">
        <f>IF(B826="","",IF(OR(AH826=1,AE826=1),2,IF(OR(AG826=1,AF826=1),1,IF(OR(Y826="Ordered",Y826="Delivered"),0,""))))</f>
        <v/>
      </c>
      <c r="AA826" s="112">
        <f>IF(B826="","",IF(AH826=1,IF(Y826="⚠️ Delivery after install date",R826,S826),IF(AD826=1,T826,IF(AI826=1,S826,""))))</f>
        <v/>
      </c>
      <c r="AB826" s="79">
        <f>IF(AA826="","",IF(AH826=1,1,IF(AA826="","",IF(AA826&lt;AsOf,1,IF(AA826&lt;=AsOf+AlertDays,2,IF(AA826&lt;=AsOf+2*AlertDays,3,""))))))</f>
        <v/>
      </c>
      <c r="AC826" s="79">
        <f>IF(AB826="","",IF(AH826=1,IF(Y826="⚠️ Delivery after install date","Delivery after install date: "&amp;B826,"Order late — install at risk: "&amp;B826),IF(AD826=1,IF(AB826=1,"Decision overdue: ","Decide: ")&amp;B826,"Order: "&amp;B826&amp;IF(N826="",""," from "&amp;N826))))</f>
        <v/>
      </c>
      <c r="AD826" s="79">
        <f>IF(AND(B826&lt;&gt;"",K826="",U826&lt;&gt;"Yes",X826&lt;&gt;"Yes"),1,0)</f>
        <v/>
      </c>
      <c r="AE826" s="79">
        <f>IF(AND(AD826=1,T826&lt;&gt;""),IF(T826&lt;AsOf,1,0),0)</f>
        <v/>
      </c>
      <c r="AF826" s="79">
        <f>IF(AND(AD826=1,T826&lt;&gt;""),IF(AND(T826&gt;=AsOf,T826&lt;=AsOf+AlertDays),1,0),0)</f>
        <v/>
      </c>
      <c r="AG826" s="79">
        <f>IF(Y826="Order now",1,0)</f>
        <v/>
      </c>
      <c r="AH826" s="79">
        <f>IF(OR(Y826="⚠️ Order late — install at risk",Y826="⚠️ Delivery after install date"),1,0)</f>
        <v/>
      </c>
      <c r="AI826" s="79">
        <f>IF(AND(B826&lt;&gt;"",K826&lt;&gt;"",U826&lt;&gt;"Yes",X826&lt;&gt;"Yes"),1,0)</f>
        <v/>
      </c>
      <c r="AJ826" s="79">
        <f>IF(Y826="⚠️ Order late — install at risk",1,0)</f>
        <v/>
      </c>
    </row>
    <row r="827" ht="20" customHeight="1">
      <c r="B827" s="72" t="n"/>
      <c r="C827" s="72" t="n"/>
      <c r="D827" s="72" t="n"/>
      <c r="E827" s="72" t="n"/>
      <c r="F827" s="73" t="n"/>
      <c r="G827" s="72" t="n"/>
      <c r="H827" s="73" t="n"/>
      <c r="I827" s="72" t="n"/>
      <c r="J827" s="73" t="n"/>
      <c r="K827" s="74" t="n"/>
      <c r="L827" s="75">
        <f>IF(K827="A",F827,IF(K827="B",H827,IF(K827="C",J827,"")))</f>
        <v/>
      </c>
      <c r="M827" s="72" t="n"/>
      <c r="N827" s="72" t="n"/>
      <c r="O827" s="89" t="n"/>
      <c r="P827" s="89" t="n"/>
      <c r="Q827" s="109" t="n"/>
      <c r="R827" s="120">
        <f>IF(B827="","",IF(Q827&lt;&gt;"",Q827,IF(P827="","",IFERROR(INDEX('Timeline'!$J$7:$J$1006,MATCH(P827,'Timeline'!$B$7:$B$1006,0)),""))))</f>
        <v/>
      </c>
      <c r="S827" s="126">
        <f>IF(R827="","",R827-IF(O827="",0,O827)-OrderBuf)</f>
        <v/>
      </c>
      <c r="T827" s="126">
        <f>IF(S827="","",S827-DecideBuf)</f>
        <v/>
      </c>
      <c r="U827" s="74" t="n"/>
      <c r="V827" s="109" t="n"/>
      <c r="W827" s="109" t="n"/>
      <c r="X827" s="74" t="n"/>
      <c r="Y827" s="116">
        <f>IF(B827="","",IF(X827="Yes","Delivered",IF(U827="Yes",IF(AND(W827&lt;&gt;"",R827&lt;&gt;""),IF(W827&gt;R827,"⚠️ Delivery after install date","Ordered"),"Ordered"),IF(K827="",IF(T827="","Waiting for decision",IF(T827&lt;=AsOf+AlertDays,"Decide now","Waiting for decision")),IF(S827="","Selected",IF(AsOf&gt;S827,"⚠️ Order late — install at risk",IF(S827&lt;=AsOf+AlertDays,"Order now","Selected")))))))</f>
        <v/>
      </c>
      <c r="Z827" s="79">
        <f>IF(B827="","",IF(OR(AH827=1,AE827=1),2,IF(OR(AG827=1,AF827=1),1,IF(OR(Y827="Ordered",Y827="Delivered"),0,""))))</f>
        <v/>
      </c>
      <c r="AA827" s="112">
        <f>IF(B827="","",IF(AH827=1,IF(Y827="⚠️ Delivery after install date",R827,S827),IF(AD827=1,T827,IF(AI827=1,S827,""))))</f>
        <v/>
      </c>
      <c r="AB827" s="79">
        <f>IF(AA827="","",IF(AH827=1,1,IF(AA827="","",IF(AA827&lt;AsOf,1,IF(AA827&lt;=AsOf+AlertDays,2,IF(AA827&lt;=AsOf+2*AlertDays,3,""))))))</f>
        <v/>
      </c>
      <c r="AC827" s="79">
        <f>IF(AB827="","",IF(AH827=1,IF(Y827="⚠️ Delivery after install date","Delivery after install date: "&amp;B827,"Order late — install at risk: "&amp;B827),IF(AD827=1,IF(AB827=1,"Decision overdue: ","Decide: ")&amp;B827,"Order: "&amp;B827&amp;IF(N827="",""," from "&amp;N827))))</f>
        <v/>
      </c>
      <c r="AD827" s="79">
        <f>IF(AND(B827&lt;&gt;"",K827="",U827&lt;&gt;"Yes",X827&lt;&gt;"Yes"),1,0)</f>
        <v/>
      </c>
      <c r="AE827" s="79">
        <f>IF(AND(AD827=1,T827&lt;&gt;""),IF(T827&lt;AsOf,1,0),0)</f>
        <v/>
      </c>
      <c r="AF827" s="79">
        <f>IF(AND(AD827=1,T827&lt;&gt;""),IF(AND(T827&gt;=AsOf,T827&lt;=AsOf+AlertDays),1,0),0)</f>
        <v/>
      </c>
      <c r="AG827" s="79">
        <f>IF(Y827="Order now",1,0)</f>
        <v/>
      </c>
      <c r="AH827" s="79">
        <f>IF(OR(Y827="⚠️ Order late — install at risk",Y827="⚠️ Delivery after install date"),1,0)</f>
        <v/>
      </c>
      <c r="AI827" s="79">
        <f>IF(AND(B827&lt;&gt;"",K827&lt;&gt;"",U827&lt;&gt;"Yes",X827&lt;&gt;"Yes"),1,0)</f>
        <v/>
      </c>
      <c r="AJ827" s="79">
        <f>IF(Y827="⚠️ Order late — install at risk",1,0)</f>
        <v/>
      </c>
    </row>
    <row r="828" ht="20" customHeight="1">
      <c r="B828" s="72" t="n"/>
      <c r="C828" s="72" t="n"/>
      <c r="D828" s="72" t="n"/>
      <c r="E828" s="72" t="n"/>
      <c r="F828" s="73" t="n"/>
      <c r="G828" s="72" t="n"/>
      <c r="H828" s="73" t="n"/>
      <c r="I828" s="72" t="n"/>
      <c r="J828" s="73" t="n"/>
      <c r="K828" s="74" t="n"/>
      <c r="L828" s="75">
        <f>IF(K828="A",F828,IF(K828="B",H828,IF(K828="C",J828,"")))</f>
        <v/>
      </c>
      <c r="M828" s="72" t="n"/>
      <c r="N828" s="72" t="n"/>
      <c r="O828" s="89" t="n"/>
      <c r="P828" s="89" t="n"/>
      <c r="Q828" s="109" t="n"/>
      <c r="R828" s="120">
        <f>IF(B828="","",IF(Q828&lt;&gt;"",Q828,IF(P828="","",IFERROR(INDEX('Timeline'!$J$7:$J$1006,MATCH(P828,'Timeline'!$B$7:$B$1006,0)),""))))</f>
        <v/>
      </c>
      <c r="S828" s="126">
        <f>IF(R828="","",R828-IF(O828="",0,O828)-OrderBuf)</f>
        <v/>
      </c>
      <c r="T828" s="126">
        <f>IF(S828="","",S828-DecideBuf)</f>
        <v/>
      </c>
      <c r="U828" s="74" t="n"/>
      <c r="V828" s="109" t="n"/>
      <c r="W828" s="109" t="n"/>
      <c r="X828" s="74" t="n"/>
      <c r="Y828" s="116">
        <f>IF(B828="","",IF(X828="Yes","Delivered",IF(U828="Yes",IF(AND(W828&lt;&gt;"",R828&lt;&gt;""),IF(W828&gt;R828,"⚠️ Delivery after install date","Ordered"),"Ordered"),IF(K828="",IF(T828="","Waiting for decision",IF(T828&lt;=AsOf+AlertDays,"Decide now","Waiting for decision")),IF(S828="","Selected",IF(AsOf&gt;S828,"⚠️ Order late — install at risk",IF(S828&lt;=AsOf+AlertDays,"Order now","Selected")))))))</f>
        <v/>
      </c>
      <c r="Z828" s="79">
        <f>IF(B828="","",IF(OR(AH828=1,AE828=1),2,IF(OR(AG828=1,AF828=1),1,IF(OR(Y828="Ordered",Y828="Delivered"),0,""))))</f>
        <v/>
      </c>
      <c r="AA828" s="112">
        <f>IF(B828="","",IF(AH828=1,IF(Y828="⚠️ Delivery after install date",R828,S828),IF(AD828=1,T828,IF(AI828=1,S828,""))))</f>
        <v/>
      </c>
      <c r="AB828" s="79">
        <f>IF(AA828="","",IF(AH828=1,1,IF(AA828="","",IF(AA828&lt;AsOf,1,IF(AA828&lt;=AsOf+AlertDays,2,IF(AA828&lt;=AsOf+2*AlertDays,3,""))))))</f>
        <v/>
      </c>
      <c r="AC828" s="79">
        <f>IF(AB828="","",IF(AH828=1,IF(Y828="⚠️ Delivery after install date","Delivery after install date: "&amp;B828,"Order late — install at risk: "&amp;B828),IF(AD828=1,IF(AB828=1,"Decision overdue: ","Decide: ")&amp;B828,"Order: "&amp;B828&amp;IF(N828="",""," from "&amp;N828))))</f>
        <v/>
      </c>
      <c r="AD828" s="79">
        <f>IF(AND(B828&lt;&gt;"",K828="",U828&lt;&gt;"Yes",X828&lt;&gt;"Yes"),1,0)</f>
        <v/>
      </c>
      <c r="AE828" s="79">
        <f>IF(AND(AD828=1,T828&lt;&gt;""),IF(T828&lt;AsOf,1,0),0)</f>
        <v/>
      </c>
      <c r="AF828" s="79">
        <f>IF(AND(AD828=1,T828&lt;&gt;""),IF(AND(T828&gt;=AsOf,T828&lt;=AsOf+AlertDays),1,0),0)</f>
        <v/>
      </c>
      <c r="AG828" s="79">
        <f>IF(Y828="Order now",1,0)</f>
        <v/>
      </c>
      <c r="AH828" s="79">
        <f>IF(OR(Y828="⚠️ Order late — install at risk",Y828="⚠️ Delivery after install date"),1,0)</f>
        <v/>
      </c>
      <c r="AI828" s="79">
        <f>IF(AND(B828&lt;&gt;"",K828&lt;&gt;"",U828&lt;&gt;"Yes",X828&lt;&gt;"Yes"),1,0)</f>
        <v/>
      </c>
      <c r="AJ828" s="79">
        <f>IF(Y828="⚠️ Order late — install at risk",1,0)</f>
        <v/>
      </c>
    </row>
    <row r="829" ht="20" customHeight="1">
      <c r="B829" s="72" t="n"/>
      <c r="C829" s="72" t="n"/>
      <c r="D829" s="72" t="n"/>
      <c r="E829" s="72" t="n"/>
      <c r="F829" s="73" t="n"/>
      <c r="G829" s="72" t="n"/>
      <c r="H829" s="73" t="n"/>
      <c r="I829" s="72" t="n"/>
      <c r="J829" s="73" t="n"/>
      <c r="K829" s="74" t="n"/>
      <c r="L829" s="75">
        <f>IF(K829="A",F829,IF(K829="B",H829,IF(K829="C",J829,"")))</f>
        <v/>
      </c>
      <c r="M829" s="72" t="n"/>
      <c r="N829" s="72" t="n"/>
      <c r="O829" s="89" t="n"/>
      <c r="P829" s="89" t="n"/>
      <c r="Q829" s="109" t="n"/>
      <c r="R829" s="120">
        <f>IF(B829="","",IF(Q829&lt;&gt;"",Q829,IF(P829="","",IFERROR(INDEX('Timeline'!$J$7:$J$1006,MATCH(P829,'Timeline'!$B$7:$B$1006,0)),""))))</f>
        <v/>
      </c>
      <c r="S829" s="126">
        <f>IF(R829="","",R829-IF(O829="",0,O829)-OrderBuf)</f>
        <v/>
      </c>
      <c r="T829" s="126">
        <f>IF(S829="","",S829-DecideBuf)</f>
        <v/>
      </c>
      <c r="U829" s="74" t="n"/>
      <c r="V829" s="109" t="n"/>
      <c r="W829" s="109" t="n"/>
      <c r="X829" s="74" t="n"/>
      <c r="Y829" s="116">
        <f>IF(B829="","",IF(X829="Yes","Delivered",IF(U829="Yes",IF(AND(W829&lt;&gt;"",R829&lt;&gt;""),IF(W829&gt;R829,"⚠️ Delivery after install date","Ordered"),"Ordered"),IF(K829="",IF(T829="","Waiting for decision",IF(T829&lt;=AsOf+AlertDays,"Decide now","Waiting for decision")),IF(S829="","Selected",IF(AsOf&gt;S829,"⚠️ Order late — install at risk",IF(S829&lt;=AsOf+AlertDays,"Order now","Selected")))))))</f>
        <v/>
      </c>
      <c r="Z829" s="79">
        <f>IF(B829="","",IF(OR(AH829=1,AE829=1),2,IF(OR(AG829=1,AF829=1),1,IF(OR(Y829="Ordered",Y829="Delivered"),0,""))))</f>
        <v/>
      </c>
      <c r="AA829" s="112">
        <f>IF(B829="","",IF(AH829=1,IF(Y829="⚠️ Delivery after install date",R829,S829),IF(AD829=1,T829,IF(AI829=1,S829,""))))</f>
        <v/>
      </c>
      <c r="AB829" s="79">
        <f>IF(AA829="","",IF(AH829=1,1,IF(AA829="","",IF(AA829&lt;AsOf,1,IF(AA829&lt;=AsOf+AlertDays,2,IF(AA829&lt;=AsOf+2*AlertDays,3,""))))))</f>
        <v/>
      </c>
      <c r="AC829" s="79">
        <f>IF(AB829="","",IF(AH829=1,IF(Y829="⚠️ Delivery after install date","Delivery after install date: "&amp;B829,"Order late — install at risk: "&amp;B829),IF(AD829=1,IF(AB829=1,"Decision overdue: ","Decide: ")&amp;B829,"Order: "&amp;B829&amp;IF(N829="",""," from "&amp;N829))))</f>
        <v/>
      </c>
      <c r="AD829" s="79">
        <f>IF(AND(B829&lt;&gt;"",K829="",U829&lt;&gt;"Yes",X829&lt;&gt;"Yes"),1,0)</f>
        <v/>
      </c>
      <c r="AE829" s="79">
        <f>IF(AND(AD829=1,T829&lt;&gt;""),IF(T829&lt;AsOf,1,0),0)</f>
        <v/>
      </c>
      <c r="AF829" s="79">
        <f>IF(AND(AD829=1,T829&lt;&gt;""),IF(AND(T829&gt;=AsOf,T829&lt;=AsOf+AlertDays),1,0),0)</f>
        <v/>
      </c>
      <c r="AG829" s="79">
        <f>IF(Y829="Order now",1,0)</f>
        <v/>
      </c>
      <c r="AH829" s="79">
        <f>IF(OR(Y829="⚠️ Order late — install at risk",Y829="⚠️ Delivery after install date"),1,0)</f>
        <v/>
      </c>
      <c r="AI829" s="79">
        <f>IF(AND(B829&lt;&gt;"",K829&lt;&gt;"",U829&lt;&gt;"Yes",X829&lt;&gt;"Yes"),1,0)</f>
        <v/>
      </c>
      <c r="AJ829" s="79">
        <f>IF(Y829="⚠️ Order late — install at risk",1,0)</f>
        <v/>
      </c>
    </row>
    <row r="830" ht="20" customHeight="1">
      <c r="B830" s="72" t="n"/>
      <c r="C830" s="72" t="n"/>
      <c r="D830" s="72" t="n"/>
      <c r="E830" s="72" t="n"/>
      <c r="F830" s="73" t="n"/>
      <c r="G830" s="72" t="n"/>
      <c r="H830" s="73" t="n"/>
      <c r="I830" s="72" t="n"/>
      <c r="J830" s="73" t="n"/>
      <c r="K830" s="74" t="n"/>
      <c r="L830" s="75">
        <f>IF(K830="A",F830,IF(K830="B",H830,IF(K830="C",J830,"")))</f>
        <v/>
      </c>
      <c r="M830" s="72" t="n"/>
      <c r="N830" s="72" t="n"/>
      <c r="O830" s="89" t="n"/>
      <c r="P830" s="89" t="n"/>
      <c r="Q830" s="109" t="n"/>
      <c r="R830" s="120">
        <f>IF(B830="","",IF(Q830&lt;&gt;"",Q830,IF(P830="","",IFERROR(INDEX('Timeline'!$J$7:$J$1006,MATCH(P830,'Timeline'!$B$7:$B$1006,0)),""))))</f>
        <v/>
      </c>
      <c r="S830" s="126">
        <f>IF(R830="","",R830-IF(O830="",0,O830)-OrderBuf)</f>
        <v/>
      </c>
      <c r="T830" s="126">
        <f>IF(S830="","",S830-DecideBuf)</f>
        <v/>
      </c>
      <c r="U830" s="74" t="n"/>
      <c r="V830" s="109" t="n"/>
      <c r="W830" s="109" t="n"/>
      <c r="X830" s="74" t="n"/>
      <c r="Y830" s="116">
        <f>IF(B830="","",IF(X830="Yes","Delivered",IF(U830="Yes",IF(AND(W830&lt;&gt;"",R830&lt;&gt;""),IF(W830&gt;R830,"⚠️ Delivery after install date","Ordered"),"Ordered"),IF(K830="",IF(T830="","Waiting for decision",IF(T830&lt;=AsOf+AlertDays,"Decide now","Waiting for decision")),IF(S830="","Selected",IF(AsOf&gt;S830,"⚠️ Order late — install at risk",IF(S830&lt;=AsOf+AlertDays,"Order now","Selected")))))))</f>
        <v/>
      </c>
      <c r="Z830" s="79">
        <f>IF(B830="","",IF(OR(AH830=1,AE830=1),2,IF(OR(AG830=1,AF830=1),1,IF(OR(Y830="Ordered",Y830="Delivered"),0,""))))</f>
        <v/>
      </c>
      <c r="AA830" s="112">
        <f>IF(B830="","",IF(AH830=1,IF(Y830="⚠️ Delivery after install date",R830,S830),IF(AD830=1,T830,IF(AI830=1,S830,""))))</f>
        <v/>
      </c>
      <c r="AB830" s="79">
        <f>IF(AA830="","",IF(AH830=1,1,IF(AA830="","",IF(AA830&lt;AsOf,1,IF(AA830&lt;=AsOf+AlertDays,2,IF(AA830&lt;=AsOf+2*AlertDays,3,""))))))</f>
        <v/>
      </c>
      <c r="AC830" s="79">
        <f>IF(AB830="","",IF(AH830=1,IF(Y830="⚠️ Delivery after install date","Delivery after install date: "&amp;B830,"Order late — install at risk: "&amp;B830),IF(AD830=1,IF(AB830=1,"Decision overdue: ","Decide: ")&amp;B830,"Order: "&amp;B830&amp;IF(N830="",""," from "&amp;N830))))</f>
        <v/>
      </c>
      <c r="AD830" s="79">
        <f>IF(AND(B830&lt;&gt;"",K830="",U830&lt;&gt;"Yes",X830&lt;&gt;"Yes"),1,0)</f>
        <v/>
      </c>
      <c r="AE830" s="79">
        <f>IF(AND(AD830=1,T830&lt;&gt;""),IF(T830&lt;AsOf,1,0),0)</f>
        <v/>
      </c>
      <c r="AF830" s="79">
        <f>IF(AND(AD830=1,T830&lt;&gt;""),IF(AND(T830&gt;=AsOf,T830&lt;=AsOf+AlertDays),1,0),0)</f>
        <v/>
      </c>
      <c r="AG830" s="79">
        <f>IF(Y830="Order now",1,0)</f>
        <v/>
      </c>
      <c r="AH830" s="79">
        <f>IF(OR(Y830="⚠️ Order late — install at risk",Y830="⚠️ Delivery after install date"),1,0)</f>
        <v/>
      </c>
      <c r="AI830" s="79">
        <f>IF(AND(B830&lt;&gt;"",K830&lt;&gt;"",U830&lt;&gt;"Yes",X830&lt;&gt;"Yes"),1,0)</f>
        <v/>
      </c>
      <c r="AJ830" s="79">
        <f>IF(Y830="⚠️ Order late — install at risk",1,0)</f>
        <v/>
      </c>
    </row>
    <row r="831" ht="20" customHeight="1">
      <c r="B831" s="72" t="n"/>
      <c r="C831" s="72" t="n"/>
      <c r="D831" s="72" t="n"/>
      <c r="E831" s="72" t="n"/>
      <c r="F831" s="73" t="n"/>
      <c r="G831" s="72" t="n"/>
      <c r="H831" s="73" t="n"/>
      <c r="I831" s="72" t="n"/>
      <c r="J831" s="73" t="n"/>
      <c r="K831" s="74" t="n"/>
      <c r="L831" s="75">
        <f>IF(K831="A",F831,IF(K831="B",H831,IF(K831="C",J831,"")))</f>
        <v/>
      </c>
      <c r="M831" s="72" t="n"/>
      <c r="N831" s="72" t="n"/>
      <c r="O831" s="89" t="n"/>
      <c r="P831" s="89" t="n"/>
      <c r="Q831" s="109" t="n"/>
      <c r="R831" s="120">
        <f>IF(B831="","",IF(Q831&lt;&gt;"",Q831,IF(P831="","",IFERROR(INDEX('Timeline'!$J$7:$J$1006,MATCH(P831,'Timeline'!$B$7:$B$1006,0)),""))))</f>
        <v/>
      </c>
      <c r="S831" s="126">
        <f>IF(R831="","",R831-IF(O831="",0,O831)-OrderBuf)</f>
        <v/>
      </c>
      <c r="T831" s="126">
        <f>IF(S831="","",S831-DecideBuf)</f>
        <v/>
      </c>
      <c r="U831" s="74" t="n"/>
      <c r="V831" s="109" t="n"/>
      <c r="W831" s="109" t="n"/>
      <c r="X831" s="74" t="n"/>
      <c r="Y831" s="116">
        <f>IF(B831="","",IF(X831="Yes","Delivered",IF(U831="Yes",IF(AND(W831&lt;&gt;"",R831&lt;&gt;""),IF(W831&gt;R831,"⚠️ Delivery after install date","Ordered"),"Ordered"),IF(K831="",IF(T831="","Waiting for decision",IF(T831&lt;=AsOf+AlertDays,"Decide now","Waiting for decision")),IF(S831="","Selected",IF(AsOf&gt;S831,"⚠️ Order late — install at risk",IF(S831&lt;=AsOf+AlertDays,"Order now","Selected")))))))</f>
        <v/>
      </c>
      <c r="Z831" s="79">
        <f>IF(B831="","",IF(OR(AH831=1,AE831=1),2,IF(OR(AG831=1,AF831=1),1,IF(OR(Y831="Ordered",Y831="Delivered"),0,""))))</f>
        <v/>
      </c>
      <c r="AA831" s="112">
        <f>IF(B831="","",IF(AH831=1,IF(Y831="⚠️ Delivery after install date",R831,S831),IF(AD831=1,T831,IF(AI831=1,S831,""))))</f>
        <v/>
      </c>
      <c r="AB831" s="79">
        <f>IF(AA831="","",IF(AH831=1,1,IF(AA831="","",IF(AA831&lt;AsOf,1,IF(AA831&lt;=AsOf+AlertDays,2,IF(AA831&lt;=AsOf+2*AlertDays,3,""))))))</f>
        <v/>
      </c>
      <c r="AC831" s="79">
        <f>IF(AB831="","",IF(AH831=1,IF(Y831="⚠️ Delivery after install date","Delivery after install date: "&amp;B831,"Order late — install at risk: "&amp;B831),IF(AD831=1,IF(AB831=1,"Decision overdue: ","Decide: ")&amp;B831,"Order: "&amp;B831&amp;IF(N831="",""," from "&amp;N831))))</f>
        <v/>
      </c>
      <c r="AD831" s="79">
        <f>IF(AND(B831&lt;&gt;"",K831="",U831&lt;&gt;"Yes",X831&lt;&gt;"Yes"),1,0)</f>
        <v/>
      </c>
      <c r="AE831" s="79">
        <f>IF(AND(AD831=1,T831&lt;&gt;""),IF(T831&lt;AsOf,1,0),0)</f>
        <v/>
      </c>
      <c r="AF831" s="79">
        <f>IF(AND(AD831=1,T831&lt;&gt;""),IF(AND(T831&gt;=AsOf,T831&lt;=AsOf+AlertDays),1,0),0)</f>
        <v/>
      </c>
      <c r="AG831" s="79">
        <f>IF(Y831="Order now",1,0)</f>
        <v/>
      </c>
      <c r="AH831" s="79">
        <f>IF(OR(Y831="⚠️ Order late — install at risk",Y831="⚠️ Delivery after install date"),1,0)</f>
        <v/>
      </c>
      <c r="AI831" s="79">
        <f>IF(AND(B831&lt;&gt;"",K831&lt;&gt;"",U831&lt;&gt;"Yes",X831&lt;&gt;"Yes"),1,0)</f>
        <v/>
      </c>
      <c r="AJ831" s="79">
        <f>IF(Y831="⚠️ Order late — install at risk",1,0)</f>
        <v/>
      </c>
    </row>
    <row r="832" ht="20" customHeight="1">
      <c r="B832" s="72" t="n"/>
      <c r="C832" s="72" t="n"/>
      <c r="D832" s="72" t="n"/>
      <c r="E832" s="72" t="n"/>
      <c r="F832" s="73" t="n"/>
      <c r="G832" s="72" t="n"/>
      <c r="H832" s="73" t="n"/>
      <c r="I832" s="72" t="n"/>
      <c r="J832" s="73" t="n"/>
      <c r="K832" s="74" t="n"/>
      <c r="L832" s="75">
        <f>IF(K832="A",F832,IF(K832="B",H832,IF(K832="C",J832,"")))</f>
        <v/>
      </c>
      <c r="M832" s="72" t="n"/>
      <c r="N832" s="72" t="n"/>
      <c r="O832" s="89" t="n"/>
      <c r="P832" s="89" t="n"/>
      <c r="Q832" s="109" t="n"/>
      <c r="R832" s="120">
        <f>IF(B832="","",IF(Q832&lt;&gt;"",Q832,IF(P832="","",IFERROR(INDEX('Timeline'!$J$7:$J$1006,MATCH(P832,'Timeline'!$B$7:$B$1006,0)),""))))</f>
        <v/>
      </c>
      <c r="S832" s="126">
        <f>IF(R832="","",R832-IF(O832="",0,O832)-OrderBuf)</f>
        <v/>
      </c>
      <c r="T832" s="126">
        <f>IF(S832="","",S832-DecideBuf)</f>
        <v/>
      </c>
      <c r="U832" s="74" t="n"/>
      <c r="V832" s="109" t="n"/>
      <c r="W832" s="109" t="n"/>
      <c r="X832" s="74" t="n"/>
      <c r="Y832" s="116">
        <f>IF(B832="","",IF(X832="Yes","Delivered",IF(U832="Yes",IF(AND(W832&lt;&gt;"",R832&lt;&gt;""),IF(W832&gt;R832,"⚠️ Delivery after install date","Ordered"),"Ordered"),IF(K832="",IF(T832="","Waiting for decision",IF(T832&lt;=AsOf+AlertDays,"Decide now","Waiting for decision")),IF(S832="","Selected",IF(AsOf&gt;S832,"⚠️ Order late — install at risk",IF(S832&lt;=AsOf+AlertDays,"Order now","Selected")))))))</f>
        <v/>
      </c>
      <c r="Z832" s="79">
        <f>IF(B832="","",IF(OR(AH832=1,AE832=1),2,IF(OR(AG832=1,AF832=1),1,IF(OR(Y832="Ordered",Y832="Delivered"),0,""))))</f>
        <v/>
      </c>
      <c r="AA832" s="112">
        <f>IF(B832="","",IF(AH832=1,IF(Y832="⚠️ Delivery after install date",R832,S832),IF(AD832=1,T832,IF(AI832=1,S832,""))))</f>
        <v/>
      </c>
      <c r="AB832" s="79">
        <f>IF(AA832="","",IF(AH832=1,1,IF(AA832="","",IF(AA832&lt;AsOf,1,IF(AA832&lt;=AsOf+AlertDays,2,IF(AA832&lt;=AsOf+2*AlertDays,3,""))))))</f>
        <v/>
      </c>
      <c r="AC832" s="79">
        <f>IF(AB832="","",IF(AH832=1,IF(Y832="⚠️ Delivery after install date","Delivery after install date: "&amp;B832,"Order late — install at risk: "&amp;B832),IF(AD832=1,IF(AB832=1,"Decision overdue: ","Decide: ")&amp;B832,"Order: "&amp;B832&amp;IF(N832="",""," from "&amp;N832))))</f>
        <v/>
      </c>
      <c r="AD832" s="79">
        <f>IF(AND(B832&lt;&gt;"",K832="",U832&lt;&gt;"Yes",X832&lt;&gt;"Yes"),1,0)</f>
        <v/>
      </c>
      <c r="AE832" s="79">
        <f>IF(AND(AD832=1,T832&lt;&gt;""),IF(T832&lt;AsOf,1,0),0)</f>
        <v/>
      </c>
      <c r="AF832" s="79">
        <f>IF(AND(AD832=1,T832&lt;&gt;""),IF(AND(T832&gt;=AsOf,T832&lt;=AsOf+AlertDays),1,0),0)</f>
        <v/>
      </c>
      <c r="AG832" s="79">
        <f>IF(Y832="Order now",1,0)</f>
        <v/>
      </c>
      <c r="AH832" s="79">
        <f>IF(OR(Y832="⚠️ Order late — install at risk",Y832="⚠️ Delivery after install date"),1,0)</f>
        <v/>
      </c>
      <c r="AI832" s="79">
        <f>IF(AND(B832&lt;&gt;"",K832&lt;&gt;"",U832&lt;&gt;"Yes",X832&lt;&gt;"Yes"),1,0)</f>
        <v/>
      </c>
      <c r="AJ832" s="79">
        <f>IF(Y832="⚠️ Order late — install at risk",1,0)</f>
        <v/>
      </c>
    </row>
    <row r="833" ht="20" customHeight="1">
      <c r="B833" s="72" t="n"/>
      <c r="C833" s="72" t="n"/>
      <c r="D833" s="72" t="n"/>
      <c r="E833" s="72" t="n"/>
      <c r="F833" s="73" t="n"/>
      <c r="G833" s="72" t="n"/>
      <c r="H833" s="73" t="n"/>
      <c r="I833" s="72" t="n"/>
      <c r="J833" s="73" t="n"/>
      <c r="K833" s="74" t="n"/>
      <c r="L833" s="75">
        <f>IF(K833="A",F833,IF(K833="B",H833,IF(K833="C",J833,"")))</f>
        <v/>
      </c>
      <c r="M833" s="72" t="n"/>
      <c r="N833" s="72" t="n"/>
      <c r="O833" s="89" t="n"/>
      <c r="P833" s="89" t="n"/>
      <c r="Q833" s="109" t="n"/>
      <c r="R833" s="120">
        <f>IF(B833="","",IF(Q833&lt;&gt;"",Q833,IF(P833="","",IFERROR(INDEX('Timeline'!$J$7:$J$1006,MATCH(P833,'Timeline'!$B$7:$B$1006,0)),""))))</f>
        <v/>
      </c>
      <c r="S833" s="126">
        <f>IF(R833="","",R833-IF(O833="",0,O833)-OrderBuf)</f>
        <v/>
      </c>
      <c r="T833" s="126">
        <f>IF(S833="","",S833-DecideBuf)</f>
        <v/>
      </c>
      <c r="U833" s="74" t="n"/>
      <c r="V833" s="109" t="n"/>
      <c r="W833" s="109" t="n"/>
      <c r="X833" s="74" t="n"/>
      <c r="Y833" s="116">
        <f>IF(B833="","",IF(X833="Yes","Delivered",IF(U833="Yes",IF(AND(W833&lt;&gt;"",R833&lt;&gt;""),IF(W833&gt;R833,"⚠️ Delivery after install date","Ordered"),"Ordered"),IF(K833="",IF(T833="","Waiting for decision",IF(T833&lt;=AsOf+AlertDays,"Decide now","Waiting for decision")),IF(S833="","Selected",IF(AsOf&gt;S833,"⚠️ Order late — install at risk",IF(S833&lt;=AsOf+AlertDays,"Order now","Selected")))))))</f>
        <v/>
      </c>
      <c r="Z833" s="79">
        <f>IF(B833="","",IF(OR(AH833=1,AE833=1),2,IF(OR(AG833=1,AF833=1),1,IF(OR(Y833="Ordered",Y833="Delivered"),0,""))))</f>
        <v/>
      </c>
      <c r="AA833" s="112">
        <f>IF(B833="","",IF(AH833=1,IF(Y833="⚠️ Delivery after install date",R833,S833),IF(AD833=1,T833,IF(AI833=1,S833,""))))</f>
        <v/>
      </c>
      <c r="AB833" s="79">
        <f>IF(AA833="","",IF(AH833=1,1,IF(AA833="","",IF(AA833&lt;AsOf,1,IF(AA833&lt;=AsOf+AlertDays,2,IF(AA833&lt;=AsOf+2*AlertDays,3,""))))))</f>
        <v/>
      </c>
      <c r="AC833" s="79">
        <f>IF(AB833="","",IF(AH833=1,IF(Y833="⚠️ Delivery after install date","Delivery after install date: "&amp;B833,"Order late — install at risk: "&amp;B833),IF(AD833=1,IF(AB833=1,"Decision overdue: ","Decide: ")&amp;B833,"Order: "&amp;B833&amp;IF(N833="",""," from "&amp;N833))))</f>
        <v/>
      </c>
      <c r="AD833" s="79">
        <f>IF(AND(B833&lt;&gt;"",K833="",U833&lt;&gt;"Yes",X833&lt;&gt;"Yes"),1,0)</f>
        <v/>
      </c>
      <c r="AE833" s="79">
        <f>IF(AND(AD833=1,T833&lt;&gt;""),IF(T833&lt;AsOf,1,0),0)</f>
        <v/>
      </c>
      <c r="AF833" s="79">
        <f>IF(AND(AD833=1,T833&lt;&gt;""),IF(AND(T833&gt;=AsOf,T833&lt;=AsOf+AlertDays),1,0),0)</f>
        <v/>
      </c>
      <c r="AG833" s="79">
        <f>IF(Y833="Order now",1,0)</f>
        <v/>
      </c>
      <c r="AH833" s="79">
        <f>IF(OR(Y833="⚠️ Order late — install at risk",Y833="⚠️ Delivery after install date"),1,0)</f>
        <v/>
      </c>
      <c r="AI833" s="79">
        <f>IF(AND(B833&lt;&gt;"",K833&lt;&gt;"",U833&lt;&gt;"Yes",X833&lt;&gt;"Yes"),1,0)</f>
        <v/>
      </c>
      <c r="AJ833" s="79">
        <f>IF(Y833="⚠️ Order late — install at risk",1,0)</f>
        <v/>
      </c>
    </row>
    <row r="834" ht="20" customHeight="1">
      <c r="B834" s="72" t="n"/>
      <c r="C834" s="72" t="n"/>
      <c r="D834" s="72" t="n"/>
      <c r="E834" s="72" t="n"/>
      <c r="F834" s="73" t="n"/>
      <c r="G834" s="72" t="n"/>
      <c r="H834" s="73" t="n"/>
      <c r="I834" s="72" t="n"/>
      <c r="J834" s="73" t="n"/>
      <c r="K834" s="74" t="n"/>
      <c r="L834" s="75">
        <f>IF(K834="A",F834,IF(K834="B",H834,IF(K834="C",J834,"")))</f>
        <v/>
      </c>
      <c r="M834" s="72" t="n"/>
      <c r="N834" s="72" t="n"/>
      <c r="O834" s="89" t="n"/>
      <c r="P834" s="89" t="n"/>
      <c r="Q834" s="109" t="n"/>
      <c r="R834" s="120">
        <f>IF(B834="","",IF(Q834&lt;&gt;"",Q834,IF(P834="","",IFERROR(INDEX('Timeline'!$J$7:$J$1006,MATCH(P834,'Timeline'!$B$7:$B$1006,0)),""))))</f>
        <v/>
      </c>
      <c r="S834" s="126">
        <f>IF(R834="","",R834-IF(O834="",0,O834)-OrderBuf)</f>
        <v/>
      </c>
      <c r="T834" s="126">
        <f>IF(S834="","",S834-DecideBuf)</f>
        <v/>
      </c>
      <c r="U834" s="74" t="n"/>
      <c r="V834" s="109" t="n"/>
      <c r="W834" s="109" t="n"/>
      <c r="X834" s="74" t="n"/>
      <c r="Y834" s="116">
        <f>IF(B834="","",IF(X834="Yes","Delivered",IF(U834="Yes",IF(AND(W834&lt;&gt;"",R834&lt;&gt;""),IF(W834&gt;R834,"⚠️ Delivery after install date","Ordered"),"Ordered"),IF(K834="",IF(T834="","Waiting for decision",IF(T834&lt;=AsOf+AlertDays,"Decide now","Waiting for decision")),IF(S834="","Selected",IF(AsOf&gt;S834,"⚠️ Order late — install at risk",IF(S834&lt;=AsOf+AlertDays,"Order now","Selected")))))))</f>
        <v/>
      </c>
      <c r="Z834" s="79">
        <f>IF(B834="","",IF(OR(AH834=1,AE834=1),2,IF(OR(AG834=1,AF834=1),1,IF(OR(Y834="Ordered",Y834="Delivered"),0,""))))</f>
        <v/>
      </c>
      <c r="AA834" s="112">
        <f>IF(B834="","",IF(AH834=1,IF(Y834="⚠️ Delivery after install date",R834,S834),IF(AD834=1,T834,IF(AI834=1,S834,""))))</f>
        <v/>
      </c>
      <c r="AB834" s="79">
        <f>IF(AA834="","",IF(AH834=1,1,IF(AA834="","",IF(AA834&lt;AsOf,1,IF(AA834&lt;=AsOf+AlertDays,2,IF(AA834&lt;=AsOf+2*AlertDays,3,""))))))</f>
        <v/>
      </c>
      <c r="AC834" s="79">
        <f>IF(AB834="","",IF(AH834=1,IF(Y834="⚠️ Delivery after install date","Delivery after install date: "&amp;B834,"Order late — install at risk: "&amp;B834),IF(AD834=1,IF(AB834=1,"Decision overdue: ","Decide: ")&amp;B834,"Order: "&amp;B834&amp;IF(N834="",""," from "&amp;N834))))</f>
        <v/>
      </c>
      <c r="AD834" s="79">
        <f>IF(AND(B834&lt;&gt;"",K834="",U834&lt;&gt;"Yes",X834&lt;&gt;"Yes"),1,0)</f>
        <v/>
      </c>
      <c r="AE834" s="79">
        <f>IF(AND(AD834=1,T834&lt;&gt;""),IF(T834&lt;AsOf,1,0),0)</f>
        <v/>
      </c>
      <c r="AF834" s="79">
        <f>IF(AND(AD834=1,T834&lt;&gt;""),IF(AND(T834&gt;=AsOf,T834&lt;=AsOf+AlertDays),1,0),0)</f>
        <v/>
      </c>
      <c r="AG834" s="79">
        <f>IF(Y834="Order now",1,0)</f>
        <v/>
      </c>
      <c r="AH834" s="79">
        <f>IF(OR(Y834="⚠️ Order late — install at risk",Y834="⚠️ Delivery after install date"),1,0)</f>
        <v/>
      </c>
      <c r="AI834" s="79">
        <f>IF(AND(B834&lt;&gt;"",K834&lt;&gt;"",U834&lt;&gt;"Yes",X834&lt;&gt;"Yes"),1,0)</f>
        <v/>
      </c>
      <c r="AJ834" s="79">
        <f>IF(Y834="⚠️ Order late — install at risk",1,0)</f>
        <v/>
      </c>
    </row>
    <row r="835" ht="20" customHeight="1">
      <c r="B835" s="72" t="n"/>
      <c r="C835" s="72" t="n"/>
      <c r="D835" s="72" t="n"/>
      <c r="E835" s="72" t="n"/>
      <c r="F835" s="73" t="n"/>
      <c r="G835" s="72" t="n"/>
      <c r="H835" s="73" t="n"/>
      <c r="I835" s="72" t="n"/>
      <c r="J835" s="73" t="n"/>
      <c r="K835" s="74" t="n"/>
      <c r="L835" s="75">
        <f>IF(K835="A",F835,IF(K835="B",H835,IF(K835="C",J835,"")))</f>
        <v/>
      </c>
      <c r="M835" s="72" t="n"/>
      <c r="N835" s="72" t="n"/>
      <c r="O835" s="89" t="n"/>
      <c r="P835" s="89" t="n"/>
      <c r="Q835" s="109" t="n"/>
      <c r="R835" s="120">
        <f>IF(B835="","",IF(Q835&lt;&gt;"",Q835,IF(P835="","",IFERROR(INDEX('Timeline'!$J$7:$J$1006,MATCH(P835,'Timeline'!$B$7:$B$1006,0)),""))))</f>
        <v/>
      </c>
      <c r="S835" s="126">
        <f>IF(R835="","",R835-IF(O835="",0,O835)-OrderBuf)</f>
        <v/>
      </c>
      <c r="T835" s="126">
        <f>IF(S835="","",S835-DecideBuf)</f>
        <v/>
      </c>
      <c r="U835" s="74" t="n"/>
      <c r="V835" s="109" t="n"/>
      <c r="W835" s="109" t="n"/>
      <c r="X835" s="74" t="n"/>
      <c r="Y835" s="116">
        <f>IF(B835="","",IF(X835="Yes","Delivered",IF(U835="Yes",IF(AND(W835&lt;&gt;"",R835&lt;&gt;""),IF(W835&gt;R835,"⚠️ Delivery after install date","Ordered"),"Ordered"),IF(K835="",IF(T835="","Waiting for decision",IF(T835&lt;=AsOf+AlertDays,"Decide now","Waiting for decision")),IF(S835="","Selected",IF(AsOf&gt;S835,"⚠️ Order late — install at risk",IF(S835&lt;=AsOf+AlertDays,"Order now","Selected")))))))</f>
        <v/>
      </c>
      <c r="Z835" s="79">
        <f>IF(B835="","",IF(OR(AH835=1,AE835=1),2,IF(OR(AG835=1,AF835=1),1,IF(OR(Y835="Ordered",Y835="Delivered"),0,""))))</f>
        <v/>
      </c>
      <c r="AA835" s="112">
        <f>IF(B835="","",IF(AH835=1,IF(Y835="⚠️ Delivery after install date",R835,S835),IF(AD835=1,T835,IF(AI835=1,S835,""))))</f>
        <v/>
      </c>
      <c r="AB835" s="79">
        <f>IF(AA835="","",IF(AH835=1,1,IF(AA835="","",IF(AA835&lt;AsOf,1,IF(AA835&lt;=AsOf+AlertDays,2,IF(AA835&lt;=AsOf+2*AlertDays,3,""))))))</f>
        <v/>
      </c>
      <c r="AC835" s="79">
        <f>IF(AB835="","",IF(AH835=1,IF(Y835="⚠️ Delivery after install date","Delivery after install date: "&amp;B835,"Order late — install at risk: "&amp;B835),IF(AD835=1,IF(AB835=1,"Decision overdue: ","Decide: ")&amp;B835,"Order: "&amp;B835&amp;IF(N835="",""," from "&amp;N835))))</f>
        <v/>
      </c>
      <c r="AD835" s="79">
        <f>IF(AND(B835&lt;&gt;"",K835="",U835&lt;&gt;"Yes",X835&lt;&gt;"Yes"),1,0)</f>
        <v/>
      </c>
      <c r="AE835" s="79">
        <f>IF(AND(AD835=1,T835&lt;&gt;""),IF(T835&lt;AsOf,1,0),0)</f>
        <v/>
      </c>
      <c r="AF835" s="79">
        <f>IF(AND(AD835=1,T835&lt;&gt;""),IF(AND(T835&gt;=AsOf,T835&lt;=AsOf+AlertDays),1,0),0)</f>
        <v/>
      </c>
      <c r="AG835" s="79">
        <f>IF(Y835="Order now",1,0)</f>
        <v/>
      </c>
      <c r="AH835" s="79">
        <f>IF(OR(Y835="⚠️ Order late — install at risk",Y835="⚠️ Delivery after install date"),1,0)</f>
        <v/>
      </c>
      <c r="AI835" s="79">
        <f>IF(AND(B835&lt;&gt;"",K835&lt;&gt;"",U835&lt;&gt;"Yes",X835&lt;&gt;"Yes"),1,0)</f>
        <v/>
      </c>
      <c r="AJ835" s="79">
        <f>IF(Y835="⚠️ Order late — install at risk",1,0)</f>
        <v/>
      </c>
    </row>
    <row r="836" ht="20" customHeight="1">
      <c r="B836" s="72" t="n"/>
      <c r="C836" s="72" t="n"/>
      <c r="D836" s="72" t="n"/>
      <c r="E836" s="72" t="n"/>
      <c r="F836" s="73" t="n"/>
      <c r="G836" s="72" t="n"/>
      <c r="H836" s="73" t="n"/>
      <c r="I836" s="72" t="n"/>
      <c r="J836" s="73" t="n"/>
      <c r="K836" s="74" t="n"/>
      <c r="L836" s="75">
        <f>IF(K836="A",F836,IF(K836="B",H836,IF(K836="C",J836,"")))</f>
        <v/>
      </c>
      <c r="M836" s="72" t="n"/>
      <c r="N836" s="72" t="n"/>
      <c r="O836" s="89" t="n"/>
      <c r="P836" s="89" t="n"/>
      <c r="Q836" s="109" t="n"/>
      <c r="R836" s="120">
        <f>IF(B836="","",IF(Q836&lt;&gt;"",Q836,IF(P836="","",IFERROR(INDEX('Timeline'!$J$7:$J$1006,MATCH(P836,'Timeline'!$B$7:$B$1006,0)),""))))</f>
        <v/>
      </c>
      <c r="S836" s="126">
        <f>IF(R836="","",R836-IF(O836="",0,O836)-OrderBuf)</f>
        <v/>
      </c>
      <c r="T836" s="126">
        <f>IF(S836="","",S836-DecideBuf)</f>
        <v/>
      </c>
      <c r="U836" s="74" t="n"/>
      <c r="V836" s="109" t="n"/>
      <c r="W836" s="109" t="n"/>
      <c r="X836" s="74" t="n"/>
      <c r="Y836" s="116">
        <f>IF(B836="","",IF(X836="Yes","Delivered",IF(U836="Yes",IF(AND(W836&lt;&gt;"",R836&lt;&gt;""),IF(W836&gt;R836,"⚠️ Delivery after install date","Ordered"),"Ordered"),IF(K836="",IF(T836="","Waiting for decision",IF(T836&lt;=AsOf+AlertDays,"Decide now","Waiting for decision")),IF(S836="","Selected",IF(AsOf&gt;S836,"⚠️ Order late — install at risk",IF(S836&lt;=AsOf+AlertDays,"Order now","Selected")))))))</f>
        <v/>
      </c>
      <c r="Z836" s="79">
        <f>IF(B836="","",IF(OR(AH836=1,AE836=1),2,IF(OR(AG836=1,AF836=1),1,IF(OR(Y836="Ordered",Y836="Delivered"),0,""))))</f>
        <v/>
      </c>
      <c r="AA836" s="112">
        <f>IF(B836="","",IF(AH836=1,IF(Y836="⚠️ Delivery after install date",R836,S836),IF(AD836=1,T836,IF(AI836=1,S836,""))))</f>
        <v/>
      </c>
      <c r="AB836" s="79">
        <f>IF(AA836="","",IF(AH836=1,1,IF(AA836="","",IF(AA836&lt;AsOf,1,IF(AA836&lt;=AsOf+AlertDays,2,IF(AA836&lt;=AsOf+2*AlertDays,3,""))))))</f>
        <v/>
      </c>
      <c r="AC836" s="79">
        <f>IF(AB836="","",IF(AH836=1,IF(Y836="⚠️ Delivery after install date","Delivery after install date: "&amp;B836,"Order late — install at risk: "&amp;B836),IF(AD836=1,IF(AB836=1,"Decision overdue: ","Decide: ")&amp;B836,"Order: "&amp;B836&amp;IF(N836="",""," from "&amp;N836))))</f>
        <v/>
      </c>
      <c r="AD836" s="79">
        <f>IF(AND(B836&lt;&gt;"",K836="",U836&lt;&gt;"Yes",X836&lt;&gt;"Yes"),1,0)</f>
        <v/>
      </c>
      <c r="AE836" s="79">
        <f>IF(AND(AD836=1,T836&lt;&gt;""),IF(T836&lt;AsOf,1,0),0)</f>
        <v/>
      </c>
      <c r="AF836" s="79">
        <f>IF(AND(AD836=1,T836&lt;&gt;""),IF(AND(T836&gt;=AsOf,T836&lt;=AsOf+AlertDays),1,0),0)</f>
        <v/>
      </c>
      <c r="AG836" s="79">
        <f>IF(Y836="Order now",1,0)</f>
        <v/>
      </c>
      <c r="AH836" s="79">
        <f>IF(OR(Y836="⚠️ Order late — install at risk",Y836="⚠️ Delivery after install date"),1,0)</f>
        <v/>
      </c>
      <c r="AI836" s="79">
        <f>IF(AND(B836&lt;&gt;"",K836&lt;&gt;"",U836&lt;&gt;"Yes",X836&lt;&gt;"Yes"),1,0)</f>
        <v/>
      </c>
      <c r="AJ836" s="79">
        <f>IF(Y836="⚠️ Order late — install at risk",1,0)</f>
        <v/>
      </c>
    </row>
    <row r="837" ht="20" customHeight="1">
      <c r="B837" s="72" t="n"/>
      <c r="C837" s="72" t="n"/>
      <c r="D837" s="72" t="n"/>
      <c r="E837" s="72" t="n"/>
      <c r="F837" s="73" t="n"/>
      <c r="G837" s="72" t="n"/>
      <c r="H837" s="73" t="n"/>
      <c r="I837" s="72" t="n"/>
      <c r="J837" s="73" t="n"/>
      <c r="K837" s="74" t="n"/>
      <c r="L837" s="75">
        <f>IF(K837="A",F837,IF(K837="B",H837,IF(K837="C",J837,"")))</f>
        <v/>
      </c>
      <c r="M837" s="72" t="n"/>
      <c r="N837" s="72" t="n"/>
      <c r="O837" s="89" t="n"/>
      <c r="P837" s="89" t="n"/>
      <c r="Q837" s="109" t="n"/>
      <c r="R837" s="120">
        <f>IF(B837="","",IF(Q837&lt;&gt;"",Q837,IF(P837="","",IFERROR(INDEX('Timeline'!$J$7:$J$1006,MATCH(P837,'Timeline'!$B$7:$B$1006,0)),""))))</f>
        <v/>
      </c>
      <c r="S837" s="126">
        <f>IF(R837="","",R837-IF(O837="",0,O837)-OrderBuf)</f>
        <v/>
      </c>
      <c r="T837" s="126">
        <f>IF(S837="","",S837-DecideBuf)</f>
        <v/>
      </c>
      <c r="U837" s="74" t="n"/>
      <c r="V837" s="109" t="n"/>
      <c r="W837" s="109" t="n"/>
      <c r="X837" s="74" t="n"/>
      <c r="Y837" s="116">
        <f>IF(B837="","",IF(X837="Yes","Delivered",IF(U837="Yes",IF(AND(W837&lt;&gt;"",R837&lt;&gt;""),IF(W837&gt;R837,"⚠️ Delivery after install date","Ordered"),"Ordered"),IF(K837="",IF(T837="","Waiting for decision",IF(T837&lt;=AsOf+AlertDays,"Decide now","Waiting for decision")),IF(S837="","Selected",IF(AsOf&gt;S837,"⚠️ Order late — install at risk",IF(S837&lt;=AsOf+AlertDays,"Order now","Selected")))))))</f>
        <v/>
      </c>
      <c r="Z837" s="79">
        <f>IF(B837="","",IF(OR(AH837=1,AE837=1),2,IF(OR(AG837=1,AF837=1),1,IF(OR(Y837="Ordered",Y837="Delivered"),0,""))))</f>
        <v/>
      </c>
      <c r="AA837" s="112">
        <f>IF(B837="","",IF(AH837=1,IF(Y837="⚠️ Delivery after install date",R837,S837),IF(AD837=1,T837,IF(AI837=1,S837,""))))</f>
        <v/>
      </c>
      <c r="AB837" s="79">
        <f>IF(AA837="","",IF(AH837=1,1,IF(AA837="","",IF(AA837&lt;AsOf,1,IF(AA837&lt;=AsOf+AlertDays,2,IF(AA837&lt;=AsOf+2*AlertDays,3,""))))))</f>
        <v/>
      </c>
      <c r="AC837" s="79">
        <f>IF(AB837="","",IF(AH837=1,IF(Y837="⚠️ Delivery after install date","Delivery after install date: "&amp;B837,"Order late — install at risk: "&amp;B837),IF(AD837=1,IF(AB837=1,"Decision overdue: ","Decide: ")&amp;B837,"Order: "&amp;B837&amp;IF(N837="",""," from "&amp;N837))))</f>
        <v/>
      </c>
      <c r="AD837" s="79">
        <f>IF(AND(B837&lt;&gt;"",K837="",U837&lt;&gt;"Yes",X837&lt;&gt;"Yes"),1,0)</f>
        <v/>
      </c>
      <c r="AE837" s="79">
        <f>IF(AND(AD837=1,T837&lt;&gt;""),IF(T837&lt;AsOf,1,0),0)</f>
        <v/>
      </c>
      <c r="AF837" s="79">
        <f>IF(AND(AD837=1,T837&lt;&gt;""),IF(AND(T837&gt;=AsOf,T837&lt;=AsOf+AlertDays),1,0),0)</f>
        <v/>
      </c>
      <c r="AG837" s="79">
        <f>IF(Y837="Order now",1,0)</f>
        <v/>
      </c>
      <c r="AH837" s="79">
        <f>IF(OR(Y837="⚠️ Order late — install at risk",Y837="⚠️ Delivery after install date"),1,0)</f>
        <v/>
      </c>
      <c r="AI837" s="79">
        <f>IF(AND(B837&lt;&gt;"",K837&lt;&gt;"",U837&lt;&gt;"Yes",X837&lt;&gt;"Yes"),1,0)</f>
        <v/>
      </c>
      <c r="AJ837" s="79">
        <f>IF(Y837="⚠️ Order late — install at risk",1,0)</f>
        <v/>
      </c>
    </row>
    <row r="838" ht="20" customHeight="1">
      <c r="B838" s="72" t="n"/>
      <c r="C838" s="72" t="n"/>
      <c r="D838" s="72" t="n"/>
      <c r="E838" s="72" t="n"/>
      <c r="F838" s="73" t="n"/>
      <c r="G838" s="72" t="n"/>
      <c r="H838" s="73" t="n"/>
      <c r="I838" s="72" t="n"/>
      <c r="J838" s="73" t="n"/>
      <c r="K838" s="74" t="n"/>
      <c r="L838" s="75">
        <f>IF(K838="A",F838,IF(K838="B",H838,IF(K838="C",J838,"")))</f>
        <v/>
      </c>
      <c r="M838" s="72" t="n"/>
      <c r="N838" s="72" t="n"/>
      <c r="O838" s="89" t="n"/>
      <c r="P838" s="89" t="n"/>
      <c r="Q838" s="109" t="n"/>
      <c r="R838" s="120">
        <f>IF(B838="","",IF(Q838&lt;&gt;"",Q838,IF(P838="","",IFERROR(INDEX('Timeline'!$J$7:$J$1006,MATCH(P838,'Timeline'!$B$7:$B$1006,0)),""))))</f>
        <v/>
      </c>
      <c r="S838" s="126">
        <f>IF(R838="","",R838-IF(O838="",0,O838)-OrderBuf)</f>
        <v/>
      </c>
      <c r="T838" s="126">
        <f>IF(S838="","",S838-DecideBuf)</f>
        <v/>
      </c>
      <c r="U838" s="74" t="n"/>
      <c r="V838" s="109" t="n"/>
      <c r="W838" s="109" t="n"/>
      <c r="X838" s="74" t="n"/>
      <c r="Y838" s="116">
        <f>IF(B838="","",IF(X838="Yes","Delivered",IF(U838="Yes",IF(AND(W838&lt;&gt;"",R838&lt;&gt;""),IF(W838&gt;R838,"⚠️ Delivery after install date","Ordered"),"Ordered"),IF(K838="",IF(T838="","Waiting for decision",IF(T838&lt;=AsOf+AlertDays,"Decide now","Waiting for decision")),IF(S838="","Selected",IF(AsOf&gt;S838,"⚠️ Order late — install at risk",IF(S838&lt;=AsOf+AlertDays,"Order now","Selected")))))))</f>
        <v/>
      </c>
      <c r="Z838" s="79">
        <f>IF(B838="","",IF(OR(AH838=1,AE838=1),2,IF(OR(AG838=1,AF838=1),1,IF(OR(Y838="Ordered",Y838="Delivered"),0,""))))</f>
        <v/>
      </c>
      <c r="AA838" s="112">
        <f>IF(B838="","",IF(AH838=1,IF(Y838="⚠️ Delivery after install date",R838,S838),IF(AD838=1,T838,IF(AI838=1,S838,""))))</f>
        <v/>
      </c>
      <c r="AB838" s="79">
        <f>IF(AA838="","",IF(AH838=1,1,IF(AA838="","",IF(AA838&lt;AsOf,1,IF(AA838&lt;=AsOf+AlertDays,2,IF(AA838&lt;=AsOf+2*AlertDays,3,""))))))</f>
        <v/>
      </c>
      <c r="AC838" s="79">
        <f>IF(AB838="","",IF(AH838=1,IF(Y838="⚠️ Delivery after install date","Delivery after install date: "&amp;B838,"Order late — install at risk: "&amp;B838),IF(AD838=1,IF(AB838=1,"Decision overdue: ","Decide: ")&amp;B838,"Order: "&amp;B838&amp;IF(N838="",""," from "&amp;N838))))</f>
        <v/>
      </c>
      <c r="AD838" s="79">
        <f>IF(AND(B838&lt;&gt;"",K838="",U838&lt;&gt;"Yes",X838&lt;&gt;"Yes"),1,0)</f>
        <v/>
      </c>
      <c r="AE838" s="79">
        <f>IF(AND(AD838=1,T838&lt;&gt;""),IF(T838&lt;AsOf,1,0),0)</f>
        <v/>
      </c>
      <c r="AF838" s="79">
        <f>IF(AND(AD838=1,T838&lt;&gt;""),IF(AND(T838&gt;=AsOf,T838&lt;=AsOf+AlertDays),1,0),0)</f>
        <v/>
      </c>
      <c r="AG838" s="79">
        <f>IF(Y838="Order now",1,0)</f>
        <v/>
      </c>
      <c r="AH838" s="79">
        <f>IF(OR(Y838="⚠️ Order late — install at risk",Y838="⚠️ Delivery after install date"),1,0)</f>
        <v/>
      </c>
      <c r="AI838" s="79">
        <f>IF(AND(B838&lt;&gt;"",K838&lt;&gt;"",U838&lt;&gt;"Yes",X838&lt;&gt;"Yes"),1,0)</f>
        <v/>
      </c>
      <c r="AJ838" s="79">
        <f>IF(Y838="⚠️ Order late — install at risk",1,0)</f>
        <v/>
      </c>
    </row>
    <row r="839" ht="20" customHeight="1">
      <c r="B839" s="72" t="n"/>
      <c r="C839" s="72" t="n"/>
      <c r="D839" s="72" t="n"/>
      <c r="E839" s="72" t="n"/>
      <c r="F839" s="73" t="n"/>
      <c r="G839" s="72" t="n"/>
      <c r="H839" s="73" t="n"/>
      <c r="I839" s="72" t="n"/>
      <c r="J839" s="73" t="n"/>
      <c r="K839" s="74" t="n"/>
      <c r="L839" s="75">
        <f>IF(K839="A",F839,IF(K839="B",H839,IF(K839="C",J839,"")))</f>
        <v/>
      </c>
      <c r="M839" s="72" t="n"/>
      <c r="N839" s="72" t="n"/>
      <c r="O839" s="89" t="n"/>
      <c r="P839" s="89" t="n"/>
      <c r="Q839" s="109" t="n"/>
      <c r="R839" s="120">
        <f>IF(B839="","",IF(Q839&lt;&gt;"",Q839,IF(P839="","",IFERROR(INDEX('Timeline'!$J$7:$J$1006,MATCH(P839,'Timeline'!$B$7:$B$1006,0)),""))))</f>
        <v/>
      </c>
      <c r="S839" s="126">
        <f>IF(R839="","",R839-IF(O839="",0,O839)-OrderBuf)</f>
        <v/>
      </c>
      <c r="T839" s="126">
        <f>IF(S839="","",S839-DecideBuf)</f>
        <v/>
      </c>
      <c r="U839" s="74" t="n"/>
      <c r="V839" s="109" t="n"/>
      <c r="W839" s="109" t="n"/>
      <c r="X839" s="74" t="n"/>
      <c r="Y839" s="116">
        <f>IF(B839="","",IF(X839="Yes","Delivered",IF(U839="Yes",IF(AND(W839&lt;&gt;"",R839&lt;&gt;""),IF(W839&gt;R839,"⚠️ Delivery after install date","Ordered"),"Ordered"),IF(K839="",IF(T839="","Waiting for decision",IF(T839&lt;=AsOf+AlertDays,"Decide now","Waiting for decision")),IF(S839="","Selected",IF(AsOf&gt;S839,"⚠️ Order late — install at risk",IF(S839&lt;=AsOf+AlertDays,"Order now","Selected")))))))</f>
        <v/>
      </c>
      <c r="Z839" s="79">
        <f>IF(B839="","",IF(OR(AH839=1,AE839=1),2,IF(OR(AG839=1,AF839=1),1,IF(OR(Y839="Ordered",Y839="Delivered"),0,""))))</f>
        <v/>
      </c>
      <c r="AA839" s="112">
        <f>IF(B839="","",IF(AH839=1,IF(Y839="⚠️ Delivery after install date",R839,S839),IF(AD839=1,T839,IF(AI839=1,S839,""))))</f>
        <v/>
      </c>
      <c r="AB839" s="79">
        <f>IF(AA839="","",IF(AH839=1,1,IF(AA839="","",IF(AA839&lt;AsOf,1,IF(AA839&lt;=AsOf+AlertDays,2,IF(AA839&lt;=AsOf+2*AlertDays,3,""))))))</f>
        <v/>
      </c>
      <c r="AC839" s="79">
        <f>IF(AB839="","",IF(AH839=1,IF(Y839="⚠️ Delivery after install date","Delivery after install date: "&amp;B839,"Order late — install at risk: "&amp;B839),IF(AD839=1,IF(AB839=1,"Decision overdue: ","Decide: ")&amp;B839,"Order: "&amp;B839&amp;IF(N839="",""," from "&amp;N839))))</f>
        <v/>
      </c>
      <c r="AD839" s="79">
        <f>IF(AND(B839&lt;&gt;"",K839="",U839&lt;&gt;"Yes",X839&lt;&gt;"Yes"),1,0)</f>
        <v/>
      </c>
      <c r="AE839" s="79">
        <f>IF(AND(AD839=1,T839&lt;&gt;""),IF(T839&lt;AsOf,1,0),0)</f>
        <v/>
      </c>
      <c r="AF839" s="79">
        <f>IF(AND(AD839=1,T839&lt;&gt;""),IF(AND(T839&gt;=AsOf,T839&lt;=AsOf+AlertDays),1,0),0)</f>
        <v/>
      </c>
      <c r="AG839" s="79">
        <f>IF(Y839="Order now",1,0)</f>
        <v/>
      </c>
      <c r="AH839" s="79">
        <f>IF(OR(Y839="⚠️ Order late — install at risk",Y839="⚠️ Delivery after install date"),1,0)</f>
        <v/>
      </c>
      <c r="AI839" s="79">
        <f>IF(AND(B839&lt;&gt;"",K839&lt;&gt;"",U839&lt;&gt;"Yes",X839&lt;&gt;"Yes"),1,0)</f>
        <v/>
      </c>
      <c r="AJ839" s="79">
        <f>IF(Y839="⚠️ Order late — install at risk",1,0)</f>
        <v/>
      </c>
    </row>
    <row r="840" ht="20" customHeight="1">
      <c r="B840" s="72" t="n"/>
      <c r="C840" s="72" t="n"/>
      <c r="D840" s="72" t="n"/>
      <c r="E840" s="72" t="n"/>
      <c r="F840" s="73" t="n"/>
      <c r="G840" s="72" t="n"/>
      <c r="H840" s="73" t="n"/>
      <c r="I840" s="72" t="n"/>
      <c r="J840" s="73" t="n"/>
      <c r="K840" s="74" t="n"/>
      <c r="L840" s="75">
        <f>IF(K840="A",F840,IF(K840="B",H840,IF(K840="C",J840,"")))</f>
        <v/>
      </c>
      <c r="M840" s="72" t="n"/>
      <c r="N840" s="72" t="n"/>
      <c r="O840" s="89" t="n"/>
      <c r="P840" s="89" t="n"/>
      <c r="Q840" s="109" t="n"/>
      <c r="R840" s="120">
        <f>IF(B840="","",IF(Q840&lt;&gt;"",Q840,IF(P840="","",IFERROR(INDEX('Timeline'!$J$7:$J$1006,MATCH(P840,'Timeline'!$B$7:$B$1006,0)),""))))</f>
        <v/>
      </c>
      <c r="S840" s="126">
        <f>IF(R840="","",R840-IF(O840="",0,O840)-OrderBuf)</f>
        <v/>
      </c>
      <c r="T840" s="126">
        <f>IF(S840="","",S840-DecideBuf)</f>
        <v/>
      </c>
      <c r="U840" s="74" t="n"/>
      <c r="V840" s="109" t="n"/>
      <c r="W840" s="109" t="n"/>
      <c r="X840" s="74" t="n"/>
      <c r="Y840" s="116">
        <f>IF(B840="","",IF(X840="Yes","Delivered",IF(U840="Yes",IF(AND(W840&lt;&gt;"",R840&lt;&gt;""),IF(W840&gt;R840,"⚠️ Delivery after install date","Ordered"),"Ordered"),IF(K840="",IF(T840="","Waiting for decision",IF(T840&lt;=AsOf+AlertDays,"Decide now","Waiting for decision")),IF(S840="","Selected",IF(AsOf&gt;S840,"⚠️ Order late — install at risk",IF(S840&lt;=AsOf+AlertDays,"Order now","Selected")))))))</f>
        <v/>
      </c>
      <c r="Z840" s="79">
        <f>IF(B840="","",IF(OR(AH840=1,AE840=1),2,IF(OR(AG840=1,AF840=1),1,IF(OR(Y840="Ordered",Y840="Delivered"),0,""))))</f>
        <v/>
      </c>
      <c r="AA840" s="112">
        <f>IF(B840="","",IF(AH840=1,IF(Y840="⚠️ Delivery after install date",R840,S840),IF(AD840=1,T840,IF(AI840=1,S840,""))))</f>
        <v/>
      </c>
      <c r="AB840" s="79">
        <f>IF(AA840="","",IF(AH840=1,1,IF(AA840="","",IF(AA840&lt;AsOf,1,IF(AA840&lt;=AsOf+AlertDays,2,IF(AA840&lt;=AsOf+2*AlertDays,3,""))))))</f>
        <v/>
      </c>
      <c r="AC840" s="79">
        <f>IF(AB840="","",IF(AH840=1,IF(Y840="⚠️ Delivery after install date","Delivery after install date: "&amp;B840,"Order late — install at risk: "&amp;B840),IF(AD840=1,IF(AB840=1,"Decision overdue: ","Decide: ")&amp;B840,"Order: "&amp;B840&amp;IF(N840="",""," from "&amp;N840))))</f>
        <v/>
      </c>
      <c r="AD840" s="79">
        <f>IF(AND(B840&lt;&gt;"",K840="",U840&lt;&gt;"Yes",X840&lt;&gt;"Yes"),1,0)</f>
        <v/>
      </c>
      <c r="AE840" s="79">
        <f>IF(AND(AD840=1,T840&lt;&gt;""),IF(T840&lt;AsOf,1,0),0)</f>
        <v/>
      </c>
      <c r="AF840" s="79">
        <f>IF(AND(AD840=1,T840&lt;&gt;""),IF(AND(T840&gt;=AsOf,T840&lt;=AsOf+AlertDays),1,0),0)</f>
        <v/>
      </c>
      <c r="AG840" s="79">
        <f>IF(Y840="Order now",1,0)</f>
        <v/>
      </c>
      <c r="AH840" s="79">
        <f>IF(OR(Y840="⚠️ Order late — install at risk",Y840="⚠️ Delivery after install date"),1,0)</f>
        <v/>
      </c>
      <c r="AI840" s="79">
        <f>IF(AND(B840&lt;&gt;"",K840&lt;&gt;"",U840&lt;&gt;"Yes",X840&lt;&gt;"Yes"),1,0)</f>
        <v/>
      </c>
      <c r="AJ840" s="79">
        <f>IF(Y840="⚠️ Order late — install at risk",1,0)</f>
        <v/>
      </c>
    </row>
    <row r="841" ht="20" customHeight="1">
      <c r="B841" s="72" t="n"/>
      <c r="C841" s="72" t="n"/>
      <c r="D841" s="72" t="n"/>
      <c r="E841" s="72" t="n"/>
      <c r="F841" s="73" t="n"/>
      <c r="G841" s="72" t="n"/>
      <c r="H841" s="73" t="n"/>
      <c r="I841" s="72" t="n"/>
      <c r="J841" s="73" t="n"/>
      <c r="K841" s="74" t="n"/>
      <c r="L841" s="75">
        <f>IF(K841="A",F841,IF(K841="B",H841,IF(K841="C",J841,"")))</f>
        <v/>
      </c>
      <c r="M841" s="72" t="n"/>
      <c r="N841" s="72" t="n"/>
      <c r="O841" s="89" t="n"/>
      <c r="P841" s="89" t="n"/>
      <c r="Q841" s="109" t="n"/>
      <c r="R841" s="120">
        <f>IF(B841="","",IF(Q841&lt;&gt;"",Q841,IF(P841="","",IFERROR(INDEX('Timeline'!$J$7:$J$1006,MATCH(P841,'Timeline'!$B$7:$B$1006,0)),""))))</f>
        <v/>
      </c>
      <c r="S841" s="126">
        <f>IF(R841="","",R841-IF(O841="",0,O841)-OrderBuf)</f>
        <v/>
      </c>
      <c r="T841" s="126">
        <f>IF(S841="","",S841-DecideBuf)</f>
        <v/>
      </c>
      <c r="U841" s="74" t="n"/>
      <c r="V841" s="109" t="n"/>
      <c r="W841" s="109" t="n"/>
      <c r="X841" s="74" t="n"/>
      <c r="Y841" s="116">
        <f>IF(B841="","",IF(X841="Yes","Delivered",IF(U841="Yes",IF(AND(W841&lt;&gt;"",R841&lt;&gt;""),IF(W841&gt;R841,"⚠️ Delivery after install date","Ordered"),"Ordered"),IF(K841="",IF(T841="","Waiting for decision",IF(T841&lt;=AsOf+AlertDays,"Decide now","Waiting for decision")),IF(S841="","Selected",IF(AsOf&gt;S841,"⚠️ Order late — install at risk",IF(S841&lt;=AsOf+AlertDays,"Order now","Selected")))))))</f>
        <v/>
      </c>
      <c r="Z841" s="79">
        <f>IF(B841="","",IF(OR(AH841=1,AE841=1),2,IF(OR(AG841=1,AF841=1),1,IF(OR(Y841="Ordered",Y841="Delivered"),0,""))))</f>
        <v/>
      </c>
      <c r="AA841" s="112">
        <f>IF(B841="","",IF(AH841=1,IF(Y841="⚠️ Delivery after install date",R841,S841),IF(AD841=1,T841,IF(AI841=1,S841,""))))</f>
        <v/>
      </c>
      <c r="AB841" s="79">
        <f>IF(AA841="","",IF(AH841=1,1,IF(AA841="","",IF(AA841&lt;AsOf,1,IF(AA841&lt;=AsOf+AlertDays,2,IF(AA841&lt;=AsOf+2*AlertDays,3,""))))))</f>
        <v/>
      </c>
      <c r="AC841" s="79">
        <f>IF(AB841="","",IF(AH841=1,IF(Y841="⚠️ Delivery after install date","Delivery after install date: "&amp;B841,"Order late — install at risk: "&amp;B841),IF(AD841=1,IF(AB841=1,"Decision overdue: ","Decide: ")&amp;B841,"Order: "&amp;B841&amp;IF(N841="",""," from "&amp;N841))))</f>
        <v/>
      </c>
      <c r="AD841" s="79">
        <f>IF(AND(B841&lt;&gt;"",K841="",U841&lt;&gt;"Yes",X841&lt;&gt;"Yes"),1,0)</f>
        <v/>
      </c>
      <c r="AE841" s="79">
        <f>IF(AND(AD841=1,T841&lt;&gt;""),IF(T841&lt;AsOf,1,0),0)</f>
        <v/>
      </c>
      <c r="AF841" s="79">
        <f>IF(AND(AD841=1,T841&lt;&gt;""),IF(AND(T841&gt;=AsOf,T841&lt;=AsOf+AlertDays),1,0),0)</f>
        <v/>
      </c>
      <c r="AG841" s="79">
        <f>IF(Y841="Order now",1,0)</f>
        <v/>
      </c>
      <c r="AH841" s="79">
        <f>IF(OR(Y841="⚠️ Order late — install at risk",Y841="⚠️ Delivery after install date"),1,0)</f>
        <v/>
      </c>
      <c r="AI841" s="79">
        <f>IF(AND(B841&lt;&gt;"",K841&lt;&gt;"",U841&lt;&gt;"Yes",X841&lt;&gt;"Yes"),1,0)</f>
        <v/>
      </c>
      <c r="AJ841" s="79">
        <f>IF(Y841="⚠️ Order late — install at risk",1,0)</f>
        <v/>
      </c>
    </row>
    <row r="842" ht="20" customHeight="1">
      <c r="B842" s="72" t="n"/>
      <c r="C842" s="72" t="n"/>
      <c r="D842" s="72" t="n"/>
      <c r="E842" s="72" t="n"/>
      <c r="F842" s="73" t="n"/>
      <c r="G842" s="72" t="n"/>
      <c r="H842" s="73" t="n"/>
      <c r="I842" s="72" t="n"/>
      <c r="J842" s="73" t="n"/>
      <c r="K842" s="74" t="n"/>
      <c r="L842" s="75">
        <f>IF(K842="A",F842,IF(K842="B",H842,IF(K842="C",J842,"")))</f>
        <v/>
      </c>
      <c r="M842" s="72" t="n"/>
      <c r="N842" s="72" t="n"/>
      <c r="O842" s="89" t="n"/>
      <c r="P842" s="89" t="n"/>
      <c r="Q842" s="109" t="n"/>
      <c r="R842" s="120">
        <f>IF(B842="","",IF(Q842&lt;&gt;"",Q842,IF(P842="","",IFERROR(INDEX('Timeline'!$J$7:$J$1006,MATCH(P842,'Timeline'!$B$7:$B$1006,0)),""))))</f>
        <v/>
      </c>
      <c r="S842" s="126">
        <f>IF(R842="","",R842-IF(O842="",0,O842)-OrderBuf)</f>
        <v/>
      </c>
      <c r="T842" s="126">
        <f>IF(S842="","",S842-DecideBuf)</f>
        <v/>
      </c>
      <c r="U842" s="74" t="n"/>
      <c r="V842" s="109" t="n"/>
      <c r="W842" s="109" t="n"/>
      <c r="X842" s="74" t="n"/>
      <c r="Y842" s="116">
        <f>IF(B842="","",IF(X842="Yes","Delivered",IF(U842="Yes",IF(AND(W842&lt;&gt;"",R842&lt;&gt;""),IF(W842&gt;R842,"⚠️ Delivery after install date","Ordered"),"Ordered"),IF(K842="",IF(T842="","Waiting for decision",IF(T842&lt;=AsOf+AlertDays,"Decide now","Waiting for decision")),IF(S842="","Selected",IF(AsOf&gt;S842,"⚠️ Order late — install at risk",IF(S842&lt;=AsOf+AlertDays,"Order now","Selected")))))))</f>
        <v/>
      </c>
      <c r="Z842" s="79">
        <f>IF(B842="","",IF(OR(AH842=1,AE842=1),2,IF(OR(AG842=1,AF842=1),1,IF(OR(Y842="Ordered",Y842="Delivered"),0,""))))</f>
        <v/>
      </c>
      <c r="AA842" s="112">
        <f>IF(B842="","",IF(AH842=1,IF(Y842="⚠️ Delivery after install date",R842,S842),IF(AD842=1,T842,IF(AI842=1,S842,""))))</f>
        <v/>
      </c>
      <c r="AB842" s="79">
        <f>IF(AA842="","",IF(AH842=1,1,IF(AA842="","",IF(AA842&lt;AsOf,1,IF(AA842&lt;=AsOf+AlertDays,2,IF(AA842&lt;=AsOf+2*AlertDays,3,""))))))</f>
        <v/>
      </c>
      <c r="AC842" s="79">
        <f>IF(AB842="","",IF(AH842=1,IF(Y842="⚠️ Delivery after install date","Delivery after install date: "&amp;B842,"Order late — install at risk: "&amp;B842),IF(AD842=1,IF(AB842=1,"Decision overdue: ","Decide: ")&amp;B842,"Order: "&amp;B842&amp;IF(N842="",""," from "&amp;N842))))</f>
        <v/>
      </c>
      <c r="AD842" s="79">
        <f>IF(AND(B842&lt;&gt;"",K842="",U842&lt;&gt;"Yes",X842&lt;&gt;"Yes"),1,0)</f>
        <v/>
      </c>
      <c r="AE842" s="79">
        <f>IF(AND(AD842=1,T842&lt;&gt;""),IF(T842&lt;AsOf,1,0),0)</f>
        <v/>
      </c>
      <c r="AF842" s="79">
        <f>IF(AND(AD842=1,T842&lt;&gt;""),IF(AND(T842&gt;=AsOf,T842&lt;=AsOf+AlertDays),1,0),0)</f>
        <v/>
      </c>
      <c r="AG842" s="79">
        <f>IF(Y842="Order now",1,0)</f>
        <v/>
      </c>
      <c r="AH842" s="79">
        <f>IF(OR(Y842="⚠️ Order late — install at risk",Y842="⚠️ Delivery after install date"),1,0)</f>
        <v/>
      </c>
      <c r="AI842" s="79">
        <f>IF(AND(B842&lt;&gt;"",K842&lt;&gt;"",U842&lt;&gt;"Yes",X842&lt;&gt;"Yes"),1,0)</f>
        <v/>
      </c>
      <c r="AJ842" s="79">
        <f>IF(Y842="⚠️ Order late — install at risk",1,0)</f>
        <v/>
      </c>
    </row>
    <row r="843" ht="20" customHeight="1">
      <c r="B843" s="72" t="n"/>
      <c r="C843" s="72" t="n"/>
      <c r="D843" s="72" t="n"/>
      <c r="E843" s="72" t="n"/>
      <c r="F843" s="73" t="n"/>
      <c r="G843" s="72" t="n"/>
      <c r="H843" s="73" t="n"/>
      <c r="I843" s="72" t="n"/>
      <c r="J843" s="73" t="n"/>
      <c r="K843" s="74" t="n"/>
      <c r="L843" s="75">
        <f>IF(K843="A",F843,IF(K843="B",H843,IF(K843="C",J843,"")))</f>
        <v/>
      </c>
      <c r="M843" s="72" t="n"/>
      <c r="N843" s="72" t="n"/>
      <c r="O843" s="89" t="n"/>
      <c r="P843" s="89" t="n"/>
      <c r="Q843" s="109" t="n"/>
      <c r="R843" s="120">
        <f>IF(B843="","",IF(Q843&lt;&gt;"",Q843,IF(P843="","",IFERROR(INDEX('Timeline'!$J$7:$J$1006,MATCH(P843,'Timeline'!$B$7:$B$1006,0)),""))))</f>
        <v/>
      </c>
      <c r="S843" s="126">
        <f>IF(R843="","",R843-IF(O843="",0,O843)-OrderBuf)</f>
        <v/>
      </c>
      <c r="T843" s="126">
        <f>IF(S843="","",S843-DecideBuf)</f>
        <v/>
      </c>
      <c r="U843" s="74" t="n"/>
      <c r="V843" s="109" t="n"/>
      <c r="W843" s="109" t="n"/>
      <c r="X843" s="74" t="n"/>
      <c r="Y843" s="116">
        <f>IF(B843="","",IF(X843="Yes","Delivered",IF(U843="Yes",IF(AND(W843&lt;&gt;"",R843&lt;&gt;""),IF(W843&gt;R843,"⚠️ Delivery after install date","Ordered"),"Ordered"),IF(K843="",IF(T843="","Waiting for decision",IF(T843&lt;=AsOf+AlertDays,"Decide now","Waiting for decision")),IF(S843="","Selected",IF(AsOf&gt;S843,"⚠️ Order late — install at risk",IF(S843&lt;=AsOf+AlertDays,"Order now","Selected")))))))</f>
        <v/>
      </c>
      <c r="Z843" s="79">
        <f>IF(B843="","",IF(OR(AH843=1,AE843=1),2,IF(OR(AG843=1,AF843=1),1,IF(OR(Y843="Ordered",Y843="Delivered"),0,""))))</f>
        <v/>
      </c>
      <c r="AA843" s="112">
        <f>IF(B843="","",IF(AH843=1,IF(Y843="⚠️ Delivery after install date",R843,S843),IF(AD843=1,T843,IF(AI843=1,S843,""))))</f>
        <v/>
      </c>
      <c r="AB843" s="79">
        <f>IF(AA843="","",IF(AH843=1,1,IF(AA843="","",IF(AA843&lt;AsOf,1,IF(AA843&lt;=AsOf+AlertDays,2,IF(AA843&lt;=AsOf+2*AlertDays,3,""))))))</f>
        <v/>
      </c>
      <c r="AC843" s="79">
        <f>IF(AB843="","",IF(AH843=1,IF(Y843="⚠️ Delivery after install date","Delivery after install date: "&amp;B843,"Order late — install at risk: "&amp;B843),IF(AD843=1,IF(AB843=1,"Decision overdue: ","Decide: ")&amp;B843,"Order: "&amp;B843&amp;IF(N843="",""," from "&amp;N843))))</f>
        <v/>
      </c>
      <c r="AD843" s="79">
        <f>IF(AND(B843&lt;&gt;"",K843="",U843&lt;&gt;"Yes",X843&lt;&gt;"Yes"),1,0)</f>
        <v/>
      </c>
      <c r="AE843" s="79">
        <f>IF(AND(AD843=1,T843&lt;&gt;""),IF(T843&lt;AsOf,1,0),0)</f>
        <v/>
      </c>
      <c r="AF843" s="79">
        <f>IF(AND(AD843=1,T843&lt;&gt;""),IF(AND(T843&gt;=AsOf,T843&lt;=AsOf+AlertDays),1,0),0)</f>
        <v/>
      </c>
      <c r="AG843" s="79">
        <f>IF(Y843="Order now",1,0)</f>
        <v/>
      </c>
      <c r="AH843" s="79">
        <f>IF(OR(Y843="⚠️ Order late — install at risk",Y843="⚠️ Delivery after install date"),1,0)</f>
        <v/>
      </c>
      <c r="AI843" s="79">
        <f>IF(AND(B843&lt;&gt;"",K843&lt;&gt;"",U843&lt;&gt;"Yes",X843&lt;&gt;"Yes"),1,0)</f>
        <v/>
      </c>
      <c r="AJ843" s="79">
        <f>IF(Y843="⚠️ Order late — install at risk",1,0)</f>
        <v/>
      </c>
    </row>
    <row r="844" ht="20" customHeight="1">
      <c r="B844" s="72" t="n"/>
      <c r="C844" s="72" t="n"/>
      <c r="D844" s="72" t="n"/>
      <c r="E844" s="72" t="n"/>
      <c r="F844" s="73" t="n"/>
      <c r="G844" s="72" t="n"/>
      <c r="H844" s="73" t="n"/>
      <c r="I844" s="72" t="n"/>
      <c r="J844" s="73" t="n"/>
      <c r="K844" s="74" t="n"/>
      <c r="L844" s="75">
        <f>IF(K844="A",F844,IF(K844="B",H844,IF(K844="C",J844,"")))</f>
        <v/>
      </c>
      <c r="M844" s="72" t="n"/>
      <c r="N844" s="72" t="n"/>
      <c r="O844" s="89" t="n"/>
      <c r="P844" s="89" t="n"/>
      <c r="Q844" s="109" t="n"/>
      <c r="R844" s="120">
        <f>IF(B844="","",IF(Q844&lt;&gt;"",Q844,IF(P844="","",IFERROR(INDEX('Timeline'!$J$7:$J$1006,MATCH(P844,'Timeline'!$B$7:$B$1006,0)),""))))</f>
        <v/>
      </c>
      <c r="S844" s="126">
        <f>IF(R844="","",R844-IF(O844="",0,O844)-OrderBuf)</f>
        <v/>
      </c>
      <c r="T844" s="126">
        <f>IF(S844="","",S844-DecideBuf)</f>
        <v/>
      </c>
      <c r="U844" s="74" t="n"/>
      <c r="V844" s="109" t="n"/>
      <c r="W844" s="109" t="n"/>
      <c r="X844" s="74" t="n"/>
      <c r="Y844" s="116">
        <f>IF(B844="","",IF(X844="Yes","Delivered",IF(U844="Yes",IF(AND(W844&lt;&gt;"",R844&lt;&gt;""),IF(W844&gt;R844,"⚠️ Delivery after install date","Ordered"),"Ordered"),IF(K844="",IF(T844="","Waiting for decision",IF(T844&lt;=AsOf+AlertDays,"Decide now","Waiting for decision")),IF(S844="","Selected",IF(AsOf&gt;S844,"⚠️ Order late — install at risk",IF(S844&lt;=AsOf+AlertDays,"Order now","Selected")))))))</f>
        <v/>
      </c>
      <c r="Z844" s="79">
        <f>IF(B844="","",IF(OR(AH844=1,AE844=1),2,IF(OR(AG844=1,AF844=1),1,IF(OR(Y844="Ordered",Y844="Delivered"),0,""))))</f>
        <v/>
      </c>
      <c r="AA844" s="112">
        <f>IF(B844="","",IF(AH844=1,IF(Y844="⚠️ Delivery after install date",R844,S844),IF(AD844=1,T844,IF(AI844=1,S844,""))))</f>
        <v/>
      </c>
      <c r="AB844" s="79">
        <f>IF(AA844="","",IF(AH844=1,1,IF(AA844="","",IF(AA844&lt;AsOf,1,IF(AA844&lt;=AsOf+AlertDays,2,IF(AA844&lt;=AsOf+2*AlertDays,3,""))))))</f>
        <v/>
      </c>
      <c r="AC844" s="79">
        <f>IF(AB844="","",IF(AH844=1,IF(Y844="⚠️ Delivery after install date","Delivery after install date: "&amp;B844,"Order late — install at risk: "&amp;B844),IF(AD844=1,IF(AB844=1,"Decision overdue: ","Decide: ")&amp;B844,"Order: "&amp;B844&amp;IF(N844="",""," from "&amp;N844))))</f>
        <v/>
      </c>
      <c r="AD844" s="79">
        <f>IF(AND(B844&lt;&gt;"",K844="",U844&lt;&gt;"Yes",X844&lt;&gt;"Yes"),1,0)</f>
        <v/>
      </c>
      <c r="AE844" s="79">
        <f>IF(AND(AD844=1,T844&lt;&gt;""),IF(T844&lt;AsOf,1,0),0)</f>
        <v/>
      </c>
      <c r="AF844" s="79">
        <f>IF(AND(AD844=1,T844&lt;&gt;""),IF(AND(T844&gt;=AsOf,T844&lt;=AsOf+AlertDays),1,0),0)</f>
        <v/>
      </c>
      <c r="AG844" s="79">
        <f>IF(Y844="Order now",1,0)</f>
        <v/>
      </c>
      <c r="AH844" s="79">
        <f>IF(OR(Y844="⚠️ Order late — install at risk",Y844="⚠️ Delivery after install date"),1,0)</f>
        <v/>
      </c>
      <c r="AI844" s="79">
        <f>IF(AND(B844&lt;&gt;"",K844&lt;&gt;"",U844&lt;&gt;"Yes",X844&lt;&gt;"Yes"),1,0)</f>
        <v/>
      </c>
      <c r="AJ844" s="79">
        <f>IF(Y844="⚠️ Order late — install at risk",1,0)</f>
        <v/>
      </c>
    </row>
    <row r="845" ht="20" customHeight="1">
      <c r="B845" s="72" t="n"/>
      <c r="C845" s="72" t="n"/>
      <c r="D845" s="72" t="n"/>
      <c r="E845" s="72" t="n"/>
      <c r="F845" s="73" t="n"/>
      <c r="G845" s="72" t="n"/>
      <c r="H845" s="73" t="n"/>
      <c r="I845" s="72" t="n"/>
      <c r="J845" s="73" t="n"/>
      <c r="K845" s="74" t="n"/>
      <c r="L845" s="75">
        <f>IF(K845="A",F845,IF(K845="B",H845,IF(K845="C",J845,"")))</f>
        <v/>
      </c>
      <c r="M845" s="72" t="n"/>
      <c r="N845" s="72" t="n"/>
      <c r="O845" s="89" t="n"/>
      <c r="P845" s="89" t="n"/>
      <c r="Q845" s="109" t="n"/>
      <c r="R845" s="120">
        <f>IF(B845="","",IF(Q845&lt;&gt;"",Q845,IF(P845="","",IFERROR(INDEX('Timeline'!$J$7:$J$1006,MATCH(P845,'Timeline'!$B$7:$B$1006,0)),""))))</f>
        <v/>
      </c>
      <c r="S845" s="126">
        <f>IF(R845="","",R845-IF(O845="",0,O845)-OrderBuf)</f>
        <v/>
      </c>
      <c r="T845" s="126">
        <f>IF(S845="","",S845-DecideBuf)</f>
        <v/>
      </c>
      <c r="U845" s="74" t="n"/>
      <c r="V845" s="109" t="n"/>
      <c r="W845" s="109" t="n"/>
      <c r="X845" s="74" t="n"/>
      <c r="Y845" s="116">
        <f>IF(B845="","",IF(X845="Yes","Delivered",IF(U845="Yes",IF(AND(W845&lt;&gt;"",R845&lt;&gt;""),IF(W845&gt;R845,"⚠️ Delivery after install date","Ordered"),"Ordered"),IF(K845="",IF(T845="","Waiting for decision",IF(T845&lt;=AsOf+AlertDays,"Decide now","Waiting for decision")),IF(S845="","Selected",IF(AsOf&gt;S845,"⚠️ Order late — install at risk",IF(S845&lt;=AsOf+AlertDays,"Order now","Selected")))))))</f>
        <v/>
      </c>
      <c r="Z845" s="79">
        <f>IF(B845="","",IF(OR(AH845=1,AE845=1),2,IF(OR(AG845=1,AF845=1),1,IF(OR(Y845="Ordered",Y845="Delivered"),0,""))))</f>
        <v/>
      </c>
      <c r="AA845" s="112">
        <f>IF(B845="","",IF(AH845=1,IF(Y845="⚠️ Delivery after install date",R845,S845),IF(AD845=1,T845,IF(AI845=1,S845,""))))</f>
        <v/>
      </c>
      <c r="AB845" s="79">
        <f>IF(AA845="","",IF(AH845=1,1,IF(AA845="","",IF(AA845&lt;AsOf,1,IF(AA845&lt;=AsOf+AlertDays,2,IF(AA845&lt;=AsOf+2*AlertDays,3,""))))))</f>
        <v/>
      </c>
      <c r="AC845" s="79">
        <f>IF(AB845="","",IF(AH845=1,IF(Y845="⚠️ Delivery after install date","Delivery after install date: "&amp;B845,"Order late — install at risk: "&amp;B845),IF(AD845=1,IF(AB845=1,"Decision overdue: ","Decide: ")&amp;B845,"Order: "&amp;B845&amp;IF(N845="",""," from "&amp;N845))))</f>
        <v/>
      </c>
      <c r="AD845" s="79">
        <f>IF(AND(B845&lt;&gt;"",K845="",U845&lt;&gt;"Yes",X845&lt;&gt;"Yes"),1,0)</f>
        <v/>
      </c>
      <c r="AE845" s="79">
        <f>IF(AND(AD845=1,T845&lt;&gt;""),IF(T845&lt;AsOf,1,0),0)</f>
        <v/>
      </c>
      <c r="AF845" s="79">
        <f>IF(AND(AD845=1,T845&lt;&gt;""),IF(AND(T845&gt;=AsOf,T845&lt;=AsOf+AlertDays),1,0),0)</f>
        <v/>
      </c>
      <c r="AG845" s="79">
        <f>IF(Y845="Order now",1,0)</f>
        <v/>
      </c>
      <c r="AH845" s="79">
        <f>IF(OR(Y845="⚠️ Order late — install at risk",Y845="⚠️ Delivery after install date"),1,0)</f>
        <v/>
      </c>
      <c r="AI845" s="79">
        <f>IF(AND(B845&lt;&gt;"",K845&lt;&gt;"",U845&lt;&gt;"Yes",X845&lt;&gt;"Yes"),1,0)</f>
        <v/>
      </c>
      <c r="AJ845" s="79">
        <f>IF(Y845="⚠️ Order late — install at risk",1,0)</f>
        <v/>
      </c>
    </row>
    <row r="846" ht="20" customHeight="1">
      <c r="B846" s="72" t="n"/>
      <c r="C846" s="72" t="n"/>
      <c r="D846" s="72" t="n"/>
      <c r="E846" s="72" t="n"/>
      <c r="F846" s="73" t="n"/>
      <c r="G846" s="72" t="n"/>
      <c r="H846" s="73" t="n"/>
      <c r="I846" s="72" t="n"/>
      <c r="J846" s="73" t="n"/>
      <c r="K846" s="74" t="n"/>
      <c r="L846" s="75">
        <f>IF(K846="A",F846,IF(K846="B",H846,IF(K846="C",J846,"")))</f>
        <v/>
      </c>
      <c r="M846" s="72" t="n"/>
      <c r="N846" s="72" t="n"/>
      <c r="O846" s="89" t="n"/>
      <c r="P846" s="89" t="n"/>
      <c r="Q846" s="109" t="n"/>
      <c r="R846" s="120">
        <f>IF(B846="","",IF(Q846&lt;&gt;"",Q846,IF(P846="","",IFERROR(INDEX('Timeline'!$J$7:$J$1006,MATCH(P846,'Timeline'!$B$7:$B$1006,0)),""))))</f>
        <v/>
      </c>
      <c r="S846" s="126">
        <f>IF(R846="","",R846-IF(O846="",0,O846)-OrderBuf)</f>
        <v/>
      </c>
      <c r="T846" s="126">
        <f>IF(S846="","",S846-DecideBuf)</f>
        <v/>
      </c>
      <c r="U846" s="74" t="n"/>
      <c r="V846" s="109" t="n"/>
      <c r="W846" s="109" t="n"/>
      <c r="X846" s="74" t="n"/>
      <c r="Y846" s="116">
        <f>IF(B846="","",IF(X846="Yes","Delivered",IF(U846="Yes",IF(AND(W846&lt;&gt;"",R846&lt;&gt;""),IF(W846&gt;R846,"⚠️ Delivery after install date","Ordered"),"Ordered"),IF(K846="",IF(T846="","Waiting for decision",IF(T846&lt;=AsOf+AlertDays,"Decide now","Waiting for decision")),IF(S846="","Selected",IF(AsOf&gt;S846,"⚠️ Order late — install at risk",IF(S846&lt;=AsOf+AlertDays,"Order now","Selected")))))))</f>
        <v/>
      </c>
      <c r="Z846" s="79">
        <f>IF(B846="","",IF(OR(AH846=1,AE846=1),2,IF(OR(AG846=1,AF846=1),1,IF(OR(Y846="Ordered",Y846="Delivered"),0,""))))</f>
        <v/>
      </c>
      <c r="AA846" s="112">
        <f>IF(B846="","",IF(AH846=1,IF(Y846="⚠️ Delivery after install date",R846,S846),IF(AD846=1,T846,IF(AI846=1,S846,""))))</f>
        <v/>
      </c>
      <c r="AB846" s="79">
        <f>IF(AA846="","",IF(AH846=1,1,IF(AA846="","",IF(AA846&lt;AsOf,1,IF(AA846&lt;=AsOf+AlertDays,2,IF(AA846&lt;=AsOf+2*AlertDays,3,""))))))</f>
        <v/>
      </c>
      <c r="AC846" s="79">
        <f>IF(AB846="","",IF(AH846=1,IF(Y846="⚠️ Delivery after install date","Delivery after install date: "&amp;B846,"Order late — install at risk: "&amp;B846),IF(AD846=1,IF(AB846=1,"Decision overdue: ","Decide: ")&amp;B846,"Order: "&amp;B846&amp;IF(N846="",""," from "&amp;N846))))</f>
        <v/>
      </c>
      <c r="AD846" s="79">
        <f>IF(AND(B846&lt;&gt;"",K846="",U846&lt;&gt;"Yes",X846&lt;&gt;"Yes"),1,0)</f>
        <v/>
      </c>
      <c r="AE846" s="79">
        <f>IF(AND(AD846=1,T846&lt;&gt;""),IF(T846&lt;AsOf,1,0),0)</f>
        <v/>
      </c>
      <c r="AF846" s="79">
        <f>IF(AND(AD846=1,T846&lt;&gt;""),IF(AND(T846&gt;=AsOf,T846&lt;=AsOf+AlertDays),1,0),0)</f>
        <v/>
      </c>
      <c r="AG846" s="79">
        <f>IF(Y846="Order now",1,0)</f>
        <v/>
      </c>
      <c r="AH846" s="79">
        <f>IF(OR(Y846="⚠️ Order late — install at risk",Y846="⚠️ Delivery after install date"),1,0)</f>
        <v/>
      </c>
      <c r="AI846" s="79">
        <f>IF(AND(B846&lt;&gt;"",K846&lt;&gt;"",U846&lt;&gt;"Yes",X846&lt;&gt;"Yes"),1,0)</f>
        <v/>
      </c>
      <c r="AJ846" s="79">
        <f>IF(Y846="⚠️ Order late — install at risk",1,0)</f>
        <v/>
      </c>
    </row>
    <row r="847" ht="20" customHeight="1">
      <c r="B847" s="72" t="n"/>
      <c r="C847" s="72" t="n"/>
      <c r="D847" s="72" t="n"/>
      <c r="E847" s="72" t="n"/>
      <c r="F847" s="73" t="n"/>
      <c r="G847" s="72" t="n"/>
      <c r="H847" s="73" t="n"/>
      <c r="I847" s="72" t="n"/>
      <c r="J847" s="73" t="n"/>
      <c r="K847" s="74" t="n"/>
      <c r="L847" s="75">
        <f>IF(K847="A",F847,IF(K847="B",H847,IF(K847="C",J847,"")))</f>
        <v/>
      </c>
      <c r="M847" s="72" t="n"/>
      <c r="N847" s="72" t="n"/>
      <c r="O847" s="89" t="n"/>
      <c r="P847" s="89" t="n"/>
      <c r="Q847" s="109" t="n"/>
      <c r="R847" s="120">
        <f>IF(B847="","",IF(Q847&lt;&gt;"",Q847,IF(P847="","",IFERROR(INDEX('Timeline'!$J$7:$J$1006,MATCH(P847,'Timeline'!$B$7:$B$1006,0)),""))))</f>
        <v/>
      </c>
      <c r="S847" s="126">
        <f>IF(R847="","",R847-IF(O847="",0,O847)-OrderBuf)</f>
        <v/>
      </c>
      <c r="T847" s="126">
        <f>IF(S847="","",S847-DecideBuf)</f>
        <v/>
      </c>
      <c r="U847" s="74" t="n"/>
      <c r="V847" s="109" t="n"/>
      <c r="W847" s="109" t="n"/>
      <c r="X847" s="74" t="n"/>
      <c r="Y847" s="116">
        <f>IF(B847="","",IF(X847="Yes","Delivered",IF(U847="Yes",IF(AND(W847&lt;&gt;"",R847&lt;&gt;""),IF(W847&gt;R847,"⚠️ Delivery after install date","Ordered"),"Ordered"),IF(K847="",IF(T847="","Waiting for decision",IF(T847&lt;=AsOf+AlertDays,"Decide now","Waiting for decision")),IF(S847="","Selected",IF(AsOf&gt;S847,"⚠️ Order late — install at risk",IF(S847&lt;=AsOf+AlertDays,"Order now","Selected")))))))</f>
        <v/>
      </c>
      <c r="Z847" s="79">
        <f>IF(B847="","",IF(OR(AH847=1,AE847=1),2,IF(OR(AG847=1,AF847=1),1,IF(OR(Y847="Ordered",Y847="Delivered"),0,""))))</f>
        <v/>
      </c>
      <c r="AA847" s="112">
        <f>IF(B847="","",IF(AH847=1,IF(Y847="⚠️ Delivery after install date",R847,S847),IF(AD847=1,T847,IF(AI847=1,S847,""))))</f>
        <v/>
      </c>
      <c r="AB847" s="79">
        <f>IF(AA847="","",IF(AH847=1,1,IF(AA847="","",IF(AA847&lt;AsOf,1,IF(AA847&lt;=AsOf+AlertDays,2,IF(AA847&lt;=AsOf+2*AlertDays,3,""))))))</f>
        <v/>
      </c>
      <c r="AC847" s="79">
        <f>IF(AB847="","",IF(AH847=1,IF(Y847="⚠️ Delivery after install date","Delivery after install date: "&amp;B847,"Order late — install at risk: "&amp;B847),IF(AD847=1,IF(AB847=1,"Decision overdue: ","Decide: ")&amp;B847,"Order: "&amp;B847&amp;IF(N847="",""," from "&amp;N847))))</f>
        <v/>
      </c>
      <c r="AD847" s="79">
        <f>IF(AND(B847&lt;&gt;"",K847="",U847&lt;&gt;"Yes",X847&lt;&gt;"Yes"),1,0)</f>
        <v/>
      </c>
      <c r="AE847" s="79">
        <f>IF(AND(AD847=1,T847&lt;&gt;""),IF(T847&lt;AsOf,1,0),0)</f>
        <v/>
      </c>
      <c r="AF847" s="79">
        <f>IF(AND(AD847=1,T847&lt;&gt;""),IF(AND(T847&gt;=AsOf,T847&lt;=AsOf+AlertDays),1,0),0)</f>
        <v/>
      </c>
      <c r="AG847" s="79">
        <f>IF(Y847="Order now",1,0)</f>
        <v/>
      </c>
      <c r="AH847" s="79">
        <f>IF(OR(Y847="⚠️ Order late — install at risk",Y847="⚠️ Delivery after install date"),1,0)</f>
        <v/>
      </c>
      <c r="AI847" s="79">
        <f>IF(AND(B847&lt;&gt;"",K847&lt;&gt;"",U847&lt;&gt;"Yes",X847&lt;&gt;"Yes"),1,0)</f>
        <v/>
      </c>
      <c r="AJ847" s="79">
        <f>IF(Y847="⚠️ Order late — install at risk",1,0)</f>
        <v/>
      </c>
    </row>
    <row r="848" ht="20" customHeight="1">
      <c r="B848" s="72" t="n"/>
      <c r="C848" s="72" t="n"/>
      <c r="D848" s="72" t="n"/>
      <c r="E848" s="72" t="n"/>
      <c r="F848" s="73" t="n"/>
      <c r="G848" s="72" t="n"/>
      <c r="H848" s="73" t="n"/>
      <c r="I848" s="72" t="n"/>
      <c r="J848" s="73" t="n"/>
      <c r="K848" s="74" t="n"/>
      <c r="L848" s="75">
        <f>IF(K848="A",F848,IF(K848="B",H848,IF(K848="C",J848,"")))</f>
        <v/>
      </c>
      <c r="M848" s="72" t="n"/>
      <c r="N848" s="72" t="n"/>
      <c r="O848" s="89" t="n"/>
      <c r="P848" s="89" t="n"/>
      <c r="Q848" s="109" t="n"/>
      <c r="R848" s="120">
        <f>IF(B848="","",IF(Q848&lt;&gt;"",Q848,IF(P848="","",IFERROR(INDEX('Timeline'!$J$7:$J$1006,MATCH(P848,'Timeline'!$B$7:$B$1006,0)),""))))</f>
        <v/>
      </c>
      <c r="S848" s="126">
        <f>IF(R848="","",R848-IF(O848="",0,O848)-OrderBuf)</f>
        <v/>
      </c>
      <c r="T848" s="126">
        <f>IF(S848="","",S848-DecideBuf)</f>
        <v/>
      </c>
      <c r="U848" s="74" t="n"/>
      <c r="V848" s="109" t="n"/>
      <c r="W848" s="109" t="n"/>
      <c r="X848" s="74" t="n"/>
      <c r="Y848" s="116">
        <f>IF(B848="","",IF(X848="Yes","Delivered",IF(U848="Yes",IF(AND(W848&lt;&gt;"",R848&lt;&gt;""),IF(W848&gt;R848,"⚠️ Delivery after install date","Ordered"),"Ordered"),IF(K848="",IF(T848="","Waiting for decision",IF(T848&lt;=AsOf+AlertDays,"Decide now","Waiting for decision")),IF(S848="","Selected",IF(AsOf&gt;S848,"⚠️ Order late — install at risk",IF(S848&lt;=AsOf+AlertDays,"Order now","Selected")))))))</f>
        <v/>
      </c>
      <c r="Z848" s="79">
        <f>IF(B848="","",IF(OR(AH848=1,AE848=1),2,IF(OR(AG848=1,AF848=1),1,IF(OR(Y848="Ordered",Y848="Delivered"),0,""))))</f>
        <v/>
      </c>
      <c r="AA848" s="112">
        <f>IF(B848="","",IF(AH848=1,IF(Y848="⚠️ Delivery after install date",R848,S848),IF(AD848=1,T848,IF(AI848=1,S848,""))))</f>
        <v/>
      </c>
      <c r="AB848" s="79">
        <f>IF(AA848="","",IF(AH848=1,1,IF(AA848="","",IF(AA848&lt;AsOf,1,IF(AA848&lt;=AsOf+AlertDays,2,IF(AA848&lt;=AsOf+2*AlertDays,3,""))))))</f>
        <v/>
      </c>
      <c r="AC848" s="79">
        <f>IF(AB848="","",IF(AH848=1,IF(Y848="⚠️ Delivery after install date","Delivery after install date: "&amp;B848,"Order late — install at risk: "&amp;B848),IF(AD848=1,IF(AB848=1,"Decision overdue: ","Decide: ")&amp;B848,"Order: "&amp;B848&amp;IF(N848="",""," from "&amp;N848))))</f>
        <v/>
      </c>
      <c r="AD848" s="79">
        <f>IF(AND(B848&lt;&gt;"",K848="",U848&lt;&gt;"Yes",X848&lt;&gt;"Yes"),1,0)</f>
        <v/>
      </c>
      <c r="AE848" s="79">
        <f>IF(AND(AD848=1,T848&lt;&gt;""),IF(T848&lt;AsOf,1,0),0)</f>
        <v/>
      </c>
      <c r="AF848" s="79">
        <f>IF(AND(AD848=1,T848&lt;&gt;""),IF(AND(T848&gt;=AsOf,T848&lt;=AsOf+AlertDays),1,0),0)</f>
        <v/>
      </c>
      <c r="AG848" s="79">
        <f>IF(Y848="Order now",1,0)</f>
        <v/>
      </c>
      <c r="AH848" s="79">
        <f>IF(OR(Y848="⚠️ Order late — install at risk",Y848="⚠️ Delivery after install date"),1,0)</f>
        <v/>
      </c>
      <c r="AI848" s="79">
        <f>IF(AND(B848&lt;&gt;"",K848&lt;&gt;"",U848&lt;&gt;"Yes",X848&lt;&gt;"Yes"),1,0)</f>
        <v/>
      </c>
      <c r="AJ848" s="79">
        <f>IF(Y848="⚠️ Order late — install at risk",1,0)</f>
        <v/>
      </c>
    </row>
    <row r="849" ht="20" customHeight="1">
      <c r="B849" s="72" t="n"/>
      <c r="C849" s="72" t="n"/>
      <c r="D849" s="72" t="n"/>
      <c r="E849" s="72" t="n"/>
      <c r="F849" s="73" t="n"/>
      <c r="G849" s="72" t="n"/>
      <c r="H849" s="73" t="n"/>
      <c r="I849" s="72" t="n"/>
      <c r="J849" s="73" t="n"/>
      <c r="K849" s="74" t="n"/>
      <c r="L849" s="75">
        <f>IF(K849="A",F849,IF(K849="B",H849,IF(K849="C",J849,"")))</f>
        <v/>
      </c>
      <c r="M849" s="72" t="n"/>
      <c r="N849" s="72" t="n"/>
      <c r="O849" s="89" t="n"/>
      <c r="P849" s="89" t="n"/>
      <c r="Q849" s="109" t="n"/>
      <c r="R849" s="120">
        <f>IF(B849="","",IF(Q849&lt;&gt;"",Q849,IF(P849="","",IFERROR(INDEX('Timeline'!$J$7:$J$1006,MATCH(P849,'Timeline'!$B$7:$B$1006,0)),""))))</f>
        <v/>
      </c>
      <c r="S849" s="126">
        <f>IF(R849="","",R849-IF(O849="",0,O849)-OrderBuf)</f>
        <v/>
      </c>
      <c r="T849" s="126">
        <f>IF(S849="","",S849-DecideBuf)</f>
        <v/>
      </c>
      <c r="U849" s="74" t="n"/>
      <c r="V849" s="109" t="n"/>
      <c r="W849" s="109" t="n"/>
      <c r="X849" s="74" t="n"/>
      <c r="Y849" s="116">
        <f>IF(B849="","",IF(X849="Yes","Delivered",IF(U849="Yes",IF(AND(W849&lt;&gt;"",R849&lt;&gt;""),IF(W849&gt;R849,"⚠️ Delivery after install date","Ordered"),"Ordered"),IF(K849="",IF(T849="","Waiting for decision",IF(T849&lt;=AsOf+AlertDays,"Decide now","Waiting for decision")),IF(S849="","Selected",IF(AsOf&gt;S849,"⚠️ Order late — install at risk",IF(S849&lt;=AsOf+AlertDays,"Order now","Selected")))))))</f>
        <v/>
      </c>
      <c r="Z849" s="79">
        <f>IF(B849="","",IF(OR(AH849=1,AE849=1),2,IF(OR(AG849=1,AF849=1),1,IF(OR(Y849="Ordered",Y849="Delivered"),0,""))))</f>
        <v/>
      </c>
      <c r="AA849" s="112">
        <f>IF(B849="","",IF(AH849=1,IF(Y849="⚠️ Delivery after install date",R849,S849),IF(AD849=1,T849,IF(AI849=1,S849,""))))</f>
        <v/>
      </c>
      <c r="AB849" s="79">
        <f>IF(AA849="","",IF(AH849=1,1,IF(AA849="","",IF(AA849&lt;AsOf,1,IF(AA849&lt;=AsOf+AlertDays,2,IF(AA849&lt;=AsOf+2*AlertDays,3,""))))))</f>
        <v/>
      </c>
      <c r="AC849" s="79">
        <f>IF(AB849="","",IF(AH849=1,IF(Y849="⚠️ Delivery after install date","Delivery after install date: "&amp;B849,"Order late — install at risk: "&amp;B849),IF(AD849=1,IF(AB849=1,"Decision overdue: ","Decide: ")&amp;B849,"Order: "&amp;B849&amp;IF(N849="",""," from "&amp;N849))))</f>
        <v/>
      </c>
      <c r="AD849" s="79">
        <f>IF(AND(B849&lt;&gt;"",K849="",U849&lt;&gt;"Yes",X849&lt;&gt;"Yes"),1,0)</f>
        <v/>
      </c>
      <c r="AE849" s="79">
        <f>IF(AND(AD849=1,T849&lt;&gt;""),IF(T849&lt;AsOf,1,0),0)</f>
        <v/>
      </c>
      <c r="AF849" s="79">
        <f>IF(AND(AD849=1,T849&lt;&gt;""),IF(AND(T849&gt;=AsOf,T849&lt;=AsOf+AlertDays),1,0),0)</f>
        <v/>
      </c>
      <c r="AG849" s="79">
        <f>IF(Y849="Order now",1,0)</f>
        <v/>
      </c>
      <c r="AH849" s="79">
        <f>IF(OR(Y849="⚠️ Order late — install at risk",Y849="⚠️ Delivery after install date"),1,0)</f>
        <v/>
      </c>
      <c r="AI849" s="79">
        <f>IF(AND(B849&lt;&gt;"",K849&lt;&gt;"",U849&lt;&gt;"Yes",X849&lt;&gt;"Yes"),1,0)</f>
        <v/>
      </c>
      <c r="AJ849" s="79">
        <f>IF(Y849="⚠️ Order late — install at risk",1,0)</f>
        <v/>
      </c>
    </row>
    <row r="850" ht="20" customHeight="1">
      <c r="B850" s="72" t="n"/>
      <c r="C850" s="72" t="n"/>
      <c r="D850" s="72" t="n"/>
      <c r="E850" s="72" t="n"/>
      <c r="F850" s="73" t="n"/>
      <c r="G850" s="72" t="n"/>
      <c r="H850" s="73" t="n"/>
      <c r="I850" s="72" t="n"/>
      <c r="J850" s="73" t="n"/>
      <c r="K850" s="74" t="n"/>
      <c r="L850" s="75">
        <f>IF(K850="A",F850,IF(K850="B",H850,IF(K850="C",J850,"")))</f>
        <v/>
      </c>
      <c r="M850" s="72" t="n"/>
      <c r="N850" s="72" t="n"/>
      <c r="O850" s="89" t="n"/>
      <c r="P850" s="89" t="n"/>
      <c r="Q850" s="109" t="n"/>
      <c r="R850" s="120">
        <f>IF(B850="","",IF(Q850&lt;&gt;"",Q850,IF(P850="","",IFERROR(INDEX('Timeline'!$J$7:$J$1006,MATCH(P850,'Timeline'!$B$7:$B$1006,0)),""))))</f>
        <v/>
      </c>
      <c r="S850" s="126">
        <f>IF(R850="","",R850-IF(O850="",0,O850)-OrderBuf)</f>
        <v/>
      </c>
      <c r="T850" s="126">
        <f>IF(S850="","",S850-DecideBuf)</f>
        <v/>
      </c>
      <c r="U850" s="74" t="n"/>
      <c r="V850" s="109" t="n"/>
      <c r="W850" s="109" t="n"/>
      <c r="X850" s="74" t="n"/>
      <c r="Y850" s="116">
        <f>IF(B850="","",IF(X850="Yes","Delivered",IF(U850="Yes",IF(AND(W850&lt;&gt;"",R850&lt;&gt;""),IF(W850&gt;R850,"⚠️ Delivery after install date","Ordered"),"Ordered"),IF(K850="",IF(T850="","Waiting for decision",IF(T850&lt;=AsOf+AlertDays,"Decide now","Waiting for decision")),IF(S850="","Selected",IF(AsOf&gt;S850,"⚠️ Order late — install at risk",IF(S850&lt;=AsOf+AlertDays,"Order now","Selected")))))))</f>
        <v/>
      </c>
      <c r="Z850" s="79">
        <f>IF(B850="","",IF(OR(AH850=1,AE850=1),2,IF(OR(AG850=1,AF850=1),1,IF(OR(Y850="Ordered",Y850="Delivered"),0,""))))</f>
        <v/>
      </c>
      <c r="AA850" s="112">
        <f>IF(B850="","",IF(AH850=1,IF(Y850="⚠️ Delivery after install date",R850,S850),IF(AD850=1,T850,IF(AI850=1,S850,""))))</f>
        <v/>
      </c>
      <c r="AB850" s="79">
        <f>IF(AA850="","",IF(AH850=1,1,IF(AA850="","",IF(AA850&lt;AsOf,1,IF(AA850&lt;=AsOf+AlertDays,2,IF(AA850&lt;=AsOf+2*AlertDays,3,""))))))</f>
        <v/>
      </c>
      <c r="AC850" s="79">
        <f>IF(AB850="","",IF(AH850=1,IF(Y850="⚠️ Delivery after install date","Delivery after install date: "&amp;B850,"Order late — install at risk: "&amp;B850),IF(AD850=1,IF(AB850=1,"Decision overdue: ","Decide: ")&amp;B850,"Order: "&amp;B850&amp;IF(N850="",""," from "&amp;N850))))</f>
        <v/>
      </c>
      <c r="AD850" s="79">
        <f>IF(AND(B850&lt;&gt;"",K850="",U850&lt;&gt;"Yes",X850&lt;&gt;"Yes"),1,0)</f>
        <v/>
      </c>
      <c r="AE850" s="79">
        <f>IF(AND(AD850=1,T850&lt;&gt;""),IF(T850&lt;AsOf,1,0),0)</f>
        <v/>
      </c>
      <c r="AF850" s="79">
        <f>IF(AND(AD850=1,T850&lt;&gt;""),IF(AND(T850&gt;=AsOf,T850&lt;=AsOf+AlertDays),1,0),0)</f>
        <v/>
      </c>
      <c r="AG850" s="79">
        <f>IF(Y850="Order now",1,0)</f>
        <v/>
      </c>
      <c r="AH850" s="79">
        <f>IF(OR(Y850="⚠️ Order late — install at risk",Y850="⚠️ Delivery after install date"),1,0)</f>
        <v/>
      </c>
      <c r="AI850" s="79">
        <f>IF(AND(B850&lt;&gt;"",K850&lt;&gt;"",U850&lt;&gt;"Yes",X850&lt;&gt;"Yes"),1,0)</f>
        <v/>
      </c>
      <c r="AJ850" s="79">
        <f>IF(Y850="⚠️ Order late — install at risk",1,0)</f>
        <v/>
      </c>
    </row>
    <row r="851" ht="20" customHeight="1">
      <c r="B851" s="72" t="n"/>
      <c r="C851" s="72" t="n"/>
      <c r="D851" s="72" t="n"/>
      <c r="E851" s="72" t="n"/>
      <c r="F851" s="73" t="n"/>
      <c r="G851" s="72" t="n"/>
      <c r="H851" s="73" t="n"/>
      <c r="I851" s="72" t="n"/>
      <c r="J851" s="73" t="n"/>
      <c r="K851" s="74" t="n"/>
      <c r="L851" s="75">
        <f>IF(K851="A",F851,IF(K851="B",H851,IF(K851="C",J851,"")))</f>
        <v/>
      </c>
      <c r="M851" s="72" t="n"/>
      <c r="N851" s="72" t="n"/>
      <c r="O851" s="89" t="n"/>
      <c r="P851" s="89" t="n"/>
      <c r="Q851" s="109" t="n"/>
      <c r="R851" s="120">
        <f>IF(B851="","",IF(Q851&lt;&gt;"",Q851,IF(P851="","",IFERROR(INDEX('Timeline'!$J$7:$J$1006,MATCH(P851,'Timeline'!$B$7:$B$1006,0)),""))))</f>
        <v/>
      </c>
      <c r="S851" s="126">
        <f>IF(R851="","",R851-IF(O851="",0,O851)-OrderBuf)</f>
        <v/>
      </c>
      <c r="T851" s="126">
        <f>IF(S851="","",S851-DecideBuf)</f>
        <v/>
      </c>
      <c r="U851" s="74" t="n"/>
      <c r="V851" s="109" t="n"/>
      <c r="W851" s="109" t="n"/>
      <c r="X851" s="74" t="n"/>
      <c r="Y851" s="116">
        <f>IF(B851="","",IF(X851="Yes","Delivered",IF(U851="Yes",IF(AND(W851&lt;&gt;"",R851&lt;&gt;""),IF(W851&gt;R851,"⚠️ Delivery after install date","Ordered"),"Ordered"),IF(K851="",IF(T851="","Waiting for decision",IF(T851&lt;=AsOf+AlertDays,"Decide now","Waiting for decision")),IF(S851="","Selected",IF(AsOf&gt;S851,"⚠️ Order late — install at risk",IF(S851&lt;=AsOf+AlertDays,"Order now","Selected")))))))</f>
        <v/>
      </c>
      <c r="Z851" s="79">
        <f>IF(B851="","",IF(OR(AH851=1,AE851=1),2,IF(OR(AG851=1,AF851=1),1,IF(OR(Y851="Ordered",Y851="Delivered"),0,""))))</f>
        <v/>
      </c>
      <c r="AA851" s="112">
        <f>IF(B851="","",IF(AH851=1,IF(Y851="⚠️ Delivery after install date",R851,S851),IF(AD851=1,T851,IF(AI851=1,S851,""))))</f>
        <v/>
      </c>
      <c r="AB851" s="79">
        <f>IF(AA851="","",IF(AH851=1,1,IF(AA851="","",IF(AA851&lt;AsOf,1,IF(AA851&lt;=AsOf+AlertDays,2,IF(AA851&lt;=AsOf+2*AlertDays,3,""))))))</f>
        <v/>
      </c>
      <c r="AC851" s="79">
        <f>IF(AB851="","",IF(AH851=1,IF(Y851="⚠️ Delivery after install date","Delivery after install date: "&amp;B851,"Order late — install at risk: "&amp;B851),IF(AD851=1,IF(AB851=1,"Decision overdue: ","Decide: ")&amp;B851,"Order: "&amp;B851&amp;IF(N851="",""," from "&amp;N851))))</f>
        <v/>
      </c>
      <c r="AD851" s="79">
        <f>IF(AND(B851&lt;&gt;"",K851="",U851&lt;&gt;"Yes",X851&lt;&gt;"Yes"),1,0)</f>
        <v/>
      </c>
      <c r="AE851" s="79">
        <f>IF(AND(AD851=1,T851&lt;&gt;""),IF(T851&lt;AsOf,1,0),0)</f>
        <v/>
      </c>
      <c r="AF851" s="79">
        <f>IF(AND(AD851=1,T851&lt;&gt;""),IF(AND(T851&gt;=AsOf,T851&lt;=AsOf+AlertDays),1,0),0)</f>
        <v/>
      </c>
      <c r="AG851" s="79">
        <f>IF(Y851="Order now",1,0)</f>
        <v/>
      </c>
      <c r="AH851" s="79">
        <f>IF(OR(Y851="⚠️ Order late — install at risk",Y851="⚠️ Delivery after install date"),1,0)</f>
        <v/>
      </c>
      <c r="AI851" s="79">
        <f>IF(AND(B851&lt;&gt;"",K851&lt;&gt;"",U851&lt;&gt;"Yes",X851&lt;&gt;"Yes"),1,0)</f>
        <v/>
      </c>
      <c r="AJ851" s="79">
        <f>IF(Y851="⚠️ Order late — install at risk",1,0)</f>
        <v/>
      </c>
    </row>
    <row r="852" ht="20" customHeight="1">
      <c r="B852" s="72" t="n"/>
      <c r="C852" s="72" t="n"/>
      <c r="D852" s="72" t="n"/>
      <c r="E852" s="72" t="n"/>
      <c r="F852" s="73" t="n"/>
      <c r="G852" s="72" t="n"/>
      <c r="H852" s="73" t="n"/>
      <c r="I852" s="72" t="n"/>
      <c r="J852" s="73" t="n"/>
      <c r="K852" s="74" t="n"/>
      <c r="L852" s="75">
        <f>IF(K852="A",F852,IF(K852="B",H852,IF(K852="C",J852,"")))</f>
        <v/>
      </c>
      <c r="M852" s="72" t="n"/>
      <c r="N852" s="72" t="n"/>
      <c r="O852" s="89" t="n"/>
      <c r="P852" s="89" t="n"/>
      <c r="Q852" s="109" t="n"/>
      <c r="R852" s="120">
        <f>IF(B852="","",IF(Q852&lt;&gt;"",Q852,IF(P852="","",IFERROR(INDEX('Timeline'!$J$7:$J$1006,MATCH(P852,'Timeline'!$B$7:$B$1006,0)),""))))</f>
        <v/>
      </c>
      <c r="S852" s="126">
        <f>IF(R852="","",R852-IF(O852="",0,O852)-OrderBuf)</f>
        <v/>
      </c>
      <c r="T852" s="126">
        <f>IF(S852="","",S852-DecideBuf)</f>
        <v/>
      </c>
      <c r="U852" s="74" t="n"/>
      <c r="V852" s="109" t="n"/>
      <c r="W852" s="109" t="n"/>
      <c r="X852" s="74" t="n"/>
      <c r="Y852" s="116">
        <f>IF(B852="","",IF(X852="Yes","Delivered",IF(U852="Yes",IF(AND(W852&lt;&gt;"",R852&lt;&gt;""),IF(W852&gt;R852,"⚠️ Delivery after install date","Ordered"),"Ordered"),IF(K852="",IF(T852="","Waiting for decision",IF(T852&lt;=AsOf+AlertDays,"Decide now","Waiting for decision")),IF(S852="","Selected",IF(AsOf&gt;S852,"⚠️ Order late — install at risk",IF(S852&lt;=AsOf+AlertDays,"Order now","Selected")))))))</f>
        <v/>
      </c>
      <c r="Z852" s="79">
        <f>IF(B852="","",IF(OR(AH852=1,AE852=1),2,IF(OR(AG852=1,AF852=1),1,IF(OR(Y852="Ordered",Y852="Delivered"),0,""))))</f>
        <v/>
      </c>
      <c r="AA852" s="112">
        <f>IF(B852="","",IF(AH852=1,IF(Y852="⚠️ Delivery after install date",R852,S852),IF(AD852=1,T852,IF(AI852=1,S852,""))))</f>
        <v/>
      </c>
      <c r="AB852" s="79">
        <f>IF(AA852="","",IF(AH852=1,1,IF(AA852="","",IF(AA852&lt;AsOf,1,IF(AA852&lt;=AsOf+AlertDays,2,IF(AA852&lt;=AsOf+2*AlertDays,3,""))))))</f>
        <v/>
      </c>
      <c r="AC852" s="79">
        <f>IF(AB852="","",IF(AH852=1,IF(Y852="⚠️ Delivery after install date","Delivery after install date: "&amp;B852,"Order late — install at risk: "&amp;B852),IF(AD852=1,IF(AB852=1,"Decision overdue: ","Decide: ")&amp;B852,"Order: "&amp;B852&amp;IF(N852="",""," from "&amp;N852))))</f>
        <v/>
      </c>
      <c r="AD852" s="79">
        <f>IF(AND(B852&lt;&gt;"",K852="",U852&lt;&gt;"Yes",X852&lt;&gt;"Yes"),1,0)</f>
        <v/>
      </c>
      <c r="AE852" s="79">
        <f>IF(AND(AD852=1,T852&lt;&gt;""),IF(T852&lt;AsOf,1,0),0)</f>
        <v/>
      </c>
      <c r="AF852" s="79">
        <f>IF(AND(AD852=1,T852&lt;&gt;""),IF(AND(T852&gt;=AsOf,T852&lt;=AsOf+AlertDays),1,0),0)</f>
        <v/>
      </c>
      <c r="AG852" s="79">
        <f>IF(Y852="Order now",1,0)</f>
        <v/>
      </c>
      <c r="AH852" s="79">
        <f>IF(OR(Y852="⚠️ Order late — install at risk",Y852="⚠️ Delivery after install date"),1,0)</f>
        <v/>
      </c>
      <c r="AI852" s="79">
        <f>IF(AND(B852&lt;&gt;"",K852&lt;&gt;"",U852&lt;&gt;"Yes",X852&lt;&gt;"Yes"),1,0)</f>
        <v/>
      </c>
      <c r="AJ852" s="79">
        <f>IF(Y852="⚠️ Order late — install at risk",1,0)</f>
        <v/>
      </c>
    </row>
    <row r="853" ht="20" customHeight="1">
      <c r="B853" s="72" t="n"/>
      <c r="C853" s="72" t="n"/>
      <c r="D853" s="72" t="n"/>
      <c r="E853" s="72" t="n"/>
      <c r="F853" s="73" t="n"/>
      <c r="G853" s="72" t="n"/>
      <c r="H853" s="73" t="n"/>
      <c r="I853" s="72" t="n"/>
      <c r="J853" s="73" t="n"/>
      <c r="K853" s="74" t="n"/>
      <c r="L853" s="75">
        <f>IF(K853="A",F853,IF(K853="B",H853,IF(K853="C",J853,"")))</f>
        <v/>
      </c>
      <c r="M853" s="72" t="n"/>
      <c r="N853" s="72" t="n"/>
      <c r="O853" s="89" t="n"/>
      <c r="P853" s="89" t="n"/>
      <c r="Q853" s="109" t="n"/>
      <c r="R853" s="120">
        <f>IF(B853="","",IF(Q853&lt;&gt;"",Q853,IF(P853="","",IFERROR(INDEX('Timeline'!$J$7:$J$1006,MATCH(P853,'Timeline'!$B$7:$B$1006,0)),""))))</f>
        <v/>
      </c>
      <c r="S853" s="126">
        <f>IF(R853="","",R853-IF(O853="",0,O853)-OrderBuf)</f>
        <v/>
      </c>
      <c r="T853" s="126">
        <f>IF(S853="","",S853-DecideBuf)</f>
        <v/>
      </c>
      <c r="U853" s="74" t="n"/>
      <c r="V853" s="109" t="n"/>
      <c r="W853" s="109" t="n"/>
      <c r="X853" s="74" t="n"/>
      <c r="Y853" s="116">
        <f>IF(B853="","",IF(X853="Yes","Delivered",IF(U853="Yes",IF(AND(W853&lt;&gt;"",R853&lt;&gt;""),IF(W853&gt;R853,"⚠️ Delivery after install date","Ordered"),"Ordered"),IF(K853="",IF(T853="","Waiting for decision",IF(T853&lt;=AsOf+AlertDays,"Decide now","Waiting for decision")),IF(S853="","Selected",IF(AsOf&gt;S853,"⚠️ Order late — install at risk",IF(S853&lt;=AsOf+AlertDays,"Order now","Selected")))))))</f>
        <v/>
      </c>
      <c r="Z853" s="79">
        <f>IF(B853="","",IF(OR(AH853=1,AE853=1),2,IF(OR(AG853=1,AF853=1),1,IF(OR(Y853="Ordered",Y853="Delivered"),0,""))))</f>
        <v/>
      </c>
      <c r="AA853" s="112">
        <f>IF(B853="","",IF(AH853=1,IF(Y853="⚠️ Delivery after install date",R853,S853),IF(AD853=1,T853,IF(AI853=1,S853,""))))</f>
        <v/>
      </c>
      <c r="AB853" s="79">
        <f>IF(AA853="","",IF(AH853=1,1,IF(AA853="","",IF(AA853&lt;AsOf,1,IF(AA853&lt;=AsOf+AlertDays,2,IF(AA853&lt;=AsOf+2*AlertDays,3,""))))))</f>
        <v/>
      </c>
      <c r="AC853" s="79">
        <f>IF(AB853="","",IF(AH853=1,IF(Y853="⚠️ Delivery after install date","Delivery after install date: "&amp;B853,"Order late — install at risk: "&amp;B853),IF(AD853=1,IF(AB853=1,"Decision overdue: ","Decide: ")&amp;B853,"Order: "&amp;B853&amp;IF(N853="",""," from "&amp;N853))))</f>
        <v/>
      </c>
      <c r="AD853" s="79">
        <f>IF(AND(B853&lt;&gt;"",K853="",U853&lt;&gt;"Yes",X853&lt;&gt;"Yes"),1,0)</f>
        <v/>
      </c>
      <c r="AE853" s="79">
        <f>IF(AND(AD853=1,T853&lt;&gt;""),IF(T853&lt;AsOf,1,0),0)</f>
        <v/>
      </c>
      <c r="AF853" s="79">
        <f>IF(AND(AD853=1,T853&lt;&gt;""),IF(AND(T853&gt;=AsOf,T853&lt;=AsOf+AlertDays),1,0),0)</f>
        <v/>
      </c>
      <c r="AG853" s="79">
        <f>IF(Y853="Order now",1,0)</f>
        <v/>
      </c>
      <c r="AH853" s="79">
        <f>IF(OR(Y853="⚠️ Order late — install at risk",Y853="⚠️ Delivery after install date"),1,0)</f>
        <v/>
      </c>
      <c r="AI853" s="79">
        <f>IF(AND(B853&lt;&gt;"",K853&lt;&gt;"",U853&lt;&gt;"Yes",X853&lt;&gt;"Yes"),1,0)</f>
        <v/>
      </c>
      <c r="AJ853" s="79">
        <f>IF(Y853="⚠️ Order late — install at risk",1,0)</f>
        <v/>
      </c>
    </row>
    <row r="854" ht="20" customHeight="1">
      <c r="B854" s="72" t="n"/>
      <c r="C854" s="72" t="n"/>
      <c r="D854" s="72" t="n"/>
      <c r="E854" s="72" t="n"/>
      <c r="F854" s="73" t="n"/>
      <c r="G854" s="72" t="n"/>
      <c r="H854" s="73" t="n"/>
      <c r="I854" s="72" t="n"/>
      <c r="J854" s="73" t="n"/>
      <c r="K854" s="74" t="n"/>
      <c r="L854" s="75">
        <f>IF(K854="A",F854,IF(K854="B",H854,IF(K854="C",J854,"")))</f>
        <v/>
      </c>
      <c r="M854" s="72" t="n"/>
      <c r="N854" s="72" t="n"/>
      <c r="O854" s="89" t="n"/>
      <c r="P854" s="89" t="n"/>
      <c r="Q854" s="109" t="n"/>
      <c r="R854" s="120">
        <f>IF(B854="","",IF(Q854&lt;&gt;"",Q854,IF(P854="","",IFERROR(INDEX('Timeline'!$J$7:$J$1006,MATCH(P854,'Timeline'!$B$7:$B$1006,0)),""))))</f>
        <v/>
      </c>
      <c r="S854" s="126">
        <f>IF(R854="","",R854-IF(O854="",0,O854)-OrderBuf)</f>
        <v/>
      </c>
      <c r="T854" s="126">
        <f>IF(S854="","",S854-DecideBuf)</f>
        <v/>
      </c>
      <c r="U854" s="74" t="n"/>
      <c r="V854" s="109" t="n"/>
      <c r="W854" s="109" t="n"/>
      <c r="X854" s="74" t="n"/>
      <c r="Y854" s="116">
        <f>IF(B854="","",IF(X854="Yes","Delivered",IF(U854="Yes",IF(AND(W854&lt;&gt;"",R854&lt;&gt;""),IF(W854&gt;R854,"⚠️ Delivery after install date","Ordered"),"Ordered"),IF(K854="",IF(T854="","Waiting for decision",IF(T854&lt;=AsOf+AlertDays,"Decide now","Waiting for decision")),IF(S854="","Selected",IF(AsOf&gt;S854,"⚠️ Order late — install at risk",IF(S854&lt;=AsOf+AlertDays,"Order now","Selected")))))))</f>
        <v/>
      </c>
      <c r="Z854" s="79">
        <f>IF(B854="","",IF(OR(AH854=1,AE854=1),2,IF(OR(AG854=1,AF854=1),1,IF(OR(Y854="Ordered",Y854="Delivered"),0,""))))</f>
        <v/>
      </c>
      <c r="AA854" s="112">
        <f>IF(B854="","",IF(AH854=1,IF(Y854="⚠️ Delivery after install date",R854,S854),IF(AD854=1,T854,IF(AI854=1,S854,""))))</f>
        <v/>
      </c>
      <c r="AB854" s="79">
        <f>IF(AA854="","",IF(AH854=1,1,IF(AA854="","",IF(AA854&lt;AsOf,1,IF(AA854&lt;=AsOf+AlertDays,2,IF(AA854&lt;=AsOf+2*AlertDays,3,""))))))</f>
        <v/>
      </c>
      <c r="AC854" s="79">
        <f>IF(AB854="","",IF(AH854=1,IF(Y854="⚠️ Delivery after install date","Delivery after install date: "&amp;B854,"Order late — install at risk: "&amp;B854),IF(AD854=1,IF(AB854=1,"Decision overdue: ","Decide: ")&amp;B854,"Order: "&amp;B854&amp;IF(N854="",""," from "&amp;N854))))</f>
        <v/>
      </c>
      <c r="AD854" s="79">
        <f>IF(AND(B854&lt;&gt;"",K854="",U854&lt;&gt;"Yes",X854&lt;&gt;"Yes"),1,0)</f>
        <v/>
      </c>
      <c r="AE854" s="79">
        <f>IF(AND(AD854=1,T854&lt;&gt;""),IF(T854&lt;AsOf,1,0),0)</f>
        <v/>
      </c>
      <c r="AF854" s="79">
        <f>IF(AND(AD854=1,T854&lt;&gt;""),IF(AND(T854&gt;=AsOf,T854&lt;=AsOf+AlertDays),1,0),0)</f>
        <v/>
      </c>
      <c r="AG854" s="79">
        <f>IF(Y854="Order now",1,0)</f>
        <v/>
      </c>
      <c r="AH854" s="79">
        <f>IF(OR(Y854="⚠️ Order late — install at risk",Y854="⚠️ Delivery after install date"),1,0)</f>
        <v/>
      </c>
      <c r="AI854" s="79">
        <f>IF(AND(B854&lt;&gt;"",K854&lt;&gt;"",U854&lt;&gt;"Yes",X854&lt;&gt;"Yes"),1,0)</f>
        <v/>
      </c>
      <c r="AJ854" s="79">
        <f>IF(Y854="⚠️ Order late — install at risk",1,0)</f>
        <v/>
      </c>
    </row>
    <row r="855" ht="20" customHeight="1">
      <c r="B855" s="72" t="n"/>
      <c r="C855" s="72" t="n"/>
      <c r="D855" s="72" t="n"/>
      <c r="E855" s="72" t="n"/>
      <c r="F855" s="73" t="n"/>
      <c r="G855" s="72" t="n"/>
      <c r="H855" s="73" t="n"/>
      <c r="I855" s="72" t="n"/>
      <c r="J855" s="73" t="n"/>
      <c r="K855" s="74" t="n"/>
      <c r="L855" s="75">
        <f>IF(K855="A",F855,IF(K855="B",H855,IF(K855="C",J855,"")))</f>
        <v/>
      </c>
      <c r="M855" s="72" t="n"/>
      <c r="N855" s="72" t="n"/>
      <c r="O855" s="89" t="n"/>
      <c r="P855" s="89" t="n"/>
      <c r="Q855" s="109" t="n"/>
      <c r="R855" s="120">
        <f>IF(B855="","",IF(Q855&lt;&gt;"",Q855,IF(P855="","",IFERROR(INDEX('Timeline'!$J$7:$J$1006,MATCH(P855,'Timeline'!$B$7:$B$1006,0)),""))))</f>
        <v/>
      </c>
      <c r="S855" s="126">
        <f>IF(R855="","",R855-IF(O855="",0,O855)-OrderBuf)</f>
        <v/>
      </c>
      <c r="T855" s="126">
        <f>IF(S855="","",S855-DecideBuf)</f>
        <v/>
      </c>
      <c r="U855" s="74" t="n"/>
      <c r="V855" s="109" t="n"/>
      <c r="W855" s="109" t="n"/>
      <c r="X855" s="74" t="n"/>
      <c r="Y855" s="116">
        <f>IF(B855="","",IF(X855="Yes","Delivered",IF(U855="Yes",IF(AND(W855&lt;&gt;"",R855&lt;&gt;""),IF(W855&gt;R855,"⚠️ Delivery after install date","Ordered"),"Ordered"),IF(K855="",IF(T855="","Waiting for decision",IF(T855&lt;=AsOf+AlertDays,"Decide now","Waiting for decision")),IF(S855="","Selected",IF(AsOf&gt;S855,"⚠️ Order late — install at risk",IF(S855&lt;=AsOf+AlertDays,"Order now","Selected")))))))</f>
        <v/>
      </c>
      <c r="Z855" s="79">
        <f>IF(B855="","",IF(OR(AH855=1,AE855=1),2,IF(OR(AG855=1,AF855=1),1,IF(OR(Y855="Ordered",Y855="Delivered"),0,""))))</f>
        <v/>
      </c>
      <c r="AA855" s="112">
        <f>IF(B855="","",IF(AH855=1,IF(Y855="⚠️ Delivery after install date",R855,S855),IF(AD855=1,T855,IF(AI855=1,S855,""))))</f>
        <v/>
      </c>
      <c r="AB855" s="79">
        <f>IF(AA855="","",IF(AH855=1,1,IF(AA855="","",IF(AA855&lt;AsOf,1,IF(AA855&lt;=AsOf+AlertDays,2,IF(AA855&lt;=AsOf+2*AlertDays,3,""))))))</f>
        <v/>
      </c>
      <c r="AC855" s="79">
        <f>IF(AB855="","",IF(AH855=1,IF(Y855="⚠️ Delivery after install date","Delivery after install date: "&amp;B855,"Order late — install at risk: "&amp;B855),IF(AD855=1,IF(AB855=1,"Decision overdue: ","Decide: ")&amp;B855,"Order: "&amp;B855&amp;IF(N855="",""," from "&amp;N855))))</f>
        <v/>
      </c>
      <c r="AD855" s="79">
        <f>IF(AND(B855&lt;&gt;"",K855="",U855&lt;&gt;"Yes",X855&lt;&gt;"Yes"),1,0)</f>
        <v/>
      </c>
      <c r="AE855" s="79">
        <f>IF(AND(AD855=1,T855&lt;&gt;""),IF(T855&lt;AsOf,1,0),0)</f>
        <v/>
      </c>
      <c r="AF855" s="79">
        <f>IF(AND(AD855=1,T855&lt;&gt;""),IF(AND(T855&gt;=AsOf,T855&lt;=AsOf+AlertDays),1,0),0)</f>
        <v/>
      </c>
      <c r="AG855" s="79">
        <f>IF(Y855="Order now",1,0)</f>
        <v/>
      </c>
      <c r="AH855" s="79">
        <f>IF(OR(Y855="⚠️ Order late — install at risk",Y855="⚠️ Delivery after install date"),1,0)</f>
        <v/>
      </c>
      <c r="AI855" s="79">
        <f>IF(AND(B855&lt;&gt;"",K855&lt;&gt;"",U855&lt;&gt;"Yes",X855&lt;&gt;"Yes"),1,0)</f>
        <v/>
      </c>
      <c r="AJ855" s="79">
        <f>IF(Y855="⚠️ Order late — install at risk",1,0)</f>
        <v/>
      </c>
    </row>
    <row r="856" ht="20" customHeight="1">
      <c r="B856" s="72" t="n"/>
      <c r="C856" s="72" t="n"/>
      <c r="D856" s="72" t="n"/>
      <c r="E856" s="72" t="n"/>
      <c r="F856" s="73" t="n"/>
      <c r="G856" s="72" t="n"/>
      <c r="H856" s="73" t="n"/>
      <c r="I856" s="72" t="n"/>
      <c r="J856" s="73" t="n"/>
      <c r="K856" s="74" t="n"/>
      <c r="L856" s="75">
        <f>IF(K856="A",F856,IF(K856="B",H856,IF(K856="C",J856,"")))</f>
        <v/>
      </c>
      <c r="M856" s="72" t="n"/>
      <c r="N856" s="72" t="n"/>
      <c r="O856" s="89" t="n"/>
      <c r="P856" s="89" t="n"/>
      <c r="Q856" s="109" t="n"/>
      <c r="R856" s="120">
        <f>IF(B856="","",IF(Q856&lt;&gt;"",Q856,IF(P856="","",IFERROR(INDEX('Timeline'!$J$7:$J$1006,MATCH(P856,'Timeline'!$B$7:$B$1006,0)),""))))</f>
        <v/>
      </c>
      <c r="S856" s="126">
        <f>IF(R856="","",R856-IF(O856="",0,O856)-OrderBuf)</f>
        <v/>
      </c>
      <c r="T856" s="126">
        <f>IF(S856="","",S856-DecideBuf)</f>
        <v/>
      </c>
      <c r="U856" s="74" t="n"/>
      <c r="V856" s="109" t="n"/>
      <c r="W856" s="109" t="n"/>
      <c r="X856" s="74" t="n"/>
      <c r="Y856" s="116">
        <f>IF(B856="","",IF(X856="Yes","Delivered",IF(U856="Yes",IF(AND(W856&lt;&gt;"",R856&lt;&gt;""),IF(W856&gt;R856,"⚠️ Delivery after install date","Ordered"),"Ordered"),IF(K856="",IF(T856="","Waiting for decision",IF(T856&lt;=AsOf+AlertDays,"Decide now","Waiting for decision")),IF(S856="","Selected",IF(AsOf&gt;S856,"⚠️ Order late — install at risk",IF(S856&lt;=AsOf+AlertDays,"Order now","Selected")))))))</f>
        <v/>
      </c>
      <c r="Z856" s="79">
        <f>IF(B856="","",IF(OR(AH856=1,AE856=1),2,IF(OR(AG856=1,AF856=1),1,IF(OR(Y856="Ordered",Y856="Delivered"),0,""))))</f>
        <v/>
      </c>
      <c r="AA856" s="112">
        <f>IF(B856="","",IF(AH856=1,IF(Y856="⚠️ Delivery after install date",R856,S856),IF(AD856=1,T856,IF(AI856=1,S856,""))))</f>
        <v/>
      </c>
      <c r="AB856" s="79">
        <f>IF(AA856="","",IF(AH856=1,1,IF(AA856="","",IF(AA856&lt;AsOf,1,IF(AA856&lt;=AsOf+AlertDays,2,IF(AA856&lt;=AsOf+2*AlertDays,3,""))))))</f>
        <v/>
      </c>
      <c r="AC856" s="79">
        <f>IF(AB856="","",IF(AH856=1,IF(Y856="⚠️ Delivery after install date","Delivery after install date: "&amp;B856,"Order late — install at risk: "&amp;B856),IF(AD856=1,IF(AB856=1,"Decision overdue: ","Decide: ")&amp;B856,"Order: "&amp;B856&amp;IF(N856="",""," from "&amp;N856))))</f>
        <v/>
      </c>
      <c r="AD856" s="79">
        <f>IF(AND(B856&lt;&gt;"",K856="",U856&lt;&gt;"Yes",X856&lt;&gt;"Yes"),1,0)</f>
        <v/>
      </c>
      <c r="AE856" s="79">
        <f>IF(AND(AD856=1,T856&lt;&gt;""),IF(T856&lt;AsOf,1,0),0)</f>
        <v/>
      </c>
      <c r="AF856" s="79">
        <f>IF(AND(AD856=1,T856&lt;&gt;""),IF(AND(T856&gt;=AsOf,T856&lt;=AsOf+AlertDays),1,0),0)</f>
        <v/>
      </c>
      <c r="AG856" s="79">
        <f>IF(Y856="Order now",1,0)</f>
        <v/>
      </c>
      <c r="AH856" s="79">
        <f>IF(OR(Y856="⚠️ Order late — install at risk",Y856="⚠️ Delivery after install date"),1,0)</f>
        <v/>
      </c>
      <c r="AI856" s="79">
        <f>IF(AND(B856&lt;&gt;"",K856&lt;&gt;"",U856&lt;&gt;"Yes",X856&lt;&gt;"Yes"),1,0)</f>
        <v/>
      </c>
      <c r="AJ856" s="79">
        <f>IF(Y856="⚠️ Order late — install at risk",1,0)</f>
        <v/>
      </c>
    </row>
    <row r="857" ht="20" customHeight="1">
      <c r="B857" s="72" t="n"/>
      <c r="C857" s="72" t="n"/>
      <c r="D857" s="72" t="n"/>
      <c r="E857" s="72" t="n"/>
      <c r="F857" s="73" t="n"/>
      <c r="G857" s="72" t="n"/>
      <c r="H857" s="73" t="n"/>
      <c r="I857" s="72" t="n"/>
      <c r="J857" s="73" t="n"/>
      <c r="K857" s="74" t="n"/>
      <c r="L857" s="75">
        <f>IF(K857="A",F857,IF(K857="B",H857,IF(K857="C",J857,"")))</f>
        <v/>
      </c>
      <c r="M857" s="72" t="n"/>
      <c r="N857" s="72" t="n"/>
      <c r="O857" s="89" t="n"/>
      <c r="P857" s="89" t="n"/>
      <c r="Q857" s="109" t="n"/>
      <c r="R857" s="120">
        <f>IF(B857="","",IF(Q857&lt;&gt;"",Q857,IF(P857="","",IFERROR(INDEX('Timeline'!$J$7:$J$1006,MATCH(P857,'Timeline'!$B$7:$B$1006,0)),""))))</f>
        <v/>
      </c>
      <c r="S857" s="126">
        <f>IF(R857="","",R857-IF(O857="",0,O857)-OrderBuf)</f>
        <v/>
      </c>
      <c r="T857" s="126">
        <f>IF(S857="","",S857-DecideBuf)</f>
        <v/>
      </c>
      <c r="U857" s="74" t="n"/>
      <c r="V857" s="109" t="n"/>
      <c r="W857" s="109" t="n"/>
      <c r="X857" s="74" t="n"/>
      <c r="Y857" s="116">
        <f>IF(B857="","",IF(X857="Yes","Delivered",IF(U857="Yes",IF(AND(W857&lt;&gt;"",R857&lt;&gt;""),IF(W857&gt;R857,"⚠️ Delivery after install date","Ordered"),"Ordered"),IF(K857="",IF(T857="","Waiting for decision",IF(T857&lt;=AsOf+AlertDays,"Decide now","Waiting for decision")),IF(S857="","Selected",IF(AsOf&gt;S857,"⚠️ Order late — install at risk",IF(S857&lt;=AsOf+AlertDays,"Order now","Selected")))))))</f>
        <v/>
      </c>
      <c r="Z857" s="79">
        <f>IF(B857="","",IF(OR(AH857=1,AE857=1),2,IF(OR(AG857=1,AF857=1),1,IF(OR(Y857="Ordered",Y857="Delivered"),0,""))))</f>
        <v/>
      </c>
      <c r="AA857" s="112">
        <f>IF(B857="","",IF(AH857=1,IF(Y857="⚠️ Delivery after install date",R857,S857),IF(AD857=1,T857,IF(AI857=1,S857,""))))</f>
        <v/>
      </c>
      <c r="AB857" s="79">
        <f>IF(AA857="","",IF(AH857=1,1,IF(AA857="","",IF(AA857&lt;AsOf,1,IF(AA857&lt;=AsOf+AlertDays,2,IF(AA857&lt;=AsOf+2*AlertDays,3,""))))))</f>
        <v/>
      </c>
      <c r="AC857" s="79">
        <f>IF(AB857="","",IF(AH857=1,IF(Y857="⚠️ Delivery after install date","Delivery after install date: "&amp;B857,"Order late — install at risk: "&amp;B857),IF(AD857=1,IF(AB857=1,"Decision overdue: ","Decide: ")&amp;B857,"Order: "&amp;B857&amp;IF(N857="",""," from "&amp;N857))))</f>
        <v/>
      </c>
      <c r="AD857" s="79">
        <f>IF(AND(B857&lt;&gt;"",K857="",U857&lt;&gt;"Yes",X857&lt;&gt;"Yes"),1,0)</f>
        <v/>
      </c>
      <c r="AE857" s="79">
        <f>IF(AND(AD857=1,T857&lt;&gt;""),IF(T857&lt;AsOf,1,0),0)</f>
        <v/>
      </c>
      <c r="AF857" s="79">
        <f>IF(AND(AD857=1,T857&lt;&gt;""),IF(AND(T857&gt;=AsOf,T857&lt;=AsOf+AlertDays),1,0),0)</f>
        <v/>
      </c>
      <c r="AG857" s="79">
        <f>IF(Y857="Order now",1,0)</f>
        <v/>
      </c>
      <c r="AH857" s="79">
        <f>IF(OR(Y857="⚠️ Order late — install at risk",Y857="⚠️ Delivery after install date"),1,0)</f>
        <v/>
      </c>
      <c r="AI857" s="79">
        <f>IF(AND(B857&lt;&gt;"",K857&lt;&gt;"",U857&lt;&gt;"Yes",X857&lt;&gt;"Yes"),1,0)</f>
        <v/>
      </c>
      <c r="AJ857" s="79">
        <f>IF(Y857="⚠️ Order late — install at risk",1,0)</f>
        <v/>
      </c>
    </row>
    <row r="858" ht="20" customHeight="1">
      <c r="B858" s="72" t="n"/>
      <c r="C858" s="72" t="n"/>
      <c r="D858" s="72" t="n"/>
      <c r="E858" s="72" t="n"/>
      <c r="F858" s="73" t="n"/>
      <c r="G858" s="72" t="n"/>
      <c r="H858" s="73" t="n"/>
      <c r="I858" s="72" t="n"/>
      <c r="J858" s="73" t="n"/>
      <c r="K858" s="74" t="n"/>
      <c r="L858" s="75">
        <f>IF(K858="A",F858,IF(K858="B",H858,IF(K858="C",J858,"")))</f>
        <v/>
      </c>
      <c r="M858" s="72" t="n"/>
      <c r="N858" s="72" t="n"/>
      <c r="O858" s="89" t="n"/>
      <c r="P858" s="89" t="n"/>
      <c r="Q858" s="109" t="n"/>
      <c r="R858" s="120">
        <f>IF(B858="","",IF(Q858&lt;&gt;"",Q858,IF(P858="","",IFERROR(INDEX('Timeline'!$J$7:$J$1006,MATCH(P858,'Timeline'!$B$7:$B$1006,0)),""))))</f>
        <v/>
      </c>
      <c r="S858" s="126">
        <f>IF(R858="","",R858-IF(O858="",0,O858)-OrderBuf)</f>
        <v/>
      </c>
      <c r="T858" s="126">
        <f>IF(S858="","",S858-DecideBuf)</f>
        <v/>
      </c>
      <c r="U858" s="74" t="n"/>
      <c r="V858" s="109" t="n"/>
      <c r="W858" s="109" t="n"/>
      <c r="X858" s="74" t="n"/>
      <c r="Y858" s="116">
        <f>IF(B858="","",IF(X858="Yes","Delivered",IF(U858="Yes",IF(AND(W858&lt;&gt;"",R858&lt;&gt;""),IF(W858&gt;R858,"⚠️ Delivery after install date","Ordered"),"Ordered"),IF(K858="",IF(T858="","Waiting for decision",IF(T858&lt;=AsOf+AlertDays,"Decide now","Waiting for decision")),IF(S858="","Selected",IF(AsOf&gt;S858,"⚠️ Order late — install at risk",IF(S858&lt;=AsOf+AlertDays,"Order now","Selected")))))))</f>
        <v/>
      </c>
      <c r="Z858" s="79">
        <f>IF(B858="","",IF(OR(AH858=1,AE858=1),2,IF(OR(AG858=1,AF858=1),1,IF(OR(Y858="Ordered",Y858="Delivered"),0,""))))</f>
        <v/>
      </c>
      <c r="AA858" s="112">
        <f>IF(B858="","",IF(AH858=1,IF(Y858="⚠️ Delivery after install date",R858,S858),IF(AD858=1,T858,IF(AI858=1,S858,""))))</f>
        <v/>
      </c>
      <c r="AB858" s="79">
        <f>IF(AA858="","",IF(AH858=1,1,IF(AA858="","",IF(AA858&lt;AsOf,1,IF(AA858&lt;=AsOf+AlertDays,2,IF(AA858&lt;=AsOf+2*AlertDays,3,""))))))</f>
        <v/>
      </c>
      <c r="AC858" s="79">
        <f>IF(AB858="","",IF(AH858=1,IF(Y858="⚠️ Delivery after install date","Delivery after install date: "&amp;B858,"Order late — install at risk: "&amp;B858),IF(AD858=1,IF(AB858=1,"Decision overdue: ","Decide: ")&amp;B858,"Order: "&amp;B858&amp;IF(N858="",""," from "&amp;N858))))</f>
        <v/>
      </c>
      <c r="AD858" s="79">
        <f>IF(AND(B858&lt;&gt;"",K858="",U858&lt;&gt;"Yes",X858&lt;&gt;"Yes"),1,0)</f>
        <v/>
      </c>
      <c r="AE858" s="79">
        <f>IF(AND(AD858=1,T858&lt;&gt;""),IF(T858&lt;AsOf,1,0),0)</f>
        <v/>
      </c>
      <c r="AF858" s="79">
        <f>IF(AND(AD858=1,T858&lt;&gt;""),IF(AND(T858&gt;=AsOf,T858&lt;=AsOf+AlertDays),1,0),0)</f>
        <v/>
      </c>
      <c r="AG858" s="79">
        <f>IF(Y858="Order now",1,0)</f>
        <v/>
      </c>
      <c r="AH858" s="79">
        <f>IF(OR(Y858="⚠️ Order late — install at risk",Y858="⚠️ Delivery after install date"),1,0)</f>
        <v/>
      </c>
      <c r="AI858" s="79">
        <f>IF(AND(B858&lt;&gt;"",K858&lt;&gt;"",U858&lt;&gt;"Yes",X858&lt;&gt;"Yes"),1,0)</f>
        <v/>
      </c>
      <c r="AJ858" s="79">
        <f>IF(Y858="⚠️ Order late — install at risk",1,0)</f>
        <v/>
      </c>
    </row>
    <row r="859" ht="20" customHeight="1">
      <c r="B859" s="72" t="n"/>
      <c r="C859" s="72" t="n"/>
      <c r="D859" s="72" t="n"/>
      <c r="E859" s="72" t="n"/>
      <c r="F859" s="73" t="n"/>
      <c r="G859" s="72" t="n"/>
      <c r="H859" s="73" t="n"/>
      <c r="I859" s="72" t="n"/>
      <c r="J859" s="73" t="n"/>
      <c r="K859" s="74" t="n"/>
      <c r="L859" s="75">
        <f>IF(K859="A",F859,IF(K859="B",H859,IF(K859="C",J859,"")))</f>
        <v/>
      </c>
      <c r="M859" s="72" t="n"/>
      <c r="N859" s="72" t="n"/>
      <c r="O859" s="89" t="n"/>
      <c r="P859" s="89" t="n"/>
      <c r="Q859" s="109" t="n"/>
      <c r="R859" s="120">
        <f>IF(B859="","",IF(Q859&lt;&gt;"",Q859,IF(P859="","",IFERROR(INDEX('Timeline'!$J$7:$J$1006,MATCH(P859,'Timeline'!$B$7:$B$1006,0)),""))))</f>
        <v/>
      </c>
      <c r="S859" s="126">
        <f>IF(R859="","",R859-IF(O859="",0,O859)-OrderBuf)</f>
        <v/>
      </c>
      <c r="T859" s="126">
        <f>IF(S859="","",S859-DecideBuf)</f>
        <v/>
      </c>
      <c r="U859" s="74" t="n"/>
      <c r="V859" s="109" t="n"/>
      <c r="W859" s="109" t="n"/>
      <c r="X859" s="74" t="n"/>
      <c r="Y859" s="116">
        <f>IF(B859="","",IF(X859="Yes","Delivered",IF(U859="Yes",IF(AND(W859&lt;&gt;"",R859&lt;&gt;""),IF(W859&gt;R859,"⚠️ Delivery after install date","Ordered"),"Ordered"),IF(K859="",IF(T859="","Waiting for decision",IF(T859&lt;=AsOf+AlertDays,"Decide now","Waiting for decision")),IF(S859="","Selected",IF(AsOf&gt;S859,"⚠️ Order late — install at risk",IF(S859&lt;=AsOf+AlertDays,"Order now","Selected")))))))</f>
        <v/>
      </c>
      <c r="Z859" s="79">
        <f>IF(B859="","",IF(OR(AH859=1,AE859=1),2,IF(OR(AG859=1,AF859=1),1,IF(OR(Y859="Ordered",Y859="Delivered"),0,""))))</f>
        <v/>
      </c>
      <c r="AA859" s="112">
        <f>IF(B859="","",IF(AH859=1,IF(Y859="⚠️ Delivery after install date",R859,S859),IF(AD859=1,T859,IF(AI859=1,S859,""))))</f>
        <v/>
      </c>
      <c r="AB859" s="79">
        <f>IF(AA859="","",IF(AH859=1,1,IF(AA859="","",IF(AA859&lt;AsOf,1,IF(AA859&lt;=AsOf+AlertDays,2,IF(AA859&lt;=AsOf+2*AlertDays,3,""))))))</f>
        <v/>
      </c>
      <c r="AC859" s="79">
        <f>IF(AB859="","",IF(AH859=1,IF(Y859="⚠️ Delivery after install date","Delivery after install date: "&amp;B859,"Order late — install at risk: "&amp;B859),IF(AD859=1,IF(AB859=1,"Decision overdue: ","Decide: ")&amp;B859,"Order: "&amp;B859&amp;IF(N859="",""," from "&amp;N859))))</f>
        <v/>
      </c>
      <c r="AD859" s="79">
        <f>IF(AND(B859&lt;&gt;"",K859="",U859&lt;&gt;"Yes",X859&lt;&gt;"Yes"),1,0)</f>
        <v/>
      </c>
      <c r="AE859" s="79">
        <f>IF(AND(AD859=1,T859&lt;&gt;""),IF(T859&lt;AsOf,1,0),0)</f>
        <v/>
      </c>
      <c r="AF859" s="79">
        <f>IF(AND(AD859=1,T859&lt;&gt;""),IF(AND(T859&gt;=AsOf,T859&lt;=AsOf+AlertDays),1,0),0)</f>
        <v/>
      </c>
      <c r="AG859" s="79">
        <f>IF(Y859="Order now",1,0)</f>
        <v/>
      </c>
      <c r="AH859" s="79">
        <f>IF(OR(Y859="⚠️ Order late — install at risk",Y859="⚠️ Delivery after install date"),1,0)</f>
        <v/>
      </c>
      <c r="AI859" s="79">
        <f>IF(AND(B859&lt;&gt;"",K859&lt;&gt;"",U859&lt;&gt;"Yes",X859&lt;&gt;"Yes"),1,0)</f>
        <v/>
      </c>
      <c r="AJ859" s="79">
        <f>IF(Y859="⚠️ Order late — install at risk",1,0)</f>
        <v/>
      </c>
    </row>
    <row r="860" ht="20" customHeight="1">
      <c r="B860" s="72" t="n"/>
      <c r="C860" s="72" t="n"/>
      <c r="D860" s="72" t="n"/>
      <c r="E860" s="72" t="n"/>
      <c r="F860" s="73" t="n"/>
      <c r="G860" s="72" t="n"/>
      <c r="H860" s="73" t="n"/>
      <c r="I860" s="72" t="n"/>
      <c r="J860" s="73" t="n"/>
      <c r="K860" s="74" t="n"/>
      <c r="L860" s="75">
        <f>IF(K860="A",F860,IF(K860="B",H860,IF(K860="C",J860,"")))</f>
        <v/>
      </c>
      <c r="M860" s="72" t="n"/>
      <c r="N860" s="72" t="n"/>
      <c r="O860" s="89" t="n"/>
      <c r="P860" s="89" t="n"/>
      <c r="Q860" s="109" t="n"/>
      <c r="R860" s="120">
        <f>IF(B860="","",IF(Q860&lt;&gt;"",Q860,IF(P860="","",IFERROR(INDEX('Timeline'!$J$7:$J$1006,MATCH(P860,'Timeline'!$B$7:$B$1006,0)),""))))</f>
        <v/>
      </c>
      <c r="S860" s="126">
        <f>IF(R860="","",R860-IF(O860="",0,O860)-OrderBuf)</f>
        <v/>
      </c>
      <c r="T860" s="126">
        <f>IF(S860="","",S860-DecideBuf)</f>
        <v/>
      </c>
      <c r="U860" s="74" t="n"/>
      <c r="V860" s="109" t="n"/>
      <c r="W860" s="109" t="n"/>
      <c r="X860" s="74" t="n"/>
      <c r="Y860" s="116">
        <f>IF(B860="","",IF(X860="Yes","Delivered",IF(U860="Yes",IF(AND(W860&lt;&gt;"",R860&lt;&gt;""),IF(W860&gt;R860,"⚠️ Delivery after install date","Ordered"),"Ordered"),IF(K860="",IF(T860="","Waiting for decision",IF(T860&lt;=AsOf+AlertDays,"Decide now","Waiting for decision")),IF(S860="","Selected",IF(AsOf&gt;S860,"⚠️ Order late — install at risk",IF(S860&lt;=AsOf+AlertDays,"Order now","Selected")))))))</f>
        <v/>
      </c>
      <c r="Z860" s="79">
        <f>IF(B860="","",IF(OR(AH860=1,AE860=1),2,IF(OR(AG860=1,AF860=1),1,IF(OR(Y860="Ordered",Y860="Delivered"),0,""))))</f>
        <v/>
      </c>
      <c r="AA860" s="112">
        <f>IF(B860="","",IF(AH860=1,IF(Y860="⚠️ Delivery after install date",R860,S860),IF(AD860=1,T860,IF(AI860=1,S860,""))))</f>
        <v/>
      </c>
      <c r="AB860" s="79">
        <f>IF(AA860="","",IF(AH860=1,1,IF(AA860="","",IF(AA860&lt;AsOf,1,IF(AA860&lt;=AsOf+AlertDays,2,IF(AA860&lt;=AsOf+2*AlertDays,3,""))))))</f>
        <v/>
      </c>
      <c r="AC860" s="79">
        <f>IF(AB860="","",IF(AH860=1,IF(Y860="⚠️ Delivery after install date","Delivery after install date: "&amp;B860,"Order late — install at risk: "&amp;B860),IF(AD860=1,IF(AB860=1,"Decision overdue: ","Decide: ")&amp;B860,"Order: "&amp;B860&amp;IF(N860="",""," from "&amp;N860))))</f>
        <v/>
      </c>
      <c r="AD860" s="79">
        <f>IF(AND(B860&lt;&gt;"",K860="",U860&lt;&gt;"Yes",X860&lt;&gt;"Yes"),1,0)</f>
        <v/>
      </c>
      <c r="AE860" s="79">
        <f>IF(AND(AD860=1,T860&lt;&gt;""),IF(T860&lt;AsOf,1,0),0)</f>
        <v/>
      </c>
      <c r="AF860" s="79">
        <f>IF(AND(AD860=1,T860&lt;&gt;""),IF(AND(T860&gt;=AsOf,T860&lt;=AsOf+AlertDays),1,0),0)</f>
        <v/>
      </c>
      <c r="AG860" s="79">
        <f>IF(Y860="Order now",1,0)</f>
        <v/>
      </c>
      <c r="AH860" s="79">
        <f>IF(OR(Y860="⚠️ Order late — install at risk",Y860="⚠️ Delivery after install date"),1,0)</f>
        <v/>
      </c>
      <c r="AI860" s="79">
        <f>IF(AND(B860&lt;&gt;"",K860&lt;&gt;"",U860&lt;&gt;"Yes",X860&lt;&gt;"Yes"),1,0)</f>
        <v/>
      </c>
      <c r="AJ860" s="79">
        <f>IF(Y860="⚠️ Order late — install at risk",1,0)</f>
        <v/>
      </c>
    </row>
    <row r="861" ht="20" customHeight="1">
      <c r="B861" s="72" t="n"/>
      <c r="C861" s="72" t="n"/>
      <c r="D861" s="72" t="n"/>
      <c r="E861" s="72" t="n"/>
      <c r="F861" s="73" t="n"/>
      <c r="G861" s="72" t="n"/>
      <c r="H861" s="73" t="n"/>
      <c r="I861" s="72" t="n"/>
      <c r="J861" s="73" t="n"/>
      <c r="K861" s="74" t="n"/>
      <c r="L861" s="75">
        <f>IF(K861="A",F861,IF(K861="B",H861,IF(K861="C",J861,"")))</f>
        <v/>
      </c>
      <c r="M861" s="72" t="n"/>
      <c r="N861" s="72" t="n"/>
      <c r="O861" s="89" t="n"/>
      <c r="P861" s="89" t="n"/>
      <c r="Q861" s="109" t="n"/>
      <c r="R861" s="120">
        <f>IF(B861="","",IF(Q861&lt;&gt;"",Q861,IF(P861="","",IFERROR(INDEX('Timeline'!$J$7:$J$1006,MATCH(P861,'Timeline'!$B$7:$B$1006,0)),""))))</f>
        <v/>
      </c>
      <c r="S861" s="126">
        <f>IF(R861="","",R861-IF(O861="",0,O861)-OrderBuf)</f>
        <v/>
      </c>
      <c r="T861" s="126">
        <f>IF(S861="","",S861-DecideBuf)</f>
        <v/>
      </c>
      <c r="U861" s="74" t="n"/>
      <c r="V861" s="109" t="n"/>
      <c r="W861" s="109" t="n"/>
      <c r="X861" s="74" t="n"/>
      <c r="Y861" s="116">
        <f>IF(B861="","",IF(X861="Yes","Delivered",IF(U861="Yes",IF(AND(W861&lt;&gt;"",R861&lt;&gt;""),IF(W861&gt;R861,"⚠️ Delivery after install date","Ordered"),"Ordered"),IF(K861="",IF(T861="","Waiting for decision",IF(T861&lt;=AsOf+AlertDays,"Decide now","Waiting for decision")),IF(S861="","Selected",IF(AsOf&gt;S861,"⚠️ Order late — install at risk",IF(S861&lt;=AsOf+AlertDays,"Order now","Selected")))))))</f>
        <v/>
      </c>
      <c r="Z861" s="79">
        <f>IF(B861="","",IF(OR(AH861=1,AE861=1),2,IF(OR(AG861=1,AF861=1),1,IF(OR(Y861="Ordered",Y861="Delivered"),0,""))))</f>
        <v/>
      </c>
      <c r="AA861" s="112">
        <f>IF(B861="","",IF(AH861=1,IF(Y861="⚠️ Delivery after install date",R861,S861),IF(AD861=1,T861,IF(AI861=1,S861,""))))</f>
        <v/>
      </c>
      <c r="AB861" s="79">
        <f>IF(AA861="","",IF(AH861=1,1,IF(AA861="","",IF(AA861&lt;AsOf,1,IF(AA861&lt;=AsOf+AlertDays,2,IF(AA861&lt;=AsOf+2*AlertDays,3,""))))))</f>
        <v/>
      </c>
      <c r="AC861" s="79">
        <f>IF(AB861="","",IF(AH861=1,IF(Y861="⚠️ Delivery after install date","Delivery after install date: "&amp;B861,"Order late — install at risk: "&amp;B861),IF(AD861=1,IF(AB861=1,"Decision overdue: ","Decide: ")&amp;B861,"Order: "&amp;B861&amp;IF(N861="",""," from "&amp;N861))))</f>
        <v/>
      </c>
      <c r="AD861" s="79">
        <f>IF(AND(B861&lt;&gt;"",K861="",U861&lt;&gt;"Yes",X861&lt;&gt;"Yes"),1,0)</f>
        <v/>
      </c>
      <c r="AE861" s="79">
        <f>IF(AND(AD861=1,T861&lt;&gt;""),IF(T861&lt;AsOf,1,0),0)</f>
        <v/>
      </c>
      <c r="AF861" s="79">
        <f>IF(AND(AD861=1,T861&lt;&gt;""),IF(AND(T861&gt;=AsOf,T861&lt;=AsOf+AlertDays),1,0),0)</f>
        <v/>
      </c>
      <c r="AG861" s="79">
        <f>IF(Y861="Order now",1,0)</f>
        <v/>
      </c>
      <c r="AH861" s="79">
        <f>IF(OR(Y861="⚠️ Order late — install at risk",Y861="⚠️ Delivery after install date"),1,0)</f>
        <v/>
      </c>
      <c r="AI861" s="79">
        <f>IF(AND(B861&lt;&gt;"",K861&lt;&gt;"",U861&lt;&gt;"Yes",X861&lt;&gt;"Yes"),1,0)</f>
        <v/>
      </c>
      <c r="AJ861" s="79">
        <f>IF(Y861="⚠️ Order late — install at risk",1,0)</f>
        <v/>
      </c>
    </row>
    <row r="862" ht="20" customHeight="1">
      <c r="B862" s="72" t="n"/>
      <c r="C862" s="72" t="n"/>
      <c r="D862" s="72" t="n"/>
      <c r="E862" s="72" t="n"/>
      <c r="F862" s="73" t="n"/>
      <c r="G862" s="72" t="n"/>
      <c r="H862" s="73" t="n"/>
      <c r="I862" s="72" t="n"/>
      <c r="J862" s="73" t="n"/>
      <c r="K862" s="74" t="n"/>
      <c r="L862" s="75">
        <f>IF(K862="A",F862,IF(K862="B",H862,IF(K862="C",J862,"")))</f>
        <v/>
      </c>
      <c r="M862" s="72" t="n"/>
      <c r="N862" s="72" t="n"/>
      <c r="O862" s="89" t="n"/>
      <c r="P862" s="89" t="n"/>
      <c r="Q862" s="109" t="n"/>
      <c r="R862" s="120">
        <f>IF(B862="","",IF(Q862&lt;&gt;"",Q862,IF(P862="","",IFERROR(INDEX('Timeline'!$J$7:$J$1006,MATCH(P862,'Timeline'!$B$7:$B$1006,0)),""))))</f>
        <v/>
      </c>
      <c r="S862" s="126">
        <f>IF(R862="","",R862-IF(O862="",0,O862)-OrderBuf)</f>
        <v/>
      </c>
      <c r="T862" s="126">
        <f>IF(S862="","",S862-DecideBuf)</f>
        <v/>
      </c>
      <c r="U862" s="74" t="n"/>
      <c r="V862" s="109" t="n"/>
      <c r="W862" s="109" t="n"/>
      <c r="X862" s="74" t="n"/>
      <c r="Y862" s="116">
        <f>IF(B862="","",IF(X862="Yes","Delivered",IF(U862="Yes",IF(AND(W862&lt;&gt;"",R862&lt;&gt;""),IF(W862&gt;R862,"⚠️ Delivery after install date","Ordered"),"Ordered"),IF(K862="",IF(T862="","Waiting for decision",IF(T862&lt;=AsOf+AlertDays,"Decide now","Waiting for decision")),IF(S862="","Selected",IF(AsOf&gt;S862,"⚠️ Order late — install at risk",IF(S862&lt;=AsOf+AlertDays,"Order now","Selected")))))))</f>
        <v/>
      </c>
      <c r="Z862" s="79">
        <f>IF(B862="","",IF(OR(AH862=1,AE862=1),2,IF(OR(AG862=1,AF862=1),1,IF(OR(Y862="Ordered",Y862="Delivered"),0,""))))</f>
        <v/>
      </c>
      <c r="AA862" s="112">
        <f>IF(B862="","",IF(AH862=1,IF(Y862="⚠️ Delivery after install date",R862,S862),IF(AD862=1,T862,IF(AI862=1,S862,""))))</f>
        <v/>
      </c>
      <c r="AB862" s="79">
        <f>IF(AA862="","",IF(AH862=1,1,IF(AA862="","",IF(AA862&lt;AsOf,1,IF(AA862&lt;=AsOf+AlertDays,2,IF(AA862&lt;=AsOf+2*AlertDays,3,""))))))</f>
        <v/>
      </c>
      <c r="AC862" s="79">
        <f>IF(AB862="","",IF(AH862=1,IF(Y862="⚠️ Delivery after install date","Delivery after install date: "&amp;B862,"Order late — install at risk: "&amp;B862),IF(AD862=1,IF(AB862=1,"Decision overdue: ","Decide: ")&amp;B862,"Order: "&amp;B862&amp;IF(N862="",""," from "&amp;N862))))</f>
        <v/>
      </c>
      <c r="AD862" s="79">
        <f>IF(AND(B862&lt;&gt;"",K862="",U862&lt;&gt;"Yes",X862&lt;&gt;"Yes"),1,0)</f>
        <v/>
      </c>
      <c r="AE862" s="79">
        <f>IF(AND(AD862=1,T862&lt;&gt;""),IF(T862&lt;AsOf,1,0),0)</f>
        <v/>
      </c>
      <c r="AF862" s="79">
        <f>IF(AND(AD862=1,T862&lt;&gt;""),IF(AND(T862&gt;=AsOf,T862&lt;=AsOf+AlertDays),1,0),0)</f>
        <v/>
      </c>
      <c r="AG862" s="79">
        <f>IF(Y862="Order now",1,0)</f>
        <v/>
      </c>
      <c r="AH862" s="79">
        <f>IF(OR(Y862="⚠️ Order late — install at risk",Y862="⚠️ Delivery after install date"),1,0)</f>
        <v/>
      </c>
      <c r="AI862" s="79">
        <f>IF(AND(B862&lt;&gt;"",K862&lt;&gt;"",U862&lt;&gt;"Yes",X862&lt;&gt;"Yes"),1,0)</f>
        <v/>
      </c>
      <c r="AJ862" s="79">
        <f>IF(Y862="⚠️ Order late — install at risk",1,0)</f>
        <v/>
      </c>
    </row>
    <row r="863" ht="20" customHeight="1">
      <c r="B863" s="72" t="n"/>
      <c r="C863" s="72" t="n"/>
      <c r="D863" s="72" t="n"/>
      <c r="E863" s="72" t="n"/>
      <c r="F863" s="73" t="n"/>
      <c r="G863" s="72" t="n"/>
      <c r="H863" s="73" t="n"/>
      <c r="I863" s="72" t="n"/>
      <c r="J863" s="73" t="n"/>
      <c r="K863" s="74" t="n"/>
      <c r="L863" s="75">
        <f>IF(K863="A",F863,IF(K863="B",H863,IF(K863="C",J863,"")))</f>
        <v/>
      </c>
      <c r="M863" s="72" t="n"/>
      <c r="N863" s="72" t="n"/>
      <c r="O863" s="89" t="n"/>
      <c r="P863" s="89" t="n"/>
      <c r="Q863" s="109" t="n"/>
      <c r="R863" s="120">
        <f>IF(B863="","",IF(Q863&lt;&gt;"",Q863,IF(P863="","",IFERROR(INDEX('Timeline'!$J$7:$J$1006,MATCH(P863,'Timeline'!$B$7:$B$1006,0)),""))))</f>
        <v/>
      </c>
      <c r="S863" s="126">
        <f>IF(R863="","",R863-IF(O863="",0,O863)-OrderBuf)</f>
        <v/>
      </c>
      <c r="T863" s="126">
        <f>IF(S863="","",S863-DecideBuf)</f>
        <v/>
      </c>
      <c r="U863" s="74" t="n"/>
      <c r="V863" s="109" t="n"/>
      <c r="W863" s="109" t="n"/>
      <c r="X863" s="74" t="n"/>
      <c r="Y863" s="116">
        <f>IF(B863="","",IF(X863="Yes","Delivered",IF(U863="Yes",IF(AND(W863&lt;&gt;"",R863&lt;&gt;""),IF(W863&gt;R863,"⚠️ Delivery after install date","Ordered"),"Ordered"),IF(K863="",IF(T863="","Waiting for decision",IF(T863&lt;=AsOf+AlertDays,"Decide now","Waiting for decision")),IF(S863="","Selected",IF(AsOf&gt;S863,"⚠️ Order late — install at risk",IF(S863&lt;=AsOf+AlertDays,"Order now","Selected")))))))</f>
        <v/>
      </c>
      <c r="Z863" s="79">
        <f>IF(B863="","",IF(OR(AH863=1,AE863=1),2,IF(OR(AG863=1,AF863=1),1,IF(OR(Y863="Ordered",Y863="Delivered"),0,""))))</f>
        <v/>
      </c>
      <c r="AA863" s="112">
        <f>IF(B863="","",IF(AH863=1,IF(Y863="⚠️ Delivery after install date",R863,S863),IF(AD863=1,T863,IF(AI863=1,S863,""))))</f>
        <v/>
      </c>
      <c r="AB863" s="79">
        <f>IF(AA863="","",IF(AH863=1,1,IF(AA863="","",IF(AA863&lt;AsOf,1,IF(AA863&lt;=AsOf+AlertDays,2,IF(AA863&lt;=AsOf+2*AlertDays,3,""))))))</f>
        <v/>
      </c>
      <c r="AC863" s="79">
        <f>IF(AB863="","",IF(AH863=1,IF(Y863="⚠️ Delivery after install date","Delivery after install date: "&amp;B863,"Order late — install at risk: "&amp;B863),IF(AD863=1,IF(AB863=1,"Decision overdue: ","Decide: ")&amp;B863,"Order: "&amp;B863&amp;IF(N863="",""," from "&amp;N863))))</f>
        <v/>
      </c>
      <c r="AD863" s="79">
        <f>IF(AND(B863&lt;&gt;"",K863="",U863&lt;&gt;"Yes",X863&lt;&gt;"Yes"),1,0)</f>
        <v/>
      </c>
      <c r="AE863" s="79">
        <f>IF(AND(AD863=1,T863&lt;&gt;""),IF(T863&lt;AsOf,1,0),0)</f>
        <v/>
      </c>
      <c r="AF863" s="79">
        <f>IF(AND(AD863=1,T863&lt;&gt;""),IF(AND(T863&gt;=AsOf,T863&lt;=AsOf+AlertDays),1,0),0)</f>
        <v/>
      </c>
      <c r="AG863" s="79">
        <f>IF(Y863="Order now",1,0)</f>
        <v/>
      </c>
      <c r="AH863" s="79">
        <f>IF(OR(Y863="⚠️ Order late — install at risk",Y863="⚠️ Delivery after install date"),1,0)</f>
        <v/>
      </c>
      <c r="AI863" s="79">
        <f>IF(AND(B863&lt;&gt;"",K863&lt;&gt;"",U863&lt;&gt;"Yes",X863&lt;&gt;"Yes"),1,0)</f>
        <v/>
      </c>
      <c r="AJ863" s="79">
        <f>IF(Y863="⚠️ Order late — install at risk",1,0)</f>
        <v/>
      </c>
    </row>
    <row r="864" ht="20" customHeight="1">
      <c r="B864" s="72" t="n"/>
      <c r="C864" s="72" t="n"/>
      <c r="D864" s="72" t="n"/>
      <c r="E864" s="72" t="n"/>
      <c r="F864" s="73" t="n"/>
      <c r="G864" s="72" t="n"/>
      <c r="H864" s="73" t="n"/>
      <c r="I864" s="72" t="n"/>
      <c r="J864" s="73" t="n"/>
      <c r="K864" s="74" t="n"/>
      <c r="L864" s="75">
        <f>IF(K864="A",F864,IF(K864="B",H864,IF(K864="C",J864,"")))</f>
        <v/>
      </c>
      <c r="M864" s="72" t="n"/>
      <c r="N864" s="72" t="n"/>
      <c r="O864" s="89" t="n"/>
      <c r="P864" s="89" t="n"/>
      <c r="Q864" s="109" t="n"/>
      <c r="R864" s="120">
        <f>IF(B864="","",IF(Q864&lt;&gt;"",Q864,IF(P864="","",IFERROR(INDEX('Timeline'!$J$7:$J$1006,MATCH(P864,'Timeline'!$B$7:$B$1006,0)),""))))</f>
        <v/>
      </c>
      <c r="S864" s="126">
        <f>IF(R864="","",R864-IF(O864="",0,O864)-OrderBuf)</f>
        <v/>
      </c>
      <c r="T864" s="126">
        <f>IF(S864="","",S864-DecideBuf)</f>
        <v/>
      </c>
      <c r="U864" s="74" t="n"/>
      <c r="V864" s="109" t="n"/>
      <c r="W864" s="109" t="n"/>
      <c r="X864" s="74" t="n"/>
      <c r="Y864" s="116">
        <f>IF(B864="","",IF(X864="Yes","Delivered",IF(U864="Yes",IF(AND(W864&lt;&gt;"",R864&lt;&gt;""),IF(W864&gt;R864,"⚠️ Delivery after install date","Ordered"),"Ordered"),IF(K864="",IF(T864="","Waiting for decision",IF(T864&lt;=AsOf+AlertDays,"Decide now","Waiting for decision")),IF(S864="","Selected",IF(AsOf&gt;S864,"⚠️ Order late — install at risk",IF(S864&lt;=AsOf+AlertDays,"Order now","Selected")))))))</f>
        <v/>
      </c>
      <c r="Z864" s="79">
        <f>IF(B864="","",IF(OR(AH864=1,AE864=1),2,IF(OR(AG864=1,AF864=1),1,IF(OR(Y864="Ordered",Y864="Delivered"),0,""))))</f>
        <v/>
      </c>
      <c r="AA864" s="112">
        <f>IF(B864="","",IF(AH864=1,IF(Y864="⚠️ Delivery after install date",R864,S864),IF(AD864=1,T864,IF(AI864=1,S864,""))))</f>
        <v/>
      </c>
      <c r="AB864" s="79">
        <f>IF(AA864="","",IF(AH864=1,1,IF(AA864="","",IF(AA864&lt;AsOf,1,IF(AA864&lt;=AsOf+AlertDays,2,IF(AA864&lt;=AsOf+2*AlertDays,3,""))))))</f>
        <v/>
      </c>
      <c r="AC864" s="79">
        <f>IF(AB864="","",IF(AH864=1,IF(Y864="⚠️ Delivery after install date","Delivery after install date: "&amp;B864,"Order late — install at risk: "&amp;B864),IF(AD864=1,IF(AB864=1,"Decision overdue: ","Decide: ")&amp;B864,"Order: "&amp;B864&amp;IF(N864="",""," from "&amp;N864))))</f>
        <v/>
      </c>
      <c r="AD864" s="79">
        <f>IF(AND(B864&lt;&gt;"",K864="",U864&lt;&gt;"Yes",X864&lt;&gt;"Yes"),1,0)</f>
        <v/>
      </c>
      <c r="AE864" s="79">
        <f>IF(AND(AD864=1,T864&lt;&gt;""),IF(T864&lt;AsOf,1,0),0)</f>
        <v/>
      </c>
      <c r="AF864" s="79">
        <f>IF(AND(AD864=1,T864&lt;&gt;""),IF(AND(T864&gt;=AsOf,T864&lt;=AsOf+AlertDays),1,0),0)</f>
        <v/>
      </c>
      <c r="AG864" s="79">
        <f>IF(Y864="Order now",1,0)</f>
        <v/>
      </c>
      <c r="AH864" s="79">
        <f>IF(OR(Y864="⚠️ Order late — install at risk",Y864="⚠️ Delivery after install date"),1,0)</f>
        <v/>
      </c>
      <c r="AI864" s="79">
        <f>IF(AND(B864&lt;&gt;"",K864&lt;&gt;"",U864&lt;&gt;"Yes",X864&lt;&gt;"Yes"),1,0)</f>
        <v/>
      </c>
      <c r="AJ864" s="79">
        <f>IF(Y864="⚠️ Order late — install at risk",1,0)</f>
        <v/>
      </c>
    </row>
    <row r="865" ht="20" customHeight="1">
      <c r="B865" s="72" t="n"/>
      <c r="C865" s="72" t="n"/>
      <c r="D865" s="72" t="n"/>
      <c r="E865" s="72" t="n"/>
      <c r="F865" s="73" t="n"/>
      <c r="G865" s="72" t="n"/>
      <c r="H865" s="73" t="n"/>
      <c r="I865" s="72" t="n"/>
      <c r="J865" s="73" t="n"/>
      <c r="K865" s="74" t="n"/>
      <c r="L865" s="75">
        <f>IF(K865="A",F865,IF(K865="B",H865,IF(K865="C",J865,"")))</f>
        <v/>
      </c>
      <c r="M865" s="72" t="n"/>
      <c r="N865" s="72" t="n"/>
      <c r="O865" s="89" t="n"/>
      <c r="P865" s="89" t="n"/>
      <c r="Q865" s="109" t="n"/>
      <c r="R865" s="120">
        <f>IF(B865="","",IF(Q865&lt;&gt;"",Q865,IF(P865="","",IFERROR(INDEX('Timeline'!$J$7:$J$1006,MATCH(P865,'Timeline'!$B$7:$B$1006,0)),""))))</f>
        <v/>
      </c>
      <c r="S865" s="126">
        <f>IF(R865="","",R865-IF(O865="",0,O865)-OrderBuf)</f>
        <v/>
      </c>
      <c r="T865" s="126">
        <f>IF(S865="","",S865-DecideBuf)</f>
        <v/>
      </c>
      <c r="U865" s="74" t="n"/>
      <c r="V865" s="109" t="n"/>
      <c r="W865" s="109" t="n"/>
      <c r="X865" s="74" t="n"/>
      <c r="Y865" s="116">
        <f>IF(B865="","",IF(X865="Yes","Delivered",IF(U865="Yes",IF(AND(W865&lt;&gt;"",R865&lt;&gt;""),IF(W865&gt;R865,"⚠️ Delivery after install date","Ordered"),"Ordered"),IF(K865="",IF(T865="","Waiting for decision",IF(T865&lt;=AsOf+AlertDays,"Decide now","Waiting for decision")),IF(S865="","Selected",IF(AsOf&gt;S865,"⚠️ Order late — install at risk",IF(S865&lt;=AsOf+AlertDays,"Order now","Selected")))))))</f>
        <v/>
      </c>
      <c r="Z865" s="79">
        <f>IF(B865="","",IF(OR(AH865=1,AE865=1),2,IF(OR(AG865=1,AF865=1),1,IF(OR(Y865="Ordered",Y865="Delivered"),0,""))))</f>
        <v/>
      </c>
      <c r="AA865" s="112">
        <f>IF(B865="","",IF(AH865=1,IF(Y865="⚠️ Delivery after install date",R865,S865),IF(AD865=1,T865,IF(AI865=1,S865,""))))</f>
        <v/>
      </c>
      <c r="AB865" s="79">
        <f>IF(AA865="","",IF(AH865=1,1,IF(AA865="","",IF(AA865&lt;AsOf,1,IF(AA865&lt;=AsOf+AlertDays,2,IF(AA865&lt;=AsOf+2*AlertDays,3,""))))))</f>
        <v/>
      </c>
      <c r="AC865" s="79">
        <f>IF(AB865="","",IF(AH865=1,IF(Y865="⚠️ Delivery after install date","Delivery after install date: "&amp;B865,"Order late — install at risk: "&amp;B865),IF(AD865=1,IF(AB865=1,"Decision overdue: ","Decide: ")&amp;B865,"Order: "&amp;B865&amp;IF(N865="",""," from "&amp;N865))))</f>
        <v/>
      </c>
      <c r="AD865" s="79">
        <f>IF(AND(B865&lt;&gt;"",K865="",U865&lt;&gt;"Yes",X865&lt;&gt;"Yes"),1,0)</f>
        <v/>
      </c>
      <c r="AE865" s="79">
        <f>IF(AND(AD865=1,T865&lt;&gt;""),IF(T865&lt;AsOf,1,0),0)</f>
        <v/>
      </c>
      <c r="AF865" s="79">
        <f>IF(AND(AD865=1,T865&lt;&gt;""),IF(AND(T865&gt;=AsOf,T865&lt;=AsOf+AlertDays),1,0),0)</f>
        <v/>
      </c>
      <c r="AG865" s="79">
        <f>IF(Y865="Order now",1,0)</f>
        <v/>
      </c>
      <c r="AH865" s="79">
        <f>IF(OR(Y865="⚠️ Order late — install at risk",Y865="⚠️ Delivery after install date"),1,0)</f>
        <v/>
      </c>
      <c r="AI865" s="79">
        <f>IF(AND(B865&lt;&gt;"",K865&lt;&gt;"",U865&lt;&gt;"Yes",X865&lt;&gt;"Yes"),1,0)</f>
        <v/>
      </c>
      <c r="AJ865" s="79">
        <f>IF(Y865="⚠️ Order late — install at risk",1,0)</f>
        <v/>
      </c>
    </row>
    <row r="866" ht="20" customHeight="1">
      <c r="B866" s="72" t="n"/>
      <c r="C866" s="72" t="n"/>
      <c r="D866" s="72" t="n"/>
      <c r="E866" s="72" t="n"/>
      <c r="F866" s="73" t="n"/>
      <c r="G866" s="72" t="n"/>
      <c r="H866" s="73" t="n"/>
      <c r="I866" s="72" t="n"/>
      <c r="J866" s="73" t="n"/>
      <c r="K866" s="74" t="n"/>
      <c r="L866" s="75">
        <f>IF(K866="A",F866,IF(K866="B",H866,IF(K866="C",J866,"")))</f>
        <v/>
      </c>
      <c r="M866" s="72" t="n"/>
      <c r="N866" s="72" t="n"/>
      <c r="O866" s="89" t="n"/>
      <c r="P866" s="89" t="n"/>
      <c r="Q866" s="109" t="n"/>
      <c r="R866" s="120">
        <f>IF(B866="","",IF(Q866&lt;&gt;"",Q866,IF(P866="","",IFERROR(INDEX('Timeline'!$J$7:$J$1006,MATCH(P866,'Timeline'!$B$7:$B$1006,0)),""))))</f>
        <v/>
      </c>
      <c r="S866" s="126">
        <f>IF(R866="","",R866-IF(O866="",0,O866)-OrderBuf)</f>
        <v/>
      </c>
      <c r="T866" s="126">
        <f>IF(S866="","",S866-DecideBuf)</f>
        <v/>
      </c>
      <c r="U866" s="74" t="n"/>
      <c r="V866" s="109" t="n"/>
      <c r="W866" s="109" t="n"/>
      <c r="X866" s="74" t="n"/>
      <c r="Y866" s="116">
        <f>IF(B866="","",IF(X866="Yes","Delivered",IF(U866="Yes",IF(AND(W866&lt;&gt;"",R866&lt;&gt;""),IF(W866&gt;R866,"⚠️ Delivery after install date","Ordered"),"Ordered"),IF(K866="",IF(T866="","Waiting for decision",IF(T866&lt;=AsOf+AlertDays,"Decide now","Waiting for decision")),IF(S866="","Selected",IF(AsOf&gt;S866,"⚠️ Order late — install at risk",IF(S866&lt;=AsOf+AlertDays,"Order now","Selected")))))))</f>
        <v/>
      </c>
      <c r="Z866" s="79">
        <f>IF(B866="","",IF(OR(AH866=1,AE866=1),2,IF(OR(AG866=1,AF866=1),1,IF(OR(Y866="Ordered",Y866="Delivered"),0,""))))</f>
        <v/>
      </c>
      <c r="AA866" s="112">
        <f>IF(B866="","",IF(AH866=1,IF(Y866="⚠️ Delivery after install date",R866,S866),IF(AD866=1,T866,IF(AI866=1,S866,""))))</f>
        <v/>
      </c>
      <c r="AB866" s="79">
        <f>IF(AA866="","",IF(AH866=1,1,IF(AA866="","",IF(AA866&lt;AsOf,1,IF(AA866&lt;=AsOf+AlertDays,2,IF(AA866&lt;=AsOf+2*AlertDays,3,""))))))</f>
        <v/>
      </c>
      <c r="AC866" s="79">
        <f>IF(AB866="","",IF(AH866=1,IF(Y866="⚠️ Delivery after install date","Delivery after install date: "&amp;B866,"Order late — install at risk: "&amp;B866),IF(AD866=1,IF(AB866=1,"Decision overdue: ","Decide: ")&amp;B866,"Order: "&amp;B866&amp;IF(N866="",""," from "&amp;N866))))</f>
        <v/>
      </c>
      <c r="AD866" s="79">
        <f>IF(AND(B866&lt;&gt;"",K866="",U866&lt;&gt;"Yes",X866&lt;&gt;"Yes"),1,0)</f>
        <v/>
      </c>
      <c r="AE866" s="79">
        <f>IF(AND(AD866=1,T866&lt;&gt;""),IF(T866&lt;AsOf,1,0),0)</f>
        <v/>
      </c>
      <c r="AF866" s="79">
        <f>IF(AND(AD866=1,T866&lt;&gt;""),IF(AND(T866&gt;=AsOf,T866&lt;=AsOf+AlertDays),1,0),0)</f>
        <v/>
      </c>
      <c r="AG866" s="79">
        <f>IF(Y866="Order now",1,0)</f>
        <v/>
      </c>
      <c r="AH866" s="79">
        <f>IF(OR(Y866="⚠️ Order late — install at risk",Y866="⚠️ Delivery after install date"),1,0)</f>
        <v/>
      </c>
      <c r="AI866" s="79">
        <f>IF(AND(B866&lt;&gt;"",K866&lt;&gt;"",U866&lt;&gt;"Yes",X866&lt;&gt;"Yes"),1,0)</f>
        <v/>
      </c>
      <c r="AJ866" s="79">
        <f>IF(Y866="⚠️ Order late — install at risk",1,0)</f>
        <v/>
      </c>
    </row>
    <row r="867" ht="20" customHeight="1">
      <c r="B867" s="72" t="n"/>
      <c r="C867" s="72" t="n"/>
      <c r="D867" s="72" t="n"/>
      <c r="E867" s="72" t="n"/>
      <c r="F867" s="73" t="n"/>
      <c r="G867" s="72" t="n"/>
      <c r="H867" s="73" t="n"/>
      <c r="I867" s="72" t="n"/>
      <c r="J867" s="73" t="n"/>
      <c r="K867" s="74" t="n"/>
      <c r="L867" s="75">
        <f>IF(K867="A",F867,IF(K867="B",H867,IF(K867="C",J867,"")))</f>
        <v/>
      </c>
      <c r="M867" s="72" t="n"/>
      <c r="N867" s="72" t="n"/>
      <c r="O867" s="89" t="n"/>
      <c r="P867" s="89" t="n"/>
      <c r="Q867" s="109" t="n"/>
      <c r="R867" s="120">
        <f>IF(B867="","",IF(Q867&lt;&gt;"",Q867,IF(P867="","",IFERROR(INDEX('Timeline'!$J$7:$J$1006,MATCH(P867,'Timeline'!$B$7:$B$1006,0)),""))))</f>
        <v/>
      </c>
      <c r="S867" s="126">
        <f>IF(R867="","",R867-IF(O867="",0,O867)-OrderBuf)</f>
        <v/>
      </c>
      <c r="T867" s="126">
        <f>IF(S867="","",S867-DecideBuf)</f>
        <v/>
      </c>
      <c r="U867" s="74" t="n"/>
      <c r="V867" s="109" t="n"/>
      <c r="W867" s="109" t="n"/>
      <c r="X867" s="74" t="n"/>
      <c r="Y867" s="116">
        <f>IF(B867="","",IF(X867="Yes","Delivered",IF(U867="Yes",IF(AND(W867&lt;&gt;"",R867&lt;&gt;""),IF(W867&gt;R867,"⚠️ Delivery after install date","Ordered"),"Ordered"),IF(K867="",IF(T867="","Waiting for decision",IF(T867&lt;=AsOf+AlertDays,"Decide now","Waiting for decision")),IF(S867="","Selected",IF(AsOf&gt;S867,"⚠️ Order late — install at risk",IF(S867&lt;=AsOf+AlertDays,"Order now","Selected")))))))</f>
        <v/>
      </c>
      <c r="Z867" s="79">
        <f>IF(B867="","",IF(OR(AH867=1,AE867=1),2,IF(OR(AG867=1,AF867=1),1,IF(OR(Y867="Ordered",Y867="Delivered"),0,""))))</f>
        <v/>
      </c>
      <c r="AA867" s="112">
        <f>IF(B867="","",IF(AH867=1,IF(Y867="⚠️ Delivery after install date",R867,S867),IF(AD867=1,T867,IF(AI867=1,S867,""))))</f>
        <v/>
      </c>
      <c r="AB867" s="79">
        <f>IF(AA867="","",IF(AH867=1,1,IF(AA867="","",IF(AA867&lt;AsOf,1,IF(AA867&lt;=AsOf+AlertDays,2,IF(AA867&lt;=AsOf+2*AlertDays,3,""))))))</f>
        <v/>
      </c>
      <c r="AC867" s="79">
        <f>IF(AB867="","",IF(AH867=1,IF(Y867="⚠️ Delivery after install date","Delivery after install date: "&amp;B867,"Order late — install at risk: "&amp;B867),IF(AD867=1,IF(AB867=1,"Decision overdue: ","Decide: ")&amp;B867,"Order: "&amp;B867&amp;IF(N867="",""," from "&amp;N867))))</f>
        <v/>
      </c>
      <c r="AD867" s="79">
        <f>IF(AND(B867&lt;&gt;"",K867="",U867&lt;&gt;"Yes",X867&lt;&gt;"Yes"),1,0)</f>
        <v/>
      </c>
      <c r="AE867" s="79">
        <f>IF(AND(AD867=1,T867&lt;&gt;""),IF(T867&lt;AsOf,1,0),0)</f>
        <v/>
      </c>
      <c r="AF867" s="79">
        <f>IF(AND(AD867=1,T867&lt;&gt;""),IF(AND(T867&gt;=AsOf,T867&lt;=AsOf+AlertDays),1,0),0)</f>
        <v/>
      </c>
      <c r="AG867" s="79">
        <f>IF(Y867="Order now",1,0)</f>
        <v/>
      </c>
      <c r="AH867" s="79">
        <f>IF(OR(Y867="⚠️ Order late — install at risk",Y867="⚠️ Delivery after install date"),1,0)</f>
        <v/>
      </c>
      <c r="AI867" s="79">
        <f>IF(AND(B867&lt;&gt;"",K867&lt;&gt;"",U867&lt;&gt;"Yes",X867&lt;&gt;"Yes"),1,0)</f>
        <v/>
      </c>
      <c r="AJ867" s="79">
        <f>IF(Y867="⚠️ Order late — install at risk",1,0)</f>
        <v/>
      </c>
    </row>
    <row r="868" ht="20" customHeight="1">
      <c r="B868" s="72" t="n"/>
      <c r="C868" s="72" t="n"/>
      <c r="D868" s="72" t="n"/>
      <c r="E868" s="72" t="n"/>
      <c r="F868" s="73" t="n"/>
      <c r="G868" s="72" t="n"/>
      <c r="H868" s="73" t="n"/>
      <c r="I868" s="72" t="n"/>
      <c r="J868" s="73" t="n"/>
      <c r="K868" s="74" t="n"/>
      <c r="L868" s="75">
        <f>IF(K868="A",F868,IF(K868="B",H868,IF(K868="C",J868,"")))</f>
        <v/>
      </c>
      <c r="M868" s="72" t="n"/>
      <c r="N868" s="72" t="n"/>
      <c r="O868" s="89" t="n"/>
      <c r="P868" s="89" t="n"/>
      <c r="Q868" s="109" t="n"/>
      <c r="R868" s="120">
        <f>IF(B868="","",IF(Q868&lt;&gt;"",Q868,IF(P868="","",IFERROR(INDEX('Timeline'!$J$7:$J$1006,MATCH(P868,'Timeline'!$B$7:$B$1006,0)),""))))</f>
        <v/>
      </c>
      <c r="S868" s="126">
        <f>IF(R868="","",R868-IF(O868="",0,O868)-OrderBuf)</f>
        <v/>
      </c>
      <c r="T868" s="126">
        <f>IF(S868="","",S868-DecideBuf)</f>
        <v/>
      </c>
      <c r="U868" s="74" t="n"/>
      <c r="V868" s="109" t="n"/>
      <c r="W868" s="109" t="n"/>
      <c r="X868" s="74" t="n"/>
      <c r="Y868" s="116">
        <f>IF(B868="","",IF(X868="Yes","Delivered",IF(U868="Yes",IF(AND(W868&lt;&gt;"",R868&lt;&gt;""),IF(W868&gt;R868,"⚠️ Delivery after install date","Ordered"),"Ordered"),IF(K868="",IF(T868="","Waiting for decision",IF(T868&lt;=AsOf+AlertDays,"Decide now","Waiting for decision")),IF(S868="","Selected",IF(AsOf&gt;S868,"⚠️ Order late — install at risk",IF(S868&lt;=AsOf+AlertDays,"Order now","Selected")))))))</f>
        <v/>
      </c>
      <c r="Z868" s="79">
        <f>IF(B868="","",IF(OR(AH868=1,AE868=1),2,IF(OR(AG868=1,AF868=1),1,IF(OR(Y868="Ordered",Y868="Delivered"),0,""))))</f>
        <v/>
      </c>
      <c r="AA868" s="112">
        <f>IF(B868="","",IF(AH868=1,IF(Y868="⚠️ Delivery after install date",R868,S868),IF(AD868=1,T868,IF(AI868=1,S868,""))))</f>
        <v/>
      </c>
      <c r="AB868" s="79">
        <f>IF(AA868="","",IF(AH868=1,1,IF(AA868="","",IF(AA868&lt;AsOf,1,IF(AA868&lt;=AsOf+AlertDays,2,IF(AA868&lt;=AsOf+2*AlertDays,3,""))))))</f>
        <v/>
      </c>
      <c r="AC868" s="79">
        <f>IF(AB868="","",IF(AH868=1,IF(Y868="⚠️ Delivery after install date","Delivery after install date: "&amp;B868,"Order late — install at risk: "&amp;B868),IF(AD868=1,IF(AB868=1,"Decision overdue: ","Decide: ")&amp;B868,"Order: "&amp;B868&amp;IF(N868="",""," from "&amp;N868))))</f>
        <v/>
      </c>
      <c r="AD868" s="79">
        <f>IF(AND(B868&lt;&gt;"",K868="",U868&lt;&gt;"Yes",X868&lt;&gt;"Yes"),1,0)</f>
        <v/>
      </c>
      <c r="AE868" s="79">
        <f>IF(AND(AD868=1,T868&lt;&gt;""),IF(T868&lt;AsOf,1,0),0)</f>
        <v/>
      </c>
      <c r="AF868" s="79">
        <f>IF(AND(AD868=1,T868&lt;&gt;""),IF(AND(T868&gt;=AsOf,T868&lt;=AsOf+AlertDays),1,0),0)</f>
        <v/>
      </c>
      <c r="AG868" s="79">
        <f>IF(Y868="Order now",1,0)</f>
        <v/>
      </c>
      <c r="AH868" s="79">
        <f>IF(OR(Y868="⚠️ Order late — install at risk",Y868="⚠️ Delivery after install date"),1,0)</f>
        <v/>
      </c>
      <c r="AI868" s="79">
        <f>IF(AND(B868&lt;&gt;"",K868&lt;&gt;"",U868&lt;&gt;"Yes",X868&lt;&gt;"Yes"),1,0)</f>
        <v/>
      </c>
      <c r="AJ868" s="79">
        <f>IF(Y868="⚠️ Order late — install at risk",1,0)</f>
        <v/>
      </c>
    </row>
    <row r="869" ht="20" customHeight="1">
      <c r="B869" s="72" t="n"/>
      <c r="C869" s="72" t="n"/>
      <c r="D869" s="72" t="n"/>
      <c r="E869" s="72" t="n"/>
      <c r="F869" s="73" t="n"/>
      <c r="G869" s="72" t="n"/>
      <c r="H869" s="73" t="n"/>
      <c r="I869" s="72" t="n"/>
      <c r="J869" s="73" t="n"/>
      <c r="K869" s="74" t="n"/>
      <c r="L869" s="75">
        <f>IF(K869="A",F869,IF(K869="B",H869,IF(K869="C",J869,"")))</f>
        <v/>
      </c>
      <c r="M869" s="72" t="n"/>
      <c r="N869" s="72" t="n"/>
      <c r="O869" s="89" t="n"/>
      <c r="P869" s="89" t="n"/>
      <c r="Q869" s="109" t="n"/>
      <c r="R869" s="120">
        <f>IF(B869="","",IF(Q869&lt;&gt;"",Q869,IF(P869="","",IFERROR(INDEX('Timeline'!$J$7:$J$1006,MATCH(P869,'Timeline'!$B$7:$B$1006,0)),""))))</f>
        <v/>
      </c>
      <c r="S869" s="126">
        <f>IF(R869="","",R869-IF(O869="",0,O869)-OrderBuf)</f>
        <v/>
      </c>
      <c r="T869" s="126">
        <f>IF(S869="","",S869-DecideBuf)</f>
        <v/>
      </c>
      <c r="U869" s="74" t="n"/>
      <c r="V869" s="109" t="n"/>
      <c r="W869" s="109" t="n"/>
      <c r="X869" s="74" t="n"/>
      <c r="Y869" s="116">
        <f>IF(B869="","",IF(X869="Yes","Delivered",IF(U869="Yes",IF(AND(W869&lt;&gt;"",R869&lt;&gt;""),IF(W869&gt;R869,"⚠️ Delivery after install date","Ordered"),"Ordered"),IF(K869="",IF(T869="","Waiting for decision",IF(T869&lt;=AsOf+AlertDays,"Decide now","Waiting for decision")),IF(S869="","Selected",IF(AsOf&gt;S869,"⚠️ Order late — install at risk",IF(S869&lt;=AsOf+AlertDays,"Order now","Selected")))))))</f>
        <v/>
      </c>
      <c r="Z869" s="79">
        <f>IF(B869="","",IF(OR(AH869=1,AE869=1),2,IF(OR(AG869=1,AF869=1),1,IF(OR(Y869="Ordered",Y869="Delivered"),0,""))))</f>
        <v/>
      </c>
      <c r="AA869" s="112">
        <f>IF(B869="","",IF(AH869=1,IF(Y869="⚠️ Delivery after install date",R869,S869),IF(AD869=1,T869,IF(AI869=1,S869,""))))</f>
        <v/>
      </c>
      <c r="AB869" s="79">
        <f>IF(AA869="","",IF(AH869=1,1,IF(AA869="","",IF(AA869&lt;AsOf,1,IF(AA869&lt;=AsOf+AlertDays,2,IF(AA869&lt;=AsOf+2*AlertDays,3,""))))))</f>
        <v/>
      </c>
      <c r="AC869" s="79">
        <f>IF(AB869="","",IF(AH869=1,IF(Y869="⚠️ Delivery after install date","Delivery after install date: "&amp;B869,"Order late — install at risk: "&amp;B869),IF(AD869=1,IF(AB869=1,"Decision overdue: ","Decide: ")&amp;B869,"Order: "&amp;B869&amp;IF(N869="",""," from "&amp;N869))))</f>
        <v/>
      </c>
      <c r="AD869" s="79">
        <f>IF(AND(B869&lt;&gt;"",K869="",U869&lt;&gt;"Yes",X869&lt;&gt;"Yes"),1,0)</f>
        <v/>
      </c>
      <c r="AE869" s="79">
        <f>IF(AND(AD869=1,T869&lt;&gt;""),IF(T869&lt;AsOf,1,0),0)</f>
        <v/>
      </c>
      <c r="AF869" s="79">
        <f>IF(AND(AD869=1,T869&lt;&gt;""),IF(AND(T869&gt;=AsOf,T869&lt;=AsOf+AlertDays),1,0),0)</f>
        <v/>
      </c>
      <c r="AG869" s="79">
        <f>IF(Y869="Order now",1,0)</f>
        <v/>
      </c>
      <c r="AH869" s="79">
        <f>IF(OR(Y869="⚠️ Order late — install at risk",Y869="⚠️ Delivery after install date"),1,0)</f>
        <v/>
      </c>
      <c r="AI869" s="79">
        <f>IF(AND(B869&lt;&gt;"",K869&lt;&gt;"",U869&lt;&gt;"Yes",X869&lt;&gt;"Yes"),1,0)</f>
        <v/>
      </c>
      <c r="AJ869" s="79">
        <f>IF(Y869="⚠️ Order late — install at risk",1,0)</f>
        <v/>
      </c>
    </row>
    <row r="870" ht="20" customHeight="1">
      <c r="B870" s="72" t="n"/>
      <c r="C870" s="72" t="n"/>
      <c r="D870" s="72" t="n"/>
      <c r="E870" s="72" t="n"/>
      <c r="F870" s="73" t="n"/>
      <c r="G870" s="72" t="n"/>
      <c r="H870" s="73" t="n"/>
      <c r="I870" s="72" t="n"/>
      <c r="J870" s="73" t="n"/>
      <c r="K870" s="74" t="n"/>
      <c r="L870" s="75">
        <f>IF(K870="A",F870,IF(K870="B",H870,IF(K870="C",J870,"")))</f>
        <v/>
      </c>
      <c r="M870" s="72" t="n"/>
      <c r="N870" s="72" t="n"/>
      <c r="O870" s="89" t="n"/>
      <c r="P870" s="89" t="n"/>
      <c r="Q870" s="109" t="n"/>
      <c r="R870" s="120">
        <f>IF(B870="","",IF(Q870&lt;&gt;"",Q870,IF(P870="","",IFERROR(INDEX('Timeline'!$J$7:$J$1006,MATCH(P870,'Timeline'!$B$7:$B$1006,0)),""))))</f>
        <v/>
      </c>
      <c r="S870" s="126">
        <f>IF(R870="","",R870-IF(O870="",0,O870)-OrderBuf)</f>
        <v/>
      </c>
      <c r="T870" s="126">
        <f>IF(S870="","",S870-DecideBuf)</f>
        <v/>
      </c>
      <c r="U870" s="74" t="n"/>
      <c r="V870" s="109" t="n"/>
      <c r="W870" s="109" t="n"/>
      <c r="X870" s="74" t="n"/>
      <c r="Y870" s="116">
        <f>IF(B870="","",IF(X870="Yes","Delivered",IF(U870="Yes",IF(AND(W870&lt;&gt;"",R870&lt;&gt;""),IF(W870&gt;R870,"⚠️ Delivery after install date","Ordered"),"Ordered"),IF(K870="",IF(T870="","Waiting for decision",IF(T870&lt;=AsOf+AlertDays,"Decide now","Waiting for decision")),IF(S870="","Selected",IF(AsOf&gt;S870,"⚠️ Order late — install at risk",IF(S870&lt;=AsOf+AlertDays,"Order now","Selected")))))))</f>
        <v/>
      </c>
      <c r="Z870" s="79">
        <f>IF(B870="","",IF(OR(AH870=1,AE870=1),2,IF(OR(AG870=1,AF870=1),1,IF(OR(Y870="Ordered",Y870="Delivered"),0,""))))</f>
        <v/>
      </c>
      <c r="AA870" s="112">
        <f>IF(B870="","",IF(AH870=1,IF(Y870="⚠️ Delivery after install date",R870,S870),IF(AD870=1,T870,IF(AI870=1,S870,""))))</f>
        <v/>
      </c>
      <c r="AB870" s="79">
        <f>IF(AA870="","",IF(AH870=1,1,IF(AA870="","",IF(AA870&lt;AsOf,1,IF(AA870&lt;=AsOf+AlertDays,2,IF(AA870&lt;=AsOf+2*AlertDays,3,""))))))</f>
        <v/>
      </c>
      <c r="AC870" s="79">
        <f>IF(AB870="","",IF(AH870=1,IF(Y870="⚠️ Delivery after install date","Delivery after install date: "&amp;B870,"Order late — install at risk: "&amp;B870),IF(AD870=1,IF(AB870=1,"Decision overdue: ","Decide: ")&amp;B870,"Order: "&amp;B870&amp;IF(N870="",""," from "&amp;N870))))</f>
        <v/>
      </c>
      <c r="AD870" s="79">
        <f>IF(AND(B870&lt;&gt;"",K870="",U870&lt;&gt;"Yes",X870&lt;&gt;"Yes"),1,0)</f>
        <v/>
      </c>
      <c r="AE870" s="79">
        <f>IF(AND(AD870=1,T870&lt;&gt;""),IF(T870&lt;AsOf,1,0),0)</f>
        <v/>
      </c>
      <c r="AF870" s="79">
        <f>IF(AND(AD870=1,T870&lt;&gt;""),IF(AND(T870&gt;=AsOf,T870&lt;=AsOf+AlertDays),1,0),0)</f>
        <v/>
      </c>
      <c r="AG870" s="79">
        <f>IF(Y870="Order now",1,0)</f>
        <v/>
      </c>
      <c r="AH870" s="79">
        <f>IF(OR(Y870="⚠️ Order late — install at risk",Y870="⚠️ Delivery after install date"),1,0)</f>
        <v/>
      </c>
      <c r="AI870" s="79">
        <f>IF(AND(B870&lt;&gt;"",K870&lt;&gt;"",U870&lt;&gt;"Yes",X870&lt;&gt;"Yes"),1,0)</f>
        <v/>
      </c>
      <c r="AJ870" s="79">
        <f>IF(Y870="⚠️ Order late — install at risk",1,0)</f>
        <v/>
      </c>
    </row>
    <row r="871" ht="20" customHeight="1">
      <c r="B871" s="72" t="n"/>
      <c r="C871" s="72" t="n"/>
      <c r="D871" s="72" t="n"/>
      <c r="E871" s="72" t="n"/>
      <c r="F871" s="73" t="n"/>
      <c r="G871" s="72" t="n"/>
      <c r="H871" s="73" t="n"/>
      <c r="I871" s="72" t="n"/>
      <c r="J871" s="73" t="n"/>
      <c r="K871" s="74" t="n"/>
      <c r="L871" s="75">
        <f>IF(K871="A",F871,IF(K871="B",H871,IF(K871="C",J871,"")))</f>
        <v/>
      </c>
      <c r="M871" s="72" t="n"/>
      <c r="N871" s="72" t="n"/>
      <c r="O871" s="89" t="n"/>
      <c r="P871" s="89" t="n"/>
      <c r="Q871" s="109" t="n"/>
      <c r="R871" s="120">
        <f>IF(B871="","",IF(Q871&lt;&gt;"",Q871,IF(P871="","",IFERROR(INDEX('Timeline'!$J$7:$J$1006,MATCH(P871,'Timeline'!$B$7:$B$1006,0)),""))))</f>
        <v/>
      </c>
      <c r="S871" s="126">
        <f>IF(R871="","",R871-IF(O871="",0,O871)-OrderBuf)</f>
        <v/>
      </c>
      <c r="T871" s="126">
        <f>IF(S871="","",S871-DecideBuf)</f>
        <v/>
      </c>
      <c r="U871" s="74" t="n"/>
      <c r="V871" s="109" t="n"/>
      <c r="W871" s="109" t="n"/>
      <c r="X871" s="74" t="n"/>
      <c r="Y871" s="116">
        <f>IF(B871="","",IF(X871="Yes","Delivered",IF(U871="Yes",IF(AND(W871&lt;&gt;"",R871&lt;&gt;""),IF(W871&gt;R871,"⚠️ Delivery after install date","Ordered"),"Ordered"),IF(K871="",IF(T871="","Waiting for decision",IF(T871&lt;=AsOf+AlertDays,"Decide now","Waiting for decision")),IF(S871="","Selected",IF(AsOf&gt;S871,"⚠️ Order late — install at risk",IF(S871&lt;=AsOf+AlertDays,"Order now","Selected")))))))</f>
        <v/>
      </c>
      <c r="Z871" s="79">
        <f>IF(B871="","",IF(OR(AH871=1,AE871=1),2,IF(OR(AG871=1,AF871=1),1,IF(OR(Y871="Ordered",Y871="Delivered"),0,""))))</f>
        <v/>
      </c>
      <c r="AA871" s="112">
        <f>IF(B871="","",IF(AH871=1,IF(Y871="⚠️ Delivery after install date",R871,S871),IF(AD871=1,T871,IF(AI871=1,S871,""))))</f>
        <v/>
      </c>
      <c r="AB871" s="79">
        <f>IF(AA871="","",IF(AH871=1,1,IF(AA871="","",IF(AA871&lt;AsOf,1,IF(AA871&lt;=AsOf+AlertDays,2,IF(AA871&lt;=AsOf+2*AlertDays,3,""))))))</f>
        <v/>
      </c>
      <c r="AC871" s="79">
        <f>IF(AB871="","",IF(AH871=1,IF(Y871="⚠️ Delivery after install date","Delivery after install date: "&amp;B871,"Order late — install at risk: "&amp;B871),IF(AD871=1,IF(AB871=1,"Decision overdue: ","Decide: ")&amp;B871,"Order: "&amp;B871&amp;IF(N871="",""," from "&amp;N871))))</f>
        <v/>
      </c>
      <c r="AD871" s="79">
        <f>IF(AND(B871&lt;&gt;"",K871="",U871&lt;&gt;"Yes",X871&lt;&gt;"Yes"),1,0)</f>
        <v/>
      </c>
      <c r="AE871" s="79">
        <f>IF(AND(AD871=1,T871&lt;&gt;""),IF(T871&lt;AsOf,1,0),0)</f>
        <v/>
      </c>
      <c r="AF871" s="79">
        <f>IF(AND(AD871=1,T871&lt;&gt;""),IF(AND(T871&gt;=AsOf,T871&lt;=AsOf+AlertDays),1,0),0)</f>
        <v/>
      </c>
      <c r="AG871" s="79">
        <f>IF(Y871="Order now",1,0)</f>
        <v/>
      </c>
      <c r="AH871" s="79">
        <f>IF(OR(Y871="⚠️ Order late — install at risk",Y871="⚠️ Delivery after install date"),1,0)</f>
        <v/>
      </c>
      <c r="AI871" s="79">
        <f>IF(AND(B871&lt;&gt;"",K871&lt;&gt;"",U871&lt;&gt;"Yes",X871&lt;&gt;"Yes"),1,0)</f>
        <v/>
      </c>
      <c r="AJ871" s="79">
        <f>IF(Y871="⚠️ Order late — install at risk",1,0)</f>
        <v/>
      </c>
    </row>
    <row r="872" ht="20" customHeight="1">
      <c r="B872" s="72" t="n"/>
      <c r="C872" s="72" t="n"/>
      <c r="D872" s="72" t="n"/>
      <c r="E872" s="72" t="n"/>
      <c r="F872" s="73" t="n"/>
      <c r="G872" s="72" t="n"/>
      <c r="H872" s="73" t="n"/>
      <c r="I872" s="72" t="n"/>
      <c r="J872" s="73" t="n"/>
      <c r="K872" s="74" t="n"/>
      <c r="L872" s="75">
        <f>IF(K872="A",F872,IF(K872="B",H872,IF(K872="C",J872,"")))</f>
        <v/>
      </c>
      <c r="M872" s="72" t="n"/>
      <c r="N872" s="72" t="n"/>
      <c r="O872" s="89" t="n"/>
      <c r="P872" s="89" t="n"/>
      <c r="Q872" s="109" t="n"/>
      <c r="R872" s="120">
        <f>IF(B872="","",IF(Q872&lt;&gt;"",Q872,IF(P872="","",IFERROR(INDEX('Timeline'!$J$7:$J$1006,MATCH(P872,'Timeline'!$B$7:$B$1006,0)),""))))</f>
        <v/>
      </c>
      <c r="S872" s="126">
        <f>IF(R872="","",R872-IF(O872="",0,O872)-OrderBuf)</f>
        <v/>
      </c>
      <c r="T872" s="126">
        <f>IF(S872="","",S872-DecideBuf)</f>
        <v/>
      </c>
      <c r="U872" s="74" t="n"/>
      <c r="V872" s="109" t="n"/>
      <c r="W872" s="109" t="n"/>
      <c r="X872" s="74" t="n"/>
      <c r="Y872" s="116">
        <f>IF(B872="","",IF(X872="Yes","Delivered",IF(U872="Yes",IF(AND(W872&lt;&gt;"",R872&lt;&gt;""),IF(W872&gt;R872,"⚠️ Delivery after install date","Ordered"),"Ordered"),IF(K872="",IF(T872="","Waiting for decision",IF(T872&lt;=AsOf+AlertDays,"Decide now","Waiting for decision")),IF(S872="","Selected",IF(AsOf&gt;S872,"⚠️ Order late — install at risk",IF(S872&lt;=AsOf+AlertDays,"Order now","Selected")))))))</f>
        <v/>
      </c>
      <c r="Z872" s="79">
        <f>IF(B872="","",IF(OR(AH872=1,AE872=1),2,IF(OR(AG872=1,AF872=1),1,IF(OR(Y872="Ordered",Y872="Delivered"),0,""))))</f>
        <v/>
      </c>
      <c r="AA872" s="112">
        <f>IF(B872="","",IF(AH872=1,IF(Y872="⚠️ Delivery after install date",R872,S872),IF(AD872=1,T872,IF(AI872=1,S872,""))))</f>
        <v/>
      </c>
      <c r="AB872" s="79">
        <f>IF(AA872="","",IF(AH872=1,1,IF(AA872="","",IF(AA872&lt;AsOf,1,IF(AA872&lt;=AsOf+AlertDays,2,IF(AA872&lt;=AsOf+2*AlertDays,3,""))))))</f>
        <v/>
      </c>
      <c r="AC872" s="79">
        <f>IF(AB872="","",IF(AH872=1,IF(Y872="⚠️ Delivery after install date","Delivery after install date: "&amp;B872,"Order late — install at risk: "&amp;B872),IF(AD872=1,IF(AB872=1,"Decision overdue: ","Decide: ")&amp;B872,"Order: "&amp;B872&amp;IF(N872="",""," from "&amp;N872))))</f>
        <v/>
      </c>
      <c r="AD872" s="79">
        <f>IF(AND(B872&lt;&gt;"",K872="",U872&lt;&gt;"Yes",X872&lt;&gt;"Yes"),1,0)</f>
        <v/>
      </c>
      <c r="AE872" s="79">
        <f>IF(AND(AD872=1,T872&lt;&gt;""),IF(T872&lt;AsOf,1,0),0)</f>
        <v/>
      </c>
      <c r="AF872" s="79">
        <f>IF(AND(AD872=1,T872&lt;&gt;""),IF(AND(T872&gt;=AsOf,T872&lt;=AsOf+AlertDays),1,0),0)</f>
        <v/>
      </c>
      <c r="AG872" s="79">
        <f>IF(Y872="Order now",1,0)</f>
        <v/>
      </c>
      <c r="AH872" s="79">
        <f>IF(OR(Y872="⚠️ Order late — install at risk",Y872="⚠️ Delivery after install date"),1,0)</f>
        <v/>
      </c>
      <c r="AI872" s="79">
        <f>IF(AND(B872&lt;&gt;"",K872&lt;&gt;"",U872&lt;&gt;"Yes",X872&lt;&gt;"Yes"),1,0)</f>
        <v/>
      </c>
      <c r="AJ872" s="79">
        <f>IF(Y872="⚠️ Order late — install at risk",1,0)</f>
        <v/>
      </c>
    </row>
    <row r="873" ht="20" customHeight="1">
      <c r="B873" s="72" t="n"/>
      <c r="C873" s="72" t="n"/>
      <c r="D873" s="72" t="n"/>
      <c r="E873" s="72" t="n"/>
      <c r="F873" s="73" t="n"/>
      <c r="G873" s="72" t="n"/>
      <c r="H873" s="73" t="n"/>
      <c r="I873" s="72" t="n"/>
      <c r="J873" s="73" t="n"/>
      <c r="K873" s="74" t="n"/>
      <c r="L873" s="75">
        <f>IF(K873="A",F873,IF(K873="B",H873,IF(K873="C",J873,"")))</f>
        <v/>
      </c>
      <c r="M873" s="72" t="n"/>
      <c r="N873" s="72" t="n"/>
      <c r="O873" s="89" t="n"/>
      <c r="P873" s="89" t="n"/>
      <c r="Q873" s="109" t="n"/>
      <c r="R873" s="120">
        <f>IF(B873="","",IF(Q873&lt;&gt;"",Q873,IF(P873="","",IFERROR(INDEX('Timeline'!$J$7:$J$1006,MATCH(P873,'Timeline'!$B$7:$B$1006,0)),""))))</f>
        <v/>
      </c>
      <c r="S873" s="126">
        <f>IF(R873="","",R873-IF(O873="",0,O873)-OrderBuf)</f>
        <v/>
      </c>
      <c r="T873" s="126">
        <f>IF(S873="","",S873-DecideBuf)</f>
        <v/>
      </c>
      <c r="U873" s="74" t="n"/>
      <c r="V873" s="109" t="n"/>
      <c r="W873" s="109" t="n"/>
      <c r="X873" s="74" t="n"/>
      <c r="Y873" s="116">
        <f>IF(B873="","",IF(X873="Yes","Delivered",IF(U873="Yes",IF(AND(W873&lt;&gt;"",R873&lt;&gt;""),IF(W873&gt;R873,"⚠️ Delivery after install date","Ordered"),"Ordered"),IF(K873="",IF(T873="","Waiting for decision",IF(T873&lt;=AsOf+AlertDays,"Decide now","Waiting for decision")),IF(S873="","Selected",IF(AsOf&gt;S873,"⚠️ Order late — install at risk",IF(S873&lt;=AsOf+AlertDays,"Order now","Selected")))))))</f>
        <v/>
      </c>
      <c r="Z873" s="79">
        <f>IF(B873="","",IF(OR(AH873=1,AE873=1),2,IF(OR(AG873=1,AF873=1),1,IF(OR(Y873="Ordered",Y873="Delivered"),0,""))))</f>
        <v/>
      </c>
      <c r="AA873" s="112">
        <f>IF(B873="","",IF(AH873=1,IF(Y873="⚠️ Delivery after install date",R873,S873),IF(AD873=1,T873,IF(AI873=1,S873,""))))</f>
        <v/>
      </c>
      <c r="AB873" s="79">
        <f>IF(AA873="","",IF(AH873=1,1,IF(AA873="","",IF(AA873&lt;AsOf,1,IF(AA873&lt;=AsOf+AlertDays,2,IF(AA873&lt;=AsOf+2*AlertDays,3,""))))))</f>
        <v/>
      </c>
      <c r="AC873" s="79">
        <f>IF(AB873="","",IF(AH873=1,IF(Y873="⚠️ Delivery after install date","Delivery after install date: "&amp;B873,"Order late — install at risk: "&amp;B873),IF(AD873=1,IF(AB873=1,"Decision overdue: ","Decide: ")&amp;B873,"Order: "&amp;B873&amp;IF(N873="",""," from "&amp;N873))))</f>
        <v/>
      </c>
      <c r="AD873" s="79">
        <f>IF(AND(B873&lt;&gt;"",K873="",U873&lt;&gt;"Yes",X873&lt;&gt;"Yes"),1,0)</f>
        <v/>
      </c>
      <c r="AE873" s="79">
        <f>IF(AND(AD873=1,T873&lt;&gt;""),IF(T873&lt;AsOf,1,0),0)</f>
        <v/>
      </c>
      <c r="AF873" s="79">
        <f>IF(AND(AD873=1,T873&lt;&gt;""),IF(AND(T873&gt;=AsOf,T873&lt;=AsOf+AlertDays),1,0),0)</f>
        <v/>
      </c>
      <c r="AG873" s="79">
        <f>IF(Y873="Order now",1,0)</f>
        <v/>
      </c>
      <c r="AH873" s="79">
        <f>IF(OR(Y873="⚠️ Order late — install at risk",Y873="⚠️ Delivery after install date"),1,0)</f>
        <v/>
      </c>
      <c r="AI873" s="79">
        <f>IF(AND(B873&lt;&gt;"",K873&lt;&gt;"",U873&lt;&gt;"Yes",X873&lt;&gt;"Yes"),1,0)</f>
        <v/>
      </c>
      <c r="AJ873" s="79">
        <f>IF(Y873="⚠️ Order late — install at risk",1,0)</f>
        <v/>
      </c>
    </row>
    <row r="874" ht="20" customHeight="1">
      <c r="B874" s="72" t="n"/>
      <c r="C874" s="72" t="n"/>
      <c r="D874" s="72" t="n"/>
      <c r="E874" s="72" t="n"/>
      <c r="F874" s="73" t="n"/>
      <c r="G874" s="72" t="n"/>
      <c r="H874" s="73" t="n"/>
      <c r="I874" s="72" t="n"/>
      <c r="J874" s="73" t="n"/>
      <c r="K874" s="74" t="n"/>
      <c r="L874" s="75">
        <f>IF(K874="A",F874,IF(K874="B",H874,IF(K874="C",J874,"")))</f>
        <v/>
      </c>
      <c r="M874" s="72" t="n"/>
      <c r="N874" s="72" t="n"/>
      <c r="O874" s="89" t="n"/>
      <c r="P874" s="89" t="n"/>
      <c r="Q874" s="109" t="n"/>
      <c r="R874" s="120">
        <f>IF(B874="","",IF(Q874&lt;&gt;"",Q874,IF(P874="","",IFERROR(INDEX('Timeline'!$J$7:$J$1006,MATCH(P874,'Timeline'!$B$7:$B$1006,0)),""))))</f>
        <v/>
      </c>
      <c r="S874" s="126">
        <f>IF(R874="","",R874-IF(O874="",0,O874)-OrderBuf)</f>
        <v/>
      </c>
      <c r="T874" s="126">
        <f>IF(S874="","",S874-DecideBuf)</f>
        <v/>
      </c>
      <c r="U874" s="74" t="n"/>
      <c r="V874" s="109" t="n"/>
      <c r="W874" s="109" t="n"/>
      <c r="X874" s="74" t="n"/>
      <c r="Y874" s="116">
        <f>IF(B874="","",IF(X874="Yes","Delivered",IF(U874="Yes",IF(AND(W874&lt;&gt;"",R874&lt;&gt;""),IF(W874&gt;R874,"⚠️ Delivery after install date","Ordered"),"Ordered"),IF(K874="",IF(T874="","Waiting for decision",IF(T874&lt;=AsOf+AlertDays,"Decide now","Waiting for decision")),IF(S874="","Selected",IF(AsOf&gt;S874,"⚠️ Order late — install at risk",IF(S874&lt;=AsOf+AlertDays,"Order now","Selected")))))))</f>
        <v/>
      </c>
      <c r="Z874" s="79">
        <f>IF(B874="","",IF(OR(AH874=1,AE874=1),2,IF(OR(AG874=1,AF874=1),1,IF(OR(Y874="Ordered",Y874="Delivered"),0,""))))</f>
        <v/>
      </c>
      <c r="AA874" s="112">
        <f>IF(B874="","",IF(AH874=1,IF(Y874="⚠️ Delivery after install date",R874,S874),IF(AD874=1,T874,IF(AI874=1,S874,""))))</f>
        <v/>
      </c>
      <c r="AB874" s="79">
        <f>IF(AA874="","",IF(AH874=1,1,IF(AA874="","",IF(AA874&lt;AsOf,1,IF(AA874&lt;=AsOf+AlertDays,2,IF(AA874&lt;=AsOf+2*AlertDays,3,""))))))</f>
        <v/>
      </c>
      <c r="AC874" s="79">
        <f>IF(AB874="","",IF(AH874=1,IF(Y874="⚠️ Delivery after install date","Delivery after install date: "&amp;B874,"Order late — install at risk: "&amp;B874),IF(AD874=1,IF(AB874=1,"Decision overdue: ","Decide: ")&amp;B874,"Order: "&amp;B874&amp;IF(N874="",""," from "&amp;N874))))</f>
        <v/>
      </c>
      <c r="AD874" s="79">
        <f>IF(AND(B874&lt;&gt;"",K874="",U874&lt;&gt;"Yes",X874&lt;&gt;"Yes"),1,0)</f>
        <v/>
      </c>
      <c r="AE874" s="79">
        <f>IF(AND(AD874=1,T874&lt;&gt;""),IF(T874&lt;AsOf,1,0),0)</f>
        <v/>
      </c>
      <c r="AF874" s="79">
        <f>IF(AND(AD874=1,T874&lt;&gt;""),IF(AND(T874&gt;=AsOf,T874&lt;=AsOf+AlertDays),1,0),0)</f>
        <v/>
      </c>
      <c r="AG874" s="79">
        <f>IF(Y874="Order now",1,0)</f>
        <v/>
      </c>
      <c r="AH874" s="79">
        <f>IF(OR(Y874="⚠️ Order late — install at risk",Y874="⚠️ Delivery after install date"),1,0)</f>
        <v/>
      </c>
      <c r="AI874" s="79">
        <f>IF(AND(B874&lt;&gt;"",K874&lt;&gt;"",U874&lt;&gt;"Yes",X874&lt;&gt;"Yes"),1,0)</f>
        <v/>
      </c>
      <c r="AJ874" s="79">
        <f>IF(Y874="⚠️ Order late — install at risk",1,0)</f>
        <v/>
      </c>
    </row>
    <row r="875" ht="20" customHeight="1">
      <c r="B875" s="72" t="n"/>
      <c r="C875" s="72" t="n"/>
      <c r="D875" s="72" t="n"/>
      <c r="E875" s="72" t="n"/>
      <c r="F875" s="73" t="n"/>
      <c r="G875" s="72" t="n"/>
      <c r="H875" s="73" t="n"/>
      <c r="I875" s="72" t="n"/>
      <c r="J875" s="73" t="n"/>
      <c r="K875" s="74" t="n"/>
      <c r="L875" s="75">
        <f>IF(K875="A",F875,IF(K875="B",H875,IF(K875="C",J875,"")))</f>
        <v/>
      </c>
      <c r="M875" s="72" t="n"/>
      <c r="N875" s="72" t="n"/>
      <c r="O875" s="89" t="n"/>
      <c r="P875" s="89" t="n"/>
      <c r="Q875" s="109" t="n"/>
      <c r="R875" s="120">
        <f>IF(B875="","",IF(Q875&lt;&gt;"",Q875,IF(P875="","",IFERROR(INDEX('Timeline'!$J$7:$J$1006,MATCH(P875,'Timeline'!$B$7:$B$1006,0)),""))))</f>
        <v/>
      </c>
      <c r="S875" s="126">
        <f>IF(R875="","",R875-IF(O875="",0,O875)-OrderBuf)</f>
        <v/>
      </c>
      <c r="T875" s="126">
        <f>IF(S875="","",S875-DecideBuf)</f>
        <v/>
      </c>
      <c r="U875" s="74" t="n"/>
      <c r="V875" s="109" t="n"/>
      <c r="W875" s="109" t="n"/>
      <c r="X875" s="74" t="n"/>
      <c r="Y875" s="116">
        <f>IF(B875="","",IF(X875="Yes","Delivered",IF(U875="Yes",IF(AND(W875&lt;&gt;"",R875&lt;&gt;""),IF(W875&gt;R875,"⚠️ Delivery after install date","Ordered"),"Ordered"),IF(K875="",IF(T875="","Waiting for decision",IF(T875&lt;=AsOf+AlertDays,"Decide now","Waiting for decision")),IF(S875="","Selected",IF(AsOf&gt;S875,"⚠️ Order late — install at risk",IF(S875&lt;=AsOf+AlertDays,"Order now","Selected")))))))</f>
        <v/>
      </c>
      <c r="Z875" s="79">
        <f>IF(B875="","",IF(OR(AH875=1,AE875=1),2,IF(OR(AG875=1,AF875=1),1,IF(OR(Y875="Ordered",Y875="Delivered"),0,""))))</f>
        <v/>
      </c>
      <c r="AA875" s="112">
        <f>IF(B875="","",IF(AH875=1,IF(Y875="⚠️ Delivery after install date",R875,S875),IF(AD875=1,T875,IF(AI875=1,S875,""))))</f>
        <v/>
      </c>
      <c r="AB875" s="79">
        <f>IF(AA875="","",IF(AH875=1,1,IF(AA875="","",IF(AA875&lt;AsOf,1,IF(AA875&lt;=AsOf+AlertDays,2,IF(AA875&lt;=AsOf+2*AlertDays,3,""))))))</f>
        <v/>
      </c>
      <c r="AC875" s="79">
        <f>IF(AB875="","",IF(AH875=1,IF(Y875="⚠️ Delivery after install date","Delivery after install date: "&amp;B875,"Order late — install at risk: "&amp;B875),IF(AD875=1,IF(AB875=1,"Decision overdue: ","Decide: ")&amp;B875,"Order: "&amp;B875&amp;IF(N875="",""," from "&amp;N875))))</f>
        <v/>
      </c>
      <c r="AD875" s="79">
        <f>IF(AND(B875&lt;&gt;"",K875="",U875&lt;&gt;"Yes",X875&lt;&gt;"Yes"),1,0)</f>
        <v/>
      </c>
      <c r="AE875" s="79">
        <f>IF(AND(AD875=1,T875&lt;&gt;""),IF(T875&lt;AsOf,1,0),0)</f>
        <v/>
      </c>
      <c r="AF875" s="79">
        <f>IF(AND(AD875=1,T875&lt;&gt;""),IF(AND(T875&gt;=AsOf,T875&lt;=AsOf+AlertDays),1,0),0)</f>
        <v/>
      </c>
      <c r="AG875" s="79">
        <f>IF(Y875="Order now",1,0)</f>
        <v/>
      </c>
      <c r="AH875" s="79">
        <f>IF(OR(Y875="⚠️ Order late — install at risk",Y875="⚠️ Delivery after install date"),1,0)</f>
        <v/>
      </c>
      <c r="AI875" s="79">
        <f>IF(AND(B875&lt;&gt;"",K875&lt;&gt;"",U875&lt;&gt;"Yes",X875&lt;&gt;"Yes"),1,0)</f>
        <v/>
      </c>
      <c r="AJ875" s="79">
        <f>IF(Y875="⚠️ Order late — install at risk",1,0)</f>
        <v/>
      </c>
    </row>
    <row r="876" ht="20" customHeight="1">
      <c r="B876" s="72" t="n"/>
      <c r="C876" s="72" t="n"/>
      <c r="D876" s="72" t="n"/>
      <c r="E876" s="72" t="n"/>
      <c r="F876" s="73" t="n"/>
      <c r="G876" s="72" t="n"/>
      <c r="H876" s="73" t="n"/>
      <c r="I876" s="72" t="n"/>
      <c r="J876" s="73" t="n"/>
      <c r="K876" s="74" t="n"/>
      <c r="L876" s="75">
        <f>IF(K876="A",F876,IF(K876="B",H876,IF(K876="C",J876,"")))</f>
        <v/>
      </c>
      <c r="M876" s="72" t="n"/>
      <c r="N876" s="72" t="n"/>
      <c r="O876" s="89" t="n"/>
      <c r="P876" s="89" t="n"/>
      <c r="Q876" s="109" t="n"/>
      <c r="R876" s="120">
        <f>IF(B876="","",IF(Q876&lt;&gt;"",Q876,IF(P876="","",IFERROR(INDEX('Timeline'!$J$7:$J$1006,MATCH(P876,'Timeline'!$B$7:$B$1006,0)),""))))</f>
        <v/>
      </c>
      <c r="S876" s="126">
        <f>IF(R876="","",R876-IF(O876="",0,O876)-OrderBuf)</f>
        <v/>
      </c>
      <c r="T876" s="126">
        <f>IF(S876="","",S876-DecideBuf)</f>
        <v/>
      </c>
      <c r="U876" s="74" t="n"/>
      <c r="V876" s="109" t="n"/>
      <c r="W876" s="109" t="n"/>
      <c r="X876" s="74" t="n"/>
      <c r="Y876" s="116">
        <f>IF(B876="","",IF(X876="Yes","Delivered",IF(U876="Yes",IF(AND(W876&lt;&gt;"",R876&lt;&gt;""),IF(W876&gt;R876,"⚠️ Delivery after install date","Ordered"),"Ordered"),IF(K876="",IF(T876="","Waiting for decision",IF(T876&lt;=AsOf+AlertDays,"Decide now","Waiting for decision")),IF(S876="","Selected",IF(AsOf&gt;S876,"⚠️ Order late — install at risk",IF(S876&lt;=AsOf+AlertDays,"Order now","Selected")))))))</f>
        <v/>
      </c>
      <c r="Z876" s="79">
        <f>IF(B876="","",IF(OR(AH876=1,AE876=1),2,IF(OR(AG876=1,AF876=1),1,IF(OR(Y876="Ordered",Y876="Delivered"),0,""))))</f>
        <v/>
      </c>
      <c r="AA876" s="112">
        <f>IF(B876="","",IF(AH876=1,IF(Y876="⚠️ Delivery after install date",R876,S876),IF(AD876=1,T876,IF(AI876=1,S876,""))))</f>
        <v/>
      </c>
      <c r="AB876" s="79">
        <f>IF(AA876="","",IF(AH876=1,1,IF(AA876="","",IF(AA876&lt;AsOf,1,IF(AA876&lt;=AsOf+AlertDays,2,IF(AA876&lt;=AsOf+2*AlertDays,3,""))))))</f>
        <v/>
      </c>
      <c r="AC876" s="79">
        <f>IF(AB876="","",IF(AH876=1,IF(Y876="⚠️ Delivery after install date","Delivery after install date: "&amp;B876,"Order late — install at risk: "&amp;B876),IF(AD876=1,IF(AB876=1,"Decision overdue: ","Decide: ")&amp;B876,"Order: "&amp;B876&amp;IF(N876="",""," from "&amp;N876))))</f>
        <v/>
      </c>
      <c r="AD876" s="79">
        <f>IF(AND(B876&lt;&gt;"",K876="",U876&lt;&gt;"Yes",X876&lt;&gt;"Yes"),1,0)</f>
        <v/>
      </c>
      <c r="AE876" s="79">
        <f>IF(AND(AD876=1,T876&lt;&gt;""),IF(T876&lt;AsOf,1,0),0)</f>
        <v/>
      </c>
      <c r="AF876" s="79">
        <f>IF(AND(AD876=1,T876&lt;&gt;""),IF(AND(T876&gt;=AsOf,T876&lt;=AsOf+AlertDays),1,0),0)</f>
        <v/>
      </c>
      <c r="AG876" s="79">
        <f>IF(Y876="Order now",1,0)</f>
        <v/>
      </c>
      <c r="AH876" s="79">
        <f>IF(OR(Y876="⚠️ Order late — install at risk",Y876="⚠️ Delivery after install date"),1,0)</f>
        <v/>
      </c>
      <c r="AI876" s="79">
        <f>IF(AND(B876&lt;&gt;"",K876&lt;&gt;"",U876&lt;&gt;"Yes",X876&lt;&gt;"Yes"),1,0)</f>
        <v/>
      </c>
      <c r="AJ876" s="79">
        <f>IF(Y876="⚠️ Order late — install at risk",1,0)</f>
        <v/>
      </c>
    </row>
    <row r="877" ht="20" customHeight="1">
      <c r="B877" s="72" t="n"/>
      <c r="C877" s="72" t="n"/>
      <c r="D877" s="72" t="n"/>
      <c r="E877" s="72" t="n"/>
      <c r="F877" s="73" t="n"/>
      <c r="G877" s="72" t="n"/>
      <c r="H877" s="73" t="n"/>
      <c r="I877" s="72" t="n"/>
      <c r="J877" s="73" t="n"/>
      <c r="K877" s="74" t="n"/>
      <c r="L877" s="75">
        <f>IF(K877="A",F877,IF(K877="B",H877,IF(K877="C",J877,"")))</f>
        <v/>
      </c>
      <c r="M877" s="72" t="n"/>
      <c r="N877" s="72" t="n"/>
      <c r="O877" s="89" t="n"/>
      <c r="P877" s="89" t="n"/>
      <c r="Q877" s="109" t="n"/>
      <c r="R877" s="120">
        <f>IF(B877="","",IF(Q877&lt;&gt;"",Q877,IF(P877="","",IFERROR(INDEX('Timeline'!$J$7:$J$1006,MATCH(P877,'Timeline'!$B$7:$B$1006,0)),""))))</f>
        <v/>
      </c>
      <c r="S877" s="126">
        <f>IF(R877="","",R877-IF(O877="",0,O877)-OrderBuf)</f>
        <v/>
      </c>
      <c r="T877" s="126">
        <f>IF(S877="","",S877-DecideBuf)</f>
        <v/>
      </c>
      <c r="U877" s="74" t="n"/>
      <c r="V877" s="109" t="n"/>
      <c r="W877" s="109" t="n"/>
      <c r="X877" s="74" t="n"/>
      <c r="Y877" s="116">
        <f>IF(B877="","",IF(X877="Yes","Delivered",IF(U877="Yes",IF(AND(W877&lt;&gt;"",R877&lt;&gt;""),IF(W877&gt;R877,"⚠️ Delivery after install date","Ordered"),"Ordered"),IF(K877="",IF(T877="","Waiting for decision",IF(T877&lt;=AsOf+AlertDays,"Decide now","Waiting for decision")),IF(S877="","Selected",IF(AsOf&gt;S877,"⚠️ Order late — install at risk",IF(S877&lt;=AsOf+AlertDays,"Order now","Selected")))))))</f>
        <v/>
      </c>
      <c r="Z877" s="79">
        <f>IF(B877="","",IF(OR(AH877=1,AE877=1),2,IF(OR(AG877=1,AF877=1),1,IF(OR(Y877="Ordered",Y877="Delivered"),0,""))))</f>
        <v/>
      </c>
      <c r="AA877" s="112">
        <f>IF(B877="","",IF(AH877=1,IF(Y877="⚠️ Delivery after install date",R877,S877),IF(AD877=1,T877,IF(AI877=1,S877,""))))</f>
        <v/>
      </c>
      <c r="AB877" s="79">
        <f>IF(AA877="","",IF(AH877=1,1,IF(AA877="","",IF(AA877&lt;AsOf,1,IF(AA877&lt;=AsOf+AlertDays,2,IF(AA877&lt;=AsOf+2*AlertDays,3,""))))))</f>
        <v/>
      </c>
      <c r="AC877" s="79">
        <f>IF(AB877="","",IF(AH877=1,IF(Y877="⚠️ Delivery after install date","Delivery after install date: "&amp;B877,"Order late — install at risk: "&amp;B877),IF(AD877=1,IF(AB877=1,"Decision overdue: ","Decide: ")&amp;B877,"Order: "&amp;B877&amp;IF(N877="",""," from "&amp;N877))))</f>
        <v/>
      </c>
      <c r="AD877" s="79">
        <f>IF(AND(B877&lt;&gt;"",K877="",U877&lt;&gt;"Yes",X877&lt;&gt;"Yes"),1,0)</f>
        <v/>
      </c>
      <c r="AE877" s="79">
        <f>IF(AND(AD877=1,T877&lt;&gt;""),IF(T877&lt;AsOf,1,0),0)</f>
        <v/>
      </c>
      <c r="AF877" s="79">
        <f>IF(AND(AD877=1,T877&lt;&gt;""),IF(AND(T877&gt;=AsOf,T877&lt;=AsOf+AlertDays),1,0),0)</f>
        <v/>
      </c>
      <c r="AG877" s="79">
        <f>IF(Y877="Order now",1,0)</f>
        <v/>
      </c>
      <c r="AH877" s="79">
        <f>IF(OR(Y877="⚠️ Order late — install at risk",Y877="⚠️ Delivery after install date"),1,0)</f>
        <v/>
      </c>
      <c r="AI877" s="79">
        <f>IF(AND(B877&lt;&gt;"",K877&lt;&gt;"",U877&lt;&gt;"Yes",X877&lt;&gt;"Yes"),1,0)</f>
        <v/>
      </c>
      <c r="AJ877" s="79">
        <f>IF(Y877="⚠️ Order late — install at risk",1,0)</f>
        <v/>
      </c>
    </row>
    <row r="878" ht="20" customHeight="1">
      <c r="B878" s="72" t="n"/>
      <c r="C878" s="72" t="n"/>
      <c r="D878" s="72" t="n"/>
      <c r="E878" s="72" t="n"/>
      <c r="F878" s="73" t="n"/>
      <c r="G878" s="72" t="n"/>
      <c r="H878" s="73" t="n"/>
      <c r="I878" s="72" t="n"/>
      <c r="J878" s="73" t="n"/>
      <c r="K878" s="74" t="n"/>
      <c r="L878" s="75">
        <f>IF(K878="A",F878,IF(K878="B",H878,IF(K878="C",J878,"")))</f>
        <v/>
      </c>
      <c r="M878" s="72" t="n"/>
      <c r="N878" s="72" t="n"/>
      <c r="O878" s="89" t="n"/>
      <c r="P878" s="89" t="n"/>
      <c r="Q878" s="109" t="n"/>
      <c r="R878" s="120">
        <f>IF(B878="","",IF(Q878&lt;&gt;"",Q878,IF(P878="","",IFERROR(INDEX('Timeline'!$J$7:$J$1006,MATCH(P878,'Timeline'!$B$7:$B$1006,0)),""))))</f>
        <v/>
      </c>
      <c r="S878" s="126">
        <f>IF(R878="","",R878-IF(O878="",0,O878)-OrderBuf)</f>
        <v/>
      </c>
      <c r="T878" s="126">
        <f>IF(S878="","",S878-DecideBuf)</f>
        <v/>
      </c>
      <c r="U878" s="74" t="n"/>
      <c r="V878" s="109" t="n"/>
      <c r="W878" s="109" t="n"/>
      <c r="X878" s="74" t="n"/>
      <c r="Y878" s="116">
        <f>IF(B878="","",IF(X878="Yes","Delivered",IF(U878="Yes",IF(AND(W878&lt;&gt;"",R878&lt;&gt;""),IF(W878&gt;R878,"⚠️ Delivery after install date","Ordered"),"Ordered"),IF(K878="",IF(T878="","Waiting for decision",IF(T878&lt;=AsOf+AlertDays,"Decide now","Waiting for decision")),IF(S878="","Selected",IF(AsOf&gt;S878,"⚠️ Order late — install at risk",IF(S878&lt;=AsOf+AlertDays,"Order now","Selected")))))))</f>
        <v/>
      </c>
      <c r="Z878" s="79">
        <f>IF(B878="","",IF(OR(AH878=1,AE878=1),2,IF(OR(AG878=1,AF878=1),1,IF(OR(Y878="Ordered",Y878="Delivered"),0,""))))</f>
        <v/>
      </c>
      <c r="AA878" s="112">
        <f>IF(B878="","",IF(AH878=1,IF(Y878="⚠️ Delivery after install date",R878,S878),IF(AD878=1,T878,IF(AI878=1,S878,""))))</f>
        <v/>
      </c>
      <c r="AB878" s="79">
        <f>IF(AA878="","",IF(AH878=1,1,IF(AA878="","",IF(AA878&lt;AsOf,1,IF(AA878&lt;=AsOf+AlertDays,2,IF(AA878&lt;=AsOf+2*AlertDays,3,""))))))</f>
        <v/>
      </c>
      <c r="AC878" s="79">
        <f>IF(AB878="","",IF(AH878=1,IF(Y878="⚠️ Delivery after install date","Delivery after install date: "&amp;B878,"Order late — install at risk: "&amp;B878),IF(AD878=1,IF(AB878=1,"Decision overdue: ","Decide: ")&amp;B878,"Order: "&amp;B878&amp;IF(N878="",""," from "&amp;N878))))</f>
        <v/>
      </c>
      <c r="AD878" s="79">
        <f>IF(AND(B878&lt;&gt;"",K878="",U878&lt;&gt;"Yes",X878&lt;&gt;"Yes"),1,0)</f>
        <v/>
      </c>
      <c r="AE878" s="79">
        <f>IF(AND(AD878=1,T878&lt;&gt;""),IF(T878&lt;AsOf,1,0),0)</f>
        <v/>
      </c>
      <c r="AF878" s="79">
        <f>IF(AND(AD878=1,T878&lt;&gt;""),IF(AND(T878&gt;=AsOf,T878&lt;=AsOf+AlertDays),1,0),0)</f>
        <v/>
      </c>
      <c r="AG878" s="79">
        <f>IF(Y878="Order now",1,0)</f>
        <v/>
      </c>
      <c r="AH878" s="79">
        <f>IF(OR(Y878="⚠️ Order late — install at risk",Y878="⚠️ Delivery after install date"),1,0)</f>
        <v/>
      </c>
      <c r="AI878" s="79">
        <f>IF(AND(B878&lt;&gt;"",K878&lt;&gt;"",U878&lt;&gt;"Yes",X878&lt;&gt;"Yes"),1,0)</f>
        <v/>
      </c>
      <c r="AJ878" s="79">
        <f>IF(Y878="⚠️ Order late — install at risk",1,0)</f>
        <v/>
      </c>
    </row>
    <row r="879" ht="20" customHeight="1">
      <c r="B879" s="72" t="n"/>
      <c r="C879" s="72" t="n"/>
      <c r="D879" s="72" t="n"/>
      <c r="E879" s="72" t="n"/>
      <c r="F879" s="73" t="n"/>
      <c r="G879" s="72" t="n"/>
      <c r="H879" s="73" t="n"/>
      <c r="I879" s="72" t="n"/>
      <c r="J879" s="73" t="n"/>
      <c r="K879" s="74" t="n"/>
      <c r="L879" s="75">
        <f>IF(K879="A",F879,IF(K879="B",H879,IF(K879="C",J879,"")))</f>
        <v/>
      </c>
      <c r="M879" s="72" t="n"/>
      <c r="N879" s="72" t="n"/>
      <c r="O879" s="89" t="n"/>
      <c r="P879" s="89" t="n"/>
      <c r="Q879" s="109" t="n"/>
      <c r="R879" s="120">
        <f>IF(B879="","",IF(Q879&lt;&gt;"",Q879,IF(P879="","",IFERROR(INDEX('Timeline'!$J$7:$J$1006,MATCH(P879,'Timeline'!$B$7:$B$1006,0)),""))))</f>
        <v/>
      </c>
      <c r="S879" s="126">
        <f>IF(R879="","",R879-IF(O879="",0,O879)-OrderBuf)</f>
        <v/>
      </c>
      <c r="T879" s="126">
        <f>IF(S879="","",S879-DecideBuf)</f>
        <v/>
      </c>
      <c r="U879" s="74" t="n"/>
      <c r="V879" s="109" t="n"/>
      <c r="W879" s="109" t="n"/>
      <c r="X879" s="74" t="n"/>
      <c r="Y879" s="116">
        <f>IF(B879="","",IF(X879="Yes","Delivered",IF(U879="Yes",IF(AND(W879&lt;&gt;"",R879&lt;&gt;""),IF(W879&gt;R879,"⚠️ Delivery after install date","Ordered"),"Ordered"),IF(K879="",IF(T879="","Waiting for decision",IF(T879&lt;=AsOf+AlertDays,"Decide now","Waiting for decision")),IF(S879="","Selected",IF(AsOf&gt;S879,"⚠️ Order late — install at risk",IF(S879&lt;=AsOf+AlertDays,"Order now","Selected")))))))</f>
        <v/>
      </c>
      <c r="Z879" s="79">
        <f>IF(B879="","",IF(OR(AH879=1,AE879=1),2,IF(OR(AG879=1,AF879=1),1,IF(OR(Y879="Ordered",Y879="Delivered"),0,""))))</f>
        <v/>
      </c>
      <c r="AA879" s="112">
        <f>IF(B879="","",IF(AH879=1,IF(Y879="⚠️ Delivery after install date",R879,S879),IF(AD879=1,T879,IF(AI879=1,S879,""))))</f>
        <v/>
      </c>
      <c r="AB879" s="79">
        <f>IF(AA879="","",IF(AH879=1,1,IF(AA879="","",IF(AA879&lt;AsOf,1,IF(AA879&lt;=AsOf+AlertDays,2,IF(AA879&lt;=AsOf+2*AlertDays,3,""))))))</f>
        <v/>
      </c>
      <c r="AC879" s="79">
        <f>IF(AB879="","",IF(AH879=1,IF(Y879="⚠️ Delivery after install date","Delivery after install date: "&amp;B879,"Order late — install at risk: "&amp;B879),IF(AD879=1,IF(AB879=1,"Decision overdue: ","Decide: ")&amp;B879,"Order: "&amp;B879&amp;IF(N879="",""," from "&amp;N879))))</f>
        <v/>
      </c>
      <c r="AD879" s="79">
        <f>IF(AND(B879&lt;&gt;"",K879="",U879&lt;&gt;"Yes",X879&lt;&gt;"Yes"),1,0)</f>
        <v/>
      </c>
      <c r="AE879" s="79">
        <f>IF(AND(AD879=1,T879&lt;&gt;""),IF(T879&lt;AsOf,1,0),0)</f>
        <v/>
      </c>
      <c r="AF879" s="79">
        <f>IF(AND(AD879=1,T879&lt;&gt;""),IF(AND(T879&gt;=AsOf,T879&lt;=AsOf+AlertDays),1,0),0)</f>
        <v/>
      </c>
      <c r="AG879" s="79">
        <f>IF(Y879="Order now",1,0)</f>
        <v/>
      </c>
      <c r="AH879" s="79">
        <f>IF(OR(Y879="⚠️ Order late — install at risk",Y879="⚠️ Delivery after install date"),1,0)</f>
        <v/>
      </c>
      <c r="AI879" s="79">
        <f>IF(AND(B879&lt;&gt;"",K879&lt;&gt;"",U879&lt;&gt;"Yes",X879&lt;&gt;"Yes"),1,0)</f>
        <v/>
      </c>
      <c r="AJ879" s="79">
        <f>IF(Y879="⚠️ Order late — install at risk",1,0)</f>
        <v/>
      </c>
    </row>
    <row r="880" ht="20" customHeight="1">
      <c r="B880" s="72" t="n"/>
      <c r="C880" s="72" t="n"/>
      <c r="D880" s="72" t="n"/>
      <c r="E880" s="72" t="n"/>
      <c r="F880" s="73" t="n"/>
      <c r="G880" s="72" t="n"/>
      <c r="H880" s="73" t="n"/>
      <c r="I880" s="72" t="n"/>
      <c r="J880" s="73" t="n"/>
      <c r="K880" s="74" t="n"/>
      <c r="L880" s="75">
        <f>IF(K880="A",F880,IF(K880="B",H880,IF(K880="C",J880,"")))</f>
        <v/>
      </c>
      <c r="M880" s="72" t="n"/>
      <c r="N880" s="72" t="n"/>
      <c r="O880" s="89" t="n"/>
      <c r="P880" s="89" t="n"/>
      <c r="Q880" s="109" t="n"/>
      <c r="R880" s="120">
        <f>IF(B880="","",IF(Q880&lt;&gt;"",Q880,IF(P880="","",IFERROR(INDEX('Timeline'!$J$7:$J$1006,MATCH(P880,'Timeline'!$B$7:$B$1006,0)),""))))</f>
        <v/>
      </c>
      <c r="S880" s="126">
        <f>IF(R880="","",R880-IF(O880="",0,O880)-OrderBuf)</f>
        <v/>
      </c>
      <c r="T880" s="126">
        <f>IF(S880="","",S880-DecideBuf)</f>
        <v/>
      </c>
      <c r="U880" s="74" t="n"/>
      <c r="V880" s="109" t="n"/>
      <c r="W880" s="109" t="n"/>
      <c r="X880" s="74" t="n"/>
      <c r="Y880" s="116">
        <f>IF(B880="","",IF(X880="Yes","Delivered",IF(U880="Yes",IF(AND(W880&lt;&gt;"",R880&lt;&gt;""),IF(W880&gt;R880,"⚠️ Delivery after install date","Ordered"),"Ordered"),IF(K880="",IF(T880="","Waiting for decision",IF(T880&lt;=AsOf+AlertDays,"Decide now","Waiting for decision")),IF(S880="","Selected",IF(AsOf&gt;S880,"⚠️ Order late — install at risk",IF(S880&lt;=AsOf+AlertDays,"Order now","Selected")))))))</f>
        <v/>
      </c>
      <c r="Z880" s="79">
        <f>IF(B880="","",IF(OR(AH880=1,AE880=1),2,IF(OR(AG880=1,AF880=1),1,IF(OR(Y880="Ordered",Y880="Delivered"),0,""))))</f>
        <v/>
      </c>
      <c r="AA880" s="112">
        <f>IF(B880="","",IF(AH880=1,IF(Y880="⚠️ Delivery after install date",R880,S880),IF(AD880=1,T880,IF(AI880=1,S880,""))))</f>
        <v/>
      </c>
      <c r="AB880" s="79">
        <f>IF(AA880="","",IF(AH880=1,1,IF(AA880="","",IF(AA880&lt;AsOf,1,IF(AA880&lt;=AsOf+AlertDays,2,IF(AA880&lt;=AsOf+2*AlertDays,3,""))))))</f>
        <v/>
      </c>
      <c r="AC880" s="79">
        <f>IF(AB880="","",IF(AH880=1,IF(Y880="⚠️ Delivery after install date","Delivery after install date: "&amp;B880,"Order late — install at risk: "&amp;B880),IF(AD880=1,IF(AB880=1,"Decision overdue: ","Decide: ")&amp;B880,"Order: "&amp;B880&amp;IF(N880="",""," from "&amp;N880))))</f>
        <v/>
      </c>
      <c r="AD880" s="79">
        <f>IF(AND(B880&lt;&gt;"",K880="",U880&lt;&gt;"Yes",X880&lt;&gt;"Yes"),1,0)</f>
        <v/>
      </c>
      <c r="AE880" s="79">
        <f>IF(AND(AD880=1,T880&lt;&gt;""),IF(T880&lt;AsOf,1,0),0)</f>
        <v/>
      </c>
      <c r="AF880" s="79">
        <f>IF(AND(AD880=1,T880&lt;&gt;""),IF(AND(T880&gt;=AsOf,T880&lt;=AsOf+AlertDays),1,0),0)</f>
        <v/>
      </c>
      <c r="AG880" s="79">
        <f>IF(Y880="Order now",1,0)</f>
        <v/>
      </c>
      <c r="AH880" s="79">
        <f>IF(OR(Y880="⚠️ Order late — install at risk",Y880="⚠️ Delivery after install date"),1,0)</f>
        <v/>
      </c>
      <c r="AI880" s="79">
        <f>IF(AND(B880&lt;&gt;"",K880&lt;&gt;"",U880&lt;&gt;"Yes",X880&lt;&gt;"Yes"),1,0)</f>
        <v/>
      </c>
      <c r="AJ880" s="79">
        <f>IF(Y880="⚠️ Order late — install at risk",1,0)</f>
        <v/>
      </c>
    </row>
    <row r="881" ht="20" customHeight="1">
      <c r="B881" s="72" t="n"/>
      <c r="C881" s="72" t="n"/>
      <c r="D881" s="72" t="n"/>
      <c r="E881" s="72" t="n"/>
      <c r="F881" s="73" t="n"/>
      <c r="G881" s="72" t="n"/>
      <c r="H881" s="73" t="n"/>
      <c r="I881" s="72" t="n"/>
      <c r="J881" s="73" t="n"/>
      <c r="K881" s="74" t="n"/>
      <c r="L881" s="75">
        <f>IF(K881="A",F881,IF(K881="B",H881,IF(K881="C",J881,"")))</f>
        <v/>
      </c>
      <c r="M881" s="72" t="n"/>
      <c r="N881" s="72" t="n"/>
      <c r="O881" s="89" t="n"/>
      <c r="P881" s="89" t="n"/>
      <c r="Q881" s="109" t="n"/>
      <c r="R881" s="120">
        <f>IF(B881="","",IF(Q881&lt;&gt;"",Q881,IF(P881="","",IFERROR(INDEX('Timeline'!$J$7:$J$1006,MATCH(P881,'Timeline'!$B$7:$B$1006,0)),""))))</f>
        <v/>
      </c>
      <c r="S881" s="126">
        <f>IF(R881="","",R881-IF(O881="",0,O881)-OrderBuf)</f>
        <v/>
      </c>
      <c r="T881" s="126">
        <f>IF(S881="","",S881-DecideBuf)</f>
        <v/>
      </c>
      <c r="U881" s="74" t="n"/>
      <c r="V881" s="109" t="n"/>
      <c r="W881" s="109" t="n"/>
      <c r="X881" s="74" t="n"/>
      <c r="Y881" s="116">
        <f>IF(B881="","",IF(X881="Yes","Delivered",IF(U881="Yes",IF(AND(W881&lt;&gt;"",R881&lt;&gt;""),IF(W881&gt;R881,"⚠️ Delivery after install date","Ordered"),"Ordered"),IF(K881="",IF(T881="","Waiting for decision",IF(T881&lt;=AsOf+AlertDays,"Decide now","Waiting for decision")),IF(S881="","Selected",IF(AsOf&gt;S881,"⚠️ Order late — install at risk",IF(S881&lt;=AsOf+AlertDays,"Order now","Selected")))))))</f>
        <v/>
      </c>
      <c r="Z881" s="79">
        <f>IF(B881="","",IF(OR(AH881=1,AE881=1),2,IF(OR(AG881=1,AF881=1),1,IF(OR(Y881="Ordered",Y881="Delivered"),0,""))))</f>
        <v/>
      </c>
      <c r="AA881" s="112">
        <f>IF(B881="","",IF(AH881=1,IF(Y881="⚠️ Delivery after install date",R881,S881),IF(AD881=1,T881,IF(AI881=1,S881,""))))</f>
        <v/>
      </c>
      <c r="AB881" s="79">
        <f>IF(AA881="","",IF(AH881=1,1,IF(AA881="","",IF(AA881&lt;AsOf,1,IF(AA881&lt;=AsOf+AlertDays,2,IF(AA881&lt;=AsOf+2*AlertDays,3,""))))))</f>
        <v/>
      </c>
      <c r="AC881" s="79">
        <f>IF(AB881="","",IF(AH881=1,IF(Y881="⚠️ Delivery after install date","Delivery after install date: "&amp;B881,"Order late — install at risk: "&amp;B881),IF(AD881=1,IF(AB881=1,"Decision overdue: ","Decide: ")&amp;B881,"Order: "&amp;B881&amp;IF(N881="",""," from "&amp;N881))))</f>
        <v/>
      </c>
      <c r="AD881" s="79">
        <f>IF(AND(B881&lt;&gt;"",K881="",U881&lt;&gt;"Yes",X881&lt;&gt;"Yes"),1,0)</f>
        <v/>
      </c>
      <c r="AE881" s="79">
        <f>IF(AND(AD881=1,T881&lt;&gt;""),IF(T881&lt;AsOf,1,0),0)</f>
        <v/>
      </c>
      <c r="AF881" s="79">
        <f>IF(AND(AD881=1,T881&lt;&gt;""),IF(AND(T881&gt;=AsOf,T881&lt;=AsOf+AlertDays),1,0),0)</f>
        <v/>
      </c>
      <c r="AG881" s="79">
        <f>IF(Y881="Order now",1,0)</f>
        <v/>
      </c>
      <c r="AH881" s="79">
        <f>IF(OR(Y881="⚠️ Order late — install at risk",Y881="⚠️ Delivery after install date"),1,0)</f>
        <v/>
      </c>
      <c r="AI881" s="79">
        <f>IF(AND(B881&lt;&gt;"",K881&lt;&gt;"",U881&lt;&gt;"Yes",X881&lt;&gt;"Yes"),1,0)</f>
        <v/>
      </c>
      <c r="AJ881" s="79">
        <f>IF(Y881="⚠️ Order late — install at risk",1,0)</f>
        <v/>
      </c>
    </row>
    <row r="882" ht="20" customHeight="1">
      <c r="B882" s="72" t="n"/>
      <c r="C882" s="72" t="n"/>
      <c r="D882" s="72" t="n"/>
      <c r="E882" s="72" t="n"/>
      <c r="F882" s="73" t="n"/>
      <c r="G882" s="72" t="n"/>
      <c r="H882" s="73" t="n"/>
      <c r="I882" s="72" t="n"/>
      <c r="J882" s="73" t="n"/>
      <c r="K882" s="74" t="n"/>
      <c r="L882" s="75">
        <f>IF(K882="A",F882,IF(K882="B",H882,IF(K882="C",J882,"")))</f>
        <v/>
      </c>
      <c r="M882" s="72" t="n"/>
      <c r="N882" s="72" t="n"/>
      <c r="O882" s="89" t="n"/>
      <c r="P882" s="89" t="n"/>
      <c r="Q882" s="109" t="n"/>
      <c r="R882" s="120">
        <f>IF(B882="","",IF(Q882&lt;&gt;"",Q882,IF(P882="","",IFERROR(INDEX('Timeline'!$J$7:$J$1006,MATCH(P882,'Timeline'!$B$7:$B$1006,0)),""))))</f>
        <v/>
      </c>
      <c r="S882" s="126">
        <f>IF(R882="","",R882-IF(O882="",0,O882)-OrderBuf)</f>
        <v/>
      </c>
      <c r="T882" s="126">
        <f>IF(S882="","",S882-DecideBuf)</f>
        <v/>
      </c>
      <c r="U882" s="74" t="n"/>
      <c r="V882" s="109" t="n"/>
      <c r="W882" s="109" t="n"/>
      <c r="X882" s="74" t="n"/>
      <c r="Y882" s="116">
        <f>IF(B882="","",IF(X882="Yes","Delivered",IF(U882="Yes",IF(AND(W882&lt;&gt;"",R882&lt;&gt;""),IF(W882&gt;R882,"⚠️ Delivery after install date","Ordered"),"Ordered"),IF(K882="",IF(T882="","Waiting for decision",IF(T882&lt;=AsOf+AlertDays,"Decide now","Waiting for decision")),IF(S882="","Selected",IF(AsOf&gt;S882,"⚠️ Order late — install at risk",IF(S882&lt;=AsOf+AlertDays,"Order now","Selected")))))))</f>
        <v/>
      </c>
      <c r="Z882" s="79">
        <f>IF(B882="","",IF(OR(AH882=1,AE882=1),2,IF(OR(AG882=1,AF882=1),1,IF(OR(Y882="Ordered",Y882="Delivered"),0,""))))</f>
        <v/>
      </c>
      <c r="AA882" s="112">
        <f>IF(B882="","",IF(AH882=1,IF(Y882="⚠️ Delivery after install date",R882,S882),IF(AD882=1,T882,IF(AI882=1,S882,""))))</f>
        <v/>
      </c>
      <c r="AB882" s="79">
        <f>IF(AA882="","",IF(AH882=1,1,IF(AA882="","",IF(AA882&lt;AsOf,1,IF(AA882&lt;=AsOf+AlertDays,2,IF(AA882&lt;=AsOf+2*AlertDays,3,""))))))</f>
        <v/>
      </c>
      <c r="AC882" s="79">
        <f>IF(AB882="","",IF(AH882=1,IF(Y882="⚠️ Delivery after install date","Delivery after install date: "&amp;B882,"Order late — install at risk: "&amp;B882),IF(AD882=1,IF(AB882=1,"Decision overdue: ","Decide: ")&amp;B882,"Order: "&amp;B882&amp;IF(N882="",""," from "&amp;N882))))</f>
        <v/>
      </c>
      <c r="AD882" s="79">
        <f>IF(AND(B882&lt;&gt;"",K882="",U882&lt;&gt;"Yes",X882&lt;&gt;"Yes"),1,0)</f>
        <v/>
      </c>
      <c r="AE882" s="79">
        <f>IF(AND(AD882=1,T882&lt;&gt;""),IF(T882&lt;AsOf,1,0),0)</f>
        <v/>
      </c>
      <c r="AF882" s="79">
        <f>IF(AND(AD882=1,T882&lt;&gt;""),IF(AND(T882&gt;=AsOf,T882&lt;=AsOf+AlertDays),1,0),0)</f>
        <v/>
      </c>
      <c r="AG882" s="79">
        <f>IF(Y882="Order now",1,0)</f>
        <v/>
      </c>
      <c r="AH882" s="79">
        <f>IF(OR(Y882="⚠️ Order late — install at risk",Y882="⚠️ Delivery after install date"),1,0)</f>
        <v/>
      </c>
      <c r="AI882" s="79">
        <f>IF(AND(B882&lt;&gt;"",K882&lt;&gt;"",U882&lt;&gt;"Yes",X882&lt;&gt;"Yes"),1,0)</f>
        <v/>
      </c>
      <c r="AJ882" s="79">
        <f>IF(Y882="⚠️ Order late — install at risk",1,0)</f>
        <v/>
      </c>
    </row>
    <row r="883" ht="20" customHeight="1">
      <c r="B883" s="72" t="n"/>
      <c r="C883" s="72" t="n"/>
      <c r="D883" s="72" t="n"/>
      <c r="E883" s="72" t="n"/>
      <c r="F883" s="73" t="n"/>
      <c r="G883" s="72" t="n"/>
      <c r="H883" s="73" t="n"/>
      <c r="I883" s="72" t="n"/>
      <c r="J883" s="73" t="n"/>
      <c r="K883" s="74" t="n"/>
      <c r="L883" s="75">
        <f>IF(K883="A",F883,IF(K883="B",H883,IF(K883="C",J883,"")))</f>
        <v/>
      </c>
      <c r="M883" s="72" t="n"/>
      <c r="N883" s="72" t="n"/>
      <c r="O883" s="89" t="n"/>
      <c r="P883" s="89" t="n"/>
      <c r="Q883" s="109" t="n"/>
      <c r="R883" s="120">
        <f>IF(B883="","",IF(Q883&lt;&gt;"",Q883,IF(P883="","",IFERROR(INDEX('Timeline'!$J$7:$J$1006,MATCH(P883,'Timeline'!$B$7:$B$1006,0)),""))))</f>
        <v/>
      </c>
      <c r="S883" s="126">
        <f>IF(R883="","",R883-IF(O883="",0,O883)-OrderBuf)</f>
        <v/>
      </c>
      <c r="T883" s="126">
        <f>IF(S883="","",S883-DecideBuf)</f>
        <v/>
      </c>
      <c r="U883" s="74" t="n"/>
      <c r="V883" s="109" t="n"/>
      <c r="W883" s="109" t="n"/>
      <c r="X883" s="74" t="n"/>
      <c r="Y883" s="116">
        <f>IF(B883="","",IF(X883="Yes","Delivered",IF(U883="Yes",IF(AND(W883&lt;&gt;"",R883&lt;&gt;""),IF(W883&gt;R883,"⚠️ Delivery after install date","Ordered"),"Ordered"),IF(K883="",IF(T883="","Waiting for decision",IF(T883&lt;=AsOf+AlertDays,"Decide now","Waiting for decision")),IF(S883="","Selected",IF(AsOf&gt;S883,"⚠️ Order late — install at risk",IF(S883&lt;=AsOf+AlertDays,"Order now","Selected")))))))</f>
        <v/>
      </c>
      <c r="Z883" s="79">
        <f>IF(B883="","",IF(OR(AH883=1,AE883=1),2,IF(OR(AG883=1,AF883=1),1,IF(OR(Y883="Ordered",Y883="Delivered"),0,""))))</f>
        <v/>
      </c>
      <c r="AA883" s="112">
        <f>IF(B883="","",IF(AH883=1,IF(Y883="⚠️ Delivery after install date",R883,S883),IF(AD883=1,T883,IF(AI883=1,S883,""))))</f>
        <v/>
      </c>
      <c r="AB883" s="79">
        <f>IF(AA883="","",IF(AH883=1,1,IF(AA883="","",IF(AA883&lt;AsOf,1,IF(AA883&lt;=AsOf+AlertDays,2,IF(AA883&lt;=AsOf+2*AlertDays,3,""))))))</f>
        <v/>
      </c>
      <c r="AC883" s="79">
        <f>IF(AB883="","",IF(AH883=1,IF(Y883="⚠️ Delivery after install date","Delivery after install date: "&amp;B883,"Order late — install at risk: "&amp;B883),IF(AD883=1,IF(AB883=1,"Decision overdue: ","Decide: ")&amp;B883,"Order: "&amp;B883&amp;IF(N883="",""," from "&amp;N883))))</f>
        <v/>
      </c>
      <c r="AD883" s="79">
        <f>IF(AND(B883&lt;&gt;"",K883="",U883&lt;&gt;"Yes",X883&lt;&gt;"Yes"),1,0)</f>
        <v/>
      </c>
      <c r="AE883" s="79">
        <f>IF(AND(AD883=1,T883&lt;&gt;""),IF(T883&lt;AsOf,1,0),0)</f>
        <v/>
      </c>
      <c r="AF883" s="79">
        <f>IF(AND(AD883=1,T883&lt;&gt;""),IF(AND(T883&gt;=AsOf,T883&lt;=AsOf+AlertDays),1,0),0)</f>
        <v/>
      </c>
      <c r="AG883" s="79">
        <f>IF(Y883="Order now",1,0)</f>
        <v/>
      </c>
      <c r="AH883" s="79">
        <f>IF(OR(Y883="⚠️ Order late — install at risk",Y883="⚠️ Delivery after install date"),1,0)</f>
        <v/>
      </c>
      <c r="AI883" s="79">
        <f>IF(AND(B883&lt;&gt;"",K883&lt;&gt;"",U883&lt;&gt;"Yes",X883&lt;&gt;"Yes"),1,0)</f>
        <v/>
      </c>
      <c r="AJ883" s="79">
        <f>IF(Y883="⚠️ Order late — install at risk",1,0)</f>
        <v/>
      </c>
    </row>
    <row r="884" ht="20" customHeight="1">
      <c r="B884" s="72" t="n"/>
      <c r="C884" s="72" t="n"/>
      <c r="D884" s="72" t="n"/>
      <c r="E884" s="72" t="n"/>
      <c r="F884" s="73" t="n"/>
      <c r="G884" s="72" t="n"/>
      <c r="H884" s="73" t="n"/>
      <c r="I884" s="72" t="n"/>
      <c r="J884" s="73" t="n"/>
      <c r="K884" s="74" t="n"/>
      <c r="L884" s="75">
        <f>IF(K884="A",F884,IF(K884="B",H884,IF(K884="C",J884,"")))</f>
        <v/>
      </c>
      <c r="M884" s="72" t="n"/>
      <c r="N884" s="72" t="n"/>
      <c r="O884" s="89" t="n"/>
      <c r="P884" s="89" t="n"/>
      <c r="Q884" s="109" t="n"/>
      <c r="R884" s="120">
        <f>IF(B884="","",IF(Q884&lt;&gt;"",Q884,IF(P884="","",IFERROR(INDEX('Timeline'!$J$7:$J$1006,MATCH(P884,'Timeline'!$B$7:$B$1006,0)),""))))</f>
        <v/>
      </c>
      <c r="S884" s="126">
        <f>IF(R884="","",R884-IF(O884="",0,O884)-OrderBuf)</f>
        <v/>
      </c>
      <c r="T884" s="126">
        <f>IF(S884="","",S884-DecideBuf)</f>
        <v/>
      </c>
      <c r="U884" s="74" t="n"/>
      <c r="V884" s="109" t="n"/>
      <c r="W884" s="109" t="n"/>
      <c r="X884" s="74" t="n"/>
      <c r="Y884" s="116">
        <f>IF(B884="","",IF(X884="Yes","Delivered",IF(U884="Yes",IF(AND(W884&lt;&gt;"",R884&lt;&gt;""),IF(W884&gt;R884,"⚠️ Delivery after install date","Ordered"),"Ordered"),IF(K884="",IF(T884="","Waiting for decision",IF(T884&lt;=AsOf+AlertDays,"Decide now","Waiting for decision")),IF(S884="","Selected",IF(AsOf&gt;S884,"⚠️ Order late — install at risk",IF(S884&lt;=AsOf+AlertDays,"Order now","Selected")))))))</f>
        <v/>
      </c>
      <c r="Z884" s="79">
        <f>IF(B884="","",IF(OR(AH884=1,AE884=1),2,IF(OR(AG884=1,AF884=1),1,IF(OR(Y884="Ordered",Y884="Delivered"),0,""))))</f>
        <v/>
      </c>
      <c r="AA884" s="112">
        <f>IF(B884="","",IF(AH884=1,IF(Y884="⚠️ Delivery after install date",R884,S884),IF(AD884=1,T884,IF(AI884=1,S884,""))))</f>
        <v/>
      </c>
      <c r="AB884" s="79">
        <f>IF(AA884="","",IF(AH884=1,1,IF(AA884="","",IF(AA884&lt;AsOf,1,IF(AA884&lt;=AsOf+AlertDays,2,IF(AA884&lt;=AsOf+2*AlertDays,3,""))))))</f>
        <v/>
      </c>
      <c r="AC884" s="79">
        <f>IF(AB884="","",IF(AH884=1,IF(Y884="⚠️ Delivery after install date","Delivery after install date: "&amp;B884,"Order late — install at risk: "&amp;B884),IF(AD884=1,IF(AB884=1,"Decision overdue: ","Decide: ")&amp;B884,"Order: "&amp;B884&amp;IF(N884="",""," from "&amp;N884))))</f>
        <v/>
      </c>
      <c r="AD884" s="79">
        <f>IF(AND(B884&lt;&gt;"",K884="",U884&lt;&gt;"Yes",X884&lt;&gt;"Yes"),1,0)</f>
        <v/>
      </c>
      <c r="AE884" s="79">
        <f>IF(AND(AD884=1,T884&lt;&gt;""),IF(T884&lt;AsOf,1,0),0)</f>
        <v/>
      </c>
      <c r="AF884" s="79">
        <f>IF(AND(AD884=1,T884&lt;&gt;""),IF(AND(T884&gt;=AsOf,T884&lt;=AsOf+AlertDays),1,0),0)</f>
        <v/>
      </c>
      <c r="AG884" s="79">
        <f>IF(Y884="Order now",1,0)</f>
        <v/>
      </c>
      <c r="AH884" s="79">
        <f>IF(OR(Y884="⚠️ Order late — install at risk",Y884="⚠️ Delivery after install date"),1,0)</f>
        <v/>
      </c>
      <c r="AI884" s="79">
        <f>IF(AND(B884&lt;&gt;"",K884&lt;&gt;"",U884&lt;&gt;"Yes",X884&lt;&gt;"Yes"),1,0)</f>
        <v/>
      </c>
      <c r="AJ884" s="79">
        <f>IF(Y884="⚠️ Order late — install at risk",1,0)</f>
        <v/>
      </c>
    </row>
    <row r="885" ht="20" customHeight="1">
      <c r="B885" s="72" t="n"/>
      <c r="C885" s="72" t="n"/>
      <c r="D885" s="72" t="n"/>
      <c r="E885" s="72" t="n"/>
      <c r="F885" s="73" t="n"/>
      <c r="G885" s="72" t="n"/>
      <c r="H885" s="73" t="n"/>
      <c r="I885" s="72" t="n"/>
      <c r="J885" s="73" t="n"/>
      <c r="K885" s="74" t="n"/>
      <c r="L885" s="75">
        <f>IF(K885="A",F885,IF(K885="B",H885,IF(K885="C",J885,"")))</f>
        <v/>
      </c>
      <c r="M885" s="72" t="n"/>
      <c r="N885" s="72" t="n"/>
      <c r="O885" s="89" t="n"/>
      <c r="P885" s="89" t="n"/>
      <c r="Q885" s="109" t="n"/>
      <c r="R885" s="120">
        <f>IF(B885="","",IF(Q885&lt;&gt;"",Q885,IF(P885="","",IFERROR(INDEX('Timeline'!$J$7:$J$1006,MATCH(P885,'Timeline'!$B$7:$B$1006,0)),""))))</f>
        <v/>
      </c>
      <c r="S885" s="126">
        <f>IF(R885="","",R885-IF(O885="",0,O885)-OrderBuf)</f>
        <v/>
      </c>
      <c r="T885" s="126">
        <f>IF(S885="","",S885-DecideBuf)</f>
        <v/>
      </c>
      <c r="U885" s="74" t="n"/>
      <c r="V885" s="109" t="n"/>
      <c r="W885" s="109" t="n"/>
      <c r="X885" s="74" t="n"/>
      <c r="Y885" s="116">
        <f>IF(B885="","",IF(X885="Yes","Delivered",IF(U885="Yes",IF(AND(W885&lt;&gt;"",R885&lt;&gt;""),IF(W885&gt;R885,"⚠️ Delivery after install date","Ordered"),"Ordered"),IF(K885="",IF(T885="","Waiting for decision",IF(T885&lt;=AsOf+AlertDays,"Decide now","Waiting for decision")),IF(S885="","Selected",IF(AsOf&gt;S885,"⚠️ Order late — install at risk",IF(S885&lt;=AsOf+AlertDays,"Order now","Selected")))))))</f>
        <v/>
      </c>
      <c r="Z885" s="79">
        <f>IF(B885="","",IF(OR(AH885=1,AE885=1),2,IF(OR(AG885=1,AF885=1),1,IF(OR(Y885="Ordered",Y885="Delivered"),0,""))))</f>
        <v/>
      </c>
      <c r="AA885" s="112">
        <f>IF(B885="","",IF(AH885=1,IF(Y885="⚠️ Delivery after install date",R885,S885),IF(AD885=1,T885,IF(AI885=1,S885,""))))</f>
        <v/>
      </c>
      <c r="AB885" s="79">
        <f>IF(AA885="","",IF(AH885=1,1,IF(AA885="","",IF(AA885&lt;AsOf,1,IF(AA885&lt;=AsOf+AlertDays,2,IF(AA885&lt;=AsOf+2*AlertDays,3,""))))))</f>
        <v/>
      </c>
      <c r="AC885" s="79">
        <f>IF(AB885="","",IF(AH885=1,IF(Y885="⚠️ Delivery after install date","Delivery after install date: "&amp;B885,"Order late — install at risk: "&amp;B885),IF(AD885=1,IF(AB885=1,"Decision overdue: ","Decide: ")&amp;B885,"Order: "&amp;B885&amp;IF(N885="",""," from "&amp;N885))))</f>
        <v/>
      </c>
      <c r="AD885" s="79">
        <f>IF(AND(B885&lt;&gt;"",K885="",U885&lt;&gt;"Yes",X885&lt;&gt;"Yes"),1,0)</f>
        <v/>
      </c>
      <c r="AE885" s="79">
        <f>IF(AND(AD885=1,T885&lt;&gt;""),IF(T885&lt;AsOf,1,0),0)</f>
        <v/>
      </c>
      <c r="AF885" s="79">
        <f>IF(AND(AD885=1,T885&lt;&gt;""),IF(AND(T885&gt;=AsOf,T885&lt;=AsOf+AlertDays),1,0),0)</f>
        <v/>
      </c>
      <c r="AG885" s="79">
        <f>IF(Y885="Order now",1,0)</f>
        <v/>
      </c>
      <c r="AH885" s="79">
        <f>IF(OR(Y885="⚠️ Order late — install at risk",Y885="⚠️ Delivery after install date"),1,0)</f>
        <v/>
      </c>
      <c r="AI885" s="79">
        <f>IF(AND(B885&lt;&gt;"",K885&lt;&gt;"",U885&lt;&gt;"Yes",X885&lt;&gt;"Yes"),1,0)</f>
        <v/>
      </c>
      <c r="AJ885" s="79">
        <f>IF(Y885="⚠️ Order late — install at risk",1,0)</f>
        <v/>
      </c>
    </row>
    <row r="886" ht="20" customHeight="1">
      <c r="B886" s="72" t="n"/>
      <c r="C886" s="72" t="n"/>
      <c r="D886" s="72" t="n"/>
      <c r="E886" s="72" t="n"/>
      <c r="F886" s="73" t="n"/>
      <c r="G886" s="72" t="n"/>
      <c r="H886" s="73" t="n"/>
      <c r="I886" s="72" t="n"/>
      <c r="J886" s="73" t="n"/>
      <c r="K886" s="74" t="n"/>
      <c r="L886" s="75">
        <f>IF(K886="A",F886,IF(K886="B",H886,IF(K886="C",J886,"")))</f>
        <v/>
      </c>
      <c r="M886" s="72" t="n"/>
      <c r="N886" s="72" t="n"/>
      <c r="O886" s="89" t="n"/>
      <c r="P886" s="89" t="n"/>
      <c r="Q886" s="109" t="n"/>
      <c r="R886" s="120">
        <f>IF(B886="","",IF(Q886&lt;&gt;"",Q886,IF(P886="","",IFERROR(INDEX('Timeline'!$J$7:$J$1006,MATCH(P886,'Timeline'!$B$7:$B$1006,0)),""))))</f>
        <v/>
      </c>
      <c r="S886" s="126">
        <f>IF(R886="","",R886-IF(O886="",0,O886)-OrderBuf)</f>
        <v/>
      </c>
      <c r="T886" s="126">
        <f>IF(S886="","",S886-DecideBuf)</f>
        <v/>
      </c>
      <c r="U886" s="74" t="n"/>
      <c r="V886" s="109" t="n"/>
      <c r="W886" s="109" t="n"/>
      <c r="X886" s="74" t="n"/>
      <c r="Y886" s="116">
        <f>IF(B886="","",IF(X886="Yes","Delivered",IF(U886="Yes",IF(AND(W886&lt;&gt;"",R886&lt;&gt;""),IF(W886&gt;R886,"⚠️ Delivery after install date","Ordered"),"Ordered"),IF(K886="",IF(T886="","Waiting for decision",IF(T886&lt;=AsOf+AlertDays,"Decide now","Waiting for decision")),IF(S886="","Selected",IF(AsOf&gt;S886,"⚠️ Order late — install at risk",IF(S886&lt;=AsOf+AlertDays,"Order now","Selected")))))))</f>
        <v/>
      </c>
      <c r="Z886" s="79">
        <f>IF(B886="","",IF(OR(AH886=1,AE886=1),2,IF(OR(AG886=1,AF886=1),1,IF(OR(Y886="Ordered",Y886="Delivered"),0,""))))</f>
        <v/>
      </c>
      <c r="AA886" s="112">
        <f>IF(B886="","",IF(AH886=1,IF(Y886="⚠️ Delivery after install date",R886,S886),IF(AD886=1,T886,IF(AI886=1,S886,""))))</f>
        <v/>
      </c>
      <c r="AB886" s="79">
        <f>IF(AA886="","",IF(AH886=1,1,IF(AA886="","",IF(AA886&lt;AsOf,1,IF(AA886&lt;=AsOf+AlertDays,2,IF(AA886&lt;=AsOf+2*AlertDays,3,""))))))</f>
        <v/>
      </c>
      <c r="AC886" s="79">
        <f>IF(AB886="","",IF(AH886=1,IF(Y886="⚠️ Delivery after install date","Delivery after install date: "&amp;B886,"Order late — install at risk: "&amp;B886),IF(AD886=1,IF(AB886=1,"Decision overdue: ","Decide: ")&amp;B886,"Order: "&amp;B886&amp;IF(N886="",""," from "&amp;N886))))</f>
        <v/>
      </c>
      <c r="AD886" s="79">
        <f>IF(AND(B886&lt;&gt;"",K886="",U886&lt;&gt;"Yes",X886&lt;&gt;"Yes"),1,0)</f>
        <v/>
      </c>
      <c r="AE886" s="79">
        <f>IF(AND(AD886=1,T886&lt;&gt;""),IF(T886&lt;AsOf,1,0),0)</f>
        <v/>
      </c>
      <c r="AF886" s="79">
        <f>IF(AND(AD886=1,T886&lt;&gt;""),IF(AND(T886&gt;=AsOf,T886&lt;=AsOf+AlertDays),1,0),0)</f>
        <v/>
      </c>
      <c r="AG886" s="79">
        <f>IF(Y886="Order now",1,0)</f>
        <v/>
      </c>
      <c r="AH886" s="79">
        <f>IF(OR(Y886="⚠️ Order late — install at risk",Y886="⚠️ Delivery after install date"),1,0)</f>
        <v/>
      </c>
      <c r="AI886" s="79">
        <f>IF(AND(B886&lt;&gt;"",K886&lt;&gt;"",U886&lt;&gt;"Yes",X886&lt;&gt;"Yes"),1,0)</f>
        <v/>
      </c>
      <c r="AJ886" s="79">
        <f>IF(Y886="⚠️ Order late — install at risk",1,0)</f>
        <v/>
      </c>
    </row>
    <row r="887" ht="20" customHeight="1">
      <c r="B887" s="72" t="n"/>
      <c r="C887" s="72" t="n"/>
      <c r="D887" s="72" t="n"/>
      <c r="E887" s="72" t="n"/>
      <c r="F887" s="73" t="n"/>
      <c r="G887" s="72" t="n"/>
      <c r="H887" s="73" t="n"/>
      <c r="I887" s="72" t="n"/>
      <c r="J887" s="73" t="n"/>
      <c r="K887" s="74" t="n"/>
      <c r="L887" s="75">
        <f>IF(K887="A",F887,IF(K887="B",H887,IF(K887="C",J887,"")))</f>
        <v/>
      </c>
      <c r="M887" s="72" t="n"/>
      <c r="N887" s="72" t="n"/>
      <c r="O887" s="89" t="n"/>
      <c r="P887" s="89" t="n"/>
      <c r="Q887" s="109" t="n"/>
      <c r="R887" s="120">
        <f>IF(B887="","",IF(Q887&lt;&gt;"",Q887,IF(P887="","",IFERROR(INDEX('Timeline'!$J$7:$J$1006,MATCH(P887,'Timeline'!$B$7:$B$1006,0)),""))))</f>
        <v/>
      </c>
      <c r="S887" s="126">
        <f>IF(R887="","",R887-IF(O887="",0,O887)-OrderBuf)</f>
        <v/>
      </c>
      <c r="T887" s="126">
        <f>IF(S887="","",S887-DecideBuf)</f>
        <v/>
      </c>
      <c r="U887" s="74" t="n"/>
      <c r="V887" s="109" t="n"/>
      <c r="W887" s="109" t="n"/>
      <c r="X887" s="74" t="n"/>
      <c r="Y887" s="116">
        <f>IF(B887="","",IF(X887="Yes","Delivered",IF(U887="Yes",IF(AND(W887&lt;&gt;"",R887&lt;&gt;""),IF(W887&gt;R887,"⚠️ Delivery after install date","Ordered"),"Ordered"),IF(K887="",IF(T887="","Waiting for decision",IF(T887&lt;=AsOf+AlertDays,"Decide now","Waiting for decision")),IF(S887="","Selected",IF(AsOf&gt;S887,"⚠️ Order late — install at risk",IF(S887&lt;=AsOf+AlertDays,"Order now","Selected")))))))</f>
        <v/>
      </c>
      <c r="Z887" s="79">
        <f>IF(B887="","",IF(OR(AH887=1,AE887=1),2,IF(OR(AG887=1,AF887=1),1,IF(OR(Y887="Ordered",Y887="Delivered"),0,""))))</f>
        <v/>
      </c>
      <c r="AA887" s="112">
        <f>IF(B887="","",IF(AH887=1,IF(Y887="⚠️ Delivery after install date",R887,S887),IF(AD887=1,T887,IF(AI887=1,S887,""))))</f>
        <v/>
      </c>
      <c r="AB887" s="79">
        <f>IF(AA887="","",IF(AH887=1,1,IF(AA887="","",IF(AA887&lt;AsOf,1,IF(AA887&lt;=AsOf+AlertDays,2,IF(AA887&lt;=AsOf+2*AlertDays,3,""))))))</f>
        <v/>
      </c>
      <c r="AC887" s="79">
        <f>IF(AB887="","",IF(AH887=1,IF(Y887="⚠️ Delivery after install date","Delivery after install date: "&amp;B887,"Order late — install at risk: "&amp;B887),IF(AD887=1,IF(AB887=1,"Decision overdue: ","Decide: ")&amp;B887,"Order: "&amp;B887&amp;IF(N887="",""," from "&amp;N887))))</f>
        <v/>
      </c>
      <c r="AD887" s="79">
        <f>IF(AND(B887&lt;&gt;"",K887="",U887&lt;&gt;"Yes",X887&lt;&gt;"Yes"),1,0)</f>
        <v/>
      </c>
      <c r="AE887" s="79">
        <f>IF(AND(AD887=1,T887&lt;&gt;""),IF(T887&lt;AsOf,1,0),0)</f>
        <v/>
      </c>
      <c r="AF887" s="79">
        <f>IF(AND(AD887=1,T887&lt;&gt;""),IF(AND(T887&gt;=AsOf,T887&lt;=AsOf+AlertDays),1,0),0)</f>
        <v/>
      </c>
      <c r="AG887" s="79">
        <f>IF(Y887="Order now",1,0)</f>
        <v/>
      </c>
      <c r="AH887" s="79">
        <f>IF(OR(Y887="⚠️ Order late — install at risk",Y887="⚠️ Delivery after install date"),1,0)</f>
        <v/>
      </c>
      <c r="AI887" s="79">
        <f>IF(AND(B887&lt;&gt;"",K887&lt;&gt;"",U887&lt;&gt;"Yes",X887&lt;&gt;"Yes"),1,0)</f>
        <v/>
      </c>
      <c r="AJ887" s="79">
        <f>IF(Y887="⚠️ Order late — install at risk",1,0)</f>
        <v/>
      </c>
    </row>
    <row r="888" ht="20" customHeight="1">
      <c r="B888" s="72" t="n"/>
      <c r="C888" s="72" t="n"/>
      <c r="D888" s="72" t="n"/>
      <c r="E888" s="72" t="n"/>
      <c r="F888" s="73" t="n"/>
      <c r="G888" s="72" t="n"/>
      <c r="H888" s="73" t="n"/>
      <c r="I888" s="72" t="n"/>
      <c r="J888" s="73" t="n"/>
      <c r="K888" s="74" t="n"/>
      <c r="L888" s="75">
        <f>IF(K888="A",F888,IF(K888="B",H888,IF(K888="C",J888,"")))</f>
        <v/>
      </c>
      <c r="M888" s="72" t="n"/>
      <c r="N888" s="72" t="n"/>
      <c r="O888" s="89" t="n"/>
      <c r="P888" s="89" t="n"/>
      <c r="Q888" s="109" t="n"/>
      <c r="R888" s="120">
        <f>IF(B888="","",IF(Q888&lt;&gt;"",Q888,IF(P888="","",IFERROR(INDEX('Timeline'!$J$7:$J$1006,MATCH(P888,'Timeline'!$B$7:$B$1006,0)),""))))</f>
        <v/>
      </c>
      <c r="S888" s="126">
        <f>IF(R888="","",R888-IF(O888="",0,O888)-OrderBuf)</f>
        <v/>
      </c>
      <c r="T888" s="126">
        <f>IF(S888="","",S888-DecideBuf)</f>
        <v/>
      </c>
      <c r="U888" s="74" t="n"/>
      <c r="V888" s="109" t="n"/>
      <c r="W888" s="109" t="n"/>
      <c r="X888" s="74" t="n"/>
      <c r="Y888" s="116">
        <f>IF(B888="","",IF(X888="Yes","Delivered",IF(U888="Yes",IF(AND(W888&lt;&gt;"",R888&lt;&gt;""),IF(W888&gt;R888,"⚠️ Delivery after install date","Ordered"),"Ordered"),IF(K888="",IF(T888="","Waiting for decision",IF(T888&lt;=AsOf+AlertDays,"Decide now","Waiting for decision")),IF(S888="","Selected",IF(AsOf&gt;S888,"⚠️ Order late — install at risk",IF(S888&lt;=AsOf+AlertDays,"Order now","Selected")))))))</f>
        <v/>
      </c>
      <c r="Z888" s="79">
        <f>IF(B888="","",IF(OR(AH888=1,AE888=1),2,IF(OR(AG888=1,AF888=1),1,IF(OR(Y888="Ordered",Y888="Delivered"),0,""))))</f>
        <v/>
      </c>
      <c r="AA888" s="112">
        <f>IF(B888="","",IF(AH888=1,IF(Y888="⚠️ Delivery after install date",R888,S888),IF(AD888=1,T888,IF(AI888=1,S888,""))))</f>
        <v/>
      </c>
      <c r="AB888" s="79">
        <f>IF(AA888="","",IF(AH888=1,1,IF(AA888="","",IF(AA888&lt;AsOf,1,IF(AA888&lt;=AsOf+AlertDays,2,IF(AA888&lt;=AsOf+2*AlertDays,3,""))))))</f>
        <v/>
      </c>
      <c r="AC888" s="79">
        <f>IF(AB888="","",IF(AH888=1,IF(Y888="⚠️ Delivery after install date","Delivery after install date: "&amp;B888,"Order late — install at risk: "&amp;B888),IF(AD888=1,IF(AB888=1,"Decision overdue: ","Decide: ")&amp;B888,"Order: "&amp;B888&amp;IF(N888="",""," from "&amp;N888))))</f>
        <v/>
      </c>
      <c r="AD888" s="79">
        <f>IF(AND(B888&lt;&gt;"",K888="",U888&lt;&gt;"Yes",X888&lt;&gt;"Yes"),1,0)</f>
        <v/>
      </c>
      <c r="AE888" s="79">
        <f>IF(AND(AD888=1,T888&lt;&gt;""),IF(T888&lt;AsOf,1,0),0)</f>
        <v/>
      </c>
      <c r="AF888" s="79">
        <f>IF(AND(AD888=1,T888&lt;&gt;""),IF(AND(T888&gt;=AsOf,T888&lt;=AsOf+AlertDays),1,0),0)</f>
        <v/>
      </c>
      <c r="AG888" s="79">
        <f>IF(Y888="Order now",1,0)</f>
        <v/>
      </c>
      <c r="AH888" s="79">
        <f>IF(OR(Y888="⚠️ Order late — install at risk",Y888="⚠️ Delivery after install date"),1,0)</f>
        <v/>
      </c>
      <c r="AI888" s="79">
        <f>IF(AND(B888&lt;&gt;"",K888&lt;&gt;"",U888&lt;&gt;"Yes",X888&lt;&gt;"Yes"),1,0)</f>
        <v/>
      </c>
      <c r="AJ888" s="79">
        <f>IF(Y888="⚠️ Order late — install at risk",1,0)</f>
        <v/>
      </c>
    </row>
    <row r="889" ht="20" customHeight="1">
      <c r="B889" s="72" t="n"/>
      <c r="C889" s="72" t="n"/>
      <c r="D889" s="72" t="n"/>
      <c r="E889" s="72" t="n"/>
      <c r="F889" s="73" t="n"/>
      <c r="G889" s="72" t="n"/>
      <c r="H889" s="73" t="n"/>
      <c r="I889" s="72" t="n"/>
      <c r="J889" s="73" t="n"/>
      <c r="K889" s="74" t="n"/>
      <c r="L889" s="75">
        <f>IF(K889="A",F889,IF(K889="B",H889,IF(K889="C",J889,"")))</f>
        <v/>
      </c>
      <c r="M889" s="72" t="n"/>
      <c r="N889" s="72" t="n"/>
      <c r="O889" s="89" t="n"/>
      <c r="P889" s="89" t="n"/>
      <c r="Q889" s="109" t="n"/>
      <c r="R889" s="120">
        <f>IF(B889="","",IF(Q889&lt;&gt;"",Q889,IF(P889="","",IFERROR(INDEX('Timeline'!$J$7:$J$1006,MATCH(P889,'Timeline'!$B$7:$B$1006,0)),""))))</f>
        <v/>
      </c>
      <c r="S889" s="126">
        <f>IF(R889="","",R889-IF(O889="",0,O889)-OrderBuf)</f>
        <v/>
      </c>
      <c r="T889" s="126">
        <f>IF(S889="","",S889-DecideBuf)</f>
        <v/>
      </c>
      <c r="U889" s="74" t="n"/>
      <c r="V889" s="109" t="n"/>
      <c r="W889" s="109" t="n"/>
      <c r="X889" s="74" t="n"/>
      <c r="Y889" s="116">
        <f>IF(B889="","",IF(X889="Yes","Delivered",IF(U889="Yes",IF(AND(W889&lt;&gt;"",R889&lt;&gt;""),IF(W889&gt;R889,"⚠️ Delivery after install date","Ordered"),"Ordered"),IF(K889="",IF(T889="","Waiting for decision",IF(T889&lt;=AsOf+AlertDays,"Decide now","Waiting for decision")),IF(S889="","Selected",IF(AsOf&gt;S889,"⚠️ Order late — install at risk",IF(S889&lt;=AsOf+AlertDays,"Order now","Selected")))))))</f>
        <v/>
      </c>
      <c r="Z889" s="79">
        <f>IF(B889="","",IF(OR(AH889=1,AE889=1),2,IF(OR(AG889=1,AF889=1),1,IF(OR(Y889="Ordered",Y889="Delivered"),0,""))))</f>
        <v/>
      </c>
      <c r="AA889" s="112">
        <f>IF(B889="","",IF(AH889=1,IF(Y889="⚠️ Delivery after install date",R889,S889),IF(AD889=1,T889,IF(AI889=1,S889,""))))</f>
        <v/>
      </c>
      <c r="AB889" s="79">
        <f>IF(AA889="","",IF(AH889=1,1,IF(AA889="","",IF(AA889&lt;AsOf,1,IF(AA889&lt;=AsOf+AlertDays,2,IF(AA889&lt;=AsOf+2*AlertDays,3,""))))))</f>
        <v/>
      </c>
      <c r="AC889" s="79">
        <f>IF(AB889="","",IF(AH889=1,IF(Y889="⚠️ Delivery after install date","Delivery after install date: "&amp;B889,"Order late — install at risk: "&amp;B889),IF(AD889=1,IF(AB889=1,"Decision overdue: ","Decide: ")&amp;B889,"Order: "&amp;B889&amp;IF(N889="",""," from "&amp;N889))))</f>
        <v/>
      </c>
      <c r="AD889" s="79">
        <f>IF(AND(B889&lt;&gt;"",K889="",U889&lt;&gt;"Yes",X889&lt;&gt;"Yes"),1,0)</f>
        <v/>
      </c>
      <c r="AE889" s="79">
        <f>IF(AND(AD889=1,T889&lt;&gt;""),IF(T889&lt;AsOf,1,0),0)</f>
        <v/>
      </c>
      <c r="AF889" s="79">
        <f>IF(AND(AD889=1,T889&lt;&gt;""),IF(AND(T889&gt;=AsOf,T889&lt;=AsOf+AlertDays),1,0),0)</f>
        <v/>
      </c>
      <c r="AG889" s="79">
        <f>IF(Y889="Order now",1,0)</f>
        <v/>
      </c>
      <c r="AH889" s="79">
        <f>IF(OR(Y889="⚠️ Order late — install at risk",Y889="⚠️ Delivery after install date"),1,0)</f>
        <v/>
      </c>
      <c r="AI889" s="79">
        <f>IF(AND(B889&lt;&gt;"",K889&lt;&gt;"",U889&lt;&gt;"Yes",X889&lt;&gt;"Yes"),1,0)</f>
        <v/>
      </c>
      <c r="AJ889" s="79">
        <f>IF(Y889="⚠️ Order late — install at risk",1,0)</f>
        <v/>
      </c>
    </row>
    <row r="890" ht="20" customHeight="1">
      <c r="B890" s="72" t="n"/>
      <c r="C890" s="72" t="n"/>
      <c r="D890" s="72" t="n"/>
      <c r="E890" s="72" t="n"/>
      <c r="F890" s="73" t="n"/>
      <c r="G890" s="72" t="n"/>
      <c r="H890" s="73" t="n"/>
      <c r="I890" s="72" t="n"/>
      <c r="J890" s="73" t="n"/>
      <c r="K890" s="74" t="n"/>
      <c r="L890" s="75">
        <f>IF(K890="A",F890,IF(K890="B",H890,IF(K890="C",J890,"")))</f>
        <v/>
      </c>
      <c r="M890" s="72" t="n"/>
      <c r="N890" s="72" t="n"/>
      <c r="O890" s="89" t="n"/>
      <c r="P890" s="89" t="n"/>
      <c r="Q890" s="109" t="n"/>
      <c r="R890" s="120">
        <f>IF(B890="","",IF(Q890&lt;&gt;"",Q890,IF(P890="","",IFERROR(INDEX('Timeline'!$J$7:$J$1006,MATCH(P890,'Timeline'!$B$7:$B$1006,0)),""))))</f>
        <v/>
      </c>
      <c r="S890" s="126">
        <f>IF(R890="","",R890-IF(O890="",0,O890)-OrderBuf)</f>
        <v/>
      </c>
      <c r="T890" s="126">
        <f>IF(S890="","",S890-DecideBuf)</f>
        <v/>
      </c>
      <c r="U890" s="74" t="n"/>
      <c r="V890" s="109" t="n"/>
      <c r="W890" s="109" t="n"/>
      <c r="X890" s="74" t="n"/>
      <c r="Y890" s="116">
        <f>IF(B890="","",IF(X890="Yes","Delivered",IF(U890="Yes",IF(AND(W890&lt;&gt;"",R890&lt;&gt;""),IF(W890&gt;R890,"⚠️ Delivery after install date","Ordered"),"Ordered"),IF(K890="",IF(T890="","Waiting for decision",IF(T890&lt;=AsOf+AlertDays,"Decide now","Waiting for decision")),IF(S890="","Selected",IF(AsOf&gt;S890,"⚠️ Order late — install at risk",IF(S890&lt;=AsOf+AlertDays,"Order now","Selected")))))))</f>
        <v/>
      </c>
      <c r="Z890" s="79">
        <f>IF(B890="","",IF(OR(AH890=1,AE890=1),2,IF(OR(AG890=1,AF890=1),1,IF(OR(Y890="Ordered",Y890="Delivered"),0,""))))</f>
        <v/>
      </c>
      <c r="AA890" s="112">
        <f>IF(B890="","",IF(AH890=1,IF(Y890="⚠️ Delivery after install date",R890,S890),IF(AD890=1,T890,IF(AI890=1,S890,""))))</f>
        <v/>
      </c>
      <c r="AB890" s="79">
        <f>IF(AA890="","",IF(AH890=1,1,IF(AA890="","",IF(AA890&lt;AsOf,1,IF(AA890&lt;=AsOf+AlertDays,2,IF(AA890&lt;=AsOf+2*AlertDays,3,""))))))</f>
        <v/>
      </c>
      <c r="AC890" s="79">
        <f>IF(AB890="","",IF(AH890=1,IF(Y890="⚠️ Delivery after install date","Delivery after install date: "&amp;B890,"Order late — install at risk: "&amp;B890),IF(AD890=1,IF(AB890=1,"Decision overdue: ","Decide: ")&amp;B890,"Order: "&amp;B890&amp;IF(N890="",""," from "&amp;N890))))</f>
        <v/>
      </c>
      <c r="AD890" s="79">
        <f>IF(AND(B890&lt;&gt;"",K890="",U890&lt;&gt;"Yes",X890&lt;&gt;"Yes"),1,0)</f>
        <v/>
      </c>
      <c r="AE890" s="79">
        <f>IF(AND(AD890=1,T890&lt;&gt;""),IF(T890&lt;AsOf,1,0),0)</f>
        <v/>
      </c>
      <c r="AF890" s="79">
        <f>IF(AND(AD890=1,T890&lt;&gt;""),IF(AND(T890&gt;=AsOf,T890&lt;=AsOf+AlertDays),1,0),0)</f>
        <v/>
      </c>
      <c r="AG890" s="79">
        <f>IF(Y890="Order now",1,0)</f>
        <v/>
      </c>
      <c r="AH890" s="79">
        <f>IF(OR(Y890="⚠️ Order late — install at risk",Y890="⚠️ Delivery after install date"),1,0)</f>
        <v/>
      </c>
      <c r="AI890" s="79">
        <f>IF(AND(B890&lt;&gt;"",K890&lt;&gt;"",U890&lt;&gt;"Yes",X890&lt;&gt;"Yes"),1,0)</f>
        <v/>
      </c>
      <c r="AJ890" s="79">
        <f>IF(Y890="⚠️ Order late — install at risk",1,0)</f>
        <v/>
      </c>
    </row>
    <row r="891" ht="20" customHeight="1">
      <c r="B891" s="72" t="n"/>
      <c r="C891" s="72" t="n"/>
      <c r="D891" s="72" t="n"/>
      <c r="E891" s="72" t="n"/>
      <c r="F891" s="73" t="n"/>
      <c r="G891" s="72" t="n"/>
      <c r="H891" s="73" t="n"/>
      <c r="I891" s="72" t="n"/>
      <c r="J891" s="73" t="n"/>
      <c r="K891" s="74" t="n"/>
      <c r="L891" s="75">
        <f>IF(K891="A",F891,IF(K891="B",H891,IF(K891="C",J891,"")))</f>
        <v/>
      </c>
      <c r="M891" s="72" t="n"/>
      <c r="N891" s="72" t="n"/>
      <c r="O891" s="89" t="n"/>
      <c r="P891" s="89" t="n"/>
      <c r="Q891" s="109" t="n"/>
      <c r="R891" s="120">
        <f>IF(B891="","",IF(Q891&lt;&gt;"",Q891,IF(P891="","",IFERROR(INDEX('Timeline'!$J$7:$J$1006,MATCH(P891,'Timeline'!$B$7:$B$1006,0)),""))))</f>
        <v/>
      </c>
      <c r="S891" s="126">
        <f>IF(R891="","",R891-IF(O891="",0,O891)-OrderBuf)</f>
        <v/>
      </c>
      <c r="T891" s="126">
        <f>IF(S891="","",S891-DecideBuf)</f>
        <v/>
      </c>
      <c r="U891" s="74" t="n"/>
      <c r="V891" s="109" t="n"/>
      <c r="W891" s="109" t="n"/>
      <c r="X891" s="74" t="n"/>
      <c r="Y891" s="116">
        <f>IF(B891="","",IF(X891="Yes","Delivered",IF(U891="Yes",IF(AND(W891&lt;&gt;"",R891&lt;&gt;""),IF(W891&gt;R891,"⚠️ Delivery after install date","Ordered"),"Ordered"),IF(K891="",IF(T891="","Waiting for decision",IF(T891&lt;=AsOf+AlertDays,"Decide now","Waiting for decision")),IF(S891="","Selected",IF(AsOf&gt;S891,"⚠️ Order late — install at risk",IF(S891&lt;=AsOf+AlertDays,"Order now","Selected")))))))</f>
        <v/>
      </c>
      <c r="Z891" s="79">
        <f>IF(B891="","",IF(OR(AH891=1,AE891=1),2,IF(OR(AG891=1,AF891=1),1,IF(OR(Y891="Ordered",Y891="Delivered"),0,""))))</f>
        <v/>
      </c>
      <c r="AA891" s="112">
        <f>IF(B891="","",IF(AH891=1,IF(Y891="⚠️ Delivery after install date",R891,S891),IF(AD891=1,T891,IF(AI891=1,S891,""))))</f>
        <v/>
      </c>
      <c r="AB891" s="79">
        <f>IF(AA891="","",IF(AH891=1,1,IF(AA891="","",IF(AA891&lt;AsOf,1,IF(AA891&lt;=AsOf+AlertDays,2,IF(AA891&lt;=AsOf+2*AlertDays,3,""))))))</f>
        <v/>
      </c>
      <c r="AC891" s="79">
        <f>IF(AB891="","",IF(AH891=1,IF(Y891="⚠️ Delivery after install date","Delivery after install date: "&amp;B891,"Order late — install at risk: "&amp;B891),IF(AD891=1,IF(AB891=1,"Decision overdue: ","Decide: ")&amp;B891,"Order: "&amp;B891&amp;IF(N891="",""," from "&amp;N891))))</f>
        <v/>
      </c>
      <c r="AD891" s="79">
        <f>IF(AND(B891&lt;&gt;"",K891="",U891&lt;&gt;"Yes",X891&lt;&gt;"Yes"),1,0)</f>
        <v/>
      </c>
      <c r="AE891" s="79">
        <f>IF(AND(AD891=1,T891&lt;&gt;""),IF(T891&lt;AsOf,1,0),0)</f>
        <v/>
      </c>
      <c r="AF891" s="79">
        <f>IF(AND(AD891=1,T891&lt;&gt;""),IF(AND(T891&gt;=AsOf,T891&lt;=AsOf+AlertDays),1,0),0)</f>
        <v/>
      </c>
      <c r="AG891" s="79">
        <f>IF(Y891="Order now",1,0)</f>
        <v/>
      </c>
      <c r="AH891" s="79">
        <f>IF(OR(Y891="⚠️ Order late — install at risk",Y891="⚠️ Delivery after install date"),1,0)</f>
        <v/>
      </c>
      <c r="AI891" s="79">
        <f>IF(AND(B891&lt;&gt;"",K891&lt;&gt;"",U891&lt;&gt;"Yes",X891&lt;&gt;"Yes"),1,0)</f>
        <v/>
      </c>
      <c r="AJ891" s="79">
        <f>IF(Y891="⚠️ Order late — install at risk",1,0)</f>
        <v/>
      </c>
    </row>
    <row r="892" ht="20" customHeight="1">
      <c r="B892" s="72" t="n"/>
      <c r="C892" s="72" t="n"/>
      <c r="D892" s="72" t="n"/>
      <c r="E892" s="72" t="n"/>
      <c r="F892" s="73" t="n"/>
      <c r="G892" s="72" t="n"/>
      <c r="H892" s="73" t="n"/>
      <c r="I892" s="72" t="n"/>
      <c r="J892" s="73" t="n"/>
      <c r="K892" s="74" t="n"/>
      <c r="L892" s="75">
        <f>IF(K892="A",F892,IF(K892="B",H892,IF(K892="C",J892,"")))</f>
        <v/>
      </c>
      <c r="M892" s="72" t="n"/>
      <c r="N892" s="72" t="n"/>
      <c r="O892" s="89" t="n"/>
      <c r="P892" s="89" t="n"/>
      <c r="Q892" s="109" t="n"/>
      <c r="R892" s="120">
        <f>IF(B892="","",IF(Q892&lt;&gt;"",Q892,IF(P892="","",IFERROR(INDEX('Timeline'!$J$7:$J$1006,MATCH(P892,'Timeline'!$B$7:$B$1006,0)),""))))</f>
        <v/>
      </c>
      <c r="S892" s="126">
        <f>IF(R892="","",R892-IF(O892="",0,O892)-OrderBuf)</f>
        <v/>
      </c>
      <c r="T892" s="126">
        <f>IF(S892="","",S892-DecideBuf)</f>
        <v/>
      </c>
      <c r="U892" s="74" t="n"/>
      <c r="V892" s="109" t="n"/>
      <c r="W892" s="109" t="n"/>
      <c r="X892" s="74" t="n"/>
      <c r="Y892" s="116">
        <f>IF(B892="","",IF(X892="Yes","Delivered",IF(U892="Yes",IF(AND(W892&lt;&gt;"",R892&lt;&gt;""),IF(W892&gt;R892,"⚠️ Delivery after install date","Ordered"),"Ordered"),IF(K892="",IF(T892="","Waiting for decision",IF(T892&lt;=AsOf+AlertDays,"Decide now","Waiting for decision")),IF(S892="","Selected",IF(AsOf&gt;S892,"⚠️ Order late — install at risk",IF(S892&lt;=AsOf+AlertDays,"Order now","Selected")))))))</f>
        <v/>
      </c>
      <c r="Z892" s="79">
        <f>IF(B892="","",IF(OR(AH892=1,AE892=1),2,IF(OR(AG892=1,AF892=1),1,IF(OR(Y892="Ordered",Y892="Delivered"),0,""))))</f>
        <v/>
      </c>
      <c r="AA892" s="112">
        <f>IF(B892="","",IF(AH892=1,IF(Y892="⚠️ Delivery after install date",R892,S892),IF(AD892=1,T892,IF(AI892=1,S892,""))))</f>
        <v/>
      </c>
      <c r="AB892" s="79">
        <f>IF(AA892="","",IF(AH892=1,1,IF(AA892="","",IF(AA892&lt;AsOf,1,IF(AA892&lt;=AsOf+AlertDays,2,IF(AA892&lt;=AsOf+2*AlertDays,3,""))))))</f>
        <v/>
      </c>
      <c r="AC892" s="79">
        <f>IF(AB892="","",IF(AH892=1,IF(Y892="⚠️ Delivery after install date","Delivery after install date: "&amp;B892,"Order late — install at risk: "&amp;B892),IF(AD892=1,IF(AB892=1,"Decision overdue: ","Decide: ")&amp;B892,"Order: "&amp;B892&amp;IF(N892="",""," from "&amp;N892))))</f>
        <v/>
      </c>
      <c r="AD892" s="79">
        <f>IF(AND(B892&lt;&gt;"",K892="",U892&lt;&gt;"Yes",X892&lt;&gt;"Yes"),1,0)</f>
        <v/>
      </c>
      <c r="AE892" s="79">
        <f>IF(AND(AD892=1,T892&lt;&gt;""),IF(T892&lt;AsOf,1,0),0)</f>
        <v/>
      </c>
      <c r="AF892" s="79">
        <f>IF(AND(AD892=1,T892&lt;&gt;""),IF(AND(T892&gt;=AsOf,T892&lt;=AsOf+AlertDays),1,0),0)</f>
        <v/>
      </c>
      <c r="AG892" s="79">
        <f>IF(Y892="Order now",1,0)</f>
        <v/>
      </c>
      <c r="AH892" s="79">
        <f>IF(OR(Y892="⚠️ Order late — install at risk",Y892="⚠️ Delivery after install date"),1,0)</f>
        <v/>
      </c>
      <c r="AI892" s="79">
        <f>IF(AND(B892&lt;&gt;"",K892&lt;&gt;"",U892&lt;&gt;"Yes",X892&lt;&gt;"Yes"),1,0)</f>
        <v/>
      </c>
      <c r="AJ892" s="79">
        <f>IF(Y892="⚠️ Order late — install at risk",1,0)</f>
        <v/>
      </c>
    </row>
    <row r="893" ht="20" customHeight="1">
      <c r="B893" s="72" t="n"/>
      <c r="C893" s="72" t="n"/>
      <c r="D893" s="72" t="n"/>
      <c r="E893" s="72" t="n"/>
      <c r="F893" s="73" t="n"/>
      <c r="G893" s="72" t="n"/>
      <c r="H893" s="73" t="n"/>
      <c r="I893" s="72" t="n"/>
      <c r="J893" s="73" t="n"/>
      <c r="K893" s="74" t="n"/>
      <c r="L893" s="75">
        <f>IF(K893="A",F893,IF(K893="B",H893,IF(K893="C",J893,"")))</f>
        <v/>
      </c>
      <c r="M893" s="72" t="n"/>
      <c r="N893" s="72" t="n"/>
      <c r="O893" s="89" t="n"/>
      <c r="P893" s="89" t="n"/>
      <c r="Q893" s="109" t="n"/>
      <c r="R893" s="120">
        <f>IF(B893="","",IF(Q893&lt;&gt;"",Q893,IF(P893="","",IFERROR(INDEX('Timeline'!$J$7:$J$1006,MATCH(P893,'Timeline'!$B$7:$B$1006,0)),""))))</f>
        <v/>
      </c>
      <c r="S893" s="126">
        <f>IF(R893="","",R893-IF(O893="",0,O893)-OrderBuf)</f>
        <v/>
      </c>
      <c r="T893" s="126">
        <f>IF(S893="","",S893-DecideBuf)</f>
        <v/>
      </c>
      <c r="U893" s="74" t="n"/>
      <c r="V893" s="109" t="n"/>
      <c r="W893" s="109" t="n"/>
      <c r="X893" s="74" t="n"/>
      <c r="Y893" s="116">
        <f>IF(B893="","",IF(X893="Yes","Delivered",IF(U893="Yes",IF(AND(W893&lt;&gt;"",R893&lt;&gt;""),IF(W893&gt;R893,"⚠️ Delivery after install date","Ordered"),"Ordered"),IF(K893="",IF(T893="","Waiting for decision",IF(T893&lt;=AsOf+AlertDays,"Decide now","Waiting for decision")),IF(S893="","Selected",IF(AsOf&gt;S893,"⚠️ Order late — install at risk",IF(S893&lt;=AsOf+AlertDays,"Order now","Selected")))))))</f>
        <v/>
      </c>
      <c r="Z893" s="79">
        <f>IF(B893="","",IF(OR(AH893=1,AE893=1),2,IF(OR(AG893=1,AF893=1),1,IF(OR(Y893="Ordered",Y893="Delivered"),0,""))))</f>
        <v/>
      </c>
      <c r="AA893" s="112">
        <f>IF(B893="","",IF(AH893=1,IF(Y893="⚠️ Delivery after install date",R893,S893),IF(AD893=1,T893,IF(AI893=1,S893,""))))</f>
        <v/>
      </c>
      <c r="AB893" s="79">
        <f>IF(AA893="","",IF(AH893=1,1,IF(AA893="","",IF(AA893&lt;AsOf,1,IF(AA893&lt;=AsOf+AlertDays,2,IF(AA893&lt;=AsOf+2*AlertDays,3,""))))))</f>
        <v/>
      </c>
      <c r="AC893" s="79">
        <f>IF(AB893="","",IF(AH893=1,IF(Y893="⚠️ Delivery after install date","Delivery after install date: "&amp;B893,"Order late — install at risk: "&amp;B893),IF(AD893=1,IF(AB893=1,"Decision overdue: ","Decide: ")&amp;B893,"Order: "&amp;B893&amp;IF(N893="",""," from "&amp;N893))))</f>
        <v/>
      </c>
      <c r="AD893" s="79">
        <f>IF(AND(B893&lt;&gt;"",K893="",U893&lt;&gt;"Yes",X893&lt;&gt;"Yes"),1,0)</f>
        <v/>
      </c>
      <c r="AE893" s="79">
        <f>IF(AND(AD893=1,T893&lt;&gt;""),IF(T893&lt;AsOf,1,0),0)</f>
        <v/>
      </c>
      <c r="AF893" s="79">
        <f>IF(AND(AD893=1,T893&lt;&gt;""),IF(AND(T893&gt;=AsOf,T893&lt;=AsOf+AlertDays),1,0),0)</f>
        <v/>
      </c>
      <c r="AG893" s="79">
        <f>IF(Y893="Order now",1,0)</f>
        <v/>
      </c>
      <c r="AH893" s="79">
        <f>IF(OR(Y893="⚠️ Order late — install at risk",Y893="⚠️ Delivery after install date"),1,0)</f>
        <v/>
      </c>
      <c r="AI893" s="79">
        <f>IF(AND(B893&lt;&gt;"",K893&lt;&gt;"",U893&lt;&gt;"Yes",X893&lt;&gt;"Yes"),1,0)</f>
        <v/>
      </c>
      <c r="AJ893" s="79">
        <f>IF(Y893="⚠️ Order late — install at risk",1,0)</f>
        <v/>
      </c>
    </row>
    <row r="894" ht="20" customHeight="1">
      <c r="B894" s="72" t="n"/>
      <c r="C894" s="72" t="n"/>
      <c r="D894" s="72" t="n"/>
      <c r="E894" s="72" t="n"/>
      <c r="F894" s="73" t="n"/>
      <c r="G894" s="72" t="n"/>
      <c r="H894" s="73" t="n"/>
      <c r="I894" s="72" t="n"/>
      <c r="J894" s="73" t="n"/>
      <c r="K894" s="74" t="n"/>
      <c r="L894" s="75">
        <f>IF(K894="A",F894,IF(K894="B",H894,IF(K894="C",J894,"")))</f>
        <v/>
      </c>
      <c r="M894" s="72" t="n"/>
      <c r="N894" s="72" t="n"/>
      <c r="O894" s="89" t="n"/>
      <c r="P894" s="89" t="n"/>
      <c r="Q894" s="109" t="n"/>
      <c r="R894" s="120">
        <f>IF(B894="","",IF(Q894&lt;&gt;"",Q894,IF(P894="","",IFERROR(INDEX('Timeline'!$J$7:$J$1006,MATCH(P894,'Timeline'!$B$7:$B$1006,0)),""))))</f>
        <v/>
      </c>
      <c r="S894" s="126">
        <f>IF(R894="","",R894-IF(O894="",0,O894)-OrderBuf)</f>
        <v/>
      </c>
      <c r="T894" s="126">
        <f>IF(S894="","",S894-DecideBuf)</f>
        <v/>
      </c>
      <c r="U894" s="74" t="n"/>
      <c r="V894" s="109" t="n"/>
      <c r="W894" s="109" t="n"/>
      <c r="X894" s="74" t="n"/>
      <c r="Y894" s="116">
        <f>IF(B894="","",IF(X894="Yes","Delivered",IF(U894="Yes",IF(AND(W894&lt;&gt;"",R894&lt;&gt;""),IF(W894&gt;R894,"⚠️ Delivery after install date","Ordered"),"Ordered"),IF(K894="",IF(T894="","Waiting for decision",IF(T894&lt;=AsOf+AlertDays,"Decide now","Waiting for decision")),IF(S894="","Selected",IF(AsOf&gt;S894,"⚠️ Order late — install at risk",IF(S894&lt;=AsOf+AlertDays,"Order now","Selected")))))))</f>
        <v/>
      </c>
      <c r="Z894" s="79">
        <f>IF(B894="","",IF(OR(AH894=1,AE894=1),2,IF(OR(AG894=1,AF894=1),1,IF(OR(Y894="Ordered",Y894="Delivered"),0,""))))</f>
        <v/>
      </c>
      <c r="AA894" s="112">
        <f>IF(B894="","",IF(AH894=1,IF(Y894="⚠️ Delivery after install date",R894,S894),IF(AD894=1,T894,IF(AI894=1,S894,""))))</f>
        <v/>
      </c>
      <c r="AB894" s="79">
        <f>IF(AA894="","",IF(AH894=1,1,IF(AA894="","",IF(AA894&lt;AsOf,1,IF(AA894&lt;=AsOf+AlertDays,2,IF(AA894&lt;=AsOf+2*AlertDays,3,""))))))</f>
        <v/>
      </c>
      <c r="AC894" s="79">
        <f>IF(AB894="","",IF(AH894=1,IF(Y894="⚠️ Delivery after install date","Delivery after install date: "&amp;B894,"Order late — install at risk: "&amp;B894),IF(AD894=1,IF(AB894=1,"Decision overdue: ","Decide: ")&amp;B894,"Order: "&amp;B894&amp;IF(N894="",""," from "&amp;N894))))</f>
        <v/>
      </c>
      <c r="AD894" s="79">
        <f>IF(AND(B894&lt;&gt;"",K894="",U894&lt;&gt;"Yes",X894&lt;&gt;"Yes"),1,0)</f>
        <v/>
      </c>
      <c r="AE894" s="79">
        <f>IF(AND(AD894=1,T894&lt;&gt;""),IF(T894&lt;AsOf,1,0),0)</f>
        <v/>
      </c>
      <c r="AF894" s="79">
        <f>IF(AND(AD894=1,T894&lt;&gt;""),IF(AND(T894&gt;=AsOf,T894&lt;=AsOf+AlertDays),1,0),0)</f>
        <v/>
      </c>
      <c r="AG894" s="79">
        <f>IF(Y894="Order now",1,0)</f>
        <v/>
      </c>
      <c r="AH894" s="79">
        <f>IF(OR(Y894="⚠️ Order late — install at risk",Y894="⚠️ Delivery after install date"),1,0)</f>
        <v/>
      </c>
      <c r="AI894" s="79">
        <f>IF(AND(B894&lt;&gt;"",K894&lt;&gt;"",U894&lt;&gt;"Yes",X894&lt;&gt;"Yes"),1,0)</f>
        <v/>
      </c>
      <c r="AJ894" s="79">
        <f>IF(Y894="⚠️ Order late — install at risk",1,0)</f>
        <v/>
      </c>
    </row>
    <row r="895" ht="20" customHeight="1">
      <c r="B895" s="72" t="n"/>
      <c r="C895" s="72" t="n"/>
      <c r="D895" s="72" t="n"/>
      <c r="E895" s="72" t="n"/>
      <c r="F895" s="73" t="n"/>
      <c r="G895" s="72" t="n"/>
      <c r="H895" s="73" t="n"/>
      <c r="I895" s="72" t="n"/>
      <c r="J895" s="73" t="n"/>
      <c r="K895" s="74" t="n"/>
      <c r="L895" s="75">
        <f>IF(K895="A",F895,IF(K895="B",H895,IF(K895="C",J895,"")))</f>
        <v/>
      </c>
      <c r="M895" s="72" t="n"/>
      <c r="N895" s="72" t="n"/>
      <c r="O895" s="89" t="n"/>
      <c r="P895" s="89" t="n"/>
      <c r="Q895" s="109" t="n"/>
      <c r="R895" s="120">
        <f>IF(B895="","",IF(Q895&lt;&gt;"",Q895,IF(P895="","",IFERROR(INDEX('Timeline'!$J$7:$J$1006,MATCH(P895,'Timeline'!$B$7:$B$1006,0)),""))))</f>
        <v/>
      </c>
      <c r="S895" s="126">
        <f>IF(R895="","",R895-IF(O895="",0,O895)-OrderBuf)</f>
        <v/>
      </c>
      <c r="T895" s="126">
        <f>IF(S895="","",S895-DecideBuf)</f>
        <v/>
      </c>
      <c r="U895" s="74" t="n"/>
      <c r="V895" s="109" t="n"/>
      <c r="W895" s="109" t="n"/>
      <c r="X895" s="74" t="n"/>
      <c r="Y895" s="116">
        <f>IF(B895="","",IF(X895="Yes","Delivered",IF(U895="Yes",IF(AND(W895&lt;&gt;"",R895&lt;&gt;""),IF(W895&gt;R895,"⚠️ Delivery after install date","Ordered"),"Ordered"),IF(K895="",IF(T895="","Waiting for decision",IF(T895&lt;=AsOf+AlertDays,"Decide now","Waiting for decision")),IF(S895="","Selected",IF(AsOf&gt;S895,"⚠️ Order late — install at risk",IF(S895&lt;=AsOf+AlertDays,"Order now","Selected")))))))</f>
        <v/>
      </c>
      <c r="Z895" s="79">
        <f>IF(B895="","",IF(OR(AH895=1,AE895=1),2,IF(OR(AG895=1,AF895=1),1,IF(OR(Y895="Ordered",Y895="Delivered"),0,""))))</f>
        <v/>
      </c>
      <c r="AA895" s="112">
        <f>IF(B895="","",IF(AH895=1,IF(Y895="⚠️ Delivery after install date",R895,S895),IF(AD895=1,T895,IF(AI895=1,S895,""))))</f>
        <v/>
      </c>
      <c r="AB895" s="79">
        <f>IF(AA895="","",IF(AH895=1,1,IF(AA895="","",IF(AA895&lt;AsOf,1,IF(AA895&lt;=AsOf+AlertDays,2,IF(AA895&lt;=AsOf+2*AlertDays,3,""))))))</f>
        <v/>
      </c>
      <c r="AC895" s="79">
        <f>IF(AB895="","",IF(AH895=1,IF(Y895="⚠️ Delivery after install date","Delivery after install date: "&amp;B895,"Order late — install at risk: "&amp;B895),IF(AD895=1,IF(AB895=1,"Decision overdue: ","Decide: ")&amp;B895,"Order: "&amp;B895&amp;IF(N895="",""," from "&amp;N895))))</f>
        <v/>
      </c>
      <c r="AD895" s="79">
        <f>IF(AND(B895&lt;&gt;"",K895="",U895&lt;&gt;"Yes",X895&lt;&gt;"Yes"),1,0)</f>
        <v/>
      </c>
      <c r="AE895" s="79">
        <f>IF(AND(AD895=1,T895&lt;&gt;""),IF(T895&lt;AsOf,1,0),0)</f>
        <v/>
      </c>
      <c r="AF895" s="79">
        <f>IF(AND(AD895=1,T895&lt;&gt;""),IF(AND(T895&gt;=AsOf,T895&lt;=AsOf+AlertDays),1,0),0)</f>
        <v/>
      </c>
      <c r="AG895" s="79">
        <f>IF(Y895="Order now",1,0)</f>
        <v/>
      </c>
      <c r="AH895" s="79">
        <f>IF(OR(Y895="⚠️ Order late — install at risk",Y895="⚠️ Delivery after install date"),1,0)</f>
        <v/>
      </c>
      <c r="AI895" s="79">
        <f>IF(AND(B895&lt;&gt;"",K895&lt;&gt;"",U895&lt;&gt;"Yes",X895&lt;&gt;"Yes"),1,0)</f>
        <v/>
      </c>
      <c r="AJ895" s="79">
        <f>IF(Y895="⚠️ Order late — install at risk",1,0)</f>
        <v/>
      </c>
    </row>
    <row r="896" ht="20" customHeight="1">
      <c r="B896" s="72" t="n"/>
      <c r="C896" s="72" t="n"/>
      <c r="D896" s="72" t="n"/>
      <c r="E896" s="72" t="n"/>
      <c r="F896" s="73" t="n"/>
      <c r="G896" s="72" t="n"/>
      <c r="H896" s="73" t="n"/>
      <c r="I896" s="72" t="n"/>
      <c r="J896" s="73" t="n"/>
      <c r="K896" s="74" t="n"/>
      <c r="L896" s="75">
        <f>IF(K896="A",F896,IF(K896="B",H896,IF(K896="C",J896,"")))</f>
        <v/>
      </c>
      <c r="M896" s="72" t="n"/>
      <c r="N896" s="72" t="n"/>
      <c r="O896" s="89" t="n"/>
      <c r="P896" s="89" t="n"/>
      <c r="Q896" s="109" t="n"/>
      <c r="R896" s="120">
        <f>IF(B896="","",IF(Q896&lt;&gt;"",Q896,IF(P896="","",IFERROR(INDEX('Timeline'!$J$7:$J$1006,MATCH(P896,'Timeline'!$B$7:$B$1006,0)),""))))</f>
        <v/>
      </c>
      <c r="S896" s="126">
        <f>IF(R896="","",R896-IF(O896="",0,O896)-OrderBuf)</f>
        <v/>
      </c>
      <c r="T896" s="126">
        <f>IF(S896="","",S896-DecideBuf)</f>
        <v/>
      </c>
      <c r="U896" s="74" t="n"/>
      <c r="V896" s="109" t="n"/>
      <c r="W896" s="109" t="n"/>
      <c r="X896" s="74" t="n"/>
      <c r="Y896" s="116">
        <f>IF(B896="","",IF(X896="Yes","Delivered",IF(U896="Yes",IF(AND(W896&lt;&gt;"",R896&lt;&gt;""),IF(W896&gt;R896,"⚠️ Delivery after install date","Ordered"),"Ordered"),IF(K896="",IF(T896="","Waiting for decision",IF(T896&lt;=AsOf+AlertDays,"Decide now","Waiting for decision")),IF(S896="","Selected",IF(AsOf&gt;S896,"⚠️ Order late — install at risk",IF(S896&lt;=AsOf+AlertDays,"Order now","Selected")))))))</f>
        <v/>
      </c>
      <c r="Z896" s="79">
        <f>IF(B896="","",IF(OR(AH896=1,AE896=1),2,IF(OR(AG896=1,AF896=1),1,IF(OR(Y896="Ordered",Y896="Delivered"),0,""))))</f>
        <v/>
      </c>
      <c r="AA896" s="112">
        <f>IF(B896="","",IF(AH896=1,IF(Y896="⚠️ Delivery after install date",R896,S896),IF(AD896=1,T896,IF(AI896=1,S896,""))))</f>
        <v/>
      </c>
      <c r="AB896" s="79">
        <f>IF(AA896="","",IF(AH896=1,1,IF(AA896="","",IF(AA896&lt;AsOf,1,IF(AA896&lt;=AsOf+AlertDays,2,IF(AA896&lt;=AsOf+2*AlertDays,3,""))))))</f>
        <v/>
      </c>
      <c r="AC896" s="79">
        <f>IF(AB896="","",IF(AH896=1,IF(Y896="⚠️ Delivery after install date","Delivery after install date: "&amp;B896,"Order late — install at risk: "&amp;B896),IF(AD896=1,IF(AB896=1,"Decision overdue: ","Decide: ")&amp;B896,"Order: "&amp;B896&amp;IF(N896="",""," from "&amp;N896))))</f>
        <v/>
      </c>
      <c r="AD896" s="79">
        <f>IF(AND(B896&lt;&gt;"",K896="",U896&lt;&gt;"Yes",X896&lt;&gt;"Yes"),1,0)</f>
        <v/>
      </c>
      <c r="AE896" s="79">
        <f>IF(AND(AD896=1,T896&lt;&gt;""),IF(T896&lt;AsOf,1,0),0)</f>
        <v/>
      </c>
      <c r="AF896" s="79">
        <f>IF(AND(AD896=1,T896&lt;&gt;""),IF(AND(T896&gt;=AsOf,T896&lt;=AsOf+AlertDays),1,0),0)</f>
        <v/>
      </c>
      <c r="AG896" s="79">
        <f>IF(Y896="Order now",1,0)</f>
        <v/>
      </c>
      <c r="AH896" s="79">
        <f>IF(OR(Y896="⚠️ Order late — install at risk",Y896="⚠️ Delivery after install date"),1,0)</f>
        <v/>
      </c>
      <c r="AI896" s="79">
        <f>IF(AND(B896&lt;&gt;"",K896&lt;&gt;"",U896&lt;&gt;"Yes",X896&lt;&gt;"Yes"),1,0)</f>
        <v/>
      </c>
      <c r="AJ896" s="79">
        <f>IF(Y896="⚠️ Order late — install at risk",1,0)</f>
        <v/>
      </c>
    </row>
    <row r="897" ht="20" customHeight="1">
      <c r="B897" s="72" t="n"/>
      <c r="C897" s="72" t="n"/>
      <c r="D897" s="72" t="n"/>
      <c r="E897" s="72" t="n"/>
      <c r="F897" s="73" t="n"/>
      <c r="G897" s="72" t="n"/>
      <c r="H897" s="73" t="n"/>
      <c r="I897" s="72" t="n"/>
      <c r="J897" s="73" t="n"/>
      <c r="K897" s="74" t="n"/>
      <c r="L897" s="75">
        <f>IF(K897="A",F897,IF(K897="B",H897,IF(K897="C",J897,"")))</f>
        <v/>
      </c>
      <c r="M897" s="72" t="n"/>
      <c r="N897" s="72" t="n"/>
      <c r="O897" s="89" t="n"/>
      <c r="P897" s="89" t="n"/>
      <c r="Q897" s="109" t="n"/>
      <c r="R897" s="120">
        <f>IF(B897="","",IF(Q897&lt;&gt;"",Q897,IF(P897="","",IFERROR(INDEX('Timeline'!$J$7:$J$1006,MATCH(P897,'Timeline'!$B$7:$B$1006,0)),""))))</f>
        <v/>
      </c>
      <c r="S897" s="126">
        <f>IF(R897="","",R897-IF(O897="",0,O897)-OrderBuf)</f>
        <v/>
      </c>
      <c r="T897" s="126">
        <f>IF(S897="","",S897-DecideBuf)</f>
        <v/>
      </c>
      <c r="U897" s="74" t="n"/>
      <c r="V897" s="109" t="n"/>
      <c r="W897" s="109" t="n"/>
      <c r="X897" s="74" t="n"/>
      <c r="Y897" s="116">
        <f>IF(B897="","",IF(X897="Yes","Delivered",IF(U897="Yes",IF(AND(W897&lt;&gt;"",R897&lt;&gt;""),IF(W897&gt;R897,"⚠️ Delivery after install date","Ordered"),"Ordered"),IF(K897="",IF(T897="","Waiting for decision",IF(T897&lt;=AsOf+AlertDays,"Decide now","Waiting for decision")),IF(S897="","Selected",IF(AsOf&gt;S897,"⚠️ Order late — install at risk",IF(S897&lt;=AsOf+AlertDays,"Order now","Selected")))))))</f>
        <v/>
      </c>
      <c r="Z897" s="79">
        <f>IF(B897="","",IF(OR(AH897=1,AE897=1),2,IF(OR(AG897=1,AF897=1),1,IF(OR(Y897="Ordered",Y897="Delivered"),0,""))))</f>
        <v/>
      </c>
      <c r="AA897" s="112">
        <f>IF(B897="","",IF(AH897=1,IF(Y897="⚠️ Delivery after install date",R897,S897),IF(AD897=1,T897,IF(AI897=1,S897,""))))</f>
        <v/>
      </c>
      <c r="AB897" s="79">
        <f>IF(AA897="","",IF(AH897=1,1,IF(AA897="","",IF(AA897&lt;AsOf,1,IF(AA897&lt;=AsOf+AlertDays,2,IF(AA897&lt;=AsOf+2*AlertDays,3,""))))))</f>
        <v/>
      </c>
      <c r="AC897" s="79">
        <f>IF(AB897="","",IF(AH897=1,IF(Y897="⚠️ Delivery after install date","Delivery after install date: "&amp;B897,"Order late — install at risk: "&amp;B897),IF(AD897=1,IF(AB897=1,"Decision overdue: ","Decide: ")&amp;B897,"Order: "&amp;B897&amp;IF(N897="",""," from "&amp;N897))))</f>
        <v/>
      </c>
      <c r="AD897" s="79">
        <f>IF(AND(B897&lt;&gt;"",K897="",U897&lt;&gt;"Yes",X897&lt;&gt;"Yes"),1,0)</f>
        <v/>
      </c>
      <c r="AE897" s="79">
        <f>IF(AND(AD897=1,T897&lt;&gt;""),IF(T897&lt;AsOf,1,0),0)</f>
        <v/>
      </c>
      <c r="AF897" s="79">
        <f>IF(AND(AD897=1,T897&lt;&gt;""),IF(AND(T897&gt;=AsOf,T897&lt;=AsOf+AlertDays),1,0),0)</f>
        <v/>
      </c>
      <c r="AG897" s="79">
        <f>IF(Y897="Order now",1,0)</f>
        <v/>
      </c>
      <c r="AH897" s="79">
        <f>IF(OR(Y897="⚠️ Order late — install at risk",Y897="⚠️ Delivery after install date"),1,0)</f>
        <v/>
      </c>
      <c r="AI897" s="79">
        <f>IF(AND(B897&lt;&gt;"",K897&lt;&gt;"",U897&lt;&gt;"Yes",X897&lt;&gt;"Yes"),1,0)</f>
        <v/>
      </c>
      <c r="AJ897" s="79">
        <f>IF(Y897="⚠️ Order late — install at risk",1,0)</f>
        <v/>
      </c>
    </row>
    <row r="898" ht="20" customHeight="1">
      <c r="B898" s="72" t="n"/>
      <c r="C898" s="72" t="n"/>
      <c r="D898" s="72" t="n"/>
      <c r="E898" s="72" t="n"/>
      <c r="F898" s="73" t="n"/>
      <c r="G898" s="72" t="n"/>
      <c r="H898" s="73" t="n"/>
      <c r="I898" s="72" t="n"/>
      <c r="J898" s="73" t="n"/>
      <c r="K898" s="74" t="n"/>
      <c r="L898" s="75">
        <f>IF(K898="A",F898,IF(K898="B",H898,IF(K898="C",J898,"")))</f>
        <v/>
      </c>
      <c r="M898" s="72" t="n"/>
      <c r="N898" s="72" t="n"/>
      <c r="O898" s="89" t="n"/>
      <c r="P898" s="89" t="n"/>
      <c r="Q898" s="109" t="n"/>
      <c r="R898" s="120">
        <f>IF(B898="","",IF(Q898&lt;&gt;"",Q898,IF(P898="","",IFERROR(INDEX('Timeline'!$J$7:$J$1006,MATCH(P898,'Timeline'!$B$7:$B$1006,0)),""))))</f>
        <v/>
      </c>
      <c r="S898" s="126">
        <f>IF(R898="","",R898-IF(O898="",0,O898)-OrderBuf)</f>
        <v/>
      </c>
      <c r="T898" s="126">
        <f>IF(S898="","",S898-DecideBuf)</f>
        <v/>
      </c>
      <c r="U898" s="74" t="n"/>
      <c r="V898" s="109" t="n"/>
      <c r="W898" s="109" t="n"/>
      <c r="X898" s="74" t="n"/>
      <c r="Y898" s="116">
        <f>IF(B898="","",IF(X898="Yes","Delivered",IF(U898="Yes",IF(AND(W898&lt;&gt;"",R898&lt;&gt;""),IF(W898&gt;R898,"⚠️ Delivery after install date","Ordered"),"Ordered"),IF(K898="",IF(T898="","Waiting for decision",IF(T898&lt;=AsOf+AlertDays,"Decide now","Waiting for decision")),IF(S898="","Selected",IF(AsOf&gt;S898,"⚠️ Order late — install at risk",IF(S898&lt;=AsOf+AlertDays,"Order now","Selected")))))))</f>
        <v/>
      </c>
      <c r="Z898" s="79">
        <f>IF(B898="","",IF(OR(AH898=1,AE898=1),2,IF(OR(AG898=1,AF898=1),1,IF(OR(Y898="Ordered",Y898="Delivered"),0,""))))</f>
        <v/>
      </c>
      <c r="AA898" s="112">
        <f>IF(B898="","",IF(AH898=1,IF(Y898="⚠️ Delivery after install date",R898,S898),IF(AD898=1,T898,IF(AI898=1,S898,""))))</f>
        <v/>
      </c>
      <c r="AB898" s="79">
        <f>IF(AA898="","",IF(AH898=1,1,IF(AA898="","",IF(AA898&lt;AsOf,1,IF(AA898&lt;=AsOf+AlertDays,2,IF(AA898&lt;=AsOf+2*AlertDays,3,""))))))</f>
        <v/>
      </c>
      <c r="AC898" s="79">
        <f>IF(AB898="","",IF(AH898=1,IF(Y898="⚠️ Delivery after install date","Delivery after install date: "&amp;B898,"Order late — install at risk: "&amp;B898),IF(AD898=1,IF(AB898=1,"Decision overdue: ","Decide: ")&amp;B898,"Order: "&amp;B898&amp;IF(N898="",""," from "&amp;N898))))</f>
        <v/>
      </c>
      <c r="AD898" s="79">
        <f>IF(AND(B898&lt;&gt;"",K898="",U898&lt;&gt;"Yes",X898&lt;&gt;"Yes"),1,0)</f>
        <v/>
      </c>
      <c r="AE898" s="79">
        <f>IF(AND(AD898=1,T898&lt;&gt;""),IF(T898&lt;AsOf,1,0),0)</f>
        <v/>
      </c>
      <c r="AF898" s="79">
        <f>IF(AND(AD898=1,T898&lt;&gt;""),IF(AND(T898&gt;=AsOf,T898&lt;=AsOf+AlertDays),1,0),0)</f>
        <v/>
      </c>
      <c r="AG898" s="79">
        <f>IF(Y898="Order now",1,0)</f>
        <v/>
      </c>
      <c r="AH898" s="79">
        <f>IF(OR(Y898="⚠️ Order late — install at risk",Y898="⚠️ Delivery after install date"),1,0)</f>
        <v/>
      </c>
      <c r="AI898" s="79">
        <f>IF(AND(B898&lt;&gt;"",K898&lt;&gt;"",U898&lt;&gt;"Yes",X898&lt;&gt;"Yes"),1,0)</f>
        <v/>
      </c>
      <c r="AJ898" s="79">
        <f>IF(Y898="⚠️ Order late — install at risk",1,0)</f>
        <v/>
      </c>
    </row>
    <row r="899" ht="20" customHeight="1">
      <c r="B899" s="72" t="n"/>
      <c r="C899" s="72" t="n"/>
      <c r="D899" s="72" t="n"/>
      <c r="E899" s="72" t="n"/>
      <c r="F899" s="73" t="n"/>
      <c r="G899" s="72" t="n"/>
      <c r="H899" s="73" t="n"/>
      <c r="I899" s="72" t="n"/>
      <c r="J899" s="73" t="n"/>
      <c r="K899" s="74" t="n"/>
      <c r="L899" s="75">
        <f>IF(K899="A",F899,IF(K899="B",H899,IF(K899="C",J899,"")))</f>
        <v/>
      </c>
      <c r="M899" s="72" t="n"/>
      <c r="N899" s="72" t="n"/>
      <c r="O899" s="89" t="n"/>
      <c r="P899" s="89" t="n"/>
      <c r="Q899" s="109" t="n"/>
      <c r="R899" s="120">
        <f>IF(B899="","",IF(Q899&lt;&gt;"",Q899,IF(P899="","",IFERROR(INDEX('Timeline'!$J$7:$J$1006,MATCH(P899,'Timeline'!$B$7:$B$1006,0)),""))))</f>
        <v/>
      </c>
      <c r="S899" s="126">
        <f>IF(R899="","",R899-IF(O899="",0,O899)-OrderBuf)</f>
        <v/>
      </c>
      <c r="T899" s="126">
        <f>IF(S899="","",S899-DecideBuf)</f>
        <v/>
      </c>
      <c r="U899" s="74" t="n"/>
      <c r="V899" s="109" t="n"/>
      <c r="W899" s="109" t="n"/>
      <c r="X899" s="74" t="n"/>
      <c r="Y899" s="116">
        <f>IF(B899="","",IF(X899="Yes","Delivered",IF(U899="Yes",IF(AND(W899&lt;&gt;"",R899&lt;&gt;""),IF(W899&gt;R899,"⚠️ Delivery after install date","Ordered"),"Ordered"),IF(K899="",IF(T899="","Waiting for decision",IF(T899&lt;=AsOf+AlertDays,"Decide now","Waiting for decision")),IF(S899="","Selected",IF(AsOf&gt;S899,"⚠️ Order late — install at risk",IF(S899&lt;=AsOf+AlertDays,"Order now","Selected")))))))</f>
        <v/>
      </c>
      <c r="Z899" s="79">
        <f>IF(B899="","",IF(OR(AH899=1,AE899=1),2,IF(OR(AG899=1,AF899=1),1,IF(OR(Y899="Ordered",Y899="Delivered"),0,""))))</f>
        <v/>
      </c>
      <c r="AA899" s="112">
        <f>IF(B899="","",IF(AH899=1,IF(Y899="⚠️ Delivery after install date",R899,S899),IF(AD899=1,T899,IF(AI899=1,S899,""))))</f>
        <v/>
      </c>
      <c r="AB899" s="79">
        <f>IF(AA899="","",IF(AH899=1,1,IF(AA899="","",IF(AA899&lt;AsOf,1,IF(AA899&lt;=AsOf+AlertDays,2,IF(AA899&lt;=AsOf+2*AlertDays,3,""))))))</f>
        <v/>
      </c>
      <c r="AC899" s="79">
        <f>IF(AB899="","",IF(AH899=1,IF(Y899="⚠️ Delivery after install date","Delivery after install date: "&amp;B899,"Order late — install at risk: "&amp;B899),IF(AD899=1,IF(AB899=1,"Decision overdue: ","Decide: ")&amp;B899,"Order: "&amp;B899&amp;IF(N899="",""," from "&amp;N899))))</f>
        <v/>
      </c>
      <c r="AD899" s="79">
        <f>IF(AND(B899&lt;&gt;"",K899="",U899&lt;&gt;"Yes",X899&lt;&gt;"Yes"),1,0)</f>
        <v/>
      </c>
      <c r="AE899" s="79">
        <f>IF(AND(AD899=1,T899&lt;&gt;""),IF(T899&lt;AsOf,1,0),0)</f>
        <v/>
      </c>
      <c r="AF899" s="79">
        <f>IF(AND(AD899=1,T899&lt;&gt;""),IF(AND(T899&gt;=AsOf,T899&lt;=AsOf+AlertDays),1,0),0)</f>
        <v/>
      </c>
      <c r="AG899" s="79">
        <f>IF(Y899="Order now",1,0)</f>
        <v/>
      </c>
      <c r="AH899" s="79">
        <f>IF(OR(Y899="⚠️ Order late — install at risk",Y899="⚠️ Delivery after install date"),1,0)</f>
        <v/>
      </c>
      <c r="AI899" s="79">
        <f>IF(AND(B899&lt;&gt;"",K899&lt;&gt;"",U899&lt;&gt;"Yes",X899&lt;&gt;"Yes"),1,0)</f>
        <v/>
      </c>
      <c r="AJ899" s="79">
        <f>IF(Y899="⚠️ Order late — install at risk",1,0)</f>
        <v/>
      </c>
    </row>
    <row r="900" ht="20" customHeight="1">
      <c r="B900" s="72" t="n"/>
      <c r="C900" s="72" t="n"/>
      <c r="D900" s="72" t="n"/>
      <c r="E900" s="72" t="n"/>
      <c r="F900" s="73" t="n"/>
      <c r="G900" s="72" t="n"/>
      <c r="H900" s="73" t="n"/>
      <c r="I900" s="72" t="n"/>
      <c r="J900" s="73" t="n"/>
      <c r="K900" s="74" t="n"/>
      <c r="L900" s="75">
        <f>IF(K900="A",F900,IF(K900="B",H900,IF(K900="C",J900,"")))</f>
        <v/>
      </c>
      <c r="M900" s="72" t="n"/>
      <c r="N900" s="72" t="n"/>
      <c r="O900" s="89" t="n"/>
      <c r="P900" s="89" t="n"/>
      <c r="Q900" s="109" t="n"/>
      <c r="R900" s="120">
        <f>IF(B900="","",IF(Q900&lt;&gt;"",Q900,IF(P900="","",IFERROR(INDEX('Timeline'!$J$7:$J$1006,MATCH(P900,'Timeline'!$B$7:$B$1006,0)),""))))</f>
        <v/>
      </c>
      <c r="S900" s="126">
        <f>IF(R900="","",R900-IF(O900="",0,O900)-OrderBuf)</f>
        <v/>
      </c>
      <c r="T900" s="126">
        <f>IF(S900="","",S900-DecideBuf)</f>
        <v/>
      </c>
      <c r="U900" s="74" t="n"/>
      <c r="V900" s="109" t="n"/>
      <c r="W900" s="109" t="n"/>
      <c r="X900" s="74" t="n"/>
      <c r="Y900" s="116">
        <f>IF(B900="","",IF(X900="Yes","Delivered",IF(U900="Yes",IF(AND(W900&lt;&gt;"",R900&lt;&gt;""),IF(W900&gt;R900,"⚠️ Delivery after install date","Ordered"),"Ordered"),IF(K900="",IF(T900="","Waiting for decision",IF(T900&lt;=AsOf+AlertDays,"Decide now","Waiting for decision")),IF(S900="","Selected",IF(AsOf&gt;S900,"⚠️ Order late — install at risk",IF(S900&lt;=AsOf+AlertDays,"Order now","Selected")))))))</f>
        <v/>
      </c>
      <c r="Z900" s="79">
        <f>IF(B900="","",IF(OR(AH900=1,AE900=1),2,IF(OR(AG900=1,AF900=1),1,IF(OR(Y900="Ordered",Y900="Delivered"),0,""))))</f>
        <v/>
      </c>
      <c r="AA900" s="112">
        <f>IF(B900="","",IF(AH900=1,IF(Y900="⚠️ Delivery after install date",R900,S900),IF(AD900=1,T900,IF(AI900=1,S900,""))))</f>
        <v/>
      </c>
      <c r="AB900" s="79">
        <f>IF(AA900="","",IF(AH900=1,1,IF(AA900="","",IF(AA900&lt;AsOf,1,IF(AA900&lt;=AsOf+AlertDays,2,IF(AA900&lt;=AsOf+2*AlertDays,3,""))))))</f>
        <v/>
      </c>
      <c r="AC900" s="79">
        <f>IF(AB900="","",IF(AH900=1,IF(Y900="⚠️ Delivery after install date","Delivery after install date: "&amp;B900,"Order late — install at risk: "&amp;B900),IF(AD900=1,IF(AB900=1,"Decision overdue: ","Decide: ")&amp;B900,"Order: "&amp;B900&amp;IF(N900="",""," from "&amp;N900))))</f>
        <v/>
      </c>
      <c r="AD900" s="79">
        <f>IF(AND(B900&lt;&gt;"",K900="",U900&lt;&gt;"Yes",X900&lt;&gt;"Yes"),1,0)</f>
        <v/>
      </c>
      <c r="AE900" s="79">
        <f>IF(AND(AD900=1,T900&lt;&gt;""),IF(T900&lt;AsOf,1,0),0)</f>
        <v/>
      </c>
      <c r="AF900" s="79">
        <f>IF(AND(AD900=1,T900&lt;&gt;""),IF(AND(T900&gt;=AsOf,T900&lt;=AsOf+AlertDays),1,0),0)</f>
        <v/>
      </c>
      <c r="AG900" s="79">
        <f>IF(Y900="Order now",1,0)</f>
        <v/>
      </c>
      <c r="AH900" s="79">
        <f>IF(OR(Y900="⚠️ Order late — install at risk",Y900="⚠️ Delivery after install date"),1,0)</f>
        <v/>
      </c>
      <c r="AI900" s="79">
        <f>IF(AND(B900&lt;&gt;"",K900&lt;&gt;"",U900&lt;&gt;"Yes",X900&lt;&gt;"Yes"),1,0)</f>
        <v/>
      </c>
      <c r="AJ900" s="79">
        <f>IF(Y900="⚠️ Order late — install at risk",1,0)</f>
        <v/>
      </c>
    </row>
    <row r="901" ht="20" customHeight="1">
      <c r="B901" s="72" t="n"/>
      <c r="C901" s="72" t="n"/>
      <c r="D901" s="72" t="n"/>
      <c r="E901" s="72" t="n"/>
      <c r="F901" s="73" t="n"/>
      <c r="G901" s="72" t="n"/>
      <c r="H901" s="73" t="n"/>
      <c r="I901" s="72" t="n"/>
      <c r="J901" s="73" t="n"/>
      <c r="K901" s="74" t="n"/>
      <c r="L901" s="75">
        <f>IF(K901="A",F901,IF(K901="B",H901,IF(K901="C",J901,"")))</f>
        <v/>
      </c>
      <c r="M901" s="72" t="n"/>
      <c r="N901" s="72" t="n"/>
      <c r="O901" s="89" t="n"/>
      <c r="P901" s="89" t="n"/>
      <c r="Q901" s="109" t="n"/>
      <c r="R901" s="120">
        <f>IF(B901="","",IF(Q901&lt;&gt;"",Q901,IF(P901="","",IFERROR(INDEX('Timeline'!$J$7:$J$1006,MATCH(P901,'Timeline'!$B$7:$B$1006,0)),""))))</f>
        <v/>
      </c>
      <c r="S901" s="126">
        <f>IF(R901="","",R901-IF(O901="",0,O901)-OrderBuf)</f>
        <v/>
      </c>
      <c r="T901" s="126">
        <f>IF(S901="","",S901-DecideBuf)</f>
        <v/>
      </c>
      <c r="U901" s="74" t="n"/>
      <c r="V901" s="109" t="n"/>
      <c r="W901" s="109" t="n"/>
      <c r="X901" s="74" t="n"/>
      <c r="Y901" s="116">
        <f>IF(B901="","",IF(X901="Yes","Delivered",IF(U901="Yes",IF(AND(W901&lt;&gt;"",R901&lt;&gt;""),IF(W901&gt;R901,"⚠️ Delivery after install date","Ordered"),"Ordered"),IF(K901="",IF(T901="","Waiting for decision",IF(T901&lt;=AsOf+AlertDays,"Decide now","Waiting for decision")),IF(S901="","Selected",IF(AsOf&gt;S901,"⚠️ Order late — install at risk",IF(S901&lt;=AsOf+AlertDays,"Order now","Selected")))))))</f>
        <v/>
      </c>
      <c r="Z901" s="79">
        <f>IF(B901="","",IF(OR(AH901=1,AE901=1),2,IF(OR(AG901=1,AF901=1),1,IF(OR(Y901="Ordered",Y901="Delivered"),0,""))))</f>
        <v/>
      </c>
      <c r="AA901" s="112">
        <f>IF(B901="","",IF(AH901=1,IF(Y901="⚠️ Delivery after install date",R901,S901),IF(AD901=1,T901,IF(AI901=1,S901,""))))</f>
        <v/>
      </c>
      <c r="AB901" s="79">
        <f>IF(AA901="","",IF(AH901=1,1,IF(AA901="","",IF(AA901&lt;AsOf,1,IF(AA901&lt;=AsOf+AlertDays,2,IF(AA901&lt;=AsOf+2*AlertDays,3,""))))))</f>
        <v/>
      </c>
      <c r="AC901" s="79">
        <f>IF(AB901="","",IF(AH901=1,IF(Y901="⚠️ Delivery after install date","Delivery after install date: "&amp;B901,"Order late — install at risk: "&amp;B901),IF(AD901=1,IF(AB901=1,"Decision overdue: ","Decide: ")&amp;B901,"Order: "&amp;B901&amp;IF(N901="",""," from "&amp;N901))))</f>
        <v/>
      </c>
      <c r="AD901" s="79">
        <f>IF(AND(B901&lt;&gt;"",K901="",U901&lt;&gt;"Yes",X901&lt;&gt;"Yes"),1,0)</f>
        <v/>
      </c>
      <c r="AE901" s="79">
        <f>IF(AND(AD901=1,T901&lt;&gt;""),IF(T901&lt;AsOf,1,0),0)</f>
        <v/>
      </c>
      <c r="AF901" s="79">
        <f>IF(AND(AD901=1,T901&lt;&gt;""),IF(AND(T901&gt;=AsOf,T901&lt;=AsOf+AlertDays),1,0),0)</f>
        <v/>
      </c>
      <c r="AG901" s="79">
        <f>IF(Y901="Order now",1,0)</f>
        <v/>
      </c>
      <c r="AH901" s="79">
        <f>IF(OR(Y901="⚠️ Order late — install at risk",Y901="⚠️ Delivery after install date"),1,0)</f>
        <v/>
      </c>
      <c r="AI901" s="79">
        <f>IF(AND(B901&lt;&gt;"",K901&lt;&gt;"",U901&lt;&gt;"Yes",X901&lt;&gt;"Yes"),1,0)</f>
        <v/>
      </c>
      <c r="AJ901" s="79">
        <f>IF(Y901="⚠️ Order late — install at risk",1,0)</f>
        <v/>
      </c>
    </row>
    <row r="902" ht="20" customHeight="1">
      <c r="B902" s="72" t="n"/>
      <c r="C902" s="72" t="n"/>
      <c r="D902" s="72" t="n"/>
      <c r="E902" s="72" t="n"/>
      <c r="F902" s="73" t="n"/>
      <c r="G902" s="72" t="n"/>
      <c r="H902" s="73" t="n"/>
      <c r="I902" s="72" t="n"/>
      <c r="J902" s="73" t="n"/>
      <c r="K902" s="74" t="n"/>
      <c r="L902" s="75">
        <f>IF(K902="A",F902,IF(K902="B",H902,IF(K902="C",J902,"")))</f>
        <v/>
      </c>
      <c r="M902" s="72" t="n"/>
      <c r="N902" s="72" t="n"/>
      <c r="O902" s="89" t="n"/>
      <c r="P902" s="89" t="n"/>
      <c r="Q902" s="109" t="n"/>
      <c r="R902" s="120">
        <f>IF(B902="","",IF(Q902&lt;&gt;"",Q902,IF(P902="","",IFERROR(INDEX('Timeline'!$J$7:$J$1006,MATCH(P902,'Timeline'!$B$7:$B$1006,0)),""))))</f>
        <v/>
      </c>
      <c r="S902" s="126">
        <f>IF(R902="","",R902-IF(O902="",0,O902)-OrderBuf)</f>
        <v/>
      </c>
      <c r="T902" s="126">
        <f>IF(S902="","",S902-DecideBuf)</f>
        <v/>
      </c>
      <c r="U902" s="74" t="n"/>
      <c r="V902" s="109" t="n"/>
      <c r="W902" s="109" t="n"/>
      <c r="X902" s="74" t="n"/>
      <c r="Y902" s="116">
        <f>IF(B902="","",IF(X902="Yes","Delivered",IF(U902="Yes",IF(AND(W902&lt;&gt;"",R902&lt;&gt;""),IF(W902&gt;R902,"⚠️ Delivery after install date","Ordered"),"Ordered"),IF(K902="",IF(T902="","Waiting for decision",IF(T902&lt;=AsOf+AlertDays,"Decide now","Waiting for decision")),IF(S902="","Selected",IF(AsOf&gt;S902,"⚠️ Order late — install at risk",IF(S902&lt;=AsOf+AlertDays,"Order now","Selected")))))))</f>
        <v/>
      </c>
      <c r="Z902" s="79">
        <f>IF(B902="","",IF(OR(AH902=1,AE902=1),2,IF(OR(AG902=1,AF902=1),1,IF(OR(Y902="Ordered",Y902="Delivered"),0,""))))</f>
        <v/>
      </c>
      <c r="AA902" s="112">
        <f>IF(B902="","",IF(AH902=1,IF(Y902="⚠️ Delivery after install date",R902,S902),IF(AD902=1,T902,IF(AI902=1,S902,""))))</f>
        <v/>
      </c>
      <c r="AB902" s="79">
        <f>IF(AA902="","",IF(AH902=1,1,IF(AA902="","",IF(AA902&lt;AsOf,1,IF(AA902&lt;=AsOf+AlertDays,2,IF(AA902&lt;=AsOf+2*AlertDays,3,""))))))</f>
        <v/>
      </c>
      <c r="AC902" s="79">
        <f>IF(AB902="","",IF(AH902=1,IF(Y902="⚠️ Delivery after install date","Delivery after install date: "&amp;B902,"Order late — install at risk: "&amp;B902),IF(AD902=1,IF(AB902=1,"Decision overdue: ","Decide: ")&amp;B902,"Order: "&amp;B902&amp;IF(N902="",""," from "&amp;N902))))</f>
        <v/>
      </c>
      <c r="AD902" s="79">
        <f>IF(AND(B902&lt;&gt;"",K902="",U902&lt;&gt;"Yes",X902&lt;&gt;"Yes"),1,0)</f>
        <v/>
      </c>
      <c r="AE902" s="79">
        <f>IF(AND(AD902=1,T902&lt;&gt;""),IF(T902&lt;AsOf,1,0),0)</f>
        <v/>
      </c>
      <c r="AF902" s="79">
        <f>IF(AND(AD902=1,T902&lt;&gt;""),IF(AND(T902&gt;=AsOf,T902&lt;=AsOf+AlertDays),1,0),0)</f>
        <v/>
      </c>
      <c r="AG902" s="79">
        <f>IF(Y902="Order now",1,0)</f>
        <v/>
      </c>
      <c r="AH902" s="79">
        <f>IF(OR(Y902="⚠️ Order late — install at risk",Y902="⚠️ Delivery after install date"),1,0)</f>
        <v/>
      </c>
      <c r="AI902" s="79">
        <f>IF(AND(B902&lt;&gt;"",K902&lt;&gt;"",U902&lt;&gt;"Yes",X902&lt;&gt;"Yes"),1,0)</f>
        <v/>
      </c>
      <c r="AJ902" s="79">
        <f>IF(Y902="⚠️ Order late — install at risk",1,0)</f>
        <v/>
      </c>
    </row>
    <row r="903" ht="20" customHeight="1">
      <c r="B903" s="72" t="n"/>
      <c r="C903" s="72" t="n"/>
      <c r="D903" s="72" t="n"/>
      <c r="E903" s="72" t="n"/>
      <c r="F903" s="73" t="n"/>
      <c r="G903" s="72" t="n"/>
      <c r="H903" s="73" t="n"/>
      <c r="I903" s="72" t="n"/>
      <c r="J903" s="73" t="n"/>
      <c r="K903" s="74" t="n"/>
      <c r="L903" s="75">
        <f>IF(K903="A",F903,IF(K903="B",H903,IF(K903="C",J903,"")))</f>
        <v/>
      </c>
      <c r="M903" s="72" t="n"/>
      <c r="N903" s="72" t="n"/>
      <c r="O903" s="89" t="n"/>
      <c r="P903" s="89" t="n"/>
      <c r="Q903" s="109" t="n"/>
      <c r="R903" s="120">
        <f>IF(B903="","",IF(Q903&lt;&gt;"",Q903,IF(P903="","",IFERROR(INDEX('Timeline'!$J$7:$J$1006,MATCH(P903,'Timeline'!$B$7:$B$1006,0)),""))))</f>
        <v/>
      </c>
      <c r="S903" s="126">
        <f>IF(R903="","",R903-IF(O903="",0,O903)-OrderBuf)</f>
        <v/>
      </c>
      <c r="T903" s="126">
        <f>IF(S903="","",S903-DecideBuf)</f>
        <v/>
      </c>
      <c r="U903" s="74" t="n"/>
      <c r="V903" s="109" t="n"/>
      <c r="W903" s="109" t="n"/>
      <c r="X903" s="74" t="n"/>
      <c r="Y903" s="116">
        <f>IF(B903="","",IF(X903="Yes","Delivered",IF(U903="Yes",IF(AND(W903&lt;&gt;"",R903&lt;&gt;""),IF(W903&gt;R903,"⚠️ Delivery after install date","Ordered"),"Ordered"),IF(K903="",IF(T903="","Waiting for decision",IF(T903&lt;=AsOf+AlertDays,"Decide now","Waiting for decision")),IF(S903="","Selected",IF(AsOf&gt;S903,"⚠️ Order late — install at risk",IF(S903&lt;=AsOf+AlertDays,"Order now","Selected")))))))</f>
        <v/>
      </c>
      <c r="Z903" s="79">
        <f>IF(B903="","",IF(OR(AH903=1,AE903=1),2,IF(OR(AG903=1,AF903=1),1,IF(OR(Y903="Ordered",Y903="Delivered"),0,""))))</f>
        <v/>
      </c>
      <c r="AA903" s="112">
        <f>IF(B903="","",IF(AH903=1,IF(Y903="⚠️ Delivery after install date",R903,S903),IF(AD903=1,T903,IF(AI903=1,S903,""))))</f>
        <v/>
      </c>
      <c r="AB903" s="79">
        <f>IF(AA903="","",IF(AH903=1,1,IF(AA903="","",IF(AA903&lt;AsOf,1,IF(AA903&lt;=AsOf+AlertDays,2,IF(AA903&lt;=AsOf+2*AlertDays,3,""))))))</f>
        <v/>
      </c>
      <c r="AC903" s="79">
        <f>IF(AB903="","",IF(AH903=1,IF(Y903="⚠️ Delivery after install date","Delivery after install date: "&amp;B903,"Order late — install at risk: "&amp;B903),IF(AD903=1,IF(AB903=1,"Decision overdue: ","Decide: ")&amp;B903,"Order: "&amp;B903&amp;IF(N903="",""," from "&amp;N903))))</f>
        <v/>
      </c>
      <c r="AD903" s="79">
        <f>IF(AND(B903&lt;&gt;"",K903="",U903&lt;&gt;"Yes",X903&lt;&gt;"Yes"),1,0)</f>
        <v/>
      </c>
      <c r="AE903" s="79">
        <f>IF(AND(AD903=1,T903&lt;&gt;""),IF(T903&lt;AsOf,1,0),0)</f>
        <v/>
      </c>
      <c r="AF903" s="79">
        <f>IF(AND(AD903=1,T903&lt;&gt;""),IF(AND(T903&gt;=AsOf,T903&lt;=AsOf+AlertDays),1,0),0)</f>
        <v/>
      </c>
      <c r="AG903" s="79">
        <f>IF(Y903="Order now",1,0)</f>
        <v/>
      </c>
      <c r="AH903" s="79">
        <f>IF(OR(Y903="⚠️ Order late — install at risk",Y903="⚠️ Delivery after install date"),1,0)</f>
        <v/>
      </c>
      <c r="AI903" s="79">
        <f>IF(AND(B903&lt;&gt;"",K903&lt;&gt;"",U903&lt;&gt;"Yes",X903&lt;&gt;"Yes"),1,0)</f>
        <v/>
      </c>
      <c r="AJ903" s="79">
        <f>IF(Y903="⚠️ Order late — install at risk",1,0)</f>
        <v/>
      </c>
    </row>
    <row r="904" ht="20" customHeight="1">
      <c r="B904" s="72" t="n"/>
      <c r="C904" s="72" t="n"/>
      <c r="D904" s="72" t="n"/>
      <c r="E904" s="72" t="n"/>
      <c r="F904" s="73" t="n"/>
      <c r="G904" s="72" t="n"/>
      <c r="H904" s="73" t="n"/>
      <c r="I904" s="72" t="n"/>
      <c r="J904" s="73" t="n"/>
      <c r="K904" s="74" t="n"/>
      <c r="L904" s="75">
        <f>IF(K904="A",F904,IF(K904="B",H904,IF(K904="C",J904,"")))</f>
        <v/>
      </c>
      <c r="M904" s="72" t="n"/>
      <c r="N904" s="72" t="n"/>
      <c r="O904" s="89" t="n"/>
      <c r="P904" s="89" t="n"/>
      <c r="Q904" s="109" t="n"/>
      <c r="R904" s="120">
        <f>IF(B904="","",IF(Q904&lt;&gt;"",Q904,IF(P904="","",IFERROR(INDEX('Timeline'!$J$7:$J$1006,MATCH(P904,'Timeline'!$B$7:$B$1006,0)),""))))</f>
        <v/>
      </c>
      <c r="S904" s="126">
        <f>IF(R904="","",R904-IF(O904="",0,O904)-OrderBuf)</f>
        <v/>
      </c>
      <c r="T904" s="126">
        <f>IF(S904="","",S904-DecideBuf)</f>
        <v/>
      </c>
      <c r="U904" s="74" t="n"/>
      <c r="V904" s="109" t="n"/>
      <c r="W904" s="109" t="n"/>
      <c r="X904" s="74" t="n"/>
      <c r="Y904" s="116">
        <f>IF(B904="","",IF(X904="Yes","Delivered",IF(U904="Yes",IF(AND(W904&lt;&gt;"",R904&lt;&gt;""),IF(W904&gt;R904,"⚠️ Delivery after install date","Ordered"),"Ordered"),IF(K904="",IF(T904="","Waiting for decision",IF(T904&lt;=AsOf+AlertDays,"Decide now","Waiting for decision")),IF(S904="","Selected",IF(AsOf&gt;S904,"⚠️ Order late — install at risk",IF(S904&lt;=AsOf+AlertDays,"Order now","Selected")))))))</f>
        <v/>
      </c>
      <c r="Z904" s="79">
        <f>IF(B904="","",IF(OR(AH904=1,AE904=1),2,IF(OR(AG904=1,AF904=1),1,IF(OR(Y904="Ordered",Y904="Delivered"),0,""))))</f>
        <v/>
      </c>
      <c r="AA904" s="112">
        <f>IF(B904="","",IF(AH904=1,IF(Y904="⚠️ Delivery after install date",R904,S904),IF(AD904=1,T904,IF(AI904=1,S904,""))))</f>
        <v/>
      </c>
      <c r="AB904" s="79">
        <f>IF(AA904="","",IF(AH904=1,1,IF(AA904="","",IF(AA904&lt;AsOf,1,IF(AA904&lt;=AsOf+AlertDays,2,IF(AA904&lt;=AsOf+2*AlertDays,3,""))))))</f>
        <v/>
      </c>
      <c r="AC904" s="79">
        <f>IF(AB904="","",IF(AH904=1,IF(Y904="⚠️ Delivery after install date","Delivery after install date: "&amp;B904,"Order late — install at risk: "&amp;B904),IF(AD904=1,IF(AB904=1,"Decision overdue: ","Decide: ")&amp;B904,"Order: "&amp;B904&amp;IF(N904="",""," from "&amp;N904))))</f>
        <v/>
      </c>
      <c r="AD904" s="79">
        <f>IF(AND(B904&lt;&gt;"",K904="",U904&lt;&gt;"Yes",X904&lt;&gt;"Yes"),1,0)</f>
        <v/>
      </c>
      <c r="AE904" s="79">
        <f>IF(AND(AD904=1,T904&lt;&gt;""),IF(T904&lt;AsOf,1,0),0)</f>
        <v/>
      </c>
      <c r="AF904" s="79">
        <f>IF(AND(AD904=1,T904&lt;&gt;""),IF(AND(T904&gt;=AsOf,T904&lt;=AsOf+AlertDays),1,0),0)</f>
        <v/>
      </c>
      <c r="AG904" s="79">
        <f>IF(Y904="Order now",1,0)</f>
        <v/>
      </c>
      <c r="AH904" s="79">
        <f>IF(OR(Y904="⚠️ Order late — install at risk",Y904="⚠️ Delivery after install date"),1,0)</f>
        <v/>
      </c>
      <c r="AI904" s="79">
        <f>IF(AND(B904&lt;&gt;"",K904&lt;&gt;"",U904&lt;&gt;"Yes",X904&lt;&gt;"Yes"),1,0)</f>
        <v/>
      </c>
      <c r="AJ904" s="79">
        <f>IF(Y904="⚠️ Order late — install at risk",1,0)</f>
        <v/>
      </c>
    </row>
    <row r="905" ht="20" customHeight="1">
      <c r="B905" s="72" t="n"/>
      <c r="C905" s="72" t="n"/>
      <c r="D905" s="72" t="n"/>
      <c r="E905" s="72" t="n"/>
      <c r="F905" s="73" t="n"/>
      <c r="G905" s="72" t="n"/>
      <c r="H905" s="73" t="n"/>
      <c r="I905" s="72" t="n"/>
      <c r="J905" s="73" t="n"/>
      <c r="K905" s="74" t="n"/>
      <c r="L905" s="75">
        <f>IF(K905="A",F905,IF(K905="B",H905,IF(K905="C",J905,"")))</f>
        <v/>
      </c>
      <c r="M905" s="72" t="n"/>
      <c r="N905" s="72" t="n"/>
      <c r="O905" s="89" t="n"/>
      <c r="P905" s="89" t="n"/>
      <c r="Q905" s="109" t="n"/>
      <c r="R905" s="120">
        <f>IF(B905="","",IF(Q905&lt;&gt;"",Q905,IF(P905="","",IFERROR(INDEX('Timeline'!$J$7:$J$1006,MATCH(P905,'Timeline'!$B$7:$B$1006,0)),""))))</f>
        <v/>
      </c>
      <c r="S905" s="126">
        <f>IF(R905="","",R905-IF(O905="",0,O905)-OrderBuf)</f>
        <v/>
      </c>
      <c r="T905" s="126">
        <f>IF(S905="","",S905-DecideBuf)</f>
        <v/>
      </c>
      <c r="U905" s="74" t="n"/>
      <c r="V905" s="109" t="n"/>
      <c r="W905" s="109" t="n"/>
      <c r="X905" s="74" t="n"/>
      <c r="Y905" s="116">
        <f>IF(B905="","",IF(X905="Yes","Delivered",IF(U905="Yes",IF(AND(W905&lt;&gt;"",R905&lt;&gt;""),IF(W905&gt;R905,"⚠️ Delivery after install date","Ordered"),"Ordered"),IF(K905="",IF(T905="","Waiting for decision",IF(T905&lt;=AsOf+AlertDays,"Decide now","Waiting for decision")),IF(S905="","Selected",IF(AsOf&gt;S905,"⚠️ Order late — install at risk",IF(S905&lt;=AsOf+AlertDays,"Order now","Selected")))))))</f>
        <v/>
      </c>
      <c r="Z905" s="79">
        <f>IF(B905="","",IF(OR(AH905=1,AE905=1),2,IF(OR(AG905=1,AF905=1),1,IF(OR(Y905="Ordered",Y905="Delivered"),0,""))))</f>
        <v/>
      </c>
      <c r="AA905" s="112">
        <f>IF(B905="","",IF(AH905=1,IF(Y905="⚠️ Delivery after install date",R905,S905),IF(AD905=1,T905,IF(AI905=1,S905,""))))</f>
        <v/>
      </c>
      <c r="AB905" s="79">
        <f>IF(AA905="","",IF(AH905=1,1,IF(AA905="","",IF(AA905&lt;AsOf,1,IF(AA905&lt;=AsOf+AlertDays,2,IF(AA905&lt;=AsOf+2*AlertDays,3,""))))))</f>
        <v/>
      </c>
      <c r="AC905" s="79">
        <f>IF(AB905="","",IF(AH905=1,IF(Y905="⚠️ Delivery after install date","Delivery after install date: "&amp;B905,"Order late — install at risk: "&amp;B905),IF(AD905=1,IF(AB905=1,"Decision overdue: ","Decide: ")&amp;B905,"Order: "&amp;B905&amp;IF(N905="",""," from "&amp;N905))))</f>
        <v/>
      </c>
      <c r="AD905" s="79">
        <f>IF(AND(B905&lt;&gt;"",K905="",U905&lt;&gt;"Yes",X905&lt;&gt;"Yes"),1,0)</f>
        <v/>
      </c>
      <c r="AE905" s="79">
        <f>IF(AND(AD905=1,T905&lt;&gt;""),IF(T905&lt;AsOf,1,0),0)</f>
        <v/>
      </c>
      <c r="AF905" s="79">
        <f>IF(AND(AD905=1,T905&lt;&gt;""),IF(AND(T905&gt;=AsOf,T905&lt;=AsOf+AlertDays),1,0),0)</f>
        <v/>
      </c>
      <c r="AG905" s="79">
        <f>IF(Y905="Order now",1,0)</f>
        <v/>
      </c>
      <c r="AH905" s="79">
        <f>IF(OR(Y905="⚠️ Order late — install at risk",Y905="⚠️ Delivery after install date"),1,0)</f>
        <v/>
      </c>
      <c r="AI905" s="79">
        <f>IF(AND(B905&lt;&gt;"",K905&lt;&gt;"",U905&lt;&gt;"Yes",X905&lt;&gt;"Yes"),1,0)</f>
        <v/>
      </c>
      <c r="AJ905" s="79">
        <f>IF(Y905="⚠️ Order late — install at risk",1,0)</f>
        <v/>
      </c>
    </row>
    <row r="906" ht="20" customHeight="1">
      <c r="B906" s="72" t="n"/>
      <c r="C906" s="72" t="n"/>
      <c r="D906" s="72" t="n"/>
      <c r="E906" s="72" t="n"/>
      <c r="F906" s="73" t="n"/>
      <c r="G906" s="72" t="n"/>
      <c r="H906" s="73" t="n"/>
      <c r="I906" s="72" t="n"/>
      <c r="J906" s="73" t="n"/>
      <c r="K906" s="74" t="n"/>
      <c r="L906" s="75">
        <f>IF(K906="A",F906,IF(K906="B",H906,IF(K906="C",J906,"")))</f>
        <v/>
      </c>
      <c r="M906" s="72" t="n"/>
      <c r="N906" s="72" t="n"/>
      <c r="O906" s="89" t="n"/>
      <c r="P906" s="89" t="n"/>
      <c r="Q906" s="109" t="n"/>
      <c r="R906" s="120">
        <f>IF(B906="","",IF(Q906&lt;&gt;"",Q906,IF(P906="","",IFERROR(INDEX('Timeline'!$J$7:$J$1006,MATCH(P906,'Timeline'!$B$7:$B$1006,0)),""))))</f>
        <v/>
      </c>
      <c r="S906" s="126">
        <f>IF(R906="","",R906-IF(O906="",0,O906)-OrderBuf)</f>
        <v/>
      </c>
      <c r="T906" s="126">
        <f>IF(S906="","",S906-DecideBuf)</f>
        <v/>
      </c>
      <c r="U906" s="74" t="n"/>
      <c r="V906" s="109" t="n"/>
      <c r="W906" s="109" t="n"/>
      <c r="X906" s="74" t="n"/>
      <c r="Y906" s="116">
        <f>IF(B906="","",IF(X906="Yes","Delivered",IF(U906="Yes",IF(AND(W906&lt;&gt;"",R906&lt;&gt;""),IF(W906&gt;R906,"⚠️ Delivery after install date","Ordered"),"Ordered"),IF(K906="",IF(T906="","Waiting for decision",IF(T906&lt;=AsOf+AlertDays,"Decide now","Waiting for decision")),IF(S906="","Selected",IF(AsOf&gt;S906,"⚠️ Order late — install at risk",IF(S906&lt;=AsOf+AlertDays,"Order now","Selected")))))))</f>
        <v/>
      </c>
      <c r="Z906" s="79">
        <f>IF(B906="","",IF(OR(AH906=1,AE906=1),2,IF(OR(AG906=1,AF906=1),1,IF(OR(Y906="Ordered",Y906="Delivered"),0,""))))</f>
        <v/>
      </c>
      <c r="AA906" s="112">
        <f>IF(B906="","",IF(AH906=1,IF(Y906="⚠️ Delivery after install date",R906,S906),IF(AD906=1,T906,IF(AI906=1,S906,""))))</f>
        <v/>
      </c>
      <c r="AB906" s="79">
        <f>IF(AA906="","",IF(AH906=1,1,IF(AA906="","",IF(AA906&lt;AsOf,1,IF(AA906&lt;=AsOf+AlertDays,2,IF(AA906&lt;=AsOf+2*AlertDays,3,""))))))</f>
        <v/>
      </c>
      <c r="AC906" s="79">
        <f>IF(AB906="","",IF(AH906=1,IF(Y906="⚠️ Delivery after install date","Delivery after install date: "&amp;B906,"Order late — install at risk: "&amp;B906),IF(AD906=1,IF(AB906=1,"Decision overdue: ","Decide: ")&amp;B906,"Order: "&amp;B906&amp;IF(N906="",""," from "&amp;N906))))</f>
        <v/>
      </c>
      <c r="AD906" s="79">
        <f>IF(AND(B906&lt;&gt;"",K906="",U906&lt;&gt;"Yes",X906&lt;&gt;"Yes"),1,0)</f>
        <v/>
      </c>
      <c r="AE906" s="79">
        <f>IF(AND(AD906=1,T906&lt;&gt;""),IF(T906&lt;AsOf,1,0),0)</f>
        <v/>
      </c>
      <c r="AF906" s="79">
        <f>IF(AND(AD906=1,T906&lt;&gt;""),IF(AND(T906&gt;=AsOf,T906&lt;=AsOf+AlertDays),1,0),0)</f>
        <v/>
      </c>
      <c r="AG906" s="79">
        <f>IF(Y906="Order now",1,0)</f>
        <v/>
      </c>
      <c r="AH906" s="79">
        <f>IF(OR(Y906="⚠️ Order late — install at risk",Y906="⚠️ Delivery after install date"),1,0)</f>
        <v/>
      </c>
      <c r="AI906" s="79">
        <f>IF(AND(B906&lt;&gt;"",K906&lt;&gt;"",U906&lt;&gt;"Yes",X906&lt;&gt;"Yes"),1,0)</f>
        <v/>
      </c>
      <c r="AJ906" s="79">
        <f>IF(Y906="⚠️ Order late — install at risk",1,0)</f>
        <v/>
      </c>
    </row>
    <row r="907" ht="20" customHeight="1">
      <c r="B907" s="72" t="n"/>
      <c r="C907" s="72" t="n"/>
      <c r="D907" s="72" t="n"/>
      <c r="E907" s="72" t="n"/>
      <c r="F907" s="73" t="n"/>
      <c r="G907" s="72" t="n"/>
      <c r="H907" s="73" t="n"/>
      <c r="I907" s="72" t="n"/>
      <c r="J907" s="73" t="n"/>
      <c r="K907" s="74" t="n"/>
      <c r="L907" s="75">
        <f>IF(K907="A",F907,IF(K907="B",H907,IF(K907="C",J907,"")))</f>
        <v/>
      </c>
      <c r="M907" s="72" t="n"/>
      <c r="N907" s="72" t="n"/>
      <c r="O907" s="89" t="n"/>
      <c r="P907" s="89" t="n"/>
      <c r="Q907" s="109" t="n"/>
      <c r="R907" s="120">
        <f>IF(B907="","",IF(Q907&lt;&gt;"",Q907,IF(P907="","",IFERROR(INDEX('Timeline'!$J$7:$J$1006,MATCH(P907,'Timeline'!$B$7:$B$1006,0)),""))))</f>
        <v/>
      </c>
      <c r="S907" s="126">
        <f>IF(R907="","",R907-IF(O907="",0,O907)-OrderBuf)</f>
        <v/>
      </c>
      <c r="T907" s="126">
        <f>IF(S907="","",S907-DecideBuf)</f>
        <v/>
      </c>
      <c r="U907" s="74" t="n"/>
      <c r="V907" s="109" t="n"/>
      <c r="W907" s="109" t="n"/>
      <c r="X907" s="74" t="n"/>
      <c r="Y907" s="116">
        <f>IF(B907="","",IF(X907="Yes","Delivered",IF(U907="Yes",IF(AND(W907&lt;&gt;"",R907&lt;&gt;""),IF(W907&gt;R907,"⚠️ Delivery after install date","Ordered"),"Ordered"),IF(K907="",IF(T907="","Waiting for decision",IF(T907&lt;=AsOf+AlertDays,"Decide now","Waiting for decision")),IF(S907="","Selected",IF(AsOf&gt;S907,"⚠️ Order late — install at risk",IF(S907&lt;=AsOf+AlertDays,"Order now","Selected")))))))</f>
        <v/>
      </c>
      <c r="Z907" s="79">
        <f>IF(B907="","",IF(OR(AH907=1,AE907=1),2,IF(OR(AG907=1,AF907=1),1,IF(OR(Y907="Ordered",Y907="Delivered"),0,""))))</f>
        <v/>
      </c>
      <c r="AA907" s="112">
        <f>IF(B907="","",IF(AH907=1,IF(Y907="⚠️ Delivery after install date",R907,S907),IF(AD907=1,T907,IF(AI907=1,S907,""))))</f>
        <v/>
      </c>
      <c r="AB907" s="79">
        <f>IF(AA907="","",IF(AH907=1,1,IF(AA907="","",IF(AA907&lt;AsOf,1,IF(AA907&lt;=AsOf+AlertDays,2,IF(AA907&lt;=AsOf+2*AlertDays,3,""))))))</f>
        <v/>
      </c>
      <c r="AC907" s="79">
        <f>IF(AB907="","",IF(AH907=1,IF(Y907="⚠️ Delivery after install date","Delivery after install date: "&amp;B907,"Order late — install at risk: "&amp;B907),IF(AD907=1,IF(AB907=1,"Decision overdue: ","Decide: ")&amp;B907,"Order: "&amp;B907&amp;IF(N907="",""," from "&amp;N907))))</f>
        <v/>
      </c>
      <c r="AD907" s="79">
        <f>IF(AND(B907&lt;&gt;"",K907="",U907&lt;&gt;"Yes",X907&lt;&gt;"Yes"),1,0)</f>
        <v/>
      </c>
      <c r="AE907" s="79">
        <f>IF(AND(AD907=1,T907&lt;&gt;""),IF(T907&lt;AsOf,1,0),0)</f>
        <v/>
      </c>
      <c r="AF907" s="79">
        <f>IF(AND(AD907=1,T907&lt;&gt;""),IF(AND(T907&gt;=AsOf,T907&lt;=AsOf+AlertDays),1,0),0)</f>
        <v/>
      </c>
      <c r="AG907" s="79">
        <f>IF(Y907="Order now",1,0)</f>
        <v/>
      </c>
      <c r="AH907" s="79">
        <f>IF(OR(Y907="⚠️ Order late — install at risk",Y907="⚠️ Delivery after install date"),1,0)</f>
        <v/>
      </c>
      <c r="AI907" s="79">
        <f>IF(AND(B907&lt;&gt;"",K907&lt;&gt;"",U907&lt;&gt;"Yes",X907&lt;&gt;"Yes"),1,0)</f>
        <v/>
      </c>
      <c r="AJ907" s="79">
        <f>IF(Y907="⚠️ Order late — install at risk",1,0)</f>
        <v/>
      </c>
    </row>
    <row r="908" ht="20" customHeight="1">
      <c r="B908" s="72" t="n"/>
      <c r="C908" s="72" t="n"/>
      <c r="D908" s="72" t="n"/>
      <c r="E908" s="72" t="n"/>
      <c r="F908" s="73" t="n"/>
      <c r="G908" s="72" t="n"/>
      <c r="H908" s="73" t="n"/>
      <c r="I908" s="72" t="n"/>
      <c r="J908" s="73" t="n"/>
      <c r="K908" s="74" t="n"/>
      <c r="L908" s="75">
        <f>IF(K908="A",F908,IF(K908="B",H908,IF(K908="C",J908,"")))</f>
        <v/>
      </c>
      <c r="M908" s="72" t="n"/>
      <c r="N908" s="72" t="n"/>
      <c r="O908" s="89" t="n"/>
      <c r="P908" s="89" t="n"/>
      <c r="Q908" s="109" t="n"/>
      <c r="R908" s="120">
        <f>IF(B908="","",IF(Q908&lt;&gt;"",Q908,IF(P908="","",IFERROR(INDEX('Timeline'!$J$7:$J$1006,MATCH(P908,'Timeline'!$B$7:$B$1006,0)),""))))</f>
        <v/>
      </c>
      <c r="S908" s="126">
        <f>IF(R908="","",R908-IF(O908="",0,O908)-OrderBuf)</f>
        <v/>
      </c>
      <c r="T908" s="126">
        <f>IF(S908="","",S908-DecideBuf)</f>
        <v/>
      </c>
      <c r="U908" s="74" t="n"/>
      <c r="V908" s="109" t="n"/>
      <c r="W908" s="109" t="n"/>
      <c r="X908" s="74" t="n"/>
      <c r="Y908" s="116">
        <f>IF(B908="","",IF(X908="Yes","Delivered",IF(U908="Yes",IF(AND(W908&lt;&gt;"",R908&lt;&gt;""),IF(W908&gt;R908,"⚠️ Delivery after install date","Ordered"),"Ordered"),IF(K908="",IF(T908="","Waiting for decision",IF(T908&lt;=AsOf+AlertDays,"Decide now","Waiting for decision")),IF(S908="","Selected",IF(AsOf&gt;S908,"⚠️ Order late — install at risk",IF(S908&lt;=AsOf+AlertDays,"Order now","Selected")))))))</f>
        <v/>
      </c>
      <c r="Z908" s="79">
        <f>IF(B908="","",IF(OR(AH908=1,AE908=1),2,IF(OR(AG908=1,AF908=1),1,IF(OR(Y908="Ordered",Y908="Delivered"),0,""))))</f>
        <v/>
      </c>
      <c r="AA908" s="112">
        <f>IF(B908="","",IF(AH908=1,IF(Y908="⚠️ Delivery after install date",R908,S908),IF(AD908=1,T908,IF(AI908=1,S908,""))))</f>
        <v/>
      </c>
      <c r="AB908" s="79">
        <f>IF(AA908="","",IF(AH908=1,1,IF(AA908="","",IF(AA908&lt;AsOf,1,IF(AA908&lt;=AsOf+AlertDays,2,IF(AA908&lt;=AsOf+2*AlertDays,3,""))))))</f>
        <v/>
      </c>
      <c r="AC908" s="79">
        <f>IF(AB908="","",IF(AH908=1,IF(Y908="⚠️ Delivery after install date","Delivery after install date: "&amp;B908,"Order late — install at risk: "&amp;B908),IF(AD908=1,IF(AB908=1,"Decision overdue: ","Decide: ")&amp;B908,"Order: "&amp;B908&amp;IF(N908="",""," from "&amp;N908))))</f>
        <v/>
      </c>
      <c r="AD908" s="79">
        <f>IF(AND(B908&lt;&gt;"",K908="",U908&lt;&gt;"Yes",X908&lt;&gt;"Yes"),1,0)</f>
        <v/>
      </c>
      <c r="AE908" s="79">
        <f>IF(AND(AD908=1,T908&lt;&gt;""),IF(T908&lt;AsOf,1,0),0)</f>
        <v/>
      </c>
      <c r="AF908" s="79">
        <f>IF(AND(AD908=1,T908&lt;&gt;""),IF(AND(T908&gt;=AsOf,T908&lt;=AsOf+AlertDays),1,0),0)</f>
        <v/>
      </c>
      <c r="AG908" s="79">
        <f>IF(Y908="Order now",1,0)</f>
        <v/>
      </c>
      <c r="AH908" s="79">
        <f>IF(OR(Y908="⚠️ Order late — install at risk",Y908="⚠️ Delivery after install date"),1,0)</f>
        <v/>
      </c>
      <c r="AI908" s="79">
        <f>IF(AND(B908&lt;&gt;"",K908&lt;&gt;"",U908&lt;&gt;"Yes",X908&lt;&gt;"Yes"),1,0)</f>
        <v/>
      </c>
      <c r="AJ908" s="79">
        <f>IF(Y908="⚠️ Order late — install at risk",1,0)</f>
        <v/>
      </c>
    </row>
    <row r="909" ht="20" customHeight="1">
      <c r="B909" s="72" t="n"/>
      <c r="C909" s="72" t="n"/>
      <c r="D909" s="72" t="n"/>
      <c r="E909" s="72" t="n"/>
      <c r="F909" s="73" t="n"/>
      <c r="G909" s="72" t="n"/>
      <c r="H909" s="73" t="n"/>
      <c r="I909" s="72" t="n"/>
      <c r="J909" s="73" t="n"/>
      <c r="K909" s="74" t="n"/>
      <c r="L909" s="75">
        <f>IF(K909="A",F909,IF(K909="B",H909,IF(K909="C",J909,"")))</f>
        <v/>
      </c>
      <c r="M909" s="72" t="n"/>
      <c r="N909" s="72" t="n"/>
      <c r="O909" s="89" t="n"/>
      <c r="P909" s="89" t="n"/>
      <c r="Q909" s="109" t="n"/>
      <c r="R909" s="120">
        <f>IF(B909="","",IF(Q909&lt;&gt;"",Q909,IF(P909="","",IFERROR(INDEX('Timeline'!$J$7:$J$1006,MATCH(P909,'Timeline'!$B$7:$B$1006,0)),""))))</f>
        <v/>
      </c>
      <c r="S909" s="126">
        <f>IF(R909="","",R909-IF(O909="",0,O909)-OrderBuf)</f>
        <v/>
      </c>
      <c r="T909" s="126">
        <f>IF(S909="","",S909-DecideBuf)</f>
        <v/>
      </c>
      <c r="U909" s="74" t="n"/>
      <c r="V909" s="109" t="n"/>
      <c r="W909" s="109" t="n"/>
      <c r="X909" s="74" t="n"/>
      <c r="Y909" s="116">
        <f>IF(B909="","",IF(X909="Yes","Delivered",IF(U909="Yes",IF(AND(W909&lt;&gt;"",R909&lt;&gt;""),IF(W909&gt;R909,"⚠️ Delivery after install date","Ordered"),"Ordered"),IF(K909="",IF(T909="","Waiting for decision",IF(T909&lt;=AsOf+AlertDays,"Decide now","Waiting for decision")),IF(S909="","Selected",IF(AsOf&gt;S909,"⚠️ Order late — install at risk",IF(S909&lt;=AsOf+AlertDays,"Order now","Selected")))))))</f>
        <v/>
      </c>
      <c r="Z909" s="79">
        <f>IF(B909="","",IF(OR(AH909=1,AE909=1),2,IF(OR(AG909=1,AF909=1),1,IF(OR(Y909="Ordered",Y909="Delivered"),0,""))))</f>
        <v/>
      </c>
      <c r="AA909" s="112">
        <f>IF(B909="","",IF(AH909=1,IF(Y909="⚠️ Delivery after install date",R909,S909),IF(AD909=1,T909,IF(AI909=1,S909,""))))</f>
        <v/>
      </c>
      <c r="AB909" s="79">
        <f>IF(AA909="","",IF(AH909=1,1,IF(AA909="","",IF(AA909&lt;AsOf,1,IF(AA909&lt;=AsOf+AlertDays,2,IF(AA909&lt;=AsOf+2*AlertDays,3,""))))))</f>
        <v/>
      </c>
      <c r="AC909" s="79">
        <f>IF(AB909="","",IF(AH909=1,IF(Y909="⚠️ Delivery after install date","Delivery after install date: "&amp;B909,"Order late — install at risk: "&amp;B909),IF(AD909=1,IF(AB909=1,"Decision overdue: ","Decide: ")&amp;B909,"Order: "&amp;B909&amp;IF(N909="",""," from "&amp;N909))))</f>
        <v/>
      </c>
      <c r="AD909" s="79">
        <f>IF(AND(B909&lt;&gt;"",K909="",U909&lt;&gt;"Yes",X909&lt;&gt;"Yes"),1,0)</f>
        <v/>
      </c>
      <c r="AE909" s="79">
        <f>IF(AND(AD909=1,T909&lt;&gt;""),IF(T909&lt;AsOf,1,0),0)</f>
        <v/>
      </c>
      <c r="AF909" s="79">
        <f>IF(AND(AD909=1,T909&lt;&gt;""),IF(AND(T909&gt;=AsOf,T909&lt;=AsOf+AlertDays),1,0),0)</f>
        <v/>
      </c>
      <c r="AG909" s="79">
        <f>IF(Y909="Order now",1,0)</f>
        <v/>
      </c>
      <c r="AH909" s="79">
        <f>IF(OR(Y909="⚠️ Order late — install at risk",Y909="⚠️ Delivery after install date"),1,0)</f>
        <v/>
      </c>
      <c r="AI909" s="79">
        <f>IF(AND(B909&lt;&gt;"",K909&lt;&gt;"",U909&lt;&gt;"Yes",X909&lt;&gt;"Yes"),1,0)</f>
        <v/>
      </c>
      <c r="AJ909" s="79">
        <f>IF(Y909="⚠️ Order late — install at risk",1,0)</f>
        <v/>
      </c>
    </row>
    <row r="910" ht="20" customHeight="1">
      <c r="B910" s="72" t="n"/>
      <c r="C910" s="72" t="n"/>
      <c r="D910" s="72" t="n"/>
      <c r="E910" s="72" t="n"/>
      <c r="F910" s="73" t="n"/>
      <c r="G910" s="72" t="n"/>
      <c r="H910" s="73" t="n"/>
      <c r="I910" s="72" t="n"/>
      <c r="J910" s="73" t="n"/>
      <c r="K910" s="74" t="n"/>
      <c r="L910" s="75">
        <f>IF(K910="A",F910,IF(K910="B",H910,IF(K910="C",J910,"")))</f>
        <v/>
      </c>
      <c r="M910" s="72" t="n"/>
      <c r="N910" s="72" t="n"/>
      <c r="O910" s="89" t="n"/>
      <c r="P910" s="89" t="n"/>
      <c r="Q910" s="109" t="n"/>
      <c r="R910" s="120">
        <f>IF(B910="","",IF(Q910&lt;&gt;"",Q910,IF(P910="","",IFERROR(INDEX('Timeline'!$J$7:$J$1006,MATCH(P910,'Timeline'!$B$7:$B$1006,0)),""))))</f>
        <v/>
      </c>
      <c r="S910" s="126">
        <f>IF(R910="","",R910-IF(O910="",0,O910)-OrderBuf)</f>
        <v/>
      </c>
      <c r="T910" s="126">
        <f>IF(S910="","",S910-DecideBuf)</f>
        <v/>
      </c>
      <c r="U910" s="74" t="n"/>
      <c r="V910" s="109" t="n"/>
      <c r="W910" s="109" t="n"/>
      <c r="X910" s="74" t="n"/>
      <c r="Y910" s="116">
        <f>IF(B910="","",IF(X910="Yes","Delivered",IF(U910="Yes",IF(AND(W910&lt;&gt;"",R910&lt;&gt;""),IF(W910&gt;R910,"⚠️ Delivery after install date","Ordered"),"Ordered"),IF(K910="",IF(T910="","Waiting for decision",IF(T910&lt;=AsOf+AlertDays,"Decide now","Waiting for decision")),IF(S910="","Selected",IF(AsOf&gt;S910,"⚠️ Order late — install at risk",IF(S910&lt;=AsOf+AlertDays,"Order now","Selected")))))))</f>
        <v/>
      </c>
      <c r="Z910" s="79">
        <f>IF(B910="","",IF(OR(AH910=1,AE910=1),2,IF(OR(AG910=1,AF910=1),1,IF(OR(Y910="Ordered",Y910="Delivered"),0,""))))</f>
        <v/>
      </c>
      <c r="AA910" s="112">
        <f>IF(B910="","",IF(AH910=1,IF(Y910="⚠️ Delivery after install date",R910,S910),IF(AD910=1,T910,IF(AI910=1,S910,""))))</f>
        <v/>
      </c>
      <c r="AB910" s="79">
        <f>IF(AA910="","",IF(AH910=1,1,IF(AA910="","",IF(AA910&lt;AsOf,1,IF(AA910&lt;=AsOf+AlertDays,2,IF(AA910&lt;=AsOf+2*AlertDays,3,""))))))</f>
        <v/>
      </c>
      <c r="AC910" s="79">
        <f>IF(AB910="","",IF(AH910=1,IF(Y910="⚠️ Delivery after install date","Delivery after install date: "&amp;B910,"Order late — install at risk: "&amp;B910),IF(AD910=1,IF(AB910=1,"Decision overdue: ","Decide: ")&amp;B910,"Order: "&amp;B910&amp;IF(N910="",""," from "&amp;N910))))</f>
        <v/>
      </c>
      <c r="AD910" s="79">
        <f>IF(AND(B910&lt;&gt;"",K910="",U910&lt;&gt;"Yes",X910&lt;&gt;"Yes"),1,0)</f>
        <v/>
      </c>
      <c r="AE910" s="79">
        <f>IF(AND(AD910=1,T910&lt;&gt;""),IF(T910&lt;AsOf,1,0),0)</f>
        <v/>
      </c>
      <c r="AF910" s="79">
        <f>IF(AND(AD910=1,T910&lt;&gt;""),IF(AND(T910&gt;=AsOf,T910&lt;=AsOf+AlertDays),1,0),0)</f>
        <v/>
      </c>
      <c r="AG910" s="79">
        <f>IF(Y910="Order now",1,0)</f>
        <v/>
      </c>
      <c r="AH910" s="79">
        <f>IF(OR(Y910="⚠️ Order late — install at risk",Y910="⚠️ Delivery after install date"),1,0)</f>
        <v/>
      </c>
      <c r="AI910" s="79">
        <f>IF(AND(B910&lt;&gt;"",K910&lt;&gt;"",U910&lt;&gt;"Yes",X910&lt;&gt;"Yes"),1,0)</f>
        <v/>
      </c>
      <c r="AJ910" s="79">
        <f>IF(Y910="⚠️ Order late — install at risk",1,0)</f>
        <v/>
      </c>
    </row>
    <row r="911" ht="20" customHeight="1">
      <c r="B911" s="72" t="n"/>
      <c r="C911" s="72" t="n"/>
      <c r="D911" s="72" t="n"/>
      <c r="E911" s="72" t="n"/>
      <c r="F911" s="73" t="n"/>
      <c r="G911" s="72" t="n"/>
      <c r="H911" s="73" t="n"/>
      <c r="I911" s="72" t="n"/>
      <c r="J911" s="73" t="n"/>
      <c r="K911" s="74" t="n"/>
      <c r="L911" s="75">
        <f>IF(K911="A",F911,IF(K911="B",H911,IF(K911="C",J911,"")))</f>
        <v/>
      </c>
      <c r="M911" s="72" t="n"/>
      <c r="N911" s="72" t="n"/>
      <c r="O911" s="89" t="n"/>
      <c r="P911" s="89" t="n"/>
      <c r="Q911" s="109" t="n"/>
      <c r="R911" s="120">
        <f>IF(B911="","",IF(Q911&lt;&gt;"",Q911,IF(P911="","",IFERROR(INDEX('Timeline'!$J$7:$J$1006,MATCH(P911,'Timeline'!$B$7:$B$1006,0)),""))))</f>
        <v/>
      </c>
      <c r="S911" s="126">
        <f>IF(R911="","",R911-IF(O911="",0,O911)-OrderBuf)</f>
        <v/>
      </c>
      <c r="T911" s="126">
        <f>IF(S911="","",S911-DecideBuf)</f>
        <v/>
      </c>
      <c r="U911" s="74" t="n"/>
      <c r="V911" s="109" t="n"/>
      <c r="W911" s="109" t="n"/>
      <c r="X911" s="74" t="n"/>
      <c r="Y911" s="116">
        <f>IF(B911="","",IF(X911="Yes","Delivered",IF(U911="Yes",IF(AND(W911&lt;&gt;"",R911&lt;&gt;""),IF(W911&gt;R911,"⚠️ Delivery after install date","Ordered"),"Ordered"),IF(K911="",IF(T911="","Waiting for decision",IF(T911&lt;=AsOf+AlertDays,"Decide now","Waiting for decision")),IF(S911="","Selected",IF(AsOf&gt;S911,"⚠️ Order late — install at risk",IF(S911&lt;=AsOf+AlertDays,"Order now","Selected")))))))</f>
        <v/>
      </c>
      <c r="Z911" s="79">
        <f>IF(B911="","",IF(OR(AH911=1,AE911=1),2,IF(OR(AG911=1,AF911=1),1,IF(OR(Y911="Ordered",Y911="Delivered"),0,""))))</f>
        <v/>
      </c>
      <c r="AA911" s="112">
        <f>IF(B911="","",IF(AH911=1,IF(Y911="⚠️ Delivery after install date",R911,S911),IF(AD911=1,T911,IF(AI911=1,S911,""))))</f>
        <v/>
      </c>
      <c r="AB911" s="79">
        <f>IF(AA911="","",IF(AH911=1,1,IF(AA911="","",IF(AA911&lt;AsOf,1,IF(AA911&lt;=AsOf+AlertDays,2,IF(AA911&lt;=AsOf+2*AlertDays,3,""))))))</f>
        <v/>
      </c>
      <c r="AC911" s="79">
        <f>IF(AB911="","",IF(AH911=1,IF(Y911="⚠️ Delivery after install date","Delivery after install date: "&amp;B911,"Order late — install at risk: "&amp;B911),IF(AD911=1,IF(AB911=1,"Decision overdue: ","Decide: ")&amp;B911,"Order: "&amp;B911&amp;IF(N911="",""," from "&amp;N911))))</f>
        <v/>
      </c>
      <c r="AD911" s="79">
        <f>IF(AND(B911&lt;&gt;"",K911="",U911&lt;&gt;"Yes",X911&lt;&gt;"Yes"),1,0)</f>
        <v/>
      </c>
      <c r="AE911" s="79">
        <f>IF(AND(AD911=1,T911&lt;&gt;""),IF(T911&lt;AsOf,1,0),0)</f>
        <v/>
      </c>
      <c r="AF911" s="79">
        <f>IF(AND(AD911=1,T911&lt;&gt;""),IF(AND(T911&gt;=AsOf,T911&lt;=AsOf+AlertDays),1,0),0)</f>
        <v/>
      </c>
      <c r="AG911" s="79">
        <f>IF(Y911="Order now",1,0)</f>
        <v/>
      </c>
      <c r="AH911" s="79">
        <f>IF(OR(Y911="⚠️ Order late — install at risk",Y911="⚠️ Delivery after install date"),1,0)</f>
        <v/>
      </c>
      <c r="AI911" s="79">
        <f>IF(AND(B911&lt;&gt;"",K911&lt;&gt;"",U911&lt;&gt;"Yes",X911&lt;&gt;"Yes"),1,0)</f>
        <v/>
      </c>
      <c r="AJ911" s="79">
        <f>IF(Y911="⚠️ Order late — install at risk",1,0)</f>
        <v/>
      </c>
    </row>
    <row r="912" ht="20" customHeight="1">
      <c r="B912" s="72" t="n"/>
      <c r="C912" s="72" t="n"/>
      <c r="D912" s="72" t="n"/>
      <c r="E912" s="72" t="n"/>
      <c r="F912" s="73" t="n"/>
      <c r="G912" s="72" t="n"/>
      <c r="H912" s="73" t="n"/>
      <c r="I912" s="72" t="n"/>
      <c r="J912" s="73" t="n"/>
      <c r="K912" s="74" t="n"/>
      <c r="L912" s="75">
        <f>IF(K912="A",F912,IF(K912="B",H912,IF(K912="C",J912,"")))</f>
        <v/>
      </c>
      <c r="M912" s="72" t="n"/>
      <c r="N912" s="72" t="n"/>
      <c r="O912" s="89" t="n"/>
      <c r="P912" s="89" t="n"/>
      <c r="Q912" s="109" t="n"/>
      <c r="R912" s="120">
        <f>IF(B912="","",IF(Q912&lt;&gt;"",Q912,IF(P912="","",IFERROR(INDEX('Timeline'!$J$7:$J$1006,MATCH(P912,'Timeline'!$B$7:$B$1006,0)),""))))</f>
        <v/>
      </c>
      <c r="S912" s="126">
        <f>IF(R912="","",R912-IF(O912="",0,O912)-OrderBuf)</f>
        <v/>
      </c>
      <c r="T912" s="126">
        <f>IF(S912="","",S912-DecideBuf)</f>
        <v/>
      </c>
      <c r="U912" s="74" t="n"/>
      <c r="V912" s="109" t="n"/>
      <c r="W912" s="109" t="n"/>
      <c r="X912" s="74" t="n"/>
      <c r="Y912" s="116">
        <f>IF(B912="","",IF(X912="Yes","Delivered",IF(U912="Yes",IF(AND(W912&lt;&gt;"",R912&lt;&gt;""),IF(W912&gt;R912,"⚠️ Delivery after install date","Ordered"),"Ordered"),IF(K912="",IF(T912="","Waiting for decision",IF(T912&lt;=AsOf+AlertDays,"Decide now","Waiting for decision")),IF(S912="","Selected",IF(AsOf&gt;S912,"⚠️ Order late — install at risk",IF(S912&lt;=AsOf+AlertDays,"Order now","Selected")))))))</f>
        <v/>
      </c>
      <c r="Z912" s="79">
        <f>IF(B912="","",IF(OR(AH912=1,AE912=1),2,IF(OR(AG912=1,AF912=1),1,IF(OR(Y912="Ordered",Y912="Delivered"),0,""))))</f>
        <v/>
      </c>
      <c r="AA912" s="112">
        <f>IF(B912="","",IF(AH912=1,IF(Y912="⚠️ Delivery after install date",R912,S912),IF(AD912=1,T912,IF(AI912=1,S912,""))))</f>
        <v/>
      </c>
      <c r="AB912" s="79">
        <f>IF(AA912="","",IF(AH912=1,1,IF(AA912="","",IF(AA912&lt;AsOf,1,IF(AA912&lt;=AsOf+AlertDays,2,IF(AA912&lt;=AsOf+2*AlertDays,3,""))))))</f>
        <v/>
      </c>
      <c r="AC912" s="79">
        <f>IF(AB912="","",IF(AH912=1,IF(Y912="⚠️ Delivery after install date","Delivery after install date: "&amp;B912,"Order late — install at risk: "&amp;B912),IF(AD912=1,IF(AB912=1,"Decision overdue: ","Decide: ")&amp;B912,"Order: "&amp;B912&amp;IF(N912="",""," from "&amp;N912))))</f>
        <v/>
      </c>
      <c r="AD912" s="79">
        <f>IF(AND(B912&lt;&gt;"",K912="",U912&lt;&gt;"Yes",X912&lt;&gt;"Yes"),1,0)</f>
        <v/>
      </c>
      <c r="AE912" s="79">
        <f>IF(AND(AD912=1,T912&lt;&gt;""),IF(T912&lt;AsOf,1,0),0)</f>
        <v/>
      </c>
      <c r="AF912" s="79">
        <f>IF(AND(AD912=1,T912&lt;&gt;""),IF(AND(T912&gt;=AsOf,T912&lt;=AsOf+AlertDays),1,0),0)</f>
        <v/>
      </c>
      <c r="AG912" s="79">
        <f>IF(Y912="Order now",1,0)</f>
        <v/>
      </c>
      <c r="AH912" s="79">
        <f>IF(OR(Y912="⚠️ Order late — install at risk",Y912="⚠️ Delivery after install date"),1,0)</f>
        <v/>
      </c>
      <c r="AI912" s="79">
        <f>IF(AND(B912&lt;&gt;"",K912&lt;&gt;"",U912&lt;&gt;"Yes",X912&lt;&gt;"Yes"),1,0)</f>
        <v/>
      </c>
      <c r="AJ912" s="79">
        <f>IF(Y912="⚠️ Order late — install at risk",1,0)</f>
        <v/>
      </c>
    </row>
    <row r="913" ht="20" customHeight="1">
      <c r="B913" s="72" t="n"/>
      <c r="C913" s="72" t="n"/>
      <c r="D913" s="72" t="n"/>
      <c r="E913" s="72" t="n"/>
      <c r="F913" s="73" t="n"/>
      <c r="G913" s="72" t="n"/>
      <c r="H913" s="73" t="n"/>
      <c r="I913" s="72" t="n"/>
      <c r="J913" s="73" t="n"/>
      <c r="K913" s="74" t="n"/>
      <c r="L913" s="75">
        <f>IF(K913="A",F913,IF(K913="B",H913,IF(K913="C",J913,"")))</f>
        <v/>
      </c>
      <c r="M913" s="72" t="n"/>
      <c r="N913" s="72" t="n"/>
      <c r="O913" s="89" t="n"/>
      <c r="P913" s="89" t="n"/>
      <c r="Q913" s="109" t="n"/>
      <c r="R913" s="120">
        <f>IF(B913="","",IF(Q913&lt;&gt;"",Q913,IF(P913="","",IFERROR(INDEX('Timeline'!$J$7:$J$1006,MATCH(P913,'Timeline'!$B$7:$B$1006,0)),""))))</f>
        <v/>
      </c>
      <c r="S913" s="126">
        <f>IF(R913="","",R913-IF(O913="",0,O913)-OrderBuf)</f>
        <v/>
      </c>
      <c r="T913" s="126">
        <f>IF(S913="","",S913-DecideBuf)</f>
        <v/>
      </c>
      <c r="U913" s="74" t="n"/>
      <c r="V913" s="109" t="n"/>
      <c r="W913" s="109" t="n"/>
      <c r="X913" s="74" t="n"/>
      <c r="Y913" s="116">
        <f>IF(B913="","",IF(X913="Yes","Delivered",IF(U913="Yes",IF(AND(W913&lt;&gt;"",R913&lt;&gt;""),IF(W913&gt;R913,"⚠️ Delivery after install date","Ordered"),"Ordered"),IF(K913="",IF(T913="","Waiting for decision",IF(T913&lt;=AsOf+AlertDays,"Decide now","Waiting for decision")),IF(S913="","Selected",IF(AsOf&gt;S913,"⚠️ Order late — install at risk",IF(S913&lt;=AsOf+AlertDays,"Order now","Selected")))))))</f>
        <v/>
      </c>
      <c r="Z913" s="79">
        <f>IF(B913="","",IF(OR(AH913=1,AE913=1),2,IF(OR(AG913=1,AF913=1),1,IF(OR(Y913="Ordered",Y913="Delivered"),0,""))))</f>
        <v/>
      </c>
      <c r="AA913" s="112">
        <f>IF(B913="","",IF(AH913=1,IF(Y913="⚠️ Delivery after install date",R913,S913),IF(AD913=1,T913,IF(AI913=1,S913,""))))</f>
        <v/>
      </c>
      <c r="AB913" s="79">
        <f>IF(AA913="","",IF(AH913=1,1,IF(AA913="","",IF(AA913&lt;AsOf,1,IF(AA913&lt;=AsOf+AlertDays,2,IF(AA913&lt;=AsOf+2*AlertDays,3,""))))))</f>
        <v/>
      </c>
      <c r="AC913" s="79">
        <f>IF(AB913="","",IF(AH913=1,IF(Y913="⚠️ Delivery after install date","Delivery after install date: "&amp;B913,"Order late — install at risk: "&amp;B913),IF(AD913=1,IF(AB913=1,"Decision overdue: ","Decide: ")&amp;B913,"Order: "&amp;B913&amp;IF(N913="",""," from "&amp;N913))))</f>
        <v/>
      </c>
      <c r="AD913" s="79">
        <f>IF(AND(B913&lt;&gt;"",K913="",U913&lt;&gt;"Yes",X913&lt;&gt;"Yes"),1,0)</f>
        <v/>
      </c>
      <c r="AE913" s="79">
        <f>IF(AND(AD913=1,T913&lt;&gt;""),IF(T913&lt;AsOf,1,0),0)</f>
        <v/>
      </c>
      <c r="AF913" s="79">
        <f>IF(AND(AD913=1,T913&lt;&gt;""),IF(AND(T913&gt;=AsOf,T913&lt;=AsOf+AlertDays),1,0),0)</f>
        <v/>
      </c>
      <c r="AG913" s="79">
        <f>IF(Y913="Order now",1,0)</f>
        <v/>
      </c>
      <c r="AH913" s="79">
        <f>IF(OR(Y913="⚠️ Order late — install at risk",Y913="⚠️ Delivery after install date"),1,0)</f>
        <v/>
      </c>
      <c r="AI913" s="79">
        <f>IF(AND(B913&lt;&gt;"",K913&lt;&gt;"",U913&lt;&gt;"Yes",X913&lt;&gt;"Yes"),1,0)</f>
        <v/>
      </c>
      <c r="AJ913" s="79">
        <f>IF(Y913="⚠️ Order late — install at risk",1,0)</f>
        <v/>
      </c>
    </row>
    <row r="914" ht="20" customHeight="1">
      <c r="B914" s="72" t="n"/>
      <c r="C914" s="72" t="n"/>
      <c r="D914" s="72" t="n"/>
      <c r="E914" s="72" t="n"/>
      <c r="F914" s="73" t="n"/>
      <c r="G914" s="72" t="n"/>
      <c r="H914" s="73" t="n"/>
      <c r="I914" s="72" t="n"/>
      <c r="J914" s="73" t="n"/>
      <c r="K914" s="74" t="n"/>
      <c r="L914" s="75">
        <f>IF(K914="A",F914,IF(K914="B",H914,IF(K914="C",J914,"")))</f>
        <v/>
      </c>
      <c r="M914" s="72" t="n"/>
      <c r="N914" s="72" t="n"/>
      <c r="O914" s="89" t="n"/>
      <c r="P914" s="89" t="n"/>
      <c r="Q914" s="109" t="n"/>
      <c r="R914" s="120">
        <f>IF(B914="","",IF(Q914&lt;&gt;"",Q914,IF(P914="","",IFERROR(INDEX('Timeline'!$J$7:$J$1006,MATCH(P914,'Timeline'!$B$7:$B$1006,0)),""))))</f>
        <v/>
      </c>
      <c r="S914" s="126">
        <f>IF(R914="","",R914-IF(O914="",0,O914)-OrderBuf)</f>
        <v/>
      </c>
      <c r="T914" s="126">
        <f>IF(S914="","",S914-DecideBuf)</f>
        <v/>
      </c>
      <c r="U914" s="74" t="n"/>
      <c r="V914" s="109" t="n"/>
      <c r="W914" s="109" t="n"/>
      <c r="X914" s="74" t="n"/>
      <c r="Y914" s="116">
        <f>IF(B914="","",IF(X914="Yes","Delivered",IF(U914="Yes",IF(AND(W914&lt;&gt;"",R914&lt;&gt;""),IF(W914&gt;R914,"⚠️ Delivery after install date","Ordered"),"Ordered"),IF(K914="",IF(T914="","Waiting for decision",IF(T914&lt;=AsOf+AlertDays,"Decide now","Waiting for decision")),IF(S914="","Selected",IF(AsOf&gt;S914,"⚠️ Order late — install at risk",IF(S914&lt;=AsOf+AlertDays,"Order now","Selected")))))))</f>
        <v/>
      </c>
      <c r="Z914" s="79">
        <f>IF(B914="","",IF(OR(AH914=1,AE914=1),2,IF(OR(AG914=1,AF914=1),1,IF(OR(Y914="Ordered",Y914="Delivered"),0,""))))</f>
        <v/>
      </c>
      <c r="AA914" s="112">
        <f>IF(B914="","",IF(AH914=1,IF(Y914="⚠️ Delivery after install date",R914,S914),IF(AD914=1,T914,IF(AI914=1,S914,""))))</f>
        <v/>
      </c>
      <c r="AB914" s="79">
        <f>IF(AA914="","",IF(AH914=1,1,IF(AA914="","",IF(AA914&lt;AsOf,1,IF(AA914&lt;=AsOf+AlertDays,2,IF(AA914&lt;=AsOf+2*AlertDays,3,""))))))</f>
        <v/>
      </c>
      <c r="AC914" s="79">
        <f>IF(AB914="","",IF(AH914=1,IF(Y914="⚠️ Delivery after install date","Delivery after install date: "&amp;B914,"Order late — install at risk: "&amp;B914),IF(AD914=1,IF(AB914=1,"Decision overdue: ","Decide: ")&amp;B914,"Order: "&amp;B914&amp;IF(N914="",""," from "&amp;N914))))</f>
        <v/>
      </c>
      <c r="AD914" s="79">
        <f>IF(AND(B914&lt;&gt;"",K914="",U914&lt;&gt;"Yes",X914&lt;&gt;"Yes"),1,0)</f>
        <v/>
      </c>
      <c r="AE914" s="79">
        <f>IF(AND(AD914=1,T914&lt;&gt;""),IF(T914&lt;AsOf,1,0),0)</f>
        <v/>
      </c>
      <c r="AF914" s="79">
        <f>IF(AND(AD914=1,T914&lt;&gt;""),IF(AND(T914&gt;=AsOf,T914&lt;=AsOf+AlertDays),1,0),0)</f>
        <v/>
      </c>
      <c r="AG914" s="79">
        <f>IF(Y914="Order now",1,0)</f>
        <v/>
      </c>
      <c r="AH914" s="79">
        <f>IF(OR(Y914="⚠️ Order late — install at risk",Y914="⚠️ Delivery after install date"),1,0)</f>
        <v/>
      </c>
      <c r="AI914" s="79">
        <f>IF(AND(B914&lt;&gt;"",K914&lt;&gt;"",U914&lt;&gt;"Yes",X914&lt;&gt;"Yes"),1,0)</f>
        <v/>
      </c>
      <c r="AJ914" s="79">
        <f>IF(Y914="⚠️ Order late — install at risk",1,0)</f>
        <v/>
      </c>
    </row>
    <row r="915" ht="20" customHeight="1">
      <c r="B915" s="72" t="n"/>
      <c r="C915" s="72" t="n"/>
      <c r="D915" s="72" t="n"/>
      <c r="E915" s="72" t="n"/>
      <c r="F915" s="73" t="n"/>
      <c r="G915" s="72" t="n"/>
      <c r="H915" s="73" t="n"/>
      <c r="I915" s="72" t="n"/>
      <c r="J915" s="73" t="n"/>
      <c r="K915" s="74" t="n"/>
      <c r="L915" s="75">
        <f>IF(K915="A",F915,IF(K915="B",H915,IF(K915="C",J915,"")))</f>
        <v/>
      </c>
      <c r="M915" s="72" t="n"/>
      <c r="N915" s="72" t="n"/>
      <c r="O915" s="89" t="n"/>
      <c r="P915" s="89" t="n"/>
      <c r="Q915" s="109" t="n"/>
      <c r="R915" s="120">
        <f>IF(B915="","",IF(Q915&lt;&gt;"",Q915,IF(P915="","",IFERROR(INDEX('Timeline'!$J$7:$J$1006,MATCH(P915,'Timeline'!$B$7:$B$1006,0)),""))))</f>
        <v/>
      </c>
      <c r="S915" s="126">
        <f>IF(R915="","",R915-IF(O915="",0,O915)-OrderBuf)</f>
        <v/>
      </c>
      <c r="T915" s="126">
        <f>IF(S915="","",S915-DecideBuf)</f>
        <v/>
      </c>
      <c r="U915" s="74" t="n"/>
      <c r="V915" s="109" t="n"/>
      <c r="W915" s="109" t="n"/>
      <c r="X915" s="74" t="n"/>
      <c r="Y915" s="116">
        <f>IF(B915="","",IF(X915="Yes","Delivered",IF(U915="Yes",IF(AND(W915&lt;&gt;"",R915&lt;&gt;""),IF(W915&gt;R915,"⚠️ Delivery after install date","Ordered"),"Ordered"),IF(K915="",IF(T915="","Waiting for decision",IF(T915&lt;=AsOf+AlertDays,"Decide now","Waiting for decision")),IF(S915="","Selected",IF(AsOf&gt;S915,"⚠️ Order late — install at risk",IF(S915&lt;=AsOf+AlertDays,"Order now","Selected")))))))</f>
        <v/>
      </c>
      <c r="Z915" s="79">
        <f>IF(B915="","",IF(OR(AH915=1,AE915=1),2,IF(OR(AG915=1,AF915=1),1,IF(OR(Y915="Ordered",Y915="Delivered"),0,""))))</f>
        <v/>
      </c>
      <c r="AA915" s="112">
        <f>IF(B915="","",IF(AH915=1,IF(Y915="⚠️ Delivery after install date",R915,S915),IF(AD915=1,T915,IF(AI915=1,S915,""))))</f>
        <v/>
      </c>
      <c r="AB915" s="79">
        <f>IF(AA915="","",IF(AH915=1,1,IF(AA915="","",IF(AA915&lt;AsOf,1,IF(AA915&lt;=AsOf+AlertDays,2,IF(AA915&lt;=AsOf+2*AlertDays,3,""))))))</f>
        <v/>
      </c>
      <c r="AC915" s="79">
        <f>IF(AB915="","",IF(AH915=1,IF(Y915="⚠️ Delivery after install date","Delivery after install date: "&amp;B915,"Order late — install at risk: "&amp;B915),IF(AD915=1,IF(AB915=1,"Decision overdue: ","Decide: ")&amp;B915,"Order: "&amp;B915&amp;IF(N915="",""," from "&amp;N915))))</f>
        <v/>
      </c>
      <c r="AD915" s="79">
        <f>IF(AND(B915&lt;&gt;"",K915="",U915&lt;&gt;"Yes",X915&lt;&gt;"Yes"),1,0)</f>
        <v/>
      </c>
      <c r="AE915" s="79">
        <f>IF(AND(AD915=1,T915&lt;&gt;""),IF(T915&lt;AsOf,1,0),0)</f>
        <v/>
      </c>
      <c r="AF915" s="79">
        <f>IF(AND(AD915=1,T915&lt;&gt;""),IF(AND(T915&gt;=AsOf,T915&lt;=AsOf+AlertDays),1,0),0)</f>
        <v/>
      </c>
      <c r="AG915" s="79">
        <f>IF(Y915="Order now",1,0)</f>
        <v/>
      </c>
      <c r="AH915" s="79">
        <f>IF(OR(Y915="⚠️ Order late — install at risk",Y915="⚠️ Delivery after install date"),1,0)</f>
        <v/>
      </c>
      <c r="AI915" s="79">
        <f>IF(AND(B915&lt;&gt;"",K915&lt;&gt;"",U915&lt;&gt;"Yes",X915&lt;&gt;"Yes"),1,0)</f>
        <v/>
      </c>
      <c r="AJ915" s="79">
        <f>IF(Y915="⚠️ Order late — install at risk",1,0)</f>
        <v/>
      </c>
    </row>
    <row r="916" ht="20" customHeight="1">
      <c r="B916" s="72" t="n"/>
      <c r="C916" s="72" t="n"/>
      <c r="D916" s="72" t="n"/>
      <c r="E916" s="72" t="n"/>
      <c r="F916" s="73" t="n"/>
      <c r="G916" s="72" t="n"/>
      <c r="H916" s="73" t="n"/>
      <c r="I916" s="72" t="n"/>
      <c r="J916" s="73" t="n"/>
      <c r="K916" s="74" t="n"/>
      <c r="L916" s="75">
        <f>IF(K916="A",F916,IF(K916="B",H916,IF(K916="C",J916,"")))</f>
        <v/>
      </c>
      <c r="M916" s="72" t="n"/>
      <c r="N916" s="72" t="n"/>
      <c r="O916" s="89" t="n"/>
      <c r="P916" s="89" t="n"/>
      <c r="Q916" s="109" t="n"/>
      <c r="R916" s="120">
        <f>IF(B916="","",IF(Q916&lt;&gt;"",Q916,IF(P916="","",IFERROR(INDEX('Timeline'!$J$7:$J$1006,MATCH(P916,'Timeline'!$B$7:$B$1006,0)),""))))</f>
        <v/>
      </c>
      <c r="S916" s="126">
        <f>IF(R916="","",R916-IF(O916="",0,O916)-OrderBuf)</f>
        <v/>
      </c>
      <c r="T916" s="126">
        <f>IF(S916="","",S916-DecideBuf)</f>
        <v/>
      </c>
      <c r="U916" s="74" t="n"/>
      <c r="V916" s="109" t="n"/>
      <c r="W916" s="109" t="n"/>
      <c r="X916" s="74" t="n"/>
      <c r="Y916" s="116">
        <f>IF(B916="","",IF(X916="Yes","Delivered",IF(U916="Yes",IF(AND(W916&lt;&gt;"",R916&lt;&gt;""),IF(W916&gt;R916,"⚠️ Delivery after install date","Ordered"),"Ordered"),IF(K916="",IF(T916="","Waiting for decision",IF(T916&lt;=AsOf+AlertDays,"Decide now","Waiting for decision")),IF(S916="","Selected",IF(AsOf&gt;S916,"⚠️ Order late — install at risk",IF(S916&lt;=AsOf+AlertDays,"Order now","Selected")))))))</f>
        <v/>
      </c>
      <c r="Z916" s="79">
        <f>IF(B916="","",IF(OR(AH916=1,AE916=1),2,IF(OR(AG916=1,AF916=1),1,IF(OR(Y916="Ordered",Y916="Delivered"),0,""))))</f>
        <v/>
      </c>
      <c r="AA916" s="112">
        <f>IF(B916="","",IF(AH916=1,IF(Y916="⚠️ Delivery after install date",R916,S916),IF(AD916=1,T916,IF(AI916=1,S916,""))))</f>
        <v/>
      </c>
      <c r="AB916" s="79">
        <f>IF(AA916="","",IF(AH916=1,1,IF(AA916="","",IF(AA916&lt;AsOf,1,IF(AA916&lt;=AsOf+AlertDays,2,IF(AA916&lt;=AsOf+2*AlertDays,3,""))))))</f>
        <v/>
      </c>
      <c r="AC916" s="79">
        <f>IF(AB916="","",IF(AH916=1,IF(Y916="⚠️ Delivery after install date","Delivery after install date: "&amp;B916,"Order late — install at risk: "&amp;B916),IF(AD916=1,IF(AB916=1,"Decision overdue: ","Decide: ")&amp;B916,"Order: "&amp;B916&amp;IF(N916="",""," from "&amp;N916))))</f>
        <v/>
      </c>
      <c r="AD916" s="79">
        <f>IF(AND(B916&lt;&gt;"",K916="",U916&lt;&gt;"Yes",X916&lt;&gt;"Yes"),1,0)</f>
        <v/>
      </c>
      <c r="AE916" s="79">
        <f>IF(AND(AD916=1,T916&lt;&gt;""),IF(T916&lt;AsOf,1,0),0)</f>
        <v/>
      </c>
      <c r="AF916" s="79">
        <f>IF(AND(AD916=1,T916&lt;&gt;""),IF(AND(T916&gt;=AsOf,T916&lt;=AsOf+AlertDays),1,0),0)</f>
        <v/>
      </c>
      <c r="AG916" s="79">
        <f>IF(Y916="Order now",1,0)</f>
        <v/>
      </c>
      <c r="AH916" s="79">
        <f>IF(OR(Y916="⚠️ Order late — install at risk",Y916="⚠️ Delivery after install date"),1,0)</f>
        <v/>
      </c>
      <c r="AI916" s="79">
        <f>IF(AND(B916&lt;&gt;"",K916&lt;&gt;"",U916&lt;&gt;"Yes",X916&lt;&gt;"Yes"),1,0)</f>
        <v/>
      </c>
      <c r="AJ916" s="79">
        <f>IF(Y916="⚠️ Order late — install at risk",1,0)</f>
        <v/>
      </c>
    </row>
    <row r="917" ht="20" customHeight="1">
      <c r="B917" s="72" t="n"/>
      <c r="C917" s="72" t="n"/>
      <c r="D917" s="72" t="n"/>
      <c r="E917" s="72" t="n"/>
      <c r="F917" s="73" t="n"/>
      <c r="G917" s="72" t="n"/>
      <c r="H917" s="73" t="n"/>
      <c r="I917" s="72" t="n"/>
      <c r="J917" s="73" t="n"/>
      <c r="K917" s="74" t="n"/>
      <c r="L917" s="75">
        <f>IF(K917="A",F917,IF(K917="B",H917,IF(K917="C",J917,"")))</f>
        <v/>
      </c>
      <c r="M917" s="72" t="n"/>
      <c r="N917" s="72" t="n"/>
      <c r="O917" s="89" t="n"/>
      <c r="P917" s="89" t="n"/>
      <c r="Q917" s="109" t="n"/>
      <c r="R917" s="120">
        <f>IF(B917="","",IF(Q917&lt;&gt;"",Q917,IF(P917="","",IFERROR(INDEX('Timeline'!$J$7:$J$1006,MATCH(P917,'Timeline'!$B$7:$B$1006,0)),""))))</f>
        <v/>
      </c>
      <c r="S917" s="126">
        <f>IF(R917="","",R917-IF(O917="",0,O917)-OrderBuf)</f>
        <v/>
      </c>
      <c r="T917" s="126">
        <f>IF(S917="","",S917-DecideBuf)</f>
        <v/>
      </c>
      <c r="U917" s="74" t="n"/>
      <c r="V917" s="109" t="n"/>
      <c r="W917" s="109" t="n"/>
      <c r="X917" s="74" t="n"/>
      <c r="Y917" s="116">
        <f>IF(B917="","",IF(X917="Yes","Delivered",IF(U917="Yes",IF(AND(W917&lt;&gt;"",R917&lt;&gt;""),IF(W917&gt;R917,"⚠️ Delivery after install date","Ordered"),"Ordered"),IF(K917="",IF(T917="","Waiting for decision",IF(T917&lt;=AsOf+AlertDays,"Decide now","Waiting for decision")),IF(S917="","Selected",IF(AsOf&gt;S917,"⚠️ Order late — install at risk",IF(S917&lt;=AsOf+AlertDays,"Order now","Selected")))))))</f>
        <v/>
      </c>
      <c r="Z917" s="79">
        <f>IF(B917="","",IF(OR(AH917=1,AE917=1),2,IF(OR(AG917=1,AF917=1),1,IF(OR(Y917="Ordered",Y917="Delivered"),0,""))))</f>
        <v/>
      </c>
      <c r="AA917" s="112">
        <f>IF(B917="","",IF(AH917=1,IF(Y917="⚠️ Delivery after install date",R917,S917),IF(AD917=1,T917,IF(AI917=1,S917,""))))</f>
        <v/>
      </c>
      <c r="AB917" s="79">
        <f>IF(AA917="","",IF(AH917=1,1,IF(AA917="","",IF(AA917&lt;AsOf,1,IF(AA917&lt;=AsOf+AlertDays,2,IF(AA917&lt;=AsOf+2*AlertDays,3,""))))))</f>
        <v/>
      </c>
      <c r="AC917" s="79">
        <f>IF(AB917="","",IF(AH917=1,IF(Y917="⚠️ Delivery after install date","Delivery after install date: "&amp;B917,"Order late — install at risk: "&amp;B917),IF(AD917=1,IF(AB917=1,"Decision overdue: ","Decide: ")&amp;B917,"Order: "&amp;B917&amp;IF(N917="",""," from "&amp;N917))))</f>
        <v/>
      </c>
      <c r="AD917" s="79">
        <f>IF(AND(B917&lt;&gt;"",K917="",U917&lt;&gt;"Yes",X917&lt;&gt;"Yes"),1,0)</f>
        <v/>
      </c>
      <c r="AE917" s="79">
        <f>IF(AND(AD917=1,T917&lt;&gt;""),IF(T917&lt;AsOf,1,0),0)</f>
        <v/>
      </c>
      <c r="AF917" s="79">
        <f>IF(AND(AD917=1,T917&lt;&gt;""),IF(AND(T917&gt;=AsOf,T917&lt;=AsOf+AlertDays),1,0),0)</f>
        <v/>
      </c>
      <c r="AG917" s="79">
        <f>IF(Y917="Order now",1,0)</f>
        <v/>
      </c>
      <c r="AH917" s="79">
        <f>IF(OR(Y917="⚠️ Order late — install at risk",Y917="⚠️ Delivery after install date"),1,0)</f>
        <v/>
      </c>
      <c r="AI917" s="79">
        <f>IF(AND(B917&lt;&gt;"",K917&lt;&gt;"",U917&lt;&gt;"Yes",X917&lt;&gt;"Yes"),1,0)</f>
        <v/>
      </c>
      <c r="AJ917" s="79">
        <f>IF(Y917="⚠️ Order late — install at risk",1,0)</f>
        <v/>
      </c>
    </row>
    <row r="918" ht="20" customHeight="1">
      <c r="B918" s="72" t="n"/>
      <c r="C918" s="72" t="n"/>
      <c r="D918" s="72" t="n"/>
      <c r="E918" s="72" t="n"/>
      <c r="F918" s="73" t="n"/>
      <c r="G918" s="72" t="n"/>
      <c r="H918" s="73" t="n"/>
      <c r="I918" s="72" t="n"/>
      <c r="J918" s="73" t="n"/>
      <c r="K918" s="74" t="n"/>
      <c r="L918" s="75">
        <f>IF(K918="A",F918,IF(K918="B",H918,IF(K918="C",J918,"")))</f>
        <v/>
      </c>
      <c r="M918" s="72" t="n"/>
      <c r="N918" s="72" t="n"/>
      <c r="O918" s="89" t="n"/>
      <c r="P918" s="89" t="n"/>
      <c r="Q918" s="109" t="n"/>
      <c r="R918" s="120">
        <f>IF(B918="","",IF(Q918&lt;&gt;"",Q918,IF(P918="","",IFERROR(INDEX('Timeline'!$J$7:$J$1006,MATCH(P918,'Timeline'!$B$7:$B$1006,0)),""))))</f>
        <v/>
      </c>
      <c r="S918" s="126">
        <f>IF(R918="","",R918-IF(O918="",0,O918)-OrderBuf)</f>
        <v/>
      </c>
      <c r="T918" s="126">
        <f>IF(S918="","",S918-DecideBuf)</f>
        <v/>
      </c>
      <c r="U918" s="74" t="n"/>
      <c r="V918" s="109" t="n"/>
      <c r="W918" s="109" t="n"/>
      <c r="X918" s="74" t="n"/>
      <c r="Y918" s="116">
        <f>IF(B918="","",IF(X918="Yes","Delivered",IF(U918="Yes",IF(AND(W918&lt;&gt;"",R918&lt;&gt;""),IF(W918&gt;R918,"⚠️ Delivery after install date","Ordered"),"Ordered"),IF(K918="",IF(T918="","Waiting for decision",IF(T918&lt;=AsOf+AlertDays,"Decide now","Waiting for decision")),IF(S918="","Selected",IF(AsOf&gt;S918,"⚠️ Order late — install at risk",IF(S918&lt;=AsOf+AlertDays,"Order now","Selected")))))))</f>
        <v/>
      </c>
      <c r="Z918" s="79">
        <f>IF(B918="","",IF(OR(AH918=1,AE918=1),2,IF(OR(AG918=1,AF918=1),1,IF(OR(Y918="Ordered",Y918="Delivered"),0,""))))</f>
        <v/>
      </c>
      <c r="AA918" s="112">
        <f>IF(B918="","",IF(AH918=1,IF(Y918="⚠️ Delivery after install date",R918,S918),IF(AD918=1,T918,IF(AI918=1,S918,""))))</f>
        <v/>
      </c>
      <c r="AB918" s="79">
        <f>IF(AA918="","",IF(AH918=1,1,IF(AA918="","",IF(AA918&lt;AsOf,1,IF(AA918&lt;=AsOf+AlertDays,2,IF(AA918&lt;=AsOf+2*AlertDays,3,""))))))</f>
        <v/>
      </c>
      <c r="AC918" s="79">
        <f>IF(AB918="","",IF(AH918=1,IF(Y918="⚠️ Delivery after install date","Delivery after install date: "&amp;B918,"Order late — install at risk: "&amp;B918),IF(AD918=1,IF(AB918=1,"Decision overdue: ","Decide: ")&amp;B918,"Order: "&amp;B918&amp;IF(N918="",""," from "&amp;N918))))</f>
        <v/>
      </c>
      <c r="AD918" s="79">
        <f>IF(AND(B918&lt;&gt;"",K918="",U918&lt;&gt;"Yes",X918&lt;&gt;"Yes"),1,0)</f>
        <v/>
      </c>
      <c r="AE918" s="79">
        <f>IF(AND(AD918=1,T918&lt;&gt;""),IF(T918&lt;AsOf,1,0),0)</f>
        <v/>
      </c>
      <c r="AF918" s="79">
        <f>IF(AND(AD918=1,T918&lt;&gt;""),IF(AND(T918&gt;=AsOf,T918&lt;=AsOf+AlertDays),1,0),0)</f>
        <v/>
      </c>
      <c r="AG918" s="79">
        <f>IF(Y918="Order now",1,0)</f>
        <v/>
      </c>
      <c r="AH918" s="79">
        <f>IF(OR(Y918="⚠️ Order late — install at risk",Y918="⚠️ Delivery after install date"),1,0)</f>
        <v/>
      </c>
      <c r="AI918" s="79">
        <f>IF(AND(B918&lt;&gt;"",K918&lt;&gt;"",U918&lt;&gt;"Yes",X918&lt;&gt;"Yes"),1,0)</f>
        <v/>
      </c>
      <c r="AJ918" s="79">
        <f>IF(Y918="⚠️ Order late — install at risk",1,0)</f>
        <v/>
      </c>
    </row>
    <row r="919" ht="20" customHeight="1">
      <c r="B919" s="72" t="n"/>
      <c r="C919" s="72" t="n"/>
      <c r="D919" s="72" t="n"/>
      <c r="E919" s="72" t="n"/>
      <c r="F919" s="73" t="n"/>
      <c r="G919" s="72" t="n"/>
      <c r="H919" s="73" t="n"/>
      <c r="I919" s="72" t="n"/>
      <c r="J919" s="73" t="n"/>
      <c r="K919" s="74" t="n"/>
      <c r="L919" s="75">
        <f>IF(K919="A",F919,IF(K919="B",H919,IF(K919="C",J919,"")))</f>
        <v/>
      </c>
      <c r="M919" s="72" t="n"/>
      <c r="N919" s="72" t="n"/>
      <c r="O919" s="89" t="n"/>
      <c r="P919" s="89" t="n"/>
      <c r="Q919" s="109" t="n"/>
      <c r="R919" s="120">
        <f>IF(B919="","",IF(Q919&lt;&gt;"",Q919,IF(P919="","",IFERROR(INDEX('Timeline'!$J$7:$J$1006,MATCH(P919,'Timeline'!$B$7:$B$1006,0)),""))))</f>
        <v/>
      </c>
      <c r="S919" s="126">
        <f>IF(R919="","",R919-IF(O919="",0,O919)-OrderBuf)</f>
        <v/>
      </c>
      <c r="T919" s="126">
        <f>IF(S919="","",S919-DecideBuf)</f>
        <v/>
      </c>
      <c r="U919" s="74" t="n"/>
      <c r="V919" s="109" t="n"/>
      <c r="W919" s="109" t="n"/>
      <c r="X919" s="74" t="n"/>
      <c r="Y919" s="116">
        <f>IF(B919="","",IF(X919="Yes","Delivered",IF(U919="Yes",IF(AND(W919&lt;&gt;"",R919&lt;&gt;""),IF(W919&gt;R919,"⚠️ Delivery after install date","Ordered"),"Ordered"),IF(K919="",IF(T919="","Waiting for decision",IF(T919&lt;=AsOf+AlertDays,"Decide now","Waiting for decision")),IF(S919="","Selected",IF(AsOf&gt;S919,"⚠️ Order late — install at risk",IF(S919&lt;=AsOf+AlertDays,"Order now","Selected")))))))</f>
        <v/>
      </c>
      <c r="Z919" s="79">
        <f>IF(B919="","",IF(OR(AH919=1,AE919=1),2,IF(OR(AG919=1,AF919=1),1,IF(OR(Y919="Ordered",Y919="Delivered"),0,""))))</f>
        <v/>
      </c>
      <c r="AA919" s="112">
        <f>IF(B919="","",IF(AH919=1,IF(Y919="⚠️ Delivery after install date",R919,S919),IF(AD919=1,T919,IF(AI919=1,S919,""))))</f>
        <v/>
      </c>
      <c r="AB919" s="79">
        <f>IF(AA919="","",IF(AH919=1,1,IF(AA919="","",IF(AA919&lt;AsOf,1,IF(AA919&lt;=AsOf+AlertDays,2,IF(AA919&lt;=AsOf+2*AlertDays,3,""))))))</f>
        <v/>
      </c>
      <c r="AC919" s="79">
        <f>IF(AB919="","",IF(AH919=1,IF(Y919="⚠️ Delivery after install date","Delivery after install date: "&amp;B919,"Order late — install at risk: "&amp;B919),IF(AD919=1,IF(AB919=1,"Decision overdue: ","Decide: ")&amp;B919,"Order: "&amp;B919&amp;IF(N919="",""," from "&amp;N919))))</f>
        <v/>
      </c>
      <c r="AD919" s="79">
        <f>IF(AND(B919&lt;&gt;"",K919="",U919&lt;&gt;"Yes",X919&lt;&gt;"Yes"),1,0)</f>
        <v/>
      </c>
      <c r="AE919" s="79">
        <f>IF(AND(AD919=1,T919&lt;&gt;""),IF(T919&lt;AsOf,1,0),0)</f>
        <v/>
      </c>
      <c r="AF919" s="79">
        <f>IF(AND(AD919=1,T919&lt;&gt;""),IF(AND(T919&gt;=AsOf,T919&lt;=AsOf+AlertDays),1,0),0)</f>
        <v/>
      </c>
      <c r="AG919" s="79">
        <f>IF(Y919="Order now",1,0)</f>
        <v/>
      </c>
      <c r="AH919" s="79">
        <f>IF(OR(Y919="⚠️ Order late — install at risk",Y919="⚠️ Delivery after install date"),1,0)</f>
        <v/>
      </c>
      <c r="AI919" s="79">
        <f>IF(AND(B919&lt;&gt;"",K919&lt;&gt;"",U919&lt;&gt;"Yes",X919&lt;&gt;"Yes"),1,0)</f>
        <v/>
      </c>
      <c r="AJ919" s="79">
        <f>IF(Y919="⚠️ Order late — install at risk",1,0)</f>
        <v/>
      </c>
    </row>
    <row r="920" ht="20" customHeight="1">
      <c r="B920" s="72" t="n"/>
      <c r="C920" s="72" t="n"/>
      <c r="D920" s="72" t="n"/>
      <c r="E920" s="72" t="n"/>
      <c r="F920" s="73" t="n"/>
      <c r="G920" s="72" t="n"/>
      <c r="H920" s="73" t="n"/>
      <c r="I920" s="72" t="n"/>
      <c r="J920" s="73" t="n"/>
      <c r="K920" s="74" t="n"/>
      <c r="L920" s="75">
        <f>IF(K920="A",F920,IF(K920="B",H920,IF(K920="C",J920,"")))</f>
        <v/>
      </c>
      <c r="M920" s="72" t="n"/>
      <c r="N920" s="72" t="n"/>
      <c r="O920" s="89" t="n"/>
      <c r="P920" s="89" t="n"/>
      <c r="Q920" s="109" t="n"/>
      <c r="R920" s="120">
        <f>IF(B920="","",IF(Q920&lt;&gt;"",Q920,IF(P920="","",IFERROR(INDEX('Timeline'!$J$7:$J$1006,MATCH(P920,'Timeline'!$B$7:$B$1006,0)),""))))</f>
        <v/>
      </c>
      <c r="S920" s="126">
        <f>IF(R920="","",R920-IF(O920="",0,O920)-OrderBuf)</f>
        <v/>
      </c>
      <c r="T920" s="126">
        <f>IF(S920="","",S920-DecideBuf)</f>
        <v/>
      </c>
      <c r="U920" s="74" t="n"/>
      <c r="V920" s="109" t="n"/>
      <c r="W920" s="109" t="n"/>
      <c r="X920" s="74" t="n"/>
      <c r="Y920" s="116">
        <f>IF(B920="","",IF(X920="Yes","Delivered",IF(U920="Yes",IF(AND(W920&lt;&gt;"",R920&lt;&gt;""),IF(W920&gt;R920,"⚠️ Delivery after install date","Ordered"),"Ordered"),IF(K920="",IF(T920="","Waiting for decision",IF(T920&lt;=AsOf+AlertDays,"Decide now","Waiting for decision")),IF(S920="","Selected",IF(AsOf&gt;S920,"⚠️ Order late — install at risk",IF(S920&lt;=AsOf+AlertDays,"Order now","Selected")))))))</f>
        <v/>
      </c>
      <c r="Z920" s="79">
        <f>IF(B920="","",IF(OR(AH920=1,AE920=1),2,IF(OR(AG920=1,AF920=1),1,IF(OR(Y920="Ordered",Y920="Delivered"),0,""))))</f>
        <v/>
      </c>
      <c r="AA920" s="112">
        <f>IF(B920="","",IF(AH920=1,IF(Y920="⚠️ Delivery after install date",R920,S920),IF(AD920=1,T920,IF(AI920=1,S920,""))))</f>
        <v/>
      </c>
      <c r="AB920" s="79">
        <f>IF(AA920="","",IF(AH920=1,1,IF(AA920="","",IF(AA920&lt;AsOf,1,IF(AA920&lt;=AsOf+AlertDays,2,IF(AA920&lt;=AsOf+2*AlertDays,3,""))))))</f>
        <v/>
      </c>
      <c r="AC920" s="79">
        <f>IF(AB920="","",IF(AH920=1,IF(Y920="⚠️ Delivery after install date","Delivery after install date: "&amp;B920,"Order late — install at risk: "&amp;B920),IF(AD920=1,IF(AB920=1,"Decision overdue: ","Decide: ")&amp;B920,"Order: "&amp;B920&amp;IF(N920="",""," from "&amp;N920))))</f>
        <v/>
      </c>
      <c r="AD920" s="79">
        <f>IF(AND(B920&lt;&gt;"",K920="",U920&lt;&gt;"Yes",X920&lt;&gt;"Yes"),1,0)</f>
        <v/>
      </c>
      <c r="AE920" s="79">
        <f>IF(AND(AD920=1,T920&lt;&gt;""),IF(T920&lt;AsOf,1,0),0)</f>
        <v/>
      </c>
      <c r="AF920" s="79">
        <f>IF(AND(AD920=1,T920&lt;&gt;""),IF(AND(T920&gt;=AsOf,T920&lt;=AsOf+AlertDays),1,0),0)</f>
        <v/>
      </c>
      <c r="AG920" s="79">
        <f>IF(Y920="Order now",1,0)</f>
        <v/>
      </c>
      <c r="AH920" s="79">
        <f>IF(OR(Y920="⚠️ Order late — install at risk",Y920="⚠️ Delivery after install date"),1,0)</f>
        <v/>
      </c>
      <c r="AI920" s="79">
        <f>IF(AND(B920&lt;&gt;"",K920&lt;&gt;"",U920&lt;&gt;"Yes",X920&lt;&gt;"Yes"),1,0)</f>
        <v/>
      </c>
      <c r="AJ920" s="79">
        <f>IF(Y920="⚠️ Order late — install at risk",1,0)</f>
        <v/>
      </c>
    </row>
    <row r="921" ht="20" customHeight="1">
      <c r="B921" s="72" t="n"/>
      <c r="C921" s="72" t="n"/>
      <c r="D921" s="72" t="n"/>
      <c r="E921" s="72" t="n"/>
      <c r="F921" s="73" t="n"/>
      <c r="G921" s="72" t="n"/>
      <c r="H921" s="73" t="n"/>
      <c r="I921" s="72" t="n"/>
      <c r="J921" s="73" t="n"/>
      <c r="K921" s="74" t="n"/>
      <c r="L921" s="75">
        <f>IF(K921="A",F921,IF(K921="B",H921,IF(K921="C",J921,"")))</f>
        <v/>
      </c>
      <c r="M921" s="72" t="n"/>
      <c r="N921" s="72" t="n"/>
      <c r="O921" s="89" t="n"/>
      <c r="P921" s="89" t="n"/>
      <c r="Q921" s="109" t="n"/>
      <c r="R921" s="120">
        <f>IF(B921="","",IF(Q921&lt;&gt;"",Q921,IF(P921="","",IFERROR(INDEX('Timeline'!$J$7:$J$1006,MATCH(P921,'Timeline'!$B$7:$B$1006,0)),""))))</f>
        <v/>
      </c>
      <c r="S921" s="126">
        <f>IF(R921="","",R921-IF(O921="",0,O921)-OrderBuf)</f>
        <v/>
      </c>
      <c r="T921" s="126">
        <f>IF(S921="","",S921-DecideBuf)</f>
        <v/>
      </c>
      <c r="U921" s="74" t="n"/>
      <c r="V921" s="109" t="n"/>
      <c r="W921" s="109" t="n"/>
      <c r="X921" s="74" t="n"/>
      <c r="Y921" s="116">
        <f>IF(B921="","",IF(X921="Yes","Delivered",IF(U921="Yes",IF(AND(W921&lt;&gt;"",R921&lt;&gt;""),IF(W921&gt;R921,"⚠️ Delivery after install date","Ordered"),"Ordered"),IF(K921="",IF(T921="","Waiting for decision",IF(T921&lt;=AsOf+AlertDays,"Decide now","Waiting for decision")),IF(S921="","Selected",IF(AsOf&gt;S921,"⚠️ Order late — install at risk",IF(S921&lt;=AsOf+AlertDays,"Order now","Selected")))))))</f>
        <v/>
      </c>
      <c r="Z921" s="79">
        <f>IF(B921="","",IF(OR(AH921=1,AE921=1),2,IF(OR(AG921=1,AF921=1),1,IF(OR(Y921="Ordered",Y921="Delivered"),0,""))))</f>
        <v/>
      </c>
      <c r="AA921" s="112">
        <f>IF(B921="","",IF(AH921=1,IF(Y921="⚠️ Delivery after install date",R921,S921),IF(AD921=1,T921,IF(AI921=1,S921,""))))</f>
        <v/>
      </c>
      <c r="AB921" s="79">
        <f>IF(AA921="","",IF(AH921=1,1,IF(AA921="","",IF(AA921&lt;AsOf,1,IF(AA921&lt;=AsOf+AlertDays,2,IF(AA921&lt;=AsOf+2*AlertDays,3,""))))))</f>
        <v/>
      </c>
      <c r="AC921" s="79">
        <f>IF(AB921="","",IF(AH921=1,IF(Y921="⚠️ Delivery after install date","Delivery after install date: "&amp;B921,"Order late — install at risk: "&amp;B921),IF(AD921=1,IF(AB921=1,"Decision overdue: ","Decide: ")&amp;B921,"Order: "&amp;B921&amp;IF(N921="",""," from "&amp;N921))))</f>
        <v/>
      </c>
      <c r="AD921" s="79">
        <f>IF(AND(B921&lt;&gt;"",K921="",U921&lt;&gt;"Yes",X921&lt;&gt;"Yes"),1,0)</f>
        <v/>
      </c>
      <c r="AE921" s="79">
        <f>IF(AND(AD921=1,T921&lt;&gt;""),IF(T921&lt;AsOf,1,0),0)</f>
        <v/>
      </c>
      <c r="AF921" s="79">
        <f>IF(AND(AD921=1,T921&lt;&gt;""),IF(AND(T921&gt;=AsOf,T921&lt;=AsOf+AlertDays),1,0),0)</f>
        <v/>
      </c>
      <c r="AG921" s="79">
        <f>IF(Y921="Order now",1,0)</f>
        <v/>
      </c>
      <c r="AH921" s="79">
        <f>IF(OR(Y921="⚠️ Order late — install at risk",Y921="⚠️ Delivery after install date"),1,0)</f>
        <v/>
      </c>
      <c r="AI921" s="79">
        <f>IF(AND(B921&lt;&gt;"",K921&lt;&gt;"",U921&lt;&gt;"Yes",X921&lt;&gt;"Yes"),1,0)</f>
        <v/>
      </c>
      <c r="AJ921" s="79">
        <f>IF(Y921="⚠️ Order late — install at risk",1,0)</f>
        <v/>
      </c>
    </row>
    <row r="922" ht="20" customHeight="1">
      <c r="B922" s="72" t="n"/>
      <c r="C922" s="72" t="n"/>
      <c r="D922" s="72" t="n"/>
      <c r="E922" s="72" t="n"/>
      <c r="F922" s="73" t="n"/>
      <c r="G922" s="72" t="n"/>
      <c r="H922" s="73" t="n"/>
      <c r="I922" s="72" t="n"/>
      <c r="J922" s="73" t="n"/>
      <c r="K922" s="74" t="n"/>
      <c r="L922" s="75">
        <f>IF(K922="A",F922,IF(K922="B",H922,IF(K922="C",J922,"")))</f>
        <v/>
      </c>
      <c r="M922" s="72" t="n"/>
      <c r="N922" s="72" t="n"/>
      <c r="O922" s="89" t="n"/>
      <c r="P922" s="89" t="n"/>
      <c r="Q922" s="109" t="n"/>
      <c r="R922" s="120">
        <f>IF(B922="","",IF(Q922&lt;&gt;"",Q922,IF(P922="","",IFERROR(INDEX('Timeline'!$J$7:$J$1006,MATCH(P922,'Timeline'!$B$7:$B$1006,0)),""))))</f>
        <v/>
      </c>
      <c r="S922" s="126">
        <f>IF(R922="","",R922-IF(O922="",0,O922)-OrderBuf)</f>
        <v/>
      </c>
      <c r="T922" s="126">
        <f>IF(S922="","",S922-DecideBuf)</f>
        <v/>
      </c>
      <c r="U922" s="74" t="n"/>
      <c r="V922" s="109" t="n"/>
      <c r="W922" s="109" t="n"/>
      <c r="X922" s="74" t="n"/>
      <c r="Y922" s="116">
        <f>IF(B922="","",IF(X922="Yes","Delivered",IF(U922="Yes",IF(AND(W922&lt;&gt;"",R922&lt;&gt;""),IF(W922&gt;R922,"⚠️ Delivery after install date","Ordered"),"Ordered"),IF(K922="",IF(T922="","Waiting for decision",IF(T922&lt;=AsOf+AlertDays,"Decide now","Waiting for decision")),IF(S922="","Selected",IF(AsOf&gt;S922,"⚠️ Order late — install at risk",IF(S922&lt;=AsOf+AlertDays,"Order now","Selected")))))))</f>
        <v/>
      </c>
      <c r="Z922" s="79">
        <f>IF(B922="","",IF(OR(AH922=1,AE922=1),2,IF(OR(AG922=1,AF922=1),1,IF(OR(Y922="Ordered",Y922="Delivered"),0,""))))</f>
        <v/>
      </c>
      <c r="AA922" s="112">
        <f>IF(B922="","",IF(AH922=1,IF(Y922="⚠️ Delivery after install date",R922,S922),IF(AD922=1,T922,IF(AI922=1,S922,""))))</f>
        <v/>
      </c>
      <c r="AB922" s="79">
        <f>IF(AA922="","",IF(AH922=1,1,IF(AA922="","",IF(AA922&lt;AsOf,1,IF(AA922&lt;=AsOf+AlertDays,2,IF(AA922&lt;=AsOf+2*AlertDays,3,""))))))</f>
        <v/>
      </c>
      <c r="AC922" s="79">
        <f>IF(AB922="","",IF(AH922=1,IF(Y922="⚠️ Delivery after install date","Delivery after install date: "&amp;B922,"Order late — install at risk: "&amp;B922),IF(AD922=1,IF(AB922=1,"Decision overdue: ","Decide: ")&amp;B922,"Order: "&amp;B922&amp;IF(N922="",""," from "&amp;N922))))</f>
        <v/>
      </c>
      <c r="AD922" s="79">
        <f>IF(AND(B922&lt;&gt;"",K922="",U922&lt;&gt;"Yes",X922&lt;&gt;"Yes"),1,0)</f>
        <v/>
      </c>
      <c r="AE922" s="79">
        <f>IF(AND(AD922=1,T922&lt;&gt;""),IF(T922&lt;AsOf,1,0),0)</f>
        <v/>
      </c>
      <c r="AF922" s="79">
        <f>IF(AND(AD922=1,T922&lt;&gt;""),IF(AND(T922&gt;=AsOf,T922&lt;=AsOf+AlertDays),1,0),0)</f>
        <v/>
      </c>
      <c r="AG922" s="79">
        <f>IF(Y922="Order now",1,0)</f>
        <v/>
      </c>
      <c r="AH922" s="79">
        <f>IF(OR(Y922="⚠️ Order late — install at risk",Y922="⚠️ Delivery after install date"),1,0)</f>
        <v/>
      </c>
      <c r="AI922" s="79">
        <f>IF(AND(B922&lt;&gt;"",K922&lt;&gt;"",U922&lt;&gt;"Yes",X922&lt;&gt;"Yes"),1,0)</f>
        <v/>
      </c>
      <c r="AJ922" s="79">
        <f>IF(Y922="⚠️ Order late — install at risk",1,0)</f>
        <v/>
      </c>
    </row>
    <row r="923" ht="20" customHeight="1">
      <c r="B923" s="72" t="n"/>
      <c r="C923" s="72" t="n"/>
      <c r="D923" s="72" t="n"/>
      <c r="E923" s="72" t="n"/>
      <c r="F923" s="73" t="n"/>
      <c r="G923" s="72" t="n"/>
      <c r="H923" s="73" t="n"/>
      <c r="I923" s="72" t="n"/>
      <c r="J923" s="73" t="n"/>
      <c r="K923" s="74" t="n"/>
      <c r="L923" s="75">
        <f>IF(K923="A",F923,IF(K923="B",H923,IF(K923="C",J923,"")))</f>
        <v/>
      </c>
      <c r="M923" s="72" t="n"/>
      <c r="N923" s="72" t="n"/>
      <c r="O923" s="89" t="n"/>
      <c r="P923" s="89" t="n"/>
      <c r="Q923" s="109" t="n"/>
      <c r="R923" s="120">
        <f>IF(B923="","",IF(Q923&lt;&gt;"",Q923,IF(P923="","",IFERROR(INDEX('Timeline'!$J$7:$J$1006,MATCH(P923,'Timeline'!$B$7:$B$1006,0)),""))))</f>
        <v/>
      </c>
      <c r="S923" s="126">
        <f>IF(R923="","",R923-IF(O923="",0,O923)-OrderBuf)</f>
        <v/>
      </c>
      <c r="T923" s="126">
        <f>IF(S923="","",S923-DecideBuf)</f>
        <v/>
      </c>
      <c r="U923" s="74" t="n"/>
      <c r="V923" s="109" t="n"/>
      <c r="W923" s="109" t="n"/>
      <c r="X923" s="74" t="n"/>
      <c r="Y923" s="116">
        <f>IF(B923="","",IF(X923="Yes","Delivered",IF(U923="Yes",IF(AND(W923&lt;&gt;"",R923&lt;&gt;""),IF(W923&gt;R923,"⚠️ Delivery after install date","Ordered"),"Ordered"),IF(K923="",IF(T923="","Waiting for decision",IF(T923&lt;=AsOf+AlertDays,"Decide now","Waiting for decision")),IF(S923="","Selected",IF(AsOf&gt;S923,"⚠️ Order late — install at risk",IF(S923&lt;=AsOf+AlertDays,"Order now","Selected")))))))</f>
        <v/>
      </c>
      <c r="Z923" s="79">
        <f>IF(B923="","",IF(OR(AH923=1,AE923=1),2,IF(OR(AG923=1,AF923=1),1,IF(OR(Y923="Ordered",Y923="Delivered"),0,""))))</f>
        <v/>
      </c>
      <c r="AA923" s="112">
        <f>IF(B923="","",IF(AH923=1,IF(Y923="⚠️ Delivery after install date",R923,S923),IF(AD923=1,T923,IF(AI923=1,S923,""))))</f>
        <v/>
      </c>
      <c r="AB923" s="79">
        <f>IF(AA923="","",IF(AH923=1,1,IF(AA923="","",IF(AA923&lt;AsOf,1,IF(AA923&lt;=AsOf+AlertDays,2,IF(AA923&lt;=AsOf+2*AlertDays,3,""))))))</f>
        <v/>
      </c>
      <c r="AC923" s="79">
        <f>IF(AB923="","",IF(AH923=1,IF(Y923="⚠️ Delivery after install date","Delivery after install date: "&amp;B923,"Order late — install at risk: "&amp;B923),IF(AD923=1,IF(AB923=1,"Decision overdue: ","Decide: ")&amp;B923,"Order: "&amp;B923&amp;IF(N923="",""," from "&amp;N923))))</f>
        <v/>
      </c>
      <c r="AD923" s="79">
        <f>IF(AND(B923&lt;&gt;"",K923="",U923&lt;&gt;"Yes",X923&lt;&gt;"Yes"),1,0)</f>
        <v/>
      </c>
      <c r="AE923" s="79">
        <f>IF(AND(AD923=1,T923&lt;&gt;""),IF(T923&lt;AsOf,1,0),0)</f>
        <v/>
      </c>
      <c r="AF923" s="79">
        <f>IF(AND(AD923=1,T923&lt;&gt;""),IF(AND(T923&gt;=AsOf,T923&lt;=AsOf+AlertDays),1,0),0)</f>
        <v/>
      </c>
      <c r="AG923" s="79">
        <f>IF(Y923="Order now",1,0)</f>
        <v/>
      </c>
      <c r="AH923" s="79">
        <f>IF(OR(Y923="⚠️ Order late — install at risk",Y923="⚠️ Delivery after install date"),1,0)</f>
        <v/>
      </c>
      <c r="AI923" s="79">
        <f>IF(AND(B923&lt;&gt;"",K923&lt;&gt;"",U923&lt;&gt;"Yes",X923&lt;&gt;"Yes"),1,0)</f>
        <v/>
      </c>
      <c r="AJ923" s="79">
        <f>IF(Y923="⚠️ Order late — install at risk",1,0)</f>
        <v/>
      </c>
    </row>
    <row r="924" ht="20" customHeight="1">
      <c r="B924" s="72" t="n"/>
      <c r="C924" s="72" t="n"/>
      <c r="D924" s="72" t="n"/>
      <c r="E924" s="72" t="n"/>
      <c r="F924" s="73" t="n"/>
      <c r="G924" s="72" t="n"/>
      <c r="H924" s="73" t="n"/>
      <c r="I924" s="72" t="n"/>
      <c r="J924" s="73" t="n"/>
      <c r="K924" s="74" t="n"/>
      <c r="L924" s="75">
        <f>IF(K924="A",F924,IF(K924="B",H924,IF(K924="C",J924,"")))</f>
        <v/>
      </c>
      <c r="M924" s="72" t="n"/>
      <c r="N924" s="72" t="n"/>
      <c r="O924" s="89" t="n"/>
      <c r="P924" s="89" t="n"/>
      <c r="Q924" s="109" t="n"/>
      <c r="R924" s="120">
        <f>IF(B924="","",IF(Q924&lt;&gt;"",Q924,IF(P924="","",IFERROR(INDEX('Timeline'!$J$7:$J$1006,MATCH(P924,'Timeline'!$B$7:$B$1006,0)),""))))</f>
        <v/>
      </c>
      <c r="S924" s="126">
        <f>IF(R924="","",R924-IF(O924="",0,O924)-OrderBuf)</f>
        <v/>
      </c>
      <c r="T924" s="126">
        <f>IF(S924="","",S924-DecideBuf)</f>
        <v/>
      </c>
      <c r="U924" s="74" t="n"/>
      <c r="V924" s="109" t="n"/>
      <c r="W924" s="109" t="n"/>
      <c r="X924" s="74" t="n"/>
      <c r="Y924" s="116">
        <f>IF(B924="","",IF(X924="Yes","Delivered",IF(U924="Yes",IF(AND(W924&lt;&gt;"",R924&lt;&gt;""),IF(W924&gt;R924,"⚠️ Delivery after install date","Ordered"),"Ordered"),IF(K924="",IF(T924="","Waiting for decision",IF(T924&lt;=AsOf+AlertDays,"Decide now","Waiting for decision")),IF(S924="","Selected",IF(AsOf&gt;S924,"⚠️ Order late — install at risk",IF(S924&lt;=AsOf+AlertDays,"Order now","Selected")))))))</f>
        <v/>
      </c>
      <c r="Z924" s="79">
        <f>IF(B924="","",IF(OR(AH924=1,AE924=1),2,IF(OR(AG924=1,AF924=1),1,IF(OR(Y924="Ordered",Y924="Delivered"),0,""))))</f>
        <v/>
      </c>
      <c r="AA924" s="112">
        <f>IF(B924="","",IF(AH924=1,IF(Y924="⚠️ Delivery after install date",R924,S924),IF(AD924=1,T924,IF(AI924=1,S924,""))))</f>
        <v/>
      </c>
      <c r="AB924" s="79">
        <f>IF(AA924="","",IF(AH924=1,1,IF(AA924="","",IF(AA924&lt;AsOf,1,IF(AA924&lt;=AsOf+AlertDays,2,IF(AA924&lt;=AsOf+2*AlertDays,3,""))))))</f>
        <v/>
      </c>
      <c r="AC924" s="79">
        <f>IF(AB924="","",IF(AH924=1,IF(Y924="⚠️ Delivery after install date","Delivery after install date: "&amp;B924,"Order late — install at risk: "&amp;B924),IF(AD924=1,IF(AB924=1,"Decision overdue: ","Decide: ")&amp;B924,"Order: "&amp;B924&amp;IF(N924="",""," from "&amp;N924))))</f>
        <v/>
      </c>
      <c r="AD924" s="79">
        <f>IF(AND(B924&lt;&gt;"",K924="",U924&lt;&gt;"Yes",X924&lt;&gt;"Yes"),1,0)</f>
        <v/>
      </c>
      <c r="AE924" s="79">
        <f>IF(AND(AD924=1,T924&lt;&gt;""),IF(T924&lt;AsOf,1,0),0)</f>
        <v/>
      </c>
      <c r="AF924" s="79">
        <f>IF(AND(AD924=1,T924&lt;&gt;""),IF(AND(T924&gt;=AsOf,T924&lt;=AsOf+AlertDays),1,0),0)</f>
        <v/>
      </c>
      <c r="AG924" s="79">
        <f>IF(Y924="Order now",1,0)</f>
        <v/>
      </c>
      <c r="AH924" s="79">
        <f>IF(OR(Y924="⚠️ Order late — install at risk",Y924="⚠️ Delivery after install date"),1,0)</f>
        <v/>
      </c>
      <c r="AI924" s="79">
        <f>IF(AND(B924&lt;&gt;"",K924&lt;&gt;"",U924&lt;&gt;"Yes",X924&lt;&gt;"Yes"),1,0)</f>
        <v/>
      </c>
      <c r="AJ924" s="79">
        <f>IF(Y924="⚠️ Order late — install at risk",1,0)</f>
        <v/>
      </c>
    </row>
    <row r="925" ht="20" customHeight="1">
      <c r="B925" s="72" t="n"/>
      <c r="C925" s="72" t="n"/>
      <c r="D925" s="72" t="n"/>
      <c r="E925" s="72" t="n"/>
      <c r="F925" s="73" t="n"/>
      <c r="G925" s="72" t="n"/>
      <c r="H925" s="73" t="n"/>
      <c r="I925" s="72" t="n"/>
      <c r="J925" s="73" t="n"/>
      <c r="K925" s="74" t="n"/>
      <c r="L925" s="75">
        <f>IF(K925="A",F925,IF(K925="B",H925,IF(K925="C",J925,"")))</f>
        <v/>
      </c>
      <c r="M925" s="72" t="n"/>
      <c r="N925" s="72" t="n"/>
      <c r="O925" s="89" t="n"/>
      <c r="P925" s="89" t="n"/>
      <c r="Q925" s="109" t="n"/>
      <c r="R925" s="120">
        <f>IF(B925="","",IF(Q925&lt;&gt;"",Q925,IF(P925="","",IFERROR(INDEX('Timeline'!$J$7:$J$1006,MATCH(P925,'Timeline'!$B$7:$B$1006,0)),""))))</f>
        <v/>
      </c>
      <c r="S925" s="126">
        <f>IF(R925="","",R925-IF(O925="",0,O925)-OrderBuf)</f>
        <v/>
      </c>
      <c r="T925" s="126">
        <f>IF(S925="","",S925-DecideBuf)</f>
        <v/>
      </c>
      <c r="U925" s="74" t="n"/>
      <c r="V925" s="109" t="n"/>
      <c r="W925" s="109" t="n"/>
      <c r="X925" s="74" t="n"/>
      <c r="Y925" s="116">
        <f>IF(B925="","",IF(X925="Yes","Delivered",IF(U925="Yes",IF(AND(W925&lt;&gt;"",R925&lt;&gt;""),IF(W925&gt;R925,"⚠️ Delivery after install date","Ordered"),"Ordered"),IF(K925="",IF(T925="","Waiting for decision",IF(T925&lt;=AsOf+AlertDays,"Decide now","Waiting for decision")),IF(S925="","Selected",IF(AsOf&gt;S925,"⚠️ Order late — install at risk",IF(S925&lt;=AsOf+AlertDays,"Order now","Selected")))))))</f>
        <v/>
      </c>
      <c r="Z925" s="79">
        <f>IF(B925="","",IF(OR(AH925=1,AE925=1),2,IF(OR(AG925=1,AF925=1),1,IF(OR(Y925="Ordered",Y925="Delivered"),0,""))))</f>
        <v/>
      </c>
      <c r="AA925" s="112">
        <f>IF(B925="","",IF(AH925=1,IF(Y925="⚠️ Delivery after install date",R925,S925),IF(AD925=1,T925,IF(AI925=1,S925,""))))</f>
        <v/>
      </c>
      <c r="AB925" s="79">
        <f>IF(AA925="","",IF(AH925=1,1,IF(AA925="","",IF(AA925&lt;AsOf,1,IF(AA925&lt;=AsOf+AlertDays,2,IF(AA925&lt;=AsOf+2*AlertDays,3,""))))))</f>
        <v/>
      </c>
      <c r="AC925" s="79">
        <f>IF(AB925="","",IF(AH925=1,IF(Y925="⚠️ Delivery after install date","Delivery after install date: "&amp;B925,"Order late — install at risk: "&amp;B925),IF(AD925=1,IF(AB925=1,"Decision overdue: ","Decide: ")&amp;B925,"Order: "&amp;B925&amp;IF(N925="",""," from "&amp;N925))))</f>
        <v/>
      </c>
      <c r="AD925" s="79">
        <f>IF(AND(B925&lt;&gt;"",K925="",U925&lt;&gt;"Yes",X925&lt;&gt;"Yes"),1,0)</f>
        <v/>
      </c>
      <c r="AE925" s="79">
        <f>IF(AND(AD925=1,T925&lt;&gt;""),IF(T925&lt;AsOf,1,0),0)</f>
        <v/>
      </c>
      <c r="AF925" s="79">
        <f>IF(AND(AD925=1,T925&lt;&gt;""),IF(AND(T925&gt;=AsOf,T925&lt;=AsOf+AlertDays),1,0),0)</f>
        <v/>
      </c>
      <c r="AG925" s="79">
        <f>IF(Y925="Order now",1,0)</f>
        <v/>
      </c>
      <c r="AH925" s="79">
        <f>IF(OR(Y925="⚠️ Order late — install at risk",Y925="⚠️ Delivery after install date"),1,0)</f>
        <v/>
      </c>
      <c r="AI925" s="79">
        <f>IF(AND(B925&lt;&gt;"",K925&lt;&gt;"",U925&lt;&gt;"Yes",X925&lt;&gt;"Yes"),1,0)</f>
        <v/>
      </c>
      <c r="AJ925" s="79">
        <f>IF(Y925="⚠️ Order late — install at risk",1,0)</f>
        <v/>
      </c>
    </row>
    <row r="926" ht="20" customHeight="1">
      <c r="B926" s="72" t="n"/>
      <c r="C926" s="72" t="n"/>
      <c r="D926" s="72" t="n"/>
      <c r="E926" s="72" t="n"/>
      <c r="F926" s="73" t="n"/>
      <c r="G926" s="72" t="n"/>
      <c r="H926" s="73" t="n"/>
      <c r="I926" s="72" t="n"/>
      <c r="J926" s="73" t="n"/>
      <c r="K926" s="74" t="n"/>
      <c r="L926" s="75">
        <f>IF(K926="A",F926,IF(K926="B",H926,IF(K926="C",J926,"")))</f>
        <v/>
      </c>
      <c r="M926" s="72" t="n"/>
      <c r="N926" s="72" t="n"/>
      <c r="O926" s="89" t="n"/>
      <c r="P926" s="89" t="n"/>
      <c r="Q926" s="109" t="n"/>
      <c r="R926" s="120">
        <f>IF(B926="","",IF(Q926&lt;&gt;"",Q926,IF(P926="","",IFERROR(INDEX('Timeline'!$J$7:$J$1006,MATCH(P926,'Timeline'!$B$7:$B$1006,0)),""))))</f>
        <v/>
      </c>
      <c r="S926" s="126">
        <f>IF(R926="","",R926-IF(O926="",0,O926)-OrderBuf)</f>
        <v/>
      </c>
      <c r="T926" s="126">
        <f>IF(S926="","",S926-DecideBuf)</f>
        <v/>
      </c>
      <c r="U926" s="74" t="n"/>
      <c r="V926" s="109" t="n"/>
      <c r="W926" s="109" t="n"/>
      <c r="X926" s="74" t="n"/>
      <c r="Y926" s="116">
        <f>IF(B926="","",IF(X926="Yes","Delivered",IF(U926="Yes",IF(AND(W926&lt;&gt;"",R926&lt;&gt;""),IF(W926&gt;R926,"⚠️ Delivery after install date","Ordered"),"Ordered"),IF(K926="",IF(T926="","Waiting for decision",IF(T926&lt;=AsOf+AlertDays,"Decide now","Waiting for decision")),IF(S926="","Selected",IF(AsOf&gt;S926,"⚠️ Order late — install at risk",IF(S926&lt;=AsOf+AlertDays,"Order now","Selected")))))))</f>
        <v/>
      </c>
      <c r="Z926" s="79">
        <f>IF(B926="","",IF(OR(AH926=1,AE926=1),2,IF(OR(AG926=1,AF926=1),1,IF(OR(Y926="Ordered",Y926="Delivered"),0,""))))</f>
        <v/>
      </c>
      <c r="AA926" s="112">
        <f>IF(B926="","",IF(AH926=1,IF(Y926="⚠️ Delivery after install date",R926,S926),IF(AD926=1,T926,IF(AI926=1,S926,""))))</f>
        <v/>
      </c>
      <c r="AB926" s="79">
        <f>IF(AA926="","",IF(AH926=1,1,IF(AA926="","",IF(AA926&lt;AsOf,1,IF(AA926&lt;=AsOf+AlertDays,2,IF(AA926&lt;=AsOf+2*AlertDays,3,""))))))</f>
        <v/>
      </c>
      <c r="AC926" s="79">
        <f>IF(AB926="","",IF(AH926=1,IF(Y926="⚠️ Delivery after install date","Delivery after install date: "&amp;B926,"Order late — install at risk: "&amp;B926),IF(AD926=1,IF(AB926=1,"Decision overdue: ","Decide: ")&amp;B926,"Order: "&amp;B926&amp;IF(N926="",""," from "&amp;N926))))</f>
        <v/>
      </c>
      <c r="AD926" s="79">
        <f>IF(AND(B926&lt;&gt;"",K926="",U926&lt;&gt;"Yes",X926&lt;&gt;"Yes"),1,0)</f>
        <v/>
      </c>
      <c r="AE926" s="79">
        <f>IF(AND(AD926=1,T926&lt;&gt;""),IF(T926&lt;AsOf,1,0),0)</f>
        <v/>
      </c>
      <c r="AF926" s="79">
        <f>IF(AND(AD926=1,T926&lt;&gt;""),IF(AND(T926&gt;=AsOf,T926&lt;=AsOf+AlertDays),1,0),0)</f>
        <v/>
      </c>
      <c r="AG926" s="79">
        <f>IF(Y926="Order now",1,0)</f>
        <v/>
      </c>
      <c r="AH926" s="79">
        <f>IF(OR(Y926="⚠️ Order late — install at risk",Y926="⚠️ Delivery after install date"),1,0)</f>
        <v/>
      </c>
      <c r="AI926" s="79">
        <f>IF(AND(B926&lt;&gt;"",K926&lt;&gt;"",U926&lt;&gt;"Yes",X926&lt;&gt;"Yes"),1,0)</f>
        <v/>
      </c>
      <c r="AJ926" s="79">
        <f>IF(Y926="⚠️ Order late — install at risk",1,0)</f>
        <v/>
      </c>
    </row>
    <row r="927" ht="20" customHeight="1">
      <c r="B927" s="72" t="n"/>
      <c r="C927" s="72" t="n"/>
      <c r="D927" s="72" t="n"/>
      <c r="E927" s="72" t="n"/>
      <c r="F927" s="73" t="n"/>
      <c r="G927" s="72" t="n"/>
      <c r="H927" s="73" t="n"/>
      <c r="I927" s="72" t="n"/>
      <c r="J927" s="73" t="n"/>
      <c r="K927" s="74" t="n"/>
      <c r="L927" s="75">
        <f>IF(K927="A",F927,IF(K927="B",H927,IF(K927="C",J927,"")))</f>
        <v/>
      </c>
      <c r="M927" s="72" t="n"/>
      <c r="N927" s="72" t="n"/>
      <c r="O927" s="89" t="n"/>
      <c r="P927" s="89" t="n"/>
      <c r="Q927" s="109" t="n"/>
      <c r="R927" s="120">
        <f>IF(B927="","",IF(Q927&lt;&gt;"",Q927,IF(P927="","",IFERROR(INDEX('Timeline'!$J$7:$J$1006,MATCH(P927,'Timeline'!$B$7:$B$1006,0)),""))))</f>
        <v/>
      </c>
      <c r="S927" s="126">
        <f>IF(R927="","",R927-IF(O927="",0,O927)-OrderBuf)</f>
        <v/>
      </c>
      <c r="T927" s="126">
        <f>IF(S927="","",S927-DecideBuf)</f>
        <v/>
      </c>
      <c r="U927" s="74" t="n"/>
      <c r="V927" s="109" t="n"/>
      <c r="W927" s="109" t="n"/>
      <c r="X927" s="74" t="n"/>
      <c r="Y927" s="116">
        <f>IF(B927="","",IF(X927="Yes","Delivered",IF(U927="Yes",IF(AND(W927&lt;&gt;"",R927&lt;&gt;""),IF(W927&gt;R927,"⚠️ Delivery after install date","Ordered"),"Ordered"),IF(K927="",IF(T927="","Waiting for decision",IF(T927&lt;=AsOf+AlertDays,"Decide now","Waiting for decision")),IF(S927="","Selected",IF(AsOf&gt;S927,"⚠️ Order late — install at risk",IF(S927&lt;=AsOf+AlertDays,"Order now","Selected")))))))</f>
        <v/>
      </c>
      <c r="Z927" s="79">
        <f>IF(B927="","",IF(OR(AH927=1,AE927=1),2,IF(OR(AG927=1,AF927=1),1,IF(OR(Y927="Ordered",Y927="Delivered"),0,""))))</f>
        <v/>
      </c>
      <c r="AA927" s="112">
        <f>IF(B927="","",IF(AH927=1,IF(Y927="⚠️ Delivery after install date",R927,S927),IF(AD927=1,T927,IF(AI927=1,S927,""))))</f>
        <v/>
      </c>
      <c r="AB927" s="79">
        <f>IF(AA927="","",IF(AH927=1,1,IF(AA927="","",IF(AA927&lt;AsOf,1,IF(AA927&lt;=AsOf+AlertDays,2,IF(AA927&lt;=AsOf+2*AlertDays,3,""))))))</f>
        <v/>
      </c>
      <c r="AC927" s="79">
        <f>IF(AB927="","",IF(AH927=1,IF(Y927="⚠️ Delivery after install date","Delivery after install date: "&amp;B927,"Order late — install at risk: "&amp;B927),IF(AD927=1,IF(AB927=1,"Decision overdue: ","Decide: ")&amp;B927,"Order: "&amp;B927&amp;IF(N927="",""," from "&amp;N927))))</f>
        <v/>
      </c>
      <c r="AD927" s="79">
        <f>IF(AND(B927&lt;&gt;"",K927="",U927&lt;&gt;"Yes",X927&lt;&gt;"Yes"),1,0)</f>
        <v/>
      </c>
      <c r="AE927" s="79">
        <f>IF(AND(AD927=1,T927&lt;&gt;""),IF(T927&lt;AsOf,1,0),0)</f>
        <v/>
      </c>
      <c r="AF927" s="79">
        <f>IF(AND(AD927=1,T927&lt;&gt;""),IF(AND(T927&gt;=AsOf,T927&lt;=AsOf+AlertDays),1,0),0)</f>
        <v/>
      </c>
      <c r="AG927" s="79">
        <f>IF(Y927="Order now",1,0)</f>
        <v/>
      </c>
      <c r="AH927" s="79">
        <f>IF(OR(Y927="⚠️ Order late — install at risk",Y927="⚠️ Delivery after install date"),1,0)</f>
        <v/>
      </c>
      <c r="AI927" s="79">
        <f>IF(AND(B927&lt;&gt;"",K927&lt;&gt;"",U927&lt;&gt;"Yes",X927&lt;&gt;"Yes"),1,0)</f>
        <v/>
      </c>
      <c r="AJ927" s="79">
        <f>IF(Y927="⚠️ Order late — install at risk",1,0)</f>
        <v/>
      </c>
    </row>
    <row r="928" ht="20" customHeight="1">
      <c r="B928" s="72" t="n"/>
      <c r="C928" s="72" t="n"/>
      <c r="D928" s="72" t="n"/>
      <c r="E928" s="72" t="n"/>
      <c r="F928" s="73" t="n"/>
      <c r="G928" s="72" t="n"/>
      <c r="H928" s="73" t="n"/>
      <c r="I928" s="72" t="n"/>
      <c r="J928" s="73" t="n"/>
      <c r="K928" s="74" t="n"/>
      <c r="L928" s="75">
        <f>IF(K928="A",F928,IF(K928="B",H928,IF(K928="C",J928,"")))</f>
        <v/>
      </c>
      <c r="M928" s="72" t="n"/>
      <c r="N928" s="72" t="n"/>
      <c r="O928" s="89" t="n"/>
      <c r="P928" s="89" t="n"/>
      <c r="Q928" s="109" t="n"/>
      <c r="R928" s="120">
        <f>IF(B928="","",IF(Q928&lt;&gt;"",Q928,IF(P928="","",IFERROR(INDEX('Timeline'!$J$7:$J$1006,MATCH(P928,'Timeline'!$B$7:$B$1006,0)),""))))</f>
        <v/>
      </c>
      <c r="S928" s="126">
        <f>IF(R928="","",R928-IF(O928="",0,O928)-OrderBuf)</f>
        <v/>
      </c>
      <c r="T928" s="126">
        <f>IF(S928="","",S928-DecideBuf)</f>
        <v/>
      </c>
      <c r="U928" s="74" t="n"/>
      <c r="V928" s="109" t="n"/>
      <c r="W928" s="109" t="n"/>
      <c r="X928" s="74" t="n"/>
      <c r="Y928" s="116">
        <f>IF(B928="","",IF(X928="Yes","Delivered",IF(U928="Yes",IF(AND(W928&lt;&gt;"",R928&lt;&gt;""),IF(W928&gt;R928,"⚠️ Delivery after install date","Ordered"),"Ordered"),IF(K928="",IF(T928="","Waiting for decision",IF(T928&lt;=AsOf+AlertDays,"Decide now","Waiting for decision")),IF(S928="","Selected",IF(AsOf&gt;S928,"⚠️ Order late — install at risk",IF(S928&lt;=AsOf+AlertDays,"Order now","Selected")))))))</f>
        <v/>
      </c>
      <c r="Z928" s="79">
        <f>IF(B928="","",IF(OR(AH928=1,AE928=1),2,IF(OR(AG928=1,AF928=1),1,IF(OR(Y928="Ordered",Y928="Delivered"),0,""))))</f>
        <v/>
      </c>
      <c r="AA928" s="112">
        <f>IF(B928="","",IF(AH928=1,IF(Y928="⚠️ Delivery after install date",R928,S928),IF(AD928=1,T928,IF(AI928=1,S928,""))))</f>
        <v/>
      </c>
      <c r="AB928" s="79">
        <f>IF(AA928="","",IF(AH928=1,1,IF(AA928="","",IF(AA928&lt;AsOf,1,IF(AA928&lt;=AsOf+AlertDays,2,IF(AA928&lt;=AsOf+2*AlertDays,3,""))))))</f>
        <v/>
      </c>
      <c r="AC928" s="79">
        <f>IF(AB928="","",IF(AH928=1,IF(Y928="⚠️ Delivery after install date","Delivery after install date: "&amp;B928,"Order late — install at risk: "&amp;B928),IF(AD928=1,IF(AB928=1,"Decision overdue: ","Decide: ")&amp;B928,"Order: "&amp;B928&amp;IF(N928="",""," from "&amp;N928))))</f>
        <v/>
      </c>
      <c r="AD928" s="79">
        <f>IF(AND(B928&lt;&gt;"",K928="",U928&lt;&gt;"Yes",X928&lt;&gt;"Yes"),1,0)</f>
        <v/>
      </c>
      <c r="AE928" s="79">
        <f>IF(AND(AD928=1,T928&lt;&gt;""),IF(T928&lt;AsOf,1,0),0)</f>
        <v/>
      </c>
      <c r="AF928" s="79">
        <f>IF(AND(AD928=1,T928&lt;&gt;""),IF(AND(T928&gt;=AsOf,T928&lt;=AsOf+AlertDays),1,0),0)</f>
        <v/>
      </c>
      <c r="AG928" s="79">
        <f>IF(Y928="Order now",1,0)</f>
        <v/>
      </c>
      <c r="AH928" s="79">
        <f>IF(OR(Y928="⚠️ Order late — install at risk",Y928="⚠️ Delivery after install date"),1,0)</f>
        <v/>
      </c>
      <c r="AI928" s="79">
        <f>IF(AND(B928&lt;&gt;"",K928&lt;&gt;"",U928&lt;&gt;"Yes",X928&lt;&gt;"Yes"),1,0)</f>
        <v/>
      </c>
      <c r="AJ928" s="79">
        <f>IF(Y928="⚠️ Order late — install at risk",1,0)</f>
        <v/>
      </c>
    </row>
    <row r="929" ht="20" customHeight="1">
      <c r="B929" s="72" t="n"/>
      <c r="C929" s="72" t="n"/>
      <c r="D929" s="72" t="n"/>
      <c r="E929" s="72" t="n"/>
      <c r="F929" s="73" t="n"/>
      <c r="G929" s="72" t="n"/>
      <c r="H929" s="73" t="n"/>
      <c r="I929" s="72" t="n"/>
      <c r="J929" s="73" t="n"/>
      <c r="K929" s="74" t="n"/>
      <c r="L929" s="75">
        <f>IF(K929="A",F929,IF(K929="B",H929,IF(K929="C",J929,"")))</f>
        <v/>
      </c>
      <c r="M929" s="72" t="n"/>
      <c r="N929" s="72" t="n"/>
      <c r="O929" s="89" t="n"/>
      <c r="P929" s="89" t="n"/>
      <c r="Q929" s="109" t="n"/>
      <c r="R929" s="120">
        <f>IF(B929="","",IF(Q929&lt;&gt;"",Q929,IF(P929="","",IFERROR(INDEX('Timeline'!$J$7:$J$1006,MATCH(P929,'Timeline'!$B$7:$B$1006,0)),""))))</f>
        <v/>
      </c>
      <c r="S929" s="126">
        <f>IF(R929="","",R929-IF(O929="",0,O929)-OrderBuf)</f>
        <v/>
      </c>
      <c r="T929" s="126">
        <f>IF(S929="","",S929-DecideBuf)</f>
        <v/>
      </c>
      <c r="U929" s="74" t="n"/>
      <c r="V929" s="109" t="n"/>
      <c r="W929" s="109" t="n"/>
      <c r="X929" s="74" t="n"/>
      <c r="Y929" s="116">
        <f>IF(B929="","",IF(X929="Yes","Delivered",IF(U929="Yes",IF(AND(W929&lt;&gt;"",R929&lt;&gt;""),IF(W929&gt;R929,"⚠️ Delivery after install date","Ordered"),"Ordered"),IF(K929="",IF(T929="","Waiting for decision",IF(T929&lt;=AsOf+AlertDays,"Decide now","Waiting for decision")),IF(S929="","Selected",IF(AsOf&gt;S929,"⚠️ Order late — install at risk",IF(S929&lt;=AsOf+AlertDays,"Order now","Selected")))))))</f>
        <v/>
      </c>
      <c r="Z929" s="79">
        <f>IF(B929="","",IF(OR(AH929=1,AE929=1),2,IF(OR(AG929=1,AF929=1),1,IF(OR(Y929="Ordered",Y929="Delivered"),0,""))))</f>
        <v/>
      </c>
      <c r="AA929" s="112">
        <f>IF(B929="","",IF(AH929=1,IF(Y929="⚠️ Delivery after install date",R929,S929),IF(AD929=1,T929,IF(AI929=1,S929,""))))</f>
        <v/>
      </c>
      <c r="AB929" s="79">
        <f>IF(AA929="","",IF(AH929=1,1,IF(AA929="","",IF(AA929&lt;AsOf,1,IF(AA929&lt;=AsOf+AlertDays,2,IF(AA929&lt;=AsOf+2*AlertDays,3,""))))))</f>
        <v/>
      </c>
      <c r="AC929" s="79">
        <f>IF(AB929="","",IF(AH929=1,IF(Y929="⚠️ Delivery after install date","Delivery after install date: "&amp;B929,"Order late — install at risk: "&amp;B929),IF(AD929=1,IF(AB929=1,"Decision overdue: ","Decide: ")&amp;B929,"Order: "&amp;B929&amp;IF(N929="",""," from "&amp;N929))))</f>
        <v/>
      </c>
      <c r="AD929" s="79">
        <f>IF(AND(B929&lt;&gt;"",K929="",U929&lt;&gt;"Yes",X929&lt;&gt;"Yes"),1,0)</f>
        <v/>
      </c>
      <c r="AE929" s="79">
        <f>IF(AND(AD929=1,T929&lt;&gt;""),IF(T929&lt;AsOf,1,0),0)</f>
        <v/>
      </c>
      <c r="AF929" s="79">
        <f>IF(AND(AD929=1,T929&lt;&gt;""),IF(AND(T929&gt;=AsOf,T929&lt;=AsOf+AlertDays),1,0),0)</f>
        <v/>
      </c>
      <c r="AG929" s="79">
        <f>IF(Y929="Order now",1,0)</f>
        <v/>
      </c>
      <c r="AH929" s="79">
        <f>IF(OR(Y929="⚠️ Order late — install at risk",Y929="⚠️ Delivery after install date"),1,0)</f>
        <v/>
      </c>
      <c r="AI929" s="79">
        <f>IF(AND(B929&lt;&gt;"",K929&lt;&gt;"",U929&lt;&gt;"Yes",X929&lt;&gt;"Yes"),1,0)</f>
        <v/>
      </c>
      <c r="AJ929" s="79">
        <f>IF(Y929="⚠️ Order late — install at risk",1,0)</f>
        <v/>
      </c>
    </row>
    <row r="930" ht="20" customHeight="1">
      <c r="B930" s="72" t="n"/>
      <c r="C930" s="72" t="n"/>
      <c r="D930" s="72" t="n"/>
      <c r="E930" s="72" t="n"/>
      <c r="F930" s="73" t="n"/>
      <c r="G930" s="72" t="n"/>
      <c r="H930" s="73" t="n"/>
      <c r="I930" s="72" t="n"/>
      <c r="J930" s="73" t="n"/>
      <c r="K930" s="74" t="n"/>
      <c r="L930" s="75">
        <f>IF(K930="A",F930,IF(K930="B",H930,IF(K930="C",J930,"")))</f>
        <v/>
      </c>
      <c r="M930" s="72" t="n"/>
      <c r="N930" s="72" t="n"/>
      <c r="O930" s="89" t="n"/>
      <c r="P930" s="89" t="n"/>
      <c r="Q930" s="109" t="n"/>
      <c r="R930" s="120">
        <f>IF(B930="","",IF(Q930&lt;&gt;"",Q930,IF(P930="","",IFERROR(INDEX('Timeline'!$J$7:$J$1006,MATCH(P930,'Timeline'!$B$7:$B$1006,0)),""))))</f>
        <v/>
      </c>
      <c r="S930" s="126">
        <f>IF(R930="","",R930-IF(O930="",0,O930)-OrderBuf)</f>
        <v/>
      </c>
      <c r="T930" s="126">
        <f>IF(S930="","",S930-DecideBuf)</f>
        <v/>
      </c>
      <c r="U930" s="74" t="n"/>
      <c r="V930" s="109" t="n"/>
      <c r="W930" s="109" t="n"/>
      <c r="X930" s="74" t="n"/>
      <c r="Y930" s="116">
        <f>IF(B930="","",IF(X930="Yes","Delivered",IF(U930="Yes",IF(AND(W930&lt;&gt;"",R930&lt;&gt;""),IF(W930&gt;R930,"⚠️ Delivery after install date","Ordered"),"Ordered"),IF(K930="",IF(T930="","Waiting for decision",IF(T930&lt;=AsOf+AlertDays,"Decide now","Waiting for decision")),IF(S930="","Selected",IF(AsOf&gt;S930,"⚠️ Order late — install at risk",IF(S930&lt;=AsOf+AlertDays,"Order now","Selected")))))))</f>
        <v/>
      </c>
      <c r="Z930" s="79">
        <f>IF(B930="","",IF(OR(AH930=1,AE930=1),2,IF(OR(AG930=1,AF930=1),1,IF(OR(Y930="Ordered",Y930="Delivered"),0,""))))</f>
        <v/>
      </c>
      <c r="AA930" s="112">
        <f>IF(B930="","",IF(AH930=1,IF(Y930="⚠️ Delivery after install date",R930,S930),IF(AD930=1,T930,IF(AI930=1,S930,""))))</f>
        <v/>
      </c>
      <c r="AB930" s="79">
        <f>IF(AA930="","",IF(AH930=1,1,IF(AA930="","",IF(AA930&lt;AsOf,1,IF(AA930&lt;=AsOf+AlertDays,2,IF(AA930&lt;=AsOf+2*AlertDays,3,""))))))</f>
        <v/>
      </c>
      <c r="AC930" s="79">
        <f>IF(AB930="","",IF(AH930=1,IF(Y930="⚠️ Delivery after install date","Delivery after install date: "&amp;B930,"Order late — install at risk: "&amp;B930),IF(AD930=1,IF(AB930=1,"Decision overdue: ","Decide: ")&amp;B930,"Order: "&amp;B930&amp;IF(N930="",""," from "&amp;N930))))</f>
        <v/>
      </c>
      <c r="AD930" s="79">
        <f>IF(AND(B930&lt;&gt;"",K930="",U930&lt;&gt;"Yes",X930&lt;&gt;"Yes"),1,0)</f>
        <v/>
      </c>
      <c r="AE930" s="79">
        <f>IF(AND(AD930=1,T930&lt;&gt;""),IF(T930&lt;AsOf,1,0),0)</f>
        <v/>
      </c>
      <c r="AF930" s="79">
        <f>IF(AND(AD930=1,T930&lt;&gt;""),IF(AND(T930&gt;=AsOf,T930&lt;=AsOf+AlertDays),1,0),0)</f>
        <v/>
      </c>
      <c r="AG930" s="79">
        <f>IF(Y930="Order now",1,0)</f>
        <v/>
      </c>
      <c r="AH930" s="79">
        <f>IF(OR(Y930="⚠️ Order late — install at risk",Y930="⚠️ Delivery after install date"),1,0)</f>
        <v/>
      </c>
      <c r="AI930" s="79">
        <f>IF(AND(B930&lt;&gt;"",K930&lt;&gt;"",U930&lt;&gt;"Yes",X930&lt;&gt;"Yes"),1,0)</f>
        <v/>
      </c>
      <c r="AJ930" s="79">
        <f>IF(Y930="⚠️ Order late — install at risk",1,0)</f>
        <v/>
      </c>
    </row>
    <row r="931" ht="20" customHeight="1">
      <c r="B931" s="72" t="n"/>
      <c r="C931" s="72" t="n"/>
      <c r="D931" s="72" t="n"/>
      <c r="E931" s="72" t="n"/>
      <c r="F931" s="73" t="n"/>
      <c r="G931" s="72" t="n"/>
      <c r="H931" s="73" t="n"/>
      <c r="I931" s="72" t="n"/>
      <c r="J931" s="73" t="n"/>
      <c r="K931" s="74" t="n"/>
      <c r="L931" s="75">
        <f>IF(K931="A",F931,IF(K931="B",H931,IF(K931="C",J931,"")))</f>
        <v/>
      </c>
      <c r="M931" s="72" t="n"/>
      <c r="N931" s="72" t="n"/>
      <c r="O931" s="89" t="n"/>
      <c r="P931" s="89" t="n"/>
      <c r="Q931" s="109" t="n"/>
      <c r="R931" s="120">
        <f>IF(B931="","",IF(Q931&lt;&gt;"",Q931,IF(P931="","",IFERROR(INDEX('Timeline'!$J$7:$J$1006,MATCH(P931,'Timeline'!$B$7:$B$1006,0)),""))))</f>
        <v/>
      </c>
      <c r="S931" s="126">
        <f>IF(R931="","",R931-IF(O931="",0,O931)-OrderBuf)</f>
        <v/>
      </c>
      <c r="T931" s="126">
        <f>IF(S931="","",S931-DecideBuf)</f>
        <v/>
      </c>
      <c r="U931" s="74" t="n"/>
      <c r="V931" s="109" t="n"/>
      <c r="W931" s="109" t="n"/>
      <c r="X931" s="74" t="n"/>
      <c r="Y931" s="116">
        <f>IF(B931="","",IF(X931="Yes","Delivered",IF(U931="Yes",IF(AND(W931&lt;&gt;"",R931&lt;&gt;""),IF(W931&gt;R931,"⚠️ Delivery after install date","Ordered"),"Ordered"),IF(K931="",IF(T931="","Waiting for decision",IF(T931&lt;=AsOf+AlertDays,"Decide now","Waiting for decision")),IF(S931="","Selected",IF(AsOf&gt;S931,"⚠️ Order late — install at risk",IF(S931&lt;=AsOf+AlertDays,"Order now","Selected")))))))</f>
        <v/>
      </c>
      <c r="Z931" s="79">
        <f>IF(B931="","",IF(OR(AH931=1,AE931=1),2,IF(OR(AG931=1,AF931=1),1,IF(OR(Y931="Ordered",Y931="Delivered"),0,""))))</f>
        <v/>
      </c>
      <c r="AA931" s="112">
        <f>IF(B931="","",IF(AH931=1,IF(Y931="⚠️ Delivery after install date",R931,S931),IF(AD931=1,T931,IF(AI931=1,S931,""))))</f>
        <v/>
      </c>
      <c r="AB931" s="79">
        <f>IF(AA931="","",IF(AH931=1,1,IF(AA931="","",IF(AA931&lt;AsOf,1,IF(AA931&lt;=AsOf+AlertDays,2,IF(AA931&lt;=AsOf+2*AlertDays,3,""))))))</f>
        <v/>
      </c>
      <c r="AC931" s="79">
        <f>IF(AB931="","",IF(AH931=1,IF(Y931="⚠️ Delivery after install date","Delivery after install date: "&amp;B931,"Order late — install at risk: "&amp;B931),IF(AD931=1,IF(AB931=1,"Decision overdue: ","Decide: ")&amp;B931,"Order: "&amp;B931&amp;IF(N931="",""," from "&amp;N931))))</f>
        <v/>
      </c>
      <c r="AD931" s="79">
        <f>IF(AND(B931&lt;&gt;"",K931="",U931&lt;&gt;"Yes",X931&lt;&gt;"Yes"),1,0)</f>
        <v/>
      </c>
      <c r="AE931" s="79">
        <f>IF(AND(AD931=1,T931&lt;&gt;""),IF(T931&lt;AsOf,1,0),0)</f>
        <v/>
      </c>
      <c r="AF931" s="79">
        <f>IF(AND(AD931=1,T931&lt;&gt;""),IF(AND(T931&gt;=AsOf,T931&lt;=AsOf+AlertDays),1,0),0)</f>
        <v/>
      </c>
      <c r="AG931" s="79">
        <f>IF(Y931="Order now",1,0)</f>
        <v/>
      </c>
      <c r="AH931" s="79">
        <f>IF(OR(Y931="⚠️ Order late — install at risk",Y931="⚠️ Delivery after install date"),1,0)</f>
        <v/>
      </c>
      <c r="AI931" s="79">
        <f>IF(AND(B931&lt;&gt;"",K931&lt;&gt;"",U931&lt;&gt;"Yes",X931&lt;&gt;"Yes"),1,0)</f>
        <v/>
      </c>
      <c r="AJ931" s="79">
        <f>IF(Y931="⚠️ Order late — install at risk",1,0)</f>
        <v/>
      </c>
    </row>
    <row r="932" ht="20" customHeight="1">
      <c r="B932" s="72" t="n"/>
      <c r="C932" s="72" t="n"/>
      <c r="D932" s="72" t="n"/>
      <c r="E932" s="72" t="n"/>
      <c r="F932" s="73" t="n"/>
      <c r="G932" s="72" t="n"/>
      <c r="H932" s="73" t="n"/>
      <c r="I932" s="72" t="n"/>
      <c r="J932" s="73" t="n"/>
      <c r="K932" s="74" t="n"/>
      <c r="L932" s="75">
        <f>IF(K932="A",F932,IF(K932="B",H932,IF(K932="C",J932,"")))</f>
        <v/>
      </c>
      <c r="M932" s="72" t="n"/>
      <c r="N932" s="72" t="n"/>
      <c r="O932" s="89" t="n"/>
      <c r="P932" s="89" t="n"/>
      <c r="Q932" s="109" t="n"/>
      <c r="R932" s="120">
        <f>IF(B932="","",IF(Q932&lt;&gt;"",Q932,IF(P932="","",IFERROR(INDEX('Timeline'!$J$7:$J$1006,MATCH(P932,'Timeline'!$B$7:$B$1006,0)),""))))</f>
        <v/>
      </c>
      <c r="S932" s="126">
        <f>IF(R932="","",R932-IF(O932="",0,O932)-OrderBuf)</f>
        <v/>
      </c>
      <c r="T932" s="126">
        <f>IF(S932="","",S932-DecideBuf)</f>
        <v/>
      </c>
      <c r="U932" s="74" t="n"/>
      <c r="V932" s="109" t="n"/>
      <c r="W932" s="109" t="n"/>
      <c r="X932" s="74" t="n"/>
      <c r="Y932" s="116">
        <f>IF(B932="","",IF(X932="Yes","Delivered",IF(U932="Yes",IF(AND(W932&lt;&gt;"",R932&lt;&gt;""),IF(W932&gt;R932,"⚠️ Delivery after install date","Ordered"),"Ordered"),IF(K932="",IF(T932="","Waiting for decision",IF(T932&lt;=AsOf+AlertDays,"Decide now","Waiting for decision")),IF(S932="","Selected",IF(AsOf&gt;S932,"⚠️ Order late — install at risk",IF(S932&lt;=AsOf+AlertDays,"Order now","Selected")))))))</f>
        <v/>
      </c>
      <c r="Z932" s="79">
        <f>IF(B932="","",IF(OR(AH932=1,AE932=1),2,IF(OR(AG932=1,AF932=1),1,IF(OR(Y932="Ordered",Y932="Delivered"),0,""))))</f>
        <v/>
      </c>
      <c r="AA932" s="112">
        <f>IF(B932="","",IF(AH932=1,IF(Y932="⚠️ Delivery after install date",R932,S932),IF(AD932=1,T932,IF(AI932=1,S932,""))))</f>
        <v/>
      </c>
      <c r="AB932" s="79">
        <f>IF(AA932="","",IF(AH932=1,1,IF(AA932="","",IF(AA932&lt;AsOf,1,IF(AA932&lt;=AsOf+AlertDays,2,IF(AA932&lt;=AsOf+2*AlertDays,3,""))))))</f>
        <v/>
      </c>
      <c r="AC932" s="79">
        <f>IF(AB932="","",IF(AH932=1,IF(Y932="⚠️ Delivery after install date","Delivery after install date: "&amp;B932,"Order late — install at risk: "&amp;B932),IF(AD932=1,IF(AB932=1,"Decision overdue: ","Decide: ")&amp;B932,"Order: "&amp;B932&amp;IF(N932="",""," from "&amp;N932))))</f>
        <v/>
      </c>
      <c r="AD932" s="79">
        <f>IF(AND(B932&lt;&gt;"",K932="",U932&lt;&gt;"Yes",X932&lt;&gt;"Yes"),1,0)</f>
        <v/>
      </c>
      <c r="AE932" s="79">
        <f>IF(AND(AD932=1,T932&lt;&gt;""),IF(T932&lt;AsOf,1,0),0)</f>
        <v/>
      </c>
      <c r="AF932" s="79">
        <f>IF(AND(AD932=1,T932&lt;&gt;""),IF(AND(T932&gt;=AsOf,T932&lt;=AsOf+AlertDays),1,0),0)</f>
        <v/>
      </c>
      <c r="AG932" s="79">
        <f>IF(Y932="Order now",1,0)</f>
        <v/>
      </c>
      <c r="AH932" s="79">
        <f>IF(OR(Y932="⚠️ Order late — install at risk",Y932="⚠️ Delivery after install date"),1,0)</f>
        <v/>
      </c>
      <c r="AI932" s="79">
        <f>IF(AND(B932&lt;&gt;"",K932&lt;&gt;"",U932&lt;&gt;"Yes",X932&lt;&gt;"Yes"),1,0)</f>
        <v/>
      </c>
      <c r="AJ932" s="79">
        <f>IF(Y932="⚠️ Order late — install at risk",1,0)</f>
        <v/>
      </c>
    </row>
    <row r="933" ht="20" customHeight="1">
      <c r="B933" s="72" t="n"/>
      <c r="C933" s="72" t="n"/>
      <c r="D933" s="72" t="n"/>
      <c r="E933" s="72" t="n"/>
      <c r="F933" s="73" t="n"/>
      <c r="G933" s="72" t="n"/>
      <c r="H933" s="73" t="n"/>
      <c r="I933" s="72" t="n"/>
      <c r="J933" s="73" t="n"/>
      <c r="K933" s="74" t="n"/>
      <c r="L933" s="75">
        <f>IF(K933="A",F933,IF(K933="B",H933,IF(K933="C",J933,"")))</f>
        <v/>
      </c>
      <c r="M933" s="72" t="n"/>
      <c r="N933" s="72" t="n"/>
      <c r="O933" s="89" t="n"/>
      <c r="P933" s="89" t="n"/>
      <c r="Q933" s="109" t="n"/>
      <c r="R933" s="120">
        <f>IF(B933="","",IF(Q933&lt;&gt;"",Q933,IF(P933="","",IFERROR(INDEX('Timeline'!$J$7:$J$1006,MATCH(P933,'Timeline'!$B$7:$B$1006,0)),""))))</f>
        <v/>
      </c>
      <c r="S933" s="126">
        <f>IF(R933="","",R933-IF(O933="",0,O933)-OrderBuf)</f>
        <v/>
      </c>
      <c r="T933" s="126">
        <f>IF(S933="","",S933-DecideBuf)</f>
        <v/>
      </c>
      <c r="U933" s="74" t="n"/>
      <c r="V933" s="109" t="n"/>
      <c r="W933" s="109" t="n"/>
      <c r="X933" s="74" t="n"/>
      <c r="Y933" s="116">
        <f>IF(B933="","",IF(X933="Yes","Delivered",IF(U933="Yes",IF(AND(W933&lt;&gt;"",R933&lt;&gt;""),IF(W933&gt;R933,"⚠️ Delivery after install date","Ordered"),"Ordered"),IF(K933="",IF(T933="","Waiting for decision",IF(T933&lt;=AsOf+AlertDays,"Decide now","Waiting for decision")),IF(S933="","Selected",IF(AsOf&gt;S933,"⚠️ Order late — install at risk",IF(S933&lt;=AsOf+AlertDays,"Order now","Selected")))))))</f>
        <v/>
      </c>
      <c r="Z933" s="79">
        <f>IF(B933="","",IF(OR(AH933=1,AE933=1),2,IF(OR(AG933=1,AF933=1),1,IF(OR(Y933="Ordered",Y933="Delivered"),0,""))))</f>
        <v/>
      </c>
      <c r="AA933" s="112">
        <f>IF(B933="","",IF(AH933=1,IF(Y933="⚠️ Delivery after install date",R933,S933),IF(AD933=1,T933,IF(AI933=1,S933,""))))</f>
        <v/>
      </c>
      <c r="AB933" s="79">
        <f>IF(AA933="","",IF(AH933=1,1,IF(AA933="","",IF(AA933&lt;AsOf,1,IF(AA933&lt;=AsOf+AlertDays,2,IF(AA933&lt;=AsOf+2*AlertDays,3,""))))))</f>
        <v/>
      </c>
      <c r="AC933" s="79">
        <f>IF(AB933="","",IF(AH933=1,IF(Y933="⚠️ Delivery after install date","Delivery after install date: "&amp;B933,"Order late — install at risk: "&amp;B933),IF(AD933=1,IF(AB933=1,"Decision overdue: ","Decide: ")&amp;B933,"Order: "&amp;B933&amp;IF(N933="",""," from "&amp;N933))))</f>
        <v/>
      </c>
      <c r="AD933" s="79">
        <f>IF(AND(B933&lt;&gt;"",K933="",U933&lt;&gt;"Yes",X933&lt;&gt;"Yes"),1,0)</f>
        <v/>
      </c>
      <c r="AE933" s="79">
        <f>IF(AND(AD933=1,T933&lt;&gt;""),IF(T933&lt;AsOf,1,0),0)</f>
        <v/>
      </c>
      <c r="AF933" s="79">
        <f>IF(AND(AD933=1,T933&lt;&gt;""),IF(AND(T933&gt;=AsOf,T933&lt;=AsOf+AlertDays),1,0),0)</f>
        <v/>
      </c>
      <c r="AG933" s="79">
        <f>IF(Y933="Order now",1,0)</f>
        <v/>
      </c>
      <c r="AH933" s="79">
        <f>IF(OR(Y933="⚠️ Order late — install at risk",Y933="⚠️ Delivery after install date"),1,0)</f>
        <v/>
      </c>
      <c r="AI933" s="79">
        <f>IF(AND(B933&lt;&gt;"",K933&lt;&gt;"",U933&lt;&gt;"Yes",X933&lt;&gt;"Yes"),1,0)</f>
        <v/>
      </c>
      <c r="AJ933" s="79">
        <f>IF(Y933="⚠️ Order late — install at risk",1,0)</f>
        <v/>
      </c>
    </row>
    <row r="934" ht="20" customHeight="1">
      <c r="B934" s="72" t="n"/>
      <c r="C934" s="72" t="n"/>
      <c r="D934" s="72" t="n"/>
      <c r="E934" s="72" t="n"/>
      <c r="F934" s="73" t="n"/>
      <c r="G934" s="72" t="n"/>
      <c r="H934" s="73" t="n"/>
      <c r="I934" s="72" t="n"/>
      <c r="J934" s="73" t="n"/>
      <c r="K934" s="74" t="n"/>
      <c r="L934" s="75">
        <f>IF(K934="A",F934,IF(K934="B",H934,IF(K934="C",J934,"")))</f>
        <v/>
      </c>
      <c r="M934" s="72" t="n"/>
      <c r="N934" s="72" t="n"/>
      <c r="O934" s="89" t="n"/>
      <c r="P934" s="89" t="n"/>
      <c r="Q934" s="109" t="n"/>
      <c r="R934" s="120">
        <f>IF(B934="","",IF(Q934&lt;&gt;"",Q934,IF(P934="","",IFERROR(INDEX('Timeline'!$J$7:$J$1006,MATCH(P934,'Timeline'!$B$7:$B$1006,0)),""))))</f>
        <v/>
      </c>
      <c r="S934" s="126">
        <f>IF(R934="","",R934-IF(O934="",0,O934)-OrderBuf)</f>
        <v/>
      </c>
      <c r="T934" s="126">
        <f>IF(S934="","",S934-DecideBuf)</f>
        <v/>
      </c>
      <c r="U934" s="74" t="n"/>
      <c r="V934" s="109" t="n"/>
      <c r="W934" s="109" t="n"/>
      <c r="X934" s="74" t="n"/>
      <c r="Y934" s="116">
        <f>IF(B934="","",IF(X934="Yes","Delivered",IF(U934="Yes",IF(AND(W934&lt;&gt;"",R934&lt;&gt;""),IF(W934&gt;R934,"⚠️ Delivery after install date","Ordered"),"Ordered"),IF(K934="",IF(T934="","Waiting for decision",IF(T934&lt;=AsOf+AlertDays,"Decide now","Waiting for decision")),IF(S934="","Selected",IF(AsOf&gt;S934,"⚠️ Order late — install at risk",IF(S934&lt;=AsOf+AlertDays,"Order now","Selected")))))))</f>
        <v/>
      </c>
      <c r="Z934" s="79">
        <f>IF(B934="","",IF(OR(AH934=1,AE934=1),2,IF(OR(AG934=1,AF934=1),1,IF(OR(Y934="Ordered",Y934="Delivered"),0,""))))</f>
        <v/>
      </c>
      <c r="AA934" s="112">
        <f>IF(B934="","",IF(AH934=1,IF(Y934="⚠️ Delivery after install date",R934,S934),IF(AD934=1,T934,IF(AI934=1,S934,""))))</f>
        <v/>
      </c>
      <c r="AB934" s="79">
        <f>IF(AA934="","",IF(AH934=1,1,IF(AA934="","",IF(AA934&lt;AsOf,1,IF(AA934&lt;=AsOf+AlertDays,2,IF(AA934&lt;=AsOf+2*AlertDays,3,""))))))</f>
        <v/>
      </c>
      <c r="AC934" s="79">
        <f>IF(AB934="","",IF(AH934=1,IF(Y934="⚠️ Delivery after install date","Delivery after install date: "&amp;B934,"Order late — install at risk: "&amp;B934),IF(AD934=1,IF(AB934=1,"Decision overdue: ","Decide: ")&amp;B934,"Order: "&amp;B934&amp;IF(N934="",""," from "&amp;N934))))</f>
        <v/>
      </c>
      <c r="AD934" s="79">
        <f>IF(AND(B934&lt;&gt;"",K934="",U934&lt;&gt;"Yes",X934&lt;&gt;"Yes"),1,0)</f>
        <v/>
      </c>
      <c r="AE934" s="79">
        <f>IF(AND(AD934=1,T934&lt;&gt;""),IF(T934&lt;AsOf,1,0),0)</f>
        <v/>
      </c>
      <c r="AF934" s="79">
        <f>IF(AND(AD934=1,T934&lt;&gt;""),IF(AND(T934&gt;=AsOf,T934&lt;=AsOf+AlertDays),1,0),0)</f>
        <v/>
      </c>
      <c r="AG934" s="79">
        <f>IF(Y934="Order now",1,0)</f>
        <v/>
      </c>
      <c r="AH934" s="79">
        <f>IF(OR(Y934="⚠️ Order late — install at risk",Y934="⚠️ Delivery after install date"),1,0)</f>
        <v/>
      </c>
      <c r="AI934" s="79">
        <f>IF(AND(B934&lt;&gt;"",K934&lt;&gt;"",U934&lt;&gt;"Yes",X934&lt;&gt;"Yes"),1,0)</f>
        <v/>
      </c>
      <c r="AJ934" s="79">
        <f>IF(Y934="⚠️ Order late — install at risk",1,0)</f>
        <v/>
      </c>
    </row>
    <row r="935" ht="20" customHeight="1">
      <c r="B935" s="72" t="n"/>
      <c r="C935" s="72" t="n"/>
      <c r="D935" s="72" t="n"/>
      <c r="E935" s="72" t="n"/>
      <c r="F935" s="73" t="n"/>
      <c r="G935" s="72" t="n"/>
      <c r="H935" s="73" t="n"/>
      <c r="I935" s="72" t="n"/>
      <c r="J935" s="73" t="n"/>
      <c r="K935" s="74" t="n"/>
      <c r="L935" s="75">
        <f>IF(K935="A",F935,IF(K935="B",H935,IF(K935="C",J935,"")))</f>
        <v/>
      </c>
      <c r="M935" s="72" t="n"/>
      <c r="N935" s="72" t="n"/>
      <c r="O935" s="89" t="n"/>
      <c r="P935" s="89" t="n"/>
      <c r="Q935" s="109" t="n"/>
      <c r="R935" s="120">
        <f>IF(B935="","",IF(Q935&lt;&gt;"",Q935,IF(P935="","",IFERROR(INDEX('Timeline'!$J$7:$J$1006,MATCH(P935,'Timeline'!$B$7:$B$1006,0)),""))))</f>
        <v/>
      </c>
      <c r="S935" s="126">
        <f>IF(R935="","",R935-IF(O935="",0,O935)-OrderBuf)</f>
        <v/>
      </c>
      <c r="T935" s="126">
        <f>IF(S935="","",S935-DecideBuf)</f>
        <v/>
      </c>
      <c r="U935" s="74" t="n"/>
      <c r="V935" s="109" t="n"/>
      <c r="W935" s="109" t="n"/>
      <c r="X935" s="74" t="n"/>
      <c r="Y935" s="116">
        <f>IF(B935="","",IF(X935="Yes","Delivered",IF(U935="Yes",IF(AND(W935&lt;&gt;"",R935&lt;&gt;""),IF(W935&gt;R935,"⚠️ Delivery after install date","Ordered"),"Ordered"),IF(K935="",IF(T935="","Waiting for decision",IF(T935&lt;=AsOf+AlertDays,"Decide now","Waiting for decision")),IF(S935="","Selected",IF(AsOf&gt;S935,"⚠️ Order late — install at risk",IF(S935&lt;=AsOf+AlertDays,"Order now","Selected")))))))</f>
        <v/>
      </c>
      <c r="Z935" s="79">
        <f>IF(B935="","",IF(OR(AH935=1,AE935=1),2,IF(OR(AG935=1,AF935=1),1,IF(OR(Y935="Ordered",Y935="Delivered"),0,""))))</f>
        <v/>
      </c>
      <c r="AA935" s="112">
        <f>IF(B935="","",IF(AH935=1,IF(Y935="⚠️ Delivery after install date",R935,S935),IF(AD935=1,T935,IF(AI935=1,S935,""))))</f>
        <v/>
      </c>
      <c r="AB935" s="79">
        <f>IF(AA935="","",IF(AH935=1,1,IF(AA935="","",IF(AA935&lt;AsOf,1,IF(AA935&lt;=AsOf+AlertDays,2,IF(AA935&lt;=AsOf+2*AlertDays,3,""))))))</f>
        <v/>
      </c>
      <c r="AC935" s="79">
        <f>IF(AB935="","",IF(AH935=1,IF(Y935="⚠️ Delivery after install date","Delivery after install date: "&amp;B935,"Order late — install at risk: "&amp;B935),IF(AD935=1,IF(AB935=1,"Decision overdue: ","Decide: ")&amp;B935,"Order: "&amp;B935&amp;IF(N935="",""," from "&amp;N935))))</f>
        <v/>
      </c>
      <c r="AD935" s="79">
        <f>IF(AND(B935&lt;&gt;"",K935="",U935&lt;&gt;"Yes",X935&lt;&gt;"Yes"),1,0)</f>
        <v/>
      </c>
      <c r="AE935" s="79">
        <f>IF(AND(AD935=1,T935&lt;&gt;""),IF(T935&lt;AsOf,1,0),0)</f>
        <v/>
      </c>
      <c r="AF935" s="79">
        <f>IF(AND(AD935=1,T935&lt;&gt;""),IF(AND(T935&gt;=AsOf,T935&lt;=AsOf+AlertDays),1,0),0)</f>
        <v/>
      </c>
      <c r="AG935" s="79">
        <f>IF(Y935="Order now",1,0)</f>
        <v/>
      </c>
      <c r="AH935" s="79">
        <f>IF(OR(Y935="⚠️ Order late — install at risk",Y935="⚠️ Delivery after install date"),1,0)</f>
        <v/>
      </c>
      <c r="AI935" s="79">
        <f>IF(AND(B935&lt;&gt;"",K935&lt;&gt;"",U935&lt;&gt;"Yes",X935&lt;&gt;"Yes"),1,0)</f>
        <v/>
      </c>
      <c r="AJ935" s="79">
        <f>IF(Y935="⚠️ Order late — install at risk",1,0)</f>
        <v/>
      </c>
    </row>
    <row r="936" ht="20" customHeight="1">
      <c r="B936" s="72" t="n"/>
      <c r="C936" s="72" t="n"/>
      <c r="D936" s="72" t="n"/>
      <c r="E936" s="72" t="n"/>
      <c r="F936" s="73" t="n"/>
      <c r="G936" s="72" t="n"/>
      <c r="H936" s="73" t="n"/>
      <c r="I936" s="72" t="n"/>
      <c r="J936" s="73" t="n"/>
      <c r="K936" s="74" t="n"/>
      <c r="L936" s="75">
        <f>IF(K936="A",F936,IF(K936="B",H936,IF(K936="C",J936,"")))</f>
        <v/>
      </c>
      <c r="M936" s="72" t="n"/>
      <c r="N936" s="72" t="n"/>
      <c r="O936" s="89" t="n"/>
      <c r="P936" s="89" t="n"/>
      <c r="Q936" s="109" t="n"/>
      <c r="R936" s="120">
        <f>IF(B936="","",IF(Q936&lt;&gt;"",Q936,IF(P936="","",IFERROR(INDEX('Timeline'!$J$7:$J$1006,MATCH(P936,'Timeline'!$B$7:$B$1006,0)),""))))</f>
        <v/>
      </c>
      <c r="S936" s="126">
        <f>IF(R936="","",R936-IF(O936="",0,O936)-OrderBuf)</f>
        <v/>
      </c>
      <c r="T936" s="126">
        <f>IF(S936="","",S936-DecideBuf)</f>
        <v/>
      </c>
      <c r="U936" s="74" t="n"/>
      <c r="V936" s="109" t="n"/>
      <c r="W936" s="109" t="n"/>
      <c r="X936" s="74" t="n"/>
      <c r="Y936" s="116">
        <f>IF(B936="","",IF(X936="Yes","Delivered",IF(U936="Yes",IF(AND(W936&lt;&gt;"",R936&lt;&gt;""),IF(W936&gt;R936,"⚠️ Delivery after install date","Ordered"),"Ordered"),IF(K936="",IF(T936="","Waiting for decision",IF(T936&lt;=AsOf+AlertDays,"Decide now","Waiting for decision")),IF(S936="","Selected",IF(AsOf&gt;S936,"⚠️ Order late — install at risk",IF(S936&lt;=AsOf+AlertDays,"Order now","Selected")))))))</f>
        <v/>
      </c>
      <c r="Z936" s="79">
        <f>IF(B936="","",IF(OR(AH936=1,AE936=1),2,IF(OR(AG936=1,AF936=1),1,IF(OR(Y936="Ordered",Y936="Delivered"),0,""))))</f>
        <v/>
      </c>
      <c r="AA936" s="112">
        <f>IF(B936="","",IF(AH936=1,IF(Y936="⚠️ Delivery after install date",R936,S936),IF(AD936=1,T936,IF(AI936=1,S936,""))))</f>
        <v/>
      </c>
      <c r="AB936" s="79">
        <f>IF(AA936="","",IF(AH936=1,1,IF(AA936="","",IF(AA936&lt;AsOf,1,IF(AA936&lt;=AsOf+AlertDays,2,IF(AA936&lt;=AsOf+2*AlertDays,3,""))))))</f>
        <v/>
      </c>
      <c r="AC936" s="79">
        <f>IF(AB936="","",IF(AH936=1,IF(Y936="⚠️ Delivery after install date","Delivery after install date: "&amp;B936,"Order late — install at risk: "&amp;B936),IF(AD936=1,IF(AB936=1,"Decision overdue: ","Decide: ")&amp;B936,"Order: "&amp;B936&amp;IF(N936="",""," from "&amp;N936))))</f>
        <v/>
      </c>
      <c r="AD936" s="79">
        <f>IF(AND(B936&lt;&gt;"",K936="",U936&lt;&gt;"Yes",X936&lt;&gt;"Yes"),1,0)</f>
        <v/>
      </c>
      <c r="AE936" s="79">
        <f>IF(AND(AD936=1,T936&lt;&gt;""),IF(T936&lt;AsOf,1,0),0)</f>
        <v/>
      </c>
      <c r="AF936" s="79">
        <f>IF(AND(AD936=1,T936&lt;&gt;""),IF(AND(T936&gt;=AsOf,T936&lt;=AsOf+AlertDays),1,0),0)</f>
        <v/>
      </c>
      <c r="AG936" s="79">
        <f>IF(Y936="Order now",1,0)</f>
        <v/>
      </c>
      <c r="AH936" s="79">
        <f>IF(OR(Y936="⚠️ Order late — install at risk",Y936="⚠️ Delivery after install date"),1,0)</f>
        <v/>
      </c>
      <c r="AI936" s="79">
        <f>IF(AND(B936&lt;&gt;"",K936&lt;&gt;"",U936&lt;&gt;"Yes",X936&lt;&gt;"Yes"),1,0)</f>
        <v/>
      </c>
      <c r="AJ936" s="79">
        <f>IF(Y936="⚠️ Order late — install at risk",1,0)</f>
        <v/>
      </c>
    </row>
    <row r="937" ht="20" customHeight="1">
      <c r="B937" s="72" t="n"/>
      <c r="C937" s="72" t="n"/>
      <c r="D937" s="72" t="n"/>
      <c r="E937" s="72" t="n"/>
      <c r="F937" s="73" t="n"/>
      <c r="G937" s="72" t="n"/>
      <c r="H937" s="73" t="n"/>
      <c r="I937" s="72" t="n"/>
      <c r="J937" s="73" t="n"/>
      <c r="K937" s="74" t="n"/>
      <c r="L937" s="75">
        <f>IF(K937="A",F937,IF(K937="B",H937,IF(K937="C",J937,"")))</f>
        <v/>
      </c>
      <c r="M937" s="72" t="n"/>
      <c r="N937" s="72" t="n"/>
      <c r="O937" s="89" t="n"/>
      <c r="P937" s="89" t="n"/>
      <c r="Q937" s="109" t="n"/>
      <c r="R937" s="120">
        <f>IF(B937="","",IF(Q937&lt;&gt;"",Q937,IF(P937="","",IFERROR(INDEX('Timeline'!$J$7:$J$1006,MATCH(P937,'Timeline'!$B$7:$B$1006,0)),""))))</f>
        <v/>
      </c>
      <c r="S937" s="126">
        <f>IF(R937="","",R937-IF(O937="",0,O937)-OrderBuf)</f>
        <v/>
      </c>
      <c r="T937" s="126">
        <f>IF(S937="","",S937-DecideBuf)</f>
        <v/>
      </c>
      <c r="U937" s="74" t="n"/>
      <c r="V937" s="109" t="n"/>
      <c r="W937" s="109" t="n"/>
      <c r="X937" s="74" t="n"/>
      <c r="Y937" s="116">
        <f>IF(B937="","",IF(X937="Yes","Delivered",IF(U937="Yes",IF(AND(W937&lt;&gt;"",R937&lt;&gt;""),IF(W937&gt;R937,"⚠️ Delivery after install date","Ordered"),"Ordered"),IF(K937="",IF(T937="","Waiting for decision",IF(T937&lt;=AsOf+AlertDays,"Decide now","Waiting for decision")),IF(S937="","Selected",IF(AsOf&gt;S937,"⚠️ Order late — install at risk",IF(S937&lt;=AsOf+AlertDays,"Order now","Selected")))))))</f>
        <v/>
      </c>
      <c r="Z937" s="79">
        <f>IF(B937="","",IF(OR(AH937=1,AE937=1),2,IF(OR(AG937=1,AF937=1),1,IF(OR(Y937="Ordered",Y937="Delivered"),0,""))))</f>
        <v/>
      </c>
      <c r="AA937" s="112">
        <f>IF(B937="","",IF(AH937=1,IF(Y937="⚠️ Delivery after install date",R937,S937),IF(AD937=1,T937,IF(AI937=1,S937,""))))</f>
        <v/>
      </c>
      <c r="AB937" s="79">
        <f>IF(AA937="","",IF(AH937=1,1,IF(AA937="","",IF(AA937&lt;AsOf,1,IF(AA937&lt;=AsOf+AlertDays,2,IF(AA937&lt;=AsOf+2*AlertDays,3,""))))))</f>
        <v/>
      </c>
      <c r="AC937" s="79">
        <f>IF(AB937="","",IF(AH937=1,IF(Y937="⚠️ Delivery after install date","Delivery after install date: "&amp;B937,"Order late — install at risk: "&amp;B937),IF(AD937=1,IF(AB937=1,"Decision overdue: ","Decide: ")&amp;B937,"Order: "&amp;B937&amp;IF(N937="",""," from "&amp;N937))))</f>
        <v/>
      </c>
      <c r="AD937" s="79">
        <f>IF(AND(B937&lt;&gt;"",K937="",U937&lt;&gt;"Yes",X937&lt;&gt;"Yes"),1,0)</f>
        <v/>
      </c>
      <c r="AE937" s="79">
        <f>IF(AND(AD937=1,T937&lt;&gt;""),IF(T937&lt;AsOf,1,0),0)</f>
        <v/>
      </c>
      <c r="AF937" s="79">
        <f>IF(AND(AD937=1,T937&lt;&gt;""),IF(AND(T937&gt;=AsOf,T937&lt;=AsOf+AlertDays),1,0),0)</f>
        <v/>
      </c>
      <c r="AG937" s="79">
        <f>IF(Y937="Order now",1,0)</f>
        <v/>
      </c>
      <c r="AH937" s="79">
        <f>IF(OR(Y937="⚠️ Order late — install at risk",Y937="⚠️ Delivery after install date"),1,0)</f>
        <v/>
      </c>
      <c r="AI937" s="79">
        <f>IF(AND(B937&lt;&gt;"",K937&lt;&gt;"",U937&lt;&gt;"Yes",X937&lt;&gt;"Yes"),1,0)</f>
        <v/>
      </c>
      <c r="AJ937" s="79">
        <f>IF(Y937="⚠️ Order late — install at risk",1,0)</f>
        <v/>
      </c>
    </row>
    <row r="938" ht="20" customHeight="1">
      <c r="B938" s="72" t="n"/>
      <c r="C938" s="72" t="n"/>
      <c r="D938" s="72" t="n"/>
      <c r="E938" s="72" t="n"/>
      <c r="F938" s="73" t="n"/>
      <c r="G938" s="72" t="n"/>
      <c r="H938" s="73" t="n"/>
      <c r="I938" s="72" t="n"/>
      <c r="J938" s="73" t="n"/>
      <c r="K938" s="74" t="n"/>
      <c r="L938" s="75">
        <f>IF(K938="A",F938,IF(K938="B",H938,IF(K938="C",J938,"")))</f>
        <v/>
      </c>
      <c r="M938" s="72" t="n"/>
      <c r="N938" s="72" t="n"/>
      <c r="O938" s="89" t="n"/>
      <c r="P938" s="89" t="n"/>
      <c r="Q938" s="109" t="n"/>
      <c r="R938" s="120">
        <f>IF(B938="","",IF(Q938&lt;&gt;"",Q938,IF(P938="","",IFERROR(INDEX('Timeline'!$J$7:$J$1006,MATCH(P938,'Timeline'!$B$7:$B$1006,0)),""))))</f>
        <v/>
      </c>
      <c r="S938" s="126">
        <f>IF(R938="","",R938-IF(O938="",0,O938)-OrderBuf)</f>
        <v/>
      </c>
      <c r="T938" s="126">
        <f>IF(S938="","",S938-DecideBuf)</f>
        <v/>
      </c>
      <c r="U938" s="74" t="n"/>
      <c r="V938" s="109" t="n"/>
      <c r="W938" s="109" t="n"/>
      <c r="X938" s="74" t="n"/>
      <c r="Y938" s="116">
        <f>IF(B938="","",IF(X938="Yes","Delivered",IF(U938="Yes",IF(AND(W938&lt;&gt;"",R938&lt;&gt;""),IF(W938&gt;R938,"⚠️ Delivery after install date","Ordered"),"Ordered"),IF(K938="",IF(T938="","Waiting for decision",IF(T938&lt;=AsOf+AlertDays,"Decide now","Waiting for decision")),IF(S938="","Selected",IF(AsOf&gt;S938,"⚠️ Order late — install at risk",IF(S938&lt;=AsOf+AlertDays,"Order now","Selected")))))))</f>
        <v/>
      </c>
      <c r="Z938" s="79">
        <f>IF(B938="","",IF(OR(AH938=1,AE938=1),2,IF(OR(AG938=1,AF938=1),1,IF(OR(Y938="Ordered",Y938="Delivered"),0,""))))</f>
        <v/>
      </c>
      <c r="AA938" s="112">
        <f>IF(B938="","",IF(AH938=1,IF(Y938="⚠️ Delivery after install date",R938,S938),IF(AD938=1,T938,IF(AI938=1,S938,""))))</f>
        <v/>
      </c>
      <c r="AB938" s="79">
        <f>IF(AA938="","",IF(AH938=1,1,IF(AA938="","",IF(AA938&lt;AsOf,1,IF(AA938&lt;=AsOf+AlertDays,2,IF(AA938&lt;=AsOf+2*AlertDays,3,""))))))</f>
        <v/>
      </c>
      <c r="AC938" s="79">
        <f>IF(AB938="","",IF(AH938=1,IF(Y938="⚠️ Delivery after install date","Delivery after install date: "&amp;B938,"Order late — install at risk: "&amp;B938),IF(AD938=1,IF(AB938=1,"Decision overdue: ","Decide: ")&amp;B938,"Order: "&amp;B938&amp;IF(N938="",""," from "&amp;N938))))</f>
        <v/>
      </c>
      <c r="AD938" s="79">
        <f>IF(AND(B938&lt;&gt;"",K938="",U938&lt;&gt;"Yes",X938&lt;&gt;"Yes"),1,0)</f>
        <v/>
      </c>
      <c r="AE938" s="79">
        <f>IF(AND(AD938=1,T938&lt;&gt;""),IF(T938&lt;AsOf,1,0),0)</f>
        <v/>
      </c>
      <c r="AF938" s="79">
        <f>IF(AND(AD938=1,T938&lt;&gt;""),IF(AND(T938&gt;=AsOf,T938&lt;=AsOf+AlertDays),1,0),0)</f>
        <v/>
      </c>
      <c r="AG938" s="79">
        <f>IF(Y938="Order now",1,0)</f>
        <v/>
      </c>
      <c r="AH938" s="79">
        <f>IF(OR(Y938="⚠️ Order late — install at risk",Y938="⚠️ Delivery after install date"),1,0)</f>
        <v/>
      </c>
      <c r="AI938" s="79">
        <f>IF(AND(B938&lt;&gt;"",K938&lt;&gt;"",U938&lt;&gt;"Yes",X938&lt;&gt;"Yes"),1,0)</f>
        <v/>
      </c>
      <c r="AJ938" s="79">
        <f>IF(Y938="⚠️ Order late — install at risk",1,0)</f>
        <v/>
      </c>
    </row>
    <row r="939" ht="20" customHeight="1">
      <c r="B939" s="72" t="n"/>
      <c r="C939" s="72" t="n"/>
      <c r="D939" s="72" t="n"/>
      <c r="E939" s="72" t="n"/>
      <c r="F939" s="73" t="n"/>
      <c r="G939" s="72" t="n"/>
      <c r="H939" s="73" t="n"/>
      <c r="I939" s="72" t="n"/>
      <c r="J939" s="73" t="n"/>
      <c r="K939" s="74" t="n"/>
      <c r="L939" s="75">
        <f>IF(K939="A",F939,IF(K939="B",H939,IF(K939="C",J939,"")))</f>
        <v/>
      </c>
      <c r="M939" s="72" t="n"/>
      <c r="N939" s="72" t="n"/>
      <c r="O939" s="89" t="n"/>
      <c r="P939" s="89" t="n"/>
      <c r="Q939" s="109" t="n"/>
      <c r="R939" s="120">
        <f>IF(B939="","",IF(Q939&lt;&gt;"",Q939,IF(P939="","",IFERROR(INDEX('Timeline'!$J$7:$J$1006,MATCH(P939,'Timeline'!$B$7:$B$1006,0)),""))))</f>
        <v/>
      </c>
      <c r="S939" s="126">
        <f>IF(R939="","",R939-IF(O939="",0,O939)-OrderBuf)</f>
        <v/>
      </c>
      <c r="T939" s="126">
        <f>IF(S939="","",S939-DecideBuf)</f>
        <v/>
      </c>
      <c r="U939" s="74" t="n"/>
      <c r="V939" s="109" t="n"/>
      <c r="W939" s="109" t="n"/>
      <c r="X939" s="74" t="n"/>
      <c r="Y939" s="116">
        <f>IF(B939="","",IF(X939="Yes","Delivered",IF(U939="Yes",IF(AND(W939&lt;&gt;"",R939&lt;&gt;""),IF(W939&gt;R939,"⚠️ Delivery after install date","Ordered"),"Ordered"),IF(K939="",IF(T939="","Waiting for decision",IF(T939&lt;=AsOf+AlertDays,"Decide now","Waiting for decision")),IF(S939="","Selected",IF(AsOf&gt;S939,"⚠️ Order late — install at risk",IF(S939&lt;=AsOf+AlertDays,"Order now","Selected")))))))</f>
        <v/>
      </c>
      <c r="Z939" s="79">
        <f>IF(B939="","",IF(OR(AH939=1,AE939=1),2,IF(OR(AG939=1,AF939=1),1,IF(OR(Y939="Ordered",Y939="Delivered"),0,""))))</f>
        <v/>
      </c>
      <c r="AA939" s="112">
        <f>IF(B939="","",IF(AH939=1,IF(Y939="⚠️ Delivery after install date",R939,S939),IF(AD939=1,T939,IF(AI939=1,S939,""))))</f>
        <v/>
      </c>
      <c r="AB939" s="79">
        <f>IF(AA939="","",IF(AH939=1,1,IF(AA939="","",IF(AA939&lt;AsOf,1,IF(AA939&lt;=AsOf+AlertDays,2,IF(AA939&lt;=AsOf+2*AlertDays,3,""))))))</f>
        <v/>
      </c>
      <c r="AC939" s="79">
        <f>IF(AB939="","",IF(AH939=1,IF(Y939="⚠️ Delivery after install date","Delivery after install date: "&amp;B939,"Order late — install at risk: "&amp;B939),IF(AD939=1,IF(AB939=1,"Decision overdue: ","Decide: ")&amp;B939,"Order: "&amp;B939&amp;IF(N939="",""," from "&amp;N939))))</f>
        <v/>
      </c>
      <c r="AD939" s="79">
        <f>IF(AND(B939&lt;&gt;"",K939="",U939&lt;&gt;"Yes",X939&lt;&gt;"Yes"),1,0)</f>
        <v/>
      </c>
      <c r="AE939" s="79">
        <f>IF(AND(AD939=1,T939&lt;&gt;""),IF(T939&lt;AsOf,1,0),0)</f>
        <v/>
      </c>
      <c r="AF939" s="79">
        <f>IF(AND(AD939=1,T939&lt;&gt;""),IF(AND(T939&gt;=AsOf,T939&lt;=AsOf+AlertDays),1,0),0)</f>
        <v/>
      </c>
      <c r="AG939" s="79">
        <f>IF(Y939="Order now",1,0)</f>
        <v/>
      </c>
      <c r="AH939" s="79">
        <f>IF(OR(Y939="⚠️ Order late — install at risk",Y939="⚠️ Delivery after install date"),1,0)</f>
        <v/>
      </c>
      <c r="AI939" s="79">
        <f>IF(AND(B939&lt;&gt;"",K939&lt;&gt;"",U939&lt;&gt;"Yes",X939&lt;&gt;"Yes"),1,0)</f>
        <v/>
      </c>
      <c r="AJ939" s="79">
        <f>IF(Y939="⚠️ Order late — install at risk",1,0)</f>
        <v/>
      </c>
    </row>
    <row r="940" ht="20" customHeight="1">
      <c r="B940" s="72" t="n"/>
      <c r="C940" s="72" t="n"/>
      <c r="D940" s="72" t="n"/>
      <c r="E940" s="72" t="n"/>
      <c r="F940" s="73" t="n"/>
      <c r="G940" s="72" t="n"/>
      <c r="H940" s="73" t="n"/>
      <c r="I940" s="72" t="n"/>
      <c r="J940" s="73" t="n"/>
      <c r="K940" s="74" t="n"/>
      <c r="L940" s="75">
        <f>IF(K940="A",F940,IF(K940="B",H940,IF(K940="C",J940,"")))</f>
        <v/>
      </c>
      <c r="M940" s="72" t="n"/>
      <c r="N940" s="72" t="n"/>
      <c r="O940" s="89" t="n"/>
      <c r="P940" s="89" t="n"/>
      <c r="Q940" s="109" t="n"/>
      <c r="R940" s="120">
        <f>IF(B940="","",IF(Q940&lt;&gt;"",Q940,IF(P940="","",IFERROR(INDEX('Timeline'!$J$7:$J$1006,MATCH(P940,'Timeline'!$B$7:$B$1006,0)),""))))</f>
        <v/>
      </c>
      <c r="S940" s="126">
        <f>IF(R940="","",R940-IF(O940="",0,O940)-OrderBuf)</f>
        <v/>
      </c>
      <c r="T940" s="126">
        <f>IF(S940="","",S940-DecideBuf)</f>
        <v/>
      </c>
      <c r="U940" s="74" t="n"/>
      <c r="V940" s="109" t="n"/>
      <c r="W940" s="109" t="n"/>
      <c r="X940" s="74" t="n"/>
      <c r="Y940" s="116">
        <f>IF(B940="","",IF(X940="Yes","Delivered",IF(U940="Yes",IF(AND(W940&lt;&gt;"",R940&lt;&gt;""),IF(W940&gt;R940,"⚠️ Delivery after install date","Ordered"),"Ordered"),IF(K940="",IF(T940="","Waiting for decision",IF(T940&lt;=AsOf+AlertDays,"Decide now","Waiting for decision")),IF(S940="","Selected",IF(AsOf&gt;S940,"⚠️ Order late — install at risk",IF(S940&lt;=AsOf+AlertDays,"Order now","Selected")))))))</f>
        <v/>
      </c>
      <c r="Z940" s="79">
        <f>IF(B940="","",IF(OR(AH940=1,AE940=1),2,IF(OR(AG940=1,AF940=1),1,IF(OR(Y940="Ordered",Y940="Delivered"),0,""))))</f>
        <v/>
      </c>
      <c r="AA940" s="112">
        <f>IF(B940="","",IF(AH940=1,IF(Y940="⚠️ Delivery after install date",R940,S940),IF(AD940=1,T940,IF(AI940=1,S940,""))))</f>
        <v/>
      </c>
      <c r="AB940" s="79">
        <f>IF(AA940="","",IF(AH940=1,1,IF(AA940="","",IF(AA940&lt;AsOf,1,IF(AA940&lt;=AsOf+AlertDays,2,IF(AA940&lt;=AsOf+2*AlertDays,3,""))))))</f>
        <v/>
      </c>
      <c r="AC940" s="79">
        <f>IF(AB940="","",IF(AH940=1,IF(Y940="⚠️ Delivery after install date","Delivery after install date: "&amp;B940,"Order late — install at risk: "&amp;B940),IF(AD940=1,IF(AB940=1,"Decision overdue: ","Decide: ")&amp;B940,"Order: "&amp;B940&amp;IF(N940="",""," from "&amp;N940))))</f>
        <v/>
      </c>
      <c r="AD940" s="79">
        <f>IF(AND(B940&lt;&gt;"",K940="",U940&lt;&gt;"Yes",X940&lt;&gt;"Yes"),1,0)</f>
        <v/>
      </c>
      <c r="AE940" s="79">
        <f>IF(AND(AD940=1,T940&lt;&gt;""),IF(T940&lt;AsOf,1,0),0)</f>
        <v/>
      </c>
      <c r="AF940" s="79">
        <f>IF(AND(AD940=1,T940&lt;&gt;""),IF(AND(T940&gt;=AsOf,T940&lt;=AsOf+AlertDays),1,0),0)</f>
        <v/>
      </c>
      <c r="AG940" s="79">
        <f>IF(Y940="Order now",1,0)</f>
        <v/>
      </c>
      <c r="AH940" s="79">
        <f>IF(OR(Y940="⚠️ Order late — install at risk",Y940="⚠️ Delivery after install date"),1,0)</f>
        <v/>
      </c>
      <c r="AI940" s="79">
        <f>IF(AND(B940&lt;&gt;"",K940&lt;&gt;"",U940&lt;&gt;"Yes",X940&lt;&gt;"Yes"),1,0)</f>
        <v/>
      </c>
      <c r="AJ940" s="79">
        <f>IF(Y940="⚠️ Order late — install at risk",1,0)</f>
        <v/>
      </c>
    </row>
    <row r="941" ht="20" customHeight="1">
      <c r="B941" s="72" t="n"/>
      <c r="C941" s="72" t="n"/>
      <c r="D941" s="72" t="n"/>
      <c r="E941" s="72" t="n"/>
      <c r="F941" s="73" t="n"/>
      <c r="G941" s="72" t="n"/>
      <c r="H941" s="73" t="n"/>
      <c r="I941" s="72" t="n"/>
      <c r="J941" s="73" t="n"/>
      <c r="K941" s="74" t="n"/>
      <c r="L941" s="75">
        <f>IF(K941="A",F941,IF(K941="B",H941,IF(K941="C",J941,"")))</f>
        <v/>
      </c>
      <c r="M941" s="72" t="n"/>
      <c r="N941" s="72" t="n"/>
      <c r="O941" s="89" t="n"/>
      <c r="P941" s="89" t="n"/>
      <c r="Q941" s="109" t="n"/>
      <c r="R941" s="120">
        <f>IF(B941="","",IF(Q941&lt;&gt;"",Q941,IF(P941="","",IFERROR(INDEX('Timeline'!$J$7:$J$1006,MATCH(P941,'Timeline'!$B$7:$B$1006,0)),""))))</f>
        <v/>
      </c>
      <c r="S941" s="126">
        <f>IF(R941="","",R941-IF(O941="",0,O941)-OrderBuf)</f>
        <v/>
      </c>
      <c r="T941" s="126">
        <f>IF(S941="","",S941-DecideBuf)</f>
        <v/>
      </c>
      <c r="U941" s="74" t="n"/>
      <c r="V941" s="109" t="n"/>
      <c r="W941" s="109" t="n"/>
      <c r="X941" s="74" t="n"/>
      <c r="Y941" s="116">
        <f>IF(B941="","",IF(X941="Yes","Delivered",IF(U941="Yes",IF(AND(W941&lt;&gt;"",R941&lt;&gt;""),IF(W941&gt;R941,"⚠️ Delivery after install date","Ordered"),"Ordered"),IF(K941="",IF(T941="","Waiting for decision",IF(T941&lt;=AsOf+AlertDays,"Decide now","Waiting for decision")),IF(S941="","Selected",IF(AsOf&gt;S941,"⚠️ Order late — install at risk",IF(S941&lt;=AsOf+AlertDays,"Order now","Selected")))))))</f>
        <v/>
      </c>
      <c r="Z941" s="79">
        <f>IF(B941="","",IF(OR(AH941=1,AE941=1),2,IF(OR(AG941=1,AF941=1),1,IF(OR(Y941="Ordered",Y941="Delivered"),0,""))))</f>
        <v/>
      </c>
      <c r="AA941" s="112">
        <f>IF(B941="","",IF(AH941=1,IF(Y941="⚠️ Delivery after install date",R941,S941),IF(AD941=1,T941,IF(AI941=1,S941,""))))</f>
        <v/>
      </c>
      <c r="AB941" s="79">
        <f>IF(AA941="","",IF(AH941=1,1,IF(AA941="","",IF(AA941&lt;AsOf,1,IF(AA941&lt;=AsOf+AlertDays,2,IF(AA941&lt;=AsOf+2*AlertDays,3,""))))))</f>
        <v/>
      </c>
      <c r="AC941" s="79">
        <f>IF(AB941="","",IF(AH941=1,IF(Y941="⚠️ Delivery after install date","Delivery after install date: "&amp;B941,"Order late — install at risk: "&amp;B941),IF(AD941=1,IF(AB941=1,"Decision overdue: ","Decide: ")&amp;B941,"Order: "&amp;B941&amp;IF(N941="",""," from "&amp;N941))))</f>
        <v/>
      </c>
      <c r="AD941" s="79">
        <f>IF(AND(B941&lt;&gt;"",K941="",U941&lt;&gt;"Yes",X941&lt;&gt;"Yes"),1,0)</f>
        <v/>
      </c>
      <c r="AE941" s="79">
        <f>IF(AND(AD941=1,T941&lt;&gt;""),IF(T941&lt;AsOf,1,0),0)</f>
        <v/>
      </c>
      <c r="AF941" s="79">
        <f>IF(AND(AD941=1,T941&lt;&gt;""),IF(AND(T941&gt;=AsOf,T941&lt;=AsOf+AlertDays),1,0),0)</f>
        <v/>
      </c>
      <c r="AG941" s="79">
        <f>IF(Y941="Order now",1,0)</f>
        <v/>
      </c>
      <c r="AH941" s="79">
        <f>IF(OR(Y941="⚠️ Order late — install at risk",Y941="⚠️ Delivery after install date"),1,0)</f>
        <v/>
      </c>
      <c r="AI941" s="79">
        <f>IF(AND(B941&lt;&gt;"",K941&lt;&gt;"",U941&lt;&gt;"Yes",X941&lt;&gt;"Yes"),1,0)</f>
        <v/>
      </c>
      <c r="AJ941" s="79">
        <f>IF(Y941="⚠️ Order late — install at risk",1,0)</f>
        <v/>
      </c>
    </row>
    <row r="942" ht="20" customHeight="1">
      <c r="B942" s="72" t="n"/>
      <c r="C942" s="72" t="n"/>
      <c r="D942" s="72" t="n"/>
      <c r="E942" s="72" t="n"/>
      <c r="F942" s="73" t="n"/>
      <c r="G942" s="72" t="n"/>
      <c r="H942" s="73" t="n"/>
      <c r="I942" s="72" t="n"/>
      <c r="J942" s="73" t="n"/>
      <c r="K942" s="74" t="n"/>
      <c r="L942" s="75">
        <f>IF(K942="A",F942,IF(K942="B",H942,IF(K942="C",J942,"")))</f>
        <v/>
      </c>
      <c r="M942" s="72" t="n"/>
      <c r="N942" s="72" t="n"/>
      <c r="O942" s="89" t="n"/>
      <c r="P942" s="89" t="n"/>
      <c r="Q942" s="109" t="n"/>
      <c r="R942" s="120">
        <f>IF(B942="","",IF(Q942&lt;&gt;"",Q942,IF(P942="","",IFERROR(INDEX('Timeline'!$J$7:$J$1006,MATCH(P942,'Timeline'!$B$7:$B$1006,0)),""))))</f>
        <v/>
      </c>
      <c r="S942" s="126">
        <f>IF(R942="","",R942-IF(O942="",0,O942)-OrderBuf)</f>
        <v/>
      </c>
      <c r="T942" s="126">
        <f>IF(S942="","",S942-DecideBuf)</f>
        <v/>
      </c>
      <c r="U942" s="74" t="n"/>
      <c r="V942" s="109" t="n"/>
      <c r="W942" s="109" t="n"/>
      <c r="X942" s="74" t="n"/>
      <c r="Y942" s="116">
        <f>IF(B942="","",IF(X942="Yes","Delivered",IF(U942="Yes",IF(AND(W942&lt;&gt;"",R942&lt;&gt;""),IF(W942&gt;R942,"⚠️ Delivery after install date","Ordered"),"Ordered"),IF(K942="",IF(T942="","Waiting for decision",IF(T942&lt;=AsOf+AlertDays,"Decide now","Waiting for decision")),IF(S942="","Selected",IF(AsOf&gt;S942,"⚠️ Order late — install at risk",IF(S942&lt;=AsOf+AlertDays,"Order now","Selected")))))))</f>
        <v/>
      </c>
      <c r="Z942" s="79">
        <f>IF(B942="","",IF(OR(AH942=1,AE942=1),2,IF(OR(AG942=1,AF942=1),1,IF(OR(Y942="Ordered",Y942="Delivered"),0,""))))</f>
        <v/>
      </c>
      <c r="AA942" s="112">
        <f>IF(B942="","",IF(AH942=1,IF(Y942="⚠️ Delivery after install date",R942,S942),IF(AD942=1,T942,IF(AI942=1,S942,""))))</f>
        <v/>
      </c>
      <c r="AB942" s="79">
        <f>IF(AA942="","",IF(AH942=1,1,IF(AA942="","",IF(AA942&lt;AsOf,1,IF(AA942&lt;=AsOf+AlertDays,2,IF(AA942&lt;=AsOf+2*AlertDays,3,""))))))</f>
        <v/>
      </c>
      <c r="AC942" s="79">
        <f>IF(AB942="","",IF(AH942=1,IF(Y942="⚠️ Delivery after install date","Delivery after install date: "&amp;B942,"Order late — install at risk: "&amp;B942),IF(AD942=1,IF(AB942=1,"Decision overdue: ","Decide: ")&amp;B942,"Order: "&amp;B942&amp;IF(N942="",""," from "&amp;N942))))</f>
        <v/>
      </c>
      <c r="AD942" s="79">
        <f>IF(AND(B942&lt;&gt;"",K942="",U942&lt;&gt;"Yes",X942&lt;&gt;"Yes"),1,0)</f>
        <v/>
      </c>
      <c r="AE942" s="79">
        <f>IF(AND(AD942=1,T942&lt;&gt;""),IF(T942&lt;AsOf,1,0),0)</f>
        <v/>
      </c>
      <c r="AF942" s="79">
        <f>IF(AND(AD942=1,T942&lt;&gt;""),IF(AND(T942&gt;=AsOf,T942&lt;=AsOf+AlertDays),1,0),0)</f>
        <v/>
      </c>
      <c r="AG942" s="79">
        <f>IF(Y942="Order now",1,0)</f>
        <v/>
      </c>
      <c r="AH942" s="79">
        <f>IF(OR(Y942="⚠️ Order late — install at risk",Y942="⚠️ Delivery after install date"),1,0)</f>
        <v/>
      </c>
      <c r="AI942" s="79">
        <f>IF(AND(B942&lt;&gt;"",K942&lt;&gt;"",U942&lt;&gt;"Yes",X942&lt;&gt;"Yes"),1,0)</f>
        <v/>
      </c>
      <c r="AJ942" s="79">
        <f>IF(Y942="⚠️ Order late — install at risk",1,0)</f>
        <v/>
      </c>
    </row>
    <row r="943" ht="20" customHeight="1">
      <c r="B943" s="72" t="n"/>
      <c r="C943" s="72" t="n"/>
      <c r="D943" s="72" t="n"/>
      <c r="E943" s="72" t="n"/>
      <c r="F943" s="73" t="n"/>
      <c r="G943" s="72" t="n"/>
      <c r="H943" s="73" t="n"/>
      <c r="I943" s="72" t="n"/>
      <c r="J943" s="73" t="n"/>
      <c r="K943" s="74" t="n"/>
      <c r="L943" s="75">
        <f>IF(K943="A",F943,IF(K943="B",H943,IF(K943="C",J943,"")))</f>
        <v/>
      </c>
      <c r="M943" s="72" t="n"/>
      <c r="N943" s="72" t="n"/>
      <c r="O943" s="89" t="n"/>
      <c r="P943" s="89" t="n"/>
      <c r="Q943" s="109" t="n"/>
      <c r="R943" s="120">
        <f>IF(B943="","",IF(Q943&lt;&gt;"",Q943,IF(P943="","",IFERROR(INDEX('Timeline'!$J$7:$J$1006,MATCH(P943,'Timeline'!$B$7:$B$1006,0)),""))))</f>
        <v/>
      </c>
      <c r="S943" s="126">
        <f>IF(R943="","",R943-IF(O943="",0,O943)-OrderBuf)</f>
        <v/>
      </c>
      <c r="T943" s="126">
        <f>IF(S943="","",S943-DecideBuf)</f>
        <v/>
      </c>
      <c r="U943" s="74" t="n"/>
      <c r="V943" s="109" t="n"/>
      <c r="W943" s="109" t="n"/>
      <c r="X943" s="74" t="n"/>
      <c r="Y943" s="116">
        <f>IF(B943="","",IF(X943="Yes","Delivered",IF(U943="Yes",IF(AND(W943&lt;&gt;"",R943&lt;&gt;""),IF(W943&gt;R943,"⚠️ Delivery after install date","Ordered"),"Ordered"),IF(K943="",IF(T943="","Waiting for decision",IF(T943&lt;=AsOf+AlertDays,"Decide now","Waiting for decision")),IF(S943="","Selected",IF(AsOf&gt;S943,"⚠️ Order late — install at risk",IF(S943&lt;=AsOf+AlertDays,"Order now","Selected")))))))</f>
        <v/>
      </c>
      <c r="Z943" s="79">
        <f>IF(B943="","",IF(OR(AH943=1,AE943=1),2,IF(OR(AG943=1,AF943=1),1,IF(OR(Y943="Ordered",Y943="Delivered"),0,""))))</f>
        <v/>
      </c>
      <c r="AA943" s="112">
        <f>IF(B943="","",IF(AH943=1,IF(Y943="⚠️ Delivery after install date",R943,S943),IF(AD943=1,T943,IF(AI943=1,S943,""))))</f>
        <v/>
      </c>
      <c r="AB943" s="79">
        <f>IF(AA943="","",IF(AH943=1,1,IF(AA943="","",IF(AA943&lt;AsOf,1,IF(AA943&lt;=AsOf+AlertDays,2,IF(AA943&lt;=AsOf+2*AlertDays,3,""))))))</f>
        <v/>
      </c>
      <c r="AC943" s="79">
        <f>IF(AB943="","",IF(AH943=1,IF(Y943="⚠️ Delivery after install date","Delivery after install date: "&amp;B943,"Order late — install at risk: "&amp;B943),IF(AD943=1,IF(AB943=1,"Decision overdue: ","Decide: ")&amp;B943,"Order: "&amp;B943&amp;IF(N943="",""," from "&amp;N943))))</f>
        <v/>
      </c>
      <c r="AD943" s="79">
        <f>IF(AND(B943&lt;&gt;"",K943="",U943&lt;&gt;"Yes",X943&lt;&gt;"Yes"),1,0)</f>
        <v/>
      </c>
      <c r="AE943" s="79">
        <f>IF(AND(AD943=1,T943&lt;&gt;""),IF(T943&lt;AsOf,1,0),0)</f>
        <v/>
      </c>
      <c r="AF943" s="79">
        <f>IF(AND(AD943=1,T943&lt;&gt;""),IF(AND(T943&gt;=AsOf,T943&lt;=AsOf+AlertDays),1,0),0)</f>
        <v/>
      </c>
      <c r="AG943" s="79">
        <f>IF(Y943="Order now",1,0)</f>
        <v/>
      </c>
      <c r="AH943" s="79">
        <f>IF(OR(Y943="⚠️ Order late — install at risk",Y943="⚠️ Delivery after install date"),1,0)</f>
        <v/>
      </c>
      <c r="AI943" s="79">
        <f>IF(AND(B943&lt;&gt;"",K943&lt;&gt;"",U943&lt;&gt;"Yes",X943&lt;&gt;"Yes"),1,0)</f>
        <v/>
      </c>
      <c r="AJ943" s="79">
        <f>IF(Y943="⚠️ Order late — install at risk",1,0)</f>
        <v/>
      </c>
    </row>
    <row r="944" ht="20" customHeight="1">
      <c r="B944" s="72" t="n"/>
      <c r="C944" s="72" t="n"/>
      <c r="D944" s="72" t="n"/>
      <c r="E944" s="72" t="n"/>
      <c r="F944" s="73" t="n"/>
      <c r="G944" s="72" t="n"/>
      <c r="H944" s="73" t="n"/>
      <c r="I944" s="72" t="n"/>
      <c r="J944" s="73" t="n"/>
      <c r="K944" s="74" t="n"/>
      <c r="L944" s="75">
        <f>IF(K944="A",F944,IF(K944="B",H944,IF(K944="C",J944,"")))</f>
        <v/>
      </c>
      <c r="M944" s="72" t="n"/>
      <c r="N944" s="72" t="n"/>
      <c r="O944" s="89" t="n"/>
      <c r="P944" s="89" t="n"/>
      <c r="Q944" s="109" t="n"/>
      <c r="R944" s="120">
        <f>IF(B944="","",IF(Q944&lt;&gt;"",Q944,IF(P944="","",IFERROR(INDEX('Timeline'!$J$7:$J$1006,MATCH(P944,'Timeline'!$B$7:$B$1006,0)),""))))</f>
        <v/>
      </c>
      <c r="S944" s="126">
        <f>IF(R944="","",R944-IF(O944="",0,O944)-OrderBuf)</f>
        <v/>
      </c>
      <c r="T944" s="126">
        <f>IF(S944="","",S944-DecideBuf)</f>
        <v/>
      </c>
      <c r="U944" s="74" t="n"/>
      <c r="V944" s="109" t="n"/>
      <c r="W944" s="109" t="n"/>
      <c r="X944" s="74" t="n"/>
      <c r="Y944" s="116">
        <f>IF(B944="","",IF(X944="Yes","Delivered",IF(U944="Yes",IF(AND(W944&lt;&gt;"",R944&lt;&gt;""),IF(W944&gt;R944,"⚠️ Delivery after install date","Ordered"),"Ordered"),IF(K944="",IF(T944="","Waiting for decision",IF(T944&lt;=AsOf+AlertDays,"Decide now","Waiting for decision")),IF(S944="","Selected",IF(AsOf&gt;S944,"⚠️ Order late — install at risk",IF(S944&lt;=AsOf+AlertDays,"Order now","Selected")))))))</f>
        <v/>
      </c>
      <c r="Z944" s="79">
        <f>IF(B944="","",IF(OR(AH944=1,AE944=1),2,IF(OR(AG944=1,AF944=1),1,IF(OR(Y944="Ordered",Y944="Delivered"),0,""))))</f>
        <v/>
      </c>
      <c r="AA944" s="112">
        <f>IF(B944="","",IF(AH944=1,IF(Y944="⚠️ Delivery after install date",R944,S944),IF(AD944=1,T944,IF(AI944=1,S944,""))))</f>
        <v/>
      </c>
      <c r="AB944" s="79">
        <f>IF(AA944="","",IF(AH944=1,1,IF(AA944="","",IF(AA944&lt;AsOf,1,IF(AA944&lt;=AsOf+AlertDays,2,IF(AA944&lt;=AsOf+2*AlertDays,3,""))))))</f>
        <v/>
      </c>
      <c r="AC944" s="79">
        <f>IF(AB944="","",IF(AH944=1,IF(Y944="⚠️ Delivery after install date","Delivery after install date: "&amp;B944,"Order late — install at risk: "&amp;B944),IF(AD944=1,IF(AB944=1,"Decision overdue: ","Decide: ")&amp;B944,"Order: "&amp;B944&amp;IF(N944="",""," from "&amp;N944))))</f>
        <v/>
      </c>
      <c r="AD944" s="79">
        <f>IF(AND(B944&lt;&gt;"",K944="",U944&lt;&gt;"Yes",X944&lt;&gt;"Yes"),1,0)</f>
        <v/>
      </c>
      <c r="AE944" s="79">
        <f>IF(AND(AD944=1,T944&lt;&gt;""),IF(T944&lt;AsOf,1,0),0)</f>
        <v/>
      </c>
      <c r="AF944" s="79">
        <f>IF(AND(AD944=1,T944&lt;&gt;""),IF(AND(T944&gt;=AsOf,T944&lt;=AsOf+AlertDays),1,0),0)</f>
        <v/>
      </c>
      <c r="AG944" s="79">
        <f>IF(Y944="Order now",1,0)</f>
        <v/>
      </c>
      <c r="AH944" s="79">
        <f>IF(OR(Y944="⚠️ Order late — install at risk",Y944="⚠️ Delivery after install date"),1,0)</f>
        <v/>
      </c>
      <c r="AI944" s="79">
        <f>IF(AND(B944&lt;&gt;"",K944&lt;&gt;"",U944&lt;&gt;"Yes",X944&lt;&gt;"Yes"),1,0)</f>
        <v/>
      </c>
      <c r="AJ944" s="79">
        <f>IF(Y944="⚠️ Order late — install at risk",1,0)</f>
        <v/>
      </c>
    </row>
    <row r="945" ht="20" customHeight="1">
      <c r="B945" s="72" t="n"/>
      <c r="C945" s="72" t="n"/>
      <c r="D945" s="72" t="n"/>
      <c r="E945" s="72" t="n"/>
      <c r="F945" s="73" t="n"/>
      <c r="G945" s="72" t="n"/>
      <c r="H945" s="73" t="n"/>
      <c r="I945" s="72" t="n"/>
      <c r="J945" s="73" t="n"/>
      <c r="K945" s="74" t="n"/>
      <c r="L945" s="75">
        <f>IF(K945="A",F945,IF(K945="B",H945,IF(K945="C",J945,"")))</f>
        <v/>
      </c>
      <c r="M945" s="72" t="n"/>
      <c r="N945" s="72" t="n"/>
      <c r="O945" s="89" t="n"/>
      <c r="P945" s="89" t="n"/>
      <c r="Q945" s="109" t="n"/>
      <c r="R945" s="120">
        <f>IF(B945="","",IF(Q945&lt;&gt;"",Q945,IF(P945="","",IFERROR(INDEX('Timeline'!$J$7:$J$1006,MATCH(P945,'Timeline'!$B$7:$B$1006,0)),""))))</f>
        <v/>
      </c>
      <c r="S945" s="126">
        <f>IF(R945="","",R945-IF(O945="",0,O945)-OrderBuf)</f>
        <v/>
      </c>
      <c r="T945" s="126">
        <f>IF(S945="","",S945-DecideBuf)</f>
        <v/>
      </c>
      <c r="U945" s="74" t="n"/>
      <c r="V945" s="109" t="n"/>
      <c r="W945" s="109" t="n"/>
      <c r="X945" s="74" t="n"/>
      <c r="Y945" s="116">
        <f>IF(B945="","",IF(X945="Yes","Delivered",IF(U945="Yes",IF(AND(W945&lt;&gt;"",R945&lt;&gt;""),IF(W945&gt;R945,"⚠️ Delivery after install date","Ordered"),"Ordered"),IF(K945="",IF(T945="","Waiting for decision",IF(T945&lt;=AsOf+AlertDays,"Decide now","Waiting for decision")),IF(S945="","Selected",IF(AsOf&gt;S945,"⚠️ Order late — install at risk",IF(S945&lt;=AsOf+AlertDays,"Order now","Selected")))))))</f>
        <v/>
      </c>
      <c r="Z945" s="79">
        <f>IF(B945="","",IF(OR(AH945=1,AE945=1),2,IF(OR(AG945=1,AF945=1),1,IF(OR(Y945="Ordered",Y945="Delivered"),0,""))))</f>
        <v/>
      </c>
      <c r="AA945" s="112">
        <f>IF(B945="","",IF(AH945=1,IF(Y945="⚠️ Delivery after install date",R945,S945),IF(AD945=1,T945,IF(AI945=1,S945,""))))</f>
        <v/>
      </c>
      <c r="AB945" s="79">
        <f>IF(AA945="","",IF(AH945=1,1,IF(AA945="","",IF(AA945&lt;AsOf,1,IF(AA945&lt;=AsOf+AlertDays,2,IF(AA945&lt;=AsOf+2*AlertDays,3,""))))))</f>
        <v/>
      </c>
      <c r="AC945" s="79">
        <f>IF(AB945="","",IF(AH945=1,IF(Y945="⚠️ Delivery after install date","Delivery after install date: "&amp;B945,"Order late — install at risk: "&amp;B945),IF(AD945=1,IF(AB945=1,"Decision overdue: ","Decide: ")&amp;B945,"Order: "&amp;B945&amp;IF(N945="",""," from "&amp;N945))))</f>
        <v/>
      </c>
      <c r="AD945" s="79">
        <f>IF(AND(B945&lt;&gt;"",K945="",U945&lt;&gt;"Yes",X945&lt;&gt;"Yes"),1,0)</f>
        <v/>
      </c>
      <c r="AE945" s="79">
        <f>IF(AND(AD945=1,T945&lt;&gt;""),IF(T945&lt;AsOf,1,0),0)</f>
        <v/>
      </c>
      <c r="AF945" s="79">
        <f>IF(AND(AD945=1,T945&lt;&gt;""),IF(AND(T945&gt;=AsOf,T945&lt;=AsOf+AlertDays),1,0),0)</f>
        <v/>
      </c>
      <c r="AG945" s="79">
        <f>IF(Y945="Order now",1,0)</f>
        <v/>
      </c>
      <c r="AH945" s="79">
        <f>IF(OR(Y945="⚠️ Order late — install at risk",Y945="⚠️ Delivery after install date"),1,0)</f>
        <v/>
      </c>
      <c r="AI945" s="79">
        <f>IF(AND(B945&lt;&gt;"",K945&lt;&gt;"",U945&lt;&gt;"Yes",X945&lt;&gt;"Yes"),1,0)</f>
        <v/>
      </c>
      <c r="AJ945" s="79">
        <f>IF(Y945="⚠️ Order late — install at risk",1,0)</f>
        <v/>
      </c>
    </row>
    <row r="946" ht="20" customHeight="1">
      <c r="B946" s="72" t="n"/>
      <c r="C946" s="72" t="n"/>
      <c r="D946" s="72" t="n"/>
      <c r="E946" s="72" t="n"/>
      <c r="F946" s="73" t="n"/>
      <c r="G946" s="72" t="n"/>
      <c r="H946" s="73" t="n"/>
      <c r="I946" s="72" t="n"/>
      <c r="J946" s="73" t="n"/>
      <c r="K946" s="74" t="n"/>
      <c r="L946" s="75">
        <f>IF(K946="A",F946,IF(K946="B",H946,IF(K946="C",J946,"")))</f>
        <v/>
      </c>
      <c r="M946" s="72" t="n"/>
      <c r="N946" s="72" t="n"/>
      <c r="O946" s="89" t="n"/>
      <c r="P946" s="89" t="n"/>
      <c r="Q946" s="109" t="n"/>
      <c r="R946" s="120">
        <f>IF(B946="","",IF(Q946&lt;&gt;"",Q946,IF(P946="","",IFERROR(INDEX('Timeline'!$J$7:$J$1006,MATCH(P946,'Timeline'!$B$7:$B$1006,0)),""))))</f>
        <v/>
      </c>
      <c r="S946" s="126">
        <f>IF(R946="","",R946-IF(O946="",0,O946)-OrderBuf)</f>
        <v/>
      </c>
      <c r="T946" s="126">
        <f>IF(S946="","",S946-DecideBuf)</f>
        <v/>
      </c>
      <c r="U946" s="74" t="n"/>
      <c r="V946" s="109" t="n"/>
      <c r="W946" s="109" t="n"/>
      <c r="X946" s="74" t="n"/>
      <c r="Y946" s="116">
        <f>IF(B946="","",IF(X946="Yes","Delivered",IF(U946="Yes",IF(AND(W946&lt;&gt;"",R946&lt;&gt;""),IF(W946&gt;R946,"⚠️ Delivery after install date","Ordered"),"Ordered"),IF(K946="",IF(T946="","Waiting for decision",IF(T946&lt;=AsOf+AlertDays,"Decide now","Waiting for decision")),IF(S946="","Selected",IF(AsOf&gt;S946,"⚠️ Order late — install at risk",IF(S946&lt;=AsOf+AlertDays,"Order now","Selected")))))))</f>
        <v/>
      </c>
      <c r="Z946" s="79">
        <f>IF(B946="","",IF(OR(AH946=1,AE946=1),2,IF(OR(AG946=1,AF946=1),1,IF(OR(Y946="Ordered",Y946="Delivered"),0,""))))</f>
        <v/>
      </c>
      <c r="AA946" s="112">
        <f>IF(B946="","",IF(AH946=1,IF(Y946="⚠️ Delivery after install date",R946,S946),IF(AD946=1,T946,IF(AI946=1,S946,""))))</f>
        <v/>
      </c>
      <c r="AB946" s="79">
        <f>IF(AA946="","",IF(AH946=1,1,IF(AA946="","",IF(AA946&lt;AsOf,1,IF(AA946&lt;=AsOf+AlertDays,2,IF(AA946&lt;=AsOf+2*AlertDays,3,""))))))</f>
        <v/>
      </c>
      <c r="AC946" s="79">
        <f>IF(AB946="","",IF(AH946=1,IF(Y946="⚠️ Delivery after install date","Delivery after install date: "&amp;B946,"Order late — install at risk: "&amp;B946),IF(AD946=1,IF(AB946=1,"Decision overdue: ","Decide: ")&amp;B946,"Order: "&amp;B946&amp;IF(N946="",""," from "&amp;N946))))</f>
        <v/>
      </c>
      <c r="AD946" s="79">
        <f>IF(AND(B946&lt;&gt;"",K946="",U946&lt;&gt;"Yes",X946&lt;&gt;"Yes"),1,0)</f>
        <v/>
      </c>
      <c r="AE946" s="79">
        <f>IF(AND(AD946=1,T946&lt;&gt;""),IF(T946&lt;AsOf,1,0),0)</f>
        <v/>
      </c>
      <c r="AF946" s="79">
        <f>IF(AND(AD946=1,T946&lt;&gt;""),IF(AND(T946&gt;=AsOf,T946&lt;=AsOf+AlertDays),1,0),0)</f>
        <v/>
      </c>
      <c r="AG946" s="79">
        <f>IF(Y946="Order now",1,0)</f>
        <v/>
      </c>
      <c r="AH946" s="79">
        <f>IF(OR(Y946="⚠️ Order late — install at risk",Y946="⚠️ Delivery after install date"),1,0)</f>
        <v/>
      </c>
      <c r="AI946" s="79">
        <f>IF(AND(B946&lt;&gt;"",K946&lt;&gt;"",U946&lt;&gt;"Yes",X946&lt;&gt;"Yes"),1,0)</f>
        <v/>
      </c>
      <c r="AJ946" s="79">
        <f>IF(Y946="⚠️ Order late — install at risk",1,0)</f>
        <v/>
      </c>
    </row>
    <row r="947" ht="20" customHeight="1">
      <c r="B947" s="72" t="n"/>
      <c r="C947" s="72" t="n"/>
      <c r="D947" s="72" t="n"/>
      <c r="E947" s="72" t="n"/>
      <c r="F947" s="73" t="n"/>
      <c r="G947" s="72" t="n"/>
      <c r="H947" s="73" t="n"/>
      <c r="I947" s="72" t="n"/>
      <c r="J947" s="73" t="n"/>
      <c r="K947" s="74" t="n"/>
      <c r="L947" s="75">
        <f>IF(K947="A",F947,IF(K947="B",H947,IF(K947="C",J947,"")))</f>
        <v/>
      </c>
      <c r="M947" s="72" t="n"/>
      <c r="N947" s="72" t="n"/>
      <c r="O947" s="89" t="n"/>
      <c r="P947" s="89" t="n"/>
      <c r="Q947" s="109" t="n"/>
      <c r="R947" s="120">
        <f>IF(B947="","",IF(Q947&lt;&gt;"",Q947,IF(P947="","",IFERROR(INDEX('Timeline'!$J$7:$J$1006,MATCH(P947,'Timeline'!$B$7:$B$1006,0)),""))))</f>
        <v/>
      </c>
      <c r="S947" s="126">
        <f>IF(R947="","",R947-IF(O947="",0,O947)-OrderBuf)</f>
        <v/>
      </c>
      <c r="T947" s="126">
        <f>IF(S947="","",S947-DecideBuf)</f>
        <v/>
      </c>
      <c r="U947" s="74" t="n"/>
      <c r="V947" s="109" t="n"/>
      <c r="W947" s="109" t="n"/>
      <c r="X947" s="74" t="n"/>
      <c r="Y947" s="116">
        <f>IF(B947="","",IF(X947="Yes","Delivered",IF(U947="Yes",IF(AND(W947&lt;&gt;"",R947&lt;&gt;""),IF(W947&gt;R947,"⚠️ Delivery after install date","Ordered"),"Ordered"),IF(K947="",IF(T947="","Waiting for decision",IF(T947&lt;=AsOf+AlertDays,"Decide now","Waiting for decision")),IF(S947="","Selected",IF(AsOf&gt;S947,"⚠️ Order late — install at risk",IF(S947&lt;=AsOf+AlertDays,"Order now","Selected")))))))</f>
        <v/>
      </c>
      <c r="Z947" s="79">
        <f>IF(B947="","",IF(OR(AH947=1,AE947=1),2,IF(OR(AG947=1,AF947=1),1,IF(OR(Y947="Ordered",Y947="Delivered"),0,""))))</f>
        <v/>
      </c>
      <c r="AA947" s="112">
        <f>IF(B947="","",IF(AH947=1,IF(Y947="⚠️ Delivery after install date",R947,S947),IF(AD947=1,T947,IF(AI947=1,S947,""))))</f>
        <v/>
      </c>
      <c r="AB947" s="79">
        <f>IF(AA947="","",IF(AH947=1,1,IF(AA947="","",IF(AA947&lt;AsOf,1,IF(AA947&lt;=AsOf+AlertDays,2,IF(AA947&lt;=AsOf+2*AlertDays,3,""))))))</f>
        <v/>
      </c>
      <c r="AC947" s="79">
        <f>IF(AB947="","",IF(AH947=1,IF(Y947="⚠️ Delivery after install date","Delivery after install date: "&amp;B947,"Order late — install at risk: "&amp;B947),IF(AD947=1,IF(AB947=1,"Decision overdue: ","Decide: ")&amp;B947,"Order: "&amp;B947&amp;IF(N947="",""," from "&amp;N947))))</f>
        <v/>
      </c>
      <c r="AD947" s="79">
        <f>IF(AND(B947&lt;&gt;"",K947="",U947&lt;&gt;"Yes",X947&lt;&gt;"Yes"),1,0)</f>
        <v/>
      </c>
      <c r="AE947" s="79">
        <f>IF(AND(AD947=1,T947&lt;&gt;""),IF(T947&lt;AsOf,1,0),0)</f>
        <v/>
      </c>
      <c r="AF947" s="79">
        <f>IF(AND(AD947=1,T947&lt;&gt;""),IF(AND(T947&gt;=AsOf,T947&lt;=AsOf+AlertDays),1,0),0)</f>
        <v/>
      </c>
      <c r="AG947" s="79">
        <f>IF(Y947="Order now",1,0)</f>
        <v/>
      </c>
      <c r="AH947" s="79">
        <f>IF(OR(Y947="⚠️ Order late — install at risk",Y947="⚠️ Delivery after install date"),1,0)</f>
        <v/>
      </c>
      <c r="AI947" s="79">
        <f>IF(AND(B947&lt;&gt;"",K947&lt;&gt;"",U947&lt;&gt;"Yes",X947&lt;&gt;"Yes"),1,0)</f>
        <v/>
      </c>
      <c r="AJ947" s="79">
        <f>IF(Y947="⚠️ Order late — install at risk",1,0)</f>
        <v/>
      </c>
    </row>
    <row r="948" ht="20" customHeight="1">
      <c r="B948" s="72" t="n"/>
      <c r="C948" s="72" t="n"/>
      <c r="D948" s="72" t="n"/>
      <c r="E948" s="72" t="n"/>
      <c r="F948" s="73" t="n"/>
      <c r="G948" s="72" t="n"/>
      <c r="H948" s="73" t="n"/>
      <c r="I948" s="72" t="n"/>
      <c r="J948" s="73" t="n"/>
      <c r="K948" s="74" t="n"/>
      <c r="L948" s="75">
        <f>IF(K948="A",F948,IF(K948="B",H948,IF(K948="C",J948,"")))</f>
        <v/>
      </c>
      <c r="M948" s="72" t="n"/>
      <c r="N948" s="72" t="n"/>
      <c r="O948" s="89" t="n"/>
      <c r="P948" s="89" t="n"/>
      <c r="Q948" s="109" t="n"/>
      <c r="R948" s="120">
        <f>IF(B948="","",IF(Q948&lt;&gt;"",Q948,IF(P948="","",IFERROR(INDEX('Timeline'!$J$7:$J$1006,MATCH(P948,'Timeline'!$B$7:$B$1006,0)),""))))</f>
        <v/>
      </c>
      <c r="S948" s="126">
        <f>IF(R948="","",R948-IF(O948="",0,O948)-OrderBuf)</f>
        <v/>
      </c>
      <c r="T948" s="126">
        <f>IF(S948="","",S948-DecideBuf)</f>
        <v/>
      </c>
      <c r="U948" s="74" t="n"/>
      <c r="V948" s="109" t="n"/>
      <c r="W948" s="109" t="n"/>
      <c r="X948" s="74" t="n"/>
      <c r="Y948" s="116">
        <f>IF(B948="","",IF(X948="Yes","Delivered",IF(U948="Yes",IF(AND(W948&lt;&gt;"",R948&lt;&gt;""),IF(W948&gt;R948,"⚠️ Delivery after install date","Ordered"),"Ordered"),IF(K948="",IF(T948="","Waiting for decision",IF(T948&lt;=AsOf+AlertDays,"Decide now","Waiting for decision")),IF(S948="","Selected",IF(AsOf&gt;S948,"⚠️ Order late — install at risk",IF(S948&lt;=AsOf+AlertDays,"Order now","Selected")))))))</f>
        <v/>
      </c>
      <c r="Z948" s="79">
        <f>IF(B948="","",IF(OR(AH948=1,AE948=1),2,IF(OR(AG948=1,AF948=1),1,IF(OR(Y948="Ordered",Y948="Delivered"),0,""))))</f>
        <v/>
      </c>
      <c r="AA948" s="112">
        <f>IF(B948="","",IF(AH948=1,IF(Y948="⚠️ Delivery after install date",R948,S948),IF(AD948=1,T948,IF(AI948=1,S948,""))))</f>
        <v/>
      </c>
      <c r="AB948" s="79">
        <f>IF(AA948="","",IF(AH948=1,1,IF(AA948="","",IF(AA948&lt;AsOf,1,IF(AA948&lt;=AsOf+AlertDays,2,IF(AA948&lt;=AsOf+2*AlertDays,3,""))))))</f>
        <v/>
      </c>
      <c r="AC948" s="79">
        <f>IF(AB948="","",IF(AH948=1,IF(Y948="⚠️ Delivery after install date","Delivery after install date: "&amp;B948,"Order late — install at risk: "&amp;B948),IF(AD948=1,IF(AB948=1,"Decision overdue: ","Decide: ")&amp;B948,"Order: "&amp;B948&amp;IF(N948="",""," from "&amp;N948))))</f>
        <v/>
      </c>
      <c r="AD948" s="79">
        <f>IF(AND(B948&lt;&gt;"",K948="",U948&lt;&gt;"Yes",X948&lt;&gt;"Yes"),1,0)</f>
        <v/>
      </c>
      <c r="AE948" s="79">
        <f>IF(AND(AD948=1,T948&lt;&gt;""),IF(T948&lt;AsOf,1,0),0)</f>
        <v/>
      </c>
      <c r="AF948" s="79">
        <f>IF(AND(AD948=1,T948&lt;&gt;""),IF(AND(T948&gt;=AsOf,T948&lt;=AsOf+AlertDays),1,0),0)</f>
        <v/>
      </c>
      <c r="AG948" s="79">
        <f>IF(Y948="Order now",1,0)</f>
        <v/>
      </c>
      <c r="AH948" s="79">
        <f>IF(OR(Y948="⚠️ Order late — install at risk",Y948="⚠️ Delivery after install date"),1,0)</f>
        <v/>
      </c>
      <c r="AI948" s="79">
        <f>IF(AND(B948&lt;&gt;"",K948&lt;&gt;"",U948&lt;&gt;"Yes",X948&lt;&gt;"Yes"),1,0)</f>
        <v/>
      </c>
      <c r="AJ948" s="79">
        <f>IF(Y948="⚠️ Order late — install at risk",1,0)</f>
        <v/>
      </c>
    </row>
    <row r="949" ht="20" customHeight="1">
      <c r="B949" s="72" t="n"/>
      <c r="C949" s="72" t="n"/>
      <c r="D949" s="72" t="n"/>
      <c r="E949" s="72" t="n"/>
      <c r="F949" s="73" t="n"/>
      <c r="G949" s="72" t="n"/>
      <c r="H949" s="73" t="n"/>
      <c r="I949" s="72" t="n"/>
      <c r="J949" s="73" t="n"/>
      <c r="K949" s="74" t="n"/>
      <c r="L949" s="75">
        <f>IF(K949="A",F949,IF(K949="B",H949,IF(K949="C",J949,"")))</f>
        <v/>
      </c>
      <c r="M949" s="72" t="n"/>
      <c r="N949" s="72" t="n"/>
      <c r="O949" s="89" t="n"/>
      <c r="P949" s="89" t="n"/>
      <c r="Q949" s="109" t="n"/>
      <c r="R949" s="120">
        <f>IF(B949="","",IF(Q949&lt;&gt;"",Q949,IF(P949="","",IFERROR(INDEX('Timeline'!$J$7:$J$1006,MATCH(P949,'Timeline'!$B$7:$B$1006,0)),""))))</f>
        <v/>
      </c>
      <c r="S949" s="126">
        <f>IF(R949="","",R949-IF(O949="",0,O949)-OrderBuf)</f>
        <v/>
      </c>
      <c r="T949" s="126">
        <f>IF(S949="","",S949-DecideBuf)</f>
        <v/>
      </c>
      <c r="U949" s="74" t="n"/>
      <c r="V949" s="109" t="n"/>
      <c r="W949" s="109" t="n"/>
      <c r="X949" s="74" t="n"/>
      <c r="Y949" s="116">
        <f>IF(B949="","",IF(X949="Yes","Delivered",IF(U949="Yes",IF(AND(W949&lt;&gt;"",R949&lt;&gt;""),IF(W949&gt;R949,"⚠️ Delivery after install date","Ordered"),"Ordered"),IF(K949="",IF(T949="","Waiting for decision",IF(T949&lt;=AsOf+AlertDays,"Decide now","Waiting for decision")),IF(S949="","Selected",IF(AsOf&gt;S949,"⚠️ Order late — install at risk",IF(S949&lt;=AsOf+AlertDays,"Order now","Selected")))))))</f>
        <v/>
      </c>
      <c r="Z949" s="79">
        <f>IF(B949="","",IF(OR(AH949=1,AE949=1),2,IF(OR(AG949=1,AF949=1),1,IF(OR(Y949="Ordered",Y949="Delivered"),0,""))))</f>
        <v/>
      </c>
      <c r="AA949" s="112">
        <f>IF(B949="","",IF(AH949=1,IF(Y949="⚠️ Delivery after install date",R949,S949),IF(AD949=1,T949,IF(AI949=1,S949,""))))</f>
        <v/>
      </c>
      <c r="AB949" s="79">
        <f>IF(AA949="","",IF(AH949=1,1,IF(AA949="","",IF(AA949&lt;AsOf,1,IF(AA949&lt;=AsOf+AlertDays,2,IF(AA949&lt;=AsOf+2*AlertDays,3,""))))))</f>
        <v/>
      </c>
      <c r="AC949" s="79">
        <f>IF(AB949="","",IF(AH949=1,IF(Y949="⚠️ Delivery after install date","Delivery after install date: "&amp;B949,"Order late — install at risk: "&amp;B949),IF(AD949=1,IF(AB949=1,"Decision overdue: ","Decide: ")&amp;B949,"Order: "&amp;B949&amp;IF(N949="",""," from "&amp;N949))))</f>
        <v/>
      </c>
      <c r="AD949" s="79">
        <f>IF(AND(B949&lt;&gt;"",K949="",U949&lt;&gt;"Yes",X949&lt;&gt;"Yes"),1,0)</f>
        <v/>
      </c>
      <c r="AE949" s="79">
        <f>IF(AND(AD949=1,T949&lt;&gt;""),IF(T949&lt;AsOf,1,0),0)</f>
        <v/>
      </c>
      <c r="AF949" s="79">
        <f>IF(AND(AD949=1,T949&lt;&gt;""),IF(AND(T949&gt;=AsOf,T949&lt;=AsOf+AlertDays),1,0),0)</f>
        <v/>
      </c>
      <c r="AG949" s="79">
        <f>IF(Y949="Order now",1,0)</f>
        <v/>
      </c>
      <c r="AH949" s="79">
        <f>IF(OR(Y949="⚠️ Order late — install at risk",Y949="⚠️ Delivery after install date"),1,0)</f>
        <v/>
      </c>
      <c r="AI949" s="79">
        <f>IF(AND(B949&lt;&gt;"",K949&lt;&gt;"",U949&lt;&gt;"Yes",X949&lt;&gt;"Yes"),1,0)</f>
        <v/>
      </c>
      <c r="AJ949" s="79">
        <f>IF(Y949="⚠️ Order late — install at risk",1,0)</f>
        <v/>
      </c>
    </row>
    <row r="950" ht="20" customHeight="1">
      <c r="B950" s="72" t="n"/>
      <c r="C950" s="72" t="n"/>
      <c r="D950" s="72" t="n"/>
      <c r="E950" s="72" t="n"/>
      <c r="F950" s="73" t="n"/>
      <c r="G950" s="72" t="n"/>
      <c r="H950" s="73" t="n"/>
      <c r="I950" s="72" t="n"/>
      <c r="J950" s="73" t="n"/>
      <c r="K950" s="74" t="n"/>
      <c r="L950" s="75">
        <f>IF(K950="A",F950,IF(K950="B",H950,IF(K950="C",J950,"")))</f>
        <v/>
      </c>
      <c r="M950" s="72" t="n"/>
      <c r="N950" s="72" t="n"/>
      <c r="O950" s="89" t="n"/>
      <c r="P950" s="89" t="n"/>
      <c r="Q950" s="109" t="n"/>
      <c r="R950" s="120">
        <f>IF(B950="","",IF(Q950&lt;&gt;"",Q950,IF(P950="","",IFERROR(INDEX('Timeline'!$J$7:$J$1006,MATCH(P950,'Timeline'!$B$7:$B$1006,0)),""))))</f>
        <v/>
      </c>
      <c r="S950" s="126">
        <f>IF(R950="","",R950-IF(O950="",0,O950)-OrderBuf)</f>
        <v/>
      </c>
      <c r="T950" s="126">
        <f>IF(S950="","",S950-DecideBuf)</f>
        <v/>
      </c>
      <c r="U950" s="74" t="n"/>
      <c r="V950" s="109" t="n"/>
      <c r="W950" s="109" t="n"/>
      <c r="X950" s="74" t="n"/>
      <c r="Y950" s="116">
        <f>IF(B950="","",IF(X950="Yes","Delivered",IF(U950="Yes",IF(AND(W950&lt;&gt;"",R950&lt;&gt;""),IF(W950&gt;R950,"⚠️ Delivery after install date","Ordered"),"Ordered"),IF(K950="",IF(T950="","Waiting for decision",IF(T950&lt;=AsOf+AlertDays,"Decide now","Waiting for decision")),IF(S950="","Selected",IF(AsOf&gt;S950,"⚠️ Order late — install at risk",IF(S950&lt;=AsOf+AlertDays,"Order now","Selected")))))))</f>
        <v/>
      </c>
      <c r="Z950" s="79">
        <f>IF(B950="","",IF(OR(AH950=1,AE950=1),2,IF(OR(AG950=1,AF950=1),1,IF(OR(Y950="Ordered",Y950="Delivered"),0,""))))</f>
        <v/>
      </c>
      <c r="AA950" s="112">
        <f>IF(B950="","",IF(AH950=1,IF(Y950="⚠️ Delivery after install date",R950,S950),IF(AD950=1,T950,IF(AI950=1,S950,""))))</f>
        <v/>
      </c>
      <c r="AB950" s="79">
        <f>IF(AA950="","",IF(AH950=1,1,IF(AA950="","",IF(AA950&lt;AsOf,1,IF(AA950&lt;=AsOf+AlertDays,2,IF(AA950&lt;=AsOf+2*AlertDays,3,""))))))</f>
        <v/>
      </c>
      <c r="AC950" s="79">
        <f>IF(AB950="","",IF(AH950=1,IF(Y950="⚠️ Delivery after install date","Delivery after install date: "&amp;B950,"Order late — install at risk: "&amp;B950),IF(AD950=1,IF(AB950=1,"Decision overdue: ","Decide: ")&amp;B950,"Order: "&amp;B950&amp;IF(N950="",""," from "&amp;N950))))</f>
        <v/>
      </c>
      <c r="AD950" s="79">
        <f>IF(AND(B950&lt;&gt;"",K950="",U950&lt;&gt;"Yes",X950&lt;&gt;"Yes"),1,0)</f>
        <v/>
      </c>
      <c r="AE950" s="79">
        <f>IF(AND(AD950=1,T950&lt;&gt;""),IF(T950&lt;AsOf,1,0),0)</f>
        <v/>
      </c>
      <c r="AF950" s="79">
        <f>IF(AND(AD950=1,T950&lt;&gt;""),IF(AND(T950&gt;=AsOf,T950&lt;=AsOf+AlertDays),1,0),0)</f>
        <v/>
      </c>
      <c r="AG950" s="79">
        <f>IF(Y950="Order now",1,0)</f>
        <v/>
      </c>
      <c r="AH950" s="79">
        <f>IF(OR(Y950="⚠️ Order late — install at risk",Y950="⚠️ Delivery after install date"),1,0)</f>
        <v/>
      </c>
      <c r="AI950" s="79">
        <f>IF(AND(B950&lt;&gt;"",K950&lt;&gt;"",U950&lt;&gt;"Yes",X950&lt;&gt;"Yes"),1,0)</f>
        <v/>
      </c>
      <c r="AJ950" s="79">
        <f>IF(Y950="⚠️ Order late — install at risk",1,0)</f>
        <v/>
      </c>
    </row>
    <row r="951" ht="20" customHeight="1">
      <c r="B951" s="72" t="n"/>
      <c r="C951" s="72" t="n"/>
      <c r="D951" s="72" t="n"/>
      <c r="E951" s="72" t="n"/>
      <c r="F951" s="73" t="n"/>
      <c r="G951" s="72" t="n"/>
      <c r="H951" s="73" t="n"/>
      <c r="I951" s="72" t="n"/>
      <c r="J951" s="73" t="n"/>
      <c r="K951" s="74" t="n"/>
      <c r="L951" s="75">
        <f>IF(K951="A",F951,IF(K951="B",H951,IF(K951="C",J951,"")))</f>
        <v/>
      </c>
      <c r="M951" s="72" t="n"/>
      <c r="N951" s="72" t="n"/>
      <c r="O951" s="89" t="n"/>
      <c r="P951" s="89" t="n"/>
      <c r="Q951" s="109" t="n"/>
      <c r="R951" s="120">
        <f>IF(B951="","",IF(Q951&lt;&gt;"",Q951,IF(P951="","",IFERROR(INDEX('Timeline'!$J$7:$J$1006,MATCH(P951,'Timeline'!$B$7:$B$1006,0)),""))))</f>
        <v/>
      </c>
      <c r="S951" s="126">
        <f>IF(R951="","",R951-IF(O951="",0,O951)-OrderBuf)</f>
        <v/>
      </c>
      <c r="T951" s="126">
        <f>IF(S951="","",S951-DecideBuf)</f>
        <v/>
      </c>
      <c r="U951" s="74" t="n"/>
      <c r="V951" s="109" t="n"/>
      <c r="W951" s="109" t="n"/>
      <c r="X951" s="74" t="n"/>
      <c r="Y951" s="116">
        <f>IF(B951="","",IF(X951="Yes","Delivered",IF(U951="Yes",IF(AND(W951&lt;&gt;"",R951&lt;&gt;""),IF(W951&gt;R951,"⚠️ Delivery after install date","Ordered"),"Ordered"),IF(K951="",IF(T951="","Waiting for decision",IF(T951&lt;=AsOf+AlertDays,"Decide now","Waiting for decision")),IF(S951="","Selected",IF(AsOf&gt;S951,"⚠️ Order late — install at risk",IF(S951&lt;=AsOf+AlertDays,"Order now","Selected")))))))</f>
        <v/>
      </c>
      <c r="Z951" s="79">
        <f>IF(B951="","",IF(OR(AH951=1,AE951=1),2,IF(OR(AG951=1,AF951=1),1,IF(OR(Y951="Ordered",Y951="Delivered"),0,""))))</f>
        <v/>
      </c>
      <c r="AA951" s="112">
        <f>IF(B951="","",IF(AH951=1,IF(Y951="⚠️ Delivery after install date",R951,S951),IF(AD951=1,T951,IF(AI951=1,S951,""))))</f>
        <v/>
      </c>
      <c r="AB951" s="79">
        <f>IF(AA951="","",IF(AH951=1,1,IF(AA951="","",IF(AA951&lt;AsOf,1,IF(AA951&lt;=AsOf+AlertDays,2,IF(AA951&lt;=AsOf+2*AlertDays,3,""))))))</f>
        <v/>
      </c>
      <c r="AC951" s="79">
        <f>IF(AB951="","",IF(AH951=1,IF(Y951="⚠️ Delivery after install date","Delivery after install date: "&amp;B951,"Order late — install at risk: "&amp;B951),IF(AD951=1,IF(AB951=1,"Decision overdue: ","Decide: ")&amp;B951,"Order: "&amp;B951&amp;IF(N951="",""," from "&amp;N951))))</f>
        <v/>
      </c>
      <c r="AD951" s="79">
        <f>IF(AND(B951&lt;&gt;"",K951="",U951&lt;&gt;"Yes",X951&lt;&gt;"Yes"),1,0)</f>
        <v/>
      </c>
      <c r="AE951" s="79">
        <f>IF(AND(AD951=1,T951&lt;&gt;""),IF(T951&lt;AsOf,1,0),0)</f>
        <v/>
      </c>
      <c r="AF951" s="79">
        <f>IF(AND(AD951=1,T951&lt;&gt;""),IF(AND(T951&gt;=AsOf,T951&lt;=AsOf+AlertDays),1,0),0)</f>
        <v/>
      </c>
      <c r="AG951" s="79">
        <f>IF(Y951="Order now",1,0)</f>
        <v/>
      </c>
      <c r="AH951" s="79">
        <f>IF(OR(Y951="⚠️ Order late — install at risk",Y951="⚠️ Delivery after install date"),1,0)</f>
        <v/>
      </c>
      <c r="AI951" s="79">
        <f>IF(AND(B951&lt;&gt;"",K951&lt;&gt;"",U951&lt;&gt;"Yes",X951&lt;&gt;"Yes"),1,0)</f>
        <v/>
      </c>
      <c r="AJ951" s="79">
        <f>IF(Y951="⚠️ Order late — install at risk",1,0)</f>
        <v/>
      </c>
    </row>
    <row r="952" ht="20" customHeight="1">
      <c r="B952" s="72" t="n"/>
      <c r="C952" s="72" t="n"/>
      <c r="D952" s="72" t="n"/>
      <c r="E952" s="72" t="n"/>
      <c r="F952" s="73" t="n"/>
      <c r="G952" s="72" t="n"/>
      <c r="H952" s="73" t="n"/>
      <c r="I952" s="72" t="n"/>
      <c r="J952" s="73" t="n"/>
      <c r="K952" s="74" t="n"/>
      <c r="L952" s="75">
        <f>IF(K952="A",F952,IF(K952="B",H952,IF(K952="C",J952,"")))</f>
        <v/>
      </c>
      <c r="M952" s="72" t="n"/>
      <c r="N952" s="72" t="n"/>
      <c r="O952" s="89" t="n"/>
      <c r="P952" s="89" t="n"/>
      <c r="Q952" s="109" t="n"/>
      <c r="R952" s="120">
        <f>IF(B952="","",IF(Q952&lt;&gt;"",Q952,IF(P952="","",IFERROR(INDEX('Timeline'!$J$7:$J$1006,MATCH(P952,'Timeline'!$B$7:$B$1006,0)),""))))</f>
        <v/>
      </c>
      <c r="S952" s="126">
        <f>IF(R952="","",R952-IF(O952="",0,O952)-OrderBuf)</f>
        <v/>
      </c>
      <c r="T952" s="126">
        <f>IF(S952="","",S952-DecideBuf)</f>
        <v/>
      </c>
      <c r="U952" s="74" t="n"/>
      <c r="V952" s="109" t="n"/>
      <c r="W952" s="109" t="n"/>
      <c r="X952" s="74" t="n"/>
      <c r="Y952" s="116">
        <f>IF(B952="","",IF(X952="Yes","Delivered",IF(U952="Yes",IF(AND(W952&lt;&gt;"",R952&lt;&gt;""),IF(W952&gt;R952,"⚠️ Delivery after install date","Ordered"),"Ordered"),IF(K952="",IF(T952="","Waiting for decision",IF(T952&lt;=AsOf+AlertDays,"Decide now","Waiting for decision")),IF(S952="","Selected",IF(AsOf&gt;S952,"⚠️ Order late — install at risk",IF(S952&lt;=AsOf+AlertDays,"Order now","Selected")))))))</f>
        <v/>
      </c>
      <c r="Z952" s="79">
        <f>IF(B952="","",IF(OR(AH952=1,AE952=1),2,IF(OR(AG952=1,AF952=1),1,IF(OR(Y952="Ordered",Y952="Delivered"),0,""))))</f>
        <v/>
      </c>
      <c r="AA952" s="112">
        <f>IF(B952="","",IF(AH952=1,IF(Y952="⚠️ Delivery after install date",R952,S952),IF(AD952=1,T952,IF(AI952=1,S952,""))))</f>
        <v/>
      </c>
      <c r="AB952" s="79">
        <f>IF(AA952="","",IF(AH952=1,1,IF(AA952="","",IF(AA952&lt;AsOf,1,IF(AA952&lt;=AsOf+AlertDays,2,IF(AA952&lt;=AsOf+2*AlertDays,3,""))))))</f>
        <v/>
      </c>
      <c r="AC952" s="79">
        <f>IF(AB952="","",IF(AH952=1,IF(Y952="⚠️ Delivery after install date","Delivery after install date: "&amp;B952,"Order late — install at risk: "&amp;B952),IF(AD952=1,IF(AB952=1,"Decision overdue: ","Decide: ")&amp;B952,"Order: "&amp;B952&amp;IF(N952="",""," from "&amp;N952))))</f>
        <v/>
      </c>
      <c r="AD952" s="79">
        <f>IF(AND(B952&lt;&gt;"",K952="",U952&lt;&gt;"Yes",X952&lt;&gt;"Yes"),1,0)</f>
        <v/>
      </c>
      <c r="AE952" s="79">
        <f>IF(AND(AD952=1,T952&lt;&gt;""),IF(T952&lt;AsOf,1,0),0)</f>
        <v/>
      </c>
      <c r="AF952" s="79">
        <f>IF(AND(AD952=1,T952&lt;&gt;""),IF(AND(T952&gt;=AsOf,T952&lt;=AsOf+AlertDays),1,0),0)</f>
        <v/>
      </c>
      <c r="AG952" s="79">
        <f>IF(Y952="Order now",1,0)</f>
        <v/>
      </c>
      <c r="AH952" s="79">
        <f>IF(OR(Y952="⚠️ Order late — install at risk",Y952="⚠️ Delivery after install date"),1,0)</f>
        <v/>
      </c>
      <c r="AI952" s="79">
        <f>IF(AND(B952&lt;&gt;"",K952&lt;&gt;"",U952&lt;&gt;"Yes",X952&lt;&gt;"Yes"),1,0)</f>
        <v/>
      </c>
      <c r="AJ952" s="79">
        <f>IF(Y952="⚠️ Order late — install at risk",1,0)</f>
        <v/>
      </c>
    </row>
    <row r="953" ht="20" customHeight="1">
      <c r="B953" s="72" t="n"/>
      <c r="C953" s="72" t="n"/>
      <c r="D953" s="72" t="n"/>
      <c r="E953" s="72" t="n"/>
      <c r="F953" s="73" t="n"/>
      <c r="G953" s="72" t="n"/>
      <c r="H953" s="73" t="n"/>
      <c r="I953" s="72" t="n"/>
      <c r="J953" s="73" t="n"/>
      <c r="K953" s="74" t="n"/>
      <c r="L953" s="75">
        <f>IF(K953="A",F953,IF(K953="B",H953,IF(K953="C",J953,"")))</f>
        <v/>
      </c>
      <c r="M953" s="72" t="n"/>
      <c r="N953" s="72" t="n"/>
      <c r="O953" s="89" t="n"/>
      <c r="P953" s="89" t="n"/>
      <c r="Q953" s="109" t="n"/>
      <c r="R953" s="120">
        <f>IF(B953="","",IF(Q953&lt;&gt;"",Q953,IF(P953="","",IFERROR(INDEX('Timeline'!$J$7:$J$1006,MATCH(P953,'Timeline'!$B$7:$B$1006,0)),""))))</f>
        <v/>
      </c>
      <c r="S953" s="126">
        <f>IF(R953="","",R953-IF(O953="",0,O953)-OrderBuf)</f>
        <v/>
      </c>
      <c r="T953" s="126">
        <f>IF(S953="","",S953-DecideBuf)</f>
        <v/>
      </c>
      <c r="U953" s="74" t="n"/>
      <c r="V953" s="109" t="n"/>
      <c r="W953" s="109" t="n"/>
      <c r="X953" s="74" t="n"/>
      <c r="Y953" s="116">
        <f>IF(B953="","",IF(X953="Yes","Delivered",IF(U953="Yes",IF(AND(W953&lt;&gt;"",R953&lt;&gt;""),IF(W953&gt;R953,"⚠️ Delivery after install date","Ordered"),"Ordered"),IF(K953="",IF(T953="","Waiting for decision",IF(T953&lt;=AsOf+AlertDays,"Decide now","Waiting for decision")),IF(S953="","Selected",IF(AsOf&gt;S953,"⚠️ Order late — install at risk",IF(S953&lt;=AsOf+AlertDays,"Order now","Selected")))))))</f>
        <v/>
      </c>
      <c r="Z953" s="79">
        <f>IF(B953="","",IF(OR(AH953=1,AE953=1),2,IF(OR(AG953=1,AF953=1),1,IF(OR(Y953="Ordered",Y953="Delivered"),0,""))))</f>
        <v/>
      </c>
      <c r="AA953" s="112">
        <f>IF(B953="","",IF(AH953=1,IF(Y953="⚠️ Delivery after install date",R953,S953),IF(AD953=1,T953,IF(AI953=1,S953,""))))</f>
        <v/>
      </c>
      <c r="AB953" s="79">
        <f>IF(AA953="","",IF(AH953=1,1,IF(AA953="","",IF(AA953&lt;AsOf,1,IF(AA953&lt;=AsOf+AlertDays,2,IF(AA953&lt;=AsOf+2*AlertDays,3,""))))))</f>
        <v/>
      </c>
      <c r="AC953" s="79">
        <f>IF(AB953="","",IF(AH953=1,IF(Y953="⚠️ Delivery after install date","Delivery after install date: "&amp;B953,"Order late — install at risk: "&amp;B953),IF(AD953=1,IF(AB953=1,"Decision overdue: ","Decide: ")&amp;B953,"Order: "&amp;B953&amp;IF(N953="",""," from "&amp;N953))))</f>
        <v/>
      </c>
      <c r="AD953" s="79">
        <f>IF(AND(B953&lt;&gt;"",K953="",U953&lt;&gt;"Yes",X953&lt;&gt;"Yes"),1,0)</f>
        <v/>
      </c>
      <c r="AE953" s="79">
        <f>IF(AND(AD953=1,T953&lt;&gt;""),IF(T953&lt;AsOf,1,0),0)</f>
        <v/>
      </c>
      <c r="AF953" s="79">
        <f>IF(AND(AD953=1,T953&lt;&gt;""),IF(AND(T953&gt;=AsOf,T953&lt;=AsOf+AlertDays),1,0),0)</f>
        <v/>
      </c>
      <c r="AG953" s="79">
        <f>IF(Y953="Order now",1,0)</f>
        <v/>
      </c>
      <c r="AH953" s="79">
        <f>IF(OR(Y953="⚠️ Order late — install at risk",Y953="⚠️ Delivery after install date"),1,0)</f>
        <v/>
      </c>
      <c r="AI953" s="79">
        <f>IF(AND(B953&lt;&gt;"",K953&lt;&gt;"",U953&lt;&gt;"Yes",X953&lt;&gt;"Yes"),1,0)</f>
        <v/>
      </c>
      <c r="AJ953" s="79">
        <f>IF(Y953="⚠️ Order late — install at risk",1,0)</f>
        <v/>
      </c>
    </row>
    <row r="954" ht="20" customHeight="1">
      <c r="B954" s="72" t="n"/>
      <c r="C954" s="72" t="n"/>
      <c r="D954" s="72" t="n"/>
      <c r="E954" s="72" t="n"/>
      <c r="F954" s="73" t="n"/>
      <c r="G954" s="72" t="n"/>
      <c r="H954" s="73" t="n"/>
      <c r="I954" s="72" t="n"/>
      <c r="J954" s="73" t="n"/>
      <c r="K954" s="74" t="n"/>
      <c r="L954" s="75">
        <f>IF(K954="A",F954,IF(K954="B",H954,IF(K954="C",J954,"")))</f>
        <v/>
      </c>
      <c r="M954" s="72" t="n"/>
      <c r="N954" s="72" t="n"/>
      <c r="O954" s="89" t="n"/>
      <c r="P954" s="89" t="n"/>
      <c r="Q954" s="109" t="n"/>
      <c r="R954" s="120">
        <f>IF(B954="","",IF(Q954&lt;&gt;"",Q954,IF(P954="","",IFERROR(INDEX('Timeline'!$J$7:$J$1006,MATCH(P954,'Timeline'!$B$7:$B$1006,0)),""))))</f>
        <v/>
      </c>
      <c r="S954" s="126">
        <f>IF(R954="","",R954-IF(O954="",0,O954)-OrderBuf)</f>
        <v/>
      </c>
      <c r="T954" s="126">
        <f>IF(S954="","",S954-DecideBuf)</f>
        <v/>
      </c>
      <c r="U954" s="74" t="n"/>
      <c r="V954" s="109" t="n"/>
      <c r="W954" s="109" t="n"/>
      <c r="X954" s="74" t="n"/>
      <c r="Y954" s="116">
        <f>IF(B954="","",IF(X954="Yes","Delivered",IF(U954="Yes",IF(AND(W954&lt;&gt;"",R954&lt;&gt;""),IF(W954&gt;R954,"⚠️ Delivery after install date","Ordered"),"Ordered"),IF(K954="",IF(T954="","Waiting for decision",IF(T954&lt;=AsOf+AlertDays,"Decide now","Waiting for decision")),IF(S954="","Selected",IF(AsOf&gt;S954,"⚠️ Order late — install at risk",IF(S954&lt;=AsOf+AlertDays,"Order now","Selected")))))))</f>
        <v/>
      </c>
      <c r="Z954" s="79">
        <f>IF(B954="","",IF(OR(AH954=1,AE954=1),2,IF(OR(AG954=1,AF954=1),1,IF(OR(Y954="Ordered",Y954="Delivered"),0,""))))</f>
        <v/>
      </c>
      <c r="AA954" s="112">
        <f>IF(B954="","",IF(AH954=1,IF(Y954="⚠️ Delivery after install date",R954,S954),IF(AD954=1,T954,IF(AI954=1,S954,""))))</f>
        <v/>
      </c>
      <c r="AB954" s="79">
        <f>IF(AA954="","",IF(AH954=1,1,IF(AA954="","",IF(AA954&lt;AsOf,1,IF(AA954&lt;=AsOf+AlertDays,2,IF(AA954&lt;=AsOf+2*AlertDays,3,""))))))</f>
        <v/>
      </c>
      <c r="AC954" s="79">
        <f>IF(AB954="","",IF(AH954=1,IF(Y954="⚠️ Delivery after install date","Delivery after install date: "&amp;B954,"Order late — install at risk: "&amp;B954),IF(AD954=1,IF(AB954=1,"Decision overdue: ","Decide: ")&amp;B954,"Order: "&amp;B954&amp;IF(N954="",""," from "&amp;N954))))</f>
        <v/>
      </c>
      <c r="AD954" s="79">
        <f>IF(AND(B954&lt;&gt;"",K954="",U954&lt;&gt;"Yes",X954&lt;&gt;"Yes"),1,0)</f>
        <v/>
      </c>
      <c r="AE954" s="79">
        <f>IF(AND(AD954=1,T954&lt;&gt;""),IF(T954&lt;AsOf,1,0),0)</f>
        <v/>
      </c>
      <c r="AF954" s="79">
        <f>IF(AND(AD954=1,T954&lt;&gt;""),IF(AND(T954&gt;=AsOf,T954&lt;=AsOf+AlertDays),1,0),0)</f>
        <v/>
      </c>
      <c r="AG954" s="79">
        <f>IF(Y954="Order now",1,0)</f>
        <v/>
      </c>
      <c r="AH954" s="79">
        <f>IF(OR(Y954="⚠️ Order late — install at risk",Y954="⚠️ Delivery after install date"),1,0)</f>
        <v/>
      </c>
      <c r="AI954" s="79">
        <f>IF(AND(B954&lt;&gt;"",K954&lt;&gt;"",U954&lt;&gt;"Yes",X954&lt;&gt;"Yes"),1,0)</f>
        <v/>
      </c>
      <c r="AJ954" s="79">
        <f>IF(Y954="⚠️ Order late — install at risk",1,0)</f>
        <v/>
      </c>
    </row>
    <row r="955" ht="20" customHeight="1">
      <c r="B955" s="72" t="n"/>
      <c r="C955" s="72" t="n"/>
      <c r="D955" s="72" t="n"/>
      <c r="E955" s="72" t="n"/>
      <c r="F955" s="73" t="n"/>
      <c r="G955" s="72" t="n"/>
      <c r="H955" s="73" t="n"/>
      <c r="I955" s="72" t="n"/>
      <c r="J955" s="73" t="n"/>
      <c r="K955" s="74" t="n"/>
      <c r="L955" s="75">
        <f>IF(K955="A",F955,IF(K955="B",H955,IF(K955="C",J955,"")))</f>
        <v/>
      </c>
      <c r="M955" s="72" t="n"/>
      <c r="N955" s="72" t="n"/>
      <c r="O955" s="89" t="n"/>
      <c r="P955" s="89" t="n"/>
      <c r="Q955" s="109" t="n"/>
      <c r="R955" s="120">
        <f>IF(B955="","",IF(Q955&lt;&gt;"",Q955,IF(P955="","",IFERROR(INDEX('Timeline'!$J$7:$J$1006,MATCH(P955,'Timeline'!$B$7:$B$1006,0)),""))))</f>
        <v/>
      </c>
      <c r="S955" s="126">
        <f>IF(R955="","",R955-IF(O955="",0,O955)-OrderBuf)</f>
        <v/>
      </c>
      <c r="T955" s="126">
        <f>IF(S955="","",S955-DecideBuf)</f>
        <v/>
      </c>
      <c r="U955" s="74" t="n"/>
      <c r="V955" s="109" t="n"/>
      <c r="W955" s="109" t="n"/>
      <c r="X955" s="74" t="n"/>
      <c r="Y955" s="116">
        <f>IF(B955="","",IF(X955="Yes","Delivered",IF(U955="Yes",IF(AND(W955&lt;&gt;"",R955&lt;&gt;""),IF(W955&gt;R955,"⚠️ Delivery after install date","Ordered"),"Ordered"),IF(K955="",IF(T955="","Waiting for decision",IF(T955&lt;=AsOf+AlertDays,"Decide now","Waiting for decision")),IF(S955="","Selected",IF(AsOf&gt;S955,"⚠️ Order late — install at risk",IF(S955&lt;=AsOf+AlertDays,"Order now","Selected")))))))</f>
        <v/>
      </c>
      <c r="Z955" s="79">
        <f>IF(B955="","",IF(OR(AH955=1,AE955=1),2,IF(OR(AG955=1,AF955=1),1,IF(OR(Y955="Ordered",Y955="Delivered"),0,""))))</f>
        <v/>
      </c>
      <c r="AA955" s="112">
        <f>IF(B955="","",IF(AH955=1,IF(Y955="⚠️ Delivery after install date",R955,S955),IF(AD955=1,T955,IF(AI955=1,S955,""))))</f>
        <v/>
      </c>
      <c r="AB955" s="79">
        <f>IF(AA955="","",IF(AH955=1,1,IF(AA955="","",IF(AA955&lt;AsOf,1,IF(AA955&lt;=AsOf+AlertDays,2,IF(AA955&lt;=AsOf+2*AlertDays,3,""))))))</f>
        <v/>
      </c>
      <c r="AC955" s="79">
        <f>IF(AB955="","",IF(AH955=1,IF(Y955="⚠️ Delivery after install date","Delivery after install date: "&amp;B955,"Order late — install at risk: "&amp;B955),IF(AD955=1,IF(AB955=1,"Decision overdue: ","Decide: ")&amp;B955,"Order: "&amp;B955&amp;IF(N955="",""," from "&amp;N955))))</f>
        <v/>
      </c>
      <c r="AD955" s="79">
        <f>IF(AND(B955&lt;&gt;"",K955="",U955&lt;&gt;"Yes",X955&lt;&gt;"Yes"),1,0)</f>
        <v/>
      </c>
      <c r="AE955" s="79">
        <f>IF(AND(AD955=1,T955&lt;&gt;""),IF(T955&lt;AsOf,1,0),0)</f>
        <v/>
      </c>
      <c r="AF955" s="79">
        <f>IF(AND(AD955=1,T955&lt;&gt;""),IF(AND(T955&gt;=AsOf,T955&lt;=AsOf+AlertDays),1,0),0)</f>
        <v/>
      </c>
      <c r="AG955" s="79">
        <f>IF(Y955="Order now",1,0)</f>
        <v/>
      </c>
      <c r="AH955" s="79">
        <f>IF(OR(Y955="⚠️ Order late — install at risk",Y955="⚠️ Delivery after install date"),1,0)</f>
        <v/>
      </c>
      <c r="AI955" s="79">
        <f>IF(AND(B955&lt;&gt;"",K955&lt;&gt;"",U955&lt;&gt;"Yes",X955&lt;&gt;"Yes"),1,0)</f>
        <v/>
      </c>
      <c r="AJ955" s="79">
        <f>IF(Y955="⚠️ Order late — install at risk",1,0)</f>
        <v/>
      </c>
    </row>
    <row r="956" ht="20" customHeight="1">
      <c r="B956" s="72" t="n"/>
      <c r="C956" s="72" t="n"/>
      <c r="D956" s="72" t="n"/>
      <c r="E956" s="72" t="n"/>
      <c r="F956" s="73" t="n"/>
      <c r="G956" s="72" t="n"/>
      <c r="H956" s="73" t="n"/>
      <c r="I956" s="72" t="n"/>
      <c r="J956" s="73" t="n"/>
      <c r="K956" s="74" t="n"/>
      <c r="L956" s="75">
        <f>IF(K956="A",F956,IF(K956="B",H956,IF(K956="C",J956,"")))</f>
        <v/>
      </c>
      <c r="M956" s="72" t="n"/>
      <c r="N956" s="72" t="n"/>
      <c r="O956" s="89" t="n"/>
      <c r="P956" s="89" t="n"/>
      <c r="Q956" s="109" t="n"/>
      <c r="R956" s="120">
        <f>IF(B956="","",IF(Q956&lt;&gt;"",Q956,IF(P956="","",IFERROR(INDEX('Timeline'!$J$7:$J$1006,MATCH(P956,'Timeline'!$B$7:$B$1006,0)),""))))</f>
        <v/>
      </c>
      <c r="S956" s="126">
        <f>IF(R956="","",R956-IF(O956="",0,O956)-OrderBuf)</f>
        <v/>
      </c>
      <c r="T956" s="126">
        <f>IF(S956="","",S956-DecideBuf)</f>
        <v/>
      </c>
      <c r="U956" s="74" t="n"/>
      <c r="V956" s="109" t="n"/>
      <c r="W956" s="109" t="n"/>
      <c r="X956" s="74" t="n"/>
      <c r="Y956" s="116">
        <f>IF(B956="","",IF(X956="Yes","Delivered",IF(U956="Yes",IF(AND(W956&lt;&gt;"",R956&lt;&gt;""),IF(W956&gt;R956,"⚠️ Delivery after install date","Ordered"),"Ordered"),IF(K956="",IF(T956="","Waiting for decision",IF(T956&lt;=AsOf+AlertDays,"Decide now","Waiting for decision")),IF(S956="","Selected",IF(AsOf&gt;S956,"⚠️ Order late — install at risk",IF(S956&lt;=AsOf+AlertDays,"Order now","Selected")))))))</f>
        <v/>
      </c>
      <c r="Z956" s="79">
        <f>IF(B956="","",IF(OR(AH956=1,AE956=1),2,IF(OR(AG956=1,AF956=1),1,IF(OR(Y956="Ordered",Y956="Delivered"),0,""))))</f>
        <v/>
      </c>
      <c r="AA956" s="112">
        <f>IF(B956="","",IF(AH956=1,IF(Y956="⚠️ Delivery after install date",R956,S956),IF(AD956=1,T956,IF(AI956=1,S956,""))))</f>
        <v/>
      </c>
      <c r="AB956" s="79">
        <f>IF(AA956="","",IF(AH956=1,1,IF(AA956="","",IF(AA956&lt;AsOf,1,IF(AA956&lt;=AsOf+AlertDays,2,IF(AA956&lt;=AsOf+2*AlertDays,3,""))))))</f>
        <v/>
      </c>
      <c r="AC956" s="79">
        <f>IF(AB956="","",IF(AH956=1,IF(Y956="⚠️ Delivery after install date","Delivery after install date: "&amp;B956,"Order late — install at risk: "&amp;B956),IF(AD956=1,IF(AB956=1,"Decision overdue: ","Decide: ")&amp;B956,"Order: "&amp;B956&amp;IF(N956="",""," from "&amp;N956))))</f>
        <v/>
      </c>
      <c r="AD956" s="79">
        <f>IF(AND(B956&lt;&gt;"",K956="",U956&lt;&gt;"Yes",X956&lt;&gt;"Yes"),1,0)</f>
        <v/>
      </c>
      <c r="AE956" s="79">
        <f>IF(AND(AD956=1,T956&lt;&gt;""),IF(T956&lt;AsOf,1,0),0)</f>
        <v/>
      </c>
      <c r="AF956" s="79">
        <f>IF(AND(AD956=1,T956&lt;&gt;""),IF(AND(T956&gt;=AsOf,T956&lt;=AsOf+AlertDays),1,0),0)</f>
        <v/>
      </c>
      <c r="AG956" s="79">
        <f>IF(Y956="Order now",1,0)</f>
        <v/>
      </c>
      <c r="AH956" s="79">
        <f>IF(OR(Y956="⚠️ Order late — install at risk",Y956="⚠️ Delivery after install date"),1,0)</f>
        <v/>
      </c>
      <c r="AI956" s="79">
        <f>IF(AND(B956&lt;&gt;"",K956&lt;&gt;"",U956&lt;&gt;"Yes",X956&lt;&gt;"Yes"),1,0)</f>
        <v/>
      </c>
      <c r="AJ956" s="79">
        <f>IF(Y956="⚠️ Order late — install at risk",1,0)</f>
        <v/>
      </c>
    </row>
    <row r="957" ht="20" customHeight="1">
      <c r="B957" s="72" t="n"/>
      <c r="C957" s="72" t="n"/>
      <c r="D957" s="72" t="n"/>
      <c r="E957" s="72" t="n"/>
      <c r="F957" s="73" t="n"/>
      <c r="G957" s="72" t="n"/>
      <c r="H957" s="73" t="n"/>
      <c r="I957" s="72" t="n"/>
      <c r="J957" s="73" t="n"/>
      <c r="K957" s="74" t="n"/>
      <c r="L957" s="75">
        <f>IF(K957="A",F957,IF(K957="B",H957,IF(K957="C",J957,"")))</f>
        <v/>
      </c>
      <c r="M957" s="72" t="n"/>
      <c r="N957" s="72" t="n"/>
      <c r="O957" s="89" t="n"/>
      <c r="P957" s="89" t="n"/>
      <c r="Q957" s="109" t="n"/>
      <c r="R957" s="120">
        <f>IF(B957="","",IF(Q957&lt;&gt;"",Q957,IF(P957="","",IFERROR(INDEX('Timeline'!$J$7:$J$1006,MATCH(P957,'Timeline'!$B$7:$B$1006,0)),""))))</f>
        <v/>
      </c>
      <c r="S957" s="126">
        <f>IF(R957="","",R957-IF(O957="",0,O957)-OrderBuf)</f>
        <v/>
      </c>
      <c r="T957" s="126">
        <f>IF(S957="","",S957-DecideBuf)</f>
        <v/>
      </c>
      <c r="U957" s="74" t="n"/>
      <c r="V957" s="109" t="n"/>
      <c r="W957" s="109" t="n"/>
      <c r="X957" s="74" t="n"/>
      <c r="Y957" s="116">
        <f>IF(B957="","",IF(X957="Yes","Delivered",IF(U957="Yes",IF(AND(W957&lt;&gt;"",R957&lt;&gt;""),IF(W957&gt;R957,"⚠️ Delivery after install date","Ordered"),"Ordered"),IF(K957="",IF(T957="","Waiting for decision",IF(T957&lt;=AsOf+AlertDays,"Decide now","Waiting for decision")),IF(S957="","Selected",IF(AsOf&gt;S957,"⚠️ Order late — install at risk",IF(S957&lt;=AsOf+AlertDays,"Order now","Selected")))))))</f>
        <v/>
      </c>
      <c r="Z957" s="79">
        <f>IF(B957="","",IF(OR(AH957=1,AE957=1),2,IF(OR(AG957=1,AF957=1),1,IF(OR(Y957="Ordered",Y957="Delivered"),0,""))))</f>
        <v/>
      </c>
      <c r="AA957" s="112">
        <f>IF(B957="","",IF(AH957=1,IF(Y957="⚠️ Delivery after install date",R957,S957),IF(AD957=1,T957,IF(AI957=1,S957,""))))</f>
        <v/>
      </c>
      <c r="AB957" s="79">
        <f>IF(AA957="","",IF(AH957=1,1,IF(AA957="","",IF(AA957&lt;AsOf,1,IF(AA957&lt;=AsOf+AlertDays,2,IF(AA957&lt;=AsOf+2*AlertDays,3,""))))))</f>
        <v/>
      </c>
      <c r="AC957" s="79">
        <f>IF(AB957="","",IF(AH957=1,IF(Y957="⚠️ Delivery after install date","Delivery after install date: "&amp;B957,"Order late — install at risk: "&amp;B957),IF(AD957=1,IF(AB957=1,"Decision overdue: ","Decide: ")&amp;B957,"Order: "&amp;B957&amp;IF(N957="",""," from "&amp;N957))))</f>
        <v/>
      </c>
      <c r="AD957" s="79">
        <f>IF(AND(B957&lt;&gt;"",K957="",U957&lt;&gt;"Yes",X957&lt;&gt;"Yes"),1,0)</f>
        <v/>
      </c>
      <c r="AE957" s="79">
        <f>IF(AND(AD957=1,T957&lt;&gt;""),IF(T957&lt;AsOf,1,0),0)</f>
        <v/>
      </c>
      <c r="AF957" s="79">
        <f>IF(AND(AD957=1,T957&lt;&gt;""),IF(AND(T957&gt;=AsOf,T957&lt;=AsOf+AlertDays),1,0),0)</f>
        <v/>
      </c>
      <c r="AG957" s="79">
        <f>IF(Y957="Order now",1,0)</f>
        <v/>
      </c>
      <c r="AH957" s="79">
        <f>IF(OR(Y957="⚠️ Order late — install at risk",Y957="⚠️ Delivery after install date"),1,0)</f>
        <v/>
      </c>
      <c r="AI957" s="79">
        <f>IF(AND(B957&lt;&gt;"",K957&lt;&gt;"",U957&lt;&gt;"Yes",X957&lt;&gt;"Yes"),1,0)</f>
        <v/>
      </c>
      <c r="AJ957" s="79">
        <f>IF(Y957="⚠️ Order late — install at risk",1,0)</f>
        <v/>
      </c>
    </row>
    <row r="958" ht="20" customHeight="1">
      <c r="B958" s="72" t="n"/>
      <c r="C958" s="72" t="n"/>
      <c r="D958" s="72" t="n"/>
      <c r="E958" s="72" t="n"/>
      <c r="F958" s="73" t="n"/>
      <c r="G958" s="72" t="n"/>
      <c r="H958" s="73" t="n"/>
      <c r="I958" s="72" t="n"/>
      <c r="J958" s="73" t="n"/>
      <c r="K958" s="74" t="n"/>
      <c r="L958" s="75">
        <f>IF(K958="A",F958,IF(K958="B",H958,IF(K958="C",J958,"")))</f>
        <v/>
      </c>
      <c r="M958" s="72" t="n"/>
      <c r="N958" s="72" t="n"/>
      <c r="O958" s="89" t="n"/>
      <c r="P958" s="89" t="n"/>
      <c r="Q958" s="109" t="n"/>
      <c r="R958" s="120">
        <f>IF(B958="","",IF(Q958&lt;&gt;"",Q958,IF(P958="","",IFERROR(INDEX('Timeline'!$J$7:$J$1006,MATCH(P958,'Timeline'!$B$7:$B$1006,0)),""))))</f>
        <v/>
      </c>
      <c r="S958" s="126">
        <f>IF(R958="","",R958-IF(O958="",0,O958)-OrderBuf)</f>
        <v/>
      </c>
      <c r="T958" s="126">
        <f>IF(S958="","",S958-DecideBuf)</f>
        <v/>
      </c>
      <c r="U958" s="74" t="n"/>
      <c r="V958" s="109" t="n"/>
      <c r="W958" s="109" t="n"/>
      <c r="X958" s="74" t="n"/>
      <c r="Y958" s="116">
        <f>IF(B958="","",IF(X958="Yes","Delivered",IF(U958="Yes",IF(AND(W958&lt;&gt;"",R958&lt;&gt;""),IF(W958&gt;R958,"⚠️ Delivery after install date","Ordered"),"Ordered"),IF(K958="",IF(T958="","Waiting for decision",IF(T958&lt;=AsOf+AlertDays,"Decide now","Waiting for decision")),IF(S958="","Selected",IF(AsOf&gt;S958,"⚠️ Order late — install at risk",IF(S958&lt;=AsOf+AlertDays,"Order now","Selected")))))))</f>
        <v/>
      </c>
      <c r="Z958" s="79">
        <f>IF(B958="","",IF(OR(AH958=1,AE958=1),2,IF(OR(AG958=1,AF958=1),1,IF(OR(Y958="Ordered",Y958="Delivered"),0,""))))</f>
        <v/>
      </c>
      <c r="AA958" s="112">
        <f>IF(B958="","",IF(AH958=1,IF(Y958="⚠️ Delivery after install date",R958,S958),IF(AD958=1,T958,IF(AI958=1,S958,""))))</f>
        <v/>
      </c>
      <c r="AB958" s="79">
        <f>IF(AA958="","",IF(AH958=1,1,IF(AA958="","",IF(AA958&lt;AsOf,1,IF(AA958&lt;=AsOf+AlertDays,2,IF(AA958&lt;=AsOf+2*AlertDays,3,""))))))</f>
        <v/>
      </c>
      <c r="AC958" s="79">
        <f>IF(AB958="","",IF(AH958=1,IF(Y958="⚠️ Delivery after install date","Delivery after install date: "&amp;B958,"Order late — install at risk: "&amp;B958),IF(AD958=1,IF(AB958=1,"Decision overdue: ","Decide: ")&amp;B958,"Order: "&amp;B958&amp;IF(N958="",""," from "&amp;N958))))</f>
        <v/>
      </c>
      <c r="AD958" s="79">
        <f>IF(AND(B958&lt;&gt;"",K958="",U958&lt;&gt;"Yes",X958&lt;&gt;"Yes"),1,0)</f>
        <v/>
      </c>
      <c r="AE958" s="79">
        <f>IF(AND(AD958=1,T958&lt;&gt;""),IF(T958&lt;AsOf,1,0),0)</f>
        <v/>
      </c>
      <c r="AF958" s="79">
        <f>IF(AND(AD958=1,T958&lt;&gt;""),IF(AND(T958&gt;=AsOf,T958&lt;=AsOf+AlertDays),1,0),0)</f>
        <v/>
      </c>
      <c r="AG958" s="79">
        <f>IF(Y958="Order now",1,0)</f>
        <v/>
      </c>
      <c r="AH958" s="79">
        <f>IF(OR(Y958="⚠️ Order late — install at risk",Y958="⚠️ Delivery after install date"),1,0)</f>
        <v/>
      </c>
      <c r="AI958" s="79">
        <f>IF(AND(B958&lt;&gt;"",K958&lt;&gt;"",U958&lt;&gt;"Yes",X958&lt;&gt;"Yes"),1,0)</f>
        <v/>
      </c>
      <c r="AJ958" s="79">
        <f>IF(Y958="⚠️ Order late — install at risk",1,0)</f>
        <v/>
      </c>
    </row>
    <row r="959" ht="20" customHeight="1">
      <c r="B959" s="72" t="n"/>
      <c r="C959" s="72" t="n"/>
      <c r="D959" s="72" t="n"/>
      <c r="E959" s="72" t="n"/>
      <c r="F959" s="73" t="n"/>
      <c r="G959" s="72" t="n"/>
      <c r="H959" s="73" t="n"/>
      <c r="I959" s="72" t="n"/>
      <c r="J959" s="73" t="n"/>
      <c r="K959" s="74" t="n"/>
      <c r="L959" s="75">
        <f>IF(K959="A",F959,IF(K959="B",H959,IF(K959="C",J959,"")))</f>
        <v/>
      </c>
      <c r="M959" s="72" t="n"/>
      <c r="N959" s="72" t="n"/>
      <c r="O959" s="89" t="n"/>
      <c r="P959" s="89" t="n"/>
      <c r="Q959" s="109" t="n"/>
      <c r="R959" s="120">
        <f>IF(B959="","",IF(Q959&lt;&gt;"",Q959,IF(P959="","",IFERROR(INDEX('Timeline'!$J$7:$J$1006,MATCH(P959,'Timeline'!$B$7:$B$1006,0)),""))))</f>
        <v/>
      </c>
      <c r="S959" s="126">
        <f>IF(R959="","",R959-IF(O959="",0,O959)-OrderBuf)</f>
        <v/>
      </c>
      <c r="T959" s="126">
        <f>IF(S959="","",S959-DecideBuf)</f>
        <v/>
      </c>
      <c r="U959" s="74" t="n"/>
      <c r="V959" s="109" t="n"/>
      <c r="W959" s="109" t="n"/>
      <c r="X959" s="74" t="n"/>
      <c r="Y959" s="116">
        <f>IF(B959="","",IF(X959="Yes","Delivered",IF(U959="Yes",IF(AND(W959&lt;&gt;"",R959&lt;&gt;""),IF(W959&gt;R959,"⚠️ Delivery after install date","Ordered"),"Ordered"),IF(K959="",IF(T959="","Waiting for decision",IF(T959&lt;=AsOf+AlertDays,"Decide now","Waiting for decision")),IF(S959="","Selected",IF(AsOf&gt;S959,"⚠️ Order late — install at risk",IF(S959&lt;=AsOf+AlertDays,"Order now","Selected")))))))</f>
        <v/>
      </c>
      <c r="Z959" s="79">
        <f>IF(B959="","",IF(OR(AH959=1,AE959=1),2,IF(OR(AG959=1,AF959=1),1,IF(OR(Y959="Ordered",Y959="Delivered"),0,""))))</f>
        <v/>
      </c>
      <c r="AA959" s="112">
        <f>IF(B959="","",IF(AH959=1,IF(Y959="⚠️ Delivery after install date",R959,S959),IF(AD959=1,T959,IF(AI959=1,S959,""))))</f>
        <v/>
      </c>
      <c r="AB959" s="79">
        <f>IF(AA959="","",IF(AH959=1,1,IF(AA959="","",IF(AA959&lt;AsOf,1,IF(AA959&lt;=AsOf+AlertDays,2,IF(AA959&lt;=AsOf+2*AlertDays,3,""))))))</f>
        <v/>
      </c>
      <c r="AC959" s="79">
        <f>IF(AB959="","",IF(AH959=1,IF(Y959="⚠️ Delivery after install date","Delivery after install date: "&amp;B959,"Order late — install at risk: "&amp;B959),IF(AD959=1,IF(AB959=1,"Decision overdue: ","Decide: ")&amp;B959,"Order: "&amp;B959&amp;IF(N959="",""," from "&amp;N959))))</f>
        <v/>
      </c>
      <c r="AD959" s="79">
        <f>IF(AND(B959&lt;&gt;"",K959="",U959&lt;&gt;"Yes",X959&lt;&gt;"Yes"),1,0)</f>
        <v/>
      </c>
      <c r="AE959" s="79">
        <f>IF(AND(AD959=1,T959&lt;&gt;""),IF(T959&lt;AsOf,1,0),0)</f>
        <v/>
      </c>
      <c r="AF959" s="79">
        <f>IF(AND(AD959=1,T959&lt;&gt;""),IF(AND(T959&gt;=AsOf,T959&lt;=AsOf+AlertDays),1,0),0)</f>
        <v/>
      </c>
      <c r="AG959" s="79">
        <f>IF(Y959="Order now",1,0)</f>
        <v/>
      </c>
      <c r="AH959" s="79">
        <f>IF(OR(Y959="⚠️ Order late — install at risk",Y959="⚠️ Delivery after install date"),1,0)</f>
        <v/>
      </c>
      <c r="AI959" s="79">
        <f>IF(AND(B959&lt;&gt;"",K959&lt;&gt;"",U959&lt;&gt;"Yes",X959&lt;&gt;"Yes"),1,0)</f>
        <v/>
      </c>
      <c r="AJ959" s="79">
        <f>IF(Y959="⚠️ Order late — install at risk",1,0)</f>
        <v/>
      </c>
    </row>
    <row r="960" ht="20" customHeight="1">
      <c r="B960" s="72" t="n"/>
      <c r="C960" s="72" t="n"/>
      <c r="D960" s="72" t="n"/>
      <c r="E960" s="72" t="n"/>
      <c r="F960" s="73" t="n"/>
      <c r="G960" s="72" t="n"/>
      <c r="H960" s="73" t="n"/>
      <c r="I960" s="72" t="n"/>
      <c r="J960" s="73" t="n"/>
      <c r="K960" s="74" t="n"/>
      <c r="L960" s="75">
        <f>IF(K960="A",F960,IF(K960="B",H960,IF(K960="C",J960,"")))</f>
        <v/>
      </c>
      <c r="M960" s="72" t="n"/>
      <c r="N960" s="72" t="n"/>
      <c r="O960" s="89" t="n"/>
      <c r="P960" s="89" t="n"/>
      <c r="Q960" s="109" t="n"/>
      <c r="R960" s="120">
        <f>IF(B960="","",IF(Q960&lt;&gt;"",Q960,IF(P960="","",IFERROR(INDEX('Timeline'!$J$7:$J$1006,MATCH(P960,'Timeline'!$B$7:$B$1006,0)),""))))</f>
        <v/>
      </c>
      <c r="S960" s="126">
        <f>IF(R960="","",R960-IF(O960="",0,O960)-OrderBuf)</f>
        <v/>
      </c>
      <c r="T960" s="126">
        <f>IF(S960="","",S960-DecideBuf)</f>
        <v/>
      </c>
      <c r="U960" s="74" t="n"/>
      <c r="V960" s="109" t="n"/>
      <c r="W960" s="109" t="n"/>
      <c r="X960" s="74" t="n"/>
      <c r="Y960" s="116">
        <f>IF(B960="","",IF(X960="Yes","Delivered",IF(U960="Yes",IF(AND(W960&lt;&gt;"",R960&lt;&gt;""),IF(W960&gt;R960,"⚠️ Delivery after install date","Ordered"),"Ordered"),IF(K960="",IF(T960="","Waiting for decision",IF(T960&lt;=AsOf+AlertDays,"Decide now","Waiting for decision")),IF(S960="","Selected",IF(AsOf&gt;S960,"⚠️ Order late — install at risk",IF(S960&lt;=AsOf+AlertDays,"Order now","Selected")))))))</f>
        <v/>
      </c>
      <c r="Z960" s="79">
        <f>IF(B960="","",IF(OR(AH960=1,AE960=1),2,IF(OR(AG960=1,AF960=1),1,IF(OR(Y960="Ordered",Y960="Delivered"),0,""))))</f>
        <v/>
      </c>
      <c r="AA960" s="112">
        <f>IF(B960="","",IF(AH960=1,IF(Y960="⚠️ Delivery after install date",R960,S960),IF(AD960=1,T960,IF(AI960=1,S960,""))))</f>
        <v/>
      </c>
      <c r="AB960" s="79">
        <f>IF(AA960="","",IF(AH960=1,1,IF(AA960="","",IF(AA960&lt;AsOf,1,IF(AA960&lt;=AsOf+AlertDays,2,IF(AA960&lt;=AsOf+2*AlertDays,3,""))))))</f>
        <v/>
      </c>
      <c r="AC960" s="79">
        <f>IF(AB960="","",IF(AH960=1,IF(Y960="⚠️ Delivery after install date","Delivery after install date: "&amp;B960,"Order late — install at risk: "&amp;B960),IF(AD960=1,IF(AB960=1,"Decision overdue: ","Decide: ")&amp;B960,"Order: "&amp;B960&amp;IF(N960="",""," from "&amp;N960))))</f>
        <v/>
      </c>
      <c r="AD960" s="79">
        <f>IF(AND(B960&lt;&gt;"",K960="",U960&lt;&gt;"Yes",X960&lt;&gt;"Yes"),1,0)</f>
        <v/>
      </c>
      <c r="AE960" s="79">
        <f>IF(AND(AD960=1,T960&lt;&gt;""),IF(T960&lt;AsOf,1,0),0)</f>
        <v/>
      </c>
      <c r="AF960" s="79">
        <f>IF(AND(AD960=1,T960&lt;&gt;""),IF(AND(T960&gt;=AsOf,T960&lt;=AsOf+AlertDays),1,0),0)</f>
        <v/>
      </c>
      <c r="AG960" s="79">
        <f>IF(Y960="Order now",1,0)</f>
        <v/>
      </c>
      <c r="AH960" s="79">
        <f>IF(OR(Y960="⚠️ Order late — install at risk",Y960="⚠️ Delivery after install date"),1,0)</f>
        <v/>
      </c>
      <c r="AI960" s="79">
        <f>IF(AND(B960&lt;&gt;"",K960&lt;&gt;"",U960&lt;&gt;"Yes",X960&lt;&gt;"Yes"),1,0)</f>
        <v/>
      </c>
      <c r="AJ960" s="79">
        <f>IF(Y960="⚠️ Order late — install at risk",1,0)</f>
        <v/>
      </c>
    </row>
    <row r="961" ht="20" customHeight="1">
      <c r="B961" s="72" t="n"/>
      <c r="C961" s="72" t="n"/>
      <c r="D961" s="72" t="n"/>
      <c r="E961" s="72" t="n"/>
      <c r="F961" s="73" t="n"/>
      <c r="G961" s="72" t="n"/>
      <c r="H961" s="73" t="n"/>
      <c r="I961" s="72" t="n"/>
      <c r="J961" s="73" t="n"/>
      <c r="K961" s="74" t="n"/>
      <c r="L961" s="75">
        <f>IF(K961="A",F961,IF(K961="B",H961,IF(K961="C",J961,"")))</f>
        <v/>
      </c>
      <c r="M961" s="72" t="n"/>
      <c r="N961" s="72" t="n"/>
      <c r="O961" s="89" t="n"/>
      <c r="P961" s="89" t="n"/>
      <c r="Q961" s="109" t="n"/>
      <c r="R961" s="120">
        <f>IF(B961="","",IF(Q961&lt;&gt;"",Q961,IF(P961="","",IFERROR(INDEX('Timeline'!$J$7:$J$1006,MATCH(P961,'Timeline'!$B$7:$B$1006,0)),""))))</f>
        <v/>
      </c>
      <c r="S961" s="126">
        <f>IF(R961="","",R961-IF(O961="",0,O961)-OrderBuf)</f>
        <v/>
      </c>
      <c r="T961" s="126">
        <f>IF(S961="","",S961-DecideBuf)</f>
        <v/>
      </c>
      <c r="U961" s="74" t="n"/>
      <c r="V961" s="109" t="n"/>
      <c r="W961" s="109" t="n"/>
      <c r="X961" s="74" t="n"/>
      <c r="Y961" s="116">
        <f>IF(B961="","",IF(X961="Yes","Delivered",IF(U961="Yes",IF(AND(W961&lt;&gt;"",R961&lt;&gt;""),IF(W961&gt;R961,"⚠️ Delivery after install date","Ordered"),"Ordered"),IF(K961="",IF(T961="","Waiting for decision",IF(T961&lt;=AsOf+AlertDays,"Decide now","Waiting for decision")),IF(S961="","Selected",IF(AsOf&gt;S961,"⚠️ Order late — install at risk",IF(S961&lt;=AsOf+AlertDays,"Order now","Selected")))))))</f>
        <v/>
      </c>
      <c r="Z961" s="79">
        <f>IF(B961="","",IF(OR(AH961=1,AE961=1),2,IF(OR(AG961=1,AF961=1),1,IF(OR(Y961="Ordered",Y961="Delivered"),0,""))))</f>
        <v/>
      </c>
      <c r="AA961" s="112">
        <f>IF(B961="","",IF(AH961=1,IF(Y961="⚠️ Delivery after install date",R961,S961),IF(AD961=1,T961,IF(AI961=1,S961,""))))</f>
        <v/>
      </c>
      <c r="AB961" s="79">
        <f>IF(AA961="","",IF(AH961=1,1,IF(AA961="","",IF(AA961&lt;AsOf,1,IF(AA961&lt;=AsOf+AlertDays,2,IF(AA961&lt;=AsOf+2*AlertDays,3,""))))))</f>
        <v/>
      </c>
      <c r="AC961" s="79">
        <f>IF(AB961="","",IF(AH961=1,IF(Y961="⚠️ Delivery after install date","Delivery after install date: "&amp;B961,"Order late — install at risk: "&amp;B961),IF(AD961=1,IF(AB961=1,"Decision overdue: ","Decide: ")&amp;B961,"Order: "&amp;B961&amp;IF(N961="",""," from "&amp;N961))))</f>
        <v/>
      </c>
      <c r="AD961" s="79">
        <f>IF(AND(B961&lt;&gt;"",K961="",U961&lt;&gt;"Yes",X961&lt;&gt;"Yes"),1,0)</f>
        <v/>
      </c>
      <c r="AE961" s="79">
        <f>IF(AND(AD961=1,T961&lt;&gt;""),IF(T961&lt;AsOf,1,0),0)</f>
        <v/>
      </c>
      <c r="AF961" s="79">
        <f>IF(AND(AD961=1,T961&lt;&gt;""),IF(AND(T961&gt;=AsOf,T961&lt;=AsOf+AlertDays),1,0),0)</f>
        <v/>
      </c>
      <c r="AG961" s="79">
        <f>IF(Y961="Order now",1,0)</f>
        <v/>
      </c>
      <c r="AH961" s="79">
        <f>IF(OR(Y961="⚠️ Order late — install at risk",Y961="⚠️ Delivery after install date"),1,0)</f>
        <v/>
      </c>
      <c r="AI961" s="79">
        <f>IF(AND(B961&lt;&gt;"",K961&lt;&gt;"",U961&lt;&gt;"Yes",X961&lt;&gt;"Yes"),1,0)</f>
        <v/>
      </c>
      <c r="AJ961" s="79">
        <f>IF(Y961="⚠️ Order late — install at risk",1,0)</f>
        <v/>
      </c>
    </row>
    <row r="962" ht="20" customHeight="1">
      <c r="B962" s="72" t="n"/>
      <c r="C962" s="72" t="n"/>
      <c r="D962" s="72" t="n"/>
      <c r="E962" s="72" t="n"/>
      <c r="F962" s="73" t="n"/>
      <c r="G962" s="72" t="n"/>
      <c r="H962" s="73" t="n"/>
      <c r="I962" s="72" t="n"/>
      <c r="J962" s="73" t="n"/>
      <c r="K962" s="74" t="n"/>
      <c r="L962" s="75">
        <f>IF(K962="A",F962,IF(K962="B",H962,IF(K962="C",J962,"")))</f>
        <v/>
      </c>
      <c r="M962" s="72" t="n"/>
      <c r="N962" s="72" t="n"/>
      <c r="O962" s="89" t="n"/>
      <c r="P962" s="89" t="n"/>
      <c r="Q962" s="109" t="n"/>
      <c r="R962" s="120">
        <f>IF(B962="","",IF(Q962&lt;&gt;"",Q962,IF(P962="","",IFERROR(INDEX('Timeline'!$J$7:$J$1006,MATCH(P962,'Timeline'!$B$7:$B$1006,0)),""))))</f>
        <v/>
      </c>
      <c r="S962" s="126">
        <f>IF(R962="","",R962-IF(O962="",0,O962)-OrderBuf)</f>
        <v/>
      </c>
      <c r="T962" s="126">
        <f>IF(S962="","",S962-DecideBuf)</f>
        <v/>
      </c>
      <c r="U962" s="74" t="n"/>
      <c r="V962" s="109" t="n"/>
      <c r="W962" s="109" t="n"/>
      <c r="X962" s="74" t="n"/>
      <c r="Y962" s="116">
        <f>IF(B962="","",IF(X962="Yes","Delivered",IF(U962="Yes",IF(AND(W962&lt;&gt;"",R962&lt;&gt;""),IF(W962&gt;R962,"⚠️ Delivery after install date","Ordered"),"Ordered"),IF(K962="",IF(T962="","Waiting for decision",IF(T962&lt;=AsOf+AlertDays,"Decide now","Waiting for decision")),IF(S962="","Selected",IF(AsOf&gt;S962,"⚠️ Order late — install at risk",IF(S962&lt;=AsOf+AlertDays,"Order now","Selected")))))))</f>
        <v/>
      </c>
      <c r="Z962" s="79">
        <f>IF(B962="","",IF(OR(AH962=1,AE962=1),2,IF(OR(AG962=1,AF962=1),1,IF(OR(Y962="Ordered",Y962="Delivered"),0,""))))</f>
        <v/>
      </c>
      <c r="AA962" s="112">
        <f>IF(B962="","",IF(AH962=1,IF(Y962="⚠️ Delivery after install date",R962,S962),IF(AD962=1,T962,IF(AI962=1,S962,""))))</f>
        <v/>
      </c>
      <c r="AB962" s="79">
        <f>IF(AA962="","",IF(AH962=1,1,IF(AA962="","",IF(AA962&lt;AsOf,1,IF(AA962&lt;=AsOf+AlertDays,2,IF(AA962&lt;=AsOf+2*AlertDays,3,""))))))</f>
        <v/>
      </c>
      <c r="AC962" s="79">
        <f>IF(AB962="","",IF(AH962=1,IF(Y962="⚠️ Delivery after install date","Delivery after install date: "&amp;B962,"Order late — install at risk: "&amp;B962),IF(AD962=1,IF(AB962=1,"Decision overdue: ","Decide: ")&amp;B962,"Order: "&amp;B962&amp;IF(N962="",""," from "&amp;N962))))</f>
        <v/>
      </c>
      <c r="AD962" s="79">
        <f>IF(AND(B962&lt;&gt;"",K962="",U962&lt;&gt;"Yes",X962&lt;&gt;"Yes"),1,0)</f>
        <v/>
      </c>
      <c r="AE962" s="79">
        <f>IF(AND(AD962=1,T962&lt;&gt;""),IF(T962&lt;AsOf,1,0),0)</f>
        <v/>
      </c>
      <c r="AF962" s="79">
        <f>IF(AND(AD962=1,T962&lt;&gt;""),IF(AND(T962&gt;=AsOf,T962&lt;=AsOf+AlertDays),1,0),0)</f>
        <v/>
      </c>
      <c r="AG962" s="79">
        <f>IF(Y962="Order now",1,0)</f>
        <v/>
      </c>
      <c r="AH962" s="79">
        <f>IF(OR(Y962="⚠️ Order late — install at risk",Y962="⚠️ Delivery after install date"),1,0)</f>
        <v/>
      </c>
      <c r="AI962" s="79">
        <f>IF(AND(B962&lt;&gt;"",K962&lt;&gt;"",U962&lt;&gt;"Yes",X962&lt;&gt;"Yes"),1,0)</f>
        <v/>
      </c>
      <c r="AJ962" s="79">
        <f>IF(Y962="⚠️ Order late — install at risk",1,0)</f>
        <v/>
      </c>
    </row>
    <row r="963" ht="20" customHeight="1">
      <c r="B963" s="72" t="n"/>
      <c r="C963" s="72" t="n"/>
      <c r="D963" s="72" t="n"/>
      <c r="E963" s="72" t="n"/>
      <c r="F963" s="73" t="n"/>
      <c r="G963" s="72" t="n"/>
      <c r="H963" s="73" t="n"/>
      <c r="I963" s="72" t="n"/>
      <c r="J963" s="73" t="n"/>
      <c r="K963" s="74" t="n"/>
      <c r="L963" s="75">
        <f>IF(K963="A",F963,IF(K963="B",H963,IF(K963="C",J963,"")))</f>
        <v/>
      </c>
      <c r="M963" s="72" t="n"/>
      <c r="N963" s="72" t="n"/>
      <c r="O963" s="89" t="n"/>
      <c r="P963" s="89" t="n"/>
      <c r="Q963" s="109" t="n"/>
      <c r="R963" s="120">
        <f>IF(B963="","",IF(Q963&lt;&gt;"",Q963,IF(P963="","",IFERROR(INDEX('Timeline'!$J$7:$J$1006,MATCH(P963,'Timeline'!$B$7:$B$1006,0)),""))))</f>
        <v/>
      </c>
      <c r="S963" s="126">
        <f>IF(R963="","",R963-IF(O963="",0,O963)-OrderBuf)</f>
        <v/>
      </c>
      <c r="T963" s="126">
        <f>IF(S963="","",S963-DecideBuf)</f>
        <v/>
      </c>
      <c r="U963" s="74" t="n"/>
      <c r="V963" s="109" t="n"/>
      <c r="W963" s="109" t="n"/>
      <c r="X963" s="74" t="n"/>
      <c r="Y963" s="116">
        <f>IF(B963="","",IF(X963="Yes","Delivered",IF(U963="Yes",IF(AND(W963&lt;&gt;"",R963&lt;&gt;""),IF(W963&gt;R963,"⚠️ Delivery after install date","Ordered"),"Ordered"),IF(K963="",IF(T963="","Waiting for decision",IF(T963&lt;=AsOf+AlertDays,"Decide now","Waiting for decision")),IF(S963="","Selected",IF(AsOf&gt;S963,"⚠️ Order late — install at risk",IF(S963&lt;=AsOf+AlertDays,"Order now","Selected")))))))</f>
        <v/>
      </c>
      <c r="Z963" s="79">
        <f>IF(B963="","",IF(OR(AH963=1,AE963=1),2,IF(OR(AG963=1,AF963=1),1,IF(OR(Y963="Ordered",Y963="Delivered"),0,""))))</f>
        <v/>
      </c>
      <c r="AA963" s="112">
        <f>IF(B963="","",IF(AH963=1,IF(Y963="⚠️ Delivery after install date",R963,S963),IF(AD963=1,T963,IF(AI963=1,S963,""))))</f>
        <v/>
      </c>
      <c r="AB963" s="79">
        <f>IF(AA963="","",IF(AH963=1,1,IF(AA963="","",IF(AA963&lt;AsOf,1,IF(AA963&lt;=AsOf+AlertDays,2,IF(AA963&lt;=AsOf+2*AlertDays,3,""))))))</f>
        <v/>
      </c>
      <c r="AC963" s="79">
        <f>IF(AB963="","",IF(AH963=1,IF(Y963="⚠️ Delivery after install date","Delivery after install date: "&amp;B963,"Order late — install at risk: "&amp;B963),IF(AD963=1,IF(AB963=1,"Decision overdue: ","Decide: ")&amp;B963,"Order: "&amp;B963&amp;IF(N963="",""," from "&amp;N963))))</f>
        <v/>
      </c>
      <c r="AD963" s="79">
        <f>IF(AND(B963&lt;&gt;"",K963="",U963&lt;&gt;"Yes",X963&lt;&gt;"Yes"),1,0)</f>
        <v/>
      </c>
      <c r="AE963" s="79">
        <f>IF(AND(AD963=1,T963&lt;&gt;""),IF(T963&lt;AsOf,1,0),0)</f>
        <v/>
      </c>
      <c r="AF963" s="79">
        <f>IF(AND(AD963=1,T963&lt;&gt;""),IF(AND(T963&gt;=AsOf,T963&lt;=AsOf+AlertDays),1,0),0)</f>
        <v/>
      </c>
      <c r="AG963" s="79">
        <f>IF(Y963="Order now",1,0)</f>
        <v/>
      </c>
      <c r="AH963" s="79">
        <f>IF(OR(Y963="⚠️ Order late — install at risk",Y963="⚠️ Delivery after install date"),1,0)</f>
        <v/>
      </c>
      <c r="AI963" s="79">
        <f>IF(AND(B963&lt;&gt;"",K963&lt;&gt;"",U963&lt;&gt;"Yes",X963&lt;&gt;"Yes"),1,0)</f>
        <v/>
      </c>
      <c r="AJ963" s="79">
        <f>IF(Y963="⚠️ Order late — install at risk",1,0)</f>
        <v/>
      </c>
    </row>
    <row r="964" ht="20" customHeight="1">
      <c r="B964" s="72" t="n"/>
      <c r="C964" s="72" t="n"/>
      <c r="D964" s="72" t="n"/>
      <c r="E964" s="72" t="n"/>
      <c r="F964" s="73" t="n"/>
      <c r="G964" s="72" t="n"/>
      <c r="H964" s="73" t="n"/>
      <c r="I964" s="72" t="n"/>
      <c r="J964" s="73" t="n"/>
      <c r="K964" s="74" t="n"/>
      <c r="L964" s="75">
        <f>IF(K964="A",F964,IF(K964="B",H964,IF(K964="C",J964,"")))</f>
        <v/>
      </c>
      <c r="M964" s="72" t="n"/>
      <c r="N964" s="72" t="n"/>
      <c r="O964" s="89" t="n"/>
      <c r="P964" s="89" t="n"/>
      <c r="Q964" s="109" t="n"/>
      <c r="R964" s="120">
        <f>IF(B964="","",IF(Q964&lt;&gt;"",Q964,IF(P964="","",IFERROR(INDEX('Timeline'!$J$7:$J$1006,MATCH(P964,'Timeline'!$B$7:$B$1006,0)),""))))</f>
        <v/>
      </c>
      <c r="S964" s="126">
        <f>IF(R964="","",R964-IF(O964="",0,O964)-OrderBuf)</f>
        <v/>
      </c>
      <c r="T964" s="126">
        <f>IF(S964="","",S964-DecideBuf)</f>
        <v/>
      </c>
      <c r="U964" s="74" t="n"/>
      <c r="V964" s="109" t="n"/>
      <c r="W964" s="109" t="n"/>
      <c r="X964" s="74" t="n"/>
      <c r="Y964" s="116">
        <f>IF(B964="","",IF(X964="Yes","Delivered",IF(U964="Yes",IF(AND(W964&lt;&gt;"",R964&lt;&gt;""),IF(W964&gt;R964,"⚠️ Delivery after install date","Ordered"),"Ordered"),IF(K964="",IF(T964="","Waiting for decision",IF(T964&lt;=AsOf+AlertDays,"Decide now","Waiting for decision")),IF(S964="","Selected",IF(AsOf&gt;S964,"⚠️ Order late — install at risk",IF(S964&lt;=AsOf+AlertDays,"Order now","Selected")))))))</f>
        <v/>
      </c>
      <c r="Z964" s="79">
        <f>IF(B964="","",IF(OR(AH964=1,AE964=1),2,IF(OR(AG964=1,AF964=1),1,IF(OR(Y964="Ordered",Y964="Delivered"),0,""))))</f>
        <v/>
      </c>
      <c r="AA964" s="112">
        <f>IF(B964="","",IF(AH964=1,IF(Y964="⚠️ Delivery after install date",R964,S964),IF(AD964=1,T964,IF(AI964=1,S964,""))))</f>
        <v/>
      </c>
      <c r="AB964" s="79">
        <f>IF(AA964="","",IF(AH964=1,1,IF(AA964="","",IF(AA964&lt;AsOf,1,IF(AA964&lt;=AsOf+AlertDays,2,IF(AA964&lt;=AsOf+2*AlertDays,3,""))))))</f>
        <v/>
      </c>
      <c r="AC964" s="79">
        <f>IF(AB964="","",IF(AH964=1,IF(Y964="⚠️ Delivery after install date","Delivery after install date: "&amp;B964,"Order late — install at risk: "&amp;B964),IF(AD964=1,IF(AB964=1,"Decision overdue: ","Decide: ")&amp;B964,"Order: "&amp;B964&amp;IF(N964="",""," from "&amp;N964))))</f>
        <v/>
      </c>
      <c r="AD964" s="79">
        <f>IF(AND(B964&lt;&gt;"",K964="",U964&lt;&gt;"Yes",X964&lt;&gt;"Yes"),1,0)</f>
        <v/>
      </c>
      <c r="AE964" s="79">
        <f>IF(AND(AD964=1,T964&lt;&gt;""),IF(T964&lt;AsOf,1,0),0)</f>
        <v/>
      </c>
      <c r="AF964" s="79">
        <f>IF(AND(AD964=1,T964&lt;&gt;""),IF(AND(T964&gt;=AsOf,T964&lt;=AsOf+AlertDays),1,0),0)</f>
        <v/>
      </c>
      <c r="AG964" s="79">
        <f>IF(Y964="Order now",1,0)</f>
        <v/>
      </c>
      <c r="AH964" s="79">
        <f>IF(OR(Y964="⚠️ Order late — install at risk",Y964="⚠️ Delivery after install date"),1,0)</f>
        <v/>
      </c>
      <c r="AI964" s="79">
        <f>IF(AND(B964&lt;&gt;"",K964&lt;&gt;"",U964&lt;&gt;"Yes",X964&lt;&gt;"Yes"),1,0)</f>
        <v/>
      </c>
      <c r="AJ964" s="79">
        <f>IF(Y964="⚠️ Order late — install at risk",1,0)</f>
        <v/>
      </c>
    </row>
    <row r="965" ht="20" customHeight="1">
      <c r="B965" s="72" t="n"/>
      <c r="C965" s="72" t="n"/>
      <c r="D965" s="72" t="n"/>
      <c r="E965" s="72" t="n"/>
      <c r="F965" s="73" t="n"/>
      <c r="G965" s="72" t="n"/>
      <c r="H965" s="73" t="n"/>
      <c r="I965" s="72" t="n"/>
      <c r="J965" s="73" t="n"/>
      <c r="K965" s="74" t="n"/>
      <c r="L965" s="75">
        <f>IF(K965="A",F965,IF(K965="B",H965,IF(K965="C",J965,"")))</f>
        <v/>
      </c>
      <c r="M965" s="72" t="n"/>
      <c r="N965" s="72" t="n"/>
      <c r="O965" s="89" t="n"/>
      <c r="P965" s="89" t="n"/>
      <c r="Q965" s="109" t="n"/>
      <c r="R965" s="120">
        <f>IF(B965="","",IF(Q965&lt;&gt;"",Q965,IF(P965="","",IFERROR(INDEX('Timeline'!$J$7:$J$1006,MATCH(P965,'Timeline'!$B$7:$B$1006,0)),""))))</f>
        <v/>
      </c>
      <c r="S965" s="126">
        <f>IF(R965="","",R965-IF(O965="",0,O965)-OrderBuf)</f>
        <v/>
      </c>
      <c r="T965" s="126">
        <f>IF(S965="","",S965-DecideBuf)</f>
        <v/>
      </c>
      <c r="U965" s="74" t="n"/>
      <c r="V965" s="109" t="n"/>
      <c r="W965" s="109" t="n"/>
      <c r="X965" s="74" t="n"/>
      <c r="Y965" s="116">
        <f>IF(B965="","",IF(X965="Yes","Delivered",IF(U965="Yes",IF(AND(W965&lt;&gt;"",R965&lt;&gt;""),IF(W965&gt;R965,"⚠️ Delivery after install date","Ordered"),"Ordered"),IF(K965="",IF(T965="","Waiting for decision",IF(T965&lt;=AsOf+AlertDays,"Decide now","Waiting for decision")),IF(S965="","Selected",IF(AsOf&gt;S965,"⚠️ Order late — install at risk",IF(S965&lt;=AsOf+AlertDays,"Order now","Selected")))))))</f>
        <v/>
      </c>
      <c r="Z965" s="79">
        <f>IF(B965="","",IF(OR(AH965=1,AE965=1),2,IF(OR(AG965=1,AF965=1),1,IF(OR(Y965="Ordered",Y965="Delivered"),0,""))))</f>
        <v/>
      </c>
      <c r="AA965" s="112">
        <f>IF(B965="","",IF(AH965=1,IF(Y965="⚠️ Delivery after install date",R965,S965),IF(AD965=1,T965,IF(AI965=1,S965,""))))</f>
        <v/>
      </c>
      <c r="AB965" s="79">
        <f>IF(AA965="","",IF(AH965=1,1,IF(AA965="","",IF(AA965&lt;AsOf,1,IF(AA965&lt;=AsOf+AlertDays,2,IF(AA965&lt;=AsOf+2*AlertDays,3,""))))))</f>
        <v/>
      </c>
      <c r="AC965" s="79">
        <f>IF(AB965="","",IF(AH965=1,IF(Y965="⚠️ Delivery after install date","Delivery after install date: "&amp;B965,"Order late — install at risk: "&amp;B965),IF(AD965=1,IF(AB965=1,"Decision overdue: ","Decide: ")&amp;B965,"Order: "&amp;B965&amp;IF(N965="",""," from "&amp;N965))))</f>
        <v/>
      </c>
      <c r="AD965" s="79">
        <f>IF(AND(B965&lt;&gt;"",K965="",U965&lt;&gt;"Yes",X965&lt;&gt;"Yes"),1,0)</f>
        <v/>
      </c>
      <c r="AE965" s="79">
        <f>IF(AND(AD965=1,T965&lt;&gt;""),IF(T965&lt;AsOf,1,0),0)</f>
        <v/>
      </c>
      <c r="AF965" s="79">
        <f>IF(AND(AD965=1,T965&lt;&gt;""),IF(AND(T965&gt;=AsOf,T965&lt;=AsOf+AlertDays),1,0),0)</f>
        <v/>
      </c>
      <c r="AG965" s="79">
        <f>IF(Y965="Order now",1,0)</f>
        <v/>
      </c>
      <c r="AH965" s="79">
        <f>IF(OR(Y965="⚠️ Order late — install at risk",Y965="⚠️ Delivery after install date"),1,0)</f>
        <v/>
      </c>
      <c r="AI965" s="79">
        <f>IF(AND(B965&lt;&gt;"",K965&lt;&gt;"",U965&lt;&gt;"Yes",X965&lt;&gt;"Yes"),1,0)</f>
        <v/>
      </c>
      <c r="AJ965" s="79">
        <f>IF(Y965="⚠️ Order late — install at risk",1,0)</f>
        <v/>
      </c>
    </row>
    <row r="966" ht="20" customHeight="1">
      <c r="B966" s="72" t="n"/>
      <c r="C966" s="72" t="n"/>
      <c r="D966" s="72" t="n"/>
      <c r="E966" s="72" t="n"/>
      <c r="F966" s="73" t="n"/>
      <c r="G966" s="72" t="n"/>
      <c r="H966" s="73" t="n"/>
      <c r="I966" s="72" t="n"/>
      <c r="J966" s="73" t="n"/>
      <c r="K966" s="74" t="n"/>
      <c r="L966" s="75">
        <f>IF(K966="A",F966,IF(K966="B",H966,IF(K966="C",J966,"")))</f>
        <v/>
      </c>
      <c r="M966" s="72" t="n"/>
      <c r="N966" s="72" t="n"/>
      <c r="O966" s="89" t="n"/>
      <c r="P966" s="89" t="n"/>
      <c r="Q966" s="109" t="n"/>
      <c r="R966" s="120">
        <f>IF(B966="","",IF(Q966&lt;&gt;"",Q966,IF(P966="","",IFERROR(INDEX('Timeline'!$J$7:$J$1006,MATCH(P966,'Timeline'!$B$7:$B$1006,0)),""))))</f>
        <v/>
      </c>
      <c r="S966" s="126">
        <f>IF(R966="","",R966-IF(O966="",0,O966)-OrderBuf)</f>
        <v/>
      </c>
      <c r="T966" s="126">
        <f>IF(S966="","",S966-DecideBuf)</f>
        <v/>
      </c>
      <c r="U966" s="74" t="n"/>
      <c r="V966" s="109" t="n"/>
      <c r="W966" s="109" t="n"/>
      <c r="X966" s="74" t="n"/>
      <c r="Y966" s="116">
        <f>IF(B966="","",IF(X966="Yes","Delivered",IF(U966="Yes",IF(AND(W966&lt;&gt;"",R966&lt;&gt;""),IF(W966&gt;R966,"⚠️ Delivery after install date","Ordered"),"Ordered"),IF(K966="",IF(T966="","Waiting for decision",IF(T966&lt;=AsOf+AlertDays,"Decide now","Waiting for decision")),IF(S966="","Selected",IF(AsOf&gt;S966,"⚠️ Order late — install at risk",IF(S966&lt;=AsOf+AlertDays,"Order now","Selected")))))))</f>
        <v/>
      </c>
      <c r="Z966" s="79">
        <f>IF(B966="","",IF(OR(AH966=1,AE966=1),2,IF(OR(AG966=1,AF966=1),1,IF(OR(Y966="Ordered",Y966="Delivered"),0,""))))</f>
        <v/>
      </c>
      <c r="AA966" s="112">
        <f>IF(B966="","",IF(AH966=1,IF(Y966="⚠️ Delivery after install date",R966,S966),IF(AD966=1,T966,IF(AI966=1,S966,""))))</f>
        <v/>
      </c>
      <c r="AB966" s="79">
        <f>IF(AA966="","",IF(AH966=1,1,IF(AA966="","",IF(AA966&lt;AsOf,1,IF(AA966&lt;=AsOf+AlertDays,2,IF(AA966&lt;=AsOf+2*AlertDays,3,""))))))</f>
        <v/>
      </c>
      <c r="AC966" s="79">
        <f>IF(AB966="","",IF(AH966=1,IF(Y966="⚠️ Delivery after install date","Delivery after install date: "&amp;B966,"Order late — install at risk: "&amp;B966),IF(AD966=1,IF(AB966=1,"Decision overdue: ","Decide: ")&amp;B966,"Order: "&amp;B966&amp;IF(N966="",""," from "&amp;N966))))</f>
        <v/>
      </c>
      <c r="AD966" s="79">
        <f>IF(AND(B966&lt;&gt;"",K966="",U966&lt;&gt;"Yes",X966&lt;&gt;"Yes"),1,0)</f>
        <v/>
      </c>
      <c r="AE966" s="79">
        <f>IF(AND(AD966=1,T966&lt;&gt;""),IF(T966&lt;AsOf,1,0),0)</f>
        <v/>
      </c>
      <c r="AF966" s="79">
        <f>IF(AND(AD966=1,T966&lt;&gt;""),IF(AND(T966&gt;=AsOf,T966&lt;=AsOf+AlertDays),1,0),0)</f>
        <v/>
      </c>
      <c r="AG966" s="79">
        <f>IF(Y966="Order now",1,0)</f>
        <v/>
      </c>
      <c r="AH966" s="79">
        <f>IF(OR(Y966="⚠️ Order late — install at risk",Y966="⚠️ Delivery after install date"),1,0)</f>
        <v/>
      </c>
      <c r="AI966" s="79">
        <f>IF(AND(B966&lt;&gt;"",K966&lt;&gt;"",U966&lt;&gt;"Yes",X966&lt;&gt;"Yes"),1,0)</f>
        <v/>
      </c>
      <c r="AJ966" s="79">
        <f>IF(Y966="⚠️ Order late — install at risk",1,0)</f>
        <v/>
      </c>
    </row>
    <row r="967" ht="20" customHeight="1">
      <c r="B967" s="72" t="n"/>
      <c r="C967" s="72" t="n"/>
      <c r="D967" s="72" t="n"/>
      <c r="E967" s="72" t="n"/>
      <c r="F967" s="73" t="n"/>
      <c r="G967" s="72" t="n"/>
      <c r="H967" s="73" t="n"/>
      <c r="I967" s="72" t="n"/>
      <c r="J967" s="73" t="n"/>
      <c r="K967" s="74" t="n"/>
      <c r="L967" s="75">
        <f>IF(K967="A",F967,IF(K967="B",H967,IF(K967="C",J967,"")))</f>
        <v/>
      </c>
      <c r="M967" s="72" t="n"/>
      <c r="N967" s="72" t="n"/>
      <c r="O967" s="89" t="n"/>
      <c r="P967" s="89" t="n"/>
      <c r="Q967" s="109" t="n"/>
      <c r="R967" s="120">
        <f>IF(B967="","",IF(Q967&lt;&gt;"",Q967,IF(P967="","",IFERROR(INDEX('Timeline'!$J$7:$J$1006,MATCH(P967,'Timeline'!$B$7:$B$1006,0)),""))))</f>
        <v/>
      </c>
      <c r="S967" s="126">
        <f>IF(R967="","",R967-IF(O967="",0,O967)-OrderBuf)</f>
        <v/>
      </c>
      <c r="T967" s="126">
        <f>IF(S967="","",S967-DecideBuf)</f>
        <v/>
      </c>
      <c r="U967" s="74" t="n"/>
      <c r="V967" s="109" t="n"/>
      <c r="W967" s="109" t="n"/>
      <c r="X967" s="74" t="n"/>
      <c r="Y967" s="116">
        <f>IF(B967="","",IF(X967="Yes","Delivered",IF(U967="Yes",IF(AND(W967&lt;&gt;"",R967&lt;&gt;""),IF(W967&gt;R967,"⚠️ Delivery after install date","Ordered"),"Ordered"),IF(K967="",IF(T967="","Waiting for decision",IF(T967&lt;=AsOf+AlertDays,"Decide now","Waiting for decision")),IF(S967="","Selected",IF(AsOf&gt;S967,"⚠️ Order late — install at risk",IF(S967&lt;=AsOf+AlertDays,"Order now","Selected")))))))</f>
        <v/>
      </c>
      <c r="Z967" s="79">
        <f>IF(B967="","",IF(OR(AH967=1,AE967=1),2,IF(OR(AG967=1,AF967=1),1,IF(OR(Y967="Ordered",Y967="Delivered"),0,""))))</f>
        <v/>
      </c>
      <c r="AA967" s="112">
        <f>IF(B967="","",IF(AH967=1,IF(Y967="⚠️ Delivery after install date",R967,S967),IF(AD967=1,T967,IF(AI967=1,S967,""))))</f>
        <v/>
      </c>
      <c r="AB967" s="79">
        <f>IF(AA967="","",IF(AH967=1,1,IF(AA967="","",IF(AA967&lt;AsOf,1,IF(AA967&lt;=AsOf+AlertDays,2,IF(AA967&lt;=AsOf+2*AlertDays,3,""))))))</f>
        <v/>
      </c>
      <c r="AC967" s="79">
        <f>IF(AB967="","",IF(AH967=1,IF(Y967="⚠️ Delivery after install date","Delivery after install date: "&amp;B967,"Order late — install at risk: "&amp;B967),IF(AD967=1,IF(AB967=1,"Decision overdue: ","Decide: ")&amp;B967,"Order: "&amp;B967&amp;IF(N967="",""," from "&amp;N967))))</f>
        <v/>
      </c>
      <c r="AD967" s="79">
        <f>IF(AND(B967&lt;&gt;"",K967="",U967&lt;&gt;"Yes",X967&lt;&gt;"Yes"),1,0)</f>
        <v/>
      </c>
      <c r="AE967" s="79">
        <f>IF(AND(AD967=1,T967&lt;&gt;""),IF(T967&lt;AsOf,1,0),0)</f>
        <v/>
      </c>
      <c r="AF967" s="79">
        <f>IF(AND(AD967=1,T967&lt;&gt;""),IF(AND(T967&gt;=AsOf,T967&lt;=AsOf+AlertDays),1,0),0)</f>
        <v/>
      </c>
      <c r="AG967" s="79">
        <f>IF(Y967="Order now",1,0)</f>
        <v/>
      </c>
      <c r="AH967" s="79">
        <f>IF(OR(Y967="⚠️ Order late — install at risk",Y967="⚠️ Delivery after install date"),1,0)</f>
        <v/>
      </c>
      <c r="AI967" s="79">
        <f>IF(AND(B967&lt;&gt;"",K967&lt;&gt;"",U967&lt;&gt;"Yes",X967&lt;&gt;"Yes"),1,0)</f>
        <v/>
      </c>
      <c r="AJ967" s="79">
        <f>IF(Y967="⚠️ Order late — install at risk",1,0)</f>
        <v/>
      </c>
    </row>
    <row r="968" ht="20" customHeight="1">
      <c r="B968" s="72" t="n"/>
      <c r="C968" s="72" t="n"/>
      <c r="D968" s="72" t="n"/>
      <c r="E968" s="72" t="n"/>
      <c r="F968" s="73" t="n"/>
      <c r="G968" s="72" t="n"/>
      <c r="H968" s="73" t="n"/>
      <c r="I968" s="72" t="n"/>
      <c r="J968" s="73" t="n"/>
      <c r="K968" s="74" t="n"/>
      <c r="L968" s="75">
        <f>IF(K968="A",F968,IF(K968="B",H968,IF(K968="C",J968,"")))</f>
        <v/>
      </c>
      <c r="M968" s="72" t="n"/>
      <c r="N968" s="72" t="n"/>
      <c r="O968" s="89" t="n"/>
      <c r="P968" s="89" t="n"/>
      <c r="Q968" s="109" t="n"/>
      <c r="R968" s="120">
        <f>IF(B968="","",IF(Q968&lt;&gt;"",Q968,IF(P968="","",IFERROR(INDEX('Timeline'!$J$7:$J$1006,MATCH(P968,'Timeline'!$B$7:$B$1006,0)),""))))</f>
        <v/>
      </c>
      <c r="S968" s="126">
        <f>IF(R968="","",R968-IF(O968="",0,O968)-OrderBuf)</f>
        <v/>
      </c>
      <c r="T968" s="126">
        <f>IF(S968="","",S968-DecideBuf)</f>
        <v/>
      </c>
      <c r="U968" s="74" t="n"/>
      <c r="V968" s="109" t="n"/>
      <c r="W968" s="109" t="n"/>
      <c r="X968" s="74" t="n"/>
      <c r="Y968" s="116">
        <f>IF(B968="","",IF(X968="Yes","Delivered",IF(U968="Yes",IF(AND(W968&lt;&gt;"",R968&lt;&gt;""),IF(W968&gt;R968,"⚠️ Delivery after install date","Ordered"),"Ordered"),IF(K968="",IF(T968="","Waiting for decision",IF(T968&lt;=AsOf+AlertDays,"Decide now","Waiting for decision")),IF(S968="","Selected",IF(AsOf&gt;S968,"⚠️ Order late — install at risk",IF(S968&lt;=AsOf+AlertDays,"Order now","Selected")))))))</f>
        <v/>
      </c>
      <c r="Z968" s="79">
        <f>IF(B968="","",IF(OR(AH968=1,AE968=1),2,IF(OR(AG968=1,AF968=1),1,IF(OR(Y968="Ordered",Y968="Delivered"),0,""))))</f>
        <v/>
      </c>
      <c r="AA968" s="112">
        <f>IF(B968="","",IF(AH968=1,IF(Y968="⚠️ Delivery after install date",R968,S968),IF(AD968=1,T968,IF(AI968=1,S968,""))))</f>
        <v/>
      </c>
      <c r="AB968" s="79">
        <f>IF(AA968="","",IF(AH968=1,1,IF(AA968="","",IF(AA968&lt;AsOf,1,IF(AA968&lt;=AsOf+AlertDays,2,IF(AA968&lt;=AsOf+2*AlertDays,3,""))))))</f>
        <v/>
      </c>
      <c r="AC968" s="79">
        <f>IF(AB968="","",IF(AH968=1,IF(Y968="⚠️ Delivery after install date","Delivery after install date: "&amp;B968,"Order late — install at risk: "&amp;B968),IF(AD968=1,IF(AB968=1,"Decision overdue: ","Decide: ")&amp;B968,"Order: "&amp;B968&amp;IF(N968="",""," from "&amp;N968))))</f>
        <v/>
      </c>
      <c r="AD968" s="79">
        <f>IF(AND(B968&lt;&gt;"",K968="",U968&lt;&gt;"Yes",X968&lt;&gt;"Yes"),1,0)</f>
        <v/>
      </c>
      <c r="AE968" s="79">
        <f>IF(AND(AD968=1,T968&lt;&gt;""),IF(T968&lt;AsOf,1,0),0)</f>
        <v/>
      </c>
      <c r="AF968" s="79">
        <f>IF(AND(AD968=1,T968&lt;&gt;""),IF(AND(T968&gt;=AsOf,T968&lt;=AsOf+AlertDays),1,0),0)</f>
        <v/>
      </c>
      <c r="AG968" s="79">
        <f>IF(Y968="Order now",1,0)</f>
        <v/>
      </c>
      <c r="AH968" s="79">
        <f>IF(OR(Y968="⚠️ Order late — install at risk",Y968="⚠️ Delivery after install date"),1,0)</f>
        <v/>
      </c>
      <c r="AI968" s="79">
        <f>IF(AND(B968&lt;&gt;"",K968&lt;&gt;"",U968&lt;&gt;"Yes",X968&lt;&gt;"Yes"),1,0)</f>
        <v/>
      </c>
      <c r="AJ968" s="79">
        <f>IF(Y968="⚠️ Order late — install at risk",1,0)</f>
        <v/>
      </c>
    </row>
    <row r="969" ht="20" customHeight="1">
      <c r="B969" s="72" t="n"/>
      <c r="C969" s="72" t="n"/>
      <c r="D969" s="72" t="n"/>
      <c r="E969" s="72" t="n"/>
      <c r="F969" s="73" t="n"/>
      <c r="G969" s="72" t="n"/>
      <c r="H969" s="73" t="n"/>
      <c r="I969" s="72" t="n"/>
      <c r="J969" s="73" t="n"/>
      <c r="K969" s="74" t="n"/>
      <c r="L969" s="75">
        <f>IF(K969="A",F969,IF(K969="B",H969,IF(K969="C",J969,"")))</f>
        <v/>
      </c>
      <c r="M969" s="72" t="n"/>
      <c r="N969" s="72" t="n"/>
      <c r="O969" s="89" t="n"/>
      <c r="P969" s="89" t="n"/>
      <c r="Q969" s="109" t="n"/>
      <c r="R969" s="120">
        <f>IF(B969="","",IF(Q969&lt;&gt;"",Q969,IF(P969="","",IFERROR(INDEX('Timeline'!$J$7:$J$1006,MATCH(P969,'Timeline'!$B$7:$B$1006,0)),""))))</f>
        <v/>
      </c>
      <c r="S969" s="126">
        <f>IF(R969="","",R969-IF(O969="",0,O969)-OrderBuf)</f>
        <v/>
      </c>
      <c r="T969" s="126">
        <f>IF(S969="","",S969-DecideBuf)</f>
        <v/>
      </c>
      <c r="U969" s="74" t="n"/>
      <c r="V969" s="109" t="n"/>
      <c r="W969" s="109" t="n"/>
      <c r="X969" s="74" t="n"/>
      <c r="Y969" s="116">
        <f>IF(B969="","",IF(X969="Yes","Delivered",IF(U969="Yes",IF(AND(W969&lt;&gt;"",R969&lt;&gt;""),IF(W969&gt;R969,"⚠️ Delivery after install date","Ordered"),"Ordered"),IF(K969="",IF(T969="","Waiting for decision",IF(T969&lt;=AsOf+AlertDays,"Decide now","Waiting for decision")),IF(S969="","Selected",IF(AsOf&gt;S969,"⚠️ Order late — install at risk",IF(S969&lt;=AsOf+AlertDays,"Order now","Selected")))))))</f>
        <v/>
      </c>
      <c r="Z969" s="79">
        <f>IF(B969="","",IF(OR(AH969=1,AE969=1),2,IF(OR(AG969=1,AF969=1),1,IF(OR(Y969="Ordered",Y969="Delivered"),0,""))))</f>
        <v/>
      </c>
      <c r="AA969" s="112">
        <f>IF(B969="","",IF(AH969=1,IF(Y969="⚠️ Delivery after install date",R969,S969),IF(AD969=1,T969,IF(AI969=1,S969,""))))</f>
        <v/>
      </c>
      <c r="AB969" s="79">
        <f>IF(AA969="","",IF(AH969=1,1,IF(AA969="","",IF(AA969&lt;AsOf,1,IF(AA969&lt;=AsOf+AlertDays,2,IF(AA969&lt;=AsOf+2*AlertDays,3,""))))))</f>
        <v/>
      </c>
      <c r="AC969" s="79">
        <f>IF(AB969="","",IF(AH969=1,IF(Y969="⚠️ Delivery after install date","Delivery after install date: "&amp;B969,"Order late — install at risk: "&amp;B969),IF(AD969=1,IF(AB969=1,"Decision overdue: ","Decide: ")&amp;B969,"Order: "&amp;B969&amp;IF(N969="",""," from "&amp;N969))))</f>
        <v/>
      </c>
      <c r="AD969" s="79">
        <f>IF(AND(B969&lt;&gt;"",K969="",U969&lt;&gt;"Yes",X969&lt;&gt;"Yes"),1,0)</f>
        <v/>
      </c>
      <c r="AE969" s="79">
        <f>IF(AND(AD969=1,T969&lt;&gt;""),IF(T969&lt;AsOf,1,0),0)</f>
        <v/>
      </c>
      <c r="AF969" s="79">
        <f>IF(AND(AD969=1,T969&lt;&gt;""),IF(AND(T969&gt;=AsOf,T969&lt;=AsOf+AlertDays),1,0),0)</f>
        <v/>
      </c>
      <c r="AG969" s="79">
        <f>IF(Y969="Order now",1,0)</f>
        <v/>
      </c>
      <c r="AH969" s="79">
        <f>IF(OR(Y969="⚠️ Order late — install at risk",Y969="⚠️ Delivery after install date"),1,0)</f>
        <v/>
      </c>
      <c r="AI969" s="79">
        <f>IF(AND(B969&lt;&gt;"",K969&lt;&gt;"",U969&lt;&gt;"Yes",X969&lt;&gt;"Yes"),1,0)</f>
        <v/>
      </c>
      <c r="AJ969" s="79">
        <f>IF(Y969="⚠️ Order late — install at risk",1,0)</f>
        <v/>
      </c>
    </row>
    <row r="970" ht="20" customHeight="1">
      <c r="B970" s="72" t="n"/>
      <c r="C970" s="72" t="n"/>
      <c r="D970" s="72" t="n"/>
      <c r="E970" s="72" t="n"/>
      <c r="F970" s="73" t="n"/>
      <c r="G970" s="72" t="n"/>
      <c r="H970" s="73" t="n"/>
      <c r="I970" s="72" t="n"/>
      <c r="J970" s="73" t="n"/>
      <c r="K970" s="74" t="n"/>
      <c r="L970" s="75">
        <f>IF(K970="A",F970,IF(K970="B",H970,IF(K970="C",J970,"")))</f>
        <v/>
      </c>
      <c r="M970" s="72" t="n"/>
      <c r="N970" s="72" t="n"/>
      <c r="O970" s="89" t="n"/>
      <c r="P970" s="89" t="n"/>
      <c r="Q970" s="109" t="n"/>
      <c r="R970" s="120">
        <f>IF(B970="","",IF(Q970&lt;&gt;"",Q970,IF(P970="","",IFERROR(INDEX('Timeline'!$J$7:$J$1006,MATCH(P970,'Timeline'!$B$7:$B$1006,0)),""))))</f>
        <v/>
      </c>
      <c r="S970" s="126">
        <f>IF(R970="","",R970-IF(O970="",0,O970)-OrderBuf)</f>
        <v/>
      </c>
      <c r="T970" s="126">
        <f>IF(S970="","",S970-DecideBuf)</f>
        <v/>
      </c>
      <c r="U970" s="74" t="n"/>
      <c r="V970" s="109" t="n"/>
      <c r="W970" s="109" t="n"/>
      <c r="X970" s="74" t="n"/>
      <c r="Y970" s="116">
        <f>IF(B970="","",IF(X970="Yes","Delivered",IF(U970="Yes",IF(AND(W970&lt;&gt;"",R970&lt;&gt;""),IF(W970&gt;R970,"⚠️ Delivery after install date","Ordered"),"Ordered"),IF(K970="",IF(T970="","Waiting for decision",IF(T970&lt;=AsOf+AlertDays,"Decide now","Waiting for decision")),IF(S970="","Selected",IF(AsOf&gt;S970,"⚠️ Order late — install at risk",IF(S970&lt;=AsOf+AlertDays,"Order now","Selected")))))))</f>
        <v/>
      </c>
      <c r="Z970" s="79">
        <f>IF(B970="","",IF(OR(AH970=1,AE970=1),2,IF(OR(AG970=1,AF970=1),1,IF(OR(Y970="Ordered",Y970="Delivered"),0,""))))</f>
        <v/>
      </c>
      <c r="AA970" s="112">
        <f>IF(B970="","",IF(AH970=1,IF(Y970="⚠️ Delivery after install date",R970,S970),IF(AD970=1,T970,IF(AI970=1,S970,""))))</f>
        <v/>
      </c>
      <c r="AB970" s="79">
        <f>IF(AA970="","",IF(AH970=1,1,IF(AA970="","",IF(AA970&lt;AsOf,1,IF(AA970&lt;=AsOf+AlertDays,2,IF(AA970&lt;=AsOf+2*AlertDays,3,""))))))</f>
        <v/>
      </c>
      <c r="AC970" s="79">
        <f>IF(AB970="","",IF(AH970=1,IF(Y970="⚠️ Delivery after install date","Delivery after install date: "&amp;B970,"Order late — install at risk: "&amp;B970),IF(AD970=1,IF(AB970=1,"Decision overdue: ","Decide: ")&amp;B970,"Order: "&amp;B970&amp;IF(N970="",""," from "&amp;N970))))</f>
        <v/>
      </c>
      <c r="AD970" s="79">
        <f>IF(AND(B970&lt;&gt;"",K970="",U970&lt;&gt;"Yes",X970&lt;&gt;"Yes"),1,0)</f>
        <v/>
      </c>
      <c r="AE970" s="79">
        <f>IF(AND(AD970=1,T970&lt;&gt;""),IF(T970&lt;AsOf,1,0),0)</f>
        <v/>
      </c>
      <c r="AF970" s="79">
        <f>IF(AND(AD970=1,T970&lt;&gt;""),IF(AND(T970&gt;=AsOf,T970&lt;=AsOf+AlertDays),1,0),0)</f>
        <v/>
      </c>
      <c r="AG970" s="79">
        <f>IF(Y970="Order now",1,0)</f>
        <v/>
      </c>
      <c r="AH970" s="79">
        <f>IF(OR(Y970="⚠️ Order late — install at risk",Y970="⚠️ Delivery after install date"),1,0)</f>
        <v/>
      </c>
      <c r="AI970" s="79">
        <f>IF(AND(B970&lt;&gt;"",K970&lt;&gt;"",U970&lt;&gt;"Yes",X970&lt;&gt;"Yes"),1,0)</f>
        <v/>
      </c>
      <c r="AJ970" s="79">
        <f>IF(Y970="⚠️ Order late — install at risk",1,0)</f>
        <v/>
      </c>
    </row>
    <row r="971" ht="20" customHeight="1">
      <c r="B971" s="72" t="n"/>
      <c r="C971" s="72" t="n"/>
      <c r="D971" s="72" t="n"/>
      <c r="E971" s="72" t="n"/>
      <c r="F971" s="73" t="n"/>
      <c r="G971" s="72" t="n"/>
      <c r="H971" s="73" t="n"/>
      <c r="I971" s="72" t="n"/>
      <c r="J971" s="73" t="n"/>
      <c r="K971" s="74" t="n"/>
      <c r="L971" s="75">
        <f>IF(K971="A",F971,IF(K971="B",H971,IF(K971="C",J971,"")))</f>
        <v/>
      </c>
      <c r="M971" s="72" t="n"/>
      <c r="N971" s="72" t="n"/>
      <c r="O971" s="89" t="n"/>
      <c r="P971" s="89" t="n"/>
      <c r="Q971" s="109" t="n"/>
      <c r="R971" s="120">
        <f>IF(B971="","",IF(Q971&lt;&gt;"",Q971,IF(P971="","",IFERROR(INDEX('Timeline'!$J$7:$J$1006,MATCH(P971,'Timeline'!$B$7:$B$1006,0)),""))))</f>
        <v/>
      </c>
      <c r="S971" s="126">
        <f>IF(R971="","",R971-IF(O971="",0,O971)-OrderBuf)</f>
        <v/>
      </c>
      <c r="T971" s="126">
        <f>IF(S971="","",S971-DecideBuf)</f>
        <v/>
      </c>
      <c r="U971" s="74" t="n"/>
      <c r="V971" s="109" t="n"/>
      <c r="W971" s="109" t="n"/>
      <c r="X971" s="74" t="n"/>
      <c r="Y971" s="116">
        <f>IF(B971="","",IF(X971="Yes","Delivered",IF(U971="Yes",IF(AND(W971&lt;&gt;"",R971&lt;&gt;""),IF(W971&gt;R971,"⚠️ Delivery after install date","Ordered"),"Ordered"),IF(K971="",IF(T971="","Waiting for decision",IF(T971&lt;=AsOf+AlertDays,"Decide now","Waiting for decision")),IF(S971="","Selected",IF(AsOf&gt;S971,"⚠️ Order late — install at risk",IF(S971&lt;=AsOf+AlertDays,"Order now","Selected")))))))</f>
        <v/>
      </c>
      <c r="Z971" s="79">
        <f>IF(B971="","",IF(OR(AH971=1,AE971=1),2,IF(OR(AG971=1,AF971=1),1,IF(OR(Y971="Ordered",Y971="Delivered"),0,""))))</f>
        <v/>
      </c>
      <c r="AA971" s="112">
        <f>IF(B971="","",IF(AH971=1,IF(Y971="⚠️ Delivery after install date",R971,S971),IF(AD971=1,T971,IF(AI971=1,S971,""))))</f>
        <v/>
      </c>
      <c r="AB971" s="79">
        <f>IF(AA971="","",IF(AH971=1,1,IF(AA971="","",IF(AA971&lt;AsOf,1,IF(AA971&lt;=AsOf+AlertDays,2,IF(AA971&lt;=AsOf+2*AlertDays,3,""))))))</f>
        <v/>
      </c>
      <c r="AC971" s="79">
        <f>IF(AB971="","",IF(AH971=1,IF(Y971="⚠️ Delivery after install date","Delivery after install date: "&amp;B971,"Order late — install at risk: "&amp;B971),IF(AD971=1,IF(AB971=1,"Decision overdue: ","Decide: ")&amp;B971,"Order: "&amp;B971&amp;IF(N971="",""," from "&amp;N971))))</f>
        <v/>
      </c>
      <c r="AD971" s="79">
        <f>IF(AND(B971&lt;&gt;"",K971="",U971&lt;&gt;"Yes",X971&lt;&gt;"Yes"),1,0)</f>
        <v/>
      </c>
      <c r="AE971" s="79">
        <f>IF(AND(AD971=1,T971&lt;&gt;""),IF(T971&lt;AsOf,1,0),0)</f>
        <v/>
      </c>
      <c r="AF971" s="79">
        <f>IF(AND(AD971=1,T971&lt;&gt;""),IF(AND(T971&gt;=AsOf,T971&lt;=AsOf+AlertDays),1,0),0)</f>
        <v/>
      </c>
      <c r="AG971" s="79">
        <f>IF(Y971="Order now",1,0)</f>
        <v/>
      </c>
      <c r="AH971" s="79">
        <f>IF(OR(Y971="⚠️ Order late — install at risk",Y971="⚠️ Delivery after install date"),1,0)</f>
        <v/>
      </c>
      <c r="AI971" s="79">
        <f>IF(AND(B971&lt;&gt;"",K971&lt;&gt;"",U971&lt;&gt;"Yes",X971&lt;&gt;"Yes"),1,0)</f>
        <v/>
      </c>
      <c r="AJ971" s="79">
        <f>IF(Y971="⚠️ Order late — install at risk",1,0)</f>
        <v/>
      </c>
    </row>
    <row r="972" ht="20" customHeight="1">
      <c r="B972" s="72" t="n"/>
      <c r="C972" s="72" t="n"/>
      <c r="D972" s="72" t="n"/>
      <c r="E972" s="72" t="n"/>
      <c r="F972" s="73" t="n"/>
      <c r="G972" s="72" t="n"/>
      <c r="H972" s="73" t="n"/>
      <c r="I972" s="72" t="n"/>
      <c r="J972" s="73" t="n"/>
      <c r="K972" s="74" t="n"/>
      <c r="L972" s="75">
        <f>IF(K972="A",F972,IF(K972="B",H972,IF(K972="C",J972,"")))</f>
        <v/>
      </c>
      <c r="M972" s="72" t="n"/>
      <c r="N972" s="72" t="n"/>
      <c r="O972" s="89" t="n"/>
      <c r="P972" s="89" t="n"/>
      <c r="Q972" s="109" t="n"/>
      <c r="R972" s="120">
        <f>IF(B972="","",IF(Q972&lt;&gt;"",Q972,IF(P972="","",IFERROR(INDEX('Timeline'!$J$7:$J$1006,MATCH(P972,'Timeline'!$B$7:$B$1006,0)),""))))</f>
        <v/>
      </c>
      <c r="S972" s="126">
        <f>IF(R972="","",R972-IF(O972="",0,O972)-OrderBuf)</f>
        <v/>
      </c>
      <c r="T972" s="126">
        <f>IF(S972="","",S972-DecideBuf)</f>
        <v/>
      </c>
      <c r="U972" s="74" t="n"/>
      <c r="V972" s="109" t="n"/>
      <c r="W972" s="109" t="n"/>
      <c r="X972" s="74" t="n"/>
      <c r="Y972" s="116">
        <f>IF(B972="","",IF(X972="Yes","Delivered",IF(U972="Yes",IF(AND(W972&lt;&gt;"",R972&lt;&gt;""),IF(W972&gt;R972,"⚠️ Delivery after install date","Ordered"),"Ordered"),IF(K972="",IF(T972="","Waiting for decision",IF(T972&lt;=AsOf+AlertDays,"Decide now","Waiting for decision")),IF(S972="","Selected",IF(AsOf&gt;S972,"⚠️ Order late — install at risk",IF(S972&lt;=AsOf+AlertDays,"Order now","Selected")))))))</f>
        <v/>
      </c>
      <c r="Z972" s="79">
        <f>IF(B972="","",IF(OR(AH972=1,AE972=1),2,IF(OR(AG972=1,AF972=1),1,IF(OR(Y972="Ordered",Y972="Delivered"),0,""))))</f>
        <v/>
      </c>
      <c r="AA972" s="112">
        <f>IF(B972="","",IF(AH972=1,IF(Y972="⚠️ Delivery after install date",R972,S972),IF(AD972=1,T972,IF(AI972=1,S972,""))))</f>
        <v/>
      </c>
      <c r="AB972" s="79">
        <f>IF(AA972="","",IF(AH972=1,1,IF(AA972="","",IF(AA972&lt;AsOf,1,IF(AA972&lt;=AsOf+AlertDays,2,IF(AA972&lt;=AsOf+2*AlertDays,3,""))))))</f>
        <v/>
      </c>
      <c r="AC972" s="79">
        <f>IF(AB972="","",IF(AH972=1,IF(Y972="⚠️ Delivery after install date","Delivery after install date: "&amp;B972,"Order late — install at risk: "&amp;B972),IF(AD972=1,IF(AB972=1,"Decision overdue: ","Decide: ")&amp;B972,"Order: "&amp;B972&amp;IF(N972="",""," from "&amp;N972))))</f>
        <v/>
      </c>
      <c r="AD972" s="79">
        <f>IF(AND(B972&lt;&gt;"",K972="",U972&lt;&gt;"Yes",X972&lt;&gt;"Yes"),1,0)</f>
        <v/>
      </c>
      <c r="AE972" s="79">
        <f>IF(AND(AD972=1,T972&lt;&gt;""),IF(T972&lt;AsOf,1,0),0)</f>
        <v/>
      </c>
      <c r="AF972" s="79">
        <f>IF(AND(AD972=1,T972&lt;&gt;""),IF(AND(T972&gt;=AsOf,T972&lt;=AsOf+AlertDays),1,0),0)</f>
        <v/>
      </c>
      <c r="AG972" s="79">
        <f>IF(Y972="Order now",1,0)</f>
        <v/>
      </c>
      <c r="AH972" s="79">
        <f>IF(OR(Y972="⚠️ Order late — install at risk",Y972="⚠️ Delivery after install date"),1,0)</f>
        <v/>
      </c>
      <c r="AI972" s="79">
        <f>IF(AND(B972&lt;&gt;"",K972&lt;&gt;"",U972&lt;&gt;"Yes",X972&lt;&gt;"Yes"),1,0)</f>
        <v/>
      </c>
      <c r="AJ972" s="79">
        <f>IF(Y972="⚠️ Order late — install at risk",1,0)</f>
        <v/>
      </c>
    </row>
    <row r="973" ht="20" customHeight="1">
      <c r="B973" s="72" t="n"/>
      <c r="C973" s="72" t="n"/>
      <c r="D973" s="72" t="n"/>
      <c r="E973" s="72" t="n"/>
      <c r="F973" s="73" t="n"/>
      <c r="G973" s="72" t="n"/>
      <c r="H973" s="73" t="n"/>
      <c r="I973" s="72" t="n"/>
      <c r="J973" s="73" t="n"/>
      <c r="K973" s="74" t="n"/>
      <c r="L973" s="75">
        <f>IF(K973="A",F973,IF(K973="B",H973,IF(K973="C",J973,"")))</f>
        <v/>
      </c>
      <c r="M973" s="72" t="n"/>
      <c r="N973" s="72" t="n"/>
      <c r="O973" s="89" t="n"/>
      <c r="P973" s="89" t="n"/>
      <c r="Q973" s="109" t="n"/>
      <c r="R973" s="120">
        <f>IF(B973="","",IF(Q973&lt;&gt;"",Q973,IF(P973="","",IFERROR(INDEX('Timeline'!$J$7:$J$1006,MATCH(P973,'Timeline'!$B$7:$B$1006,0)),""))))</f>
        <v/>
      </c>
      <c r="S973" s="126">
        <f>IF(R973="","",R973-IF(O973="",0,O973)-OrderBuf)</f>
        <v/>
      </c>
      <c r="T973" s="126">
        <f>IF(S973="","",S973-DecideBuf)</f>
        <v/>
      </c>
      <c r="U973" s="74" t="n"/>
      <c r="V973" s="109" t="n"/>
      <c r="W973" s="109" t="n"/>
      <c r="X973" s="74" t="n"/>
      <c r="Y973" s="116">
        <f>IF(B973="","",IF(X973="Yes","Delivered",IF(U973="Yes",IF(AND(W973&lt;&gt;"",R973&lt;&gt;""),IF(W973&gt;R973,"⚠️ Delivery after install date","Ordered"),"Ordered"),IF(K973="",IF(T973="","Waiting for decision",IF(T973&lt;=AsOf+AlertDays,"Decide now","Waiting for decision")),IF(S973="","Selected",IF(AsOf&gt;S973,"⚠️ Order late — install at risk",IF(S973&lt;=AsOf+AlertDays,"Order now","Selected")))))))</f>
        <v/>
      </c>
      <c r="Z973" s="79">
        <f>IF(B973="","",IF(OR(AH973=1,AE973=1),2,IF(OR(AG973=1,AF973=1),1,IF(OR(Y973="Ordered",Y973="Delivered"),0,""))))</f>
        <v/>
      </c>
      <c r="AA973" s="112">
        <f>IF(B973="","",IF(AH973=1,IF(Y973="⚠️ Delivery after install date",R973,S973),IF(AD973=1,T973,IF(AI973=1,S973,""))))</f>
        <v/>
      </c>
      <c r="AB973" s="79">
        <f>IF(AA973="","",IF(AH973=1,1,IF(AA973="","",IF(AA973&lt;AsOf,1,IF(AA973&lt;=AsOf+AlertDays,2,IF(AA973&lt;=AsOf+2*AlertDays,3,""))))))</f>
        <v/>
      </c>
      <c r="AC973" s="79">
        <f>IF(AB973="","",IF(AH973=1,IF(Y973="⚠️ Delivery after install date","Delivery after install date: "&amp;B973,"Order late — install at risk: "&amp;B973),IF(AD973=1,IF(AB973=1,"Decision overdue: ","Decide: ")&amp;B973,"Order: "&amp;B973&amp;IF(N973="",""," from "&amp;N973))))</f>
        <v/>
      </c>
      <c r="AD973" s="79">
        <f>IF(AND(B973&lt;&gt;"",K973="",U973&lt;&gt;"Yes",X973&lt;&gt;"Yes"),1,0)</f>
        <v/>
      </c>
      <c r="AE973" s="79">
        <f>IF(AND(AD973=1,T973&lt;&gt;""),IF(T973&lt;AsOf,1,0),0)</f>
        <v/>
      </c>
      <c r="AF973" s="79">
        <f>IF(AND(AD973=1,T973&lt;&gt;""),IF(AND(T973&gt;=AsOf,T973&lt;=AsOf+AlertDays),1,0),0)</f>
        <v/>
      </c>
      <c r="AG973" s="79">
        <f>IF(Y973="Order now",1,0)</f>
        <v/>
      </c>
      <c r="AH973" s="79">
        <f>IF(OR(Y973="⚠️ Order late — install at risk",Y973="⚠️ Delivery after install date"),1,0)</f>
        <v/>
      </c>
      <c r="AI973" s="79">
        <f>IF(AND(B973&lt;&gt;"",K973&lt;&gt;"",U973&lt;&gt;"Yes",X973&lt;&gt;"Yes"),1,0)</f>
        <v/>
      </c>
      <c r="AJ973" s="79">
        <f>IF(Y973="⚠️ Order late — install at risk",1,0)</f>
        <v/>
      </c>
    </row>
    <row r="974" ht="20" customHeight="1">
      <c r="B974" s="72" t="n"/>
      <c r="C974" s="72" t="n"/>
      <c r="D974" s="72" t="n"/>
      <c r="E974" s="72" t="n"/>
      <c r="F974" s="73" t="n"/>
      <c r="G974" s="72" t="n"/>
      <c r="H974" s="73" t="n"/>
      <c r="I974" s="72" t="n"/>
      <c r="J974" s="73" t="n"/>
      <c r="K974" s="74" t="n"/>
      <c r="L974" s="75">
        <f>IF(K974="A",F974,IF(K974="B",H974,IF(K974="C",J974,"")))</f>
        <v/>
      </c>
      <c r="M974" s="72" t="n"/>
      <c r="N974" s="72" t="n"/>
      <c r="O974" s="89" t="n"/>
      <c r="P974" s="89" t="n"/>
      <c r="Q974" s="109" t="n"/>
      <c r="R974" s="120">
        <f>IF(B974="","",IF(Q974&lt;&gt;"",Q974,IF(P974="","",IFERROR(INDEX('Timeline'!$J$7:$J$1006,MATCH(P974,'Timeline'!$B$7:$B$1006,0)),""))))</f>
        <v/>
      </c>
      <c r="S974" s="126">
        <f>IF(R974="","",R974-IF(O974="",0,O974)-OrderBuf)</f>
        <v/>
      </c>
      <c r="T974" s="126">
        <f>IF(S974="","",S974-DecideBuf)</f>
        <v/>
      </c>
      <c r="U974" s="74" t="n"/>
      <c r="V974" s="109" t="n"/>
      <c r="W974" s="109" t="n"/>
      <c r="X974" s="74" t="n"/>
      <c r="Y974" s="116">
        <f>IF(B974="","",IF(X974="Yes","Delivered",IF(U974="Yes",IF(AND(W974&lt;&gt;"",R974&lt;&gt;""),IF(W974&gt;R974,"⚠️ Delivery after install date","Ordered"),"Ordered"),IF(K974="",IF(T974="","Waiting for decision",IF(T974&lt;=AsOf+AlertDays,"Decide now","Waiting for decision")),IF(S974="","Selected",IF(AsOf&gt;S974,"⚠️ Order late — install at risk",IF(S974&lt;=AsOf+AlertDays,"Order now","Selected")))))))</f>
        <v/>
      </c>
      <c r="Z974" s="79">
        <f>IF(B974="","",IF(OR(AH974=1,AE974=1),2,IF(OR(AG974=1,AF974=1),1,IF(OR(Y974="Ordered",Y974="Delivered"),0,""))))</f>
        <v/>
      </c>
      <c r="AA974" s="112">
        <f>IF(B974="","",IF(AH974=1,IF(Y974="⚠️ Delivery after install date",R974,S974),IF(AD974=1,T974,IF(AI974=1,S974,""))))</f>
        <v/>
      </c>
      <c r="AB974" s="79">
        <f>IF(AA974="","",IF(AH974=1,1,IF(AA974="","",IF(AA974&lt;AsOf,1,IF(AA974&lt;=AsOf+AlertDays,2,IF(AA974&lt;=AsOf+2*AlertDays,3,""))))))</f>
        <v/>
      </c>
      <c r="AC974" s="79">
        <f>IF(AB974="","",IF(AH974=1,IF(Y974="⚠️ Delivery after install date","Delivery after install date: "&amp;B974,"Order late — install at risk: "&amp;B974),IF(AD974=1,IF(AB974=1,"Decision overdue: ","Decide: ")&amp;B974,"Order: "&amp;B974&amp;IF(N974="",""," from "&amp;N974))))</f>
        <v/>
      </c>
      <c r="AD974" s="79">
        <f>IF(AND(B974&lt;&gt;"",K974="",U974&lt;&gt;"Yes",X974&lt;&gt;"Yes"),1,0)</f>
        <v/>
      </c>
      <c r="AE974" s="79">
        <f>IF(AND(AD974=1,T974&lt;&gt;""),IF(T974&lt;AsOf,1,0),0)</f>
        <v/>
      </c>
      <c r="AF974" s="79">
        <f>IF(AND(AD974=1,T974&lt;&gt;""),IF(AND(T974&gt;=AsOf,T974&lt;=AsOf+AlertDays),1,0),0)</f>
        <v/>
      </c>
      <c r="AG974" s="79">
        <f>IF(Y974="Order now",1,0)</f>
        <v/>
      </c>
      <c r="AH974" s="79">
        <f>IF(OR(Y974="⚠️ Order late — install at risk",Y974="⚠️ Delivery after install date"),1,0)</f>
        <v/>
      </c>
      <c r="AI974" s="79">
        <f>IF(AND(B974&lt;&gt;"",K974&lt;&gt;"",U974&lt;&gt;"Yes",X974&lt;&gt;"Yes"),1,0)</f>
        <v/>
      </c>
      <c r="AJ974" s="79">
        <f>IF(Y974="⚠️ Order late — install at risk",1,0)</f>
        <v/>
      </c>
    </row>
    <row r="975" ht="20" customHeight="1">
      <c r="B975" s="72" t="n"/>
      <c r="C975" s="72" t="n"/>
      <c r="D975" s="72" t="n"/>
      <c r="E975" s="72" t="n"/>
      <c r="F975" s="73" t="n"/>
      <c r="G975" s="72" t="n"/>
      <c r="H975" s="73" t="n"/>
      <c r="I975" s="72" t="n"/>
      <c r="J975" s="73" t="n"/>
      <c r="K975" s="74" t="n"/>
      <c r="L975" s="75">
        <f>IF(K975="A",F975,IF(K975="B",H975,IF(K975="C",J975,"")))</f>
        <v/>
      </c>
      <c r="M975" s="72" t="n"/>
      <c r="N975" s="72" t="n"/>
      <c r="O975" s="89" t="n"/>
      <c r="P975" s="89" t="n"/>
      <c r="Q975" s="109" t="n"/>
      <c r="R975" s="120">
        <f>IF(B975="","",IF(Q975&lt;&gt;"",Q975,IF(P975="","",IFERROR(INDEX('Timeline'!$J$7:$J$1006,MATCH(P975,'Timeline'!$B$7:$B$1006,0)),""))))</f>
        <v/>
      </c>
      <c r="S975" s="126">
        <f>IF(R975="","",R975-IF(O975="",0,O975)-OrderBuf)</f>
        <v/>
      </c>
      <c r="T975" s="126">
        <f>IF(S975="","",S975-DecideBuf)</f>
        <v/>
      </c>
      <c r="U975" s="74" t="n"/>
      <c r="V975" s="109" t="n"/>
      <c r="W975" s="109" t="n"/>
      <c r="X975" s="74" t="n"/>
      <c r="Y975" s="116">
        <f>IF(B975="","",IF(X975="Yes","Delivered",IF(U975="Yes",IF(AND(W975&lt;&gt;"",R975&lt;&gt;""),IF(W975&gt;R975,"⚠️ Delivery after install date","Ordered"),"Ordered"),IF(K975="",IF(T975="","Waiting for decision",IF(T975&lt;=AsOf+AlertDays,"Decide now","Waiting for decision")),IF(S975="","Selected",IF(AsOf&gt;S975,"⚠️ Order late — install at risk",IF(S975&lt;=AsOf+AlertDays,"Order now","Selected")))))))</f>
        <v/>
      </c>
      <c r="Z975" s="79">
        <f>IF(B975="","",IF(OR(AH975=1,AE975=1),2,IF(OR(AG975=1,AF975=1),1,IF(OR(Y975="Ordered",Y975="Delivered"),0,""))))</f>
        <v/>
      </c>
      <c r="AA975" s="112">
        <f>IF(B975="","",IF(AH975=1,IF(Y975="⚠️ Delivery after install date",R975,S975),IF(AD975=1,T975,IF(AI975=1,S975,""))))</f>
        <v/>
      </c>
      <c r="AB975" s="79">
        <f>IF(AA975="","",IF(AH975=1,1,IF(AA975="","",IF(AA975&lt;AsOf,1,IF(AA975&lt;=AsOf+AlertDays,2,IF(AA975&lt;=AsOf+2*AlertDays,3,""))))))</f>
        <v/>
      </c>
      <c r="AC975" s="79">
        <f>IF(AB975="","",IF(AH975=1,IF(Y975="⚠️ Delivery after install date","Delivery after install date: "&amp;B975,"Order late — install at risk: "&amp;B975),IF(AD975=1,IF(AB975=1,"Decision overdue: ","Decide: ")&amp;B975,"Order: "&amp;B975&amp;IF(N975="",""," from "&amp;N975))))</f>
        <v/>
      </c>
      <c r="AD975" s="79">
        <f>IF(AND(B975&lt;&gt;"",K975="",U975&lt;&gt;"Yes",X975&lt;&gt;"Yes"),1,0)</f>
        <v/>
      </c>
      <c r="AE975" s="79">
        <f>IF(AND(AD975=1,T975&lt;&gt;""),IF(T975&lt;AsOf,1,0),0)</f>
        <v/>
      </c>
      <c r="AF975" s="79">
        <f>IF(AND(AD975=1,T975&lt;&gt;""),IF(AND(T975&gt;=AsOf,T975&lt;=AsOf+AlertDays),1,0),0)</f>
        <v/>
      </c>
      <c r="AG975" s="79">
        <f>IF(Y975="Order now",1,0)</f>
        <v/>
      </c>
      <c r="AH975" s="79">
        <f>IF(OR(Y975="⚠️ Order late — install at risk",Y975="⚠️ Delivery after install date"),1,0)</f>
        <v/>
      </c>
      <c r="AI975" s="79">
        <f>IF(AND(B975&lt;&gt;"",K975&lt;&gt;"",U975&lt;&gt;"Yes",X975&lt;&gt;"Yes"),1,0)</f>
        <v/>
      </c>
      <c r="AJ975" s="79">
        <f>IF(Y975="⚠️ Order late — install at risk",1,0)</f>
        <v/>
      </c>
    </row>
    <row r="976" ht="20" customHeight="1">
      <c r="B976" s="72" t="n"/>
      <c r="C976" s="72" t="n"/>
      <c r="D976" s="72" t="n"/>
      <c r="E976" s="72" t="n"/>
      <c r="F976" s="73" t="n"/>
      <c r="G976" s="72" t="n"/>
      <c r="H976" s="73" t="n"/>
      <c r="I976" s="72" t="n"/>
      <c r="J976" s="73" t="n"/>
      <c r="K976" s="74" t="n"/>
      <c r="L976" s="75">
        <f>IF(K976="A",F976,IF(K976="B",H976,IF(K976="C",J976,"")))</f>
        <v/>
      </c>
      <c r="M976" s="72" t="n"/>
      <c r="N976" s="72" t="n"/>
      <c r="O976" s="89" t="n"/>
      <c r="P976" s="89" t="n"/>
      <c r="Q976" s="109" t="n"/>
      <c r="R976" s="120">
        <f>IF(B976="","",IF(Q976&lt;&gt;"",Q976,IF(P976="","",IFERROR(INDEX('Timeline'!$J$7:$J$1006,MATCH(P976,'Timeline'!$B$7:$B$1006,0)),""))))</f>
        <v/>
      </c>
      <c r="S976" s="126">
        <f>IF(R976="","",R976-IF(O976="",0,O976)-OrderBuf)</f>
        <v/>
      </c>
      <c r="T976" s="126">
        <f>IF(S976="","",S976-DecideBuf)</f>
        <v/>
      </c>
      <c r="U976" s="74" t="n"/>
      <c r="V976" s="109" t="n"/>
      <c r="W976" s="109" t="n"/>
      <c r="X976" s="74" t="n"/>
      <c r="Y976" s="116">
        <f>IF(B976="","",IF(X976="Yes","Delivered",IF(U976="Yes",IF(AND(W976&lt;&gt;"",R976&lt;&gt;""),IF(W976&gt;R976,"⚠️ Delivery after install date","Ordered"),"Ordered"),IF(K976="",IF(T976="","Waiting for decision",IF(T976&lt;=AsOf+AlertDays,"Decide now","Waiting for decision")),IF(S976="","Selected",IF(AsOf&gt;S976,"⚠️ Order late — install at risk",IF(S976&lt;=AsOf+AlertDays,"Order now","Selected")))))))</f>
        <v/>
      </c>
      <c r="Z976" s="79">
        <f>IF(B976="","",IF(OR(AH976=1,AE976=1),2,IF(OR(AG976=1,AF976=1),1,IF(OR(Y976="Ordered",Y976="Delivered"),0,""))))</f>
        <v/>
      </c>
      <c r="AA976" s="112">
        <f>IF(B976="","",IF(AH976=1,IF(Y976="⚠️ Delivery after install date",R976,S976),IF(AD976=1,T976,IF(AI976=1,S976,""))))</f>
        <v/>
      </c>
      <c r="AB976" s="79">
        <f>IF(AA976="","",IF(AH976=1,1,IF(AA976="","",IF(AA976&lt;AsOf,1,IF(AA976&lt;=AsOf+AlertDays,2,IF(AA976&lt;=AsOf+2*AlertDays,3,""))))))</f>
        <v/>
      </c>
      <c r="AC976" s="79">
        <f>IF(AB976="","",IF(AH976=1,IF(Y976="⚠️ Delivery after install date","Delivery after install date: "&amp;B976,"Order late — install at risk: "&amp;B976),IF(AD976=1,IF(AB976=1,"Decision overdue: ","Decide: ")&amp;B976,"Order: "&amp;B976&amp;IF(N976="",""," from "&amp;N976))))</f>
        <v/>
      </c>
      <c r="AD976" s="79">
        <f>IF(AND(B976&lt;&gt;"",K976="",U976&lt;&gt;"Yes",X976&lt;&gt;"Yes"),1,0)</f>
        <v/>
      </c>
      <c r="AE976" s="79">
        <f>IF(AND(AD976=1,T976&lt;&gt;""),IF(T976&lt;AsOf,1,0),0)</f>
        <v/>
      </c>
      <c r="AF976" s="79">
        <f>IF(AND(AD976=1,T976&lt;&gt;""),IF(AND(T976&gt;=AsOf,T976&lt;=AsOf+AlertDays),1,0),0)</f>
        <v/>
      </c>
      <c r="AG976" s="79">
        <f>IF(Y976="Order now",1,0)</f>
        <v/>
      </c>
      <c r="AH976" s="79">
        <f>IF(OR(Y976="⚠️ Order late — install at risk",Y976="⚠️ Delivery after install date"),1,0)</f>
        <v/>
      </c>
      <c r="AI976" s="79">
        <f>IF(AND(B976&lt;&gt;"",K976&lt;&gt;"",U976&lt;&gt;"Yes",X976&lt;&gt;"Yes"),1,0)</f>
        <v/>
      </c>
      <c r="AJ976" s="79">
        <f>IF(Y976="⚠️ Order late — install at risk",1,0)</f>
        <v/>
      </c>
    </row>
    <row r="977" ht="20" customHeight="1">
      <c r="B977" s="72" t="n"/>
      <c r="C977" s="72" t="n"/>
      <c r="D977" s="72" t="n"/>
      <c r="E977" s="72" t="n"/>
      <c r="F977" s="73" t="n"/>
      <c r="G977" s="72" t="n"/>
      <c r="H977" s="73" t="n"/>
      <c r="I977" s="72" t="n"/>
      <c r="J977" s="73" t="n"/>
      <c r="K977" s="74" t="n"/>
      <c r="L977" s="75">
        <f>IF(K977="A",F977,IF(K977="B",H977,IF(K977="C",J977,"")))</f>
        <v/>
      </c>
      <c r="M977" s="72" t="n"/>
      <c r="N977" s="72" t="n"/>
      <c r="O977" s="89" t="n"/>
      <c r="P977" s="89" t="n"/>
      <c r="Q977" s="109" t="n"/>
      <c r="R977" s="120">
        <f>IF(B977="","",IF(Q977&lt;&gt;"",Q977,IF(P977="","",IFERROR(INDEX('Timeline'!$J$7:$J$1006,MATCH(P977,'Timeline'!$B$7:$B$1006,0)),""))))</f>
        <v/>
      </c>
      <c r="S977" s="126">
        <f>IF(R977="","",R977-IF(O977="",0,O977)-OrderBuf)</f>
        <v/>
      </c>
      <c r="T977" s="126">
        <f>IF(S977="","",S977-DecideBuf)</f>
        <v/>
      </c>
      <c r="U977" s="74" t="n"/>
      <c r="V977" s="109" t="n"/>
      <c r="W977" s="109" t="n"/>
      <c r="X977" s="74" t="n"/>
      <c r="Y977" s="116">
        <f>IF(B977="","",IF(X977="Yes","Delivered",IF(U977="Yes",IF(AND(W977&lt;&gt;"",R977&lt;&gt;""),IF(W977&gt;R977,"⚠️ Delivery after install date","Ordered"),"Ordered"),IF(K977="",IF(T977="","Waiting for decision",IF(T977&lt;=AsOf+AlertDays,"Decide now","Waiting for decision")),IF(S977="","Selected",IF(AsOf&gt;S977,"⚠️ Order late — install at risk",IF(S977&lt;=AsOf+AlertDays,"Order now","Selected")))))))</f>
        <v/>
      </c>
      <c r="Z977" s="79">
        <f>IF(B977="","",IF(OR(AH977=1,AE977=1),2,IF(OR(AG977=1,AF977=1),1,IF(OR(Y977="Ordered",Y977="Delivered"),0,""))))</f>
        <v/>
      </c>
      <c r="AA977" s="112">
        <f>IF(B977="","",IF(AH977=1,IF(Y977="⚠️ Delivery after install date",R977,S977),IF(AD977=1,T977,IF(AI977=1,S977,""))))</f>
        <v/>
      </c>
      <c r="AB977" s="79">
        <f>IF(AA977="","",IF(AH977=1,1,IF(AA977="","",IF(AA977&lt;AsOf,1,IF(AA977&lt;=AsOf+AlertDays,2,IF(AA977&lt;=AsOf+2*AlertDays,3,""))))))</f>
        <v/>
      </c>
      <c r="AC977" s="79">
        <f>IF(AB977="","",IF(AH977=1,IF(Y977="⚠️ Delivery after install date","Delivery after install date: "&amp;B977,"Order late — install at risk: "&amp;B977),IF(AD977=1,IF(AB977=1,"Decision overdue: ","Decide: ")&amp;B977,"Order: "&amp;B977&amp;IF(N977="",""," from "&amp;N977))))</f>
        <v/>
      </c>
      <c r="AD977" s="79">
        <f>IF(AND(B977&lt;&gt;"",K977="",U977&lt;&gt;"Yes",X977&lt;&gt;"Yes"),1,0)</f>
        <v/>
      </c>
      <c r="AE977" s="79">
        <f>IF(AND(AD977=1,T977&lt;&gt;""),IF(T977&lt;AsOf,1,0),0)</f>
        <v/>
      </c>
      <c r="AF977" s="79">
        <f>IF(AND(AD977=1,T977&lt;&gt;""),IF(AND(T977&gt;=AsOf,T977&lt;=AsOf+AlertDays),1,0),0)</f>
        <v/>
      </c>
      <c r="AG977" s="79">
        <f>IF(Y977="Order now",1,0)</f>
        <v/>
      </c>
      <c r="AH977" s="79">
        <f>IF(OR(Y977="⚠️ Order late — install at risk",Y977="⚠️ Delivery after install date"),1,0)</f>
        <v/>
      </c>
      <c r="AI977" s="79">
        <f>IF(AND(B977&lt;&gt;"",K977&lt;&gt;"",U977&lt;&gt;"Yes",X977&lt;&gt;"Yes"),1,0)</f>
        <v/>
      </c>
      <c r="AJ977" s="79">
        <f>IF(Y977="⚠️ Order late — install at risk",1,0)</f>
        <v/>
      </c>
    </row>
    <row r="978" ht="20" customHeight="1">
      <c r="B978" s="72" t="n"/>
      <c r="C978" s="72" t="n"/>
      <c r="D978" s="72" t="n"/>
      <c r="E978" s="72" t="n"/>
      <c r="F978" s="73" t="n"/>
      <c r="G978" s="72" t="n"/>
      <c r="H978" s="73" t="n"/>
      <c r="I978" s="72" t="n"/>
      <c r="J978" s="73" t="n"/>
      <c r="K978" s="74" t="n"/>
      <c r="L978" s="75">
        <f>IF(K978="A",F978,IF(K978="B",H978,IF(K978="C",J978,"")))</f>
        <v/>
      </c>
      <c r="M978" s="72" t="n"/>
      <c r="N978" s="72" t="n"/>
      <c r="O978" s="89" t="n"/>
      <c r="P978" s="89" t="n"/>
      <c r="Q978" s="109" t="n"/>
      <c r="R978" s="120">
        <f>IF(B978="","",IF(Q978&lt;&gt;"",Q978,IF(P978="","",IFERROR(INDEX('Timeline'!$J$7:$J$1006,MATCH(P978,'Timeline'!$B$7:$B$1006,0)),""))))</f>
        <v/>
      </c>
      <c r="S978" s="126">
        <f>IF(R978="","",R978-IF(O978="",0,O978)-OrderBuf)</f>
        <v/>
      </c>
      <c r="T978" s="126">
        <f>IF(S978="","",S978-DecideBuf)</f>
        <v/>
      </c>
      <c r="U978" s="74" t="n"/>
      <c r="V978" s="109" t="n"/>
      <c r="W978" s="109" t="n"/>
      <c r="X978" s="74" t="n"/>
      <c r="Y978" s="116">
        <f>IF(B978="","",IF(X978="Yes","Delivered",IF(U978="Yes",IF(AND(W978&lt;&gt;"",R978&lt;&gt;""),IF(W978&gt;R978,"⚠️ Delivery after install date","Ordered"),"Ordered"),IF(K978="",IF(T978="","Waiting for decision",IF(T978&lt;=AsOf+AlertDays,"Decide now","Waiting for decision")),IF(S978="","Selected",IF(AsOf&gt;S978,"⚠️ Order late — install at risk",IF(S978&lt;=AsOf+AlertDays,"Order now","Selected")))))))</f>
        <v/>
      </c>
      <c r="Z978" s="79">
        <f>IF(B978="","",IF(OR(AH978=1,AE978=1),2,IF(OR(AG978=1,AF978=1),1,IF(OR(Y978="Ordered",Y978="Delivered"),0,""))))</f>
        <v/>
      </c>
      <c r="AA978" s="112">
        <f>IF(B978="","",IF(AH978=1,IF(Y978="⚠️ Delivery after install date",R978,S978),IF(AD978=1,T978,IF(AI978=1,S978,""))))</f>
        <v/>
      </c>
      <c r="AB978" s="79">
        <f>IF(AA978="","",IF(AH978=1,1,IF(AA978="","",IF(AA978&lt;AsOf,1,IF(AA978&lt;=AsOf+AlertDays,2,IF(AA978&lt;=AsOf+2*AlertDays,3,""))))))</f>
        <v/>
      </c>
      <c r="AC978" s="79">
        <f>IF(AB978="","",IF(AH978=1,IF(Y978="⚠️ Delivery after install date","Delivery after install date: "&amp;B978,"Order late — install at risk: "&amp;B978),IF(AD978=1,IF(AB978=1,"Decision overdue: ","Decide: ")&amp;B978,"Order: "&amp;B978&amp;IF(N978="",""," from "&amp;N978))))</f>
        <v/>
      </c>
      <c r="AD978" s="79">
        <f>IF(AND(B978&lt;&gt;"",K978="",U978&lt;&gt;"Yes",X978&lt;&gt;"Yes"),1,0)</f>
        <v/>
      </c>
      <c r="AE978" s="79">
        <f>IF(AND(AD978=1,T978&lt;&gt;""),IF(T978&lt;AsOf,1,0),0)</f>
        <v/>
      </c>
      <c r="AF978" s="79">
        <f>IF(AND(AD978=1,T978&lt;&gt;""),IF(AND(T978&gt;=AsOf,T978&lt;=AsOf+AlertDays),1,0),0)</f>
        <v/>
      </c>
      <c r="AG978" s="79">
        <f>IF(Y978="Order now",1,0)</f>
        <v/>
      </c>
      <c r="AH978" s="79">
        <f>IF(OR(Y978="⚠️ Order late — install at risk",Y978="⚠️ Delivery after install date"),1,0)</f>
        <v/>
      </c>
      <c r="AI978" s="79">
        <f>IF(AND(B978&lt;&gt;"",K978&lt;&gt;"",U978&lt;&gt;"Yes",X978&lt;&gt;"Yes"),1,0)</f>
        <v/>
      </c>
      <c r="AJ978" s="79">
        <f>IF(Y978="⚠️ Order late — install at risk",1,0)</f>
        <v/>
      </c>
    </row>
    <row r="979" ht="20" customHeight="1">
      <c r="B979" s="72" t="n"/>
      <c r="C979" s="72" t="n"/>
      <c r="D979" s="72" t="n"/>
      <c r="E979" s="72" t="n"/>
      <c r="F979" s="73" t="n"/>
      <c r="G979" s="72" t="n"/>
      <c r="H979" s="73" t="n"/>
      <c r="I979" s="72" t="n"/>
      <c r="J979" s="73" t="n"/>
      <c r="K979" s="74" t="n"/>
      <c r="L979" s="75">
        <f>IF(K979="A",F979,IF(K979="B",H979,IF(K979="C",J979,"")))</f>
        <v/>
      </c>
      <c r="M979" s="72" t="n"/>
      <c r="N979" s="72" t="n"/>
      <c r="O979" s="89" t="n"/>
      <c r="P979" s="89" t="n"/>
      <c r="Q979" s="109" t="n"/>
      <c r="R979" s="120">
        <f>IF(B979="","",IF(Q979&lt;&gt;"",Q979,IF(P979="","",IFERROR(INDEX('Timeline'!$J$7:$J$1006,MATCH(P979,'Timeline'!$B$7:$B$1006,0)),""))))</f>
        <v/>
      </c>
      <c r="S979" s="126">
        <f>IF(R979="","",R979-IF(O979="",0,O979)-OrderBuf)</f>
        <v/>
      </c>
      <c r="T979" s="126">
        <f>IF(S979="","",S979-DecideBuf)</f>
        <v/>
      </c>
      <c r="U979" s="74" t="n"/>
      <c r="V979" s="109" t="n"/>
      <c r="W979" s="109" t="n"/>
      <c r="X979" s="74" t="n"/>
      <c r="Y979" s="116">
        <f>IF(B979="","",IF(X979="Yes","Delivered",IF(U979="Yes",IF(AND(W979&lt;&gt;"",R979&lt;&gt;""),IF(W979&gt;R979,"⚠️ Delivery after install date","Ordered"),"Ordered"),IF(K979="",IF(T979="","Waiting for decision",IF(T979&lt;=AsOf+AlertDays,"Decide now","Waiting for decision")),IF(S979="","Selected",IF(AsOf&gt;S979,"⚠️ Order late — install at risk",IF(S979&lt;=AsOf+AlertDays,"Order now","Selected")))))))</f>
        <v/>
      </c>
      <c r="Z979" s="79">
        <f>IF(B979="","",IF(OR(AH979=1,AE979=1),2,IF(OR(AG979=1,AF979=1),1,IF(OR(Y979="Ordered",Y979="Delivered"),0,""))))</f>
        <v/>
      </c>
      <c r="AA979" s="112">
        <f>IF(B979="","",IF(AH979=1,IF(Y979="⚠️ Delivery after install date",R979,S979),IF(AD979=1,T979,IF(AI979=1,S979,""))))</f>
        <v/>
      </c>
      <c r="AB979" s="79">
        <f>IF(AA979="","",IF(AH979=1,1,IF(AA979="","",IF(AA979&lt;AsOf,1,IF(AA979&lt;=AsOf+AlertDays,2,IF(AA979&lt;=AsOf+2*AlertDays,3,""))))))</f>
        <v/>
      </c>
      <c r="AC979" s="79">
        <f>IF(AB979="","",IF(AH979=1,IF(Y979="⚠️ Delivery after install date","Delivery after install date: "&amp;B979,"Order late — install at risk: "&amp;B979),IF(AD979=1,IF(AB979=1,"Decision overdue: ","Decide: ")&amp;B979,"Order: "&amp;B979&amp;IF(N979="",""," from "&amp;N979))))</f>
        <v/>
      </c>
      <c r="AD979" s="79">
        <f>IF(AND(B979&lt;&gt;"",K979="",U979&lt;&gt;"Yes",X979&lt;&gt;"Yes"),1,0)</f>
        <v/>
      </c>
      <c r="AE979" s="79">
        <f>IF(AND(AD979=1,T979&lt;&gt;""),IF(T979&lt;AsOf,1,0),0)</f>
        <v/>
      </c>
      <c r="AF979" s="79">
        <f>IF(AND(AD979=1,T979&lt;&gt;""),IF(AND(T979&gt;=AsOf,T979&lt;=AsOf+AlertDays),1,0),0)</f>
        <v/>
      </c>
      <c r="AG979" s="79">
        <f>IF(Y979="Order now",1,0)</f>
        <v/>
      </c>
      <c r="AH979" s="79">
        <f>IF(OR(Y979="⚠️ Order late — install at risk",Y979="⚠️ Delivery after install date"),1,0)</f>
        <v/>
      </c>
      <c r="AI979" s="79">
        <f>IF(AND(B979&lt;&gt;"",K979&lt;&gt;"",U979&lt;&gt;"Yes",X979&lt;&gt;"Yes"),1,0)</f>
        <v/>
      </c>
      <c r="AJ979" s="79">
        <f>IF(Y979="⚠️ Order late — install at risk",1,0)</f>
        <v/>
      </c>
    </row>
    <row r="980" ht="20" customHeight="1">
      <c r="B980" s="72" t="n"/>
      <c r="C980" s="72" t="n"/>
      <c r="D980" s="72" t="n"/>
      <c r="E980" s="72" t="n"/>
      <c r="F980" s="73" t="n"/>
      <c r="G980" s="72" t="n"/>
      <c r="H980" s="73" t="n"/>
      <c r="I980" s="72" t="n"/>
      <c r="J980" s="73" t="n"/>
      <c r="K980" s="74" t="n"/>
      <c r="L980" s="75">
        <f>IF(K980="A",F980,IF(K980="B",H980,IF(K980="C",J980,"")))</f>
        <v/>
      </c>
      <c r="M980" s="72" t="n"/>
      <c r="N980" s="72" t="n"/>
      <c r="O980" s="89" t="n"/>
      <c r="P980" s="89" t="n"/>
      <c r="Q980" s="109" t="n"/>
      <c r="R980" s="120">
        <f>IF(B980="","",IF(Q980&lt;&gt;"",Q980,IF(P980="","",IFERROR(INDEX('Timeline'!$J$7:$J$1006,MATCH(P980,'Timeline'!$B$7:$B$1006,0)),""))))</f>
        <v/>
      </c>
      <c r="S980" s="126">
        <f>IF(R980="","",R980-IF(O980="",0,O980)-OrderBuf)</f>
        <v/>
      </c>
      <c r="T980" s="126">
        <f>IF(S980="","",S980-DecideBuf)</f>
        <v/>
      </c>
      <c r="U980" s="74" t="n"/>
      <c r="V980" s="109" t="n"/>
      <c r="W980" s="109" t="n"/>
      <c r="X980" s="74" t="n"/>
      <c r="Y980" s="116">
        <f>IF(B980="","",IF(X980="Yes","Delivered",IF(U980="Yes",IF(AND(W980&lt;&gt;"",R980&lt;&gt;""),IF(W980&gt;R980,"⚠️ Delivery after install date","Ordered"),"Ordered"),IF(K980="",IF(T980="","Waiting for decision",IF(T980&lt;=AsOf+AlertDays,"Decide now","Waiting for decision")),IF(S980="","Selected",IF(AsOf&gt;S980,"⚠️ Order late — install at risk",IF(S980&lt;=AsOf+AlertDays,"Order now","Selected")))))))</f>
        <v/>
      </c>
      <c r="Z980" s="79">
        <f>IF(B980="","",IF(OR(AH980=1,AE980=1),2,IF(OR(AG980=1,AF980=1),1,IF(OR(Y980="Ordered",Y980="Delivered"),0,""))))</f>
        <v/>
      </c>
      <c r="AA980" s="112">
        <f>IF(B980="","",IF(AH980=1,IF(Y980="⚠️ Delivery after install date",R980,S980),IF(AD980=1,T980,IF(AI980=1,S980,""))))</f>
        <v/>
      </c>
      <c r="AB980" s="79">
        <f>IF(AA980="","",IF(AH980=1,1,IF(AA980="","",IF(AA980&lt;AsOf,1,IF(AA980&lt;=AsOf+AlertDays,2,IF(AA980&lt;=AsOf+2*AlertDays,3,""))))))</f>
        <v/>
      </c>
      <c r="AC980" s="79">
        <f>IF(AB980="","",IF(AH980=1,IF(Y980="⚠️ Delivery after install date","Delivery after install date: "&amp;B980,"Order late — install at risk: "&amp;B980),IF(AD980=1,IF(AB980=1,"Decision overdue: ","Decide: ")&amp;B980,"Order: "&amp;B980&amp;IF(N980="",""," from "&amp;N980))))</f>
        <v/>
      </c>
      <c r="AD980" s="79">
        <f>IF(AND(B980&lt;&gt;"",K980="",U980&lt;&gt;"Yes",X980&lt;&gt;"Yes"),1,0)</f>
        <v/>
      </c>
      <c r="AE980" s="79">
        <f>IF(AND(AD980=1,T980&lt;&gt;""),IF(T980&lt;AsOf,1,0),0)</f>
        <v/>
      </c>
      <c r="AF980" s="79">
        <f>IF(AND(AD980=1,T980&lt;&gt;""),IF(AND(T980&gt;=AsOf,T980&lt;=AsOf+AlertDays),1,0),0)</f>
        <v/>
      </c>
      <c r="AG980" s="79">
        <f>IF(Y980="Order now",1,0)</f>
        <v/>
      </c>
      <c r="AH980" s="79">
        <f>IF(OR(Y980="⚠️ Order late — install at risk",Y980="⚠️ Delivery after install date"),1,0)</f>
        <v/>
      </c>
      <c r="AI980" s="79">
        <f>IF(AND(B980&lt;&gt;"",K980&lt;&gt;"",U980&lt;&gt;"Yes",X980&lt;&gt;"Yes"),1,0)</f>
        <v/>
      </c>
      <c r="AJ980" s="79">
        <f>IF(Y980="⚠️ Order late — install at risk",1,0)</f>
        <v/>
      </c>
    </row>
    <row r="981" ht="20" customHeight="1">
      <c r="B981" s="72" t="n"/>
      <c r="C981" s="72" t="n"/>
      <c r="D981" s="72" t="n"/>
      <c r="E981" s="72" t="n"/>
      <c r="F981" s="73" t="n"/>
      <c r="G981" s="72" t="n"/>
      <c r="H981" s="73" t="n"/>
      <c r="I981" s="72" t="n"/>
      <c r="J981" s="73" t="n"/>
      <c r="K981" s="74" t="n"/>
      <c r="L981" s="75">
        <f>IF(K981="A",F981,IF(K981="B",H981,IF(K981="C",J981,"")))</f>
        <v/>
      </c>
      <c r="M981" s="72" t="n"/>
      <c r="N981" s="72" t="n"/>
      <c r="O981" s="89" t="n"/>
      <c r="P981" s="89" t="n"/>
      <c r="Q981" s="109" t="n"/>
      <c r="R981" s="120">
        <f>IF(B981="","",IF(Q981&lt;&gt;"",Q981,IF(P981="","",IFERROR(INDEX('Timeline'!$J$7:$J$1006,MATCH(P981,'Timeline'!$B$7:$B$1006,0)),""))))</f>
        <v/>
      </c>
      <c r="S981" s="126">
        <f>IF(R981="","",R981-IF(O981="",0,O981)-OrderBuf)</f>
        <v/>
      </c>
      <c r="T981" s="126">
        <f>IF(S981="","",S981-DecideBuf)</f>
        <v/>
      </c>
      <c r="U981" s="74" t="n"/>
      <c r="V981" s="109" t="n"/>
      <c r="W981" s="109" t="n"/>
      <c r="X981" s="74" t="n"/>
      <c r="Y981" s="116">
        <f>IF(B981="","",IF(X981="Yes","Delivered",IF(U981="Yes",IF(AND(W981&lt;&gt;"",R981&lt;&gt;""),IF(W981&gt;R981,"⚠️ Delivery after install date","Ordered"),"Ordered"),IF(K981="",IF(T981="","Waiting for decision",IF(T981&lt;=AsOf+AlertDays,"Decide now","Waiting for decision")),IF(S981="","Selected",IF(AsOf&gt;S981,"⚠️ Order late — install at risk",IF(S981&lt;=AsOf+AlertDays,"Order now","Selected")))))))</f>
        <v/>
      </c>
      <c r="Z981" s="79">
        <f>IF(B981="","",IF(OR(AH981=1,AE981=1),2,IF(OR(AG981=1,AF981=1),1,IF(OR(Y981="Ordered",Y981="Delivered"),0,""))))</f>
        <v/>
      </c>
      <c r="AA981" s="112">
        <f>IF(B981="","",IF(AH981=1,IF(Y981="⚠️ Delivery after install date",R981,S981),IF(AD981=1,T981,IF(AI981=1,S981,""))))</f>
        <v/>
      </c>
      <c r="AB981" s="79">
        <f>IF(AA981="","",IF(AH981=1,1,IF(AA981="","",IF(AA981&lt;AsOf,1,IF(AA981&lt;=AsOf+AlertDays,2,IF(AA981&lt;=AsOf+2*AlertDays,3,""))))))</f>
        <v/>
      </c>
      <c r="AC981" s="79">
        <f>IF(AB981="","",IF(AH981=1,IF(Y981="⚠️ Delivery after install date","Delivery after install date: "&amp;B981,"Order late — install at risk: "&amp;B981),IF(AD981=1,IF(AB981=1,"Decision overdue: ","Decide: ")&amp;B981,"Order: "&amp;B981&amp;IF(N981="",""," from "&amp;N981))))</f>
        <v/>
      </c>
      <c r="AD981" s="79">
        <f>IF(AND(B981&lt;&gt;"",K981="",U981&lt;&gt;"Yes",X981&lt;&gt;"Yes"),1,0)</f>
        <v/>
      </c>
      <c r="AE981" s="79">
        <f>IF(AND(AD981=1,T981&lt;&gt;""),IF(T981&lt;AsOf,1,0),0)</f>
        <v/>
      </c>
      <c r="AF981" s="79">
        <f>IF(AND(AD981=1,T981&lt;&gt;""),IF(AND(T981&gt;=AsOf,T981&lt;=AsOf+AlertDays),1,0),0)</f>
        <v/>
      </c>
      <c r="AG981" s="79">
        <f>IF(Y981="Order now",1,0)</f>
        <v/>
      </c>
      <c r="AH981" s="79">
        <f>IF(OR(Y981="⚠️ Order late — install at risk",Y981="⚠️ Delivery after install date"),1,0)</f>
        <v/>
      </c>
      <c r="AI981" s="79">
        <f>IF(AND(B981&lt;&gt;"",K981&lt;&gt;"",U981&lt;&gt;"Yes",X981&lt;&gt;"Yes"),1,0)</f>
        <v/>
      </c>
      <c r="AJ981" s="79">
        <f>IF(Y981="⚠️ Order late — install at risk",1,0)</f>
        <v/>
      </c>
    </row>
    <row r="982" ht="20" customHeight="1">
      <c r="B982" s="72" t="n"/>
      <c r="C982" s="72" t="n"/>
      <c r="D982" s="72" t="n"/>
      <c r="E982" s="72" t="n"/>
      <c r="F982" s="73" t="n"/>
      <c r="G982" s="72" t="n"/>
      <c r="H982" s="73" t="n"/>
      <c r="I982" s="72" t="n"/>
      <c r="J982" s="73" t="n"/>
      <c r="K982" s="74" t="n"/>
      <c r="L982" s="75">
        <f>IF(K982="A",F982,IF(K982="B",H982,IF(K982="C",J982,"")))</f>
        <v/>
      </c>
      <c r="M982" s="72" t="n"/>
      <c r="N982" s="72" t="n"/>
      <c r="O982" s="89" t="n"/>
      <c r="P982" s="89" t="n"/>
      <c r="Q982" s="109" t="n"/>
      <c r="R982" s="120">
        <f>IF(B982="","",IF(Q982&lt;&gt;"",Q982,IF(P982="","",IFERROR(INDEX('Timeline'!$J$7:$J$1006,MATCH(P982,'Timeline'!$B$7:$B$1006,0)),""))))</f>
        <v/>
      </c>
      <c r="S982" s="126">
        <f>IF(R982="","",R982-IF(O982="",0,O982)-OrderBuf)</f>
        <v/>
      </c>
      <c r="T982" s="126">
        <f>IF(S982="","",S982-DecideBuf)</f>
        <v/>
      </c>
      <c r="U982" s="74" t="n"/>
      <c r="V982" s="109" t="n"/>
      <c r="W982" s="109" t="n"/>
      <c r="X982" s="74" t="n"/>
      <c r="Y982" s="116">
        <f>IF(B982="","",IF(X982="Yes","Delivered",IF(U982="Yes",IF(AND(W982&lt;&gt;"",R982&lt;&gt;""),IF(W982&gt;R982,"⚠️ Delivery after install date","Ordered"),"Ordered"),IF(K982="",IF(T982="","Waiting for decision",IF(T982&lt;=AsOf+AlertDays,"Decide now","Waiting for decision")),IF(S982="","Selected",IF(AsOf&gt;S982,"⚠️ Order late — install at risk",IF(S982&lt;=AsOf+AlertDays,"Order now","Selected")))))))</f>
        <v/>
      </c>
      <c r="Z982" s="79">
        <f>IF(B982="","",IF(OR(AH982=1,AE982=1),2,IF(OR(AG982=1,AF982=1),1,IF(OR(Y982="Ordered",Y982="Delivered"),0,""))))</f>
        <v/>
      </c>
      <c r="AA982" s="112">
        <f>IF(B982="","",IF(AH982=1,IF(Y982="⚠️ Delivery after install date",R982,S982),IF(AD982=1,T982,IF(AI982=1,S982,""))))</f>
        <v/>
      </c>
      <c r="AB982" s="79">
        <f>IF(AA982="","",IF(AH982=1,1,IF(AA982="","",IF(AA982&lt;AsOf,1,IF(AA982&lt;=AsOf+AlertDays,2,IF(AA982&lt;=AsOf+2*AlertDays,3,""))))))</f>
        <v/>
      </c>
      <c r="AC982" s="79">
        <f>IF(AB982="","",IF(AH982=1,IF(Y982="⚠️ Delivery after install date","Delivery after install date: "&amp;B982,"Order late — install at risk: "&amp;B982),IF(AD982=1,IF(AB982=1,"Decision overdue: ","Decide: ")&amp;B982,"Order: "&amp;B982&amp;IF(N982="",""," from "&amp;N982))))</f>
        <v/>
      </c>
      <c r="AD982" s="79">
        <f>IF(AND(B982&lt;&gt;"",K982="",U982&lt;&gt;"Yes",X982&lt;&gt;"Yes"),1,0)</f>
        <v/>
      </c>
      <c r="AE982" s="79">
        <f>IF(AND(AD982=1,T982&lt;&gt;""),IF(T982&lt;AsOf,1,0),0)</f>
        <v/>
      </c>
      <c r="AF982" s="79">
        <f>IF(AND(AD982=1,T982&lt;&gt;""),IF(AND(T982&gt;=AsOf,T982&lt;=AsOf+AlertDays),1,0),0)</f>
        <v/>
      </c>
      <c r="AG982" s="79">
        <f>IF(Y982="Order now",1,0)</f>
        <v/>
      </c>
      <c r="AH982" s="79">
        <f>IF(OR(Y982="⚠️ Order late — install at risk",Y982="⚠️ Delivery after install date"),1,0)</f>
        <v/>
      </c>
      <c r="AI982" s="79">
        <f>IF(AND(B982&lt;&gt;"",K982&lt;&gt;"",U982&lt;&gt;"Yes",X982&lt;&gt;"Yes"),1,0)</f>
        <v/>
      </c>
      <c r="AJ982" s="79">
        <f>IF(Y982="⚠️ Order late — install at risk",1,0)</f>
        <v/>
      </c>
    </row>
    <row r="983" ht="20" customHeight="1">
      <c r="B983" s="72" t="n"/>
      <c r="C983" s="72" t="n"/>
      <c r="D983" s="72" t="n"/>
      <c r="E983" s="72" t="n"/>
      <c r="F983" s="73" t="n"/>
      <c r="G983" s="72" t="n"/>
      <c r="H983" s="73" t="n"/>
      <c r="I983" s="72" t="n"/>
      <c r="J983" s="73" t="n"/>
      <c r="K983" s="74" t="n"/>
      <c r="L983" s="75">
        <f>IF(K983="A",F983,IF(K983="B",H983,IF(K983="C",J983,"")))</f>
        <v/>
      </c>
      <c r="M983" s="72" t="n"/>
      <c r="N983" s="72" t="n"/>
      <c r="O983" s="89" t="n"/>
      <c r="P983" s="89" t="n"/>
      <c r="Q983" s="109" t="n"/>
      <c r="R983" s="120">
        <f>IF(B983="","",IF(Q983&lt;&gt;"",Q983,IF(P983="","",IFERROR(INDEX('Timeline'!$J$7:$J$1006,MATCH(P983,'Timeline'!$B$7:$B$1006,0)),""))))</f>
        <v/>
      </c>
      <c r="S983" s="126">
        <f>IF(R983="","",R983-IF(O983="",0,O983)-OrderBuf)</f>
        <v/>
      </c>
      <c r="T983" s="126">
        <f>IF(S983="","",S983-DecideBuf)</f>
        <v/>
      </c>
      <c r="U983" s="74" t="n"/>
      <c r="V983" s="109" t="n"/>
      <c r="W983" s="109" t="n"/>
      <c r="X983" s="74" t="n"/>
      <c r="Y983" s="116">
        <f>IF(B983="","",IF(X983="Yes","Delivered",IF(U983="Yes",IF(AND(W983&lt;&gt;"",R983&lt;&gt;""),IF(W983&gt;R983,"⚠️ Delivery after install date","Ordered"),"Ordered"),IF(K983="",IF(T983="","Waiting for decision",IF(T983&lt;=AsOf+AlertDays,"Decide now","Waiting for decision")),IF(S983="","Selected",IF(AsOf&gt;S983,"⚠️ Order late — install at risk",IF(S983&lt;=AsOf+AlertDays,"Order now","Selected")))))))</f>
        <v/>
      </c>
      <c r="Z983" s="79">
        <f>IF(B983="","",IF(OR(AH983=1,AE983=1),2,IF(OR(AG983=1,AF983=1),1,IF(OR(Y983="Ordered",Y983="Delivered"),0,""))))</f>
        <v/>
      </c>
      <c r="AA983" s="112">
        <f>IF(B983="","",IF(AH983=1,IF(Y983="⚠️ Delivery after install date",R983,S983),IF(AD983=1,T983,IF(AI983=1,S983,""))))</f>
        <v/>
      </c>
      <c r="AB983" s="79">
        <f>IF(AA983="","",IF(AH983=1,1,IF(AA983="","",IF(AA983&lt;AsOf,1,IF(AA983&lt;=AsOf+AlertDays,2,IF(AA983&lt;=AsOf+2*AlertDays,3,""))))))</f>
        <v/>
      </c>
      <c r="AC983" s="79">
        <f>IF(AB983="","",IF(AH983=1,IF(Y983="⚠️ Delivery after install date","Delivery after install date: "&amp;B983,"Order late — install at risk: "&amp;B983),IF(AD983=1,IF(AB983=1,"Decision overdue: ","Decide: ")&amp;B983,"Order: "&amp;B983&amp;IF(N983="",""," from "&amp;N983))))</f>
        <v/>
      </c>
      <c r="AD983" s="79">
        <f>IF(AND(B983&lt;&gt;"",K983="",U983&lt;&gt;"Yes",X983&lt;&gt;"Yes"),1,0)</f>
        <v/>
      </c>
      <c r="AE983" s="79">
        <f>IF(AND(AD983=1,T983&lt;&gt;""),IF(T983&lt;AsOf,1,0),0)</f>
        <v/>
      </c>
      <c r="AF983" s="79">
        <f>IF(AND(AD983=1,T983&lt;&gt;""),IF(AND(T983&gt;=AsOf,T983&lt;=AsOf+AlertDays),1,0),0)</f>
        <v/>
      </c>
      <c r="AG983" s="79">
        <f>IF(Y983="Order now",1,0)</f>
        <v/>
      </c>
      <c r="AH983" s="79">
        <f>IF(OR(Y983="⚠️ Order late — install at risk",Y983="⚠️ Delivery after install date"),1,0)</f>
        <v/>
      </c>
      <c r="AI983" s="79">
        <f>IF(AND(B983&lt;&gt;"",K983&lt;&gt;"",U983&lt;&gt;"Yes",X983&lt;&gt;"Yes"),1,0)</f>
        <v/>
      </c>
      <c r="AJ983" s="79">
        <f>IF(Y983="⚠️ Order late — install at risk",1,0)</f>
        <v/>
      </c>
    </row>
    <row r="984" ht="20" customHeight="1">
      <c r="B984" s="72" t="n"/>
      <c r="C984" s="72" t="n"/>
      <c r="D984" s="72" t="n"/>
      <c r="E984" s="72" t="n"/>
      <c r="F984" s="73" t="n"/>
      <c r="G984" s="72" t="n"/>
      <c r="H984" s="73" t="n"/>
      <c r="I984" s="72" t="n"/>
      <c r="J984" s="73" t="n"/>
      <c r="K984" s="74" t="n"/>
      <c r="L984" s="75">
        <f>IF(K984="A",F984,IF(K984="B",H984,IF(K984="C",J984,"")))</f>
        <v/>
      </c>
      <c r="M984" s="72" t="n"/>
      <c r="N984" s="72" t="n"/>
      <c r="O984" s="89" t="n"/>
      <c r="P984" s="89" t="n"/>
      <c r="Q984" s="109" t="n"/>
      <c r="R984" s="120">
        <f>IF(B984="","",IF(Q984&lt;&gt;"",Q984,IF(P984="","",IFERROR(INDEX('Timeline'!$J$7:$J$1006,MATCH(P984,'Timeline'!$B$7:$B$1006,0)),""))))</f>
        <v/>
      </c>
      <c r="S984" s="126">
        <f>IF(R984="","",R984-IF(O984="",0,O984)-OrderBuf)</f>
        <v/>
      </c>
      <c r="T984" s="126">
        <f>IF(S984="","",S984-DecideBuf)</f>
        <v/>
      </c>
      <c r="U984" s="74" t="n"/>
      <c r="V984" s="109" t="n"/>
      <c r="W984" s="109" t="n"/>
      <c r="X984" s="74" t="n"/>
      <c r="Y984" s="116">
        <f>IF(B984="","",IF(X984="Yes","Delivered",IF(U984="Yes",IF(AND(W984&lt;&gt;"",R984&lt;&gt;""),IF(W984&gt;R984,"⚠️ Delivery after install date","Ordered"),"Ordered"),IF(K984="",IF(T984="","Waiting for decision",IF(T984&lt;=AsOf+AlertDays,"Decide now","Waiting for decision")),IF(S984="","Selected",IF(AsOf&gt;S984,"⚠️ Order late — install at risk",IF(S984&lt;=AsOf+AlertDays,"Order now","Selected")))))))</f>
        <v/>
      </c>
      <c r="Z984" s="79">
        <f>IF(B984="","",IF(OR(AH984=1,AE984=1),2,IF(OR(AG984=1,AF984=1),1,IF(OR(Y984="Ordered",Y984="Delivered"),0,""))))</f>
        <v/>
      </c>
      <c r="AA984" s="112">
        <f>IF(B984="","",IF(AH984=1,IF(Y984="⚠️ Delivery after install date",R984,S984),IF(AD984=1,T984,IF(AI984=1,S984,""))))</f>
        <v/>
      </c>
      <c r="AB984" s="79">
        <f>IF(AA984="","",IF(AH984=1,1,IF(AA984="","",IF(AA984&lt;AsOf,1,IF(AA984&lt;=AsOf+AlertDays,2,IF(AA984&lt;=AsOf+2*AlertDays,3,""))))))</f>
        <v/>
      </c>
      <c r="AC984" s="79">
        <f>IF(AB984="","",IF(AH984=1,IF(Y984="⚠️ Delivery after install date","Delivery after install date: "&amp;B984,"Order late — install at risk: "&amp;B984),IF(AD984=1,IF(AB984=1,"Decision overdue: ","Decide: ")&amp;B984,"Order: "&amp;B984&amp;IF(N984="",""," from "&amp;N984))))</f>
        <v/>
      </c>
      <c r="AD984" s="79">
        <f>IF(AND(B984&lt;&gt;"",K984="",U984&lt;&gt;"Yes",X984&lt;&gt;"Yes"),1,0)</f>
        <v/>
      </c>
      <c r="AE984" s="79">
        <f>IF(AND(AD984=1,T984&lt;&gt;""),IF(T984&lt;AsOf,1,0),0)</f>
        <v/>
      </c>
      <c r="AF984" s="79">
        <f>IF(AND(AD984=1,T984&lt;&gt;""),IF(AND(T984&gt;=AsOf,T984&lt;=AsOf+AlertDays),1,0),0)</f>
        <v/>
      </c>
      <c r="AG984" s="79">
        <f>IF(Y984="Order now",1,0)</f>
        <v/>
      </c>
      <c r="AH984" s="79">
        <f>IF(OR(Y984="⚠️ Order late — install at risk",Y984="⚠️ Delivery after install date"),1,0)</f>
        <v/>
      </c>
      <c r="AI984" s="79">
        <f>IF(AND(B984&lt;&gt;"",K984&lt;&gt;"",U984&lt;&gt;"Yes",X984&lt;&gt;"Yes"),1,0)</f>
        <v/>
      </c>
      <c r="AJ984" s="79">
        <f>IF(Y984="⚠️ Order late — install at risk",1,0)</f>
        <v/>
      </c>
    </row>
    <row r="985" ht="20" customHeight="1">
      <c r="B985" s="72" t="n"/>
      <c r="C985" s="72" t="n"/>
      <c r="D985" s="72" t="n"/>
      <c r="E985" s="72" t="n"/>
      <c r="F985" s="73" t="n"/>
      <c r="G985" s="72" t="n"/>
      <c r="H985" s="73" t="n"/>
      <c r="I985" s="72" t="n"/>
      <c r="J985" s="73" t="n"/>
      <c r="K985" s="74" t="n"/>
      <c r="L985" s="75">
        <f>IF(K985="A",F985,IF(K985="B",H985,IF(K985="C",J985,"")))</f>
        <v/>
      </c>
      <c r="M985" s="72" t="n"/>
      <c r="N985" s="72" t="n"/>
      <c r="O985" s="89" t="n"/>
      <c r="P985" s="89" t="n"/>
      <c r="Q985" s="109" t="n"/>
      <c r="R985" s="120">
        <f>IF(B985="","",IF(Q985&lt;&gt;"",Q985,IF(P985="","",IFERROR(INDEX('Timeline'!$J$7:$J$1006,MATCH(P985,'Timeline'!$B$7:$B$1006,0)),""))))</f>
        <v/>
      </c>
      <c r="S985" s="126">
        <f>IF(R985="","",R985-IF(O985="",0,O985)-OrderBuf)</f>
        <v/>
      </c>
      <c r="T985" s="126">
        <f>IF(S985="","",S985-DecideBuf)</f>
        <v/>
      </c>
      <c r="U985" s="74" t="n"/>
      <c r="V985" s="109" t="n"/>
      <c r="W985" s="109" t="n"/>
      <c r="X985" s="74" t="n"/>
      <c r="Y985" s="116">
        <f>IF(B985="","",IF(X985="Yes","Delivered",IF(U985="Yes",IF(AND(W985&lt;&gt;"",R985&lt;&gt;""),IF(W985&gt;R985,"⚠️ Delivery after install date","Ordered"),"Ordered"),IF(K985="",IF(T985="","Waiting for decision",IF(T985&lt;=AsOf+AlertDays,"Decide now","Waiting for decision")),IF(S985="","Selected",IF(AsOf&gt;S985,"⚠️ Order late — install at risk",IF(S985&lt;=AsOf+AlertDays,"Order now","Selected")))))))</f>
        <v/>
      </c>
      <c r="Z985" s="79">
        <f>IF(B985="","",IF(OR(AH985=1,AE985=1),2,IF(OR(AG985=1,AF985=1),1,IF(OR(Y985="Ordered",Y985="Delivered"),0,""))))</f>
        <v/>
      </c>
      <c r="AA985" s="112">
        <f>IF(B985="","",IF(AH985=1,IF(Y985="⚠️ Delivery after install date",R985,S985),IF(AD985=1,T985,IF(AI985=1,S985,""))))</f>
        <v/>
      </c>
      <c r="AB985" s="79">
        <f>IF(AA985="","",IF(AH985=1,1,IF(AA985="","",IF(AA985&lt;AsOf,1,IF(AA985&lt;=AsOf+AlertDays,2,IF(AA985&lt;=AsOf+2*AlertDays,3,""))))))</f>
        <v/>
      </c>
      <c r="AC985" s="79">
        <f>IF(AB985="","",IF(AH985=1,IF(Y985="⚠️ Delivery after install date","Delivery after install date: "&amp;B985,"Order late — install at risk: "&amp;B985),IF(AD985=1,IF(AB985=1,"Decision overdue: ","Decide: ")&amp;B985,"Order: "&amp;B985&amp;IF(N985="",""," from "&amp;N985))))</f>
        <v/>
      </c>
      <c r="AD985" s="79">
        <f>IF(AND(B985&lt;&gt;"",K985="",U985&lt;&gt;"Yes",X985&lt;&gt;"Yes"),1,0)</f>
        <v/>
      </c>
      <c r="AE985" s="79">
        <f>IF(AND(AD985=1,T985&lt;&gt;""),IF(T985&lt;AsOf,1,0),0)</f>
        <v/>
      </c>
      <c r="AF985" s="79">
        <f>IF(AND(AD985=1,T985&lt;&gt;""),IF(AND(T985&gt;=AsOf,T985&lt;=AsOf+AlertDays),1,0),0)</f>
        <v/>
      </c>
      <c r="AG985" s="79">
        <f>IF(Y985="Order now",1,0)</f>
        <v/>
      </c>
      <c r="AH985" s="79">
        <f>IF(OR(Y985="⚠️ Order late — install at risk",Y985="⚠️ Delivery after install date"),1,0)</f>
        <v/>
      </c>
      <c r="AI985" s="79">
        <f>IF(AND(B985&lt;&gt;"",K985&lt;&gt;"",U985&lt;&gt;"Yes",X985&lt;&gt;"Yes"),1,0)</f>
        <v/>
      </c>
      <c r="AJ985" s="79">
        <f>IF(Y985="⚠️ Order late — install at risk",1,0)</f>
        <v/>
      </c>
    </row>
    <row r="986" ht="20" customHeight="1">
      <c r="B986" s="72" t="n"/>
      <c r="C986" s="72" t="n"/>
      <c r="D986" s="72" t="n"/>
      <c r="E986" s="72" t="n"/>
      <c r="F986" s="73" t="n"/>
      <c r="G986" s="72" t="n"/>
      <c r="H986" s="73" t="n"/>
      <c r="I986" s="72" t="n"/>
      <c r="J986" s="73" t="n"/>
      <c r="K986" s="74" t="n"/>
      <c r="L986" s="75">
        <f>IF(K986="A",F986,IF(K986="B",H986,IF(K986="C",J986,"")))</f>
        <v/>
      </c>
      <c r="M986" s="72" t="n"/>
      <c r="N986" s="72" t="n"/>
      <c r="O986" s="89" t="n"/>
      <c r="P986" s="89" t="n"/>
      <c r="Q986" s="109" t="n"/>
      <c r="R986" s="120">
        <f>IF(B986="","",IF(Q986&lt;&gt;"",Q986,IF(P986="","",IFERROR(INDEX('Timeline'!$J$7:$J$1006,MATCH(P986,'Timeline'!$B$7:$B$1006,0)),""))))</f>
        <v/>
      </c>
      <c r="S986" s="126">
        <f>IF(R986="","",R986-IF(O986="",0,O986)-OrderBuf)</f>
        <v/>
      </c>
      <c r="T986" s="126">
        <f>IF(S986="","",S986-DecideBuf)</f>
        <v/>
      </c>
      <c r="U986" s="74" t="n"/>
      <c r="V986" s="109" t="n"/>
      <c r="W986" s="109" t="n"/>
      <c r="X986" s="74" t="n"/>
      <c r="Y986" s="116">
        <f>IF(B986="","",IF(X986="Yes","Delivered",IF(U986="Yes",IF(AND(W986&lt;&gt;"",R986&lt;&gt;""),IF(W986&gt;R986,"⚠️ Delivery after install date","Ordered"),"Ordered"),IF(K986="",IF(T986="","Waiting for decision",IF(T986&lt;=AsOf+AlertDays,"Decide now","Waiting for decision")),IF(S986="","Selected",IF(AsOf&gt;S986,"⚠️ Order late — install at risk",IF(S986&lt;=AsOf+AlertDays,"Order now","Selected")))))))</f>
        <v/>
      </c>
      <c r="Z986" s="79">
        <f>IF(B986="","",IF(OR(AH986=1,AE986=1),2,IF(OR(AG986=1,AF986=1),1,IF(OR(Y986="Ordered",Y986="Delivered"),0,""))))</f>
        <v/>
      </c>
      <c r="AA986" s="112">
        <f>IF(B986="","",IF(AH986=1,IF(Y986="⚠️ Delivery after install date",R986,S986),IF(AD986=1,T986,IF(AI986=1,S986,""))))</f>
        <v/>
      </c>
      <c r="AB986" s="79">
        <f>IF(AA986="","",IF(AH986=1,1,IF(AA986="","",IF(AA986&lt;AsOf,1,IF(AA986&lt;=AsOf+AlertDays,2,IF(AA986&lt;=AsOf+2*AlertDays,3,""))))))</f>
        <v/>
      </c>
      <c r="AC986" s="79">
        <f>IF(AB986="","",IF(AH986=1,IF(Y986="⚠️ Delivery after install date","Delivery after install date: "&amp;B986,"Order late — install at risk: "&amp;B986),IF(AD986=1,IF(AB986=1,"Decision overdue: ","Decide: ")&amp;B986,"Order: "&amp;B986&amp;IF(N986="",""," from "&amp;N986))))</f>
        <v/>
      </c>
      <c r="AD986" s="79">
        <f>IF(AND(B986&lt;&gt;"",K986="",U986&lt;&gt;"Yes",X986&lt;&gt;"Yes"),1,0)</f>
        <v/>
      </c>
      <c r="AE986" s="79">
        <f>IF(AND(AD986=1,T986&lt;&gt;""),IF(T986&lt;AsOf,1,0),0)</f>
        <v/>
      </c>
      <c r="AF986" s="79">
        <f>IF(AND(AD986=1,T986&lt;&gt;""),IF(AND(T986&gt;=AsOf,T986&lt;=AsOf+AlertDays),1,0),0)</f>
        <v/>
      </c>
      <c r="AG986" s="79">
        <f>IF(Y986="Order now",1,0)</f>
        <v/>
      </c>
      <c r="AH986" s="79">
        <f>IF(OR(Y986="⚠️ Order late — install at risk",Y986="⚠️ Delivery after install date"),1,0)</f>
        <v/>
      </c>
      <c r="AI986" s="79">
        <f>IF(AND(B986&lt;&gt;"",K986&lt;&gt;"",U986&lt;&gt;"Yes",X986&lt;&gt;"Yes"),1,0)</f>
        <v/>
      </c>
      <c r="AJ986" s="79">
        <f>IF(Y986="⚠️ Order late — install at risk",1,0)</f>
        <v/>
      </c>
    </row>
    <row r="987" ht="20" customHeight="1">
      <c r="B987" s="72" t="n"/>
      <c r="C987" s="72" t="n"/>
      <c r="D987" s="72" t="n"/>
      <c r="E987" s="72" t="n"/>
      <c r="F987" s="73" t="n"/>
      <c r="G987" s="72" t="n"/>
      <c r="H987" s="73" t="n"/>
      <c r="I987" s="72" t="n"/>
      <c r="J987" s="73" t="n"/>
      <c r="K987" s="74" t="n"/>
      <c r="L987" s="75">
        <f>IF(K987="A",F987,IF(K987="B",H987,IF(K987="C",J987,"")))</f>
        <v/>
      </c>
      <c r="M987" s="72" t="n"/>
      <c r="N987" s="72" t="n"/>
      <c r="O987" s="89" t="n"/>
      <c r="P987" s="89" t="n"/>
      <c r="Q987" s="109" t="n"/>
      <c r="R987" s="120">
        <f>IF(B987="","",IF(Q987&lt;&gt;"",Q987,IF(P987="","",IFERROR(INDEX('Timeline'!$J$7:$J$1006,MATCH(P987,'Timeline'!$B$7:$B$1006,0)),""))))</f>
        <v/>
      </c>
      <c r="S987" s="126">
        <f>IF(R987="","",R987-IF(O987="",0,O987)-OrderBuf)</f>
        <v/>
      </c>
      <c r="T987" s="126">
        <f>IF(S987="","",S987-DecideBuf)</f>
        <v/>
      </c>
      <c r="U987" s="74" t="n"/>
      <c r="V987" s="109" t="n"/>
      <c r="W987" s="109" t="n"/>
      <c r="X987" s="74" t="n"/>
      <c r="Y987" s="116">
        <f>IF(B987="","",IF(X987="Yes","Delivered",IF(U987="Yes",IF(AND(W987&lt;&gt;"",R987&lt;&gt;""),IF(W987&gt;R987,"⚠️ Delivery after install date","Ordered"),"Ordered"),IF(K987="",IF(T987="","Waiting for decision",IF(T987&lt;=AsOf+AlertDays,"Decide now","Waiting for decision")),IF(S987="","Selected",IF(AsOf&gt;S987,"⚠️ Order late — install at risk",IF(S987&lt;=AsOf+AlertDays,"Order now","Selected")))))))</f>
        <v/>
      </c>
      <c r="Z987" s="79">
        <f>IF(B987="","",IF(OR(AH987=1,AE987=1),2,IF(OR(AG987=1,AF987=1),1,IF(OR(Y987="Ordered",Y987="Delivered"),0,""))))</f>
        <v/>
      </c>
      <c r="AA987" s="112">
        <f>IF(B987="","",IF(AH987=1,IF(Y987="⚠️ Delivery after install date",R987,S987),IF(AD987=1,T987,IF(AI987=1,S987,""))))</f>
        <v/>
      </c>
      <c r="AB987" s="79">
        <f>IF(AA987="","",IF(AH987=1,1,IF(AA987="","",IF(AA987&lt;AsOf,1,IF(AA987&lt;=AsOf+AlertDays,2,IF(AA987&lt;=AsOf+2*AlertDays,3,""))))))</f>
        <v/>
      </c>
      <c r="AC987" s="79">
        <f>IF(AB987="","",IF(AH987=1,IF(Y987="⚠️ Delivery after install date","Delivery after install date: "&amp;B987,"Order late — install at risk: "&amp;B987),IF(AD987=1,IF(AB987=1,"Decision overdue: ","Decide: ")&amp;B987,"Order: "&amp;B987&amp;IF(N987="",""," from "&amp;N987))))</f>
        <v/>
      </c>
      <c r="AD987" s="79">
        <f>IF(AND(B987&lt;&gt;"",K987="",U987&lt;&gt;"Yes",X987&lt;&gt;"Yes"),1,0)</f>
        <v/>
      </c>
      <c r="AE987" s="79">
        <f>IF(AND(AD987=1,T987&lt;&gt;""),IF(T987&lt;AsOf,1,0),0)</f>
        <v/>
      </c>
      <c r="AF987" s="79">
        <f>IF(AND(AD987=1,T987&lt;&gt;""),IF(AND(T987&gt;=AsOf,T987&lt;=AsOf+AlertDays),1,0),0)</f>
        <v/>
      </c>
      <c r="AG987" s="79">
        <f>IF(Y987="Order now",1,0)</f>
        <v/>
      </c>
      <c r="AH987" s="79">
        <f>IF(OR(Y987="⚠️ Order late — install at risk",Y987="⚠️ Delivery after install date"),1,0)</f>
        <v/>
      </c>
      <c r="AI987" s="79">
        <f>IF(AND(B987&lt;&gt;"",K987&lt;&gt;"",U987&lt;&gt;"Yes",X987&lt;&gt;"Yes"),1,0)</f>
        <v/>
      </c>
      <c r="AJ987" s="79">
        <f>IF(Y987="⚠️ Order late — install at risk",1,0)</f>
        <v/>
      </c>
    </row>
    <row r="988" ht="20" customHeight="1">
      <c r="B988" s="72" t="n"/>
      <c r="C988" s="72" t="n"/>
      <c r="D988" s="72" t="n"/>
      <c r="E988" s="72" t="n"/>
      <c r="F988" s="73" t="n"/>
      <c r="G988" s="72" t="n"/>
      <c r="H988" s="73" t="n"/>
      <c r="I988" s="72" t="n"/>
      <c r="J988" s="73" t="n"/>
      <c r="K988" s="74" t="n"/>
      <c r="L988" s="75">
        <f>IF(K988="A",F988,IF(K988="B",H988,IF(K988="C",J988,"")))</f>
        <v/>
      </c>
      <c r="M988" s="72" t="n"/>
      <c r="N988" s="72" t="n"/>
      <c r="O988" s="89" t="n"/>
      <c r="P988" s="89" t="n"/>
      <c r="Q988" s="109" t="n"/>
      <c r="R988" s="120">
        <f>IF(B988="","",IF(Q988&lt;&gt;"",Q988,IF(P988="","",IFERROR(INDEX('Timeline'!$J$7:$J$1006,MATCH(P988,'Timeline'!$B$7:$B$1006,0)),""))))</f>
        <v/>
      </c>
      <c r="S988" s="126">
        <f>IF(R988="","",R988-IF(O988="",0,O988)-OrderBuf)</f>
        <v/>
      </c>
      <c r="T988" s="126">
        <f>IF(S988="","",S988-DecideBuf)</f>
        <v/>
      </c>
      <c r="U988" s="74" t="n"/>
      <c r="V988" s="109" t="n"/>
      <c r="W988" s="109" t="n"/>
      <c r="X988" s="74" t="n"/>
      <c r="Y988" s="116">
        <f>IF(B988="","",IF(X988="Yes","Delivered",IF(U988="Yes",IF(AND(W988&lt;&gt;"",R988&lt;&gt;""),IF(W988&gt;R988,"⚠️ Delivery after install date","Ordered"),"Ordered"),IF(K988="",IF(T988="","Waiting for decision",IF(T988&lt;=AsOf+AlertDays,"Decide now","Waiting for decision")),IF(S988="","Selected",IF(AsOf&gt;S988,"⚠️ Order late — install at risk",IF(S988&lt;=AsOf+AlertDays,"Order now","Selected")))))))</f>
        <v/>
      </c>
      <c r="Z988" s="79">
        <f>IF(B988="","",IF(OR(AH988=1,AE988=1),2,IF(OR(AG988=1,AF988=1),1,IF(OR(Y988="Ordered",Y988="Delivered"),0,""))))</f>
        <v/>
      </c>
      <c r="AA988" s="112">
        <f>IF(B988="","",IF(AH988=1,IF(Y988="⚠️ Delivery after install date",R988,S988),IF(AD988=1,T988,IF(AI988=1,S988,""))))</f>
        <v/>
      </c>
      <c r="AB988" s="79">
        <f>IF(AA988="","",IF(AH988=1,1,IF(AA988="","",IF(AA988&lt;AsOf,1,IF(AA988&lt;=AsOf+AlertDays,2,IF(AA988&lt;=AsOf+2*AlertDays,3,""))))))</f>
        <v/>
      </c>
      <c r="AC988" s="79">
        <f>IF(AB988="","",IF(AH988=1,IF(Y988="⚠️ Delivery after install date","Delivery after install date: "&amp;B988,"Order late — install at risk: "&amp;B988),IF(AD988=1,IF(AB988=1,"Decision overdue: ","Decide: ")&amp;B988,"Order: "&amp;B988&amp;IF(N988="",""," from "&amp;N988))))</f>
        <v/>
      </c>
      <c r="AD988" s="79">
        <f>IF(AND(B988&lt;&gt;"",K988="",U988&lt;&gt;"Yes",X988&lt;&gt;"Yes"),1,0)</f>
        <v/>
      </c>
      <c r="AE988" s="79">
        <f>IF(AND(AD988=1,T988&lt;&gt;""),IF(T988&lt;AsOf,1,0),0)</f>
        <v/>
      </c>
      <c r="AF988" s="79">
        <f>IF(AND(AD988=1,T988&lt;&gt;""),IF(AND(T988&gt;=AsOf,T988&lt;=AsOf+AlertDays),1,0),0)</f>
        <v/>
      </c>
      <c r="AG988" s="79">
        <f>IF(Y988="Order now",1,0)</f>
        <v/>
      </c>
      <c r="AH988" s="79">
        <f>IF(OR(Y988="⚠️ Order late — install at risk",Y988="⚠️ Delivery after install date"),1,0)</f>
        <v/>
      </c>
      <c r="AI988" s="79">
        <f>IF(AND(B988&lt;&gt;"",K988&lt;&gt;"",U988&lt;&gt;"Yes",X988&lt;&gt;"Yes"),1,0)</f>
        <v/>
      </c>
      <c r="AJ988" s="79">
        <f>IF(Y988="⚠️ Order late — install at risk",1,0)</f>
        <v/>
      </c>
    </row>
    <row r="989" ht="20" customHeight="1">
      <c r="B989" s="72" t="n"/>
      <c r="C989" s="72" t="n"/>
      <c r="D989" s="72" t="n"/>
      <c r="E989" s="72" t="n"/>
      <c r="F989" s="73" t="n"/>
      <c r="G989" s="72" t="n"/>
      <c r="H989" s="73" t="n"/>
      <c r="I989" s="72" t="n"/>
      <c r="J989" s="73" t="n"/>
      <c r="K989" s="74" t="n"/>
      <c r="L989" s="75">
        <f>IF(K989="A",F989,IF(K989="B",H989,IF(K989="C",J989,"")))</f>
        <v/>
      </c>
      <c r="M989" s="72" t="n"/>
      <c r="N989" s="72" t="n"/>
      <c r="O989" s="89" t="n"/>
      <c r="P989" s="89" t="n"/>
      <c r="Q989" s="109" t="n"/>
      <c r="R989" s="120">
        <f>IF(B989="","",IF(Q989&lt;&gt;"",Q989,IF(P989="","",IFERROR(INDEX('Timeline'!$J$7:$J$1006,MATCH(P989,'Timeline'!$B$7:$B$1006,0)),""))))</f>
        <v/>
      </c>
      <c r="S989" s="126">
        <f>IF(R989="","",R989-IF(O989="",0,O989)-OrderBuf)</f>
        <v/>
      </c>
      <c r="T989" s="126">
        <f>IF(S989="","",S989-DecideBuf)</f>
        <v/>
      </c>
      <c r="U989" s="74" t="n"/>
      <c r="V989" s="109" t="n"/>
      <c r="W989" s="109" t="n"/>
      <c r="X989" s="74" t="n"/>
      <c r="Y989" s="116">
        <f>IF(B989="","",IF(X989="Yes","Delivered",IF(U989="Yes",IF(AND(W989&lt;&gt;"",R989&lt;&gt;""),IF(W989&gt;R989,"⚠️ Delivery after install date","Ordered"),"Ordered"),IF(K989="",IF(T989="","Waiting for decision",IF(T989&lt;=AsOf+AlertDays,"Decide now","Waiting for decision")),IF(S989="","Selected",IF(AsOf&gt;S989,"⚠️ Order late — install at risk",IF(S989&lt;=AsOf+AlertDays,"Order now","Selected")))))))</f>
        <v/>
      </c>
      <c r="Z989" s="79">
        <f>IF(B989="","",IF(OR(AH989=1,AE989=1),2,IF(OR(AG989=1,AF989=1),1,IF(OR(Y989="Ordered",Y989="Delivered"),0,""))))</f>
        <v/>
      </c>
      <c r="AA989" s="112">
        <f>IF(B989="","",IF(AH989=1,IF(Y989="⚠️ Delivery after install date",R989,S989),IF(AD989=1,T989,IF(AI989=1,S989,""))))</f>
        <v/>
      </c>
      <c r="AB989" s="79">
        <f>IF(AA989="","",IF(AH989=1,1,IF(AA989="","",IF(AA989&lt;AsOf,1,IF(AA989&lt;=AsOf+AlertDays,2,IF(AA989&lt;=AsOf+2*AlertDays,3,""))))))</f>
        <v/>
      </c>
      <c r="AC989" s="79">
        <f>IF(AB989="","",IF(AH989=1,IF(Y989="⚠️ Delivery after install date","Delivery after install date: "&amp;B989,"Order late — install at risk: "&amp;B989),IF(AD989=1,IF(AB989=1,"Decision overdue: ","Decide: ")&amp;B989,"Order: "&amp;B989&amp;IF(N989="",""," from "&amp;N989))))</f>
        <v/>
      </c>
      <c r="AD989" s="79">
        <f>IF(AND(B989&lt;&gt;"",K989="",U989&lt;&gt;"Yes",X989&lt;&gt;"Yes"),1,0)</f>
        <v/>
      </c>
      <c r="AE989" s="79">
        <f>IF(AND(AD989=1,T989&lt;&gt;""),IF(T989&lt;AsOf,1,0),0)</f>
        <v/>
      </c>
      <c r="AF989" s="79">
        <f>IF(AND(AD989=1,T989&lt;&gt;""),IF(AND(T989&gt;=AsOf,T989&lt;=AsOf+AlertDays),1,0),0)</f>
        <v/>
      </c>
      <c r="AG989" s="79">
        <f>IF(Y989="Order now",1,0)</f>
        <v/>
      </c>
      <c r="AH989" s="79">
        <f>IF(OR(Y989="⚠️ Order late — install at risk",Y989="⚠️ Delivery after install date"),1,0)</f>
        <v/>
      </c>
      <c r="AI989" s="79">
        <f>IF(AND(B989&lt;&gt;"",K989&lt;&gt;"",U989&lt;&gt;"Yes",X989&lt;&gt;"Yes"),1,0)</f>
        <v/>
      </c>
      <c r="AJ989" s="79">
        <f>IF(Y989="⚠️ Order late — install at risk",1,0)</f>
        <v/>
      </c>
    </row>
    <row r="990" ht="20" customHeight="1">
      <c r="B990" s="72" t="n"/>
      <c r="C990" s="72" t="n"/>
      <c r="D990" s="72" t="n"/>
      <c r="E990" s="72" t="n"/>
      <c r="F990" s="73" t="n"/>
      <c r="G990" s="72" t="n"/>
      <c r="H990" s="73" t="n"/>
      <c r="I990" s="72" t="n"/>
      <c r="J990" s="73" t="n"/>
      <c r="K990" s="74" t="n"/>
      <c r="L990" s="75">
        <f>IF(K990="A",F990,IF(K990="B",H990,IF(K990="C",J990,"")))</f>
        <v/>
      </c>
      <c r="M990" s="72" t="n"/>
      <c r="N990" s="72" t="n"/>
      <c r="O990" s="89" t="n"/>
      <c r="P990" s="89" t="n"/>
      <c r="Q990" s="109" t="n"/>
      <c r="R990" s="120">
        <f>IF(B990="","",IF(Q990&lt;&gt;"",Q990,IF(P990="","",IFERROR(INDEX('Timeline'!$J$7:$J$1006,MATCH(P990,'Timeline'!$B$7:$B$1006,0)),""))))</f>
        <v/>
      </c>
      <c r="S990" s="126">
        <f>IF(R990="","",R990-IF(O990="",0,O990)-OrderBuf)</f>
        <v/>
      </c>
      <c r="T990" s="126">
        <f>IF(S990="","",S990-DecideBuf)</f>
        <v/>
      </c>
      <c r="U990" s="74" t="n"/>
      <c r="V990" s="109" t="n"/>
      <c r="W990" s="109" t="n"/>
      <c r="X990" s="74" t="n"/>
      <c r="Y990" s="116">
        <f>IF(B990="","",IF(X990="Yes","Delivered",IF(U990="Yes",IF(AND(W990&lt;&gt;"",R990&lt;&gt;""),IF(W990&gt;R990,"⚠️ Delivery after install date","Ordered"),"Ordered"),IF(K990="",IF(T990="","Waiting for decision",IF(T990&lt;=AsOf+AlertDays,"Decide now","Waiting for decision")),IF(S990="","Selected",IF(AsOf&gt;S990,"⚠️ Order late — install at risk",IF(S990&lt;=AsOf+AlertDays,"Order now","Selected")))))))</f>
        <v/>
      </c>
      <c r="Z990" s="79">
        <f>IF(B990="","",IF(OR(AH990=1,AE990=1),2,IF(OR(AG990=1,AF990=1),1,IF(OR(Y990="Ordered",Y990="Delivered"),0,""))))</f>
        <v/>
      </c>
      <c r="AA990" s="112">
        <f>IF(B990="","",IF(AH990=1,IF(Y990="⚠️ Delivery after install date",R990,S990),IF(AD990=1,T990,IF(AI990=1,S990,""))))</f>
        <v/>
      </c>
      <c r="AB990" s="79">
        <f>IF(AA990="","",IF(AH990=1,1,IF(AA990="","",IF(AA990&lt;AsOf,1,IF(AA990&lt;=AsOf+AlertDays,2,IF(AA990&lt;=AsOf+2*AlertDays,3,""))))))</f>
        <v/>
      </c>
      <c r="AC990" s="79">
        <f>IF(AB990="","",IF(AH990=1,IF(Y990="⚠️ Delivery after install date","Delivery after install date: "&amp;B990,"Order late — install at risk: "&amp;B990),IF(AD990=1,IF(AB990=1,"Decision overdue: ","Decide: ")&amp;B990,"Order: "&amp;B990&amp;IF(N990="",""," from "&amp;N990))))</f>
        <v/>
      </c>
      <c r="AD990" s="79">
        <f>IF(AND(B990&lt;&gt;"",K990="",U990&lt;&gt;"Yes",X990&lt;&gt;"Yes"),1,0)</f>
        <v/>
      </c>
      <c r="AE990" s="79">
        <f>IF(AND(AD990=1,T990&lt;&gt;""),IF(T990&lt;AsOf,1,0),0)</f>
        <v/>
      </c>
      <c r="AF990" s="79">
        <f>IF(AND(AD990=1,T990&lt;&gt;""),IF(AND(T990&gt;=AsOf,T990&lt;=AsOf+AlertDays),1,0),0)</f>
        <v/>
      </c>
      <c r="AG990" s="79">
        <f>IF(Y990="Order now",1,0)</f>
        <v/>
      </c>
      <c r="AH990" s="79">
        <f>IF(OR(Y990="⚠️ Order late — install at risk",Y990="⚠️ Delivery after install date"),1,0)</f>
        <v/>
      </c>
      <c r="AI990" s="79">
        <f>IF(AND(B990&lt;&gt;"",K990&lt;&gt;"",U990&lt;&gt;"Yes",X990&lt;&gt;"Yes"),1,0)</f>
        <v/>
      </c>
      <c r="AJ990" s="79">
        <f>IF(Y990="⚠️ Order late — install at risk",1,0)</f>
        <v/>
      </c>
    </row>
    <row r="991" ht="20" customHeight="1">
      <c r="B991" s="72" t="n"/>
      <c r="C991" s="72" t="n"/>
      <c r="D991" s="72" t="n"/>
      <c r="E991" s="72" t="n"/>
      <c r="F991" s="73" t="n"/>
      <c r="G991" s="72" t="n"/>
      <c r="H991" s="73" t="n"/>
      <c r="I991" s="72" t="n"/>
      <c r="J991" s="73" t="n"/>
      <c r="K991" s="74" t="n"/>
      <c r="L991" s="75">
        <f>IF(K991="A",F991,IF(K991="B",H991,IF(K991="C",J991,"")))</f>
        <v/>
      </c>
      <c r="M991" s="72" t="n"/>
      <c r="N991" s="72" t="n"/>
      <c r="O991" s="89" t="n"/>
      <c r="P991" s="89" t="n"/>
      <c r="Q991" s="109" t="n"/>
      <c r="R991" s="120">
        <f>IF(B991="","",IF(Q991&lt;&gt;"",Q991,IF(P991="","",IFERROR(INDEX('Timeline'!$J$7:$J$1006,MATCH(P991,'Timeline'!$B$7:$B$1006,0)),""))))</f>
        <v/>
      </c>
      <c r="S991" s="126">
        <f>IF(R991="","",R991-IF(O991="",0,O991)-OrderBuf)</f>
        <v/>
      </c>
      <c r="T991" s="126">
        <f>IF(S991="","",S991-DecideBuf)</f>
        <v/>
      </c>
      <c r="U991" s="74" t="n"/>
      <c r="V991" s="109" t="n"/>
      <c r="W991" s="109" t="n"/>
      <c r="X991" s="74" t="n"/>
      <c r="Y991" s="116">
        <f>IF(B991="","",IF(X991="Yes","Delivered",IF(U991="Yes",IF(AND(W991&lt;&gt;"",R991&lt;&gt;""),IF(W991&gt;R991,"⚠️ Delivery after install date","Ordered"),"Ordered"),IF(K991="",IF(T991="","Waiting for decision",IF(T991&lt;=AsOf+AlertDays,"Decide now","Waiting for decision")),IF(S991="","Selected",IF(AsOf&gt;S991,"⚠️ Order late — install at risk",IF(S991&lt;=AsOf+AlertDays,"Order now","Selected")))))))</f>
        <v/>
      </c>
      <c r="Z991" s="79">
        <f>IF(B991="","",IF(OR(AH991=1,AE991=1),2,IF(OR(AG991=1,AF991=1),1,IF(OR(Y991="Ordered",Y991="Delivered"),0,""))))</f>
        <v/>
      </c>
      <c r="AA991" s="112">
        <f>IF(B991="","",IF(AH991=1,IF(Y991="⚠️ Delivery after install date",R991,S991),IF(AD991=1,T991,IF(AI991=1,S991,""))))</f>
        <v/>
      </c>
      <c r="AB991" s="79">
        <f>IF(AA991="","",IF(AH991=1,1,IF(AA991="","",IF(AA991&lt;AsOf,1,IF(AA991&lt;=AsOf+AlertDays,2,IF(AA991&lt;=AsOf+2*AlertDays,3,""))))))</f>
        <v/>
      </c>
      <c r="AC991" s="79">
        <f>IF(AB991="","",IF(AH991=1,IF(Y991="⚠️ Delivery after install date","Delivery after install date: "&amp;B991,"Order late — install at risk: "&amp;B991),IF(AD991=1,IF(AB991=1,"Decision overdue: ","Decide: ")&amp;B991,"Order: "&amp;B991&amp;IF(N991="",""," from "&amp;N991))))</f>
        <v/>
      </c>
      <c r="AD991" s="79">
        <f>IF(AND(B991&lt;&gt;"",K991="",U991&lt;&gt;"Yes",X991&lt;&gt;"Yes"),1,0)</f>
        <v/>
      </c>
      <c r="AE991" s="79">
        <f>IF(AND(AD991=1,T991&lt;&gt;""),IF(T991&lt;AsOf,1,0),0)</f>
        <v/>
      </c>
      <c r="AF991" s="79">
        <f>IF(AND(AD991=1,T991&lt;&gt;""),IF(AND(T991&gt;=AsOf,T991&lt;=AsOf+AlertDays),1,0),0)</f>
        <v/>
      </c>
      <c r="AG991" s="79">
        <f>IF(Y991="Order now",1,0)</f>
        <v/>
      </c>
      <c r="AH991" s="79">
        <f>IF(OR(Y991="⚠️ Order late — install at risk",Y991="⚠️ Delivery after install date"),1,0)</f>
        <v/>
      </c>
      <c r="AI991" s="79">
        <f>IF(AND(B991&lt;&gt;"",K991&lt;&gt;"",U991&lt;&gt;"Yes",X991&lt;&gt;"Yes"),1,0)</f>
        <v/>
      </c>
      <c r="AJ991" s="79">
        <f>IF(Y991="⚠️ Order late — install at risk",1,0)</f>
        <v/>
      </c>
    </row>
    <row r="992" ht="20" customHeight="1">
      <c r="B992" s="72" t="n"/>
      <c r="C992" s="72" t="n"/>
      <c r="D992" s="72" t="n"/>
      <c r="E992" s="72" t="n"/>
      <c r="F992" s="73" t="n"/>
      <c r="G992" s="72" t="n"/>
      <c r="H992" s="73" t="n"/>
      <c r="I992" s="72" t="n"/>
      <c r="J992" s="73" t="n"/>
      <c r="K992" s="74" t="n"/>
      <c r="L992" s="75">
        <f>IF(K992="A",F992,IF(K992="B",H992,IF(K992="C",J992,"")))</f>
        <v/>
      </c>
      <c r="M992" s="72" t="n"/>
      <c r="N992" s="72" t="n"/>
      <c r="O992" s="89" t="n"/>
      <c r="P992" s="89" t="n"/>
      <c r="Q992" s="109" t="n"/>
      <c r="R992" s="120">
        <f>IF(B992="","",IF(Q992&lt;&gt;"",Q992,IF(P992="","",IFERROR(INDEX('Timeline'!$J$7:$J$1006,MATCH(P992,'Timeline'!$B$7:$B$1006,0)),""))))</f>
        <v/>
      </c>
      <c r="S992" s="126">
        <f>IF(R992="","",R992-IF(O992="",0,O992)-OrderBuf)</f>
        <v/>
      </c>
      <c r="T992" s="126">
        <f>IF(S992="","",S992-DecideBuf)</f>
        <v/>
      </c>
      <c r="U992" s="74" t="n"/>
      <c r="V992" s="109" t="n"/>
      <c r="W992" s="109" t="n"/>
      <c r="X992" s="74" t="n"/>
      <c r="Y992" s="116">
        <f>IF(B992="","",IF(X992="Yes","Delivered",IF(U992="Yes",IF(AND(W992&lt;&gt;"",R992&lt;&gt;""),IF(W992&gt;R992,"⚠️ Delivery after install date","Ordered"),"Ordered"),IF(K992="",IF(T992="","Waiting for decision",IF(T992&lt;=AsOf+AlertDays,"Decide now","Waiting for decision")),IF(S992="","Selected",IF(AsOf&gt;S992,"⚠️ Order late — install at risk",IF(S992&lt;=AsOf+AlertDays,"Order now","Selected")))))))</f>
        <v/>
      </c>
      <c r="Z992" s="79">
        <f>IF(B992="","",IF(OR(AH992=1,AE992=1),2,IF(OR(AG992=1,AF992=1),1,IF(OR(Y992="Ordered",Y992="Delivered"),0,""))))</f>
        <v/>
      </c>
      <c r="AA992" s="112">
        <f>IF(B992="","",IF(AH992=1,IF(Y992="⚠️ Delivery after install date",R992,S992),IF(AD992=1,T992,IF(AI992=1,S992,""))))</f>
        <v/>
      </c>
      <c r="AB992" s="79">
        <f>IF(AA992="","",IF(AH992=1,1,IF(AA992="","",IF(AA992&lt;AsOf,1,IF(AA992&lt;=AsOf+AlertDays,2,IF(AA992&lt;=AsOf+2*AlertDays,3,""))))))</f>
        <v/>
      </c>
      <c r="AC992" s="79">
        <f>IF(AB992="","",IF(AH992=1,IF(Y992="⚠️ Delivery after install date","Delivery after install date: "&amp;B992,"Order late — install at risk: "&amp;B992),IF(AD992=1,IF(AB992=1,"Decision overdue: ","Decide: ")&amp;B992,"Order: "&amp;B992&amp;IF(N992="",""," from "&amp;N992))))</f>
        <v/>
      </c>
      <c r="AD992" s="79">
        <f>IF(AND(B992&lt;&gt;"",K992="",U992&lt;&gt;"Yes",X992&lt;&gt;"Yes"),1,0)</f>
        <v/>
      </c>
      <c r="AE992" s="79">
        <f>IF(AND(AD992=1,T992&lt;&gt;""),IF(T992&lt;AsOf,1,0),0)</f>
        <v/>
      </c>
      <c r="AF992" s="79">
        <f>IF(AND(AD992=1,T992&lt;&gt;""),IF(AND(T992&gt;=AsOf,T992&lt;=AsOf+AlertDays),1,0),0)</f>
        <v/>
      </c>
      <c r="AG992" s="79">
        <f>IF(Y992="Order now",1,0)</f>
        <v/>
      </c>
      <c r="AH992" s="79">
        <f>IF(OR(Y992="⚠️ Order late — install at risk",Y992="⚠️ Delivery after install date"),1,0)</f>
        <v/>
      </c>
      <c r="AI992" s="79">
        <f>IF(AND(B992&lt;&gt;"",K992&lt;&gt;"",U992&lt;&gt;"Yes",X992&lt;&gt;"Yes"),1,0)</f>
        <v/>
      </c>
      <c r="AJ992" s="79">
        <f>IF(Y992="⚠️ Order late — install at risk",1,0)</f>
        <v/>
      </c>
    </row>
    <row r="993" ht="20" customHeight="1">
      <c r="B993" s="72" t="n"/>
      <c r="C993" s="72" t="n"/>
      <c r="D993" s="72" t="n"/>
      <c r="E993" s="72" t="n"/>
      <c r="F993" s="73" t="n"/>
      <c r="G993" s="72" t="n"/>
      <c r="H993" s="73" t="n"/>
      <c r="I993" s="72" t="n"/>
      <c r="J993" s="73" t="n"/>
      <c r="K993" s="74" t="n"/>
      <c r="L993" s="75">
        <f>IF(K993="A",F993,IF(K993="B",H993,IF(K993="C",J993,"")))</f>
        <v/>
      </c>
      <c r="M993" s="72" t="n"/>
      <c r="N993" s="72" t="n"/>
      <c r="O993" s="89" t="n"/>
      <c r="P993" s="89" t="n"/>
      <c r="Q993" s="109" t="n"/>
      <c r="R993" s="120">
        <f>IF(B993="","",IF(Q993&lt;&gt;"",Q993,IF(P993="","",IFERROR(INDEX('Timeline'!$J$7:$J$1006,MATCH(P993,'Timeline'!$B$7:$B$1006,0)),""))))</f>
        <v/>
      </c>
      <c r="S993" s="126">
        <f>IF(R993="","",R993-IF(O993="",0,O993)-OrderBuf)</f>
        <v/>
      </c>
      <c r="T993" s="126">
        <f>IF(S993="","",S993-DecideBuf)</f>
        <v/>
      </c>
      <c r="U993" s="74" t="n"/>
      <c r="V993" s="109" t="n"/>
      <c r="W993" s="109" t="n"/>
      <c r="X993" s="74" t="n"/>
      <c r="Y993" s="116">
        <f>IF(B993="","",IF(X993="Yes","Delivered",IF(U993="Yes",IF(AND(W993&lt;&gt;"",R993&lt;&gt;""),IF(W993&gt;R993,"⚠️ Delivery after install date","Ordered"),"Ordered"),IF(K993="",IF(T993="","Waiting for decision",IF(T993&lt;=AsOf+AlertDays,"Decide now","Waiting for decision")),IF(S993="","Selected",IF(AsOf&gt;S993,"⚠️ Order late — install at risk",IF(S993&lt;=AsOf+AlertDays,"Order now","Selected")))))))</f>
        <v/>
      </c>
      <c r="Z993" s="79">
        <f>IF(B993="","",IF(OR(AH993=1,AE993=1),2,IF(OR(AG993=1,AF993=1),1,IF(OR(Y993="Ordered",Y993="Delivered"),0,""))))</f>
        <v/>
      </c>
      <c r="AA993" s="112">
        <f>IF(B993="","",IF(AH993=1,IF(Y993="⚠️ Delivery after install date",R993,S993),IF(AD993=1,T993,IF(AI993=1,S993,""))))</f>
        <v/>
      </c>
      <c r="AB993" s="79">
        <f>IF(AA993="","",IF(AH993=1,1,IF(AA993="","",IF(AA993&lt;AsOf,1,IF(AA993&lt;=AsOf+AlertDays,2,IF(AA993&lt;=AsOf+2*AlertDays,3,""))))))</f>
        <v/>
      </c>
      <c r="AC993" s="79">
        <f>IF(AB993="","",IF(AH993=1,IF(Y993="⚠️ Delivery after install date","Delivery after install date: "&amp;B993,"Order late — install at risk: "&amp;B993),IF(AD993=1,IF(AB993=1,"Decision overdue: ","Decide: ")&amp;B993,"Order: "&amp;B993&amp;IF(N993="",""," from "&amp;N993))))</f>
        <v/>
      </c>
      <c r="AD993" s="79">
        <f>IF(AND(B993&lt;&gt;"",K993="",U993&lt;&gt;"Yes",X993&lt;&gt;"Yes"),1,0)</f>
        <v/>
      </c>
      <c r="AE993" s="79">
        <f>IF(AND(AD993=1,T993&lt;&gt;""),IF(T993&lt;AsOf,1,0),0)</f>
        <v/>
      </c>
      <c r="AF993" s="79">
        <f>IF(AND(AD993=1,T993&lt;&gt;""),IF(AND(T993&gt;=AsOf,T993&lt;=AsOf+AlertDays),1,0),0)</f>
        <v/>
      </c>
      <c r="AG993" s="79">
        <f>IF(Y993="Order now",1,0)</f>
        <v/>
      </c>
      <c r="AH993" s="79">
        <f>IF(OR(Y993="⚠️ Order late — install at risk",Y993="⚠️ Delivery after install date"),1,0)</f>
        <v/>
      </c>
      <c r="AI993" s="79">
        <f>IF(AND(B993&lt;&gt;"",K993&lt;&gt;"",U993&lt;&gt;"Yes",X993&lt;&gt;"Yes"),1,0)</f>
        <v/>
      </c>
      <c r="AJ993" s="79">
        <f>IF(Y993="⚠️ Order late — install at risk",1,0)</f>
        <v/>
      </c>
    </row>
    <row r="994" ht="20" customHeight="1">
      <c r="B994" s="72" t="n"/>
      <c r="C994" s="72" t="n"/>
      <c r="D994" s="72" t="n"/>
      <c r="E994" s="72" t="n"/>
      <c r="F994" s="73" t="n"/>
      <c r="G994" s="72" t="n"/>
      <c r="H994" s="73" t="n"/>
      <c r="I994" s="72" t="n"/>
      <c r="J994" s="73" t="n"/>
      <c r="K994" s="74" t="n"/>
      <c r="L994" s="75">
        <f>IF(K994="A",F994,IF(K994="B",H994,IF(K994="C",J994,"")))</f>
        <v/>
      </c>
      <c r="M994" s="72" t="n"/>
      <c r="N994" s="72" t="n"/>
      <c r="O994" s="89" t="n"/>
      <c r="P994" s="89" t="n"/>
      <c r="Q994" s="109" t="n"/>
      <c r="R994" s="120">
        <f>IF(B994="","",IF(Q994&lt;&gt;"",Q994,IF(P994="","",IFERROR(INDEX('Timeline'!$J$7:$J$1006,MATCH(P994,'Timeline'!$B$7:$B$1006,0)),""))))</f>
        <v/>
      </c>
      <c r="S994" s="126">
        <f>IF(R994="","",R994-IF(O994="",0,O994)-OrderBuf)</f>
        <v/>
      </c>
      <c r="T994" s="126">
        <f>IF(S994="","",S994-DecideBuf)</f>
        <v/>
      </c>
      <c r="U994" s="74" t="n"/>
      <c r="V994" s="109" t="n"/>
      <c r="W994" s="109" t="n"/>
      <c r="X994" s="74" t="n"/>
      <c r="Y994" s="116">
        <f>IF(B994="","",IF(X994="Yes","Delivered",IF(U994="Yes",IF(AND(W994&lt;&gt;"",R994&lt;&gt;""),IF(W994&gt;R994,"⚠️ Delivery after install date","Ordered"),"Ordered"),IF(K994="",IF(T994="","Waiting for decision",IF(T994&lt;=AsOf+AlertDays,"Decide now","Waiting for decision")),IF(S994="","Selected",IF(AsOf&gt;S994,"⚠️ Order late — install at risk",IF(S994&lt;=AsOf+AlertDays,"Order now","Selected")))))))</f>
        <v/>
      </c>
      <c r="Z994" s="79">
        <f>IF(B994="","",IF(OR(AH994=1,AE994=1),2,IF(OR(AG994=1,AF994=1),1,IF(OR(Y994="Ordered",Y994="Delivered"),0,""))))</f>
        <v/>
      </c>
      <c r="AA994" s="112">
        <f>IF(B994="","",IF(AH994=1,IF(Y994="⚠️ Delivery after install date",R994,S994),IF(AD994=1,T994,IF(AI994=1,S994,""))))</f>
        <v/>
      </c>
      <c r="AB994" s="79">
        <f>IF(AA994="","",IF(AH994=1,1,IF(AA994="","",IF(AA994&lt;AsOf,1,IF(AA994&lt;=AsOf+AlertDays,2,IF(AA994&lt;=AsOf+2*AlertDays,3,""))))))</f>
        <v/>
      </c>
      <c r="AC994" s="79">
        <f>IF(AB994="","",IF(AH994=1,IF(Y994="⚠️ Delivery after install date","Delivery after install date: "&amp;B994,"Order late — install at risk: "&amp;B994),IF(AD994=1,IF(AB994=1,"Decision overdue: ","Decide: ")&amp;B994,"Order: "&amp;B994&amp;IF(N994="",""," from "&amp;N994))))</f>
        <v/>
      </c>
      <c r="AD994" s="79">
        <f>IF(AND(B994&lt;&gt;"",K994="",U994&lt;&gt;"Yes",X994&lt;&gt;"Yes"),1,0)</f>
        <v/>
      </c>
      <c r="AE994" s="79">
        <f>IF(AND(AD994=1,T994&lt;&gt;""),IF(T994&lt;AsOf,1,0),0)</f>
        <v/>
      </c>
      <c r="AF994" s="79">
        <f>IF(AND(AD994=1,T994&lt;&gt;""),IF(AND(T994&gt;=AsOf,T994&lt;=AsOf+AlertDays),1,0),0)</f>
        <v/>
      </c>
      <c r="AG994" s="79">
        <f>IF(Y994="Order now",1,0)</f>
        <v/>
      </c>
      <c r="AH994" s="79">
        <f>IF(OR(Y994="⚠️ Order late — install at risk",Y994="⚠️ Delivery after install date"),1,0)</f>
        <v/>
      </c>
      <c r="AI994" s="79">
        <f>IF(AND(B994&lt;&gt;"",K994&lt;&gt;"",U994&lt;&gt;"Yes",X994&lt;&gt;"Yes"),1,0)</f>
        <v/>
      </c>
      <c r="AJ994" s="79">
        <f>IF(Y994="⚠️ Order late — install at risk",1,0)</f>
        <v/>
      </c>
    </row>
    <row r="995" ht="20" customHeight="1">
      <c r="B995" s="72" t="n"/>
      <c r="C995" s="72" t="n"/>
      <c r="D995" s="72" t="n"/>
      <c r="E995" s="72" t="n"/>
      <c r="F995" s="73" t="n"/>
      <c r="G995" s="72" t="n"/>
      <c r="H995" s="73" t="n"/>
      <c r="I995" s="72" t="n"/>
      <c r="J995" s="73" t="n"/>
      <c r="K995" s="74" t="n"/>
      <c r="L995" s="75">
        <f>IF(K995="A",F995,IF(K995="B",H995,IF(K995="C",J995,"")))</f>
        <v/>
      </c>
      <c r="M995" s="72" t="n"/>
      <c r="N995" s="72" t="n"/>
      <c r="O995" s="89" t="n"/>
      <c r="P995" s="89" t="n"/>
      <c r="Q995" s="109" t="n"/>
      <c r="R995" s="120">
        <f>IF(B995="","",IF(Q995&lt;&gt;"",Q995,IF(P995="","",IFERROR(INDEX('Timeline'!$J$7:$J$1006,MATCH(P995,'Timeline'!$B$7:$B$1006,0)),""))))</f>
        <v/>
      </c>
      <c r="S995" s="126">
        <f>IF(R995="","",R995-IF(O995="",0,O995)-OrderBuf)</f>
        <v/>
      </c>
      <c r="T995" s="126">
        <f>IF(S995="","",S995-DecideBuf)</f>
        <v/>
      </c>
      <c r="U995" s="74" t="n"/>
      <c r="V995" s="109" t="n"/>
      <c r="W995" s="109" t="n"/>
      <c r="X995" s="74" t="n"/>
      <c r="Y995" s="116">
        <f>IF(B995="","",IF(X995="Yes","Delivered",IF(U995="Yes",IF(AND(W995&lt;&gt;"",R995&lt;&gt;""),IF(W995&gt;R995,"⚠️ Delivery after install date","Ordered"),"Ordered"),IF(K995="",IF(T995="","Waiting for decision",IF(T995&lt;=AsOf+AlertDays,"Decide now","Waiting for decision")),IF(S995="","Selected",IF(AsOf&gt;S995,"⚠️ Order late — install at risk",IF(S995&lt;=AsOf+AlertDays,"Order now","Selected")))))))</f>
        <v/>
      </c>
      <c r="Z995" s="79">
        <f>IF(B995="","",IF(OR(AH995=1,AE995=1),2,IF(OR(AG995=1,AF995=1),1,IF(OR(Y995="Ordered",Y995="Delivered"),0,""))))</f>
        <v/>
      </c>
      <c r="AA995" s="112">
        <f>IF(B995="","",IF(AH995=1,IF(Y995="⚠️ Delivery after install date",R995,S995),IF(AD995=1,T995,IF(AI995=1,S995,""))))</f>
        <v/>
      </c>
      <c r="AB995" s="79">
        <f>IF(AA995="","",IF(AH995=1,1,IF(AA995="","",IF(AA995&lt;AsOf,1,IF(AA995&lt;=AsOf+AlertDays,2,IF(AA995&lt;=AsOf+2*AlertDays,3,""))))))</f>
        <v/>
      </c>
      <c r="AC995" s="79">
        <f>IF(AB995="","",IF(AH995=1,IF(Y995="⚠️ Delivery after install date","Delivery after install date: "&amp;B995,"Order late — install at risk: "&amp;B995),IF(AD995=1,IF(AB995=1,"Decision overdue: ","Decide: ")&amp;B995,"Order: "&amp;B995&amp;IF(N995="",""," from "&amp;N995))))</f>
        <v/>
      </c>
      <c r="AD995" s="79">
        <f>IF(AND(B995&lt;&gt;"",K995="",U995&lt;&gt;"Yes",X995&lt;&gt;"Yes"),1,0)</f>
        <v/>
      </c>
      <c r="AE995" s="79">
        <f>IF(AND(AD995=1,T995&lt;&gt;""),IF(T995&lt;AsOf,1,0),0)</f>
        <v/>
      </c>
      <c r="AF995" s="79">
        <f>IF(AND(AD995=1,T995&lt;&gt;""),IF(AND(T995&gt;=AsOf,T995&lt;=AsOf+AlertDays),1,0),0)</f>
        <v/>
      </c>
      <c r="AG995" s="79">
        <f>IF(Y995="Order now",1,0)</f>
        <v/>
      </c>
      <c r="AH995" s="79">
        <f>IF(OR(Y995="⚠️ Order late — install at risk",Y995="⚠️ Delivery after install date"),1,0)</f>
        <v/>
      </c>
      <c r="AI995" s="79">
        <f>IF(AND(B995&lt;&gt;"",K995&lt;&gt;"",U995&lt;&gt;"Yes",X995&lt;&gt;"Yes"),1,0)</f>
        <v/>
      </c>
      <c r="AJ995" s="79">
        <f>IF(Y995="⚠️ Order late — install at risk",1,0)</f>
        <v/>
      </c>
    </row>
    <row r="996" ht="20" customHeight="1">
      <c r="B996" s="72" t="n"/>
      <c r="C996" s="72" t="n"/>
      <c r="D996" s="72" t="n"/>
      <c r="E996" s="72" t="n"/>
      <c r="F996" s="73" t="n"/>
      <c r="G996" s="72" t="n"/>
      <c r="H996" s="73" t="n"/>
      <c r="I996" s="72" t="n"/>
      <c r="J996" s="73" t="n"/>
      <c r="K996" s="74" t="n"/>
      <c r="L996" s="75">
        <f>IF(K996="A",F996,IF(K996="B",H996,IF(K996="C",J996,"")))</f>
        <v/>
      </c>
      <c r="M996" s="72" t="n"/>
      <c r="N996" s="72" t="n"/>
      <c r="O996" s="89" t="n"/>
      <c r="P996" s="89" t="n"/>
      <c r="Q996" s="109" t="n"/>
      <c r="R996" s="120">
        <f>IF(B996="","",IF(Q996&lt;&gt;"",Q996,IF(P996="","",IFERROR(INDEX('Timeline'!$J$7:$J$1006,MATCH(P996,'Timeline'!$B$7:$B$1006,0)),""))))</f>
        <v/>
      </c>
      <c r="S996" s="126">
        <f>IF(R996="","",R996-IF(O996="",0,O996)-OrderBuf)</f>
        <v/>
      </c>
      <c r="T996" s="126">
        <f>IF(S996="","",S996-DecideBuf)</f>
        <v/>
      </c>
      <c r="U996" s="74" t="n"/>
      <c r="V996" s="109" t="n"/>
      <c r="W996" s="109" t="n"/>
      <c r="X996" s="74" t="n"/>
      <c r="Y996" s="116">
        <f>IF(B996="","",IF(X996="Yes","Delivered",IF(U996="Yes",IF(AND(W996&lt;&gt;"",R996&lt;&gt;""),IF(W996&gt;R996,"⚠️ Delivery after install date","Ordered"),"Ordered"),IF(K996="",IF(T996="","Waiting for decision",IF(T996&lt;=AsOf+AlertDays,"Decide now","Waiting for decision")),IF(S996="","Selected",IF(AsOf&gt;S996,"⚠️ Order late — install at risk",IF(S996&lt;=AsOf+AlertDays,"Order now","Selected")))))))</f>
        <v/>
      </c>
      <c r="Z996" s="79">
        <f>IF(B996="","",IF(OR(AH996=1,AE996=1),2,IF(OR(AG996=1,AF996=1),1,IF(OR(Y996="Ordered",Y996="Delivered"),0,""))))</f>
        <v/>
      </c>
      <c r="AA996" s="112">
        <f>IF(B996="","",IF(AH996=1,IF(Y996="⚠️ Delivery after install date",R996,S996),IF(AD996=1,T996,IF(AI996=1,S996,""))))</f>
        <v/>
      </c>
      <c r="AB996" s="79">
        <f>IF(AA996="","",IF(AH996=1,1,IF(AA996="","",IF(AA996&lt;AsOf,1,IF(AA996&lt;=AsOf+AlertDays,2,IF(AA996&lt;=AsOf+2*AlertDays,3,""))))))</f>
        <v/>
      </c>
      <c r="AC996" s="79">
        <f>IF(AB996="","",IF(AH996=1,IF(Y996="⚠️ Delivery after install date","Delivery after install date: "&amp;B996,"Order late — install at risk: "&amp;B996),IF(AD996=1,IF(AB996=1,"Decision overdue: ","Decide: ")&amp;B996,"Order: "&amp;B996&amp;IF(N996="",""," from "&amp;N996))))</f>
        <v/>
      </c>
      <c r="AD996" s="79">
        <f>IF(AND(B996&lt;&gt;"",K996="",U996&lt;&gt;"Yes",X996&lt;&gt;"Yes"),1,0)</f>
        <v/>
      </c>
      <c r="AE996" s="79">
        <f>IF(AND(AD996=1,T996&lt;&gt;""),IF(T996&lt;AsOf,1,0),0)</f>
        <v/>
      </c>
      <c r="AF996" s="79">
        <f>IF(AND(AD996=1,T996&lt;&gt;""),IF(AND(T996&gt;=AsOf,T996&lt;=AsOf+AlertDays),1,0),0)</f>
        <v/>
      </c>
      <c r="AG996" s="79">
        <f>IF(Y996="Order now",1,0)</f>
        <v/>
      </c>
      <c r="AH996" s="79">
        <f>IF(OR(Y996="⚠️ Order late — install at risk",Y996="⚠️ Delivery after install date"),1,0)</f>
        <v/>
      </c>
      <c r="AI996" s="79">
        <f>IF(AND(B996&lt;&gt;"",K996&lt;&gt;"",U996&lt;&gt;"Yes",X996&lt;&gt;"Yes"),1,0)</f>
        <v/>
      </c>
      <c r="AJ996" s="79">
        <f>IF(Y996="⚠️ Order late — install at risk",1,0)</f>
        <v/>
      </c>
    </row>
    <row r="997" ht="20" customHeight="1">
      <c r="B997" s="72" t="n"/>
      <c r="C997" s="72" t="n"/>
      <c r="D997" s="72" t="n"/>
      <c r="E997" s="72" t="n"/>
      <c r="F997" s="73" t="n"/>
      <c r="G997" s="72" t="n"/>
      <c r="H997" s="73" t="n"/>
      <c r="I997" s="72" t="n"/>
      <c r="J997" s="73" t="n"/>
      <c r="K997" s="74" t="n"/>
      <c r="L997" s="75">
        <f>IF(K997="A",F997,IF(K997="B",H997,IF(K997="C",J997,"")))</f>
        <v/>
      </c>
      <c r="M997" s="72" t="n"/>
      <c r="N997" s="72" t="n"/>
      <c r="O997" s="89" t="n"/>
      <c r="P997" s="89" t="n"/>
      <c r="Q997" s="109" t="n"/>
      <c r="R997" s="120">
        <f>IF(B997="","",IF(Q997&lt;&gt;"",Q997,IF(P997="","",IFERROR(INDEX('Timeline'!$J$7:$J$1006,MATCH(P997,'Timeline'!$B$7:$B$1006,0)),""))))</f>
        <v/>
      </c>
      <c r="S997" s="126">
        <f>IF(R997="","",R997-IF(O997="",0,O997)-OrderBuf)</f>
        <v/>
      </c>
      <c r="T997" s="126">
        <f>IF(S997="","",S997-DecideBuf)</f>
        <v/>
      </c>
      <c r="U997" s="74" t="n"/>
      <c r="V997" s="109" t="n"/>
      <c r="W997" s="109" t="n"/>
      <c r="X997" s="74" t="n"/>
      <c r="Y997" s="116">
        <f>IF(B997="","",IF(X997="Yes","Delivered",IF(U997="Yes",IF(AND(W997&lt;&gt;"",R997&lt;&gt;""),IF(W997&gt;R997,"⚠️ Delivery after install date","Ordered"),"Ordered"),IF(K997="",IF(T997="","Waiting for decision",IF(T997&lt;=AsOf+AlertDays,"Decide now","Waiting for decision")),IF(S997="","Selected",IF(AsOf&gt;S997,"⚠️ Order late — install at risk",IF(S997&lt;=AsOf+AlertDays,"Order now","Selected")))))))</f>
        <v/>
      </c>
      <c r="Z997" s="79">
        <f>IF(B997="","",IF(OR(AH997=1,AE997=1),2,IF(OR(AG997=1,AF997=1),1,IF(OR(Y997="Ordered",Y997="Delivered"),0,""))))</f>
        <v/>
      </c>
      <c r="AA997" s="112">
        <f>IF(B997="","",IF(AH997=1,IF(Y997="⚠️ Delivery after install date",R997,S997),IF(AD997=1,T997,IF(AI997=1,S997,""))))</f>
        <v/>
      </c>
      <c r="AB997" s="79">
        <f>IF(AA997="","",IF(AH997=1,1,IF(AA997="","",IF(AA997&lt;AsOf,1,IF(AA997&lt;=AsOf+AlertDays,2,IF(AA997&lt;=AsOf+2*AlertDays,3,""))))))</f>
        <v/>
      </c>
      <c r="AC997" s="79">
        <f>IF(AB997="","",IF(AH997=1,IF(Y997="⚠️ Delivery after install date","Delivery after install date: "&amp;B997,"Order late — install at risk: "&amp;B997),IF(AD997=1,IF(AB997=1,"Decision overdue: ","Decide: ")&amp;B997,"Order: "&amp;B997&amp;IF(N997="",""," from "&amp;N997))))</f>
        <v/>
      </c>
      <c r="AD997" s="79">
        <f>IF(AND(B997&lt;&gt;"",K997="",U997&lt;&gt;"Yes",X997&lt;&gt;"Yes"),1,0)</f>
        <v/>
      </c>
      <c r="AE997" s="79">
        <f>IF(AND(AD997=1,T997&lt;&gt;""),IF(T997&lt;AsOf,1,0),0)</f>
        <v/>
      </c>
      <c r="AF997" s="79">
        <f>IF(AND(AD997=1,T997&lt;&gt;""),IF(AND(T997&gt;=AsOf,T997&lt;=AsOf+AlertDays),1,0),0)</f>
        <v/>
      </c>
      <c r="AG997" s="79">
        <f>IF(Y997="Order now",1,0)</f>
        <v/>
      </c>
      <c r="AH997" s="79">
        <f>IF(OR(Y997="⚠️ Order late — install at risk",Y997="⚠️ Delivery after install date"),1,0)</f>
        <v/>
      </c>
      <c r="AI997" s="79">
        <f>IF(AND(B997&lt;&gt;"",K997&lt;&gt;"",U997&lt;&gt;"Yes",X997&lt;&gt;"Yes"),1,0)</f>
        <v/>
      </c>
      <c r="AJ997" s="79">
        <f>IF(Y997="⚠️ Order late — install at risk",1,0)</f>
        <v/>
      </c>
    </row>
    <row r="998" ht="20" customHeight="1">
      <c r="B998" s="72" t="n"/>
      <c r="C998" s="72" t="n"/>
      <c r="D998" s="72" t="n"/>
      <c r="E998" s="72" t="n"/>
      <c r="F998" s="73" t="n"/>
      <c r="G998" s="72" t="n"/>
      <c r="H998" s="73" t="n"/>
      <c r="I998" s="72" t="n"/>
      <c r="J998" s="73" t="n"/>
      <c r="K998" s="74" t="n"/>
      <c r="L998" s="75">
        <f>IF(K998="A",F998,IF(K998="B",H998,IF(K998="C",J998,"")))</f>
        <v/>
      </c>
      <c r="M998" s="72" t="n"/>
      <c r="N998" s="72" t="n"/>
      <c r="O998" s="89" t="n"/>
      <c r="P998" s="89" t="n"/>
      <c r="Q998" s="109" t="n"/>
      <c r="R998" s="120">
        <f>IF(B998="","",IF(Q998&lt;&gt;"",Q998,IF(P998="","",IFERROR(INDEX('Timeline'!$J$7:$J$1006,MATCH(P998,'Timeline'!$B$7:$B$1006,0)),""))))</f>
        <v/>
      </c>
      <c r="S998" s="126">
        <f>IF(R998="","",R998-IF(O998="",0,O998)-OrderBuf)</f>
        <v/>
      </c>
      <c r="T998" s="126">
        <f>IF(S998="","",S998-DecideBuf)</f>
        <v/>
      </c>
      <c r="U998" s="74" t="n"/>
      <c r="V998" s="109" t="n"/>
      <c r="W998" s="109" t="n"/>
      <c r="X998" s="74" t="n"/>
      <c r="Y998" s="116">
        <f>IF(B998="","",IF(X998="Yes","Delivered",IF(U998="Yes",IF(AND(W998&lt;&gt;"",R998&lt;&gt;""),IF(W998&gt;R998,"⚠️ Delivery after install date","Ordered"),"Ordered"),IF(K998="",IF(T998="","Waiting for decision",IF(T998&lt;=AsOf+AlertDays,"Decide now","Waiting for decision")),IF(S998="","Selected",IF(AsOf&gt;S998,"⚠️ Order late — install at risk",IF(S998&lt;=AsOf+AlertDays,"Order now","Selected")))))))</f>
        <v/>
      </c>
      <c r="Z998" s="79">
        <f>IF(B998="","",IF(OR(AH998=1,AE998=1),2,IF(OR(AG998=1,AF998=1),1,IF(OR(Y998="Ordered",Y998="Delivered"),0,""))))</f>
        <v/>
      </c>
      <c r="AA998" s="112">
        <f>IF(B998="","",IF(AH998=1,IF(Y998="⚠️ Delivery after install date",R998,S998),IF(AD998=1,T998,IF(AI998=1,S998,""))))</f>
        <v/>
      </c>
      <c r="AB998" s="79">
        <f>IF(AA998="","",IF(AH998=1,1,IF(AA998="","",IF(AA998&lt;AsOf,1,IF(AA998&lt;=AsOf+AlertDays,2,IF(AA998&lt;=AsOf+2*AlertDays,3,""))))))</f>
        <v/>
      </c>
      <c r="AC998" s="79">
        <f>IF(AB998="","",IF(AH998=1,IF(Y998="⚠️ Delivery after install date","Delivery after install date: "&amp;B998,"Order late — install at risk: "&amp;B998),IF(AD998=1,IF(AB998=1,"Decision overdue: ","Decide: ")&amp;B998,"Order: "&amp;B998&amp;IF(N998="",""," from "&amp;N998))))</f>
        <v/>
      </c>
      <c r="AD998" s="79">
        <f>IF(AND(B998&lt;&gt;"",K998="",U998&lt;&gt;"Yes",X998&lt;&gt;"Yes"),1,0)</f>
        <v/>
      </c>
      <c r="AE998" s="79">
        <f>IF(AND(AD998=1,T998&lt;&gt;""),IF(T998&lt;AsOf,1,0),0)</f>
        <v/>
      </c>
      <c r="AF998" s="79">
        <f>IF(AND(AD998=1,T998&lt;&gt;""),IF(AND(T998&gt;=AsOf,T998&lt;=AsOf+AlertDays),1,0),0)</f>
        <v/>
      </c>
      <c r="AG998" s="79">
        <f>IF(Y998="Order now",1,0)</f>
        <v/>
      </c>
      <c r="AH998" s="79">
        <f>IF(OR(Y998="⚠️ Order late — install at risk",Y998="⚠️ Delivery after install date"),1,0)</f>
        <v/>
      </c>
      <c r="AI998" s="79">
        <f>IF(AND(B998&lt;&gt;"",K998&lt;&gt;"",U998&lt;&gt;"Yes",X998&lt;&gt;"Yes"),1,0)</f>
        <v/>
      </c>
      <c r="AJ998" s="79">
        <f>IF(Y998="⚠️ Order late — install at risk",1,0)</f>
        <v/>
      </c>
    </row>
    <row r="999" ht="20" customHeight="1">
      <c r="B999" s="72" t="n"/>
      <c r="C999" s="72" t="n"/>
      <c r="D999" s="72" t="n"/>
      <c r="E999" s="72" t="n"/>
      <c r="F999" s="73" t="n"/>
      <c r="G999" s="72" t="n"/>
      <c r="H999" s="73" t="n"/>
      <c r="I999" s="72" t="n"/>
      <c r="J999" s="73" t="n"/>
      <c r="K999" s="74" t="n"/>
      <c r="L999" s="75">
        <f>IF(K999="A",F999,IF(K999="B",H999,IF(K999="C",J999,"")))</f>
        <v/>
      </c>
      <c r="M999" s="72" t="n"/>
      <c r="N999" s="72" t="n"/>
      <c r="O999" s="89" t="n"/>
      <c r="P999" s="89" t="n"/>
      <c r="Q999" s="109" t="n"/>
      <c r="R999" s="120">
        <f>IF(B999="","",IF(Q999&lt;&gt;"",Q999,IF(P999="","",IFERROR(INDEX('Timeline'!$J$7:$J$1006,MATCH(P999,'Timeline'!$B$7:$B$1006,0)),""))))</f>
        <v/>
      </c>
      <c r="S999" s="126">
        <f>IF(R999="","",R999-IF(O999="",0,O999)-OrderBuf)</f>
        <v/>
      </c>
      <c r="T999" s="126">
        <f>IF(S999="","",S999-DecideBuf)</f>
        <v/>
      </c>
      <c r="U999" s="74" t="n"/>
      <c r="V999" s="109" t="n"/>
      <c r="W999" s="109" t="n"/>
      <c r="X999" s="74" t="n"/>
      <c r="Y999" s="116">
        <f>IF(B999="","",IF(X999="Yes","Delivered",IF(U999="Yes",IF(AND(W999&lt;&gt;"",R999&lt;&gt;""),IF(W999&gt;R999,"⚠️ Delivery after install date","Ordered"),"Ordered"),IF(K999="",IF(T999="","Waiting for decision",IF(T999&lt;=AsOf+AlertDays,"Decide now","Waiting for decision")),IF(S999="","Selected",IF(AsOf&gt;S999,"⚠️ Order late — install at risk",IF(S999&lt;=AsOf+AlertDays,"Order now","Selected")))))))</f>
        <v/>
      </c>
      <c r="Z999" s="79">
        <f>IF(B999="","",IF(OR(AH999=1,AE999=1),2,IF(OR(AG999=1,AF999=1),1,IF(OR(Y999="Ordered",Y999="Delivered"),0,""))))</f>
        <v/>
      </c>
      <c r="AA999" s="112">
        <f>IF(B999="","",IF(AH999=1,IF(Y999="⚠️ Delivery after install date",R999,S999),IF(AD999=1,T999,IF(AI999=1,S999,""))))</f>
        <v/>
      </c>
      <c r="AB999" s="79">
        <f>IF(AA999="","",IF(AH999=1,1,IF(AA999="","",IF(AA999&lt;AsOf,1,IF(AA999&lt;=AsOf+AlertDays,2,IF(AA999&lt;=AsOf+2*AlertDays,3,""))))))</f>
        <v/>
      </c>
      <c r="AC999" s="79">
        <f>IF(AB999="","",IF(AH999=1,IF(Y999="⚠️ Delivery after install date","Delivery after install date: "&amp;B999,"Order late — install at risk: "&amp;B999),IF(AD999=1,IF(AB999=1,"Decision overdue: ","Decide: ")&amp;B999,"Order: "&amp;B999&amp;IF(N999="",""," from "&amp;N999))))</f>
        <v/>
      </c>
      <c r="AD999" s="79">
        <f>IF(AND(B999&lt;&gt;"",K999="",U999&lt;&gt;"Yes",X999&lt;&gt;"Yes"),1,0)</f>
        <v/>
      </c>
      <c r="AE999" s="79">
        <f>IF(AND(AD999=1,T999&lt;&gt;""),IF(T999&lt;AsOf,1,0),0)</f>
        <v/>
      </c>
      <c r="AF999" s="79">
        <f>IF(AND(AD999=1,T999&lt;&gt;""),IF(AND(T999&gt;=AsOf,T999&lt;=AsOf+AlertDays),1,0),0)</f>
        <v/>
      </c>
      <c r="AG999" s="79">
        <f>IF(Y999="Order now",1,0)</f>
        <v/>
      </c>
      <c r="AH999" s="79">
        <f>IF(OR(Y999="⚠️ Order late — install at risk",Y999="⚠️ Delivery after install date"),1,0)</f>
        <v/>
      </c>
      <c r="AI999" s="79">
        <f>IF(AND(B999&lt;&gt;"",K999&lt;&gt;"",U999&lt;&gt;"Yes",X999&lt;&gt;"Yes"),1,0)</f>
        <v/>
      </c>
      <c r="AJ999" s="79">
        <f>IF(Y999="⚠️ Order late — install at risk",1,0)</f>
        <v/>
      </c>
    </row>
    <row r="1000" ht="20" customHeight="1">
      <c r="B1000" s="72" t="n"/>
      <c r="C1000" s="72" t="n"/>
      <c r="D1000" s="72" t="n"/>
      <c r="E1000" s="72" t="n"/>
      <c r="F1000" s="73" t="n"/>
      <c r="G1000" s="72" t="n"/>
      <c r="H1000" s="73" t="n"/>
      <c r="I1000" s="72" t="n"/>
      <c r="J1000" s="73" t="n"/>
      <c r="K1000" s="74" t="n"/>
      <c r="L1000" s="75">
        <f>IF(K1000="A",F1000,IF(K1000="B",H1000,IF(K1000="C",J1000,"")))</f>
        <v/>
      </c>
      <c r="M1000" s="72" t="n"/>
      <c r="N1000" s="72" t="n"/>
      <c r="O1000" s="89" t="n"/>
      <c r="P1000" s="89" t="n"/>
      <c r="Q1000" s="109" t="n"/>
      <c r="R1000" s="120">
        <f>IF(B1000="","",IF(Q1000&lt;&gt;"",Q1000,IF(P1000="","",IFERROR(INDEX('Timeline'!$J$7:$J$1006,MATCH(P1000,'Timeline'!$B$7:$B$1006,0)),""))))</f>
        <v/>
      </c>
      <c r="S1000" s="126">
        <f>IF(R1000="","",R1000-IF(O1000="",0,O1000)-OrderBuf)</f>
        <v/>
      </c>
      <c r="T1000" s="126">
        <f>IF(S1000="","",S1000-DecideBuf)</f>
        <v/>
      </c>
      <c r="U1000" s="74" t="n"/>
      <c r="V1000" s="109" t="n"/>
      <c r="W1000" s="109" t="n"/>
      <c r="X1000" s="74" t="n"/>
      <c r="Y1000" s="116">
        <f>IF(B1000="","",IF(X1000="Yes","Delivered",IF(U1000="Yes",IF(AND(W1000&lt;&gt;"",R1000&lt;&gt;""),IF(W1000&gt;R1000,"⚠️ Delivery after install date","Ordered"),"Ordered"),IF(K1000="",IF(T1000="","Waiting for decision",IF(T1000&lt;=AsOf+AlertDays,"Decide now","Waiting for decision")),IF(S1000="","Selected",IF(AsOf&gt;S1000,"⚠️ Order late — install at risk",IF(S1000&lt;=AsOf+AlertDays,"Order now","Selected")))))))</f>
        <v/>
      </c>
      <c r="Z1000" s="79">
        <f>IF(B1000="","",IF(OR(AH1000=1,AE1000=1),2,IF(OR(AG1000=1,AF1000=1),1,IF(OR(Y1000="Ordered",Y1000="Delivered"),0,""))))</f>
        <v/>
      </c>
      <c r="AA1000" s="112">
        <f>IF(B1000="","",IF(AH1000=1,IF(Y1000="⚠️ Delivery after install date",R1000,S1000),IF(AD1000=1,T1000,IF(AI1000=1,S1000,""))))</f>
        <v/>
      </c>
      <c r="AB1000" s="79">
        <f>IF(AA1000="","",IF(AH1000=1,1,IF(AA1000="","",IF(AA1000&lt;AsOf,1,IF(AA1000&lt;=AsOf+AlertDays,2,IF(AA1000&lt;=AsOf+2*AlertDays,3,""))))))</f>
        <v/>
      </c>
      <c r="AC1000" s="79">
        <f>IF(AB1000="","",IF(AH1000=1,IF(Y1000="⚠️ Delivery after install date","Delivery after install date: "&amp;B1000,"Order late — install at risk: "&amp;B1000),IF(AD1000=1,IF(AB1000=1,"Decision overdue: ","Decide: ")&amp;B1000,"Order: "&amp;B1000&amp;IF(N1000="",""," from "&amp;N1000))))</f>
        <v/>
      </c>
      <c r="AD1000" s="79">
        <f>IF(AND(B1000&lt;&gt;"",K1000="",U1000&lt;&gt;"Yes",X1000&lt;&gt;"Yes"),1,0)</f>
        <v/>
      </c>
      <c r="AE1000" s="79">
        <f>IF(AND(AD1000=1,T1000&lt;&gt;""),IF(T1000&lt;AsOf,1,0),0)</f>
        <v/>
      </c>
      <c r="AF1000" s="79">
        <f>IF(AND(AD1000=1,T1000&lt;&gt;""),IF(AND(T1000&gt;=AsOf,T1000&lt;=AsOf+AlertDays),1,0),0)</f>
        <v/>
      </c>
      <c r="AG1000" s="79">
        <f>IF(Y1000="Order now",1,0)</f>
        <v/>
      </c>
      <c r="AH1000" s="79">
        <f>IF(OR(Y1000="⚠️ Order late — install at risk",Y1000="⚠️ Delivery after install date"),1,0)</f>
        <v/>
      </c>
      <c r="AI1000" s="79">
        <f>IF(AND(B1000&lt;&gt;"",K1000&lt;&gt;"",U1000&lt;&gt;"Yes",X1000&lt;&gt;"Yes"),1,0)</f>
        <v/>
      </c>
      <c r="AJ1000" s="79">
        <f>IF(Y1000="⚠️ Order late — install at risk",1,0)</f>
        <v/>
      </c>
    </row>
    <row r="1001" ht="20" customHeight="1">
      <c r="B1001" s="72" t="n"/>
      <c r="C1001" s="72" t="n"/>
      <c r="D1001" s="72" t="n"/>
      <c r="E1001" s="72" t="n"/>
      <c r="F1001" s="73" t="n"/>
      <c r="G1001" s="72" t="n"/>
      <c r="H1001" s="73" t="n"/>
      <c r="I1001" s="72" t="n"/>
      <c r="J1001" s="73" t="n"/>
      <c r="K1001" s="74" t="n"/>
      <c r="L1001" s="75">
        <f>IF(K1001="A",F1001,IF(K1001="B",H1001,IF(K1001="C",J1001,"")))</f>
        <v/>
      </c>
      <c r="M1001" s="72" t="n"/>
      <c r="N1001" s="72" t="n"/>
      <c r="O1001" s="89" t="n"/>
      <c r="P1001" s="89" t="n"/>
      <c r="Q1001" s="109" t="n"/>
      <c r="R1001" s="120">
        <f>IF(B1001="","",IF(Q1001&lt;&gt;"",Q1001,IF(P1001="","",IFERROR(INDEX('Timeline'!$J$7:$J$1006,MATCH(P1001,'Timeline'!$B$7:$B$1006,0)),""))))</f>
        <v/>
      </c>
      <c r="S1001" s="126">
        <f>IF(R1001="","",R1001-IF(O1001="",0,O1001)-OrderBuf)</f>
        <v/>
      </c>
      <c r="T1001" s="126">
        <f>IF(S1001="","",S1001-DecideBuf)</f>
        <v/>
      </c>
      <c r="U1001" s="74" t="n"/>
      <c r="V1001" s="109" t="n"/>
      <c r="W1001" s="109" t="n"/>
      <c r="X1001" s="74" t="n"/>
      <c r="Y1001" s="116">
        <f>IF(B1001="","",IF(X1001="Yes","Delivered",IF(U1001="Yes",IF(AND(W1001&lt;&gt;"",R1001&lt;&gt;""),IF(W1001&gt;R1001,"⚠️ Delivery after install date","Ordered"),"Ordered"),IF(K1001="",IF(T1001="","Waiting for decision",IF(T1001&lt;=AsOf+AlertDays,"Decide now","Waiting for decision")),IF(S1001="","Selected",IF(AsOf&gt;S1001,"⚠️ Order late — install at risk",IF(S1001&lt;=AsOf+AlertDays,"Order now","Selected")))))))</f>
        <v/>
      </c>
      <c r="Z1001" s="79">
        <f>IF(B1001="","",IF(OR(AH1001=1,AE1001=1),2,IF(OR(AG1001=1,AF1001=1),1,IF(OR(Y1001="Ordered",Y1001="Delivered"),0,""))))</f>
        <v/>
      </c>
      <c r="AA1001" s="112">
        <f>IF(B1001="","",IF(AH1001=1,IF(Y1001="⚠️ Delivery after install date",R1001,S1001),IF(AD1001=1,T1001,IF(AI1001=1,S1001,""))))</f>
        <v/>
      </c>
      <c r="AB1001" s="79">
        <f>IF(AA1001="","",IF(AH1001=1,1,IF(AA1001="","",IF(AA1001&lt;AsOf,1,IF(AA1001&lt;=AsOf+AlertDays,2,IF(AA1001&lt;=AsOf+2*AlertDays,3,""))))))</f>
        <v/>
      </c>
      <c r="AC1001" s="79">
        <f>IF(AB1001="","",IF(AH1001=1,IF(Y1001="⚠️ Delivery after install date","Delivery after install date: "&amp;B1001,"Order late — install at risk: "&amp;B1001),IF(AD1001=1,IF(AB1001=1,"Decision overdue: ","Decide: ")&amp;B1001,"Order: "&amp;B1001&amp;IF(N1001="",""," from "&amp;N1001))))</f>
        <v/>
      </c>
      <c r="AD1001" s="79">
        <f>IF(AND(B1001&lt;&gt;"",K1001="",U1001&lt;&gt;"Yes",X1001&lt;&gt;"Yes"),1,0)</f>
        <v/>
      </c>
      <c r="AE1001" s="79">
        <f>IF(AND(AD1001=1,T1001&lt;&gt;""),IF(T1001&lt;AsOf,1,0),0)</f>
        <v/>
      </c>
      <c r="AF1001" s="79">
        <f>IF(AND(AD1001=1,T1001&lt;&gt;""),IF(AND(T1001&gt;=AsOf,T1001&lt;=AsOf+AlertDays),1,0),0)</f>
        <v/>
      </c>
      <c r="AG1001" s="79">
        <f>IF(Y1001="Order now",1,0)</f>
        <v/>
      </c>
      <c r="AH1001" s="79">
        <f>IF(OR(Y1001="⚠️ Order late — install at risk",Y1001="⚠️ Delivery after install date"),1,0)</f>
        <v/>
      </c>
      <c r="AI1001" s="79">
        <f>IF(AND(B1001&lt;&gt;"",K1001&lt;&gt;"",U1001&lt;&gt;"Yes",X1001&lt;&gt;"Yes"),1,0)</f>
        <v/>
      </c>
      <c r="AJ1001" s="79">
        <f>IF(Y1001="⚠️ Order late — install at risk",1,0)</f>
        <v/>
      </c>
    </row>
    <row r="1002" ht="20" customHeight="1">
      <c r="B1002" s="72" t="n"/>
      <c r="C1002" s="72" t="n"/>
      <c r="D1002" s="72" t="n"/>
      <c r="E1002" s="72" t="n"/>
      <c r="F1002" s="73" t="n"/>
      <c r="G1002" s="72" t="n"/>
      <c r="H1002" s="73" t="n"/>
      <c r="I1002" s="72" t="n"/>
      <c r="J1002" s="73" t="n"/>
      <c r="K1002" s="74" t="n"/>
      <c r="L1002" s="75">
        <f>IF(K1002="A",F1002,IF(K1002="B",H1002,IF(K1002="C",J1002,"")))</f>
        <v/>
      </c>
      <c r="M1002" s="72" t="n"/>
      <c r="N1002" s="72" t="n"/>
      <c r="O1002" s="89" t="n"/>
      <c r="P1002" s="89" t="n"/>
      <c r="Q1002" s="109" t="n"/>
      <c r="R1002" s="120">
        <f>IF(B1002="","",IF(Q1002&lt;&gt;"",Q1002,IF(P1002="","",IFERROR(INDEX('Timeline'!$J$7:$J$1006,MATCH(P1002,'Timeline'!$B$7:$B$1006,0)),""))))</f>
        <v/>
      </c>
      <c r="S1002" s="126">
        <f>IF(R1002="","",R1002-IF(O1002="",0,O1002)-OrderBuf)</f>
        <v/>
      </c>
      <c r="T1002" s="126">
        <f>IF(S1002="","",S1002-DecideBuf)</f>
        <v/>
      </c>
      <c r="U1002" s="74" t="n"/>
      <c r="V1002" s="109" t="n"/>
      <c r="W1002" s="109" t="n"/>
      <c r="X1002" s="74" t="n"/>
      <c r="Y1002" s="116">
        <f>IF(B1002="","",IF(X1002="Yes","Delivered",IF(U1002="Yes",IF(AND(W1002&lt;&gt;"",R1002&lt;&gt;""),IF(W1002&gt;R1002,"⚠️ Delivery after install date","Ordered"),"Ordered"),IF(K1002="",IF(T1002="","Waiting for decision",IF(T1002&lt;=AsOf+AlertDays,"Decide now","Waiting for decision")),IF(S1002="","Selected",IF(AsOf&gt;S1002,"⚠️ Order late — install at risk",IF(S1002&lt;=AsOf+AlertDays,"Order now","Selected")))))))</f>
        <v/>
      </c>
      <c r="Z1002" s="79">
        <f>IF(B1002="","",IF(OR(AH1002=1,AE1002=1),2,IF(OR(AG1002=1,AF1002=1),1,IF(OR(Y1002="Ordered",Y1002="Delivered"),0,""))))</f>
        <v/>
      </c>
      <c r="AA1002" s="112">
        <f>IF(B1002="","",IF(AH1002=1,IF(Y1002="⚠️ Delivery after install date",R1002,S1002),IF(AD1002=1,T1002,IF(AI1002=1,S1002,""))))</f>
        <v/>
      </c>
      <c r="AB1002" s="79">
        <f>IF(AA1002="","",IF(AH1002=1,1,IF(AA1002="","",IF(AA1002&lt;AsOf,1,IF(AA1002&lt;=AsOf+AlertDays,2,IF(AA1002&lt;=AsOf+2*AlertDays,3,""))))))</f>
        <v/>
      </c>
      <c r="AC1002" s="79">
        <f>IF(AB1002="","",IF(AH1002=1,IF(Y1002="⚠️ Delivery after install date","Delivery after install date: "&amp;B1002,"Order late — install at risk: "&amp;B1002),IF(AD1002=1,IF(AB1002=1,"Decision overdue: ","Decide: ")&amp;B1002,"Order: "&amp;B1002&amp;IF(N1002="",""," from "&amp;N1002))))</f>
        <v/>
      </c>
      <c r="AD1002" s="79">
        <f>IF(AND(B1002&lt;&gt;"",K1002="",U1002&lt;&gt;"Yes",X1002&lt;&gt;"Yes"),1,0)</f>
        <v/>
      </c>
      <c r="AE1002" s="79">
        <f>IF(AND(AD1002=1,T1002&lt;&gt;""),IF(T1002&lt;AsOf,1,0),0)</f>
        <v/>
      </c>
      <c r="AF1002" s="79">
        <f>IF(AND(AD1002=1,T1002&lt;&gt;""),IF(AND(T1002&gt;=AsOf,T1002&lt;=AsOf+AlertDays),1,0),0)</f>
        <v/>
      </c>
      <c r="AG1002" s="79">
        <f>IF(Y1002="Order now",1,0)</f>
        <v/>
      </c>
      <c r="AH1002" s="79">
        <f>IF(OR(Y1002="⚠️ Order late — install at risk",Y1002="⚠️ Delivery after install date"),1,0)</f>
        <v/>
      </c>
      <c r="AI1002" s="79">
        <f>IF(AND(B1002&lt;&gt;"",K1002&lt;&gt;"",U1002&lt;&gt;"Yes",X1002&lt;&gt;"Yes"),1,0)</f>
        <v/>
      </c>
      <c r="AJ1002" s="79">
        <f>IF(Y1002="⚠️ Order late — install at risk",1,0)</f>
        <v/>
      </c>
    </row>
    <row r="1003" ht="20" customHeight="1">
      <c r="B1003" s="72" t="n"/>
      <c r="C1003" s="72" t="n"/>
      <c r="D1003" s="72" t="n"/>
      <c r="E1003" s="72" t="n"/>
      <c r="F1003" s="73" t="n"/>
      <c r="G1003" s="72" t="n"/>
      <c r="H1003" s="73" t="n"/>
      <c r="I1003" s="72" t="n"/>
      <c r="J1003" s="73" t="n"/>
      <c r="K1003" s="74" t="n"/>
      <c r="L1003" s="75">
        <f>IF(K1003="A",F1003,IF(K1003="B",H1003,IF(K1003="C",J1003,"")))</f>
        <v/>
      </c>
      <c r="M1003" s="72" t="n"/>
      <c r="N1003" s="72" t="n"/>
      <c r="O1003" s="89" t="n"/>
      <c r="P1003" s="89" t="n"/>
      <c r="Q1003" s="109" t="n"/>
      <c r="R1003" s="120">
        <f>IF(B1003="","",IF(Q1003&lt;&gt;"",Q1003,IF(P1003="","",IFERROR(INDEX('Timeline'!$J$7:$J$1006,MATCH(P1003,'Timeline'!$B$7:$B$1006,0)),""))))</f>
        <v/>
      </c>
      <c r="S1003" s="126">
        <f>IF(R1003="","",R1003-IF(O1003="",0,O1003)-OrderBuf)</f>
        <v/>
      </c>
      <c r="T1003" s="126">
        <f>IF(S1003="","",S1003-DecideBuf)</f>
        <v/>
      </c>
      <c r="U1003" s="74" t="n"/>
      <c r="V1003" s="109" t="n"/>
      <c r="W1003" s="109" t="n"/>
      <c r="X1003" s="74" t="n"/>
      <c r="Y1003" s="116">
        <f>IF(B1003="","",IF(X1003="Yes","Delivered",IF(U1003="Yes",IF(AND(W1003&lt;&gt;"",R1003&lt;&gt;""),IF(W1003&gt;R1003,"⚠️ Delivery after install date","Ordered"),"Ordered"),IF(K1003="",IF(T1003="","Waiting for decision",IF(T1003&lt;=AsOf+AlertDays,"Decide now","Waiting for decision")),IF(S1003="","Selected",IF(AsOf&gt;S1003,"⚠️ Order late — install at risk",IF(S1003&lt;=AsOf+AlertDays,"Order now","Selected")))))))</f>
        <v/>
      </c>
      <c r="Z1003" s="79">
        <f>IF(B1003="","",IF(OR(AH1003=1,AE1003=1),2,IF(OR(AG1003=1,AF1003=1),1,IF(OR(Y1003="Ordered",Y1003="Delivered"),0,""))))</f>
        <v/>
      </c>
      <c r="AA1003" s="112">
        <f>IF(B1003="","",IF(AH1003=1,IF(Y1003="⚠️ Delivery after install date",R1003,S1003),IF(AD1003=1,T1003,IF(AI1003=1,S1003,""))))</f>
        <v/>
      </c>
      <c r="AB1003" s="79">
        <f>IF(AA1003="","",IF(AH1003=1,1,IF(AA1003="","",IF(AA1003&lt;AsOf,1,IF(AA1003&lt;=AsOf+AlertDays,2,IF(AA1003&lt;=AsOf+2*AlertDays,3,""))))))</f>
        <v/>
      </c>
      <c r="AC1003" s="79">
        <f>IF(AB1003="","",IF(AH1003=1,IF(Y1003="⚠️ Delivery after install date","Delivery after install date: "&amp;B1003,"Order late — install at risk: "&amp;B1003),IF(AD1003=1,IF(AB1003=1,"Decision overdue: ","Decide: ")&amp;B1003,"Order: "&amp;B1003&amp;IF(N1003="",""," from "&amp;N1003))))</f>
        <v/>
      </c>
      <c r="AD1003" s="79">
        <f>IF(AND(B1003&lt;&gt;"",K1003="",U1003&lt;&gt;"Yes",X1003&lt;&gt;"Yes"),1,0)</f>
        <v/>
      </c>
      <c r="AE1003" s="79">
        <f>IF(AND(AD1003=1,T1003&lt;&gt;""),IF(T1003&lt;AsOf,1,0),0)</f>
        <v/>
      </c>
      <c r="AF1003" s="79">
        <f>IF(AND(AD1003=1,T1003&lt;&gt;""),IF(AND(T1003&gt;=AsOf,T1003&lt;=AsOf+AlertDays),1,0),0)</f>
        <v/>
      </c>
      <c r="AG1003" s="79">
        <f>IF(Y1003="Order now",1,0)</f>
        <v/>
      </c>
      <c r="AH1003" s="79">
        <f>IF(OR(Y1003="⚠️ Order late — install at risk",Y1003="⚠️ Delivery after install date"),1,0)</f>
        <v/>
      </c>
      <c r="AI1003" s="79">
        <f>IF(AND(B1003&lt;&gt;"",K1003&lt;&gt;"",U1003&lt;&gt;"Yes",X1003&lt;&gt;"Yes"),1,0)</f>
        <v/>
      </c>
      <c r="AJ1003" s="79">
        <f>IF(Y1003="⚠️ Order late — install at risk",1,0)</f>
        <v/>
      </c>
    </row>
    <row r="1004" ht="20" customHeight="1">
      <c r="B1004" s="72" t="n"/>
      <c r="C1004" s="72" t="n"/>
      <c r="D1004" s="72" t="n"/>
      <c r="E1004" s="72" t="n"/>
      <c r="F1004" s="73" t="n"/>
      <c r="G1004" s="72" t="n"/>
      <c r="H1004" s="73" t="n"/>
      <c r="I1004" s="72" t="n"/>
      <c r="J1004" s="73" t="n"/>
      <c r="K1004" s="74" t="n"/>
      <c r="L1004" s="75">
        <f>IF(K1004="A",F1004,IF(K1004="B",H1004,IF(K1004="C",J1004,"")))</f>
        <v/>
      </c>
      <c r="M1004" s="72" t="n"/>
      <c r="N1004" s="72" t="n"/>
      <c r="O1004" s="89" t="n"/>
      <c r="P1004" s="89" t="n"/>
      <c r="Q1004" s="109" t="n"/>
      <c r="R1004" s="120">
        <f>IF(B1004="","",IF(Q1004&lt;&gt;"",Q1004,IF(P1004="","",IFERROR(INDEX('Timeline'!$J$7:$J$1006,MATCH(P1004,'Timeline'!$B$7:$B$1006,0)),""))))</f>
        <v/>
      </c>
      <c r="S1004" s="126">
        <f>IF(R1004="","",R1004-IF(O1004="",0,O1004)-OrderBuf)</f>
        <v/>
      </c>
      <c r="T1004" s="126">
        <f>IF(S1004="","",S1004-DecideBuf)</f>
        <v/>
      </c>
      <c r="U1004" s="74" t="n"/>
      <c r="V1004" s="109" t="n"/>
      <c r="W1004" s="109" t="n"/>
      <c r="X1004" s="74" t="n"/>
      <c r="Y1004" s="116">
        <f>IF(B1004="","",IF(X1004="Yes","Delivered",IF(U1004="Yes",IF(AND(W1004&lt;&gt;"",R1004&lt;&gt;""),IF(W1004&gt;R1004,"⚠️ Delivery after install date","Ordered"),"Ordered"),IF(K1004="",IF(T1004="","Waiting for decision",IF(T1004&lt;=AsOf+AlertDays,"Decide now","Waiting for decision")),IF(S1004="","Selected",IF(AsOf&gt;S1004,"⚠️ Order late — install at risk",IF(S1004&lt;=AsOf+AlertDays,"Order now","Selected")))))))</f>
        <v/>
      </c>
      <c r="Z1004" s="79">
        <f>IF(B1004="","",IF(OR(AH1004=1,AE1004=1),2,IF(OR(AG1004=1,AF1004=1),1,IF(OR(Y1004="Ordered",Y1004="Delivered"),0,""))))</f>
        <v/>
      </c>
      <c r="AA1004" s="112">
        <f>IF(B1004="","",IF(AH1004=1,IF(Y1004="⚠️ Delivery after install date",R1004,S1004),IF(AD1004=1,T1004,IF(AI1004=1,S1004,""))))</f>
        <v/>
      </c>
      <c r="AB1004" s="79">
        <f>IF(AA1004="","",IF(AH1004=1,1,IF(AA1004="","",IF(AA1004&lt;AsOf,1,IF(AA1004&lt;=AsOf+AlertDays,2,IF(AA1004&lt;=AsOf+2*AlertDays,3,""))))))</f>
        <v/>
      </c>
      <c r="AC1004" s="79">
        <f>IF(AB1004="","",IF(AH1004=1,IF(Y1004="⚠️ Delivery after install date","Delivery after install date: "&amp;B1004,"Order late — install at risk: "&amp;B1004),IF(AD1004=1,IF(AB1004=1,"Decision overdue: ","Decide: ")&amp;B1004,"Order: "&amp;B1004&amp;IF(N1004="",""," from "&amp;N1004))))</f>
        <v/>
      </c>
      <c r="AD1004" s="79">
        <f>IF(AND(B1004&lt;&gt;"",K1004="",U1004&lt;&gt;"Yes",X1004&lt;&gt;"Yes"),1,0)</f>
        <v/>
      </c>
      <c r="AE1004" s="79">
        <f>IF(AND(AD1004=1,T1004&lt;&gt;""),IF(T1004&lt;AsOf,1,0),0)</f>
        <v/>
      </c>
      <c r="AF1004" s="79">
        <f>IF(AND(AD1004=1,T1004&lt;&gt;""),IF(AND(T1004&gt;=AsOf,T1004&lt;=AsOf+AlertDays),1,0),0)</f>
        <v/>
      </c>
      <c r="AG1004" s="79">
        <f>IF(Y1004="Order now",1,0)</f>
        <v/>
      </c>
      <c r="AH1004" s="79">
        <f>IF(OR(Y1004="⚠️ Order late — install at risk",Y1004="⚠️ Delivery after install date"),1,0)</f>
        <v/>
      </c>
      <c r="AI1004" s="79">
        <f>IF(AND(B1004&lt;&gt;"",K1004&lt;&gt;"",U1004&lt;&gt;"Yes",X1004&lt;&gt;"Yes"),1,0)</f>
        <v/>
      </c>
      <c r="AJ1004" s="79">
        <f>IF(Y1004="⚠️ Order late — install at risk",1,0)</f>
        <v/>
      </c>
    </row>
    <row r="1005" ht="20" customHeight="1">
      <c r="B1005" s="72" t="n"/>
      <c r="C1005" s="72" t="n"/>
      <c r="D1005" s="72" t="n"/>
      <c r="E1005" s="72" t="n"/>
      <c r="F1005" s="73" t="n"/>
      <c r="G1005" s="72" t="n"/>
      <c r="H1005" s="73" t="n"/>
      <c r="I1005" s="72" t="n"/>
      <c r="J1005" s="73" t="n"/>
      <c r="K1005" s="74" t="n"/>
      <c r="L1005" s="75">
        <f>IF(K1005="A",F1005,IF(K1005="B",H1005,IF(K1005="C",J1005,"")))</f>
        <v/>
      </c>
      <c r="M1005" s="72" t="n"/>
      <c r="N1005" s="72" t="n"/>
      <c r="O1005" s="89" t="n"/>
      <c r="P1005" s="89" t="n"/>
      <c r="Q1005" s="109" t="n"/>
      <c r="R1005" s="120">
        <f>IF(B1005="","",IF(Q1005&lt;&gt;"",Q1005,IF(P1005="","",IFERROR(INDEX('Timeline'!$J$7:$J$1006,MATCH(P1005,'Timeline'!$B$7:$B$1006,0)),""))))</f>
        <v/>
      </c>
      <c r="S1005" s="126">
        <f>IF(R1005="","",R1005-IF(O1005="",0,O1005)-OrderBuf)</f>
        <v/>
      </c>
      <c r="T1005" s="126">
        <f>IF(S1005="","",S1005-DecideBuf)</f>
        <v/>
      </c>
      <c r="U1005" s="74" t="n"/>
      <c r="V1005" s="109" t="n"/>
      <c r="W1005" s="109" t="n"/>
      <c r="X1005" s="74" t="n"/>
      <c r="Y1005" s="116">
        <f>IF(B1005="","",IF(X1005="Yes","Delivered",IF(U1005="Yes",IF(AND(W1005&lt;&gt;"",R1005&lt;&gt;""),IF(W1005&gt;R1005,"⚠️ Delivery after install date","Ordered"),"Ordered"),IF(K1005="",IF(T1005="","Waiting for decision",IF(T1005&lt;=AsOf+AlertDays,"Decide now","Waiting for decision")),IF(S1005="","Selected",IF(AsOf&gt;S1005,"⚠️ Order late — install at risk",IF(S1005&lt;=AsOf+AlertDays,"Order now","Selected")))))))</f>
        <v/>
      </c>
      <c r="Z1005" s="79">
        <f>IF(B1005="","",IF(OR(AH1005=1,AE1005=1),2,IF(OR(AG1005=1,AF1005=1),1,IF(OR(Y1005="Ordered",Y1005="Delivered"),0,""))))</f>
        <v/>
      </c>
      <c r="AA1005" s="112">
        <f>IF(B1005="","",IF(AH1005=1,IF(Y1005="⚠️ Delivery after install date",R1005,S1005),IF(AD1005=1,T1005,IF(AI1005=1,S1005,""))))</f>
        <v/>
      </c>
      <c r="AB1005" s="79">
        <f>IF(AA1005="","",IF(AH1005=1,1,IF(AA1005="","",IF(AA1005&lt;AsOf,1,IF(AA1005&lt;=AsOf+AlertDays,2,IF(AA1005&lt;=AsOf+2*AlertDays,3,""))))))</f>
        <v/>
      </c>
      <c r="AC1005" s="79">
        <f>IF(AB1005="","",IF(AH1005=1,IF(Y1005="⚠️ Delivery after install date","Delivery after install date: "&amp;B1005,"Order late — install at risk: "&amp;B1005),IF(AD1005=1,IF(AB1005=1,"Decision overdue: ","Decide: ")&amp;B1005,"Order: "&amp;B1005&amp;IF(N1005="",""," from "&amp;N1005))))</f>
        <v/>
      </c>
      <c r="AD1005" s="79">
        <f>IF(AND(B1005&lt;&gt;"",K1005="",U1005&lt;&gt;"Yes",X1005&lt;&gt;"Yes"),1,0)</f>
        <v/>
      </c>
      <c r="AE1005" s="79">
        <f>IF(AND(AD1005=1,T1005&lt;&gt;""),IF(T1005&lt;AsOf,1,0),0)</f>
        <v/>
      </c>
      <c r="AF1005" s="79">
        <f>IF(AND(AD1005=1,T1005&lt;&gt;""),IF(AND(T1005&gt;=AsOf,T1005&lt;=AsOf+AlertDays),1,0),0)</f>
        <v/>
      </c>
      <c r="AG1005" s="79">
        <f>IF(Y1005="Order now",1,0)</f>
        <v/>
      </c>
      <c r="AH1005" s="79">
        <f>IF(OR(Y1005="⚠️ Order late — install at risk",Y1005="⚠️ Delivery after install date"),1,0)</f>
        <v/>
      </c>
      <c r="AI1005" s="79">
        <f>IF(AND(B1005&lt;&gt;"",K1005&lt;&gt;"",U1005&lt;&gt;"Yes",X1005&lt;&gt;"Yes"),1,0)</f>
        <v/>
      </c>
      <c r="AJ1005" s="79">
        <f>IF(Y1005="⚠️ Order late — install at risk",1,0)</f>
        <v/>
      </c>
    </row>
    <row r="1006" ht="20" customHeight="1">
      <c r="B1006" s="72" t="n"/>
      <c r="C1006" s="72" t="n"/>
      <c r="D1006" s="72" t="n"/>
      <c r="E1006" s="72" t="n"/>
      <c r="F1006" s="73" t="n"/>
      <c r="G1006" s="72" t="n"/>
      <c r="H1006" s="73" t="n"/>
      <c r="I1006" s="72" t="n"/>
      <c r="J1006" s="73" t="n"/>
      <c r="K1006" s="74" t="n"/>
      <c r="L1006" s="75">
        <f>IF(K1006="A",F1006,IF(K1006="B",H1006,IF(K1006="C",J1006,"")))</f>
        <v/>
      </c>
      <c r="M1006" s="72" t="n"/>
      <c r="N1006" s="72" t="n"/>
      <c r="O1006" s="89" t="n"/>
      <c r="P1006" s="89" t="n"/>
      <c r="Q1006" s="109" t="n"/>
      <c r="R1006" s="120">
        <f>IF(B1006="","",IF(Q1006&lt;&gt;"",Q1006,IF(P1006="","",IFERROR(INDEX('Timeline'!$J$7:$J$1006,MATCH(P1006,'Timeline'!$B$7:$B$1006,0)),""))))</f>
        <v/>
      </c>
      <c r="S1006" s="126">
        <f>IF(R1006="","",R1006-IF(O1006="",0,O1006)-OrderBuf)</f>
        <v/>
      </c>
      <c r="T1006" s="126">
        <f>IF(S1006="","",S1006-DecideBuf)</f>
        <v/>
      </c>
      <c r="U1006" s="74" t="n"/>
      <c r="V1006" s="109" t="n"/>
      <c r="W1006" s="109" t="n"/>
      <c r="X1006" s="74" t="n"/>
      <c r="Y1006" s="116">
        <f>IF(B1006="","",IF(X1006="Yes","Delivered",IF(U1006="Yes",IF(AND(W1006&lt;&gt;"",R1006&lt;&gt;""),IF(W1006&gt;R1006,"⚠️ Delivery after install date","Ordered"),"Ordered"),IF(K1006="",IF(T1006="","Waiting for decision",IF(T1006&lt;=AsOf+AlertDays,"Decide now","Waiting for decision")),IF(S1006="","Selected",IF(AsOf&gt;S1006,"⚠️ Order late — install at risk",IF(S1006&lt;=AsOf+AlertDays,"Order now","Selected")))))))</f>
        <v/>
      </c>
      <c r="Z1006" s="79">
        <f>IF(B1006="","",IF(OR(AH1006=1,AE1006=1),2,IF(OR(AG1006=1,AF1006=1),1,IF(OR(Y1006="Ordered",Y1006="Delivered"),0,""))))</f>
        <v/>
      </c>
      <c r="AA1006" s="112">
        <f>IF(B1006="","",IF(AH1006=1,IF(Y1006="⚠️ Delivery after install date",R1006,S1006),IF(AD1006=1,T1006,IF(AI1006=1,S1006,""))))</f>
        <v/>
      </c>
      <c r="AB1006" s="79">
        <f>IF(AA1006="","",IF(AH1006=1,1,IF(AA1006="","",IF(AA1006&lt;AsOf,1,IF(AA1006&lt;=AsOf+AlertDays,2,IF(AA1006&lt;=AsOf+2*AlertDays,3,""))))))</f>
        <v/>
      </c>
      <c r="AC1006" s="79">
        <f>IF(AB1006="","",IF(AH1006=1,IF(Y1006="⚠️ Delivery after install date","Delivery after install date: "&amp;B1006,"Order late — install at risk: "&amp;B1006),IF(AD1006=1,IF(AB1006=1,"Decision overdue: ","Decide: ")&amp;B1006,"Order: "&amp;B1006&amp;IF(N1006="",""," from "&amp;N1006))))</f>
        <v/>
      </c>
      <c r="AD1006" s="79">
        <f>IF(AND(B1006&lt;&gt;"",K1006="",U1006&lt;&gt;"Yes",X1006&lt;&gt;"Yes"),1,0)</f>
        <v/>
      </c>
      <c r="AE1006" s="79">
        <f>IF(AND(AD1006=1,T1006&lt;&gt;""),IF(T1006&lt;AsOf,1,0),0)</f>
        <v/>
      </c>
      <c r="AF1006" s="79">
        <f>IF(AND(AD1006=1,T1006&lt;&gt;""),IF(AND(T1006&gt;=AsOf,T1006&lt;=AsOf+AlertDays),1,0),0)</f>
        <v/>
      </c>
      <c r="AG1006" s="79">
        <f>IF(Y1006="Order now",1,0)</f>
        <v/>
      </c>
      <c r="AH1006" s="79">
        <f>IF(OR(Y1006="⚠️ Order late — install at risk",Y1006="⚠️ Delivery after install date"),1,0)</f>
        <v/>
      </c>
      <c r="AI1006" s="79">
        <f>IF(AND(B1006&lt;&gt;"",K1006&lt;&gt;"",U1006&lt;&gt;"Yes",X1006&lt;&gt;"Yes"),1,0)</f>
        <v/>
      </c>
      <c r="AJ1006" s="79">
        <f>IF(Y1006="⚠️ Order late — install at risk",1,0)</f>
        <v/>
      </c>
    </row>
    <row r="1007" ht="20" customHeight="1">
      <c r="B1007" s="72" t="n"/>
      <c r="C1007" s="72" t="n"/>
      <c r="D1007" s="72" t="n"/>
      <c r="E1007" s="72" t="n"/>
      <c r="F1007" s="73" t="n"/>
      <c r="G1007" s="72" t="n"/>
      <c r="H1007" s="73" t="n"/>
      <c r="I1007" s="72" t="n"/>
      <c r="J1007" s="73" t="n"/>
      <c r="K1007" s="74" t="n"/>
      <c r="L1007" s="75">
        <f>IF(K1007="A",F1007,IF(K1007="B",H1007,IF(K1007="C",J1007,"")))</f>
        <v/>
      </c>
      <c r="M1007" s="72" t="n"/>
      <c r="N1007" s="72" t="n"/>
      <c r="O1007" s="89" t="n"/>
      <c r="P1007" s="89" t="n"/>
      <c r="Q1007" s="109" t="n"/>
      <c r="R1007" s="120">
        <f>IF(B1007="","",IF(Q1007&lt;&gt;"",Q1007,IF(P1007="","",IFERROR(INDEX('Timeline'!$J$7:$J$1006,MATCH(P1007,'Timeline'!$B$7:$B$1006,0)),""))))</f>
        <v/>
      </c>
      <c r="S1007" s="126">
        <f>IF(R1007="","",R1007-IF(O1007="",0,O1007)-OrderBuf)</f>
        <v/>
      </c>
      <c r="T1007" s="126">
        <f>IF(S1007="","",S1007-DecideBuf)</f>
        <v/>
      </c>
      <c r="U1007" s="74" t="n"/>
      <c r="V1007" s="109" t="n"/>
      <c r="W1007" s="109" t="n"/>
      <c r="X1007" s="74" t="n"/>
      <c r="Y1007" s="116">
        <f>IF(B1007="","",IF(X1007="Yes","Delivered",IF(U1007="Yes",IF(AND(W1007&lt;&gt;"",R1007&lt;&gt;""),IF(W1007&gt;R1007,"⚠️ Delivery after install date","Ordered"),"Ordered"),IF(K1007="",IF(T1007="","Waiting for decision",IF(T1007&lt;=AsOf+AlertDays,"Decide now","Waiting for decision")),IF(S1007="","Selected",IF(AsOf&gt;S1007,"⚠️ Order late — install at risk",IF(S1007&lt;=AsOf+AlertDays,"Order now","Selected")))))))</f>
        <v/>
      </c>
      <c r="Z1007" s="79">
        <f>IF(B1007="","",IF(OR(AH1007=1,AE1007=1),2,IF(OR(AG1007=1,AF1007=1),1,IF(OR(Y1007="Ordered",Y1007="Delivered"),0,""))))</f>
        <v/>
      </c>
      <c r="AA1007" s="112">
        <f>IF(B1007="","",IF(AH1007=1,IF(Y1007="⚠️ Delivery after install date",R1007,S1007),IF(AD1007=1,T1007,IF(AI1007=1,S1007,""))))</f>
        <v/>
      </c>
      <c r="AB1007" s="79">
        <f>IF(AA1007="","",IF(AH1007=1,1,IF(AA1007="","",IF(AA1007&lt;AsOf,1,IF(AA1007&lt;=AsOf+AlertDays,2,IF(AA1007&lt;=AsOf+2*AlertDays,3,""))))))</f>
        <v/>
      </c>
      <c r="AC1007" s="79">
        <f>IF(AB1007="","",IF(AH1007=1,IF(Y1007="⚠️ Delivery after install date","Delivery after install date: "&amp;B1007,"Order late — install at risk: "&amp;B1007),IF(AD1007=1,IF(AB1007=1,"Decision overdue: ","Decide: ")&amp;B1007,"Order: "&amp;B1007&amp;IF(N1007="",""," from "&amp;N1007))))</f>
        <v/>
      </c>
      <c r="AD1007" s="79">
        <f>IF(AND(B1007&lt;&gt;"",K1007="",U1007&lt;&gt;"Yes",X1007&lt;&gt;"Yes"),1,0)</f>
        <v/>
      </c>
      <c r="AE1007" s="79">
        <f>IF(AND(AD1007=1,T1007&lt;&gt;""),IF(T1007&lt;AsOf,1,0),0)</f>
        <v/>
      </c>
      <c r="AF1007" s="79">
        <f>IF(AND(AD1007=1,T1007&lt;&gt;""),IF(AND(T1007&gt;=AsOf,T1007&lt;=AsOf+AlertDays),1,0),0)</f>
        <v/>
      </c>
      <c r="AG1007" s="79">
        <f>IF(Y1007="Order now",1,0)</f>
        <v/>
      </c>
      <c r="AH1007" s="79">
        <f>IF(OR(Y1007="⚠️ Order late — install at risk",Y1007="⚠️ Delivery after install date"),1,0)</f>
        <v/>
      </c>
      <c r="AI1007" s="79">
        <f>IF(AND(B1007&lt;&gt;"",K1007&lt;&gt;"",U1007&lt;&gt;"Yes",X1007&lt;&gt;"Yes"),1,0)</f>
        <v/>
      </c>
      <c r="AJ1007" s="79">
        <f>IF(Y1007="⚠️ Order late — install at risk",1,0)</f>
        <v/>
      </c>
    </row>
  </sheetData>
  <sheetProtection selectLockedCells="1" selectUnlockedCells="0" sheet="1" objects="0" insertRows="1" insertHyperlinks="1" autoFilter="1" scenarios="0" formatColumns="0" deleteColumns="1" insertColumns="1" pivotTables="1" deleteRows="1" formatCells="1" formatRows="0" sort="1" password="CD61"/>
  <mergeCells count="8">
    <mergeCell ref="P5:R5"/>
    <mergeCell ref="E5:G5"/>
    <mergeCell ref="B5:C5"/>
    <mergeCell ref="J4:M4"/>
    <mergeCell ref="E4:G4"/>
    <mergeCell ref="P4:R4"/>
    <mergeCell ref="J5:M5"/>
    <mergeCell ref="B4:C4"/>
  </mergeCells>
  <conditionalFormatting sqref="Y8:Y1007">
    <cfRule type="expression" priority="1" dxfId="0" stopIfTrue="0">
      <formula>$Z8=2</formula>
    </cfRule>
    <cfRule type="expression" priority="2" dxfId="2" stopIfTrue="0">
      <formula>$Z8=1</formula>
    </cfRule>
    <cfRule type="expression" priority="3" dxfId="3" stopIfTrue="0">
      <formula>$Z8=0</formula>
    </cfRule>
  </conditionalFormatting>
  <conditionalFormatting sqref="S8:S1007">
    <cfRule type="expression" priority="4" dxfId="0" stopIfTrue="0">
      <formula>AND(S8&lt;&gt;"",$Z8=2)</formula>
    </cfRule>
  </conditionalFormatting>
  <conditionalFormatting sqref="T8:T1007">
    <cfRule type="expression" priority="5" dxfId="0" stopIfTrue="0">
      <formula>AND(T8&lt;&gt;"",$Z8=2)</formula>
    </cfRule>
  </conditionalFormatting>
  <conditionalFormatting sqref="B5">
    <cfRule type="expression" priority="6" dxfId="2" stopIfTrue="0">
      <formula>B5&gt;0</formula>
    </cfRule>
  </conditionalFormatting>
  <conditionalFormatting sqref="E5">
    <cfRule type="expression" priority="7" dxfId="2" stopIfTrue="0">
      <formula>E5&gt;0</formula>
    </cfRule>
  </conditionalFormatting>
  <conditionalFormatting sqref="J5">
    <cfRule type="expression" priority="8" dxfId="0" stopIfTrue="0">
      <formula>J5&gt;0</formula>
    </cfRule>
  </conditionalFormatting>
  <conditionalFormatting sqref="P5">
    <cfRule type="expression" priority="9" dxfId="0" stopIfTrue="0">
      <formula>P5&gt;0</formula>
    </cfRule>
  </conditionalFormatting>
  <dataValidations count="4">
    <dataValidation sqref="C8:C1007" showDropDown="0" showInputMessage="0" showErrorMessage="1" allowBlank="1" errorTitle="Renovation OS" error="Please pick a value from the dropdown list." type="list">
      <formula1>='Lists'!$W$2:$W$12</formula1>
    </dataValidation>
    <dataValidation sqref="D8:D1007" showDropDown="0" showInputMessage="0" showErrorMessage="1" allowBlank="1" errorTitle="Renovation OS" error="Please pick a value from the dropdown list." type="list">
      <formula1>='Lists'!$V$2:$V$51</formula1>
    </dataValidation>
    <dataValidation sqref="K8:K1007" showDropDown="0" showInputMessage="0" showErrorMessage="1" allowBlank="1" errorTitle="Renovation OS" error="Please pick a value from the dropdown list." type="list">
      <formula1>='Lists'!$N$2:$N$4</formula1>
    </dataValidation>
    <dataValidation sqref="U8:U1007 X8:X1007" showDropDown="0" showInputMessage="0" showErrorMessage="1" allowBlank="1" errorTitle="Renovation OS" error="Please pick a value from the dropdown list." type="list">
      <formula1>='Lists'!$A$2:$A$3</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E07B00"/>
    <outlinePr summaryBelow="1" summaryRight="1"/>
    <pageSetUpPr/>
  </sheetPr>
  <dimension ref="A1:V1007"/>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2.5" customWidth="1" min="1" max="1"/>
    <col width="5" customWidth="1" min="2" max="2"/>
    <col width="11" customWidth="1" min="3" max="3"/>
    <col width="12" customWidth="1" min="4" max="4"/>
    <col width="14" customWidth="1" min="5" max="5"/>
    <col width="34" customWidth="1" min="6" max="6"/>
    <col width="20" customWidth="1" min="7" max="7"/>
    <col width="10" customWidth="1" min="8" max="8"/>
    <col width="12" customWidth="1" min="9" max="9"/>
    <col width="26" customWidth="1" min="10" max="10"/>
    <col width="12" customWidth="1" min="11" max="11"/>
    <col width="12"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s>
  <sheetData>
    <row r="1" ht="36" customHeight="1">
      <c r="B1" s="1" t="inlineStr">
        <is>
          <t>🛠️ Issues &amp; Punch List</t>
        </is>
      </c>
    </row>
    <row r="2" ht="20" customHeight="1">
      <c r="B2" s="2" t="inlineStr">
        <is>
          <t>What this tab does: every problem found on site and every snag for the final punch list — with who fixes it, by when, and what it may cost.</t>
        </is>
      </c>
    </row>
    <row r="3">
      <c r="B3" s="3" t="inlineStr">
        <is>
          <t>© 2026 Hang Nguyen — Renovation OS. Licensed to the original purchaser for personal use only. Do not share, copy, resell or redistribute.</t>
        </is>
      </c>
    </row>
    <row r="4">
      <c r="B4" s="27" t="inlineStr">
        <is>
          <t>Open — High</t>
        </is>
      </c>
      <c r="D4" s="27" t="inlineStr">
        <is>
          <t>Open — Medium</t>
        </is>
      </c>
      <c r="F4" s="27" t="inlineStr">
        <is>
          <t>Open — Low</t>
        </is>
      </c>
      <c r="G4" s="27" t="inlineStr">
        <is>
          <t>Open punch items</t>
        </is>
      </c>
      <c r="I4" s="69">
        <f>"Est. cost of open issues ("&amp;CurSym&amp;")"</f>
        <v/>
      </c>
    </row>
    <row r="5" ht="30" customHeight="1">
      <c r="B5" s="142">
        <f>COUNTIFS($O$8:$O$1007,1,$H$8:$H$1007,"High")</f>
        <v/>
      </c>
      <c r="D5" s="142">
        <f>COUNTIFS($O$8:$O$1007,1,$H$8:$H$1007,"Medium")</f>
        <v/>
      </c>
      <c r="F5" s="142">
        <f>COUNTIFS($O$8:$O$1007,1,$H$8:$H$1007,"Low")</f>
        <v/>
      </c>
      <c r="G5" s="142">
        <f>SUM($V$8:$V$1007)</f>
        <v/>
      </c>
      <c r="I5" s="143">
        <f>IssuesOpenCost</f>
        <v/>
      </c>
    </row>
    <row r="6"/>
    <row r="7" ht="32" customHeight="1">
      <c r="B7" s="52" t="inlineStr">
        <is>
          <t>#</t>
        </is>
      </c>
      <c r="C7" s="52" t="inlineStr">
        <is>
          <t>Type</t>
        </is>
      </c>
      <c r="D7" s="52" t="inlineStr">
        <is>
          <t>Date found</t>
        </is>
      </c>
      <c r="E7" s="52" t="inlineStr">
        <is>
          <t>Room</t>
        </is>
      </c>
      <c r="F7" s="52" t="inlineStr">
        <is>
          <t>Description</t>
        </is>
      </c>
      <c r="G7" s="52" t="inlineStr">
        <is>
          <t>Responsible</t>
        </is>
      </c>
      <c r="H7" s="52" t="inlineStr">
        <is>
          <t>Severity</t>
        </is>
      </c>
      <c r="I7" s="70">
        <f>"Estimated cost ("&amp;CurSym&amp;")"</f>
        <v/>
      </c>
      <c r="J7" s="52" t="inlineStr">
        <is>
          <t>Next action</t>
        </is>
      </c>
      <c r="K7" s="52" t="inlineStr">
        <is>
          <t>Action date</t>
        </is>
      </c>
      <c r="L7" s="52" t="inlineStr">
        <is>
          <t>Status</t>
        </is>
      </c>
      <c r="M7" s="52" t="inlineStr">
        <is>
          <t>Resolved date</t>
        </is>
      </c>
      <c r="N7" s="52" t="inlineStr">
        <is>
          <t>Photo link</t>
        </is>
      </c>
      <c r="O7" s="71" t="inlineStr">
        <is>
          <t>open</t>
        </is>
      </c>
      <c r="P7" s="71" t="inlineStr">
        <is>
          <t>lvl</t>
        </is>
      </c>
      <c r="Q7" s="71" t="inlineStr">
        <is>
          <t>due</t>
        </is>
      </c>
      <c r="R7" s="71" t="inlineStr">
        <is>
          <t>pri</t>
        </is>
      </c>
      <c r="S7" s="71" t="inlineStr">
        <is>
          <t>text</t>
        </is>
      </c>
      <c r="T7" s="71" t="inlineStr">
        <is>
          <t>open_cost</t>
        </is>
      </c>
      <c r="U7" s="71" t="inlineStr">
        <is>
          <t>open_high</t>
        </is>
      </c>
      <c r="V7" s="71" t="inlineStr">
        <is>
          <t>open_punch</t>
        </is>
      </c>
    </row>
    <row r="8" ht="24" customHeight="1">
      <c r="B8" s="125" t="n">
        <v>1</v>
      </c>
      <c r="C8" s="72" t="inlineStr">
        <is>
          <t>Issue</t>
        </is>
      </c>
      <c r="D8" s="109" t="n">
        <v>46156</v>
      </c>
      <c r="E8" s="72" t="inlineStr">
        <is>
          <t>Living room</t>
        </is>
      </c>
      <c r="F8" s="113" t="inlineStr">
        <is>
          <t>Rotten joist found under living room floor</t>
        </is>
      </c>
      <c r="G8" s="72" t="inlineStr">
        <is>
          <t>Solid Structures Ltd</t>
        </is>
      </c>
      <c r="H8" s="74" t="inlineStr">
        <is>
          <t>High</t>
        </is>
      </c>
      <c r="I8" s="73" t="n">
        <v>1800</v>
      </c>
      <c r="J8" s="113" t="inlineStr">
        <is>
          <t>Engineer to confirm repair method</t>
        </is>
      </c>
      <c r="K8" s="109" t="n">
        <v>46185</v>
      </c>
      <c r="L8" s="72" t="inlineStr">
        <is>
          <t>Open</t>
        </is>
      </c>
      <c r="M8" s="109" t="n"/>
      <c r="N8" s="72" t="n"/>
      <c r="O8" s="79">
        <f>IF(AND(F8&lt;&gt;"",L8&lt;&gt;"Resolved"),1,0)</f>
        <v/>
      </c>
      <c r="P8" s="79">
        <f>IF(F8="","",IF(O8=0,0,IF(H8="High",2,1)))</f>
        <v/>
      </c>
      <c r="Q8" s="112">
        <f>IF(O8=1,IF(K8&lt;&gt;"",K8,IF(H8="High",AsOf,"")),"")</f>
        <v/>
      </c>
      <c r="R8" s="79">
        <f>IF(Q8="","",IF(H8="High",1,IF(Q8="","",IF(Q8&lt;AsOf,1,IF(Q8&lt;=AsOf+AlertDays,2,IF(Q8&lt;=AsOf+2*AlertDays,3,""))))))</f>
        <v/>
      </c>
      <c r="S8" s="79">
        <f>IF(R8="","",IF(H8="High","High-severity issue: ",IF(C8="Punch item","Punch item: ","Issue action due: "))&amp;F8&amp;IF(J8="",""," → "&amp;J8))</f>
        <v/>
      </c>
      <c r="T8" s="79">
        <f>IF(O8=1,IF(I8="",0,I8),0)</f>
        <v/>
      </c>
      <c r="U8" s="79">
        <f>IF(AND(O8=1,H8="High"),1,0)</f>
        <v/>
      </c>
      <c r="V8" s="79">
        <f>IF(AND(O8=1,C8="Punch item"),1,0)</f>
        <v/>
      </c>
    </row>
    <row r="9" ht="24" customHeight="1">
      <c r="B9" s="125" t="n">
        <v>2</v>
      </c>
      <c r="C9" s="72" t="inlineStr">
        <is>
          <t>Issue</t>
        </is>
      </c>
      <c r="D9" s="109" t="n">
        <v>46176</v>
      </c>
      <c r="E9" s="72" t="inlineStr">
        <is>
          <t>Bathroom 1</t>
        </is>
      </c>
      <c r="F9" s="113" t="inlineStr">
        <is>
          <t>Waste pipe routed through planned shower niche</t>
        </is>
      </c>
      <c r="G9" s="72" t="inlineStr">
        <is>
          <t>FlowRight Plumbing</t>
        </is>
      </c>
      <c r="H9" s="74" t="inlineStr">
        <is>
          <t>Medium</t>
        </is>
      </c>
      <c r="I9" s="73" t="n">
        <v>350</v>
      </c>
      <c r="J9" s="113" t="inlineStr">
        <is>
          <t>Site meeting to agree re-route</t>
        </is>
      </c>
      <c r="K9" s="109" t="n">
        <v>46190</v>
      </c>
      <c r="L9" s="72" t="inlineStr">
        <is>
          <t>In progress</t>
        </is>
      </c>
      <c r="M9" s="109" t="n"/>
      <c r="N9" s="72" t="n"/>
      <c r="O9" s="79">
        <f>IF(AND(F9&lt;&gt;"",L9&lt;&gt;"Resolved"),1,0)</f>
        <v/>
      </c>
      <c r="P9" s="79">
        <f>IF(F9="","",IF(O9=0,0,IF(H9="High",2,1)))</f>
        <v/>
      </c>
      <c r="Q9" s="112">
        <f>IF(O9=1,IF(K9&lt;&gt;"",K9,IF(H9="High",AsOf,"")),"")</f>
        <v/>
      </c>
      <c r="R9" s="79">
        <f>IF(Q9="","",IF(H9="High",1,IF(Q9="","",IF(Q9&lt;AsOf,1,IF(Q9&lt;=AsOf+AlertDays,2,IF(Q9&lt;=AsOf+2*AlertDays,3,""))))))</f>
        <v/>
      </c>
      <c r="S9" s="79">
        <f>IF(R9="","",IF(H9="High","High-severity issue: ",IF(C9="Punch item","Punch item: ","Issue action due: "))&amp;F9&amp;IF(J9="",""," → "&amp;J9))</f>
        <v/>
      </c>
      <c r="T9" s="79">
        <f>IF(O9=1,IF(I9="",0,I9),0)</f>
        <v/>
      </c>
      <c r="U9" s="79">
        <f>IF(AND(O9=1,H9="High"),1,0)</f>
        <v/>
      </c>
      <c r="V9" s="79">
        <f>IF(AND(O9=1,C9="Punch item"),1,0)</f>
        <v/>
      </c>
    </row>
    <row r="10" ht="24" customHeight="1">
      <c r="B10" s="125" t="n">
        <v>3</v>
      </c>
      <c r="C10" s="72" t="inlineStr">
        <is>
          <t>Issue</t>
        </is>
      </c>
      <c r="D10" s="109" t="n">
        <v>46183</v>
      </c>
      <c r="E10" s="72" t="inlineStr">
        <is>
          <t>Kitchen</t>
        </is>
      </c>
      <c r="F10" s="113" t="inlineStr">
        <is>
          <t>Socket positions don't match kitchen plan</t>
        </is>
      </c>
      <c r="G10" s="72" t="inlineStr">
        <is>
          <t>Bright Spark Electric</t>
        </is>
      </c>
      <c r="H10" s="74" t="inlineStr">
        <is>
          <t>Medium</t>
        </is>
      </c>
      <c r="I10" s="73" t="n">
        <v>250</v>
      </c>
      <c r="J10" s="113" t="inlineStr">
        <is>
          <t>Send marked-up plan to electrician</t>
        </is>
      </c>
      <c r="K10" s="109" t="n">
        <v>46184</v>
      </c>
      <c r="L10" s="72" t="inlineStr">
        <is>
          <t>Open</t>
        </is>
      </c>
      <c r="M10" s="109" t="n"/>
      <c r="N10" s="72" t="n"/>
      <c r="O10" s="79">
        <f>IF(AND(F10&lt;&gt;"",L10&lt;&gt;"Resolved"),1,0)</f>
        <v/>
      </c>
      <c r="P10" s="79">
        <f>IF(F10="","",IF(O10=0,0,IF(H10="High",2,1)))</f>
        <v/>
      </c>
      <c r="Q10" s="112">
        <f>IF(O10=1,IF(K10&lt;&gt;"",K10,IF(H10="High",AsOf,"")),"")</f>
        <v/>
      </c>
      <c r="R10" s="79">
        <f>IF(Q10="","",IF(H10="High",1,IF(Q10="","",IF(Q10&lt;AsOf,1,IF(Q10&lt;=AsOf+AlertDays,2,IF(Q10&lt;=AsOf+2*AlertDays,3,""))))))</f>
        <v/>
      </c>
      <c r="S10" s="79">
        <f>IF(R10="","",IF(H10="High","High-severity issue: ",IF(C10="Punch item","Punch item: ","Issue action due: "))&amp;F10&amp;IF(J10="",""," → "&amp;J10))</f>
        <v/>
      </c>
      <c r="T10" s="79">
        <f>IF(O10=1,IF(I10="",0,I10),0)</f>
        <v/>
      </c>
      <c r="U10" s="79">
        <f>IF(AND(O10=1,H10="High"),1,0)</f>
        <v/>
      </c>
      <c r="V10" s="79">
        <f>IF(AND(O10=1,C10="Punch item"),1,0)</f>
        <v/>
      </c>
    </row>
    <row r="11" ht="24" customHeight="1">
      <c r="B11" s="125" t="n">
        <v>4</v>
      </c>
      <c r="C11" s="72" t="inlineStr">
        <is>
          <t>Punch item</t>
        </is>
      </c>
      <c r="D11" s="109" t="n">
        <v>46151</v>
      </c>
      <c r="E11" s="72" t="inlineStr">
        <is>
          <t>Master bedroom</t>
        </is>
      </c>
      <c r="F11" s="113" t="inlineStr">
        <is>
          <t>Window handle loose</t>
        </is>
      </c>
      <c r="G11" s="72" t="inlineStr">
        <is>
          <t>ClearView Windows</t>
        </is>
      </c>
      <c r="H11" s="74" t="inlineStr">
        <is>
          <t>Low</t>
        </is>
      </c>
      <c r="I11" s="73" t="n">
        <v>0</v>
      </c>
      <c r="J11" s="113" t="inlineStr">
        <is>
          <t>Fix at final visit</t>
        </is>
      </c>
      <c r="K11" s="109" t="n">
        <v>46193</v>
      </c>
      <c r="L11" s="72" t="inlineStr">
        <is>
          <t>Open</t>
        </is>
      </c>
      <c r="M11" s="109" t="n"/>
      <c r="N11" s="72" t="n"/>
      <c r="O11" s="79">
        <f>IF(AND(F11&lt;&gt;"",L11&lt;&gt;"Resolved"),1,0)</f>
        <v/>
      </c>
      <c r="P11" s="79">
        <f>IF(F11="","",IF(O11=0,0,IF(H11="High",2,1)))</f>
        <v/>
      </c>
      <c r="Q11" s="112">
        <f>IF(O11=1,IF(K11&lt;&gt;"",K11,IF(H11="High",AsOf,"")),"")</f>
        <v/>
      </c>
      <c r="R11" s="79">
        <f>IF(Q11="","",IF(H11="High",1,IF(Q11="","",IF(Q11&lt;AsOf,1,IF(Q11&lt;=AsOf+AlertDays,2,IF(Q11&lt;=AsOf+2*AlertDays,3,""))))))</f>
        <v/>
      </c>
      <c r="S11" s="79">
        <f>IF(R11="","",IF(H11="High","High-severity issue: ",IF(C11="Punch item","Punch item: ","Issue action due: "))&amp;F11&amp;IF(J11="",""," → "&amp;J11))</f>
        <v/>
      </c>
      <c r="T11" s="79">
        <f>IF(O11=1,IF(I11="",0,I11),0)</f>
        <v/>
      </c>
      <c r="U11" s="79">
        <f>IF(AND(O11=1,H11="High"),1,0)</f>
        <v/>
      </c>
      <c r="V11" s="79">
        <f>IF(AND(O11=1,C11="Punch item"),1,0)</f>
        <v/>
      </c>
    </row>
    <row r="12" ht="24" customHeight="1">
      <c r="B12" s="125" t="n">
        <v>5</v>
      </c>
      <c r="C12" s="72" t="inlineStr">
        <is>
          <t>Punch item</t>
        </is>
      </c>
      <c r="D12" s="109" t="n">
        <v>46188</v>
      </c>
      <c r="E12" s="72" t="inlineStr">
        <is>
          <t>Living room</t>
        </is>
      </c>
      <c r="F12" s="113" t="inlineStr">
        <is>
          <t>Scratch on new sliding door frame</t>
        </is>
      </c>
      <c r="G12" s="72" t="inlineStr">
        <is>
          <t>ClearView Windows</t>
        </is>
      </c>
      <c r="H12" s="74" t="inlineStr">
        <is>
          <t>Low</t>
        </is>
      </c>
      <c r="I12" s="73" t="n">
        <v>0</v>
      </c>
      <c r="J12" s="113" t="inlineStr">
        <is>
          <t>Touch-up at final visit</t>
        </is>
      </c>
      <c r="K12" s="109" t="n">
        <v>46199</v>
      </c>
      <c r="L12" s="72" t="inlineStr">
        <is>
          <t>Open</t>
        </is>
      </c>
      <c r="M12" s="109" t="n"/>
      <c r="N12" s="72" t="n"/>
      <c r="O12" s="79">
        <f>IF(AND(F12&lt;&gt;"",L12&lt;&gt;"Resolved"),1,0)</f>
        <v/>
      </c>
      <c r="P12" s="79">
        <f>IF(F12="","",IF(O12=0,0,IF(H12="High",2,1)))</f>
        <v/>
      </c>
      <c r="Q12" s="112">
        <f>IF(O12=1,IF(K12&lt;&gt;"",K12,IF(H12="High",AsOf,"")),"")</f>
        <v/>
      </c>
      <c r="R12" s="79">
        <f>IF(Q12="","",IF(H12="High",1,IF(Q12="","",IF(Q12&lt;AsOf,1,IF(Q12&lt;=AsOf+AlertDays,2,IF(Q12&lt;=AsOf+2*AlertDays,3,""))))))</f>
        <v/>
      </c>
      <c r="S12" s="79">
        <f>IF(R12="","",IF(H12="High","High-severity issue: ",IF(C12="Punch item","Punch item: ","Issue action due: "))&amp;F12&amp;IF(J12="",""," → "&amp;J12))</f>
        <v/>
      </c>
      <c r="T12" s="79">
        <f>IF(O12=1,IF(I12="",0,I12),0)</f>
        <v/>
      </c>
      <c r="U12" s="79">
        <f>IF(AND(O12=1,H12="High"),1,0)</f>
        <v/>
      </c>
      <c r="V12" s="79">
        <f>IF(AND(O12=1,C12="Punch item"),1,0)</f>
        <v/>
      </c>
    </row>
    <row r="13" ht="24" customHeight="1">
      <c r="B13" s="125" t="n">
        <v>6</v>
      </c>
      <c r="C13" s="72" t="inlineStr">
        <is>
          <t>Issue</t>
        </is>
      </c>
      <c r="D13" s="109" t="n">
        <v>46134</v>
      </c>
      <c r="E13" s="72" t="inlineStr">
        <is>
          <t>Whole house</t>
        </is>
      </c>
      <c r="F13" s="113" t="inlineStr">
        <is>
          <t>Asbestos in old floor tiles</t>
        </is>
      </c>
      <c r="G13" s="72" t="inlineStr">
        <is>
          <t>Hansen Demolition</t>
        </is>
      </c>
      <c r="H13" s="74" t="inlineStr">
        <is>
          <t>High</t>
        </is>
      </c>
      <c r="I13" s="73" t="n">
        <v>1100</v>
      </c>
      <c r="J13" s="113" t="inlineStr">
        <is>
          <t>Licensed removal</t>
        </is>
      </c>
      <c r="K13" s="109" t="n">
        <v>46137</v>
      </c>
      <c r="L13" s="72" t="inlineStr">
        <is>
          <t>Resolved</t>
        </is>
      </c>
      <c r="M13" s="109" t="n">
        <v>46140</v>
      </c>
      <c r="N13" s="72" t="n"/>
      <c r="O13" s="79">
        <f>IF(AND(F13&lt;&gt;"",L13&lt;&gt;"Resolved"),1,0)</f>
        <v/>
      </c>
      <c r="P13" s="79">
        <f>IF(F13="","",IF(O13=0,0,IF(H13="High",2,1)))</f>
        <v/>
      </c>
      <c r="Q13" s="112">
        <f>IF(O13=1,IF(K13&lt;&gt;"",K13,IF(H13="High",AsOf,"")),"")</f>
        <v/>
      </c>
      <c r="R13" s="79">
        <f>IF(Q13="","",IF(H13="High",1,IF(Q13="","",IF(Q13&lt;AsOf,1,IF(Q13&lt;=AsOf+AlertDays,2,IF(Q13&lt;=AsOf+2*AlertDays,3,""))))))</f>
        <v/>
      </c>
      <c r="S13" s="79">
        <f>IF(R13="","",IF(H13="High","High-severity issue: ",IF(C13="Punch item","Punch item: ","Issue action due: "))&amp;F13&amp;IF(J13="",""," → "&amp;J13))</f>
        <v/>
      </c>
      <c r="T13" s="79">
        <f>IF(O13=1,IF(I13="",0,I13),0)</f>
        <v/>
      </c>
      <c r="U13" s="79">
        <f>IF(AND(O13=1,H13="High"),1,0)</f>
        <v/>
      </c>
      <c r="V13" s="79">
        <f>IF(AND(O13=1,C13="Punch item"),1,0)</f>
        <v/>
      </c>
    </row>
    <row r="14" ht="24" customHeight="1">
      <c r="B14" s="125" t="n">
        <v>7</v>
      </c>
      <c r="C14" s="72" t="inlineStr">
        <is>
          <t>Issue</t>
        </is>
      </c>
      <c r="D14" s="109" t="n">
        <v>46147</v>
      </c>
      <c r="E14" s="72" t="inlineStr">
        <is>
          <t>Exterior</t>
        </is>
      </c>
      <c r="F14" s="113" t="inlineStr">
        <is>
          <t>Skip blocking neighbour's driveway</t>
        </is>
      </c>
      <c r="G14" s="72" t="inlineStr">
        <is>
          <t>Hansen Demolition</t>
        </is>
      </c>
      <c r="H14" s="74" t="inlineStr">
        <is>
          <t>Low</t>
        </is>
      </c>
      <c r="I14" s="73" t="n">
        <v>0</v>
      </c>
      <c r="J14" s="113" t="inlineStr">
        <is>
          <t>Move skip</t>
        </is>
      </c>
      <c r="K14" s="109" t="n">
        <v>46148</v>
      </c>
      <c r="L14" s="72" t="inlineStr">
        <is>
          <t>Resolved</t>
        </is>
      </c>
      <c r="M14" s="109" t="n">
        <v>46148</v>
      </c>
      <c r="N14" s="72" t="n"/>
      <c r="O14" s="79">
        <f>IF(AND(F14&lt;&gt;"",L14&lt;&gt;"Resolved"),1,0)</f>
        <v/>
      </c>
      <c r="P14" s="79">
        <f>IF(F14="","",IF(O14=0,0,IF(H14="High",2,1)))</f>
        <v/>
      </c>
      <c r="Q14" s="112">
        <f>IF(O14=1,IF(K14&lt;&gt;"",K14,IF(H14="High",AsOf,"")),"")</f>
        <v/>
      </c>
      <c r="R14" s="79">
        <f>IF(Q14="","",IF(H14="High",1,IF(Q14="","",IF(Q14&lt;AsOf,1,IF(Q14&lt;=AsOf+AlertDays,2,IF(Q14&lt;=AsOf+2*AlertDays,3,""))))))</f>
        <v/>
      </c>
      <c r="S14" s="79">
        <f>IF(R14="","",IF(H14="High","High-severity issue: ",IF(C14="Punch item","Punch item: ","Issue action due: "))&amp;F14&amp;IF(J14="",""," → "&amp;J14))</f>
        <v/>
      </c>
      <c r="T14" s="79">
        <f>IF(O14=1,IF(I14="",0,I14),0)</f>
        <v/>
      </c>
      <c r="U14" s="79">
        <f>IF(AND(O14=1,H14="High"),1,0)</f>
        <v/>
      </c>
      <c r="V14" s="79">
        <f>IF(AND(O14=1,C14="Punch item"),1,0)</f>
        <v/>
      </c>
    </row>
    <row r="15" ht="24" customHeight="1">
      <c r="B15" s="125" t="n">
        <v>8</v>
      </c>
      <c r="C15" s="72" t="n"/>
      <c r="D15" s="109" t="n"/>
      <c r="E15" s="72" t="n"/>
      <c r="F15" s="113" t="n"/>
      <c r="G15" s="72" t="n"/>
      <c r="H15" s="74" t="n"/>
      <c r="I15" s="73" t="n"/>
      <c r="J15" s="113" t="n"/>
      <c r="K15" s="109" t="n"/>
      <c r="L15" s="72" t="n"/>
      <c r="M15" s="109" t="n"/>
      <c r="N15" s="72" t="n"/>
      <c r="O15" s="79">
        <f>IF(AND(F15&lt;&gt;"",L15&lt;&gt;"Resolved"),1,0)</f>
        <v/>
      </c>
      <c r="P15" s="79">
        <f>IF(F15="","",IF(O15=0,0,IF(H15="High",2,1)))</f>
        <v/>
      </c>
      <c r="Q15" s="112">
        <f>IF(O15=1,IF(K15&lt;&gt;"",K15,IF(H15="High",AsOf,"")),"")</f>
        <v/>
      </c>
      <c r="R15" s="79">
        <f>IF(Q15="","",IF(H15="High",1,IF(Q15="","",IF(Q15&lt;AsOf,1,IF(Q15&lt;=AsOf+AlertDays,2,IF(Q15&lt;=AsOf+2*AlertDays,3,""))))))</f>
        <v/>
      </c>
      <c r="S15" s="79">
        <f>IF(R15="","",IF(H15="High","High-severity issue: ",IF(C15="Punch item","Punch item: ","Issue action due: "))&amp;F15&amp;IF(J15="",""," → "&amp;J15))</f>
        <v/>
      </c>
      <c r="T15" s="79">
        <f>IF(O15=1,IF(I15="",0,I15),0)</f>
        <v/>
      </c>
      <c r="U15" s="79">
        <f>IF(AND(O15=1,H15="High"),1,0)</f>
        <v/>
      </c>
      <c r="V15" s="79">
        <f>IF(AND(O15=1,C15="Punch item"),1,0)</f>
        <v/>
      </c>
    </row>
    <row r="16" ht="24" customHeight="1">
      <c r="B16" s="125" t="n">
        <v>9</v>
      </c>
      <c r="C16" s="72" t="n"/>
      <c r="D16" s="109" t="n"/>
      <c r="E16" s="72" t="n"/>
      <c r="F16" s="113" t="n"/>
      <c r="G16" s="72" t="n"/>
      <c r="H16" s="74" t="n"/>
      <c r="I16" s="73" t="n"/>
      <c r="J16" s="113" t="n"/>
      <c r="K16" s="109" t="n"/>
      <c r="L16" s="72" t="n"/>
      <c r="M16" s="109" t="n"/>
      <c r="N16" s="72" t="n"/>
      <c r="O16" s="79">
        <f>IF(AND(F16&lt;&gt;"",L16&lt;&gt;"Resolved"),1,0)</f>
        <v/>
      </c>
      <c r="P16" s="79">
        <f>IF(F16="","",IF(O16=0,0,IF(H16="High",2,1)))</f>
        <v/>
      </c>
      <c r="Q16" s="112">
        <f>IF(O16=1,IF(K16&lt;&gt;"",K16,IF(H16="High",AsOf,"")),"")</f>
        <v/>
      </c>
      <c r="R16" s="79">
        <f>IF(Q16="","",IF(H16="High",1,IF(Q16="","",IF(Q16&lt;AsOf,1,IF(Q16&lt;=AsOf+AlertDays,2,IF(Q16&lt;=AsOf+2*AlertDays,3,""))))))</f>
        <v/>
      </c>
      <c r="S16" s="79">
        <f>IF(R16="","",IF(H16="High","High-severity issue: ",IF(C16="Punch item","Punch item: ","Issue action due: "))&amp;F16&amp;IF(J16="",""," → "&amp;J16))</f>
        <v/>
      </c>
      <c r="T16" s="79">
        <f>IF(O16=1,IF(I16="",0,I16),0)</f>
        <v/>
      </c>
      <c r="U16" s="79">
        <f>IF(AND(O16=1,H16="High"),1,0)</f>
        <v/>
      </c>
      <c r="V16" s="79">
        <f>IF(AND(O16=1,C16="Punch item"),1,0)</f>
        <v/>
      </c>
    </row>
    <row r="17" ht="24" customHeight="1">
      <c r="B17" s="125" t="n">
        <v>10</v>
      </c>
      <c r="C17" s="72" t="n"/>
      <c r="D17" s="109" t="n"/>
      <c r="E17" s="72" t="n"/>
      <c r="F17" s="113" t="n"/>
      <c r="G17" s="72" t="n"/>
      <c r="H17" s="74" t="n"/>
      <c r="I17" s="73" t="n"/>
      <c r="J17" s="113" t="n"/>
      <c r="K17" s="109" t="n"/>
      <c r="L17" s="72" t="n"/>
      <c r="M17" s="109" t="n"/>
      <c r="N17" s="72" t="n"/>
      <c r="O17" s="79">
        <f>IF(AND(F17&lt;&gt;"",L17&lt;&gt;"Resolved"),1,0)</f>
        <v/>
      </c>
      <c r="P17" s="79">
        <f>IF(F17="","",IF(O17=0,0,IF(H17="High",2,1)))</f>
        <v/>
      </c>
      <c r="Q17" s="112">
        <f>IF(O17=1,IF(K17&lt;&gt;"",K17,IF(H17="High",AsOf,"")),"")</f>
        <v/>
      </c>
      <c r="R17" s="79">
        <f>IF(Q17="","",IF(H17="High",1,IF(Q17="","",IF(Q17&lt;AsOf,1,IF(Q17&lt;=AsOf+AlertDays,2,IF(Q17&lt;=AsOf+2*AlertDays,3,""))))))</f>
        <v/>
      </c>
      <c r="S17" s="79">
        <f>IF(R17="","",IF(H17="High","High-severity issue: ",IF(C17="Punch item","Punch item: ","Issue action due: "))&amp;F17&amp;IF(J17="",""," → "&amp;J17))</f>
        <v/>
      </c>
      <c r="T17" s="79">
        <f>IF(O17=1,IF(I17="",0,I17),0)</f>
        <v/>
      </c>
      <c r="U17" s="79">
        <f>IF(AND(O17=1,H17="High"),1,0)</f>
        <v/>
      </c>
      <c r="V17" s="79">
        <f>IF(AND(O17=1,C17="Punch item"),1,0)</f>
        <v/>
      </c>
    </row>
    <row r="18" ht="24" customHeight="1">
      <c r="B18" s="125" t="n">
        <v>11</v>
      </c>
      <c r="C18" s="72" t="n"/>
      <c r="D18" s="109" t="n"/>
      <c r="E18" s="72" t="n"/>
      <c r="F18" s="113" t="n"/>
      <c r="G18" s="72" t="n"/>
      <c r="H18" s="74" t="n"/>
      <c r="I18" s="73" t="n"/>
      <c r="J18" s="113" t="n"/>
      <c r="K18" s="109" t="n"/>
      <c r="L18" s="72" t="n"/>
      <c r="M18" s="109" t="n"/>
      <c r="N18" s="72" t="n"/>
      <c r="O18" s="79">
        <f>IF(AND(F18&lt;&gt;"",L18&lt;&gt;"Resolved"),1,0)</f>
        <v/>
      </c>
      <c r="P18" s="79">
        <f>IF(F18="","",IF(O18=0,0,IF(H18="High",2,1)))</f>
        <v/>
      </c>
      <c r="Q18" s="112">
        <f>IF(O18=1,IF(K18&lt;&gt;"",K18,IF(H18="High",AsOf,"")),"")</f>
        <v/>
      </c>
      <c r="R18" s="79">
        <f>IF(Q18="","",IF(H18="High",1,IF(Q18="","",IF(Q18&lt;AsOf,1,IF(Q18&lt;=AsOf+AlertDays,2,IF(Q18&lt;=AsOf+2*AlertDays,3,""))))))</f>
        <v/>
      </c>
      <c r="S18" s="79">
        <f>IF(R18="","",IF(H18="High","High-severity issue: ",IF(C18="Punch item","Punch item: ","Issue action due: "))&amp;F18&amp;IF(J18="",""," → "&amp;J18))</f>
        <v/>
      </c>
      <c r="T18" s="79">
        <f>IF(O18=1,IF(I18="",0,I18),0)</f>
        <v/>
      </c>
      <c r="U18" s="79">
        <f>IF(AND(O18=1,H18="High"),1,0)</f>
        <v/>
      </c>
      <c r="V18" s="79">
        <f>IF(AND(O18=1,C18="Punch item"),1,0)</f>
        <v/>
      </c>
    </row>
    <row r="19" ht="24" customHeight="1">
      <c r="B19" s="125" t="n">
        <v>12</v>
      </c>
      <c r="C19" s="72" t="n"/>
      <c r="D19" s="109" t="n"/>
      <c r="E19" s="72" t="n"/>
      <c r="F19" s="113" t="n"/>
      <c r="G19" s="72" t="n"/>
      <c r="H19" s="74" t="n"/>
      <c r="I19" s="73" t="n"/>
      <c r="J19" s="113" t="n"/>
      <c r="K19" s="109" t="n"/>
      <c r="L19" s="72" t="n"/>
      <c r="M19" s="109" t="n"/>
      <c r="N19" s="72" t="n"/>
      <c r="O19" s="79">
        <f>IF(AND(F19&lt;&gt;"",L19&lt;&gt;"Resolved"),1,0)</f>
        <v/>
      </c>
      <c r="P19" s="79">
        <f>IF(F19="","",IF(O19=0,0,IF(H19="High",2,1)))</f>
        <v/>
      </c>
      <c r="Q19" s="112">
        <f>IF(O19=1,IF(K19&lt;&gt;"",K19,IF(H19="High",AsOf,"")),"")</f>
        <v/>
      </c>
      <c r="R19" s="79">
        <f>IF(Q19="","",IF(H19="High",1,IF(Q19="","",IF(Q19&lt;AsOf,1,IF(Q19&lt;=AsOf+AlertDays,2,IF(Q19&lt;=AsOf+2*AlertDays,3,""))))))</f>
        <v/>
      </c>
      <c r="S19" s="79">
        <f>IF(R19="","",IF(H19="High","High-severity issue: ",IF(C19="Punch item","Punch item: ","Issue action due: "))&amp;F19&amp;IF(J19="",""," → "&amp;J19))</f>
        <v/>
      </c>
      <c r="T19" s="79">
        <f>IF(O19=1,IF(I19="",0,I19),0)</f>
        <v/>
      </c>
      <c r="U19" s="79">
        <f>IF(AND(O19=1,H19="High"),1,0)</f>
        <v/>
      </c>
      <c r="V19" s="79">
        <f>IF(AND(O19=1,C19="Punch item"),1,0)</f>
        <v/>
      </c>
    </row>
    <row r="20" ht="24" customHeight="1">
      <c r="B20" s="125" t="n">
        <v>13</v>
      </c>
      <c r="C20" s="72" t="n"/>
      <c r="D20" s="109" t="n"/>
      <c r="E20" s="72" t="n"/>
      <c r="F20" s="113" t="n"/>
      <c r="G20" s="72" t="n"/>
      <c r="H20" s="74" t="n"/>
      <c r="I20" s="73" t="n"/>
      <c r="J20" s="113" t="n"/>
      <c r="K20" s="109" t="n"/>
      <c r="L20" s="72" t="n"/>
      <c r="M20" s="109" t="n"/>
      <c r="N20" s="72" t="n"/>
      <c r="O20" s="79">
        <f>IF(AND(F20&lt;&gt;"",L20&lt;&gt;"Resolved"),1,0)</f>
        <v/>
      </c>
      <c r="P20" s="79">
        <f>IF(F20="","",IF(O20=0,0,IF(H20="High",2,1)))</f>
        <v/>
      </c>
      <c r="Q20" s="112">
        <f>IF(O20=1,IF(K20&lt;&gt;"",K20,IF(H20="High",AsOf,"")),"")</f>
        <v/>
      </c>
      <c r="R20" s="79">
        <f>IF(Q20="","",IF(H20="High",1,IF(Q20="","",IF(Q20&lt;AsOf,1,IF(Q20&lt;=AsOf+AlertDays,2,IF(Q20&lt;=AsOf+2*AlertDays,3,""))))))</f>
        <v/>
      </c>
      <c r="S20" s="79">
        <f>IF(R20="","",IF(H20="High","High-severity issue: ",IF(C20="Punch item","Punch item: ","Issue action due: "))&amp;F20&amp;IF(J20="",""," → "&amp;J20))</f>
        <v/>
      </c>
      <c r="T20" s="79">
        <f>IF(O20=1,IF(I20="",0,I20),0)</f>
        <v/>
      </c>
      <c r="U20" s="79">
        <f>IF(AND(O20=1,H20="High"),1,0)</f>
        <v/>
      </c>
      <c r="V20" s="79">
        <f>IF(AND(O20=1,C20="Punch item"),1,0)</f>
        <v/>
      </c>
    </row>
    <row r="21" ht="24" customHeight="1">
      <c r="B21" s="125" t="n">
        <v>14</v>
      </c>
      <c r="C21" s="72" t="n"/>
      <c r="D21" s="109" t="n"/>
      <c r="E21" s="72" t="n"/>
      <c r="F21" s="113" t="n"/>
      <c r="G21" s="72" t="n"/>
      <c r="H21" s="74" t="n"/>
      <c r="I21" s="73" t="n"/>
      <c r="J21" s="113" t="n"/>
      <c r="K21" s="109" t="n"/>
      <c r="L21" s="72" t="n"/>
      <c r="M21" s="109" t="n"/>
      <c r="N21" s="72" t="n"/>
      <c r="O21" s="79">
        <f>IF(AND(F21&lt;&gt;"",L21&lt;&gt;"Resolved"),1,0)</f>
        <v/>
      </c>
      <c r="P21" s="79">
        <f>IF(F21="","",IF(O21=0,0,IF(H21="High",2,1)))</f>
        <v/>
      </c>
      <c r="Q21" s="112">
        <f>IF(O21=1,IF(K21&lt;&gt;"",K21,IF(H21="High",AsOf,"")),"")</f>
        <v/>
      </c>
      <c r="R21" s="79">
        <f>IF(Q21="","",IF(H21="High",1,IF(Q21="","",IF(Q21&lt;AsOf,1,IF(Q21&lt;=AsOf+AlertDays,2,IF(Q21&lt;=AsOf+2*AlertDays,3,""))))))</f>
        <v/>
      </c>
      <c r="S21" s="79">
        <f>IF(R21="","",IF(H21="High","High-severity issue: ",IF(C21="Punch item","Punch item: ","Issue action due: "))&amp;F21&amp;IF(J21="",""," → "&amp;J21))</f>
        <v/>
      </c>
      <c r="T21" s="79">
        <f>IF(O21=1,IF(I21="",0,I21),0)</f>
        <v/>
      </c>
      <c r="U21" s="79">
        <f>IF(AND(O21=1,H21="High"),1,0)</f>
        <v/>
      </c>
      <c r="V21" s="79">
        <f>IF(AND(O21=1,C21="Punch item"),1,0)</f>
        <v/>
      </c>
    </row>
    <row r="22" ht="24" customHeight="1">
      <c r="B22" s="125" t="n">
        <v>15</v>
      </c>
      <c r="C22" s="72" t="n"/>
      <c r="D22" s="109" t="n"/>
      <c r="E22" s="72" t="n"/>
      <c r="F22" s="113" t="n"/>
      <c r="G22" s="72" t="n"/>
      <c r="H22" s="74" t="n"/>
      <c r="I22" s="73" t="n"/>
      <c r="J22" s="113" t="n"/>
      <c r="K22" s="109" t="n"/>
      <c r="L22" s="72" t="n"/>
      <c r="M22" s="109" t="n"/>
      <c r="N22" s="72" t="n"/>
      <c r="O22" s="79">
        <f>IF(AND(F22&lt;&gt;"",L22&lt;&gt;"Resolved"),1,0)</f>
        <v/>
      </c>
      <c r="P22" s="79">
        <f>IF(F22="","",IF(O22=0,0,IF(H22="High",2,1)))</f>
        <v/>
      </c>
      <c r="Q22" s="112">
        <f>IF(O22=1,IF(K22&lt;&gt;"",K22,IF(H22="High",AsOf,"")),"")</f>
        <v/>
      </c>
      <c r="R22" s="79">
        <f>IF(Q22="","",IF(H22="High",1,IF(Q22="","",IF(Q22&lt;AsOf,1,IF(Q22&lt;=AsOf+AlertDays,2,IF(Q22&lt;=AsOf+2*AlertDays,3,""))))))</f>
        <v/>
      </c>
      <c r="S22" s="79">
        <f>IF(R22="","",IF(H22="High","High-severity issue: ",IF(C22="Punch item","Punch item: ","Issue action due: "))&amp;F22&amp;IF(J22="",""," → "&amp;J22))</f>
        <v/>
      </c>
      <c r="T22" s="79">
        <f>IF(O22=1,IF(I22="",0,I22),0)</f>
        <v/>
      </c>
      <c r="U22" s="79">
        <f>IF(AND(O22=1,H22="High"),1,0)</f>
        <v/>
      </c>
      <c r="V22" s="79">
        <f>IF(AND(O22=1,C22="Punch item"),1,0)</f>
        <v/>
      </c>
    </row>
    <row r="23" ht="24" customHeight="1">
      <c r="B23" s="125" t="n">
        <v>16</v>
      </c>
      <c r="C23" s="72" t="n"/>
      <c r="D23" s="109" t="n"/>
      <c r="E23" s="72" t="n"/>
      <c r="F23" s="113" t="n"/>
      <c r="G23" s="72" t="n"/>
      <c r="H23" s="74" t="n"/>
      <c r="I23" s="73" t="n"/>
      <c r="J23" s="113" t="n"/>
      <c r="K23" s="109" t="n"/>
      <c r="L23" s="72" t="n"/>
      <c r="M23" s="109" t="n"/>
      <c r="N23" s="72" t="n"/>
      <c r="O23" s="79">
        <f>IF(AND(F23&lt;&gt;"",L23&lt;&gt;"Resolved"),1,0)</f>
        <v/>
      </c>
      <c r="P23" s="79">
        <f>IF(F23="","",IF(O23=0,0,IF(H23="High",2,1)))</f>
        <v/>
      </c>
      <c r="Q23" s="112">
        <f>IF(O23=1,IF(K23&lt;&gt;"",K23,IF(H23="High",AsOf,"")),"")</f>
        <v/>
      </c>
      <c r="R23" s="79">
        <f>IF(Q23="","",IF(H23="High",1,IF(Q23="","",IF(Q23&lt;AsOf,1,IF(Q23&lt;=AsOf+AlertDays,2,IF(Q23&lt;=AsOf+2*AlertDays,3,""))))))</f>
        <v/>
      </c>
      <c r="S23" s="79">
        <f>IF(R23="","",IF(H23="High","High-severity issue: ",IF(C23="Punch item","Punch item: ","Issue action due: "))&amp;F23&amp;IF(J23="",""," → "&amp;J23))</f>
        <v/>
      </c>
      <c r="T23" s="79">
        <f>IF(O23=1,IF(I23="",0,I23),0)</f>
        <v/>
      </c>
      <c r="U23" s="79">
        <f>IF(AND(O23=1,H23="High"),1,0)</f>
        <v/>
      </c>
      <c r="V23" s="79">
        <f>IF(AND(O23=1,C23="Punch item"),1,0)</f>
        <v/>
      </c>
    </row>
    <row r="24" ht="24" customHeight="1">
      <c r="B24" s="125" t="n">
        <v>17</v>
      </c>
      <c r="C24" s="72" t="n"/>
      <c r="D24" s="109" t="n"/>
      <c r="E24" s="72" t="n"/>
      <c r="F24" s="113" t="n"/>
      <c r="G24" s="72" t="n"/>
      <c r="H24" s="74" t="n"/>
      <c r="I24" s="73" t="n"/>
      <c r="J24" s="113" t="n"/>
      <c r="K24" s="109" t="n"/>
      <c r="L24" s="72" t="n"/>
      <c r="M24" s="109" t="n"/>
      <c r="N24" s="72" t="n"/>
      <c r="O24" s="79">
        <f>IF(AND(F24&lt;&gt;"",L24&lt;&gt;"Resolved"),1,0)</f>
        <v/>
      </c>
      <c r="P24" s="79">
        <f>IF(F24="","",IF(O24=0,0,IF(H24="High",2,1)))</f>
        <v/>
      </c>
      <c r="Q24" s="112">
        <f>IF(O24=1,IF(K24&lt;&gt;"",K24,IF(H24="High",AsOf,"")),"")</f>
        <v/>
      </c>
      <c r="R24" s="79">
        <f>IF(Q24="","",IF(H24="High",1,IF(Q24="","",IF(Q24&lt;AsOf,1,IF(Q24&lt;=AsOf+AlertDays,2,IF(Q24&lt;=AsOf+2*AlertDays,3,""))))))</f>
        <v/>
      </c>
      <c r="S24" s="79">
        <f>IF(R24="","",IF(H24="High","High-severity issue: ",IF(C24="Punch item","Punch item: ","Issue action due: "))&amp;F24&amp;IF(J24="",""," → "&amp;J24))</f>
        <v/>
      </c>
      <c r="T24" s="79">
        <f>IF(O24=1,IF(I24="",0,I24),0)</f>
        <v/>
      </c>
      <c r="U24" s="79">
        <f>IF(AND(O24=1,H24="High"),1,0)</f>
        <v/>
      </c>
      <c r="V24" s="79">
        <f>IF(AND(O24=1,C24="Punch item"),1,0)</f>
        <v/>
      </c>
    </row>
    <row r="25" ht="24" customHeight="1">
      <c r="B25" s="125" t="n">
        <v>18</v>
      </c>
      <c r="C25" s="72" t="n"/>
      <c r="D25" s="109" t="n"/>
      <c r="E25" s="72" t="n"/>
      <c r="F25" s="113" t="n"/>
      <c r="G25" s="72" t="n"/>
      <c r="H25" s="74" t="n"/>
      <c r="I25" s="73" t="n"/>
      <c r="J25" s="113" t="n"/>
      <c r="K25" s="109" t="n"/>
      <c r="L25" s="72" t="n"/>
      <c r="M25" s="109" t="n"/>
      <c r="N25" s="72" t="n"/>
      <c r="O25" s="79">
        <f>IF(AND(F25&lt;&gt;"",L25&lt;&gt;"Resolved"),1,0)</f>
        <v/>
      </c>
      <c r="P25" s="79">
        <f>IF(F25="","",IF(O25=0,0,IF(H25="High",2,1)))</f>
        <v/>
      </c>
      <c r="Q25" s="112">
        <f>IF(O25=1,IF(K25&lt;&gt;"",K25,IF(H25="High",AsOf,"")),"")</f>
        <v/>
      </c>
      <c r="R25" s="79">
        <f>IF(Q25="","",IF(H25="High",1,IF(Q25="","",IF(Q25&lt;AsOf,1,IF(Q25&lt;=AsOf+AlertDays,2,IF(Q25&lt;=AsOf+2*AlertDays,3,""))))))</f>
        <v/>
      </c>
      <c r="S25" s="79">
        <f>IF(R25="","",IF(H25="High","High-severity issue: ",IF(C25="Punch item","Punch item: ","Issue action due: "))&amp;F25&amp;IF(J25="",""," → "&amp;J25))</f>
        <v/>
      </c>
      <c r="T25" s="79">
        <f>IF(O25=1,IF(I25="",0,I25),0)</f>
        <v/>
      </c>
      <c r="U25" s="79">
        <f>IF(AND(O25=1,H25="High"),1,0)</f>
        <v/>
      </c>
      <c r="V25" s="79">
        <f>IF(AND(O25=1,C25="Punch item"),1,0)</f>
        <v/>
      </c>
    </row>
    <row r="26" ht="24" customHeight="1">
      <c r="B26" s="125" t="n">
        <v>19</v>
      </c>
      <c r="C26" s="72" t="n"/>
      <c r="D26" s="109" t="n"/>
      <c r="E26" s="72" t="n"/>
      <c r="F26" s="113" t="n"/>
      <c r="G26" s="72" t="n"/>
      <c r="H26" s="74" t="n"/>
      <c r="I26" s="73" t="n"/>
      <c r="J26" s="113" t="n"/>
      <c r="K26" s="109" t="n"/>
      <c r="L26" s="72" t="n"/>
      <c r="M26" s="109" t="n"/>
      <c r="N26" s="72" t="n"/>
      <c r="O26" s="79">
        <f>IF(AND(F26&lt;&gt;"",L26&lt;&gt;"Resolved"),1,0)</f>
        <v/>
      </c>
      <c r="P26" s="79">
        <f>IF(F26="","",IF(O26=0,0,IF(H26="High",2,1)))</f>
        <v/>
      </c>
      <c r="Q26" s="112">
        <f>IF(O26=1,IF(K26&lt;&gt;"",K26,IF(H26="High",AsOf,"")),"")</f>
        <v/>
      </c>
      <c r="R26" s="79">
        <f>IF(Q26="","",IF(H26="High",1,IF(Q26="","",IF(Q26&lt;AsOf,1,IF(Q26&lt;=AsOf+AlertDays,2,IF(Q26&lt;=AsOf+2*AlertDays,3,""))))))</f>
        <v/>
      </c>
      <c r="S26" s="79">
        <f>IF(R26="","",IF(H26="High","High-severity issue: ",IF(C26="Punch item","Punch item: ","Issue action due: "))&amp;F26&amp;IF(J26="",""," → "&amp;J26))</f>
        <v/>
      </c>
      <c r="T26" s="79">
        <f>IF(O26=1,IF(I26="",0,I26),0)</f>
        <v/>
      </c>
      <c r="U26" s="79">
        <f>IF(AND(O26=1,H26="High"),1,0)</f>
        <v/>
      </c>
      <c r="V26" s="79">
        <f>IF(AND(O26=1,C26="Punch item"),1,0)</f>
        <v/>
      </c>
    </row>
    <row r="27" ht="24" customHeight="1">
      <c r="B27" s="125" t="n">
        <v>20</v>
      </c>
      <c r="C27" s="72" t="n"/>
      <c r="D27" s="109" t="n"/>
      <c r="E27" s="72" t="n"/>
      <c r="F27" s="113" t="n"/>
      <c r="G27" s="72" t="n"/>
      <c r="H27" s="74" t="n"/>
      <c r="I27" s="73" t="n"/>
      <c r="J27" s="113" t="n"/>
      <c r="K27" s="109" t="n"/>
      <c r="L27" s="72" t="n"/>
      <c r="M27" s="109" t="n"/>
      <c r="N27" s="72" t="n"/>
      <c r="O27" s="79">
        <f>IF(AND(F27&lt;&gt;"",L27&lt;&gt;"Resolved"),1,0)</f>
        <v/>
      </c>
      <c r="P27" s="79">
        <f>IF(F27="","",IF(O27=0,0,IF(H27="High",2,1)))</f>
        <v/>
      </c>
      <c r="Q27" s="112">
        <f>IF(O27=1,IF(K27&lt;&gt;"",K27,IF(H27="High",AsOf,"")),"")</f>
        <v/>
      </c>
      <c r="R27" s="79">
        <f>IF(Q27="","",IF(H27="High",1,IF(Q27="","",IF(Q27&lt;AsOf,1,IF(Q27&lt;=AsOf+AlertDays,2,IF(Q27&lt;=AsOf+2*AlertDays,3,""))))))</f>
        <v/>
      </c>
      <c r="S27" s="79">
        <f>IF(R27="","",IF(H27="High","High-severity issue: ",IF(C27="Punch item","Punch item: ","Issue action due: "))&amp;F27&amp;IF(J27="",""," → "&amp;J27))</f>
        <v/>
      </c>
      <c r="T27" s="79">
        <f>IF(O27=1,IF(I27="",0,I27),0)</f>
        <v/>
      </c>
      <c r="U27" s="79">
        <f>IF(AND(O27=1,H27="High"),1,0)</f>
        <v/>
      </c>
      <c r="V27" s="79">
        <f>IF(AND(O27=1,C27="Punch item"),1,0)</f>
        <v/>
      </c>
    </row>
    <row r="28" ht="24" customHeight="1">
      <c r="B28" s="125" t="n">
        <v>21</v>
      </c>
      <c r="C28" s="72" t="n"/>
      <c r="D28" s="109" t="n"/>
      <c r="E28" s="72" t="n"/>
      <c r="F28" s="113" t="n"/>
      <c r="G28" s="72" t="n"/>
      <c r="H28" s="74" t="n"/>
      <c r="I28" s="73" t="n"/>
      <c r="J28" s="113" t="n"/>
      <c r="K28" s="109" t="n"/>
      <c r="L28" s="72" t="n"/>
      <c r="M28" s="109" t="n"/>
      <c r="N28" s="72" t="n"/>
      <c r="O28" s="79">
        <f>IF(AND(F28&lt;&gt;"",L28&lt;&gt;"Resolved"),1,0)</f>
        <v/>
      </c>
      <c r="P28" s="79">
        <f>IF(F28="","",IF(O28=0,0,IF(H28="High",2,1)))</f>
        <v/>
      </c>
      <c r="Q28" s="112">
        <f>IF(O28=1,IF(K28&lt;&gt;"",K28,IF(H28="High",AsOf,"")),"")</f>
        <v/>
      </c>
      <c r="R28" s="79">
        <f>IF(Q28="","",IF(H28="High",1,IF(Q28="","",IF(Q28&lt;AsOf,1,IF(Q28&lt;=AsOf+AlertDays,2,IF(Q28&lt;=AsOf+2*AlertDays,3,""))))))</f>
        <v/>
      </c>
      <c r="S28" s="79">
        <f>IF(R28="","",IF(H28="High","High-severity issue: ",IF(C28="Punch item","Punch item: ","Issue action due: "))&amp;F28&amp;IF(J28="",""," → "&amp;J28))</f>
        <v/>
      </c>
      <c r="T28" s="79">
        <f>IF(O28=1,IF(I28="",0,I28),0)</f>
        <v/>
      </c>
      <c r="U28" s="79">
        <f>IF(AND(O28=1,H28="High"),1,0)</f>
        <v/>
      </c>
      <c r="V28" s="79">
        <f>IF(AND(O28=1,C28="Punch item"),1,0)</f>
        <v/>
      </c>
    </row>
    <row r="29" ht="24" customHeight="1">
      <c r="B29" s="125" t="n">
        <v>22</v>
      </c>
      <c r="C29" s="72" t="n"/>
      <c r="D29" s="109" t="n"/>
      <c r="E29" s="72" t="n"/>
      <c r="F29" s="113" t="n"/>
      <c r="G29" s="72" t="n"/>
      <c r="H29" s="74" t="n"/>
      <c r="I29" s="73" t="n"/>
      <c r="J29" s="113" t="n"/>
      <c r="K29" s="109" t="n"/>
      <c r="L29" s="72" t="n"/>
      <c r="M29" s="109" t="n"/>
      <c r="N29" s="72" t="n"/>
      <c r="O29" s="79">
        <f>IF(AND(F29&lt;&gt;"",L29&lt;&gt;"Resolved"),1,0)</f>
        <v/>
      </c>
      <c r="P29" s="79">
        <f>IF(F29="","",IF(O29=0,0,IF(H29="High",2,1)))</f>
        <v/>
      </c>
      <c r="Q29" s="112">
        <f>IF(O29=1,IF(K29&lt;&gt;"",K29,IF(H29="High",AsOf,"")),"")</f>
        <v/>
      </c>
      <c r="R29" s="79">
        <f>IF(Q29="","",IF(H29="High",1,IF(Q29="","",IF(Q29&lt;AsOf,1,IF(Q29&lt;=AsOf+AlertDays,2,IF(Q29&lt;=AsOf+2*AlertDays,3,""))))))</f>
        <v/>
      </c>
      <c r="S29" s="79">
        <f>IF(R29="","",IF(H29="High","High-severity issue: ",IF(C29="Punch item","Punch item: ","Issue action due: "))&amp;F29&amp;IF(J29="",""," → "&amp;J29))</f>
        <v/>
      </c>
      <c r="T29" s="79">
        <f>IF(O29=1,IF(I29="",0,I29),0)</f>
        <v/>
      </c>
      <c r="U29" s="79">
        <f>IF(AND(O29=1,H29="High"),1,0)</f>
        <v/>
      </c>
      <c r="V29" s="79">
        <f>IF(AND(O29=1,C29="Punch item"),1,0)</f>
        <v/>
      </c>
    </row>
    <row r="30" ht="24" customHeight="1">
      <c r="B30" s="125" t="n">
        <v>23</v>
      </c>
      <c r="C30" s="72" t="n"/>
      <c r="D30" s="109" t="n"/>
      <c r="E30" s="72" t="n"/>
      <c r="F30" s="113" t="n"/>
      <c r="G30" s="72" t="n"/>
      <c r="H30" s="74" t="n"/>
      <c r="I30" s="73" t="n"/>
      <c r="J30" s="113" t="n"/>
      <c r="K30" s="109" t="n"/>
      <c r="L30" s="72" t="n"/>
      <c r="M30" s="109" t="n"/>
      <c r="N30" s="72" t="n"/>
      <c r="O30" s="79">
        <f>IF(AND(F30&lt;&gt;"",L30&lt;&gt;"Resolved"),1,0)</f>
        <v/>
      </c>
      <c r="P30" s="79">
        <f>IF(F30="","",IF(O30=0,0,IF(H30="High",2,1)))</f>
        <v/>
      </c>
      <c r="Q30" s="112">
        <f>IF(O30=1,IF(K30&lt;&gt;"",K30,IF(H30="High",AsOf,"")),"")</f>
        <v/>
      </c>
      <c r="R30" s="79">
        <f>IF(Q30="","",IF(H30="High",1,IF(Q30="","",IF(Q30&lt;AsOf,1,IF(Q30&lt;=AsOf+AlertDays,2,IF(Q30&lt;=AsOf+2*AlertDays,3,""))))))</f>
        <v/>
      </c>
      <c r="S30" s="79">
        <f>IF(R30="","",IF(H30="High","High-severity issue: ",IF(C30="Punch item","Punch item: ","Issue action due: "))&amp;F30&amp;IF(J30="",""," → "&amp;J30))</f>
        <v/>
      </c>
      <c r="T30" s="79">
        <f>IF(O30=1,IF(I30="",0,I30),0)</f>
        <v/>
      </c>
      <c r="U30" s="79">
        <f>IF(AND(O30=1,H30="High"),1,0)</f>
        <v/>
      </c>
      <c r="V30" s="79">
        <f>IF(AND(O30=1,C30="Punch item"),1,0)</f>
        <v/>
      </c>
    </row>
    <row r="31" ht="24" customHeight="1">
      <c r="B31" s="125" t="n">
        <v>24</v>
      </c>
      <c r="C31" s="72" t="n"/>
      <c r="D31" s="109" t="n"/>
      <c r="E31" s="72" t="n"/>
      <c r="F31" s="113" t="n"/>
      <c r="G31" s="72" t="n"/>
      <c r="H31" s="74" t="n"/>
      <c r="I31" s="73" t="n"/>
      <c r="J31" s="113" t="n"/>
      <c r="K31" s="109" t="n"/>
      <c r="L31" s="72" t="n"/>
      <c r="M31" s="109" t="n"/>
      <c r="N31" s="72" t="n"/>
      <c r="O31" s="79">
        <f>IF(AND(F31&lt;&gt;"",L31&lt;&gt;"Resolved"),1,0)</f>
        <v/>
      </c>
      <c r="P31" s="79">
        <f>IF(F31="","",IF(O31=0,0,IF(H31="High",2,1)))</f>
        <v/>
      </c>
      <c r="Q31" s="112">
        <f>IF(O31=1,IF(K31&lt;&gt;"",K31,IF(H31="High",AsOf,"")),"")</f>
        <v/>
      </c>
      <c r="R31" s="79">
        <f>IF(Q31="","",IF(H31="High",1,IF(Q31="","",IF(Q31&lt;AsOf,1,IF(Q31&lt;=AsOf+AlertDays,2,IF(Q31&lt;=AsOf+2*AlertDays,3,""))))))</f>
        <v/>
      </c>
      <c r="S31" s="79">
        <f>IF(R31="","",IF(H31="High","High-severity issue: ",IF(C31="Punch item","Punch item: ","Issue action due: "))&amp;F31&amp;IF(J31="",""," → "&amp;J31))</f>
        <v/>
      </c>
      <c r="T31" s="79">
        <f>IF(O31=1,IF(I31="",0,I31),0)</f>
        <v/>
      </c>
      <c r="U31" s="79">
        <f>IF(AND(O31=1,H31="High"),1,0)</f>
        <v/>
      </c>
      <c r="V31" s="79">
        <f>IF(AND(O31=1,C31="Punch item"),1,0)</f>
        <v/>
      </c>
    </row>
    <row r="32" ht="24" customHeight="1">
      <c r="B32" s="125" t="n">
        <v>25</v>
      </c>
      <c r="C32" s="72" t="n"/>
      <c r="D32" s="109" t="n"/>
      <c r="E32" s="72" t="n"/>
      <c r="F32" s="113" t="n"/>
      <c r="G32" s="72" t="n"/>
      <c r="H32" s="74" t="n"/>
      <c r="I32" s="73" t="n"/>
      <c r="J32" s="113" t="n"/>
      <c r="K32" s="109" t="n"/>
      <c r="L32" s="72" t="n"/>
      <c r="M32" s="109" t="n"/>
      <c r="N32" s="72" t="n"/>
      <c r="O32" s="79">
        <f>IF(AND(F32&lt;&gt;"",L32&lt;&gt;"Resolved"),1,0)</f>
        <v/>
      </c>
      <c r="P32" s="79">
        <f>IF(F32="","",IF(O32=0,0,IF(H32="High",2,1)))</f>
        <v/>
      </c>
      <c r="Q32" s="112">
        <f>IF(O32=1,IF(K32&lt;&gt;"",K32,IF(H32="High",AsOf,"")),"")</f>
        <v/>
      </c>
      <c r="R32" s="79">
        <f>IF(Q32="","",IF(H32="High",1,IF(Q32="","",IF(Q32&lt;AsOf,1,IF(Q32&lt;=AsOf+AlertDays,2,IF(Q32&lt;=AsOf+2*AlertDays,3,""))))))</f>
        <v/>
      </c>
      <c r="S32" s="79">
        <f>IF(R32="","",IF(H32="High","High-severity issue: ",IF(C32="Punch item","Punch item: ","Issue action due: "))&amp;F32&amp;IF(J32="",""," → "&amp;J32))</f>
        <v/>
      </c>
      <c r="T32" s="79">
        <f>IF(O32=1,IF(I32="",0,I32),0)</f>
        <v/>
      </c>
      <c r="U32" s="79">
        <f>IF(AND(O32=1,H32="High"),1,0)</f>
        <v/>
      </c>
      <c r="V32" s="79">
        <f>IF(AND(O32=1,C32="Punch item"),1,0)</f>
        <v/>
      </c>
    </row>
    <row r="33" ht="24" customHeight="1">
      <c r="B33" s="125" t="n">
        <v>26</v>
      </c>
      <c r="C33" s="72" t="n"/>
      <c r="D33" s="109" t="n"/>
      <c r="E33" s="72" t="n"/>
      <c r="F33" s="113" t="n"/>
      <c r="G33" s="72" t="n"/>
      <c r="H33" s="74" t="n"/>
      <c r="I33" s="73" t="n"/>
      <c r="J33" s="113" t="n"/>
      <c r="K33" s="109" t="n"/>
      <c r="L33" s="72" t="n"/>
      <c r="M33" s="109" t="n"/>
      <c r="N33" s="72" t="n"/>
      <c r="O33" s="79">
        <f>IF(AND(F33&lt;&gt;"",L33&lt;&gt;"Resolved"),1,0)</f>
        <v/>
      </c>
      <c r="P33" s="79">
        <f>IF(F33="","",IF(O33=0,0,IF(H33="High",2,1)))</f>
        <v/>
      </c>
      <c r="Q33" s="112">
        <f>IF(O33=1,IF(K33&lt;&gt;"",K33,IF(H33="High",AsOf,"")),"")</f>
        <v/>
      </c>
      <c r="R33" s="79">
        <f>IF(Q33="","",IF(H33="High",1,IF(Q33="","",IF(Q33&lt;AsOf,1,IF(Q33&lt;=AsOf+AlertDays,2,IF(Q33&lt;=AsOf+2*AlertDays,3,""))))))</f>
        <v/>
      </c>
      <c r="S33" s="79">
        <f>IF(R33="","",IF(H33="High","High-severity issue: ",IF(C33="Punch item","Punch item: ","Issue action due: "))&amp;F33&amp;IF(J33="",""," → "&amp;J33))</f>
        <v/>
      </c>
      <c r="T33" s="79">
        <f>IF(O33=1,IF(I33="",0,I33),0)</f>
        <v/>
      </c>
      <c r="U33" s="79">
        <f>IF(AND(O33=1,H33="High"),1,0)</f>
        <v/>
      </c>
      <c r="V33" s="79">
        <f>IF(AND(O33=1,C33="Punch item"),1,0)</f>
        <v/>
      </c>
    </row>
    <row r="34" ht="24" customHeight="1">
      <c r="B34" s="125" t="n">
        <v>27</v>
      </c>
      <c r="C34" s="72" t="n"/>
      <c r="D34" s="109" t="n"/>
      <c r="E34" s="72" t="n"/>
      <c r="F34" s="113" t="n"/>
      <c r="G34" s="72" t="n"/>
      <c r="H34" s="74" t="n"/>
      <c r="I34" s="73" t="n"/>
      <c r="J34" s="113" t="n"/>
      <c r="K34" s="109" t="n"/>
      <c r="L34" s="72" t="n"/>
      <c r="M34" s="109" t="n"/>
      <c r="N34" s="72" t="n"/>
      <c r="O34" s="79">
        <f>IF(AND(F34&lt;&gt;"",L34&lt;&gt;"Resolved"),1,0)</f>
        <v/>
      </c>
      <c r="P34" s="79">
        <f>IF(F34="","",IF(O34=0,0,IF(H34="High",2,1)))</f>
        <v/>
      </c>
      <c r="Q34" s="112">
        <f>IF(O34=1,IF(K34&lt;&gt;"",K34,IF(H34="High",AsOf,"")),"")</f>
        <v/>
      </c>
      <c r="R34" s="79">
        <f>IF(Q34="","",IF(H34="High",1,IF(Q34="","",IF(Q34&lt;AsOf,1,IF(Q34&lt;=AsOf+AlertDays,2,IF(Q34&lt;=AsOf+2*AlertDays,3,""))))))</f>
        <v/>
      </c>
      <c r="S34" s="79">
        <f>IF(R34="","",IF(H34="High","High-severity issue: ",IF(C34="Punch item","Punch item: ","Issue action due: "))&amp;F34&amp;IF(J34="",""," → "&amp;J34))</f>
        <v/>
      </c>
      <c r="T34" s="79">
        <f>IF(O34=1,IF(I34="",0,I34),0)</f>
        <v/>
      </c>
      <c r="U34" s="79">
        <f>IF(AND(O34=1,H34="High"),1,0)</f>
        <v/>
      </c>
      <c r="V34" s="79">
        <f>IF(AND(O34=1,C34="Punch item"),1,0)</f>
        <v/>
      </c>
    </row>
    <row r="35" ht="24" customHeight="1">
      <c r="B35" s="125" t="n">
        <v>28</v>
      </c>
      <c r="C35" s="72" t="n"/>
      <c r="D35" s="109" t="n"/>
      <c r="E35" s="72" t="n"/>
      <c r="F35" s="113" t="n"/>
      <c r="G35" s="72" t="n"/>
      <c r="H35" s="74" t="n"/>
      <c r="I35" s="73" t="n"/>
      <c r="J35" s="113" t="n"/>
      <c r="K35" s="109" t="n"/>
      <c r="L35" s="72" t="n"/>
      <c r="M35" s="109" t="n"/>
      <c r="N35" s="72" t="n"/>
      <c r="O35" s="79">
        <f>IF(AND(F35&lt;&gt;"",L35&lt;&gt;"Resolved"),1,0)</f>
        <v/>
      </c>
      <c r="P35" s="79">
        <f>IF(F35="","",IF(O35=0,0,IF(H35="High",2,1)))</f>
        <v/>
      </c>
      <c r="Q35" s="112">
        <f>IF(O35=1,IF(K35&lt;&gt;"",K35,IF(H35="High",AsOf,"")),"")</f>
        <v/>
      </c>
      <c r="R35" s="79">
        <f>IF(Q35="","",IF(H35="High",1,IF(Q35="","",IF(Q35&lt;AsOf,1,IF(Q35&lt;=AsOf+AlertDays,2,IF(Q35&lt;=AsOf+2*AlertDays,3,""))))))</f>
        <v/>
      </c>
      <c r="S35" s="79">
        <f>IF(R35="","",IF(H35="High","High-severity issue: ",IF(C35="Punch item","Punch item: ","Issue action due: "))&amp;F35&amp;IF(J35="",""," → "&amp;J35))</f>
        <v/>
      </c>
      <c r="T35" s="79">
        <f>IF(O35=1,IF(I35="",0,I35),0)</f>
        <v/>
      </c>
      <c r="U35" s="79">
        <f>IF(AND(O35=1,H35="High"),1,0)</f>
        <v/>
      </c>
      <c r="V35" s="79">
        <f>IF(AND(O35=1,C35="Punch item"),1,0)</f>
        <v/>
      </c>
    </row>
    <row r="36" ht="24" customHeight="1">
      <c r="B36" s="125" t="n">
        <v>29</v>
      </c>
      <c r="C36" s="72" t="n"/>
      <c r="D36" s="109" t="n"/>
      <c r="E36" s="72" t="n"/>
      <c r="F36" s="113" t="n"/>
      <c r="G36" s="72" t="n"/>
      <c r="H36" s="74" t="n"/>
      <c r="I36" s="73" t="n"/>
      <c r="J36" s="113" t="n"/>
      <c r="K36" s="109" t="n"/>
      <c r="L36" s="72" t="n"/>
      <c r="M36" s="109" t="n"/>
      <c r="N36" s="72" t="n"/>
      <c r="O36" s="79">
        <f>IF(AND(F36&lt;&gt;"",L36&lt;&gt;"Resolved"),1,0)</f>
        <v/>
      </c>
      <c r="P36" s="79">
        <f>IF(F36="","",IF(O36=0,0,IF(H36="High",2,1)))</f>
        <v/>
      </c>
      <c r="Q36" s="112">
        <f>IF(O36=1,IF(K36&lt;&gt;"",K36,IF(H36="High",AsOf,"")),"")</f>
        <v/>
      </c>
      <c r="R36" s="79">
        <f>IF(Q36="","",IF(H36="High",1,IF(Q36="","",IF(Q36&lt;AsOf,1,IF(Q36&lt;=AsOf+AlertDays,2,IF(Q36&lt;=AsOf+2*AlertDays,3,""))))))</f>
        <v/>
      </c>
      <c r="S36" s="79">
        <f>IF(R36="","",IF(H36="High","High-severity issue: ",IF(C36="Punch item","Punch item: ","Issue action due: "))&amp;F36&amp;IF(J36="",""," → "&amp;J36))</f>
        <v/>
      </c>
      <c r="T36" s="79">
        <f>IF(O36=1,IF(I36="",0,I36),0)</f>
        <v/>
      </c>
      <c r="U36" s="79">
        <f>IF(AND(O36=1,H36="High"),1,0)</f>
        <v/>
      </c>
      <c r="V36" s="79">
        <f>IF(AND(O36=1,C36="Punch item"),1,0)</f>
        <v/>
      </c>
    </row>
    <row r="37" ht="24" customHeight="1">
      <c r="B37" s="125" t="n">
        <v>30</v>
      </c>
      <c r="C37" s="72" t="n"/>
      <c r="D37" s="109" t="n"/>
      <c r="E37" s="72" t="n"/>
      <c r="F37" s="113" t="n"/>
      <c r="G37" s="72" t="n"/>
      <c r="H37" s="74" t="n"/>
      <c r="I37" s="73" t="n"/>
      <c r="J37" s="113" t="n"/>
      <c r="K37" s="109" t="n"/>
      <c r="L37" s="72" t="n"/>
      <c r="M37" s="109" t="n"/>
      <c r="N37" s="72" t="n"/>
      <c r="O37" s="79">
        <f>IF(AND(F37&lt;&gt;"",L37&lt;&gt;"Resolved"),1,0)</f>
        <v/>
      </c>
      <c r="P37" s="79">
        <f>IF(F37="","",IF(O37=0,0,IF(H37="High",2,1)))</f>
        <v/>
      </c>
      <c r="Q37" s="112">
        <f>IF(O37=1,IF(K37&lt;&gt;"",K37,IF(H37="High",AsOf,"")),"")</f>
        <v/>
      </c>
      <c r="R37" s="79">
        <f>IF(Q37="","",IF(H37="High",1,IF(Q37="","",IF(Q37&lt;AsOf,1,IF(Q37&lt;=AsOf+AlertDays,2,IF(Q37&lt;=AsOf+2*AlertDays,3,""))))))</f>
        <v/>
      </c>
      <c r="S37" s="79">
        <f>IF(R37="","",IF(H37="High","High-severity issue: ",IF(C37="Punch item","Punch item: ","Issue action due: "))&amp;F37&amp;IF(J37="",""," → "&amp;J37))</f>
        <v/>
      </c>
      <c r="T37" s="79">
        <f>IF(O37=1,IF(I37="",0,I37),0)</f>
        <v/>
      </c>
      <c r="U37" s="79">
        <f>IF(AND(O37=1,H37="High"),1,0)</f>
        <v/>
      </c>
      <c r="V37" s="79">
        <f>IF(AND(O37=1,C37="Punch item"),1,0)</f>
        <v/>
      </c>
    </row>
    <row r="38" ht="24" customHeight="1">
      <c r="B38" s="125" t="n">
        <v>31</v>
      </c>
      <c r="C38" s="72" t="n"/>
      <c r="D38" s="109" t="n"/>
      <c r="E38" s="72" t="n"/>
      <c r="F38" s="113" t="n"/>
      <c r="G38" s="72" t="n"/>
      <c r="H38" s="74" t="n"/>
      <c r="I38" s="73" t="n"/>
      <c r="J38" s="113" t="n"/>
      <c r="K38" s="109" t="n"/>
      <c r="L38" s="72" t="n"/>
      <c r="M38" s="109" t="n"/>
      <c r="N38" s="72" t="n"/>
      <c r="O38" s="79">
        <f>IF(AND(F38&lt;&gt;"",L38&lt;&gt;"Resolved"),1,0)</f>
        <v/>
      </c>
      <c r="P38" s="79">
        <f>IF(F38="","",IF(O38=0,0,IF(H38="High",2,1)))</f>
        <v/>
      </c>
      <c r="Q38" s="112">
        <f>IF(O38=1,IF(K38&lt;&gt;"",K38,IF(H38="High",AsOf,"")),"")</f>
        <v/>
      </c>
      <c r="R38" s="79">
        <f>IF(Q38="","",IF(H38="High",1,IF(Q38="","",IF(Q38&lt;AsOf,1,IF(Q38&lt;=AsOf+AlertDays,2,IF(Q38&lt;=AsOf+2*AlertDays,3,""))))))</f>
        <v/>
      </c>
      <c r="S38" s="79">
        <f>IF(R38="","",IF(H38="High","High-severity issue: ",IF(C38="Punch item","Punch item: ","Issue action due: "))&amp;F38&amp;IF(J38="",""," → "&amp;J38))</f>
        <v/>
      </c>
      <c r="T38" s="79">
        <f>IF(O38=1,IF(I38="",0,I38),0)</f>
        <v/>
      </c>
      <c r="U38" s="79">
        <f>IF(AND(O38=1,H38="High"),1,0)</f>
        <v/>
      </c>
      <c r="V38" s="79">
        <f>IF(AND(O38=1,C38="Punch item"),1,0)</f>
        <v/>
      </c>
    </row>
    <row r="39" ht="24" customHeight="1">
      <c r="B39" s="125" t="n">
        <v>32</v>
      </c>
      <c r="C39" s="72" t="n"/>
      <c r="D39" s="109" t="n"/>
      <c r="E39" s="72" t="n"/>
      <c r="F39" s="113" t="n"/>
      <c r="G39" s="72" t="n"/>
      <c r="H39" s="74" t="n"/>
      <c r="I39" s="73" t="n"/>
      <c r="J39" s="113" t="n"/>
      <c r="K39" s="109" t="n"/>
      <c r="L39" s="72" t="n"/>
      <c r="M39" s="109" t="n"/>
      <c r="N39" s="72" t="n"/>
      <c r="O39" s="79">
        <f>IF(AND(F39&lt;&gt;"",L39&lt;&gt;"Resolved"),1,0)</f>
        <v/>
      </c>
      <c r="P39" s="79">
        <f>IF(F39="","",IF(O39=0,0,IF(H39="High",2,1)))</f>
        <v/>
      </c>
      <c r="Q39" s="112">
        <f>IF(O39=1,IF(K39&lt;&gt;"",K39,IF(H39="High",AsOf,"")),"")</f>
        <v/>
      </c>
      <c r="R39" s="79">
        <f>IF(Q39="","",IF(H39="High",1,IF(Q39="","",IF(Q39&lt;AsOf,1,IF(Q39&lt;=AsOf+AlertDays,2,IF(Q39&lt;=AsOf+2*AlertDays,3,""))))))</f>
        <v/>
      </c>
      <c r="S39" s="79">
        <f>IF(R39="","",IF(H39="High","High-severity issue: ",IF(C39="Punch item","Punch item: ","Issue action due: "))&amp;F39&amp;IF(J39="",""," → "&amp;J39))</f>
        <v/>
      </c>
      <c r="T39" s="79">
        <f>IF(O39=1,IF(I39="",0,I39),0)</f>
        <v/>
      </c>
      <c r="U39" s="79">
        <f>IF(AND(O39=1,H39="High"),1,0)</f>
        <v/>
      </c>
      <c r="V39" s="79">
        <f>IF(AND(O39=1,C39="Punch item"),1,0)</f>
        <v/>
      </c>
    </row>
    <row r="40" ht="24" customHeight="1">
      <c r="B40" s="125" t="n">
        <v>33</v>
      </c>
      <c r="C40" s="72" t="n"/>
      <c r="D40" s="109" t="n"/>
      <c r="E40" s="72" t="n"/>
      <c r="F40" s="113" t="n"/>
      <c r="G40" s="72" t="n"/>
      <c r="H40" s="74" t="n"/>
      <c r="I40" s="73" t="n"/>
      <c r="J40" s="113" t="n"/>
      <c r="K40" s="109" t="n"/>
      <c r="L40" s="72" t="n"/>
      <c r="M40" s="109" t="n"/>
      <c r="N40" s="72" t="n"/>
      <c r="O40" s="79">
        <f>IF(AND(F40&lt;&gt;"",L40&lt;&gt;"Resolved"),1,0)</f>
        <v/>
      </c>
      <c r="P40" s="79">
        <f>IF(F40="","",IF(O40=0,0,IF(H40="High",2,1)))</f>
        <v/>
      </c>
      <c r="Q40" s="112">
        <f>IF(O40=1,IF(K40&lt;&gt;"",K40,IF(H40="High",AsOf,"")),"")</f>
        <v/>
      </c>
      <c r="R40" s="79">
        <f>IF(Q40="","",IF(H40="High",1,IF(Q40="","",IF(Q40&lt;AsOf,1,IF(Q40&lt;=AsOf+AlertDays,2,IF(Q40&lt;=AsOf+2*AlertDays,3,""))))))</f>
        <v/>
      </c>
      <c r="S40" s="79">
        <f>IF(R40="","",IF(H40="High","High-severity issue: ",IF(C40="Punch item","Punch item: ","Issue action due: "))&amp;F40&amp;IF(J40="",""," → "&amp;J40))</f>
        <v/>
      </c>
      <c r="T40" s="79">
        <f>IF(O40=1,IF(I40="",0,I40),0)</f>
        <v/>
      </c>
      <c r="U40" s="79">
        <f>IF(AND(O40=1,H40="High"),1,0)</f>
        <v/>
      </c>
      <c r="V40" s="79">
        <f>IF(AND(O40=1,C40="Punch item"),1,0)</f>
        <v/>
      </c>
    </row>
    <row r="41" ht="24" customHeight="1">
      <c r="B41" s="125" t="n">
        <v>34</v>
      </c>
      <c r="C41" s="72" t="n"/>
      <c r="D41" s="109" t="n"/>
      <c r="E41" s="72" t="n"/>
      <c r="F41" s="113" t="n"/>
      <c r="G41" s="72" t="n"/>
      <c r="H41" s="74" t="n"/>
      <c r="I41" s="73" t="n"/>
      <c r="J41" s="113" t="n"/>
      <c r="K41" s="109" t="n"/>
      <c r="L41" s="72" t="n"/>
      <c r="M41" s="109" t="n"/>
      <c r="N41" s="72" t="n"/>
      <c r="O41" s="79">
        <f>IF(AND(F41&lt;&gt;"",L41&lt;&gt;"Resolved"),1,0)</f>
        <v/>
      </c>
      <c r="P41" s="79">
        <f>IF(F41="","",IF(O41=0,0,IF(H41="High",2,1)))</f>
        <v/>
      </c>
      <c r="Q41" s="112">
        <f>IF(O41=1,IF(K41&lt;&gt;"",K41,IF(H41="High",AsOf,"")),"")</f>
        <v/>
      </c>
      <c r="R41" s="79">
        <f>IF(Q41="","",IF(H41="High",1,IF(Q41="","",IF(Q41&lt;AsOf,1,IF(Q41&lt;=AsOf+AlertDays,2,IF(Q41&lt;=AsOf+2*AlertDays,3,""))))))</f>
        <v/>
      </c>
      <c r="S41" s="79">
        <f>IF(R41="","",IF(H41="High","High-severity issue: ",IF(C41="Punch item","Punch item: ","Issue action due: "))&amp;F41&amp;IF(J41="",""," → "&amp;J41))</f>
        <v/>
      </c>
      <c r="T41" s="79">
        <f>IF(O41=1,IF(I41="",0,I41),0)</f>
        <v/>
      </c>
      <c r="U41" s="79">
        <f>IF(AND(O41=1,H41="High"),1,0)</f>
        <v/>
      </c>
      <c r="V41" s="79">
        <f>IF(AND(O41=1,C41="Punch item"),1,0)</f>
        <v/>
      </c>
    </row>
    <row r="42" ht="24" customHeight="1">
      <c r="B42" s="125" t="n">
        <v>35</v>
      </c>
      <c r="C42" s="72" t="n"/>
      <c r="D42" s="109" t="n"/>
      <c r="E42" s="72" t="n"/>
      <c r="F42" s="113" t="n"/>
      <c r="G42" s="72" t="n"/>
      <c r="H42" s="74" t="n"/>
      <c r="I42" s="73" t="n"/>
      <c r="J42" s="113" t="n"/>
      <c r="K42" s="109" t="n"/>
      <c r="L42" s="72" t="n"/>
      <c r="M42" s="109" t="n"/>
      <c r="N42" s="72" t="n"/>
      <c r="O42" s="79">
        <f>IF(AND(F42&lt;&gt;"",L42&lt;&gt;"Resolved"),1,0)</f>
        <v/>
      </c>
      <c r="P42" s="79">
        <f>IF(F42="","",IF(O42=0,0,IF(H42="High",2,1)))</f>
        <v/>
      </c>
      <c r="Q42" s="112">
        <f>IF(O42=1,IF(K42&lt;&gt;"",K42,IF(H42="High",AsOf,"")),"")</f>
        <v/>
      </c>
      <c r="R42" s="79">
        <f>IF(Q42="","",IF(H42="High",1,IF(Q42="","",IF(Q42&lt;AsOf,1,IF(Q42&lt;=AsOf+AlertDays,2,IF(Q42&lt;=AsOf+2*AlertDays,3,""))))))</f>
        <v/>
      </c>
      <c r="S42" s="79">
        <f>IF(R42="","",IF(H42="High","High-severity issue: ",IF(C42="Punch item","Punch item: ","Issue action due: "))&amp;F42&amp;IF(J42="",""," → "&amp;J42))</f>
        <v/>
      </c>
      <c r="T42" s="79">
        <f>IF(O42=1,IF(I42="",0,I42),0)</f>
        <v/>
      </c>
      <c r="U42" s="79">
        <f>IF(AND(O42=1,H42="High"),1,0)</f>
        <v/>
      </c>
      <c r="V42" s="79">
        <f>IF(AND(O42=1,C42="Punch item"),1,0)</f>
        <v/>
      </c>
    </row>
    <row r="43" ht="24" customHeight="1">
      <c r="B43" s="125" t="n">
        <v>36</v>
      </c>
      <c r="C43" s="72" t="n"/>
      <c r="D43" s="109" t="n"/>
      <c r="E43" s="72" t="n"/>
      <c r="F43" s="113" t="n"/>
      <c r="G43" s="72" t="n"/>
      <c r="H43" s="74" t="n"/>
      <c r="I43" s="73" t="n"/>
      <c r="J43" s="113" t="n"/>
      <c r="K43" s="109" t="n"/>
      <c r="L43" s="72" t="n"/>
      <c r="M43" s="109" t="n"/>
      <c r="N43" s="72" t="n"/>
      <c r="O43" s="79">
        <f>IF(AND(F43&lt;&gt;"",L43&lt;&gt;"Resolved"),1,0)</f>
        <v/>
      </c>
      <c r="P43" s="79">
        <f>IF(F43="","",IF(O43=0,0,IF(H43="High",2,1)))</f>
        <v/>
      </c>
      <c r="Q43" s="112">
        <f>IF(O43=1,IF(K43&lt;&gt;"",K43,IF(H43="High",AsOf,"")),"")</f>
        <v/>
      </c>
      <c r="R43" s="79">
        <f>IF(Q43="","",IF(H43="High",1,IF(Q43="","",IF(Q43&lt;AsOf,1,IF(Q43&lt;=AsOf+AlertDays,2,IF(Q43&lt;=AsOf+2*AlertDays,3,""))))))</f>
        <v/>
      </c>
      <c r="S43" s="79">
        <f>IF(R43="","",IF(H43="High","High-severity issue: ",IF(C43="Punch item","Punch item: ","Issue action due: "))&amp;F43&amp;IF(J43="",""," → "&amp;J43))</f>
        <v/>
      </c>
      <c r="T43" s="79">
        <f>IF(O43=1,IF(I43="",0,I43),0)</f>
        <v/>
      </c>
      <c r="U43" s="79">
        <f>IF(AND(O43=1,H43="High"),1,0)</f>
        <v/>
      </c>
      <c r="V43" s="79">
        <f>IF(AND(O43=1,C43="Punch item"),1,0)</f>
        <v/>
      </c>
    </row>
    <row r="44" ht="24" customHeight="1">
      <c r="B44" s="125" t="n">
        <v>37</v>
      </c>
      <c r="C44" s="72" t="n"/>
      <c r="D44" s="109" t="n"/>
      <c r="E44" s="72" t="n"/>
      <c r="F44" s="113" t="n"/>
      <c r="G44" s="72" t="n"/>
      <c r="H44" s="74" t="n"/>
      <c r="I44" s="73" t="n"/>
      <c r="J44" s="113" t="n"/>
      <c r="K44" s="109" t="n"/>
      <c r="L44" s="72" t="n"/>
      <c r="M44" s="109" t="n"/>
      <c r="N44" s="72" t="n"/>
      <c r="O44" s="79">
        <f>IF(AND(F44&lt;&gt;"",L44&lt;&gt;"Resolved"),1,0)</f>
        <v/>
      </c>
      <c r="P44" s="79">
        <f>IF(F44="","",IF(O44=0,0,IF(H44="High",2,1)))</f>
        <v/>
      </c>
      <c r="Q44" s="112">
        <f>IF(O44=1,IF(K44&lt;&gt;"",K44,IF(H44="High",AsOf,"")),"")</f>
        <v/>
      </c>
      <c r="R44" s="79">
        <f>IF(Q44="","",IF(H44="High",1,IF(Q44="","",IF(Q44&lt;AsOf,1,IF(Q44&lt;=AsOf+AlertDays,2,IF(Q44&lt;=AsOf+2*AlertDays,3,""))))))</f>
        <v/>
      </c>
      <c r="S44" s="79">
        <f>IF(R44="","",IF(H44="High","High-severity issue: ",IF(C44="Punch item","Punch item: ","Issue action due: "))&amp;F44&amp;IF(J44="",""," → "&amp;J44))</f>
        <v/>
      </c>
      <c r="T44" s="79">
        <f>IF(O44=1,IF(I44="",0,I44),0)</f>
        <v/>
      </c>
      <c r="U44" s="79">
        <f>IF(AND(O44=1,H44="High"),1,0)</f>
        <v/>
      </c>
      <c r="V44" s="79">
        <f>IF(AND(O44=1,C44="Punch item"),1,0)</f>
        <v/>
      </c>
    </row>
    <row r="45" ht="24" customHeight="1">
      <c r="B45" s="125" t="n">
        <v>38</v>
      </c>
      <c r="C45" s="72" t="n"/>
      <c r="D45" s="109" t="n"/>
      <c r="E45" s="72" t="n"/>
      <c r="F45" s="113" t="n"/>
      <c r="G45" s="72" t="n"/>
      <c r="H45" s="74" t="n"/>
      <c r="I45" s="73" t="n"/>
      <c r="J45" s="113" t="n"/>
      <c r="K45" s="109" t="n"/>
      <c r="L45" s="72" t="n"/>
      <c r="M45" s="109" t="n"/>
      <c r="N45" s="72" t="n"/>
      <c r="O45" s="79">
        <f>IF(AND(F45&lt;&gt;"",L45&lt;&gt;"Resolved"),1,0)</f>
        <v/>
      </c>
      <c r="P45" s="79">
        <f>IF(F45="","",IF(O45=0,0,IF(H45="High",2,1)))</f>
        <v/>
      </c>
      <c r="Q45" s="112">
        <f>IF(O45=1,IF(K45&lt;&gt;"",K45,IF(H45="High",AsOf,"")),"")</f>
        <v/>
      </c>
      <c r="R45" s="79">
        <f>IF(Q45="","",IF(H45="High",1,IF(Q45="","",IF(Q45&lt;AsOf,1,IF(Q45&lt;=AsOf+AlertDays,2,IF(Q45&lt;=AsOf+2*AlertDays,3,""))))))</f>
        <v/>
      </c>
      <c r="S45" s="79">
        <f>IF(R45="","",IF(H45="High","High-severity issue: ",IF(C45="Punch item","Punch item: ","Issue action due: "))&amp;F45&amp;IF(J45="",""," → "&amp;J45))</f>
        <v/>
      </c>
      <c r="T45" s="79">
        <f>IF(O45=1,IF(I45="",0,I45),0)</f>
        <v/>
      </c>
      <c r="U45" s="79">
        <f>IF(AND(O45=1,H45="High"),1,0)</f>
        <v/>
      </c>
      <c r="V45" s="79">
        <f>IF(AND(O45=1,C45="Punch item"),1,0)</f>
        <v/>
      </c>
    </row>
    <row r="46" ht="24" customHeight="1">
      <c r="B46" s="125" t="n">
        <v>39</v>
      </c>
      <c r="C46" s="72" t="n"/>
      <c r="D46" s="109" t="n"/>
      <c r="E46" s="72" t="n"/>
      <c r="F46" s="113" t="n"/>
      <c r="G46" s="72" t="n"/>
      <c r="H46" s="74" t="n"/>
      <c r="I46" s="73" t="n"/>
      <c r="J46" s="113" t="n"/>
      <c r="K46" s="109" t="n"/>
      <c r="L46" s="72" t="n"/>
      <c r="M46" s="109" t="n"/>
      <c r="N46" s="72" t="n"/>
      <c r="O46" s="79">
        <f>IF(AND(F46&lt;&gt;"",L46&lt;&gt;"Resolved"),1,0)</f>
        <v/>
      </c>
      <c r="P46" s="79">
        <f>IF(F46="","",IF(O46=0,0,IF(H46="High",2,1)))</f>
        <v/>
      </c>
      <c r="Q46" s="112">
        <f>IF(O46=1,IF(K46&lt;&gt;"",K46,IF(H46="High",AsOf,"")),"")</f>
        <v/>
      </c>
      <c r="R46" s="79">
        <f>IF(Q46="","",IF(H46="High",1,IF(Q46="","",IF(Q46&lt;AsOf,1,IF(Q46&lt;=AsOf+AlertDays,2,IF(Q46&lt;=AsOf+2*AlertDays,3,""))))))</f>
        <v/>
      </c>
      <c r="S46" s="79">
        <f>IF(R46="","",IF(H46="High","High-severity issue: ",IF(C46="Punch item","Punch item: ","Issue action due: "))&amp;F46&amp;IF(J46="",""," → "&amp;J46))</f>
        <v/>
      </c>
      <c r="T46" s="79">
        <f>IF(O46=1,IF(I46="",0,I46),0)</f>
        <v/>
      </c>
      <c r="U46" s="79">
        <f>IF(AND(O46=1,H46="High"),1,0)</f>
        <v/>
      </c>
      <c r="V46" s="79">
        <f>IF(AND(O46=1,C46="Punch item"),1,0)</f>
        <v/>
      </c>
    </row>
    <row r="47" ht="24" customHeight="1">
      <c r="B47" s="125" t="n">
        <v>40</v>
      </c>
      <c r="C47" s="72" t="n"/>
      <c r="D47" s="109" t="n"/>
      <c r="E47" s="72" t="n"/>
      <c r="F47" s="113" t="n"/>
      <c r="G47" s="72" t="n"/>
      <c r="H47" s="74" t="n"/>
      <c r="I47" s="73" t="n"/>
      <c r="J47" s="113" t="n"/>
      <c r="K47" s="109" t="n"/>
      <c r="L47" s="72" t="n"/>
      <c r="M47" s="109" t="n"/>
      <c r="N47" s="72" t="n"/>
      <c r="O47" s="79">
        <f>IF(AND(F47&lt;&gt;"",L47&lt;&gt;"Resolved"),1,0)</f>
        <v/>
      </c>
      <c r="P47" s="79">
        <f>IF(F47="","",IF(O47=0,0,IF(H47="High",2,1)))</f>
        <v/>
      </c>
      <c r="Q47" s="112">
        <f>IF(O47=1,IF(K47&lt;&gt;"",K47,IF(H47="High",AsOf,"")),"")</f>
        <v/>
      </c>
      <c r="R47" s="79">
        <f>IF(Q47="","",IF(H47="High",1,IF(Q47="","",IF(Q47&lt;AsOf,1,IF(Q47&lt;=AsOf+AlertDays,2,IF(Q47&lt;=AsOf+2*AlertDays,3,""))))))</f>
        <v/>
      </c>
      <c r="S47" s="79">
        <f>IF(R47="","",IF(H47="High","High-severity issue: ",IF(C47="Punch item","Punch item: ","Issue action due: "))&amp;F47&amp;IF(J47="",""," → "&amp;J47))</f>
        <v/>
      </c>
      <c r="T47" s="79">
        <f>IF(O47=1,IF(I47="",0,I47),0)</f>
        <v/>
      </c>
      <c r="U47" s="79">
        <f>IF(AND(O47=1,H47="High"),1,0)</f>
        <v/>
      </c>
      <c r="V47" s="79">
        <f>IF(AND(O47=1,C47="Punch item"),1,0)</f>
        <v/>
      </c>
    </row>
    <row r="48" ht="24" customHeight="1">
      <c r="B48" s="125" t="n">
        <v>41</v>
      </c>
      <c r="C48" s="72" t="n"/>
      <c r="D48" s="109" t="n"/>
      <c r="E48" s="72" t="n"/>
      <c r="F48" s="113" t="n"/>
      <c r="G48" s="72" t="n"/>
      <c r="H48" s="74" t="n"/>
      <c r="I48" s="73" t="n"/>
      <c r="J48" s="113" t="n"/>
      <c r="K48" s="109" t="n"/>
      <c r="L48" s="72" t="n"/>
      <c r="M48" s="109" t="n"/>
      <c r="N48" s="72" t="n"/>
      <c r="O48" s="79">
        <f>IF(AND(F48&lt;&gt;"",L48&lt;&gt;"Resolved"),1,0)</f>
        <v/>
      </c>
      <c r="P48" s="79">
        <f>IF(F48="","",IF(O48=0,0,IF(H48="High",2,1)))</f>
        <v/>
      </c>
      <c r="Q48" s="112">
        <f>IF(O48=1,IF(K48&lt;&gt;"",K48,IF(H48="High",AsOf,"")),"")</f>
        <v/>
      </c>
      <c r="R48" s="79">
        <f>IF(Q48="","",IF(H48="High",1,IF(Q48="","",IF(Q48&lt;AsOf,1,IF(Q48&lt;=AsOf+AlertDays,2,IF(Q48&lt;=AsOf+2*AlertDays,3,""))))))</f>
        <v/>
      </c>
      <c r="S48" s="79">
        <f>IF(R48="","",IF(H48="High","High-severity issue: ",IF(C48="Punch item","Punch item: ","Issue action due: "))&amp;F48&amp;IF(J48="",""," → "&amp;J48))</f>
        <v/>
      </c>
      <c r="T48" s="79">
        <f>IF(O48=1,IF(I48="",0,I48),0)</f>
        <v/>
      </c>
      <c r="U48" s="79">
        <f>IF(AND(O48=1,H48="High"),1,0)</f>
        <v/>
      </c>
      <c r="V48" s="79">
        <f>IF(AND(O48=1,C48="Punch item"),1,0)</f>
        <v/>
      </c>
    </row>
    <row r="49" ht="24" customHeight="1">
      <c r="B49" s="125" t="n">
        <v>42</v>
      </c>
      <c r="C49" s="72" t="n"/>
      <c r="D49" s="109" t="n"/>
      <c r="E49" s="72" t="n"/>
      <c r="F49" s="113" t="n"/>
      <c r="G49" s="72" t="n"/>
      <c r="H49" s="74" t="n"/>
      <c r="I49" s="73" t="n"/>
      <c r="J49" s="113" t="n"/>
      <c r="K49" s="109" t="n"/>
      <c r="L49" s="72" t="n"/>
      <c r="M49" s="109" t="n"/>
      <c r="N49" s="72" t="n"/>
      <c r="O49" s="79">
        <f>IF(AND(F49&lt;&gt;"",L49&lt;&gt;"Resolved"),1,0)</f>
        <v/>
      </c>
      <c r="P49" s="79">
        <f>IF(F49="","",IF(O49=0,0,IF(H49="High",2,1)))</f>
        <v/>
      </c>
      <c r="Q49" s="112">
        <f>IF(O49=1,IF(K49&lt;&gt;"",K49,IF(H49="High",AsOf,"")),"")</f>
        <v/>
      </c>
      <c r="R49" s="79">
        <f>IF(Q49="","",IF(H49="High",1,IF(Q49="","",IF(Q49&lt;AsOf,1,IF(Q49&lt;=AsOf+AlertDays,2,IF(Q49&lt;=AsOf+2*AlertDays,3,""))))))</f>
        <v/>
      </c>
      <c r="S49" s="79">
        <f>IF(R49="","",IF(H49="High","High-severity issue: ",IF(C49="Punch item","Punch item: ","Issue action due: "))&amp;F49&amp;IF(J49="",""," → "&amp;J49))</f>
        <v/>
      </c>
      <c r="T49" s="79">
        <f>IF(O49=1,IF(I49="",0,I49),0)</f>
        <v/>
      </c>
      <c r="U49" s="79">
        <f>IF(AND(O49=1,H49="High"),1,0)</f>
        <v/>
      </c>
      <c r="V49" s="79">
        <f>IF(AND(O49=1,C49="Punch item"),1,0)</f>
        <v/>
      </c>
    </row>
    <row r="50" ht="24" customHeight="1">
      <c r="B50" s="125" t="n">
        <v>43</v>
      </c>
      <c r="C50" s="72" t="n"/>
      <c r="D50" s="109" t="n"/>
      <c r="E50" s="72" t="n"/>
      <c r="F50" s="113" t="n"/>
      <c r="G50" s="72" t="n"/>
      <c r="H50" s="74" t="n"/>
      <c r="I50" s="73" t="n"/>
      <c r="J50" s="113" t="n"/>
      <c r="K50" s="109" t="n"/>
      <c r="L50" s="72" t="n"/>
      <c r="M50" s="109" t="n"/>
      <c r="N50" s="72" t="n"/>
      <c r="O50" s="79">
        <f>IF(AND(F50&lt;&gt;"",L50&lt;&gt;"Resolved"),1,0)</f>
        <v/>
      </c>
      <c r="P50" s="79">
        <f>IF(F50="","",IF(O50=0,0,IF(H50="High",2,1)))</f>
        <v/>
      </c>
      <c r="Q50" s="112">
        <f>IF(O50=1,IF(K50&lt;&gt;"",K50,IF(H50="High",AsOf,"")),"")</f>
        <v/>
      </c>
      <c r="R50" s="79">
        <f>IF(Q50="","",IF(H50="High",1,IF(Q50="","",IF(Q50&lt;AsOf,1,IF(Q50&lt;=AsOf+AlertDays,2,IF(Q50&lt;=AsOf+2*AlertDays,3,""))))))</f>
        <v/>
      </c>
      <c r="S50" s="79">
        <f>IF(R50="","",IF(H50="High","High-severity issue: ",IF(C50="Punch item","Punch item: ","Issue action due: "))&amp;F50&amp;IF(J50="",""," → "&amp;J50))</f>
        <v/>
      </c>
      <c r="T50" s="79">
        <f>IF(O50=1,IF(I50="",0,I50),0)</f>
        <v/>
      </c>
      <c r="U50" s="79">
        <f>IF(AND(O50=1,H50="High"),1,0)</f>
        <v/>
      </c>
      <c r="V50" s="79">
        <f>IF(AND(O50=1,C50="Punch item"),1,0)</f>
        <v/>
      </c>
    </row>
    <row r="51" ht="24" customHeight="1">
      <c r="B51" s="125" t="n">
        <v>44</v>
      </c>
      <c r="C51" s="72" t="n"/>
      <c r="D51" s="109" t="n"/>
      <c r="E51" s="72" t="n"/>
      <c r="F51" s="113" t="n"/>
      <c r="G51" s="72" t="n"/>
      <c r="H51" s="74" t="n"/>
      <c r="I51" s="73" t="n"/>
      <c r="J51" s="113" t="n"/>
      <c r="K51" s="109" t="n"/>
      <c r="L51" s="72" t="n"/>
      <c r="M51" s="109" t="n"/>
      <c r="N51" s="72" t="n"/>
      <c r="O51" s="79">
        <f>IF(AND(F51&lt;&gt;"",L51&lt;&gt;"Resolved"),1,0)</f>
        <v/>
      </c>
      <c r="P51" s="79">
        <f>IF(F51="","",IF(O51=0,0,IF(H51="High",2,1)))</f>
        <v/>
      </c>
      <c r="Q51" s="112">
        <f>IF(O51=1,IF(K51&lt;&gt;"",K51,IF(H51="High",AsOf,"")),"")</f>
        <v/>
      </c>
      <c r="R51" s="79">
        <f>IF(Q51="","",IF(H51="High",1,IF(Q51="","",IF(Q51&lt;AsOf,1,IF(Q51&lt;=AsOf+AlertDays,2,IF(Q51&lt;=AsOf+2*AlertDays,3,""))))))</f>
        <v/>
      </c>
      <c r="S51" s="79">
        <f>IF(R51="","",IF(H51="High","High-severity issue: ",IF(C51="Punch item","Punch item: ","Issue action due: "))&amp;F51&amp;IF(J51="",""," → "&amp;J51))</f>
        <v/>
      </c>
      <c r="T51" s="79">
        <f>IF(O51=1,IF(I51="",0,I51),0)</f>
        <v/>
      </c>
      <c r="U51" s="79">
        <f>IF(AND(O51=1,H51="High"),1,0)</f>
        <v/>
      </c>
      <c r="V51" s="79">
        <f>IF(AND(O51=1,C51="Punch item"),1,0)</f>
        <v/>
      </c>
    </row>
    <row r="52" ht="24" customHeight="1">
      <c r="B52" s="125" t="n">
        <v>45</v>
      </c>
      <c r="C52" s="72" t="n"/>
      <c r="D52" s="109" t="n"/>
      <c r="E52" s="72" t="n"/>
      <c r="F52" s="113" t="n"/>
      <c r="G52" s="72" t="n"/>
      <c r="H52" s="74" t="n"/>
      <c r="I52" s="73" t="n"/>
      <c r="J52" s="113" t="n"/>
      <c r="K52" s="109" t="n"/>
      <c r="L52" s="72" t="n"/>
      <c r="M52" s="109" t="n"/>
      <c r="N52" s="72" t="n"/>
      <c r="O52" s="79">
        <f>IF(AND(F52&lt;&gt;"",L52&lt;&gt;"Resolved"),1,0)</f>
        <v/>
      </c>
      <c r="P52" s="79">
        <f>IF(F52="","",IF(O52=0,0,IF(H52="High",2,1)))</f>
        <v/>
      </c>
      <c r="Q52" s="112">
        <f>IF(O52=1,IF(K52&lt;&gt;"",K52,IF(H52="High",AsOf,"")),"")</f>
        <v/>
      </c>
      <c r="R52" s="79">
        <f>IF(Q52="","",IF(H52="High",1,IF(Q52="","",IF(Q52&lt;AsOf,1,IF(Q52&lt;=AsOf+AlertDays,2,IF(Q52&lt;=AsOf+2*AlertDays,3,""))))))</f>
        <v/>
      </c>
      <c r="S52" s="79">
        <f>IF(R52="","",IF(H52="High","High-severity issue: ",IF(C52="Punch item","Punch item: ","Issue action due: "))&amp;F52&amp;IF(J52="",""," → "&amp;J52))</f>
        <v/>
      </c>
      <c r="T52" s="79">
        <f>IF(O52=1,IF(I52="",0,I52),0)</f>
        <v/>
      </c>
      <c r="U52" s="79">
        <f>IF(AND(O52=1,H52="High"),1,0)</f>
        <v/>
      </c>
      <c r="V52" s="79">
        <f>IF(AND(O52=1,C52="Punch item"),1,0)</f>
        <v/>
      </c>
    </row>
    <row r="53" ht="24" customHeight="1">
      <c r="B53" s="125" t="n">
        <v>46</v>
      </c>
      <c r="C53" s="72" t="n"/>
      <c r="D53" s="109" t="n"/>
      <c r="E53" s="72" t="n"/>
      <c r="F53" s="113" t="n"/>
      <c r="G53" s="72" t="n"/>
      <c r="H53" s="74" t="n"/>
      <c r="I53" s="73" t="n"/>
      <c r="J53" s="113" t="n"/>
      <c r="K53" s="109" t="n"/>
      <c r="L53" s="72" t="n"/>
      <c r="M53" s="109" t="n"/>
      <c r="N53" s="72" t="n"/>
      <c r="O53" s="79">
        <f>IF(AND(F53&lt;&gt;"",L53&lt;&gt;"Resolved"),1,0)</f>
        <v/>
      </c>
      <c r="P53" s="79">
        <f>IF(F53="","",IF(O53=0,0,IF(H53="High",2,1)))</f>
        <v/>
      </c>
      <c r="Q53" s="112">
        <f>IF(O53=1,IF(K53&lt;&gt;"",K53,IF(H53="High",AsOf,"")),"")</f>
        <v/>
      </c>
      <c r="R53" s="79">
        <f>IF(Q53="","",IF(H53="High",1,IF(Q53="","",IF(Q53&lt;AsOf,1,IF(Q53&lt;=AsOf+AlertDays,2,IF(Q53&lt;=AsOf+2*AlertDays,3,""))))))</f>
        <v/>
      </c>
      <c r="S53" s="79">
        <f>IF(R53="","",IF(H53="High","High-severity issue: ",IF(C53="Punch item","Punch item: ","Issue action due: "))&amp;F53&amp;IF(J53="",""," → "&amp;J53))</f>
        <v/>
      </c>
      <c r="T53" s="79">
        <f>IF(O53=1,IF(I53="",0,I53),0)</f>
        <v/>
      </c>
      <c r="U53" s="79">
        <f>IF(AND(O53=1,H53="High"),1,0)</f>
        <v/>
      </c>
      <c r="V53" s="79">
        <f>IF(AND(O53=1,C53="Punch item"),1,0)</f>
        <v/>
      </c>
    </row>
    <row r="54" ht="24" customHeight="1">
      <c r="B54" s="125" t="n">
        <v>47</v>
      </c>
      <c r="C54" s="72" t="n"/>
      <c r="D54" s="109" t="n"/>
      <c r="E54" s="72" t="n"/>
      <c r="F54" s="113" t="n"/>
      <c r="G54" s="72" t="n"/>
      <c r="H54" s="74" t="n"/>
      <c r="I54" s="73" t="n"/>
      <c r="J54" s="113" t="n"/>
      <c r="K54" s="109" t="n"/>
      <c r="L54" s="72" t="n"/>
      <c r="M54" s="109" t="n"/>
      <c r="N54" s="72" t="n"/>
      <c r="O54" s="79">
        <f>IF(AND(F54&lt;&gt;"",L54&lt;&gt;"Resolved"),1,0)</f>
        <v/>
      </c>
      <c r="P54" s="79">
        <f>IF(F54="","",IF(O54=0,0,IF(H54="High",2,1)))</f>
        <v/>
      </c>
      <c r="Q54" s="112">
        <f>IF(O54=1,IF(K54&lt;&gt;"",K54,IF(H54="High",AsOf,"")),"")</f>
        <v/>
      </c>
      <c r="R54" s="79">
        <f>IF(Q54="","",IF(H54="High",1,IF(Q54="","",IF(Q54&lt;AsOf,1,IF(Q54&lt;=AsOf+AlertDays,2,IF(Q54&lt;=AsOf+2*AlertDays,3,""))))))</f>
        <v/>
      </c>
      <c r="S54" s="79">
        <f>IF(R54="","",IF(H54="High","High-severity issue: ",IF(C54="Punch item","Punch item: ","Issue action due: "))&amp;F54&amp;IF(J54="",""," → "&amp;J54))</f>
        <v/>
      </c>
      <c r="T54" s="79">
        <f>IF(O54=1,IF(I54="",0,I54),0)</f>
        <v/>
      </c>
      <c r="U54" s="79">
        <f>IF(AND(O54=1,H54="High"),1,0)</f>
        <v/>
      </c>
      <c r="V54" s="79">
        <f>IF(AND(O54=1,C54="Punch item"),1,0)</f>
        <v/>
      </c>
    </row>
    <row r="55" ht="24" customHeight="1">
      <c r="B55" s="125" t="n">
        <v>48</v>
      </c>
      <c r="C55" s="72" t="n"/>
      <c r="D55" s="109" t="n"/>
      <c r="E55" s="72" t="n"/>
      <c r="F55" s="113" t="n"/>
      <c r="G55" s="72" t="n"/>
      <c r="H55" s="74" t="n"/>
      <c r="I55" s="73" t="n"/>
      <c r="J55" s="113" t="n"/>
      <c r="K55" s="109" t="n"/>
      <c r="L55" s="72" t="n"/>
      <c r="M55" s="109" t="n"/>
      <c r="N55" s="72" t="n"/>
      <c r="O55" s="79">
        <f>IF(AND(F55&lt;&gt;"",L55&lt;&gt;"Resolved"),1,0)</f>
        <v/>
      </c>
      <c r="P55" s="79">
        <f>IF(F55="","",IF(O55=0,0,IF(H55="High",2,1)))</f>
        <v/>
      </c>
      <c r="Q55" s="112">
        <f>IF(O55=1,IF(K55&lt;&gt;"",K55,IF(H55="High",AsOf,"")),"")</f>
        <v/>
      </c>
      <c r="R55" s="79">
        <f>IF(Q55="","",IF(H55="High",1,IF(Q55="","",IF(Q55&lt;AsOf,1,IF(Q55&lt;=AsOf+AlertDays,2,IF(Q55&lt;=AsOf+2*AlertDays,3,""))))))</f>
        <v/>
      </c>
      <c r="S55" s="79">
        <f>IF(R55="","",IF(H55="High","High-severity issue: ",IF(C55="Punch item","Punch item: ","Issue action due: "))&amp;F55&amp;IF(J55="",""," → "&amp;J55))</f>
        <v/>
      </c>
      <c r="T55" s="79">
        <f>IF(O55=1,IF(I55="",0,I55),0)</f>
        <v/>
      </c>
      <c r="U55" s="79">
        <f>IF(AND(O55=1,H55="High"),1,0)</f>
        <v/>
      </c>
      <c r="V55" s="79">
        <f>IF(AND(O55=1,C55="Punch item"),1,0)</f>
        <v/>
      </c>
    </row>
    <row r="56" ht="24" customHeight="1">
      <c r="B56" s="125" t="n">
        <v>49</v>
      </c>
      <c r="C56" s="72" t="n"/>
      <c r="D56" s="109" t="n"/>
      <c r="E56" s="72" t="n"/>
      <c r="F56" s="113" t="n"/>
      <c r="G56" s="72" t="n"/>
      <c r="H56" s="74" t="n"/>
      <c r="I56" s="73" t="n"/>
      <c r="J56" s="113" t="n"/>
      <c r="K56" s="109" t="n"/>
      <c r="L56" s="72" t="n"/>
      <c r="M56" s="109" t="n"/>
      <c r="N56" s="72" t="n"/>
      <c r="O56" s="79">
        <f>IF(AND(F56&lt;&gt;"",L56&lt;&gt;"Resolved"),1,0)</f>
        <v/>
      </c>
      <c r="P56" s="79">
        <f>IF(F56="","",IF(O56=0,0,IF(H56="High",2,1)))</f>
        <v/>
      </c>
      <c r="Q56" s="112">
        <f>IF(O56=1,IF(K56&lt;&gt;"",K56,IF(H56="High",AsOf,"")),"")</f>
        <v/>
      </c>
      <c r="R56" s="79">
        <f>IF(Q56="","",IF(H56="High",1,IF(Q56="","",IF(Q56&lt;AsOf,1,IF(Q56&lt;=AsOf+AlertDays,2,IF(Q56&lt;=AsOf+2*AlertDays,3,""))))))</f>
        <v/>
      </c>
      <c r="S56" s="79">
        <f>IF(R56="","",IF(H56="High","High-severity issue: ",IF(C56="Punch item","Punch item: ","Issue action due: "))&amp;F56&amp;IF(J56="",""," → "&amp;J56))</f>
        <v/>
      </c>
      <c r="T56" s="79">
        <f>IF(O56=1,IF(I56="",0,I56),0)</f>
        <v/>
      </c>
      <c r="U56" s="79">
        <f>IF(AND(O56=1,H56="High"),1,0)</f>
        <v/>
      </c>
      <c r="V56" s="79">
        <f>IF(AND(O56=1,C56="Punch item"),1,0)</f>
        <v/>
      </c>
    </row>
    <row r="57" ht="24" customHeight="1">
      <c r="B57" s="125" t="n">
        <v>50</v>
      </c>
      <c r="C57" s="72" t="n"/>
      <c r="D57" s="109" t="n"/>
      <c r="E57" s="72" t="n"/>
      <c r="F57" s="113" t="n"/>
      <c r="G57" s="72" t="n"/>
      <c r="H57" s="74" t="n"/>
      <c r="I57" s="73" t="n"/>
      <c r="J57" s="113" t="n"/>
      <c r="K57" s="109" t="n"/>
      <c r="L57" s="72" t="n"/>
      <c r="M57" s="109" t="n"/>
      <c r="N57" s="72" t="n"/>
      <c r="O57" s="79">
        <f>IF(AND(F57&lt;&gt;"",L57&lt;&gt;"Resolved"),1,0)</f>
        <v/>
      </c>
      <c r="P57" s="79">
        <f>IF(F57="","",IF(O57=0,0,IF(H57="High",2,1)))</f>
        <v/>
      </c>
      <c r="Q57" s="112">
        <f>IF(O57=1,IF(K57&lt;&gt;"",K57,IF(H57="High",AsOf,"")),"")</f>
        <v/>
      </c>
      <c r="R57" s="79">
        <f>IF(Q57="","",IF(H57="High",1,IF(Q57="","",IF(Q57&lt;AsOf,1,IF(Q57&lt;=AsOf+AlertDays,2,IF(Q57&lt;=AsOf+2*AlertDays,3,""))))))</f>
        <v/>
      </c>
      <c r="S57" s="79">
        <f>IF(R57="","",IF(H57="High","High-severity issue: ",IF(C57="Punch item","Punch item: ","Issue action due: "))&amp;F57&amp;IF(J57="",""," → "&amp;J57))</f>
        <v/>
      </c>
      <c r="T57" s="79">
        <f>IF(O57=1,IF(I57="",0,I57),0)</f>
        <v/>
      </c>
      <c r="U57" s="79">
        <f>IF(AND(O57=1,H57="High"),1,0)</f>
        <v/>
      </c>
      <c r="V57" s="79">
        <f>IF(AND(O57=1,C57="Punch item"),1,0)</f>
        <v/>
      </c>
    </row>
    <row r="58" ht="24" customHeight="1">
      <c r="B58" s="125" t="n">
        <v>51</v>
      </c>
      <c r="C58" s="72" t="n"/>
      <c r="D58" s="109" t="n"/>
      <c r="E58" s="72" t="n"/>
      <c r="F58" s="113" t="n"/>
      <c r="G58" s="72" t="n"/>
      <c r="H58" s="74" t="n"/>
      <c r="I58" s="73" t="n"/>
      <c r="J58" s="113" t="n"/>
      <c r="K58" s="109" t="n"/>
      <c r="L58" s="72" t="n"/>
      <c r="M58" s="109" t="n"/>
      <c r="N58" s="72" t="n"/>
      <c r="O58" s="79">
        <f>IF(AND(F58&lt;&gt;"",L58&lt;&gt;"Resolved"),1,0)</f>
        <v/>
      </c>
      <c r="P58" s="79">
        <f>IF(F58="","",IF(O58=0,0,IF(H58="High",2,1)))</f>
        <v/>
      </c>
      <c r="Q58" s="112">
        <f>IF(O58=1,IF(K58&lt;&gt;"",K58,IF(H58="High",AsOf,"")),"")</f>
        <v/>
      </c>
      <c r="R58" s="79">
        <f>IF(Q58="","",IF(H58="High",1,IF(Q58="","",IF(Q58&lt;AsOf,1,IF(Q58&lt;=AsOf+AlertDays,2,IF(Q58&lt;=AsOf+2*AlertDays,3,""))))))</f>
        <v/>
      </c>
      <c r="S58" s="79">
        <f>IF(R58="","",IF(H58="High","High-severity issue: ",IF(C58="Punch item","Punch item: ","Issue action due: "))&amp;F58&amp;IF(J58="",""," → "&amp;J58))</f>
        <v/>
      </c>
      <c r="T58" s="79">
        <f>IF(O58=1,IF(I58="",0,I58),0)</f>
        <v/>
      </c>
      <c r="U58" s="79">
        <f>IF(AND(O58=1,H58="High"),1,0)</f>
        <v/>
      </c>
      <c r="V58" s="79">
        <f>IF(AND(O58=1,C58="Punch item"),1,0)</f>
        <v/>
      </c>
    </row>
    <row r="59" ht="24" customHeight="1">
      <c r="B59" s="125" t="n">
        <v>52</v>
      </c>
      <c r="C59" s="72" t="n"/>
      <c r="D59" s="109" t="n"/>
      <c r="E59" s="72" t="n"/>
      <c r="F59" s="113" t="n"/>
      <c r="G59" s="72" t="n"/>
      <c r="H59" s="74" t="n"/>
      <c r="I59" s="73" t="n"/>
      <c r="J59" s="113" t="n"/>
      <c r="K59" s="109" t="n"/>
      <c r="L59" s="72" t="n"/>
      <c r="M59" s="109" t="n"/>
      <c r="N59" s="72" t="n"/>
      <c r="O59" s="79">
        <f>IF(AND(F59&lt;&gt;"",L59&lt;&gt;"Resolved"),1,0)</f>
        <v/>
      </c>
      <c r="P59" s="79">
        <f>IF(F59="","",IF(O59=0,0,IF(H59="High",2,1)))</f>
        <v/>
      </c>
      <c r="Q59" s="112">
        <f>IF(O59=1,IF(K59&lt;&gt;"",K59,IF(H59="High",AsOf,"")),"")</f>
        <v/>
      </c>
      <c r="R59" s="79">
        <f>IF(Q59="","",IF(H59="High",1,IF(Q59="","",IF(Q59&lt;AsOf,1,IF(Q59&lt;=AsOf+AlertDays,2,IF(Q59&lt;=AsOf+2*AlertDays,3,""))))))</f>
        <v/>
      </c>
      <c r="S59" s="79">
        <f>IF(R59="","",IF(H59="High","High-severity issue: ",IF(C59="Punch item","Punch item: ","Issue action due: "))&amp;F59&amp;IF(J59="",""," → "&amp;J59))</f>
        <v/>
      </c>
      <c r="T59" s="79">
        <f>IF(O59=1,IF(I59="",0,I59),0)</f>
        <v/>
      </c>
      <c r="U59" s="79">
        <f>IF(AND(O59=1,H59="High"),1,0)</f>
        <v/>
      </c>
      <c r="V59" s="79">
        <f>IF(AND(O59=1,C59="Punch item"),1,0)</f>
        <v/>
      </c>
    </row>
    <row r="60" ht="24" customHeight="1">
      <c r="B60" s="125" t="n">
        <v>53</v>
      </c>
      <c r="C60" s="72" t="n"/>
      <c r="D60" s="109" t="n"/>
      <c r="E60" s="72" t="n"/>
      <c r="F60" s="113" t="n"/>
      <c r="G60" s="72" t="n"/>
      <c r="H60" s="74" t="n"/>
      <c r="I60" s="73" t="n"/>
      <c r="J60" s="113" t="n"/>
      <c r="K60" s="109" t="n"/>
      <c r="L60" s="72" t="n"/>
      <c r="M60" s="109" t="n"/>
      <c r="N60" s="72" t="n"/>
      <c r="O60" s="79">
        <f>IF(AND(F60&lt;&gt;"",L60&lt;&gt;"Resolved"),1,0)</f>
        <v/>
      </c>
      <c r="P60" s="79">
        <f>IF(F60="","",IF(O60=0,0,IF(H60="High",2,1)))</f>
        <v/>
      </c>
      <c r="Q60" s="112">
        <f>IF(O60=1,IF(K60&lt;&gt;"",K60,IF(H60="High",AsOf,"")),"")</f>
        <v/>
      </c>
      <c r="R60" s="79">
        <f>IF(Q60="","",IF(H60="High",1,IF(Q60="","",IF(Q60&lt;AsOf,1,IF(Q60&lt;=AsOf+AlertDays,2,IF(Q60&lt;=AsOf+2*AlertDays,3,""))))))</f>
        <v/>
      </c>
      <c r="S60" s="79">
        <f>IF(R60="","",IF(H60="High","High-severity issue: ",IF(C60="Punch item","Punch item: ","Issue action due: "))&amp;F60&amp;IF(J60="",""," → "&amp;J60))</f>
        <v/>
      </c>
      <c r="T60" s="79">
        <f>IF(O60=1,IF(I60="",0,I60),0)</f>
        <v/>
      </c>
      <c r="U60" s="79">
        <f>IF(AND(O60=1,H60="High"),1,0)</f>
        <v/>
      </c>
      <c r="V60" s="79">
        <f>IF(AND(O60=1,C60="Punch item"),1,0)</f>
        <v/>
      </c>
    </row>
    <row r="61" ht="24" customHeight="1">
      <c r="B61" s="125" t="n">
        <v>54</v>
      </c>
      <c r="C61" s="72" t="n"/>
      <c r="D61" s="109" t="n"/>
      <c r="E61" s="72" t="n"/>
      <c r="F61" s="113" t="n"/>
      <c r="G61" s="72" t="n"/>
      <c r="H61" s="74" t="n"/>
      <c r="I61" s="73" t="n"/>
      <c r="J61" s="113" t="n"/>
      <c r="K61" s="109" t="n"/>
      <c r="L61" s="72" t="n"/>
      <c r="M61" s="109" t="n"/>
      <c r="N61" s="72" t="n"/>
      <c r="O61" s="79">
        <f>IF(AND(F61&lt;&gt;"",L61&lt;&gt;"Resolved"),1,0)</f>
        <v/>
      </c>
      <c r="P61" s="79">
        <f>IF(F61="","",IF(O61=0,0,IF(H61="High",2,1)))</f>
        <v/>
      </c>
      <c r="Q61" s="112">
        <f>IF(O61=1,IF(K61&lt;&gt;"",K61,IF(H61="High",AsOf,"")),"")</f>
        <v/>
      </c>
      <c r="R61" s="79">
        <f>IF(Q61="","",IF(H61="High",1,IF(Q61="","",IF(Q61&lt;AsOf,1,IF(Q61&lt;=AsOf+AlertDays,2,IF(Q61&lt;=AsOf+2*AlertDays,3,""))))))</f>
        <v/>
      </c>
      <c r="S61" s="79">
        <f>IF(R61="","",IF(H61="High","High-severity issue: ",IF(C61="Punch item","Punch item: ","Issue action due: "))&amp;F61&amp;IF(J61="",""," → "&amp;J61))</f>
        <v/>
      </c>
      <c r="T61" s="79">
        <f>IF(O61=1,IF(I61="",0,I61),0)</f>
        <v/>
      </c>
      <c r="U61" s="79">
        <f>IF(AND(O61=1,H61="High"),1,0)</f>
        <v/>
      </c>
      <c r="V61" s="79">
        <f>IF(AND(O61=1,C61="Punch item"),1,0)</f>
        <v/>
      </c>
    </row>
    <row r="62" ht="24" customHeight="1">
      <c r="B62" s="125" t="n">
        <v>55</v>
      </c>
      <c r="C62" s="72" t="n"/>
      <c r="D62" s="109" t="n"/>
      <c r="E62" s="72" t="n"/>
      <c r="F62" s="113" t="n"/>
      <c r="G62" s="72" t="n"/>
      <c r="H62" s="74" t="n"/>
      <c r="I62" s="73" t="n"/>
      <c r="J62" s="113" t="n"/>
      <c r="K62" s="109" t="n"/>
      <c r="L62" s="72" t="n"/>
      <c r="M62" s="109" t="n"/>
      <c r="N62" s="72" t="n"/>
      <c r="O62" s="79">
        <f>IF(AND(F62&lt;&gt;"",L62&lt;&gt;"Resolved"),1,0)</f>
        <v/>
      </c>
      <c r="P62" s="79">
        <f>IF(F62="","",IF(O62=0,0,IF(H62="High",2,1)))</f>
        <v/>
      </c>
      <c r="Q62" s="112">
        <f>IF(O62=1,IF(K62&lt;&gt;"",K62,IF(H62="High",AsOf,"")),"")</f>
        <v/>
      </c>
      <c r="R62" s="79">
        <f>IF(Q62="","",IF(H62="High",1,IF(Q62="","",IF(Q62&lt;AsOf,1,IF(Q62&lt;=AsOf+AlertDays,2,IF(Q62&lt;=AsOf+2*AlertDays,3,""))))))</f>
        <v/>
      </c>
      <c r="S62" s="79">
        <f>IF(R62="","",IF(H62="High","High-severity issue: ",IF(C62="Punch item","Punch item: ","Issue action due: "))&amp;F62&amp;IF(J62="",""," → "&amp;J62))</f>
        <v/>
      </c>
      <c r="T62" s="79">
        <f>IF(O62=1,IF(I62="",0,I62),0)</f>
        <v/>
      </c>
      <c r="U62" s="79">
        <f>IF(AND(O62=1,H62="High"),1,0)</f>
        <v/>
      </c>
      <c r="V62" s="79">
        <f>IF(AND(O62=1,C62="Punch item"),1,0)</f>
        <v/>
      </c>
    </row>
    <row r="63" ht="24" customHeight="1">
      <c r="B63" s="125" t="n">
        <v>56</v>
      </c>
      <c r="C63" s="72" t="n"/>
      <c r="D63" s="109" t="n"/>
      <c r="E63" s="72" t="n"/>
      <c r="F63" s="113" t="n"/>
      <c r="G63" s="72" t="n"/>
      <c r="H63" s="74" t="n"/>
      <c r="I63" s="73" t="n"/>
      <c r="J63" s="113" t="n"/>
      <c r="K63" s="109" t="n"/>
      <c r="L63" s="72" t="n"/>
      <c r="M63" s="109" t="n"/>
      <c r="N63" s="72" t="n"/>
      <c r="O63" s="79">
        <f>IF(AND(F63&lt;&gt;"",L63&lt;&gt;"Resolved"),1,0)</f>
        <v/>
      </c>
      <c r="P63" s="79">
        <f>IF(F63="","",IF(O63=0,0,IF(H63="High",2,1)))</f>
        <v/>
      </c>
      <c r="Q63" s="112">
        <f>IF(O63=1,IF(K63&lt;&gt;"",K63,IF(H63="High",AsOf,"")),"")</f>
        <v/>
      </c>
      <c r="R63" s="79">
        <f>IF(Q63="","",IF(H63="High",1,IF(Q63="","",IF(Q63&lt;AsOf,1,IF(Q63&lt;=AsOf+AlertDays,2,IF(Q63&lt;=AsOf+2*AlertDays,3,""))))))</f>
        <v/>
      </c>
      <c r="S63" s="79">
        <f>IF(R63="","",IF(H63="High","High-severity issue: ",IF(C63="Punch item","Punch item: ","Issue action due: "))&amp;F63&amp;IF(J63="",""," → "&amp;J63))</f>
        <v/>
      </c>
      <c r="T63" s="79">
        <f>IF(O63=1,IF(I63="",0,I63),0)</f>
        <v/>
      </c>
      <c r="U63" s="79">
        <f>IF(AND(O63=1,H63="High"),1,0)</f>
        <v/>
      </c>
      <c r="V63" s="79">
        <f>IF(AND(O63=1,C63="Punch item"),1,0)</f>
        <v/>
      </c>
    </row>
    <row r="64" ht="24" customHeight="1">
      <c r="B64" s="125" t="n">
        <v>57</v>
      </c>
      <c r="C64" s="72" t="n"/>
      <c r="D64" s="109" t="n"/>
      <c r="E64" s="72" t="n"/>
      <c r="F64" s="113" t="n"/>
      <c r="G64" s="72" t="n"/>
      <c r="H64" s="74" t="n"/>
      <c r="I64" s="73" t="n"/>
      <c r="J64" s="113" t="n"/>
      <c r="K64" s="109" t="n"/>
      <c r="L64" s="72" t="n"/>
      <c r="M64" s="109" t="n"/>
      <c r="N64" s="72" t="n"/>
      <c r="O64" s="79">
        <f>IF(AND(F64&lt;&gt;"",L64&lt;&gt;"Resolved"),1,0)</f>
        <v/>
      </c>
      <c r="P64" s="79">
        <f>IF(F64="","",IF(O64=0,0,IF(H64="High",2,1)))</f>
        <v/>
      </c>
      <c r="Q64" s="112">
        <f>IF(O64=1,IF(K64&lt;&gt;"",K64,IF(H64="High",AsOf,"")),"")</f>
        <v/>
      </c>
      <c r="R64" s="79">
        <f>IF(Q64="","",IF(H64="High",1,IF(Q64="","",IF(Q64&lt;AsOf,1,IF(Q64&lt;=AsOf+AlertDays,2,IF(Q64&lt;=AsOf+2*AlertDays,3,""))))))</f>
        <v/>
      </c>
      <c r="S64" s="79">
        <f>IF(R64="","",IF(H64="High","High-severity issue: ",IF(C64="Punch item","Punch item: ","Issue action due: "))&amp;F64&amp;IF(J64="",""," → "&amp;J64))</f>
        <v/>
      </c>
      <c r="T64" s="79">
        <f>IF(O64=1,IF(I64="",0,I64),0)</f>
        <v/>
      </c>
      <c r="U64" s="79">
        <f>IF(AND(O64=1,H64="High"),1,0)</f>
        <v/>
      </c>
      <c r="V64" s="79">
        <f>IF(AND(O64=1,C64="Punch item"),1,0)</f>
        <v/>
      </c>
    </row>
    <row r="65" ht="24" customHeight="1">
      <c r="B65" s="125" t="n">
        <v>58</v>
      </c>
      <c r="C65" s="72" t="n"/>
      <c r="D65" s="109" t="n"/>
      <c r="E65" s="72" t="n"/>
      <c r="F65" s="113" t="n"/>
      <c r="G65" s="72" t="n"/>
      <c r="H65" s="74" t="n"/>
      <c r="I65" s="73" t="n"/>
      <c r="J65" s="113" t="n"/>
      <c r="K65" s="109" t="n"/>
      <c r="L65" s="72" t="n"/>
      <c r="M65" s="109" t="n"/>
      <c r="N65" s="72" t="n"/>
      <c r="O65" s="79">
        <f>IF(AND(F65&lt;&gt;"",L65&lt;&gt;"Resolved"),1,0)</f>
        <v/>
      </c>
      <c r="P65" s="79">
        <f>IF(F65="","",IF(O65=0,0,IF(H65="High",2,1)))</f>
        <v/>
      </c>
      <c r="Q65" s="112">
        <f>IF(O65=1,IF(K65&lt;&gt;"",K65,IF(H65="High",AsOf,"")),"")</f>
        <v/>
      </c>
      <c r="R65" s="79">
        <f>IF(Q65="","",IF(H65="High",1,IF(Q65="","",IF(Q65&lt;AsOf,1,IF(Q65&lt;=AsOf+AlertDays,2,IF(Q65&lt;=AsOf+2*AlertDays,3,""))))))</f>
        <v/>
      </c>
      <c r="S65" s="79">
        <f>IF(R65="","",IF(H65="High","High-severity issue: ",IF(C65="Punch item","Punch item: ","Issue action due: "))&amp;F65&amp;IF(J65="",""," → "&amp;J65))</f>
        <v/>
      </c>
      <c r="T65" s="79">
        <f>IF(O65=1,IF(I65="",0,I65),0)</f>
        <v/>
      </c>
      <c r="U65" s="79">
        <f>IF(AND(O65=1,H65="High"),1,0)</f>
        <v/>
      </c>
      <c r="V65" s="79">
        <f>IF(AND(O65=1,C65="Punch item"),1,0)</f>
        <v/>
      </c>
    </row>
    <row r="66" ht="24" customHeight="1">
      <c r="B66" s="125" t="n">
        <v>59</v>
      </c>
      <c r="C66" s="72" t="n"/>
      <c r="D66" s="109" t="n"/>
      <c r="E66" s="72" t="n"/>
      <c r="F66" s="113" t="n"/>
      <c r="G66" s="72" t="n"/>
      <c r="H66" s="74" t="n"/>
      <c r="I66" s="73" t="n"/>
      <c r="J66" s="113" t="n"/>
      <c r="K66" s="109" t="n"/>
      <c r="L66" s="72" t="n"/>
      <c r="M66" s="109" t="n"/>
      <c r="N66" s="72" t="n"/>
      <c r="O66" s="79">
        <f>IF(AND(F66&lt;&gt;"",L66&lt;&gt;"Resolved"),1,0)</f>
        <v/>
      </c>
      <c r="P66" s="79">
        <f>IF(F66="","",IF(O66=0,0,IF(H66="High",2,1)))</f>
        <v/>
      </c>
      <c r="Q66" s="112">
        <f>IF(O66=1,IF(K66&lt;&gt;"",K66,IF(H66="High",AsOf,"")),"")</f>
        <v/>
      </c>
      <c r="R66" s="79">
        <f>IF(Q66="","",IF(H66="High",1,IF(Q66="","",IF(Q66&lt;AsOf,1,IF(Q66&lt;=AsOf+AlertDays,2,IF(Q66&lt;=AsOf+2*AlertDays,3,""))))))</f>
        <v/>
      </c>
      <c r="S66" s="79">
        <f>IF(R66="","",IF(H66="High","High-severity issue: ",IF(C66="Punch item","Punch item: ","Issue action due: "))&amp;F66&amp;IF(J66="",""," → "&amp;J66))</f>
        <v/>
      </c>
      <c r="T66" s="79">
        <f>IF(O66=1,IF(I66="",0,I66),0)</f>
        <v/>
      </c>
      <c r="U66" s="79">
        <f>IF(AND(O66=1,H66="High"),1,0)</f>
        <v/>
      </c>
      <c r="V66" s="79">
        <f>IF(AND(O66=1,C66="Punch item"),1,0)</f>
        <v/>
      </c>
    </row>
    <row r="67" ht="24" customHeight="1">
      <c r="B67" s="125" t="n">
        <v>60</v>
      </c>
      <c r="C67" s="72" t="n"/>
      <c r="D67" s="109" t="n"/>
      <c r="E67" s="72" t="n"/>
      <c r="F67" s="113" t="n"/>
      <c r="G67" s="72" t="n"/>
      <c r="H67" s="74" t="n"/>
      <c r="I67" s="73" t="n"/>
      <c r="J67" s="113" t="n"/>
      <c r="K67" s="109" t="n"/>
      <c r="L67" s="72" t="n"/>
      <c r="M67" s="109" t="n"/>
      <c r="N67" s="72" t="n"/>
      <c r="O67" s="79">
        <f>IF(AND(F67&lt;&gt;"",L67&lt;&gt;"Resolved"),1,0)</f>
        <v/>
      </c>
      <c r="P67" s="79">
        <f>IF(F67="","",IF(O67=0,0,IF(H67="High",2,1)))</f>
        <v/>
      </c>
      <c r="Q67" s="112">
        <f>IF(O67=1,IF(K67&lt;&gt;"",K67,IF(H67="High",AsOf,"")),"")</f>
        <v/>
      </c>
      <c r="R67" s="79">
        <f>IF(Q67="","",IF(H67="High",1,IF(Q67="","",IF(Q67&lt;AsOf,1,IF(Q67&lt;=AsOf+AlertDays,2,IF(Q67&lt;=AsOf+2*AlertDays,3,""))))))</f>
        <v/>
      </c>
      <c r="S67" s="79">
        <f>IF(R67="","",IF(H67="High","High-severity issue: ",IF(C67="Punch item","Punch item: ","Issue action due: "))&amp;F67&amp;IF(J67="",""," → "&amp;J67))</f>
        <v/>
      </c>
      <c r="T67" s="79">
        <f>IF(O67=1,IF(I67="",0,I67),0)</f>
        <v/>
      </c>
      <c r="U67" s="79">
        <f>IF(AND(O67=1,H67="High"),1,0)</f>
        <v/>
      </c>
      <c r="V67" s="79">
        <f>IF(AND(O67=1,C67="Punch item"),1,0)</f>
        <v/>
      </c>
    </row>
    <row r="68" ht="24" customHeight="1">
      <c r="B68" s="125" t="n">
        <v>61</v>
      </c>
      <c r="C68" s="72" t="n"/>
      <c r="D68" s="109" t="n"/>
      <c r="E68" s="72" t="n"/>
      <c r="F68" s="113" t="n"/>
      <c r="G68" s="72" t="n"/>
      <c r="H68" s="74" t="n"/>
      <c r="I68" s="73" t="n"/>
      <c r="J68" s="113" t="n"/>
      <c r="K68" s="109" t="n"/>
      <c r="L68" s="72" t="n"/>
      <c r="M68" s="109" t="n"/>
      <c r="N68" s="72" t="n"/>
      <c r="O68" s="79">
        <f>IF(AND(F68&lt;&gt;"",L68&lt;&gt;"Resolved"),1,0)</f>
        <v/>
      </c>
      <c r="P68" s="79">
        <f>IF(F68="","",IF(O68=0,0,IF(H68="High",2,1)))</f>
        <v/>
      </c>
      <c r="Q68" s="112">
        <f>IF(O68=1,IF(K68&lt;&gt;"",K68,IF(H68="High",AsOf,"")),"")</f>
        <v/>
      </c>
      <c r="R68" s="79">
        <f>IF(Q68="","",IF(H68="High",1,IF(Q68="","",IF(Q68&lt;AsOf,1,IF(Q68&lt;=AsOf+AlertDays,2,IF(Q68&lt;=AsOf+2*AlertDays,3,""))))))</f>
        <v/>
      </c>
      <c r="S68" s="79">
        <f>IF(R68="","",IF(H68="High","High-severity issue: ",IF(C68="Punch item","Punch item: ","Issue action due: "))&amp;F68&amp;IF(J68="",""," → "&amp;J68))</f>
        <v/>
      </c>
      <c r="T68" s="79">
        <f>IF(O68=1,IF(I68="",0,I68),0)</f>
        <v/>
      </c>
      <c r="U68" s="79">
        <f>IF(AND(O68=1,H68="High"),1,0)</f>
        <v/>
      </c>
      <c r="V68" s="79">
        <f>IF(AND(O68=1,C68="Punch item"),1,0)</f>
        <v/>
      </c>
    </row>
    <row r="69" ht="24" customHeight="1">
      <c r="B69" s="125" t="n">
        <v>62</v>
      </c>
      <c r="C69" s="72" t="n"/>
      <c r="D69" s="109" t="n"/>
      <c r="E69" s="72" t="n"/>
      <c r="F69" s="113" t="n"/>
      <c r="G69" s="72" t="n"/>
      <c r="H69" s="74" t="n"/>
      <c r="I69" s="73" t="n"/>
      <c r="J69" s="113" t="n"/>
      <c r="K69" s="109" t="n"/>
      <c r="L69" s="72" t="n"/>
      <c r="M69" s="109" t="n"/>
      <c r="N69" s="72" t="n"/>
      <c r="O69" s="79">
        <f>IF(AND(F69&lt;&gt;"",L69&lt;&gt;"Resolved"),1,0)</f>
        <v/>
      </c>
      <c r="P69" s="79">
        <f>IF(F69="","",IF(O69=0,0,IF(H69="High",2,1)))</f>
        <v/>
      </c>
      <c r="Q69" s="112">
        <f>IF(O69=1,IF(K69&lt;&gt;"",K69,IF(H69="High",AsOf,"")),"")</f>
        <v/>
      </c>
      <c r="R69" s="79">
        <f>IF(Q69="","",IF(H69="High",1,IF(Q69="","",IF(Q69&lt;AsOf,1,IF(Q69&lt;=AsOf+AlertDays,2,IF(Q69&lt;=AsOf+2*AlertDays,3,""))))))</f>
        <v/>
      </c>
      <c r="S69" s="79">
        <f>IF(R69="","",IF(H69="High","High-severity issue: ",IF(C69="Punch item","Punch item: ","Issue action due: "))&amp;F69&amp;IF(J69="",""," → "&amp;J69))</f>
        <v/>
      </c>
      <c r="T69" s="79">
        <f>IF(O69=1,IF(I69="",0,I69),0)</f>
        <v/>
      </c>
      <c r="U69" s="79">
        <f>IF(AND(O69=1,H69="High"),1,0)</f>
        <v/>
      </c>
      <c r="V69" s="79">
        <f>IF(AND(O69=1,C69="Punch item"),1,0)</f>
        <v/>
      </c>
    </row>
    <row r="70" ht="24" customHeight="1">
      <c r="B70" s="125" t="n">
        <v>63</v>
      </c>
      <c r="C70" s="72" t="n"/>
      <c r="D70" s="109" t="n"/>
      <c r="E70" s="72" t="n"/>
      <c r="F70" s="113" t="n"/>
      <c r="G70" s="72" t="n"/>
      <c r="H70" s="74" t="n"/>
      <c r="I70" s="73" t="n"/>
      <c r="J70" s="113" t="n"/>
      <c r="K70" s="109" t="n"/>
      <c r="L70" s="72" t="n"/>
      <c r="M70" s="109" t="n"/>
      <c r="N70" s="72" t="n"/>
      <c r="O70" s="79">
        <f>IF(AND(F70&lt;&gt;"",L70&lt;&gt;"Resolved"),1,0)</f>
        <v/>
      </c>
      <c r="P70" s="79">
        <f>IF(F70="","",IF(O70=0,0,IF(H70="High",2,1)))</f>
        <v/>
      </c>
      <c r="Q70" s="112">
        <f>IF(O70=1,IF(K70&lt;&gt;"",K70,IF(H70="High",AsOf,"")),"")</f>
        <v/>
      </c>
      <c r="R70" s="79">
        <f>IF(Q70="","",IF(H70="High",1,IF(Q70="","",IF(Q70&lt;AsOf,1,IF(Q70&lt;=AsOf+AlertDays,2,IF(Q70&lt;=AsOf+2*AlertDays,3,""))))))</f>
        <v/>
      </c>
      <c r="S70" s="79">
        <f>IF(R70="","",IF(H70="High","High-severity issue: ",IF(C70="Punch item","Punch item: ","Issue action due: "))&amp;F70&amp;IF(J70="",""," → "&amp;J70))</f>
        <v/>
      </c>
      <c r="T70" s="79">
        <f>IF(O70=1,IF(I70="",0,I70),0)</f>
        <v/>
      </c>
      <c r="U70" s="79">
        <f>IF(AND(O70=1,H70="High"),1,0)</f>
        <v/>
      </c>
      <c r="V70" s="79">
        <f>IF(AND(O70=1,C70="Punch item"),1,0)</f>
        <v/>
      </c>
    </row>
    <row r="71" ht="24" customHeight="1">
      <c r="B71" s="125" t="n">
        <v>64</v>
      </c>
      <c r="C71" s="72" t="n"/>
      <c r="D71" s="109" t="n"/>
      <c r="E71" s="72" t="n"/>
      <c r="F71" s="113" t="n"/>
      <c r="G71" s="72" t="n"/>
      <c r="H71" s="74" t="n"/>
      <c r="I71" s="73" t="n"/>
      <c r="J71" s="113" t="n"/>
      <c r="K71" s="109" t="n"/>
      <c r="L71" s="72" t="n"/>
      <c r="M71" s="109" t="n"/>
      <c r="N71" s="72" t="n"/>
      <c r="O71" s="79">
        <f>IF(AND(F71&lt;&gt;"",L71&lt;&gt;"Resolved"),1,0)</f>
        <v/>
      </c>
      <c r="P71" s="79">
        <f>IF(F71="","",IF(O71=0,0,IF(H71="High",2,1)))</f>
        <v/>
      </c>
      <c r="Q71" s="112">
        <f>IF(O71=1,IF(K71&lt;&gt;"",K71,IF(H71="High",AsOf,"")),"")</f>
        <v/>
      </c>
      <c r="R71" s="79">
        <f>IF(Q71="","",IF(H71="High",1,IF(Q71="","",IF(Q71&lt;AsOf,1,IF(Q71&lt;=AsOf+AlertDays,2,IF(Q71&lt;=AsOf+2*AlertDays,3,""))))))</f>
        <v/>
      </c>
      <c r="S71" s="79">
        <f>IF(R71="","",IF(H71="High","High-severity issue: ",IF(C71="Punch item","Punch item: ","Issue action due: "))&amp;F71&amp;IF(J71="",""," → "&amp;J71))</f>
        <v/>
      </c>
      <c r="T71" s="79">
        <f>IF(O71=1,IF(I71="",0,I71),0)</f>
        <v/>
      </c>
      <c r="U71" s="79">
        <f>IF(AND(O71=1,H71="High"),1,0)</f>
        <v/>
      </c>
      <c r="V71" s="79">
        <f>IF(AND(O71=1,C71="Punch item"),1,0)</f>
        <v/>
      </c>
    </row>
    <row r="72" ht="24" customHeight="1">
      <c r="B72" s="125" t="n">
        <v>65</v>
      </c>
      <c r="C72" s="72" t="n"/>
      <c r="D72" s="109" t="n"/>
      <c r="E72" s="72" t="n"/>
      <c r="F72" s="113" t="n"/>
      <c r="G72" s="72" t="n"/>
      <c r="H72" s="74" t="n"/>
      <c r="I72" s="73" t="n"/>
      <c r="J72" s="113" t="n"/>
      <c r="K72" s="109" t="n"/>
      <c r="L72" s="72" t="n"/>
      <c r="M72" s="109" t="n"/>
      <c r="N72" s="72" t="n"/>
      <c r="O72" s="79">
        <f>IF(AND(F72&lt;&gt;"",L72&lt;&gt;"Resolved"),1,0)</f>
        <v/>
      </c>
      <c r="P72" s="79">
        <f>IF(F72="","",IF(O72=0,0,IF(H72="High",2,1)))</f>
        <v/>
      </c>
      <c r="Q72" s="112">
        <f>IF(O72=1,IF(K72&lt;&gt;"",K72,IF(H72="High",AsOf,"")),"")</f>
        <v/>
      </c>
      <c r="R72" s="79">
        <f>IF(Q72="","",IF(H72="High",1,IF(Q72="","",IF(Q72&lt;AsOf,1,IF(Q72&lt;=AsOf+AlertDays,2,IF(Q72&lt;=AsOf+2*AlertDays,3,""))))))</f>
        <v/>
      </c>
      <c r="S72" s="79">
        <f>IF(R72="","",IF(H72="High","High-severity issue: ",IF(C72="Punch item","Punch item: ","Issue action due: "))&amp;F72&amp;IF(J72="",""," → "&amp;J72))</f>
        <v/>
      </c>
      <c r="T72" s="79">
        <f>IF(O72=1,IF(I72="",0,I72),0)</f>
        <v/>
      </c>
      <c r="U72" s="79">
        <f>IF(AND(O72=1,H72="High"),1,0)</f>
        <v/>
      </c>
      <c r="V72" s="79">
        <f>IF(AND(O72=1,C72="Punch item"),1,0)</f>
        <v/>
      </c>
    </row>
    <row r="73" ht="24" customHeight="1">
      <c r="B73" s="125" t="n">
        <v>66</v>
      </c>
      <c r="C73" s="72" t="n"/>
      <c r="D73" s="109" t="n"/>
      <c r="E73" s="72" t="n"/>
      <c r="F73" s="113" t="n"/>
      <c r="G73" s="72" t="n"/>
      <c r="H73" s="74" t="n"/>
      <c r="I73" s="73" t="n"/>
      <c r="J73" s="113" t="n"/>
      <c r="K73" s="109" t="n"/>
      <c r="L73" s="72" t="n"/>
      <c r="M73" s="109" t="n"/>
      <c r="N73" s="72" t="n"/>
      <c r="O73" s="79">
        <f>IF(AND(F73&lt;&gt;"",L73&lt;&gt;"Resolved"),1,0)</f>
        <v/>
      </c>
      <c r="P73" s="79">
        <f>IF(F73="","",IF(O73=0,0,IF(H73="High",2,1)))</f>
        <v/>
      </c>
      <c r="Q73" s="112">
        <f>IF(O73=1,IF(K73&lt;&gt;"",K73,IF(H73="High",AsOf,"")),"")</f>
        <v/>
      </c>
      <c r="R73" s="79">
        <f>IF(Q73="","",IF(H73="High",1,IF(Q73="","",IF(Q73&lt;AsOf,1,IF(Q73&lt;=AsOf+AlertDays,2,IF(Q73&lt;=AsOf+2*AlertDays,3,""))))))</f>
        <v/>
      </c>
      <c r="S73" s="79">
        <f>IF(R73="","",IF(H73="High","High-severity issue: ",IF(C73="Punch item","Punch item: ","Issue action due: "))&amp;F73&amp;IF(J73="",""," → "&amp;J73))</f>
        <v/>
      </c>
      <c r="T73" s="79">
        <f>IF(O73=1,IF(I73="",0,I73),0)</f>
        <v/>
      </c>
      <c r="U73" s="79">
        <f>IF(AND(O73=1,H73="High"),1,0)</f>
        <v/>
      </c>
      <c r="V73" s="79">
        <f>IF(AND(O73=1,C73="Punch item"),1,0)</f>
        <v/>
      </c>
    </row>
    <row r="74" ht="24" customHeight="1">
      <c r="B74" s="125" t="n">
        <v>67</v>
      </c>
      <c r="C74" s="72" t="n"/>
      <c r="D74" s="109" t="n"/>
      <c r="E74" s="72" t="n"/>
      <c r="F74" s="113" t="n"/>
      <c r="G74" s="72" t="n"/>
      <c r="H74" s="74" t="n"/>
      <c r="I74" s="73" t="n"/>
      <c r="J74" s="113" t="n"/>
      <c r="K74" s="109" t="n"/>
      <c r="L74" s="72" t="n"/>
      <c r="M74" s="109" t="n"/>
      <c r="N74" s="72" t="n"/>
      <c r="O74" s="79">
        <f>IF(AND(F74&lt;&gt;"",L74&lt;&gt;"Resolved"),1,0)</f>
        <v/>
      </c>
      <c r="P74" s="79">
        <f>IF(F74="","",IF(O74=0,0,IF(H74="High",2,1)))</f>
        <v/>
      </c>
      <c r="Q74" s="112">
        <f>IF(O74=1,IF(K74&lt;&gt;"",K74,IF(H74="High",AsOf,"")),"")</f>
        <v/>
      </c>
      <c r="R74" s="79">
        <f>IF(Q74="","",IF(H74="High",1,IF(Q74="","",IF(Q74&lt;AsOf,1,IF(Q74&lt;=AsOf+AlertDays,2,IF(Q74&lt;=AsOf+2*AlertDays,3,""))))))</f>
        <v/>
      </c>
      <c r="S74" s="79">
        <f>IF(R74="","",IF(H74="High","High-severity issue: ",IF(C74="Punch item","Punch item: ","Issue action due: "))&amp;F74&amp;IF(J74="",""," → "&amp;J74))</f>
        <v/>
      </c>
      <c r="T74" s="79">
        <f>IF(O74=1,IF(I74="",0,I74),0)</f>
        <v/>
      </c>
      <c r="U74" s="79">
        <f>IF(AND(O74=1,H74="High"),1,0)</f>
        <v/>
      </c>
      <c r="V74" s="79">
        <f>IF(AND(O74=1,C74="Punch item"),1,0)</f>
        <v/>
      </c>
    </row>
    <row r="75" ht="24" customHeight="1">
      <c r="B75" s="125" t="n">
        <v>68</v>
      </c>
      <c r="C75" s="72" t="n"/>
      <c r="D75" s="109" t="n"/>
      <c r="E75" s="72" t="n"/>
      <c r="F75" s="113" t="n"/>
      <c r="G75" s="72" t="n"/>
      <c r="H75" s="74" t="n"/>
      <c r="I75" s="73" t="n"/>
      <c r="J75" s="113" t="n"/>
      <c r="K75" s="109" t="n"/>
      <c r="L75" s="72" t="n"/>
      <c r="M75" s="109" t="n"/>
      <c r="N75" s="72" t="n"/>
      <c r="O75" s="79">
        <f>IF(AND(F75&lt;&gt;"",L75&lt;&gt;"Resolved"),1,0)</f>
        <v/>
      </c>
      <c r="P75" s="79">
        <f>IF(F75="","",IF(O75=0,0,IF(H75="High",2,1)))</f>
        <v/>
      </c>
      <c r="Q75" s="112">
        <f>IF(O75=1,IF(K75&lt;&gt;"",K75,IF(H75="High",AsOf,"")),"")</f>
        <v/>
      </c>
      <c r="R75" s="79">
        <f>IF(Q75="","",IF(H75="High",1,IF(Q75="","",IF(Q75&lt;AsOf,1,IF(Q75&lt;=AsOf+AlertDays,2,IF(Q75&lt;=AsOf+2*AlertDays,3,""))))))</f>
        <v/>
      </c>
      <c r="S75" s="79">
        <f>IF(R75="","",IF(H75="High","High-severity issue: ",IF(C75="Punch item","Punch item: ","Issue action due: "))&amp;F75&amp;IF(J75="",""," → "&amp;J75))</f>
        <v/>
      </c>
      <c r="T75" s="79">
        <f>IF(O75=1,IF(I75="",0,I75),0)</f>
        <v/>
      </c>
      <c r="U75" s="79">
        <f>IF(AND(O75=1,H75="High"),1,0)</f>
        <v/>
      </c>
      <c r="V75" s="79">
        <f>IF(AND(O75=1,C75="Punch item"),1,0)</f>
        <v/>
      </c>
    </row>
    <row r="76" ht="24" customHeight="1">
      <c r="B76" s="125" t="n">
        <v>69</v>
      </c>
      <c r="C76" s="72" t="n"/>
      <c r="D76" s="109" t="n"/>
      <c r="E76" s="72" t="n"/>
      <c r="F76" s="113" t="n"/>
      <c r="G76" s="72" t="n"/>
      <c r="H76" s="74" t="n"/>
      <c r="I76" s="73" t="n"/>
      <c r="J76" s="113" t="n"/>
      <c r="K76" s="109" t="n"/>
      <c r="L76" s="72" t="n"/>
      <c r="M76" s="109" t="n"/>
      <c r="N76" s="72" t="n"/>
      <c r="O76" s="79">
        <f>IF(AND(F76&lt;&gt;"",L76&lt;&gt;"Resolved"),1,0)</f>
        <v/>
      </c>
      <c r="P76" s="79">
        <f>IF(F76="","",IF(O76=0,0,IF(H76="High",2,1)))</f>
        <v/>
      </c>
      <c r="Q76" s="112">
        <f>IF(O76=1,IF(K76&lt;&gt;"",K76,IF(H76="High",AsOf,"")),"")</f>
        <v/>
      </c>
      <c r="R76" s="79">
        <f>IF(Q76="","",IF(H76="High",1,IF(Q76="","",IF(Q76&lt;AsOf,1,IF(Q76&lt;=AsOf+AlertDays,2,IF(Q76&lt;=AsOf+2*AlertDays,3,""))))))</f>
        <v/>
      </c>
      <c r="S76" s="79">
        <f>IF(R76="","",IF(H76="High","High-severity issue: ",IF(C76="Punch item","Punch item: ","Issue action due: "))&amp;F76&amp;IF(J76="",""," → "&amp;J76))</f>
        <v/>
      </c>
      <c r="T76" s="79">
        <f>IF(O76=1,IF(I76="",0,I76),0)</f>
        <v/>
      </c>
      <c r="U76" s="79">
        <f>IF(AND(O76=1,H76="High"),1,0)</f>
        <v/>
      </c>
      <c r="V76" s="79">
        <f>IF(AND(O76=1,C76="Punch item"),1,0)</f>
        <v/>
      </c>
    </row>
    <row r="77" ht="24" customHeight="1">
      <c r="B77" s="125" t="n">
        <v>70</v>
      </c>
      <c r="C77" s="72" t="n"/>
      <c r="D77" s="109" t="n"/>
      <c r="E77" s="72" t="n"/>
      <c r="F77" s="113" t="n"/>
      <c r="G77" s="72" t="n"/>
      <c r="H77" s="74" t="n"/>
      <c r="I77" s="73" t="n"/>
      <c r="J77" s="113" t="n"/>
      <c r="K77" s="109" t="n"/>
      <c r="L77" s="72" t="n"/>
      <c r="M77" s="109" t="n"/>
      <c r="N77" s="72" t="n"/>
      <c r="O77" s="79">
        <f>IF(AND(F77&lt;&gt;"",L77&lt;&gt;"Resolved"),1,0)</f>
        <v/>
      </c>
      <c r="P77" s="79">
        <f>IF(F77="","",IF(O77=0,0,IF(H77="High",2,1)))</f>
        <v/>
      </c>
      <c r="Q77" s="112">
        <f>IF(O77=1,IF(K77&lt;&gt;"",K77,IF(H77="High",AsOf,"")),"")</f>
        <v/>
      </c>
      <c r="R77" s="79">
        <f>IF(Q77="","",IF(H77="High",1,IF(Q77="","",IF(Q77&lt;AsOf,1,IF(Q77&lt;=AsOf+AlertDays,2,IF(Q77&lt;=AsOf+2*AlertDays,3,""))))))</f>
        <v/>
      </c>
      <c r="S77" s="79">
        <f>IF(R77="","",IF(H77="High","High-severity issue: ",IF(C77="Punch item","Punch item: ","Issue action due: "))&amp;F77&amp;IF(J77="",""," → "&amp;J77))</f>
        <v/>
      </c>
      <c r="T77" s="79">
        <f>IF(O77=1,IF(I77="",0,I77),0)</f>
        <v/>
      </c>
      <c r="U77" s="79">
        <f>IF(AND(O77=1,H77="High"),1,0)</f>
        <v/>
      </c>
      <c r="V77" s="79">
        <f>IF(AND(O77=1,C77="Punch item"),1,0)</f>
        <v/>
      </c>
    </row>
    <row r="78" ht="24" customHeight="1">
      <c r="B78" s="125" t="n">
        <v>71</v>
      </c>
      <c r="C78" s="72" t="n"/>
      <c r="D78" s="109" t="n"/>
      <c r="E78" s="72" t="n"/>
      <c r="F78" s="113" t="n"/>
      <c r="G78" s="72" t="n"/>
      <c r="H78" s="74" t="n"/>
      <c r="I78" s="73" t="n"/>
      <c r="J78" s="113" t="n"/>
      <c r="K78" s="109" t="n"/>
      <c r="L78" s="72" t="n"/>
      <c r="M78" s="109" t="n"/>
      <c r="N78" s="72" t="n"/>
      <c r="O78" s="79">
        <f>IF(AND(F78&lt;&gt;"",L78&lt;&gt;"Resolved"),1,0)</f>
        <v/>
      </c>
      <c r="P78" s="79">
        <f>IF(F78="","",IF(O78=0,0,IF(H78="High",2,1)))</f>
        <v/>
      </c>
      <c r="Q78" s="112">
        <f>IF(O78=1,IF(K78&lt;&gt;"",K78,IF(H78="High",AsOf,"")),"")</f>
        <v/>
      </c>
      <c r="R78" s="79">
        <f>IF(Q78="","",IF(H78="High",1,IF(Q78="","",IF(Q78&lt;AsOf,1,IF(Q78&lt;=AsOf+AlertDays,2,IF(Q78&lt;=AsOf+2*AlertDays,3,""))))))</f>
        <v/>
      </c>
      <c r="S78" s="79">
        <f>IF(R78="","",IF(H78="High","High-severity issue: ",IF(C78="Punch item","Punch item: ","Issue action due: "))&amp;F78&amp;IF(J78="",""," → "&amp;J78))</f>
        <v/>
      </c>
      <c r="T78" s="79">
        <f>IF(O78=1,IF(I78="",0,I78),0)</f>
        <v/>
      </c>
      <c r="U78" s="79">
        <f>IF(AND(O78=1,H78="High"),1,0)</f>
        <v/>
      </c>
      <c r="V78" s="79">
        <f>IF(AND(O78=1,C78="Punch item"),1,0)</f>
        <v/>
      </c>
    </row>
    <row r="79" ht="24" customHeight="1">
      <c r="B79" s="125" t="n">
        <v>72</v>
      </c>
      <c r="C79" s="72" t="n"/>
      <c r="D79" s="109" t="n"/>
      <c r="E79" s="72" t="n"/>
      <c r="F79" s="113" t="n"/>
      <c r="G79" s="72" t="n"/>
      <c r="H79" s="74" t="n"/>
      <c r="I79" s="73" t="n"/>
      <c r="J79" s="113" t="n"/>
      <c r="K79" s="109" t="n"/>
      <c r="L79" s="72" t="n"/>
      <c r="M79" s="109" t="n"/>
      <c r="N79" s="72" t="n"/>
      <c r="O79" s="79">
        <f>IF(AND(F79&lt;&gt;"",L79&lt;&gt;"Resolved"),1,0)</f>
        <v/>
      </c>
      <c r="P79" s="79">
        <f>IF(F79="","",IF(O79=0,0,IF(H79="High",2,1)))</f>
        <v/>
      </c>
      <c r="Q79" s="112">
        <f>IF(O79=1,IF(K79&lt;&gt;"",K79,IF(H79="High",AsOf,"")),"")</f>
        <v/>
      </c>
      <c r="R79" s="79">
        <f>IF(Q79="","",IF(H79="High",1,IF(Q79="","",IF(Q79&lt;AsOf,1,IF(Q79&lt;=AsOf+AlertDays,2,IF(Q79&lt;=AsOf+2*AlertDays,3,""))))))</f>
        <v/>
      </c>
      <c r="S79" s="79">
        <f>IF(R79="","",IF(H79="High","High-severity issue: ",IF(C79="Punch item","Punch item: ","Issue action due: "))&amp;F79&amp;IF(J79="",""," → "&amp;J79))</f>
        <v/>
      </c>
      <c r="T79" s="79">
        <f>IF(O79=1,IF(I79="",0,I79),0)</f>
        <v/>
      </c>
      <c r="U79" s="79">
        <f>IF(AND(O79=1,H79="High"),1,0)</f>
        <v/>
      </c>
      <c r="V79" s="79">
        <f>IF(AND(O79=1,C79="Punch item"),1,0)</f>
        <v/>
      </c>
    </row>
    <row r="80" ht="24" customHeight="1">
      <c r="B80" s="125" t="n">
        <v>73</v>
      </c>
      <c r="C80" s="72" t="n"/>
      <c r="D80" s="109" t="n"/>
      <c r="E80" s="72" t="n"/>
      <c r="F80" s="113" t="n"/>
      <c r="G80" s="72" t="n"/>
      <c r="H80" s="74" t="n"/>
      <c r="I80" s="73" t="n"/>
      <c r="J80" s="113" t="n"/>
      <c r="K80" s="109" t="n"/>
      <c r="L80" s="72" t="n"/>
      <c r="M80" s="109" t="n"/>
      <c r="N80" s="72" t="n"/>
      <c r="O80" s="79">
        <f>IF(AND(F80&lt;&gt;"",L80&lt;&gt;"Resolved"),1,0)</f>
        <v/>
      </c>
      <c r="P80" s="79">
        <f>IF(F80="","",IF(O80=0,0,IF(H80="High",2,1)))</f>
        <v/>
      </c>
      <c r="Q80" s="112">
        <f>IF(O80=1,IF(K80&lt;&gt;"",K80,IF(H80="High",AsOf,"")),"")</f>
        <v/>
      </c>
      <c r="R80" s="79">
        <f>IF(Q80="","",IF(H80="High",1,IF(Q80="","",IF(Q80&lt;AsOf,1,IF(Q80&lt;=AsOf+AlertDays,2,IF(Q80&lt;=AsOf+2*AlertDays,3,""))))))</f>
        <v/>
      </c>
      <c r="S80" s="79">
        <f>IF(R80="","",IF(H80="High","High-severity issue: ",IF(C80="Punch item","Punch item: ","Issue action due: "))&amp;F80&amp;IF(J80="",""," → "&amp;J80))</f>
        <v/>
      </c>
      <c r="T80" s="79">
        <f>IF(O80=1,IF(I80="",0,I80),0)</f>
        <v/>
      </c>
      <c r="U80" s="79">
        <f>IF(AND(O80=1,H80="High"),1,0)</f>
        <v/>
      </c>
      <c r="V80" s="79">
        <f>IF(AND(O80=1,C80="Punch item"),1,0)</f>
        <v/>
      </c>
    </row>
    <row r="81" ht="24" customHeight="1">
      <c r="B81" s="125" t="n">
        <v>74</v>
      </c>
      <c r="C81" s="72" t="n"/>
      <c r="D81" s="109" t="n"/>
      <c r="E81" s="72" t="n"/>
      <c r="F81" s="113" t="n"/>
      <c r="G81" s="72" t="n"/>
      <c r="H81" s="74" t="n"/>
      <c r="I81" s="73" t="n"/>
      <c r="J81" s="113" t="n"/>
      <c r="K81" s="109" t="n"/>
      <c r="L81" s="72" t="n"/>
      <c r="M81" s="109" t="n"/>
      <c r="N81" s="72" t="n"/>
      <c r="O81" s="79">
        <f>IF(AND(F81&lt;&gt;"",L81&lt;&gt;"Resolved"),1,0)</f>
        <v/>
      </c>
      <c r="P81" s="79">
        <f>IF(F81="","",IF(O81=0,0,IF(H81="High",2,1)))</f>
        <v/>
      </c>
      <c r="Q81" s="112">
        <f>IF(O81=1,IF(K81&lt;&gt;"",K81,IF(H81="High",AsOf,"")),"")</f>
        <v/>
      </c>
      <c r="R81" s="79">
        <f>IF(Q81="","",IF(H81="High",1,IF(Q81="","",IF(Q81&lt;AsOf,1,IF(Q81&lt;=AsOf+AlertDays,2,IF(Q81&lt;=AsOf+2*AlertDays,3,""))))))</f>
        <v/>
      </c>
      <c r="S81" s="79">
        <f>IF(R81="","",IF(H81="High","High-severity issue: ",IF(C81="Punch item","Punch item: ","Issue action due: "))&amp;F81&amp;IF(J81="",""," → "&amp;J81))</f>
        <v/>
      </c>
      <c r="T81" s="79">
        <f>IF(O81=1,IF(I81="",0,I81),0)</f>
        <v/>
      </c>
      <c r="U81" s="79">
        <f>IF(AND(O81=1,H81="High"),1,0)</f>
        <v/>
      </c>
      <c r="V81" s="79">
        <f>IF(AND(O81=1,C81="Punch item"),1,0)</f>
        <v/>
      </c>
    </row>
    <row r="82" ht="24" customHeight="1">
      <c r="B82" s="125" t="n">
        <v>75</v>
      </c>
      <c r="C82" s="72" t="n"/>
      <c r="D82" s="109" t="n"/>
      <c r="E82" s="72" t="n"/>
      <c r="F82" s="113" t="n"/>
      <c r="G82" s="72" t="n"/>
      <c r="H82" s="74" t="n"/>
      <c r="I82" s="73" t="n"/>
      <c r="J82" s="113" t="n"/>
      <c r="K82" s="109" t="n"/>
      <c r="L82" s="72" t="n"/>
      <c r="M82" s="109" t="n"/>
      <c r="N82" s="72" t="n"/>
      <c r="O82" s="79">
        <f>IF(AND(F82&lt;&gt;"",L82&lt;&gt;"Resolved"),1,0)</f>
        <v/>
      </c>
      <c r="P82" s="79">
        <f>IF(F82="","",IF(O82=0,0,IF(H82="High",2,1)))</f>
        <v/>
      </c>
      <c r="Q82" s="112">
        <f>IF(O82=1,IF(K82&lt;&gt;"",K82,IF(H82="High",AsOf,"")),"")</f>
        <v/>
      </c>
      <c r="R82" s="79">
        <f>IF(Q82="","",IF(H82="High",1,IF(Q82="","",IF(Q82&lt;AsOf,1,IF(Q82&lt;=AsOf+AlertDays,2,IF(Q82&lt;=AsOf+2*AlertDays,3,""))))))</f>
        <v/>
      </c>
      <c r="S82" s="79">
        <f>IF(R82="","",IF(H82="High","High-severity issue: ",IF(C82="Punch item","Punch item: ","Issue action due: "))&amp;F82&amp;IF(J82="",""," → "&amp;J82))</f>
        <v/>
      </c>
      <c r="T82" s="79">
        <f>IF(O82=1,IF(I82="",0,I82),0)</f>
        <v/>
      </c>
      <c r="U82" s="79">
        <f>IF(AND(O82=1,H82="High"),1,0)</f>
        <v/>
      </c>
      <c r="V82" s="79">
        <f>IF(AND(O82=1,C82="Punch item"),1,0)</f>
        <v/>
      </c>
    </row>
    <row r="83" ht="24" customHeight="1">
      <c r="B83" s="125" t="n">
        <v>76</v>
      </c>
      <c r="C83" s="72" t="n"/>
      <c r="D83" s="109" t="n"/>
      <c r="E83" s="72" t="n"/>
      <c r="F83" s="113" t="n"/>
      <c r="G83" s="72" t="n"/>
      <c r="H83" s="74" t="n"/>
      <c r="I83" s="73" t="n"/>
      <c r="J83" s="113" t="n"/>
      <c r="K83" s="109" t="n"/>
      <c r="L83" s="72" t="n"/>
      <c r="M83" s="109" t="n"/>
      <c r="N83" s="72" t="n"/>
      <c r="O83" s="79">
        <f>IF(AND(F83&lt;&gt;"",L83&lt;&gt;"Resolved"),1,0)</f>
        <v/>
      </c>
      <c r="P83" s="79">
        <f>IF(F83="","",IF(O83=0,0,IF(H83="High",2,1)))</f>
        <v/>
      </c>
      <c r="Q83" s="112">
        <f>IF(O83=1,IF(K83&lt;&gt;"",K83,IF(H83="High",AsOf,"")),"")</f>
        <v/>
      </c>
      <c r="R83" s="79">
        <f>IF(Q83="","",IF(H83="High",1,IF(Q83="","",IF(Q83&lt;AsOf,1,IF(Q83&lt;=AsOf+AlertDays,2,IF(Q83&lt;=AsOf+2*AlertDays,3,""))))))</f>
        <v/>
      </c>
      <c r="S83" s="79">
        <f>IF(R83="","",IF(H83="High","High-severity issue: ",IF(C83="Punch item","Punch item: ","Issue action due: "))&amp;F83&amp;IF(J83="",""," → "&amp;J83))</f>
        <v/>
      </c>
      <c r="T83" s="79">
        <f>IF(O83=1,IF(I83="",0,I83),0)</f>
        <v/>
      </c>
      <c r="U83" s="79">
        <f>IF(AND(O83=1,H83="High"),1,0)</f>
        <v/>
      </c>
      <c r="V83" s="79">
        <f>IF(AND(O83=1,C83="Punch item"),1,0)</f>
        <v/>
      </c>
    </row>
    <row r="84" ht="24" customHeight="1">
      <c r="B84" s="125" t="n">
        <v>77</v>
      </c>
      <c r="C84" s="72" t="n"/>
      <c r="D84" s="109" t="n"/>
      <c r="E84" s="72" t="n"/>
      <c r="F84" s="113" t="n"/>
      <c r="G84" s="72" t="n"/>
      <c r="H84" s="74" t="n"/>
      <c r="I84" s="73" t="n"/>
      <c r="J84" s="113" t="n"/>
      <c r="K84" s="109" t="n"/>
      <c r="L84" s="72" t="n"/>
      <c r="M84" s="109" t="n"/>
      <c r="N84" s="72" t="n"/>
      <c r="O84" s="79">
        <f>IF(AND(F84&lt;&gt;"",L84&lt;&gt;"Resolved"),1,0)</f>
        <v/>
      </c>
      <c r="P84" s="79">
        <f>IF(F84="","",IF(O84=0,0,IF(H84="High",2,1)))</f>
        <v/>
      </c>
      <c r="Q84" s="112">
        <f>IF(O84=1,IF(K84&lt;&gt;"",K84,IF(H84="High",AsOf,"")),"")</f>
        <v/>
      </c>
      <c r="R84" s="79">
        <f>IF(Q84="","",IF(H84="High",1,IF(Q84="","",IF(Q84&lt;AsOf,1,IF(Q84&lt;=AsOf+AlertDays,2,IF(Q84&lt;=AsOf+2*AlertDays,3,""))))))</f>
        <v/>
      </c>
      <c r="S84" s="79">
        <f>IF(R84="","",IF(H84="High","High-severity issue: ",IF(C84="Punch item","Punch item: ","Issue action due: "))&amp;F84&amp;IF(J84="",""," → "&amp;J84))</f>
        <v/>
      </c>
      <c r="T84" s="79">
        <f>IF(O84=1,IF(I84="",0,I84),0)</f>
        <v/>
      </c>
      <c r="U84" s="79">
        <f>IF(AND(O84=1,H84="High"),1,0)</f>
        <v/>
      </c>
      <c r="V84" s="79">
        <f>IF(AND(O84=1,C84="Punch item"),1,0)</f>
        <v/>
      </c>
    </row>
    <row r="85" ht="24" customHeight="1">
      <c r="B85" s="125" t="n">
        <v>78</v>
      </c>
      <c r="C85" s="72" t="n"/>
      <c r="D85" s="109" t="n"/>
      <c r="E85" s="72" t="n"/>
      <c r="F85" s="113" t="n"/>
      <c r="G85" s="72" t="n"/>
      <c r="H85" s="74" t="n"/>
      <c r="I85" s="73" t="n"/>
      <c r="J85" s="113" t="n"/>
      <c r="K85" s="109" t="n"/>
      <c r="L85" s="72" t="n"/>
      <c r="M85" s="109" t="n"/>
      <c r="N85" s="72" t="n"/>
      <c r="O85" s="79">
        <f>IF(AND(F85&lt;&gt;"",L85&lt;&gt;"Resolved"),1,0)</f>
        <v/>
      </c>
      <c r="P85" s="79">
        <f>IF(F85="","",IF(O85=0,0,IF(H85="High",2,1)))</f>
        <v/>
      </c>
      <c r="Q85" s="112">
        <f>IF(O85=1,IF(K85&lt;&gt;"",K85,IF(H85="High",AsOf,"")),"")</f>
        <v/>
      </c>
      <c r="R85" s="79">
        <f>IF(Q85="","",IF(H85="High",1,IF(Q85="","",IF(Q85&lt;AsOf,1,IF(Q85&lt;=AsOf+AlertDays,2,IF(Q85&lt;=AsOf+2*AlertDays,3,""))))))</f>
        <v/>
      </c>
      <c r="S85" s="79">
        <f>IF(R85="","",IF(H85="High","High-severity issue: ",IF(C85="Punch item","Punch item: ","Issue action due: "))&amp;F85&amp;IF(J85="",""," → "&amp;J85))</f>
        <v/>
      </c>
      <c r="T85" s="79">
        <f>IF(O85=1,IF(I85="",0,I85),0)</f>
        <v/>
      </c>
      <c r="U85" s="79">
        <f>IF(AND(O85=1,H85="High"),1,0)</f>
        <v/>
      </c>
      <c r="V85" s="79">
        <f>IF(AND(O85=1,C85="Punch item"),1,0)</f>
        <v/>
      </c>
    </row>
    <row r="86" ht="24" customHeight="1">
      <c r="B86" s="125" t="n">
        <v>79</v>
      </c>
      <c r="C86" s="72" t="n"/>
      <c r="D86" s="109" t="n"/>
      <c r="E86" s="72" t="n"/>
      <c r="F86" s="113" t="n"/>
      <c r="G86" s="72" t="n"/>
      <c r="H86" s="74" t="n"/>
      <c r="I86" s="73" t="n"/>
      <c r="J86" s="113" t="n"/>
      <c r="K86" s="109" t="n"/>
      <c r="L86" s="72" t="n"/>
      <c r="M86" s="109" t="n"/>
      <c r="N86" s="72" t="n"/>
      <c r="O86" s="79">
        <f>IF(AND(F86&lt;&gt;"",L86&lt;&gt;"Resolved"),1,0)</f>
        <v/>
      </c>
      <c r="P86" s="79">
        <f>IF(F86="","",IF(O86=0,0,IF(H86="High",2,1)))</f>
        <v/>
      </c>
      <c r="Q86" s="112">
        <f>IF(O86=1,IF(K86&lt;&gt;"",K86,IF(H86="High",AsOf,"")),"")</f>
        <v/>
      </c>
      <c r="R86" s="79">
        <f>IF(Q86="","",IF(H86="High",1,IF(Q86="","",IF(Q86&lt;AsOf,1,IF(Q86&lt;=AsOf+AlertDays,2,IF(Q86&lt;=AsOf+2*AlertDays,3,""))))))</f>
        <v/>
      </c>
      <c r="S86" s="79">
        <f>IF(R86="","",IF(H86="High","High-severity issue: ",IF(C86="Punch item","Punch item: ","Issue action due: "))&amp;F86&amp;IF(J86="",""," → "&amp;J86))</f>
        <v/>
      </c>
      <c r="T86" s="79">
        <f>IF(O86=1,IF(I86="",0,I86),0)</f>
        <v/>
      </c>
      <c r="U86" s="79">
        <f>IF(AND(O86=1,H86="High"),1,0)</f>
        <v/>
      </c>
      <c r="V86" s="79">
        <f>IF(AND(O86=1,C86="Punch item"),1,0)</f>
        <v/>
      </c>
    </row>
    <row r="87" ht="24" customHeight="1">
      <c r="B87" s="125" t="n">
        <v>80</v>
      </c>
      <c r="C87" s="72" t="n"/>
      <c r="D87" s="109" t="n"/>
      <c r="E87" s="72" t="n"/>
      <c r="F87" s="113" t="n"/>
      <c r="G87" s="72" t="n"/>
      <c r="H87" s="74" t="n"/>
      <c r="I87" s="73" t="n"/>
      <c r="J87" s="113" t="n"/>
      <c r="K87" s="109" t="n"/>
      <c r="L87" s="72" t="n"/>
      <c r="M87" s="109" t="n"/>
      <c r="N87" s="72" t="n"/>
      <c r="O87" s="79">
        <f>IF(AND(F87&lt;&gt;"",L87&lt;&gt;"Resolved"),1,0)</f>
        <v/>
      </c>
      <c r="P87" s="79">
        <f>IF(F87="","",IF(O87=0,0,IF(H87="High",2,1)))</f>
        <v/>
      </c>
      <c r="Q87" s="112">
        <f>IF(O87=1,IF(K87&lt;&gt;"",K87,IF(H87="High",AsOf,"")),"")</f>
        <v/>
      </c>
      <c r="R87" s="79">
        <f>IF(Q87="","",IF(H87="High",1,IF(Q87="","",IF(Q87&lt;AsOf,1,IF(Q87&lt;=AsOf+AlertDays,2,IF(Q87&lt;=AsOf+2*AlertDays,3,""))))))</f>
        <v/>
      </c>
      <c r="S87" s="79">
        <f>IF(R87="","",IF(H87="High","High-severity issue: ",IF(C87="Punch item","Punch item: ","Issue action due: "))&amp;F87&amp;IF(J87="",""," → "&amp;J87))</f>
        <v/>
      </c>
      <c r="T87" s="79">
        <f>IF(O87=1,IF(I87="",0,I87),0)</f>
        <v/>
      </c>
      <c r="U87" s="79">
        <f>IF(AND(O87=1,H87="High"),1,0)</f>
        <v/>
      </c>
      <c r="V87" s="79">
        <f>IF(AND(O87=1,C87="Punch item"),1,0)</f>
        <v/>
      </c>
    </row>
    <row r="88" ht="24" customHeight="1">
      <c r="B88" s="125" t="n">
        <v>81</v>
      </c>
      <c r="C88" s="72" t="n"/>
      <c r="D88" s="109" t="n"/>
      <c r="E88" s="72" t="n"/>
      <c r="F88" s="113" t="n"/>
      <c r="G88" s="72" t="n"/>
      <c r="H88" s="74" t="n"/>
      <c r="I88" s="73" t="n"/>
      <c r="J88" s="113" t="n"/>
      <c r="K88" s="109" t="n"/>
      <c r="L88" s="72" t="n"/>
      <c r="M88" s="109" t="n"/>
      <c r="N88" s="72" t="n"/>
      <c r="O88" s="79">
        <f>IF(AND(F88&lt;&gt;"",L88&lt;&gt;"Resolved"),1,0)</f>
        <v/>
      </c>
      <c r="P88" s="79">
        <f>IF(F88="","",IF(O88=0,0,IF(H88="High",2,1)))</f>
        <v/>
      </c>
      <c r="Q88" s="112">
        <f>IF(O88=1,IF(K88&lt;&gt;"",K88,IF(H88="High",AsOf,"")),"")</f>
        <v/>
      </c>
      <c r="R88" s="79">
        <f>IF(Q88="","",IF(H88="High",1,IF(Q88="","",IF(Q88&lt;AsOf,1,IF(Q88&lt;=AsOf+AlertDays,2,IF(Q88&lt;=AsOf+2*AlertDays,3,""))))))</f>
        <v/>
      </c>
      <c r="S88" s="79">
        <f>IF(R88="","",IF(H88="High","High-severity issue: ",IF(C88="Punch item","Punch item: ","Issue action due: "))&amp;F88&amp;IF(J88="",""," → "&amp;J88))</f>
        <v/>
      </c>
      <c r="T88" s="79">
        <f>IF(O88=1,IF(I88="",0,I88),0)</f>
        <v/>
      </c>
      <c r="U88" s="79">
        <f>IF(AND(O88=1,H88="High"),1,0)</f>
        <v/>
      </c>
      <c r="V88" s="79">
        <f>IF(AND(O88=1,C88="Punch item"),1,0)</f>
        <v/>
      </c>
    </row>
    <row r="89" ht="24" customHeight="1">
      <c r="B89" s="125" t="n">
        <v>82</v>
      </c>
      <c r="C89" s="72" t="n"/>
      <c r="D89" s="109" t="n"/>
      <c r="E89" s="72" t="n"/>
      <c r="F89" s="113" t="n"/>
      <c r="G89" s="72" t="n"/>
      <c r="H89" s="74" t="n"/>
      <c r="I89" s="73" t="n"/>
      <c r="J89" s="113" t="n"/>
      <c r="K89" s="109" t="n"/>
      <c r="L89" s="72" t="n"/>
      <c r="M89" s="109" t="n"/>
      <c r="N89" s="72" t="n"/>
      <c r="O89" s="79">
        <f>IF(AND(F89&lt;&gt;"",L89&lt;&gt;"Resolved"),1,0)</f>
        <v/>
      </c>
      <c r="P89" s="79">
        <f>IF(F89="","",IF(O89=0,0,IF(H89="High",2,1)))</f>
        <v/>
      </c>
      <c r="Q89" s="112">
        <f>IF(O89=1,IF(K89&lt;&gt;"",K89,IF(H89="High",AsOf,"")),"")</f>
        <v/>
      </c>
      <c r="R89" s="79">
        <f>IF(Q89="","",IF(H89="High",1,IF(Q89="","",IF(Q89&lt;AsOf,1,IF(Q89&lt;=AsOf+AlertDays,2,IF(Q89&lt;=AsOf+2*AlertDays,3,""))))))</f>
        <v/>
      </c>
      <c r="S89" s="79">
        <f>IF(R89="","",IF(H89="High","High-severity issue: ",IF(C89="Punch item","Punch item: ","Issue action due: "))&amp;F89&amp;IF(J89="",""," → "&amp;J89))</f>
        <v/>
      </c>
      <c r="T89" s="79">
        <f>IF(O89=1,IF(I89="",0,I89),0)</f>
        <v/>
      </c>
      <c r="U89" s="79">
        <f>IF(AND(O89=1,H89="High"),1,0)</f>
        <v/>
      </c>
      <c r="V89" s="79">
        <f>IF(AND(O89=1,C89="Punch item"),1,0)</f>
        <v/>
      </c>
    </row>
    <row r="90" ht="24" customHeight="1">
      <c r="B90" s="125" t="n">
        <v>83</v>
      </c>
      <c r="C90" s="72" t="n"/>
      <c r="D90" s="109" t="n"/>
      <c r="E90" s="72" t="n"/>
      <c r="F90" s="113" t="n"/>
      <c r="G90" s="72" t="n"/>
      <c r="H90" s="74" t="n"/>
      <c r="I90" s="73" t="n"/>
      <c r="J90" s="113" t="n"/>
      <c r="K90" s="109" t="n"/>
      <c r="L90" s="72" t="n"/>
      <c r="M90" s="109" t="n"/>
      <c r="N90" s="72" t="n"/>
      <c r="O90" s="79">
        <f>IF(AND(F90&lt;&gt;"",L90&lt;&gt;"Resolved"),1,0)</f>
        <v/>
      </c>
      <c r="P90" s="79">
        <f>IF(F90="","",IF(O90=0,0,IF(H90="High",2,1)))</f>
        <v/>
      </c>
      <c r="Q90" s="112">
        <f>IF(O90=1,IF(K90&lt;&gt;"",K90,IF(H90="High",AsOf,"")),"")</f>
        <v/>
      </c>
      <c r="R90" s="79">
        <f>IF(Q90="","",IF(H90="High",1,IF(Q90="","",IF(Q90&lt;AsOf,1,IF(Q90&lt;=AsOf+AlertDays,2,IF(Q90&lt;=AsOf+2*AlertDays,3,""))))))</f>
        <v/>
      </c>
      <c r="S90" s="79">
        <f>IF(R90="","",IF(H90="High","High-severity issue: ",IF(C90="Punch item","Punch item: ","Issue action due: "))&amp;F90&amp;IF(J90="",""," → "&amp;J90))</f>
        <v/>
      </c>
      <c r="T90" s="79">
        <f>IF(O90=1,IF(I90="",0,I90),0)</f>
        <v/>
      </c>
      <c r="U90" s="79">
        <f>IF(AND(O90=1,H90="High"),1,0)</f>
        <v/>
      </c>
      <c r="V90" s="79">
        <f>IF(AND(O90=1,C90="Punch item"),1,0)</f>
        <v/>
      </c>
    </row>
    <row r="91" ht="24" customHeight="1">
      <c r="B91" s="125" t="n">
        <v>84</v>
      </c>
      <c r="C91" s="72" t="n"/>
      <c r="D91" s="109" t="n"/>
      <c r="E91" s="72" t="n"/>
      <c r="F91" s="113" t="n"/>
      <c r="G91" s="72" t="n"/>
      <c r="H91" s="74" t="n"/>
      <c r="I91" s="73" t="n"/>
      <c r="J91" s="113" t="n"/>
      <c r="K91" s="109" t="n"/>
      <c r="L91" s="72" t="n"/>
      <c r="M91" s="109" t="n"/>
      <c r="N91" s="72" t="n"/>
      <c r="O91" s="79">
        <f>IF(AND(F91&lt;&gt;"",L91&lt;&gt;"Resolved"),1,0)</f>
        <v/>
      </c>
      <c r="P91" s="79">
        <f>IF(F91="","",IF(O91=0,0,IF(H91="High",2,1)))</f>
        <v/>
      </c>
      <c r="Q91" s="112">
        <f>IF(O91=1,IF(K91&lt;&gt;"",K91,IF(H91="High",AsOf,"")),"")</f>
        <v/>
      </c>
      <c r="R91" s="79">
        <f>IF(Q91="","",IF(H91="High",1,IF(Q91="","",IF(Q91&lt;AsOf,1,IF(Q91&lt;=AsOf+AlertDays,2,IF(Q91&lt;=AsOf+2*AlertDays,3,""))))))</f>
        <v/>
      </c>
      <c r="S91" s="79">
        <f>IF(R91="","",IF(H91="High","High-severity issue: ",IF(C91="Punch item","Punch item: ","Issue action due: "))&amp;F91&amp;IF(J91="",""," → "&amp;J91))</f>
        <v/>
      </c>
      <c r="T91" s="79">
        <f>IF(O91=1,IF(I91="",0,I91),0)</f>
        <v/>
      </c>
      <c r="U91" s="79">
        <f>IF(AND(O91=1,H91="High"),1,0)</f>
        <v/>
      </c>
      <c r="V91" s="79">
        <f>IF(AND(O91=1,C91="Punch item"),1,0)</f>
        <v/>
      </c>
    </row>
    <row r="92" ht="24" customHeight="1">
      <c r="B92" s="125" t="n">
        <v>85</v>
      </c>
      <c r="C92" s="72" t="n"/>
      <c r="D92" s="109" t="n"/>
      <c r="E92" s="72" t="n"/>
      <c r="F92" s="113" t="n"/>
      <c r="G92" s="72" t="n"/>
      <c r="H92" s="74" t="n"/>
      <c r="I92" s="73" t="n"/>
      <c r="J92" s="113" t="n"/>
      <c r="K92" s="109" t="n"/>
      <c r="L92" s="72" t="n"/>
      <c r="M92" s="109" t="n"/>
      <c r="N92" s="72" t="n"/>
      <c r="O92" s="79">
        <f>IF(AND(F92&lt;&gt;"",L92&lt;&gt;"Resolved"),1,0)</f>
        <v/>
      </c>
      <c r="P92" s="79">
        <f>IF(F92="","",IF(O92=0,0,IF(H92="High",2,1)))</f>
        <v/>
      </c>
      <c r="Q92" s="112">
        <f>IF(O92=1,IF(K92&lt;&gt;"",K92,IF(H92="High",AsOf,"")),"")</f>
        <v/>
      </c>
      <c r="R92" s="79">
        <f>IF(Q92="","",IF(H92="High",1,IF(Q92="","",IF(Q92&lt;AsOf,1,IF(Q92&lt;=AsOf+AlertDays,2,IF(Q92&lt;=AsOf+2*AlertDays,3,""))))))</f>
        <v/>
      </c>
      <c r="S92" s="79">
        <f>IF(R92="","",IF(H92="High","High-severity issue: ",IF(C92="Punch item","Punch item: ","Issue action due: "))&amp;F92&amp;IF(J92="",""," → "&amp;J92))</f>
        <v/>
      </c>
      <c r="T92" s="79">
        <f>IF(O92=1,IF(I92="",0,I92),0)</f>
        <v/>
      </c>
      <c r="U92" s="79">
        <f>IF(AND(O92=1,H92="High"),1,0)</f>
        <v/>
      </c>
      <c r="V92" s="79">
        <f>IF(AND(O92=1,C92="Punch item"),1,0)</f>
        <v/>
      </c>
    </row>
    <row r="93" ht="24" customHeight="1">
      <c r="B93" s="125" t="n">
        <v>86</v>
      </c>
      <c r="C93" s="72" t="n"/>
      <c r="D93" s="109" t="n"/>
      <c r="E93" s="72" t="n"/>
      <c r="F93" s="113" t="n"/>
      <c r="G93" s="72" t="n"/>
      <c r="H93" s="74" t="n"/>
      <c r="I93" s="73" t="n"/>
      <c r="J93" s="113" t="n"/>
      <c r="K93" s="109" t="n"/>
      <c r="L93" s="72" t="n"/>
      <c r="M93" s="109" t="n"/>
      <c r="N93" s="72" t="n"/>
      <c r="O93" s="79">
        <f>IF(AND(F93&lt;&gt;"",L93&lt;&gt;"Resolved"),1,0)</f>
        <v/>
      </c>
      <c r="P93" s="79">
        <f>IF(F93="","",IF(O93=0,0,IF(H93="High",2,1)))</f>
        <v/>
      </c>
      <c r="Q93" s="112">
        <f>IF(O93=1,IF(K93&lt;&gt;"",K93,IF(H93="High",AsOf,"")),"")</f>
        <v/>
      </c>
      <c r="R93" s="79">
        <f>IF(Q93="","",IF(H93="High",1,IF(Q93="","",IF(Q93&lt;AsOf,1,IF(Q93&lt;=AsOf+AlertDays,2,IF(Q93&lt;=AsOf+2*AlertDays,3,""))))))</f>
        <v/>
      </c>
      <c r="S93" s="79">
        <f>IF(R93="","",IF(H93="High","High-severity issue: ",IF(C93="Punch item","Punch item: ","Issue action due: "))&amp;F93&amp;IF(J93="",""," → "&amp;J93))</f>
        <v/>
      </c>
      <c r="T93" s="79">
        <f>IF(O93=1,IF(I93="",0,I93),0)</f>
        <v/>
      </c>
      <c r="U93" s="79">
        <f>IF(AND(O93=1,H93="High"),1,0)</f>
        <v/>
      </c>
      <c r="V93" s="79">
        <f>IF(AND(O93=1,C93="Punch item"),1,0)</f>
        <v/>
      </c>
    </row>
    <row r="94" ht="24" customHeight="1">
      <c r="B94" s="125" t="n">
        <v>87</v>
      </c>
      <c r="C94" s="72" t="n"/>
      <c r="D94" s="109" t="n"/>
      <c r="E94" s="72" t="n"/>
      <c r="F94" s="113" t="n"/>
      <c r="G94" s="72" t="n"/>
      <c r="H94" s="74" t="n"/>
      <c r="I94" s="73" t="n"/>
      <c r="J94" s="113" t="n"/>
      <c r="K94" s="109" t="n"/>
      <c r="L94" s="72" t="n"/>
      <c r="M94" s="109" t="n"/>
      <c r="N94" s="72" t="n"/>
      <c r="O94" s="79">
        <f>IF(AND(F94&lt;&gt;"",L94&lt;&gt;"Resolved"),1,0)</f>
        <v/>
      </c>
      <c r="P94" s="79">
        <f>IF(F94="","",IF(O94=0,0,IF(H94="High",2,1)))</f>
        <v/>
      </c>
      <c r="Q94" s="112">
        <f>IF(O94=1,IF(K94&lt;&gt;"",K94,IF(H94="High",AsOf,"")),"")</f>
        <v/>
      </c>
      <c r="R94" s="79">
        <f>IF(Q94="","",IF(H94="High",1,IF(Q94="","",IF(Q94&lt;AsOf,1,IF(Q94&lt;=AsOf+AlertDays,2,IF(Q94&lt;=AsOf+2*AlertDays,3,""))))))</f>
        <v/>
      </c>
      <c r="S94" s="79">
        <f>IF(R94="","",IF(H94="High","High-severity issue: ",IF(C94="Punch item","Punch item: ","Issue action due: "))&amp;F94&amp;IF(J94="",""," → "&amp;J94))</f>
        <v/>
      </c>
      <c r="T94" s="79">
        <f>IF(O94=1,IF(I94="",0,I94),0)</f>
        <v/>
      </c>
      <c r="U94" s="79">
        <f>IF(AND(O94=1,H94="High"),1,0)</f>
        <v/>
      </c>
      <c r="V94" s="79">
        <f>IF(AND(O94=1,C94="Punch item"),1,0)</f>
        <v/>
      </c>
    </row>
    <row r="95" ht="24" customHeight="1">
      <c r="B95" s="125" t="n">
        <v>88</v>
      </c>
      <c r="C95" s="72" t="n"/>
      <c r="D95" s="109" t="n"/>
      <c r="E95" s="72" t="n"/>
      <c r="F95" s="113" t="n"/>
      <c r="G95" s="72" t="n"/>
      <c r="H95" s="74" t="n"/>
      <c r="I95" s="73" t="n"/>
      <c r="J95" s="113" t="n"/>
      <c r="K95" s="109" t="n"/>
      <c r="L95" s="72" t="n"/>
      <c r="M95" s="109" t="n"/>
      <c r="N95" s="72" t="n"/>
      <c r="O95" s="79">
        <f>IF(AND(F95&lt;&gt;"",L95&lt;&gt;"Resolved"),1,0)</f>
        <v/>
      </c>
      <c r="P95" s="79">
        <f>IF(F95="","",IF(O95=0,0,IF(H95="High",2,1)))</f>
        <v/>
      </c>
      <c r="Q95" s="112">
        <f>IF(O95=1,IF(K95&lt;&gt;"",K95,IF(H95="High",AsOf,"")),"")</f>
        <v/>
      </c>
      <c r="R95" s="79">
        <f>IF(Q95="","",IF(H95="High",1,IF(Q95="","",IF(Q95&lt;AsOf,1,IF(Q95&lt;=AsOf+AlertDays,2,IF(Q95&lt;=AsOf+2*AlertDays,3,""))))))</f>
        <v/>
      </c>
      <c r="S95" s="79">
        <f>IF(R95="","",IF(H95="High","High-severity issue: ",IF(C95="Punch item","Punch item: ","Issue action due: "))&amp;F95&amp;IF(J95="",""," → "&amp;J95))</f>
        <v/>
      </c>
      <c r="T95" s="79">
        <f>IF(O95=1,IF(I95="",0,I95),0)</f>
        <v/>
      </c>
      <c r="U95" s="79">
        <f>IF(AND(O95=1,H95="High"),1,0)</f>
        <v/>
      </c>
      <c r="V95" s="79">
        <f>IF(AND(O95=1,C95="Punch item"),1,0)</f>
        <v/>
      </c>
    </row>
    <row r="96" ht="24" customHeight="1">
      <c r="B96" s="125" t="n">
        <v>89</v>
      </c>
      <c r="C96" s="72" t="n"/>
      <c r="D96" s="109" t="n"/>
      <c r="E96" s="72" t="n"/>
      <c r="F96" s="113" t="n"/>
      <c r="G96" s="72" t="n"/>
      <c r="H96" s="74" t="n"/>
      <c r="I96" s="73" t="n"/>
      <c r="J96" s="113" t="n"/>
      <c r="K96" s="109" t="n"/>
      <c r="L96" s="72" t="n"/>
      <c r="M96" s="109" t="n"/>
      <c r="N96" s="72" t="n"/>
      <c r="O96" s="79">
        <f>IF(AND(F96&lt;&gt;"",L96&lt;&gt;"Resolved"),1,0)</f>
        <v/>
      </c>
      <c r="P96" s="79">
        <f>IF(F96="","",IF(O96=0,0,IF(H96="High",2,1)))</f>
        <v/>
      </c>
      <c r="Q96" s="112">
        <f>IF(O96=1,IF(K96&lt;&gt;"",K96,IF(H96="High",AsOf,"")),"")</f>
        <v/>
      </c>
      <c r="R96" s="79">
        <f>IF(Q96="","",IF(H96="High",1,IF(Q96="","",IF(Q96&lt;AsOf,1,IF(Q96&lt;=AsOf+AlertDays,2,IF(Q96&lt;=AsOf+2*AlertDays,3,""))))))</f>
        <v/>
      </c>
      <c r="S96" s="79">
        <f>IF(R96="","",IF(H96="High","High-severity issue: ",IF(C96="Punch item","Punch item: ","Issue action due: "))&amp;F96&amp;IF(J96="",""," → "&amp;J96))</f>
        <v/>
      </c>
      <c r="T96" s="79">
        <f>IF(O96=1,IF(I96="",0,I96),0)</f>
        <v/>
      </c>
      <c r="U96" s="79">
        <f>IF(AND(O96=1,H96="High"),1,0)</f>
        <v/>
      </c>
      <c r="V96" s="79">
        <f>IF(AND(O96=1,C96="Punch item"),1,0)</f>
        <v/>
      </c>
    </row>
    <row r="97" ht="24" customHeight="1">
      <c r="B97" s="125" t="n">
        <v>90</v>
      </c>
      <c r="C97" s="72" t="n"/>
      <c r="D97" s="109" t="n"/>
      <c r="E97" s="72" t="n"/>
      <c r="F97" s="113" t="n"/>
      <c r="G97" s="72" t="n"/>
      <c r="H97" s="74" t="n"/>
      <c r="I97" s="73" t="n"/>
      <c r="J97" s="113" t="n"/>
      <c r="K97" s="109" t="n"/>
      <c r="L97" s="72" t="n"/>
      <c r="M97" s="109" t="n"/>
      <c r="N97" s="72" t="n"/>
      <c r="O97" s="79">
        <f>IF(AND(F97&lt;&gt;"",L97&lt;&gt;"Resolved"),1,0)</f>
        <v/>
      </c>
      <c r="P97" s="79">
        <f>IF(F97="","",IF(O97=0,0,IF(H97="High",2,1)))</f>
        <v/>
      </c>
      <c r="Q97" s="112">
        <f>IF(O97=1,IF(K97&lt;&gt;"",K97,IF(H97="High",AsOf,"")),"")</f>
        <v/>
      </c>
      <c r="R97" s="79">
        <f>IF(Q97="","",IF(H97="High",1,IF(Q97="","",IF(Q97&lt;AsOf,1,IF(Q97&lt;=AsOf+AlertDays,2,IF(Q97&lt;=AsOf+2*AlertDays,3,""))))))</f>
        <v/>
      </c>
      <c r="S97" s="79">
        <f>IF(R97="","",IF(H97="High","High-severity issue: ",IF(C97="Punch item","Punch item: ","Issue action due: "))&amp;F97&amp;IF(J97="",""," → "&amp;J97))</f>
        <v/>
      </c>
      <c r="T97" s="79">
        <f>IF(O97=1,IF(I97="",0,I97),0)</f>
        <v/>
      </c>
      <c r="U97" s="79">
        <f>IF(AND(O97=1,H97="High"),1,0)</f>
        <v/>
      </c>
      <c r="V97" s="79">
        <f>IF(AND(O97=1,C97="Punch item"),1,0)</f>
        <v/>
      </c>
    </row>
    <row r="98" ht="24" customHeight="1">
      <c r="B98" s="125" t="n">
        <v>91</v>
      </c>
      <c r="C98" s="72" t="n"/>
      <c r="D98" s="109" t="n"/>
      <c r="E98" s="72" t="n"/>
      <c r="F98" s="113" t="n"/>
      <c r="G98" s="72" t="n"/>
      <c r="H98" s="74" t="n"/>
      <c r="I98" s="73" t="n"/>
      <c r="J98" s="113" t="n"/>
      <c r="K98" s="109" t="n"/>
      <c r="L98" s="72" t="n"/>
      <c r="M98" s="109" t="n"/>
      <c r="N98" s="72" t="n"/>
      <c r="O98" s="79">
        <f>IF(AND(F98&lt;&gt;"",L98&lt;&gt;"Resolved"),1,0)</f>
        <v/>
      </c>
      <c r="P98" s="79">
        <f>IF(F98="","",IF(O98=0,0,IF(H98="High",2,1)))</f>
        <v/>
      </c>
      <c r="Q98" s="112">
        <f>IF(O98=1,IF(K98&lt;&gt;"",K98,IF(H98="High",AsOf,"")),"")</f>
        <v/>
      </c>
      <c r="R98" s="79">
        <f>IF(Q98="","",IF(H98="High",1,IF(Q98="","",IF(Q98&lt;AsOf,1,IF(Q98&lt;=AsOf+AlertDays,2,IF(Q98&lt;=AsOf+2*AlertDays,3,""))))))</f>
        <v/>
      </c>
      <c r="S98" s="79">
        <f>IF(R98="","",IF(H98="High","High-severity issue: ",IF(C98="Punch item","Punch item: ","Issue action due: "))&amp;F98&amp;IF(J98="",""," → "&amp;J98))</f>
        <v/>
      </c>
      <c r="T98" s="79">
        <f>IF(O98=1,IF(I98="",0,I98),0)</f>
        <v/>
      </c>
      <c r="U98" s="79">
        <f>IF(AND(O98=1,H98="High"),1,0)</f>
        <v/>
      </c>
      <c r="V98" s="79">
        <f>IF(AND(O98=1,C98="Punch item"),1,0)</f>
        <v/>
      </c>
    </row>
    <row r="99" ht="24" customHeight="1">
      <c r="B99" s="125" t="n">
        <v>92</v>
      </c>
      <c r="C99" s="72" t="n"/>
      <c r="D99" s="109" t="n"/>
      <c r="E99" s="72" t="n"/>
      <c r="F99" s="113" t="n"/>
      <c r="G99" s="72" t="n"/>
      <c r="H99" s="74" t="n"/>
      <c r="I99" s="73" t="n"/>
      <c r="J99" s="113" t="n"/>
      <c r="K99" s="109" t="n"/>
      <c r="L99" s="72" t="n"/>
      <c r="M99" s="109" t="n"/>
      <c r="N99" s="72" t="n"/>
      <c r="O99" s="79">
        <f>IF(AND(F99&lt;&gt;"",L99&lt;&gt;"Resolved"),1,0)</f>
        <v/>
      </c>
      <c r="P99" s="79">
        <f>IF(F99="","",IF(O99=0,0,IF(H99="High",2,1)))</f>
        <v/>
      </c>
      <c r="Q99" s="112">
        <f>IF(O99=1,IF(K99&lt;&gt;"",K99,IF(H99="High",AsOf,"")),"")</f>
        <v/>
      </c>
      <c r="R99" s="79">
        <f>IF(Q99="","",IF(H99="High",1,IF(Q99="","",IF(Q99&lt;AsOf,1,IF(Q99&lt;=AsOf+AlertDays,2,IF(Q99&lt;=AsOf+2*AlertDays,3,""))))))</f>
        <v/>
      </c>
      <c r="S99" s="79">
        <f>IF(R99="","",IF(H99="High","High-severity issue: ",IF(C99="Punch item","Punch item: ","Issue action due: "))&amp;F99&amp;IF(J99="",""," → "&amp;J99))</f>
        <v/>
      </c>
      <c r="T99" s="79">
        <f>IF(O99=1,IF(I99="",0,I99),0)</f>
        <v/>
      </c>
      <c r="U99" s="79">
        <f>IF(AND(O99=1,H99="High"),1,0)</f>
        <v/>
      </c>
      <c r="V99" s="79">
        <f>IF(AND(O99=1,C99="Punch item"),1,0)</f>
        <v/>
      </c>
    </row>
    <row r="100" ht="24" customHeight="1">
      <c r="B100" s="125" t="n">
        <v>93</v>
      </c>
      <c r="C100" s="72" t="n"/>
      <c r="D100" s="109" t="n"/>
      <c r="E100" s="72" t="n"/>
      <c r="F100" s="113" t="n"/>
      <c r="G100" s="72" t="n"/>
      <c r="H100" s="74" t="n"/>
      <c r="I100" s="73" t="n"/>
      <c r="J100" s="113" t="n"/>
      <c r="K100" s="109" t="n"/>
      <c r="L100" s="72" t="n"/>
      <c r="M100" s="109" t="n"/>
      <c r="N100" s="72" t="n"/>
      <c r="O100" s="79">
        <f>IF(AND(F100&lt;&gt;"",L100&lt;&gt;"Resolved"),1,0)</f>
        <v/>
      </c>
      <c r="P100" s="79">
        <f>IF(F100="","",IF(O100=0,0,IF(H100="High",2,1)))</f>
        <v/>
      </c>
      <c r="Q100" s="112">
        <f>IF(O100=1,IF(K100&lt;&gt;"",K100,IF(H100="High",AsOf,"")),"")</f>
        <v/>
      </c>
      <c r="R100" s="79">
        <f>IF(Q100="","",IF(H100="High",1,IF(Q100="","",IF(Q100&lt;AsOf,1,IF(Q100&lt;=AsOf+AlertDays,2,IF(Q100&lt;=AsOf+2*AlertDays,3,""))))))</f>
        <v/>
      </c>
      <c r="S100" s="79">
        <f>IF(R100="","",IF(H100="High","High-severity issue: ",IF(C100="Punch item","Punch item: ","Issue action due: "))&amp;F100&amp;IF(J100="",""," → "&amp;J100))</f>
        <v/>
      </c>
      <c r="T100" s="79">
        <f>IF(O100=1,IF(I100="",0,I100),0)</f>
        <v/>
      </c>
      <c r="U100" s="79">
        <f>IF(AND(O100=1,H100="High"),1,0)</f>
        <v/>
      </c>
      <c r="V100" s="79">
        <f>IF(AND(O100=1,C100="Punch item"),1,0)</f>
        <v/>
      </c>
    </row>
    <row r="101" ht="24" customHeight="1">
      <c r="B101" s="125" t="n">
        <v>94</v>
      </c>
      <c r="C101" s="72" t="n"/>
      <c r="D101" s="109" t="n"/>
      <c r="E101" s="72" t="n"/>
      <c r="F101" s="113" t="n"/>
      <c r="G101" s="72" t="n"/>
      <c r="H101" s="74" t="n"/>
      <c r="I101" s="73" t="n"/>
      <c r="J101" s="113" t="n"/>
      <c r="K101" s="109" t="n"/>
      <c r="L101" s="72" t="n"/>
      <c r="M101" s="109" t="n"/>
      <c r="N101" s="72" t="n"/>
      <c r="O101" s="79">
        <f>IF(AND(F101&lt;&gt;"",L101&lt;&gt;"Resolved"),1,0)</f>
        <v/>
      </c>
      <c r="P101" s="79">
        <f>IF(F101="","",IF(O101=0,0,IF(H101="High",2,1)))</f>
        <v/>
      </c>
      <c r="Q101" s="112">
        <f>IF(O101=1,IF(K101&lt;&gt;"",K101,IF(H101="High",AsOf,"")),"")</f>
        <v/>
      </c>
      <c r="R101" s="79">
        <f>IF(Q101="","",IF(H101="High",1,IF(Q101="","",IF(Q101&lt;AsOf,1,IF(Q101&lt;=AsOf+AlertDays,2,IF(Q101&lt;=AsOf+2*AlertDays,3,""))))))</f>
        <v/>
      </c>
      <c r="S101" s="79">
        <f>IF(R101="","",IF(H101="High","High-severity issue: ",IF(C101="Punch item","Punch item: ","Issue action due: "))&amp;F101&amp;IF(J101="",""," → "&amp;J101))</f>
        <v/>
      </c>
      <c r="T101" s="79">
        <f>IF(O101=1,IF(I101="",0,I101),0)</f>
        <v/>
      </c>
      <c r="U101" s="79">
        <f>IF(AND(O101=1,H101="High"),1,0)</f>
        <v/>
      </c>
      <c r="V101" s="79">
        <f>IF(AND(O101=1,C101="Punch item"),1,0)</f>
        <v/>
      </c>
    </row>
    <row r="102" ht="24" customHeight="1">
      <c r="B102" s="125" t="n">
        <v>95</v>
      </c>
      <c r="C102" s="72" t="n"/>
      <c r="D102" s="109" t="n"/>
      <c r="E102" s="72" t="n"/>
      <c r="F102" s="113" t="n"/>
      <c r="G102" s="72" t="n"/>
      <c r="H102" s="74" t="n"/>
      <c r="I102" s="73" t="n"/>
      <c r="J102" s="113" t="n"/>
      <c r="K102" s="109" t="n"/>
      <c r="L102" s="72" t="n"/>
      <c r="M102" s="109" t="n"/>
      <c r="N102" s="72" t="n"/>
      <c r="O102" s="79">
        <f>IF(AND(F102&lt;&gt;"",L102&lt;&gt;"Resolved"),1,0)</f>
        <v/>
      </c>
      <c r="P102" s="79">
        <f>IF(F102="","",IF(O102=0,0,IF(H102="High",2,1)))</f>
        <v/>
      </c>
      <c r="Q102" s="112">
        <f>IF(O102=1,IF(K102&lt;&gt;"",K102,IF(H102="High",AsOf,"")),"")</f>
        <v/>
      </c>
      <c r="R102" s="79">
        <f>IF(Q102="","",IF(H102="High",1,IF(Q102="","",IF(Q102&lt;AsOf,1,IF(Q102&lt;=AsOf+AlertDays,2,IF(Q102&lt;=AsOf+2*AlertDays,3,""))))))</f>
        <v/>
      </c>
      <c r="S102" s="79">
        <f>IF(R102="","",IF(H102="High","High-severity issue: ",IF(C102="Punch item","Punch item: ","Issue action due: "))&amp;F102&amp;IF(J102="",""," → "&amp;J102))</f>
        <v/>
      </c>
      <c r="T102" s="79">
        <f>IF(O102=1,IF(I102="",0,I102),0)</f>
        <v/>
      </c>
      <c r="U102" s="79">
        <f>IF(AND(O102=1,H102="High"),1,0)</f>
        <v/>
      </c>
      <c r="V102" s="79">
        <f>IF(AND(O102=1,C102="Punch item"),1,0)</f>
        <v/>
      </c>
    </row>
    <row r="103" ht="24" customHeight="1">
      <c r="B103" s="125" t="n">
        <v>96</v>
      </c>
      <c r="C103" s="72" t="n"/>
      <c r="D103" s="109" t="n"/>
      <c r="E103" s="72" t="n"/>
      <c r="F103" s="113" t="n"/>
      <c r="G103" s="72" t="n"/>
      <c r="H103" s="74" t="n"/>
      <c r="I103" s="73" t="n"/>
      <c r="J103" s="113" t="n"/>
      <c r="K103" s="109" t="n"/>
      <c r="L103" s="72" t="n"/>
      <c r="M103" s="109" t="n"/>
      <c r="N103" s="72" t="n"/>
      <c r="O103" s="79">
        <f>IF(AND(F103&lt;&gt;"",L103&lt;&gt;"Resolved"),1,0)</f>
        <v/>
      </c>
      <c r="P103" s="79">
        <f>IF(F103="","",IF(O103=0,0,IF(H103="High",2,1)))</f>
        <v/>
      </c>
      <c r="Q103" s="112">
        <f>IF(O103=1,IF(K103&lt;&gt;"",K103,IF(H103="High",AsOf,"")),"")</f>
        <v/>
      </c>
      <c r="R103" s="79">
        <f>IF(Q103="","",IF(H103="High",1,IF(Q103="","",IF(Q103&lt;AsOf,1,IF(Q103&lt;=AsOf+AlertDays,2,IF(Q103&lt;=AsOf+2*AlertDays,3,""))))))</f>
        <v/>
      </c>
      <c r="S103" s="79">
        <f>IF(R103="","",IF(H103="High","High-severity issue: ",IF(C103="Punch item","Punch item: ","Issue action due: "))&amp;F103&amp;IF(J103="",""," → "&amp;J103))</f>
        <v/>
      </c>
      <c r="T103" s="79">
        <f>IF(O103=1,IF(I103="",0,I103),0)</f>
        <v/>
      </c>
      <c r="U103" s="79">
        <f>IF(AND(O103=1,H103="High"),1,0)</f>
        <v/>
      </c>
      <c r="V103" s="79">
        <f>IF(AND(O103=1,C103="Punch item"),1,0)</f>
        <v/>
      </c>
    </row>
    <row r="104" ht="24" customHeight="1">
      <c r="B104" s="125" t="n">
        <v>97</v>
      </c>
      <c r="C104" s="72" t="n"/>
      <c r="D104" s="109" t="n"/>
      <c r="E104" s="72" t="n"/>
      <c r="F104" s="113" t="n"/>
      <c r="G104" s="72" t="n"/>
      <c r="H104" s="74" t="n"/>
      <c r="I104" s="73" t="n"/>
      <c r="J104" s="113" t="n"/>
      <c r="K104" s="109" t="n"/>
      <c r="L104" s="72" t="n"/>
      <c r="M104" s="109" t="n"/>
      <c r="N104" s="72" t="n"/>
      <c r="O104" s="79">
        <f>IF(AND(F104&lt;&gt;"",L104&lt;&gt;"Resolved"),1,0)</f>
        <v/>
      </c>
      <c r="P104" s="79">
        <f>IF(F104="","",IF(O104=0,0,IF(H104="High",2,1)))</f>
        <v/>
      </c>
      <c r="Q104" s="112">
        <f>IF(O104=1,IF(K104&lt;&gt;"",K104,IF(H104="High",AsOf,"")),"")</f>
        <v/>
      </c>
      <c r="R104" s="79">
        <f>IF(Q104="","",IF(H104="High",1,IF(Q104="","",IF(Q104&lt;AsOf,1,IF(Q104&lt;=AsOf+AlertDays,2,IF(Q104&lt;=AsOf+2*AlertDays,3,""))))))</f>
        <v/>
      </c>
      <c r="S104" s="79">
        <f>IF(R104="","",IF(H104="High","High-severity issue: ",IF(C104="Punch item","Punch item: ","Issue action due: "))&amp;F104&amp;IF(J104="",""," → "&amp;J104))</f>
        <v/>
      </c>
      <c r="T104" s="79">
        <f>IF(O104=1,IF(I104="",0,I104),0)</f>
        <v/>
      </c>
      <c r="U104" s="79">
        <f>IF(AND(O104=1,H104="High"),1,0)</f>
        <v/>
      </c>
      <c r="V104" s="79">
        <f>IF(AND(O104=1,C104="Punch item"),1,0)</f>
        <v/>
      </c>
    </row>
    <row r="105" ht="24" customHeight="1">
      <c r="B105" s="125" t="n">
        <v>98</v>
      </c>
      <c r="C105" s="72" t="n"/>
      <c r="D105" s="109" t="n"/>
      <c r="E105" s="72" t="n"/>
      <c r="F105" s="113" t="n"/>
      <c r="G105" s="72" t="n"/>
      <c r="H105" s="74" t="n"/>
      <c r="I105" s="73" t="n"/>
      <c r="J105" s="113" t="n"/>
      <c r="K105" s="109" t="n"/>
      <c r="L105" s="72" t="n"/>
      <c r="M105" s="109" t="n"/>
      <c r="N105" s="72" t="n"/>
      <c r="O105" s="79">
        <f>IF(AND(F105&lt;&gt;"",L105&lt;&gt;"Resolved"),1,0)</f>
        <v/>
      </c>
      <c r="P105" s="79">
        <f>IF(F105="","",IF(O105=0,0,IF(H105="High",2,1)))</f>
        <v/>
      </c>
      <c r="Q105" s="112">
        <f>IF(O105=1,IF(K105&lt;&gt;"",K105,IF(H105="High",AsOf,"")),"")</f>
        <v/>
      </c>
      <c r="R105" s="79">
        <f>IF(Q105="","",IF(H105="High",1,IF(Q105="","",IF(Q105&lt;AsOf,1,IF(Q105&lt;=AsOf+AlertDays,2,IF(Q105&lt;=AsOf+2*AlertDays,3,""))))))</f>
        <v/>
      </c>
      <c r="S105" s="79">
        <f>IF(R105="","",IF(H105="High","High-severity issue: ",IF(C105="Punch item","Punch item: ","Issue action due: "))&amp;F105&amp;IF(J105="",""," → "&amp;J105))</f>
        <v/>
      </c>
      <c r="T105" s="79">
        <f>IF(O105=1,IF(I105="",0,I105),0)</f>
        <v/>
      </c>
      <c r="U105" s="79">
        <f>IF(AND(O105=1,H105="High"),1,0)</f>
        <v/>
      </c>
      <c r="V105" s="79">
        <f>IF(AND(O105=1,C105="Punch item"),1,0)</f>
        <v/>
      </c>
    </row>
    <row r="106" ht="24" customHeight="1">
      <c r="B106" s="125" t="n">
        <v>99</v>
      </c>
      <c r="C106" s="72" t="n"/>
      <c r="D106" s="109" t="n"/>
      <c r="E106" s="72" t="n"/>
      <c r="F106" s="113" t="n"/>
      <c r="G106" s="72" t="n"/>
      <c r="H106" s="74" t="n"/>
      <c r="I106" s="73" t="n"/>
      <c r="J106" s="113" t="n"/>
      <c r="K106" s="109" t="n"/>
      <c r="L106" s="72" t="n"/>
      <c r="M106" s="109" t="n"/>
      <c r="N106" s="72" t="n"/>
      <c r="O106" s="79">
        <f>IF(AND(F106&lt;&gt;"",L106&lt;&gt;"Resolved"),1,0)</f>
        <v/>
      </c>
      <c r="P106" s="79">
        <f>IF(F106="","",IF(O106=0,0,IF(H106="High",2,1)))</f>
        <v/>
      </c>
      <c r="Q106" s="112">
        <f>IF(O106=1,IF(K106&lt;&gt;"",K106,IF(H106="High",AsOf,"")),"")</f>
        <v/>
      </c>
      <c r="R106" s="79">
        <f>IF(Q106="","",IF(H106="High",1,IF(Q106="","",IF(Q106&lt;AsOf,1,IF(Q106&lt;=AsOf+AlertDays,2,IF(Q106&lt;=AsOf+2*AlertDays,3,""))))))</f>
        <v/>
      </c>
      <c r="S106" s="79">
        <f>IF(R106="","",IF(H106="High","High-severity issue: ",IF(C106="Punch item","Punch item: ","Issue action due: "))&amp;F106&amp;IF(J106="",""," → "&amp;J106))</f>
        <v/>
      </c>
      <c r="T106" s="79">
        <f>IF(O106=1,IF(I106="",0,I106),0)</f>
        <v/>
      </c>
      <c r="U106" s="79">
        <f>IF(AND(O106=1,H106="High"),1,0)</f>
        <v/>
      </c>
      <c r="V106" s="79">
        <f>IF(AND(O106=1,C106="Punch item"),1,0)</f>
        <v/>
      </c>
    </row>
    <row r="107" ht="24" customHeight="1">
      <c r="B107" s="125" t="n">
        <v>100</v>
      </c>
      <c r="C107" s="72" t="n"/>
      <c r="D107" s="109" t="n"/>
      <c r="E107" s="72" t="n"/>
      <c r="F107" s="113" t="n"/>
      <c r="G107" s="72" t="n"/>
      <c r="H107" s="74" t="n"/>
      <c r="I107" s="73" t="n"/>
      <c r="J107" s="113" t="n"/>
      <c r="K107" s="109" t="n"/>
      <c r="L107" s="72" t="n"/>
      <c r="M107" s="109" t="n"/>
      <c r="N107" s="72" t="n"/>
      <c r="O107" s="79">
        <f>IF(AND(F107&lt;&gt;"",L107&lt;&gt;"Resolved"),1,0)</f>
        <v/>
      </c>
      <c r="P107" s="79">
        <f>IF(F107="","",IF(O107=0,0,IF(H107="High",2,1)))</f>
        <v/>
      </c>
      <c r="Q107" s="112">
        <f>IF(O107=1,IF(K107&lt;&gt;"",K107,IF(H107="High",AsOf,"")),"")</f>
        <v/>
      </c>
      <c r="R107" s="79">
        <f>IF(Q107="","",IF(H107="High",1,IF(Q107="","",IF(Q107&lt;AsOf,1,IF(Q107&lt;=AsOf+AlertDays,2,IF(Q107&lt;=AsOf+2*AlertDays,3,""))))))</f>
        <v/>
      </c>
      <c r="S107" s="79">
        <f>IF(R107="","",IF(H107="High","High-severity issue: ",IF(C107="Punch item","Punch item: ","Issue action due: "))&amp;F107&amp;IF(J107="",""," → "&amp;J107))</f>
        <v/>
      </c>
      <c r="T107" s="79">
        <f>IF(O107=1,IF(I107="",0,I107),0)</f>
        <v/>
      </c>
      <c r="U107" s="79">
        <f>IF(AND(O107=1,H107="High"),1,0)</f>
        <v/>
      </c>
      <c r="V107" s="79">
        <f>IF(AND(O107=1,C107="Punch item"),1,0)</f>
        <v/>
      </c>
    </row>
    <row r="108" ht="24" customHeight="1">
      <c r="B108" s="125" t="n">
        <v>101</v>
      </c>
      <c r="C108" s="72" t="n"/>
      <c r="D108" s="109" t="n"/>
      <c r="E108" s="72" t="n"/>
      <c r="F108" s="113" t="n"/>
      <c r="G108" s="72" t="n"/>
      <c r="H108" s="74" t="n"/>
      <c r="I108" s="73" t="n"/>
      <c r="J108" s="113" t="n"/>
      <c r="K108" s="109" t="n"/>
      <c r="L108" s="72" t="n"/>
      <c r="M108" s="109" t="n"/>
      <c r="N108" s="72" t="n"/>
      <c r="O108" s="79">
        <f>IF(AND(F108&lt;&gt;"",L108&lt;&gt;"Resolved"),1,0)</f>
        <v/>
      </c>
      <c r="P108" s="79">
        <f>IF(F108="","",IF(O108=0,0,IF(H108="High",2,1)))</f>
        <v/>
      </c>
      <c r="Q108" s="112">
        <f>IF(O108=1,IF(K108&lt;&gt;"",K108,IF(H108="High",AsOf,"")),"")</f>
        <v/>
      </c>
      <c r="R108" s="79">
        <f>IF(Q108="","",IF(H108="High",1,IF(Q108="","",IF(Q108&lt;AsOf,1,IF(Q108&lt;=AsOf+AlertDays,2,IF(Q108&lt;=AsOf+2*AlertDays,3,""))))))</f>
        <v/>
      </c>
      <c r="S108" s="79">
        <f>IF(R108="","",IF(H108="High","High-severity issue: ",IF(C108="Punch item","Punch item: ","Issue action due: "))&amp;F108&amp;IF(J108="",""," → "&amp;J108))</f>
        <v/>
      </c>
      <c r="T108" s="79">
        <f>IF(O108=1,IF(I108="",0,I108),0)</f>
        <v/>
      </c>
      <c r="U108" s="79">
        <f>IF(AND(O108=1,H108="High"),1,0)</f>
        <v/>
      </c>
      <c r="V108" s="79">
        <f>IF(AND(O108=1,C108="Punch item"),1,0)</f>
        <v/>
      </c>
    </row>
    <row r="109" ht="24" customHeight="1">
      <c r="B109" s="125" t="n">
        <v>102</v>
      </c>
      <c r="C109" s="72" t="n"/>
      <c r="D109" s="109" t="n"/>
      <c r="E109" s="72" t="n"/>
      <c r="F109" s="113" t="n"/>
      <c r="G109" s="72" t="n"/>
      <c r="H109" s="74" t="n"/>
      <c r="I109" s="73" t="n"/>
      <c r="J109" s="113" t="n"/>
      <c r="K109" s="109" t="n"/>
      <c r="L109" s="72" t="n"/>
      <c r="M109" s="109" t="n"/>
      <c r="N109" s="72" t="n"/>
      <c r="O109" s="79">
        <f>IF(AND(F109&lt;&gt;"",L109&lt;&gt;"Resolved"),1,0)</f>
        <v/>
      </c>
      <c r="P109" s="79">
        <f>IF(F109="","",IF(O109=0,0,IF(H109="High",2,1)))</f>
        <v/>
      </c>
      <c r="Q109" s="112">
        <f>IF(O109=1,IF(K109&lt;&gt;"",K109,IF(H109="High",AsOf,"")),"")</f>
        <v/>
      </c>
      <c r="R109" s="79">
        <f>IF(Q109="","",IF(H109="High",1,IF(Q109="","",IF(Q109&lt;AsOf,1,IF(Q109&lt;=AsOf+AlertDays,2,IF(Q109&lt;=AsOf+2*AlertDays,3,""))))))</f>
        <v/>
      </c>
      <c r="S109" s="79">
        <f>IF(R109="","",IF(H109="High","High-severity issue: ",IF(C109="Punch item","Punch item: ","Issue action due: "))&amp;F109&amp;IF(J109="",""," → "&amp;J109))</f>
        <v/>
      </c>
      <c r="T109" s="79">
        <f>IF(O109=1,IF(I109="",0,I109),0)</f>
        <v/>
      </c>
      <c r="U109" s="79">
        <f>IF(AND(O109=1,H109="High"),1,0)</f>
        <v/>
      </c>
      <c r="V109" s="79">
        <f>IF(AND(O109=1,C109="Punch item"),1,0)</f>
        <v/>
      </c>
    </row>
    <row r="110" ht="24" customHeight="1">
      <c r="B110" s="125" t="n">
        <v>103</v>
      </c>
      <c r="C110" s="72" t="n"/>
      <c r="D110" s="109" t="n"/>
      <c r="E110" s="72" t="n"/>
      <c r="F110" s="113" t="n"/>
      <c r="G110" s="72" t="n"/>
      <c r="H110" s="74" t="n"/>
      <c r="I110" s="73" t="n"/>
      <c r="J110" s="113" t="n"/>
      <c r="K110" s="109" t="n"/>
      <c r="L110" s="72" t="n"/>
      <c r="M110" s="109" t="n"/>
      <c r="N110" s="72" t="n"/>
      <c r="O110" s="79">
        <f>IF(AND(F110&lt;&gt;"",L110&lt;&gt;"Resolved"),1,0)</f>
        <v/>
      </c>
      <c r="P110" s="79">
        <f>IF(F110="","",IF(O110=0,0,IF(H110="High",2,1)))</f>
        <v/>
      </c>
      <c r="Q110" s="112">
        <f>IF(O110=1,IF(K110&lt;&gt;"",K110,IF(H110="High",AsOf,"")),"")</f>
        <v/>
      </c>
      <c r="R110" s="79">
        <f>IF(Q110="","",IF(H110="High",1,IF(Q110="","",IF(Q110&lt;AsOf,1,IF(Q110&lt;=AsOf+AlertDays,2,IF(Q110&lt;=AsOf+2*AlertDays,3,""))))))</f>
        <v/>
      </c>
      <c r="S110" s="79">
        <f>IF(R110="","",IF(H110="High","High-severity issue: ",IF(C110="Punch item","Punch item: ","Issue action due: "))&amp;F110&amp;IF(J110="",""," → "&amp;J110))</f>
        <v/>
      </c>
      <c r="T110" s="79">
        <f>IF(O110=1,IF(I110="",0,I110),0)</f>
        <v/>
      </c>
      <c r="U110" s="79">
        <f>IF(AND(O110=1,H110="High"),1,0)</f>
        <v/>
      </c>
      <c r="V110" s="79">
        <f>IF(AND(O110=1,C110="Punch item"),1,0)</f>
        <v/>
      </c>
    </row>
    <row r="111" ht="24" customHeight="1">
      <c r="B111" s="125" t="n">
        <v>104</v>
      </c>
      <c r="C111" s="72" t="n"/>
      <c r="D111" s="109" t="n"/>
      <c r="E111" s="72" t="n"/>
      <c r="F111" s="113" t="n"/>
      <c r="G111" s="72" t="n"/>
      <c r="H111" s="74" t="n"/>
      <c r="I111" s="73" t="n"/>
      <c r="J111" s="113" t="n"/>
      <c r="K111" s="109" t="n"/>
      <c r="L111" s="72" t="n"/>
      <c r="M111" s="109" t="n"/>
      <c r="N111" s="72" t="n"/>
      <c r="O111" s="79">
        <f>IF(AND(F111&lt;&gt;"",L111&lt;&gt;"Resolved"),1,0)</f>
        <v/>
      </c>
      <c r="P111" s="79">
        <f>IF(F111="","",IF(O111=0,0,IF(H111="High",2,1)))</f>
        <v/>
      </c>
      <c r="Q111" s="112">
        <f>IF(O111=1,IF(K111&lt;&gt;"",K111,IF(H111="High",AsOf,"")),"")</f>
        <v/>
      </c>
      <c r="R111" s="79">
        <f>IF(Q111="","",IF(H111="High",1,IF(Q111="","",IF(Q111&lt;AsOf,1,IF(Q111&lt;=AsOf+AlertDays,2,IF(Q111&lt;=AsOf+2*AlertDays,3,""))))))</f>
        <v/>
      </c>
      <c r="S111" s="79">
        <f>IF(R111="","",IF(H111="High","High-severity issue: ",IF(C111="Punch item","Punch item: ","Issue action due: "))&amp;F111&amp;IF(J111="",""," → "&amp;J111))</f>
        <v/>
      </c>
      <c r="T111" s="79">
        <f>IF(O111=1,IF(I111="",0,I111),0)</f>
        <v/>
      </c>
      <c r="U111" s="79">
        <f>IF(AND(O111=1,H111="High"),1,0)</f>
        <v/>
      </c>
      <c r="V111" s="79">
        <f>IF(AND(O111=1,C111="Punch item"),1,0)</f>
        <v/>
      </c>
    </row>
    <row r="112" ht="24" customHeight="1">
      <c r="B112" s="125" t="n">
        <v>105</v>
      </c>
      <c r="C112" s="72" t="n"/>
      <c r="D112" s="109" t="n"/>
      <c r="E112" s="72" t="n"/>
      <c r="F112" s="113" t="n"/>
      <c r="G112" s="72" t="n"/>
      <c r="H112" s="74" t="n"/>
      <c r="I112" s="73" t="n"/>
      <c r="J112" s="113" t="n"/>
      <c r="K112" s="109" t="n"/>
      <c r="L112" s="72" t="n"/>
      <c r="M112" s="109" t="n"/>
      <c r="N112" s="72" t="n"/>
      <c r="O112" s="79">
        <f>IF(AND(F112&lt;&gt;"",L112&lt;&gt;"Resolved"),1,0)</f>
        <v/>
      </c>
      <c r="P112" s="79">
        <f>IF(F112="","",IF(O112=0,0,IF(H112="High",2,1)))</f>
        <v/>
      </c>
      <c r="Q112" s="112">
        <f>IF(O112=1,IF(K112&lt;&gt;"",K112,IF(H112="High",AsOf,"")),"")</f>
        <v/>
      </c>
      <c r="R112" s="79">
        <f>IF(Q112="","",IF(H112="High",1,IF(Q112="","",IF(Q112&lt;AsOf,1,IF(Q112&lt;=AsOf+AlertDays,2,IF(Q112&lt;=AsOf+2*AlertDays,3,""))))))</f>
        <v/>
      </c>
      <c r="S112" s="79">
        <f>IF(R112="","",IF(H112="High","High-severity issue: ",IF(C112="Punch item","Punch item: ","Issue action due: "))&amp;F112&amp;IF(J112="",""," → "&amp;J112))</f>
        <v/>
      </c>
      <c r="T112" s="79">
        <f>IF(O112=1,IF(I112="",0,I112),0)</f>
        <v/>
      </c>
      <c r="U112" s="79">
        <f>IF(AND(O112=1,H112="High"),1,0)</f>
        <v/>
      </c>
      <c r="V112" s="79">
        <f>IF(AND(O112=1,C112="Punch item"),1,0)</f>
        <v/>
      </c>
    </row>
    <row r="113" ht="24" customHeight="1">
      <c r="B113" s="125" t="n">
        <v>106</v>
      </c>
      <c r="C113" s="72" t="n"/>
      <c r="D113" s="109" t="n"/>
      <c r="E113" s="72" t="n"/>
      <c r="F113" s="113" t="n"/>
      <c r="G113" s="72" t="n"/>
      <c r="H113" s="74" t="n"/>
      <c r="I113" s="73" t="n"/>
      <c r="J113" s="113" t="n"/>
      <c r="K113" s="109" t="n"/>
      <c r="L113" s="72" t="n"/>
      <c r="M113" s="109" t="n"/>
      <c r="N113" s="72" t="n"/>
      <c r="O113" s="79">
        <f>IF(AND(F113&lt;&gt;"",L113&lt;&gt;"Resolved"),1,0)</f>
        <v/>
      </c>
      <c r="P113" s="79">
        <f>IF(F113="","",IF(O113=0,0,IF(H113="High",2,1)))</f>
        <v/>
      </c>
      <c r="Q113" s="112">
        <f>IF(O113=1,IF(K113&lt;&gt;"",K113,IF(H113="High",AsOf,"")),"")</f>
        <v/>
      </c>
      <c r="R113" s="79">
        <f>IF(Q113="","",IF(H113="High",1,IF(Q113="","",IF(Q113&lt;AsOf,1,IF(Q113&lt;=AsOf+AlertDays,2,IF(Q113&lt;=AsOf+2*AlertDays,3,""))))))</f>
        <v/>
      </c>
      <c r="S113" s="79">
        <f>IF(R113="","",IF(H113="High","High-severity issue: ",IF(C113="Punch item","Punch item: ","Issue action due: "))&amp;F113&amp;IF(J113="",""," → "&amp;J113))</f>
        <v/>
      </c>
      <c r="T113" s="79">
        <f>IF(O113=1,IF(I113="",0,I113),0)</f>
        <v/>
      </c>
      <c r="U113" s="79">
        <f>IF(AND(O113=1,H113="High"),1,0)</f>
        <v/>
      </c>
      <c r="V113" s="79">
        <f>IF(AND(O113=1,C113="Punch item"),1,0)</f>
        <v/>
      </c>
    </row>
    <row r="114" ht="24" customHeight="1">
      <c r="B114" s="125" t="n">
        <v>107</v>
      </c>
      <c r="C114" s="72" t="n"/>
      <c r="D114" s="109" t="n"/>
      <c r="E114" s="72" t="n"/>
      <c r="F114" s="113" t="n"/>
      <c r="G114" s="72" t="n"/>
      <c r="H114" s="74" t="n"/>
      <c r="I114" s="73" t="n"/>
      <c r="J114" s="113" t="n"/>
      <c r="K114" s="109" t="n"/>
      <c r="L114" s="72" t="n"/>
      <c r="M114" s="109" t="n"/>
      <c r="N114" s="72" t="n"/>
      <c r="O114" s="79">
        <f>IF(AND(F114&lt;&gt;"",L114&lt;&gt;"Resolved"),1,0)</f>
        <v/>
      </c>
      <c r="P114" s="79">
        <f>IF(F114="","",IF(O114=0,0,IF(H114="High",2,1)))</f>
        <v/>
      </c>
      <c r="Q114" s="112">
        <f>IF(O114=1,IF(K114&lt;&gt;"",K114,IF(H114="High",AsOf,"")),"")</f>
        <v/>
      </c>
      <c r="R114" s="79">
        <f>IF(Q114="","",IF(H114="High",1,IF(Q114="","",IF(Q114&lt;AsOf,1,IF(Q114&lt;=AsOf+AlertDays,2,IF(Q114&lt;=AsOf+2*AlertDays,3,""))))))</f>
        <v/>
      </c>
      <c r="S114" s="79">
        <f>IF(R114="","",IF(H114="High","High-severity issue: ",IF(C114="Punch item","Punch item: ","Issue action due: "))&amp;F114&amp;IF(J114="",""," → "&amp;J114))</f>
        <v/>
      </c>
      <c r="T114" s="79">
        <f>IF(O114=1,IF(I114="",0,I114),0)</f>
        <v/>
      </c>
      <c r="U114" s="79">
        <f>IF(AND(O114=1,H114="High"),1,0)</f>
        <v/>
      </c>
      <c r="V114" s="79">
        <f>IF(AND(O114=1,C114="Punch item"),1,0)</f>
        <v/>
      </c>
    </row>
    <row r="115" ht="24" customHeight="1">
      <c r="B115" s="125" t="n">
        <v>108</v>
      </c>
      <c r="C115" s="72" t="n"/>
      <c r="D115" s="109" t="n"/>
      <c r="E115" s="72" t="n"/>
      <c r="F115" s="113" t="n"/>
      <c r="G115" s="72" t="n"/>
      <c r="H115" s="74" t="n"/>
      <c r="I115" s="73" t="n"/>
      <c r="J115" s="113" t="n"/>
      <c r="K115" s="109" t="n"/>
      <c r="L115" s="72" t="n"/>
      <c r="M115" s="109" t="n"/>
      <c r="N115" s="72" t="n"/>
      <c r="O115" s="79">
        <f>IF(AND(F115&lt;&gt;"",L115&lt;&gt;"Resolved"),1,0)</f>
        <v/>
      </c>
      <c r="P115" s="79">
        <f>IF(F115="","",IF(O115=0,0,IF(H115="High",2,1)))</f>
        <v/>
      </c>
      <c r="Q115" s="112">
        <f>IF(O115=1,IF(K115&lt;&gt;"",K115,IF(H115="High",AsOf,"")),"")</f>
        <v/>
      </c>
      <c r="R115" s="79">
        <f>IF(Q115="","",IF(H115="High",1,IF(Q115="","",IF(Q115&lt;AsOf,1,IF(Q115&lt;=AsOf+AlertDays,2,IF(Q115&lt;=AsOf+2*AlertDays,3,""))))))</f>
        <v/>
      </c>
      <c r="S115" s="79">
        <f>IF(R115="","",IF(H115="High","High-severity issue: ",IF(C115="Punch item","Punch item: ","Issue action due: "))&amp;F115&amp;IF(J115="",""," → "&amp;J115))</f>
        <v/>
      </c>
      <c r="T115" s="79">
        <f>IF(O115=1,IF(I115="",0,I115),0)</f>
        <v/>
      </c>
      <c r="U115" s="79">
        <f>IF(AND(O115=1,H115="High"),1,0)</f>
        <v/>
      </c>
      <c r="V115" s="79">
        <f>IF(AND(O115=1,C115="Punch item"),1,0)</f>
        <v/>
      </c>
    </row>
    <row r="116" ht="24" customHeight="1">
      <c r="B116" s="125" t="n">
        <v>109</v>
      </c>
      <c r="C116" s="72" t="n"/>
      <c r="D116" s="109" t="n"/>
      <c r="E116" s="72" t="n"/>
      <c r="F116" s="113" t="n"/>
      <c r="G116" s="72" t="n"/>
      <c r="H116" s="74" t="n"/>
      <c r="I116" s="73" t="n"/>
      <c r="J116" s="113" t="n"/>
      <c r="K116" s="109" t="n"/>
      <c r="L116" s="72" t="n"/>
      <c r="M116" s="109" t="n"/>
      <c r="N116" s="72" t="n"/>
      <c r="O116" s="79">
        <f>IF(AND(F116&lt;&gt;"",L116&lt;&gt;"Resolved"),1,0)</f>
        <v/>
      </c>
      <c r="P116" s="79">
        <f>IF(F116="","",IF(O116=0,0,IF(H116="High",2,1)))</f>
        <v/>
      </c>
      <c r="Q116" s="112">
        <f>IF(O116=1,IF(K116&lt;&gt;"",K116,IF(H116="High",AsOf,"")),"")</f>
        <v/>
      </c>
      <c r="R116" s="79">
        <f>IF(Q116="","",IF(H116="High",1,IF(Q116="","",IF(Q116&lt;AsOf,1,IF(Q116&lt;=AsOf+AlertDays,2,IF(Q116&lt;=AsOf+2*AlertDays,3,""))))))</f>
        <v/>
      </c>
      <c r="S116" s="79">
        <f>IF(R116="","",IF(H116="High","High-severity issue: ",IF(C116="Punch item","Punch item: ","Issue action due: "))&amp;F116&amp;IF(J116="",""," → "&amp;J116))</f>
        <v/>
      </c>
      <c r="T116" s="79">
        <f>IF(O116=1,IF(I116="",0,I116),0)</f>
        <v/>
      </c>
      <c r="U116" s="79">
        <f>IF(AND(O116=1,H116="High"),1,0)</f>
        <v/>
      </c>
      <c r="V116" s="79">
        <f>IF(AND(O116=1,C116="Punch item"),1,0)</f>
        <v/>
      </c>
    </row>
    <row r="117" ht="24" customHeight="1">
      <c r="B117" s="125" t="n">
        <v>110</v>
      </c>
      <c r="C117" s="72" t="n"/>
      <c r="D117" s="109" t="n"/>
      <c r="E117" s="72" t="n"/>
      <c r="F117" s="113" t="n"/>
      <c r="G117" s="72" t="n"/>
      <c r="H117" s="74" t="n"/>
      <c r="I117" s="73" t="n"/>
      <c r="J117" s="113" t="n"/>
      <c r="K117" s="109" t="n"/>
      <c r="L117" s="72" t="n"/>
      <c r="M117" s="109" t="n"/>
      <c r="N117" s="72" t="n"/>
      <c r="O117" s="79">
        <f>IF(AND(F117&lt;&gt;"",L117&lt;&gt;"Resolved"),1,0)</f>
        <v/>
      </c>
      <c r="P117" s="79">
        <f>IF(F117="","",IF(O117=0,0,IF(H117="High",2,1)))</f>
        <v/>
      </c>
      <c r="Q117" s="112">
        <f>IF(O117=1,IF(K117&lt;&gt;"",K117,IF(H117="High",AsOf,"")),"")</f>
        <v/>
      </c>
      <c r="R117" s="79">
        <f>IF(Q117="","",IF(H117="High",1,IF(Q117="","",IF(Q117&lt;AsOf,1,IF(Q117&lt;=AsOf+AlertDays,2,IF(Q117&lt;=AsOf+2*AlertDays,3,""))))))</f>
        <v/>
      </c>
      <c r="S117" s="79">
        <f>IF(R117="","",IF(H117="High","High-severity issue: ",IF(C117="Punch item","Punch item: ","Issue action due: "))&amp;F117&amp;IF(J117="",""," → "&amp;J117))</f>
        <v/>
      </c>
      <c r="T117" s="79">
        <f>IF(O117=1,IF(I117="",0,I117),0)</f>
        <v/>
      </c>
      <c r="U117" s="79">
        <f>IF(AND(O117=1,H117="High"),1,0)</f>
        <v/>
      </c>
      <c r="V117" s="79">
        <f>IF(AND(O117=1,C117="Punch item"),1,0)</f>
        <v/>
      </c>
    </row>
    <row r="118" ht="24" customHeight="1">
      <c r="B118" s="125" t="n">
        <v>111</v>
      </c>
      <c r="C118" s="72" t="n"/>
      <c r="D118" s="109" t="n"/>
      <c r="E118" s="72" t="n"/>
      <c r="F118" s="113" t="n"/>
      <c r="G118" s="72" t="n"/>
      <c r="H118" s="74" t="n"/>
      <c r="I118" s="73" t="n"/>
      <c r="J118" s="113" t="n"/>
      <c r="K118" s="109" t="n"/>
      <c r="L118" s="72" t="n"/>
      <c r="M118" s="109" t="n"/>
      <c r="N118" s="72" t="n"/>
      <c r="O118" s="79">
        <f>IF(AND(F118&lt;&gt;"",L118&lt;&gt;"Resolved"),1,0)</f>
        <v/>
      </c>
      <c r="P118" s="79">
        <f>IF(F118="","",IF(O118=0,0,IF(H118="High",2,1)))</f>
        <v/>
      </c>
      <c r="Q118" s="112">
        <f>IF(O118=1,IF(K118&lt;&gt;"",K118,IF(H118="High",AsOf,"")),"")</f>
        <v/>
      </c>
      <c r="R118" s="79">
        <f>IF(Q118="","",IF(H118="High",1,IF(Q118="","",IF(Q118&lt;AsOf,1,IF(Q118&lt;=AsOf+AlertDays,2,IF(Q118&lt;=AsOf+2*AlertDays,3,""))))))</f>
        <v/>
      </c>
      <c r="S118" s="79">
        <f>IF(R118="","",IF(H118="High","High-severity issue: ",IF(C118="Punch item","Punch item: ","Issue action due: "))&amp;F118&amp;IF(J118="",""," → "&amp;J118))</f>
        <v/>
      </c>
      <c r="T118" s="79">
        <f>IF(O118=1,IF(I118="",0,I118),0)</f>
        <v/>
      </c>
      <c r="U118" s="79">
        <f>IF(AND(O118=1,H118="High"),1,0)</f>
        <v/>
      </c>
      <c r="V118" s="79">
        <f>IF(AND(O118=1,C118="Punch item"),1,0)</f>
        <v/>
      </c>
    </row>
    <row r="119" ht="24" customHeight="1">
      <c r="B119" s="125" t="n">
        <v>112</v>
      </c>
      <c r="C119" s="72" t="n"/>
      <c r="D119" s="109" t="n"/>
      <c r="E119" s="72" t="n"/>
      <c r="F119" s="113" t="n"/>
      <c r="G119" s="72" t="n"/>
      <c r="H119" s="74" t="n"/>
      <c r="I119" s="73" t="n"/>
      <c r="J119" s="113" t="n"/>
      <c r="K119" s="109" t="n"/>
      <c r="L119" s="72" t="n"/>
      <c r="M119" s="109" t="n"/>
      <c r="N119" s="72" t="n"/>
      <c r="O119" s="79">
        <f>IF(AND(F119&lt;&gt;"",L119&lt;&gt;"Resolved"),1,0)</f>
        <v/>
      </c>
      <c r="P119" s="79">
        <f>IF(F119="","",IF(O119=0,0,IF(H119="High",2,1)))</f>
        <v/>
      </c>
      <c r="Q119" s="112">
        <f>IF(O119=1,IF(K119&lt;&gt;"",K119,IF(H119="High",AsOf,"")),"")</f>
        <v/>
      </c>
      <c r="R119" s="79">
        <f>IF(Q119="","",IF(H119="High",1,IF(Q119="","",IF(Q119&lt;AsOf,1,IF(Q119&lt;=AsOf+AlertDays,2,IF(Q119&lt;=AsOf+2*AlertDays,3,""))))))</f>
        <v/>
      </c>
      <c r="S119" s="79">
        <f>IF(R119="","",IF(H119="High","High-severity issue: ",IF(C119="Punch item","Punch item: ","Issue action due: "))&amp;F119&amp;IF(J119="",""," → "&amp;J119))</f>
        <v/>
      </c>
      <c r="T119" s="79">
        <f>IF(O119=1,IF(I119="",0,I119),0)</f>
        <v/>
      </c>
      <c r="U119" s="79">
        <f>IF(AND(O119=1,H119="High"),1,0)</f>
        <v/>
      </c>
      <c r="V119" s="79">
        <f>IF(AND(O119=1,C119="Punch item"),1,0)</f>
        <v/>
      </c>
    </row>
    <row r="120" ht="24" customHeight="1">
      <c r="B120" s="125" t="n">
        <v>113</v>
      </c>
      <c r="C120" s="72" t="n"/>
      <c r="D120" s="109" t="n"/>
      <c r="E120" s="72" t="n"/>
      <c r="F120" s="113" t="n"/>
      <c r="G120" s="72" t="n"/>
      <c r="H120" s="74" t="n"/>
      <c r="I120" s="73" t="n"/>
      <c r="J120" s="113" t="n"/>
      <c r="K120" s="109" t="n"/>
      <c r="L120" s="72" t="n"/>
      <c r="M120" s="109" t="n"/>
      <c r="N120" s="72" t="n"/>
      <c r="O120" s="79">
        <f>IF(AND(F120&lt;&gt;"",L120&lt;&gt;"Resolved"),1,0)</f>
        <v/>
      </c>
      <c r="P120" s="79">
        <f>IF(F120="","",IF(O120=0,0,IF(H120="High",2,1)))</f>
        <v/>
      </c>
      <c r="Q120" s="112">
        <f>IF(O120=1,IF(K120&lt;&gt;"",K120,IF(H120="High",AsOf,"")),"")</f>
        <v/>
      </c>
      <c r="R120" s="79">
        <f>IF(Q120="","",IF(H120="High",1,IF(Q120="","",IF(Q120&lt;AsOf,1,IF(Q120&lt;=AsOf+AlertDays,2,IF(Q120&lt;=AsOf+2*AlertDays,3,""))))))</f>
        <v/>
      </c>
      <c r="S120" s="79">
        <f>IF(R120="","",IF(H120="High","High-severity issue: ",IF(C120="Punch item","Punch item: ","Issue action due: "))&amp;F120&amp;IF(J120="",""," → "&amp;J120))</f>
        <v/>
      </c>
      <c r="T120" s="79">
        <f>IF(O120=1,IF(I120="",0,I120),0)</f>
        <v/>
      </c>
      <c r="U120" s="79">
        <f>IF(AND(O120=1,H120="High"),1,0)</f>
        <v/>
      </c>
      <c r="V120" s="79">
        <f>IF(AND(O120=1,C120="Punch item"),1,0)</f>
        <v/>
      </c>
    </row>
    <row r="121" ht="24" customHeight="1">
      <c r="B121" s="125" t="n">
        <v>114</v>
      </c>
      <c r="C121" s="72" t="n"/>
      <c r="D121" s="109" t="n"/>
      <c r="E121" s="72" t="n"/>
      <c r="F121" s="113" t="n"/>
      <c r="G121" s="72" t="n"/>
      <c r="H121" s="74" t="n"/>
      <c r="I121" s="73" t="n"/>
      <c r="J121" s="113" t="n"/>
      <c r="K121" s="109" t="n"/>
      <c r="L121" s="72" t="n"/>
      <c r="M121" s="109" t="n"/>
      <c r="N121" s="72" t="n"/>
      <c r="O121" s="79">
        <f>IF(AND(F121&lt;&gt;"",L121&lt;&gt;"Resolved"),1,0)</f>
        <v/>
      </c>
      <c r="P121" s="79">
        <f>IF(F121="","",IF(O121=0,0,IF(H121="High",2,1)))</f>
        <v/>
      </c>
      <c r="Q121" s="112">
        <f>IF(O121=1,IF(K121&lt;&gt;"",K121,IF(H121="High",AsOf,"")),"")</f>
        <v/>
      </c>
      <c r="R121" s="79">
        <f>IF(Q121="","",IF(H121="High",1,IF(Q121="","",IF(Q121&lt;AsOf,1,IF(Q121&lt;=AsOf+AlertDays,2,IF(Q121&lt;=AsOf+2*AlertDays,3,""))))))</f>
        <v/>
      </c>
      <c r="S121" s="79">
        <f>IF(R121="","",IF(H121="High","High-severity issue: ",IF(C121="Punch item","Punch item: ","Issue action due: "))&amp;F121&amp;IF(J121="",""," → "&amp;J121))</f>
        <v/>
      </c>
      <c r="T121" s="79">
        <f>IF(O121=1,IF(I121="",0,I121),0)</f>
        <v/>
      </c>
      <c r="U121" s="79">
        <f>IF(AND(O121=1,H121="High"),1,0)</f>
        <v/>
      </c>
      <c r="V121" s="79">
        <f>IF(AND(O121=1,C121="Punch item"),1,0)</f>
        <v/>
      </c>
    </row>
    <row r="122" ht="24" customHeight="1">
      <c r="B122" s="125" t="n">
        <v>115</v>
      </c>
      <c r="C122" s="72" t="n"/>
      <c r="D122" s="109" t="n"/>
      <c r="E122" s="72" t="n"/>
      <c r="F122" s="113" t="n"/>
      <c r="G122" s="72" t="n"/>
      <c r="H122" s="74" t="n"/>
      <c r="I122" s="73" t="n"/>
      <c r="J122" s="113" t="n"/>
      <c r="K122" s="109" t="n"/>
      <c r="L122" s="72" t="n"/>
      <c r="M122" s="109" t="n"/>
      <c r="N122" s="72" t="n"/>
      <c r="O122" s="79">
        <f>IF(AND(F122&lt;&gt;"",L122&lt;&gt;"Resolved"),1,0)</f>
        <v/>
      </c>
      <c r="P122" s="79">
        <f>IF(F122="","",IF(O122=0,0,IF(H122="High",2,1)))</f>
        <v/>
      </c>
      <c r="Q122" s="112">
        <f>IF(O122=1,IF(K122&lt;&gt;"",K122,IF(H122="High",AsOf,"")),"")</f>
        <v/>
      </c>
      <c r="R122" s="79">
        <f>IF(Q122="","",IF(H122="High",1,IF(Q122="","",IF(Q122&lt;AsOf,1,IF(Q122&lt;=AsOf+AlertDays,2,IF(Q122&lt;=AsOf+2*AlertDays,3,""))))))</f>
        <v/>
      </c>
      <c r="S122" s="79">
        <f>IF(R122="","",IF(H122="High","High-severity issue: ",IF(C122="Punch item","Punch item: ","Issue action due: "))&amp;F122&amp;IF(J122="",""," → "&amp;J122))</f>
        <v/>
      </c>
      <c r="T122" s="79">
        <f>IF(O122=1,IF(I122="",0,I122),0)</f>
        <v/>
      </c>
      <c r="U122" s="79">
        <f>IF(AND(O122=1,H122="High"),1,0)</f>
        <v/>
      </c>
      <c r="V122" s="79">
        <f>IF(AND(O122=1,C122="Punch item"),1,0)</f>
        <v/>
      </c>
    </row>
    <row r="123" ht="24" customHeight="1">
      <c r="B123" s="125" t="n">
        <v>116</v>
      </c>
      <c r="C123" s="72" t="n"/>
      <c r="D123" s="109" t="n"/>
      <c r="E123" s="72" t="n"/>
      <c r="F123" s="113" t="n"/>
      <c r="G123" s="72" t="n"/>
      <c r="H123" s="74" t="n"/>
      <c r="I123" s="73" t="n"/>
      <c r="J123" s="113" t="n"/>
      <c r="K123" s="109" t="n"/>
      <c r="L123" s="72" t="n"/>
      <c r="M123" s="109" t="n"/>
      <c r="N123" s="72" t="n"/>
      <c r="O123" s="79">
        <f>IF(AND(F123&lt;&gt;"",L123&lt;&gt;"Resolved"),1,0)</f>
        <v/>
      </c>
      <c r="P123" s="79">
        <f>IF(F123="","",IF(O123=0,0,IF(H123="High",2,1)))</f>
        <v/>
      </c>
      <c r="Q123" s="112">
        <f>IF(O123=1,IF(K123&lt;&gt;"",K123,IF(H123="High",AsOf,"")),"")</f>
        <v/>
      </c>
      <c r="R123" s="79">
        <f>IF(Q123="","",IF(H123="High",1,IF(Q123="","",IF(Q123&lt;AsOf,1,IF(Q123&lt;=AsOf+AlertDays,2,IF(Q123&lt;=AsOf+2*AlertDays,3,""))))))</f>
        <v/>
      </c>
      <c r="S123" s="79">
        <f>IF(R123="","",IF(H123="High","High-severity issue: ",IF(C123="Punch item","Punch item: ","Issue action due: "))&amp;F123&amp;IF(J123="",""," → "&amp;J123))</f>
        <v/>
      </c>
      <c r="T123" s="79">
        <f>IF(O123=1,IF(I123="",0,I123),0)</f>
        <v/>
      </c>
      <c r="U123" s="79">
        <f>IF(AND(O123=1,H123="High"),1,0)</f>
        <v/>
      </c>
      <c r="V123" s="79">
        <f>IF(AND(O123=1,C123="Punch item"),1,0)</f>
        <v/>
      </c>
    </row>
    <row r="124" ht="24" customHeight="1">
      <c r="B124" s="125" t="n">
        <v>117</v>
      </c>
      <c r="C124" s="72" t="n"/>
      <c r="D124" s="109" t="n"/>
      <c r="E124" s="72" t="n"/>
      <c r="F124" s="113" t="n"/>
      <c r="G124" s="72" t="n"/>
      <c r="H124" s="74" t="n"/>
      <c r="I124" s="73" t="n"/>
      <c r="J124" s="113" t="n"/>
      <c r="K124" s="109" t="n"/>
      <c r="L124" s="72" t="n"/>
      <c r="M124" s="109" t="n"/>
      <c r="N124" s="72" t="n"/>
      <c r="O124" s="79">
        <f>IF(AND(F124&lt;&gt;"",L124&lt;&gt;"Resolved"),1,0)</f>
        <v/>
      </c>
      <c r="P124" s="79">
        <f>IF(F124="","",IF(O124=0,0,IF(H124="High",2,1)))</f>
        <v/>
      </c>
      <c r="Q124" s="112">
        <f>IF(O124=1,IF(K124&lt;&gt;"",K124,IF(H124="High",AsOf,"")),"")</f>
        <v/>
      </c>
      <c r="R124" s="79">
        <f>IF(Q124="","",IF(H124="High",1,IF(Q124="","",IF(Q124&lt;AsOf,1,IF(Q124&lt;=AsOf+AlertDays,2,IF(Q124&lt;=AsOf+2*AlertDays,3,""))))))</f>
        <v/>
      </c>
      <c r="S124" s="79">
        <f>IF(R124="","",IF(H124="High","High-severity issue: ",IF(C124="Punch item","Punch item: ","Issue action due: "))&amp;F124&amp;IF(J124="",""," → "&amp;J124))</f>
        <v/>
      </c>
      <c r="T124" s="79">
        <f>IF(O124=1,IF(I124="",0,I124),0)</f>
        <v/>
      </c>
      <c r="U124" s="79">
        <f>IF(AND(O124=1,H124="High"),1,0)</f>
        <v/>
      </c>
      <c r="V124" s="79">
        <f>IF(AND(O124=1,C124="Punch item"),1,0)</f>
        <v/>
      </c>
    </row>
    <row r="125" ht="24" customHeight="1">
      <c r="B125" s="125" t="n">
        <v>118</v>
      </c>
      <c r="C125" s="72" t="n"/>
      <c r="D125" s="109" t="n"/>
      <c r="E125" s="72" t="n"/>
      <c r="F125" s="113" t="n"/>
      <c r="G125" s="72" t="n"/>
      <c r="H125" s="74" t="n"/>
      <c r="I125" s="73" t="n"/>
      <c r="J125" s="113" t="n"/>
      <c r="K125" s="109" t="n"/>
      <c r="L125" s="72" t="n"/>
      <c r="M125" s="109" t="n"/>
      <c r="N125" s="72" t="n"/>
      <c r="O125" s="79">
        <f>IF(AND(F125&lt;&gt;"",L125&lt;&gt;"Resolved"),1,0)</f>
        <v/>
      </c>
      <c r="P125" s="79">
        <f>IF(F125="","",IF(O125=0,0,IF(H125="High",2,1)))</f>
        <v/>
      </c>
      <c r="Q125" s="112">
        <f>IF(O125=1,IF(K125&lt;&gt;"",K125,IF(H125="High",AsOf,"")),"")</f>
        <v/>
      </c>
      <c r="R125" s="79">
        <f>IF(Q125="","",IF(H125="High",1,IF(Q125="","",IF(Q125&lt;AsOf,1,IF(Q125&lt;=AsOf+AlertDays,2,IF(Q125&lt;=AsOf+2*AlertDays,3,""))))))</f>
        <v/>
      </c>
      <c r="S125" s="79">
        <f>IF(R125="","",IF(H125="High","High-severity issue: ",IF(C125="Punch item","Punch item: ","Issue action due: "))&amp;F125&amp;IF(J125="",""," → "&amp;J125))</f>
        <v/>
      </c>
      <c r="T125" s="79">
        <f>IF(O125=1,IF(I125="",0,I125),0)</f>
        <v/>
      </c>
      <c r="U125" s="79">
        <f>IF(AND(O125=1,H125="High"),1,0)</f>
        <v/>
      </c>
      <c r="V125" s="79">
        <f>IF(AND(O125=1,C125="Punch item"),1,0)</f>
        <v/>
      </c>
    </row>
    <row r="126" ht="24" customHeight="1">
      <c r="B126" s="125" t="n">
        <v>119</v>
      </c>
      <c r="C126" s="72" t="n"/>
      <c r="D126" s="109" t="n"/>
      <c r="E126" s="72" t="n"/>
      <c r="F126" s="113" t="n"/>
      <c r="G126" s="72" t="n"/>
      <c r="H126" s="74" t="n"/>
      <c r="I126" s="73" t="n"/>
      <c r="J126" s="113" t="n"/>
      <c r="K126" s="109" t="n"/>
      <c r="L126" s="72" t="n"/>
      <c r="M126" s="109" t="n"/>
      <c r="N126" s="72" t="n"/>
      <c r="O126" s="79">
        <f>IF(AND(F126&lt;&gt;"",L126&lt;&gt;"Resolved"),1,0)</f>
        <v/>
      </c>
      <c r="P126" s="79">
        <f>IF(F126="","",IF(O126=0,0,IF(H126="High",2,1)))</f>
        <v/>
      </c>
      <c r="Q126" s="112">
        <f>IF(O126=1,IF(K126&lt;&gt;"",K126,IF(H126="High",AsOf,"")),"")</f>
        <v/>
      </c>
      <c r="R126" s="79">
        <f>IF(Q126="","",IF(H126="High",1,IF(Q126="","",IF(Q126&lt;AsOf,1,IF(Q126&lt;=AsOf+AlertDays,2,IF(Q126&lt;=AsOf+2*AlertDays,3,""))))))</f>
        <v/>
      </c>
      <c r="S126" s="79">
        <f>IF(R126="","",IF(H126="High","High-severity issue: ",IF(C126="Punch item","Punch item: ","Issue action due: "))&amp;F126&amp;IF(J126="",""," → "&amp;J126))</f>
        <v/>
      </c>
      <c r="T126" s="79">
        <f>IF(O126=1,IF(I126="",0,I126),0)</f>
        <v/>
      </c>
      <c r="U126" s="79">
        <f>IF(AND(O126=1,H126="High"),1,0)</f>
        <v/>
      </c>
      <c r="V126" s="79">
        <f>IF(AND(O126=1,C126="Punch item"),1,0)</f>
        <v/>
      </c>
    </row>
    <row r="127" ht="24" customHeight="1">
      <c r="B127" s="125" t="n">
        <v>120</v>
      </c>
      <c r="C127" s="72" t="n"/>
      <c r="D127" s="109" t="n"/>
      <c r="E127" s="72" t="n"/>
      <c r="F127" s="113" t="n"/>
      <c r="G127" s="72" t="n"/>
      <c r="H127" s="74" t="n"/>
      <c r="I127" s="73" t="n"/>
      <c r="J127" s="113" t="n"/>
      <c r="K127" s="109" t="n"/>
      <c r="L127" s="72" t="n"/>
      <c r="M127" s="109" t="n"/>
      <c r="N127" s="72" t="n"/>
      <c r="O127" s="79">
        <f>IF(AND(F127&lt;&gt;"",L127&lt;&gt;"Resolved"),1,0)</f>
        <v/>
      </c>
      <c r="P127" s="79">
        <f>IF(F127="","",IF(O127=0,0,IF(H127="High",2,1)))</f>
        <v/>
      </c>
      <c r="Q127" s="112">
        <f>IF(O127=1,IF(K127&lt;&gt;"",K127,IF(H127="High",AsOf,"")),"")</f>
        <v/>
      </c>
      <c r="R127" s="79">
        <f>IF(Q127="","",IF(H127="High",1,IF(Q127="","",IF(Q127&lt;AsOf,1,IF(Q127&lt;=AsOf+AlertDays,2,IF(Q127&lt;=AsOf+2*AlertDays,3,""))))))</f>
        <v/>
      </c>
      <c r="S127" s="79">
        <f>IF(R127="","",IF(H127="High","High-severity issue: ",IF(C127="Punch item","Punch item: ","Issue action due: "))&amp;F127&amp;IF(J127="",""," → "&amp;J127))</f>
        <v/>
      </c>
      <c r="T127" s="79">
        <f>IF(O127=1,IF(I127="",0,I127),0)</f>
        <v/>
      </c>
      <c r="U127" s="79">
        <f>IF(AND(O127=1,H127="High"),1,0)</f>
        <v/>
      </c>
      <c r="V127" s="79">
        <f>IF(AND(O127=1,C127="Punch item"),1,0)</f>
        <v/>
      </c>
    </row>
    <row r="128" ht="24" customHeight="1">
      <c r="B128" s="125" t="n">
        <v>121</v>
      </c>
      <c r="C128" s="72" t="n"/>
      <c r="D128" s="109" t="n"/>
      <c r="E128" s="72" t="n"/>
      <c r="F128" s="113" t="n"/>
      <c r="G128" s="72" t="n"/>
      <c r="H128" s="74" t="n"/>
      <c r="I128" s="73" t="n"/>
      <c r="J128" s="113" t="n"/>
      <c r="K128" s="109" t="n"/>
      <c r="L128" s="72" t="n"/>
      <c r="M128" s="109" t="n"/>
      <c r="N128" s="72" t="n"/>
      <c r="O128" s="79">
        <f>IF(AND(F128&lt;&gt;"",L128&lt;&gt;"Resolved"),1,0)</f>
        <v/>
      </c>
      <c r="P128" s="79">
        <f>IF(F128="","",IF(O128=0,0,IF(H128="High",2,1)))</f>
        <v/>
      </c>
      <c r="Q128" s="112">
        <f>IF(O128=1,IF(K128&lt;&gt;"",K128,IF(H128="High",AsOf,"")),"")</f>
        <v/>
      </c>
      <c r="R128" s="79">
        <f>IF(Q128="","",IF(H128="High",1,IF(Q128="","",IF(Q128&lt;AsOf,1,IF(Q128&lt;=AsOf+AlertDays,2,IF(Q128&lt;=AsOf+2*AlertDays,3,""))))))</f>
        <v/>
      </c>
      <c r="S128" s="79">
        <f>IF(R128="","",IF(H128="High","High-severity issue: ",IF(C128="Punch item","Punch item: ","Issue action due: "))&amp;F128&amp;IF(J128="",""," → "&amp;J128))</f>
        <v/>
      </c>
      <c r="T128" s="79">
        <f>IF(O128=1,IF(I128="",0,I128),0)</f>
        <v/>
      </c>
      <c r="U128" s="79">
        <f>IF(AND(O128=1,H128="High"),1,0)</f>
        <v/>
      </c>
      <c r="V128" s="79">
        <f>IF(AND(O128=1,C128="Punch item"),1,0)</f>
        <v/>
      </c>
    </row>
    <row r="129" ht="24" customHeight="1">
      <c r="B129" s="125" t="n">
        <v>122</v>
      </c>
      <c r="C129" s="72" t="n"/>
      <c r="D129" s="109" t="n"/>
      <c r="E129" s="72" t="n"/>
      <c r="F129" s="113" t="n"/>
      <c r="G129" s="72" t="n"/>
      <c r="H129" s="74" t="n"/>
      <c r="I129" s="73" t="n"/>
      <c r="J129" s="113" t="n"/>
      <c r="K129" s="109" t="n"/>
      <c r="L129" s="72" t="n"/>
      <c r="M129" s="109" t="n"/>
      <c r="N129" s="72" t="n"/>
      <c r="O129" s="79">
        <f>IF(AND(F129&lt;&gt;"",L129&lt;&gt;"Resolved"),1,0)</f>
        <v/>
      </c>
      <c r="P129" s="79">
        <f>IF(F129="","",IF(O129=0,0,IF(H129="High",2,1)))</f>
        <v/>
      </c>
      <c r="Q129" s="112">
        <f>IF(O129=1,IF(K129&lt;&gt;"",K129,IF(H129="High",AsOf,"")),"")</f>
        <v/>
      </c>
      <c r="R129" s="79">
        <f>IF(Q129="","",IF(H129="High",1,IF(Q129="","",IF(Q129&lt;AsOf,1,IF(Q129&lt;=AsOf+AlertDays,2,IF(Q129&lt;=AsOf+2*AlertDays,3,""))))))</f>
        <v/>
      </c>
      <c r="S129" s="79">
        <f>IF(R129="","",IF(H129="High","High-severity issue: ",IF(C129="Punch item","Punch item: ","Issue action due: "))&amp;F129&amp;IF(J129="",""," → "&amp;J129))</f>
        <v/>
      </c>
      <c r="T129" s="79">
        <f>IF(O129=1,IF(I129="",0,I129),0)</f>
        <v/>
      </c>
      <c r="U129" s="79">
        <f>IF(AND(O129=1,H129="High"),1,0)</f>
        <v/>
      </c>
      <c r="V129" s="79">
        <f>IF(AND(O129=1,C129="Punch item"),1,0)</f>
        <v/>
      </c>
    </row>
    <row r="130" ht="24" customHeight="1">
      <c r="B130" s="125" t="n">
        <v>123</v>
      </c>
      <c r="C130" s="72" t="n"/>
      <c r="D130" s="109" t="n"/>
      <c r="E130" s="72" t="n"/>
      <c r="F130" s="113" t="n"/>
      <c r="G130" s="72" t="n"/>
      <c r="H130" s="74" t="n"/>
      <c r="I130" s="73" t="n"/>
      <c r="J130" s="113" t="n"/>
      <c r="K130" s="109" t="n"/>
      <c r="L130" s="72" t="n"/>
      <c r="M130" s="109" t="n"/>
      <c r="N130" s="72" t="n"/>
      <c r="O130" s="79">
        <f>IF(AND(F130&lt;&gt;"",L130&lt;&gt;"Resolved"),1,0)</f>
        <v/>
      </c>
      <c r="P130" s="79">
        <f>IF(F130="","",IF(O130=0,0,IF(H130="High",2,1)))</f>
        <v/>
      </c>
      <c r="Q130" s="112">
        <f>IF(O130=1,IF(K130&lt;&gt;"",K130,IF(H130="High",AsOf,"")),"")</f>
        <v/>
      </c>
      <c r="R130" s="79">
        <f>IF(Q130="","",IF(H130="High",1,IF(Q130="","",IF(Q130&lt;AsOf,1,IF(Q130&lt;=AsOf+AlertDays,2,IF(Q130&lt;=AsOf+2*AlertDays,3,""))))))</f>
        <v/>
      </c>
      <c r="S130" s="79">
        <f>IF(R130="","",IF(H130="High","High-severity issue: ",IF(C130="Punch item","Punch item: ","Issue action due: "))&amp;F130&amp;IF(J130="",""," → "&amp;J130))</f>
        <v/>
      </c>
      <c r="T130" s="79">
        <f>IF(O130=1,IF(I130="",0,I130),0)</f>
        <v/>
      </c>
      <c r="U130" s="79">
        <f>IF(AND(O130=1,H130="High"),1,0)</f>
        <v/>
      </c>
      <c r="V130" s="79">
        <f>IF(AND(O130=1,C130="Punch item"),1,0)</f>
        <v/>
      </c>
    </row>
    <row r="131" ht="24" customHeight="1">
      <c r="B131" s="125" t="n">
        <v>124</v>
      </c>
      <c r="C131" s="72" t="n"/>
      <c r="D131" s="109" t="n"/>
      <c r="E131" s="72" t="n"/>
      <c r="F131" s="113" t="n"/>
      <c r="G131" s="72" t="n"/>
      <c r="H131" s="74" t="n"/>
      <c r="I131" s="73" t="n"/>
      <c r="J131" s="113" t="n"/>
      <c r="K131" s="109" t="n"/>
      <c r="L131" s="72" t="n"/>
      <c r="M131" s="109" t="n"/>
      <c r="N131" s="72" t="n"/>
      <c r="O131" s="79">
        <f>IF(AND(F131&lt;&gt;"",L131&lt;&gt;"Resolved"),1,0)</f>
        <v/>
      </c>
      <c r="P131" s="79">
        <f>IF(F131="","",IF(O131=0,0,IF(H131="High",2,1)))</f>
        <v/>
      </c>
      <c r="Q131" s="112">
        <f>IF(O131=1,IF(K131&lt;&gt;"",K131,IF(H131="High",AsOf,"")),"")</f>
        <v/>
      </c>
      <c r="R131" s="79">
        <f>IF(Q131="","",IF(H131="High",1,IF(Q131="","",IF(Q131&lt;AsOf,1,IF(Q131&lt;=AsOf+AlertDays,2,IF(Q131&lt;=AsOf+2*AlertDays,3,""))))))</f>
        <v/>
      </c>
      <c r="S131" s="79">
        <f>IF(R131="","",IF(H131="High","High-severity issue: ",IF(C131="Punch item","Punch item: ","Issue action due: "))&amp;F131&amp;IF(J131="",""," → "&amp;J131))</f>
        <v/>
      </c>
      <c r="T131" s="79">
        <f>IF(O131=1,IF(I131="",0,I131),0)</f>
        <v/>
      </c>
      <c r="U131" s="79">
        <f>IF(AND(O131=1,H131="High"),1,0)</f>
        <v/>
      </c>
      <c r="V131" s="79">
        <f>IF(AND(O131=1,C131="Punch item"),1,0)</f>
        <v/>
      </c>
    </row>
    <row r="132" ht="24" customHeight="1">
      <c r="B132" s="125" t="n">
        <v>125</v>
      </c>
      <c r="C132" s="72" t="n"/>
      <c r="D132" s="109" t="n"/>
      <c r="E132" s="72" t="n"/>
      <c r="F132" s="113" t="n"/>
      <c r="G132" s="72" t="n"/>
      <c r="H132" s="74" t="n"/>
      <c r="I132" s="73" t="n"/>
      <c r="J132" s="113" t="n"/>
      <c r="K132" s="109" t="n"/>
      <c r="L132" s="72" t="n"/>
      <c r="M132" s="109" t="n"/>
      <c r="N132" s="72" t="n"/>
      <c r="O132" s="79">
        <f>IF(AND(F132&lt;&gt;"",L132&lt;&gt;"Resolved"),1,0)</f>
        <v/>
      </c>
      <c r="P132" s="79">
        <f>IF(F132="","",IF(O132=0,0,IF(H132="High",2,1)))</f>
        <v/>
      </c>
      <c r="Q132" s="112">
        <f>IF(O132=1,IF(K132&lt;&gt;"",K132,IF(H132="High",AsOf,"")),"")</f>
        <v/>
      </c>
      <c r="R132" s="79">
        <f>IF(Q132="","",IF(H132="High",1,IF(Q132="","",IF(Q132&lt;AsOf,1,IF(Q132&lt;=AsOf+AlertDays,2,IF(Q132&lt;=AsOf+2*AlertDays,3,""))))))</f>
        <v/>
      </c>
      <c r="S132" s="79">
        <f>IF(R132="","",IF(H132="High","High-severity issue: ",IF(C132="Punch item","Punch item: ","Issue action due: "))&amp;F132&amp;IF(J132="",""," → "&amp;J132))</f>
        <v/>
      </c>
      <c r="T132" s="79">
        <f>IF(O132=1,IF(I132="",0,I132),0)</f>
        <v/>
      </c>
      <c r="U132" s="79">
        <f>IF(AND(O132=1,H132="High"),1,0)</f>
        <v/>
      </c>
      <c r="V132" s="79">
        <f>IF(AND(O132=1,C132="Punch item"),1,0)</f>
        <v/>
      </c>
    </row>
    <row r="133" ht="24" customHeight="1">
      <c r="B133" s="125" t="n">
        <v>126</v>
      </c>
      <c r="C133" s="72" t="n"/>
      <c r="D133" s="109" t="n"/>
      <c r="E133" s="72" t="n"/>
      <c r="F133" s="113" t="n"/>
      <c r="G133" s="72" t="n"/>
      <c r="H133" s="74" t="n"/>
      <c r="I133" s="73" t="n"/>
      <c r="J133" s="113" t="n"/>
      <c r="K133" s="109" t="n"/>
      <c r="L133" s="72" t="n"/>
      <c r="M133" s="109" t="n"/>
      <c r="N133" s="72" t="n"/>
      <c r="O133" s="79">
        <f>IF(AND(F133&lt;&gt;"",L133&lt;&gt;"Resolved"),1,0)</f>
        <v/>
      </c>
      <c r="P133" s="79">
        <f>IF(F133="","",IF(O133=0,0,IF(H133="High",2,1)))</f>
        <v/>
      </c>
      <c r="Q133" s="112">
        <f>IF(O133=1,IF(K133&lt;&gt;"",K133,IF(H133="High",AsOf,"")),"")</f>
        <v/>
      </c>
      <c r="R133" s="79">
        <f>IF(Q133="","",IF(H133="High",1,IF(Q133="","",IF(Q133&lt;AsOf,1,IF(Q133&lt;=AsOf+AlertDays,2,IF(Q133&lt;=AsOf+2*AlertDays,3,""))))))</f>
        <v/>
      </c>
      <c r="S133" s="79">
        <f>IF(R133="","",IF(H133="High","High-severity issue: ",IF(C133="Punch item","Punch item: ","Issue action due: "))&amp;F133&amp;IF(J133="",""," → "&amp;J133))</f>
        <v/>
      </c>
      <c r="T133" s="79">
        <f>IF(O133=1,IF(I133="",0,I133),0)</f>
        <v/>
      </c>
      <c r="U133" s="79">
        <f>IF(AND(O133=1,H133="High"),1,0)</f>
        <v/>
      </c>
      <c r="V133" s="79">
        <f>IF(AND(O133=1,C133="Punch item"),1,0)</f>
        <v/>
      </c>
    </row>
    <row r="134" ht="24" customHeight="1">
      <c r="B134" s="125" t="n">
        <v>127</v>
      </c>
      <c r="C134" s="72" t="n"/>
      <c r="D134" s="109" t="n"/>
      <c r="E134" s="72" t="n"/>
      <c r="F134" s="113" t="n"/>
      <c r="G134" s="72" t="n"/>
      <c r="H134" s="74" t="n"/>
      <c r="I134" s="73" t="n"/>
      <c r="J134" s="113" t="n"/>
      <c r="K134" s="109" t="n"/>
      <c r="L134" s="72" t="n"/>
      <c r="M134" s="109" t="n"/>
      <c r="N134" s="72" t="n"/>
      <c r="O134" s="79">
        <f>IF(AND(F134&lt;&gt;"",L134&lt;&gt;"Resolved"),1,0)</f>
        <v/>
      </c>
      <c r="P134" s="79">
        <f>IF(F134="","",IF(O134=0,0,IF(H134="High",2,1)))</f>
        <v/>
      </c>
      <c r="Q134" s="112">
        <f>IF(O134=1,IF(K134&lt;&gt;"",K134,IF(H134="High",AsOf,"")),"")</f>
        <v/>
      </c>
      <c r="R134" s="79">
        <f>IF(Q134="","",IF(H134="High",1,IF(Q134="","",IF(Q134&lt;AsOf,1,IF(Q134&lt;=AsOf+AlertDays,2,IF(Q134&lt;=AsOf+2*AlertDays,3,""))))))</f>
        <v/>
      </c>
      <c r="S134" s="79">
        <f>IF(R134="","",IF(H134="High","High-severity issue: ",IF(C134="Punch item","Punch item: ","Issue action due: "))&amp;F134&amp;IF(J134="",""," → "&amp;J134))</f>
        <v/>
      </c>
      <c r="T134" s="79">
        <f>IF(O134=1,IF(I134="",0,I134),0)</f>
        <v/>
      </c>
      <c r="U134" s="79">
        <f>IF(AND(O134=1,H134="High"),1,0)</f>
        <v/>
      </c>
      <c r="V134" s="79">
        <f>IF(AND(O134=1,C134="Punch item"),1,0)</f>
        <v/>
      </c>
    </row>
    <row r="135" ht="24" customHeight="1">
      <c r="B135" s="125" t="n">
        <v>128</v>
      </c>
      <c r="C135" s="72" t="n"/>
      <c r="D135" s="109" t="n"/>
      <c r="E135" s="72" t="n"/>
      <c r="F135" s="113" t="n"/>
      <c r="G135" s="72" t="n"/>
      <c r="H135" s="74" t="n"/>
      <c r="I135" s="73" t="n"/>
      <c r="J135" s="113" t="n"/>
      <c r="K135" s="109" t="n"/>
      <c r="L135" s="72" t="n"/>
      <c r="M135" s="109" t="n"/>
      <c r="N135" s="72" t="n"/>
      <c r="O135" s="79">
        <f>IF(AND(F135&lt;&gt;"",L135&lt;&gt;"Resolved"),1,0)</f>
        <v/>
      </c>
      <c r="P135" s="79">
        <f>IF(F135="","",IF(O135=0,0,IF(H135="High",2,1)))</f>
        <v/>
      </c>
      <c r="Q135" s="112">
        <f>IF(O135=1,IF(K135&lt;&gt;"",K135,IF(H135="High",AsOf,"")),"")</f>
        <v/>
      </c>
      <c r="R135" s="79">
        <f>IF(Q135="","",IF(H135="High",1,IF(Q135="","",IF(Q135&lt;AsOf,1,IF(Q135&lt;=AsOf+AlertDays,2,IF(Q135&lt;=AsOf+2*AlertDays,3,""))))))</f>
        <v/>
      </c>
      <c r="S135" s="79">
        <f>IF(R135="","",IF(H135="High","High-severity issue: ",IF(C135="Punch item","Punch item: ","Issue action due: "))&amp;F135&amp;IF(J135="",""," → "&amp;J135))</f>
        <v/>
      </c>
      <c r="T135" s="79">
        <f>IF(O135=1,IF(I135="",0,I135),0)</f>
        <v/>
      </c>
      <c r="U135" s="79">
        <f>IF(AND(O135=1,H135="High"),1,0)</f>
        <v/>
      </c>
      <c r="V135" s="79">
        <f>IF(AND(O135=1,C135="Punch item"),1,0)</f>
        <v/>
      </c>
    </row>
    <row r="136" ht="24" customHeight="1">
      <c r="B136" s="125" t="n">
        <v>129</v>
      </c>
      <c r="C136" s="72" t="n"/>
      <c r="D136" s="109" t="n"/>
      <c r="E136" s="72" t="n"/>
      <c r="F136" s="113" t="n"/>
      <c r="G136" s="72" t="n"/>
      <c r="H136" s="74" t="n"/>
      <c r="I136" s="73" t="n"/>
      <c r="J136" s="113" t="n"/>
      <c r="K136" s="109" t="n"/>
      <c r="L136" s="72" t="n"/>
      <c r="M136" s="109" t="n"/>
      <c r="N136" s="72" t="n"/>
      <c r="O136" s="79">
        <f>IF(AND(F136&lt;&gt;"",L136&lt;&gt;"Resolved"),1,0)</f>
        <v/>
      </c>
      <c r="P136" s="79">
        <f>IF(F136="","",IF(O136=0,0,IF(H136="High",2,1)))</f>
        <v/>
      </c>
      <c r="Q136" s="112">
        <f>IF(O136=1,IF(K136&lt;&gt;"",K136,IF(H136="High",AsOf,"")),"")</f>
        <v/>
      </c>
      <c r="R136" s="79">
        <f>IF(Q136="","",IF(H136="High",1,IF(Q136="","",IF(Q136&lt;AsOf,1,IF(Q136&lt;=AsOf+AlertDays,2,IF(Q136&lt;=AsOf+2*AlertDays,3,""))))))</f>
        <v/>
      </c>
      <c r="S136" s="79">
        <f>IF(R136="","",IF(H136="High","High-severity issue: ",IF(C136="Punch item","Punch item: ","Issue action due: "))&amp;F136&amp;IF(J136="",""," → "&amp;J136))</f>
        <v/>
      </c>
      <c r="T136" s="79">
        <f>IF(O136=1,IF(I136="",0,I136),0)</f>
        <v/>
      </c>
      <c r="U136" s="79">
        <f>IF(AND(O136=1,H136="High"),1,0)</f>
        <v/>
      </c>
      <c r="V136" s="79">
        <f>IF(AND(O136=1,C136="Punch item"),1,0)</f>
        <v/>
      </c>
    </row>
    <row r="137" ht="24" customHeight="1">
      <c r="B137" s="125" t="n">
        <v>130</v>
      </c>
      <c r="C137" s="72" t="n"/>
      <c r="D137" s="109" t="n"/>
      <c r="E137" s="72" t="n"/>
      <c r="F137" s="113" t="n"/>
      <c r="G137" s="72" t="n"/>
      <c r="H137" s="74" t="n"/>
      <c r="I137" s="73" t="n"/>
      <c r="J137" s="113" t="n"/>
      <c r="K137" s="109" t="n"/>
      <c r="L137" s="72" t="n"/>
      <c r="M137" s="109" t="n"/>
      <c r="N137" s="72" t="n"/>
      <c r="O137" s="79">
        <f>IF(AND(F137&lt;&gt;"",L137&lt;&gt;"Resolved"),1,0)</f>
        <v/>
      </c>
      <c r="P137" s="79">
        <f>IF(F137="","",IF(O137=0,0,IF(H137="High",2,1)))</f>
        <v/>
      </c>
      <c r="Q137" s="112">
        <f>IF(O137=1,IF(K137&lt;&gt;"",K137,IF(H137="High",AsOf,"")),"")</f>
        <v/>
      </c>
      <c r="R137" s="79">
        <f>IF(Q137="","",IF(H137="High",1,IF(Q137="","",IF(Q137&lt;AsOf,1,IF(Q137&lt;=AsOf+AlertDays,2,IF(Q137&lt;=AsOf+2*AlertDays,3,""))))))</f>
        <v/>
      </c>
      <c r="S137" s="79">
        <f>IF(R137="","",IF(H137="High","High-severity issue: ",IF(C137="Punch item","Punch item: ","Issue action due: "))&amp;F137&amp;IF(J137="",""," → "&amp;J137))</f>
        <v/>
      </c>
      <c r="T137" s="79">
        <f>IF(O137=1,IF(I137="",0,I137),0)</f>
        <v/>
      </c>
      <c r="U137" s="79">
        <f>IF(AND(O137=1,H137="High"),1,0)</f>
        <v/>
      </c>
      <c r="V137" s="79">
        <f>IF(AND(O137=1,C137="Punch item"),1,0)</f>
        <v/>
      </c>
    </row>
    <row r="138" ht="24" customHeight="1">
      <c r="B138" s="125" t="n">
        <v>131</v>
      </c>
      <c r="C138" s="72" t="n"/>
      <c r="D138" s="109" t="n"/>
      <c r="E138" s="72" t="n"/>
      <c r="F138" s="113" t="n"/>
      <c r="G138" s="72" t="n"/>
      <c r="H138" s="74" t="n"/>
      <c r="I138" s="73" t="n"/>
      <c r="J138" s="113" t="n"/>
      <c r="K138" s="109" t="n"/>
      <c r="L138" s="72" t="n"/>
      <c r="M138" s="109" t="n"/>
      <c r="N138" s="72" t="n"/>
      <c r="O138" s="79">
        <f>IF(AND(F138&lt;&gt;"",L138&lt;&gt;"Resolved"),1,0)</f>
        <v/>
      </c>
      <c r="P138" s="79">
        <f>IF(F138="","",IF(O138=0,0,IF(H138="High",2,1)))</f>
        <v/>
      </c>
      <c r="Q138" s="112">
        <f>IF(O138=1,IF(K138&lt;&gt;"",K138,IF(H138="High",AsOf,"")),"")</f>
        <v/>
      </c>
      <c r="R138" s="79">
        <f>IF(Q138="","",IF(H138="High",1,IF(Q138="","",IF(Q138&lt;AsOf,1,IF(Q138&lt;=AsOf+AlertDays,2,IF(Q138&lt;=AsOf+2*AlertDays,3,""))))))</f>
        <v/>
      </c>
      <c r="S138" s="79">
        <f>IF(R138="","",IF(H138="High","High-severity issue: ",IF(C138="Punch item","Punch item: ","Issue action due: "))&amp;F138&amp;IF(J138="",""," → "&amp;J138))</f>
        <v/>
      </c>
      <c r="T138" s="79">
        <f>IF(O138=1,IF(I138="",0,I138),0)</f>
        <v/>
      </c>
      <c r="U138" s="79">
        <f>IF(AND(O138=1,H138="High"),1,0)</f>
        <v/>
      </c>
      <c r="V138" s="79">
        <f>IF(AND(O138=1,C138="Punch item"),1,0)</f>
        <v/>
      </c>
    </row>
    <row r="139" ht="24" customHeight="1">
      <c r="B139" s="125" t="n">
        <v>132</v>
      </c>
      <c r="C139" s="72" t="n"/>
      <c r="D139" s="109" t="n"/>
      <c r="E139" s="72" t="n"/>
      <c r="F139" s="113" t="n"/>
      <c r="G139" s="72" t="n"/>
      <c r="H139" s="74" t="n"/>
      <c r="I139" s="73" t="n"/>
      <c r="J139" s="113" t="n"/>
      <c r="K139" s="109" t="n"/>
      <c r="L139" s="72" t="n"/>
      <c r="M139" s="109" t="n"/>
      <c r="N139" s="72" t="n"/>
      <c r="O139" s="79">
        <f>IF(AND(F139&lt;&gt;"",L139&lt;&gt;"Resolved"),1,0)</f>
        <v/>
      </c>
      <c r="P139" s="79">
        <f>IF(F139="","",IF(O139=0,0,IF(H139="High",2,1)))</f>
        <v/>
      </c>
      <c r="Q139" s="112">
        <f>IF(O139=1,IF(K139&lt;&gt;"",K139,IF(H139="High",AsOf,"")),"")</f>
        <v/>
      </c>
      <c r="R139" s="79">
        <f>IF(Q139="","",IF(H139="High",1,IF(Q139="","",IF(Q139&lt;AsOf,1,IF(Q139&lt;=AsOf+AlertDays,2,IF(Q139&lt;=AsOf+2*AlertDays,3,""))))))</f>
        <v/>
      </c>
      <c r="S139" s="79">
        <f>IF(R139="","",IF(H139="High","High-severity issue: ",IF(C139="Punch item","Punch item: ","Issue action due: "))&amp;F139&amp;IF(J139="",""," → "&amp;J139))</f>
        <v/>
      </c>
      <c r="T139" s="79">
        <f>IF(O139=1,IF(I139="",0,I139),0)</f>
        <v/>
      </c>
      <c r="U139" s="79">
        <f>IF(AND(O139=1,H139="High"),1,0)</f>
        <v/>
      </c>
      <c r="V139" s="79">
        <f>IF(AND(O139=1,C139="Punch item"),1,0)</f>
        <v/>
      </c>
    </row>
    <row r="140" ht="24" customHeight="1">
      <c r="B140" s="125" t="n">
        <v>133</v>
      </c>
      <c r="C140" s="72" t="n"/>
      <c r="D140" s="109" t="n"/>
      <c r="E140" s="72" t="n"/>
      <c r="F140" s="113" t="n"/>
      <c r="G140" s="72" t="n"/>
      <c r="H140" s="74" t="n"/>
      <c r="I140" s="73" t="n"/>
      <c r="J140" s="113" t="n"/>
      <c r="K140" s="109" t="n"/>
      <c r="L140" s="72" t="n"/>
      <c r="M140" s="109" t="n"/>
      <c r="N140" s="72" t="n"/>
      <c r="O140" s="79">
        <f>IF(AND(F140&lt;&gt;"",L140&lt;&gt;"Resolved"),1,0)</f>
        <v/>
      </c>
      <c r="P140" s="79">
        <f>IF(F140="","",IF(O140=0,0,IF(H140="High",2,1)))</f>
        <v/>
      </c>
      <c r="Q140" s="112">
        <f>IF(O140=1,IF(K140&lt;&gt;"",K140,IF(H140="High",AsOf,"")),"")</f>
        <v/>
      </c>
      <c r="R140" s="79">
        <f>IF(Q140="","",IF(H140="High",1,IF(Q140="","",IF(Q140&lt;AsOf,1,IF(Q140&lt;=AsOf+AlertDays,2,IF(Q140&lt;=AsOf+2*AlertDays,3,""))))))</f>
        <v/>
      </c>
      <c r="S140" s="79">
        <f>IF(R140="","",IF(H140="High","High-severity issue: ",IF(C140="Punch item","Punch item: ","Issue action due: "))&amp;F140&amp;IF(J140="",""," → "&amp;J140))</f>
        <v/>
      </c>
      <c r="T140" s="79">
        <f>IF(O140=1,IF(I140="",0,I140),0)</f>
        <v/>
      </c>
      <c r="U140" s="79">
        <f>IF(AND(O140=1,H140="High"),1,0)</f>
        <v/>
      </c>
      <c r="V140" s="79">
        <f>IF(AND(O140=1,C140="Punch item"),1,0)</f>
        <v/>
      </c>
    </row>
    <row r="141" ht="24" customHeight="1">
      <c r="B141" s="125" t="n">
        <v>134</v>
      </c>
      <c r="C141" s="72" t="n"/>
      <c r="D141" s="109" t="n"/>
      <c r="E141" s="72" t="n"/>
      <c r="F141" s="113" t="n"/>
      <c r="G141" s="72" t="n"/>
      <c r="H141" s="74" t="n"/>
      <c r="I141" s="73" t="n"/>
      <c r="J141" s="113" t="n"/>
      <c r="K141" s="109" t="n"/>
      <c r="L141" s="72" t="n"/>
      <c r="M141" s="109" t="n"/>
      <c r="N141" s="72" t="n"/>
      <c r="O141" s="79">
        <f>IF(AND(F141&lt;&gt;"",L141&lt;&gt;"Resolved"),1,0)</f>
        <v/>
      </c>
      <c r="P141" s="79">
        <f>IF(F141="","",IF(O141=0,0,IF(H141="High",2,1)))</f>
        <v/>
      </c>
      <c r="Q141" s="112">
        <f>IF(O141=1,IF(K141&lt;&gt;"",K141,IF(H141="High",AsOf,"")),"")</f>
        <v/>
      </c>
      <c r="R141" s="79">
        <f>IF(Q141="","",IF(H141="High",1,IF(Q141="","",IF(Q141&lt;AsOf,1,IF(Q141&lt;=AsOf+AlertDays,2,IF(Q141&lt;=AsOf+2*AlertDays,3,""))))))</f>
        <v/>
      </c>
      <c r="S141" s="79">
        <f>IF(R141="","",IF(H141="High","High-severity issue: ",IF(C141="Punch item","Punch item: ","Issue action due: "))&amp;F141&amp;IF(J141="",""," → "&amp;J141))</f>
        <v/>
      </c>
      <c r="T141" s="79">
        <f>IF(O141=1,IF(I141="",0,I141),0)</f>
        <v/>
      </c>
      <c r="U141" s="79">
        <f>IF(AND(O141=1,H141="High"),1,0)</f>
        <v/>
      </c>
      <c r="V141" s="79">
        <f>IF(AND(O141=1,C141="Punch item"),1,0)</f>
        <v/>
      </c>
    </row>
    <row r="142" ht="24" customHeight="1">
      <c r="B142" s="125" t="n">
        <v>135</v>
      </c>
      <c r="C142" s="72" t="n"/>
      <c r="D142" s="109" t="n"/>
      <c r="E142" s="72" t="n"/>
      <c r="F142" s="113" t="n"/>
      <c r="G142" s="72" t="n"/>
      <c r="H142" s="74" t="n"/>
      <c r="I142" s="73" t="n"/>
      <c r="J142" s="113" t="n"/>
      <c r="K142" s="109" t="n"/>
      <c r="L142" s="72" t="n"/>
      <c r="M142" s="109" t="n"/>
      <c r="N142" s="72" t="n"/>
      <c r="O142" s="79">
        <f>IF(AND(F142&lt;&gt;"",L142&lt;&gt;"Resolved"),1,0)</f>
        <v/>
      </c>
      <c r="P142" s="79">
        <f>IF(F142="","",IF(O142=0,0,IF(H142="High",2,1)))</f>
        <v/>
      </c>
      <c r="Q142" s="112">
        <f>IF(O142=1,IF(K142&lt;&gt;"",K142,IF(H142="High",AsOf,"")),"")</f>
        <v/>
      </c>
      <c r="R142" s="79">
        <f>IF(Q142="","",IF(H142="High",1,IF(Q142="","",IF(Q142&lt;AsOf,1,IF(Q142&lt;=AsOf+AlertDays,2,IF(Q142&lt;=AsOf+2*AlertDays,3,""))))))</f>
        <v/>
      </c>
      <c r="S142" s="79">
        <f>IF(R142="","",IF(H142="High","High-severity issue: ",IF(C142="Punch item","Punch item: ","Issue action due: "))&amp;F142&amp;IF(J142="",""," → "&amp;J142))</f>
        <v/>
      </c>
      <c r="T142" s="79">
        <f>IF(O142=1,IF(I142="",0,I142),0)</f>
        <v/>
      </c>
      <c r="U142" s="79">
        <f>IF(AND(O142=1,H142="High"),1,0)</f>
        <v/>
      </c>
      <c r="V142" s="79">
        <f>IF(AND(O142=1,C142="Punch item"),1,0)</f>
        <v/>
      </c>
    </row>
    <row r="143" ht="24" customHeight="1">
      <c r="B143" s="125" t="n">
        <v>136</v>
      </c>
      <c r="C143" s="72" t="n"/>
      <c r="D143" s="109" t="n"/>
      <c r="E143" s="72" t="n"/>
      <c r="F143" s="113" t="n"/>
      <c r="G143" s="72" t="n"/>
      <c r="H143" s="74" t="n"/>
      <c r="I143" s="73" t="n"/>
      <c r="J143" s="113" t="n"/>
      <c r="K143" s="109" t="n"/>
      <c r="L143" s="72" t="n"/>
      <c r="M143" s="109" t="n"/>
      <c r="N143" s="72" t="n"/>
      <c r="O143" s="79">
        <f>IF(AND(F143&lt;&gt;"",L143&lt;&gt;"Resolved"),1,0)</f>
        <v/>
      </c>
      <c r="P143" s="79">
        <f>IF(F143="","",IF(O143=0,0,IF(H143="High",2,1)))</f>
        <v/>
      </c>
      <c r="Q143" s="112">
        <f>IF(O143=1,IF(K143&lt;&gt;"",K143,IF(H143="High",AsOf,"")),"")</f>
        <v/>
      </c>
      <c r="R143" s="79">
        <f>IF(Q143="","",IF(H143="High",1,IF(Q143="","",IF(Q143&lt;AsOf,1,IF(Q143&lt;=AsOf+AlertDays,2,IF(Q143&lt;=AsOf+2*AlertDays,3,""))))))</f>
        <v/>
      </c>
      <c r="S143" s="79">
        <f>IF(R143="","",IF(H143="High","High-severity issue: ",IF(C143="Punch item","Punch item: ","Issue action due: "))&amp;F143&amp;IF(J143="",""," → "&amp;J143))</f>
        <v/>
      </c>
      <c r="T143" s="79">
        <f>IF(O143=1,IF(I143="",0,I143),0)</f>
        <v/>
      </c>
      <c r="U143" s="79">
        <f>IF(AND(O143=1,H143="High"),1,0)</f>
        <v/>
      </c>
      <c r="V143" s="79">
        <f>IF(AND(O143=1,C143="Punch item"),1,0)</f>
        <v/>
      </c>
    </row>
    <row r="144" ht="24" customHeight="1">
      <c r="B144" s="125" t="n">
        <v>137</v>
      </c>
      <c r="C144" s="72" t="n"/>
      <c r="D144" s="109" t="n"/>
      <c r="E144" s="72" t="n"/>
      <c r="F144" s="113" t="n"/>
      <c r="G144" s="72" t="n"/>
      <c r="H144" s="74" t="n"/>
      <c r="I144" s="73" t="n"/>
      <c r="J144" s="113" t="n"/>
      <c r="K144" s="109" t="n"/>
      <c r="L144" s="72" t="n"/>
      <c r="M144" s="109" t="n"/>
      <c r="N144" s="72" t="n"/>
      <c r="O144" s="79">
        <f>IF(AND(F144&lt;&gt;"",L144&lt;&gt;"Resolved"),1,0)</f>
        <v/>
      </c>
      <c r="P144" s="79">
        <f>IF(F144="","",IF(O144=0,0,IF(H144="High",2,1)))</f>
        <v/>
      </c>
      <c r="Q144" s="112">
        <f>IF(O144=1,IF(K144&lt;&gt;"",K144,IF(H144="High",AsOf,"")),"")</f>
        <v/>
      </c>
      <c r="R144" s="79">
        <f>IF(Q144="","",IF(H144="High",1,IF(Q144="","",IF(Q144&lt;AsOf,1,IF(Q144&lt;=AsOf+AlertDays,2,IF(Q144&lt;=AsOf+2*AlertDays,3,""))))))</f>
        <v/>
      </c>
      <c r="S144" s="79">
        <f>IF(R144="","",IF(H144="High","High-severity issue: ",IF(C144="Punch item","Punch item: ","Issue action due: "))&amp;F144&amp;IF(J144="",""," → "&amp;J144))</f>
        <v/>
      </c>
      <c r="T144" s="79">
        <f>IF(O144=1,IF(I144="",0,I144),0)</f>
        <v/>
      </c>
      <c r="U144" s="79">
        <f>IF(AND(O144=1,H144="High"),1,0)</f>
        <v/>
      </c>
      <c r="V144" s="79">
        <f>IF(AND(O144=1,C144="Punch item"),1,0)</f>
        <v/>
      </c>
    </row>
    <row r="145" ht="24" customHeight="1">
      <c r="B145" s="125" t="n">
        <v>138</v>
      </c>
      <c r="C145" s="72" t="n"/>
      <c r="D145" s="109" t="n"/>
      <c r="E145" s="72" t="n"/>
      <c r="F145" s="113" t="n"/>
      <c r="G145" s="72" t="n"/>
      <c r="H145" s="74" t="n"/>
      <c r="I145" s="73" t="n"/>
      <c r="J145" s="113" t="n"/>
      <c r="K145" s="109" t="n"/>
      <c r="L145" s="72" t="n"/>
      <c r="M145" s="109" t="n"/>
      <c r="N145" s="72" t="n"/>
      <c r="O145" s="79">
        <f>IF(AND(F145&lt;&gt;"",L145&lt;&gt;"Resolved"),1,0)</f>
        <v/>
      </c>
      <c r="P145" s="79">
        <f>IF(F145="","",IF(O145=0,0,IF(H145="High",2,1)))</f>
        <v/>
      </c>
      <c r="Q145" s="112">
        <f>IF(O145=1,IF(K145&lt;&gt;"",K145,IF(H145="High",AsOf,"")),"")</f>
        <v/>
      </c>
      <c r="R145" s="79">
        <f>IF(Q145="","",IF(H145="High",1,IF(Q145="","",IF(Q145&lt;AsOf,1,IF(Q145&lt;=AsOf+AlertDays,2,IF(Q145&lt;=AsOf+2*AlertDays,3,""))))))</f>
        <v/>
      </c>
      <c r="S145" s="79">
        <f>IF(R145="","",IF(H145="High","High-severity issue: ",IF(C145="Punch item","Punch item: ","Issue action due: "))&amp;F145&amp;IF(J145="",""," → "&amp;J145))</f>
        <v/>
      </c>
      <c r="T145" s="79">
        <f>IF(O145=1,IF(I145="",0,I145),0)</f>
        <v/>
      </c>
      <c r="U145" s="79">
        <f>IF(AND(O145=1,H145="High"),1,0)</f>
        <v/>
      </c>
      <c r="V145" s="79">
        <f>IF(AND(O145=1,C145="Punch item"),1,0)</f>
        <v/>
      </c>
    </row>
    <row r="146" ht="24" customHeight="1">
      <c r="B146" s="125" t="n">
        <v>139</v>
      </c>
      <c r="C146" s="72" t="n"/>
      <c r="D146" s="109" t="n"/>
      <c r="E146" s="72" t="n"/>
      <c r="F146" s="113" t="n"/>
      <c r="G146" s="72" t="n"/>
      <c r="H146" s="74" t="n"/>
      <c r="I146" s="73" t="n"/>
      <c r="J146" s="113" t="n"/>
      <c r="K146" s="109" t="n"/>
      <c r="L146" s="72" t="n"/>
      <c r="M146" s="109" t="n"/>
      <c r="N146" s="72" t="n"/>
      <c r="O146" s="79">
        <f>IF(AND(F146&lt;&gt;"",L146&lt;&gt;"Resolved"),1,0)</f>
        <v/>
      </c>
      <c r="P146" s="79">
        <f>IF(F146="","",IF(O146=0,0,IF(H146="High",2,1)))</f>
        <v/>
      </c>
      <c r="Q146" s="112">
        <f>IF(O146=1,IF(K146&lt;&gt;"",K146,IF(H146="High",AsOf,"")),"")</f>
        <v/>
      </c>
      <c r="R146" s="79">
        <f>IF(Q146="","",IF(H146="High",1,IF(Q146="","",IF(Q146&lt;AsOf,1,IF(Q146&lt;=AsOf+AlertDays,2,IF(Q146&lt;=AsOf+2*AlertDays,3,""))))))</f>
        <v/>
      </c>
      <c r="S146" s="79">
        <f>IF(R146="","",IF(H146="High","High-severity issue: ",IF(C146="Punch item","Punch item: ","Issue action due: "))&amp;F146&amp;IF(J146="",""," → "&amp;J146))</f>
        <v/>
      </c>
      <c r="T146" s="79">
        <f>IF(O146=1,IF(I146="",0,I146),0)</f>
        <v/>
      </c>
      <c r="U146" s="79">
        <f>IF(AND(O146=1,H146="High"),1,0)</f>
        <v/>
      </c>
      <c r="V146" s="79">
        <f>IF(AND(O146=1,C146="Punch item"),1,0)</f>
        <v/>
      </c>
    </row>
    <row r="147" ht="24" customHeight="1">
      <c r="B147" s="125" t="n">
        <v>140</v>
      </c>
      <c r="C147" s="72" t="n"/>
      <c r="D147" s="109" t="n"/>
      <c r="E147" s="72" t="n"/>
      <c r="F147" s="113" t="n"/>
      <c r="G147" s="72" t="n"/>
      <c r="H147" s="74" t="n"/>
      <c r="I147" s="73" t="n"/>
      <c r="J147" s="113" t="n"/>
      <c r="K147" s="109" t="n"/>
      <c r="L147" s="72" t="n"/>
      <c r="M147" s="109" t="n"/>
      <c r="N147" s="72" t="n"/>
      <c r="O147" s="79">
        <f>IF(AND(F147&lt;&gt;"",L147&lt;&gt;"Resolved"),1,0)</f>
        <v/>
      </c>
      <c r="P147" s="79">
        <f>IF(F147="","",IF(O147=0,0,IF(H147="High",2,1)))</f>
        <v/>
      </c>
      <c r="Q147" s="112">
        <f>IF(O147=1,IF(K147&lt;&gt;"",K147,IF(H147="High",AsOf,"")),"")</f>
        <v/>
      </c>
      <c r="R147" s="79">
        <f>IF(Q147="","",IF(H147="High",1,IF(Q147="","",IF(Q147&lt;AsOf,1,IF(Q147&lt;=AsOf+AlertDays,2,IF(Q147&lt;=AsOf+2*AlertDays,3,""))))))</f>
        <v/>
      </c>
      <c r="S147" s="79">
        <f>IF(R147="","",IF(H147="High","High-severity issue: ",IF(C147="Punch item","Punch item: ","Issue action due: "))&amp;F147&amp;IF(J147="",""," → "&amp;J147))</f>
        <v/>
      </c>
      <c r="T147" s="79">
        <f>IF(O147=1,IF(I147="",0,I147),0)</f>
        <v/>
      </c>
      <c r="U147" s="79">
        <f>IF(AND(O147=1,H147="High"),1,0)</f>
        <v/>
      </c>
      <c r="V147" s="79">
        <f>IF(AND(O147=1,C147="Punch item"),1,0)</f>
        <v/>
      </c>
    </row>
    <row r="148" ht="24" customHeight="1">
      <c r="B148" s="125" t="n">
        <v>141</v>
      </c>
      <c r="C148" s="72" t="n"/>
      <c r="D148" s="109" t="n"/>
      <c r="E148" s="72" t="n"/>
      <c r="F148" s="113" t="n"/>
      <c r="G148" s="72" t="n"/>
      <c r="H148" s="74" t="n"/>
      <c r="I148" s="73" t="n"/>
      <c r="J148" s="113" t="n"/>
      <c r="K148" s="109" t="n"/>
      <c r="L148" s="72" t="n"/>
      <c r="M148" s="109" t="n"/>
      <c r="N148" s="72" t="n"/>
      <c r="O148" s="79">
        <f>IF(AND(F148&lt;&gt;"",L148&lt;&gt;"Resolved"),1,0)</f>
        <v/>
      </c>
      <c r="P148" s="79">
        <f>IF(F148="","",IF(O148=0,0,IF(H148="High",2,1)))</f>
        <v/>
      </c>
      <c r="Q148" s="112">
        <f>IF(O148=1,IF(K148&lt;&gt;"",K148,IF(H148="High",AsOf,"")),"")</f>
        <v/>
      </c>
      <c r="R148" s="79">
        <f>IF(Q148="","",IF(H148="High",1,IF(Q148="","",IF(Q148&lt;AsOf,1,IF(Q148&lt;=AsOf+AlertDays,2,IF(Q148&lt;=AsOf+2*AlertDays,3,""))))))</f>
        <v/>
      </c>
      <c r="S148" s="79">
        <f>IF(R148="","",IF(H148="High","High-severity issue: ",IF(C148="Punch item","Punch item: ","Issue action due: "))&amp;F148&amp;IF(J148="",""," → "&amp;J148))</f>
        <v/>
      </c>
      <c r="T148" s="79">
        <f>IF(O148=1,IF(I148="",0,I148),0)</f>
        <v/>
      </c>
      <c r="U148" s="79">
        <f>IF(AND(O148=1,H148="High"),1,0)</f>
        <v/>
      </c>
      <c r="V148" s="79">
        <f>IF(AND(O148=1,C148="Punch item"),1,0)</f>
        <v/>
      </c>
    </row>
    <row r="149" ht="24" customHeight="1">
      <c r="B149" s="125" t="n">
        <v>142</v>
      </c>
      <c r="C149" s="72" t="n"/>
      <c r="D149" s="109" t="n"/>
      <c r="E149" s="72" t="n"/>
      <c r="F149" s="113" t="n"/>
      <c r="G149" s="72" t="n"/>
      <c r="H149" s="74" t="n"/>
      <c r="I149" s="73" t="n"/>
      <c r="J149" s="113" t="n"/>
      <c r="K149" s="109" t="n"/>
      <c r="L149" s="72" t="n"/>
      <c r="M149" s="109" t="n"/>
      <c r="N149" s="72" t="n"/>
      <c r="O149" s="79">
        <f>IF(AND(F149&lt;&gt;"",L149&lt;&gt;"Resolved"),1,0)</f>
        <v/>
      </c>
      <c r="P149" s="79">
        <f>IF(F149="","",IF(O149=0,0,IF(H149="High",2,1)))</f>
        <v/>
      </c>
      <c r="Q149" s="112">
        <f>IF(O149=1,IF(K149&lt;&gt;"",K149,IF(H149="High",AsOf,"")),"")</f>
        <v/>
      </c>
      <c r="R149" s="79">
        <f>IF(Q149="","",IF(H149="High",1,IF(Q149="","",IF(Q149&lt;AsOf,1,IF(Q149&lt;=AsOf+AlertDays,2,IF(Q149&lt;=AsOf+2*AlertDays,3,""))))))</f>
        <v/>
      </c>
      <c r="S149" s="79">
        <f>IF(R149="","",IF(H149="High","High-severity issue: ",IF(C149="Punch item","Punch item: ","Issue action due: "))&amp;F149&amp;IF(J149="",""," → "&amp;J149))</f>
        <v/>
      </c>
      <c r="T149" s="79">
        <f>IF(O149=1,IF(I149="",0,I149),0)</f>
        <v/>
      </c>
      <c r="U149" s="79">
        <f>IF(AND(O149=1,H149="High"),1,0)</f>
        <v/>
      </c>
      <c r="V149" s="79">
        <f>IF(AND(O149=1,C149="Punch item"),1,0)</f>
        <v/>
      </c>
    </row>
    <row r="150" ht="24" customHeight="1">
      <c r="B150" s="125" t="n">
        <v>143</v>
      </c>
      <c r="C150" s="72" t="n"/>
      <c r="D150" s="109" t="n"/>
      <c r="E150" s="72" t="n"/>
      <c r="F150" s="113" t="n"/>
      <c r="G150" s="72" t="n"/>
      <c r="H150" s="74" t="n"/>
      <c r="I150" s="73" t="n"/>
      <c r="J150" s="113" t="n"/>
      <c r="K150" s="109" t="n"/>
      <c r="L150" s="72" t="n"/>
      <c r="M150" s="109" t="n"/>
      <c r="N150" s="72" t="n"/>
      <c r="O150" s="79">
        <f>IF(AND(F150&lt;&gt;"",L150&lt;&gt;"Resolved"),1,0)</f>
        <v/>
      </c>
      <c r="P150" s="79">
        <f>IF(F150="","",IF(O150=0,0,IF(H150="High",2,1)))</f>
        <v/>
      </c>
      <c r="Q150" s="112">
        <f>IF(O150=1,IF(K150&lt;&gt;"",K150,IF(H150="High",AsOf,"")),"")</f>
        <v/>
      </c>
      <c r="R150" s="79">
        <f>IF(Q150="","",IF(H150="High",1,IF(Q150="","",IF(Q150&lt;AsOf,1,IF(Q150&lt;=AsOf+AlertDays,2,IF(Q150&lt;=AsOf+2*AlertDays,3,""))))))</f>
        <v/>
      </c>
      <c r="S150" s="79">
        <f>IF(R150="","",IF(H150="High","High-severity issue: ",IF(C150="Punch item","Punch item: ","Issue action due: "))&amp;F150&amp;IF(J150="",""," → "&amp;J150))</f>
        <v/>
      </c>
      <c r="T150" s="79">
        <f>IF(O150=1,IF(I150="",0,I150),0)</f>
        <v/>
      </c>
      <c r="U150" s="79">
        <f>IF(AND(O150=1,H150="High"),1,0)</f>
        <v/>
      </c>
      <c r="V150" s="79">
        <f>IF(AND(O150=1,C150="Punch item"),1,0)</f>
        <v/>
      </c>
    </row>
    <row r="151" ht="24" customHeight="1">
      <c r="B151" s="125" t="n">
        <v>144</v>
      </c>
      <c r="C151" s="72" t="n"/>
      <c r="D151" s="109" t="n"/>
      <c r="E151" s="72" t="n"/>
      <c r="F151" s="113" t="n"/>
      <c r="G151" s="72" t="n"/>
      <c r="H151" s="74" t="n"/>
      <c r="I151" s="73" t="n"/>
      <c r="J151" s="113" t="n"/>
      <c r="K151" s="109" t="n"/>
      <c r="L151" s="72" t="n"/>
      <c r="M151" s="109" t="n"/>
      <c r="N151" s="72" t="n"/>
      <c r="O151" s="79">
        <f>IF(AND(F151&lt;&gt;"",L151&lt;&gt;"Resolved"),1,0)</f>
        <v/>
      </c>
      <c r="P151" s="79">
        <f>IF(F151="","",IF(O151=0,0,IF(H151="High",2,1)))</f>
        <v/>
      </c>
      <c r="Q151" s="112">
        <f>IF(O151=1,IF(K151&lt;&gt;"",K151,IF(H151="High",AsOf,"")),"")</f>
        <v/>
      </c>
      <c r="R151" s="79">
        <f>IF(Q151="","",IF(H151="High",1,IF(Q151="","",IF(Q151&lt;AsOf,1,IF(Q151&lt;=AsOf+AlertDays,2,IF(Q151&lt;=AsOf+2*AlertDays,3,""))))))</f>
        <v/>
      </c>
      <c r="S151" s="79">
        <f>IF(R151="","",IF(H151="High","High-severity issue: ",IF(C151="Punch item","Punch item: ","Issue action due: "))&amp;F151&amp;IF(J151="",""," → "&amp;J151))</f>
        <v/>
      </c>
      <c r="T151" s="79">
        <f>IF(O151=1,IF(I151="",0,I151),0)</f>
        <v/>
      </c>
      <c r="U151" s="79">
        <f>IF(AND(O151=1,H151="High"),1,0)</f>
        <v/>
      </c>
      <c r="V151" s="79">
        <f>IF(AND(O151=1,C151="Punch item"),1,0)</f>
        <v/>
      </c>
    </row>
    <row r="152" ht="24" customHeight="1">
      <c r="B152" s="125" t="n">
        <v>145</v>
      </c>
      <c r="C152" s="72" t="n"/>
      <c r="D152" s="109" t="n"/>
      <c r="E152" s="72" t="n"/>
      <c r="F152" s="113" t="n"/>
      <c r="G152" s="72" t="n"/>
      <c r="H152" s="74" t="n"/>
      <c r="I152" s="73" t="n"/>
      <c r="J152" s="113" t="n"/>
      <c r="K152" s="109" t="n"/>
      <c r="L152" s="72" t="n"/>
      <c r="M152" s="109" t="n"/>
      <c r="N152" s="72" t="n"/>
      <c r="O152" s="79">
        <f>IF(AND(F152&lt;&gt;"",L152&lt;&gt;"Resolved"),1,0)</f>
        <v/>
      </c>
      <c r="P152" s="79">
        <f>IF(F152="","",IF(O152=0,0,IF(H152="High",2,1)))</f>
        <v/>
      </c>
      <c r="Q152" s="112">
        <f>IF(O152=1,IF(K152&lt;&gt;"",K152,IF(H152="High",AsOf,"")),"")</f>
        <v/>
      </c>
      <c r="R152" s="79">
        <f>IF(Q152="","",IF(H152="High",1,IF(Q152="","",IF(Q152&lt;AsOf,1,IF(Q152&lt;=AsOf+AlertDays,2,IF(Q152&lt;=AsOf+2*AlertDays,3,""))))))</f>
        <v/>
      </c>
      <c r="S152" s="79">
        <f>IF(R152="","",IF(H152="High","High-severity issue: ",IF(C152="Punch item","Punch item: ","Issue action due: "))&amp;F152&amp;IF(J152="",""," → "&amp;J152))</f>
        <v/>
      </c>
      <c r="T152" s="79">
        <f>IF(O152=1,IF(I152="",0,I152),0)</f>
        <v/>
      </c>
      <c r="U152" s="79">
        <f>IF(AND(O152=1,H152="High"),1,0)</f>
        <v/>
      </c>
      <c r="V152" s="79">
        <f>IF(AND(O152=1,C152="Punch item"),1,0)</f>
        <v/>
      </c>
    </row>
    <row r="153" ht="24" customHeight="1">
      <c r="B153" s="125" t="n">
        <v>146</v>
      </c>
      <c r="C153" s="72" t="n"/>
      <c r="D153" s="109" t="n"/>
      <c r="E153" s="72" t="n"/>
      <c r="F153" s="113" t="n"/>
      <c r="G153" s="72" t="n"/>
      <c r="H153" s="74" t="n"/>
      <c r="I153" s="73" t="n"/>
      <c r="J153" s="113" t="n"/>
      <c r="K153" s="109" t="n"/>
      <c r="L153" s="72" t="n"/>
      <c r="M153" s="109" t="n"/>
      <c r="N153" s="72" t="n"/>
      <c r="O153" s="79">
        <f>IF(AND(F153&lt;&gt;"",L153&lt;&gt;"Resolved"),1,0)</f>
        <v/>
      </c>
      <c r="P153" s="79">
        <f>IF(F153="","",IF(O153=0,0,IF(H153="High",2,1)))</f>
        <v/>
      </c>
      <c r="Q153" s="112">
        <f>IF(O153=1,IF(K153&lt;&gt;"",K153,IF(H153="High",AsOf,"")),"")</f>
        <v/>
      </c>
      <c r="R153" s="79">
        <f>IF(Q153="","",IF(H153="High",1,IF(Q153="","",IF(Q153&lt;AsOf,1,IF(Q153&lt;=AsOf+AlertDays,2,IF(Q153&lt;=AsOf+2*AlertDays,3,""))))))</f>
        <v/>
      </c>
      <c r="S153" s="79">
        <f>IF(R153="","",IF(H153="High","High-severity issue: ",IF(C153="Punch item","Punch item: ","Issue action due: "))&amp;F153&amp;IF(J153="",""," → "&amp;J153))</f>
        <v/>
      </c>
      <c r="T153" s="79">
        <f>IF(O153=1,IF(I153="",0,I153),0)</f>
        <v/>
      </c>
      <c r="U153" s="79">
        <f>IF(AND(O153=1,H153="High"),1,0)</f>
        <v/>
      </c>
      <c r="V153" s="79">
        <f>IF(AND(O153=1,C153="Punch item"),1,0)</f>
        <v/>
      </c>
    </row>
    <row r="154" ht="24" customHeight="1">
      <c r="B154" s="125" t="n">
        <v>147</v>
      </c>
      <c r="C154" s="72" t="n"/>
      <c r="D154" s="109" t="n"/>
      <c r="E154" s="72" t="n"/>
      <c r="F154" s="113" t="n"/>
      <c r="G154" s="72" t="n"/>
      <c r="H154" s="74" t="n"/>
      <c r="I154" s="73" t="n"/>
      <c r="J154" s="113" t="n"/>
      <c r="K154" s="109" t="n"/>
      <c r="L154" s="72" t="n"/>
      <c r="M154" s="109" t="n"/>
      <c r="N154" s="72" t="n"/>
      <c r="O154" s="79">
        <f>IF(AND(F154&lt;&gt;"",L154&lt;&gt;"Resolved"),1,0)</f>
        <v/>
      </c>
      <c r="P154" s="79">
        <f>IF(F154="","",IF(O154=0,0,IF(H154="High",2,1)))</f>
        <v/>
      </c>
      <c r="Q154" s="112">
        <f>IF(O154=1,IF(K154&lt;&gt;"",K154,IF(H154="High",AsOf,"")),"")</f>
        <v/>
      </c>
      <c r="R154" s="79">
        <f>IF(Q154="","",IF(H154="High",1,IF(Q154="","",IF(Q154&lt;AsOf,1,IF(Q154&lt;=AsOf+AlertDays,2,IF(Q154&lt;=AsOf+2*AlertDays,3,""))))))</f>
        <v/>
      </c>
      <c r="S154" s="79">
        <f>IF(R154="","",IF(H154="High","High-severity issue: ",IF(C154="Punch item","Punch item: ","Issue action due: "))&amp;F154&amp;IF(J154="",""," → "&amp;J154))</f>
        <v/>
      </c>
      <c r="T154" s="79">
        <f>IF(O154=1,IF(I154="",0,I154),0)</f>
        <v/>
      </c>
      <c r="U154" s="79">
        <f>IF(AND(O154=1,H154="High"),1,0)</f>
        <v/>
      </c>
      <c r="V154" s="79">
        <f>IF(AND(O154=1,C154="Punch item"),1,0)</f>
        <v/>
      </c>
    </row>
    <row r="155" ht="24" customHeight="1">
      <c r="B155" s="125" t="n">
        <v>148</v>
      </c>
      <c r="C155" s="72" t="n"/>
      <c r="D155" s="109" t="n"/>
      <c r="E155" s="72" t="n"/>
      <c r="F155" s="113" t="n"/>
      <c r="G155" s="72" t="n"/>
      <c r="H155" s="74" t="n"/>
      <c r="I155" s="73" t="n"/>
      <c r="J155" s="113" t="n"/>
      <c r="K155" s="109" t="n"/>
      <c r="L155" s="72" t="n"/>
      <c r="M155" s="109" t="n"/>
      <c r="N155" s="72" t="n"/>
      <c r="O155" s="79">
        <f>IF(AND(F155&lt;&gt;"",L155&lt;&gt;"Resolved"),1,0)</f>
        <v/>
      </c>
      <c r="P155" s="79">
        <f>IF(F155="","",IF(O155=0,0,IF(H155="High",2,1)))</f>
        <v/>
      </c>
      <c r="Q155" s="112">
        <f>IF(O155=1,IF(K155&lt;&gt;"",K155,IF(H155="High",AsOf,"")),"")</f>
        <v/>
      </c>
      <c r="R155" s="79">
        <f>IF(Q155="","",IF(H155="High",1,IF(Q155="","",IF(Q155&lt;AsOf,1,IF(Q155&lt;=AsOf+AlertDays,2,IF(Q155&lt;=AsOf+2*AlertDays,3,""))))))</f>
        <v/>
      </c>
      <c r="S155" s="79">
        <f>IF(R155="","",IF(H155="High","High-severity issue: ",IF(C155="Punch item","Punch item: ","Issue action due: "))&amp;F155&amp;IF(J155="",""," → "&amp;J155))</f>
        <v/>
      </c>
      <c r="T155" s="79">
        <f>IF(O155=1,IF(I155="",0,I155),0)</f>
        <v/>
      </c>
      <c r="U155" s="79">
        <f>IF(AND(O155=1,H155="High"),1,0)</f>
        <v/>
      </c>
      <c r="V155" s="79">
        <f>IF(AND(O155=1,C155="Punch item"),1,0)</f>
        <v/>
      </c>
    </row>
    <row r="156" ht="24" customHeight="1">
      <c r="B156" s="125" t="n">
        <v>149</v>
      </c>
      <c r="C156" s="72" t="n"/>
      <c r="D156" s="109" t="n"/>
      <c r="E156" s="72" t="n"/>
      <c r="F156" s="113" t="n"/>
      <c r="G156" s="72" t="n"/>
      <c r="H156" s="74" t="n"/>
      <c r="I156" s="73" t="n"/>
      <c r="J156" s="113" t="n"/>
      <c r="K156" s="109" t="n"/>
      <c r="L156" s="72" t="n"/>
      <c r="M156" s="109" t="n"/>
      <c r="N156" s="72" t="n"/>
      <c r="O156" s="79">
        <f>IF(AND(F156&lt;&gt;"",L156&lt;&gt;"Resolved"),1,0)</f>
        <v/>
      </c>
      <c r="P156" s="79">
        <f>IF(F156="","",IF(O156=0,0,IF(H156="High",2,1)))</f>
        <v/>
      </c>
      <c r="Q156" s="112">
        <f>IF(O156=1,IF(K156&lt;&gt;"",K156,IF(H156="High",AsOf,"")),"")</f>
        <v/>
      </c>
      <c r="R156" s="79">
        <f>IF(Q156="","",IF(H156="High",1,IF(Q156="","",IF(Q156&lt;AsOf,1,IF(Q156&lt;=AsOf+AlertDays,2,IF(Q156&lt;=AsOf+2*AlertDays,3,""))))))</f>
        <v/>
      </c>
      <c r="S156" s="79">
        <f>IF(R156="","",IF(H156="High","High-severity issue: ",IF(C156="Punch item","Punch item: ","Issue action due: "))&amp;F156&amp;IF(J156="",""," → "&amp;J156))</f>
        <v/>
      </c>
      <c r="T156" s="79">
        <f>IF(O156=1,IF(I156="",0,I156),0)</f>
        <v/>
      </c>
      <c r="U156" s="79">
        <f>IF(AND(O156=1,H156="High"),1,0)</f>
        <v/>
      </c>
      <c r="V156" s="79">
        <f>IF(AND(O156=1,C156="Punch item"),1,0)</f>
        <v/>
      </c>
    </row>
    <row r="157" ht="24" customHeight="1">
      <c r="B157" s="125" t="n">
        <v>150</v>
      </c>
      <c r="C157" s="72" t="n"/>
      <c r="D157" s="109" t="n"/>
      <c r="E157" s="72" t="n"/>
      <c r="F157" s="113" t="n"/>
      <c r="G157" s="72" t="n"/>
      <c r="H157" s="74" t="n"/>
      <c r="I157" s="73" t="n"/>
      <c r="J157" s="113" t="n"/>
      <c r="K157" s="109" t="n"/>
      <c r="L157" s="72" t="n"/>
      <c r="M157" s="109" t="n"/>
      <c r="N157" s="72" t="n"/>
      <c r="O157" s="79">
        <f>IF(AND(F157&lt;&gt;"",L157&lt;&gt;"Resolved"),1,0)</f>
        <v/>
      </c>
      <c r="P157" s="79">
        <f>IF(F157="","",IF(O157=0,0,IF(H157="High",2,1)))</f>
        <v/>
      </c>
      <c r="Q157" s="112">
        <f>IF(O157=1,IF(K157&lt;&gt;"",K157,IF(H157="High",AsOf,"")),"")</f>
        <v/>
      </c>
      <c r="R157" s="79">
        <f>IF(Q157="","",IF(H157="High",1,IF(Q157="","",IF(Q157&lt;AsOf,1,IF(Q157&lt;=AsOf+AlertDays,2,IF(Q157&lt;=AsOf+2*AlertDays,3,""))))))</f>
        <v/>
      </c>
      <c r="S157" s="79">
        <f>IF(R157="","",IF(H157="High","High-severity issue: ",IF(C157="Punch item","Punch item: ","Issue action due: "))&amp;F157&amp;IF(J157="",""," → "&amp;J157))</f>
        <v/>
      </c>
      <c r="T157" s="79">
        <f>IF(O157=1,IF(I157="",0,I157),0)</f>
        <v/>
      </c>
      <c r="U157" s="79">
        <f>IF(AND(O157=1,H157="High"),1,0)</f>
        <v/>
      </c>
      <c r="V157" s="79">
        <f>IF(AND(O157=1,C157="Punch item"),1,0)</f>
        <v/>
      </c>
    </row>
    <row r="158" ht="24" customHeight="1">
      <c r="B158" s="125" t="n">
        <v>151</v>
      </c>
      <c r="C158" s="72" t="n"/>
      <c r="D158" s="109" t="n"/>
      <c r="E158" s="72" t="n"/>
      <c r="F158" s="113" t="n"/>
      <c r="G158" s="72" t="n"/>
      <c r="H158" s="74" t="n"/>
      <c r="I158" s="73" t="n"/>
      <c r="J158" s="113" t="n"/>
      <c r="K158" s="109" t="n"/>
      <c r="L158" s="72" t="n"/>
      <c r="M158" s="109" t="n"/>
      <c r="N158" s="72" t="n"/>
      <c r="O158" s="79">
        <f>IF(AND(F158&lt;&gt;"",L158&lt;&gt;"Resolved"),1,0)</f>
        <v/>
      </c>
      <c r="P158" s="79">
        <f>IF(F158="","",IF(O158=0,0,IF(H158="High",2,1)))</f>
        <v/>
      </c>
      <c r="Q158" s="112">
        <f>IF(O158=1,IF(K158&lt;&gt;"",K158,IF(H158="High",AsOf,"")),"")</f>
        <v/>
      </c>
      <c r="R158" s="79">
        <f>IF(Q158="","",IF(H158="High",1,IF(Q158="","",IF(Q158&lt;AsOf,1,IF(Q158&lt;=AsOf+AlertDays,2,IF(Q158&lt;=AsOf+2*AlertDays,3,""))))))</f>
        <v/>
      </c>
      <c r="S158" s="79">
        <f>IF(R158="","",IF(H158="High","High-severity issue: ",IF(C158="Punch item","Punch item: ","Issue action due: "))&amp;F158&amp;IF(J158="",""," → "&amp;J158))</f>
        <v/>
      </c>
      <c r="T158" s="79">
        <f>IF(O158=1,IF(I158="",0,I158),0)</f>
        <v/>
      </c>
      <c r="U158" s="79">
        <f>IF(AND(O158=1,H158="High"),1,0)</f>
        <v/>
      </c>
      <c r="V158" s="79">
        <f>IF(AND(O158=1,C158="Punch item"),1,0)</f>
        <v/>
      </c>
    </row>
    <row r="159" ht="24" customHeight="1">
      <c r="B159" s="125" t="n">
        <v>152</v>
      </c>
      <c r="C159" s="72" t="n"/>
      <c r="D159" s="109" t="n"/>
      <c r="E159" s="72" t="n"/>
      <c r="F159" s="113" t="n"/>
      <c r="G159" s="72" t="n"/>
      <c r="H159" s="74" t="n"/>
      <c r="I159" s="73" t="n"/>
      <c r="J159" s="113" t="n"/>
      <c r="K159" s="109" t="n"/>
      <c r="L159" s="72" t="n"/>
      <c r="M159" s="109" t="n"/>
      <c r="N159" s="72" t="n"/>
      <c r="O159" s="79">
        <f>IF(AND(F159&lt;&gt;"",L159&lt;&gt;"Resolved"),1,0)</f>
        <v/>
      </c>
      <c r="P159" s="79">
        <f>IF(F159="","",IF(O159=0,0,IF(H159="High",2,1)))</f>
        <v/>
      </c>
      <c r="Q159" s="112">
        <f>IF(O159=1,IF(K159&lt;&gt;"",K159,IF(H159="High",AsOf,"")),"")</f>
        <v/>
      </c>
      <c r="R159" s="79">
        <f>IF(Q159="","",IF(H159="High",1,IF(Q159="","",IF(Q159&lt;AsOf,1,IF(Q159&lt;=AsOf+AlertDays,2,IF(Q159&lt;=AsOf+2*AlertDays,3,""))))))</f>
        <v/>
      </c>
      <c r="S159" s="79">
        <f>IF(R159="","",IF(H159="High","High-severity issue: ",IF(C159="Punch item","Punch item: ","Issue action due: "))&amp;F159&amp;IF(J159="",""," → "&amp;J159))</f>
        <v/>
      </c>
      <c r="T159" s="79">
        <f>IF(O159=1,IF(I159="",0,I159),0)</f>
        <v/>
      </c>
      <c r="U159" s="79">
        <f>IF(AND(O159=1,H159="High"),1,0)</f>
        <v/>
      </c>
      <c r="V159" s="79">
        <f>IF(AND(O159=1,C159="Punch item"),1,0)</f>
        <v/>
      </c>
    </row>
    <row r="160" ht="24" customHeight="1">
      <c r="B160" s="125" t="n">
        <v>153</v>
      </c>
      <c r="C160" s="72" t="n"/>
      <c r="D160" s="109" t="n"/>
      <c r="E160" s="72" t="n"/>
      <c r="F160" s="113" t="n"/>
      <c r="G160" s="72" t="n"/>
      <c r="H160" s="74" t="n"/>
      <c r="I160" s="73" t="n"/>
      <c r="J160" s="113" t="n"/>
      <c r="K160" s="109" t="n"/>
      <c r="L160" s="72" t="n"/>
      <c r="M160" s="109" t="n"/>
      <c r="N160" s="72" t="n"/>
      <c r="O160" s="79">
        <f>IF(AND(F160&lt;&gt;"",L160&lt;&gt;"Resolved"),1,0)</f>
        <v/>
      </c>
      <c r="P160" s="79">
        <f>IF(F160="","",IF(O160=0,0,IF(H160="High",2,1)))</f>
        <v/>
      </c>
      <c r="Q160" s="112">
        <f>IF(O160=1,IF(K160&lt;&gt;"",K160,IF(H160="High",AsOf,"")),"")</f>
        <v/>
      </c>
      <c r="R160" s="79">
        <f>IF(Q160="","",IF(H160="High",1,IF(Q160="","",IF(Q160&lt;AsOf,1,IF(Q160&lt;=AsOf+AlertDays,2,IF(Q160&lt;=AsOf+2*AlertDays,3,""))))))</f>
        <v/>
      </c>
      <c r="S160" s="79">
        <f>IF(R160="","",IF(H160="High","High-severity issue: ",IF(C160="Punch item","Punch item: ","Issue action due: "))&amp;F160&amp;IF(J160="",""," → "&amp;J160))</f>
        <v/>
      </c>
      <c r="T160" s="79">
        <f>IF(O160=1,IF(I160="",0,I160),0)</f>
        <v/>
      </c>
      <c r="U160" s="79">
        <f>IF(AND(O160=1,H160="High"),1,0)</f>
        <v/>
      </c>
      <c r="V160" s="79">
        <f>IF(AND(O160=1,C160="Punch item"),1,0)</f>
        <v/>
      </c>
    </row>
    <row r="161" ht="24" customHeight="1">
      <c r="B161" s="125" t="n">
        <v>154</v>
      </c>
      <c r="C161" s="72" t="n"/>
      <c r="D161" s="109" t="n"/>
      <c r="E161" s="72" t="n"/>
      <c r="F161" s="113" t="n"/>
      <c r="G161" s="72" t="n"/>
      <c r="H161" s="74" t="n"/>
      <c r="I161" s="73" t="n"/>
      <c r="J161" s="113" t="n"/>
      <c r="K161" s="109" t="n"/>
      <c r="L161" s="72" t="n"/>
      <c r="M161" s="109" t="n"/>
      <c r="N161" s="72" t="n"/>
      <c r="O161" s="79">
        <f>IF(AND(F161&lt;&gt;"",L161&lt;&gt;"Resolved"),1,0)</f>
        <v/>
      </c>
      <c r="P161" s="79">
        <f>IF(F161="","",IF(O161=0,0,IF(H161="High",2,1)))</f>
        <v/>
      </c>
      <c r="Q161" s="112">
        <f>IF(O161=1,IF(K161&lt;&gt;"",K161,IF(H161="High",AsOf,"")),"")</f>
        <v/>
      </c>
      <c r="R161" s="79">
        <f>IF(Q161="","",IF(H161="High",1,IF(Q161="","",IF(Q161&lt;AsOf,1,IF(Q161&lt;=AsOf+AlertDays,2,IF(Q161&lt;=AsOf+2*AlertDays,3,""))))))</f>
        <v/>
      </c>
      <c r="S161" s="79">
        <f>IF(R161="","",IF(H161="High","High-severity issue: ",IF(C161="Punch item","Punch item: ","Issue action due: "))&amp;F161&amp;IF(J161="",""," → "&amp;J161))</f>
        <v/>
      </c>
      <c r="T161" s="79">
        <f>IF(O161=1,IF(I161="",0,I161),0)</f>
        <v/>
      </c>
      <c r="U161" s="79">
        <f>IF(AND(O161=1,H161="High"),1,0)</f>
        <v/>
      </c>
      <c r="V161" s="79">
        <f>IF(AND(O161=1,C161="Punch item"),1,0)</f>
        <v/>
      </c>
    </row>
    <row r="162" ht="24" customHeight="1">
      <c r="B162" s="125" t="n">
        <v>155</v>
      </c>
      <c r="C162" s="72" t="n"/>
      <c r="D162" s="109" t="n"/>
      <c r="E162" s="72" t="n"/>
      <c r="F162" s="113" t="n"/>
      <c r="G162" s="72" t="n"/>
      <c r="H162" s="74" t="n"/>
      <c r="I162" s="73" t="n"/>
      <c r="J162" s="113" t="n"/>
      <c r="K162" s="109" t="n"/>
      <c r="L162" s="72" t="n"/>
      <c r="M162" s="109" t="n"/>
      <c r="N162" s="72" t="n"/>
      <c r="O162" s="79">
        <f>IF(AND(F162&lt;&gt;"",L162&lt;&gt;"Resolved"),1,0)</f>
        <v/>
      </c>
      <c r="P162" s="79">
        <f>IF(F162="","",IF(O162=0,0,IF(H162="High",2,1)))</f>
        <v/>
      </c>
      <c r="Q162" s="112">
        <f>IF(O162=1,IF(K162&lt;&gt;"",K162,IF(H162="High",AsOf,"")),"")</f>
        <v/>
      </c>
      <c r="R162" s="79">
        <f>IF(Q162="","",IF(H162="High",1,IF(Q162="","",IF(Q162&lt;AsOf,1,IF(Q162&lt;=AsOf+AlertDays,2,IF(Q162&lt;=AsOf+2*AlertDays,3,""))))))</f>
        <v/>
      </c>
      <c r="S162" s="79">
        <f>IF(R162="","",IF(H162="High","High-severity issue: ",IF(C162="Punch item","Punch item: ","Issue action due: "))&amp;F162&amp;IF(J162="",""," → "&amp;J162))</f>
        <v/>
      </c>
      <c r="T162" s="79">
        <f>IF(O162=1,IF(I162="",0,I162),0)</f>
        <v/>
      </c>
      <c r="U162" s="79">
        <f>IF(AND(O162=1,H162="High"),1,0)</f>
        <v/>
      </c>
      <c r="V162" s="79">
        <f>IF(AND(O162=1,C162="Punch item"),1,0)</f>
        <v/>
      </c>
    </row>
    <row r="163" ht="24" customHeight="1">
      <c r="B163" s="125" t="n">
        <v>156</v>
      </c>
      <c r="C163" s="72" t="n"/>
      <c r="D163" s="109" t="n"/>
      <c r="E163" s="72" t="n"/>
      <c r="F163" s="113" t="n"/>
      <c r="G163" s="72" t="n"/>
      <c r="H163" s="74" t="n"/>
      <c r="I163" s="73" t="n"/>
      <c r="J163" s="113" t="n"/>
      <c r="K163" s="109" t="n"/>
      <c r="L163" s="72" t="n"/>
      <c r="M163" s="109" t="n"/>
      <c r="N163" s="72" t="n"/>
      <c r="O163" s="79">
        <f>IF(AND(F163&lt;&gt;"",L163&lt;&gt;"Resolved"),1,0)</f>
        <v/>
      </c>
      <c r="P163" s="79">
        <f>IF(F163="","",IF(O163=0,0,IF(H163="High",2,1)))</f>
        <v/>
      </c>
      <c r="Q163" s="112">
        <f>IF(O163=1,IF(K163&lt;&gt;"",K163,IF(H163="High",AsOf,"")),"")</f>
        <v/>
      </c>
      <c r="R163" s="79">
        <f>IF(Q163="","",IF(H163="High",1,IF(Q163="","",IF(Q163&lt;AsOf,1,IF(Q163&lt;=AsOf+AlertDays,2,IF(Q163&lt;=AsOf+2*AlertDays,3,""))))))</f>
        <v/>
      </c>
      <c r="S163" s="79">
        <f>IF(R163="","",IF(H163="High","High-severity issue: ",IF(C163="Punch item","Punch item: ","Issue action due: "))&amp;F163&amp;IF(J163="",""," → "&amp;J163))</f>
        <v/>
      </c>
      <c r="T163" s="79">
        <f>IF(O163=1,IF(I163="",0,I163),0)</f>
        <v/>
      </c>
      <c r="U163" s="79">
        <f>IF(AND(O163=1,H163="High"),1,0)</f>
        <v/>
      </c>
      <c r="V163" s="79">
        <f>IF(AND(O163=1,C163="Punch item"),1,0)</f>
        <v/>
      </c>
    </row>
    <row r="164" ht="24" customHeight="1">
      <c r="B164" s="125" t="n">
        <v>157</v>
      </c>
      <c r="C164" s="72" t="n"/>
      <c r="D164" s="109" t="n"/>
      <c r="E164" s="72" t="n"/>
      <c r="F164" s="113" t="n"/>
      <c r="G164" s="72" t="n"/>
      <c r="H164" s="74" t="n"/>
      <c r="I164" s="73" t="n"/>
      <c r="J164" s="113" t="n"/>
      <c r="K164" s="109" t="n"/>
      <c r="L164" s="72" t="n"/>
      <c r="M164" s="109" t="n"/>
      <c r="N164" s="72" t="n"/>
      <c r="O164" s="79">
        <f>IF(AND(F164&lt;&gt;"",L164&lt;&gt;"Resolved"),1,0)</f>
        <v/>
      </c>
      <c r="P164" s="79">
        <f>IF(F164="","",IF(O164=0,0,IF(H164="High",2,1)))</f>
        <v/>
      </c>
      <c r="Q164" s="112">
        <f>IF(O164=1,IF(K164&lt;&gt;"",K164,IF(H164="High",AsOf,"")),"")</f>
        <v/>
      </c>
      <c r="R164" s="79">
        <f>IF(Q164="","",IF(H164="High",1,IF(Q164="","",IF(Q164&lt;AsOf,1,IF(Q164&lt;=AsOf+AlertDays,2,IF(Q164&lt;=AsOf+2*AlertDays,3,""))))))</f>
        <v/>
      </c>
      <c r="S164" s="79">
        <f>IF(R164="","",IF(H164="High","High-severity issue: ",IF(C164="Punch item","Punch item: ","Issue action due: "))&amp;F164&amp;IF(J164="",""," → "&amp;J164))</f>
        <v/>
      </c>
      <c r="T164" s="79">
        <f>IF(O164=1,IF(I164="",0,I164),0)</f>
        <v/>
      </c>
      <c r="U164" s="79">
        <f>IF(AND(O164=1,H164="High"),1,0)</f>
        <v/>
      </c>
      <c r="V164" s="79">
        <f>IF(AND(O164=1,C164="Punch item"),1,0)</f>
        <v/>
      </c>
    </row>
    <row r="165" ht="24" customHeight="1">
      <c r="B165" s="125" t="n">
        <v>158</v>
      </c>
      <c r="C165" s="72" t="n"/>
      <c r="D165" s="109" t="n"/>
      <c r="E165" s="72" t="n"/>
      <c r="F165" s="113" t="n"/>
      <c r="G165" s="72" t="n"/>
      <c r="H165" s="74" t="n"/>
      <c r="I165" s="73" t="n"/>
      <c r="J165" s="113" t="n"/>
      <c r="K165" s="109" t="n"/>
      <c r="L165" s="72" t="n"/>
      <c r="M165" s="109" t="n"/>
      <c r="N165" s="72" t="n"/>
      <c r="O165" s="79">
        <f>IF(AND(F165&lt;&gt;"",L165&lt;&gt;"Resolved"),1,0)</f>
        <v/>
      </c>
      <c r="P165" s="79">
        <f>IF(F165="","",IF(O165=0,0,IF(H165="High",2,1)))</f>
        <v/>
      </c>
      <c r="Q165" s="112">
        <f>IF(O165=1,IF(K165&lt;&gt;"",K165,IF(H165="High",AsOf,"")),"")</f>
        <v/>
      </c>
      <c r="R165" s="79">
        <f>IF(Q165="","",IF(H165="High",1,IF(Q165="","",IF(Q165&lt;AsOf,1,IF(Q165&lt;=AsOf+AlertDays,2,IF(Q165&lt;=AsOf+2*AlertDays,3,""))))))</f>
        <v/>
      </c>
      <c r="S165" s="79">
        <f>IF(R165="","",IF(H165="High","High-severity issue: ",IF(C165="Punch item","Punch item: ","Issue action due: "))&amp;F165&amp;IF(J165="",""," → "&amp;J165))</f>
        <v/>
      </c>
      <c r="T165" s="79">
        <f>IF(O165=1,IF(I165="",0,I165),0)</f>
        <v/>
      </c>
      <c r="U165" s="79">
        <f>IF(AND(O165=1,H165="High"),1,0)</f>
        <v/>
      </c>
      <c r="V165" s="79">
        <f>IF(AND(O165=1,C165="Punch item"),1,0)</f>
        <v/>
      </c>
    </row>
    <row r="166" ht="24" customHeight="1">
      <c r="B166" s="125" t="n">
        <v>159</v>
      </c>
      <c r="C166" s="72" t="n"/>
      <c r="D166" s="109" t="n"/>
      <c r="E166" s="72" t="n"/>
      <c r="F166" s="113" t="n"/>
      <c r="G166" s="72" t="n"/>
      <c r="H166" s="74" t="n"/>
      <c r="I166" s="73" t="n"/>
      <c r="J166" s="113" t="n"/>
      <c r="K166" s="109" t="n"/>
      <c r="L166" s="72" t="n"/>
      <c r="M166" s="109" t="n"/>
      <c r="N166" s="72" t="n"/>
      <c r="O166" s="79">
        <f>IF(AND(F166&lt;&gt;"",L166&lt;&gt;"Resolved"),1,0)</f>
        <v/>
      </c>
      <c r="P166" s="79">
        <f>IF(F166="","",IF(O166=0,0,IF(H166="High",2,1)))</f>
        <v/>
      </c>
      <c r="Q166" s="112">
        <f>IF(O166=1,IF(K166&lt;&gt;"",K166,IF(H166="High",AsOf,"")),"")</f>
        <v/>
      </c>
      <c r="R166" s="79">
        <f>IF(Q166="","",IF(H166="High",1,IF(Q166="","",IF(Q166&lt;AsOf,1,IF(Q166&lt;=AsOf+AlertDays,2,IF(Q166&lt;=AsOf+2*AlertDays,3,""))))))</f>
        <v/>
      </c>
      <c r="S166" s="79">
        <f>IF(R166="","",IF(H166="High","High-severity issue: ",IF(C166="Punch item","Punch item: ","Issue action due: "))&amp;F166&amp;IF(J166="",""," → "&amp;J166))</f>
        <v/>
      </c>
      <c r="T166" s="79">
        <f>IF(O166=1,IF(I166="",0,I166),0)</f>
        <v/>
      </c>
      <c r="U166" s="79">
        <f>IF(AND(O166=1,H166="High"),1,0)</f>
        <v/>
      </c>
      <c r="V166" s="79">
        <f>IF(AND(O166=1,C166="Punch item"),1,0)</f>
        <v/>
      </c>
    </row>
    <row r="167" ht="24" customHeight="1">
      <c r="B167" s="125" t="n">
        <v>160</v>
      </c>
      <c r="C167" s="72" t="n"/>
      <c r="D167" s="109" t="n"/>
      <c r="E167" s="72" t="n"/>
      <c r="F167" s="113" t="n"/>
      <c r="G167" s="72" t="n"/>
      <c r="H167" s="74" t="n"/>
      <c r="I167" s="73" t="n"/>
      <c r="J167" s="113" t="n"/>
      <c r="K167" s="109" t="n"/>
      <c r="L167" s="72" t="n"/>
      <c r="M167" s="109" t="n"/>
      <c r="N167" s="72" t="n"/>
      <c r="O167" s="79">
        <f>IF(AND(F167&lt;&gt;"",L167&lt;&gt;"Resolved"),1,0)</f>
        <v/>
      </c>
      <c r="P167" s="79">
        <f>IF(F167="","",IF(O167=0,0,IF(H167="High",2,1)))</f>
        <v/>
      </c>
      <c r="Q167" s="112">
        <f>IF(O167=1,IF(K167&lt;&gt;"",K167,IF(H167="High",AsOf,"")),"")</f>
        <v/>
      </c>
      <c r="R167" s="79">
        <f>IF(Q167="","",IF(H167="High",1,IF(Q167="","",IF(Q167&lt;AsOf,1,IF(Q167&lt;=AsOf+AlertDays,2,IF(Q167&lt;=AsOf+2*AlertDays,3,""))))))</f>
        <v/>
      </c>
      <c r="S167" s="79">
        <f>IF(R167="","",IF(H167="High","High-severity issue: ",IF(C167="Punch item","Punch item: ","Issue action due: "))&amp;F167&amp;IF(J167="",""," → "&amp;J167))</f>
        <v/>
      </c>
      <c r="T167" s="79">
        <f>IF(O167=1,IF(I167="",0,I167),0)</f>
        <v/>
      </c>
      <c r="U167" s="79">
        <f>IF(AND(O167=1,H167="High"),1,0)</f>
        <v/>
      </c>
      <c r="V167" s="79">
        <f>IF(AND(O167=1,C167="Punch item"),1,0)</f>
        <v/>
      </c>
    </row>
    <row r="168" ht="24" customHeight="1">
      <c r="B168" s="125" t="n">
        <v>161</v>
      </c>
      <c r="C168" s="72" t="n"/>
      <c r="D168" s="109" t="n"/>
      <c r="E168" s="72" t="n"/>
      <c r="F168" s="113" t="n"/>
      <c r="G168" s="72" t="n"/>
      <c r="H168" s="74" t="n"/>
      <c r="I168" s="73" t="n"/>
      <c r="J168" s="113" t="n"/>
      <c r="K168" s="109" t="n"/>
      <c r="L168" s="72" t="n"/>
      <c r="M168" s="109" t="n"/>
      <c r="N168" s="72" t="n"/>
      <c r="O168" s="79">
        <f>IF(AND(F168&lt;&gt;"",L168&lt;&gt;"Resolved"),1,0)</f>
        <v/>
      </c>
      <c r="P168" s="79">
        <f>IF(F168="","",IF(O168=0,0,IF(H168="High",2,1)))</f>
        <v/>
      </c>
      <c r="Q168" s="112">
        <f>IF(O168=1,IF(K168&lt;&gt;"",K168,IF(H168="High",AsOf,"")),"")</f>
        <v/>
      </c>
      <c r="R168" s="79">
        <f>IF(Q168="","",IF(H168="High",1,IF(Q168="","",IF(Q168&lt;AsOf,1,IF(Q168&lt;=AsOf+AlertDays,2,IF(Q168&lt;=AsOf+2*AlertDays,3,""))))))</f>
        <v/>
      </c>
      <c r="S168" s="79">
        <f>IF(R168="","",IF(H168="High","High-severity issue: ",IF(C168="Punch item","Punch item: ","Issue action due: "))&amp;F168&amp;IF(J168="",""," → "&amp;J168))</f>
        <v/>
      </c>
      <c r="T168" s="79">
        <f>IF(O168=1,IF(I168="",0,I168),0)</f>
        <v/>
      </c>
      <c r="U168" s="79">
        <f>IF(AND(O168=1,H168="High"),1,0)</f>
        <v/>
      </c>
      <c r="V168" s="79">
        <f>IF(AND(O168=1,C168="Punch item"),1,0)</f>
        <v/>
      </c>
    </row>
    <row r="169" ht="24" customHeight="1">
      <c r="B169" s="125" t="n">
        <v>162</v>
      </c>
      <c r="C169" s="72" t="n"/>
      <c r="D169" s="109" t="n"/>
      <c r="E169" s="72" t="n"/>
      <c r="F169" s="113" t="n"/>
      <c r="G169" s="72" t="n"/>
      <c r="H169" s="74" t="n"/>
      <c r="I169" s="73" t="n"/>
      <c r="J169" s="113" t="n"/>
      <c r="K169" s="109" t="n"/>
      <c r="L169" s="72" t="n"/>
      <c r="M169" s="109" t="n"/>
      <c r="N169" s="72" t="n"/>
      <c r="O169" s="79">
        <f>IF(AND(F169&lt;&gt;"",L169&lt;&gt;"Resolved"),1,0)</f>
        <v/>
      </c>
      <c r="P169" s="79">
        <f>IF(F169="","",IF(O169=0,0,IF(H169="High",2,1)))</f>
        <v/>
      </c>
      <c r="Q169" s="112">
        <f>IF(O169=1,IF(K169&lt;&gt;"",K169,IF(H169="High",AsOf,"")),"")</f>
        <v/>
      </c>
      <c r="R169" s="79">
        <f>IF(Q169="","",IF(H169="High",1,IF(Q169="","",IF(Q169&lt;AsOf,1,IF(Q169&lt;=AsOf+AlertDays,2,IF(Q169&lt;=AsOf+2*AlertDays,3,""))))))</f>
        <v/>
      </c>
      <c r="S169" s="79">
        <f>IF(R169="","",IF(H169="High","High-severity issue: ",IF(C169="Punch item","Punch item: ","Issue action due: "))&amp;F169&amp;IF(J169="",""," → "&amp;J169))</f>
        <v/>
      </c>
      <c r="T169" s="79">
        <f>IF(O169=1,IF(I169="",0,I169),0)</f>
        <v/>
      </c>
      <c r="U169" s="79">
        <f>IF(AND(O169=1,H169="High"),1,0)</f>
        <v/>
      </c>
      <c r="V169" s="79">
        <f>IF(AND(O169=1,C169="Punch item"),1,0)</f>
        <v/>
      </c>
    </row>
    <row r="170" ht="24" customHeight="1">
      <c r="B170" s="125" t="n">
        <v>163</v>
      </c>
      <c r="C170" s="72" t="n"/>
      <c r="D170" s="109" t="n"/>
      <c r="E170" s="72" t="n"/>
      <c r="F170" s="113" t="n"/>
      <c r="G170" s="72" t="n"/>
      <c r="H170" s="74" t="n"/>
      <c r="I170" s="73" t="n"/>
      <c r="J170" s="113" t="n"/>
      <c r="K170" s="109" t="n"/>
      <c r="L170" s="72" t="n"/>
      <c r="M170" s="109" t="n"/>
      <c r="N170" s="72" t="n"/>
      <c r="O170" s="79">
        <f>IF(AND(F170&lt;&gt;"",L170&lt;&gt;"Resolved"),1,0)</f>
        <v/>
      </c>
      <c r="P170" s="79">
        <f>IF(F170="","",IF(O170=0,0,IF(H170="High",2,1)))</f>
        <v/>
      </c>
      <c r="Q170" s="112">
        <f>IF(O170=1,IF(K170&lt;&gt;"",K170,IF(H170="High",AsOf,"")),"")</f>
        <v/>
      </c>
      <c r="R170" s="79">
        <f>IF(Q170="","",IF(H170="High",1,IF(Q170="","",IF(Q170&lt;AsOf,1,IF(Q170&lt;=AsOf+AlertDays,2,IF(Q170&lt;=AsOf+2*AlertDays,3,""))))))</f>
        <v/>
      </c>
      <c r="S170" s="79">
        <f>IF(R170="","",IF(H170="High","High-severity issue: ",IF(C170="Punch item","Punch item: ","Issue action due: "))&amp;F170&amp;IF(J170="",""," → "&amp;J170))</f>
        <v/>
      </c>
      <c r="T170" s="79">
        <f>IF(O170=1,IF(I170="",0,I170),0)</f>
        <v/>
      </c>
      <c r="U170" s="79">
        <f>IF(AND(O170=1,H170="High"),1,0)</f>
        <v/>
      </c>
      <c r="V170" s="79">
        <f>IF(AND(O170=1,C170="Punch item"),1,0)</f>
        <v/>
      </c>
    </row>
    <row r="171" ht="24" customHeight="1">
      <c r="B171" s="125" t="n">
        <v>164</v>
      </c>
      <c r="C171" s="72" t="n"/>
      <c r="D171" s="109" t="n"/>
      <c r="E171" s="72" t="n"/>
      <c r="F171" s="113" t="n"/>
      <c r="G171" s="72" t="n"/>
      <c r="H171" s="74" t="n"/>
      <c r="I171" s="73" t="n"/>
      <c r="J171" s="113" t="n"/>
      <c r="K171" s="109" t="n"/>
      <c r="L171" s="72" t="n"/>
      <c r="M171" s="109" t="n"/>
      <c r="N171" s="72" t="n"/>
      <c r="O171" s="79">
        <f>IF(AND(F171&lt;&gt;"",L171&lt;&gt;"Resolved"),1,0)</f>
        <v/>
      </c>
      <c r="P171" s="79">
        <f>IF(F171="","",IF(O171=0,0,IF(H171="High",2,1)))</f>
        <v/>
      </c>
      <c r="Q171" s="112">
        <f>IF(O171=1,IF(K171&lt;&gt;"",K171,IF(H171="High",AsOf,"")),"")</f>
        <v/>
      </c>
      <c r="R171" s="79">
        <f>IF(Q171="","",IF(H171="High",1,IF(Q171="","",IF(Q171&lt;AsOf,1,IF(Q171&lt;=AsOf+AlertDays,2,IF(Q171&lt;=AsOf+2*AlertDays,3,""))))))</f>
        <v/>
      </c>
      <c r="S171" s="79">
        <f>IF(R171="","",IF(H171="High","High-severity issue: ",IF(C171="Punch item","Punch item: ","Issue action due: "))&amp;F171&amp;IF(J171="",""," → "&amp;J171))</f>
        <v/>
      </c>
      <c r="T171" s="79">
        <f>IF(O171=1,IF(I171="",0,I171),0)</f>
        <v/>
      </c>
      <c r="U171" s="79">
        <f>IF(AND(O171=1,H171="High"),1,0)</f>
        <v/>
      </c>
      <c r="V171" s="79">
        <f>IF(AND(O171=1,C171="Punch item"),1,0)</f>
        <v/>
      </c>
    </row>
    <row r="172" ht="24" customHeight="1">
      <c r="B172" s="125" t="n">
        <v>165</v>
      </c>
      <c r="C172" s="72" t="n"/>
      <c r="D172" s="109" t="n"/>
      <c r="E172" s="72" t="n"/>
      <c r="F172" s="113" t="n"/>
      <c r="G172" s="72" t="n"/>
      <c r="H172" s="74" t="n"/>
      <c r="I172" s="73" t="n"/>
      <c r="J172" s="113" t="n"/>
      <c r="K172" s="109" t="n"/>
      <c r="L172" s="72" t="n"/>
      <c r="M172" s="109" t="n"/>
      <c r="N172" s="72" t="n"/>
      <c r="O172" s="79">
        <f>IF(AND(F172&lt;&gt;"",L172&lt;&gt;"Resolved"),1,0)</f>
        <v/>
      </c>
      <c r="P172" s="79">
        <f>IF(F172="","",IF(O172=0,0,IF(H172="High",2,1)))</f>
        <v/>
      </c>
      <c r="Q172" s="112">
        <f>IF(O172=1,IF(K172&lt;&gt;"",K172,IF(H172="High",AsOf,"")),"")</f>
        <v/>
      </c>
      <c r="R172" s="79">
        <f>IF(Q172="","",IF(H172="High",1,IF(Q172="","",IF(Q172&lt;AsOf,1,IF(Q172&lt;=AsOf+AlertDays,2,IF(Q172&lt;=AsOf+2*AlertDays,3,""))))))</f>
        <v/>
      </c>
      <c r="S172" s="79">
        <f>IF(R172="","",IF(H172="High","High-severity issue: ",IF(C172="Punch item","Punch item: ","Issue action due: "))&amp;F172&amp;IF(J172="",""," → "&amp;J172))</f>
        <v/>
      </c>
      <c r="T172" s="79">
        <f>IF(O172=1,IF(I172="",0,I172),0)</f>
        <v/>
      </c>
      <c r="U172" s="79">
        <f>IF(AND(O172=1,H172="High"),1,0)</f>
        <v/>
      </c>
      <c r="V172" s="79">
        <f>IF(AND(O172=1,C172="Punch item"),1,0)</f>
        <v/>
      </c>
    </row>
    <row r="173" ht="24" customHeight="1">
      <c r="B173" s="125" t="n">
        <v>166</v>
      </c>
      <c r="C173" s="72" t="n"/>
      <c r="D173" s="109" t="n"/>
      <c r="E173" s="72" t="n"/>
      <c r="F173" s="113" t="n"/>
      <c r="G173" s="72" t="n"/>
      <c r="H173" s="74" t="n"/>
      <c r="I173" s="73" t="n"/>
      <c r="J173" s="113" t="n"/>
      <c r="K173" s="109" t="n"/>
      <c r="L173" s="72" t="n"/>
      <c r="M173" s="109" t="n"/>
      <c r="N173" s="72" t="n"/>
      <c r="O173" s="79">
        <f>IF(AND(F173&lt;&gt;"",L173&lt;&gt;"Resolved"),1,0)</f>
        <v/>
      </c>
      <c r="P173" s="79">
        <f>IF(F173="","",IF(O173=0,0,IF(H173="High",2,1)))</f>
        <v/>
      </c>
      <c r="Q173" s="112">
        <f>IF(O173=1,IF(K173&lt;&gt;"",K173,IF(H173="High",AsOf,"")),"")</f>
        <v/>
      </c>
      <c r="R173" s="79">
        <f>IF(Q173="","",IF(H173="High",1,IF(Q173="","",IF(Q173&lt;AsOf,1,IF(Q173&lt;=AsOf+AlertDays,2,IF(Q173&lt;=AsOf+2*AlertDays,3,""))))))</f>
        <v/>
      </c>
      <c r="S173" s="79">
        <f>IF(R173="","",IF(H173="High","High-severity issue: ",IF(C173="Punch item","Punch item: ","Issue action due: "))&amp;F173&amp;IF(J173="",""," → "&amp;J173))</f>
        <v/>
      </c>
      <c r="T173" s="79">
        <f>IF(O173=1,IF(I173="",0,I173),0)</f>
        <v/>
      </c>
      <c r="U173" s="79">
        <f>IF(AND(O173=1,H173="High"),1,0)</f>
        <v/>
      </c>
      <c r="V173" s="79">
        <f>IF(AND(O173=1,C173="Punch item"),1,0)</f>
        <v/>
      </c>
    </row>
    <row r="174" ht="24" customHeight="1">
      <c r="B174" s="125" t="n">
        <v>167</v>
      </c>
      <c r="C174" s="72" t="n"/>
      <c r="D174" s="109" t="n"/>
      <c r="E174" s="72" t="n"/>
      <c r="F174" s="113" t="n"/>
      <c r="G174" s="72" t="n"/>
      <c r="H174" s="74" t="n"/>
      <c r="I174" s="73" t="n"/>
      <c r="J174" s="113" t="n"/>
      <c r="K174" s="109" t="n"/>
      <c r="L174" s="72" t="n"/>
      <c r="M174" s="109" t="n"/>
      <c r="N174" s="72" t="n"/>
      <c r="O174" s="79">
        <f>IF(AND(F174&lt;&gt;"",L174&lt;&gt;"Resolved"),1,0)</f>
        <v/>
      </c>
      <c r="P174" s="79">
        <f>IF(F174="","",IF(O174=0,0,IF(H174="High",2,1)))</f>
        <v/>
      </c>
      <c r="Q174" s="112">
        <f>IF(O174=1,IF(K174&lt;&gt;"",K174,IF(H174="High",AsOf,"")),"")</f>
        <v/>
      </c>
      <c r="R174" s="79">
        <f>IF(Q174="","",IF(H174="High",1,IF(Q174="","",IF(Q174&lt;AsOf,1,IF(Q174&lt;=AsOf+AlertDays,2,IF(Q174&lt;=AsOf+2*AlertDays,3,""))))))</f>
        <v/>
      </c>
      <c r="S174" s="79">
        <f>IF(R174="","",IF(H174="High","High-severity issue: ",IF(C174="Punch item","Punch item: ","Issue action due: "))&amp;F174&amp;IF(J174="",""," → "&amp;J174))</f>
        <v/>
      </c>
      <c r="T174" s="79">
        <f>IF(O174=1,IF(I174="",0,I174),0)</f>
        <v/>
      </c>
      <c r="U174" s="79">
        <f>IF(AND(O174=1,H174="High"),1,0)</f>
        <v/>
      </c>
      <c r="V174" s="79">
        <f>IF(AND(O174=1,C174="Punch item"),1,0)</f>
        <v/>
      </c>
    </row>
    <row r="175" ht="24" customHeight="1">
      <c r="B175" s="125" t="n">
        <v>168</v>
      </c>
      <c r="C175" s="72" t="n"/>
      <c r="D175" s="109" t="n"/>
      <c r="E175" s="72" t="n"/>
      <c r="F175" s="113" t="n"/>
      <c r="G175" s="72" t="n"/>
      <c r="H175" s="74" t="n"/>
      <c r="I175" s="73" t="n"/>
      <c r="J175" s="113" t="n"/>
      <c r="K175" s="109" t="n"/>
      <c r="L175" s="72" t="n"/>
      <c r="M175" s="109" t="n"/>
      <c r="N175" s="72" t="n"/>
      <c r="O175" s="79">
        <f>IF(AND(F175&lt;&gt;"",L175&lt;&gt;"Resolved"),1,0)</f>
        <v/>
      </c>
      <c r="P175" s="79">
        <f>IF(F175="","",IF(O175=0,0,IF(H175="High",2,1)))</f>
        <v/>
      </c>
      <c r="Q175" s="112">
        <f>IF(O175=1,IF(K175&lt;&gt;"",K175,IF(H175="High",AsOf,"")),"")</f>
        <v/>
      </c>
      <c r="R175" s="79">
        <f>IF(Q175="","",IF(H175="High",1,IF(Q175="","",IF(Q175&lt;AsOf,1,IF(Q175&lt;=AsOf+AlertDays,2,IF(Q175&lt;=AsOf+2*AlertDays,3,""))))))</f>
        <v/>
      </c>
      <c r="S175" s="79">
        <f>IF(R175="","",IF(H175="High","High-severity issue: ",IF(C175="Punch item","Punch item: ","Issue action due: "))&amp;F175&amp;IF(J175="",""," → "&amp;J175))</f>
        <v/>
      </c>
      <c r="T175" s="79">
        <f>IF(O175=1,IF(I175="",0,I175),0)</f>
        <v/>
      </c>
      <c r="U175" s="79">
        <f>IF(AND(O175=1,H175="High"),1,0)</f>
        <v/>
      </c>
      <c r="V175" s="79">
        <f>IF(AND(O175=1,C175="Punch item"),1,0)</f>
        <v/>
      </c>
    </row>
    <row r="176" ht="24" customHeight="1">
      <c r="B176" s="125" t="n">
        <v>169</v>
      </c>
      <c r="C176" s="72" t="n"/>
      <c r="D176" s="109" t="n"/>
      <c r="E176" s="72" t="n"/>
      <c r="F176" s="113" t="n"/>
      <c r="G176" s="72" t="n"/>
      <c r="H176" s="74" t="n"/>
      <c r="I176" s="73" t="n"/>
      <c r="J176" s="113" t="n"/>
      <c r="K176" s="109" t="n"/>
      <c r="L176" s="72" t="n"/>
      <c r="M176" s="109" t="n"/>
      <c r="N176" s="72" t="n"/>
      <c r="O176" s="79">
        <f>IF(AND(F176&lt;&gt;"",L176&lt;&gt;"Resolved"),1,0)</f>
        <v/>
      </c>
      <c r="P176" s="79">
        <f>IF(F176="","",IF(O176=0,0,IF(H176="High",2,1)))</f>
        <v/>
      </c>
      <c r="Q176" s="112">
        <f>IF(O176=1,IF(K176&lt;&gt;"",K176,IF(H176="High",AsOf,"")),"")</f>
        <v/>
      </c>
      <c r="R176" s="79">
        <f>IF(Q176="","",IF(H176="High",1,IF(Q176="","",IF(Q176&lt;AsOf,1,IF(Q176&lt;=AsOf+AlertDays,2,IF(Q176&lt;=AsOf+2*AlertDays,3,""))))))</f>
        <v/>
      </c>
      <c r="S176" s="79">
        <f>IF(R176="","",IF(H176="High","High-severity issue: ",IF(C176="Punch item","Punch item: ","Issue action due: "))&amp;F176&amp;IF(J176="",""," → "&amp;J176))</f>
        <v/>
      </c>
      <c r="T176" s="79">
        <f>IF(O176=1,IF(I176="",0,I176),0)</f>
        <v/>
      </c>
      <c r="U176" s="79">
        <f>IF(AND(O176=1,H176="High"),1,0)</f>
        <v/>
      </c>
      <c r="V176" s="79">
        <f>IF(AND(O176=1,C176="Punch item"),1,0)</f>
        <v/>
      </c>
    </row>
    <row r="177" ht="24" customHeight="1">
      <c r="B177" s="125" t="n">
        <v>170</v>
      </c>
      <c r="C177" s="72" t="n"/>
      <c r="D177" s="109" t="n"/>
      <c r="E177" s="72" t="n"/>
      <c r="F177" s="113" t="n"/>
      <c r="G177" s="72" t="n"/>
      <c r="H177" s="74" t="n"/>
      <c r="I177" s="73" t="n"/>
      <c r="J177" s="113" t="n"/>
      <c r="K177" s="109" t="n"/>
      <c r="L177" s="72" t="n"/>
      <c r="M177" s="109" t="n"/>
      <c r="N177" s="72" t="n"/>
      <c r="O177" s="79">
        <f>IF(AND(F177&lt;&gt;"",L177&lt;&gt;"Resolved"),1,0)</f>
        <v/>
      </c>
      <c r="P177" s="79">
        <f>IF(F177="","",IF(O177=0,0,IF(H177="High",2,1)))</f>
        <v/>
      </c>
      <c r="Q177" s="112">
        <f>IF(O177=1,IF(K177&lt;&gt;"",K177,IF(H177="High",AsOf,"")),"")</f>
        <v/>
      </c>
      <c r="R177" s="79">
        <f>IF(Q177="","",IF(H177="High",1,IF(Q177="","",IF(Q177&lt;AsOf,1,IF(Q177&lt;=AsOf+AlertDays,2,IF(Q177&lt;=AsOf+2*AlertDays,3,""))))))</f>
        <v/>
      </c>
      <c r="S177" s="79">
        <f>IF(R177="","",IF(H177="High","High-severity issue: ",IF(C177="Punch item","Punch item: ","Issue action due: "))&amp;F177&amp;IF(J177="",""," → "&amp;J177))</f>
        <v/>
      </c>
      <c r="T177" s="79">
        <f>IF(O177=1,IF(I177="",0,I177),0)</f>
        <v/>
      </c>
      <c r="U177" s="79">
        <f>IF(AND(O177=1,H177="High"),1,0)</f>
        <v/>
      </c>
      <c r="V177" s="79">
        <f>IF(AND(O177=1,C177="Punch item"),1,0)</f>
        <v/>
      </c>
    </row>
    <row r="178" ht="24" customHeight="1">
      <c r="B178" s="125" t="n">
        <v>171</v>
      </c>
      <c r="C178" s="72" t="n"/>
      <c r="D178" s="109" t="n"/>
      <c r="E178" s="72" t="n"/>
      <c r="F178" s="113" t="n"/>
      <c r="G178" s="72" t="n"/>
      <c r="H178" s="74" t="n"/>
      <c r="I178" s="73" t="n"/>
      <c r="J178" s="113" t="n"/>
      <c r="K178" s="109" t="n"/>
      <c r="L178" s="72" t="n"/>
      <c r="M178" s="109" t="n"/>
      <c r="N178" s="72" t="n"/>
      <c r="O178" s="79">
        <f>IF(AND(F178&lt;&gt;"",L178&lt;&gt;"Resolved"),1,0)</f>
        <v/>
      </c>
      <c r="P178" s="79">
        <f>IF(F178="","",IF(O178=0,0,IF(H178="High",2,1)))</f>
        <v/>
      </c>
      <c r="Q178" s="112">
        <f>IF(O178=1,IF(K178&lt;&gt;"",K178,IF(H178="High",AsOf,"")),"")</f>
        <v/>
      </c>
      <c r="R178" s="79">
        <f>IF(Q178="","",IF(H178="High",1,IF(Q178="","",IF(Q178&lt;AsOf,1,IF(Q178&lt;=AsOf+AlertDays,2,IF(Q178&lt;=AsOf+2*AlertDays,3,""))))))</f>
        <v/>
      </c>
      <c r="S178" s="79">
        <f>IF(R178="","",IF(H178="High","High-severity issue: ",IF(C178="Punch item","Punch item: ","Issue action due: "))&amp;F178&amp;IF(J178="",""," → "&amp;J178))</f>
        <v/>
      </c>
      <c r="T178" s="79">
        <f>IF(O178=1,IF(I178="",0,I178),0)</f>
        <v/>
      </c>
      <c r="U178" s="79">
        <f>IF(AND(O178=1,H178="High"),1,0)</f>
        <v/>
      </c>
      <c r="V178" s="79">
        <f>IF(AND(O178=1,C178="Punch item"),1,0)</f>
        <v/>
      </c>
    </row>
    <row r="179" ht="24" customHeight="1">
      <c r="B179" s="125" t="n">
        <v>172</v>
      </c>
      <c r="C179" s="72" t="n"/>
      <c r="D179" s="109" t="n"/>
      <c r="E179" s="72" t="n"/>
      <c r="F179" s="113" t="n"/>
      <c r="G179" s="72" t="n"/>
      <c r="H179" s="74" t="n"/>
      <c r="I179" s="73" t="n"/>
      <c r="J179" s="113" t="n"/>
      <c r="K179" s="109" t="n"/>
      <c r="L179" s="72" t="n"/>
      <c r="M179" s="109" t="n"/>
      <c r="N179" s="72" t="n"/>
      <c r="O179" s="79">
        <f>IF(AND(F179&lt;&gt;"",L179&lt;&gt;"Resolved"),1,0)</f>
        <v/>
      </c>
      <c r="P179" s="79">
        <f>IF(F179="","",IF(O179=0,0,IF(H179="High",2,1)))</f>
        <v/>
      </c>
      <c r="Q179" s="112">
        <f>IF(O179=1,IF(K179&lt;&gt;"",K179,IF(H179="High",AsOf,"")),"")</f>
        <v/>
      </c>
      <c r="R179" s="79">
        <f>IF(Q179="","",IF(H179="High",1,IF(Q179="","",IF(Q179&lt;AsOf,1,IF(Q179&lt;=AsOf+AlertDays,2,IF(Q179&lt;=AsOf+2*AlertDays,3,""))))))</f>
        <v/>
      </c>
      <c r="S179" s="79">
        <f>IF(R179="","",IF(H179="High","High-severity issue: ",IF(C179="Punch item","Punch item: ","Issue action due: "))&amp;F179&amp;IF(J179="",""," → "&amp;J179))</f>
        <v/>
      </c>
      <c r="T179" s="79">
        <f>IF(O179=1,IF(I179="",0,I179),0)</f>
        <v/>
      </c>
      <c r="U179" s="79">
        <f>IF(AND(O179=1,H179="High"),1,0)</f>
        <v/>
      </c>
      <c r="V179" s="79">
        <f>IF(AND(O179=1,C179="Punch item"),1,0)</f>
        <v/>
      </c>
    </row>
    <row r="180" ht="24" customHeight="1">
      <c r="B180" s="125" t="n">
        <v>173</v>
      </c>
      <c r="C180" s="72" t="n"/>
      <c r="D180" s="109" t="n"/>
      <c r="E180" s="72" t="n"/>
      <c r="F180" s="113" t="n"/>
      <c r="G180" s="72" t="n"/>
      <c r="H180" s="74" t="n"/>
      <c r="I180" s="73" t="n"/>
      <c r="J180" s="113" t="n"/>
      <c r="K180" s="109" t="n"/>
      <c r="L180" s="72" t="n"/>
      <c r="M180" s="109" t="n"/>
      <c r="N180" s="72" t="n"/>
      <c r="O180" s="79">
        <f>IF(AND(F180&lt;&gt;"",L180&lt;&gt;"Resolved"),1,0)</f>
        <v/>
      </c>
      <c r="P180" s="79">
        <f>IF(F180="","",IF(O180=0,0,IF(H180="High",2,1)))</f>
        <v/>
      </c>
      <c r="Q180" s="112">
        <f>IF(O180=1,IF(K180&lt;&gt;"",K180,IF(H180="High",AsOf,"")),"")</f>
        <v/>
      </c>
      <c r="R180" s="79">
        <f>IF(Q180="","",IF(H180="High",1,IF(Q180="","",IF(Q180&lt;AsOf,1,IF(Q180&lt;=AsOf+AlertDays,2,IF(Q180&lt;=AsOf+2*AlertDays,3,""))))))</f>
        <v/>
      </c>
      <c r="S180" s="79">
        <f>IF(R180="","",IF(H180="High","High-severity issue: ",IF(C180="Punch item","Punch item: ","Issue action due: "))&amp;F180&amp;IF(J180="",""," → "&amp;J180))</f>
        <v/>
      </c>
      <c r="T180" s="79">
        <f>IF(O180=1,IF(I180="",0,I180),0)</f>
        <v/>
      </c>
      <c r="U180" s="79">
        <f>IF(AND(O180=1,H180="High"),1,0)</f>
        <v/>
      </c>
      <c r="V180" s="79">
        <f>IF(AND(O180=1,C180="Punch item"),1,0)</f>
        <v/>
      </c>
    </row>
    <row r="181" ht="24" customHeight="1">
      <c r="B181" s="125" t="n">
        <v>174</v>
      </c>
      <c r="C181" s="72" t="n"/>
      <c r="D181" s="109" t="n"/>
      <c r="E181" s="72" t="n"/>
      <c r="F181" s="113" t="n"/>
      <c r="G181" s="72" t="n"/>
      <c r="H181" s="74" t="n"/>
      <c r="I181" s="73" t="n"/>
      <c r="J181" s="113" t="n"/>
      <c r="K181" s="109" t="n"/>
      <c r="L181" s="72" t="n"/>
      <c r="M181" s="109" t="n"/>
      <c r="N181" s="72" t="n"/>
      <c r="O181" s="79">
        <f>IF(AND(F181&lt;&gt;"",L181&lt;&gt;"Resolved"),1,0)</f>
        <v/>
      </c>
      <c r="P181" s="79">
        <f>IF(F181="","",IF(O181=0,0,IF(H181="High",2,1)))</f>
        <v/>
      </c>
      <c r="Q181" s="112">
        <f>IF(O181=1,IF(K181&lt;&gt;"",K181,IF(H181="High",AsOf,"")),"")</f>
        <v/>
      </c>
      <c r="R181" s="79">
        <f>IF(Q181="","",IF(H181="High",1,IF(Q181="","",IF(Q181&lt;AsOf,1,IF(Q181&lt;=AsOf+AlertDays,2,IF(Q181&lt;=AsOf+2*AlertDays,3,""))))))</f>
        <v/>
      </c>
      <c r="S181" s="79">
        <f>IF(R181="","",IF(H181="High","High-severity issue: ",IF(C181="Punch item","Punch item: ","Issue action due: "))&amp;F181&amp;IF(J181="",""," → "&amp;J181))</f>
        <v/>
      </c>
      <c r="T181" s="79">
        <f>IF(O181=1,IF(I181="",0,I181),0)</f>
        <v/>
      </c>
      <c r="U181" s="79">
        <f>IF(AND(O181=1,H181="High"),1,0)</f>
        <v/>
      </c>
      <c r="V181" s="79">
        <f>IF(AND(O181=1,C181="Punch item"),1,0)</f>
        <v/>
      </c>
    </row>
    <row r="182" ht="24" customHeight="1">
      <c r="B182" s="125" t="n">
        <v>175</v>
      </c>
      <c r="C182" s="72" t="n"/>
      <c r="D182" s="109" t="n"/>
      <c r="E182" s="72" t="n"/>
      <c r="F182" s="113" t="n"/>
      <c r="G182" s="72" t="n"/>
      <c r="H182" s="74" t="n"/>
      <c r="I182" s="73" t="n"/>
      <c r="J182" s="113" t="n"/>
      <c r="K182" s="109" t="n"/>
      <c r="L182" s="72" t="n"/>
      <c r="M182" s="109" t="n"/>
      <c r="N182" s="72" t="n"/>
      <c r="O182" s="79">
        <f>IF(AND(F182&lt;&gt;"",L182&lt;&gt;"Resolved"),1,0)</f>
        <v/>
      </c>
      <c r="P182" s="79">
        <f>IF(F182="","",IF(O182=0,0,IF(H182="High",2,1)))</f>
        <v/>
      </c>
      <c r="Q182" s="112">
        <f>IF(O182=1,IF(K182&lt;&gt;"",K182,IF(H182="High",AsOf,"")),"")</f>
        <v/>
      </c>
      <c r="R182" s="79">
        <f>IF(Q182="","",IF(H182="High",1,IF(Q182="","",IF(Q182&lt;AsOf,1,IF(Q182&lt;=AsOf+AlertDays,2,IF(Q182&lt;=AsOf+2*AlertDays,3,""))))))</f>
        <v/>
      </c>
      <c r="S182" s="79">
        <f>IF(R182="","",IF(H182="High","High-severity issue: ",IF(C182="Punch item","Punch item: ","Issue action due: "))&amp;F182&amp;IF(J182="",""," → "&amp;J182))</f>
        <v/>
      </c>
      <c r="T182" s="79">
        <f>IF(O182=1,IF(I182="",0,I182),0)</f>
        <v/>
      </c>
      <c r="U182" s="79">
        <f>IF(AND(O182=1,H182="High"),1,0)</f>
        <v/>
      </c>
      <c r="V182" s="79">
        <f>IF(AND(O182=1,C182="Punch item"),1,0)</f>
        <v/>
      </c>
    </row>
    <row r="183" ht="24" customHeight="1">
      <c r="B183" s="125" t="n">
        <v>176</v>
      </c>
      <c r="C183" s="72" t="n"/>
      <c r="D183" s="109" t="n"/>
      <c r="E183" s="72" t="n"/>
      <c r="F183" s="113" t="n"/>
      <c r="G183" s="72" t="n"/>
      <c r="H183" s="74" t="n"/>
      <c r="I183" s="73" t="n"/>
      <c r="J183" s="113" t="n"/>
      <c r="K183" s="109" t="n"/>
      <c r="L183" s="72" t="n"/>
      <c r="M183" s="109" t="n"/>
      <c r="N183" s="72" t="n"/>
      <c r="O183" s="79">
        <f>IF(AND(F183&lt;&gt;"",L183&lt;&gt;"Resolved"),1,0)</f>
        <v/>
      </c>
      <c r="P183" s="79">
        <f>IF(F183="","",IF(O183=0,0,IF(H183="High",2,1)))</f>
        <v/>
      </c>
      <c r="Q183" s="112">
        <f>IF(O183=1,IF(K183&lt;&gt;"",K183,IF(H183="High",AsOf,"")),"")</f>
        <v/>
      </c>
      <c r="R183" s="79">
        <f>IF(Q183="","",IF(H183="High",1,IF(Q183="","",IF(Q183&lt;AsOf,1,IF(Q183&lt;=AsOf+AlertDays,2,IF(Q183&lt;=AsOf+2*AlertDays,3,""))))))</f>
        <v/>
      </c>
      <c r="S183" s="79">
        <f>IF(R183="","",IF(H183="High","High-severity issue: ",IF(C183="Punch item","Punch item: ","Issue action due: "))&amp;F183&amp;IF(J183="",""," → "&amp;J183))</f>
        <v/>
      </c>
      <c r="T183" s="79">
        <f>IF(O183=1,IF(I183="",0,I183),0)</f>
        <v/>
      </c>
      <c r="U183" s="79">
        <f>IF(AND(O183=1,H183="High"),1,0)</f>
        <v/>
      </c>
      <c r="V183" s="79">
        <f>IF(AND(O183=1,C183="Punch item"),1,0)</f>
        <v/>
      </c>
    </row>
    <row r="184" ht="24" customHeight="1">
      <c r="B184" s="125" t="n">
        <v>177</v>
      </c>
      <c r="C184" s="72" t="n"/>
      <c r="D184" s="109" t="n"/>
      <c r="E184" s="72" t="n"/>
      <c r="F184" s="113" t="n"/>
      <c r="G184" s="72" t="n"/>
      <c r="H184" s="74" t="n"/>
      <c r="I184" s="73" t="n"/>
      <c r="J184" s="113" t="n"/>
      <c r="K184" s="109" t="n"/>
      <c r="L184" s="72" t="n"/>
      <c r="M184" s="109" t="n"/>
      <c r="N184" s="72" t="n"/>
      <c r="O184" s="79">
        <f>IF(AND(F184&lt;&gt;"",L184&lt;&gt;"Resolved"),1,0)</f>
        <v/>
      </c>
      <c r="P184" s="79">
        <f>IF(F184="","",IF(O184=0,0,IF(H184="High",2,1)))</f>
        <v/>
      </c>
      <c r="Q184" s="112">
        <f>IF(O184=1,IF(K184&lt;&gt;"",K184,IF(H184="High",AsOf,"")),"")</f>
        <v/>
      </c>
      <c r="R184" s="79">
        <f>IF(Q184="","",IF(H184="High",1,IF(Q184="","",IF(Q184&lt;AsOf,1,IF(Q184&lt;=AsOf+AlertDays,2,IF(Q184&lt;=AsOf+2*AlertDays,3,""))))))</f>
        <v/>
      </c>
      <c r="S184" s="79">
        <f>IF(R184="","",IF(H184="High","High-severity issue: ",IF(C184="Punch item","Punch item: ","Issue action due: "))&amp;F184&amp;IF(J184="",""," → "&amp;J184))</f>
        <v/>
      </c>
      <c r="T184" s="79">
        <f>IF(O184=1,IF(I184="",0,I184),0)</f>
        <v/>
      </c>
      <c r="U184" s="79">
        <f>IF(AND(O184=1,H184="High"),1,0)</f>
        <v/>
      </c>
      <c r="V184" s="79">
        <f>IF(AND(O184=1,C184="Punch item"),1,0)</f>
        <v/>
      </c>
    </row>
    <row r="185" ht="24" customHeight="1">
      <c r="B185" s="125" t="n">
        <v>178</v>
      </c>
      <c r="C185" s="72" t="n"/>
      <c r="D185" s="109" t="n"/>
      <c r="E185" s="72" t="n"/>
      <c r="F185" s="113" t="n"/>
      <c r="G185" s="72" t="n"/>
      <c r="H185" s="74" t="n"/>
      <c r="I185" s="73" t="n"/>
      <c r="J185" s="113" t="n"/>
      <c r="K185" s="109" t="n"/>
      <c r="L185" s="72" t="n"/>
      <c r="M185" s="109" t="n"/>
      <c r="N185" s="72" t="n"/>
      <c r="O185" s="79">
        <f>IF(AND(F185&lt;&gt;"",L185&lt;&gt;"Resolved"),1,0)</f>
        <v/>
      </c>
      <c r="P185" s="79">
        <f>IF(F185="","",IF(O185=0,0,IF(H185="High",2,1)))</f>
        <v/>
      </c>
      <c r="Q185" s="112">
        <f>IF(O185=1,IF(K185&lt;&gt;"",K185,IF(H185="High",AsOf,"")),"")</f>
        <v/>
      </c>
      <c r="R185" s="79">
        <f>IF(Q185="","",IF(H185="High",1,IF(Q185="","",IF(Q185&lt;AsOf,1,IF(Q185&lt;=AsOf+AlertDays,2,IF(Q185&lt;=AsOf+2*AlertDays,3,""))))))</f>
        <v/>
      </c>
      <c r="S185" s="79">
        <f>IF(R185="","",IF(H185="High","High-severity issue: ",IF(C185="Punch item","Punch item: ","Issue action due: "))&amp;F185&amp;IF(J185="",""," → "&amp;J185))</f>
        <v/>
      </c>
      <c r="T185" s="79">
        <f>IF(O185=1,IF(I185="",0,I185),0)</f>
        <v/>
      </c>
      <c r="U185" s="79">
        <f>IF(AND(O185=1,H185="High"),1,0)</f>
        <v/>
      </c>
      <c r="V185" s="79">
        <f>IF(AND(O185=1,C185="Punch item"),1,0)</f>
        <v/>
      </c>
    </row>
    <row r="186" ht="24" customHeight="1">
      <c r="B186" s="125" t="n">
        <v>179</v>
      </c>
      <c r="C186" s="72" t="n"/>
      <c r="D186" s="109" t="n"/>
      <c r="E186" s="72" t="n"/>
      <c r="F186" s="113" t="n"/>
      <c r="G186" s="72" t="n"/>
      <c r="H186" s="74" t="n"/>
      <c r="I186" s="73" t="n"/>
      <c r="J186" s="113" t="n"/>
      <c r="K186" s="109" t="n"/>
      <c r="L186" s="72" t="n"/>
      <c r="M186" s="109" t="n"/>
      <c r="N186" s="72" t="n"/>
      <c r="O186" s="79">
        <f>IF(AND(F186&lt;&gt;"",L186&lt;&gt;"Resolved"),1,0)</f>
        <v/>
      </c>
      <c r="P186" s="79">
        <f>IF(F186="","",IF(O186=0,0,IF(H186="High",2,1)))</f>
        <v/>
      </c>
      <c r="Q186" s="112">
        <f>IF(O186=1,IF(K186&lt;&gt;"",K186,IF(H186="High",AsOf,"")),"")</f>
        <v/>
      </c>
      <c r="R186" s="79">
        <f>IF(Q186="","",IF(H186="High",1,IF(Q186="","",IF(Q186&lt;AsOf,1,IF(Q186&lt;=AsOf+AlertDays,2,IF(Q186&lt;=AsOf+2*AlertDays,3,""))))))</f>
        <v/>
      </c>
      <c r="S186" s="79">
        <f>IF(R186="","",IF(H186="High","High-severity issue: ",IF(C186="Punch item","Punch item: ","Issue action due: "))&amp;F186&amp;IF(J186="",""," → "&amp;J186))</f>
        <v/>
      </c>
      <c r="T186" s="79">
        <f>IF(O186=1,IF(I186="",0,I186),0)</f>
        <v/>
      </c>
      <c r="U186" s="79">
        <f>IF(AND(O186=1,H186="High"),1,0)</f>
        <v/>
      </c>
      <c r="V186" s="79">
        <f>IF(AND(O186=1,C186="Punch item"),1,0)</f>
        <v/>
      </c>
    </row>
    <row r="187" ht="24" customHeight="1">
      <c r="B187" s="125" t="n">
        <v>180</v>
      </c>
      <c r="C187" s="72" t="n"/>
      <c r="D187" s="109" t="n"/>
      <c r="E187" s="72" t="n"/>
      <c r="F187" s="113" t="n"/>
      <c r="G187" s="72" t="n"/>
      <c r="H187" s="74" t="n"/>
      <c r="I187" s="73" t="n"/>
      <c r="J187" s="113" t="n"/>
      <c r="K187" s="109" t="n"/>
      <c r="L187" s="72" t="n"/>
      <c r="M187" s="109" t="n"/>
      <c r="N187" s="72" t="n"/>
      <c r="O187" s="79">
        <f>IF(AND(F187&lt;&gt;"",L187&lt;&gt;"Resolved"),1,0)</f>
        <v/>
      </c>
      <c r="P187" s="79">
        <f>IF(F187="","",IF(O187=0,0,IF(H187="High",2,1)))</f>
        <v/>
      </c>
      <c r="Q187" s="112">
        <f>IF(O187=1,IF(K187&lt;&gt;"",K187,IF(H187="High",AsOf,"")),"")</f>
        <v/>
      </c>
      <c r="R187" s="79">
        <f>IF(Q187="","",IF(H187="High",1,IF(Q187="","",IF(Q187&lt;AsOf,1,IF(Q187&lt;=AsOf+AlertDays,2,IF(Q187&lt;=AsOf+2*AlertDays,3,""))))))</f>
        <v/>
      </c>
      <c r="S187" s="79">
        <f>IF(R187="","",IF(H187="High","High-severity issue: ",IF(C187="Punch item","Punch item: ","Issue action due: "))&amp;F187&amp;IF(J187="",""," → "&amp;J187))</f>
        <v/>
      </c>
      <c r="T187" s="79">
        <f>IF(O187=1,IF(I187="",0,I187),0)</f>
        <v/>
      </c>
      <c r="U187" s="79">
        <f>IF(AND(O187=1,H187="High"),1,0)</f>
        <v/>
      </c>
      <c r="V187" s="79">
        <f>IF(AND(O187=1,C187="Punch item"),1,0)</f>
        <v/>
      </c>
    </row>
    <row r="188" ht="24" customHeight="1">
      <c r="B188" s="125" t="n">
        <v>181</v>
      </c>
      <c r="C188" s="72" t="n"/>
      <c r="D188" s="109" t="n"/>
      <c r="E188" s="72" t="n"/>
      <c r="F188" s="113" t="n"/>
      <c r="G188" s="72" t="n"/>
      <c r="H188" s="74" t="n"/>
      <c r="I188" s="73" t="n"/>
      <c r="J188" s="113" t="n"/>
      <c r="K188" s="109" t="n"/>
      <c r="L188" s="72" t="n"/>
      <c r="M188" s="109" t="n"/>
      <c r="N188" s="72" t="n"/>
      <c r="O188" s="79">
        <f>IF(AND(F188&lt;&gt;"",L188&lt;&gt;"Resolved"),1,0)</f>
        <v/>
      </c>
      <c r="P188" s="79">
        <f>IF(F188="","",IF(O188=0,0,IF(H188="High",2,1)))</f>
        <v/>
      </c>
      <c r="Q188" s="112">
        <f>IF(O188=1,IF(K188&lt;&gt;"",K188,IF(H188="High",AsOf,"")),"")</f>
        <v/>
      </c>
      <c r="R188" s="79">
        <f>IF(Q188="","",IF(H188="High",1,IF(Q188="","",IF(Q188&lt;AsOf,1,IF(Q188&lt;=AsOf+AlertDays,2,IF(Q188&lt;=AsOf+2*AlertDays,3,""))))))</f>
        <v/>
      </c>
      <c r="S188" s="79">
        <f>IF(R188="","",IF(H188="High","High-severity issue: ",IF(C188="Punch item","Punch item: ","Issue action due: "))&amp;F188&amp;IF(J188="",""," → "&amp;J188))</f>
        <v/>
      </c>
      <c r="T188" s="79">
        <f>IF(O188=1,IF(I188="",0,I188),0)</f>
        <v/>
      </c>
      <c r="U188" s="79">
        <f>IF(AND(O188=1,H188="High"),1,0)</f>
        <v/>
      </c>
      <c r="V188" s="79">
        <f>IF(AND(O188=1,C188="Punch item"),1,0)</f>
        <v/>
      </c>
    </row>
    <row r="189" ht="24" customHeight="1">
      <c r="B189" s="125" t="n">
        <v>182</v>
      </c>
      <c r="C189" s="72" t="n"/>
      <c r="D189" s="109" t="n"/>
      <c r="E189" s="72" t="n"/>
      <c r="F189" s="113" t="n"/>
      <c r="G189" s="72" t="n"/>
      <c r="H189" s="74" t="n"/>
      <c r="I189" s="73" t="n"/>
      <c r="J189" s="113" t="n"/>
      <c r="K189" s="109" t="n"/>
      <c r="L189" s="72" t="n"/>
      <c r="M189" s="109" t="n"/>
      <c r="N189" s="72" t="n"/>
      <c r="O189" s="79">
        <f>IF(AND(F189&lt;&gt;"",L189&lt;&gt;"Resolved"),1,0)</f>
        <v/>
      </c>
      <c r="P189" s="79">
        <f>IF(F189="","",IF(O189=0,0,IF(H189="High",2,1)))</f>
        <v/>
      </c>
      <c r="Q189" s="112">
        <f>IF(O189=1,IF(K189&lt;&gt;"",K189,IF(H189="High",AsOf,"")),"")</f>
        <v/>
      </c>
      <c r="R189" s="79">
        <f>IF(Q189="","",IF(H189="High",1,IF(Q189="","",IF(Q189&lt;AsOf,1,IF(Q189&lt;=AsOf+AlertDays,2,IF(Q189&lt;=AsOf+2*AlertDays,3,""))))))</f>
        <v/>
      </c>
      <c r="S189" s="79">
        <f>IF(R189="","",IF(H189="High","High-severity issue: ",IF(C189="Punch item","Punch item: ","Issue action due: "))&amp;F189&amp;IF(J189="",""," → "&amp;J189))</f>
        <v/>
      </c>
      <c r="T189" s="79">
        <f>IF(O189=1,IF(I189="",0,I189),0)</f>
        <v/>
      </c>
      <c r="U189" s="79">
        <f>IF(AND(O189=1,H189="High"),1,0)</f>
        <v/>
      </c>
      <c r="V189" s="79">
        <f>IF(AND(O189=1,C189="Punch item"),1,0)</f>
        <v/>
      </c>
    </row>
    <row r="190" ht="24" customHeight="1">
      <c r="B190" s="125" t="n">
        <v>183</v>
      </c>
      <c r="C190" s="72" t="n"/>
      <c r="D190" s="109" t="n"/>
      <c r="E190" s="72" t="n"/>
      <c r="F190" s="113" t="n"/>
      <c r="G190" s="72" t="n"/>
      <c r="H190" s="74" t="n"/>
      <c r="I190" s="73" t="n"/>
      <c r="J190" s="113" t="n"/>
      <c r="K190" s="109" t="n"/>
      <c r="L190" s="72" t="n"/>
      <c r="M190" s="109" t="n"/>
      <c r="N190" s="72" t="n"/>
      <c r="O190" s="79">
        <f>IF(AND(F190&lt;&gt;"",L190&lt;&gt;"Resolved"),1,0)</f>
        <v/>
      </c>
      <c r="P190" s="79">
        <f>IF(F190="","",IF(O190=0,0,IF(H190="High",2,1)))</f>
        <v/>
      </c>
      <c r="Q190" s="112">
        <f>IF(O190=1,IF(K190&lt;&gt;"",K190,IF(H190="High",AsOf,"")),"")</f>
        <v/>
      </c>
      <c r="R190" s="79">
        <f>IF(Q190="","",IF(H190="High",1,IF(Q190="","",IF(Q190&lt;AsOf,1,IF(Q190&lt;=AsOf+AlertDays,2,IF(Q190&lt;=AsOf+2*AlertDays,3,""))))))</f>
        <v/>
      </c>
      <c r="S190" s="79">
        <f>IF(R190="","",IF(H190="High","High-severity issue: ",IF(C190="Punch item","Punch item: ","Issue action due: "))&amp;F190&amp;IF(J190="",""," → "&amp;J190))</f>
        <v/>
      </c>
      <c r="T190" s="79">
        <f>IF(O190=1,IF(I190="",0,I190),0)</f>
        <v/>
      </c>
      <c r="U190" s="79">
        <f>IF(AND(O190=1,H190="High"),1,0)</f>
        <v/>
      </c>
      <c r="V190" s="79">
        <f>IF(AND(O190=1,C190="Punch item"),1,0)</f>
        <v/>
      </c>
    </row>
    <row r="191" ht="24" customHeight="1">
      <c r="B191" s="125" t="n">
        <v>184</v>
      </c>
      <c r="C191" s="72" t="n"/>
      <c r="D191" s="109" t="n"/>
      <c r="E191" s="72" t="n"/>
      <c r="F191" s="113" t="n"/>
      <c r="G191" s="72" t="n"/>
      <c r="H191" s="74" t="n"/>
      <c r="I191" s="73" t="n"/>
      <c r="J191" s="113" t="n"/>
      <c r="K191" s="109" t="n"/>
      <c r="L191" s="72" t="n"/>
      <c r="M191" s="109" t="n"/>
      <c r="N191" s="72" t="n"/>
      <c r="O191" s="79">
        <f>IF(AND(F191&lt;&gt;"",L191&lt;&gt;"Resolved"),1,0)</f>
        <v/>
      </c>
      <c r="P191" s="79">
        <f>IF(F191="","",IF(O191=0,0,IF(H191="High",2,1)))</f>
        <v/>
      </c>
      <c r="Q191" s="112">
        <f>IF(O191=1,IF(K191&lt;&gt;"",K191,IF(H191="High",AsOf,"")),"")</f>
        <v/>
      </c>
      <c r="R191" s="79">
        <f>IF(Q191="","",IF(H191="High",1,IF(Q191="","",IF(Q191&lt;AsOf,1,IF(Q191&lt;=AsOf+AlertDays,2,IF(Q191&lt;=AsOf+2*AlertDays,3,""))))))</f>
        <v/>
      </c>
      <c r="S191" s="79">
        <f>IF(R191="","",IF(H191="High","High-severity issue: ",IF(C191="Punch item","Punch item: ","Issue action due: "))&amp;F191&amp;IF(J191="",""," → "&amp;J191))</f>
        <v/>
      </c>
      <c r="T191" s="79">
        <f>IF(O191=1,IF(I191="",0,I191),0)</f>
        <v/>
      </c>
      <c r="U191" s="79">
        <f>IF(AND(O191=1,H191="High"),1,0)</f>
        <v/>
      </c>
      <c r="V191" s="79">
        <f>IF(AND(O191=1,C191="Punch item"),1,0)</f>
        <v/>
      </c>
    </row>
    <row r="192" ht="24" customHeight="1">
      <c r="B192" s="125" t="n">
        <v>185</v>
      </c>
      <c r="C192" s="72" t="n"/>
      <c r="D192" s="109" t="n"/>
      <c r="E192" s="72" t="n"/>
      <c r="F192" s="113" t="n"/>
      <c r="G192" s="72" t="n"/>
      <c r="H192" s="74" t="n"/>
      <c r="I192" s="73" t="n"/>
      <c r="J192" s="113" t="n"/>
      <c r="K192" s="109" t="n"/>
      <c r="L192" s="72" t="n"/>
      <c r="M192" s="109" t="n"/>
      <c r="N192" s="72" t="n"/>
      <c r="O192" s="79">
        <f>IF(AND(F192&lt;&gt;"",L192&lt;&gt;"Resolved"),1,0)</f>
        <v/>
      </c>
      <c r="P192" s="79">
        <f>IF(F192="","",IF(O192=0,0,IF(H192="High",2,1)))</f>
        <v/>
      </c>
      <c r="Q192" s="112">
        <f>IF(O192=1,IF(K192&lt;&gt;"",K192,IF(H192="High",AsOf,"")),"")</f>
        <v/>
      </c>
      <c r="R192" s="79">
        <f>IF(Q192="","",IF(H192="High",1,IF(Q192="","",IF(Q192&lt;AsOf,1,IF(Q192&lt;=AsOf+AlertDays,2,IF(Q192&lt;=AsOf+2*AlertDays,3,""))))))</f>
        <v/>
      </c>
      <c r="S192" s="79">
        <f>IF(R192="","",IF(H192="High","High-severity issue: ",IF(C192="Punch item","Punch item: ","Issue action due: "))&amp;F192&amp;IF(J192="",""," → "&amp;J192))</f>
        <v/>
      </c>
      <c r="T192" s="79">
        <f>IF(O192=1,IF(I192="",0,I192),0)</f>
        <v/>
      </c>
      <c r="U192" s="79">
        <f>IF(AND(O192=1,H192="High"),1,0)</f>
        <v/>
      </c>
      <c r="V192" s="79">
        <f>IF(AND(O192=1,C192="Punch item"),1,0)</f>
        <v/>
      </c>
    </row>
    <row r="193" ht="24" customHeight="1">
      <c r="B193" s="125" t="n">
        <v>186</v>
      </c>
      <c r="C193" s="72" t="n"/>
      <c r="D193" s="109" t="n"/>
      <c r="E193" s="72" t="n"/>
      <c r="F193" s="113" t="n"/>
      <c r="G193" s="72" t="n"/>
      <c r="H193" s="74" t="n"/>
      <c r="I193" s="73" t="n"/>
      <c r="J193" s="113" t="n"/>
      <c r="K193" s="109" t="n"/>
      <c r="L193" s="72" t="n"/>
      <c r="M193" s="109" t="n"/>
      <c r="N193" s="72" t="n"/>
      <c r="O193" s="79">
        <f>IF(AND(F193&lt;&gt;"",L193&lt;&gt;"Resolved"),1,0)</f>
        <v/>
      </c>
      <c r="P193" s="79">
        <f>IF(F193="","",IF(O193=0,0,IF(H193="High",2,1)))</f>
        <v/>
      </c>
      <c r="Q193" s="112">
        <f>IF(O193=1,IF(K193&lt;&gt;"",K193,IF(H193="High",AsOf,"")),"")</f>
        <v/>
      </c>
      <c r="R193" s="79">
        <f>IF(Q193="","",IF(H193="High",1,IF(Q193="","",IF(Q193&lt;AsOf,1,IF(Q193&lt;=AsOf+AlertDays,2,IF(Q193&lt;=AsOf+2*AlertDays,3,""))))))</f>
        <v/>
      </c>
      <c r="S193" s="79">
        <f>IF(R193="","",IF(H193="High","High-severity issue: ",IF(C193="Punch item","Punch item: ","Issue action due: "))&amp;F193&amp;IF(J193="",""," → "&amp;J193))</f>
        <v/>
      </c>
      <c r="T193" s="79">
        <f>IF(O193=1,IF(I193="",0,I193),0)</f>
        <v/>
      </c>
      <c r="U193" s="79">
        <f>IF(AND(O193=1,H193="High"),1,0)</f>
        <v/>
      </c>
      <c r="V193" s="79">
        <f>IF(AND(O193=1,C193="Punch item"),1,0)</f>
        <v/>
      </c>
    </row>
    <row r="194" ht="24" customHeight="1">
      <c r="B194" s="125" t="n">
        <v>187</v>
      </c>
      <c r="C194" s="72" t="n"/>
      <c r="D194" s="109" t="n"/>
      <c r="E194" s="72" t="n"/>
      <c r="F194" s="113" t="n"/>
      <c r="G194" s="72" t="n"/>
      <c r="H194" s="74" t="n"/>
      <c r="I194" s="73" t="n"/>
      <c r="J194" s="113" t="n"/>
      <c r="K194" s="109" t="n"/>
      <c r="L194" s="72" t="n"/>
      <c r="M194" s="109" t="n"/>
      <c r="N194" s="72" t="n"/>
      <c r="O194" s="79">
        <f>IF(AND(F194&lt;&gt;"",L194&lt;&gt;"Resolved"),1,0)</f>
        <v/>
      </c>
      <c r="P194" s="79">
        <f>IF(F194="","",IF(O194=0,0,IF(H194="High",2,1)))</f>
        <v/>
      </c>
      <c r="Q194" s="112">
        <f>IF(O194=1,IF(K194&lt;&gt;"",K194,IF(H194="High",AsOf,"")),"")</f>
        <v/>
      </c>
      <c r="R194" s="79">
        <f>IF(Q194="","",IF(H194="High",1,IF(Q194="","",IF(Q194&lt;AsOf,1,IF(Q194&lt;=AsOf+AlertDays,2,IF(Q194&lt;=AsOf+2*AlertDays,3,""))))))</f>
        <v/>
      </c>
      <c r="S194" s="79">
        <f>IF(R194="","",IF(H194="High","High-severity issue: ",IF(C194="Punch item","Punch item: ","Issue action due: "))&amp;F194&amp;IF(J194="",""," → "&amp;J194))</f>
        <v/>
      </c>
      <c r="T194" s="79">
        <f>IF(O194=1,IF(I194="",0,I194),0)</f>
        <v/>
      </c>
      <c r="U194" s="79">
        <f>IF(AND(O194=1,H194="High"),1,0)</f>
        <v/>
      </c>
      <c r="V194" s="79">
        <f>IF(AND(O194=1,C194="Punch item"),1,0)</f>
        <v/>
      </c>
    </row>
    <row r="195" ht="24" customHeight="1">
      <c r="B195" s="125" t="n">
        <v>188</v>
      </c>
      <c r="C195" s="72" t="n"/>
      <c r="D195" s="109" t="n"/>
      <c r="E195" s="72" t="n"/>
      <c r="F195" s="113" t="n"/>
      <c r="G195" s="72" t="n"/>
      <c r="H195" s="74" t="n"/>
      <c r="I195" s="73" t="n"/>
      <c r="J195" s="113" t="n"/>
      <c r="K195" s="109" t="n"/>
      <c r="L195" s="72" t="n"/>
      <c r="M195" s="109" t="n"/>
      <c r="N195" s="72" t="n"/>
      <c r="O195" s="79">
        <f>IF(AND(F195&lt;&gt;"",L195&lt;&gt;"Resolved"),1,0)</f>
        <v/>
      </c>
      <c r="P195" s="79">
        <f>IF(F195="","",IF(O195=0,0,IF(H195="High",2,1)))</f>
        <v/>
      </c>
      <c r="Q195" s="112">
        <f>IF(O195=1,IF(K195&lt;&gt;"",K195,IF(H195="High",AsOf,"")),"")</f>
        <v/>
      </c>
      <c r="R195" s="79">
        <f>IF(Q195="","",IF(H195="High",1,IF(Q195="","",IF(Q195&lt;AsOf,1,IF(Q195&lt;=AsOf+AlertDays,2,IF(Q195&lt;=AsOf+2*AlertDays,3,""))))))</f>
        <v/>
      </c>
      <c r="S195" s="79">
        <f>IF(R195="","",IF(H195="High","High-severity issue: ",IF(C195="Punch item","Punch item: ","Issue action due: "))&amp;F195&amp;IF(J195="",""," → "&amp;J195))</f>
        <v/>
      </c>
      <c r="T195" s="79">
        <f>IF(O195=1,IF(I195="",0,I195),0)</f>
        <v/>
      </c>
      <c r="U195" s="79">
        <f>IF(AND(O195=1,H195="High"),1,0)</f>
        <v/>
      </c>
      <c r="V195" s="79">
        <f>IF(AND(O195=1,C195="Punch item"),1,0)</f>
        <v/>
      </c>
    </row>
    <row r="196" ht="24" customHeight="1">
      <c r="B196" s="125" t="n">
        <v>189</v>
      </c>
      <c r="C196" s="72" t="n"/>
      <c r="D196" s="109" t="n"/>
      <c r="E196" s="72" t="n"/>
      <c r="F196" s="113" t="n"/>
      <c r="G196" s="72" t="n"/>
      <c r="H196" s="74" t="n"/>
      <c r="I196" s="73" t="n"/>
      <c r="J196" s="113" t="n"/>
      <c r="K196" s="109" t="n"/>
      <c r="L196" s="72" t="n"/>
      <c r="M196" s="109" t="n"/>
      <c r="N196" s="72" t="n"/>
      <c r="O196" s="79">
        <f>IF(AND(F196&lt;&gt;"",L196&lt;&gt;"Resolved"),1,0)</f>
        <v/>
      </c>
      <c r="P196" s="79">
        <f>IF(F196="","",IF(O196=0,0,IF(H196="High",2,1)))</f>
        <v/>
      </c>
      <c r="Q196" s="112">
        <f>IF(O196=1,IF(K196&lt;&gt;"",K196,IF(H196="High",AsOf,"")),"")</f>
        <v/>
      </c>
      <c r="R196" s="79">
        <f>IF(Q196="","",IF(H196="High",1,IF(Q196="","",IF(Q196&lt;AsOf,1,IF(Q196&lt;=AsOf+AlertDays,2,IF(Q196&lt;=AsOf+2*AlertDays,3,""))))))</f>
        <v/>
      </c>
      <c r="S196" s="79">
        <f>IF(R196="","",IF(H196="High","High-severity issue: ",IF(C196="Punch item","Punch item: ","Issue action due: "))&amp;F196&amp;IF(J196="",""," → "&amp;J196))</f>
        <v/>
      </c>
      <c r="T196" s="79">
        <f>IF(O196=1,IF(I196="",0,I196),0)</f>
        <v/>
      </c>
      <c r="U196" s="79">
        <f>IF(AND(O196=1,H196="High"),1,0)</f>
        <v/>
      </c>
      <c r="V196" s="79">
        <f>IF(AND(O196=1,C196="Punch item"),1,0)</f>
        <v/>
      </c>
    </row>
    <row r="197" ht="24" customHeight="1">
      <c r="B197" s="125" t="n">
        <v>190</v>
      </c>
      <c r="C197" s="72" t="n"/>
      <c r="D197" s="109" t="n"/>
      <c r="E197" s="72" t="n"/>
      <c r="F197" s="113" t="n"/>
      <c r="G197" s="72" t="n"/>
      <c r="H197" s="74" t="n"/>
      <c r="I197" s="73" t="n"/>
      <c r="J197" s="113" t="n"/>
      <c r="K197" s="109" t="n"/>
      <c r="L197" s="72" t="n"/>
      <c r="M197" s="109" t="n"/>
      <c r="N197" s="72" t="n"/>
      <c r="O197" s="79">
        <f>IF(AND(F197&lt;&gt;"",L197&lt;&gt;"Resolved"),1,0)</f>
        <v/>
      </c>
      <c r="P197" s="79">
        <f>IF(F197="","",IF(O197=0,0,IF(H197="High",2,1)))</f>
        <v/>
      </c>
      <c r="Q197" s="112">
        <f>IF(O197=1,IF(K197&lt;&gt;"",K197,IF(H197="High",AsOf,"")),"")</f>
        <v/>
      </c>
      <c r="R197" s="79">
        <f>IF(Q197="","",IF(H197="High",1,IF(Q197="","",IF(Q197&lt;AsOf,1,IF(Q197&lt;=AsOf+AlertDays,2,IF(Q197&lt;=AsOf+2*AlertDays,3,""))))))</f>
        <v/>
      </c>
      <c r="S197" s="79">
        <f>IF(R197="","",IF(H197="High","High-severity issue: ",IF(C197="Punch item","Punch item: ","Issue action due: "))&amp;F197&amp;IF(J197="",""," → "&amp;J197))</f>
        <v/>
      </c>
      <c r="T197" s="79">
        <f>IF(O197=1,IF(I197="",0,I197),0)</f>
        <v/>
      </c>
      <c r="U197" s="79">
        <f>IF(AND(O197=1,H197="High"),1,0)</f>
        <v/>
      </c>
      <c r="V197" s="79">
        <f>IF(AND(O197=1,C197="Punch item"),1,0)</f>
        <v/>
      </c>
    </row>
    <row r="198" ht="24" customHeight="1">
      <c r="B198" s="125" t="n">
        <v>191</v>
      </c>
      <c r="C198" s="72" t="n"/>
      <c r="D198" s="109" t="n"/>
      <c r="E198" s="72" t="n"/>
      <c r="F198" s="113" t="n"/>
      <c r="G198" s="72" t="n"/>
      <c r="H198" s="74" t="n"/>
      <c r="I198" s="73" t="n"/>
      <c r="J198" s="113" t="n"/>
      <c r="K198" s="109" t="n"/>
      <c r="L198" s="72" t="n"/>
      <c r="M198" s="109" t="n"/>
      <c r="N198" s="72" t="n"/>
      <c r="O198" s="79">
        <f>IF(AND(F198&lt;&gt;"",L198&lt;&gt;"Resolved"),1,0)</f>
        <v/>
      </c>
      <c r="P198" s="79">
        <f>IF(F198="","",IF(O198=0,0,IF(H198="High",2,1)))</f>
        <v/>
      </c>
      <c r="Q198" s="112">
        <f>IF(O198=1,IF(K198&lt;&gt;"",K198,IF(H198="High",AsOf,"")),"")</f>
        <v/>
      </c>
      <c r="R198" s="79">
        <f>IF(Q198="","",IF(H198="High",1,IF(Q198="","",IF(Q198&lt;AsOf,1,IF(Q198&lt;=AsOf+AlertDays,2,IF(Q198&lt;=AsOf+2*AlertDays,3,""))))))</f>
        <v/>
      </c>
      <c r="S198" s="79">
        <f>IF(R198="","",IF(H198="High","High-severity issue: ",IF(C198="Punch item","Punch item: ","Issue action due: "))&amp;F198&amp;IF(J198="",""," → "&amp;J198))</f>
        <v/>
      </c>
      <c r="T198" s="79">
        <f>IF(O198=1,IF(I198="",0,I198),0)</f>
        <v/>
      </c>
      <c r="U198" s="79">
        <f>IF(AND(O198=1,H198="High"),1,0)</f>
        <v/>
      </c>
      <c r="V198" s="79">
        <f>IF(AND(O198=1,C198="Punch item"),1,0)</f>
        <v/>
      </c>
    </row>
    <row r="199" ht="24" customHeight="1">
      <c r="B199" s="125" t="n">
        <v>192</v>
      </c>
      <c r="C199" s="72" t="n"/>
      <c r="D199" s="109" t="n"/>
      <c r="E199" s="72" t="n"/>
      <c r="F199" s="113" t="n"/>
      <c r="G199" s="72" t="n"/>
      <c r="H199" s="74" t="n"/>
      <c r="I199" s="73" t="n"/>
      <c r="J199" s="113" t="n"/>
      <c r="K199" s="109" t="n"/>
      <c r="L199" s="72" t="n"/>
      <c r="M199" s="109" t="n"/>
      <c r="N199" s="72" t="n"/>
      <c r="O199" s="79">
        <f>IF(AND(F199&lt;&gt;"",L199&lt;&gt;"Resolved"),1,0)</f>
        <v/>
      </c>
      <c r="P199" s="79">
        <f>IF(F199="","",IF(O199=0,0,IF(H199="High",2,1)))</f>
        <v/>
      </c>
      <c r="Q199" s="112">
        <f>IF(O199=1,IF(K199&lt;&gt;"",K199,IF(H199="High",AsOf,"")),"")</f>
        <v/>
      </c>
      <c r="R199" s="79">
        <f>IF(Q199="","",IF(H199="High",1,IF(Q199="","",IF(Q199&lt;AsOf,1,IF(Q199&lt;=AsOf+AlertDays,2,IF(Q199&lt;=AsOf+2*AlertDays,3,""))))))</f>
        <v/>
      </c>
      <c r="S199" s="79">
        <f>IF(R199="","",IF(H199="High","High-severity issue: ",IF(C199="Punch item","Punch item: ","Issue action due: "))&amp;F199&amp;IF(J199="",""," → "&amp;J199))</f>
        <v/>
      </c>
      <c r="T199" s="79">
        <f>IF(O199=1,IF(I199="",0,I199),0)</f>
        <v/>
      </c>
      <c r="U199" s="79">
        <f>IF(AND(O199=1,H199="High"),1,0)</f>
        <v/>
      </c>
      <c r="V199" s="79">
        <f>IF(AND(O199=1,C199="Punch item"),1,0)</f>
        <v/>
      </c>
    </row>
    <row r="200" ht="24" customHeight="1">
      <c r="B200" s="125" t="n">
        <v>193</v>
      </c>
      <c r="C200" s="72" t="n"/>
      <c r="D200" s="109" t="n"/>
      <c r="E200" s="72" t="n"/>
      <c r="F200" s="113" t="n"/>
      <c r="G200" s="72" t="n"/>
      <c r="H200" s="74" t="n"/>
      <c r="I200" s="73" t="n"/>
      <c r="J200" s="113" t="n"/>
      <c r="K200" s="109" t="n"/>
      <c r="L200" s="72" t="n"/>
      <c r="M200" s="109" t="n"/>
      <c r="N200" s="72" t="n"/>
      <c r="O200" s="79">
        <f>IF(AND(F200&lt;&gt;"",L200&lt;&gt;"Resolved"),1,0)</f>
        <v/>
      </c>
      <c r="P200" s="79">
        <f>IF(F200="","",IF(O200=0,0,IF(H200="High",2,1)))</f>
        <v/>
      </c>
      <c r="Q200" s="112">
        <f>IF(O200=1,IF(K200&lt;&gt;"",K200,IF(H200="High",AsOf,"")),"")</f>
        <v/>
      </c>
      <c r="R200" s="79">
        <f>IF(Q200="","",IF(H200="High",1,IF(Q200="","",IF(Q200&lt;AsOf,1,IF(Q200&lt;=AsOf+AlertDays,2,IF(Q200&lt;=AsOf+2*AlertDays,3,""))))))</f>
        <v/>
      </c>
      <c r="S200" s="79">
        <f>IF(R200="","",IF(H200="High","High-severity issue: ",IF(C200="Punch item","Punch item: ","Issue action due: "))&amp;F200&amp;IF(J200="",""," → "&amp;J200))</f>
        <v/>
      </c>
      <c r="T200" s="79">
        <f>IF(O200=1,IF(I200="",0,I200),0)</f>
        <v/>
      </c>
      <c r="U200" s="79">
        <f>IF(AND(O200=1,H200="High"),1,0)</f>
        <v/>
      </c>
      <c r="V200" s="79">
        <f>IF(AND(O200=1,C200="Punch item"),1,0)</f>
        <v/>
      </c>
    </row>
    <row r="201" ht="24" customHeight="1">
      <c r="B201" s="125" t="n">
        <v>194</v>
      </c>
      <c r="C201" s="72" t="n"/>
      <c r="D201" s="109" t="n"/>
      <c r="E201" s="72" t="n"/>
      <c r="F201" s="113" t="n"/>
      <c r="G201" s="72" t="n"/>
      <c r="H201" s="74" t="n"/>
      <c r="I201" s="73" t="n"/>
      <c r="J201" s="113" t="n"/>
      <c r="K201" s="109" t="n"/>
      <c r="L201" s="72" t="n"/>
      <c r="M201" s="109" t="n"/>
      <c r="N201" s="72" t="n"/>
      <c r="O201" s="79">
        <f>IF(AND(F201&lt;&gt;"",L201&lt;&gt;"Resolved"),1,0)</f>
        <v/>
      </c>
      <c r="P201" s="79">
        <f>IF(F201="","",IF(O201=0,0,IF(H201="High",2,1)))</f>
        <v/>
      </c>
      <c r="Q201" s="112">
        <f>IF(O201=1,IF(K201&lt;&gt;"",K201,IF(H201="High",AsOf,"")),"")</f>
        <v/>
      </c>
      <c r="R201" s="79">
        <f>IF(Q201="","",IF(H201="High",1,IF(Q201="","",IF(Q201&lt;AsOf,1,IF(Q201&lt;=AsOf+AlertDays,2,IF(Q201&lt;=AsOf+2*AlertDays,3,""))))))</f>
        <v/>
      </c>
      <c r="S201" s="79">
        <f>IF(R201="","",IF(H201="High","High-severity issue: ",IF(C201="Punch item","Punch item: ","Issue action due: "))&amp;F201&amp;IF(J201="",""," → "&amp;J201))</f>
        <v/>
      </c>
      <c r="T201" s="79">
        <f>IF(O201=1,IF(I201="",0,I201),0)</f>
        <v/>
      </c>
      <c r="U201" s="79">
        <f>IF(AND(O201=1,H201="High"),1,0)</f>
        <v/>
      </c>
      <c r="V201" s="79">
        <f>IF(AND(O201=1,C201="Punch item"),1,0)</f>
        <v/>
      </c>
    </row>
    <row r="202" ht="24" customHeight="1">
      <c r="B202" s="125" t="n">
        <v>195</v>
      </c>
      <c r="C202" s="72" t="n"/>
      <c r="D202" s="109" t="n"/>
      <c r="E202" s="72" t="n"/>
      <c r="F202" s="113" t="n"/>
      <c r="G202" s="72" t="n"/>
      <c r="H202" s="74" t="n"/>
      <c r="I202" s="73" t="n"/>
      <c r="J202" s="113" t="n"/>
      <c r="K202" s="109" t="n"/>
      <c r="L202" s="72" t="n"/>
      <c r="M202" s="109" t="n"/>
      <c r="N202" s="72" t="n"/>
      <c r="O202" s="79">
        <f>IF(AND(F202&lt;&gt;"",L202&lt;&gt;"Resolved"),1,0)</f>
        <v/>
      </c>
      <c r="P202" s="79">
        <f>IF(F202="","",IF(O202=0,0,IF(H202="High",2,1)))</f>
        <v/>
      </c>
      <c r="Q202" s="112">
        <f>IF(O202=1,IF(K202&lt;&gt;"",K202,IF(H202="High",AsOf,"")),"")</f>
        <v/>
      </c>
      <c r="R202" s="79">
        <f>IF(Q202="","",IF(H202="High",1,IF(Q202="","",IF(Q202&lt;AsOf,1,IF(Q202&lt;=AsOf+AlertDays,2,IF(Q202&lt;=AsOf+2*AlertDays,3,""))))))</f>
        <v/>
      </c>
      <c r="S202" s="79">
        <f>IF(R202="","",IF(H202="High","High-severity issue: ",IF(C202="Punch item","Punch item: ","Issue action due: "))&amp;F202&amp;IF(J202="",""," → "&amp;J202))</f>
        <v/>
      </c>
      <c r="T202" s="79">
        <f>IF(O202=1,IF(I202="",0,I202),0)</f>
        <v/>
      </c>
      <c r="U202" s="79">
        <f>IF(AND(O202=1,H202="High"),1,0)</f>
        <v/>
      </c>
      <c r="V202" s="79">
        <f>IF(AND(O202=1,C202="Punch item"),1,0)</f>
        <v/>
      </c>
    </row>
    <row r="203" ht="24" customHeight="1">
      <c r="B203" s="125" t="n">
        <v>196</v>
      </c>
      <c r="C203" s="72" t="n"/>
      <c r="D203" s="109" t="n"/>
      <c r="E203" s="72" t="n"/>
      <c r="F203" s="113" t="n"/>
      <c r="G203" s="72" t="n"/>
      <c r="H203" s="74" t="n"/>
      <c r="I203" s="73" t="n"/>
      <c r="J203" s="113" t="n"/>
      <c r="K203" s="109" t="n"/>
      <c r="L203" s="72" t="n"/>
      <c r="M203" s="109" t="n"/>
      <c r="N203" s="72" t="n"/>
      <c r="O203" s="79">
        <f>IF(AND(F203&lt;&gt;"",L203&lt;&gt;"Resolved"),1,0)</f>
        <v/>
      </c>
      <c r="P203" s="79">
        <f>IF(F203="","",IF(O203=0,0,IF(H203="High",2,1)))</f>
        <v/>
      </c>
      <c r="Q203" s="112">
        <f>IF(O203=1,IF(K203&lt;&gt;"",K203,IF(H203="High",AsOf,"")),"")</f>
        <v/>
      </c>
      <c r="R203" s="79">
        <f>IF(Q203="","",IF(H203="High",1,IF(Q203="","",IF(Q203&lt;AsOf,1,IF(Q203&lt;=AsOf+AlertDays,2,IF(Q203&lt;=AsOf+2*AlertDays,3,""))))))</f>
        <v/>
      </c>
      <c r="S203" s="79">
        <f>IF(R203="","",IF(H203="High","High-severity issue: ",IF(C203="Punch item","Punch item: ","Issue action due: "))&amp;F203&amp;IF(J203="",""," → "&amp;J203))</f>
        <v/>
      </c>
      <c r="T203" s="79">
        <f>IF(O203=1,IF(I203="",0,I203),0)</f>
        <v/>
      </c>
      <c r="U203" s="79">
        <f>IF(AND(O203=1,H203="High"),1,0)</f>
        <v/>
      </c>
      <c r="V203" s="79">
        <f>IF(AND(O203=1,C203="Punch item"),1,0)</f>
        <v/>
      </c>
    </row>
    <row r="204" ht="24" customHeight="1">
      <c r="B204" s="125" t="n">
        <v>197</v>
      </c>
      <c r="C204" s="72" t="n"/>
      <c r="D204" s="109" t="n"/>
      <c r="E204" s="72" t="n"/>
      <c r="F204" s="113" t="n"/>
      <c r="G204" s="72" t="n"/>
      <c r="H204" s="74" t="n"/>
      <c r="I204" s="73" t="n"/>
      <c r="J204" s="113" t="n"/>
      <c r="K204" s="109" t="n"/>
      <c r="L204" s="72" t="n"/>
      <c r="M204" s="109" t="n"/>
      <c r="N204" s="72" t="n"/>
      <c r="O204" s="79">
        <f>IF(AND(F204&lt;&gt;"",L204&lt;&gt;"Resolved"),1,0)</f>
        <v/>
      </c>
      <c r="P204" s="79">
        <f>IF(F204="","",IF(O204=0,0,IF(H204="High",2,1)))</f>
        <v/>
      </c>
      <c r="Q204" s="112">
        <f>IF(O204=1,IF(K204&lt;&gt;"",K204,IF(H204="High",AsOf,"")),"")</f>
        <v/>
      </c>
      <c r="R204" s="79">
        <f>IF(Q204="","",IF(H204="High",1,IF(Q204="","",IF(Q204&lt;AsOf,1,IF(Q204&lt;=AsOf+AlertDays,2,IF(Q204&lt;=AsOf+2*AlertDays,3,""))))))</f>
        <v/>
      </c>
      <c r="S204" s="79">
        <f>IF(R204="","",IF(H204="High","High-severity issue: ",IF(C204="Punch item","Punch item: ","Issue action due: "))&amp;F204&amp;IF(J204="",""," → "&amp;J204))</f>
        <v/>
      </c>
      <c r="T204" s="79">
        <f>IF(O204=1,IF(I204="",0,I204),0)</f>
        <v/>
      </c>
      <c r="U204" s="79">
        <f>IF(AND(O204=1,H204="High"),1,0)</f>
        <v/>
      </c>
      <c r="V204" s="79">
        <f>IF(AND(O204=1,C204="Punch item"),1,0)</f>
        <v/>
      </c>
    </row>
    <row r="205" ht="24" customHeight="1">
      <c r="B205" s="125" t="n">
        <v>198</v>
      </c>
      <c r="C205" s="72" t="n"/>
      <c r="D205" s="109" t="n"/>
      <c r="E205" s="72" t="n"/>
      <c r="F205" s="113" t="n"/>
      <c r="G205" s="72" t="n"/>
      <c r="H205" s="74" t="n"/>
      <c r="I205" s="73" t="n"/>
      <c r="J205" s="113" t="n"/>
      <c r="K205" s="109" t="n"/>
      <c r="L205" s="72" t="n"/>
      <c r="M205" s="109" t="n"/>
      <c r="N205" s="72" t="n"/>
      <c r="O205" s="79">
        <f>IF(AND(F205&lt;&gt;"",L205&lt;&gt;"Resolved"),1,0)</f>
        <v/>
      </c>
      <c r="P205" s="79">
        <f>IF(F205="","",IF(O205=0,0,IF(H205="High",2,1)))</f>
        <v/>
      </c>
      <c r="Q205" s="112">
        <f>IF(O205=1,IF(K205&lt;&gt;"",K205,IF(H205="High",AsOf,"")),"")</f>
        <v/>
      </c>
      <c r="R205" s="79">
        <f>IF(Q205="","",IF(H205="High",1,IF(Q205="","",IF(Q205&lt;AsOf,1,IF(Q205&lt;=AsOf+AlertDays,2,IF(Q205&lt;=AsOf+2*AlertDays,3,""))))))</f>
        <v/>
      </c>
      <c r="S205" s="79">
        <f>IF(R205="","",IF(H205="High","High-severity issue: ",IF(C205="Punch item","Punch item: ","Issue action due: "))&amp;F205&amp;IF(J205="",""," → "&amp;J205))</f>
        <v/>
      </c>
      <c r="T205" s="79">
        <f>IF(O205=1,IF(I205="",0,I205),0)</f>
        <v/>
      </c>
      <c r="U205" s="79">
        <f>IF(AND(O205=1,H205="High"),1,0)</f>
        <v/>
      </c>
      <c r="V205" s="79">
        <f>IF(AND(O205=1,C205="Punch item"),1,0)</f>
        <v/>
      </c>
    </row>
    <row r="206" ht="24" customHeight="1">
      <c r="B206" s="125" t="n">
        <v>199</v>
      </c>
      <c r="C206" s="72" t="n"/>
      <c r="D206" s="109" t="n"/>
      <c r="E206" s="72" t="n"/>
      <c r="F206" s="113" t="n"/>
      <c r="G206" s="72" t="n"/>
      <c r="H206" s="74" t="n"/>
      <c r="I206" s="73" t="n"/>
      <c r="J206" s="113" t="n"/>
      <c r="K206" s="109" t="n"/>
      <c r="L206" s="72" t="n"/>
      <c r="M206" s="109" t="n"/>
      <c r="N206" s="72" t="n"/>
      <c r="O206" s="79">
        <f>IF(AND(F206&lt;&gt;"",L206&lt;&gt;"Resolved"),1,0)</f>
        <v/>
      </c>
      <c r="P206" s="79">
        <f>IF(F206="","",IF(O206=0,0,IF(H206="High",2,1)))</f>
        <v/>
      </c>
      <c r="Q206" s="112">
        <f>IF(O206=1,IF(K206&lt;&gt;"",K206,IF(H206="High",AsOf,"")),"")</f>
        <v/>
      </c>
      <c r="R206" s="79">
        <f>IF(Q206="","",IF(H206="High",1,IF(Q206="","",IF(Q206&lt;AsOf,1,IF(Q206&lt;=AsOf+AlertDays,2,IF(Q206&lt;=AsOf+2*AlertDays,3,""))))))</f>
        <v/>
      </c>
      <c r="S206" s="79">
        <f>IF(R206="","",IF(H206="High","High-severity issue: ",IF(C206="Punch item","Punch item: ","Issue action due: "))&amp;F206&amp;IF(J206="",""," → "&amp;J206))</f>
        <v/>
      </c>
      <c r="T206" s="79">
        <f>IF(O206=1,IF(I206="",0,I206),0)</f>
        <v/>
      </c>
      <c r="U206" s="79">
        <f>IF(AND(O206=1,H206="High"),1,0)</f>
        <v/>
      </c>
      <c r="V206" s="79">
        <f>IF(AND(O206=1,C206="Punch item"),1,0)</f>
        <v/>
      </c>
    </row>
    <row r="207" ht="24" customHeight="1">
      <c r="B207" s="125" t="n">
        <v>200</v>
      </c>
      <c r="C207" s="72" t="n"/>
      <c r="D207" s="109" t="n"/>
      <c r="E207" s="72" t="n"/>
      <c r="F207" s="113" t="n"/>
      <c r="G207" s="72" t="n"/>
      <c r="H207" s="74" t="n"/>
      <c r="I207" s="73" t="n"/>
      <c r="J207" s="113" t="n"/>
      <c r="K207" s="109" t="n"/>
      <c r="L207" s="72" t="n"/>
      <c r="M207" s="109" t="n"/>
      <c r="N207" s="72" t="n"/>
      <c r="O207" s="79">
        <f>IF(AND(F207&lt;&gt;"",L207&lt;&gt;"Resolved"),1,0)</f>
        <v/>
      </c>
      <c r="P207" s="79">
        <f>IF(F207="","",IF(O207=0,0,IF(H207="High",2,1)))</f>
        <v/>
      </c>
      <c r="Q207" s="112">
        <f>IF(O207=1,IF(K207&lt;&gt;"",K207,IF(H207="High",AsOf,"")),"")</f>
        <v/>
      </c>
      <c r="R207" s="79">
        <f>IF(Q207="","",IF(H207="High",1,IF(Q207="","",IF(Q207&lt;AsOf,1,IF(Q207&lt;=AsOf+AlertDays,2,IF(Q207&lt;=AsOf+2*AlertDays,3,""))))))</f>
        <v/>
      </c>
      <c r="S207" s="79">
        <f>IF(R207="","",IF(H207="High","High-severity issue: ",IF(C207="Punch item","Punch item: ","Issue action due: "))&amp;F207&amp;IF(J207="",""," → "&amp;J207))</f>
        <v/>
      </c>
      <c r="T207" s="79">
        <f>IF(O207=1,IF(I207="",0,I207),0)</f>
        <v/>
      </c>
      <c r="U207" s="79">
        <f>IF(AND(O207=1,H207="High"),1,0)</f>
        <v/>
      </c>
      <c r="V207" s="79">
        <f>IF(AND(O207=1,C207="Punch item"),1,0)</f>
        <v/>
      </c>
    </row>
    <row r="208" ht="24" customHeight="1">
      <c r="B208" s="125" t="n">
        <v>201</v>
      </c>
      <c r="C208" s="72" t="n"/>
      <c r="D208" s="109" t="n"/>
      <c r="E208" s="72" t="n"/>
      <c r="F208" s="113" t="n"/>
      <c r="G208" s="72" t="n"/>
      <c r="H208" s="74" t="n"/>
      <c r="I208" s="73" t="n"/>
      <c r="J208" s="113" t="n"/>
      <c r="K208" s="109" t="n"/>
      <c r="L208" s="72" t="n"/>
      <c r="M208" s="109" t="n"/>
      <c r="N208" s="72" t="n"/>
      <c r="O208" s="79">
        <f>IF(AND(F208&lt;&gt;"",L208&lt;&gt;"Resolved"),1,0)</f>
        <v/>
      </c>
      <c r="P208" s="79">
        <f>IF(F208="","",IF(O208=0,0,IF(H208="High",2,1)))</f>
        <v/>
      </c>
      <c r="Q208" s="112">
        <f>IF(O208=1,IF(K208&lt;&gt;"",K208,IF(H208="High",AsOf,"")),"")</f>
        <v/>
      </c>
      <c r="R208" s="79">
        <f>IF(Q208="","",IF(H208="High",1,IF(Q208="","",IF(Q208&lt;AsOf,1,IF(Q208&lt;=AsOf+AlertDays,2,IF(Q208&lt;=AsOf+2*AlertDays,3,""))))))</f>
        <v/>
      </c>
      <c r="S208" s="79">
        <f>IF(R208="","",IF(H208="High","High-severity issue: ",IF(C208="Punch item","Punch item: ","Issue action due: "))&amp;F208&amp;IF(J208="",""," → "&amp;J208))</f>
        <v/>
      </c>
      <c r="T208" s="79">
        <f>IF(O208=1,IF(I208="",0,I208),0)</f>
        <v/>
      </c>
      <c r="U208" s="79">
        <f>IF(AND(O208=1,H208="High"),1,0)</f>
        <v/>
      </c>
      <c r="V208" s="79">
        <f>IF(AND(O208=1,C208="Punch item"),1,0)</f>
        <v/>
      </c>
    </row>
    <row r="209" ht="24" customHeight="1">
      <c r="B209" s="125" t="n">
        <v>202</v>
      </c>
      <c r="C209" s="72" t="n"/>
      <c r="D209" s="109" t="n"/>
      <c r="E209" s="72" t="n"/>
      <c r="F209" s="113" t="n"/>
      <c r="G209" s="72" t="n"/>
      <c r="H209" s="74" t="n"/>
      <c r="I209" s="73" t="n"/>
      <c r="J209" s="113" t="n"/>
      <c r="K209" s="109" t="n"/>
      <c r="L209" s="72" t="n"/>
      <c r="M209" s="109" t="n"/>
      <c r="N209" s="72" t="n"/>
      <c r="O209" s="79">
        <f>IF(AND(F209&lt;&gt;"",L209&lt;&gt;"Resolved"),1,0)</f>
        <v/>
      </c>
      <c r="P209" s="79">
        <f>IF(F209="","",IF(O209=0,0,IF(H209="High",2,1)))</f>
        <v/>
      </c>
      <c r="Q209" s="112">
        <f>IF(O209=1,IF(K209&lt;&gt;"",K209,IF(H209="High",AsOf,"")),"")</f>
        <v/>
      </c>
      <c r="R209" s="79">
        <f>IF(Q209="","",IF(H209="High",1,IF(Q209="","",IF(Q209&lt;AsOf,1,IF(Q209&lt;=AsOf+AlertDays,2,IF(Q209&lt;=AsOf+2*AlertDays,3,""))))))</f>
        <v/>
      </c>
      <c r="S209" s="79">
        <f>IF(R209="","",IF(H209="High","High-severity issue: ",IF(C209="Punch item","Punch item: ","Issue action due: "))&amp;F209&amp;IF(J209="",""," → "&amp;J209))</f>
        <v/>
      </c>
      <c r="T209" s="79">
        <f>IF(O209=1,IF(I209="",0,I209),0)</f>
        <v/>
      </c>
      <c r="U209" s="79">
        <f>IF(AND(O209=1,H209="High"),1,0)</f>
        <v/>
      </c>
      <c r="V209" s="79">
        <f>IF(AND(O209=1,C209="Punch item"),1,0)</f>
        <v/>
      </c>
    </row>
    <row r="210" ht="24" customHeight="1">
      <c r="B210" s="125" t="n">
        <v>203</v>
      </c>
      <c r="C210" s="72" t="n"/>
      <c r="D210" s="109" t="n"/>
      <c r="E210" s="72" t="n"/>
      <c r="F210" s="113" t="n"/>
      <c r="G210" s="72" t="n"/>
      <c r="H210" s="74" t="n"/>
      <c r="I210" s="73" t="n"/>
      <c r="J210" s="113" t="n"/>
      <c r="K210" s="109" t="n"/>
      <c r="L210" s="72" t="n"/>
      <c r="M210" s="109" t="n"/>
      <c r="N210" s="72" t="n"/>
      <c r="O210" s="79">
        <f>IF(AND(F210&lt;&gt;"",L210&lt;&gt;"Resolved"),1,0)</f>
        <v/>
      </c>
      <c r="P210" s="79">
        <f>IF(F210="","",IF(O210=0,0,IF(H210="High",2,1)))</f>
        <v/>
      </c>
      <c r="Q210" s="112">
        <f>IF(O210=1,IF(K210&lt;&gt;"",K210,IF(H210="High",AsOf,"")),"")</f>
        <v/>
      </c>
      <c r="R210" s="79">
        <f>IF(Q210="","",IF(H210="High",1,IF(Q210="","",IF(Q210&lt;AsOf,1,IF(Q210&lt;=AsOf+AlertDays,2,IF(Q210&lt;=AsOf+2*AlertDays,3,""))))))</f>
        <v/>
      </c>
      <c r="S210" s="79">
        <f>IF(R210="","",IF(H210="High","High-severity issue: ",IF(C210="Punch item","Punch item: ","Issue action due: "))&amp;F210&amp;IF(J210="",""," → "&amp;J210))</f>
        <v/>
      </c>
      <c r="T210" s="79">
        <f>IF(O210=1,IF(I210="",0,I210),0)</f>
        <v/>
      </c>
      <c r="U210" s="79">
        <f>IF(AND(O210=1,H210="High"),1,0)</f>
        <v/>
      </c>
      <c r="V210" s="79">
        <f>IF(AND(O210=1,C210="Punch item"),1,0)</f>
        <v/>
      </c>
    </row>
    <row r="211" ht="24" customHeight="1">
      <c r="B211" s="125" t="n">
        <v>204</v>
      </c>
      <c r="C211" s="72" t="n"/>
      <c r="D211" s="109" t="n"/>
      <c r="E211" s="72" t="n"/>
      <c r="F211" s="113" t="n"/>
      <c r="G211" s="72" t="n"/>
      <c r="H211" s="74" t="n"/>
      <c r="I211" s="73" t="n"/>
      <c r="J211" s="113" t="n"/>
      <c r="K211" s="109" t="n"/>
      <c r="L211" s="72" t="n"/>
      <c r="M211" s="109" t="n"/>
      <c r="N211" s="72" t="n"/>
      <c r="O211" s="79">
        <f>IF(AND(F211&lt;&gt;"",L211&lt;&gt;"Resolved"),1,0)</f>
        <v/>
      </c>
      <c r="P211" s="79">
        <f>IF(F211="","",IF(O211=0,0,IF(H211="High",2,1)))</f>
        <v/>
      </c>
      <c r="Q211" s="112">
        <f>IF(O211=1,IF(K211&lt;&gt;"",K211,IF(H211="High",AsOf,"")),"")</f>
        <v/>
      </c>
      <c r="R211" s="79">
        <f>IF(Q211="","",IF(H211="High",1,IF(Q211="","",IF(Q211&lt;AsOf,1,IF(Q211&lt;=AsOf+AlertDays,2,IF(Q211&lt;=AsOf+2*AlertDays,3,""))))))</f>
        <v/>
      </c>
      <c r="S211" s="79">
        <f>IF(R211="","",IF(H211="High","High-severity issue: ",IF(C211="Punch item","Punch item: ","Issue action due: "))&amp;F211&amp;IF(J211="",""," → "&amp;J211))</f>
        <v/>
      </c>
      <c r="T211" s="79">
        <f>IF(O211=1,IF(I211="",0,I211),0)</f>
        <v/>
      </c>
      <c r="U211" s="79">
        <f>IF(AND(O211=1,H211="High"),1,0)</f>
        <v/>
      </c>
      <c r="V211" s="79">
        <f>IF(AND(O211=1,C211="Punch item"),1,0)</f>
        <v/>
      </c>
    </row>
    <row r="212" ht="24" customHeight="1">
      <c r="B212" s="125" t="n">
        <v>205</v>
      </c>
      <c r="C212" s="72" t="n"/>
      <c r="D212" s="109" t="n"/>
      <c r="E212" s="72" t="n"/>
      <c r="F212" s="113" t="n"/>
      <c r="G212" s="72" t="n"/>
      <c r="H212" s="74" t="n"/>
      <c r="I212" s="73" t="n"/>
      <c r="J212" s="113" t="n"/>
      <c r="K212" s="109" t="n"/>
      <c r="L212" s="72" t="n"/>
      <c r="M212" s="109" t="n"/>
      <c r="N212" s="72" t="n"/>
      <c r="O212" s="79">
        <f>IF(AND(F212&lt;&gt;"",L212&lt;&gt;"Resolved"),1,0)</f>
        <v/>
      </c>
      <c r="P212" s="79">
        <f>IF(F212="","",IF(O212=0,0,IF(H212="High",2,1)))</f>
        <v/>
      </c>
      <c r="Q212" s="112">
        <f>IF(O212=1,IF(K212&lt;&gt;"",K212,IF(H212="High",AsOf,"")),"")</f>
        <v/>
      </c>
      <c r="R212" s="79">
        <f>IF(Q212="","",IF(H212="High",1,IF(Q212="","",IF(Q212&lt;AsOf,1,IF(Q212&lt;=AsOf+AlertDays,2,IF(Q212&lt;=AsOf+2*AlertDays,3,""))))))</f>
        <v/>
      </c>
      <c r="S212" s="79">
        <f>IF(R212="","",IF(H212="High","High-severity issue: ",IF(C212="Punch item","Punch item: ","Issue action due: "))&amp;F212&amp;IF(J212="",""," → "&amp;J212))</f>
        <v/>
      </c>
      <c r="T212" s="79">
        <f>IF(O212=1,IF(I212="",0,I212),0)</f>
        <v/>
      </c>
      <c r="U212" s="79">
        <f>IF(AND(O212=1,H212="High"),1,0)</f>
        <v/>
      </c>
      <c r="V212" s="79">
        <f>IF(AND(O212=1,C212="Punch item"),1,0)</f>
        <v/>
      </c>
    </row>
    <row r="213" ht="24" customHeight="1">
      <c r="B213" s="125" t="n">
        <v>206</v>
      </c>
      <c r="C213" s="72" t="n"/>
      <c r="D213" s="109" t="n"/>
      <c r="E213" s="72" t="n"/>
      <c r="F213" s="113" t="n"/>
      <c r="G213" s="72" t="n"/>
      <c r="H213" s="74" t="n"/>
      <c r="I213" s="73" t="n"/>
      <c r="J213" s="113" t="n"/>
      <c r="K213" s="109" t="n"/>
      <c r="L213" s="72" t="n"/>
      <c r="M213" s="109" t="n"/>
      <c r="N213" s="72" t="n"/>
      <c r="O213" s="79">
        <f>IF(AND(F213&lt;&gt;"",L213&lt;&gt;"Resolved"),1,0)</f>
        <v/>
      </c>
      <c r="P213" s="79">
        <f>IF(F213="","",IF(O213=0,0,IF(H213="High",2,1)))</f>
        <v/>
      </c>
      <c r="Q213" s="112">
        <f>IF(O213=1,IF(K213&lt;&gt;"",K213,IF(H213="High",AsOf,"")),"")</f>
        <v/>
      </c>
      <c r="R213" s="79">
        <f>IF(Q213="","",IF(H213="High",1,IF(Q213="","",IF(Q213&lt;AsOf,1,IF(Q213&lt;=AsOf+AlertDays,2,IF(Q213&lt;=AsOf+2*AlertDays,3,""))))))</f>
        <v/>
      </c>
      <c r="S213" s="79">
        <f>IF(R213="","",IF(H213="High","High-severity issue: ",IF(C213="Punch item","Punch item: ","Issue action due: "))&amp;F213&amp;IF(J213="",""," → "&amp;J213))</f>
        <v/>
      </c>
      <c r="T213" s="79">
        <f>IF(O213=1,IF(I213="",0,I213),0)</f>
        <v/>
      </c>
      <c r="U213" s="79">
        <f>IF(AND(O213=1,H213="High"),1,0)</f>
        <v/>
      </c>
      <c r="V213" s="79">
        <f>IF(AND(O213=1,C213="Punch item"),1,0)</f>
        <v/>
      </c>
    </row>
    <row r="214" ht="24" customHeight="1">
      <c r="B214" s="125" t="n">
        <v>207</v>
      </c>
      <c r="C214" s="72" t="n"/>
      <c r="D214" s="109" t="n"/>
      <c r="E214" s="72" t="n"/>
      <c r="F214" s="113" t="n"/>
      <c r="G214" s="72" t="n"/>
      <c r="H214" s="74" t="n"/>
      <c r="I214" s="73" t="n"/>
      <c r="J214" s="113" t="n"/>
      <c r="K214" s="109" t="n"/>
      <c r="L214" s="72" t="n"/>
      <c r="M214" s="109" t="n"/>
      <c r="N214" s="72" t="n"/>
      <c r="O214" s="79">
        <f>IF(AND(F214&lt;&gt;"",L214&lt;&gt;"Resolved"),1,0)</f>
        <v/>
      </c>
      <c r="P214" s="79">
        <f>IF(F214="","",IF(O214=0,0,IF(H214="High",2,1)))</f>
        <v/>
      </c>
      <c r="Q214" s="112">
        <f>IF(O214=1,IF(K214&lt;&gt;"",K214,IF(H214="High",AsOf,"")),"")</f>
        <v/>
      </c>
      <c r="R214" s="79">
        <f>IF(Q214="","",IF(H214="High",1,IF(Q214="","",IF(Q214&lt;AsOf,1,IF(Q214&lt;=AsOf+AlertDays,2,IF(Q214&lt;=AsOf+2*AlertDays,3,""))))))</f>
        <v/>
      </c>
      <c r="S214" s="79">
        <f>IF(R214="","",IF(H214="High","High-severity issue: ",IF(C214="Punch item","Punch item: ","Issue action due: "))&amp;F214&amp;IF(J214="",""," → "&amp;J214))</f>
        <v/>
      </c>
      <c r="T214" s="79">
        <f>IF(O214=1,IF(I214="",0,I214),0)</f>
        <v/>
      </c>
      <c r="U214" s="79">
        <f>IF(AND(O214=1,H214="High"),1,0)</f>
        <v/>
      </c>
      <c r="V214" s="79">
        <f>IF(AND(O214=1,C214="Punch item"),1,0)</f>
        <v/>
      </c>
    </row>
    <row r="215" ht="24" customHeight="1">
      <c r="B215" s="125" t="n">
        <v>208</v>
      </c>
      <c r="C215" s="72" t="n"/>
      <c r="D215" s="109" t="n"/>
      <c r="E215" s="72" t="n"/>
      <c r="F215" s="113" t="n"/>
      <c r="G215" s="72" t="n"/>
      <c r="H215" s="74" t="n"/>
      <c r="I215" s="73" t="n"/>
      <c r="J215" s="113" t="n"/>
      <c r="K215" s="109" t="n"/>
      <c r="L215" s="72" t="n"/>
      <c r="M215" s="109" t="n"/>
      <c r="N215" s="72" t="n"/>
      <c r="O215" s="79">
        <f>IF(AND(F215&lt;&gt;"",L215&lt;&gt;"Resolved"),1,0)</f>
        <v/>
      </c>
      <c r="P215" s="79">
        <f>IF(F215="","",IF(O215=0,0,IF(H215="High",2,1)))</f>
        <v/>
      </c>
      <c r="Q215" s="112">
        <f>IF(O215=1,IF(K215&lt;&gt;"",K215,IF(H215="High",AsOf,"")),"")</f>
        <v/>
      </c>
      <c r="R215" s="79">
        <f>IF(Q215="","",IF(H215="High",1,IF(Q215="","",IF(Q215&lt;AsOf,1,IF(Q215&lt;=AsOf+AlertDays,2,IF(Q215&lt;=AsOf+2*AlertDays,3,""))))))</f>
        <v/>
      </c>
      <c r="S215" s="79">
        <f>IF(R215="","",IF(H215="High","High-severity issue: ",IF(C215="Punch item","Punch item: ","Issue action due: "))&amp;F215&amp;IF(J215="",""," → "&amp;J215))</f>
        <v/>
      </c>
      <c r="T215" s="79">
        <f>IF(O215=1,IF(I215="",0,I215),0)</f>
        <v/>
      </c>
      <c r="U215" s="79">
        <f>IF(AND(O215=1,H215="High"),1,0)</f>
        <v/>
      </c>
      <c r="V215" s="79">
        <f>IF(AND(O215=1,C215="Punch item"),1,0)</f>
        <v/>
      </c>
    </row>
    <row r="216" ht="24" customHeight="1">
      <c r="B216" s="125" t="n">
        <v>209</v>
      </c>
      <c r="C216" s="72" t="n"/>
      <c r="D216" s="109" t="n"/>
      <c r="E216" s="72" t="n"/>
      <c r="F216" s="113" t="n"/>
      <c r="G216" s="72" t="n"/>
      <c r="H216" s="74" t="n"/>
      <c r="I216" s="73" t="n"/>
      <c r="J216" s="113" t="n"/>
      <c r="K216" s="109" t="n"/>
      <c r="L216" s="72" t="n"/>
      <c r="M216" s="109" t="n"/>
      <c r="N216" s="72" t="n"/>
      <c r="O216" s="79">
        <f>IF(AND(F216&lt;&gt;"",L216&lt;&gt;"Resolved"),1,0)</f>
        <v/>
      </c>
      <c r="P216" s="79">
        <f>IF(F216="","",IF(O216=0,0,IF(H216="High",2,1)))</f>
        <v/>
      </c>
      <c r="Q216" s="112">
        <f>IF(O216=1,IF(K216&lt;&gt;"",K216,IF(H216="High",AsOf,"")),"")</f>
        <v/>
      </c>
      <c r="R216" s="79">
        <f>IF(Q216="","",IF(H216="High",1,IF(Q216="","",IF(Q216&lt;AsOf,1,IF(Q216&lt;=AsOf+AlertDays,2,IF(Q216&lt;=AsOf+2*AlertDays,3,""))))))</f>
        <v/>
      </c>
      <c r="S216" s="79">
        <f>IF(R216="","",IF(H216="High","High-severity issue: ",IF(C216="Punch item","Punch item: ","Issue action due: "))&amp;F216&amp;IF(J216="",""," → "&amp;J216))</f>
        <v/>
      </c>
      <c r="T216" s="79">
        <f>IF(O216=1,IF(I216="",0,I216),0)</f>
        <v/>
      </c>
      <c r="U216" s="79">
        <f>IF(AND(O216=1,H216="High"),1,0)</f>
        <v/>
      </c>
      <c r="V216" s="79">
        <f>IF(AND(O216=1,C216="Punch item"),1,0)</f>
        <v/>
      </c>
    </row>
    <row r="217" ht="24" customHeight="1">
      <c r="B217" s="125" t="n">
        <v>210</v>
      </c>
      <c r="C217" s="72" t="n"/>
      <c r="D217" s="109" t="n"/>
      <c r="E217" s="72" t="n"/>
      <c r="F217" s="113" t="n"/>
      <c r="G217" s="72" t="n"/>
      <c r="H217" s="74" t="n"/>
      <c r="I217" s="73" t="n"/>
      <c r="J217" s="113" t="n"/>
      <c r="K217" s="109" t="n"/>
      <c r="L217" s="72" t="n"/>
      <c r="M217" s="109" t="n"/>
      <c r="N217" s="72" t="n"/>
      <c r="O217" s="79">
        <f>IF(AND(F217&lt;&gt;"",L217&lt;&gt;"Resolved"),1,0)</f>
        <v/>
      </c>
      <c r="P217" s="79">
        <f>IF(F217="","",IF(O217=0,0,IF(H217="High",2,1)))</f>
        <v/>
      </c>
      <c r="Q217" s="112">
        <f>IF(O217=1,IF(K217&lt;&gt;"",K217,IF(H217="High",AsOf,"")),"")</f>
        <v/>
      </c>
      <c r="R217" s="79">
        <f>IF(Q217="","",IF(H217="High",1,IF(Q217="","",IF(Q217&lt;AsOf,1,IF(Q217&lt;=AsOf+AlertDays,2,IF(Q217&lt;=AsOf+2*AlertDays,3,""))))))</f>
        <v/>
      </c>
      <c r="S217" s="79">
        <f>IF(R217="","",IF(H217="High","High-severity issue: ",IF(C217="Punch item","Punch item: ","Issue action due: "))&amp;F217&amp;IF(J217="",""," → "&amp;J217))</f>
        <v/>
      </c>
      <c r="T217" s="79">
        <f>IF(O217=1,IF(I217="",0,I217),0)</f>
        <v/>
      </c>
      <c r="U217" s="79">
        <f>IF(AND(O217=1,H217="High"),1,0)</f>
        <v/>
      </c>
      <c r="V217" s="79">
        <f>IF(AND(O217=1,C217="Punch item"),1,0)</f>
        <v/>
      </c>
    </row>
    <row r="218" ht="24" customHeight="1">
      <c r="B218" s="125" t="n">
        <v>211</v>
      </c>
      <c r="C218" s="72" t="n"/>
      <c r="D218" s="109" t="n"/>
      <c r="E218" s="72" t="n"/>
      <c r="F218" s="113" t="n"/>
      <c r="G218" s="72" t="n"/>
      <c r="H218" s="74" t="n"/>
      <c r="I218" s="73" t="n"/>
      <c r="J218" s="113" t="n"/>
      <c r="K218" s="109" t="n"/>
      <c r="L218" s="72" t="n"/>
      <c r="M218" s="109" t="n"/>
      <c r="N218" s="72" t="n"/>
      <c r="O218" s="79">
        <f>IF(AND(F218&lt;&gt;"",L218&lt;&gt;"Resolved"),1,0)</f>
        <v/>
      </c>
      <c r="P218" s="79">
        <f>IF(F218="","",IF(O218=0,0,IF(H218="High",2,1)))</f>
        <v/>
      </c>
      <c r="Q218" s="112">
        <f>IF(O218=1,IF(K218&lt;&gt;"",K218,IF(H218="High",AsOf,"")),"")</f>
        <v/>
      </c>
      <c r="R218" s="79">
        <f>IF(Q218="","",IF(H218="High",1,IF(Q218="","",IF(Q218&lt;AsOf,1,IF(Q218&lt;=AsOf+AlertDays,2,IF(Q218&lt;=AsOf+2*AlertDays,3,""))))))</f>
        <v/>
      </c>
      <c r="S218" s="79">
        <f>IF(R218="","",IF(H218="High","High-severity issue: ",IF(C218="Punch item","Punch item: ","Issue action due: "))&amp;F218&amp;IF(J218="",""," → "&amp;J218))</f>
        <v/>
      </c>
      <c r="T218" s="79">
        <f>IF(O218=1,IF(I218="",0,I218),0)</f>
        <v/>
      </c>
      <c r="U218" s="79">
        <f>IF(AND(O218=1,H218="High"),1,0)</f>
        <v/>
      </c>
      <c r="V218" s="79">
        <f>IF(AND(O218=1,C218="Punch item"),1,0)</f>
        <v/>
      </c>
    </row>
    <row r="219" ht="24" customHeight="1">
      <c r="B219" s="125" t="n">
        <v>212</v>
      </c>
      <c r="C219" s="72" t="n"/>
      <c r="D219" s="109" t="n"/>
      <c r="E219" s="72" t="n"/>
      <c r="F219" s="113" t="n"/>
      <c r="G219" s="72" t="n"/>
      <c r="H219" s="74" t="n"/>
      <c r="I219" s="73" t="n"/>
      <c r="J219" s="113" t="n"/>
      <c r="K219" s="109" t="n"/>
      <c r="L219" s="72" t="n"/>
      <c r="M219" s="109" t="n"/>
      <c r="N219" s="72" t="n"/>
      <c r="O219" s="79">
        <f>IF(AND(F219&lt;&gt;"",L219&lt;&gt;"Resolved"),1,0)</f>
        <v/>
      </c>
      <c r="P219" s="79">
        <f>IF(F219="","",IF(O219=0,0,IF(H219="High",2,1)))</f>
        <v/>
      </c>
      <c r="Q219" s="112">
        <f>IF(O219=1,IF(K219&lt;&gt;"",K219,IF(H219="High",AsOf,"")),"")</f>
        <v/>
      </c>
      <c r="R219" s="79">
        <f>IF(Q219="","",IF(H219="High",1,IF(Q219="","",IF(Q219&lt;AsOf,1,IF(Q219&lt;=AsOf+AlertDays,2,IF(Q219&lt;=AsOf+2*AlertDays,3,""))))))</f>
        <v/>
      </c>
      <c r="S219" s="79">
        <f>IF(R219="","",IF(H219="High","High-severity issue: ",IF(C219="Punch item","Punch item: ","Issue action due: "))&amp;F219&amp;IF(J219="",""," → "&amp;J219))</f>
        <v/>
      </c>
      <c r="T219" s="79">
        <f>IF(O219=1,IF(I219="",0,I219),0)</f>
        <v/>
      </c>
      <c r="U219" s="79">
        <f>IF(AND(O219=1,H219="High"),1,0)</f>
        <v/>
      </c>
      <c r="V219" s="79">
        <f>IF(AND(O219=1,C219="Punch item"),1,0)</f>
        <v/>
      </c>
    </row>
    <row r="220" ht="24" customHeight="1">
      <c r="B220" s="125" t="n">
        <v>213</v>
      </c>
      <c r="C220" s="72" t="n"/>
      <c r="D220" s="109" t="n"/>
      <c r="E220" s="72" t="n"/>
      <c r="F220" s="113" t="n"/>
      <c r="G220" s="72" t="n"/>
      <c r="H220" s="74" t="n"/>
      <c r="I220" s="73" t="n"/>
      <c r="J220" s="113" t="n"/>
      <c r="K220" s="109" t="n"/>
      <c r="L220" s="72" t="n"/>
      <c r="M220" s="109" t="n"/>
      <c r="N220" s="72" t="n"/>
      <c r="O220" s="79">
        <f>IF(AND(F220&lt;&gt;"",L220&lt;&gt;"Resolved"),1,0)</f>
        <v/>
      </c>
      <c r="P220" s="79">
        <f>IF(F220="","",IF(O220=0,0,IF(H220="High",2,1)))</f>
        <v/>
      </c>
      <c r="Q220" s="112">
        <f>IF(O220=1,IF(K220&lt;&gt;"",K220,IF(H220="High",AsOf,"")),"")</f>
        <v/>
      </c>
      <c r="R220" s="79">
        <f>IF(Q220="","",IF(H220="High",1,IF(Q220="","",IF(Q220&lt;AsOf,1,IF(Q220&lt;=AsOf+AlertDays,2,IF(Q220&lt;=AsOf+2*AlertDays,3,""))))))</f>
        <v/>
      </c>
      <c r="S220" s="79">
        <f>IF(R220="","",IF(H220="High","High-severity issue: ",IF(C220="Punch item","Punch item: ","Issue action due: "))&amp;F220&amp;IF(J220="",""," → "&amp;J220))</f>
        <v/>
      </c>
      <c r="T220" s="79">
        <f>IF(O220=1,IF(I220="",0,I220),0)</f>
        <v/>
      </c>
      <c r="U220" s="79">
        <f>IF(AND(O220=1,H220="High"),1,0)</f>
        <v/>
      </c>
      <c r="V220" s="79">
        <f>IF(AND(O220=1,C220="Punch item"),1,0)</f>
        <v/>
      </c>
    </row>
    <row r="221" ht="24" customHeight="1">
      <c r="B221" s="125" t="n">
        <v>214</v>
      </c>
      <c r="C221" s="72" t="n"/>
      <c r="D221" s="109" t="n"/>
      <c r="E221" s="72" t="n"/>
      <c r="F221" s="113" t="n"/>
      <c r="G221" s="72" t="n"/>
      <c r="H221" s="74" t="n"/>
      <c r="I221" s="73" t="n"/>
      <c r="J221" s="113" t="n"/>
      <c r="K221" s="109" t="n"/>
      <c r="L221" s="72" t="n"/>
      <c r="M221" s="109" t="n"/>
      <c r="N221" s="72" t="n"/>
      <c r="O221" s="79">
        <f>IF(AND(F221&lt;&gt;"",L221&lt;&gt;"Resolved"),1,0)</f>
        <v/>
      </c>
      <c r="P221" s="79">
        <f>IF(F221="","",IF(O221=0,0,IF(H221="High",2,1)))</f>
        <v/>
      </c>
      <c r="Q221" s="112">
        <f>IF(O221=1,IF(K221&lt;&gt;"",K221,IF(H221="High",AsOf,"")),"")</f>
        <v/>
      </c>
      <c r="R221" s="79">
        <f>IF(Q221="","",IF(H221="High",1,IF(Q221="","",IF(Q221&lt;AsOf,1,IF(Q221&lt;=AsOf+AlertDays,2,IF(Q221&lt;=AsOf+2*AlertDays,3,""))))))</f>
        <v/>
      </c>
      <c r="S221" s="79">
        <f>IF(R221="","",IF(H221="High","High-severity issue: ",IF(C221="Punch item","Punch item: ","Issue action due: "))&amp;F221&amp;IF(J221="",""," → "&amp;J221))</f>
        <v/>
      </c>
      <c r="T221" s="79">
        <f>IF(O221=1,IF(I221="",0,I221),0)</f>
        <v/>
      </c>
      <c r="U221" s="79">
        <f>IF(AND(O221=1,H221="High"),1,0)</f>
        <v/>
      </c>
      <c r="V221" s="79">
        <f>IF(AND(O221=1,C221="Punch item"),1,0)</f>
        <v/>
      </c>
    </row>
    <row r="222" ht="24" customHeight="1">
      <c r="B222" s="125" t="n">
        <v>215</v>
      </c>
      <c r="C222" s="72" t="n"/>
      <c r="D222" s="109" t="n"/>
      <c r="E222" s="72" t="n"/>
      <c r="F222" s="113" t="n"/>
      <c r="G222" s="72" t="n"/>
      <c r="H222" s="74" t="n"/>
      <c r="I222" s="73" t="n"/>
      <c r="J222" s="113" t="n"/>
      <c r="K222" s="109" t="n"/>
      <c r="L222" s="72" t="n"/>
      <c r="M222" s="109" t="n"/>
      <c r="N222" s="72" t="n"/>
      <c r="O222" s="79">
        <f>IF(AND(F222&lt;&gt;"",L222&lt;&gt;"Resolved"),1,0)</f>
        <v/>
      </c>
      <c r="P222" s="79">
        <f>IF(F222="","",IF(O222=0,0,IF(H222="High",2,1)))</f>
        <v/>
      </c>
      <c r="Q222" s="112">
        <f>IF(O222=1,IF(K222&lt;&gt;"",K222,IF(H222="High",AsOf,"")),"")</f>
        <v/>
      </c>
      <c r="R222" s="79">
        <f>IF(Q222="","",IF(H222="High",1,IF(Q222="","",IF(Q222&lt;AsOf,1,IF(Q222&lt;=AsOf+AlertDays,2,IF(Q222&lt;=AsOf+2*AlertDays,3,""))))))</f>
        <v/>
      </c>
      <c r="S222" s="79">
        <f>IF(R222="","",IF(H222="High","High-severity issue: ",IF(C222="Punch item","Punch item: ","Issue action due: "))&amp;F222&amp;IF(J222="",""," → "&amp;J222))</f>
        <v/>
      </c>
      <c r="T222" s="79">
        <f>IF(O222=1,IF(I222="",0,I222),0)</f>
        <v/>
      </c>
      <c r="U222" s="79">
        <f>IF(AND(O222=1,H222="High"),1,0)</f>
        <v/>
      </c>
      <c r="V222" s="79">
        <f>IF(AND(O222=1,C222="Punch item"),1,0)</f>
        <v/>
      </c>
    </row>
    <row r="223" ht="24" customHeight="1">
      <c r="B223" s="125" t="n">
        <v>216</v>
      </c>
      <c r="C223" s="72" t="n"/>
      <c r="D223" s="109" t="n"/>
      <c r="E223" s="72" t="n"/>
      <c r="F223" s="113" t="n"/>
      <c r="G223" s="72" t="n"/>
      <c r="H223" s="74" t="n"/>
      <c r="I223" s="73" t="n"/>
      <c r="J223" s="113" t="n"/>
      <c r="K223" s="109" t="n"/>
      <c r="L223" s="72" t="n"/>
      <c r="M223" s="109" t="n"/>
      <c r="N223" s="72" t="n"/>
      <c r="O223" s="79">
        <f>IF(AND(F223&lt;&gt;"",L223&lt;&gt;"Resolved"),1,0)</f>
        <v/>
      </c>
      <c r="P223" s="79">
        <f>IF(F223="","",IF(O223=0,0,IF(H223="High",2,1)))</f>
        <v/>
      </c>
      <c r="Q223" s="112">
        <f>IF(O223=1,IF(K223&lt;&gt;"",K223,IF(H223="High",AsOf,"")),"")</f>
        <v/>
      </c>
      <c r="R223" s="79">
        <f>IF(Q223="","",IF(H223="High",1,IF(Q223="","",IF(Q223&lt;AsOf,1,IF(Q223&lt;=AsOf+AlertDays,2,IF(Q223&lt;=AsOf+2*AlertDays,3,""))))))</f>
        <v/>
      </c>
      <c r="S223" s="79">
        <f>IF(R223="","",IF(H223="High","High-severity issue: ",IF(C223="Punch item","Punch item: ","Issue action due: "))&amp;F223&amp;IF(J223="",""," → "&amp;J223))</f>
        <v/>
      </c>
      <c r="T223" s="79">
        <f>IF(O223=1,IF(I223="",0,I223),0)</f>
        <v/>
      </c>
      <c r="U223" s="79">
        <f>IF(AND(O223=1,H223="High"),1,0)</f>
        <v/>
      </c>
      <c r="V223" s="79">
        <f>IF(AND(O223=1,C223="Punch item"),1,0)</f>
        <v/>
      </c>
    </row>
    <row r="224" ht="24" customHeight="1">
      <c r="B224" s="125" t="n">
        <v>217</v>
      </c>
      <c r="C224" s="72" t="n"/>
      <c r="D224" s="109" t="n"/>
      <c r="E224" s="72" t="n"/>
      <c r="F224" s="113" t="n"/>
      <c r="G224" s="72" t="n"/>
      <c r="H224" s="74" t="n"/>
      <c r="I224" s="73" t="n"/>
      <c r="J224" s="113" t="n"/>
      <c r="K224" s="109" t="n"/>
      <c r="L224" s="72" t="n"/>
      <c r="M224" s="109" t="n"/>
      <c r="N224" s="72" t="n"/>
      <c r="O224" s="79">
        <f>IF(AND(F224&lt;&gt;"",L224&lt;&gt;"Resolved"),1,0)</f>
        <v/>
      </c>
      <c r="P224" s="79">
        <f>IF(F224="","",IF(O224=0,0,IF(H224="High",2,1)))</f>
        <v/>
      </c>
      <c r="Q224" s="112">
        <f>IF(O224=1,IF(K224&lt;&gt;"",K224,IF(H224="High",AsOf,"")),"")</f>
        <v/>
      </c>
      <c r="R224" s="79">
        <f>IF(Q224="","",IF(H224="High",1,IF(Q224="","",IF(Q224&lt;AsOf,1,IF(Q224&lt;=AsOf+AlertDays,2,IF(Q224&lt;=AsOf+2*AlertDays,3,""))))))</f>
        <v/>
      </c>
      <c r="S224" s="79">
        <f>IF(R224="","",IF(H224="High","High-severity issue: ",IF(C224="Punch item","Punch item: ","Issue action due: "))&amp;F224&amp;IF(J224="",""," → "&amp;J224))</f>
        <v/>
      </c>
      <c r="T224" s="79">
        <f>IF(O224=1,IF(I224="",0,I224),0)</f>
        <v/>
      </c>
      <c r="U224" s="79">
        <f>IF(AND(O224=1,H224="High"),1,0)</f>
        <v/>
      </c>
      <c r="V224" s="79">
        <f>IF(AND(O224=1,C224="Punch item"),1,0)</f>
        <v/>
      </c>
    </row>
    <row r="225" ht="24" customHeight="1">
      <c r="B225" s="125" t="n">
        <v>218</v>
      </c>
      <c r="C225" s="72" t="n"/>
      <c r="D225" s="109" t="n"/>
      <c r="E225" s="72" t="n"/>
      <c r="F225" s="113" t="n"/>
      <c r="G225" s="72" t="n"/>
      <c r="H225" s="74" t="n"/>
      <c r="I225" s="73" t="n"/>
      <c r="J225" s="113" t="n"/>
      <c r="K225" s="109" t="n"/>
      <c r="L225" s="72" t="n"/>
      <c r="M225" s="109" t="n"/>
      <c r="N225" s="72" t="n"/>
      <c r="O225" s="79">
        <f>IF(AND(F225&lt;&gt;"",L225&lt;&gt;"Resolved"),1,0)</f>
        <v/>
      </c>
      <c r="P225" s="79">
        <f>IF(F225="","",IF(O225=0,0,IF(H225="High",2,1)))</f>
        <v/>
      </c>
      <c r="Q225" s="112">
        <f>IF(O225=1,IF(K225&lt;&gt;"",K225,IF(H225="High",AsOf,"")),"")</f>
        <v/>
      </c>
      <c r="R225" s="79">
        <f>IF(Q225="","",IF(H225="High",1,IF(Q225="","",IF(Q225&lt;AsOf,1,IF(Q225&lt;=AsOf+AlertDays,2,IF(Q225&lt;=AsOf+2*AlertDays,3,""))))))</f>
        <v/>
      </c>
      <c r="S225" s="79">
        <f>IF(R225="","",IF(H225="High","High-severity issue: ",IF(C225="Punch item","Punch item: ","Issue action due: "))&amp;F225&amp;IF(J225="",""," → "&amp;J225))</f>
        <v/>
      </c>
      <c r="T225" s="79">
        <f>IF(O225=1,IF(I225="",0,I225),0)</f>
        <v/>
      </c>
      <c r="U225" s="79">
        <f>IF(AND(O225=1,H225="High"),1,0)</f>
        <v/>
      </c>
      <c r="V225" s="79">
        <f>IF(AND(O225=1,C225="Punch item"),1,0)</f>
        <v/>
      </c>
    </row>
    <row r="226" ht="24" customHeight="1">
      <c r="B226" s="125" t="n">
        <v>219</v>
      </c>
      <c r="C226" s="72" t="n"/>
      <c r="D226" s="109" t="n"/>
      <c r="E226" s="72" t="n"/>
      <c r="F226" s="113" t="n"/>
      <c r="G226" s="72" t="n"/>
      <c r="H226" s="74" t="n"/>
      <c r="I226" s="73" t="n"/>
      <c r="J226" s="113" t="n"/>
      <c r="K226" s="109" t="n"/>
      <c r="L226" s="72" t="n"/>
      <c r="M226" s="109" t="n"/>
      <c r="N226" s="72" t="n"/>
      <c r="O226" s="79">
        <f>IF(AND(F226&lt;&gt;"",L226&lt;&gt;"Resolved"),1,0)</f>
        <v/>
      </c>
      <c r="P226" s="79">
        <f>IF(F226="","",IF(O226=0,0,IF(H226="High",2,1)))</f>
        <v/>
      </c>
      <c r="Q226" s="112">
        <f>IF(O226=1,IF(K226&lt;&gt;"",K226,IF(H226="High",AsOf,"")),"")</f>
        <v/>
      </c>
      <c r="R226" s="79">
        <f>IF(Q226="","",IF(H226="High",1,IF(Q226="","",IF(Q226&lt;AsOf,1,IF(Q226&lt;=AsOf+AlertDays,2,IF(Q226&lt;=AsOf+2*AlertDays,3,""))))))</f>
        <v/>
      </c>
      <c r="S226" s="79">
        <f>IF(R226="","",IF(H226="High","High-severity issue: ",IF(C226="Punch item","Punch item: ","Issue action due: "))&amp;F226&amp;IF(J226="",""," → "&amp;J226))</f>
        <v/>
      </c>
      <c r="T226" s="79">
        <f>IF(O226=1,IF(I226="",0,I226),0)</f>
        <v/>
      </c>
      <c r="U226" s="79">
        <f>IF(AND(O226=1,H226="High"),1,0)</f>
        <v/>
      </c>
      <c r="V226" s="79">
        <f>IF(AND(O226=1,C226="Punch item"),1,0)</f>
        <v/>
      </c>
    </row>
    <row r="227" ht="24" customHeight="1">
      <c r="B227" s="125" t="n">
        <v>220</v>
      </c>
      <c r="C227" s="72" t="n"/>
      <c r="D227" s="109" t="n"/>
      <c r="E227" s="72" t="n"/>
      <c r="F227" s="113" t="n"/>
      <c r="G227" s="72" t="n"/>
      <c r="H227" s="74" t="n"/>
      <c r="I227" s="73" t="n"/>
      <c r="J227" s="113" t="n"/>
      <c r="K227" s="109" t="n"/>
      <c r="L227" s="72" t="n"/>
      <c r="M227" s="109" t="n"/>
      <c r="N227" s="72" t="n"/>
      <c r="O227" s="79">
        <f>IF(AND(F227&lt;&gt;"",L227&lt;&gt;"Resolved"),1,0)</f>
        <v/>
      </c>
      <c r="P227" s="79">
        <f>IF(F227="","",IF(O227=0,0,IF(H227="High",2,1)))</f>
        <v/>
      </c>
      <c r="Q227" s="112">
        <f>IF(O227=1,IF(K227&lt;&gt;"",K227,IF(H227="High",AsOf,"")),"")</f>
        <v/>
      </c>
      <c r="R227" s="79">
        <f>IF(Q227="","",IF(H227="High",1,IF(Q227="","",IF(Q227&lt;AsOf,1,IF(Q227&lt;=AsOf+AlertDays,2,IF(Q227&lt;=AsOf+2*AlertDays,3,""))))))</f>
        <v/>
      </c>
      <c r="S227" s="79">
        <f>IF(R227="","",IF(H227="High","High-severity issue: ",IF(C227="Punch item","Punch item: ","Issue action due: "))&amp;F227&amp;IF(J227="",""," → "&amp;J227))</f>
        <v/>
      </c>
      <c r="T227" s="79">
        <f>IF(O227=1,IF(I227="",0,I227),0)</f>
        <v/>
      </c>
      <c r="U227" s="79">
        <f>IF(AND(O227=1,H227="High"),1,0)</f>
        <v/>
      </c>
      <c r="V227" s="79">
        <f>IF(AND(O227=1,C227="Punch item"),1,0)</f>
        <v/>
      </c>
    </row>
    <row r="228" ht="24" customHeight="1">
      <c r="B228" s="125" t="n">
        <v>221</v>
      </c>
      <c r="C228" s="72" t="n"/>
      <c r="D228" s="109" t="n"/>
      <c r="E228" s="72" t="n"/>
      <c r="F228" s="113" t="n"/>
      <c r="G228" s="72" t="n"/>
      <c r="H228" s="74" t="n"/>
      <c r="I228" s="73" t="n"/>
      <c r="J228" s="113" t="n"/>
      <c r="K228" s="109" t="n"/>
      <c r="L228" s="72" t="n"/>
      <c r="M228" s="109" t="n"/>
      <c r="N228" s="72" t="n"/>
      <c r="O228" s="79">
        <f>IF(AND(F228&lt;&gt;"",L228&lt;&gt;"Resolved"),1,0)</f>
        <v/>
      </c>
      <c r="P228" s="79">
        <f>IF(F228="","",IF(O228=0,0,IF(H228="High",2,1)))</f>
        <v/>
      </c>
      <c r="Q228" s="112">
        <f>IF(O228=1,IF(K228&lt;&gt;"",K228,IF(H228="High",AsOf,"")),"")</f>
        <v/>
      </c>
      <c r="R228" s="79">
        <f>IF(Q228="","",IF(H228="High",1,IF(Q228="","",IF(Q228&lt;AsOf,1,IF(Q228&lt;=AsOf+AlertDays,2,IF(Q228&lt;=AsOf+2*AlertDays,3,""))))))</f>
        <v/>
      </c>
      <c r="S228" s="79">
        <f>IF(R228="","",IF(H228="High","High-severity issue: ",IF(C228="Punch item","Punch item: ","Issue action due: "))&amp;F228&amp;IF(J228="",""," → "&amp;J228))</f>
        <v/>
      </c>
      <c r="T228" s="79">
        <f>IF(O228=1,IF(I228="",0,I228),0)</f>
        <v/>
      </c>
      <c r="U228" s="79">
        <f>IF(AND(O228=1,H228="High"),1,0)</f>
        <v/>
      </c>
      <c r="V228" s="79">
        <f>IF(AND(O228=1,C228="Punch item"),1,0)</f>
        <v/>
      </c>
    </row>
    <row r="229" ht="24" customHeight="1">
      <c r="B229" s="125" t="n">
        <v>222</v>
      </c>
      <c r="C229" s="72" t="n"/>
      <c r="D229" s="109" t="n"/>
      <c r="E229" s="72" t="n"/>
      <c r="F229" s="113" t="n"/>
      <c r="G229" s="72" t="n"/>
      <c r="H229" s="74" t="n"/>
      <c r="I229" s="73" t="n"/>
      <c r="J229" s="113" t="n"/>
      <c r="K229" s="109" t="n"/>
      <c r="L229" s="72" t="n"/>
      <c r="M229" s="109" t="n"/>
      <c r="N229" s="72" t="n"/>
      <c r="O229" s="79">
        <f>IF(AND(F229&lt;&gt;"",L229&lt;&gt;"Resolved"),1,0)</f>
        <v/>
      </c>
      <c r="P229" s="79">
        <f>IF(F229="","",IF(O229=0,0,IF(H229="High",2,1)))</f>
        <v/>
      </c>
      <c r="Q229" s="112">
        <f>IF(O229=1,IF(K229&lt;&gt;"",K229,IF(H229="High",AsOf,"")),"")</f>
        <v/>
      </c>
      <c r="R229" s="79">
        <f>IF(Q229="","",IF(H229="High",1,IF(Q229="","",IF(Q229&lt;AsOf,1,IF(Q229&lt;=AsOf+AlertDays,2,IF(Q229&lt;=AsOf+2*AlertDays,3,""))))))</f>
        <v/>
      </c>
      <c r="S229" s="79">
        <f>IF(R229="","",IF(H229="High","High-severity issue: ",IF(C229="Punch item","Punch item: ","Issue action due: "))&amp;F229&amp;IF(J229="",""," → "&amp;J229))</f>
        <v/>
      </c>
      <c r="T229" s="79">
        <f>IF(O229=1,IF(I229="",0,I229),0)</f>
        <v/>
      </c>
      <c r="U229" s="79">
        <f>IF(AND(O229=1,H229="High"),1,0)</f>
        <v/>
      </c>
      <c r="V229" s="79">
        <f>IF(AND(O229=1,C229="Punch item"),1,0)</f>
        <v/>
      </c>
    </row>
    <row r="230" ht="24" customHeight="1">
      <c r="B230" s="125" t="n">
        <v>223</v>
      </c>
      <c r="C230" s="72" t="n"/>
      <c r="D230" s="109" t="n"/>
      <c r="E230" s="72" t="n"/>
      <c r="F230" s="113" t="n"/>
      <c r="G230" s="72" t="n"/>
      <c r="H230" s="74" t="n"/>
      <c r="I230" s="73" t="n"/>
      <c r="J230" s="113" t="n"/>
      <c r="K230" s="109" t="n"/>
      <c r="L230" s="72" t="n"/>
      <c r="M230" s="109" t="n"/>
      <c r="N230" s="72" t="n"/>
      <c r="O230" s="79">
        <f>IF(AND(F230&lt;&gt;"",L230&lt;&gt;"Resolved"),1,0)</f>
        <v/>
      </c>
      <c r="P230" s="79">
        <f>IF(F230="","",IF(O230=0,0,IF(H230="High",2,1)))</f>
        <v/>
      </c>
      <c r="Q230" s="112">
        <f>IF(O230=1,IF(K230&lt;&gt;"",K230,IF(H230="High",AsOf,"")),"")</f>
        <v/>
      </c>
      <c r="R230" s="79">
        <f>IF(Q230="","",IF(H230="High",1,IF(Q230="","",IF(Q230&lt;AsOf,1,IF(Q230&lt;=AsOf+AlertDays,2,IF(Q230&lt;=AsOf+2*AlertDays,3,""))))))</f>
        <v/>
      </c>
      <c r="S230" s="79">
        <f>IF(R230="","",IF(H230="High","High-severity issue: ",IF(C230="Punch item","Punch item: ","Issue action due: "))&amp;F230&amp;IF(J230="",""," → "&amp;J230))</f>
        <v/>
      </c>
      <c r="T230" s="79">
        <f>IF(O230=1,IF(I230="",0,I230),0)</f>
        <v/>
      </c>
      <c r="U230" s="79">
        <f>IF(AND(O230=1,H230="High"),1,0)</f>
        <v/>
      </c>
      <c r="V230" s="79">
        <f>IF(AND(O230=1,C230="Punch item"),1,0)</f>
        <v/>
      </c>
    </row>
    <row r="231" ht="24" customHeight="1">
      <c r="B231" s="125" t="n">
        <v>224</v>
      </c>
      <c r="C231" s="72" t="n"/>
      <c r="D231" s="109" t="n"/>
      <c r="E231" s="72" t="n"/>
      <c r="F231" s="113" t="n"/>
      <c r="G231" s="72" t="n"/>
      <c r="H231" s="74" t="n"/>
      <c r="I231" s="73" t="n"/>
      <c r="J231" s="113" t="n"/>
      <c r="K231" s="109" t="n"/>
      <c r="L231" s="72" t="n"/>
      <c r="M231" s="109" t="n"/>
      <c r="N231" s="72" t="n"/>
      <c r="O231" s="79">
        <f>IF(AND(F231&lt;&gt;"",L231&lt;&gt;"Resolved"),1,0)</f>
        <v/>
      </c>
      <c r="P231" s="79">
        <f>IF(F231="","",IF(O231=0,0,IF(H231="High",2,1)))</f>
        <v/>
      </c>
      <c r="Q231" s="112">
        <f>IF(O231=1,IF(K231&lt;&gt;"",K231,IF(H231="High",AsOf,"")),"")</f>
        <v/>
      </c>
      <c r="R231" s="79">
        <f>IF(Q231="","",IF(H231="High",1,IF(Q231="","",IF(Q231&lt;AsOf,1,IF(Q231&lt;=AsOf+AlertDays,2,IF(Q231&lt;=AsOf+2*AlertDays,3,""))))))</f>
        <v/>
      </c>
      <c r="S231" s="79">
        <f>IF(R231="","",IF(H231="High","High-severity issue: ",IF(C231="Punch item","Punch item: ","Issue action due: "))&amp;F231&amp;IF(J231="",""," → "&amp;J231))</f>
        <v/>
      </c>
      <c r="T231" s="79">
        <f>IF(O231=1,IF(I231="",0,I231),0)</f>
        <v/>
      </c>
      <c r="U231" s="79">
        <f>IF(AND(O231=1,H231="High"),1,0)</f>
        <v/>
      </c>
      <c r="V231" s="79">
        <f>IF(AND(O231=1,C231="Punch item"),1,0)</f>
        <v/>
      </c>
    </row>
    <row r="232" ht="24" customHeight="1">
      <c r="B232" s="125" t="n">
        <v>225</v>
      </c>
      <c r="C232" s="72" t="n"/>
      <c r="D232" s="109" t="n"/>
      <c r="E232" s="72" t="n"/>
      <c r="F232" s="113" t="n"/>
      <c r="G232" s="72" t="n"/>
      <c r="H232" s="74" t="n"/>
      <c r="I232" s="73" t="n"/>
      <c r="J232" s="113" t="n"/>
      <c r="K232" s="109" t="n"/>
      <c r="L232" s="72" t="n"/>
      <c r="M232" s="109" t="n"/>
      <c r="N232" s="72" t="n"/>
      <c r="O232" s="79">
        <f>IF(AND(F232&lt;&gt;"",L232&lt;&gt;"Resolved"),1,0)</f>
        <v/>
      </c>
      <c r="P232" s="79">
        <f>IF(F232="","",IF(O232=0,0,IF(H232="High",2,1)))</f>
        <v/>
      </c>
      <c r="Q232" s="112">
        <f>IF(O232=1,IF(K232&lt;&gt;"",K232,IF(H232="High",AsOf,"")),"")</f>
        <v/>
      </c>
      <c r="R232" s="79">
        <f>IF(Q232="","",IF(H232="High",1,IF(Q232="","",IF(Q232&lt;AsOf,1,IF(Q232&lt;=AsOf+AlertDays,2,IF(Q232&lt;=AsOf+2*AlertDays,3,""))))))</f>
        <v/>
      </c>
      <c r="S232" s="79">
        <f>IF(R232="","",IF(H232="High","High-severity issue: ",IF(C232="Punch item","Punch item: ","Issue action due: "))&amp;F232&amp;IF(J232="",""," → "&amp;J232))</f>
        <v/>
      </c>
      <c r="T232" s="79">
        <f>IF(O232=1,IF(I232="",0,I232),0)</f>
        <v/>
      </c>
      <c r="U232" s="79">
        <f>IF(AND(O232=1,H232="High"),1,0)</f>
        <v/>
      </c>
      <c r="V232" s="79">
        <f>IF(AND(O232=1,C232="Punch item"),1,0)</f>
        <v/>
      </c>
    </row>
    <row r="233" ht="24" customHeight="1">
      <c r="B233" s="125" t="n">
        <v>226</v>
      </c>
      <c r="C233" s="72" t="n"/>
      <c r="D233" s="109" t="n"/>
      <c r="E233" s="72" t="n"/>
      <c r="F233" s="113" t="n"/>
      <c r="G233" s="72" t="n"/>
      <c r="H233" s="74" t="n"/>
      <c r="I233" s="73" t="n"/>
      <c r="J233" s="113" t="n"/>
      <c r="K233" s="109" t="n"/>
      <c r="L233" s="72" t="n"/>
      <c r="M233" s="109" t="n"/>
      <c r="N233" s="72" t="n"/>
      <c r="O233" s="79">
        <f>IF(AND(F233&lt;&gt;"",L233&lt;&gt;"Resolved"),1,0)</f>
        <v/>
      </c>
      <c r="P233" s="79">
        <f>IF(F233="","",IF(O233=0,0,IF(H233="High",2,1)))</f>
        <v/>
      </c>
      <c r="Q233" s="112">
        <f>IF(O233=1,IF(K233&lt;&gt;"",K233,IF(H233="High",AsOf,"")),"")</f>
        <v/>
      </c>
      <c r="R233" s="79">
        <f>IF(Q233="","",IF(H233="High",1,IF(Q233="","",IF(Q233&lt;AsOf,1,IF(Q233&lt;=AsOf+AlertDays,2,IF(Q233&lt;=AsOf+2*AlertDays,3,""))))))</f>
        <v/>
      </c>
      <c r="S233" s="79">
        <f>IF(R233="","",IF(H233="High","High-severity issue: ",IF(C233="Punch item","Punch item: ","Issue action due: "))&amp;F233&amp;IF(J233="",""," → "&amp;J233))</f>
        <v/>
      </c>
      <c r="T233" s="79">
        <f>IF(O233=1,IF(I233="",0,I233),0)</f>
        <v/>
      </c>
      <c r="U233" s="79">
        <f>IF(AND(O233=1,H233="High"),1,0)</f>
        <v/>
      </c>
      <c r="V233" s="79">
        <f>IF(AND(O233=1,C233="Punch item"),1,0)</f>
        <v/>
      </c>
    </row>
    <row r="234" ht="24" customHeight="1">
      <c r="B234" s="125" t="n">
        <v>227</v>
      </c>
      <c r="C234" s="72" t="n"/>
      <c r="D234" s="109" t="n"/>
      <c r="E234" s="72" t="n"/>
      <c r="F234" s="113" t="n"/>
      <c r="G234" s="72" t="n"/>
      <c r="H234" s="74" t="n"/>
      <c r="I234" s="73" t="n"/>
      <c r="J234" s="113" t="n"/>
      <c r="K234" s="109" t="n"/>
      <c r="L234" s="72" t="n"/>
      <c r="M234" s="109" t="n"/>
      <c r="N234" s="72" t="n"/>
      <c r="O234" s="79">
        <f>IF(AND(F234&lt;&gt;"",L234&lt;&gt;"Resolved"),1,0)</f>
        <v/>
      </c>
      <c r="P234" s="79">
        <f>IF(F234="","",IF(O234=0,0,IF(H234="High",2,1)))</f>
        <v/>
      </c>
      <c r="Q234" s="112">
        <f>IF(O234=1,IF(K234&lt;&gt;"",K234,IF(H234="High",AsOf,"")),"")</f>
        <v/>
      </c>
      <c r="R234" s="79">
        <f>IF(Q234="","",IF(H234="High",1,IF(Q234="","",IF(Q234&lt;AsOf,1,IF(Q234&lt;=AsOf+AlertDays,2,IF(Q234&lt;=AsOf+2*AlertDays,3,""))))))</f>
        <v/>
      </c>
      <c r="S234" s="79">
        <f>IF(R234="","",IF(H234="High","High-severity issue: ",IF(C234="Punch item","Punch item: ","Issue action due: "))&amp;F234&amp;IF(J234="",""," → "&amp;J234))</f>
        <v/>
      </c>
      <c r="T234" s="79">
        <f>IF(O234=1,IF(I234="",0,I234),0)</f>
        <v/>
      </c>
      <c r="U234" s="79">
        <f>IF(AND(O234=1,H234="High"),1,0)</f>
        <v/>
      </c>
      <c r="V234" s="79">
        <f>IF(AND(O234=1,C234="Punch item"),1,0)</f>
        <v/>
      </c>
    </row>
    <row r="235" ht="24" customHeight="1">
      <c r="B235" s="125" t="n">
        <v>228</v>
      </c>
      <c r="C235" s="72" t="n"/>
      <c r="D235" s="109" t="n"/>
      <c r="E235" s="72" t="n"/>
      <c r="F235" s="113" t="n"/>
      <c r="G235" s="72" t="n"/>
      <c r="H235" s="74" t="n"/>
      <c r="I235" s="73" t="n"/>
      <c r="J235" s="113" t="n"/>
      <c r="K235" s="109" t="n"/>
      <c r="L235" s="72" t="n"/>
      <c r="M235" s="109" t="n"/>
      <c r="N235" s="72" t="n"/>
      <c r="O235" s="79">
        <f>IF(AND(F235&lt;&gt;"",L235&lt;&gt;"Resolved"),1,0)</f>
        <v/>
      </c>
      <c r="P235" s="79">
        <f>IF(F235="","",IF(O235=0,0,IF(H235="High",2,1)))</f>
        <v/>
      </c>
      <c r="Q235" s="112">
        <f>IF(O235=1,IF(K235&lt;&gt;"",K235,IF(H235="High",AsOf,"")),"")</f>
        <v/>
      </c>
      <c r="R235" s="79">
        <f>IF(Q235="","",IF(H235="High",1,IF(Q235="","",IF(Q235&lt;AsOf,1,IF(Q235&lt;=AsOf+AlertDays,2,IF(Q235&lt;=AsOf+2*AlertDays,3,""))))))</f>
        <v/>
      </c>
      <c r="S235" s="79">
        <f>IF(R235="","",IF(H235="High","High-severity issue: ",IF(C235="Punch item","Punch item: ","Issue action due: "))&amp;F235&amp;IF(J235="",""," → "&amp;J235))</f>
        <v/>
      </c>
      <c r="T235" s="79">
        <f>IF(O235=1,IF(I235="",0,I235),0)</f>
        <v/>
      </c>
      <c r="U235" s="79">
        <f>IF(AND(O235=1,H235="High"),1,0)</f>
        <v/>
      </c>
      <c r="V235" s="79">
        <f>IF(AND(O235=1,C235="Punch item"),1,0)</f>
        <v/>
      </c>
    </row>
    <row r="236" ht="24" customHeight="1">
      <c r="B236" s="125" t="n">
        <v>229</v>
      </c>
      <c r="C236" s="72" t="n"/>
      <c r="D236" s="109" t="n"/>
      <c r="E236" s="72" t="n"/>
      <c r="F236" s="113" t="n"/>
      <c r="G236" s="72" t="n"/>
      <c r="H236" s="74" t="n"/>
      <c r="I236" s="73" t="n"/>
      <c r="J236" s="113" t="n"/>
      <c r="K236" s="109" t="n"/>
      <c r="L236" s="72" t="n"/>
      <c r="M236" s="109" t="n"/>
      <c r="N236" s="72" t="n"/>
      <c r="O236" s="79">
        <f>IF(AND(F236&lt;&gt;"",L236&lt;&gt;"Resolved"),1,0)</f>
        <v/>
      </c>
      <c r="P236" s="79">
        <f>IF(F236="","",IF(O236=0,0,IF(H236="High",2,1)))</f>
        <v/>
      </c>
      <c r="Q236" s="112">
        <f>IF(O236=1,IF(K236&lt;&gt;"",K236,IF(H236="High",AsOf,"")),"")</f>
        <v/>
      </c>
      <c r="R236" s="79">
        <f>IF(Q236="","",IF(H236="High",1,IF(Q236="","",IF(Q236&lt;AsOf,1,IF(Q236&lt;=AsOf+AlertDays,2,IF(Q236&lt;=AsOf+2*AlertDays,3,""))))))</f>
        <v/>
      </c>
      <c r="S236" s="79">
        <f>IF(R236="","",IF(H236="High","High-severity issue: ",IF(C236="Punch item","Punch item: ","Issue action due: "))&amp;F236&amp;IF(J236="",""," → "&amp;J236))</f>
        <v/>
      </c>
      <c r="T236" s="79">
        <f>IF(O236=1,IF(I236="",0,I236),0)</f>
        <v/>
      </c>
      <c r="U236" s="79">
        <f>IF(AND(O236=1,H236="High"),1,0)</f>
        <v/>
      </c>
      <c r="V236" s="79">
        <f>IF(AND(O236=1,C236="Punch item"),1,0)</f>
        <v/>
      </c>
    </row>
    <row r="237" ht="24" customHeight="1">
      <c r="B237" s="125" t="n">
        <v>230</v>
      </c>
      <c r="C237" s="72" t="n"/>
      <c r="D237" s="109" t="n"/>
      <c r="E237" s="72" t="n"/>
      <c r="F237" s="113" t="n"/>
      <c r="G237" s="72" t="n"/>
      <c r="H237" s="74" t="n"/>
      <c r="I237" s="73" t="n"/>
      <c r="J237" s="113" t="n"/>
      <c r="K237" s="109" t="n"/>
      <c r="L237" s="72" t="n"/>
      <c r="M237" s="109" t="n"/>
      <c r="N237" s="72" t="n"/>
      <c r="O237" s="79">
        <f>IF(AND(F237&lt;&gt;"",L237&lt;&gt;"Resolved"),1,0)</f>
        <v/>
      </c>
      <c r="P237" s="79">
        <f>IF(F237="","",IF(O237=0,0,IF(H237="High",2,1)))</f>
        <v/>
      </c>
      <c r="Q237" s="112">
        <f>IF(O237=1,IF(K237&lt;&gt;"",K237,IF(H237="High",AsOf,"")),"")</f>
        <v/>
      </c>
      <c r="R237" s="79">
        <f>IF(Q237="","",IF(H237="High",1,IF(Q237="","",IF(Q237&lt;AsOf,1,IF(Q237&lt;=AsOf+AlertDays,2,IF(Q237&lt;=AsOf+2*AlertDays,3,""))))))</f>
        <v/>
      </c>
      <c r="S237" s="79">
        <f>IF(R237="","",IF(H237="High","High-severity issue: ",IF(C237="Punch item","Punch item: ","Issue action due: "))&amp;F237&amp;IF(J237="",""," → "&amp;J237))</f>
        <v/>
      </c>
      <c r="T237" s="79">
        <f>IF(O237=1,IF(I237="",0,I237),0)</f>
        <v/>
      </c>
      <c r="U237" s="79">
        <f>IF(AND(O237=1,H237="High"),1,0)</f>
        <v/>
      </c>
      <c r="V237" s="79">
        <f>IF(AND(O237=1,C237="Punch item"),1,0)</f>
        <v/>
      </c>
    </row>
    <row r="238" ht="24" customHeight="1">
      <c r="B238" s="125" t="n">
        <v>231</v>
      </c>
      <c r="C238" s="72" t="n"/>
      <c r="D238" s="109" t="n"/>
      <c r="E238" s="72" t="n"/>
      <c r="F238" s="113" t="n"/>
      <c r="G238" s="72" t="n"/>
      <c r="H238" s="74" t="n"/>
      <c r="I238" s="73" t="n"/>
      <c r="J238" s="113" t="n"/>
      <c r="K238" s="109" t="n"/>
      <c r="L238" s="72" t="n"/>
      <c r="M238" s="109" t="n"/>
      <c r="N238" s="72" t="n"/>
      <c r="O238" s="79">
        <f>IF(AND(F238&lt;&gt;"",L238&lt;&gt;"Resolved"),1,0)</f>
        <v/>
      </c>
      <c r="P238" s="79">
        <f>IF(F238="","",IF(O238=0,0,IF(H238="High",2,1)))</f>
        <v/>
      </c>
      <c r="Q238" s="112">
        <f>IF(O238=1,IF(K238&lt;&gt;"",K238,IF(H238="High",AsOf,"")),"")</f>
        <v/>
      </c>
      <c r="R238" s="79">
        <f>IF(Q238="","",IF(H238="High",1,IF(Q238="","",IF(Q238&lt;AsOf,1,IF(Q238&lt;=AsOf+AlertDays,2,IF(Q238&lt;=AsOf+2*AlertDays,3,""))))))</f>
        <v/>
      </c>
      <c r="S238" s="79">
        <f>IF(R238="","",IF(H238="High","High-severity issue: ",IF(C238="Punch item","Punch item: ","Issue action due: "))&amp;F238&amp;IF(J238="",""," → "&amp;J238))</f>
        <v/>
      </c>
      <c r="T238" s="79">
        <f>IF(O238=1,IF(I238="",0,I238),0)</f>
        <v/>
      </c>
      <c r="U238" s="79">
        <f>IF(AND(O238=1,H238="High"),1,0)</f>
        <v/>
      </c>
      <c r="V238" s="79">
        <f>IF(AND(O238=1,C238="Punch item"),1,0)</f>
        <v/>
      </c>
    </row>
    <row r="239" ht="24" customHeight="1">
      <c r="B239" s="125" t="n">
        <v>232</v>
      </c>
      <c r="C239" s="72" t="n"/>
      <c r="D239" s="109" t="n"/>
      <c r="E239" s="72" t="n"/>
      <c r="F239" s="113" t="n"/>
      <c r="G239" s="72" t="n"/>
      <c r="H239" s="74" t="n"/>
      <c r="I239" s="73" t="n"/>
      <c r="J239" s="113" t="n"/>
      <c r="K239" s="109" t="n"/>
      <c r="L239" s="72" t="n"/>
      <c r="M239" s="109" t="n"/>
      <c r="N239" s="72" t="n"/>
      <c r="O239" s="79">
        <f>IF(AND(F239&lt;&gt;"",L239&lt;&gt;"Resolved"),1,0)</f>
        <v/>
      </c>
      <c r="P239" s="79">
        <f>IF(F239="","",IF(O239=0,0,IF(H239="High",2,1)))</f>
        <v/>
      </c>
      <c r="Q239" s="112">
        <f>IF(O239=1,IF(K239&lt;&gt;"",K239,IF(H239="High",AsOf,"")),"")</f>
        <v/>
      </c>
      <c r="R239" s="79">
        <f>IF(Q239="","",IF(H239="High",1,IF(Q239="","",IF(Q239&lt;AsOf,1,IF(Q239&lt;=AsOf+AlertDays,2,IF(Q239&lt;=AsOf+2*AlertDays,3,""))))))</f>
        <v/>
      </c>
      <c r="S239" s="79">
        <f>IF(R239="","",IF(H239="High","High-severity issue: ",IF(C239="Punch item","Punch item: ","Issue action due: "))&amp;F239&amp;IF(J239="",""," → "&amp;J239))</f>
        <v/>
      </c>
      <c r="T239" s="79">
        <f>IF(O239=1,IF(I239="",0,I239),0)</f>
        <v/>
      </c>
      <c r="U239" s="79">
        <f>IF(AND(O239=1,H239="High"),1,0)</f>
        <v/>
      </c>
      <c r="V239" s="79">
        <f>IF(AND(O239=1,C239="Punch item"),1,0)</f>
        <v/>
      </c>
    </row>
    <row r="240" ht="24" customHeight="1">
      <c r="B240" s="125" t="n">
        <v>233</v>
      </c>
      <c r="C240" s="72" t="n"/>
      <c r="D240" s="109" t="n"/>
      <c r="E240" s="72" t="n"/>
      <c r="F240" s="113" t="n"/>
      <c r="G240" s="72" t="n"/>
      <c r="H240" s="74" t="n"/>
      <c r="I240" s="73" t="n"/>
      <c r="J240" s="113" t="n"/>
      <c r="K240" s="109" t="n"/>
      <c r="L240" s="72" t="n"/>
      <c r="M240" s="109" t="n"/>
      <c r="N240" s="72" t="n"/>
      <c r="O240" s="79">
        <f>IF(AND(F240&lt;&gt;"",L240&lt;&gt;"Resolved"),1,0)</f>
        <v/>
      </c>
      <c r="P240" s="79">
        <f>IF(F240="","",IF(O240=0,0,IF(H240="High",2,1)))</f>
        <v/>
      </c>
      <c r="Q240" s="112">
        <f>IF(O240=1,IF(K240&lt;&gt;"",K240,IF(H240="High",AsOf,"")),"")</f>
        <v/>
      </c>
      <c r="R240" s="79">
        <f>IF(Q240="","",IF(H240="High",1,IF(Q240="","",IF(Q240&lt;AsOf,1,IF(Q240&lt;=AsOf+AlertDays,2,IF(Q240&lt;=AsOf+2*AlertDays,3,""))))))</f>
        <v/>
      </c>
      <c r="S240" s="79">
        <f>IF(R240="","",IF(H240="High","High-severity issue: ",IF(C240="Punch item","Punch item: ","Issue action due: "))&amp;F240&amp;IF(J240="",""," → "&amp;J240))</f>
        <v/>
      </c>
      <c r="T240" s="79">
        <f>IF(O240=1,IF(I240="",0,I240),0)</f>
        <v/>
      </c>
      <c r="U240" s="79">
        <f>IF(AND(O240=1,H240="High"),1,0)</f>
        <v/>
      </c>
      <c r="V240" s="79">
        <f>IF(AND(O240=1,C240="Punch item"),1,0)</f>
        <v/>
      </c>
    </row>
    <row r="241" ht="24" customHeight="1">
      <c r="B241" s="125" t="n">
        <v>234</v>
      </c>
      <c r="C241" s="72" t="n"/>
      <c r="D241" s="109" t="n"/>
      <c r="E241" s="72" t="n"/>
      <c r="F241" s="113" t="n"/>
      <c r="G241" s="72" t="n"/>
      <c r="H241" s="74" t="n"/>
      <c r="I241" s="73" t="n"/>
      <c r="J241" s="113" t="n"/>
      <c r="K241" s="109" t="n"/>
      <c r="L241" s="72" t="n"/>
      <c r="M241" s="109" t="n"/>
      <c r="N241" s="72" t="n"/>
      <c r="O241" s="79">
        <f>IF(AND(F241&lt;&gt;"",L241&lt;&gt;"Resolved"),1,0)</f>
        <v/>
      </c>
      <c r="P241" s="79">
        <f>IF(F241="","",IF(O241=0,0,IF(H241="High",2,1)))</f>
        <v/>
      </c>
      <c r="Q241" s="112">
        <f>IF(O241=1,IF(K241&lt;&gt;"",K241,IF(H241="High",AsOf,"")),"")</f>
        <v/>
      </c>
      <c r="R241" s="79">
        <f>IF(Q241="","",IF(H241="High",1,IF(Q241="","",IF(Q241&lt;AsOf,1,IF(Q241&lt;=AsOf+AlertDays,2,IF(Q241&lt;=AsOf+2*AlertDays,3,""))))))</f>
        <v/>
      </c>
      <c r="S241" s="79">
        <f>IF(R241="","",IF(H241="High","High-severity issue: ",IF(C241="Punch item","Punch item: ","Issue action due: "))&amp;F241&amp;IF(J241="",""," → "&amp;J241))</f>
        <v/>
      </c>
      <c r="T241" s="79">
        <f>IF(O241=1,IF(I241="",0,I241),0)</f>
        <v/>
      </c>
      <c r="U241" s="79">
        <f>IF(AND(O241=1,H241="High"),1,0)</f>
        <v/>
      </c>
      <c r="V241" s="79">
        <f>IF(AND(O241=1,C241="Punch item"),1,0)</f>
        <v/>
      </c>
    </row>
    <row r="242" ht="24" customHeight="1">
      <c r="B242" s="125" t="n">
        <v>235</v>
      </c>
      <c r="C242" s="72" t="n"/>
      <c r="D242" s="109" t="n"/>
      <c r="E242" s="72" t="n"/>
      <c r="F242" s="113" t="n"/>
      <c r="G242" s="72" t="n"/>
      <c r="H242" s="74" t="n"/>
      <c r="I242" s="73" t="n"/>
      <c r="J242" s="113" t="n"/>
      <c r="K242" s="109" t="n"/>
      <c r="L242" s="72" t="n"/>
      <c r="M242" s="109" t="n"/>
      <c r="N242" s="72" t="n"/>
      <c r="O242" s="79">
        <f>IF(AND(F242&lt;&gt;"",L242&lt;&gt;"Resolved"),1,0)</f>
        <v/>
      </c>
      <c r="P242" s="79">
        <f>IF(F242="","",IF(O242=0,0,IF(H242="High",2,1)))</f>
        <v/>
      </c>
      <c r="Q242" s="112">
        <f>IF(O242=1,IF(K242&lt;&gt;"",K242,IF(H242="High",AsOf,"")),"")</f>
        <v/>
      </c>
      <c r="R242" s="79">
        <f>IF(Q242="","",IF(H242="High",1,IF(Q242="","",IF(Q242&lt;AsOf,1,IF(Q242&lt;=AsOf+AlertDays,2,IF(Q242&lt;=AsOf+2*AlertDays,3,""))))))</f>
        <v/>
      </c>
      <c r="S242" s="79">
        <f>IF(R242="","",IF(H242="High","High-severity issue: ",IF(C242="Punch item","Punch item: ","Issue action due: "))&amp;F242&amp;IF(J242="",""," → "&amp;J242))</f>
        <v/>
      </c>
      <c r="T242" s="79">
        <f>IF(O242=1,IF(I242="",0,I242),0)</f>
        <v/>
      </c>
      <c r="U242" s="79">
        <f>IF(AND(O242=1,H242="High"),1,0)</f>
        <v/>
      </c>
      <c r="V242" s="79">
        <f>IF(AND(O242=1,C242="Punch item"),1,0)</f>
        <v/>
      </c>
    </row>
    <row r="243" ht="24" customHeight="1">
      <c r="B243" s="125" t="n">
        <v>236</v>
      </c>
      <c r="C243" s="72" t="n"/>
      <c r="D243" s="109" t="n"/>
      <c r="E243" s="72" t="n"/>
      <c r="F243" s="113" t="n"/>
      <c r="G243" s="72" t="n"/>
      <c r="H243" s="74" t="n"/>
      <c r="I243" s="73" t="n"/>
      <c r="J243" s="113" t="n"/>
      <c r="K243" s="109" t="n"/>
      <c r="L243" s="72" t="n"/>
      <c r="M243" s="109" t="n"/>
      <c r="N243" s="72" t="n"/>
      <c r="O243" s="79">
        <f>IF(AND(F243&lt;&gt;"",L243&lt;&gt;"Resolved"),1,0)</f>
        <v/>
      </c>
      <c r="P243" s="79">
        <f>IF(F243="","",IF(O243=0,0,IF(H243="High",2,1)))</f>
        <v/>
      </c>
      <c r="Q243" s="112">
        <f>IF(O243=1,IF(K243&lt;&gt;"",K243,IF(H243="High",AsOf,"")),"")</f>
        <v/>
      </c>
      <c r="R243" s="79">
        <f>IF(Q243="","",IF(H243="High",1,IF(Q243="","",IF(Q243&lt;AsOf,1,IF(Q243&lt;=AsOf+AlertDays,2,IF(Q243&lt;=AsOf+2*AlertDays,3,""))))))</f>
        <v/>
      </c>
      <c r="S243" s="79">
        <f>IF(R243="","",IF(H243="High","High-severity issue: ",IF(C243="Punch item","Punch item: ","Issue action due: "))&amp;F243&amp;IF(J243="",""," → "&amp;J243))</f>
        <v/>
      </c>
      <c r="T243" s="79">
        <f>IF(O243=1,IF(I243="",0,I243),0)</f>
        <v/>
      </c>
      <c r="U243" s="79">
        <f>IF(AND(O243=1,H243="High"),1,0)</f>
        <v/>
      </c>
      <c r="V243" s="79">
        <f>IF(AND(O243=1,C243="Punch item"),1,0)</f>
        <v/>
      </c>
    </row>
    <row r="244" ht="24" customHeight="1">
      <c r="B244" s="125" t="n">
        <v>237</v>
      </c>
      <c r="C244" s="72" t="n"/>
      <c r="D244" s="109" t="n"/>
      <c r="E244" s="72" t="n"/>
      <c r="F244" s="113" t="n"/>
      <c r="G244" s="72" t="n"/>
      <c r="H244" s="74" t="n"/>
      <c r="I244" s="73" t="n"/>
      <c r="J244" s="113" t="n"/>
      <c r="K244" s="109" t="n"/>
      <c r="L244" s="72" t="n"/>
      <c r="M244" s="109" t="n"/>
      <c r="N244" s="72" t="n"/>
      <c r="O244" s="79">
        <f>IF(AND(F244&lt;&gt;"",L244&lt;&gt;"Resolved"),1,0)</f>
        <v/>
      </c>
      <c r="P244" s="79">
        <f>IF(F244="","",IF(O244=0,0,IF(H244="High",2,1)))</f>
        <v/>
      </c>
      <c r="Q244" s="112">
        <f>IF(O244=1,IF(K244&lt;&gt;"",K244,IF(H244="High",AsOf,"")),"")</f>
        <v/>
      </c>
      <c r="R244" s="79">
        <f>IF(Q244="","",IF(H244="High",1,IF(Q244="","",IF(Q244&lt;AsOf,1,IF(Q244&lt;=AsOf+AlertDays,2,IF(Q244&lt;=AsOf+2*AlertDays,3,""))))))</f>
        <v/>
      </c>
      <c r="S244" s="79">
        <f>IF(R244="","",IF(H244="High","High-severity issue: ",IF(C244="Punch item","Punch item: ","Issue action due: "))&amp;F244&amp;IF(J244="",""," → "&amp;J244))</f>
        <v/>
      </c>
      <c r="T244" s="79">
        <f>IF(O244=1,IF(I244="",0,I244),0)</f>
        <v/>
      </c>
      <c r="U244" s="79">
        <f>IF(AND(O244=1,H244="High"),1,0)</f>
        <v/>
      </c>
      <c r="V244" s="79">
        <f>IF(AND(O244=1,C244="Punch item"),1,0)</f>
        <v/>
      </c>
    </row>
    <row r="245" ht="24" customHeight="1">
      <c r="B245" s="125" t="n">
        <v>238</v>
      </c>
      <c r="C245" s="72" t="n"/>
      <c r="D245" s="109" t="n"/>
      <c r="E245" s="72" t="n"/>
      <c r="F245" s="113" t="n"/>
      <c r="G245" s="72" t="n"/>
      <c r="H245" s="74" t="n"/>
      <c r="I245" s="73" t="n"/>
      <c r="J245" s="113" t="n"/>
      <c r="K245" s="109" t="n"/>
      <c r="L245" s="72" t="n"/>
      <c r="M245" s="109" t="n"/>
      <c r="N245" s="72" t="n"/>
      <c r="O245" s="79">
        <f>IF(AND(F245&lt;&gt;"",L245&lt;&gt;"Resolved"),1,0)</f>
        <v/>
      </c>
      <c r="P245" s="79">
        <f>IF(F245="","",IF(O245=0,0,IF(H245="High",2,1)))</f>
        <v/>
      </c>
      <c r="Q245" s="112">
        <f>IF(O245=1,IF(K245&lt;&gt;"",K245,IF(H245="High",AsOf,"")),"")</f>
        <v/>
      </c>
      <c r="R245" s="79">
        <f>IF(Q245="","",IF(H245="High",1,IF(Q245="","",IF(Q245&lt;AsOf,1,IF(Q245&lt;=AsOf+AlertDays,2,IF(Q245&lt;=AsOf+2*AlertDays,3,""))))))</f>
        <v/>
      </c>
      <c r="S245" s="79">
        <f>IF(R245="","",IF(H245="High","High-severity issue: ",IF(C245="Punch item","Punch item: ","Issue action due: "))&amp;F245&amp;IF(J245="",""," → "&amp;J245))</f>
        <v/>
      </c>
      <c r="T245" s="79">
        <f>IF(O245=1,IF(I245="",0,I245),0)</f>
        <v/>
      </c>
      <c r="U245" s="79">
        <f>IF(AND(O245=1,H245="High"),1,0)</f>
        <v/>
      </c>
      <c r="V245" s="79">
        <f>IF(AND(O245=1,C245="Punch item"),1,0)</f>
        <v/>
      </c>
    </row>
    <row r="246" ht="24" customHeight="1">
      <c r="B246" s="125" t="n">
        <v>239</v>
      </c>
      <c r="C246" s="72" t="n"/>
      <c r="D246" s="109" t="n"/>
      <c r="E246" s="72" t="n"/>
      <c r="F246" s="113" t="n"/>
      <c r="G246" s="72" t="n"/>
      <c r="H246" s="74" t="n"/>
      <c r="I246" s="73" t="n"/>
      <c r="J246" s="113" t="n"/>
      <c r="K246" s="109" t="n"/>
      <c r="L246" s="72" t="n"/>
      <c r="M246" s="109" t="n"/>
      <c r="N246" s="72" t="n"/>
      <c r="O246" s="79">
        <f>IF(AND(F246&lt;&gt;"",L246&lt;&gt;"Resolved"),1,0)</f>
        <v/>
      </c>
      <c r="P246" s="79">
        <f>IF(F246="","",IF(O246=0,0,IF(H246="High",2,1)))</f>
        <v/>
      </c>
      <c r="Q246" s="112">
        <f>IF(O246=1,IF(K246&lt;&gt;"",K246,IF(H246="High",AsOf,"")),"")</f>
        <v/>
      </c>
      <c r="R246" s="79">
        <f>IF(Q246="","",IF(H246="High",1,IF(Q246="","",IF(Q246&lt;AsOf,1,IF(Q246&lt;=AsOf+AlertDays,2,IF(Q246&lt;=AsOf+2*AlertDays,3,""))))))</f>
        <v/>
      </c>
      <c r="S246" s="79">
        <f>IF(R246="","",IF(H246="High","High-severity issue: ",IF(C246="Punch item","Punch item: ","Issue action due: "))&amp;F246&amp;IF(J246="",""," → "&amp;J246))</f>
        <v/>
      </c>
      <c r="T246" s="79">
        <f>IF(O246=1,IF(I246="",0,I246),0)</f>
        <v/>
      </c>
      <c r="U246" s="79">
        <f>IF(AND(O246=1,H246="High"),1,0)</f>
        <v/>
      </c>
      <c r="V246" s="79">
        <f>IF(AND(O246=1,C246="Punch item"),1,0)</f>
        <v/>
      </c>
    </row>
    <row r="247" ht="24" customHeight="1">
      <c r="B247" s="125" t="n">
        <v>240</v>
      </c>
      <c r="C247" s="72" t="n"/>
      <c r="D247" s="109" t="n"/>
      <c r="E247" s="72" t="n"/>
      <c r="F247" s="113" t="n"/>
      <c r="G247" s="72" t="n"/>
      <c r="H247" s="74" t="n"/>
      <c r="I247" s="73" t="n"/>
      <c r="J247" s="113" t="n"/>
      <c r="K247" s="109" t="n"/>
      <c r="L247" s="72" t="n"/>
      <c r="M247" s="109" t="n"/>
      <c r="N247" s="72" t="n"/>
      <c r="O247" s="79">
        <f>IF(AND(F247&lt;&gt;"",L247&lt;&gt;"Resolved"),1,0)</f>
        <v/>
      </c>
      <c r="P247" s="79">
        <f>IF(F247="","",IF(O247=0,0,IF(H247="High",2,1)))</f>
        <v/>
      </c>
      <c r="Q247" s="112">
        <f>IF(O247=1,IF(K247&lt;&gt;"",K247,IF(H247="High",AsOf,"")),"")</f>
        <v/>
      </c>
      <c r="R247" s="79">
        <f>IF(Q247="","",IF(H247="High",1,IF(Q247="","",IF(Q247&lt;AsOf,1,IF(Q247&lt;=AsOf+AlertDays,2,IF(Q247&lt;=AsOf+2*AlertDays,3,""))))))</f>
        <v/>
      </c>
      <c r="S247" s="79">
        <f>IF(R247="","",IF(H247="High","High-severity issue: ",IF(C247="Punch item","Punch item: ","Issue action due: "))&amp;F247&amp;IF(J247="",""," → "&amp;J247))</f>
        <v/>
      </c>
      <c r="T247" s="79">
        <f>IF(O247=1,IF(I247="",0,I247),0)</f>
        <v/>
      </c>
      <c r="U247" s="79">
        <f>IF(AND(O247=1,H247="High"),1,0)</f>
        <v/>
      </c>
      <c r="V247" s="79">
        <f>IF(AND(O247=1,C247="Punch item"),1,0)</f>
        <v/>
      </c>
    </row>
    <row r="248" ht="24" customHeight="1">
      <c r="B248" s="125" t="n">
        <v>241</v>
      </c>
      <c r="C248" s="72" t="n"/>
      <c r="D248" s="109" t="n"/>
      <c r="E248" s="72" t="n"/>
      <c r="F248" s="113" t="n"/>
      <c r="G248" s="72" t="n"/>
      <c r="H248" s="74" t="n"/>
      <c r="I248" s="73" t="n"/>
      <c r="J248" s="113" t="n"/>
      <c r="K248" s="109" t="n"/>
      <c r="L248" s="72" t="n"/>
      <c r="M248" s="109" t="n"/>
      <c r="N248" s="72" t="n"/>
      <c r="O248" s="79">
        <f>IF(AND(F248&lt;&gt;"",L248&lt;&gt;"Resolved"),1,0)</f>
        <v/>
      </c>
      <c r="P248" s="79">
        <f>IF(F248="","",IF(O248=0,0,IF(H248="High",2,1)))</f>
        <v/>
      </c>
      <c r="Q248" s="112">
        <f>IF(O248=1,IF(K248&lt;&gt;"",K248,IF(H248="High",AsOf,"")),"")</f>
        <v/>
      </c>
      <c r="R248" s="79">
        <f>IF(Q248="","",IF(H248="High",1,IF(Q248="","",IF(Q248&lt;AsOf,1,IF(Q248&lt;=AsOf+AlertDays,2,IF(Q248&lt;=AsOf+2*AlertDays,3,""))))))</f>
        <v/>
      </c>
      <c r="S248" s="79">
        <f>IF(R248="","",IF(H248="High","High-severity issue: ",IF(C248="Punch item","Punch item: ","Issue action due: "))&amp;F248&amp;IF(J248="",""," → "&amp;J248))</f>
        <v/>
      </c>
      <c r="T248" s="79">
        <f>IF(O248=1,IF(I248="",0,I248),0)</f>
        <v/>
      </c>
      <c r="U248" s="79">
        <f>IF(AND(O248=1,H248="High"),1,0)</f>
        <v/>
      </c>
      <c r="V248" s="79">
        <f>IF(AND(O248=1,C248="Punch item"),1,0)</f>
        <v/>
      </c>
    </row>
    <row r="249" ht="24" customHeight="1">
      <c r="B249" s="125" t="n">
        <v>242</v>
      </c>
      <c r="C249" s="72" t="n"/>
      <c r="D249" s="109" t="n"/>
      <c r="E249" s="72" t="n"/>
      <c r="F249" s="113" t="n"/>
      <c r="G249" s="72" t="n"/>
      <c r="H249" s="74" t="n"/>
      <c r="I249" s="73" t="n"/>
      <c r="J249" s="113" t="n"/>
      <c r="K249" s="109" t="n"/>
      <c r="L249" s="72" t="n"/>
      <c r="M249" s="109" t="n"/>
      <c r="N249" s="72" t="n"/>
      <c r="O249" s="79">
        <f>IF(AND(F249&lt;&gt;"",L249&lt;&gt;"Resolved"),1,0)</f>
        <v/>
      </c>
      <c r="P249" s="79">
        <f>IF(F249="","",IF(O249=0,0,IF(H249="High",2,1)))</f>
        <v/>
      </c>
      <c r="Q249" s="112">
        <f>IF(O249=1,IF(K249&lt;&gt;"",K249,IF(H249="High",AsOf,"")),"")</f>
        <v/>
      </c>
      <c r="R249" s="79">
        <f>IF(Q249="","",IF(H249="High",1,IF(Q249="","",IF(Q249&lt;AsOf,1,IF(Q249&lt;=AsOf+AlertDays,2,IF(Q249&lt;=AsOf+2*AlertDays,3,""))))))</f>
        <v/>
      </c>
      <c r="S249" s="79">
        <f>IF(R249="","",IF(H249="High","High-severity issue: ",IF(C249="Punch item","Punch item: ","Issue action due: "))&amp;F249&amp;IF(J249="",""," → "&amp;J249))</f>
        <v/>
      </c>
      <c r="T249" s="79">
        <f>IF(O249=1,IF(I249="",0,I249),0)</f>
        <v/>
      </c>
      <c r="U249" s="79">
        <f>IF(AND(O249=1,H249="High"),1,0)</f>
        <v/>
      </c>
      <c r="V249" s="79">
        <f>IF(AND(O249=1,C249="Punch item"),1,0)</f>
        <v/>
      </c>
    </row>
    <row r="250" ht="24" customHeight="1">
      <c r="B250" s="125" t="n">
        <v>243</v>
      </c>
      <c r="C250" s="72" t="n"/>
      <c r="D250" s="109" t="n"/>
      <c r="E250" s="72" t="n"/>
      <c r="F250" s="113" t="n"/>
      <c r="G250" s="72" t="n"/>
      <c r="H250" s="74" t="n"/>
      <c r="I250" s="73" t="n"/>
      <c r="J250" s="113" t="n"/>
      <c r="K250" s="109" t="n"/>
      <c r="L250" s="72" t="n"/>
      <c r="M250" s="109" t="n"/>
      <c r="N250" s="72" t="n"/>
      <c r="O250" s="79">
        <f>IF(AND(F250&lt;&gt;"",L250&lt;&gt;"Resolved"),1,0)</f>
        <v/>
      </c>
      <c r="P250" s="79">
        <f>IF(F250="","",IF(O250=0,0,IF(H250="High",2,1)))</f>
        <v/>
      </c>
      <c r="Q250" s="112">
        <f>IF(O250=1,IF(K250&lt;&gt;"",K250,IF(H250="High",AsOf,"")),"")</f>
        <v/>
      </c>
      <c r="R250" s="79">
        <f>IF(Q250="","",IF(H250="High",1,IF(Q250="","",IF(Q250&lt;AsOf,1,IF(Q250&lt;=AsOf+AlertDays,2,IF(Q250&lt;=AsOf+2*AlertDays,3,""))))))</f>
        <v/>
      </c>
      <c r="S250" s="79">
        <f>IF(R250="","",IF(H250="High","High-severity issue: ",IF(C250="Punch item","Punch item: ","Issue action due: "))&amp;F250&amp;IF(J250="",""," → "&amp;J250))</f>
        <v/>
      </c>
      <c r="T250" s="79">
        <f>IF(O250=1,IF(I250="",0,I250),0)</f>
        <v/>
      </c>
      <c r="U250" s="79">
        <f>IF(AND(O250=1,H250="High"),1,0)</f>
        <v/>
      </c>
      <c r="V250" s="79">
        <f>IF(AND(O250=1,C250="Punch item"),1,0)</f>
        <v/>
      </c>
    </row>
    <row r="251" ht="24" customHeight="1">
      <c r="B251" s="125" t="n">
        <v>244</v>
      </c>
      <c r="C251" s="72" t="n"/>
      <c r="D251" s="109" t="n"/>
      <c r="E251" s="72" t="n"/>
      <c r="F251" s="113" t="n"/>
      <c r="G251" s="72" t="n"/>
      <c r="H251" s="74" t="n"/>
      <c r="I251" s="73" t="n"/>
      <c r="J251" s="113" t="n"/>
      <c r="K251" s="109" t="n"/>
      <c r="L251" s="72" t="n"/>
      <c r="M251" s="109" t="n"/>
      <c r="N251" s="72" t="n"/>
      <c r="O251" s="79">
        <f>IF(AND(F251&lt;&gt;"",L251&lt;&gt;"Resolved"),1,0)</f>
        <v/>
      </c>
      <c r="P251" s="79">
        <f>IF(F251="","",IF(O251=0,0,IF(H251="High",2,1)))</f>
        <v/>
      </c>
      <c r="Q251" s="112">
        <f>IF(O251=1,IF(K251&lt;&gt;"",K251,IF(H251="High",AsOf,"")),"")</f>
        <v/>
      </c>
      <c r="R251" s="79">
        <f>IF(Q251="","",IF(H251="High",1,IF(Q251="","",IF(Q251&lt;AsOf,1,IF(Q251&lt;=AsOf+AlertDays,2,IF(Q251&lt;=AsOf+2*AlertDays,3,""))))))</f>
        <v/>
      </c>
      <c r="S251" s="79">
        <f>IF(R251="","",IF(H251="High","High-severity issue: ",IF(C251="Punch item","Punch item: ","Issue action due: "))&amp;F251&amp;IF(J251="",""," → "&amp;J251))</f>
        <v/>
      </c>
      <c r="T251" s="79">
        <f>IF(O251=1,IF(I251="",0,I251),0)</f>
        <v/>
      </c>
      <c r="U251" s="79">
        <f>IF(AND(O251=1,H251="High"),1,0)</f>
        <v/>
      </c>
      <c r="V251" s="79">
        <f>IF(AND(O251=1,C251="Punch item"),1,0)</f>
        <v/>
      </c>
    </row>
    <row r="252" ht="24" customHeight="1">
      <c r="B252" s="125" t="n">
        <v>245</v>
      </c>
      <c r="C252" s="72" t="n"/>
      <c r="D252" s="109" t="n"/>
      <c r="E252" s="72" t="n"/>
      <c r="F252" s="113" t="n"/>
      <c r="G252" s="72" t="n"/>
      <c r="H252" s="74" t="n"/>
      <c r="I252" s="73" t="n"/>
      <c r="J252" s="113" t="n"/>
      <c r="K252" s="109" t="n"/>
      <c r="L252" s="72" t="n"/>
      <c r="M252" s="109" t="n"/>
      <c r="N252" s="72" t="n"/>
      <c r="O252" s="79">
        <f>IF(AND(F252&lt;&gt;"",L252&lt;&gt;"Resolved"),1,0)</f>
        <v/>
      </c>
      <c r="P252" s="79">
        <f>IF(F252="","",IF(O252=0,0,IF(H252="High",2,1)))</f>
        <v/>
      </c>
      <c r="Q252" s="112">
        <f>IF(O252=1,IF(K252&lt;&gt;"",K252,IF(H252="High",AsOf,"")),"")</f>
        <v/>
      </c>
      <c r="R252" s="79">
        <f>IF(Q252="","",IF(H252="High",1,IF(Q252="","",IF(Q252&lt;AsOf,1,IF(Q252&lt;=AsOf+AlertDays,2,IF(Q252&lt;=AsOf+2*AlertDays,3,""))))))</f>
        <v/>
      </c>
      <c r="S252" s="79">
        <f>IF(R252="","",IF(H252="High","High-severity issue: ",IF(C252="Punch item","Punch item: ","Issue action due: "))&amp;F252&amp;IF(J252="",""," → "&amp;J252))</f>
        <v/>
      </c>
      <c r="T252" s="79">
        <f>IF(O252=1,IF(I252="",0,I252),0)</f>
        <v/>
      </c>
      <c r="U252" s="79">
        <f>IF(AND(O252=1,H252="High"),1,0)</f>
        <v/>
      </c>
      <c r="V252" s="79">
        <f>IF(AND(O252=1,C252="Punch item"),1,0)</f>
        <v/>
      </c>
    </row>
    <row r="253" ht="24" customHeight="1">
      <c r="B253" s="125" t="n">
        <v>246</v>
      </c>
      <c r="C253" s="72" t="n"/>
      <c r="D253" s="109" t="n"/>
      <c r="E253" s="72" t="n"/>
      <c r="F253" s="113" t="n"/>
      <c r="G253" s="72" t="n"/>
      <c r="H253" s="74" t="n"/>
      <c r="I253" s="73" t="n"/>
      <c r="J253" s="113" t="n"/>
      <c r="K253" s="109" t="n"/>
      <c r="L253" s="72" t="n"/>
      <c r="M253" s="109" t="n"/>
      <c r="N253" s="72" t="n"/>
      <c r="O253" s="79">
        <f>IF(AND(F253&lt;&gt;"",L253&lt;&gt;"Resolved"),1,0)</f>
        <v/>
      </c>
      <c r="P253" s="79">
        <f>IF(F253="","",IF(O253=0,0,IF(H253="High",2,1)))</f>
        <v/>
      </c>
      <c r="Q253" s="112">
        <f>IF(O253=1,IF(K253&lt;&gt;"",K253,IF(H253="High",AsOf,"")),"")</f>
        <v/>
      </c>
      <c r="R253" s="79">
        <f>IF(Q253="","",IF(H253="High",1,IF(Q253="","",IF(Q253&lt;AsOf,1,IF(Q253&lt;=AsOf+AlertDays,2,IF(Q253&lt;=AsOf+2*AlertDays,3,""))))))</f>
        <v/>
      </c>
      <c r="S253" s="79">
        <f>IF(R253="","",IF(H253="High","High-severity issue: ",IF(C253="Punch item","Punch item: ","Issue action due: "))&amp;F253&amp;IF(J253="",""," → "&amp;J253))</f>
        <v/>
      </c>
      <c r="T253" s="79">
        <f>IF(O253=1,IF(I253="",0,I253),0)</f>
        <v/>
      </c>
      <c r="U253" s="79">
        <f>IF(AND(O253=1,H253="High"),1,0)</f>
        <v/>
      </c>
      <c r="V253" s="79">
        <f>IF(AND(O253=1,C253="Punch item"),1,0)</f>
        <v/>
      </c>
    </row>
    <row r="254" ht="24" customHeight="1">
      <c r="B254" s="125" t="n">
        <v>247</v>
      </c>
      <c r="C254" s="72" t="n"/>
      <c r="D254" s="109" t="n"/>
      <c r="E254" s="72" t="n"/>
      <c r="F254" s="113" t="n"/>
      <c r="G254" s="72" t="n"/>
      <c r="H254" s="74" t="n"/>
      <c r="I254" s="73" t="n"/>
      <c r="J254" s="113" t="n"/>
      <c r="K254" s="109" t="n"/>
      <c r="L254" s="72" t="n"/>
      <c r="M254" s="109" t="n"/>
      <c r="N254" s="72" t="n"/>
      <c r="O254" s="79">
        <f>IF(AND(F254&lt;&gt;"",L254&lt;&gt;"Resolved"),1,0)</f>
        <v/>
      </c>
      <c r="P254" s="79">
        <f>IF(F254="","",IF(O254=0,0,IF(H254="High",2,1)))</f>
        <v/>
      </c>
      <c r="Q254" s="112">
        <f>IF(O254=1,IF(K254&lt;&gt;"",K254,IF(H254="High",AsOf,"")),"")</f>
        <v/>
      </c>
      <c r="R254" s="79">
        <f>IF(Q254="","",IF(H254="High",1,IF(Q254="","",IF(Q254&lt;AsOf,1,IF(Q254&lt;=AsOf+AlertDays,2,IF(Q254&lt;=AsOf+2*AlertDays,3,""))))))</f>
        <v/>
      </c>
      <c r="S254" s="79">
        <f>IF(R254="","",IF(H254="High","High-severity issue: ",IF(C254="Punch item","Punch item: ","Issue action due: "))&amp;F254&amp;IF(J254="",""," → "&amp;J254))</f>
        <v/>
      </c>
      <c r="T254" s="79">
        <f>IF(O254=1,IF(I254="",0,I254),0)</f>
        <v/>
      </c>
      <c r="U254" s="79">
        <f>IF(AND(O254=1,H254="High"),1,0)</f>
        <v/>
      </c>
      <c r="V254" s="79">
        <f>IF(AND(O254=1,C254="Punch item"),1,0)</f>
        <v/>
      </c>
    </row>
    <row r="255" ht="24" customHeight="1">
      <c r="B255" s="125" t="n">
        <v>248</v>
      </c>
      <c r="C255" s="72" t="n"/>
      <c r="D255" s="109" t="n"/>
      <c r="E255" s="72" t="n"/>
      <c r="F255" s="113" t="n"/>
      <c r="G255" s="72" t="n"/>
      <c r="H255" s="74" t="n"/>
      <c r="I255" s="73" t="n"/>
      <c r="J255" s="113" t="n"/>
      <c r="K255" s="109" t="n"/>
      <c r="L255" s="72" t="n"/>
      <c r="M255" s="109" t="n"/>
      <c r="N255" s="72" t="n"/>
      <c r="O255" s="79">
        <f>IF(AND(F255&lt;&gt;"",L255&lt;&gt;"Resolved"),1,0)</f>
        <v/>
      </c>
      <c r="P255" s="79">
        <f>IF(F255="","",IF(O255=0,0,IF(H255="High",2,1)))</f>
        <v/>
      </c>
      <c r="Q255" s="112">
        <f>IF(O255=1,IF(K255&lt;&gt;"",K255,IF(H255="High",AsOf,"")),"")</f>
        <v/>
      </c>
      <c r="R255" s="79">
        <f>IF(Q255="","",IF(H255="High",1,IF(Q255="","",IF(Q255&lt;AsOf,1,IF(Q255&lt;=AsOf+AlertDays,2,IF(Q255&lt;=AsOf+2*AlertDays,3,""))))))</f>
        <v/>
      </c>
      <c r="S255" s="79">
        <f>IF(R255="","",IF(H255="High","High-severity issue: ",IF(C255="Punch item","Punch item: ","Issue action due: "))&amp;F255&amp;IF(J255="",""," → "&amp;J255))</f>
        <v/>
      </c>
      <c r="T255" s="79">
        <f>IF(O255=1,IF(I255="",0,I255),0)</f>
        <v/>
      </c>
      <c r="U255" s="79">
        <f>IF(AND(O255=1,H255="High"),1,0)</f>
        <v/>
      </c>
      <c r="V255" s="79">
        <f>IF(AND(O255=1,C255="Punch item"),1,0)</f>
        <v/>
      </c>
    </row>
    <row r="256" ht="24" customHeight="1">
      <c r="B256" s="125" t="n">
        <v>249</v>
      </c>
      <c r="C256" s="72" t="n"/>
      <c r="D256" s="109" t="n"/>
      <c r="E256" s="72" t="n"/>
      <c r="F256" s="113" t="n"/>
      <c r="G256" s="72" t="n"/>
      <c r="H256" s="74" t="n"/>
      <c r="I256" s="73" t="n"/>
      <c r="J256" s="113" t="n"/>
      <c r="K256" s="109" t="n"/>
      <c r="L256" s="72" t="n"/>
      <c r="M256" s="109" t="n"/>
      <c r="N256" s="72" t="n"/>
      <c r="O256" s="79">
        <f>IF(AND(F256&lt;&gt;"",L256&lt;&gt;"Resolved"),1,0)</f>
        <v/>
      </c>
      <c r="P256" s="79">
        <f>IF(F256="","",IF(O256=0,0,IF(H256="High",2,1)))</f>
        <v/>
      </c>
      <c r="Q256" s="112">
        <f>IF(O256=1,IF(K256&lt;&gt;"",K256,IF(H256="High",AsOf,"")),"")</f>
        <v/>
      </c>
      <c r="R256" s="79">
        <f>IF(Q256="","",IF(H256="High",1,IF(Q256="","",IF(Q256&lt;AsOf,1,IF(Q256&lt;=AsOf+AlertDays,2,IF(Q256&lt;=AsOf+2*AlertDays,3,""))))))</f>
        <v/>
      </c>
      <c r="S256" s="79">
        <f>IF(R256="","",IF(H256="High","High-severity issue: ",IF(C256="Punch item","Punch item: ","Issue action due: "))&amp;F256&amp;IF(J256="",""," → "&amp;J256))</f>
        <v/>
      </c>
      <c r="T256" s="79">
        <f>IF(O256=1,IF(I256="",0,I256),0)</f>
        <v/>
      </c>
      <c r="U256" s="79">
        <f>IF(AND(O256=1,H256="High"),1,0)</f>
        <v/>
      </c>
      <c r="V256" s="79">
        <f>IF(AND(O256=1,C256="Punch item"),1,0)</f>
        <v/>
      </c>
    </row>
    <row r="257" ht="24" customHeight="1">
      <c r="B257" s="125" t="n">
        <v>250</v>
      </c>
      <c r="C257" s="72" t="n"/>
      <c r="D257" s="109" t="n"/>
      <c r="E257" s="72" t="n"/>
      <c r="F257" s="113" t="n"/>
      <c r="G257" s="72" t="n"/>
      <c r="H257" s="74" t="n"/>
      <c r="I257" s="73" t="n"/>
      <c r="J257" s="113" t="n"/>
      <c r="K257" s="109" t="n"/>
      <c r="L257" s="72" t="n"/>
      <c r="M257" s="109" t="n"/>
      <c r="N257" s="72" t="n"/>
      <c r="O257" s="79">
        <f>IF(AND(F257&lt;&gt;"",L257&lt;&gt;"Resolved"),1,0)</f>
        <v/>
      </c>
      <c r="P257" s="79">
        <f>IF(F257="","",IF(O257=0,0,IF(H257="High",2,1)))</f>
        <v/>
      </c>
      <c r="Q257" s="112">
        <f>IF(O257=1,IF(K257&lt;&gt;"",K257,IF(H257="High",AsOf,"")),"")</f>
        <v/>
      </c>
      <c r="R257" s="79">
        <f>IF(Q257="","",IF(H257="High",1,IF(Q257="","",IF(Q257&lt;AsOf,1,IF(Q257&lt;=AsOf+AlertDays,2,IF(Q257&lt;=AsOf+2*AlertDays,3,""))))))</f>
        <v/>
      </c>
      <c r="S257" s="79">
        <f>IF(R257="","",IF(H257="High","High-severity issue: ",IF(C257="Punch item","Punch item: ","Issue action due: "))&amp;F257&amp;IF(J257="",""," → "&amp;J257))</f>
        <v/>
      </c>
      <c r="T257" s="79">
        <f>IF(O257=1,IF(I257="",0,I257),0)</f>
        <v/>
      </c>
      <c r="U257" s="79">
        <f>IF(AND(O257=1,H257="High"),1,0)</f>
        <v/>
      </c>
      <c r="V257" s="79">
        <f>IF(AND(O257=1,C257="Punch item"),1,0)</f>
        <v/>
      </c>
    </row>
    <row r="258" ht="24" customHeight="1">
      <c r="B258" s="125" t="n">
        <v>251</v>
      </c>
      <c r="C258" s="72" t="n"/>
      <c r="D258" s="109" t="n"/>
      <c r="E258" s="72" t="n"/>
      <c r="F258" s="113" t="n"/>
      <c r="G258" s="72" t="n"/>
      <c r="H258" s="74" t="n"/>
      <c r="I258" s="73" t="n"/>
      <c r="J258" s="113" t="n"/>
      <c r="K258" s="109" t="n"/>
      <c r="L258" s="72" t="n"/>
      <c r="M258" s="109" t="n"/>
      <c r="N258" s="72" t="n"/>
      <c r="O258" s="79">
        <f>IF(AND(F258&lt;&gt;"",L258&lt;&gt;"Resolved"),1,0)</f>
        <v/>
      </c>
      <c r="P258" s="79">
        <f>IF(F258="","",IF(O258=0,0,IF(H258="High",2,1)))</f>
        <v/>
      </c>
      <c r="Q258" s="112">
        <f>IF(O258=1,IF(K258&lt;&gt;"",K258,IF(H258="High",AsOf,"")),"")</f>
        <v/>
      </c>
      <c r="R258" s="79">
        <f>IF(Q258="","",IF(H258="High",1,IF(Q258="","",IF(Q258&lt;AsOf,1,IF(Q258&lt;=AsOf+AlertDays,2,IF(Q258&lt;=AsOf+2*AlertDays,3,""))))))</f>
        <v/>
      </c>
      <c r="S258" s="79">
        <f>IF(R258="","",IF(H258="High","High-severity issue: ",IF(C258="Punch item","Punch item: ","Issue action due: "))&amp;F258&amp;IF(J258="",""," → "&amp;J258))</f>
        <v/>
      </c>
      <c r="T258" s="79">
        <f>IF(O258=1,IF(I258="",0,I258),0)</f>
        <v/>
      </c>
      <c r="U258" s="79">
        <f>IF(AND(O258=1,H258="High"),1,0)</f>
        <v/>
      </c>
      <c r="V258" s="79">
        <f>IF(AND(O258=1,C258="Punch item"),1,0)</f>
        <v/>
      </c>
    </row>
    <row r="259" ht="24" customHeight="1">
      <c r="B259" s="125" t="n">
        <v>252</v>
      </c>
      <c r="C259" s="72" t="n"/>
      <c r="D259" s="109" t="n"/>
      <c r="E259" s="72" t="n"/>
      <c r="F259" s="113" t="n"/>
      <c r="G259" s="72" t="n"/>
      <c r="H259" s="74" t="n"/>
      <c r="I259" s="73" t="n"/>
      <c r="J259" s="113" t="n"/>
      <c r="K259" s="109" t="n"/>
      <c r="L259" s="72" t="n"/>
      <c r="M259" s="109" t="n"/>
      <c r="N259" s="72" t="n"/>
      <c r="O259" s="79">
        <f>IF(AND(F259&lt;&gt;"",L259&lt;&gt;"Resolved"),1,0)</f>
        <v/>
      </c>
      <c r="P259" s="79">
        <f>IF(F259="","",IF(O259=0,0,IF(H259="High",2,1)))</f>
        <v/>
      </c>
      <c r="Q259" s="112">
        <f>IF(O259=1,IF(K259&lt;&gt;"",K259,IF(H259="High",AsOf,"")),"")</f>
        <v/>
      </c>
      <c r="R259" s="79">
        <f>IF(Q259="","",IF(H259="High",1,IF(Q259="","",IF(Q259&lt;AsOf,1,IF(Q259&lt;=AsOf+AlertDays,2,IF(Q259&lt;=AsOf+2*AlertDays,3,""))))))</f>
        <v/>
      </c>
      <c r="S259" s="79">
        <f>IF(R259="","",IF(H259="High","High-severity issue: ",IF(C259="Punch item","Punch item: ","Issue action due: "))&amp;F259&amp;IF(J259="",""," → "&amp;J259))</f>
        <v/>
      </c>
      <c r="T259" s="79">
        <f>IF(O259=1,IF(I259="",0,I259),0)</f>
        <v/>
      </c>
      <c r="U259" s="79">
        <f>IF(AND(O259=1,H259="High"),1,0)</f>
        <v/>
      </c>
      <c r="V259" s="79">
        <f>IF(AND(O259=1,C259="Punch item"),1,0)</f>
        <v/>
      </c>
    </row>
    <row r="260" ht="24" customHeight="1">
      <c r="B260" s="125" t="n">
        <v>253</v>
      </c>
      <c r="C260" s="72" t="n"/>
      <c r="D260" s="109" t="n"/>
      <c r="E260" s="72" t="n"/>
      <c r="F260" s="113" t="n"/>
      <c r="G260" s="72" t="n"/>
      <c r="H260" s="74" t="n"/>
      <c r="I260" s="73" t="n"/>
      <c r="J260" s="113" t="n"/>
      <c r="K260" s="109" t="n"/>
      <c r="L260" s="72" t="n"/>
      <c r="M260" s="109" t="n"/>
      <c r="N260" s="72" t="n"/>
      <c r="O260" s="79">
        <f>IF(AND(F260&lt;&gt;"",L260&lt;&gt;"Resolved"),1,0)</f>
        <v/>
      </c>
      <c r="P260" s="79">
        <f>IF(F260="","",IF(O260=0,0,IF(H260="High",2,1)))</f>
        <v/>
      </c>
      <c r="Q260" s="112">
        <f>IF(O260=1,IF(K260&lt;&gt;"",K260,IF(H260="High",AsOf,"")),"")</f>
        <v/>
      </c>
      <c r="R260" s="79">
        <f>IF(Q260="","",IF(H260="High",1,IF(Q260="","",IF(Q260&lt;AsOf,1,IF(Q260&lt;=AsOf+AlertDays,2,IF(Q260&lt;=AsOf+2*AlertDays,3,""))))))</f>
        <v/>
      </c>
      <c r="S260" s="79">
        <f>IF(R260="","",IF(H260="High","High-severity issue: ",IF(C260="Punch item","Punch item: ","Issue action due: "))&amp;F260&amp;IF(J260="",""," → "&amp;J260))</f>
        <v/>
      </c>
      <c r="T260" s="79">
        <f>IF(O260=1,IF(I260="",0,I260),0)</f>
        <v/>
      </c>
      <c r="U260" s="79">
        <f>IF(AND(O260=1,H260="High"),1,0)</f>
        <v/>
      </c>
      <c r="V260" s="79">
        <f>IF(AND(O260=1,C260="Punch item"),1,0)</f>
        <v/>
      </c>
    </row>
    <row r="261" ht="24" customHeight="1">
      <c r="B261" s="125" t="n">
        <v>254</v>
      </c>
      <c r="C261" s="72" t="n"/>
      <c r="D261" s="109" t="n"/>
      <c r="E261" s="72" t="n"/>
      <c r="F261" s="113" t="n"/>
      <c r="G261" s="72" t="n"/>
      <c r="H261" s="74" t="n"/>
      <c r="I261" s="73" t="n"/>
      <c r="J261" s="113" t="n"/>
      <c r="K261" s="109" t="n"/>
      <c r="L261" s="72" t="n"/>
      <c r="M261" s="109" t="n"/>
      <c r="N261" s="72" t="n"/>
      <c r="O261" s="79">
        <f>IF(AND(F261&lt;&gt;"",L261&lt;&gt;"Resolved"),1,0)</f>
        <v/>
      </c>
      <c r="P261" s="79">
        <f>IF(F261="","",IF(O261=0,0,IF(H261="High",2,1)))</f>
        <v/>
      </c>
      <c r="Q261" s="112">
        <f>IF(O261=1,IF(K261&lt;&gt;"",K261,IF(H261="High",AsOf,"")),"")</f>
        <v/>
      </c>
      <c r="R261" s="79">
        <f>IF(Q261="","",IF(H261="High",1,IF(Q261="","",IF(Q261&lt;AsOf,1,IF(Q261&lt;=AsOf+AlertDays,2,IF(Q261&lt;=AsOf+2*AlertDays,3,""))))))</f>
        <v/>
      </c>
      <c r="S261" s="79">
        <f>IF(R261="","",IF(H261="High","High-severity issue: ",IF(C261="Punch item","Punch item: ","Issue action due: "))&amp;F261&amp;IF(J261="",""," → "&amp;J261))</f>
        <v/>
      </c>
      <c r="T261" s="79">
        <f>IF(O261=1,IF(I261="",0,I261),0)</f>
        <v/>
      </c>
      <c r="U261" s="79">
        <f>IF(AND(O261=1,H261="High"),1,0)</f>
        <v/>
      </c>
      <c r="V261" s="79">
        <f>IF(AND(O261=1,C261="Punch item"),1,0)</f>
        <v/>
      </c>
    </row>
    <row r="262" ht="24" customHeight="1">
      <c r="B262" s="125" t="n">
        <v>255</v>
      </c>
      <c r="C262" s="72" t="n"/>
      <c r="D262" s="109" t="n"/>
      <c r="E262" s="72" t="n"/>
      <c r="F262" s="113" t="n"/>
      <c r="G262" s="72" t="n"/>
      <c r="H262" s="74" t="n"/>
      <c r="I262" s="73" t="n"/>
      <c r="J262" s="113" t="n"/>
      <c r="K262" s="109" t="n"/>
      <c r="L262" s="72" t="n"/>
      <c r="M262" s="109" t="n"/>
      <c r="N262" s="72" t="n"/>
      <c r="O262" s="79">
        <f>IF(AND(F262&lt;&gt;"",L262&lt;&gt;"Resolved"),1,0)</f>
        <v/>
      </c>
      <c r="P262" s="79">
        <f>IF(F262="","",IF(O262=0,0,IF(H262="High",2,1)))</f>
        <v/>
      </c>
      <c r="Q262" s="112">
        <f>IF(O262=1,IF(K262&lt;&gt;"",K262,IF(H262="High",AsOf,"")),"")</f>
        <v/>
      </c>
      <c r="R262" s="79">
        <f>IF(Q262="","",IF(H262="High",1,IF(Q262="","",IF(Q262&lt;AsOf,1,IF(Q262&lt;=AsOf+AlertDays,2,IF(Q262&lt;=AsOf+2*AlertDays,3,""))))))</f>
        <v/>
      </c>
      <c r="S262" s="79">
        <f>IF(R262="","",IF(H262="High","High-severity issue: ",IF(C262="Punch item","Punch item: ","Issue action due: "))&amp;F262&amp;IF(J262="",""," → "&amp;J262))</f>
        <v/>
      </c>
      <c r="T262" s="79">
        <f>IF(O262=1,IF(I262="",0,I262),0)</f>
        <v/>
      </c>
      <c r="U262" s="79">
        <f>IF(AND(O262=1,H262="High"),1,0)</f>
        <v/>
      </c>
      <c r="V262" s="79">
        <f>IF(AND(O262=1,C262="Punch item"),1,0)</f>
        <v/>
      </c>
    </row>
    <row r="263" ht="24" customHeight="1">
      <c r="B263" s="125" t="n">
        <v>256</v>
      </c>
      <c r="C263" s="72" t="n"/>
      <c r="D263" s="109" t="n"/>
      <c r="E263" s="72" t="n"/>
      <c r="F263" s="113" t="n"/>
      <c r="G263" s="72" t="n"/>
      <c r="H263" s="74" t="n"/>
      <c r="I263" s="73" t="n"/>
      <c r="J263" s="113" t="n"/>
      <c r="K263" s="109" t="n"/>
      <c r="L263" s="72" t="n"/>
      <c r="M263" s="109" t="n"/>
      <c r="N263" s="72" t="n"/>
      <c r="O263" s="79">
        <f>IF(AND(F263&lt;&gt;"",L263&lt;&gt;"Resolved"),1,0)</f>
        <v/>
      </c>
      <c r="P263" s="79">
        <f>IF(F263="","",IF(O263=0,0,IF(H263="High",2,1)))</f>
        <v/>
      </c>
      <c r="Q263" s="112">
        <f>IF(O263=1,IF(K263&lt;&gt;"",K263,IF(H263="High",AsOf,"")),"")</f>
        <v/>
      </c>
      <c r="R263" s="79">
        <f>IF(Q263="","",IF(H263="High",1,IF(Q263="","",IF(Q263&lt;AsOf,1,IF(Q263&lt;=AsOf+AlertDays,2,IF(Q263&lt;=AsOf+2*AlertDays,3,""))))))</f>
        <v/>
      </c>
      <c r="S263" s="79">
        <f>IF(R263="","",IF(H263="High","High-severity issue: ",IF(C263="Punch item","Punch item: ","Issue action due: "))&amp;F263&amp;IF(J263="",""," → "&amp;J263))</f>
        <v/>
      </c>
      <c r="T263" s="79">
        <f>IF(O263=1,IF(I263="",0,I263),0)</f>
        <v/>
      </c>
      <c r="U263" s="79">
        <f>IF(AND(O263=1,H263="High"),1,0)</f>
        <v/>
      </c>
      <c r="V263" s="79">
        <f>IF(AND(O263=1,C263="Punch item"),1,0)</f>
        <v/>
      </c>
    </row>
    <row r="264" ht="24" customHeight="1">
      <c r="B264" s="125" t="n">
        <v>257</v>
      </c>
      <c r="C264" s="72" t="n"/>
      <c r="D264" s="109" t="n"/>
      <c r="E264" s="72" t="n"/>
      <c r="F264" s="113" t="n"/>
      <c r="G264" s="72" t="n"/>
      <c r="H264" s="74" t="n"/>
      <c r="I264" s="73" t="n"/>
      <c r="J264" s="113" t="n"/>
      <c r="K264" s="109" t="n"/>
      <c r="L264" s="72" t="n"/>
      <c r="M264" s="109" t="n"/>
      <c r="N264" s="72" t="n"/>
      <c r="O264" s="79">
        <f>IF(AND(F264&lt;&gt;"",L264&lt;&gt;"Resolved"),1,0)</f>
        <v/>
      </c>
      <c r="P264" s="79">
        <f>IF(F264="","",IF(O264=0,0,IF(H264="High",2,1)))</f>
        <v/>
      </c>
      <c r="Q264" s="112">
        <f>IF(O264=1,IF(K264&lt;&gt;"",K264,IF(H264="High",AsOf,"")),"")</f>
        <v/>
      </c>
      <c r="R264" s="79">
        <f>IF(Q264="","",IF(H264="High",1,IF(Q264="","",IF(Q264&lt;AsOf,1,IF(Q264&lt;=AsOf+AlertDays,2,IF(Q264&lt;=AsOf+2*AlertDays,3,""))))))</f>
        <v/>
      </c>
      <c r="S264" s="79">
        <f>IF(R264="","",IF(H264="High","High-severity issue: ",IF(C264="Punch item","Punch item: ","Issue action due: "))&amp;F264&amp;IF(J264="",""," → "&amp;J264))</f>
        <v/>
      </c>
      <c r="T264" s="79">
        <f>IF(O264=1,IF(I264="",0,I264),0)</f>
        <v/>
      </c>
      <c r="U264" s="79">
        <f>IF(AND(O264=1,H264="High"),1,0)</f>
        <v/>
      </c>
      <c r="V264" s="79">
        <f>IF(AND(O264=1,C264="Punch item"),1,0)</f>
        <v/>
      </c>
    </row>
    <row r="265" ht="24" customHeight="1">
      <c r="B265" s="125" t="n">
        <v>258</v>
      </c>
      <c r="C265" s="72" t="n"/>
      <c r="D265" s="109" t="n"/>
      <c r="E265" s="72" t="n"/>
      <c r="F265" s="113" t="n"/>
      <c r="G265" s="72" t="n"/>
      <c r="H265" s="74" t="n"/>
      <c r="I265" s="73" t="n"/>
      <c r="J265" s="113" t="n"/>
      <c r="K265" s="109" t="n"/>
      <c r="L265" s="72" t="n"/>
      <c r="M265" s="109" t="n"/>
      <c r="N265" s="72" t="n"/>
      <c r="O265" s="79">
        <f>IF(AND(F265&lt;&gt;"",L265&lt;&gt;"Resolved"),1,0)</f>
        <v/>
      </c>
      <c r="P265" s="79">
        <f>IF(F265="","",IF(O265=0,0,IF(H265="High",2,1)))</f>
        <v/>
      </c>
      <c r="Q265" s="112">
        <f>IF(O265=1,IF(K265&lt;&gt;"",K265,IF(H265="High",AsOf,"")),"")</f>
        <v/>
      </c>
      <c r="R265" s="79">
        <f>IF(Q265="","",IF(H265="High",1,IF(Q265="","",IF(Q265&lt;AsOf,1,IF(Q265&lt;=AsOf+AlertDays,2,IF(Q265&lt;=AsOf+2*AlertDays,3,""))))))</f>
        <v/>
      </c>
      <c r="S265" s="79">
        <f>IF(R265="","",IF(H265="High","High-severity issue: ",IF(C265="Punch item","Punch item: ","Issue action due: "))&amp;F265&amp;IF(J265="",""," → "&amp;J265))</f>
        <v/>
      </c>
      <c r="T265" s="79">
        <f>IF(O265=1,IF(I265="",0,I265),0)</f>
        <v/>
      </c>
      <c r="U265" s="79">
        <f>IF(AND(O265=1,H265="High"),1,0)</f>
        <v/>
      </c>
      <c r="V265" s="79">
        <f>IF(AND(O265=1,C265="Punch item"),1,0)</f>
        <v/>
      </c>
    </row>
    <row r="266" ht="24" customHeight="1">
      <c r="B266" s="125" t="n">
        <v>259</v>
      </c>
      <c r="C266" s="72" t="n"/>
      <c r="D266" s="109" t="n"/>
      <c r="E266" s="72" t="n"/>
      <c r="F266" s="113" t="n"/>
      <c r="G266" s="72" t="n"/>
      <c r="H266" s="74" t="n"/>
      <c r="I266" s="73" t="n"/>
      <c r="J266" s="113" t="n"/>
      <c r="K266" s="109" t="n"/>
      <c r="L266" s="72" t="n"/>
      <c r="M266" s="109" t="n"/>
      <c r="N266" s="72" t="n"/>
      <c r="O266" s="79">
        <f>IF(AND(F266&lt;&gt;"",L266&lt;&gt;"Resolved"),1,0)</f>
        <v/>
      </c>
      <c r="P266" s="79">
        <f>IF(F266="","",IF(O266=0,0,IF(H266="High",2,1)))</f>
        <v/>
      </c>
      <c r="Q266" s="112">
        <f>IF(O266=1,IF(K266&lt;&gt;"",K266,IF(H266="High",AsOf,"")),"")</f>
        <v/>
      </c>
      <c r="R266" s="79">
        <f>IF(Q266="","",IF(H266="High",1,IF(Q266="","",IF(Q266&lt;AsOf,1,IF(Q266&lt;=AsOf+AlertDays,2,IF(Q266&lt;=AsOf+2*AlertDays,3,""))))))</f>
        <v/>
      </c>
      <c r="S266" s="79">
        <f>IF(R266="","",IF(H266="High","High-severity issue: ",IF(C266="Punch item","Punch item: ","Issue action due: "))&amp;F266&amp;IF(J266="",""," → "&amp;J266))</f>
        <v/>
      </c>
      <c r="T266" s="79">
        <f>IF(O266=1,IF(I266="",0,I266),0)</f>
        <v/>
      </c>
      <c r="U266" s="79">
        <f>IF(AND(O266=1,H266="High"),1,0)</f>
        <v/>
      </c>
      <c r="V266" s="79">
        <f>IF(AND(O266=1,C266="Punch item"),1,0)</f>
        <v/>
      </c>
    </row>
    <row r="267" ht="24" customHeight="1">
      <c r="B267" s="125" t="n">
        <v>260</v>
      </c>
      <c r="C267" s="72" t="n"/>
      <c r="D267" s="109" t="n"/>
      <c r="E267" s="72" t="n"/>
      <c r="F267" s="113" t="n"/>
      <c r="G267" s="72" t="n"/>
      <c r="H267" s="74" t="n"/>
      <c r="I267" s="73" t="n"/>
      <c r="J267" s="113" t="n"/>
      <c r="K267" s="109" t="n"/>
      <c r="L267" s="72" t="n"/>
      <c r="M267" s="109" t="n"/>
      <c r="N267" s="72" t="n"/>
      <c r="O267" s="79">
        <f>IF(AND(F267&lt;&gt;"",L267&lt;&gt;"Resolved"),1,0)</f>
        <v/>
      </c>
      <c r="P267" s="79">
        <f>IF(F267="","",IF(O267=0,0,IF(H267="High",2,1)))</f>
        <v/>
      </c>
      <c r="Q267" s="112">
        <f>IF(O267=1,IF(K267&lt;&gt;"",K267,IF(H267="High",AsOf,"")),"")</f>
        <v/>
      </c>
      <c r="R267" s="79">
        <f>IF(Q267="","",IF(H267="High",1,IF(Q267="","",IF(Q267&lt;AsOf,1,IF(Q267&lt;=AsOf+AlertDays,2,IF(Q267&lt;=AsOf+2*AlertDays,3,""))))))</f>
        <v/>
      </c>
      <c r="S267" s="79">
        <f>IF(R267="","",IF(H267="High","High-severity issue: ",IF(C267="Punch item","Punch item: ","Issue action due: "))&amp;F267&amp;IF(J267="",""," → "&amp;J267))</f>
        <v/>
      </c>
      <c r="T267" s="79">
        <f>IF(O267=1,IF(I267="",0,I267),0)</f>
        <v/>
      </c>
      <c r="U267" s="79">
        <f>IF(AND(O267=1,H267="High"),1,0)</f>
        <v/>
      </c>
      <c r="V267" s="79">
        <f>IF(AND(O267=1,C267="Punch item"),1,0)</f>
        <v/>
      </c>
    </row>
    <row r="268" ht="24" customHeight="1">
      <c r="B268" s="125" t="n">
        <v>261</v>
      </c>
      <c r="C268" s="72" t="n"/>
      <c r="D268" s="109" t="n"/>
      <c r="E268" s="72" t="n"/>
      <c r="F268" s="113" t="n"/>
      <c r="G268" s="72" t="n"/>
      <c r="H268" s="74" t="n"/>
      <c r="I268" s="73" t="n"/>
      <c r="J268" s="113" t="n"/>
      <c r="K268" s="109" t="n"/>
      <c r="L268" s="72" t="n"/>
      <c r="M268" s="109" t="n"/>
      <c r="N268" s="72" t="n"/>
      <c r="O268" s="79">
        <f>IF(AND(F268&lt;&gt;"",L268&lt;&gt;"Resolved"),1,0)</f>
        <v/>
      </c>
      <c r="P268" s="79">
        <f>IF(F268="","",IF(O268=0,0,IF(H268="High",2,1)))</f>
        <v/>
      </c>
      <c r="Q268" s="112">
        <f>IF(O268=1,IF(K268&lt;&gt;"",K268,IF(H268="High",AsOf,"")),"")</f>
        <v/>
      </c>
      <c r="R268" s="79">
        <f>IF(Q268="","",IF(H268="High",1,IF(Q268="","",IF(Q268&lt;AsOf,1,IF(Q268&lt;=AsOf+AlertDays,2,IF(Q268&lt;=AsOf+2*AlertDays,3,""))))))</f>
        <v/>
      </c>
      <c r="S268" s="79">
        <f>IF(R268="","",IF(H268="High","High-severity issue: ",IF(C268="Punch item","Punch item: ","Issue action due: "))&amp;F268&amp;IF(J268="",""," → "&amp;J268))</f>
        <v/>
      </c>
      <c r="T268" s="79">
        <f>IF(O268=1,IF(I268="",0,I268),0)</f>
        <v/>
      </c>
      <c r="U268" s="79">
        <f>IF(AND(O268=1,H268="High"),1,0)</f>
        <v/>
      </c>
      <c r="V268" s="79">
        <f>IF(AND(O268=1,C268="Punch item"),1,0)</f>
        <v/>
      </c>
    </row>
    <row r="269" ht="24" customHeight="1">
      <c r="B269" s="125" t="n">
        <v>262</v>
      </c>
      <c r="C269" s="72" t="n"/>
      <c r="D269" s="109" t="n"/>
      <c r="E269" s="72" t="n"/>
      <c r="F269" s="113" t="n"/>
      <c r="G269" s="72" t="n"/>
      <c r="H269" s="74" t="n"/>
      <c r="I269" s="73" t="n"/>
      <c r="J269" s="113" t="n"/>
      <c r="K269" s="109" t="n"/>
      <c r="L269" s="72" t="n"/>
      <c r="M269" s="109" t="n"/>
      <c r="N269" s="72" t="n"/>
      <c r="O269" s="79">
        <f>IF(AND(F269&lt;&gt;"",L269&lt;&gt;"Resolved"),1,0)</f>
        <v/>
      </c>
      <c r="P269" s="79">
        <f>IF(F269="","",IF(O269=0,0,IF(H269="High",2,1)))</f>
        <v/>
      </c>
      <c r="Q269" s="112">
        <f>IF(O269=1,IF(K269&lt;&gt;"",K269,IF(H269="High",AsOf,"")),"")</f>
        <v/>
      </c>
      <c r="R269" s="79">
        <f>IF(Q269="","",IF(H269="High",1,IF(Q269="","",IF(Q269&lt;AsOf,1,IF(Q269&lt;=AsOf+AlertDays,2,IF(Q269&lt;=AsOf+2*AlertDays,3,""))))))</f>
        <v/>
      </c>
      <c r="S269" s="79">
        <f>IF(R269="","",IF(H269="High","High-severity issue: ",IF(C269="Punch item","Punch item: ","Issue action due: "))&amp;F269&amp;IF(J269="",""," → "&amp;J269))</f>
        <v/>
      </c>
      <c r="T269" s="79">
        <f>IF(O269=1,IF(I269="",0,I269),0)</f>
        <v/>
      </c>
      <c r="U269" s="79">
        <f>IF(AND(O269=1,H269="High"),1,0)</f>
        <v/>
      </c>
      <c r="V269" s="79">
        <f>IF(AND(O269=1,C269="Punch item"),1,0)</f>
        <v/>
      </c>
    </row>
    <row r="270" ht="24" customHeight="1">
      <c r="B270" s="125" t="n">
        <v>263</v>
      </c>
      <c r="C270" s="72" t="n"/>
      <c r="D270" s="109" t="n"/>
      <c r="E270" s="72" t="n"/>
      <c r="F270" s="113" t="n"/>
      <c r="G270" s="72" t="n"/>
      <c r="H270" s="74" t="n"/>
      <c r="I270" s="73" t="n"/>
      <c r="J270" s="113" t="n"/>
      <c r="K270" s="109" t="n"/>
      <c r="L270" s="72" t="n"/>
      <c r="M270" s="109" t="n"/>
      <c r="N270" s="72" t="n"/>
      <c r="O270" s="79">
        <f>IF(AND(F270&lt;&gt;"",L270&lt;&gt;"Resolved"),1,0)</f>
        <v/>
      </c>
      <c r="P270" s="79">
        <f>IF(F270="","",IF(O270=0,0,IF(H270="High",2,1)))</f>
        <v/>
      </c>
      <c r="Q270" s="112">
        <f>IF(O270=1,IF(K270&lt;&gt;"",K270,IF(H270="High",AsOf,"")),"")</f>
        <v/>
      </c>
      <c r="R270" s="79">
        <f>IF(Q270="","",IF(H270="High",1,IF(Q270="","",IF(Q270&lt;AsOf,1,IF(Q270&lt;=AsOf+AlertDays,2,IF(Q270&lt;=AsOf+2*AlertDays,3,""))))))</f>
        <v/>
      </c>
      <c r="S270" s="79">
        <f>IF(R270="","",IF(H270="High","High-severity issue: ",IF(C270="Punch item","Punch item: ","Issue action due: "))&amp;F270&amp;IF(J270="",""," → "&amp;J270))</f>
        <v/>
      </c>
      <c r="T270" s="79">
        <f>IF(O270=1,IF(I270="",0,I270),0)</f>
        <v/>
      </c>
      <c r="U270" s="79">
        <f>IF(AND(O270=1,H270="High"),1,0)</f>
        <v/>
      </c>
      <c r="V270" s="79">
        <f>IF(AND(O270=1,C270="Punch item"),1,0)</f>
        <v/>
      </c>
    </row>
    <row r="271" ht="24" customHeight="1">
      <c r="B271" s="125" t="n">
        <v>264</v>
      </c>
      <c r="C271" s="72" t="n"/>
      <c r="D271" s="109" t="n"/>
      <c r="E271" s="72" t="n"/>
      <c r="F271" s="113" t="n"/>
      <c r="G271" s="72" t="n"/>
      <c r="H271" s="74" t="n"/>
      <c r="I271" s="73" t="n"/>
      <c r="J271" s="113" t="n"/>
      <c r="K271" s="109" t="n"/>
      <c r="L271" s="72" t="n"/>
      <c r="M271" s="109" t="n"/>
      <c r="N271" s="72" t="n"/>
      <c r="O271" s="79">
        <f>IF(AND(F271&lt;&gt;"",L271&lt;&gt;"Resolved"),1,0)</f>
        <v/>
      </c>
      <c r="P271" s="79">
        <f>IF(F271="","",IF(O271=0,0,IF(H271="High",2,1)))</f>
        <v/>
      </c>
      <c r="Q271" s="112">
        <f>IF(O271=1,IF(K271&lt;&gt;"",K271,IF(H271="High",AsOf,"")),"")</f>
        <v/>
      </c>
      <c r="R271" s="79">
        <f>IF(Q271="","",IF(H271="High",1,IF(Q271="","",IF(Q271&lt;AsOf,1,IF(Q271&lt;=AsOf+AlertDays,2,IF(Q271&lt;=AsOf+2*AlertDays,3,""))))))</f>
        <v/>
      </c>
      <c r="S271" s="79">
        <f>IF(R271="","",IF(H271="High","High-severity issue: ",IF(C271="Punch item","Punch item: ","Issue action due: "))&amp;F271&amp;IF(J271="",""," → "&amp;J271))</f>
        <v/>
      </c>
      <c r="T271" s="79">
        <f>IF(O271=1,IF(I271="",0,I271),0)</f>
        <v/>
      </c>
      <c r="U271" s="79">
        <f>IF(AND(O271=1,H271="High"),1,0)</f>
        <v/>
      </c>
      <c r="V271" s="79">
        <f>IF(AND(O271=1,C271="Punch item"),1,0)</f>
        <v/>
      </c>
    </row>
    <row r="272" ht="24" customHeight="1">
      <c r="B272" s="125" t="n">
        <v>265</v>
      </c>
      <c r="C272" s="72" t="n"/>
      <c r="D272" s="109" t="n"/>
      <c r="E272" s="72" t="n"/>
      <c r="F272" s="113" t="n"/>
      <c r="G272" s="72" t="n"/>
      <c r="H272" s="74" t="n"/>
      <c r="I272" s="73" t="n"/>
      <c r="J272" s="113" t="n"/>
      <c r="K272" s="109" t="n"/>
      <c r="L272" s="72" t="n"/>
      <c r="M272" s="109" t="n"/>
      <c r="N272" s="72" t="n"/>
      <c r="O272" s="79">
        <f>IF(AND(F272&lt;&gt;"",L272&lt;&gt;"Resolved"),1,0)</f>
        <v/>
      </c>
      <c r="P272" s="79">
        <f>IF(F272="","",IF(O272=0,0,IF(H272="High",2,1)))</f>
        <v/>
      </c>
      <c r="Q272" s="112">
        <f>IF(O272=1,IF(K272&lt;&gt;"",K272,IF(H272="High",AsOf,"")),"")</f>
        <v/>
      </c>
      <c r="R272" s="79">
        <f>IF(Q272="","",IF(H272="High",1,IF(Q272="","",IF(Q272&lt;AsOf,1,IF(Q272&lt;=AsOf+AlertDays,2,IF(Q272&lt;=AsOf+2*AlertDays,3,""))))))</f>
        <v/>
      </c>
      <c r="S272" s="79">
        <f>IF(R272="","",IF(H272="High","High-severity issue: ",IF(C272="Punch item","Punch item: ","Issue action due: "))&amp;F272&amp;IF(J272="",""," → "&amp;J272))</f>
        <v/>
      </c>
      <c r="T272" s="79">
        <f>IF(O272=1,IF(I272="",0,I272),0)</f>
        <v/>
      </c>
      <c r="U272" s="79">
        <f>IF(AND(O272=1,H272="High"),1,0)</f>
        <v/>
      </c>
      <c r="V272" s="79">
        <f>IF(AND(O272=1,C272="Punch item"),1,0)</f>
        <v/>
      </c>
    </row>
    <row r="273" ht="24" customHeight="1">
      <c r="B273" s="125" t="n">
        <v>266</v>
      </c>
      <c r="C273" s="72" t="n"/>
      <c r="D273" s="109" t="n"/>
      <c r="E273" s="72" t="n"/>
      <c r="F273" s="113" t="n"/>
      <c r="G273" s="72" t="n"/>
      <c r="H273" s="74" t="n"/>
      <c r="I273" s="73" t="n"/>
      <c r="J273" s="113" t="n"/>
      <c r="K273" s="109" t="n"/>
      <c r="L273" s="72" t="n"/>
      <c r="M273" s="109" t="n"/>
      <c r="N273" s="72" t="n"/>
      <c r="O273" s="79">
        <f>IF(AND(F273&lt;&gt;"",L273&lt;&gt;"Resolved"),1,0)</f>
        <v/>
      </c>
      <c r="P273" s="79">
        <f>IF(F273="","",IF(O273=0,0,IF(H273="High",2,1)))</f>
        <v/>
      </c>
      <c r="Q273" s="112">
        <f>IF(O273=1,IF(K273&lt;&gt;"",K273,IF(H273="High",AsOf,"")),"")</f>
        <v/>
      </c>
      <c r="R273" s="79">
        <f>IF(Q273="","",IF(H273="High",1,IF(Q273="","",IF(Q273&lt;AsOf,1,IF(Q273&lt;=AsOf+AlertDays,2,IF(Q273&lt;=AsOf+2*AlertDays,3,""))))))</f>
        <v/>
      </c>
      <c r="S273" s="79">
        <f>IF(R273="","",IF(H273="High","High-severity issue: ",IF(C273="Punch item","Punch item: ","Issue action due: "))&amp;F273&amp;IF(J273="",""," → "&amp;J273))</f>
        <v/>
      </c>
      <c r="T273" s="79">
        <f>IF(O273=1,IF(I273="",0,I273),0)</f>
        <v/>
      </c>
      <c r="U273" s="79">
        <f>IF(AND(O273=1,H273="High"),1,0)</f>
        <v/>
      </c>
      <c r="V273" s="79">
        <f>IF(AND(O273=1,C273="Punch item"),1,0)</f>
        <v/>
      </c>
    </row>
    <row r="274" ht="24" customHeight="1">
      <c r="B274" s="125" t="n">
        <v>267</v>
      </c>
      <c r="C274" s="72" t="n"/>
      <c r="D274" s="109" t="n"/>
      <c r="E274" s="72" t="n"/>
      <c r="F274" s="113" t="n"/>
      <c r="G274" s="72" t="n"/>
      <c r="H274" s="74" t="n"/>
      <c r="I274" s="73" t="n"/>
      <c r="J274" s="113" t="n"/>
      <c r="K274" s="109" t="n"/>
      <c r="L274" s="72" t="n"/>
      <c r="M274" s="109" t="n"/>
      <c r="N274" s="72" t="n"/>
      <c r="O274" s="79">
        <f>IF(AND(F274&lt;&gt;"",L274&lt;&gt;"Resolved"),1,0)</f>
        <v/>
      </c>
      <c r="P274" s="79">
        <f>IF(F274="","",IF(O274=0,0,IF(H274="High",2,1)))</f>
        <v/>
      </c>
      <c r="Q274" s="112">
        <f>IF(O274=1,IF(K274&lt;&gt;"",K274,IF(H274="High",AsOf,"")),"")</f>
        <v/>
      </c>
      <c r="R274" s="79">
        <f>IF(Q274="","",IF(H274="High",1,IF(Q274="","",IF(Q274&lt;AsOf,1,IF(Q274&lt;=AsOf+AlertDays,2,IF(Q274&lt;=AsOf+2*AlertDays,3,""))))))</f>
        <v/>
      </c>
      <c r="S274" s="79">
        <f>IF(R274="","",IF(H274="High","High-severity issue: ",IF(C274="Punch item","Punch item: ","Issue action due: "))&amp;F274&amp;IF(J274="",""," → "&amp;J274))</f>
        <v/>
      </c>
      <c r="T274" s="79">
        <f>IF(O274=1,IF(I274="",0,I274),0)</f>
        <v/>
      </c>
      <c r="U274" s="79">
        <f>IF(AND(O274=1,H274="High"),1,0)</f>
        <v/>
      </c>
      <c r="V274" s="79">
        <f>IF(AND(O274=1,C274="Punch item"),1,0)</f>
        <v/>
      </c>
    </row>
    <row r="275" ht="24" customHeight="1">
      <c r="B275" s="125" t="n">
        <v>268</v>
      </c>
      <c r="C275" s="72" t="n"/>
      <c r="D275" s="109" t="n"/>
      <c r="E275" s="72" t="n"/>
      <c r="F275" s="113" t="n"/>
      <c r="G275" s="72" t="n"/>
      <c r="H275" s="74" t="n"/>
      <c r="I275" s="73" t="n"/>
      <c r="J275" s="113" t="n"/>
      <c r="K275" s="109" t="n"/>
      <c r="L275" s="72" t="n"/>
      <c r="M275" s="109" t="n"/>
      <c r="N275" s="72" t="n"/>
      <c r="O275" s="79">
        <f>IF(AND(F275&lt;&gt;"",L275&lt;&gt;"Resolved"),1,0)</f>
        <v/>
      </c>
      <c r="P275" s="79">
        <f>IF(F275="","",IF(O275=0,0,IF(H275="High",2,1)))</f>
        <v/>
      </c>
      <c r="Q275" s="112">
        <f>IF(O275=1,IF(K275&lt;&gt;"",K275,IF(H275="High",AsOf,"")),"")</f>
        <v/>
      </c>
      <c r="R275" s="79">
        <f>IF(Q275="","",IF(H275="High",1,IF(Q275="","",IF(Q275&lt;AsOf,1,IF(Q275&lt;=AsOf+AlertDays,2,IF(Q275&lt;=AsOf+2*AlertDays,3,""))))))</f>
        <v/>
      </c>
      <c r="S275" s="79">
        <f>IF(R275="","",IF(H275="High","High-severity issue: ",IF(C275="Punch item","Punch item: ","Issue action due: "))&amp;F275&amp;IF(J275="",""," → "&amp;J275))</f>
        <v/>
      </c>
      <c r="T275" s="79">
        <f>IF(O275=1,IF(I275="",0,I275),0)</f>
        <v/>
      </c>
      <c r="U275" s="79">
        <f>IF(AND(O275=1,H275="High"),1,0)</f>
        <v/>
      </c>
      <c r="V275" s="79">
        <f>IF(AND(O275=1,C275="Punch item"),1,0)</f>
        <v/>
      </c>
    </row>
    <row r="276" ht="24" customHeight="1">
      <c r="B276" s="125" t="n">
        <v>269</v>
      </c>
      <c r="C276" s="72" t="n"/>
      <c r="D276" s="109" t="n"/>
      <c r="E276" s="72" t="n"/>
      <c r="F276" s="113" t="n"/>
      <c r="G276" s="72" t="n"/>
      <c r="H276" s="74" t="n"/>
      <c r="I276" s="73" t="n"/>
      <c r="J276" s="113" t="n"/>
      <c r="K276" s="109" t="n"/>
      <c r="L276" s="72" t="n"/>
      <c r="M276" s="109" t="n"/>
      <c r="N276" s="72" t="n"/>
      <c r="O276" s="79">
        <f>IF(AND(F276&lt;&gt;"",L276&lt;&gt;"Resolved"),1,0)</f>
        <v/>
      </c>
      <c r="P276" s="79">
        <f>IF(F276="","",IF(O276=0,0,IF(H276="High",2,1)))</f>
        <v/>
      </c>
      <c r="Q276" s="112">
        <f>IF(O276=1,IF(K276&lt;&gt;"",K276,IF(H276="High",AsOf,"")),"")</f>
        <v/>
      </c>
      <c r="R276" s="79">
        <f>IF(Q276="","",IF(H276="High",1,IF(Q276="","",IF(Q276&lt;AsOf,1,IF(Q276&lt;=AsOf+AlertDays,2,IF(Q276&lt;=AsOf+2*AlertDays,3,""))))))</f>
        <v/>
      </c>
      <c r="S276" s="79">
        <f>IF(R276="","",IF(H276="High","High-severity issue: ",IF(C276="Punch item","Punch item: ","Issue action due: "))&amp;F276&amp;IF(J276="",""," → "&amp;J276))</f>
        <v/>
      </c>
      <c r="T276" s="79">
        <f>IF(O276=1,IF(I276="",0,I276),0)</f>
        <v/>
      </c>
      <c r="U276" s="79">
        <f>IF(AND(O276=1,H276="High"),1,0)</f>
        <v/>
      </c>
      <c r="V276" s="79">
        <f>IF(AND(O276=1,C276="Punch item"),1,0)</f>
        <v/>
      </c>
    </row>
    <row r="277" ht="24" customHeight="1">
      <c r="B277" s="125" t="n">
        <v>270</v>
      </c>
      <c r="C277" s="72" t="n"/>
      <c r="D277" s="109" t="n"/>
      <c r="E277" s="72" t="n"/>
      <c r="F277" s="113" t="n"/>
      <c r="G277" s="72" t="n"/>
      <c r="H277" s="74" t="n"/>
      <c r="I277" s="73" t="n"/>
      <c r="J277" s="113" t="n"/>
      <c r="K277" s="109" t="n"/>
      <c r="L277" s="72" t="n"/>
      <c r="M277" s="109" t="n"/>
      <c r="N277" s="72" t="n"/>
      <c r="O277" s="79">
        <f>IF(AND(F277&lt;&gt;"",L277&lt;&gt;"Resolved"),1,0)</f>
        <v/>
      </c>
      <c r="P277" s="79">
        <f>IF(F277="","",IF(O277=0,0,IF(H277="High",2,1)))</f>
        <v/>
      </c>
      <c r="Q277" s="112">
        <f>IF(O277=1,IF(K277&lt;&gt;"",K277,IF(H277="High",AsOf,"")),"")</f>
        <v/>
      </c>
      <c r="R277" s="79">
        <f>IF(Q277="","",IF(H277="High",1,IF(Q277="","",IF(Q277&lt;AsOf,1,IF(Q277&lt;=AsOf+AlertDays,2,IF(Q277&lt;=AsOf+2*AlertDays,3,""))))))</f>
        <v/>
      </c>
      <c r="S277" s="79">
        <f>IF(R277="","",IF(H277="High","High-severity issue: ",IF(C277="Punch item","Punch item: ","Issue action due: "))&amp;F277&amp;IF(J277="",""," → "&amp;J277))</f>
        <v/>
      </c>
      <c r="T277" s="79">
        <f>IF(O277=1,IF(I277="",0,I277),0)</f>
        <v/>
      </c>
      <c r="U277" s="79">
        <f>IF(AND(O277=1,H277="High"),1,0)</f>
        <v/>
      </c>
      <c r="V277" s="79">
        <f>IF(AND(O277=1,C277="Punch item"),1,0)</f>
        <v/>
      </c>
    </row>
    <row r="278" ht="24" customHeight="1">
      <c r="B278" s="125" t="n">
        <v>271</v>
      </c>
      <c r="C278" s="72" t="n"/>
      <c r="D278" s="109" t="n"/>
      <c r="E278" s="72" t="n"/>
      <c r="F278" s="113" t="n"/>
      <c r="G278" s="72" t="n"/>
      <c r="H278" s="74" t="n"/>
      <c r="I278" s="73" t="n"/>
      <c r="J278" s="113" t="n"/>
      <c r="K278" s="109" t="n"/>
      <c r="L278" s="72" t="n"/>
      <c r="M278" s="109" t="n"/>
      <c r="N278" s="72" t="n"/>
      <c r="O278" s="79">
        <f>IF(AND(F278&lt;&gt;"",L278&lt;&gt;"Resolved"),1,0)</f>
        <v/>
      </c>
      <c r="P278" s="79">
        <f>IF(F278="","",IF(O278=0,0,IF(H278="High",2,1)))</f>
        <v/>
      </c>
      <c r="Q278" s="112">
        <f>IF(O278=1,IF(K278&lt;&gt;"",K278,IF(H278="High",AsOf,"")),"")</f>
        <v/>
      </c>
      <c r="R278" s="79">
        <f>IF(Q278="","",IF(H278="High",1,IF(Q278="","",IF(Q278&lt;AsOf,1,IF(Q278&lt;=AsOf+AlertDays,2,IF(Q278&lt;=AsOf+2*AlertDays,3,""))))))</f>
        <v/>
      </c>
      <c r="S278" s="79">
        <f>IF(R278="","",IF(H278="High","High-severity issue: ",IF(C278="Punch item","Punch item: ","Issue action due: "))&amp;F278&amp;IF(J278="",""," → "&amp;J278))</f>
        <v/>
      </c>
      <c r="T278" s="79">
        <f>IF(O278=1,IF(I278="",0,I278),0)</f>
        <v/>
      </c>
      <c r="U278" s="79">
        <f>IF(AND(O278=1,H278="High"),1,0)</f>
        <v/>
      </c>
      <c r="V278" s="79">
        <f>IF(AND(O278=1,C278="Punch item"),1,0)</f>
        <v/>
      </c>
    </row>
    <row r="279" ht="24" customHeight="1">
      <c r="B279" s="125" t="n">
        <v>272</v>
      </c>
      <c r="C279" s="72" t="n"/>
      <c r="D279" s="109" t="n"/>
      <c r="E279" s="72" t="n"/>
      <c r="F279" s="113" t="n"/>
      <c r="G279" s="72" t="n"/>
      <c r="H279" s="74" t="n"/>
      <c r="I279" s="73" t="n"/>
      <c r="J279" s="113" t="n"/>
      <c r="K279" s="109" t="n"/>
      <c r="L279" s="72" t="n"/>
      <c r="M279" s="109" t="n"/>
      <c r="N279" s="72" t="n"/>
      <c r="O279" s="79">
        <f>IF(AND(F279&lt;&gt;"",L279&lt;&gt;"Resolved"),1,0)</f>
        <v/>
      </c>
      <c r="P279" s="79">
        <f>IF(F279="","",IF(O279=0,0,IF(H279="High",2,1)))</f>
        <v/>
      </c>
      <c r="Q279" s="112">
        <f>IF(O279=1,IF(K279&lt;&gt;"",K279,IF(H279="High",AsOf,"")),"")</f>
        <v/>
      </c>
      <c r="R279" s="79">
        <f>IF(Q279="","",IF(H279="High",1,IF(Q279="","",IF(Q279&lt;AsOf,1,IF(Q279&lt;=AsOf+AlertDays,2,IF(Q279&lt;=AsOf+2*AlertDays,3,""))))))</f>
        <v/>
      </c>
      <c r="S279" s="79">
        <f>IF(R279="","",IF(H279="High","High-severity issue: ",IF(C279="Punch item","Punch item: ","Issue action due: "))&amp;F279&amp;IF(J279="",""," → "&amp;J279))</f>
        <v/>
      </c>
      <c r="T279" s="79">
        <f>IF(O279=1,IF(I279="",0,I279),0)</f>
        <v/>
      </c>
      <c r="U279" s="79">
        <f>IF(AND(O279=1,H279="High"),1,0)</f>
        <v/>
      </c>
      <c r="V279" s="79">
        <f>IF(AND(O279=1,C279="Punch item"),1,0)</f>
        <v/>
      </c>
    </row>
    <row r="280" ht="24" customHeight="1">
      <c r="B280" s="125" t="n">
        <v>273</v>
      </c>
      <c r="C280" s="72" t="n"/>
      <c r="D280" s="109" t="n"/>
      <c r="E280" s="72" t="n"/>
      <c r="F280" s="113" t="n"/>
      <c r="G280" s="72" t="n"/>
      <c r="H280" s="74" t="n"/>
      <c r="I280" s="73" t="n"/>
      <c r="J280" s="113" t="n"/>
      <c r="K280" s="109" t="n"/>
      <c r="L280" s="72" t="n"/>
      <c r="M280" s="109" t="n"/>
      <c r="N280" s="72" t="n"/>
      <c r="O280" s="79">
        <f>IF(AND(F280&lt;&gt;"",L280&lt;&gt;"Resolved"),1,0)</f>
        <v/>
      </c>
      <c r="P280" s="79">
        <f>IF(F280="","",IF(O280=0,0,IF(H280="High",2,1)))</f>
        <v/>
      </c>
      <c r="Q280" s="112">
        <f>IF(O280=1,IF(K280&lt;&gt;"",K280,IF(H280="High",AsOf,"")),"")</f>
        <v/>
      </c>
      <c r="R280" s="79">
        <f>IF(Q280="","",IF(H280="High",1,IF(Q280="","",IF(Q280&lt;AsOf,1,IF(Q280&lt;=AsOf+AlertDays,2,IF(Q280&lt;=AsOf+2*AlertDays,3,""))))))</f>
        <v/>
      </c>
      <c r="S280" s="79">
        <f>IF(R280="","",IF(H280="High","High-severity issue: ",IF(C280="Punch item","Punch item: ","Issue action due: "))&amp;F280&amp;IF(J280="",""," → "&amp;J280))</f>
        <v/>
      </c>
      <c r="T280" s="79">
        <f>IF(O280=1,IF(I280="",0,I280),0)</f>
        <v/>
      </c>
      <c r="U280" s="79">
        <f>IF(AND(O280=1,H280="High"),1,0)</f>
        <v/>
      </c>
      <c r="V280" s="79">
        <f>IF(AND(O280=1,C280="Punch item"),1,0)</f>
        <v/>
      </c>
    </row>
    <row r="281" ht="24" customHeight="1">
      <c r="B281" s="125" t="n">
        <v>274</v>
      </c>
      <c r="C281" s="72" t="n"/>
      <c r="D281" s="109" t="n"/>
      <c r="E281" s="72" t="n"/>
      <c r="F281" s="113" t="n"/>
      <c r="G281" s="72" t="n"/>
      <c r="H281" s="74" t="n"/>
      <c r="I281" s="73" t="n"/>
      <c r="J281" s="113" t="n"/>
      <c r="K281" s="109" t="n"/>
      <c r="L281" s="72" t="n"/>
      <c r="M281" s="109" t="n"/>
      <c r="N281" s="72" t="n"/>
      <c r="O281" s="79">
        <f>IF(AND(F281&lt;&gt;"",L281&lt;&gt;"Resolved"),1,0)</f>
        <v/>
      </c>
      <c r="P281" s="79">
        <f>IF(F281="","",IF(O281=0,0,IF(H281="High",2,1)))</f>
        <v/>
      </c>
      <c r="Q281" s="112">
        <f>IF(O281=1,IF(K281&lt;&gt;"",K281,IF(H281="High",AsOf,"")),"")</f>
        <v/>
      </c>
      <c r="R281" s="79">
        <f>IF(Q281="","",IF(H281="High",1,IF(Q281="","",IF(Q281&lt;AsOf,1,IF(Q281&lt;=AsOf+AlertDays,2,IF(Q281&lt;=AsOf+2*AlertDays,3,""))))))</f>
        <v/>
      </c>
      <c r="S281" s="79">
        <f>IF(R281="","",IF(H281="High","High-severity issue: ",IF(C281="Punch item","Punch item: ","Issue action due: "))&amp;F281&amp;IF(J281="",""," → "&amp;J281))</f>
        <v/>
      </c>
      <c r="T281" s="79">
        <f>IF(O281=1,IF(I281="",0,I281),0)</f>
        <v/>
      </c>
      <c r="U281" s="79">
        <f>IF(AND(O281=1,H281="High"),1,0)</f>
        <v/>
      </c>
      <c r="V281" s="79">
        <f>IF(AND(O281=1,C281="Punch item"),1,0)</f>
        <v/>
      </c>
    </row>
    <row r="282" ht="24" customHeight="1">
      <c r="B282" s="125" t="n">
        <v>275</v>
      </c>
      <c r="C282" s="72" t="n"/>
      <c r="D282" s="109" t="n"/>
      <c r="E282" s="72" t="n"/>
      <c r="F282" s="113" t="n"/>
      <c r="G282" s="72" t="n"/>
      <c r="H282" s="74" t="n"/>
      <c r="I282" s="73" t="n"/>
      <c r="J282" s="113" t="n"/>
      <c r="K282" s="109" t="n"/>
      <c r="L282" s="72" t="n"/>
      <c r="M282" s="109" t="n"/>
      <c r="N282" s="72" t="n"/>
      <c r="O282" s="79">
        <f>IF(AND(F282&lt;&gt;"",L282&lt;&gt;"Resolved"),1,0)</f>
        <v/>
      </c>
      <c r="P282" s="79">
        <f>IF(F282="","",IF(O282=0,0,IF(H282="High",2,1)))</f>
        <v/>
      </c>
      <c r="Q282" s="112">
        <f>IF(O282=1,IF(K282&lt;&gt;"",K282,IF(H282="High",AsOf,"")),"")</f>
        <v/>
      </c>
      <c r="R282" s="79">
        <f>IF(Q282="","",IF(H282="High",1,IF(Q282="","",IF(Q282&lt;AsOf,1,IF(Q282&lt;=AsOf+AlertDays,2,IF(Q282&lt;=AsOf+2*AlertDays,3,""))))))</f>
        <v/>
      </c>
      <c r="S282" s="79">
        <f>IF(R282="","",IF(H282="High","High-severity issue: ",IF(C282="Punch item","Punch item: ","Issue action due: "))&amp;F282&amp;IF(J282="",""," → "&amp;J282))</f>
        <v/>
      </c>
      <c r="T282" s="79">
        <f>IF(O282=1,IF(I282="",0,I282),0)</f>
        <v/>
      </c>
      <c r="U282" s="79">
        <f>IF(AND(O282=1,H282="High"),1,0)</f>
        <v/>
      </c>
      <c r="V282" s="79">
        <f>IF(AND(O282=1,C282="Punch item"),1,0)</f>
        <v/>
      </c>
    </row>
    <row r="283" ht="24" customHeight="1">
      <c r="B283" s="125" t="n">
        <v>276</v>
      </c>
      <c r="C283" s="72" t="n"/>
      <c r="D283" s="109" t="n"/>
      <c r="E283" s="72" t="n"/>
      <c r="F283" s="113" t="n"/>
      <c r="G283" s="72" t="n"/>
      <c r="H283" s="74" t="n"/>
      <c r="I283" s="73" t="n"/>
      <c r="J283" s="113" t="n"/>
      <c r="K283" s="109" t="n"/>
      <c r="L283" s="72" t="n"/>
      <c r="M283" s="109" t="n"/>
      <c r="N283" s="72" t="n"/>
      <c r="O283" s="79">
        <f>IF(AND(F283&lt;&gt;"",L283&lt;&gt;"Resolved"),1,0)</f>
        <v/>
      </c>
      <c r="P283" s="79">
        <f>IF(F283="","",IF(O283=0,0,IF(H283="High",2,1)))</f>
        <v/>
      </c>
      <c r="Q283" s="112">
        <f>IF(O283=1,IF(K283&lt;&gt;"",K283,IF(H283="High",AsOf,"")),"")</f>
        <v/>
      </c>
      <c r="R283" s="79">
        <f>IF(Q283="","",IF(H283="High",1,IF(Q283="","",IF(Q283&lt;AsOf,1,IF(Q283&lt;=AsOf+AlertDays,2,IF(Q283&lt;=AsOf+2*AlertDays,3,""))))))</f>
        <v/>
      </c>
      <c r="S283" s="79">
        <f>IF(R283="","",IF(H283="High","High-severity issue: ",IF(C283="Punch item","Punch item: ","Issue action due: "))&amp;F283&amp;IF(J283="",""," → "&amp;J283))</f>
        <v/>
      </c>
      <c r="T283" s="79">
        <f>IF(O283=1,IF(I283="",0,I283),0)</f>
        <v/>
      </c>
      <c r="U283" s="79">
        <f>IF(AND(O283=1,H283="High"),1,0)</f>
        <v/>
      </c>
      <c r="V283" s="79">
        <f>IF(AND(O283=1,C283="Punch item"),1,0)</f>
        <v/>
      </c>
    </row>
    <row r="284" ht="24" customHeight="1">
      <c r="B284" s="125" t="n">
        <v>277</v>
      </c>
      <c r="C284" s="72" t="n"/>
      <c r="D284" s="109" t="n"/>
      <c r="E284" s="72" t="n"/>
      <c r="F284" s="113" t="n"/>
      <c r="G284" s="72" t="n"/>
      <c r="H284" s="74" t="n"/>
      <c r="I284" s="73" t="n"/>
      <c r="J284" s="113" t="n"/>
      <c r="K284" s="109" t="n"/>
      <c r="L284" s="72" t="n"/>
      <c r="M284" s="109" t="n"/>
      <c r="N284" s="72" t="n"/>
      <c r="O284" s="79">
        <f>IF(AND(F284&lt;&gt;"",L284&lt;&gt;"Resolved"),1,0)</f>
        <v/>
      </c>
      <c r="P284" s="79">
        <f>IF(F284="","",IF(O284=0,0,IF(H284="High",2,1)))</f>
        <v/>
      </c>
      <c r="Q284" s="112">
        <f>IF(O284=1,IF(K284&lt;&gt;"",K284,IF(H284="High",AsOf,"")),"")</f>
        <v/>
      </c>
      <c r="R284" s="79">
        <f>IF(Q284="","",IF(H284="High",1,IF(Q284="","",IF(Q284&lt;AsOf,1,IF(Q284&lt;=AsOf+AlertDays,2,IF(Q284&lt;=AsOf+2*AlertDays,3,""))))))</f>
        <v/>
      </c>
      <c r="S284" s="79">
        <f>IF(R284="","",IF(H284="High","High-severity issue: ",IF(C284="Punch item","Punch item: ","Issue action due: "))&amp;F284&amp;IF(J284="",""," → "&amp;J284))</f>
        <v/>
      </c>
      <c r="T284" s="79">
        <f>IF(O284=1,IF(I284="",0,I284),0)</f>
        <v/>
      </c>
      <c r="U284" s="79">
        <f>IF(AND(O284=1,H284="High"),1,0)</f>
        <v/>
      </c>
      <c r="V284" s="79">
        <f>IF(AND(O284=1,C284="Punch item"),1,0)</f>
        <v/>
      </c>
    </row>
    <row r="285" ht="24" customHeight="1">
      <c r="B285" s="125" t="n">
        <v>278</v>
      </c>
      <c r="C285" s="72" t="n"/>
      <c r="D285" s="109" t="n"/>
      <c r="E285" s="72" t="n"/>
      <c r="F285" s="113" t="n"/>
      <c r="G285" s="72" t="n"/>
      <c r="H285" s="74" t="n"/>
      <c r="I285" s="73" t="n"/>
      <c r="J285" s="113" t="n"/>
      <c r="K285" s="109" t="n"/>
      <c r="L285" s="72" t="n"/>
      <c r="M285" s="109" t="n"/>
      <c r="N285" s="72" t="n"/>
      <c r="O285" s="79">
        <f>IF(AND(F285&lt;&gt;"",L285&lt;&gt;"Resolved"),1,0)</f>
        <v/>
      </c>
      <c r="P285" s="79">
        <f>IF(F285="","",IF(O285=0,0,IF(H285="High",2,1)))</f>
        <v/>
      </c>
      <c r="Q285" s="112">
        <f>IF(O285=1,IF(K285&lt;&gt;"",K285,IF(H285="High",AsOf,"")),"")</f>
        <v/>
      </c>
      <c r="R285" s="79">
        <f>IF(Q285="","",IF(H285="High",1,IF(Q285="","",IF(Q285&lt;AsOf,1,IF(Q285&lt;=AsOf+AlertDays,2,IF(Q285&lt;=AsOf+2*AlertDays,3,""))))))</f>
        <v/>
      </c>
      <c r="S285" s="79">
        <f>IF(R285="","",IF(H285="High","High-severity issue: ",IF(C285="Punch item","Punch item: ","Issue action due: "))&amp;F285&amp;IF(J285="",""," → "&amp;J285))</f>
        <v/>
      </c>
      <c r="T285" s="79">
        <f>IF(O285=1,IF(I285="",0,I285),0)</f>
        <v/>
      </c>
      <c r="U285" s="79">
        <f>IF(AND(O285=1,H285="High"),1,0)</f>
        <v/>
      </c>
      <c r="V285" s="79">
        <f>IF(AND(O285=1,C285="Punch item"),1,0)</f>
        <v/>
      </c>
    </row>
    <row r="286" ht="24" customHeight="1">
      <c r="B286" s="125" t="n">
        <v>279</v>
      </c>
      <c r="C286" s="72" t="n"/>
      <c r="D286" s="109" t="n"/>
      <c r="E286" s="72" t="n"/>
      <c r="F286" s="113" t="n"/>
      <c r="G286" s="72" t="n"/>
      <c r="H286" s="74" t="n"/>
      <c r="I286" s="73" t="n"/>
      <c r="J286" s="113" t="n"/>
      <c r="K286" s="109" t="n"/>
      <c r="L286" s="72" t="n"/>
      <c r="M286" s="109" t="n"/>
      <c r="N286" s="72" t="n"/>
      <c r="O286" s="79">
        <f>IF(AND(F286&lt;&gt;"",L286&lt;&gt;"Resolved"),1,0)</f>
        <v/>
      </c>
      <c r="P286" s="79">
        <f>IF(F286="","",IF(O286=0,0,IF(H286="High",2,1)))</f>
        <v/>
      </c>
      <c r="Q286" s="112">
        <f>IF(O286=1,IF(K286&lt;&gt;"",K286,IF(H286="High",AsOf,"")),"")</f>
        <v/>
      </c>
      <c r="R286" s="79">
        <f>IF(Q286="","",IF(H286="High",1,IF(Q286="","",IF(Q286&lt;AsOf,1,IF(Q286&lt;=AsOf+AlertDays,2,IF(Q286&lt;=AsOf+2*AlertDays,3,""))))))</f>
        <v/>
      </c>
      <c r="S286" s="79">
        <f>IF(R286="","",IF(H286="High","High-severity issue: ",IF(C286="Punch item","Punch item: ","Issue action due: "))&amp;F286&amp;IF(J286="",""," → "&amp;J286))</f>
        <v/>
      </c>
      <c r="T286" s="79">
        <f>IF(O286=1,IF(I286="",0,I286),0)</f>
        <v/>
      </c>
      <c r="U286" s="79">
        <f>IF(AND(O286=1,H286="High"),1,0)</f>
        <v/>
      </c>
      <c r="V286" s="79">
        <f>IF(AND(O286=1,C286="Punch item"),1,0)</f>
        <v/>
      </c>
    </row>
    <row r="287" ht="24" customHeight="1">
      <c r="B287" s="125" t="n">
        <v>280</v>
      </c>
      <c r="C287" s="72" t="n"/>
      <c r="D287" s="109" t="n"/>
      <c r="E287" s="72" t="n"/>
      <c r="F287" s="113" t="n"/>
      <c r="G287" s="72" t="n"/>
      <c r="H287" s="74" t="n"/>
      <c r="I287" s="73" t="n"/>
      <c r="J287" s="113" t="n"/>
      <c r="K287" s="109" t="n"/>
      <c r="L287" s="72" t="n"/>
      <c r="M287" s="109" t="n"/>
      <c r="N287" s="72" t="n"/>
      <c r="O287" s="79">
        <f>IF(AND(F287&lt;&gt;"",L287&lt;&gt;"Resolved"),1,0)</f>
        <v/>
      </c>
      <c r="P287" s="79">
        <f>IF(F287="","",IF(O287=0,0,IF(H287="High",2,1)))</f>
        <v/>
      </c>
      <c r="Q287" s="112">
        <f>IF(O287=1,IF(K287&lt;&gt;"",K287,IF(H287="High",AsOf,"")),"")</f>
        <v/>
      </c>
      <c r="R287" s="79">
        <f>IF(Q287="","",IF(H287="High",1,IF(Q287="","",IF(Q287&lt;AsOf,1,IF(Q287&lt;=AsOf+AlertDays,2,IF(Q287&lt;=AsOf+2*AlertDays,3,""))))))</f>
        <v/>
      </c>
      <c r="S287" s="79">
        <f>IF(R287="","",IF(H287="High","High-severity issue: ",IF(C287="Punch item","Punch item: ","Issue action due: "))&amp;F287&amp;IF(J287="",""," → "&amp;J287))</f>
        <v/>
      </c>
      <c r="T287" s="79">
        <f>IF(O287=1,IF(I287="",0,I287),0)</f>
        <v/>
      </c>
      <c r="U287" s="79">
        <f>IF(AND(O287=1,H287="High"),1,0)</f>
        <v/>
      </c>
      <c r="V287" s="79">
        <f>IF(AND(O287=1,C287="Punch item"),1,0)</f>
        <v/>
      </c>
    </row>
    <row r="288" ht="24" customHeight="1">
      <c r="B288" s="125" t="n">
        <v>281</v>
      </c>
      <c r="C288" s="72" t="n"/>
      <c r="D288" s="109" t="n"/>
      <c r="E288" s="72" t="n"/>
      <c r="F288" s="113" t="n"/>
      <c r="G288" s="72" t="n"/>
      <c r="H288" s="74" t="n"/>
      <c r="I288" s="73" t="n"/>
      <c r="J288" s="113" t="n"/>
      <c r="K288" s="109" t="n"/>
      <c r="L288" s="72" t="n"/>
      <c r="M288" s="109" t="n"/>
      <c r="N288" s="72" t="n"/>
      <c r="O288" s="79">
        <f>IF(AND(F288&lt;&gt;"",L288&lt;&gt;"Resolved"),1,0)</f>
        <v/>
      </c>
      <c r="P288" s="79">
        <f>IF(F288="","",IF(O288=0,0,IF(H288="High",2,1)))</f>
        <v/>
      </c>
      <c r="Q288" s="112">
        <f>IF(O288=1,IF(K288&lt;&gt;"",K288,IF(H288="High",AsOf,"")),"")</f>
        <v/>
      </c>
      <c r="R288" s="79">
        <f>IF(Q288="","",IF(H288="High",1,IF(Q288="","",IF(Q288&lt;AsOf,1,IF(Q288&lt;=AsOf+AlertDays,2,IF(Q288&lt;=AsOf+2*AlertDays,3,""))))))</f>
        <v/>
      </c>
      <c r="S288" s="79">
        <f>IF(R288="","",IF(H288="High","High-severity issue: ",IF(C288="Punch item","Punch item: ","Issue action due: "))&amp;F288&amp;IF(J288="",""," → "&amp;J288))</f>
        <v/>
      </c>
      <c r="T288" s="79">
        <f>IF(O288=1,IF(I288="",0,I288),0)</f>
        <v/>
      </c>
      <c r="U288" s="79">
        <f>IF(AND(O288=1,H288="High"),1,0)</f>
        <v/>
      </c>
      <c r="V288" s="79">
        <f>IF(AND(O288=1,C288="Punch item"),1,0)</f>
        <v/>
      </c>
    </row>
    <row r="289" ht="24" customHeight="1">
      <c r="B289" s="125" t="n">
        <v>282</v>
      </c>
      <c r="C289" s="72" t="n"/>
      <c r="D289" s="109" t="n"/>
      <c r="E289" s="72" t="n"/>
      <c r="F289" s="113" t="n"/>
      <c r="G289" s="72" t="n"/>
      <c r="H289" s="74" t="n"/>
      <c r="I289" s="73" t="n"/>
      <c r="J289" s="113" t="n"/>
      <c r="K289" s="109" t="n"/>
      <c r="L289" s="72" t="n"/>
      <c r="M289" s="109" t="n"/>
      <c r="N289" s="72" t="n"/>
      <c r="O289" s="79">
        <f>IF(AND(F289&lt;&gt;"",L289&lt;&gt;"Resolved"),1,0)</f>
        <v/>
      </c>
      <c r="P289" s="79">
        <f>IF(F289="","",IF(O289=0,0,IF(H289="High",2,1)))</f>
        <v/>
      </c>
      <c r="Q289" s="112">
        <f>IF(O289=1,IF(K289&lt;&gt;"",K289,IF(H289="High",AsOf,"")),"")</f>
        <v/>
      </c>
      <c r="R289" s="79">
        <f>IF(Q289="","",IF(H289="High",1,IF(Q289="","",IF(Q289&lt;AsOf,1,IF(Q289&lt;=AsOf+AlertDays,2,IF(Q289&lt;=AsOf+2*AlertDays,3,""))))))</f>
        <v/>
      </c>
      <c r="S289" s="79">
        <f>IF(R289="","",IF(H289="High","High-severity issue: ",IF(C289="Punch item","Punch item: ","Issue action due: "))&amp;F289&amp;IF(J289="",""," → "&amp;J289))</f>
        <v/>
      </c>
      <c r="T289" s="79">
        <f>IF(O289=1,IF(I289="",0,I289),0)</f>
        <v/>
      </c>
      <c r="U289" s="79">
        <f>IF(AND(O289=1,H289="High"),1,0)</f>
        <v/>
      </c>
      <c r="V289" s="79">
        <f>IF(AND(O289=1,C289="Punch item"),1,0)</f>
        <v/>
      </c>
    </row>
    <row r="290" ht="24" customHeight="1">
      <c r="B290" s="125" t="n">
        <v>283</v>
      </c>
      <c r="C290" s="72" t="n"/>
      <c r="D290" s="109" t="n"/>
      <c r="E290" s="72" t="n"/>
      <c r="F290" s="113" t="n"/>
      <c r="G290" s="72" t="n"/>
      <c r="H290" s="74" t="n"/>
      <c r="I290" s="73" t="n"/>
      <c r="J290" s="113" t="n"/>
      <c r="K290" s="109" t="n"/>
      <c r="L290" s="72" t="n"/>
      <c r="M290" s="109" t="n"/>
      <c r="N290" s="72" t="n"/>
      <c r="O290" s="79">
        <f>IF(AND(F290&lt;&gt;"",L290&lt;&gt;"Resolved"),1,0)</f>
        <v/>
      </c>
      <c r="P290" s="79">
        <f>IF(F290="","",IF(O290=0,0,IF(H290="High",2,1)))</f>
        <v/>
      </c>
      <c r="Q290" s="112">
        <f>IF(O290=1,IF(K290&lt;&gt;"",K290,IF(H290="High",AsOf,"")),"")</f>
        <v/>
      </c>
      <c r="R290" s="79">
        <f>IF(Q290="","",IF(H290="High",1,IF(Q290="","",IF(Q290&lt;AsOf,1,IF(Q290&lt;=AsOf+AlertDays,2,IF(Q290&lt;=AsOf+2*AlertDays,3,""))))))</f>
        <v/>
      </c>
      <c r="S290" s="79">
        <f>IF(R290="","",IF(H290="High","High-severity issue: ",IF(C290="Punch item","Punch item: ","Issue action due: "))&amp;F290&amp;IF(J290="",""," → "&amp;J290))</f>
        <v/>
      </c>
      <c r="T290" s="79">
        <f>IF(O290=1,IF(I290="",0,I290),0)</f>
        <v/>
      </c>
      <c r="U290" s="79">
        <f>IF(AND(O290=1,H290="High"),1,0)</f>
        <v/>
      </c>
      <c r="V290" s="79">
        <f>IF(AND(O290=1,C290="Punch item"),1,0)</f>
        <v/>
      </c>
    </row>
    <row r="291" ht="24" customHeight="1">
      <c r="B291" s="125" t="n">
        <v>284</v>
      </c>
      <c r="C291" s="72" t="n"/>
      <c r="D291" s="109" t="n"/>
      <c r="E291" s="72" t="n"/>
      <c r="F291" s="113" t="n"/>
      <c r="G291" s="72" t="n"/>
      <c r="H291" s="74" t="n"/>
      <c r="I291" s="73" t="n"/>
      <c r="J291" s="113" t="n"/>
      <c r="K291" s="109" t="n"/>
      <c r="L291" s="72" t="n"/>
      <c r="M291" s="109" t="n"/>
      <c r="N291" s="72" t="n"/>
      <c r="O291" s="79">
        <f>IF(AND(F291&lt;&gt;"",L291&lt;&gt;"Resolved"),1,0)</f>
        <v/>
      </c>
      <c r="P291" s="79">
        <f>IF(F291="","",IF(O291=0,0,IF(H291="High",2,1)))</f>
        <v/>
      </c>
      <c r="Q291" s="112">
        <f>IF(O291=1,IF(K291&lt;&gt;"",K291,IF(H291="High",AsOf,"")),"")</f>
        <v/>
      </c>
      <c r="R291" s="79">
        <f>IF(Q291="","",IF(H291="High",1,IF(Q291="","",IF(Q291&lt;AsOf,1,IF(Q291&lt;=AsOf+AlertDays,2,IF(Q291&lt;=AsOf+2*AlertDays,3,""))))))</f>
        <v/>
      </c>
      <c r="S291" s="79">
        <f>IF(R291="","",IF(H291="High","High-severity issue: ",IF(C291="Punch item","Punch item: ","Issue action due: "))&amp;F291&amp;IF(J291="",""," → "&amp;J291))</f>
        <v/>
      </c>
      <c r="T291" s="79">
        <f>IF(O291=1,IF(I291="",0,I291),0)</f>
        <v/>
      </c>
      <c r="U291" s="79">
        <f>IF(AND(O291=1,H291="High"),1,0)</f>
        <v/>
      </c>
      <c r="V291" s="79">
        <f>IF(AND(O291=1,C291="Punch item"),1,0)</f>
        <v/>
      </c>
    </row>
    <row r="292" ht="24" customHeight="1">
      <c r="B292" s="125" t="n">
        <v>285</v>
      </c>
      <c r="C292" s="72" t="n"/>
      <c r="D292" s="109" t="n"/>
      <c r="E292" s="72" t="n"/>
      <c r="F292" s="113" t="n"/>
      <c r="G292" s="72" t="n"/>
      <c r="H292" s="74" t="n"/>
      <c r="I292" s="73" t="n"/>
      <c r="J292" s="113" t="n"/>
      <c r="K292" s="109" t="n"/>
      <c r="L292" s="72" t="n"/>
      <c r="M292" s="109" t="n"/>
      <c r="N292" s="72" t="n"/>
      <c r="O292" s="79">
        <f>IF(AND(F292&lt;&gt;"",L292&lt;&gt;"Resolved"),1,0)</f>
        <v/>
      </c>
      <c r="P292" s="79">
        <f>IF(F292="","",IF(O292=0,0,IF(H292="High",2,1)))</f>
        <v/>
      </c>
      <c r="Q292" s="112">
        <f>IF(O292=1,IF(K292&lt;&gt;"",K292,IF(H292="High",AsOf,"")),"")</f>
        <v/>
      </c>
      <c r="R292" s="79">
        <f>IF(Q292="","",IF(H292="High",1,IF(Q292="","",IF(Q292&lt;AsOf,1,IF(Q292&lt;=AsOf+AlertDays,2,IF(Q292&lt;=AsOf+2*AlertDays,3,""))))))</f>
        <v/>
      </c>
      <c r="S292" s="79">
        <f>IF(R292="","",IF(H292="High","High-severity issue: ",IF(C292="Punch item","Punch item: ","Issue action due: "))&amp;F292&amp;IF(J292="",""," → "&amp;J292))</f>
        <v/>
      </c>
      <c r="T292" s="79">
        <f>IF(O292=1,IF(I292="",0,I292),0)</f>
        <v/>
      </c>
      <c r="U292" s="79">
        <f>IF(AND(O292=1,H292="High"),1,0)</f>
        <v/>
      </c>
      <c r="V292" s="79">
        <f>IF(AND(O292=1,C292="Punch item"),1,0)</f>
        <v/>
      </c>
    </row>
    <row r="293" ht="24" customHeight="1">
      <c r="B293" s="125" t="n">
        <v>286</v>
      </c>
      <c r="C293" s="72" t="n"/>
      <c r="D293" s="109" t="n"/>
      <c r="E293" s="72" t="n"/>
      <c r="F293" s="113" t="n"/>
      <c r="G293" s="72" t="n"/>
      <c r="H293" s="74" t="n"/>
      <c r="I293" s="73" t="n"/>
      <c r="J293" s="113" t="n"/>
      <c r="K293" s="109" t="n"/>
      <c r="L293" s="72" t="n"/>
      <c r="M293" s="109" t="n"/>
      <c r="N293" s="72" t="n"/>
      <c r="O293" s="79">
        <f>IF(AND(F293&lt;&gt;"",L293&lt;&gt;"Resolved"),1,0)</f>
        <v/>
      </c>
      <c r="P293" s="79">
        <f>IF(F293="","",IF(O293=0,0,IF(H293="High",2,1)))</f>
        <v/>
      </c>
      <c r="Q293" s="112">
        <f>IF(O293=1,IF(K293&lt;&gt;"",K293,IF(H293="High",AsOf,"")),"")</f>
        <v/>
      </c>
      <c r="R293" s="79">
        <f>IF(Q293="","",IF(H293="High",1,IF(Q293="","",IF(Q293&lt;AsOf,1,IF(Q293&lt;=AsOf+AlertDays,2,IF(Q293&lt;=AsOf+2*AlertDays,3,""))))))</f>
        <v/>
      </c>
      <c r="S293" s="79">
        <f>IF(R293="","",IF(H293="High","High-severity issue: ",IF(C293="Punch item","Punch item: ","Issue action due: "))&amp;F293&amp;IF(J293="",""," → "&amp;J293))</f>
        <v/>
      </c>
      <c r="T293" s="79">
        <f>IF(O293=1,IF(I293="",0,I293),0)</f>
        <v/>
      </c>
      <c r="U293" s="79">
        <f>IF(AND(O293=1,H293="High"),1,0)</f>
        <v/>
      </c>
      <c r="V293" s="79">
        <f>IF(AND(O293=1,C293="Punch item"),1,0)</f>
        <v/>
      </c>
    </row>
    <row r="294" ht="24" customHeight="1">
      <c r="B294" s="125" t="n">
        <v>287</v>
      </c>
      <c r="C294" s="72" t="n"/>
      <c r="D294" s="109" t="n"/>
      <c r="E294" s="72" t="n"/>
      <c r="F294" s="113" t="n"/>
      <c r="G294" s="72" t="n"/>
      <c r="H294" s="74" t="n"/>
      <c r="I294" s="73" t="n"/>
      <c r="J294" s="113" t="n"/>
      <c r="K294" s="109" t="n"/>
      <c r="L294" s="72" t="n"/>
      <c r="M294" s="109" t="n"/>
      <c r="N294" s="72" t="n"/>
      <c r="O294" s="79">
        <f>IF(AND(F294&lt;&gt;"",L294&lt;&gt;"Resolved"),1,0)</f>
        <v/>
      </c>
      <c r="P294" s="79">
        <f>IF(F294="","",IF(O294=0,0,IF(H294="High",2,1)))</f>
        <v/>
      </c>
      <c r="Q294" s="112">
        <f>IF(O294=1,IF(K294&lt;&gt;"",K294,IF(H294="High",AsOf,"")),"")</f>
        <v/>
      </c>
      <c r="R294" s="79">
        <f>IF(Q294="","",IF(H294="High",1,IF(Q294="","",IF(Q294&lt;AsOf,1,IF(Q294&lt;=AsOf+AlertDays,2,IF(Q294&lt;=AsOf+2*AlertDays,3,""))))))</f>
        <v/>
      </c>
      <c r="S294" s="79">
        <f>IF(R294="","",IF(H294="High","High-severity issue: ",IF(C294="Punch item","Punch item: ","Issue action due: "))&amp;F294&amp;IF(J294="",""," → "&amp;J294))</f>
        <v/>
      </c>
      <c r="T294" s="79">
        <f>IF(O294=1,IF(I294="",0,I294),0)</f>
        <v/>
      </c>
      <c r="U294" s="79">
        <f>IF(AND(O294=1,H294="High"),1,0)</f>
        <v/>
      </c>
      <c r="V294" s="79">
        <f>IF(AND(O294=1,C294="Punch item"),1,0)</f>
        <v/>
      </c>
    </row>
    <row r="295" ht="24" customHeight="1">
      <c r="B295" s="125" t="n">
        <v>288</v>
      </c>
      <c r="C295" s="72" t="n"/>
      <c r="D295" s="109" t="n"/>
      <c r="E295" s="72" t="n"/>
      <c r="F295" s="113" t="n"/>
      <c r="G295" s="72" t="n"/>
      <c r="H295" s="74" t="n"/>
      <c r="I295" s="73" t="n"/>
      <c r="J295" s="113" t="n"/>
      <c r="K295" s="109" t="n"/>
      <c r="L295" s="72" t="n"/>
      <c r="M295" s="109" t="n"/>
      <c r="N295" s="72" t="n"/>
      <c r="O295" s="79">
        <f>IF(AND(F295&lt;&gt;"",L295&lt;&gt;"Resolved"),1,0)</f>
        <v/>
      </c>
      <c r="P295" s="79">
        <f>IF(F295="","",IF(O295=0,0,IF(H295="High",2,1)))</f>
        <v/>
      </c>
      <c r="Q295" s="112">
        <f>IF(O295=1,IF(K295&lt;&gt;"",K295,IF(H295="High",AsOf,"")),"")</f>
        <v/>
      </c>
      <c r="R295" s="79">
        <f>IF(Q295="","",IF(H295="High",1,IF(Q295="","",IF(Q295&lt;AsOf,1,IF(Q295&lt;=AsOf+AlertDays,2,IF(Q295&lt;=AsOf+2*AlertDays,3,""))))))</f>
        <v/>
      </c>
      <c r="S295" s="79">
        <f>IF(R295="","",IF(H295="High","High-severity issue: ",IF(C295="Punch item","Punch item: ","Issue action due: "))&amp;F295&amp;IF(J295="",""," → "&amp;J295))</f>
        <v/>
      </c>
      <c r="T295" s="79">
        <f>IF(O295=1,IF(I295="",0,I295),0)</f>
        <v/>
      </c>
      <c r="U295" s="79">
        <f>IF(AND(O295=1,H295="High"),1,0)</f>
        <v/>
      </c>
      <c r="V295" s="79">
        <f>IF(AND(O295=1,C295="Punch item"),1,0)</f>
        <v/>
      </c>
    </row>
    <row r="296" ht="24" customHeight="1">
      <c r="B296" s="125" t="n">
        <v>289</v>
      </c>
      <c r="C296" s="72" t="n"/>
      <c r="D296" s="109" t="n"/>
      <c r="E296" s="72" t="n"/>
      <c r="F296" s="113" t="n"/>
      <c r="G296" s="72" t="n"/>
      <c r="H296" s="74" t="n"/>
      <c r="I296" s="73" t="n"/>
      <c r="J296" s="113" t="n"/>
      <c r="K296" s="109" t="n"/>
      <c r="L296" s="72" t="n"/>
      <c r="M296" s="109" t="n"/>
      <c r="N296" s="72" t="n"/>
      <c r="O296" s="79">
        <f>IF(AND(F296&lt;&gt;"",L296&lt;&gt;"Resolved"),1,0)</f>
        <v/>
      </c>
      <c r="P296" s="79">
        <f>IF(F296="","",IF(O296=0,0,IF(H296="High",2,1)))</f>
        <v/>
      </c>
      <c r="Q296" s="112">
        <f>IF(O296=1,IF(K296&lt;&gt;"",K296,IF(H296="High",AsOf,"")),"")</f>
        <v/>
      </c>
      <c r="R296" s="79">
        <f>IF(Q296="","",IF(H296="High",1,IF(Q296="","",IF(Q296&lt;AsOf,1,IF(Q296&lt;=AsOf+AlertDays,2,IF(Q296&lt;=AsOf+2*AlertDays,3,""))))))</f>
        <v/>
      </c>
      <c r="S296" s="79">
        <f>IF(R296="","",IF(H296="High","High-severity issue: ",IF(C296="Punch item","Punch item: ","Issue action due: "))&amp;F296&amp;IF(J296="",""," → "&amp;J296))</f>
        <v/>
      </c>
      <c r="T296" s="79">
        <f>IF(O296=1,IF(I296="",0,I296),0)</f>
        <v/>
      </c>
      <c r="U296" s="79">
        <f>IF(AND(O296=1,H296="High"),1,0)</f>
        <v/>
      </c>
      <c r="V296" s="79">
        <f>IF(AND(O296=1,C296="Punch item"),1,0)</f>
        <v/>
      </c>
    </row>
    <row r="297" ht="24" customHeight="1">
      <c r="B297" s="125" t="n">
        <v>290</v>
      </c>
      <c r="C297" s="72" t="n"/>
      <c r="D297" s="109" t="n"/>
      <c r="E297" s="72" t="n"/>
      <c r="F297" s="113" t="n"/>
      <c r="G297" s="72" t="n"/>
      <c r="H297" s="74" t="n"/>
      <c r="I297" s="73" t="n"/>
      <c r="J297" s="113" t="n"/>
      <c r="K297" s="109" t="n"/>
      <c r="L297" s="72" t="n"/>
      <c r="M297" s="109" t="n"/>
      <c r="N297" s="72" t="n"/>
      <c r="O297" s="79">
        <f>IF(AND(F297&lt;&gt;"",L297&lt;&gt;"Resolved"),1,0)</f>
        <v/>
      </c>
      <c r="P297" s="79">
        <f>IF(F297="","",IF(O297=0,0,IF(H297="High",2,1)))</f>
        <v/>
      </c>
      <c r="Q297" s="112">
        <f>IF(O297=1,IF(K297&lt;&gt;"",K297,IF(H297="High",AsOf,"")),"")</f>
        <v/>
      </c>
      <c r="R297" s="79">
        <f>IF(Q297="","",IF(H297="High",1,IF(Q297="","",IF(Q297&lt;AsOf,1,IF(Q297&lt;=AsOf+AlertDays,2,IF(Q297&lt;=AsOf+2*AlertDays,3,""))))))</f>
        <v/>
      </c>
      <c r="S297" s="79">
        <f>IF(R297="","",IF(H297="High","High-severity issue: ",IF(C297="Punch item","Punch item: ","Issue action due: "))&amp;F297&amp;IF(J297="",""," → "&amp;J297))</f>
        <v/>
      </c>
      <c r="T297" s="79">
        <f>IF(O297=1,IF(I297="",0,I297),0)</f>
        <v/>
      </c>
      <c r="U297" s="79">
        <f>IF(AND(O297=1,H297="High"),1,0)</f>
        <v/>
      </c>
      <c r="V297" s="79">
        <f>IF(AND(O297=1,C297="Punch item"),1,0)</f>
        <v/>
      </c>
    </row>
    <row r="298" ht="24" customHeight="1">
      <c r="B298" s="125" t="n">
        <v>291</v>
      </c>
      <c r="C298" s="72" t="n"/>
      <c r="D298" s="109" t="n"/>
      <c r="E298" s="72" t="n"/>
      <c r="F298" s="113" t="n"/>
      <c r="G298" s="72" t="n"/>
      <c r="H298" s="74" t="n"/>
      <c r="I298" s="73" t="n"/>
      <c r="J298" s="113" t="n"/>
      <c r="K298" s="109" t="n"/>
      <c r="L298" s="72" t="n"/>
      <c r="M298" s="109" t="n"/>
      <c r="N298" s="72" t="n"/>
      <c r="O298" s="79">
        <f>IF(AND(F298&lt;&gt;"",L298&lt;&gt;"Resolved"),1,0)</f>
        <v/>
      </c>
      <c r="P298" s="79">
        <f>IF(F298="","",IF(O298=0,0,IF(H298="High",2,1)))</f>
        <v/>
      </c>
      <c r="Q298" s="112">
        <f>IF(O298=1,IF(K298&lt;&gt;"",K298,IF(H298="High",AsOf,"")),"")</f>
        <v/>
      </c>
      <c r="R298" s="79">
        <f>IF(Q298="","",IF(H298="High",1,IF(Q298="","",IF(Q298&lt;AsOf,1,IF(Q298&lt;=AsOf+AlertDays,2,IF(Q298&lt;=AsOf+2*AlertDays,3,""))))))</f>
        <v/>
      </c>
      <c r="S298" s="79">
        <f>IF(R298="","",IF(H298="High","High-severity issue: ",IF(C298="Punch item","Punch item: ","Issue action due: "))&amp;F298&amp;IF(J298="",""," → "&amp;J298))</f>
        <v/>
      </c>
      <c r="T298" s="79">
        <f>IF(O298=1,IF(I298="",0,I298),0)</f>
        <v/>
      </c>
      <c r="U298" s="79">
        <f>IF(AND(O298=1,H298="High"),1,0)</f>
        <v/>
      </c>
      <c r="V298" s="79">
        <f>IF(AND(O298=1,C298="Punch item"),1,0)</f>
        <v/>
      </c>
    </row>
    <row r="299" ht="24" customHeight="1">
      <c r="B299" s="125" t="n">
        <v>292</v>
      </c>
      <c r="C299" s="72" t="n"/>
      <c r="D299" s="109" t="n"/>
      <c r="E299" s="72" t="n"/>
      <c r="F299" s="113" t="n"/>
      <c r="G299" s="72" t="n"/>
      <c r="H299" s="74" t="n"/>
      <c r="I299" s="73" t="n"/>
      <c r="J299" s="113" t="n"/>
      <c r="K299" s="109" t="n"/>
      <c r="L299" s="72" t="n"/>
      <c r="M299" s="109" t="n"/>
      <c r="N299" s="72" t="n"/>
      <c r="O299" s="79">
        <f>IF(AND(F299&lt;&gt;"",L299&lt;&gt;"Resolved"),1,0)</f>
        <v/>
      </c>
      <c r="P299" s="79">
        <f>IF(F299="","",IF(O299=0,0,IF(H299="High",2,1)))</f>
        <v/>
      </c>
      <c r="Q299" s="112">
        <f>IF(O299=1,IF(K299&lt;&gt;"",K299,IF(H299="High",AsOf,"")),"")</f>
        <v/>
      </c>
      <c r="R299" s="79">
        <f>IF(Q299="","",IF(H299="High",1,IF(Q299="","",IF(Q299&lt;AsOf,1,IF(Q299&lt;=AsOf+AlertDays,2,IF(Q299&lt;=AsOf+2*AlertDays,3,""))))))</f>
        <v/>
      </c>
      <c r="S299" s="79">
        <f>IF(R299="","",IF(H299="High","High-severity issue: ",IF(C299="Punch item","Punch item: ","Issue action due: "))&amp;F299&amp;IF(J299="",""," → "&amp;J299))</f>
        <v/>
      </c>
      <c r="T299" s="79">
        <f>IF(O299=1,IF(I299="",0,I299),0)</f>
        <v/>
      </c>
      <c r="U299" s="79">
        <f>IF(AND(O299=1,H299="High"),1,0)</f>
        <v/>
      </c>
      <c r="V299" s="79">
        <f>IF(AND(O299=1,C299="Punch item"),1,0)</f>
        <v/>
      </c>
    </row>
    <row r="300" ht="24" customHeight="1">
      <c r="B300" s="125" t="n">
        <v>293</v>
      </c>
      <c r="C300" s="72" t="n"/>
      <c r="D300" s="109" t="n"/>
      <c r="E300" s="72" t="n"/>
      <c r="F300" s="113" t="n"/>
      <c r="G300" s="72" t="n"/>
      <c r="H300" s="74" t="n"/>
      <c r="I300" s="73" t="n"/>
      <c r="J300" s="113" t="n"/>
      <c r="K300" s="109" t="n"/>
      <c r="L300" s="72" t="n"/>
      <c r="M300" s="109" t="n"/>
      <c r="N300" s="72" t="n"/>
      <c r="O300" s="79">
        <f>IF(AND(F300&lt;&gt;"",L300&lt;&gt;"Resolved"),1,0)</f>
        <v/>
      </c>
      <c r="P300" s="79">
        <f>IF(F300="","",IF(O300=0,0,IF(H300="High",2,1)))</f>
        <v/>
      </c>
      <c r="Q300" s="112">
        <f>IF(O300=1,IF(K300&lt;&gt;"",K300,IF(H300="High",AsOf,"")),"")</f>
        <v/>
      </c>
      <c r="R300" s="79">
        <f>IF(Q300="","",IF(H300="High",1,IF(Q300="","",IF(Q300&lt;AsOf,1,IF(Q300&lt;=AsOf+AlertDays,2,IF(Q300&lt;=AsOf+2*AlertDays,3,""))))))</f>
        <v/>
      </c>
      <c r="S300" s="79">
        <f>IF(R300="","",IF(H300="High","High-severity issue: ",IF(C300="Punch item","Punch item: ","Issue action due: "))&amp;F300&amp;IF(J300="",""," → "&amp;J300))</f>
        <v/>
      </c>
      <c r="T300" s="79">
        <f>IF(O300=1,IF(I300="",0,I300),0)</f>
        <v/>
      </c>
      <c r="U300" s="79">
        <f>IF(AND(O300=1,H300="High"),1,0)</f>
        <v/>
      </c>
      <c r="V300" s="79">
        <f>IF(AND(O300=1,C300="Punch item"),1,0)</f>
        <v/>
      </c>
    </row>
    <row r="301" ht="24" customHeight="1">
      <c r="B301" s="125" t="n">
        <v>294</v>
      </c>
      <c r="C301" s="72" t="n"/>
      <c r="D301" s="109" t="n"/>
      <c r="E301" s="72" t="n"/>
      <c r="F301" s="113" t="n"/>
      <c r="G301" s="72" t="n"/>
      <c r="H301" s="74" t="n"/>
      <c r="I301" s="73" t="n"/>
      <c r="J301" s="113" t="n"/>
      <c r="K301" s="109" t="n"/>
      <c r="L301" s="72" t="n"/>
      <c r="M301" s="109" t="n"/>
      <c r="N301" s="72" t="n"/>
      <c r="O301" s="79">
        <f>IF(AND(F301&lt;&gt;"",L301&lt;&gt;"Resolved"),1,0)</f>
        <v/>
      </c>
      <c r="P301" s="79">
        <f>IF(F301="","",IF(O301=0,0,IF(H301="High",2,1)))</f>
        <v/>
      </c>
      <c r="Q301" s="112">
        <f>IF(O301=1,IF(K301&lt;&gt;"",K301,IF(H301="High",AsOf,"")),"")</f>
        <v/>
      </c>
      <c r="R301" s="79">
        <f>IF(Q301="","",IF(H301="High",1,IF(Q301="","",IF(Q301&lt;AsOf,1,IF(Q301&lt;=AsOf+AlertDays,2,IF(Q301&lt;=AsOf+2*AlertDays,3,""))))))</f>
        <v/>
      </c>
      <c r="S301" s="79">
        <f>IF(R301="","",IF(H301="High","High-severity issue: ",IF(C301="Punch item","Punch item: ","Issue action due: "))&amp;F301&amp;IF(J301="",""," → "&amp;J301))</f>
        <v/>
      </c>
      <c r="T301" s="79">
        <f>IF(O301=1,IF(I301="",0,I301),0)</f>
        <v/>
      </c>
      <c r="U301" s="79">
        <f>IF(AND(O301=1,H301="High"),1,0)</f>
        <v/>
      </c>
      <c r="V301" s="79">
        <f>IF(AND(O301=1,C301="Punch item"),1,0)</f>
        <v/>
      </c>
    </row>
    <row r="302" ht="24" customHeight="1">
      <c r="B302" s="125" t="n">
        <v>295</v>
      </c>
      <c r="C302" s="72" t="n"/>
      <c r="D302" s="109" t="n"/>
      <c r="E302" s="72" t="n"/>
      <c r="F302" s="113" t="n"/>
      <c r="G302" s="72" t="n"/>
      <c r="H302" s="74" t="n"/>
      <c r="I302" s="73" t="n"/>
      <c r="J302" s="113" t="n"/>
      <c r="K302" s="109" t="n"/>
      <c r="L302" s="72" t="n"/>
      <c r="M302" s="109" t="n"/>
      <c r="N302" s="72" t="n"/>
      <c r="O302" s="79">
        <f>IF(AND(F302&lt;&gt;"",L302&lt;&gt;"Resolved"),1,0)</f>
        <v/>
      </c>
      <c r="P302" s="79">
        <f>IF(F302="","",IF(O302=0,0,IF(H302="High",2,1)))</f>
        <v/>
      </c>
      <c r="Q302" s="112">
        <f>IF(O302=1,IF(K302&lt;&gt;"",K302,IF(H302="High",AsOf,"")),"")</f>
        <v/>
      </c>
      <c r="R302" s="79">
        <f>IF(Q302="","",IF(H302="High",1,IF(Q302="","",IF(Q302&lt;AsOf,1,IF(Q302&lt;=AsOf+AlertDays,2,IF(Q302&lt;=AsOf+2*AlertDays,3,""))))))</f>
        <v/>
      </c>
      <c r="S302" s="79">
        <f>IF(R302="","",IF(H302="High","High-severity issue: ",IF(C302="Punch item","Punch item: ","Issue action due: "))&amp;F302&amp;IF(J302="",""," → "&amp;J302))</f>
        <v/>
      </c>
      <c r="T302" s="79">
        <f>IF(O302=1,IF(I302="",0,I302),0)</f>
        <v/>
      </c>
      <c r="U302" s="79">
        <f>IF(AND(O302=1,H302="High"),1,0)</f>
        <v/>
      </c>
      <c r="V302" s="79">
        <f>IF(AND(O302=1,C302="Punch item"),1,0)</f>
        <v/>
      </c>
    </row>
    <row r="303" ht="24" customHeight="1">
      <c r="B303" s="125" t="n">
        <v>296</v>
      </c>
      <c r="C303" s="72" t="n"/>
      <c r="D303" s="109" t="n"/>
      <c r="E303" s="72" t="n"/>
      <c r="F303" s="113" t="n"/>
      <c r="G303" s="72" t="n"/>
      <c r="H303" s="74" t="n"/>
      <c r="I303" s="73" t="n"/>
      <c r="J303" s="113" t="n"/>
      <c r="K303" s="109" t="n"/>
      <c r="L303" s="72" t="n"/>
      <c r="M303" s="109" t="n"/>
      <c r="N303" s="72" t="n"/>
      <c r="O303" s="79">
        <f>IF(AND(F303&lt;&gt;"",L303&lt;&gt;"Resolved"),1,0)</f>
        <v/>
      </c>
      <c r="P303" s="79">
        <f>IF(F303="","",IF(O303=0,0,IF(H303="High",2,1)))</f>
        <v/>
      </c>
      <c r="Q303" s="112">
        <f>IF(O303=1,IF(K303&lt;&gt;"",K303,IF(H303="High",AsOf,"")),"")</f>
        <v/>
      </c>
      <c r="R303" s="79">
        <f>IF(Q303="","",IF(H303="High",1,IF(Q303="","",IF(Q303&lt;AsOf,1,IF(Q303&lt;=AsOf+AlertDays,2,IF(Q303&lt;=AsOf+2*AlertDays,3,""))))))</f>
        <v/>
      </c>
      <c r="S303" s="79">
        <f>IF(R303="","",IF(H303="High","High-severity issue: ",IF(C303="Punch item","Punch item: ","Issue action due: "))&amp;F303&amp;IF(J303="",""," → "&amp;J303))</f>
        <v/>
      </c>
      <c r="T303" s="79">
        <f>IF(O303=1,IF(I303="",0,I303),0)</f>
        <v/>
      </c>
      <c r="U303" s="79">
        <f>IF(AND(O303=1,H303="High"),1,0)</f>
        <v/>
      </c>
      <c r="V303" s="79">
        <f>IF(AND(O303=1,C303="Punch item"),1,0)</f>
        <v/>
      </c>
    </row>
    <row r="304" ht="24" customHeight="1">
      <c r="B304" s="125" t="n">
        <v>297</v>
      </c>
      <c r="C304" s="72" t="n"/>
      <c r="D304" s="109" t="n"/>
      <c r="E304" s="72" t="n"/>
      <c r="F304" s="113" t="n"/>
      <c r="G304" s="72" t="n"/>
      <c r="H304" s="74" t="n"/>
      <c r="I304" s="73" t="n"/>
      <c r="J304" s="113" t="n"/>
      <c r="K304" s="109" t="n"/>
      <c r="L304" s="72" t="n"/>
      <c r="M304" s="109" t="n"/>
      <c r="N304" s="72" t="n"/>
      <c r="O304" s="79">
        <f>IF(AND(F304&lt;&gt;"",L304&lt;&gt;"Resolved"),1,0)</f>
        <v/>
      </c>
      <c r="P304" s="79">
        <f>IF(F304="","",IF(O304=0,0,IF(H304="High",2,1)))</f>
        <v/>
      </c>
      <c r="Q304" s="112">
        <f>IF(O304=1,IF(K304&lt;&gt;"",K304,IF(H304="High",AsOf,"")),"")</f>
        <v/>
      </c>
      <c r="R304" s="79">
        <f>IF(Q304="","",IF(H304="High",1,IF(Q304="","",IF(Q304&lt;AsOf,1,IF(Q304&lt;=AsOf+AlertDays,2,IF(Q304&lt;=AsOf+2*AlertDays,3,""))))))</f>
        <v/>
      </c>
      <c r="S304" s="79">
        <f>IF(R304="","",IF(H304="High","High-severity issue: ",IF(C304="Punch item","Punch item: ","Issue action due: "))&amp;F304&amp;IF(J304="",""," → "&amp;J304))</f>
        <v/>
      </c>
      <c r="T304" s="79">
        <f>IF(O304=1,IF(I304="",0,I304),0)</f>
        <v/>
      </c>
      <c r="U304" s="79">
        <f>IF(AND(O304=1,H304="High"),1,0)</f>
        <v/>
      </c>
      <c r="V304" s="79">
        <f>IF(AND(O304=1,C304="Punch item"),1,0)</f>
        <v/>
      </c>
    </row>
    <row r="305" ht="24" customHeight="1">
      <c r="B305" s="125" t="n">
        <v>298</v>
      </c>
      <c r="C305" s="72" t="n"/>
      <c r="D305" s="109" t="n"/>
      <c r="E305" s="72" t="n"/>
      <c r="F305" s="113" t="n"/>
      <c r="G305" s="72" t="n"/>
      <c r="H305" s="74" t="n"/>
      <c r="I305" s="73" t="n"/>
      <c r="J305" s="113" t="n"/>
      <c r="K305" s="109" t="n"/>
      <c r="L305" s="72" t="n"/>
      <c r="M305" s="109" t="n"/>
      <c r="N305" s="72" t="n"/>
      <c r="O305" s="79">
        <f>IF(AND(F305&lt;&gt;"",L305&lt;&gt;"Resolved"),1,0)</f>
        <v/>
      </c>
      <c r="P305" s="79">
        <f>IF(F305="","",IF(O305=0,0,IF(H305="High",2,1)))</f>
        <v/>
      </c>
      <c r="Q305" s="112">
        <f>IF(O305=1,IF(K305&lt;&gt;"",K305,IF(H305="High",AsOf,"")),"")</f>
        <v/>
      </c>
      <c r="R305" s="79">
        <f>IF(Q305="","",IF(H305="High",1,IF(Q305="","",IF(Q305&lt;AsOf,1,IF(Q305&lt;=AsOf+AlertDays,2,IF(Q305&lt;=AsOf+2*AlertDays,3,""))))))</f>
        <v/>
      </c>
      <c r="S305" s="79">
        <f>IF(R305="","",IF(H305="High","High-severity issue: ",IF(C305="Punch item","Punch item: ","Issue action due: "))&amp;F305&amp;IF(J305="",""," → "&amp;J305))</f>
        <v/>
      </c>
      <c r="T305" s="79">
        <f>IF(O305=1,IF(I305="",0,I305),0)</f>
        <v/>
      </c>
      <c r="U305" s="79">
        <f>IF(AND(O305=1,H305="High"),1,0)</f>
        <v/>
      </c>
      <c r="V305" s="79">
        <f>IF(AND(O305=1,C305="Punch item"),1,0)</f>
        <v/>
      </c>
    </row>
    <row r="306" ht="24" customHeight="1">
      <c r="B306" s="125" t="n">
        <v>299</v>
      </c>
      <c r="C306" s="72" t="n"/>
      <c r="D306" s="109" t="n"/>
      <c r="E306" s="72" t="n"/>
      <c r="F306" s="113" t="n"/>
      <c r="G306" s="72" t="n"/>
      <c r="H306" s="74" t="n"/>
      <c r="I306" s="73" t="n"/>
      <c r="J306" s="113" t="n"/>
      <c r="K306" s="109" t="n"/>
      <c r="L306" s="72" t="n"/>
      <c r="M306" s="109" t="n"/>
      <c r="N306" s="72" t="n"/>
      <c r="O306" s="79">
        <f>IF(AND(F306&lt;&gt;"",L306&lt;&gt;"Resolved"),1,0)</f>
        <v/>
      </c>
      <c r="P306" s="79">
        <f>IF(F306="","",IF(O306=0,0,IF(H306="High",2,1)))</f>
        <v/>
      </c>
      <c r="Q306" s="112">
        <f>IF(O306=1,IF(K306&lt;&gt;"",K306,IF(H306="High",AsOf,"")),"")</f>
        <v/>
      </c>
      <c r="R306" s="79">
        <f>IF(Q306="","",IF(H306="High",1,IF(Q306="","",IF(Q306&lt;AsOf,1,IF(Q306&lt;=AsOf+AlertDays,2,IF(Q306&lt;=AsOf+2*AlertDays,3,""))))))</f>
        <v/>
      </c>
      <c r="S306" s="79">
        <f>IF(R306="","",IF(H306="High","High-severity issue: ",IF(C306="Punch item","Punch item: ","Issue action due: "))&amp;F306&amp;IF(J306="",""," → "&amp;J306))</f>
        <v/>
      </c>
      <c r="T306" s="79">
        <f>IF(O306=1,IF(I306="",0,I306),0)</f>
        <v/>
      </c>
      <c r="U306" s="79">
        <f>IF(AND(O306=1,H306="High"),1,0)</f>
        <v/>
      </c>
      <c r="V306" s="79">
        <f>IF(AND(O306=1,C306="Punch item"),1,0)</f>
        <v/>
      </c>
    </row>
    <row r="307" ht="24" customHeight="1">
      <c r="B307" s="125" t="n">
        <v>300</v>
      </c>
      <c r="C307" s="72" t="n"/>
      <c r="D307" s="109" t="n"/>
      <c r="E307" s="72" t="n"/>
      <c r="F307" s="113" t="n"/>
      <c r="G307" s="72" t="n"/>
      <c r="H307" s="74" t="n"/>
      <c r="I307" s="73" t="n"/>
      <c r="J307" s="113" t="n"/>
      <c r="K307" s="109" t="n"/>
      <c r="L307" s="72" t="n"/>
      <c r="M307" s="109" t="n"/>
      <c r="N307" s="72" t="n"/>
      <c r="O307" s="79">
        <f>IF(AND(F307&lt;&gt;"",L307&lt;&gt;"Resolved"),1,0)</f>
        <v/>
      </c>
      <c r="P307" s="79">
        <f>IF(F307="","",IF(O307=0,0,IF(H307="High",2,1)))</f>
        <v/>
      </c>
      <c r="Q307" s="112">
        <f>IF(O307=1,IF(K307&lt;&gt;"",K307,IF(H307="High",AsOf,"")),"")</f>
        <v/>
      </c>
      <c r="R307" s="79">
        <f>IF(Q307="","",IF(H307="High",1,IF(Q307="","",IF(Q307&lt;AsOf,1,IF(Q307&lt;=AsOf+AlertDays,2,IF(Q307&lt;=AsOf+2*AlertDays,3,""))))))</f>
        <v/>
      </c>
      <c r="S307" s="79">
        <f>IF(R307="","",IF(H307="High","High-severity issue: ",IF(C307="Punch item","Punch item: ","Issue action due: "))&amp;F307&amp;IF(J307="",""," → "&amp;J307))</f>
        <v/>
      </c>
      <c r="T307" s="79">
        <f>IF(O307=1,IF(I307="",0,I307),0)</f>
        <v/>
      </c>
      <c r="U307" s="79">
        <f>IF(AND(O307=1,H307="High"),1,0)</f>
        <v/>
      </c>
      <c r="V307" s="79">
        <f>IF(AND(O307=1,C307="Punch item"),1,0)</f>
        <v/>
      </c>
    </row>
    <row r="308" ht="24" customHeight="1">
      <c r="B308" s="125" t="n">
        <v>301</v>
      </c>
      <c r="C308" s="72" t="n"/>
      <c r="D308" s="109" t="n"/>
      <c r="E308" s="72" t="n"/>
      <c r="F308" s="113" t="n"/>
      <c r="G308" s="72" t="n"/>
      <c r="H308" s="74" t="n"/>
      <c r="I308" s="73" t="n"/>
      <c r="J308" s="113" t="n"/>
      <c r="K308" s="109" t="n"/>
      <c r="L308" s="72" t="n"/>
      <c r="M308" s="109" t="n"/>
      <c r="N308" s="72" t="n"/>
      <c r="O308" s="79">
        <f>IF(AND(F308&lt;&gt;"",L308&lt;&gt;"Resolved"),1,0)</f>
        <v/>
      </c>
      <c r="P308" s="79">
        <f>IF(F308="","",IF(O308=0,0,IF(H308="High",2,1)))</f>
        <v/>
      </c>
      <c r="Q308" s="112">
        <f>IF(O308=1,IF(K308&lt;&gt;"",K308,IF(H308="High",AsOf,"")),"")</f>
        <v/>
      </c>
      <c r="R308" s="79">
        <f>IF(Q308="","",IF(H308="High",1,IF(Q308="","",IF(Q308&lt;AsOf,1,IF(Q308&lt;=AsOf+AlertDays,2,IF(Q308&lt;=AsOf+2*AlertDays,3,""))))))</f>
        <v/>
      </c>
      <c r="S308" s="79">
        <f>IF(R308="","",IF(H308="High","High-severity issue: ",IF(C308="Punch item","Punch item: ","Issue action due: "))&amp;F308&amp;IF(J308="",""," → "&amp;J308))</f>
        <v/>
      </c>
      <c r="T308" s="79">
        <f>IF(O308=1,IF(I308="",0,I308),0)</f>
        <v/>
      </c>
      <c r="U308" s="79">
        <f>IF(AND(O308=1,H308="High"),1,0)</f>
        <v/>
      </c>
      <c r="V308" s="79">
        <f>IF(AND(O308=1,C308="Punch item"),1,0)</f>
        <v/>
      </c>
    </row>
    <row r="309" ht="24" customHeight="1">
      <c r="B309" s="125" t="n">
        <v>302</v>
      </c>
      <c r="C309" s="72" t="n"/>
      <c r="D309" s="109" t="n"/>
      <c r="E309" s="72" t="n"/>
      <c r="F309" s="113" t="n"/>
      <c r="G309" s="72" t="n"/>
      <c r="H309" s="74" t="n"/>
      <c r="I309" s="73" t="n"/>
      <c r="J309" s="113" t="n"/>
      <c r="K309" s="109" t="n"/>
      <c r="L309" s="72" t="n"/>
      <c r="M309" s="109" t="n"/>
      <c r="N309" s="72" t="n"/>
      <c r="O309" s="79">
        <f>IF(AND(F309&lt;&gt;"",L309&lt;&gt;"Resolved"),1,0)</f>
        <v/>
      </c>
      <c r="P309" s="79">
        <f>IF(F309="","",IF(O309=0,0,IF(H309="High",2,1)))</f>
        <v/>
      </c>
      <c r="Q309" s="112">
        <f>IF(O309=1,IF(K309&lt;&gt;"",K309,IF(H309="High",AsOf,"")),"")</f>
        <v/>
      </c>
      <c r="R309" s="79">
        <f>IF(Q309="","",IF(H309="High",1,IF(Q309="","",IF(Q309&lt;AsOf,1,IF(Q309&lt;=AsOf+AlertDays,2,IF(Q309&lt;=AsOf+2*AlertDays,3,""))))))</f>
        <v/>
      </c>
      <c r="S309" s="79">
        <f>IF(R309="","",IF(H309="High","High-severity issue: ",IF(C309="Punch item","Punch item: ","Issue action due: "))&amp;F309&amp;IF(J309="",""," → "&amp;J309))</f>
        <v/>
      </c>
      <c r="T309" s="79">
        <f>IF(O309=1,IF(I309="",0,I309),0)</f>
        <v/>
      </c>
      <c r="U309" s="79">
        <f>IF(AND(O309=1,H309="High"),1,0)</f>
        <v/>
      </c>
      <c r="V309" s="79">
        <f>IF(AND(O309=1,C309="Punch item"),1,0)</f>
        <v/>
      </c>
    </row>
    <row r="310" ht="24" customHeight="1">
      <c r="B310" s="125" t="n">
        <v>303</v>
      </c>
      <c r="C310" s="72" t="n"/>
      <c r="D310" s="109" t="n"/>
      <c r="E310" s="72" t="n"/>
      <c r="F310" s="113" t="n"/>
      <c r="G310" s="72" t="n"/>
      <c r="H310" s="74" t="n"/>
      <c r="I310" s="73" t="n"/>
      <c r="J310" s="113" t="n"/>
      <c r="K310" s="109" t="n"/>
      <c r="L310" s="72" t="n"/>
      <c r="M310" s="109" t="n"/>
      <c r="N310" s="72" t="n"/>
      <c r="O310" s="79">
        <f>IF(AND(F310&lt;&gt;"",L310&lt;&gt;"Resolved"),1,0)</f>
        <v/>
      </c>
      <c r="P310" s="79">
        <f>IF(F310="","",IF(O310=0,0,IF(H310="High",2,1)))</f>
        <v/>
      </c>
      <c r="Q310" s="112">
        <f>IF(O310=1,IF(K310&lt;&gt;"",K310,IF(H310="High",AsOf,"")),"")</f>
        <v/>
      </c>
      <c r="R310" s="79">
        <f>IF(Q310="","",IF(H310="High",1,IF(Q310="","",IF(Q310&lt;AsOf,1,IF(Q310&lt;=AsOf+AlertDays,2,IF(Q310&lt;=AsOf+2*AlertDays,3,""))))))</f>
        <v/>
      </c>
      <c r="S310" s="79">
        <f>IF(R310="","",IF(H310="High","High-severity issue: ",IF(C310="Punch item","Punch item: ","Issue action due: "))&amp;F310&amp;IF(J310="",""," → "&amp;J310))</f>
        <v/>
      </c>
      <c r="T310" s="79">
        <f>IF(O310=1,IF(I310="",0,I310),0)</f>
        <v/>
      </c>
      <c r="U310" s="79">
        <f>IF(AND(O310=1,H310="High"),1,0)</f>
        <v/>
      </c>
      <c r="V310" s="79">
        <f>IF(AND(O310=1,C310="Punch item"),1,0)</f>
        <v/>
      </c>
    </row>
    <row r="311" ht="24" customHeight="1">
      <c r="B311" s="125" t="n">
        <v>304</v>
      </c>
      <c r="C311" s="72" t="n"/>
      <c r="D311" s="109" t="n"/>
      <c r="E311" s="72" t="n"/>
      <c r="F311" s="113" t="n"/>
      <c r="G311" s="72" t="n"/>
      <c r="H311" s="74" t="n"/>
      <c r="I311" s="73" t="n"/>
      <c r="J311" s="113" t="n"/>
      <c r="K311" s="109" t="n"/>
      <c r="L311" s="72" t="n"/>
      <c r="M311" s="109" t="n"/>
      <c r="N311" s="72" t="n"/>
      <c r="O311" s="79">
        <f>IF(AND(F311&lt;&gt;"",L311&lt;&gt;"Resolved"),1,0)</f>
        <v/>
      </c>
      <c r="P311" s="79">
        <f>IF(F311="","",IF(O311=0,0,IF(H311="High",2,1)))</f>
        <v/>
      </c>
      <c r="Q311" s="112">
        <f>IF(O311=1,IF(K311&lt;&gt;"",K311,IF(H311="High",AsOf,"")),"")</f>
        <v/>
      </c>
      <c r="R311" s="79">
        <f>IF(Q311="","",IF(H311="High",1,IF(Q311="","",IF(Q311&lt;AsOf,1,IF(Q311&lt;=AsOf+AlertDays,2,IF(Q311&lt;=AsOf+2*AlertDays,3,""))))))</f>
        <v/>
      </c>
      <c r="S311" s="79">
        <f>IF(R311="","",IF(H311="High","High-severity issue: ",IF(C311="Punch item","Punch item: ","Issue action due: "))&amp;F311&amp;IF(J311="",""," → "&amp;J311))</f>
        <v/>
      </c>
      <c r="T311" s="79">
        <f>IF(O311=1,IF(I311="",0,I311),0)</f>
        <v/>
      </c>
      <c r="U311" s="79">
        <f>IF(AND(O311=1,H311="High"),1,0)</f>
        <v/>
      </c>
      <c r="V311" s="79">
        <f>IF(AND(O311=1,C311="Punch item"),1,0)</f>
        <v/>
      </c>
    </row>
    <row r="312" ht="24" customHeight="1">
      <c r="B312" s="125" t="n">
        <v>305</v>
      </c>
      <c r="C312" s="72" t="n"/>
      <c r="D312" s="109" t="n"/>
      <c r="E312" s="72" t="n"/>
      <c r="F312" s="113" t="n"/>
      <c r="G312" s="72" t="n"/>
      <c r="H312" s="74" t="n"/>
      <c r="I312" s="73" t="n"/>
      <c r="J312" s="113" t="n"/>
      <c r="K312" s="109" t="n"/>
      <c r="L312" s="72" t="n"/>
      <c r="M312" s="109" t="n"/>
      <c r="N312" s="72" t="n"/>
      <c r="O312" s="79">
        <f>IF(AND(F312&lt;&gt;"",L312&lt;&gt;"Resolved"),1,0)</f>
        <v/>
      </c>
      <c r="P312" s="79">
        <f>IF(F312="","",IF(O312=0,0,IF(H312="High",2,1)))</f>
        <v/>
      </c>
      <c r="Q312" s="112">
        <f>IF(O312=1,IF(K312&lt;&gt;"",K312,IF(H312="High",AsOf,"")),"")</f>
        <v/>
      </c>
      <c r="R312" s="79">
        <f>IF(Q312="","",IF(H312="High",1,IF(Q312="","",IF(Q312&lt;AsOf,1,IF(Q312&lt;=AsOf+AlertDays,2,IF(Q312&lt;=AsOf+2*AlertDays,3,""))))))</f>
        <v/>
      </c>
      <c r="S312" s="79">
        <f>IF(R312="","",IF(H312="High","High-severity issue: ",IF(C312="Punch item","Punch item: ","Issue action due: "))&amp;F312&amp;IF(J312="",""," → "&amp;J312))</f>
        <v/>
      </c>
      <c r="T312" s="79">
        <f>IF(O312=1,IF(I312="",0,I312),0)</f>
        <v/>
      </c>
      <c r="U312" s="79">
        <f>IF(AND(O312=1,H312="High"),1,0)</f>
        <v/>
      </c>
      <c r="V312" s="79">
        <f>IF(AND(O312=1,C312="Punch item"),1,0)</f>
        <v/>
      </c>
    </row>
    <row r="313" ht="24" customHeight="1">
      <c r="B313" s="125" t="n">
        <v>306</v>
      </c>
      <c r="C313" s="72" t="n"/>
      <c r="D313" s="109" t="n"/>
      <c r="E313" s="72" t="n"/>
      <c r="F313" s="113" t="n"/>
      <c r="G313" s="72" t="n"/>
      <c r="H313" s="74" t="n"/>
      <c r="I313" s="73" t="n"/>
      <c r="J313" s="113" t="n"/>
      <c r="K313" s="109" t="n"/>
      <c r="L313" s="72" t="n"/>
      <c r="M313" s="109" t="n"/>
      <c r="N313" s="72" t="n"/>
      <c r="O313" s="79">
        <f>IF(AND(F313&lt;&gt;"",L313&lt;&gt;"Resolved"),1,0)</f>
        <v/>
      </c>
      <c r="P313" s="79">
        <f>IF(F313="","",IF(O313=0,0,IF(H313="High",2,1)))</f>
        <v/>
      </c>
      <c r="Q313" s="112">
        <f>IF(O313=1,IF(K313&lt;&gt;"",K313,IF(H313="High",AsOf,"")),"")</f>
        <v/>
      </c>
      <c r="R313" s="79">
        <f>IF(Q313="","",IF(H313="High",1,IF(Q313="","",IF(Q313&lt;AsOf,1,IF(Q313&lt;=AsOf+AlertDays,2,IF(Q313&lt;=AsOf+2*AlertDays,3,""))))))</f>
        <v/>
      </c>
      <c r="S313" s="79">
        <f>IF(R313="","",IF(H313="High","High-severity issue: ",IF(C313="Punch item","Punch item: ","Issue action due: "))&amp;F313&amp;IF(J313="",""," → "&amp;J313))</f>
        <v/>
      </c>
      <c r="T313" s="79">
        <f>IF(O313=1,IF(I313="",0,I313),0)</f>
        <v/>
      </c>
      <c r="U313" s="79">
        <f>IF(AND(O313=1,H313="High"),1,0)</f>
        <v/>
      </c>
      <c r="V313" s="79">
        <f>IF(AND(O313=1,C313="Punch item"),1,0)</f>
        <v/>
      </c>
    </row>
    <row r="314" ht="24" customHeight="1">
      <c r="B314" s="125" t="n">
        <v>307</v>
      </c>
      <c r="C314" s="72" t="n"/>
      <c r="D314" s="109" t="n"/>
      <c r="E314" s="72" t="n"/>
      <c r="F314" s="113" t="n"/>
      <c r="G314" s="72" t="n"/>
      <c r="H314" s="74" t="n"/>
      <c r="I314" s="73" t="n"/>
      <c r="J314" s="113" t="n"/>
      <c r="K314" s="109" t="n"/>
      <c r="L314" s="72" t="n"/>
      <c r="M314" s="109" t="n"/>
      <c r="N314" s="72" t="n"/>
      <c r="O314" s="79">
        <f>IF(AND(F314&lt;&gt;"",L314&lt;&gt;"Resolved"),1,0)</f>
        <v/>
      </c>
      <c r="P314" s="79">
        <f>IF(F314="","",IF(O314=0,0,IF(H314="High",2,1)))</f>
        <v/>
      </c>
      <c r="Q314" s="112">
        <f>IF(O314=1,IF(K314&lt;&gt;"",K314,IF(H314="High",AsOf,"")),"")</f>
        <v/>
      </c>
      <c r="R314" s="79">
        <f>IF(Q314="","",IF(H314="High",1,IF(Q314="","",IF(Q314&lt;AsOf,1,IF(Q314&lt;=AsOf+AlertDays,2,IF(Q314&lt;=AsOf+2*AlertDays,3,""))))))</f>
        <v/>
      </c>
      <c r="S314" s="79">
        <f>IF(R314="","",IF(H314="High","High-severity issue: ",IF(C314="Punch item","Punch item: ","Issue action due: "))&amp;F314&amp;IF(J314="",""," → "&amp;J314))</f>
        <v/>
      </c>
      <c r="T314" s="79">
        <f>IF(O314=1,IF(I314="",0,I314),0)</f>
        <v/>
      </c>
      <c r="U314" s="79">
        <f>IF(AND(O314=1,H314="High"),1,0)</f>
        <v/>
      </c>
      <c r="V314" s="79">
        <f>IF(AND(O314=1,C314="Punch item"),1,0)</f>
        <v/>
      </c>
    </row>
    <row r="315" ht="24" customHeight="1">
      <c r="B315" s="125" t="n">
        <v>308</v>
      </c>
      <c r="C315" s="72" t="n"/>
      <c r="D315" s="109" t="n"/>
      <c r="E315" s="72" t="n"/>
      <c r="F315" s="113" t="n"/>
      <c r="G315" s="72" t="n"/>
      <c r="H315" s="74" t="n"/>
      <c r="I315" s="73" t="n"/>
      <c r="J315" s="113" t="n"/>
      <c r="K315" s="109" t="n"/>
      <c r="L315" s="72" t="n"/>
      <c r="M315" s="109" t="n"/>
      <c r="N315" s="72" t="n"/>
      <c r="O315" s="79">
        <f>IF(AND(F315&lt;&gt;"",L315&lt;&gt;"Resolved"),1,0)</f>
        <v/>
      </c>
      <c r="P315" s="79">
        <f>IF(F315="","",IF(O315=0,0,IF(H315="High",2,1)))</f>
        <v/>
      </c>
      <c r="Q315" s="112">
        <f>IF(O315=1,IF(K315&lt;&gt;"",K315,IF(H315="High",AsOf,"")),"")</f>
        <v/>
      </c>
      <c r="R315" s="79">
        <f>IF(Q315="","",IF(H315="High",1,IF(Q315="","",IF(Q315&lt;AsOf,1,IF(Q315&lt;=AsOf+AlertDays,2,IF(Q315&lt;=AsOf+2*AlertDays,3,""))))))</f>
        <v/>
      </c>
      <c r="S315" s="79">
        <f>IF(R315="","",IF(H315="High","High-severity issue: ",IF(C315="Punch item","Punch item: ","Issue action due: "))&amp;F315&amp;IF(J315="",""," → "&amp;J315))</f>
        <v/>
      </c>
      <c r="T315" s="79">
        <f>IF(O315=1,IF(I315="",0,I315),0)</f>
        <v/>
      </c>
      <c r="U315" s="79">
        <f>IF(AND(O315=1,H315="High"),1,0)</f>
        <v/>
      </c>
      <c r="V315" s="79">
        <f>IF(AND(O315=1,C315="Punch item"),1,0)</f>
        <v/>
      </c>
    </row>
    <row r="316" ht="24" customHeight="1">
      <c r="B316" s="125" t="n">
        <v>309</v>
      </c>
      <c r="C316" s="72" t="n"/>
      <c r="D316" s="109" t="n"/>
      <c r="E316" s="72" t="n"/>
      <c r="F316" s="113" t="n"/>
      <c r="G316" s="72" t="n"/>
      <c r="H316" s="74" t="n"/>
      <c r="I316" s="73" t="n"/>
      <c r="J316" s="113" t="n"/>
      <c r="K316" s="109" t="n"/>
      <c r="L316" s="72" t="n"/>
      <c r="M316" s="109" t="n"/>
      <c r="N316" s="72" t="n"/>
      <c r="O316" s="79">
        <f>IF(AND(F316&lt;&gt;"",L316&lt;&gt;"Resolved"),1,0)</f>
        <v/>
      </c>
      <c r="P316" s="79">
        <f>IF(F316="","",IF(O316=0,0,IF(H316="High",2,1)))</f>
        <v/>
      </c>
      <c r="Q316" s="112">
        <f>IF(O316=1,IF(K316&lt;&gt;"",K316,IF(H316="High",AsOf,"")),"")</f>
        <v/>
      </c>
      <c r="R316" s="79">
        <f>IF(Q316="","",IF(H316="High",1,IF(Q316="","",IF(Q316&lt;AsOf,1,IF(Q316&lt;=AsOf+AlertDays,2,IF(Q316&lt;=AsOf+2*AlertDays,3,""))))))</f>
        <v/>
      </c>
      <c r="S316" s="79">
        <f>IF(R316="","",IF(H316="High","High-severity issue: ",IF(C316="Punch item","Punch item: ","Issue action due: "))&amp;F316&amp;IF(J316="",""," → "&amp;J316))</f>
        <v/>
      </c>
      <c r="T316" s="79">
        <f>IF(O316=1,IF(I316="",0,I316),0)</f>
        <v/>
      </c>
      <c r="U316" s="79">
        <f>IF(AND(O316=1,H316="High"),1,0)</f>
        <v/>
      </c>
      <c r="V316" s="79">
        <f>IF(AND(O316=1,C316="Punch item"),1,0)</f>
        <v/>
      </c>
    </row>
    <row r="317" ht="24" customHeight="1">
      <c r="B317" s="125" t="n">
        <v>310</v>
      </c>
      <c r="C317" s="72" t="n"/>
      <c r="D317" s="109" t="n"/>
      <c r="E317" s="72" t="n"/>
      <c r="F317" s="113" t="n"/>
      <c r="G317" s="72" t="n"/>
      <c r="H317" s="74" t="n"/>
      <c r="I317" s="73" t="n"/>
      <c r="J317" s="113" t="n"/>
      <c r="K317" s="109" t="n"/>
      <c r="L317" s="72" t="n"/>
      <c r="M317" s="109" t="n"/>
      <c r="N317" s="72" t="n"/>
      <c r="O317" s="79">
        <f>IF(AND(F317&lt;&gt;"",L317&lt;&gt;"Resolved"),1,0)</f>
        <v/>
      </c>
      <c r="P317" s="79">
        <f>IF(F317="","",IF(O317=0,0,IF(H317="High",2,1)))</f>
        <v/>
      </c>
      <c r="Q317" s="112">
        <f>IF(O317=1,IF(K317&lt;&gt;"",K317,IF(H317="High",AsOf,"")),"")</f>
        <v/>
      </c>
      <c r="R317" s="79">
        <f>IF(Q317="","",IF(H317="High",1,IF(Q317="","",IF(Q317&lt;AsOf,1,IF(Q317&lt;=AsOf+AlertDays,2,IF(Q317&lt;=AsOf+2*AlertDays,3,""))))))</f>
        <v/>
      </c>
      <c r="S317" s="79">
        <f>IF(R317="","",IF(H317="High","High-severity issue: ",IF(C317="Punch item","Punch item: ","Issue action due: "))&amp;F317&amp;IF(J317="",""," → "&amp;J317))</f>
        <v/>
      </c>
      <c r="T317" s="79">
        <f>IF(O317=1,IF(I317="",0,I317),0)</f>
        <v/>
      </c>
      <c r="U317" s="79">
        <f>IF(AND(O317=1,H317="High"),1,0)</f>
        <v/>
      </c>
      <c r="V317" s="79">
        <f>IF(AND(O317=1,C317="Punch item"),1,0)</f>
        <v/>
      </c>
    </row>
    <row r="318" ht="24" customHeight="1">
      <c r="B318" s="125" t="n">
        <v>311</v>
      </c>
      <c r="C318" s="72" t="n"/>
      <c r="D318" s="109" t="n"/>
      <c r="E318" s="72" t="n"/>
      <c r="F318" s="113" t="n"/>
      <c r="G318" s="72" t="n"/>
      <c r="H318" s="74" t="n"/>
      <c r="I318" s="73" t="n"/>
      <c r="J318" s="113" t="n"/>
      <c r="K318" s="109" t="n"/>
      <c r="L318" s="72" t="n"/>
      <c r="M318" s="109" t="n"/>
      <c r="N318" s="72" t="n"/>
      <c r="O318" s="79">
        <f>IF(AND(F318&lt;&gt;"",L318&lt;&gt;"Resolved"),1,0)</f>
        <v/>
      </c>
      <c r="P318" s="79">
        <f>IF(F318="","",IF(O318=0,0,IF(H318="High",2,1)))</f>
        <v/>
      </c>
      <c r="Q318" s="112">
        <f>IF(O318=1,IF(K318&lt;&gt;"",K318,IF(H318="High",AsOf,"")),"")</f>
        <v/>
      </c>
      <c r="R318" s="79">
        <f>IF(Q318="","",IF(H318="High",1,IF(Q318="","",IF(Q318&lt;AsOf,1,IF(Q318&lt;=AsOf+AlertDays,2,IF(Q318&lt;=AsOf+2*AlertDays,3,""))))))</f>
        <v/>
      </c>
      <c r="S318" s="79">
        <f>IF(R318="","",IF(H318="High","High-severity issue: ",IF(C318="Punch item","Punch item: ","Issue action due: "))&amp;F318&amp;IF(J318="",""," → "&amp;J318))</f>
        <v/>
      </c>
      <c r="T318" s="79">
        <f>IF(O318=1,IF(I318="",0,I318),0)</f>
        <v/>
      </c>
      <c r="U318" s="79">
        <f>IF(AND(O318=1,H318="High"),1,0)</f>
        <v/>
      </c>
      <c r="V318" s="79">
        <f>IF(AND(O318=1,C318="Punch item"),1,0)</f>
        <v/>
      </c>
    </row>
    <row r="319" ht="24" customHeight="1">
      <c r="B319" s="125" t="n">
        <v>312</v>
      </c>
      <c r="C319" s="72" t="n"/>
      <c r="D319" s="109" t="n"/>
      <c r="E319" s="72" t="n"/>
      <c r="F319" s="113" t="n"/>
      <c r="G319" s="72" t="n"/>
      <c r="H319" s="74" t="n"/>
      <c r="I319" s="73" t="n"/>
      <c r="J319" s="113" t="n"/>
      <c r="K319" s="109" t="n"/>
      <c r="L319" s="72" t="n"/>
      <c r="M319" s="109" t="n"/>
      <c r="N319" s="72" t="n"/>
      <c r="O319" s="79">
        <f>IF(AND(F319&lt;&gt;"",L319&lt;&gt;"Resolved"),1,0)</f>
        <v/>
      </c>
      <c r="P319" s="79">
        <f>IF(F319="","",IF(O319=0,0,IF(H319="High",2,1)))</f>
        <v/>
      </c>
      <c r="Q319" s="112">
        <f>IF(O319=1,IF(K319&lt;&gt;"",K319,IF(H319="High",AsOf,"")),"")</f>
        <v/>
      </c>
      <c r="R319" s="79">
        <f>IF(Q319="","",IF(H319="High",1,IF(Q319="","",IF(Q319&lt;AsOf,1,IF(Q319&lt;=AsOf+AlertDays,2,IF(Q319&lt;=AsOf+2*AlertDays,3,""))))))</f>
        <v/>
      </c>
      <c r="S319" s="79">
        <f>IF(R319="","",IF(H319="High","High-severity issue: ",IF(C319="Punch item","Punch item: ","Issue action due: "))&amp;F319&amp;IF(J319="",""," → "&amp;J319))</f>
        <v/>
      </c>
      <c r="T319" s="79">
        <f>IF(O319=1,IF(I319="",0,I319),0)</f>
        <v/>
      </c>
      <c r="U319" s="79">
        <f>IF(AND(O319=1,H319="High"),1,0)</f>
        <v/>
      </c>
      <c r="V319" s="79">
        <f>IF(AND(O319=1,C319="Punch item"),1,0)</f>
        <v/>
      </c>
    </row>
    <row r="320" ht="24" customHeight="1">
      <c r="B320" s="125" t="n">
        <v>313</v>
      </c>
      <c r="C320" s="72" t="n"/>
      <c r="D320" s="109" t="n"/>
      <c r="E320" s="72" t="n"/>
      <c r="F320" s="113" t="n"/>
      <c r="G320" s="72" t="n"/>
      <c r="H320" s="74" t="n"/>
      <c r="I320" s="73" t="n"/>
      <c r="J320" s="113" t="n"/>
      <c r="K320" s="109" t="n"/>
      <c r="L320" s="72" t="n"/>
      <c r="M320" s="109" t="n"/>
      <c r="N320" s="72" t="n"/>
      <c r="O320" s="79">
        <f>IF(AND(F320&lt;&gt;"",L320&lt;&gt;"Resolved"),1,0)</f>
        <v/>
      </c>
      <c r="P320" s="79">
        <f>IF(F320="","",IF(O320=0,0,IF(H320="High",2,1)))</f>
        <v/>
      </c>
      <c r="Q320" s="112">
        <f>IF(O320=1,IF(K320&lt;&gt;"",K320,IF(H320="High",AsOf,"")),"")</f>
        <v/>
      </c>
      <c r="R320" s="79">
        <f>IF(Q320="","",IF(H320="High",1,IF(Q320="","",IF(Q320&lt;AsOf,1,IF(Q320&lt;=AsOf+AlertDays,2,IF(Q320&lt;=AsOf+2*AlertDays,3,""))))))</f>
        <v/>
      </c>
      <c r="S320" s="79">
        <f>IF(R320="","",IF(H320="High","High-severity issue: ",IF(C320="Punch item","Punch item: ","Issue action due: "))&amp;F320&amp;IF(J320="",""," → "&amp;J320))</f>
        <v/>
      </c>
      <c r="T320" s="79">
        <f>IF(O320=1,IF(I320="",0,I320),0)</f>
        <v/>
      </c>
      <c r="U320" s="79">
        <f>IF(AND(O320=1,H320="High"),1,0)</f>
        <v/>
      </c>
      <c r="V320" s="79">
        <f>IF(AND(O320=1,C320="Punch item"),1,0)</f>
        <v/>
      </c>
    </row>
    <row r="321" ht="24" customHeight="1">
      <c r="B321" s="125" t="n">
        <v>314</v>
      </c>
      <c r="C321" s="72" t="n"/>
      <c r="D321" s="109" t="n"/>
      <c r="E321" s="72" t="n"/>
      <c r="F321" s="113" t="n"/>
      <c r="G321" s="72" t="n"/>
      <c r="H321" s="74" t="n"/>
      <c r="I321" s="73" t="n"/>
      <c r="J321" s="113" t="n"/>
      <c r="K321" s="109" t="n"/>
      <c r="L321" s="72" t="n"/>
      <c r="M321" s="109" t="n"/>
      <c r="N321" s="72" t="n"/>
      <c r="O321" s="79">
        <f>IF(AND(F321&lt;&gt;"",L321&lt;&gt;"Resolved"),1,0)</f>
        <v/>
      </c>
      <c r="P321" s="79">
        <f>IF(F321="","",IF(O321=0,0,IF(H321="High",2,1)))</f>
        <v/>
      </c>
      <c r="Q321" s="112">
        <f>IF(O321=1,IF(K321&lt;&gt;"",K321,IF(H321="High",AsOf,"")),"")</f>
        <v/>
      </c>
      <c r="R321" s="79">
        <f>IF(Q321="","",IF(H321="High",1,IF(Q321="","",IF(Q321&lt;AsOf,1,IF(Q321&lt;=AsOf+AlertDays,2,IF(Q321&lt;=AsOf+2*AlertDays,3,""))))))</f>
        <v/>
      </c>
      <c r="S321" s="79">
        <f>IF(R321="","",IF(H321="High","High-severity issue: ",IF(C321="Punch item","Punch item: ","Issue action due: "))&amp;F321&amp;IF(J321="",""," → "&amp;J321))</f>
        <v/>
      </c>
      <c r="T321" s="79">
        <f>IF(O321=1,IF(I321="",0,I321),0)</f>
        <v/>
      </c>
      <c r="U321" s="79">
        <f>IF(AND(O321=1,H321="High"),1,0)</f>
        <v/>
      </c>
      <c r="V321" s="79">
        <f>IF(AND(O321=1,C321="Punch item"),1,0)</f>
        <v/>
      </c>
    </row>
    <row r="322" ht="24" customHeight="1">
      <c r="B322" s="125" t="n">
        <v>315</v>
      </c>
      <c r="C322" s="72" t="n"/>
      <c r="D322" s="109" t="n"/>
      <c r="E322" s="72" t="n"/>
      <c r="F322" s="113" t="n"/>
      <c r="G322" s="72" t="n"/>
      <c r="H322" s="74" t="n"/>
      <c r="I322" s="73" t="n"/>
      <c r="J322" s="113" t="n"/>
      <c r="K322" s="109" t="n"/>
      <c r="L322" s="72" t="n"/>
      <c r="M322" s="109" t="n"/>
      <c r="N322" s="72" t="n"/>
      <c r="O322" s="79">
        <f>IF(AND(F322&lt;&gt;"",L322&lt;&gt;"Resolved"),1,0)</f>
        <v/>
      </c>
      <c r="P322" s="79">
        <f>IF(F322="","",IF(O322=0,0,IF(H322="High",2,1)))</f>
        <v/>
      </c>
      <c r="Q322" s="112">
        <f>IF(O322=1,IF(K322&lt;&gt;"",K322,IF(H322="High",AsOf,"")),"")</f>
        <v/>
      </c>
      <c r="R322" s="79">
        <f>IF(Q322="","",IF(H322="High",1,IF(Q322="","",IF(Q322&lt;AsOf,1,IF(Q322&lt;=AsOf+AlertDays,2,IF(Q322&lt;=AsOf+2*AlertDays,3,""))))))</f>
        <v/>
      </c>
      <c r="S322" s="79">
        <f>IF(R322="","",IF(H322="High","High-severity issue: ",IF(C322="Punch item","Punch item: ","Issue action due: "))&amp;F322&amp;IF(J322="",""," → "&amp;J322))</f>
        <v/>
      </c>
      <c r="T322" s="79">
        <f>IF(O322=1,IF(I322="",0,I322),0)</f>
        <v/>
      </c>
      <c r="U322" s="79">
        <f>IF(AND(O322=1,H322="High"),1,0)</f>
        <v/>
      </c>
      <c r="V322" s="79">
        <f>IF(AND(O322=1,C322="Punch item"),1,0)</f>
        <v/>
      </c>
    </row>
    <row r="323" ht="24" customHeight="1">
      <c r="B323" s="125" t="n">
        <v>316</v>
      </c>
      <c r="C323" s="72" t="n"/>
      <c r="D323" s="109" t="n"/>
      <c r="E323" s="72" t="n"/>
      <c r="F323" s="113" t="n"/>
      <c r="G323" s="72" t="n"/>
      <c r="H323" s="74" t="n"/>
      <c r="I323" s="73" t="n"/>
      <c r="J323" s="113" t="n"/>
      <c r="K323" s="109" t="n"/>
      <c r="L323" s="72" t="n"/>
      <c r="M323" s="109" t="n"/>
      <c r="N323" s="72" t="n"/>
      <c r="O323" s="79">
        <f>IF(AND(F323&lt;&gt;"",L323&lt;&gt;"Resolved"),1,0)</f>
        <v/>
      </c>
      <c r="P323" s="79">
        <f>IF(F323="","",IF(O323=0,0,IF(H323="High",2,1)))</f>
        <v/>
      </c>
      <c r="Q323" s="112">
        <f>IF(O323=1,IF(K323&lt;&gt;"",K323,IF(H323="High",AsOf,"")),"")</f>
        <v/>
      </c>
      <c r="R323" s="79">
        <f>IF(Q323="","",IF(H323="High",1,IF(Q323="","",IF(Q323&lt;AsOf,1,IF(Q323&lt;=AsOf+AlertDays,2,IF(Q323&lt;=AsOf+2*AlertDays,3,""))))))</f>
        <v/>
      </c>
      <c r="S323" s="79">
        <f>IF(R323="","",IF(H323="High","High-severity issue: ",IF(C323="Punch item","Punch item: ","Issue action due: "))&amp;F323&amp;IF(J323="",""," → "&amp;J323))</f>
        <v/>
      </c>
      <c r="T323" s="79">
        <f>IF(O323=1,IF(I323="",0,I323),0)</f>
        <v/>
      </c>
      <c r="U323" s="79">
        <f>IF(AND(O323=1,H323="High"),1,0)</f>
        <v/>
      </c>
      <c r="V323" s="79">
        <f>IF(AND(O323=1,C323="Punch item"),1,0)</f>
        <v/>
      </c>
    </row>
    <row r="324" ht="24" customHeight="1">
      <c r="B324" s="125" t="n">
        <v>317</v>
      </c>
      <c r="C324" s="72" t="n"/>
      <c r="D324" s="109" t="n"/>
      <c r="E324" s="72" t="n"/>
      <c r="F324" s="113" t="n"/>
      <c r="G324" s="72" t="n"/>
      <c r="H324" s="74" t="n"/>
      <c r="I324" s="73" t="n"/>
      <c r="J324" s="113" t="n"/>
      <c r="K324" s="109" t="n"/>
      <c r="L324" s="72" t="n"/>
      <c r="M324" s="109" t="n"/>
      <c r="N324" s="72" t="n"/>
      <c r="O324" s="79">
        <f>IF(AND(F324&lt;&gt;"",L324&lt;&gt;"Resolved"),1,0)</f>
        <v/>
      </c>
      <c r="P324" s="79">
        <f>IF(F324="","",IF(O324=0,0,IF(H324="High",2,1)))</f>
        <v/>
      </c>
      <c r="Q324" s="112">
        <f>IF(O324=1,IF(K324&lt;&gt;"",K324,IF(H324="High",AsOf,"")),"")</f>
        <v/>
      </c>
      <c r="R324" s="79">
        <f>IF(Q324="","",IF(H324="High",1,IF(Q324="","",IF(Q324&lt;AsOf,1,IF(Q324&lt;=AsOf+AlertDays,2,IF(Q324&lt;=AsOf+2*AlertDays,3,""))))))</f>
        <v/>
      </c>
      <c r="S324" s="79">
        <f>IF(R324="","",IF(H324="High","High-severity issue: ",IF(C324="Punch item","Punch item: ","Issue action due: "))&amp;F324&amp;IF(J324="",""," → "&amp;J324))</f>
        <v/>
      </c>
      <c r="T324" s="79">
        <f>IF(O324=1,IF(I324="",0,I324),0)</f>
        <v/>
      </c>
      <c r="U324" s="79">
        <f>IF(AND(O324=1,H324="High"),1,0)</f>
        <v/>
      </c>
      <c r="V324" s="79">
        <f>IF(AND(O324=1,C324="Punch item"),1,0)</f>
        <v/>
      </c>
    </row>
    <row r="325" ht="24" customHeight="1">
      <c r="B325" s="125" t="n">
        <v>318</v>
      </c>
      <c r="C325" s="72" t="n"/>
      <c r="D325" s="109" t="n"/>
      <c r="E325" s="72" t="n"/>
      <c r="F325" s="113" t="n"/>
      <c r="G325" s="72" t="n"/>
      <c r="H325" s="74" t="n"/>
      <c r="I325" s="73" t="n"/>
      <c r="J325" s="113" t="n"/>
      <c r="K325" s="109" t="n"/>
      <c r="L325" s="72" t="n"/>
      <c r="M325" s="109" t="n"/>
      <c r="N325" s="72" t="n"/>
      <c r="O325" s="79">
        <f>IF(AND(F325&lt;&gt;"",L325&lt;&gt;"Resolved"),1,0)</f>
        <v/>
      </c>
      <c r="P325" s="79">
        <f>IF(F325="","",IF(O325=0,0,IF(H325="High",2,1)))</f>
        <v/>
      </c>
      <c r="Q325" s="112">
        <f>IF(O325=1,IF(K325&lt;&gt;"",K325,IF(H325="High",AsOf,"")),"")</f>
        <v/>
      </c>
      <c r="R325" s="79">
        <f>IF(Q325="","",IF(H325="High",1,IF(Q325="","",IF(Q325&lt;AsOf,1,IF(Q325&lt;=AsOf+AlertDays,2,IF(Q325&lt;=AsOf+2*AlertDays,3,""))))))</f>
        <v/>
      </c>
      <c r="S325" s="79">
        <f>IF(R325="","",IF(H325="High","High-severity issue: ",IF(C325="Punch item","Punch item: ","Issue action due: "))&amp;F325&amp;IF(J325="",""," → "&amp;J325))</f>
        <v/>
      </c>
      <c r="T325" s="79">
        <f>IF(O325=1,IF(I325="",0,I325),0)</f>
        <v/>
      </c>
      <c r="U325" s="79">
        <f>IF(AND(O325=1,H325="High"),1,0)</f>
        <v/>
      </c>
      <c r="V325" s="79">
        <f>IF(AND(O325=1,C325="Punch item"),1,0)</f>
        <v/>
      </c>
    </row>
    <row r="326" ht="24" customHeight="1">
      <c r="B326" s="125" t="n">
        <v>319</v>
      </c>
      <c r="C326" s="72" t="n"/>
      <c r="D326" s="109" t="n"/>
      <c r="E326" s="72" t="n"/>
      <c r="F326" s="113" t="n"/>
      <c r="G326" s="72" t="n"/>
      <c r="H326" s="74" t="n"/>
      <c r="I326" s="73" t="n"/>
      <c r="J326" s="113" t="n"/>
      <c r="K326" s="109" t="n"/>
      <c r="L326" s="72" t="n"/>
      <c r="M326" s="109" t="n"/>
      <c r="N326" s="72" t="n"/>
      <c r="O326" s="79">
        <f>IF(AND(F326&lt;&gt;"",L326&lt;&gt;"Resolved"),1,0)</f>
        <v/>
      </c>
      <c r="P326" s="79">
        <f>IF(F326="","",IF(O326=0,0,IF(H326="High",2,1)))</f>
        <v/>
      </c>
      <c r="Q326" s="112">
        <f>IF(O326=1,IF(K326&lt;&gt;"",K326,IF(H326="High",AsOf,"")),"")</f>
        <v/>
      </c>
      <c r="R326" s="79">
        <f>IF(Q326="","",IF(H326="High",1,IF(Q326="","",IF(Q326&lt;AsOf,1,IF(Q326&lt;=AsOf+AlertDays,2,IF(Q326&lt;=AsOf+2*AlertDays,3,""))))))</f>
        <v/>
      </c>
      <c r="S326" s="79">
        <f>IF(R326="","",IF(H326="High","High-severity issue: ",IF(C326="Punch item","Punch item: ","Issue action due: "))&amp;F326&amp;IF(J326="",""," → "&amp;J326))</f>
        <v/>
      </c>
      <c r="T326" s="79">
        <f>IF(O326=1,IF(I326="",0,I326),0)</f>
        <v/>
      </c>
      <c r="U326" s="79">
        <f>IF(AND(O326=1,H326="High"),1,0)</f>
        <v/>
      </c>
      <c r="V326" s="79">
        <f>IF(AND(O326=1,C326="Punch item"),1,0)</f>
        <v/>
      </c>
    </row>
    <row r="327" ht="24" customHeight="1">
      <c r="B327" s="125" t="n">
        <v>320</v>
      </c>
      <c r="C327" s="72" t="n"/>
      <c r="D327" s="109" t="n"/>
      <c r="E327" s="72" t="n"/>
      <c r="F327" s="113" t="n"/>
      <c r="G327" s="72" t="n"/>
      <c r="H327" s="74" t="n"/>
      <c r="I327" s="73" t="n"/>
      <c r="J327" s="113" t="n"/>
      <c r="K327" s="109" t="n"/>
      <c r="L327" s="72" t="n"/>
      <c r="M327" s="109" t="n"/>
      <c r="N327" s="72" t="n"/>
      <c r="O327" s="79">
        <f>IF(AND(F327&lt;&gt;"",L327&lt;&gt;"Resolved"),1,0)</f>
        <v/>
      </c>
      <c r="P327" s="79">
        <f>IF(F327="","",IF(O327=0,0,IF(H327="High",2,1)))</f>
        <v/>
      </c>
      <c r="Q327" s="112">
        <f>IF(O327=1,IF(K327&lt;&gt;"",K327,IF(H327="High",AsOf,"")),"")</f>
        <v/>
      </c>
      <c r="R327" s="79">
        <f>IF(Q327="","",IF(H327="High",1,IF(Q327="","",IF(Q327&lt;AsOf,1,IF(Q327&lt;=AsOf+AlertDays,2,IF(Q327&lt;=AsOf+2*AlertDays,3,""))))))</f>
        <v/>
      </c>
      <c r="S327" s="79">
        <f>IF(R327="","",IF(H327="High","High-severity issue: ",IF(C327="Punch item","Punch item: ","Issue action due: "))&amp;F327&amp;IF(J327="",""," → "&amp;J327))</f>
        <v/>
      </c>
      <c r="T327" s="79">
        <f>IF(O327=1,IF(I327="",0,I327),0)</f>
        <v/>
      </c>
      <c r="U327" s="79">
        <f>IF(AND(O327=1,H327="High"),1,0)</f>
        <v/>
      </c>
      <c r="V327" s="79">
        <f>IF(AND(O327=1,C327="Punch item"),1,0)</f>
        <v/>
      </c>
    </row>
    <row r="328" ht="24" customHeight="1">
      <c r="B328" s="125" t="n">
        <v>321</v>
      </c>
      <c r="C328" s="72" t="n"/>
      <c r="D328" s="109" t="n"/>
      <c r="E328" s="72" t="n"/>
      <c r="F328" s="113" t="n"/>
      <c r="G328" s="72" t="n"/>
      <c r="H328" s="74" t="n"/>
      <c r="I328" s="73" t="n"/>
      <c r="J328" s="113" t="n"/>
      <c r="K328" s="109" t="n"/>
      <c r="L328" s="72" t="n"/>
      <c r="M328" s="109" t="n"/>
      <c r="N328" s="72" t="n"/>
      <c r="O328" s="79">
        <f>IF(AND(F328&lt;&gt;"",L328&lt;&gt;"Resolved"),1,0)</f>
        <v/>
      </c>
      <c r="P328" s="79">
        <f>IF(F328="","",IF(O328=0,0,IF(H328="High",2,1)))</f>
        <v/>
      </c>
      <c r="Q328" s="112">
        <f>IF(O328=1,IF(K328&lt;&gt;"",K328,IF(H328="High",AsOf,"")),"")</f>
        <v/>
      </c>
      <c r="R328" s="79">
        <f>IF(Q328="","",IF(H328="High",1,IF(Q328="","",IF(Q328&lt;AsOf,1,IF(Q328&lt;=AsOf+AlertDays,2,IF(Q328&lt;=AsOf+2*AlertDays,3,""))))))</f>
        <v/>
      </c>
      <c r="S328" s="79">
        <f>IF(R328="","",IF(H328="High","High-severity issue: ",IF(C328="Punch item","Punch item: ","Issue action due: "))&amp;F328&amp;IF(J328="",""," → "&amp;J328))</f>
        <v/>
      </c>
      <c r="T328" s="79">
        <f>IF(O328=1,IF(I328="",0,I328),0)</f>
        <v/>
      </c>
      <c r="U328" s="79">
        <f>IF(AND(O328=1,H328="High"),1,0)</f>
        <v/>
      </c>
      <c r="V328" s="79">
        <f>IF(AND(O328=1,C328="Punch item"),1,0)</f>
        <v/>
      </c>
    </row>
    <row r="329" ht="24" customHeight="1">
      <c r="B329" s="125" t="n">
        <v>322</v>
      </c>
      <c r="C329" s="72" t="n"/>
      <c r="D329" s="109" t="n"/>
      <c r="E329" s="72" t="n"/>
      <c r="F329" s="113" t="n"/>
      <c r="G329" s="72" t="n"/>
      <c r="H329" s="74" t="n"/>
      <c r="I329" s="73" t="n"/>
      <c r="J329" s="113" t="n"/>
      <c r="K329" s="109" t="n"/>
      <c r="L329" s="72" t="n"/>
      <c r="M329" s="109" t="n"/>
      <c r="N329" s="72" t="n"/>
      <c r="O329" s="79">
        <f>IF(AND(F329&lt;&gt;"",L329&lt;&gt;"Resolved"),1,0)</f>
        <v/>
      </c>
      <c r="P329" s="79">
        <f>IF(F329="","",IF(O329=0,0,IF(H329="High",2,1)))</f>
        <v/>
      </c>
      <c r="Q329" s="112">
        <f>IF(O329=1,IF(K329&lt;&gt;"",K329,IF(H329="High",AsOf,"")),"")</f>
        <v/>
      </c>
      <c r="R329" s="79">
        <f>IF(Q329="","",IF(H329="High",1,IF(Q329="","",IF(Q329&lt;AsOf,1,IF(Q329&lt;=AsOf+AlertDays,2,IF(Q329&lt;=AsOf+2*AlertDays,3,""))))))</f>
        <v/>
      </c>
      <c r="S329" s="79">
        <f>IF(R329="","",IF(H329="High","High-severity issue: ",IF(C329="Punch item","Punch item: ","Issue action due: "))&amp;F329&amp;IF(J329="",""," → "&amp;J329))</f>
        <v/>
      </c>
      <c r="T329" s="79">
        <f>IF(O329=1,IF(I329="",0,I329),0)</f>
        <v/>
      </c>
      <c r="U329" s="79">
        <f>IF(AND(O329=1,H329="High"),1,0)</f>
        <v/>
      </c>
      <c r="V329" s="79">
        <f>IF(AND(O329=1,C329="Punch item"),1,0)</f>
        <v/>
      </c>
    </row>
    <row r="330" ht="24" customHeight="1">
      <c r="B330" s="125" t="n">
        <v>323</v>
      </c>
      <c r="C330" s="72" t="n"/>
      <c r="D330" s="109" t="n"/>
      <c r="E330" s="72" t="n"/>
      <c r="F330" s="113" t="n"/>
      <c r="G330" s="72" t="n"/>
      <c r="H330" s="74" t="n"/>
      <c r="I330" s="73" t="n"/>
      <c r="J330" s="113" t="n"/>
      <c r="K330" s="109" t="n"/>
      <c r="L330" s="72" t="n"/>
      <c r="M330" s="109" t="n"/>
      <c r="N330" s="72" t="n"/>
      <c r="O330" s="79">
        <f>IF(AND(F330&lt;&gt;"",L330&lt;&gt;"Resolved"),1,0)</f>
        <v/>
      </c>
      <c r="P330" s="79">
        <f>IF(F330="","",IF(O330=0,0,IF(H330="High",2,1)))</f>
        <v/>
      </c>
      <c r="Q330" s="112">
        <f>IF(O330=1,IF(K330&lt;&gt;"",K330,IF(H330="High",AsOf,"")),"")</f>
        <v/>
      </c>
      <c r="R330" s="79">
        <f>IF(Q330="","",IF(H330="High",1,IF(Q330="","",IF(Q330&lt;AsOf,1,IF(Q330&lt;=AsOf+AlertDays,2,IF(Q330&lt;=AsOf+2*AlertDays,3,""))))))</f>
        <v/>
      </c>
      <c r="S330" s="79">
        <f>IF(R330="","",IF(H330="High","High-severity issue: ",IF(C330="Punch item","Punch item: ","Issue action due: "))&amp;F330&amp;IF(J330="",""," → "&amp;J330))</f>
        <v/>
      </c>
      <c r="T330" s="79">
        <f>IF(O330=1,IF(I330="",0,I330),0)</f>
        <v/>
      </c>
      <c r="U330" s="79">
        <f>IF(AND(O330=1,H330="High"),1,0)</f>
        <v/>
      </c>
      <c r="V330" s="79">
        <f>IF(AND(O330=1,C330="Punch item"),1,0)</f>
        <v/>
      </c>
    </row>
    <row r="331" ht="24" customHeight="1">
      <c r="B331" s="125" t="n">
        <v>324</v>
      </c>
      <c r="C331" s="72" t="n"/>
      <c r="D331" s="109" t="n"/>
      <c r="E331" s="72" t="n"/>
      <c r="F331" s="113" t="n"/>
      <c r="G331" s="72" t="n"/>
      <c r="H331" s="74" t="n"/>
      <c r="I331" s="73" t="n"/>
      <c r="J331" s="113" t="n"/>
      <c r="K331" s="109" t="n"/>
      <c r="L331" s="72" t="n"/>
      <c r="M331" s="109" t="n"/>
      <c r="N331" s="72" t="n"/>
      <c r="O331" s="79">
        <f>IF(AND(F331&lt;&gt;"",L331&lt;&gt;"Resolved"),1,0)</f>
        <v/>
      </c>
      <c r="P331" s="79">
        <f>IF(F331="","",IF(O331=0,0,IF(H331="High",2,1)))</f>
        <v/>
      </c>
      <c r="Q331" s="112">
        <f>IF(O331=1,IF(K331&lt;&gt;"",K331,IF(H331="High",AsOf,"")),"")</f>
        <v/>
      </c>
      <c r="R331" s="79">
        <f>IF(Q331="","",IF(H331="High",1,IF(Q331="","",IF(Q331&lt;AsOf,1,IF(Q331&lt;=AsOf+AlertDays,2,IF(Q331&lt;=AsOf+2*AlertDays,3,""))))))</f>
        <v/>
      </c>
      <c r="S331" s="79">
        <f>IF(R331="","",IF(H331="High","High-severity issue: ",IF(C331="Punch item","Punch item: ","Issue action due: "))&amp;F331&amp;IF(J331="",""," → "&amp;J331))</f>
        <v/>
      </c>
      <c r="T331" s="79">
        <f>IF(O331=1,IF(I331="",0,I331),0)</f>
        <v/>
      </c>
      <c r="U331" s="79">
        <f>IF(AND(O331=1,H331="High"),1,0)</f>
        <v/>
      </c>
      <c r="V331" s="79">
        <f>IF(AND(O331=1,C331="Punch item"),1,0)</f>
        <v/>
      </c>
    </row>
    <row r="332" ht="24" customHeight="1">
      <c r="B332" s="125" t="n">
        <v>325</v>
      </c>
      <c r="C332" s="72" t="n"/>
      <c r="D332" s="109" t="n"/>
      <c r="E332" s="72" t="n"/>
      <c r="F332" s="113" t="n"/>
      <c r="G332" s="72" t="n"/>
      <c r="H332" s="74" t="n"/>
      <c r="I332" s="73" t="n"/>
      <c r="J332" s="113" t="n"/>
      <c r="K332" s="109" t="n"/>
      <c r="L332" s="72" t="n"/>
      <c r="M332" s="109" t="n"/>
      <c r="N332" s="72" t="n"/>
      <c r="O332" s="79">
        <f>IF(AND(F332&lt;&gt;"",L332&lt;&gt;"Resolved"),1,0)</f>
        <v/>
      </c>
      <c r="P332" s="79">
        <f>IF(F332="","",IF(O332=0,0,IF(H332="High",2,1)))</f>
        <v/>
      </c>
      <c r="Q332" s="112">
        <f>IF(O332=1,IF(K332&lt;&gt;"",K332,IF(H332="High",AsOf,"")),"")</f>
        <v/>
      </c>
      <c r="R332" s="79">
        <f>IF(Q332="","",IF(H332="High",1,IF(Q332="","",IF(Q332&lt;AsOf,1,IF(Q332&lt;=AsOf+AlertDays,2,IF(Q332&lt;=AsOf+2*AlertDays,3,""))))))</f>
        <v/>
      </c>
      <c r="S332" s="79">
        <f>IF(R332="","",IF(H332="High","High-severity issue: ",IF(C332="Punch item","Punch item: ","Issue action due: "))&amp;F332&amp;IF(J332="",""," → "&amp;J332))</f>
        <v/>
      </c>
      <c r="T332" s="79">
        <f>IF(O332=1,IF(I332="",0,I332),0)</f>
        <v/>
      </c>
      <c r="U332" s="79">
        <f>IF(AND(O332=1,H332="High"),1,0)</f>
        <v/>
      </c>
      <c r="V332" s="79">
        <f>IF(AND(O332=1,C332="Punch item"),1,0)</f>
        <v/>
      </c>
    </row>
    <row r="333" ht="24" customHeight="1">
      <c r="B333" s="125" t="n">
        <v>326</v>
      </c>
      <c r="C333" s="72" t="n"/>
      <c r="D333" s="109" t="n"/>
      <c r="E333" s="72" t="n"/>
      <c r="F333" s="113" t="n"/>
      <c r="G333" s="72" t="n"/>
      <c r="H333" s="74" t="n"/>
      <c r="I333" s="73" t="n"/>
      <c r="J333" s="113" t="n"/>
      <c r="K333" s="109" t="n"/>
      <c r="L333" s="72" t="n"/>
      <c r="M333" s="109" t="n"/>
      <c r="N333" s="72" t="n"/>
      <c r="O333" s="79">
        <f>IF(AND(F333&lt;&gt;"",L333&lt;&gt;"Resolved"),1,0)</f>
        <v/>
      </c>
      <c r="P333" s="79">
        <f>IF(F333="","",IF(O333=0,0,IF(H333="High",2,1)))</f>
        <v/>
      </c>
      <c r="Q333" s="112">
        <f>IF(O333=1,IF(K333&lt;&gt;"",K333,IF(H333="High",AsOf,"")),"")</f>
        <v/>
      </c>
      <c r="R333" s="79">
        <f>IF(Q333="","",IF(H333="High",1,IF(Q333="","",IF(Q333&lt;AsOf,1,IF(Q333&lt;=AsOf+AlertDays,2,IF(Q333&lt;=AsOf+2*AlertDays,3,""))))))</f>
        <v/>
      </c>
      <c r="S333" s="79">
        <f>IF(R333="","",IF(H333="High","High-severity issue: ",IF(C333="Punch item","Punch item: ","Issue action due: "))&amp;F333&amp;IF(J333="",""," → "&amp;J333))</f>
        <v/>
      </c>
      <c r="T333" s="79">
        <f>IF(O333=1,IF(I333="",0,I333),0)</f>
        <v/>
      </c>
      <c r="U333" s="79">
        <f>IF(AND(O333=1,H333="High"),1,0)</f>
        <v/>
      </c>
      <c r="V333" s="79">
        <f>IF(AND(O333=1,C333="Punch item"),1,0)</f>
        <v/>
      </c>
    </row>
    <row r="334" ht="24" customHeight="1">
      <c r="B334" s="125" t="n">
        <v>327</v>
      </c>
      <c r="C334" s="72" t="n"/>
      <c r="D334" s="109" t="n"/>
      <c r="E334" s="72" t="n"/>
      <c r="F334" s="113" t="n"/>
      <c r="G334" s="72" t="n"/>
      <c r="H334" s="74" t="n"/>
      <c r="I334" s="73" t="n"/>
      <c r="J334" s="113" t="n"/>
      <c r="K334" s="109" t="n"/>
      <c r="L334" s="72" t="n"/>
      <c r="M334" s="109" t="n"/>
      <c r="N334" s="72" t="n"/>
      <c r="O334" s="79">
        <f>IF(AND(F334&lt;&gt;"",L334&lt;&gt;"Resolved"),1,0)</f>
        <v/>
      </c>
      <c r="P334" s="79">
        <f>IF(F334="","",IF(O334=0,0,IF(H334="High",2,1)))</f>
        <v/>
      </c>
      <c r="Q334" s="112">
        <f>IF(O334=1,IF(K334&lt;&gt;"",K334,IF(H334="High",AsOf,"")),"")</f>
        <v/>
      </c>
      <c r="R334" s="79">
        <f>IF(Q334="","",IF(H334="High",1,IF(Q334="","",IF(Q334&lt;AsOf,1,IF(Q334&lt;=AsOf+AlertDays,2,IF(Q334&lt;=AsOf+2*AlertDays,3,""))))))</f>
        <v/>
      </c>
      <c r="S334" s="79">
        <f>IF(R334="","",IF(H334="High","High-severity issue: ",IF(C334="Punch item","Punch item: ","Issue action due: "))&amp;F334&amp;IF(J334="",""," → "&amp;J334))</f>
        <v/>
      </c>
      <c r="T334" s="79">
        <f>IF(O334=1,IF(I334="",0,I334),0)</f>
        <v/>
      </c>
      <c r="U334" s="79">
        <f>IF(AND(O334=1,H334="High"),1,0)</f>
        <v/>
      </c>
      <c r="V334" s="79">
        <f>IF(AND(O334=1,C334="Punch item"),1,0)</f>
        <v/>
      </c>
    </row>
    <row r="335" ht="24" customHeight="1">
      <c r="B335" s="125" t="n">
        <v>328</v>
      </c>
      <c r="C335" s="72" t="n"/>
      <c r="D335" s="109" t="n"/>
      <c r="E335" s="72" t="n"/>
      <c r="F335" s="113" t="n"/>
      <c r="G335" s="72" t="n"/>
      <c r="H335" s="74" t="n"/>
      <c r="I335" s="73" t="n"/>
      <c r="J335" s="113" t="n"/>
      <c r="K335" s="109" t="n"/>
      <c r="L335" s="72" t="n"/>
      <c r="M335" s="109" t="n"/>
      <c r="N335" s="72" t="n"/>
      <c r="O335" s="79">
        <f>IF(AND(F335&lt;&gt;"",L335&lt;&gt;"Resolved"),1,0)</f>
        <v/>
      </c>
      <c r="P335" s="79">
        <f>IF(F335="","",IF(O335=0,0,IF(H335="High",2,1)))</f>
        <v/>
      </c>
      <c r="Q335" s="112">
        <f>IF(O335=1,IF(K335&lt;&gt;"",K335,IF(H335="High",AsOf,"")),"")</f>
        <v/>
      </c>
      <c r="R335" s="79">
        <f>IF(Q335="","",IF(H335="High",1,IF(Q335="","",IF(Q335&lt;AsOf,1,IF(Q335&lt;=AsOf+AlertDays,2,IF(Q335&lt;=AsOf+2*AlertDays,3,""))))))</f>
        <v/>
      </c>
      <c r="S335" s="79">
        <f>IF(R335="","",IF(H335="High","High-severity issue: ",IF(C335="Punch item","Punch item: ","Issue action due: "))&amp;F335&amp;IF(J335="",""," → "&amp;J335))</f>
        <v/>
      </c>
      <c r="T335" s="79">
        <f>IF(O335=1,IF(I335="",0,I335),0)</f>
        <v/>
      </c>
      <c r="U335" s="79">
        <f>IF(AND(O335=1,H335="High"),1,0)</f>
        <v/>
      </c>
      <c r="V335" s="79">
        <f>IF(AND(O335=1,C335="Punch item"),1,0)</f>
        <v/>
      </c>
    </row>
    <row r="336" ht="24" customHeight="1">
      <c r="B336" s="125" t="n">
        <v>329</v>
      </c>
      <c r="C336" s="72" t="n"/>
      <c r="D336" s="109" t="n"/>
      <c r="E336" s="72" t="n"/>
      <c r="F336" s="113" t="n"/>
      <c r="G336" s="72" t="n"/>
      <c r="H336" s="74" t="n"/>
      <c r="I336" s="73" t="n"/>
      <c r="J336" s="113" t="n"/>
      <c r="K336" s="109" t="n"/>
      <c r="L336" s="72" t="n"/>
      <c r="M336" s="109" t="n"/>
      <c r="N336" s="72" t="n"/>
      <c r="O336" s="79">
        <f>IF(AND(F336&lt;&gt;"",L336&lt;&gt;"Resolved"),1,0)</f>
        <v/>
      </c>
      <c r="P336" s="79">
        <f>IF(F336="","",IF(O336=0,0,IF(H336="High",2,1)))</f>
        <v/>
      </c>
      <c r="Q336" s="112">
        <f>IF(O336=1,IF(K336&lt;&gt;"",K336,IF(H336="High",AsOf,"")),"")</f>
        <v/>
      </c>
      <c r="R336" s="79">
        <f>IF(Q336="","",IF(H336="High",1,IF(Q336="","",IF(Q336&lt;AsOf,1,IF(Q336&lt;=AsOf+AlertDays,2,IF(Q336&lt;=AsOf+2*AlertDays,3,""))))))</f>
        <v/>
      </c>
      <c r="S336" s="79">
        <f>IF(R336="","",IF(H336="High","High-severity issue: ",IF(C336="Punch item","Punch item: ","Issue action due: "))&amp;F336&amp;IF(J336="",""," → "&amp;J336))</f>
        <v/>
      </c>
      <c r="T336" s="79">
        <f>IF(O336=1,IF(I336="",0,I336),0)</f>
        <v/>
      </c>
      <c r="U336" s="79">
        <f>IF(AND(O336=1,H336="High"),1,0)</f>
        <v/>
      </c>
      <c r="V336" s="79">
        <f>IF(AND(O336=1,C336="Punch item"),1,0)</f>
        <v/>
      </c>
    </row>
    <row r="337" ht="24" customHeight="1">
      <c r="B337" s="125" t="n">
        <v>330</v>
      </c>
      <c r="C337" s="72" t="n"/>
      <c r="D337" s="109" t="n"/>
      <c r="E337" s="72" t="n"/>
      <c r="F337" s="113" t="n"/>
      <c r="G337" s="72" t="n"/>
      <c r="H337" s="74" t="n"/>
      <c r="I337" s="73" t="n"/>
      <c r="J337" s="113" t="n"/>
      <c r="K337" s="109" t="n"/>
      <c r="L337" s="72" t="n"/>
      <c r="M337" s="109" t="n"/>
      <c r="N337" s="72" t="n"/>
      <c r="O337" s="79">
        <f>IF(AND(F337&lt;&gt;"",L337&lt;&gt;"Resolved"),1,0)</f>
        <v/>
      </c>
      <c r="P337" s="79">
        <f>IF(F337="","",IF(O337=0,0,IF(H337="High",2,1)))</f>
        <v/>
      </c>
      <c r="Q337" s="112">
        <f>IF(O337=1,IF(K337&lt;&gt;"",K337,IF(H337="High",AsOf,"")),"")</f>
        <v/>
      </c>
      <c r="R337" s="79">
        <f>IF(Q337="","",IF(H337="High",1,IF(Q337="","",IF(Q337&lt;AsOf,1,IF(Q337&lt;=AsOf+AlertDays,2,IF(Q337&lt;=AsOf+2*AlertDays,3,""))))))</f>
        <v/>
      </c>
      <c r="S337" s="79">
        <f>IF(R337="","",IF(H337="High","High-severity issue: ",IF(C337="Punch item","Punch item: ","Issue action due: "))&amp;F337&amp;IF(J337="",""," → "&amp;J337))</f>
        <v/>
      </c>
      <c r="T337" s="79">
        <f>IF(O337=1,IF(I337="",0,I337),0)</f>
        <v/>
      </c>
      <c r="U337" s="79">
        <f>IF(AND(O337=1,H337="High"),1,0)</f>
        <v/>
      </c>
      <c r="V337" s="79">
        <f>IF(AND(O337=1,C337="Punch item"),1,0)</f>
        <v/>
      </c>
    </row>
    <row r="338" ht="24" customHeight="1">
      <c r="B338" s="125" t="n">
        <v>331</v>
      </c>
      <c r="C338" s="72" t="n"/>
      <c r="D338" s="109" t="n"/>
      <c r="E338" s="72" t="n"/>
      <c r="F338" s="113" t="n"/>
      <c r="G338" s="72" t="n"/>
      <c r="H338" s="74" t="n"/>
      <c r="I338" s="73" t="n"/>
      <c r="J338" s="113" t="n"/>
      <c r="K338" s="109" t="n"/>
      <c r="L338" s="72" t="n"/>
      <c r="M338" s="109" t="n"/>
      <c r="N338" s="72" t="n"/>
      <c r="O338" s="79">
        <f>IF(AND(F338&lt;&gt;"",L338&lt;&gt;"Resolved"),1,0)</f>
        <v/>
      </c>
      <c r="P338" s="79">
        <f>IF(F338="","",IF(O338=0,0,IF(H338="High",2,1)))</f>
        <v/>
      </c>
      <c r="Q338" s="112">
        <f>IF(O338=1,IF(K338&lt;&gt;"",K338,IF(H338="High",AsOf,"")),"")</f>
        <v/>
      </c>
      <c r="R338" s="79">
        <f>IF(Q338="","",IF(H338="High",1,IF(Q338="","",IF(Q338&lt;AsOf,1,IF(Q338&lt;=AsOf+AlertDays,2,IF(Q338&lt;=AsOf+2*AlertDays,3,""))))))</f>
        <v/>
      </c>
      <c r="S338" s="79">
        <f>IF(R338="","",IF(H338="High","High-severity issue: ",IF(C338="Punch item","Punch item: ","Issue action due: "))&amp;F338&amp;IF(J338="",""," → "&amp;J338))</f>
        <v/>
      </c>
      <c r="T338" s="79">
        <f>IF(O338=1,IF(I338="",0,I338),0)</f>
        <v/>
      </c>
      <c r="U338" s="79">
        <f>IF(AND(O338=1,H338="High"),1,0)</f>
        <v/>
      </c>
      <c r="V338" s="79">
        <f>IF(AND(O338=1,C338="Punch item"),1,0)</f>
        <v/>
      </c>
    </row>
    <row r="339" ht="24" customHeight="1">
      <c r="B339" s="125" t="n">
        <v>332</v>
      </c>
      <c r="C339" s="72" t="n"/>
      <c r="D339" s="109" t="n"/>
      <c r="E339" s="72" t="n"/>
      <c r="F339" s="113" t="n"/>
      <c r="G339" s="72" t="n"/>
      <c r="H339" s="74" t="n"/>
      <c r="I339" s="73" t="n"/>
      <c r="J339" s="113" t="n"/>
      <c r="K339" s="109" t="n"/>
      <c r="L339" s="72" t="n"/>
      <c r="M339" s="109" t="n"/>
      <c r="N339" s="72" t="n"/>
      <c r="O339" s="79">
        <f>IF(AND(F339&lt;&gt;"",L339&lt;&gt;"Resolved"),1,0)</f>
        <v/>
      </c>
      <c r="P339" s="79">
        <f>IF(F339="","",IF(O339=0,0,IF(H339="High",2,1)))</f>
        <v/>
      </c>
      <c r="Q339" s="112">
        <f>IF(O339=1,IF(K339&lt;&gt;"",K339,IF(H339="High",AsOf,"")),"")</f>
        <v/>
      </c>
      <c r="R339" s="79">
        <f>IF(Q339="","",IF(H339="High",1,IF(Q339="","",IF(Q339&lt;AsOf,1,IF(Q339&lt;=AsOf+AlertDays,2,IF(Q339&lt;=AsOf+2*AlertDays,3,""))))))</f>
        <v/>
      </c>
      <c r="S339" s="79">
        <f>IF(R339="","",IF(H339="High","High-severity issue: ",IF(C339="Punch item","Punch item: ","Issue action due: "))&amp;F339&amp;IF(J339="",""," → "&amp;J339))</f>
        <v/>
      </c>
      <c r="T339" s="79">
        <f>IF(O339=1,IF(I339="",0,I339),0)</f>
        <v/>
      </c>
      <c r="U339" s="79">
        <f>IF(AND(O339=1,H339="High"),1,0)</f>
        <v/>
      </c>
      <c r="V339" s="79">
        <f>IF(AND(O339=1,C339="Punch item"),1,0)</f>
        <v/>
      </c>
    </row>
    <row r="340" ht="24" customHeight="1">
      <c r="B340" s="125" t="n">
        <v>333</v>
      </c>
      <c r="C340" s="72" t="n"/>
      <c r="D340" s="109" t="n"/>
      <c r="E340" s="72" t="n"/>
      <c r="F340" s="113" t="n"/>
      <c r="G340" s="72" t="n"/>
      <c r="H340" s="74" t="n"/>
      <c r="I340" s="73" t="n"/>
      <c r="J340" s="113" t="n"/>
      <c r="K340" s="109" t="n"/>
      <c r="L340" s="72" t="n"/>
      <c r="M340" s="109" t="n"/>
      <c r="N340" s="72" t="n"/>
      <c r="O340" s="79">
        <f>IF(AND(F340&lt;&gt;"",L340&lt;&gt;"Resolved"),1,0)</f>
        <v/>
      </c>
      <c r="P340" s="79">
        <f>IF(F340="","",IF(O340=0,0,IF(H340="High",2,1)))</f>
        <v/>
      </c>
      <c r="Q340" s="112">
        <f>IF(O340=1,IF(K340&lt;&gt;"",K340,IF(H340="High",AsOf,"")),"")</f>
        <v/>
      </c>
      <c r="R340" s="79">
        <f>IF(Q340="","",IF(H340="High",1,IF(Q340="","",IF(Q340&lt;AsOf,1,IF(Q340&lt;=AsOf+AlertDays,2,IF(Q340&lt;=AsOf+2*AlertDays,3,""))))))</f>
        <v/>
      </c>
      <c r="S340" s="79">
        <f>IF(R340="","",IF(H340="High","High-severity issue: ",IF(C340="Punch item","Punch item: ","Issue action due: "))&amp;F340&amp;IF(J340="",""," → "&amp;J340))</f>
        <v/>
      </c>
      <c r="T340" s="79">
        <f>IF(O340=1,IF(I340="",0,I340),0)</f>
        <v/>
      </c>
      <c r="U340" s="79">
        <f>IF(AND(O340=1,H340="High"),1,0)</f>
        <v/>
      </c>
      <c r="V340" s="79">
        <f>IF(AND(O340=1,C340="Punch item"),1,0)</f>
        <v/>
      </c>
    </row>
    <row r="341" ht="24" customHeight="1">
      <c r="B341" s="125" t="n">
        <v>334</v>
      </c>
      <c r="C341" s="72" t="n"/>
      <c r="D341" s="109" t="n"/>
      <c r="E341" s="72" t="n"/>
      <c r="F341" s="113" t="n"/>
      <c r="G341" s="72" t="n"/>
      <c r="H341" s="74" t="n"/>
      <c r="I341" s="73" t="n"/>
      <c r="J341" s="113" t="n"/>
      <c r="K341" s="109" t="n"/>
      <c r="L341" s="72" t="n"/>
      <c r="M341" s="109" t="n"/>
      <c r="N341" s="72" t="n"/>
      <c r="O341" s="79">
        <f>IF(AND(F341&lt;&gt;"",L341&lt;&gt;"Resolved"),1,0)</f>
        <v/>
      </c>
      <c r="P341" s="79">
        <f>IF(F341="","",IF(O341=0,0,IF(H341="High",2,1)))</f>
        <v/>
      </c>
      <c r="Q341" s="112">
        <f>IF(O341=1,IF(K341&lt;&gt;"",K341,IF(H341="High",AsOf,"")),"")</f>
        <v/>
      </c>
      <c r="R341" s="79">
        <f>IF(Q341="","",IF(H341="High",1,IF(Q341="","",IF(Q341&lt;AsOf,1,IF(Q341&lt;=AsOf+AlertDays,2,IF(Q341&lt;=AsOf+2*AlertDays,3,""))))))</f>
        <v/>
      </c>
      <c r="S341" s="79">
        <f>IF(R341="","",IF(H341="High","High-severity issue: ",IF(C341="Punch item","Punch item: ","Issue action due: "))&amp;F341&amp;IF(J341="",""," → "&amp;J341))</f>
        <v/>
      </c>
      <c r="T341" s="79">
        <f>IF(O341=1,IF(I341="",0,I341),0)</f>
        <v/>
      </c>
      <c r="U341" s="79">
        <f>IF(AND(O341=1,H341="High"),1,0)</f>
        <v/>
      </c>
      <c r="V341" s="79">
        <f>IF(AND(O341=1,C341="Punch item"),1,0)</f>
        <v/>
      </c>
    </row>
    <row r="342" ht="24" customHeight="1">
      <c r="B342" s="125" t="n">
        <v>335</v>
      </c>
      <c r="C342" s="72" t="n"/>
      <c r="D342" s="109" t="n"/>
      <c r="E342" s="72" t="n"/>
      <c r="F342" s="113" t="n"/>
      <c r="G342" s="72" t="n"/>
      <c r="H342" s="74" t="n"/>
      <c r="I342" s="73" t="n"/>
      <c r="J342" s="113" t="n"/>
      <c r="K342" s="109" t="n"/>
      <c r="L342" s="72" t="n"/>
      <c r="M342" s="109" t="n"/>
      <c r="N342" s="72" t="n"/>
      <c r="O342" s="79">
        <f>IF(AND(F342&lt;&gt;"",L342&lt;&gt;"Resolved"),1,0)</f>
        <v/>
      </c>
      <c r="P342" s="79">
        <f>IF(F342="","",IF(O342=0,0,IF(H342="High",2,1)))</f>
        <v/>
      </c>
      <c r="Q342" s="112">
        <f>IF(O342=1,IF(K342&lt;&gt;"",K342,IF(H342="High",AsOf,"")),"")</f>
        <v/>
      </c>
      <c r="R342" s="79">
        <f>IF(Q342="","",IF(H342="High",1,IF(Q342="","",IF(Q342&lt;AsOf,1,IF(Q342&lt;=AsOf+AlertDays,2,IF(Q342&lt;=AsOf+2*AlertDays,3,""))))))</f>
        <v/>
      </c>
      <c r="S342" s="79">
        <f>IF(R342="","",IF(H342="High","High-severity issue: ",IF(C342="Punch item","Punch item: ","Issue action due: "))&amp;F342&amp;IF(J342="",""," → "&amp;J342))</f>
        <v/>
      </c>
      <c r="T342" s="79">
        <f>IF(O342=1,IF(I342="",0,I342),0)</f>
        <v/>
      </c>
      <c r="U342" s="79">
        <f>IF(AND(O342=1,H342="High"),1,0)</f>
        <v/>
      </c>
      <c r="V342" s="79">
        <f>IF(AND(O342=1,C342="Punch item"),1,0)</f>
        <v/>
      </c>
    </row>
    <row r="343" ht="24" customHeight="1">
      <c r="B343" s="125" t="n">
        <v>336</v>
      </c>
      <c r="C343" s="72" t="n"/>
      <c r="D343" s="109" t="n"/>
      <c r="E343" s="72" t="n"/>
      <c r="F343" s="113" t="n"/>
      <c r="G343" s="72" t="n"/>
      <c r="H343" s="74" t="n"/>
      <c r="I343" s="73" t="n"/>
      <c r="J343" s="113" t="n"/>
      <c r="K343" s="109" t="n"/>
      <c r="L343" s="72" t="n"/>
      <c r="M343" s="109" t="n"/>
      <c r="N343" s="72" t="n"/>
      <c r="O343" s="79">
        <f>IF(AND(F343&lt;&gt;"",L343&lt;&gt;"Resolved"),1,0)</f>
        <v/>
      </c>
      <c r="P343" s="79">
        <f>IF(F343="","",IF(O343=0,0,IF(H343="High",2,1)))</f>
        <v/>
      </c>
      <c r="Q343" s="112">
        <f>IF(O343=1,IF(K343&lt;&gt;"",K343,IF(H343="High",AsOf,"")),"")</f>
        <v/>
      </c>
      <c r="R343" s="79">
        <f>IF(Q343="","",IF(H343="High",1,IF(Q343="","",IF(Q343&lt;AsOf,1,IF(Q343&lt;=AsOf+AlertDays,2,IF(Q343&lt;=AsOf+2*AlertDays,3,""))))))</f>
        <v/>
      </c>
      <c r="S343" s="79">
        <f>IF(R343="","",IF(H343="High","High-severity issue: ",IF(C343="Punch item","Punch item: ","Issue action due: "))&amp;F343&amp;IF(J343="",""," → "&amp;J343))</f>
        <v/>
      </c>
      <c r="T343" s="79">
        <f>IF(O343=1,IF(I343="",0,I343),0)</f>
        <v/>
      </c>
      <c r="U343" s="79">
        <f>IF(AND(O343=1,H343="High"),1,0)</f>
        <v/>
      </c>
      <c r="V343" s="79">
        <f>IF(AND(O343=1,C343="Punch item"),1,0)</f>
        <v/>
      </c>
    </row>
    <row r="344" ht="24" customHeight="1">
      <c r="B344" s="125" t="n">
        <v>337</v>
      </c>
      <c r="C344" s="72" t="n"/>
      <c r="D344" s="109" t="n"/>
      <c r="E344" s="72" t="n"/>
      <c r="F344" s="113" t="n"/>
      <c r="G344" s="72" t="n"/>
      <c r="H344" s="74" t="n"/>
      <c r="I344" s="73" t="n"/>
      <c r="J344" s="113" t="n"/>
      <c r="K344" s="109" t="n"/>
      <c r="L344" s="72" t="n"/>
      <c r="M344" s="109" t="n"/>
      <c r="N344" s="72" t="n"/>
      <c r="O344" s="79">
        <f>IF(AND(F344&lt;&gt;"",L344&lt;&gt;"Resolved"),1,0)</f>
        <v/>
      </c>
      <c r="P344" s="79">
        <f>IF(F344="","",IF(O344=0,0,IF(H344="High",2,1)))</f>
        <v/>
      </c>
      <c r="Q344" s="112">
        <f>IF(O344=1,IF(K344&lt;&gt;"",K344,IF(H344="High",AsOf,"")),"")</f>
        <v/>
      </c>
      <c r="R344" s="79">
        <f>IF(Q344="","",IF(H344="High",1,IF(Q344="","",IF(Q344&lt;AsOf,1,IF(Q344&lt;=AsOf+AlertDays,2,IF(Q344&lt;=AsOf+2*AlertDays,3,""))))))</f>
        <v/>
      </c>
      <c r="S344" s="79">
        <f>IF(R344="","",IF(H344="High","High-severity issue: ",IF(C344="Punch item","Punch item: ","Issue action due: "))&amp;F344&amp;IF(J344="",""," → "&amp;J344))</f>
        <v/>
      </c>
      <c r="T344" s="79">
        <f>IF(O344=1,IF(I344="",0,I344),0)</f>
        <v/>
      </c>
      <c r="U344" s="79">
        <f>IF(AND(O344=1,H344="High"),1,0)</f>
        <v/>
      </c>
      <c r="V344" s="79">
        <f>IF(AND(O344=1,C344="Punch item"),1,0)</f>
        <v/>
      </c>
    </row>
    <row r="345" ht="24" customHeight="1">
      <c r="B345" s="125" t="n">
        <v>338</v>
      </c>
      <c r="C345" s="72" t="n"/>
      <c r="D345" s="109" t="n"/>
      <c r="E345" s="72" t="n"/>
      <c r="F345" s="113" t="n"/>
      <c r="G345" s="72" t="n"/>
      <c r="H345" s="74" t="n"/>
      <c r="I345" s="73" t="n"/>
      <c r="J345" s="113" t="n"/>
      <c r="K345" s="109" t="n"/>
      <c r="L345" s="72" t="n"/>
      <c r="M345" s="109" t="n"/>
      <c r="N345" s="72" t="n"/>
      <c r="O345" s="79">
        <f>IF(AND(F345&lt;&gt;"",L345&lt;&gt;"Resolved"),1,0)</f>
        <v/>
      </c>
      <c r="P345" s="79">
        <f>IF(F345="","",IF(O345=0,0,IF(H345="High",2,1)))</f>
        <v/>
      </c>
      <c r="Q345" s="112">
        <f>IF(O345=1,IF(K345&lt;&gt;"",K345,IF(H345="High",AsOf,"")),"")</f>
        <v/>
      </c>
      <c r="R345" s="79">
        <f>IF(Q345="","",IF(H345="High",1,IF(Q345="","",IF(Q345&lt;AsOf,1,IF(Q345&lt;=AsOf+AlertDays,2,IF(Q345&lt;=AsOf+2*AlertDays,3,""))))))</f>
        <v/>
      </c>
      <c r="S345" s="79">
        <f>IF(R345="","",IF(H345="High","High-severity issue: ",IF(C345="Punch item","Punch item: ","Issue action due: "))&amp;F345&amp;IF(J345="",""," → "&amp;J345))</f>
        <v/>
      </c>
      <c r="T345" s="79">
        <f>IF(O345=1,IF(I345="",0,I345),0)</f>
        <v/>
      </c>
      <c r="U345" s="79">
        <f>IF(AND(O345=1,H345="High"),1,0)</f>
        <v/>
      </c>
      <c r="V345" s="79">
        <f>IF(AND(O345=1,C345="Punch item"),1,0)</f>
        <v/>
      </c>
    </row>
    <row r="346" ht="24" customHeight="1">
      <c r="B346" s="125" t="n">
        <v>339</v>
      </c>
      <c r="C346" s="72" t="n"/>
      <c r="D346" s="109" t="n"/>
      <c r="E346" s="72" t="n"/>
      <c r="F346" s="113" t="n"/>
      <c r="G346" s="72" t="n"/>
      <c r="H346" s="74" t="n"/>
      <c r="I346" s="73" t="n"/>
      <c r="J346" s="113" t="n"/>
      <c r="K346" s="109" t="n"/>
      <c r="L346" s="72" t="n"/>
      <c r="M346" s="109" t="n"/>
      <c r="N346" s="72" t="n"/>
      <c r="O346" s="79">
        <f>IF(AND(F346&lt;&gt;"",L346&lt;&gt;"Resolved"),1,0)</f>
        <v/>
      </c>
      <c r="P346" s="79">
        <f>IF(F346="","",IF(O346=0,0,IF(H346="High",2,1)))</f>
        <v/>
      </c>
      <c r="Q346" s="112">
        <f>IF(O346=1,IF(K346&lt;&gt;"",K346,IF(H346="High",AsOf,"")),"")</f>
        <v/>
      </c>
      <c r="R346" s="79">
        <f>IF(Q346="","",IF(H346="High",1,IF(Q346="","",IF(Q346&lt;AsOf,1,IF(Q346&lt;=AsOf+AlertDays,2,IF(Q346&lt;=AsOf+2*AlertDays,3,""))))))</f>
        <v/>
      </c>
      <c r="S346" s="79">
        <f>IF(R346="","",IF(H346="High","High-severity issue: ",IF(C346="Punch item","Punch item: ","Issue action due: "))&amp;F346&amp;IF(J346="",""," → "&amp;J346))</f>
        <v/>
      </c>
      <c r="T346" s="79">
        <f>IF(O346=1,IF(I346="",0,I346),0)</f>
        <v/>
      </c>
      <c r="U346" s="79">
        <f>IF(AND(O346=1,H346="High"),1,0)</f>
        <v/>
      </c>
      <c r="V346" s="79">
        <f>IF(AND(O346=1,C346="Punch item"),1,0)</f>
        <v/>
      </c>
    </row>
    <row r="347" ht="24" customHeight="1">
      <c r="B347" s="125" t="n">
        <v>340</v>
      </c>
      <c r="C347" s="72" t="n"/>
      <c r="D347" s="109" t="n"/>
      <c r="E347" s="72" t="n"/>
      <c r="F347" s="113" t="n"/>
      <c r="G347" s="72" t="n"/>
      <c r="H347" s="74" t="n"/>
      <c r="I347" s="73" t="n"/>
      <c r="J347" s="113" t="n"/>
      <c r="K347" s="109" t="n"/>
      <c r="L347" s="72" t="n"/>
      <c r="M347" s="109" t="n"/>
      <c r="N347" s="72" t="n"/>
      <c r="O347" s="79">
        <f>IF(AND(F347&lt;&gt;"",L347&lt;&gt;"Resolved"),1,0)</f>
        <v/>
      </c>
      <c r="P347" s="79">
        <f>IF(F347="","",IF(O347=0,0,IF(H347="High",2,1)))</f>
        <v/>
      </c>
      <c r="Q347" s="112">
        <f>IF(O347=1,IF(K347&lt;&gt;"",K347,IF(H347="High",AsOf,"")),"")</f>
        <v/>
      </c>
      <c r="R347" s="79">
        <f>IF(Q347="","",IF(H347="High",1,IF(Q347="","",IF(Q347&lt;AsOf,1,IF(Q347&lt;=AsOf+AlertDays,2,IF(Q347&lt;=AsOf+2*AlertDays,3,""))))))</f>
        <v/>
      </c>
      <c r="S347" s="79">
        <f>IF(R347="","",IF(H347="High","High-severity issue: ",IF(C347="Punch item","Punch item: ","Issue action due: "))&amp;F347&amp;IF(J347="",""," → "&amp;J347))</f>
        <v/>
      </c>
      <c r="T347" s="79">
        <f>IF(O347=1,IF(I347="",0,I347),0)</f>
        <v/>
      </c>
      <c r="U347" s="79">
        <f>IF(AND(O347=1,H347="High"),1,0)</f>
        <v/>
      </c>
      <c r="V347" s="79">
        <f>IF(AND(O347=1,C347="Punch item"),1,0)</f>
        <v/>
      </c>
    </row>
    <row r="348" ht="24" customHeight="1">
      <c r="B348" s="125" t="n">
        <v>341</v>
      </c>
      <c r="C348" s="72" t="n"/>
      <c r="D348" s="109" t="n"/>
      <c r="E348" s="72" t="n"/>
      <c r="F348" s="113" t="n"/>
      <c r="G348" s="72" t="n"/>
      <c r="H348" s="74" t="n"/>
      <c r="I348" s="73" t="n"/>
      <c r="J348" s="113" t="n"/>
      <c r="K348" s="109" t="n"/>
      <c r="L348" s="72" t="n"/>
      <c r="M348" s="109" t="n"/>
      <c r="N348" s="72" t="n"/>
      <c r="O348" s="79">
        <f>IF(AND(F348&lt;&gt;"",L348&lt;&gt;"Resolved"),1,0)</f>
        <v/>
      </c>
      <c r="P348" s="79">
        <f>IF(F348="","",IF(O348=0,0,IF(H348="High",2,1)))</f>
        <v/>
      </c>
      <c r="Q348" s="112">
        <f>IF(O348=1,IF(K348&lt;&gt;"",K348,IF(H348="High",AsOf,"")),"")</f>
        <v/>
      </c>
      <c r="R348" s="79">
        <f>IF(Q348="","",IF(H348="High",1,IF(Q348="","",IF(Q348&lt;AsOf,1,IF(Q348&lt;=AsOf+AlertDays,2,IF(Q348&lt;=AsOf+2*AlertDays,3,""))))))</f>
        <v/>
      </c>
      <c r="S348" s="79">
        <f>IF(R348="","",IF(H348="High","High-severity issue: ",IF(C348="Punch item","Punch item: ","Issue action due: "))&amp;F348&amp;IF(J348="",""," → "&amp;J348))</f>
        <v/>
      </c>
      <c r="T348" s="79">
        <f>IF(O348=1,IF(I348="",0,I348),0)</f>
        <v/>
      </c>
      <c r="U348" s="79">
        <f>IF(AND(O348=1,H348="High"),1,0)</f>
        <v/>
      </c>
      <c r="V348" s="79">
        <f>IF(AND(O348=1,C348="Punch item"),1,0)</f>
        <v/>
      </c>
    </row>
    <row r="349" ht="24" customHeight="1">
      <c r="B349" s="125" t="n">
        <v>342</v>
      </c>
      <c r="C349" s="72" t="n"/>
      <c r="D349" s="109" t="n"/>
      <c r="E349" s="72" t="n"/>
      <c r="F349" s="113" t="n"/>
      <c r="G349" s="72" t="n"/>
      <c r="H349" s="74" t="n"/>
      <c r="I349" s="73" t="n"/>
      <c r="J349" s="113" t="n"/>
      <c r="K349" s="109" t="n"/>
      <c r="L349" s="72" t="n"/>
      <c r="M349" s="109" t="n"/>
      <c r="N349" s="72" t="n"/>
      <c r="O349" s="79">
        <f>IF(AND(F349&lt;&gt;"",L349&lt;&gt;"Resolved"),1,0)</f>
        <v/>
      </c>
      <c r="P349" s="79">
        <f>IF(F349="","",IF(O349=0,0,IF(H349="High",2,1)))</f>
        <v/>
      </c>
      <c r="Q349" s="112">
        <f>IF(O349=1,IF(K349&lt;&gt;"",K349,IF(H349="High",AsOf,"")),"")</f>
        <v/>
      </c>
      <c r="R349" s="79">
        <f>IF(Q349="","",IF(H349="High",1,IF(Q349="","",IF(Q349&lt;AsOf,1,IF(Q349&lt;=AsOf+AlertDays,2,IF(Q349&lt;=AsOf+2*AlertDays,3,""))))))</f>
        <v/>
      </c>
      <c r="S349" s="79">
        <f>IF(R349="","",IF(H349="High","High-severity issue: ",IF(C349="Punch item","Punch item: ","Issue action due: "))&amp;F349&amp;IF(J349="",""," → "&amp;J349))</f>
        <v/>
      </c>
      <c r="T349" s="79">
        <f>IF(O349=1,IF(I349="",0,I349),0)</f>
        <v/>
      </c>
      <c r="U349" s="79">
        <f>IF(AND(O349=1,H349="High"),1,0)</f>
        <v/>
      </c>
      <c r="V349" s="79">
        <f>IF(AND(O349=1,C349="Punch item"),1,0)</f>
        <v/>
      </c>
    </row>
    <row r="350" ht="24" customHeight="1">
      <c r="B350" s="125" t="n">
        <v>343</v>
      </c>
      <c r="C350" s="72" t="n"/>
      <c r="D350" s="109" t="n"/>
      <c r="E350" s="72" t="n"/>
      <c r="F350" s="113" t="n"/>
      <c r="G350" s="72" t="n"/>
      <c r="H350" s="74" t="n"/>
      <c r="I350" s="73" t="n"/>
      <c r="J350" s="113" t="n"/>
      <c r="K350" s="109" t="n"/>
      <c r="L350" s="72" t="n"/>
      <c r="M350" s="109" t="n"/>
      <c r="N350" s="72" t="n"/>
      <c r="O350" s="79">
        <f>IF(AND(F350&lt;&gt;"",L350&lt;&gt;"Resolved"),1,0)</f>
        <v/>
      </c>
      <c r="P350" s="79">
        <f>IF(F350="","",IF(O350=0,0,IF(H350="High",2,1)))</f>
        <v/>
      </c>
      <c r="Q350" s="112">
        <f>IF(O350=1,IF(K350&lt;&gt;"",K350,IF(H350="High",AsOf,"")),"")</f>
        <v/>
      </c>
      <c r="R350" s="79">
        <f>IF(Q350="","",IF(H350="High",1,IF(Q350="","",IF(Q350&lt;AsOf,1,IF(Q350&lt;=AsOf+AlertDays,2,IF(Q350&lt;=AsOf+2*AlertDays,3,""))))))</f>
        <v/>
      </c>
      <c r="S350" s="79">
        <f>IF(R350="","",IF(H350="High","High-severity issue: ",IF(C350="Punch item","Punch item: ","Issue action due: "))&amp;F350&amp;IF(J350="",""," → "&amp;J350))</f>
        <v/>
      </c>
      <c r="T350" s="79">
        <f>IF(O350=1,IF(I350="",0,I350),0)</f>
        <v/>
      </c>
      <c r="U350" s="79">
        <f>IF(AND(O350=1,H350="High"),1,0)</f>
        <v/>
      </c>
      <c r="V350" s="79">
        <f>IF(AND(O350=1,C350="Punch item"),1,0)</f>
        <v/>
      </c>
    </row>
    <row r="351" ht="24" customHeight="1">
      <c r="B351" s="125" t="n">
        <v>344</v>
      </c>
      <c r="C351" s="72" t="n"/>
      <c r="D351" s="109" t="n"/>
      <c r="E351" s="72" t="n"/>
      <c r="F351" s="113" t="n"/>
      <c r="G351" s="72" t="n"/>
      <c r="H351" s="74" t="n"/>
      <c r="I351" s="73" t="n"/>
      <c r="J351" s="113" t="n"/>
      <c r="K351" s="109" t="n"/>
      <c r="L351" s="72" t="n"/>
      <c r="M351" s="109" t="n"/>
      <c r="N351" s="72" t="n"/>
      <c r="O351" s="79">
        <f>IF(AND(F351&lt;&gt;"",L351&lt;&gt;"Resolved"),1,0)</f>
        <v/>
      </c>
      <c r="P351" s="79">
        <f>IF(F351="","",IF(O351=0,0,IF(H351="High",2,1)))</f>
        <v/>
      </c>
      <c r="Q351" s="112">
        <f>IF(O351=1,IF(K351&lt;&gt;"",K351,IF(H351="High",AsOf,"")),"")</f>
        <v/>
      </c>
      <c r="R351" s="79">
        <f>IF(Q351="","",IF(H351="High",1,IF(Q351="","",IF(Q351&lt;AsOf,1,IF(Q351&lt;=AsOf+AlertDays,2,IF(Q351&lt;=AsOf+2*AlertDays,3,""))))))</f>
        <v/>
      </c>
      <c r="S351" s="79">
        <f>IF(R351="","",IF(H351="High","High-severity issue: ",IF(C351="Punch item","Punch item: ","Issue action due: "))&amp;F351&amp;IF(J351="",""," → "&amp;J351))</f>
        <v/>
      </c>
      <c r="T351" s="79">
        <f>IF(O351=1,IF(I351="",0,I351),0)</f>
        <v/>
      </c>
      <c r="U351" s="79">
        <f>IF(AND(O351=1,H351="High"),1,0)</f>
        <v/>
      </c>
      <c r="V351" s="79">
        <f>IF(AND(O351=1,C351="Punch item"),1,0)</f>
        <v/>
      </c>
    </row>
    <row r="352" ht="24" customHeight="1">
      <c r="B352" s="125" t="n">
        <v>345</v>
      </c>
      <c r="C352" s="72" t="n"/>
      <c r="D352" s="109" t="n"/>
      <c r="E352" s="72" t="n"/>
      <c r="F352" s="113" t="n"/>
      <c r="G352" s="72" t="n"/>
      <c r="H352" s="74" t="n"/>
      <c r="I352" s="73" t="n"/>
      <c r="J352" s="113" t="n"/>
      <c r="K352" s="109" t="n"/>
      <c r="L352" s="72" t="n"/>
      <c r="M352" s="109" t="n"/>
      <c r="N352" s="72" t="n"/>
      <c r="O352" s="79">
        <f>IF(AND(F352&lt;&gt;"",L352&lt;&gt;"Resolved"),1,0)</f>
        <v/>
      </c>
      <c r="P352" s="79">
        <f>IF(F352="","",IF(O352=0,0,IF(H352="High",2,1)))</f>
        <v/>
      </c>
      <c r="Q352" s="112">
        <f>IF(O352=1,IF(K352&lt;&gt;"",K352,IF(H352="High",AsOf,"")),"")</f>
        <v/>
      </c>
      <c r="R352" s="79">
        <f>IF(Q352="","",IF(H352="High",1,IF(Q352="","",IF(Q352&lt;AsOf,1,IF(Q352&lt;=AsOf+AlertDays,2,IF(Q352&lt;=AsOf+2*AlertDays,3,""))))))</f>
        <v/>
      </c>
      <c r="S352" s="79">
        <f>IF(R352="","",IF(H352="High","High-severity issue: ",IF(C352="Punch item","Punch item: ","Issue action due: "))&amp;F352&amp;IF(J352="",""," → "&amp;J352))</f>
        <v/>
      </c>
      <c r="T352" s="79">
        <f>IF(O352=1,IF(I352="",0,I352),0)</f>
        <v/>
      </c>
      <c r="U352" s="79">
        <f>IF(AND(O352=1,H352="High"),1,0)</f>
        <v/>
      </c>
      <c r="V352" s="79">
        <f>IF(AND(O352=1,C352="Punch item"),1,0)</f>
        <v/>
      </c>
    </row>
    <row r="353" ht="24" customHeight="1">
      <c r="B353" s="125" t="n">
        <v>346</v>
      </c>
      <c r="C353" s="72" t="n"/>
      <c r="D353" s="109" t="n"/>
      <c r="E353" s="72" t="n"/>
      <c r="F353" s="113" t="n"/>
      <c r="G353" s="72" t="n"/>
      <c r="H353" s="74" t="n"/>
      <c r="I353" s="73" t="n"/>
      <c r="J353" s="113" t="n"/>
      <c r="K353" s="109" t="n"/>
      <c r="L353" s="72" t="n"/>
      <c r="M353" s="109" t="n"/>
      <c r="N353" s="72" t="n"/>
      <c r="O353" s="79">
        <f>IF(AND(F353&lt;&gt;"",L353&lt;&gt;"Resolved"),1,0)</f>
        <v/>
      </c>
      <c r="P353" s="79">
        <f>IF(F353="","",IF(O353=0,0,IF(H353="High",2,1)))</f>
        <v/>
      </c>
      <c r="Q353" s="112">
        <f>IF(O353=1,IF(K353&lt;&gt;"",K353,IF(H353="High",AsOf,"")),"")</f>
        <v/>
      </c>
      <c r="R353" s="79">
        <f>IF(Q353="","",IF(H353="High",1,IF(Q353="","",IF(Q353&lt;AsOf,1,IF(Q353&lt;=AsOf+AlertDays,2,IF(Q353&lt;=AsOf+2*AlertDays,3,""))))))</f>
        <v/>
      </c>
      <c r="S353" s="79">
        <f>IF(R353="","",IF(H353="High","High-severity issue: ",IF(C353="Punch item","Punch item: ","Issue action due: "))&amp;F353&amp;IF(J353="",""," → "&amp;J353))</f>
        <v/>
      </c>
      <c r="T353" s="79">
        <f>IF(O353=1,IF(I353="",0,I353),0)</f>
        <v/>
      </c>
      <c r="U353" s="79">
        <f>IF(AND(O353=1,H353="High"),1,0)</f>
        <v/>
      </c>
      <c r="V353" s="79">
        <f>IF(AND(O353=1,C353="Punch item"),1,0)</f>
        <v/>
      </c>
    </row>
    <row r="354" ht="24" customHeight="1">
      <c r="B354" s="125" t="n">
        <v>347</v>
      </c>
      <c r="C354" s="72" t="n"/>
      <c r="D354" s="109" t="n"/>
      <c r="E354" s="72" t="n"/>
      <c r="F354" s="113" t="n"/>
      <c r="G354" s="72" t="n"/>
      <c r="H354" s="74" t="n"/>
      <c r="I354" s="73" t="n"/>
      <c r="J354" s="113" t="n"/>
      <c r="K354" s="109" t="n"/>
      <c r="L354" s="72" t="n"/>
      <c r="M354" s="109" t="n"/>
      <c r="N354" s="72" t="n"/>
      <c r="O354" s="79">
        <f>IF(AND(F354&lt;&gt;"",L354&lt;&gt;"Resolved"),1,0)</f>
        <v/>
      </c>
      <c r="P354" s="79">
        <f>IF(F354="","",IF(O354=0,0,IF(H354="High",2,1)))</f>
        <v/>
      </c>
      <c r="Q354" s="112">
        <f>IF(O354=1,IF(K354&lt;&gt;"",K354,IF(H354="High",AsOf,"")),"")</f>
        <v/>
      </c>
      <c r="R354" s="79">
        <f>IF(Q354="","",IF(H354="High",1,IF(Q354="","",IF(Q354&lt;AsOf,1,IF(Q354&lt;=AsOf+AlertDays,2,IF(Q354&lt;=AsOf+2*AlertDays,3,""))))))</f>
        <v/>
      </c>
      <c r="S354" s="79">
        <f>IF(R354="","",IF(H354="High","High-severity issue: ",IF(C354="Punch item","Punch item: ","Issue action due: "))&amp;F354&amp;IF(J354="",""," → "&amp;J354))</f>
        <v/>
      </c>
      <c r="T354" s="79">
        <f>IF(O354=1,IF(I354="",0,I354),0)</f>
        <v/>
      </c>
      <c r="U354" s="79">
        <f>IF(AND(O354=1,H354="High"),1,0)</f>
        <v/>
      </c>
      <c r="V354" s="79">
        <f>IF(AND(O354=1,C354="Punch item"),1,0)</f>
        <v/>
      </c>
    </row>
    <row r="355" ht="24" customHeight="1">
      <c r="B355" s="125" t="n">
        <v>348</v>
      </c>
      <c r="C355" s="72" t="n"/>
      <c r="D355" s="109" t="n"/>
      <c r="E355" s="72" t="n"/>
      <c r="F355" s="113" t="n"/>
      <c r="G355" s="72" t="n"/>
      <c r="H355" s="74" t="n"/>
      <c r="I355" s="73" t="n"/>
      <c r="J355" s="113" t="n"/>
      <c r="K355" s="109" t="n"/>
      <c r="L355" s="72" t="n"/>
      <c r="M355" s="109" t="n"/>
      <c r="N355" s="72" t="n"/>
      <c r="O355" s="79">
        <f>IF(AND(F355&lt;&gt;"",L355&lt;&gt;"Resolved"),1,0)</f>
        <v/>
      </c>
      <c r="P355" s="79">
        <f>IF(F355="","",IF(O355=0,0,IF(H355="High",2,1)))</f>
        <v/>
      </c>
      <c r="Q355" s="112">
        <f>IF(O355=1,IF(K355&lt;&gt;"",K355,IF(H355="High",AsOf,"")),"")</f>
        <v/>
      </c>
      <c r="R355" s="79">
        <f>IF(Q355="","",IF(H355="High",1,IF(Q355="","",IF(Q355&lt;AsOf,1,IF(Q355&lt;=AsOf+AlertDays,2,IF(Q355&lt;=AsOf+2*AlertDays,3,""))))))</f>
        <v/>
      </c>
      <c r="S355" s="79">
        <f>IF(R355="","",IF(H355="High","High-severity issue: ",IF(C355="Punch item","Punch item: ","Issue action due: "))&amp;F355&amp;IF(J355="",""," → "&amp;J355))</f>
        <v/>
      </c>
      <c r="T355" s="79">
        <f>IF(O355=1,IF(I355="",0,I355),0)</f>
        <v/>
      </c>
      <c r="U355" s="79">
        <f>IF(AND(O355=1,H355="High"),1,0)</f>
        <v/>
      </c>
      <c r="V355" s="79">
        <f>IF(AND(O355=1,C355="Punch item"),1,0)</f>
        <v/>
      </c>
    </row>
    <row r="356" ht="24" customHeight="1">
      <c r="B356" s="125" t="n">
        <v>349</v>
      </c>
      <c r="C356" s="72" t="n"/>
      <c r="D356" s="109" t="n"/>
      <c r="E356" s="72" t="n"/>
      <c r="F356" s="113" t="n"/>
      <c r="G356" s="72" t="n"/>
      <c r="H356" s="74" t="n"/>
      <c r="I356" s="73" t="n"/>
      <c r="J356" s="113" t="n"/>
      <c r="K356" s="109" t="n"/>
      <c r="L356" s="72" t="n"/>
      <c r="M356" s="109" t="n"/>
      <c r="N356" s="72" t="n"/>
      <c r="O356" s="79">
        <f>IF(AND(F356&lt;&gt;"",L356&lt;&gt;"Resolved"),1,0)</f>
        <v/>
      </c>
      <c r="P356" s="79">
        <f>IF(F356="","",IF(O356=0,0,IF(H356="High",2,1)))</f>
        <v/>
      </c>
      <c r="Q356" s="112">
        <f>IF(O356=1,IF(K356&lt;&gt;"",K356,IF(H356="High",AsOf,"")),"")</f>
        <v/>
      </c>
      <c r="R356" s="79">
        <f>IF(Q356="","",IF(H356="High",1,IF(Q356="","",IF(Q356&lt;AsOf,1,IF(Q356&lt;=AsOf+AlertDays,2,IF(Q356&lt;=AsOf+2*AlertDays,3,""))))))</f>
        <v/>
      </c>
      <c r="S356" s="79">
        <f>IF(R356="","",IF(H356="High","High-severity issue: ",IF(C356="Punch item","Punch item: ","Issue action due: "))&amp;F356&amp;IF(J356="",""," → "&amp;J356))</f>
        <v/>
      </c>
      <c r="T356" s="79">
        <f>IF(O356=1,IF(I356="",0,I356),0)</f>
        <v/>
      </c>
      <c r="U356" s="79">
        <f>IF(AND(O356=1,H356="High"),1,0)</f>
        <v/>
      </c>
      <c r="V356" s="79">
        <f>IF(AND(O356=1,C356="Punch item"),1,0)</f>
        <v/>
      </c>
    </row>
    <row r="357" ht="24" customHeight="1">
      <c r="B357" s="125" t="n">
        <v>350</v>
      </c>
      <c r="C357" s="72" t="n"/>
      <c r="D357" s="109" t="n"/>
      <c r="E357" s="72" t="n"/>
      <c r="F357" s="113" t="n"/>
      <c r="G357" s="72" t="n"/>
      <c r="H357" s="74" t="n"/>
      <c r="I357" s="73" t="n"/>
      <c r="J357" s="113" t="n"/>
      <c r="K357" s="109" t="n"/>
      <c r="L357" s="72" t="n"/>
      <c r="M357" s="109" t="n"/>
      <c r="N357" s="72" t="n"/>
      <c r="O357" s="79">
        <f>IF(AND(F357&lt;&gt;"",L357&lt;&gt;"Resolved"),1,0)</f>
        <v/>
      </c>
      <c r="P357" s="79">
        <f>IF(F357="","",IF(O357=0,0,IF(H357="High",2,1)))</f>
        <v/>
      </c>
      <c r="Q357" s="112">
        <f>IF(O357=1,IF(K357&lt;&gt;"",K357,IF(H357="High",AsOf,"")),"")</f>
        <v/>
      </c>
      <c r="R357" s="79">
        <f>IF(Q357="","",IF(H357="High",1,IF(Q357="","",IF(Q357&lt;AsOf,1,IF(Q357&lt;=AsOf+AlertDays,2,IF(Q357&lt;=AsOf+2*AlertDays,3,""))))))</f>
        <v/>
      </c>
      <c r="S357" s="79">
        <f>IF(R357="","",IF(H357="High","High-severity issue: ",IF(C357="Punch item","Punch item: ","Issue action due: "))&amp;F357&amp;IF(J357="",""," → "&amp;J357))</f>
        <v/>
      </c>
      <c r="T357" s="79">
        <f>IF(O357=1,IF(I357="",0,I357),0)</f>
        <v/>
      </c>
      <c r="U357" s="79">
        <f>IF(AND(O357=1,H357="High"),1,0)</f>
        <v/>
      </c>
      <c r="V357" s="79">
        <f>IF(AND(O357=1,C357="Punch item"),1,0)</f>
        <v/>
      </c>
    </row>
    <row r="358" ht="24" customHeight="1">
      <c r="B358" s="125" t="n">
        <v>351</v>
      </c>
      <c r="C358" s="72" t="n"/>
      <c r="D358" s="109" t="n"/>
      <c r="E358" s="72" t="n"/>
      <c r="F358" s="113" t="n"/>
      <c r="G358" s="72" t="n"/>
      <c r="H358" s="74" t="n"/>
      <c r="I358" s="73" t="n"/>
      <c r="J358" s="113" t="n"/>
      <c r="K358" s="109" t="n"/>
      <c r="L358" s="72" t="n"/>
      <c r="M358" s="109" t="n"/>
      <c r="N358" s="72" t="n"/>
      <c r="O358" s="79">
        <f>IF(AND(F358&lt;&gt;"",L358&lt;&gt;"Resolved"),1,0)</f>
        <v/>
      </c>
      <c r="P358" s="79">
        <f>IF(F358="","",IF(O358=0,0,IF(H358="High",2,1)))</f>
        <v/>
      </c>
      <c r="Q358" s="112">
        <f>IF(O358=1,IF(K358&lt;&gt;"",K358,IF(H358="High",AsOf,"")),"")</f>
        <v/>
      </c>
      <c r="R358" s="79">
        <f>IF(Q358="","",IF(H358="High",1,IF(Q358="","",IF(Q358&lt;AsOf,1,IF(Q358&lt;=AsOf+AlertDays,2,IF(Q358&lt;=AsOf+2*AlertDays,3,""))))))</f>
        <v/>
      </c>
      <c r="S358" s="79">
        <f>IF(R358="","",IF(H358="High","High-severity issue: ",IF(C358="Punch item","Punch item: ","Issue action due: "))&amp;F358&amp;IF(J358="",""," → "&amp;J358))</f>
        <v/>
      </c>
      <c r="T358" s="79">
        <f>IF(O358=1,IF(I358="",0,I358),0)</f>
        <v/>
      </c>
      <c r="U358" s="79">
        <f>IF(AND(O358=1,H358="High"),1,0)</f>
        <v/>
      </c>
      <c r="V358" s="79">
        <f>IF(AND(O358=1,C358="Punch item"),1,0)</f>
        <v/>
      </c>
    </row>
    <row r="359" ht="24" customHeight="1">
      <c r="B359" s="125" t="n">
        <v>352</v>
      </c>
      <c r="C359" s="72" t="n"/>
      <c r="D359" s="109" t="n"/>
      <c r="E359" s="72" t="n"/>
      <c r="F359" s="113" t="n"/>
      <c r="G359" s="72" t="n"/>
      <c r="H359" s="74" t="n"/>
      <c r="I359" s="73" t="n"/>
      <c r="J359" s="113" t="n"/>
      <c r="K359" s="109" t="n"/>
      <c r="L359" s="72" t="n"/>
      <c r="M359" s="109" t="n"/>
      <c r="N359" s="72" t="n"/>
      <c r="O359" s="79">
        <f>IF(AND(F359&lt;&gt;"",L359&lt;&gt;"Resolved"),1,0)</f>
        <v/>
      </c>
      <c r="P359" s="79">
        <f>IF(F359="","",IF(O359=0,0,IF(H359="High",2,1)))</f>
        <v/>
      </c>
      <c r="Q359" s="112">
        <f>IF(O359=1,IF(K359&lt;&gt;"",K359,IF(H359="High",AsOf,"")),"")</f>
        <v/>
      </c>
      <c r="R359" s="79">
        <f>IF(Q359="","",IF(H359="High",1,IF(Q359="","",IF(Q359&lt;AsOf,1,IF(Q359&lt;=AsOf+AlertDays,2,IF(Q359&lt;=AsOf+2*AlertDays,3,""))))))</f>
        <v/>
      </c>
      <c r="S359" s="79">
        <f>IF(R359="","",IF(H359="High","High-severity issue: ",IF(C359="Punch item","Punch item: ","Issue action due: "))&amp;F359&amp;IF(J359="",""," → "&amp;J359))</f>
        <v/>
      </c>
      <c r="T359" s="79">
        <f>IF(O359=1,IF(I359="",0,I359),0)</f>
        <v/>
      </c>
      <c r="U359" s="79">
        <f>IF(AND(O359=1,H359="High"),1,0)</f>
        <v/>
      </c>
      <c r="V359" s="79">
        <f>IF(AND(O359=1,C359="Punch item"),1,0)</f>
        <v/>
      </c>
    </row>
    <row r="360" ht="24" customHeight="1">
      <c r="B360" s="125" t="n">
        <v>353</v>
      </c>
      <c r="C360" s="72" t="n"/>
      <c r="D360" s="109" t="n"/>
      <c r="E360" s="72" t="n"/>
      <c r="F360" s="113" t="n"/>
      <c r="G360" s="72" t="n"/>
      <c r="H360" s="74" t="n"/>
      <c r="I360" s="73" t="n"/>
      <c r="J360" s="113" t="n"/>
      <c r="K360" s="109" t="n"/>
      <c r="L360" s="72" t="n"/>
      <c r="M360" s="109" t="n"/>
      <c r="N360" s="72" t="n"/>
      <c r="O360" s="79">
        <f>IF(AND(F360&lt;&gt;"",L360&lt;&gt;"Resolved"),1,0)</f>
        <v/>
      </c>
      <c r="P360" s="79">
        <f>IF(F360="","",IF(O360=0,0,IF(H360="High",2,1)))</f>
        <v/>
      </c>
      <c r="Q360" s="112">
        <f>IF(O360=1,IF(K360&lt;&gt;"",K360,IF(H360="High",AsOf,"")),"")</f>
        <v/>
      </c>
      <c r="R360" s="79">
        <f>IF(Q360="","",IF(H360="High",1,IF(Q360="","",IF(Q360&lt;AsOf,1,IF(Q360&lt;=AsOf+AlertDays,2,IF(Q360&lt;=AsOf+2*AlertDays,3,""))))))</f>
        <v/>
      </c>
      <c r="S360" s="79">
        <f>IF(R360="","",IF(H360="High","High-severity issue: ",IF(C360="Punch item","Punch item: ","Issue action due: "))&amp;F360&amp;IF(J360="",""," → "&amp;J360))</f>
        <v/>
      </c>
      <c r="T360" s="79">
        <f>IF(O360=1,IF(I360="",0,I360),0)</f>
        <v/>
      </c>
      <c r="U360" s="79">
        <f>IF(AND(O360=1,H360="High"),1,0)</f>
        <v/>
      </c>
      <c r="V360" s="79">
        <f>IF(AND(O360=1,C360="Punch item"),1,0)</f>
        <v/>
      </c>
    </row>
    <row r="361" ht="24" customHeight="1">
      <c r="B361" s="125" t="n">
        <v>354</v>
      </c>
      <c r="C361" s="72" t="n"/>
      <c r="D361" s="109" t="n"/>
      <c r="E361" s="72" t="n"/>
      <c r="F361" s="113" t="n"/>
      <c r="G361" s="72" t="n"/>
      <c r="H361" s="74" t="n"/>
      <c r="I361" s="73" t="n"/>
      <c r="J361" s="113" t="n"/>
      <c r="K361" s="109" t="n"/>
      <c r="L361" s="72" t="n"/>
      <c r="M361" s="109" t="n"/>
      <c r="N361" s="72" t="n"/>
      <c r="O361" s="79">
        <f>IF(AND(F361&lt;&gt;"",L361&lt;&gt;"Resolved"),1,0)</f>
        <v/>
      </c>
      <c r="P361" s="79">
        <f>IF(F361="","",IF(O361=0,0,IF(H361="High",2,1)))</f>
        <v/>
      </c>
      <c r="Q361" s="112">
        <f>IF(O361=1,IF(K361&lt;&gt;"",K361,IF(H361="High",AsOf,"")),"")</f>
        <v/>
      </c>
      <c r="R361" s="79">
        <f>IF(Q361="","",IF(H361="High",1,IF(Q361="","",IF(Q361&lt;AsOf,1,IF(Q361&lt;=AsOf+AlertDays,2,IF(Q361&lt;=AsOf+2*AlertDays,3,""))))))</f>
        <v/>
      </c>
      <c r="S361" s="79">
        <f>IF(R361="","",IF(H361="High","High-severity issue: ",IF(C361="Punch item","Punch item: ","Issue action due: "))&amp;F361&amp;IF(J361="",""," → "&amp;J361))</f>
        <v/>
      </c>
      <c r="T361" s="79">
        <f>IF(O361=1,IF(I361="",0,I361),0)</f>
        <v/>
      </c>
      <c r="U361" s="79">
        <f>IF(AND(O361=1,H361="High"),1,0)</f>
        <v/>
      </c>
      <c r="V361" s="79">
        <f>IF(AND(O361=1,C361="Punch item"),1,0)</f>
        <v/>
      </c>
    </row>
    <row r="362" ht="24" customHeight="1">
      <c r="B362" s="125" t="n">
        <v>355</v>
      </c>
      <c r="C362" s="72" t="n"/>
      <c r="D362" s="109" t="n"/>
      <c r="E362" s="72" t="n"/>
      <c r="F362" s="113" t="n"/>
      <c r="G362" s="72" t="n"/>
      <c r="H362" s="74" t="n"/>
      <c r="I362" s="73" t="n"/>
      <c r="J362" s="113" t="n"/>
      <c r="K362" s="109" t="n"/>
      <c r="L362" s="72" t="n"/>
      <c r="M362" s="109" t="n"/>
      <c r="N362" s="72" t="n"/>
      <c r="O362" s="79">
        <f>IF(AND(F362&lt;&gt;"",L362&lt;&gt;"Resolved"),1,0)</f>
        <v/>
      </c>
      <c r="P362" s="79">
        <f>IF(F362="","",IF(O362=0,0,IF(H362="High",2,1)))</f>
        <v/>
      </c>
      <c r="Q362" s="112">
        <f>IF(O362=1,IF(K362&lt;&gt;"",K362,IF(H362="High",AsOf,"")),"")</f>
        <v/>
      </c>
      <c r="R362" s="79">
        <f>IF(Q362="","",IF(H362="High",1,IF(Q362="","",IF(Q362&lt;AsOf,1,IF(Q362&lt;=AsOf+AlertDays,2,IF(Q362&lt;=AsOf+2*AlertDays,3,""))))))</f>
        <v/>
      </c>
      <c r="S362" s="79">
        <f>IF(R362="","",IF(H362="High","High-severity issue: ",IF(C362="Punch item","Punch item: ","Issue action due: "))&amp;F362&amp;IF(J362="",""," → "&amp;J362))</f>
        <v/>
      </c>
      <c r="T362" s="79">
        <f>IF(O362=1,IF(I362="",0,I362),0)</f>
        <v/>
      </c>
      <c r="U362" s="79">
        <f>IF(AND(O362=1,H362="High"),1,0)</f>
        <v/>
      </c>
      <c r="V362" s="79">
        <f>IF(AND(O362=1,C362="Punch item"),1,0)</f>
        <v/>
      </c>
    </row>
    <row r="363" ht="24" customHeight="1">
      <c r="B363" s="125" t="n">
        <v>356</v>
      </c>
      <c r="C363" s="72" t="n"/>
      <c r="D363" s="109" t="n"/>
      <c r="E363" s="72" t="n"/>
      <c r="F363" s="113" t="n"/>
      <c r="G363" s="72" t="n"/>
      <c r="H363" s="74" t="n"/>
      <c r="I363" s="73" t="n"/>
      <c r="J363" s="113" t="n"/>
      <c r="K363" s="109" t="n"/>
      <c r="L363" s="72" t="n"/>
      <c r="M363" s="109" t="n"/>
      <c r="N363" s="72" t="n"/>
      <c r="O363" s="79">
        <f>IF(AND(F363&lt;&gt;"",L363&lt;&gt;"Resolved"),1,0)</f>
        <v/>
      </c>
      <c r="P363" s="79">
        <f>IF(F363="","",IF(O363=0,0,IF(H363="High",2,1)))</f>
        <v/>
      </c>
      <c r="Q363" s="112">
        <f>IF(O363=1,IF(K363&lt;&gt;"",K363,IF(H363="High",AsOf,"")),"")</f>
        <v/>
      </c>
      <c r="R363" s="79">
        <f>IF(Q363="","",IF(H363="High",1,IF(Q363="","",IF(Q363&lt;AsOf,1,IF(Q363&lt;=AsOf+AlertDays,2,IF(Q363&lt;=AsOf+2*AlertDays,3,""))))))</f>
        <v/>
      </c>
      <c r="S363" s="79">
        <f>IF(R363="","",IF(H363="High","High-severity issue: ",IF(C363="Punch item","Punch item: ","Issue action due: "))&amp;F363&amp;IF(J363="",""," → "&amp;J363))</f>
        <v/>
      </c>
      <c r="T363" s="79">
        <f>IF(O363=1,IF(I363="",0,I363),0)</f>
        <v/>
      </c>
      <c r="U363" s="79">
        <f>IF(AND(O363=1,H363="High"),1,0)</f>
        <v/>
      </c>
      <c r="V363" s="79">
        <f>IF(AND(O363=1,C363="Punch item"),1,0)</f>
        <v/>
      </c>
    </row>
    <row r="364" ht="24" customHeight="1">
      <c r="B364" s="125" t="n">
        <v>357</v>
      </c>
      <c r="C364" s="72" t="n"/>
      <c r="D364" s="109" t="n"/>
      <c r="E364" s="72" t="n"/>
      <c r="F364" s="113" t="n"/>
      <c r="G364" s="72" t="n"/>
      <c r="H364" s="74" t="n"/>
      <c r="I364" s="73" t="n"/>
      <c r="J364" s="113" t="n"/>
      <c r="K364" s="109" t="n"/>
      <c r="L364" s="72" t="n"/>
      <c r="M364" s="109" t="n"/>
      <c r="N364" s="72" t="n"/>
      <c r="O364" s="79">
        <f>IF(AND(F364&lt;&gt;"",L364&lt;&gt;"Resolved"),1,0)</f>
        <v/>
      </c>
      <c r="P364" s="79">
        <f>IF(F364="","",IF(O364=0,0,IF(H364="High",2,1)))</f>
        <v/>
      </c>
      <c r="Q364" s="112">
        <f>IF(O364=1,IF(K364&lt;&gt;"",K364,IF(H364="High",AsOf,"")),"")</f>
        <v/>
      </c>
      <c r="R364" s="79">
        <f>IF(Q364="","",IF(H364="High",1,IF(Q364="","",IF(Q364&lt;AsOf,1,IF(Q364&lt;=AsOf+AlertDays,2,IF(Q364&lt;=AsOf+2*AlertDays,3,""))))))</f>
        <v/>
      </c>
      <c r="S364" s="79">
        <f>IF(R364="","",IF(H364="High","High-severity issue: ",IF(C364="Punch item","Punch item: ","Issue action due: "))&amp;F364&amp;IF(J364="",""," → "&amp;J364))</f>
        <v/>
      </c>
      <c r="T364" s="79">
        <f>IF(O364=1,IF(I364="",0,I364),0)</f>
        <v/>
      </c>
      <c r="U364" s="79">
        <f>IF(AND(O364=1,H364="High"),1,0)</f>
        <v/>
      </c>
      <c r="V364" s="79">
        <f>IF(AND(O364=1,C364="Punch item"),1,0)</f>
        <v/>
      </c>
    </row>
    <row r="365" ht="24" customHeight="1">
      <c r="B365" s="125" t="n">
        <v>358</v>
      </c>
      <c r="C365" s="72" t="n"/>
      <c r="D365" s="109" t="n"/>
      <c r="E365" s="72" t="n"/>
      <c r="F365" s="113" t="n"/>
      <c r="G365" s="72" t="n"/>
      <c r="H365" s="74" t="n"/>
      <c r="I365" s="73" t="n"/>
      <c r="J365" s="113" t="n"/>
      <c r="K365" s="109" t="n"/>
      <c r="L365" s="72" t="n"/>
      <c r="M365" s="109" t="n"/>
      <c r="N365" s="72" t="n"/>
      <c r="O365" s="79">
        <f>IF(AND(F365&lt;&gt;"",L365&lt;&gt;"Resolved"),1,0)</f>
        <v/>
      </c>
      <c r="P365" s="79">
        <f>IF(F365="","",IF(O365=0,0,IF(H365="High",2,1)))</f>
        <v/>
      </c>
      <c r="Q365" s="112">
        <f>IF(O365=1,IF(K365&lt;&gt;"",K365,IF(H365="High",AsOf,"")),"")</f>
        <v/>
      </c>
      <c r="R365" s="79">
        <f>IF(Q365="","",IF(H365="High",1,IF(Q365="","",IF(Q365&lt;AsOf,1,IF(Q365&lt;=AsOf+AlertDays,2,IF(Q365&lt;=AsOf+2*AlertDays,3,""))))))</f>
        <v/>
      </c>
      <c r="S365" s="79">
        <f>IF(R365="","",IF(H365="High","High-severity issue: ",IF(C365="Punch item","Punch item: ","Issue action due: "))&amp;F365&amp;IF(J365="",""," → "&amp;J365))</f>
        <v/>
      </c>
      <c r="T365" s="79">
        <f>IF(O365=1,IF(I365="",0,I365),0)</f>
        <v/>
      </c>
      <c r="U365" s="79">
        <f>IF(AND(O365=1,H365="High"),1,0)</f>
        <v/>
      </c>
      <c r="V365" s="79">
        <f>IF(AND(O365=1,C365="Punch item"),1,0)</f>
        <v/>
      </c>
    </row>
    <row r="366" ht="24" customHeight="1">
      <c r="B366" s="125" t="n">
        <v>359</v>
      </c>
      <c r="C366" s="72" t="n"/>
      <c r="D366" s="109" t="n"/>
      <c r="E366" s="72" t="n"/>
      <c r="F366" s="113" t="n"/>
      <c r="G366" s="72" t="n"/>
      <c r="H366" s="74" t="n"/>
      <c r="I366" s="73" t="n"/>
      <c r="J366" s="113" t="n"/>
      <c r="K366" s="109" t="n"/>
      <c r="L366" s="72" t="n"/>
      <c r="M366" s="109" t="n"/>
      <c r="N366" s="72" t="n"/>
      <c r="O366" s="79">
        <f>IF(AND(F366&lt;&gt;"",L366&lt;&gt;"Resolved"),1,0)</f>
        <v/>
      </c>
      <c r="P366" s="79">
        <f>IF(F366="","",IF(O366=0,0,IF(H366="High",2,1)))</f>
        <v/>
      </c>
      <c r="Q366" s="112">
        <f>IF(O366=1,IF(K366&lt;&gt;"",K366,IF(H366="High",AsOf,"")),"")</f>
        <v/>
      </c>
      <c r="R366" s="79">
        <f>IF(Q366="","",IF(H366="High",1,IF(Q366="","",IF(Q366&lt;AsOf,1,IF(Q366&lt;=AsOf+AlertDays,2,IF(Q366&lt;=AsOf+2*AlertDays,3,""))))))</f>
        <v/>
      </c>
      <c r="S366" s="79">
        <f>IF(R366="","",IF(H366="High","High-severity issue: ",IF(C366="Punch item","Punch item: ","Issue action due: "))&amp;F366&amp;IF(J366="",""," → "&amp;J366))</f>
        <v/>
      </c>
      <c r="T366" s="79">
        <f>IF(O366=1,IF(I366="",0,I366),0)</f>
        <v/>
      </c>
      <c r="U366" s="79">
        <f>IF(AND(O366=1,H366="High"),1,0)</f>
        <v/>
      </c>
      <c r="V366" s="79">
        <f>IF(AND(O366=1,C366="Punch item"),1,0)</f>
        <v/>
      </c>
    </row>
    <row r="367" ht="24" customHeight="1">
      <c r="B367" s="125" t="n">
        <v>360</v>
      </c>
      <c r="C367" s="72" t="n"/>
      <c r="D367" s="109" t="n"/>
      <c r="E367" s="72" t="n"/>
      <c r="F367" s="113" t="n"/>
      <c r="G367" s="72" t="n"/>
      <c r="H367" s="74" t="n"/>
      <c r="I367" s="73" t="n"/>
      <c r="J367" s="113" t="n"/>
      <c r="K367" s="109" t="n"/>
      <c r="L367" s="72" t="n"/>
      <c r="M367" s="109" t="n"/>
      <c r="N367" s="72" t="n"/>
      <c r="O367" s="79">
        <f>IF(AND(F367&lt;&gt;"",L367&lt;&gt;"Resolved"),1,0)</f>
        <v/>
      </c>
      <c r="P367" s="79">
        <f>IF(F367="","",IF(O367=0,0,IF(H367="High",2,1)))</f>
        <v/>
      </c>
      <c r="Q367" s="112">
        <f>IF(O367=1,IF(K367&lt;&gt;"",K367,IF(H367="High",AsOf,"")),"")</f>
        <v/>
      </c>
      <c r="R367" s="79">
        <f>IF(Q367="","",IF(H367="High",1,IF(Q367="","",IF(Q367&lt;AsOf,1,IF(Q367&lt;=AsOf+AlertDays,2,IF(Q367&lt;=AsOf+2*AlertDays,3,""))))))</f>
        <v/>
      </c>
      <c r="S367" s="79">
        <f>IF(R367="","",IF(H367="High","High-severity issue: ",IF(C367="Punch item","Punch item: ","Issue action due: "))&amp;F367&amp;IF(J367="",""," → "&amp;J367))</f>
        <v/>
      </c>
      <c r="T367" s="79">
        <f>IF(O367=1,IF(I367="",0,I367),0)</f>
        <v/>
      </c>
      <c r="U367" s="79">
        <f>IF(AND(O367=1,H367="High"),1,0)</f>
        <v/>
      </c>
      <c r="V367" s="79">
        <f>IF(AND(O367=1,C367="Punch item"),1,0)</f>
        <v/>
      </c>
    </row>
    <row r="368" ht="24" customHeight="1">
      <c r="B368" s="125" t="n">
        <v>361</v>
      </c>
      <c r="C368" s="72" t="n"/>
      <c r="D368" s="109" t="n"/>
      <c r="E368" s="72" t="n"/>
      <c r="F368" s="113" t="n"/>
      <c r="G368" s="72" t="n"/>
      <c r="H368" s="74" t="n"/>
      <c r="I368" s="73" t="n"/>
      <c r="J368" s="113" t="n"/>
      <c r="K368" s="109" t="n"/>
      <c r="L368" s="72" t="n"/>
      <c r="M368" s="109" t="n"/>
      <c r="N368" s="72" t="n"/>
      <c r="O368" s="79">
        <f>IF(AND(F368&lt;&gt;"",L368&lt;&gt;"Resolved"),1,0)</f>
        <v/>
      </c>
      <c r="P368" s="79">
        <f>IF(F368="","",IF(O368=0,0,IF(H368="High",2,1)))</f>
        <v/>
      </c>
      <c r="Q368" s="112">
        <f>IF(O368=1,IF(K368&lt;&gt;"",K368,IF(H368="High",AsOf,"")),"")</f>
        <v/>
      </c>
      <c r="R368" s="79">
        <f>IF(Q368="","",IF(H368="High",1,IF(Q368="","",IF(Q368&lt;AsOf,1,IF(Q368&lt;=AsOf+AlertDays,2,IF(Q368&lt;=AsOf+2*AlertDays,3,""))))))</f>
        <v/>
      </c>
      <c r="S368" s="79">
        <f>IF(R368="","",IF(H368="High","High-severity issue: ",IF(C368="Punch item","Punch item: ","Issue action due: "))&amp;F368&amp;IF(J368="",""," → "&amp;J368))</f>
        <v/>
      </c>
      <c r="T368" s="79">
        <f>IF(O368=1,IF(I368="",0,I368),0)</f>
        <v/>
      </c>
      <c r="U368" s="79">
        <f>IF(AND(O368=1,H368="High"),1,0)</f>
        <v/>
      </c>
      <c r="V368" s="79">
        <f>IF(AND(O368=1,C368="Punch item"),1,0)</f>
        <v/>
      </c>
    </row>
    <row r="369" ht="24" customHeight="1">
      <c r="B369" s="125" t="n">
        <v>362</v>
      </c>
      <c r="C369" s="72" t="n"/>
      <c r="D369" s="109" t="n"/>
      <c r="E369" s="72" t="n"/>
      <c r="F369" s="113" t="n"/>
      <c r="G369" s="72" t="n"/>
      <c r="H369" s="74" t="n"/>
      <c r="I369" s="73" t="n"/>
      <c r="J369" s="113" t="n"/>
      <c r="K369" s="109" t="n"/>
      <c r="L369" s="72" t="n"/>
      <c r="M369" s="109" t="n"/>
      <c r="N369" s="72" t="n"/>
      <c r="O369" s="79">
        <f>IF(AND(F369&lt;&gt;"",L369&lt;&gt;"Resolved"),1,0)</f>
        <v/>
      </c>
      <c r="P369" s="79">
        <f>IF(F369="","",IF(O369=0,0,IF(H369="High",2,1)))</f>
        <v/>
      </c>
      <c r="Q369" s="112">
        <f>IF(O369=1,IF(K369&lt;&gt;"",K369,IF(H369="High",AsOf,"")),"")</f>
        <v/>
      </c>
      <c r="R369" s="79">
        <f>IF(Q369="","",IF(H369="High",1,IF(Q369="","",IF(Q369&lt;AsOf,1,IF(Q369&lt;=AsOf+AlertDays,2,IF(Q369&lt;=AsOf+2*AlertDays,3,""))))))</f>
        <v/>
      </c>
      <c r="S369" s="79">
        <f>IF(R369="","",IF(H369="High","High-severity issue: ",IF(C369="Punch item","Punch item: ","Issue action due: "))&amp;F369&amp;IF(J369="",""," → "&amp;J369))</f>
        <v/>
      </c>
      <c r="T369" s="79">
        <f>IF(O369=1,IF(I369="",0,I369),0)</f>
        <v/>
      </c>
      <c r="U369" s="79">
        <f>IF(AND(O369=1,H369="High"),1,0)</f>
        <v/>
      </c>
      <c r="V369" s="79">
        <f>IF(AND(O369=1,C369="Punch item"),1,0)</f>
        <v/>
      </c>
    </row>
    <row r="370" ht="24" customHeight="1">
      <c r="B370" s="125" t="n">
        <v>363</v>
      </c>
      <c r="C370" s="72" t="n"/>
      <c r="D370" s="109" t="n"/>
      <c r="E370" s="72" t="n"/>
      <c r="F370" s="113" t="n"/>
      <c r="G370" s="72" t="n"/>
      <c r="H370" s="74" t="n"/>
      <c r="I370" s="73" t="n"/>
      <c r="J370" s="113" t="n"/>
      <c r="K370" s="109" t="n"/>
      <c r="L370" s="72" t="n"/>
      <c r="M370" s="109" t="n"/>
      <c r="N370" s="72" t="n"/>
      <c r="O370" s="79">
        <f>IF(AND(F370&lt;&gt;"",L370&lt;&gt;"Resolved"),1,0)</f>
        <v/>
      </c>
      <c r="P370" s="79">
        <f>IF(F370="","",IF(O370=0,0,IF(H370="High",2,1)))</f>
        <v/>
      </c>
      <c r="Q370" s="112">
        <f>IF(O370=1,IF(K370&lt;&gt;"",K370,IF(H370="High",AsOf,"")),"")</f>
        <v/>
      </c>
      <c r="R370" s="79">
        <f>IF(Q370="","",IF(H370="High",1,IF(Q370="","",IF(Q370&lt;AsOf,1,IF(Q370&lt;=AsOf+AlertDays,2,IF(Q370&lt;=AsOf+2*AlertDays,3,""))))))</f>
        <v/>
      </c>
      <c r="S370" s="79">
        <f>IF(R370="","",IF(H370="High","High-severity issue: ",IF(C370="Punch item","Punch item: ","Issue action due: "))&amp;F370&amp;IF(J370="",""," → "&amp;J370))</f>
        <v/>
      </c>
      <c r="T370" s="79">
        <f>IF(O370=1,IF(I370="",0,I370),0)</f>
        <v/>
      </c>
      <c r="U370" s="79">
        <f>IF(AND(O370=1,H370="High"),1,0)</f>
        <v/>
      </c>
      <c r="V370" s="79">
        <f>IF(AND(O370=1,C370="Punch item"),1,0)</f>
        <v/>
      </c>
    </row>
    <row r="371" ht="24" customHeight="1">
      <c r="B371" s="125" t="n">
        <v>364</v>
      </c>
      <c r="C371" s="72" t="n"/>
      <c r="D371" s="109" t="n"/>
      <c r="E371" s="72" t="n"/>
      <c r="F371" s="113" t="n"/>
      <c r="G371" s="72" t="n"/>
      <c r="H371" s="74" t="n"/>
      <c r="I371" s="73" t="n"/>
      <c r="J371" s="113" t="n"/>
      <c r="K371" s="109" t="n"/>
      <c r="L371" s="72" t="n"/>
      <c r="M371" s="109" t="n"/>
      <c r="N371" s="72" t="n"/>
      <c r="O371" s="79">
        <f>IF(AND(F371&lt;&gt;"",L371&lt;&gt;"Resolved"),1,0)</f>
        <v/>
      </c>
      <c r="P371" s="79">
        <f>IF(F371="","",IF(O371=0,0,IF(H371="High",2,1)))</f>
        <v/>
      </c>
      <c r="Q371" s="112">
        <f>IF(O371=1,IF(K371&lt;&gt;"",K371,IF(H371="High",AsOf,"")),"")</f>
        <v/>
      </c>
      <c r="R371" s="79">
        <f>IF(Q371="","",IF(H371="High",1,IF(Q371="","",IF(Q371&lt;AsOf,1,IF(Q371&lt;=AsOf+AlertDays,2,IF(Q371&lt;=AsOf+2*AlertDays,3,""))))))</f>
        <v/>
      </c>
      <c r="S371" s="79">
        <f>IF(R371="","",IF(H371="High","High-severity issue: ",IF(C371="Punch item","Punch item: ","Issue action due: "))&amp;F371&amp;IF(J371="",""," → "&amp;J371))</f>
        <v/>
      </c>
      <c r="T371" s="79">
        <f>IF(O371=1,IF(I371="",0,I371),0)</f>
        <v/>
      </c>
      <c r="U371" s="79">
        <f>IF(AND(O371=1,H371="High"),1,0)</f>
        <v/>
      </c>
      <c r="V371" s="79">
        <f>IF(AND(O371=1,C371="Punch item"),1,0)</f>
        <v/>
      </c>
    </row>
    <row r="372" ht="24" customHeight="1">
      <c r="B372" s="125" t="n">
        <v>365</v>
      </c>
      <c r="C372" s="72" t="n"/>
      <c r="D372" s="109" t="n"/>
      <c r="E372" s="72" t="n"/>
      <c r="F372" s="113" t="n"/>
      <c r="G372" s="72" t="n"/>
      <c r="H372" s="74" t="n"/>
      <c r="I372" s="73" t="n"/>
      <c r="J372" s="113" t="n"/>
      <c r="K372" s="109" t="n"/>
      <c r="L372" s="72" t="n"/>
      <c r="M372" s="109" t="n"/>
      <c r="N372" s="72" t="n"/>
      <c r="O372" s="79">
        <f>IF(AND(F372&lt;&gt;"",L372&lt;&gt;"Resolved"),1,0)</f>
        <v/>
      </c>
      <c r="P372" s="79">
        <f>IF(F372="","",IF(O372=0,0,IF(H372="High",2,1)))</f>
        <v/>
      </c>
      <c r="Q372" s="112">
        <f>IF(O372=1,IF(K372&lt;&gt;"",K372,IF(H372="High",AsOf,"")),"")</f>
        <v/>
      </c>
      <c r="R372" s="79">
        <f>IF(Q372="","",IF(H372="High",1,IF(Q372="","",IF(Q372&lt;AsOf,1,IF(Q372&lt;=AsOf+AlertDays,2,IF(Q372&lt;=AsOf+2*AlertDays,3,""))))))</f>
        <v/>
      </c>
      <c r="S372" s="79">
        <f>IF(R372="","",IF(H372="High","High-severity issue: ",IF(C372="Punch item","Punch item: ","Issue action due: "))&amp;F372&amp;IF(J372="",""," → "&amp;J372))</f>
        <v/>
      </c>
      <c r="T372" s="79">
        <f>IF(O372=1,IF(I372="",0,I372),0)</f>
        <v/>
      </c>
      <c r="U372" s="79">
        <f>IF(AND(O372=1,H372="High"),1,0)</f>
        <v/>
      </c>
      <c r="V372" s="79">
        <f>IF(AND(O372=1,C372="Punch item"),1,0)</f>
        <v/>
      </c>
    </row>
    <row r="373" ht="24" customHeight="1">
      <c r="B373" s="125" t="n">
        <v>366</v>
      </c>
      <c r="C373" s="72" t="n"/>
      <c r="D373" s="109" t="n"/>
      <c r="E373" s="72" t="n"/>
      <c r="F373" s="113" t="n"/>
      <c r="G373" s="72" t="n"/>
      <c r="H373" s="74" t="n"/>
      <c r="I373" s="73" t="n"/>
      <c r="J373" s="113" t="n"/>
      <c r="K373" s="109" t="n"/>
      <c r="L373" s="72" t="n"/>
      <c r="M373" s="109" t="n"/>
      <c r="N373" s="72" t="n"/>
      <c r="O373" s="79">
        <f>IF(AND(F373&lt;&gt;"",L373&lt;&gt;"Resolved"),1,0)</f>
        <v/>
      </c>
      <c r="P373" s="79">
        <f>IF(F373="","",IF(O373=0,0,IF(H373="High",2,1)))</f>
        <v/>
      </c>
      <c r="Q373" s="112">
        <f>IF(O373=1,IF(K373&lt;&gt;"",K373,IF(H373="High",AsOf,"")),"")</f>
        <v/>
      </c>
      <c r="R373" s="79">
        <f>IF(Q373="","",IF(H373="High",1,IF(Q373="","",IF(Q373&lt;AsOf,1,IF(Q373&lt;=AsOf+AlertDays,2,IF(Q373&lt;=AsOf+2*AlertDays,3,""))))))</f>
        <v/>
      </c>
      <c r="S373" s="79">
        <f>IF(R373="","",IF(H373="High","High-severity issue: ",IF(C373="Punch item","Punch item: ","Issue action due: "))&amp;F373&amp;IF(J373="",""," → "&amp;J373))</f>
        <v/>
      </c>
      <c r="T373" s="79">
        <f>IF(O373=1,IF(I373="",0,I373),0)</f>
        <v/>
      </c>
      <c r="U373" s="79">
        <f>IF(AND(O373=1,H373="High"),1,0)</f>
        <v/>
      </c>
      <c r="V373" s="79">
        <f>IF(AND(O373=1,C373="Punch item"),1,0)</f>
        <v/>
      </c>
    </row>
    <row r="374" ht="24" customHeight="1">
      <c r="B374" s="125" t="n">
        <v>367</v>
      </c>
      <c r="C374" s="72" t="n"/>
      <c r="D374" s="109" t="n"/>
      <c r="E374" s="72" t="n"/>
      <c r="F374" s="113" t="n"/>
      <c r="G374" s="72" t="n"/>
      <c r="H374" s="74" t="n"/>
      <c r="I374" s="73" t="n"/>
      <c r="J374" s="113" t="n"/>
      <c r="K374" s="109" t="n"/>
      <c r="L374" s="72" t="n"/>
      <c r="M374" s="109" t="n"/>
      <c r="N374" s="72" t="n"/>
      <c r="O374" s="79">
        <f>IF(AND(F374&lt;&gt;"",L374&lt;&gt;"Resolved"),1,0)</f>
        <v/>
      </c>
      <c r="P374" s="79">
        <f>IF(F374="","",IF(O374=0,0,IF(H374="High",2,1)))</f>
        <v/>
      </c>
      <c r="Q374" s="112">
        <f>IF(O374=1,IF(K374&lt;&gt;"",K374,IF(H374="High",AsOf,"")),"")</f>
        <v/>
      </c>
      <c r="R374" s="79">
        <f>IF(Q374="","",IF(H374="High",1,IF(Q374="","",IF(Q374&lt;AsOf,1,IF(Q374&lt;=AsOf+AlertDays,2,IF(Q374&lt;=AsOf+2*AlertDays,3,""))))))</f>
        <v/>
      </c>
      <c r="S374" s="79">
        <f>IF(R374="","",IF(H374="High","High-severity issue: ",IF(C374="Punch item","Punch item: ","Issue action due: "))&amp;F374&amp;IF(J374="",""," → "&amp;J374))</f>
        <v/>
      </c>
      <c r="T374" s="79">
        <f>IF(O374=1,IF(I374="",0,I374),0)</f>
        <v/>
      </c>
      <c r="U374" s="79">
        <f>IF(AND(O374=1,H374="High"),1,0)</f>
        <v/>
      </c>
      <c r="V374" s="79">
        <f>IF(AND(O374=1,C374="Punch item"),1,0)</f>
        <v/>
      </c>
    </row>
    <row r="375" ht="24" customHeight="1">
      <c r="B375" s="125" t="n">
        <v>368</v>
      </c>
      <c r="C375" s="72" t="n"/>
      <c r="D375" s="109" t="n"/>
      <c r="E375" s="72" t="n"/>
      <c r="F375" s="113" t="n"/>
      <c r="G375" s="72" t="n"/>
      <c r="H375" s="74" t="n"/>
      <c r="I375" s="73" t="n"/>
      <c r="J375" s="113" t="n"/>
      <c r="K375" s="109" t="n"/>
      <c r="L375" s="72" t="n"/>
      <c r="M375" s="109" t="n"/>
      <c r="N375" s="72" t="n"/>
      <c r="O375" s="79">
        <f>IF(AND(F375&lt;&gt;"",L375&lt;&gt;"Resolved"),1,0)</f>
        <v/>
      </c>
      <c r="P375" s="79">
        <f>IF(F375="","",IF(O375=0,0,IF(H375="High",2,1)))</f>
        <v/>
      </c>
      <c r="Q375" s="112">
        <f>IF(O375=1,IF(K375&lt;&gt;"",K375,IF(H375="High",AsOf,"")),"")</f>
        <v/>
      </c>
      <c r="R375" s="79">
        <f>IF(Q375="","",IF(H375="High",1,IF(Q375="","",IF(Q375&lt;AsOf,1,IF(Q375&lt;=AsOf+AlertDays,2,IF(Q375&lt;=AsOf+2*AlertDays,3,""))))))</f>
        <v/>
      </c>
      <c r="S375" s="79">
        <f>IF(R375="","",IF(H375="High","High-severity issue: ",IF(C375="Punch item","Punch item: ","Issue action due: "))&amp;F375&amp;IF(J375="",""," → "&amp;J375))</f>
        <v/>
      </c>
      <c r="T375" s="79">
        <f>IF(O375=1,IF(I375="",0,I375),0)</f>
        <v/>
      </c>
      <c r="U375" s="79">
        <f>IF(AND(O375=1,H375="High"),1,0)</f>
        <v/>
      </c>
      <c r="V375" s="79">
        <f>IF(AND(O375=1,C375="Punch item"),1,0)</f>
        <v/>
      </c>
    </row>
    <row r="376" ht="24" customHeight="1">
      <c r="B376" s="125" t="n">
        <v>369</v>
      </c>
      <c r="C376" s="72" t="n"/>
      <c r="D376" s="109" t="n"/>
      <c r="E376" s="72" t="n"/>
      <c r="F376" s="113" t="n"/>
      <c r="G376" s="72" t="n"/>
      <c r="H376" s="74" t="n"/>
      <c r="I376" s="73" t="n"/>
      <c r="J376" s="113" t="n"/>
      <c r="K376" s="109" t="n"/>
      <c r="L376" s="72" t="n"/>
      <c r="M376" s="109" t="n"/>
      <c r="N376" s="72" t="n"/>
      <c r="O376" s="79">
        <f>IF(AND(F376&lt;&gt;"",L376&lt;&gt;"Resolved"),1,0)</f>
        <v/>
      </c>
      <c r="P376" s="79">
        <f>IF(F376="","",IF(O376=0,0,IF(H376="High",2,1)))</f>
        <v/>
      </c>
      <c r="Q376" s="112">
        <f>IF(O376=1,IF(K376&lt;&gt;"",K376,IF(H376="High",AsOf,"")),"")</f>
        <v/>
      </c>
      <c r="R376" s="79">
        <f>IF(Q376="","",IF(H376="High",1,IF(Q376="","",IF(Q376&lt;AsOf,1,IF(Q376&lt;=AsOf+AlertDays,2,IF(Q376&lt;=AsOf+2*AlertDays,3,""))))))</f>
        <v/>
      </c>
      <c r="S376" s="79">
        <f>IF(R376="","",IF(H376="High","High-severity issue: ",IF(C376="Punch item","Punch item: ","Issue action due: "))&amp;F376&amp;IF(J376="",""," → "&amp;J376))</f>
        <v/>
      </c>
      <c r="T376" s="79">
        <f>IF(O376=1,IF(I376="",0,I376),0)</f>
        <v/>
      </c>
      <c r="U376" s="79">
        <f>IF(AND(O376=1,H376="High"),1,0)</f>
        <v/>
      </c>
      <c r="V376" s="79">
        <f>IF(AND(O376=1,C376="Punch item"),1,0)</f>
        <v/>
      </c>
    </row>
    <row r="377" ht="24" customHeight="1">
      <c r="B377" s="125" t="n">
        <v>370</v>
      </c>
      <c r="C377" s="72" t="n"/>
      <c r="D377" s="109" t="n"/>
      <c r="E377" s="72" t="n"/>
      <c r="F377" s="113" t="n"/>
      <c r="G377" s="72" t="n"/>
      <c r="H377" s="74" t="n"/>
      <c r="I377" s="73" t="n"/>
      <c r="J377" s="113" t="n"/>
      <c r="K377" s="109" t="n"/>
      <c r="L377" s="72" t="n"/>
      <c r="M377" s="109" t="n"/>
      <c r="N377" s="72" t="n"/>
      <c r="O377" s="79">
        <f>IF(AND(F377&lt;&gt;"",L377&lt;&gt;"Resolved"),1,0)</f>
        <v/>
      </c>
      <c r="P377" s="79">
        <f>IF(F377="","",IF(O377=0,0,IF(H377="High",2,1)))</f>
        <v/>
      </c>
      <c r="Q377" s="112">
        <f>IF(O377=1,IF(K377&lt;&gt;"",K377,IF(H377="High",AsOf,"")),"")</f>
        <v/>
      </c>
      <c r="R377" s="79">
        <f>IF(Q377="","",IF(H377="High",1,IF(Q377="","",IF(Q377&lt;AsOf,1,IF(Q377&lt;=AsOf+AlertDays,2,IF(Q377&lt;=AsOf+2*AlertDays,3,""))))))</f>
        <v/>
      </c>
      <c r="S377" s="79">
        <f>IF(R377="","",IF(H377="High","High-severity issue: ",IF(C377="Punch item","Punch item: ","Issue action due: "))&amp;F377&amp;IF(J377="",""," → "&amp;J377))</f>
        <v/>
      </c>
      <c r="T377" s="79">
        <f>IF(O377=1,IF(I377="",0,I377),0)</f>
        <v/>
      </c>
      <c r="U377" s="79">
        <f>IF(AND(O377=1,H377="High"),1,0)</f>
        <v/>
      </c>
      <c r="V377" s="79">
        <f>IF(AND(O377=1,C377="Punch item"),1,0)</f>
        <v/>
      </c>
    </row>
    <row r="378" ht="24" customHeight="1">
      <c r="B378" s="125" t="n">
        <v>371</v>
      </c>
      <c r="C378" s="72" t="n"/>
      <c r="D378" s="109" t="n"/>
      <c r="E378" s="72" t="n"/>
      <c r="F378" s="113" t="n"/>
      <c r="G378" s="72" t="n"/>
      <c r="H378" s="74" t="n"/>
      <c r="I378" s="73" t="n"/>
      <c r="J378" s="113" t="n"/>
      <c r="K378" s="109" t="n"/>
      <c r="L378" s="72" t="n"/>
      <c r="M378" s="109" t="n"/>
      <c r="N378" s="72" t="n"/>
      <c r="O378" s="79">
        <f>IF(AND(F378&lt;&gt;"",L378&lt;&gt;"Resolved"),1,0)</f>
        <v/>
      </c>
      <c r="P378" s="79">
        <f>IF(F378="","",IF(O378=0,0,IF(H378="High",2,1)))</f>
        <v/>
      </c>
      <c r="Q378" s="112">
        <f>IF(O378=1,IF(K378&lt;&gt;"",K378,IF(H378="High",AsOf,"")),"")</f>
        <v/>
      </c>
      <c r="R378" s="79">
        <f>IF(Q378="","",IF(H378="High",1,IF(Q378="","",IF(Q378&lt;AsOf,1,IF(Q378&lt;=AsOf+AlertDays,2,IF(Q378&lt;=AsOf+2*AlertDays,3,""))))))</f>
        <v/>
      </c>
      <c r="S378" s="79">
        <f>IF(R378="","",IF(H378="High","High-severity issue: ",IF(C378="Punch item","Punch item: ","Issue action due: "))&amp;F378&amp;IF(J378="",""," → "&amp;J378))</f>
        <v/>
      </c>
      <c r="T378" s="79">
        <f>IF(O378=1,IF(I378="",0,I378),0)</f>
        <v/>
      </c>
      <c r="U378" s="79">
        <f>IF(AND(O378=1,H378="High"),1,0)</f>
        <v/>
      </c>
      <c r="V378" s="79">
        <f>IF(AND(O378=1,C378="Punch item"),1,0)</f>
        <v/>
      </c>
    </row>
    <row r="379" ht="24" customHeight="1">
      <c r="B379" s="125" t="n">
        <v>372</v>
      </c>
      <c r="C379" s="72" t="n"/>
      <c r="D379" s="109" t="n"/>
      <c r="E379" s="72" t="n"/>
      <c r="F379" s="113" t="n"/>
      <c r="G379" s="72" t="n"/>
      <c r="H379" s="74" t="n"/>
      <c r="I379" s="73" t="n"/>
      <c r="J379" s="113" t="n"/>
      <c r="K379" s="109" t="n"/>
      <c r="L379" s="72" t="n"/>
      <c r="M379" s="109" t="n"/>
      <c r="N379" s="72" t="n"/>
      <c r="O379" s="79">
        <f>IF(AND(F379&lt;&gt;"",L379&lt;&gt;"Resolved"),1,0)</f>
        <v/>
      </c>
      <c r="P379" s="79">
        <f>IF(F379="","",IF(O379=0,0,IF(H379="High",2,1)))</f>
        <v/>
      </c>
      <c r="Q379" s="112">
        <f>IF(O379=1,IF(K379&lt;&gt;"",K379,IF(H379="High",AsOf,"")),"")</f>
        <v/>
      </c>
      <c r="R379" s="79">
        <f>IF(Q379="","",IF(H379="High",1,IF(Q379="","",IF(Q379&lt;AsOf,1,IF(Q379&lt;=AsOf+AlertDays,2,IF(Q379&lt;=AsOf+2*AlertDays,3,""))))))</f>
        <v/>
      </c>
      <c r="S379" s="79">
        <f>IF(R379="","",IF(H379="High","High-severity issue: ",IF(C379="Punch item","Punch item: ","Issue action due: "))&amp;F379&amp;IF(J379="",""," → "&amp;J379))</f>
        <v/>
      </c>
      <c r="T379" s="79">
        <f>IF(O379=1,IF(I379="",0,I379),0)</f>
        <v/>
      </c>
      <c r="U379" s="79">
        <f>IF(AND(O379=1,H379="High"),1,0)</f>
        <v/>
      </c>
      <c r="V379" s="79">
        <f>IF(AND(O379=1,C379="Punch item"),1,0)</f>
        <v/>
      </c>
    </row>
    <row r="380" ht="24" customHeight="1">
      <c r="B380" s="125" t="n">
        <v>373</v>
      </c>
      <c r="C380" s="72" t="n"/>
      <c r="D380" s="109" t="n"/>
      <c r="E380" s="72" t="n"/>
      <c r="F380" s="113" t="n"/>
      <c r="G380" s="72" t="n"/>
      <c r="H380" s="74" t="n"/>
      <c r="I380" s="73" t="n"/>
      <c r="J380" s="113" t="n"/>
      <c r="K380" s="109" t="n"/>
      <c r="L380" s="72" t="n"/>
      <c r="M380" s="109" t="n"/>
      <c r="N380" s="72" t="n"/>
      <c r="O380" s="79">
        <f>IF(AND(F380&lt;&gt;"",L380&lt;&gt;"Resolved"),1,0)</f>
        <v/>
      </c>
      <c r="P380" s="79">
        <f>IF(F380="","",IF(O380=0,0,IF(H380="High",2,1)))</f>
        <v/>
      </c>
      <c r="Q380" s="112">
        <f>IF(O380=1,IF(K380&lt;&gt;"",K380,IF(H380="High",AsOf,"")),"")</f>
        <v/>
      </c>
      <c r="R380" s="79">
        <f>IF(Q380="","",IF(H380="High",1,IF(Q380="","",IF(Q380&lt;AsOf,1,IF(Q380&lt;=AsOf+AlertDays,2,IF(Q380&lt;=AsOf+2*AlertDays,3,""))))))</f>
        <v/>
      </c>
      <c r="S380" s="79">
        <f>IF(R380="","",IF(H380="High","High-severity issue: ",IF(C380="Punch item","Punch item: ","Issue action due: "))&amp;F380&amp;IF(J380="",""," → "&amp;J380))</f>
        <v/>
      </c>
      <c r="T380" s="79">
        <f>IF(O380=1,IF(I380="",0,I380),0)</f>
        <v/>
      </c>
      <c r="U380" s="79">
        <f>IF(AND(O380=1,H380="High"),1,0)</f>
        <v/>
      </c>
      <c r="V380" s="79">
        <f>IF(AND(O380=1,C380="Punch item"),1,0)</f>
        <v/>
      </c>
    </row>
    <row r="381" ht="24" customHeight="1">
      <c r="B381" s="125" t="n">
        <v>374</v>
      </c>
      <c r="C381" s="72" t="n"/>
      <c r="D381" s="109" t="n"/>
      <c r="E381" s="72" t="n"/>
      <c r="F381" s="113" t="n"/>
      <c r="G381" s="72" t="n"/>
      <c r="H381" s="74" t="n"/>
      <c r="I381" s="73" t="n"/>
      <c r="J381" s="113" t="n"/>
      <c r="K381" s="109" t="n"/>
      <c r="L381" s="72" t="n"/>
      <c r="M381" s="109" t="n"/>
      <c r="N381" s="72" t="n"/>
      <c r="O381" s="79">
        <f>IF(AND(F381&lt;&gt;"",L381&lt;&gt;"Resolved"),1,0)</f>
        <v/>
      </c>
      <c r="P381" s="79">
        <f>IF(F381="","",IF(O381=0,0,IF(H381="High",2,1)))</f>
        <v/>
      </c>
      <c r="Q381" s="112">
        <f>IF(O381=1,IF(K381&lt;&gt;"",K381,IF(H381="High",AsOf,"")),"")</f>
        <v/>
      </c>
      <c r="R381" s="79">
        <f>IF(Q381="","",IF(H381="High",1,IF(Q381="","",IF(Q381&lt;AsOf,1,IF(Q381&lt;=AsOf+AlertDays,2,IF(Q381&lt;=AsOf+2*AlertDays,3,""))))))</f>
        <v/>
      </c>
      <c r="S381" s="79">
        <f>IF(R381="","",IF(H381="High","High-severity issue: ",IF(C381="Punch item","Punch item: ","Issue action due: "))&amp;F381&amp;IF(J381="",""," → "&amp;J381))</f>
        <v/>
      </c>
      <c r="T381" s="79">
        <f>IF(O381=1,IF(I381="",0,I381),0)</f>
        <v/>
      </c>
      <c r="U381" s="79">
        <f>IF(AND(O381=1,H381="High"),1,0)</f>
        <v/>
      </c>
      <c r="V381" s="79">
        <f>IF(AND(O381=1,C381="Punch item"),1,0)</f>
        <v/>
      </c>
    </row>
    <row r="382" ht="24" customHeight="1">
      <c r="B382" s="125" t="n">
        <v>375</v>
      </c>
      <c r="C382" s="72" t="n"/>
      <c r="D382" s="109" t="n"/>
      <c r="E382" s="72" t="n"/>
      <c r="F382" s="113" t="n"/>
      <c r="G382" s="72" t="n"/>
      <c r="H382" s="74" t="n"/>
      <c r="I382" s="73" t="n"/>
      <c r="J382" s="113" t="n"/>
      <c r="K382" s="109" t="n"/>
      <c r="L382" s="72" t="n"/>
      <c r="M382" s="109" t="n"/>
      <c r="N382" s="72" t="n"/>
      <c r="O382" s="79">
        <f>IF(AND(F382&lt;&gt;"",L382&lt;&gt;"Resolved"),1,0)</f>
        <v/>
      </c>
      <c r="P382" s="79">
        <f>IF(F382="","",IF(O382=0,0,IF(H382="High",2,1)))</f>
        <v/>
      </c>
      <c r="Q382" s="112">
        <f>IF(O382=1,IF(K382&lt;&gt;"",K382,IF(H382="High",AsOf,"")),"")</f>
        <v/>
      </c>
      <c r="R382" s="79">
        <f>IF(Q382="","",IF(H382="High",1,IF(Q382="","",IF(Q382&lt;AsOf,1,IF(Q382&lt;=AsOf+AlertDays,2,IF(Q382&lt;=AsOf+2*AlertDays,3,""))))))</f>
        <v/>
      </c>
      <c r="S382" s="79">
        <f>IF(R382="","",IF(H382="High","High-severity issue: ",IF(C382="Punch item","Punch item: ","Issue action due: "))&amp;F382&amp;IF(J382="",""," → "&amp;J382))</f>
        <v/>
      </c>
      <c r="T382" s="79">
        <f>IF(O382=1,IF(I382="",0,I382),0)</f>
        <v/>
      </c>
      <c r="U382" s="79">
        <f>IF(AND(O382=1,H382="High"),1,0)</f>
        <v/>
      </c>
      <c r="V382" s="79">
        <f>IF(AND(O382=1,C382="Punch item"),1,0)</f>
        <v/>
      </c>
    </row>
    <row r="383" ht="24" customHeight="1">
      <c r="B383" s="125" t="n">
        <v>376</v>
      </c>
      <c r="C383" s="72" t="n"/>
      <c r="D383" s="109" t="n"/>
      <c r="E383" s="72" t="n"/>
      <c r="F383" s="113" t="n"/>
      <c r="G383" s="72" t="n"/>
      <c r="H383" s="74" t="n"/>
      <c r="I383" s="73" t="n"/>
      <c r="J383" s="113" t="n"/>
      <c r="K383" s="109" t="n"/>
      <c r="L383" s="72" t="n"/>
      <c r="M383" s="109" t="n"/>
      <c r="N383" s="72" t="n"/>
      <c r="O383" s="79">
        <f>IF(AND(F383&lt;&gt;"",L383&lt;&gt;"Resolved"),1,0)</f>
        <v/>
      </c>
      <c r="P383" s="79">
        <f>IF(F383="","",IF(O383=0,0,IF(H383="High",2,1)))</f>
        <v/>
      </c>
      <c r="Q383" s="112">
        <f>IF(O383=1,IF(K383&lt;&gt;"",K383,IF(H383="High",AsOf,"")),"")</f>
        <v/>
      </c>
      <c r="R383" s="79">
        <f>IF(Q383="","",IF(H383="High",1,IF(Q383="","",IF(Q383&lt;AsOf,1,IF(Q383&lt;=AsOf+AlertDays,2,IF(Q383&lt;=AsOf+2*AlertDays,3,""))))))</f>
        <v/>
      </c>
      <c r="S383" s="79">
        <f>IF(R383="","",IF(H383="High","High-severity issue: ",IF(C383="Punch item","Punch item: ","Issue action due: "))&amp;F383&amp;IF(J383="",""," → "&amp;J383))</f>
        <v/>
      </c>
      <c r="T383" s="79">
        <f>IF(O383=1,IF(I383="",0,I383),0)</f>
        <v/>
      </c>
      <c r="U383" s="79">
        <f>IF(AND(O383=1,H383="High"),1,0)</f>
        <v/>
      </c>
      <c r="V383" s="79">
        <f>IF(AND(O383=1,C383="Punch item"),1,0)</f>
        <v/>
      </c>
    </row>
    <row r="384" ht="24" customHeight="1">
      <c r="B384" s="125" t="n">
        <v>377</v>
      </c>
      <c r="C384" s="72" t="n"/>
      <c r="D384" s="109" t="n"/>
      <c r="E384" s="72" t="n"/>
      <c r="F384" s="113" t="n"/>
      <c r="G384" s="72" t="n"/>
      <c r="H384" s="74" t="n"/>
      <c r="I384" s="73" t="n"/>
      <c r="J384" s="113" t="n"/>
      <c r="K384" s="109" t="n"/>
      <c r="L384" s="72" t="n"/>
      <c r="M384" s="109" t="n"/>
      <c r="N384" s="72" t="n"/>
      <c r="O384" s="79">
        <f>IF(AND(F384&lt;&gt;"",L384&lt;&gt;"Resolved"),1,0)</f>
        <v/>
      </c>
      <c r="P384" s="79">
        <f>IF(F384="","",IF(O384=0,0,IF(H384="High",2,1)))</f>
        <v/>
      </c>
      <c r="Q384" s="112">
        <f>IF(O384=1,IF(K384&lt;&gt;"",K384,IF(H384="High",AsOf,"")),"")</f>
        <v/>
      </c>
      <c r="R384" s="79">
        <f>IF(Q384="","",IF(H384="High",1,IF(Q384="","",IF(Q384&lt;AsOf,1,IF(Q384&lt;=AsOf+AlertDays,2,IF(Q384&lt;=AsOf+2*AlertDays,3,""))))))</f>
        <v/>
      </c>
      <c r="S384" s="79">
        <f>IF(R384="","",IF(H384="High","High-severity issue: ",IF(C384="Punch item","Punch item: ","Issue action due: "))&amp;F384&amp;IF(J384="",""," → "&amp;J384))</f>
        <v/>
      </c>
      <c r="T384" s="79">
        <f>IF(O384=1,IF(I384="",0,I384),0)</f>
        <v/>
      </c>
      <c r="U384" s="79">
        <f>IF(AND(O384=1,H384="High"),1,0)</f>
        <v/>
      </c>
      <c r="V384" s="79">
        <f>IF(AND(O384=1,C384="Punch item"),1,0)</f>
        <v/>
      </c>
    </row>
    <row r="385" ht="24" customHeight="1">
      <c r="B385" s="125" t="n">
        <v>378</v>
      </c>
      <c r="C385" s="72" t="n"/>
      <c r="D385" s="109" t="n"/>
      <c r="E385" s="72" t="n"/>
      <c r="F385" s="113" t="n"/>
      <c r="G385" s="72" t="n"/>
      <c r="H385" s="74" t="n"/>
      <c r="I385" s="73" t="n"/>
      <c r="J385" s="113" t="n"/>
      <c r="K385" s="109" t="n"/>
      <c r="L385" s="72" t="n"/>
      <c r="M385" s="109" t="n"/>
      <c r="N385" s="72" t="n"/>
      <c r="O385" s="79">
        <f>IF(AND(F385&lt;&gt;"",L385&lt;&gt;"Resolved"),1,0)</f>
        <v/>
      </c>
      <c r="P385" s="79">
        <f>IF(F385="","",IF(O385=0,0,IF(H385="High",2,1)))</f>
        <v/>
      </c>
      <c r="Q385" s="112">
        <f>IF(O385=1,IF(K385&lt;&gt;"",K385,IF(H385="High",AsOf,"")),"")</f>
        <v/>
      </c>
      <c r="R385" s="79">
        <f>IF(Q385="","",IF(H385="High",1,IF(Q385="","",IF(Q385&lt;AsOf,1,IF(Q385&lt;=AsOf+AlertDays,2,IF(Q385&lt;=AsOf+2*AlertDays,3,""))))))</f>
        <v/>
      </c>
      <c r="S385" s="79">
        <f>IF(R385="","",IF(H385="High","High-severity issue: ",IF(C385="Punch item","Punch item: ","Issue action due: "))&amp;F385&amp;IF(J385="",""," → "&amp;J385))</f>
        <v/>
      </c>
      <c r="T385" s="79">
        <f>IF(O385=1,IF(I385="",0,I385),0)</f>
        <v/>
      </c>
      <c r="U385" s="79">
        <f>IF(AND(O385=1,H385="High"),1,0)</f>
        <v/>
      </c>
      <c r="V385" s="79">
        <f>IF(AND(O385=1,C385="Punch item"),1,0)</f>
        <v/>
      </c>
    </row>
    <row r="386" ht="24" customHeight="1">
      <c r="B386" s="125" t="n">
        <v>379</v>
      </c>
      <c r="C386" s="72" t="n"/>
      <c r="D386" s="109" t="n"/>
      <c r="E386" s="72" t="n"/>
      <c r="F386" s="113" t="n"/>
      <c r="G386" s="72" t="n"/>
      <c r="H386" s="74" t="n"/>
      <c r="I386" s="73" t="n"/>
      <c r="J386" s="113" t="n"/>
      <c r="K386" s="109" t="n"/>
      <c r="L386" s="72" t="n"/>
      <c r="M386" s="109" t="n"/>
      <c r="N386" s="72" t="n"/>
      <c r="O386" s="79">
        <f>IF(AND(F386&lt;&gt;"",L386&lt;&gt;"Resolved"),1,0)</f>
        <v/>
      </c>
      <c r="P386" s="79">
        <f>IF(F386="","",IF(O386=0,0,IF(H386="High",2,1)))</f>
        <v/>
      </c>
      <c r="Q386" s="112">
        <f>IF(O386=1,IF(K386&lt;&gt;"",K386,IF(H386="High",AsOf,"")),"")</f>
        <v/>
      </c>
      <c r="R386" s="79">
        <f>IF(Q386="","",IF(H386="High",1,IF(Q386="","",IF(Q386&lt;AsOf,1,IF(Q386&lt;=AsOf+AlertDays,2,IF(Q386&lt;=AsOf+2*AlertDays,3,""))))))</f>
        <v/>
      </c>
      <c r="S386" s="79">
        <f>IF(R386="","",IF(H386="High","High-severity issue: ",IF(C386="Punch item","Punch item: ","Issue action due: "))&amp;F386&amp;IF(J386="",""," → "&amp;J386))</f>
        <v/>
      </c>
      <c r="T386" s="79">
        <f>IF(O386=1,IF(I386="",0,I386),0)</f>
        <v/>
      </c>
      <c r="U386" s="79">
        <f>IF(AND(O386=1,H386="High"),1,0)</f>
        <v/>
      </c>
      <c r="V386" s="79">
        <f>IF(AND(O386=1,C386="Punch item"),1,0)</f>
        <v/>
      </c>
    </row>
    <row r="387" ht="24" customHeight="1">
      <c r="B387" s="125" t="n">
        <v>380</v>
      </c>
      <c r="C387" s="72" t="n"/>
      <c r="D387" s="109" t="n"/>
      <c r="E387" s="72" t="n"/>
      <c r="F387" s="113" t="n"/>
      <c r="G387" s="72" t="n"/>
      <c r="H387" s="74" t="n"/>
      <c r="I387" s="73" t="n"/>
      <c r="J387" s="113" t="n"/>
      <c r="K387" s="109" t="n"/>
      <c r="L387" s="72" t="n"/>
      <c r="M387" s="109" t="n"/>
      <c r="N387" s="72" t="n"/>
      <c r="O387" s="79">
        <f>IF(AND(F387&lt;&gt;"",L387&lt;&gt;"Resolved"),1,0)</f>
        <v/>
      </c>
      <c r="P387" s="79">
        <f>IF(F387="","",IF(O387=0,0,IF(H387="High",2,1)))</f>
        <v/>
      </c>
      <c r="Q387" s="112">
        <f>IF(O387=1,IF(K387&lt;&gt;"",K387,IF(H387="High",AsOf,"")),"")</f>
        <v/>
      </c>
      <c r="R387" s="79">
        <f>IF(Q387="","",IF(H387="High",1,IF(Q387="","",IF(Q387&lt;AsOf,1,IF(Q387&lt;=AsOf+AlertDays,2,IF(Q387&lt;=AsOf+2*AlertDays,3,""))))))</f>
        <v/>
      </c>
      <c r="S387" s="79">
        <f>IF(R387="","",IF(H387="High","High-severity issue: ",IF(C387="Punch item","Punch item: ","Issue action due: "))&amp;F387&amp;IF(J387="",""," → "&amp;J387))</f>
        <v/>
      </c>
      <c r="T387" s="79">
        <f>IF(O387=1,IF(I387="",0,I387),0)</f>
        <v/>
      </c>
      <c r="U387" s="79">
        <f>IF(AND(O387=1,H387="High"),1,0)</f>
        <v/>
      </c>
      <c r="V387" s="79">
        <f>IF(AND(O387=1,C387="Punch item"),1,0)</f>
        <v/>
      </c>
    </row>
    <row r="388" ht="24" customHeight="1">
      <c r="B388" s="125" t="n">
        <v>381</v>
      </c>
      <c r="C388" s="72" t="n"/>
      <c r="D388" s="109" t="n"/>
      <c r="E388" s="72" t="n"/>
      <c r="F388" s="113" t="n"/>
      <c r="G388" s="72" t="n"/>
      <c r="H388" s="74" t="n"/>
      <c r="I388" s="73" t="n"/>
      <c r="J388" s="113" t="n"/>
      <c r="K388" s="109" t="n"/>
      <c r="L388" s="72" t="n"/>
      <c r="M388" s="109" t="n"/>
      <c r="N388" s="72" t="n"/>
      <c r="O388" s="79">
        <f>IF(AND(F388&lt;&gt;"",L388&lt;&gt;"Resolved"),1,0)</f>
        <v/>
      </c>
      <c r="P388" s="79">
        <f>IF(F388="","",IF(O388=0,0,IF(H388="High",2,1)))</f>
        <v/>
      </c>
      <c r="Q388" s="112">
        <f>IF(O388=1,IF(K388&lt;&gt;"",K388,IF(H388="High",AsOf,"")),"")</f>
        <v/>
      </c>
      <c r="R388" s="79">
        <f>IF(Q388="","",IF(H388="High",1,IF(Q388="","",IF(Q388&lt;AsOf,1,IF(Q388&lt;=AsOf+AlertDays,2,IF(Q388&lt;=AsOf+2*AlertDays,3,""))))))</f>
        <v/>
      </c>
      <c r="S388" s="79">
        <f>IF(R388="","",IF(H388="High","High-severity issue: ",IF(C388="Punch item","Punch item: ","Issue action due: "))&amp;F388&amp;IF(J388="",""," → "&amp;J388))</f>
        <v/>
      </c>
      <c r="T388" s="79">
        <f>IF(O388=1,IF(I388="",0,I388),0)</f>
        <v/>
      </c>
      <c r="U388" s="79">
        <f>IF(AND(O388=1,H388="High"),1,0)</f>
        <v/>
      </c>
      <c r="V388" s="79">
        <f>IF(AND(O388=1,C388="Punch item"),1,0)</f>
        <v/>
      </c>
    </row>
    <row r="389" ht="24" customHeight="1">
      <c r="B389" s="125" t="n">
        <v>382</v>
      </c>
      <c r="C389" s="72" t="n"/>
      <c r="D389" s="109" t="n"/>
      <c r="E389" s="72" t="n"/>
      <c r="F389" s="113" t="n"/>
      <c r="G389" s="72" t="n"/>
      <c r="H389" s="74" t="n"/>
      <c r="I389" s="73" t="n"/>
      <c r="J389" s="113" t="n"/>
      <c r="K389" s="109" t="n"/>
      <c r="L389" s="72" t="n"/>
      <c r="M389" s="109" t="n"/>
      <c r="N389" s="72" t="n"/>
      <c r="O389" s="79">
        <f>IF(AND(F389&lt;&gt;"",L389&lt;&gt;"Resolved"),1,0)</f>
        <v/>
      </c>
      <c r="P389" s="79">
        <f>IF(F389="","",IF(O389=0,0,IF(H389="High",2,1)))</f>
        <v/>
      </c>
      <c r="Q389" s="112">
        <f>IF(O389=1,IF(K389&lt;&gt;"",K389,IF(H389="High",AsOf,"")),"")</f>
        <v/>
      </c>
      <c r="R389" s="79">
        <f>IF(Q389="","",IF(H389="High",1,IF(Q389="","",IF(Q389&lt;AsOf,1,IF(Q389&lt;=AsOf+AlertDays,2,IF(Q389&lt;=AsOf+2*AlertDays,3,""))))))</f>
        <v/>
      </c>
      <c r="S389" s="79">
        <f>IF(R389="","",IF(H389="High","High-severity issue: ",IF(C389="Punch item","Punch item: ","Issue action due: "))&amp;F389&amp;IF(J389="",""," → "&amp;J389))</f>
        <v/>
      </c>
      <c r="T389" s="79">
        <f>IF(O389=1,IF(I389="",0,I389),0)</f>
        <v/>
      </c>
      <c r="U389" s="79">
        <f>IF(AND(O389=1,H389="High"),1,0)</f>
        <v/>
      </c>
      <c r="V389" s="79">
        <f>IF(AND(O389=1,C389="Punch item"),1,0)</f>
        <v/>
      </c>
    </row>
    <row r="390" ht="24" customHeight="1">
      <c r="B390" s="125" t="n">
        <v>383</v>
      </c>
      <c r="C390" s="72" t="n"/>
      <c r="D390" s="109" t="n"/>
      <c r="E390" s="72" t="n"/>
      <c r="F390" s="113" t="n"/>
      <c r="G390" s="72" t="n"/>
      <c r="H390" s="74" t="n"/>
      <c r="I390" s="73" t="n"/>
      <c r="J390" s="113" t="n"/>
      <c r="K390" s="109" t="n"/>
      <c r="L390" s="72" t="n"/>
      <c r="M390" s="109" t="n"/>
      <c r="N390" s="72" t="n"/>
      <c r="O390" s="79">
        <f>IF(AND(F390&lt;&gt;"",L390&lt;&gt;"Resolved"),1,0)</f>
        <v/>
      </c>
      <c r="P390" s="79">
        <f>IF(F390="","",IF(O390=0,0,IF(H390="High",2,1)))</f>
        <v/>
      </c>
      <c r="Q390" s="112">
        <f>IF(O390=1,IF(K390&lt;&gt;"",K390,IF(H390="High",AsOf,"")),"")</f>
        <v/>
      </c>
      <c r="R390" s="79">
        <f>IF(Q390="","",IF(H390="High",1,IF(Q390="","",IF(Q390&lt;AsOf,1,IF(Q390&lt;=AsOf+AlertDays,2,IF(Q390&lt;=AsOf+2*AlertDays,3,""))))))</f>
        <v/>
      </c>
      <c r="S390" s="79">
        <f>IF(R390="","",IF(H390="High","High-severity issue: ",IF(C390="Punch item","Punch item: ","Issue action due: "))&amp;F390&amp;IF(J390="",""," → "&amp;J390))</f>
        <v/>
      </c>
      <c r="T390" s="79">
        <f>IF(O390=1,IF(I390="",0,I390),0)</f>
        <v/>
      </c>
      <c r="U390" s="79">
        <f>IF(AND(O390=1,H390="High"),1,0)</f>
        <v/>
      </c>
      <c r="V390" s="79">
        <f>IF(AND(O390=1,C390="Punch item"),1,0)</f>
        <v/>
      </c>
    </row>
    <row r="391" ht="24" customHeight="1">
      <c r="B391" s="125" t="n">
        <v>384</v>
      </c>
      <c r="C391" s="72" t="n"/>
      <c r="D391" s="109" t="n"/>
      <c r="E391" s="72" t="n"/>
      <c r="F391" s="113" t="n"/>
      <c r="G391" s="72" t="n"/>
      <c r="H391" s="74" t="n"/>
      <c r="I391" s="73" t="n"/>
      <c r="J391" s="113" t="n"/>
      <c r="K391" s="109" t="n"/>
      <c r="L391" s="72" t="n"/>
      <c r="M391" s="109" t="n"/>
      <c r="N391" s="72" t="n"/>
      <c r="O391" s="79">
        <f>IF(AND(F391&lt;&gt;"",L391&lt;&gt;"Resolved"),1,0)</f>
        <v/>
      </c>
      <c r="P391" s="79">
        <f>IF(F391="","",IF(O391=0,0,IF(H391="High",2,1)))</f>
        <v/>
      </c>
      <c r="Q391" s="112">
        <f>IF(O391=1,IF(K391&lt;&gt;"",K391,IF(H391="High",AsOf,"")),"")</f>
        <v/>
      </c>
      <c r="R391" s="79">
        <f>IF(Q391="","",IF(H391="High",1,IF(Q391="","",IF(Q391&lt;AsOf,1,IF(Q391&lt;=AsOf+AlertDays,2,IF(Q391&lt;=AsOf+2*AlertDays,3,""))))))</f>
        <v/>
      </c>
      <c r="S391" s="79">
        <f>IF(R391="","",IF(H391="High","High-severity issue: ",IF(C391="Punch item","Punch item: ","Issue action due: "))&amp;F391&amp;IF(J391="",""," → "&amp;J391))</f>
        <v/>
      </c>
      <c r="T391" s="79">
        <f>IF(O391=1,IF(I391="",0,I391),0)</f>
        <v/>
      </c>
      <c r="U391" s="79">
        <f>IF(AND(O391=1,H391="High"),1,0)</f>
        <v/>
      </c>
      <c r="V391" s="79">
        <f>IF(AND(O391=1,C391="Punch item"),1,0)</f>
        <v/>
      </c>
    </row>
    <row r="392" ht="24" customHeight="1">
      <c r="B392" s="125" t="n">
        <v>385</v>
      </c>
      <c r="C392" s="72" t="n"/>
      <c r="D392" s="109" t="n"/>
      <c r="E392" s="72" t="n"/>
      <c r="F392" s="113" t="n"/>
      <c r="G392" s="72" t="n"/>
      <c r="H392" s="74" t="n"/>
      <c r="I392" s="73" t="n"/>
      <c r="J392" s="113" t="n"/>
      <c r="K392" s="109" t="n"/>
      <c r="L392" s="72" t="n"/>
      <c r="M392" s="109" t="n"/>
      <c r="N392" s="72" t="n"/>
      <c r="O392" s="79">
        <f>IF(AND(F392&lt;&gt;"",L392&lt;&gt;"Resolved"),1,0)</f>
        <v/>
      </c>
      <c r="P392" s="79">
        <f>IF(F392="","",IF(O392=0,0,IF(H392="High",2,1)))</f>
        <v/>
      </c>
      <c r="Q392" s="112">
        <f>IF(O392=1,IF(K392&lt;&gt;"",K392,IF(H392="High",AsOf,"")),"")</f>
        <v/>
      </c>
      <c r="R392" s="79">
        <f>IF(Q392="","",IF(H392="High",1,IF(Q392="","",IF(Q392&lt;AsOf,1,IF(Q392&lt;=AsOf+AlertDays,2,IF(Q392&lt;=AsOf+2*AlertDays,3,""))))))</f>
        <v/>
      </c>
      <c r="S392" s="79">
        <f>IF(R392="","",IF(H392="High","High-severity issue: ",IF(C392="Punch item","Punch item: ","Issue action due: "))&amp;F392&amp;IF(J392="",""," → "&amp;J392))</f>
        <v/>
      </c>
      <c r="T392" s="79">
        <f>IF(O392=1,IF(I392="",0,I392),0)</f>
        <v/>
      </c>
      <c r="U392" s="79">
        <f>IF(AND(O392=1,H392="High"),1,0)</f>
        <v/>
      </c>
      <c r="V392" s="79">
        <f>IF(AND(O392=1,C392="Punch item"),1,0)</f>
        <v/>
      </c>
    </row>
    <row r="393" ht="24" customHeight="1">
      <c r="B393" s="125" t="n">
        <v>386</v>
      </c>
      <c r="C393" s="72" t="n"/>
      <c r="D393" s="109" t="n"/>
      <c r="E393" s="72" t="n"/>
      <c r="F393" s="113" t="n"/>
      <c r="G393" s="72" t="n"/>
      <c r="H393" s="74" t="n"/>
      <c r="I393" s="73" t="n"/>
      <c r="J393" s="113" t="n"/>
      <c r="K393" s="109" t="n"/>
      <c r="L393" s="72" t="n"/>
      <c r="M393" s="109" t="n"/>
      <c r="N393" s="72" t="n"/>
      <c r="O393" s="79">
        <f>IF(AND(F393&lt;&gt;"",L393&lt;&gt;"Resolved"),1,0)</f>
        <v/>
      </c>
      <c r="P393" s="79">
        <f>IF(F393="","",IF(O393=0,0,IF(H393="High",2,1)))</f>
        <v/>
      </c>
      <c r="Q393" s="112">
        <f>IF(O393=1,IF(K393&lt;&gt;"",K393,IF(H393="High",AsOf,"")),"")</f>
        <v/>
      </c>
      <c r="R393" s="79">
        <f>IF(Q393="","",IF(H393="High",1,IF(Q393="","",IF(Q393&lt;AsOf,1,IF(Q393&lt;=AsOf+AlertDays,2,IF(Q393&lt;=AsOf+2*AlertDays,3,""))))))</f>
        <v/>
      </c>
      <c r="S393" s="79">
        <f>IF(R393="","",IF(H393="High","High-severity issue: ",IF(C393="Punch item","Punch item: ","Issue action due: "))&amp;F393&amp;IF(J393="",""," → "&amp;J393))</f>
        <v/>
      </c>
      <c r="T393" s="79">
        <f>IF(O393=1,IF(I393="",0,I393),0)</f>
        <v/>
      </c>
      <c r="U393" s="79">
        <f>IF(AND(O393=1,H393="High"),1,0)</f>
        <v/>
      </c>
      <c r="V393" s="79">
        <f>IF(AND(O393=1,C393="Punch item"),1,0)</f>
        <v/>
      </c>
    </row>
    <row r="394" ht="24" customHeight="1">
      <c r="B394" s="125" t="n">
        <v>387</v>
      </c>
      <c r="C394" s="72" t="n"/>
      <c r="D394" s="109" t="n"/>
      <c r="E394" s="72" t="n"/>
      <c r="F394" s="113" t="n"/>
      <c r="G394" s="72" t="n"/>
      <c r="H394" s="74" t="n"/>
      <c r="I394" s="73" t="n"/>
      <c r="J394" s="113" t="n"/>
      <c r="K394" s="109" t="n"/>
      <c r="L394" s="72" t="n"/>
      <c r="M394" s="109" t="n"/>
      <c r="N394" s="72" t="n"/>
      <c r="O394" s="79">
        <f>IF(AND(F394&lt;&gt;"",L394&lt;&gt;"Resolved"),1,0)</f>
        <v/>
      </c>
      <c r="P394" s="79">
        <f>IF(F394="","",IF(O394=0,0,IF(H394="High",2,1)))</f>
        <v/>
      </c>
      <c r="Q394" s="112">
        <f>IF(O394=1,IF(K394&lt;&gt;"",K394,IF(H394="High",AsOf,"")),"")</f>
        <v/>
      </c>
      <c r="R394" s="79">
        <f>IF(Q394="","",IF(H394="High",1,IF(Q394="","",IF(Q394&lt;AsOf,1,IF(Q394&lt;=AsOf+AlertDays,2,IF(Q394&lt;=AsOf+2*AlertDays,3,""))))))</f>
        <v/>
      </c>
      <c r="S394" s="79">
        <f>IF(R394="","",IF(H394="High","High-severity issue: ",IF(C394="Punch item","Punch item: ","Issue action due: "))&amp;F394&amp;IF(J394="",""," → "&amp;J394))</f>
        <v/>
      </c>
      <c r="T394" s="79">
        <f>IF(O394=1,IF(I394="",0,I394),0)</f>
        <v/>
      </c>
      <c r="U394" s="79">
        <f>IF(AND(O394=1,H394="High"),1,0)</f>
        <v/>
      </c>
      <c r="V394" s="79">
        <f>IF(AND(O394=1,C394="Punch item"),1,0)</f>
        <v/>
      </c>
    </row>
    <row r="395" ht="24" customHeight="1">
      <c r="B395" s="125" t="n">
        <v>388</v>
      </c>
      <c r="C395" s="72" t="n"/>
      <c r="D395" s="109" t="n"/>
      <c r="E395" s="72" t="n"/>
      <c r="F395" s="113" t="n"/>
      <c r="G395" s="72" t="n"/>
      <c r="H395" s="74" t="n"/>
      <c r="I395" s="73" t="n"/>
      <c r="J395" s="113" t="n"/>
      <c r="K395" s="109" t="n"/>
      <c r="L395" s="72" t="n"/>
      <c r="M395" s="109" t="n"/>
      <c r="N395" s="72" t="n"/>
      <c r="O395" s="79">
        <f>IF(AND(F395&lt;&gt;"",L395&lt;&gt;"Resolved"),1,0)</f>
        <v/>
      </c>
      <c r="P395" s="79">
        <f>IF(F395="","",IF(O395=0,0,IF(H395="High",2,1)))</f>
        <v/>
      </c>
      <c r="Q395" s="112">
        <f>IF(O395=1,IF(K395&lt;&gt;"",K395,IF(H395="High",AsOf,"")),"")</f>
        <v/>
      </c>
      <c r="R395" s="79">
        <f>IF(Q395="","",IF(H395="High",1,IF(Q395="","",IF(Q395&lt;AsOf,1,IF(Q395&lt;=AsOf+AlertDays,2,IF(Q395&lt;=AsOf+2*AlertDays,3,""))))))</f>
        <v/>
      </c>
      <c r="S395" s="79">
        <f>IF(R395="","",IF(H395="High","High-severity issue: ",IF(C395="Punch item","Punch item: ","Issue action due: "))&amp;F395&amp;IF(J395="",""," → "&amp;J395))</f>
        <v/>
      </c>
      <c r="T395" s="79">
        <f>IF(O395=1,IF(I395="",0,I395),0)</f>
        <v/>
      </c>
      <c r="U395" s="79">
        <f>IF(AND(O395=1,H395="High"),1,0)</f>
        <v/>
      </c>
      <c r="V395" s="79">
        <f>IF(AND(O395=1,C395="Punch item"),1,0)</f>
        <v/>
      </c>
    </row>
    <row r="396" ht="24" customHeight="1">
      <c r="B396" s="125" t="n">
        <v>389</v>
      </c>
      <c r="C396" s="72" t="n"/>
      <c r="D396" s="109" t="n"/>
      <c r="E396" s="72" t="n"/>
      <c r="F396" s="113" t="n"/>
      <c r="G396" s="72" t="n"/>
      <c r="H396" s="74" t="n"/>
      <c r="I396" s="73" t="n"/>
      <c r="J396" s="113" t="n"/>
      <c r="K396" s="109" t="n"/>
      <c r="L396" s="72" t="n"/>
      <c r="M396" s="109" t="n"/>
      <c r="N396" s="72" t="n"/>
      <c r="O396" s="79">
        <f>IF(AND(F396&lt;&gt;"",L396&lt;&gt;"Resolved"),1,0)</f>
        <v/>
      </c>
      <c r="P396" s="79">
        <f>IF(F396="","",IF(O396=0,0,IF(H396="High",2,1)))</f>
        <v/>
      </c>
      <c r="Q396" s="112">
        <f>IF(O396=1,IF(K396&lt;&gt;"",K396,IF(H396="High",AsOf,"")),"")</f>
        <v/>
      </c>
      <c r="R396" s="79">
        <f>IF(Q396="","",IF(H396="High",1,IF(Q396="","",IF(Q396&lt;AsOf,1,IF(Q396&lt;=AsOf+AlertDays,2,IF(Q396&lt;=AsOf+2*AlertDays,3,""))))))</f>
        <v/>
      </c>
      <c r="S396" s="79">
        <f>IF(R396="","",IF(H396="High","High-severity issue: ",IF(C396="Punch item","Punch item: ","Issue action due: "))&amp;F396&amp;IF(J396="",""," → "&amp;J396))</f>
        <v/>
      </c>
      <c r="T396" s="79">
        <f>IF(O396=1,IF(I396="",0,I396),0)</f>
        <v/>
      </c>
      <c r="U396" s="79">
        <f>IF(AND(O396=1,H396="High"),1,0)</f>
        <v/>
      </c>
      <c r="V396" s="79">
        <f>IF(AND(O396=1,C396="Punch item"),1,0)</f>
        <v/>
      </c>
    </row>
    <row r="397" ht="24" customHeight="1">
      <c r="B397" s="125" t="n">
        <v>390</v>
      </c>
      <c r="C397" s="72" t="n"/>
      <c r="D397" s="109" t="n"/>
      <c r="E397" s="72" t="n"/>
      <c r="F397" s="113" t="n"/>
      <c r="G397" s="72" t="n"/>
      <c r="H397" s="74" t="n"/>
      <c r="I397" s="73" t="n"/>
      <c r="J397" s="113" t="n"/>
      <c r="K397" s="109" t="n"/>
      <c r="L397" s="72" t="n"/>
      <c r="M397" s="109" t="n"/>
      <c r="N397" s="72" t="n"/>
      <c r="O397" s="79">
        <f>IF(AND(F397&lt;&gt;"",L397&lt;&gt;"Resolved"),1,0)</f>
        <v/>
      </c>
      <c r="P397" s="79">
        <f>IF(F397="","",IF(O397=0,0,IF(H397="High",2,1)))</f>
        <v/>
      </c>
      <c r="Q397" s="112">
        <f>IF(O397=1,IF(K397&lt;&gt;"",K397,IF(H397="High",AsOf,"")),"")</f>
        <v/>
      </c>
      <c r="R397" s="79">
        <f>IF(Q397="","",IF(H397="High",1,IF(Q397="","",IF(Q397&lt;AsOf,1,IF(Q397&lt;=AsOf+AlertDays,2,IF(Q397&lt;=AsOf+2*AlertDays,3,""))))))</f>
        <v/>
      </c>
      <c r="S397" s="79">
        <f>IF(R397="","",IF(H397="High","High-severity issue: ",IF(C397="Punch item","Punch item: ","Issue action due: "))&amp;F397&amp;IF(J397="",""," → "&amp;J397))</f>
        <v/>
      </c>
      <c r="T397" s="79">
        <f>IF(O397=1,IF(I397="",0,I397),0)</f>
        <v/>
      </c>
      <c r="U397" s="79">
        <f>IF(AND(O397=1,H397="High"),1,0)</f>
        <v/>
      </c>
      <c r="V397" s="79">
        <f>IF(AND(O397=1,C397="Punch item"),1,0)</f>
        <v/>
      </c>
    </row>
    <row r="398" ht="24" customHeight="1">
      <c r="B398" s="125" t="n">
        <v>391</v>
      </c>
      <c r="C398" s="72" t="n"/>
      <c r="D398" s="109" t="n"/>
      <c r="E398" s="72" t="n"/>
      <c r="F398" s="113" t="n"/>
      <c r="G398" s="72" t="n"/>
      <c r="H398" s="74" t="n"/>
      <c r="I398" s="73" t="n"/>
      <c r="J398" s="113" t="n"/>
      <c r="K398" s="109" t="n"/>
      <c r="L398" s="72" t="n"/>
      <c r="M398" s="109" t="n"/>
      <c r="N398" s="72" t="n"/>
      <c r="O398" s="79">
        <f>IF(AND(F398&lt;&gt;"",L398&lt;&gt;"Resolved"),1,0)</f>
        <v/>
      </c>
      <c r="P398" s="79">
        <f>IF(F398="","",IF(O398=0,0,IF(H398="High",2,1)))</f>
        <v/>
      </c>
      <c r="Q398" s="112">
        <f>IF(O398=1,IF(K398&lt;&gt;"",K398,IF(H398="High",AsOf,"")),"")</f>
        <v/>
      </c>
      <c r="R398" s="79">
        <f>IF(Q398="","",IF(H398="High",1,IF(Q398="","",IF(Q398&lt;AsOf,1,IF(Q398&lt;=AsOf+AlertDays,2,IF(Q398&lt;=AsOf+2*AlertDays,3,""))))))</f>
        <v/>
      </c>
      <c r="S398" s="79">
        <f>IF(R398="","",IF(H398="High","High-severity issue: ",IF(C398="Punch item","Punch item: ","Issue action due: "))&amp;F398&amp;IF(J398="",""," → "&amp;J398))</f>
        <v/>
      </c>
      <c r="T398" s="79">
        <f>IF(O398=1,IF(I398="",0,I398),0)</f>
        <v/>
      </c>
      <c r="U398" s="79">
        <f>IF(AND(O398=1,H398="High"),1,0)</f>
        <v/>
      </c>
      <c r="V398" s="79">
        <f>IF(AND(O398=1,C398="Punch item"),1,0)</f>
        <v/>
      </c>
    </row>
    <row r="399" ht="24" customHeight="1">
      <c r="B399" s="125" t="n">
        <v>392</v>
      </c>
      <c r="C399" s="72" t="n"/>
      <c r="D399" s="109" t="n"/>
      <c r="E399" s="72" t="n"/>
      <c r="F399" s="113" t="n"/>
      <c r="G399" s="72" t="n"/>
      <c r="H399" s="74" t="n"/>
      <c r="I399" s="73" t="n"/>
      <c r="J399" s="113" t="n"/>
      <c r="K399" s="109" t="n"/>
      <c r="L399" s="72" t="n"/>
      <c r="M399" s="109" t="n"/>
      <c r="N399" s="72" t="n"/>
      <c r="O399" s="79">
        <f>IF(AND(F399&lt;&gt;"",L399&lt;&gt;"Resolved"),1,0)</f>
        <v/>
      </c>
      <c r="P399" s="79">
        <f>IF(F399="","",IF(O399=0,0,IF(H399="High",2,1)))</f>
        <v/>
      </c>
      <c r="Q399" s="112">
        <f>IF(O399=1,IF(K399&lt;&gt;"",K399,IF(H399="High",AsOf,"")),"")</f>
        <v/>
      </c>
      <c r="R399" s="79">
        <f>IF(Q399="","",IF(H399="High",1,IF(Q399="","",IF(Q399&lt;AsOf,1,IF(Q399&lt;=AsOf+AlertDays,2,IF(Q399&lt;=AsOf+2*AlertDays,3,""))))))</f>
        <v/>
      </c>
      <c r="S399" s="79">
        <f>IF(R399="","",IF(H399="High","High-severity issue: ",IF(C399="Punch item","Punch item: ","Issue action due: "))&amp;F399&amp;IF(J399="",""," → "&amp;J399))</f>
        <v/>
      </c>
      <c r="T399" s="79">
        <f>IF(O399=1,IF(I399="",0,I399),0)</f>
        <v/>
      </c>
      <c r="U399" s="79">
        <f>IF(AND(O399=1,H399="High"),1,0)</f>
        <v/>
      </c>
      <c r="V399" s="79">
        <f>IF(AND(O399=1,C399="Punch item"),1,0)</f>
        <v/>
      </c>
    </row>
    <row r="400" ht="24" customHeight="1">
      <c r="B400" s="125" t="n">
        <v>393</v>
      </c>
      <c r="C400" s="72" t="n"/>
      <c r="D400" s="109" t="n"/>
      <c r="E400" s="72" t="n"/>
      <c r="F400" s="113" t="n"/>
      <c r="G400" s="72" t="n"/>
      <c r="H400" s="74" t="n"/>
      <c r="I400" s="73" t="n"/>
      <c r="J400" s="113" t="n"/>
      <c r="K400" s="109" t="n"/>
      <c r="L400" s="72" t="n"/>
      <c r="M400" s="109" t="n"/>
      <c r="N400" s="72" t="n"/>
      <c r="O400" s="79">
        <f>IF(AND(F400&lt;&gt;"",L400&lt;&gt;"Resolved"),1,0)</f>
        <v/>
      </c>
      <c r="P400" s="79">
        <f>IF(F400="","",IF(O400=0,0,IF(H400="High",2,1)))</f>
        <v/>
      </c>
      <c r="Q400" s="112">
        <f>IF(O400=1,IF(K400&lt;&gt;"",K400,IF(H400="High",AsOf,"")),"")</f>
        <v/>
      </c>
      <c r="R400" s="79">
        <f>IF(Q400="","",IF(H400="High",1,IF(Q400="","",IF(Q400&lt;AsOf,1,IF(Q400&lt;=AsOf+AlertDays,2,IF(Q400&lt;=AsOf+2*AlertDays,3,""))))))</f>
        <v/>
      </c>
      <c r="S400" s="79">
        <f>IF(R400="","",IF(H400="High","High-severity issue: ",IF(C400="Punch item","Punch item: ","Issue action due: "))&amp;F400&amp;IF(J400="",""," → "&amp;J400))</f>
        <v/>
      </c>
      <c r="T400" s="79">
        <f>IF(O400=1,IF(I400="",0,I400),0)</f>
        <v/>
      </c>
      <c r="U400" s="79">
        <f>IF(AND(O400=1,H400="High"),1,0)</f>
        <v/>
      </c>
      <c r="V400" s="79">
        <f>IF(AND(O400=1,C400="Punch item"),1,0)</f>
        <v/>
      </c>
    </row>
    <row r="401" ht="24" customHeight="1">
      <c r="B401" s="125" t="n">
        <v>394</v>
      </c>
      <c r="C401" s="72" t="n"/>
      <c r="D401" s="109" t="n"/>
      <c r="E401" s="72" t="n"/>
      <c r="F401" s="113" t="n"/>
      <c r="G401" s="72" t="n"/>
      <c r="H401" s="74" t="n"/>
      <c r="I401" s="73" t="n"/>
      <c r="J401" s="113" t="n"/>
      <c r="K401" s="109" t="n"/>
      <c r="L401" s="72" t="n"/>
      <c r="M401" s="109" t="n"/>
      <c r="N401" s="72" t="n"/>
      <c r="O401" s="79">
        <f>IF(AND(F401&lt;&gt;"",L401&lt;&gt;"Resolved"),1,0)</f>
        <v/>
      </c>
      <c r="P401" s="79">
        <f>IF(F401="","",IF(O401=0,0,IF(H401="High",2,1)))</f>
        <v/>
      </c>
      <c r="Q401" s="112">
        <f>IF(O401=1,IF(K401&lt;&gt;"",K401,IF(H401="High",AsOf,"")),"")</f>
        <v/>
      </c>
      <c r="R401" s="79">
        <f>IF(Q401="","",IF(H401="High",1,IF(Q401="","",IF(Q401&lt;AsOf,1,IF(Q401&lt;=AsOf+AlertDays,2,IF(Q401&lt;=AsOf+2*AlertDays,3,""))))))</f>
        <v/>
      </c>
      <c r="S401" s="79">
        <f>IF(R401="","",IF(H401="High","High-severity issue: ",IF(C401="Punch item","Punch item: ","Issue action due: "))&amp;F401&amp;IF(J401="",""," → "&amp;J401))</f>
        <v/>
      </c>
      <c r="T401" s="79">
        <f>IF(O401=1,IF(I401="",0,I401),0)</f>
        <v/>
      </c>
      <c r="U401" s="79">
        <f>IF(AND(O401=1,H401="High"),1,0)</f>
        <v/>
      </c>
      <c r="V401" s="79">
        <f>IF(AND(O401=1,C401="Punch item"),1,0)</f>
        <v/>
      </c>
    </row>
    <row r="402" ht="24" customHeight="1">
      <c r="B402" s="125" t="n">
        <v>395</v>
      </c>
      <c r="C402" s="72" t="n"/>
      <c r="D402" s="109" t="n"/>
      <c r="E402" s="72" t="n"/>
      <c r="F402" s="113" t="n"/>
      <c r="G402" s="72" t="n"/>
      <c r="H402" s="74" t="n"/>
      <c r="I402" s="73" t="n"/>
      <c r="J402" s="113" t="n"/>
      <c r="K402" s="109" t="n"/>
      <c r="L402" s="72" t="n"/>
      <c r="M402" s="109" t="n"/>
      <c r="N402" s="72" t="n"/>
      <c r="O402" s="79">
        <f>IF(AND(F402&lt;&gt;"",L402&lt;&gt;"Resolved"),1,0)</f>
        <v/>
      </c>
      <c r="P402" s="79">
        <f>IF(F402="","",IF(O402=0,0,IF(H402="High",2,1)))</f>
        <v/>
      </c>
      <c r="Q402" s="112">
        <f>IF(O402=1,IF(K402&lt;&gt;"",K402,IF(H402="High",AsOf,"")),"")</f>
        <v/>
      </c>
      <c r="R402" s="79">
        <f>IF(Q402="","",IF(H402="High",1,IF(Q402="","",IF(Q402&lt;AsOf,1,IF(Q402&lt;=AsOf+AlertDays,2,IF(Q402&lt;=AsOf+2*AlertDays,3,""))))))</f>
        <v/>
      </c>
      <c r="S402" s="79">
        <f>IF(R402="","",IF(H402="High","High-severity issue: ",IF(C402="Punch item","Punch item: ","Issue action due: "))&amp;F402&amp;IF(J402="",""," → "&amp;J402))</f>
        <v/>
      </c>
      <c r="T402" s="79">
        <f>IF(O402=1,IF(I402="",0,I402),0)</f>
        <v/>
      </c>
      <c r="U402" s="79">
        <f>IF(AND(O402=1,H402="High"),1,0)</f>
        <v/>
      </c>
      <c r="V402" s="79">
        <f>IF(AND(O402=1,C402="Punch item"),1,0)</f>
        <v/>
      </c>
    </row>
    <row r="403" ht="24" customHeight="1">
      <c r="B403" s="125" t="n">
        <v>396</v>
      </c>
      <c r="C403" s="72" t="n"/>
      <c r="D403" s="109" t="n"/>
      <c r="E403" s="72" t="n"/>
      <c r="F403" s="113" t="n"/>
      <c r="G403" s="72" t="n"/>
      <c r="H403" s="74" t="n"/>
      <c r="I403" s="73" t="n"/>
      <c r="J403" s="113" t="n"/>
      <c r="K403" s="109" t="n"/>
      <c r="L403" s="72" t="n"/>
      <c r="M403" s="109" t="n"/>
      <c r="N403" s="72" t="n"/>
      <c r="O403" s="79">
        <f>IF(AND(F403&lt;&gt;"",L403&lt;&gt;"Resolved"),1,0)</f>
        <v/>
      </c>
      <c r="P403" s="79">
        <f>IF(F403="","",IF(O403=0,0,IF(H403="High",2,1)))</f>
        <v/>
      </c>
      <c r="Q403" s="112">
        <f>IF(O403=1,IF(K403&lt;&gt;"",K403,IF(H403="High",AsOf,"")),"")</f>
        <v/>
      </c>
      <c r="R403" s="79">
        <f>IF(Q403="","",IF(H403="High",1,IF(Q403="","",IF(Q403&lt;AsOf,1,IF(Q403&lt;=AsOf+AlertDays,2,IF(Q403&lt;=AsOf+2*AlertDays,3,""))))))</f>
        <v/>
      </c>
      <c r="S403" s="79">
        <f>IF(R403="","",IF(H403="High","High-severity issue: ",IF(C403="Punch item","Punch item: ","Issue action due: "))&amp;F403&amp;IF(J403="",""," → "&amp;J403))</f>
        <v/>
      </c>
      <c r="T403" s="79">
        <f>IF(O403=1,IF(I403="",0,I403),0)</f>
        <v/>
      </c>
      <c r="U403" s="79">
        <f>IF(AND(O403=1,H403="High"),1,0)</f>
        <v/>
      </c>
      <c r="V403" s="79">
        <f>IF(AND(O403=1,C403="Punch item"),1,0)</f>
        <v/>
      </c>
    </row>
    <row r="404" ht="24" customHeight="1">
      <c r="B404" s="125" t="n">
        <v>397</v>
      </c>
      <c r="C404" s="72" t="n"/>
      <c r="D404" s="109" t="n"/>
      <c r="E404" s="72" t="n"/>
      <c r="F404" s="113" t="n"/>
      <c r="G404" s="72" t="n"/>
      <c r="H404" s="74" t="n"/>
      <c r="I404" s="73" t="n"/>
      <c r="J404" s="113" t="n"/>
      <c r="K404" s="109" t="n"/>
      <c r="L404" s="72" t="n"/>
      <c r="M404" s="109" t="n"/>
      <c r="N404" s="72" t="n"/>
      <c r="O404" s="79">
        <f>IF(AND(F404&lt;&gt;"",L404&lt;&gt;"Resolved"),1,0)</f>
        <v/>
      </c>
      <c r="P404" s="79">
        <f>IF(F404="","",IF(O404=0,0,IF(H404="High",2,1)))</f>
        <v/>
      </c>
      <c r="Q404" s="112">
        <f>IF(O404=1,IF(K404&lt;&gt;"",K404,IF(H404="High",AsOf,"")),"")</f>
        <v/>
      </c>
      <c r="R404" s="79">
        <f>IF(Q404="","",IF(H404="High",1,IF(Q404="","",IF(Q404&lt;AsOf,1,IF(Q404&lt;=AsOf+AlertDays,2,IF(Q404&lt;=AsOf+2*AlertDays,3,""))))))</f>
        <v/>
      </c>
      <c r="S404" s="79">
        <f>IF(R404="","",IF(H404="High","High-severity issue: ",IF(C404="Punch item","Punch item: ","Issue action due: "))&amp;F404&amp;IF(J404="",""," → "&amp;J404))</f>
        <v/>
      </c>
      <c r="T404" s="79">
        <f>IF(O404=1,IF(I404="",0,I404),0)</f>
        <v/>
      </c>
      <c r="U404" s="79">
        <f>IF(AND(O404=1,H404="High"),1,0)</f>
        <v/>
      </c>
      <c r="V404" s="79">
        <f>IF(AND(O404=1,C404="Punch item"),1,0)</f>
        <v/>
      </c>
    </row>
    <row r="405" ht="24" customHeight="1">
      <c r="B405" s="125" t="n">
        <v>398</v>
      </c>
      <c r="C405" s="72" t="n"/>
      <c r="D405" s="109" t="n"/>
      <c r="E405" s="72" t="n"/>
      <c r="F405" s="113" t="n"/>
      <c r="G405" s="72" t="n"/>
      <c r="H405" s="74" t="n"/>
      <c r="I405" s="73" t="n"/>
      <c r="J405" s="113" t="n"/>
      <c r="K405" s="109" t="n"/>
      <c r="L405" s="72" t="n"/>
      <c r="M405" s="109" t="n"/>
      <c r="N405" s="72" t="n"/>
      <c r="O405" s="79">
        <f>IF(AND(F405&lt;&gt;"",L405&lt;&gt;"Resolved"),1,0)</f>
        <v/>
      </c>
      <c r="P405" s="79">
        <f>IF(F405="","",IF(O405=0,0,IF(H405="High",2,1)))</f>
        <v/>
      </c>
      <c r="Q405" s="112">
        <f>IF(O405=1,IF(K405&lt;&gt;"",K405,IF(H405="High",AsOf,"")),"")</f>
        <v/>
      </c>
      <c r="R405" s="79">
        <f>IF(Q405="","",IF(H405="High",1,IF(Q405="","",IF(Q405&lt;AsOf,1,IF(Q405&lt;=AsOf+AlertDays,2,IF(Q405&lt;=AsOf+2*AlertDays,3,""))))))</f>
        <v/>
      </c>
      <c r="S405" s="79">
        <f>IF(R405="","",IF(H405="High","High-severity issue: ",IF(C405="Punch item","Punch item: ","Issue action due: "))&amp;F405&amp;IF(J405="",""," → "&amp;J405))</f>
        <v/>
      </c>
      <c r="T405" s="79">
        <f>IF(O405=1,IF(I405="",0,I405),0)</f>
        <v/>
      </c>
      <c r="U405" s="79">
        <f>IF(AND(O405=1,H405="High"),1,0)</f>
        <v/>
      </c>
      <c r="V405" s="79">
        <f>IF(AND(O405=1,C405="Punch item"),1,0)</f>
        <v/>
      </c>
    </row>
    <row r="406" ht="24" customHeight="1">
      <c r="B406" s="125" t="n">
        <v>399</v>
      </c>
      <c r="C406" s="72" t="n"/>
      <c r="D406" s="109" t="n"/>
      <c r="E406" s="72" t="n"/>
      <c r="F406" s="113" t="n"/>
      <c r="G406" s="72" t="n"/>
      <c r="H406" s="74" t="n"/>
      <c r="I406" s="73" t="n"/>
      <c r="J406" s="113" t="n"/>
      <c r="K406" s="109" t="n"/>
      <c r="L406" s="72" t="n"/>
      <c r="M406" s="109" t="n"/>
      <c r="N406" s="72" t="n"/>
      <c r="O406" s="79">
        <f>IF(AND(F406&lt;&gt;"",L406&lt;&gt;"Resolved"),1,0)</f>
        <v/>
      </c>
      <c r="P406" s="79">
        <f>IF(F406="","",IF(O406=0,0,IF(H406="High",2,1)))</f>
        <v/>
      </c>
      <c r="Q406" s="112">
        <f>IF(O406=1,IF(K406&lt;&gt;"",K406,IF(H406="High",AsOf,"")),"")</f>
        <v/>
      </c>
      <c r="R406" s="79">
        <f>IF(Q406="","",IF(H406="High",1,IF(Q406="","",IF(Q406&lt;AsOf,1,IF(Q406&lt;=AsOf+AlertDays,2,IF(Q406&lt;=AsOf+2*AlertDays,3,""))))))</f>
        <v/>
      </c>
      <c r="S406" s="79">
        <f>IF(R406="","",IF(H406="High","High-severity issue: ",IF(C406="Punch item","Punch item: ","Issue action due: "))&amp;F406&amp;IF(J406="",""," → "&amp;J406))</f>
        <v/>
      </c>
      <c r="T406" s="79">
        <f>IF(O406=1,IF(I406="",0,I406),0)</f>
        <v/>
      </c>
      <c r="U406" s="79">
        <f>IF(AND(O406=1,H406="High"),1,0)</f>
        <v/>
      </c>
      <c r="V406" s="79">
        <f>IF(AND(O406=1,C406="Punch item"),1,0)</f>
        <v/>
      </c>
    </row>
    <row r="407" ht="24" customHeight="1">
      <c r="B407" s="125" t="n">
        <v>400</v>
      </c>
      <c r="C407" s="72" t="n"/>
      <c r="D407" s="109" t="n"/>
      <c r="E407" s="72" t="n"/>
      <c r="F407" s="113" t="n"/>
      <c r="G407" s="72" t="n"/>
      <c r="H407" s="74" t="n"/>
      <c r="I407" s="73" t="n"/>
      <c r="J407" s="113" t="n"/>
      <c r="K407" s="109" t="n"/>
      <c r="L407" s="72" t="n"/>
      <c r="M407" s="109" t="n"/>
      <c r="N407" s="72" t="n"/>
      <c r="O407" s="79">
        <f>IF(AND(F407&lt;&gt;"",L407&lt;&gt;"Resolved"),1,0)</f>
        <v/>
      </c>
      <c r="P407" s="79">
        <f>IF(F407="","",IF(O407=0,0,IF(H407="High",2,1)))</f>
        <v/>
      </c>
      <c r="Q407" s="112">
        <f>IF(O407=1,IF(K407&lt;&gt;"",K407,IF(H407="High",AsOf,"")),"")</f>
        <v/>
      </c>
      <c r="R407" s="79">
        <f>IF(Q407="","",IF(H407="High",1,IF(Q407="","",IF(Q407&lt;AsOf,1,IF(Q407&lt;=AsOf+AlertDays,2,IF(Q407&lt;=AsOf+2*AlertDays,3,""))))))</f>
        <v/>
      </c>
      <c r="S407" s="79">
        <f>IF(R407="","",IF(H407="High","High-severity issue: ",IF(C407="Punch item","Punch item: ","Issue action due: "))&amp;F407&amp;IF(J407="",""," → "&amp;J407))</f>
        <v/>
      </c>
      <c r="T407" s="79">
        <f>IF(O407=1,IF(I407="",0,I407),0)</f>
        <v/>
      </c>
      <c r="U407" s="79">
        <f>IF(AND(O407=1,H407="High"),1,0)</f>
        <v/>
      </c>
      <c r="V407" s="79">
        <f>IF(AND(O407=1,C407="Punch item"),1,0)</f>
        <v/>
      </c>
    </row>
    <row r="408" ht="24" customHeight="1">
      <c r="B408" s="125" t="n">
        <v>401</v>
      </c>
      <c r="C408" s="72" t="n"/>
      <c r="D408" s="109" t="n"/>
      <c r="E408" s="72" t="n"/>
      <c r="F408" s="113" t="n"/>
      <c r="G408" s="72" t="n"/>
      <c r="H408" s="74" t="n"/>
      <c r="I408" s="73" t="n"/>
      <c r="J408" s="113" t="n"/>
      <c r="K408" s="109" t="n"/>
      <c r="L408" s="72" t="n"/>
      <c r="M408" s="109" t="n"/>
      <c r="N408" s="72" t="n"/>
      <c r="O408" s="79">
        <f>IF(AND(F408&lt;&gt;"",L408&lt;&gt;"Resolved"),1,0)</f>
        <v/>
      </c>
      <c r="P408" s="79">
        <f>IF(F408="","",IF(O408=0,0,IF(H408="High",2,1)))</f>
        <v/>
      </c>
      <c r="Q408" s="112">
        <f>IF(O408=1,IF(K408&lt;&gt;"",K408,IF(H408="High",AsOf,"")),"")</f>
        <v/>
      </c>
      <c r="R408" s="79">
        <f>IF(Q408="","",IF(H408="High",1,IF(Q408="","",IF(Q408&lt;AsOf,1,IF(Q408&lt;=AsOf+AlertDays,2,IF(Q408&lt;=AsOf+2*AlertDays,3,""))))))</f>
        <v/>
      </c>
      <c r="S408" s="79">
        <f>IF(R408="","",IF(H408="High","High-severity issue: ",IF(C408="Punch item","Punch item: ","Issue action due: "))&amp;F408&amp;IF(J408="",""," → "&amp;J408))</f>
        <v/>
      </c>
      <c r="T408" s="79">
        <f>IF(O408=1,IF(I408="",0,I408),0)</f>
        <v/>
      </c>
      <c r="U408" s="79">
        <f>IF(AND(O408=1,H408="High"),1,0)</f>
        <v/>
      </c>
      <c r="V408" s="79">
        <f>IF(AND(O408=1,C408="Punch item"),1,0)</f>
        <v/>
      </c>
    </row>
    <row r="409" ht="24" customHeight="1">
      <c r="B409" s="125" t="n">
        <v>402</v>
      </c>
      <c r="C409" s="72" t="n"/>
      <c r="D409" s="109" t="n"/>
      <c r="E409" s="72" t="n"/>
      <c r="F409" s="113" t="n"/>
      <c r="G409" s="72" t="n"/>
      <c r="H409" s="74" t="n"/>
      <c r="I409" s="73" t="n"/>
      <c r="J409" s="113" t="n"/>
      <c r="K409" s="109" t="n"/>
      <c r="L409" s="72" t="n"/>
      <c r="M409" s="109" t="n"/>
      <c r="N409" s="72" t="n"/>
      <c r="O409" s="79">
        <f>IF(AND(F409&lt;&gt;"",L409&lt;&gt;"Resolved"),1,0)</f>
        <v/>
      </c>
      <c r="P409" s="79">
        <f>IF(F409="","",IF(O409=0,0,IF(H409="High",2,1)))</f>
        <v/>
      </c>
      <c r="Q409" s="112">
        <f>IF(O409=1,IF(K409&lt;&gt;"",K409,IF(H409="High",AsOf,"")),"")</f>
        <v/>
      </c>
      <c r="R409" s="79">
        <f>IF(Q409="","",IF(H409="High",1,IF(Q409="","",IF(Q409&lt;AsOf,1,IF(Q409&lt;=AsOf+AlertDays,2,IF(Q409&lt;=AsOf+2*AlertDays,3,""))))))</f>
        <v/>
      </c>
      <c r="S409" s="79">
        <f>IF(R409="","",IF(H409="High","High-severity issue: ",IF(C409="Punch item","Punch item: ","Issue action due: "))&amp;F409&amp;IF(J409="",""," → "&amp;J409))</f>
        <v/>
      </c>
      <c r="T409" s="79">
        <f>IF(O409=1,IF(I409="",0,I409),0)</f>
        <v/>
      </c>
      <c r="U409" s="79">
        <f>IF(AND(O409=1,H409="High"),1,0)</f>
        <v/>
      </c>
      <c r="V409" s="79">
        <f>IF(AND(O409=1,C409="Punch item"),1,0)</f>
        <v/>
      </c>
    </row>
    <row r="410" ht="24" customHeight="1">
      <c r="B410" s="125" t="n">
        <v>403</v>
      </c>
      <c r="C410" s="72" t="n"/>
      <c r="D410" s="109" t="n"/>
      <c r="E410" s="72" t="n"/>
      <c r="F410" s="113" t="n"/>
      <c r="G410" s="72" t="n"/>
      <c r="H410" s="74" t="n"/>
      <c r="I410" s="73" t="n"/>
      <c r="J410" s="113" t="n"/>
      <c r="K410" s="109" t="n"/>
      <c r="L410" s="72" t="n"/>
      <c r="M410" s="109" t="n"/>
      <c r="N410" s="72" t="n"/>
      <c r="O410" s="79">
        <f>IF(AND(F410&lt;&gt;"",L410&lt;&gt;"Resolved"),1,0)</f>
        <v/>
      </c>
      <c r="P410" s="79">
        <f>IF(F410="","",IF(O410=0,0,IF(H410="High",2,1)))</f>
        <v/>
      </c>
      <c r="Q410" s="112">
        <f>IF(O410=1,IF(K410&lt;&gt;"",K410,IF(H410="High",AsOf,"")),"")</f>
        <v/>
      </c>
      <c r="R410" s="79">
        <f>IF(Q410="","",IF(H410="High",1,IF(Q410="","",IF(Q410&lt;AsOf,1,IF(Q410&lt;=AsOf+AlertDays,2,IF(Q410&lt;=AsOf+2*AlertDays,3,""))))))</f>
        <v/>
      </c>
      <c r="S410" s="79">
        <f>IF(R410="","",IF(H410="High","High-severity issue: ",IF(C410="Punch item","Punch item: ","Issue action due: "))&amp;F410&amp;IF(J410="",""," → "&amp;J410))</f>
        <v/>
      </c>
      <c r="T410" s="79">
        <f>IF(O410=1,IF(I410="",0,I410),0)</f>
        <v/>
      </c>
      <c r="U410" s="79">
        <f>IF(AND(O410=1,H410="High"),1,0)</f>
        <v/>
      </c>
      <c r="V410" s="79">
        <f>IF(AND(O410=1,C410="Punch item"),1,0)</f>
        <v/>
      </c>
    </row>
    <row r="411" ht="24" customHeight="1">
      <c r="B411" s="125" t="n">
        <v>404</v>
      </c>
      <c r="C411" s="72" t="n"/>
      <c r="D411" s="109" t="n"/>
      <c r="E411" s="72" t="n"/>
      <c r="F411" s="113" t="n"/>
      <c r="G411" s="72" t="n"/>
      <c r="H411" s="74" t="n"/>
      <c r="I411" s="73" t="n"/>
      <c r="J411" s="113" t="n"/>
      <c r="K411" s="109" t="n"/>
      <c r="L411" s="72" t="n"/>
      <c r="M411" s="109" t="n"/>
      <c r="N411" s="72" t="n"/>
      <c r="O411" s="79">
        <f>IF(AND(F411&lt;&gt;"",L411&lt;&gt;"Resolved"),1,0)</f>
        <v/>
      </c>
      <c r="P411" s="79">
        <f>IF(F411="","",IF(O411=0,0,IF(H411="High",2,1)))</f>
        <v/>
      </c>
      <c r="Q411" s="112">
        <f>IF(O411=1,IF(K411&lt;&gt;"",K411,IF(H411="High",AsOf,"")),"")</f>
        <v/>
      </c>
      <c r="R411" s="79">
        <f>IF(Q411="","",IF(H411="High",1,IF(Q411="","",IF(Q411&lt;AsOf,1,IF(Q411&lt;=AsOf+AlertDays,2,IF(Q411&lt;=AsOf+2*AlertDays,3,""))))))</f>
        <v/>
      </c>
      <c r="S411" s="79">
        <f>IF(R411="","",IF(H411="High","High-severity issue: ",IF(C411="Punch item","Punch item: ","Issue action due: "))&amp;F411&amp;IF(J411="",""," → "&amp;J411))</f>
        <v/>
      </c>
      <c r="T411" s="79">
        <f>IF(O411=1,IF(I411="",0,I411),0)</f>
        <v/>
      </c>
      <c r="U411" s="79">
        <f>IF(AND(O411=1,H411="High"),1,0)</f>
        <v/>
      </c>
      <c r="V411" s="79">
        <f>IF(AND(O411=1,C411="Punch item"),1,0)</f>
        <v/>
      </c>
    </row>
    <row r="412" ht="24" customHeight="1">
      <c r="B412" s="125" t="n">
        <v>405</v>
      </c>
      <c r="C412" s="72" t="n"/>
      <c r="D412" s="109" t="n"/>
      <c r="E412" s="72" t="n"/>
      <c r="F412" s="113" t="n"/>
      <c r="G412" s="72" t="n"/>
      <c r="H412" s="74" t="n"/>
      <c r="I412" s="73" t="n"/>
      <c r="J412" s="113" t="n"/>
      <c r="K412" s="109" t="n"/>
      <c r="L412" s="72" t="n"/>
      <c r="M412" s="109" t="n"/>
      <c r="N412" s="72" t="n"/>
      <c r="O412" s="79">
        <f>IF(AND(F412&lt;&gt;"",L412&lt;&gt;"Resolved"),1,0)</f>
        <v/>
      </c>
      <c r="P412" s="79">
        <f>IF(F412="","",IF(O412=0,0,IF(H412="High",2,1)))</f>
        <v/>
      </c>
      <c r="Q412" s="112">
        <f>IF(O412=1,IF(K412&lt;&gt;"",K412,IF(H412="High",AsOf,"")),"")</f>
        <v/>
      </c>
      <c r="R412" s="79">
        <f>IF(Q412="","",IF(H412="High",1,IF(Q412="","",IF(Q412&lt;AsOf,1,IF(Q412&lt;=AsOf+AlertDays,2,IF(Q412&lt;=AsOf+2*AlertDays,3,""))))))</f>
        <v/>
      </c>
      <c r="S412" s="79">
        <f>IF(R412="","",IF(H412="High","High-severity issue: ",IF(C412="Punch item","Punch item: ","Issue action due: "))&amp;F412&amp;IF(J412="",""," → "&amp;J412))</f>
        <v/>
      </c>
      <c r="T412" s="79">
        <f>IF(O412=1,IF(I412="",0,I412),0)</f>
        <v/>
      </c>
      <c r="U412" s="79">
        <f>IF(AND(O412=1,H412="High"),1,0)</f>
        <v/>
      </c>
      <c r="V412" s="79">
        <f>IF(AND(O412=1,C412="Punch item"),1,0)</f>
        <v/>
      </c>
    </row>
    <row r="413" ht="24" customHeight="1">
      <c r="B413" s="125" t="n">
        <v>406</v>
      </c>
      <c r="C413" s="72" t="n"/>
      <c r="D413" s="109" t="n"/>
      <c r="E413" s="72" t="n"/>
      <c r="F413" s="113" t="n"/>
      <c r="G413" s="72" t="n"/>
      <c r="H413" s="74" t="n"/>
      <c r="I413" s="73" t="n"/>
      <c r="J413" s="113" t="n"/>
      <c r="K413" s="109" t="n"/>
      <c r="L413" s="72" t="n"/>
      <c r="M413" s="109" t="n"/>
      <c r="N413" s="72" t="n"/>
      <c r="O413" s="79">
        <f>IF(AND(F413&lt;&gt;"",L413&lt;&gt;"Resolved"),1,0)</f>
        <v/>
      </c>
      <c r="P413" s="79">
        <f>IF(F413="","",IF(O413=0,0,IF(H413="High",2,1)))</f>
        <v/>
      </c>
      <c r="Q413" s="112">
        <f>IF(O413=1,IF(K413&lt;&gt;"",K413,IF(H413="High",AsOf,"")),"")</f>
        <v/>
      </c>
      <c r="R413" s="79">
        <f>IF(Q413="","",IF(H413="High",1,IF(Q413="","",IF(Q413&lt;AsOf,1,IF(Q413&lt;=AsOf+AlertDays,2,IF(Q413&lt;=AsOf+2*AlertDays,3,""))))))</f>
        <v/>
      </c>
      <c r="S413" s="79">
        <f>IF(R413="","",IF(H413="High","High-severity issue: ",IF(C413="Punch item","Punch item: ","Issue action due: "))&amp;F413&amp;IF(J413="",""," → "&amp;J413))</f>
        <v/>
      </c>
      <c r="T413" s="79">
        <f>IF(O413=1,IF(I413="",0,I413),0)</f>
        <v/>
      </c>
      <c r="U413" s="79">
        <f>IF(AND(O413=1,H413="High"),1,0)</f>
        <v/>
      </c>
      <c r="V413" s="79">
        <f>IF(AND(O413=1,C413="Punch item"),1,0)</f>
        <v/>
      </c>
    </row>
    <row r="414" ht="24" customHeight="1">
      <c r="B414" s="125" t="n">
        <v>407</v>
      </c>
      <c r="C414" s="72" t="n"/>
      <c r="D414" s="109" t="n"/>
      <c r="E414" s="72" t="n"/>
      <c r="F414" s="113" t="n"/>
      <c r="G414" s="72" t="n"/>
      <c r="H414" s="74" t="n"/>
      <c r="I414" s="73" t="n"/>
      <c r="J414" s="113" t="n"/>
      <c r="K414" s="109" t="n"/>
      <c r="L414" s="72" t="n"/>
      <c r="M414" s="109" t="n"/>
      <c r="N414" s="72" t="n"/>
      <c r="O414" s="79">
        <f>IF(AND(F414&lt;&gt;"",L414&lt;&gt;"Resolved"),1,0)</f>
        <v/>
      </c>
      <c r="P414" s="79">
        <f>IF(F414="","",IF(O414=0,0,IF(H414="High",2,1)))</f>
        <v/>
      </c>
      <c r="Q414" s="112">
        <f>IF(O414=1,IF(K414&lt;&gt;"",K414,IF(H414="High",AsOf,"")),"")</f>
        <v/>
      </c>
      <c r="R414" s="79">
        <f>IF(Q414="","",IF(H414="High",1,IF(Q414="","",IF(Q414&lt;AsOf,1,IF(Q414&lt;=AsOf+AlertDays,2,IF(Q414&lt;=AsOf+2*AlertDays,3,""))))))</f>
        <v/>
      </c>
      <c r="S414" s="79">
        <f>IF(R414="","",IF(H414="High","High-severity issue: ",IF(C414="Punch item","Punch item: ","Issue action due: "))&amp;F414&amp;IF(J414="",""," → "&amp;J414))</f>
        <v/>
      </c>
      <c r="T414" s="79">
        <f>IF(O414=1,IF(I414="",0,I414),0)</f>
        <v/>
      </c>
      <c r="U414" s="79">
        <f>IF(AND(O414=1,H414="High"),1,0)</f>
        <v/>
      </c>
      <c r="V414" s="79">
        <f>IF(AND(O414=1,C414="Punch item"),1,0)</f>
        <v/>
      </c>
    </row>
    <row r="415" ht="24" customHeight="1">
      <c r="B415" s="125" t="n">
        <v>408</v>
      </c>
      <c r="C415" s="72" t="n"/>
      <c r="D415" s="109" t="n"/>
      <c r="E415" s="72" t="n"/>
      <c r="F415" s="113" t="n"/>
      <c r="G415" s="72" t="n"/>
      <c r="H415" s="74" t="n"/>
      <c r="I415" s="73" t="n"/>
      <c r="J415" s="113" t="n"/>
      <c r="K415" s="109" t="n"/>
      <c r="L415" s="72" t="n"/>
      <c r="M415" s="109" t="n"/>
      <c r="N415" s="72" t="n"/>
      <c r="O415" s="79">
        <f>IF(AND(F415&lt;&gt;"",L415&lt;&gt;"Resolved"),1,0)</f>
        <v/>
      </c>
      <c r="P415" s="79">
        <f>IF(F415="","",IF(O415=0,0,IF(H415="High",2,1)))</f>
        <v/>
      </c>
      <c r="Q415" s="112">
        <f>IF(O415=1,IF(K415&lt;&gt;"",K415,IF(H415="High",AsOf,"")),"")</f>
        <v/>
      </c>
      <c r="R415" s="79">
        <f>IF(Q415="","",IF(H415="High",1,IF(Q415="","",IF(Q415&lt;AsOf,1,IF(Q415&lt;=AsOf+AlertDays,2,IF(Q415&lt;=AsOf+2*AlertDays,3,""))))))</f>
        <v/>
      </c>
      <c r="S415" s="79">
        <f>IF(R415="","",IF(H415="High","High-severity issue: ",IF(C415="Punch item","Punch item: ","Issue action due: "))&amp;F415&amp;IF(J415="",""," → "&amp;J415))</f>
        <v/>
      </c>
      <c r="T415" s="79">
        <f>IF(O415=1,IF(I415="",0,I415),0)</f>
        <v/>
      </c>
      <c r="U415" s="79">
        <f>IF(AND(O415=1,H415="High"),1,0)</f>
        <v/>
      </c>
      <c r="V415" s="79">
        <f>IF(AND(O415=1,C415="Punch item"),1,0)</f>
        <v/>
      </c>
    </row>
    <row r="416" ht="24" customHeight="1">
      <c r="B416" s="125" t="n">
        <v>409</v>
      </c>
      <c r="C416" s="72" t="n"/>
      <c r="D416" s="109" t="n"/>
      <c r="E416" s="72" t="n"/>
      <c r="F416" s="113" t="n"/>
      <c r="G416" s="72" t="n"/>
      <c r="H416" s="74" t="n"/>
      <c r="I416" s="73" t="n"/>
      <c r="J416" s="113" t="n"/>
      <c r="K416" s="109" t="n"/>
      <c r="L416" s="72" t="n"/>
      <c r="M416" s="109" t="n"/>
      <c r="N416" s="72" t="n"/>
      <c r="O416" s="79">
        <f>IF(AND(F416&lt;&gt;"",L416&lt;&gt;"Resolved"),1,0)</f>
        <v/>
      </c>
      <c r="P416" s="79">
        <f>IF(F416="","",IF(O416=0,0,IF(H416="High",2,1)))</f>
        <v/>
      </c>
      <c r="Q416" s="112">
        <f>IF(O416=1,IF(K416&lt;&gt;"",K416,IF(H416="High",AsOf,"")),"")</f>
        <v/>
      </c>
      <c r="R416" s="79">
        <f>IF(Q416="","",IF(H416="High",1,IF(Q416="","",IF(Q416&lt;AsOf,1,IF(Q416&lt;=AsOf+AlertDays,2,IF(Q416&lt;=AsOf+2*AlertDays,3,""))))))</f>
        <v/>
      </c>
      <c r="S416" s="79">
        <f>IF(R416="","",IF(H416="High","High-severity issue: ",IF(C416="Punch item","Punch item: ","Issue action due: "))&amp;F416&amp;IF(J416="",""," → "&amp;J416))</f>
        <v/>
      </c>
      <c r="T416" s="79">
        <f>IF(O416=1,IF(I416="",0,I416),0)</f>
        <v/>
      </c>
      <c r="U416" s="79">
        <f>IF(AND(O416=1,H416="High"),1,0)</f>
        <v/>
      </c>
      <c r="V416" s="79">
        <f>IF(AND(O416=1,C416="Punch item"),1,0)</f>
        <v/>
      </c>
    </row>
    <row r="417" ht="24" customHeight="1">
      <c r="B417" s="125" t="n">
        <v>410</v>
      </c>
      <c r="C417" s="72" t="n"/>
      <c r="D417" s="109" t="n"/>
      <c r="E417" s="72" t="n"/>
      <c r="F417" s="113" t="n"/>
      <c r="G417" s="72" t="n"/>
      <c r="H417" s="74" t="n"/>
      <c r="I417" s="73" t="n"/>
      <c r="J417" s="113" t="n"/>
      <c r="K417" s="109" t="n"/>
      <c r="L417" s="72" t="n"/>
      <c r="M417" s="109" t="n"/>
      <c r="N417" s="72" t="n"/>
      <c r="O417" s="79">
        <f>IF(AND(F417&lt;&gt;"",L417&lt;&gt;"Resolved"),1,0)</f>
        <v/>
      </c>
      <c r="P417" s="79">
        <f>IF(F417="","",IF(O417=0,0,IF(H417="High",2,1)))</f>
        <v/>
      </c>
      <c r="Q417" s="112">
        <f>IF(O417=1,IF(K417&lt;&gt;"",K417,IF(H417="High",AsOf,"")),"")</f>
        <v/>
      </c>
      <c r="R417" s="79">
        <f>IF(Q417="","",IF(H417="High",1,IF(Q417="","",IF(Q417&lt;AsOf,1,IF(Q417&lt;=AsOf+AlertDays,2,IF(Q417&lt;=AsOf+2*AlertDays,3,""))))))</f>
        <v/>
      </c>
      <c r="S417" s="79">
        <f>IF(R417="","",IF(H417="High","High-severity issue: ",IF(C417="Punch item","Punch item: ","Issue action due: "))&amp;F417&amp;IF(J417="",""," → "&amp;J417))</f>
        <v/>
      </c>
      <c r="T417" s="79">
        <f>IF(O417=1,IF(I417="",0,I417),0)</f>
        <v/>
      </c>
      <c r="U417" s="79">
        <f>IF(AND(O417=1,H417="High"),1,0)</f>
        <v/>
      </c>
      <c r="V417" s="79">
        <f>IF(AND(O417=1,C417="Punch item"),1,0)</f>
        <v/>
      </c>
    </row>
    <row r="418" ht="24" customHeight="1">
      <c r="B418" s="125" t="n">
        <v>411</v>
      </c>
      <c r="C418" s="72" t="n"/>
      <c r="D418" s="109" t="n"/>
      <c r="E418" s="72" t="n"/>
      <c r="F418" s="113" t="n"/>
      <c r="G418" s="72" t="n"/>
      <c r="H418" s="74" t="n"/>
      <c r="I418" s="73" t="n"/>
      <c r="J418" s="113" t="n"/>
      <c r="K418" s="109" t="n"/>
      <c r="L418" s="72" t="n"/>
      <c r="M418" s="109" t="n"/>
      <c r="N418" s="72" t="n"/>
      <c r="O418" s="79">
        <f>IF(AND(F418&lt;&gt;"",L418&lt;&gt;"Resolved"),1,0)</f>
        <v/>
      </c>
      <c r="P418" s="79">
        <f>IF(F418="","",IF(O418=0,0,IF(H418="High",2,1)))</f>
        <v/>
      </c>
      <c r="Q418" s="112">
        <f>IF(O418=1,IF(K418&lt;&gt;"",K418,IF(H418="High",AsOf,"")),"")</f>
        <v/>
      </c>
      <c r="R418" s="79">
        <f>IF(Q418="","",IF(H418="High",1,IF(Q418="","",IF(Q418&lt;AsOf,1,IF(Q418&lt;=AsOf+AlertDays,2,IF(Q418&lt;=AsOf+2*AlertDays,3,""))))))</f>
        <v/>
      </c>
      <c r="S418" s="79">
        <f>IF(R418="","",IF(H418="High","High-severity issue: ",IF(C418="Punch item","Punch item: ","Issue action due: "))&amp;F418&amp;IF(J418="",""," → "&amp;J418))</f>
        <v/>
      </c>
      <c r="T418" s="79">
        <f>IF(O418=1,IF(I418="",0,I418),0)</f>
        <v/>
      </c>
      <c r="U418" s="79">
        <f>IF(AND(O418=1,H418="High"),1,0)</f>
        <v/>
      </c>
      <c r="V418" s="79">
        <f>IF(AND(O418=1,C418="Punch item"),1,0)</f>
        <v/>
      </c>
    </row>
    <row r="419" ht="24" customHeight="1">
      <c r="B419" s="125" t="n">
        <v>412</v>
      </c>
      <c r="C419" s="72" t="n"/>
      <c r="D419" s="109" t="n"/>
      <c r="E419" s="72" t="n"/>
      <c r="F419" s="113" t="n"/>
      <c r="G419" s="72" t="n"/>
      <c r="H419" s="74" t="n"/>
      <c r="I419" s="73" t="n"/>
      <c r="J419" s="113" t="n"/>
      <c r="K419" s="109" t="n"/>
      <c r="L419" s="72" t="n"/>
      <c r="M419" s="109" t="n"/>
      <c r="N419" s="72" t="n"/>
      <c r="O419" s="79">
        <f>IF(AND(F419&lt;&gt;"",L419&lt;&gt;"Resolved"),1,0)</f>
        <v/>
      </c>
      <c r="P419" s="79">
        <f>IF(F419="","",IF(O419=0,0,IF(H419="High",2,1)))</f>
        <v/>
      </c>
      <c r="Q419" s="112">
        <f>IF(O419=1,IF(K419&lt;&gt;"",K419,IF(H419="High",AsOf,"")),"")</f>
        <v/>
      </c>
      <c r="R419" s="79">
        <f>IF(Q419="","",IF(H419="High",1,IF(Q419="","",IF(Q419&lt;AsOf,1,IF(Q419&lt;=AsOf+AlertDays,2,IF(Q419&lt;=AsOf+2*AlertDays,3,""))))))</f>
        <v/>
      </c>
      <c r="S419" s="79">
        <f>IF(R419="","",IF(H419="High","High-severity issue: ",IF(C419="Punch item","Punch item: ","Issue action due: "))&amp;F419&amp;IF(J419="",""," → "&amp;J419))</f>
        <v/>
      </c>
      <c r="T419" s="79">
        <f>IF(O419=1,IF(I419="",0,I419),0)</f>
        <v/>
      </c>
      <c r="U419" s="79">
        <f>IF(AND(O419=1,H419="High"),1,0)</f>
        <v/>
      </c>
      <c r="V419" s="79">
        <f>IF(AND(O419=1,C419="Punch item"),1,0)</f>
        <v/>
      </c>
    </row>
    <row r="420" ht="24" customHeight="1">
      <c r="B420" s="125" t="n">
        <v>413</v>
      </c>
      <c r="C420" s="72" t="n"/>
      <c r="D420" s="109" t="n"/>
      <c r="E420" s="72" t="n"/>
      <c r="F420" s="113" t="n"/>
      <c r="G420" s="72" t="n"/>
      <c r="H420" s="74" t="n"/>
      <c r="I420" s="73" t="n"/>
      <c r="J420" s="113" t="n"/>
      <c r="K420" s="109" t="n"/>
      <c r="L420" s="72" t="n"/>
      <c r="M420" s="109" t="n"/>
      <c r="N420" s="72" t="n"/>
      <c r="O420" s="79">
        <f>IF(AND(F420&lt;&gt;"",L420&lt;&gt;"Resolved"),1,0)</f>
        <v/>
      </c>
      <c r="P420" s="79">
        <f>IF(F420="","",IF(O420=0,0,IF(H420="High",2,1)))</f>
        <v/>
      </c>
      <c r="Q420" s="112">
        <f>IF(O420=1,IF(K420&lt;&gt;"",K420,IF(H420="High",AsOf,"")),"")</f>
        <v/>
      </c>
      <c r="R420" s="79">
        <f>IF(Q420="","",IF(H420="High",1,IF(Q420="","",IF(Q420&lt;AsOf,1,IF(Q420&lt;=AsOf+AlertDays,2,IF(Q420&lt;=AsOf+2*AlertDays,3,""))))))</f>
        <v/>
      </c>
      <c r="S420" s="79">
        <f>IF(R420="","",IF(H420="High","High-severity issue: ",IF(C420="Punch item","Punch item: ","Issue action due: "))&amp;F420&amp;IF(J420="",""," → "&amp;J420))</f>
        <v/>
      </c>
      <c r="T420" s="79">
        <f>IF(O420=1,IF(I420="",0,I420),0)</f>
        <v/>
      </c>
      <c r="U420" s="79">
        <f>IF(AND(O420=1,H420="High"),1,0)</f>
        <v/>
      </c>
      <c r="V420" s="79">
        <f>IF(AND(O420=1,C420="Punch item"),1,0)</f>
        <v/>
      </c>
    </row>
    <row r="421" ht="24" customHeight="1">
      <c r="B421" s="125" t="n">
        <v>414</v>
      </c>
      <c r="C421" s="72" t="n"/>
      <c r="D421" s="109" t="n"/>
      <c r="E421" s="72" t="n"/>
      <c r="F421" s="113" t="n"/>
      <c r="G421" s="72" t="n"/>
      <c r="H421" s="74" t="n"/>
      <c r="I421" s="73" t="n"/>
      <c r="J421" s="113" t="n"/>
      <c r="K421" s="109" t="n"/>
      <c r="L421" s="72" t="n"/>
      <c r="M421" s="109" t="n"/>
      <c r="N421" s="72" t="n"/>
      <c r="O421" s="79">
        <f>IF(AND(F421&lt;&gt;"",L421&lt;&gt;"Resolved"),1,0)</f>
        <v/>
      </c>
      <c r="P421" s="79">
        <f>IF(F421="","",IF(O421=0,0,IF(H421="High",2,1)))</f>
        <v/>
      </c>
      <c r="Q421" s="112">
        <f>IF(O421=1,IF(K421&lt;&gt;"",K421,IF(H421="High",AsOf,"")),"")</f>
        <v/>
      </c>
      <c r="R421" s="79">
        <f>IF(Q421="","",IF(H421="High",1,IF(Q421="","",IF(Q421&lt;AsOf,1,IF(Q421&lt;=AsOf+AlertDays,2,IF(Q421&lt;=AsOf+2*AlertDays,3,""))))))</f>
        <v/>
      </c>
      <c r="S421" s="79">
        <f>IF(R421="","",IF(H421="High","High-severity issue: ",IF(C421="Punch item","Punch item: ","Issue action due: "))&amp;F421&amp;IF(J421="",""," → "&amp;J421))</f>
        <v/>
      </c>
      <c r="T421" s="79">
        <f>IF(O421=1,IF(I421="",0,I421),0)</f>
        <v/>
      </c>
      <c r="U421" s="79">
        <f>IF(AND(O421=1,H421="High"),1,0)</f>
        <v/>
      </c>
      <c r="V421" s="79">
        <f>IF(AND(O421=1,C421="Punch item"),1,0)</f>
        <v/>
      </c>
    </row>
    <row r="422" ht="24" customHeight="1">
      <c r="B422" s="125" t="n">
        <v>415</v>
      </c>
      <c r="C422" s="72" t="n"/>
      <c r="D422" s="109" t="n"/>
      <c r="E422" s="72" t="n"/>
      <c r="F422" s="113" t="n"/>
      <c r="G422" s="72" t="n"/>
      <c r="H422" s="74" t="n"/>
      <c r="I422" s="73" t="n"/>
      <c r="J422" s="113" t="n"/>
      <c r="K422" s="109" t="n"/>
      <c r="L422" s="72" t="n"/>
      <c r="M422" s="109" t="n"/>
      <c r="N422" s="72" t="n"/>
      <c r="O422" s="79">
        <f>IF(AND(F422&lt;&gt;"",L422&lt;&gt;"Resolved"),1,0)</f>
        <v/>
      </c>
      <c r="P422" s="79">
        <f>IF(F422="","",IF(O422=0,0,IF(H422="High",2,1)))</f>
        <v/>
      </c>
      <c r="Q422" s="112">
        <f>IF(O422=1,IF(K422&lt;&gt;"",K422,IF(H422="High",AsOf,"")),"")</f>
        <v/>
      </c>
      <c r="R422" s="79">
        <f>IF(Q422="","",IF(H422="High",1,IF(Q422="","",IF(Q422&lt;AsOf,1,IF(Q422&lt;=AsOf+AlertDays,2,IF(Q422&lt;=AsOf+2*AlertDays,3,""))))))</f>
        <v/>
      </c>
      <c r="S422" s="79">
        <f>IF(R422="","",IF(H422="High","High-severity issue: ",IF(C422="Punch item","Punch item: ","Issue action due: "))&amp;F422&amp;IF(J422="",""," → "&amp;J422))</f>
        <v/>
      </c>
      <c r="T422" s="79">
        <f>IF(O422=1,IF(I422="",0,I422),0)</f>
        <v/>
      </c>
      <c r="U422" s="79">
        <f>IF(AND(O422=1,H422="High"),1,0)</f>
        <v/>
      </c>
      <c r="V422" s="79">
        <f>IF(AND(O422=1,C422="Punch item"),1,0)</f>
        <v/>
      </c>
    </row>
    <row r="423" ht="24" customHeight="1">
      <c r="B423" s="125" t="n">
        <v>416</v>
      </c>
      <c r="C423" s="72" t="n"/>
      <c r="D423" s="109" t="n"/>
      <c r="E423" s="72" t="n"/>
      <c r="F423" s="113" t="n"/>
      <c r="G423" s="72" t="n"/>
      <c r="H423" s="74" t="n"/>
      <c r="I423" s="73" t="n"/>
      <c r="J423" s="113" t="n"/>
      <c r="K423" s="109" t="n"/>
      <c r="L423" s="72" t="n"/>
      <c r="M423" s="109" t="n"/>
      <c r="N423" s="72" t="n"/>
      <c r="O423" s="79">
        <f>IF(AND(F423&lt;&gt;"",L423&lt;&gt;"Resolved"),1,0)</f>
        <v/>
      </c>
      <c r="P423" s="79">
        <f>IF(F423="","",IF(O423=0,0,IF(H423="High",2,1)))</f>
        <v/>
      </c>
      <c r="Q423" s="112">
        <f>IF(O423=1,IF(K423&lt;&gt;"",K423,IF(H423="High",AsOf,"")),"")</f>
        <v/>
      </c>
      <c r="R423" s="79">
        <f>IF(Q423="","",IF(H423="High",1,IF(Q423="","",IF(Q423&lt;AsOf,1,IF(Q423&lt;=AsOf+AlertDays,2,IF(Q423&lt;=AsOf+2*AlertDays,3,""))))))</f>
        <v/>
      </c>
      <c r="S423" s="79">
        <f>IF(R423="","",IF(H423="High","High-severity issue: ",IF(C423="Punch item","Punch item: ","Issue action due: "))&amp;F423&amp;IF(J423="",""," → "&amp;J423))</f>
        <v/>
      </c>
      <c r="T423" s="79">
        <f>IF(O423=1,IF(I423="",0,I423),0)</f>
        <v/>
      </c>
      <c r="U423" s="79">
        <f>IF(AND(O423=1,H423="High"),1,0)</f>
        <v/>
      </c>
      <c r="V423" s="79">
        <f>IF(AND(O423=1,C423="Punch item"),1,0)</f>
        <v/>
      </c>
    </row>
    <row r="424" ht="24" customHeight="1">
      <c r="B424" s="125" t="n">
        <v>417</v>
      </c>
      <c r="C424" s="72" t="n"/>
      <c r="D424" s="109" t="n"/>
      <c r="E424" s="72" t="n"/>
      <c r="F424" s="113" t="n"/>
      <c r="G424" s="72" t="n"/>
      <c r="H424" s="74" t="n"/>
      <c r="I424" s="73" t="n"/>
      <c r="J424" s="113" t="n"/>
      <c r="K424" s="109" t="n"/>
      <c r="L424" s="72" t="n"/>
      <c r="M424" s="109" t="n"/>
      <c r="N424" s="72" t="n"/>
      <c r="O424" s="79">
        <f>IF(AND(F424&lt;&gt;"",L424&lt;&gt;"Resolved"),1,0)</f>
        <v/>
      </c>
      <c r="P424" s="79">
        <f>IF(F424="","",IF(O424=0,0,IF(H424="High",2,1)))</f>
        <v/>
      </c>
      <c r="Q424" s="112">
        <f>IF(O424=1,IF(K424&lt;&gt;"",K424,IF(H424="High",AsOf,"")),"")</f>
        <v/>
      </c>
      <c r="R424" s="79">
        <f>IF(Q424="","",IF(H424="High",1,IF(Q424="","",IF(Q424&lt;AsOf,1,IF(Q424&lt;=AsOf+AlertDays,2,IF(Q424&lt;=AsOf+2*AlertDays,3,""))))))</f>
        <v/>
      </c>
      <c r="S424" s="79">
        <f>IF(R424="","",IF(H424="High","High-severity issue: ",IF(C424="Punch item","Punch item: ","Issue action due: "))&amp;F424&amp;IF(J424="",""," → "&amp;J424))</f>
        <v/>
      </c>
      <c r="T424" s="79">
        <f>IF(O424=1,IF(I424="",0,I424),0)</f>
        <v/>
      </c>
      <c r="U424" s="79">
        <f>IF(AND(O424=1,H424="High"),1,0)</f>
        <v/>
      </c>
      <c r="V424" s="79">
        <f>IF(AND(O424=1,C424="Punch item"),1,0)</f>
        <v/>
      </c>
    </row>
    <row r="425" ht="24" customHeight="1">
      <c r="B425" s="125" t="n">
        <v>418</v>
      </c>
      <c r="C425" s="72" t="n"/>
      <c r="D425" s="109" t="n"/>
      <c r="E425" s="72" t="n"/>
      <c r="F425" s="113" t="n"/>
      <c r="G425" s="72" t="n"/>
      <c r="H425" s="74" t="n"/>
      <c r="I425" s="73" t="n"/>
      <c r="J425" s="113" t="n"/>
      <c r="K425" s="109" t="n"/>
      <c r="L425" s="72" t="n"/>
      <c r="M425" s="109" t="n"/>
      <c r="N425" s="72" t="n"/>
      <c r="O425" s="79">
        <f>IF(AND(F425&lt;&gt;"",L425&lt;&gt;"Resolved"),1,0)</f>
        <v/>
      </c>
      <c r="P425" s="79">
        <f>IF(F425="","",IF(O425=0,0,IF(H425="High",2,1)))</f>
        <v/>
      </c>
      <c r="Q425" s="112">
        <f>IF(O425=1,IF(K425&lt;&gt;"",K425,IF(H425="High",AsOf,"")),"")</f>
        <v/>
      </c>
      <c r="R425" s="79">
        <f>IF(Q425="","",IF(H425="High",1,IF(Q425="","",IF(Q425&lt;AsOf,1,IF(Q425&lt;=AsOf+AlertDays,2,IF(Q425&lt;=AsOf+2*AlertDays,3,""))))))</f>
        <v/>
      </c>
      <c r="S425" s="79">
        <f>IF(R425="","",IF(H425="High","High-severity issue: ",IF(C425="Punch item","Punch item: ","Issue action due: "))&amp;F425&amp;IF(J425="",""," → "&amp;J425))</f>
        <v/>
      </c>
      <c r="T425" s="79">
        <f>IF(O425=1,IF(I425="",0,I425),0)</f>
        <v/>
      </c>
      <c r="U425" s="79">
        <f>IF(AND(O425=1,H425="High"),1,0)</f>
        <v/>
      </c>
      <c r="V425" s="79">
        <f>IF(AND(O425=1,C425="Punch item"),1,0)</f>
        <v/>
      </c>
    </row>
    <row r="426" ht="24" customHeight="1">
      <c r="B426" s="125" t="n">
        <v>419</v>
      </c>
      <c r="C426" s="72" t="n"/>
      <c r="D426" s="109" t="n"/>
      <c r="E426" s="72" t="n"/>
      <c r="F426" s="113" t="n"/>
      <c r="G426" s="72" t="n"/>
      <c r="H426" s="74" t="n"/>
      <c r="I426" s="73" t="n"/>
      <c r="J426" s="113" t="n"/>
      <c r="K426" s="109" t="n"/>
      <c r="L426" s="72" t="n"/>
      <c r="M426" s="109" t="n"/>
      <c r="N426" s="72" t="n"/>
      <c r="O426" s="79">
        <f>IF(AND(F426&lt;&gt;"",L426&lt;&gt;"Resolved"),1,0)</f>
        <v/>
      </c>
      <c r="P426" s="79">
        <f>IF(F426="","",IF(O426=0,0,IF(H426="High",2,1)))</f>
        <v/>
      </c>
      <c r="Q426" s="112">
        <f>IF(O426=1,IF(K426&lt;&gt;"",K426,IF(H426="High",AsOf,"")),"")</f>
        <v/>
      </c>
      <c r="R426" s="79">
        <f>IF(Q426="","",IF(H426="High",1,IF(Q426="","",IF(Q426&lt;AsOf,1,IF(Q426&lt;=AsOf+AlertDays,2,IF(Q426&lt;=AsOf+2*AlertDays,3,""))))))</f>
        <v/>
      </c>
      <c r="S426" s="79">
        <f>IF(R426="","",IF(H426="High","High-severity issue: ",IF(C426="Punch item","Punch item: ","Issue action due: "))&amp;F426&amp;IF(J426="",""," → "&amp;J426))</f>
        <v/>
      </c>
      <c r="T426" s="79">
        <f>IF(O426=1,IF(I426="",0,I426),0)</f>
        <v/>
      </c>
      <c r="U426" s="79">
        <f>IF(AND(O426=1,H426="High"),1,0)</f>
        <v/>
      </c>
      <c r="V426" s="79">
        <f>IF(AND(O426=1,C426="Punch item"),1,0)</f>
        <v/>
      </c>
    </row>
    <row r="427" ht="24" customHeight="1">
      <c r="B427" s="125" t="n">
        <v>420</v>
      </c>
      <c r="C427" s="72" t="n"/>
      <c r="D427" s="109" t="n"/>
      <c r="E427" s="72" t="n"/>
      <c r="F427" s="113" t="n"/>
      <c r="G427" s="72" t="n"/>
      <c r="H427" s="74" t="n"/>
      <c r="I427" s="73" t="n"/>
      <c r="J427" s="113" t="n"/>
      <c r="K427" s="109" t="n"/>
      <c r="L427" s="72" t="n"/>
      <c r="M427" s="109" t="n"/>
      <c r="N427" s="72" t="n"/>
      <c r="O427" s="79">
        <f>IF(AND(F427&lt;&gt;"",L427&lt;&gt;"Resolved"),1,0)</f>
        <v/>
      </c>
      <c r="P427" s="79">
        <f>IF(F427="","",IF(O427=0,0,IF(H427="High",2,1)))</f>
        <v/>
      </c>
      <c r="Q427" s="112">
        <f>IF(O427=1,IF(K427&lt;&gt;"",K427,IF(H427="High",AsOf,"")),"")</f>
        <v/>
      </c>
      <c r="R427" s="79">
        <f>IF(Q427="","",IF(H427="High",1,IF(Q427="","",IF(Q427&lt;AsOf,1,IF(Q427&lt;=AsOf+AlertDays,2,IF(Q427&lt;=AsOf+2*AlertDays,3,""))))))</f>
        <v/>
      </c>
      <c r="S427" s="79">
        <f>IF(R427="","",IF(H427="High","High-severity issue: ",IF(C427="Punch item","Punch item: ","Issue action due: "))&amp;F427&amp;IF(J427="",""," → "&amp;J427))</f>
        <v/>
      </c>
      <c r="T427" s="79">
        <f>IF(O427=1,IF(I427="",0,I427),0)</f>
        <v/>
      </c>
      <c r="U427" s="79">
        <f>IF(AND(O427=1,H427="High"),1,0)</f>
        <v/>
      </c>
      <c r="V427" s="79">
        <f>IF(AND(O427=1,C427="Punch item"),1,0)</f>
        <v/>
      </c>
    </row>
    <row r="428" ht="24" customHeight="1">
      <c r="B428" s="125" t="n">
        <v>421</v>
      </c>
      <c r="C428" s="72" t="n"/>
      <c r="D428" s="109" t="n"/>
      <c r="E428" s="72" t="n"/>
      <c r="F428" s="113" t="n"/>
      <c r="G428" s="72" t="n"/>
      <c r="H428" s="74" t="n"/>
      <c r="I428" s="73" t="n"/>
      <c r="J428" s="113" t="n"/>
      <c r="K428" s="109" t="n"/>
      <c r="L428" s="72" t="n"/>
      <c r="M428" s="109" t="n"/>
      <c r="N428" s="72" t="n"/>
      <c r="O428" s="79">
        <f>IF(AND(F428&lt;&gt;"",L428&lt;&gt;"Resolved"),1,0)</f>
        <v/>
      </c>
      <c r="P428" s="79">
        <f>IF(F428="","",IF(O428=0,0,IF(H428="High",2,1)))</f>
        <v/>
      </c>
      <c r="Q428" s="112">
        <f>IF(O428=1,IF(K428&lt;&gt;"",K428,IF(H428="High",AsOf,"")),"")</f>
        <v/>
      </c>
      <c r="R428" s="79">
        <f>IF(Q428="","",IF(H428="High",1,IF(Q428="","",IF(Q428&lt;AsOf,1,IF(Q428&lt;=AsOf+AlertDays,2,IF(Q428&lt;=AsOf+2*AlertDays,3,""))))))</f>
        <v/>
      </c>
      <c r="S428" s="79">
        <f>IF(R428="","",IF(H428="High","High-severity issue: ",IF(C428="Punch item","Punch item: ","Issue action due: "))&amp;F428&amp;IF(J428="",""," → "&amp;J428))</f>
        <v/>
      </c>
      <c r="T428" s="79">
        <f>IF(O428=1,IF(I428="",0,I428),0)</f>
        <v/>
      </c>
      <c r="U428" s="79">
        <f>IF(AND(O428=1,H428="High"),1,0)</f>
        <v/>
      </c>
      <c r="V428" s="79">
        <f>IF(AND(O428=1,C428="Punch item"),1,0)</f>
        <v/>
      </c>
    </row>
    <row r="429" ht="24" customHeight="1">
      <c r="B429" s="125" t="n">
        <v>422</v>
      </c>
      <c r="C429" s="72" t="n"/>
      <c r="D429" s="109" t="n"/>
      <c r="E429" s="72" t="n"/>
      <c r="F429" s="113" t="n"/>
      <c r="G429" s="72" t="n"/>
      <c r="H429" s="74" t="n"/>
      <c r="I429" s="73" t="n"/>
      <c r="J429" s="113" t="n"/>
      <c r="K429" s="109" t="n"/>
      <c r="L429" s="72" t="n"/>
      <c r="M429" s="109" t="n"/>
      <c r="N429" s="72" t="n"/>
      <c r="O429" s="79">
        <f>IF(AND(F429&lt;&gt;"",L429&lt;&gt;"Resolved"),1,0)</f>
        <v/>
      </c>
      <c r="P429" s="79">
        <f>IF(F429="","",IF(O429=0,0,IF(H429="High",2,1)))</f>
        <v/>
      </c>
      <c r="Q429" s="112">
        <f>IF(O429=1,IF(K429&lt;&gt;"",K429,IF(H429="High",AsOf,"")),"")</f>
        <v/>
      </c>
      <c r="R429" s="79">
        <f>IF(Q429="","",IF(H429="High",1,IF(Q429="","",IF(Q429&lt;AsOf,1,IF(Q429&lt;=AsOf+AlertDays,2,IF(Q429&lt;=AsOf+2*AlertDays,3,""))))))</f>
        <v/>
      </c>
      <c r="S429" s="79">
        <f>IF(R429="","",IF(H429="High","High-severity issue: ",IF(C429="Punch item","Punch item: ","Issue action due: "))&amp;F429&amp;IF(J429="",""," → "&amp;J429))</f>
        <v/>
      </c>
      <c r="T429" s="79">
        <f>IF(O429=1,IF(I429="",0,I429),0)</f>
        <v/>
      </c>
      <c r="U429" s="79">
        <f>IF(AND(O429=1,H429="High"),1,0)</f>
        <v/>
      </c>
      <c r="V429" s="79">
        <f>IF(AND(O429=1,C429="Punch item"),1,0)</f>
        <v/>
      </c>
    </row>
    <row r="430" ht="24" customHeight="1">
      <c r="B430" s="125" t="n">
        <v>423</v>
      </c>
      <c r="C430" s="72" t="n"/>
      <c r="D430" s="109" t="n"/>
      <c r="E430" s="72" t="n"/>
      <c r="F430" s="113" t="n"/>
      <c r="G430" s="72" t="n"/>
      <c r="H430" s="74" t="n"/>
      <c r="I430" s="73" t="n"/>
      <c r="J430" s="113" t="n"/>
      <c r="K430" s="109" t="n"/>
      <c r="L430" s="72" t="n"/>
      <c r="M430" s="109" t="n"/>
      <c r="N430" s="72" t="n"/>
      <c r="O430" s="79">
        <f>IF(AND(F430&lt;&gt;"",L430&lt;&gt;"Resolved"),1,0)</f>
        <v/>
      </c>
      <c r="P430" s="79">
        <f>IF(F430="","",IF(O430=0,0,IF(H430="High",2,1)))</f>
        <v/>
      </c>
      <c r="Q430" s="112">
        <f>IF(O430=1,IF(K430&lt;&gt;"",K430,IF(H430="High",AsOf,"")),"")</f>
        <v/>
      </c>
      <c r="R430" s="79">
        <f>IF(Q430="","",IF(H430="High",1,IF(Q430="","",IF(Q430&lt;AsOf,1,IF(Q430&lt;=AsOf+AlertDays,2,IF(Q430&lt;=AsOf+2*AlertDays,3,""))))))</f>
        <v/>
      </c>
      <c r="S430" s="79">
        <f>IF(R430="","",IF(H430="High","High-severity issue: ",IF(C430="Punch item","Punch item: ","Issue action due: "))&amp;F430&amp;IF(J430="",""," → "&amp;J430))</f>
        <v/>
      </c>
      <c r="T430" s="79">
        <f>IF(O430=1,IF(I430="",0,I430),0)</f>
        <v/>
      </c>
      <c r="U430" s="79">
        <f>IF(AND(O430=1,H430="High"),1,0)</f>
        <v/>
      </c>
      <c r="V430" s="79">
        <f>IF(AND(O430=1,C430="Punch item"),1,0)</f>
        <v/>
      </c>
    </row>
    <row r="431" ht="24" customHeight="1">
      <c r="B431" s="125" t="n">
        <v>424</v>
      </c>
      <c r="C431" s="72" t="n"/>
      <c r="D431" s="109" t="n"/>
      <c r="E431" s="72" t="n"/>
      <c r="F431" s="113" t="n"/>
      <c r="G431" s="72" t="n"/>
      <c r="H431" s="74" t="n"/>
      <c r="I431" s="73" t="n"/>
      <c r="J431" s="113" t="n"/>
      <c r="K431" s="109" t="n"/>
      <c r="L431" s="72" t="n"/>
      <c r="M431" s="109" t="n"/>
      <c r="N431" s="72" t="n"/>
      <c r="O431" s="79">
        <f>IF(AND(F431&lt;&gt;"",L431&lt;&gt;"Resolved"),1,0)</f>
        <v/>
      </c>
      <c r="P431" s="79">
        <f>IF(F431="","",IF(O431=0,0,IF(H431="High",2,1)))</f>
        <v/>
      </c>
      <c r="Q431" s="112">
        <f>IF(O431=1,IF(K431&lt;&gt;"",K431,IF(H431="High",AsOf,"")),"")</f>
        <v/>
      </c>
      <c r="R431" s="79">
        <f>IF(Q431="","",IF(H431="High",1,IF(Q431="","",IF(Q431&lt;AsOf,1,IF(Q431&lt;=AsOf+AlertDays,2,IF(Q431&lt;=AsOf+2*AlertDays,3,""))))))</f>
        <v/>
      </c>
      <c r="S431" s="79">
        <f>IF(R431="","",IF(H431="High","High-severity issue: ",IF(C431="Punch item","Punch item: ","Issue action due: "))&amp;F431&amp;IF(J431="",""," → "&amp;J431))</f>
        <v/>
      </c>
      <c r="T431" s="79">
        <f>IF(O431=1,IF(I431="",0,I431),0)</f>
        <v/>
      </c>
      <c r="U431" s="79">
        <f>IF(AND(O431=1,H431="High"),1,0)</f>
        <v/>
      </c>
      <c r="V431" s="79">
        <f>IF(AND(O431=1,C431="Punch item"),1,0)</f>
        <v/>
      </c>
    </row>
    <row r="432" ht="24" customHeight="1">
      <c r="B432" s="125" t="n">
        <v>425</v>
      </c>
      <c r="C432" s="72" t="n"/>
      <c r="D432" s="109" t="n"/>
      <c r="E432" s="72" t="n"/>
      <c r="F432" s="113" t="n"/>
      <c r="G432" s="72" t="n"/>
      <c r="H432" s="74" t="n"/>
      <c r="I432" s="73" t="n"/>
      <c r="J432" s="113" t="n"/>
      <c r="K432" s="109" t="n"/>
      <c r="L432" s="72" t="n"/>
      <c r="M432" s="109" t="n"/>
      <c r="N432" s="72" t="n"/>
      <c r="O432" s="79">
        <f>IF(AND(F432&lt;&gt;"",L432&lt;&gt;"Resolved"),1,0)</f>
        <v/>
      </c>
      <c r="P432" s="79">
        <f>IF(F432="","",IF(O432=0,0,IF(H432="High",2,1)))</f>
        <v/>
      </c>
      <c r="Q432" s="112">
        <f>IF(O432=1,IF(K432&lt;&gt;"",K432,IF(H432="High",AsOf,"")),"")</f>
        <v/>
      </c>
      <c r="R432" s="79">
        <f>IF(Q432="","",IF(H432="High",1,IF(Q432="","",IF(Q432&lt;AsOf,1,IF(Q432&lt;=AsOf+AlertDays,2,IF(Q432&lt;=AsOf+2*AlertDays,3,""))))))</f>
        <v/>
      </c>
      <c r="S432" s="79">
        <f>IF(R432="","",IF(H432="High","High-severity issue: ",IF(C432="Punch item","Punch item: ","Issue action due: "))&amp;F432&amp;IF(J432="",""," → "&amp;J432))</f>
        <v/>
      </c>
      <c r="T432" s="79">
        <f>IF(O432=1,IF(I432="",0,I432),0)</f>
        <v/>
      </c>
      <c r="U432" s="79">
        <f>IF(AND(O432=1,H432="High"),1,0)</f>
        <v/>
      </c>
      <c r="V432" s="79">
        <f>IF(AND(O432=1,C432="Punch item"),1,0)</f>
        <v/>
      </c>
    </row>
    <row r="433" ht="24" customHeight="1">
      <c r="B433" s="125" t="n">
        <v>426</v>
      </c>
      <c r="C433" s="72" t="n"/>
      <c r="D433" s="109" t="n"/>
      <c r="E433" s="72" t="n"/>
      <c r="F433" s="113" t="n"/>
      <c r="G433" s="72" t="n"/>
      <c r="H433" s="74" t="n"/>
      <c r="I433" s="73" t="n"/>
      <c r="J433" s="113" t="n"/>
      <c r="K433" s="109" t="n"/>
      <c r="L433" s="72" t="n"/>
      <c r="M433" s="109" t="n"/>
      <c r="N433" s="72" t="n"/>
      <c r="O433" s="79">
        <f>IF(AND(F433&lt;&gt;"",L433&lt;&gt;"Resolved"),1,0)</f>
        <v/>
      </c>
      <c r="P433" s="79">
        <f>IF(F433="","",IF(O433=0,0,IF(H433="High",2,1)))</f>
        <v/>
      </c>
      <c r="Q433" s="112">
        <f>IF(O433=1,IF(K433&lt;&gt;"",K433,IF(H433="High",AsOf,"")),"")</f>
        <v/>
      </c>
      <c r="R433" s="79">
        <f>IF(Q433="","",IF(H433="High",1,IF(Q433="","",IF(Q433&lt;AsOf,1,IF(Q433&lt;=AsOf+AlertDays,2,IF(Q433&lt;=AsOf+2*AlertDays,3,""))))))</f>
        <v/>
      </c>
      <c r="S433" s="79">
        <f>IF(R433="","",IF(H433="High","High-severity issue: ",IF(C433="Punch item","Punch item: ","Issue action due: "))&amp;F433&amp;IF(J433="",""," → "&amp;J433))</f>
        <v/>
      </c>
      <c r="T433" s="79">
        <f>IF(O433=1,IF(I433="",0,I433),0)</f>
        <v/>
      </c>
      <c r="U433" s="79">
        <f>IF(AND(O433=1,H433="High"),1,0)</f>
        <v/>
      </c>
      <c r="V433" s="79">
        <f>IF(AND(O433=1,C433="Punch item"),1,0)</f>
        <v/>
      </c>
    </row>
    <row r="434" ht="24" customHeight="1">
      <c r="B434" s="125" t="n">
        <v>427</v>
      </c>
      <c r="C434" s="72" t="n"/>
      <c r="D434" s="109" t="n"/>
      <c r="E434" s="72" t="n"/>
      <c r="F434" s="113" t="n"/>
      <c r="G434" s="72" t="n"/>
      <c r="H434" s="74" t="n"/>
      <c r="I434" s="73" t="n"/>
      <c r="J434" s="113" t="n"/>
      <c r="K434" s="109" t="n"/>
      <c r="L434" s="72" t="n"/>
      <c r="M434" s="109" t="n"/>
      <c r="N434" s="72" t="n"/>
      <c r="O434" s="79">
        <f>IF(AND(F434&lt;&gt;"",L434&lt;&gt;"Resolved"),1,0)</f>
        <v/>
      </c>
      <c r="P434" s="79">
        <f>IF(F434="","",IF(O434=0,0,IF(H434="High",2,1)))</f>
        <v/>
      </c>
      <c r="Q434" s="112">
        <f>IF(O434=1,IF(K434&lt;&gt;"",K434,IF(H434="High",AsOf,"")),"")</f>
        <v/>
      </c>
      <c r="R434" s="79">
        <f>IF(Q434="","",IF(H434="High",1,IF(Q434="","",IF(Q434&lt;AsOf,1,IF(Q434&lt;=AsOf+AlertDays,2,IF(Q434&lt;=AsOf+2*AlertDays,3,""))))))</f>
        <v/>
      </c>
      <c r="S434" s="79">
        <f>IF(R434="","",IF(H434="High","High-severity issue: ",IF(C434="Punch item","Punch item: ","Issue action due: "))&amp;F434&amp;IF(J434="",""," → "&amp;J434))</f>
        <v/>
      </c>
      <c r="T434" s="79">
        <f>IF(O434=1,IF(I434="",0,I434),0)</f>
        <v/>
      </c>
      <c r="U434" s="79">
        <f>IF(AND(O434=1,H434="High"),1,0)</f>
        <v/>
      </c>
      <c r="V434" s="79">
        <f>IF(AND(O434=1,C434="Punch item"),1,0)</f>
        <v/>
      </c>
    </row>
    <row r="435" ht="24" customHeight="1">
      <c r="B435" s="125" t="n">
        <v>428</v>
      </c>
      <c r="C435" s="72" t="n"/>
      <c r="D435" s="109" t="n"/>
      <c r="E435" s="72" t="n"/>
      <c r="F435" s="113" t="n"/>
      <c r="G435" s="72" t="n"/>
      <c r="H435" s="74" t="n"/>
      <c r="I435" s="73" t="n"/>
      <c r="J435" s="113" t="n"/>
      <c r="K435" s="109" t="n"/>
      <c r="L435" s="72" t="n"/>
      <c r="M435" s="109" t="n"/>
      <c r="N435" s="72" t="n"/>
      <c r="O435" s="79">
        <f>IF(AND(F435&lt;&gt;"",L435&lt;&gt;"Resolved"),1,0)</f>
        <v/>
      </c>
      <c r="P435" s="79">
        <f>IF(F435="","",IF(O435=0,0,IF(H435="High",2,1)))</f>
        <v/>
      </c>
      <c r="Q435" s="112">
        <f>IF(O435=1,IF(K435&lt;&gt;"",K435,IF(H435="High",AsOf,"")),"")</f>
        <v/>
      </c>
      <c r="R435" s="79">
        <f>IF(Q435="","",IF(H435="High",1,IF(Q435="","",IF(Q435&lt;AsOf,1,IF(Q435&lt;=AsOf+AlertDays,2,IF(Q435&lt;=AsOf+2*AlertDays,3,""))))))</f>
        <v/>
      </c>
      <c r="S435" s="79">
        <f>IF(R435="","",IF(H435="High","High-severity issue: ",IF(C435="Punch item","Punch item: ","Issue action due: "))&amp;F435&amp;IF(J435="",""," → "&amp;J435))</f>
        <v/>
      </c>
      <c r="T435" s="79">
        <f>IF(O435=1,IF(I435="",0,I435),0)</f>
        <v/>
      </c>
      <c r="U435" s="79">
        <f>IF(AND(O435=1,H435="High"),1,0)</f>
        <v/>
      </c>
      <c r="V435" s="79">
        <f>IF(AND(O435=1,C435="Punch item"),1,0)</f>
        <v/>
      </c>
    </row>
    <row r="436" ht="24" customHeight="1">
      <c r="B436" s="125" t="n">
        <v>429</v>
      </c>
      <c r="C436" s="72" t="n"/>
      <c r="D436" s="109" t="n"/>
      <c r="E436" s="72" t="n"/>
      <c r="F436" s="113" t="n"/>
      <c r="G436" s="72" t="n"/>
      <c r="H436" s="74" t="n"/>
      <c r="I436" s="73" t="n"/>
      <c r="J436" s="113" t="n"/>
      <c r="K436" s="109" t="n"/>
      <c r="L436" s="72" t="n"/>
      <c r="M436" s="109" t="n"/>
      <c r="N436" s="72" t="n"/>
      <c r="O436" s="79">
        <f>IF(AND(F436&lt;&gt;"",L436&lt;&gt;"Resolved"),1,0)</f>
        <v/>
      </c>
      <c r="P436" s="79">
        <f>IF(F436="","",IF(O436=0,0,IF(H436="High",2,1)))</f>
        <v/>
      </c>
      <c r="Q436" s="112">
        <f>IF(O436=1,IF(K436&lt;&gt;"",K436,IF(H436="High",AsOf,"")),"")</f>
        <v/>
      </c>
      <c r="R436" s="79">
        <f>IF(Q436="","",IF(H436="High",1,IF(Q436="","",IF(Q436&lt;AsOf,1,IF(Q436&lt;=AsOf+AlertDays,2,IF(Q436&lt;=AsOf+2*AlertDays,3,""))))))</f>
        <v/>
      </c>
      <c r="S436" s="79">
        <f>IF(R436="","",IF(H436="High","High-severity issue: ",IF(C436="Punch item","Punch item: ","Issue action due: "))&amp;F436&amp;IF(J436="",""," → "&amp;J436))</f>
        <v/>
      </c>
      <c r="T436" s="79">
        <f>IF(O436=1,IF(I436="",0,I436),0)</f>
        <v/>
      </c>
      <c r="U436" s="79">
        <f>IF(AND(O436=1,H436="High"),1,0)</f>
        <v/>
      </c>
      <c r="V436" s="79">
        <f>IF(AND(O436=1,C436="Punch item"),1,0)</f>
        <v/>
      </c>
    </row>
    <row r="437" ht="24" customHeight="1">
      <c r="B437" s="125" t="n">
        <v>430</v>
      </c>
      <c r="C437" s="72" t="n"/>
      <c r="D437" s="109" t="n"/>
      <c r="E437" s="72" t="n"/>
      <c r="F437" s="113" t="n"/>
      <c r="G437" s="72" t="n"/>
      <c r="H437" s="74" t="n"/>
      <c r="I437" s="73" t="n"/>
      <c r="J437" s="113" t="n"/>
      <c r="K437" s="109" t="n"/>
      <c r="L437" s="72" t="n"/>
      <c r="M437" s="109" t="n"/>
      <c r="N437" s="72" t="n"/>
      <c r="O437" s="79">
        <f>IF(AND(F437&lt;&gt;"",L437&lt;&gt;"Resolved"),1,0)</f>
        <v/>
      </c>
      <c r="P437" s="79">
        <f>IF(F437="","",IF(O437=0,0,IF(H437="High",2,1)))</f>
        <v/>
      </c>
      <c r="Q437" s="112">
        <f>IF(O437=1,IF(K437&lt;&gt;"",K437,IF(H437="High",AsOf,"")),"")</f>
        <v/>
      </c>
      <c r="R437" s="79">
        <f>IF(Q437="","",IF(H437="High",1,IF(Q437="","",IF(Q437&lt;AsOf,1,IF(Q437&lt;=AsOf+AlertDays,2,IF(Q437&lt;=AsOf+2*AlertDays,3,""))))))</f>
        <v/>
      </c>
      <c r="S437" s="79">
        <f>IF(R437="","",IF(H437="High","High-severity issue: ",IF(C437="Punch item","Punch item: ","Issue action due: "))&amp;F437&amp;IF(J437="",""," → "&amp;J437))</f>
        <v/>
      </c>
      <c r="T437" s="79">
        <f>IF(O437=1,IF(I437="",0,I437),0)</f>
        <v/>
      </c>
      <c r="U437" s="79">
        <f>IF(AND(O437=1,H437="High"),1,0)</f>
        <v/>
      </c>
      <c r="V437" s="79">
        <f>IF(AND(O437=1,C437="Punch item"),1,0)</f>
        <v/>
      </c>
    </row>
    <row r="438" ht="24" customHeight="1">
      <c r="B438" s="125" t="n">
        <v>431</v>
      </c>
      <c r="C438" s="72" t="n"/>
      <c r="D438" s="109" t="n"/>
      <c r="E438" s="72" t="n"/>
      <c r="F438" s="113" t="n"/>
      <c r="G438" s="72" t="n"/>
      <c r="H438" s="74" t="n"/>
      <c r="I438" s="73" t="n"/>
      <c r="J438" s="113" t="n"/>
      <c r="K438" s="109" t="n"/>
      <c r="L438" s="72" t="n"/>
      <c r="M438" s="109" t="n"/>
      <c r="N438" s="72" t="n"/>
      <c r="O438" s="79">
        <f>IF(AND(F438&lt;&gt;"",L438&lt;&gt;"Resolved"),1,0)</f>
        <v/>
      </c>
      <c r="P438" s="79">
        <f>IF(F438="","",IF(O438=0,0,IF(H438="High",2,1)))</f>
        <v/>
      </c>
      <c r="Q438" s="112">
        <f>IF(O438=1,IF(K438&lt;&gt;"",K438,IF(H438="High",AsOf,"")),"")</f>
        <v/>
      </c>
      <c r="R438" s="79">
        <f>IF(Q438="","",IF(H438="High",1,IF(Q438="","",IF(Q438&lt;AsOf,1,IF(Q438&lt;=AsOf+AlertDays,2,IF(Q438&lt;=AsOf+2*AlertDays,3,""))))))</f>
        <v/>
      </c>
      <c r="S438" s="79">
        <f>IF(R438="","",IF(H438="High","High-severity issue: ",IF(C438="Punch item","Punch item: ","Issue action due: "))&amp;F438&amp;IF(J438="",""," → "&amp;J438))</f>
        <v/>
      </c>
      <c r="T438" s="79">
        <f>IF(O438=1,IF(I438="",0,I438),0)</f>
        <v/>
      </c>
      <c r="U438" s="79">
        <f>IF(AND(O438=1,H438="High"),1,0)</f>
        <v/>
      </c>
      <c r="V438" s="79">
        <f>IF(AND(O438=1,C438="Punch item"),1,0)</f>
        <v/>
      </c>
    </row>
    <row r="439" ht="24" customHeight="1">
      <c r="B439" s="125" t="n">
        <v>432</v>
      </c>
      <c r="C439" s="72" t="n"/>
      <c r="D439" s="109" t="n"/>
      <c r="E439" s="72" t="n"/>
      <c r="F439" s="113" t="n"/>
      <c r="G439" s="72" t="n"/>
      <c r="H439" s="74" t="n"/>
      <c r="I439" s="73" t="n"/>
      <c r="J439" s="113" t="n"/>
      <c r="K439" s="109" t="n"/>
      <c r="L439" s="72" t="n"/>
      <c r="M439" s="109" t="n"/>
      <c r="N439" s="72" t="n"/>
      <c r="O439" s="79">
        <f>IF(AND(F439&lt;&gt;"",L439&lt;&gt;"Resolved"),1,0)</f>
        <v/>
      </c>
      <c r="P439" s="79">
        <f>IF(F439="","",IF(O439=0,0,IF(H439="High",2,1)))</f>
        <v/>
      </c>
      <c r="Q439" s="112">
        <f>IF(O439=1,IF(K439&lt;&gt;"",K439,IF(H439="High",AsOf,"")),"")</f>
        <v/>
      </c>
      <c r="R439" s="79">
        <f>IF(Q439="","",IF(H439="High",1,IF(Q439="","",IF(Q439&lt;AsOf,1,IF(Q439&lt;=AsOf+AlertDays,2,IF(Q439&lt;=AsOf+2*AlertDays,3,""))))))</f>
        <v/>
      </c>
      <c r="S439" s="79">
        <f>IF(R439="","",IF(H439="High","High-severity issue: ",IF(C439="Punch item","Punch item: ","Issue action due: "))&amp;F439&amp;IF(J439="",""," → "&amp;J439))</f>
        <v/>
      </c>
      <c r="T439" s="79">
        <f>IF(O439=1,IF(I439="",0,I439),0)</f>
        <v/>
      </c>
      <c r="U439" s="79">
        <f>IF(AND(O439=1,H439="High"),1,0)</f>
        <v/>
      </c>
      <c r="V439" s="79">
        <f>IF(AND(O439=1,C439="Punch item"),1,0)</f>
        <v/>
      </c>
    </row>
    <row r="440" ht="24" customHeight="1">
      <c r="B440" s="125" t="n">
        <v>433</v>
      </c>
      <c r="C440" s="72" t="n"/>
      <c r="D440" s="109" t="n"/>
      <c r="E440" s="72" t="n"/>
      <c r="F440" s="113" t="n"/>
      <c r="G440" s="72" t="n"/>
      <c r="H440" s="74" t="n"/>
      <c r="I440" s="73" t="n"/>
      <c r="J440" s="113" t="n"/>
      <c r="K440" s="109" t="n"/>
      <c r="L440" s="72" t="n"/>
      <c r="M440" s="109" t="n"/>
      <c r="N440" s="72" t="n"/>
      <c r="O440" s="79">
        <f>IF(AND(F440&lt;&gt;"",L440&lt;&gt;"Resolved"),1,0)</f>
        <v/>
      </c>
      <c r="P440" s="79">
        <f>IF(F440="","",IF(O440=0,0,IF(H440="High",2,1)))</f>
        <v/>
      </c>
      <c r="Q440" s="112">
        <f>IF(O440=1,IF(K440&lt;&gt;"",K440,IF(H440="High",AsOf,"")),"")</f>
        <v/>
      </c>
      <c r="R440" s="79">
        <f>IF(Q440="","",IF(H440="High",1,IF(Q440="","",IF(Q440&lt;AsOf,1,IF(Q440&lt;=AsOf+AlertDays,2,IF(Q440&lt;=AsOf+2*AlertDays,3,""))))))</f>
        <v/>
      </c>
      <c r="S440" s="79">
        <f>IF(R440="","",IF(H440="High","High-severity issue: ",IF(C440="Punch item","Punch item: ","Issue action due: "))&amp;F440&amp;IF(J440="",""," → "&amp;J440))</f>
        <v/>
      </c>
      <c r="T440" s="79">
        <f>IF(O440=1,IF(I440="",0,I440),0)</f>
        <v/>
      </c>
      <c r="U440" s="79">
        <f>IF(AND(O440=1,H440="High"),1,0)</f>
        <v/>
      </c>
      <c r="V440" s="79">
        <f>IF(AND(O440=1,C440="Punch item"),1,0)</f>
        <v/>
      </c>
    </row>
    <row r="441" ht="24" customHeight="1">
      <c r="B441" s="125" t="n">
        <v>434</v>
      </c>
      <c r="C441" s="72" t="n"/>
      <c r="D441" s="109" t="n"/>
      <c r="E441" s="72" t="n"/>
      <c r="F441" s="113" t="n"/>
      <c r="G441" s="72" t="n"/>
      <c r="H441" s="74" t="n"/>
      <c r="I441" s="73" t="n"/>
      <c r="J441" s="113" t="n"/>
      <c r="K441" s="109" t="n"/>
      <c r="L441" s="72" t="n"/>
      <c r="M441" s="109" t="n"/>
      <c r="N441" s="72" t="n"/>
      <c r="O441" s="79">
        <f>IF(AND(F441&lt;&gt;"",L441&lt;&gt;"Resolved"),1,0)</f>
        <v/>
      </c>
      <c r="P441" s="79">
        <f>IF(F441="","",IF(O441=0,0,IF(H441="High",2,1)))</f>
        <v/>
      </c>
      <c r="Q441" s="112">
        <f>IF(O441=1,IF(K441&lt;&gt;"",K441,IF(H441="High",AsOf,"")),"")</f>
        <v/>
      </c>
      <c r="R441" s="79">
        <f>IF(Q441="","",IF(H441="High",1,IF(Q441="","",IF(Q441&lt;AsOf,1,IF(Q441&lt;=AsOf+AlertDays,2,IF(Q441&lt;=AsOf+2*AlertDays,3,""))))))</f>
        <v/>
      </c>
      <c r="S441" s="79">
        <f>IF(R441="","",IF(H441="High","High-severity issue: ",IF(C441="Punch item","Punch item: ","Issue action due: "))&amp;F441&amp;IF(J441="",""," → "&amp;J441))</f>
        <v/>
      </c>
      <c r="T441" s="79">
        <f>IF(O441=1,IF(I441="",0,I441),0)</f>
        <v/>
      </c>
      <c r="U441" s="79">
        <f>IF(AND(O441=1,H441="High"),1,0)</f>
        <v/>
      </c>
      <c r="V441" s="79">
        <f>IF(AND(O441=1,C441="Punch item"),1,0)</f>
        <v/>
      </c>
    </row>
    <row r="442" ht="24" customHeight="1">
      <c r="B442" s="125" t="n">
        <v>435</v>
      </c>
      <c r="C442" s="72" t="n"/>
      <c r="D442" s="109" t="n"/>
      <c r="E442" s="72" t="n"/>
      <c r="F442" s="113" t="n"/>
      <c r="G442" s="72" t="n"/>
      <c r="H442" s="74" t="n"/>
      <c r="I442" s="73" t="n"/>
      <c r="J442" s="113" t="n"/>
      <c r="K442" s="109" t="n"/>
      <c r="L442" s="72" t="n"/>
      <c r="M442" s="109" t="n"/>
      <c r="N442" s="72" t="n"/>
      <c r="O442" s="79">
        <f>IF(AND(F442&lt;&gt;"",L442&lt;&gt;"Resolved"),1,0)</f>
        <v/>
      </c>
      <c r="P442" s="79">
        <f>IF(F442="","",IF(O442=0,0,IF(H442="High",2,1)))</f>
        <v/>
      </c>
      <c r="Q442" s="112">
        <f>IF(O442=1,IF(K442&lt;&gt;"",K442,IF(H442="High",AsOf,"")),"")</f>
        <v/>
      </c>
      <c r="R442" s="79">
        <f>IF(Q442="","",IF(H442="High",1,IF(Q442="","",IF(Q442&lt;AsOf,1,IF(Q442&lt;=AsOf+AlertDays,2,IF(Q442&lt;=AsOf+2*AlertDays,3,""))))))</f>
        <v/>
      </c>
      <c r="S442" s="79">
        <f>IF(R442="","",IF(H442="High","High-severity issue: ",IF(C442="Punch item","Punch item: ","Issue action due: "))&amp;F442&amp;IF(J442="",""," → "&amp;J442))</f>
        <v/>
      </c>
      <c r="T442" s="79">
        <f>IF(O442=1,IF(I442="",0,I442),0)</f>
        <v/>
      </c>
      <c r="U442" s="79">
        <f>IF(AND(O442=1,H442="High"),1,0)</f>
        <v/>
      </c>
      <c r="V442" s="79">
        <f>IF(AND(O442=1,C442="Punch item"),1,0)</f>
        <v/>
      </c>
    </row>
    <row r="443" ht="24" customHeight="1">
      <c r="B443" s="125" t="n">
        <v>436</v>
      </c>
      <c r="C443" s="72" t="n"/>
      <c r="D443" s="109" t="n"/>
      <c r="E443" s="72" t="n"/>
      <c r="F443" s="113" t="n"/>
      <c r="G443" s="72" t="n"/>
      <c r="H443" s="74" t="n"/>
      <c r="I443" s="73" t="n"/>
      <c r="J443" s="113" t="n"/>
      <c r="K443" s="109" t="n"/>
      <c r="L443" s="72" t="n"/>
      <c r="M443" s="109" t="n"/>
      <c r="N443" s="72" t="n"/>
      <c r="O443" s="79">
        <f>IF(AND(F443&lt;&gt;"",L443&lt;&gt;"Resolved"),1,0)</f>
        <v/>
      </c>
      <c r="P443" s="79">
        <f>IF(F443="","",IF(O443=0,0,IF(H443="High",2,1)))</f>
        <v/>
      </c>
      <c r="Q443" s="112">
        <f>IF(O443=1,IF(K443&lt;&gt;"",K443,IF(H443="High",AsOf,"")),"")</f>
        <v/>
      </c>
      <c r="R443" s="79">
        <f>IF(Q443="","",IF(H443="High",1,IF(Q443="","",IF(Q443&lt;AsOf,1,IF(Q443&lt;=AsOf+AlertDays,2,IF(Q443&lt;=AsOf+2*AlertDays,3,""))))))</f>
        <v/>
      </c>
      <c r="S443" s="79">
        <f>IF(R443="","",IF(H443="High","High-severity issue: ",IF(C443="Punch item","Punch item: ","Issue action due: "))&amp;F443&amp;IF(J443="",""," → "&amp;J443))</f>
        <v/>
      </c>
      <c r="T443" s="79">
        <f>IF(O443=1,IF(I443="",0,I443),0)</f>
        <v/>
      </c>
      <c r="U443" s="79">
        <f>IF(AND(O443=1,H443="High"),1,0)</f>
        <v/>
      </c>
      <c r="V443" s="79">
        <f>IF(AND(O443=1,C443="Punch item"),1,0)</f>
        <v/>
      </c>
    </row>
    <row r="444" ht="24" customHeight="1">
      <c r="B444" s="125" t="n">
        <v>437</v>
      </c>
      <c r="C444" s="72" t="n"/>
      <c r="D444" s="109" t="n"/>
      <c r="E444" s="72" t="n"/>
      <c r="F444" s="113" t="n"/>
      <c r="G444" s="72" t="n"/>
      <c r="H444" s="74" t="n"/>
      <c r="I444" s="73" t="n"/>
      <c r="J444" s="113" t="n"/>
      <c r="K444" s="109" t="n"/>
      <c r="L444" s="72" t="n"/>
      <c r="M444" s="109" t="n"/>
      <c r="N444" s="72" t="n"/>
      <c r="O444" s="79">
        <f>IF(AND(F444&lt;&gt;"",L444&lt;&gt;"Resolved"),1,0)</f>
        <v/>
      </c>
      <c r="P444" s="79">
        <f>IF(F444="","",IF(O444=0,0,IF(H444="High",2,1)))</f>
        <v/>
      </c>
      <c r="Q444" s="112">
        <f>IF(O444=1,IF(K444&lt;&gt;"",K444,IF(H444="High",AsOf,"")),"")</f>
        <v/>
      </c>
      <c r="R444" s="79">
        <f>IF(Q444="","",IF(H444="High",1,IF(Q444="","",IF(Q444&lt;AsOf,1,IF(Q444&lt;=AsOf+AlertDays,2,IF(Q444&lt;=AsOf+2*AlertDays,3,""))))))</f>
        <v/>
      </c>
      <c r="S444" s="79">
        <f>IF(R444="","",IF(H444="High","High-severity issue: ",IF(C444="Punch item","Punch item: ","Issue action due: "))&amp;F444&amp;IF(J444="",""," → "&amp;J444))</f>
        <v/>
      </c>
      <c r="T444" s="79">
        <f>IF(O444=1,IF(I444="",0,I444),0)</f>
        <v/>
      </c>
      <c r="U444" s="79">
        <f>IF(AND(O444=1,H444="High"),1,0)</f>
        <v/>
      </c>
      <c r="V444" s="79">
        <f>IF(AND(O444=1,C444="Punch item"),1,0)</f>
        <v/>
      </c>
    </row>
    <row r="445" ht="24" customHeight="1">
      <c r="B445" s="125" t="n">
        <v>438</v>
      </c>
      <c r="C445" s="72" t="n"/>
      <c r="D445" s="109" t="n"/>
      <c r="E445" s="72" t="n"/>
      <c r="F445" s="113" t="n"/>
      <c r="G445" s="72" t="n"/>
      <c r="H445" s="74" t="n"/>
      <c r="I445" s="73" t="n"/>
      <c r="J445" s="113" t="n"/>
      <c r="K445" s="109" t="n"/>
      <c r="L445" s="72" t="n"/>
      <c r="M445" s="109" t="n"/>
      <c r="N445" s="72" t="n"/>
      <c r="O445" s="79">
        <f>IF(AND(F445&lt;&gt;"",L445&lt;&gt;"Resolved"),1,0)</f>
        <v/>
      </c>
      <c r="P445" s="79">
        <f>IF(F445="","",IF(O445=0,0,IF(H445="High",2,1)))</f>
        <v/>
      </c>
      <c r="Q445" s="112">
        <f>IF(O445=1,IF(K445&lt;&gt;"",K445,IF(H445="High",AsOf,"")),"")</f>
        <v/>
      </c>
      <c r="R445" s="79">
        <f>IF(Q445="","",IF(H445="High",1,IF(Q445="","",IF(Q445&lt;AsOf,1,IF(Q445&lt;=AsOf+AlertDays,2,IF(Q445&lt;=AsOf+2*AlertDays,3,""))))))</f>
        <v/>
      </c>
      <c r="S445" s="79">
        <f>IF(R445="","",IF(H445="High","High-severity issue: ",IF(C445="Punch item","Punch item: ","Issue action due: "))&amp;F445&amp;IF(J445="",""," → "&amp;J445))</f>
        <v/>
      </c>
      <c r="T445" s="79">
        <f>IF(O445=1,IF(I445="",0,I445),0)</f>
        <v/>
      </c>
      <c r="U445" s="79">
        <f>IF(AND(O445=1,H445="High"),1,0)</f>
        <v/>
      </c>
      <c r="V445" s="79">
        <f>IF(AND(O445=1,C445="Punch item"),1,0)</f>
        <v/>
      </c>
    </row>
    <row r="446" ht="24" customHeight="1">
      <c r="B446" s="125" t="n">
        <v>439</v>
      </c>
      <c r="C446" s="72" t="n"/>
      <c r="D446" s="109" t="n"/>
      <c r="E446" s="72" t="n"/>
      <c r="F446" s="113" t="n"/>
      <c r="G446" s="72" t="n"/>
      <c r="H446" s="74" t="n"/>
      <c r="I446" s="73" t="n"/>
      <c r="J446" s="113" t="n"/>
      <c r="K446" s="109" t="n"/>
      <c r="L446" s="72" t="n"/>
      <c r="M446" s="109" t="n"/>
      <c r="N446" s="72" t="n"/>
      <c r="O446" s="79">
        <f>IF(AND(F446&lt;&gt;"",L446&lt;&gt;"Resolved"),1,0)</f>
        <v/>
      </c>
      <c r="P446" s="79">
        <f>IF(F446="","",IF(O446=0,0,IF(H446="High",2,1)))</f>
        <v/>
      </c>
      <c r="Q446" s="112">
        <f>IF(O446=1,IF(K446&lt;&gt;"",K446,IF(H446="High",AsOf,"")),"")</f>
        <v/>
      </c>
      <c r="R446" s="79">
        <f>IF(Q446="","",IF(H446="High",1,IF(Q446="","",IF(Q446&lt;AsOf,1,IF(Q446&lt;=AsOf+AlertDays,2,IF(Q446&lt;=AsOf+2*AlertDays,3,""))))))</f>
        <v/>
      </c>
      <c r="S446" s="79">
        <f>IF(R446="","",IF(H446="High","High-severity issue: ",IF(C446="Punch item","Punch item: ","Issue action due: "))&amp;F446&amp;IF(J446="",""," → "&amp;J446))</f>
        <v/>
      </c>
      <c r="T446" s="79">
        <f>IF(O446=1,IF(I446="",0,I446),0)</f>
        <v/>
      </c>
      <c r="U446" s="79">
        <f>IF(AND(O446=1,H446="High"),1,0)</f>
        <v/>
      </c>
      <c r="V446" s="79">
        <f>IF(AND(O446=1,C446="Punch item"),1,0)</f>
        <v/>
      </c>
    </row>
    <row r="447" ht="24" customHeight="1">
      <c r="B447" s="125" t="n">
        <v>440</v>
      </c>
      <c r="C447" s="72" t="n"/>
      <c r="D447" s="109" t="n"/>
      <c r="E447" s="72" t="n"/>
      <c r="F447" s="113" t="n"/>
      <c r="G447" s="72" t="n"/>
      <c r="H447" s="74" t="n"/>
      <c r="I447" s="73" t="n"/>
      <c r="J447" s="113" t="n"/>
      <c r="K447" s="109" t="n"/>
      <c r="L447" s="72" t="n"/>
      <c r="M447" s="109" t="n"/>
      <c r="N447" s="72" t="n"/>
      <c r="O447" s="79">
        <f>IF(AND(F447&lt;&gt;"",L447&lt;&gt;"Resolved"),1,0)</f>
        <v/>
      </c>
      <c r="P447" s="79">
        <f>IF(F447="","",IF(O447=0,0,IF(H447="High",2,1)))</f>
        <v/>
      </c>
      <c r="Q447" s="112">
        <f>IF(O447=1,IF(K447&lt;&gt;"",K447,IF(H447="High",AsOf,"")),"")</f>
        <v/>
      </c>
      <c r="R447" s="79">
        <f>IF(Q447="","",IF(H447="High",1,IF(Q447="","",IF(Q447&lt;AsOf,1,IF(Q447&lt;=AsOf+AlertDays,2,IF(Q447&lt;=AsOf+2*AlertDays,3,""))))))</f>
        <v/>
      </c>
      <c r="S447" s="79">
        <f>IF(R447="","",IF(H447="High","High-severity issue: ",IF(C447="Punch item","Punch item: ","Issue action due: "))&amp;F447&amp;IF(J447="",""," → "&amp;J447))</f>
        <v/>
      </c>
      <c r="T447" s="79">
        <f>IF(O447=1,IF(I447="",0,I447),0)</f>
        <v/>
      </c>
      <c r="U447" s="79">
        <f>IF(AND(O447=1,H447="High"),1,0)</f>
        <v/>
      </c>
      <c r="V447" s="79">
        <f>IF(AND(O447=1,C447="Punch item"),1,0)</f>
        <v/>
      </c>
    </row>
    <row r="448" ht="24" customHeight="1">
      <c r="B448" s="125" t="n">
        <v>441</v>
      </c>
      <c r="C448" s="72" t="n"/>
      <c r="D448" s="109" t="n"/>
      <c r="E448" s="72" t="n"/>
      <c r="F448" s="113" t="n"/>
      <c r="G448" s="72" t="n"/>
      <c r="H448" s="74" t="n"/>
      <c r="I448" s="73" t="n"/>
      <c r="J448" s="113" t="n"/>
      <c r="K448" s="109" t="n"/>
      <c r="L448" s="72" t="n"/>
      <c r="M448" s="109" t="n"/>
      <c r="N448" s="72" t="n"/>
      <c r="O448" s="79">
        <f>IF(AND(F448&lt;&gt;"",L448&lt;&gt;"Resolved"),1,0)</f>
        <v/>
      </c>
      <c r="P448" s="79">
        <f>IF(F448="","",IF(O448=0,0,IF(H448="High",2,1)))</f>
        <v/>
      </c>
      <c r="Q448" s="112">
        <f>IF(O448=1,IF(K448&lt;&gt;"",K448,IF(H448="High",AsOf,"")),"")</f>
        <v/>
      </c>
      <c r="R448" s="79">
        <f>IF(Q448="","",IF(H448="High",1,IF(Q448="","",IF(Q448&lt;AsOf,1,IF(Q448&lt;=AsOf+AlertDays,2,IF(Q448&lt;=AsOf+2*AlertDays,3,""))))))</f>
        <v/>
      </c>
      <c r="S448" s="79">
        <f>IF(R448="","",IF(H448="High","High-severity issue: ",IF(C448="Punch item","Punch item: ","Issue action due: "))&amp;F448&amp;IF(J448="",""," → "&amp;J448))</f>
        <v/>
      </c>
      <c r="T448" s="79">
        <f>IF(O448=1,IF(I448="",0,I448),0)</f>
        <v/>
      </c>
      <c r="U448" s="79">
        <f>IF(AND(O448=1,H448="High"),1,0)</f>
        <v/>
      </c>
      <c r="V448" s="79">
        <f>IF(AND(O448=1,C448="Punch item"),1,0)</f>
        <v/>
      </c>
    </row>
    <row r="449" ht="24" customHeight="1">
      <c r="B449" s="125" t="n">
        <v>442</v>
      </c>
      <c r="C449" s="72" t="n"/>
      <c r="D449" s="109" t="n"/>
      <c r="E449" s="72" t="n"/>
      <c r="F449" s="113" t="n"/>
      <c r="G449" s="72" t="n"/>
      <c r="H449" s="74" t="n"/>
      <c r="I449" s="73" t="n"/>
      <c r="J449" s="113" t="n"/>
      <c r="K449" s="109" t="n"/>
      <c r="L449" s="72" t="n"/>
      <c r="M449" s="109" t="n"/>
      <c r="N449" s="72" t="n"/>
      <c r="O449" s="79">
        <f>IF(AND(F449&lt;&gt;"",L449&lt;&gt;"Resolved"),1,0)</f>
        <v/>
      </c>
      <c r="P449" s="79">
        <f>IF(F449="","",IF(O449=0,0,IF(H449="High",2,1)))</f>
        <v/>
      </c>
      <c r="Q449" s="112">
        <f>IF(O449=1,IF(K449&lt;&gt;"",K449,IF(H449="High",AsOf,"")),"")</f>
        <v/>
      </c>
      <c r="R449" s="79">
        <f>IF(Q449="","",IF(H449="High",1,IF(Q449="","",IF(Q449&lt;AsOf,1,IF(Q449&lt;=AsOf+AlertDays,2,IF(Q449&lt;=AsOf+2*AlertDays,3,""))))))</f>
        <v/>
      </c>
      <c r="S449" s="79">
        <f>IF(R449="","",IF(H449="High","High-severity issue: ",IF(C449="Punch item","Punch item: ","Issue action due: "))&amp;F449&amp;IF(J449="",""," → "&amp;J449))</f>
        <v/>
      </c>
      <c r="T449" s="79">
        <f>IF(O449=1,IF(I449="",0,I449),0)</f>
        <v/>
      </c>
      <c r="U449" s="79">
        <f>IF(AND(O449=1,H449="High"),1,0)</f>
        <v/>
      </c>
      <c r="V449" s="79">
        <f>IF(AND(O449=1,C449="Punch item"),1,0)</f>
        <v/>
      </c>
    </row>
    <row r="450" ht="24" customHeight="1">
      <c r="B450" s="125" t="n">
        <v>443</v>
      </c>
      <c r="C450" s="72" t="n"/>
      <c r="D450" s="109" t="n"/>
      <c r="E450" s="72" t="n"/>
      <c r="F450" s="113" t="n"/>
      <c r="G450" s="72" t="n"/>
      <c r="H450" s="74" t="n"/>
      <c r="I450" s="73" t="n"/>
      <c r="J450" s="113" t="n"/>
      <c r="K450" s="109" t="n"/>
      <c r="L450" s="72" t="n"/>
      <c r="M450" s="109" t="n"/>
      <c r="N450" s="72" t="n"/>
      <c r="O450" s="79">
        <f>IF(AND(F450&lt;&gt;"",L450&lt;&gt;"Resolved"),1,0)</f>
        <v/>
      </c>
      <c r="P450" s="79">
        <f>IF(F450="","",IF(O450=0,0,IF(H450="High",2,1)))</f>
        <v/>
      </c>
      <c r="Q450" s="112">
        <f>IF(O450=1,IF(K450&lt;&gt;"",K450,IF(H450="High",AsOf,"")),"")</f>
        <v/>
      </c>
      <c r="R450" s="79">
        <f>IF(Q450="","",IF(H450="High",1,IF(Q450="","",IF(Q450&lt;AsOf,1,IF(Q450&lt;=AsOf+AlertDays,2,IF(Q450&lt;=AsOf+2*AlertDays,3,""))))))</f>
        <v/>
      </c>
      <c r="S450" s="79">
        <f>IF(R450="","",IF(H450="High","High-severity issue: ",IF(C450="Punch item","Punch item: ","Issue action due: "))&amp;F450&amp;IF(J450="",""," → "&amp;J450))</f>
        <v/>
      </c>
      <c r="T450" s="79">
        <f>IF(O450=1,IF(I450="",0,I450),0)</f>
        <v/>
      </c>
      <c r="U450" s="79">
        <f>IF(AND(O450=1,H450="High"),1,0)</f>
        <v/>
      </c>
      <c r="V450" s="79">
        <f>IF(AND(O450=1,C450="Punch item"),1,0)</f>
        <v/>
      </c>
    </row>
    <row r="451" ht="24" customHeight="1">
      <c r="B451" s="125" t="n">
        <v>444</v>
      </c>
      <c r="C451" s="72" t="n"/>
      <c r="D451" s="109" t="n"/>
      <c r="E451" s="72" t="n"/>
      <c r="F451" s="113" t="n"/>
      <c r="G451" s="72" t="n"/>
      <c r="H451" s="74" t="n"/>
      <c r="I451" s="73" t="n"/>
      <c r="J451" s="113" t="n"/>
      <c r="K451" s="109" t="n"/>
      <c r="L451" s="72" t="n"/>
      <c r="M451" s="109" t="n"/>
      <c r="N451" s="72" t="n"/>
      <c r="O451" s="79">
        <f>IF(AND(F451&lt;&gt;"",L451&lt;&gt;"Resolved"),1,0)</f>
        <v/>
      </c>
      <c r="P451" s="79">
        <f>IF(F451="","",IF(O451=0,0,IF(H451="High",2,1)))</f>
        <v/>
      </c>
      <c r="Q451" s="112">
        <f>IF(O451=1,IF(K451&lt;&gt;"",K451,IF(H451="High",AsOf,"")),"")</f>
        <v/>
      </c>
      <c r="R451" s="79">
        <f>IF(Q451="","",IF(H451="High",1,IF(Q451="","",IF(Q451&lt;AsOf,1,IF(Q451&lt;=AsOf+AlertDays,2,IF(Q451&lt;=AsOf+2*AlertDays,3,""))))))</f>
        <v/>
      </c>
      <c r="S451" s="79">
        <f>IF(R451="","",IF(H451="High","High-severity issue: ",IF(C451="Punch item","Punch item: ","Issue action due: "))&amp;F451&amp;IF(J451="",""," → "&amp;J451))</f>
        <v/>
      </c>
      <c r="T451" s="79">
        <f>IF(O451=1,IF(I451="",0,I451),0)</f>
        <v/>
      </c>
      <c r="U451" s="79">
        <f>IF(AND(O451=1,H451="High"),1,0)</f>
        <v/>
      </c>
      <c r="V451" s="79">
        <f>IF(AND(O451=1,C451="Punch item"),1,0)</f>
        <v/>
      </c>
    </row>
    <row r="452" ht="24" customHeight="1">
      <c r="B452" s="125" t="n">
        <v>445</v>
      </c>
      <c r="C452" s="72" t="n"/>
      <c r="D452" s="109" t="n"/>
      <c r="E452" s="72" t="n"/>
      <c r="F452" s="113" t="n"/>
      <c r="G452" s="72" t="n"/>
      <c r="H452" s="74" t="n"/>
      <c r="I452" s="73" t="n"/>
      <c r="J452" s="113" t="n"/>
      <c r="K452" s="109" t="n"/>
      <c r="L452" s="72" t="n"/>
      <c r="M452" s="109" t="n"/>
      <c r="N452" s="72" t="n"/>
      <c r="O452" s="79">
        <f>IF(AND(F452&lt;&gt;"",L452&lt;&gt;"Resolved"),1,0)</f>
        <v/>
      </c>
      <c r="P452" s="79">
        <f>IF(F452="","",IF(O452=0,0,IF(H452="High",2,1)))</f>
        <v/>
      </c>
      <c r="Q452" s="112">
        <f>IF(O452=1,IF(K452&lt;&gt;"",K452,IF(H452="High",AsOf,"")),"")</f>
        <v/>
      </c>
      <c r="R452" s="79">
        <f>IF(Q452="","",IF(H452="High",1,IF(Q452="","",IF(Q452&lt;AsOf,1,IF(Q452&lt;=AsOf+AlertDays,2,IF(Q452&lt;=AsOf+2*AlertDays,3,""))))))</f>
        <v/>
      </c>
      <c r="S452" s="79">
        <f>IF(R452="","",IF(H452="High","High-severity issue: ",IF(C452="Punch item","Punch item: ","Issue action due: "))&amp;F452&amp;IF(J452="",""," → "&amp;J452))</f>
        <v/>
      </c>
      <c r="T452" s="79">
        <f>IF(O452=1,IF(I452="",0,I452),0)</f>
        <v/>
      </c>
      <c r="U452" s="79">
        <f>IF(AND(O452=1,H452="High"),1,0)</f>
        <v/>
      </c>
      <c r="V452" s="79">
        <f>IF(AND(O452=1,C452="Punch item"),1,0)</f>
        <v/>
      </c>
    </row>
    <row r="453" ht="24" customHeight="1">
      <c r="B453" s="125" t="n">
        <v>446</v>
      </c>
      <c r="C453" s="72" t="n"/>
      <c r="D453" s="109" t="n"/>
      <c r="E453" s="72" t="n"/>
      <c r="F453" s="113" t="n"/>
      <c r="G453" s="72" t="n"/>
      <c r="H453" s="74" t="n"/>
      <c r="I453" s="73" t="n"/>
      <c r="J453" s="113" t="n"/>
      <c r="K453" s="109" t="n"/>
      <c r="L453" s="72" t="n"/>
      <c r="M453" s="109" t="n"/>
      <c r="N453" s="72" t="n"/>
      <c r="O453" s="79">
        <f>IF(AND(F453&lt;&gt;"",L453&lt;&gt;"Resolved"),1,0)</f>
        <v/>
      </c>
      <c r="P453" s="79">
        <f>IF(F453="","",IF(O453=0,0,IF(H453="High",2,1)))</f>
        <v/>
      </c>
      <c r="Q453" s="112">
        <f>IF(O453=1,IF(K453&lt;&gt;"",K453,IF(H453="High",AsOf,"")),"")</f>
        <v/>
      </c>
      <c r="R453" s="79">
        <f>IF(Q453="","",IF(H453="High",1,IF(Q453="","",IF(Q453&lt;AsOf,1,IF(Q453&lt;=AsOf+AlertDays,2,IF(Q453&lt;=AsOf+2*AlertDays,3,""))))))</f>
        <v/>
      </c>
      <c r="S453" s="79">
        <f>IF(R453="","",IF(H453="High","High-severity issue: ",IF(C453="Punch item","Punch item: ","Issue action due: "))&amp;F453&amp;IF(J453="",""," → "&amp;J453))</f>
        <v/>
      </c>
      <c r="T453" s="79">
        <f>IF(O453=1,IF(I453="",0,I453),0)</f>
        <v/>
      </c>
      <c r="U453" s="79">
        <f>IF(AND(O453=1,H453="High"),1,0)</f>
        <v/>
      </c>
      <c r="V453" s="79">
        <f>IF(AND(O453=1,C453="Punch item"),1,0)</f>
        <v/>
      </c>
    </row>
    <row r="454" ht="24" customHeight="1">
      <c r="B454" s="125" t="n">
        <v>447</v>
      </c>
      <c r="C454" s="72" t="n"/>
      <c r="D454" s="109" t="n"/>
      <c r="E454" s="72" t="n"/>
      <c r="F454" s="113" t="n"/>
      <c r="G454" s="72" t="n"/>
      <c r="H454" s="74" t="n"/>
      <c r="I454" s="73" t="n"/>
      <c r="J454" s="113" t="n"/>
      <c r="K454" s="109" t="n"/>
      <c r="L454" s="72" t="n"/>
      <c r="M454" s="109" t="n"/>
      <c r="N454" s="72" t="n"/>
      <c r="O454" s="79">
        <f>IF(AND(F454&lt;&gt;"",L454&lt;&gt;"Resolved"),1,0)</f>
        <v/>
      </c>
      <c r="P454" s="79">
        <f>IF(F454="","",IF(O454=0,0,IF(H454="High",2,1)))</f>
        <v/>
      </c>
      <c r="Q454" s="112">
        <f>IF(O454=1,IF(K454&lt;&gt;"",K454,IF(H454="High",AsOf,"")),"")</f>
        <v/>
      </c>
      <c r="R454" s="79">
        <f>IF(Q454="","",IF(H454="High",1,IF(Q454="","",IF(Q454&lt;AsOf,1,IF(Q454&lt;=AsOf+AlertDays,2,IF(Q454&lt;=AsOf+2*AlertDays,3,""))))))</f>
        <v/>
      </c>
      <c r="S454" s="79">
        <f>IF(R454="","",IF(H454="High","High-severity issue: ",IF(C454="Punch item","Punch item: ","Issue action due: "))&amp;F454&amp;IF(J454="",""," → "&amp;J454))</f>
        <v/>
      </c>
      <c r="T454" s="79">
        <f>IF(O454=1,IF(I454="",0,I454),0)</f>
        <v/>
      </c>
      <c r="U454" s="79">
        <f>IF(AND(O454=1,H454="High"),1,0)</f>
        <v/>
      </c>
      <c r="V454" s="79">
        <f>IF(AND(O454=1,C454="Punch item"),1,0)</f>
        <v/>
      </c>
    </row>
    <row r="455" ht="24" customHeight="1">
      <c r="B455" s="125" t="n">
        <v>448</v>
      </c>
      <c r="C455" s="72" t="n"/>
      <c r="D455" s="109" t="n"/>
      <c r="E455" s="72" t="n"/>
      <c r="F455" s="113" t="n"/>
      <c r="G455" s="72" t="n"/>
      <c r="H455" s="74" t="n"/>
      <c r="I455" s="73" t="n"/>
      <c r="J455" s="113" t="n"/>
      <c r="K455" s="109" t="n"/>
      <c r="L455" s="72" t="n"/>
      <c r="M455" s="109" t="n"/>
      <c r="N455" s="72" t="n"/>
      <c r="O455" s="79">
        <f>IF(AND(F455&lt;&gt;"",L455&lt;&gt;"Resolved"),1,0)</f>
        <v/>
      </c>
      <c r="P455" s="79">
        <f>IF(F455="","",IF(O455=0,0,IF(H455="High",2,1)))</f>
        <v/>
      </c>
      <c r="Q455" s="112">
        <f>IF(O455=1,IF(K455&lt;&gt;"",K455,IF(H455="High",AsOf,"")),"")</f>
        <v/>
      </c>
      <c r="R455" s="79">
        <f>IF(Q455="","",IF(H455="High",1,IF(Q455="","",IF(Q455&lt;AsOf,1,IF(Q455&lt;=AsOf+AlertDays,2,IF(Q455&lt;=AsOf+2*AlertDays,3,""))))))</f>
        <v/>
      </c>
      <c r="S455" s="79">
        <f>IF(R455="","",IF(H455="High","High-severity issue: ",IF(C455="Punch item","Punch item: ","Issue action due: "))&amp;F455&amp;IF(J455="",""," → "&amp;J455))</f>
        <v/>
      </c>
      <c r="T455" s="79">
        <f>IF(O455=1,IF(I455="",0,I455),0)</f>
        <v/>
      </c>
      <c r="U455" s="79">
        <f>IF(AND(O455=1,H455="High"),1,0)</f>
        <v/>
      </c>
      <c r="V455" s="79">
        <f>IF(AND(O455=1,C455="Punch item"),1,0)</f>
        <v/>
      </c>
    </row>
    <row r="456" ht="24" customHeight="1">
      <c r="B456" s="125" t="n">
        <v>449</v>
      </c>
      <c r="C456" s="72" t="n"/>
      <c r="D456" s="109" t="n"/>
      <c r="E456" s="72" t="n"/>
      <c r="F456" s="113" t="n"/>
      <c r="G456" s="72" t="n"/>
      <c r="H456" s="74" t="n"/>
      <c r="I456" s="73" t="n"/>
      <c r="J456" s="113" t="n"/>
      <c r="K456" s="109" t="n"/>
      <c r="L456" s="72" t="n"/>
      <c r="M456" s="109" t="n"/>
      <c r="N456" s="72" t="n"/>
      <c r="O456" s="79">
        <f>IF(AND(F456&lt;&gt;"",L456&lt;&gt;"Resolved"),1,0)</f>
        <v/>
      </c>
      <c r="P456" s="79">
        <f>IF(F456="","",IF(O456=0,0,IF(H456="High",2,1)))</f>
        <v/>
      </c>
      <c r="Q456" s="112">
        <f>IF(O456=1,IF(K456&lt;&gt;"",K456,IF(H456="High",AsOf,"")),"")</f>
        <v/>
      </c>
      <c r="R456" s="79">
        <f>IF(Q456="","",IF(H456="High",1,IF(Q456="","",IF(Q456&lt;AsOf,1,IF(Q456&lt;=AsOf+AlertDays,2,IF(Q456&lt;=AsOf+2*AlertDays,3,""))))))</f>
        <v/>
      </c>
      <c r="S456" s="79">
        <f>IF(R456="","",IF(H456="High","High-severity issue: ",IF(C456="Punch item","Punch item: ","Issue action due: "))&amp;F456&amp;IF(J456="",""," → "&amp;J456))</f>
        <v/>
      </c>
      <c r="T456" s="79">
        <f>IF(O456=1,IF(I456="",0,I456),0)</f>
        <v/>
      </c>
      <c r="U456" s="79">
        <f>IF(AND(O456=1,H456="High"),1,0)</f>
        <v/>
      </c>
      <c r="V456" s="79">
        <f>IF(AND(O456=1,C456="Punch item"),1,0)</f>
        <v/>
      </c>
    </row>
    <row r="457" ht="24" customHeight="1">
      <c r="B457" s="125" t="n">
        <v>450</v>
      </c>
      <c r="C457" s="72" t="n"/>
      <c r="D457" s="109" t="n"/>
      <c r="E457" s="72" t="n"/>
      <c r="F457" s="113" t="n"/>
      <c r="G457" s="72" t="n"/>
      <c r="H457" s="74" t="n"/>
      <c r="I457" s="73" t="n"/>
      <c r="J457" s="113" t="n"/>
      <c r="K457" s="109" t="n"/>
      <c r="L457" s="72" t="n"/>
      <c r="M457" s="109" t="n"/>
      <c r="N457" s="72" t="n"/>
      <c r="O457" s="79">
        <f>IF(AND(F457&lt;&gt;"",L457&lt;&gt;"Resolved"),1,0)</f>
        <v/>
      </c>
      <c r="P457" s="79">
        <f>IF(F457="","",IF(O457=0,0,IF(H457="High",2,1)))</f>
        <v/>
      </c>
      <c r="Q457" s="112">
        <f>IF(O457=1,IF(K457&lt;&gt;"",K457,IF(H457="High",AsOf,"")),"")</f>
        <v/>
      </c>
      <c r="R457" s="79">
        <f>IF(Q457="","",IF(H457="High",1,IF(Q457="","",IF(Q457&lt;AsOf,1,IF(Q457&lt;=AsOf+AlertDays,2,IF(Q457&lt;=AsOf+2*AlertDays,3,""))))))</f>
        <v/>
      </c>
      <c r="S457" s="79">
        <f>IF(R457="","",IF(H457="High","High-severity issue: ",IF(C457="Punch item","Punch item: ","Issue action due: "))&amp;F457&amp;IF(J457="",""," → "&amp;J457))</f>
        <v/>
      </c>
      <c r="T457" s="79">
        <f>IF(O457=1,IF(I457="",0,I457),0)</f>
        <v/>
      </c>
      <c r="U457" s="79">
        <f>IF(AND(O457=1,H457="High"),1,0)</f>
        <v/>
      </c>
      <c r="V457" s="79">
        <f>IF(AND(O457=1,C457="Punch item"),1,0)</f>
        <v/>
      </c>
    </row>
    <row r="458" ht="24" customHeight="1">
      <c r="B458" s="125" t="n">
        <v>451</v>
      </c>
      <c r="C458" s="72" t="n"/>
      <c r="D458" s="109" t="n"/>
      <c r="E458" s="72" t="n"/>
      <c r="F458" s="113" t="n"/>
      <c r="G458" s="72" t="n"/>
      <c r="H458" s="74" t="n"/>
      <c r="I458" s="73" t="n"/>
      <c r="J458" s="113" t="n"/>
      <c r="K458" s="109" t="n"/>
      <c r="L458" s="72" t="n"/>
      <c r="M458" s="109" t="n"/>
      <c r="N458" s="72" t="n"/>
      <c r="O458" s="79">
        <f>IF(AND(F458&lt;&gt;"",L458&lt;&gt;"Resolved"),1,0)</f>
        <v/>
      </c>
      <c r="P458" s="79">
        <f>IF(F458="","",IF(O458=0,0,IF(H458="High",2,1)))</f>
        <v/>
      </c>
      <c r="Q458" s="112">
        <f>IF(O458=1,IF(K458&lt;&gt;"",K458,IF(H458="High",AsOf,"")),"")</f>
        <v/>
      </c>
      <c r="R458" s="79">
        <f>IF(Q458="","",IF(H458="High",1,IF(Q458="","",IF(Q458&lt;AsOf,1,IF(Q458&lt;=AsOf+AlertDays,2,IF(Q458&lt;=AsOf+2*AlertDays,3,""))))))</f>
        <v/>
      </c>
      <c r="S458" s="79">
        <f>IF(R458="","",IF(H458="High","High-severity issue: ",IF(C458="Punch item","Punch item: ","Issue action due: "))&amp;F458&amp;IF(J458="",""," → "&amp;J458))</f>
        <v/>
      </c>
      <c r="T458" s="79">
        <f>IF(O458=1,IF(I458="",0,I458),0)</f>
        <v/>
      </c>
      <c r="U458" s="79">
        <f>IF(AND(O458=1,H458="High"),1,0)</f>
        <v/>
      </c>
      <c r="V458" s="79">
        <f>IF(AND(O458=1,C458="Punch item"),1,0)</f>
        <v/>
      </c>
    </row>
    <row r="459" ht="24" customHeight="1">
      <c r="B459" s="125" t="n">
        <v>452</v>
      </c>
      <c r="C459" s="72" t="n"/>
      <c r="D459" s="109" t="n"/>
      <c r="E459" s="72" t="n"/>
      <c r="F459" s="113" t="n"/>
      <c r="G459" s="72" t="n"/>
      <c r="H459" s="74" t="n"/>
      <c r="I459" s="73" t="n"/>
      <c r="J459" s="113" t="n"/>
      <c r="K459" s="109" t="n"/>
      <c r="L459" s="72" t="n"/>
      <c r="M459" s="109" t="n"/>
      <c r="N459" s="72" t="n"/>
      <c r="O459" s="79">
        <f>IF(AND(F459&lt;&gt;"",L459&lt;&gt;"Resolved"),1,0)</f>
        <v/>
      </c>
      <c r="P459" s="79">
        <f>IF(F459="","",IF(O459=0,0,IF(H459="High",2,1)))</f>
        <v/>
      </c>
      <c r="Q459" s="112">
        <f>IF(O459=1,IF(K459&lt;&gt;"",K459,IF(H459="High",AsOf,"")),"")</f>
        <v/>
      </c>
      <c r="R459" s="79">
        <f>IF(Q459="","",IF(H459="High",1,IF(Q459="","",IF(Q459&lt;AsOf,1,IF(Q459&lt;=AsOf+AlertDays,2,IF(Q459&lt;=AsOf+2*AlertDays,3,""))))))</f>
        <v/>
      </c>
      <c r="S459" s="79">
        <f>IF(R459="","",IF(H459="High","High-severity issue: ",IF(C459="Punch item","Punch item: ","Issue action due: "))&amp;F459&amp;IF(J459="",""," → "&amp;J459))</f>
        <v/>
      </c>
      <c r="T459" s="79">
        <f>IF(O459=1,IF(I459="",0,I459),0)</f>
        <v/>
      </c>
      <c r="U459" s="79">
        <f>IF(AND(O459=1,H459="High"),1,0)</f>
        <v/>
      </c>
      <c r="V459" s="79">
        <f>IF(AND(O459=1,C459="Punch item"),1,0)</f>
        <v/>
      </c>
    </row>
    <row r="460" ht="24" customHeight="1">
      <c r="B460" s="125" t="n">
        <v>453</v>
      </c>
      <c r="C460" s="72" t="n"/>
      <c r="D460" s="109" t="n"/>
      <c r="E460" s="72" t="n"/>
      <c r="F460" s="113" t="n"/>
      <c r="G460" s="72" t="n"/>
      <c r="H460" s="74" t="n"/>
      <c r="I460" s="73" t="n"/>
      <c r="J460" s="113" t="n"/>
      <c r="K460" s="109" t="n"/>
      <c r="L460" s="72" t="n"/>
      <c r="M460" s="109" t="n"/>
      <c r="N460" s="72" t="n"/>
      <c r="O460" s="79">
        <f>IF(AND(F460&lt;&gt;"",L460&lt;&gt;"Resolved"),1,0)</f>
        <v/>
      </c>
      <c r="P460" s="79">
        <f>IF(F460="","",IF(O460=0,0,IF(H460="High",2,1)))</f>
        <v/>
      </c>
      <c r="Q460" s="112">
        <f>IF(O460=1,IF(K460&lt;&gt;"",K460,IF(H460="High",AsOf,"")),"")</f>
        <v/>
      </c>
      <c r="R460" s="79">
        <f>IF(Q460="","",IF(H460="High",1,IF(Q460="","",IF(Q460&lt;AsOf,1,IF(Q460&lt;=AsOf+AlertDays,2,IF(Q460&lt;=AsOf+2*AlertDays,3,""))))))</f>
        <v/>
      </c>
      <c r="S460" s="79">
        <f>IF(R460="","",IF(H460="High","High-severity issue: ",IF(C460="Punch item","Punch item: ","Issue action due: "))&amp;F460&amp;IF(J460="",""," → "&amp;J460))</f>
        <v/>
      </c>
      <c r="T460" s="79">
        <f>IF(O460=1,IF(I460="",0,I460),0)</f>
        <v/>
      </c>
      <c r="U460" s="79">
        <f>IF(AND(O460=1,H460="High"),1,0)</f>
        <v/>
      </c>
      <c r="V460" s="79">
        <f>IF(AND(O460=1,C460="Punch item"),1,0)</f>
        <v/>
      </c>
    </row>
    <row r="461" ht="24" customHeight="1">
      <c r="B461" s="125" t="n">
        <v>454</v>
      </c>
      <c r="C461" s="72" t="n"/>
      <c r="D461" s="109" t="n"/>
      <c r="E461" s="72" t="n"/>
      <c r="F461" s="113" t="n"/>
      <c r="G461" s="72" t="n"/>
      <c r="H461" s="74" t="n"/>
      <c r="I461" s="73" t="n"/>
      <c r="J461" s="113" t="n"/>
      <c r="K461" s="109" t="n"/>
      <c r="L461" s="72" t="n"/>
      <c r="M461" s="109" t="n"/>
      <c r="N461" s="72" t="n"/>
      <c r="O461" s="79">
        <f>IF(AND(F461&lt;&gt;"",L461&lt;&gt;"Resolved"),1,0)</f>
        <v/>
      </c>
      <c r="P461" s="79">
        <f>IF(F461="","",IF(O461=0,0,IF(H461="High",2,1)))</f>
        <v/>
      </c>
      <c r="Q461" s="112">
        <f>IF(O461=1,IF(K461&lt;&gt;"",K461,IF(H461="High",AsOf,"")),"")</f>
        <v/>
      </c>
      <c r="R461" s="79">
        <f>IF(Q461="","",IF(H461="High",1,IF(Q461="","",IF(Q461&lt;AsOf,1,IF(Q461&lt;=AsOf+AlertDays,2,IF(Q461&lt;=AsOf+2*AlertDays,3,""))))))</f>
        <v/>
      </c>
      <c r="S461" s="79">
        <f>IF(R461="","",IF(H461="High","High-severity issue: ",IF(C461="Punch item","Punch item: ","Issue action due: "))&amp;F461&amp;IF(J461="",""," → "&amp;J461))</f>
        <v/>
      </c>
      <c r="T461" s="79">
        <f>IF(O461=1,IF(I461="",0,I461),0)</f>
        <v/>
      </c>
      <c r="U461" s="79">
        <f>IF(AND(O461=1,H461="High"),1,0)</f>
        <v/>
      </c>
      <c r="V461" s="79">
        <f>IF(AND(O461=1,C461="Punch item"),1,0)</f>
        <v/>
      </c>
    </row>
    <row r="462" ht="24" customHeight="1">
      <c r="B462" s="125" t="n">
        <v>455</v>
      </c>
      <c r="C462" s="72" t="n"/>
      <c r="D462" s="109" t="n"/>
      <c r="E462" s="72" t="n"/>
      <c r="F462" s="113" t="n"/>
      <c r="G462" s="72" t="n"/>
      <c r="H462" s="74" t="n"/>
      <c r="I462" s="73" t="n"/>
      <c r="J462" s="113" t="n"/>
      <c r="K462" s="109" t="n"/>
      <c r="L462" s="72" t="n"/>
      <c r="M462" s="109" t="n"/>
      <c r="N462" s="72" t="n"/>
      <c r="O462" s="79">
        <f>IF(AND(F462&lt;&gt;"",L462&lt;&gt;"Resolved"),1,0)</f>
        <v/>
      </c>
      <c r="P462" s="79">
        <f>IF(F462="","",IF(O462=0,0,IF(H462="High",2,1)))</f>
        <v/>
      </c>
      <c r="Q462" s="112">
        <f>IF(O462=1,IF(K462&lt;&gt;"",K462,IF(H462="High",AsOf,"")),"")</f>
        <v/>
      </c>
      <c r="R462" s="79">
        <f>IF(Q462="","",IF(H462="High",1,IF(Q462="","",IF(Q462&lt;AsOf,1,IF(Q462&lt;=AsOf+AlertDays,2,IF(Q462&lt;=AsOf+2*AlertDays,3,""))))))</f>
        <v/>
      </c>
      <c r="S462" s="79">
        <f>IF(R462="","",IF(H462="High","High-severity issue: ",IF(C462="Punch item","Punch item: ","Issue action due: "))&amp;F462&amp;IF(J462="",""," → "&amp;J462))</f>
        <v/>
      </c>
      <c r="T462" s="79">
        <f>IF(O462=1,IF(I462="",0,I462),0)</f>
        <v/>
      </c>
      <c r="U462" s="79">
        <f>IF(AND(O462=1,H462="High"),1,0)</f>
        <v/>
      </c>
      <c r="V462" s="79">
        <f>IF(AND(O462=1,C462="Punch item"),1,0)</f>
        <v/>
      </c>
    </row>
    <row r="463" ht="24" customHeight="1">
      <c r="B463" s="125" t="n">
        <v>456</v>
      </c>
      <c r="C463" s="72" t="n"/>
      <c r="D463" s="109" t="n"/>
      <c r="E463" s="72" t="n"/>
      <c r="F463" s="113" t="n"/>
      <c r="G463" s="72" t="n"/>
      <c r="H463" s="74" t="n"/>
      <c r="I463" s="73" t="n"/>
      <c r="J463" s="113" t="n"/>
      <c r="K463" s="109" t="n"/>
      <c r="L463" s="72" t="n"/>
      <c r="M463" s="109" t="n"/>
      <c r="N463" s="72" t="n"/>
      <c r="O463" s="79">
        <f>IF(AND(F463&lt;&gt;"",L463&lt;&gt;"Resolved"),1,0)</f>
        <v/>
      </c>
      <c r="P463" s="79">
        <f>IF(F463="","",IF(O463=0,0,IF(H463="High",2,1)))</f>
        <v/>
      </c>
      <c r="Q463" s="112">
        <f>IF(O463=1,IF(K463&lt;&gt;"",K463,IF(H463="High",AsOf,"")),"")</f>
        <v/>
      </c>
      <c r="R463" s="79">
        <f>IF(Q463="","",IF(H463="High",1,IF(Q463="","",IF(Q463&lt;AsOf,1,IF(Q463&lt;=AsOf+AlertDays,2,IF(Q463&lt;=AsOf+2*AlertDays,3,""))))))</f>
        <v/>
      </c>
      <c r="S463" s="79">
        <f>IF(R463="","",IF(H463="High","High-severity issue: ",IF(C463="Punch item","Punch item: ","Issue action due: "))&amp;F463&amp;IF(J463="",""," → "&amp;J463))</f>
        <v/>
      </c>
      <c r="T463" s="79">
        <f>IF(O463=1,IF(I463="",0,I463),0)</f>
        <v/>
      </c>
      <c r="U463" s="79">
        <f>IF(AND(O463=1,H463="High"),1,0)</f>
        <v/>
      </c>
      <c r="V463" s="79">
        <f>IF(AND(O463=1,C463="Punch item"),1,0)</f>
        <v/>
      </c>
    </row>
    <row r="464" ht="24" customHeight="1">
      <c r="B464" s="125" t="n">
        <v>457</v>
      </c>
      <c r="C464" s="72" t="n"/>
      <c r="D464" s="109" t="n"/>
      <c r="E464" s="72" t="n"/>
      <c r="F464" s="113" t="n"/>
      <c r="G464" s="72" t="n"/>
      <c r="H464" s="74" t="n"/>
      <c r="I464" s="73" t="n"/>
      <c r="J464" s="113" t="n"/>
      <c r="K464" s="109" t="n"/>
      <c r="L464" s="72" t="n"/>
      <c r="M464" s="109" t="n"/>
      <c r="N464" s="72" t="n"/>
      <c r="O464" s="79">
        <f>IF(AND(F464&lt;&gt;"",L464&lt;&gt;"Resolved"),1,0)</f>
        <v/>
      </c>
      <c r="P464" s="79">
        <f>IF(F464="","",IF(O464=0,0,IF(H464="High",2,1)))</f>
        <v/>
      </c>
      <c r="Q464" s="112">
        <f>IF(O464=1,IF(K464&lt;&gt;"",K464,IF(H464="High",AsOf,"")),"")</f>
        <v/>
      </c>
      <c r="R464" s="79">
        <f>IF(Q464="","",IF(H464="High",1,IF(Q464="","",IF(Q464&lt;AsOf,1,IF(Q464&lt;=AsOf+AlertDays,2,IF(Q464&lt;=AsOf+2*AlertDays,3,""))))))</f>
        <v/>
      </c>
      <c r="S464" s="79">
        <f>IF(R464="","",IF(H464="High","High-severity issue: ",IF(C464="Punch item","Punch item: ","Issue action due: "))&amp;F464&amp;IF(J464="",""," → "&amp;J464))</f>
        <v/>
      </c>
      <c r="T464" s="79">
        <f>IF(O464=1,IF(I464="",0,I464),0)</f>
        <v/>
      </c>
      <c r="U464" s="79">
        <f>IF(AND(O464=1,H464="High"),1,0)</f>
        <v/>
      </c>
      <c r="V464" s="79">
        <f>IF(AND(O464=1,C464="Punch item"),1,0)</f>
        <v/>
      </c>
    </row>
    <row r="465" ht="24" customHeight="1">
      <c r="B465" s="125" t="n">
        <v>458</v>
      </c>
      <c r="C465" s="72" t="n"/>
      <c r="D465" s="109" t="n"/>
      <c r="E465" s="72" t="n"/>
      <c r="F465" s="113" t="n"/>
      <c r="G465" s="72" t="n"/>
      <c r="H465" s="74" t="n"/>
      <c r="I465" s="73" t="n"/>
      <c r="J465" s="113" t="n"/>
      <c r="K465" s="109" t="n"/>
      <c r="L465" s="72" t="n"/>
      <c r="M465" s="109" t="n"/>
      <c r="N465" s="72" t="n"/>
      <c r="O465" s="79">
        <f>IF(AND(F465&lt;&gt;"",L465&lt;&gt;"Resolved"),1,0)</f>
        <v/>
      </c>
      <c r="P465" s="79">
        <f>IF(F465="","",IF(O465=0,0,IF(H465="High",2,1)))</f>
        <v/>
      </c>
      <c r="Q465" s="112">
        <f>IF(O465=1,IF(K465&lt;&gt;"",K465,IF(H465="High",AsOf,"")),"")</f>
        <v/>
      </c>
      <c r="R465" s="79">
        <f>IF(Q465="","",IF(H465="High",1,IF(Q465="","",IF(Q465&lt;AsOf,1,IF(Q465&lt;=AsOf+AlertDays,2,IF(Q465&lt;=AsOf+2*AlertDays,3,""))))))</f>
        <v/>
      </c>
      <c r="S465" s="79">
        <f>IF(R465="","",IF(H465="High","High-severity issue: ",IF(C465="Punch item","Punch item: ","Issue action due: "))&amp;F465&amp;IF(J465="",""," → "&amp;J465))</f>
        <v/>
      </c>
      <c r="T465" s="79">
        <f>IF(O465=1,IF(I465="",0,I465),0)</f>
        <v/>
      </c>
      <c r="U465" s="79">
        <f>IF(AND(O465=1,H465="High"),1,0)</f>
        <v/>
      </c>
      <c r="V465" s="79">
        <f>IF(AND(O465=1,C465="Punch item"),1,0)</f>
        <v/>
      </c>
    </row>
    <row r="466" ht="24" customHeight="1">
      <c r="B466" s="125" t="n">
        <v>459</v>
      </c>
      <c r="C466" s="72" t="n"/>
      <c r="D466" s="109" t="n"/>
      <c r="E466" s="72" t="n"/>
      <c r="F466" s="113" t="n"/>
      <c r="G466" s="72" t="n"/>
      <c r="H466" s="74" t="n"/>
      <c r="I466" s="73" t="n"/>
      <c r="J466" s="113" t="n"/>
      <c r="K466" s="109" t="n"/>
      <c r="L466" s="72" t="n"/>
      <c r="M466" s="109" t="n"/>
      <c r="N466" s="72" t="n"/>
      <c r="O466" s="79">
        <f>IF(AND(F466&lt;&gt;"",L466&lt;&gt;"Resolved"),1,0)</f>
        <v/>
      </c>
      <c r="P466" s="79">
        <f>IF(F466="","",IF(O466=0,0,IF(H466="High",2,1)))</f>
        <v/>
      </c>
      <c r="Q466" s="112">
        <f>IF(O466=1,IF(K466&lt;&gt;"",K466,IF(H466="High",AsOf,"")),"")</f>
        <v/>
      </c>
      <c r="R466" s="79">
        <f>IF(Q466="","",IF(H466="High",1,IF(Q466="","",IF(Q466&lt;AsOf,1,IF(Q466&lt;=AsOf+AlertDays,2,IF(Q466&lt;=AsOf+2*AlertDays,3,""))))))</f>
        <v/>
      </c>
      <c r="S466" s="79">
        <f>IF(R466="","",IF(H466="High","High-severity issue: ",IF(C466="Punch item","Punch item: ","Issue action due: "))&amp;F466&amp;IF(J466="",""," → "&amp;J466))</f>
        <v/>
      </c>
      <c r="T466" s="79">
        <f>IF(O466=1,IF(I466="",0,I466),0)</f>
        <v/>
      </c>
      <c r="U466" s="79">
        <f>IF(AND(O466=1,H466="High"),1,0)</f>
        <v/>
      </c>
      <c r="V466" s="79">
        <f>IF(AND(O466=1,C466="Punch item"),1,0)</f>
        <v/>
      </c>
    </row>
    <row r="467" ht="24" customHeight="1">
      <c r="B467" s="125" t="n">
        <v>460</v>
      </c>
      <c r="C467" s="72" t="n"/>
      <c r="D467" s="109" t="n"/>
      <c r="E467" s="72" t="n"/>
      <c r="F467" s="113" t="n"/>
      <c r="G467" s="72" t="n"/>
      <c r="H467" s="74" t="n"/>
      <c r="I467" s="73" t="n"/>
      <c r="J467" s="113" t="n"/>
      <c r="K467" s="109" t="n"/>
      <c r="L467" s="72" t="n"/>
      <c r="M467" s="109" t="n"/>
      <c r="N467" s="72" t="n"/>
      <c r="O467" s="79">
        <f>IF(AND(F467&lt;&gt;"",L467&lt;&gt;"Resolved"),1,0)</f>
        <v/>
      </c>
      <c r="P467" s="79">
        <f>IF(F467="","",IF(O467=0,0,IF(H467="High",2,1)))</f>
        <v/>
      </c>
      <c r="Q467" s="112">
        <f>IF(O467=1,IF(K467&lt;&gt;"",K467,IF(H467="High",AsOf,"")),"")</f>
        <v/>
      </c>
      <c r="R467" s="79">
        <f>IF(Q467="","",IF(H467="High",1,IF(Q467="","",IF(Q467&lt;AsOf,1,IF(Q467&lt;=AsOf+AlertDays,2,IF(Q467&lt;=AsOf+2*AlertDays,3,""))))))</f>
        <v/>
      </c>
      <c r="S467" s="79">
        <f>IF(R467="","",IF(H467="High","High-severity issue: ",IF(C467="Punch item","Punch item: ","Issue action due: "))&amp;F467&amp;IF(J467="",""," → "&amp;J467))</f>
        <v/>
      </c>
      <c r="T467" s="79">
        <f>IF(O467=1,IF(I467="",0,I467),0)</f>
        <v/>
      </c>
      <c r="U467" s="79">
        <f>IF(AND(O467=1,H467="High"),1,0)</f>
        <v/>
      </c>
      <c r="V467" s="79">
        <f>IF(AND(O467=1,C467="Punch item"),1,0)</f>
        <v/>
      </c>
    </row>
    <row r="468" ht="24" customHeight="1">
      <c r="B468" s="125" t="n">
        <v>461</v>
      </c>
      <c r="C468" s="72" t="n"/>
      <c r="D468" s="109" t="n"/>
      <c r="E468" s="72" t="n"/>
      <c r="F468" s="113" t="n"/>
      <c r="G468" s="72" t="n"/>
      <c r="H468" s="74" t="n"/>
      <c r="I468" s="73" t="n"/>
      <c r="J468" s="113" t="n"/>
      <c r="K468" s="109" t="n"/>
      <c r="L468" s="72" t="n"/>
      <c r="M468" s="109" t="n"/>
      <c r="N468" s="72" t="n"/>
      <c r="O468" s="79">
        <f>IF(AND(F468&lt;&gt;"",L468&lt;&gt;"Resolved"),1,0)</f>
        <v/>
      </c>
      <c r="P468" s="79">
        <f>IF(F468="","",IF(O468=0,0,IF(H468="High",2,1)))</f>
        <v/>
      </c>
      <c r="Q468" s="112">
        <f>IF(O468=1,IF(K468&lt;&gt;"",K468,IF(H468="High",AsOf,"")),"")</f>
        <v/>
      </c>
      <c r="R468" s="79">
        <f>IF(Q468="","",IF(H468="High",1,IF(Q468="","",IF(Q468&lt;AsOf,1,IF(Q468&lt;=AsOf+AlertDays,2,IF(Q468&lt;=AsOf+2*AlertDays,3,""))))))</f>
        <v/>
      </c>
      <c r="S468" s="79">
        <f>IF(R468="","",IF(H468="High","High-severity issue: ",IF(C468="Punch item","Punch item: ","Issue action due: "))&amp;F468&amp;IF(J468="",""," → "&amp;J468))</f>
        <v/>
      </c>
      <c r="T468" s="79">
        <f>IF(O468=1,IF(I468="",0,I468),0)</f>
        <v/>
      </c>
      <c r="U468" s="79">
        <f>IF(AND(O468=1,H468="High"),1,0)</f>
        <v/>
      </c>
      <c r="V468" s="79">
        <f>IF(AND(O468=1,C468="Punch item"),1,0)</f>
        <v/>
      </c>
    </row>
    <row r="469" ht="24" customHeight="1">
      <c r="B469" s="125" t="n">
        <v>462</v>
      </c>
      <c r="C469" s="72" t="n"/>
      <c r="D469" s="109" t="n"/>
      <c r="E469" s="72" t="n"/>
      <c r="F469" s="113" t="n"/>
      <c r="G469" s="72" t="n"/>
      <c r="H469" s="74" t="n"/>
      <c r="I469" s="73" t="n"/>
      <c r="J469" s="113" t="n"/>
      <c r="K469" s="109" t="n"/>
      <c r="L469" s="72" t="n"/>
      <c r="M469" s="109" t="n"/>
      <c r="N469" s="72" t="n"/>
      <c r="O469" s="79">
        <f>IF(AND(F469&lt;&gt;"",L469&lt;&gt;"Resolved"),1,0)</f>
        <v/>
      </c>
      <c r="P469" s="79">
        <f>IF(F469="","",IF(O469=0,0,IF(H469="High",2,1)))</f>
        <v/>
      </c>
      <c r="Q469" s="112">
        <f>IF(O469=1,IF(K469&lt;&gt;"",K469,IF(H469="High",AsOf,"")),"")</f>
        <v/>
      </c>
      <c r="R469" s="79">
        <f>IF(Q469="","",IF(H469="High",1,IF(Q469="","",IF(Q469&lt;AsOf,1,IF(Q469&lt;=AsOf+AlertDays,2,IF(Q469&lt;=AsOf+2*AlertDays,3,""))))))</f>
        <v/>
      </c>
      <c r="S469" s="79">
        <f>IF(R469="","",IF(H469="High","High-severity issue: ",IF(C469="Punch item","Punch item: ","Issue action due: "))&amp;F469&amp;IF(J469="",""," → "&amp;J469))</f>
        <v/>
      </c>
      <c r="T469" s="79">
        <f>IF(O469=1,IF(I469="",0,I469),0)</f>
        <v/>
      </c>
      <c r="U469" s="79">
        <f>IF(AND(O469=1,H469="High"),1,0)</f>
        <v/>
      </c>
      <c r="V469" s="79">
        <f>IF(AND(O469=1,C469="Punch item"),1,0)</f>
        <v/>
      </c>
    </row>
    <row r="470" ht="24" customHeight="1">
      <c r="B470" s="125" t="n">
        <v>463</v>
      </c>
      <c r="C470" s="72" t="n"/>
      <c r="D470" s="109" t="n"/>
      <c r="E470" s="72" t="n"/>
      <c r="F470" s="113" t="n"/>
      <c r="G470" s="72" t="n"/>
      <c r="H470" s="74" t="n"/>
      <c r="I470" s="73" t="n"/>
      <c r="J470" s="113" t="n"/>
      <c r="K470" s="109" t="n"/>
      <c r="L470" s="72" t="n"/>
      <c r="M470" s="109" t="n"/>
      <c r="N470" s="72" t="n"/>
      <c r="O470" s="79">
        <f>IF(AND(F470&lt;&gt;"",L470&lt;&gt;"Resolved"),1,0)</f>
        <v/>
      </c>
      <c r="P470" s="79">
        <f>IF(F470="","",IF(O470=0,0,IF(H470="High",2,1)))</f>
        <v/>
      </c>
      <c r="Q470" s="112">
        <f>IF(O470=1,IF(K470&lt;&gt;"",K470,IF(H470="High",AsOf,"")),"")</f>
        <v/>
      </c>
      <c r="R470" s="79">
        <f>IF(Q470="","",IF(H470="High",1,IF(Q470="","",IF(Q470&lt;AsOf,1,IF(Q470&lt;=AsOf+AlertDays,2,IF(Q470&lt;=AsOf+2*AlertDays,3,""))))))</f>
        <v/>
      </c>
      <c r="S470" s="79">
        <f>IF(R470="","",IF(H470="High","High-severity issue: ",IF(C470="Punch item","Punch item: ","Issue action due: "))&amp;F470&amp;IF(J470="",""," → "&amp;J470))</f>
        <v/>
      </c>
      <c r="T470" s="79">
        <f>IF(O470=1,IF(I470="",0,I470),0)</f>
        <v/>
      </c>
      <c r="U470" s="79">
        <f>IF(AND(O470=1,H470="High"),1,0)</f>
        <v/>
      </c>
      <c r="V470" s="79">
        <f>IF(AND(O470=1,C470="Punch item"),1,0)</f>
        <v/>
      </c>
    </row>
    <row r="471" ht="24" customHeight="1">
      <c r="B471" s="125" t="n">
        <v>464</v>
      </c>
      <c r="C471" s="72" t="n"/>
      <c r="D471" s="109" t="n"/>
      <c r="E471" s="72" t="n"/>
      <c r="F471" s="113" t="n"/>
      <c r="G471" s="72" t="n"/>
      <c r="H471" s="74" t="n"/>
      <c r="I471" s="73" t="n"/>
      <c r="J471" s="113" t="n"/>
      <c r="K471" s="109" t="n"/>
      <c r="L471" s="72" t="n"/>
      <c r="M471" s="109" t="n"/>
      <c r="N471" s="72" t="n"/>
      <c r="O471" s="79">
        <f>IF(AND(F471&lt;&gt;"",L471&lt;&gt;"Resolved"),1,0)</f>
        <v/>
      </c>
      <c r="P471" s="79">
        <f>IF(F471="","",IF(O471=0,0,IF(H471="High",2,1)))</f>
        <v/>
      </c>
      <c r="Q471" s="112">
        <f>IF(O471=1,IF(K471&lt;&gt;"",K471,IF(H471="High",AsOf,"")),"")</f>
        <v/>
      </c>
      <c r="R471" s="79">
        <f>IF(Q471="","",IF(H471="High",1,IF(Q471="","",IF(Q471&lt;AsOf,1,IF(Q471&lt;=AsOf+AlertDays,2,IF(Q471&lt;=AsOf+2*AlertDays,3,""))))))</f>
        <v/>
      </c>
      <c r="S471" s="79">
        <f>IF(R471="","",IF(H471="High","High-severity issue: ",IF(C471="Punch item","Punch item: ","Issue action due: "))&amp;F471&amp;IF(J471="",""," → "&amp;J471))</f>
        <v/>
      </c>
      <c r="T471" s="79">
        <f>IF(O471=1,IF(I471="",0,I471),0)</f>
        <v/>
      </c>
      <c r="U471" s="79">
        <f>IF(AND(O471=1,H471="High"),1,0)</f>
        <v/>
      </c>
      <c r="V471" s="79">
        <f>IF(AND(O471=1,C471="Punch item"),1,0)</f>
        <v/>
      </c>
    </row>
    <row r="472" ht="24" customHeight="1">
      <c r="B472" s="125" t="n">
        <v>465</v>
      </c>
      <c r="C472" s="72" t="n"/>
      <c r="D472" s="109" t="n"/>
      <c r="E472" s="72" t="n"/>
      <c r="F472" s="113" t="n"/>
      <c r="G472" s="72" t="n"/>
      <c r="H472" s="74" t="n"/>
      <c r="I472" s="73" t="n"/>
      <c r="J472" s="113" t="n"/>
      <c r="K472" s="109" t="n"/>
      <c r="L472" s="72" t="n"/>
      <c r="M472" s="109" t="n"/>
      <c r="N472" s="72" t="n"/>
      <c r="O472" s="79">
        <f>IF(AND(F472&lt;&gt;"",L472&lt;&gt;"Resolved"),1,0)</f>
        <v/>
      </c>
      <c r="P472" s="79">
        <f>IF(F472="","",IF(O472=0,0,IF(H472="High",2,1)))</f>
        <v/>
      </c>
      <c r="Q472" s="112">
        <f>IF(O472=1,IF(K472&lt;&gt;"",K472,IF(H472="High",AsOf,"")),"")</f>
        <v/>
      </c>
      <c r="R472" s="79">
        <f>IF(Q472="","",IF(H472="High",1,IF(Q472="","",IF(Q472&lt;AsOf,1,IF(Q472&lt;=AsOf+AlertDays,2,IF(Q472&lt;=AsOf+2*AlertDays,3,""))))))</f>
        <v/>
      </c>
      <c r="S472" s="79">
        <f>IF(R472="","",IF(H472="High","High-severity issue: ",IF(C472="Punch item","Punch item: ","Issue action due: "))&amp;F472&amp;IF(J472="",""," → "&amp;J472))</f>
        <v/>
      </c>
      <c r="T472" s="79">
        <f>IF(O472=1,IF(I472="",0,I472),0)</f>
        <v/>
      </c>
      <c r="U472" s="79">
        <f>IF(AND(O472=1,H472="High"),1,0)</f>
        <v/>
      </c>
      <c r="V472" s="79">
        <f>IF(AND(O472=1,C472="Punch item"),1,0)</f>
        <v/>
      </c>
    </row>
    <row r="473" ht="24" customHeight="1">
      <c r="B473" s="125" t="n">
        <v>466</v>
      </c>
      <c r="C473" s="72" t="n"/>
      <c r="D473" s="109" t="n"/>
      <c r="E473" s="72" t="n"/>
      <c r="F473" s="113" t="n"/>
      <c r="G473" s="72" t="n"/>
      <c r="H473" s="74" t="n"/>
      <c r="I473" s="73" t="n"/>
      <c r="J473" s="113" t="n"/>
      <c r="K473" s="109" t="n"/>
      <c r="L473" s="72" t="n"/>
      <c r="M473" s="109" t="n"/>
      <c r="N473" s="72" t="n"/>
      <c r="O473" s="79">
        <f>IF(AND(F473&lt;&gt;"",L473&lt;&gt;"Resolved"),1,0)</f>
        <v/>
      </c>
      <c r="P473" s="79">
        <f>IF(F473="","",IF(O473=0,0,IF(H473="High",2,1)))</f>
        <v/>
      </c>
      <c r="Q473" s="112">
        <f>IF(O473=1,IF(K473&lt;&gt;"",K473,IF(H473="High",AsOf,"")),"")</f>
        <v/>
      </c>
      <c r="R473" s="79">
        <f>IF(Q473="","",IF(H473="High",1,IF(Q473="","",IF(Q473&lt;AsOf,1,IF(Q473&lt;=AsOf+AlertDays,2,IF(Q473&lt;=AsOf+2*AlertDays,3,""))))))</f>
        <v/>
      </c>
      <c r="S473" s="79">
        <f>IF(R473="","",IF(H473="High","High-severity issue: ",IF(C473="Punch item","Punch item: ","Issue action due: "))&amp;F473&amp;IF(J473="",""," → "&amp;J473))</f>
        <v/>
      </c>
      <c r="T473" s="79">
        <f>IF(O473=1,IF(I473="",0,I473),0)</f>
        <v/>
      </c>
      <c r="U473" s="79">
        <f>IF(AND(O473=1,H473="High"),1,0)</f>
        <v/>
      </c>
      <c r="V473" s="79">
        <f>IF(AND(O473=1,C473="Punch item"),1,0)</f>
        <v/>
      </c>
    </row>
    <row r="474" ht="24" customHeight="1">
      <c r="B474" s="125" t="n">
        <v>467</v>
      </c>
      <c r="C474" s="72" t="n"/>
      <c r="D474" s="109" t="n"/>
      <c r="E474" s="72" t="n"/>
      <c r="F474" s="113" t="n"/>
      <c r="G474" s="72" t="n"/>
      <c r="H474" s="74" t="n"/>
      <c r="I474" s="73" t="n"/>
      <c r="J474" s="113" t="n"/>
      <c r="K474" s="109" t="n"/>
      <c r="L474" s="72" t="n"/>
      <c r="M474" s="109" t="n"/>
      <c r="N474" s="72" t="n"/>
      <c r="O474" s="79">
        <f>IF(AND(F474&lt;&gt;"",L474&lt;&gt;"Resolved"),1,0)</f>
        <v/>
      </c>
      <c r="P474" s="79">
        <f>IF(F474="","",IF(O474=0,0,IF(H474="High",2,1)))</f>
        <v/>
      </c>
      <c r="Q474" s="112">
        <f>IF(O474=1,IF(K474&lt;&gt;"",K474,IF(H474="High",AsOf,"")),"")</f>
        <v/>
      </c>
      <c r="R474" s="79">
        <f>IF(Q474="","",IF(H474="High",1,IF(Q474="","",IF(Q474&lt;AsOf,1,IF(Q474&lt;=AsOf+AlertDays,2,IF(Q474&lt;=AsOf+2*AlertDays,3,""))))))</f>
        <v/>
      </c>
      <c r="S474" s="79">
        <f>IF(R474="","",IF(H474="High","High-severity issue: ",IF(C474="Punch item","Punch item: ","Issue action due: "))&amp;F474&amp;IF(J474="",""," → "&amp;J474))</f>
        <v/>
      </c>
      <c r="T474" s="79">
        <f>IF(O474=1,IF(I474="",0,I474),0)</f>
        <v/>
      </c>
      <c r="U474" s="79">
        <f>IF(AND(O474=1,H474="High"),1,0)</f>
        <v/>
      </c>
      <c r="V474" s="79">
        <f>IF(AND(O474=1,C474="Punch item"),1,0)</f>
        <v/>
      </c>
    </row>
    <row r="475" ht="24" customHeight="1">
      <c r="B475" s="125" t="n">
        <v>468</v>
      </c>
      <c r="C475" s="72" t="n"/>
      <c r="D475" s="109" t="n"/>
      <c r="E475" s="72" t="n"/>
      <c r="F475" s="113" t="n"/>
      <c r="G475" s="72" t="n"/>
      <c r="H475" s="74" t="n"/>
      <c r="I475" s="73" t="n"/>
      <c r="J475" s="113" t="n"/>
      <c r="K475" s="109" t="n"/>
      <c r="L475" s="72" t="n"/>
      <c r="M475" s="109" t="n"/>
      <c r="N475" s="72" t="n"/>
      <c r="O475" s="79">
        <f>IF(AND(F475&lt;&gt;"",L475&lt;&gt;"Resolved"),1,0)</f>
        <v/>
      </c>
      <c r="P475" s="79">
        <f>IF(F475="","",IF(O475=0,0,IF(H475="High",2,1)))</f>
        <v/>
      </c>
      <c r="Q475" s="112">
        <f>IF(O475=1,IF(K475&lt;&gt;"",K475,IF(H475="High",AsOf,"")),"")</f>
        <v/>
      </c>
      <c r="R475" s="79">
        <f>IF(Q475="","",IF(H475="High",1,IF(Q475="","",IF(Q475&lt;AsOf,1,IF(Q475&lt;=AsOf+AlertDays,2,IF(Q475&lt;=AsOf+2*AlertDays,3,""))))))</f>
        <v/>
      </c>
      <c r="S475" s="79">
        <f>IF(R475="","",IF(H475="High","High-severity issue: ",IF(C475="Punch item","Punch item: ","Issue action due: "))&amp;F475&amp;IF(J475="",""," → "&amp;J475))</f>
        <v/>
      </c>
      <c r="T475" s="79">
        <f>IF(O475=1,IF(I475="",0,I475),0)</f>
        <v/>
      </c>
      <c r="U475" s="79">
        <f>IF(AND(O475=1,H475="High"),1,0)</f>
        <v/>
      </c>
      <c r="V475" s="79">
        <f>IF(AND(O475=1,C475="Punch item"),1,0)</f>
        <v/>
      </c>
    </row>
    <row r="476" ht="24" customHeight="1">
      <c r="B476" s="125" t="n">
        <v>469</v>
      </c>
      <c r="C476" s="72" t="n"/>
      <c r="D476" s="109" t="n"/>
      <c r="E476" s="72" t="n"/>
      <c r="F476" s="113" t="n"/>
      <c r="G476" s="72" t="n"/>
      <c r="H476" s="74" t="n"/>
      <c r="I476" s="73" t="n"/>
      <c r="J476" s="113" t="n"/>
      <c r="K476" s="109" t="n"/>
      <c r="L476" s="72" t="n"/>
      <c r="M476" s="109" t="n"/>
      <c r="N476" s="72" t="n"/>
      <c r="O476" s="79">
        <f>IF(AND(F476&lt;&gt;"",L476&lt;&gt;"Resolved"),1,0)</f>
        <v/>
      </c>
      <c r="P476" s="79">
        <f>IF(F476="","",IF(O476=0,0,IF(H476="High",2,1)))</f>
        <v/>
      </c>
      <c r="Q476" s="112">
        <f>IF(O476=1,IF(K476&lt;&gt;"",K476,IF(H476="High",AsOf,"")),"")</f>
        <v/>
      </c>
      <c r="R476" s="79">
        <f>IF(Q476="","",IF(H476="High",1,IF(Q476="","",IF(Q476&lt;AsOf,1,IF(Q476&lt;=AsOf+AlertDays,2,IF(Q476&lt;=AsOf+2*AlertDays,3,""))))))</f>
        <v/>
      </c>
      <c r="S476" s="79">
        <f>IF(R476="","",IF(H476="High","High-severity issue: ",IF(C476="Punch item","Punch item: ","Issue action due: "))&amp;F476&amp;IF(J476="",""," → "&amp;J476))</f>
        <v/>
      </c>
      <c r="T476" s="79">
        <f>IF(O476=1,IF(I476="",0,I476),0)</f>
        <v/>
      </c>
      <c r="U476" s="79">
        <f>IF(AND(O476=1,H476="High"),1,0)</f>
        <v/>
      </c>
      <c r="V476" s="79">
        <f>IF(AND(O476=1,C476="Punch item"),1,0)</f>
        <v/>
      </c>
    </row>
    <row r="477" ht="24" customHeight="1">
      <c r="B477" s="125" t="n">
        <v>470</v>
      </c>
      <c r="C477" s="72" t="n"/>
      <c r="D477" s="109" t="n"/>
      <c r="E477" s="72" t="n"/>
      <c r="F477" s="113" t="n"/>
      <c r="G477" s="72" t="n"/>
      <c r="H477" s="74" t="n"/>
      <c r="I477" s="73" t="n"/>
      <c r="J477" s="113" t="n"/>
      <c r="K477" s="109" t="n"/>
      <c r="L477" s="72" t="n"/>
      <c r="M477" s="109" t="n"/>
      <c r="N477" s="72" t="n"/>
      <c r="O477" s="79">
        <f>IF(AND(F477&lt;&gt;"",L477&lt;&gt;"Resolved"),1,0)</f>
        <v/>
      </c>
      <c r="P477" s="79">
        <f>IF(F477="","",IF(O477=0,0,IF(H477="High",2,1)))</f>
        <v/>
      </c>
      <c r="Q477" s="112">
        <f>IF(O477=1,IF(K477&lt;&gt;"",K477,IF(H477="High",AsOf,"")),"")</f>
        <v/>
      </c>
      <c r="R477" s="79">
        <f>IF(Q477="","",IF(H477="High",1,IF(Q477="","",IF(Q477&lt;AsOf,1,IF(Q477&lt;=AsOf+AlertDays,2,IF(Q477&lt;=AsOf+2*AlertDays,3,""))))))</f>
        <v/>
      </c>
      <c r="S477" s="79">
        <f>IF(R477="","",IF(H477="High","High-severity issue: ",IF(C477="Punch item","Punch item: ","Issue action due: "))&amp;F477&amp;IF(J477="",""," → "&amp;J477))</f>
        <v/>
      </c>
      <c r="T477" s="79">
        <f>IF(O477=1,IF(I477="",0,I477),0)</f>
        <v/>
      </c>
      <c r="U477" s="79">
        <f>IF(AND(O477=1,H477="High"),1,0)</f>
        <v/>
      </c>
      <c r="V477" s="79">
        <f>IF(AND(O477=1,C477="Punch item"),1,0)</f>
        <v/>
      </c>
    </row>
    <row r="478" ht="24" customHeight="1">
      <c r="B478" s="125" t="n">
        <v>471</v>
      </c>
      <c r="C478" s="72" t="n"/>
      <c r="D478" s="109" t="n"/>
      <c r="E478" s="72" t="n"/>
      <c r="F478" s="113" t="n"/>
      <c r="G478" s="72" t="n"/>
      <c r="H478" s="74" t="n"/>
      <c r="I478" s="73" t="n"/>
      <c r="J478" s="113" t="n"/>
      <c r="K478" s="109" t="n"/>
      <c r="L478" s="72" t="n"/>
      <c r="M478" s="109" t="n"/>
      <c r="N478" s="72" t="n"/>
      <c r="O478" s="79">
        <f>IF(AND(F478&lt;&gt;"",L478&lt;&gt;"Resolved"),1,0)</f>
        <v/>
      </c>
      <c r="P478" s="79">
        <f>IF(F478="","",IF(O478=0,0,IF(H478="High",2,1)))</f>
        <v/>
      </c>
      <c r="Q478" s="112">
        <f>IF(O478=1,IF(K478&lt;&gt;"",K478,IF(H478="High",AsOf,"")),"")</f>
        <v/>
      </c>
      <c r="R478" s="79">
        <f>IF(Q478="","",IF(H478="High",1,IF(Q478="","",IF(Q478&lt;AsOf,1,IF(Q478&lt;=AsOf+AlertDays,2,IF(Q478&lt;=AsOf+2*AlertDays,3,""))))))</f>
        <v/>
      </c>
      <c r="S478" s="79">
        <f>IF(R478="","",IF(H478="High","High-severity issue: ",IF(C478="Punch item","Punch item: ","Issue action due: "))&amp;F478&amp;IF(J478="",""," → "&amp;J478))</f>
        <v/>
      </c>
      <c r="T478" s="79">
        <f>IF(O478=1,IF(I478="",0,I478),0)</f>
        <v/>
      </c>
      <c r="U478" s="79">
        <f>IF(AND(O478=1,H478="High"),1,0)</f>
        <v/>
      </c>
      <c r="V478" s="79">
        <f>IF(AND(O478=1,C478="Punch item"),1,0)</f>
        <v/>
      </c>
    </row>
    <row r="479" ht="24" customHeight="1">
      <c r="B479" s="125" t="n">
        <v>472</v>
      </c>
      <c r="C479" s="72" t="n"/>
      <c r="D479" s="109" t="n"/>
      <c r="E479" s="72" t="n"/>
      <c r="F479" s="113" t="n"/>
      <c r="G479" s="72" t="n"/>
      <c r="H479" s="74" t="n"/>
      <c r="I479" s="73" t="n"/>
      <c r="J479" s="113" t="n"/>
      <c r="K479" s="109" t="n"/>
      <c r="L479" s="72" t="n"/>
      <c r="M479" s="109" t="n"/>
      <c r="N479" s="72" t="n"/>
      <c r="O479" s="79">
        <f>IF(AND(F479&lt;&gt;"",L479&lt;&gt;"Resolved"),1,0)</f>
        <v/>
      </c>
      <c r="P479" s="79">
        <f>IF(F479="","",IF(O479=0,0,IF(H479="High",2,1)))</f>
        <v/>
      </c>
      <c r="Q479" s="112">
        <f>IF(O479=1,IF(K479&lt;&gt;"",K479,IF(H479="High",AsOf,"")),"")</f>
        <v/>
      </c>
      <c r="R479" s="79">
        <f>IF(Q479="","",IF(H479="High",1,IF(Q479="","",IF(Q479&lt;AsOf,1,IF(Q479&lt;=AsOf+AlertDays,2,IF(Q479&lt;=AsOf+2*AlertDays,3,""))))))</f>
        <v/>
      </c>
      <c r="S479" s="79">
        <f>IF(R479="","",IF(H479="High","High-severity issue: ",IF(C479="Punch item","Punch item: ","Issue action due: "))&amp;F479&amp;IF(J479="",""," → "&amp;J479))</f>
        <v/>
      </c>
      <c r="T479" s="79">
        <f>IF(O479=1,IF(I479="",0,I479),0)</f>
        <v/>
      </c>
      <c r="U479" s="79">
        <f>IF(AND(O479=1,H479="High"),1,0)</f>
        <v/>
      </c>
      <c r="V479" s="79">
        <f>IF(AND(O479=1,C479="Punch item"),1,0)</f>
        <v/>
      </c>
    </row>
    <row r="480" ht="24" customHeight="1">
      <c r="B480" s="125" t="n">
        <v>473</v>
      </c>
      <c r="C480" s="72" t="n"/>
      <c r="D480" s="109" t="n"/>
      <c r="E480" s="72" t="n"/>
      <c r="F480" s="113" t="n"/>
      <c r="G480" s="72" t="n"/>
      <c r="H480" s="74" t="n"/>
      <c r="I480" s="73" t="n"/>
      <c r="J480" s="113" t="n"/>
      <c r="K480" s="109" t="n"/>
      <c r="L480" s="72" t="n"/>
      <c r="M480" s="109" t="n"/>
      <c r="N480" s="72" t="n"/>
      <c r="O480" s="79">
        <f>IF(AND(F480&lt;&gt;"",L480&lt;&gt;"Resolved"),1,0)</f>
        <v/>
      </c>
      <c r="P480" s="79">
        <f>IF(F480="","",IF(O480=0,0,IF(H480="High",2,1)))</f>
        <v/>
      </c>
      <c r="Q480" s="112">
        <f>IF(O480=1,IF(K480&lt;&gt;"",K480,IF(H480="High",AsOf,"")),"")</f>
        <v/>
      </c>
      <c r="R480" s="79">
        <f>IF(Q480="","",IF(H480="High",1,IF(Q480="","",IF(Q480&lt;AsOf,1,IF(Q480&lt;=AsOf+AlertDays,2,IF(Q480&lt;=AsOf+2*AlertDays,3,""))))))</f>
        <v/>
      </c>
      <c r="S480" s="79">
        <f>IF(R480="","",IF(H480="High","High-severity issue: ",IF(C480="Punch item","Punch item: ","Issue action due: "))&amp;F480&amp;IF(J480="",""," → "&amp;J480))</f>
        <v/>
      </c>
      <c r="T480" s="79">
        <f>IF(O480=1,IF(I480="",0,I480),0)</f>
        <v/>
      </c>
      <c r="U480" s="79">
        <f>IF(AND(O480=1,H480="High"),1,0)</f>
        <v/>
      </c>
      <c r="V480" s="79">
        <f>IF(AND(O480=1,C480="Punch item"),1,0)</f>
        <v/>
      </c>
    </row>
    <row r="481" ht="24" customHeight="1">
      <c r="B481" s="125" t="n">
        <v>474</v>
      </c>
      <c r="C481" s="72" t="n"/>
      <c r="D481" s="109" t="n"/>
      <c r="E481" s="72" t="n"/>
      <c r="F481" s="113" t="n"/>
      <c r="G481" s="72" t="n"/>
      <c r="H481" s="74" t="n"/>
      <c r="I481" s="73" t="n"/>
      <c r="J481" s="113" t="n"/>
      <c r="K481" s="109" t="n"/>
      <c r="L481" s="72" t="n"/>
      <c r="M481" s="109" t="n"/>
      <c r="N481" s="72" t="n"/>
      <c r="O481" s="79">
        <f>IF(AND(F481&lt;&gt;"",L481&lt;&gt;"Resolved"),1,0)</f>
        <v/>
      </c>
      <c r="P481" s="79">
        <f>IF(F481="","",IF(O481=0,0,IF(H481="High",2,1)))</f>
        <v/>
      </c>
      <c r="Q481" s="112">
        <f>IF(O481=1,IF(K481&lt;&gt;"",K481,IF(H481="High",AsOf,"")),"")</f>
        <v/>
      </c>
      <c r="R481" s="79">
        <f>IF(Q481="","",IF(H481="High",1,IF(Q481="","",IF(Q481&lt;AsOf,1,IF(Q481&lt;=AsOf+AlertDays,2,IF(Q481&lt;=AsOf+2*AlertDays,3,""))))))</f>
        <v/>
      </c>
      <c r="S481" s="79">
        <f>IF(R481="","",IF(H481="High","High-severity issue: ",IF(C481="Punch item","Punch item: ","Issue action due: "))&amp;F481&amp;IF(J481="",""," → "&amp;J481))</f>
        <v/>
      </c>
      <c r="T481" s="79">
        <f>IF(O481=1,IF(I481="",0,I481),0)</f>
        <v/>
      </c>
      <c r="U481" s="79">
        <f>IF(AND(O481=1,H481="High"),1,0)</f>
        <v/>
      </c>
      <c r="V481" s="79">
        <f>IF(AND(O481=1,C481="Punch item"),1,0)</f>
        <v/>
      </c>
    </row>
    <row r="482" ht="24" customHeight="1">
      <c r="B482" s="125" t="n">
        <v>475</v>
      </c>
      <c r="C482" s="72" t="n"/>
      <c r="D482" s="109" t="n"/>
      <c r="E482" s="72" t="n"/>
      <c r="F482" s="113" t="n"/>
      <c r="G482" s="72" t="n"/>
      <c r="H482" s="74" t="n"/>
      <c r="I482" s="73" t="n"/>
      <c r="J482" s="113" t="n"/>
      <c r="K482" s="109" t="n"/>
      <c r="L482" s="72" t="n"/>
      <c r="M482" s="109" t="n"/>
      <c r="N482" s="72" t="n"/>
      <c r="O482" s="79">
        <f>IF(AND(F482&lt;&gt;"",L482&lt;&gt;"Resolved"),1,0)</f>
        <v/>
      </c>
      <c r="P482" s="79">
        <f>IF(F482="","",IF(O482=0,0,IF(H482="High",2,1)))</f>
        <v/>
      </c>
      <c r="Q482" s="112">
        <f>IF(O482=1,IF(K482&lt;&gt;"",K482,IF(H482="High",AsOf,"")),"")</f>
        <v/>
      </c>
      <c r="R482" s="79">
        <f>IF(Q482="","",IF(H482="High",1,IF(Q482="","",IF(Q482&lt;AsOf,1,IF(Q482&lt;=AsOf+AlertDays,2,IF(Q482&lt;=AsOf+2*AlertDays,3,""))))))</f>
        <v/>
      </c>
      <c r="S482" s="79">
        <f>IF(R482="","",IF(H482="High","High-severity issue: ",IF(C482="Punch item","Punch item: ","Issue action due: "))&amp;F482&amp;IF(J482="",""," → "&amp;J482))</f>
        <v/>
      </c>
      <c r="T482" s="79">
        <f>IF(O482=1,IF(I482="",0,I482),0)</f>
        <v/>
      </c>
      <c r="U482" s="79">
        <f>IF(AND(O482=1,H482="High"),1,0)</f>
        <v/>
      </c>
      <c r="V482" s="79">
        <f>IF(AND(O482=1,C482="Punch item"),1,0)</f>
        <v/>
      </c>
    </row>
    <row r="483" ht="24" customHeight="1">
      <c r="B483" s="125" t="n">
        <v>476</v>
      </c>
      <c r="C483" s="72" t="n"/>
      <c r="D483" s="109" t="n"/>
      <c r="E483" s="72" t="n"/>
      <c r="F483" s="113" t="n"/>
      <c r="G483" s="72" t="n"/>
      <c r="H483" s="74" t="n"/>
      <c r="I483" s="73" t="n"/>
      <c r="J483" s="113" t="n"/>
      <c r="K483" s="109" t="n"/>
      <c r="L483" s="72" t="n"/>
      <c r="M483" s="109" t="n"/>
      <c r="N483" s="72" t="n"/>
      <c r="O483" s="79">
        <f>IF(AND(F483&lt;&gt;"",L483&lt;&gt;"Resolved"),1,0)</f>
        <v/>
      </c>
      <c r="P483" s="79">
        <f>IF(F483="","",IF(O483=0,0,IF(H483="High",2,1)))</f>
        <v/>
      </c>
      <c r="Q483" s="112">
        <f>IF(O483=1,IF(K483&lt;&gt;"",K483,IF(H483="High",AsOf,"")),"")</f>
        <v/>
      </c>
      <c r="R483" s="79">
        <f>IF(Q483="","",IF(H483="High",1,IF(Q483="","",IF(Q483&lt;AsOf,1,IF(Q483&lt;=AsOf+AlertDays,2,IF(Q483&lt;=AsOf+2*AlertDays,3,""))))))</f>
        <v/>
      </c>
      <c r="S483" s="79">
        <f>IF(R483="","",IF(H483="High","High-severity issue: ",IF(C483="Punch item","Punch item: ","Issue action due: "))&amp;F483&amp;IF(J483="",""," → "&amp;J483))</f>
        <v/>
      </c>
      <c r="T483" s="79">
        <f>IF(O483=1,IF(I483="",0,I483),0)</f>
        <v/>
      </c>
      <c r="U483" s="79">
        <f>IF(AND(O483=1,H483="High"),1,0)</f>
        <v/>
      </c>
      <c r="V483" s="79">
        <f>IF(AND(O483=1,C483="Punch item"),1,0)</f>
        <v/>
      </c>
    </row>
    <row r="484" ht="24" customHeight="1">
      <c r="B484" s="125" t="n">
        <v>477</v>
      </c>
      <c r="C484" s="72" t="n"/>
      <c r="D484" s="109" t="n"/>
      <c r="E484" s="72" t="n"/>
      <c r="F484" s="113" t="n"/>
      <c r="G484" s="72" t="n"/>
      <c r="H484" s="74" t="n"/>
      <c r="I484" s="73" t="n"/>
      <c r="J484" s="113" t="n"/>
      <c r="K484" s="109" t="n"/>
      <c r="L484" s="72" t="n"/>
      <c r="M484" s="109" t="n"/>
      <c r="N484" s="72" t="n"/>
      <c r="O484" s="79">
        <f>IF(AND(F484&lt;&gt;"",L484&lt;&gt;"Resolved"),1,0)</f>
        <v/>
      </c>
      <c r="P484" s="79">
        <f>IF(F484="","",IF(O484=0,0,IF(H484="High",2,1)))</f>
        <v/>
      </c>
      <c r="Q484" s="112">
        <f>IF(O484=1,IF(K484&lt;&gt;"",K484,IF(H484="High",AsOf,"")),"")</f>
        <v/>
      </c>
      <c r="R484" s="79">
        <f>IF(Q484="","",IF(H484="High",1,IF(Q484="","",IF(Q484&lt;AsOf,1,IF(Q484&lt;=AsOf+AlertDays,2,IF(Q484&lt;=AsOf+2*AlertDays,3,""))))))</f>
        <v/>
      </c>
      <c r="S484" s="79">
        <f>IF(R484="","",IF(H484="High","High-severity issue: ",IF(C484="Punch item","Punch item: ","Issue action due: "))&amp;F484&amp;IF(J484="",""," → "&amp;J484))</f>
        <v/>
      </c>
      <c r="T484" s="79">
        <f>IF(O484=1,IF(I484="",0,I484),0)</f>
        <v/>
      </c>
      <c r="U484" s="79">
        <f>IF(AND(O484=1,H484="High"),1,0)</f>
        <v/>
      </c>
      <c r="V484" s="79">
        <f>IF(AND(O484=1,C484="Punch item"),1,0)</f>
        <v/>
      </c>
    </row>
    <row r="485" ht="24" customHeight="1">
      <c r="B485" s="125" t="n">
        <v>478</v>
      </c>
      <c r="C485" s="72" t="n"/>
      <c r="D485" s="109" t="n"/>
      <c r="E485" s="72" t="n"/>
      <c r="F485" s="113" t="n"/>
      <c r="G485" s="72" t="n"/>
      <c r="H485" s="74" t="n"/>
      <c r="I485" s="73" t="n"/>
      <c r="J485" s="113" t="n"/>
      <c r="K485" s="109" t="n"/>
      <c r="L485" s="72" t="n"/>
      <c r="M485" s="109" t="n"/>
      <c r="N485" s="72" t="n"/>
      <c r="O485" s="79">
        <f>IF(AND(F485&lt;&gt;"",L485&lt;&gt;"Resolved"),1,0)</f>
        <v/>
      </c>
      <c r="P485" s="79">
        <f>IF(F485="","",IF(O485=0,0,IF(H485="High",2,1)))</f>
        <v/>
      </c>
      <c r="Q485" s="112">
        <f>IF(O485=1,IF(K485&lt;&gt;"",K485,IF(H485="High",AsOf,"")),"")</f>
        <v/>
      </c>
      <c r="R485" s="79">
        <f>IF(Q485="","",IF(H485="High",1,IF(Q485="","",IF(Q485&lt;AsOf,1,IF(Q485&lt;=AsOf+AlertDays,2,IF(Q485&lt;=AsOf+2*AlertDays,3,""))))))</f>
        <v/>
      </c>
      <c r="S485" s="79">
        <f>IF(R485="","",IF(H485="High","High-severity issue: ",IF(C485="Punch item","Punch item: ","Issue action due: "))&amp;F485&amp;IF(J485="",""," → "&amp;J485))</f>
        <v/>
      </c>
      <c r="T485" s="79">
        <f>IF(O485=1,IF(I485="",0,I485),0)</f>
        <v/>
      </c>
      <c r="U485" s="79">
        <f>IF(AND(O485=1,H485="High"),1,0)</f>
        <v/>
      </c>
      <c r="V485" s="79">
        <f>IF(AND(O485=1,C485="Punch item"),1,0)</f>
        <v/>
      </c>
    </row>
    <row r="486" ht="24" customHeight="1">
      <c r="B486" s="125" t="n">
        <v>479</v>
      </c>
      <c r="C486" s="72" t="n"/>
      <c r="D486" s="109" t="n"/>
      <c r="E486" s="72" t="n"/>
      <c r="F486" s="113" t="n"/>
      <c r="G486" s="72" t="n"/>
      <c r="H486" s="74" t="n"/>
      <c r="I486" s="73" t="n"/>
      <c r="J486" s="113" t="n"/>
      <c r="K486" s="109" t="n"/>
      <c r="L486" s="72" t="n"/>
      <c r="M486" s="109" t="n"/>
      <c r="N486" s="72" t="n"/>
      <c r="O486" s="79">
        <f>IF(AND(F486&lt;&gt;"",L486&lt;&gt;"Resolved"),1,0)</f>
        <v/>
      </c>
      <c r="P486" s="79">
        <f>IF(F486="","",IF(O486=0,0,IF(H486="High",2,1)))</f>
        <v/>
      </c>
      <c r="Q486" s="112">
        <f>IF(O486=1,IF(K486&lt;&gt;"",K486,IF(H486="High",AsOf,"")),"")</f>
        <v/>
      </c>
      <c r="R486" s="79">
        <f>IF(Q486="","",IF(H486="High",1,IF(Q486="","",IF(Q486&lt;AsOf,1,IF(Q486&lt;=AsOf+AlertDays,2,IF(Q486&lt;=AsOf+2*AlertDays,3,""))))))</f>
        <v/>
      </c>
      <c r="S486" s="79">
        <f>IF(R486="","",IF(H486="High","High-severity issue: ",IF(C486="Punch item","Punch item: ","Issue action due: "))&amp;F486&amp;IF(J486="",""," → "&amp;J486))</f>
        <v/>
      </c>
      <c r="T486" s="79">
        <f>IF(O486=1,IF(I486="",0,I486),0)</f>
        <v/>
      </c>
      <c r="U486" s="79">
        <f>IF(AND(O486=1,H486="High"),1,0)</f>
        <v/>
      </c>
      <c r="V486" s="79">
        <f>IF(AND(O486=1,C486="Punch item"),1,0)</f>
        <v/>
      </c>
    </row>
    <row r="487" ht="24" customHeight="1">
      <c r="B487" s="125" t="n">
        <v>480</v>
      </c>
      <c r="C487" s="72" t="n"/>
      <c r="D487" s="109" t="n"/>
      <c r="E487" s="72" t="n"/>
      <c r="F487" s="113" t="n"/>
      <c r="G487" s="72" t="n"/>
      <c r="H487" s="74" t="n"/>
      <c r="I487" s="73" t="n"/>
      <c r="J487" s="113" t="n"/>
      <c r="K487" s="109" t="n"/>
      <c r="L487" s="72" t="n"/>
      <c r="M487" s="109" t="n"/>
      <c r="N487" s="72" t="n"/>
      <c r="O487" s="79">
        <f>IF(AND(F487&lt;&gt;"",L487&lt;&gt;"Resolved"),1,0)</f>
        <v/>
      </c>
      <c r="P487" s="79">
        <f>IF(F487="","",IF(O487=0,0,IF(H487="High",2,1)))</f>
        <v/>
      </c>
      <c r="Q487" s="112">
        <f>IF(O487=1,IF(K487&lt;&gt;"",K487,IF(H487="High",AsOf,"")),"")</f>
        <v/>
      </c>
      <c r="R487" s="79">
        <f>IF(Q487="","",IF(H487="High",1,IF(Q487="","",IF(Q487&lt;AsOf,1,IF(Q487&lt;=AsOf+AlertDays,2,IF(Q487&lt;=AsOf+2*AlertDays,3,""))))))</f>
        <v/>
      </c>
      <c r="S487" s="79">
        <f>IF(R487="","",IF(H487="High","High-severity issue: ",IF(C487="Punch item","Punch item: ","Issue action due: "))&amp;F487&amp;IF(J487="",""," → "&amp;J487))</f>
        <v/>
      </c>
      <c r="T487" s="79">
        <f>IF(O487=1,IF(I487="",0,I487),0)</f>
        <v/>
      </c>
      <c r="U487" s="79">
        <f>IF(AND(O487=1,H487="High"),1,0)</f>
        <v/>
      </c>
      <c r="V487" s="79">
        <f>IF(AND(O487=1,C487="Punch item"),1,0)</f>
        <v/>
      </c>
    </row>
    <row r="488" ht="24" customHeight="1">
      <c r="B488" s="125" t="n">
        <v>481</v>
      </c>
      <c r="C488" s="72" t="n"/>
      <c r="D488" s="109" t="n"/>
      <c r="E488" s="72" t="n"/>
      <c r="F488" s="113" t="n"/>
      <c r="G488" s="72" t="n"/>
      <c r="H488" s="74" t="n"/>
      <c r="I488" s="73" t="n"/>
      <c r="J488" s="113" t="n"/>
      <c r="K488" s="109" t="n"/>
      <c r="L488" s="72" t="n"/>
      <c r="M488" s="109" t="n"/>
      <c r="N488" s="72" t="n"/>
      <c r="O488" s="79">
        <f>IF(AND(F488&lt;&gt;"",L488&lt;&gt;"Resolved"),1,0)</f>
        <v/>
      </c>
      <c r="P488" s="79">
        <f>IF(F488="","",IF(O488=0,0,IF(H488="High",2,1)))</f>
        <v/>
      </c>
      <c r="Q488" s="112">
        <f>IF(O488=1,IF(K488&lt;&gt;"",K488,IF(H488="High",AsOf,"")),"")</f>
        <v/>
      </c>
      <c r="R488" s="79">
        <f>IF(Q488="","",IF(H488="High",1,IF(Q488="","",IF(Q488&lt;AsOf,1,IF(Q488&lt;=AsOf+AlertDays,2,IF(Q488&lt;=AsOf+2*AlertDays,3,""))))))</f>
        <v/>
      </c>
      <c r="S488" s="79">
        <f>IF(R488="","",IF(H488="High","High-severity issue: ",IF(C488="Punch item","Punch item: ","Issue action due: "))&amp;F488&amp;IF(J488="",""," → "&amp;J488))</f>
        <v/>
      </c>
      <c r="T488" s="79">
        <f>IF(O488=1,IF(I488="",0,I488),0)</f>
        <v/>
      </c>
      <c r="U488" s="79">
        <f>IF(AND(O488=1,H488="High"),1,0)</f>
        <v/>
      </c>
      <c r="V488" s="79">
        <f>IF(AND(O488=1,C488="Punch item"),1,0)</f>
        <v/>
      </c>
    </row>
    <row r="489" ht="24" customHeight="1">
      <c r="B489" s="125" t="n">
        <v>482</v>
      </c>
      <c r="C489" s="72" t="n"/>
      <c r="D489" s="109" t="n"/>
      <c r="E489" s="72" t="n"/>
      <c r="F489" s="113" t="n"/>
      <c r="G489" s="72" t="n"/>
      <c r="H489" s="74" t="n"/>
      <c r="I489" s="73" t="n"/>
      <c r="J489" s="113" t="n"/>
      <c r="K489" s="109" t="n"/>
      <c r="L489" s="72" t="n"/>
      <c r="M489" s="109" t="n"/>
      <c r="N489" s="72" t="n"/>
      <c r="O489" s="79">
        <f>IF(AND(F489&lt;&gt;"",L489&lt;&gt;"Resolved"),1,0)</f>
        <v/>
      </c>
      <c r="P489" s="79">
        <f>IF(F489="","",IF(O489=0,0,IF(H489="High",2,1)))</f>
        <v/>
      </c>
      <c r="Q489" s="112">
        <f>IF(O489=1,IF(K489&lt;&gt;"",K489,IF(H489="High",AsOf,"")),"")</f>
        <v/>
      </c>
      <c r="R489" s="79">
        <f>IF(Q489="","",IF(H489="High",1,IF(Q489="","",IF(Q489&lt;AsOf,1,IF(Q489&lt;=AsOf+AlertDays,2,IF(Q489&lt;=AsOf+2*AlertDays,3,""))))))</f>
        <v/>
      </c>
      <c r="S489" s="79">
        <f>IF(R489="","",IF(H489="High","High-severity issue: ",IF(C489="Punch item","Punch item: ","Issue action due: "))&amp;F489&amp;IF(J489="",""," → "&amp;J489))</f>
        <v/>
      </c>
      <c r="T489" s="79">
        <f>IF(O489=1,IF(I489="",0,I489),0)</f>
        <v/>
      </c>
      <c r="U489" s="79">
        <f>IF(AND(O489=1,H489="High"),1,0)</f>
        <v/>
      </c>
      <c r="V489" s="79">
        <f>IF(AND(O489=1,C489="Punch item"),1,0)</f>
        <v/>
      </c>
    </row>
    <row r="490" ht="24" customHeight="1">
      <c r="B490" s="125" t="n">
        <v>483</v>
      </c>
      <c r="C490" s="72" t="n"/>
      <c r="D490" s="109" t="n"/>
      <c r="E490" s="72" t="n"/>
      <c r="F490" s="113" t="n"/>
      <c r="G490" s="72" t="n"/>
      <c r="H490" s="74" t="n"/>
      <c r="I490" s="73" t="n"/>
      <c r="J490" s="113" t="n"/>
      <c r="K490" s="109" t="n"/>
      <c r="L490" s="72" t="n"/>
      <c r="M490" s="109" t="n"/>
      <c r="N490" s="72" t="n"/>
      <c r="O490" s="79">
        <f>IF(AND(F490&lt;&gt;"",L490&lt;&gt;"Resolved"),1,0)</f>
        <v/>
      </c>
      <c r="P490" s="79">
        <f>IF(F490="","",IF(O490=0,0,IF(H490="High",2,1)))</f>
        <v/>
      </c>
      <c r="Q490" s="112">
        <f>IF(O490=1,IF(K490&lt;&gt;"",K490,IF(H490="High",AsOf,"")),"")</f>
        <v/>
      </c>
      <c r="R490" s="79">
        <f>IF(Q490="","",IF(H490="High",1,IF(Q490="","",IF(Q490&lt;AsOf,1,IF(Q490&lt;=AsOf+AlertDays,2,IF(Q490&lt;=AsOf+2*AlertDays,3,""))))))</f>
        <v/>
      </c>
      <c r="S490" s="79">
        <f>IF(R490="","",IF(H490="High","High-severity issue: ",IF(C490="Punch item","Punch item: ","Issue action due: "))&amp;F490&amp;IF(J490="",""," → "&amp;J490))</f>
        <v/>
      </c>
      <c r="T490" s="79">
        <f>IF(O490=1,IF(I490="",0,I490),0)</f>
        <v/>
      </c>
      <c r="U490" s="79">
        <f>IF(AND(O490=1,H490="High"),1,0)</f>
        <v/>
      </c>
      <c r="V490" s="79">
        <f>IF(AND(O490=1,C490="Punch item"),1,0)</f>
        <v/>
      </c>
    </row>
    <row r="491" ht="24" customHeight="1">
      <c r="B491" s="125" t="n">
        <v>484</v>
      </c>
      <c r="C491" s="72" t="n"/>
      <c r="D491" s="109" t="n"/>
      <c r="E491" s="72" t="n"/>
      <c r="F491" s="113" t="n"/>
      <c r="G491" s="72" t="n"/>
      <c r="H491" s="74" t="n"/>
      <c r="I491" s="73" t="n"/>
      <c r="J491" s="113" t="n"/>
      <c r="K491" s="109" t="n"/>
      <c r="L491" s="72" t="n"/>
      <c r="M491" s="109" t="n"/>
      <c r="N491" s="72" t="n"/>
      <c r="O491" s="79">
        <f>IF(AND(F491&lt;&gt;"",L491&lt;&gt;"Resolved"),1,0)</f>
        <v/>
      </c>
      <c r="P491" s="79">
        <f>IF(F491="","",IF(O491=0,0,IF(H491="High",2,1)))</f>
        <v/>
      </c>
      <c r="Q491" s="112">
        <f>IF(O491=1,IF(K491&lt;&gt;"",K491,IF(H491="High",AsOf,"")),"")</f>
        <v/>
      </c>
      <c r="R491" s="79">
        <f>IF(Q491="","",IF(H491="High",1,IF(Q491="","",IF(Q491&lt;AsOf,1,IF(Q491&lt;=AsOf+AlertDays,2,IF(Q491&lt;=AsOf+2*AlertDays,3,""))))))</f>
        <v/>
      </c>
      <c r="S491" s="79">
        <f>IF(R491="","",IF(H491="High","High-severity issue: ",IF(C491="Punch item","Punch item: ","Issue action due: "))&amp;F491&amp;IF(J491="",""," → "&amp;J491))</f>
        <v/>
      </c>
      <c r="T491" s="79">
        <f>IF(O491=1,IF(I491="",0,I491),0)</f>
        <v/>
      </c>
      <c r="U491" s="79">
        <f>IF(AND(O491=1,H491="High"),1,0)</f>
        <v/>
      </c>
      <c r="V491" s="79">
        <f>IF(AND(O491=1,C491="Punch item"),1,0)</f>
        <v/>
      </c>
    </row>
    <row r="492" ht="24" customHeight="1">
      <c r="B492" s="125" t="n">
        <v>485</v>
      </c>
      <c r="C492" s="72" t="n"/>
      <c r="D492" s="109" t="n"/>
      <c r="E492" s="72" t="n"/>
      <c r="F492" s="113" t="n"/>
      <c r="G492" s="72" t="n"/>
      <c r="H492" s="74" t="n"/>
      <c r="I492" s="73" t="n"/>
      <c r="J492" s="113" t="n"/>
      <c r="K492" s="109" t="n"/>
      <c r="L492" s="72" t="n"/>
      <c r="M492" s="109" t="n"/>
      <c r="N492" s="72" t="n"/>
      <c r="O492" s="79">
        <f>IF(AND(F492&lt;&gt;"",L492&lt;&gt;"Resolved"),1,0)</f>
        <v/>
      </c>
      <c r="P492" s="79">
        <f>IF(F492="","",IF(O492=0,0,IF(H492="High",2,1)))</f>
        <v/>
      </c>
      <c r="Q492" s="112">
        <f>IF(O492=1,IF(K492&lt;&gt;"",K492,IF(H492="High",AsOf,"")),"")</f>
        <v/>
      </c>
      <c r="R492" s="79">
        <f>IF(Q492="","",IF(H492="High",1,IF(Q492="","",IF(Q492&lt;AsOf,1,IF(Q492&lt;=AsOf+AlertDays,2,IF(Q492&lt;=AsOf+2*AlertDays,3,""))))))</f>
        <v/>
      </c>
      <c r="S492" s="79">
        <f>IF(R492="","",IF(H492="High","High-severity issue: ",IF(C492="Punch item","Punch item: ","Issue action due: "))&amp;F492&amp;IF(J492="",""," → "&amp;J492))</f>
        <v/>
      </c>
      <c r="T492" s="79">
        <f>IF(O492=1,IF(I492="",0,I492),0)</f>
        <v/>
      </c>
      <c r="U492" s="79">
        <f>IF(AND(O492=1,H492="High"),1,0)</f>
        <v/>
      </c>
      <c r="V492" s="79">
        <f>IF(AND(O492=1,C492="Punch item"),1,0)</f>
        <v/>
      </c>
    </row>
    <row r="493" ht="24" customHeight="1">
      <c r="B493" s="125" t="n">
        <v>486</v>
      </c>
      <c r="C493" s="72" t="n"/>
      <c r="D493" s="109" t="n"/>
      <c r="E493" s="72" t="n"/>
      <c r="F493" s="113" t="n"/>
      <c r="G493" s="72" t="n"/>
      <c r="H493" s="74" t="n"/>
      <c r="I493" s="73" t="n"/>
      <c r="J493" s="113" t="n"/>
      <c r="K493" s="109" t="n"/>
      <c r="L493" s="72" t="n"/>
      <c r="M493" s="109" t="n"/>
      <c r="N493" s="72" t="n"/>
      <c r="O493" s="79">
        <f>IF(AND(F493&lt;&gt;"",L493&lt;&gt;"Resolved"),1,0)</f>
        <v/>
      </c>
      <c r="P493" s="79">
        <f>IF(F493="","",IF(O493=0,0,IF(H493="High",2,1)))</f>
        <v/>
      </c>
      <c r="Q493" s="112">
        <f>IF(O493=1,IF(K493&lt;&gt;"",K493,IF(H493="High",AsOf,"")),"")</f>
        <v/>
      </c>
      <c r="R493" s="79">
        <f>IF(Q493="","",IF(H493="High",1,IF(Q493="","",IF(Q493&lt;AsOf,1,IF(Q493&lt;=AsOf+AlertDays,2,IF(Q493&lt;=AsOf+2*AlertDays,3,""))))))</f>
        <v/>
      </c>
      <c r="S493" s="79">
        <f>IF(R493="","",IF(H493="High","High-severity issue: ",IF(C493="Punch item","Punch item: ","Issue action due: "))&amp;F493&amp;IF(J493="",""," → "&amp;J493))</f>
        <v/>
      </c>
      <c r="T493" s="79">
        <f>IF(O493=1,IF(I493="",0,I493),0)</f>
        <v/>
      </c>
      <c r="U493" s="79">
        <f>IF(AND(O493=1,H493="High"),1,0)</f>
        <v/>
      </c>
      <c r="V493" s="79">
        <f>IF(AND(O493=1,C493="Punch item"),1,0)</f>
        <v/>
      </c>
    </row>
    <row r="494" ht="24" customHeight="1">
      <c r="B494" s="125" t="n">
        <v>487</v>
      </c>
      <c r="C494" s="72" t="n"/>
      <c r="D494" s="109" t="n"/>
      <c r="E494" s="72" t="n"/>
      <c r="F494" s="113" t="n"/>
      <c r="G494" s="72" t="n"/>
      <c r="H494" s="74" t="n"/>
      <c r="I494" s="73" t="n"/>
      <c r="J494" s="113" t="n"/>
      <c r="K494" s="109" t="n"/>
      <c r="L494" s="72" t="n"/>
      <c r="M494" s="109" t="n"/>
      <c r="N494" s="72" t="n"/>
      <c r="O494" s="79">
        <f>IF(AND(F494&lt;&gt;"",L494&lt;&gt;"Resolved"),1,0)</f>
        <v/>
      </c>
      <c r="P494" s="79">
        <f>IF(F494="","",IF(O494=0,0,IF(H494="High",2,1)))</f>
        <v/>
      </c>
      <c r="Q494" s="112">
        <f>IF(O494=1,IF(K494&lt;&gt;"",K494,IF(H494="High",AsOf,"")),"")</f>
        <v/>
      </c>
      <c r="R494" s="79">
        <f>IF(Q494="","",IF(H494="High",1,IF(Q494="","",IF(Q494&lt;AsOf,1,IF(Q494&lt;=AsOf+AlertDays,2,IF(Q494&lt;=AsOf+2*AlertDays,3,""))))))</f>
        <v/>
      </c>
      <c r="S494" s="79">
        <f>IF(R494="","",IF(H494="High","High-severity issue: ",IF(C494="Punch item","Punch item: ","Issue action due: "))&amp;F494&amp;IF(J494="",""," → "&amp;J494))</f>
        <v/>
      </c>
      <c r="T494" s="79">
        <f>IF(O494=1,IF(I494="",0,I494),0)</f>
        <v/>
      </c>
      <c r="U494" s="79">
        <f>IF(AND(O494=1,H494="High"),1,0)</f>
        <v/>
      </c>
      <c r="V494" s="79">
        <f>IF(AND(O494=1,C494="Punch item"),1,0)</f>
        <v/>
      </c>
    </row>
    <row r="495" ht="24" customHeight="1">
      <c r="B495" s="125" t="n">
        <v>488</v>
      </c>
      <c r="C495" s="72" t="n"/>
      <c r="D495" s="109" t="n"/>
      <c r="E495" s="72" t="n"/>
      <c r="F495" s="113" t="n"/>
      <c r="G495" s="72" t="n"/>
      <c r="H495" s="74" t="n"/>
      <c r="I495" s="73" t="n"/>
      <c r="J495" s="113" t="n"/>
      <c r="K495" s="109" t="n"/>
      <c r="L495" s="72" t="n"/>
      <c r="M495" s="109" t="n"/>
      <c r="N495" s="72" t="n"/>
      <c r="O495" s="79">
        <f>IF(AND(F495&lt;&gt;"",L495&lt;&gt;"Resolved"),1,0)</f>
        <v/>
      </c>
      <c r="P495" s="79">
        <f>IF(F495="","",IF(O495=0,0,IF(H495="High",2,1)))</f>
        <v/>
      </c>
      <c r="Q495" s="112">
        <f>IF(O495=1,IF(K495&lt;&gt;"",K495,IF(H495="High",AsOf,"")),"")</f>
        <v/>
      </c>
      <c r="R495" s="79">
        <f>IF(Q495="","",IF(H495="High",1,IF(Q495="","",IF(Q495&lt;AsOf,1,IF(Q495&lt;=AsOf+AlertDays,2,IF(Q495&lt;=AsOf+2*AlertDays,3,""))))))</f>
        <v/>
      </c>
      <c r="S495" s="79">
        <f>IF(R495="","",IF(H495="High","High-severity issue: ",IF(C495="Punch item","Punch item: ","Issue action due: "))&amp;F495&amp;IF(J495="",""," → "&amp;J495))</f>
        <v/>
      </c>
      <c r="T495" s="79">
        <f>IF(O495=1,IF(I495="",0,I495),0)</f>
        <v/>
      </c>
      <c r="U495" s="79">
        <f>IF(AND(O495=1,H495="High"),1,0)</f>
        <v/>
      </c>
      <c r="V495" s="79">
        <f>IF(AND(O495=1,C495="Punch item"),1,0)</f>
        <v/>
      </c>
    </row>
    <row r="496" ht="24" customHeight="1">
      <c r="B496" s="125" t="n">
        <v>489</v>
      </c>
      <c r="C496" s="72" t="n"/>
      <c r="D496" s="109" t="n"/>
      <c r="E496" s="72" t="n"/>
      <c r="F496" s="113" t="n"/>
      <c r="G496" s="72" t="n"/>
      <c r="H496" s="74" t="n"/>
      <c r="I496" s="73" t="n"/>
      <c r="J496" s="113" t="n"/>
      <c r="K496" s="109" t="n"/>
      <c r="L496" s="72" t="n"/>
      <c r="M496" s="109" t="n"/>
      <c r="N496" s="72" t="n"/>
      <c r="O496" s="79">
        <f>IF(AND(F496&lt;&gt;"",L496&lt;&gt;"Resolved"),1,0)</f>
        <v/>
      </c>
      <c r="P496" s="79">
        <f>IF(F496="","",IF(O496=0,0,IF(H496="High",2,1)))</f>
        <v/>
      </c>
      <c r="Q496" s="112">
        <f>IF(O496=1,IF(K496&lt;&gt;"",K496,IF(H496="High",AsOf,"")),"")</f>
        <v/>
      </c>
      <c r="R496" s="79">
        <f>IF(Q496="","",IF(H496="High",1,IF(Q496="","",IF(Q496&lt;AsOf,1,IF(Q496&lt;=AsOf+AlertDays,2,IF(Q496&lt;=AsOf+2*AlertDays,3,""))))))</f>
        <v/>
      </c>
      <c r="S496" s="79">
        <f>IF(R496="","",IF(H496="High","High-severity issue: ",IF(C496="Punch item","Punch item: ","Issue action due: "))&amp;F496&amp;IF(J496="",""," → "&amp;J496))</f>
        <v/>
      </c>
      <c r="T496" s="79">
        <f>IF(O496=1,IF(I496="",0,I496),0)</f>
        <v/>
      </c>
      <c r="U496" s="79">
        <f>IF(AND(O496=1,H496="High"),1,0)</f>
        <v/>
      </c>
      <c r="V496" s="79">
        <f>IF(AND(O496=1,C496="Punch item"),1,0)</f>
        <v/>
      </c>
    </row>
    <row r="497" ht="24" customHeight="1">
      <c r="B497" s="125" t="n">
        <v>490</v>
      </c>
      <c r="C497" s="72" t="n"/>
      <c r="D497" s="109" t="n"/>
      <c r="E497" s="72" t="n"/>
      <c r="F497" s="113" t="n"/>
      <c r="G497" s="72" t="n"/>
      <c r="H497" s="74" t="n"/>
      <c r="I497" s="73" t="n"/>
      <c r="J497" s="113" t="n"/>
      <c r="K497" s="109" t="n"/>
      <c r="L497" s="72" t="n"/>
      <c r="M497" s="109" t="n"/>
      <c r="N497" s="72" t="n"/>
      <c r="O497" s="79">
        <f>IF(AND(F497&lt;&gt;"",L497&lt;&gt;"Resolved"),1,0)</f>
        <v/>
      </c>
      <c r="P497" s="79">
        <f>IF(F497="","",IF(O497=0,0,IF(H497="High",2,1)))</f>
        <v/>
      </c>
      <c r="Q497" s="112">
        <f>IF(O497=1,IF(K497&lt;&gt;"",K497,IF(H497="High",AsOf,"")),"")</f>
        <v/>
      </c>
      <c r="R497" s="79">
        <f>IF(Q497="","",IF(H497="High",1,IF(Q497="","",IF(Q497&lt;AsOf,1,IF(Q497&lt;=AsOf+AlertDays,2,IF(Q497&lt;=AsOf+2*AlertDays,3,""))))))</f>
        <v/>
      </c>
      <c r="S497" s="79">
        <f>IF(R497="","",IF(H497="High","High-severity issue: ",IF(C497="Punch item","Punch item: ","Issue action due: "))&amp;F497&amp;IF(J497="",""," → "&amp;J497))</f>
        <v/>
      </c>
      <c r="T497" s="79">
        <f>IF(O497=1,IF(I497="",0,I497),0)</f>
        <v/>
      </c>
      <c r="U497" s="79">
        <f>IF(AND(O497=1,H497="High"),1,0)</f>
        <v/>
      </c>
      <c r="V497" s="79">
        <f>IF(AND(O497=1,C497="Punch item"),1,0)</f>
        <v/>
      </c>
    </row>
    <row r="498" ht="24" customHeight="1">
      <c r="B498" s="125" t="n">
        <v>491</v>
      </c>
      <c r="C498" s="72" t="n"/>
      <c r="D498" s="109" t="n"/>
      <c r="E498" s="72" t="n"/>
      <c r="F498" s="113" t="n"/>
      <c r="G498" s="72" t="n"/>
      <c r="H498" s="74" t="n"/>
      <c r="I498" s="73" t="n"/>
      <c r="J498" s="113" t="n"/>
      <c r="K498" s="109" t="n"/>
      <c r="L498" s="72" t="n"/>
      <c r="M498" s="109" t="n"/>
      <c r="N498" s="72" t="n"/>
      <c r="O498" s="79">
        <f>IF(AND(F498&lt;&gt;"",L498&lt;&gt;"Resolved"),1,0)</f>
        <v/>
      </c>
      <c r="P498" s="79">
        <f>IF(F498="","",IF(O498=0,0,IF(H498="High",2,1)))</f>
        <v/>
      </c>
      <c r="Q498" s="112">
        <f>IF(O498=1,IF(K498&lt;&gt;"",K498,IF(H498="High",AsOf,"")),"")</f>
        <v/>
      </c>
      <c r="R498" s="79">
        <f>IF(Q498="","",IF(H498="High",1,IF(Q498="","",IF(Q498&lt;AsOf,1,IF(Q498&lt;=AsOf+AlertDays,2,IF(Q498&lt;=AsOf+2*AlertDays,3,""))))))</f>
        <v/>
      </c>
      <c r="S498" s="79">
        <f>IF(R498="","",IF(H498="High","High-severity issue: ",IF(C498="Punch item","Punch item: ","Issue action due: "))&amp;F498&amp;IF(J498="",""," → "&amp;J498))</f>
        <v/>
      </c>
      <c r="T498" s="79">
        <f>IF(O498=1,IF(I498="",0,I498),0)</f>
        <v/>
      </c>
      <c r="U498" s="79">
        <f>IF(AND(O498=1,H498="High"),1,0)</f>
        <v/>
      </c>
      <c r="V498" s="79">
        <f>IF(AND(O498=1,C498="Punch item"),1,0)</f>
        <v/>
      </c>
    </row>
    <row r="499" ht="24" customHeight="1">
      <c r="B499" s="125" t="n">
        <v>492</v>
      </c>
      <c r="C499" s="72" t="n"/>
      <c r="D499" s="109" t="n"/>
      <c r="E499" s="72" t="n"/>
      <c r="F499" s="113" t="n"/>
      <c r="G499" s="72" t="n"/>
      <c r="H499" s="74" t="n"/>
      <c r="I499" s="73" t="n"/>
      <c r="J499" s="113" t="n"/>
      <c r="K499" s="109" t="n"/>
      <c r="L499" s="72" t="n"/>
      <c r="M499" s="109" t="n"/>
      <c r="N499" s="72" t="n"/>
      <c r="O499" s="79">
        <f>IF(AND(F499&lt;&gt;"",L499&lt;&gt;"Resolved"),1,0)</f>
        <v/>
      </c>
      <c r="P499" s="79">
        <f>IF(F499="","",IF(O499=0,0,IF(H499="High",2,1)))</f>
        <v/>
      </c>
      <c r="Q499" s="112">
        <f>IF(O499=1,IF(K499&lt;&gt;"",K499,IF(H499="High",AsOf,"")),"")</f>
        <v/>
      </c>
      <c r="R499" s="79">
        <f>IF(Q499="","",IF(H499="High",1,IF(Q499="","",IF(Q499&lt;AsOf,1,IF(Q499&lt;=AsOf+AlertDays,2,IF(Q499&lt;=AsOf+2*AlertDays,3,""))))))</f>
        <v/>
      </c>
      <c r="S499" s="79">
        <f>IF(R499="","",IF(H499="High","High-severity issue: ",IF(C499="Punch item","Punch item: ","Issue action due: "))&amp;F499&amp;IF(J499="",""," → "&amp;J499))</f>
        <v/>
      </c>
      <c r="T499" s="79">
        <f>IF(O499=1,IF(I499="",0,I499),0)</f>
        <v/>
      </c>
      <c r="U499" s="79">
        <f>IF(AND(O499=1,H499="High"),1,0)</f>
        <v/>
      </c>
      <c r="V499" s="79">
        <f>IF(AND(O499=1,C499="Punch item"),1,0)</f>
        <v/>
      </c>
    </row>
    <row r="500" ht="24" customHeight="1">
      <c r="B500" s="125" t="n">
        <v>493</v>
      </c>
      <c r="C500" s="72" t="n"/>
      <c r="D500" s="109" t="n"/>
      <c r="E500" s="72" t="n"/>
      <c r="F500" s="113" t="n"/>
      <c r="G500" s="72" t="n"/>
      <c r="H500" s="74" t="n"/>
      <c r="I500" s="73" t="n"/>
      <c r="J500" s="113" t="n"/>
      <c r="K500" s="109" t="n"/>
      <c r="L500" s="72" t="n"/>
      <c r="M500" s="109" t="n"/>
      <c r="N500" s="72" t="n"/>
      <c r="O500" s="79">
        <f>IF(AND(F500&lt;&gt;"",L500&lt;&gt;"Resolved"),1,0)</f>
        <v/>
      </c>
      <c r="P500" s="79">
        <f>IF(F500="","",IF(O500=0,0,IF(H500="High",2,1)))</f>
        <v/>
      </c>
      <c r="Q500" s="112">
        <f>IF(O500=1,IF(K500&lt;&gt;"",K500,IF(H500="High",AsOf,"")),"")</f>
        <v/>
      </c>
      <c r="R500" s="79">
        <f>IF(Q500="","",IF(H500="High",1,IF(Q500="","",IF(Q500&lt;AsOf,1,IF(Q500&lt;=AsOf+AlertDays,2,IF(Q500&lt;=AsOf+2*AlertDays,3,""))))))</f>
        <v/>
      </c>
      <c r="S500" s="79">
        <f>IF(R500="","",IF(H500="High","High-severity issue: ",IF(C500="Punch item","Punch item: ","Issue action due: "))&amp;F500&amp;IF(J500="",""," → "&amp;J500))</f>
        <v/>
      </c>
      <c r="T500" s="79">
        <f>IF(O500=1,IF(I500="",0,I500),0)</f>
        <v/>
      </c>
      <c r="U500" s="79">
        <f>IF(AND(O500=1,H500="High"),1,0)</f>
        <v/>
      </c>
      <c r="V500" s="79">
        <f>IF(AND(O500=1,C500="Punch item"),1,0)</f>
        <v/>
      </c>
    </row>
    <row r="501" ht="24" customHeight="1">
      <c r="B501" s="125" t="n">
        <v>494</v>
      </c>
      <c r="C501" s="72" t="n"/>
      <c r="D501" s="109" t="n"/>
      <c r="E501" s="72" t="n"/>
      <c r="F501" s="113" t="n"/>
      <c r="G501" s="72" t="n"/>
      <c r="H501" s="74" t="n"/>
      <c r="I501" s="73" t="n"/>
      <c r="J501" s="113" t="n"/>
      <c r="K501" s="109" t="n"/>
      <c r="L501" s="72" t="n"/>
      <c r="M501" s="109" t="n"/>
      <c r="N501" s="72" t="n"/>
      <c r="O501" s="79">
        <f>IF(AND(F501&lt;&gt;"",L501&lt;&gt;"Resolved"),1,0)</f>
        <v/>
      </c>
      <c r="P501" s="79">
        <f>IF(F501="","",IF(O501=0,0,IF(H501="High",2,1)))</f>
        <v/>
      </c>
      <c r="Q501" s="112">
        <f>IF(O501=1,IF(K501&lt;&gt;"",K501,IF(H501="High",AsOf,"")),"")</f>
        <v/>
      </c>
      <c r="R501" s="79">
        <f>IF(Q501="","",IF(H501="High",1,IF(Q501="","",IF(Q501&lt;AsOf,1,IF(Q501&lt;=AsOf+AlertDays,2,IF(Q501&lt;=AsOf+2*AlertDays,3,""))))))</f>
        <v/>
      </c>
      <c r="S501" s="79">
        <f>IF(R501="","",IF(H501="High","High-severity issue: ",IF(C501="Punch item","Punch item: ","Issue action due: "))&amp;F501&amp;IF(J501="",""," → "&amp;J501))</f>
        <v/>
      </c>
      <c r="T501" s="79">
        <f>IF(O501=1,IF(I501="",0,I501),0)</f>
        <v/>
      </c>
      <c r="U501" s="79">
        <f>IF(AND(O501=1,H501="High"),1,0)</f>
        <v/>
      </c>
      <c r="V501" s="79">
        <f>IF(AND(O501=1,C501="Punch item"),1,0)</f>
        <v/>
      </c>
    </row>
    <row r="502" ht="24" customHeight="1">
      <c r="B502" s="125" t="n">
        <v>495</v>
      </c>
      <c r="C502" s="72" t="n"/>
      <c r="D502" s="109" t="n"/>
      <c r="E502" s="72" t="n"/>
      <c r="F502" s="113" t="n"/>
      <c r="G502" s="72" t="n"/>
      <c r="H502" s="74" t="n"/>
      <c r="I502" s="73" t="n"/>
      <c r="J502" s="113" t="n"/>
      <c r="K502" s="109" t="n"/>
      <c r="L502" s="72" t="n"/>
      <c r="M502" s="109" t="n"/>
      <c r="N502" s="72" t="n"/>
      <c r="O502" s="79">
        <f>IF(AND(F502&lt;&gt;"",L502&lt;&gt;"Resolved"),1,0)</f>
        <v/>
      </c>
      <c r="P502" s="79">
        <f>IF(F502="","",IF(O502=0,0,IF(H502="High",2,1)))</f>
        <v/>
      </c>
      <c r="Q502" s="112">
        <f>IF(O502=1,IF(K502&lt;&gt;"",K502,IF(H502="High",AsOf,"")),"")</f>
        <v/>
      </c>
      <c r="R502" s="79">
        <f>IF(Q502="","",IF(H502="High",1,IF(Q502="","",IF(Q502&lt;AsOf,1,IF(Q502&lt;=AsOf+AlertDays,2,IF(Q502&lt;=AsOf+2*AlertDays,3,""))))))</f>
        <v/>
      </c>
      <c r="S502" s="79">
        <f>IF(R502="","",IF(H502="High","High-severity issue: ",IF(C502="Punch item","Punch item: ","Issue action due: "))&amp;F502&amp;IF(J502="",""," → "&amp;J502))</f>
        <v/>
      </c>
      <c r="T502" s="79">
        <f>IF(O502=1,IF(I502="",0,I502),0)</f>
        <v/>
      </c>
      <c r="U502" s="79">
        <f>IF(AND(O502=1,H502="High"),1,0)</f>
        <v/>
      </c>
      <c r="V502" s="79">
        <f>IF(AND(O502=1,C502="Punch item"),1,0)</f>
        <v/>
      </c>
    </row>
    <row r="503" ht="24" customHeight="1">
      <c r="B503" s="125" t="n">
        <v>496</v>
      </c>
      <c r="C503" s="72" t="n"/>
      <c r="D503" s="109" t="n"/>
      <c r="E503" s="72" t="n"/>
      <c r="F503" s="113" t="n"/>
      <c r="G503" s="72" t="n"/>
      <c r="H503" s="74" t="n"/>
      <c r="I503" s="73" t="n"/>
      <c r="J503" s="113" t="n"/>
      <c r="K503" s="109" t="n"/>
      <c r="L503" s="72" t="n"/>
      <c r="M503" s="109" t="n"/>
      <c r="N503" s="72" t="n"/>
      <c r="O503" s="79">
        <f>IF(AND(F503&lt;&gt;"",L503&lt;&gt;"Resolved"),1,0)</f>
        <v/>
      </c>
      <c r="P503" s="79">
        <f>IF(F503="","",IF(O503=0,0,IF(H503="High",2,1)))</f>
        <v/>
      </c>
      <c r="Q503" s="112">
        <f>IF(O503=1,IF(K503&lt;&gt;"",K503,IF(H503="High",AsOf,"")),"")</f>
        <v/>
      </c>
      <c r="R503" s="79">
        <f>IF(Q503="","",IF(H503="High",1,IF(Q503="","",IF(Q503&lt;AsOf,1,IF(Q503&lt;=AsOf+AlertDays,2,IF(Q503&lt;=AsOf+2*AlertDays,3,""))))))</f>
        <v/>
      </c>
      <c r="S503" s="79">
        <f>IF(R503="","",IF(H503="High","High-severity issue: ",IF(C503="Punch item","Punch item: ","Issue action due: "))&amp;F503&amp;IF(J503="",""," → "&amp;J503))</f>
        <v/>
      </c>
      <c r="T503" s="79">
        <f>IF(O503=1,IF(I503="",0,I503),0)</f>
        <v/>
      </c>
      <c r="U503" s="79">
        <f>IF(AND(O503=1,H503="High"),1,0)</f>
        <v/>
      </c>
      <c r="V503" s="79">
        <f>IF(AND(O503=1,C503="Punch item"),1,0)</f>
        <v/>
      </c>
    </row>
    <row r="504" ht="24" customHeight="1">
      <c r="B504" s="125" t="n">
        <v>497</v>
      </c>
      <c r="C504" s="72" t="n"/>
      <c r="D504" s="109" t="n"/>
      <c r="E504" s="72" t="n"/>
      <c r="F504" s="113" t="n"/>
      <c r="G504" s="72" t="n"/>
      <c r="H504" s="74" t="n"/>
      <c r="I504" s="73" t="n"/>
      <c r="J504" s="113" t="n"/>
      <c r="K504" s="109" t="n"/>
      <c r="L504" s="72" t="n"/>
      <c r="M504" s="109" t="n"/>
      <c r="N504" s="72" t="n"/>
      <c r="O504" s="79">
        <f>IF(AND(F504&lt;&gt;"",L504&lt;&gt;"Resolved"),1,0)</f>
        <v/>
      </c>
      <c r="P504" s="79">
        <f>IF(F504="","",IF(O504=0,0,IF(H504="High",2,1)))</f>
        <v/>
      </c>
      <c r="Q504" s="112">
        <f>IF(O504=1,IF(K504&lt;&gt;"",K504,IF(H504="High",AsOf,"")),"")</f>
        <v/>
      </c>
      <c r="R504" s="79">
        <f>IF(Q504="","",IF(H504="High",1,IF(Q504="","",IF(Q504&lt;AsOf,1,IF(Q504&lt;=AsOf+AlertDays,2,IF(Q504&lt;=AsOf+2*AlertDays,3,""))))))</f>
        <v/>
      </c>
      <c r="S504" s="79">
        <f>IF(R504="","",IF(H504="High","High-severity issue: ",IF(C504="Punch item","Punch item: ","Issue action due: "))&amp;F504&amp;IF(J504="",""," → "&amp;J504))</f>
        <v/>
      </c>
      <c r="T504" s="79">
        <f>IF(O504=1,IF(I504="",0,I504),0)</f>
        <v/>
      </c>
      <c r="U504" s="79">
        <f>IF(AND(O504=1,H504="High"),1,0)</f>
        <v/>
      </c>
      <c r="V504" s="79">
        <f>IF(AND(O504=1,C504="Punch item"),1,0)</f>
        <v/>
      </c>
    </row>
    <row r="505" ht="24" customHeight="1">
      <c r="B505" s="125" t="n">
        <v>498</v>
      </c>
      <c r="C505" s="72" t="n"/>
      <c r="D505" s="109" t="n"/>
      <c r="E505" s="72" t="n"/>
      <c r="F505" s="113" t="n"/>
      <c r="G505" s="72" t="n"/>
      <c r="H505" s="74" t="n"/>
      <c r="I505" s="73" t="n"/>
      <c r="J505" s="113" t="n"/>
      <c r="K505" s="109" t="n"/>
      <c r="L505" s="72" t="n"/>
      <c r="M505" s="109" t="n"/>
      <c r="N505" s="72" t="n"/>
      <c r="O505" s="79">
        <f>IF(AND(F505&lt;&gt;"",L505&lt;&gt;"Resolved"),1,0)</f>
        <v/>
      </c>
      <c r="P505" s="79">
        <f>IF(F505="","",IF(O505=0,0,IF(H505="High",2,1)))</f>
        <v/>
      </c>
      <c r="Q505" s="112">
        <f>IF(O505=1,IF(K505&lt;&gt;"",K505,IF(H505="High",AsOf,"")),"")</f>
        <v/>
      </c>
      <c r="R505" s="79">
        <f>IF(Q505="","",IF(H505="High",1,IF(Q505="","",IF(Q505&lt;AsOf,1,IF(Q505&lt;=AsOf+AlertDays,2,IF(Q505&lt;=AsOf+2*AlertDays,3,""))))))</f>
        <v/>
      </c>
      <c r="S505" s="79">
        <f>IF(R505="","",IF(H505="High","High-severity issue: ",IF(C505="Punch item","Punch item: ","Issue action due: "))&amp;F505&amp;IF(J505="",""," → "&amp;J505))</f>
        <v/>
      </c>
      <c r="T505" s="79">
        <f>IF(O505=1,IF(I505="",0,I505),0)</f>
        <v/>
      </c>
      <c r="U505" s="79">
        <f>IF(AND(O505=1,H505="High"),1,0)</f>
        <v/>
      </c>
      <c r="V505" s="79">
        <f>IF(AND(O505=1,C505="Punch item"),1,0)</f>
        <v/>
      </c>
    </row>
    <row r="506" ht="24" customHeight="1">
      <c r="B506" s="125" t="n">
        <v>499</v>
      </c>
      <c r="C506" s="72" t="n"/>
      <c r="D506" s="109" t="n"/>
      <c r="E506" s="72" t="n"/>
      <c r="F506" s="113" t="n"/>
      <c r="G506" s="72" t="n"/>
      <c r="H506" s="74" t="n"/>
      <c r="I506" s="73" t="n"/>
      <c r="J506" s="113" t="n"/>
      <c r="K506" s="109" t="n"/>
      <c r="L506" s="72" t="n"/>
      <c r="M506" s="109" t="n"/>
      <c r="N506" s="72" t="n"/>
      <c r="O506" s="79">
        <f>IF(AND(F506&lt;&gt;"",L506&lt;&gt;"Resolved"),1,0)</f>
        <v/>
      </c>
      <c r="P506" s="79">
        <f>IF(F506="","",IF(O506=0,0,IF(H506="High",2,1)))</f>
        <v/>
      </c>
      <c r="Q506" s="112">
        <f>IF(O506=1,IF(K506&lt;&gt;"",K506,IF(H506="High",AsOf,"")),"")</f>
        <v/>
      </c>
      <c r="R506" s="79">
        <f>IF(Q506="","",IF(H506="High",1,IF(Q506="","",IF(Q506&lt;AsOf,1,IF(Q506&lt;=AsOf+AlertDays,2,IF(Q506&lt;=AsOf+2*AlertDays,3,""))))))</f>
        <v/>
      </c>
      <c r="S506" s="79">
        <f>IF(R506="","",IF(H506="High","High-severity issue: ",IF(C506="Punch item","Punch item: ","Issue action due: "))&amp;F506&amp;IF(J506="",""," → "&amp;J506))</f>
        <v/>
      </c>
      <c r="T506" s="79">
        <f>IF(O506=1,IF(I506="",0,I506),0)</f>
        <v/>
      </c>
      <c r="U506" s="79">
        <f>IF(AND(O506=1,H506="High"),1,0)</f>
        <v/>
      </c>
      <c r="V506" s="79">
        <f>IF(AND(O506=1,C506="Punch item"),1,0)</f>
        <v/>
      </c>
    </row>
    <row r="507" ht="24" customHeight="1">
      <c r="B507" s="125" t="n">
        <v>500</v>
      </c>
      <c r="C507" s="72" t="n"/>
      <c r="D507" s="109" t="n"/>
      <c r="E507" s="72" t="n"/>
      <c r="F507" s="113" t="n"/>
      <c r="G507" s="72" t="n"/>
      <c r="H507" s="74" t="n"/>
      <c r="I507" s="73" t="n"/>
      <c r="J507" s="113" t="n"/>
      <c r="K507" s="109" t="n"/>
      <c r="L507" s="72" t="n"/>
      <c r="M507" s="109" t="n"/>
      <c r="N507" s="72" t="n"/>
      <c r="O507" s="79">
        <f>IF(AND(F507&lt;&gt;"",L507&lt;&gt;"Resolved"),1,0)</f>
        <v/>
      </c>
      <c r="P507" s="79">
        <f>IF(F507="","",IF(O507=0,0,IF(H507="High",2,1)))</f>
        <v/>
      </c>
      <c r="Q507" s="112">
        <f>IF(O507=1,IF(K507&lt;&gt;"",K507,IF(H507="High",AsOf,"")),"")</f>
        <v/>
      </c>
      <c r="R507" s="79">
        <f>IF(Q507="","",IF(H507="High",1,IF(Q507="","",IF(Q507&lt;AsOf,1,IF(Q507&lt;=AsOf+AlertDays,2,IF(Q507&lt;=AsOf+2*AlertDays,3,""))))))</f>
        <v/>
      </c>
      <c r="S507" s="79">
        <f>IF(R507="","",IF(H507="High","High-severity issue: ",IF(C507="Punch item","Punch item: ","Issue action due: "))&amp;F507&amp;IF(J507="",""," → "&amp;J507))</f>
        <v/>
      </c>
      <c r="T507" s="79">
        <f>IF(O507=1,IF(I507="",0,I507),0)</f>
        <v/>
      </c>
      <c r="U507" s="79">
        <f>IF(AND(O507=1,H507="High"),1,0)</f>
        <v/>
      </c>
      <c r="V507" s="79">
        <f>IF(AND(O507=1,C507="Punch item"),1,0)</f>
        <v/>
      </c>
    </row>
    <row r="508" ht="24" customHeight="1">
      <c r="B508" s="125" t="n">
        <v>501</v>
      </c>
      <c r="C508" s="72" t="n"/>
      <c r="D508" s="109" t="n"/>
      <c r="E508" s="72" t="n"/>
      <c r="F508" s="113" t="n"/>
      <c r="G508" s="72" t="n"/>
      <c r="H508" s="74" t="n"/>
      <c r="I508" s="73" t="n"/>
      <c r="J508" s="113" t="n"/>
      <c r="K508" s="109" t="n"/>
      <c r="L508" s="72" t="n"/>
      <c r="M508" s="109" t="n"/>
      <c r="N508" s="72" t="n"/>
      <c r="O508" s="79">
        <f>IF(AND(F508&lt;&gt;"",L508&lt;&gt;"Resolved"),1,0)</f>
        <v/>
      </c>
      <c r="P508" s="79">
        <f>IF(F508="","",IF(O508=0,0,IF(H508="High",2,1)))</f>
        <v/>
      </c>
      <c r="Q508" s="112">
        <f>IF(O508=1,IF(K508&lt;&gt;"",K508,IF(H508="High",AsOf,"")),"")</f>
        <v/>
      </c>
      <c r="R508" s="79">
        <f>IF(Q508="","",IF(H508="High",1,IF(Q508="","",IF(Q508&lt;AsOf,1,IF(Q508&lt;=AsOf+AlertDays,2,IF(Q508&lt;=AsOf+2*AlertDays,3,""))))))</f>
        <v/>
      </c>
      <c r="S508" s="79">
        <f>IF(R508="","",IF(H508="High","High-severity issue: ",IF(C508="Punch item","Punch item: ","Issue action due: "))&amp;F508&amp;IF(J508="",""," → "&amp;J508))</f>
        <v/>
      </c>
      <c r="T508" s="79">
        <f>IF(O508=1,IF(I508="",0,I508),0)</f>
        <v/>
      </c>
      <c r="U508" s="79">
        <f>IF(AND(O508=1,H508="High"),1,0)</f>
        <v/>
      </c>
      <c r="V508" s="79">
        <f>IF(AND(O508=1,C508="Punch item"),1,0)</f>
        <v/>
      </c>
    </row>
    <row r="509" ht="24" customHeight="1">
      <c r="B509" s="125" t="n">
        <v>502</v>
      </c>
      <c r="C509" s="72" t="n"/>
      <c r="D509" s="109" t="n"/>
      <c r="E509" s="72" t="n"/>
      <c r="F509" s="113" t="n"/>
      <c r="G509" s="72" t="n"/>
      <c r="H509" s="74" t="n"/>
      <c r="I509" s="73" t="n"/>
      <c r="J509" s="113" t="n"/>
      <c r="K509" s="109" t="n"/>
      <c r="L509" s="72" t="n"/>
      <c r="M509" s="109" t="n"/>
      <c r="N509" s="72" t="n"/>
      <c r="O509" s="79">
        <f>IF(AND(F509&lt;&gt;"",L509&lt;&gt;"Resolved"),1,0)</f>
        <v/>
      </c>
      <c r="P509" s="79">
        <f>IF(F509="","",IF(O509=0,0,IF(H509="High",2,1)))</f>
        <v/>
      </c>
      <c r="Q509" s="112">
        <f>IF(O509=1,IF(K509&lt;&gt;"",K509,IF(H509="High",AsOf,"")),"")</f>
        <v/>
      </c>
      <c r="R509" s="79">
        <f>IF(Q509="","",IF(H509="High",1,IF(Q509="","",IF(Q509&lt;AsOf,1,IF(Q509&lt;=AsOf+AlertDays,2,IF(Q509&lt;=AsOf+2*AlertDays,3,""))))))</f>
        <v/>
      </c>
      <c r="S509" s="79">
        <f>IF(R509="","",IF(H509="High","High-severity issue: ",IF(C509="Punch item","Punch item: ","Issue action due: "))&amp;F509&amp;IF(J509="",""," → "&amp;J509))</f>
        <v/>
      </c>
      <c r="T509" s="79">
        <f>IF(O509=1,IF(I509="",0,I509),0)</f>
        <v/>
      </c>
      <c r="U509" s="79">
        <f>IF(AND(O509=1,H509="High"),1,0)</f>
        <v/>
      </c>
      <c r="V509" s="79">
        <f>IF(AND(O509=1,C509="Punch item"),1,0)</f>
        <v/>
      </c>
    </row>
    <row r="510" ht="24" customHeight="1">
      <c r="B510" s="125" t="n">
        <v>503</v>
      </c>
      <c r="C510" s="72" t="n"/>
      <c r="D510" s="109" t="n"/>
      <c r="E510" s="72" t="n"/>
      <c r="F510" s="113" t="n"/>
      <c r="G510" s="72" t="n"/>
      <c r="H510" s="74" t="n"/>
      <c r="I510" s="73" t="n"/>
      <c r="J510" s="113" t="n"/>
      <c r="K510" s="109" t="n"/>
      <c r="L510" s="72" t="n"/>
      <c r="M510" s="109" t="n"/>
      <c r="N510" s="72" t="n"/>
      <c r="O510" s="79">
        <f>IF(AND(F510&lt;&gt;"",L510&lt;&gt;"Resolved"),1,0)</f>
        <v/>
      </c>
      <c r="P510" s="79">
        <f>IF(F510="","",IF(O510=0,0,IF(H510="High",2,1)))</f>
        <v/>
      </c>
      <c r="Q510" s="112">
        <f>IF(O510=1,IF(K510&lt;&gt;"",K510,IF(H510="High",AsOf,"")),"")</f>
        <v/>
      </c>
      <c r="R510" s="79">
        <f>IF(Q510="","",IF(H510="High",1,IF(Q510="","",IF(Q510&lt;AsOf,1,IF(Q510&lt;=AsOf+AlertDays,2,IF(Q510&lt;=AsOf+2*AlertDays,3,""))))))</f>
        <v/>
      </c>
      <c r="S510" s="79">
        <f>IF(R510="","",IF(H510="High","High-severity issue: ",IF(C510="Punch item","Punch item: ","Issue action due: "))&amp;F510&amp;IF(J510="",""," → "&amp;J510))</f>
        <v/>
      </c>
      <c r="T510" s="79">
        <f>IF(O510=1,IF(I510="",0,I510),0)</f>
        <v/>
      </c>
      <c r="U510" s="79">
        <f>IF(AND(O510=1,H510="High"),1,0)</f>
        <v/>
      </c>
      <c r="V510" s="79">
        <f>IF(AND(O510=1,C510="Punch item"),1,0)</f>
        <v/>
      </c>
    </row>
    <row r="511" ht="24" customHeight="1">
      <c r="B511" s="125" t="n">
        <v>504</v>
      </c>
      <c r="C511" s="72" t="n"/>
      <c r="D511" s="109" t="n"/>
      <c r="E511" s="72" t="n"/>
      <c r="F511" s="113" t="n"/>
      <c r="G511" s="72" t="n"/>
      <c r="H511" s="74" t="n"/>
      <c r="I511" s="73" t="n"/>
      <c r="J511" s="113" t="n"/>
      <c r="K511" s="109" t="n"/>
      <c r="L511" s="72" t="n"/>
      <c r="M511" s="109" t="n"/>
      <c r="N511" s="72" t="n"/>
      <c r="O511" s="79">
        <f>IF(AND(F511&lt;&gt;"",L511&lt;&gt;"Resolved"),1,0)</f>
        <v/>
      </c>
      <c r="P511" s="79">
        <f>IF(F511="","",IF(O511=0,0,IF(H511="High",2,1)))</f>
        <v/>
      </c>
      <c r="Q511" s="112">
        <f>IF(O511=1,IF(K511&lt;&gt;"",K511,IF(H511="High",AsOf,"")),"")</f>
        <v/>
      </c>
      <c r="R511" s="79">
        <f>IF(Q511="","",IF(H511="High",1,IF(Q511="","",IF(Q511&lt;AsOf,1,IF(Q511&lt;=AsOf+AlertDays,2,IF(Q511&lt;=AsOf+2*AlertDays,3,""))))))</f>
        <v/>
      </c>
      <c r="S511" s="79">
        <f>IF(R511="","",IF(H511="High","High-severity issue: ",IF(C511="Punch item","Punch item: ","Issue action due: "))&amp;F511&amp;IF(J511="",""," → "&amp;J511))</f>
        <v/>
      </c>
      <c r="T511" s="79">
        <f>IF(O511=1,IF(I511="",0,I511),0)</f>
        <v/>
      </c>
      <c r="U511" s="79">
        <f>IF(AND(O511=1,H511="High"),1,0)</f>
        <v/>
      </c>
      <c r="V511" s="79">
        <f>IF(AND(O511=1,C511="Punch item"),1,0)</f>
        <v/>
      </c>
    </row>
    <row r="512" ht="24" customHeight="1">
      <c r="B512" s="125" t="n">
        <v>505</v>
      </c>
      <c r="C512" s="72" t="n"/>
      <c r="D512" s="109" t="n"/>
      <c r="E512" s="72" t="n"/>
      <c r="F512" s="113" t="n"/>
      <c r="G512" s="72" t="n"/>
      <c r="H512" s="74" t="n"/>
      <c r="I512" s="73" t="n"/>
      <c r="J512" s="113" t="n"/>
      <c r="K512" s="109" t="n"/>
      <c r="L512" s="72" t="n"/>
      <c r="M512" s="109" t="n"/>
      <c r="N512" s="72" t="n"/>
      <c r="O512" s="79">
        <f>IF(AND(F512&lt;&gt;"",L512&lt;&gt;"Resolved"),1,0)</f>
        <v/>
      </c>
      <c r="P512" s="79">
        <f>IF(F512="","",IF(O512=0,0,IF(H512="High",2,1)))</f>
        <v/>
      </c>
      <c r="Q512" s="112">
        <f>IF(O512=1,IF(K512&lt;&gt;"",K512,IF(H512="High",AsOf,"")),"")</f>
        <v/>
      </c>
      <c r="R512" s="79">
        <f>IF(Q512="","",IF(H512="High",1,IF(Q512="","",IF(Q512&lt;AsOf,1,IF(Q512&lt;=AsOf+AlertDays,2,IF(Q512&lt;=AsOf+2*AlertDays,3,""))))))</f>
        <v/>
      </c>
      <c r="S512" s="79">
        <f>IF(R512="","",IF(H512="High","High-severity issue: ",IF(C512="Punch item","Punch item: ","Issue action due: "))&amp;F512&amp;IF(J512="",""," → "&amp;J512))</f>
        <v/>
      </c>
      <c r="T512" s="79">
        <f>IF(O512=1,IF(I512="",0,I512),0)</f>
        <v/>
      </c>
      <c r="U512" s="79">
        <f>IF(AND(O512=1,H512="High"),1,0)</f>
        <v/>
      </c>
      <c r="V512" s="79">
        <f>IF(AND(O512=1,C512="Punch item"),1,0)</f>
        <v/>
      </c>
    </row>
    <row r="513" ht="24" customHeight="1">
      <c r="B513" s="125" t="n">
        <v>506</v>
      </c>
      <c r="C513" s="72" t="n"/>
      <c r="D513" s="109" t="n"/>
      <c r="E513" s="72" t="n"/>
      <c r="F513" s="113" t="n"/>
      <c r="G513" s="72" t="n"/>
      <c r="H513" s="74" t="n"/>
      <c r="I513" s="73" t="n"/>
      <c r="J513" s="113" t="n"/>
      <c r="K513" s="109" t="n"/>
      <c r="L513" s="72" t="n"/>
      <c r="M513" s="109" t="n"/>
      <c r="N513" s="72" t="n"/>
      <c r="O513" s="79">
        <f>IF(AND(F513&lt;&gt;"",L513&lt;&gt;"Resolved"),1,0)</f>
        <v/>
      </c>
      <c r="P513" s="79">
        <f>IF(F513="","",IF(O513=0,0,IF(H513="High",2,1)))</f>
        <v/>
      </c>
      <c r="Q513" s="112">
        <f>IF(O513=1,IF(K513&lt;&gt;"",K513,IF(H513="High",AsOf,"")),"")</f>
        <v/>
      </c>
      <c r="R513" s="79">
        <f>IF(Q513="","",IF(H513="High",1,IF(Q513="","",IF(Q513&lt;AsOf,1,IF(Q513&lt;=AsOf+AlertDays,2,IF(Q513&lt;=AsOf+2*AlertDays,3,""))))))</f>
        <v/>
      </c>
      <c r="S513" s="79">
        <f>IF(R513="","",IF(H513="High","High-severity issue: ",IF(C513="Punch item","Punch item: ","Issue action due: "))&amp;F513&amp;IF(J513="",""," → "&amp;J513))</f>
        <v/>
      </c>
      <c r="T513" s="79">
        <f>IF(O513=1,IF(I513="",0,I513),0)</f>
        <v/>
      </c>
      <c r="U513" s="79">
        <f>IF(AND(O513=1,H513="High"),1,0)</f>
        <v/>
      </c>
      <c r="V513" s="79">
        <f>IF(AND(O513=1,C513="Punch item"),1,0)</f>
        <v/>
      </c>
    </row>
    <row r="514" ht="24" customHeight="1">
      <c r="B514" s="125" t="n">
        <v>507</v>
      </c>
      <c r="C514" s="72" t="n"/>
      <c r="D514" s="109" t="n"/>
      <c r="E514" s="72" t="n"/>
      <c r="F514" s="113" t="n"/>
      <c r="G514" s="72" t="n"/>
      <c r="H514" s="74" t="n"/>
      <c r="I514" s="73" t="n"/>
      <c r="J514" s="113" t="n"/>
      <c r="K514" s="109" t="n"/>
      <c r="L514" s="72" t="n"/>
      <c r="M514" s="109" t="n"/>
      <c r="N514" s="72" t="n"/>
      <c r="O514" s="79">
        <f>IF(AND(F514&lt;&gt;"",L514&lt;&gt;"Resolved"),1,0)</f>
        <v/>
      </c>
      <c r="P514" s="79">
        <f>IF(F514="","",IF(O514=0,0,IF(H514="High",2,1)))</f>
        <v/>
      </c>
      <c r="Q514" s="112">
        <f>IF(O514=1,IF(K514&lt;&gt;"",K514,IF(H514="High",AsOf,"")),"")</f>
        <v/>
      </c>
      <c r="R514" s="79">
        <f>IF(Q514="","",IF(H514="High",1,IF(Q514="","",IF(Q514&lt;AsOf,1,IF(Q514&lt;=AsOf+AlertDays,2,IF(Q514&lt;=AsOf+2*AlertDays,3,""))))))</f>
        <v/>
      </c>
      <c r="S514" s="79">
        <f>IF(R514="","",IF(H514="High","High-severity issue: ",IF(C514="Punch item","Punch item: ","Issue action due: "))&amp;F514&amp;IF(J514="",""," → "&amp;J514))</f>
        <v/>
      </c>
      <c r="T514" s="79">
        <f>IF(O514=1,IF(I514="",0,I514),0)</f>
        <v/>
      </c>
      <c r="U514" s="79">
        <f>IF(AND(O514=1,H514="High"),1,0)</f>
        <v/>
      </c>
      <c r="V514" s="79">
        <f>IF(AND(O514=1,C514="Punch item"),1,0)</f>
        <v/>
      </c>
    </row>
    <row r="515" ht="24" customHeight="1">
      <c r="B515" s="125" t="n">
        <v>508</v>
      </c>
      <c r="C515" s="72" t="n"/>
      <c r="D515" s="109" t="n"/>
      <c r="E515" s="72" t="n"/>
      <c r="F515" s="113" t="n"/>
      <c r="G515" s="72" t="n"/>
      <c r="H515" s="74" t="n"/>
      <c r="I515" s="73" t="n"/>
      <c r="J515" s="113" t="n"/>
      <c r="K515" s="109" t="n"/>
      <c r="L515" s="72" t="n"/>
      <c r="M515" s="109" t="n"/>
      <c r="N515" s="72" t="n"/>
      <c r="O515" s="79">
        <f>IF(AND(F515&lt;&gt;"",L515&lt;&gt;"Resolved"),1,0)</f>
        <v/>
      </c>
      <c r="P515" s="79">
        <f>IF(F515="","",IF(O515=0,0,IF(H515="High",2,1)))</f>
        <v/>
      </c>
      <c r="Q515" s="112">
        <f>IF(O515=1,IF(K515&lt;&gt;"",K515,IF(H515="High",AsOf,"")),"")</f>
        <v/>
      </c>
      <c r="R515" s="79">
        <f>IF(Q515="","",IF(H515="High",1,IF(Q515="","",IF(Q515&lt;AsOf,1,IF(Q515&lt;=AsOf+AlertDays,2,IF(Q515&lt;=AsOf+2*AlertDays,3,""))))))</f>
        <v/>
      </c>
      <c r="S515" s="79">
        <f>IF(R515="","",IF(H515="High","High-severity issue: ",IF(C515="Punch item","Punch item: ","Issue action due: "))&amp;F515&amp;IF(J515="",""," → "&amp;J515))</f>
        <v/>
      </c>
      <c r="T515" s="79">
        <f>IF(O515=1,IF(I515="",0,I515),0)</f>
        <v/>
      </c>
      <c r="U515" s="79">
        <f>IF(AND(O515=1,H515="High"),1,0)</f>
        <v/>
      </c>
      <c r="V515" s="79">
        <f>IF(AND(O515=1,C515="Punch item"),1,0)</f>
        <v/>
      </c>
    </row>
    <row r="516" ht="24" customHeight="1">
      <c r="B516" s="125" t="n">
        <v>509</v>
      </c>
      <c r="C516" s="72" t="n"/>
      <c r="D516" s="109" t="n"/>
      <c r="E516" s="72" t="n"/>
      <c r="F516" s="113" t="n"/>
      <c r="G516" s="72" t="n"/>
      <c r="H516" s="74" t="n"/>
      <c r="I516" s="73" t="n"/>
      <c r="J516" s="113" t="n"/>
      <c r="K516" s="109" t="n"/>
      <c r="L516" s="72" t="n"/>
      <c r="M516" s="109" t="n"/>
      <c r="N516" s="72" t="n"/>
      <c r="O516" s="79">
        <f>IF(AND(F516&lt;&gt;"",L516&lt;&gt;"Resolved"),1,0)</f>
        <v/>
      </c>
      <c r="P516" s="79">
        <f>IF(F516="","",IF(O516=0,0,IF(H516="High",2,1)))</f>
        <v/>
      </c>
      <c r="Q516" s="112">
        <f>IF(O516=1,IF(K516&lt;&gt;"",K516,IF(H516="High",AsOf,"")),"")</f>
        <v/>
      </c>
      <c r="R516" s="79">
        <f>IF(Q516="","",IF(H516="High",1,IF(Q516="","",IF(Q516&lt;AsOf,1,IF(Q516&lt;=AsOf+AlertDays,2,IF(Q516&lt;=AsOf+2*AlertDays,3,""))))))</f>
        <v/>
      </c>
      <c r="S516" s="79">
        <f>IF(R516="","",IF(H516="High","High-severity issue: ",IF(C516="Punch item","Punch item: ","Issue action due: "))&amp;F516&amp;IF(J516="",""," → "&amp;J516))</f>
        <v/>
      </c>
      <c r="T516" s="79">
        <f>IF(O516=1,IF(I516="",0,I516),0)</f>
        <v/>
      </c>
      <c r="U516" s="79">
        <f>IF(AND(O516=1,H516="High"),1,0)</f>
        <v/>
      </c>
      <c r="V516" s="79">
        <f>IF(AND(O516=1,C516="Punch item"),1,0)</f>
        <v/>
      </c>
    </row>
    <row r="517" ht="24" customHeight="1">
      <c r="B517" s="125" t="n">
        <v>510</v>
      </c>
      <c r="C517" s="72" t="n"/>
      <c r="D517" s="109" t="n"/>
      <c r="E517" s="72" t="n"/>
      <c r="F517" s="113" t="n"/>
      <c r="G517" s="72" t="n"/>
      <c r="H517" s="74" t="n"/>
      <c r="I517" s="73" t="n"/>
      <c r="J517" s="113" t="n"/>
      <c r="K517" s="109" t="n"/>
      <c r="L517" s="72" t="n"/>
      <c r="M517" s="109" t="n"/>
      <c r="N517" s="72" t="n"/>
      <c r="O517" s="79">
        <f>IF(AND(F517&lt;&gt;"",L517&lt;&gt;"Resolved"),1,0)</f>
        <v/>
      </c>
      <c r="P517" s="79">
        <f>IF(F517="","",IF(O517=0,0,IF(H517="High",2,1)))</f>
        <v/>
      </c>
      <c r="Q517" s="112">
        <f>IF(O517=1,IF(K517&lt;&gt;"",K517,IF(H517="High",AsOf,"")),"")</f>
        <v/>
      </c>
      <c r="R517" s="79">
        <f>IF(Q517="","",IF(H517="High",1,IF(Q517="","",IF(Q517&lt;AsOf,1,IF(Q517&lt;=AsOf+AlertDays,2,IF(Q517&lt;=AsOf+2*AlertDays,3,""))))))</f>
        <v/>
      </c>
      <c r="S517" s="79">
        <f>IF(R517="","",IF(H517="High","High-severity issue: ",IF(C517="Punch item","Punch item: ","Issue action due: "))&amp;F517&amp;IF(J517="",""," → "&amp;J517))</f>
        <v/>
      </c>
      <c r="T517" s="79">
        <f>IF(O517=1,IF(I517="",0,I517),0)</f>
        <v/>
      </c>
      <c r="U517" s="79">
        <f>IF(AND(O517=1,H517="High"),1,0)</f>
        <v/>
      </c>
      <c r="V517" s="79">
        <f>IF(AND(O517=1,C517="Punch item"),1,0)</f>
        <v/>
      </c>
    </row>
    <row r="518" ht="24" customHeight="1">
      <c r="B518" s="125" t="n">
        <v>511</v>
      </c>
      <c r="C518" s="72" t="n"/>
      <c r="D518" s="109" t="n"/>
      <c r="E518" s="72" t="n"/>
      <c r="F518" s="113" t="n"/>
      <c r="G518" s="72" t="n"/>
      <c r="H518" s="74" t="n"/>
      <c r="I518" s="73" t="n"/>
      <c r="J518" s="113" t="n"/>
      <c r="K518" s="109" t="n"/>
      <c r="L518" s="72" t="n"/>
      <c r="M518" s="109" t="n"/>
      <c r="N518" s="72" t="n"/>
      <c r="O518" s="79">
        <f>IF(AND(F518&lt;&gt;"",L518&lt;&gt;"Resolved"),1,0)</f>
        <v/>
      </c>
      <c r="P518" s="79">
        <f>IF(F518="","",IF(O518=0,0,IF(H518="High",2,1)))</f>
        <v/>
      </c>
      <c r="Q518" s="112">
        <f>IF(O518=1,IF(K518&lt;&gt;"",K518,IF(H518="High",AsOf,"")),"")</f>
        <v/>
      </c>
      <c r="R518" s="79">
        <f>IF(Q518="","",IF(H518="High",1,IF(Q518="","",IF(Q518&lt;AsOf,1,IF(Q518&lt;=AsOf+AlertDays,2,IF(Q518&lt;=AsOf+2*AlertDays,3,""))))))</f>
        <v/>
      </c>
      <c r="S518" s="79">
        <f>IF(R518="","",IF(H518="High","High-severity issue: ",IF(C518="Punch item","Punch item: ","Issue action due: "))&amp;F518&amp;IF(J518="",""," → "&amp;J518))</f>
        <v/>
      </c>
      <c r="T518" s="79">
        <f>IF(O518=1,IF(I518="",0,I518),0)</f>
        <v/>
      </c>
      <c r="U518" s="79">
        <f>IF(AND(O518=1,H518="High"),1,0)</f>
        <v/>
      </c>
      <c r="V518" s="79">
        <f>IF(AND(O518=1,C518="Punch item"),1,0)</f>
        <v/>
      </c>
    </row>
    <row r="519" ht="24" customHeight="1">
      <c r="B519" s="125" t="n">
        <v>512</v>
      </c>
      <c r="C519" s="72" t="n"/>
      <c r="D519" s="109" t="n"/>
      <c r="E519" s="72" t="n"/>
      <c r="F519" s="113" t="n"/>
      <c r="G519" s="72" t="n"/>
      <c r="H519" s="74" t="n"/>
      <c r="I519" s="73" t="n"/>
      <c r="J519" s="113" t="n"/>
      <c r="K519" s="109" t="n"/>
      <c r="L519" s="72" t="n"/>
      <c r="M519" s="109" t="n"/>
      <c r="N519" s="72" t="n"/>
      <c r="O519" s="79">
        <f>IF(AND(F519&lt;&gt;"",L519&lt;&gt;"Resolved"),1,0)</f>
        <v/>
      </c>
      <c r="P519" s="79">
        <f>IF(F519="","",IF(O519=0,0,IF(H519="High",2,1)))</f>
        <v/>
      </c>
      <c r="Q519" s="112">
        <f>IF(O519=1,IF(K519&lt;&gt;"",K519,IF(H519="High",AsOf,"")),"")</f>
        <v/>
      </c>
      <c r="R519" s="79">
        <f>IF(Q519="","",IF(H519="High",1,IF(Q519="","",IF(Q519&lt;AsOf,1,IF(Q519&lt;=AsOf+AlertDays,2,IF(Q519&lt;=AsOf+2*AlertDays,3,""))))))</f>
        <v/>
      </c>
      <c r="S519" s="79">
        <f>IF(R519="","",IF(H519="High","High-severity issue: ",IF(C519="Punch item","Punch item: ","Issue action due: "))&amp;F519&amp;IF(J519="",""," → "&amp;J519))</f>
        <v/>
      </c>
      <c r="T519" s="79">
        <f>IF(O519=1,IF(I519="",0,I519),0)</f>
        <v/>
      </c>
      <c r="U519" s="79">
        <f>IF(AND(O519=1,H519="High"),1,0)</f>
        <v/>
      </c>
      <c r="V519" s="79">
        <f>IF(AND(O519=1,C519="Punch item"),1,0)</f>
        <v/>
      </c>
    </row>
    <row r="520" ht="24" customHeight="1">
      <c r="B520" s="125" t="n">
        <v>513</v>
      </c>
      <c r="C520" s="72" t="n"/>
      <c r="D520" s="109" t="n"/>
      <c r="E520" s="72" t="n"/>
      <c r="F520" s="113" t="n"/>
      <c r="G520" s="72" t="n"/>
      <c r="H520" s="74" t="n"/>
      <c r="I520" s="73" t="n"/>
      <c r="J520" s="113" t="n"/>
      <c r="K520" s="109" t="n"/>
      <c r="L520" s="72" t="n"/>
      <c r="M520" s="109" t="n"/>
      <c r="N520" s="72" t="n"/>
      <c r="O520" s="79">
        <f>IF(AND(F520&lt;&gt;"",L520&lt;&gt;"Resolved"),1,0)</f>
        <v/>
      </c>
      <c r="P520" s="79">
        <f>IF(F520="","",IF(O520=0,0,IF(H520="High",2,1)))</f>
        <v/>
      </c>
      <c r="Q520" s="112">
        <f>IF(O520=1,IF(K520&lt;&gt;"",K520,IF(H520="High",AsOf,"")),"")</f>
        <v/>
      </c>
      <c r="R520" s="79">
        <f>IF(Q520="","",IF(H520="High",1,IF(Q520="","",IF(Q520&lt;AsOf,1,IF(Q520&lt;=AsOf+AlertDays,2,IF(Q520&lt;=AsOf+2*AlertDays,3,""))))))</f>
        <v/>
      </c>
      <c r="S520" s="79">
        <f>IF(R520="","",IF(H520="High","High-severity issue: ",IF(C520="Punch item","Punch item: ","Issue action due: "))&amp;F520&amp;IF(J520="",""," → "&amp;J520))</f>
        <v/>
      </c>
      <c r="T520" s="79">
        <f>IF(O520=1,IF(I520="",0,I520),0)</f>
        <v/>
      </c>
      <c r="U520" s="79">
        <f>IF(AND(O520=1,H520="High"),1,0)</f>
        <v/>
      </c>
      <c r="V520" s="79">
        <f>IF(AND(O520=1,C520="Punch item"),1,0)</f>
        <v/>
      </c>
    </row>
    <row r="521" ht="24" customHeight="1">
      <c r="B521" s="125" t="n">
        <v>514</v>
      </c>
      <c r="C521" s="72" t="n"/>
      <c r="D521" s="109" t="n"/>
      <c r="E521" s="72" t="n"/>
      <c r="F521" s="113" t="n"/>
      <c r="G521" s="72" t="n"/>
      <c r="H521" s="74" t="n"/>
      <c r="I521" s="73" t="n"/>
      <c r="J521" s="113" t="n"/>
      <c r="K521" s="109" t="n"/>
      <c r="L521" s="72" t="n"/>
      <c r="M521" s="109" t="n"/>
      <c r="N521" s="72" t="n"/>
      <c r="O521" s="79">
        <f>IF(AND(F521&lt;&gt;"",L521&lt;&gt;"Resolved"),1,0)</f>
        <v/>
      </c>
      <c r="P521" s="79">
        <f>IF(F521="","",IF(O521=0,0,IF(H521="High",2,1)))</f>
        <v/>
      </c>
      <c r="Q521" s="112">
        <f>IF(O521=1,IF(K521&lt;&gt;"",K521,IF(H521="High",AsOf,"")),"")</f>
        <v/>
      </c>
      <c r="R521" s="79">
        <f>IF(Q521="","",IF(H521="High",1,IF(Q521="","",IF(Q521&lt;AsOf,1,IF(Q521&lt;=AsOf+AlertDays,2,IF(Q521&lt;=AsOf+2*AlertDays,3,""))))))</f>
        <v/>
      </c>
      <c r="S521" s="79">
        <f>IF(R521="","",IF(H521="High","High-severity issue: ",IF(C521="Punch item","Punch item: ","Issue action due: "))&amp;F521&amp;IF(J521="",""," → "&amp;J521))</f>
        <v/>
      </c>
      <c r="T521" s="79">
        <f>IF(O521=1,IF(I521="",0,I521),0)</f>
        <v/>
      </c>
      <c r="U521" s="79">
        <f>IF(AND(O521=1,H521="High"),1,0)</f>
        <v/>
      </c>
      <c r="V521" s="79">
        <f>IF(AND(O521=1,C521="Punch item"),1,0)</f>
        <v/>
      </c>
    </row>
    <row r="522" ht="24" customHeight="1">
      <c r="B522" s="125" t="n">
        <v>515</v>
      </c>
      <c r="C522" s="72" t="n"/>
      <c r="D522" s="109" t="n"/>
      <c r="E522" s="72" t="n"/>
      <c r="F522" s="113" t="n"/>
      <c r="G522" s="72" t="n"/>
      <c r="H522" s="74" t="n"/>
      <c r="I522" s="73" t="n"/>
      <c r="J522" s="113" t="n"/>
      <c r="K522" s="109" t="n"/>
      <c r="L522" s="72" t="n"/>
      <c r="M522" s="109" t="n"/>
      <c r="N522" s="72" t="n"/>
      <c r="O522" s="79">
        <f>IF(AND(F522&lt;&gt;"",L522&lt;&gt;"Resolved"),1,0)</f>
        <v/>
      </c>
      <c r="P522" s="79">
        <f>IF(F522="","",IF(O522=0,0,IF(H522="High",2,1)))</f>
        <v/>
      </c>
      <c r="Q522" s="112">
        <f>IF(O522=1,IF(K522&lt;&gt;"",K522,IF(H522="High",AsOf,"")),"")</f>
        <v/>
      </c>
      <c r="R522" s="79">
        <f>IF(Q522="","",IF(H522="High",1,IF(Q522="","",IF(Q522&lt;AsOf,1,IF(Q522&lt;=AsOf+AlertDays,2,IF(Q522&lt;=AsOf+2*AlertDays,3,""))))))</f>
        <v/>
      </c>
      <c r="S522" s="79">
        <f>IF(R522="","",IF(H522="High","High-severity issue: ",IF(C522="Punch item","Punch item: ","Issue action due: "))&amp;F522&amp;IF(J522="",""," → "&amp;J522))</f>
        <v/>
      </c>
      <c r="T522" s="79">
        <f>IF(O522=1,IF(I522="",0,I522),0)</f>
        <v/>
      </c>
      <c r="U522" s="79">
        <f>IF(AND(O522=1,H522="High"),1,0)</f>
        <v/>
      </c>
      <c r="V522" s="79">
        <f>IF(AND(O522=1,C522="Punch item"),1,0)</f>
        <v/>
      </c>
    </row>
    <row r="523" ht="24" customHeight="1">
      <c r="B523" s="125" t="n">
        <v>516</v>
      </c>
      <c r="C523" s="72" t="n"/>
      <c r="D523" s="109" t="n"/>
      <c r="E523" s="72" t="n"/>
      <c r="F523" s="113" t="n"/>
      <c r="G523" s="72" t="n"/>
      <c r="H523" s="74" t="n"/>
      <c r="I523" s="73" t="n"/>
      <c r="J523" s="113" t="n"/>
      <c r="K523" s="109" t="n"/>
      <c r="L523" s="72" t="n"/>
      <c r="M523" s="109" t="n"/>
      <c r="N523" s="72" t="n"/>
      <c r="O523" s="79">
        <f>IF(AND(F523&lt;&gt;"",L523&lt;&gt;"Resolved"),1,0)</f>
        <v/>
      </c>
      <c r="P523" s="79">
        <f>IF(F523="","",IF(O523=0,0,IF(H523="High",2,1)))</f>
        <v/>
      </c>
      <c r="Q523" s="112">
        <f>IF(O523=1,IF(K523&lt;&gt;"",K523,IF(H523="High",AsOf,"")),"")</f>
        <v/>
      </c>
      <c r="R523" s="79">
        <f>IF(Q523="","",IF(H523="High",1,IF(Q523="","",IF(Q523&lt;AsOf,1,IF(Q523&lt;=AsOf+AlertDays,2,IF(Q523&lt;=AsOf+2*AlertDays,3,""))))))</f>
        <v/>
      </c>
      <c r="S523" s="79">
        <f>IF(R523="","",IF(H523="High","High-severity issue: ",IF(C523="Punch item","Punch item: ","Issue action due: "))&amp;F523&amp;IF(J523="",""," → "&amp;J523))</f>
        <v/>
      </c>
      <c r="T523" s="79">
        <f>IF(O523=1,IF(I523="",0,I523),0)</f>
        <v/>
      </c>
      <c r="U523" s="79">
        <f>IF(AND(O523=1,H523="High"),1,0)</f>
        <v/>
      </c>
      <c r="V523" s="79">
        <f>IF(AND(O523=1,C523="Punch item"),1,0)</f>
        <v/>
      </c>
    </row>
    <row r="524" ht="24" customHeight="1">
      <c r="B524" s="125" t="n">
        <v>517</v>
      </c>
      <c r="C524" s="72" t="n"/>
      <c r="D524" s="109" t="n"/>
      <c r="E524" s="72" t="n"/>
      <c r="F524" s="113" t="n"/>
      <c r="G524" s="72" t="n"/>
      <c r="H524" s="74" t="n"/>
      <c r="I524" s="73" t="n"/>
      <c r="J524" s="113" t="n"/>
      <c r="K524" s="109" t="n"/>
      <c r="L524" s="72" t="n"/>
      <c r="M524" s="109" t="n"/>
      <c r="N524" s="72" t="n"/>
      <c r="O524" s="79">
        <f>IF(AND(F524&lt;&gt;"",L524&lt;&gt;"Resolved"),1,0)</f>
        <v/>
      </c>
      <c r="P524" s="79">
        <f>IF(F524="","",IF(O524=0,0,IF(H524="High",2,1)))</f>
        <v/>
      </c>
      <c r="Q524" s="112">
        <f>IF(O524=1,IF(K524&lt;&gt;"",K524,IF(H524="High",AsOf,"")),"")</f>
        <v/>
      </c>
      <c r="R524" s="79">
        <f>IF(Q524="","",IF(H524="High",1,IF(Q524="","",IF(Q524&lt;AsOf,1,IF(Q524&lt;=AsOf+AlertDays,2,IF(Q524&lt;=AsOf+2*AlertDays,3,""))))))</f>
        <v/>
      </c>
      <c r="S524" s="79">
        <f>IF(R524="","",IF(H524="High","High-severity issue: ",IF(C524="Punch item","Punch item: ","Issue action due: "))&amp;F524&amp;IF(J524="",""," → "&amp;J524))</f>
        <v/>
      </c>
      <c r="T524" s="79">
        <f>IF(O524=1,IF(I524="",0,I524),0)</f>
        <v/>
      </c>
      <c r="U524" s="79">
        <f>IF(AND(O524=1,H524="High"),1,0)</f>
        <v/>
      </c>
      <c r="V524" s="79">
        <f>IF(AND(O524=1,C524="Punch item"),1,0)</f>
        <v/>
      </c>
    </row>
    <row r="525" ht="24" customHeight="1">
      <c r="B525" s="125" t="n">
        <v>518</v>
      </c>
      <c r="C525" s="72" t="n"/>
      <c r="D525" s="109" t="n"/>
      <c r="E525" s="72" t="n"/>
      <c r="F525" s="113" t="n"/>
      <c r="G525" s="72" t="n"/>
      <c r="H525" s="74" t="n"/>
      <c r="I525" s="73" t="n"/>
      <c r="J525" s="113" t="n"/>
      <c r="K525" s="109" t="n"/>
      <c r="L525" s="72" t="n"/>
      <c r="M525" s="109" t="n"/>
      <c r="N525" s="72" t="n"/>
      <c r="O525" s="79">
        <f>IF(AND(F525&lt;&gt;"",L525&lt;&gt;"Resolved"),1,0)</f>
        <v/>
      </c>
      <c r="P525" s="79">
        <f>IF(F525="","",IF(O525=0,0,IF(H525="High",2,1)))</f>
        <v/>
      </c>
      <c r="Q525" s="112">
        <f>IF(O525=1,IF(K525&lt;&gt;"",K525,IF(H525="High",AsOf,"")),"")</f>
        <v/>
      </c>
      <c r="R525" s="79">
        <f>IF(Q525="","",IF(H525="High",1,IF(Q525="","",IF(Q525&lt;AsOf,1,IF(Q525&lt;=AsOf+AlertDays,2,IF(Q525&lt;=AsOf+2*AlertDays,3,""))))))</f>
        <v/>
      </c>
      <c r="S525" s="79">
        <f>IF(R525="","",IF(H525="High","High-severity issue: ",IF(C525="Punch item","Punch item: ","Issue action due: "))&amp;F525&amp;IF(J525="",""," → "&amp;J525))</f>
        <v/>
      </c>
      <c r="T525" s="79">
        <f>IF(O525=1,IF(I525="",0,I525),0)</f>
        <v/>
      </c>
      <c r="U525" s="79">
        <f>IF(AND(O525=1,H525="High"),1,0)</f>
        <v/>
      </c>
      <c r="V525" s="79">
        <f>IF(AND(O525=1,C525="Punch item"),1,0)</f>
        <v/>
      </c>
    </row>
    <row r="526" ht="24" customHeight="1">
      <c r="B526" s="125" t="n">
        <v>519</v>
      </c>
      <c r="C526" s="72" t="n"/>
      <c r="D526" s="109" t="n"/>
      <c r="E526" s="72" t="n"/>
      <c r="F526" s="113" t="n"/>
      <c r="G526" s="72" t="n"/>
      <c r="H526" s="74" t="n"/>
      <c r="I526" s="73" t="n"/>
      <c r="J526" s="113" t="n"/>
      <c r="K526" s="109" t="n"/>
      <c r="L526" s="72" t="n"/>
      <c r="M526" s="109" t="n"/>
      <c r="N526" s="72" t="n"/>
      <c r="O526" s="79">
        <f>IF(AND(F526&lt;&gt;"",L526&lt;&gt;"Resolved"),1,0)</f>
        <v/>
      </c>
      <c r="P526" s="79">
        <f>IF(F526="","",IF(O526=0,0,IF(H526="High",2,1)))</f>
        <v/>
      </c>
      <c r="Q526" s="112">
        <f>IF(O526=1,IF(K526&lt;&gt;"",K526,IF(H526="High",AsOf,"")),"")</f>
        <v/>
      </c>
      <c r="R526" s="79">
        <f>IF(Q526="","",IF(H526="High",1,IF(Q526="","",IF(Q526&lt;AsOf,1,IF(Q526&lt;=AsOf+AlertDays,2,IF(Q526&lt;=AsOf+2*AlertDays,3,""))))))</f>
        <v/>
      </c>
      <c r="S526" s="79">
        <f>IF(R526="","",IF(H526="High","High-severity issue: ",IF(C526="Punch item","Punch item: ","Issue action due: "))&amp;F526&amp;IF(J526="",""," → "&amp;J526))</f>
        <v/>
      </c>
      <c r="T526" s="79">
        <f>IF(O526=1,IF(I526="",0,I526),0)</f>
        <v/>
      </c>
      <c r="U526" s="79">
        <f>IF(AND(O526=1,H526="High"),1,0)</f>
        <v/>
      </c>
      <c r="V526" s="79">
        <f>IF(AND(O526=1,C526="Punch item"),1,0)</f>
        <v/>
      </c>
    </row>
    <row r="527" ht="24" customHeight="1">
      <c r="B527" s="125" t="n">
        <v>520</v>
      </c>
      <c r="C527" s="72" t="n"/>
      <c r="D527" s="109" t="n"/>
      <c r="E527" s="72" t="n"/>
      <c r="F527" s="113" t="n"/>
      <c r="G527" s="72" t="n"/>
      <c r="H527" s="74" t="n"/>
      <c r="I527" s="73" t="n"/>
      <c r="J527" s="113" t="n"/>
      <c r="K527" s="109" t="n"/>
      <c r="L527" s="72" t="n"/>
      <c r="M527" s="109" t="n"/>
      <c r="N527" s="72" t="n"/>
      <c r="O527" s="79">
        <f>IF(AND(F527&lt;&gt;"",L527&lt;&gt;"Resolved"),1,0)</f>
        <v/>
      </c>
      <c r="P527" s="79">
        <f>IF(F527="","",IF(O527=0,0,IF(H527="High",2,1)))</f>
        <v/>
      </c>
      <c r="Q527" s="112">
        <f>IF(O527=1,IF(K527&lt;&gt;"",K527,IF(H527="High",AsOf,"")),"")</f>
        <v/>
      </c>
      <c r="R527" s="79">
        <f>IF(Q527="","",IF(H527="High",1,IF(Q527="","",IF(Q527&lt;AsOf,1,IF(Q527&lt;=AsOf+AlertDays,2,IF(Q527&lt;=AsOf+2*AlertDays,3,""))))))</f>
        <v/>
      </c>
      <c r="S527" s="79">
        <f>IF(R527="","",IF(H527="High","High-severity issue: ",IF(C527="Punch item","Punch item: ","Issue action due: "))&amp;F527&amp;IF(J527="",""," → "&amp;J527))</f>
        <v/>
      </c>
      <c r="T527" s="79">
        <f>IF(O527=1,IF(I527="",0,I527),0)</f>
        <v/>
      </c>
      <c r="U527" s="79">
        <f>IF(AND(O527=1,H527="High"),1,0)</f>
        <v/>
      </c>
      <c r="V527" s="79">
        <f>IF(AND(O527=1,C527="Punch item"),1,0)</f>
        <v/>
      </c>
    </row>
    <row r="528" ht="24" customHeight="1">
      <c r="B528" s="125" t="n">
        <v>521</v>
      </c>
      <c r="C528" s="72" t="n"/>
      <c r="D528" s="109" t="n"/>
      <c r="E528" s="72" t="n"/>
      <c r="F528" s="113" t="n"/>
      <c r="G528" s="72" t="n"/>
      <c r="H528" s="74" t="n"/>
      <c r="I528" s="73" t="n"/>
      <c r="J528" s="113" t="n"/>
      <c r="K528" s="109" t="n"/>
      <c r="L528" s="72" t="n"/>
      <c r="M528" s="109" t="n"/>
      <c r="N528" s="72" t="n"/>
      <c r="O528" s="79">
        <f>IF(AND(F528&lt;&gt;"",L528&lt;&gt;"Resolved"),1,0)</f>
        <v/>
      </c>
      <c r="P528" s="79">
        <f>IF(F528="","",IF(O528=0,0,IF(H528="High",2,1)))</f>
        <v/>
      </c>
      <c r="Q528" s="112">
        <f>IF(O528=1,IF(K528&lt;&gt;"",K528,IF(H528="High",AsOf,"")),"")</f>
        <v/>
      </c>
      <c r="R528" s="79">
        <f>IF(Q528="","",IF(H528="High",1,IF(Q528="","",IF(Q528&lt;AsOf,1,IF(Q528&lt;=AsOf+AlertDays,2,IF(Q528&lt;=AsOf+2*AlertDays,3,""))))))</f>
        <v/>
      </c>
      <c r="S528" s="79">
        <f>IF(R528="","",IF(H528="High","High-severity issue: ",IF(C528="Punch item","Punch item: ","Issue action due: "))&amp;F528&amp;IF(J528="",""," → "&amp;J528))</f>
        <v/>
      </c>
      <c r="T528" s="79">
        <f>IF(O528=1,IF(I528="",0,I528),0)</f>
        <v/>
      </c>
      <c r="U528" s="79">
        <f>IF(AND(O528=1,H528="High"),1,0)</f>
        <v/>
      </c>
      <c r="V528" s="79">
        <f>IF(AND(O528=1,C528="Punch item"),1,0)</f>
        <v/>
      </c>
    </row>
    <row r="529" ht="24" customHeight="1">
      <c r="B529" s="125" t="n">
        <v>522</v>
      </c>
      <c r="C529" s="72" t="n"/>
      <c r="D529" s="109" t="n"/>
      <c r="E529" s="72" t="n"/>
      <c r="F529" s="113" t="n"/>
      <c r="G529" s="72" t="n"/>
      <c r="H529" s="74" t="n"/>
      <c r="I529" s="73" t="n"/>
      <c r="J529" s="113" t="n"/>
      <c r="K529" s="109" t="n"/>
      <c r="L529" s="72" t="n"/>
      <c r="M529" s="109" t="n"/>
      <c r="N529" s="72" t="n"/>
      <c r="O529" s="79">
        <f>IF(AND(F529&lt;&gt;"",L529&lt;&gt;"Resolved"),1,0)</f>
        <v/>
      </c>
      <c r="P529" s="79">
        <f>IF(F529="","",IF(O529=0,0,IF(H529="High",2,1)))</f>
        <v/>
      </c>
      <c r="Q529" s="112">
        <f>IF(O529=1,IF(K529&lt;&gt;"",K529,IF(H529="High",AsOf,"")),"")</f>
        <v/>
      </c>
      <c r="R529" s="79">
        <f>IF(Q529="","",IF(H529="High",1,IF(Q529="","",IF(Q529&lt;AsOf,1,IF(Q529&lt;=AsOf+AlertDays,2,IF(Q529&lt;=AsOf+2*AlertDays,3,""))))))</f>
        <v/>
      </c>
      <c r="S529" s="79">
        <f>IF(R529="","",IF(H529="High","High-severity issue: ",IF(C529="Punch item","Punch item: ","Issue action due: "))&amp;F529&amp;IF(J529="",""," → "&amp;J529))</f>
        <v/>
      </c>
      <c r="T529" s="79">
        <f>IF(O529=1,IF(I529="",0,I529),0)</f>
        <v/>
      </c>
      <c r="U529" s="79">
        <f>IF(AND(O529=1,H529="High"),1,0)</f>
        <v/>
      </c>
      <c r="V529" s="79">
        <f>IF(AND(O529=1,C529="Punch item"),1,0)</f>
        <v/>
      </c>
    </row>
    <row r="530" ht="24" customHeight="1">
      <c r="B530" s="125" t="n">
        <v>523</v>
      </c>
      <c r="C530" s="72" t="n"/>
      <c r="D530" s="109" t="n"/>
      <c r="E530" s="72" t="n"/>
      <c r="F530" s="113" t="n"/>
      <c r="G530" s="72" t="n"/>
      <c r="H530" s="74" t="n"/>
      <c r="I530" s="73" t="n"/>
      <c r="J530" s="113" t="n"/>
      <c r="K530" s="109" t="n"/>
      <c r="L530" s="72" t="n"/>
      <c r="M530" s="109" t="n"/>
      <c r="N530" s="72" t="n"/>
      <c r="O530" s="79">
        <f>IF(AND(F530&lt;&gt;"",L530&lt;&gt;"Resolved"),1,0)</f>
        <v/>
      </c>
      <c r="P530" s="79">
        <f>IF(F530="","",IF(O530=0,0,IF(H530="High",2,1)))</f>
        <v/>
      </c>
      <c r="Q530" s="112">
        <f>IF(O530=1,IF(K530&lt;&gt;"",K530,IF(H530="High",AsOf,"")),"")</f>
        <v/>
      </c>
      <c r="R530" s="79">
        <f>IF(Q530="","",IF(H530="High",1,IF(Q530="","",IF(Q530&lt;AsOf,1,IF(Q530&lt;=AsOf+AlertDays,2,IF(Q530&lt;=AsOf+2*AlertDays,3,""))))))</f>
        <v/>
      </c>
      <c r="S530" s="79">
        <f>IF(R530="","",IF(H530="High","High-severity issue: ",IF(C530="Punch item","Punch item: ","Issue action due: "))&amp;F530&amp;IF(J530="",""," → "&amp;J530))</f>
        <v/>
      </c>
      <c r="T530" s="79">
        <f>IF(O530=1,IF(I530="",0,I530),0)</f>
        <v/>
      </c>
      <c r="U530" s="79">
        <f>IF(AND(O530=1,H530="High"),1,0)</f>
        <v/>
      </c>
      <c r="V530" s="79">
        <f>IF(AND(O530=1,C530="Punch item"),1,0)</f>
        <v/>
      </c>
    </row>
    <row r="531" ht="24" customHeight="1">
      <c r="B531" s="125" t="n">
        <v>524</v>
      </c>
      <c r="C531" s="72" t="n"/>
      <c r="D531" s="109" t="n"/>
      <c r="E531" s="72" t="n"/>
      <c r="F531" s="113" t="n"/>
      <c r="G531" s="72" t="n"/>
      <c r="H531" s="74" t="n"/>
      <c r="I531" s="73" t="n"/>
      <c r="J531" s="113" t="n"/>
      <c r="K531" s="109" t="n"/>
      <c r="L531" s="72" t="n"/>
      <c r="M531" s="109" t="n"/>
      <c r="N531" s="72" t="n"/>
      <c r="O531" s="79">
        <f>IF(AND(F531&lt;&gt;"",L531&lt;&gt;"Resolved"),1,0)</f>
        <v/>
      </c>
      <c r="P531" s="79">
        <f>IF(F531="","",IF(O531=0,0,IF(H531="High",2,1)))</f>
        <v/>
      </c>
      <c r="Q531" s="112">
        <f>IF(O531=1,IF(K531&lt;&gt;"",K531,IF(H531="High",AsOf,"")),"")</f>
        <v/>
      </c>
      <c r="R531" s="79">
        <f>IF(Q531="","",IF(H531="High",1,IF(Q531="","",IF(Q531&lt;AsOf,1,IF(Q531&lt;=AsOf+AlertDays,2,IF(Q531&lt;=AsOf+2*AlertDays,3,""))))))</f>
        <v/>
      </c>
      <c r="S531" s="79">
        <f>IF(R531="","",IF(H531="High","High-severity issue: ",IF(C531="Punch item","Punch item: ","Issue action due: "))&amp;F531&amp;IF(J531="",""," → "&amp;J531))</f>
        <v/>
      </c>
      <c r="T531" s="79">
        <f>IF(O531=1,IF(I531="",0,I531),0)</f>
        <v/>
      </c>
      <c r="U531" s="79">
        <f>IF(AND(O531=1,H531="High"),1,0)</f>
        <v/>
      </c>
      <c r="V531" s="79">
        <f>IF(AND(O531=1,C531="Punch item"),1,0)</f>
        <v/>
      </c>
    </row>
    <row r="532" ht="24" customHeight="1">
      <c r="B532" s="125" t="n">
        <v>525</v>
      </c>
      <c r="C532" s="72" t="n"/>
      <c r="D532" s="109" t="n"/>
      <c r="E532" s="72" t="n"/>
      <c r="F532" s="113" t="n"/>
      <c r="G532" s="72" t="n"/>
      <c r="H532" s="74" t="n"/>
      <c r="I532" s="73" t="n"/>
      <c r="J532" s="113" t="n"/>
      <c r="K532" s="109" t="n"/>
      <c r="L532" s="72" t="n"/>
      <c r="M532" s="109" t="n"/>
      <c r="N532" s="72" t="n"/>
      <c r="O532" s="79">
        <f>IF(AND(F532&lt;&gt;"",L532&lt;&gt;"Resolved"),1,0)</f>
        <v/>
      </c>
      <c r="P532" s="79">
        <f>IF(F532="","",IF(O532=0,0,IF(H532="High",2,1)))</f>
        <v/>
      </c>
      <c r="Q532" s="112">
        <f>IF(O532=1,IF(K532&lt;&gt;"",K532,IF(H532="High",AsOf,"")),"")</f>
        <v/>
      </c>
      <c r="R532" s="79">
        <f>IF(Q532="","",IF(H532="High",1,IF(Q532="","",IF(Q532&lt;AsOf,1,IF(Q532&lt;=AsOf+AlertDays,2,IF(Q532&lt;=AsOf+2*AlertDays,3,""))))))</f>
        <v/>
      </c>
      <c r="S532" s="79">
        <f>IF(R532="","",IF(H532="High","High-severity issue: ",IF(C532="Punch item","Punch item: ","Issue action due: "))&amp;F532&amp;IF(J532="",""," → "&amp;J532))</f>
        <v/>
      </c>
      <c r="T532" s="79">
        <f>IF(O532=1,IF(I532="",0,I532),0)</f>
        <v/>
      </c>
      <c r="U532" s="79">
        <f>IF(AND(O532=1,H532="High"),1,0)</f>
        <v/>
      </c>
      <c r="V532" s="79">
        <f>IF(AND(O532=1,C532="Punch item"),1,0)</f>
        <v/>
      </c>
    </row>
    <row r="533" ht="24" customHeight="1">
      <c r="B533" s="125" t="n">
        <v>526</v>
      </c>
      <c r="C533" s="72" t="n"/>
      <c r="D533" s="109" t="n"/>
      <c r="E533" s="72" t="n"/>
      <c r="F533" s="113" t="n"/>
      <c r="G533" s="72" t="n"/>
      <c r="H533" s="74" t="n"/>
      <c r="I533" s="73" t="n"/>
      <c r="J533" s="113" t="n"/>
      <c r="K533" s="109" t="n"/>
      <c r="L533" s="72" t="n"/>
      <c r="M533" s="109" t="n"/>
      <c r="N533" s="72" t="n"/>
      <c r="O533" s="79">
        <f>IF(AND(F533&lt;&gt;"",L533&lt;&gt;"Resolved"),1,0)</f>
        <v/>
      </c>
      <c r="P533" s="79">
        <f>IF(F533="","",IF(O533=0,0,IF(H533="High",2,1)))</f>
        <v/>
      </c>
      <c r="Q533" s="112">
        <f>IF(O533=1,IF(K533&lt;&gt;"",K533,IF(H533="High",AsOf,"")),"")</f>
        <v/>
      </c>
      <c r="R533" s="79">
        <f>IF(Q533="","",IF(H533="High",1,IF(Q533="","",IF(Q533&lt;AsOf,1,IF(Q533&lt;=AsOf+AlertDays,2,IF(Q533&lt;=AsOf+2*AlertDays,3,""))))))</f>
        <v/>
      </c>
      <c r="S533" s="79">
        <f>IF(R533="","",IF(H533="High","High-severity issue: ",IF(C533="Punch item","Punch item: ","Issue action due: "))&amp;F533&amp;IF(J533="",""," → "&amp;J533))</f>
        <v/>
      </c>
      <c r="T533" s="79">
        <f>IF(O533=1,IF(I533="",0,I533),0)</f>
        <v/>
      </c>
      <c r="U533" s="79">
        <f>IF(AND(O533=1,H533="High"),1,0)</f>
        <v/>
      </c>
      <c r="V533" s="79">
        <f>IF(AND(O533=1,C533="Punch item"),1,0)</f>
        <v/>
      </c>
    </row>
    <row r="534" ht="24" customHeight="1">
      <c r="B534" s="125" t="n">
        <v>527</v>
      </c>
      <c r="C534" s="72" t="n"/>
      <c r="D534" s="109" t="n"/>
      <c r="E534" s="72" t="n"/>
      <c r="F534" s="113" t="n"/>
      <c r="G534" s="72" t="n"/>
      <c r="H534" s="74" t="n"/>
      <c r="I534" s="73" t="n"/>
      <c r="J534" s="113" t="n"/>
      <c r="K534" s="109" t="n"/>
      <c r="L534" s="72" t="n"/>
      <c r="M534" s="109" t="n"/>
      <c r="N534" s="72" t="n"/>
      <c r="O534" s="79">
        <f>IF(AND(F534&lt;&gt;"",L534&lt;&gt;"Resolved"),1,0)</f>
        <v/>
      </c>
      <c r="P534" s="79">
        <f>IF(F534="","",IF(O534=0,0,IF(H534="High",2,1)))</f>
        <v/>
      </c>
      <c r="Q534" s="112">
        <f>IF(O534=1,IF(K534&lt;&gt;"",K534,IF(H534="High",AsOf,"")),"")</f>
        <v/>
      </c>
      <c r="R534" s="79">
        <f>IF(Q534="","",IF(H534="High",1,IF(Q534="","",IF(Q534&lt;AsOf,1,IF(Q534&lt;=AsOf+AlertDays,2,IF(Q534&lt;=AsOf+2*AlertDays,3,""))))))</f>
        <v/>
      </c>
      <c r="S534" s="79">
        <f>IF(R534="","",IF(H534="High","High-severity issue: ",IF(C534="Punch item","Punch item: ","Issue action due: "))&amp;F534&amp;IF(J534="",""," → "&amp;J534))</f>
        <v/>
      </c>
      <c r="T534" s="79">
        <f>IF(O534=1,IF(I534="",0,I534),0)</f>
        <v/>
      </c>
      <c r="U534" s="79">
        <f>IF(AND(O534=1,H534="High"),1,0)</f>
        <v/>
      </c>
      <c r="V534" s="79">
        <f>IF(AND(O534=1,C534="Punch item"),1,0)</f>
        <v/>
      </c>
    </row>
    <row r="535" ht="24" customHeight="1">
      <c r="B535" s="125" t="n">
        <v>528</v>
      </c>
      <c r="C535" s="72" t="n"/>
      <c r="D535" s="109" t="n"/>
      <c r="E535" s="72" t="n"/>
      <c r="F535" s="113" t="n"/>
      <c r="G535" s="72" t="n"/>
      <c r="H535" s="74" t="n"/>
      <c r="I535" s="73" t="n"/>
      <c r="J535" s="113" t="n"/>
      <c r="K535" s="109" t="n"/>
      <c r="L535" s="72" t="n"/>
      <c r="M535" s="109" t="n"/>
      <c r="N535" s="72" t="n"/>
      <c r="O535" s="79">
        <f>IF(AND(F535&lt;&gt;"",L535&lt;&gt;"Resolved"),1,0)</f>
        <v/>
      </c>
      <c r="P535" s="79">
        <f>IF(F535="","",IF(O535=0,0,IF(H535="High",2,1)))</f>
        <v/>
      </c>
      <c r="Q535" s="112">
        <f>IF(O535=1,IF(K535&lt;&gt;"",K535,IF(H535="High",AsOf,"")),"")</f>
        <v/>
      </c>
      <c r="R535" s="79">
        <f>IF(Q535="","",IF(H535="High",1,IF(Q535="","",IF(Q535&lt;AsOf,1,IF(Q535&lt;=AsOf+AlertDays,2,IF(Q535&lt;=AsOf+2*AlertDays,3,""))))))</f>
        <v/>
      </c>
      <c r="S535" s="79">
        <f>IF(R535="","",IF(H535="High","High-severity issue: ",IF(C535="Punch item","Punch item: ","Issue action due: "))&amp;F535&amp;IF(J535="",""," → "&amp;J535))</f>
        <v/>
      </c>
      <c r="T535" s="79">
        <f>IF(O535=1,IF(I535="",0,I535),0)</f>
        <v/>
      </c>
      <c r="U535" s="79">
        <f>IF(AND(O535=1,H535="High"),1,0)</f>
        <v/>
      </c>
      <c r="V535" s="79">
        <f>IF(AND(O535=1,C535="Punch item"),1,0)</f>
        <v/>
      </c>
    </row>
    <row r="536" ht="24" customHeight="1">
      <c r="B536" s="125" t="n">
        <v>529</v>
      </c>
      <c r="C536" s="72" t="n"/>
      <c r="D536" s="109" t="n"/>
      <c r="E536" s="72" t="n"/>
      <c r="F536" s="113" t="n"/>
      <c r="G536" s="72" t="n"/>
      <c r="H536" s="74" t="n"/>
      <c r="I536" s="73" t="n"/>
      <c r="J536" s="113" t="n"/>
      <c r="K536" s="109" t="n"/>
      <c r="L536" s="72" t="n"/>
      <c r="M536" s="109" t="n"/>
      <c r="N536" s="72" t="n"/>
      <c r="O536" s="79">
        <f>IF(AND(F536&lt;&gt;"",L536&lt;&gt;"Resolved"),1,0)</f>
        <v/>
      </c>
      <c r="P536" s="79">
        <f>IF(F536="","",IF(O536=0,0,IF(H536="High",2,1)))</f>
        <v/>
      </c>
      <c r="Q536" s="112">
        <f>IF(O536=1,IF(K536&lt;&gt;"",K536,IF(H536="High",AsOf,"")),"")</f>
        <v/>
      </c>
      <c r="R536" s="79">
        <f>IF(Q536="","",IF(H536="High",1,IF(Q536="","",IF(Q536&lt;AsOf,1,IF(Q536&lt;=AsOf+AlertDays,2,IF(Q536&lt;=AsOf+2*AlertDays,3,""))))))</f>
        <v/>
      </c>
      <c r="S536" s="79">
        <f>IF(R536="","",IF(H536="High","High-severity issue: ",IF(C536="Punch item","Punch item: ","Issue action due: "))&amp;F536&amp;IF(J536="",""," → "&amp;J536))</f>
        <v/>
      </c>
      <c r="T536" s="79">
        <f>IF(O536=1,IF(I536="",0,I536),0)</f>
        <v/>
      </c>
      <c r="U536" s="79">
        <f>IF(AND(O536=1,H536="High"),1,0)</f>
        <v/>
      </c>
      <c r="V536" s="79">
        <f>IF(AND(O536=1,C536="Punch item"),1,0)</f>
        <v/>
      </c>
    </row>
    <row r="537" ht="24" customHeight="1">
      <c r="B537" s="125" t="n">
        <v>530</v>
      </c>
      <c r="C537" s="72" t="n"/>
      <c r="D537" s="109" t="n"/>
      <c r="E537" s="72" t="n"/>
      <c r="F537" s="113" t="n"/>
      <c r="G537" s="72" t="n"/>
      <c r="H537" s="74" t="n"/>
      <c r="I537" s="73" t="n"/>
      <c r="J537" s="113" t="n"/>
      <c r="K537" s="109" t="n"/>
      <c r="L537" s="72" t="n"/>
      <c r="M537" s="109" t="n"/>
      <c r="N537" s="72" t="n"/>
      <c r="O537" s="79">
        <f>IF(AND(F537&lt;&gt;"",L537&lt;&gt;"Resolved"),1,0)</f>
        <v/>
      </c>
      <c r="P537" s="79">
        <f>IF(F537="","",IF(O537=0,0,IF(H537="High",2,1)))</f>
        <v/>
      </c>
      <c r="Q537" s="112">
        <f>IF(O537=1,IF(K537&lt;&gt;"",K537,IF(H537="High",AsOf,"")),"")</f>
        <v/>
      </c>
      <c r="R537" s="79">
        <f>IF(Q537="","",IF(H537="High",1,IF(Q537="","",IF(Q537&lt;AsOf,1,IF(Q537&lt;=AsOf+AlertDays,2,IF(Q537&lt;=AsOf+2*AlertDays,3,""))))))</f>
        <v/>
      </c>
      <c r="S537" s="79">
        <f>IF(R537="","",IF(H537="High","High-severity issue: ",IF(C537="Punch item","Punch item: ","Issue action due: "))&amp;F537&amp;IF(J537="",""," → "&amp;J537))</f>
        <v/>
      </c>
      <c r="T537" s="79">
        <f>IF(O537=1,IF(I537="",0,I537),0)</f>
        <v/>
      </c>
      <c r="U537" s="79">
        <f>IF(AND(O537=1,H537="High"),1,0)</f>
        <v/>
      </c>
      <c r="V537" s="79">
        <f>IF(AND(O537=1,C537="Punch item"),1,0)</f>
        <v/>
      </c>
    </row>
    <row r="538" ht="24" customHeight="1">
      <c r="B538" s="125" t="n">
        <v>531</v>
      </c>
      <c r="C538" s="72" t="n"/>
      <c r="D538" s="109" t="n"/>
      <c r="E538" s="72" t="n"/>
      <c r="F538" s="113" t="n"/>
      <c r="G538" s="72" t="n"/>
      <c r="H538" s="74" t="n"/>
      <c r="I538" s="73" t="n"/>
      <c r="J538" s="113" t="n"/>
      <c r="K538" s="109" t="n"/>
      <c r="L538" s="72" t="n"/>
      <c r="M538" s="109" t="n"/>
      <c r="N538" s="72" t="n"/>
      <c r="O538" s="79">
        <f>IF(AND(F538&lt;&gt;"",L538&lt;&gt;"Resolved"),1,0)</f>
        <v/>
      </c>
      <c r="P538" s="79">
        <f>IF(F538="","",IF(O538=0,0,IF(H538="High",2,1)))</f>
        <v/>
      </c>
      <c r="Q538" s="112">
        <f>IF(O538=1,IF(K538&lt;&gt;"",K538,IF(H538="High",AsOf,"")),"")</f>
        <v/>
      </c>
      <c r="R538" s="79">
        <f>IF(Q538="","",IF(H538="High",1,IF(Q538="","",IF(Q538&lt;AsOf,1,IF(Q538&lt;=AsOf+AlertDays,2,IF(Q538&lt;=AsOf+2*AlertDays,3,""))))))</f>
        <v/>
      </c>
      <c r="S538" s="79">
        <f>IF(R538="","",IF(H538="High","High-severity issue: ",IF(C538="Punch item","Punch item: ","Issue action due: "))&amp;F538&amp;IF(J538="",""," → "&amp;J538))</f>
        <v/>
      </c>
      <c r="T538" s="79">
        <f>IF(O538=1,IF(I538="",0,I538),0)</f>
        <v/>
      </c>
      <c r="U538" s="79">
        <f>IF(AND(O538=1,H538="High"),1,0)</f>
        <v/>
      </c>
      <c r="V538" s="79">
        <f>IF(AND(O538=1,C538="Punch item"),1,0)</f>
        <v/>
      </c>
    </row>
    <row r="539" ht="24" customHeight="1">
      <c r="B539" s="125" t="n">
        <v>532</v>
      </c>
      <c r="C539" s="72" t="n"/>
      <c r="D539" s="109" t="n"/>
      <c r="E539" s="72" t="n"/>
      <c r="F539" s="113" t="n"/>
      <c r="G539" s="72" t="n"/>
      <c r="H539" s="74" t="n"/>
      <c r="I539" s="73" t="n"/>
      <c r="J539" s="113" t="n"/>
      <c r="K539" s="109" t="n"/>
      <c r="L539" s="72" t="n"/>
      <c r="M539" s="109" t="n"/>
      <c r="N539" s="72" t="n"/>
      <c r="O539" s="79">
        <f>IF(AND(F539&lt;&gt;"",L539&lt;&gt;"Resolved"),1,0)</f>
        <v/>
      </c>
      <c r="P539" s="79">
        <f>IF(F539="","",IF(O539=0,0,IF(H539="High",2,1)))</f>
        <v/>
      </c>
      <c r="Q539" s="112">
        <f>IF(O539=1,IF(K539&lt;&gt;"",K539,IF(H539="High",AsOf,"")),"")</f>
        <v/>
      </c>
      <c r="R539" s="79">
        <f>IF(Q539="","",IF(H539="High",1,IF(Q539="","",IF(Q539&lt;AsOf,1,IF(Q539&lt;=AsOf+AlertDays,2,IF(Q539&lt;=AsOf+2*AlertDays,3,""))))))</f>
        <v/>
      </c>
      <c r="S539" s="79">
        <f>IF(R539="","",IF(H539="High","High-severity issue: ",IF(C539="Punch item","Punch item: ","Issue action due: "))&amp;F539&amp;IF(J539="",""," → "&amp;J539))</f>
        <v/>
      </c>
      <c r="T539" s="79">
        <f>IF(O539=1,IF(I539="",0,I539),0)</f>
        <v/>
      </c>
      <c r="U539" s="79">
        <f>IF(AND(O539=1,H539="High"),1,0)</f>
        <v/>
      </c>
      <c r="V539" s="79">
        <f>IF(AND(O539=1,C539="Punch item"),1,0)</f>
        <v/>
      </c>
    </row>
    <row r="540" ht="24" customHeight="1">
      <c r="B540" s="125" t="n">
        <v>533</v>
      </c>
      <c r="C540" s="72" t="n"/>
      <c r="D540" s="109" t="n"/>
      <c r="E540" s="72" t="n"/>
      <c r="F540" s="113" t="n"/>
      <c r="G540" s="72" t="n"/>
      <c r="H540" s="74" t="n"/>
      <c r="I540" s="73" t="n"/>
      <c r="J540" s="113" t="n"/>
      <c r="K540" s="109" t="n"/>
      <c r="L540" s="72" t="n"/>
      <c r="M540" s="109" t="n"/>
      <c r="N540" s="72" t="n"/>
      <c r="O540" s="79">
        <f>IF(AND(F540&lt;&gt;"",L540&lt;&gt;"Resolved"),1,0)</f>
        <v/>
      </c>
      <c r="P540" s="79">
        <f>IF(F540="","",IF(O540=0,0,IF(H540="High",2,1)))</f>
        <v/>
      </c>
      <c r="Q540" s="112">
        <f>IF(O540=1,IF(K540&lt;&gt;"",K540,IF(H540="High",AsOf,"")),"")</f>
        <v/>
      </c>
      <c r="R540" s="79">
        <f>IF(Q540="","",IF(H540="High",1,IF(Q540="","",IF(Q540&lt;AsOf,1,IF(Q540&lt;=AsOf+AlertDays,2,IF(Q540&lt;=AsOf+2*AlertDays,3,""))))))</f>
        <v/>
      </c>
      <c r="S540" s="79">
        <f>IF(R540="","",IF(H540="High","High-severity issue: ",IF(C540="Punch item","Punch item: ","Issue action due: "))&amp;F540&amp;IF(J540="",""," → "&amp;J540))</f>
        <v/>
      </c>
      <c r="T540" s="79">
        <f>IF(O540=1,IF(I540="",0,I540),0)</f>
        <v/>
      </c>
      <c r="U540" s="79">
        <f>IF(AND(O540=1,H540="High"),1,0)</f>
        <v/>
      </c>
      <c r="V540" s="79">
        <f>IF(AND(O540=1,C540="Punch item"),1,0)</f>
        <v/>
      </c>
    </row>
    <row r="541" ht="24" customHeight="1">
      <c r="B541" s="125" t="n">
        <v>534</v>
      </c>
      <c r="C541" s="72" t="n"/>
      <c r="D541" s="109" t="n"/>
      <c r="E541" s="72" t="n"/>
      <c r="F541" s="113" t="n"/>
      <c r="G541" s="72" t="n"/>
      <c r="H541" s="74" t="n"/>
      <c r="I541" s="73" t="n"/>
      <c r="J541" s="113" t="n"/>
      <c r="K541" s="109" t="n"/>
      <c r="L541" s="72" t="n"/>
      <c r="M541" s="109" t="n"/>
      <c r="N541" s="72" t="n"/>
      <c r="O541" s="79">
        <f>IF(AND(F541&lt;&gt;"",L541&lt;&gt;"Resolved"),1,0)</f>
        <v/>
      </c>
      <c r="P541" s="79">
        <f>IF(F541="","",IF(O541=0,0,IF(H541="High",2,1)))</f>
        <v/>
      </c>
      <c r="Q541" s="112">
        <f>IF(O541=1,IF(K541&lt;&gt;"",K541,IF(H541="High",AsOf,"")),"")</f>
        <v/>
      </c>
      <c r="R541" s="79">
        <f>IF(Q541="","",IF(H541="High",1,IF(Q541="","",IF(Q541&lt;AsOf,1,IF(Q541&lt;=AsOf+AlertDays,2,IF(Q541&lt;=AsOf+2*AlertDays,3,""))))))</f>
        <v/>
      </c>
      <c r="S541" s="79">
        <f>IF(R541="","",IF(H541="High","High-severity issue: ",IF(C541="Punch item","Punch item: ","Issue action due: "))&amp;F541&amp;IF(J541="",""," → "&amp;J541))</f>
        <v/>
      </c>
      <c r="T541" s="79">
        <f>IF(O541=1,IF(I541="",0,I541),0)</f>
        <v/>
      </c>
      <c r="U541" s="79">
        <f>IF(AND(O541=1,H541="High"),1,0)</f>
        <v/>
      </c>
      <c r="V541" s="79">
        <f>IF(AND(O541=1,C541="Punch item"),1,0)</f>
        <v/>
      </c>
    </row>
    <row r="542" ht="24" customHeight="1">
      <c r="B542" s="125" t="n">
        <v>535</v>
      </c>
      <c r="C542" s="72" t="n"/>
      <c r="D542" s="109" t="n"/>
      <c r="E542" s="72" t="n"/>
      <c r="F542" s="113" t="n"/>
      <c r="G542" s="72" t="n"/>
      <c r="H542" s="74" t="n"/>
      <c r="I542" s="73" t="n"/>
      <c r="J542" s="113" t="n"/>
      <c r="K542" s="109" t="n"/>
      <c r="L542" s="72" t="n"/>
      <c r="M542" s="109" t="n"/>
      <c r="N542" s="72" t="n"/>
      <c r="O542" s="79">
        <f>IF(AND(F542&lt;&gt;"",L542&lt;&gt;"Resolved"),1,0)</f>
        <v/>
      </c>
      <c r="P542" s="79">
        <f>IF(F542="","",IF(O542=0,0,IF(H542="High",2,1)))</f>
        <v/>
      </c>
      <c r="Q542" s="112">
        <f>IF(O542=1,IF(K542&lt;&gt;"",K542,IF(H542="High",AsOf,"")),"")</f>
        <v/>
      </c>
      <c r="R542" s="79">
        <f>IF(Q542="","",IF(H542="High",1,IF(Q542="","",IF(Q542&lt;AsOf,1,IF(Q542&lt;=AsOf+AlertDays,2,IF(Q542&lt;=AsOf+2*AlertDays,3,""))))))</f>
        <v/>
      </c>
      <c r="S542" s="79">
        <f>IF(R542="","",IF(H542="High","High-severity issue: ",IF(C542="Punch item","Punch item: ","Issue action due: "))&amp;F542&amp;IF(J542="",""," → "&amp;J542))</f>
        <v/>
      </c>
      <c r="T542" s="79">
        <f>IF(O542=1,IF(I542="",0,I542),0)</f>
        <v/>
      </c>
      <c r="U542" s="79">
        <f>IF(AND(O542=1,H542="High"),1,0)</f>
        <v/>
      </c>
      <c r="V542" s="79">
        <f>IF(AND(O542=1,C542="Punch item"),1,0)</f>
        <v/>
      </c>
    </row>
    <row r="543" ht="24" customHeight="1">
      <c r="B543" s="125" t="n">
        <v>536</v>
      </c>
      <c r="C543" s="72" t="n"/>
      <c r="D543" s="109" t="n"/>
      <c r="E543" s="72" t="n"/>
      <c r="F543" s="113" t="n"/>
      <c r="G543" s="72" t="n"/>
      <c r="H543" s="74" t="n"/>
      <c r="I543" s="73" t="n"/>
      <c r="J543" s="113" t="n"/>
      <c r="K543" s="109" t="n"/>
      <c r="L543" s="72" t="n"/>
      <c r="M543" s="109" t="n"/>
      <c r="N543" s="72" t="n"/>
      <c r="O543" s="79">
        <f>IF(AND(F543&lt;&gt;"",L543&lt;&gt;"Resolved"),1,0)</f>
        <v/>
      </c>
      <c r="P543" s="79">
        <f>IF(F543="","",IF(O543=0,0,IF(H543="High",2,1)))</f>
        <v/>
      </c>
      <c r="Q543" s="112">
        <f>IF(O543=1,IF(K543&lt;&gt;"",K543,IF(H543="High",AsOf,"")),"")</f>
        <v/>
      </c>
      <c r="R543" s="79">
        <f>IF(Q543="","",IF(H543="High",1,IF(Q543="","",IF(Q543&lt;AsOf,1,IF(Q543&lt;=AsOf+AlertDays,2,IF(Q543&lt;=AsOf+2*AlertDays,3,""))))))</f>
        <v/>
      </c>
      <c r="S543" s="79">
        <f>IF(R543="","",IF(H543="High","High-severity issue: ",IF(C543="Punch item","Punch item: ","Issue action due: "))&amp;F543&amp;IF(J543="",""," → "&amp;J543))</f>
        <v/>
      </c>
      <c r="T543" s="79">
        <f>IF(O543=1,IF(I543="",0,I543),0)</f>
        <v/>
      </c>
      <c r="U543" s="79">
        <f>IF(AND(O543=1,H543="High"),1,0)</f>
        <v/>
      </c>
      <c r="V543" s="79">
        <f>IF(AND(O543=1,C543="Punch item"),1,0)</f>
        <v/>
      </c>
    </row>
    <row r="544" ht="24" customHeight="1">
      <c r="B544" s="125" t="n">
        <v>537</v>
      </c>
      <c r="C544" s="72" t="n"/>
      <c r="D544" s="109" t="n"/>
      <c r="E544" s="72" t="n"/>
      <c r="F544" s="113" t="n"/>
      <c r="G544" s="72" t="n"/>
      <c r="H544" s="74" t="n"/>
      <c r="I544" s="73" t="n"/>
      <c r="J544" s="113" t="n"/>
      <c r="K544" s="109" t="n"/>
      <c r="L544" s="72" t="n"/>
      <c r="M544" s="109" t="n"/>
      <c r="N544" s="72" t="n"/>
      <c r="O544" s="79">
        <f>IF(AND(F544&lt;&gt;"",L544&lt;&gt;"Resolved"),1,0)</f>
        <v/>
      </c>
      <c r="P544" s="79">
        <f>IF(F544="","",IF(O544=0,0,IF(H544="High",2,1)))</f>
        <v/>
      </c>
      <c r="Q544" s="112">
        <f>IF(O544=1,IF(K544&lt;&gt;"",K544,IF(H544="High",AsOf,"")),"")</f>
        <v/>
      </c>
      <c r="R544" s="79">
        <f>IF(Q544="","",IF(H544="High",1,IF(Q544="","",IF(Q544&lt;AsOf,1,IF(Q544&lt;=AsOf+AlertDays,2,IF(Q544&lt;=AsOf+2*AlertDays,3,""))))))</f>
        <v/>
      </c>
      <c r="S544" s="79">
        <f>IF(R544="","",IF(H544="High","High-severity issue: ",IF(C544="Punch item","Punch item: ","Issue action due: "))&amp;F544&amp;IF(J544="",""," → "&amp;J544))</f>
        <v/>
      </c>
      <c r="T544" s="79">
        <f>IF(O544=1,IF(I544="",0,I544),0)</f>
        <v/>
      </c>
      <c r="U544" s="79">
        <f>IF(AND(O544=1,H544="High"),1,0)</f>
        <v/>
      </c>
      <c r="V544" s="79">
        <f>IF(AND(O544=1,C544="Punch item"),1,0)</f>
        <v/>
      </c>
    </row>
    <row r="545" ht="24" customHeight="1">
      <c r="B545" s="125" t="n">
        <v>538</v>
      </c>
      <c r="C545" s="72" t="n"/>
      <c r="D545" s="109" t="n"/>
      <c r="E545" s="72" t="n"/>
      <c r="F545" s="113" t="n"/>
      <c r="G545" s="72" t="n"/>
      <c r="H545" s="74" t="n"/>
      <c r="I545" s="73" t="n"/>
      <c r="J545" s="113" t="n"/>
      <c r="K545" s="109" t="n"/>
      <c r="L545" s="72" t="n"/>
      <c r="M545" s="109" t="n"/>
      <c r="N545" s="72" t="n"/>
      <c r="O545" s="79">
        <f>IF(AND(F545&lt;&gt;"",L545&lt;&gt;"Resolved"),1,0)</f>
        <v/>
      </c>
      <c r="P545" s="79">
        <f>IF(F545="","",IF(O545=0,0,IF(H545="High",2,1)))</f>
        <v/>
      </c>
      <c r="Q545" s="112">
        <f>IF(O545=1,IF(K545&lt;&gt;"",K545,IF(H545="High",AsOf,"")),"")</f>
        <v/>
      </c>
      <c r="R545" s="79">
        <f>IF(Q545="","",IF(H545="High",1,IF(Q545="","",IF(Q545&lt;AsOf,1,IF(Q545&lt;=AsOf+AlertDays,2,IF(Q545&lt;=AsOf+2*AlertDays,3,""))))))</f>
        <v/>
      </c>
      <c r="S545" s="79">
        <f>IF(R545="","",IF(H545="High","High-severity issue: ",IF(C545="Punch item","Punch item: ","Issue action due: "))&amp;F545&amp;IF(J545="",""," → "&amp;J545))</f>
        <v/>
      </c>
      <c r="T545" s="79">
        <f>IF(O545=1,IF(I545="",0,I545),0)</f>
        <v/>
      </c>
      <c r="U545" s="79">
        <f>IF(AND(O545=1,H545="High"),1,0)</f>
        <v/>
      </c>
      <c r="V545" s="79">
        <f>IF(AND(O545=1,C545="Punch item"),1,0)</f>
        <v/>
      </c>
    </row>
    <row r="546" ht="24" customHeight="1">
      <c r="B546" s="125" t="n">
        <v>539</v>
      </c>
      <c r="C546" s="72" t="n"/>
      <c r="D546" s="109" t="n"/>
      <c r="E546" s="72" t="n"/>
      <c r="F546" s="113" t="n"/>
      <c r="G546" s="72" t="n"/>
      <c r="H546" s="74" t="n"/>
      <c r="I546" s="73" t="n"/>
      <c r="J546" s="113" t="n"/>
      <c r="K546" s="109" t="n"/>
      <c r="L546" s="72" t="n"/>
      <c r="M546" s="109" t="n"/>
      <c r="N546" s="72" t="n"/>
      <c r="O546" s="79">
        <f>IF(AND(F546&lt;&gt;"",L546&lt;&gt;"Resolved"),1,0)</f>
        <v/>
      </c>
      <c r="P546" s="79">
        <f>IF(F546="","",IF(O546=0,0,IF(H546="High",2,1)))</f>
        <v/>
      </c>
      <c r="Q546" s="112">
        <f>IF(O546=1,IF(K546&lt;&gt;"",K546,IF(H546="High",AsOf,"")),"")</f>
        <v/>
      </c>
      <c r="R546" s="79">
        <f>IF(Q546="","",IF(H546="High",1,IF(Q546="","",IF(Q546&lt;AsOf,1,IF(Q546&lt;=AsOf+AlertDays,2,IF(Q546&lt;=AsOf+2*AlertDays,3,""))))))</f>
        <v/>
      </c>
      <c r="S546" s="79">
        <f>IF(R546="","",IF(H546="High","High-severity issue: ",IF(C546="Punch item","Punch item: ","Issue action due: "))&amp;F546&amp;IF(J546="",""," → "&amp;J546))</f>
        <v/>
      </c>
      <c r="T546" s="79">
        <f>IF(O546=1,IF(I546="",0,I546),0)</f>
        <v/>
      </c>
      <c r="U546" s="79">
        <f>IF(AND(O546=1,H546="High"),1,0)</f>
        <v/>
      </c>
      <c r="V546" s="79">
        <f>IF(AND(O546=1,C546="Punch item"),1,0)</f>
        <v/>
      </c>
    </row>
    <row r="547" ht="24" customHeight="1">
      <c r="B547" s="125" t="n">
        <v>540</v>
      </c>
      <c r="C547" s="72" t="n"/>
      <c r="D547" s="109" t="n"/>
      <c r="E547" s="72" t="n"/>
      <c r="F547" s="113" t="n"/>
      <c r="G547" s="72" t="n"/>
      <c r="H547" s="74" t="n"/>
      <c r="I547" s="73" t="n"/>
      <c r="J547" s="113" t="n"/>
      <c r="K547" s="109" t="n"/>
      <c r="L547" s="72" t="n"/>
      <c r="M547" s="109" t="n"/>
      <c r="N547" s="72" t="n"/>
      <c r="O547" s="79">
        <f>IF(AND(F547&lt;&gt;"",L547&lt;&gt;"Resolved"),1,0)</f>
        <v/>
      </c>
      <c r="P547" s="79">
        <f>IF(F547="","",IF(O547=0,0,IF(H547="High",2,1)))</f>
        <v/>
      </c>
      <c r="Q547" s="112">
        <f>IF(O547=1,IF(K547&lt;&gt;"",K547,IF(H547="High",AsOf,"")),"")</f>
        <v/>
      </c>
      <c r="R547" s="79">
        <f>IF(Q547="","",IF(H547="High",1,IF(Q547="","",IF(Q547&lt;AsOf,1,IF(Q547&lt;=AsOf+AlertDays,2,IF(Q547&lt;=AsOf+2*AlertDays,3,""))))))</f>
        <v/>
      </c>
      <c r="S547" s="79">
        <f>IF(R547="","",IF(H547="High","High-severity issue: ",IF(C547="Punch item","Punch item: ","Issue action due: "))&amp;F547&amp;IF(J547="",""," → "&amp;J547))</f>
        <v/>
      </c>
      <c r="T547" s="79">
        <f>IF(O547=1,IF(I547="",0,I547),0)</f>
        <v/>
      </c>
      <c r="U547" s="79">
        <f>IF(AND(O547=1,H547="High"),1,0)</f>
        <v/>
      </c>
      <c r="V547" s="79">
        <f>IF(AND(O547=1,C547="Punch item"),1,0)</f>
        <v/>
      </c>
    </row>
    <row r="548" ht="24" customHeight="1">
      <c r="B548" s="125" t="n">
        <v>541</v>
      </c>
      <c r="C548" s="72" t="n"/>
      <c r="D548" s="109" t="n"/>
      <c r="E548" s="72" t="n"/>
      <c r="F548" s="113" t="n"/>
      <c r="G548" s="72" t="n"/>
      <c r="H548" s="74" t="n"/>
      <c r="I548" s="73" t="n"/>
      <c r="J548" s="113" t="n"/>
      <c r="K548" s="109" t="n"/>
      <c r="L548" s="72" t="n"/>
      <c r="M548" s="109" t="n"/>
      <c r="N548" s="72" t="n"/>
      <c r="O548" s="79">
        <f>IF(AND(F548&lt;&gt;"",L548&lt;&gt;"Resolved"),1,0)</f>
        <v/>
      </c>
      <c r="P548" s="79">
        <f>IF(F548="","",IF(O548=0,0,IF(H548="High",2,1)))</f>
        <v/>
      </c>
      <c r="Q548" s="112">
        <f>IF(O548=1,IF(K548&lt;&gt;"",K548,IF(H548="High",AsOf,"")),"")</f>
        <v/>
      </c>
      <c r="R548" s="79">
        <f>IF(Q548="","",IF(H548="High",1,IF(Q548="","",IF(Q548&lt;AsOf,1,IF(Q548&lt;=AsOf+AlertDays,2,IF(Q548&lt;=AsOf+2*AlertDays,3,""))))))</f>
        <v/>
      </c>
      <c r="S548" s="79">
        <f>IF(R548="","",IF(H548="High","High-severity issue: ",IF(C548="Punch item","Punch item: ","Issue action due: "))&amp;F548&amp;IF(J548="",""," → "&amp;J548))</f>
        <v/>
      </c>
      <c r="T548" s="79">
        <f>IF(O548=1,IF(I548="",0,I548),0)</f>
        <v/>
      </c>
      <c r="U548" s="79">
        <f>IF(AND(O548=1,H548="High"),1,0)</f>
        <v/>
      </c>
      <c r="V548" s="79">
        <f>IF(AND(O548=1,C548="Punch item"),1,0)</f>
        <v/>
      </c>
    </row>
    <row r="549" ht="24" customHeight="1">
      <c r="B549" s="125" t="n">
        <v>542</v>
      </c>
      <c r="C549" s="72" t="n"/>
      <c r="D549" s="109" t="n"/>
      <c r="E549" s="72" t="n"/>
      <c r="F549" s="113" t="n"/>
      <c r="G549" s="72" t="n"/>
      <c r="H549" s="74" t="n"/>
      <c r="I549" s="73" t="n"/>
      <c r="J549" s="113" t="n"/>
      <c r="K549" s="109" t="n"/>
      <c r="L549" s="72" t="n"/>
      <c r="M549" s="109" t="n"/>
      <c r="N549" s="72" t="n"/>
      <c r="O549" s="79">
        <f>IF(AND(F549&lt;&gt;"",L549&lt;&gt;"Resolved"),1,0)</f>
        <v/>
      </c>
      <c r="P549" s="79">
        <f>IF(F549="","",IF(O549=0,0,IF(H549="High",2,1)))</f>
        <v/>
      </c>
      <c r="Q549" s="112">
        <f>IF(O549=1,IF(K549&lt;&gt;"",K549,IF(H549="High",AsOf,"")),"")</f>
        <v/>
      </c>
      <c r="R549" s="79">
        <f>IF(Q549="","",IF(H549="High",1,IF(Q549="","",IF(Q549&lt;AsOf,1,IF(Q549&lt;=AsOf+AlertDays,2,IF(Q549&lt;=AsOf+2*AlertDays,3,""))))))</f>
        <v/>
      </c>
      <c r="S549" s="79">
        <f>IF(R549="","",IF(H549="High","High-severity issue: ",IF(C549="Punch item","Punch item: ","Issue action due: "))&amp;F549&amp;IF(J549="",""," → "&amp;J549))</f>
        <v/>
      </c>
      <c r="T549" s="79">
        <f>IF(O549=1,IF(I549="",0,I549),0)</f>
        <v/>
      </c>
      <c r="U549" s="79">
        <f>IF(AND(O549=1,H549="High"),1,0)</f>
        <v/>
      </c>
      <c r="V549" s="79">
        <f>IF(AND(O549=1,C549="Punch item"),1,0)</f>
        <v/>
      </c>
    </row>
    <row r="550" ht="24" customHeight="1">
      <c r="B550" s="125" t="n">
        <v>543</v>
      </c>
      <c r="C550" s="72" t="n"/>
      <c r="D550" s="109" t="n"/>
      <c r="E550" s="72" t="n"/>
      <c r="F550" s="113" t="n"/>
      <c r="G550" s="72" t="n"/>
      <c r="H550" s="74" t="n"/>
      <c r="I550" s="73" t="n"/>
      <c r="J550" s="113" t="n"/>
      <c r="K550" s="109" t="n"/>
      <c r="L550" s="72" t="n"/>
      <c r="M550" s="109" t="n"/>
      <c r="N550" s="72" t="n"/>
      <c r="O550" s="79">
        <f>IF(AND(F550&lt;&gt;"",L550&lt;&gt;"Resolved"),1,0)</f>
        <v/>
      </c>
      <c r="P550" s="79">
        <f>IF(F550="","",IF(O550=0,0,IF(H550="High",2,1)))</f>
        <v/>
      </c>
      <c r="Q550" s="112">
        <f>IF(O550=1,IF(K550&lt;&gt;"",K550,IF(H550="High",AsOf,"")),"")</f>
        <v/>
      </c>
      <c r="R550" s="79">
        <f>IF(Q550="","",IF(H550="High",1,IF(Q550="","",IF(Q550&lt;AsOf,1,IF(Q550&lt;=AsOf+AlertDays,2,IF(Q550&lt;=AsOf+2*AlertDays,3,""))))))</f>
        <v/>
      </c>
      <c r="S550" s="79">
        <f>IF(R550="","",IF(H550="High","High-severity issue: ",IF(C550="Punch item","Punch item: ","Issue action due: "))&amp;F550&amp;IF(J550="",""," → "&amp;J550))</f>
        <v/>
      </c>
      <c r="T550" s="79">
        <f>IF(O550=1,IF(I550="",0,I550),0)</f>
        <v/>
      </c>
      <c r="U550" s="79">
        <f>IF(AND(O550=1,H550="High"),1,0)</f>
        <v/>
      </c>
      <c r="V550" s="79">
        <f>IF(AND(O550=1,C550="Punch item"),1,0)</f>
        <v/>
      </c>
    </row>
    <row r="551" ht="24" customHeight="1">
      <c r="B551" s="125" t="n">
        <v>544</v>
      </c>
      <c r="C551" s="72" t="n"/>
      <c r="D551" s="109" t="n"/>
      <c r="E551" s="72" t="n"/>
      <c r="F551" s="113" t="n"/>
      <c r="G551" s="72" t="n"/>
      <c r="H551" s="74" t="n"/>
      <c r="I551" s="73" t="n"/>
      <c r="J551" s="113" t="n"/>
      <c r="K551" s="109" t="n"/>
      <c r="L551" s="72" t="n"/>
      <c r="M551" s="109" t="n"/>
      <c r="N551" s="72" t="n"/>
      <c r="O551" s="79">
        <f>IF(AND(F551&lt;&gt;"",L551&lt;&gt;"Resolved"),1,0)</f>
        <v/>
      </c>
      <c r="P551" s="79">
        <f>IF(F551="","",IF(O551=0,0,IF(H551="High",2,1)))</f>
        <v/>
      </c>
      <c r="Q551" s="112">
        <f>IF(O551=1,IF(K551&lt;&gt;"",K551,IF(H551="High",AsOf,"")),"")</f>
        <v/>
      </c>
      <c r="R551" s="79">
        <f>IF(Q551="","",IF(H551="High",1,IF(Q551="","",IF(Q551&lt;AsOf,1,IF(Q551&lt;=AsOf+AlertDays,2,IF(Q551&lt;=AsOf+2*AlertDays,3,""))))))</f>
        <v/>
      </c>
      <c r="S551" s="79">
        <f>IF(R551="","",IF(H551="High","High-severity issue: ",IF(C551="Punch item","Punch item: ","Issue action due: "))&amp;F551&amp;IF(J551="",""," → "&amp;J551))</f>
        <v/>
      </c>
      <c r="T551" s="79">
        <f>IF(O551=1,IF(I551="",0,I551),0)</f>
        <v/>
      </c>
      <c r="U551" s="79">
        <f>IF(AND(O551=1,H551="High"),1,0)</f>
        <v/>
      </c>
      <c r="V551" s="79">
        <f>IF(AND(O551=1,C551="Punch item"),1,0)</f>
        <v/>
      </c>
    </row>
    <row r="552" ht="24" customHeight="1">
      <c r="B552" s="125" t="n">
        <v>545</v>
      </c>
      <c r="C552" s="72" t="n"/>
      <c r="D552" s="109" t="n"/>
      <c r="E552" s="72" t="n"/>
      <c r="F552" s="113" t="n"/>
      <c r="G552" s="72" t="n"/>
      <c r="H552" s="74" t="n"/>
      <c r="I552" s="73" t="n"/>
      <c r="J552" s="113" t="n"/>
      <c r="K552" s="109" t="n"/>
      <c r="L552" s="72" t="n"/>
      <c r="M552" s="109" t="n"/>
      <c r="N552" s="72" t="n"/>
      <c r="O552" s="79">
        <f>IF(AND(F552&lt;&gt;"",L552&lt;&gt;"Resolved"),1,0)</f>
        <v/>
      </c>
      <c r="P552" s="79">
        <f>IF(F552="","",IF(O552=0,0,IF(H552="High",2,1)))</f>
        <v/>
      </c>
      <c r="Q552" s="112">
        <f>IF(O552=1,IF(K552&lt;&gt;"",K552,IF(H552="High",AsOf,"")),"")</f>
        <v/>
      </c>
      <c r="R552" s="79">
        <f>IF(Q552="","",IF(H552="High",1,IF(Q552="","",IF(Q552&lt;AsOf,1,IF(Q552&lt;=AsOf+AlertDays,2,IF(Q552&lt;=AsOf+2*AlertDays,3,""))))))</f>
        <v/>
      </c>
      <c r="S552" s="79">
        <f>IF(R552="","",IF(H552="High","High-severity issue: ",IF(C552="Punch item","Punch item: ","Issue action due: "))&amp;F552&amp;IF(J552="",""," → "&amp;J552))</f>
        <v/>
      </c>
      <c r="T552" s="79">
        <f>IF(O552=1,IF(I552="",0,I552),0)</f>
        <v/>
      </c>
      <c r="U552" s="79">
        <f>IF(AND(O552=1,H552="High"),1,0)</f>
        <v/>
      </c>
      <c r="V552" s="79">
        <f>IF(AND(O552=1,C552="Punch item"),1,0)</f>
        <v/>
      </c>
    </row>
    <row r="553" ht="24" customHeight="1">
      <c r="B553" s="125" t="n">
        <v>546</v>
      </c>
      <c r="C553" s="72" t="n"/>
      <c r="D553" s="109" t="n"/>
      <c r="E553" s="72" t="n"/>
      <c r="F553" s="113" t="n"/>
      <c r="G553" s="72" t="n"/>
      <c r="H553" s="74" t="n"/>
      <c r="I553" s="73" t="n"/>
      <c r="J553" s="113" t="n"/>
      <c r="K553" s="109" t="n"/>
      <c r="L553" s="72" t="n"/>
      <c r="M553" s="109" t="n"/>
      <c r="N553" s="72" t="n"/>
      <c r="O553" s="79">
        <f>IF(AND(F553&lt;&gt;"",L553&lt;&gt;"Resolved"),1,0)</f>
        <v/>
      </c>
      <c r="P553" s="79">
        <f>IF(F553="","",IF(O553=0,0,IF(H553="High",2,1)))</f>
        <v/>
      </c>
      <c r="Q553" s="112">
        <f>IF(O553=1,IF(K553&lt;&gt;"",K553,IF(H553="High",AsOf,"")),"")</f>
        <v/>
      </c>
      <c r="R553" s="79">
        <f>IF(Q553="","",IF(H553="High",1,IF(Q553="","",IF(Q553&lt;AsOf,1,IF(Q553&lt;=AsOf+AlertDays,2,IF(Q553&lt;=AsOf+2*AlertDays,3,""))))))</f>
        <v/>
      </c>
      <c r="S553" s="79">
        <f>IF(R553="","",IF(H553="High","High-severity issue: ",IF(C553="Punch item","Punch item: ","Issue action due: "))&amp;F553&amp;IF(J553="",""," → "&amp;J553))</f>
        <v/>
      </c>
      <c r="T553" s="79">
        <f>IF(O553=1,IF(I553="",0,I553),0)</f>
        <v/>
      </c>
      <c r="U553" s="79">
        <f>IF(AND(O553=1,H553="High"),1,0)</f>
        <v/>
      </c>
      <c r="V553" s="79">
        <f>IF(AND(O553=1,C553="Punch item"),1,0)</f>
        <v/>
      </c>
    </row>
    <row r="554" ht="24" customHeight="1">
      <c r="B554" s="125" t="n">
        <v>547</v>
      </c>
      <c r="C554" s="72" t="n"/>
      <c r="D554" s="109" t="n"/>
      <c r="E554" s="72" t="n"/>
      <c r="F554" s="113" t="n"/>
      <c r="G554" s="72" t="n"/>
      <c r="H554" s="74" t="n"/>
      <c r="I554" s="73" t="n"/>
      <c r="J554" s="113" t="n"/>
      <c r="K554" s="109" t="n"/>
      <c r="L554" s="72" t="n"/>
      <c r="M554" s="109" t="n"/>
      <c r="N554" s="72" t="n"/>
      <c r="O554" s="79">
        <f>IF(AND(F554&lt;&gt;"",L554&lt;&gt;"Resolved"),1,0)</f>
        <v/>
      </c>
      <c r="P554" s="79">
        <f>IF(F554="","",IF(O554=0,0,IF(H554="High",2,1)))</f>
        <v/>
      </c>
      <c r="Q554" s="112">
        <f>IF(O554=1,IF(K554&lt;&gt;"",K554,IF(H554="High",AsOf,"")),"")</f>
        <v/>
      </c>
      <c r="R554" s="79">
        <f>IF(Q554="","",IF(H554="High",1,IF(Q554="","",IF(Q554&lt;AsOf,1,IF(Q554&lt;=AsOf+AlertDays,2,IF(Q554&lt;=AsOf+2*AlertDays,3,""))))))</f>
        <v/>
      </c>
      <c r="S554" s="79">
        <f>IF(R554="","",IF(H554="High","High-severity issue: ",IF(C554="Punch item","Punch item: ","Issue action due: "))&amp;F554&amp;IF(J554="",""," → "&amp;J554))</f>
        <v/>
      </c>
      <c r="T554" s="79">
        <f>IF(O554=1,IF(I554="",0,I554),0)</f>
        <v/>
      </c>
      <c r="U554" s="79">
        <f>IF(AND(O554=1,H554="High"),1,0)</f>
        <v/>
      </c>
      <c r="V554" s="79">
        <f>IF(AND(O554=1,C554="Punch item"),1,0)</f>
        <v/>
      </c>
    </row>
    <row r="555" ht="24" customHeight="1">
      <c r="B555" s="125" t="n">
        <v>548</v>
      </c>
      <c r="C555" s="72" t="n"/>
      <c r="D555" s="109" t="n"/>
      <c r="E555" s="72" t="n"/>
      <c r="F555" s="113" t="n"/>
      <c r="G555" s="72" t="n"/>
      <c r="H555" s="74" t="n"/>
      <c r="I555" s="73" t="n"/>
      <c r="J555" s="113" t="n"/>
      <c r="K555" s="109" t="n"/>
      <c r="L555" s="72" t="n"/>
      <c r="M555" s="109" t="n"/>
      <c r="N555" s="72" t="n"/>
      <c r="O555" s="79">
        <f>IF(AND(F555&lt;&gt;"",L555&lt;&gt;"Resolved"),1,0)</f>
        <v/>
      </c>
      <c r="P555" s="79">
        <f>IF(F555="","",IF(O555=0,0,IF(H555="High",2,1)))</f>
        <v/>
      </c>
      <c r="Q555" s="112">
        <f>IF(O555=1,IF(K555&lt;&gt;"",K555,IF(H555="High",AsOf,"")),"")</f>
        <v/>
      </c>
      <c r="R555" s="79">
        <f>IF(Q555="","",IF(H555="High",1,IF(Q555="","",IF(Q555&lt;AsOf,1,IF(Q555&lt;=AsOf+AlertDays,2,IF(Q555&lt;=AsOf+2*AlertDays,3,""))))))</f>
        <v/>
      </c>
      <c r="S555" s="79">
        <f>IF(R555="","",IF(H555="High","High-severity issue: ",IF(C555="Punch item","Punch item: ","Issue action due: "))&amp;F555&amp;IF(J555="",""," → "&amp;J555))</f>
        <v/>
      </c>
      <c r="T555" s="79">
        <f>IF(O555=1,IF(I555="",0,I555),0)</f>
        <v/>
      </c>
      <c r="U555" s="79">
        <f>IF(AND(O555=1,H555="High"),1,0)</f>
        <v/>
      </c>
      <c r="V555" s="79">
        <f>IF(AND(O555=1,C555="Punch item"),1,0)</f>
        <v/>
      </c>
    </row>
    <row r="556" ht="24" customHeight="1">
      <c r="B556" s="125" t="n">
        <v>549</v>
      </c>
      <c r="C556" s="72" t="n"/>
      <c r="D556" s="109" t="n"/>
      <c r="E556" s="72" t="n"/>
      <c r="F556" s="113" t="n"/>
      <c r="G556" s="72" t="n"/>
      <c r="H556" s="74" t="n"/>
      <c r="I556" s="73" t="n"/>
      <c r="J556" s="113" t="n"/>
      <c r="K556" s="109" t="n"/>
      <c r="L556" s="72" t="n"/>
      <c r="M556" s="109" t="n"/>
      <c r="N556" s="72" t="n"/>
      <c r="O556" s="79">
        <f>IF(AND(F556&lt;&gt;"",L556&lt;&gt;"Resolved"),1,0)</f>
        <v/>
      </c>
      <c r="P556" s="79">
        <f>IF(F556="","",IF(O556=0,0,IF(H556="High",2,1)))</f>
        <v/>
      </c>
      <c r="Q556" s="112">
        <f>IF(O556=1,IF(K556&lt;&gt;"",K556,IF(H556="High",AsOf,"")),"")</f>
        <v/>
      </c>
      <c r="R556" s="79">
        <f>IF(Q556="","",IF(H556="High",1,IF(Q556="","",IF(Q556&lt;AsOf,1,IF(Q556&lt;=AsOf+AlertDays,2,IF(Q556&lt;=AsOf+2*AlertDays,3,""))))))</f>
        <v/>
      </c>
      <c r="S556" s="79">
        <f>IF(R556="","",IF(H556="High","High-severity issue: ",IF(C556="Punch item","Punch item: ","Issue action due: "))&amp;F556&amp;IF(J556="",""," → "&amp;J556))</f>
        <v/>
      </c>
      <c r="T556" s="79">
        <f>IF(O556=1,IF(I556="",0,I556),0)</f>
        <v/>
      </c>
      <c r="U556" s="79">
        <f>IF(AND(O556=1,H556="High"),1,0)</f>
        <v/>
      </c>
      <c r="V556" s="79">
        <f>IF(AND(O556=1,C556="Punch item"),1,0)</f>
        <v/>
      </c>
    </row>
    <row r="557" ht="24" customHeight="1">
      <c r="B557" s="125" t="n">
        <v>550</v>
      </c>
      <c r="C557" s="72" t="n"/>
      <c r="D557" s="109" t="n"/>
      <c r="E557" s="72" t="n"/>
      <c r="F557" s="113" t="n"/>
      <c r="G557" s="72" t="n"/>
      <c r="H557" s="74" t="n"/>
      <c r="I557" s="73" t="n"/>
      <c r="J557" s="113" t="n"/>
      <c r="K557" s="109" t="n"/>
      <c r="L557" s="72" t="n"/>
      <c r="M557" s="109" t="n"/>
      <c r="N557" s="72" t="n"/>
      <c r="O557" s="79">
        <f>IF(AND(F557&lt;&gt;"",L557&lt;&gt;"Resolved"),1,0)</f>
        <v/>
      </c>
      <c r="P557" s="79">
        <f>IF(F557="","",IF(O557=0,0,IF(H557="High",2,1)))</f>
        <v/>
      </c>
      <c r="Q557" s="112">
        <f>IF(O557=1,IF(K557&lt;&gt;"",K557,IF(H557="High",AsOf,"")),"")</f>
        <v/>
      </c>
      <c r="R557" s="79">
        <f>IF(Q557="","",IF(H557="High",1,IF(Q557="","",IF(Q557&lt;AsOf,1,IF(Q557&lt;=AsOf+AlertDays,2,IF(Q557&lt;=AsOf+2*AlertDays,3,""))))))</f>
        <v/>
      </c>
      <c r="S557" s="79">
        <f>IF(R557="","",IF(H557="High","High-severity issue: ",IF(C557="Punch item","Punch item: ","Issue action due: "))&amp;F557&amp;IF(J557="",""," → "&amp;J557))</f>
        <v/>
      </c>
      <c r="T557" s="79">
        <f>IF(O557=1,IF(I557="",0,I557),0)</f>
        <v/>
      </c>
      <c r="U557" s="79">
        <f>IF(AND(O557=1,H557="High"),1,0)</f>
        <v/>
      </c>
      <c r="V557" s="79">
        <f>IF(AND(O557=1,C557="Punch item"),1,0)</f>
        <v/>
      </c>
    </row>
    <row r="558" ht="24" customHeight="1">
      <c r="B558" s="125" t="n">
        <v>551</v>
      </c>
      <c r="C558" s="72" t="n"/>
      <c r="D558" s="109" t="n"/>
      <c r="E558" s="72" t="n"/>
      <c r="F558" s="113" t="n"/>
      <c r="G558" s="72" t="n"/>
      <c r="H558" s="74" t="n"/>
      <c r="I558" s="73" t="n"/>
      <c r="J558" s="113" t="n"/>
      <c r="K558" s="109" t="n"/>
      <c r="L558" s="72" t="n"/>
      <c r="M558" s="109" t="n"/>
      <c r="N558" s="72" t="n"/>
      <c r="O558" s="79">
        <f>IF(AND(F558&lt;&gt;"",L558&lt;&gt;"Resolved"),1,0)</f>
        <v/>
      </c>
      <c r="P558" s="79">
        <f>IF(F558="","",IF(O558=0,0,IF(H558="High",2,1)))</f>
        <v/>
      </c>
      <c r="Q558" s="112">
        <f>IF(O558=1,IF(K558&lt;&gt;"",K558,IF(H558="High",AsOf,"")),"")</f>
        <v/>
      </c>
      <c r="R558" s="79">
        <f>IF(Q558="","",IF(H558="High",1,IF(Q558="","",IF(Q558&lt;AsOf,1,IF(Q558&lt;=AsOf+AlertDays,2,IF(Q558&lt;=AsOf+2*AlertDays,3,""))))))</f>
        <v/>
      </c>
      <c r="S558" s="79">
        <f>IF(R558="","",IF(H558="High","High-severity issue: ",IF(C558="Punch item","Punch item: ","Issue action due: "))&amp;F558&amp;IF(J558="",""," → "&amp;J558))</f>
        <v/>
      </c>
      <c r="T558" s="79">
        <f>IF(O558=1,IF(I558="",0,I558),0)</f>
        <v/>
      </c>
      <c r="U558" s="79">
        <f>IF(AND(O558=1,H558="High"),1,0)</f>
        <v/>
      </c>
      <c r="V558" s="79">
        <f>IF(AND(O558=1,C558="Punch item"),1,0)</f>
        <v/>
      </c>
    </row>
    <row r="559" ht="24" customHeight="1">
      <c r="B559" s="125" t="n">
        <v>552</v>
      </c>
      <c r="C559" s="72" t="n"/>
      <c r="D559" s="109" t="n"/>
      <c r="E559" s="72" t="n"/>
      <c r="F559" s="113" t="n"/>
      <c r="G559" s="72" t="n"/>
      <c r="H559" s="74" t="n"/>
      <c r="I559" s="73" t="n"/>
      <c r="J559" s="113" t="n"/>
      <c r="K559" s="109" t="n"/>
      <c r="L559" s="72" t="n"/>
      <c r="M559" s="109" t="n"/>
      <c r="N559" s="72" t="n"/>
      <c r="O559" s="79">
        <f>IF(AND(F559&lt;&gt;"",L559&lt;&gt;"Resolved"),1,0)</f>
        <v/>
      </c>
      <c r="P559" s="79">
        <f>IF(F559="","",IF(O559=0,0,IF(H559="High",2,1)))</f>
        <v/>
      </c>
      <c r="Q559" s="112">
        <f>IF(O559=1,IF(K559&lt;&gt;"",K559,IF(H559="High",AsOf,"")),"")</f>
        <v/>
      </c>
      <c r="R559" s="79">
        <f>IF(Q559="","",IF(H559="High",1,IF(Q559="","",IF(Q559&lt;AsOf,1,IF(Q559&lt;=AsOf+AlertDays,2,IF(Q559&lt;=AsOf+2*AlertDays,3,""))))))</f>
        <v/>
      </c>
      <c r="S559" s="79">
        <f>IF(R559="","",IF(H559="High","High-severity issue: ",IF(C559="Punch item","Punch item: ","Issue action due: "))&amp;F559&amp;IF(J559="",""," → "&amp;J559))</f>
        <v/>
      </c>
      <c r="T559" s="79">
        <f>IF(O559=1,IF(I559="",0,I559),0)</f>
        <v/>
      </c>
      <c r="U559" s="79">
        <f>IF(AND(O559=1,H559="High"),1,0)</f>
        <v/>
      </c>
      <c r="V559" s="79">
        <f>IF(AND(O559=1,C559="Punch item"),1,0)</f>
        <v/>
      </c>
    </row>
    <row r="560" ht="24" customHeight="1">
      <c r="B560" s="125" t="n">
        <v>553</v>
      </c>
      <c r="C560" s="72" t="n"/>
      <c r="D560" s="109" t="n"/>
      <c r="E560" s="72" t="n"/>
      <c r="F560" s="113" t="n"/>
      <c r="G560" s="72" t="n"/>
      <c r="H560" s="74" t="n"/>
      <c r="I560" s="73" t="n"/>
      <c r="J560" s="113" t="n"/>
      <c r="K560" s="109" t="n"/>
      <c r="L560" s="72" t="n"/>
      <c r="M560" s="109" t="n"/>
      <c r="N560" s="72" t="n"/>
      <c r="O560" s="79">
        <f>IF(AND(F560&lt;&gt;"",L560&lt;&gt;"Resolved"),1,0)</f>
        <v/>
      </c>
      <c r="P560" s="79">
        <f>IF(F560="","",IF(O560=0,0,IF(H560="High",2,1)))</f>
        <v/>
      </c>
      <c r="Q560" s="112">
        <f>IF(O560=1,IF(K560&lt;&gt;"",K560,IF(H560="High",AsOf,"")),"")</f>
        <v/>
      </c>
      <c r="R560" s="79">
        <f>IF(Q560="","",IF(H560="High",1,IF(Q560="","",IF(Q560&lt;AsOf,1,IF(Q560&lt;=AsOf+AlertDays,2,IF(Q560&lt;=AsOf+2*AlertDays,3,""))))))</f>
        <v/>
      </c>
      <c r="S560" s="79">
        <f>IF(R560="","",IF(H560="High","High-severity issue: ",IF(C560="Punch item","Punch item: ","Issue action due: "))&amp;F560&amp;IF(J560="",""," → "&amp;J560))</f>
        <v/>
      </c>
      <c r="T560" s="79">
        <f>IF(O560=1,IF(I560="",0,I560),0)</f>
        <v/>
      </c>
      <c r="U560" s="79">
        <f>IF(AND(O560=1,H560="High"),1,0)</f>
        <v/>
      </c>
      <c r="V560" s="79">
        <f>IF(AND(O560=1,C560="Punch item"),1,0)</f>
        <v/>
      </c>
    </row>
    <row r="561" ht="24" customHeight="1">
      <c r="B561" s="125" t="n">
        <v>554</v>
      </c>
      <c r="C561" s="72" t="n"/>
      <c r="D561" s="109" t="n"/>
      <c r="E561" s="72" t="n"/>
      <c r="F561" s="113" t="n"/>
      <c r="G561" s="72" t="n"/>
      <c r="H561" s="74" t="n"/>
      <c r="I561" s="73" t="n"/>
      <c r="J561" s="113" t="n"/>
      <c r="K561" s="109" t="n"/>
      <c r="L561" s="72" t="n"/>
      <c r="M561" s="109" t="n"/>
      <c r="N561" s="72" t="n"/>
      <c r="O561" s="79">
        <f>IF(AND(F561&lt;&gt;"",L561&lt;&gt;"Resolved"),1,0)</f>
        <v/>
      </c>
      <c r="P561" s="79">
        <f>IF(F561="","",IF(O561=0,0,IF(H561="High",2,1)))</f>
        <v/>
      </c>
      <c r="Q561" s="112">
        <f>IF(O561=1,IF(K561&lt;&gt;"",K561,IF(H561="High",AsOf,"")),"")</f>
        <v/>
      </c>
      <c r="R561" s="79">
        <f>IF(Q561="","",IF(H561="High",1,IF(Q561="","",IF(Q561&lt;AsOf,1,IF(Q561&lt;=AsOf+AlertDays,2,IF(Q561&lt;=AsOf+2*AlertDays,3,""))))))</f>
        <v/>
      </c>
      <c r="S561" s="79">
        <f>IF(R561="","",IF(H561="High","High-severity issue: ",IF(C561="Punch item","Punch item: ","Issue action due: "))&amp;F561&amp;IF(J561="",""," → "&amp;J561))</f>
        <v/>
      </c>
      <c r="T561" s="79">
        <f>IF(O561=1,IF(I561="",0,I561),0)</f>
        <v/>
      </c>
      <c r="U561" s="79">
        <f>IF(AND(O561=1,H561="High"),1,0)</f>
        <v/>
      </c>
      <c r="V561" s="79">
        <f>IF(AND(O561=1,C561="Punch item"),1,0)</f>
        <v/>
      </c>
    </row>
    <row r="562" ht="24" customHeight="1">
      <c r="B562" s="125" t="n">
        <v>555</v>
      </c>
      <c r="C562" s="72" t="n"/>
      <c r="D562" s="109" t="n"/>
      <c r="E562" s="72" t="n"/>
      <c r="F562" s="113" t="n"/>
      <c r="G562" s="72" t="n"/>
      <c r="H562" s="74" t="n"/>
      <c r="I562" s="73" t="n"/>
      <c r="J562" s="113" t="n"/>
      <c r="K562" s="109" t="n"/>
      <c r="L562" s="72" t="n"/>
      <c r="M562" s="109" t="n"/>
      <c r="N562" s="72" t="n"/>
      <c r="O562" s="79">
        <f>IF(AND(F562&lt;&gt;"",L562&lt;&gt;"Resolved"),1,0)</f>
        <v/>
      </c>
      <c r="P562" s="79">
        <f>IF(F562="","",IF(O562=0,0,IF(H562="High",2,1)))</f>
        <v/>
      </c>
      <c r="Q562" s="112">
        <f>IF(O562=1,IF(K562&lt;&gt;"",K562,IF(H562="High",AsOf,"")),"")</f>
        <v/>
      </c>
      <c r="R562" s="79">
        <f>IF(Q562="","",IF(H562="High",1,IF(Q562="","",IF(Q562&lt;AsOf,1,IF(Q562&lt;=AsOf+AlertDays,2,IF(Q562&lt;=AsOf+2*AlertDays,3,""))))))</f>
        <v/>
      </c>
      <c r="S562" s="79">
        <f>IF(R562="","",IF(H562="High","High-severity issue: ",IF(C562="Punch item","Punch item: ","Issue action due: "))&amp;F562&amp;IF(J562="",""," → "&amp;J562))</f>
        <v/>
      </c>
      <c r="T562" s="79">
        <f>IF(O562=1,IF(I562="",0,I562),0)</f>
        <v/>
      </c>
      <c r="U562" s="79">
        <f>IF(AND(O562=1,H562="High"),1,0)</f>
        <v/>
      </c>
      <c r="V562" s="79">
        <f>IF(AND(O562=1,C562="Punch item"),1,0)</f>
        <v/>
      </c>
    </row>
    <row r="563" ht="24" customHeight="1">
      <c r="B563" s="125" t="n">
        <v>556</v>
      </c>
      <c r="C563" s="72" t="n"/>
      <c r="D563" s="109" t="n"/>
      <c r="E563" s="72" t="n"/>
      <c r="F563" s="113" t="n"/>
      <c r="G563" s="72" t="n"/>
      <c r="H563" s="74" t="n"/>
      <c r="I563" s="73" t="n"/>
      <c r="J563" s="113" t="n"/>
      <c r="K563" s="109" t="n"/>
      <c r="L563" s="72" t="n"/>
      <c r="M563" s="109" t="n"/>
      <c r="N563" s="72" t="n"/>
      <c r="O563" s="79">
        <f>IF(AND(F563&lt;&gt;"",L563&lt;&gt;"Resolved"),1,0)</f>
        <v/>
      </c>
      <c r="P563" s="79">
        <f>IF(F563="","",IF(O563=0,0,IF(H563="High",2,1)))</f>
        <v/>
      </c>
      <c r="Q563" s="112">
        <f>IF(O563=1,IF(K563&lt;&gt;"",K563,IF(H563="High",AsOf,"")),"")</f>
        <v/>
      </c>
      <c r="R563" s="79">
        <f>IF(Q563="","",IF(H563="High",1,IF(Q563="","",IF(Q563&lt;AsOf,1,IF(Q563&lt;=AsOf+AlertDays,2,IF(Q563&lt;=AsOf+2*AlertDays,3,""))))))</f>
        <v/>
      </c>
      <c r="S563" s="79">
        <f>IF(R563="","",IF(H563="High","High-severity issue: ",IF(C563="Punch item","Punch item: ","Issue action due: "))&amp;F563&amp;IF(J563="",""," → "&amp;J563))</f>
        <v/>
      </c>
      <c r="T563" s="79">
        <f>IF(O563=1,IF(I563="",0,I563),0)</f>
        <v/>
      </c>
      <c r="U563" s="79">
        <f>IF(AND(O563=1,H563="High"),1,0)</f>
        <v/>
      </c>
      <c r="V563" s="79">
        <f>IF(AND(O563=1,C563="Punch item"),1,0)</f>
        <v/>
      </c>
    </row>
    <row r="564" ht="24" customHeight="1">
      <c r="B564" s="125" t="n">
        <v>557</v>
      </c>
      <c r="C564" s="72" t="n"/>
      <c r="D564" s="109" t="n"/>
      <c r="E564" s="72" t="n"/>
      <c r="F564" s="113" t="n"/>
      <c r="G564" s="72" t="n"/>
      <c r="H564" s="74" t="n"/>
      <c r="I564" s="73" t="n"/>
      <c r="J564" s="113" t="n"/>
      <c r="K564" s="109" t="n"/>
      <c r="L564" s="72" t="n"/>
      <c r="M564" s="109" t="n"/>
      <c r="N564" s="72" t="n"/>
      <c r="O564" s="79">
        <f>IF(AND(F564&lt;&gt;"",L564&lt;&gt;"Resolved"),1,0)</f>
        <v/>
      </c>
      <c r="P564" s="79">
        <f>IF(F564="","",IF(O564=0,0,IF(H564="High",2,1)))</f>
        <v/>
      </c>
      <c r="Q564" s="112">
        <f>IF(O564=1,IF(K564&lt;&gt;"",K564,IF(H564="High",AsOf,"")),"")</f>
        <v/>
      </c>
      <c r="R564" s="79">
        <f>IF(Q564="","",IF(H564="High",1,IF(Q564="","",IF(Q564&lt;AsOf,1,IF(Q564&lt;=AsOf+AlertDays,2,IF(Q564&lt;=AsOf+2*AlertDays,3,""))))))</f>
        <v/>
      </c>
      <c r="S564" s="79">
        <f>IF(R564="","",IF(H564="High","High-severity issue: ",IF(C564="Punch item","Punch item: ","Issue action due: "))&amp;F564&amp;IF(J564="",""," → "&amp;J564))</f>
        <v/>
      </c>
      <c r="T564" s="79">
        <f>IF(O564=1,IF(I564="",0,I564),0)</f>
        <v/>
      </c>
      <c r="U564" s="79">
        <f>IF(AND(O564=1,H564="High"),1,0)</f>
        <v/>
      </c>
      <c r="V564" s="79">
        <f>IF(AND(O564=1,C564="Punch item"),1,0)</f>
        <v/>
      </c>
    </row>
    <row r="565" ht="24" customHeight="1">
      <c r="B565" s="125" t="n">
        <v>558</v>
      </c>
      <c r="C565" s="72" t="n"/>
      <c r="D565" s="109" t="n"/>
      <c r="E565" s="72" t="n"/>
      <c r="F565" s="113" t="n"/>
      <c r="G565" s="72" t="n"/>
      <c r="H565" s="74" t="n"/>
      <c r="I565" s="73" t="n"/>
      <c r="J565" s="113" t="n"/>
      <c r="K565" s="109" t="n"/>
      <c r="L565" s="72" t="n"/>
      <c r="M565" s="109" t="n"/>
      <c r="N565" s="72" t="n"/>
      <c r="O565" s="79">
        <f>IF(AND(F565&lt;&gt;"",L565&lt;&gt;"Resolved"),1,0)</f>
        <v/>
      </c>
      <c r="P565" s="79">
        <f>IF(F565="","",IF(O565=0,0,IF(H565="High",2,1)))</f>
        <v/>
      </c>
      <c r="Q565" s="112">
        <f>IF(O565=1,IF(K565&lt;&gt;"",K565,IF(H565="High",AsOf,"")),"")</f>
        <v/>
      </c>
      <c r="R565" s="79">
        <f>IF(Q565="","",IF(H565="High",1,IF(Q565="","",IF(Q565&lt;AsOf,1,IF(Q565&lt;=AsOf+AlertDays,2,IF(Q565&lt;=AsOf+2*AlertDays,3,""))))))</f>
        <v/>
      </c>
      <c r="S565" s="79">
        <f>IF(R565="","",IF(H565="High","High-severity issue: ",IF(C565="Punch item","Punch item: ","Issue action due: "))&amp;F565&amp;IF(J565="",""," → "&amp;J565))</f>
        <v/>
      </c>
      <c r="T565" s="79">
        <f>IF(O565=1,IF(I565="",0,I565),0)</f>
        <v/>
      </c>
      <c r="U565" s="79">
        <f>IF(AND(O565=1,H565="High"),1,0)</f>
        <v/>
      </c>
      <c r="V565" s="79">
        <f>IF(AND(O565=1,C565="Punch item"),1,0)</f>
        <v/>
      </c>
    </row>
    <row r="566" ht="24" customHeight="1">
      <c r="B566" s="125" t="n">
        <v>559</v>
      </c>
      <c r="C566" s="72" t="n"/>
      <c r="D566" s="109" t="n"/>
      <c r="E566" s="72" t="n"/>
      <c r="F566" s="113" t="n"/>
      <c r="G566" s="72" t="n"/>
      <c r="H566" s="74" t="n"/>
      <c r="I566" s="73" t="n"/>
      <c r="J566" s="113" t="n"/>
      <c r="K566" s="109" t="n"/>
      <c r="L566" s="72" t="n"/>
      <c r="M566" s="109" t="n"/>
      <c r="N566" s="72" t="n"/>
      <c r="O566" s="79">
        <f>IF(AND(F566&lt;&gt;"",L566&lt;&gt;"Resolved"),1,0)</f>
        <v/>
      </c>
      <c r="P566" s="79">
        <f>IF(F566="","",IF(O566=0,0,IF(H566="High",2,1)))</f>
        <v/>
      </c>
      <c r="Q566" s="112">
        <f>IF(O566=1,IF(K566&lt;&gt;"",K566,IF(H566="High",AsOf,"")),"")</f>
        <v/>
      </c>
      <c r="R566" s="79">
        <f>IF(Q566="","",IF(H566="High",1,IF(Q566="","",IF(Q566&lt;AsOf,1,IF(Q566&lt;=AsOf+AlertDays,2,IF(Q566&lt;=AsOf+2*AlertDays,3,""))))))</f>
        <v/>
      </c>
      <c r="S566" s="79">
        <f>IF(R566="","",IF(H566="High","High-severity issue: ",IF(C566="Punch item","Punch item: ","Issue action due: "))&amp;F566&amp;IF(J566="",""," → "&amp;J566))</f>
        <v/>
      </c>
      <c r="T566" s="79">
        <f>IF(O566=1,IF(I566="",0,I566),0)</f>
        <v/>
      </c>
      <c r="U566" s="79">
        <f>IF(AND(O566=1,H566="High"),1,0)</f>
        <v/>
      </c>
      <c r="V566" s="79">
        <f>IF(AND(O566=1,C566="Punch item"),1,0)</f>
        <v/>
      </c>
    </row>
    <row r="567" ht="24" customHeight="1">
      <c r="B567" s="125" t="n">
        <v>560</v>
      </c>
      <c r="C567" s="72" t="n"/>
      <c r="D567" s="109" t="n"/>
      <c r="E567" s="72" t="n"/>
      <c r="F567" s="113" t="n"/>
      <c r="G567" s="72" t="n"/>
      <c r="H567" s="74" t="n"/>
      <c r="I567" s="73" t="n"/>
      <c r="J567" s="113" t="n"/>
      <c r="K567" s="109" t="n"/>
      <c r="L567" s="72" t="n"/>
      <c r="M567" s="109" t="n"/>
      <c r="N567" s="72" t="n"/>
      <c r="O567" s="79">
        <f>IF(AND(F567&lt;&gt;"",L567&lt;&gt;"Resolved"),1,0)</f>
        <v/>
      </c>
      <c r="P567" s="79">
        <f>IF(F567="","",IF(O567=0,0,IF(H567="High",2,1)))</f>
        <v/>
      </c>
      <c r="Q567" s="112">
        <f>IF(O567=1,IF(K567&lt;&gt;"",K567,IF(H567="High",AsOf,"")),"")</f>
        <v/>
      </c>
      <c r="R567" s="79">
        <f>IF(Q567="","",IF(H567="High",1,IF(Q567="","",IF(Q567&lt;AsOf,1,IF(Q567&lt;=AsOf+AlertDays,2,IF(Q567&lt;=AsOf+2*AlertDays,3,""))))))</f>
        <v/>
      </c>
      <c r="S567" s="79">
        <f>IF(R567="","",IF(H567="High","High-severity issue: ",IF(C567="Punch item","Punch item: ","Issue action due: "))&amp;F567&amp;IF(J567="",""," → "&amp;J567))</f>
        <v/>
      </c>
      <c r="T567" s="79">
        <f>IF(O567=1,IF(I567="",0,I567),0)</f>
        <v/>
      </c>
      <c r="U567" s="79">
        <f>IF(AND(O567=1,H567="High"),1,0)</f>
        <v/>
      </c>
      <c r="V567" s="79">
        <f>IF(AND(O567=1,C567="Punch item"),1,0)</f>
        <v/>
      </c>
    </row>
    <row r="568" ht="24" customHeight="1">
      <c r="B568" s="125" t="n">
        <v>561</v>
      </c>
      <c r="C568" s="72" t="n"/>
      <c r="D568" s="109" t="n"/>
      <c r="E568" s="72" t="n"/>
      <c r="F568" s="113" t="n"/>
      <c r="G568" s="72" t="n"/>
      <c r="H568" s="74" t="n"/>
      <c r="I568" s="73" t="n"/>
      <c r="J568" s="113" t="n"/>
      <c r="K568" s="109" t="n"/>
      <c r="L568" s="72" t="n"/>
      <c r="M568" s="109" t="n"/>
      <c r="N568" s="72" t="n"/>
      <c r="O568" s="79">
        <f>IF(AND(F568&lt;&gt;"",L568&lt;&gt;"Resolved"),1,0)</f>
        <v/>
      </c>
      <c r="P568" s="79">
        <f>IF(F568="","",IF(O568=0,0,IF(H568="High",2,1)))</f>
        <v/>
      </c>
      <c r="Q568" s="112">
        <f>IF(O568=1,IF(K568&lt;&gt;"",K568,IF(H568="High",AsOf,"")),"")</f>
        <v/>
      </c>
      <c r="R568" s="79">
        <f>IF(Q568="","",IF(H568="High",1,IF(Q568="","",IF(Q568&lt;AsOf,1,IF(Q568&lt;=AsOf+AlertDays,2,IF(Q568&lt;=AsOf+2*AlertDays,3,""))))))</f>
        <v/>
      </c>
      <c r="S568" s="79">
        <f>IF(R568="","",IF(H568="High","High-severity issue: ",IF(C568="Punch item","Punch item: ","Issue action due: "))&amp;F568&amp;IF(J568="",""," → "&amp;J568))</f>
        <v/>
      </c>
      <c r="T568" s="79">
        <f>IF(O568=1,IF(I568="",0,I568),0)</f>
        <v/>
      </c>
      <c r="U568" s="79">
        <f>IF(AND(O568=1,H568="High"),1,0)</f>
        <v/>
      </c>
      <c r="V568" s="79">
        <f>IF(AND(O568=1,C568="Punch item"),1,0)</f>
        <v/>
      </c>
    </row>
    <row r="569" ht="24" customHeight="1">
      <c r="B569" s="125" t="n">
        <v>562</v>
      </c>
      <c r="C569" s="72" t="n"/>
      <c r="D569" s="109" t="n"/>
      <c r="E569" s="72" t="n"/>
      <c r="F569" s="113" t="n"/>
      <c r="G569" s="72" t="n"/>
      <c r="H569" s="74" t="n"/>
      <c r="I569" s="73" t="n"/>
      <c r="J569" s="113" t="n"/>
      <c r="K569" s="109" t="n"/>
      <c r="L569" s="72" t="n"/>
      <c r="M569" s="109" t="n"/>
      <c r="N569" s="72" t="n"/>
      <c r="O569" s="79">
        <f>IF(AND(F569&lt;&gt;"",L569&lt;&gt;"Resolved"),1,0)</f>
        <v/>
      </c>
      <c r="P569" s="79">
        <f>IF(F569="","",IF(O569=0,0,IF(H569="High",2,1)))</f>
        <v/>
      </c>
      <c r="Q569" s="112">
        <f>IF(O569=1,IF(K569&lt;&gt;"",K569,IF(H569="High",AsOf,"")),"")</f>
        <v/>
      </c>
      <c r="R569" s="79">
        <f>IF(Q569="","",IF(H569="High",1,IF(Q569="","",IF(Q569&lt;AsOf,1,IF(Q569&lt;=AsOf+AlertDays,2,IF(Q569&lt;=AsOf+2*AlertDays,3,""))))))</f>
        <v/>
      </c>
      <c r="S569" s="79">
        <f>IF(R569="","",IF(H569="High","High-severity issue: ",IF(C569="Punch item","Punch item: ","Issue action due: "))&amp;F569&amp;IF(J569="",""," → "&amp;J569))</f>
        <v/>
      </c>
      <c r="T569" s="79">
        <f>IF(O569=1,IF(I569="",0,I569),0)</f>
        <v/>
      </c>
      <c r="U569" s="79">
        <f>IF(AND(O569=1,H569="High"),1,0)</f>
        <v/>
      </c>
      <c r="V569" s="79">
        <f>IF(AND(O569=1,C569="Punch item"),1,0)</f>
        <v/>
      </c>
    </row>
    <row r="570" ht="24" customHeight="1">
      <c r="B570" s="125" t="n">
        <v>563</v>
      </c>
      <c r="C570" s="72" t="n"/>
      <c r="D570" s="109" t="n"/>
      <c r="E570" s="72" t="n"/>
      <c r="F570" s="113" t="n"/>
      <c r="G570" s="72" t="n"/>
      <c r="H570" s="74" t="n"/>
      <c r="I570" s="73" t="n"/>
      <c r="J570" s="113" t="n"/>
      <c r="K570" s="109" t="n"/>
      <c r="L570" s="72" t="n"/>
      <c r="M570" s="109" t="n"/>
      <c r="N570" s="72" t="n"/>
      <c r="O570" s="79">
        <f>IF(AND(F570&lt;&gt;"",L570&lt;&gt;"Resolved"),1,0)</f>
        <v/>
      </c>
      <c r="P570" s="79">
        <f>IF(F570="","",IF(O570=0,0,IF(H570="High",2,1)))</f>
        <v/>
      </c>
      <c r="Q570" s="112">
        <f>IF(O570=1,IF(K570&lt;&gt;"",K570,IF(H570="High",AsOf,"")),"")</f>
        <v/>
      </c>
      <c r="R570" s="79">
        <f>IF(Q570="","",IF(H570="High",1,IF(Q570="","",IF(Q570&lt;AsOf,1,IF(Q570&lt;=AsOf+AlertDays,2,IF(Q570&lt;=AsOf+2*AlertDays,3,""))))))</f>
        <v/>
      </c>
      <c r="S570" s="79">
        <f>IF(R570="","",IF(H570="High","High-severity issue: ",IF(C570="Punch item","Punch item: ","Issue action due: "))&amp;F570&amp;IF(J570="",""," → "&amp;J570))</f>
        <v/>
      </c>
      <c r="T570" s="79">
        <f>IF(O570=1,IF(I570="",0,I570),0)</f>
        <v/>
      </c>
      <c r="U570" s="79">
        <f>IF(AND(O570=1,H570="High"),1,0)</f>
        <v/>
      </c>
      <c r="V570" s="79">
        <f>IF(AND(O570=1,C570="Punch item"),1,0)</f>
        <v/>
      </c>
    </row>
    <row r="571" ht="24" customHeight="1">
      <c r="B571" s="125" t="n">
        <v>564</v>
      </c>
      <c r="C571" s="72" t="n"/>
      <c r="D571" s="109" t="n"/>
      <c r="E571" s="72" t="n"/>
      <c r="F571" s="113" t="n"/>
      <c r="G571" s="72" t="n"/>
      <c r="H571" s="74" t="n"/>
      <c r="I571" s="73" t="n"/>
      <c r="J571" s="113" t="n"/>
      <c r="K571" s="109" t="n"/>
      <c r="L571" s="72" t="n"/>
      <c r="M571" s="109" t="n"/>
      <c r="N571" s="72" t="n"/>
      <c r="O571" s="79">
        <f>IF(AND(F571&lt;&gt;"",L571&lt;&gt;"Resolved"),1,0)</f>
        <v/>
      </c>
      <c r="P571" s="79">
        <f>IF(F571="","",IF(O571=0,0,IF(H571="High",2,1)))</f>
        <v/>
      </c>
      <c r="Q571" s="112">
        <f>IF(O571=1,IF(K571&lt;&gt;"",K571,IF(H571="High",AsOf,"")),"")</f>
        <v/>
      </c>
      <c r="R571" s="79">
        <f>IF(Q571="","",IF(H571="High",1,IF(Q571="","",IF(Q571&lt;AsOf,1,IF(Q571&lt;=AsOf+AlertDays,2,IF(Q571&lt;=AsOf+2*AlertDays,3,""))))))</f>
        <v/>
      </c>
      <c r="S571" s="79">
        <f>IF(R571="","",IF(H571="High","High-severity issue: ",IF(C571="Punch item","Punch item: ","Issue action due: "))&amp;F571&amp;IF(J571="",""," → "&amp;J571))</f>
        <v/>
      </c>
      <c r="T571" s="79">
        <f>IF(O571=1,IF(I571="",0,I571),0)</f>
        <v/>
      </c>
      <c r="U571" s="79">
        <f>IF(AND(O571=1,H571="High"),1,0)</f>
        <v/>
      </c>
      <c r="V571" s="79">
        <f>IF(AND(O571=1,C571="Punch item"),1,0)</f>
        <v/>
      </c>
    </row>
    <row r="572" ht="24" customHeight="1">
      <c r="B572" s="125" t="n">
        <v>565</v>
      </c>
      <c r="C572" s="72" t="n"/>
      <c r="D572" s="109" t="n"/>
      <c r="E572" s="72" t="n"/>
      <c r="F572" s="113" t="n"/>
      <c r="G572" s="72" t="n"/>
      <c r="H572" s="74" t="n"/>
      <c r="I572" s="73" t="n"/>
      <c r="J572" s="113" t="n"/>
      <c r="K572" s="109" t="n"/>
      <c r="L572" s="72" t="n"/>
      <c r="M572" s="109" t="n"/>
      <c r="N572" s="72" t="n"/>
      <c r="O572" s="79">
        <f>IF(AND(F572&lt;&gt;"",L572&lt;&gt;"Resolved"),1,0)</f>
        <v/>
      </c>
      <c r="P572" s="79">
        <f>IF(F572="","",IF(O572=0,0,IF(H572="High",2,1)))</f>
        <v/>
      </c>
      <c r="Q572" s="112">
        <f>IF(O572=1,IF(K572&lt;&gt;"",K572,IF(H572="High",AsOf,"")),"")</f>
        <v/>
      </c>
      <c r="R572" s="79">
        <f>IF(Q572="","",IF(H572="High",1,IF(Q572="","",IF(Q572&lt;AsOf,1,IF(Q572&lt;=AsOf+AlertDays,2,IF(Q572&lt;=AsOf+2*AlertDays,3,""))))))</f>
        <v/>
      </c>
      <c r="S572" s="79">
        <f>IF(R572="","",IF(H572="High","High-severity issue: ",IF(C572="Punch item","Punch item: ","Issue action due: "))&amp;F572&amp;IF(J572="",""," → "&amp;J572))</f>
        <v/>
      </c>
      <c r="T572" s="79">
        <f>IF(O572=1,IF(I572="",0,I572),0)</f>
        <v/>
      </c>
      <c r="U572" s="79">
        <f>IF(AND(O572=1,H572="High"),1,0)</f>
        <v/>
      </c>
      <c r="V572" s="79">
        <f>IF(AND(O572=1,C572="Punch item"),1,0)</f>
        <v/>
      </c>
    </row>
    <row r="573" ht="24" customHeight="1">
      <c r="B573" s="125" t="n">
        <v>566</v>
      </c>
      <c r="C573" s="72" t="n"/>
      <c r="D573" s="109" t="n"/>
      <c r="E573" s="72" t="n"/>
      <c r="F573" s="113" t="n"/>
      <c r="G573" s="72" t="n"/>
      <c r="H573" s="74" t="n"/>
      <c r="I573" s="73" t="n"/>
      <c r="J573" s="113" t="n"/>
      <c r="K573" s="109" t="n"/>
      <c r="L573" s="72" t="n"/>
      <c r="M573" s="109" t="n"/>
      <c r="N573" s="72" t="n"/>
      <c r="O573" s="79">
        <f>IF(AND(F573&lt;&gt;"",L573&lt;&gt;"Resolved"),1,0)</f>
        <v/>
      </c>
      <c r="P573" s="79">
        <f>IF(F573="","",IF(O573=0,0,IF(H573="High",2,1)))</f>
        <v/>
      </c>
      <c r="Q573" s="112">
        <f>IF(O573=1,IF(K573&lt;&gt;"",K573,IF(H573="High",AsOf,"")),"")</f>
        <v/>
      </c>
      <c r="R573" s="79">
        <f>IF(Q573="","",IF(H573="High",1,IF(Q573="","",IF(Q573&lt;AsOf,1,IF(Q573&lt;=AsOf+AlertDays,2,IF(Q573&lt;=AsOf+2*AlertDays,3,""))))))</f>
        <v/>
      </c>
      <c r="S573" s="79">
        <f>IF(R573="","",IF(H573="High","High-severity issue: ",IF(C573="Punch item","Punch item: ","Issue action due: "))&amp;F573&amp;IF(J573="",""," → "&amp;J573))</f>
        <v/>
      </c>
      <c r="T573" s="79">
        <f>IF(O573=1,IF(I573="",0,I573),0)</f>
        <v/>
      </c>
      <c r="U573" s="79">
        <f>IF(AND(O573=1,H573="High"),1,0)</f>
        <v/>
      </c>
      <c r="V573" s="79">
        <f>IF(AND(O573=1,C573="Punch item"),1,0)</f>
        <v/>
      </c>
    </row>
    <row r="574" ht="24" customHeight="1">
      <c r="B574" s="125" t="n">
        <v>567</v>
      </c>
      <c r="C574" s="72" t="n"/>
      <c r="D574" s="109" t="n"/>
      <c r="E574" s="72" t="n"/>
      <c r="F574" s="113" t="n"/>
      <c r="G574" s="72" t="n"/>
      <c r="H574" s="74" t="n"/>
      <c r="I574" s="73" t="n"/>
      <c r="J574" s="113" t="n"/>
      <c r="K574" s="109" t="n"/>
      <c r="L574" s="72" t="n"/>
      <c r="M574" s="109" t="n"/>
      <c r="N574" s="72" t="n"/>
      <c r="O574" s="79">
        <f>IF(AND(F574&lt;&gt;"",L574&lt;&gt;"Resolved"),1,0)</f>
        <v/>
      </c>
      <c r="P574" s="79">
        <f>IF(F574="","",IF(O574=0,0,IF(H574="High",2,1)))</f>
        <v/>
      </c>
      <c r="Q574" s="112">
        <f>IF(O574=1,IF(K574&lt;&gt;"",K574,IF(H574="High",AsOf,"")),"")</f>
        <v/>
      </c>
      <c r="R574" s="79">
        <f>IF(Q574="","",IF(H574="High",1,IF(Q574="","",IF(Q574&lt;AsOf,1,IF(Q574&lt;=AsOf+AlertDays,2,IF(Q574&lt;=AsOf+2*AlertDays,3,""))))))</f>
        <v/>
      </c>
      <c r="S574" s="79">
        <f>IF(R574="","",IF(H574="High","High-severity issue: ",IF(C574="Punch item","Punch item: ","Issue action due: "))&amp;F574&amp;IF(J574="",""," → "&amp;J574))</f>
        <v/>
      </c>
      <c r="T574" s="79">
        <f>IF(O574=1,IF(I574="",0,I574),0)</f>
        <v/>
      </c>
      <c r="U574" s="79">
        <f>IF(AND(O574=1,H574="High"),1,0)</f>
        <v/>
      </c>
      <c r="V574" s="79">
        <f>IF(AND(O574=1,C574="Punch item"),1,0)</f>
        <v/>
      </c>
    </row>
    <row r="575" ht="24" customHeight="1">
      <c r="B575" s="125" t="n">
        <v>568</v>
      </c>
      <c r="C575" s="72" t="n"/>
      <c r="D575" s="109" t="n"/>
      <c r="E575" s="72" t="n"/>
      <c r="F575" s="113" t="n"/>
      <c r="G575" s="72" t="n"/>
      <c r="H575" s="74" t="n"/>
      <c r="I575" s="73" t="n"/>
      <c r="J575" s="113" t="n"/>
      <c r="K575" s="109" t="n"/>
      <c r="L575" s="72" t="n"/>
      <c r="M575" s="109" t="n"/>
      <c r="N575" s="72" t="n"/>
      <c r="O575" s="79">
        <f>IF(AND(F575&lt;&gt;"",L575&lt;&gt;"Resolved"),1,0)</f>
        <v/>
      </c>
      <c r="P575" s="79">
        <f>IF(F575="","",IF(O575=0,0,IF(H575="High",2,1)))</f>
        <v/>
      </c>
      <c r="Q575" s="112">
        <f>IF(O575=1,IF(K575&lt;&gt;"",K575,IF(H575="High",AsOf,"")),"")</f>
        <v/>
      </c>
      <c r="R575" s="79">
        <f>IF(Q575="","",IF(H575="High",1,IF(Q575="","",IF(Q575&lt;AsOf,1,IF(Q575&lt;=AsOf+AlertDays,2,IF(Q575&lt;=AsOf+2*AlertDays,3,""))))))</f>
        <v/>
      </c>
      <c r="S575" s="79">
        <f>IF(R575="","",IF(H575="High","High-severity issue: ",IF(C575="Punch item","Punch item: ","Issue action due: "))&amp;F575&amp;IF(J575="",""," → "&amp;J575))</f>
        <v/>
      </c>
      <c r="T575" s="79">
        <f>IF(O575=1,IF(I575="",0,I575),0)</f>
        <v/>
      </c>
      <c r="U575" s="79">
        <f>IF(AND(O575=1,H575="High"),1,0)</f>
        <v/>
      </c>
      <c r="V575" s="79">
        <f>IF(AND(O575=1,C575="Punch item"),1,0)</f>
        <v/>
      </c>
    </row>
    <row r="576" ht="24" customHeight="1">
      <c r="B576" s="125" t="n">
        <v>569</v>
      </c>
      <c r="C576" s="72" t="n"/>
      <c r="D576" s="109" t="n"/>
      <c r="E576" s="72" t="n"/>
      <c r="F576" s="113" t="n"/>
      <c r="G576" s="72" t="n"/>
      <c r="H576" s="74" t="n"/>
      <c r="I576" s="73" t="n"/>
      <c r="J576" s="113" t="n"/>
      <c r="K576" s="109" t="n"/>
      <c r="L576" s="72" t="n"/>
      <c r="M576" s="109" t="n"/>
      <c r="N576" s="72" t="n"/>
      <c r="O576" s="79">
        <f>IF(AND(F576&lt;&gt;"",L576&lt;&gt;"Resolved"),1,0)</f>
        <v/>
      </c>
      <c r="P576" s="79">
        <f>IF(F576="","",IF(O576=0,0,IF(H576="High",2,1)))</f>
        <v/>
      </c>
      <c r="Q576" s="112">
        <f>IF(O576=1,IF(K576&lt;&gt;"",K576,IF(H576="High",AsOf,"")),"")</f>
        <v/>
      </c>
      <c r="R576" s="79">
        <f>IF(Q576="","",IF(H576="High",1,IF(Q576="","",IF(Q576&lt;AsOf,1,IF(Q576&lt;=AsOf+AlertDays,2,IF(Q576&lt;=AsOf+2*AlertDays,3,""))))))</f>
        <v/>
      </c>
      <c r="S576" s="79">
        <f>IF(R576="","",IF(H576="High","High-severity issue: ",IF(C576="Punch item","Punch item: ","Issue action due: "))&amp;F576&amp;IF(J576="",""," → "&amp;J576))</f>
        <v/>
      </c>
      <c r="T576" s="79">
        <f>IF(O576=1,IF(I576="",0,I576),0)</f>
        <v/>
      </c>
      <c r="U576" s="79">
        <f>IF(AND(O576=1,H576="High"),1,0)</f>
        <v/>
      </c>
      <c r="V576" s="79">
        <f>IF(AND(O576=1,C576="Punch item"),1,0)</f>
        <v/>
      </c>
    </row>
    <row r="577" ht="24" customHeight="1">
      <c r="B577" s="125" t="n">
        <v>570</v>
      </c>
      <c r="C577" s="72" t="n"/>
      <c r="D577" s="109" t="n"/>
      <c r="E577" s="72" t="n"/>
      <c r="F577" s="113" t="n"/>
      <c r="G577" s="72" t="n"/>
      <c r="H577" s="74" t="n"/>
      <c r="I577" s="73" t="n"/>
      <c r="J577" s="113" t="n"/>
      <c r="K577" s="109" t="n"/>
      <c r="L577" s="72" t="n"/>
      <c r="M577" s="109" t="n"/>
      <c r="N577" s="72" t="n"/>
      <c r="O577" s="79">
        <f>IF(AND(F577&lt;&gt;"",L577&lt;&gt;"Resolved"),1,0)</f>
        <v/>
      </c>
      <c r="P577" s="79">
        <f>IF(F577="","",IF(O577=0,0,IF(H577="High",2,1)))</f>
        <v/>
      </c>
      <c r="Q577" s="112">
        <f>IF(O577=1,IF(K577&lt;&gt;"",K577,IF(H577="High",AsOf,"")),"")</f>
        <v/>
      </c>
      <c r="R577" s="79">
        <f>IF(Q577="","",IF(H577="High",1,IF(Q577="","",IF(Q577&lt;AsOf,1,IF(Q577&lt;=AsOf+AlertDays,2,IF(Q577&lt;=AsOf+2*AlertDays,3,""))))))</f>
        <v/>
      </c>
      <c r="S577" s="79">
        <f>IF(R577="","",IF(H577="High","High-severity issue: ",IF(C577="Punch item","Punch item: ","Issue action due: "))&amp;F577&amp;IF(J577="",""," → "&amp;J577))</f>
        <v/>
      </c>
      <c r="T577" s="79">
        <f>IF(O577=1,IF(I577="",0,I577),0)</f>
        <v/>
      </c>
      <c r="U577" s="79">
        <f>IF(AND(O577=1,H577="High"),1,0)</f>
        <v/>
      </c>
      <c r="V577" s="79">
        <f>IF(AND(O577=1,C577="Punch item"),1,0)</f>
        <v/>
      </c>
    </row>
    <row r="578" ht="24" customHeight="1">
      <c r="B578" s="125" t="n">
        <v>571</v>
      </c>
      <c r="C578" s="72" t="n"/>
      <c r="D578" s="109" t="n"/>
      <c r="E578" s="72" t="n"/>
      <c r="F578" s="113" t="n"/>
      <c r="G578" s="72" t="n"/>
      <c r="H578" s="74" t="n"/>
      <c r="I578" s="73" t="n"/>
      <c r="J578" s="113" t="n"/>
      <c r="K578" s="109" t="n"/>
      <c r="L578" s="72" t="n"/>
      <c r="M578" s="109" t="n"/>
      <c r="N578" s="72" t="n"/>
      <c r="O578" s="79">
        <f>IF(AND(F578&lt;&gt;"",L578&lt;&gt;"Resolved"),1,0)</f>
        <v/>
      </c>
      <c r="P578" s="79">
        <f>IF(F578="","",IF(O578=0,0,IF(H578="High",2,1)))</f>
        <v/>
      </c>
      <c r="Q578" s="112">
        <f>IF(O578=1,IF(K578&lt;&gt;"",K578,IF(H578="High",AsOf,"")),"")</f>
        <v/>
      </c>
      <c r="R578" s="79">
        <f>IF(Q578="","",IF(H578="High",1,IF(Q578="","",IF(Q578&lt;AsOf,1,IF(Q578&lt;=AsOf+AlertDays,2,IF(Q578&lt;=AsOf+2*AlertDays,3,""))))))</f>
        <v/>
      </c>
      <c r="S578" s="79">
        <f>IF(R578="","",IF(H578="High","High-severity issue: ",IF(C578="Punch item","Punch item: ","Issue action due: "))&amp;F578&amp;IF(J578="",""," → "&amp;J578))</f>
        <v/>
      </c>
      <c r="T578" s="79">
        <f>IF(O578=1,IF(I578="",0,I578),0)</f>
        <v/>
      </c>
      <c r="U578" s="79">
        <f>IF(AND(O578=1,H578="High"),1,0)</f>
        <v/>
      </c>
      <c r="V578" s="79">
        <f>IF(AND(O578=1,C578="Punch item"),1,0)</f>
        <v/>
      </c>
    </row>
    <row r="579" ht="24" customHeight="1">
      <c r="B579" s="125" t="n">
        <v>572</v>
      </c>
      <c r="C579" s="72" t="n"/>
      <c r="D579" s="109" t="n"/>
      <c r="E579" s="72" t="n"/>
      <c r="F579" s="113" t="n"/>
      <c r="G579" s="72" t="n"/>
      <c r="H579" s="74" t="n"/>
      <c r="I579" s="73" t="n"/>
      <c r="J579" s="113" t="n"/>
      <c r="K579" s="109" t="n"/>
      <c r="L579" s="72" t="n"/>
      <c r="M579" s="109" t="n"/>
      <c r="N579" s="72" t="n"/>
      <c r="O579" s="79">
        <f>IF(AND(F579&lt;&gt;"",L579&lt;&gt;"Resolved"),1,0)</f>
        <v/>
      </c>
      <c r="P579" s="79">
        <f>IF(F579="","",IF(O579=0,0,IF(H579="High",2,1)))</f>
        <v/>
      </c>
      <c r="Q579" s="112">
        <f>IF(O579=1,IF(K579&lt;&gt;"",K579,IF(H579="High",AsOf,"")),"")</f>
        <v/>
      </c>
      <c r="R579" s="79">
        <f>IF(Q579="","",IF(H579="High",1,IF(Q579="","",IF(Q579&lt;AsOf,1,IF(Q579&lt;=AsOf+AlertDays,2,IF(Q579&lt;=AsOf+2*AlertDays,3,""))))))</f>
        <v/>
      </c>
      <c r="S579" s="79">
        <f>IF(R579="","",IF(H579="High","High-severity issue: ",IF(C579="Punch item","Punch item: ","Issue action due: "))&amp;F579&amp;IF(J579="",""," → "&amp;J579))</f>
        <v/>
      </c>
      <c r="T579" s="79">
        <f>IF(O579=1,IF(I579="",0,I579),0)</f>
        <v/>
      </c>
      <c r="U579" s="79">
        <f>IF(AND(O579=1,H579="High"),1,0)</f>
        <v/>
      </c>
      <c r="V579" s="79">
        <f>IF(AND(O579=1,C579="Punch item"),1,0)</f>
        <v/>
      </c>
    </row>
    <row r="580" ht="24" customHeight="1">
      <c r="B580" s="125" t="n">
        <v>573</v>
      </c>
      <c r="C580" s="72" t="n"/>
      <c r="D580" s="109" t="n"/>
      <c r="E580" s="72" t="n"/>
      <c r="F580" s="113" t="n"/>
      <c r="G580" s="72" t="n"/>
      <c r="H580" s="74" t="n"/>
      <c r="I580" s="73" t="n"/>
      <c r="J580" s="113" t="n"/>
      <c r="K580" s="109" t="n"/>
      <c r="L580" s="72" t="n"/>
      <c r="M580" s="109" t="n"/>
      <c r="N580" s="72" t="n"/>
      <c r="O580" s="79">
        <f>IF(AND(F580&lt;&gt;"",L580&lt;&gt;"Resolved"),1,0)</f>
        <v/>
      </c>
      <c r="P580" s="79">
        <f>IF(F580="","",IF(O580=0,0,IF(H580="High",2,1)))</f>
        <v/>
      </c>
      <c r="Q580" s="112">
        <f>IF(O580=1,IF(K580&lt;&gt;"",K580,IF(H580="High",AsOf,"")),"")</f>
        <v/>
      </c>
      <c r="R580" s="79">
        <f>IF(Q580="","",IF(H580="High",1,IF(Q580="","",IF(Q580&lt;AsOf,1,IF(Q580&lt;=AsOf+AlertDays,2,IF(Q580&lt;=AsOf+2*AlertDays,3,""))))))</f>
        <v/>
      </c>
      <c r="S580" s="79">
        <f>IF(R580="","",IF(H580="High","High-severity issue: ",IF(C580="Punch item","Punch item: ","Issue action due: "))&amp;F580&amp;IF(J580="",""," → "&amp;J580))</f>
        <v/>
      </c>
      <c r="T580" s="79">
        <f>IF(O580=1,IF(I580="",0,I580),0)</f>
        <v/>
      </c>
      <c r="U580" s="79">
        <f>IF(AND(O580=1,H580="High"),1,0)</f>
        <v/>
      </c>
      <c r="V580" s="79">
        <f>IF(AND(O580=1,C580="Punch item"),1,0)</f>
        <v/>
      </c>
    </row>
    <row r="581" ht="24" customHeight="1">
      <c r="B581" s="125" t="n">
        <v>574</v>
      </c>
      <c r="C581" s="72" t="n"/>
      <c r="D581" s="109" t="n"/>
      <c r="E581" s="72" t="n"/>
      <c r="F581" s="113" t="n"/>
      <c r="G581" s="72" t="n"/>
      <c r="H581" s="74" t="n"/>
      <c r="I581" s="73" t="n"/>
      <c r="J581" s="113" t="n"/>
      <c r="K581" s="109" t="n"/>
      <c r="L581" s="72" t="n"/>
      <c r="M581" s="109" t="n"/>
      <c r="N581" s="72" t="n"/>
      <c r="O581" s="79">
        <f>IF(AND(F581&lt;&gt;"",L581&lt;&gt;"Resolved"),1,0)</f>
        <v/>
      </c>
      <c r="P581" s="79">
        <f>IF(F581="","",IF(O581=0,0,IF(H581="High",2,1)))</f>
        <v/>
      </c>
      <c r="Q581" s="112">
        <f>IF(O581=1,IF(K581&lt;&gt;"",K581,IF(H581="High",AsOf,"")),"")</f>
        <v/>
      </c>
      <c r="R581" s="79">
        <f>IF(Q581="","",IF(H581="High",1,IF(Q581="","",IF(Q581&lt;AsOf,1,IF(Q581&lt;=AsOf+AlertDays,2,IF(Q581&lt;=AsOf+2*AlertDays,3,""))))))</f>
        <v/>
      </c>
      <c r="S581" s="79">
        <f>IF(R581="","",IF(H581="High","High-severity issue: ",IF(C581="Punch item","Punch item: ","Issue action due: "))&amp;F581&amp;IF(J581="",""," → "&amp;J581))</f>
        <v/>
      </c>
      <c r="T581" s="79">
        <f>IF(O581=1,IF(I581="",0,I581),0)</f>
        <v/>
      </c>
      <c r="U581" s="79">
        <f>IF(AND(O581=1,H581="High"),1,0)</f>
        <v/>
      </c>
      <c r="V581" s="79">
        <f>IF(AND(O581=1,C581="Punch item"),1,0)</f>
        <v/>
      </c>
    </row>
    <row r="582" ht="24" customHeight="1">
      <c r="B582" s="125" t="n">
        <v>575</v>
      </c>
      <c r="C582" s="72" t="n"/>
      <c r="D582" s="109" t="n"/>
      <c r="E582" s="72" t="n"/>
      <c r="F582" s="113" t="n"/>
      <c r="G582" s="72" t="n"/>
      <c r="H582" s="74" t="n"/>
      <c r="I582" s="73" t="n"/>
      <c r="J582" s="113" t="n"/>
      <c r="K582" s="109" t="n"/>
      <c r="L582" s="72" t="n"/>
      <c r="M582" s="109" t="n"/>
      <c r="N582" s="72" t="n"/>
      <c r="O582" s="79">
        <f>IF(AND(F582&lt;&gt;"",L582&lt;&gt;"Resolved"),1,0)</f>
        <v/>
      </c>
      <c r="P582" s="79">
        <f>IF(F582="","",IF(O582=0,0,IF(H582="High",2,1)))</f>
        <v/>
      </c>
      <c r="Q582" s="112">
        <f>IF(O582=1,IF(K582&lt;&gt;"",K582,IF(H582="High",AsOf,"")),"")</f>
        <v/>
      </c>
      <c r="R582" s="79">
        <f>IF(Q582="","",IF(H582="High",1,IF(Q582="","",IF(Q582&lt;AsOf,1,IF(Q582&lt;=AsOf+AlertDays,2,IF(Q582&lt;=AsOf+2*AlertDays,3,""))))))</f>
        <v/>
      </c>
      <c r="S582" s="79">
        <f>IF(R582="","",IF(H582="High","High-severity issue: ",IF(C582="Punch item","Punch item: ","Issue action due: "))&amp;F582&amp;IF(J582="",""," → "&amp;J582))</f>
        <v/>
      </c>
      <c r="T582" s="79">
        <f>IF(O582=1,IF(I582="",0,I582),0)</f>
        <v/>
      </c>
      <c r="U582" s="79">
        <f>IF(AND(O582=1,H582="High"),1,0)</f>
        <v/>
      </c>
      <c r="V582" s="79">
        <f>IF(AND(O582=1,C582="Punch item"),1,0)</f>
        <v/>
      </c>
    </row>
    <row r="583" ht="24" customHeight="1">
      <c r="B583" s="125" t="n">
        <v>576</v>
      </c>
      <c r="C583" s="72" t="n"/>
      <c r="D583" s="109" t="n"/>
      <c r="E583" s="72" t="n"/>
      <c r="F583" s="113" t="n"/>
      <c r="G583" s="72" t="n"/>
      <c r="H583" s="74" t="n"/>
      <c r="I583" s="73" t="n"/>
      <c r="J583" s="113" t="n"/>
      <c r="K583" s="109" t="n"/>
      <c r="L583" s="72" t="n"/>
      <c r="M583" s="109" t="n"/>
      <c r="N583" s="72" t="n"/>
      <c r="O583" s="79">
        <f>IF(AND(F583&lt;&gt;"",L583&lt;&gt;"Resolved"),1,0)</f>
        <v/>
      </c>
      <c r="P583" s="79">
        <f>IF(F583="","",IF(O583=0,0,IF(H583="High",2,1)))</f>
        <v/>
      </c>
      <c r="Q583" s="112">
        <f>IF(O583=1,IF(K583&lt;&gt;"",K583,IF(H583="High",AsOf,"")),"")</f>
        <v/>
      </c>
      <c r="R583" s="79">
        <f>IF(Q583="","",IF(H583="High",1,IF(Q583="","",IF(Q583&lt;AsOf,1,IF(Q583&lt;=AsOf+AlertDays,2,IF(Q583&lt;=AsOf+2*AlertDays,3,""))))))</f>
        <v/>
      </c>
      <c r="S583" s="79">
        <f>IF(R583="","",IF(H583="High","High-severity issue: ",IF(C583="Punch item","Punch item: ","Issue action due: "))&amp;F583&amp;IF(J583="",""," → "&amp;J583))</f>
        <v/>
      </c>
      <c r="T583" s="79">
        <f>IF(O583=1,IF(I583="",0,I583),0)</f>
        <v/>
      </c>
      <c r="U583" s="79">
        <f>IF(AND(O583=1,H583="High"),1,0)</f>
        <v/>
      </c>
      <c r="V583" s="79">
        <f>IF(AND(O583=1,C583="Punch item"),1,0)</f>
        <v/>
      </c>
    </row>
    <row r="584" ht="24" customHeight="1">
      <c r="B584" s="125" t="n">
        <v>577</v>
      </c>
      <c r="C584" s="72" t="n"/>
      <c r="D584" s="109" t="n"/>
      <c r="E584" s="72" t="n"/>
      <c r="F584" s="113" t="n"/>
      <c r="G584" s="72" t="n"/>
      <c r="H584" s="74" t="n"/>
      <c r="I584" s="73" t="n"/>
      <c r="J584" s="113" t="n"/>
      <c r="K584" s="109" t="n"/>
      <c r="L584" s="72" t="n"/>
      <c r="M584" s="109" t="n"/>
      <c r="N584" s="72" t="n"/>
      <c r="O584" s="79">
        <f>IF(AND(F584&lt;&gt;"",L584&lt;&gt;"Resolved"),1,0)</f>
        <v/>
      </c>
      <c r="P584" s="79">
        <f>IF(F584="","",IF(O584=0,0,IF(H584="High",2,1)))</f>
        <v/>
      </c>
      <c r="Q584" s="112">
        <f>IF(O584=1,IF(K584&lt;&gt;"",K584,IF(H584="High",AsOf,"")),"")</f>
        <v/>
      </c>
      <c r="R584" s="79">
        <f>IF(Q584="","",IF(H584="High",1,IF(Q584="","",IF(Q584&lt;AsOf,1,IF(Q584&lt;=AsOf+AlertDays,2,IF(Q584&lt;=AsOf+2*AlertDays,3,""))))))</f>
        <v/>
      </c>
      <c r="S584" s="79">
        <f>IF(R584="","",IF(H584="High","High-severity issue: ",IF(C584="Punch item","Punch item: ","Issue action due: "))&amp;F584&amp;IF(J584="",""," → "&amp;J584))</f>
        <v/>
      </c>
      <c r="T584" s="79">
        <f>IF(O584=1,IF(I584="",0,I584),0)</f>
        <v/>
      </c>
      <c r="U584" s="79">
        <f>IF(AND(O584=1,H584="High"),1,0)</f>
        <v/>
      </c>
      <c r="V584" s="79">
        <f>IF(AND(O584=1,C584="Punch item"),1,0)</f>
        <v/>
      </c>
    </row>
    <row r="585" ht="24" customHeight="1">
      <c r="B585" s="125" t="n">
        <v>578</v>
      </c>
      <c r="C585" s="72" t="n"/>
      <c r="D585" s="109" t="n"/>
      <c r="E585" s="72" t="n"/>
      <c r="F585" s="113" t="n"/>
      <c r="G585" s="72" t="n"/>
      <c r="H585" s="74" t="n"/>
      <c r="I585" s="73" t="n"/>
      <c r="J585" s="113" t="n"/>
      <c r="K585" s="109" t="n"/>
      <c r="L585" s="72" t="n"/>
      <c r="M585" s="109" t="n"/>
      <c r="N585" s="72" t="n"/>
      <c r="O585" s="79">
        <f>IF(AND(F585&lt;&gt;"",L585&lt;&gt;"Resolved"),1,0)</f>
        <v/>
      </c>
      <c r="P585" s="79">
        <f>IF(F585="","",IF(O585=0,0,IF(H585="High",2,1)))</f>
        <v/>
      </c>
      <c r="Q585" s="112">
        <f>IF(O585=1,IF(K585&lt;&gt;"",K585,IF(H585="High",AsOf,"")),"")</f>
        <v/>
      </c>
      <c r="R585" s="79">
        <f>IF(Q585="","",IF(H585="High",1,IF(Q585="","",IF(Q585&lt;AsOf,1,IF(Q585&lt;=AsOf+AlertDays,2,IF(Q585&lt;=AsOf+2*AlertDays,3,""))))))</f>
        <v/>
      </c>
      <c r="S585" s="79">
        <f>IF(R585="","",IF(H585="High","High-severity issue: ",IF(C585="Punch item","Punch item: ","Issue action due: "))&amp;F585&amp;IF(J585="",""," → "&amp;J585))</f>
        <v/>
      </c>
      <c r="T585" s="79">
        <f>IF(O585=1,IF(I585="",0,I585),0)</f>
        <v/>
      </c>
      <c r="U585" s="79">
        <f>IF(AND(O585=1,H585="High"),1,0)</f>
        <v/>
      </c>
      <c r="V585" s="79">
        <f>IF(AND(O585=1,C585="Punch item"),1,0)</f>
        <v/>
      </c>
    </row>
    <row r="586" ht="24" customHeight="1">
      <c r="B586" s="125" t="n">
        <v>579</v>
      </c>
      <c r="C586" s="72" t="n"/>
      <c r="D586" s="109" t="n"/>
      <c r="E586" s="72" t="n"/>
      <c r="F586" s="113" t="n"/>
      <c r="G586" s="72" t="n"/>
      <c r="H586" s="74" t="n"/>
      <c r="I586" s="73" t="n"/>
      <c r="J586" s="113" t="n"/>
      <c r="K586" s="109" t="n"/>
      <c r="L586" s="72" t="n"/>
      <c r="M586" s="109" t="n"/>
      <c r="N586" s="72" t="n"/>
      <c r="O586" s="79">
        <f>IF(AND(F586&lt;&gt;"",L586&lt;&gt;"Resolved"),1,0)</f>
        <v/>
      </c>
      <c r="P586" s="79">
        <f>IF(F586="","",IF(O586=0,0,IF(H586="High",2,1)))</f>
        <v/>
      </c>
      <c r="Q586" s="112">
        <f>IF(O586=1,IF(K586&lt;&gt;"",K586,IF(H586="High",AsOf,"")),"")</f>
        <v/>
      </c>
      <c r="R586" s="79">
        <f>IF(Q586="","",IF(H586="High",1,IF(Q586="","",IF(Q586&lt;AsOf,1,IF(Q586&lt;=AsOf+AlertDays,2,IF(Q586&lt;=AsOf+2*AlertDays,3,""))))))</f>
        <v/>
      </c>
      <c r="S586" s="79">
        <f>IF(R586="","",IF(H586="High","High-severity issue: ",IF(C586="Punch item","Punch item: ","Issue action due: "))&amp;F586&amp;IF(J586="",""," → "&amp;J586))</f>
        <v/>
      </c>
      <c r="T586" s="79">
        <f>IF(O586=1,IF(I586="",0,I586),0)</f>
        <v/>
      </c>
      <c r="U586" s="79">
        <f>IF(AND(O586=1,H586="High"),1,0)</f>
        <v/>
      </c>
      <c r="V586" s="79">
        <f>IF(AND(O586=1,C586="Punch item"),1,0)</f>
        <v/>
      </c>
    </row>
    <row r="587" ht="24" customHeight="1">
      <c r="B587" s="125" t="n">
        <v>580</v>
      </c>
      <c r="C587" s="72" t="n"/>
      <c r="D587" s="109" t="n"/>
      <c r="E587" s="72" t="n"/>
      <c r="F587" s="113" t="n"/>
      <c r="G587" s="72" t="n"/>
      <c r="H587" s="74" t="n"/>
      <c r="I587" s="73" t="n"/>
      <c r="J587" s="113" t="n"/>
      <c r="K587" s="109" t="n"/>
      <c r="L587" s="72" t="n"/>
      <c r="M587" s="109" t="n"/>
      <c r="N587" s="72" t="n"/>
      <c r="O587" s="79">
        <f>IF(AND(F587&lt;&gt;"",L587&lt;&gt;"Resolved"),1,0)</f>
        <v/>
      </c>
      <c r="P587" s="79">
        <f>IF(F587="","",IF(O587=0,0,IF(H587="High",2,1)))</f>
        <v/>
      </c>
      <c r="Q587" s="112">
        <f>IF(O587=1,IF(K587&lt;&gt;"",K587,IF(H587="High",AsOf,"")),"")</f>
        <v/>
      </c>
      <c r="R587" s="79">
        <f>IF(Q587="","",IF(H587="High",1,IF(Q587="","",IF(Q587&lt;AsOf,1,IF(Q587&lt;=AsOf+AlertDays,2,IF(Q587&lt;=AsOf+2*AlertDays,3,""))))))</f>
        <v/>
      </c>
      <c r="S587" s="79">
        <f>IF(R587="","",IF(H587="High","High-severity issue: ",IF(C587="Punch item","Punch item: ","Issue action due: "))&amp;F587&amp;IF(J587="",""," → "&amp;J587))</f>
        <v/>
      </c>
      <c r="T587" s="79">
        <f>IF(O587=1,IF(I587="",0,I587),0)</f>
        <v/>
      </c>
      <c r="U587" s="79">
        <f>IF(AND(O587=1,H587="High"),1,0)</f>
        <v/>
      </c>
      <c r="V587" s="79">
        <f>IF(AND(O587=1,C587="Punch item"),1,0)</f>
        <v/>
      </c>
    </row>
    <row r="588" ht="24" customHeight="1">
      <c r="B588" s="125" t="n">
        <v>581</v>
      </c>
      <c r="C588" s="72" t="n"/>
      <c r="D588" s="109" t="n"/>
      <c r="E588" s="72" t="n"/>
      <c r="F588" s="113" t="n"/>
      <c r="G588" s="72" t="n"/>
      <c r="H588" s="74" t="n"/>
      <c r="I588" s="73" t="n"/>
      <c r="J588" s="113" t="n"/>
      <c r="K588" s="109" t="n"/>
      <c r="L588" s="72" t="n"/>
      <c r="M588" s="109" t="n"/>
      <c r="N588" s="72" t="n"/>
      <c r="O588" s="79">
        <f>IF(AND(F588&lt;&gt;"",L588&lt;&gt;"Resolved"),1,0)</f>
        <v/>
      </c>
      <c r="P588" s="79">
        <f>IF(F588="","",IF(O588=0,0,IF(H588="High",2,1)))</f>
        <v/>
      </c>
      <c r="Q588" s="112">
        <f>IF(O588=1,IF(K588&lt;&gt;"",K588,IF(H588="High",AsOf,"")),"")</f>
        <v/>
      </c>
      <c r="R588" s="79">
        <f>IF(Q588="","",IF(H588="High",1,IF(Q588="","",IF(Q588&lt;AsOf,1,IF(Q588&lt;=AsOf+AlertDays,2,IF(Q588&lt;=AsOf+2*AlertDays,3,""))))))</f>
        <v/>
      </c>
      <c r="S588" s="79">
        <f>IF(R588="","",IF(H588="High","High-severity issue: ",IF(C588="Punch item","Punch item: ","Issue action due: "))&amp;F588&amp;IF(J588="",""," → "&amp;J588))</f>
        <v/>
      </c>
      <c r="T588" s="79">
        <f>IF(O588=1,IF(I588="",0,I588),0)</f>
        <v/>
      </c>
      <c r="U588" s="79">
        <f>IF(AND(O588=1,H588="High"),1,0)</f>
        <v/>
      </c>
      <c r="V588" s="79">
        <f>IF(AND(O588=1,C588="Punch item"),1,0)</f>
        <v/>
      </c>
    </row>
    <row r="589" ht="24" customHeight="1">
      <c r="B589" s="125" t="n">
        <v>582</v>
      </c>
      <c r="C589" s="72" t="n"/>
      <c r="D589" s="109" t="n"/>
      <c r="E589" s="72" t="n"/>
      <c r="F589" s="113" t="n"/>
      <c r="G589" s="72" t="n"/>
      <c r="H589" s="74" t="n"/>
      <c r="I589" s="73" t="n"/>
      <c r="J589" s="113" t="n"/>
      <c r="K589" s="109" t="n"/>
      <c r="L589" s="72" t="n"/>
      <c r="M589" s="109" t="n"/>
      <c r="N589" s="72" t="n"/>
      <c r="O589" s="79">
        <f>IF(AND(F589&lt;&gt;"",L589&lt;&gt;"Resolved"),1,0)</f>
        <v/>
      </c>
      <c r="P589" s="79">
        <f>IF(F589="","",IF(O589=0,0,IF(H589="High",2,1)))</f>
        <v/>
      </c>
      <c r="Q589" s="112">
        <f>IF(O589=1,IF(K589&lt;&gt;"",K589,IF(H589="High",AsOf,"")),"")</f>
        <v/>
      </c>
      <c r="R589" s="79">
        <f>IF(Q589="","",IF(H589="High",1,IF(Q589="","",IF(Q589&lt;AsOf,1,IF(Q589&lt;=AsOf+AlertDays,2,IF(Q589&lt;=AsOf+2*AlertDays,3,""))))))</f>
        <v/>
      </c>
      <c r="S589" s="79">
        <f>IF(R589="","",IF(H589="High","High-severity issue: ",IF(C589="Punch item","Punch item: ","Issue action due: "))&amp;F589&amp;IF(J589="",""," → "&amp;J589))</f>
        <v/>
      </c>
      <c r="T589" s="79">
        <f>IF(O589=1,IF(I589="",0,I589),0)</f>
        <v/>
      </c>
      <c r="U589" s="79">
        <f>IF(AND(O589=1,H589="High"),1,0)</f>
        <v/>
      </c>
      <c r="V589" s="79">
        <f>IF(AND(O589=1,C589="Punch item"),1,0)</f>
        <v/>
      </c>
    </row>
    <row r="590" ht="24" customHeight="1">
      <c r="B590" s="125" t="n">
        <v>583</v>
      </c>
      <c r="C590" s="72" t="n"/>
      <c r="D590" s="109" t="n"/>
      <c r="E590" s="72" t="n"/>
      <c r="F590" s="113" t="n"/>
      <c r="G590" s="72" t="n"/>
      <c r="H590" s="74" t="n"/>
      <c r="I590" s="73" t="n"/>
      <c r="J590" s="113" t="n"/>
      <c r="K590" s="109" t="n"/>
      <c r="L590" s="72" t="n"/>
      <c r="M590" s="109" t="n"/>
      <c r="N590" s="72" t="n"/>
      <c r="O590" s="79">
        <f>IF(AND(F590&lt;&gt;"",L590&lt;&gt;"Resolved"),1,0)</f>
        <v/>
      </c>
      <c r="P590" s="79">
        <f>IF(F590="","",IF(O590=0,0,IF(H590="High",2,1)))</f>
        <v/>
      </c>
      <c r="Q590" s="112">
        <f>IF(O590=1,IF(K590&lt;&gt;"",K590,IF(H590="High",AsOf,"")),"")</f>
        <v/>
      </c>
      <c r="R590" s="79">
        <f>IF(Q590="","",IF(H590="High",1,IF(Q590="","",IF(Q590&lt;AsOf,1,IF(Q590&lt;=AsOf+AlertDays,2,IF(Q590&lt;=AsOf+2*AlertDays,3,""))))))</f>
        <v/>
      </c>
      <c r="S590" s="79">
        <f>IF(R590="","",IF(H590="High","High-severity issue: ",IF(C590="Punch item","Punch item: ","Issue action due: "))&amp;F590&amp;IF(J590="",""," → "&amp;J590))</f>
        <v/>
      </c>
      <c r="T590" s="79">
        <f>IF(O590=1,IF(I590="",0,I590),0)</f>
        <v/>
      </c>
      <c r="U590" s="79">
        <f>IF(AND(O590=1,H590="High"),1,0)</f>
        <v/>
      </c>
      <c r="V590" s="79">
        <f>IF(AND(O590=1,C590="Punch item"),1,0)</f>
        <v/>
      </c>
    </row>
    <row r="591" ht="24" customHeight="1">
      <c r="B591" s="125" t="n">
        <v>584</v>
      </c>
      <c r="C591" s="72" t="n"/>
      <c r="D591" s="109" t="n"/>
      <c r="E591" s="72" t="n"/>
      <c r="F591" s="113" t="n"/>
      <c r="G591" s="72" t="n"/>
      <c r="H591" s="74" t="n"/>
      <c r="I591" s="73" t="n"/>
      <c r="J591" s="113" t="n"/>
      <c r="K591" s="109" t="n"/>
      <c r="L591" s="72" t="n"/>
      <c r="M591" s="109" t="n"/>
      <c r="N591" s="72" t="n"/>
      <c r="O591" s="79">
        <f>IF(AND(F591&lt;&gt;"",L591&lt;&gt;"Resolved"),1,0)</f>
        <v/>
      </c>
      <c r="P591" s="79">
        <f>IF(F591="","",IF(O591=0,0,IF(H591="High",2,1)))</f>
        <v/>
      </c>
      <c r="Q591" s="112">
        <f>IF(O591=1,IF(K591&lt;&gt;"",K591,IF(H591="High",AsOf,"")),"")</f>
        <v/>
      </c>
      <c r="R591" s="79">
        <f>IF(Q591="","",IF(H591="High",1,IF(Q591="","",IF(Q591&lt;AsOf,1,IF(Q591&lt;=AsOf+AlertDays,2,IF(Q591&lt;=AsOf+2*AlertDays,3,""))))))</f>
        <v/>
      </c>
      <c r="S591" s="79">
        <f>IF(R591="","",IF(H591="High","High-severity issue: ",IF(C591="Punch item","Punch item: ","Issue action due: "))&amp;F591&amp;IF(J591="",""," → "&amp;J591))</f>
        <v/>
      </c>
      <c r="T591" s="79">
        <f>IF(O591=1,IF(I591="",0,I591),0)</f>
        <v/>
      </c>
      <c r="U591" s="79">
        <f>IF(AND(O591=1,H591="High"),1,0)</f>
        <v/>
      </c>
      <c r="V591" s="79">
        <f>IF(AND(O591=1,C591="Punch item"),1,0)</f>
        <v/>
      </c>
    </row>
    <row r="592" ht="24" customHeight="1">
      <c r="B592" s="125" t="n">
        <v>585</v>
      </c>
      <c r="C592" s="72" t="n"/>
      <c r="D592" s="109" t="n"/>
      <c r="E592" s="72" t="n"/>
      <c r="F592" s="113" t="n"/>
      <c r="G592" s="72" t="n"/>
      <c r="H592" s="74" t="n"/>
      <c r="I592" s="73" t="n"/>
      <c r="J592" s="113" t="n"/>
      <c r="K592" s="109" t="n"/>
      <c r="L592" s="72" t="n"/>
      <c r="M592" s="109" t="n"/>
      <c r="N592" s="72" t="n"/>
      <c r="O592" s="79">
        <f>IF(AND(F592&lt;&gt;"",L592&lt;&gt;"Resolved"),1,0)</f>
        <v/>
      </c>
      <c r="P592" s="79">
        <f>IF(F592="","",IF(O592=0,0,IF(H592="High",2,1)))</f>
        <v/>
      </c>
      <c r="Q592" s="112">
        <f>IF(O592=1,IF(K592&lt;&gt;"",K592,IF(H592="High",AsOf,"")),"")</f>
        <v/>
      </c>
      <c r="R592" s="79">
        <f>IF(Q592="","",IF(H592="High",1,IF(Q592="","",IF(Q592&lt;AsOf,1,IF(Q592&lt;=AsOf+AlertDays,2,IF(Q592&lt;=AsOf+2*AlertDays,3,""))))))</f>
        <v/>
      </c>
      <c r="S592" s="79">
        <f>IF(R592="","",IF(H592="High","High-severity issue: ",IF(C592="Punch item","Punch item: ","Issue action due: "))&amp;F592&amp;IF(J592="",""," → "&amp;J592))</f>
        <v/>
      </c>
      <c r="T592" s="79">
        <f>IF(O592=1,IF(I592="",0,I592),0)</f>
        <v/>
      </c>
      <c r="U592" s="79">
        <f>IF(AND(O592=1,H592="High"),1,0)</f>
        <v/>
      </c>
      <c r="V592" s="79">
        <f>IF(AND(O592=1,C592="Punch item"),1,0)</f>
        <v/>
      </c>
    </row>
    <row r="593" ht="24" customHeight="1">
      <c r="B593" s="125" t="n">
        <v>586</v>
      </c>
      <c r="C593" s="72" t="n"/>
      <c r="D593" s="109" t="n"/>
      <c r="E593" s="72" t="n"/>
      <c r="F593" s="113" t="n"/>
      <c r="G593" s="72" t="n"/>
      <c r="H593" s="74" t="n"/>
      <c r="I593" s="73" t="n"/>
      <c r="J593" s="113" t="n"/>
      <c r="K593" s="109" t="n"/>
      <c r="L593" s="72" t="n"/>
      <c r="M593" s="109" t="n"/>
      <c r="N593" s="72" t="n"/>
      <c r="O593" s="79">
        <f>IF(AND(F593&lt;&gt;"",L593&lt;&gt;"Resolved"),1,0)</f>
        <v/>
      </c>
      <c r="P593" s="79">
        <f>IF(F593="","",IF(O593=0,0,IF(H593="High",2,1)))</f>
        <v/>
      </c>
      <c r="Q593" s="112">
        <f>IF(O593=1,IF(K593&lt;&gt;"",K593,IF(H593="High",AsOf,"")),"")</f>
        <v/>
      </c>
      <c r="R593" s="79">
        <f>IF(Q593="","",IF(H593="High",1,IF(Q593="","",IF(Q593&lt;AsOf,1,IF(Q593&lt;=AsOf+AlertDays,2,IF(Q593&lt;=AsOf+2*AlertDays,3,""))))))</f>
        <v/>
      </c>
      <c r="S593" s="79">
        <f>IF(R593="","",IF(H593="High","High-severity issue: ",IF(C593="Punch item","Punch item: ","Issue action due: "))&amp;F593&amp;IF(J593="",""," → "&amp;J593))</f>
        <v/>
      </c>
      <c r="T593" s="79">
        <f>IF(O593=1,IF(I593="",0,I593),0)</f>
        <v/>
      </c>
      <c r="U593" s="79">
        <f>IF(AND(O593=1,H593="High"),1,0)</f>
        <v/>
      </c>
      <c r="V593" s="79">
        <f>IF(AND(O593=1,C593="Punch item"),1,0)</f>
        <v/>
      </c>
    </row>
    <row r="594" ht="24" customHeight="1">
      <c r="B594" s="125" t="n">
        <v>587</v>
      </c>
      <c r="C594" s="72" t="n"/>
      <c r="D594" s="109" t="n"/>
      <c r="E594" s="72" t="n"/>
      <c r="F594" s="113" t="n"/>
      <c r="G594" s="72" t="n"/>
      <c r="H594" s="74" t="n"/>
      <c r="I594" s="73" t="n"/>
      <c r="J594" s="113" t="n"/>
      <c r="K594" s="109" t="n"/>
      <c r="L594" s="72" t="n"/>
      <c r="M594" s="109" t="n"/>
      <c r="N594" s="72" t="n"/>
      <c r="O594" s="79">
        <f>IF(AND(F594&lt;&gt;"",L594&lt;&gt;"Resolved"),1,0)</f>
        <v/>
      </c>
      <c r="P594" s="79">
        <f>IF(F594="","",IF(O594=0,0,IF(H594="High",2,1)))</f>
        <v/>
      </c>
      <c r="Q594" s="112">
        <f>IF(O594=1,IF(K594&lt;&gt;"",K594,IF(H594="High",AsOf,"")),"")</f>
        <v/>
      </c>
      <c r="R594" s="79">
        <f>IF(Q594="","",IF(H594="High",1,IF(Q594="","",IF(Q594&lt;AsOf,1,IF(Q594&lt;=AsOf+AlertDays,2,IF(Q594&lt;=AsOf+2*AlertDays,3,""))))))</f>
        <v/>
      </c>
      <c r="S594" s="79">
        <f>IF(R594="","",IF(H594="High","High-severity issue: ",IF(C594="Punch item","Punch item: ","Issue action due: "))&amp;F594&amp;IF(J594="",""," → "&amp;J594))</f>
        <v/>
      </c>
      <c r="T594" s="79">
        <f>IF(O594=1,IF(I594="",0,I594),0)</f>
        <v/>
      </c>
      <c r="U594" s="79">
        <f>IF(AND(O594=1,H594="High"),1,0)</f>
        <v/>
      </c>
      <c r="V594" s="79">
        <f>IF(AND(O594=1,C594="Punch item"),1,0)</f>
        <v/>
      </c>
    </row>
    <row r="595" ht="24" customHeight="1">
      <c r="B595" s="125" t="n">
        <v>588</v>
      </c>
      <c r="C595" s="72" t="n"/>
      <c r="D595" s="109" t="n"/>
      <c r="E595" s="72" t="n"/>
      <c r="F595" s="113" t="n"/>
      <c r="G595" s="72" t="n"/>
      <c r="H595" s="74" t="n"/>
      <c r="I595" s="73" t="n"/>
      <c r="J595" s="113" t="n"/>
      <c r="K595" s="109" t="n"/>
      <c r="L595" s="72" t="n"/>
      <c r="M595" s="109" t="n"/>
      <c r="N595" s="72" t="n"/>
      <c r="O595" s="79">
        <f>IF(AND(F595&lt;&gt;"",L595&lt;&gt;"Resolved"),1,0)</f>
        <v/>
      </c>
      <c r="P595" s="79">
        <f>IF(F595="","",IF(O595=0,0,IF(H595="High",2,1)))</f>
        <v/>
      </c>
      <c r="Q595" s="112">
        <f>IF(O595=1,IF(K595&lt;&gt;"",K595,IF(H595="High",AsOf,"")),"")</f>
        <v/>
      </c>
      <c r="R595" s="79">
        <f>IF(Q595="","",IF(H595="High",1,IF(Q595="","",IF(Q595&lt;AsOf,1,IF(Q595&lt;=AsOf+AlertDays,2,IF(Q595&lt;=AsOf+2*AlertDays,3,""))))))</f>
        <v/>
      </c>
      <c r="S595" s="79">
        <f>IF(R595="","",IF(H595="High","High-severity issue: ",IF(C595="Punch item","Punch item: ","Issue action due: "))&amp;F595&amp;IF(J595="",""," → "&amp;J595))</f>
        <v/>
      </c>
      <c r="T595" s="79">
        <f>IF(O595=1,IF(I595="",0,I595),0)</f>
        <v/>
      </c>
      <c r="U595" s="79">
        <f>IF(AND(O595=1,H595="High"),1,0)</f>
        <v/>
      </c>
      <c r="V595" s="79">
        <f>IF(AND(O595=1,C595="Punch item"),1,0)</f>
        <v/>
      </c>
    </row>
    <row r="596" ht="24" customHeight="1">
      <c r="B596" s="125" t="n">
        <v>589</v>
      </c>
      <c r="C596" s="72" t="n"/>
      <c r="D596" s="109" t="n"/>
      <c r="E596" s="72" t="n"/>
      <c r="F596" s="113" t="n"/>
      <c r="G596" s="72" t="n"/>
      <c r="H596" s="74" t="n"/>
      <c r="I596" s="73" t="n"/>
      <c r="J596" s="113" t="n"/>
      <c r="K596" s="109" t="n"/>
      <c r="L596" s="72" t="n"/>
      <c r="M596" s="109" t="n"/>
      <c r="N596" s="72" t="n"/>
      <c r="O596" s="79">
        <f>IF(AND(F596&lt;&gt;"",L596&lt;&gt;"Resolved"),1,0)</f>
        <v/>
      </c>
      <c r="P596" s="79">
        <f>IF(F596="","",IF(O596=0,0,IF(H596="High",2,1)))</f>
        <v/>
      </c>
      <c r="Q596" s="112">
        <f>IF(O596=1,IF(K596&lt;&gt;"",K596,IF(H596="High",AsOf,"")),"")</f>
        <v/>
      </c>
      <c r="R596" s="79">
        <f>IF(Q596="","",IF(H596="High",1,IF(Q596="","",IF(Q596&lt;AsOf,1,IF(Q596&lt;=AsOf+AlertDays,2,IF(Q596&lt;=AsOf+2*AlertDays,3,""))))))</f>
        <v/>
      </c>
      <c r="S596" s="79">
        <f>IF(R596="","",IF(H596="High","High-severity issue: ",IF(C596="Punch item","Punch item: ","Issue action due: "))&amp;F596&amp;IF(J596="",""," → "&amp;J596))</f>
        <v/>
      </c>
      <c r="T596" s="79">
        <f>IF(O596=1,IF(I596="",0,I596),0)</f>
        <v/>
      </c>
      <c r="U596" s="79">
        <f>IF(AND(O596=1,H596="High"),1,0)</f>
        <v/>
      </c>
      <c r="V596" s="79">
        <f>IF(AND(O596=1,C596="Punch item"),1,0)</f>
        <v/>
      </c>
    </row>
    <row r="597" ht="24" customHeight="1">
      <c r="B597" s="125" t="n">
        <v>590</v>
      </c>
      <c r="C597" s="72" t="n"/>
      <c r="D597" s="109" t="n"/>
      <c r="E597" s="72" t="n"/>
      <c r="F597" s="113" t="n"/>
      <c r="G597" s="72" t="n"/>
      <c r="H597" s="74" t="n"/>
      <c r="I597" s="73" t="n"/>
      <c r="J597" s="113" t="n"/>
      <c r="K597" s="109" t="n"/>
      <c r="L597" s="72" t="n"/>
      <c r="M597" s="109" t="n"/>
      <c r="N597" s="72" t="n"/>
      <c r="O597" s="79">
        <f>IF(AND(F597&lt;&gt;"",L597&lt;&gt;"Resolved"),1,0)</f>
        <v/>
      </c>
      <c r="P597" s="79">
        <f>IF(F597="","",IF(O597=0,0,IF(H597="High",2,1)))</f>
        <v/>
      </c>
      <c r="Q597" s="112">
        <f>IF(O597=1,IF(K597&lt;&gt;"",K597,IF(H597="High",AsOf,"")),"")</f>
        <v/>
      </c>
      <c r="R597" s="79">
        <f>IF(Q597="","",IF(H597="High",1,IF(Q597="","",IF(Q597&lt;AsOf,1,IF(Q597&lt;=AsOf+AlertDays,2,IF(Q597&lt;=AsOf+2*AlertDays,3,""))))))</f>
        <v/>
      </c>
      <c r="S597" s="79">
        <f>IF(R597="","",IF(H597="High","High-severity issue: ",IF(C597="Punch item","Punch item: ","Issue action due: "))&amp;F597&amp;IF(J597="",""," → "&amp;J597))</f>
        <v/>
      </c>
      <c r="T597" s="79">
        <f>IF(O597=1,IF(I597="",0,I597),0)</f>
        <v/>
      </c>
      <c r="U597" s="79">
        <f>IF(AND(O597=1,H597="High"),1,0)</f>
        <v/>
      </c>
      <c r="V597" s="79">
        <f>IF(AND(O597=1,C597="Punch item"),1,0)</f>
        <v/>
      </c>
    </row>
    <row r="598" ht="24" customHeight="1">
      <c r="B598" s="125" t="n">
        <v>591</v>
      </c>
      <c r="C598" s="72" t="n"/>
      <c r="D598" s="109" t="n"/>
      <c r="E598" s="72" t="n"/>
      <c r="F598" s="113" t="n"/>
      <c r="G598" s="72" t="n"/>
      <c r="H598" s="74" t="n"/>
      <c r="I598" s="73" t="n"/>
      <c r="J598" s="113" t="n"/>
      <c r="K598" s="109" t="n"/>
      <c r="L598" s="72" t="n"/>
      <c r="M598" s="109" t="n"/>
      <c r="N598" s="72" t="n"/>
      <c r="O598" s="79">
        <f>IF(AND(F598&lt;&gt;"",L598&lt;&gt;"Resolved"),1,0)</f>
        <v/>
      </c>
      <c r="P598" s="79">
        <f>IF(F598="","",IF(O598=0,0,IF(H598="High",2,1)))</f>
        <v/>
      </c>
      <c r="Q598" s="112">
        <f>IF(O598=1,IF(K598&lt;&gt;"",K598,IF(H598="High",AsOf,"")),"")</f>
        <v/>
      </c>
      <c r="R598" s="79">
        <f>IF(Q598="","",IF(H598="High",1,IF(Q598="","",IF(Q598&lt;AsOf,1,IF(Q598&lt;=AsOf+AlertDays,2,IF(Q598&lt;=AsOf+2*AlertDays,3,""))))))</f>
        <v/>
      </c>
      <c r="S598" s="79">
        <f>IF(R598="","",IF(H598="High","High-severity issue: ",IF(C598="Punch item","Punch item: ","Issue action due: "))&amp;F598&amp;IF(J598="",""," → "&amp;J598))</f>
        <v/>
      </c>
      <c r="T598" s="79">
        <f>IF(O598=1,IF(I598="",0,I598),0)</f>
        <v/>
      </c>
      <c r="U598" s="79">
        <f>IF(AND(O598=1,H598="High"),1,0)</f>
        <v/>
      </c>
      <c r="V598" s="79">
        <f>IF(AND(O598=1,C598="Punch item"),1,0)</f>
        <v/>
      </c>
    </row>
    <row r="599" ht="24" customHeight="1">
      <c r="B599" s="125" t="n">
        <v>592</v>
      </c>
      <c r="C599" s="72" t="n"/>
      <c r="D599" s="109" t="n"/>
      <c r="E599" s="72" t="n"/>
      <c r="F599" s="113" t="n"/>
      <c r="G599" s="72" t="n"/>
      <c r="H599" s="74" t="n"/>
      <c r="I599" s="73" t="n"/>
      <c r="J599" s="113" t="n"/>
      <c r="K599" s="109" t="n"/>
      <c r="L599" s="72" t="n"/>
      <c r="M599" s="109" t="n"/>
      <c r="N599" s="72" t="n"/>
      <c r="O599" s="79">
        <f>IF(AND(F599&lt;&gt;"",L599&lt;&gt;"Resolved"),1,0)</f>
        <v/>
      </c>
      <c r="P599" s="79">
        <f>IF(F599="","",IF(O599=0,0,IF(H599="High",2,1)))</f>
        <v/>
      </c>
      <c r="Q599" s="112">
        <f>IF(O599=1,IF(K599&lt;&gt;"",K599,IF(H599="High",AsOf,"")),"")</f>
        <v/>
      </c>
      <c r="R599" s="79">
        <f>IF(Q599="","",IF(H599="High",1,IF(Q599="","",IF(Q599&lt;AsOf,1,IF(Q599&lt;=AsOf+AlertDays,2,IF(Q599&lt;=AsOf+2*AlertDays,3,""))))))</f>
        <v/>
      </c>
      <c r="S599" s="79">
        <f>IF(R599="","",IF(H599="High","High-severity issue: ",IF(C599="Punch item","Punch item: ","Issue action due: "))&amp;F599&amp;IF(J599="",""," → "&amp;J599))</f>
        <v/>
      </c>
      <c r="T599" s="79">
        <f>IF(O599=1,IF(I599="",0,I599),0)</f>
        <v/>
      </c>
      <c r="U599" s="79">
        <f>IF(AND(O599=1,H599="High"),1,0)</f>
        <v/>
      </c>
      <c r="V599" s="79">
        <f>IF(AND(O599=1,C599="Punch item"),1,0)</f>
        <v/>
      </c>
    </row>
    <row r="600" ht="24" customHeight="1">
      <c r="B600" s="125" t="n">
        <v>593</v>
      </c>
      <c r="C600" s="72" t="n"/>
      <c r="D600" s="109" t="n"/>
      <c r="E600" s="72" t="n"/>
      <c r="F600" s="113" t="n"/>
      <c r="G600" s="72" t="n"/>
      <c r="H600" s="74" t="n"/>
      <c r="I600" s="73" t="n"/>
      <c r="J600" s="113" t="n"/>
      <c r="K600" s="109" t="n"/>
      <c r="L600" s="72" t="n"/>
      <c r="M600" s="109" t="n"/>
      <c r="N600" s="72" t="n"/>
      <c r="O600" s="79">
        <f>IF(AND(F600&lt;&gt;"",L600&lt;&gt;"Resolved"),1,0)</f>
        <v/>
      </c>
      <c r="P600" s="79">
        <f>IF(F600="","",IF(O600=0,0,IF(H600="High",2,1)))</f>
        <v/>
      </c>
      <c r="Q600" s="112">
        <f>IF(O600=1,IF(K600&lt;&gt;"",K600,IF(H600="High",AsOf,"")),"")</f>
        <v/>
      </c>
      <c r="R600" s="79">
        <f>IF(Q600="","",IF(H600="High",1,IF(Q600="","",IF(Q600&lt;AsOf,1,IF(Q600&lt;=AsOf+AlertDays,2,IF(Q600&lt;=AsOf+2*AlertDays,3,""))))))</f>
        <v/>
      </c>
      <c r="S600" s="79">
        <f>IF(R600="","",IF(H600="High","High-severity issue: ",IF(C600="Punch item","Punch item: ","Issue action due: "))&amp;F600&amp;IF(J600="",""," → "&amp;J600))</f>
        <v/>
      </c>
      <c r="T600" s="79">
        <f>IF(O600=1,IF(I600="",0,I600),0)</f>
        <v/>
      </c>
      <c r="U600" s="79">
        <f>IF(AND(O600=1,H600="High"),1,0)</f>
        <v/>
      </c>
      <c r="V600" s="79">
        <f>IF(AND(O600=1,C600="Punch item"),1,0)</f>
        <v/>
      </c>
    </row>
    <row r="601" ht="24" customHeight="1">
      <c r="B601" s="125" t="n">
        <v>594</v>
      </c>
      <c r="C601" s="72" t="n"/>
      <c r="D601" s="109" t="n"/>
      <c r="E601" s="72" t="n"/>
      <c r="F601" s="113" t="n"/>
      <c r="G601" s="72" t="n"/>
      <c r="H601" s="74" t="n"/>
      <c r="I601" s="73" t="n"/>
      <c r="J601" s="113" t="n"/>
      <c r="K601" s="109" t="n"/>
      <c r="L601" s="72" t="n"/>
      <c r="M601" s="109" t="n"/>
      <c r="N601" s="72" t="n"/>
      <c r="O601" s="79">
        <f>IF(AND(F601&lt;&gt;"",L601&lt;&gt;"Resolved"),1,0)</f>
        <v/>
      </c>
      <c r="P601" s="79">
        <f>IF(F601="","",IF(O601=0,0,IF(H601="High",2,1)))</f>
        <v/>
      </c>
      <c r="Q601" s="112">
        <f>IF(O601=1,IF(K601&lt;&gt;"",K601,IF(H601="High",AsOf,"")),"")</f>
        <v/>
      </c>
      <c r="R601" s="79">
        <f>IF(Q601="","",IF(H601="High",1,IF(Q601="","",IF(Q601&lt;AsOf,1,IF(Q601&lt;=AsOf+AlertDays,2,IF(Q601&lt;=AsOf+2*AlertDays,3,""))))))</f>
        <v/>
      </c>
      <c r="S601" s="79">
        <f>IF(R601="","",IF(H601="High","High-severity issue: ",IF(C601="Punch item","Punch item: ","Issue action due: "))&amp;F601&amp;IF(J601="",""," → "&amp;J601))</f>
        <v/>
      </c>
      <c r="T601" s="79">
        <f>IF(O601=1,IF(I601="",0,I601),0)</f>
        <v/>
      </c>
      <c r="U601" s="79">
        <f>IF(AND(O601=1,H601="High"),1,0)</f>
        <v/>
      </c>
      <c r="V601" s="79">
        <f>IF(AND(O601=1,C601="Punch item"),1,0)</f>
        <v/>
      </c>
    </row>
    <row r="602" ht="24" customHeight="1">
      <c r="B602" s="125" t="n">
        <v>595</v>
      </c>
      <c r="C602" s="72" t="n"/>
      <c r="D602" s="109" t="n"/>
      <c r="E602" s="72" t="n"/>
      <c r="F602" s="113" t="n"/>
      <c r="G602" s="72" t="n"/>
      <c r="H602" s="74" t="n"/>
      <c r="I602" s="73" t="n"/>
      <c r="J602" s="113" t="n"/>
      <c r="K602" s="109" t="n"/>
      <c r="L602" s="72" t="n"/>
      <c r="M602" s="109" t="n"/>
      <c r="N602" s="72" t="n"/>
      <c r="O602" s="79">
        <f>IF(AND(F602&lt;&gt;"",L602&lt;&gt;"Resolved"),1,0)</f>
        <v/>
      </c>
      <c r="P602" s="79">
        <f>IF(F602="","",IF(O602=0,0,IF(H602="High",2,1)))</f>
        <v/>
      </c>
      <c r="Q602" s="112">
        <f>IF(O602=1,IF(K602&lt;&gt;"",K602,IF(H602="High",AsOf,"")),"")</f>
        <v/>
      </c>
      <c r="R602" s="79">
        <f>IF(Q602="","",IF(H602="High",1,IF(Q602="","",IF(Q602&lt;AsOf,1,IF(Q602&lt;=AsOf+AlertDays,2,IF(Q602&lt;=AsOf+2*AlertDays,3,""))))))</f>
        <v/>
      </c>
      <c r="S602" s="79">
        <f>IF(R602="","",IF(H602="High","High-severity issue: ",IF(C602="Punch item","Punch item: ","Issue action due: "))&amp;F602&amp;IF(J602="",""," → "&amp;J602))</f>
        <v/>
      </c>
      <c r="T602" s="79">
        <f>IF(O602=1,IF(I602="",0,I602),0)</f>
        <v/>
      </c>
      <c r="U602" s="79">
        <f>IF(AND(O602=1,H602="High"),1,0)</f>
        <v/>
      </c>
      <c r="V602" s="79">
        <f>IF(AND(O602=1,C602="Punch item"),1,0)</f>
        <v/>
      </c>
    </row>
    <row r="603" ht="24" customHeight="1">
      <c r="B603" s="125" t="n">
        <v>596</v>
      </c>
      <c r="C603" s="72" t="n"/>
      <c r="D603" s="109" t="n"/>
      <c r="E603" s="72" t="n"/>
      <c r="F603" s="113" t="n"/>
      <c r="G603" s="72" t="n"/>
      <c r="H603" s="74" t="n"/>
      <c r="I603" s="73" t="n"/>
      <c r="J603" s="113" t="n"/>
      <c r="K603" s="109" t="n"/>
      <c r="L603" s="72" t="n"/>
      <c r="M603" s="109" t="n"/>
      <c r="N603" s="72" t="n"/>
      <c r="O603" s="79">
        <f>IF(AND(F603&lt;&gt;"",L603&lt;&gt;"Resolved"),1,0)</f>
        <v/>
      </c>
      <c r="P603" s="79">
        <f>IF(F603="","",IF(O603=0,0,IF(H603="High",2,1)))</f>
        <v/>
      </c>
      <c r="Q603" s="112">
        <f>IF(O603=1,IF(K603&lt;&gt;"",K603,IF(H603="High",AsOf,"")),"")</f>
        <v/>
      </c>
      <c r="R603" s="79">
        <f>IF(Q603="","",IF(H603="High",1,IF(Q603="","",IF(Q603&lt;AsOf,1,IF(Q603&lt;=AsOf+AlertDays,2,IF(Q603&lt;=AsOf+2*AlertDays,3,""))))))</f>
        <v/>
      </c>
      <c r="S603" s="79">
        <f>IF(R603="","",IF(H603="High","High-severity issue: ",IF(C603="Punch item","Punch item: ","Issue action due: "))&amp;F603&amp;IF(J603="",""," → "&amp;J603))</f>
        <v/>
      </c>
      <c r="T603" s="79">
        <f>IF(O603=1,IF(I603="",0,I603),0)</f>
        <v/>
      </c>
      <c r="U603" s="79">
        <f>IF(AND(O603=1,H603="High"),1,0)</f>
        <v/>
      </c>
      <c r="V603" s="79">
        <f>IF(AND(O603=1,C603="Punch item"),1,0)</f>
        <v/>
      </c>
    </row>
    <row r="604" ht="24" customHeight="1">
      <c r="B604" s="125" t="n">
        <v>597</v>
      </c>
      <c r="C604" s="72" t="n"/>
      <c r="D604" s="109" t="n"/>
      <c r="E604" s="72" t="n"/>
      <c r="F604" s="113" t="n"/>
      <c r="G604" s="72" t="n"/>
      <c r="H604" s="74" t="n"/>
      <c r="I604" s="73" t="n"/>
      <c r="J604" s="113" t="n"/>
      <c r="K604" s="109" t="n"/>
      <c r="L604" s="72" t="n"/>
      <c r="M604" s="109" t="n"/>
      <c r="N604" s="72" t="n"/>
      <c r="O604" s="79">
        <f>IF(AND(F604&lt;&gt;"",L604&lt;&gt;"Resolved"),1,0)</f>
        <v/>
      </c>
      <c r="P604" s="79">
        <f>IF(F604="","",IF(O604=0,0,IF(H604="High",2,1)))</f>
        <v/>
      </c>
      <c r="Q604" s="112">
        <f>IF(O604=1,IF(K604&lt;&gt;"",K604,IF(H604="High",AsOf,"")),"")</f>
        <v/>
      </c>
      <c r="R604" s="79">
        <f>IF(Q604="","",IF(H604="High",1,IF(Q604="","",IF(Q604&lt;AsOf,1,IF(Q604&lt;=AsOf+AlertDays,2,IF(Q604&lt;=AsOf+2*AlertDays,3,""))))))</f>
        <v/>
      </c>
      <c r="S604" s="79">
        <f>IF(R604="","",IF(H604="High","High-severity issue: ",IF(C604="Punch item","Punch item: ","Issue action due: "))&amp;F604&amp;IF(J604="",""," → "&amp;J604))</f>
        <v/>
      </c>
      <c r="T604" s="79">
        <f>IF(O604=1,IF(I604="",0,I604),0)</f>
        <v/>
      </c>
      <c r="U604" s="79">
        <f>IF(AND(O604=1,H604="High"),1,0)</f>
        <v/>
      </c>
      <c r="V604" s="79">
        <f>IF(AND(O604=1,C604="Punch item"),1,0)</f>
        <v/>
      </c>
    </row>
    <row r="605" ht="24" customHeight="1">
      <c r="B605" s="125" t="n">
        <v>598</v>
      </c>
      <c r="C605" s="72" t="n"/>
      <c r="D605" s="109" t="n"/>
      <c r="E605" s="72" t="n"/>
      <c r="F605" s="113" t="n"/>
      <c r="G605" s="72" t="n"/>
      <c r="H605" s="74" t="n"/>
      <c r="I605" s="73" t="n"/>
      <c r="J605" s="113" t="n"/>
      <c r="K605" s="109" t="n"/>
      <c r="L605" s="72" t="n"/>
      <c r="M605" s="109" t="n"/>
      <c r="N605" s="72" t="n"/>
      <c r="O605" s="79">
        <f>IF(AND(F605&lt;&gt;"",L605&lt;&gt;"Resolved"),1,0)</f>
        <v/>
      </c>
      <c r="P605" s="79">
        <f>IF(F605="","",IF(O605=0,0,IF(H605="High",2,1)))</f>
        <v/>
      </c>
      <c r="Q605" s="112">
        <f>IF(O605=1,IF(K605&lt;&gt;"",K605,IF(H605="High",AsOf,"")),"")</f>
        <v/>
      </c>
      <c r="R605" s="79">
        <f>IF(Q605="","",IF(H605="High",1,IF(Q605="","",IF(Q605&lt;AsOf,1,IF(Q605&lt;=AsOf+AlertDays,2,IF(Q605&lt;=AsOf+2*AlertDays,3,""))))))</f>
        <v/>
      </c>
      <c r="S605" s="79">
        <f>IF(R605="","",IF(H605="High","High-severity issue: ",IF(C605="Punch item","Punch item: ","Issue action due: "))&amp;F605&amp;IF(J605="",""," → "&amp;J605))</f>
        <v/>
      </c>
      <c r="T605" s="79">
        <f>IF(O605=1,IF(I605="",0,I605),0)</f>
        <v/>
      </c>
      <c r="U605" s="79">
        <f>IF(AND(O605=1,H605="High"),1,0)</f>
        <v/>
      </c>
      <c r="V605" s="79">
        <f>IF(AND(O605=1,C605="Punch item"),1,0)</f>
        <v/>
      </c>
    </row>
    <row r="606" ht="24" customHeight="1">
      <c r="B606" s="125" t="n">
        <v>599</v>
      </c>
      <c r="C606" s="72" t="n"/>
      <c r="D606" s="109" t="n"/>
      <c r="E606" s="72" t="n"/>
      <c r="F606" s="113" t="n"/>
      <c r="G606" s="72" t="n"/>
      <c r="H606" s="74" t="n"/>
      <c r="I606" s="73" t="n"/>
      <c r="J606" s="113" t="n"/>
      <c r="K606" s="109" t="n"/>
      <c r="L606" s="72" t="n"/>
      <c r="M606" s="109" t="n"/>
      <c r="N606" s="72" t="n"/>
      <c r="O606" s="79">
        <f>IF(AND(F606&lt;&gt;"",L606&lt;&gt;"Resolved"),1,0)</f>
        <v/>
      </c>
      <c r="P606" s="79">
        <f>IF(F606="","",IF(O606=0,0,IF(H606="High",2,1)))</f>
        <v/>
      </c>
      <c r="Q606" s="112">
        <f>IF(O606=1,IF(K606&lt;&gt;"",K606,IF(H606="High",AsOf,"")),"")</f>
        <v/>
      </c>
      <c r="R606" s="79">
        <f>IF(Q606="","",IF(H606="High",1,IF(Q606="","",IF(Q606&lt;AsOf,1,IF(Q606&lt;=AsOf+AlertDays,2,IF(Q606&lt;=AsOf+2*AlertDays,3,""))))))</f>
        <v/>
      </c>
      <c r="S606" s="79">
        <f>IF(R606="","",IF(H606="High","High-severity issue: ",IF(C606="Punch item","Punch item: ","Issue action due: "))&amp;F606&amp;IF(J606="",""," → "&amp;J606))</f>
        <v/>
      </c>
      <c r="T606" s="79">
        <f>IF(O606=1,IF(I606="",0,I606),0)</f>
        <v/>
      </c>
      <c r="U606" s="79">
        <f>IF(AND(O606=1,H606="High"),1,0)</f>
        <v/>
      </c>
      <c r="V606" s="79">
        <f>IF(AND(O606=1,C606="Punch item"),1,0)</f>
        <v/>
      </c>
    </row>
    <row r="607" ht="24" customHeight="1">
      <c r="B607" s="125" t="n">
        <v>600</v>
      </c>
      <c r="C607" s="72" t="n"/>
      <c r="D607" s="109" t="n"/>
      <c r="E607" s="72" t="n"/>
      <c r="F607" s="113" t="n"/>
      <c r="G607" s="72" t="n"/>
      <c r="H607" s="74" t="n"/>
      <c r="I607" s="73" t="n"/>
      <c r="J607" s="113" t="n"/>
      <c r="K607" s="109" t="n"/>
      <c r="L607" s="72" t="n"/>
      <c r="M607" s="109" t="n"/>
      <c r="N607" s="72" t="n"/>
      <c r="O607" s="79">
        <f>IF(AND(F607&lt;&gt;"",L607&lt;&gt;"Resolved"),1,0)</f>
        <v/>
      </c>
      <c r="P607" s="79">
        <f>IF(F607="","",IF(O607=0,0,IF(H607="High",2,1)))</f>
        <v/>
      </c>
      <c r="Q607" s="112">
        <f>IF(O607=1,IF(K607&lt;&gt;"",K607,IF(H607="High",AsOf,"")),"")</f>
        <v/>
      </c>
      <c r="R607" s="79">
        <f>IF(Q607="","",IF(H607="High",1,IF(Q607="","",IF(Q607&lt;AsOf,1,IF(Q607&lt;=AsOf+AlertDays,2,IF(Q607&lt;=AsOf+2*AlertDays,3,""))))))</f>
        <v/>
      </c>
      <c r="S607" s="79">
        <f>IF(R607="","",IF(H607="High","High-severity issue: ",IF(C607="Punch item","Punch item: ","Issue action due: "))&amp;F607&amp;IF(J607="",""," → "&amp;J607))</f>
        <v/>
      </c>
      <c r="T607" s="79">
        <f>IF(O607=1,IF(I607="",0,I607),0)</f>
        <v/>
      </c>
      <c r="U607" s="79">
        <f>IF(AND(O607=1,H607="High"),1,0)</f>
        <v/>
      </c>
      <c r="V607" s="79">
        <f>IF(AND(O607=1,C607="Punch item"),1,0)</f>
        <v/>
      </c>
    </row>
    <row r="608" ht="24" customHeight="1">
      <c r="B608" s="125" t="n">
        <v>601</v>
      </c>
      <c r="C608" s="72" t="n"/>
      <c r="D608" s="109" t="n"/>
      <c r="E608" s="72" t="n"/>
      <c r="F608" s="113" t="n"/>
      <c r="G608" s="72" t="n"/>
      <c r="H608" s="74" t="n"/>
      <c r="I608" s="73" t="n"/>
      <c r="J608" s="113" t="n"/>
      <c r="K608" s="109" t="n"/>
      <c r="L608" s="72" t="n"/>
      <c r="M608" s="109" t="n"/>
      <c r="N608" s="72" t="n"/>
      <c r="O608" s="79">
        <f>IF(AND(F608&lt;&gt;"",L608&lt;&gt;"Resolved"),1,0)</f>
        <v/>
      </c>
      <c r="P608" s="79">
        <f>IF(F608="","",IF(O608=0,0,IF(H608="High",2,1)))</f>
        <v/>
      </c>
      <c r="Q608" s="112">
        <f>IF(O608=1,IF(K608&lt;&gt;"",K608,IF(H608="High",AsOf,"")),"")</f>
        <v/>
      </c>
      <c r="R608" s="79">
        <f>IF(Q608="","",IF(H608="High",1,IF(Q608="","",IF(Q608&lt;AsOf,1,IF(Q608&lt;=AsOf+AlertDays,2,IF(Q608&lt;=AsOf+2*AlertDays,3,""))))))</f>
        <v/>
      </c>
      <c r="S608" s="79">
        <f>IF(R608="","",IF(H608="High","High-severity issue: ",IF(C608="Punch item","Punch item: ","Issue action due: "))&amp;F608&amp;IF(J608="",""," → "&amp;J608))</f>
        <v/>
      </c>
      <c r="T608" s="79">
        <f>IF(O608=1,IF(I608="",0,I608),0)</f>
        <v/>
      </c>
      <c r="U608" s="79">
        <f>IF(AND(O608=1,H608="High"),1,0)</f>
        <v/>
      </c>
      <c r="V608" s="79">
        <f>IF(AND(O608=1,C608="Punch item"),1,0)</f>
        <v/>
      </c>
    </row>
    <row r="609" ht="24" customHeight="1">
      <c r="B609" s="125" t="n">
        <v>602</v>
      </c>
      <c r="C609" s="72" t="n"/>
      <c r="D609" s="109" t="n"/>
      <c r="E609" s="72" t="n"/>
      <c r="F609" s="113" t="n"/>
      <c r="G609" s="72" t="n"/>
      <c r="H609" s="74" t="n"/>
      <c r="I609" s="73" t="n"/>
      <c r="J609" s="113" t="n"/>
      <c r="K609" s="109" t="n"/>
      <c r="L609" s="72" t="n"/>
      <c r="M609" s="109" t="n"/>
      <c r="N609" s="72" t="n"/>
      <c r="O609" s="79">
        <f>IF(AND(F609&lt;&gt;"",L609&lt;&gt;"Resolved"),1,0)</f>
        <v/>
      </c>
      <c r="P609" s="79">
        <f>IF(F609="","",IF(O609=0,0,IF(H609="High",2,1)))</f>
        <v/>
      </c>
      <c r="Q609" s="112">
        <f>IF(O609=1,IF(K609&lt;&gt;"",K609,IF(H609="High",AsOf,"")),"")</f>
        <v/>
      </c>
      <c r="R609" s="79">
        <f>IF(Q609="","",IF(H609="High",1,IF(Q609="","",IF(Q609&lt;AsOf,1,IF(Q609&lt;=AsOf+AlertDays,2,IF(Q609&lt;=AsOf+2*AlertDays,3,""))))))</f>
        <v/>
      </c>
      <c r="S609" s="79">
        <f>IF(R609="","",IF(H609="High","High-severity issue: ",IF(C609="Punch item","Punch item: ","Issue action due: "))&amp;F609&amp;IF(J609="",""," → "&amp;J609))</f>
        <v/>
      </c>
      <c r="T609" s="79">
        <f>IF(O609=1,IF(I609="",0,I609),0)</f>
        <v/>
      </c>
      <c r="U609" s="79">
        <f>IF(AND(O609=1,H609="High"),1,0)</f>
        <v/>
      </c>
      <c r="V609" s="79">
        <f>IF(AND(O609=1,C609="Punch item"),1,0)</f>
        <v/>
      </c>
    </row>
    <row r="610" ht="24" customHeight="1">
      <c r="B610" s="125" t="n">
        <v>603</v>
      </c>
      <c r="C610" s="72" t="n"/>
      <c r="D610" s="109" t="n"/>
      <c r="E610" s="72" t="n"/>
      <c r="F610" s="113" t="n"/>
      <c r="G610" s="72" t="n"/>
      <c r="H610" s="74" t="n"/>
      <c r="I610" s="73" t="n"/>
      <c r="J610" s="113" t="n"/>
      <c r="K610" s="109" t="n"/>
      <c r="L610" s="72" t="n"/>
      <c r="M610" s="109" t="n"/>
      <c r="N610" s="72" t="n"/>
      <c r="O610" s="79">
        <f>IF(AND(F610&lt;&gt;"",L610&lt;&gt;"Resolved"),1,0)</f>
        <v/>
      </c>
      <c r="P610" s="79">
        <f>IF(F610="","",IF(O610=0,0,IF(H610="High",2,1)))</f>
        <v/>
      </c>
      <c r="Q610" s="112">
        <f>IF(O610=1,IF(K610&lt;&gt;"",K610,IF(H610="High",AsOf,"")),"")</f>
        <v/>
      </c>
      <c r="R610" s="79">
        <f>IF(Q610="","",IF(H610="High",1,IF(Q610="","",IF(Q610&lt;AsOf,1,IF(Q610&lt;=AsOf+AlertDays,2,IF(Q610&lt;=AsOf+2*AlertDays,3,""))))))</f>
        <v/>
      </c>
      <c r="S610" s="79">
        <f>IF(R610="","",IF(H610="High","High-severity issue: ",IF(C610="Punch item","Punch item: ","Issue action due: "))&amp;F610&amp;IF(J610="",""," → "&amp;J610))</f>
        <v/>
      </c>
      <c r="T610" s="79">
        <f>IF(O610=1,IF(I610="",0,I610),0)</f>
        <v/>
      </c>
      <c r="U610" s="79">
        <f>IF(AND(O610=1,H610="High"),1,0)</f>
        <v/>
      </c>
      <c r="V610" s="79">
        <f>IF(AND(O610=1,C610="Punch item"),1,0)</f>
        <v/>
      </c>
    </row>
    <row r="611" ht="24" customHeight="1">
      <c r="B611" s="125" t="n">
        <v>604</v>
      </c>
      <c r="C611" s="72" t="n"/>
      <c r="D611" s="109" t="n"/>
      <c r="E611" s="72" t="n"/>
      <c r="F611" s="113" t="n"/>
      <c r="G611" s="72" t="n"/>
      <c r="H611" s="74" t="n"/>
      <c r="I611" s="73" t="n"/>
      <c r="J611" s="113" t="n"/>
      <c r="K611" s="109" t="n"/>
      <c r="L611" s="72" t="n"/>
      <c r="M611" s="109" t="n"/>
      <c r="N611" s="72" t="n"/>
      <c r="O611" s="79">
        <f>IF(AND(F611&lt;&gt;"",L611&lt;&gt;"Resolved"),1,0)</f>
        <v/>
      </c>
      <c r="P611" s="79">
        <f>IF(F611="","",IF(O611=0,0,IF(H611="High",2,1)))</f>
        <v/>
      </c>
      <c r="Q611" s="112">
        <f>IF(O611=1,IF(K611&lt;&gt;"",K611,IF(H611="High",AsOf,"")),"")</f>
        <v/>
      </c>
      <c r="R611" s="79">
        <f>IF(Q611="","",IF(H611="High",1,IF(Q611="","",IF(Q611&lt;AsOf,1,IF(Q611&lt;=AsOf+AlertDays,2,IF(Q611&lt;=AsOf+2*AlertDays,3,""))))))</f>
        <v/>
      </c>
      <c r="S611" s="79">
        <f>IF(R611="","",IF(H611="High","High-severity issue: ",IF(C611="Punch item","Punch item: ","Issue action due: "))&amp;F611&amp;IF(J611="",""," → "&amp;J611))</f>
        <v/>
      </c>
      <c r="T611" s="79">
        <f>IF(O611=1,IF(I611="",0,I611),0)</f>
        <v/>
      </c>
      <c r="U611" s="79">
        <f>IF(AND(O611=1,H611="High"),1,0)</f>
        <v/>
      </c>
      <c r="V611" s="79">
        <f>IF(AND(O611=1,C611="Punch item"),1,0)</f>
        <v/>
      </c>
    </row>
    <row r="612" ht="24" customHeight="1">
      <c r="B612" s="125" t="n">
        <v>605</v>
      </c>
      <c r="C612" s="72" t="n"/>
      <c r="D612" s="109" t="n"/>
      <c r="E612" s="72" t="n"/>
      <c r="F612" s="113" t="n"/>
      <c r="G612" s="72" t="n"/>
      <c r="H612" s="74" t="n"/>
      <c r="I612" s="73" t="n"/>
      <c r="J612" s="113" t="n"/>
      <c r="K612" s="109" t="n"/>
      <c r="L612" s="72" t="n"/>
      <c r="M612" s="109" t="n"/>
      <c r="N612" s="72" t="n"/>
      <c r="O612" s="79">
        <f>IF(AND(F612&lt;&gt;"",L612&lt;&gt;"Resolved"),1,0)</f>
        <v/>
      </c>
      <c r="P612" s="79">
        <f>IF(F612="","",IF(O612=0,0,IF(H612="High",2,1)))</f>
        <v/>
      </c>
      <c r="Q612" s="112">
        <f>IF(O612=1,IF(K612&lt;&gt;"",K612,IF(H612="High",AsOf,"")),"")</f>
        <v/>
      </c>
      <c r="R612" s="79">
        <f>IF(Q612="","",IF(H612="High",1,IF(Q612="","",IF(Q612&lt;AsOf,1,IF(Q612&lt;=AsOf+AlertDays,2,IF(Q612&lt;=AsOf+2*AlertDays,3,""))))))</f>
        <v/>
      </c>
      <c r="S612" s="79">
        <f>IF(R612="","",IF(H612="High","High-severity issue: ",IF(C612="Punch item","Punch item: ","Issue action due: "))&amp;F612&amp;IF(J612="",""," → "&amp;J612))</f>
        <v/>
      </c>
      <c r="T612" s="79">
        <f>IF(O612=1,IF(I612="",0,I612),0)</f>
        <v/>
      </c>
      <c r="U612" s="79">
        <f>IF(AND(O612=1,H612="High"),1,0)</f>
        <v/>
      </c>
      <c r="V612" s="79">
        <f>IF(AND(O612=1,C612="Punch item"),1,0)</f>
        <v/>
      </c>
    </row>
    <row r="613" ht="24" customHeight="1">
      <c r="B613" s="125" t="n">
        <v>606</v>
      </c>
      <c r="C613" s="72" t="n"/>
      <c r="D613" s="109" t="n"/>
      <c r="E613" s="72" t="n"/>
      <c r="F613" s="113" t="n"/>
      <c r="G613" s="72" t="n"/>
      <c r="H613" s="74" t="n"/>
      <c r="I613" s="73" t="n"/>
      <c r="J613" s="113" t="n"/>
      <c r="K613" s="109" t="n"/>
      <c r="L613" s="72" t="n"/>
      <c r="M613" s="109" t="n"/>
      <c r="N613" s="72" t="n"/>
      <c r="O613" s="79">
        <f>IF(AND(F613&lt;&gt;"",L613&lt;&gt;"Resolved"),1,0)</f>
        <v/>
      </c>
      <c r="P613" s="79">
        <f>IF(F613="","",IF(O613=0,0,IF(H613="High",2,1)))</f>
        <v/>
      </c>
      <c r="Q613" s="112">
        <f>IF(O613=1,IF(K613&lt;&gt;"",K613,IF(H613="High",AsOf,"")),"")</f>
        <v/>
      </c>
      <c r="R613" s="79">
        <f>IF(Q613="","",IF(H613="High",1,IF(Q613="","",IF(Q613&lt;AsOf,1,IF(Q613&lt;=AsOf+AlertDays,2,IF(Q613&lt;=AsOf+2*AlertDays,3,""))))))</f>
        <v/>
      </c>
      <c r="S613" s="79">
        <f>IF(R613="","",IF(H613="High","High-severity issue: ",IF(C613="Punch item","Punch item: ","Issue action due: "))&amp;F613&amp;IF(J613="",""," → "&amp;J613))</f>
        <v/>
      </c>
      <c r="T613" s="79">
        <f>IF(O613=1,IF(I613="",0,I613),0)</f>
        <v/>
      </c>
      <c r="U613" s="79">
        <f>IF(AND(O613=1,H613="High"),1,0)</f>
        <v/>
      </c>
      <c r="V613" s="79">
        <f>IF(AND(O613=1,C613="Punch item"),1,0)</f>
        <v/>
      </c>
    </row>
    <row r="614" ht="24" customHeight="1">
      <c r="B614" s="125" t="n">
        <v>607</v>
      </c>
      <c r="C614" s="72" t="n"/>
      <c r="D614" s="109" t="n"/>
      <c r="E614" s="72" t="n"/>
      <c r="F614" s="113" t="n"/>
      <c r="G614" s="72" t="n"/>
      <c r="H614" s="74" t="n"/>
      <c r="I614" s="73" t="n"/>
      <c r="J614" s="113" t="n"/>
      <c r="K614" s="109" t="n"/>
      <c r="L614" s="72" t="n"/>
      <c r="M614" s="109" t="n"/>
      <c r="N614" s="72" t="n"/>
      <c r="O614" s="79">
        <f>IF(AND(F614&lt;&gt;"",L614&lt;&gt;"Resolved"),1,0)</f>
        <v/>
      </c>
      <c r="P614" s="79">
        <f>IF(F614="","",IF(O614=0,0,IF(H614="High",2,1)))</f>
        <v/>
      </c>
      <c r="Q614" s="112">
        <f>IF(O614=1,IF(K614&lt;&gt;"",K614,IF(H614="High",AsOf,"")),"")</f>
        <v/>
      </c>
      <c r="R614" s="79">
        <f>IF(Q614="","",IF(H614="High",1,IF(Q614="","",IF(Q614&lt;AsOf,1,IF(Q614&lt;=AsOf+AlertDays,2,IF(Q614&lt;=AsOf+2*AlertDays,3,""))))))</f>
        <v/>
      </c>
      <c r="S614" s="79">
        <f>IF(R614="","",IF(H614="High","High-severity issue: ",IF(C614="Punch item","Punch item: ","Issue action due: "))&amp;F614&amp;IF(J614="",""," → "&amp;J614))</f>
        <v/>
      </c>
      <c r="T614" s="79">
        <f>IF(O614=1,IF(I614="",0,I614),0)</f>
        <v/>
      </c>
      <c r="U614" s="79">
        <f>IF(AND(O614=1,H614="High"),1,0)</f>
        <v/>
      </c>
      <c r="V614" s="79">
        <f>IF(AND(O614=1,C614="Punch item"),1,0)</f>
        <v/>
      </c>
    </row>
    <row r="615" ht="24" customHeight="1">
      <c r="B615" s="125" t="n">
        <v>608</v>
      </c>
      <c r="C615" s="72" t="n"/>
      <c r="D615" s="109" t="n"/>
      <c r="E615" s="72" t="n"/>
      <c r="F615" s="113" t="n"/>
      <c r="G615" s="72" t="n"/>
      <c r="H615" s="74" t="n"/>
      <c r="I615" s="73" t="n"/>
      <c r="J615" s="113" t="n"/>
      <c r="K615" s="109" t="n"/>
      <c r="L615" s="72" t="n"/>
      <c r="M615" s="109" t="n"/>
      <c r="N615" s="72" t="n"/>
      <c r="O615" s="79">
        <f>IF(AND(F615&lt;&gt;"",L615&lt;&gt;"Resolved"),1,0)</f>
        <v/>
      </c>
      <c r="P615" s="79">
        <f>IF(F615="","",IF(O615=0,0,IF(H615="High",2,1)))</f>
        <v/>
      </c>
      <c r="Q615" s="112">
        <f>IF(O615=1,IF(K615&lt;&gt;"",K615,IF(H615="High",AsOf,"")),"")</f>
        <v/>
      </c>
      <c r="R615" s="79">
        <f>IF(Q615="","",IF(H615="High",1,IF(Q615="","",IF(Q615&lt;AsOf,1,IF(Q615&lt;=AsOf+AlertDays,2,IF(Q615&lt;=AsOf+2*AlertDays,3,""))))))</f>
        <v/>
      </c>
      <c r="S615" s="79">
        <f>IF(R615="","",IF(H615="High","High-severity issue: ",IF(C615="Punch item","Punch item: ","Issue action due: "))&amp;F615&amp;IF(J615="",""," → "&amp;J615))</f>
        <v/>
      </c>
      <c r="T615" s="79">
        <f>IF(O615=1,IF(I615="",0,I615),0)</f>
        <v/>
      </c>
      <c r="U615" s="79">
        <f>IF(AND(O615=1,H615="High"),1,0)</f>
        <v/>
      </c>
      <c r="V615" s="79">
        <f>IF(AND(O615=1,C615="Punch item"),1,0)</f>
        <v/>
      </c>
    </row>
    <row r="616" ht="24" customHeight="1">
      <c r="B616" s="125" t="n">
        <v>609</v>
      </c>
      <c r="C616" s="72" t="n"/>
      <c r="D616" s="109" t="n"/>
      <c r="E616" s="72" t="n"/>
      <c r="F616" s="113" t="n"/>
      <c r="G616" s="72" t="n"/>
      <c r="H616" s="74" t="n"/>
      <c r="I616" s="73" t="n"/>
      <c r="J616" s="113" t="n"/>
      <c r="K616" s="109" t="n"/>
      <c r="L616" s="72" t="n"/>
      <c r="M616" s="109" t="n"/>
      <c r="N616" s="72" t="n"/>
      <c r="O616" s="79">
        <f>IF(AND(F616&lt;&gt;"",L616&lt;&gt;"Resolved"),1,0)</f>
        <v/>
      </c>
      <c r="P616" s="79">
        <f>IF(F616="","",IF(O616=0,0,IF(H616="High",2,1)))</f>
        <v/>
      </c>
      <c r="Q616" s="112">
        <f>IF(O616=1,IF(K616&lt;&gt;"",K616,IF(H616="High",AsOf,"")),"")</f>
        <v/>
      </c>
      <c r="R616" s="79">
        <f>IF(Q616="","",IF(H616="High",1,IF(Q616="","",IF(Q616&lt;AsOf,1,IF(Q616&lt;=AsOf+AlertDays,2,IF(Q616&lt;=AsOf+2*AlertDays,3,""))))))</f>
        <v/>
      </c>
      <c r="S616" s="79">
        <f>IF(R616="","",IF(H616="High","High-severity issue: ",IF(C616="Punch item","Punch item: ","Issue action due: "))&amp;F616&amp;IF(J616="",""," → "&amp;J616))</f>
        <v/>
      </c>
      <c r="T616" s="79">
        <f>IF(O616=1,IF(I616="",0,I616),0)</f>
        <v/>
      </c>
      <c r="U616" s="79">
        <f>IF(AND(O616=1,H616="High"),1,0)</f>
        <v/>
      </c>
      <c r="V616" s="79">
        <f>IF(AND(O616=1,C616="Punch item"),1,0)</f>
        <v/>
      </c>
    </row>
    <row r="617" ht="24" customHeight="1">
      <c r="B617" s="125" t="n">
        <v>610</v>
      </c>
      <c r="C617" s="72" t="n"/>
      <c r="D617" s="109" t="n"/>
      <c r="E617" s="72" t="n"/>
      <c r="F617" s="113" t="n"/>
      <c r="G617" s="72" t="n"/>
      <c r="H617" s="74" t="n"/>
      <c r="I617" s="73" t="n"/>
      <c r="J617" s="113" t="n"/>
      <c r="K617" s="109" t="n"/>
      <c r="L617" s="72" t="n"/>
      <c r="M617" s="109" t="n"/>
      <c r="N617" s="72" t="n"/>
      <c r="O617" s="79">
        <f>IF(AND(F617&lt;&gt;"",L617&lt;&gt;"Resolved"),1,0)</f>
        <v/>
      </c>
      <c r="P617" s="79">
        <f>IF(F617="","",IF(O617=0,0,IF(H617="High",2,1)))</f>
        <v/>
      </c>
      <c r="Q617" s="112">
        <f>IF(O617=1,IF(K617&lt;&gt;"",K617,IF(H617="High",AsOf,"")),"")</f>
        <v/>
      </c>
      <c r="R617" s="79">
        <f>IF(Q617="","",IF(H617="High",1,IF(Q617="","",IF(Q617&lt;AsOf,1,IF(Q617&lt;=AsOf+AlertDays,2,IF(Q617&lt;=AsOf+2*AlertDays,3,""))))))</f>
        <v/>
      </c>
      <c r="S617" s="79">
        <f>IF(R617="","",IF(H617="High","High-severity issue: ",IF(C617="Punch item","Punch item: ","Issue action due: "))&amp;F617&amp;IF(J617="",""," → "&amp;J617))</f>
        <v/>
      </c>
      <c r="T617" s="79">
        <f>IF(O617=1,IF(I617="",0,I617),0)</f>
        <v/>
      </c>
      <c r="U617" s="79">
        <f>IF(AND(O617=1,H617="High"),1,0)</f>
        <v/>
      </c>
      <c r="V617" s="79">
        <f>IF(AND(O617=1,C617="Punch item"),1,0)</f>
        <v/>
      </c>
    </row>
    <row r="618" ht="24" customHeight="1">
      <c r="B618" s="125" t="n">
        <v>611</v>
      </c>
      <c r="C618" s="72" t="n"/>
      <c r="D618" s="109" t="n"/>
      <c r="E618" s="72" t="n"/>
      <c r="F618" s="113" t="n"/>
      <c r="G618" s="72" t="n"/>
      <c r="H618" s="74" t="n"/>
      <c r="I618" s="73" t="n"/>
      <c r="J618" s="113" t="n"/>
      <c r="K618" s="109" t="n"/>
      <c r="L618" s="72" t="n"/>
      <c r="M618" s="109" t="n"/>
      <c r="N618" s="72" t="n"/>
      <c r="O618" s="79">
        <f>IF(AND(F618&lt;&gt;"",L618&lt;&gt;"Resolved"),1,0)</f>
        <v/>
      </c>
      <c r="P618" s="79">
        <f>IF(F618="","",IF(O618=0,0,IF(H618="High",2,1)))</f>
        <v/>
      </c>
      <c r="Q618" s="112">
        <f>IF(O618=1,IF(K618&lt;&gt;"",K618,IF(H618="High",AsOf,"")),"")</f>
        <v/>
      </c>
      <c r="R618" s="79">
        <f>IF(Q618="","",IF(H618="High",1,IF(Q618="","",IF(Q618&lt;AsOf,1,IF(Q618&lt;=AsOf+AlertDays,2,IF(Q618&lt;=AsOf+2*AlertDays,3,""))))))</f>
        <v/>
      </c>
      <c r="S618" s="79">
        <f>IF(R618="","",IF(H618="High","High-severity issue: ",IF(C618="Punch item","Punch item: ","Issue action due: "))&amp;F618&amp;IF(J618="",""," → "&amp;J618))</f>
        <v/>
      </c>
      <c r="T618" s="79">
        <f>IF(O618=1,IF(I618="",0,I618),0)</f>
        <v/>
      </c>
      <c r="U618" s="79">
        <f>IF(AND(O618=1,H618="High"),1,0)</f>
        <v/>
      </c>
      <c r="V618" s="79">
        <f>IF(AND(O618=1,C618="Punch item"),1,0)</f>
        <v/>
      </c>
    </row>
    <row r="619" ht="24" customHeight="1">
      <c r="B619" s="125" t="n">
        <v>612</v>
      </c>
      <c r="C619" s="72" t="n"/>
      <c r="D619" s="109" t="n"/>
      <c r="E619" s="72" t="n"/>
      <c r="F619" s="113" t="n"/>
      <c r="G619" s="72" t="n"/>
      <c r="H619" s="74" t="n"/>
      <c r="I619" s="73" t="n"/>
      <c r="J619" s="113" t="n"/>
      <c r="K619" s="109" t="n"/>
      <c r="L619" s="72" t="n"/>
      <c r="M619" s="109" t="n"/>
      <c r="N619" s="72" t="n"/>
      <c r="O619" s="79">
        <f>IF(AND(F619&lt;&gt;"",L619&lt;&gt;"Resolved"),1,0)</f>
        <v/>
      </c>
      <c r="P619" s="79">
        <f>IF(F619="","",IF(O619=0,0,IF(H619="High",2,1)))</f>
        <v/>
      </c>
      <c r="Q619" s="112">
        <f>IF(O619=1,IF(K619&lt;&gt;"",K619,IF(H619="High",AsOf,"")),"")</f>
        <v/>
      </c>
      <c r="R619" s="79">
        <f>IF(Q619="","",IF(H619="High",1,IF(Q619="","",IF(Q619&lt;AsOf,1,IF(Q619&lt;=AsOf+AlertDays,2,IF(Q619&lt;=AsOf+2*AlertDays,3,""))))))</f>
        <v/>
      </c>
      <c r="S619" s="79">
        <f>IF(R619="","",IF(H619="High","High-severity issue: ",IF(C619="Punch item","Punch item: ","Issue action due: "))&amp;F619&amp;IF(J619="",""," → "&amp;J619))</f>
        <v/>
      </c>
      <c r="T619" s="79">
        <f>IF(O619=1,IF(I619="",0,I619),0)</f>
        <v/>
      </c>
      <c r="U619" s="79">
        <f>IF(AND(O619=1,H619="High"),1,0)</f>
        <v/>
      </c>
      <c r="V619" s="79">
        <f>IF(AND(O619=1,C619="Punch item"),1,0)</f>
        <v/>
      </c>
    </row>
    <row r="620" ht="24" customHeight="1">
      <c r="B620" s="125" t="n">
        <v>613</v>
      </c>
      <c r="C620" s="72" t="n"/>
      <c r="D620" s="109" t="n"/>
      <c r="E620" s="72" t="n"/>
      <c r="F620" s="113" t="n"/>
      <c r="G620" s="72" t="n"/>
      <c r="H620" s="74" t="n"/>
      <c r="I620" s="73" t="n"/>
      <c r="J620" s="113" t="n"/>
      <c r="K620" s="109" t="n"/>
      <c r="L620" s="72" t="n"/>
      <c r="M620" s="109" t="n"/>
      <c r="N620" s="72" t="n"/>
      <c r="O620" s="79">
        <f>IF(AND(F620&lt;&gt;"",L620&lt;&gt;"Resolved"),1,0)</f>
        <v/>
      </c>
      <c r="P620" s="79">
        <f>IF(F620="","",IF(O620=0,0,IF(H620="High",2,1)))</f>
        <v/>
      </c>
      <c r="Q620" s="112">
        <f>IF(O620=1,IF(K620&lt;&gt;"",K620,IF(H620="High",AsOf,"")),"")</f>
        <v/>
      </c>
      <c r="R620" s="79">
        <f>IF(Q620="","",IF(H620="High",1,IF(Q620="","",IF(Q620&lt;AsOf,1,IF(Q620&lt;=AsOf+AlertDays,2,IF(Q620&lt;=AsOf+2*AlertDays,3,""))))))</f>
        <v/>
      </c>
      <c r="S620" s="79">
        <f>IF(R620="","",IF(H620="High","High-severity issue: ",IF(C620="Punch item","Punch item: ","Issue action due: "))&amp;F620&amp;IF(J620="",""," → "&amp;J620))</f>
        <v/>
      </c>
      <c r="T620" s="79">
        <f>IF(O620=1,IF(I620="",0,I620),0)</f>
        <v/>
      </c>
      <c r="U620" s="79">
        <f>IF(AND(O620=1,H620="High"),1,0)</f>
        <v/>
      </c>
      <c r="V620" s="79">
        <f>IF(AND(O620=1,C620="Punch item"),1,0)</f>
        <v/>
      </c>
    </row>
    <row r="621" ht="24" customHeight="1">
      <c r="B621" s="125" t="n">
        <v>614</v>
      </c>
      <c r="C621" s="72" t="n"/>
      <c r="D621" s="109" t="n"/>
      <c r="E621" s="72" t="n"/>
      <c r="F621" s="113" t="n"/>
      <c r="G621" s="72" t="n"/>
      <c r="H621" s="74" t="n"/>
      <c r="I621" s="73" t="n"/>
      <c r="J621" s="113" t="n"/>
      <c r="K621" s="109" t="n"/>
      <c r="L621" s="72" t="n"/>
      <c r="M621" s="109" t="n"/>
      <c r="N621" s="72" t="n"/>
      <c r="O621" s="79">
        <f>IF(AND(F621&lt;&gt;"",L621&lt;&gt;"Resolved"),1,0)</f>
        <v/>
      </c>
      <c r="P621" s="79">
        <f>IF(F621="","",IF(O621=0,0,IF(H621="High",2,1)))</f>
        <v/>
      </c>
      <c r="Q621" s="112">
        <f>IF(O621=1,IF(K621&lt;&gt;"",K621,IF(H621="High",AsOf,"")),"")</f>
        <v/>
      </c>
      <c r="R621" s="79">
        <f>IF(Q621="","",IF(H621="High",1,IF(Q621="","",IF(Q621&lt;AsOf,1,IF(Q621&lt;=AsOf+AlertDays,2,IF(Q621&lt;=AsOf+2*AlertDays,3,""))))))</f>
        <v/>
      </c>
      <c r="S621" s="79">
        <f>IF(R621="","",IF(H621="High","High-severity issue: ",IF(C621="Punch item","Punch item: ","Issue action due: "))&amp;F621&amp;IF(J621="",""," → "&amp;J621))</f>
        <v/>
      </c>
      <c r="T621" s="79">
        <f>IF(O621=1,IF(I621="",0,I621),0)</f>
        <v/>
      </c>
      <c r="U621" s="79">
        <f>IF(AND(O621=1,H621="High"),1,0)</f>
        <v/>
      </c>
      <c r="V621" s="79">
        <f>IF(AND(O621=1,C621="Punch item"),1,0)</f>
        <v/>
      </c>
    </row>
    <row r="622" ht="24" customHeight="1">
      <c r="B622" s="125" t="n">
        <v>615</v>
      </c>
      <c r="C622" s="72" t="n"/>
      <c r="D622" s="109" t="n"/>
      <c r="E622" s="72" t="n"/>
      <c r="F622" s="113" t="n"/>
      <c r="G622" s="72" t="n"/>
      <c r="H622" s="74" t="n"/>
      <c r="I622" s="73" t="n"/>
      <c r="J622" s="113" t="n"/>
      <c r="K622" s="109" t="n"/>
      <c r="L622" s="72" t="n"/>
      <c r="M622" s="109" t="n"/>
      <c r="N622" s="72" t="n"/>
      <c r="O622" s="79">
        <f>IF(AND(F622&lt;&gt;"",L622&lt;&gt;"Resolved"),1,0)</f>
        <v/>
      </c>
      <c r="P622" s="79">
        <f>IF(F622="","",IF(O622=0,0,IF(H622="High",2,1)))</f>
        <v/>
      </c>
      <c r="Q622" s="112">
        <f>IF(O622=1,IF(K622&lt;&gt;"",K622,IF(H622="High",AsOf,"")),"")</f>
        <v/>
      </c>
      <c r="R622" s="79">
        <f>IF(Q622="","",IF(H622="High",1,IF(Q622="","",IF(Q622&lt;AsOf,1,IF(Q622&lt;=AsOf+AlertDays,2,IF(Q622&lt;=AsOf+2*AlertDays,3,""))))))</f>
        <v/>
      </c>
      <c r="S622" s="79">
        <f>IF(R622="","",IF(H622="High","High-severity issue: ",IF(C622="Punch item","Punch item: ","Issue action due: "))&amp;F622&amp;IF(J622="",""," → "&amp;J622))</f>
        <v/>
      </c>
      <c r="T622" s="79">
        <f>IF(O622=1,IF(I622="",0,I622),0)</f>
        <v/>
      </c>
      <c r="U622" s="79">
        <f>IF(AND(O622=1,H622="High"),1,0)</f>
        <v/>
      </c>
      <c r="V622" s="79">
        <f>IF(AND(O622=1,C622="Punch item"),1,0)</f>
        <v/>
      </c>
    </row>
    <row r="623" ht="24" customHeight="1">
      <c r="B623" s="125" t="n">
        <v>616</v>
      </c>
      <c r="C623" s="72" t="n"/>
      <c r="D623" s="109" t="n"/>
      <c r="E623" s="72" t="n"/>
      <c r="F623" s="113" t="n"/>
      <c r="G623" s="72" t="n"/>
      <c r="H623" s="74" t="n"/>
      <c r="I623" s="73" t="n"/>
      <c r="J623" s="113" t="n"/>
      <c r="K623" s="109" t="n"/>
      <c r="L623" s="72" t="n"/>
      <c r="M623" s="109" t="n"/>
      <c r="N623" s="72" t="n"/>
      <c r="O623" s="79">
        <f>IF(AND(F623&lt;&gt;"",L623&lt;&gt;"Resolved"),1,0)</f>
        <v/>
      </c>
      <c r="P623" s="79">
        <f>IF(F623="","",IF(O623=0,0,IF(H623="High",2,1)))</f>
        <v/>
      </c>
      <c r="Q623" s="112">
        <f>IF(O623=1,IF(K623&lt;&gt;"",K623,IF(H623="High",AsOf,"")),"")</f>
        <v/>
      </c>
      <c r="R623" s="79">
        <f>IF(Q623="","",IF(H623="High",1,IF(Q623="","",IF(Q623&lt;AsOf,1,IF(Q623&lt;=AsOf+AlertDays,2,IF(Q623&lt;=AsOf+2*AlertDays,3,""))))))</f>
        <v/>
      </c>
      <c r="S623" s="79">
        <f>IF(R623="","",IF(H623="High","High-severity issue: ",IF(C623="Punch item","Punch item: ","Issue action due: "))&amp;F623&amp;IF(J623="",""," → "&amp;J623))</f>
        <v/>
      </c>
      <c r="T623" s="79">
        <f>IF(O623=1,IF(I623="",0,I623),0)</f>
        <v/>
      </c>
      <c r="U623" s="79">
        <f>IF(AND(O623=1,H623="High"),1,0)</f>
        <v/>
      </c>
      <c r="V623" s="79">
        <f>IF(AND(O623=1,C623="Punch item"),1,0)</f>
        <v/>
      </c>
    </row>
    <row r="624" ht="24" customHeight="1">
      <c r="B624" s="125" t="n">
        <v>617</v>
      </c>
      <c r="C624" s="72" t="n"/>
      <c r="D624" s="109" t="n"/>
      <c r="E624" s="72" t="n"/>
      <c r="F624" s="113" t="n"/>
      <c r="G624" s="72" t="n"/>
      <c r="H624" s="74" t="n"/>
      <c r="I624" s="73" t="n"/>
      <c r="J624" s="113" t="n"/>
      <c r="K624" s="109" t="n"/>
      <c r="L624" s="72" t="n"/>
      <c r="M624" s="109" t="n"/>
      <c r="N624" s="72" t="n"/>
      <c r="O624" s="79">
        <f>IF(AND(F624&lt;&gt;"",L624&lt;&gt;"Resolved"),1,0)</f>
        <v/>
      </c>
      <c r="P624" s="79">
        <f>IF(F624="","",IF(O624=0,0,IF(H624="High",2,1)))</f>
        <v/>
      </c>
      <c r="Q624" s="112">
        <f>IF(O624=1,IF(K624&lt;&gt;"",K624,IF(H624="High",AsOf,"")),"")</f>
        <v/>
      </c>
      <c r="R624" s="79">
        <f>IF(Q624="","",IF(H624="High",1,IF(Q624="","",IF(Q624&lt;AsOf,1,IF(Q624&lt;=AsOf+AlertDays,2,IF(Q624&lt;=AsOf+2*AlertDays,3,""))))))</f>
        <v/>
      </c>
      <c r="S624" s="79">
        <f>IF(R624="","",IF(H624="High","High-severity issue: ",IF(C624="Punch item","Punch item: ","Issue action due: "))&amp;F624&amp;IF(J624="",""," → "&amp;J624))</f>
        <v/>
      </c>
      <c r="T624" s="79">
        <f>IF(O624=1,IF(I624="",0,I624),0)</f>
        <v/>
      </c>
      <c r="U624" s="79">
        <f>IF(AND(O624=1,H624="High"),1,0)</f>
        <v/>
      </c>
      <c r="V624" s="79">
        <f>IF(AND(O624=1,C624="Punch item"),1,0)</f>
        <v/>
      </c>
    </row>
    <row r="625" ht="24" customHeight="1">
      <c r="B625" s="125" t="n">
        <v>618</v>
      </c>
      <c r="C625" s="72" t="n"/>
      <c r="D625" s="109" t="n"/>
      <c r="E625" s="72" t="n"/>
      <c r="F625" s="113" t="n"/>
      <c r="G625" s="72" t="n"/>
      <c r="H625" s="74" t="n"/>
      <c r="I625" s="73" t="n"/>
      <c r="J625" s="113" t="n"/>
      <c r="K625" s="109" t="n"/>
      <c r="L625" s="72" t="n"/>
      <c r="M625" s="109" t="n"/>
      <c r="N625" s="72" t="n"/>
      <c r="O625" s="79">
        <f>IF(AND(F625&lt;&gt;"",L625&lt;&gt;"Resolved"),1,0)</f>
        <v/>
      </c>
      <c r="P625" s="79">
        <f>IF(F625="","",IF(O625=0,0,IF(H625="High",2,1)))</f>
        <v/>
      </c>
      <c r="Q625" s="112">
        <f>IF(O625=1,IF(K625&lt;&gt;"",K625,IF(H625="High",AsOf,"")),"")</f>
        <v/>
      </c>
      <c r="R625" s="79">
        <f>IF(Q625="","",IF(H625="High",1,IF(Q625="","",IF(Q625&lt;AsOf,1,IF(Q625&lt;=AsOf+AlertDays,2,IF(Q625&lt;=AsOf+2*AlertDays,3,""))))))</f>
        <v/>
      </c>
      <c r="S625" s="79">
        <f>IF(R625="","",IF(H625="High","High-severity issue: ",IF(C625="Punch item","Punch item: ","Issue action due: "))&amp;F625&amp;IF(J625="",""," → "&amp;J625))</f>
        <v/>
      </c>
      <c r="T625" s="79">
        <f>IF(O625=1,IF(I625="",0,I625),0)</f>
        <v/>
      </c>
      <c r="U625" s="79">
        <f>IF(AND(O625=1,H625="High"),1,0)</f>
        <v/>
      </c>
      <c r="V625" s="79">
        <f>IF(AND(O625=1,C625="Punch item"),1,0)</f>
        <v/>
      </c>
    </row>
    <row r="626" ht="24" customHeight="1">
      <c r="B626" s="125" t="n">
        <v>619</v>
      </c>
      <c r="C626" s="72" t="n"/>
      <c r="D626" s="109" t="n"/>
      <c r="E626" s="72" t="n"/>
      <c r="F626" s="113" t="n"/>
      <c r="G626" s="72" t="n"/>
      <c r="H626" s="74" t="n"/>
      <c r="I626" s="73" t="n"/>
      <c r="J626" s="113" t="n"/>
      <c r="K626" s="109" t="n"/>
      <c r="L626" s="72" t="n"/>
      <c r="M626" s="109" t="n"/>
      <c r="N626" s="72" t="n"/>
      <c r="O626" s="79">
        <f>IF(AND(F626&lt;&gt;"",L626&lt;&gt;"Resolved"),1,0)</f>
        <v/>
      </c>
      <c r="P626" s="79">
        <f>IF(F626="","",IF(O626=0,0,IF(H626="High",2,1)))</f>
        <v/>
      </c>
      <c r="Q626" s="112">
        <f>IF(O626=1,IF(K626&lt;&gt;"",K626,IF(H626="High",AsOf,"")),"")</f>
        <v/>
      </c>
      <c r="R626" s="79">
        <f>IF(Q626="","",IF(H626="High",1,IF(Q626="","",IF(Q626&lt;AsOf,1,IF(Q626&lt;=AsOf+AlertDays,2,IF(Q626&lt;=AsOf+2*AlertDays,3,""))))))</f>
        <v/>
      </c>
      <c r="S626" s="79">
        <f>IF(R626="","",IF(H626="High","High-severity issue: ",IF(C626="Punch item","Punch item: ","Issue action due: "))&amp;F626&amp;IF(J626="",""," → "&amp;J626))</f>
        <v/>
      </c>
      <c r="T626" s="79">
        <f>IF(O626=1,IF(I626="",0,I626),0)</f>
        <v/>
      </c>
      <c r="U626" s="79">
        <f>IF(AND(O626=1,H626="High"),1,0)</f>
        <v/>
      </c>
      <c r="V626" s="79">
        <f>IF(AND(O626=1,C626="Punch item"),1,0)</f>
        <v/>
      </c>
    </row>
    <row r="627" ht="24" customHeight="1">
      <c r="B627" s="125" t="n">
        <v>620</v>
      </c>
      <c r="C627" s="72" t="n"/>
      <c r="D627" s="109" t="n"/>
      <c r="E627" s="72" t="n"/>
      <c r="F627" s="113" t="n"/>
      <c r="G627" s="72" t="n"/>
      <c r="H627" s="74" t="n"/>
      <c r="I627" s="73" t="n"/>
      <c r="J627" s="113" t="n"/>
      <c r="K627" s="109" t="n"/>
      <c r="L627" s="72" t="n"/>
      <c r="M627" s="109" t="n"/>
      <c r="N627" s="72" t="n"/>
      <c r="O627" s="79">
        <f>IF(AND(F627&lt;&gt;"",L627&lt;&gt;"Resolved"),1,0)</f>
        <v/>
      </c>
      <c r="P627" s="79">
        <f>IF(F627="","",IF(O627=0,0,IF(H627="High",2,1)))</f>
        <v/>
      </c>
      <c r="Q627" s="112">
        <f>IF(O627=1,IF(K627&lt;&gt;"",K627,IF(H627="High",AsOf,"")),"")</f>
        <v/>
      </c>
      <c r="R627" s="79">
        <f>IF(Q627="","",IF(H627="High",1,IF(Q627="","",IF(Q627&lt;AsOf,1,IF(Q627&lt;=AsOf+AlertDays,2,IF(Q627&lt;=AsOf+2*AlertDays,3,""))))))</f>
        <v/>
      </c>
      <c r="S627" s="79">
        <f>IF(R627="","",IF(H627="High","High-severity issue: ",IF(C627="Punch item","Punch item: ","Issue action due: "))&amp;F627&amp;IF(J627="",""," → "&amp;J627))</f>
        <v/>
      </c>
      <c r="T627" s="79">
        <f>IF(O627=1,IF(I627="",0,I627),0)</f>
        <v/>
      </c>
      <c r="U627" s="79">
        <f>IF(AND(O627=1,H627="High"),1,0)</f>
        <v/>
      </c>
      <c r="V627" s="79">
        <f>IF(AND(O627=1,C627="Punch item"),1,0)</f>
        <v/>
      </c>
    </row>
    <row r="628" ht="24" customHeight="1">
      <c r="B628" s="125" t="n">
        <v>621</v>
      </c>
      <c r="C628" s="72" t="n"/>
      <c r="D628" s="109" t="n"/>
      <c r="E628" s="72" t="n"/>
      <c r="F628" s="113" t="n"/>
      <c r="G628" s="72" t="n"/>
      <c r="H628" s="74" t="n"/>
      <c r="I628" s="73" t="n"/>
      <c r="J628" s="113" t="n"/>
      <c r="K628" s="109" t="n"/>
      <c r="L628" s="72" t="n"/>
      <c r="M628" s="109" t="n"/>
      <c r="N628" s="72" t="n"/>
      <c r="O628" s="79">
        <f>IF(AND(F628&lt;&gt;"",L628&lt;&gt;"Resolved"),1,0)</f>
        <v/>
      </c>
      <c r="P628" s="79">
        <f>IF(F628="","",IF(O628=0,0,IF(H628="High",2,1)))</f>
        <v/>
      </c>
      <c r="Q628" s="112">
        <f>IF(O628=1,IF(K628&lt;&gt;"",K628,IF(H628="High",AsOf,"")),"")</f>
        <v/>
      </c>
      <c r="R628" s="79">
        <f>IF(Q628="","",IF(H628="High",1,IF(Q628="","",IF(Q628&lt;AsOf,1,IF(Q628&lt;=AsOf+AlertDays,2,IF(Q628&lt;=AsOf+2*AlertDays,3,""))))))</f>
        <v/>
      </c>
      <c r="S628" s="79">
        <f>IF(R628="","",IF(H628="High","High-severity issue: ",IF(C628="Punch item","Punch item: ","Issue action due: "))&amp;F628&amp;IF(J628="",""," → "&amp;J628))</f>
        <v/>
      </c>
      <c r="T628" s="79">
        <f>IF(O628=1,IF(I628="",0,I628),0)</f>
        <v/>
      </c>
      <c r="U628" s="79">
        <f>IF(AND(O628=1,H628="High"),1,0)</f>
        <v/>
      </c>
      <c r="V628" s="79">
        <f>IF(AND(O628=1,C628="Punch item"),1,0)</f>
        <v/>
      </c>
    </row>
    <row r="629" ht="24" customHeight="1">
      <c r="B629" s="125" t="n">
        <v>622</v>
      </c>
      <c r="C629" s="72" t="n"/>
      <c r="D629" s="109" t="n"/>
      <c r="E629" s="72" t="n"/>
      <c r="F629" s="113" t="n"/>
      <c r="G629" s="72" t="n"/>
      <c r="H629" s="74" t="n"/>
      <c r="I629" s="73" t="n"/>
      <c r="J629" s="113" t="n"/>
      <c r="K629" s="109" t="n"/>
      <c r="L629" s="72" t="n"/>
      <c r="M629" s="109" t="n"/>
      <c r="N629" s="72" t="n"/>
      <c r="O629" s="79">
        <f>IF(AND(F629&lt;&gt;"",L629&lt;&gt;"Resolved"),1,0)</f>
        <v/>
      </c>
      <c r="P629" s="79">
        <f>IF(F629="","",IF(O629=0,0,IF(H629="High",2,1)))</f>
        <v/>
      </c>
      <c r="Q629" s="112">
        <f>IF(O629=1,IF(K629&lt;&gt;"",K629,IF(H629="High",AsOf,"")),"")</f>
        <v/>
      </c>
      <c r="R629" s="79">
        <f>IF(Q629="","",IF(H629="High",1,IF(Q629="","",IF(Q629&lt;AsOf,1,IF(Q629&lt;=AsOf+AlertDays,2,IF(Q629&lt;=AsOf+2*AlertDays,3,""))))))</f>
        <v/>
      </c>
      <c r="S629" s="79">
        <f>IF(R629="","",IF(H629="High","High-severity issue: ",IF(C629="Punch item","Punch item: ","Issue action due: "))&amp;F629&amp;IF(J629="",""," → "&amp;J629))</f>
        <v/>
      </c>
      <c r="T629" s="79">
        <f>IF(O629=1,IF(I629="",0,I629),0)</f>
        <v/>
      </c>
      <c r="U629" s="79">
        <f>IF(AND(O629=1,H629="High"),1,0)</f>
        <v/>
      </c>
      <c r="V629" s="79">
        <f>IF(AND(O629=1,C629="Punch item"),1,0)</f>
        <v/>
      </c>
    </row>
    <row r="630" ht="24" customHeight="1">
      <c r="B630" s="125" t="n">
        <v>623</v>
      </c>
      <c r="C630" s="72" t="n"/>
      <c r="D630" s="109" t="n"/>
      <c r="E630" s="72" t="n"/>
      <c r="F630" s="113" t="n"/>
      <c r="G630" s="72" t="n"/>
      <c r="H630" s="74" t="n"/>
      <c r="I630" s="73" t="n"/>
      <c r="J630" s="113" t="n"/>
      <c r="K630" s="109" t="n"/>
      <c r="L630" s="72" t="n"/>
      <c r="M630" s="109" t="n"/>
      <c r="N630" s="72" t="n"/>
      <c r="O630" s="79">
        <f>IF(AND(F630&lt;&gt;"",L630&lt;&gt;"Resolved"),1,0)</f>
        <v/>
      </c>
      <c r="P630" s="79">
        <f>IF(F630="","",IF(O630=0,0,IF(H630="High",2,1)))</f>
        <v/>
      </c>
      <c r="Q630" s="112">
        <f>IF(O630=1,IF(K630&lt;&gt;"",K630,IF(H630="High",AsOf,"")),"")</f>
        <v/>
      </c>
      <c r="R630" s="79">
        <f>IF(Q630="","",IF(H630="High",1,IF(Q630="","",IF(Q630&lt;AsOf,1,IF(Q630&lt;=AsOf+AlertDays,2,IF(Q630&lt;=AsOf+2*AlertDays,3,""))))))</f>
        <v/>
      </c>
      <c r="S630" s="79">
        <f>IF(R630="","",IF(H630="High","High-severity issue: ",IF(C630="Punch item","Punch item: ","Issue action due: "))&amp;F630&amp;IF(J630="",""," → "&amp;J630))</f>
        <v/>
      </c>
      <c r="T630" s="79">
        <f>IF(O630=1,IF(I630="",0,I630),0)</f>
        <v/>
      </c>
      <c r="U630" s="79">
        <f>IF(AND(O630=1,H630="High"),1,0)</f>
        <v/>
      </c>
      <c r="V630" s="79">
        <f>IF(AND(O630=1,C630="Punch item"),1,0)</f>
        <v/>
      </c>
    </row>
    <row r="631" ht="24" customHeight="1">
      <c r="B631" s="125" t="n">
        <v>624</v>
      </c>
      <c r="C631" s="72" t="n"/>
      <c r="D631" s="109" t="n"/>
      <c r="E631" s="72" t="n"/>
      <c r="F631" s="113" t="n"/>
      <c r="G631" s="72" t="n"/>
      <c r="H631" s="74" t="n"/>
      <c r="I631" s="73" t="n"/>
      <c r="J631" s="113" t="n"/>
      <c r="K631" s="109" t="n"/>
      <c r="L631" s="72" t="n"/>
      <c r="M631" s="109" t="n"/>
      <c r="N631" s="72" t="n"/>
      <c r="O631" s="79">
        <f>IF(AND(F631&lt;&gt;"",L631&lt;&gt;"Resolved"),1,0)</f>
        <v/>
      </c>
      <c r="P631" s="79">
        <f>IF(F631="","",IF(O631=0,0,IF(H631="High",2,1)))</f>
        <v/>
      </c>
      <c r="Q631" s="112">
        <f>IF(O631=1,IF(K631&lt;&gt;"",K631,IF(H631="High",AsOf,"")),"")</f>
        <v/>
      </c>
      <c r="R631" s="79">
        <f>IF(Q631="","",IF(H631="High",1,IF(Q631="","",IF(Q631&lt;AsOf,1,IF(Q631&lt;=AsOf+AlertDays,2,IF(Q631&lt;=AsOf+2*AlertDays,3,""))))))</f>
        <v/>
      </c>
      <c r="S631" s="79">
        <f>IF(R631="","",IF(H631="High","High-severity issue: ",IF(C631="Punch item","Punch item: ","Issue action due: "))&amp;F631&amp;IF(J631="",""," → "&amp;J631))</f>
        <v/>
      </c>
      <c r="T631" s="79">
        <f>IF(O631=1,IF(I631="",0,I631),0)</f>
        <v/>
      </c>
      <c r="U631" s="79">
        <f>IF(AND(O631=1,H631="High"),1,0)</f>
        <v/>
      </c>
      <c r="V631" s="79">
        <f>IF(AND(O631=1,C631="Punch item"),1,0)</f>
        <v/>
      </c>
    </row>
    <row r="632" ht="24" customHeight="1">
      <c r="B632" s="125" t="n">
        <v>625</v>
      </c>
      <c r="C632" s="72" t="n"/>
      <c r="D632" s="109" t="n"/>
      <c r="E632" s="72" t="n"/>
      <c r="F632" s="113" t="n"/>
      <c r="G632" s="72" t="n"/>
      <c r="H632" s="74" t="n"/>
      <c r="I632" s="73" t="n"/>
      <c r="J632" s="113" t="n"/>
      <c r="K632" s="109" t="n"/>
      <c r="L632" s="72" t="n"/>
      <c r="M632" s="109" t="n"/>
      <c r="N632" s="72" t="n"/>
      <c r="O632" s="79">
        <f>IF(AND(F632&lt;&gt;"",L632&lt;&gt;"Resolved"),1,0)</f>
        <v/>
      </c>
      <c r="P632" s="79">
        <f>IF(F632="","",IF(O632=0,0,IF(H632="High",2,1)))</f>
        <v/>
      </c>
      <c r="Q632" s="112">
        <f>IF(O632=1,IF(K632&lt;&gt;"",K632,IF(H632="High",AsOf,"")),"")</f>
        <v/>
      </c>
      <c r="R632" s="79">
        <f>IF(Q632="","",IF(H632="High",1,IF(Q632="","",IF(Q632&lt;AsOf,1,IF(Q632&lt;=AsOf+AlertDays,2,IF(Q632&lt;=AsOf+2*AlertDays,3,""))))))</f>
        <v/>
      </c>
      <c r="S632" s="79">
        <f>IF(R632="","",IF(H632="High","High-severity issue: ",IF(C632="Punch item","Punch item: ","Issue action due: "))&amp;F632&amp;IF(J632="",""," → "&amp;J632))</f>
        <v/>
      </c>
      <c r="T632" s="79">
        <f>IF(O632=1,IF(I632="",0,I632),0)</f>
        <v/>
      </c>
      <c r="U632" s="79">
        <f>IF(AND(O632=1,H632="High"),1,0)</f>
        <v/>
      </c>
      <c r="V632" s="79">
        <f>IF(AND(O632=1,C632="Punch item"),1,0)</f>
        <v/>
      </c>
    </row>
    <row r="633" ht="24" customHeight="1">
      <c r="B633" s="125" t="n">
        <v>626</v>
      </c>
      <c r="C633" s="72" t="n"/>
      <c r="D633" s="109" t="n"/>
      <c r="E633" s="72" t="n"/>
      <c r="F633" s="113" t="n"/>
      <c r="G633" s="72" t="n"/>
      <c r="H633" s="74" t="n"/>
      <c r="I633" s="73" t="n"/>
      <c r="J633" s="113" t="n"/>
      <c r="K633" s="109" t="n"/>
      <c r="L633" s="72" t="n"/>
      <c r="M633" s="109" t="n"/>
      <c r="N633" s="72" t="n"/>
      <c r="O633" s="79">
        <f>IF(AND(F633&lt;&gt;"",L633&lt;&gt;"Resolved"),1,0)</f>
        <v/>
      </c>
      <c r="P633" s="79">
        <f>IF(F633="","",IF(O633=0,0,IF(H633="High",2,1)))</f>
        <v/>
      </c>
      <c r="Q633" s="112">
        <f>IF(O633=1,IF(K633&lt;&gt;"",K633,IF(H633="High",AsOf,"")),"")</f>
        <v/>
      </c>
      <c r="R633" s="79">
        <f>IF(Q633="","",IF(H633="High",1,IF(Q633="","",IF(Q633&lt;AsOf,1,IF(Q633&lt;=AsOf+AlertDays,2,IF(Q633&lt;=AsOf+2*AlertDays,3,""))))))</f>
        <v/>
      </c>
      <c r="S633" s="79">
        <f>IF(R633="","",IF(H633="High","High-severity issue: ",IF(C633="Punch item","Punch item: ","Issue action due: "))&amp;F633&amp;IF(J633="",""," → "&amp;J633))</f>
        <v/>
      </c>
      <c r="T633" s="79">
        <f>IF(O633=1,IF(I633="",0,I633),0)</f>
        <v/>
      </c>
      <c r="U633" s="79">
        <f>IF(AND(O633=1,H633="High"),1,0)</f>
        <v/>
      </c>
      <c r="V633" s="79">
        <f>IF(AND(O633=1,C633="Punch item"),1,0)</f>
        <v/>
      </c>
    </row>
    <row r="634" ht="24" customHeight="1">
      <c r="B634" s="125" t="n">
        <v>627</v>
      </c>
      <c r="C634" s="72" t="n"/>
      <c r="D634" s="109" t="n"/>
      <c r="E634" s="72" t="n"/>
      <c r="F634" s="113" t="n"/>
      <c r="G634" s="72" t="n"/>
      <c r="H634" s="74" t="n"/>
      <c r="I634" s="73" t="n"/>
      <c r="J634" s="113" t="n"/>
      <c r="K634" s="109" t="n"/>
      <c r="L634" s="72" t="n"/>
      <c r="M634" s="109" t="n"/>
      <c r="N634" s="72" t="n"/>
      <c r="O634" s="79">
        <f>IF(AND(F634&lt;&gt;"",L634&lt;&gt;"Resolved"),1,0)</f>
        <v/>
      </c>
      <c r="P634" s="79">
        <f>IF(F634="","",IF(O634=0,0,IF(H634="High",2,1)))</f>
        <v/>
      </c>
      <c r="Q634" s="112">
        <f>IF(O634=1,IF(K634&lt;&gt;"",K634,IF(H634="High",AsOf,"")),"")</f>
        <v/>
      </c>
      <c r="R634" s="79">
        <f>IF(Q634="","",IF(H634="High",1,IF(Q634="","",IF(Q634&lt;AsOf,1,IF(Q634&lt;=AsOf+AlertDays,2,IF(Q634&lt;=AsOf+2*AlertDays,3,""))))))</f>
        <v/>
      </c>
      <c r="S634" s="79">
        <f>IF(R634="","",IF(H634="High","High-severity issue: ",IF(C634="Punch item","Punch item: ","Issue action due: "))&amp;F634&amp;IF(J634="",""," → "&amp;J634))</f>
        <v/>
      </c>
      <c r="T634" s="79">
        <f>IF(O634=1,IF(I634="",0,I634),0)</f>
        <v/>
      </c>
      <c r="U634" s="79">
        <f>IF(AND(O634=1,H634="High"),1,0)</f>
        <v/>
      </c>
      <c r="V634" s="79">
        <f>IF(AND(O634=1,C634="Punch item"),1,0)</f>
        <v/>
      </c>
    </row>
    <row r="635" ht="24" customHeight="1">
      <c r="B635" s="125" t="n">
        <v>628</v>
      </c>
      <c r="C635" s="72" t="n"/>
      <c r="D635" s="109" t="n"/>
      <c r="E635" s="72" t="n"/>
      <c r="F635" s="113" t="n"/>
      <c r="G635" s="72" t="n"/>
      <c r="H635" s="74" t="n"/>
      <c r="I635" s="73" t="n"/>
      <c r="J635" s="113" t="n"/>
      <c r="K635" s="109" t="n"/>
      <c r="L635" s="72" t="n"/>
      <c r="M635" s="109" t="n"/>
      <c r="N635" s="72" t="n"/>
      <c r="O635" s="79">
        <f>IF(AND(F635&lt;&gt;"",L635&lt;&gt;"Resolved"),1,0)</f>
        <v/>
      </c>
      <c r="P635" s="79">
        <f>IF(F635="","",IF(O635=0,0,IF(H635="High",2,1)))</f>
        <v/>
      </c>
      <c r="Q635" s="112">
        <f>IF(O635=1,IF(K635&lt;&gt;"",K635,IF(H635="High",AsOf,"")),"")</f>
        <v/>
      </c>
      <c r="R635" s="79">
        <f>IF(Q635="","",IF(H635="High",1,IF(Q635="","",IF(Q635&lt;AsOf,1,IF(Q635&lt;=AsOf+AlertDays,2,IF(Q635&lt;=AsOf+2*AlertDays,3,""))))))</f>
        <v/>
      </c>
      <c r="S635" s="79">
        <f>IF(R635="","",IF(H635="High","High-severity issue: ",IF(C635="Punch item","Punch item: ","Issue action due: "))&amp;F635&amp;IF(J635="",""," → "&amp;J635))</f>
        <v/>
      </c>
      <c r="T635" s="79">
        <f>IF(O635=1,IF(I635="",0,I635),0)</f>
        <v/>
      </c>
      <c r="U635" s="79">
        <f>IF(AND(O635=1,H635="High"),1,0)</f>
        <v/>
      </c>
      <c r="V635" s="79">
        <f>IF(AND(O635=1,C635="Punch item"),1,0)</f>
        <v/>
      </c>
    </row>
    <row r="636" ht="24" customHeight="1">
      <c r="B636" s="125" t="n">
        <v>629</v>
      </c>
      <c r="C636" s="72" t="n"/>
      <c r="D636" s="109" t="n"/>
      <c r="E636" s="72" t="n"/>
      <c r="F636" s="113" t="n"/>
      <c r="G636" s="72" t="n"/>
      <c r="H636" s="74" t="n"/>
      <c r="I636" s="73" t="n"/>
      <c r="J636" s="113" t="n"/>
      <c r="K636" s="109" t="n"/>
      <c r="L636" s="72" t="n"/>
      <c r="M636" s="109" t="n"/>
      <c r="N636" s="72" t="n"/>
      <c r="O636" s="79">
        <f>IF(AND(F636&lt;&gt;"",L636&lt;&gt;"Resolved"),1,0)</f>
        <v/>
      </c>
      <c r="P636" s="79">
        <f>IF(F636="","",IF(O636=0,0,IF(H636="High",2,1)))</f>
        <v/>
      </c>
      <c r="Q636" s="112">
        <f>IF(O636=1,IF(K636&lt;&gt;"",K636,IF(H636="High",AsOf,"")),"")</f>
        <v/>
      </c>
      <c r="R636" s="79">
        <f>IF(Q636="","",IF(H636="High",1,IF(Q636="","",IF(Q636&lt;AsOf,1,IF(Q636&lt;=AsOf+AlertDays,2,IF(Q636&lt;=AsOf+2*AlertDays,3,""))))))</f>
        <v/>
      </c>
      <c r="S636" s="79">
        <f>IF(R636="","",IF(H636="High","High-severity issue: ",IF(C636="Punch item","Punch item: ","Issue action due: "))&amp;F636&amp;IF(J636="",""," → "&amp;J636))</f>
        <v/>
      </c>
      <c r="T636" s="79">
        <f>IF(O636=1,IF(I636="",0,I636),0)</f>
        <v/>
      </c>
      <c r="U636" s="79">
        <f>IF(AND(O636=1,H636="High"),1,0)</f>
        <v/>
      </c>
      <c r="V636" s="79">
        <f>IF(AND(O636=1,C636="Punch item"),1,0)</f>
        <v/>
      </c>
    </row>
    <row r="637" ht="24" customHeight="1">
      <c r="B637" s="125" t="n">
        <v>630</v>
      </c>
      <c r="C637" s="72" t="n"/>
      <c r="D637" s="109" t="n"/>
      <c r="E637" s="72" t="n"/>
      <c r="F637" s="113" t="n"/>
      <c r="G637" s="72" t="n"/>
      <c r="H637" s="74" t="n"/>
      <c r="I637" s="73" t="n"/>
      <c r="J637" s="113" t="n"/>
      <c r="K637" s="109" t="n"/>
      <c r="L637" s="72" t="n"/>
      <c r="M637" s="109" t="n"/>
      <c r="N637" s="72" t="n"/>
      <c r="O637" s="79">
        <f>IF(AND(F637&lt;&gt;"",L637&lt;&gt;"Resolved"),1,0)</f>
        <v/>
      </c>
      <c r="P637" s="79">
        <f>IF(F637="","",IF(O637=0,0,IF(H637="High",2,1)))</f>
        <v/>
      </c>
      <c r="Q637" s="112">
        <f>IF(O637=1,IF(K637&lt;&gt;"",K637,IF(H637="High",AsOf,"")),"")</f>
        <v/>
      </c>
      <c r="R637" s="79">
        <f>IF(Q637="","",IF(H637="High",1,IF(Q637="","",IF(Q637&lt;AsOf,1,IF(Q637&lt;=AsOf+AlertDays,2,IF(Q637&lt;=AsOf+2*AlertDays,3,""))))))</f>
        <v/>
      </c>
      <c r="S637" s="79">
        <f>IF(R637="","",IF(H637="High","High-severity issue: ",IF(C637="Punch item","Punch item: ","Issue action due: "))&amp;F637&amp;IF(J637="",""," → "&amp;J637))</f>
        <v/>
      </c>
      <c r="T637" s="79">
        <f>IF(O637=1,IF(I637="",0,I637),0)</f>
        <v/>
      </c>
      <c r="U637" s="79">
        <f>IF(AND(O637=1,H637="High"),1,0)</f>
        <v/>
      </c>
      <c r="V637" s="79">
        <f>IF(AND(O637=1,C637="Punch item"),1,0)</f>
        <v/>
      </c>
    </row>
    <row r="638" ht="24" customHeight="1">
      <c r="B638" s="125" t="n">
        <v>631</v>
      </c>
      <c r="C638" s="72" t="n"/>
      <c r="D638" s="109" t="n"/>
      <c r="E638" s="72" t="n"/>
      <c r="F638" s="113" t="n"/>
      <c r="G638" s="72" t="n"/>
      <c r="H638" s="74" t="n"/>
      <c r="I638" s="73" t="n"/>
      <c r="J638" s="113" t="n"/>
      <c r="K638" s="109" t="n"/>
      <c r="L638" s="72" t="n"/>
      <c r="M638" s="109" t="n"/>
      <c r="N638" s="72" t="n"/>
      <c r="O638" s="79">
        <f>IF(AND(F638&lt;&gt;"",L638&lt;&gt;"Resolved"),1,0)</f>
        <v/>
      </c>
      <c r="P638" s="79">
        <f>IF(F638="","",IF(O638=0,0,IF(H638="High",2,1)))</f>
        <v/>
      </c>
      <c r="Q638" s="112">
        <f>IF(O638=1,IF(K638&lt;&gt;"",K638,IF(H638="High",AsOf,"")),"")</f>
        <v/>
      </c>
      <c r="R638" s="79">
        <f>IF(Q638="","",IF(H638="High",1,IF(Q638="","",IF(Q638&lt;AsOf,1,IF(Q638&lt;=AsOf+AlertDays,2,IF(Q638&lt;=AsOf+2*AlertDays,3,""))))))</f>
        <v/>
      </c>
      <c r="S638" s="79">
        <f>IF(R638="","",IF(H638="High","High-severity issue: ",IF(C638="Punch item","Punch item: ","Issue action due: "))&amp;F638&amp;IF(J638="",""," → "&amp;J638))</f>
        <v/>
      </c>
      <c r="T638" s="79">
        <f>IF(O638=1,IF(I638="",0,I638),0)</f>
        <v/>
      </c>
      <c r="U638" s="79">
        <f>IF(AND(O638=1,H638="High"),1,0)</f>
        <v/>
      </c>
      <c r="V638" s="79">
        <f>IF(AND(O638=1,C638="Punch item"),1,0)</f>
        <v/>
      </c>
    </row>
    <row r="639" ht="24" customHeight="1">
      <c r="B639" s="125" t="n">
        <v>632</v>
      </c>
      <c r="C639" s="72" t="n"/>
      <c r="D639" s="109" t="n"/>
      <c r="E639" s="72" t="n"/>
      <c r="F639" s="113" t="n"/>
      <c r="G639" s="72" t="n"/>
      <c r="H639" s="74" t="n"/>
      <c r="I639" s="73" t="n"/>
      <c r="J639" s="113" t="n"/>
      <c r="K639" s="109" t="n"/>
      <c r="L639" s="72" t="n"/>
      <c r="M639" s="109" t="n"/>
      <c r="N639" s="72" t="n"/>
      <c r="O639" s="79">
        <f>IF(AND(F639&lt;&gt;"",L639&lt;&gt;"Resolved"),1,0)</f>
        <v/>
      </c>
      <c r="P639" s="79">
        <f>IF(F639="","",IF(O639=0,0,IF(H639="High",2,1)))</f>
        <v/>
      </c>
      <c r="Q639" s="112">
        <f>IF(O639=1,IF(K639&lt;&gt;"",K639,IF(H639="High",AsOf,"")),"")</f>
        <v/>
      </c>
      <c r="R639" s="79">
        <f>IF(Q639="","",IF(H639="High",1,IF(Q639="","",IF(Q639&lt;AsOf,1,IF(Q639&lt;=AsOf+AlertDays,2,IF(Q639&lt;=AsOf+2*AlertDays,3,""))))))</f>
        <v/>
      </c>
      <c r="S639" s="79">
        <f>IF(R639="","",IF(H639="High","High-severity issue: ",IF(C639="Punch item","Punch item: ","Issue action due: "))&amp;F639&amp;IF(J639="",""," → "&amp;J639))</f>
        <v/>
      </c>
      <c r="T639" s="79">
        <f>IF(O639=1,IF(I639="",0,I639),0)</f>
        <v/>
      </c>
      <c r="U639" s="79">
        <f>IF(AND(O639=1,H639="High"),1,0)</f>
        <v/>
      </c>
      <c r="V639" s="79">
        <f>IF(AND(O639=1,C639="Punch item"),1,0)</f>
        <v/>
      </c>
    </row>
    <row r="640" ht="24" customHeight="1">
      <c r="B640" s="125" t="n">
        <v>633</v>
      </c>
      <c r="C640" s="72" t="n"/>
      <c r="D640" s="109" t="n"/>
      <c r="E640" s="72" t="n"/>
      <c r="F640" s="113" t="n"/>
      <c r="G640" s="72" t="n"/>
      <c r="H640" s="74" t="n"/>
      <c r="I640" s="73" t="n"/>
      <c r="J640" s="113" t="n"/>
      <c r="K640" s="109" t="n"/>
      <c r="L640" s="72" t="n"/>
      <c r="M640" s="109" t="n"/>
      <c r="N640" s="72" t="n"/>
      <c r="O640" s="79">
        <f>IF(AND(F640&lt;&gt;"",L640&lt;&gt;"Resolved"),1,0)</f>
        <v/>
      </c>
      <c r="P640" s="79">
        <f>IF(F640="","",IF(O640=0,0,IF(H640="High",2,1)))</f>
        <v/>
      </c>
      <c r="Q640" s="112">
        <f>IF(O640=1,IF(K640&lt;&gt;"",K640,IF(H640="High",AsOf,"")),"")</f>
        <v/>
      </c>
      <c r="R640" s="79">
        <f>IF(Q640="","",IF(H640="High",1,IF(Q640="","",IF(Q640&lt;AsOf,1,IF(Q640&lt;=AsOf+AlertDays,2,IF(Q640&lt;=AsOf+2*AlertDays,3,""))))))</f>
        <v/>
      </c>
      <c r="S640" s="79">
        <f>IF(R640="","",IF(H640="High","High-severity issue: ",IF(C640="Punch item","Punch item: ","Issue action due: "))&amp;F640&amp;IF(J640="",""," → "&amp;J640))</f>
        <v/>
      </c>
      <c r="T640" s="79">
        <f>IF(O640=1,IF(I640="",0,I640),0)</f>
        <v/>
      </c>
      <c r="U640" s="79">
        <f>IF(AND(O640=1,H640="High"),1,0)</f>
        <v/>
      </c>
      <c r="V640" s="79">
        <f>IF(AND(O640=1,C640="Punch item"),1,0)</f>
        <v/>
      </c>
    </row>
    <row r="641" ht="24" customHeight="1">
      <c r="B641" s="125" t="n">
        <v>634</v>
      </c>
      <c r="C641" s="72" t="n"/>
      <c r="D641" s="109" t="n"/>
      <c r="E641" s="72" t="n"/>
      <c r="F641" s="113" t="n"/>
      <c r="G641" s="72" t="n"/>
      <c r="H641" s="74" t="n"/>
      <c r="I641" s="73" t="n"/>
      <c r="J641" s="113" t="n"/>
      <c r="K641" s="109" t="n"/>
      <c r="L641" s="72" t="n"/>
      <c r="M641" s="109" t="n"/>
      <c r="N641" s="72" t="n"/>
      <c r="O641" s="79">
        <f>IF(AND(F641&lt;&gt;"",L641&lt;&gt;"Resolved"),1,0)</f>
        <v/>
      </c>
      <c r="P641" s="79">
        <f>IF(F641="","",IF(O641=0,0,IF(H641="High",2,1)))</f>
        <v/>
      </c>
      <c r="Q641" s="112">
        <f>IF(O641=1,IF(K641&lt;&gt;"",K641,IF(H641="High",AsOf,"")),"")</f>
        <v/>
      </c>
      <c r="R641" s="79">
        <f>IF(Q641="","",IF(H641="High",1,IF(Q641="","",IF(Q641&lt;AsOf,1,IF(Q641&lt;=AsOf+AlertDays,2,IF(Q641&lt;=AsOf+2*AlertDays,3,""))))))</f>
        <v/>
      </c>
      <c r="S641" s="79">
        <f>IF(R641="","",IF(H641="High","High-severity issue: ",IF(C641="Punch item","Punch item: ","Issue action due: "))&amp;F641&amp;IF(J641="",""," → "&amp;J641))</f>
        <v/>
      </c>
      <c r="T641" s="79">
        <f>IF(O641=1,IF(I641="",0,I641),0)</f>
        <v/>
      </c>
      <c r="U641" s="79">
        <f>IF(AND(O641=1,H641="High"),1,0)</f>
        <v/>
      </c>
      <c r="V641" s="79">
        <f>IF(AND(O641=1,C641="Punch item"),1,0)</f>
        <v/>
      </c>
    </row>
    <row r="642" ht="24" customHeight="1">
      <c r="B642" s="125" t="n">
        <v>635</v>
      </c>
      <c r="C642" s="72" t="n"/>
      <c r="D642" s="109" t="n"/>
      <c r="E642" s="72" t="n"/>
      <c r="F642" s="113" t="n"/>
      <c r="G642" s="72" t="n"/>
      <c r="H642" s="74" t="n"/>
      <c r="I642" s="73" t="n"/>
      <c r="J642" s="113" t="n"/>
      <c r="K642" s="109" t="n"/>
      <c r="L642" s="72" t="n"/>
      <c r="M642" s="109" t="n"/>
      <c r="N642" s="72" t="n"/>
      <c r="O642" s="79">
        <f>IF(AND(F642&lt;&gt;"",L642&lt;&gt;"Resolved"),1,0)</f>
        <v/>
      </c>
      <c r="P642" s="79">
        <f>IF(F642="","",IF(O642=0,0,IF(H642="High",2,1)))</f>
        <v/>
      </c>
      <c r="Q642" s="112">
        <f>IF(O642=1,IF(K642&lt;&gt;"",K642,IF(H642="High",AsOf,"")),"")</f>
        <v/>
      </c>
      <c r="R642" s="79">
        <f>IF(Q642="","",IF(H642="High",1,IF(Q642="","",IF(Q642&lt;AsOf,1,IF(Q642&lt;=AsOf+AlertDays,2,IF(Q642&lt;=AsOf+2*AlertDays,3,""))))))</f>
        <v/>
      </c>
      <c r="S642" s="79">
        <f>IF(R642="","",IF(H642="High","High-severity issue: ",IF(C642="Punch item","Punch item: ","Issue action due: "))&amp;F642&amp;IF(J642="",""," → "&amp;J642))</f>
        <v/>
      </c>
      <c r="T642" s="79">
        <f>IF(O642=1,IF(I642="",0,I642),0)</f>
        <v/>
      </c>
      <c r="U642" s="79">
        <f>IF(AND(O642=1,H642="High"),1,0)</f>
        <v/>
      </c>
      <c r="V642" s="79">
        <f>IF(AND(O642=1,C642="Punch item"),1,0)</f>
        <v/>
      </c>
    </row>
    <row r="643" ht="24" customHeight="1">
      <c r="B643" s="125" t="n">
        <v>636</v>
      </c>
      <c r="C643" s="72" t="n"/>
      <c r="D643" s="109" t="n"/>
      <c r="E643" s="72" t="n"/>
      <c r="F643" s="113" t="n"/>
      <c r="G643" s="72" t="n"/>
      <c r="H643" s="74" t="n"/>
      <c r="I643" s="73" t="n"/>
      <c r="J643" s="113" t="n"/>
      <c r="K643" s="109" t="n"/>
      <c r="L643" s="72" t="n"/>
      <c r="M643" s="109" t="n"/>
      <c r="N643" s="72" t="n"/>
      <c r="O643" s="79">
        <f>IF(AND(F643&lt;&gt;"",L643&lt;&gt;"Resolved"),1,0)</f>
        <v/>
      </c>
      <c r="P643" s="79">
        <f>IF(F643="","",IF(O643=0,0,IF(H643="High",2,1)))</f>
        <v/>
      </c>
      <c r="Q643" s="112">
        <f>IF(O643=1,IF(K643&lt;&gt;"",K643,IF(H643="High",AsOf,"")),"")</f>
        <v/>
      </c>
      <c r="R643" s="79">
        <f>IF(Q643="","",IF(H643="High",1,IF(Q643="","",IF(Q643&lt;AsOf,1,IF(Q643&lt;=AsOf+AlertDays,2,IF(Q643&lt;=AsOf+2*AlertDays,3,""))))))</f>
        <v/>
      </c>
      <c r="S643" s="79">
        <f>IF(R643="","",IF(H643="High","High-severity issue: ",IF(C643="Punch item","Punch item: ","Issue action due: "))&amp;F643&amp;IF(J643="",""," → "&amp;J643))</f>
        <v/>
      </c>
      <c r="T643" s="79">
        <f>IF(O643=1,IF(I643="",0,I643),0)</f>
        <v/>
      </c>
      <c r="U643" s="79">
        <f>IF(AND(O643=1,H643="High"),1,0)</f>
        <v/>
      </c>
      <c r="V643" s="79">
        <f>IF(AND(O643=1,C643="Punch item"),1,0)</f>
        <v/>
      </c>
    </row>
    <row r="644" ht="24" customHeight="1">
      <c r="B644" s="125" t="n">
        <v>637</v>
      </c>
      <c r="C644" s="72" t="n"/>
      <c r="D644" s="109" t="n"/>
      <c r="E644" s="72" t="n"/>
      <c r="F644" s="113" t="n"/>
      <c r="G644" s="72" t="n"/>
      <c r="H644" s="74" t="n"/>
      <c r="I644" s="73" t="n"/>
      <c r="J644" s="113" t="n"/>
      <c r="K644" s="109" t="n"/>
      <c r="L644" s="72" t="n"/>
      <c r="M644" s="109" t="n"/>
      <c r="N644" s="72" t="n"/>
      <c r="O644" s="79">
        <f>IF(AND(F644&lt;&gt;"",L644&lt;&gt;"Resolved"),1,0)</f>
        <v/>
      </c>
      <c r="P644" s="79">
        <f>IF(F644="","",IF(O644=0,0,IF(H644="High",2,1)))</f>
        <v/>
      </c>
      <c r="Q644" s="112">
        <f>IF(O644=1,IF(K644&lt;&gt;"",K644,IF(H644="High",AsOf,"")),"")</f>
        <v/>
      </c>
      <c r="R644" s="79">
        <f>IF(Q644="","",IF(H644="High",1,IF(Q644="","",IF(Q644&lt;AsOf,1,IF(Q644&lt;=AsOf+AlertDays,2,IF(Q644&lt;=AsOf+2*AlertDays,3,""))))))</f>
        <v/>
      </c>
      <c r="S644" s="79">
        <f>IF(R644="","",IF(H644="High","High-severity issue: ",IF(C644="Punch item","Punch item: ","Issue action due: "))&amp;F644&amp;IF(J644="",""," → "&amp;J644))</f>
        <v/>
      </c>
      <c r="T644" s="79">
        <f>IF(O644=1,IF(I644="",0,I644),0)</f>
        <v/>
      </c>
      <c r="U644" s="79">
        <f>IF(AND(O644=1,H644="High"),1,0)</f>
        <v/>
      </c>
      <c r="V644" s="79">
        <f>IF(AND(O644=1,C644="Punch item"),1,0)</f>
        <v/>
      </c>
    </row>
    <row r="645" ht="24" customHeight="1">
      <c r="B645" s="125" t="n">
        <v>638</v>
      </c>
      <c r="C645" s="72" t="n"/>
      <c r="D645" s="109" t="n"/>
      <c r="E645" s="72" t="n"/>
      <c r="F645" s="113" t="n"/>
      <c r="G645" s="72" t="n"/>
      <c r="H645" s="74" t="n"/>
      <c r="I645" s="73" t="n"/>
      <c r="J645" s="113" t="n"/>
      <c r="K645" s="109" t="n"/>
      <c r="L645" s="72" t="n"/>
      <c r="M645" s="109" t="n"/>
      <c r="N645" s="72" t="n"/>
      <c r="O645" s="79">
        <f>IF(AND(F645&lt;&gt;"",L645&lt;&gt;"Resolved"),1,0)</f>
        <v/>
      </c>
      <c r="P645" s="79">
        <f>IF(F645="","",IF(O645=0,0,IF(H645="High",2,1)))</f>
        <v/>
      </c>
      <c r="Q645" s="112">
        <f>IF(O645=1,IF(K645&lt;&gt;"",K645,IF(H645="High",AsOf,"")),"")</f>
        <v/>
      </c>
      <c r="R645" s="79">
        <f>IF(Q645="","",IF(H645="High",1,IF(Q645="","",IF(Q645&lt;AsOf,1,IF(Q645&lt;=AsOf+AlertDays,2,IF(Q645&lt;=AsOf+2*AlertDays,3,""))))))</f>
        <v/>
      </c>
      <c r="S645" s="79">
        <f>IF(R645="","",IF(H645="High","High-severity issue: ",IF(C645="Punch item","Punch item: ","Issue action due: "))&amp;F645&amp;IF(J645="",""," → "&amp;J645))</f>
        <v/>
      </c>
      <c r="T645" s="79">
        <f>IF(O645=1,IF(I645="",0,I645),0)</f>
        <v/>
      </c>
      <c r="U645" s="79">
        <f>IF(AND(O645=1,H645="High"),1,0)</f>
        <v/>
      </c>
      <c r="V645" s="79">
        <f>IF(AND(O645=1,C645="Punch item"),1,0)</f>
        <v/>
      </c>
    </row>
    <row r="646" ht="24" customHeight="1">
      <c r="B646" s="125" t="n">
        <v>639</v>
      </c>
      <c r="C646" s="72" t="n"/>
      <c r="D646" s="109" t="n"/>
      <c r="E646" s="72" t="n"/>
      <c r="F646" s="113" t="n"/>
      <c r="G646" s="72" t="n"/>
      <c r="H646" s="74" t="n"/>
      <c r="I646" s="73" t="n"/>
      <c r="J646" s="113" t="n"/>
      <c r="K646" s="109" t="n"/>
      <c r="L646" s="72" t="n"/>
      <c r="M646" s="109" t="n"/>
      <c r="N646" s="72" t="n"/>
      <c r="O646" s="79">
        <f>IF(AND(F646&lt;&gt;"",L646&lt;&gt;"Resolved"),1,0)</f>
        <v/>
      </c>
      <c r="P646" s="79">
        <f>IF(F646="","",IF(O646=0,0,IF(H646="High",2,1)))</f>
        <v/>
      </c>
      <c r="Q646" s="112">
        <f>IF(O646=1,IF(K646&lt;&gt;"",K646,IF(H646="High",AsOf,"")),"")</f>
        <v/>
      </c>
      <c r="R646" s="79">
        <f>IF(Q646="","",IF(H646="High",1,IF(Q646="","",IF(Q646&lt;AsOf,1,IF(Q646&lt;=AsOf+AlertDays,2,IF(Q646&lt;=AsOf+2*AlertDays,3,""))))))</f>
        <v/>
      </c>
      <c r="S646" s="79">
        <f>IF(R646="","",IF(H646="High","High-severity issue: ",IF(C646="Punch item","Punch item: ","Issue action due: "))&amp;F646&amp;IF(J646="",""," → "&amp;J646))</f>
        <v/>
      </c>
      <c r="T646" s="79">
        <f>IF(O646=1,IF(I646="",0,I646),0)</f>
        <v/>
      </c>
      <c r="U646" s="79">
        <f>IF(AND(O646=1,H646="High"),1,0)</f>
        <v/>
      </c>
      <c r="V646" s="79">
        <f>IF(AND(O646=1,C646="Punch item"),1,0)</f>
        <v/>
      </c>
    </row>
    <row r="647" ht="24" customHeight="1">
      <c r="B647" s="125" t="n">
        <v>640</v>
      </c>
      <c r="C647" s="72" t="n"/>
      <c r="D647" s="109" t="n"/>
      <c r="E647" s="72" t="n"/>
      <c r="F647" s="113" t="n"/>
      <c r="G647" s="72" t="n"/>
      <c r="H647" s="74" t="n"/>
      <c r="I647" s="73" t="n"/>
      <c r="J647" s="113" t="n"/>
      <c r="K647" s="109" t="n"/>
      <c r="L647" s="72" t="n"/>
      <c r="M647" s="109" t="n"/>
      <c r="N647" s="72" t="n"/>
      <c r="O647" s="79">
        <f>IF(AND(F647&lt;&gt;"",L647&lt;&gt;"Resolved"),1,0)</f>
        <v/>
      </c>
      <c r="P647" s="79">
        <f>IF(F647="","",IF(O647=0,0,IF(H647="High",2,1)))</f>
        <v/>
      </c>
      <c r="Q647" s="112">
        <f>IF(O647=1,IF(K647&lt;&gt;"",K647,IF(H647="High",AsOf,"")),"")</f>
        <v/>
      </c>
      <c r="R647" s="79">
        <f>IF(Q647="","",IF(H647="High",1,IF(Q647="","",IF(Q647&lt;AsOf,1,IF(Q647&lt;=AsOf+AlertDays,2,IF(Q647&lt;=AsOf+2*AlertDays,3,""))))))</f>
        <v/>
      </c>
      <c r="S647" s="79">
        <f>IF(R647="","",IF(H647="High","High-severity issue: ",IF(C647="Punch item","Punch item: ","Issue action due: "))&amp;F647&amp;IF(J647="",""," → "&amp;J647))</f>
        <v/>
      </c>
      <c r="T647" s="79">
        <f>IF(O647=1,IF(I647="",0,I647),0)</f>
        <v/>
      </c>
      <c r="U647" s="79">
        <f>IF(AND(O647=1,H647="High"),1,0)</f>
        <v/>
      </c>
      <c r="V647" s="79">
        <f>IF(AND(O647=1,C647="Punch item"),1,0)</f>
        <v/>
      </c>
    </row>
    <row r="648" ht="24" customHeight="1">
      <c r="B648" s="125" t="n">
        <v>641</v>
      </c>
      <c r="C648" s="72" t="n"/>
      <c r="D648" s="109" t="n"/>
      <c r="E648" s="72" t="n"/>
      <c r="F648" s="113" t="n"/>
      <c r="G648" s="72" t="n"/>
      <c r="H648" s="74" t="n"/>
      <c r="I648" s="73" t="n"/>
      <c r="J648" s="113" t="n"/>
      <c r="K648" s="109" t="n"/>
      <c r="L648" s="72" t="n"/>
      <c r="M648" s="109" t="n"/>
      <c r="N648" s="72" t="n"/>
      <c r="O648" s="79">
        <f>IF(AND(F648&lt;&gt;"",L648&lt;&gt;"Resolved"),1,0)</f>
        <v/>
      </c>
      <c r="P648" s="79">
        <f>IF(F648="","",IF(O648=0,0,IF(H648="High",2,1)))</f>
        <v/>
      </c>
      <c r="Q648" s="112">
        <f>IF(O648=1,IF(K648&lt;&gt;"",K648,IF(H648="High",AsOf,"")),"")</f>
        <v/>
      </c>
      <c r="R648" s="79">
        <f>IF(Q648="","",IF(H648="High",1,IF(Q648="","",IF(Q648&lt;AsOf,1,IF(Q648&lt;=AsOf+AlertDays,2,IF(Q648&lt;=AsOf+2*AlertDays,3,""))))))</f>
        <v/>
      </c>
      <c r="S648" s="79">
        <f>IF(R648="","",IF(H648="High","High-severity issue: ",IF(C648="Punch item","Punch item: ","Issue action due: "))&amp;F648&amp;IF(J648="",""," → "&amp;J648))</f>
        <v/>
      </c>
      <c r="T648" s="79">
        <f>IF(O648=1,IF(I648="",0,I648),0)</f>
        <v/>
      </c>
      <c r="U648" s="79">
        <f>IF(AND(O648=1,H648="High"),1,0)</f>
        <v/>
      </c>
      <c r="V648" s="79">
        <f>IF(AND(O648=1,C648="Punch item"),1,0)</f>
        <v/>
      </c>
    </row>
    <row r="649" ht="24" customHeight="1">
      <c r="B649" s="125" t="n">
        <v>642</v>
      </c>
      <c r="C649" s="72" t="n"/>
      <c r="D649" s="109" t="n"/>
      <c r="E649" s="72" t="n"/>
      <c r="F649" s="113" t="n"/>
      <c r="G649" s="72" t="n"/>
      <c r="H649" s="74" t="n"/>
      <c r="I649" s="73" t="n"/>
      <c r="J649" s="113" t="n"/>
      <c r="K649" s="109" t="n"/>
      <c r="L649" s="72" t="n"/>
      <c r="M649" s="109" t="n"/>
      <c r="N649" s="72" t="n"/>
      <c r="O649" s="79">
        <f>IF(AND(F649&lt;&gt;"",L649&lt;&gt;"Resolved"),1,0)</f>
        <v/>
      </c>
      <c r="P649" s="79">
        <f>IF(F649="","",IF(O649=0,0,IF(H649="High",2,1)))</f>
        <v/>
      </c>
      <c r="Q649" s="112">
        <f>IF(O649=1,IF(K649&lt;&gt;"",K649,IF(H649="High",AsOf,"")),"")</f>
        <v/>
      </c>
      <c r="R649" s="79">
        <f>IF(Q649="","",IF(H649="High",1,IF(Q649="","",IF(Q649&lt;AsOf,1,IF(Q649&lt;=AsOf+AlertDays,2,IF(Q649&lt;=AsOf+2*AlertDays,3,""))))))</f>
        <v/>
      </c>
      <c r="S649" s="79">
        <f>IF(R649="","",IF(H649="High","High-severity issue: ",IF(C649="Punch item","Punch item: ","Issue action due: "))&amp;F649&amp;IF(J649="",""," → "&amp;J649))</f>
        <v/>
      </c>
      <c r="T649" s="79">
        <f>IF(O649=1,IF(I649="",0,I649),0)</f>
        <v/>
      </c>
      <c r="U649" s="79">
        <f>IF(AND(O649=1,H649="High"),1,0)</f>
        <v/>
      </c>
      <c r="V649" s="79">
        <f>IF(AND(O649=1,C649="Punch item"),1,0)</f>
        <v/>
      </c>
    </row>
    <row r="650" ht="24" customHeight="1">
      <c r="B650" s="125" t="n">
        <v>643</v>
      </c>
      <c r="C650" s="72" t="n"/>
      <c r="D650" s="109" t="n"/>
      <c r="E650" s="72" t="n"/>
      <c r="F650" s="113" t="n"/>
      <c r="G650" s="72" t="n"/>
      <c r="H650" s="74" t="n"/>
      <c r="I650" s="73" t="n"/>
      <c r="J650" s="113" t="n"/>
      <c r="K650" s="109" t="n"/>
      <c r="L650" s="72" t="n"/>
      <c r="M650" s="109" t="n"/>
      <c r="N650" s="72" t="n"/>
      <c r="O650" s="79">
        <f>IF(AND(F650&lt;&gt;"",L650&lt;&gt;"Resolved"),1,0)</f>
        <v/>
      </c>
      <c r="P650" s="79">
        <f>IF(F650="","",IF(O650=0,0,IF(H650="High",2,1)))</f>
        <v/>
      </c>
      <c r="Q650" s="112">
        <f>IF(O650=1,IF(K650&lt;&gt;"",K650,IF(H650="High",AsOf,"")),"")</f>
        <v/>
      </c>
      <c r="R650" s="79">
        <f>IF(Q650="","",IF(H650="High",1,IF(Q650="","",IF(Q650&lt;AsOf,1,IF(Q650&lt;=AsOf+AlertDays,2,IF(Q650&lt;=AsOf+2*AlertDays,3,""))))))</f>
        <v/>
      </c>
      <c r="S650" s="79">
        <f>IF(R650="","",IF(H650="High","High-severity issue: ",IF(C650="Punch item","Punch item: ","Issue action due: "))&amp;F650&amp;IF(J650="",""," → "&amp;J650))</f>
        <v/>
      </c>
      <c r="T650" s="79">
        <f>IF(O650=1,IF(I650="",0,I650),0)</f>
        <v/>
      </c>
      <c r="U650" s="79">
        <f>IF(AND(O650=1,H650="High"),1,0)</f>
        <v/>
      </c>
      <c r="V650" s="79">
        <f>IF(AND(O650=1,C650="Punch item"),1,0)</f>
        <v/>
      </c>
    </row>
    <row r="651" ht="24" customHeight="1">
      <c r="B651" s="125" t="n">
        <v>644</v>
      </c>
      <c r="C651" s="72" t="n"/>
      <c r="D651" s="109" t="n"/>
      <c r="E651" s="72" t="n"/>
      <c r="F651" s="113" t="n"/>
      <c r="G651" s="72" t="n"/>
      <c r="H651" s="74" t="n"/>
      <c r="I651" s="73" t="n"/>
      <c r="J651" s="113" t="n"/>
      <c r="K651" s="109" t="n"/>
      <c r="L651" s="72" t="n"/>
      <c r="M651" s="109" t="n"/>
      <c r="N651" s="72" t="n"/>
      <c r="O651" s="79">
        <f>IF(AND(F651&lt;&gt;"",L651&lt;&gt;"Resolved"),1,0)</f>
        <v/>
      </c>
      <c r="P651" s="79">
        <f>IF(F651="","",IF(O651=0,0,IF(H651="High",2,1)))</f>
        <v/>
      </c>
      <c r="Q651" s="112">
        <f>IF(O651=1,IF(K651&lt;&gt;"",K651,IF(H651="High",AsOf,"")),"")</f>
        <v/>
      </c>
      <c r="R651" s="79">
        <f>IF(Q651="","",IF(H651="High",1,IF(Q651="","",IF(Q651&lt;AsOf,1,IF(Q651&lt;=AsOf+AlertDays,2,IF(Q651&lt;=AsOf+2*AlertDays,3,""))))))</f>
        <v/>
      </c>
      <c r="S651" s="79">
        <f>IF(R651="","",IF(H651="High","High-severity issue: ",IF(C651="Punch item","Punch item: ","Issue action due: "))&amp;F651&amp;IF(J651="",""," → "&amp;J651))</f>
        <v/>
      </c>
      <c r="T651" s="79">
        <f>IF(O651=1,IF(I651="",0,I651),0)</f>
        <v/>
      </c>
      <c r="U651" s="79">
        <f>IF(AND(O651=1,H651="High"),1,0)</f>
        <v/>
      </c>
      <c r="V651" s="79">
        <f>IF(AND(O651=1,C651="Punch item"),1,0)</f>
        <v/>
      </c>
    </row>
    <row r="652" ht="24" customHeight="1">
      <c r="B652" s="125" t="n">
        <v>645</v>
      </c>
      <c r="C652" s="72" t="n"/>
      <c r="D652" s="109" t="n"/>
      <c r="E652" s="72" t="n"/>
      <c r="F652" s="113" t="n"/>
      <c r="G652" s="72" t="n"/>
      <c r="H652" s="74" t="n"/>
      <c r="I652" s="73" t="n"/>
      <c r="J652" s="113" t="n"/>
      <c r="K652" s="109" t="n"/>
      <c r="L652" s="72" t="n"/>
      <c r="M652" s="109" t="n"/>
      <c r="N652" s="72" t="n"/>
      <c r="O652" s="79">
        <f>IF(AND(F652&lt;&gt;"",L652&lt;&gt;"Resolved"),1,0)</f>
        <v/>
      </c>
      <c r="P652" s="79">
        <f>IF(F652="","",IF(O652=0,0,IF(H652="High",2,1)))</f>
        <v/>
      </c>
      <c r="Q652" s="112">
        <f>IF(O652=1,IF(K652&lt;&gt;"",K652,IF(H652="High",AsOf,"")),"")</f>
        <v/>
      </c>
      <c r="R652" s="79">
        <f>IF(Q652="","",IF(H652="High",1,IF(Q652="","",IF(Q652&lt;AsOf,1,IF(Q652&lt;=AsOf+AlertDays,2,IF(Q652&lt;=AsOf+2*AlertDays,3,""))))))</f>
        <v/>
      </c>
      <c r="S652" s="79">
        <f>IF(R652="","",IF(H652="High","High-severity issue: ",IF(C652="Punch item","Punch item: ","Issue action due: "))&amp;F652&amp;IF(J652="",""," → "&amp;J652))</f>
        <v/>
      </c>
      <c r="T652" s="79">
        <f>IF(O652=1,IF(I652="",0,I652),0)</f>
        <v/>
      </c>
      <c r="U652" s="79">
        <f>IF(AND(O652=1,H652="High"),1,0)</f>
        <v/>
      </c>
      <c r="V652" s="79">
        <f>IF(AND(O652=1,C652="Punch item"),1,0)</f>
        <v/>
      </c>
    </row>
    <row r="653" ht="24" customHeight="1">
      <c r="B653" s="125" t="n">
        <v>646</v>
      </c>
      <c r="C653" s="72" t="n"/>
      <c r="D653" s="109" t="n"/>
      <c r="E653" s="72" t="n"/>
      <c r="F653" s="113" t="n"/>
      <c r="G653" s="72" t="n"/>
      <c r="H653" s="74" t="n"/>
      <c r="I653" s="73" t="n"/>
      <c r="J653" s="113" t="n"/>
      <c r="K653" s="109" t="n"/>
      <c r="L653" s="72" t="n"/>
      <c r="M653" s="109" t="n"/>
      <c r="N653" s="72" t="n"/>
      <c r="O653" s="79">
        <f>IF(AND(F653&lt;&gt;"",L653&lt;&gt;"Resolved"),1,0)</f>
        <v/>
      </c>
      <c r="P653" s="79">
        <f>IF(F653="","",IF(O653=0,0,IF(H653="High",2,1)))</f>
        <v/>
      </c>
      <c r="Q653" s="112">
        <f>IF(O653=1,IF(K653&lt;&gt;"",K653,IF(H653="High",AsOf,"")),"")</f>
        <v/>
      </c>
      <c r="R653" s="79">
        <f>IF(Q653="","",IF(H653="High",1,IF(Q653="","",IF(Q653&lt;AsOf,1,IF(Q653&lt;=AsOf+AlertDays,2,IF(Q653&lt;=AsOf+2*AlertDays,3,""))))))</f>
        <v/>
      </c>
      <c r="S653" s="79">
        <f>IF(R653="","",IF(H653="High","High-severity issue: ",IF(C653="Punch item","Punch item: ","Issue action due: "))&amp;F653&amp;IF(J653="",""," → "&amp;J653))</f>
        <v/>
      </c>
      <c r="T653" s="79">
        <f>IF(O653=1,IF(I653="",0,I653),0)</f>
        <v/>
      </c>
      <c r="U653" s="79">
        <f>IF(AND(O653=1,H653="High"),1,0)</f>
        <v/>
      </c>
      <c r="V653" s="79">
        <f>IF(AND(O653=1,C653="Punch item"),1,0)</f>
        <v/>
      </c>
    </row>
    <row r="654" ht="24" customHeight="1">
      <c r="B654" s="125" t="n">
        <v>647</v>
      </c>
      <c r="C654" s="72" t="n"/>
      <c r="D654" s="109" t="n"/>
      <c r="E654" s="72" t="n"/>
      <c r="F654" s="113" t="n"/>
      <c r="G654" s="72" t="n"/>
      <c r="H654" s="74" t="n"/>
      <c r="I654" s="73" t="n"/>
      <c r="J654" s="113" t="n"/>
      <c r="K654" s="109" t="n"/>
      <c r="L654" s="72" t="n"/>
      <c r="M654" s="109" t="n"/>
      <c r="N654" s="72" t="n"/>
      <c r="O654" s="79">
        <f>IF(AND(F654&lt;&gt;"",L654&lt;&gt;"Resolved"),1,0)</f>
        <v/>
      </c>
      <c r="P654" s="79">
        <f>IF(F654="","",IF(O654=0,0,IF(H654="High",2,1)))</f>
        <v/>
      </c>
      <c r="Q654" s="112">
        <f>IF(O654=1,IF(K654&lt;&gt;"",K654,IF(H654="High",AsOf,"")),"")</f>
        <v/>
      </c>
      <c r="R654" s="79">
        <f>IF(Q654="","",IF(H654="High",1,IF(Q654="","",IF(Q654&lt;AsOf,1,IF(Q654&lt;=AsOf+AlertDays,2,IF(Q654&lt;=AsOf+2*AlertDays,3,""))))))</f>
        <v/>
      </c>
      <c r="S654" s="79">
        <f>IF(R654="","",IF(H654="High","High-severity issue: ",IF(C654="Punch item","Punch item: ","Issue action due: "))&amp;F654&amp;IF(J654="",""," → "&amp;J654))</f>
        <v/>
      </c>
      <c r="T654" s="79">
        <f>IF(O654=1,IF(I654="",0,I654),0)</f>
        <v/>
      </c>
      <c r="U654" s="79">
        <f>IF(AND(O654=1,H654="High"),1,0)</f>
        <v/>
      </c>
      <c r="V654" s="79">
        <f>IF(AND(O654=1,C654="Punch item"),1,0)</f>
        <v/>
      </c>
    </row>
    <row r="655" ht="24" customHeight="1">
      <c r="B655" s="125" t="n">
        <v>648</v>
      </c>
      <c r="C655" s="72" t="n"/>
      <c r="D655" s="109" t="n"/>
      <c r="E655" s="72" t="n"/>
      <c r="F655" s="113" t="n"/>
      <c r="G655" s="72" t="n"/>
      <c r="H655" s="74" t="n"/>
      <c r="I655" s="73" t="n"/>
      <c r="J655" s="113" t="n"/>
      <c r="K655" s="109" t="n"/>
      <c r="L655" s="72" t="n"/>
      <c r="M655" s="109" t="n"/>
      <c r="N655" s="72" t="n"/>
      <c r="O655" s="79">
        <f>IF(AND(F655&lt;&gt;"",L655&lt;&gt;"Resolved"),1,0)</f>
        <v/>
      </c>
      <c r="P655" s="79">
        <f>IF(F655="","",IF(O655=0,0,IF(H655="High",2,1)))</f>
        <v/>
      </c>
      <c r="Q655" s="112">
        <f>IF(O655=1,IF(K655&lt;&gt;"",K655,IF(H655="High",AsOf,"")),"")</f>
        <v/>
      </c>
      <c r="R655" s="79">
        <f>IF(Q655="","",IF(H655="High",1,IF(Q655="","",IF(Q655&lt;AsOf,1,IF(Q655&lt;=AsOf+AlertDays,2,IF(Q655&lt;=AsOf+2*AlertDays,3,""))))))</f>
        <v/>
      </c>
      <c r="S655" s="79">
        <f>IF(R655="","",IF(H655="High","High-severity issue: ",IF(C655="Punch item","Punch item: ","Issue action due: "))&amp;F655&amp;IF(J655="",""," → "&amp;J655))</f>
        <v/>
      </c>
      <c r="T655" s="79">
        <f>IF(O655=1,IF(I655="",0,I655),0)</f>
        <v/>
      </c>
      <c r="U655" s="79">
        <f>IF(AND(O655=1,H655="High"),1,0)</f>
        <v/>
      </c>
      <c r="V655" s="79">
        <f>IF(AND(O655=1,C655="Punch item"),1,0)</f>
        <v/>
      </c>
    </row>
    <row r="656" ht="24" customHeight="1">
      <c r="B656" s="125" t="n">
        <v>649</v>
      </c>
      <c r="C656" s="72" t="n"/>
      <c r="D656" s="109" t="n"/>
      <c r="E656" s="72" t="n"/>
      <c r="F656" s="113" t="n"/>
      <c r="G656" s="72" t="n"/>
      <c r="H656" s="74" t="n"/>
      <c r="I656" s="73" t="n"/>
      <c r="J656" s="113" t="n"/>
      <c r="K656" s="109" t="n"/>
      <c r="L656" s="72" t="n"/>
      <c r="M656" s="109" t="n"/>
      <c r="N656" s="72" t="n"/>
      <c r="O656" s="79">
        <f>IF(AND(F656&lt;&gt;"",L656&lt;&gt;"Resolved"),1,0)</f>
        <v/>
      </c>
      <c r="P656" s="79">
        <f>IF(F656="","",IF(O656=0,0,IF(H656="High",2,1)))</f>
        <v/>
      </c>
      <c r="Q656" s="112">
        <f>IF(O656=1,IF(K656&lt;&gt;"",K656,IF(H656="High",AsOf,"")),"")</f>
        <v/>
      </c>
      <c r="R656" s="79">
        <f>IF(Q656="","",IF(H656="High",1,IF(Q656="","",IF(Q656&lt;AsOf,1,IF(Q656&lt;=AsOf+AlertDays,2,IF(Q656&lt;=AsOf+2*AlertDays,3,""))))))</f>
        <v/>
      </c>
      <c r="S656" s="79">
        <f>IF(R656="","",IF(H656="High","High-severity issue: ",IF(C656="Punch item","Punch item: ","Issue action due: "))&amp;F656&amp;IF(J656="",""," → "&amp;J656))</f>
        <v/>
      </c>
      <c r="T656" s="79">
        <f>IF(O656=1,IF(I656="",0,I656),0)</f>
        <v/>
      </c>
      <c r="U656" s="79">
        <f>IF(AND(O656=1,H656="High"),1,0)</f>
        <v/>
      </c>
      <c r="V656" s="79">
        <f>IF(AND(O656=1,C656="Punch item"),1,0)</f>
        <v/>
      </c>
    </row>
    <row r="657" ht="24" customHeight="1">
      <c r="B657" s="125" t="n">
        <v>650</v>
      </c>
      <c r="C657" s="72" t="n"/>
      <c r="D657" s="109" t="n"/>
      <c r="E657" s="72" t="n"/>
      <c r="F657" s="113" t="n"/>
      <c r="G657" s="72" t="n"/>
      <c r="H657" s="74" t="n"/>
      <c r="I657" s="73" t="n"/>
      <c r="J657" s="113" t="n"/>
      <c r="K657" s="109" t="n"/>
      <c r="L657" s="72" t="n"/>
      <c r="M657" s="109" t="n"/>
      <c r="N657" s="72" t="n"/>
      <c r="O657" s="79">
        <f>IF(AND(F657&lt;&gt;"",L657&lt;&gt;"Resolved"),1,0)</f>
        <v/>
      </c>
      <c r="P657" s="79">
        <f>IF(F657="","",IF(O657=0,0,IF(H657="High",2,1)))</f>
        <v/>
      </c>
      <c r="Q657" s="112">
        <f>IF(O657=1,IF(K657&lt;&gt;"",K657,IF(H657="High",AsOf,"")),"")</f>
        <v/>
      </c>
      <c r="R657" s="79">
        <f>IF(Q657="","",IF(H657="High",1,IF(Q657="","",IF(Q657&lt;AsOf,1,IF(Q657&lt;=AsOf+AlertDays,2,IF(Q657&lt;=AsOf+2*AlertDays,3,""))))))</f>
        <v/>
      </c>
      <c r="S657" s="79">
        <f>IF(R657="","",IF(H657="High","High-severity issue: ",IF(C657="Punch item","Punch item: ","Issue action due: "))&amp;F657&amp;IF(J657="",""," → "&amp;J657))</f>
        <v/>
      </c>
      <c r="T657" s="79">
        <f>IF(O657=1,IF(I657="",0,I657),0)</f>
        <v/>
      </c>
      <c r="U657" s="79">
        <f>IF(AND(O657=1,H657="High"),1,0)</f>
        <v/>
      </c>
      <c r="V657" s="79">
        <f>IF(AND(O657=1,C657="Punch item"),1,0)</f>
        <v/>
      </c>
    </row>
    <row r="658" ht="24" customHeight="1">
      <c r="B658" s="125" t="n">
        <v>651</v>
      </c>
      <c r="C658" s="72" t="n"/>
      <c r="D658" s="109" t="n"/>
      <c r="E658" s="72" t="n"/>
      <c r="F658" s="113" t="n"/>
      <c r="G658" s="72" t="n"/>
      <c r="H658" s="74" t="n"/>
      <c r="I658" s="73" t="n"/>
      <c r="J658" s="113" t="n"/>
      <c r="K658" s="109" t="n"/>
      <c r="L658" s="72" t="n"/>
      <c r="M658" s="109" t="n"/>
      <c r="N658" s="72" t="n"/>
      <c r="O658" s="79">
        <f>IF(AND(F658&lt;&gt;"",L658&lt;&gt;"Resolved"),1,0)</f>
        <v/>
      </c>
      <c r="P658" s="79">
        <f>IF(F658="","",IF(O658=0,0,IF(H658="High",2,1)))</f>
        <v/>
      </c>
      <c r="Q658" s="112">
        <f>IF(O658=1,IF(K658&lt;&gt;"",K658,IF(H658="High",AsOf,"")),"")</f>
        <v/>
      </c>
      <c r="R658" s="79">
        <f>IF(Q658="","",IF(H658="High",1,IF(Q658="","",IF(Q658&lt;AsOf,1,IF(Q658&lt;=AsOf+AlertDays,2,IF(Q658&lt;=AsOf+2*AlertDays,3,""))))))</f>
        <v/>
      </c>
      <c r="S658" s="79">
        <f>IF(R658="","",IF(H658="High","High-severity issue: ",IF(C658="Punch item","Punch item: ","Issue action due: "))&amp;F658&amp;IF(J658="",""," → "&amp;J658))</f>
        <v/>
      </c>
      <c r="T658" s="79">
        <f>IF(O658=1,IF(I658="",0,I658),0)</f>
        <v/>
      </c>
      <c r="U658" s="79">
        <f>IF(AND(O658=1,H658="High"),1,0)</f>
        <v/>
      </c>
      <c r="V658" s="79">
        <f>IF(AND(O658=1,C658="Punch item"),1,0)</f>
        <v/>
      </c>
    </row>
    <row r="659" ht="24" customHeight="1">
      <c r="B659" s="125" t="n">
        <v>652</v>
      </c>
      <c r="C659" s="72" t="n"/>
      <c r="D659" s="109" t="n"/>
      <c r="E659" s="72" t="n"/>
      <c r="F659" s="113" t="n"/>
      <c r="G659" s="72" t="n"/>
      <c r="H659" s="74" t="n"/>
      <c r="I659" s="73" t="n"/>
      <c r="J659" s="113" t="n"/>
      <c r="K659" s="109" t="n"/>
      <c r="L659" s="72" t="n"/>
      <c r="M659" s="109" t="n"/>
      <c r="N659" s="72" t="n"/>
      <c r="O659" s="79">
        <f>IF(AND(F659&lt;&gt;"",L659&lt;&gt;"Resolved"),1,0)</f>
        <v/>
      </c>
      <c r="P659" s="79">
        <f>IF(F659="","",IF(O659=0,0,IF(H659="High",2,1)))</f>
        <v/>
      </c>
      <c r="Q659" s="112">
        <f>IF(O659=1,IF(K659&lt;&gt;"",K659,IF(H659="High",AsOf,"")),"")</f>
        <v/>
      </c>
      <c r="R659" s="79">
        <f>IF(Q659="","",IF(H659="High",1,IF(Q659="","",IF(Q659&lt;AsOf,1,IF(Q659&lt;=AsOf+AlertDays,2,IF(Q659&lt;=AsOf+2*AlertDays,3,""))))))</f>
        <v/>
      </c>
      <c r="S659" s="79">
        <f>IF(R659="","",IF(H659="High","High-severity issue: ",IF(C659="Punch item","Punch item: ","Issue action due: "))&amp;F659&amp;IF(J659="",""," → "&amp;J659))</f>
        <v/>
      </c>
      <c r="T659" s="79">
        <f>IF(O659=1,IF(I659="",0,I659),0)</f>
        <v/>
      </c>
      <c r="U659" s="79">
        <f>IF(AND(O659=1,H659="High"),1,0)</f>
        <v/>
      </c>
      <c r="V659" s="79">
        <f>IF(AND(O659=1,C659="Punch item"),1,0)</f>
        <v/>
      </c>
    </row>
    <row r="660" ht="24" customHeight="1">
      <c r="B660" s="125" t="n">
        <v>653</v>
      </c>
      <c r="C660" s="72" t="n"/>
      <c r="D660" s="109" t="n"/>
      <c r="E660" s="72" t="n"/>
      <c r="F660" s="113" t="n"/>
      <c r="G660" s="72" t="n"/>
      <c r="H660" s="74" t="n"/>
      <c r="I660" s="73" t="n"/>
      <c r="J660" s="113" t="n"/>
      <c r="K660" s="109" t="n"/>
      <c r="L660" s="72" t="n"/>
      <c r="M660" s="109" t="n"/>
      <c r="N660" s="72" t="n"/>
      <c r="O660" s="79">
        <f>IF(AND(F660&lt;&gt;"",L660&lt;&gt;"Resolved"),1,0)</f>
        <v/>
      </c>
      <c r="P660" s="79">
        <f>IF(F660="","",IF(O660=0,0,IF(H660="High",2,1)))</f>
        <v/>
      </c>
      <c r="Q660" s="112">
        <f>IF(O660=1,IF(K660&lt;&gt;"",K660,IF(H660="High",AsOf,"")),"")</f>
        <v/>
      </c>
      <c r="R660" s="79">
        <f>IF(Q660="","",IF(H660="High",1,IF(Q660="","",IF(Q660&lt;AsOf,1,IF(Q660&lt;=AsOf+AlertDays,2,IF(Q660&lt;=AsOf+2*AlertDays,3,""))))))</f>
        <v/>
      </c>
      <c r="S660" s="79">
        <f>IF(R660="","",IF(H660="High","High-severity issue: ",IF(C660="Punch item","Punch item: ","Issue action due: "))&amp;F660&amp;IF(J660="",""," → "&amp;J660))</f>
        <v/>
      </c>
      <c r="T660" s="79">
        <f>IF(O660=1,IF(I660="",0,I660),0)</f>
        <v/>
      </c>
      <c r="U660" s="79">
        <f>IF(AND(O660=1,H660="High"),1,0)</f>
        <v/>
      </c>
      <c r="V660" s="79">
        <f>IF(AND(O660=1,C660="Punch item"),1,0)</f>
        <v/>
      </c>
    </row>
    <row r="661" ht="24" customHeight="1">
      <c r="B661" s="125" t="n">
        <v>654</v>
      </c>
      <c r="C661" s="72" t="n"/>
      <c r="D661" s="109" t="n"/>
      <c r="E661" s="72" t="n"/>
      <c r="F661" s="113" t="n"/>
      <c r="G661" s="72" t="n"/>
      <c r="H661" s="74" t="n"/>
      <c r="I661" s="73" t="n"/>
      <c r="J661" s="113" t="n"/>
      <c r="K661" s="109" t="n"/>
      <c r="L661" s="72" t="n"/>
      <c r="M661" s="109" t="n"/>
      <c r="N661" s="72" t="n"/>
      <c r="O661" s="79">
        <f>IF(AND(F661&lt;&gt;"",L661&lt;&gt;"Resolved"),1,0)</f>
        <v/>
      </c>
      <c r="P661" s="79">
        <f>IF(F661="","",IF(O661=0,0,IF(H661="High",2,1)))</f>
        <v/>
      </c>
      <c r="Q661" s="112">
        <f>IF(O661=1,IF(K661&lt;&gt;"",K661,IF(H661="High",AsOf,"")),"")</f>
        <v/>
      </c>
      <c r="R661" s="79">
        <f>IF(Q661="","",IF(H661="High",1,IF(Q661="","",IF(Q661&lt;AsOf,1,IF(Q661&lt;=AsOf+AlertDays,2,IF(Q661&lt;=AsOf+2*AlertDays,3,""))))))</f>
        <v/>
      </c>
      <c r="S661" s="79">
        <f>IF(R661="","",IF(H661="High","High-severity issue: ",IF(C661="Punch item","Punch item: ","Issue action due: "))&amp;F661&amp;IF(J661="",""," → "&amp;J661))</f>
        <v/>
      </c>
      <c r="T661" s="79">
        <f>IF(O661=1,IF(I661="",0,I661),0)</f>
        <v/>
      </c>
      <c r="U661" s="79">
        <f>IF(AND(O661=1,H661="High"),1,0)</f>
        <v/>
      </c>
      <c r="V661" s="79">
        <f>IF(AND(O661=1,C661="Punch item"),1,0)</f>
        <v/>
      </c>
    </row>
    <row r="662" ht="24" customHeight="1">
      <c r="B662" s="125" t="n">
        <v>655</v>
      </c>
      <c r="C662" s="72" t="n"/>
      <c r="D662" s="109" t="n"/>
      <c r="E662" s="72" t="n"/>
      <c r="F662" s="113" t="n"/>
      <c r="G662" s="72" t="n"/>
      <c r="H662" s="74" t="n"/>
      <c r="I662" s="73" t="n"/>
      <c r="J662" s="113" t="n"/>
      <c r="K662" s="109" t="n"/>
      <c r="L662" s="72" t="n"/>
      <c r="M662" s="109" t="n"/>
      <c r="N662" s="72" t="n"/>
      <c r="O662" s="79">
        <f>IF(AND(F662&lt;&gt;"",L662&lt;&gt;"Resolved"),1,0)</f>
        <v/>
      </c>
      <c r="P662" s="79">
        <f>IF(F662="","",IF(O662=0,0,IF(H662="High",2,1)))</f>
        <v/>
      </c>
      <c r="Q662" s="112">
        <f>IF(O662=1,IF(K662&lt;&gt;"",K662,IF(H662="High",AsOf,"")),"")</f>
        <v/>
      </c>
      <c r="R662" s="79">
        <f>IF(Q662="","",IF(H662="High",1,IF(Q662="","",IF(Q662&lt;AsOf,1,IF(Q662&lt;=AsOf+AlertDays,2,IF(Q662&lt;=AsOf+2*AlertDays,3,""))))))</f>
        <v/>
      </c>
      <c r="S662" s="79">
        <f>IF(R662="","",IF(H662="High","High-severity issue: ",IF(C662="Punch item","Punch item: ","Issue action due: "))&amp;F662&amp;IF(J662="",""," → "&amp;J662))</f>
        <v/>
      </c>
      <c r="T662" s="79">
        <f>IF(O662=1,IF(I662="",0,I662),0)</f>
        <v/>
      </c>
      <c r="U662" s="79">
        <f>IF(AND(O662=1,H662="High"),1,0)</f>
        <v/>
      </c>
      <c r="V662" s="79">
        <f>IF(AND(O662=1,C662="Punch item"),1,0)</f>
        <v/>
      </c>
    </row>
    <row r="663" ht="24" customHeight="1">
      <c r="B663" s="125" t="n">
        <v>656</v>
      </c>
      <c r="C663" s="72" t="n"/>
      <c r="D663" s="109" t="n"/>
      <c r="E663" s="72" t="n"/>
      <c r="F663" s="113" t="n"/>
      <c r="G663" s="72" t="n"/>
      <c r="H663" s="74" t="n"/>
      <c r="I663" s="73" t="n"/>
      <c r="J663" s="113" t="n"/>
      <c r="K663" s="109" t="n"/>
      <c r="L663" s="72" t="n"/>
      <c r="M663" s="109" t="n"/>
      <c r="N663" s="72" t="n"/>
      <c r="O663" s="79">
        <f>IF(AND(F663&lt;&gt;"",L663&lt;&gt;"Resolved"),1,0)</f>
        <v/>
      </c>
      <c r="P663" s="79">
        <f>IF(F663="","",IF(O663=0,0,IF(H663="High",2,1)))</f>
        <v/>
      </c>
      <c r="Q663" s="112">
        <f>IF(O663=1,IF(K663&lt;&gt;"",K663,IF(H663="High",AsOf,"")),"")</f>
        <v/>
      </c>
      <c r="R663" s="79">
        <f>IF(Q663="","",IF(H663="High",1,IF(Q663="","",IF(Q663&lt;AsOf,1,IF(Q663&lt;=AsOf+AlertDays,2,IF(Q663&lt;=AsOf+2*AlertDays,3,""))))))</f>
        <v/>
      </c>
      <c r="S663" s="79">
        <f>IF(R663="","",IF(H663="High","High-severity issue: ",IF(C663="Punch item","Punch item: ","Issue action due: "))&amp;F663&amp;IF(J663="",""," → "&amp;J663))</f>
        <v/>
      </c>
      <c r="T663" s="79">
        <f>IF(O663=1,IF(I663="",0,I663),0)</f>
        <v/>
      </c>
      <c r="U663" s="79">
        <f>IF(AND(O663=1,H663="High"),1,0)</f>
        <v/>
      </c>
      <c r="V663" s="79">
        <f>IF(AND(O663=1,C663="Punch item"),1,0)</f>
        <v/>
      </c>
    </row>
    <row r="664" ht="24" customHeight="1">
      <c r="B664" s="125" t="n">
        <v>657</v>
      </c>
      <c r="C664" s="72" t="n"/>
      <c r="D664" s="109" t="n"/>
      <c r="E664" s="72" t="n"/>
      <c r="F664" s="113" t="n"/>
      <c r="G664" s="72" t="n"/>
      <c r="H664" s="74" t="n"/>
      <c r="I664" s="73" t="n"/>
      <c r="J664" s="113" t="n"/>
      <c r="K664" s="109" t="n"/>
      <c r="L664" s="72" t="n"/>
      <c r="M664" s="109" t="n"/>
      <c r="N664" s="72" t="n"/>
      <c r="O664" s="79">
        <f>IF(AND(F664&lt;&gt;"",L664&lt;&gt;"Resolved"),1,0)</f>
        <v/>
      </c>
      <c r="P664" s="79">
        <f>IF(F664="","",IF(O664=0,0,IF(H664="High",2,1)))</f>
        <v/>
      </c>
      <c r="Q664" s="112">
        <f>IF(O664=1,IF(K664&lt;&gt;"",K664,IF(H664="High",AsOf,"")),"")</f>
        <v/>
      </c>
      <c r="R664" s="79">
        <f>IF(Q664="","",IF(H664="High",1,IF(Q664="","",IF(Q664&lt;AsOf,1,IF(Q664&lt;=AsOf+AlertDays,2,IF(Q664&lt;=AsOf+2*AlertDays,3,""))))))</f>
        <v/>
      </c>
      <c r="S664" s="79">
        <f>IF(R664="","",IF(H664="High","High-severity issue: ",IF(C664="Punch item","Punch item: ","Issue action due: "))&amp;F664&amp;IF(J664="",""," → "&amp;J664))</f>
        <v/>
      </c>
      <c r="T664" s="79">
        <f>IF(O664=1,IF(I664="",0,I664),0)</f>
        <v/>
      </c>
      <c r="U664" s="79">
        <f>IF(AND(O664=1,H664="High"),1,0)</f>
        <v/>
      </c>
      <c r="V664" s="79">
        <f>IF(AND(O664=1,C664="Punch item"),1,0)</f>
        <v/>
      </c>
    </row>
    <row r="665" ht="24" customHeight="1">
      <c r="B665" s="125" t="n">
        <v>658</v>
      </c>
      <c r="C665" s="72" t="n"/>
      <c r="D665" s="109" t="n"/>
      <c r="E665" s="72" t="n"/>
      <c r="F665" s="113" t="n"/>
      <c r="G665" s="72" t="n"/>
      <c r="H665" s="74" t="n"/>
      <c r="I665" s="73" t="n"/>
      <c r="J665" s="113" t="n"/>
      <c r="K665" s="109" t="n"/>
      <c r="L665" s="72" t="n"/>
      <c r="M665" s="109" t="n"/>
      <c r="N665" s="72" t="n"/>
      <c r="O665" s="79">
        <f>IF(AND(F665&lt;&gt;"",L665&lt;&gt;"Resolved"),1,0)</f>
        <v/>
      </c>
      <c r="P665" s="79">
        <f>IF(F665="","",IF(O665=0,0,IF(H665="High",2,1)))</f>
        <v/>
      </c>
      <c r="Q665" s="112">
        <f>IF(O665=1,IF(K665&lt;&gt;"",K665,IF(H665="High",AsOf,"")),"")</f>
        <v/>
      </c>
      <c r="R665" s="79">
        <f>IF(Q665="","",IF(H665="High",1,IF(Q665="","",IF(Q665&lt;AsOf,1,IF(Q665&lt;=AsOf+AlertDays,2,IF(Q665&lt;=AsOf+2*AlertDays,3,""))))))</f>
        <v/>
      </c>
      <c r="S665" s="79">
        <f>IF(R665="","",IF(H665="High","High-severity issue: ",IF(C665="Punch item","Punch item: ","Issue action due: "))&amp;F665&amp;IF(J665="",""," → "&amp;J665))</f>
        <v/>
      </c>
      <c r="T665" s="79">
        <f>IF(O665=1,IF(I665="",0,I665),0)</f>
        <v/>
      </c>
      <c r="U665" s="79">
        <f>IF(AND(O665=1,H665="High"),1,0)</f>
        <v/>
      </c>
      <c r="V665" s="79">
        <f>IF(AND(O665=1,C665="Punch item"),1,0)</f>
        <v/>
      </c>
    </row>
    <row r="666" ht="24" customHeight="1">
      <c r="B666" s="125" t="n">
        <v>659</v>
      </c>
      <c r="C666" s="72" t="n"/>
      <c r="D666" s="109" t="n"/>
      <c r="E666" s="72" t="n"/>
      <c r="F666" s="113" t="n"/>
      <c r="G666" s="72" t="n"/>
      <c r="H666" s="74" t="n"/>
      <c r="I666" s="73" t="n"/>
      <c r="J666" s="113" t="n"/>
      <c r="K666" s="109" t="n"/>
      <c r="L666" s="72" t="n"/>
      <c r="M666" s="109" t="n"/>
      <c r="N666" s="72" t="n"/>
      <c r="O666" s="79">
        <f>IF(AND(F666&lt;&gt;"",L666&lt;&gt;"Resolved"),1,0)</f>
        <v/>
      </c>
      <c r="P666" s="79">
        <f>IF(F666="","",IF(O666=0,0,IF(H666="High",2,1)))</f>
        <v/>
      </c>
      <c r="Q666" s="112">
        <f>IF(O666=1,IF(K666&lt;&gt;"",K666,IF(H666="High",AsOf,"")),"")</f>
        <v/>
      </c>
      <c r="R666" s="79">
        <f>IF(Q666="","",IF(H666="High",1,IF(Q666="","",IF(Q666&lt;AsOf,1,IF(Q666&lt;=AsOf+AlertDays,2,IF(Q666&lt;=AsOf+2*AlertDays,3,""))))))</f>
        <v/>
      </c>
      <c r="S666" s="79">
        <f>IF(R666="","",IF(H666="High","High-severity issue: ",IF(C666="Punch item","Punch item: ","Issue action due: "))&amp;F666&amp;IF(J666="",""," → "&amp;J666))</f>
        <v/>
      </c>
      <c r="T666" s="79">
        <f>IF(O666=1,IF(I666="",0,I666),0)</f>
        <v/>
      </c>
      <c r="U666" s="79">
        <f>IF(AND(O666=1,H666="High"),1,0)</f>
        <v/>
      </c>
      <c r="V666" s="79">
        <f>IF(AND(O666=1,C666="Punch item"),1,0)</f>
        <v/>
      </c>
    </row>
    <row r="667" ht="24" customHeight="1">
      <c r="B667" s="125" t="n">
        <v>660</v>
      </c>
      <c r="C667" s="72" t="n"/>
      <c r="D667" s="109" t="n"/>
      <c r="E667" s="72" t="n"/>
      <c r="F667" s="113" t="n"/>
      <c r="G667" s="72" t="n"/>
      <c r="H667" s="74" t="n"/>
      <c r="I667" s="73" t="n"/>
      <c r="J667" s="113" t="n"/>
      <c r="K667" s="109" t="n"/>
      <c r="L667" s="72" t="n"/>
      <c r="M667" s="109" t="n"/>
      <c r="N667" s="72" t="n"/>
      <c r="O667" s="79">
        <f>IF(AND(F667&lt;&gt;"",L667&lt;&gt;"Resolved"),1,0)</f>
        <v/>
      </c>
      <c r="P667" s="79">
        <f>IF(F667="","",IF(O667=0,0,IF(H667="High",2,1)))</f>
        <v/>
      </c>
      <c r="Q667" s="112">
        <f>IF(O667=1,IF(K667&lt;&gt;"",K667,IF(H667="High",AsOf,"")),"")</f>
        <v/>
      </c>
      <c r="R667" s="79">
        <f>IF(Q667="","",IF(H667="High",1,IF(Q667="","",IF(Q667&lt;AsOf,1,IF(Q667&lt;=AsOf+AlertDays,2,IF(Q667&lt;=AsOf+2*AlertDays,3,""))))))</f>
        <v/>
      </c>
      <c r="S667" s="79">
        <f>IF(R667="","",IF(H667="High","High-severity issue: ",IF(C667="Punch item","Punch item: ","Issue action due: "))&amp;F667&amp;IF(J667="",""," → "&amp;J667))</f>
        <v/>
      </c>
      <c r="T667" s="79">
        <f>IF(O667=1,IF(I667="",0,I667),0)</f>
        <v/>
      </c>
      <c r="U667" s="79">
        <f>IF(AND(O667=1,H667="High"),1,0)</f>
        <v/>
      </c>
      <c r="V667" s="79">
        <f>IF(AND(O667=1,C667="Punch item"),1,0)</f>
        <v/>
      </c>
    </row>
    <row r="668" ht="24" customHeight="1">
      <c r="B668" s="125" t="n">
        <v>661</v>
      </c>
      <c r="C668" s="72" t="n"/>
      <c r="D668" s="109" t="n"/>
      <c r="E668" s="72" t="n"/>
      <c r="F668" s="113" t="n"/>
      <c r="G668" s="72" t="n"/>
      <c r="H668" s="74" t="n"/>
      <c r="I668" s="73" t="n"/>
      <c r="J668" s="113" t="n"/>
      <c r="K668" s="109" t="n"/>
      <c r="L668" s="72" t="n"/>
      <c r="M668" s="109" t="n"/>
      <c r="N668" s="72" t="n"/>
      <c r="O668" s="79">
        <f>IF(AND(F668&lt;&gt;"",L668&lt;&gt;"Resolved"),1,0)</f>
        <v/>
      </c>
      <c r="P668" s="79">
        <f>IF(F668="","",IF(O668=0,0,IF(H668="High",2,1)))</f>
        <v/>
      </c>
      <c r="Q668" s="112">
        <f>IF(O668=1,IF(K668&lt;&gt;"",K668,IF(H668="High",AsOf,"")),"")</f>
        <v/>
      </c>
      <c r="R668" s="79">
        <f>IF(Q668="","",IF(H668="High",1,IF(Q668="","",IF(Q668&lt;AsOf,1,IF(Q668&lt;=AsOf+AlertDays,2,IF(Q668&lt;=AsOf+2*AlertDays,3,""))))))</f>
        <v/>
      </c>
      <c r="S668" s="79">
        <f>IF(R668="","",IF(H668="High","High-severity issue: ",IF(C668="Punch item","Punch item: ","Issue action due: "))&amp;F668&amp;IF(J668="",""," → "&amp;J668))</f>
        <v/>
      </c>
      <c r="T668" s="79">
        <f>IF(O668=1,IF(I668="",0,I668),0)</f>
        <v/>
      </c>
      <c r="U668" s="79">
        <f>IF(AND(O668=1,H668="High"),1,0)</f>
        <v/>
      </c>
      <c r="V668" s="79">
        <f>IF(AND(O668=1,C668="Punch item"),1,0)</f>
        <v/>
      </c>
    </row>
    <row r="669" ht="24" customHeight="1">
      <c r="B669" s="125" t="n">
        <v>662</v>
      </c>
      <c r="C669" s="72" t="n"/>
      <c r="D669" s="109" t="n"/>
      <c r="E669" s="72" t="n"/>
      <c r="F669" s="113" t="n"/>
      <c r="G669" s="72" t="n"/>
      <c r="H669" s="74" t="n"/>
      <c r="I669" s="73" t="n"/>
      <c r="J669" s="113" t="n"/>
      <c r="K669" s="109" t="n"/>
      <c r="L669" s="72" t="n"/>
      <c r="M669" s="109" t="n"/>
      <c r="N669" s="72" t="n"/>
      <c r="O669" s="79">
        <f>IF(AND(F669&lt;&gt;"",L669&lt;&gt;"Resolved"),1,0)</f>
        <v/>
      </c>
      <c r="P669" s="79">
        <f>IF(F669="","",IF(O669=0,0,IF(H669="High",2,1)))</f>
        <v/>
      </c>
      <c r="Q669" s="112">
        <f>IF(O669=1,IF(K669&lt;&gt;"",K669,IF(H669="High",AsOf,"")),"")</f>
        <v/>
      </c>
      <c r="R669" s="79">
        <f>IF(Q669="","",IF(H669="High",1,IF(Q669="","",IF(Q669&lt;AsOf,1,IF(Q669&lt;=AsOf+AlertDays,2,IF(Q669&lt;=AsOf+2*AlertDays,3,""))))))</f>
        <v/>
      </c>
      <c r="S669" s="79">
        <f>IF(R669="","",IF(H669="High","High-severity issue: ",IF(C669="Punch item","Punch item: ","Issue action due: "))&amp;F669&amp;IF(J669="",""," → "&amp;J669))</f>
        <v/>
      </c>
      <c r="T669" s="79">
        <f>IF(O669=1,IF(I669="",0,I669),0)</f>
        <v/>
      </c>
      <c r="U669" s="79">
        <f>IF(AND(O669=1,H669="High"),1,0)</f>
        <v/>
      </c>
      <c r="V669" s="79">
        <f>IF(AND(O669=1,C669="Punch item"),1,0)</f>
        <v/>
      </c>
    </row>
    <row r="670" ht="24" customHeight="1">
      <c r="B670" s="125" t="n">
        <v>663</v>
      </c>
      <c r="C670" s="72" t="n"/>
      <c r="D670" s="109" t="n"/>
      <c r="E670" s="72" t="n"/>
      <c r="F670" s="113" t="n"/>
      <c r="G670" s="72" t="n"/>
      <c r="H670" s="74" t="n"/>
      <c r="I670" s="73" t="n"/>
      <c r="J670" s="113" t="n"/>
      <c r="K670" s="109" t="n"/>
      <c r="L670" s="72" t="n"/>
      <c r="M670" s="109" t="n"/>
      <c r="N670" s="72" t="n"/>
      <c r="O670" s="79">
        <f>IF(AND(F670&lt;&gt;"",L670&lt;&gt;"Resolved"),1,0)</f>
        <v/>
      </c>
      <c r="P670" s="79">
        <f>IF(F670="","",IF(O670=0,0,IF(H670="High",2,1)))</f>
        <v/>
      </c>
      <c r="Q670" s="112">
        <f>IF(O670=1,IF(K670&lt;&gt;"",K670,IF(H670="High",AsOf,"")),"")</f>
        <v/>
      </c>
      <c r="R670" s="79">
        <f>IF(Q670="","",IF(H670="High",1,IF(Q670="","",IF(Q670&lt;AsOf,1,IF(Q670&lt;=AsOf+AlertDays,2,IF(Q670&lt;=AsOf+2*AlertDays,3,""))))))</f>
        <v/>
      </c>
      <c r="S670" s="79">
        <f>IF(R670="","",IF(H670="High","High-severity issue: ",IF(C670="Punch item","Punch item: ","Issue action due: "))&amp;F670&amp;IF(J670="",""," → "&amp;J670))</f>
        <v/>
      </c>
      <c r="T670" s="79">
        <f>IF(O670=1,IF(I670="",0,I670),0)</f>
        <v/>
      </c>
      <c r="U670" s="79">
        <f>IF(AND(O670=1,H670="High"),1,0)</f>
        <v/>
      </c>
      <c r="V670" s="79">
        <f>IF(AND(O670=1,C670="Punch item"),1,0)</f>
        <v/>
      </c>
    </row>
    <row r="671" ht="24" customHeight="1">
      <c r="B671" s="125" t="n">
        <v>664</v>
      </c>
      <c r="C671" s="72" t="n"/>
      <c r="D671" s="109" t="n"/>
      <c r="E671" s="72" t="n"/>
      <c r="F671" s="113" t="n"/>
      <c r="G671" s="72" t="n"/>
      <c r="H671" s="74" t="n"/>
      <c r="I671" s="73" t="n"/>
      <c r="J671" s="113" t="n"/>
      <c r="K671" s="109" t="n"/>
      <c r="L671" s="72" t="n"/>
      <c r="M671" s="109" t="n"/>
      <c r="N671" s="72" t="n"/>
      <c r="O671" s="79">
        <f>IF(AND(F671&lt;&gt;"",L671&lt;&gt;"Resolved"),1,0)</f>
        <v/>
      </c>
      <c r="P671" s="79">
        <f>IF(F671="","",IF(O671=0,0,IF(H671="High",2,1)))</f>
        <v/>
      </c>
      <c r="Q671" s="112">
        <f>IF(O671=1,IF(K671&lt;&gt;"",K671,IF(H671="High",AsOf,"")),"")</f>
        <v/>
      </c>
      <c r="R671" s="79">
        <f>IF(Q671="","",IF(H671="High",1,IF(Q671="","",IF(Q671&lt;AsOf,1,IF(Q671&lt;=AsOf+AlertDays,2,IF(Q671&lt;=AsOf+2*AlertDays,3,""))))))</f>
        <v/>
      </c>
      <c r="S671" s="79">
        <f>IF(R671="","",IF(H671="High","High-severity issue: ",IF(C671="Punch item","Punch item: ","Issue action due: "))&amp;F671&amp;IF(J671="",""," → "&amp;J671))</f>
        <v/>
      </c>
      <c r="T671" s="79">
        <f>IF(O671=1,IF(I671="",0,I671),0)</f>
        <v/>
      </c>
      <c r="U671" s="79">
        <f>IF(AND(O671=1,H671="High"),1,0)</f>
        <v/>
      </c>
      <c r="V671" s="79">
        <f>IF(AND(O671=1,C671="Punch item"),1,0)</f>
        <v/>
      </c>
    </row>
    <row r="672" ht="24" customHeight="1">
      <c r="B672" s="125" t="n">
        <v>665</v>
      </c>
      <c r="C672" s="72" t="n"/>
      <c r="D672" s="109" t="n"/>
      <c r="E672" s="72" t="n"/>
      <c r="F672" s="113" t="n"/>
      <c r="G672" s="72" t="n"/>
      <c r="H672" s="74" t="n"/>
      <c r="I672" s="73" t="n"/>
      <c r="J672" s="113" t="n"/>
      <c r="K672" s="109" t="n"/>
      <c r="L672" s="72" t="n"/>
      <c r="M672" s="109" t="n"/>
      <c r="N672" s="72" t="n"/>
      <c r="O672" s="79">
        <f>IF(AND(F672&lt;&gt;"",L672&lt;&gt;"Resolved"),1,0)</f>
        <v/>
      </c>
      <c r="P672" s="79">
        <f>IF(F672="","",IF(O672=0,0,IF(H672="High",2,1)))</f>
        <v/>
      </c>
      <c r="Q672" s="112">
        <f>IF(O672=1,IF(K672&lt;&gt;"",K672,IF(H672="High",AsOf,"")),"")</f>
        <v/>
      </c>
      <c r="R672" s="79">
        <f>IF(Q672="","",IF(H672="High",1,IF(Q672="","",IF(Q672&lt;AsOf,1,IF(Q672&lt;=AsOf+AlertDays,2,IF(Q672&lt;=AsOf+2*AlertDays,3,""))))))</f>
        <v/>
      </c>
      <c r="S672" s="79">
        <f>IF(R672="","",IF(H672="High","High-severity issue: ",IF(C672="Punch item","Punch item: ","Issue action due: "))&amp;F672&amp;IF(J672="",""," → "&amp;J672))</f>
        <v/>
      </c>
      <c r="T672" s="79">
        <f>IF(O672=1,IF(I672="",0,I672),0)</f>
        <v/>
      </c>
      <c r="U672" s="79">
        <f>IF(AND(O672=1,H672="High"),1,0)</f>
        <v/>
      </c>
      <c r="V672" s="79">
        <f>IF(AND(O672=1,C672="Punch item"),1,0)</f>
        <v/>
      </c>
    </row>
    <row r="673" ht="24" customHeight="1">
      <c r="B673" s="125" t="n">
        <v>666</v>
      </c>
      <c r="C673" s="72" t="n"/>
      <c r="D673" s="109" t="n"/>
      <c r="E673" s="72" t="n"/>
      <c r="F673" s="113" t="n"/>
      <c r="G673" s="72" t="n"/>
      <c r="H673" s="74" t="n"/>
      <c r="I673" s="73" t="n"/>
      <c r="J673" s="113" t="n"/>
      <c r="K673" s="109" t="n"/>
      <c r="L673" s="72" t="n"/>
      <c r="M673" s="109" t="n"/>
      <c r="N673" s="72" t="n"/>
      <c r="O673" s="79">
        <f>IF(AND(F673&lt;&gt;"",L673&lt;&gt;"Resolved"),1,0)</f>
        <v/>
      </c>
      <c r="P673" s="79">
        <f>IF(F673="","",IF(O673=0,0,IF(H673="High",2,1)))</f>
        <v/>
      </c>
      <c r="Q673" s="112">
        <f>IF(O673=1,IF(K673&lt;&gt;"",K673,IF(H673="High",AsOf,"")),"")</f>
        <v/>
      </c>
      <c r="R673" s="79">
        <f>IF(Q673="","",IF(H673="High",1,IF(Q673="","",IF(Q673&lt;AsOf,1,IF(Q673&lt;=AsOf+AlertDays,2,IF(Q673&lt;=AsOf+2*AlertDays,3,""))))))</f>
        <v/>
      </c>
      <c r="S673" s="79">
        <f>IF(R673="","",IF(H673="High","High-severity issue: ",IF(C673="Punch item","Punch item: ","Issue action due: "))&amp;F673&amp;IF(J673="",""," → "&amp;J673))</f>
        <v/>
      </c>
      <c r="T673" s="79">
        <f>IF(O673=1,IF(I673="",0,I673),0)</f>
        <v/>
      </c>
      <c r="U673" s="79">
        <f>IF(AND(O673=1,H673="High"),1,0)</f>
        <v/>
      </c>
      <c r="V673" s="79">
        <f>IF(AND(O673=1,C673="Punch item"),1,0)</f>
        <v/>
      </c>
    </row>
    <row r="674" ht="24" customHeight="1">
      <c r="B674" s="125" t="n">
        <v>667</v>
      </c>
      <c r="C674" s="72" t="n"/>
      <c r="D674" s="109" t="n"/>
      <c r="E674" s="72" t="n"/>
      <c r="F674" s="113" t="n"/>
      <c r="G674" s="72" t="n"/>
      <c r="H674" s="74" t="n"/>
      <c r="I674" s="73" t="n"/>
      <c r="J674" s="113" t="n"/>
      <c r="K674" s="109" t="n"/>
      <c r="L674" s="72" t="n"/>
      <c r="M674" s="109" t="n"/>
      <c r="N674" s="72" t="n"/>
      <c r="O674" s="79">
        <f>IF(AND(F674&lt;&gt;"",L674&lt;&gt;"Resolved"),1,0)</f>
        <v/>
      </c>
      <c r="P674" s="79">
        <f>IF(F674="","",IF(O674=0,0,IF(H674="High",2,1)))</f>
        <v/>
      </c>
      <c r="Q674" s="112">
        <f>IF(O674=1,IF(K674&lt;&gt;"",K674,IF(H674="High",AsOf,"")),"")</f>
        <v/>
      </c>
      <c r="R674" s="79">
        <f>IF(Q674="","",IF(H674="High",1,IF(Q674="","",IF(Q674&lt;AsOf,1,IF(Q674&lt;=AsOf+AlertDays,2,IF(Q674&lt;=AsOf+2*AlertDays,3,""))))))</f>
        <v/>
      </c>
      <c r="S674" s="79">
        <f>IF(R674="","",IF(H674="High","High-severity issue: ",IF(C674="Punch item","Punch item: ","Issue action due: "))&amp;F674&amp;IF(J674="",""," → "&amp;J674))</f>
        <v/>
      </c>
      <c r="T674" s="79">
        <f>IF(O674=1,IF(I674="",0,I674),0)</f>
        <v/>
      </c>
      <c r="U674" s="79">
        <f>IF(AND(O674=1,H674="High"),1,0)</f>
        <v/>
      </c>
      <c r="V674" s="79">
        <f>IF(AND(O674=1,C674="Punch item"),1,0)</f>
        <v/>
      </c>
    </row>
    <row r="675" ht="24" customHeight="1">
      <c r="B675" s="125" t="n">
        <v>668</v>
      </c>
      <c r="C675" s="72" t="n"/>
      <c r="D675" s="109" t="n"/>
      <c r="E675" s="72" t="n"/>
      <c r="F675" s="113" t="n"/>
      <c r="G675" s="72" t="n"/>
      <c r="H675" s="74" t="n"/>
      <c r="I675" s="73" t="n"/>
      <c r="J675" s="113" t="n"/>
      <c r="K675" s="109" t="n"/>
      <c r="L675" s="72" t="n"/>
      <c r="M675" s="109" t="n"/>
      <c r="N675" s="72" t="n"/>
      <c r="O675" s="79">
        <f>IF(AND(F675&lt;&gt;"",L675&lt;&gt;"Resolved"),1,0)</f>
        <v/>
      </c>
      <c r="P675" s="79">
        <f>IF(F675="","",IF(O675=0,0,IF(H675="High",2,1)))</f>
        <v/>
      </c>
      <c r="Q675" s="112">
        <f>IF(O675=1,IF(K675&lt;&gt;"",K675,IF(H675="High",AsOf,"")),"")</f>
        <v/>
      </c>
      <c r="R675" s="79">
        <f>IF(Q675="","",IF(H675="High",1,IF(Q675="","",IF(Q675&lt;AsOf,1,IF(Q675&lt;=AsOf+AlertDays,2,IF(Q675&lt;=AsOf+2*AlertDays,3,""))))))</f>
        <v/>
      </c>
      <c r="S675" s="79">
        <f>IF(R675="","",IF(H675="High","High-severity issue: ",IF(C675="Punch item","Punch item: ","Issue action due: "))&amp;F675&amp;IF(J675="",""," → "&amp;J675))</f>
        <v/>
      </c>
      <c r="T675" s="79">
        <f>IF(O675=1,IF(I675="",0,I675),0)</f>
        <v/>
      </c>
      <c r="U675" s="79">
        <f>IF(AND(O675=1,H675="High"),1,0)</f>
        <v/>
      </c>
      <c r="V675" s="79">
        <f>IF(AND(O675=1,C675="Punch item"),1,0)</f>
        <v/>
      </c>
    </row>
    <row r="676" ht="24" customHeight="1">
      <c r="B676" s="125" t="n">
        <v>669</v>
      </c>
      <c r="C676" s="72" t="n"/>
      <c r="D676" s="109" t="n"/>
      <c r="E676" s="72" t="n"/>
      <c r="F676" s="113" t="n"/>
      <c r="G676" s="72" t="n"/>
      <c r="H676" s="74" t="n"/>
      <c r="I676" s="73" t="n"/>
      <c r="J676" s="113" t="n"/>
      <c r="K676" s="109" t="n"/>
      <c r="L676" s="72" t="n"/>
      <c r="M676" s="109" t="n"/>
      <c r="N676" s="72" t="n"/>
      <c r="O676" s="79">
        <f>IF(AND(F676&lt;&gt;"",L676&lt;&gt;"Resolved"),1,0)</f>
        <v/>
      </c>
      <c r="P676" s="79">
        <f>IF(F676="","",IF(O676=0,0,IF(H676="High",2,1)))</f>
        <v/>
      </c>
      <c r="Q676" s="112">
        <f>IF(O676=1,IF(K676&lt;&gt;"",K676,IF(H676="High",AsOf,"")),"")</f>
        <v/>
      </c>
      <c r="R676" s="79">
        <f>IF(Q676="","",IF(H676="High",1,IF(Q676="","",IF(Q676&lt;AsOf,1,IF(Q676&lt;=AsOf+AlertDays,2,IF(Q676&lt;=AsOf+2*AlertDays,3,""))))))</f>
        <v/>
      </c>
      <c r="S676" s="79">
        <f>IF(R676="","",IF(H676="High","High-severity issue: ",IF(C676="Punch item","Punch item: ","Issue action due: "))&amp;F676&amp;IF(J676="",""," → "&amp;J676))</f>
        <v/>
      </c>
      <c r="T676" s="79">
        <f>IF(O676=1,IF(I676="",0,I676),0)</f>
        <v/>
      </c>
      <c r="U676" s="79">
        <f>IF(AND(O676=1,H676="High"),1,0)</f>
        <v/>
      </c>
      <c r="V676" s="79">
        <f>IF(AND(O676=1,C676="Punch item"),1,0)</f>
        <v/>
      </c>
    </row>
    <row r="677" ht="24" customHeight="1">
      <c r="B677" s="125" t="n">
        <v>670</v>
      </c>
      <c r="C677" s="72" t="n"/>
      <c r="D677" s="109" t="n"/>
      <c r="E677" s="72" t="n"/>
      <c r="F677" s="113" t="n"/>
      <c r="G677" s="72" t="n"/>
      <c r="H677" s="74" t="n"/>
      <c r="I677" s="73" t="n"/>
      <c r="J677" s="113" t="n"/>
      <c r="K677" s="109" t="n"/>
      <c r="L677" s="72" t="n"/>
      <c r="M677" s="109" t="n"/>
      <c r="N677" s="72" t="n"/>
      <c r="O677" s="79">
        <f>IF(AND(F677&lt;&gt;"",L677&lt;&gt;"Resolved"),1,0)</f>
        <v/>
      </c>
      <c r="P677" s="79">
        <f>IF(F677="","",IF(O677=0,0,IF(H677="High",2,1)))</f>
        <v/>
      </c>
      <c r="Q677" s="112">
        <f>IF(O677=1,IF(K677&lt;&gt;"",K677,IF(H677="High",AsOf,"")),"")</f>
        <v/>
      </c>
      <c r="R677" s="79">
        <f>IF(Q677="","",IF(H677="High",1,IF(Q677="","",IF(Q677&lt;AsOf,1,IF(Q677&lt;=AsOf+AlertDays,2,IF(Q677&lt;=AsOf+2*AlertDays,3,""))))))</f>
        <v/>
      </c>
      <c r="S677" s="79">
        <f>IF(R677="","",IF(H677="High","High-severity issue: ",IF(C677="Punch item","Punch item: ","Issue action due: "))&amp;F677&amp;IF(J677="",""," → "&amp;J677))</f>
        <v/>
      </c>
      <c r="T677" s="79">
        <f>IF(O677=1,IF(I677="",0,I677),0)</f>
        <v/>
      </c>
      <c r="U677" s="79">
        <f>IF(AND(O677=1,H677="High"),1,0)</f>
        <v/>
      </c>
      <c r="V677" s="79">
        <f>IF(AND(O677=1,C677="Punch item"),1,0)</f>
        <v/>
      </c>
    </row>
    <row r="678" ht="24" customHeight="1">
      <c r="B678" s="125" t="n">
        <v>671</v>
      </c>
      <c r="C678" s="72" t="n"/>
      <c r="D678" s="109" t="n"/>
      <c r="E678" s="72" t="n"/>
      <c r="F678" s="113" t="n"/>
      <c r="G678" s="72" t="n"/>
      <c r="H678" s="74" t="n"/>
      <c r="I678" s="73" t="n"/>
      <c r="J678" s="113" t="n"/>
      <c r="K678" s="109" t="n"/>
      <c r="L678" s="72" t="n"/>
      <c r="M678" s="109" t="n"/>
      <c r="N678" s="72" t="n"/>
      <c r="O678" s="79">
        <f>IF(AND(F678&lt;&gt;"",L678&lt;&gt;"Resolved"),1,0)</f>
        <v/>
      </c>
      <c r="P678" s="79">
        <f>IF(F678="","",IF(O678=0,0,IF(H678="High",2,1)))</f>
        <v/>
      </c>
      <c r="Q678" s="112">
        <f>IF(O678=1,IF(K678&lt;&gt;"",K678,IF(H678="High",AsOf,"")),"")</f>
        <v/>
      </c>
      <c r="R678" s="79">
        <f>IF(Q678="","",IF(H678="High",1,IF(Q678="","",IF(Q678&lt;AsOf,1,IF(Q678&lt;=AsOf+AlertDays,2,IF(Q678&lt;=AsOf+2*AlertDays,3,""))))))</f>
        <v/>
      </c>
      <c r="S678" s="79">
        <f>IF(R678="","",IF(H678="High","High-severity issue: ",IF(C678="Punch item","Punch item: ","Issue action due: "))&amp;F678&amp;IF(J678="",""," → "&amp;J678))</f>
        <v/>
      </c>
      <c r="T678" s="79">
        <f>IF(O678=1,IF(I678="",0,I678),0)</f>
        <v/>
      </c>
      <c r="U678" s="79">
        <f>IF(AND(O678=1,H678="High"),1,0)</f>
        <v/>
      </c>
      <c r="V678" s="79">
        <f>IF(AND(O678=1,C678="Punch item"),1,0)</f>
        <v/>
      </c>
    </row>
    <row r="679" ht="24" customHeight="1">
      <c r="B679" s="125" t="n">
        <v>672</v>
      </c>
      <c r="C679" s="72" t="n"/>
      <c r="D679" s="109" t="n"/>
      <c r="E679" s="72" t="n"/>
      <c r="F679" s="113" t="n"/>
      <c r="G679" s="72" t="n"/>
      <c r="H679" s="74" t="n"/>
      <c r="I679" s="73" t="n"/>
      <c r="J679" s="113" t="n"/>
      <c r="K679" s="109" t="n"/>
      <c r="L679" s="72" t="n"/>
      <c r="M679" s="109" t="n"/>
      <c r="N679" s="72" t="n"/>
      <c r="O679" s="79">
        <f>IF(AND(F679&lt;&gt;"",L679&lt;&gt;"Resolved"),1,0)</f>
        <v/>
      </c>
      <c r="P679" s="79">
        <f>IF(F679="","",IF(O679=0,0,IF(H679="High",2,1)))</f>
        <v/>
      </c>
      <c r="Q679" s="112">
        <f>IF(O679=1,IF(K679&lt;&gt;"",K679,IF(H679="High",AsOf,"")),"")</f>
        <v/>
      </c>
      <c r="R679" s="79">
        <f>IF(Q679="","",IF(H679="High",1,IF(Q679="","",IF(Q679&lt;AsOf,1,IF(Q679&lt;=AsOf+AlertDays,2,IF(Q679&lt;=AsOf+2*AlertDays,3,""))))))</f>
        <v/>
      </c>
      <c r="S679" s="79">
        <f>IF(R679="","",IF(H679="High","High-severity issue: ",IF(C679="Punch item","Punch item: ","Issue action due: "))&amp;F679&amp;IF(J679="",""," → "&amp;J679))</f>
        <v/>
      </c>
      <c r="T679" s="79">
        <f>IF(O679=1,IF(I679="",0,I679),0)</f>
        <v/>
      </c>
      <c r="U679" s="79">
        <f>IF(AND(O679=1,H679="High"),1,0)</f>
        <v/>
      </c>
      <c r="V679" s="79">
        <f>IF(AND(O679=1,C679="Punch item"),1,0)</f>
        <v/>
      </c>
    </row>
    <row r="680" ht="24" customHeight="1">
      <c r="B680" s="125" t="n">
        <v>673</v>
      </c>
      <c r="C680" s="72" t="n"/>
      <c r="D680" s="109" t="n"/>
      <c r="E680" s="72" t="n"/>
      <c r="F680" s="113" t="n"/>
      <c r="G680" s="72" t="n"/>
      <c r="H680" s="74" t="n"/>
      <c r="I680" s="73" t="n"/>
      <c r="J680" s="113" t="n"/>
      <c r="K680" s="109" t="n"/>
      <c r="L680" s="72" t="n"/>
      <c r="M680" s="109" t="n"/>
      <c r="N680" s="72" t="n"/>
      <c r="O680" s="79">
        <f>IF(AND(F680&lt;&gt;"",L680&lt;&gt;"Resolved"),1,0)</f>
        <v/>
      </c>
      <c r="P680" s="79">
        <f>IF(F680="","",IF(O680=0,0,IF(H680="High",2,1)))</f>
        <v/>
      </c>
      <c r="Q680" s="112">
        <f>IF(O680=1,IF(K680&lt;&gt;"",K680,IF(H680="High",AsOf,"")),"")</f>
        <v/>
      </c>
      <c r="R680" s="79">
        <f>IF(Q680="","",IF(H680="High",1,IF(Q680="","",IF(Q680&lt;AsOf,1,IF(Q680&lt;=AsOf+AlertDays,2,IF(Q680&lt;=AsOf+2*AlertDays,3,""))))))</f>
        <v/>
      </c>
      <c r="S680" s="79">
        <f>IF(R680="","",IF(H680="High","High-severity issue: ",IF(C680="Punch item","Punch item: ","Issue action due: "))&amp;F680&amp;IF(J680="",""," → "&amp;J680))</f>
        <v/>
      </c>
      <c r="T680" s="79">
        <f>IF(O680=1,IF(I680="",0,I680),0)</f>
        <v/>
      </c>
      <c r="U680" s="79">
        <f>IF(AND(O680=1,H680="High"),1,0)</f>
        <v/>
      </c>
      <c r="V680" s="79">
        <f>IF(AND(O680=1,C680="Punch item"),1,0)</f>
        <v/>
      </c>
    </row>
    <row r="681" ht="24" customHeight="1">
      <c r="B681" s="125" t="n">
        <v>674</v>
      </c>
      <c r="C681" s="72" t="n"/>
      <c r="D681" s="109" t="n"/>
      <c r="E681" s="72" t="n"/>
      <c r="F681" s="113" t="n"/>
      <c r="G681" s="72" t="n"/>
      <c r="H681" s="74" t="n"/>
      <c r="I681" s="73" t="n"/>
      <c r="J681" s="113" t="n"/>
      <c r="K681" s="109" t="n"/>
      <c r="L681" s="72" t="n"/>
      <c r="M681" s="109" t="n"/>
      <c r="N681" s="72" t="n"/>
      <c r="O681" s="79">
        <f>IF(AND(F681&lt;&gt;"",L681&lt;&gt;"Resolved"),1,0)</f>
        <v/>
      </c>
      <c r="P681" s="79">
        <f>IF(F681="","",IF(O681=0,0,IF(H681="High",2,1)))</f>
        <v/>
      </c>
      <c r="Q681" s="112">
        <f>IF(O681=1,IF(K681&lt;&gt;"",K681,IF(H681="High",AsOf,"")),"")</f>
        <v/>
      </c>
      <c r="R681" s="79">
        <f>IF(Q681="","",IF(H681="High",1,IF(Q681="","",IF(Q681&lt;AsOf,1,IF(Q681&lt;=AsOf+AlertDays,2,IF(Q681&lt;=AsOf+2*AlertDays,3,""))))))</f>
        <v/>
      </c>
      <c r="S681" s="79">
        <f>IF(R681="","",IF(H681="High","High-severity issue: ",IF(C681="Punch item","Punch item: ","Issue action due: "))&amp;F681&amp;IF(J681="",""," → "&amp;J681))</f>
        <v/>
      </c>
      <c r="T681" s="79">
        <f>IF(O681=1,IF(I681="",0,I681),0)</f>
        <v/>
      </c>
      <c r="U681" s="79">
        <f>IF(AND(O681=1,H681="High"),1,0)</f>
        <v/>
      </c>
      <c r="V681" s="79">
        <f>IF(AND(O681=1,C681="Punch item"),1,0)</f>
        <v/>
      </c>
    </row>
    <row r="682" ht="24" customHeight="1">
      <c r="B682" s="125" t="n">
        <v>675</v>
      </c>
      <c r="C682" s="72" t="n"/>
      <c r="D682" s="109" t="n"/>
      <c r="E682" s="72" t="n"/>
      <c r="F682" s="113" t="n"/>
      <c r="G682" s="72" t="n"/>
      <c r="H682" s="74" t="n"/>
      <c r="I682" s="73" t="n"/>
      <c r="J682" s="113" t="n"/>
      <c r="K682" s="109" t="n"/>
      <c r="L682" s="72" t="n"/>
      <c r="M682" s="109" t="n"/>
      <c r="N682" s="72" t="n"/>
      <c r="O682" s="79">
        <f>IF(AND(F682&lt;&gt;"",L682&lt;&gt;"Resolved"),1,0)</f>
        <v/>
      </c>
      <c r="P682" s="79">
        <f>IF(F682="","",IF(O682=0,0,IF(H682="High",2,1)))</f>
        <v/>
      </c>
      <c r="Q682" s="112">
        <f>IF(O682=1,IF(K682&lt;&gt;"",K682,IF(H682="High",AsOf,"")),"")</f>
        <v/>
      </c>
      <c r="R682" s="79">
        <f>IF(Q682="","",IF(H682="High",1,IF(Q682="","",IF(Q682&lt;AsOf,1,IF(Q682&lt;=AsOf+AlertDays,2,IF(Q682&lt;=AsOf+2*AlertDays,3,""))))))</f>
        <v/>
      </c>
      <c r="S682" s="79">
        <f>IF(R682="","",IF(H682="High","High-severity issue: ",IF(C682="Punch item","Punch item: ","Issue action due: "))&amp;F682&amp;IF(J682="",""," → "&amp;J682))</f>
        <v/>
      </c>
      <c r="T682" s="79">
        <f>IF(O682=1,IF(I682="",0,I682),0)</f>
        <v/>
      </c>
      <c r="U682" s="79">
        <f>IF(AND(O682=1,H682="High"),1,0)</f>
        <v/>
      </c>
      <c r="V682" s="79">
        <f>IF(AND(O682=1,C682="Punch item"),1,0)</f>
        <v/>
      </c>
    </row>
    <row r="683" ht="24" customHeight="1">
      <c r="B683" s="125" t="n">
        <v>676</v>
      </c>
      <c r="C683" s="72" t="n"/>
      <c r="D683" s="109" t="n"/>
      <c r="E683" s="72" t="n"/>
      <c r="F683" s="113" t="n"/>
      <c r="G683" s="72" t="n"/>
      <c r="H683" s="74" t="n"/>
      <c r="I683" s="73" t="n"/>
      <c r="J683" s="113" t="n"/>
      <c r="K683" s="109" t="n"/>
      <c r="L683" s="72" t="n"/>
      <c r="M683" s="109" t="n"/>
      <c r="N683" s="72" t="n"/>
      <c r="O683" s="79">
        <f>IF(AND(F683&lt;&gt;"",L683&lt;&gt;"Resolved"),1,0)</f>
        <v/>
      </c>
      <c r="P683" s="79">
        <f>IF(F683="","",IF(O683=0,0,IF(H683="High",2,1)))</f>
        <v/>
      </c>
      <c r="Q683" s="112">
        <f>IF(O683=1,IF(K683&lt;&gt;"",K683,IF(H683="High",AsOf,"")),"")</f>
        <v/>
      </c>
      <c r="R683" s="79">
        <f>IF(Q683="","",IF(H683="High",1,IF(Q683="","",IF(Q683&lt;AsOf,1,IF(Q683&lt;=AsOf+AlertDays,2,IF(Q683&lt;=AsOf+2*AlertDays,3,""))))))</f>
        <v/>
      </c>
      <c r="S683" s="79">
        <f>IF(R683="","",IF(H683="High","High-severity issue: ",IF(C683="Punch item","Punch item: ","Issue action due: "))&amp;F683&amp;IF(J683="",""," → "&amp;J683))</f>
        <v/>
      </c>
      <c r="T683" s="79">
        <f>IF(O683=1,IF(I683="",0,I683),0)</f>
        <v/>
      </c>
      <c r="U683" s="79">
        <f>IF(AND(O683=1,H683="High"),1,0)</f>
        <v/>
      </c>
      <c r="V683" s="79">
        <f>IF(AND(O683=1,C683="Punch item"),1,0)</f>
        <v/>
      </c>
    </row>
    <row r="684" ht="24" customHeight="1">
      <c r="B684" s="125" t="n">
        <v>677</v>
      </c>
      <c r="C684" s="72" t="n"/>
      <c r="D684" s="109" t="n"/>
      <c r="E684" s="72" t="n"/>
      <c r="F684" s="113" t="n"/>
      <c r="G684" s="72" t="n"/>
      <c r="H684" s="74" t="n"/>
      <c r="I684" s="73" t="n"/>
      <c r="J684" s="113" t="n"/>
      <c r="K684" s="109" t="n"/>
      <c r="L684" s="72" t="n"/>
      <c r="M684" s="109" t="n"/>
      <c r="N684" s="72" t="n"/>
      <c r="O684" s="79">
        <f>IF(AND(F684&lt;&gt;"",L684&lt;&gt;"Resolved"),1,0)</f>
        <v/>
      </c>
      <c r="P684" s="79">
        <f>IF(F684="","",IF(O684=0,0,IF(H684="High",2,1)))</f>
        <v/>
      </c>
      <c r="Q684" s="112">
        <f>IF(O684=1,IF(K684&lt;&gt;"",K684,IF(H684="High",AsOf,"")),"")</f>
        <v/>
      </c>
      <c r="R684" s="79">
        <f>IF(Q684="","",IF(H684="High",1,IF(Q684="","",IF(Q684&lt;AsOf,1,IF(Q684&lt;=AsOf+AlertDays,2,IF(Q684&lt;=AsOf+2*AlertDays,3,""))))))</f>
        <v/>
      </c>
      <c r="S684" s="79">
        <f>IF(R684="","",IF(H684="High","High-severity issue: ",IF(C684="Punch item","Punch item: ","Issue action due: "))&amp;F684&amp;IF(J684="",""," → "&amp;J684))</f>
        <v/>
      </c>
      <c r="T684" s="79">
        <f>IF(O684=1,IF(I684="",0,I684),0)</f>
        <v/>
      </c>
      <c r="U684" s="79">
        <f>IF(AND(O684=1,H684="High"),1,0)</f>
        <v/>
      </c>
      <c r="V684" s="79">
        <f>IF(AND(O684=1,C684="Punch item"),1,0)</f>
        <v/>
      </c>
    </row>
    <row r="685" ht="24" customHeight="1">
      <c r="B685" s="125" t="n">
        <v>678</v>
      </c>
      <c r="C685" s="72" t="n"/>
      <c r="D685" s="109" t="n"/>
      <c r="E685" s="72" t="n"/>
      <c r="F685" s="113" t="n"/>
      <c r="G685" s="72" t="n"/>
      <c r="H685" s="74" t="n"/>
      <c r="I685" s="73" t="n"/>
      <c r="J685" s="113" t="n"/>
      <c r="K685" s="109" t="n"/>
      <c r="L685" s="72" t="n"/>
      <c r="M685" s="109" t="n"/>
      <c r="N685" s="72" t="n"/>
      <c r="O685" s="79">
        <f>IF(AND(F685&lt;&gt;"",L685&lt;&gt;"Resolved"),1,0)</f>
        <v/>
      </c>
      <c r="P685" s="79">
        <f>IF(F685="","",IF(O685=0,0,IF(H685="High",2,1)))</f>
        <v/>
      </c>
      <c r="Q685" s="112">
        <f>IF(O685=1,IF(K685&lt;&gt;"",K685,IF(H685="High",AsOf,"")),"")</f>
        <v/>
      </c>
      <c r="R685" s="79">
        <f>IF(Q685="","",IF(H685="High",1,IF(Q685="","",IF(Q685&lt;AsOf,1,IF(Q685&lt;=AsOf+AlertDays,2,IF(Q685&lt;=AsOf+2*AlertDays,3,""))))))</f>
        <v/>
      </c>
      <c r="S685" s="79">
        <f>IF(R685="","",IF(H685="High","High-severity issue: ",IF(C685="Punch item","Punch item: ","Issue action due: "))&amp;F685&amp;IF(J685="",""," → "&amp;J685))</f>
        <v/>
      </c>
      <c r="T685" s="79">
        <f>IF(O685=1,IF(I685="",0,I685),0)</f>
        <v/>
      </c>
      <c r="U685" s="79">
        <f>IF(AND(O685=1,H685="High"),1,0)</f>
        <v/>
      </c>
      <c r="V685" s="79">
        <f>IF(AND(O685=1,C685="Punch item"),1,0)</f>
        <v/>
      </c>
    </row>
    <row r="686" ht="24" customHeight="1">
      <c r="B686" s="125" t="n">
        <v>679</v>
      </c>
      <c r="C686" s="72" t="n"/>
      <c r="D686" s="109" t="n"/>
      <c r="E686" s="72" t="n"/>
      <c r="F686" s="113" t="n"/>
      <c r="G686" s="72" t="n"/>
      <c r="H686" s="74" t="n"/>
      <c r="I686" s="73" t="n"/>
      <c r="J686" s="113" t="n"/>
      <c r="K686" s="109" t="n"/>
      <c r="L686" s="72" t="n"/>
      <c r="M686" s="109" t="n"/>
      <c r="N686" s="72" t="n"/>
      <c r="O686" s="79">
        <f>IF(AND(F686&lt;&gt;"",L686&lt;&gt;"Resolved"),1,0)</f>
        <v/>
      </c>
      <c r="P686" s="79">
        <f>IF(F686="","",IF(O686=0,0,IF(H686="High",2,1)))</f>
        <v/>
      </c>
      <c r="Q686" s="112">
        <f>IF(O686=1,IF(K686&lt;&gt;"",K686,IF(H686="High",AsOf,"")),"")</f>
        <v/>
      </c>
      <c r="R686" s="79">
        <f>IF(Q686="","",IF(H686="High",1,IF(Q686="","",IF(Q686&lt;AsOf,1,IF(Q686&lt;=AsOf+AlertDays,2,IF(Q686&lt;=AsOf+2*AlertDays,3,""))))))</f>
        <v/>
      </c>
      <c r="S686" s="79">
        <f>IF(R686="","",IF(H686="High","High-severity issue: ",IF(C686="Punch item","Punch item: ","Issue action due: "))&amp;F686&amp;IF(J686="",""," → "&amp;J686))</f>
        <v/>
      </c>
      <c r="T686" s="79">
        <f>IF(O686=1,IF(I686="",0,I686),0)</f>
        <v/>
      </c>
      <c r="U686" s="79">
        <f>IF(AND(O686=1,H686="High"),1,0)</f>
        <v/>
      </c>
      <c r="V686" s="79">
        <f>IF(AND(O686=1,C686="Punch item"),1,0)</f>
        <v/>
      </c>
    </row>
    <row r="687" ht="24" customHeight="1">
      <c r="B687" s="125" t="n">
        <v>680</v>
      </c>
      <c r="C687" s="72" t="n"/>
      <c r="D687" s="109" t="n"/>
      <c r="E687" s="72" t="n"/>
      <c r="F687" s="113" t="n"/>
      <c r="G687" s="72" t="n"/>
      <c r="H687" s="74" t="n"/>
      <c r="I687" s="73" t="n"/>
      <c r="J687" s="113" t="n"/>
      <c r="K687" s="109" t="n"/>
      <c r="L687" s="72" t="n"/>
      <c r="M687" s="109" t="n"/>
      <c r="N687" s="72" t="n"/>
      <c r="O687" s="79">
        <f>IF(AND(F687&lt;&gt;"",L687&lt;&gt;"Resolved"),1,0)</f>
        <v/>
      </c>
      <c r="P687" s="79">
        <f>IF(F687="","",IF(O687=0,0,IF(H687="High",2,1)))</f>
        <v/>
      </c>
      <c r="Q687" s="112">
        <f>IF(O687=1,IF(K687&lt;&gt;"",K687,IF(H687="High",AsOf,"")),"")</f>
        <v/>
      </c>
      <c r="R687" s="79">
        <f>IF(Q687="","",IF(H687="High",1,IF(Q687="","",IF(Q687&lt;AsOf,1,IF(Q687&lt;=AsOf+AlertDays,2,IF(Q687&lt;=AsOf+2*AlertDays,3,""))))))</f>
        <v/>
      </c>
      <c r="S687" s="79">
        <f>IF(R687="","",IF(H687="High","High-severity issue: ",IF(C687="Punch item","Punch item: ","Issue action due: "))&amp;F687&amp;IF(J687="",""," → "&amp;J687))</f>
        <v/>
      </c>
      <c r="T687" s="79">
        <f>IF(O687=1,IF(I687="",0,I687),0)</f>
        <v/>
      </c>
      <c r="U687" s="79">
        <f>IF(AND(O687=1,H687="High"),1,0)</f>
        <v/>
      </c>
      <c r="V687" s="79">
        <f>IF(AND(O687=1,C687="Punch item"),1,0)</f>
        <v/>
      </c>
    </row>
    <row r="688" ht="24" customHeight="1">
      <c r="B688" s="125" t="n">
        <v>681</v>
      </c>
      <c r="C688" s="72" t="n"/>
      <c r="D688" s="109" t="n"/>
      <c r="E688" s="72" t="n"/>
      <c r="F688" s="113" t="n"/>
      <c r="G688" s="72" t="n"/>
      <c r="H688" s="74" t="n"/>
      <c r="I688" s="73" t="n"/>
      <c r="J688" s="113" t="n"/>
      <c r="K688" s="109" t="n"/>
      <c r="L688" s="72" t="n"/>
      <c r="M688" s="109" t="n"/>
      <c r="N688" s="72" t="n"/>
      <c r="O688" s="79">
        <f>IF(AND(F688&lt;&gt;"",L688&lt;&gt;"Resolved"),1,0)</f>
        <v/>
      </c>
      <c r="P688" s="79">
        <f>IF(F688="","",IF(O688=0,0,IF(H688="High",2,1)))</f>
        <v/>
      </c>
      <c r="Q688" s="112">
        <f>IF(O688=1,IF(K688&lt;&gt;"",K688,IF(H688="High",AsOf,"")),"")</f>
        <v/>
      </c>
      <c r="R688" s="79">
        <f>IF(Q688="","",IF(H688="High",1,IF(Q688="","",IF(Q688&lt;AsOf,1,IF(Q688&lt;=AsOf+AlertDays,2,IF(Q688&lt;=AsOf+2*AlertDays,3,""))))))</f>
        <v/>
      </c>
      <c r="S688" s="79">
        <f>IF(R688="","",IF(H688="High","High-severity issue: ",IF(C688="Punch item","Punch item: ","Issue action due: "))&amp;F688&amp;IF(J688="",""," → "&amp;J688))</f>
        <v/>
      </c>
      <c r="T688" s="79">
        <f>IF(O688=1,IF(I688="",0,I688),0)</f>
        <v/>
      </c>
      <c r="U688" s="79">
        <f>IF(AND(O688=1,H688="High"),1,0)</f>
        <v/>
      </c>
      <c r="V688" s="79">
        <f>IF(AND(O688=1,C688="Punch item"),1,0)</f>
        <v/>
      </c>
    </row>
    <row r="689" ht="24" customHeight="1">
      <c r="B689" s="125" t="n">
        <v>682</v>
      </c>
      <c r="C689" s="72" t="n"/>
      <c r="D689" s="109" t="n"/>
      <c r="E689" s="72" t="n"/>
      <c r="F689" s="113" t="n"/>
      <c r="G689" s="72" t="n"/>
      <c r="H689" s="74" t="n"/>
      <c r="I689" s="73" t="n"/>
      <c r="J689" s="113" t="n"/>
      <c r="K689" s="109" t="n"/>
      <c r="L689" s="72" t="n"/>
      <c r="M689" s="109" t="n"/>
      <c r="N689" s="72" t="n"/>
      <c r="O689" s="79">
        <f>IF(AND(F689&lt;&gt;"",L689&lt;&gt;"Resolved"),1,0)</f>
        <v/>
      </c>
      <c r="P689" s="79">
        <f>IF(F689="","",IF(O689=0,0,IF(H689="High",2,1)))</f>
        <v/>
      </c>
      <c r="Q689" s="112">
        <f>IF(O689=1,IF(K689&lt;&gt;"",K689,IF(H689="High",AsOf,"")),"")</f>
        <v/>
      </c>
      <c r="R689" s="79">
        <f>IF(Q689="","",IF(H689="High",1,IF(Q689="","",IF(Q689&lt;AsOf,1,IF(Q689&lt;=AsOf+AlertDays,2,IF(Q689&lt;=AsOf+2*AlertDays,3,""))))))</f>
        <v/>
      </c>
      <c r="S689" s="79">
        <f>IF(R689="","",IF(H689="High","High-severity issue: ",IF(C689="Punch item","Punch item: ","Issue action due: "))&amp;F689&amp;IF(J689="",""," → "&amp;J689))</f>
        <v/>
      </c>
      <c r="T689" s="79">
        <f>IF(O689=1,IF(I689="",0,I689),0)</f>
        <v/>
      </c>
      <c r="U689" s="79">
        <f>IF(AND(O689=1,H689="High"),1,0)</f>
        <v/>
      </c>
      <c r="V689" s="79">
        <f>IF(AND(O689=1,C689="Punch item"),1,0)</f>
        <v/>
      </c>
    </row>
    <row r="690" ht="24" customHeight="1">
      <c r="B690" s="125" t="n">
        <v>683</v>
      </c>
      <c r="C690" s="72" t="n"/>
      <c r="D690" s="109" t="n"/>
      <c r="E690" s="72" t="n"/>
      <c r="F690" s="113" t="n"/>
      <c r="G690" s="72" t="n"/>
      <c r="H690" s="74" t="n"/>
      <c r="I690" s="73" t="n"/>
      <c r="J690" s="113" t="n"/>
      <c r="K690" s="109" t="n"/>
      <c r="L690" s="72" t="n"/>
      <c r="M690" s="109" t="n"/>
      <c r="N690" s="72" t="n"/>
      <c r="O690" s="79">
        <f>IF(AND(F690&lt;&gt;"",L690&lt;&gt;"Resolved"),1,0)</f>
        <v/>
      </c>
      <c r="P690" s="79">
        <f>IF(F690="","",IF(O690=0,0,IF(H690="High",2,1)))</f>
        <v/>
      </c>
      <c r="Q690" s="112">
        <f>IF(O690=1,IF(K690&lt;&gt;"",K690,IF(H690="High",AsOf,"")),"")</f>
        <v/>
      </c>
      <c r="R690" s="79">
        <f>IF(Q690="","",IF(H690="High",1,IF(Q690="","",IF(Q690&lt;AsOf,1,IF(Q690&lt;=AsOf+AlertDays,2,IF(Q690&lt;=AsOf+2*AlertDays,3,""))))))</f>
        <v/>
      </c>
      <c r="S690" s="79">
        <f>IF(R690="","",IF(H690="High","High-severity issue: ",IF(C690="Punch item","Punch item: ","Issue action due: "))&amp;F690&amp;IF(J690="",""," → "&amp;J690))</f>
        <v/>
      </c>
      <c r="T690" s="79">
        <f>IF(O690=1,IF(I690="",0,I690),0)</f>
        <v/>
      </c>
      <c r="U690" s="79">
        <f>IF(AND(O690=1,H690="High"),1,0)</f>
        <v/>
      </c>
      <c r="V690" s="79">
        <f>IF(AND(O690=1,C690="Punch item"),1,0)</f>
        <v/>
      </c>
    </row>
    <row r="691" ht="24" customHeight="1">
      <c r="B691" s="125" t="n">
        <v>684</v>
      </c>
      <c r="C691" s="72" t="n"/>
      <c r="D691" s="109" t="n"/>
      <c r="E691" s="72" t="n"/>
      <c r="F691" s="113" t="n"/>
      <c r="G691" s="72" t="n"/>
      <c r="H691" s="74" t="n"/>
      <c r="I691" s="73" t="n"/>
      <c r="J691" s="113" t="n"/>
      <c r="K691" s="109" t="n"/>
      <c r="L691" s="72" t="n"/>
      <c r="M691" s="109" t="n"/>
      <c r="N691" s="72" t="n"/>
      <c r="O691" s="79">
        <f>IF(AND(F691&lt;&gt;"",L691&lt;&gt;"Resolved"),1,0)</f>
        <v/>
      </c>
      <c r="P691" s="79">
        <f>IF(F691="","",IF(O691=0,0,IF(H691="High",2,1)))</f>
        <v/>
      </c>
      <c r="Q691" s="112">
        <f>IF(O691=1,IF(K691&lt;&gt;"",K691,IF(H691="High",AsOf,"")),"")</f>
        <v/>
      </c>
      <c r="R691" s="79">
        <f>IF(Q691="","",IF(H691="High",1,IF(Q691="","",IF(Q691&lt;AsOf,1,IF(Q691&lt;=AsOf+AlertDays,2,IF(Q691&lt;=AsOf+2*AlertDays,3,""))))))</f>
        <v/>
      </c>
      <c r="S691" s="79">
        <f>IF(R691="","",IF(H691="High","High-severity issue: ",IF(C691="Punch item","Punch item: ","Issue action due: "))&amp;F691&amp;IF(J691="",""," → "&amp;J691))</f>
        <v/>
      </c>
      <c r="T691" s="79">
        <f>IF(O691=1,IF(I691="",0,I691),0)</f>
        <v/>
      </c>
      <c r="U691" s="79">
        <f>IF(AND(O691=1,H691="High"),1,0)</f>
        <v/>
      </c>
      <c r="V691" s="79">
        <f>IF(AND(O691=1,C691="Punch item"),1,0)</f>
        <v/>
      </c>
    </row>
    <row r="692" ht="24" customHeight="1">
      <c r="B692" s="125" t="n">
        <v>685</v>
      </c>
      <c r="C692" s="72" t="n"/>
      <c r="D692" s="109" t="n"/>
      <c r="E692" s="72" t="n"/>
      <c r="F692" s="113" t="n"/>
      <c r="G692" s="72" t="n"/>
      <c r="H692" s="74" t="n"/>
      <c r="I692" s="73" t="n"/>
      <c r="J692" s="113" t="n"/>
      <c r="K692" s="109" t="n"/>
      <c r="L692" s="72" t="n"/>
      <c r="M692" s="109" t="n"/>
      <c r="N692" s="72" t="n"/>
      <c r="O692" s="79">
        <f>IF(AND(F692&lt;&gt;"",L692&lt;&gt;"Resolved"),1,0)</f>
        <v/>
      </c>
      <c r="P692" s="79">
        <f>IF(F692="","",IF(O692=0,0,IF(H692="High",2,1)))</f>
        <v/>
      </c>
      <c r="Q692" s="112">
        <f>IF(O692=1,IF(K692&lt;&gt;"",K692,IF(H692="High",AsOf,"")),"")</f>
        <v/>
      </c>
      <c r="R692" s="79">
        <f>IF(Q692="","",IF(H692="High",1,IF(Q692="","",IF(Q692&lt;AsOf,1,IF(Q692&lt;=AsOf+AlertDays,2,IF(Q692&lt;=AsOf+2*AlertDays,3,""))))))</f>
        <v/>
      </c>
      <c r="S692" s="79">
        <f>IF(R692="","",IF(H692="High","High-severity issue: ",IF(C692="Punch item","Punch item: ","Issue action due: "))&amp;F692&amp;IF(J692="",""," → "&amp;J692))</f>
        <v/>
      </c>
      <c r="T692" s="79">
        <f>IF(O692=1,IF(I692="",0,I692),0)</f>
        <v/>
      </c>
      <c r="U692" s="79">
        <f>IF(AND(O692=1,H692="High"),1,0)</f>
        <v/>
      </c>
      <c r="V692" s="79">
        <f>IF(AND(O692=1,C692="Punch item"),1,0)</f>
        <v/>
      </c>
    </row>
    <row r="693" ht="24" customHeight="1">
      <c r="B693" s="125" t="n">
        <v>686</v>
      </c>
      <c r="C693" s="72" t="n"/>
      <c r="D693" s="109" t="n"/>
      <c r="E693" s="72" t="n"/>
      <c r="F693" s="113" t="n"/>
      <c r="G693" s="72" t="n"/>
      <c r="H693" s="74" t="n"/>
      <c r="I693" s="73" t="n"/>
      <c r="J693" s="113" t="n"/>
      <c r="K693" s="109" t="n"/>
      <c r="L693" s="72" t="n"/>
      <c r="M693" s="109" t="n"/>
      <c r="N693" s="72" t="n"/>
      <c r="O693" s="79">
        <f>IF(AND(F693&lt;&gt;"",L693&lt;&gt;"Resolved"),1,0)</f>
        <v/>
      </c>
      <c r="P693" s="79">
        <f>IF(F693="","",IF(O693=0,0,IF(H693="High",2,1)))</f>
        <v/>
      </c>
      <c r="Q693" s="112">
        <f>IF(O693=1,IF(K693&lt;&gt;"",K693,IF(H693="High",AsOf,"")),"")</f>
        <v/>
      </c>
      <c r="R693" s="79">
        <f>IF(Q693="","",IF(H693="High",1,IF(Q693="","",IF(Q693&lt;AsOf,1,IF(Q693&lt;=AsOf+AlertDays,2,IF(Q693&lt;=AsOf+2*AlertDays,3,""))))))</f>
        <v/>
      </c>
      <c r="S693" s="79">
        <f>IF(R693="","",IF(H693="High","High-severity issue: ",IF(C693="Punch item","Punch item: ","Issue action due: "))&amp;F693&amp;IF(J693="",""," → "&amp;J693))</f>
        <v/>
      </c>
      <c r="T693" s="79">
        <f>IF(O693=1,IF(I693="",0,I693),0)</f>
        <v/>
      </c>
      <c r="U693" s="79">
        <f>IF(AND(O693=1,H693="High"),1,0)</f>
        <v/>
      </c>
      <c r="V693" s="79">
        <f>IF(AND(O693=1,C693="Punch item"),1,0)</f>
        <v/>
      </c>
    </row>
    <row r="694" ht="24" customHeight="1">
      <c r="B694" s="125" t="n">
        <v>687</v>
      </c>
      <c r="C694" s="72" t="n"/>
      <c r="D694" s="109" t="n"/>
      <c r="E694" s="72" t="n"/>
      <c r="F694" s="113" t="n"/>
      <c r="G694" s="72" t="n"/>
      <c r="H694" s="74" t="n"/>
      <c r="I694" s="73" t="n"/>
      <c r="J694" s="113" t="n"/>
      <c r="K694" s="109" t="n"/>
      <c r="L694" s="72" t="n"/>
      <c r="M694" s="109" t="n"/>
      <c r="N694" s="72" t="n"/>
      <c r="O694" s="79">
        <f>IF(AND(F694&lt;&gt;"",L694&lt;&gt;"Resolved"),1,0)</f>
        <v/>
      </c>
      <c r="P694" s="79">
        <f>IF(F694="","",IF(O694=0,0,IF(H694="High",2,1)))</f>
        <v/>
      </c>
      <c r="Q694" s="112">
        <f>IF(O694=1,IF(K694&lt;&gt;"",K694,IF(H694="High",AsOf,"")),"")</f>
        <v/>
      </c>
      <c r="R694" s="79">
        <f>IF(Q694="","",IF(H694="High",1,IF(Q694="","",IF(Q694&lt;AsOf,1,IF(Q694&lt;=AsOf+AlertDays,2,IF(Q694&lt;=AsOf+2*AlertDays,3,""))))))</f>
        <v/>
      </c>
      <c r="S694" s="79">
        <f>IF(R694="","",IF(H694="High","High-severity issue: ",IF(C694="Punch item","Punch item: ","Issue action due: "))&amp;F694&amp;IF(J694="",""," → "&amp;J694))</f>
        <v/>
      </c>
      <c r="T694" s="79">
        <f>IF(O694=1,IF(I694="",0,I694),0)</f>
        <v/>
      </c>
      <c r="U694" s="79">
        <f>IF(AND(O694=1,H694="High"),1,0)</f>
        <v/>
      </c>
      <c r="V694" s="79">
        <f>IF(AND(O694=1,C694="Punch item"),1,0)</f>
        <v/>
      </c>
    </row>
    <row r="695" ht="24" customHeight="1">
      <c r="B695" s="125" t="n">
        <v>688</v>
      </c>
      <c r="C695" s="72" t="n"/>
      <c r="D695" s="109" t="n"/>
      <c r="E695" s="72" t="n"/>
      <c r="F695" s="113" t="n"/>
      <c r="G695" s="72" t="n"/>
      <c r="H695" s="74" t="n"/>
      <c r="I695" s="73" t="n"/>
      <c r="J695" s="113" t="n"/>
      <c r="K695" s="109" t="n"/>
      <c r="L695" s="72" t="n"/>
      <c r="M695" s="109" t="n"/>
      <c r="N695" s="72" t="n"/>
      <c r="O695" s="79">
        <f>IF(AND(F695&lt;&gt;"",L695&lt;&gt;"Resolved"),1,0)</f>
        <v/>
      </c>
      <c r="P695" s="79">
        <f>IF(F695="","",IF(O695=0,0,IF(H695="High",2,1)))</f>
        <v/>
      </c>
      <c r="Q695" s="112">
        <f>IF(O695=1,IF(K695&lt;&gt;"",K695,IF(H695="High",AsOf,"")),"")</f>
        <v/>
      </c>
      <c r="R695" s="79">
        <f>IF(Q695="","",IF(H695="High",1,IF(Q695="","",IF(Q695&lt;AsOf,1,IF(Q695&lt;=AsOf+AlertDays,2,IF(Q695&lt;=AsOf+2*AlertDays,3,""))))))</f>
        <v/>
      </c>
      <c r="S695" s="79">
        <f>IF(R695="","",IF(H695="High","High-severity issue: ",IF(C695="Punch item","Punch item: ","Issue action due: "))&amp;F695&amp;IF(J695="",""," → "&amp;J695))</f>
        <v/>
      </c>
      <c r="T695" s="79">
        <f>IF(O695=1,IF(I695="",0,I695),0)</f>
        <v/>
      </c>
      <c r="U695" s="79">
        <f>IF(AND(O695=1,H695="High"),1,0)</f>
        <v/>
      </c>
      <c r="V695" s="79">
        <f>IF(AND(O695=1,C695="Punch item"),1,0)</f>
        <v/>
      </c>
    </row>
    <row r="696" ht="24" customHeight="1">
      <c r="B696" s="125" t="n">
        <v>689</v>
      </c>
      <c r="C696" s="72" t="n"/>
      <c r="D696" s="109" t="n"/>
      <c r="E696" s="72" t="n"/>
      <c r="F696" s="113" t="n"/>
      <c r="G696" s="72" t="n"/>
      <c r="H696" s="74" t="n"/>
      <c r="I696" s="73" t="n"/>
      <c r="J696" s="113" t="n"/>
      <c r="K696" s="109" t="n"/>
      <c r="L696" s="72" t="n"/>
      <c r="M696" s="109" t="n"/>
      <c r="N696" s="72" t="n"/>
      <c r="O696" s="79">
        <f>IF(AND(F696&lt;&gt;"",L696&lt;&gt;"Resolved"),1,0)</f>
        <v/>
      </c>
      <c r="P696" s="79">
        <f>IF(F696="","",IF(O696=0,0,IF(H696="High",2,1)))</f>
        <v/>
      </c>
      <c r="Q696" s="112">
        <f>IF(O696=1,IF(K696&lt;&gt;"",K696,IF(H696="High",AsOf,"")),"")</f>
        <v/>
      </c>
      <c r="R696" s="79">
        <f>IF(Q696="","",IF(H696="High",1,IF(Q696="","",IF(Q696&lt;AsOf,1,IF(Q696&lt;=AsOf+AlertDays,2,IF(Q696&lt;=AsOf+2*AlertDays,3,""))))))</f>
        <v/>
      </c>
      <c r="S696" s="79">
        <f>IF(R696="","",IF(H696="High","High-severity issue: ",IF(C696="Punch item","Punch item: ","Issue action due: "))&amp;F696&amp;IF(J696="",""," → "&amp;J696))</f>
        <v/>
      </c>
      <c r="T696" s="79">
        <f>IF(O696=1,IF(I696="",0,I696),0)</f>
        <v/>
      </c>
      <c r="U696" s="79">
        <f>IF(AND(O696=1,H696="High"),1,0)</f>
        <v/>
      </c>
      <c r="V696" s="79">
        <f>IF(AND(O696=1,C696="Punch item"),1,0)</f>
        <v/>
      </c>
    </row>
    <row r="697" ht="24" customHeight="1">
      <c r="B697" s="125" t="n">
        <v>690</v>
      </c>
      <c r="C697" s="72" t="n"/>
      <c r="D697" s="109" t="n"/>
      <c r="E697" s="72" t="n"/>
      <c r="F697" s="113" t="n"/>
      <c r="G697" s="72" t="n"/>
      <c r="H697" s="74" t="n"/>
      <c r="I697" s="73" t="n"/>
      <c r="J697" s="113" t="n"/>
      <c r="K697" s="109" t="n"/>
      <c r="L697" s="72" t="n"/>
      <c r="M697" s="109" t="n"/>
      <c r="N697" s="72" t="n"/>
      <c r="O697" s="79">
        <f>IF(AND(F697&lt;&gt;"",L697&lt;&gt;"Resolved"),1,0)</f>
        <v/>
      </c>
      <c r="P697" s="79">
        <f>IF(F697="","",IF(O697=0,0,IF(H697="High",2,1)))</f>
        <v/>
      </c>
      <c r="Q697" s="112">
        <f>IF(O697=1,IF(K697&lt;&gt;"",K697,IF(H697="High",AsOf,"")),"")</f>
        <v/>
      </c>
      <c r="R697" s="79">
        <f>IF(Q697="","",IF(H697="High",1,IF(Q697="","",IF(Q697&lt;AsOf,1,IF(Q697&lt;=AsOf+AlertDays,2,IF(Q697&lt;=AsOf+2*AlertDays,3,""))))))</f>
        <v/>
      </c>
      <c r="S697" s="79">
        <f>IF(R697="","",IF(H697="High","High-severity issue: ",IF(C697="Punch item","Punch item: ","Issue action due: "))&amp;F697&amp;IF(J697="",""," → "&amp;J697))</f>
        <v/>
      </c>
      <c r="T697" s="79">
        <f>IF(O697=1,IF(I697="",0,I697),0)</f>
        <v/>
      </c>
      <c r="U697" s="79">
        <f>IF(AND(O697=1,H697="High"),1,0)</f>
        <v/>
      </c>
      <c r="V697" s="79">
        <f>IF(AND(O697=1,C697="Punch item"),1,0)</f>
        <v/>
      </c>
    </row>
    <row r="698" ht="24" customHeight="1">
      <c r="B698" s="125" t="n">
        <v>691</v>
      </c>
      <c r="C698" s="72" t="n"/>
      <c r="D698" s="109" t="n"/>
      <c r="E698" s="72" t="n"/>
      <c r="F698" s="113" t="n"/>
      <c r="G698" s="72" t="n"/>
      <c r="H698" s="74" t="n"/>
      <c r="I698" s="73" t="n"/>
      <c r="J698" s="113" t="n"/>
      <c r="K698" s="109" t="n"/>
      <c r="L698" s="72" t="n"/>
      <c r="M698" s="109" t="n"/>
      <c r="N698" s="72" t="n"/>
      <c r="O698" s="79">
        <f>IF(AND(F698&lt;&gt;"",L698&lt;&gt;"Resolved"),1,0)</f>
        <v/>
      </c>
      <c r="P698" s="79">
        <f>IF(F698="","",IF(O698=0,0,IF(H698="High",2,1)))</f>
        <v/>
      </c>
      <c r="Q698" s="112">
        <f>IF(O698=1,IF(K698&lt;&gt;"",K698,IF(H698="High",AsOf,"")),"")</f>
        <v/>
      </c>
      <c r="R698" s="79">
        <f>IF(Q698="","",IF(H698="High",1,IF(Q698="","",IF(Q698&lt;AsOf,1,IF(Q698&lt;=AsOf+AlertDays,2,IF(Q698&lt;=AsOf+2*AlertDays,3,""))))))</f>
        <v/>
      </c>
      <c r="S698" s="79">
        <f>IF(R698="","",IF(H698="High","High-severity issue: ",IF(C698="Punch item","Punch item: ","Issue action due: "))&amp;F698&amp;IF(J698="",""," → "&amp;J698))</f>
        <v/>
      </c>
      <c r="T698" s="79">
        <f>IF(O698=1,IF(I698="",0,I698),0)</f>
        <v/>
      </c>
      <c r="U698" s="79">
        <f>IF(AND(O698=1,H698="High"),1,0)</f>
        <v/>
      </c>
      <c r="V698" s="79">
        <f>IF(AND(O698=1,C698="Punch item"),1,0)</f>
        <v/>
      </c>
    </row>
    <row r="699" ht="24" customHeight="1">
      <c r="B699" s="125" t="n">
        <v>692</v>
      </c>
      <c r="C699" s="72" t="n"/>
      <c r="D699" s="109" t="n"/>
      <c r="E699" s="72" t="n"/>
      <c r="F699" s="113" t="n"/>
      <c r="G699" s="72" t="n"/>
      <c r="H699" s="74" t="n"/>
      <c r="I699" s="73" t="n"/>
      <c r="J699" s="113" t="n"/>
      <c r="K699" s="109" t="n"/>
      <c r="L699" s="72" t="n"/>
      <c r="M699" s="109" t="n"/>
      <c r="N699" s="72" t="n"/>
      <c r="O699" s="79">
        <f>IF(AND(F699&lt;&gt;"",L699&lt;&gt;"Resolved"),1,0)</f>
        <v/>
      </c>
      <c r="P699" s="79">
        <f>IF(F699="","",IF(O699=0,0,IF(H699="High",2,1)))</f>
        <v/>
      </c>
      <c r="Q699" s="112">
        <f>IF(O699=1,IF(K699&lt;&gt;"",K699,IF(H699="High",AsOf,"")),"")</f>
        <v/>
      </c>
      <c r="R699" s="79">
        <f>IF(Q699="","",IF(H699="High",1,IF(Q699="","",IF(Q699&lt;AsOf,1,IF(Q699&lt;=AsOf+AlertDays,2,IF(Q699&lt;=AsOf+2*AlertDays,3,""))))))</f>
        <v/>
      </c>
      <c r="S699" s="79">
        <f>IF(R699="","",IF(H699="High","High-severity issue: ",IF(C699="Punch item","Punch item: ","Issue action due: "))&amp;F699&amp;IF(J699="",""," → "&amp;J699))</f>
        <v/>
      </c>
      <c r="T699" s="79">
        <f>IF(O699=1,IF(I699="",0,I699),0)</f>
        <v/>
      </c>
      <c r="U699" s="79">
        <f>IF(AND(O699=1,H699="High"),1,0)</f>
        <v/>
      </c>
      <c r="V699" s="79">
        <f>IF(AND(O699=1,C699="Punch item"),1,0)</f>
        <v/>
      </c>
    </row>
    <row r="700" ht="24" customHeight="1">
      <c r="B700" s="125" t="n">
        <v>693</v>
      </c>
      <c r="C700" s="72" t="n"/>
      <c r="D700" s="109" t="n"/>
      <c r="E700" s="72" t="n"/>
      <c r="F700" s="113" t="n"/>
      <c r="G700" s="72" t="n"/>
      <c r="H700" s="74" t="n"/>
      <c r="I700" s="73" t="n"/>
      <c r="J700" s="113" t="n"/>
      <c r="K700" s="109" t="n"/>
      <c r="L700" s="72" t="n"/>
      <c r="M700" s="109" t="n"/>
      <c r="N700" s="72" t="n"/>
      <c r="O700" s="79">
        <f>IF(AND(F700&lt;&gt;"",L700&lt;&gt;"Resolved"),1,0)</f>
        <v/>
      </c>
      <c r="P700" s="79">
        <f>IF(F700="","",IF(O700=0,0,IF(H700="High",2,1)))</f>
        <v/>
      </c>
      <c r="Q700" s="112">
        <f>IF(O700=1,IF(K700&lt;&gt;"",K700,IF(H700="High",AsOf,"")),"")</f>
        <v/>
      </c>
      <c r="R700" s="79">
        <f>IF(Q700="","",IF(H700="High",1,IF(Q700="","",IF(Q700&lt;AsOf,1,IF(Q700&lt;=AsOf+AlertDays,2,IF(Q700&lt;=AsOf+2*AlertDays,3,""))))))</f>
        <v/>
      </c>
      <c r="S700" s="79">
        <f>IF(R700="","",IF(H700="High","High-severity issue: ",IF(C700="Punch item","Punch item: ","Issue action due: "))&amp;F700&amp;IF(J700="",""," → "&amp;J700))</f>
        <v/>
      </c>
      <c r="T700" s="79">
        <f>IF(O700=1,IF(I700="",0,I700),0)</f>
        <v/>
      </c>
      <c r="U700" s="79">
        <f>IF(AND(O700=1,H700="High"),1,0)</f>
        <v/>
      </c>
      <c r="V700" s="79">
        <f>IF(AND(O700=1,C700="Punch item"),1,0)</f>
        <v/>
      </c>
    </row>
    <row r="701" ht="24" customHeight="1">
      <c r="B701" s="125" t="n">
        <v>694</v>
      </c>
      <c r="C701" s="72" t="n"/>
      <c r="D701" s="109" t="n"/>
      <c r="E701" s="72" t="n"/>
      <c r="F701" s="113" t="n"/>
      <c r="G701" s="72" t="n"/>
      <c r="H701" s="74" t="n"/>
      <c r="I701" s="73" t="n"/>
      <c r="J701" s="113" t="n"/>
      <c r="K701" s="109" t="n"/>
      <c r="L701" s="72" t="n"/>
      <c r="M701" s="109" t="n"/>
      <c r="N701" s="72" t="n"/>
      <c r="O701" s="79">
        <f>IF(AND(F701&lt;&gt;"",L701&lt;&gt;"Resolved"),1,0)</f>
        <v/>
      </c>
      <c r="P701" s="79">
        <f>IF(F701="","",IF(O701=0,0,IF(H701="High",2,1)))</f>
        <v/>
      </c>
      <c r="Q701" s="112">
        <f>IF(O701=1,IF(K701&lt;&gt;"",K701,IF(H701="High",AsOf,"")),"")</f>
        <v/>
      </c>
      <c r="R701" s="79">
        <f>IF(Q701="","",IF(H701="High",1,IF(Q701="","",IF(Q701&lt;AsOf,1,IF(Q701&lt;=AsOf+AlertDays,2,IF(Q701&lt;=AsOf+2*AlertDays,3,""))))))</f>
        <v/>
      </c>
      <c r="S701" s="79">
        <f>IF(R701="","",IF(H701="High","High-severity issue: ",IF(C701="Punch item","Punch item: ","Issue action due: "))&amp;F701&amp;IF(J701="",""," → "&amp;J701))</f>
        <v/>
      </c>
      <c r="T701" s="79">
        <f>IF(O701=1,IF(I701="",0,I701),0)</f>
        <v/>
      </c>
      <c r="U701" s="79">
        <f>IF(AND(O701=1,H701="High"),1,0)</f>
        <v/>
      </c>
      <c r="V701" s="79">
        <f>IF(AND(O701=1,C701="Punch item"),1,0)</f>
        <v/>
      </c>
    </row>
    <row r="702" ht="24" customHeight="1">
      <c r="B702" s="125" t="n">
        <v>695</v>
      </c>
      <c r="C702" s="72" t="n"/>
      <c r="D702" s="109" t="n"/>
      <c r="E702" s="72" t="n"/>
      <c r="F702" s="113" t="n"/>
      <c r="G702" s="72" t="n"/>
      <c r="H702" s="74" t="n"/>
      <c r="I702" s="73" t="n"/>
      <c r="J702" s="113" t="n"/>
      <c r="K702" s="109" t="n"/>
      <c r="L702" s="72" t="n"/>
      <c r="M702" s="109" t="n"/>
      <c r="N702" s="72" t="n"/>
      <c r="O702" s="79">
        <f>IF(AND(F702&lt;&gt;"",L702&lt;&gt;"Resolved"),1,0)</f>
        <v/>
      </c>
      <c r="P702" s="79">
        <f>IF(F702="","",IF(O702=0,0,IF(H702="High",2,1)))</f>
        <v/>
      </c>
      <c r="Q702" s="112">
        <f>IF(O702=1,IF(K702&lt;&gt;"",K702,IF(H702="High",AsOf,"")),"")</f>
        <v/>
      </c>
      <c r="R702" s="79">
        <f>IF(Q702="","",IF(H702="High",1,IF(Q702="","",IF(Q702&lt;AsOf,1,IF(Q702&lt;=AsOf+AlertDays,2,IF(Q702&lt;=AsOf+2*AlertDays,3,""))))))</f>
        <v/>
      </c>
      <c r="S702" s="79">
        <f>IF(R702="","",IF(H702="High","High-severity issue: ",IF(C702="Punch item","Punch item: ","Issue action due: "))&amp;F702&amp;IF(J702="",""," → "&amp;J702))</f>
        <v/>
      </c>
      <c r="T702" s="79">
        <f>IF(O702=1,IF(I702="",0,I702),0)</f>
        <v/>
      </c>
      <c r="U702" s="79">
        <f>IF(AND(O702=1,H702="High"),1,0)</f>
        <v/>
      </c>
      <c r="V702" s="79">
        <f>IF(AND(O702=1,C702="Punch item"),1,0)</f>
        <v/>
      </c>
    </row>
    <row r="703" ht="24" customHeight="1">
      <c r="B703" s="125" t="n">
        <v>696</v>
      </c>
      <c r="C703" s="72" t="n"/>
      <c r="D703" s="109" t="n"/>
      <c r="E703" s="72" t="n"/>
      <c r="F703" s="113" t="n"/>
      <c r="G703" s="72" t="n"/>
      <c r="H703" s="74" t="n"/>
      <c r="I703" s="73" t="n"/>
      <c r="J703" s="113" t="n"/>
      <c r="K703" s="109" t="n"/>
      <c r="L703" s="72" t="n"/>
      <c r="M703" s="109" t="n"/>
      <c r="N703" s="72" t="n"/>
      <c r="O703" s="79">
        <f>IF(AND(F703&lt;&gt;"",L703&lt;&gt;"Resolved"),1,0)</f>
        <v/>
      </c>
      <c r="P703" s="79">
        <f>IF(F703="","",IF(O703=0,0,IF(H703="High",2,1)))</f>
        <v/>
      </c>
      <c r="Q703" s="112">
        <f>IF(O703=1,IF(K703&lt;&gt;"",K703,IF(H703="High",AsOf,"")),"")</f>
        <v/>
      </c>
      <c r="R703" s="79">
        <f>IF(Q703="","",IF(H703="High",1,IF(Q703="","",IF(Q703&lt;AsOf,1,IF(Q703&lt;=AsOf+AlertDays,2,IF(Q703&lt;=AsOf+2*AlertDays,3,""))))))</f>
        <v/>
      </c>
      <c r="S703" s="79">
        <f>IF(R703="","",IF(H703="High","High-severity issue: ",IF(C703="Punch item","Punch item: ","Issue action due: "))&amp;F703&amp;IF(J703="",""," → "&amp;J703))</f>
        <v/>
      </c>
      <c r="T703" s="79">
        <f>IF(O703=1,IF(I703="",0,I703),0)</f>
        <v/>
      </c>
      <c r="U703" s="79">
        <f>IF(AND(O703=1,H703="High"),1,0)</f>
        <v/>
      </c>
      <c r="V703" s="79">
        <f>IF(AND(O703=1,C703="Punch item"),1,0)</f>
        <v/>
      </c>
    </row>
    <row r="704" ht="24" customHeight="1">
      <c r="B704" s="125" t="n">
        <v>697</v>
      </c>
      <c r="C704" s="72" t="n"/>
      <c r="D704" s="109" t="n"/>
      <c r="E704" s="72" t="n"/>
      <c r="F704" s="113" t="n"/>
      <c r="G704" s="72" t="n"/>
      <c r="H704" s="74" t="n"/>
      <c r="I704" s="73" t="n"/>
      <c r="J704" s="113" t="n"/>
      <c r="K704" s="109" t="n"/>
      <c r="L704" s="72" t="n"/>
      <c r="M704" s="109" t="n"/>
      <c r="N704" s="72" t="n"/>
      <c r="O704" s="79">
        <f>IF(AND(F704&lt;&gt;"",L704&lt;&gt;"Resolved"),1,0)</f>
        <v/>
      </c>
      <c r="P704" s="79">
        <f>IF(F704="","",IF(O704=0,0,IF(H704="High",2,1)))</f>
        <v/>
      </c>
      <c r="Q704" s="112">
        <f>IF(O704=1,IF(K704&lt;&gt;"",K704,IF(H704="High",AsOf,"")),"")</f>
        <v/>
      </c>
      <c r="R704" s="79">
        <f>IF(Q704="","",IF(H704="High",1,IF(Q704="","",IF(Q704&lt;AsOf,1,IF(Q704&lt;=AsOf+AlertDays,2,IF(Q704&lt;=AsOf+2*AlertDays,3,""))))))</f>
        <v/>
      </c>
      <c r="S704" s="79">
        <f>IF(R704="","",IF(H704="High","High-severity issue: ",IF(C704="Punch item","Punch item: ","Issue action due: "))&amp;F704&amp;IF(J704="",""," → "&amp;J704))</f>
        <v/>
      </c>
      <c r="T704" s="79">
        <f>IF(O704=1,IF(I704="",0,I704),0)</f>
        <v/>
      </c>
      <c r="U704" s="79">
        <f>IF(AND(O704=1,H704="High"),1,0)</f>
        <v/>
      </c>
      <c r="V704" s="79">
        <f>IF(AND(O704=1,C704="Punch item"),1,0)</f>
        <v/>
      </c>
    </row>
    <row r="705" ht="24" customHeight="1">
      <c r="B705" s="125" t="n">
        <v>698</v>
      </c>
      <c r="C705" s="72" t="n"/>
      <c r="D705" s="109" t="n"/>
      <c r="E705" s="72" t="n"/>
      <c r="F705" s="113" t="n"/>
      <c r="G705" s="72" t="n"/>
      <c r="H705" s="74" t="n"/>
      <c r="I705" s="73" t="n"/>
      <c r="J705" s="113" t="n"/>
      <c r="K705" s="109" t="n"/>
      <c r="L705" s="72" t="n"/>
      <c r="M705" s="109" t="n"/>
      <c r="N705" s="72" t="n"/>
      <c r="O705" s="79">
        <f>IF(AND(F705&lt;&gt;"",L705&lt;&gt;"Resolved"),1,0)</f>
        <v/>
      </c>
      <c r="P705" s="79">
        <f>IF(F705="","",IF(O705=0,0,IF(H705="High",2,1)))</f>
        <v/>
      </c>
      <c r="Q705" s="112">
        <f>IF(O705=1,IF(K705&lt;&gt;"",K705,IF(H705="High",AsOf,"")),"")</f>
        <v/>
      </c>
      <c r="R705" s="79">
        <f>IF(Q705="","",IF(H705="High",1,IF(Q705="","",IF(Q705&lt;AsOf,1,IF(Q705&lt;=AsOf+AlertDays,2,IF(Q705&lt;=AsOf+2*AlertDays,3,""))))))</f>
        <v/>
      </c>
      <c r="S705" s="79">
        <f>IF(R705="","",IF(H705="High","High-severity issue: ",IF(C705="Punch item","Punch item: ","Issue action due: "))&amp;F705&amp;IF(J705="",""," → "&amp;J705))</f>
        <v/>
      </c>
      <c r="T705" s="79">
        <f>IF(O705=1,IF(I705="",0,I705),0)</f>
        <v/>
      </c>
      <c r="U705" s="79">
        <f>IF(AND(O705=1,H705="High"),1,0)</f>
        <v/>
      </c>
      <c r="V705" s="79">
        <f>IF(AND(O705=1,C705="Punch item"),1,0)</f>
        <v/>
      </c>
    </row>
    <row r="706" ht="24" customHeight="1">
      <c r="B706" s="125" t="n">
        <v>699</v>
      </c>
      <c r="C706" s="72" t="n"/>
      <c r="D706" s="109" t="n"/>
      <c r="E706" s="72" t="n"/>
      <c r="F706" s="113" t="n"/>
      <c r="G706" s="72" t="n"/>
      <c r="H706" s="74" t="n"/>
      <c r="I706" s="73" t="n"/>
      <c r="J706" s="113" t="n"/>
      <c r="K706" s="109" t="n"/>
      <c r="L706" s="72" t="n"/>
      <c r="M706" s="109" t="n"/>
      <c r="N706" s="72" t="n"/>
      <c r="O706" s="79">
        <f>IF(AND(F706&lt;&gt;"",L706&lt;&gt;"Resolved"),1,0)</f>
        <v/>
      </c>
      <c r="P706" s="79">
        <f>IF(F706="","",IF(O706=0,0,IF(H706="High",2,1)))</f>
        <v/>
      </c>
      <c r="Q706" s="112">
        <f>IF(O706=1,IF(K706&lt;&gt;"",K706,IF(H706="High",AsOf,"")),"")</f>
        <v/>
      </c>
      <c r="R706" s="79">
        <f>IF(Q706="","",IF(H706="High",1,IF(Q706="","",IF(Q706&lt;AsOf,1,IF(Q706&lt;=AsOf+AlertDays,2,IF(Q706&lt;=AsOf+2*AlertDays,3,""))))))</f>
        <v/>
      </c>
      <c r="S706" s="79">
        <f>IF(R706="","",IF(H706="High","High-severity issue: ",IF(C706="Punch item","Punch item: ","Issue action due: "))&amp;F706&amp;IF(J706="",""," → "&amp;J706))</f>
        <v/>
      </c>
      <c r="T706" s="79">
        <f>IF(O706=1,IF(I706="",0,I706),0)</f>
        <v/>
      </c>
      <c r="U706" s="79">
        <f>IF(AND(O706=1,H706="High"),1,0)</f>
        <v/>
      </c>
      <c r="V706" s="79">
        <f>IF(AND(O706=1,C706="Punch item"),1,0)</f>
        <v/>
      </c>
    </row>
    <row r="707" ht="24" customHeight="1">
      <c r="B707" s="125" t="n">
        <v>700</v>
      </c>
      <c r="C707" s="72" t="n"/>
      <c r="D707" s="109" t="n"/>
      <c r="E707" s="72" t="n"/>
      <c r="F707" s="113" t="n"/>
      <c r="G707" s="72" t="n"/>
      <c r="H707" s="74" t="n"/>
      <c r="I707" s="73" t="n"/>
      <c r="J707" s="113" t="n"/>
      <c r="K707" s="109" t="n"/>
      <c r="L707" s="72" t="n"/>
      <c r="M707" s="109" t="n"/>
      <c r="N707" s="72" t="n"/>
      <c r="O707" s="79">
        <f>IF(AND(F707&lt;&gt;"",L707&lt;&gt;"Resolved"),1,0)</f>
        <v/>
      </c>
      <c r="P707" s="79">
        <f>IF(F707="","",IF(O707=0,0,IF(H707="High",2,1)))</f>
        <v/>
      </c>
      <c r="Q707" s="112">
        <f>IF(O707=1,IF(K707&lt;&gt;"",K707,IF(H707="High",AsOf,"")),"")</f>
        <v/>
      </c>
      <c r="R707" s="79">
        <f>IF(Q707="","",IF(H707="High",1,IF(Q707="","",IF(Q707&lt;AsOf,1,IF(Q707&lt;=AsOf+AlertDays,2,IF(Q707&lt;=AsOf+2*AlertDays,3,""))))))</f>
        <v/>
      </c>
      <c r="S707" s="79">
        <f>IF(R707="","",IF(H707="High","High-severity issue: ",IF(C707="Punch item","Punch item: ","Issue action due: "))&amp;F707&amp;IF(J707="",""," → "&amp;J707))</f>
        <v/>
      </c>
      <c r="T707" s="79">
        <f>IF(O707=1,IF(I707="",0,I707),0)</f>
        <v/>
      </c>
      <c r="U707" s="79">
        <f>IF(AND(O707=1,H707="High"),1,0)</f>
        <v/>
      </c>
      <c r="V707" s="79">
        <f>IF(AND(O707=1,C707="Punch item"),1,0)</f>
        <v/>
      </c>
    </row>
    <row r="708" ht="24" customHeight="1">
      <c r="B708" s="125" t="n">
        <v>701</v>
      </c>
      <c r="C708" s="72" t="n"/>
      <c r="D708" s="109" t="n"/>
      <c r="E708" s="72" t="n"/>
      <c r="F708" s="113" t="n"/>
      <c r="G708" s="72" t="n"/>
      <c r="H708" s="74" t="n"/>
      <c r="I708" s="73" t="n"/>
      <c r="J708" s="113" t="n"/>
      <c r="K708" s="109" t="n"/>
      <c r="L708" s="72" t="n"/>
      <c r="M708" s="109" t="n"/>
      <c r="N708" s="72" t="n"/>
      <c r="O708" s="79">
        <f>IF(AND(F708&lt;&gt;"",L708&lt;&gt;"Resolved"),1,0)</f>
        <v/>
      </c>
      <c r="P708" s="79">
        <f>IF(F708="","",IF(O708=0,0,IF(H708="High",2,1)))</f>
        <v/>
      </c>
      <c r="Q708" s="112">
        <f>IF(O708=1,IF(K708&lt;&gt;"",K708,IF(H708="High",AsOf,"")),"")</f>
        <v/>
      </c>
      <c r="R708" s="79">
        <f>IF(Q708="","",IF(H708="High",1,IF(Q708="","",IF(Q708&lt;AsOf,1,IF(Q708&lt;=AsOf+AlertDays,2,IF(Q708&lt;=AsOf+2*AlertDays,3,""))))))</f>
        <v/>
      </c>
      <c r="S708" s="79">
        <f>IF(R708="","",IF(H708="High","High-severity issue: ",IF(C708="Punch item","Punch item: ","Issue action due: "))&amp;F708&amp;IF(J708="",""," → "&amp;J708))</f>
        <v/>
      </c>
      <c r="T708" s="79">
        <f>IF(O708=1,IF(I708="",0,I708),0)</f>
        <v/>
      </c>
      <c r="U708" s="79">
        <f>IF(AND(O708=1,H708="High"),1,0)</f>
        <v/>
      </c>
      <c r="V708" s="79">
        <f>IF(AND(O708=1,C708="Punch item"),1,0)</f>
        <v/>
      </c>
    </row>
    <row r="709" ht="24" customHeight="1">
      <c r="B709" s="125" t="n">
        <v>702</v>
      </c>
      <c r="C709" s="72" t="n"/>
      <c r="D709" s="109" t="n"/>
      <c r="E709" s="72" t="n"/>
      <c r="F709" s="113" t="n"/>
      <c r="G709" s="72" t="n"/>
      <c r="H709" s="74" t="n"/>
      <c r="I709" s="73" t="n"/>
      <c r="J709" s="113" t="n"/>
      <c r="K709" s="109" t="n"/>
      <c r="L709" s="72" t="n"/>
      <c r="M709" s="109" t="n"/>
      <c r="N709" s="72" t="n"/>
      <c r="O709" s="79">
        <f>IF(AND(F709&lt;&gt;"",L709&lt;&gt;"Resolved"),1,0)</f>
        <v/>
      </c>
      <c r="P709" s="79">
        <f>IF(F709="","",IF(O709=0,0,IF(H709="High",2,1)))</f>
        <v/>
      </c>
      <c r="Q709" s="112">
        <f>IF(O709=1,IF(K709&lt;&gt;"",K709,IF(H709="High",AsOf,"")),"")</f>
        <v/>
      </c>
      <c r="R709" s="79">
        <f>IF(Q709="","",IF(H709="High",1,IF(Q709="","",IF(Q709&lt;AsOf,1,IF(Q709&lt;=AsOf+AlertDays,2,IF(Q709&lt;=AsOf+2*AlertDays,3,""))))))</f>
        <v/>
      </c>
      <c r="S709" s="79">
        <f>IF(R709="","",IF(H709="High","High-severity issue: ",IF(C709="Punch item","Punch item: ","Issue action due: "))&amp;F709&amp;IF(J709="",""," → "&amp;J709))</f>
        <v/>
      </c>
      <c r="T709" s="79">
        <f>IF(O709=1,IF(I709="",0,I709),0)</f>
        <v/>
      </c>
      <c r="U709" s="79">
        <f>IF(AND(O709=1,H709="High"),1,0)</f>
        <v/>
      </c>
      <c r="V709" s="79">
        <f>IF(AND(O709=1,C709="Punch item"),1,0)</f>
        <v/>
      </c>
    </row>
    <row r="710" ht="24" customHeight="1">
      <c r="B710" s="125" t="n">
        <v>703</v>
      </c>
      <c r="C710" s="72" t="n"/>
      <c r="D710" s="109" t="n"/>
      <c r="E710" s="72" t="n"/>
      <c r="F710" s="113" t="n"/>
      <c r="G710" s="72" t="n"/>
      <c r="H710" s="74" t="n"/>
      <c r="I710" s="73" t="n"/>
      <c r="J710" s="113" t="n"/>
      <c r="K710" s="109" t="n"/>
      <c r="L710" s="72" t="n"/>
      <c r="M710" s="109" t="n"/>
      <c r="N710" s="72" t="n"/>
      <c r="O710" s="79">
        <f>IF(AND(F710&lt;&gt;"",L710&lt;&gt;"Resolved"),1,0)</f>
        <v/>
      </c>
      <c r="P710" s="79">
        <f>IF(F710="","",IF(O710=0,0,IF(H710="High",2,1)))</f>
        <v/>
      </c>
      <c r="Q710" s="112">
        <f>IF(O710=1,IF(K710&lt;&gt;"",K710,IF(H710="High",AsOf,"")),"")</f>
        <v/>
      </c>
      <c r="R710" s="79">
        <f>IF(Q710="","",IF(H710="High",1,IF(Q710="","",IF(Q710&lt;AsOf,1,IF(Q710&lt;=AsOf+AlertDays,2,IF(Q710&lt;=AsOf+2*AlertDays,3,""))))))</f>
        <v/>
      </c>
      <c r="S710" s="79">
        <f>IF(R710="","",IF(H710="High","High-severity issue: ",IF(C710="Punch item","Punch item: ","Issue action due: "))&amp;F710&amp;IF(J710="",""," → "&amp;J710))</f>
        <v/>
      </c>
      <c r="T710" s="79">
        <f>IF(O710=1,IF(I710="",0,I710),0)</f>
        <v/>
      </c>
      <c r="U710" s="79">
        <f>IF(AND(O710=1,H710="High"),1,0)</f>
        <v/>
      </c>
      <c r="V710" s="79">
        <f>IF(AND(O710=1,C710="Punch item"),1,0)</f>
        <v/>
      </c>
    </row>
    <row r="711" ht="24" customHeight="1">
      <c r="B711" s="125" t="n">
        <v>704</v>
      </c>
      <c r="C711" s="72" t="n"/>
      <c r="D711" s="109" t="n"/>
      <c r="E711" s="72" t="n"/>
      <c r="F711" s="113" t="n"/>
      <c r="G711" s="72" t="n"/>
      <c r="H711" s="74" t="n"/>
      <c r="I711" s="73" t="n"/>
      <c r="J711" s="113" t="n"/>
      <c r="K711" s="109" t="n"/>
      <c r="L711" s="72" t="n"/>
      <c r="M711" s="109" t="n"/>
      <c r="N711" s="72" t="n"/>
      <c r="O711" s="79">
        <f>IF(AND(F711&lt;&gt;"",L711&lt;&gt;"Resolved"),1,0)</f>
        <v/>
      </c>
      <c r="P711" s="79">
        <f>IF(F711="","",IF(O711=0,0,IF(H711="High",2,1)))</f>
        <v/>
      </c>
      <c r="Q711" s="112">
        <f>IF(O711=1,IF(K711&lt;&gt;"",K711,IF(H711="High",AsOf,"")),"")</f>
        <v/>
      </c>
      <c r="R711" s="79">
        <f>IF(Q711="","",IF(H711="High",1,IF(Q711="","",IF(Q711&lt;AsOf,1,IF(Q711&lt;=AsOf+AlertDays,2,IF(Q711&lt;=AsOf+2*AlertDays,3,""))))))</f>
        <v/>
      </c>
      <c r="S711" s="79">
        <f>IF(R711="","",IF(H711="High","High-severity issue: ",IF(C711="Punch item","Punch item: ","Issue action due: "))&amp;F711&amp;IF(J711="",""," → "&amp;J711))</f>
        <v/>
      </c>
      <c r="T711" s="79">
        <f>IF(O711=1,IF(I711="",0,I711),0)</f>
        <v/>
      </c>
      <c r="U711" s="79">
        <f>IF(AND(O711=1,H711="High"),1,0)</f>
        <v/>
      </c>
      <c r="V711" s="79">
        <f>IF(AND(O711=1,C711="Punch item"),1,0)</f>
        <v/>
      </c>
    </row>
    <row r="712" ht="24" customHeight="1">
      <c r="B712" s="125" t="n">
        <v>705</v>
      </c>
      <c r="C712" s="72" t="n"/>
      <c r="D712" s="109" t="n"/>
      <c r="E712" s="72" t="n"/>
      <c r="F712" s="113" t="n"/>
      <c r="G712" s="72" t="n"/>
      <c r="H712" s="74" t="n"/>
      <c r="I712" s="73" t="n"/>
      <c r="J712" s="113" t="n"/>
      <c r="K712" s="109" t="n"/>
      <c r="L712" s="72" t="n"/>
      <c r="M712" s="109" t="n"/>
      <c r="N712" s="72" t="n"/>
      <c r="O712" s="79">
        <f>IF(AND(F712&lt;&gt;"",L712&lt;&gt;"Resolved"),1,0)</f>
        <v/>
      </c>
      <c r="P712" s="79">
        <f>IF(F712="","",IF(O712=0,0,IF(H712="High",2,1)))</f>
        <v/>
      </c>
      <c r="Q712" s="112">
        <f>IF(O712=1,IF(K712&lt;&gt;"",K712,IF(H712="High",AsOf,"")),"")</f>
        <v/>
      </c>
      <c r="R712" s="79">
        <f>IF(Q712="","",IF(H712="High",1,IF(Q712="","",IF(Q712&lt;AsOf,1,IF(Q712&lt;=AsOf+AlertDays,2,IF(Q712&lt;=AsOf+2*AlertDays,3,""))))))</f>
        <v/>
      </c>
      <c r="S712" s="79">
        <f>IF(R712="","",IF(H712="High","High-severity issue: ",IF(C712="Punch item","Punch item: ","Issue action due: "))&amp;F712&amp;IF(J712="",""," → "&amp;J712))</f>
        <v/>
      </c>
      <c r="T712" s="79">
        <f>IF(O712=1,IF(I712="",0,I712),0)</f>
        <v/>
      </c>
      <c r="U712" s="79">
        <f>IF(AND(O712=1,H712="High"),1,0)</f>
        <v/>
      </c>
      <c r="V712" s="79">
        <f>IF(AND(O712=1,C712="Punch item"),1,0)</f>
        <v/>
      </c>
    </row>
    <row r="713" ht="24" customHeight="1">
      <c r="B713" s="125" t="n">
        <v>706</v>
      </c>
      <c r="C713" s="72" t="n"/>
      <c r="D713" s="109" t="n"/>
      <c r="E713" s="72" t="n"/>
      <c r="F713" s="113" t="n"/>
      <c r="G713" s="72" t="n"/>
      <c r="H713" s="74" t="n"/>
      <c r="I713" s="73" t="n"/>
      <c r="J713" s="113" t="n"/>
      <c r="K713" s="109" t="n"/>
      <c r="L713" s="72" t="n"/>
      <c r="M713" s="109" t="n"/>
      <c r="N713" s="72" t="n"/>
      <c r="O713" s="79">
        <f>IF(AND(F713&lt;&gt;"",L713&lt;&gt;"Resolved"),1,0)</f>
        <v/>
      </c>
      <c r="P713" s="79">
        <f>IF(F713="","",IF(O713=0,0,IF(H713="High",2,1)))</f>
        <v/>
      </c>
      <c r="Q713" s="112">
        <f>IF(O713=1,IF(K713&lt;&gt;"",K713,IF(H713="High",AsOf,"")),"")</f>
        <v/>
      </c>
      <c r="R713" s="79">
        <f>IF(Q713="","",IF(H713="High",1,IF(Q713="","",IF(Q713&lt;AsOf,1,IF(Q713&lt;=AsOf+AlertDays,2,IF(Q713&lt;=AsOf+2*AlertDays,3,""))))))</f>
        <v/>
      </c>
      <c r="S713" s="79">
        <f>IF(R713="","",IF(H713="High","High-severity issue: ",IF(C713="Punch item","Punch item: ","Issue action due: "))&amp;F713&amp;IF(J713="",""," → "&amp;J713))</f>
        <v/>
      </c>
      <c r="T713" s="79">
        <f>IF(O713=1,IF(I713="",0,I713),0)</f>
        <v/>
      </c>
      <c r="U713" s="79">
        <f>IF(AND(O713=1,H713="High"),1,0)</f>
        <v/>
      </c>
      <c r="V713" s="79">
        <f>IF(AND(O713=1,C713="Punch item"),1,0)</f>
        <v/>
      </c>
    </row>
    <row r="714" ht="24" customHeight="1">
      <c r="B714" s="125" t="n">
        <v>707</v>
      </c>
      <c r="C714" s="72" t="n"/>
      <c r="D714" s="109" t="n"/>
      <c r="E714" s="72" t="n"/>
      <c r="F714" s="113" t="n"/>
      <c r="G714" s="72" t="n"/>
      <c r="H714" s="74" t="n"/>
      <c r="I714" s="73" t="n"/>
      <c r="J714" s="113" t="n"/>
      <c r="K714" s="109" t="n"/>
      <c r="L714" s="72" t="n"/>
      <c r="M714" s="109" t="n"/>
      <c r="N714" s="72" t="n"/>
      <c r="O714" s="79">
        <f>IF(AND(F714&lt;&gt;"",L714&lt;&gt;"Resolved"),1,0)</f>
        <v/>
      </c>
      <c r="P714" s="79">
        <f>IF(F714="","",IF(O714=0,0,IF(H714="High",2,1)))</f>
        <v/>
      </c>
      <c r="Q714" s="112">
        <f>IF(O714=1,IF(K714&lt;&gt;"",K714,IF(H714="High",AsOf,"")),"")</f>
        <v/>
      </c>
      <c r="R714" s="79">
        <f>IF(Q714="","",IF(H714="High",1,IF(Q714="","",IF(Q714&lt;AsOf,1,IF(Q714&lt;=AsOf+AlertDays,2,IF(Q714&lt;=AsOf+2*AlertDays,3,""))))))</f>
        <v/>
      </c>
      <c r="S714" s="79">
        <f>IF(R714="","",IF(H714="High","High-severity issue: ",IF(C714="Punch item","Punch item: ","Issue action due: "))&amp;F714&amp;IF(J714="",""," → "&amp;J714))</f>
        <v/>
      </c>
      <c r="T714" s="79">
        <f>IF(O714=1,IF(I714="",0,I714),0)</f>
        <v/>
      </c>
      <c r="U714" s="79">
        <f>IF(AND(O714=1,H714="High"),1,0)</f>
        <v/>
      </c>
      <c r="V714" s="79">
        <f>IF(AND(O714=1,C714="Punch item"),1,0)</f>
        <v/>
      </c>
    </row>
    <row r="715" ht="24" customHeight="1">
      <c r="B715" s="125" t="n">
        <v>708</v>
      </c>
      <c r="C715" s="72" t="n"/>
      <c r="D715" s="109" t="n"/>
      <c r="E715" s="72" t="n"/>
      <c r="F715" s="113" t="n"/>
      <c r="G715" s="72" t="n"/>
      <c r="H715" s="74" t="n"/>
      <c r="I715" s="73" t="n"/>
      <c r="J715" s="113" t="n"/>
      <c r="K715" s="109" t="n"/>
      <c r="L715" s="72" t="n"/>
      <c r="M715" s="109" t="n"/>
      <c r="N715" s="72" t="n"/>
      <c r="O715" s="79">
        <f>IF(AND(F715&lt;&gt;"",L715&lt;&gt;"Resolved"),1,0)</f>
        <v/>
      </c>
      <c r="P715" s="79">
        <f>IF(F715="","",IF(O715=0,0,IF(H715="High",2,1)))</f>
        <v/>
      </c>
      <c r="Q715" s="112">
        <f>IF(O715=1,IF(K715&lt;&gt;"",K715,IF(H715="High",AsOf,"")),"")</f>
        <v/>
      </c>
      <c r="R715" s="79">
        <f>IF(Q715="","",IF(H715="High",1,IF(Q715="","",IF(Q715&lt;AsOf,1,IF(Q715&lt;=AsOf+AlertDays,2,IF(Q715&lt;=AsOf+2*AlertDays,3,""))))))</f>
        <v/>
      </c>
      <c r="S715" s="79">
        <f>IF(R715="","",IF(H715="High","High-severity issue: ",IF(C715="Punch item","Punch item: ","Issue action due: "))&amp;F715&amp;IF(J715="",""," → "&amp;J715))</f>
        <v/>
      </c>
      <c r="T715" s="79">
        <f>IF(O715=1,IF(I715="",0,I715),0)</f>
        <v/>
      </c>
      <c r="U715" s="79">
        <f>IF(AND(O715=1,H715="High"),1,0)</f>
        <v/>
      </c>
      <c r="V715" s="79">
        <f>IF(AND(O715=1,C715="Punch item"),1,0)</f>
        <v/>
      </c>
    </row>
    <row r="716" ht="24" customHeight="1">
      <c r="B716" s="125" t="n">
        <v>709</v>
      </c>
      <c r="C716" s="72" t="n"/>
      <c r="D716" s="109" t="n"/>
      <c r="E716" s="72" t="n"/>
      <c r="F716" s="113" t="n"/>
      <c r="G716" s="72" t="n"/>
      <c r="H716" s="74" t="n"/>
      <c r="I716" s="73" t="n"/>
      <c r="J716" s="113" t="n"/>
      <c r="K716" s="109" t="n"/>
      <c r="L716" s="72" t="n"/>
      <c r="M716" s="109" t="n"/>
      <c r="N716" s="72" t="n"/>
      <c r="O716" s="79">
        <f>IF(AND(F716&lt;&gt;"",L716&lt;&gt;"Resolved"),1,0)</f>
        <v/>
      </c>
      <c r="P716" s="79">
        <f>IF(F716="","",IF(O716=0,0,IF(H716="High",2,1)))</f>
        <v/>
      </c>
      <c r="Q716" s="112">
        <f>IF(O716=1,IF(K716&lt;&gt;"",K716,IF(H716="High",AsOf,"")),"")</f>
        <v/>
      </c>
      <c r="R716" s="79">
        <f>IF(Q716="","",IF(H716="High",1,IF(Q716="","",IF(Q716&lt;AsOf,1,IF(Q716&lt;=AsOf+AlertDays,2,IF(Q716&lt;=AsOf+2*AlertDays,3,""))))))</f>
        <v/>
      </c>
      <c r="S716" s="79">
        <f>IF(R716="","",IF(H716="High","High-severity issue: ",IF(C716="Punch item","Punch item: ","Issue action due: "))&amp;F716&amp;IF(J716="",""," → "&amp;J716))</f>
        <v/>
      </c>
      <c r="T716" s="79">
        <f>IF(O716=1,IF(I716="",0,I716),0)</f>
        <v/>
      </c>
      <c r="U716" s="79">
        <f>IF(AND(O716=1,H716="High"),1,0)</f>
        <v/>
      </c>
      <c r="V716" s="79">
        <f>IF(AND(O716=1,C716="Punch item"),1,0)</f>
        <v/>
      </c>
    </row>
    <row r="717" ht="24" customHeight="1">
      <c r="B717" s="125" t="n">
        <v>710</v>
      </c>
      <c r="C717" s="72" t="n"/>
      <c r="D717" s="109" t="n"/>
      <c r="E717" s="72" t="n"/>
      <c r="F717" s="113" t="n"/>
      <c r="G717" s="72" t="n"/>
      <c r="H717" s="74" t="n"/>
      <c r="I717" s="73" t="n"/>
      <c r="J717" s="113" t="n"/>
      <c r="K717" s="109" t="n"/>
      <c r="L717" s="72" t="n"/>
      <c r="M717" s="109" t="n"/>
      <c r="N717" s="72" t="n"/>
      <c r="O717" s="79">
        <f>IF(AND(F717&lt;&gt;"",L717&lt;&gt;"Resolved"),1,0)</f>
        <v/>
      </c>
      <c r="P717" s="79">
        <f>IF(F717="","",IF(O717=0,0,IF(H717="High",2,1)))</f>
        <v/>
      </c>
      <c r="Q717" s="112">
        <f>IF(O717=1,IF(K717&lt;&gt;"",K717,IF(H717="High",AsOf,"")),"")</f>
        <v/>
      </c>
      <c r="R717" s="79">
        <f>IF(Q717="","",IF(H717="High",1,IF(Q717="","",IF(Q717&lt;AsOf,1,IF(Q717&lt;=AsOf+AlertDays,2,IF(Q717&lt;=AsOf+2*AlertDays,3,""))))))</f>
        <v/>
      </c>
      <c r="S717" s="79">
        <f>IF(R717="","",IF(H717="High","High-severity issue: ",IF(C717="Punch item","Punch item: ","Issue action due: "))&amp;F717&amp;IF(J717="",""," → "&amp;J717))</f>
        <v/>
      </c>
      <c r="T717" s="79">
        <f>IF(O717=1,IF(I717="",0,I717),0)</f>
        <v/>
      </c>
      <c r="U717" s="79">
        <f>IF(AND(O717=1,H717="High"),1,0)</f>
        <v/>
      </c>
      <c r="V717" s="79">
        <f>IF(AND(O717=1,C717="Punch item"),1,0)</f>
        <v/>
      </c>
    </row>
    <row r="718" ht="24" customHeight="1">
      <c r="B718" s="125" t="n">
        <v>711</v>
      </c>
      <c r="C718" s="72" t="n"/>
      <c r="D718" s="109" t="n"/>
      <c r="E718" s="72" t="n"/>
      <c r="F718" s="113" t="n"/>
      <c r="G718" s="72" t="n"/>
      <c r="H718" s="74" t="n"/>
      <c r="I718" s="73" t="n"/>
      <c r="J718" s="113" t="n"/>
      <c r="K718" s="109" t="n"/>
      <c r="L718" s="72" t="n"/>
      <c r="M718" s="109" t="n"/>
      <c r="N718" s="72" t="n"/>
      <c r="O718" s="79">
        <f>IF(AND(F718&lt;&gt;"",L718&lt;&gt;"Resolved"),1,0)</f>
        <v/>
      </c>
      <c r="P718" s="79">
        <f>IF(F718="","",IF(O718=0,0,IF(H718="High",2,1)))</f>
        <v/>
      </c>
      <c r="Q718" s="112">
        <f>IF(O718=1,IF(K718&lt;&gt;"",K718,IF(H718="High",AsOf,"")),"")</f>
        <v/>
      </c>
      <c r="R718" s="79">
        <f>IF(Q718="","",IF(H718="High",1,IF(Q718="","",IF(Q718&lt;AsOf,1,IF(Q718&lt;=AsOf+AlertDays,2,IF(Q718&lt;=AsOf+2*AlertDays,3,""))))))</f>
        <v/>
      </c>
      <c r="S718" s="79">
        <f>IF(R718="","",IF(H718="High","High-severity issue: ",IF(C718="Punch item","Punch item: ","Issue action due: "))&amp;F718&amp;IF(J718="",""," → "&amp;J718))</f>
        <v/>
      </c>
      <c r="T718" s="79">
        <f>IF(O718=1,IF(I718="",0,I718),0)</f>
        <v/>
      </c>
      <c r="U718" s="79">
        <f>IF(AND(O718=1,H718="High"),1,0)</f>
        <v/>
      </c>
      <c r="V718" s="79">
        <f>IF(AND(O718=1,C718="Punch item"),1,0)</f>
        <v/>
      </c>
    </row>
    <row r="719" ht="24" customHeight="1">
      <c r="B719" s="125" t="n">
        <v>712</v>
      </c>
      <c r="C719" s="72" t="n"/>
      <c r="D719" s="109" t="n"/>
      <c r="E719" s="72" t="n"/>
      <c r="F719" s="113" t="n"/>
      <c r="G719" s="72" t="n"/>
      <c r="H719" s="74" t="n"/>
      <c r="I719" s="73" t="n"/>
      <c r="J719" s="113" t="n"/>
      <c r="K719" s="109" t="n"/>
      <c r="L719" s="72" t="n"/>
      <c r="M719" s="109" t="n"/>
      <c r="N719" s="72" t="n"/>
      <c r="O719" s="79">
        <f>IF(AND(F719&lt;&gt;"",L719&lt;&gt;"Resolved"),1,0)</f>
        <v/>
      </c>
      <c r="P719" s="79">
        <f>IF(F719="","",IF(O719=0,0,IF(H719="High",2,1)))</f>
        <v/>
      </c>
      <c r="Q719" s="112">
        <f>IF(O719=1,IF(K719&lt;&gt;"",K719,IF(H719="High",AsOf,"")),"")</f>
        <v/>
      </c>
      <c r="R719" s="79">
        <f>IF(Q719="","",IF(H719="High",1,IF(Q719="","",IF(Q719&lt;AsOf,1,IF(Q719&lt;=AsOf+AlertDays,2,IF(Q719&lt;=AsOf+2*AlertDays,3,""))))))</f>
        <v/>
      </c>
      <c r="S719" s="79">
        <f>IF(R719="","",IF(H719="High","High-severity issue: ",IF(C719="Punch item","Punch item: ","Issue action due: "))&amp;F719&amp;IF(J719="",""," → "&amp;J719))</f>
        <v/>
      </c>
      <c r="T719" s="79">
        <f>IF(O719=1,IF(I719="",0,I719),0)</f>
        <v/>
      </c>
      <c r="U719" s="79">
        <f>IF(AND(O719=1,H719="High"),1,0)</f>
        <v/>
      </c>
      <c r="V719" s="79">
        <f>IF(AND(O719=1,C719="Punch item"),1,0)</f>
        <v/>
      </c>
    </row>
    <row r="720" ht="24" customHeight="1">
      <c r="B720" s="125" t="n">
        <v>713</v>
      </c>
      <c r="C720" s="72" t="n"/>
      <c r="D720" s="109" t="n"/>
      <c r="E720" s="72" t="n"/>
      <c r="F720" s="113" t="n"/>
      <c r="G720" s="72" t="n"/>
      <c r="H720" s="74" t="n"/>
      <c r="I720" s="73" t="n"/>
      <c r="J720" s="113" t="n"/>
      <c r="K720" s="109" t="n"/>
      <c r="L720" s="72" t="n"/>
      <c r="M720" s="109" t="n"/>
      <c r="N720" s="72" t="n"/>
      <c r="O720" s="79">
        <f>IF(AND(F720&lt;&gt;"",L720&lt;&gt;"Resolved"),1,0)</f>
        <v/>
      </c>
      <c r="P720" s="79">
        <f>IF(F720="","",IF(O720=0,0,IF(H720="High",2,1)))</f>
        <v/>
      </c>
      <c r="Q720" s="112">
        <f>IF(O720=1,IF(K720&lt;&gt;"",K720,IF(H720="High",AsOf,"")),"")</f>
        <v/>
      </c>
      <c r="R720" s="79">
        <f>IF(Q720="","",IF(H720="High",1,IF(Q720="","",IF(Q720&lt;AsOf,1,IF(Q720&lt;=AsOf+AlertDays,2,IF(Q720&lt;=AsOf+2*AlertDays,3,""))))))</f>
        <v/>
      </c>
      <c r="S720" s="79">
        <f>IF(R720="","",IF(H720="High","High-severity issue: ",IF(C720="Punch item","Punch item: ","Issue action due: "))&amp;F720&amp;IF(J720="",""," → "&amp;J720))</f>
        <v/>
      </c>
      <c r="T720" s="79">
        <f>IF(O720=1,IF(I720="",0,I720),0)</f>
        <v/>
      </c>
      <c r="U720" s="79">
        <f>IF(AND(O720=1,H720="High"),1,0)</f>
        <v/>
      </c>
      <c r="V720" s="79">
        <f>IF(AND(O720=1,C720="Punch item"),1,0)</f>
        <v/>
      </c>
    </row>
    <row r="721" ht="24" customHeight="1">
      <c r="B721" s="125" t="n">
        <v>714</v>
      </c>
      <c r="C721" s="72" t="n"/>
      <c r="D721" s="109" t="n"/>
      <c r="E721" s="72" t="n"/>
      <c r="F721" s="113" t="n"/>
      <c r="G721" s="72" t="n"/>
      <c r="H721" s="74" t="n"/>
      <c r="I721" s="73" t="n"/>
      <c r="J721" s="113" t="n"/>
      <c r="K721" s="109" t="n"/>
      <c r="L721" s="72" t="n"/>
      <c r="M721" s="109" t="n"/>
      <c r="N721" s="72" t="n"/>
      <c r="O721" s="79">
        <f>IF(AND(F721&lt;&gt;"",L721&lt;&gt;"Resolved"),1,0)</f>
        <v/>
      </c>
      <c r="P721" s="79">
        <f>IF(F721="","",IF(O721=0,0,IF(H721="High",2,1)))</f>
        <v/>
      </c>
      <c r="Q721" s="112">
        <f>IF(O721=1,IF(K721&lt;&gt;"",K721,IF(H721="High",AsOf,"")),"")</f>
        <v/>
      </c>
      <c r="R721" s="79">
        <f>IF(Q721="","",IF(H721="High",1,IF(Q721="","",IF(Q721&lt;AsOf,1,IF(Q721&lt;=AsOf+AlertDays,2,IF(Q721&lt;=AsOf+2*AlertDays,3,""))))))</f>
        <v/>
      </c>
      <c r="S721" s="79">
        <f>IF(R721="","",IF(H721="High","High-severity issue: ",IF(C721="Punch item","Punch item: ","Issue action due: "))&amp;F721&amp;IF(J721="",""," → "&amp;J721))</f>
        <v/>
      </c>
      <c r="T721" s="79">
        <f>IF(O721=1,IF(I721="",0,I721),0)</f>
        <v/>
      </c>
      <c r="U721" s="79">
        <f>IF(AND(O721=1,H721="High"),1,0)</f>
        <v/>
      </c>
      <c r="V721" s="79">
        <f>IF(AND(O721=1,C721="Punch item"),1,0)</f>
        <v/>
      </c>
    </row>
    <row r="722" ht="24" customHeight="1">
      <c r="B722" s="125" t="n">
        <v>715</v>
      </c>
      <c r="C722" s="72" t="n"/>
      <c r="D722" s="109" t="n"/>
      <c r="E722" s="72" t="n"/>
      <c r="F722" s="113" t="n"/>
      <c r="G722" s="72" t="n"/>
      <c r="H722" s="74" t="n"/>
      <c r="I722" s="73" t="n"/>
      <c r="J722" s="113" t="n"/>
      <c r="K722" s="109" t="n"/>
      <c r="L722" s="72" t="n"/>
      <c r="M722" s="109" t="n"/>
      <c r="N722" s="72" t="n"/>
      <c r="O722" s="79">
        <f>IF(AND(F722&lt;&gt;"",L722&lt;&gt;"Resolved"),1,0)</f>
        <v/>
      </c>
      <c r="P722" s="79">
        <f>IF(F722="","",IF(O722=0,0,IF(H722="High",2,1)))</f>
        <v/>
      </c>
      <c r="Q722" s="112">
        <f>IF(O722=1,IF(K722&lt;&gt;"",K722,IF(H722="High",AsOf,"")),"")</f>
        <v/>
      </c>
      <c r="R722" s="79">
        <f>IF(Q722="","",IF(H722="High",1,IF(Q722="","",IF(Q722&lt;AsOf,1,IF(Q722&lt;=AsOf+AlertDays,2,IF(Q722&lt;=AsOf+2*AlertDays,3,""))))))</f>
        <v/>
      </c>
      <c r="S722" s="79">
        <f>IF(R722="","",IF(H722="High","High-severity issue: ",IF(C722="Punch item","Punch item: ","Issue action due: "))&amp;F722&amp;IF(J722="",""," → "&amp;J722))</f>
        <v/>
      </c>
      <c r="T722" s="79">
        <f>IF(O722=1,IF(I722="",0,I722),0)</f>
        <v/>
      </c>
      <c r="U722" s="79">
        <f>IF(AND(O722=1,H722="High"),1,0)</f>
        <v/>
      </c>
      <c r="V722" s="79">
        <f>IF(AND(O722=1,C722="Punch item"),1,0)</f>
        <v/>
      </c>
    </row>
    <row r="723" ht="24" customHeight="1">
      <c r="B723" s="125" t="n">
        <v>716</v>
      </c>
      <c r="C723" s="72" t="n"/>
      <c r="D723" s="109" t="n"/>
      <c r="E723" s="72" t="n"/>
      <c r="F723" s="113" t="n"/>
      <c r="G723" s="72" t="n"/>
      <c r="H723" s="74" t="n"/>
      <c r="I723" s="73" t="n"/>
      <c r="J723" s="113" t="n"/>
      <c r="K723" s="109" t="n"/>
      <c r="L723" s="72" t="n"/>
      <c r="M723" s="109" t="n"/>
      <c r="N723" s="72" t="n"/>
      <c r="O723" s="79">
        <f>IF(AND(F723&lt;&gt;"",L723&lt;&gt;"Resolved"),1,0)</f>
        <v/>
      </c>
      <c r="P723" s="79">
        <f>IF(F723="","",IF(O723=0,0,IF(H723="High",2,1)))</f>
        <v/>
      </c>
      <c r="Q723" s="112">
        <f>IF(O723=1,IF(K723&lt;&gt;"",K723,IF(H723="High",AsOf,"")),"")</f>
        <v/>
      </c>
      <c r="R723" s="79">
        <f>IF(Q723="","",IF(H723="High",1,IF(Q723="","",IF(Q723&lt;AsOf,1,IF(Q723&lt;=AsOf+AlertDays,2,IF(Q723&lt;=AsOf+2*AlertDays,3,""))))))</f>
        <v/>
      </c>
      <c r="S723" s="79">
        <f>IF(R723="","",IF(H723="High","High-severity issue: ",IF(C723="Punch item","Punch item: ","Issue action due: "))&amp;F723&amp;IF(J723="",""," → "&amp;J723))</f>
        <v/>
      </c>
      <c r="T723" s="79">
        <f>IF(O723=1,IF(I723="",0,I723),0)</f>
        <v/>
      </c>
      <c r="U723" s="79">
        <f>IF(AND(O723=1,H723="High"),1,0)</f>
        <v/>
      </c>
      <c r="V723" s="79">
        <f>IF(AND(O723=1,C723="Punch item"),1,0)</f>
        <v/>
      </c>
    </row>
    <row r="724" ht="24" customHeight="1">
      <c r="B724" s="125" t="n">
        <v>717</v>
      </c>
      <c r="C724" s="72" t="n"/>
      <c r="D724" s="109" t="n"/>
      <c r="E724" s="72" t="n"/>
      <c r="F724" s="113" t="n"/>
      <c r="G724" s="72" t="n"/>
      <c r="H724" s="74" t="n"/>
      <c r="I724" s="73" t="n"/>
      <c r="J724" s="113" t="n"/>
      <c r="K724" s="109" t="n"/>
      <c r="L724" s="72" t="n"/>
      <c r="M724" s="109" t="n"/>
      <c r="N724" s="72" t="n"/>
      <c r="O724" s="79">
        <f>IF(AND(F724&lt;&gt;"",L724&lt;&gt;"Resolved"),1,0)</f>
        <v/>
      </c>
      <c r="P724" s="79">
        <f>IF(F724="","",IF(O724=0,0,IF(H724="High",2,1)))</f>
        <v/>
      </c>
      <c r="Q724" s="112">
        <f>IF(O724=1,IF(K724&lt;&gt;"",K724,IF(H724="High",AsOf,"")),"")</f>
        <v/>
      </c>
      <c r="R724" s="79">
        <f>IF(Q724="","",IF(H724="High",1,IF(Q724="","",IF(Q724&lt;AsOf,1,IF(Q724&lt;=AsOf+AlertDays,2,IF(Q724&lt;=AsOf+2*AlertDays,3,""))))))</f>
        <v/>
      </c>
      <c r="S724" s="79">
        <f>IF(R724="","",IF(H724="High","High-severity issue: ",IF(C724="Punch item","Punch item: ","Issue action due: "))&amp;F724&amp;IF(J724="",""," → "&amp;J724))</f>
        <v/>
      </c>
      <c r="T724" s="79">
        <f>IF(O724=1,IF(I724="",0,I724),0)</f>
        <v/>
      </c>
      <c r="U724" s="79">
        <f>IF(AND(O724=1,H724="High"),1,0)</f>
        <v/>
      </c>
      <c r="V724" s="79">
        <f>IF(AND(O724=1,C724="Punch item"),1,0)</f>
        <v/>
      </c>
    </row>
    <row r="725" ht="24" customHeight="1">
      <c r="B725" s="125" t="n">
        <v>718</v>
      </c>
      <c r="C725" s="72" t="n"/>
      <c r="D725" s="109" t="n"/>
      <c r="E725" s="72" t="n"/>
      <c r="F725" s="113" t="n"/>
      <c r="G725" s="72" t="n"/>
      <c r="H725" s="74" t="n"/>
      <c r="I725" s="73" t="n"/>
      <c r="J725" s="113" t="n"/>
      <c r="K725" s="109" t="n"/>
      <c r="L725" s="72" t="n"/>
      <c r="M725" s="109" t="n"/>
      <c r="N725" s="72" t="n"/>
      <c r="O725" s="79">
        <f>IF(AND(F725&lt;&gt;"",L725&lt;&gt;"Resolved"),1,0)</f>
        <v/>
      </c>
      <c r="P725" s="79">
        <f>IF(F725="","",IF(O725=0,0,IF(H725="High",2,1)))</f>
        <v/>
      </c>
      <c r="Q725" s="112">
        <f>IF(O725=1,IF(K725&lt;&gt;"",K725,IF(H725="High",AsOf,"")),"")</f>
        <v/>
      </c>
      <c r="R725" s="79">
        <f>IF(Q725="","",IF(H725="High",1,IF(Q725="","",IF(Q725&lt;AsOf,1,IF(Q725&lt;=AsOf+AlertDays,2,IF(Q725&lt;=AsOf+2*AlertDays,3,""))))))</f>
        <v/>
      </c>
      <c r="S725" s="79">
        <f>IF(R725="","",IF(H725="High","High-severity issue: ",IF(C725="Punch item","Punch item: ","Issue action due: "))&amp;F725&amp;IF(J725="",""," → "&amp;J725))</f>
        <v/>
      </c>
      <c r="T725" s="79">
        <f>IF(O725=1,IF(I725="",0,I725),0)</f>
        <v/>
      </c>
      <c r="U725" s="79">
        <f>IF(AND(O725=1,H725="High"),1,0)</f>
        <v/>
      </c>
      <c r="V725" s="79">
        <f>IF(AND(O725=1,C725="Punch item"),1,0)</f>
        <v/>
      </c>
    </row>
    <row r="726" ht="24" customHeight="1">
      <c r="B726" s="125" t="n">
        <v>719</v>
      </c>
      <c r="C726" s="72" t="n"/>
      <c r="D726" s="109" t="n"/>
      <c r="E726" s="72" t="n"/>
      <c r="F726" s="113" t="n"/>
      <c r="G726" s="72" t="n"/>
      <c r="H726" s="74" t="n"/>
      <c r="I726" s="73" t="n"/>
      <c r="J726" s="113" t="n"/>
      <c r="K726" s="109" t="n"/>
      <c r="L726" s="72" t="n"/>
      <c r="M726" s="109" t="n"/>
      <c r="N726" s="72" t="n"/>
      <c r="O726" s="79">
        <f>IF(AND(F726&lt;&gt;"",L726&lt;&gt;"Resolved"),1,0)</f>
        <v/>
      </c>
      <c r="P726" s="79">
        <f>IF(F726="","",IF(O726=0,0,IF(H726="High",2,1)))</f>
        <v/>
      </c>
      <c r="Q726" s="112">
        <f>IF(O726=1,IF(K726&lt;&gt;"",K726,IF(H726="High",AsOf,"")),"")</f>
        <v/>
      </c>
      <c r="R726" s="79">
        <f>IF(Q726="","",IF(H726="High",1,IF(Q726="","",IF(Q726&lt;AsOf,1,IF(Q726&lt;=AsOf+AlertDays,2,IF(Q726&lt;=AsOf+2*AlertDays,3,""))))))</f>
        <v/>
      </c>
      <c r="S726" s="79">
        <f>IF(R726="","",IF(H726="High","High-severity issue: ",IF(C726="Punch item","Punch item: ","Issue action due: "))&amp;F726&amp;IF(J726="",""," → "&amp;J726))</f>
        <v/>
      </c>
      <c r="T726" s="79">
        <f>IF(O726=1,IF(I726="",0,I726),0)</f>
        <v/>
      </c>
      <c r="U726" s="79">
        <f>IF(AND(O726=1,H726="High"),1,0)</f>
        <v/>
      </c>
      <c r="V726" s="79">
        <f>IF(AND(O726=1,C726="Punch item"),1,0)</f>
        <v/>
      </c>
    </row>
    <row r="727" ht="24" customHeight="1">
      <c r="B727" s="125" t="n">
        <v>720</v>
      </c>
      <c r="C727" s="72" t="n"/>
      <c r="D727" s="109" t="n"/>
      <c r="E727" s="72" t="n"/>
      <c r="F727" s="113" t="n"/>
      <c r="G727" s="72" t="n"/>
      <c r="H727" s="74" t="n"/>
      <c r="I727" s="73" t="n"/>
      <c r="J727" s="113" t="n"/>
      <c r="K727" s="109" t="n"/>
      <c r="L727" s="72" t="n"/>
      <c r="M727" s="109" t="n"/>
      <c r="N727" s="72" t="n"/>
      <c r="O727" s="79">
        <f>IF(AND(F727&lt;&gt;"",L727&lt;&gt;"Resolved"),1,0)</f>
        <v/>
      </c>
      <c r="P727" s="79">
        <f>IF(F727="","",IF(O727=0,0,IF(H727="High",2,1)))</f>
        <v/>
      </c>
      <c r="Q727" s="112">
        <f>IF(O727=1,IF(K727&lt;&gt;"",K727,IF(H727="High",AsOf,"")),"")</f>
        <v/>
      </c>
      <c r="R727" s="79">
        <f>IF(Q727="","",IF(H727="High",1,IF(Q727="","",IF(Q727&lt;AsOf,1,IF(Q727&lt;=AsOf+AlertDays,2,IF(Q727&lt;=AsOf+2*AlertDays,3,""))))))</f>
        <v/>
      </c>
      <c r="S727" s="79">
        <f>IF(R727="","",IF(H727="High","High-severity issue: ",IF(C727="Punch item","Punch item: ","Issue action due: "))&amp;F727&amp;IF(J727="",""," → "&amp;J727))</f>
        <v/>
      </c>
      <c r="T727" s="79">
        <f>IF(O727=1,IF(I727="",0,I727),0)</f>
        <v/>
      </c>
      <c r="U727" s="79">
        <f>IF(AND(O727=1,H727="High"),1,0)</f>
        <v/>
      </c>
      <c r="V727" s="79">
        <f>IF(AND(O727=1,C727="Punch item"),1,0)</f>
        <v/>
      </c>
    </row>
    <row r="728" ht="24" customHeight="1">
      <c r="B728" s="125" t="n">
        <v>721</v>
      </c>
      <c r="C728" s="72" t="n"/>
      <c r="D728" s="109" t="n"/>
      <c r="E728" s="72" t="n"/>
      <c r="F728" s="113" t="n"/>
      <c r="G728" s="72" t="n"/>
      <c r="H728" s="74" t="n"/>
      <c r="I728" s="73" t="n"/>
      <c r="J728" s="113" t="n"/>
      <c r="K728" s="109" t="n"/>
      <c r="L728" s="72" t="n"/>
      <c r="M728" s="109" t="n"/>
      <c r="N728" s="72" t="n"/>
      <c r="O728" s="79">
        <f>IF(AND(F728&lt;&gt;"",L728&lt;&gt;"Resolved"),1,0)</f>
        <v/>
      </c>
      <c r="P728" s="79">
        <f>IF(F728="","",IF(O728=0,0,IF(H728="High",2,1)))</f>
        <v/>
      </c>
      <c r="Q728" s="112">
        <f>IF(O728=1,IF(K728&lt;&gt;"",K728,IF(H728="High",AsOf,"")),"")</f>
        <v/>
      </c>
      <c r="R728" s="79">
        <f>IF(Q728="","",IF(H728="High",1,IF(Q728="","",IF(Q728&lt;AsOf,1,IF(Q728&lt;=AsOf+AlertDays,2,IF(Q728&lt;=AsOf+2*AlertDays,3,""))))))</f>
        <v/>
      </c>
      <c r="S728" s="79">
        <f>IF(R728="","",IF(H728="High","High-severity issue: ",IF(C728="Punch item","Punch item: ","Issue action due: "))&amp;F728&amp;IF(J728="",""," → "&amp;J728))</f>
        <v/>
      </c>
      <c r="T728" s="79">
        <f>IF(O728=1,IF(I728="",0,I728),0)</f>
        <v/>
      </c>
      <c r="U728" s="79">
        <f>IF(AND(O728=1,H728="High"),1,0)</f>
        <v/>
      </c>
      <c r="V728" s="79">
        <f>IF(AND(O728=1,C728="Punch item"),1,0)</f>
        <v/>
      </c>
    </row>
    <row r="729" ht="24" customHeight="1">
      <c r="B729" s="125" t="n">
        <v>722</v>
      </c>
      <c r="C729" s="72" t="n"/>
      <c r="D729" s="109" t="n"/>
      <c r="E729" s="72" t="n"/>
      <c r="F729" s="113" t="n"/>
      <c r="G729" s="72" t="n"/>
      <c r="H729" s="74" t="n"/>
      <c r="I729" s="73" t="n"/>
      <c r="J729" s="113" t="n"/>
      <c r="K729" s="109" t="n"/>
      <c r="L729" s="72" t="n"/>
      <c r="M729" s="109" t="n"/>
      <c r="N729" s="72" t="n"/>
      <c r="O729" s="79">
        <f>IF(AND(F729&lt;&gt;"",L729&lt;&gt;"Resolved"),1,0)</f>
        <v/>
      </c>
      <c r="P729" s="79">
        <f>IF(F729="","",IF(O729=0,0,IF(H729="High",2,1)))</f>
        <v/>
      </c>
      <c r="Q729" s="112">
        <f>IF(O729=1,IF(K729&lt;&gt;"",K729,IF(H729="High",AsOf,"")),"")</f>
        <v/>
      </c>
      <c r="R729" s="79">
        <f>IF(Q729="","",IF(H729="High",1,IF(Q729="","",IF(Q729&lt;AsOf,1,IF(Q729&lt;=AsOf+AlertDays,2,IF(Q729&lt;=AsOf+2*AlertDays,3,""))))))</f>
        <v/>
      </c>
      <c r="S729" s="79">
        <f>IF(R729="","",IF(H729="High","High-severity issue: ",IF(C729="Punch item","Punch item: ","Issue action due: "))&amp;F729&amp;IF(J729="",""," → "&amp;J729))</f>
        <v/>
      </c>
      <c r="T729" s="79">
        <f>IF(O729=1,IF(I729="",0,I729),0)</f>
        <v/>
      </c>
      <c r="U729" s="79">
        <f>IF(AND(O729=1,H729="High"),1,0)</f>
        <v/>
      </c>
      <c r="V729" s="79">
        <f>IF(AND(O729=1,C729="Punch item"),1,0)</f>
        <v/>
      </c>
    </row>
    <row r="730" ht="24" customHeight="1">
      <c r="B730" s="125" t="n">
        <v>723</v>
      </c>
      <c r="C730" s="72" t="n"/>
      <c r="D730" s="109" t="n"/>
      <c r="E730" s="72" t="n"/>
      <c r="F730" s="113" t="n"/>
      <c r="G730" s="72" t="n"/>
      <c r="H730" s="74" t="n"/>
      <c r="I730" s="73" t="n"/>
      <c r="J730" s="113" t="n"/>
      <c r="K730" s="109" t="n"/>
      <c r="L730" s="72" t="n"/>
      <c r="M730" s="109" t="n"/>
      <c r="N730" s="72" t="n"/>
      <c r="O730" s="79">
        <f>IF(AND(F730&lt;&gt;"",L730&lt;&gt;"Resolved"),1,0)</f>
        <v/>
      </c>
      <c r="P730" s="79">
        <f>IF(F730="","",IF(O730=0,0,IF(H730="High",2,1)))</f>
        <v/>
      </c>
      <c r="Q730" s="112">
        <f>IF(O730=1,IF(K730&lt;&gt;"",K730,IF(H730="High",AsOf,"")),"")</f>
        <v/>
      </c>
      <c r="R730" s="79">
        <f>IF(Q730="","",IF(H730="High",1,IF(Q730="","",IF(Q730&lt;AsOf,1,IF(Q730&lt;=AsOf+AlertDays,2,IF(Q730&lt;=AsOf+2*AlertDays,3,""))))))</f>
        <v/>
      </c>
      <c r="S730" s="79">
        <f>IF(R730="","",IF(H730="High","High-severity issue: ",IF(C730="Punch item","Punch item: ","Issue action due: "))&amp;F730&amp;IF(J730="",""," → "&amp;J730))</f>
        <v/>
      </c>
      <c r="T730" s="79">
        <f>IF(O730=1,IF(I730="",0,I730),0)</f>
        <v/>
      </c>
      <c r="U730" s="79">
        <f>IF(AND(O730=1,H730="High"),1,0)</f>
        <v/>
      </c>
      <c r="V730" s="79">
        <f>IF(AND(O730=1,C730="Punch item"),1,0)</f>
        <v/>
      </c>
    </row>
    <row r="731" ht="24" customHeight="1">
      <c r="B731" s="125" t="n">
        <v>724</v>
      </c>
      <c r="C731" s="72" t="n"/>
      <c r="D731" s="109" t="n"/>
      <c r="E731" s="72" t="n"/>
      <c r="F731" s="113" t="n"/>
      <c r="G731" s="72" t="n"/>
      <c r="H731" s="74" t="n"/>
      <c r="I731" s="73" t="n"/>
      <c r="J731" s="113" t="n"/>
      <c r="K731" s="109" t="n"/>
      <c r="L731" s="72" t="n"/>
      <c r="M731" s="109" t="n"/>
      <c r="N731" s="72" t="n"/>
      <c r="O731" s="79">
        <f>IF(AND(F731&lt;&gt;"",L731&lt;&gt;"Resolved"),1,0)</f>
        <v/>
      </c>
      <c r="P731" s="79">
        <f>IF(F731="","",IF(O731=0,0,IF(H731="High",2,1)))</f>
        <v/>
      </c>
      <c r="Q731" s="112">
        <f>IF(O731=1,IF(K731&lt;&gt;"",K731,IF(H731="High",AsOf,"")),"")</f>
        <v/>
      </c>
      <c r="R731" s="79">
        <f>IF(Q731="","",IF(H731="High",1,IF(Q731="","",IF(Q731&lt;AsOf,1,IF(Q731&lt;=AsOf+AlertDays,2,IF(Q731&lt;=AsOf+2*AlertDays,3,""))))))</f>
        <v/>
      </c>
      <c r="S731" s="79">
        <f>IF(R731="","",IF(H731="High","High-severity issue: ",IF(C731="Punch item","Punch item: ","Issue action due: "))&amp;F731&amp;IF(J731="",""," → "&amp;J731))</f>
        <v/>
      </c>
      <c r="T731" s="79">
        <f>IF(O731=1,IF(I731="",0,I731),0)</f>
        <v/>
      </c>
      <c r="U731" s="79">
        <f>IF(AND(O731=1,H731="High"),1,0)</f>
        <v/>
      </c>
      <c r="V731" s="79">
        <f>IF(AND(O731=1,C731="Punch item"),1,0)</f>
        <v/>
      </c>
    </row>
    <row r="732" ht="24" customHeight="1">
      <c r="B732" s="125" t="n">
        <v>725</v>
      </c>
      <c r="C732" s="72" t="n"/>
      <c r="D732" s="109" t="n"/>
      <c r="E732" s="72" t="n"/>
      <c r="F732" s="113" t="n"/>
      <c r="G732" s="72" t="n"/>
      <c r="H732" s="74" t="n"/>
      <c r="I732" s="73" t="n"/>
      <c r="J732" s="113" t="n"/>
      <c r="K732" s="109" t="n"/>
      <c r="L732" s="72" t="n"/>
      <c r="M732" s="109" t="n"/>
      <c r="N732" s="72" t="n"/>
      <c r="O732" s="79">
        <f>IF(AND(F732&lt;&gt;"",L732&lt;&gt;"Resolved"),1,0)</f>
        <v/>
      </c>
      <c r="P732" s="79">
        <f>IF(F732="","",IF(O732=0,0,IF(H732="High",2,1)))</f>
        <v/>
      </c>
      <c r="Q732" s="112">
        <f>IF(O732=1,IF(K732&lt;&gt;"",K732,IF(H732="High",AsOf,"")),"")</f>
        <v/>
      </c>
      <c r="R732" s="79">
        <f>IF(Q732="","",IF(H732="High",1,IF(Q732="","",IF(Q732&lt;AsOf,1,IF(Q732&lt;=AsOf+AlertDays,2,IF(Q732&lt;=AsOf+2*AlertDays,3,""))))))</f>
        <v/>
      </c>
      <c r="S732" s="79">
        <f>IF(R732="","",IF(H732="High","High-severity issue: ",IF(C732="Punch item","Punch item: ","Issue action due: "))&amp;F732&amp;IF(J732="",""," → "&amp;J732))</f>
        <v/>
      </c>
      <c r="T732" s="79">
        <f>IF(O732=1,IF(I732="",0,I732),0)</f>
        <v/>
      </c>
      <c r="U732" s="79">
        <f>IF(AND(O732=1,H732="High"),1,0)</f>
        <v/>
      </c>
      <c r="V732" s="79">
        <f>IF(AND(O732=1,C732="Punch item"),1,0)</f>
        <v/>
      </c>
    </row>
    <row r="733" ht="24" customHeight="1">
      <c r="B733" s="125" t="n">
        <v>726</v>
      </c>
      <c r="C733" s="72" t="n"/>
      <c r="D733" s="109" t="n"/>
      <c r="E733" s="72" t="n"/>
      <c r="F733" s="113" t="n"/>
      <c r="G733" s="72" t="n"/>
      <c r="H733" s="74" t="n"/>
      <c r="I733" s="73" t="n"/>
      <c r="J733" s="113" t="n"/>
      <c r="K733" s="109" t="n"/>
      <c r="L733" s="72" t="n"/>
      <c r="M733" s="109" t="n"/>
      <c r="N733" s="72" t="n"/>
      <c r="O733" s="79">
        <f>IF(AND(F733&lt;&gt;"",L733&lt;&gt;"Resolved"),1,0)</f>
        <v/>
      </c>
      <c r="P733" s="79">
        <f>IF(F733="","",IF(O733=0,0,IF(H733="High",2,1)))</f>
        <v/>
      </c>
      <c r="Q733" s="112">
        <f>IF(O733=1,IF(K733&lt;&gt;"",K733,IF(H733="High",AsOf,"")),"")</f>
        <v/>
      </c>
      <c r="R733" s="79">
        <f>IF(Q733="","",IF(H733="High",1,IF(Q733="","",IF(Q733&lt;AsOf,1,IF(Q733&lt;=AsOf+AlertDays,2,IF(Q733&lt;=AsOf+2*AlertDays,3,""))))))</f>
        <v/>
      </c>
      <c r="S733" s="79">
        <f>IF(R733="","",IF(H733="High","High-severity issue: ",IF(C733="Punch item","Punch item: ","Issue action due: "))&amp;F733&amp;IF(J733="",""," → "&amp;J733))</f>
        <v/>
      </c>
      <c r="T733" s="79">
        <f>IF(O733=1,IF(I733="",0,I733),0)</f>
        <v/>
      </c>
      <c r="U733" s="79">
        <f>IF(AND(O733=1,H733="High"),1,0)</f>
        <v/>
      </c>
      <c r="V733" s="79">
        <f>IF(AND(O733=1,C733="Punch item"),1,0)</f>
        <v/>
      </c>
    </row>
    <row r="734" ht="24" customHeight="1">
      <c r="B734" s="125" t="n">
        <v>727</v>
      </c>
      <c r="C734" s="72" t="n"/>
      <c r="D734" s="109" t="n"/>
      <c r="E734" s="72" t="n"/>
      <c r="F734" s="113" t="n"/>
      <c r="G734" s="72" t="n"/>
      <c r="H734" s="74" t="n"/>
      <c r="I734" s="73" t="n"/>
      <c r="J734" s="113" t="n"/>
      <c r="K734" s="109" t="n"/>
      <c r="L734" s="72" t="n"/>
      <c r="M734" s="109" t="n"/>
      <c r="N734" s="72" t="n"/>
      <c r="O734" s="79">
        <f>IF(AND(F734&lt;&gt;"",L734&lt;&gt;"Resolved"),1,0)</f>
        <v/>
      </c>
      <c r="P734" s="79">
        <f>IF(F734="","",IF(O734=0,0,IF(H734="High",2,1)))</f>
        <v/>
      </c>
      <c r="Q734" s="112">
        <f>IF(O734=1,IF(K734&lt;&gt;"",K734,IF(H734="High",AsOf,"")),"")</f>
        <v/>
      </c>
      <c r="R734" s="79">
        <f>IF(Q734="","",IF(H734="High",1,IF(Q734="","",IF(Q734&lt;AsOf,1,IF(Q734&lt;=AsOf+AlertDays,2,IF(Q734&lt;=AsOf+2*AlertDays,3,""))))))</f>
        <v/>
      </c>
      <c r="S734" s="79">
        <f>IF(R734="","",IF(H734="High","High-severity issue: ",IF(C734="Punch item","Punch item: ","Issue action due: "))&amp;F734&amp;IF(J734="",""," → "&amp;J734))</f>
        <v/>
      </c>
      <c r="T734" s="79">
        <f>IF(O734=1,IF(I734="",0,I734),0)</f>
        <v/>
      </c>
      <c r="U734" s="79">
        <f>IF(AND(O734=1,H734="High"),1,0)</f>
        <v/>
      </c>
      <c r="V734" s="79">
        <f>IF(AND(O734=1,C734="Punch item"),1,0)</f>
        <v/>
      </c>
    </row>
    <row r="735" ht="24" customHeight="1">
      <c r="B735" s="125" t="n">
        <v>728</v>
      </c>
      <c r="C735" s="72" t="n"/>
      <c r="D735" s="109" t="n"/>
      <c r="E735" s="72" t="n"/>
      <c r="F735" s="113" t="n"/>
      <c r="G735" s="72" t="n"/>
      <c r="H735" s="74" t="n"/>
      <c r="I735" s="73" t="n"/>
      <c r="J735" s="113" t="n"/>
      <c r="K735" s="109" t="n"/>
      <c r="L735" s="72" t="n"/>
      <c r="M735" s="109" t="n"/>
      <c r="N735" s="72" t="n"/>
      <c r="O735" s="79">
        <f>IF(AND(F735&lt;&gt;"",L735&lt;&gt;"Resolved"),1,0)</f>
        <v/>
      </c>
      <c r="P735" s="79">
        <f>IF(F735="","",IF(O735=0,0,IF(H735="High",2,1)))</f>
        <v/>
      </c>
      <c r="Q735" s="112">
        <f>IF(O735=1,IF(K735&lt;&gt;"",K735,IF(H735="High",AsOf,"")),"")</f>
        <v/>
      </c>
      <c r="R735" s="79">
        <f>IF(Q735="","",IF(H735="High",1,IF(Q735="","",IF(Q735&lt;AsOf,1,IF(Q735&lt;=AsOf+AlertDays,2,IF(Q735&lt;=AsOf+2*AlertDays,3,""))))))</f>
        <v/>
      </c>
      <c r="S735" s="79">
        <f>IF(R735="","",IF(H735="High","High-severity issue: ",IF(C735="Punch item","Punch item: ","Issue action due: "))&amp;F735&amp;IF(J735="",""," → "&amp;J735))</f>
        <v/>
      </c>
      <c r="T735" s="79">
        <f>IF(O735=1,IF(I735="",0,I735),0)</f>
        <v/>
      </c>
      <c r="U735" s="79">
        <f>IF(AND(O735=1,H735="High"),1,0)</f>
        <v/>
      </c>
      <c r="V735" s="79">
        <f>IF(AND(O735=1,C735="Punch item"),1,0)</f>
        <v/>
      </c>
    </row>
    <row r="736" ht="24" customHeight="1">
      <c r="B736" s="125" t="n">
        <v>729</v>
      </c>
      <c r="C736" s="72" t="n"/>
      <c r="D736" s="109" t="n"/>
      <c r="E736" s="72" t="n"/>
      <c r="F736" s="113" t="n"/>
      <c r="G736" s="72" t="n"/>
      <c r="H736" s="74" t="n"/>
      <c r="I736" s="73" t="n"/>
      <c r="J736" s="113" t="n"/>
      <c r="K736" s="109" t="n"/>
      <c r="L736" s="72" t="n"/>
      <c r="M736" s="109" t="n"/>
      <c r="N736" s="72" t="n"/>
      <c r="O736" s="79">
        <f>IF(AND(F736&lt;&gt;"",L736&lt;&gt;"Resolved"),1,0)</f>
        <v/>
      </c>
      <c r="P736" s="79">
        <f>IF(F736="","",IF(O736=0,0,IF(H736="High",2,1)))</f>
        <v/>
      </c>
      <c r="Q736" s="112">
        <f>IF(O736=1,IF(K736&lt;&gt;"",K736,IF(H736="High",AsOf,"")),"")</f>
        <v/>
      </c>
      <c r="R736" s="79">
        <f>IF(Q736="","",IF(H736="High",1,IF(Q736="","",IF(Q736&lt;AsOf,1,IF(Q736&lt;=AsOf+AlertDays,2,IF(Q736&lt;=AsOf+2*AlertDays,3,""))))))</f>
        <v/>
      </c>
      <c r="S736" s="79">
        <f>IF(R736="","",IF(H736="High","High-severity issue: ",IF(C736="Punch item","Punch item: ","Issue action due: "))&amp;F736&amp;IF(J736="",""," → "&amp;J736))</f>
        <v/>
      </c>
      <c r="T736" s="79">
        <f>IF(O736=1,IF(I736="",0,I736),0)</f>
        <v/>
      </c>
      <c r="U736" s="79">
        <f>IF(AND(O736=1,H736="High"),1,0)</f>
        <v/>
      </c>
      <c r="V736" s="79">
        <f>IF(AND(O736=1,C736="Punch item"),1,0)</f>
        <v/>
      </c>
    </row>
    <row r="737" ht="24" customHeight="1">
      <c r="B737" s="125" t="n">
        <v>730</v>
      </c>
      <c r="C737" s="72" t="n"/>
      <c r="D737" s="109" t="n"/>
      <c r="E737" s="72" t="n"/>
      <c r="F737" s="113" t="n"/>
      <c r="G737" s="72" t="n"/>
      <c r="H737" s="74" t="n"/>
      <c r="I737" s="73" t="n"/>
      <c r="J737" s="113" t="n"/>
      <c r="K737" s="109" t="n"/>
      <c r="L737" s="72" t="n"/>
      <c r="M737" s="109" t="n"/>
      <c r="N737" s="72" t="n"/>
      <c r="O737" s="79">
        <f>IF(AND(F737&lt;&gt;"",L737&lt;&gt;"Resolved"),1,0)</f>
        <v/>
      </c>
      <c r="P737" s="79">
        <f>IF(F737="","",IF(O737=0,0,IF(H737="High",2,1)))</f>
        <v/>
      </c>
      <c r="Q737" s="112">
        <f>IF(O737=1,IF(K737&lt;&gt;"",K737,IF(H737="High",AsOf,"")),"")</f>
        <v/>
      </c>
      <c r="R737" s="79">
        <f>IF(Q737="","",IF(H737="High",1,IF(Q737="","",IF(Q737&lt;AsOf,1,IF(Q737&lt;=AsOf+AlertDays,2,IF(Q737&lt;=AsOf+2*AlertDays,3,""))))))</f>
        <v/>
      </c>
      <c r="S737" s="79">
        <f>IF(R737="","",IF(H737="High","High-severity issue: ",IF(C737="Punch item","Punch item: ","Issue action due: "))&amp;F737&amp;IF(J737="",""," → "&amp;J737))</f>
        <v/>
      </c>
      <c r="T737" s="79">
        <f>IF(O737=1,IF(I737="",0,I737),0)</f>
        <v/>
      </c>
      <c r="U737" s="79">
        <f>IF(AND(O737=1,H737="High"),1,0)</f>
        <v/>
      </c>
      <c r="V737" s="79">
        <f>IF(AND(O737=1,C737="Punch item"),1,0)</f>
        <v/>
      </c>
    </row>
    <row r="738" ht="24" customHeight="1">
      <c r="B738" s="125" t="n">
        <v>731</v>
      </c>
      <c r="C738" s="72" t="n"/>
      <c r="D738" s="109" t="n"/>
      <c r="E738" s="72" t="n"/>
      <c r="F738" s="113" t="n"/>
      <c r="G738" s="72" t="n"/>
      <c r="H738" s="74" t="n"/>
      <c r="I738" s="73" t="n"/>
      <c r="J738" s="113" t="n"/>
      <c r="K738" s="109" t="n"/>
      <c r="L738" s="72" t="n"/>
      <c r="M738" s="109" t="n"/>
      <c r="N738" s="72" t="n"/>
      <c r="O738" s="79">
        <f>IF(AND(F738&lt;&gt;"",L738&lt;&gt;"Resolved"),1,0)</f>
        <v/>
      </c>
      <c r="P738" s="79">
        <f>IF(F738="","",IF(O738=0,0,IF(H738="High",2,1)))</f>
        <v/>
      </c>
      <c r="Q738" s="112">
        <f>IF(O738=1,IF(K738&lt;&gt;"",K738,IF(H738="High",AsOf,"")),"")</f>
        <v/>
      </c>
      <c r="R738" s="79">
        <f>IF(Q738="","",IF(H738="High",1,IF(Q738="","",IF(Q738&lt;AsOf,1,IF(Q738&lt;=AsOf+AlertDays,2,IF(Q738&lt;=AsOf+2*AlertDays,3,""))))))</f>
        <v/>
      </c>
      <c r="S738" s="79">
        <f>IF(R738="","",IF(H738="High","High-severity issue: ",IF(C738="Punch item","Punch item: ","Issue action due: "))&amp;F738&amp;IF(J738="",""," → "&amp;J738))</f>
        <v/>
      </c>
      <c r="T738" s="79">
        <f>IF(O738=1,IF(I738="",0,I738),0)</f>
        <v/>
      </c>
      <c r="U738" s="79">
        <f>IF(AND(O738=1,H738="High"),1,0)</f>
        <v/>
      </c>
      <c r="V738" s="79">
        <f>IF(AND(O738=1,C738="Punch item"),1,0)</f>
        <v/>
      </c>
    </row>
    <row r="739" ht="24" customHeight="1">
      <c r="B739" s="125" t="n">
        <v>732</v>
      </c>
      <c r="C739" s="72" t="n"/>
      <c r="D739" s="109" t="n"/>
      <c r="E739" s="72" t="n"/>
      <c r="F739" s="113" t="n"/>
      <c r="G739" s="72" t="n"/>
      <c r="H739" s="74" t="n"/>
      <c r="I739" s="73" t="n"/>
      <c r="J739" s="113" t="n"/>
      <c r="K739" s="109" t="n"/>
      <c r="L739" s="72" t="n"/>
      <c r="M739" s="109" t="n"/>
      <c r="N739" s="72" t="n"/>
      <c r="O739" s="79">
        <f>IF(AND(F739&lt;&gt;"",L739&lt;&gt;"Resolved"),1,0)</f>
        <v/>
      </c>
      <c r="P739" s="79">
        <f>IF(F739="","",IF(O739=0,0,IF(H739="High",2,1)))</f>
        <v/>
      </c>
      <c r="Q739" s="112">
        <f>IF(O739=1,IF(K739&lt;&gt;"",K739,IF(H739="High",AsOf,"")),"")</f>
        <v/>
      </c>
      <c r="R739" s="79">
        <f>IF(Q739="","",IF(H739="High",1,IF(Q739="","",IF(Q739&lt;AsOf,1,IF(Q739&lt;=AsOf+AlertDays,2,IF(Q739&lt;=AsOf+2*AlertDays,3,""))))))</f>
        <v/>
      </c>
      <c r="S739" s="79">
        <f>IF(R739="","",IF(H739="High","High-severity issue: ",IF(C739="Punch item","Punch item: ","Issue action due: "))&amp;F739&amp;IF(J739="",""," → "&amp;J739))</f>
        <v/>
      </c>
      <c r="T739" s="79">
        <f>IF(O739=1,IF(I739="",0,I739),0)</f>
        <v/>
      </c>
      <c r="U739" s="79">
        <f>IF(AND(O739=1,H739="High"),1,0)</f>
        <v/>
      </c>
      <c r="V739" s="79">
        <f>IF(AND(O739=1,C739="Punch item"),1,0)</f>
        <v/>
      </c>
    </row>
    <row r="740" ht="24" customHeight="1">
      <c r="B740" s="125" t="n">
        <v>733</v>
      </c>
      <c r="C740" s="72" t="n"/>
      <c r="D740" s="109" t="n"/>
      <c r="E740" s="72" t="n"/>
      <c r="F740" s="113" t="n"/>
      <c r="G740" s="72" t="n"/>
      <c r="H740" s="74" t="n"/>
      <c r="I740" s="73" t="n"/>
      <c r="J740" s="113" t="n"/>
      <c r="K740" s="109" t="n"/>
      <c r="L740" s="72" t="n"/>
      <c r="M740" s="109" t="n"/>
      <c r="N740" s="72" t="n"/>
      <c r="O740" s="79">
        <f>IF(AND(F740&lt;&gt;"",L740&lt;&gt;"Resolved"),1,0)</f>
        <v/>
      </c>
      <c r="P740" s="79">
        <f>IF(F740="","",IF(O740=0,0,IF(H740="High",2,1)))</f>
        <v/>
      </c>
      <c r="Q740" s="112">
        <f>IF(O740=1,IF(K740&lt;&gt;"",K740,IF(H740="High",AsOf,"")),"")</f>
        <v/>
      </c>
      <c r="R740" s="79">
        <f>IF(Q740="","",IF(H740="High",1,IF(Q740="","",IF(Q740&lt;AsOf,1,IF(Q740&lt;=AsOf+AlertDays,2,IF(Q740&lt;=AsOf+2*AlertDays,3,""))))))</f>
        <v/>
      </c>
      <c r="S740" s="79">
        <f>IF(R740="","",IF(H740="High","High-severity issue: ",IF(C740="Punch item","Punch item: ","Issue action due: "))&amp;F740&amp;IF(J740="",""," → "&amp;J740))</f>
        <v/>
      </c>
      <c r="T740" s="79">
        <f>IF(O740=1,IF(I740="",0,I740),0)</f>
        <v/>
      </c>
      <c r="U740" s="79">
        <f>IF(AND(O740=1,H740="High"),1,0)</f>
        <v/>
      </c>
      <c r="V740" s="79">
        <f>IF(AND(O740=1,C740="Punch item"),1,0)</f>
        <v/>
      </c>
    </row>
    <row r="741" ht="24" customHeight="1">
      <c r="B741" s="125" t="n">
        <v>734</v>
      </c>
      <c r="C741" s="72" t="n"/>
      <c r="D741" s="109" t="n"/>
      <c r="E741" s="72" t="n"/>
      <c r="F741" s="113" t="n"/>
      <c r="G741" s="72" t="n"/>
      <c r="H741" s="74" t="n"/>
      <c r="I741" s="73" t="n"/>
      <c r="J741" s="113" t="n"/>
      <c r="K741" s="109" t="n"/>
      <c r="L741" s="72" t="n"/>
      <c r="M741" s="109" t="n"/>
      <c r="N741" s="72" t="n"/>
      <c r="O741" s="79">
        <f>IF(AND(F741&lt;&gt;"",L741&lt;&gt;"Resolved"),1,0)</f>
        <v/>
      </c>
      <c r="P741" s="79">
        <f>IF(F741="","",IF(O741=0,0,IF(H741="High",2,1)))</f>
        <v/>
      </c>
      <c r="Q741" s="112">
        <f>IF(O741=1,IF(K741&lt;&gt;"",K741,IF(H741="High",AsOf,"")),"")</f>
        <v/>
      </c>
      <c r="R741" s="79">
        <f>IF(Q741="","",IF(H741="High",1,IF(Q741="","",IF(Q741&lt;AsOf,1,IF(Q741&lt;=AsOf+AlertDays,2,IF(Q741&lt;=AsOf+2*AlertDays,3,""))))))</f>
        <v/>
      </c>
      <c r="S741" s="79">
        <f>IF(R741="","",IF(H741="High","High-severity issue: ",IF(C741="Punch item","Punch item: ","Issue action due: "))&amp;F741&amp;IF(J741="",""," → "&amp;J741))</f>
        <v/>
      </c>
      <c r="T741" s="79">
        <f>IF(O741=1,IF(I741="",0,I741),0)</f>
        <v/>
      </c>
      <c r="U741" s="79">
        <f>IF(AND(O741=1,H741="High"),1,0)</f>
        <v/>
      </c>
      <c r="V741" s="79">
        <f>IF(AND(O741=1,C741="Punch item"),1,0)</f>
        <v/>
      </c>
    </row>
    <row r="742" ht="24" customHeight="1">
      <c r="B742" s="125" t="n">
        <v>735</v>
      </c>
      <c r="C742" s="72" t="n"/>
      <c r="D742" s="109" t="n"/>
      <c r="E742" s="72" t="n"/>
      <c r="F742" s="113" t="n"/>
      <c r="G742" s="72" t="n"/>
      <c r="H742" s="74" t="n"/>
      <c r="I742" s="73" t="n"/>
      <c r="J742" s="113" t="n"/>
      <c r="K742" s="109" t="n"/>
      <c r="L742" s="72" t="n"/>
      <c r="M742" s="109" t="n"/>
      <c r="N742" s="72" t="n"/>
      <c r="O742" s="79">
        <f>IF(AND(F742&lt;&gt;"",L742&lt;&gt;"Resolved"),1,0)</f>
        <v/>
      </c>
      <c r="P742" s="79">
        <f>IF(F742="","",IF(O742=0,0,IF(H742="High",2,1)))</f>
        <v/>
      </c>
      <c r="Q742" s="112">
        <f>IF(O742=1,IF(K742&lt;&gt;"",K742,IF(H742="High",AsOf,"")),"")</f>
        <v/>
      </c>
      <c r="R742" s="79">
        <f>IF(Q742="","",IF(H742="High",1,IF(Q742="","",IF(Q742&lt;AsOf,1,IF(Q742&lt;=AsOf+AlertDays,2,IF(Q742&lt;=AsOf+2*AlertDays,3,""))))))</f>
        <v/>
      </c>
      <c r="S742" s="79">
        <f>IF(R742="","",IF(H742="High","High-severity issue: ",IF(C742="Punch item","Punch item: ","Issue action due: "))&amp;F742&amp;IF(J742="",""," → "&amp;J742))</f>
        <v/>
      </c>
      <c r="T742" s="79">
        <f>IF(O742=1,IF(I742="",0,I742),0)</f>
        <v/>
      </c>
      <c r="U742" s="79">
        <f>IF(AND(O742=1,H742="High"),1,0)</f>
        <v/>
      </c>
      <c r="V742" s="79">
        <f>IF(AND(O742=1,C742="Punch item"),1,0)</f>
        <v/>
      </c>
    </row>
    <row r="743" ht="24" customHeight="1">
      <c r="B743" s="125" t="n">
        <v>736</v>
      </c>
      <c r="C743" s="72" t="n"/>
      <c r="D743" s="109" t="n"/>
      <c r="E743" s="72" t="n"/>
      <c r="F743" s="113" t="n"/>
      <c r="G743" s="72" t="n"/>
      <c r="H743" s="74" t="n"/>
      <c r="I743" s="73" t="n"/>
      <c r="J743" s="113" t="n"/>
      <c r="K743" s="109" t="n"/>
      <c r="L743" s="72" t="n"/>
      <c r="M743" s="109" t="n"/>
      <c r="N743" s="72" t="n"/>
      <c r="O743" s="79">
        <f>IF(AND(F743&lt;&gt;"",L743&lt;&gt;"Resolved"),1,0)</f>
        <v/>
      </c>
      <c r="P743" s="79">
        <f>IF(F743="","",IF(O743=0,0,IF(H743="High",2,1)))</f>
        <v/>
      </c>
      <c r="Q743" s="112">
        <f>IF(O743=1,IF(K743&lt;&gt;"",K743,IF(H743="High",AsOf,"")),"")</f>
        <v/>
      </c>
      <c r="R743" s="79">
        <f>IF(Q743="","",IF(H743="High",1,IF(Q743="","",IF(Q743&lt;AsOf,1,IF(Q743&lt;=AsOf+AlertDays,2,IF(Q743&lt;=AsOf+2*AlertDays,3,""))))))</f>
        <v/>
      </c>
      <c r="S743" s="79">
        <f>IF(R743="","",IF(H743="High","High-severity issue: ",IF(C743="Punch item","Punch item: ","Issue action due: "))&amp;F743&amp;IF(J743="",""," → "&amp;J743))</f>
        <v/>
      </c>
      <c r="T743" s="79">
        <f>IF(O743=1,IF(I743="",0,I743),0)</f>
        <v/>
      </c>
      <c r="U743" s="79">
        <f>IF(AND(O743=1,H743="High"),1,0)</f>
        <v/>
      </c>
      <c r="V743" s="79">
        <f>IF(AND(O743=1,C743="Punch item"),1,0)</f>
        <v/>
      </c>
    </row>
    <row r="744" ht="24" customHeight="1">
      <c r="B744" s="125" t="n">
        <v>737</v>
      </c>
      <c r="C744" s="72" t="n"/>
      <c r="D744" s="109" t="n"/>
      <c r="E744" s="72" t="n"/>
      <c r="F744" s="113" t="n"/>
      <c r="G744" s="72" t="n"/>
      <c r="H744" s="74" t="n"/>
      <c r="I744" s="73" t="n"/>
      <c r="J744" s="113" t="n"/>
      <c r="K744" s="109" t="n"/>
      <c r="L744" s="72" t="n"/>
      <c r="M744" s="109" t="n"/>
      <c r="N744" s="72" t="n"/>
      <c r="O744" s="79">
        <f>IF(AND(F744&lt;&gt;"",L744&lt;&gt;"Resolved"),1,0)</f>
        <v/>
      </c>
      <c r="P744" s="79">
        <f>IF(F744="","",IF(O744=0,0,IF(H744="High",2,1)))</f>
        <v/>
      </c>
      <c r="Q744" s="112">
        <f>IF(O744=1,IF(K744&lt;&gt;"",K744,IF(H744="High",AsOf,"")),"")</f>
        <v/>
      </c>
      <c r="R744" s="79">
        <f>IF(Q744="","",IF(H744="High",1,IF(Q744="","",IF(Q744&lt;AsOf,1,IF(Q744&lt;=AsOf+AlertDays,2,IF(Q744&lt;=AsOf+2*AlertDays,3,""))))))</f>
        <v/>
      </c>
      <c r="S744" s="79">
        <f>IF(R744="","",IF(H744="High","High-severity issue: ",IF(C744="Punch item","Punch item: ","Issue action due: "))&amp;F744&amp;IF(J744="",""," → "&amp;J744))</f>
        <v/>
      </c>
      <c r="T744" s="79">
        <f>IF(O744=1,IF(I744="",0,I744),0)</f>
        <v/>
      </c>
      <c r="U744" s="79">
        <f>IF(AND(O744=1,H744="High"),1,0)</f>
        <v/>
      </c>
      <c r="V744" s="79">
        <f>IF(AND(O744=1,C744="Punch item"),1,0)</f>
        <v/>
      </c>
    </row>
    <row r="745" ht="24" customHeight="1">
      <c r="B745" s="125" t="n">
        <v>738</v>
      </c>
      <c r="C745" s="72" t="n"/>
      <c r="D745" s="109" t="n"/>
      <c r="E745" s="72" t="n"/>
      <c r="F745" s="113" t="n"/>
      <c r="G745" s="72" t="n"/>
      <c r="H745" s="74" t="n"/>
      <c r="I745" s="73" t="n"/>
      <c r="J745" s="113" t="n"/>
      <c r="K745" s="109" t="n"/>
      <c r="L745" s="72" t="n"/>
      <c r="M745" s="109" t="n"/>
      <c r="N745" s="72" t="n"/>
      <c r="O745" s="79">
        <f>IF(AND(F745&lt;&gt;"",L745&lt;&gt;"Resolved"),1,0)</f>
        <v/>
      </c>
      <c r="P745" s="79">
        <f>IF(F745="","",IF(O745=0,0,IF(H745="High",2,1)))</f>
        <v/>
      </c>
      <c r="Q745" s="112">
        <f>IF(O745=1,IF(K745&lt;&gt;"",K745,IF(H745="High",AsOf,"")),"")</f>
        <v/>
      </c>
      <c r="R745" s="79">
        <f>IF(Q745="","",IF(H745="High",1,IF(Q745="","",IF(Q745&lt;AsOf,1,IF(Q745&lt;=AsOf+AlertDays,2,IF(Q745&lt;=AsOf+2*AlertDays,3,""))))))</f>
        <v/>
      </c>
      <c r="S745" s="79">
        <f>IF(R745="","",IF(H745="High","High-severity issue: ",IF(C745="Punch item","Punch item: ","Issue action due: "))&amp;F745&amp;IF(J745="",""," → "&amp;J745))</f>
        <v/>
      </c>
      <c r="T745" s="79">
        <f>IF(O745=1,IF(I745="",0,I745),0)</f>
        <v/>
      </c>
      <c r="U745" s="79">
        <f>IF(AND(O745=1,H745="High"),1,0)</f>
        <v/>
      </c>
      <c r="V745" s="79">
        <f>IF(AND(O745=1,C745="Punch item"),1,0)</f>
        <v/>
      </c>
    </row>
    <row r="746" ht="24" customHeight="1">
      <c r="B746" s="125" t="n">
        <v>739</v>
      </c>
      <c r="C746" s="72" t="n"/>
      <c r="D746" s="109" t="n"/>
      <c r="E746" s="72" t="n"/>
      <c r="F746" s="113" t="n"/>
      <c r="G746" s="72" t="n"/>
      <c r="H746" s="74" t="n"/>
      <c r="I746" s="73" t="n"/>
      <c r="J746" s="113" t="n"/>
      <c r="K746" s="109" t="n"/>
      <c r="L746" s="72" t="n"/>
      <c r="M746" s="109" t="n"/>
      <c r="N746" s="72" t="n"/>
      <c r="O746" s="79">
        <f>IF(AND(F746&lt;&gt;"",L746&lt;&gt;"Resolved"),1,0)</f>
        <v/>
      </c>
      <c r="P746" s="79">
        <f>IF(F746="","",IF(O746=0,0,IF(H746="High",2,1)))</f>
        <v/>
      </c>
      <c r="Q746" s="112">
        <f>IF(O746=1,IF(K746&lt;&gt;"",K746,IF(H746="High",AsOf,"")),"")</f>
        <v/>
      </c>
      <c r="R746" s="79">
        <f>IF(Q746="","",IF(H746="High",1,IF(Q746="","",IF(Q746&lt;AsOf,1,IF(Q746&lt;=AsOf+AlertDays,2,IF(Q746&lt;=AsOf+2*AlertDays,3,""))))))</f>
        <v/>
      </c>
      <c r="S746" s="79">
        <f>IF(R746="","",IF(H746="High","High-severity issue: ",IF(C746="Punch item","Punch item: ","Issue action due: "))&amp;F746&amp;IF(J746="",""," → "&amp;J746))</f>
        <v/>
      </c>
      <c r="T746" s="79">
        <f>IF(O746=1,IF(I746="",0,I746),0)</f>
        <v/>
      </c>
      <c r="U746" s="79">
        <f>IF(AND(O746=1,H746="High"),1,0)</f>
        <v/>
      </c>
      <c r="V746" s="79">
        <f>IF(AND(O746=1,C746="Punch item"),1,0)</f>
        <v/>
      </c>
    </row>
    <row r="747" ht="24" customHeight="1">
      <c r="B747" s="125" t="n">
        <v>740</v>
      </c>
      <c r="C747" s="72" t="n"/>
      <c r="D747" s="109" t="n"/>
      <c r="E747" s="72" t="n"/>
      <c r="F747" s="113" t="n"/>
      <c r="G747" s="72" t="n"/>
      <c r="H747" s="74" t="n"/>
      <c r="I747" s="73" t="n"/>
      <c r="J747" s="113" t="n"/>
      <c r="K747" s="109" t="n"/>
      <c r="L747" s="72" t="n"/>
      <c r="M747" s="109" t="n"/>
      <c r="N747" s="72" t="n"/>
      <c r="O747" s="79">
        <f>IF(AND(F747&lt;&gt;"",L747&lt;&gt;"Resolved"),1,0)</f>
        <v/>
      </c>
      <c r="P747" s="79">
        <f>IF(F747="","",IF(O747=0,0,IF(H747="High",2,1)))</f>
        <v/>
      </c>
      <c r="Q747" s="112">
        <f>IF(O747=1,IF(K747&lt;&gt;"",K747,IF(H747="High",AsOf,"")),"")</f>
        <v/>
      </c>
      <c r="R747" s="79">
        <f>IF(Q747="","",IF(H747="High",1,IF(Q747="","",IF(Q747&lt;AsOf,1,IF(Q747&lt;=AsOf+AlertDays,2,IF(Q747&lt;=AsOf+2*AlertDays,3,""))))))</f>
        <v/>
      </c>
      <c r="S747" s="79">
        <f>IF(R747="","",IF(H747="High","High-severity issue: ",IF(C747="Punch item","Punch item: ","Issue action due: "))&amp;F747&amp;IF(J747="",""," → "&amp;J747))</f>
        <v/>
      </c>
      <c r="T747" s="79">
        <f>IF(O747=1,IF(I747="",0,I747),0)</f>
        <v/>
      </c>
      <c r="U747" s="79">
        <f>IF(AND(O747=1,H747="High"),1,0)</f>
        <v/>
      </c>
      <c r="V747" s="79">
        <f>IF(AND(O747=1,C747="Punch item"),1,0)</f>
        <v/>
      </c>
    </row>
    <row r="748" ht="24" customHeight="1">
      <c r="B748" s="125" t="n">
        <v>741</v>
      </c>
      <c r="C748" s="72" t="n"/>
      <c r="D748" s="109" t="n"/>
      <c r="E748" s="72" t="n"/>
      <c r="F748" s="113" t="n"/>
      <c r="G748" s="72" t="n"/>
      <c r="H748" s="74" t="n"/>
      <c r="I748" s="73" t="n"/>
      <c r="J748" s="113" t="n"/>
      <c r="K748" s="109" t="n"/>
      <c r="L748" s="72" t="n"/>
      <c r="M748" s="109" t="n"/>
      <c r="N748" s="72" t="n"/>
      <c r="O748" s="79">
        <f>IF(AND(F748&lt;&gt;"",L748&lt;&gt;"Resolved"),1,0)</f>
        <v/>
      </c>
      <c r="P748" s="79">
        <f>IF(F748="","",IF(O748=0,0,IF(H748="High",2,1)))</f>
        <v/>
      </c>
      <c r="Q748" s="112">
        <f>IF(O748=1,IF(K748&lt;&gt;"",K748,IF(H748="High",AsOf,"")),"")</f>
        <v/>
      </c>
      <c r="R748" s="79">
        <f>IF(Q748="","",IF(H748="High",1,IF(Q748="","",IF(Q748&lt;AsOf,1,IF(Q748&lt;=AsOf+AlertDays,2,IF(Q748&lt;=AsOf+2*AlertDays,3,""))))))</f>
        <v/>
      </c>
      <c r="S748" s="79">
        <f>IF(R748="","",IF(H748="High","High-severity issue: ",IF(C748="Punch item","Punch item: ","Issue action due: "))&amp;F748&amp;IF(J748="",""," → "&amp;J748))</f>
        <v/>
      </c>
      <c r="T748" s="79">
        <f>IF(O748=1,IF(I748="",0,I748),0)</f>
        <v/>
      </c>
      <c r="U748" s="79">
        <f>IF(AND(O748=1,H748="High"),1,0)</f>
        <v/>
      </c>
      <c r="V748" s="79">
        <f>IF(AND(O748=1,C748="Punch item"),1,0)</f>
        <v/>
      </c>
    </row>
    <row r="749" ht="24" customHeight="1">
      <c r="B749" s="125" t="n">
        <v>742</v>
      </c>
      <c r="C749" s="72" t="n"/>
      <c r="D749" s="109" t="n"/>
      <c r="E749" s="72" t="n"/>
      <c r="F749" s="113" t="n"/>
      <c r="G749" s="72" t="n"/>
      <c r="H749" s="74" t="n"/>
      <c r="I749" s="73" t="n"/>
      <c r="J749" s="113" t="n"/>
      <c r="K749" s="109" t="n"/>
      <c r="L749" s="72" t="n"/>
      <c r="M749" s="109" t="n"/>
      <c r="N749" s="72" t="n"/>
      <c r="O749" s="79">
        <f>IF(AND(F749&lt;&gt;"",L749&lt;&gt;"Resolved"),1,0)</f>
        <v/>
      </c>
      <c r="P749" s="79">
        <f>IF(F749="","",IF(O749=0,0,IF(H749="High",2,1)))</f>
        <v/>
      </c>
      <c r="Q749" s="112">
        <f>IF(O749=1,IF(K749&lt;&gt;"",K749,IF(H749="High",AsOf,"")),"")</f>
        <v/>
      </c>
      <c r="R749" s="79">
        <f>IF(Q749="","",IF(H749="High",1,IF(Q749="","",IF(Q749&lt;AsOf,1,IF(Q749&lt;=AsOf+AlertDays,2,IF(Q749&lt;=AsOf+2*AlertDays,3,""))))))</f>
        <v/>
      </c>
      <c r="S749" s="79">
        <f>IF(R749="","",IF(H749="High","High-severity issue: ",IF(C749="Punch item","Punch item: ","Issue action due: "))&amp;F749&amp;IF(J749="",""," → "&amp;J749))</f>
        <v/>
      </c>
      <c r="T749" s="79">
        <f>IF(O749=1,IF(I749="",0,I749),0)</f>
        <v/>
      </c>
      <c r="U749" s="79">
        <f>IF(AND(O749=1,H749="High"),1,0)</f>
        <v/>
      </c>
      <c r="V749" s="79">
        <f>IF(AND(O749=1,C749="Punch item"),1,0)</f>
        <v/>
      </c>
    </row>
    <row r="750" ht="24" customHeight="1">
      <c r="B750" s="125" t="n">
        <v>743</v>
      </c>
      <c r="C750" s="72" t="n"/>
      <c r="D750" s="109" t="n"/>
      <c r="E750" s="72" t="n"/>
      <c r="F750" s="113" t="n"/>
      <c r="G750" s="72" t="n"/>
      <c r="H750" s="74" t="n"/>
      <c r="I750" s="73" t="n"/>
      <c r="J750" s="113" t="n"/>
      <c r="K750" s="109" t="n"/>
      <c r="L750" s="72" t="n"/>
      <c r="M750" s="109" t="n"/>
      <c r="N750" s="72" t="n"/>
      <c r="O750" s="79">
        <f>IF(AND(F750&lt;&gt;"",L750&lt;&gt;"Resolved"),1,0)</f>
        <v/>
      </c>
      <c r="P750" s="79">
        <f>IF(F750="","",IF(O750=0,0,IF(H750="High",2,1)))</f>
        <v/>
      </c>
      <c r="Q750" s="112">
        <f>IF(O750=1,IF(K750&lt;&gt;"",K750,IF(H750="High",AsOf,"")),"")</f>
        <v/>
      </c>
      <c r="R750" s="79">
        <f>IF(Q750="","",IF(H750="High",1,IF(Q750="","",IF(Q750&lt;AsOf,1,IF(Q750&lt;=AsOf+AlertDays,2,IF(Q750&lt;=AsOf+2*AlertDays,3,""))))))</f>
        <v/>
      </c>
      <c r="S750" s="79">
        <f>IF(R750="","",IF(H750="High","High-severity issue: ",IF(C750="Punch item","Punch item: ","Issue action due: "))&amp;F750&amp;IF(J750="",""," → "&amp;J750))</f>
        <v/>
      </c>
      <c r="T750" s="79">
        <f>IF(O750=1,IF(I750="",0,I750),0)</f>
        <v/>
      </c>
      <c r="U750" s="79">
        <f>IF(AND(O750=1,H750="High"),1,0)</f>
        <v/>
      </c>
      <c r="V750" s="79">
        <f>IF(AND(O750=1,C750="Punch item"),1,0)</f>
        <v/>
      </c>
    </row>
    <row r="751" ht="24" customHeight="1">
      <c r="B751" s="125" t="n">
        <v>744</v>
      </c>
      <c r="C751" s="72" t="n"/>
      <c r="D751" s="109" t="n"/>
      <c r="E751" s="72" t="n"/>
      <c r="F751" s="113" t="n"/>
      <c r="G751" s="72" t="n"/>
      <c r="H751" s="74" t="n"/>
      <c r="I751" s="73" t="n"/>
      <c r="J751" s="113" t="n"/>
      <c r="K751" s="109" t="n"/>
      <c r="L751" s="72" t="n"/>
      <c r="M751" s="109" t="n"/>
      <c r="N751" s="72" t="n"/>
      <c r="O751" s="79">
        <f>IF(AND(F751&lt;&gt;"",L751&lt;&gt;"Resolved"),1,0)</f>
        <v/>
      </c>
      <c r="P751" s="79">
        <f>IF(F751="","",IF(O751=0,0,IF(H751="High",2,1)))</f>
        <v/>
      </c>
      <c r="Q751" s="112">
        <f>IF(O751=1,IF(K751&lt;&gt;"",K751,IF(H751="High",AsOf,"")),"")</f>
        <v/>
      </c>
      <c r="R751" s="79">
        <f>IF(Q751="","",IF(H751="High",1,IF(Q751="","",IF(Q751&lt;AsOf,1,IF(Q751&lt;=AsOf+AlertDays,2,IF(Q751&lt;=AsOf+2*AlertDays,3,""))))))</f>
        <v/>
      </c>
      <c r="S751" s="79">
        <f>IF(R751="","",IF(H751="High","High-severity issue: ",IF(C751="Punch item","Punch item: ","Issue action due: "))&amp;F751&amp;IF(J751="",""," → "&amp;J751))</f>
        <v/>
      </c>
      <c r="T751" s="79">
        <f>IF(O751=1,IF(I751="",0,I751),0)</f>
        <v/>
      </c>
      <c r="U751" s="79">
        <f>IF(AND(O751=1,H751="High"),1,0)</f>
        <v/>
      </c>
      <c r="V751" s="79">
        <f>IF(AND(O751=1,C751="Punch item"),1,0)</f>
        <v/>
      </c>
    </row>
    <row r="752" ht="24" customHeight="1">
      <c r="B752" s="125" t="n">
        <v>745</v>
      </c>
      <c r="C752" s="72" t="n"/>
      <c r="D752" s="109" t="n"/>
      <c r="E752" s="72" t="n"/>
      <c r="F752" s="113" t="n"/>
      <c r="G752" s="72" t="n"/>
      <c r="H752" s="74" t="n"/>
      <c r="I752" s="73" t="n"/>
      <c r="J752" s="113" t="n"/>
      <c r="K752" s="109" t="n"/>
      <c r="L752" s="72" t="n"/>
      <c r="M752" s="109" t="n"/>
      <c r="N752" s="72" t="n"/>
      <c r="O752" s="79">
        <f>IF(AND(F752&lt;&gt;"",L752&lt;&gt;"Resolved"),1,0)</f>
        <v/>
      </c>
      <c r="P752" s="79">
        <f>IF(F752="","",IF(O752=0,0,IF(H752="High",2,1)))</f>
        <v/>
      </c>
      <c r="Q752" s="112">
        <f>IF(O752=1,IF(K752&lt;&gt;"",K752,IF(H752="High",AsOf,"")),"")</f>
        <v/>
      </c>
      <c r="R752" s="79">
        <f>IF(Q752="","",IF(H752="High",1,IF(Q752="","",IF(Q752&lt;AsOf,1,IF(Q752&lt;=AsOf+AlertDays,2,IF(Q752&lt;=AsOf+2*AlertDays,3,""))))))</f>
        <v/>
      </c>
      <c r="S752" s="79">
        <f>IF(R752="","",IF(H752="High","High-severity issue: ",IF(C752="Punch item","Punch item: ","Issue action due: "))&amp;F752&amp;IF(J752="",""," → "&amp;J752))</f>
        <v/>
      </c>
      <c r="T752" s="79">
        <f>IF(O752=1,IF(I752="",0,I752),0)</f>
        <v/>
      </c>
      <c r="U752" s="79">
        <f>IF(AND(O752=1,H752="High"),1,0)</f>
        <v/>
      </c>
      <c r="V752" s="79">
        <f>IF(AND(O752=1,C752="Punch item"),1,0)</f>
        <v/>
      </c>
    </row>
    <row r="753" ht="24" customHeight="1">
      <c r="B753" s="125" t="n">
        <v>746</v>
      </c>
      <c r="C753" s="72" t="n"/>
      <c r="D753" s="109" t="n"/>
      <c r="E753" s="72" t="n"/>
      <c r="F753" s="113" t="n"/>
      <c r="G753" s="72" t="n"/>
      <c r="H753" s="74" t="n"/>
      <c r="I753" s="73" t="n"/>
      <c r="J753" s="113" t="n"/>
      <c r="K753" s="109" t="n"/>
      <c r="L753" s="72" t="n"/>
      <c r="M753" s="109" t="n"/>
      <c r="N753" s="72" t="n"/>
      <c r="O753" s="79">
        <f>IF(AND(F753&lt;&gt;"",L753&lt;&gt;"Resolved"),1,0)</f>
        <v/>
      </c>
      <c r="P753" s="79">
        <f>IF(F753="","",IF(O753=0,0,IF(H753="High",2,1)))</f>
        <v/>
      </c>
      <c r="Q753" s="112">
        <f>IF(O753=1,IF(K753&lt;&gt;"",K753,IF(H753="High",AsOf,"")),"")</f>
        <v/>
      </c>
      <c r="R753" s="79">
        <f>IF(Q753="","",IF(H753="High",1,IF(Q753="","",IF(Q753&lt;AsOf,1,IF(Q753&lt;=AsOf+AlertDays,2,IF(Q753&lt;=AsOf+2*AlertDays,3,""))))))</f>
        <v/>
      </c>
      <c r="S753" s="79">
        <f>IF(R753="","",IF(H753="High","High-severity issue: ",IF(C753="Punch item","Punch item: ","Issue action due: "))&amp;F753&amp;IF(J753="",""," → "&amp;J753))</f>
        <v/>
      </c>
      <c r="T753" s="79">
        <f>IF(O753=1,IF(I753="",0,I753),0)</f>
        <v/>
      </c>
      <c r="U753" s="79">
        <f>IF(AND(O753=1,H753="High"),1,0)</f>
        <v/>
      </c>
      <c r="V753" s="79">
        <f>IF(AND(O753=1,C753="Punch item"),1,0)</f>
        <v/>
      </c>
    </row>
    <row r="754" ht="24" customHeight="1">
      <c r="B754" s="125" t="n">
        <v>747</v>
      </c>
      <c r="C754" s="72" t="n"/>
      <c r="D754" s="109" t="n"/>
      <c r="E754" s="72" t="n"/>
      <c r="F754" s="113" t="n"/>
      <c r="G754" s="72" t="n"/>
      <c r="H754" s="74" t="n"/>
      <c r="I754" s="73" t="n"/>
      <c r="J754" s="113" t="n"/>
      <c r="K754" s="109" t="n"/>
      <c r="L754" s="72" t="n"/>
      <c r="M754" s="109" t="n"/>
      <c r="N754" s="72" t="n"/>
      <c r="O754" s="79">
        <f>IF(AND(F754&lt;&gt;"",L754&lt;&gt;"Resolved"),1,0)</f>
        <v/>
      </c>
      <c r="P754" s="79">
        <f>IF(F754="","",IF(O754=0,0,IF(H754="High",2,1)))</f>
        <v/>
      </c>
      <c r="Q754" s="112">
        <f>IF(O754=1,IF(K754&lt;&gt;"",K754,IF(H754="High",AsOf,"")),"")</f>
        <v/>
      </c>
      <c r="R754" s="79">
        <f>IF(Q754="","",IF(H754="High",1,IF(Q754="","",IF(Q754&lt;AsOf,1,IF(Q754&lt;=AsOf+AlertDays,2,IF(Q754&lt;=AsOf+2*AlertDays,3,""))))))</f>
        <v/>
      </c>
      <c r="S754" s="79">
        <f>IF(R754="","",IF(H754="High","High-severity issue: ",IF(C754="Punch item","Punch item: ","Issue action due: "))&amp;F754&amp;IF(J754="",""," → "&amp;J754))</f>
        <v/>
      </c>
      <c r="T754" s="79">
        <f>IF(O754=1,IF(I754="",0,I754),0)</f>
        <v/>
      </c>
      <c r="U754" s="79">
        <f>IF(AND(O754=1,H754="High"),1,0)</f>
        <v/>
      </c>
      <c r="V754" s="79">
        <f>IF(AND(O754=1,C754="Punch item"),1,0)</f>
        <v/>
      </c>
    </row>
    <row r="755" ht="24" customHeight="1">
      <c r="B755" s="125" t="n">
        <v>748</v>
      </c>
      <c r="C755" s="72" t="n"/>
      <c r="D755" s="109" t="n"/>
      <c r="E755" s="72" t="n"/>
      <c r="F755" s="113" t="n"/>
      <c r="G755" s="72" t="n"/>
      <c r="H755" s="74" t="n"/>
      <c r="I755" s="73" t="n"/>
      <c r="J755" s="113" t="n"/>
      <c r="K755" s="109" t="n"/>
      <c r="L755" s="72" t="n"/>
      <c r="M755" s="109" t="n"/>
      <c r="N755" s="72" t="n"/>
      <c r="O755" s="79">
        <f>IF(AND(F755&lt;&gt;"",L755&lt;&gt;"Resolved"),1,0)</f>
        <v/>
      </c>
      <c r="P755" s="79">
        <f>IF(F755="","",IF(O755=0,0,IF(H755="High",2,1)))</f>
        <v/>
      </c>
      <c r="Q755" s="112">
        <f>IF(O755=1,IF(K755&lt;&gt;"",K755,IF(H755="High",AsOf,"")),"")</f>
        <v/>
      </c>
      <c r="R755" s="79">
        <f>IF(Q755="","",IF(H755="High",1,IF(Q755="","",IF(Q755&lt;AsOf,1,IF(Q755&lt;=AsOf+AlertDays,2,IF(Q755&lt;=AsOf+2*AlertDays,3,""))))))</f>
        <v/>
      </c>
      <c r="S755" s="79">
        <f>IF(R755="","",IF(H755="High","High-severity issue: ",IF(C755="Punch item","Punch item: ","Issue action due: "))&amp;F755&amp;IF(J755="",""," → "&amp;J755))</f>
        <v/>
      </c>
      <c r="T755" s="79">
        <f>IF(O755=1,IF(I755="",0,I755),0)</f>
        <v/>
      </c>
      <c r="U755" s="79">
        <f>IF(AND(O755=1,H755="High"),1,0)</f>
        <v/>
      </c>
      <c r="V755" s="79">
        <f>IF(AND(O755=1,C755="Punch item"),1,0)</f>
        <v/>
      </c>
    </row>
    <row r="756" ht="24" customHeight="1">
      <c r="B756" s="125" t="n">
        <v>749</v>
      </c>
      <c r="C756" s="72" t="n"/>
      <c r="D756" s="109" t="n"/>
      <c r="E756" s="72" t="n"/>
      <c r="F756" s="113" t="n"/>
      <c r="G756" s="72" t="n"/>
      <c r="H756" s="74" t="n"/>
      <c r="I756" s="73" t="n"/>
      <c r="J756" s="113" t="n"/>
      <c r="K756" s="109" t="n"/>
      <c r="L756" s="72" t="n"/>
      <c r="M756" s="109" t="n"/>
      <c r="N756" s="72" t="n"/>
      <c r="O756" s="79">
        <f>IF(AND(F756&lt;&gt;"",L756&lt;&gt;"Resolved"),1,0)</f>
        <v/>
      </c>
      <c r="P756" s="79">
        <f>IF(F756="","",IF(O756=0,0,IF(H756="High",2,1)))</f>
        <v/>
      </c>
      <c r="Q756" s="112">
        <f>IF(O756=1,IF(K756&lt;&gt;"",K756,IF(H756="High",AsOf,"")),"")</f>
        <v/>
      </c>
      <c r="R756" s="79">
        <f>IF(Q756="","",IF(H756="High",1,IF(Q756="","",IF(Q756&lt;AsOf,1,IF(Q756&lt;=AsOf+AlertDays,2,IF(Q756&lt;=AsOf+2*AlertDays,3,""))))))</f>
        <v/>
      </c>
      <c r="S756" s="79">
        <f>IF(R756="","",IF(H756="High","High-severity issue: ",IF(C756="Punch item","Punch item: ","Issue action due: "))&amp;F756&amp;IF(J756="",""," → "&amp;J756))</f>
        <v/>
      </c>
      <c r="T756" s="79">
        <f>IF(O756=1,IF(I756="",0,I756),0)</f>
        <v/>
      </c>
      <c r="U756" s="79">
        <f>IF(AND(O756=1,H756="High"),1,0)</f>
        <v/>
      </c>
      <c r="V756" s="79">
        <f>IF(AND(O756=1,C756="Punch item"),1,0)</f>
        <v/>
      </c>
    </row>
    <row r="757" ht="24" customHeight="1">
      <c r="B757" s="125" t="n">
        <v>750</v>
      </c>
      <c r="C757" s="72" t="n"/>
      <c r="D757" s="109" t="n"/>
      <c r="E757" s="72" t="n"/>
      <c r="F757" s="113" t="n"/>
      <c r="G757" s="72" t="n"/>
      <c r="H757" s="74" t="n"/>
      <c r="I757" s="73" t="n"/>
      <c r="J757" s="113" t="n"/>
      <c r="K757" s="109" t="n"/>
      <c r="L757" s="72" t="n"/>
      <c r="M757" s="109" t="n"/>
      <c r="N757" s="72" t="n"/>
      <c r="O757" s="79">
        <f>IF(AND(F757&lt;&gt;"",L757&lt;&gt;"Resolved"),1,0)</f>
        <v/>
      </c>
      <c r="P757" s="79">
        <f>IF(F757="","",IF(O757=0,0,IF(H757="High",2,1)))</f>
        <v/>
      </c>
      <c r="Q757" s="112">
        <f>IF(O757=1,IF(K757&lt;&gt;"",K757,IF(H757="High",AsOf,"")),"")</f>
        <v/>
      </c>
      <c r="R757" s="79">
        <f>IF(Q757="","",IF(H757="High",1,IF(Q757="","",IF(Q757&lt;AsOf,1,IF(Q757&lt;=AsOf+AlertDays,2,IF(Q757&lt;=AsOf+2*AlertDays,3,""))))))</f>
        <v/>
      </c>
      <c r="S757" s="79">
        <f>IF(R757="","",IF(H757="High","High-severity issue: ",IF(C757="Punch item","Punch item: ","Issue action due: "))&amp;F757&amp;IF(J757="",""," → "&amp;J757))</f>
        <v/>
      </c>
      <c r="T757" s="79">
        <f>IF(O757=1,IF(I757="",0,I757),0)</f>
        <v/>
      </c>
      <c r="U757" s="79">
        <f>IF(AND(O757=1,H757="High"),1,0)</f>
        <v/>
      </c>
      <c r="V757" s="79">
        <f>IF(AND(O757=1,C757="Punch item"),1,0)</f>
        <v/>
      </c>
    </row>
    <row r="758" ht="24" customHeight="1">
      <c r="B758" s="125" t="n">
        <v>751</v>
      </c>
      <c r="C758" s="72" t="n"/>
      <c r="D758" s="109" t="n"/>
      <c r="E758" s="72" t="n"/>
      <c r="F758" s="113" t="n"/>
      <c r="G758" s="72" t="n"/>
      <c r="H758" s="74" t="n"/>
      <c r="I758" s="73" t="n"/>
      <c r="J758" s="113" t="n"/>
      <c r="K758" s="109" t="n"/>
      <c r="L758" s="72" t="n"/>
      <c r="M758" s="109" t="n"/>
      <c r="N758" s="72" t="n"/>
      <c r="O758" s="79">
        <f>IF(AND(F758&lt;&gt;"",L758&lt;&gt;"Resolved"),1,0)</f>
        <v/>
      </c>
      <c r="P758" s="79">
        <f>IF(F758="","",IF(O758=0,0,IF(H758="High",2,1)))</f>
        <v/>
      </c>
      <c r="Q758" s="112">
        <f>IF(O758=1,IF(K758&lt;&gt;"",K758,IF(H758="High",AsOf,"")),"")</f>
        <v/>
      </c>
      <c r="R758" s="79">
        <f>IF(Q758="","",IF(H758="High",1,IF(Q758="","",IF(Q758&lt;AsOf,1,IF(Q758&lt;=AsOf+AlertDays,2,IF(Q758&lt;=AsOf+2*AlertDays,3,""))))))</f>
        <v/>
      </c>
      <c r="S758" s="79">
        <f>IF(R758="","",IF(H758="High","High-severity issue: ",IF(C758="Punch item","Punch item: ","Issue action due: "))&amp;F758&amp;IF(J758="",""," → "&amp;J758))</f>
        <v/>
      </c>
      <c r="T758" s="79">
        <f>IF(O758=1,IF(I758="",0,I758),0)</f>
        <v/>
      </c>
      <c r="U758" s="79">
        <f>IF(AND(O758=1,H758="High"),1,0)</f>
        <v/>
      </c>
      <c r="V758" s="79">
        <f>IF(AND(O758=1,C758="Punch item"),1,0)</f>
        <v/>
      </c>
    </row>
    <row r="759" ht="24" customHeight="1">
      <c r="B759" s="125" t="n">
        <v>752</v>
      </c>
      <c r="C759" s="72" t="n"/>
      <c r="D759" s="109" t="n"/>
      <c r="E759" s="72" t="n"/>
      <c r="F759" s="113" t="n"/>
      <c r="G759" s="72" t="n"/>
      <c r="H759" s="74" t="n"/>
      <c r="I759" s="73" t="n"/>
      <c r="J759" s="113" t="n"/>
      <c r="K759" s="109" t="n"/>
      <c r="L759" s="72" t="n"/>
      <c r="M759" s="109" t="n"/>
      <c r="N759" s="72" t="n"/>
      <c r="O759" s="79">
        <f>IF(AND(F759&lt;&gt;"",L759&lt;&gt;"Resolved"),1,0)</f>
        <v/>
      </c>
      <c r="P759" s="79">
        <f>IF(F759="","",IF(O759=0,0,IF(H759="High",2,1)))</f>
        <v/>
      </c>
      <c r="Q759" s="112">
        <f>IF(O759=1,IF(K759&lt;&gt;"",K759,IF(H759="High",AsOf,"")),"")</f>
        <v/>
      </c>
      <c r="R759" s="79">
        <f>IF(Q759="","",IF(H759="High",1,IF(Q759="","",IF(Q759&lt;AsOf,1,IF(Q759&lt;=AsOf+AlertDays,2,IF(Q759&lt;=AsOf+2*AlertDays,3,""))))))</f>
        <v/>
      </c>
      <c r="S759" s="79">
        <f>IF(R759="","",IF(H759="High","High-severity issue: ",IF(C759="Punch item","Punch item: ","Issue action due: "))&amp;F759&amp;IF(J759="",""," → "&amp;J759))</f>
        <v/>
      </c>
      <c r="T759" s="79">
        <f>IF(O759=1,IF(I759="",0,I759),0)</f>
        <v/>
      </c>
      <c r="U759" s="79">
        <f>IF(AND(O759=1,H759="High"),1,0)</f>
        <v/>
      </c>
      <c r="V759" s="79">
        <f>IF(AND(O759=1,C759="Punch item"),1,0)</f>
        <v/>
      </c>
    </row>
    <row r="760" ht="24" customHeight="1">
      <c r="B760" s="125" t="n">
        <v>753</v>
      </c>
      <c r="C760" s="72" t="n"/>
      <c r="D760" s="109" t="n"/>
      <c r="E760" s="72" t="n"/>
      <c r="F760" s="113" t="n"/>
      <c r="G760" s="72" t="n"/>
      <c r="H760" s="74" t="n"/>
      <c r="I760" s="73" t="n"/>
      <c r="J760" s="113" t="n"/>
      <c r="K760" s="109" t="n"/>
      <c r="L760" s="72" t="n"/>
      <c r="M760" s="109" t="n"/>
      <c r="N760" s="72" t="n"/>
      <c r="O760" s="79">
        <f>IF(AND(F760&lt;&gt;"",L760&lt;&gt;"Resolved"),1,0)</f>
        <v/>
      </c>
      <c r="P760" s="79">
        <f>IF(F760="","",IF(O760=0,0,IF(H760="High",2,1)))</f>
        <v/>
      </c>
      <c r="Q760" s="112">
        <f>IF(O760=1,IF(K760&lt;&gt;"",K760,IF(H760="High",AsOf,"")),"")</f>
        <v/>
      </c>
      <c r="R760" s="79">
        <f>IF(Q760="","",IF(H760="High",1,IF(Q760="","",IF(Q760&lt;AsOf,1,IF(Q760&lt;=AsOf+AlertDays,2,IF(Q760&lt;=AsOf+2*AlertDays,3,""))))))</f>
        <v/>
      </c>
      <c r="S760" s="79">
        <f>IF(R760="","",IF(H760="High","High-severity issue: ",IF(C760="Punch item","Punch item: ","Issue action due: "))&amp;F760&amp;IF(J760="",""," → "&amp;J760))</f>
        <v/>
      </c>
      <c r="T760" s="79">
        <f>IF(O760=1,IF(I760="",0,I760),0)</f>
        <v/>
      </c>
      <c r="U760" s="79">
        <f>IF(AND(O760=1,H760="High"),1,0)</f>
        <v/>
      </c>
      <c r="V760" s="79">
        <f>IF(AND(O760=1,C760="Punch item"),1,0)</f>
        <v/>
      </c>
    </row>
    <row r="761" ht="24" customHeight="1">
      <c r="B761" s="125" t="n">
        <v>754</v>
      </c>
      <c r="C761" s="72" t="n"/>
      <c r="D761" s="109" t="n"/>
      <c r="E761" s="72" t="n"/>
      <c r="F761" s="113" t="n"/>
      <c r="G761" s="72" t="n"/>
      <c r="H761" s="74" t="n"/>
      <c r="I761" s="73" t="n"/>
      <c r="J761" s="113" t="n"/>
      <c r="K761" s="109" t="n"/>
      <c r="L761" s="72" t="n"/>
      <c r="M761" s="109" t="n"/>
      <c r="N761" s="72" t="n"/>
      <c r="O761" s="79">
        <f>IF(AND(F761&lt;&gt;"",L761&lt;&gt;"Resolved"),1,0)</f>
        <v/>
      </c>
      <c r="P761" s="79">
        <f>IF(F761="","",IF(O761=0,0,IF(H761="High",2,1)))</f>
        <v/>
      </c>
      <c r="Q761" s="112">
        <f>IF(O761=1,IF(K761&lt;&gt;"",K761,IF(H761="High",AsOf,"")),"")</f>
        <v/>
      </c>
      <c r="R761" s="79">
        <f>IF(Q761="","",IF(H761="High",1,IF(Q761="","",IF(Q761&lt;AsOf,1,IF(Q761&lt;=AsOf+AlertDays,2,IF(Q761&lt;=AsOf+2*AlertDays,3,""))))))</f>
        <v/>
      </c>
      <c r="S761" s="79">
        <f>IF(R761="","",IF(H761="High","High-severity issue: ",IF(C761="Punch item","Punch item: ","Issue action due: "))&amp;F761&amp;IF(J761="",""," → "&amp;J761))</f>
        <v/>
      </c>
      <c r="T761" s="79">
        <f>IF(O761=1,IF(I761="",0,I761),0)</f>
        <v/>
      </c>
      <c r="U761" s="79">
        <f>IF(AND(O761=1,H761="High"),1,0)</f>
        <v/>
      </c>
      <c r="V761" s="79">
        <f>IF(AND(O761=1,C761="Punch item"),1,0)</f>
        <v/>
      </c>
    </row>
    <row r="762" ht="24" customHeight="1">
      <c r="B762" s="125" t="n">
        <v>755</v>
      </c>
      <c r="C762" s="72" t="n"/>
      <c r="D762" s="109" t="n"/>
      <c r="E762" s="72" t="n"/>
      <c r="F762" s="113" t="n"/>
      <c r="G762" s="72" t="n"/>
      <c r="H762" s="74" t="n"/>
      <c r="I762" s="73" t="n"/>
      <c r="J762" s="113" t="n"/>
      <c r="K762" s="109" t="n"/>
      <c r="L762" s="72" t="n"/>
      <c r="M762" s="109" t="n"/>
      <c r="N762" s="72" t="n"/>
      <c r="O762" s="79">
        <f>IF(AND(F762&lt;&gt;"",L762&lt;&gt;"Resolved"),1,0)</f>
        <v/>
      </c>
      <c r="P762" s="79">
        <f>IF(F762="","",IF(O762=0,0,IF(H762="High",2,1)))</f>
        <v/>
      </c>
      <c r="Q762" s="112">
        <f>IF(O762=1,IF(K762&lt;&gt;"",K762,IF(H762="High",AsOf,"")),"")</f>
        <v/>
      </c>
      <c r="R762" s="79">
        <f>IF(Q762="","",IF(H762="High",1,IF(Q762="","",IF(Q762&lt;AsOf,1,IF(Q762&lt;=AsOf+AlertDays,2,IF(Q762&lt;=AsOf+2*AlertDays,3,""))))))</f>
        <v/>
      </c>
      <c r="S762" s="79">
        <f>IF(R762="","",IF(H762="High","High-severity issue: ",IF(C762="Punch item","Punch item: ","Issue action due: "))&amp;F762&amp;IF(J762="",""," → "&amp;J762))</f>
        <v/>
      </c>
      <c r="T762" s="79">
        <f>IF(O762=1,IF(I762="",0,I762),0)</f>
        <v/>
      </c>
      <c r="U762" s="79">
        <f>IF(AND(O762=1,H762="High"),1,0)</f>
        <v/>
      </c>
      <c r="V762" s="79">
        <f>IF(AND(O762=1,C762="Punch item"),1,0)</f>
        <v/>
      </c>
    </row>
    <row r="763" ht="24" customHeight="1">
      <c r="B763" s="125" t="n">
        <v>756</v>
      </c>
      <c r="C763" s="72" t="n"/>
      <c r="D763" s="109" t="n"/>
      <c r="E763" s="72" t="n"/>
      <c r="F763" s="113" t="n"/>
      <c r="G763" s="72" t="n"/>
      <c r="H763" s="74" t="n"/>
      <c r="I763" s="73" t="n"/>
      <c r="J763" s="113" t="n"/>
      <c r="K763" s="109" t="n"/>
      <c r="L763" s="72" t="n"/>
      <c r="M763" s="109" t="n"/>
      <c r="N763" s="72" t="n"/>
      <c r="O763" s="79">
        <f>IF(AND(F763&lt;&gt;"",L763&lt;&gt;"Resolved"),1,0)</f>
        <v/>
      </c>
      <c r="P763" s="79">
        <f>IF(F763="","",IF(O763=0,0,IF(H763="High",2,1)))</f>
        <v/>
      </c>
      <c r="Q763" s="112">
        <f>IF(O763=1,IF(K763&lt;&gt;"",K763,IF(H763="High",AsOf,"")),"")</f>
        <v/>
      </c>
      <c r="R763" s="79">
        <f>IF(Q763="","",IF(H763="High",1,IF(Q763="","",IF(Q763&lt;AsOf,1,IF(Q763&lt;=AsOf+AlertDays,2,IF(Q763&lt;=AsOf+2*AlertDays,3,""))))))</f>
        <v/>
      </c>
      <c r="S763" s="79">
        <f>IF(R763="","",IF(H763="High","High-severity issue: ",IF(C763="Punch item","Punch item: ","Issue action due: "))&amp;F763&amp;IF(J763="",""," → "&amp;J763))</f>
        <v/>
      </c>
      <c r="T763" s="79">
        <f>IF(O763=1,IF(I763="",0,I763),0)</f>
        <v/>
      </c>
      <c r="U763" s="79">
        <f>IF(AND(O763=1,H763="High"),1,0)</f>
        <v/>
      </c>
      <c r="V763" s="79">
        <f>IF(AND(O763=1,C763="Punch item"),1,0)</f>
        <v/>
      </c>
    </row>
    <row r="764" ht="24" customHeight="1">
      <c r="B764" s="125" t="n">
        <v>757</v>
      </c>
      <c r="C764" s="72" t="n"/>
      <c r="D764" s="109" t="n"/>
      <c r="E764" s="72" t="n"/>
      <c r="F764" s="113" t="n"/>
      <c r="G764" s="72" t="n"/>
      <c r="H764" s="74" t="n"/>
      <c r="I764" s="73" t="n"/>
      <c r="J764" s="113" t="n"/>
      <c r="K764" s="109" t="n"/>
      <c r="L764" s="72" t="n"/>
      <c r="M764" s="109" t="n"/>
      <c r="N764" s="72" t="n"/>
      <c r="O764" s="79">
        <f>IF(AND(F764&lt;&gt;"",L764&lt;&gt;"Resolved"),1,0)</f>
        <v/>
      </c>
      <c r="P764" s="79">
        <f>IF(F764="","",IF(O764=0,0,IF(H764="High",2,1)))</f>
        <v/>
      </c>
      <c r="Q764" s="112">
        <f>IF(O764=1,IF(K764&lt;&gt;"",K764,IF(H764="High",AsOf,"")),"")</f>
        <v/>
      </c>
      <c r="R764" s="79">
        <f>IF(Q764="","",IF(H764="High",1,IF(Q764="","",IF(Q764&lt;AsOf,1,IF(Q764&lt;=AsOf+AlertDays,2,IF(Q764&lt;=AsOf+2*AlertDays,3,""))))))</f>
        <v/>
      </c>
      <c r="S764" s="79">
        <f>IF(R764="","",IF(H764="High","High-severity issue: ",IF(C764="Punch item","Punch item: ","Issue action due: "))&amp;F764&amp;IF(J764="",""," → "&amp;J764))</f>
        <v/>
      </c>
      <c r="T764" s="79">
        <f>IF(O764=1,IF(I764="",0,I764),0)</f>
        <v/>
      </c>
      <c r="U764" s="79">
        <f>IF(AND(O764=1,H764="High"),1,0)</f>
        <v/>
      </c>
      <c r="V764" s="79">
        <f>IF(AND(O764=1,C764="Punch item"),1,0)</f>
        <v/>
      </c>
    </row>
    <row r="765" ht="24" customHeight="1">
      <c r="B765" s="125" t="n">
        <v>758</v>
      </c>
      <c r="C765" s="72" t="n"/>
      <c r="D765" s="109" t="n"/>
      <c r="E765" s="72" t="n"/>
      <c r="F765" s="113" t="n"/>
      <c r="G765" s="72" t="n"/>
      <c r="H765" s="74" t="n"/>
      <c r="I765" s="73" t="n"/>
      <c r="J765" s="113" t="n"/>
      <c r="K765" s="109" t="n"/>
      <c r="L765" s="72" t="n"/>
      <c r="M765" s="109" t="n"/>
      <c r="N765" s="72" t="n"/>
      <c r="O765" s="79">
        <f>IF(AND(F765&lt;&gt;"",L765&lt;&gt;"Resolved"),1,0)</f>
        <v/>
      </c>
      <c r="P765" s="79">
        <f>IF(F765="","",IF(O765=0,0,IF(H765="High",2,1)))</f>
        <v/>
      </c>
      <c r="Q765" s="112">
        <f>IF(O765=1,IF(K765&lt;&gt;"",K765,IF(H765="High",AsOf,"")),"")</f>
        <v/>
      </c>
      <c r="R765" s="79">
        <f>IF(Q765="","",IF(H765="High",1,IF(Q765="","",IF(Q765&lt;AsOf,1,IF(Q765&lt;=AsOf+AlertDays,2,IF(Q765&lt;=AsOf+2*AlertDays,3,""))))))</f>
        <v/>
      </c>
      <c r="S765" s="79">
        <f>IF(R765="","",IF(H765="High","High-severity issue: ",IF(C765="Punch item","Punch item: ","Issue action due: "))&amp;F765&amp;IF(J765="",""," → "&amp;J765))</f>
        <v/>
      </c>
      <c r="T765" s="79">
        <f>IF(O765=1,IF(I765="",0,I765),0)</f>
        <v/>
      </c>
      <c r="U765" s="79">
        <f>IF(AND(O765=1,H765="High"),1,0)</f>
        <v/>
      </c>
      <c r="V765" s="79">
        <f>IF(AND(O765=1,C765="Punch item"),1,0)</f>
        <v/>
      </c>
    </row>
    <row r="766" ht="24" customHeight="1">
      <c r="B766" s="125" t="n">
        <v>759</v>
      </c>
      <c r="C766" s="72" t="n"/>
      <c r="D766" s="109" t="n"/>
      <c r="E766" s="72" t="n"/>
      <c r="F766" s="113" t="n"/>
      <c r="G766" s="72" t="n"/>
      <c r="H766" s="74" t="n"/>
      <c r="I766" s="73" t="n"/>
      <c r="J766" s="113" t="n"/>
      <c r="K766" s="109" t="n"/>
      <c r="L766" s="72" t="n"/>
      <c r="M766" s="109" t="n"/>
      <c r="N766" s="72" t="n"/>
      <c r="O766" s="79">
        <f>IF(AND(F766&lt;&gt;"",L766&lt;&gt;"Resolved"),1,0)</f>
        <v/>
      </c>
      <c r="P766" s="79">
        <f>IF(F766="","",IF(O766=0,0,IF(H766="High",2,1)))</f>
        <v/>
      </c>
      <c r="Q766" s="112">
        <f>IF(O766=1,IF(K766&lt;&gt;"",K766,IF(H766="High",AsOf,"")),"")</f>
        <v/>
      </c>
      <c r="R766" s="79">
        <f>IF(Q766="","",IF(H766="High",1,IF(Q766="","",IF(Q766&lt;AsOf,1,IF(Q766&lt;=AsOf+AlertDays,2,IF(Q766&lt;=AsOf+2*AlertDays,3,""))))))</f>
        <v/>
      </c>
      <c r="S766" s="79">
        <f>IF(R766="","",IF(H766="High","High-severity issue: ",IF(C766="Punch item","Punch item: ","Issue action due: "))&amp;F766&amp;IF(J766="",""," → "&amp;J766))</f>
        <v/>
      </c>
      <c r="T766" s="79">
        <f>IF(O766=1,IF(I766="",0,I766),0)</f>
        <v/>
      </c>
      <c r="U766" s="79">
        <f>IF(AND(O766=1,H766="High"),1,0)</f>
        <v/>
      </c>
      <c r="V766" s="79">
        <f>IF(AND(O766=1,C766="Punch item"),1,0)</f>
        <v/>
      </c>
    </row>
    <row r="767" ht="24" customHeight="1">
      <c r="B767" s="125" t="n">
        <v>760</v>
      </c>
      <c r="C767" s="72" t="n"/>
      <c r="D767" s="109" t="n"/>
      <c r="E767" s="72" t="n"/>
      <c r="F767" s="113" t="n"/>
      <c r="G767" s="72" t="n"/>
      <c r="H767" s="74" t="n"/>
      <c r="I767" s="73" t="n"/>
      <c r="J767" s="113" t="n"/>
      <c r="K767" s="109" t="n"/>
      <c r="L767" s="72" t="n"/>
      <c r="M767" s="109" t="n"/>
      <c r="N767" s="72" t="n"/>
      <c r="O767" s="79">
        <f>IF(AND(F767&lt;&gt;"",L767&lt;&gt;"Resolved"),1,0)</f>
        <v/>
      </c>
      <c r="P767" s="79">
        <f>IF(F767="","",IF(O767=0,0,IF(H767="High",2,1)))</f>
        <v/>
      </c>
      <c r="Q767" s="112">
        <f>IF(O767=1,IF(K767&lt;&gt;"",K767,IF(H767="High",AsOf,"")),"")</f>
        <v/>
      </c>
      <c r="R767" s="79">
        <f>IF(Q767="","",IF(H767="High",1,IF(Q767="","",IF(Q767&lt;AsOf,1,IF(Q767&lt;=AsOf+AlertDays,2,IF(Q767&lt;=AsOf+2*AlertDays,3,""))))))</f>
        <v/>
      </c>
      <c r="S767" s="79">
        <f>IF(R767="","",IF(H767="High","High-severity issue: ",IF(C767="Punch item","Punch item: ","Issue action due: "))&amp;F767&amp;IF(J767="",""," → "&amp;J767))</f>
        <v/>
      </c>
      <c r="T767" s="79">
        <f>IF(O767=1,IF(I767="",0,I767),0)</f>
        <v/>
      </c>
      <c r="U767" s="79">
        <f>IF(AND(O767=1,H767="High"),1,0)</f>
        <v/>
      </c>
      <c r="V767" s="79">
        <f>IF(AND(O767=1,C767="Punch item"),1,0)</f>
        <v/>
      </c>
    </row>
    <row r="768" ht="24" customHeight="1">
      <c r="B768" s="125" t="n">
        <v>761</v>
      </c>
      <c r="C768" s="72" t="n"/>
      <c r="D768" s="109" t="n"/>
      <c r="E768" s="72" t="n"/>
      <c r="F768" s="113" t="n"/>
      <c r="G768" s="72" t="n"/>
      <c r="H768" s="74" t="n"/>
      <c r="I768" s="73" t="n"/>
      <c r="J768" s="113" t="n"/>
      <c r="K768" s="109" t="n"/>
      <c r="L768" s="72" t="n"/>
      <c r="M768" s="109" t="n"/>
      <c r="N768" s="72" t="n"/>
      <c r="O768" s="79">
        <f>IF(AND(F768&lt;&gt;"",L768&lt;&gt;"Resolved"),1,0)</f>
        <v/>
      </c>
      <c r="P768" s="79">
        <f>IF(F768="","",IF(O768=0,0,IF(H768="High",2,1)))</f>
        <v/>
      </c>
      <c r="Q768" s="112">
        <f>IF(O768=1,IF(K768&lt;&gt;"",K768,IF(H768="High",AsOf,"")),"")</f>
        <v/>
      </c>
      <c r="R768" s="79">
        <f>IF(Q768="","",IF(H768="High",1,IF(Q768="","",IF(Q768&lt;AsOf,1,IF(Q768&lt;=AsOf+AlertDays,2,IF(Q768&lt;=AsOf+2*AlertDays,3,""))))))</f>
        <v/>
      </c>
      <c r="S768" s="79">
        <f>IF(R768="","",IF(H768="High","High-severity issue: ",IF(C768="Punch item","Punch item: ","Issue action due: "))&amp;F768&amp;IF(J768="",""," → "&amp;J768))</f>
        <v/>
      </c>
      <c r="T768" s="79">
        <f>IF(O768=1,IF(I768="",0,I768),0)</f>
        <v/>
      </c>
      <c r="U768" s="79">
        <f>IF(AND(O768=1,H768="High"),1,0)</f>
        <v/>
      </c>
      <c r="V768" s="79">
        <f>IF(AND(O768=1,C768="Punch item"),1,0)</f>
        <v/>
      </c>
    </row>
    <row r="769" ht="24" customHeight="1">
      <c r="B769" s="125" t="n">
        <v>762</v>
      </c>
      <c r="C769" s="72" t="n"/>
      <c r="D769" s="109" t="n"/>
      <c r="E769" s="72" t="n"/>
      <c r="F769" s="113" t="n"/>
      <c r="G769" s="72" t="n"/>
      <c r="H769" s="74" t="n"/>
      <c r="I769" s="73" t="n"/>
      <c r="J769" s="113" t="n"/>
      <c r="K769" s="109" t="n"/>
      <c r="L769" s="72" t="n"/>
      <c r="M769" s="109" t="n"/>
      <c r="N769" s="72" t="n"/>
      <c r="O769" s="79">
        <f>IF(AND(F769&lt;&gt;"",L769&lt;&gt;"Resolved"),1,0)</f>
        <v/>
      </c>
      <c r="P769" s="79">
        <f>IF(F769="","",IF(O769=0,0,IF(H769="High",2,1)))</f>
        <v/>
      </c>
      <c r="Q769" s="112">
        <f>IF(O769=1,IF(K769&lt;&gt;"",K769,IF(H769="High",AsOf,"")),"")</f>
        <v/>
      </c>
      <c r="R769" s="79">
        <f>IF(Q769="","",IF(H769="High",1,IF(Q769="","",IF(Q769&lt;AsOf,1,IF(Q769&lt;=AsOf+AlertDays,2,IF(Q769&lt;=AsOf+2*AlertDays,3,""))))))</f>
        <v/>
      </c>
      <c r="S769" s="79">
        <f>IF(R769="","",IF(H769="High","High-severity issue: ",IF(C769="Punch item","Punch item: ","Issue action due: "))&amp;F769&amp;IF(J769="",""," → "&amp;J769))</f>
        <v/>
      </c>
      <c r="T769" s="79">
        <f>IF(O769=1,IF(I769="",0,I769),0)</f>
        <v/>
      </c>
      <c r="U769" s="79">
        <f>IF(AND(O769=1,H769="High"),1,0)</f>
        <v/>
      </c>
      <c r="V769" s="79">
        <f>IF(AND(O769=1,C769="Punch item"),1,0)</f>
        <v/>
      </c>
    </row>
    <row r="770" ht="24" customHeight="1">
      <c r="B770" s="125" t="n">
        <v>763</v>
      </c>
      <c r="C770" s="72" t="n"/>
      <c r="D770" s="109" t="n"/>
      <c r="E770" s="72" t="n"/>
      <c r="F770" s="113" t="n"/>
      <c r="G770" s="72" t="n"/>
      <c r="H770" s="74" t="n"/>
      <c r="I770" s="73" t="n"/>
      <c r="J770" s="113" t="n"/>
      <c r="K770" s="109" t="n"/>
      <c r="L770" s="72" t="n"/>
      <c r="M770" s="109" t="n"/>
      <c r="N770" s="72" t="n"/>
      <c r="O770" s="79">
        <f>IF(AND(F770&lt;&gt;"",L770&lt;&gt;"Resolved"),1,0)</f>
        <v/>
      </c>
      <c r="P770" s="79">
        <f>IF(F770="","",IF(O770=0,0,IF(H770="High",2,1)))</f>
        <v/>
      </c>
      <c r="Q770" s="112">
        <f>IF(O770=1,IF(K770&lt;&gt;"",K770,IF(H770="High",AsOf,"")),"")</f>
        <v/>
      </c>
      <c r="R770" s="79">
        <f>IF(Q770="","",IF(H770="High",1,IF(Q770="","",IF(Q770&lt;AsOf,1,IF(Q770&lt;=AsOf+AlertDays,2,IF(Q770&lt;=AsOf+2*AlertDays,3,""))))))</f>
        <v/>
      </c>
      <c r="S770" s="79">
        <f>IF(R770="","",IF(H770="High","High-severity issue: ",IF(C770="Punch item","Punch item: ","Issue action due: "))&amp;F770&amp;IF(J770="",""," → "&amp;J770))</f>
        <v/>
      </c>
      <c r="T770" s="79">
        <f>IF(O770=1,IF(I770="",0,I770),0)</f>
        <v/>
      </c>
      <c r="U770" s="79">
        <f>IF(AND(O770=1,H770="High"),1,0)</f>
        <v/>
      </c>
      <c r="V770" s="79">
        <f>IF(AND(O770=1,C770="Punch item"),1,0)</f>
        <v/>
      </c>
    </row>
    <row r="771" ht="24" customHeight="1">
      <c r="B771" s="125" t="n">
        <v>764</v>
      </c>
      <c r="C771" s="72" t="n"/>
      <c r="D771" s="109" t="n"/>
      <c r="E771" s="72" t="n"/>
      <c r="F771" s="113" t="n"/>
      <c r="G771" s="72" t="n"/>
      <c r="H771" s="74" t="n"/>
      <c r="I771" s="73" t="n"/>
      <c r="J771" s="113" t="n"/>
      <c r="K771" s="109" t="n"/>
      <c r="L771" s="72" t="n"/>
      <c r="M771" s="109" t="n"/>
      <c r="N771" s="72" t="n"/>
      <c r="O771" s="79">
        <f>IF(AND(F771&lt;&gt;"",L771&lt;&gt;"Resolved"),1,0)</f>
        <v/>
      </c>
      <c r="P771" s="79">
        <f>IF(F771="","",IF(O771=0,0,IF(H771="High",2,1)))</f>
        <v/>
      </c>
      <c r="Q771" s="112">
        <f>IF(O771=1,IF(K771&lt;&gt;"",K771,IF(H771="High",AsOf,"")),"")</f>
        <v/>
      </c>
      <c r="R771" s="79">
        <f>IF(Q771="","",IF(H771="High",1,IF(Q771="","",IF(Q771&lt;AsOf,1,IF(Q771&lt;=AsOf+AlertDays,2,IF(Q771&lt;=AsOf+2*AlertDays,3,""))))))</f>
        <v/>
      </c>
      <c r="S771" s="79">
        <f>IF(R771="","",IF(H771="High","High-severity issue: ",IF(C771="Punch item","Punch item: ","Issue action due: "))&amp;F771&amp;IF(J771="",""," → "&amp;J771))</f>
        <v/>
      </c>
      <c r="T771" s="79">
        <f>IF(O771=1,IF(I771="",0,I771),0)</f>
        <v/>
      </c>
      <c r="U771" s="79">
        <f>IF(AND(O771=1,H771="High"),1,0)</f>
        <v/>
      </c>
      <c r="V771" s="79">
        <f>IF(AND(O771=1,C771="Punch item"),1,0)</f>
        <v/>
      </c>
    </row>
    <row r="772" ht="24" customHeight="1">
      <c r="B772" s="125" t="n">
        <v>765</v>
      </c>
      <c r="C772" s="72" t="n"/>
      <c r="D772" s="109" t="n"/>
      <c r="E772" s="72" t="n"/>
      <c r="F772" s="113" t="n"/>
      <c r="G772" s="72" t="n"/>
      <c r="H772" s="74" t="n"/>
      <c r="I772" s="73" t="n"/>
      <c r="J772" s="113" t="n"/>
      <c r="K772" s="109" t="n"/>
      <c r="L772" s="72" t="n"/>
      <c r="M772" s="109" t="n"/>
      <c r="N772" s="72" t="n"/>
      <c r="O772" s="79">
        <f>IF(AND(F772&lt;&gt;"",L772&lt;&gt;"Resolved"),1,0)</f>
        <v/>
      </c>
      <c r="P772" s="79">
        <f>IF(F772="","",IF(O772=0,0,IF(H772="High",2,1)))</f>
        <v/>
      </c>
      <c r="Q772" s="112">
        <f>IF(O772=1,IF(K772&lt;&gt;"",K772,IF(H772="High",AsOf,"")),"")</f>
        <v/>
      </c>
      <c r="R772" s="79">
        <f>IF(Q772="","",IF(H772="High",1,IF(Q772="","",IF(Q772&lt;AsOf,1,IF(Q772&lt;=AsOf+AlertDays,2,IF(Q772&lt;=AsOf+2*AlertDays,3,""))))))</f>
        <v/>
      </c>
      <c r="S772" s="79">
        <f>IF(R772="","",IF(H772="High","High-severity issue: ",IF(C772="Punch item","Punch item: ","Issue action due: "))&amp;F772&amp;IF(J772="",""," → "&amp;J772))</f>
        <v/>
      </c>
      <c r="T772" s="79">
        <f>IF(O772=1,IF(I772="",0,I772),0)</f>
        <v/>
      </c>
      <c r="U772" s="79">
        <f>IF(AND(O772=1,H772="High"),1,0)</f>
        <v/>
      </c>
      <c r="V772" s="79">
        <f>IF(AND(O772=1,C772="Punch item"),1,0)</f>
        <v/>
      </c>
    </row>
    <row r="773" ht="24" customHeight="1">
      <c r="B773" s="125" t="n">
        <v>766</v>
      </c>
      <c r="C773" s="72" t="n"/>
      <c r="D773" s="109" t="n"/>
      <c r="E773" s="72" t="n"/>
      <c r="F773" s="113" t="n"/>
      <c r="G773" s="72" t="n"/>
      <c r="H773" s="74" t="n"/>
      <c r="I773" s="73" t="n"/>
      <c r="J773" s="113" t="n"/>
      <c r="K773" s="109" t="n"/>
      <c r="L773" s="72" t="n"/>
      <c r="M773" s="109" t="n"/>
      <c r="N773" s="72" t="n"/>
      <c r="O773" s="79">
        <f>IF(AND(F773&lt;&gt;"",L773&lt;&gt;"Resolved"),1,0)</f>
        <v/>
      </c>
      <c r="P773" s="79">
        <f>IF(F773="","",IF(O773=0,0,IF(H773="High",2,1)))</f>
        <v/>
      </c>
      <c r="Q773" s="112">
        <f>IF(O773=1,IF(K773&lt;&gt;"",K773,IF(H773="High",AsOf,"")),"")</f>
        <v/>
      </c>
      <c r="R773" s="79">
        <f>IF(Q773="","",IF(H773="High",1,IF(Q773="","",IF(Q773&lt;AsOf,1,IF(Q773&lt;=AsOf+AlertDays,2,IF(Q773&lt;=AsOf+2*AlertDays,3,""))))))</f>
        <v/>
      </c>
      <c r="S773" s="79">
        <f>IF(R773="","",IF(H773="High","High-severity issue: ",IF(C773="Punch item","Punch item: ","Issue action due: "))&amp;F773&amp;IF(J773="",""," → "&amp;J773))</f>
        <v/>
      </c>
      <c r="T773" s="79">
        <f>IF(O773=1,IF(I773="",0,I773),0)</f>
        <v/>
      </c>
      <c r="U773" s="79">
        <f>IF(AND(O773=1,H773="High"),1,0)</f>
        <v/>
      </c>
      <c r="V773" s="79">
        <f>IF(AND(O773=1,C773="Punch item"),1,0)</f>
        <v/>
      </c>
    </row>
    <row r="774" ht="24" customHeight="1">
      <c r="B774" s="125" t="n">
        <v>767</v>
      </c>
      <c r="C774" s="72" t="n"/>
      <c r="D774" s="109" t="n"/>
      <c r="E774" s="72" t="n"/>
      <c r="F774" s="113" t="n"/>
      <c r="G774" s="72" t="n"/>
      <c r="H774" s="74" t="n"/>
      <c r="I774" s="73" t="n"/>
      <c r="J774" s="113" t="n"/>
      <c r="K774" s="109" t="n"/>
      <c r="L774" s="72" t="n"/>
      <c r="M774" s="109" t="n"/>
      <c r="N774" s="72" t="n"/>
      <c r="O774" s="79">
        <f>IF(AND(F774&lt;&gt;"",L774&lt;&gt;"Resolved"),1,0)</f>
        <v/>
      </c>
      <c r="P774" s="79">
        <f>IF(F774="","",IF(O774=0,0,IF(H774="High",2,1)))</f>
        <v/>
      </c>
      <c r="Q774" s="112">
        <f>IF(O774=1,IF(K774&lt;&gt;"",K774,IF(H774="High",AsOf,"")),"")</f>
        <v/>
      </c>
      <c r="R774" s="79">
        <f>IF(Q774="","",IF(H774="High",1,IF(Q774="","",IF(Q774&lt;AsOf,1,IF(Q774&lt;=AsOf+AlertDays,2,IF(Q774&lt;=AsOf+2*AlertDays,3,""))))))</f>
        <v/>
      </c>
      <c r="S774" s="79">
        <f>IF(R774="","",IF(H774="High","High-severity issue: ",IF(C774="Punch item","Punch item: ","Issue action due: "))&amp;F774&amp;IF(J774="",""," → "&amp;J774))</f>
        <v/>
      </c>
      <c r="T774" s="79">
        <f>IF(O774=1,IF(I774="",0,I774),0)</f>
        <v/>
      </c>
      <c r="U774" s="79">
        <f>IF(AND(O774=1,H774="High"),1,0)</f>
        <v/>
      </c>
      <c r="V774" s="79">
        <f>IF(AND(O774=1,C774="Punch item"),1,0)</f>
        <v/>
      </c>
    </row>
    <row r="775" ht="24" customHeight="1">
      <c r="B775" s="125" t="n">
        <v>768</v>
      </c>
      <c r="C775" s="72" t="n"/>
      <c r="D775" s="109" t="n"/>
      <c r="E775" s="72" t="n"/>
      <c r="F775" s="113" t="n"/>
      <c r="G775" s="72" t="n"/>
      <c r="H775" s="74" t="n"/>
      <c r="I775" s="73" t="n"/>
      <c r="J775" s="113" t="n"/>
      <c r="K775" s="109" t="n"/>
      <c r="L775" s="72" t="n"/>
      <c r="M775" s="109" t="n"/>
      <c r="N775" s="72" t="n"/>
      <c r="O775" s="79">
        <f>IF(AND(F775&lt;&gt;"",L775&lt;&gt;"Resolved"),1,0)</f>
        <v/>
      </c>
      <c r="P775" s="79">
        <f>IF(F775="","",IF(O775=0,0,IF(H775="High",2,1)))</f>
        <v/>
      </c>
      <c r="Q775" s="112">
        <f>IF(O775=1,IF(K775&lt;&gt;"",K775,IF(H775="High",AsOf,"")),"")</f>
        <v/>
      </c>
      <c r="R775" s="79">
        <f>IF(Q775="","",IF(H775="High",1,IF(Q775="","",IF(Q775&lt;AsOf,1,IF(Q775&lt;=AsOf+AlertDays,2,IF(Q775&lt;=AsOf+2*AlertDays,3,""))))))</f>
        <v/>
      </c>
      <c r="S775" s="79">
        <f>IF(R775="","",IF(H775="High","High-severity issue: ",IF(C775="Punch item","Punch item: ","Issue action due: "))&amp;F775&amp;IF(J775="",""," → "&amp;J775))</f>
        <v/>
      </c>
      <c r="T775" s="79">
        <f>IF(O775=1,IF(I775="",0,I775),0)</f>
        <v/>
      </c>
      <c r="U775" s="79">
        <f>IF(AND(O775=1,H775="High"),1,0)</f>
        <v/>
      </c>
      <c r="V775" s="79">
        <f>IF(AND(O775=1,C775="Punch item"),1,0)</f>
        <v/>
      </c>
    </row>
    <row r="776" ht="24" customHeight="1">
      <c r="B776" s="125" t="n">
        <v>769</v>
      </c>
      <c r="C776" s="72" t="n"/>
      <c r="D776" s="109" t="n"/>
      <c r="E776" s="72" t="n"/>
      <c r="F776" s="113" t="n"/>
      <c r="G776" s="72" t="n"/>
      <c r="H776" s="74" t="n"/>
      <c r="I776" s="73" t="n"/>
      <c r="J776" s="113" t="n"/>
      <c r="K776" s="109" t="n"/>
      <c r="L776" s="72" t="n"/>
      <c r="M776" s="109" t="n"/>
      <c r="N776" s="72" t="n"/>
      <c r="O776" s="79">
        <f>IF(AND(F776&lt;&gt;"",L776&lt;&gt;"Resolved"),1,0)</f>
        <v/>
      </c>
      <c r="P776" s="79">
        <f>IF(F776="","",IF(O776=0,0,IF(H776="High",2,1)))</f>
        <v/>
      </c>
      <c r="Q776" s="112">
        <f>IF(O776=1,IF(K776&lt;&gt;"",K776,IF(H776="High",AsOf,"")),"")</f>
        <v/>
      </c>
      <c r="R776" s="79">
        <f>IF(Q776="","",IF(H776="High",1,IF(Q776="","",IF(Q776&lt;AsOf,1,IF(Q776&lt;=AsOf+AlertDays,2,IF(Q776&lt;=AsOf+2*AlertDays,3,""))))))</f>
        <v/>
      </c>
      <c r="S776" s="79">
        <f>IF(R776="","",IF(H776="High","High-severity issue: ",IF(C776="Punch item","Punch item: ","Issue action due: "))&amp;F776&amp;IF(J776="",""," → "&amp;J776))</f>
        <v/>
      </c>
      <c r="T776" s="79">
        <f>IF(O776=1,IF(I776="",0,I776),0)</f>
        <v/>
      </c>
      <c r="U776" s="79">
        <f>IF(AND(O776=1,H776="High"),1,0)</f>
        <v/>
      </c>
      <c r="V776" s="79">
        <f>IF(AND(O776=1,C776="Punch item"),1,0)</f>
        <v/>
      </c>
    </row>
    <row r="777" ht="24" customHeight="1">
      <c r="B777" s="125" t="n">
        <v>770</v>
      </c>
      <c r="C777" s="72" t="n"/>
      <c r="D777" s="109" t="n"/>
      <c r="E777" s="72" t="n"/>
      <c r="F777" s="113" t="n"/>
      <c r="G777" s="72" t="n"/>
      <c r="H777" s="74" t="n"/>
      <c r="I777" s="73" t="n"/>
      <c r="J777" s="113" t="n"/>
      <c r="K777" s="109" t="n"/>
      <c r="L777" s="72" t="n"/>
      <c r="M777" s="109" t="n"/>
      <c r="N777" s="72" t="n"/>
      <c r="O777" s="79">
        <f>IF(AND(F777&lt;&gt;"",L777&lt;&gt;"Resolved"),1,0)</f>
        <v/>
      </c>
      <c r="P777" s="79">
        <f>IF(F777="","",IF(O777=0,0,IF(H777="High",2,1)))</f>
        <v/>
      </c>
      <c r="Q777" s="112">
        <f>IF(O777=1,IF(K777&lt;&gt;"",K777,IF(H777="High",AsOf,"")),"")</f>
        <v/>
      </c>
      <c r="R777" s="79">
        <f>IF(Q777="","",IF(H777="High",1,IF(Q777="","",IF(Q777&lt;AsOf,1,IF(Q777&lt;=AsOf+AlertDays,2,IF(Q777&lt;=AsOf+2*AlertDays,3,""))))))</f>
        <v/>
      </c>
      <c r="S777" s="79">
        <f>IF(R777="","",IF(H777="High","High-severity issue: ",IF(C777="Punch item","Punch item: ","Issue action due: "))&amp;F777&amp;IF(J777="",""," → "&amp;J777))</f>
        <v/>
      </c>
      <c r="T777" s="79">
        <f>IF(O777=1,IF(I777="",0,I777),0)</f>
        <v/>
      </c>
      <c r="U777" s="79">
        <f>IF(AND(O777=1,H777="High"),1,0)</f>
        <v/>
      </c>
      <c r="V777" s="79">
        <f>IF(AND(O777=1,C777="Punch item"),1,0)</f>
        <v/>
      </c>
    </row>
    <row r="778" ht="24" customHeight="1">
      <c r="B778" s="125" t="n">
        <v>771</v>
      </c>
      <c r="C778" s="72" t="n"/>
      <c r="D778" s="109" t="n"/>
      <c r="E778" s="72" t="n"/>
      <c r="F778" s="113" t="n"/>
      <c r="G778" s="72" t="n"/>
      <c r="H778" s="74" t="n"/>
      <c r="I778" s="73" t="n"/>
      <c r="J778" s="113" t="n"/>
      <c r="K778" s="109" t="n"/>
      <c r="L778" s="72" t="n"/>
      <c r="M778" s="109" t="n"/>
      <c r="N778" s="72" t="n"/>
      <c r="O778" s="79">
        <f>IF(AND(F778&lt;&gt;"",L778&lt;&gt;"Resolved"),1,0)</f>
        <v/>
      </c>
      <c r="P778" s="79">
        <f>IF(F778="","",IF(O778=0,0,IF(H778="High",2,1)))</f>
        <v/>
      </c>
      <c r="Q778" s="112">
        <f>IF(O778=1,IF(K778&lt;&gt;"",K778,IF(H778="High",AsOf,"")),"")</f>
        <v/>
      </c>
      <c r="R778" s="79">
        <f>IF(Q778="","",IF(H778="High",1,IF(Q778="","",IF(Q778&lt;AsOf,1,IF(Q778&lt;=AsOf+AlertDays,2,IF(Q778&lt;=AsOf+2*AlertDays,3,""))))))</f>
        <v/>
      </c>
      <c r="S778" s="79">
        <f>IF(R778="","",IF(H778="High","High-severity issue: ",IF(C778="Punch item","Punch item: ","Issue action due: "))&amp;F778&amp;IF(J778="",""," → "&amp;J778))</f>
        <v/>
      </c>
      <c r="T778" s="79">
        <f>IF(O778=1,IF(I778="",0,I778),0)</f>
        <v/>
      </c>
      <c r="U778" s="79">
        <f>IF(AND(O778=1,H778="High"),1,0)</f>
        <v/>
      </c>
      <c r="V778" s="79">
        <f>IF(AND(O778=1,C778="Punch item"),1,0)</f>
        <v/>
      </c>
    </row>
    <row r="779" ht="24" customHeight="1">
      <c r="B779" s="125" t="n">
        <v>772</v>
      </c>
      <c r="C779" s="72" t="n"/>
      <c r="D779" s="109" t="n"/>
      <c r="E779" s="72" t="n"/>
      <c r="F779" s="113" t="n"/>
      <c r="G779" s="72" t="n"/>
      <c r="H779" s="74" t="n"/>
      <c r="I779" s="73" t="n"/>
      <c r="J779" s="113" t="n"/>
      <c r="K779" s="109" t="n"/>
      <c r="L779" s="72" t="n"/>
      <c r="M779" s="109" t="n"/>
      <c r="N779" s="72" t="n"/>
      <c r="O779" s="79">
        <f>IF(AND(F779&lt;&gt;"",L779&lt;&gt;"Resolved"),1,0)</f>
        <v/>
      </c>
      <c r="P779" s="79">
        <f>IF(F779="","",IF(O779=0,0,IF(H779="High",2,1)))</f>
        <v/>
      </c>
      <c r="Q779" s="112">
        <f>IF(O779=1,IF(K779&lt;&gt;"",K779,IF(H779="High",AsOf,"")),"")</f>
        <v/>
      </c>
      <c r="R779" s="79">
        <f>IF(Q779="","",IF(H779="High",1,IF(Q779="","",IF(Q779&lt;AsOf,1,IF(Q779&lt;=AsOf+AlertDays,2,IF(Q779&lt;=AsOf+2*AlertDays,3,""))))))</f>
        <v/>
      </c>
      <c r="S779" s="79">
        <f>IF(R779="","",IF(H779="High","High-severity issue: ",IF(C779="Punch item","Punch item: ","Issue action due: "))&amp;F779&amp;IF(J779="",""," → "&amp;J779))</f>
        <v/>
      </c>
      <c r="T779" s="79">
        <f>IF(O779=1,IF(I779="",0,I779),0)</f>
        <v/>
      </c>
      <c r="U779" s="79">
        <f>IF(AND(O779=1,H779="High"),1,0)</f>
        <v/>
      </c>
      <c r="V779" s="79">
        <f>IF(AND(O779=1,C779="Punch item"),1,0)</f>
        <v/>
      </c>
    </row>
    <row r="780" ht="24" customHeight="1">
      <c r="B780" s="125" t="n">
        <v>773</v>
      </c>
      <c r="C780" s="72" t="n"/>
      <c r="D780" s="109" t="n"/>
      <c r="E780" s="72" t="n"/>
      <c r="F780" s="113" t="n"/>
      <c r="G780" s="72" t="n"/>
      <c r="H780" s="74" t="n"/>
      <c r="I780" s="73" t="n"/>
      <c r="J780" s="113" t="n"/>
      <c r="K780" s="109" t="n"/>
      <c r="L780" s="72" t="n"/>
      <c r="M780" s="109" t="n"/>
      <c r="N780" s="72" t="n"/>
      <c r="O780" s="79">
        <f>IF(AND(F780&lt;&gt;"",L780&lt;&gt;"Resolved"),1,0)</f>
        <v/>
      </c>
      <c r="P780" s="79">
        <f>IF(F780="","",IF(O780=0,0,IF(H780="High",2,1)))</f>
        <v/>
      </c>
      <c r="Q780" s="112">
        <f>IF(O780=1,IF(K780&lt;&gt;"",K780,IF(H780="High",AsOf,"")),"")</f>
        <v/>
      </c>
      <c r="R780" s="79">
        <f>IF(Q780="","",IF(H780="High",1,IF(Q780="","",IF(Q780&lt;AsOf,1,IF(Q780&lt;=AsOf+AlertDays,2,IF(Q780&lt;=AsOf+2*AlertDays,3,""))))))</f>
        <v/>
      </c>
      <c r="S780" s="79">
        <f>IF(R780="","",IF(H780="High","High-severity issue: ",IF(C780="Punch item","Punch item: ","Issue action due: "))&amp;F780&amp;IF(J780="",""," → "&amp;J780))</f>
        <v/>
      </c>
      <c r="T780" s="79">
        <f>IF(O780=1,IF(I780="",0,I780),0)</f>
        <v/>
      </c>
      <c r="U780" s="79">
        <f>IF(AND(O780=1,H780="High"),1,0)</f>
        <v/>
      </c>
      <c r="V780" s="79">
        <f>IF(AND(O780=1,C780="Punch item"),1,0)</f>
        <v/>
      </c>
    </row>
    <row r="781" ht="24" customHeight="1">
      <c r="B781" s="125" t="n">
        <v>774</v>
      </c>
      <c r="C781" s="72" t="n"/>
      <c r="D781" s="109" t="n"/>
      <c r="E781" s="72" t="n"/>
      <c r="F781" s="113" t="n"/>
      <c r="G781" s="72" t="n"/>
      <c r="H781" s="74" t="n"/>
      <c r="I781" s="73" t="n"/>
      <c r="J781" s="113" t="n"/>
      <c r="K781" s="109" t="n"/>
      <c r="L781" s="72" t="n"/>
      <c r="M781" s="109" t="n"/>
      <c r="N781" s="72" t="n"/>
      <c r="O781" s="79">
        <f>IF(AND(F781&lt;&gt;"",L781&lt;&gt;"Resolved"),1,0)</f>
        <v/>
      </c>
      <c r="P781" s="79">
        <f>IF(F781="","",IF(O781=0,0,IF(H781="High",2,1)))</f>
        <v/>
      </c>
      <c r="Q781" s="112">
        <f>IF(O781=1,IF(K781&lt;&gt;"",K781,IF(H781="High",AsOf,"")),"")</f>
        <v/>
      </c>
      <c r="R781" s="79">
        <f>IF(Q781="","",IF(H781="High",1,IF(Q781="","",IF(Q781&lt;AsOf,1,IF(Q781&lt;=AsOf+AlertDays,2,IF(Q781&lt;=AsOf+2*AlertDays,3,""))))))</f>
        <v/>
      </c>
      <c r="S781" s="79">
        <f>IF(R781="","",IF(H781="High","High-severity issue: ",IF(C781="Punch item","Punch item: ","Issue action due: "))&amp;F781&amp;IF(J781="",""," → "&amp;J781))</f>
        <v/>
      </c>
      <c r="T781" s="79">
        <f>IF(O781=1,IF(I781="",0,I781),0)</f>
        <v/>
      </c>
      <c r="U781" s="79">
        <f>IF(AND(O781=1,H781="High"),1,0)</f>
        <v/>
      </c>
      <c r="V781" s="79">
        <f>IF(AND(O781=1,C781="Punch item"),1,0)</f>
        <v/>
      </c>
    </row>
    <row r="782" ht="24" customHeight="1">
      <c r="B782" s="125" t="n">
        <v>775</v>
      </c>
      <c r="C782" s="72" t="n"/>
      <c r="D782" s="109" t="n"/>
      <c r="E782" s="72" t="n"/>
      <c r="F782" s="113" t="n"/>
      <c r="G782" s="72" t="n"/>
      <c r="H782" s="74" t="n"/>
      <c r="I782" s="73" t="n"/>
      <c r="J782" s="113" t="n"/>
      <c r="K782" s="109" t="n"/>
      <c r="L782" s="72" t="n"/>
      <c r="M782" s="109" t="n"/>
      <c r="N782" s="72" t="n"/>
      <c r="O782" s="79">
        <f>IF(AND(F782&lt;&gt;"",L782&lt;&gt;"Resolved"),1,0)</f>
        <v/>
      </c>
      <c r="P782" s="79">
        <f>IF(F782="","",IF(O782=0,0,IF(H782="High",2,1)))</f>
        <v/>
      </c>
      <c r="Q782" s="112">
        <f>IF(O782=1,IF(K782&lt;&gt;"",K782,IF(H782="High",AsOf,"")),"")</f>
        <v/>
      </c>
      <c r="R782" s="79">
        <f>IF(Q782="","",IF(H782="High",1,IF(Q782="","",IF(Q782&lt;AsOf,1,IF(Q782&lt;=AsOf+AlertDays,2,IF(Q782&lt;=AsOf+2*AlertDays,3,""))))))</f>
        <v/>
      </c>
      <c r="S782" s="79">
        <f>IF(R782="","",IF(H782="High","High-severity issue: ",IF(C782="Punch item","Punch item: ","Issue action due: "))&amp;F782&amp;IF(J782="",""," → "&amp;J782))</f>
        <v/>
      </c>
      <c r="T782" s="79">
        <f>IF(O782=1,IF(I782="",0,I782),0)</f>
        <v/>
      </c>
      <c r="U782" s="79">
        <f>IF(AND(O782=1,H782="High"),1,0)</f>
        <v/>
      </c>
      <c r="V782" s="79">
        <f>IF(AND(O782=1,C782="Punch item"),1,0)</f>
        <v/>
      </c>
    </row>
    <row r="783" ht="24" customHeight="1">
      <c r="B783" s="125" t="n">
        <v>776</v>
      </c>
      <c r="C783" s="72" t="n"/>
      <c r="D783" s="109" t="n"/>
      <c r="E783" s="72" t="n"/>
      <c r="F783" s="113" t="n"/>
      <c r="G783" s="72" t="n"/>
      <c r="H783" s="74" t="n"/>
      <c r="I783" s="73" t="n"/>
      <c r="J783" s="113" t="n"/>
      <c r="K783" s="109" t="n"/>
      <c r="L783" s="72" t="n"/>
      <c r="M783" s="109" t="n"/>
      <c r="N783" s="72" t="n"/>
      <c r="O783" s="79">
        <f>IF(AND(F783&lt;&gt;"",L783&lt;&gt;"Resolved"),1,0)</f>
        <v/>
      </c>
      <c r="P783" s="79">
        <f>IF(F783="","",IF(O783=0,0,IF(H783="High",2,1)))</f>
        <v/>
      </c>
      <c r="Q783" s="112">
        <f>IF(O783=1,IF(K783&lt;&gt;"",K783,IF(H783="High",AsOf,"")),"")</f>
        <v/>
      </c>
      <c r="R783" s="79">
        <f>IF(Q783="","",IF(H783="High",1,IF(Q783="","",IF(Q783&lt;AsOf,1,IF(Q783&lt;=AsOf+AlertDays,2,IF(Q783&lt;=AsOf+2*AlertDays,3,""))))))</f>
        <v/>
      </c>
      <c r="S783" s="79">
        <f>IF(R783="","",IF(H783="High","High-severity issue: ",IF(C783="Punch item","Punch item: ","Issue action due: "))&amp;F783&amp;IF(J783="",""," → "&amp;J783))</f>
        <v/>
      </c>
      <c r="T783" s="79">
        <f>IF(O783=1,IF(I783="",0,I783),0)</f>
        <v/>
      </c>
      <c r="U783" s="79">
        <f>IF(AND(O783=1,H783="High"),1,0)</f>
        <v/>
      </c>
      <c r="V783" s="79">
        <f>IF(AND(O783=1,C783="Punch item"),1,0)</f>
        <v/>
      </c>
    </row>
    <row r="784" ht="24" customHeight="1">
      <c r="B784" s="125" t="n">
        <v>777</v>
      </c>
      <c r="C784" s="72" t="n"/>
      <c r="D784" s="109" t="n"/>
      <c r="E784" s="72" t="n"/>
      <c r="F784" s="113" t="n"/>
      <c r="G784" s="72" t="n"/>
      <c r="H784" s="74" t="n"/>
      <c r="I784" s="73" t="n"/>
      <c r="J784" s="113" t="n"/>
      <c r="K784" s="109" t="n"/>
      <c r="L784" s="72" t="n"/>
      <c r="M784" s="109" t="n"/>
      <c r="N784" s="72" t="n"/>
      <c r="O784" s="79">
        <f>IF(AND(F784&lt;&gt;"",L784&lt;&gt;"Resolved"),1,0)</f>
        <v/>
      </c>
      <c r="P784" s="79">
        <f>IF(F784="","",IF(O784=0,0,IF(H784="High",2,1)))</f>
        <v/>
      </c>
      <c r="Q784" s="112">
        <f>IF(O784=1,IF(K784&lt;&gt;"",K784,IF(H784="High",AsOf,"")),"")</f>
        <v/>
      </c>
      <c r="R784" s="79">
        <f>IF(Q784="","",IF(H784="High",1,IF(Q784="","",IF(Q784&lt;AsOf,1,IF(Q784&lt;=AsOf+AlertDays,2,IF(Q784&lt;=AsOf+2*AlertDays,3,""))))))</f>
        <v/>
      </c>
      <c r="S784" s="79">
        <f>IF(R784="","",IF(H784="High","High-severity issue: ",IF(C784="Punch item","Punch item: ","Issue action due: "))&amp;F784&amp;IF(J784="",""," → "&amp;J784))</f>
        <v/>
      </c>
      <c r="T784" s="79">
        <f>IF(O784=1,IF(I784="",0,I784),0)</f>
        <v/>
      </c>
      <c r="U784" s="79">
        <f>IF(AND(O784=1,H784="High"),1,0)</f>
        <v/>
      </c>
      <c r="V784" s="79">
        <f>IF(AND(O784=1,C784="Punch item"),1,0)</f>
        <v/>
      </c>
    </row>
    <row r="785" ht="24" customHeight="1">
      <c r="B785" s="125" t="n">
        <v>778</v>
      </c>
      <c r="C785" s="72" t="n"/>
      <c r="D785" s="109" t="n"/>
      <c r="E785" s="72" t="n"/>
      <c r="F785" s="113" t="n"/>
      <c r="G785" s="72" t="n"/>
      <c r="H785" s="74" t="n"/>
      <c r="I785" s="73" t="n"/>
      <c r="J785" s="113" t="n"/>
      <c r="K785" s="109" t="n"/>
      <c r="L785" s="72" t="n"/>
      <c r="M785" s="109" t="n"/>
      <c r="N785" s="72" t="n"/>
      <c r="O785" s="79">
        <f>IF(AND(F785&lt;&gt;"",L785&lt;&gt;"Resolved"),1,0)</f>
        <v/>
      </c>
      <c r="P785" s="79">
        <f>IF(F785="","",IF(O785=0,0,IF(H785="High",2,1)))</f>
        <v/>
      </c>
      <c r="Q785" s="112">
        <f>IF(O785=1,IF(K785&lt;&gt;"",K785,IF(H785="High",AsOf,"")),"")</f>
        <v/>
      </c>
      <c r="R785" s="79">
        <f>IF(Q785="","",IF(H785="High",1,IF(Q785="","",IF(Q785&lt;AsOf,1,IF(Q785&lt;=AsOf+AlertDays,2,IF(Q785&lt;=AsOf+2*AlertDays,3,""))))))</f>
        <v/>
      </c>
      <c r="S785" s="79">
        <f>IF(R785="","",IF(H785="High","High-severity issue: ",IF(C785="Punch item","Punch item: ","Issue action due: "))&amp;F785&amp;IF(J785="",""," → "&amp;J785))</f>
        <v/>
      </c>
      <c r="T785" s="79">
        <f>IF(O785=1,IF(I785="",0,I785),0)</f>
        <v/>
      </c>
      <c r="U785" s="79">
        <f>IF(AND(O785=1,H785="High"),1,0)</f>
        <v/>
      </c>
      <c r="V785" s="79">
        <f>IF(AND(O785=1,C785="Punch item"),1,0)</f>
        <v/>
      </c>
    </row>
    <row r="786" ht="24" customHeight="1">
      <c r="B786" s="125" t="n">
        <v>779</v>
      </c>
      <c r="C786" s="72" t="n"/>
      <c r="D786" s="109" t="n"/>
      <c r="E786" s="72" t="n"/>
      <c r="F786" s="113" t="n"/>
      <c r="G786" s="72" t="n"/>
      <c r="H786" s="74" t="n"/>
      <c r="I786" s="73" t="n"/>
      <c r="J786" s="113" t="n"/>
      <c r="K786" s="109" t="n"/>
      <c r="L786" s="72" t="n"/>
      <c r="M786" s="109" t="n"/>
      <c r="N786" s="72" t="n"/>
      <c r="O786" s="79">
        <f>IF(AND(F786&lt;&gt;"",L786&lt;&gt;"Resolved"),1,0)</f>
        <v/>
      </c>
      <c r="P786" s="79">
        <f>IF(F786="","",IF(O786=0,0,IF(H786="High",2,1)))</f>
        <v/>
      </c>
      <c r="Q786" s="112">
        <f>IF(O786=1,IF(K786&lt;&gt;"",K786,IF(H786="High",AsOf,"")),"")</f>
        <v/>
      </c>
      <c r="R786" s="79">
        <f>IF(Q786="","",IF(H786="High",1,IF(Q786="","",IF(Q786&lt;AsOf,1,IF(Q786&lt;=AsOf+AlertDays,2,IF(Q786&lt;=AsOf+2*AlertDays,3,""))))))</f>
        <v/>
      </c>
      <c r="S786" s="79">
        <f>IF(R786="","",IF(H786="High","High-severity issue: ",IF(C786="Punch item","Punch item: ","Issue action due: "))&amp;F786&amp;IF(J786="",""," → "&amp;J786))</f>
        <v/>
      </c>
      <c r="T786" s="79">
        <f>IF(O786=1,IF(I786="",0,I786),0)</f>
        <v/>
      </c>
      <c r="U786" s="79">
        <f>IF(AND(O786=1,H786="High"),1,0)</f>
        <v/>
      </c>
      <c r="V786" s="79">
        <f>IF(AND(O786=1,C786="Punch item"),1,0)</f>
        <v/>
      </c>
    </row>
    <row r="787" ht="24" customHeight="1">
      <c r="B787" s="125" t="n">
        <v>780</v>
      </c>
      <c r="C787" s="72" t="n"/>
      <c r="D787" s="109" t="n"/>
      <c r="E787" s="72" t="n"/>
      <c r="F787" s="113" t="n"/>
      <c r="G787" s="72" t="n"/>
      <c r="H787" s="74" t="n"/>
      <c r="I787" s="73" t="n"/>
      <c r="J787" s="113" t="n"/>
      <c r="K787" s="109" t="n"/>
      <c r="L787" s="72" t="n"/>
      <c r="M787" s="109" t="n"/>
      <c r="N787" s="72" t="n"/>
      <c r="O787" s="79">
        <f>IF(AND(F787&lt;&gt;"",L787&lt;&gt;"Resolved"),1,0)</f>
        <v/>
      </c>
      <c r="P787" s="79">
        <f>IF(F787="","",IF(O787=0,0,IF(H787="High",2,1)))</f>
        <v/>
      </c>
      <c r="Q787" s="112">
        <f>IF(O787=1,IF(K787&lt;&gt;"",K787,IF(H787="High",AsOf,"")),"")</f>
        <v/>
      </c>
      <c r="R787" s="79">
        <f>IF(Q787="","",IF(H787="High",1,IF(Q787="","",IF(Q787&lt;AsOf,1,IF(Q787&lt;=AsOf+AlertDays,2,IF(Q787&lt;=AsOf+2*AlertDays,3,""))))))</f>
        <v/>
      </c>
      <c r="S787" s="79">
        <f>IF(R787="","",IF(H787="High","High-severity issue: ",IF(C787="Punch item","Punch item: ","Issue action due: "))&amp;F787&amp;IF(J787="",""," → "&amp;J787))</f>
        <v/>
      </c>
      <c r="T787" s="79">
        <f>IF(O787=1,IF(I787="",0,I787),0)</f>
        <v/>
      </c>
      <c r="U787" s="79">
        <f>IF(AND(O787=1,H787="High"),1,0)</f>
        <v/>
      </c>
      <c r="V787" s="79">
        <f>IF(AND(O787=1,C787="Punch item"),1,0)</f>
        <v/>
      </c>
    </row>
    <row r="788" ht="24" customHeight="1">
      <c r="B788" s="125" t="n">
        <v>781</v>
      </c>
      <c r="C788" s="72" t="n"/>
      <c r="D788" s="109" t="n"/>
      <c r="E788" s="72" t="n"/>
      <c r="F788" s="113" t="n"/>
      <c r="G788" s="72" t="n"/>
      <c r="H788" s="74" t="n"/>
      <c r="I788" s="73" t="n"/>
      <c r="J788" s="113" t="n"/>
      <c r="K788" s="109" t="n"/>
      <c r="L788" s="72" t="n"/>
      <c r="M788" s="109" t="n"/>
      <c r="N788" s="72" t="n"/>
      <c r="O788" s="79">
        <f>IF(AND(F788&lt;&gt;"",L788&lt;&gt;"Resolved"),1,0)</f>
        <v/>
      </c>
      <c r="P788" s="79">
        <f>IF(F788="","",IF(O788=0,0,IF(H788="High",2,1)))</f>
        <v/>
      </c>
      <c r="Q788" s="112">
        <f>IF(O788=1,IF(K788&lt;&gt;"",K788,IF(H788="High",AsOf,"")),"")</f>
        <v/>
      </c>
      <c r="R788" s="79">
        <f>IF(Q788="","",IF(H788="High",1,IF(Q788="","",IF(Q788&lt;AsOf,1,IF(Q788&lt;=AsOf+AlertDays,2,IF(Q788&lt;=AsOf+2*AlertDays,3,""))))))</f>
        <v/>
      </c>
      <c r="S788" s="79">
        <f>IF(R788="","",IF(H788="High","High-severity issue: ",IF(C788="Punch item","Punch item: ","Issue action due: "))&amp;F788&amp;IF(J788="",""," → "&amp;J788))</f>
        <v/>
      </c>
      <c r="T788" s="79">
        <f>IF(O788=1,IF(I788="",0,I788),0)</f>
        <v/>
      </c>
      <c r="U788" s="79">
        <f>IF(AND(O788=1,H788="High"),1,0)</f>
        <v/>
      </c>
      <c r="V788" s="79">
        <f>IF(AND(O788=1,C788="Punch item"),1,0)</f>
        <v/>
      </c>
    </row>
    <row r="789" ht="24" customHeight="1">
      <c r="B789" s="125" t="n">
        <v>782</v>
      </c>
      <c r="C789" s="72" t="n"/>
      <c r="D789" s="109" t="n"/>
      <c r="E789" s="72" t="n"/>
      <c r="F789" s="113" t="n"/>
      <c r="G789" s="72" t="n"/>
      <c r="H789" s="74" t="n"/>
      <c r="I789" s="73" t="n"/>
      <c r="J789" s="113" t="n"/>
      <c r="K789" s="109" t="n"/>
      <c r="L789" s="72" t="n"/>
      <c r="M789" s="109" t="n"/>
      <c r="N789" s="72" t="n"/>
      <c r="O789" s="79">
        <f>IF(AND(F789&lt;&gt;"",L789&lt;&gt;"Resolved"),1,0)</f>
        <v/>
      </c>
      <c r="P789" s="79">
        <f>IF(F789="","",IF(O789=0,0,IF(H789="High",2,1)))</f>
        <v/>
      </c>
      <c r="Q789" s="112">
        <f>IF(O789=1,IF(K789&lt;&gt;"",K789,IF(H789="High",AsOf,"")),"")</f>
        <v/>
      </c>
      <c r="R789" s="79">
        <f>IF(Q789="","",IF(H789="High",1,IF(Q789="","",IF(Q789&lt;AsOf,1,IF(Q789&lt;=AsOf+AlertDays,2,IF(Q789&lt;=AsOf+2*AlertDays,3,""))))))</f>
        <v/>
      </c>
      <c r="S789" s="79">
        <f>IF(R789="","",IF(H789="High","High-severity issue: ",IF(C789="Punch item","Punch item: ","Issue action due: "))&amp;F789&amp;IF(J789="",""," → "&amp;J789))</f>
        <v/>
      </c>
      <c r="T789" s="79">
        <f>IF(O789=1,IF(I789="",0,I789),0)</f>
        <v/>
      </c>
      <c r="U789" s="79">
        <f>IF(AND(O789=1,H789="High"),1,0)</f>
        <v/>
      </c>
      <c r="V789" s="79">
        <f>IF(AND(O789=1,C789="Punch item"),1,0)</f>
        <v/>
      </c>
    </row>
    <row r="790" ht="24" customHeight="1">
      <c r="B790" s="125" t="n">
        <v>783</v>
      </c>
      <c r="C790" s="72" t="n"/>
      <c r="D790" s="109" t="n"/>
      <c r="E790" s="72" t="n"/>
      <c r="F790" s="113" t="n"/>
      <c r="G790" s="72" t="n"/>
      <c r="H790" s="74" t="n"/>
      <c r="I790" s="73" t="n"/>
      <c r="J790" s="113" t="n"/>
      <c r="K790" s="109" t="n"/>
      <c r="L790" s="72" t="n"/>
      <c r="M790" s="109" t="n"/>
      <c r="N790" s="72" t="n"/>
      <c r="O790" s="79">
        <f>IF(AND(F790&lt;&gt;"",L790&lt;&gt;"Resolved"),1,0)</f>
        <v/>
      </c>
      <c r="P790" s="79">
        <f>IF(F790="","",IF(O790=0,0,IF(H790="High",2,1)))</f>
        <v/>
      </c>
      <c r="Q790" s="112">
        <f>IF(O790=1,IF(K790&lt;&gt;"",K790,IF(H790="High",AsOf,"")),"")</f>
        <v/>
      </c>
      <c r="R790" s="79">
        <f>IF(Q790="","",IF(H790="High",1,IF(Q790="","",IF(Q790&lt;AsOf,1,IF(Q790&lt;=AsOf+AlertDays,2,IF(Q790&lt;=AsOf+2*AlertDays,3,""))))))</f>
        <v/>
      </c>
      <c r="S790" s="79">
        <f>IF(R790="","",IF(H790="High","High-severity issue: ",IF(C790="Punch item","Punch item: ","Issue action due: "))&amp;F790&amp;IF(J790="",""," → "&amp;J790))</f>
        <v/>
      </c>
      <c r="T790" s="79">
        <f>IF(O790=1,IF(I790="",0,I790),0)</f>
        <v/>
      </c>
      <c r="U790" s="79">
        <f>IF(AND(O790=1,H790="High"),1,0)</f>
        <v/>
      </c>
      <c r="V790" s="79">
        <f>IF(AND(O790=1,C790="Punch item"),1,0)</f>
        <v/>
      </c>
    </row>
    <row r="791" ht="24" customHeight="1">
      <c r="B791" s="125" t="n">
        <v>784</v>
      </c>
      <c r="C791" s="72" t="n"/>
      <c r="D791" s="109" t="n"/>
      <c r="E791" s="72" t="n"/>
      <c r="F791" s="113" t="n"/>
      <c r="G791" s="72" t="n"/>
      <c r="H791" s="74" t="n"/>
      <c r="I791" s="73" t="n"/>
      <c r="J791" s="113" t="n"/>
      <c r="K791" s="109" t="n"/>
      <c r="L791" s="72" t="n"/>
      <c r="M791" s="109" t="n"/>
      <c r="N791" s="72" t="n"/>
      <c r="O791" s="79">
        <f>IF(AND(F791&lt;&gt;"",L791&lt;&gt;"Resolved"),1,0)</f>
        <v/>
      </c>
      <c r="P791" s="79">
        <f>IF(F791="","",IF(O791=0,0,IF(H791="High",2,1)))</f>
        <v/>
      </c>
      <c r="Q791" s="112">
        <f>IF(O791=1,IF(K791&lt;&gt;"",K791,IF(H791="High",AsOf,"")),"")</f>
        <v/>
      </c>
      <c r="R791" s="79">
        <f>IF(Q791="","",IF(H791="High",1,IF(Q791="","",IF(Q791&lt;AsOf,1,IF(Q791&lt;=AsOf+AlertDays,2,IF(Q791&lt;=AsOf+2*AlertDays,3,""))))))</f>
        <v/>
      </c>
      <c r="S791" s="79">
        <f>IF(R791="","",IF(H791="High","High-severity issue: ",IF(C791="Punch item","Punch item: ","Issue action due: "))&amp;F791&amp;IF(J791="",""," → "&amp;J791))</f>
        <v/>
      </c>
      <c r="T791" s="79">
        <f>IF(O791=1,IF(I791="",0,I791),0)</f>
        <v/>
      </c>
      <c r="U791" s="79">
        <f>IF(AND(O791=1,H791="High"),1,0)</f>
        <v/>
      </c>
      <c r="V791" s="79">
        <f>IF(AND(O791=1,C791="Punch item"),1,0)</f>
        <v/>
      </c>
    </row>
    <row r="792" ht="24" customHeight="1">
      <c r="B792" s="125" t="n">
        <v>785</v>
      </c>
      <c r="C792" s="72" t="n"/>
      <c r="D792" s="109" t="n"/>
      <c r="E792" s="72" t="n"/>
      <c r="F792" s="113" t="n"/>
      <c r="G792" s="72" t="n"/>
      <c r="H792" s="74" t="n"/>
      <c r="I792" s="73" t="n"/>
      <c r="J792" s="113" t="n"/>
      <c r="K792" s="109" t="n"/>
      <c r="L792" s="72" t="n"/>
      <c r="M792" s="109" t="n"/>
      <c r="N792" s="72" t="n"/>
      <c r="O792" s="79">
        <f>IF(AND(F792&lt;&gt;"",L792&lt;&gt;"Resolved"),1,0)</f>
        <v/>
      </c>
      <c r="P792" s="79">
        <f>IF(F792="","",IF(O792=0,0,IF(H792="High",2,1)))</f>
        <v/>
      </c>
      <c r="Q792" s="112">
        <f>IF(O792=1,IF(K792&lt;&gt;"",K792,IF(H792="High",AsOf,"")),"")</f>
        <v/>
      </c>
      <c r="R792" s="79">
        <f>IF(Q792="","",IF(H792="High",1,IF(Q792="","",IF(Q792&lt;AsOf,1,IF(Q792&lt;=AsOf+AlertDays,2,IF(Q792&lt;=AsOf+2*AlertDays,3,""))))))</f>
        <v/>
      </c>
      <c r="S792" s="79">
        <f>IF(R792="","",IF(H792="High","High-severity issue: ",IF(C792="Punch item","Punch item: ","Issue action due: "))&amp;F792&amp;IF(J792="",""," → "&amp;J792))</f>
        <v/>
      </c>
      <c r="T792" s="79">
        <f>IF(O792=1,IF(I792="",0,I792),0)</f>
        <v/>
      </c>
      <c r="U792" s="79">
        <f>IF(AND(O792=1,H792="High"),1,0)</f>
        <v/>
      </c>
      <c r="V792" s="79">
        <f>IF(AND(O792=1,C792="Punch item"),1,0)</f>
        <v/>
      </c>
    </row>
    <row r="793" ht="24" customHeight="1">
      <c r="B793" s="125" t="n">
        <v>786</v>
      </c>
      <c r="C793" s="72" t="n"/>
      <c r="D793" s="109" t="n"/>
      <c r="E793" s="72" t="n"/>
      <c r="F793" s="113" t="n"/>
      <c r="G793" s="72" t="n"/>
      <c r="H793" s="74" t="n"/>
      <c r="I793" s="73" t="n"/>
      <c r="J793" s="113" t="n"/>
      <c r="K793" s="109" t="n"/>
      <c r="L793" s="72" t="n"/>
      <c r="M793" s="109" t="n"/>
      <c r="N793" s="72" t="n"/>
      <c r="O793" s="79">
        <f>IF(AND(F793&lt;&gt;"",L793&lt;&gt;"Resolved"),1,0)</f>
        <v/>
      </c>
      <c r="P793" s="79">
        <f>IF(F793="","",IF(O793=0,0,IF(H793="High",2,1)))</f>
        <v/>
      </c>
      <c r="Q793" s="112">
        <f>IF(O793=1,IF(K793&lt;&gt;"",K793,IF(H793="High",AsOf,"")),"")</f>
        <v/>
      </c>
      <c r="R793" s="79">
        <f>IF(Q793="","",IF(H793="High",1,IF(Q793="","",IF(Q793&lt;AsOf,1,IF(Q793&lt;=AsOf+AlertDays,2,IF(Q793&lt;=AsOf+2*AlertDays,3,""))))))</f>
        <v/>
      </c>
      <c r="S793" s="79">
        <f>IF(R793="","",IF(H793="High","High-severity issue: ",IF(C793="Punch item","Punch item: ","Issue action due: "))&amp;F793&amp;IF(J793="",""," → "&amp;J793))</f>
        <v/>
      </c>
      <c r="T793" s="79">
        <f>IF(O793=1,IF(I793="",0,I793),0)</f>
        <v/>
      </c>
      <c r="U793" s="79">
        <f>IF(AND(O793=1,H793="High"),1,0)</f>
        <v/>
      </c>
      <c r="V793" s="79">
        <f>IF(AND(O793=1,C793="Punch item"),1,0)</f>
        <v/>
      </c>
    </row>
    <row r="794" ht="24" customHeight="1">
      <c r="B794" s="125" t="n">
        <v>787</v>
      </c>
      <c r="C794" s="72" t="n"/>
      <c r="D794" s="109" t="n"/>
      <c r="E794" s="72" t="n"/>
      <c r="F794" s="113" t="n"/>
      <c r="G794" s="72" t="n"/>
      <c r="H794" s="74" t="n"/>
      <c r="I794" s="73" t="n"/>
      <c r="J794" s="113" t="n"/>
      <c r="K794" s="109" t="n"/>
      <c r="L794" s="72" t="n"/>
      <c r="M794" s="109" t="n"/>
      <c r="N794" s="72" t="n"/>
      <c r="O794" s="79">
        <f>IF(AND(F794&lt;&gt;"",L794&lt;&gt;"Resolved"),1,0)</f>
        <v/>
      </c>
      <c r="P794" s="79">
        <f>IF(F794="","",IF(O794=0,0,IF(H794="High",2,1)))</f>
        <v/>
      </c>
      <c r="Q794" s="112">
        <f>IF(O794=1,IF(K794&lt;&gt;"",K794,IF(H794="High",AsOf,"")),"")</f>
        <v/>
      </c>
      <c r="R794" s="79">
        <f>IF(Q794="","",IF(H794="High",1,IF(Q794="","",IF(Q794&lt;AsOf,1,IF(Q794&lt;=AsOf+AlertDays,2,IF(Q794&lt;=AsOf+2*AlertDays,3,""))))))</f>
        <v/>
      </c>
      <c r="S794" s="79">
        <f>IF(R794="","",IF(H794="High","High-severity issue: ",IF(C794="Punch item","Punch item: ","Issue action due: "))&amp;F794&amp;IF(J794="",""," → "&amp;J794))</f>
        <v/>
      </c>
      <c r="T794" s="79">
        <f>IF(O794=1,IF(I794="",0,I794),0)</f>
        <v/>
      </c>
      <c r="U794" s="79">
        <f>IF(AND(O794=1,H794="High"),1,0)</f>
        <v/>
      </c>
      <c r="V794" s="79">
        <f>IF(AND(O794=1,C794="Punch item"),1,0)</f>
        <v/>
      </c>
    </row>
    <row r="795" ht="24" customHeight="1">
      <c r="B795" s="125" t="n">
        <v>788</v>
      </c>
      <c r="C795" s="72" t="n"/>
      <c r="D795" s="109" t="n"/>
      <c r="E795" s="72" t="n"/>
      <c r="F795" s="113" t="n"/>
      <c r="G795" s="72" t="n"/>
      <c r="H795" s="74" t="n"/>
      <c r="I795" s="73" t="n"/>
      <c r="J795" s="113" t="n"/>
      <c r="K795" s="109" t="n"/>
      <c r="L795" s="72" t="n"/>
      <c r="M795" s="109" t="n"/>
      <c r="N795" s="72" t="n"/>
      <c r="O795" s="79">
        <f>IF(AND(F795&lt;&gt;"",L795&lt;&gt;"Resolved"),1,0)</f>
        <v/>
      </c>
      <c r="P795" s="79">
        <f>IF(F795="","",IF(O795=0,0,IF(H795="High",2,1)))</f>
        <v/>
      </c>
      <c r="Q795" s="112">
        <f>IF(O795=1,IF(K795&lt;&gt;"",K795,IF(H795="High",AsOf,"")),"")</f>
        <v/>
      </c>
      <c r="R795" s="79">
        <f>IF(Q795="","",IF(H795="High",1,IF(Q795="","",IF(Q795&lt;AsOf,1,IF(Q795&lt;=AsOf+AlertDays,2,IF(Q795&lt;=AsOf+2*AlertDays,3,""))))))</f>
        <v/>
      </c>
      <c r="S795" s="79">
        <f>IF(R795="","",IF(H795="High","High-severity issue: ",IF(C795="Punch item","Punch item: ","Issue action due: "))&amp;F795&amp;IF(J795="",""," → "&amp;J795))</f>
        <v/>
      </c>
      <c r="T795" s="79">
        <f>IF(O795=1,IF(I795="",0,I795),0)</f>
        <v/>
      </c>
      <c r="U795" s="79">
        <f>IF(AND(O795=1,H795="High"),1,0)</f>
        <v/>
      </c>
      <c r="V795" s="79">
        <f>IF(AND(O795=1,C795="Punch item"),1,0)</f>
        <v/>
      </c>
    </row>
    <row r="796" ht="24" customHeight="1">
      <c r="B796" s="125" t="n">
        <v>789</v>
      </c>
      <c r="C796" s="72" t="n"/>
      <c r="D796" s="109" t="n"/>
      <c r="E796" s="72" t="n"/>
      <c r="F796" s="113" t="n"/>
      <c r="G796" s="72" t="n"/>
      <c r="H796" s="74" t="n"/>
      <c r="I796" s="73" t="n"/>
      <c r="J796" s="113" t="n"/>
      <c r="K796" s="109" t="n"/>
      <c r="L796" s="72" t="n"/>
      <c r="M796" s="109" t="n"/>
      <c r="N796" s="72" t="n"/>
      <c r="O796" s="79">
        <f>IF(AND(F796&lt;&gt;"",L796&lt;&gt;"Resolved"),1,0)</f>
        <v/>
      </c>
      <c r="P796" s="79">
        <f>IF(F796="","",IF(O796=0,0,IF(H796="High",2,1)))</f>
        <v/>
      </c>
      <c r="Q796" s="112">
        <f>IF(O796=1,IF(K796&lt;&gt;"",K796,IF(H796="High",AsOf,"")),"")</f>
        <v/>
      </c>
      <c r="R796" s="79">
        <f>IF(Q796="","",IF(H796="High",1,IF(Q796="","",IF(Q796&lt;AsOf,1,IF(Q796&lt;=AsOf+AlertDays,2,IF(Q796&lt;=AsOf+2*AlertDays,3,""))))))</f>
        <v/>
      </c>
      <c r="S796" s="79">
        <f>IF(R796="","",IF(H796="High","High-severity issue: ",IF(C796="Punch item","Punch item: ","Issue action due: "))&amp;F796&amp;IF(J796="",""," → "&amp;J796))</f>
        <v/>
      </c>
      <c r="T796" s="79">
        <f>IF(O796=1,IF(I796="",0,I796),0)</f>
        <v/>
      </c>
      <c r="U796" s="79">
        <f>IF(AND(O796=1,H796="High"),1,0)</f>
        <v/>
      </c>
      <c r="V796" s="79">
        <f>IF(AND(O796=1,C796="Punch item"),1,0)</f>
        <v/>
      </c>
    </row>
    <row r="797" ht="24" customHeight="1">
      <c r="B797" s="125" t="n">
        <v>790</v>
      </c>
      <c r="C797" s="72" t="n"/>
      <c r="D797" s="109" t="n"/>
      <c r="E797" s="72" t="n"/>
      <c r="F797" s="113" t="n"/>
      <c r="G797" s="72" t="n"/>
      <c r="H797" s="74" t="n"/>
      <c r="I797" s="73" t="n"/>
      <c r="J797" s="113" t="n"/>
      <c r="K797" s="109" t="n"/>
      <c r="L797" s="72" t="n"/>
      <c r="M797" s="109" t="n"/>
      <c r="N797" s="72" t="n"/>
      <c r="O797" s="79">
        <f>IF(AND(F797&lt;&gt;"",L797&lt;&gt;"Resolved"),1,0)</f>
        <v/>
      </c>
      <c r="P797" s="79">
        <f>IF(F797="","",IF(O797=0,0,IF(H797="High",2,1)))</f>
        <v/>
      </c>
      <c r="Q797" s="112">
        <f>IF(O797=1,IF(K797&lt;&gt;"",K797,IF(H797="High",AsOf,"")),"")</f>
        <v/>
      </c>
      <c r="R797" s="79">
        <f>IF(Q797="","",IF(H797="High",1,IF(Q797="","",IF(Q797&lt;AsOf,1,IF(Q797&lt;=AsOf+AlertDays,2,IF(Q797&lt;=AsOf+2*AlertDays,3,""))))))</f>
        <v/>
      </c>
      <c r="S797" s="79">
        <f>IF(R797="","",IF(H797="High","High-severity issue: ",IF(C797="Punch item","Punch item: ","Issue action due: "))&amp;F797&amp;IF(J797="",""," → "&amp;J797))</f>
        <v/>
      </c>
      <c r="T797" s="79">
        <f>IF(O797=1,IF(I797="",0,I797),0)</f>
        <v/>
      </c>
      <c r="U797" s="79">
        <f>IF(AND(O797=1,H797="High"),1,0)</f>
        <v/>
      </c>
      <c r="V797" s="79">
        <f>IF(AND(O797=1,C797="Punch item"),1,0)</f>
        <v/>
      </c>
    </row>
    <row r="798" ht="24" customHeight="1">
      <c r="B798" s="125" t="n">
        <v>791</v>
      </c>
      <c r="C798" s="72" t="n"/>
      <c r="D798" s="109" t="n"/>
      <c r="E798" s="72" t="n"/>
      <c r="F798" s="113" t="n"/>
      <c r="G798" s="72" t="n"/>
      <c r="H798" s="74" t="n"/>
      <c r="I798" s="73" t="n"/>
      <c r="J798" s="113" t="n"/>
      <c r="K798" s="109" t="n"/>
      <c r="L798" s="72" t="n"/>
      <c r="M798" s="109" t="n"/>
      <c r="N798" s="72" t="n"/>
      <c r="O798" s="79">
        <f>IF(AND(F798&lt;&gt;"",L798&lt;&gt;"Resolved"),1,0)</f>
        <v/>
      </c>
      <c r="P798" s="79">
        <f>IF(F798="","",IF(O798=0,0,IF(H798="High",2,1)))</f>
        <v/>
      </c>
      <c r="Q798" s="112">
        <f>IF(O798=1,IF(K798&lt;&gt;"",K798,IF(H798="High",AsOf,"")),"")</f>
        <v/>
      </c>
      <c r="R798" s="79">
        <f>IF(Q798="","",IF(H798="High",1,IF(Q798="","",IF(Q798&lt;AsOf,1,IF(Q798&lt;=AsOf+AlertDays,2,IF(Q798&lt;=AsOf+2*AlertDays,3,""))))))</f>
        <v/>
      </c>
      <c r="S798" s="79">
        <f>IF(R798="","",IF(H798="High","High-severity issue: ",IF(C798="Punch item","Punch item: ","Issue action due: "))&amp;F798&amp;IF(J798="",""," → "&amp;J798))</f>
        <v/>
      </c>
      <c r="T798" s="79">
        <f>IF(O798=1,IF(I798="",0,I798),0)</f>
        <v/>
      </c>
      <c r="U798" s="79">
        <f>IF(AND(O798=1,H798="High"),1,0)</f>
        <v/>
      </c>
      <c r="V798" s="79">
        <f>IF(AND(O798=1,C798="Punch item"),1,0)</f>
        <v/>
      </c>
    </row>
    <row r="799" ht="24" customHeight="1">
      <c r="B799" s="125" t="n">
        <v>792</v>
      </c>
      <c r="C799" s="72" t="n"/>
      <c r="D799" s="109" t="n"/>
      <c r="E799" s="72" t="n"/>
      <c r="F799" s="113" t="n"/>
      <c r="G799" s="72" t="n"/>
      <c r="H799" s="74" t="n"/>
      <c r="I799" s="73" t="n"/>
      <c r="J799" s="113" t="n"/>
      <c r="K799" s="109" t="n"/>
      <c r="L799" s="72" t="n"/>
      <c r="M799" s="109" t="n"/>
      <c r="N799" s="72" t="n"/>
      <c r="O799" s="79">
        <f>IF(AND(F799&lt;&gt;"",L799&lt;&gt;"Resolved"),1,0)</f>
        <v/>
      </c>
      <c r="P799" s="79">
        <f>IF(F799="","",IF(O799=0,0,IF(H799="High",2,1)))</f>
        <v/>
      </c>
      <c r="Q799" s="112">
        <f>IF(O799=1,IF(K799&lt;&gt;"",K799,IF(H799="High",AsOf,"")),"")</f>
        <v/>
      </c>
      <c r="R799" s="79">
        <f>IF(Q799="","",IF(H799="High",1,IF(Q799="","",IF(Q799&lt;AsOf,1,IF(Q799&lt;=AsOf+AlertDays,2,IF(Q799&lt;=AsOf+2*AlertDays,3,""))))))</f>
        <v/>
      </c>
      <c r="S799" s="79">
        <f>IF(R799="","",IF(H799="High","High-severity issue: ",IF(C799="Punch item","Punch item: ","Issue action due: "))&amp;F799&amp;IF(J799="",""," → "&amp;J799))</f>
        <v/>
      </c>
      <c r="T799" s="79">
        <f>IF(O799=1,IF(I799="",0,I799),0)</f>
        <v/>
      </c>
      <c r="U799" s="79">
        <f>IF(AND(O799=1,H799="High"),1,0)</f>
        <v/>
      </c>
      <c r="V799" s="79">
        <f>IF(AND(O799=1,C799="Punch item"),1,0)</f>
        <v/>
      </c>
    </row>
    <row r="800" ht="24" customHeight="1">
      <c r="B800" s="125" t="n">
        <v>793</v>
      </c>
      <c r="C800" s="72" t="n"/>
      <c r="D800" s="109" t="n"/>
      <c r="E800" s="72" t="n"/>
      <c r="F800" s="113" t="n"/>
      <c r="G800" s="72" t="n"/>
      <c r="H800" s="74" t="n"/>
      <c r="I800" s="73" t="n"/>
      <c r="J800" s="113" t="n"/>
      <c r="K800" s="109" t="n"/>
      <c r="L800" s="72" t="n"/>
      <c r="M800" s="109" t="n"/>
      <c r="N800" s="72" t="n"/>
      <c r="O800" s="79">
        <f>IF(AND(F800&lt;&gt;"",L800&lt;&gt;"Resolved"),1,0)</f>
        <v/>
      </c>
      <c r="P800" s="79">
        <f>IF(F800="","",IF(O800=0,0,IF(H800="High",2,1)))</f>
        <v/>
      </c>
      <c r="Q800" s="112">
        <f>IF(O800=1,IF(K800&lt;&gt;"",K800,IF(H800="High",AsOf,"")),"")</f>
        <v/>
      </c>
      <c r="R800" s="79">
        <f>IF(Q800="","",IF(H800="High",1,IF(Q800="","",IF(Q800&lt;AsOf,1,IF(Q800&lt;=AsOf+AlertDays,2,IF(Q800&lt;=AsOf+2*AlertDays,3,""))))))</f>
        <v/>
      </c>
      <c r="S800" s="79">
        <f>IF(R800="","",IF(H800="High","High-severity issue: ",IF(C800="Punch item","Punch item: ","Issue action due: "))&amp;F800&amp;IF(J800="",""," → "&amp;J800))</f>
        <v/>
      </c>
      <c r="T800" s="79">
        <f>IF(O800=1,IF(I800="",0,I800),0)</f>
        <v/>
      </c>
      <c r="U800" s="79">
        <f>IF(AND(O800=1,H800="High"),1,0)</f>
        <v/>
      </c>
      <c r="V800" s="79">
        <f>IF(AND(O800=1,C800="Punch item"),1,0)</f>
        <v/>
      </c>
    </row>
    <row r="801" ht="24" customHeight="1">
      <c r="B801" s="125" t="n">
        <v>794</v>
      </c>
      <c r="C801" s="72" t="n"/>
      <c r="D801" s="109" t="n"/>
      <c r="E801" s="72" t="n"/>
      <c r="F801" s="113" t="n"/>
      <c r="G801" s="72" t="n"/>
      <c r="H801" s="74" t="n"/>
      <c r="I801" s="73" t="n"/>
      <c r="J801" s="113" t="n"/>
      <c r="K801" s="109" t="n"/>
      <c r="L801" s="72" t="n"/>
      <c r="M801" s="109" t="n"/>
      <c r="N801" s="72" t="n"/>
      <c r="O801" s="79">
        <f>IF(AND(F801&lt;&gt;"",L801&lt;&gt;"Resolved"),1,0)</f>
        <v/>
      </c>
      <c r="P801" s="79">
        <f>IF(F801="","",IF(O801=0,0,IF(H801="High",2,1)))</f>
        <v/>
      </c>
      <c r="Q801" s="112">
        <f>IF(O801=1,IF(K801&lt;&gt;"",K801,IF(H801="High",AsOf,"")),"")</f>
        <v/>
      </c>
      <c r="R801" s="79">
        <f>IF(Q801="","",IF(H801="High",1,IF(Q801="","",IF(Q801&lt;AsOf,1,IF(Q801&lt;=AsOf+AlertDays,2,IF(Q801&lt;=AsOf+2*AlertDays,3,""))))))</f>
        <v/>
      </c>
      <c r="S801" s="79">
        <f>IF(R801="","",IF(H801="High","High-severity issue: ",IF(C801="Punch item","Punch item: ","Issue action due: "))&amp;F801&amp;IF(J801="",""," → "&amp;J801))</f>
        <v/>
      </c>
      <c r="T801" s="79">
        <f>IF(O801=1,IF(I801="",0,I801),0)</f>
        <v/>
      </c>
      <c r="U801" s="79">
        <f>IF(AND(O801=1,H801="High"),1,0)</f>
        <v/>
      </c>
      <c r="V801" s="79">
        <f>IF(AND(O801=1,C801="Punch item"),1,0)</f>
        <v/>
      </c>
    </row>
    <row r="802" ht="24" customHeight="1">
      <c r="B802" s="125" t="n">
        <v>795</v>
      </c>
      <c r="C802" s="72" t="n"/>
      <c r="D802" s="109" t="n"/>
      <c r="E802" s="72" t="n"/>
      <c r="F802" s="113" t="n"/>
      <c r="G802" s="72" t="n"/>
      <c r="H802" s="74" t="n"/>
      <c r="I802" s="73" t="n"/>
      <c r="J802" s="113" t="n"/>
      <c r="K802" s="109" t="n"/>
      <c r="L802" s="72" t="n"/>
      <c r="M802" s="109" t="n"/>
      <c r="N802" s="72" t="n"/>
      <c r="O802" s="79">
        <f>IF(AND(F802&lt;&gt;"",L802&lt;&gt;"Resolved"),1,0)</f>
        <v/>
      </c>
      <c r="P802" s="79">
        <f>IF(F802="","",IF(O802=0,0,IF(H802="High",2,1)))</f>
        <v/>
      </c>
      <c r="Q802" s="112">
        <f>IF(O802=1,IF(K802&lt;&gt;"",K802,IF(H802="High",AsOf,"")),"")</f>
        <v/>
      </c>
      <c r="R802" s="79">
        <f>IF(Q802="","",IF(H802="High",1,IF(Q802="","",IF(Q802&lt;AsOf,1,IF(Q802&lt;=AsOf+AlertDays,2,IF(Q802&lt;=AsOf+2*AlertDays,3,""))))))</f>
        <v/>
      </c>
      <c r="S802" s="79">
        <f>IF(R802="","",IF(H802="High","High-severity issue: ",IF(C802="Punch item","Punch item: ","Issue action due: "))&amp;F802&amp;IF(J802="",""," → "&amp;J802))</f>
        <v/>
      </c>
      <c r="T802" s="79">
        <f>IF(O802=1,IF(I802="",0,I802),0)</f>
        <v/>
      </c>
      <c r="U802" s="79">
        <f>IF(AND(O802=1,H802="High"),1,0)</f>
        <v/>
      </c>
      <c r="V802" s="79">
        <f>IF(AND(O802=1,C802="Punch item"),1,0)</f>
        <v/>
      </c>
    </row>
    <row r="803" ht="24" customHeight="1">
      <c r="B803" s="125" t="n">
        <v>796</v>
      </c>
      <c r="C803" s="72" t="n"/>
      <c r="D803" s="109" t="n"/>
      <c r="E803" s="72" t="n"/>
      <c r="F803" s="113" t="n"/>
      <c r="G803" s="72" t="n"/>
      <c r="H803" s="74" t="n"/>
      <c r="I803" s="73" t="n"/>
      <c r="J803" s="113" t="n"/>
      <c r="K803" s="109" t="n"/>
      <c r="L803" s="72" t="n"/>
      <c r="M803" s="109" t="n"/>
      <c r="N803" s="72" t="n"/>
      <c r="O803" s="79">
        <f>IF(AND(F803&lt;&gt;"",L803&lt;&gt;"Resolved"),1,0)</f>
        <v/>
      </c>
      <c r="P803" s="79">
        <f>IF(F803="","",IF(O803=0,0,IF(H803="High",2,1)))</f>
        <v/>
      </c>
      <c r="Q803" s="112">
        <f>IF(O803=1,IF(K803&lt;&gt;"",K803,IF(H803="High",AsOf,"")),"")</f>
        <v/>
      </c>
      <c r="R803" s="79">
        <f>IF(Q803="","",IF(H803="High",1,IF(Q803="","",IF(Q803&lt;AsOf,1,IF(Q803&lt;=AsOf+AlertDays,2,IF(Q803&lt;=AsOf+2*AlertDays,3,""))))))</f>
        <v/>
      </c>
      <c r="S803" s="79">
        <f>IF(R803="","",IF(H803="High","High-severity issue: ",IF(C803="Punch item","Punch item: ","Issue action due: "))&amp;F803&amp;IF(J803="",""," → "&amp;J803))</f>
        <v/>
      </c>
      <c r="T803" s="79">
        <f>IF(O803=1,IF(I803="",0,I803),0)</f>
        <v/>
      </c>
      <c r="U803" s="79">
        <f>IF(AND(O803=1,H803="High"),1,0)</f>
        <v/>
      </c>
      <c r="V803" s="79">
        <f>IF(AND(O803=1,C803="Punch item"),1,0)</f>
        <v/>
      </c>
    </row>
    <row r="804" ht="24" customHeight="1">
      <c r="B804" s="125" t="n">
        <v>797</v>
      </c>
      <c r="C804" s="72" t="n"/>
      <c r="D804" s="109" t="n"/>
      <c r="E804" s="72" t="n"/>
      <c r="F804" s="113" t="n"/>
      <c r="G804" s="72" t="n"/>
      <c r="H804" s="74" t="n"/>
      <c r="I804" s="73" t="n"/>
      <c r="J804" s="113" t="n"/>
      <c r="K804" s="109" t="n"/>
      <c r="L804" s="72" t="n"/>
      <c r="M804" s="109" t="n"/>
      <c r="N804" s="72" t="n"/>
      <c r="O804" s="79">
        <f>IF(AND(F804&lt;&gt;"",L804&lt;&gt;"Resolved"),1,0)</f>
        <v/>
      </c>
      <c r="P804" s="79">
        <f>IF(F804="","",IF(O804=0,0,IF(H804="High",2,1)))</f>
        <v/>
      </c>
      <c r="Q804" s="112">
        <f>IF(O804=1,IF(K804&lt;&gt;"",K804,IF(H804="High",AsOf,"")),"")</f>
        <v/>
      </c>
      <c r="R804" s="79">
        <f>IF(Q804="","",IF(H804="High",1,IF(Q804="","",IF(Q804&lt;AsOf,1,IF(Q804&lt;=AsOf+AlertDays,2,IF(Q804&lt;=AsOf+2*AlertDays,3,""))))))</f>
        <v/>
      </c>
      <c r="S804" s="79">
        <f>IF(R804="","",IF(H804="High","High-severity issue: ",IF(C804="Punch item","Punch item: ","Issue action due: "))&amp;F804&amp;IF(J804="",""," → "&amp;J804))</f>
        <v/>
      </c>
      <c r="T804" s="79">
        <f>IF(O804=1,IF(I804="",0,I804),0)</f>
        <v/>
      </c>
      <c r="U804" s="79">
        <f>IF(AND(O804=1,H804="High"),1,0)</f>
        <v/>
      </c>
      <c r="V804" s="79">
        <f>IF(AND(O804=1,C804="Punch item"),1,0)</f>
        <v/>
      </c>
    </row>
    <row r="805" ht="24" customHeight="1">
      <c r="B805" s="125" t="n">
        <v>798</v>
      </c>
      <c r="C805" s="72" t="n"/>
      <c r="D805" s="109" t="n"/>
      <c r="E805" s="72" t="n"/>
      <c r="F805" s="113" t="n"/>
      <c r="G805" s="72" t="n"/>
      <c r="H805" s="74" t="n"/>
      <c r="I805" s="73" t="n"/>
      <c r="J805" s="113" t="n"/>
      <c r="K805" s="109" t="n"/>
      <c r="L805" s="72" t="n"/>
      <c r="M805" s="109" t="n"/>
      <c r="N805" s="72" t="n"/>
      <c r="O805" s="79">
        <f>IF(AND(F805&lt;&gt;"",L805&lt;&gt;"Resolved"),1,0)</f>
        <v/>
      </c>
      <c r="P805" s="79">
        <f>IF(F805="","",IF(O805=0,0,IF(H805="High",2,1)))</f>
        <v/>
      </c>
      <c r="Q805" s="112">
        <f>IF(O805=1,IF(K805&lt;&gt;"",K805,IF(H805="High",AsOf,"")),"")</f>
        <v/>
      </c>
      <c r="R805" s="79">
        <f>IF(Q805="","",IF(H805="High",1,IF(Q805="","",IF(Q805&lt;AsOf,1,IF(Q805&lt;=AsOf+AlertDays,2,IF(Q805&lt;=AsOf+2*AlertDays,3,""))))))</f>
        <v/>
      </c>
      <c r="S805" s="79">
        <f>IF(R805="","",IF(H805="High","High-severity issue: ",IF(C805="Punch item","Punch item: ","Issue action due: "))&amp;F805&amp;IF(J805="",""," → "&amp;J805))</f>
        <v/>
      </c>
      <c r="T805" s="79">
        <f>IF(O805=1,IF(I805="",0,I805),0)</f>
        <v/>
      </c>
      <c r="U805" s="79">
        <f>IF(AND(O805=1,H805="High"),1,0)</f>
        <v/>
      </c>
      <c r="V805" s="79">
        <f>IF(AND(O805=1,C805="Punch item"),1,0)</f>
        <v/>
      </c>
    </row>
    <row r="806" ht="24" customHeight="1">
      <c r="B806" s="125" t="n">
        <v>799</v>
      </c>
      <c r="C806" s="72" t="n"/>
      <c r="D806" s="109" t="n"/>
      <c r="E806" s="72" t="n"/>
      <c r="F806" s="113" t="n"/>
      <c r="G806" s="72" t="n"/>
      <c r="H806" s="74" t="n"/>
      <c r="I806" s="73" t="n"/>
      <c r="J806" s="113" t="n"/>
      <c r="K806" s="109" t="n"/>
      <c r="L806" s="72" t="n"/>
      <c r="M806" s="109" t="n"/>
      <c r="N806" s="72" t="n"/>
      <c r="O806" s="79">
        <f>IF(AND(F806&lt;&gt;"",L806&lt;&gt;"Resolved"),1,0)</f>
        <v/>
      </c>
      <c r="P806" s="79">
        <f>IF(F806="","",IF(O806=0,0,IF(H806="High",2,1)))</f>
        <v/>
      </c>
      <c r="Q806" s="112">
        <f>IF(O806=1,IF(K806&lt;&gt;"",K806,IF(H806="High",AsOf,"")),"")</f>
        <v/>
      </c>
      <c r="R806" s="79">
        <f>IF(Q806="","",IF(H806="High",1,IF(Q806="","",IF(Q806&lt;AsOf,1,IF(Q806&lt;=AsOf+AlertDays,2,IF(Q806&lt;=AsOf+2*AlertDays,3,""))))))</f>
        <v/>
      </c>
      <c r="S806" s="79">
        <f>IF(R806="","",IF(H806="High","High-severity issue: ",IF(C806="Punch item","Punch item: ","Issue action due: "))&amp;F806&amp;IF(J806="",""," → "&amp;J806))</f>
        <v/>
      </c>
      <c r="T806" s="79">
        <f>IF(O806=1,IF(I806="",0,I806),0)</f>
        <v/>
      </c>
      <c r="U806" s="79">
        <f>IF(AND(O806=1,H806="High"),1,0)</f>
        <v/>
      </c>
      <c r="V806" s="79">
        <f>IF(AND(O806=1,C806="Punch item"),1,0)</f>
        <v/>
      </c>
    </row>
    <row r="807" ht="24" customHeight="1">
      <c r="B807" s="125" t="n">
        <v>800</v>
      </c>
      <c r="C807" s="72" t="n"/>
      <c r="D807" s="109" t="n"/>
      <c r="E807" s="72" t="n"/>
      <c r="F807" s="113" t="n"/>
      <c r="G807" s="72" t="n"/>
      <c r="H807" s="74" t="n"/>
      <c r="I807" s="73" t="n"/>
      <c r="J807" s="113" t="n"/>
      <c r="K807" s="109" t="n"/>
      <c r="L807" s="72" t="n"/>
      <c r="M807" s="109" t="n"/>
      <c r="N807" s="72" t="n"/>
      <c r="O807" s="79">
        <f>IF(AND(F807&lt;&gt;"",L807&lt;&gt;"Resolved"),1,0)</f>
        <v/>
      </c>
      <c r="P807" s="79">
        <f>IF(F807="","",IF(O807=0,0,IF(H807="High",2,1)))</f>
        <v/>
      </c>
      <c r="Q807" s="112">
        <f>IF(O807=1,IF(K807&lt;&gt;"",K807,IF(H807="High",AsOf,"")),"")</f>
        <v/>
      </c>
      <c r="R807" s="79">
        <f>IF(Q807="","",IF(H807="High",1,IF(Q807="","",IF(Q807&lt;AsOf,1,IF(Q807&lt;=AsOf+AlertDays,2,IF(Q807&lt;=AsOf+2*AlertDays,3,""))))))</f>
        <v/>
      </c>
      <c r="S807" s="79">
        <f>IF(R807="","",IF(H807="High","High-severity issue: ",IF(C807="Punch item","Punch item: ","Issue action due: "))&amp;F807&amp;IF(J807="",""," → "&amp;J807))</f>
        <v/>
      </c>
      <c r="T807" s="79">
        <f>IF(O807=1,IF(I807="",0,I807),0)</f>
        <v/>
      </c>
      <c r="U807" s="79">
        <f>IF(AND(O807=1,H807="High"),1,0)</f>
        <v/>
      </c>
      <c r="V807" s="79">
        <f>IF(AND(O807=1,C807="Punch item"),1,0)</f>
        <v/>
      </c>
    </row>
    <row r="808" ht="24" customHeight="1">
      <c r="B808" s="125" t="n">
        <v>801</v>
      </c>
      <c r="C808" s="72" t="n"/>
      <c r="D808" s="109" t="n"/>
      <c r="E808" s="72" t="n"/>
      <c r="F808" s="113" t="n"/>
      <c r="G808" s="72" t="n"/>
      <c r="H808" s="74" t="n"/>
      <c r="I808" s="73" t="n"/>
      <c r="J808" s="113" t="n"/>
      <c r="K808" s="109" t="n"/>
      <c r="L808" s="72" t="n"/>
      <c r="M808" s="109" t="n"/>
      <c r="N808" s="72" t="n"/>
      <c r="O808" s="79">
        <f>IF(AND(F808&lt;&gt;"",L808&lt;&gt;"Resolved"),1,0)</f>
        <v/>
      </c>
      <c r="P808" s="79">
        <f>IF(F808="","",IF(O808=0,0,IF(H808="High",2,1)))</f>
        <v/>
      </c>
      <c r="Q808" s="112">
        <f>IF(O808=1,IF(K808&lt;&gt;"",K808,IF(H808="High",AsOf,"")),"")</f>
        <v/>
      </c>
      <c r="R808" s="79">
        <f>IF(Q808="","",IF(H808="High",1,IF(Q808="","",IF(Q808&lt;AsOf,1,IF(Q808&lt;=AsOf+AlertDays,2,IF(Q808&lt;=AsOf+2*AlertDays,3,""))))))</f>
        <v/>
      </c>
      <c r="S808" s="79">
        <f>IF(R808="","",IF(H808="High","High-severity issue: ",IF(C808="Punch item","Punch item: ","Issue action due: "))&amp;F808&amp;IF(J808="",""," → "&amp;J808))</f>
        <v/>
      </c>
      <c r="T808" s="79">
        <f>IF(O808=1,IF(I808="",0,I808),0)</f>
        <v/>
      </c>
      <c r="U808" s="79">
        <f>IF(AND(O808=1,H808="High"),1,0)</f>
        <v/>
      </c>
      <c r="V808" s="79">
        <f>IF(AND(O808=1,C808="Punch item"),1,0)</f>
        <v/>
      </c>
    </row>
    <row r="809" ht="24" customHeight="1">
      <c r="B809" s="125" t="n">
        <v>802</v>
      </c>
      <c r="C809" s="72" t="n"/>
      <c r="D809" s="109" t="n"/>
      <c r="E809" s="72" t="n"/>
      <c r="F809" s="113" t="n"/>
      <c r="G809" s="72" t="n"/>
      <c r="H809" s="74" t="n"/>
      <c r="I809" s="73" t="n"/>
      <c r="J809" s="113" t="n"/>
      <c r="K809" s="109" t="n"/>
      <c r="L809" s="72" t="n"/>
      <c r="M809" s="109" t="n"/>
      <c r="N809" s="72" t="n"/>
      <c r="O809" s="79">
        <f>IF(AND(F809&lt;&gt;"",L809&lt;&gt;"Resolved"),1,0)</f>
        <v/>
      </c>
      <c r="P809" s="79">
        <f>IF(F809="","",IF(O809=0,0,IF(H809="High",2,1)))</f>
        <v/>
      </c>
      <c r="Q809" s="112">
        <f>IF(O809=1,IF(K809&lt;&gt;"",K809,IF(H809="High",AsOf,"")),"")</f>
        <v/>
      </c>
      <c r="R809" s="79">
        <f>IF(Q809="","",IF(H809="High",1,IF(Q809="","",IF(Q809&lt;AsOf,1,IF(Q809&lt;=AsOf+AlertDays,2,IF(Q809&lt;=AsOf+2*AlertDays,3,""))))))</f>
        <v/>
      </c>
      <c r="S809" s="79">
        <f>IF(R809="","",IF(H809="High","High-severity issue: ",IF(C809="Punch item","Punch item: ","Issue action due: "))&amp;F809&amp;IF(J809="",""," → "&amp;J809))</f>
        <v/>
      </c>
      <c r="T809" s="79">
        <f>IF(O809=1,IF(I809="",0,I809),0)</f>
        <v/>
      </c>
      <c r="U809" s="79">
        <f>IF(AND(O809=1,H809="High"),1,0)</f>
        <v/>
      </c>
      <c r="V809" s="79">
        <f>IF(AND(O809=1,C809="Punch item"),1,0)</f>
        <v/>
      </c>
    </row>
    <row r="810" ht="24" customHeight="1">
      <c r="B810" s="125" t="n">
        <v>803</v>
      </c>
      <c r="C810" s="72" t="n"/>
      <c r="D810" s="109" t="n"/>
      <c r="E810" s="72" t="n"/>
      <c r="F810" s="113" t="n"/>
      <c r="G810" s="72" t="n"/>
      <c r="H810" s="74" t="n"/>
      <c r="I810" s="73" t="n"/>
      <c r="J810" s="113" t="n"/>
      <c r="K810" s="109" t="n"/>
      <c r="L810" s="72" t="n"/>
      <c r="M810" s="109" t="n"/>
      <c r="N810" s="72" t="n"/>
      <c r="O810" s="79">
        <f>IF(AND(F810&lt;&gt;"",L810&lt;&gt;"Resolved"),1,0)</f>
        <v/>
      </c>
      <c r="P810" s="79">
        <f>IF(F810="","",IF(O810=0,0,IF(H810="High",2,1)))</f>
        <v/>
      </c>
      <c r="Q810" s="112">
        <f>IF(O810=1,IF(K810&lt;&gt;"",K810,IF(H810="High",AsOf,"")),"")</f>
        <v/>
      </c>
      <c r="R810" s="79">
        <f>IF(Q810="","",IF(H810="High",1,IF(Q810="","",IF(Q810&lt;AsOf,1,IF(Q810&lt;=AsOf+AlertDays,2,IF(Q810&lt;=AsOf+2*AlertDays,3,""))))))</f>
        <v/>
      </c>
      <c r="S810" s="79">
        <f>IF(R810="","",IF(H810="High","High-severity issue: ",IF(C810="Punch item","Punch item: ","Issue action due: "))&amp;F810&amp;IF(J810="",""," → "&amp;J810))</f>
        <v/>
      </c>
      <c r="T810" s="79">
        <f>IF(O810=1,IF(I810="",0,I810),0)</f>
        <v/>
      </c>
      <c r="U810" s="79">
        <f>IF(AND(O810=1,H810="High"),1,0)</f>
        <v/>
      </c>
      <c r="V810" s="79">
        <f>IF(AND(O810=1,C810="Punch item"),1,0)</f>
        <v/>
      </c>
    </row>
    <row r="811" ht="24" customHeight="1">
      <c r="B811" s="125" t="n">
        <v>804</v>
      </c>
      <c r="C811" s="72" t="n"/>
      <c r="D811" s="109" t="n"/>
      <c r="E811" s="72" t="n"/>
      <c r="F811" s="113" t="n"/>
      <c r="G811" s="72" t="n"/>
      <c r="H811" s="74" t="n"/>
      <c r="I811" s="73" t="n"/>
      <c r="J811" s="113" t="n"/>
      <c r="K811" s="109" t="n"/>
      <c r="L811" s="72" t="n"/>
      <c r="M811" s="109" t="n"/>
      <c r="N811" s="72" t="n"/>
      <c r="O811" s="79">
        <f>IF(AND(F811&lt;&gt;"",L811&lt;&gt;"Resolved"),1,0)</f>
        <v/>
      </c>
      <c r="P811" s="79">
        <f>IF(F811="","",IF(O811=0,0,IF(H811="High",2,1)))</f>
        <v/>
      </c>
      <c r="Q811" s="112">
        <f>IF(O811=1,IF(K811&lt;&gt;"",K811,IF(H811="High",AsOf,"")),"")</f>
        <v/>
      </c>
      <c r="R811" s="79">
        <f>IF(Q811="","",IF(H811="High",1,IF(Q811="","",IF(Q811&lt;AsOf,1,IF(Q811&lt;=AsOf+AlertDays,2,IF(Q811&lt;=AsOf+2*AlertDays,3,""))))))</f>
        <v/>
      </c>
      <c r="S811" s="79">
        <f>IF(R811="","",IF(H811="High","High-severity issue: ",IF(C811="Punch item","Punch item: ","Issue action due: "))&amp;F811&amp;IF(J811="",""," → "&amp;J811))</f>
        <v/>
      </c>
      <c r="T811" s="79">
        <f>IF(O811=1,IF(I811="",0,I811),0)</f>
        <v/>
      </c>
      <c r="U811" s="79">
        <f>IF(AND(O811=1,H811="High"),1,0)</f>
        <v/>
      </c>
      <c r="V811" s="79">
        <f>IF(AND(O811=1,C811="Punch item"),1,0)</f>
        <v/>
      </c>
    </row>
    <row r="812" ht="24" customHeight="1">
      <c r="B812" s="125" t="n">
        <v>805</v>
      </c>
      <c r="C812" s="72" t="n"/>
      <c r="D812" s="109" t="n"/>
      <c r="E812" s="72" t="n"/>
      <c r="F812" s="113" t="n"/>
      <c r="G812" s="72" t="n"/>
      <c r="H812" s="74" t="n"/>
      <c r="I812" s="73" t="n"/>
      <c r="J812" s="113" t="n"/>
      <c r="K812" s="109" t="n"/>
      <c r="L812" s="72" t="n"/>
      <c r="M812" s="109" t="n"/>
      <c r="N812" s="72" t="n"/>
      <c r="O812" s="79">
        <f>IF(AND(F812&lt;&gt;"",L812&lt;&gt;"Resolved"),1,0)</f>
        <v/>
      </c>
      <c r="P812" s="79">
        <f>IF(F812="","",IF(O812=0,0,IF(H812="High",2,1)))</f>
        <v/>
      </c>
      <c r="Q812" s="112">
        <f>IF(O812=1,IF(K812&lt;&gt;"",K812,IF(H812="High",AsOf,"")),"")</f>
        <v/>
      </c>
      <c r="R812" s="79">
        <f>IF(Q812="","",IF(H812="High",1,IF(Q812="","",IF(Q812&lt;AsOf,1,IF(Q812&lt;=AsOf+AlertDays,2,IF(Q812&lt;=AsOf+2*AlertDays,3,""))))))</f>
        <v/>
      </c>
      <c r="S812" s="79">
        <f>IF(R812="","",IF(H812="High","High-severity issue: ",IF(C812="Punch item","Punch item: ","Issue action due: "))&amp;F812&amp;IF(J812="",""," → "&amp;J812))</f>
        <v/>
      </c>
      <c r="T812" s="79">
        <f>IF(O812=1,IF(I812="",0,I812),0)</f>
        <v/>
      </c>
      <c r="U812" s="79">
        <f>IF(AND(O812=1,H812="High"),1,0)</f>
        <v/>
      </c>
      <c r="V812" s="79">
        <f>IF(AND(O812=1,C812="Punch item"),1,0)</f>
        <v/>
      </c>
    </row>
    <row r="813" ht="24" customHeight="1">
      <c r="B813" s="125" t="n">
        <v>806</v>
      </c>
      <c r="C813" s="72" t="n"/>
      <c r="D813" s="109" t="n"/>
      <c r="E813" s="72" t="n"/>
      <c r="F813" s="113" t="n"/>
      <c r="G813" s="72" t="n"/>
      <c r="H813" s="74" t="n"/>
      <c r="I813" s="73" t="n"/>
      <c r="J813" s="113" t="n"/>
      <c r="K813" s="109" t="n"/>
      <c r="L813" s="72" t="n"/>
      <c r="M813" s="109" t="n"/>
      <c r="N813" s="72" t="n"/>
      <c r="O813" s="79">
        <f>IF(AND(F813&lt;&gt;"",L813&lt;&gt;"Resolved"),1,0)</f>
        <v/>
      </c>
      <c r="P813" s="79">
        <f>IF(F813="","",IF(O813=0,0,IF(H813="High",2,1)))</f>
        <v/>
      </c>
      <c r="Q813" s="112">
        <f>IF(O813=1,IF(K813&lt;&gt;"",K813,IF(H813="High",AsOf,"")),"")</f>
        <v/>
      </c>
      <c r="R813" s="79">
        <f>IF(Q813="","",IF(H813="High",1,IF(Q813="","",IF(Q813&lt;AsOf,1,IF(Q813&lt;=AsOf+AlertDays,2,IF(Q813&lt;=AsOf+2*AlertDays,3,""))))))</f>
        <v/>
      </c>
      <c r="S813" s="79">
        <f>IF(R813="","",IF(H813="High","High-severity issue: ",IF(C813="Punch item","Punch item: ","Issue action due: "))&amp;F813&amp;IF(J813="",""," → "&amp;J813))</f>
        <v/>
      </c>
      <c r="T813" s="79">
        <f>IF(O813=1,IF(I813="",0,I813),0)</f>
        <v/>
      </c>
      <c r="U813" s="79">
        <f>IF(AND(O813=1,H813="High"),1,0)</f>
        <v/>
      </c>
      <c r="V813" s="79">
        <f>IF(AND(O813=1,C813="Punch item"),1,0)</f>
        <v/>
      </c>
    </row>
    <row r="814" ht="24" customHeight="1">
      <c r="B814" s="125" t="n">
        <v>807</v>
      </c>
      <c r="C814" s="72" t="n"/>
      <c r="D814" s="109" t="n"/>
      <c r="E814" s="72" t="n"/>
      <c r="F814" s="113" t="n"/>
      <c r="G814" s="72" t="n"/>
      <c r="H814" s="74" t="n"/>
      <c r="I814" s="73" t="n"/>
      <c r="J814" s="113" t="n"/>
      <c r="K814" s="109" t="n"/>
      <c r="L814" s="72" t="n"/>
      <c r="M814" s="109" t="n"/>
      <c r="N814" s="72" t="n"/>
      <c r="O814" s="79">
        <f>IF(AND(F814&lt;&gt;"",L814&lt;&gt;"Resolved"),1,0)</f>
        <v/>
      </c>
      <c r="P814" s="79">
        <f>IF(F814="","",IF(O814=0,0,IF(H814="High",2,1)))</f>
        <v/>
      </c>
      <c r="Q814" s="112">
        <f>IF(O814=1,IF(K814&lt;&gt;"",K814,IF(H814="High",AsOf,"")),"")</f>
        <v/>
      </c>
      <c r="R814" s="79">
        <f>IF(Q814="","",IF(H814="High",1,IF(Q814="","",IF(Q814&lt;AsOf,1,IF(Q814&lt;=AsOf+AlertDays,2,IF(Q814&lt;=AsOf+2*AlertDays,3,""))))))</f>
        <v/>
      </c>
      <c r="S814" s="79">
        <f>IF(R814="","",IF(H814="High","High-severity issue: ",IF(C814="Punch item","Punch item: ","Issue action due: "))&amp;F814&amp;IF(J814="",""," → "&amp;J814))</f>
        <v/>
      </c>
      <c r="T814" s="79">
        <f>IF(O814=1,IF(I814="",0,I814),0)</f>
        <v/>
      </c>
      <c r="U814" s="79">
        <f>IF(AND(O814=1,H814="High"),1,0)</f>
        <v/>
      </c>
      <c r="V814" s="79">
        <f>IF(AND(O814=1,C814="Punch item"),1,0)</f>
        <v/>
      </c>
    </row>
    <row r="815" ht="24" customHeight="1">
      <c r="B815" s="125" t="n">
        <v>808</v>
      </c>
      <c r="C815" s="72" t="n"/>
      <c r="D815" s="109" t="n"/>
      <c r="E815" s="72" t="n"/>
      <c r="F815" s="113" t="n"/>
      <c r="G815" s="72" t="n"/>
      <c r="H815" s="74" t="n"/>
      <c r="I815" s="73" t="n"/>
      <c r="J815" s="113" t="n"/>
      <c r="K815" s="109" t="n"/>
      <c r="L815" s="72" t="n"/>
      <c r="M815" s="109" t="n"/>
      <c r="N815" s="72" t="n"/>
      <c r="O815" s="79">
        <f>IF(AND(F815&lt;&gt;"",L815&lt;&gt;"Resolved"),1,0)</f>
        <v/>
      </c>
      <c r="P815" s="79">
        <f>IF(F815="","",IF(O815=0,0,IF(H815="High",2,1)))</f>
        <v/>
      </c>
      <c r="Q815" s="112">
        <f>IF(O815=1,IF(K815&lt;&gt;"",K815,IF(H815="High",AsOf,"")),"")</f>
        <v/>
      </c>
      <c r="R815" s="79">
        <f>IF(Q815="","",IF(H815="High",1,IF(Q815="","",IF(Q815&lt;AsOf,1,IF(Q815&lt;=AsOf+AlertDays,2,IF(Q815&lt;=AsOf+2*AlertDays,3,""))))))</f>
        <v/>
      </c>
      <c r="S815" s="79">
        <f>IF(R815="","",IF(H815="High","High-severity issue: ",IF(C815="Punch item","Punch item: ","Issue action due: "))&amp;F815&amp;IF(J815="",""," → "&amp;J815))</f>
        <v/>
      </c>
      <c r="T815" s="79">
        <f>IF(O815=1,IF(I815="",0,I815),0)</f>
        <v/>
      </c>
      <c r="U815" s="79">
        <f>IF(AND(O815=1,H815="High"),1,0)</f>
        <v/>
      </c>
      <c r="V815" s="79">
        <f>IF(AND(O815=1,C815="Punch item"),1,0)</f>
        <v/>
      </c>
    </row>
    <row r="816" ht="24" customHeight="1">
      <c r="B816" s="125" t="n">
        <v>809</v>
      </c>
      <c r="C816" s="72" t="n"/>
      <c r="D816" s="109" t="n"/>
      <c r="E816" s="72" t="n"/>
      <c r="F816" s="113" t="n"/>
      <c r="G816" s="72" t="n"/>
      <c r="H816" s="74" t="n"/>
      <c r="I816" s="73" t="n"/>
      <c r="J816" s="113" t="n"/>
      <c r="K816" s="109" t="n"/>
      <c r="L816" s="72" t="n"/>
      <c r="M816" s="109" t="n"/>
      <c r="N816" s="72" t="n"/>
      <c r="O816" s="79">
        <f>IF(AND(F816&lt;&gt;"",L816&lt;&gt;"Resolved"),1,0)</f>
        <v/>
      </c>
      <c r="P816" s="79">
        <f>IF(F816="","",IF(O816=0,0,IF(H816="High",2,1)))</f>
        <v/>
      </c>
      <c r="Q816" s="112">
        <f>IF(O816=1,IF(K816&lt;&gt;"",K816,IF(H816="High",AsOf,"")),"")</f>
        <v/>
      </c>
      <c r="R816" s="79">
        <f>IF(Q816="","",IF(H816="High",1,IF(Q816="","",IF(Q816&lt;AsOf,1,IF(Q816&lt;=AsOf+AlertDays,2,IF(Q816&lt;=AsOf+2*AlertDays,3,""))))))</f>
        <v/>
      </c>
      <c r="S816" s="79">
        <f>IF(R816="","",IF(H816="High","High-severity issue: ",IF(C816="Punch item","Punch item: ","Issue action due: "))&amp;F816&amp;IF(J816="",""," → "&amp;J816))</f>
        <v/>
      </c>
      <c r="T816" s="79">
        <f>IF(O816=1,IF(I816="",0,I816),0)</f>
        <v/>
      </c>
      <c r="U816" s="79">
        <f>IF(AND(O816=1,H816="High"),1,0)</f>
        <v/>
      </c>
      <c r="V816" s="79">
        <f>IF(AND(O816=1,C816="Punch item"),1,0)</f>
        <v/>
      </c>
    </row>
    <row r="817" ht="24" customHeight="1">
      <c r="B817" s="125" t="n">
        <v>810</v>
      </c>
      <c r="C817" s="72" t="n"/>
      <c r="D817" s="109" t="n"/>
      <c r="E817" s="72" t="n"/>
      <c r="F817" s="113" t="n"/>
      <c r="G817" s="72" t="n"/>
      <c r="H817" s="74" t="n"/>
      <c r="I817" s="73" t="n"/>
      <c r="J817" s="113" t="n"/>
      <c r="K817" s="109" t="n"/>
      <c r="L817" s="72" t="n"/>
      <c r="M817" s="109" t="n"/>
      <c r="N817" s="72" t="n"/>
      <c r="O817" s="79">
        <f>IF(AND(F817&lt;&gt;"",L817&lt;&gt;"Resolved"),1,0)</f>
        <v/>
      </c>
      <c r="P817" s="79">
        <f>IF(F817="","",IF(O817=0,0,IF(H817="High",2,1)))</f>
        <v/>
      </c>
      <c r="Q817" s="112">
        <f>IF(O817=1,IF(K817&lt;&gt;"",K817,IF(H817="High",AsOf,"")),"")</f>
        <v/>
      </c>
      <c r="R817" s="79">
        <f>IF(Q817="","",IF(H817="High",1,IF(Q817="","",IF(Q817&lt;AsOf,1,IF(Q817&lt;=AsOf+AlertDays,2,IF(Q817&lt;=AsOf+2*AlertDays,3,""))))))</f>
        <v/>
      </c>
      <c r="S817" s="79">
        <f>IF(R817="","",IF(H817="High","High-severity issue: ",IF(C817="Punch item","Punch item: ","Issue action due: "))&amp;F817&amp;IF(J817="",""," → "&amp;J817))</f>
        <v/>
      </c>
      <c r="T817" s="79">
        <f>IF(O817=1,IF(I817="",0,I817),0)</f>
        <v/>
      </c>
      <c r="U817" s="79">
        <f>IF(AND(O817=1,H817="High"),1,0)</f>
        <v/>
      </c>
      <c r="V817" s="79">
        <f>IF(AND(O817=1,C817="Punch item"),1,0)</f>
        <v/>
      </c>
    </row>
    <row r="818" ht="24" customHeight="1">
      <c r="B818" s="125" t="n">
        <v>811</v>
      </c>
      <c r="C818" s="72" t="n"/>
      <c r="D818" s="109" t="n"/>
      <c r="E818" s="72" t="n"/>
      <c r="F818" s="113" t="n"/>
      <c r="G818" s="72" t="n"/>
      <c r="H818" s="74" t="n"/>
      <c r="I818" s="73" t="n"/>
      <c r="J818" s="113" t="n"/>
      <c r="K818" s="109" t="n"/>
      <c r="L818" s="72" t="n"/>
      <c r="M818" s="109" t="n"/>
      <c r="N818" s="72" t="n"/>
      <c r="O818" s="79">
        <f>IF(AND(F818&lt;&gt;"",L818&lt;&gt;"Resolved"),1,0)</f>
        <v/>
      </c>
      <c r="P818" s="79">
        <f>IF(F818="","",IF(O818=0,0,IF(H818="High",2,1)))</f>
        <v/>
      </c>
      <c r="Q818" s="112">
        <f>IF(O818=1,IF(K818&lt;&gt;"",K818,IF(H818="High",AsOf,"")),"")</f>
        <v/>
      </c>
      <c r="R818" s="79">
        <f>IF(Q818="","",IF(H818="High",1,IF(Q818="","",IF(Q818&lt;AsOf,1,IF(Q818&lt;=AsOf+AlertDays,2,IF(Q818&lt;=AsOf+2*AlertDays,3,""))))))</f>
        <v/>
      </c>
      <c r="S818" s="79">
        <f>IF(R818="","",IF(H818="High","High-severity issue: ",IF(C818="Punch item","Punch item: ","Issue action due: "))&amp;F818&amp;IF(J818="",""," → "&amp;J818))</f>
        <v/>
      </c>
      <c r="T818" s="79">
        <f>IF(O818=1,IF(I818="",0,I818),0)</f>
        <v/>
      </c>
      <c r="U818" s="79">
        <f>IF(AND(O818=1,H818="High"),1,0)</f>
        <v/>
      </c>
      <c r="V818" s="79">
        <f>IF(AND(O818=1,C818="Punch item"),1,0)</f>
        <v/>
      </c>
    </row>
    <row r="819" ht="24" customHeight="1">
      <c r="B819" s="125" t="n">
        <v>812</v>
      </c>
      <c r="C819" s="72" t="n"/>
      <c r="D819" s="109" t="n"/>
      <c r="E819" s="72" t="n"/>
      <c r="F819" s="113" t="n"/>
      <c r="G819" s="72" t="n"/>
      <c r="H819" s="74" t="n"/>
      <c r="I819" s="73" t="n"/>
      <c r="J819" s="113" t="n"/>
      <c r="K819" s="109" t="n"/>
      <c r="L819" s="72" t="n"/>
      <c r="M819" s="109" t="n"/>
      <c r="N819" s="72" t="n"/>
      <c r="O819" s="79">
        <f>IF(AND(F819&lt;&gt;"",L819&lt;&gt;"Resolved"),1,0)</f>
        <v/>
      </c>
      <c r="P819" s="79">
        <f>IF(F819="","",IF(O819=0,0,IF(H819="High",2,1)))</f>
        <v/>
      </c>
      <c r="Q819" s="112">
        <f>IF(O819=1,IF(K819&lt;&gt;"",K819,IF(H819="High",AsOf,"")),"")</f>
        <v/>
      </c>
      <c r="R819" s="79">
        <f>IF(Q819="","",IF(H819="High",1,IF(Q819="","",IF(Q819&lt;AsOf,1,IF(Q819&lt;=AsOf+AlertDays,2,IF(Q819&lt;=AsOf+2*AlertDays,3,""))))))</f>
        <v/>
      </c>
      <c r="S819" s="79">
        <f>IF(R819="","",IF(H819="High","High-severity issue: ",IF(C819="Punch item","Punch item: ","Issue action due: "))&amp;F819&amp;IF(J819="",""," → "&amp;J819))</f>
        <v/>
      </c>
      <c r="T819" s="79">
        <f>IF(O819=1,IF(I819="",0,I819),0)</f>
        <v/>
      </c>
      <c r="U819" s="79">
        <f>IF(AND(O819=1,H819="High"),1,0)</f>
        <v/>
      </c>
      <c r="V819" s="79">
        <f>IF(AND(O819=1,C819="Punch item"),1,0)</f>
        <v/>
      </c>
    </row>
    <row r="820" ht="24" customHeight="1">
      <c r="B820" s="125" t="n">
        <v>813</v>
      </c>
      <c r="C820" s="72" t="n"/>
      <c r="D820" s="109" t="n"/>
      <c r="E820" s="72" t="n"/>
      <c r="F820" s="113" t="n"/>
      <c r="G820" s="72" t="n"/>
      <c r="H820" s="74" t="n"/>
      <c r="I820" s="73" t="n"/>
      <c r="J820" s="113" t="n"/>
      <c r="K820" s="109" t="n"/>
      <c r="L820" s="72" t="n"/>
      <c r="M820" s="109" t="n"/>
      <c r="N820" s="72" t="n"/>
      <c r="O820" s="79">
        <f>IF(AND(F820&lt;&gt;"",L820&lt;&gt;"Resolved"),1,0)</f>
        <v/>
      </c>
      <c r="P820" s="79">
        <f>IF(F820="","",IF(O820=0,0,IF(H820="High",2,1)))</f>
        <v/>
      </c>
      <c r="Q820" s="112">
        <f>IF(O820=1,IF(K820&lt;&gt;"",K820,IF(H820="High",AsOf,"")),"")</f>
        <v/>
      </c>
      <c r="R820" s="79">
        <f>IF(Q820="","",IF(H820="High",1,IF(Q820="","",IF(Q820&lt;AsOf,1,IF(Q820&lt;=AsOf+AlertDays,2,IF(Q820&lt;=AsOf+2*AlertDays,3,""))))))</f>
        <v/>
      </c>
      <c r="S820" s="79">
        <f>IF(R820="","",IF(H820="High","High-severity issue: ",IF(C820="Punch item","Punch item: ","Issue action due: "))&amp;F820&amp;IF(J820="",""," → "&amp;J820))</f>
        <v/>
      </c>
      <c r="T820" s="79">
        <f>IF(O820=1,IF(I820="",0,I820),0)</f>
        <v/>
      </c>
      <c r="U820" s="79">
        <f>IF(AND(O820=1,H820="High"),1,0)</f>
        <v/>
      </c>
      <c r="V820" s="79">
        <f>IF(AND(O820=1,C820="Punch item"),1,0)</f>
        <v/>
      </c>
    </row>
    <row r="821" ht="24" customHeight="1">
      <c r="B821" s="125" t="n">
        <v>814</v>
      </c>
      <c r="C821" s="72" t="n"/>
      <c r="D821" s="109" t="n"/>
      <c r="E821" s="72" t="n"/>
      <c r="F821" s="113" t="n"/>
      <c r="G821" s="72" t="n"/>
      <c r="H821" s="74" t="n"/>
      <c r="I821" s="73" t="n"/>
      <c r="J821" s="113" t="n"/>
      <c r="K821" s="109" t="n"/>
      <c r="L821" s="72" t="n"/>
      <c r="M821" s="109" t="n"/>
      <c r="N821" s="72" t="n"/>
      <c r="O821" s="79">
        <f>IF(AND(F821&lt;&gt;"",L821&lt;&gt;"Resolved"),1,0)</f>
        <v/>
      </c>
      <c r="P821" s="79">
        <f>IF(F821="","",IF(O821=0,0,IF(H821="High",2,1)))</f>
        <v/>
      </c>
      <c r="Q821" s="112">
        <f>IF(O821=1,IF(K821&lt;&gt;"",K821,IF(H821="High",AsOf,"")),"")</f>
        <v/>
      </c>
      <c r="R821" s="79">
        <f>IF(Q821="","",IF(H821="High",1,IF(Q821="","",IF(Q821&lt;AsOf,1,IF(Q821&lt;=AsOf+AlertDays,2,IF(Q821&lt;=AsOf+2*AlertDays,3,""))))))</f>
        <v/>
      </c>
      <c r="S821" s="79">
        <f>IF(R821="","",IF(H821="High","High-severity issue: ",IF(C821="Punch item","Punch item: ","Issue action due: "))&amp;F821&amp;IF(J821="",""," → "&amp;J821))</f>
        <v/>
      </c>
      <c r="T821" s="79">
        <f>IF(O821=1,IF(I821="",0,I821),0)</f>
        <v/>
      </c>
      <c r="U821" s="79">
        <f>IF(AND(O821=1,H821="High"),1,0)</f>
        <v/>
      </c>
      <c r="V821" s="79">
        <f>IF(AND(O821=1,C821="Punch item"),1,0)</f>
        <v/>
      </c>
    </row>
    <row r="822" ht="24" customHeight="1">
      <c r="B822" s="125" t="n">
        <v>815</v>
      </c>
      <c r="C822" s="72" t="n"/>
      <c r="D822" s="109" t="n"/>
      <c r="E822" s="72" t="n"/>
      <c r="F822" s="113" t="n"/>
      <c r="G822" s="72" t="n"/>
      <c r="H822" s="74" t="n"/>
      <c r="I822" s="73" t="n"/>
      <c r="J822" s="113" t="n"/>
      <c r="K822" s="109" t="n"/>
      <c r="L822" s="72" t="n"/>
      <c r="M822" s="109" t="n"/>
      <c r="N822" s="72" t="n"/>
      <c r="O822" s="79">
        <f>IF(AND(F822&lt;&gt;"",L822&lt;&gt;"Resolved"),1,0)</f>
        <v/>
      </c>
      <c r="P822" s="79">
        <f>IF(F822="","",IF(O822=0,0,IF(H822="High",2,1)))</f>
        <v/>
      </c>
      <c r="Q822" s="112">
        <f>IF(O822=1,IF(K822&lt;&gt;"",K822,IF(H822="High",AsOf,"")),"")</f>
        <v/>
      </c>
      <c r="R822" s="79">
        <f>IF(Q822="","",IF(H822="High",1,IF(Q822="","",IF(Q822&lt;AsOf,1,IF(Q822&lt;=AsOf+AlertDays,2,IF(Q822&lt;=AsOf+2*AlertDays,3,""))))))</f>
        <v/>
      </c>
      <c r="S822" s="79">
        <f>IF(R822="","",IF(H822="High","High-severity issue: ",IF(C822="Punch item","Punch item: ","Issue action due: "))&amp;F822&amp;IF(J822="",""," → "&amp;J822))</f>
        <v/>
      </c>
      <c r="T822" s="79">
        <f>IF(O822=1,IF(I822="",0,I822),0)</f>
        <v/>
      </c>
      <c r="U822" s="79">
        <f>IF(AND(O822=1,H822="High"),1,0)</f>
        <v/>
      </c>
      <c r="V822" s="79">
        <f>IF(AND(O822=1,C822="Punch item"),1,0)</f>
        <v/>
      </c>
    </row>
    <row r="823" ht="24" customHeight="1">
      <c r="B823" s="125" t="n">
        <v>816</v>
      </c>
      <c r="C823" s="72" t="n"/>
      <c r="D823" s="109" t="n"/>
      <c r="E823" s="72" t="n"/>
      <c r="F823" s="113" t="n"/>
      <c r="G823" s="72" t="n"/>
      <c r="H823" s="74" t="n"/>
      <c r="I823" s="73" t="n"/>
      <c r="J823" s="113" t="n"/>
      <c r="K823" s="109" t="n"/>
      <c r="L823" s="72" t="n"/>
      <c r="M823" s="109" t="n"/>
      <c r="N823" s="72" t="n"/>
      <c r="O823" s="79">
        <f>IF(AND(F823&lt;&gt;"",L823&lt;&gt;"Resolved"),1,0)</f>
        <v/>
      </c>
      <c r="P823" s="79">
        <f>IF(F823="","",IF(O823=0,0,IF(H823="High",2,1)))</f>
        <v/>
      </c>
      <c r="Q823" s="112">
        <f>IF(O823=1,IF(K823&lt;&gt;"",K823,IF(H823="High",AsOf,"")),"")</f>
        <v/>
      </c>
      <c r="R823" s="79">
        <f>IF(Q823="","",IF(H823="High",1,IF(Q823="","",IF(Q823&lt;AsOf,1,IF(Q823&lt;=AsOf+AlertDays,2,IF(Q823&lt;=AsOf+2*AlertDays,3,""))))))</f>
        <v/>
      </c>
      <c r="S823" s="79">
        <f>IF(R823="","",IF(H823="High","High-severity issue: ",IF(C823="Punch item","Punch item: ","Issue action due: "))&amp;F823&amp;IF(J823="",""," → "&amp;J823))</f>
        <v/>
      </c>
      <c r="T823" s="79">
        <f>IF(O823=1,IF(I823="",0,I823),0)</f>
        <v/>
      </c>
      <c r="U823" s="79">
        <f>IF(AND(O823=1,H823="High"),1,0)</f>
        <v/>
      </c>
      <c r="V823" s="79">
        <f>IF(AND(O823=1,C823="Punch item"),1,0)</f>
        <v/>
      </c>
    </row>
    <row r="824" ht="24" customHeight="1">
      <c r="B824" s="125" t="n">
        <v>817</v>
      </c>
      <c r="C824" s="72" t="n"/>
      <c r="D824" s="109" t="n"/>
      <c r="E824" s="72" t="n"/>
      <c r="F824" s="113" t="n"/>
      <c r="G824" s="72" t="n"/>
      <c r="H824" s="74" t="n"/>
      <c r="I824" s="73" t="n"/>
      <c r="J824" s="113" t="n"/>
      <c r="K824" s="109" t="n"/>
      <c r="L824" s="72" t="n"/>
      <c r="M824" s="109" t="n"/>
      <c r="N824" s="72" t="n"/>
      <c r="O824" s="79">
        <f>IF(AND(F824&lt;&gt;"",L824&lt;&gt;"Resolved"),1,0)</f>
        <v/>
      </c>
      <c r="P824" s="79">
        <f>IF(F824="","",IF(O824=0,0,IF(H824="High",2,1)))</f>
        <v/>
      </c>
      <c r="Q824" s="112">
        <f>IF(O824=1,IF(K824&lt;&gt;"",K824,IF(H824="High",AsOf,"")),"")</f>
        <v/>
      </c>
      <c r="R824" s="79">
        <f>IF(Q824="","",IF(H824="High",1,IF(Q824="","",IF(Q824&lt;AsOf,1,IF(Q824&lt;=AsOf+AlertDays,2,IF(Q824&lt;=AsOf+2*AlertDays,3,""))))))</f>
        <v/>
      </c>
      <c r="S824" s="79">
        <f>IF(R824="","",IF(H824="High","High-severity issue: ",IF(C824="Punch item","Punch item: ","Issue action due: "))&amp;F824&amp;IF(J824="",""," → "&amp;J824))</f>
        <v/>
      </c>
      <c r="T824" s="79">
        <f>IF(O824=1,IF(I824="",0,I824),0)</f>
        <v/>
      </c>
      <c r="U824" s="79">
        <f>IF(AND(O824=1,H824="High"),1,0)</f>
        <v/>
      </c>
      <c r="V824" s="79">
        <f>IF(AND(O824=1,C824="Punch item"),1,0)</f>
        <v/>
      </c>
    </row>
    <row r="825" ht="24" customHeight="1">
      <c r="B825" s="125" t="n">
        <v>818</v>
      </c>
      <c r="C825" s="72" t="n"/>
      <c r="D825" s="109" t="n"/>
      <c r="E825" s="72" t="n"/>
      <c r="F825" s="113" t="n"/>
      <c r="G825" s="72" t="n"/>
      <c r="H825" s="74" t="n"/>
      <c r="I825" s="73" t="n"/>
      <c r="J825" s="113" t="n"/>
      <c r="K825" s="109" t="n"/>
      <c r="L825" s="72" t="n"/>
      <c r="M825" s="109" t="n"/>
      <c r="N825" s="72" t="n"/>
      <c r="O825" s="79">
        <f>IF(AND(F825&lt;&gt;"",L825&lt;&gt;"Resolved"),1,0)</f>
        <v/>
      </c>
      <c r="P825" s="79">
        <f>IF(F825="","",IF(O825=0,0,IF(H825="High",2,1)))</f>
        <v/>
      </c>
      <c r="Q825" s="112">
        <f>IF(O825=1,IF(K825&lt;&gt;"",K825,IF(H825="High",AsOf,"")),"")</f>
        <v/>
      </c>
      <c r="R825" s="79">
        <f>IF(Q825="","",IF(H825="High",1,IF(Q825="","",IF(Q825&lt;AsOf,1,IF(Q825&lt;=AsOf+AlertDays,2,IF(Q825&lt;=AsOf+2*AlertDays,3,""))))))</f>
        <v/>
      </c>
      <c r="S825" s="79">
        <f>IF(R825="","",IF(H825="High","High-severity issue: ",IF(C825="Punch item","Punch item: ","Issue action due: "))&amp;F825&amp;IF(J825="",""," → "&amp;J825))</f>
        <v/>
      </c>
      <c r="T825" s="79">
        <f>IF(O825=1,IF(I825="",0,I825),0)</f>
        <v/>
      </c>
      <c r="U825" s="79">
        <f>IF(AND(O825=1,H825="High"),1,0)</f>
        <v/>
      </c>
      <c r="V825" s="79">
        <f>IF(AND(O825=1,C825="Punch item"),1,0)</f>
        <v/>
      </c>
    </row>
    <row r="826" ht="24" customHeight="1">
      <c r="B826" s="125" t="n">
        <v>819</v>
      </c>
      <c r="C826" s="72" t="n"/>
      <c r="D826" s="109" t="n"/>
      <c r="E826" s="72" t="n"/>
      <c r="F826" s="113" t="n"/>
      <c r="G826" s="72" t="n"/>
      <c r="H826" s="74" t="n"/>
      <c r="I826" s="73" t="n"/>
      <c r="J826" s="113" t="n"/>
      <c r="K826" s="109" t="n"/>
      <c r="L826" s="72" t="n"/>
      <c r="M826" s="109" t="n"/>
      <c r="N826" s="72" t="n"/>
      <c r="O826" s="79">
        <f>IF(AND(F826&lt;&gt;"",L826&lt;&gt;"Resolved"),1,0)</f>
        <v/>
      </c>
      <c r="P826" s="79">
        <f>IF(F826="","",IF(O826=0,0,IF(H826="High",2,1)))</f>
        <v/>
      </c>
      <c r="Q826" s="112">
        <f>IF(O826=1,IF(K826&lt;&gt;"",K826,IF(H826="High",AsOf,"")),"")</f>
        <v/>
      </c>
      <c r="R826" s="79">
        <f>IF(Q826="","",IF(H826="High",1,IF(Q826="","",IF(Q826&lt;AsOf,1,IF(Q826&lt;=AsOf+AlertDays,2,IF(Q826&lt;=AsOf+2*AlertDays,3,""))))))</f>
        <v/>
      </c>
      <c r="S826" s="79">
        <f>IF(R826="","",IF(H826="High","High-severity issue: ",IF(C826="Punch item","Punch item: ","Issue action due: "))&amp;F826&amp;IF(J826="",""," → "&amp;J826))</f>
        <v/>
      </c>
      <c r="T826" s="79">
        <f>IF(O826=1,IF(I826="",0,I826),0)</f>
        <v/>
      </c>
      <c r="U826" s="79">
        <f>IF(AND(O826=1,H826="High"),1,0)</f>
        <v/>
      </c>
      <c r="V826" s="79">
        <f>IF(AND(O826=1,C826="Punch item"),1,0)</f>
        <v/>
      </c>
    </row>
    <row r="827" ht="24" customHeight="1">
      <c r="B827" s="125" t="n">
        <v>820</v>
      </c>
      <c r="C827" s="72" t="n"/>
      <c r="D827" s="109" t="n"/>
      <c r="E827" s="72" t="n"/>
      <c r="F827" s="113" t="n"/>
      <c r="G827" s="72" t="n"/>
      <c r="H827" s="74" t="n"/>
      <c r="I827" s="73" t="n"/>
      <c r="J827" s="113" t="n"/>
      <c r="K827" s="109" t="n"/>
      <c r="L827" s="72" t="n"/>
      <c r="M827" s="109" t="n"/>
      <c r="N827" s="72" t="n"/>
      <c r="O827" s="79">
        <f>IF(AND(F827&lt;&gt;"",L827&lt;&gt;"Resolved"),1,0)</f>
        <v/>
      </c>
      <c r="P827" s="79">
        <f>IF(F827="","",IF(O827=0,0,IF(H827="High",2,1)))</f>
        <v/>
      </c>
      <c r="Q827" s="112">
        <f>IF(O827=1,IF(K827&lt;&gt;"",K827,IF(H827="High",AsOf,"")),"")</f>
        <v/>
      </c>
      <c r="R827" s="79">
        <f>IF(Q827="","",IF(H827="High",1,IF(Q827="","",IF(Q827&lt;AsOf,1,IF(Q827&lt;=AsOf+AlertDays,2,IF(Q827&lt;=AsOf+2*AlertDays,3,""))))))</f>
        <v/>
      </c>
      <c r="S827" s="79">
        <f>IF(R827="","",IF(H827="High","High-severity issue: ",IF(C827="Punch item","Punch item: ","Issue action due: "))&amp;F827&amp;IF(J827="",""," → "&amp;J827))</f>
        <v/>
      </c>
      <c r="T827" s="79">
        <f>IF(O827=1,IF(I827="",0,I827),0)</f>
        <v/>
      </c>
      <c r="U827" s="79">
        <f>IF(AND(O827=1,H827="High"),1,0)</f>
        <v/>
      </c>
      <c r="V827" s="79">
        <f>IF(AND(O827=1,C827="Punch item"),1,0)</f>
        <v/>
      </c>
    </row>
    <row r="828" ht="24" customHeight="1">
      <c r="B828" s="125" t="n">
        <v>821</v>
      </c>
      <c r="C828" s="72" t="n"/>
      <c r="D828" s="109" t="n"/>
      <c r="E828" s="72" t="n"/>
      <c r="F828" s="113" t="n"/>
      <c r="G828" s="72" t="n"/>
      <c r="H828" s="74" t="n"/>
      <c r="I828" s="73" t="n"/>
      <c r="J828" s="113" t="n"/>
      <c r="K828" s="109" t="n"/>
      <c r="L828" s="72" t="n"/>
      <c r="M828" s="109" t="n"/>
      <c r="N828" s="72" t="n"/>
      <c r="O828" s="79">
        <f>IF(AND(F828&lt;&gt;"",L828&lt;&gt;"Resolved"),1,0)</f>
        <v/>
      </c>
      <c r="P828" s="79">
        <f>IF(F828="","",IF(O828=0,0,IF(H828="High",2,1)))</f>
        <v/>
      </c>
      <c r="Q828" s="112">
        <f>IF(O828=1,IF(K828&lt;&gt;"",K828,IF(H828="High",AsOf,"")),"")</f>
        <v/>
      </c>
      <c r="R828" s="79">
        <f>IF(Q828="","",IF(H828="High",1,IF(Q828="","",IF(Q828&lt;AsOf,1,IF(Q828&lt;=AsOf+AlertDays,2,IF(Q828&lt;=AsOf+2*AlertDays,3,""))))))</f>
        <v/>
      </c>
      <c r="S828" s="79">
        <f>IF(R828="","",IF(H828="High","High-severity issue: ",IF(C828="Punch item","Punch item: ","Issue action due: "))&amp;F828&amp;IF(J828="",""," → "&amp;J828))</f>
        <v/>
      </c>
      <c r="T828" s="79">
        <f>IF(O828=1,IF(I828="",0,I828),0)</f>
        <v/>
      </c>
      <c r="U828" s="79">
        <f>IF(AND(O828=1,H828="High"),1,0)</f>
        <v/>
      </c>
      <c r="V828" s="79">
        <f>IF(AND(O828=1,C828="Punch item"),1,0)</f>
        <v/>
      </c>
    </row>
    <row r="829" ht="24" customHeight="1">
      <c r="B829" s="125" t="n">
        <v>822</v>
      </c>
      <c r="C829" s="72" t="n"/>
      <c r="D829" s="109" t="n"/>
      <c r="E829" s="72" t="n"/>
      <c r="F829" s="113" t="n"/>
      <c r="G829" s="72" t="n"/>
      <c r="H829" s="74" t="n"/>
      <c r="I829" s="73" t="n"/>
      <c r="J829" s="113" t="n"/>
      <c r="K829" s="109" t="n"/>
      <c r="L829" s="72" t="n"/>
      <c r="M829" s="109" t="n"/>
      <c r="N829" s="72" t="n"/>
      <c r="O829" s="79">
        <f>IF(AND(F829&lt;&gt;"",L829&lt;&gt;"Resolved"),1,0)</f>
        <v/>
      </c>
      <c r="P829" s="79">
        <f>IF(F829="","",IF(O829=0,0,IF(H829="High",2,1)))</f>
        <v/>
      </c>
      <c r="Q829" s="112">
        <f>IF(O829=1,IF(K829&lt;&gt;"",K829,IF(H829="High",AsOf,"")),"")</f>
        <v/>
      </c>
      <c r="R829" s="79">
        <f>IF(Q829="","",IF(H829="High",1,IF(Q829="","",IF(Q829&lt;AsOf,1,IF(Q829&lt;=AsOf+AlertDays,2,IF(Q829&lt;=AsOf+2*AlertDays,3,""))))))</f>
        <v/>
      </c>
      <c r="S829" s="79">
        <f>IF(R829="","",IF(H829="High","High-severity issue: ",IF(C829="Punch item","Punch item: ","Issue action due: "))&amp;F829&amp;IF(J829="",""," → "&amp;J829))</f>
        <v/>
      </c>
      <c r="T829" s="79">
        <f>IF(O829=1,IF(I829="",0,I829),0)</f>
        <v/>
      </c>
      <c r="U829" s="79">
        <f>IF(AND(O829=1,H829="High"),1,0)</f>
        <v/>
      </c>
      <c r="V829" s="79">
        <f>IF(AND(O829=1,C829="Punch item"),1,0)</f>
        <v/>
      </c>
    </row>
    <row r="830" ht="24" customHeight="1">
      <c r="B830" s="125" t="n">
        <v>823</v>
      </c>
      <c r="C830" s="72" t="n"/>
      <c r="D830" s="109" t="n"/>
      <c r="E830" s="72" t="n"/>
      <c r="F830" s="113" t="n"/>
      <c r="G830" s="72" t="n"/>
      <c r="H830" s="74" t="n"/>
      <c r="I830" s="73" t="n"/>
      <c r="J830" s="113" t="n"/>
      <c r="K830" s="109" t="n"/>
      <c r="L830" s="72" t="n"/>
      <c r="M830" s="109" t="n"/>
      <c r="N830" s="72" t="n"/>
      <c r="O830" s="79">
        <f>IF(AND(F830&lt;&gt;"",L830&lt;&gt;"Resolved"),1,0)</f>
        <v/>
      </c>
      <c r="P830" s="79">
        <f>IF(F830="","",IF(O830=0,0,IF(H830="High",2,1)))</f>
        <v/>
      </c>
      <c r="Q830" s="112">
        <f>IF(O830=1,IF(K830&lt;&gt;"",K830,IF(H830="High",AsOf,"")),"")</f>
        <v/>
      </c>
      <c r="R830" s="79">
        <f>IF(Q830="","",IF(H830="High",1,IF(Q830="","",IF(Q830&lt;AsOf,1,IF(Q830&lt;=AsOf+AlertDays,2,IF(Q830&lt;=AsOf+2*AlertDays,3,""))))))</f>
        <v/>
      </c>
      <c r="S830" s="79">
        <f>IF(R830="","",IF(H830="High","High-severity issue: ",IF(C830="Punch item","Punch item: ","Issue action due: "))&amp;F830&amp;IF(J830="",""," → "&amp;J830))</f>
        <v/>
      </c>
      <c r="T830" s="79">
        <f>IF(O830=1,IF(I830="",0,I830),0)</f>
        <v/>
      </c>
      <c r="U830" s="79">
        <f>IF(AND(O830=1,H830="High"),1,0)</f>
        <v/>
      </c>
      <c r="V830" s="79">
        <f>IF(AND(O830=1,C830="Punch item"),1,0)</f>
        <v/>
      </c>
    </row>
    <row r="831" ht="24" customHeight="1">
      <c r="B831" s="125" t="n">
        <v>824</v>
      </c>
      <c r="C831" s="72" t="n"/>
      <c r="D831" s="109" t="n"/>
      <c r="E831" s="72" t="n"/>
      <c r="F831" s="113" t="n"/>
      <c r="G831" s="72" t="n"/>
      <c r="H831" s="74" t="n"/>
      <c r="I831" s="73" t="n"/>
      <c r="J831" s="113" t="n"/>
      <c r="K831" s="109" t="n"/>
      <c r="L831" s="72" t="n"/>
      <c r="M831" s="109" t="n"/>
      <c r="N831" s="72" t="n"/>
      <c r="O831" s="79">
        <f>IF(AND(F831&lt;&gt;"",L831&lt;&gt;"Resolved"),1,0)</f>
        <v/>
      </c>
      <c r="P831" s="79">
        <f>IF(F831="","",IF(O831=0,0,IF(H831="High",2,1)))</f>
        <v/>
      </c>
      <c r="Q831" s="112">
        <f>IF(O831=1,IF(K831&lt;&gt;"",K831,IF(H831="High",AsOf,"")),"")</f>
        <v/>
      </c>
      <c r="R831" s="79">
        <f>IF(Q831="","",IF(H831="High",1,IF(Q831="","",IF(Q831&lt;AsOf,1,IF(Q831&lt;=AsOf+AlertDays,2,IF(Q831&lt;=AsOf+2*AlertDays,3,""))))))</f>
        <v/>
      </c>
      <c r="S831" s="79">
        <f>IF(R831="","",IF(H831="High","High-severity issue: ",IF(C831="Punch item","Punch item: ","Issue action due: "))&amp;F831&amp;IF(J831="",""," → "&amp;J831))</f>
        <v/>
      </c>
      <c r="T831" s="79">
        <f>IF(O831=1,IF(I831="",0,I831),0)</f>
        <v/>
      </c>
      <c r="U831" s="79">
        <f>IF(AND(O831=1,H831="High"),1,0)</f>
        <v/>
      </c>
      <c r="V831" s="79">
        <f>IF(AND(O831=1,C831="Punch item"),1,0)</f>
        <v/>
      </c>
    </row>
    <row r="832" ht="24" customHeight="1">
      <c r="B832" s="125" t="n">
        <v>825</v>
      </c>
      <c r="C832" s="72" t="n"/>
      <c r="D832" s="109" t="n"/>
      <c r="E832" s="72" t="n"/>
      <c r="F832" s="113" t="n"/>
      <c r="G832" s="72" t="n"/>
      <c r="H832" s="74" t="n"/>
      <c r="I832" s="73" t="n"/>
      <c r="J832" s="113" t="n"/>
      <c r="K832" s="109" t="n"/>
      <c r="L832" s="72" t="n"/>
      <c r="M832" s="109" t="n"/>
      <c r="N832" s="72" t="n"/>
      <c r="O832" s="79">
        <f>IF(AND(F832&lt;&gt;"",L832&lt;&gt;"Resolved"),1,0)</f>
        <v/>
      </c>
      <c r="P832" s="79">
        <f>IF(F832="","",IF(O832=0,0,IF(H832="High",2,1)))</f>
        <v/>
      </c>
      <c r="Q832" s="112">
        <f>IF(O832=1,IF(K832&lt;&gt;"",K832,IF(H832="High",AsOf,"")),"")</f>
        <v/>
      </c>
      <c r="R832" s="79">
        <f>IF(Q832="","",IF(H832="High",1,IF(Q832="","",IF(Q832&lt;AsOf,1,IF(Q832&lt;=AsOf+AlertDays,2,IF(Q832&lt;=AsOf+2*AlertDays,3,""))))))</f>
        <v/>
      </c>
      <c r="S832" s="79">
        <f>IF(R832="","",IF(H832="High","High-severity issue: ",IF(C832="Punch item","Punch item: ","Issue action due: "))&amp;F832&amp;IF(J832="",""," → "&amp;J832))</f>
        <v/>
      </c>
      <c r="T832" s="79">
        <f>IF(O832=1,IF(I832="",0,I832),0)</f>
        <v/>
      </c>
      <c r="U832" s="79">
        <f>IF(AND(O832=1,H832="High"),1,0)</f>
        <v/>
      </c>
      <c r="V832" s="79">
        <f>IF(AND(O832=1,C832="Punch item"),1,0)</f>
        <v/>
      </c>
    </row>
    <row r="833" ht="24" customHeight="1">
      <c r="B833" s="125" t="n">
        <v>826</v>
      </c>
      <c r="C833" s="72" t="n"/>
      <c r="D833" s="109" t="n"/>
      <c r="E833" s="72" t="n"/>
      <c r="F833" s="113" t="n"/>
      <c r="G833" s="72" t="n"/>
      <c r="H833" s="74" t="n"/>
      <c r="I833" s="73" t="n"/>
      <c r="J833" s="113" t="n"/>
      <c r="K833" s="109" t="n"/>
      <c r="L833" s="72" t="n"/>
      <c r="M833" s="109" t="n"/>
      <c r="N833" s="72" t="n"/>
      <c r="O833" s="79">
        <f>IF(AND(F833&lt;&gt;"",L833&lt;&gt;"Resolved"),1,0)</f>
        <v/>
      </c>
      <c r="P833" s="79">
        <f>IF(F833="","",IF(O833=0,0,IF(H833="High",2,1)))</f>
        <v/>
      </c>
      <c r="Q833" s="112">
        <f>IF(O833=1,IF(K833&lt;&gt;"",K833,IF(H833="High",AsOf,"")),"")</f>
        <v/>
      </c>
      <c r="R833" s="79">
        <f>IF(Q833="","",IF(H833="High",1,IF(Q833="","",IF(Q833&lt;AsOf,1,IF(Q833&lt;=AsOf+AlertDays,2,IF(Q833&lt;=AsOf+2*AlertDays,3,""))))))</f>
        <v/>
      </c>
      <c r="S833" s="79">
        <f>IF(R833="","",IF(H833="High","High-severity issue: ",IF(C833="Punch item","Punch item: ","Issue action due: "))&amp;F833&amp;IF(J833="",""," → "&amp;J833))</f>
        <v/>
      </c>
      <c r="T833" s="79">
        <f>IF(O833=1,IF(I833="",0,I833),0)</f>
        <v/>
      </c>
      <c r="U833" s="79">
        <f>IF(AND(O833=1,H833="High"),1,0)</f>
        <v/>
      </c>
      <c r="V833" s="79">
        <f>IF(AND(O833=1,C833="Punch item"),1,0)</f>
        <v/>
      </c>
    </row>
    <row r="834" ht="24" customHeight="1">
      <c r="B834" s="125" t="n">
        <v>827</v>
      </c>
      <c r="C834" s="72" t="n"/>
      <c r="D834" s="109" t="n"/>
      <c r="E834" s="72" t="n"/>
      <c r="F834" s="113" t="n"/>
      <c r="G834" s="72" t="n"/>
      <c r="H834" s="74" t="n"/>
      <c r="I834" s="73" t="n"/>
      <c r="J834" s="113" t="n"/>
      <c r="K834" s="109" t="n"/>
      <c r="L834" s="72" t="n"/>
      <c r="M834" s="109" t="n"/>
      <c r="N834" s="72" t="n"/>
      <c r="O834" s="79">
        <f>IF(AND(F834&lt;&gt;"",L834&lt;&gt;"Resolved"),1,0)</f>
        <v/>
      </c>
      <c r="P834" s="79">
        <f>IF(F834="","",IF(O834=0,0,IF(H834="High",2,1)))</f>
        <v/>
      </c>
      <c r="Q834" s="112">
        <f>IF(O834=1,IF(K834&lt;&gt;"",K834,IF(H834="High",AsOf,"")),"")</f>
        <v/>
      </c>
      <c r="R834" s="79">
        <f>IF(Q834="","",IF(H834="High",1,IF(Q834="","",IF(Q834&lt;AsOf,1,IF(Q834&lt;=AsOf+AlertDays,2,IF(Q834&lt;=AsOf+2*AlertDays,3,""))))))</f>
        <v/>
      </c>
      <c r="S834" s="79">
        <f>IF(R834="","",IF(H834="High","High-severity issue: ",IF(C834="Punch item","Punch item: ","Issue action due: "))&amp;F834&amp;IF(J834="",""," → "&amp;J834))</f>
        <v/>
      </c>
      <c r="T834" s="79">
        <f>IF(O834=1,IF(I834="",0,I834),0)</f>
        <v/>
      </c>
      <c r="U834" s="79">
        <f>IF(AND(O834=1,H834="High"),1,0)</f>
        <v/>
      </c>
      <c r="V834" s="79">
        <f>IF(AND(O834=1,C834="Punch item"),1,0)</f>
        <v/>
      </c>
    </row>
    <row r="835" ht="24" customHeight="1">
      <c r="B835" s="125" t="n">
        <v>828</v>
      </c>
      <c r="C835" s="72" t="n"/>
      <c r="D835" s="109" t="n"/>
      <c r="E835" s="72" t="n"/>
      <c r="F835" s="113" t="n"/>
      <c r="G835" s="72" t="n"/>
      <c r="H835" s="74" t="n"/>
      <c r="I835" s="73" t="n"/>
      <c r="J835" s="113" t="n"/>
      <c r="K835" s="109" t="n"/>
      <c r="L835" s="72" t="n"/>
      <c r="M835" s="109" t="n"/>
      <c r="N835" s="72" t="n"/>
      <c r="O835" s="79">
        <f>IF(AND(F835&lt;&gt;"",L835&lt;&gt;"Resolved"),1,0)</f>
        <v/>
      </c>
      <c r="P835" s="79">
        <f>IF(F835="","",IF(O835=0,0,IF(H835="High",2,1)))</f>
        <v/>
      </c>
      <c r="Q835" s="112">
        <f>IF(O835=1,IF(K835&lt;&gt;"",K835,IF(H835="High",AsOf,"")),"")</f>
        <v/>
      </c>
      <c r="R835" s="79">
        <f>IF(Q835="","",IF(H835="High",1,IF(Q835="","",IF(Q835&lt;AsOf,1,IF(Q835&lt;=AsOf+AlertDays,2,IF(Q835&lt;=AsOf+2*AlertDays,3,""))))))</f>
        <v/>
      </c>
      <c r="S835" s="79">
        <f>IF(R835="","",IF(H835="High","High-severity issue: ",IF(C835="Punch item","Punch item: ","Issue action due: "))&amp;F835&amp;IF(J835="",""," → "&amp;J835))</f>
        <v/>
      </c>
      <c r="T835" s="79">
        <f>IF(O835=1,IF(I835="",0,I835),0)</f>
        <v/>
      </c>
      <c r="U835" s="79">
        <f>IF(AND(O835=1,H835="High"),1,0)</f>
        <v/>
      </c>
      <c r="V835" s="79">
        <f>IF(AND(O835=1,C835="Punch item"),1,0)</f>
        <v/>
      </c>
    </row>
    <row r="836" ht="24" customHeight="1">
      <c r="B836" s="125" t="n">
        <v>829</v>
      </c>
      <c r="C836" s="72" t="n"/>
      <c r="D836" s="109" t="n"/>
      <c r="E836" s="72" t="n"/>
      <c r="F836" s="113" t="n"/>
      <c r="G836" s="72" t="n"/>
      <c r="H836" s="74" t="n"/>
      <c r="I836" s="73" t="n"/>
      <c r="J836" s="113" t="n"/>
      <c r="K836" s="109" t="n"/>
      <c r="L836" s="72" t="n"/>
      <c r="M836" s="109" t="n"/>
      <c r="N836" s="72" t="n"/>
      <c r="O836" s="79">
        <f>IF(AND(F836&lt;&gt;"",L836&lt;&gt;"Resolved"),1,0)</f>
        <v/>
      </c>
      <c r="P836" s="79">
        <f>IF(F836="","",IF(O836=0,0,IF(H836="High",2,1)))</f>
        <v/>
      </c>
      <c r="Q836" s="112">
        <f>IF(O836=1,IF(K836&lt;&gt;"",K836,IF(H836="High",AsOf,"")),"")</f>
        <v/>
      </c>
      <c r="R836" s="79">
        <f>IF(Q836="","",IF(H836="High",1,IF(Q836="","",IF(Q836&lt;AsOf,1,IF(Q836&lt;=AsOf+AlertDays,2,IF(Q836&lt;=AsOf+2*AlertDays,3,""))))))</f>
        <v/>
      </c>
      <c r="S836" s="79">
        <f>IF(R836="","",IF(H836="High","High-severity issue: ",IF(C836="Punch item","Punch item: ","Issue action due: "))&amp;F836&amp;IF(J836="",""," → "&amp;J836))</f>
        <v/>
      </c>
      <c r="T836" s="79">
        <f>IF(O836=1,IF(I836="",0,I836),0)</f>
        <v/>
      </c>
      <c r="U836" s="79">
        <f>IF(AND(O836=1,H836="High"),1,0)</f>
        <v/>
      </c>
      <c r="V836" s="79">
        <f>IF(AND(O836=1,C836="Punch item"),1,0)</f>
        <v/>
      </c>
    </row>
    <row r="837" ht="24" customHeight="1">
      <c r="B837" s="125" t="n">
        <v>830</v>
      </c>
      <c r="C837" s="72" t="n"/>
      <c r="D837" s="109" t="n"/>
      <c r="E837" s="72" t="n"/>
      <c r="F837" s="113" t="n"/>
      <c r="G837" s="72" t="n"/>
      <c r="H837" s="74" t="n"/>
      <c r="I837" s="73" t="n"/>
      <c r="J837" s="113" t="n"/>
      <c r="K837" s="109" t="n"/>
      <c r="L837" s="72" t="n"/>
      <c r="M837" s="109" t="n"/>
      <c r="N837" s="72" t="n"/>
      <c r="O837" s="79">
        <f>IF(AND(F837&lt;&gt;"",L837&lt;&gt;"Resolved"),1,0)</f>
        <v/>
      </c>
      <c r="P837" s="79">
        <f>IF(F837="","",IF(O837=0,0,IF(H837="High",2,1)))</f>
        <v/>
      </c>
      <c r="Q837" s="112">
        <f>IF(O837=1,IF(K837&lt;&gt;"",K837,IF(H837="High",AsOf,"")),"")</f>
        <v/>
      </c>
      <c r="R837" s="79">
        <f>IF(Q837="","",IF(H837="High",1,IF(Q837="","",IF(Q837&lt;AsOf,1,IF(Q837&lt;=AsOf+AlertDays,2,IF(Q837&lt;=AsOf+2*AlertDays,3,""))))))</f>
        <v/>
      </c>
      <c r="S837" s="79">
        <f>IF(R837="","",IF(H837="High","High-severity issue: ",IF(C837="Punch item","Punch item: ","Issue action due: "))&amp;F837&amp;IF(J837="",""," → "&amp;J837))</f>
        <v/>
      </c>
      <c r="T837" s="79">
        <f>IF(O837=1,IF(I837="",0,I837),0)</f>
        <v/>
      </c>
      <c r="U837" s="79">
        <f>IF(AND(O837=1,H837="High"),1,0)</f>
        <v/>
      </c>
      <c r="V837" s="79">
        <f>IF(AND(O837=1,C837="Punch item"),1,0)</f>
        <v/>
      </c>
    </row>
    <row r="838" ht="24" customHeight="1">
      <c r="B838" s="125" t="n">
        <v>831</v>
      </c>
      <c r="C838" s="72" t="n"/>
      <c r="D838" s="109" t="n"/>
      <c r="E838" s="72" t="n"/>
      <c r="F838" s="113" t="n"/>
      <c r="G838" s="72" t="n"/>
      <c r="H838" s="74" t="n"/>
      <c r="I838" s="73" t="n"/>
      <c r="J838" s="113" t="n"/>
      <c r="K838" s="109" t="n"/>
      <c r="L838" s="72" t="n"/>
      <c r="M838" s="109" t="n"/>
      <c r="N838" s="72" t="n"/>
      <c r="O838" s="79">
        <f>IF(AND(F838&lt;&gt;"",L838&lt;&gt;"Resolved"),1,0)</f>
        <v/>
      </c>
      <c r="P838" s="79">
        <f>IF(F838="","",IF(O838=0,0,IF(H838="High",2,1)))</f>
        <v/>
      </c>
      <c r="Q838" s="112">
        <f>IF(O838=1,IF(K838&lt;&gt;"",K838,IF(H838="High",AsOf,"")),"")</f>
        <v/>
      </c>
      <c r="R838" s="79">
        <f>IF(Q838="","",IF(H838="High",1,IF(Q838="","",IF(Q838&lt;AsOf,1,IF(Q838&lt;=AsOf+AlertDays,2,IF(Q838&lt;=AsOf+2*AlertDays,3,""))))))</f>
        <v/>
      </c>
      <c r="S838" s="79">
        <f>IF(R838="","",IF(H838="High","High-severity issue: ",IF(C838="Punch item","Punch item: ","Issue action due: "))&amp;F838&amp;IF(J838="",""," → "&amp;J838))</f>
        <v/>
      </c>
      <c r="T838" s="79">
        <f>IF(O838=1,IF(I838="",0,I838),0)</f>
        <v/>
      </c>
      <c r="U838" s="79">
        <f>IF(AND(O838=1,H838="High"),1,0)</f>
        <v/>
      </c>
      <c r="V838" s="79">
        <f>IF(AND(O838=1,C838="Punch item"),1,0)</f>
        <v/>
      </c>
    </row>
    <row r="839" ht="24" customHeight="1">
      <c r="B839" s="125" t="n">
        <v>832</v>
      </c>
      <c r="C839" s="72" t="n"/>
      <c r="D839" s="109" t="n"/>
      <c r="E839" s="72" t="n"/>
      <c r="F839" s="113" t="n"/>
      <c r="G839" s="72" t="n"/>
      <c r="H839" s="74" t="n"/>
      <c r="I839" s="73" t="n"/>
      <c r="J839" s="113" t="n"/>
      <c r="K839" s="109" t="n"/>
      <c r="L839" s="72" t="n"/>
      <c r="M839" s="109" t="n"/>
      <c r="N839" s="72" t="n"/>
      <c r="O839" s="79">
        <f>IF(AND(F839&lt;&gt;"",L839&lt;&gt;"Resolved"),1,0)</f>
        <v/>
      </c>
      <c r="P839" s="79">
        <f>IF(F839="","",IF(O839=0,0,IF(H839="High",2,1)))</f>
        <v/>
      </c>
      <c r="Q839" s="112">
        <f>IF(O839=1,IF(K839&lt;&gt;"",K839,IF(H839="High",AsOf,"")),"")</f>
        <v/>
      </c>
      <c r="R839" s="79">
        <f>IF(Q839="","",IF(H839="High",1,IF(Q839="","",IF(Q839&lt;AsOf,1,IF(Q839&lt;=AsOf+AlertDays,2,IF(Q839&lt;=AsOf+2*AlertDays,3,""))))))</f>
        <v/>
      </c>
      <c r="S839" s="79">
        <f>IF(R839="","",IF(H839="High","High-severity issue: ",IF(C839="Punch item","Punch item: ","Issue action due: "))&amp;F839&amp;IF(J839="",""," → "&amp;J839))</f>
        <v/>
      </c>
      <c r="T839" s="79">
        <f>IF(O839=1,IF(I839="",0,I839),0)</f>
        <v/>
      </c>
      <c r="U839" s="79">
        <f>IF(AND(O839=1,H839="High"),1,0)</f>
        <v/>
      </c>
      <c r="V839" s="79">
        <f>IF(AND(O839=1,C839="Punch item"),1,0)</f>
        <v/>
      </c>
    </row>
    <row r="840" ht="24" customHeight="1">
      <c r="B840" s="125" t="n">
        <v>833</v>
      </c>
      <c r="C840" s="72" t="n"/>
      <c r="D840" s="109" t="n"/>
      <c r="E840" s="72" t="n"/>
      <c r="F840" s="113" t="n"/>
      <c r="G840" s="72" t="n"/>
      <c r="H840" s="74" t="n"/>
      <c r="I840" s="73" t="n"/>
      <c r="J840" s="113" t="n"/>
      <c r="K840" s="109" t="n"/>
      <c r="L840" s="72" t="n"/>
      <c r="M840" s="109" t="n"/>
      <c r="N840" s="72" t="n"/>
      <c r="O840" s="79">
        <f>IF(AND(F840&lt;&gt;"",L840&lt;&gt;"Resolved"),1,0)</f>
        <v/>
      </c>
      <c r="P840" s="79">
        <f>IF(F840="","",IF(O840=0,0,IF(H840="High",2,1)))</f>
        <v/>
      </c>
      <c r="Q840" s="112">
        <f>IF(O840=1,IF(K840&lt;&gt;"",K840,IF(H840="High",AsOf,"")),"")</f>
        <v/>
      </c>
      <c r="R840" s="79">
        <f>IF(Q840="","",IF(H840="High",1,IF(Q840="","",IF(Q840&lt;AsOf,1,IF(Q840&lt;=AsOf+AlertDays,2,IF(Q840&lt;=AsOf+2*AlertDays,3,""))))))</f>
        <v/>
      </c>
      <c r="S840" s="79">
        <f>IF(R840="","",IF(H840="High","High-severity issue: ",IF(C840="Punch item","Punch item: ","Issue action due: "))&amp;F840&amp;IF(J840="",""," → "&amp;J840))</f>
        <v/>
      </c>
      <c r="T840" s="79">
        <f>IF(O840=1,IF(I840="",0,I840),0)</f>
        <v/>
      </c>
      <c r="U840" s="79">
        <f>IF(AND(O840=1,H840="High"),1,0)</f>
        <v/>
      </c>
      <c r="V840" s="79">
        <f>IF(AND(O840=1,C840="Punch item"),1,0)</f>
        <v/>
      </c>
    </row>
    <row r="841" ht="24" customHeight="1">
      <c r="B841" s="125" t="n">
        <v>834</v>
      </c>
      <c r="C841" s="72" t="n"/>
      <c r="D841" s="109" t="n"/>
      <c r="E841" s="72" t="n"/>
      <c r="F841" s="113" t="n"/>
      <c r="G841" s="72" t="n"/>
      <c r="H841" s="74" t="n"/>
      <c r="I841" s="73" t="n"/>
      <c r="J841" s="113" t="n"/>
      <c r="K841" s="109" t="n"/>
      <c r="L841" s="72" t="n"/>
      <c r="M841" s="109" t="n"/>
      <c r="N841" s="72" t="n"/>
      <c r="O841" s="79">
        <f>IF(AND(F841&lt;&gt;"",L841&lt;&gt;"Resolved"),1,0)</f>
        <v/>
      </c>
      <c r="P841" s="79">
        <f>IF(F841="","",IF(O841=0,0,IF(H841="High",2,1)))</f>
        <v/>
      </c>
      <c r="Q841" s="112">
        <f>IF(O841=1,IF(K841&lt;&gt;"",K841,IF(H841="High",AsOf,"")),"")</f>
        <v/>
      </c>
      <c r="R841" s="79">
        <f>IF(Q841="","",IF(H841="High",1,IF(Q841="","",IF(Q841&lt;AsOf,1,IF(Q841&lt;=AsOf+AlertDays,2,IF(Q841&lt;=AsOf+2*AlertDays,3,""))))))</f>
        <v/>
      </c>
      <c r="S841" s="79">
        <f>IF(R841="","",IF(H841="High","High-severity issue: ",IF(C841="Punch item","Punch item: ","Issue action due: "))&amp;F841&amp;IF(J841="",""," → "&amp;J841))</f>
        <v/>
      </c>
      <c r="T841" s="79">
        <f>IF(O841=1,IF(I841="",0,I841),0)</f>
        <v/>
      </c>
      <c r="U841" s="79">
        <f>IF(AND(O841=1,H841="High"),1,0)</f>
        <v/>
      </c>
      <c r="V841" s="79">
        <f>IF(AND(O841=1,C841="Punch item"),1,0)</f>
        <v/>
      </c>
    </row>
    <row r="842" ht="24" customHeight="1">
      <c r="B842" s="125" t="n">
        <v>835</v>
      </c>
      <c r="C842" s="72" t="n"/>
      <c r="D842" s="109" t="n"/>
      <c r="E842" s="72" t="n"/>
      <c r="F842" s="113" t="n"/>
      <c r="G842" s="72" t="n"/>
      <c r="H842" s="74" t="n"/>
      <c r="I842" s="73" t="n"/>
      <c r="J842" s="113" t="n"/>
      <c r="K842" s="109" t="n"/>
      <c r="L842" s="72" t="n"/>
      <c r="M842" s="109" t="n"/>
      <c r="N842" s="72" t="n"/>
      <c r="O842" s="79">
        <f>IF(AND(F842&lt;&gt;"",L842&lt;&gt;"Resolved"),1,0)</f>
        <v/>
      </c>
      <c r="P842" s="79">
        <f>IF(F842="","",IF(O842=0,0,IF(H842="High",2,1)))</f>
        <v/>
      </c>
      <c r="Q842" s="112">
        <f>IF(O842=1,IF(K842&lt;&gt;"",K842,IF(H842="High",AsOf,"")),"")</f>
        <v/>
      </c>
      <c r="R842" s="79">
        <f>IF(Q842="","",IF(H842="High",1,IF(Q842="","",IF(Q842&lt;AsOf,1,IF(Q842&lt;=AsOf+AlertDays,2,IF(Q842&lt;=AsOf+2*AlertDays,3,""))))))</f>
        <v/>
      </c>
      <c r="S842" s="79">
        <f>IF(R842="","",IF(H842="High","High-severity issue: ",IF(C842="Punch item","Punch item: ","Issue action due: "))&amp;F842&amp;IF(J842="",""," → "&amp;J842))</f>
        <v/>
      </c>
      <c r="T842" s="79">
        <f>IF(O842=1,IF(I842="",0,I842),0)</f>
        <v/>
      </c>
      <c r="U842" s="79">
        <f>IF(AND(O842=1,H842="High"),1,0)</f>
        <v/>
      </c>
      <c r="V842" s="79">
        <f>IF(AND(O842=1,C842="Punch item"),1,0)</f>
        <v/>
      </c>
    </row>
    <row r="843" ht="24" customHeight="1">
      <c r="B843" s="125" t="n">
        <v>836</v>
      </c>
      <c r="C843" s="72" t="n"/>
      <c r="D843" s="109" t="n"/>
      <c r="E843" s="72" t="n"/>
      <c r="F843" s="113" t="n"/>
      <c r="G843" s="72" t="n"/>
      <c r="H843" s="74" t="n"/>
      <c r="I843" s="73" t="n"/>
      <c r="J843" s="113" t="n"/>
      <c r="K843" s="109" t="n"/>
      <c r="L843" s="72" t="n"/>
      <c r="M843" s="109" t="n"/>
      <c r="N843" s="72" t="n"/>
      <c r="O843" s="79">
        <f>IF(AND(F843&lt;&gt;"",L843&lt;&gt;"Resolved"),1,0)</f>
        <v/>
      </c>
      <c r="P843" s="79">
        <f>IF(F843="","",IF(O843=0,0,IF(H843="High",2,1)))</f>
        <v/>
      </c>
      <c r="Q843" s="112">
        <f>IF(O843=1,IF(K843&lt;&gt;"",K843,IF(H843="High",AsOf,"")),"")</f>
        <v/>
      </c>
      <c r="R843" s="79">
        <f>IF(Q843="","",IF(H843="High",1,IF(Q843="","",IF(Q843&lt;AsOf,1,IF(Q843&lt;=AsOf+AlertDays,2,IF(Q843&lt;=AsOf+2*AlertDays,3,""))))))</f>
        <v/>
      </c>
      <c r="S843" s="79">
        <f>IF(R843="","",IF(H843="High","High-severity issue: ",IF(C843="Punch item","Punch item: ","Issue action due: "))&amp;F843&amp;IF(J843="",""," → "&amp;J843))</f>
        <v/>
      </c>
      <c r="T843" s="79">
        <f>IF(O843=1,IF(I843="",0,I843),0)</f>
        <v/>
      </c>
      <c r="U843" s="79">
        <f>IF(AND(O843=1,H843="High"),1,0)</f>
        <v/>
      </c>
      <c r="V843" s="79">
        <f>IF(AND(O843=1,C843="Punch item"),1,0)</f>
        <v/>
      </c>
    </row>
    <row r="844" ht="24" customHeight="1">
      <c r="B844" s="125" t="n">
        <v>837</v>
      </c>
      <c r="C844" s="72" t="n"/>
      <c r="D844" s="109" t="n"/>
      <c r="E844" s="72" t="n"/>
      <c r="F844" s="113" t="n"/>
      <c r="G844" s="72" t="n"/>
      <c r="H844" s="74" t="n"/>
      <c r="I844" s="73" t="n"/>
      <c r="J844" s="113" t="n"/>
      <c r="K844" s="109" t="n"/>
      <c r="L844" s="72" t="n"/>
      <c r="M844" s="109" t="n"/>
      <c r="N844" s="72" t="n"/>
      <c r="O844" s="79">
        <f>IF(AND(F844&lt;&gt;"",L844&lt;&gt;"Resolved"),1,0)</f>
        <v/>
      </c>
      <c r="P844" s="79">
        <f>IF(F844="","",IF(O844=0,0,IF(H844="High",2,1)))</f>
        <v/>
      </c>
      <c r="Q844" s="112">
        <f>IF(O844=1,IF(K844&lt;&gt;"",K844,IF(H844="High",AsOf,"")),"")</f>
        <v/>
      </c>
      <c r="R844" s="79">
        <f>IF(Q844="","",IF(H844="High",1,IF(Q844="","",IF(Q844&lt;AsOf,1,IF(Q844&lt;=AsOf+AlertDays,2,IF(Q844&lt;=AsOf+2*AlertDays,3,""))))))</f>
        <v/>
      </c>
      <c r="S844" s="79">
        <f>IF(R844="","",IF(H844="High","High-severity issue: ",IF(C844="Punch item","Punch item: ","Issue action due: "))&amp;F844&amp;IF(J844="",""," → "&amp;J844))</f>
        <v/>
      </c>
      <c r="T844" s="79">
        <f>IF(O844=1,IF(I844="",0,I844),0)</f>
        <v/>
      </c>
      <c r="U844" s="79">
        <f>IF(AND(O844=1,H844="High"),1,0)</f>
        <v/>
      </c>
      <c r="V844" s="79">
        <f>IF(AND(O844=1,C844="Punch item"),1,0)</f>
        <v/>
      </c>
    </row>
    <row r="845" ht="24" customHeight="1">
      <c r="B845" s="125" t="n">
        <v>838</v>
      </c>
      <c r="C845" s="72" t="n"/>
      <c r="D845" s="109" t="n"/>
      <c r="E845" s="72" t="n"/>
      <c r="F845" s="113" t="n"/>
      <c r="G845" s="72" t="n"/>
      <c r="H845" s="74" t="n"/>
      <c r="I845" s="73" t="n"/>
      <c r="J845" s="113" t="n"/>
      <c r="K845" s="109" t="n"/>
      <c r="L845" s="72" t="n"/>
      <c r="M845" s="109" t="n"/>
      <c r="N845" s="72" t="n"/>
      <c r="O845" s="79">
        <f>IF(AND(F845&lt;&gt;"",L845&lt;&gt;"Resolved"),1,0)</f>
        <v/>
      </c>
      <c r="P845" s="79">
        <f>IF(F845="","",IF(O845=0,0,IF(H845="High",2,1)))</f>
        <v/>
      </c>
      <c r="Q845" s="112">
        <f>IF(O845=1,IF(K845&lt;&gt;"",K845,IF(H845="High",AsOf,"")),"")</f>
        <v/>
      </c>
      <c r="R845" s="79">
        <f>IF(Q845="","",IF(H845="High",1,IF(Q845="","",IF(Q845&lt;AsOf,1,IF(Q845&lt;=AsOf+AlertDays,2,IF(Q845&lt;=AsOf+2*AlertDays,3,""))))))</f>
        <v/>
      </c>
      <c r="S845" s="79">
        <f>IF(R845="","",IF(H845="High","High-severity issue: ",IF(C845="Punch item","Punch item: ","Issue action due: "))&amp;F845&amp;IF(J845="",""," → "&amp;J845))</f>
        <v/>
      </c>
      <c r="T845" s="79">
        <f>IF(O845=1,IF(I845="",0,I845),0)</f>
        <v/>
      </c>
      <c r="U845" s="79">
        <f>IF(AND(O845=1,H845="High"),1,0)</f>
        <v/>
      </c>
      <c r="V845" s="79">
        <f>IF(AND(O845=1,C845="Punch item"),1,0)</f>
        <v/>
      </c>
    </row>
    <row r="846" ht="24" customHeight="1">
      <c r="B846" s="125" t="n">
        <v>839</v>
      </c>
      <c r="C846" s="72" t="n"/>
      <c r="D846" s="109" t="n"/>
      <c r="E846" s="72" t="n"/>
      <c r="F846" s="113" t="n"/>
      <c r="G846" s="72" t="n"/>
      <c r="H846" s="74" t="n"/>
      <c r="I846" s="73" t="n"/>
      <c r="J846" s="113" t="n"/>
      <c r="K846" s="109" t="n"/>
      <c r="L846" s="72" t="n"/>
      <c r="M846" s="109" t="n"/>
      <c r="N846" s="72" t="n"/>
      <c r="O846" s="79">
        <f>IF(AND(F846&lt;&gt;"",L846&lt;&gt;"Resolved"),1,0)</f>
        <v/>
      </c>
      <c r="P846" s="79">
        <f>IF(F846="","",IF(O846=0,0,IF(H846="High",2,1)))</f>
        <v/>
      </c>
      <c r="Q846" s="112">
        <f>IF(O846=1,IF(K846&lt;&gt;"",K846,IF(H846="High",AsOf,"")),"")</f>
        <v/>
      </c>
      <c r="R846" s="79">
        <f>IF(Q846="","",IF(H846="High",1,IF(Q846="","",IF(Q846&lt;AsOf,1,IF(Q846&lt;=AsOf+AlertDays,2,IF(Q846&lt;=AsOf+2*AlertDays,3,""))))))</f>
        <v/>
      </c>
      <c r="S846" s="79">
        <f>IF(R846="","",IF(H846="High","High-severity issue: ",IF(C846="Punch item","Punch item: ","Issue action due: "))&amp;F846&amp;IF(J846="",""," → "&amp;J846))</f>
        <v/>
      </c>
      <c r="T846" s="79">
        <f>IF(O846=1,IF(I846="",0,I846),0)</f>
        <v/>
      </c>
      <c r="U846" s="79">
        <f>IF(AND(O846=1,H846="High"),1,0)</f>
        <v/>
      </c>
      <c r="V846" s="79">
        <f>IF(AND(O846=1,C846="Punch item"),1,0)</f>
        <v/>
      </c>
    </row>
    <row r="847" ht="24" customHeight="1">
      <c r="B847" s="125" t="n">
        <v>840</v>
      </c>
      <c r="C847" s="72" t="n"/>
      <c r="D847" s="109" t="n"/>
      <c r="E847" s="72" t="n"/>
      <c r="F847" s="113" t="n"/>
      <c r="G847" s="72" t="n"/>
      <c r="H847" s="74" t="n"/>
      <c r="I847" s="73" t="n"/>
      <c r="J847" s="113" t="n"/>
      <c r="K847" s="109" t="n"/>
      <c r="L847" s="72" t="n"/>
      <c r="M847" s="109" t="n"/>
      <c r="N847" s="72" t="n"/>
      <c r="O847" s="79">
        <f>IF(AND(F847&lt;&gt;"",L847&lt;&gt;"Resolved"),1,0)</f>
        <v/>
      </c>
      <c r="P847" s="79">
        <f>IF(F847="","",IF(O847=0,0,IF(H847="High",2,1)))</f>
        <v/>
      </c>
      <c r="Q847" s="112">
        <f>IF(O847=1,IF(K847&lt;&gt;"",K847,IF(H847="High",AsOf,"")),"")</f>
        <v/>
      </c>
      <c r="R847" s="79">
        <f>IF(Q847="","",IF(H847="High",1,IF(Q847="","",IF(Q847&lt;AsOf,1,IF(Q847&lt;=AsOf+AlertDays,2,IF(Q847&lt;=AsOf+2*AlertDays,3,""))))))</f>
        <v/>
      </c>
      <c r="S847" s="79">
        <f>IF(R847="","",IF(H847="High","High-severity issue: ",IF(C847="Punch item","Punch item: ","Issue action due: "))&amp;F847&amp;IF(J847="",""," → "&amp;J847))</f>
        <v/>
      </c>
      <c r="T847" s="79">
        <f>IF(O847=1,IF(I847="",0,I847),0)</f>
        <v/>
      </c>
      <c r="U847" s="79">
        <f>IF(AND(O847=1,H847="High"),1,0)</f>
        <v/>
      </c>
      <c r="V847" s="79">
        <f>IF(AND(O847=1,C847="Punch item"),1,0)</f>
        <v/>
      </c>
    </row>
    <row r="848" ht="24" customHeight="1">
      <c r="B848" s="125" t="n">
        <v>841</v>
      </c>
      <c r="C848" s="72" t="n"/>
      <c r="D848" s="109" t="n"/>
      <c r="E848" s="72" t="n"/>
      <c r="F848" s="113" t="n"/>
      <c r="G848" s="72" t="n"/>
      <c r="H848" s="74" t="n"/>
      <c r="I848" s="73" t="n"/>
      <c r="J848" s="113" t="n"/>
      <c r="K848" s="109" t="n"/>
      <c r="L848" s="72" t="n"/>
      <c r="M848" s="109" t="n"/>
      <c r="N848" s="72" t="n"/>
      <c r="O848" s="79">
        <f>IF(AND(F848&lt;&gt;"",L848&lt;&gt;"Resolved"),1,0)</f>
        <v/>
      </c>
      <c r="P848" s="79">
        <f>IF(F848="","",IF(O848=0,0,IF(H848="High",2,1)))</f>
        <v/>
      </c>
      <c r="Q848" s="112">
        <f>IF(O848=1,IF(K848&lt;&gt;"",K848,IF(H848="High",AsOf,"")),"")</f>
        <v/>
      </c>
      <c r="R848" s="79">
        <f>IF(Q848="","",IF(H848="High",1,IF(Q848="","",IF(Q848&lt;AsOf,1,IF(Q848&lt;=AsOf+AlertDays,2,IF(Q848&lt;=AsOf+2*AlertDays,3,""))))))</f>
        <v/>
      </c>
      <c r="S848" s="79">
        <f>IF(R848="","",IF(H848="High","High-severity issue: ",IF(C848="Punch item","Punch item: ","Issue action due: "))&amp;F848&amp;IF(J848="",""," → "&amp;J848))</f>
        <v/>
      </c>
      <c r="T848" s="79">
        <f>IF(O848=1,IF(I848="",0,I848),0)</f>
        <v/>
      </c>
      <c r="U848" s="79">
        <f>IF(AND(O848=1,H848="High"),1,0)</f>
        <v/>
      </c>
      <c r="V848" s="79">
        <f>IF(AND(O848=1,C848="Punch item"),1,0)</f>
        <v/>
      </c>
    </row>
    <row r="849" ht="24" customHeight="1">
      <c r="B849" s="125" t="n">
        <v>842</v>
      </c>
      <c r="C849" s="72" t="n"/>
      <c r="D849" s="109" t="n"/>
      <c r="E849" s="72" t="n"/>
      <c r="F849" s="113" t="n"/>
      <c r="G849" s="72" t="n"/>
      <c r="H849" s="74" t="n"/>
      <c r="I849" s="73" t="n"/>
      <c r="J849" s="113" t="n"/>
      <c r="K849" s="109" t="n"/>
      <c r="L849" s="72" t="n"/>
      <c r="M849" s="109" t="n"/>
      <c r="N849" s="72" t="n"/>
      <c r="O849" s="79">
        <f>IF(AND(F849&lt;&gt;"",L849&lt;&gt;"Resolved"),1,0)</f>
        <v/>
      </c>
      <c r="P849" s="79">
        <f>IF(F849="","",IF(O849=0,0,IF(H849="High",2,1)))</f>
        <v/>
      </c>
      <c r="Q849" s="112">
        <f>IF(O849=1,IF(K849&lt;&gt;"",K849,IF(H849="High",AsOf,"")),"")</f>
        <v/>
      </c>
      <c r="R849" s="79">
        <f>IF(Q849="","",IF(H849="High",1,IF(Q849="","",IF(Q849&lt;AsOf,1,IF(Q849&lt;=AsOf+AlertDays,2,IF(Q849&lt;=AsOf+2*AlertDays,3,""))))))</f>
        <v/>
      </c>
      <c r="S849" s="79">
        <f>IF(R849="","",IF(H849="High","High-severity issue: ",IF(C849="Punch item","Punch item: ","Issue action due: "))&amp;F849&amp;IF(J849="",""," → "&amp;J849))</f>
        <v/>
      </c>
      <c r="T849" s="79">
        <f>IF(O849=1,IF(I849="",0,I849),0)</f>
        <v/>
      </c>
      <c r="U849" s="79">
        <f>IF(AND(O849=1,H849="High"),1,0)</f>
        <v/>
      </c>
      <c r="V849" s="79">
        <f>IF(AND(O849=1,C849="Punch item"),1,0)</f>
        <v/>
      </c>
    </row>
    <row r="850" ht="24" customHeight="1">
      <c r="B850" s="125" t="n">
        <v>843</v>
      </c>
      <c r="C850" s="72" t="n"/>
      <c r="D850" s="109" t="n"/>
      <c r="E850" s="72" t="n"/>
      <c r="F850" s="113" t="n"/>
      <c r="G850" s="72" t="n"/>
      <c r="H850" s="74" t="n"/>
      <c r="I850" s="73" t="n"/>
      <c r="J850" s="113" t="n"/>
      <c r="K850" s="109" t="n"/>
      <c r="L850" s="72" t="n"/>
      <c r="M850" s="109" t="n"/>
      <c r="N850" s="72" t="n"/>
      <c r="O850" s="79">
        <f>IF(AND(F850&lt;&gt;"",L850&lt;&gt;"Resolved"),1,0)</f>
        <v/>
      </c>
      <c r="P850" s="79">
        <f>IF(F850="","",IF(O850=0,0,IF(H850="High",2,1)))</f>
        <v/>
      </c>
      <c r="Q850" s="112">
        <f>IF(O850=1,IF(K850&lt;&gt;"",K850,IF(H850="High",AsOf,"")),"")</f>
        <v/>
      </c>
      <c r="R850" s="79">
        <f>IF(Q850="","",IF(H850="High",1,IF(Q850="","",IF(Q850&lt;AsOf,1,IF(Q850&lt;=AsOf+AlertDays,2,IF(Q850&lt;=AsOf+2*AlertDays,3,""))))))</f>
        <v/>
      </c>
      <c r="S850" s="79">
        <f>IF(R850="","",IF(H850="High","High-severity issue: ",IF(C850="Punch item","Punch item: ","Issue action due: "))&amp;F850&amp;IF(J850="",""," → "&amp;J850))</f>
        <v/>
      </c>
      <c r="T850" s="79">
        <f>IF(O850=1,IF(I850="",0,I850),0)</f>
        <v/>
      </c>
      <c r="U850" s="79">
        <f>IF(AND(O850=1,H850="High"),1,0)</f>
        <v/>
      </c>
      <c r="V850" s="79">
        <f>IF(AND(O850=1,C850="Punch item"),1,0)</f>
        <v/>
      </c>
    </row>
    <row r="851" ht="24" customHeight="1">
      <c r="B851" s="125" t="n">
        <v>844</v>
      </c>
      <c r="C851" s="72" t="n"/>
      <c r="D851" s="109" t="n"/>
      <c r="E851" s="72" t="n"/>
      <c r="F851" s="113" t="n"/>
      <c r="G851" s="72" t="n"/>
      <c r="H851" s="74" t="n"/>
      <c r="I851" s="73" t="n"/>
      <c r="J851" s="113" t="n"/>
      <c r="K851" s="109" t="n"/>
      <c r="L851" s="72" t="n"/>
      <c r="M851" s="109" t="n"/>
      <c r="N851" s="72" t="n"/>
      <c r="O851" s="79">
        <f>IF(AND(F851&lt;&gt;"",L851&lt;&gt;"Resolved"),1,0)</f>
        <v/>
      </c>
      <c r="P851" s="79">
        <f>IF(F851="","",IF(O851=0,0,IF(H851="High",2,1)))</f>
        <v/>
      </c>
      <c r="Q851" s="112">
        <f>IF(O851=1,IF(K851&lt;&gt;"",K851,IF(H851="High",AsOf,"")),"")</f>
        <v/>
      </c>
      <c r="R851" s="79">
        <f>IF(Q851="","",IF(H851="High",1,IF(Q851="","",IF(Q851&lt;AsOf,1,IF(Q851&lt;=AsOf+AlertDays,2,IF(Q851&lt;=AsOf+2*AlertDays,3,""))))))</f>
        <v/>
      </c>
      <c r="S851" s="79">
        <f>IF(R851="","",IF(H851="High","High-severity issue: ",IF(C851="Punch item","Punch item: ","Issue action due: "))&amp;F851&amp;IF(J851="",""," → "&amp;J851))</f>
        <v/>
      </c>
      <c r="T851" s="79">
        <f>IF(O851=1,IF(I851="",0,I851),0)</f>
        <v/>
      </c>
      <c r="U851" s="79">
        <f>IF(AND(O851=1,H851="High"),1,0)</f>
        <v/>
      </c>
      <c r="V851" s="79">
        <f>IF(AND(O851=1,C851="Punch item"),1,0)</f>
        <v/>
      </c>
    </row>
    <row r="852" ht="24" customHeight="1">
      <c r="B852" s="125" t="n">
        <v>845</v>
      </c>
      <c r="C852" s="72" t="n"/>
      <c r="D852" s="109" t="n"/>
      <c r="E852" s="72" t="n"/>
      <c r="F852" s="113" t="n"/>
      <c r="G852" s="72" t="n"/>
      <c r="H852" s="74" t="n"/>
      <c r="I852" s="73" t="n"/>
      <c r="J852" s="113" t="n"/>
      <c r="K852" s="109" t="n"/>
      <c r="L852" s="72" t="n"/>
      <c r="M852" s="109" t="n"/>
      <c r="N852" s="72" t="n"/>
      <c r="O852" s="79">
        <f>IF(AND(F852&lt;&gt;"",L852&lt;&gt;"Resolved"),1,0)</f>
        <v/>
      </c>
      <c r="P852" s="79">
        <f>IF(F852="","",IF(O852=0,0,IF(H852="High",2,1)))</f>
        <v/>
      </c>
      <c r="Q852" s="112">
        <f>IF(O852=1,IF(K852&lt;&gt;"",K852,IF(H852="High",AsOf,"")),"")</f>
        <v/>
      </c>
      <c r="R852" s="79">
        <f>IF(Q852="","",IF(H852="High",1,IF(Q852="","",IF(Q852&lt;AsOf,1,IF(Q852&lt;=AsOf+AlertDays,2,IF(Q852&lt;=AsOf+2*AlertDays,3,""))))))</f>
        <v/>
      </c>
      <c r="S852" s="79">
        <f>IF(R852="","",IF(H852="High","High-severity issue: ",IF(C852="Punch item","Punch item: ","Issue action due: "))&amp;F852&amp;IF(J852="",""," → "&amp;J852))</f>
        <v/>
      </c>
      <c r="T852" s="79">
        <f>IF(O852=1,IF(I852="",0,I852),0)</f>
        <v/>
      </c>
      <c r="U852" s="79">
        <f>IF(AND(O852=1,H852="High"),1,0)</f>
        <v/>
      </c>
      <c r="V852" s="79">
        <f>IF(AND(O852=1,C852="Punch item"),1,0)</f>
        <v/>
      </c>
    </row>
    <row r="853" ht="24" customHeight="1">
      <c r="B853" s="125" t="n">
        <v>846</v>
      </c>
      <c r="C853" s="72" t="n"/>
      <c r="D853" s="109" t="n"/>
      <c r="E853" s="72" t="n"/>
      <c r="F853" s="113" t="n"/>
      <c r="G853" s="72" t="n"/>
      <c r="H853" s="74" t="n"/>
      <c r="I853" s="73" t="n"/>
      <c r="J853" s="113" t="n"/>
      <c r="K853" s="109" t="n"/>
      <c r="L853" s="72" t="n"/>
      <c r="M853" s="109" t="n"/>
      <c r="N853" s="72" t="n"/>
      <c r="O853" s="79">
        <f>IF(AND(F853&lt;&gt;"",L853&lt;&gt;"Resolved"),1,0)</f>
        <v/>
      </c>
      <c r="P853" s="79">
        <f>IF(F853="","",IF(O853=0,0,IF(H853="High",2,1)))</f>
        <v/>
      </c>
      <c r="Q853" s="112">
        <f>IF(O853=1,IF(K853&lt;&gt;"",K853,IF(H853="High",AsOf,"")),"")</f>
        <v/>
      </c>
      <c r="R853" s="79">
        <f>IF(Q853="","",IF(H853="High",1,IF(Q853="","",IF(Q853&lt;AsOf,1,IF(Q853&lt;=AsOf+AlertDays,2,IF(Q853&lt;=AsOf+2*AlertDays,3,""))))))</f>
        <v/>
      </c>
      <c r="S853" s="79">
        <f>IF(R853="","",IF(H853="High","High-severity issue: ",IF(C853="Punch item","Punch item: ","Issue action due: "))&amp;F853&amp;IF(J853="",""," → "&amp;J853))</f>
        <v/>
      </c>
      <c r="T853" s="79">
        <f>IF(O853=1,IF(I853="",0,I853),0)</f>
        <v/>
      </c>
      <c r="U853" s="79">
        <f>IF(AND(O853=1,H853="High"),1,0)</f>
        <v/>
      </c>
      <c r="V853" s="79">
        <f>IF(AND(O853=1,C853="Punch item"),1,0)</f>
        <v/>
      </c>
    </row>
    <row r="854" ht="24" customHeight="1">
      <c r="B854" s="125" t="n">
        <v>847</v>
      </c>
      <c r="C854" s="72" t="n"/>
      <c r="D854" s="109" t="n"/>
      <c r="E854" s="72" t="n"/>
      <c r="F854" s="113" t="n"/>
      <c r="G854" s="72" t="n"/>
      <c r="H854" s="74" t="n"/>
      <c r="I854" s="73" t="n"/>
      <c r="J854" s="113" t="n"/>
      <c r="K854" s="109" t="n"/>
      <c r="L854" s="72" t="n"/>
      <c r="M854" s="109" t="n"/>
      <c r="N854" s="72" t="n"/>
      <c r="O854" s="79">
        <f>IF(AND(F854&lt;&gt;"",L854&lt;&gt;"Resolved"),1,0)</f>
        <v/>
      </c>
      <c r="P854" s="79">
        <f>IF(F854="","",IF(O854=0,0,IF(H854="High",2,1)))</f>
        <v/>
      </c>
      <c r="Q854" s="112">
        <f>IF(O854=1,IF(K854&lt;&gt;"",K854,IF(H854="High",AsOf,"")),"")</f>
        <v/>
      </c>
      <c r="R854" s="79">
        <f>IF(Q854="","",IF(H854="High",1,IF(Q854="","",IF(Q854&lt;AsOf,1,IF(Q854&lt;=AsOf+AlertDays,2,IF(Q854&lt;=AsOf+2*AlertDays,3,""))))))</f>
        <v/>
      </c>
      <c r="S854" s="79">
        <f>IF(R854="","",IF(H854="High","High-severity issue: ",IF(C854="Punch item","Punch item: ","Issue action due: "))&amp;F854&amp;IF(J854="",""," → "&amp;J854))</f>
        <v/>
      </c>
      <c r="T854" s="79">
        <f>IF(O854=1,IF(I854="",0,I854),0)</f>
        <v/>
      </c>
      <c r="U854" s="79">
        <f>IF(AND(O854=1,H854="High"),1,0)</f>
        <v/>
      </c>
      <c r="V854" s="79">
        <f>IF(AND(O854=1,C854="Punch item"),1,0)</f>
        <v/>
      </c>
    </row>
    <row r="855" ht="24" customHeight="1">
      <c r="B855" s="125" t="n">
        <v>848</v>
      </c>
      <c r="C855" s="72" t="n"/>
      <c r="D855" s="109" t="n"/>
      <c r="E855" s="72" t="n"/>
      <c r="F855" s="113" t="n"/>
      <c r="G855" s="72" t="n"/>
      <c r="H855" s="74" t="n"/>
      <c r="I855" s="73" t="n"/>
      <c r="J855" s="113" t="n"/>
      <c r="K855" s="109" t="n"/>
      <c r="L855" s="72" t="n"/>
      <c r="M855" s="109" t="n"/>
      <c r="N855" s="72" t="n"/>
      <c r="O855" s="79">
        <f>IF(AND(F855&lt;&gt;"",L855&lt;&gt;"Resolved"),1,0)</f>
        <v/>
      </c>
      <c r="P855" s="79">
        <f>IF(F855="","",IF(O855=0,0,IF(H855="High",2,1)))</f>
        <v/>
      </c>
      <c r="Q855" s="112">
        <f>IF(O855=1,IF(K855&lt;&gt;"",K855,IF(H855="High",AsOf,"")),"")</f>
        <v/>
      </c>
      <c r="R855" s="79">
        <f>IF(Q855="","",IF(H855="High",1,IF(Q855="","",IF(Q855&lt;AsOf,1,IF(Q855&lt;=AsOf+AlertDays,2,IF(Q855&lt;=AsOf+2*AlertDays,3,""))))))</f>
        <v/>
      </c>
      <c r="S855" s="79">
        <f>IF(R855="","",IF(H855="High","High-severity issue: ",IF(C855="Punch item","Punch item: ","Issue action due: "))&amp;F855&amp;IF(J855="",""," → "&amp;J855))</f>
        <v/>
      </c>
      <c r="T855" s="79">
        <f>IF(O855=1,IF(I855="",0,I855),0)</f>
        <v/>
      </c>
      <c r="U855" s="79">
        <f>IF(AND(O855=1,H855="High"),1,0)</f>
        <v/>
      </c>
      <c r="V855" s="79">
        <f>IF(AND(O855=1,C855="Punch item"),1,0)</f>
        <v/>
      </c>
    </row>
    <row r="856" ht="24" customHeight="1">
      <c r="B856" s="125" t="n">
        <v>849</v>
      </c>
      <c r="C856" s="72" t="n"/>
      <c r="D856" s="109" t="n"/>
      <c r="E856" s="72" t="n"/>
      <c r="F856" s="113" t="n"/>
      <c r="G856" s="72" t="n"/>
      <c r="H856" s="74" t="n"/>
      <c r="I856" s="73" t="n"/>
      <c r="J856" s="113" t="n"/>
      <c r="K856" s="109" t="n"/>
      <c r="L856" s="72" t="n"/>
      <c r="M856" s="109" t="n"/>
      <c r="N856" s="72" t="n"/>
      <c r="O856" s="79">
        <f>IF(AND(F856&lt;&gt;"",L856&lt;&gt;"Resolved"),1,0)</f>
        <v/>
      </c>
      <c r="P856" s="79">
        <f>IF(F856="","",IF(O856=0,0,IF(H856="High",2,1)))</f>
        <v/>
      </c>
      <c r="Q856" s="112">
        <f>IF(O856=1,IF(K856&lt;&gt;"",K856,IF(H856="High",AsOf,"")),"")</f>
        <v/>
      </c>
      <c r="R856" s="79">
        <f>IF(Q856="","",IF(H856="High",1,IF(Q856="","",IF(Q856&lt;AsOf,1,IF(Q856&lt;=AsOf+AlertDays,2,IF(Q856&lt;=AsOf+2*AlertDays,3,""))))))</f>
        <v/>
      </c>
      <c r="S856" s="79">
        <f>IF(R856="","",IF(H856="High","High-severity issue: ",IF(C856="Punch item","Punch item: ","Issue action due: "))&amp;F856&amp;IF(J856="",""," → "&amp;J856))</f>
        <v/>
      </c>
      <c r="T856" s="79">
        <f>IF(O856=1,IF(I856="",0,I856),0)</f>
        <v/>
      </c>
      <c r="U856" s="79">
        <f>IF(AND(O856=1,H856="High"),1,0)</f>
        <v/>
      </c>
      <c r="V856" s="79">
        <f>IF(AND(O856=1,C856="Punch item"),1,0)</f>
        <v/>
      </c>
    </row>
    <row r="857" ht="24" customHeight="1">
      <c r="B857" s="125" t="n">
        <v>850</v>
      </c>
      <c r="C857" s="72" t="n"/>
      <c r="D857" s="109" t="n"/>
      <c r="E857" s="72" t="n"/>
      <c r="F857" s="113" t="n"/>
      <c r="G857" s="72" t="n"/>
      <c r="H857" s="74" t="n"/>
      <c r="I857" s="73" t="n"/>
      <c r="J857" s="113" t="n"/>
      <c r="K857" s="109" t="n"/>
      <c r="L857" s="72" t="n"/>
      <c r="M857" s="109" t="n"/>
      <c r="N857" s="72" t="n"/>
      <c r="O857" s="79">
        <f>IF(AND(F857&lt;&gt;"",L857&lt;&gt;"Resolved"),1,0)</f>
        <v/>
      </c>
      <c r="P857" s="79">
        <f>IF(F857="","",IF(O857=0,0,IF(H857="High",2,1)))</f>
        <v/>
      </c>
      <c r="Q857" s="112">
        <f>IF(O857=1,IF(K857&lt;&gt;"",K857,IF(H857="High",AsOf,"")),"")</f>
        <v/>
      </c>
      <c r="R857" s="79">
        <f>IF(Q857="","",IF(H857="High",1,IF(Q857="","",IF(Q857&lt;AsOf,1,IF(Q857&lt;=AsOf+AlertDays,2,IF(Q857&lt;=AsOf+2*AlertDays,3,""))))))</f>
        <v/>
      </c>
      <c r="S857" s="79">
        <f>IF(R857="","",IF(H857="High","High-severity issue: ",IF(C857="Punch item","Punch item: ","Issue action due: "))&amp;F857&amp;IF(J857="",""," → "&amp;J857))</f>
        <v/>
      </c>
      <c r="T857" s="79">
        <f>IF(O857=1,IF(I857="",0,I857),0)</f>
        <v/>
      </c>
      <c r="U857" s="79">
        <f>IF(AND(O857=1,H857="High"),1,0)</f>
        <v/>
      </c>
      <c r="V857" s="79">
        <f>IF(AND(O857=1,C857="Punch item"),1,0)</f>
        <v/>
      </c>
    </row>
    <row r="858" ht="24" customHeight="1">
      <c r="B858" s="125" t="n">
        <v>851</v>
      </c>
      <c r="C858" s="72" t="n"/>
      <c r="D858" s="109" t="n"/>
      <c r="E858" s="72" t="n"/>
      <c r="F858" s="113" t="n"/>
      <c r="G858" s="72" t="n"/>
      <c r="H858" s="74" t="n"/>
      <c r="I858" s="73" t="n"/>
      <c r="J858" s="113" t="n"/>
      <c r="K858" s="109" t="n"/>
      <c r="L858" s="72" t="n"/>
      <c r="M858" s="109" t="n"/>
      <c r="N858" s="72" t="n"/>
      <c r="O858" s="79">
        <f>IF(AND(F858&lt;&gt;"",L858&lt;&gt;"Resolved"),1,0)</f>
        <v/>
      </c>
      <c r="P858" s="79">
        <f>IF(F858="","",IF(O858=0,0,IF(H858="High",2,1)))</f>
        <v/>
      </c>
      <c r="Q858" s="112">
        <f>IF(O858=1,IF(K858&lt;&gt;"",K858,IF(H858="High",AsOf,"")),"")</f>
        <v/>
      </c>
      <c r="R858" s="79">
        <f>IF(Q858="","",IF(H858="High",1,IF(Q858="","",IF(Q858&lt;AsOf,1,IF(Q858&lt;=AsOf+AlertDays,2,IF(Q858&lt;=AsOf+2*AlertDays,3,""))))))</f>
        <v/>
      </c>
      <c r="S858" s="79">
        <f>IF(R858="","",IF(H858="High","High-severity issue: ",IF(C858="Punch item","Punch item: ","Issue action due: "))&amp;F858&amp;IF(J858="",""," → "&amp;J858))</f>
        <v/>
      </c>
      <c r="T858" s="79">
        <f>IF(O858=1,IF(I858="",0,I858),0)</f>
        <v/>
      </c>
      <c r="U858" s="79">
        <f>IF(AND(O858=1,H858="High"),1,0)</f>
        <v/>
      </c>
      <c r="V858" s="79">
        <f>IF(AND(O858=1,C858="Punch item"),1,0)</f>
        <v/>
      </c>
    </row>
    <row r="859" ht="24" customHeight="1">
      <c r="B859" s="125" t="n">
        <v>852</v>
      </c>
      <c r="C859" s="72" t="n"/>
      <c r="D859" s="109" t="n"/>
      <c r="E859" s="72" t="n"/>
      <c r="F859" s="113" t="n"/>
      <c r="G859" s="72" t="n"/>
      <c r="H859" s="74" t="n"/>
      <c r="I859" s="73" t="n"/>
      <c r="J859" s="113" t="n"/>
      <c r="K859" s="109" t="n"/>
      <c r="L859" s="72" t="n"/>
      <c r="M859" s="109" t="n"/>
      <c r="N859" s="72" t="n"/>
      <c r="O859" s="79">
        <f>IF(AND(F859&lt;&gt;"",L859&lt;&gt;"Resolved"),1,0)</f>
        <v/>
      </c>
      <c r="P859" s="79">
        <f>IF(F859="","",IF(O859=0,0,IF(H859="High",2,1)))</f>
        <v/>
      </c>
      <c r="Q859" s="112">
        <f>IF(O859=1,IF(K859&lt;&gt;"",K859,IF(H859="High",AsOf,"")),"")</f>
        <v/>
      </c>
      <c r="R859" s="79">
        <f>IF(Q859="","",IF(H859="High",1,IF(Q859="","",IF(Q859&lt;AsOf,1,IF(Q859&lt;=AsOf+AlertDays,2,IF(Q859&lt;=AsOf+2*AlertDays,3,""))))))</f>
        <v/>
      </c>
      <c r="S859" s="79">
        <f>IF(R859="","",IF(H859="High","High-severity issue: ",IF(C859="Punch item","Punch item: ","Issue action due: "))&amp;F859&amp;IF(J859="",""," → "&amp;J859))</f>
        <v/>
      </c>
      <c r="T859" s="79">
        <f>IF(O859=1,IF(I859="",0,I859),0)</f>
        <v/>
      </c>
      <c r="U859" s="79">
        <f>IF(AND(O859=1,H859="High"),1,0)</f>
        <v/>
      </c>
      <c r="V859" s="79">
        <f>IF(AND(O859=1,C859="Punch item"),1,0)</f>
        <v/>
      </c>
    </row>
    <row r="860" ht="24" customHeight="1">
      <c r="B860" s="125" t="n">
        <v>853</v>
      </c>
      <c r="C860" s="72" t="n"/>
      <c r="D860" s="109" t="n"/>
      <c r="E860" s="72" t="n"/>
      <c r="F860" s="113" t="n"/>
      <c r="G860" s="72" t="n"/>
      <c r="H860" s="74" t="n"/>
      <c r="I860" s="73" t="n"/>
      <c r="J860" s="113" t="n"/>
      <c r="K860" s="109" t="n"/>
      <c r="L860" s="72" t="n"/>
      <c r="M860" s="109" t="n"/>
      <c r="N860" s="72" t="n"/>
      <c r="O860" s="79">
        <f>IF(AND(F860&lt;&gt;"",L860&lt;&gt;"Resolved"),1,0)</f>
        <v/>
      </c>
      <c r="P860" s="79">
        <f>IF(F860="","",IF(O860=0,0,IF(H860="High",2,1)))</f>
        <v/>
      </c>
      <c r="Q860" s="112">
        <f>IF(O860=1,IF(K860&lt;&gt;"",K860,IF(H860="High",AsOf,"")),"")</f>
        <v/>
      </c>
      <c r="R860" s="79">
        <f>IF(Q860="","",IF(H860="High",1,IF(Q860="","",IF(Q860&lt;AsOf,1,IF(Q860&lt;=AsOf+AlertDays,2,IF(Q860&lt;=AsOf+2*AlertDays,3,""))))))</f>
        <v/>
      </c>
      <c r="S860" s="79">
        <f>IF(R860="","",IF(H860="High","High-severity issue: ",IF(C860="Punch item","Punch item: ","Issue action due: "))&amp;F860&amp;IF(J860="",""," → "&amp;J860))</f>
        <v/>
      </c>
      <c r="T860" s="79">
        <f>IF(O860=1,IF(I860="",0,I860),0)</f>
        <v/>
      </c>
      <c r="U860" s="79">
        <f>IF(AND(O860=1,H860="High"),1,0)</f>
        <v/>
      </c>
      <c r="V860" s="79">
        <f>IF(AND(O860=1,C860="Punch item"),1,0)</f>
        <v/>
      </c>
    </row>
    <row r="861" ht="24" customHeight="1">
      <c r="B861" s="125" t="n">
        <v>854</v>
      </c>
      <c r="C861" s="72" t="n"/>
      <c r="D861" s="109" t="n"/>
      <c r="E861" s="72" t="n"/>
      <c r="F861" s="113" t="n"/>
      <c r="G861" s="72" t="n"/>
      <c r="H861" s="74" t="n"/>
      <c r="I861" s="73" t="n"/>
      <c r="J861" s="113" t="n"/>
      <c r="K861" s="109" t="n"/>
      <c r="L861" s="72" t="n"/>
      <c r="M861" s="109" t="n"/>
      <c r="N861" s="72" t="n"/>
      <c r="O861" s="79">
        <f>IF(AND(F861&lt;&gt;"",L861&lt;&gt;"Resolved"),1,0)</f>
        <v/>
      </c>
      <c r="P861" s="79">
        <f>IF(F861="","",IF(O861=0,0,IF(H861="High",2,1)))</f>
        <v/>
      </c>
      <c r="Q861" s="112">
        <f>IF(O861=1,IF(K861&lt;&gt;"",K861,IF(H861="High",AsOf,"")),"")</f>
        <v/>
      </c>
      <c r="R861" s="79">
        <f>IF(Q861="","",IF(H861="High",1,IF(Q861="","",IF(Q861&lt;AsOf,1,IF(Q861&lt;=AsOf+AlertDays,2,IF(Q861&lt;=AsOf+2*AlertDays,3,""))))))</f>
        <v/>
      </c>
      <c r="S861" s="79">
        <f>IF(R861="","",IF(H861="High","High-severity issue: ",IF(C861="Punch item","Punch item: ","Issue action due: "))&amp;F861&amp;IF(J861="",""," → "&amp;J861))</f>
        <v/>
      </c>
      <c r="T861" s="79">
        <f>IF(O861=1,IF(I861="",0,I861),0)</f>
        <v/>
      </c>
      <c r="U861" s="79">
        <f>IF(AND(O861=1,H861="High"),1,0)</f>
        <v/>
      </c>
      <c r="V861" s="79">
        <f>IF(AND(O861=1,C861="Punch item"),1,0)</f>
        <v/>
      </c>
    </row>
    <row r="862" ht="24" customHeight="1">
      <c r="B862" s="125" t="n">
        <v>855</v>
      </c>
      <c r="C862" s="72" t="n"/>
      <c r="D862" s="109" t="n"/>
      <c r="E862" s="72" t="n"/>
      <c r="F862" s="113" t="n"/>
      <c r="G862" s="72" t="n"/>
      <c r="H862" s="74" t="n"/>
      <c r="I862" s="73" t="n"/>
      <c r="J862" s="113" t="n"/>
      <c r="K862" s="109" t="n"/>
      <c r="L862" s="72" t="n"/>
      <c r="M862" s="109" t="n"/>
      <c r="N862" s="72" t="n"/>
      <c r="O862" s="79">
        <f>IF(AND(F862&lt;&gt;"",L862&lt;&gt;"Resolved"),1,0)</f>
        <v/>
      </c>
      <c r="P862" s="79">
        <f>IF(F862="","",IF(O862=0,0,IF(H862="High",2,1)))</f>
        <v/>
      </c>
      <c r="Q862" s="112">
        <f>IF(O862=1,IF(K862&lt;&gt;"",K862,IF(H862="High",AsOf,"")),"")</f>
        <v/>
      </c>
      <c r="R862" s="79">
        <f>IF(Q862="","",IF(H862="High",1,IF(Q862="","",IF(Q862&lt;AsOf,1,IF(Q862&lt;=AsOf+AlertDays,2,IF(Q862&lt;=AsOf+2*AlertDays,3,""))))))</f>
        <v/>
      </c>
      <c r="S862" s="79">
        <f>IF(R862="","",IF(H862="High","High-severity issue: ",IF(C862="Punch item","Punch item: ","Issue action due: "))&amp;F862&amp;IF(J862="",""," → "&amp;J862))</f>
        <v/>
      </c>
      <c r="T862" s="79">
        <f>IF(O862=1,IF(I862="",0,I862),0)</f>
        <v/>
      </c>
      <c r="U862" s="79">
        <f>IF(AND(O862=1,H862="High"),1,0)</f>
        <v/>
      </c>
      <c r="V862" s="79">
        <f>IF(AND(O862=1,C862="Punch item"),1,0)</f>
        <v/>
      </c>
    </row>
    <row r="863" ht="24" customHeight="1">
      <c r="B863" s="125" t="n">
        <v>856</v>
      </c>
      <c r="C863" s="72" t="n"/>
      <c r="D863" s="109" t="n"/>
      <c r="E863" s="72" t="n"/>
      <c r="F863" s="113" t="n"/>
      <c r="G863" s="72" t="n"/>
      <c r="H863" s="74" t="n"/>
      <c r="I863" s="73" t="n"/>
      <c r="J863" s="113" t="n"/>
      <c r="K863" s="109" t="n"/>
      <c r="L863" s="72" t="n"/>
      <c r="M863" s="109" t="n"/>
      <c r="N863" s="72" t="n"/>
      <c r="O863" s="79">
        <f>IF(AND(F863&lt;&gt;"",L863&lt;&gt;"Resolved"),1,0)</f>
        <v/>
      </c>
      <c r="P863" s="79">
        <f>IF(F863="","",IF(O863=0,0,IF(H863="High",2,1)))</f>
        <v/>
      </c>
      <c r="Q863" s="112">
        <f>IF(O863=1,IF(K863&lt;&gt;"",K863,IF(H863="High",AsOf,"")),"")</f>
        <v/>
      </c>
      <c r="R863" s="79">
        <f>IF(Q863="","",IF(H863="High",1,IF(Q863="","",IF(Q863&lt;AsOf,1,IF(Q863&lt;=AsOf+AlertDays,2,IF(Q863&lt;=AsOf+2*AlertDays,3,""))))))</f>
        <v/>
      </c>
      <c r="S863" s="79">
        <f>IF(R863="","",IF(H863="High","High-severity issue: ",IF(C863="Punch item","Punch item: ","Issue action due: "))&amp;F863&amp;IF(J863="",""," → "&amp;J863))</f>
        <v/>
      </c>
      <c r="T863" s="79">
        <f>IF(O863=1,IF(I863="",0,I863),0)</f>
        <v/>
      </c>
      <c r="U863" s="79">
        <f>IF(AND(O863=1,H863="High"),1,0)</f>
        <v/>
      </c>
      <c r="V863" s="79">
        <f>IF(AND(O863=1,C863="Punch item"),1,0)</f>
        <v/>
      </c>
    </row>
    <row r="864" ht="24" customHeight="1">
      <c r="B864" s="125" t="n">
        <v>857</v>
      </c>
      <c r="C864" s="72" t="n"/>
      <c r="D864" s="109" t="n"/>
      <c r="E864" s="72" t="n"/>
      <c r="F864" s="113" t="n"/>
      <c r="G864" s="72" t="n"/>
      <c r="H864" s="74" t="n"/>
      <c r="I864" s="73" t="n"/>
      <c r="J864" s="113" t="n"/>
      <c r="K864" s="109" t="n"/>
      <c r="L864" s="72" t="n"/>
      <c r="M864" s="109" t="n"/>
      <c r="N864" s="72" t="n"/>
      <c r="O864" s="79">
        <f>IF(AND(F864&lt;&gt;"",L864&lt;&gt;"Resolved"),1,0)</f>
        <v/>
      </c>
      <c r="P864" s="79">
        <f>IF(F864="","",IF(O864=0,0,IF(H864="High",2,1)))</f>
        <v/>
      </c>
      <c r="Q864" s="112">
        <f>IF(O864=1,IF(K864&lt;&gt;"",K864,IF(H864="High",AsOf,"")),"")</f>
        <v/>
      </c>
      <c r="R864" s="79">
        <f>IF(Q864="","",IF(H864="High",1,IF(Q864="","",IF(Q864&lt;AsOf,1,IF(Q864&lt;=AsOf+AlertDays,2,IF(Q864&lt;=AsOf+2*AlertDays,3,""))))))</f>
        <v/>
      </c>
      <c r="S864" s="79">
        <f>IF(R864="","",IF(H864="High","High-severity issue: ",IF(C864="Punch item","Punch item: ","Issue action due: "))&amp;F864&amp;IF(J864="",""," → "&amp;J864))</f>
        <v/>
      </c>
      <c r="T864" s="79">
        <f>IF(O864=1,IF(I864="",0,I864),0)</f>
        <v/>
      </c>
      <c r="U864" s="79">
        <f>IF(AND(O864=1,H864="High"),1,0)</f>
        <v/>
      </c>
      <c r="V864" s="79">
        <f>IF(AND(O864=1,C864="Punch item"),1,0)</f>
        <v/>
      </c>
    </row>
    <row r="865" ht="24" customHeight="1">
      <c r="B865" s="125" t="n">
        <v>858</v>
      </c>
      <c r="C865" s="72" t="n"/>
      <c r="D865" s="109" t="n"/>
      <c r="E865" s="72" t="n"/>
      <c r="F865" s="113" t="n"/>
      <c r="G865" s="72" t="n"/>
      <c r="H865" s="74" t="n"/>
      <c r="I865" s="73" t="n"/>
      <c r="J865" s="113" t="n"/>
      <c r="K865" s="109" t="n"/>
      <c r="L865" s="72" t="n"/>
      <c r="M865" s="109" t="n"/>
      <c r="N865" s="72" t="n"/>
      <c r="O865" s="79">
        <f>IF(AND(F865&lt;&gt;"",L865&lt;&gt;"Resolved"),1,0)</f>
        <v/>
      </c>
      <c r="P865" s="79">
        <f>IF(F865="","",IF(O865=0,0,IF(H865="High",2,1)))</f>
        <v/>
      </c>
      <c r="Q865" s="112">
        <f>IF(O865=1,IF(K865&lt;&gt;"",K865,IF(H865="High",AsOf,"")),"")</f>
        <v/>
      </c>
      <c r="R865" s="79">
        <f>IF(Q865="","",IF(H865="High",1,IF(Q865="","",IF(Q865&lt;AsOf,1,IF(Q865&lt;=AsOf+AlertDays,2,IF(Q865&lt;=AsOf+2*AlertDays,3,""))))))</f>
        <v/>
      </c>
      <c r="S865" s="79">
        <f>IF(R865="","",IF(H865="High","High-severity issue: ",IF(C865="Punch item","Punch item: ","Issue action due: "))&amp;F865&amp;IF(J865="",""," → "&amp;J865))</f>
        <v/>
      </c>
      <c r="T865" s="79">
        <f>IF(O865=1,IF(I865="",0,I865),0)</f>
        <v/>
      </c>
      <c r="U865" s="79">
        <f>IF(AND(O865=1,H865="High"),1,0)</f>
        <v/>
      </c>
      <c r="V865" s="79">
        <f>IF(AND(O865=1,C865="Punch item"),1,0)</f>
        <v/>
      </c>
    </row>
    <row r="866" ht="24" customHeight="1">
      <c r="B866" s="125" t="n">
        <v>859</v>
      </c>
      <c r="C866" s="72" t="n"/>
      <c r="D866" s="109" t="n"/>
      <c r="E866" s="72" t="n"/>
      <c r="F866" s="113" t="n"/>
      <c r="G866" s="72" t="n"/>
      <c r="H866" s="74" t="n"/>
      <c r="I866" s="73" t="n"/>
      <c r="J866" s="113" t="n"/>
      <c r="K866" s="109" t="n"/>
      <c r="L866" s="72" t="n"/>
      <c r="M866" s="109" t="n"/>
      <c r="N866" s="72" t="n"/>
      <c r="O866" s="79">
        <f>IF(AND(F866&lt;&gt;"",L866&lt;&gt;"Resolved"),1,0)</f>
        <v/>
      </c>
      <c r="P866" s="79">
        <f>IF(F866="","",IF(O866=0,0,IF(H866="High",2,1)))</f>
        <v/>
      </c>
      <c r="Q866" s="112">
        <f>IF(O866=1,IF(K866&lt;&gt;"",K866,IF(H866="High",AsOf,"")),"")</f>
        <v/>
      </c>
      <c r="R866" s="79">
        <f>IF(Q866="","",IF(H866="High",1,IF(Q866="","",IF(Q866&lt;AsOf,1,IF(Q866&lt;=AsOf+AlertDays,2,IF(Q866&lt;=AsOf+2*AlertDays,3,""))))))</f>
        <v/>
      </c>
      <c r="S866" s="79">
        <f>IF(R866="","",IF(H866="High","High-severity issue: ",IF(C866="Punch item","Punch item: ","Issue action due: "))&amp;F866&amp;IF(J866="",""," → "&amp;J866))</f>
        <v/>
      </c>
      <c r="T866" s="79">
        <f>IF(O866=1,IF(I866="",0,I866),0)</f>
        <v/>
      </c>
      <c r="U866" s="79">
        <f>IF(AND(O866=1,H866="High"),1,0)</f>
        <v/>
      </c>
      <c r="V866" s="79">
        <f>IF(AND(O866=1,C866="Punch item"),1,0)</f>
        <v/>
      </c>
    </row>
    <row r="867" ht="24" customHeight="1">
      <c r="B867" s="125" t="n">
        <v>860</v>
      </c>
      <c r="C867" s="72" t="n"/>
      <c r="D867" s="109" t="n"/>
      <c r="E867" s="72" t="n"/>
      <c r="F867" s="113" t="n"/>
      <c r="G867" s="72" t="n"/>
      <c r="H867" s="74" t="n"/>
      <c r="I867" s="73" t="n"/>
      <c r="J867" s="113" t="n"/>
      <c r="K867" s="109" t="n"/>
      <c r="L867" s="72" t="n"/>
      <c r="M867" s="109" t="n"/>
      <c r="N867" s="72" t="n"/>
      <c r="O867" s="79">
        <f>IF(AND(F867&lt;&gt;"",L867&lt;&gt;"Resolved"),1,0)</f>
        <v/>
      </c>
      <c r="P867" s="79">
        <f>IF(F867="","",IF(O867=0,0,IF(H867="High",2,1)))</f>
        <v/>
      </c>
      <c r="Q867" s="112">
        <f>IF(O867=1,IF(K867&lt;&gt;"",K867,IF(H867="High",AsOf,"")),"")</f>
        <v/>
      </c>
      <c r="R867" s="79">
        <f>IF(Q867="","",IF(H867="High",1,IF(Q867="","",IF(Q867&lt;AsOf,1,IF(Q867&lt;=AsOf+AlertDays,2,IF(Q867&lt;=AsOf+2*AlertDays,3,""))))))</f>
        <v/>
      </c>
      <c r="S867" s="79">
        <f>IF(R867="","",IF(H867="High","High-severity issue: ",IF(C867="Punch item","Punch item: ","Issue action due: "))&amp;F867&amp;IF(J867="",""," → "&amp;J867))</f>
        <v/>
      </c>
      <c r="T867" s="79">
        <f>IF(O867=1,IF(I867="",0,I867),0)</f>
        <v/>
      </c>
      <c r="U867" s="79">
        <f>IF(AND(O867=1,H867="High"),1,0)</f>
        <v/>
      </c>
      <c r="V867" s="79">
        <f>IF(AND(O867=1,C867="Punch item"),1,0)</f>
        <v/>
      </c>
    </row>
    <row r="868" ht="24" customHeight="1">
      <c r="B868" s="125" t="n">
        <v>861</v>
      </c>
      <c r="C868" s="72" t="n"/>
      <c r="D868" s="109" t="n"/>
      <c r="E868" s="72" t="n"/>
      <c r="F868" s="113" t="n"/>
      <c r="G868" s="72" t="n"/>
      <c r="H868" s="74" t="n"/>
      <c r="I868" s="73" t="n"/>
      <c r="J868" s="113" t="n"/>
      <c r="K868" s="109" t="n"/>
      <c r="L868" s="72" t="n"/>
      <c r="M868" s="109" t="n"/>
      <c r="N868" s="72" t="n"/>
      <c r="O868" s="79">
        <f>IF(AND(F868&lt;&gt;"",L868&lt;&gt;"Resolved"),1,0)</f>
        <v/>
      </c>
      <c r="P868" s="79">
        <f>IF(F868="","",IF(O868=0,0,IF(H868="High",2,1)))</f>
        <v/>
      </c>
      <c r="Q868" s="112">
        <f>IF(O868=1,IF(K868&lt;&gt;"",K868,IF(H868="High",AsOf,"")),"")</f>
        <v/>
      </c>
      <c r="R868" s="79">
        <f>IF(Q868="","",IF(H868="High",1,IF(Q868="","",IF(Q868&lt;AsOf,1,IF(Q868&lt;=AsOf+AlertDays,2,IF(Q868&lt;=AsOf+2*AlertDays,3,""))))))</f>
        <v/>
      </c>
      <c r="S868" s="79">
        <f>IF(R868="","",IF(H868="High","High-severity issue: ",IF(C868="Punch item","Punch item: ","Issue action due: "))&amp;F868&amp;IF(J868="",""," → "&amp;J868))</f>
        <v/>
      </c>
      <c r="T868" s="79">
        <f>IF(O868=1,IF(I868="",0,I868),0)</f>
        <v/>
      </c>
      <c r="U868" s="79">
        <f>IF(AND(O868=1,H868="High"),1,0)</f>
        <v/>
      </c>
      <c r="V868" s="79">
        <f>IF(AND(O868=1,C868="Punch item"),1,0)</f>
        <v/>
      </c>
    </row>
    <row r="869" ht="24" customHeight="1">
      <c r="B869" s="125" t="n">
        <v>862</v>
      </c>
      <c r="C869" s="72" t="n"/>
      <c r="D869" s="109" t="n"/>
      <c r="E869" s="72" t="n"/>
      <c r="F869" s="113" t="n"/>
      <c r="G869" s="72" t="n"/>
      <c r="H869" s="74" t="n"/>
      <c r="I869" s="73" t="n"/>
      <c r="J869" s="113" t="n"/>
      <c r="K869" s="109" t="n"/>
      <c r="L869" s="72" t="n"/>
      <c r="M869" s="109" t="n"/>
      <c r="N869" s="72" t="n"/>
      <c r="O869" s="79">
        <f>IF(AND(F869&lt;&gt;"",L869&lt;&gt;"Resolved"),1,0)</f>
        <v/>
      </c>
      <c r="P869" s="79">
        <f>IF(F869="","",IF(O869=0,0,IF(H869="High",2,1)))</f>
        <v/>
      </c>
      <c r="Q869" s="112">
        <f>IF(O869=1,IF(K869&lt;&gt;"",K869,IF(H869="High",AsOf,"")),"")</f>
        <v/>
      </c>
      <c r="R869" s="79">
        <f>IF(Q869="","",IF(H869="High",1,IF(Q869="","",IF(Q869&lt;AsOf,1,IF(Q869&lt;=AsOf+AlertDays,2,IF(Q869&lt;=AsOf+2*AlertDays,3,""))))))</f>
        <v/>
      </c>
      <c r="S869" s="79">
        <f>IF(R869="","",IF(H869="High","High-severity issue: ",IF(C869="Punch item","Punch item: ","Issue action due: "))&amp;F869&amp;IF(J869="",""," → "&amp;J869))</f>
        <v/>
      </c>
      <c r="T869" s="79">
        <f>IF(O869=1,IF(I869="",0,I869),0)</f>
        <v/>
      </c>
      <c r="U869" s="79">
        <f>IF(AND(O869=1,H869="High"),1,0)</f>
        <v/>
      </c>
      <c r="V869" s="79">
        <f>IF(AND(O869=1,C869="Punch item"),1,0)</f>
        <v/>
      </c>
    </row>
    <row r="870" ht="24" customHeight="1">
      <c r="B870" s="125" t="n">
        <v>863</v>
      </c>
      <c r="C870" s="72" t="n"/>
      <c r="D870" s="109" t="n"/>
      <c r="E870" s="72" t="n"/>
      <c r="F870" s="113" t="n"/>
      <c r="G870" s="72" t="n"/>
      <c r="H870" s="74" t="n"/>
      <c r="I870" s="73" t="n"/>
      <c r="J870" s="113" t="n"/>
      <c r="K870" s="109" t="n"/>
      <c r="L870" s="72" t="n"/>
      <c r="M870" s="109" t="n"/>
      <c r="N870" s="72" t="n"/>
      <c r="O870" s="79">
        <f>IF(AND(F870&lt;&gt;"",L870&lt;&gt;"Resolved"),1,0)</f>
        <v/>
      </c>
      <c r="P870" s="79">
        <f>IF(F870="","",IF(O870=0,0,IF(H870="High",2,1)))</f>
        <v/>
      </c>
      <c r="Q870" s="112">
        <f>IF(O870=1,IF(K870&lt;&gt;"",K870,IF(H870="High",AsOf,"")),"")</f>
        <v/>
      </c>
      <c r="R870" s="79">
        <f>IF(Q870="","",IF(H870="High",1,IF(Q870="","",IF(Q870&lt;AsOf,1,IF(Q870&lt;=AsOf+AlertDays,2,IF(Q870&lt;=AsOf+2*AlertDays,3,""))))))</f>
        <v/>
      </c>
      <c r="S870" s="79">
        <f>IF(R870="","",IF(H870="High","High-severity issue: ",IF(C870="Punch item","Punch item: ","Issue action due: "))&amp;F870&amp;IF(J870="",""," → "&amp;J870))</f>
        <v/>
      </c>
      <c r="T870" s="79">
        <f>IF(O870=1,IF(I870="",0,I870),0)</f>
        <v/>
      </c>
      <c r="U870" s="79">
        <f>IF(AND(O870=1,H870="High"),1,0)</f>
        <v/>
      </c>
      <c r="V870" s="79">
        <f>IF(AND(O870=1,C870="Punch item"),1,0)</f>
        <v/>
      </c>
    </row>
    <row r="871" ht="24" customHeight="1">
      <c r="B871" s="125" t="n">
        <v>864</v>
      </c>
      <c r="C871" s="72" t="n"/>
      <c r="D871" s="109" t="n"/>
      <c r="E871" s="72" t="n"/>
      <c r="F871" s="113" t="n"/>
      <c r="G871" s="72" t="n"/>
      <c r="H871" s="74" t="n"/>
      <c r="I871" s="73" t="n"/>
      <c r="J871" s="113" t="n"/>
      <c r="K871" s="109" t="n"/>
      <c r="L871" s="72" t="n"/>
      <c r="M871" s="109" t="n"/>
      <c r="N871" s="72" t="n"/>
      <c r="O871" s="79">
        <f>IF(AND(F871&lt;&gt;"",L871&lt;&gt;"Resolved"),1,0)</f>
        <v/>
      </c>
      <c r="P871" s="79">
        <f>IF(F871="","",IF(O871=0,0,IF(H871="High",2,1)))</f>
        <v/>
      </c>
      <c r="Q871" s="112">
        <f>IF(O871=1,IF(K871&lt;&gt;"",K871,IF(H871="High",AsOf,"")),"")</f>
        <v/>
      </c>
      <c r="R871" s="79">
        <f>IF(Q871="","",IF(H871="High",1,IF(Q871="","",IF(Q871&lt;AsOf,1,IF(Q871&lt;=AsOf+AlertDays,2,IF(Q871&lt;=AsOf+2*AlertDays,3,""))))))</f>
        <v/>
      </c>
      <c r="S871" s="79">
        <f>IF(R871="","",IF(H871="High","High-severity issue: ",IF(C871="Punch item","Punch item: ","Issue action due: "))&amp;F871&amp;IF(J871="",""," → "&amp;J871))</f>
        <v/>
      </c>
      <c r="T871" s="79">
        <f>IF(O871=1,IF(I871="",0,I871),0)</f>
        <v/>
      </c>
      <c r="U871" s="79">
        <f>IF(AND(O871=1,H871="High"),1,0)</f>
        <v/>
      </c>
      <c r="V871" s="79">
        <f>IF(AND(O871=1,C871="Punch item"),1,0)</f>
        <v/>
      </c>
    </row>
    <row r="872" ht="24" customHeight="1">
      <c r="B872" s="125" t="n">
        <v>865</v>
      </c>
      <c r="C872" s="72" t="n"/>
      <c r="D872" s="109" t="n"/>
      <c r="E872" s="72" t="n"/>
      <c r="F872" s="113" t="n"/>
      <c r="G872" s="72" t="n"/>
      <c r="H872" s="74" t="n"/>
      <c r="I872" s="73" t="n"/>
      <c r="J872" s="113" t="n"/>
      <c r="K872" s="109" t="n"/>
      <c r="L872" s="72" t="n"/>
      <c r="M872" s="109" t="n"/>
      <c r="N872" s="72" t="n"/>
      <c r="O872" s="79">
        <f>IF(AND(F872&lt;&gt;"",L872&lt;&gt;"Resolved"),1,0)</f>
        <v/>
      </c>
      <c r="P872" s="79">
        <f>IF(F872="","",IF(O872=0,0,IF(H872="High",2,1)))</f>
        <v/>
      </c>
      <c r="Q872" s="112">
        <f>IF(O872=1,IF(K872&lt;&gt;"",K872,IF(H872="High",AsOf,"")),"")</f>
        <v/>
      </c>
      <c r="R872" s="79">
        <f>IF(Q872="","",IF(H872="High",1,IF(Q872="","",IF(Q872&lt;AsOf,1,IF(Q872&lt;=AsOf+AlertDays,2,IF(Q872&lt;=AsOf+2*AlertDays,3,""))))))</f>
        <v/>
      </c>
      <c r="S872" s="79">
        <f>IF(R872="","",IF(H872="High","High-severity issue: ",IF(C872="Punch item","Punch item: ","Issue action due: "))&amp;F872&amp;IF(J872="",""," → "&amp;J872))</f>
        <v/>
      </c>
      <c r="T872" s="79">
        <f>IF(O872=1,IF(I872="",0,I872),0)</f>
        <v/>
      </c>
      <c r="U872" s="79">
        <f>IF(AND(O872=1,H872="High"),1,0)</f>
        <v/>
      </c>
      <c r="V872" s="79">
        <f>IF(AND(O872=1,C872="Punch item"),1,0)</f>
        <v/>
      </c>
    </row>
    <row r="873" ht="24" customHeight="1">
      <c r="B873" s="125" t="n">
        <v>866</v>
      </c>
      <c r="C873" s="72" t="n"/>
      <c r="D873" s="109" t="n"/>
      <c r="E873" s="72" t="n"/>
      <c r="F873" s="113" t="n"/>
      <c r="G873" s="72" t="n"/>
      <c r="H873" s="74" t="n"/>
      <c r="I873" s="73" t="n"/>
      <c r="J873" s="113" t="n"/>
      <c r="K873" s="109" t="n"/>
      <c r="L873" s="72" t="n"/>
      <c r="M873" s="109" t="n"/>
      <c r="N873" s="72" t="n"/>
      <c r="O873" s="79">
        <f>IF(AND(F873&lt;&gt;"",L873&lt;&gt;"Resolved"),1,0)</f>
        <v/>
      </c>
      <c r="P873" s="79">
        <f>IF(F873="","",IF(O873=0,0,IF(H873="High",2,1)))</f>
        <v/>
      </c>
      <c r="Q873" s="112">
        <f>IF(O873=1,IF(K873&lt;&gt;"",K873,IF(H873="High",AsOf,"")),"")</f>
        <v/>
      </c>
      <c r="R873" s="79">
        <f>IF(Q873="","",IF(H873="High",1,IF(Q873="","",IF(Q873&lt;AsOf,1,IF(Q873&lt;=AsOf+AlertDays,2,IF(Q873&lt;=AsOf+2*AlertDays,3,""))))))</f>
        <v/>
      </c>
      <c r="S873" s="79">
        <f>IF(R873="","",IF(H873="High","High-severity issue: ",IF(C873="Punch item","Punch item: ","Issue action due: "))&amp;F873&amp;IF(J873="",""," → "&amp;J873))</f>
        <v/>
      </c>
      <c r="T873" s="79">
        <f>IF(O873=1,IF(I873="",0,I873),0)</f>
        <v/>
      </c>
      <c r="U873" s="79">
        <f>IF(AND(O873=1,H873="High"),1,0)</f>
        <v/>
      </c>
      <c r="V873" s="79">
        <f>IF(AND(O873=1,C873="Punch item"),1,0)</f>
        <v/>
      </c>
    </row>
    <row r="874" ht="24" customHeight="1">
      <c r="B874" s="125" t="n">
        <v>867</v>
      </c>
      <c r="C874" s="72" t="n"/>
      <c r="D874" s="109" t="n"/>
      <c r="E874" s="72" t="n"/>
      <c r="F874" s="113" t="n"/>
      <c r="G874" s="72" t="n"/>
      <c r="H874" s="74" t="n"/>
      <c r="I874" s="73" t="n"/>
      <c r="J874" s="113" t="n"/>
      <c r="K874" s="109" t="n"/>
      <c r="L874" s="72" t="n"/>
      <c r="M874" s="109" t="n"/>
      <c r="N874" s="72" t="n"/>
      <c r="O874" s="79">
        <f>IF(AND(F874&lt;&gt;"",L874&lt;&gt;"Resolved"),1,0)</f>
        <v/>
      </c>
      <c r="P874" s="79">
        <f>IF(F874="","",IF(O874=0,0,IF(H874="High",2,1)))</f>
        <v/>
      </c>
      <c r="Q874" s="112">
        <f>IF(O874=1,IF(K874&lt;&gt;"",K874,IF(H874="High",AsOf,"")),"")</f>
        <v/>
      </c>
      <c r="R874" s="79">
        <f>IF(Q874="","",IF(H874="High",1,IF(Q874="","",IF(Q874&lt;AsOf,1,IF(Q874&lt;=AsOf+AlertDays,2,IF(Q874&lt;=AsOf+2*AlertDays,3,""))))))</f>
        <v/>
      </c>
      <c r="S874" s="79">
        <f>IF(R874="","",IF(H874="High","High-severity issue: ",IF(C874="Punch item","Punch item: ","Issue action due: "))&amp;F874&amp;IF(J874="",""," → "&amp;J874))</f>
        <v/>
      </c>
      <c r="T874" s="79">
        <f>IF(O874=1,IF(I874="",0,I874),0)</f>
        <v/>
      </c>
      <c r="U874" s="79">
        <f>IF(AND(O874=1,H874="High"),1,0)</f>
        <v/>
      </c>
      <c r="V874" s="79">
        <f>IF(AND(O874=1,C874="Punch item"),1,0)</f>
        <v/>
      </c>
    </row>
    <row r="875" ht="24" customHeight="1">
      <c r="B875" s="125" t="n">
        <v>868</v>
      </c>
      <c r="C875" s="72" t="n"/>
      <c r="D875" s="109" t="n"/>
      <c r="E875" s="72" t="n"/>
      <c r="F875" s="113" t="n"/>
      <c r="G875" s="72" t="n"/>
      <c r="H875" s="74" t="n"/>
      <c r="I875" s="73" t="n"/>
      <c r="J875" s="113" t="n"/>
      <c r="K875" s="109" t="n"/>
      <c r="L875" s="72" t="n"/>
      <c r="M875" s="109" t="n"/>
      <c r="N875" s="72" t="n"/>
      <c r="O875" s="79">
        <f>IF(AND(F875&lt;&gt;"",L875&lt;&gt;"Resolved"),1,0)</f>
        <v/>
      </c>
      <c r="P875" s="79">
        <f>IF(F875="","",IF(O875=0,0,IF(H875="High",2,1)))</f>
        <v/>
      </c>
      <c r="Q875" s="112">
        <f>IF(O875=1,IF(K875&lt;&gt;"",K875,IF(H875="High",AsOf,"")),"")</f>
        <v/>
      </c>
      <c r="R875" s="79">
        <f>IF(Q875="","",IF(H875="High",1,IF(Q875="","",IF(Q875&lt;AsOf,1,IF(Q875&lt;=AsOf+AlertDays,2,IF(Q875&lt;=AsOf+2*AlertDays,3,""))))))</f>
        <v/>
      </c>
      <c r="S875" s="79">
        <f>IF(R875="","",IF(H875="High","High-severity issue: ",IF(C875="Punch item","Punch item: ","Issue action due: "))&amp;F875&amp;IF(J875="",""," → "&amp;J875))</f>
        <v/>
      </c>
      <c r="T875" s="79">
        <f>IF(O875=1,IF(I875="",0,I875),0)</f>
        <v/>
      </c>
      <c r="U875" s="79">
        <f>IF(AND(O875=1,H875="High"),1,0)</f>
        <v/>
      </c>
      <c r="V875" s="79">
        <f>IF(AND(O875=1,C875="Punch item"),1,0)</f>
        <v/>
      </c>
    </row>
    <row r="876" ht="24" customHeight="1">
      <c r="B876" s="125" t="n">
        <v>869</v>
      </c>
      <c r="C876" s="72" t="n"/>
      <c r="D876" s="109" t="n"/>
      <c r="E876" s="72" t="n"/>
      <c r="F876" s="113" t="n"/>
      <c r="G876" s="72" t="n"/>
      <c r="H876" s="74" t="n"/>
      <c r="I876" s="73" t="n"/>
      <c r="J876" s="113" t="n"/>
      <c r="K876" s="109" t="n"/>
      <c r="L876" s="72" t="n"/>
      <c r="M876" s="109" t="n"/>
      <c r="N876" s="72" t="n"/>
      <c r="O876" s="79">
        <f>IF(AND(F876&lt;&gt;"",L876&lt;&gt;"Resolved"),1,0)</f>
        <v/>
      </c>
      <c r="P876" s="79">
        <f>IF(F876="","",IF(O876=0,0,IF(H876="High",2,1)))</f>
        <v/>
      </c>
      <c r="Q876" s="112">
        <f>IF(O876=1,IF(K876&lt;&gt;"",K876,IF(H876="High",AsOf,"")),"")</f>
        <v/>
      </c>
      <c r="R876" s="79">
        <f>IF(Q876="","",IF(H876="High",1,IF(Q876="","",IF(Q876&lt;AsOf,1,IF(Q876&lt;=AsOf+AlertDays,2,IF(Q876&lt;=AsOf+2*AlertDays,3,""))))))</f>
        <v/>
      </c>
      <c r="S876" s="79">
        <f>IF(R876="","",IF(H876="High","High-severity issue: ",IF(C876="Punch item","Punch item: ","Issue action due: "))&amp;F876&amp;IF(J876="",""," → "&amp;J876))</f>
        <v/>
      </c>
      <c r="T876" s="79">
        <f>IF(O876=1,IF(I876="",0,I876),0)</f>
        <v/>
      </c>
      <c r="U876" s="79">
        <f>IF(AND(O876=1,H876="High"),1,0)</f>
        <v/>
      </c>
      <c r="V876" s="79">
        <f>IF(AND(O876=1,C876="Punch item"),1,0)</f>
        <v/>
      </c>
    </row>
    <row r="877" ht="24" customHeight="1">
      <c r="B877" s="125" t="n">
        <v>870</v>
      </c>
      <c r="C877" s="72" t="n"/>
      <c r="D877" s="109" t="n"/>
      <c r="E877" s="72" t="n"/>
      <c r="F877" s="113" t="n"/>
      <c r="G877" s="72" t="n"/>
      <c r="H877" s="74" t="n"/>
      <c r="I877" s="73" t="n"/>
      <c r="J877" s="113" t="n"/>
      <c r="K877" s="109" t="n"/>
      <c r="L877" s="72" t="n"/>
      <c r="M877" s="109" t="n"/>
      <c r="N877" s="72" t="n"/>
      <c r="O877" s="79">
        <f>IF(AND(F877&lt;&gt;"",L877&lt;&gt;"Resolved"),1,0)</f>
        <v/>
      </c>
      <c r="P877" s="79">
        <f>IF(F877="","",IF(O877=0,0,IF(H877="High",2,1)))</f>
        <v/>
      </c>
      <c r="Q877" s="112">
        <f>IF(O877=1,IF(K877&lt;&gt;"",K877,IF(H877="High",AsOf,"")),"")</f>
        <v/>
      </c>
      <c r="R877" s="79">
        <f>IF(Q877="","",IF(H877="High",1,IF(Q877="","",IF(Q877&lt;AsOf,1,IF(Q877&lt;=AsOf+AlertDays,2,IF(Q877&lt;=AsOf+2*AlertDays,3,""))))))</f>
        <v/>
      </c>
      <c r="S877" s="79">
        <f>IF(R877="","",IF(H877="High","High-severity issue: ",IF(C877="Punch item","Punch item: ","Issue action due: "))&amp;F877&amp;IF(J877="",""," → "&amp;J877))</f>
        <v/>
      </c>
      <c r="T877" s="79">
        <f>IF(O877=1,IF(I877="",0,I877),0)</f>
        <v/>
      </c>
      <c r="U877" s="79">
        <f>IF(AND(O877=1,H877="High"),1,0)</f>
        <v/>
      </c>
      <c r="V877" s="79">
        <f>IF(AND(O877=1,C877="Punch item"),1,0)</f>
        <v/>
      </c>
    </row>
    <row r="878" ht="24" customHeight="1">
      <c r="B878" s="125" t="n">
        <v>871</v>
      </c>
      <c r="C878" s="72" t="n"/>
      <c r="D878" s="109" t="n"/>
      <c r="E878" s="72" t="n"/>
      <c r="F878" s="113" t="n"/>
      <c r="G878" s="72" t="n"/>
      <c r="H878" s="74" t="n"/>
      <c r="I878" s="73" t="n"/>
      <c r="J878" s="113" t="n"/>
      <c r="K878" s="109" t="n"/>
      <c r="L878" s="72" t="n"/>
      <c r="M878" s="109" t="n"/>
      <c r="N878" s="72" t="n"/>
      <c r="O878" s="79">
        <f>IF(AND(F878&lt;&gt;"",L878&lt;&gt;"Resolved"),1,0)</f>
        <v/>
      </c>
      <c r="P878" s="79">
        <f>IF(F878="","",IF(O878=0,0,IF(H878="High",2,1)))</f>
        <v/>
      </c>
      <c r="Q878" s="112">
        <f>IF(O878=1,IF(K878&lt;&gt;"",K878,IF(H878="High",AsOf,"")),"")</f>
        <v/>
      </c>
      <c r="R878" s="79">
        <f>IF(Q878="","",IF(H878="High",1,IF(Q878="","",IF(Q878&lt;AsOf,1,IF(Q878&lt;=AsOf+AlertDays,2,IF(Q878&lt;=AsOf+2*AlertDays,3,""))))))</f>
        <v/>
      </c>
      <c r="S878" s="79">
        <f>IF(R878="","",IF(H878="High","High-severity issue: ",IF(C878="Punch item","Punch item: ","Issue action due: "))&amp;F878&amp;IF(J878="",""," → "&amp;J878))</f>
        <v/>
      </c>
      <c r="T878" s="79">
        <f>IF(O878=1,IF(I878="",0,I878),0)</f>
        <v/>
      </c>
      <c r="U878" s="79">
        <f>IF(AND(O878=1,H878="High"),1,0)</f>
        <v/>
      </c>
      <c r="V878" s="79">
        <f>IF(AND(O878=1,C878="Punch item"),1,0)</f>
        <v/>
      </c>
    </row>
    <row r="879" ht="24" customHeight="1">
      <c r="B879" s="125" t="n">
        <v>872</v>
      </c>
      <c r="C879" s="72" t="n"/>
      <c r="D879" s="109" t="n"/>
      <c r="E879" s="72" t="n"/>
      <c r="F879" s="113" t="n"/>
      <c r="G879" s="72" t="n"/>
      <c r="H879" s="74" t="n"/>
      <c r="I879" s="73" t="n"/>
      <c r="J879" s="113" t="n"/>
      <c r="K879" s="109" t="n"/>
      <c r="L879" s="72" t="n"/>
      <c r="M879" s="109" t="n"/>
      <c r="N879" s="72" t="n"/>
      <c r="O879" s="79">
        <f>IF(AND(F879&lt;&gt;"",L879&lt;&gt;"Resolved"),1,0)</f>
        <v/>
      </c>
      <c r="P879" s="79">
        <f>IF(F879="","",IF(O879=0,0,IF(H879="High",2,1)))</f>
        <v/>
      </c>
      <c r="Q879" s="112">
        <f>IF(O879=1,IF(K879&lt;&gt;"",K879,IF(H879="High",AsOf,"")),"")</f>
        <v/>
      </c>
      <c r="R879" s="79">
        <f>IF(Q879="","",IF(H879="High",1,IF(Q879="","",IF(Q879&lt;AsOf,1,IF(Q879&lt;=AsOf+AlertDays,2,IF(Q879&lt;=AsOf+2*AlertDays,3,""))))))</f>
        <v/>
      </c>
      <c r="S879" s="79">
        <f>IF(R879="","",IF(H879="High","High-severity issue: ",IF(C879="Punch item","Punch item: ","Issue action due: "))&amp;F879&amp;IF(J879="",""," → "&amp;J879))</f>
        <v/>
      </c>
      <c r="T879" s="79">
        <f>IF(O879=1,IF(I879="",0,I879),0)</f>
        <v/>
      </c>
      <c r="U879" s="79">
        <f>IF(AND(O879=1,H879="High"),1,0)</f>
        <v/>
      </c>
      <c r="V879" s="79">
        <f>IF(AND(O879=1,C879="Punch item"),1,0)</f>
        <v/>
      </c>
    </row>
    <row r="880" ht="24" customHeight="1">
      <c r="B880" s="125" t="n">
        <v>873</v>
      </c>
      <c r="C880" s="72" t="n"/>
      <c r="D880" s="109" t="n"/>
      <c r="E880" s="72" t="n"/>
      <c r="F880" s="113" t="n"/>
      <c r="G880" s="72" t="n"/>
      <c r="H880" s="74" t="n"/>
      <c r="I880" s="73" t="n"/>
      <c r="J880" s="113" t="n"/>
      <c r="K880" s="109" t="n"/>
      <c r="L880" s="72" t="n"/>
      <c r="M880" s="109" t="n"/>
      <c r="N880" s="72" t="n"/>
      <c r="O880" s="79">
        <f>IF(AND(F880&lt;&gt;"",L880&lt;&gt;"Resolved"),1,0)</f>
        <v/>
      </c>
      <c r="P880" s="79">
        <f>IF(F880="","",IF(O880=0,0,IF(H880="High",2,1)))</f>
        <v/>
      </c>
      <c r="Q880" s="112">
        <f>IF(O880=1,IF(K880&lt;&gt;"",K880,IF(H880="High",AsOf,"")),"")</f>
        <v/>
      </c>
      <c r="R880" s="79">
        <f>IF(Q880="","",IF(H880="High",1,IF(Q880="","",IF(Q880&lt;AsOf,1,IF(Q880&lt;=AsOf+AlertDays,2,IF(Q880&lt;=AsOf+2*AlertDays,3,""))))))</f>
        <v/>
      </c>
      <c r="S880" s="79">
        <f>IF(R880="","",IF(H880="High","High-severity issue: ",IF(C880="Punch item","Punch item: ","Issue action due: "))&amp;F880&amp;IF(J880="",""," → "&amp;J880))</f>
        <v/>
      </c>
      <c r="T880" s="79">
        <f>IF(O880=1,IF(I880="",0,I880),0)</f>
        <v/>
      </c>
      <c r="U880" s="79">
        <f>IF(AND(O880=1,H880="High"),1,0)</f>
        <v/>
      </c>
      <c r="V880" s="79">
        <f>IF(AND(O880=1,C880="Punch item"),1,0)</f>
        <v/>
      </c>
    </row>
    <row r="881" ht="24" customHeight="1">
      <c r="B881" s="125" t="n">
        <v>874</v>
      </c>
      <c r="C881" s="72" t="n"/>
      <c r="D881" s="109" t="n"/>
      <c r="E881" s="72" t="n"/>
      <c r="F881" s="113" t="n"/>
      <c r="G881" s="72" t="n"/>
      <c r="H881" s="74" t="n"/>
      <c r="I881" s="73" t="n"/>
      <c r="J881" s="113" t="n"/>
      <c r="K881" s="109" t="n"/>
      <c r="L881" s="72" t="n"/>
      <c r="M881" s="109" t="n"/>
      <c r="N881" s="72" t="n"/>
      <c r="O881" s="79">
        <f>IF(AND(F881&lt;&gt;"",L881&lt;&gt;"Resolved"),1,0)</f>
        <v/>
      </c>
      <c r="P881" s="79">
        <f>IF(F881="","",IF(O881=0,0,IF(H881="High",2,1)))</f>
        <v/>
      </c>
      <c r="Q881" s="112">
        <f>IF(O881=1,IF(K881&lt;&gt;"",K881,IF(H881="High",AsOf,"")),"")</f>
        <v/>
      </c>
      <c r="R881" s="79">
        <f>IF(Q881="","",IF(H881="High",1,IF(Q881="","",IF(Q881&lt;AsOf,1,IF(Q881&lt;=AsOf+AlertDays,2,IF(Q881&lt;=AsOf+2*AlertDays,3,""))))))</f>
        <v/>
      </c>
      <c r="S881" s="79">
        <f>IF(R881="","",IF(H881="High","High-severity issue: ",IF(C881="Punch item","Punch item: ","Issue action due: "))&amp;F881&amp;IF(J881="",""," → "&amp;J881))</f>
        <v/>
      </c>
      <c r="T881" s="79">
        <f>IF(O881=1,IF(I881="",0,I881),0)</f>
        <v/>
      </c>
      <c r="U881" s="79">
        <f>IF(AND(O881=1,H881="High"),1,0)</f>
        <v/>
      </c>
      <c r="V881" s="79">
        <f>IF(AND(O881=1,C881="Punch item"),1,0)</f>
        <v/>
      </c>
    </row>
    <row r="882" ht="24" customHeight="1">
      <c r="B882" s="125" t="n">
        <v>875</v>
      </c>
      <c r="C882" s="72" t="n"/>
      <c r="D882" s="109" t="n"/>
      <c r="E882" s="72" t="n"/>
      <c r="F882" s="113" t="n"/>
      <c r="G882" s="72" t="n"/>
      <c r="H882" s="74" t="n"/>
      <c r="I882" s="73" t="n"/>
      <c r="J882" s="113" t="n"/>
      <c r="K882" s="109" t="n"/>
      <c r="L882" s="72" t="n"/>
      <c r="M882" s="109" t="n"/>
      <c r="N882" s="72" t="n"/>
      <c r="O882" s="79">
        <f>IF(AND(F882&lt;&gt;"",L882&lt;&gt;"Resolved"),1,0)</f>
        <v/>
      </c>
      <c r="P882" s="79">
        <f>IF(F882="","",IF(O882=0,0,IF(H882="High",2,1)))</f>
        <v/>
      </c>
      <c r="Q882" s="112">
        <f>IF(O882=1,IF(K882&lt;&gt;"",K882,IF(H882="High",AsOf,"")),"")</f>
        <v/>
      </c>
      <c r="R882" s="79">
        <f>IF(Q882="","",IF(H882="High",1,IF(Q882="","",IF(Q882&lt;AsOf,1,IF(Q882&lt;=AsOf+AlertDays,2,IF(Q882&lt;=AsOf+2*AlertDays,3,""))))))</f>
        <v/>
      </c>
      <c r="S882" s="79">
        <f>IF(R882="","",IF(H882="High","High-severity issue: ",IF(C882="Punch item","Punch item: ","Issue action due: "))&amp;F882&amp;IF(J882="",""," → "&amp;J882))</f>
        <v/>
      </c>
      <c r="T882" s="79">
        <f>IF(O882=1,IF(I882="",0,I882),0)</f>
        <v/>
      </c>
      <c r="U882" s="79">
        <f>IF(AND(O882=1,H882="High"),1,0)</f>
        <v/>
      </c>
      <c r="V882" s="79">
        <f>IF(AND(O882=1,C882="Punch item"),1,0)</f>
        <v/>
      </c>
    </row>
    <row r="883" ht="24" customHeight="1">
      <c r="B883" s="125" t="n">
        <v>876</v>
      </c>
      <c r="C883" s="72" t="n"/>
      <c r="D883" s="109" t="n"/>
      <c r="E883" s="72" t="n"/>
      <c r="F883" s="113" t="n"/>
      <c r="G883" s="72" t="n"/>
      <c r="H883" s="74" t="n"/>
      <c r="I883" s="73" t="n"/>
      <c r="J883" s="113" t="n"/>
      <c r="K883" s="109" t="n"/>
      <c r="L883" s="72" t="n"/>
      <c r="M883" s="109" t="n"/>
      <c r="N883" s="72" t="n"/>
      <c r="O883" s="79">
        <f>IF(AND(F883&lt;&gt;"",L883&lt;&gt;"Resolved"),1,0)</f>
        <v/>
      </c>
      <c r="P883" s="79">
        <f>IF(F883="","",IF(O883=0,0,IF(H883="High",2,1)))</f>
        <v/>
      </c>
      <c r="Q883" s="112">
        <f>IF(O883=1,IF(K883&lt;&gt;"",K883,IF(H883="High",AsOf,"")),"")</f>
        <v/>
      </c>
      <c r="R883" s="79">
        <f>IF(Q883="","",IF(H883="High",1,IF(Q883="","",IF(Q883&lt;AsOf,1,IF(Q883&lt;=AsOf+AlertDays,2,IF(Q883&lt;=AsOf+2*AlertDays,3,""))))))</f>
        <v/>
      </c>
      <c r="S883" s="79">
        <f>IF(R883="","",IF(H883="High","High-severity issue: ",IF(C883="Punch item","Punch item: ","Issue action due: "))&amp;F883&amp;IF(J883="",""," → "&amp;J883))</f>
        <v/>
      </c>
      <c r="T883" s="79">
        <f>IF(O883=1,IF(I883="",0,I883),0)</f>
        <v/>
      </c>
      <c r="U883" s="79">
        <f>IF(AND(O883=1,H883="High"),1,0)</f>
        <v/>
      </c>
      <c r="V883" s="79">
        <f>IF(AND(O883=1,C883="Punch item"),1,0)</f>
        <v/>
      </c>
    </row>
    <row r="884" ht="24" customHeight="1">
      <c r="B884" s="125" t="n">
        <v>877</v>
      </c>
      <c r="C884" s="72" t="n"/>
      <c r="D884" s="109" t="n"/>
      <c r="E884" s="72" t="n"/>
      <c r="F884" s="113" t="n"/>
      <c r="G884" s="72" t="n"/>
      <c r="H884" s="74" t="n"/>
      <c r="I884" s="73" t="n"/>
      <c r="J884" s="113" t="n"/>
      <c r="K884" s="109" t="n"/>
      <c r="L884" s="72" t="n"/>
      <c r="M884" s="109" t="n"/>
      <c r="N884" s="72" t="n"/>
      <c r="O884" s="79">
        <f>IF(AND(F884&lt;&gt;"",L884&lt;&gt;"Resolved"),1,0)</f>
        <v/>
      </c>
      <c r="P884" s="79">
        <f>IF(F884="","",IF(O884=0,0,IF(H884="High",2,1)))</f>
        <v/>
      </c>
      <c r="Q884" s="112">
        <f>IF(O884=1,IF(K884&lt;&gt;"",K884,IF(H884="High",AsOf,"")),"")</f>
        <v/>
      </c>
      <c r="R884" s="79">
        <f>IF(Q884="","",IF(H884="High",1,IF(Q884="","",IF(Q884&lt;AsOf,1,IF(Q884&lt;=AsOf+AlertDays,2,IF(Q884&lt;=AsOf+2*AlertDays,3,""))))))</f>
        <v/>
      </c>
      <c r="S884" s="79">
        <f>IF(R884="","",IF(H884="High","High-severity issue: ",IF(C884="Punch item","Punch item: ","Issue action due: "))&amp;F884&amp;IF(J884="",""," → "&amp;J884))</f>
        <v/>
      </c>
      <c r="T884" s="79">
        <f>IF(O884=1,IF(I884="",0,I884),0)</f>
        <v/>
      </c>
      <c r="U884" s="79">
        <f>IF(AND(O884=1,H884="High"),1,0)</f>
        <v/>
      </c>
      <c r="V884" s="79">
        <f>IF(AND(O884=1,C884="Punch item"),1,0)</f>
        <v/>
      </c>
    </row>
    <row r="885" ht="24" customHeight="1">
      <c r="B885" s="125" t="n">
        <v>878</v>
      </c>
      <c r="C885" s="72" t="n"/>
      <c r="D885" s="109" t="n"/>
      <c r="E885" s="72" t="n"/>
      <c r="F885" s="113" t="n"/>
      <c r="G885" s="72" t="n"/>
      <c r="H885" s="74" t="n"/>
      <c r="I885" s="73" t="n"/>
      <c r="J885" s="113" t="n"/>
      <c r="K885" s="109" t="n"/>
      <c r="L885" s="72" t="n"/>
      <c r="M885" s="109" t="n"/>
      <c r="N885" s="72" t="n"/>
      <c r="O885" s="79">
        <f>IF(AND(F885&lt;&gt;"",L885&lt;&gt;"Resolved"),1,0)</f>
        <v/>
      </c>
      <c r="P885" s="79">
        <f>IF(F885="","",IF(O885=0,0,IF(H885="High",2,1)))</f>
        <v/>
      </c>
      <c r="Q885" s="112">
        <f>IF(O885=1,IF(K885&lt;&gt;"",K885,IF(H885="High",AsOf,"")),"")</f>
        <v/>
      </c>
      <c r="R885" s="79">
        <f>IF(Q885="","",IF(H885="High",1,IF(Q885="","",IF(Q885&lt;AsOf,1,IF(Q885&lt;=AsOf+AlertDays,2,IF(Q885&lt;=AsOf+2*AlertDays,3,""))))))</f>
        <v/>
      </c>
      <c r="S885" s="79">
        <f>IF(R885="","",IF(H885="High","High-severity issue: ",IF(C885="Punch item","Punch item: ","Issue action due: "))&amp;F885&amp;IF(J885="",""," → "&amp;J885))</f>
        <v/>
      </c>
      <c r="T885" s="79">
        <f>IF(O885=1,IF(I885="",0,I885),0)</f>
        <v/>
      </c>
      <c r="U885" s="79">
        <f>IF(AND(O885=1,H885="High"),1,0)</f>
        <v/>
      </c>
      <c r="V885" s="79">
        <f>IF(AND(O885=1,C885="Punch item"),1,0)</f>
        <v/>
      </c>
    </row>
    <row r="886" ht="24" customHeight="1">
      <c r="B886" s="125" t="n">
        <v>879</v>
      </c>
      <c r="C886" s="72" t="n"/>
      <c r="D886" s="109" t="n"/>
      <c r="E886" s="72" t="n"/>
      <c r="F886" s="113" t="n"/>
      <c r="G886" s="72" t="n"/>
      <c r="H886" s="74" t="n"/>
      <c r="I886" s="73" t="n"/>
      <c r="J886" s="113" t="n"/>
      <c r="K886" s="109" t="n"/>
      <c r="L886" s="72" t="n"/>
      <c r="M886" s="109" t="n"/>
      <c r="N886" s="72" t="n"/>
      <c r="O886" s="79">
        <f>IF(AND(F886&lt;&gt;"",L886&lt;&gt;"Resolved"),1,0)</f>
        <v/>
      </c>
      <c r="P886" s="79">
        <f>IF(F886="","",IF(O886=0,0,IF(H886="High",2,1)))</f>
        <v/>
      </c>
      <c r="Q886" s="112">
        <f>IF(O886=1,IF(K886&lt;&gt;"",K886,IF(H886="High",AsOf,"")),"")</f>
        <v/>
      </c>
      <c r="R886" s="79">
        <f>IF(Q886="","",IF(H886="High",1,IF(Q886="","",IF(Q886&lt;AsOf,1,IF(Q886&lt;=AsOf+AlertDays,2,IF(Q886&lt;=AsOf+2*AlertDays,3,""))))))</f>
        <v/>
      </c>
      <c r="S886" s="79">
        <f>IF(R886="","",IF(H886="High","High-severity issue: ",IF(C886="Punch item","Punch item: ","Issue action due: "))&amp;F886&amp;IF(J886="",""," → "&amp;J886))</f>
        <v/>
      </c>
      <c r="T886" s="79">
        <f>IF(O886=1,IF(I886="",0,I886),0)</f>
        <v/>
      </c>
      <c r="U886" s="79">
        <f>IF(AND(O886=1,H886="High"),1,0)</f>
        <v/>
      </c>
      <c r="V886" s="79">
        <f>IF(AND(O886=1,C886="Punch item"),1,0)</f>
        <v/>
      </c>
    </row>
    <row r="887" ht="24" customHeight="1">
      <c r="B887" s="125" t="n">
        <v>880</v>
      </c>
      <c r="C887" s="72" t="n"/>
      <c r="D887" s="109" t="n"/>
      <c r="E887" s="72" t="n"/>
      <c r="F887" s="113" t="n"/>
      <c r="G887" s="72" t="n"/>
      <c r="H887" s="74" t="n"/>
      <c r="I887" s="73" t="n"/>
      <c r="J887" s="113" t="n"/>
      <c r="K887" s="109" t="n"/>
      <c r="L887" s="72" t="n"/>
      <c r="M887" s="109" t="n"/>
      <c r="N887" s="72" t="n"/>
      <c r="O887" s="79">
        <f>IF(AND(F887&lt;&gt;"",L887&lt;&gt;"Resolved"),1,0)</f>
        <v/>
      </c>
      <c r="P887" s="79">
        <f>IF(F887="","",IF(O887=0,0,IF(H887="High",2,1)))</f>
        <v/>
      </c>
      <c r="Q887" s="112">
        <f>IF(O887=1,IF(K887&lt;&gt;"",K887,IF(H887="High",AsOf,"")),"")</f>
        <v/>
      </c>
      <c r="R887" s="79">
        <f>IF(Q887="","",IF(H887="High",1,IF(Q887="","",IF(Q887&lt;AsOf,1,IF(Q887&lt;=AsOf+AlertDays,2,IF(Q887&lt;=AsOf+2*AlertDays,3,""))))))</f>
        <v/>
      </c>
      <c r="S887" s="79">
        <f>IF(R887="","",IF(H887="High","High-severity issue: ",IF(C887="Punch item","Punch item: ","Issue action due: "))&amp;F887&amp;IF(J887="",""," → "&amp;J887))</f>
        <v/>
      </c>
      <c r="T887" s="79">
        <f>IF(O887=1,IF(I887="",0,I887),0)</f>
        <v/>
      </c>
      <c r="U887" s="79">
        <f>IF(AND(O887=1,H887="High"),1,0)</f>
        <v/>
      </c>
      <c r="V887" s="79">
        <f>IF(AND(O887=1,C887="Punch item"),1,0)</f>
        <v/>
      </c>
    </row>
    <row r="888" ht="24" customHeight="1">
      <c r="B888" s="125" t="n">
        <v>881</v>
      </c>
      <c r="C888" s="72" t="n"/>
      <c r="D888" s="109" t="n"/>
      <c r="E888" s="72" t="n"/>
      <c r="F888" s="113" t="n"/>
      <c r="G888" s="72" t="n"/>
      <c r="H888" s="74" t="n"/>
      <c r="I888" s="73" t="n"/>
      <c r="J888" s="113" t="n"/>
      <c r="K888" s="109" t="n"/>
      <c r="L888" s="72" t="n"/>
      <c r="M888" s="109" t="n"/>
      <c r="N888" s="72" t="n"/>
      <c r="O888" s="79">
        <f>IF(AND(F888&lt;&gt;"",L888&lt;&gt;"Resolved"),1,0)</f>
        <v/>
      </c>
      <c r="P888" s="79">
        <f>IF(F888="","",IF(O888=0,0,IF(H888="High",2,1)))</f>
        <v/>
      </c>
      <c r="Q888" s="112">
        <f>IF(O888=1,IF(K888&lt;&gt;"",K888,IF(H888="High",AsOf,"")),"")</f>
        <v/>
      </c>
      <c r="R888" s="79">
        <f>IF(Q888="","",IF(H888="High",1,IF(Q888="","",IF(Q888&lt;AsOf,1,IF(Q888&lt;=AsOf+AlertDays,2,IF(Q888&lt;=AsOf+2*AlertDays,3,""))))))</f>
        <v/>
      </c>
      <c r="S888" s="79">
        <f>IF(R888="","",IF(H888="High","High-severity issue: ",IF(C888="Punch item","Punch item: ","Issue action due: "))&amp;F888&amp;IF(J888="",""," → "&amp;J888))</f>
        <v/>
      </c>
      <c r="T888" s="79">
        <f>IF(O888=1,IF(I888="",0,I888),0)</f>
        <v/>
      </c>
      <c r="U888" s="79">
        <f>IF(AND(O888=1,H888="High"),1,0)</f>
        <v/>
      </c>
      <c r="V888" s="79">
        <f>IF(AND(O888=1,C888="Punch item"),1,0)</f>
        <v/>
      </c>
    </row>
    <row r="889" ht="24" customHeight="1">
      <c r="B889" s="125" t="n">
        <v>882</v>
      </c>
      <c r="C889" s="72" t="n"/>
      <c r="D889" s="109" t="n"/>
      <c r="E889" s="72" t="n"/>
      <c r="F889" s="113" t="n"/>
      <c r="G889" s="72" t="n"/>
      <c r="H889" s="74" t="n"/>
      <c r="I889" s="73" t="n"/>
      <c r="J889" s="113" t="n"/>
      <c r="K889" s="109" t="n"/>
      <c r="L889" s="72" t="n"/>
      <c r="M889" s="109" t="n"/>
      <c r="N889" s="72" t="n"/>
      <c r="O889" s="79">
        <f>IF(AND(F889&lt;&gt;"",L889&lt;&gt;"Resolved"),1,0)</f>
        <v/>
      </c>
      <c r="P889" s="79">
        <f>IF(F889="","",IF(O889=0,0,IF(H889="High",2,1)))</f>
        <v/>
      </c>
      <c r="Q889" s="112">
        <f>IF(O889=1,IF(K889&lt;&gt;"",K889,IF(H889="High",AsOf,"")),"")</f>
        <v/>
      </c>
      <c r="R889" s="79">
        <f>IF(Q889="","",IF(H889="High",1,IF(Q889="","",IF(Q889&lt;AsOf,1,IF(Q889&lt;=AsOf+AlertDays,2,IF(Q889&lt;=AsOf+2*AlertDays,3,""))))))</f>
        <v/>
      </c>
      <c r="S889" s="79">
        <f>IF(R889="","",IF(H889="High","High-severity issue: ",IF(C889="Punch item","Punch item: ","Issue action due: "))&amp;F889&amp;IF(J889="",""," → "&amp;J889))</f>
        <v/>
      </c>
      <c r="T889" s="79">
        <f>IF(O889=1,IF(I889="",0,I889),0)</f>
        <v/>
      </c>
      <c r="U889" s="79">
        <f>IF(AND(O889=1,H889="High"),1,0)</f>
        <v/>
      </c>
      <c r="V889" s="79">
        <f>IF(AND(O889=1,C889="Punch item"),1,0)</f>
        <v/>
      </c>
    </row>
    <row r="890" ht="24" customHeight="1">
      <c r="B890" s="125" t="n">
        <v>883</v>
      </c>
      <c r="C890" s="72" t="n"/>
      <c r="D890" s="109" t="n"/>
      <c r="E890" s="72" t="n"/>
      <c r="F890" s="113" t="n"/>
      <c r="G890" s="72" t="n"/>
      <c r="H890" s="74" t="n"/>
      <c r="I890" s="73" t="n"/>
      <c r="J890" s="113" t="n"/>
      <c r="K890" s="109" t="n"/>
      <c r="L890" s="72" t="n"/>
      <c r="M890" s="109" t="n"/>
      <c r="N890" s="72" t="n"/>
      <c r="O890" s="79">
        <f>IF(AND(F890&lt;&gt;"",L890&lt;&gt;"Resolved"),1,0)</f>
        <v/>
      </c>
      <c r="P890" s="79">
        <f>IF(F890="","",IF(O890=0,0,IF(H890="High",2,1)))</f>
        <v/>
      </c>
      <c r="Q890" s="112">
        <f>IF(O890=1,IF(K890&lt;&gt;"",K890,IF(H890="High",AsOf,"")),"")</f>
        <v/>
      </c>
      <c r="R890" s="79">
        <f>IF(Q890="","",IF(H890="High",1,IF(Q890="","",IF(Q890&lt;AsOf,1,IF(Q890&lt;=AsOf+AlertDays,2,IF(Q890&lt;=AsOf+2*AlertDays,3,""))))))</f>
        <v/>
      </c>
      <c r="S890" s="79">
        <f>IF(R890="","",IF(H890="High","High-severity issue: ",IF(C890="Punch item","Punch item: ","Issue action due: "))&amp;F890&amp;IF(J890="",""," → "&amp;J890))</f>
        <v/>
      </c>
      <c r="T890" s="79">
        <f>IF(O890=1,IF(I890="",0,I890),0)</f>
        <v/>
      </c>
      <c r="U890" s="79">
        <f>IF(AND(O890=1,H890="High"),1,0)</f>
        <v/>
      </c>
      <c r="V890" s="79">
        <f>IF(AND(O890=1,C890="Punch item"),1,0)</f>
        <v/>
      </c>
    </row>
    <row r="891" ht="24" customHeight="1">
      <c r="B891" s="125" t="n">
        <v>884</v>
      </c>
      <c r="C891" s="72" t="n"/>
      <c r="D891" s="109" t="n"/>
      <c r="E891" s="72" t="n"/>
      <c r="F891" s="113" t="n"/>
      <c r="G891" s="72" t="n"/>
      <c r="H891" s="74" t="n"/>
      <c r="I891" s="73" t="n"/>
      <c r="J891" s="113" t="n"/>
      <c r="K891" s="109" t="n"/>
      <c r="L891" s="72" t="n"/>
      <c r="M891" s="109" t="n"/>
      <c r="N891" s="72" t="n"/>
      <c r="O891" s="79">
        <f>IF(AND(F891&lt;&gt;"",L891&lt;&gt;"Resolved"),1,0)</f>
        <v/>
      </c>
      <c r="P891" s="79">
        <f>IF(F891="","",IF(O891=0,0,IF(H891="High",2,1)))</f>
        <v/>
      </c>
      <c r="Q891" s="112">
        <f>IF(O891=1,IF(K891&lt;&gt;"",K891,IF(H891="High",AsOf,"")),"")</f>
        <v/>
      </c>
      <c r="R891" s="79">
        <f>IF(Q891="","",IF(H891="High",1,IF(Q891="","",IF(Q891&lt;AsOf,1,IF(Q891&lt;=AsOf+AlertDays,2,IF(Q891&lt;=AsOf+2*AlertDays,3,""))))))</f>
        <v/>
      </c>
      <c r="S891" s="79">
        <f>IF(R891="","",IF(H891="High","High-severity issue: ",IF(C891="Punch item","Punch item: ","Issue action due: "))&amp;F891&amp;IF(J891="",""," → "&amp;J891))</f>
        <v/>
      </c>
      <c r="T891" s="79">
        <f>IF(O891=1,IF(I891="",0,I891),0)</f>
        <v/>
      </c>
      <c r="U891" s="79">
        <f>IF(AND(O891=1,H891="High"),1,0)</f>
        <v/>
      </c>
      <c r="V891" s="79">
        <f>IF(AND(O891=1,C891="Punch item"),1,0)</f>
        <v/>
      </c>
    </row>
    <row r="892" ht="24" customHeight="1">
      <c r="B892" s="125" t="n">
        <v>885</v>
      </c>
      <c r="C892" s="72" t="n"/>
      <c r="D892" s="109" t="n"/>
      <c r="E892" s="72" t="n"/>
      <c r="F892" s="113" t="n"/>
      <c r="G892" s="72" t="n"/>
      <c r="H892" s="74" t="n"/>
      <c r="I892" s="73" t="n"/>
      <c r="J892" s="113" t="n"/>
      <c r="K892" s="109" t="n"/>
      <c r="L892" s="72" t="n"/>
      <c r="M892" s="109" t="n"/>
      <c r="N892" s="72" t="n"/>
      <c r="O892" s="79">
        <f>IF(AND(F892&lt;&gt;"",L892&lt;&gt;"Resolved"),1,0)</f>
        <v/>
      </c>
      <c r="P892" s="79">
        <f>IF(F892="","",IF(O892=0,0,IF(H892="High",2,1)))</f>
        <v/>
      </c>
      <c r="Q892" s="112">
        <f>IF(O892=1,IF(K892&lt;&gt;"",K892,IF(H892="High",AsOf,"")),"")</f>
        <v/>
      </c>
      <c r="R892" s="79">
        <f>IF(Q892="","",IF(H892="High",1,IF(Q892="","",IF(Q892&lt;AsOf,1,IF(Q892&lt;=AsOf+AlertDays,2,IF(Q892&lt;=AsOf+2*AlertDays,3,""))))))</f>
        <v/>
      </c>
      <c r="S892" s="79">
        <f>IF(R892="","",IF(H892="High","High-severity issue: ",IF(C892="Punch item","Punch item: ","Issue action due: "))&amp;F892&amp;IF(J892="",""," → "&amp;J892))</f>
        <v/>
      </c>
      <c r="T892" s="79">
        <f>IF(O892=1,IF(I892="",0,I892),0)</f>
        <v/>
      </c>
      <c r="U892" s="79">
        <f>IF(AND(O892=1,H892="High"),1,0)</f>
        <v/>
      </c>
      <c r="V892" s="79">
        <f>IF(AND(O892=1,C892="Punch item"),1,0)</f>
        <v/>
      </c>
    </row>
    <row r="893" ht="24" customHeight="1">
      <c r="B893" s="125" t="n">
        <v>886</v>
      </c>
      <c r="C893" s="72" t="n"/>
      <c r="D893" s="109" t="n"/>
      <c r="E893" s="72" t="n"/>
      <c r="F893" s="113" t="n"/>
      <c r="G893" s="72" t="n"/>
      <c r="H893" s="74" t="n"/>
      <c r="I893" s="73" t="n"/>
      <c r="J893" s="113" t="n"/>
      <c r="K893" s="109" t="n"/>
      <c r="L893" s="72" t="n"/>
      <c r="M893" s="109" t="n"/>
      <c r="N893" s="72" t="n"/>
      <c r="O893" s="79">
        <f>IF(AND(F893&lt;&gt;"",L893&lt;&gt;"Resolved"),1,0)</f>
        <v/>
      </c>
      <c r="P893" s="79">
        <f>IF(F893="","",IF(O893=0,0,IF(H893="High",2,1)))</f>
        <v/>
      </c>
      <c r="Q893" s="112">
        <f>IF(O893=1,IF(K893&lt;&gt;"",K893,IF(H893="High",AsOf,"")),"")</f>
        <v/>
      </c>
      <c r="R893" s="79">
        <f>IF(Q893="","",IF(H893="High",1,IF(Q893="","",IF(Q893&lt;AsOf,1,IF(Q893&lt;=AsOf+AlertDays,2,IF(Q893&lt;=AsOf+2*AlertDays,3,""))))))</f>
        <v/>
      </c>
      <c r="S893" s="79">
        <f>IF(R893="","",IF(H893="High","High-severity issue: ",IF(C893="Punch item","Punch item: ","Issue action due: "))&amp;F893&amp;IF(J893="",""," → "&amp;J893))</f>
        <v/>
      </c>
      <c r="T893" s="79">
        <f>IF(O893=1,IF(I893="",0,I893),0)</f>
        <v/>
      </c>
      <c r="U893" s="79">
        <f>IF(AND(O893=1,H893="High"),1,0)</f>
        <v/>
      </c>
      <c r="V893" s="79">
        <f>IF(AND(O893=1,C893="Punch item"),1,0)</f>
        <v/>
      </c>
    </row>
    <row r="894" ht="24" customHeight="1">
      <c r="B894" s="125" t="n">
        <v>887</v>
      </c>
      <c r="C894" s="72" t="n"/>
      <c r="D894" s="109" t="n"/>
      <c r="E894" s="72" t="n"/>
      <c r="F894" s="113" t="n"/>
      <c r="G894" s="72" t="n"/>
      <c r="H894" s="74" t="n"/>
      <c r="I894" s="73" t="n"/>
      <c r="J894" s="113" t="n"/>
      <c r="K894" s="109" t="n"/>
      <c r="L894" s="72" t="n"/>
      <c r="M894" s="109" t="n"/>
      <c r="N894" s="72" t="n"/>
      <c r="O894" s="79">
        <f>IF(AND(F894&lt;&gt;"",L894&lt;&gt;"Resolved"),1,0)</f>
        <v/>
      </c>
      <c r="P894" s="79">
        <f>IF(F894="","",IF(O894=0,0,IF(H894="High",2,1)))</f>
        <v/>
      </c>
      <c r="Q894" s="112">
        <f>IF(O894=1,IF(K894&lt;&gt;"",K894,IF(H894="High",AsOf,"")),"")</f>
        <v/>
      </c>
      <c r="R894" s="79">
        <f>IF(Q894="","",IF(H894="High",1,IF(Q894="","",IF(Q894&lt;AsOf,1,IF(Q894&lt;=AsOf+AlertDays,2,IF(Q894&lt;=AsOf+2*AlertDays,3,""))))))</f>
        <v/>
      </c>
      <c r="S894" s="79">
        <f>IF(R894="","",IF(H894="High","High-severity issue: ",IF(C894="Punch item","Punch item: ","Issue action due: "))&amp;F894&amp;IF(J894="",""," → "&amp;J894))</f>
        <v/>
      </c>
      <c r="T894" s="79">
        <f>IF(O894=1,IF(I894="",0,I894),0)</f>
        <v/>
      </c>
      <c r="U894" s="79">
        <f>IF(AND(O894=1,H894="High"),1,0)</f>
        <v/>
      </c>
      <c r="V894" s="79">
        <f>IF(AND(O894=1,C894="Punch item"),1,0)</f>
        <v/>
      </c>
    </row>
    <row r="895" ht="24" customHeight="1">
      <c r="B895" s="125" t="n">
        <v>888</v>
      </c>
      <c r="C895" s="72" t="n"/>
      <c r="D895" s="109" t="n"/>
      <c r="E895" s="72" t="n"/>
      <c r="F895" s="113" t="n"/>
      <c r="G895" s="72" t="n"/>
      <c r="H895" s="74" t="n"/>
      <c r="I895" s="73" t="n"/>
      <c r="J895" s="113" t="n"/>
      <c r="K895" s="109" t="n"/>
      <c r="L895" s="72" t="n"/>
      <c r="M895" s="109" t="n"/>
      <c r="N895" s="72" t="n"/>
      <c r="O895" s="79">
        <f>IF(AND(F895&lt;&gt;"",L895&lt;&gt;"Resolved"),1,0)</f>
        <v/>
      </c>
      <c r="P895" s="79">
        <f>IF(F895="","",IF(O895=0,0,IF(H895="High",2,1)))</f>
        <v/>
      </c>
      <c r="Q895" s="112">
        <f>IF(O895=1,IF(K895&lt;&gt;"",K895,IF(H895="High",AsOf,"")),"")</f>
        <v/>
      </c>
      <c r="R895" s="79">
        <f>IF(Q895="","",IF(H895="High",1,IF(Q895="","",IF(Q895&lt;AsOf,1,IF(Q895&lt;=AsOf+AlertDays,2,IF(Q895&lt;=AsOf+2*AlertDays,3,""))))))</f>
        <v/>
      </c>
      <c r="S895" s="79">
        <f>IF(R895="","",IF(H895="High","High-severity issue: ",IF(C895="Punch item","Punch item: ","Issue action due: "))&amp;F895&amp;IF(J895="",""," → "&amp;J895))</f>
        <v/>
      </c>
      <c r="T895" s="79">
        <f>IF(O895=1,IF(I895="",0,I895),0)</f>
        <v/>
      </c>
      <c r="U895" s="79">
        <f>IF(AND(O895=1,H895="High"),1,0)</f>
        <v/>
      </c>
      <c r="V895" s="79">
        <f>IF(AND(O895=1,C895="Punch item"),1,0)</f>
        <v/>
      </c>
    </row>
    <row r="896" ht="24" customHeight="1">
      <c r="B896" s="125" t="n">
        <v>889</v>
      </c>
      <c r="C896" s="72" t="n"/>
      <c r="D896" s="109" t="n"/>
      <c r="E896" s="72" t="n"/>
      <c r="F896" s="113" t="n"/>
      <c r="G896" s="72" t="n"/>
      <c r="H896" s="74" t="n"/>
      <c r="I896" s="73" t="n"/>
      <c r="J896" s="113" t="n"/>
      <c r="K896" s="109" t="n"/>
      <c r="L896" s="72" t="n"/>
      <c r="M896" s="109" t="n"/>
      <c r="N896" s="72" t="n"/>
      <c r="O896" s="79">
        <f>IF(AND(F896&lt;&gt;"",L896&lt;&gt;"Resolved"),1,0)</f>
        <v/>
      </c>
      <c r="P896" s="79">
        <f>IF(F896="","",IF(O896=0,0,IF(H896="High",2,1)))</f>
        <v/>
      </c>
      <c r="Q896" s="112">
        <f>IF(O896=1,IF(K896&lt;&gt;"",K896,IF(H896="High",AsOf,"")),"")</f>
        <v/>
      </c>
      <c r="R896" s="79">
        <f>IF(Q896="","",IF(H896="High",1,IF(Q896="","",IF(Q896&lt;AsOf,1,IF(Q896&lt;=AsOf+AlertDays,2,IF(Q896&lt;=AsOf+2*AlertDays,3,""))))))</f>
        <v/>
      </c>
      <c r="S896" s="79">
        <f>IF(R896="","",IF(H896="High","High-severity issue: ",IF(C896="Punch item","Punch item: ","Issue action due: "))&amp;F896&amp;IF(J896="",""," → "&amp;J896))</f>
        <v/>
      </c>
      <c r="T896" s="79">
        <f>IF(O896=1,IF(I896="",0,I896),0)</f>
        <v/>
      </c>
      <c r="U896" s="79">
        <f>IF(AND(O896=1,H896="High"),1,0)</f>
        <v/>
      </c>
      <c r="V896" s="79">
        <f>IF(AND(O896=1,C896="Punch item"),1,0)</f>
        <v/>
      </c>
    </row>
    <row r="897" ht="24" customHeight="1">
      <c r="B897" s="125" t="n">
        <v>890</v>
      </c>
      <c r="C897" s="72" t="n"/>
      <c r="D897" s="109" t="n"/>
      <c r="E897" s="72" t="n"/>
      <c r="F897" s="113" t="n"/>
      <c r="G897" s="72" t="n"/>
      <c r="H897" s="74" t="n"/>
      <c r="I897" s="73" t="n"/>
      <c r="J897" s="113" t="n"/>
      <c r="K897" s="109" t="n"/>
      <c r="L897" s="72" t="n"/>
      <c r="M897" s="109" t="n"/>
      <c r="N897" s="72" t="n"/>
      <c r="O897" s="79">
        <f>IF(AND(F897&lt;&gt;"",L897&lt;&gt;"Resolved"),1,0)</f>
        <v/>
      </c>
      <c r="P897" s="79">
        <f>IF(F897="","",IF(O897=0,0,IF(H897="High",2,1)))</f>
        <v/>
      </c>
      <c r="Q897" s="112">
        <f>IF(O897=1,IF(K897&lt;&gt;"",K897,IF(H897="High",AsOf,"")),"")</f>
        <v/>
      </c>
      <c r="R897" s="79">
        <f>IF(Q897="","",IF(H897="High",1,IF(Q897="","",IF(Q897&lt;AsOf,1,IF(Q897&lt;=AsOf+AlertDays,2,IF(Q897&lt;=AsOf+2*AlertDays,3,""))))))</f>
        <v/>
      </c>
      <c r="S897" s="79">
        <f>IF(R897="","",IF(H897="High","High-severity issue: ",IF(C897="Punch item","Punch item: ","Issue action due: "))&amp;F897&amp;IF(J897="",""," → "&amp;J897))</f>
        <v/>
      </c>
      <c r="T897" s="79">
        <f>IF(O897=1,IF(I897="",0,I897),0)</f>
        <v/>
      </c>
      <c r="U897" s="79">
        <f>IF(AND(O897=1,H897="High"),1,0)</f>
        <v/>
      </c>
      <c r="V897" s="79">
        <f>IF(AND(O897=1,C897="Punch item"),1,0)</f>
        <v/>
      </c>
    </row>
    <row r="898" ht="24" customHeight="1">
      <c r="B898" s="125" t="n">
        <v>891</v>
      </c>
      <c r="C898" s="72" t="n"/>
      <c r="D898" s="109" t="n"/>
      <c r="E898" s="72" t="n"/>
      <c r="F898" s="113" t="n"/>
      <c r="G898" s="72" t="n"/>
      <c r="H898" s="74" t="n"/>
      <c r="I898" s="73" t="n"/>
      <c r="J898" s="113" t="n"/>
      <c r="K898" s="109" t="n"/>
      <c r="L898" s="72" t="n"/>
      <c r="M898" s="109" t="n"/>
      <c r="N898" s="72" t="n"/>
      <c r="O898" s="79">
        <f>IF(AND(F898&lt;&gt;"",L898&lt;&gt;"Resolved"),1,0)</f>
        <v/>
      </c>
      <c r="P898" s="79">
        <f>IF(F898="","",IF(O898=0,0,IF(H898="High",2,1)))</f>
        <v/>
      </c>
      <c r="Q898" s="112">
        <f>IF(O898=1,IF(K898&lt;&gt;"",K898,IF(H898="High",AsOf,"")),"")</f>
        <v/>
      </c>
      <c r="R898" s="79">
        <f>IF(Q898="","",IF(H898="High",1,IF(Q898="","",IF(Q898&lt;AsOf,1,IF(Q898&lt;=AsOf+AlertDays,2,IF(Q898&lt;=AsOf+2*AlertDays,3,""))))))</f>
        <v/>
      </c>
      <c r="S898" s="79">
        <f>IF(R898="","",IF(H898="High","High-severity issue: ",IF(C898="Punch item","Punch item: ","Issue action due: "))&amp;F898&amp;IF(J898="",""," → "&amp;J898))</f>
        <v/>
      </c>
      <c r="T898" s="79">
        <f>IF(O898=1,IF(I898="",0,I898),0)</f>
        <v/>
      </c>
      <c r="U898" s="79">
        <f>IF(AND(O898=1,H898="High"),1,0)</f>
        <v/>
      </c>
      <c r="V898" s="79">
        <f>IF(AND(O898=1,C898="Punch item"),1,0)</f>
        <v/>
      </c>
    </row>
    <row r="899" ht="24" customHeight="1">
      <c r="B899" s="125" t="n">
        <v>892</v>
      </c>
      <c r="C899" s="72" t="n"/>
      <c r="D899" s="109" t="n"/>
      <c r="E899" s="72" t="n"/>
      <c r="F899" s="113" t="n"/>
      <c r="G899" s="72" t="n"/>
      <c r="H899" s="74" t="n"/>
      <c r="I899" s="73" t="n"/>
      <c r="J899" s="113" t="n"/>
      <c r="K899" s="109" t="n"/>
      <c r="L899" s="72" t="n"/>
      <c r="M899" s="109" t="n"/>
      <c r="N899" s="72" t="n"/>
      <c r="O899" s="79">
        <f>IF(AND(F899&lt;&gt;"",L899&lt;&gt;"Resolved"),1,0)</f>
        <v/>
      </c>
      <c r="P899" s="79">
        <f>IF(F899="","",IF(O899=0,0,IF(H899="High",2,1)))</f>
        <v/>
      </c>
      <c r="Q899" s="112">
        <f>IF(O899=1,IF(K899&lt;&gt;"",K899,IF(H899="High",AsOf,"")),"")</f>
        <v/>
      </c>
      <c r="R899" s="79">
        <f>IF(Q899="","",IF(H899="High",1,IF(Q899="","",IF(Q899&lt;AsOf,1,IF(Q899&lt;=AsOf+AlertDays,2,IF(Q899&lt;=AsOf+2*AlertDays,3,""))))))</f>
        <v/>
      </c>
      <c r="S899" s="79">
        <f>IF(R899="","",IF(H899="High","High-severity issue: ",IF(C899="Punch item","Punch item: ","Issue action due: "))&amp;F899&amp;IF(J899="",""," → "&amp;J899))</f>
        <v/>
      </c>
      <c r="T899" s="79">
        <f>IF(O899=1,IF(I899="",0,I899),0)</f>
        <v/>
      </c>
      <c r="U899" s="79">
        <f>IF(AND(O899=1,H899="High"),1,0)</f>
        <v/>
      </c>
      <c r="V899" s="79">
        <f>IF(AND(O899=1,C899="Punch item"),1,0)</f>
        <v/>
      </c>
    </row>
    <row r="900" ht="24" customHeight="1">
      <c r="B900" s="125" t="n">
        <v>893</v>
      </c>
      <c r="C900" s="72" t="n"/>
      <c r="D900" s="109" t="n"/>
      <c r="E900" s="72" t="n"/>
      <c r="F900" s="113" t="n"/>
      <c r="G900" s="72" t="n"/>
      <c r="H900" s="74" t="n"/>
      <c r="I900" s="73" t="n"/>
      <c r="J900" s="113" t="n"/>
      <c r="K900" s="109" t="n"/>
      <c r="L900" s="72" t="n"/>
      <c r="M900" s="109" t="n"/>
      <c r="N900" s="72" t="n"/>
      <c r="O900" s="79">
        <f>IF(AND(F900&lt;&gt;"",L900&lt;&gt;"Resolved"),1,0)</f>
        <v/>
      </c>
      <c r="P900" s="79">
        <f>IF(F900="","",IF(O900=0,0,IF(H900="High",2,1)))</f>
        <v/>
      </c>
      <c r="Q900" s="112">
        <f>IF(O900=1,IF(K900&lt;&gt;"",K900,IF(H900="High",AsOf,"")),"")</f>
        <v/>
      </c>
      <c r="R900" s="79">
        <f>IF(Q900="","",IF(H900="High",1,IF(Q900="","",IF(Q900&lt;AsOf,1,IF(Q900&lt;=AsOf+AlertDays,2,IF(Q900&lt;=AsOf+2*AlertDays,3,""))))))</f>
        <v/>
      </c>
      <c r="S900" s="79">
        <f>IF(R900="","",IF(H900="High","High-severity issue: ",IF(C900="Punch item","Punch item: ","Issue action due: "))&amp;F900&amp;IF(J900="",""," → "&amp;J900))</f>
        <v/>
      </c>
      <c r="T900" s="79">
        <f>IF(O900=1,IF(I900="",0,I900),0)</f>
        <v/>
      </c>
      <c r="U900" s="79">
        <f>IF(AND(O900=1,H900="High"),1,0)</f>
        <v/>
      </c>
      <c r="V900" s="79">
        <f>IF(AND(O900=1,C900="Punch item"),1,0)</f>
        <v/>
      </c>
    </row>
    <row r="901" ht="24" customHeight="1">
      <c r="B901" s="125" t="n">
        <v>894</v>
      </c>
      <c r="C901" s="72" t="n"/>
      <c r="D901" s="109" t="n"/>
      <c r="E901" s="72" t="n"/>
      <c r="F901" s="113" t="n"/>
      <c r="G901" s="72" t="n"/>
      <c r="H901" s="74" t="n"/>
      <c r="I901" s="73" t="n"/>
      <c r="J901" s="113" t="n"/>
      <c r="K901" s="109" t="n"/>
      <c r="L901" s="72" t="n"/>
      <c r="M901" s="109" t="n"/>
      <c r="N901" s="72" t="n"/>
      <c r="O901" s="79">
        <f>IF(AND(F901&lt;&gt;"",L901&lt;&gt;"Resolved"),1,0)</f>
        <v/>
      </c>
      <c r="P901" s="79">
        <f>IF(F901="","",IF(O901=0,0,IF(H901="High",2,1)))</f>
        <v/>
      </c>
      <c r="Q901" s="112">
        <f>IF(O901=1,IF(K901&lt;&gt;"",K901,IF(H901="High",AsOf,"")),"")</f>
        <v/>
      </c>
      <c r="R901" s="79">
        <f>IF(Q901="","",IF(H901="High",1,IF(Q901="","",IF(Q901&lt;AsOf,1,IF(Q901&lt;=AsOf+AlertDays,2,IF(Q901&lt;=AsOf+2*AlertDays,3,""))))))</f>
        <v/>
      </c>
      <c r="S901" s="79">
        <f>IF(R901="","",IF(H901="High","High-severity issue: ",IF(C901="Punch item","Punch item: ","Issue action due: "))&amp;F901&amp;IF(J901="",""," → "&amp;J901))</f>
        <v/>
      </c>
      <c r="T901" s="79">
        <f>IF(O901=1,IF(I901="",0,I901),0)</f>
        <v/>
      </c>
      <c r="U901" s="79">
        <f>IF(AND(O901=1,H901="High"),1,0)</f>
        <v/>
      </c>
      <c r="V901" s="79">
        <f>IF(AND(O901=1,C901="Punch item"),1,0)</f>
        <v/>
      </c>
    </row>
    <row r="902" ht="24" customHeight="1">
      <c r="B902" s="125" t="n">
        <v>895</v>
      </c>
      <c r="C902" s="72" t="n"/>
      <c r="D902" s="109" t="n"/>
      <c r="E902" s="72" t="n"/>
      <c r="F902" s="113" t="n"/>
      <c r="G902" s="72" t="n"/>
      <c r="H902" s="74" t="n"/>
      <c r="I902" s="73" t="n"/>
      <c r="J902" s="113" t="n"/>
      <c r="K902" s="109" t="n"/>
      <c r="L902" s="72" t="n"/>
      <c r="M902" s="109" t="n"/>
      <c r="N902" s="72" t="n"/>
      <c r="O902" s="79">
        <f>IF(AND(F902&lt;&gt;"",L902&lt;&gt;"Resolved"),1,0)</f>
        <v/>
      </c>
      <c r="P902" s="79">
        <f>IF(F902="","",IF(O902=0,0,IF(H902="High",2,1)))</f>
        <v/>
      </c>
      <c r="Q902" s="112">
        <f>IF(O902=1,IF(K902&lt;&gt;"",K902,IF(H902="High",AsOf,"")),"")</f>
        <v/>
      </c>
      <c r="R902" s="79">
        <f>IF(Q902="","",IF(H902="High",1,IF(Q902="","",IF(Q902&lt;AsOf,1,IF(Q902&lt;=AsOf+AlertDays,2,IF(Q902&lt;=AsOf+2*AlertDays,3,""))))))</f>
        <v/>
      </c>
      <c r="S902" s="79">
        <f>IF(R902="","",IF(H902="High","High-severity issue: ",IF(C902="Punch item","Punch item: ","Issue action due: "))&amp;F902&amp;IF(J902="",""," → "&amp;J902))</f>
        <v/>
      </c>
      <c r="T902" s="79">
        <f>IF(O902=1,IF(I902="",0,I902),0)</f>
        <v/>
      </c>
      <c r="U902" s="79">
        <f>IF(AND(O902=1,H902="High"),1,0)</f>
        <v/>
      </c>
      <c r="V902" s="79">
        <f>IF(AND(O902=1,C902="Punch item"),1,0)</f>
        <v/>
      </c>
    </row>
    <row r="903" ht="24" customHeight="1">
      <c r="B903" s="125" t="n">
        <v>896</v>
      </c>
      <c r="C903" s="72" t="n"/>
      <c r="D903" s="109" t="n"/>
      <c r="E903" s="72" t="n"/>
      <c r="F903" s="113" t="n"/>
      <c r="G903" s="72" t="n"/>
      <c r="H903" s="74" t="n"/>
      <c r="I903" s="73" t="n"/>
      <c r="J903" s="113" t="n"/>
      <c r="K903" s="109" t="n"/>
      <c r="L903" s="72" t="n"/>
      <c r="M903" s="109" t="n"/>
      <c r="N903" s="72" t="n"/>
      <c r="O903" s="79">
        <f>IF(AND(F903&lt;&gt;"",L903&lt;&gt;"Resolved"),1,0)</f>
        <v/>
      </c>
      <c r="P903" s="79">
        <f>IF(F903="","",IF(O903=0,0,IF(H903="High",2,1)))</f>
        <v/>
      </c>
      <c r="Q903" s="112">
        <f>IF(O903=1,IF(K903&lt;&gt;"",K903,IF(H903="High",AsOf,"")),"")</f>
        <v/>
      </c>
      <c r="R903" s="79">
        <f>IF(Q903="","",IF(H903="High",1,IF(Q903="","",IF(Q903&lt;AsOf,1,IF(Q903&lt;=AsOf+AlertDays,2,IF(Q903&lt;=AsOf+2*AlertDays,3,""))))))</f>
        <v/>
      </c>
      <c r="S903" s="79">
        <f>IF(R903="","",IF(H903="High","High-severity issue: ",IF(C903="Punch item","Punch item: ","Issue action due: "))&amp;F903&amp;IF(J903="",""," → "&amp;J903))</f>
        <v/>
      </c>
      <c r="T903" s="79">
        <f>IF(O903=1,IF(I903="",0,I903),0)</f>
        <v/>
      </c>
      <c r="U903" s="79">
        <f>IF(AND(O903=1,H903="High"),1,0)</f>
        <v/>
      </c>
      <c r="V903" s="79">
        <f>IF(AND(O903=1,C903="Punch item"),1,0)</f>
        <v/>
      </c>
    </row>
    <row r="904" ht="24" customHeight="1">
      <c r="B904" s="125" t="n">
        <v>897</v>
      </c>
      <c r="C904" s="72" t="n"/>
      <c r="D904" s="109" t="n"/>
      <c r="E904" s="72" t="n"/>
      <c r="F904" s="113" t="n"/>
      <c r="G904" s="72" t="n"/>
      <c r="H904" s="74" t="n"/>
      <c r="I904" s="73" t="n"/>
      <c r="J904" s="113" t="n"/>
      <c r="K904" s="109" t="n"/>
      <c r="L904" s="72" t="n"/>
      <c r="M904" s="109" t="n"/>
      <c r="N904" s="72" t="n"/>
      <c r="O904" s="79">
        <f>IF(AND(F904&lt;&gt;"",L904&lt;&gt;"Resolved"),1,0)</f>
        <v/>
      </c>
      <c r="P904" s="79">
        <f>IF(F904="","",IF(O904=0,0,IF(H904="High",2,1)))</f>
        <v/>
      </c>
      <c r="Q904" s="112">
        <f>IF(O904=1,IF(K904&lt;&gt;"",K904,IF(H904="High",AsOf,"")),"")</f>
        <v/>
      </c>
      <c r="R904" s="79">
        <f>IF(Q904="","",IF(H904="High",1,IF(Q904="","",IF(Q904&lt;AsOf,1,IF(Q904&lt;=AsOf+AlertDays,2,IF(Q904&lt;=AsOf+2*AlertDays,3,""))))))</f>
        <v/>
      </c>
      <c r="S904" s="79">
        <f>IF(R904="","",IF(H904="High","High-severity issue: ",IF(C904="Punch item","Punch item: ","Issue action due: "))&amp;F904&amp;IF(J904="",""," → "&amp;J904))</f>
        <v/>
      </c>
      <c r="T904" s="79">
        <f>IF(O904=1,IF(I904="",0,I904),0)</f>
        <v/>
      </c>
      <c r="U904" s="79">
        <f>IF(AND(O904=1,H904="High"),1,0)</f>
        <v/>
      </c>
      <c r="V904" s="79">
        <f>IF(AND(O904=1,C904="Punch item"),1,0)</f>
        <v/>
      </c>
    </row>
    <row r="905" ht="24" customHeight="1">
      <c r="B905" s="125" t="n">
        <v>898</v>
      </c>
      <c r="C905" s="72" t="n"/>
      <c r="D905" s="109" t="n"/>
      <c r="E905" s="72" t="n"/>
      <c r="F905" s="113" t="n"/>
      <c r="G905" s="72" t="n"/>
      <c r="H905" s="74" t="n"/>
      <c r="I905" s="73" t="n"/>
      <c r="J905" s="113" t="n"/>
      <c r="K905" s="109" t="n"/>
      <c r="L905" s="72" t="n"/>
      <c r="M905" s="109" t="n"/>
      <c r="N905" s="72" t="n"/>
      <c r="O905" s="79">
        <f>IF(AND(F905&lt;&gt;"",L905&lt;&gt;"Resolved"),1,0)</f>
        <v/>
      </c>
      <c r="P905" s="79">
        <f>IF(F905="","",IF(O905=0,0,IF(H905="High",2,1)))</f>
        <v/>
      </c>
      <c r="Q905" s="112">
        <f>IF(O905=1,IF(K905&lt;&gt;"",K905,IF(H905="High",AsOf,"")),"")</f>
        <v/>
      </c>
      <c r="R905" s="79">
        <f>IF(Q905="","",IF(H905="High",1,IF(Q905="","",IF(Q905&lt;AsOf,1,IF(Q905&lt;=AsOf+AlertDays,2,IF(Q905&lt;=AsOf+2*AlertDays,3,""))))))</f>
        <v/>
      </c>
      <c r="S905" s="79">
        <f>IF(R905="","",IF(H905="High","High-severity issue: ",IF(C905="Punch item","Punch item: ","Issue action due: "))&amp;F905&amp;IF(J905="",""," → "&amp;J905))</f>
        <v/>
      </c>
      <c r="T905" s="79">
        <f>IF(O905=1,IF(I905="",0,I905),0)</f>
        <v/>
      </c>
      <c r="U905" s="79">
        <f>IF(AND(O905=1,H905="High"),1,0)</f>
        <v/>
      </c>
      <c r="V905" s="79">
        <f>IF(AND(O905=1,C905="Punch item"),1,0)</f>
        <v/>
      </c>
    </row>
    <row r="906" ht="24" customHeight="1">
      <c r="B906" s="125" t="n">
        <v>899</v>
      </c>
      <c r="C906" s="72" t="n"/>
      <c r="D906" s="109" t="n"/>
      <c r="E906" s="72" t="n"/>
      <c r="F906" s="113" t="n"/>
      <c r="G906" s="72" t="n"/>
      <c r="H906" s="74" t="n"/>
      <c r="I906" s="73" t="n"/>
      <c r="J906" s="113" t="n"/>
      <c r="K906" s="109" t="n"/>
      <c r="L906" s="72" t="n"/>
      <c r="M906" s="109" t="n"/>
      <c r="N906" s="72" t="n"/>
      <c r="O906" s="79">
        <f>IF(AND(F906&lt;&gt;"",L906&lt;&gt;"Resolved"),1,0)</f>
        <v/>
      </c>
      <c r="P906" s="79">
        <f>IF(F906="","",IF(O906=0,0,IF(H906="High",2,1)))</f>
        <v/>
      </c>
      <c r="Q906" s="112">
        <f>IF(O906=1,IF(K906&lt;&gt;"",K906,IF(H906="High",AsOf,"")),"")</f>
        <v/>
      </c>
      <c r="R906" s="79">
        <f>IF(Q906="","",IF(H906="High",1,IF(Q906="","",IF(Q906&lt;AsOf,1,IF(Q906&lt;=AsOf+AlertDays,2,IF(Q906&lt;=AsOf+2*AlertDays,3,""))))))</f>
        <v/>
      </c>
      <c r="S906" s="79">
        <f>IF(R906="","",IF(H906="High","High-severity issue: ",IF(C906="Punch item","Punch item: ","Issue action due: "))&amp;F906&amp;IF(J906="",""," → "&amp;J906))</f>
        <v/>
      </c>
      <c r="T906" s="79">
        <f>IF(O906=1,IF(I906="",0,I906),0)</f>
        <v/>
      </c>
      <c r="U906" s="79">
        <f>IF(AND(O906=1,H906="High"),1,0)</f>
        <v/>
      </c>
      <c r="V906" s="79">
        <f>IF(AND(O906=1,C906="Punch item"),1,0)</f>
        <v/>
      </c>
    </row>
    <row r="907" ht="24" customHeight="1">
      <c r="B907" s="125" t="n">
        <v>900</v>
      </c>
      <c r="C907" s="72" t="n"/>
      <c r="D907" s="109" t="n"/>
      <c r="E907" s="72" t="n"/>
      <c r="F907" s="113" t="n"/>
      <c r="G907" s="72" t="n"/>
      <c r="H907" s="74" t="n"/>
      <c r="I907" s="73" t="n"/>
      <c r="J907" s="113" t="n"/>
      <c r="K907" s="109" t="n"/>
      <c r="L907" s="72" t="n"/>
      <c r="M907" s="109" t="n"/>
      <c r="N907" s="72" t="n"/>
      <c r="O907" s="79">
        <f>IF(AND(F907&lt;&gt;"",L907&lt;&gt;"Resolved"),1,0)</f>
        <v/>
      </c>
      <c r="P907" s="79">
        <f>IF(F907="","",IF(O907=0,0,IF(H907="High",2,1)))</f>
        <v/>
      </c>
      <c r="Q907" s="112">
        <f>IF(O907=1,IF(K907&lt;&gt;"",K907,IF(H907="High",AsOf,"")),"")</f>
        <v/>
      </c>
      <c r="R907" s="79">
        <f>IF(Q907="","",IF(H907="High",1,IF(Q907="","",IF(Q907&lt;AsOf,1,IF(Q907&lt;=AsOf+AlertDays,2,IF(Q907&lt;=AsOf+2*AlertDays,3,""))))))</f>
        <v/>
      </c>
      <c r="S907" s="79">
        <f>IF(R907="","",IF(H907="High","High-severity issue: ",IF(C907="Punch item","Punch item: ","Issue action due: "))&amp;F907&amp;IF(J907="",""," → "&amp;J907))</f>
        <v/>
      </c>
      <c r="T907" s="79">
        <f>IF(O907=1,IF(I907="",0,I907),0)</f>
        <v/>
      </c>
      <c r="U907" s="79">
        <f>IF(AND(O907=1,H907="High"),1,0)</f>
        <v/>
      </c>
      <c r="V907" s="79">
        <f>IF(AND(O907=1,C907="Punch item"),1,0)</f>
        <v/>
      </c>
    </row>
    <row r="908" ht="24" customHeight="1">
      <c r="B908" s="125" t="n">
        <v>901</v>
      </c>
      <c r="C908" s="72" t="n"/>
      <c r="D908" s="109" t="n"/>
      <c r="E908" s="72" t="n"/>
      <c r="F908" s="113" t="n"/>
      <c r="G908" s="72" t="n"/>
      <c r="H908" s="74" t="n"/>
      <c r="I908" s="73" t="n"/>
      <c r="J908" s="113" t="n"/>
      <c r="K908" s="109" t="n"/>
      <c r="L908" s="72" t="n"/>
      <c r="M908" s="109" t="n"/>
      <c r="N908" s="72" t="n"/>
      <c r="O908" s="79">
        <f>IF(AND(F908&lt;&gt;"",L908&lt;&gt;"Resolved"),1,0)</f>
        <v/>
      </c>
      <c r="P908" s="79">
        <f>IF(F908="","",IF(O908=0,0,IF(H908="High",2,1)))</f>
        <v/>
      </c>
      <c r="Q908" s="112">
        <f>IF(O908=1,IF(K908&lt;&gt;"",K908,IF(H908="High",AsOf,"")),"")</f>
        <v/>
      </c>
      <c r="R908" s="79">
        <f>IF(Q908="","",IF(H908="High",1,IF(Q908="","",IF(Q908&lt;AsOf,1,IF(Q908&lt;=AsOf+AlertDays,2,IF(Q908&lt;=AsOf+2*AlertDays,3,""))))))</f>
        <v/>
      </c>
      <c r="S908" s="79">
        <f>IF(R908="","",IF(H908="High","High-severity issue: ",IF(C908="Punch item","Punch item: ","Issue action due: "))&amp;F908&amp;IF(J908="",""," → "&amp;J908))</f>
        <v/>
      </c>
      <c r="T908" s="79">
        <f>IF(O908=1,IF(I908="",0,I908),0)</f>
        <v/>
      </c>
      <c r="U908" s="79">
        <f>IF(AND(O908=1,H908="High"),1,0)</f>
        <v/>
      </c>
      <c r="V908" s="79">
        <f>IF(AND(O908=1,C908="Punch item"),1,0)</f>
        <v/>
      </c>
    </row>
    <row r="909" ht="24" customHeight="1">
      <c r="B909" s="125" t="n">
        <v>902</v>
      </c>
      <c r="C909" s="72" t="n"/>
      <c r="D909" s="109" t="n"/>
      <c r="E909" s="72" t="n"/>
      <c r="F909" s="113" t="n"/>
      <c r="G909" s="72" t="n"/>
      <c r="H909" s="74" t="n"/>
      <c r="I909" s="73" t="n"/>
      <c r="J909" s="113" t="n"/>
      <c r="K909" s="109" t="n"/>
      <c r="L909" s="72" t="n"/>
      <c r="M909" s="109" t="n"/>
      <c r="N909" s="72" t="n"/>
      <c r="O909" s="79">
        <f>IF(AND(F909&lt;&gt;"",L909&lt;&gt;"Resolved"),1,0)</f>
        <v/>
      </c>
      <c r="P909" s="79">
        <f>IF(F909="","",IF(O909=0,0,IF(H909="High",2,1)))</f>
        <v/>
      </c>
      <c r="Q909" s="112">
        <f>IF(O909=1,IF(K909&lt;&gt;"",K909,IF(H909="High",AsOf,"")),"")</f>
        <v/>
      </c>
      <c r="R909" s="79">
        <f>IF(Q909="","",IF(H909="High",1,IF(Q909="","",IF(Q909&lt;AsOf,1,IF(Q909&lt;=AsOf+AlertDays,2,IF(Q909&lt;=AsOf+2*AlertDays,3,""))))))</f>
        <v/>
      </c>
      <c r="S909" s="79">
        <f>IF(R909="","",IF(H909="High","High-severity issue: ",IF(C909="Punch item","Punch item: ","Issue action due: "))&amp;F909&amp;IF(J909="",""," → "&amp;J909))</f>
        <v/>
      </c>
      <c r="T909" s="79">
        <f>IF(O909=1,IF(I909="",0,I909),0)</f>
        <v/>
      </c>
      <c r="U909" s="79">
        <f>IF(AND(O909=1,H909="High"),1,0)</f>
        <v/>
      </c>
      <c r="V909" s="79">
        <f>IF(AND(O909=1,C909="Punch item"),1,0)</f>
        <v/>
      </c>
    </row>
    <row r="910" ht="24" customHeight="1">
      <c r="B910" s="125" t="n">
        <v>903</v>
      </c>
      <c r="C910" s="72" t="n"/>
      <c r="D910" s="109" t="n"/>
      <c r="E910" s="72" t="n"/>
      <c r="F910" s="113" t="n"/>
      <c r="G910" s="72" t="n"/>
      <c r="H910" s="74" t="n"/>
      <c r="I910" s="73" t="n"/>
      <c r="J910" s="113" t="n"/>
      <c r="K910" s="109" t="n"/>
      <c r="L910" s="72" t="n"/>
      <c r="M910" s="109" t="n"/>
      <c r="N910" s="72" t="n"/>
      <c r="O910" s="79">
        <f>IF(AND(F910&lt;&gt;"",L910&lt;&gt;"Resolved"),1,0)</f>
        <v/>
      </c>
      <c r="P910" s="79">
        <f>IF(F910="","",IF(O910=0,0,IF(H910="High",2,1)))</f>
        <v/>
      </c>
      <c r="Q910" s="112">
        <f>IF(O910=1,IF(K910&lt;&gt;"",K910,IF(H910="High",AsOf,"")),"")</f>
        <v/>
      </c>
      <c r="R910" s="79">
        <f>IF(Q910="","",IF(H910="High",1,IF(Q910="","",IF(Q910&lt;AsOf,1,IF(Q910&lt;=AsOf+AlertDays,2,IF(Q910&lt;=AsOf+2*AlertDays,3,""))))))</f>
        <v/>
      </c>
      <c r="S910" s="79">
        <f>IF(R910="","",IF(H910="High","High-severity issue: ",IF(C910="Punch item","Punch item: ","Issue action due: "))&amp;F910&amp;IF(J910="",""," → "&amp;J910))</f>
        <v/>
      </c>
      <c r="T910" s="79">
        <f>IF(O910=1,IF(I910="",0,I910),0)</f>
        <v/>
      </c>
      <c r="U910" s="79">
        <f>IF(AND(O910=1,H910="High"),1,0)</f>
        <v/>
      </c>
      <c r="V910" s="79">
        <f>IF(AND(O910=1,C910="Punch item"),1,0)</f>
        <v/>
      </c>
    </row>
    <row r="911" ht="24" customHeight="1">
      <c r="B911" s="125" t="n">
        <v>904</v>
      </c>
      <c r="C911" s="72" t="n"/>
      <c r="D911" s="109" t="n"/>
      <c r="E911" s="72" t="n"/>
      <c r="F911" s="113" t="n"/>
      <c r="G911" s="72" t="n"/>
      <c r="H911" s="74" t="n"/>
      <c r="I911" s="73" t="n"/>
      <c r="J911" s="113" t="n"/>
      <c r="K911" s="109" t="n"/>
      <c r="L911" s="72" t="n"/>
      <c r="M911" s="109" t="n"/>
      <c r="N911" s="72" t="n"/>
      <c r="O911" s="79">
        <f>IF(AND(F911&lt;&gt;"",L911&lt;&gt;"Resolved"),1,0)</f>
        <v/>
      </c>
      <c r="P911" s="79">
        <f>IF(F911="","",IF(O911=0,0,IF(H911="High",2,1)))</f>
        <v/>
      </c>
      <c r="Q911" s="112">
        <f>IF(O911=1,IF(K911&lt;&gt;"",K911,IF(H911="High",AsOf,"")),"")</f>
        <v/>
      </c>
      <c r="R911" s="79">
        <f>IF(Q911="","",IF(H911="High",1,IF(Q911="","",IF(Q911&lt;AsOf,1,IF(Q911&lt;=AsOf+AlertDays,2,IF(Q911&lt;=AsOf+2*AlertDays,3,""))))))</f>
        <v/>
      </c>
      <c r="S911" s="79">
        <f>IF(R911="","",IF(H911="High","High-severity issue: ",IF(C911="Punch item","Punch item: ","Issue action due: "))&amp;F911&amp;IF(J911="",""," → "&amp;J911))</f>
        <v/>
      </c>
      <c r="T911" s="79">
        <f>IF(O911=1,IF(I911="",0,I911),0)</f>
        <v/>
      </c>
      <c r="U911" s="79">
        <f>IF(AND(O911=1,H911="High"),1,0)</f>
        <v/>
      </c>
      <c r="V911" s="79">
        <f>IF(AND(O911=1,C911="Punch item"),1,0)</f>
        <v/>
      </c>
    </row>
    <row r="912" ht="24" customHeight="1">
      <c r="B912" s="125" t="n">
        <v>905</v>
      </c>
      <c r="C912" s="72" t="n"/>
      <c r="D912" s="109" t="n"/>
      <c r="E912" s="72" t="n"/>
      <c r="F912" s="113" t="n"/>
      <c r="G912" s="72" t="n"/>
      <c r="H912" s="74" t="n"/>
      <c r="I912" s="73" t="n"/>
      <c r="J912" s="113" t="n"/>
      <c r="K912" s="109" t="n"/>
      <c r="L912" s="72" t="n"/>
      <c r="M912" s="109" t="n"/>
      <c r="N912" s="72" t="n"/>
      <c r="O912" s="79">
        <f>IF(AND(F912&lt;&gt;"",L912&lt;&gt;"Resolved"),1,0)</f>
        <v/>
      </c>
      <c r="P912" s="79">
        <f>IF(F912="","",IF(O912=0,0,IF(H912="High",2,1)))</f>
        <v/>
      </c>
      <c r="Q912" s="112">
        <f>IF(O912=1,IF(K912&lt;&gt;"",K912,IF(H912="High",AsOf,"")),"")</f>
        <v/>
      </c>
      <c r="R912" s="79">
        <f>IF(Q912="","",IF(H912="High",1,IF(Q912="","",IF(Q912&lt;AsOf,1,IF(Q912&lt;=AsOf+AlertDays,2,IF(Q912&lt;=AsOf+2*AlertDays,3,""))))))</f>
        <v/>
      </c>
      <c r="S912" s="79">
        <f>IF(R912="","",IF(H912="High","High-severity issue: ",IF(C912="Punch item","Punch item: ","Issue action due: "))&amp;F912&amp;IF(J912="",""," → "&amp;J912))</f>
        <v/>
      </c>
      <c r="T912" s="79">
        <f>IF(O912=1,IF(I912="",0,I912),0)</f>
        <v/>
      </c>
      <c r="U912" s="79">
        <f>IF(AND(O912=1,H912="High"),1,0)</f>
        <v/>
      </c>
      <c r="V912" s="79">
        <f>IF(AND(O912=1,C912="Punch item"),1,0)</f>
        <v/>
      </c>
    </row>
    <row r="913" ht="24" customHeight="1">
      <c r="B913" s="125" t="n">
        <v>906</v>
      </c>
      <c r="C913" s="72" t="n"/>
      <c r="D913" s="109" t="n"/>
      <c r="E913" s="72" t="n"/>
      <c r="F913" s="113" t="n"/>
      <c r="G913" s="72" t="n"/>
      <c r="H913" s="74" t="n"/>
      <c r="I913" s="73" t="n"/>
      <c r="J913" s="113" t="n"/>
      <c r="K913" s="109" t="n"/>
      <c r="L913" s="72" t="n"/>
      <c r="M913" s="109" t="n"/>
      <c r="N913" s="72" t="n"/>
      <c r="O913" s="79">
        <f>IF(AND(F913&lt;&gt;"",L913&lt;&gt;"Resolved"),1,0)</f>
        <v/>
      </c>
      <c r="P913" s="79">
        <f>IF(F913="","",IF(O913=0,0,IF(H913="High",2,1)))</f>
        <v/>
      </c>
      <c r="Q913" s="112">
        <f>IF(O913=1,IF(K913&lt;&gt;"",K913,IF(H913="High",AsOf,"")),"")</f>
        <v/>
      </c>
      <c r="R913" s="79">
        <f>IF(Q913="","",IF(H913="High",1,IF(Q913="","",IF(Q913&lt;AsOf,1,IF(Q913&lt;=AsOf+AlertDays,2,IF(Q913&lt;=AsOf+2*AlertDays,3,""))))))</f>
        <v/>
      </c>
      <c r="S913" s="79">
        <f>IF(R913="","",IF(H913="High","High-severity issue: ",IF(C913="Punch item","Punch item: ","Issue action due: "))&amp;F913&amp;IF(J913="",""," → "&amp;J913))</f>
        <v/>
      </c>
      <c r="T913" s="79">
        <f>IF(O913=1,IF(I913="",0,I913),0)</f>
        <v/>
      </c>
      <c r="U913" s="79">
        <f>IF(AND(O913=1,H913="High"),1,0)</f>
        <v/>
      </c>
      <c r="V913" s="79">
        <f>IF(AND(O913=1,C913="Punch item"),1,0)</f>
        <v/>
      </c>
    </row>
    <row r="914" ht="24" customHeight="1">
      <c r="B914" s="125" t="n">
        <v>907</v>
      </c>
      <c r="C914" s="72" t="n"/>
      <c r="D914" s="109" t="n"/>
      <c r="E914" s="72" t="n"/>
      <c r="F914" s="113" t="n"/>
      <c r="G914" s="72" t="n"/>
      <c r="H914" s="74" t="n"/>
      <c r="I914" s="73" t="n"/>
      <c r="J914" s="113" t="n"/>
      <c r="K914" s="109" t="n"/>
      <c r="L914" s="72" t="n"/>
      <c r="M914" s="109" t="n"/>
      <c r="N914" s="72" t="n"/>
      <c r="O914" s="79">
        <f>IF(AND(F914&lt;&gt;"",L914&lt;&gt;"Resolved"),1,0)</f>
        <v/>
      </c>
      <c r="P914" s="79">
        <f>IF(F914="","",IF(O914=0,0,IF(H914="High",2,1)))</f>
        <v/>
      </c>
      <c r="Q914" s="112">
        <f>IF(O914=1,IF(K914&lt;&gt;"",K914,IF(H914="High",AsOf,"")),"")</f>
        <v/>
      </c>
      <c r="R914" s="79">
        <f>IF(Q914="","",IF(H914="High",1,IF(Q914="","",IF(Q914&lt;AsOf,1,IF(Q914&lt;=AsOf+AlertDays,2,IF(Q914&lt;=AsOf+2*AlertDays,3,""))))))</f>
        <v/>
      </c>
      <c r="S914" s="79">
        <f>IF(R914="","",IF(H914="High","High-severity issue: ",IF(C914="Punch item","Punch item: ","Issue action due: "))&amp;F914&amp;IF(J914="",""," → "&amp;J914))</f>
        <v/>
      </c>
      <c r="T914" s="79">
        <f>IF(O914=1,IF(I914="",0,I914),0)</f>
        <v/>
      </c>
      <c r="U914" s="79">
        <f>IF(AND(O914=1,H914="High"),1,0)</f>
        <v/>
      </c>
      <c r="V914" s="79">
        <f>IF(AND(O914=1,C914="Punch item"),1,0)</f>
        <v/>
      </c>
    </row>
    <row r="915" ht="24" customHeight="1">
      <c r="B915" s="125" t="n">
        <v>908</v>
      </c>
      <c r="C915" s="72" t="n"/>
      <c r="D915" s="109" t="n"/>
      <c r="E915" s="72" t="n"/>
      <c r="F915" s="113" t="n"/>
      <c r="G915" s="72" t="n"/>
      <c r="H915" s="74" t="n"/>
      <c r="I915" s="73" t="n"/>
      <c r="J915" s="113" t="n"/>
      <c r="K915" s="109" t="n"/>
      <c r="L915" s="72" t="n"/>
      <c r="M915" s="109" t="n"/>
      <c r="N915" s="72" t="n"/>
      <c r="O915" s="79">
        <f>IF(AND(F915&lt;&gt;"",L915&lt;&gt;"Resolved"),1,0)</f>
        <v/>
      </c>
      <c r="P915" s="79">
        <f>IF(F915="","",IF(O915=0,0,IF(H915="High",2,1)))</f>
        <v/>
      </c>
      <c r="Q915" s="112">
        <f>IF(O915=1,IF(K915&lt;&gt;"",K915,IF(H915="High",AsOf,"")),"")</f>
        <v/>
      </c>
      <c r="R915" s="79">
        <f>IF(Q915="","",IF(H915="High",1,IF(Q915="","",IF(Q915&lt;AsOf,1,IF(Q915&lt;=AsOf+AlertDays,2,IF(Q915&lt;=AsOf+2*AlertDays,3,""))))))</f>
        <v/>
      </c>
      <c r="S915" s="79">
        <f>IF(R915="","",IF(H915="High","High-severity issue: ",IF(C915="Punch item","Punch item: ","Issue action due: "))&amp;F915&amp;IF(J915="",""," → "&amp;J915))</f>
        <v/>
      </c>
      <c r="T915" s="79">
        <f>IF(O915=1,IF(I915="",0,I915),0)</f>
        <v/>
      </c>
      <c r="U915" s="79">
        <f>IF(AND(O915=1,H915="High"),1,0)</f>
        <v/>
      </c>
      <c r="V915" s="79">
        <f>IF(AND(O915=1,C915="Punch item"),1,0)</f>
        <v/>
      </c>
    </row>
    <row r="916" ht="24" customHeight="1">
      <c r="B916" s="125" t="n">
        <v>909</v>
      </c>
      <c r="C916" s="72" t="n"/>
      <c r="D916" s="109" t="n"/>
      <c r="E916" s="72" t="n"/>
      <c r="F916" s="113" t="n"/>
      <c r="G916" s="72" t="n"/>
      <c r="H916" s="74" t="n"/>
      <c r="I916" s="73" t="n"/>
      <c r="J916" s="113" t="n"/>
      <c r="K916" s="109" t="n"/>
      <c r="L916" s="72" t="n"/>
      <c r="M916" s="109" t="n"/>
      <c r="N916" s="72" t="n"/>
      <c r="O916" s="79">
        <f>IF(AND(F916&lt;&gt;"",L916&lt;&gt;"Resolved"),1,0)</f>
        <v/>
      </c>
      <c r="P916" s="79">
        <f>IF(F916="","",IF(O916=0,0,IF(H916="High",2,1)))</f>
        <v/>
      </c>
      <c r="Q916" s="112">
        <f>IF(O916=1,IF(K916&lt;&gt;"",K916,IF(H916="High",AsOf,"")),"")</f>
        <v/>
      </c>
      <c r="R916" s="79">
        <f>IF(Q916="","",IF(H916="High",1,IF(Q916="","",IF(Q916&lt;AsOf,1,IF(Q916&lt;=AsOf+AlertDays,2,IF(Q916&lt;=AsOf+2*AlertDays,3,""))))))</f>
        <v/>
      </c>
      <c r="S916" s="79">
        <f>IF(R916="","",IF(H916="High","High-severity issue: ",IF(C916="Punch item","Punch item: ","Issue action due: "))&amp;F916&amp;IF(J916="",""," → "&amp;J916))</f>
        <v/>
      </c>
      <c r="T916" s="79">
        <f>IF(O916=1,IF(I916="",0,I916),0)</f>
        <v/>
      </c>
      <c r="U916" s="79">
        <f>IF(AND(O916=1,H916="High"),1,0)</f>
        <v/>
      </c>
      <c r="V916" s="79">
        <f>IF(AND(O916=1,C916="Punch item"),1,0)</f>
        <v/>
      </c>
    </row>
    <row r="917" ht="24" customHeight="1">
      <c r="B917" s="125" t="n">
        <v>910</v>
      </c>
      <c r="C917" s="72" t="n"/>
      <c r="D917" s="109" t="n"/>
      <c r="E917" s="72" t="n"/>
      <c r="F917" s="113" t="n"/>
      <c r="G917" s="72" t="n"/>
      <c r="H917" s="74" t="n"/>
      <c r="I917" s="73" t="n"/>
      <c r="J917" s="113" t="n"/>
      <c r="K917" s="109" t="n"/>
      <c r="L917" s="72" t="n"/>
      <c r="M917" s="109" t="n"/>
      <c r="N917" s="72" t="n"/>
      <c r="O917" s="79">
        <f>IF(AND(F917&lt;&gt;"",L917&lt;&gt;"Resolved"),1,0)</f>
        <v/>
      </c>
      <c r="P917" s="79">
        <f>IF(F917="","",IF(O917=0,0,IF(H917="High",2,1)))</f>
        <v/>
      </c>
      <c r="Q917" s="112">
        <f>IF(O917=1,IF(K917&lt;&gt;"",K917,IF(H917="High",AsOf,"")),"")</f>
        <v/>
      </c>
      <c r="R917" s="79">
        <f>IF(Q917="","",IF(H917="High",1,IF(Q917="","",IF(Q917&lt;AsOf,1,IF(Q917&lt;=AsOf+AlertDays,2,IF(Q917&lt;=AsOf+2*AlertDays,3,""))))))</f>
        <v/>
      </c>
      <c r="S917" s="79">
        <f>IF(R917="","",IF(H917="High","High-severity issue: ",IF(C917="Punch item","Punch item: ","Issue action due: "))&amp;F917&amp;IF(J917="",""," → "&amp;J917))</f>
        <v/>
      </c>
      <c r="T917" s="79">
        <f>IF(O917=1,IF(I917="",0,I917),0)</f>
        <v/>
      </c>
      <c r="U917" s="79">
        <f>IF(AND(O917=1,H917="High"),1,0)</f>
        <v/>
      </c>
      <c r="V917" s="79">
        <f>IF(AND(O917=1,C917="Punch item"),1,0)</f>
        <v/>
      </c>
    </row>
    <row r="918" ht="24" customHeight="1">
      <c r="B918" s="125" t="n">
        <v>911</v>
      </c>
      <c r="C918" s="72" t="n"/>
      <c r="D918" s="109" t="n"/>
      <c r="E918" s="72" t="n"/>
      <c r="F918" s="113" t="n"/>
      <c r="G918" s="72" t="n"/>
      <c r="H918" s="74" t="n"/>
      <c r="I918" s="73" t="n"/>
      <c r="J918" s="113" t="n"/>
      <c r="K918" s="109" t="n"/>
      <c r="L918" s="72" t="n"/>
      <c r="M918" s="109" t="n"/>
      <c r="N918" s="72" t="n"/>
      <c r="O918" s="79">
        <f>IF(AND(F918&lt;&gt;"",L918&lt;&gt;"Resolved"),1,0)</f>
        <v/>
      </c>
      <c r="P918" s="79">
        <f>IF(F918="","",IF(O918=0,0,IF(H918="High",2,1)))</f>
        <v/>
      </c>
      <c r="Q918" s="112">
        <f>IF(O918=1,IF(K918&lt;&gt;"",K918,IF(H918="High",AsOf,"")),"")</f>
        <v/>
      </c>
      <c r="R918" s="79">
        <f>IF(Q918="","",IF(H918="High",1,IF(Q918="","",IF(Q918&lt;AsOf,1,IF(Q918&lt;=AsOf+AlertDays,2,IF(Q918&lt;=AsOf+2*AlertDays,3,""))))))</f>
        <v/>
      </c>
      <c r="S918" s="79">
        <f>IF(R918="","",IF(H918="High","High-severity issue: ",IF(C918="Punch item","Punch item: ","Issue action due: "))&amp;F918&amp;IF(J918="",""," → "&amp;J918))</f>
        <v/>
      </c>
      <c r="T918" s="79">
        <f>IF(O918=1,IF(I918="",0,I918),0)</f>
        <v/>
      </c>
      <c r="U918" s="79">
        <f>IF(AND(O918=1,H918="High"),1,0)</f>
        <v/>
      </c>
      <c r="V918" s="79">
        <f>IF(AND(O918=1,C918="Punch item"),1,0)</f>
        <v/>
      </c>
    </row>
    <row r="919" ht="24" customHeight="1">
      <c r="B919" s="125" t="n">
        <v>912</v>
      </c>
      <c r="C919" s="72" t="n"/>
      <c r="D919" s="109" t="n"/>
      <c r="E919" s="72" t="n"/>
      <c r="F919" s="113" t="n"/>
      <c r="G919" s="72" t="n"/>
      <c r="H919" s="74" t="n"/>
      <c r="I919" s="73" t="n"/>
      <c r="J919" s="113" t="n"/>
      <c r="K919" s="109" t="n"/>
      <c r="L919" s="72" t="n"/>
      <c r="M919" s="109" t="n"/>
      <c r="N919" s="72" t="n"/>
      <c r="O919" s="79">
        <f>IF(AND(F919&lt;&gt;"",L919&lt;&gt;"Resolved"),1,0)</f>
        <v/>
      </c>
      <c r="P919" s="79">
        <f>IF(F919="","",IF(O919=0,0,IF(H919="High",2,1)))</f>
        <v/>
      </c>
      <c r="Q919" s="112">
        <f>IF(O919=1,IF(K919&lt;&gt;"",K919,IF(H919="High",AsOf,"")),"")</f>
        <v/>
      </c>
      <c r="R919" s="79">
        <f>IF(Q919="","",IF(H919="High",1,IF(Q919="","",IF(Q919&lt;AsOf,1,IF(Q919&lt;=AsOf+AlertDays,2,IF(Q919&lt;=AsOf+2*AlertDays,3,""))))))</f>
        <v/>
      </c>
      <c r="S919" s="79">
        <f>IF(R919="","",IF(H919="High","High-severity issue: ",IF(C919="Punch item","Punch item: ","Issue action due: "))&amp;F919&amp;IF(J919="",""," → "&amp;J919))</f>
        <v/>
      </c>
      <c r="T919" s="79">
        <f>IF(O919=1,IF(I919="",0,I919),0)</f>
        <v/>
      </c>
      <c r="U919" s="79">
        <f>IF(AND(O919=1,H919="High"),1,0)</f>
        <v/>
      </c>
      <c r="V919" s="79">
        <f>IF(AND(O919=1,C919="Punch item"),1,0)</f>
        <v/>
      </c>
    </row>
    <row r="920" ht="24" customHeight="1">
      <c r="B920" s="125" t="n">
        <v>913</v>
      </c>
      <c r="C920" s="72" t="n"/>
      <c r="D920" s="109" t="n"/>
      <c r="E920" s="72" t="n"/>
      <c r="F920" s="113" t="n"/>
      <c r="G920" s="72" t="n"/>
      <c r="H920" s="74" t="n"/>
      <c r="I920" s="73" t="n"/>
      <c r="J920" s="113" t="n"/>
      <c r="K920" s="109" t="n"/>
      <c r="L920" s="72" t="n"/>
      <c r="M920" s="109" t="n"/>
      <c r="N920" s="72" t="n"/>
      <c r="O920" s="79">
        <f>IF(AND(F920&lt;&gt;"",L920&lt;&gt;"Resolved"),1,0)</f>
        <v/>
      </c>
      <c r="P920" s="79">
        <f>IF(F920="","",IF(O920=0,0,IF(H920="High",2,1)))</f>
        <v/>
      </c>
      <c r="Q920" s="112">
        <f>IF(O920=1,IF(K920&lt;&gt;"",K920,IF(H920="High",AsOf,"")),"")</f>
        <v/>
      </c>
      <c r="R920" s="79">
        <f>IF(Q920="","",IF(H920="High",1,IF(Q920="","",IF(Q920&lt;AsOf,1,IF(Q920&lt;=AsOf+AlertDays,2,IF(Q920&lt;=AsOf+2*AlertDays,3,""))))))</f>
        <v/>
      </c>
      <c r="S920" s="79">
        <f>IF(R920="","",IF(H920="High","High-severity issue: ",IF(C920="Punch item","Punch item: ","Issue action due: "))&amp;F920&amp;IF(J920="",""," → "&amp;J920))</f>
        <v/>
      </c>
      <c r="T920" s="79">
        <f>IF(O920=1,IF(I920="",0,I920),0)</f>
        <v/>
      </c>
      <c r="U920" s="79">
        <f>IF(AND(O920=1,H920="High"),1,0)</f>
        <v/>
      </c>
      <c r="V920" s="79">
        <f>IF(AND(O920=1,C920="Punch item"),1,0)</f>
        <v/>
      </c>
    </row>
    <row r="921" ht="24" customHeight="1">
      <c r="B921" s="125" t="n">
        <v>914</v>
      </c>
      <c r="C921" s="72" t="n"/>
      <c r="D921" s="109" t="n"/>
      <c r="E921" s="72" t="n"/>
      <c r="F921" s="113" t="n"/>
      <c r="G921" s="72" t="n"/>
      <c r="H921" s="74" t="n"/>
      <c r="I921" s="73" t="n"/>
      <c r="J921" s="113" t="n"/>
      <c r="K921" s="109" t="n"/>
      <c r="L921" s="72" t="n"/>
      <c r="M921" s="109" t="n"/>
      <c r="N921" s="72" t="n"/>
      <c r="O921" s="79">
        <f>IF(AND(F921&lt;&gt;"",L921&lt;&gt;"Resolved"),1,0)</f>
        <v/>
      </c>
      <c r="P921" s="79">
        <f>IF(F921="","",IF(O921=0,0,IF(H921="High",2,1)))</f>
        <v/>
      </c>
      <c r="Q921" s="112">
        <f>IF(O921=1,IF(K921&lt;&gt;"",K921,IF(H921="High",AsOf,"")),"")</f>
        <v/>
      </c>
      <c r="R921" s="79">
        <f>IF(Q921="","",IF(H921="High",1,IF(Q921="","",IF(Q921&lt;AsOf,1,IF(Q921&lt;=AsOf+AlertDays,2,IF(Q921&lt;=AsOf+2*AlertDays,3,""))))))</f>
        <v/>
      </c>
      <c r="S921" s="79">
        <f>IF(R921="","",IF(H921="High","High-severity issue: ",IF(C921="Punch item","Punch item: ","Issue action due: "))&amp;F921&amp;IF(J921="",""," → "&amp;J921))</f>
        <v/>
      </c>
      <c r="T921" s="79">
        <f>IF(O921=1,IF(I921="",0,I921),0)</f>
        <v/>
      </c>
      <c r="U921" s="79">
        <f>IF(AND(O921=1,H921="High"),1,0)</f>
        <v/>
      </c>
      <c r="V921" s="79">
        <f>IF(AND(O921=1,C921="Punch item"),1,0)</f>
        <v/>
      </c>
    </row>
    <row r="922" ht="24" customHeight="1">
      <c r="B922" s="125" t="n">
        <v>915</v>
      </c>
      <c r="C922" s="72" t="n"/>
      <c r="D922" s="109" t="n"/>
      <c r="E922" s="72" t="n"/>
      <c r="F922" s="113" t="n"/>
      <c r="G922" s="72" t="n"/>
      <c r="H922" s="74" t="n"/>
      <c r="I922" s="73" t="n"/>
      <c r="J922" s="113" t="n"/>
      <c r="K922" s="109" t="n"/>
      <c r="L922" s="72" t="n"/>
      <c r="M922" s="109" t="n"/>
      <c r="N922" s="72" t="n"/>
      <c r="O922" s="79">
        <f>IF(AND(F922&lt;&gt;"",L922&lt;&gt;"Resolved"),1,0)</f>
        <v/>
      </c>
      <c r="P922" s="79">
        <f>IF(F922="","",IF(O922=0,0,IF(H922="High",2,1)))</f>
        <v/>
      </c>
      <c r="Q922" s="112">
        <f>IF(O922=1,IF(K922&lt;&gt;"",K922,IF(H922="High",AsOf,"")),"")</f>
        <v/>
      </c>
      <c r="R922" s="79">
        <f>IF(Q922="","",IF(H922="High",1,IF(Q922="","",IF(Q922&lt;AsOf,1,IF(Q922&lt;=AsOf+AlertDays,2,IF(Q922&lt;=AsOf+2*AlertDays,3,""))))))</f>
        <v/>
      </c>
      <c r="S922" s="79">
        <f>IF(R922="","",IF(H922="High","High-severity issue: ",IF(C922="Punch item","Punch item: ","Issue action due: "))&amp;F922&amp;IF(J922="",""," → "&amp;J922))</f>
        <v/>
      </c>
      <c r="T922" s="79">
        <f>IF(O922=1,IF(I922="",0,I922),0)</f>
        <v/>
      </c>
      <c r="U922" s="79">
        <f>IF(AND(O922=1,H922="High"),1,0)</f>
        <v/>
      </c>
      <c r="V922" s="79">
        <f>IF(AND(O922=1,C922="Punch item"),1,0)</f>
        <v/>
      </c>
    </row>
    <row r="923" ht="24" customHeight="1">
      <c r="B923" s="125" t="n">
        <v>916</v>
      </c>
      <c r="C923" s="72" t="n"/>
      <c r="D923" s="109" t="n"/>
      <c r="E923" s="72" t="n"/>
      <c r="F923" s="113" t="n"/>
      <c r="G923" s="72" t="n"/>
      <c r="H923" s="74" t="n"/>
      <c r="I923" s="73" t="n"/>
      <c r="J923" s="113" t="n"/>
      <c r="K923" s="109" t="n"/>
      <c r="L923" s="72" t="n"/>
      <c r="M923" s="109" t="n"/>
      <c r="N923" s="72" t="n"/>
      <c r="O923" s="79">
        <f>IF(AND(F923&lt;&gt;"",L923&lt;&gt;"Resolved"),1,0)</f>
        <v/>
      </c>
      <c r="P923" s="79">
        <f>IF(F923="","",IF(O923=0,0,IF(H923="High",2,1)))</f>
        <v/>
      </c>
      <c r="Q923" s="112">
        <f>IF(O923=1,IF(K923&lt;&gt;"",K923,IF(H923="High",AsOf,"")),"")</f>
        <v/>
      </c>
      <c r="R923" s="79">
        <f>IF(Q923="","",IF(H923="High",1,IF(Q923="","",IF(Q923&lt;AsOf,1,IF(Q923&lt;=AsOf+AlertDays,2,IF(Q923&lt;=AsOf+2*AlertDays,3,""))))))</f>
        <v/>
      </c>
      <c r="S923" s="79">
        <f>IF(R923="","",IF(H923="High","High-severity issue: ",IF(C923="Punch item","Punch item: ","Issue action due: "))&amp;F923&amp;IF(J923="",""," → "&amp;J923))</f>
        <v/>
      </c>
      <c r="T923" s="79">
        <f>IF(O923=1,IF(I923="",0,I923),0)</f>
        <v/>
      </c>
      <c r="U923" s="79">
        <f>IF(AND(O923=1,H923="High"),1,0)</f>
        <v/>
      </c>
      <c r="V923" s="79">
        <f>IF(AND(O923=1,C923="Punch item"),1,0)</f>
        <v/>
      </c>
    </row>
    <row r="924" ht="24" customHeight="1">
      <c r="B924" s="125" t="n">
        <v>917</v>
      </c>
      <c r="C924" s="72" t="n"/>
      <c r="D924" s="109" t="n"/>
      <c r="E924" s="72" t="n"/>
      <c r="F924" s="113" t="n"/>
      <c r="G924" s="72" t="n"/>
      <c r="H924" s="74" t="n"/>
      <c r="I924" s="73" t="n"/>
      <c r="J924" s="113" t="n"/>
      <c r="K924" s="109" t="n"/>
      <c r="L924" s="72" t="n"/>
      <c r="M924" s="109" t="n"/>
      <c r="N924" s="72" t="n"/>
      <c r="O924" s="79">
        <f>IF(AND(F924&lt;&gt;"",L924&lt;&gt;"Resolved"),1,0)</f>
        <v/>
      </c>
      <c r="P924" s="79">
        <f>IF(F924="","",IF(O924=0,0,IF(H924="High",2,1)))</f>
        <v/>
      </c>
      <c r="Q924" s="112">
        <f>IF(O924=1,IF(K924&lt;&gt;"",K924,IF(H924="High",AsOf,"")),"")</f>
        <v/>
      </c>
      <c r="R924" s="79">
        <f>IF(Q924="","",IF(H924="High",1,IF(Q924="","",IF(Q924&lt;AsOf,1,IF(Q924&lt;=AsOf+AlertDays,2,IF(Q924&lt;=AsOf+2*AlertDays,3,""))))))</f>
        <v/>
      </c>
      <c r="S924" s="79">
        <f>IF(R924="","",IF(H924="High","High-severity issue: ",IF(C924="Punch item","Punch item: ","Issue action due: "))&amp;F924&amp;IF(J924="",""," → "&amp;J924))</f>
        <v/>
      </c>
      <c r="T924" s="79">
        <f>IF(O924=1,IF(I924="",0,I924),0)</f>
        <v/>
      </c>
      <c r="U924" s="79">
        <f>IF(AND(O924=1,H924="High"),1,0)</f>
        <v/>
      </c>
      <c r="V924" s="79">
        <f>IF(AND(O924=1,C924="Punch item"),1,0)</f>
        <v/>
      </c>
    </row>
    <row r="925" ht="24" customHeight="1">
      <c r="B925" s="125" t="n">
        <v>918</v>
      </c>
      <c r="C925" s="72" t="n"/>
      <c r="D925" s="109" t="n"/>
      <c r="E925" s="72" t="n"/>
      <c r="F925" s="113" t="n"/>
      <c r="G925" s="72" t="n"/>
      <c r="H925" s="74" t="n"/>
      <c r="I925" s="73" t="n"/>
      <c r="J925" s="113" t="n"/>
      <c r="K925" s="109" t="n"/>
      <c r="L925" s="72" t="n"/>
      <c r="M925" s="109" t="n"/>
      <c r="N925" s="72" t="n"/>
      <c r="O925" s="79">
        <f>IF(AND(F925&lt;&gt;"",L925&lt;&gt;"Resolved"),1,0)</f>
        <v/>
      </c>
      <c r="P925" s="79">
        <f>IF(F925="","",IF(O925=0,0,IF(H925="High",2,1)))</f>
        <v/>
      </c>
      <c r="Q925" s="112">
        <f>IF(O925=1,IF(K925&lt;&gt;"",K925,IF(H925="High",AsOf,"")),"")</f>
        <v/>
      </c>
      <c r="R925" s="79">
        <f>IF(Q925="","",IF(H925="High",1,IF(Q925="","",IF(Q925&lt;AsOf,1,IF(Q925&lt;=AsOf+AlertDays,2,IF(Q925&lt;=AsOf+2*AlertDays,3,""))))))</f>
        <v/>
      </c>
      <c r="S925" s="79">
        <f>IF(R925="","",IF(H925="High","High-severity issue: ",IF(C925="Punch item","Punch item: ","Issue action due: "))&amp;F925&amp;IF(J925="",""," → "&amp;J925))</f>
        <v/>
      </c>
      <c r="T925" s="79">
        <f>IF(O925=1,IF(I925="",0,I925),0)</f>
        <v/>
      </c>
      <c r="U925" s="79">
        <f>IF(AND(O925=1,H925="High"),1,0)</f>
        <v/>
      </c>
      <c r="V925" s="79">
        <f>IF(AND(O925=1,C925="Punch item"),1,0)</f>
        <v/>
      </c>
    </row>
    <row r="926" ht="24" customHeight="1">
      <c r="B926" s="125" t="n">
        <v>919</v>
      </c>
      <c r="C926" s="72" t="n"/>
      <c r="D926" s="109" t="n"/>
      <c r="E926" s="72" t="n"/>
      <c r="F926" s="113" t="n"/>
      <c r="G926" s="72" t="n"/>
      <c r="H926" s="74" t="n"/>
      <c r="I926" s="73" t="n"/>
      <c r="J926" s="113" t="n"/>
      <c r="K926" s="109" t="n"/>
      <c r="L926" s="72" t="n"/>
      <c r="M926" s="109" t="n"/>
      <c r="N926" s="72" t="n"/>
      <c r="O926" s="79">
        <f>IF(AND(F926&lt;&gt;"",L926&lt;&gt;"Resolved"),1,0)</f>
        <v/>
      </c>
      <c r="P926" s="79">
        <f>IF(F926="","",IF(O926=0,0,IF(H926="High",2,1)))</f>
        <v/>
      </c>
      <c r="Q926" s="112">
        <f>IF(O926=1,IF(K926&lt;&gt;"",K926,IF(H926="High",AsOf,"")),"")</f>
        <v/>
      </c>
      <c r="R926" s="79">
        <f>IF(Q926="","",IF(H926="High",1,IF(Q926="","",IF(Q926&lt;AsOf,1,IF(Q926&lt;=AsOf+AlertDays,2,IF(Q926&lt;=AsOf+2*AlertDays,3,""))))))</f>
        <v/>
      </c>
      <c r="S926" s="79">
        <f>IF(R926="","",IF(H926="High","High-severity issue: ",IF(C926="Punch item","Punch item: ","Issue action due: "))&amp;F926&amp;IF(J926="",""," → "&amp;J926))</f>
        <v/>
      </c>
      <c r="T926" s="79">
        <f>IF(O926=1,IF(I926="",0,I926),0)</f>
        <v/>
      </c>
      <c r="U926" s="79">
        <f>IF(AND(O926=1,H926="High"),1,0)</f>
        <v/>
      </c>
      <c r="V926" s="79">
        <f>IF(AND(O926=1,C926="Punch item"),1,0)</f>
        <v/>
      </c>
    </row>
    <row r="927" ht="24" customHeight="1">
      <c r="B927" s="125" t="n">
        <v>920</v>
      </c>
      <c r="C927" s="72" t="n"/>
      <c r="D927" s="109" t="n"/>
      <c r="E927" s="72" t="n"/>
      <c r="F927" s="113" t="n"/>
      <c r="G927" s="72" t="n"/>
      <c r="H927" s="74" t="n"/>
      <c r="I927" s="73" t="n"/>
      <c r="J927" s="113" t="n"/>
      <c r="K927" s="109" t="n"/>
      <c r="L927" s="72" t="n"/>
      <c r="M927" s="109" t="n"/>
      <c r="N927" s="72" t="n"/>
      <c r="O927" s="79">
        <f>IF(AND(F927&lt;&gt;"",L927&lt;&gt;"Resolved"),1,0)</f>
        <v/>
      </c>
      <c r="P927" s="79">
        <f>IF(F927="","",IF(O927=0,0,IF(H927="High",2,1)))</f>
        <v/>
      </c>
      <c r="Q927" s="112">
        <f>IF(O927=1,IF(K927&lt;&gt;"",K927,IF(H927="High",AsOf,"")),"")</f>
        <v/>
      </c>
      <c r="R927" s="79">
        <f>IF(Q927="","",IF(H927="High",1,IF(Q927="","",IF(Q927&lt;AsOf,1,IF(Q927&lt;=AsOf+AlertDays,2,IF(Q927&lt;=AsOf+2*AlertDays,3,""))))))</f>
        <v/>
      </c>
      <c r="S927" s="79">
        <f>IF(R927="","",IF(H927="High","High-severity issue: ",IF(C927="Punch item","Punch item: ","Issue action due: "))&amp;F927&amp;IF(J927="",""," → "&amp;J927))</f>
        <v/>
      </c>
      <c r="T927" s="79">
        <f>IF(O927=1,IF(I927="",0,I927),0)</f>
        <v/>
      </c>
      <c r="U927" s="79">
        <f>IF(AND(O927=1,H927="High"),1,0)</f>
        <v/>
      </c>
      <c r="V927" s="79">
        <f>IF(AND(O927=1,C927="Punch item"),1,0)</f>
        <v/>
      </c>
    </row>
    <row r="928" ht="24" customHeight="1">
      <c r="B928" s="125" t="n">
        <v>921</v>
      </c>
      <c r="C928" s="72" t="n"/>
      <c r="D928" s="109" t="n"/>
      <c r="E928" s="72" t="n"/>
      <c r="F928" s="113" t="n"/>
      <c r="G928" s="72" t="n"/>
      <c r="H928" s="74" t="n"/>
      <c r="I928" s="73" t="n"/>
      <c r="J928" s="113" t="n"/>
      <c r="K928" s="109" t="n"/>
      <c r="L928" s="72" t="n"/>
      <c r="M928" s="109" t="n"/>
      <c r="N928" s="72" t="n"/>
      <c r="O928" s="79">
        <f>IF(AND(F928&lt;&gt;"",L928&lt;&gt;"Resolved"),1,0)</f>
        <v/>
      </c>
      <c r="P928" s="79">
        <f>IF(F928="","",IF(O928=0,0,IF(H928="High",2,1)))</f>
        <v/>
      </c>
      <c r="Q928" s="112">
        <f>IF(O928=1,IF(K928&lt;&gt;"",K928,IF(H928="High",AsOf,"")),"")</f>
        <v/>
      </c>
      <c r="R928" s="79">
        <f>IF(Q928="","",IF(H928="High",1,IF(Q928="","",IF(Q928&lt;AsOf,1,IF(Q928&lt;=AsOf+AlertDays,2,IF(Q928&lt;=AsOf+2*AlertDays,3,""))))))</f>
        <v/>
      </c>
      <c r="S928" s="79">
        <f>IF(R928="","",IF(H928="High","High-severity issue: ",IF(C928="Punch item","Punch item: ","Issue action due: "))&amp;F928&amp;IF(J928="",""," → "&amp;J928))</f>
        <v/>
      </c>
      <c r="T928" s="79">
        <f>IF(O928=1,IF(I928="",0,I928),0)</f>
        <v/>
      </c>
      <c r="U928" s="79">
        <f>IF(AND(O928=1,H928="High"),1,0)</f>
        <v/>
      </c>
      <c r="V928" s="79">
        <f>IF(AND(O928=1,C928="Punch item"),1,0)</f>
        <v/>
      </c>
    </row>
    <row r="929" ht="24" customHeight="1">
      <c r="B929" s="125" t="n">
        <v>922</v>
      </c>
      <c r="C929" s="72" t="n"/>
      <c r="D929" s="109" t="n"/>
      <c r="E929" s="72" t="n"/>
      <c r="F929" s="113" t="n"/>
      <c r="G929" s="72" t="n"/>
      <c r="H929" s="74" t="n"/>
      <c r="I929" s="73" t="n"/>
      <c r="J929" s="113" t="n"/>
      <c r="K929" s="109" t="n"/>
      <c r="L929" s="72" t="n"/>
      <c r="M929" s="109" t="n"/>
      <c r="N929" s="72" t="n"/>
      <c r="O929" s="79">
        <f>IF(AND(F929&lt;&gt;"",L929&lt;&gt;"Resolved"),1,0)</f>
        <v/>
      </c>
      <c r="P929" s="79">
        <f>IF(F929="","",IF(O929=0,0,IF(H929="High",2,1)))</f>
        <v/>
      </c>
      <c r="Q929" s="112">
        <f>IF(O929=1,IF(K929&lt;&gt;"",K929,IF(H929="High",AsOf,"")),"")</f>
        <v/>
      </c>
      <c r="R929" s="79">
        <f>IF(Q929="","",IF(H929="High",1,IF(Q929="","",IF(Q929&lt;AsOf,1,IF(Q929&lt;=AsOf+AlertDays,2,IF(Q929&lt;=AsOf+2*AlertDays,3,""))))))</f>
        <v/>
      </c>
      <c r="S929" s="79">
        <f>IF(R929="","",IF(H929="High","High-severity issue: ",IF(C929="Punch item","Punch item: ","Issue action due: "))&amp;F929&amp;IF(J929="",""," → "&amp;J929))</f>
        <v/>
      </c>
      <c r="T929" s="79">
        <f>IF(O929=1,IF(I929="",0,I929),0)</f>
        <v/>
      </c>
      <c r="U929" s="79">
        <f>IF(AND(O929=1,H929="High"),1,0)</f>
        <v/>
      </c>
      <c r="V929" s="79">
        <f>IF(AND(O929=1,C929="Punch item"),1,0)</f>
        <v/>
      </c>
    </row>
    <row r="930" ht="24" customHeight="1">
      <c r="B930" s="125" t="n">
        <v>923</v>
      </c>
      <c r="C930" s="72" t="n"/>
      <c r="D930" s="109" t="n"/>
      <c r="E930" s="72" t="n"/>
      <c r="F930" s="113" t="n"/>
      <c r="G930" s="72" t="n"/>
      <c r="H930" s="74" t="n"/>
      <c r="I930" s="73" t="n"/>
      <c r="J930" s="113" t="n"/>
      <c r="K930" s="109" t="n"/>
      <c r="L930" s="72" t="n"/>
      <c r="M930" s="109" t="n"/>
      <c r="N930" s="72" t="n"/>
      <c r="O930" s="79">
        <f>IF(AND(F930&lt;&gt;"",L930&lt;&gt;"Resolved"),1,0)</f>
        <v/>
      </c>
      <c r="P930" s="79">
        <f>IF(F930="","",IF(O930=0,0,IF(H930="High",2,1)))</f>
        <v/>
      </c>
      <c r="Q930" s="112">
        <f>IF(O930=1,IF(K930&lt;&gt;"",K930,IF(H930="High",AsOf,"")),"")</f>
        <v/>
      </c>
      <c r="R930" s="79">
        <f>IF(Q930="","",IF(H930="High",1,IF(Q930="","",IF(Q930&lt;AsOf,1,IF(Q930&lt;=AsOf+AlertDays,2,IF(Q930&lt;=AsOf+2*AlertDays,3,""))))))</f>
        <v/>
      </c>
      <c r="S930" s="79">
        <f>IF(R930="","",IF(H930="High","High-severity issue: ",IF(C930="Punch item","Punch item: ","Issue action due: "))&amp;F930&amp;IF(J930="",""," → "&amp;J930))</f>
        <v/>
      </c>
      <c r="T930" s="79">
        <f>IF(O930=1,IF(I930="",0,I930),0)</f>
        <v/>
      </c>
      <c r="U930" s="79">
        <f>IF(AND(O930=1,H930="High"),1,0)</f>
        <v/>
      </c>
      <c r="V930" s="79">
        <f>IF(AND(O930=1,C930="Punch item"),1,0)</f>
        <v/>
      </c>
    </row>
    <row r="931" ht="24" customHeight="1">
      <c r="B931" s="125" t="n">
        <v>924</v>
      </c>
      <c r="C931" s="72" t="n"/>
      <c r="D931" s="109" t="n"/>
      <c r="E931" s="72" t="n"/>
      <c r="F931" s="113" t="n"/>
      <c r="G931" s="72" t="n"/>
      <c r="H931" s="74" t="n"/>
      <c r="I931" s="73" t="n"/>
      <c r="J931" s="113" t="n"/>
      <c r="K931" s="109" t="n"/>
      <c r="L931" s="72" t="n"/>
      <c r="M931" s="109" t="n"/>
      <c r="N931" s="72" t="n"/>
      <c r="O931" s="79">
        <f>IF(AND(F931&lt;&gt;"",L931&lt;&gt;"Resolved"),1,0)</f>
        <v/>
      </c>
      <c r="P931" s="79">
        <f>IF(F931="","",IF(O931=0,0,IF(H931="High",2,1)))</f>
        <v/>
      </c>
      <c r="Q931" s="112">
        <f>IF(O931=1,IF(K931&lt;&gt;"",K931,IF(H931="High",AsOf,"")),"")</f>
        <v/>
      </c>
      <c r="R931" s="79">
        <f>IF(Q931="","",IF(H931="High",1,IF(Q931="","",IF(Q931&lt;AsOf,1,IF(Q931&lt;=AsOf+AlertDays,2,IF(Q931&lt;=AsOf+2*AlertDays,3,""))))))</f>
        <v/>
      </c>
      <c r="S931" s="79">
        <f>IF(R931="","",IF(H931="High","High-severity issue: ",IF(C931="Punch item","Punch item: ","Issue action due: "))&amp;F931&amp;IF(J931="",""," → "&amp;J931))</f>
        <v/>
      </c>
      <c r="T931" s="79">
        <f>IF(O931=1,IF(I931="",0,I931),0)</f>
        <v/>
      </c>
      <c r="U931" s="79">
        <f>IF(AND(O931=1,H931="High"),1,0)</f>
        <v/>
      </c>
      <c r="V931" s="79">
        <f>IF(AND(O931=1,C931="Punch item"),1,0)</f>
        <v/>
      </c>
    </row>
    <row r="932" ht="24" customHeight="1">
      <c r="B932" s="125" t="n">
        <v>925</v>
      </c>
      <c r="C932" s="72" t="n"/>
      <c r="D932" s="109" t="n"/>
      <c r="E932" s="72" t="n"/>
      <c r="F932" s="113" t="n"/>
      <c r="G932" s="72" t="n"/>
      <c r="H932" s="74" t="n"/>
      <c r="I932" s="73" t="n"/>
      <c r="J932" s="113" t="n"/>
      <c r="K932" s="109" t="n"/>
      <c r="L932" s="72" t="n"/>
      <c r="M932" s="109" t="n"/>
      <c r="N932" s="72" t="n"/>
      <c r="O932" s="79">
        <f>IF(AND(F932&lt;&gt;"",L932&lt;&gt;"Resolved"),1,0)</f>
        <v/>
      </c>
      <c r="P932" s="79">
        <f>IF(F932="","",IF(O932=0,0,IF(H932="High",2,1)))</f>
        <v/>
      </c>
      <c r="Q932" s="112">
        <f>IF(O932=1,IF(K932&lt;&gt;"",K932,IF(H932="High",AsOf,"")),"")</f>
        <v/>
      </c>
      <c r="R932" s="79">
        <f>IF(Q932="","",IF(H932="High",1,IF(Q932="","",IF(Q932&lt;AsOf,1,IF(Q932&lt;=AsOf+AlertDays,2,IF(Q932&lt;=AsOf+2*AlertDays,3,""))))))</f>
        <v/>
      </c>
      <c r="S932" s="79">
        <f>IF(R932="","",IF(H932="High","High-severity issue: ",IF(C932="Punch item","Punch item: ","Issue action due: "))&amp;F932&amp;IF(J932="",""," → "&amp;J932))</f>
        <v/>
      </c>
      <c r="T932" s="79">
        <f>IF(O932=1,IF(I932="",0,I932),0)</f>
        <v/>
      </c>
      <c r="U932" s="79">
        <f>IF(AND(O932=1,H932="High"),1,0)</f>
        <v/>
      </c>
      <c r="V932" s="79">
        <f>IF(AND(O932=1,C932="Punch item"),1,0)</f>
        <v/>
      </c>
    </row>
    <row r="933" ht="24" customHeight="1">
      <c r="B933" s="125" t="n">
        <v>926</v>
      </c>
      <c r="C933" s="72" t="n"/>
      <c r="D933" s="109" t="n"/>
      <c r="E933" s="72" t="n"/>
      <c r="F933" s="113" t="n"/>
      <c r="G933" s="72" t="n"/>
      <c r="H933" s="74" t="n"/>
      <c r="I933" s="73" t="n"/>
      <c r="J933" s="113" t="n"/>
      <c r="K933" s="109" t="n"/>
      <c r="L933" s="72" t="n"/>
      <c r="M933" s="109" t="n"/>
      <c r="N933" s="72" t="n"/>
      <c r="O933" s="79">
        <f>IF(AND(F933&lt;&gt;"",L933&lt;&gt;"Resolved"),1,0)</f>
        <v/>
      </c>
      <c r="P933" s="79">
        <f>IF(F933="","",IF(O933=0,0,IF(H933="High",2,1)))</f>
        <v/>
      </c>
      <c r="Q933" s="112">
        <f>IF(O933=1,IF(K933&lt;&gt;"",K933,IF(H933="High",AsOf,"")),"")</f>
        <v/>
      </c>
      <c r="R933" s="79">
        <f>IF(Q933="","",IF(H933="High",1,IF(Q933="","",IF(Q933&lt;AsOf,1,IF(Q933&lt;=AsOf+AlertDays,2,IF(Q933&lt;=AsOf+2*AlertDays,3,""))))))</f>
        <v/>
      </c>
      <c r="S933" s="79">
        <f>IF(R933="","",IF(H933="High","High-severity issue: ",IF(C933="Punch item","Punch item: ","Issue action due: "))&amp;F933&amp;IF(J933="",""," → "&amp;J933))</f>
        <v/>
      </c>
      <c r="T933" s="79">
        <f>IF(O933=1,IF(I933="",0,I933),0)</f>
        <v/>
      </c>
      <c r="U933" s="79">
        <f>IF(AND(O933=1,H933="High"),1,0)</f>
        <v/>
      </c>
      <c r="V933" s="79">
        <f>IF(AND(O933=1,C933="Punch item"),1,0)</f>
        <v/>
      </c>
    </row>
    <row r="934" ht="24" customHeight="1">
      <c r="B934" s="125" t="n">
        <v>927</v>
      </c>
      <c r="C934" s="72" t="n"/>
      <c r="D934" s="109" t="n"/>
      <c r="E934" s="72" t="n"/>
      <c r="F934" s="113" t="n"/>
      <c r="G934" s="72" t="n"/>
      <c r="H934" s="74" t="n"/>
      <c r="I934" s="73" t="n"/>
      <c r="J934" s="113" t="n"/>
      <c r="K934" s="109" t="n"/>
      <c r="L934" s="72" t="n"/>
      <c r="M934" s="109" t="n"/>
      <c r="N934" s="72" t="n"/>
      <c r="O934" s="79">
        <f>IF(AND(F934&lt;&gt;"",L934&lt;&gt;"Resolved"),1,0)</f>
        <v/>
      </c>
      <c r="P934" s="79">
        <f>IF(F934="","",IF(O934=0,0,IF(H934="High",2,1)))</f>
        <v/>
      </c>
      <c r="Q934" s="112">
        <f>IF(O934=1,IF(K934&lt;&gt;"",K934,IF(H934="High",AsOf,"")),"")</f>
        <v/>
      </c>
      <c r="R934" s="79">
        <f>IF(Q934="","",IF(H934="High",1,IF(Q934="","",IF(Q934&lt;AsOf,1,IF(Q934&lt;=AsOf+AlertDays,2,IF(Q934&lt;=AsOf+2*AlertDays,3,""))))))</f>
        <v/>
      </c>
      <c r="S934" s="79">
        <f>IF(R934="","",IF(H934="High","High-severity issue: ",IF(C934="Punch item","Punch item: ","Issue action due: "))&amp;F934&amp;IF(J934="",""," → "&amp;J934))</f>
        <v/>
      </c>
      <c r="T934" s="79">
        <f>IF(O934=1,IF(I934="",0,I934),0)</f>
        <v/>
      </c>
      <c r="U934" s="79">
        <f>IF(AND(O934=1,H934="High"),1,0)</f>
        <v/>
      </c>
      <c r="V934" s="79">
        <f>IF(AND(O934=1,C934="Punch item"),1,0)</f>
        <v/>
      </c>
    </row>
    <row r="935" ht="24" customHeight="1">
      <c r="B935" s="125" t="n">
        <v>928</v>
      </c>
      <c r="C935" s="72" t="n"/>
      <c r="D935" s="109" t="n"/>
      <c r="E935" s="72" t="n"/>
      <c r="F935" s="113" t="n"/>
      <c r="G935" s="72" t="n"/>
      <c r="H935" s="74" t="n"/>
      <c r="I935" s="73" t="n"/>
      <c r="J935" s="113" t="n"/>
      <c r="K935" s="109" t="n"/>
      <c r="L935" s="72" t="n"/>
      <c r="M935" s="109" t="n"/>
      <c r="N935" s="72" t="n"/>
      <c r="O935" s="79">
        <f>IF(AND(F935&lt;&gt;"",L935&lt;&gt;"Resolved"),1,0)</f>
        <v/>
      </c>
      <c r="P935" s="79">
        <f>IF(F935="","",IF(O935=0,0,IF(H935="High",2,1)))</f>
        <v/>
      </c>
      <c r="Q935" s="112">
        <f>IF(O935=1,IF(K935&lt;&gt;"",K935,IF(H935="High",AsOf,"")),"")</f>
        <v/>
      </c>
      <c r="R935" s="79">
        <f>IF(Q935="","",IF(H935="High",1,IF(Q935="","",IF(Q935&lt;AsOf,1,IF(Q935&lt;=AsOf+AlertDays,2,IF(Q935&lt;=AsOf+2*AlertDays,3,""))))))</f>
        <v/>
      </c>
      <c r="S935" s="79">
        <f>IF(R935="","",IF(H935="High","High-severity issue: ",IF(C935="Punch item","Punch item: ","Issue action due: "))&amp;F935&amp;IF(J935="",""," → "&amp;J935))</f>
        <v/>
      </c>
      <c r="T935" s="79">
        <f>IF(O935=1,IF(I935="",0,I935),0)</f>
        <v/>
      </c>
      <c r="U935" s="79">
        <f>IF(AND(O935=1,H935="High"),1,0)</f>
        <v/>
      </c>
      <c r="V935" s="79">
        <f>IF(AND(O935=1,C935="Punch item"),1,0)</f>
        <v/>
      </c>
    </row>
    <row r="936" ht="24" customHeight="1">
      <c r="B936" s="125" t="n">
        <v>929</v>
      </c>
      <c r="C936" s="72" t="n"/>
      <c r="D936" s="109" t="n"/>
      <c r="E936" s="72" t="n"/>
      <c r="F936" s="113" t="n"/>
      <c r="G936" s="72" t="n"/>
      <c r="H936" s="74" t="n"/>
      <c r="I936" s="73" t="n"/>
      <c r="J936" s="113" t="n"/>
      <c r="K936" s="109" t="n"/>
      <c r="L936" s="72" t="n"/>
      <c r="M936" s="109" t="n"/>
      <c r="N936" s="72" t="n"/>
      <c r="O936" s="79">
        <f>IF(AND(F936&lt;&gt;"",L936&lt;&gt;"Resolved"),1,0)</f>
        <v/>
      </c>
      <c r="P936" s="79">
        <f>IF(F936="","",IF(O936=0,0,IF(H936="High",2,1)))</f>
        <v/>
      </c>
      <c r="Q936" s="112">
        <f>IF(O936=1,IF(K936&lt;&gt;"",K936,IF(H936="High",AsOf,"")),"")</f>
        <v/>
      </c>
      <c r="R936" s="79">
        <f>IF(Q936="","",IF(H936="High",1,IF(Q936="","",IF(Q936&lt;AsOf,1,IF(Q936&lt;=AsOf+AlertDays,2,IF(Q936&lt;=AsOf+2*AlertDays,3,""))))))</f>
        <v/>
      </c>
      <c r="S936" s="79">
        <f>IF(R936="","",IF(H936="High","High-severity issue: ",IF(C936="Punch item","Punch item: ","Issue action due: "))&amp;F936&amp;IF(J936="",""," → "&amp;J936))</f>
        <v/>
      </c>
      <c r="T936" s="79">
        <f>IF(O936=1,IF(I936="",0,I936),0)</f>
        <v/>
      </c>
      <c r="U936" s="79">
        <f>IF(AND(O936=1,H936="High"),1,0)</f>
        <v/>
      </c>
      <c r="V936" s="79">
        <f>IF(AND(O936=1,C936="Punch item"),1,0)</f>
        <v/>
      </c>
    </row>
    <row r="937" ht="24" customHeight="1">
      <c r="B937" s="125" t="n">
        <v>930</v>
      </c>
      <c r="C937" s="72" t="n"/>
      <c r="D937" s="109" t="n"/>
      <c r="E937" s="72" t="n"/>
      <c r="F937" s="113" t="n"/>
      <c r="G937" s="72" t="n"/>
      <c r="H937" s="74" t="n"/>
      <c r="I937" s="73" t="n"/>
      <c r="J937" s="113" t="n"/>
      <c r="K937" s="109" t="n"/>
      <c r="L937" s="72" t="n"/>
      <c r="M937" s="109" t="n"/>
      <c r="N937" s="72" t="n"/>
      <c r="O937" s="79">
        <f>IF(AND(F937&lt;&gt;"",L937&lt;&gt;"Resolved"),1,0)</f>
        <v/>
      </c>
      <c r="P937" s="79">
        <f>IF(F937="","",IF(O937=0,0,IF(H937="High",2,1)))</f>
        <v/>
      </c>
      <c r="Q937" s="112">
        <f>IF(O937=1,IF(K937&lt;&gt;"",K937,IF(H937="High",AsOf,"")),"")</f>
        <v/>
      </c>
      <c r="R937" s="79">
        <f>IF(Q937="","",IF(H937="High",1,IF(Q937="","",IF(Q937&lt;AsOf,1,IF(Q937&lt;=AsOf+AlertDays,2,IF(Q937&lt;=AsOf+2*AlertDays,3,""))))))</f>
        <v/>
      </c>
      <c r="S937" s="79">
        <f>IF(R937="","",IF(H937="High","High-severity issue: ",IF(C937="Punch item","Punch item: ","Issue action due: "))&amp;F937&amp;IF(J937="",""," → "&amp;J937))</f>
        <v/>
      </c>
      <c r="T937" s="79">
        <f>IF(O937=1,IF(I937="",0,I937),0)</f>
        <v/>
      </c>
      <c r="U937" s="79">
        <f>IF(AND(O937=1,H937="High"),1,0)</f>
        <v/>
      </c>
      <c r="V937" s="79">
        <f>IF(AND(O937=1,C937="Punch item"),1,0)</f>
        <v/>
      </c>
    </row>
    <row r="938" ht="24" customHeight="1">
      <c r="B938" s="125" t="n">
        <v>931</v>
      </c>
      <c r="C938" s="72" t="n"/>
      <c r="D938" s="109" t="n"/>
      <c r="E938" s="72" t="n"/>
      <c r="F938" s="113" t="n"/>
      <c r="G938" s="72" t="n"/>
      <c r="H938" s="74" t="n"/>
      <c r="I938" s="73" t="n"/>
      <c r="J938" s="113" t="n"/>
      <c r="K938" s="109" t="n"/>
      <c r="L938" s="72" t="n"/>
      <c r="M938" s="109" t="n"/>
      <c r="N938" s="72" t="n"/>
      <c r="O938" s="79">
        <f>IF(AND(F938&lt;&gt;"",L938&lt;&gt;"Resolved"),1,0)</f>
        <v/>
      </c>
      <c r="P938" s="79">
        <f>IF(F938="","",IF(O938=0,0,IF(H938="High",2,1)))</f>
        <v/>
      </c>
      <c r="Q938" s="112">
        <f>IF(O938=1,IF(K938&lt;&gt;"",K938,IF(H938="High",AsOf,"")),"")</f>
        <v/>
      </c>
      <c r="R938" s="79">
        <f>IF(Q938="","",IF(H938="High",1,IF(Q938="","",IF(Q938&lt;AsOf,1,IF(Q938&lt;=AsOf+AlertDays,2,IF(Q938&lt;=AsOf+2*AlertDays,3,""))))))</f>
        <v/>
      </c>
      <c r="S938" s="79">
        <f>IF(R938="","",IF(H938="High","High-severity issue: ",IF(C938="Punch item","Punch item: ","Issue action due: "))&amp;F938&amp;IF(J938="",""," → "&amp;J938))</f>
        <v/>
      </c>
      <c r="T938" s="79">
        <f>IF(O938=1,IF(I938="",0,I938),0)</f>
        <v/>
      </c>
      <c r="U938" s="79">
        <f>IF(AND(O938=1,H938="High"),1,0)</f>
        <v/>
      </c>
      <c r="V938" s="79">
        <f>IF(AND(O938=1,C938="Punch item"),1,0)</f>
        <v/>
      </c>
    </row>
    <row r="939" ht="24" customHeight="1">
      <c r="B939" s="125" t="n">
        <v>932</v>
      </c>
      <c r="C939" s="72" t="n"/>
      <c r="D939" s="109" t="n"/>
      <c r="E939" s="72" t="n"/>
      <c r="F939" s="113" t="n"/>
      <c r="G939" s="72" t="n"/>
      <c r="H939" s="74" t="n"/>
      <c r="I939" s="73" t="n"/>
      <c r="J939" s="113" t="n"/>
      <c r="K939" s="109" t="n"/>
      <c r="L939" s="72" t="n"/>
      <c r="M939" s="109" t="n"/>
      <c r="N939" s="72" t="n"/>
      <c r="O939" s="79">
        <f>IF(AND(F939&lt;&gt;"",L939&lt;&gt;"Resolved"),1,0)</f>
        <v/>
      </c>
      <c r="P939" s="79">
        <f>IF(F939="","",IF(O939=0,0,IF(H939="High",2,1)))</f>
        <v/>
      </c>
      <c r="Q939" s="112">
        <f>IF(O939=1,IF(K939&lt;&gt;"",K939,IF(H939="High",AsOf,"")),"")</f>
        <v/>
      </c>
      <c r="R939" s="79">
        <f>IF(Q939="","",IF(H939="High",1,IF(Q939="","",IF(Q939&lt;AsOf,1,IF(Q939&lt;=AsOf+AlertDays,2,IF(Q939&lt;=AsOf+2*AlertDays,3,""))))))</f>
        <v/>
      </c>
      <c r="S939" s="79">
        <f>IF(R939="","",IF(H939="High","High-severity issue: ",IF(C939="Punch item","Punch item: ","Issue action due: "))&amp;F939&amp;IF(J939="",""," → "&amp;J939))</f>
        <v/>
      </c>
      <c r="T939" s="79">
        <f>IF(O939=1,IF(I939="",0,I939),0)</f>
        <v/>
      </c>
      <c r="U939" s="79">
        <f>IF(AND(O939=1,H939="High"),1,0)</f>
        <v/>
      </c>
      <c r="V939" s="79">
        <f>IF(AND(O939=1,C939="Punch item"),1,0)</f>
        <v/>
      </c>
    </row>
    <row r="940" ht="24" customHeight="1">
      <c r="B940" s="125" t="n">
        <v>933</v>
      </c>
      <c r="C940" s="72" t="n"/>
      <c r="D940" s="109" t="n"/>
      <c r="E940" s="72" t="n"/>
      <c r="F940" s="113" t="n"/>
      <c r="G940" s="72" t="n"/>
      <c r="H940" s="74" t="n"/>
      <c r="I940" s="73" t="n"/>
      <c r="J940" s="113" t="n"/>
      <c r="K940" s="109" t="n"/>
      <c r="L940" s="72" t="n"/>
      <c r="M940" s="109" t="n"/>
      <c r="N940" s="72" t="n"/>
      <c r="O940" s="79">
        <f>IF(AND(F940&lt;&gt;"",L940&lt;&gt;"Resolved"),1,0)</f>
        <v/>
      </c>
      <c r="P940" s="79">
        <f>IF(F940="","",IF(O940=0,0,IF(H940="High",2,1)))</f>
        <v/>
      </c>
      <c r="Q940" s="112">
        <f>IF(O940=1,IF(K940&lt;&gt;"",K940,IF(H940="High",AsOf,"")),"")</f>
        <v/>
      </c>
      <c r="R940" s="79">
        <f>IF(Q940="","",IF(H940="High",1,IF(Q940="","",IF(Q940&lt;AsOf,1,IF(Q940&lt;=AsOf+AlertDays,2,IF(Q940&lt;=AsOf+2*AlertDays,3,""))))))</f>
        <v/>
      </c>
      <c r="S940" s="79">
        <f>IF(R940="","",IF(H940="High","High-severity issue: ",IF(C940="Punch item","Punch item: ","Issue action due: "))&amp;F940&amp;IF(J940="",""," → "&amp;J940))</f>
        <v/>
      </c>
      <c r="T940" s="79">
        <f>IF(O940=1,IF(I940="",0,I940),0)</f>
        <v/>
      </c>
      <c r="U940" s="79">
        <f>IF(AND(O940=1,H940="High"),1,0)</f>
        <v/>
      </c>
      <c r="V940" s="79">
        <f>IF(AND(O940=1,C940="Punch item"),1,0)</f>
        <v/>
      </c>
    </row>
    <row r="941" ht="24" customHeight="1">
      <c r="B941" s="125" t="n">
        <v>934</v>
      </c>
      <c r="C941" s="72" t="n"/>
      <c r="D941" s="109" t="n"/>
      <c r="E941" s="72" t="n"/>
      <c r="F941" s="113" t="n"/>
      <c r="G941" s="72" t="n"/>
      <c r="H941" s="74" t="n"/>
      <c r="I941" s="73" t="n"/>
      <c r="J941" s="113" t="n"/>
      <c r="K941" s="109" t="n"/>
      <c r="L941" s="72" t="n"/>
      <c r="M941" s="109" t="n"/>
      <c r="N941" s="72" t="n"/>
      <c r="O941" s="79">
        <f>IF(AND(F941&lt;&gt;"",L941&lt;&gt;"Resolved"),1,0)</f>
        <v/>
      </c>
      <c r="P941" s="79">
        <f>IF(F941="","",IF(O941=0,0,IF(H941="High",2,1)))</f>
        <v/>
      </c>
      <c r="Q941" s="112">
        <f>IF(O941=1,IF(K941&lt;&gt;"",K941,IF(H941="High",AsOf,"")),"")</f>
        <v/>
      </c>
      <c r="R941" s="79">
        <f>IF(Q941="","",IF(H941="High",1,IF(Q941="","",IF(Q941&lt;AsOf,1,IF(Q941&lt;=AsOf+AlertDays,2,IF(Q941&lt;=AsOf+2*AlertDays,3,""))))))</f>
        <v/>
      </c>
      <c r="S941" s="79">
        <f>IF(R941="","",IF(H941="High","High-severity issue: ",IF(C941="Punch item","Punch item: ","Issue action due: "))&amp;F941&amp;IF(J941="",""," → "&amp;J941))</f>
        <v/>
      </c>
      <c r="T941" s="79">
        <f>IF(O941=1,IF(I941="",0,I941),0)</f>
        <v/>
      </c>
      <c r="U941" s="79">
        <f>IF(AND(O941=1,H941="High"),1,0)</f>
        <v/>
      </c>
      <c r="V941" s="79">
        <f>IF(AND(O941=1,C941="Punch item"),1,0)</f>
        <v/>
      </c>
    </row>
    <row r="942" ht="24" customHeight="1">
      <c r="B942" s="125" t="n">
        <v>935</v>
      </c>
      <c r="C942" s="72" t="n"/>
      <c r="D942" s="109" t="n"/>
      <c r="E942" s="72" t="n"/>
      <c r="F942" s="113" t="n"/>
      <c r="G942" s="72" t="n"/>
      <c r="H942" s="74" t="n"/>
      <c r="I942" s="73" t="n"/>
      <c r="J942" s="113" t="n"/>
      <c r="K942" s="109" t="n"/>
      <c r="L942" s="72" t="n"/>
      <c r="M942" s="109" t="n"/>
      <c r="N942" s="72" t="n"/>
      <c r="O942" s="79">
        <f>IF(AND(F942&lt;&gt;"",L942&lt;&gt;"Resolved"),1,0)</f>
        <v/>
      </c>
      <c r="P942" s="79">
        <f>IF(F942="","",IF(O942=0,0,IF(H942="High",2,1)))</f>
        <v/>
      </c>
      <c r="Q942" s="112">
        <f>IF(O942=1,IF(K942&lt;&gt;"",K942,IF(H942="High",AsOf,"")),"")</f>
        <v/>
      </c>
      <c r="R942" s="79">
        <f>IF(Q942="","",IF(H942="High",1,IF(Q942="","",IF(Q942&lt;AsOf,1,IF(Q942&lt;=AsOf+AlertDays,2,IF(Q942&lt;=AsOf+2*AlertDays,3,""))))))</f>
        <v/>
      </c>
      <c r="S942" s="79">
        <f>IF(R942="","",IF(H942="High","High-severity issue: ",IF(C942="Punch item","Punch item: ","Issue action due: "))&amp;F942&amp;IF(J942="",""," → "&amp;J942))</f>
        <v/>
      </c>
      <c r="T942" s="79">
        <f>IF(O942=1,IF(I942="",0,I942),0)</f>
        <v/>
      </c>
      <c r="U942" s="79">
        <f>IF(AND(O942=1,H942="High"),1,0)</f>
        <v/>
      </c>
      <c r="V942" s="79">
        <f>IF(AND(O942=1,C942="Punch item"),1,0)</f>
        <v/>
      </c>
    </row>
    <row r="943" ht="24" customHeight="1">
      <c r="B943" s="125" t="n">
        <v>936</v>
      </c>
      <c r="C943" s="72" t="n"/>
      <c r="D943" s="109" t="n"/>
      <c r="E943" s="72" t="n"/>
      <c r="F943" s="113" t="n"/>
      <c r="G943" s="72" t="n"/>
      <c r="H943" s="74" t="n"/>
      <c r="I943" s="73" t="n"/>
      <c r="J943" s="113" t="n"/>
      <c r="K943" s="109" t="n"/>
      <c r="L943" s="72" t="n"/>
      <c r="M943" s="109" t="n"/>
      <c r="N943" s="72" t="n"/>
      <c r="O943" s="79">
        <f>IF(AND(F943&lt;&gt;"",L943&lt;&gt;"Resolved"),1,0)</f>
        <v/>
      </c>
      <c r="P943" s="79">
        <f>IF(F943="","",IF(O943=0,0,IF(H943="High",2,1)))</f>
        <v/>
      </c>
      <c r="Q943" s="112">
        <f>IF(O943=1,IF(K943&lt;&gt;"",K943,IF(H943="High",AsOf,"")),"")</f>
        <v/>
      </c>
      <c r="R943" s="79">
        <f>IF(Q943="","",IF(H943="High",1,IF(Q943="","",IF(Q943&lt;AsOf,1,IF(Q943&lt;=AsOf+AlertDays,2,IF(Q943&lt;=AsOf+2*AlertDays,3,""))))))</f>
        <v/>
      </c>
      <c r="S943" s="79">
        <f>IF(R943="","",IF(H943="High","High-severity issue: ",IF(C943="Punch item","Punch item: ","Issue action due: "))&amp;F943&amp;IF(J943="",""," → "&amp;J943))</f>
        <v/>
      </c>
      <c r="T943" s="79">
        <f>IF(O943=1,IF(I943="",0,I943),0)</f>
        <v/>
      </c>
      <c r="U943" s="79">
        <f>IF(AND(O943=1,H943="High"),1,0)</f>
        <v/>
      </c>
      <c r="V943" s="79">
        <f>IF(AND(O943=1,C943="Punch item"),1,0)</f>
        <v/>
      </c>
    </row>
    <row r="944" ht="24" customHeight="1">
      <c r="B944" s="125" t="n">
        <v>937</v>
      </c>
      <c r="C944" s="72" t="n"/>
      <c r="D944" s="109" t="n"/>
      <c r="E944" s="72" t="n"/>
      <c r="F944" s="113" t="n"/>
      <c r="G944" s="72" t="n"/>
      <c r="H944" s="74" t="n"/>
      <c r="I944" s="73" t="n"/>
      <c r="J944" s="113" t="n"/>
      <c r="K944" s="109" t="n"/>
      <c r="L944" s="72" t="n"/>
      <c r="M944" s="109" t="n"/>
      <c r="N944" s="72" t="n"/>
      <c r="O944" s="79">
        <f>IF(AND(F944&lt;&gt;"",L944&lt;&gt;"Resolved"),1,0)</f>
        <v/>
      </c>
      <c r="P944" s="79">
        <f>IF(F944="","",IF(O944=0,0,IF(H944="High",2,1)))</f>
        <v/>
      </c>
      <c r="Q944" s="112">
        <f>IF(O944=1,IF(K944&lt;&gt;"",K944,IF(H944="High",AsOf,"")),"")</f>
        <v/>
      </c>
      <c r="R944" s="79">
        <f>IF(Q944="","",IF(H944="High",1,IF(Q944="","",IF(Q944&lt;AsOf,1,IF(Q944&lt;=AsOf+AlertDays,2,IF(Q944&lt;=AsOf+2*AlertDays,3,""))))))</f>
        <v/>
      </c>
      <c r="S944" s="79">
        <f>IF(R944="","",IF(H944="High","High-severity issue: ",IF(C944="Punch item","Punch item: ","Issue action due: "))&amp;F944&amp;IF(J944="",""," → "&amp;J944))</f>
        <v/>
      </c>
      <c r="T944" s="79">
        <f>IF(O944=1,IF(I944="",0,I944),0)</f>
        <v/>
      </c>
      <c r="U944" s="79">
        <f>IF(AND(O944=1,H944="High"),1,0)</f>
        <v/>
      </c>
      <c r="V944" s="79">
        <f>IF(AND(O944=1,C944="Punch item"),1,0)</f>
        <v/>
      </c>
    </row>
    <row r="945" ht="24" customHeight="1">
      <c r="B945" s="125" t="n">
        <v>938</v>
      </c>
      <c r="C945" s="72" t="n"/>
      <c r="D945" s="109" t="n"/>
      <c r="E945" s="72" t="n"/>
      <c r="F945" s="113" t="n"/>
      <c r="G945" s="72" t="n"/>
      <c r="H945" s="74" t="n"/>
      <c r="I945" s="73" t="n"/>
      <c r="J945" s="113" t="n"/>
      <c r="K945" s="109" t="n"/>
      <c r="L945" s="72" t="n"/>
      <c r="M945" s="109" t="n"/>
      <c r="N945" s="72" t="n"/>
      <c r="O945" s="79">
        <f>IF(AND(F945&lt;&gt;"",L945&lt;&gt;"Resolved"),1,0)</f>
        <v/>
      </c>
      <c r="P945" s="79">
        <f>IF(F945="","",IF(O945=0,0,IF(H945="High",2,1)))</f>
        <v/>
      </c>
      <c r="Q945" s="112">
        <f>IF(O945=1,IF(K945&lt;&gt;"",K945,IF(H945="High",AsOf,"")),"")</f>
        <v/>
      </c>
      <c r="R945" s="79">
        <f>IF(Q945="","",IF(H945="High",1,IF(Q945="","",IF(Q945&lt;AsOf,1,IF(Q945&lt;=AsOf+AlertDays,2,IF(Q945&lt;=AsOf+2*AlertDays,3,""))))))</f>
        <v/>
      </c>
      <c r="S945" s="79">
        <f>IF(R945="","",IF(H945="High","High-severity issue: ",IF(C945="Punch item","Punch item: ","Issue action due: "))&amp;F945&amp;IF(J945="",""," → "&amp;J945))</f>
        <v/>
      </c>
      <c r="T945" s="79">
        <f>IF(O945=1,IF(I945="",0,I945),0)</f>
        <v/>
      </c>
      <c r="U945" s="79">
        <f>IF(AND(O945=1,H945="High"),1,0)</f>
        <v/>
      </c>
      <c r="V945" s="79">
        <f>IF(AND(O945=1,C945="Punch item"),1,0)</f>
        <v/>
      </c>
    </row>
    <row r="946" ht="24" customHeight="1">
      <c r="B946" s="125" t="n">
        <v>939</v>
      </c>
      <c r="C946" s="72" t="n"/>
      <c r="D946" s="109" t="n"/>
      <c r="E946" s="72" t="n"/>
      <c r="F946" s="113" t="n"/>
      <c r="G946" s="72" t="n"/>
      <c r="H946" s="74" t="n"/>
      <c r="I946" s="73" t="n"/>
      <c r="J946" s="113" t="n"/>
      <c r="K946" s="109" t="n"/>
      <c r="L946" s="72" t="n"/>
      <c r="M946" s="109" t="n"/>
      <c r="N946" s="72" t="n"/>
      <c r="O946" s="79">
        <f>IF(AND(F946&lt;&gt;"",L946&lt;&gt;"Resolved"),1,0)</f>
        <v/>
      </c>
      <c r="P946" s="79">
        <f>IF(F946="","",IF(O946=0,0,IF(H946="High",2,1)))</f>
        <v/>
      </c>
      <c r="Q946" s="112">
        <f>IF(O946=1,IF(K946&lt;&gt;"",K946,IF(H946="High",AsOf,"")),"")</f>
        <v/>
      </c>
      <c r="R946" s="79">
        <f>IF(Q946="","",IF(H946="High",1,IF(Q946="","",IF(Q946&lt;AsOf,1,IF(Q946&lt;=AsOf+AlertDays,2,IF(Q946&lt;=AsOf+2*AlertDays,3,""))))))</f>
        <v/>
      </c>
      <c r="S946" s="79">
        <f>IF(R946="","",IF(H946="High","High-severity issue: ",IF(C946="Punch item","Punch item: ","Issue action due: "))&amp;F946&amp;IF(J946="",""," → "&amp;J946))</f>
        <v/>
      </c>
      <c r="T946" s="79">
        <f>IF(O946=1,IF(I946="",0,I946),0)</f>
        <v/>
      </c>
      <c r="U946" s="79">
        <f>IF(AND(O946=1,H946="High"),1,0)</f>
        <v/>
      </c>
      <c r="V946" s="79">
        <f>IF(AND(O946=1,C946="Punch item"),1,0)</f>
        <v/>
      </c>
    </row>
    <row r="947" ht="24" customHeight="1">
      <c r="B947" s="125" t="n">
        <v>940</v>
      </c>
      <c r="C947" s="72" t="n"/>
      <c r="D947" s="109" t="n"/>
      <c r="E947" s="72" t="n"/>
      <c r="F947" s="113" t="n"/>
      <c r="G947" s="72" t="n"/>
      <c r="H947" s="74" t="n"/>
      <c r="I947" s="73" t="n"/>
      <c r="J947" s="113" t="n"/>
      <c r="K947" s="109" t="n"/>
      <c r="L947" s="72" t="n"/>
      <c r="M947" s="109" t="n"/>
      <c r="N947" s="72" t="n"/>
      <c r="O947" s="79">
        <f>IF(AND(F947&lt;&gt;"",L947&lt;&gt;"Resolved"),1,0)</f>
        <v/>
      </c>
      <c r="P947" s="79">
        <f>IF(F947="","",IF(O947=0,0,IF(H947="High",2,1)))</f>
        <v/>
      </c>
      <c r="Q947" s="112">
        <f>IF(O947=1,IF(K947&lt;&gt;"",K947,IF(H947="High",AsOf,"")),"")</f>
        <v/>
      </c>
      <c r="R947" s="79">
        <f>IF(Q947="","",IF(H947="High",1,IF(Q947="","",IF(Q947&lt;AsOf,1,IF(Q947&lt;=AsOf+AlertDays,2,IF(Q947&lt;=AsOf+2*AlertDays,3,""))))))</f>
        <v/>
      </c>
      <c r="S947" s="79">
        <f>IF(R947="","",IF(H947="High","High-severity issue: ",IF(C947="Punch item","Punch item: ","Issue action due: "))&amp;F947&amp;IF(J947="",""," → "&amp;J947))</f>
        <v/>
      </c>
      <c r="T947" s="79">
        <f>IF(O947=1,IF(I947="",0,I947),0)</f>
        <v/>
      </c>
      <c r="U947" s="79">
        <f>IF(AND(O947=1,H947="High"),1,0)</f>
        <v/>
      </c>
      <c r="V947" s="79">
        <f>IF(AND(O947=1,C947="Punch item"),1,0)</f>
        <v/>
      </c>
    </row>
    <row r="948" ht="24" customHeight="1">
      <c r="B948" s="125" t="n">
        <v>941</v>
      </c>
      <c r="C948" s="72" t="n"/>
      <c r="D948" s="109" t="n"/>
      <c r="E948" s="72" t="n"/>
      <c r="F948" s="113" t="n"/>
      <c r="G948" s="72" t="n"/>
      <c r="H948" s="74" t="n"/>
      <c r="I948" s="73" t="n"/>
      <c r="J948" s="113" t="n"/>
      <c r="K948" s="109" t="n"/>
      <c r="L948" s="72" t="n"/>
      <c r="M948" s="109" t="n"/>
      <c r="N948" s="72" t="n"/>
      <c r="O948" s="79">
        <f>IF(AND(F948&lt;&gt;"",L948&lt;&gt;"Resolved"),1,0)</f>
        <v/>
      </c>
      <c r="P948" s="79">
        <f>IF(F948="","",IF(O948=0,0,IF(H948="High",2,1)))</f>
        <v/>
      </c>
      <c r="Q948" s="112">
        <f>IF(O948=1,IF(K948&lt;&gt;"",K948,IF(H948="High",AsOf,"")),"")</f>
        <v/>
      </c>
      <c r="R948" s="79">
        <f>IF(Q948="","",IF(H948="High",1,IF(Q948="","",IF(Q948&lt;AsOf,1,IF(Q948&lt;=AsOf+AlertDays,2,IF(Q948&lt;=AsOf+2*AlertDays,3,""))))))</f>
        <v/>
      </c>
      <c r="S948" s="79">
        <f>IF(R948="","",IF(H948="High","High-severity issue: ",IF(C948="Punch item","Punch item: ","Issue action due: "))&amp;F948&amp;IF(J948="",""," → "&amp;J948))</f>
        <v/>
      </c>
      <c r="T948" s="79">
        <f>IF(O948=1,IF(I948="",0,I948),0)</f>
        <v/>
      </c>
      <c r="U948" s="79">
        <f>IF(AND(O948=1,H948="High"),1,0)</f>
        <v/>
      </c>
      <c r="V948" s="79">
        <f>IF(AND(O948=1,C948="Punch item"),1,0)</f>
        <v/>
      </c>
    </row>
    <row r="949" ht="24" customHeight="1">
      <c r="B949" s="125" t="n">
        <v>942</v>
      </c>
      <c r="C949" s="72" t="n"/>
      <c r="D949" s="109" t="n"/>
      <c r="E949" s="72" t="n"/>
      <c r="F949" s="113" t="n"/>
      <c r="G949" s="72" t="n"/>
      <c r="H949" s="74" t="n"/>
      <c r="I949" s="73" t="n"/>
      <c r="J949" s="113" t="n"/>
      <c r="K949" s="109" t="n"/>
      <c r="L949" s="72" t="n"/>
      <c r="M949" s="109" t="n"/>
      <c r="N949" s="72" t="n"/>
      <c r="O949" s="79">
        <f>IF(AND(F949&lt;&gt;"",L949&lt;&gt;"Resolved"),1,0)</f>
        <v/>
      </c>
      <c r="P949" s="79">
        <f>IF(F949="","",IF(O949=0,0,IF(H949="High",2,1)))</f>
        <v/>
      </c>
      <c r="Q949" s="112">
        <f>IF(O949=1,IF(K949&lt;&gt;"",K949,IF(H949="High",AsOf,"")),"")</f>
        <v/>
      </c>
      <c r="R949" s="79">
        <f>IF(Q949="","",IF(H949="High",1,IF(Q949="","",IF(Q949&lt;AsOf,1,IF(Q949&lt;=AsOf+AlertDays,2,IF(Q949&lt;=AsOf+2*AlertDays,3,""))))))</f>
        <v/>
      </c>
      <c r="S949" s="79">
        <f>IF(R949="","",IF(H949="High","High-severity issue: ",IF(C949="Punch item","Punch item: ","Issue action due: "))&amp;F949&amp;IF(J949="",""," → "&amp;J949))</f>
        <v/>
      </c>
      <c r="T949" s="79">
        <f>IF(O949=1,IF(I949="",0,I949),0)</f>
        <v/>
      </c>
      <c r="U949" s="79">
        <f>IF(AND(O949=1,H949="High"),1,0)</f>
        <v/>
      </c>
      <c r="V949" s="79">
        <f>IF(AND(O949=1,C949="Punch item"),1,0)</f>
        <v/>
      </c>
    </row>
    <row r="950" ht="24" customHeight="1">
      <c r="B950" s="125" t="n">
        <v>943</v>
      </c>
      <c r="C950" s="72" t="n"/>
      <c r="D950" s="109" t="n"/>
      <c r="E950" s="72" t="n"/>
      <c r="F950" s="113" t="n"/>
      <c r="G950" s="72" t="n"/>
      <c r="H950" s="74" t="n"/>
      <c r="I950" s="73" t="n"/>
      <c r="J950" s="113" t="n"/>
      <c r="K950" s="109" t="n"/>
      <c r="L950" s="72" t="n"/>
      <c r="M950" s="109" t="n"/>
      <c r="N950" s="72" t="n"/>
      <c r="O950" s="79">
        <f>IF(AND(F950&lt;&gt;"",L950&lt;&gt;"Resolved"),1,0)</f>
        <v/>
      </c>
      <c r="P950" s="79">
        <f>IF(F950="","",IF(O950=0,0,IF(H950="High",2,1)))</f>
        <v/>
      </c>
      <c r="Q950" s="112">
        <f>IF(O950=1,IF(K950&lt;&gt;"",K950,IF(H950="High",AsOf,"")),"")</f>
        <v/>
      </c>
      <c r="R950" s="79">
        <f>IF(Q950="","",IF(H950="High",1,IF(Q950="","",IF(Q950&lt;AsOf,1,IF(Q950&lt;=AsOf+AlertDays,2,IF(Q950&lt;=AsOf+2*AlertDays,3,""))))))</f>
        <v/>
      </c>
      <c r="S950" s="79">
        <f>IF(R950="","",IF(H950="High","High-severity issue: ",IF(C950="Punch item","Punch item: ","Issue action due: "))&amp;F950&amp;IF(J950="",""," → "&amp;J950))</f>
        <v/>
      </c>
      <c r="T950" s="79">
        <f>IF(O950=1,IF(I950="",0,I950),0)</f>
        <v/>
      </c>
      <c r="U950" s="79">
        <f>IF(AND(O950=1,H950="High"),1,0)</f>
        <v/>
      </c>
      <c r="V950" s="79">
        <f>IF(AND(O950=1,C950="Punch item"),1,0)</f>
        <v/>
      </c>
    </row>
    <row r="951" ht="24" customHeight="1">
      <c r="B951" s="125" t="n">
        <v>944</v>
      </c>
      <c r="C951" s="72" t="n"/>
      <c r="D951" s="109" t="n"/>
      <c r="E951" s="72" t="n"/>
      <c r="F951" s="113" t="n"/>
      <c r="G951" s="72" t="n"/>
      <c r="H951" s="74" t="n"/>
      <c r="I951" s="73" t="n"/>
      <c r="J951" s="113" t="n"/>
      <c r="K951" s="109" t="n"/>
      <c r="L951" s="72" t="n"/>
      <c r="M951" s="109" t="n"/>
      <c r="N951" s="72" t="n"/>
      <c r="O951" s="79">
        <f>IF(AND(F951&lt;&gt;"",L951&lt;&gt;"Resolved"),1,0)</f>
        <v/>
      </c>
      <c r="P951" s="79">
        <f>IF(F951="","",IF(O951=0,0,IF(H951="High",2,1)))</f>
        <v/>
      </c>
      <c r="Q951" s="112">
        <f>IF(O951=1,IF(K951&lt;&gt;"",K951,IF(H951="High",AsOf,"")),"")</f>
        <v/>
      </c>
      <c r="R951" s="79">
        <f>IF(Q951="","",IF(H951="High",1,IF(Q951="","",IF(Q951&lt;AsOf,1,IF(Q951&lt;=AsOf+AlertDays,2,IF(Q951&lt;=AsOf+2*AlertDays,3,""))))))</f>
        <v/>
      </c>
      <c r="S951" s="79">
        <f>IF(R951="","",IF(H951="High","High-severity issue: ",IF(C951="Punch item","Punch item: ","Issue action due: "))&amp;F951&amp;IF(J951="",""," → "&amp;J951))</f>
        <v/>
      </c>
      <c r="T951" s="79">
        <f>IF(O951=1,IF(I951="",0,I951),0)</f>
        <v/>
      </c>
      <c r="U951" s="79">
        <f>IF(AND(O951=1,H951="High"),1,0)</f>
        <v/>
      </c>
      <c r="V951" s="79">
        <f>IF(AND(O951=1,C951="Punch item"),1,0)</f>
        <v/>
      </c>
    </row>
    <row r="952" ht="24" customHeight="1">
      <c r="B952" s="125" t="n">
        <v>945</v>
      </c>
      <c r="C952" s="72" t="n"/>
      <c r="D952" s="109" t="n"/>
      <c r="E952" s="72" t="n"/>
      <c r="F952" s="113" t="n"/>
      <c r="G952" s="72" t="n"/>
      <c r="H952" s="74" t="n"/>
      <c r="I952" s="73" t="n"/>
      <c r="J952" s="113" t="n"/>
      <c r="K952" s="109" t="n"/>
      <c r="L952" s="72" t="n"/>
      <c r="M952" s="109" t="n"/>
      <c r="N952" s="72" t="n"/>
      <c r="O952" s="79">
        <f>IF(AND(F952&lt;&gt;"",L952&lt;&gt;"Resolved"),1,0)</f>
        <v/>
      </c>
      <c r="P952" s="79">
        <f>IF(F952="","",IF(O952=0,0,IF(H952="High",2,1)))</f>
        <v/>
      </c>
      <c r="Q952" s="112">
        <f>IF(O952=1,IF(K952&lt;&gt;"",K952,IF(H952="High",AsOf,"")),"")</f>
        <v/>
      </c>
      <c r="R952" s="79">
        <f>IF(Q952="","",IF(H952="High",1,IF(Q952="","",IF(Q952&lt;AsOf,1,IF(Q952&lt;=AsOf+AlertDays,2,IF(Q952&lt;=AsOf+2*AlertDays,3,""))))))</f>
        <v/>
      </c>
      <c r="S952" s="79">
        <f>IF(R952="","",IF(H952="High","High-severity issue: ",IF(C952="Punch item","Punch item: ","Issue action due: "))&amp;F952&amp;IF(J952="",""," → "&amp;J952))</f>
        <v/>
      </c>
      <c r="T952" s="79">
        <f>IF(O952=1,IF(I952="",0,I952),0)</f>
        <v/>
      </c>
      <c r="U952" s="79">
        <f>IF(AND(O952=1,H952="High"),1,0)</f>
        <v/>
      </c>
      <c r="V952" s="79">
        <f>IF(AND(O952=1,C952="Punch item"),1,0)</f>
        <v/>
      </c>
    </row>
    <row r="953" ht="24" customHeight="1">
      <c r="B953" s="125" t="n">
        <v>946</v>
      </c>
      <c r="C953" s="72" t="n"/>
      <c r="D953" s="109" t="n"/>
      <c r="E953" s="72" t="n"/>
      <c r="F953" s="113" t="n"/>
      <c r="G953" s="72" t="n"/>
      <c r="H953" s="74" t="n"/>
      <c r="I953" s="73" t="n"/>
      <c r="J953" s="113" t="n"/>
      <c r="K953" s="109" t="n"/>
      <c r="L953" s="72" t="n"/>
      <c r="M953" s="109" t="n"/>
      <c r="N953" s="72" t="n"/>
      <c r="O953" s="79">
        <f>IF(AND(F953&lt;&gt;"",L953&lt;&gt;"Resolved"),1,0)</f>
        <v/>
      </c>
      <c r="P953" s="79">
        <f>IF(F953="","",IF(O953=0,0,IF(H953="High",2,1)))</f>
        <v/>
      </c>
      <c r="Q953" s="112">
        <f>IF(O953=1,IF(K953&lt;&gt;"",K953,IF(H953="High",AsOf,"")),"")</f>
        <v/>
      </c>
      <c r="R953" s="79">
        <f>IF(Q953="","",IF(H953="High",1,IF(Q953="","",IF(Q953&lt;AsOf,1,IF(Q953&lt;=AsOf+AlertDays,2,IF(Q953&lt;=AsOf+2*AlertDays,3,""))))))</f>
        <v/>
      </c>
      <c r="S953" s="79">
        <f>IF(R953="","",IF(H953="High","High-severity issue: ",IF(C953="Punch item","Punch item: ","Issue action due: "))&amp;F953&amp;IF(J953="",""," → "&amp;J953))</f>
        <v/>
      </c>
      <c r="T953" s="79">
        <f>IF(O953=1,IF(I953="",0,I953),0)</f>
        <v/>
      </c>
      <c r="U953" s="79">
        <f>IF(AND(O953=1,H953="High"),1,0)</f>
        <v/>
      </c>
      <c r="V953" s="79">
        <f>IF(AND(O953=1,C953="Punch item"),1,0)</f>
        <v/>
      </c>
    </row>
    <row r="954" ht="24" customHeight="1">
      <c r="B954" s="125" t="n">
        <v>947</v>
      </c>
      <c r="C954" s="72" t="n"/>
      <c r="D954" s="109" t="n"/>
      <c r="E954" s="72" t="n"/>
      <c r="F954" s="113" t="n"/>
      <c r="G954" s="72" t="n"/>
      <c r="H954" s="74" t="n"/>
      <c r="I954" s="73" t="n"/>
      <c r="J954" s="113" t="n"/>
      <c r="K954" s="109" t="n"/>
      <c r="L954" s="72" t="n"/>
      <c r="M954" s="109" t="n"/>
      <c r="N954" s="72" t="n"/>
      <c r="O954" s="79">
        <f>IF(AND(F954&lt;&gt;"",L954&lt;&gt;"Resolved"),1,0)</f>
        <v/>
      </c>
      <c r="P954" s="79">
        <f>IF(F954="","",IF(O954=0,0,IF(H954="High",2,1)))</f>
        <v/>
      </c>
      <c r="Q954" s="112">
        <f>IF(O954=1,IF(K954&lt;&gt;"",K954,IF(H954="High",AsOf,"")),"")</f>
        <v/>
      </c>
      <c r="R954" s="79">
        <f>IF(Q954="","",IF(H954="High",1,IF(Q954="","",IF(Q954&lt;AsOf,1,IF(Q954&lt;=AsOf+AlertDays,2,IF(Q954&lt;=AsOf+2*AlertDays,3,""))))))</f>
        <v/>
      </c>
      <c r="S954" s="79">
        <f>IF(R954="","",IF(H954="High","High-severity issue: ",IF(C954="Punch item","Punch item: ","Issue action due: "))&amp;F954&amp;IF(J954="",""," → "&amp;J954))</f>
        <v/>
      </c>
      <c r="T954" s="79">
        <f>IF(O954=1,IF(I954="",0,I954),0)</f>
        <v/>
      </c>
      <c r="U954" s="79">
        <f>IF(AND(O954=1,H954="High"),1,0)</f>
        <v/>
      </c>
      <c r="V954" s="79">
        <f>IF(AND(O954=1,C954="Punch item"),1,0)</f>
        <v/>
      </c>
    </row>
    <row r="955" ht="24" customHeight="1">
      <c r="B955" s="125" t="n">
        <v>948</v>
      </c>
      <c r="C955" s="72" t="n"/>
      <c r="D955" s="109" t="n"/>
      <c r="E955" s="72" t="n"/>
      <c r="F955" s="113" t="n"/>
      <c r="G955" s="72" t="n"/>
      <c r="H955" s="74" t="n"/>
      <c r="I955" s="73" t="n"/>
      <c r="J955" s="113" t="n"/>
      <c r="K955" s="109" t="n"/>
      <c r="L955" s="72" t="n"/>
      <c r="M955" s="109" t="n"/>
      <c r="N955" s="72" t="n"/>
      <c r="O955" s="79">
        <f>IF(AND(F955&lt;&gt;"",L955&lt;&gt;"Resolved"),1,0)</f>
        <v/>
      </c>
      <c r="P955" s="79">
        <f>IF(F955="","",IF(O955=0,0,IF(H955="High",2,1)))</f>
        <v/>
      </c>
      <c r="Q955" s="112">
        <f>IF(O955=1,IF(K955&lt;&gt;"",K955,IF(H955="High",AsOf,"")),"")</f>
        <v/>
      </c>
      <c r="R955" s="79">
        <f>IF(Q955="","",IF(H955="High",1,IF(Q955="","",IF(Q955&lt;AsOf,1,IF(Q955&lt;=AsOf+AlertDays,2,IF(Q955&lt;=AsOf+2*AlertDays,3,""))))))</f>
        <v/>
      </c>
      <c r="S955" s="79">
        <f>IF(R955="","",IF(H955="High","High-severity issue: ",IF(C955="Punch item","Punch item: ","Issue action due: "))&amp;F955&amp;IF(J955="",""," → "&amp;J955))</f>
        <v/>
      </c>
      <c r="T955" s="79">
        <f>IF(O955=1,IF(I955="",0,I955),0)</f>
        <v/>
      </c>
      <c r="U955" s="79">
        <f>IF(AND(O955=1,H955="High"),1,0)</f>
        <v/>
      </c>
      <c r="V955" s="79">
        <f>IF(AND(O955=1,C955="Punch item"),1,0)</f>
        <v/>
      </c>
    </row>
    <row r="956" ht="24" customHeight="1">
      <c r="B956" s="125" t="n">
        <v>949</v>
      </c>
      <c r="C956" s="72" t="n"/>
      <c r="D956" s="109" t="n"/>
      <c r="E956" s="72" t="n"/>
      <c r="F956" s="113" t="n"/>
      <c r="G956" s="72" t="n"/>
      <c r="H956" s="74" t="n"/>
      <c r="I956" s="73" t="n"/>
      <c r="J956" s="113" t="n"/>
      <c r="K956" s="109" t="n"/>
      <c r="L956" s="72" t="n"/>
      <c r="M956" s="109" t="n"/>
      <c r="N956" s="72" t="n"/>
      <c r="O956" s="79">
        <f>IF(AND(F956&lt;&gt;"",L956&lt;&gt;"Resolved"),1,0)</f>
        <v/>
      </c>
      <c r="P956" s="79">
        <f>IF(F956="","",IF(O956=0,0,IF(H956="High",2,1)))</f>
        <v/>
      </c>
      <c r="Q956" s="112">
        <f>IF(O956=1,IF(K956&lt;&gt;"",K956,IF(H956="High",AsOf,"")),"")</f>
        <v/>
      </c>
      <c r="R956" s="79">
        <f>IF(Q956="","",IF(H956="High",1,IF(Q956="","",IF(Q956&lt;AsOf,1,IF(Q956&lt;=AsOf+AlertDays,2,IF(Q956&lt;=AsOf+2*AlertDays,3,""))))))</f>
        <v/>
      </c>
      <c r="S956" s="79">
        <f>IF(R956="","",IF(H956="High","High-severity issue: ",IF(C956="Punch item","Punch item: ","Issue action due: "))&amp;F956&amp;IF(J956="",""," → "&amp;J956))</f>
        <v/>
      </c>
      <c r="T956" s="79">
        <f>IF(O956=1,IF(I956="",0,I956),0)</f>
        <v/>
      </c>
      <c r="U956" s="79">
        <f>IF(AND(O956=1,H956="High"),1,0)</f>
        <v/>
      </c>
      <c r="V956" s="79">
        <f>IF(AND(O956=1,C956="Punch item"),1,0)</f>
        <v/>
      </c>
    </row>
    <row r="957" ht="24" customHeight="1">
      <c r="B957" s="125" t="n">
        <v>950</v>
      </c>
      <c r="C957" s="72" t="n"/>
      <c r="D957" s="109" t="n"/>
      <c r="E957" s="72" t="n"/>
      <c r="F957" s="113" t="n"/>
      <c r="G957" s="72" t="n"/>
      <c r="H957" s="74" t="n"/>
      <c r="I957" s="73" t="n"/>
      <c r="J957" s="113" t="n"/>
      <c r="K957" s="109" t="n"/>
      <c r="L957" s="72" t="n"/>
      <c r="M957" s="109" t="n"/>
      <c r="N957" s="72" t="n"/>
      <c r="O957" s="79">
        <f>IF(AND(F957&lt;&gt;"",L957&lt;&gt;"Resolved"),1,0)</f>
        <v/>
      </c>
      <c r="P957" s="79">
        <f>IF(F957="","",IF(O957=0,0,IF(H957="High",2,1)))</f>
        <v/>
      </c>
      <c r="Q957" s="112">
        <f>IF(O957=1,IF(K957&lt;&gt;"",K957,IF(H957="High",AsOf,"")),"")</f>
        <v/>
      </c>
      <c r="R957" s="79">
        <f>IF(Q957="","",IF(H957="High",1,IF(Q957="","",IF(Q957&lt;AsOf,1,IF(Q957&lt;=AsOf+AlertDays,2,IF(Q957&lt;=AsOf+2*AlertDays,3,""))))))</f>
        <v/>
      </c>
      <c r="S957" s="79">
        <f>IF(R957="","",IF(H957="High","High-severity issue: ",IF(C957="Punch item","Punch item: ","Issue action due: "))&amp;F957&amp;IF(J957="",""," → "&amp;J957))</f>
        <v/>
      </c>
      <c r="T957" s="79">
        <f>IF(O957=1,IF(I957="",0,I957),0)</f>
        <v/>
      </c>
      <c r="U957" s="79">
        <f>IF(AND(O957=1,H957="High"),1,0)</f>
        <v/>
      </c>
      <c r="V957" s="79">
        <f>IF(AND(O957=1,C957="Punch item"),1,0)</f>
        <v/>
      </c>
    </row>
    <row r="958" ht="24" customHeight="1">
      <c r="B958" s="125" t="n">
        <v>951</v>
      </c>
      <c r="C958" s="72" t="n"/>
      <c r="D958" s="109" t="n"/>
      <c r="E958" s="72" t="n"/>
      <c r="F958" s="113" t="n"/>
      <c r="G958" s="72" t="n"/>
      <c r="H958" s="74" t="n"/>
      <c r="I958" s="73" t="n"/>
      <c r="J958" s="113" t="n"/>
      <c r="K958" s="109" t="n"/>
      <c r="L958" s="72" t="n"/>
      <c r="M958" s="109" t="n"/>
      <c r="N958" s="72" t="n"/>
      <c r="O958" s="79">
        <f>IF(AND(F958&lt;&gt;"",L958&lt;&gt;"Resolved"),1,0)</f>
        <v/>
      </c>
      <c r="P958" s="79">
        <f>IF(F958="","",IF(O958=0,0,IF(H958="High",2,1)))</f>
        <v/>
      </c>
      <c r="Q958" s="112">
        <f>IF(O958=1,IF(K958&lt;&gt;"",K958,IF(H958="High",AsOf,"")),"")</f>
        <v/>
      </c>
      <c r="R958" s="79">
        <f>IF(Q958="","",IF(H958="High",1,IF(Q958="","",IF(Q958&lt;AsOf,1,IF(Q958&lt;=AsOf+AlertDays,2,IF(Q958&lt;=AsOf+2*AlertDays,3,""))))))</f>
        <v/>
      </c>
      <c r="S958" s="79">
        <f>IF(R958="","",IF(H958="High","High-severity issue: ",IF(C958="Punch item","Punch item: ","Issue action due: "))&amp;F958&amp;IF(J958="",""," → "&amp;J958))</f>
        <v/>
      </c>
      <c r="T958" s="79">
        <f>IF(O958=1,IF(I958="",0,I958),0)</f>
        <v/>
      </c>
      <c r="U958" s="79">
        <f>IF(AND(O958=1,H958="High"),1,0)</f>
        <v/>
      </c>
      <c r="V958" s="79">
        <f>IF(AND(O958=1,C958="Punch item"),1,0)</f>
        <v/>
      </c>
    </row>
    <row r="959" ht="24" customHeight="1">
      <c r="B959" s="125" t="n">
        <v>952</v>
      </c>
      <c r="C959" s="72" t="n"/>
      <c r="D959" s="109" t="n"/>
      <c r="E959" s="72" t="n"/>
      <c r="F959" s="113" t="n"/>
      <c r="G959" s="72" t="n"/>
      <c r="H959" s="74" t="n"/>
      <c r="I959" s="73" t="n"/>
      <c r="J959" s="113" t="n"/>
      <c r="K959" s="109" t="n"/>
      <c r="L959" s="72" t="n"/>
      <c r="M959" s="109" t="n"/>
      <c r="N959" s="72" t="n"/>
      <c r="O959" s="79">
        <f>IF(AND(F959&lt;&gt;"",L959&lt;&gt;"Resolved"),1,0)</f>
        <v/>
      </c>
      <c r="P959" s="79">
        <f>IF(F959="","",IF(O959=0,0,IF(H959="High",2,1)))</f>
        <v/>
      </c>
      <c r="Q959" s="112">
        <f>IF(O959=1,IF(K959&lt;&gt;"",K959,IF(H959="High",AsOf,"")),"")</f>
        <v/>
      </c>
      <c r="R959" s="79">
        <f>IF(Q959="","",IF(H959="High",1,IF(Q959="","",IF(Q959&lt;AsOf,1,IF(Q959&lt;=AsOf+AlertDays,2,IF(Q959&lt;=AsOf+2*AlertDays,3,""))))))</f>
        <v/>
      </c>
      <c r="S959" s="79">
        <f>IF(R959="","",IF(H959="High","High-severity issue: ",IF(C959="Punch item","Punch item: ","Issue action due: "))&amp;F959&amp;IF(J959="",""," → "&amp;J959))</f>
        <v/>
      </c>
      <c r="T959" s="79">
        <f>IF(O959=1,IF(I959="",0,I959),0)</f>
        <v/>
      </c>
      <c r="U959" s="79">
        <f>IF(AND(O959=1,H959="High"),1,0)</f>
        <v/>
      </c>
      <c r="V959" s="79">
        <f>IF(AND(O959=1,C959="Punch item"),1,0)</f>
        <v/>
      </c>
    </row>
    <row r="960" ht="24" customHeight="1">
      <c r="B960" s="125" t="n">
        <v>953</v>
      </c>
      <c r="C960" s="72" t="n"/>
      <c r="D960" s="109" t="n"/>
      <c r="E960" s="72" t="n"/>
      <c r="F960" s="113" t="n"/>
      <c r="G960" s="72" t="n"/>
      <c r="H960" s="74" t="n"/>
      <c r="I960" s="73" t="n"/>
      <c r="J960" s="113" t="n"/>
      <c r="K960" s="109" t="n"/>
      <c r="L960" s="72" t="n"/>
      <c r="M960" s="109" t="n"/>
      <c r="N960" s="72" t="n"/>
      <c r="O960" s="79">
        <f>IF(AND(F960&lt;&gt;"",L960&lt;&gt;"Resolved"),1,0)</f>
        <v/>
      </c>
      <c r="P960" s="79">
        <f>IF(F960="","",IF(O960=0,0,IF(H960="High",2,1)))</f>
        <v/>
      </c>
      <c r="Q960" s="112">
        <f>IF(O960=1,IF(K960&lt;&gt;"",K960,IF(H960="High",AsOf,"")),"")</f>
        <v/>
      </c>
      <c r="R960" s="79">
        <f>IF(Q960="","",IF(H960="High",1,IF(Q960="","",IF(Q960&lt;AsOf,1,IF(Q960&lt;=AsOf+AlertDays,2,IF(Q960&lt;=AsOf+2*AlertDays,3,""))))))</f>
        <v/>
      </c>
      <c r="S960" s="79">
        <f>IF(R960="","",IF(H960="High","High-severity issue: ",IF(C960="Punch item","Punch item: ","Issue action due: "))&amp;F960&amp;IF(J960="",""," → "&amp;J960))</f>
        <v/>
      </c>
      <c r="T960" s="79">
        <f>IF(O960=1,IF(I960="",0,I960),0)</f>
        <v/>
      </c>
      <c r="U960" s="79">
        <f>IF(AND(O960=1,H960="High"),1,0)</f>
        <v/>
      </c>
      <c r="V960" s="79">
        <f>IF(AND(O960=1,C960="Punch item"),1,0)</f>
        <v/>
      </c>
    </row>
    <row r="961" ht="24" customHeight="1">
      <c r="B961" s="125" t="n">
        <v>954</v>
      </c>
      <c r="C961" s="72" t="n"/>
      <c r="D961" s="109" t="n"/>
      <c r="E961" s="72" t="n"/>
      <c r="F961" s="113" t="n"/>
      <c r="G961" s="72" t="n"/>
      <c r="H961" s="74" t="n"/>
      <c r="I961" s="73" t="n"/>
      <c r="J961" s="113" t="n"/>
      <c r="K961" s="109" t="n"/>
      <c r="L961" s="72" t="n"/>
      <c r="M961" s="109" t="n"/>
      <c r="N961" s="72" t="n"/>
      <c r="O961" s="79">
        <f>IF(AND(F961&lt;&gt;"",L961&lt;&gt;"Resolved"),1,0)</f>
        <v/>
      </c>
      <c r="P961" s="79">
        <f>IF(F961="","",IF(O961=0,0,IF(H961="High",2,1)))</f>
        <v/>
      </c>
      <c r="Q961" s="112">
        <f>IF(O961=1,IF(K961&lt;&gt;"",K961,IF(H961="High",AsOf,"")),"")</f>
        <v/>
      </c>
      <c r="R961" s="79">
        <f>IF(Q961="","",IF(H961="High",1,IF(Q961="","",IF(Q961&lt;AsOf,1,IF(Q961&lt;=AsOf+AlertDays,2,IF(Q961&lt;=AsOf+2*AlertDays,3,""))))))</f>
        <v/>
      </c>
      <c r="S961" s="79">
        <f>IF(R961="","",IF(H961="High","High-severity issue: ",IF(C961="Punch item","Punch item: ","Issue action due: "))&amp;F961&amp;IF(J961="",""," → "&amp;J961))</f>
        <v/>
      </c>
      <c r="T961" s="79">
        <f>IF(O961=1,IF(I961="",0,I961),0)</f>
        <v/>
      </c>
      <c r="U961" s="79">
        <f>IF(AND(O961=1,H961="High"),1,0)</f>
        <v/>
      </c>
      <c r="V961" s="79">
        <f>IF(AND(O961=1,C961="Punch item"),1,0)</f>
        <v/>
      </c>
    </row>
    <row r="962" ht="24" customHeight="1">
      <c r="B962" s="125" t="n">
        <v>955</v>
      </c>
      <c r="C962" s="72" t="n"/>
      <c r="D962" s="109" t="n"/>
      <c r="E962" s="72" t="n"/>
      <c r="F962" s="113" t="n"/>
      <c r="G962" s="72" t="n"/>
      <c r="H962" s="74" t="n"/>
      <c r="I962" s="73" t="n"/>
      <c r="J962" s="113" t="n"/>
      <c r="K962" s="109" t="n"/>
      <c r="L962" s="72" t="n"/>
      <c r="M962" s="109" t="n"/>
      <c r="N962" s="72" t="n"/>
      <c r="O962" s="79">
        <f>IF(AND(F962&lt;&gt;"",L962&lt;&gt;"Resolved"),1,0)</f>
        <v/>
      </c>
      <c r="P962" s="79">
        <f>IF(F962="","",IF(O962=0,0,IF(H962="High",2,1)))</f>
        <v/>
      </c>
      <c r="Q962" s="112">
        <f>IF(O962=1,IF(K962&lt;&gt;"",K962,IF(H962="High",AsOf,"")),"")</f>
        <v/>
      </c>
      <c r="R962" s="79">
        <f>IF(Q962="","",IF(H962="High",1,IF(Q962="","",IF(Q962&lt;AsOf,1,IF(Q962&lt;=AsOf+AlertDays,2,IF(Q962&lt;=AsOf+2*AlertDays,3,""))))))</f>
        <v/>
      </c>
      <c r="S962" s="79">
        <f>IF(R962="","",IF(H962="High","High-severity issue: ",IF(C962="Punch item","Punch item: ","Issue action due: "))&amp;F962&amp;IF(J962="",""," → "&amp;J962))</f>
        <v/>
      </c>
      <c r="T962" s="79">
        <f>IF(O962=1,IF(I962="",0,I962),0)</f>
        <v/>
      </c>
      <c r="U962" s="79">
        <f>IF(AND(O962=1,H962="High"),1,0)</f>
        <v/>
      </c>
      <c r="V962" s="79">
        <f>IF(AND(O962=1,C962="Punch item"),1,0)</f>
        <v/>
      </c>
    </row>
    <row r="963" ht="24" customHeight="1">
      <c r="B963" s="125" t="n">
        <v>956</v>
      </c>
      <c r="C963" s="72" t="n"/>
      <c r="D963" s="109" t="n"/>
      <c r="E963" s="72" t="n"/>
      <c r="F963" s="113" t="n"/>
      <c r="G963" s="72" t="n"/>
      <c r="H963" s="74" t="n"/>
      <c r="I963" s="73" t="n"/>
      <c r="J963" s="113" t="n"/>
      <c r="K963" s="109" t="n"/>
      <c r="L963" s="72" t="n"/>
      <c r="M963" s="109" t="n"/>
      <c r="N963" s="72" t="n"/>
      <c r="O963" s="79">
        <f>IF(AND(F963&lt;&gt;"",L963&lt;&gt;"Resolved"),1,0)</f>
        <v/>
      </c>
      <c r="P963" s="79">
        <f>IF(F963="","",IF(O963=0,0,IF(H963="High",2,1)))</f>
        <v/>
      </c>
      <c r="Q963" s="112">
        <f>IF(O963=1,IF(K963&lt;&gt;"",K963,IF(H963="High",AsOf,"")),"")</f>
        <v/>
      </c>
      <c r="R963" s="79">
        <f>IF(Q963="","",IF(H963="High",1,IF(Q963="","",IF(Q963&lt;AsOf,1,IF(Q963&lt;=AsOf+AlertDays,2,IF(Q963&lt;=AsOf+2*AlertDays,3,""))))))</f>
        <v/>
      </c>
      <c r="S963" s="79">
        <f>IF(R963="","",IF(H963="High","High-severity issue: ",IF(C963="Punch item","Punch item: ","Issue action due: "))&amp;F963&amp;IF(J963="",""," → "&amp;J963))</f>
        <v/>
      </c>
      <c r="T963" s="79">
        <f>IF(O963=1,IF(I963="",0,I963),0)</f>
        <v/>
      </c>
      <c r="U963" s="79">
        <f>IF(AND(O963=1,H963="High"),1,0)</f>
        <v/>
      </c>
      <c r="V963" s="79">
        <f>IF(AND(O963=1,C963="Punch item"),1,0)</f>
        <v/>
      </c>
    </row>
    <row r="964" ht="24" customHeight="1">
      <c r="B964" s="125" t="n">
        <v>957</v>
      </c>
      <c r="C964" s="72" t="n"/>
      <c r="D964" s="109" t="n"/>
      <c r="E964" s="72" t="n"/>
      <c r="F964" s="113" t="n"/>
      <c r="G964" s="72" t="n"/>
      <c r="H964" s="74" t="n"/>
      <c r="I964" s="73" t="n"/>
      <c r="J964" s="113" t="n"/>
      <c r="K964" s="109" t="n"/>
      <c r="L964" s="72" t="n"/>
      <c r="M964" s="109" t="n"/>
      <c r="N964" s="72" t="n"/>
      <c r="O964" s="79">
        <f>IF(AND(F964&lt;&gt;"",L964&lt;&gt;"Resolved"),1,0)</f>
        <v/>
      </c>
      <c r="P964" s="79">
        <f>IF(F964="","",IF(O964=0,0,IF(H964="High",2,1)))</f>
        <v/>
      </c>
      <c r="Q964" s="112">
        <f>IF(O964=1,IF(K964&lt;&gt;"",K964,IF(H964="High",AsOf,"")),"")</f>
        <v/>
      </c>
      <c r="R964" s="79">
        <f>IF(Q964="","",IF(H964="High",1,IF(Q964="","",IF(Q964&lt;AsOf,1,IF(Q964&lt;=AsOf+AlertDays,2,IF(Q964&lt;=AsOf+2*AlertDays,3,""))))))</f>
        <v/>
      </c>
      <c r="S964" s="79">
        <f>IF(R964="","",IF(H964="High","High-severity issue: ",IF(C964="Punch item","Punch item: ","Issue action due: "))&amp;F964&amp;IF(J964="",""," → "&amp;J964))</f>
        <v/>
      </c>
      <c r="T964" s="79">
        <f>IF(O964=1,IF(I964="",0,I964),0)</f>
        <v/>
      </c>
      <c r="U964" s="79">
        <f>IF(AND(O964=1,H964="High"),1,0)</f>
        <v/>
      </c>
      <c r="V964" s="79">
        <f>IF(AND(O964=1,C964="Punch item"),1,0)</f>
        <v/>
      </c>
    </row>
    <row r="965" ht="24" customHeight="1">
      <c r="B965" s="125" t="n">
        <v>958</v>
      </c>
      <c r="C965" s="72" t="n"/>
      <c r="D965" s="109" t="n"/>
      <c r="E965" s="72" t="n"/>
      <c r="F965" s="113" t="n"/>
      <c r="G965" s="72" t="n"/>
      <c r="H965" s="74" t="n"/>
      <c r="I965" s="73" t="n"/>
      <c r="J965" s="113" t="n"/>
      <c r="K965" s="109" t="n"/>
      <c r="L965" s="72" t="n"/>
      <c r="M965" s="109" t="n"/>
      <c r="N965" s="72" t="n"/>
      <c r="O965" s="79">
        <f>IF(AND(F965&lt;&gt;"",L965&lt;&gt;"Resolved"),1,0)</f>
        <v/>
      </c>
      <c r="P965" s="79">
        <f>IF(F965="","",IF(O965=0,0,IF(H965="High",2,1)))</f>
        <v/>
      </c>
      <c r="Q965" s="112">
        <f>IF(O965=1,IF(K965&lt;&gt;"",K965,IF(H965="High",AsOf,"")),"")</f>
        <v/>
      </c>
      <c r="R965" s="79">
        <f>IF(Q965="","",IF(H965="High",1,IF(Q965="","",IF(Q965&lt;AsOf,1,IF(Q965&lt;=AsOf+AlertDays,2,IF(Q965&lt;=AsOf+2*AlertDays,3,""))))))</f>
        <v/>
      </c>
      <c r="S965" s="79">
        <f>IF(R965="","",IF(H965="High","High-severity issue: ",IF(C965="Punch item","Punch item: ","Issue action due: "))&amp;F965&amp;IF(J965="",""," → "&amp;J965))</f>
        <v/>
      </c>
      <c r="T965" s="79">
        <f>IF(O965=1,IF(I965="",0,I965),0)</f>
        <v/>
      </c>
      <c r="U965" s="79">
        <f>IF(AND(O965=1,H965="High"),1,0)</f>
        <v/>
      </c>
      <c r="V965" s="79">
        <f>IF(AND(O965=1,C965="Punch item"),1,0)</f>
        <v/>
      </c>
    </row>
    <row r="966" ht="24" customHeight="1">
      <c r="B966" s="125" t="n">
        <v>959</v>
      </c>
      <c r="C966" s="72" t="n"/>
      <c r="D966" s="109" t="n"/>
      <c r="E966" s="72" t="n"/>
      <c r="F966" s="113" t="n"/>
      <c r="G966" s="72" t="n"/>
      <c r="H966" s="74" t="n"/>
      <c r="I966" s="73" t="n"/>
      <c r="J966" s="113" t="n"/>
      <c r="K966" s="109" t="n"/>
      <c r="L966" s="72" t="n"/>
      <c r="M966" s="109" t="n"/>
      <c r="N966" s="72" t="n"/>
      <c r="O966" s="79">
        <f>IF(AND(F966&lt;&gt;"",L966&lt;&gt;"Resolved"),1,0)</f>
        <v/>
      </c>
      <c r="P966" s="79">
        <f>IF(F966="","",IF(O966=0,0,IF(H966="High",2,1)))</f>
        <v/>
      </c>
      <c r="Q966" s="112">
        <f>IF(O966=1,IF(K966&lt;&gt;"",K966,IF(H966="High",AsOf,"")),"")</f>
        <v/>
      </c>
      <c r="R966" s="79">
        <f>IF(Q966="","",IF(H966="High",1,IF(Q966="","",IF(Q966&lt;AsOf,1,IF(Q966&lt;=AsOf+AlertDays,2,IF(Q966&lt;=AsOf+2*AlertDays,3,""))))))</f>
        <v/>
      </c>
      <c r="S966" s="79">
        <f>IF(R966="","",IF(H966="High","High-severity issue: ",IF(C966="Punch item","Punch item: ","Issue action due: "))&amp;F966&amp;IF(J966="",""," → "&amp;J966))</f>
        <v/>
      </c>
      <c r="T966" s="79">
        <f>IF(O966=1,IF(I966="",0,I966),0)</f>
        <v/>
      </c>
      <c r="U966" s="79">
        <f>IF(AND(O966=1,H966="High"),1,0)</f>
        <v/>
      </c>
      <c r="V966" s="79">
        <f>IF(AND(O966=1,C966="Punch item"),1,0)</f>
        <v/>
      </c>
    </row>
    <row r="967" ht="24" customHeight="1">
      <c r="B967" s="125" t="n">
        <v>960</v>
      </c>
      <c r="C967" s="72" t="n"/>
      <c r="D967" s="109" t="n"/>
      <c r="E967" s="72" t="n"/>
      <c r="F967" s="113" t="n"/>
      <c r="G967" s="72" t="n"/>
      <c r="H967" s="74" t="n"/>
      <c r="I967" s="73" t="n"/>
      <c r="J967" s="113" t="n"/>
      <c r="K967" s="109" t="n"/>
      <c r="L967" s="72" t="n"/>
      <c r="M967" s="109" t="n"/>
      <c r="N967" s="72" t="n"/>
      <c r="O967" s="79">
        <f>IF(AND(F967&lt;&gt;"",L967&lt;&gt;"Resolved"),1,0)</f>
        <v/>
      </c>
      <c r="P967" s="79">
        <f>IF(F967="","",IF(O967=0,0,IF(H967="High",2,1)))</f>
        <v/>
      </c>
      <c r="Q967" s="112">
        <f>IF(O967=1,IF(K967&lt;&gt;"",K967,IF(H967="High",AsOf,"")),"")</f>
        <v/>
      </c>
      <c r="R967" s="79">
        <f>IF(Q967="","",IF(H967="High",1,IF(Q967="","",IF(Q967&lt;AsOf,1,IF(Q967&lt;=AsOf+AlertDays,2,IF(Q967&lt;=AsOf+2*AlertDays,3,""))))))</f>
        <v/>
      </c>
      <c r="S967" s="79">
        <f>IF(R967="","",IF(H967="High","High-severity issue: ",IF(C967="Punch item","Punch item: ","Issue action due: "))&amp;F967&amp;IF(J967="",""," → "&amp;J967))</f>
        <v/>
      </c>
      <c r="T967" s="79">
        <f>IF(O967=1,IF(I967="",0,I967),0)</f>
        <v/>
      </c>
      <c r="U967" s="79">
        <f>IF(AND(O967=1,H967="High"),1,0)</f>
        <v/>
      </c>
      <c r="V967" s="79">
        <f>IF(AND(O967=1,C967="Punch item"),1,0)</f>
        <v/>
      </c>
    </row>
    <row r="968" ht="24" customHeight="1">
      <c r="B968" s="125" t="n">
        <v>961</v>
      </c>
      <c r="C968" s="72" t="n"/>
      <c r="D968" s="109" t="n"/>
      <c r="E968" s="72" t="n"/>
      <c r="F968" s="113" t="n"/>
      <c r="G968" s="72" t="n"/>
      <c r="H968" s="74" t="n"/>
      <c r="I968" s="73" t="n"/>
      <c r="J968" s="113" t="n"/>
      <c r="K968" s="109" t="n"/>
      <c r="L968" s="72" t="n"/>
      <c r="M968" s="109" t="n"/>
      <c r="N968" s="72" t="n"/>
      <c r="O968" s="79">
        <f>IF(AND(F968&lt;&gt;"",L968&lt;&gt;"Resolved"),1,0)</f>
        <v/>
      </c>
      <c r="P968" s="79">
        <f>IF(F968="","",IF(O968=0,0,IF(H968="High",2,1)))</f>
        <v/>
      </c>
      <c r="Q968" s="112">
        <f>IF(O968=1,IF(K968&lt;&gt;"",K968,IF(H968="High",AsOf,"")),"")</f>
        <v/>
      </c>
      <c r="R968" s="79">
        <f>IF(Q968="","",IF(H968="High",1,IF(Q968="","",IF(Q968&lt;AsOf,1,IF(Q968&lt;=AsOf+AlertDays,2,IF(Q968&lt;=AsOf+2*AlertDays,3,""))))))</f>
        <v/>
      </c>
      <c r="S968" s="79">
        <f>IF(R968="","",IF(H968="High","High-severity issue: ",IF(C968="Punch item","Punch item: ","Issue action due: "))&amp;F968&amp;IF(J968="",""," → "&amp;J968))</f>
        <v/>
      </c>
      <c r="T968" s="79">
        <f>IF(O968=1,IF(I968="",0,I968),0)</f>
        <v/>
      </c>
      <c r="U968" s="79">
        <f>IF(AND(O968=1,H968="High"),1,0)</f>
        <v/>
      </c>
      <c r="V968" s="79">
        <f>IF(AND(O968=1,C968="Punch item"),1,0)</f>
        <v/>
      </c>
    </row>
    <row r="969" ht="24" customHeight="1">
      <c r="B969" s="125" t="n">
        <v>962</v>
      </c>
      <c r="C969" s="72" t="n"/>
      <c r="D969" s="109" t="n"/>
      <c r="E969" s="72" t="n"/>
      <c r="F969" s="113" t="n"/>
      <c r="G969" s="72" t="n"/>
      <c r="H969" s="74" t="n"/>
      <c r="I969" s="73" t="n"/>
      <c r="J969" s="113" t="n"/>
      <c r="K969" s="109" t="n"/>
      <c r="L969" s="72" t="n"/>
      <c r="M969" s="109" t="n"/>
      <c r="N969" s="72" t="n"/>
      <c r="O969" s="79">
        <f>IF(AND(F969&lt;&gt;"",L969&lt;&gt;"Resolved"),1,0)</f>
        <v/>
      </c>
      <c r="P969" s="79">
        <f>IF(F969="","",IF(O969=0,0,IF(H969="High",2,1)))</f>
        <v/>
      </c>
      <c r="Q969" s="112">
        <f>IF(O969=1,IF(K969&lt;&gt;"",K969,IF(H969="High",AsOf,"")),"")</f>
        <v/>
      </c>
      <c r="R969" s="79">
        <f>IF(Q969="","",IF(H969="High",1,IF(Q969="","",IF(Q969&lt;AsOf,1,IF(Q969&lt;=AsOf+AlertDays,2,IF(Q969&lt;=AsOf+2*AlertDays,3,""))))))</f>
        <v/>
      </c>
      <c r="S969" s="79">
        <f>IF(R969="","",IF(H969="High","High-severity issue: ",IF(C969="Punch item","Punch item: ","Issue action due: "))&amp;F969&amp;IF(J969="",""," → "&amp;J969))</f>
        <v/>
      </c>
      <c r="T969" s="79">
        <f>IF(O969=1,IF(I969="",0,I969),0)</f>
        <v/>
      </c>
      <c r="U969" s="79">
        <f>IF(AND(O969=1,H969="High"),1,0)</f>
        <v/>
      </c>
      <c r="V969" s="79">
        <f>IF(AND(O969=1,C969="Punch item"),1,0)</f>
        <v/>
      </c>
    </row>
    <row r="970" ht="24" customHeight="1">
      <c r="B970" s="125" t="n">
        <v>963</v>
      </c>
      <c r="C970" s="72" t="n"/>
      <c r="D970" s="109" t="n"/>
      <c r="E970" s="72" t="n"/>
      <c r="F970" s="113" t="n"/>
      <c r="G970" s="72" t="n"/>
      <c r="H970" s="74" t="n"/>
      <c r="I970" s="73" t="n"/>
      <c r="J970" s="113" t="n"/>
      <c r="K970" s="109" t="n"/>
      <c r="L970" s="72" t="n"/>
      <c r="M970" s="109" t="n"/>
      <c r="N970" s="72" t="n"/>
      <c r="O970" s="79">
        <f>IF(AND(F970&lt;&gt;"",L970&lt;&gt;"Resolved"),1,0)</f>
        <v/>
      </c>
      <c r="P970" s="79">
        <f>IF(F970="","",IF(O970=0,0,IF(H970="High",2,1)))</f>
        <v/>
      </c>
      <c r="Q970" s="112">
        <f>IF(O970=1,IF(K970&lt;&gt;"",K970,IF(H970="High",AsOf,"")),"")</f>
        <v/>
      </c>
      <c r="R970" s="79">
        <f>IF(Q970="","",IF(H970="High",1,IF(Q970="","",IF(Q970&lt;AsOf,1,IF(Q970&lt;=AsOf+AlertDays,2,IF(Q970&lt;=AsOf+2*AlertDays,3,""))))))</f>
        <v/>
      </c>
      <c r="S970" s="79">
        <f>IF(R970="","",IF(H970="High","High-severity issue: ",IF(C970="Punch item","Punch item: ","Issue action due: "))&amp;F970&amp;IF(J970="",""," → "&amp;J970))</f>
        <v/>
      </c>
      <c r="T970" s="79">
        <f>IF(O970=1,IF(I970="",0,I970),0)</f>
        <v/>
      </c>
      <c r="U970" s="79">
        <f>IF(AND(O970=1,H970="High"),1,0)</f>
        <v/>
      </c>
      <c r="V970" s="79">
        <f>IF(AND(O970=1,C970="Punch item"),1,0)</f>
        <v/>
      </c>
    </row>
    <row r="971" ht="24" customHeight="1">
      <c r="B971" s="125" t="n">
        <v>964</v>
      </c>
      <c r="C971" s="72" t="n"/>
      <c r="D971" s="109" t="n"/>
      <c r="E971" s="72" t="n"/>
      <c r="F971" s="113" t="n"/>
      <c r="G971" s="72" t="n"/>
      <c r="H971" s="74" t="n"/>
      <c r="I971" s="73" t="n"/>
      <c r="J971" s="113" t="n"/>
      <c r="K971" s="109" t="n"/>
      <c r="L971" s="72" t="n"/>
      <c r="M971" s="109" t="n"/>
      <c r="N971" s="72" t="n"/>
      <c r="O971" s="79">
        <f>IF(AND(F971&lt;&gt;"",L971&lt;&gt;"Resolved"),1,0)</f>
        <v/>
      </c>
      <c r="P971" s="79">
        <f>IF(F971="","",IF(O971=0,0,IF(H971="High",2,1)))</f>
        <v/>
      </c>
      <c r="Q971" s="112">
        <f>IF(O971=1,IF(K971&lt;&gt;"",K971,IF(H971="High",AsOf,"")),"")</f>
        <v/>
      </c>
      <c r="R971" s="79">
        <f>IF(Q971="","",IF(H971="High",1,IF(Q971="","",IF(Q971&lt;AsOf,1,IF(Q971&lt;=AsOf+AlertDays,2,IF(Q971&lt;=AsOf+2*AlertDays,3,""))))))</f>
        <v/>
      </c>
      <c r="S971" s="79">
        <f>IF(R971="","",IF(H971="High","High-severity issue: ",IF(C971="Punch item","Punch item: ","Issue action due: "))&amp;F971&amp;IF(J971="",""," → "&amp;J971))</f>
        <v/>
      </c>
      <c r="T971" s="79">
        <f>IF(O971=1,IF(I971="",0,I971),0)</f>
        <v/>
      </c>
      <c r="U971" s="79">
        <f>IF(AND(O971=1,H971="High"),1,0)</f>
        <v/>
      </c>
      <c r="V971" s="79">
        <f>IF(AND(O971=1,C971="Punch item"),1,0)</f>
        <v/>
      </c>
    </row>
    <row r="972" ht="24" customHeight="1">
      <c r="B972" s="125" t="n">
        <v>965</v>
      </c>
      <c r="C972" s="72" t="n"/>
      <c r="D972" s="109" t="n"/>
      <c r="E972" s="72" t="n"/>
      <c r="F972" s="113" t="n"/>
      <c r="G972" s="72" t="n"/>
      <c r="H972" s="74" t="n"/>
      <c r="I972" s="73" t="n"/>
      <c r="J972" s="113" t="n"/>
      <c r="K972" s="109" t="n"/>
      <c r="L972" s="72" t="n"/>
      <c r="M972" s="109" t="n"/>
      <c r="N972" s="72" t="n"/>
      <c r="O972" s="79">
        <f>IF(AND(F972&lt;&gt;"",L972&lt;&gt;"Resolved"),1,0)</f>
        <v/>
      </c>
      <c r="P972" s="79">
        <f>IF(F972="","",IF(O972=0,0,IF(H972="High",2,1)))</f>
        <v/>
      </c>
      <c r="Q972" s="112">
        <f>IF(O972=1,IF(K972&lt;&gt;"",K972,IF(H972="High",AsOf,"")),"")</f>
        <v/>
      </c>
      <c r="R972" s="79">
        <f>IF(Q972="","",IF(H972="High",1,IF(Q972="","",IF(Q972&lt;AsOf,1,IF(Q972&lt;=AsOf+AlertDays,2,IF(Q972&lt;=AsOf+2*AlertDays,3,""))))))</f>
        <v/>
      </c>
      <c r="S972" s="79">
        <f>IF(R972="","",IF(H972="High","High-severity issue: ",IF(C972="Punch item","Punch item: ","Issue action due: "))&amp;F972&amp;IF(J972="",""," → "&amp;J972))</f>
        <v/>
      </c>
      <c r="T972" s="79">
        <f>IF(O972=1,IF(I972="",0,I972),0)</f>
        <v/>
      </c>
      <c r="U972" s="79">
        <f>IF(AND(O972=1,H972="High"),1,0)</f>
        <v/>
      </c>
      <c r="V972" s="79">
        <f>IF(AND(O972=1,C972="Punch item"),1,0)</f>
        <v/>
      </c>
    </row>
    <row r="973" ht="24" customHeight="1">
      <c r="B973" s="125" t="n">
        <v>966</v>
      </c>
      <c r="C973" s="72" t="n"/>
      <c r="D973" s="109" t="n"/>
      <c r="E973" s="72" t="n"/>
      <c r="F973" s="113" t="n"/>
      <c r="G973" s="72" t="n"/>
      <c r="H973" s="74" t="n"/>
      <c r="I973" s="73" t="n"/>
      <c r="J973" s="113" t="n"/>
      <c r="K973" s="109" t="n"/>
      <c r="L973" s="72" t="n"/>
      <c r="M973" s="109" t="n"/>
      <c r="N973" s="72" t="n"/>
      <c r="O973" s="79">
        <f>IF(AND(F973&lt;&gt;"",L973&lt;&gt;"Resolved"),1,0)</f>
        <v/>
      </c>
      <c r="P973" s="79">
        <f>IF(F973="","",IF(O973=0,0,IF(H973="High",2,1)))</f>
        <v/>
      </c>
      <c r="Q973" s="112">
        <f>IF(O973=1,IF(K973&lt;&gt;"",K973,IF(H973="High",AsOf,"")),"")</f>
        <v/>
      </c>
      <c r="R973" s="79">
        <f>IF(Q973="","",IF(H973="High",1,IF(Q973="","",IF(Q973&lt;AsOf,1,IF(Q973&lt;=AsOf+AlertDays,2,IF(Q973&lt;=AsOf+2*AlertDays,3,""))))))</f>
        <v/>
      </c>
      <c r="S973" s="79">
        <f>IF(R973="","",IF(H973="High","High-severity issue: ",IF(C973="Punch item","Punch item: ","Issue action due: "))&amp;F973&amp;IF(J973="",""," → "&amp;J973))</f>
        <v/>
      </c>
      <c r="T973" s="79">
        <f>IF(O973=1,IF(I973="",0,I973),0)</f>
        <v/>
      </c>
      <c r="U973" s="79">
        <f>IF(AND(O973=1,H973="High"),1,0)</f>
        <v/>
      </c>
      <c r="V973" s="79">
        <f>IF(AND(O973=1,C973="Punch item"),1,0)</f>
        <v/>
      </c>
    </row>
    <row r="974" ht="24" customHeight="1">
      <c r="B974" s="125" t="n">
        <v>967</v>
      </c>
      <c r="C974" s="72" t="n"/>
      <c r="D974" s="109" t="n"/>
      <c r="E974" s="72" t="n"/>
      <c r="F974" s="113" t="n"/>
      <c r="G974" s="72" t="n"/>
      <c r="H974" s="74" t="n"/>
      <c r="I974" s="73" t="n"/>
      <c r="J974" s="113" t="n"/>
      <c r="K974" s="109" t="n"/>
      <c r="L974" s="72" t="n"/>
      <c r="M974" s="109" t="n"/>
      <c r="N974" s="72" t="n"/>
      <c r="O974" s="79">
        <f>IF(AND(F974&lt;&gt;"",L974&lt;&gt;"Resolved"),1,0)</f>
        <v/>
      </c>
      <c r="P974" s="79">
        <f>IF(F974="","",IF(O974=0,0,IF(H974="High",2,1)))</f>
        <v/>
      </c>
      <c r="Q974" s="112">
        <f>IF(O974=1,IF(K974&lt;&gt;"",K974,IF(H974="High",AsOf,"")),"")</f>
        <v/>
      </c>
      <c r="R974" s="79">
        <f>IF(Q974="","",IF(H974="High",1,IF(Q974="","",IF(Q974&lt;AsOf,1,IF(Q974&lt;=AsOf+AlertDays,2,IF(Q974&lt;=AsOf+2*AlertDays,3,""))))))</f>
        <v/>
      </c>
      <c r="S974" s="79">
        <f>IF(R974="","",IF(H974="High","High-severity issue: ",IF(C974="Punch item","Punch item: ","Issue action due: "))&amp;F974&amp;IF(J974="",""," → "&amp;J974))</f>
        <v/>
      </c>
      <c r="T974" s="79">
        <f>IF(O974=1,IF(I974="",0,I974),0)</f>
        <v/>
      </c>
      <c r="U974" s="79">
        <f>IF(AND(O974=1,H974="High"),1,0)</f>
        <v/>
      </c>
      <c r="V974" s="79">
        <f>IF(AND(O974=1,C974="Punch item"),1,0)</f>
        <v/>
      </c>
    </row>
    <row r="975" ht="24" customHeight="1">
      <c r="B975" s="125" t="n">
        <v>968</v>
      </c>
      <c r="C975" s="72" t="n"/>
      <c r="D975" s="109" t="n"/>
      <c r="E975" s="72" t="n"/>
      <c r="F975" s="113" t="n"/>
      <c r="G975" s="72" t="n"/>
      <c r="H975" s="74" t="n"/>
      <c r="I975" s="73" t="n"/>
      <c r="J975" s="113" t="n"/>
      <c r="K975" s="109" t="n"/>
      <c r="L975" s="72" t="n"/>
      <c r="M975" s="109" t="n"/>
      <c r="N975" s="72" t="n"/>
      <c r="O975" s="79">
        <f>IF(AND(F975&lt;&gt;"",L975&lt;&gt;"Resolved"),1,0)</f>
        <v/>
      </c>
      <c r="P975" s="79">
        <f>IF(F975="","",IF(O975=0,0,IF(H975="High",2,1)))</f>
        <v/>
      </c>
      <c r="Q975" s="112">
        <f>IF(O975=1,IF(K975&lt;&gt;"",K975,IF(H975="High",AsOf,"")),"")</f>
        <v/>
      </c>
      <c r="R975" s="79">
        <f>IF(Q975="","",IF(H975="High",1,IF(Q975="","",IF(Q975&lt;AsOf,1,IF(Q975&lt;=AsOf+AlertDays,2,IF(Q975&lt;=AsOf+2*AlertDays,3,""))))))</f>
        <v/>
      </c>
      <c r="S975" s="79">
        <f>IF(R975="","",IF(H975="High","High-severity issue: ",IF(C975="Punch item","Punch item: ","Issue action due: "))&amp;F975&amp;IF(J975="",""," → "&amp;J975))</f>
        <v/>
      </c>
      <c r="T975" s="79">
        <f>IF(O975=1,IF(I975="",0,I975),0)</f>
        <v/>
      </c>
      <c r="U975" s="79">
        <f>IF(AND(O975=1,H975="High"),1,0)</f>
        <v/>
      </c>
      <c r="V975" s="79">
        <f>IF(AND(O975=1,C975="Punch item"),1,0)</f>
        <v/>
      </c>
    </row>
    <row r="976" ht="24" customHeight="1">
      <c r="B976" s="125" t="n">
        <v>969</v>
      </c>
      <c r="C976" s="72" t="n"/>
      <c r="D976" s="109" t="n"/>
      <c r="E976" s="72" t="n"/>
      <c r="F976" s="113" t="n"/>
      <c r="G976" s="72" t="n"/>
      <c r="H976" s="74" t="n"/>
      <c r="I976" s="73" t="n"/>
      <c r="J976" s="113" t="n"/>
      <c r="K976" s="109" t="n"/>
      <c r="L976" s="72" t="n"/>
      <c r="M976" s="109" t="n"/>
      <c r="N976" s="72" t="n"/>
      <c r="O976" s="79">
        <f>IF(AND(F976&lt;&gt;"",L976&lt;&gt;"Resolved"),1,0)</f>
        <v/>
      </c>
      <c r="P976" s="79">
        <f>IF(F976="","",IF(O976=0,0,IF(H976="High",2,1)))</f>
        <v/>
      </c>
      <c r="Q976" s="112">
        <f>IF(O976=1,IF(K976&lt;&gt;"",K976,IF(H976="High",AsOf,"")),"")</f>
        <v/>
      </c>
      <c r="R976" s="79">
        <f>IF(Q976="","",IF(H976="High",1,IF(Q976="","",IF(Q976&lt;AsOf,1,IF(Q976&lt;=AsOf+AlertDays,2,IF(Q976&lt;=AsOf+2*AlertDays,3,""))))))</f>
        <v/>
      </c>
      <c r="S976" s="79">
        <f>IF(R976="","",IF(H976="High","High-severity issue: ",IF(C976="Punch item","Punch item: ","Issue action due: "))&amp;F976&amp;IF(J976="",""," → "&amp;J976))</f>
        <v/>
      </c>
      <c r="T976" s="79">
        <f>IF(O976=1,IF(I976="",0,I976),0)</f>
        <v/>
      </c>
      <c r="U976" s="79">
        <f>IF(AND(O976=1,H976="High"),1,0)</f>
        <v/>
      </c>
      <c r="V976" s="79">
        <f>IF(AND(O976=1,C976="Punch item"),1,0)</f>
        <v/>
      </c>
    </row>
    <row r="977" ht="24" customHeight="1">
      <c r="B977" s="125" t="n">
        <v>970</v>
      </c>
      <c r="C977" s="72" t="n"/>
      <c r="D977" s="109" t="n"/>
      <c r="E977" s="72" t="n"/>
      <c r="F977" s="113" t="n"/>
      <c r="G977" s="72" t="n"/>
      <c r="H977" s="74" t="n"/>
      <c r="I977" s="73" t="n"/>
      <c r="J977" s="113" t="n"/>
      <c r="K977" s="109" t="n"/>
      <c r="L977" s="72" t="n"/>
      <c r="M977" s="109" t="n"/>
      <c r="N977" s="72" t="n"/>
      <c r="O977" s="79">
        <f>IF(AND(F977&lt;&gt;"",L977&lt;&gt;"Resolved"),1,0)</f>
        <v/>
      </c>
      <c r="P977" s="79">
        <f>IF(F977="","",IF(O977=0,0,IF(H977="High",2,1)))</f>
        <v/>
      </c>
      <c r="Q977" s="112">
        <f>IF(O977=1,IF(K977&lt;&gt;"",K977,IF(H977="High",AsOf,"")),"")</f>
        <v/>
      </c>
      <c r="R977" s="79">
        <f>IF(Q977="","",IF(H977="High",1,IF(Q977="","",IF(Q977&lt;AsOf,1,IF(Q977&lt;=AsOf+AlertDays,2,IF(Q977&lt;=AsOf+2*AlertDays,3,""))))))</f>
        <v/>
      </c>
      <c r="S977" s="79">
        <f>IF(R977="","",IF(H977="High","High-severity issue: ",IF(C977="Punch item","Punch item: ","Issue action due: "))&amp;F977&amp;IF(J977="",""," → "&amp;J977))</f>
        <v/>
      </c>
      <c r="T977" s="79">
        <f>IF(O977=1,IF(I977="",0,I977),0)</f>
        <v/>
      </c>
      <c r="U977" s="79">
        <f>IF(AND(O977=1,H977="High"),1,0)</f>
        <v/>
      </c>
      <c r="V977" s="79">
        <f>IF(AND(O977=1,C977="Punch item"),1,0)</f>
        <v/>
      </c>
    </row>
    <row r="978" ht="24" customHeight="1">
      <c r="B978" s="125" t="n">
        <v>971</v>
      </c>
      <c r="C978" s="72" t="n"/>
      <c r="D978" s="109" t="n"/>
      <c r="E978" s="72" t="n"/>
      <c r="F978" s="113" t="n"/>
      <c r="G978" s="72" t="n"/>
      <c r="H978" s="74" t="n"/>
      <c r="I978" s="73" t="n"/>
      <c r="J978" s="113" t="n"/>
      <c r="K978" s="109" t="n"/>
      <c r="L978" s="72" t="n"/>
      <c r="M978" s="109" t="n"/>
      <c r="N978" s="72" t="n"/>
      <c r="O978" s="79">
        <f>IF(AND(F978&lt;&gt;"",L978&lt;&gt;"Resolved"),1,0)</f>
        <v/>
      </c>
      <c r="P978" s="79">
        <f>IF(F978="","",IF(O978=0,0,IF(H978="High",2,1)))</f>
        <v/>
      </c>
      <c r="Q978" s="112">
        <f>IF(O978=1,IF(K978&lt;&gt;"",K978,IF(H978="High",AsOf,"")),"")</f>
        <v/>
      </c>
      <c r="R978" s="79">
        <f>IF(Q978="","",IF(H978="High",1,IF(Q978="","",IF(Q978&lt;AsOf,1,IF(Q978&lt;=AsOf+AlertDays,2,IF(Q978&lt;=AsOf+2*AlertDays,3,""))))))</f>
        <v/>
      </c>
      <c r="S978" s="79">
        <f>IF(R978="","",IF(H978="High","High-severity issue: ",IF(C978="Punch item","Punch item: ","Issue action due: "))&amp;F978&amp;IF(J978="",""," → "&amp;J978))</f>
        <v/>
      </c>
      <c r="T978" s="79">
        <f>IF(O978=1,IF(I978="",0,I978),0)</f>
        <v/>
      </c>
      <c r="U978" s="79">
        <f>IF(AND(O978=1,H978="High"),1,0)</f>
        <v/>
      </c>
      <c r="V978" s="79">
        <f>IF(AND(O978=1,C978="Punch item"),1,0)</f>
        <v/>
      </c>
    </row>
    <row r="979" ht="24" customHeight="1">
      <c r="B979" s="125" t="n">
        <v>972</v>
      </c>
      <c r="C979" s="72" t="n"/>
      <c r="D979" s="109" t="n"/>
      <c r="E979" s="72" t="n"/>
      <c r="F979" s="113" t="n"/>
      <c r="G979" s="72" t="n"/>
      <c r="H979" s="74" t="n"/>
      <c r="I979" s="73" t="n"/>
      <c r="J979" s="113" t="n"/>
      <c r="K979" s="109" t="n"/>
      <c r="L979" s="72" t="n"/>
      <c r="M979" s="109" t="n"/>
      <c r="N979" s="72" t="n"/>
      <c r="O979" s="79">
        <f>IF(AND(F979&lt;&gt;"",L979&lt;&gt;"Resolved"),1,0)</f>
        <v/>
      </c>
      <c r="P979" s="79">
        <f>IF(F979="","",IF(O979=0,0,IF(H979="High",2,1)))</f>
        <v/>
      </c>
      <c r="Q979" s="112">
        <f>IF(O979=1,IF(K979&lt;&gt;"",K979,IF(H979="High",AsOf,"")),"")</f>
        <v/>
      </c>
      <c r="R979" s="79">
        <f>IF(Q979="","",IF(H979="High",1,IF(Q979="","",IF(Q979&lt;AsOf,1,IF(Q979&lt;=AsOf+AlertDays,2,IF(Q979&lt;=AsOf+2*AlertDays,3,""))))))</f>
        <v/>
      </c>
      <c r="S979" s="79">
        <f>IF(R979="","",IF(H979="High","High-severity issue: ",IF(C979="Punch item","Punch item: ","Issue action due: "))&amp;F979&amp;IF(J979="",""," → "&amp;J979))</f>
        <v/>
      </c>
      <c r="T979" s="79">
        <f>IF(O979=1,IF(I979="",0,I979),0)</f>
        <v/>
      </c>
      <c r="U979" s="79">
        <f>IF(AND(O979=1,H979="High"),1,0)</f>
        <v/>
      </c>
      <c r="V979" s="79">
        <f>IF(AND(O979=1,C979="Punch item"),1,0)</f>
        <v/>
      </c>
    </row>
    <row r="980" ht="24" customHeight="1">
      <c r="B980" s="125" t="n">
        <v>973</v>
      </c>
      <c r="C980" s="72" t="n"/>
      <c r="D980" s="109" t="n"/>
      <c r="E980" s="72" t="n"/>
      <c r="F980" s="113" t="n"/>
      <c r="G980" s="72" t="n"/>
      <c r="H980" s="74" t="n"/>
      <c r="I980" s="73" t="n"/>
      <c r="J980" s="113" t="n"/>
      <c r="K980" s="109" t="n"/>
      <c r="L980" s="72" t="n"/>
      <c r="M980" s="109" t="n"/>
      <c r="N980" s="72" t="n"/>
      <c r="O980" s="79">
        <f>IF(AND(F980&lt;&gt;"",L980&lt;&gt;"Resolved"),1,0)</f>
        <v/>
      </c>
      <c r="P980" s="79">
        <f>IF(F980="","",IF(O980=0,0,IF(H980="High",2,1)))</f>
        <v/>
      </c>
      <c r="Q980" s="112">
        <f>IF(O980=1,IF(K980&lt;&gt;"",K980,IF(H980="High",AsOf,"")),"")</f>
        <v/>
      </c>
      <c r="R980" s="79">
        <f>IF(Q980="","",IF(H980="High",1,IF(Q980="","",IF(Q980&lt;AsOf,1,IF(Q980&lt;=AsOf+AlertDays,2,IF(Q980&lt;=AsOf+2*AlertDays,3,""))))))</f>
        <v/>
      </c>
      <c r="S980" s="79">
        <f>IF(R980="","",IF(H980="High","High-severity issue: ",IF(C980="Punch item","Punch item: ","Issue action due: "))&amp;F980&amp;IF(J980="",""," → "&amp;J980))</f>
        <v/>
      </c>
      <c r="T980" s="79">
        <f>IF(O980=1,IF(I980="",0,I980),0)</f>
        <v/>
      </c>
      <c r="U980" s="79">
        <f>IF(AND(O980=1,H980="High"),1,0)</f>
        <v/>
      </c>
      <c r="V980" s="79">
        <f>IF(AND(O980=1,C980="Punch item"),1,0)</f>
        <v/>
      </c>
    </row>
    <row r="981" ht="24" customHeight="1">
      <c r="B981" s="125" t="n">
        <v>974</v>
      </c>
      <c r="C981" s="72" t="n"/>
      <c r="D981" s="109" t="n"/>
      <c r="E981" s="72" t="n"/>
      <c r="F981" s="113" t="n"/>
      <c r="G981" s="72" t="n"/>
      <c r="H981" s="74" t="n"/>
      <c r="I981" s="73" t="n"/>
      <c r="J981" s="113" t="n"/>
      <c r="K981" s="109" t="n"/>
      <c r="L981" s="72" t="n"/>
      <c r="M981" s="109" t="n"/>
      <c r="N981" s="72" t="n"/>
      <c r="O981" s="79">
        <f>IF(AND(F981&lt;&gt;"",L981&lt;&gt;"Resolved"),1,0)</f>
        <v/>
      </c>
      <c r="P981" s="79">
        <f>IF(F981="","",IF(O981=0,0,IF(H981="High",2,1)))</f>
        <v/>
      </c>
      <c r="Q981" s="112">
        <f>IF(O981=1,IF(K981&lt;&gt;"",K981,IF(H981="High",AsOf,"")),"")</f>
        <v/>
      </c>
      <c r="R981" s="79">
        <f>IF(Q981="","",IF(H981="High",1,IF(Q981="","",IF(Q981&lt;AsOf,1,IF(Q981&lt;=AsOf+AlertDays,2,IF(Q981&lt;=AsOf+2*AlertDays,3,""))))))</f>
        <v/>
      </c>
      <c r="S981" s="79">
        <f>IF(R981="","",IF(H981="High","High-severity issue: ",IF(C981="Punch item","Punch item: ","Issue action due: "))&amp;F981&amp;IF(J981="",""," → "&amp;J981))</f>
        <v/>
      </c>
      <c r="T981" s="79">
        <f>IF(O981=1,IF(I981="",0,I981),0)</f>
        <v/>
      </c>
      <c r="U981" s="79">
        <f>IF(AND(O981=1,H981="High"),1,0)</f>
        <v/>
      </c>
      <c r="V981" s="79">
        <f>IF(AND(O981=1,C981="Punch item"),1,0)</f>
        <v/>
      </c>
    </row>
    <row r="982" ht="24" customHeight="1">
      <c r="B982" s="125" t="n">
        <v>975</v>
      </c>
      <c r="C982" s="72" t="n"/>
      <c r="D982" s="109" t="n"/>
      <c r="E982" s="72" t="n"/>
      <c r="F982" s="113" t="n"/>
      <c r="G982" s="72" t="n"/>
      <c r="H982" s="74" t="n"/>
      <c r="I982" s="73" t="n"/>
      <c r="J982" s="113" t="n"/>
      <c r="K982" s="109" t="n"/>
      <c r="L982" s="72" t="n"/>
      <c r="M982" s="109" t="n"/>
      <c r="N982" s="72" t="n"/>
      <c r="O982" s="79">
        <f>IF(AND(F982&lt;&gt;"",L982&lt;&gt;"Resolved"),1,0)</f>
        <v/>
      </c>
      <c r="P982" s="79">
        <f>IF(F982="","",IF(O982=0,0,IF(H982="High",2,1)))</f>
        <v/>
      </c>
      <c r="Q982" s="112">
        <f>IF(O982=1,IF(K982&lt;&gt;"",K982,IF(H982="High",AsOf,"")),"")</f>
        <v/>
      </c>
      <c r="R982" s="79">
        <f>IF(Q982="","",IF(H982="High",1,IF(Q982="","",IF(Q982&lt;AsOf,1,IF(Q982&lt;=AsOf+AlertDays,2,IF(Q982&lt;=AsOf+2*AlertDays,3,""))))))</f>
        <v/>
      </c>
      <c r="S982" s="79">
        <f>IF(R982="","",IF(H982="High","High-severity issue: ",IF(C982="Punch item","Punch item: ","Issue action due: "))&amp;F982&amp;IF(J982="",""," → "&amp;J982))</f>
        <v/>
      </c>
      <c r="T982" s="79">
        <f>IF(O982=1,IF(I982="",0,I982),0)</f>
        <v/>
      </c>
      <c r="U982" s="79">
        <f>IF(AND(O982=1,H982="High"),1,0)</f>
        <v/>
      </c>
      <c r="V982" s="79">
        <f>IF(AND(O982=1,C982="Punch item"),1,0)</f>
        <v/>
      </c>
    </row>
    <row r="983" ht="24" customHeight="1">
      <c r="B983" s="125" t="n">
        <v>976</v>
      </c>
      <c r="C983" s="72" t="n"/>
      <c r="D983" s="109" t="n"/>
      <c r="E983" s="72" t="n"/>
      <c r="F983" s="113" t="n"/>
      <c r="G983" s="72" t="n"/>
      <c r="H983" s="74" t="n"/>
      <c r="I983" s="73" t="n"/>
      <c r="J983" s="113" t="n"/>
      <c r="K983" s="109" t="n"/>
      <c r="L983" s="72" t="n"/>
      <c r="M983" s="109" t="n"/>
      <c r="N983" s="72" t="n"/>
      <c r="O983" s="79">
        <f>IF(AND(F983&lt;&gt;"",L983&lt;&gt;"Resolved"),1,0)</f>
        <v/>
      </c>
      <c r="P983" s="79">
        <f>IF(F983="","",IF(O983=0,0,IF(H983="High",2,1)))</f>
        <v/>
      </c>
      <c r="Q983" s="112">
        <f>IF(O983=1,IF(K983&lt;&gt;"",K983,IF(H983="High",AsOf,"")),"")</f>
        <v/>
      </c>
      <c r="R983" s="79">
        <f>IF(Q983="","",IF(H983="High",1,IF(Q983="","",IF(Q983&lt;AsOf,1,IF(Q983&lt;=AsOf+AlertDays,2,IF(Q983&lt;=AsOf+2*AlertDays,3,""))))))</f>
        <v/>
      </c>
      <c r="S983" s="79">
        <f>IF(R983="","",IF(H983="High","High-severity issue: ",IF(C983="Punch item","Punch item: ","Issue action due: "))&amp;F983&amp;IF(J983="",""," → "&amp;J983))</f>
        <v/>
      </c>
      <c r="T983" s="79">
        <f>IF(O983=1,IF(I983="",0,I983),0)</f>
        <v/>
      </c>
      <c r="U983" s="79">
        <f>IF(AND(O983=1,H983="High"),1,0)</f>
        <v/>
      </c>
      <c r="V983" s="79">
        <f>IF(AND(O983=1,C983="Punch item"),1,0)</f>
        <v/>
      </c>
    </row>
    <row r="984" ht="24" customHeight="1">
      <c r="B984" s="125" t="n">
        <v>977</v>
      </c>
      <c r="C984" s="72" t="n"/>
      <c r="D984" s="109" t="n"/>
      <c r="E984" s="72" t="n"/>
      <c r="F984" s="113" t="n"/>
      <c r="G984" s="72" t="n"/>
      <c r="H984" s="74" t="n"/>
      <c r="I984" s="73" t="n"/>
      <c r="J984" s="113" t="n"/>
      <c r="K984" s="109" t="n"/>
      <c r="L984" s="72" t="n"/>
      <c r="M984" s="109" t="n"/>
      <c r="N984" s="72" t="n"/>
      <c r="O984" s="79">
        <f>IF(AND(F984&lt;&gt;"",L984&lt;&gt;"Resolved"),1,0)</f>
        <v/>
      </c>
      <c r="P984" s="79">
        <f>IF(F984="","",IF(O984=0,0,IF(H984="High",2,1)))</f>
        <v/>
      </c>
      <c r="Q984" s="112">
        <f>IF(O984=1,IF(K984&lt;&gt;"",K984,IF(H984="High",AsOf,"")),"")</f>
        <v/>
      </c>
      <c r="R984" s="79">
        <f>IF(Q984="","",IF(H984="High",1,IF(Q984="","",IF(Q984&lt;AsOf,1,IF(Q984&lt;=AsOf+AlertDays,2,IF(Q984&lt;=AsOf+2*AlertDays,3,""))))))</f>
        <v/>
      </c>
      <c r="S984" s="79">
        <f>IF(R984="","",IF(H984="High","High-severity issue: ",IF(C984="Punch item","Punch item: ","Issue action due: "))&amp;F984&amp;IF(J984="",""," → "&amp;J984))</f>
        <v/>
      </c>
      <c r="T984" s="79">
        <f>IF(O984=1,IF(I984="",0,I984),0)</f>
        <v/>
      </c>
      <c r="U984" s="79">
        <f>IF(AND(O984=1,H984="High"),1,0)</f>
        <v/>
      </c>
      <c r="V984" s="79">
        <f>IF(AND(O984=1,C984="Punch item"),1,0)</f>
        <v/>
      </c>
    </row>
    <row r="985" ht="24" customHeight="1">
      <c r="B985" s="125" t="n">
        <v>978</v>
      </c>
      <c r="C985" s="72" t="n"/>
      <c r="D985" s="109" t="n"/>
      <c r="E985" s="72" t="n"/>
      <c r="F985" s="113" t="n"/>
      <c r="G985" s="72" t="n"/>
      <c r="H985" s="74" t="n"/>
      <c r="I985" s="73" t="n"/>
      <c r="J985" s="113" t="n"/>
      <c r="K985" s="109" t="n"/>
      <c r="L985" s="72" t="n"/>
      <c r="M985" s="109" t="n"/>
      <c r="N985" s="72" t="n"/>
      <c r="O985" s="79">
        <f>IF(AND(F985&lt;&gt;"",L985&lt;&gt;"Resolved"),1,0)</f>
        <v/>
      </c>
      <c r="P985" s="79">
        <f>IF(F985="","",IF(O985=0,0,IF(H985="High",2,1)))</f>
        <v/>
      </c>
      <c r="Q985" s="112">
        <f>IF(O985=1,IF(K985&lt;&gt;"",K985,IF(H985="High",AsOf,"")),"")</f>
        <v/>
      </c>
      <c r="R985" s="79">
        <f>IF(Q985="","",IF(H985="High",1,IF(Q985="","",IF(Q985&lt;AsOf,1,IF(Q985&lt;=AsOf+AlertDays,2,IF(Q985&lt;=AsOf+2*AlertDays,3,""))))))</f>
        <v/>
      </c>
      <c r="S985" s="79">
        <f>IF(R985="","",IF(H985="High","High-severity issue: ",IF(C985="Punch item","Punch item: ","Issue action due: "))&amp;F985&amp;IF(J985="",""," → "&amp;J985))</f>
        <v/>
      </c>
      <c r="T985" s="79">
        <f>IF(O985=1,IF(I985="",0,I985),0)</f>
        <v/>
      </c>
      <c r="U985" s="79">
        <f>IF(AND(O985=1,H985="High"),1,0)</f>
        <v/>
      </c>
      <c r="V985" s="79">
        <f>IF(AND(O985=1,C985="Punch item"),1,0)</f>
        <v/>
      </c>
    </row>
    <row r="986" ht="24" customHeight="1">
      <c r="B986" s="125" t="n">
        <v>979</v>
      </c>
      <c r="C986" s="72" t="n"/>
      <c r="D986" s="109" t="n"/>
      <c r="E986" s="72" t="n"/>
      <c r="F986" s="113" t="n"/>
      <c r="G986" s="72" t="n"/>
      <c r="H986" s="74" t="n"/>
      <c r="I986" s="73" t="n"/>
      <c r="J986" s="113" t="n"/>
      <c r="K986" s="109" t="n"/>
      <c r="L986" s="72" t="n"/>
      <c r="M986" s="109" t="n"/>
      <c r="N986" s="72" t="n"/>
      <c r="O986" s="79">
        <f>IF(AND(F986&lt;&gt;"",L986&lt;&gt;"Resolved"),1,0)</f>
        <v/>
      </c>
      <c r="P986" s="79">
        <f>IF(F986="","",IF(O986=0,0,IF(H986="High",2,1)))</f>
        <v/>
      </c>
      <c r="Q986" s="112">
        <f>IF(O986=1,IF(K986&lt;&gt;"",K986,IF(H986="High",AsOf,"")),"")</f>
        <v/>
      </c>
      <c r="R986" s="79">
        <f>IF(Q986="","",IF(H986="High",1,IF(Q986="","",IF(Q986&lt;AsOf,1,IF(Q986&lt;=AsOf+AlertDays,2,IF(Q986&lt;=AsOf+2*AlertDays,3,""))))))</f>
        <v/>
      </c>
      <c r="S986" s="79">
        <f>IF(R986="","",IF(H986="High","High-severity issue: ",IF(C986="Punch item","Punch item: ","Issue action due: "))&amp;F986&amp;IF(J986="",""," → "&amp;J986))</f>
        <v/>
      </c>
      <c r="T986" s="79">
        <f>IF(O986=1,IF(I986="",0,I986),0)</f>
        <v/>
      </c>
      <c r="U986" s="79">
        <f>IF(AND(O986=1,H986="High"),1,0)</f>
        <v/>
      </c>
      <c r="V986" s="79">
        <f>IF(AND(O986=1,C986="Punch item"),1,0)</f>
        <v/>
      </c>
    </row>
    <row r="987" ht="24" customHeight="1">
      <c r="B987" s="125" t="n">
        <v>980</v>
      </c>
      <c r="C987" s="72" t="n"/>
      <c r="D987" s="109" t="n"/>
      <c r="E987" s="72" t="n"/>
      <c r="F987" s="113" t="n"/>
      <c r="G987" s="72" t="n"/>
      <c r="H987" s="74" t="n"/>
      <c r="I987" s="73" t="n"/>
      <c r="J987" s="113" t="n"/>
      <c r="K987" s="109" t="n"/>
      <c r="L987" s="72" t="n"/>
      <c r="M987" s="109" t="n"/>
      <c r="N987" s="72" t="n"/>
      <c r="O987" s="79">
        <f>IF(AND(F987&lt;&gt;"",L987&lt;&gt;"Resolved"),1,0)</f>
        <v/>
      </c>
      <c r="P987" s="79">
        <f>IF(F987="","",IF(O987=0,0,IF(H987="High",2,1)))</f>
        <v/>
      </c>
      <c r="Q987" s="112">
        <f>IF(O987=1,IF(K987&lt;&gt;"",K987,IF(H987="High",AsOf,"")),"")</f>
        <v/>
      </c>
      <c r="R987" s="79">
        <f>IF(Q987="","",IF(H987="High",1,IF(Q987="","",IF(Q987&lt;AsOf,1,IF(Q987&lt;=AsOf+AlertDays,2,IF(Q987&lt;=AsOf+2*AlertDays,3,""))))))</f>
        <v/>
      </c>
      <c r="S987" s="79">
        <f>IF(R987="","",IF(H987="High","High-severity issue: ",IF(C987="Punch item","Punch item: ","Issue action due: "))&amp;F987&amp;IF(J987="",""," → "&amp;J987))</f>
        <v/>
      </c>
      <c r="T987" s="79">
        <f>IF(O987=1,IF(I987="",0,I987),0)</f>
        <v/>
      </c>
      <c r="U987" s="79">
        <f>IF(AND(O987=1,H987="High"),1,0)</f>
        <v/>
      </c>
      <c r="V987" s="79">
        <f>IF(AND(O987=1,C987="Punch item"),1,0)</f>
        <v/>
      </c>
    </row>
    <row r="988" ht="24" customHeight="1">
      <c r="B988" s="125" t="n">
        <v>981</v>
      </c>
      <c r="C988" s="72" t="n"/>
      <c r="D988" s="109" t="n"/>
      <c r="E988" s="72" t="n"/>
      <c r="F988" s="113" t="n"/>
      <c r="G988" s="72" t="n"/>
      <c r="H988" s="74" t="n"/>
      <c r="I988" s="73" t="n"/>
      <c r="J988" s="113" t="n"/>
      <c r="K988" s="109" t="n"/>
      <c r="L988" s="72" t="n"/>
      <c r="M988" s="109" t="n"/>
      <c r="N988" s="72" t="n"/>
      <c r="O988" s="79">
        <f>IF(AND(F988&lt;&gt;"",L988&lt;&gt;"Resolved"),1,0)</f>
        <v/>
      </c>
      <c r="P988" s="79">
        <f>IF(F988="","",IF(O988=0,0,IF(H988="High",2,1)))</f>
        <v/>
      </c>
      <c r="Q988" s="112">
        <f>IF(O988=1,IF(K988&lt;&gt;"",K988,IF(H988="High",AsOf,"")),"")</f>
        <v/>
      </c>
      <c r="R988" s="79">
        <f>IF(Q988="","",IF(H988="High",1,IF(Q988="","",IF(Q988&lt;AsOf,1,IF(Q988&lt;=AsOf+AlertDays,2,IF(Q988&lt;=AsOf+2*AlertDays,3,""))))))</f>
        <v/>
      </c>
      <c r="S988" s="79">
        <f>IF(R988="","",IF(H988="High","High-severity issue: ",IF(C988="Punch item","Punch item: ","Issue action due: "))&amp;F988&amp;IF(J988="",""," → "&amp;J988))</f>
        <v/>
      </c>
      <c r="T988" s="79">
        <f>IF(O988=1,IF(I988="",0,I988),0)</f>
        <v/>
      </c>
      <c r="U988" s="79">
        <f>IF(AND(O988=1,H988="High"),1,0)</f>
        <v/>
      </c>
      <c r="V988" s="79">
        <f>IF(AND(O988=1,C988="Punch item"),1,0)</f>
        <v/>
      </c>
    </row>
    <row r="989" ht="24" customHeight="1">
      <c r="B989" s="125" t="n">
        <v>982</v>
      </c>
      <c r="C989" s="72" t="n"/>
      <c r="D989" s="109" t="n"/>
      <c r="E989" s="72" t="n"/>
      <c r="F989" s="113" t="n"/>
      <c r="G989" s="72" t="n"/>
      <c r="H989" s="74" t="n"/>
      <c r="I989" s="73" t="n"/>
      <c r="J989" s="113" t="n"/>
      <c r="K989" s="109" t="n"/>
      <c r="L989" s="72" t="n"/>
      <c r="M989" s="109" t="n"/>
      <c r="N989" s="72" t="n"/>
      <c r="O989" s="79">
        <f>IF(AND(F989&lt;&gt;"",L989&lt;&gt;"Resolved"),1,0)</f>
        <v/>
      </c>
      <c r="P989" s="79">
        <f>IF(F989="","",IF(O989=0,0,IF(H989="High",2,1)))</f>
        <v/>
      </c>
      <c r="Q989" s="112">
        <f>IF(O989=1,IF(K989&lt;&gt;"",K989,IF(H989="High",AsOf,"")),"")</f>
        <v/>
      </c>
      <c r="R989" s="79">
        <f>IF(Q989="","",IF(H989="High",1,IF(Q989="","",IF(Q989&lt;AsOf,1,IF(Q989&lt;=AsOf+AlertDays,2,IF(Q989&lt;=AsOf+2*AlertDays,3,""))))))</f>
        <v/>
      </c>
      <c r="S989" s="79">
        <f>IF(R989="","",IF(H989="High","High-severity issue: ",IF(C989="Punch item","Punch item: ","Issue action due: "))&amp;F989&amp;IF(J989="",""," → "&amp;J989))</f>
        <v/>
      </c>
      <c r="T989" s="79">
        <f>IF(O989=1,IF(I989="",0,I989),0)</f>
        <v/>
      </c>
      <c r="U989" s="79">
        <f>IF(AND(O989=1,H989="High"),1,0)</f>
        <v/>
      </c>
      <c r="V989" s="79">
        <f>IF(AND(O989=1,C989="Punch item"),1,0)</f>
        <v/>
      </c>
    </row>
    <row r="990" ht="24" customHeight="1">
      <c r="B990" s="125" t="n">
        <v>983</v>
      </c>
      <c r="C990" s="72" t="n"/>
      <c r="D990" s="109" t="n"/>
      <c r="E990" s="72" t="n"/>
      <c r="F990" s="113" t="n"/>
      <c r="G990" s="72" t="n"/>
      <c r="H990" s="74" t="n"/>
      <c r="I990" s="73" t="n"/>
      <c r="J990" s="113" t="n"/>
      <c r="K990" s="109" t="n"/>
      <c r="L990" s="72" t="n"/>
      <c r="M990" s="109" t="n"/>
      <c r="N990" s="72" t="n"/>
      <c r="O990" s="79">
        <f>IF(AND(F990&lt;&gt;"",L990&lt;&gt;"Resolved"),1,0)</f>
        <v/>
      </c>
      <c r="P990" s="79">
        <f>IF(F990="","",IF(O990=0,0,IF(H990="High",2,1)))</f>
        <v/>
      </c>
      <c r="Q990" s="112">
        <f>IF(O990=1,IF(K990&lt;&gt;"",K990,IF(H990="High",AsOf,"")),"")</f>
        <v/>
      </c>
      <c r="R990" s="79">
        <f>IF(Q990="","",IF(H990="High",1,IF(Q990="","",IF(Q990&lt;AsOf,1,IF(Q990&lt;=AsOf+AlertDays,2,IF(Q990&lt;=AsOf+2*AlertDays,3,""))))))</f>
        <v/>
      </c>
      <c r="S990" s="79">
        <f>IF(R990="","",IF(H990="High","High-severity issue: ",IF(C990="Punch item","Punch item: ","Issue action due: "))&amp;F990&amp;IF(J990="",""," → "&amp;J990))</f>
        <v/>
      </c>
      <c r="T990" s="79">
        <f>IF(O990=1,IF(I990="",0,I990),0)</f>
        <v/>
      </c>
      <c r="U990" s="79">
        <f>IF(AND(O990=1,H990="High"),1,0)</f>
        <v/>
      </c>
      <c r="V990" s="79">
        <f>IF(AND(O990=1,C990="Punch item"),1,0)</f>
        <v/>
      </c>
    </row>
    <row r="991" ht="24" customHeight="1">
      <c r="B991" s="125" t="n">
        <v>984</v>
      </c>
      <c r="C991" s="72" t="n"/>
      <c r="D991" s="109" t="n"/>
      <c r="E991" s="72" t="n"/>
      <c r="F991" s="113" t="n"/>
      <c r="G991" s="72" t="n"/>
      <c r="H991" s="74" t="n"/>
      <c r="I991" s="73" t="n"/>
      <c r="J991" s="113" t="n"/>
      <c r="K991" s="109" t="n"/>
      <c r="L991" s="72" t="n"/>
      <c r="M991" s="109" t="n"/>
      <c r="N991" s="72" t="n"/>
      <c r="O991" s="79">
        <f>IF(AND(F991&lt;&gt;"",L991&lt;&gt;"Resolved"),1,0)</f>
        <v/>
      </c>
      <c r="P991" s="79">
        <f>IF(F991="","",IF(O991=0,0,IF(H991="High",2,1)))</f>
        <v/>
      </c>
      <c r="Q991" s="112">
        <f>IF(O991=1,IF(K991&lt;&gt;"",K991,IF(H991="High",AsOf,"")),"")</f>
        <v/>
      </c>
      <c r="R991" s="79">
        <f>IF(Q991="","",IF(H991="High",1,IF(Q991="","",IF(Q991&lt;AsOf,1,IF(Q991&lt;=AsOf+AlertDays,2,IF(Q991&lt;=AsOf+2*AlertDays,3,""))))))</f>
        <v/>
      </c>
      <c r="S991" s="79">
        <f>IF(R991="","",IF(H991="High","High-severity issue: ",IF(C991="Punch item","Punch item: ","Issue action due: "))&amp;F991&amp;IF(J991="",""," → "&amp;J991))</f>
        <v/>
      </c>
      <c r="T991" s="79">
        <f>IF(O991=1,IF(I991="",0,I991),0)</f>
        <v/>
      </c>
      <c r="U991" s="79">
        <f>IF(AND(O991=1,H991="High"),1,0)</f>
        <v/>
      </c>
      <c r="V991" s="79">
        <f>IF(AND(O991=1,C991="Punch item"),1,0)</f>
        <v/>
      </c>
    </row>
    <row r="992" ht="24" customHeight="1">
      <c r="B992" s="125" t="n">
        <v>985</v>
      </c>
      <c r="C992" s="72" t="n"/>
      <c r="D992" s="109" t="n"/>
      <c r="E992" s="72" t="n"/>
      <c r="F992" s="113" t="n"/>
      <c r="G992" s="72" t="n"/>
      <c r="H992" s="74" t="n"/>
      <c r="I992" s="73" t="n"/>
      <c r="J992" s="113" t="n"/>
      <c r="K992" s="109" t="n"/>
      <c r="L992" s="72" t="n"/>
      <c r="M992" s="109" t="n"/>
      <c r="N992" s="72" t="n"/>
      <c r="O992" s="79">
        <f>IF(AND(F992&lt;&gt;"",L992&lt;&gt;"Resolved"),1,0)</f>
        <v/>
      </c>
      <c r="P992" s="79">
        <f>IF(F992="","",IF(O992=0,0,IF(H992="High",2,1)))</f>
        <v/>
      </c>
      <c r="Q992" s="112">
        <f>IF(O992=1,IF(K992&lt;&gt;"",K992,IF(H992="High",AsOf,"")),"")</f>
        <v/>
      </c>
      <c r="R992" s="79">
        <f>IF(Q992="","",IF(H992="High",1,IF(Q992="","",IF(Q992&lt;AsOf,1,IF(Q992&lt;=AsOf+AlertDays,2,IF(Q992&lt;=AsOf+2*AlertDays,3,""))))))</f>
        <v/>
      </c>
      <c r="S992" s="79">
        <f>IF(R992="","",IF(H992="High","High-severity issue: ",IF(C992="Punch item","Punch item: ","Issue action due: "))&amp;F992&amp;IF(J992="",""," → "&amp;J992))</f>
        <v/>
      </c>
      <c r="T992" s="79">
        <f>IF(O992=1,IF(I992="",0,I992),0)</f>
        <v/>
      </c>
      <c r="U992" s="79">
        <f>IF(AND(O992=1,H992="High"),1,0)</f>
        <v/>
      </c>
      <c r="V992" s="79">
        <f>IF(AND(O992=1,C992="Punch item"),1,0)</f>
        <v/>
      </c>
    </row>
    <row r="993" ht="24" customHeight="1">
      <c r="B993" s="125" t="n">
        <v>986</v>
      </c>
      <c r="C993" s="72" t="n"/>
      <c r="D993" s="109" t="n"/>
      <c r="E993" s="72" t="n"/>
      <c r="F993" s="113" t="n"/>
      <c r="G993" s="72" t="n"/>
      <c r="H993" s="74" t="n"/>
      <c r="I993" s="73" t="n"/>
      <c r="J993" s="113" t="n"/>
      <c r="K993" s="109" t="n"/>
      <c r="L993" s="72" t="n"/>
      <c r="M993" s="109" t="n"/>
      <c r="N993" s="72" t="n"/>
      <c r="O993" s="79">
        <f>IF(AND(F993&lt;&gt;"",L993&lt;&gt;"Resolved"),1,0)</f>
        <v/>
      </c>
      <c r="P993" s="79">
        <f>IF(F993="","",IF(O993=0,0,IF(H993="High",2,1)))</f>
        <v/>
      </c>
      <c r="Q993" s="112">
        <f>IF(O993=1,IF(K993&lt;&gt;"",K993,IF(H993="High",AsOf,"")),"")</f>
        <v/>
      </c>
      <c r="R993" s="79">
        <f>IF(Q993="","",IF(H993="High",1,IF(Q993="","",IF(Q993&lt;AsOf,1,IF(Q993&lt;=AsOf+AlertDays,2,IF(Q993&lt;=AsOf+2*AlertDays,3,""))))))</f>
        <v/>
      </c>
      <c r="S993" s="79">
        <f>IF(R993="","",IF(H993="High","High-severity issue: ",IF(C993="Punch item","Punch item: ","Issue action due: "))&amp;F993&amp;IF(J993="",""," → "&amp;J993))</f>
        <v/>
      </c>
      <c r="T993" s="79">
        <f>IF(O993=1,IF(I993="",0,I993),0)</f>
        <v/>
      </c>
      <c r="U993" s="79">
        <f>IF(AND(O993=1,H993="High"),1,0)</f>
        <v/>
      </c>
      <c r="V993" s="79">
        <f>IF(AND(O993=1,C993="Punch item"),1,0)</f>
        <v/>
      </c>
    </row>
    <row r="994" ht="24" customHeight="1">
      <c r="B994" s="125" t="n">
        <v>987</v>
      </c>
      <c r="C994" s="72" t="n"/>
      <c r="D994" s="109" t="n"/>
      <c r="E994" s="72" t="n"/>
      <c r="F994" s="113" t="n"/>
      <c r="G994" s="72" t="n"/>
      <c r="H994" s="74" t="n"/>
      <c r="I994" s="73" t="n"/>
      <c r="J994" s="113" t="n"/>
      <c r="K994" s="109" t="n"/>
      <c r="L994" s="72" t="n"/>
      <c r="M994" s="109" t="n"/>
      <c r="N994" s="72" t="n"/>
      <c r="O994" s="79">
        <f>IF(AND(F994&lt;&gt;"",L994&lt;&gt;"Resolved"),1,0)</f>
        <v/>
      </c>
      <c r="P994" s="79">
        <f>IF(F994="","",IF(O994=0,0,IF(H994="High",2,1)))</f>
        <v/>
      </c>
      <c r="Q994" s="112">
        <f>IF(O994=1,IF(K994&lt;&gt;"",K994,IF(H994="High",AsOf,"")),"")</f>
        <v/>
      </c>
      <c r="R994" s="79">
        <f>IF(Q994="","",IF(H994="High",1,IF(Q994="","",IF(Q994&lt;AsOf,1,IF(Q994&lt;=AsOf+AlertDays,2,IF(Q994&lt;=AsOf+2*AlertDays,3,""))))))</f>
        <v/>
      </c>
      <c r="S994" s="79">
        <f>IF(R994="","",IF(H994="High","High-severity issue: ",IF(C994="Punch item","Punch item: ","Issue action due: "))&amp;F994&amp;IF(J994="",""," → "&amp;J994))</f>
        <v/>
      </c>
      <c r="T994" s="79">
        <f>IF(O994=1,IF(I994="",0,I994),0)</f>
        <v/>
      </c>
      <c r="U994" s="79">
        <f>IF(AND(O994=1,H994="High"),1,0)</f>
        <v/>
      </c>
      <c r="V994" s="79">
        <f>IF(AND(O994=1,C994="Punch item"),1,0)</f>
        <v/>
      </c>
    </row>
    <row r="995" ht="24" customHeight="1">
      <c r="B995" s="125" t="n">
        <v>988</v>
      </c>
      <c r="C995" s="72" t="n"/>
      <c r="D995" s="109" t="n"/>
      <c r="E995" s="72" t="n"/>
      <c r="F995" s="113" t="n"/>
      <c r="G995" s="72" t="n"/>
      <c r="H995" s="74" t="n"/>
      <c r="I995" s="73" t="n"/>
      <c r="J995" s="113" t="n"/>
      <c r="K995" s="109" t="n"/>
      <c r="L995" s="72" t="n"/>
      <c r="M995" s="109" t="n"/>
      <c r="N995" s="72" t="n"/>
      <c r="O995" s="79">
        <f>IF(AND(F995&lt;&gt;"",L995&lt;&gt;"Resolved"),1,0)</f>
        <v/>
      </c>
      <c r="P995" s="79">
        <f>IF(F995="","",IF(O995=0,0,IF(H995="High",2,1)))</f>
        <v/>
      </c>
      <c r="Q995" s="112">
        <f>IF(O995=1,IF(K995&lt;&gt;"",K995,IF(H995="High",AsOf,"")),"")</f>
        <v/>
      </c>
      <c r="R995" s="79">
        <f>IF(Q995="","",IF(H995="High",1,IF(Q995="","",IF(Q995&lt;AsOf,1,IF(Q995&lt;=AsOf+AlertDays,2,IF(Q995&lt;=AsOf+2*AlertDays,3,""))))))</f>
        <v/>
      </c>
      <c r="S995" s="79">
        <f>IF(R995="","",IF(H995="High","High-severity issue: ",IF(C995="Punch item","Punch item: ","Issue action due: "))&amp;F995&amp;IF(J995="",""," → "&amp;J995))</f>
        <v/>
      </c>
      <c r="T995" s="79">
        <f>IF(O995=1,IF(I995="",0,I995),0)</f>
        <v/>
      </c>
      <c r="U995" s="79">
        <f>IF(AND(O995=1,H995="High"),1,0)</f>
        <v/>
      </c>
      <c r="V995" s="79">
        <f>IF(AND(O995=1,C995="Punch item"),1,0)</f>
        <v/>
      </c>
    </row>
    <row r="996" ht="24" customHeight="1">
      <c r="B996" s="125" t="n">
        <v>989</v>
      </c>
      <c r="C996" s="72" t="n"/>
      <c r="D996" s="109" t="n"/>
      <c r="E996" s="72" t="n"/>
      <c r="F996" s="113" t="n"/>
      <c r="G996" s="72" t="n"/>
      <c r="H996" s="74" t="n"/>
      <c r="I996" s="73" t="n"/>
      <c r="J996" s="113" t="n"/>
      <c r="K996" s="109" t="n"/>
      <c r="L996" s="72" t="n"/>
      <c r="M996" s="109" t="n"/>
      <c r="N996" s="72" t="n"/>
      <c r="O996" s="79">
        <f>IF(AND(F996&lt;&gt;"",L996&lt;&gt;"Resolved"),1,0)</f>
        <v/>
      </c>
      <c r="P996" s="79">
        <f>IF(F996="","",IF(O996=0,0,IF(H996="High",2,1)))</f>
        <v/>
      </c>
      <c r="Q996" s="112">
        <f>IF(O996=1,IF(K996&lt;&gt;"",K996,IF(H996="High",AsOf,"")),"")</f>
        <v/>
      </c>
      <c r="R996" s="79">
        <f>IF(Q996="","",IF(H996="High",1,IF(Q996="","",IF(Q996&lt;AsOf,1,IF(Q996&lt;=AsOf+AlertDays,2,IF(Q996&lt;=AsOf+2*AlertDays,3,""))))))</f>
        <v/>
      </c>
      <c r="S996" s="79">
        <f>IF(R996="","",IF(H996="High","High-severity issue: ",IF(C996="Punch item","Punch item: ","Issue action due: "))&amp;F996&amp;IF(J996="",""," → "&amp;J996))</f>
        <v/>
      </c>
      <c r="T996" s="79">
        <f>IF(O996=1,IF(I996="",0,I996),0)</f>
        <v/>
      </c>
      <c r="U996" s="79">
        <f>IF(AND(O996=1,H996="High"),1,0)</f>
        <v/>
      </c>
      <c r="V996" s="79">
        <f>IF(AND(O996=1,C996="Punch item"),1,0)</f>
        <v/>
      </c>
    </row>
    <row r="997" ht="24" customHeight="1">
      <c r="B997" s="125" t="n">
        <v>990</v>
      </c>
      <c r="C997" s="72" t="n"/>
      <c r="D997" s="109" t="n"/>
      <c r="E997" s="72" t="n"/>
      <c r="F997" s="113" t="n"/>
      <c r="G997" s="72" t="n"/>
      <c r="H997" s="74" t="n"/>
      <c r="I997" s="73" t="n"/>
      <c r="J997" s="113" t="n"/>
      <c r="K997" s="109" t="n"/>
      <c r="L997" s="72" t="n"/>
      <c r="M997" s="109" t="n"/>
      <c r="N997" s="72" t="n"/>
      <c r="O997" s="79">
        <f>IF(AND(F997&lt;&gt;"",L997&lt;&gt;"Resolved"),1,0)</f>
        <v/>
      </c>
      <c r="P997" s="79">
        <f>IF(F997="","",IF(O997=0,0,IF(H997="High",2,1)))</f>
        <v/>
      </c>
      <c r="Q997" s="112">
        <f>IF(O997=1,IF(K997&lt;&gt;"",K997,IF(H997="High",AsOf,"")),"")</f>
        <v/>
      </c>
      <c r="R997" s="79">
        <f>IF(Q997="","",IF(H997="High",1,IF(Q997="","",IF(Q997&lt;AsOf,1,IF(Q997&lt;=AsOf+AlertDays,2,IF(Q997&lt;=AsOf+2*AlertDays,3,""))))))</f>
        <v/>
      </c>
      <c r="S997" s="79">
        <f>IF(R997="","",IF(H997="High","High-severity issue: ",IF(C997="Punch item","Punch item: ","Issue action due: "))&amp;F997&amp;IF(J997="",""," → "&amp;J997))</f>
        <v/>
      </c>
      <c r="T997" s="79">
        <f>IF(O997=1,IF(I997="",0,I997),0)</f>
        <v/>
      </c>
      <c r="U997" s="79">
        <f>IF(AND(O997=1,H997="High"),1,0)</f>
        <v/>
      </c>
      <c r="V997" s="79">
        <f>IF(AND(O997=1,C997="Punch item"),1,0)</f>
        <v/>
      </c>
    </row>
    <row r="998" ht="24" customHeight="1">
      <c r="B998" s="125" t="n">
        <v>991</v>
      </c>
      <c r="C998" s="72" t="n"/>
      <c r="D998" s="109" t="n"/>
      <c r="E998" s="72" t="n"/>
      <c r="F998" s="113" t="n"/>
      <c r="G998" s="72" t="n"/>
      <c r="H998" s="74" t="n"/>
      <c r="I998" s="73" t="n"/>
      <c r="J998" s="113" t="n"/>
      <c r="K998" s="109" t="n"/>
      <c r="L998" s="72" t="n"/>
      <c r="M998" s="109" t="n"/>
      <c r="N998" s="72" t="n"/>
      <c r="O998" s="79">
        <f>IF(AND(F998&lt;&gt;"",L998&lt;&gt;"Resolved"),1,0)</f>
        <v/>
      </c>
      <c r="P998" s="79">
        <f>IF(F998="","",IF(O998=0,0,IF(H998="High",2,1)))</f>
        <v/>
      </c>
      <c r="Q998" s="112">
        <f>IF(O998=1,IF(K998&lt;&gt;"",K998,IF(H998="High",AsOf,"")),"")</f>
        <v/>
      </c>
      <c r="R998" s="79">
        <f>IF(Q998="","",IF(H998="High",1,IF(Q998="","",IF(Q998&lt;AsOf,1,IF(Q998&lt;=AsOf+AlertDays,2,IF(Q998&lt;=AsOf+2*AlertDays,3,""))))))</f>
        <v/>
      </c>
      <c r="S998" s="79">
        <f>IF(R998="","",IF(H998="High","High-severity issue: ",IF(C998="Punch item","Punch item: ","Issue action due: "))&amp;F998&amp;IF(J998="",""," → "&amp;J998))</f>
        <v/>
      </c>
      <c r="T998" s="79">
        <f>IF(O998=1,IF(I998="",0,I998),0)</f>
        <v/>
      </c>
      <c r="U998" s="79">
        <f>IF(AND(O998=1,H998="High"),1,0)</f>
        <v/>
      </c>
      <c r="V998" s="79">
        <f>IF(AND(O998=1,C998="Punch item"),1,0)</f>
        <v/>
      </c>
    </row>
    <row r="999" ht="24" customHeight="1">
      <c r="B999" s="125" t="n">
        <v>992</v>
      </c>
      <c r="C999" s="72" t="n"/>
      <c r="D999" s="109" t="n"/>
      <c r="E999" s="72" t="n"/>
      <c r="F999" s="113" t="n"/>
      <c r="G999" s="72" t="n"/>
      <c r="H999" s="74" t="n"/>
      <c r="I999" s="73" t="n"/>
      <c r="J999" s="113" t="n"/>
      <c r="K999" s="109" t="n"/>
      <c r="L999" s="72" t="n"/>
      <c r="M999" s="109" t="n"/>
      <c r="N999" s="72" t="n"/>
      <c r="O999" s="79">
        <f>IF(AND(F999&lt;&gt;"",L999&lt;&gt;"Resolved"),1,0)</f>
        <v/>
      </c>
      <c r="P999" s="79">
        <f>IF(F999="","",IF(O999=0,0,IF(H999="High",2,1)))</f>
        <v/>
      </c>
      <c r="Q999" s="112">
        <f>IF(O999=1,IF(K999&lt;&gt;"",K999,IF(H999="High",AsOf,"")),"")</f>
        <v/>
      </c>
      <c r="R999" s="79">
        <f>IF(Q999="","",IF(H999="High",1,IF(Q999="","",IF(Q999&lt;AsOf,1,IF(Q999&lt;=AsOf+AlertDays,2,IF(Q999&lt;=AsOf+2*AlertDays,3,""))))))</f>
        <v/>
      </c>
      <c r="S999" s="79">
        <f>IF(R999="","",IF(H999="High","High-severity issue: ",IF(C999="Punch item","Punch item: ","Issue action due: "))&amp;F999&amp;IF(J999="",""," → "&amp;J999))</f>
        <v/>
      </c>
      <c r="T999" s="79">
        <f>IF(O999=1,IF(I999="",0,I999),0)</f>
        <v/>
      </c>
      <c r="U999" s="79">
        <f>IF(AND(O999=1,H999="High"),1,0)</f>
        <v/>
      </c>
      <c r="V999" s="79">
        <f>IF(AND(O999=1,C999="Punch item"),1,0)</f>
        <v/>
      </c>
    </row>
    <row r="1000" ht="24" customHeight="1">
      <c r="B1000" s="125" t="n">
        <v>993</v>
      </c>
      <c r="C1000" s="72" t="n"/>
      <c r="D1000" s="109" t="n"/>
      <c r="E1000" s="72" t="n"/>
      <c r="F1000" s="113" t="n"/>
      <c r="G1000" s="72" t="n"/>
      <c r="H1000" s="74" t="n"/>
      <c r="I1000" s="73" t="n"/>
      <c r="J1000" s="113" t="n"/>
      <c r="K1000" s="109" t="n"/>
      <c r="L1000" s="72" t="n"/>
      <c r="M1000" s="109" t="n"/>
      <c r="N1000" s="72" t="n"/>
      <c r="O1000" s="79">
        <f>IF(AND(F1000&lt;&gt;"",L1000&lt;&gt;"Resolved"),1,0)</f>
        <v/>
      </c>
      <c r="P1000" s="79">
        <f>IF(F1000="","",IF(O1000=0,0,IF(H1000="High",2,1)))</f>
        <v/>
      </c>
      <c r="Q1000" s="112">
        <f>IF(O1000=1,IF(K1000&lt;&gt;"",K1000,IF(H1000="High",AsOf,"")),"")</f>
        <v/>
      </c>
      <c r="R1000" s="79">
        <f>IF(Q1000="","",IF(H1000="High",1,IF(Q1000="","",IF(Q1000&lt;AsOf,1,IF(Q1000&lt;=AsOf+AlertDays,2,IF(Q1000&lt;=AsOf+2*AlertDays,3,""))))))</f>
        <v/>
      </c>
      <c r="S1000" s="79">
        <f>IF(R1000="","",IF(H1000="High","High-severity issue: ",IF(C1000="Punch item","Punch item: ","Issue action due: "))&amp;F1000&amp;IF(J1000="",""," → "&amp;J1000))</f>
        <v/>
      </c>
      <c r="T1000" s="79">
        <f>IF(O1000=1,IF(I1000="",0,I1000),0)</f>
        <v/>
      </c>
      <c r="U1000" s="79">
        <f>IF(AND(O1000=1,H1000="High"),1,0)</f>
        <v/>
      </c>
      <c r="V1000" s="79">
        <f>IF(AND(O1000=1,C1000="Punch item"),1,0)</f>
        <v/>
      </c>
    </row>
    <row r="1001" ht="24" customHeight="1">
      <c r="B1001" s="125" t="n">
        <v>994</v>
      </c>
      <c r="C1001" s="72" t="n"/>
      <c r="D1001" s="109" t="n"/>
      <c r="E1001" s="72" t="n"/>
      <c r="F1001" s="113" t="n"/>
      <c r="G1001" s="72" t="n"/>
      <c r="H1001" s="74" t="n"/>
      <c r="I1001" s="73" t="n"/>
      <c r="J1001" s="113" t="n"/>
      <c r="K1001" s="109" t="n"/>
      <c r="L1001" s="72" t="n"/>
      <c r="M1001" s="109" t="n"/>
      <c r="N1001" s="72" t="n"/>
      <c r="O1001" s="79">
        <f>IF(AND(F1001&lt;&gt;"",L1001&lt;&gt;"Resolved"),1,0)</f>
        <v/>
      </c>
      <c r="P1001" s="79">
        <f>IF(F1001="","",IF(O1001=0,0,IF(H1001="High",2,1)))</f>
        <v/>
      </c>
      <c r="Q1001" s="112">
        <f>IF(O1001=1,IF(K1001&lt;&gt;"",K1001,IF(H1001="High",AsOf,"")),"")</f>
        <v/>
      </c>
      <c r="R1001" s="79">
        <f>IF(Q1001="","",IF(H1001="High",1,IF(Q1001="","",IF(Q1001&lt;AsOf,1,IF(Q1001&lt;=AsOf+AlertDays,2,IF(Q1001&lt;=AsOf+2*AlertDays,3,""))))))</f>
        <v/>
      </c>
      <c r="S1001" s="79">
        <f>IF(R1001="","",IF(H1001="High","High-severity issue: ",IF(C1001="Punch item","Punch item: ","Issue action due: "))&amp;F1001&amp;IF(J1001="",""," → "&amp;J1001))</f>
        <v/>
      </c>
      <c r="T1001" s="79">
        <f>IF(O1001=1,IF(I1001="",0,I1001),0)</f>
        <v/>
      </c>
      <c r="U1001" s="79">
        <f>IF(AND(O1001=1,H1001="High"),1,0)</f>
        <v/>
      </c>
      <c r="V1001" s="79">
        <f>IF(AND(O1001=1,C1001="Punch item"),1,0)</f>
        <v/>
      </c>
    </row>
    <row r="1002" ht="24" customHeight="1">
      <c r="B1002" s="125" t="n">
        <v>995</v>
      </c>
      <c r="C1002" s="72" t="n"/>
      <c r="D1002" s="109" t="n"/>
      <c r="E1002" s="72" t="n"/>
      <c r="F1002" s="113" t="n"/>
      <c r="G1002" s="72" t="n"/>
      <c r="H1002" s="74" t="n"/>
      <c r="I1002" s="73" t="n"/>
      <c r="J1002" s="113" t="n"/>
      <c r="K1002" s="109" t="n"/>
      <c r="L1002" s="72" t="n"/>
      <c r="M1002" s="109" t="n"/>
      <c r="N1002" s="72" t="n"/>
      <c r="O1002" s="79">
        <f>IF(AND(F1002&lt;&gt;"",L1002&lt;&gt;"Resolved"),1,0)</f>
        <v/>
      </c>
      <c r="P1002" s="79">
        <f>IF(F1002="","",IF(O1002=0,0,IF(H1002="High",2,1)))</f>
        <v/>
      </c>
      <c r="Q1002" s="112">
        <f>IF(O1002=1,IF(K1002&lt;&gt;"",K1002,IF(H1002="High",AsOf,"")),"")</f>
        <v/>
      </c>
      <c r="R1002" s="79">
        <f>IF(Q1002="","",IF(H1002="High",1,IF(Q1002="","",IF(Q1002&lt;AsOf,1,IF(Q1002&lt;=AsOf+AlertDays,2,IF(Q1002&lt;=AsOf+2*AlertDays,3,""))))))</f>
        <v/>
      </c>
      <c r="S1002" s="79">
        <f>IF(R1002="","",IF(H1002="High","High-severity issue: ",IF(C1002="Punch item","Punch item: ","Issue action due: "))&amp;F1002&amp;IF(J1002="",""," → "&amp;J1002))</f>
        <v/>
      </c>
      <c r="T1002" s="79">
        <f>IF(O1002=1,IF(I1002="",0,I1002),0)</f>
        <v/>
      </c>
      <c r="U1002" s="79">
        <f>IF(AND(O1002=1,H1002="High"),1,0)</f>
        <v/>
      </c>
      <c r="V1002" s="79">
        <f>IF(AND(O1002=1,C1002="Punch item"),1,0)</f>
        <v/>
      </c>
    </row>
    <row r="1003" ht="24" customHeight="1">
      <c r="B1003" s="125" t="n">
        <v>996</v>
      </c>
      <c r="C1003" s="72" t="n"/>
      <c r="D1003" s="109" t="n"/>
      <c r="E1003" s="72" t="n"/>
      <c r="F1003" s="113" t="n"/>
      <c r="G1003" s="72" t="n"/>
      <c r="H1003" s="74" t="n"/>
      <c r="I1003" s="73" t="n"/>
      <c r="J1003" s="113" t="n"/>
      <c r="K1003" s="109" t="n"/>
      <c r="L1003" s="72" t="n"/>
      <c r="M1003" s="109" t="n"/>
      <c r="N1003" s="72" t="n"/>
      <c r="O1003" s="79">
        <f>IF(AND(F1003&lt;&gt;"",L1003&lt;&gt;"Resolved"),1,0)</f>
        <v/>
      </c>
      <c r="P1003" s="79">
        <f>IF(F1003="","",IF(O1003=0,0,IF(H1003="High",2,1)))</f>
        <v/>
      </c>
      <c r="Q1003" s="112">
        <f>IF(O1003=1,IF(K1003&lt;&gt;"",K1003,IF(H1003="High",AsOf,"")),"")</f>
        <v/>
      </c>
      <c r="R1003" s="79">
        <f>IF(Q1003="","",IF(H1003="High",1,IF(Q1003="","",IF(Q1003&lt;AsOf,1,IF(Q1003&lt;=AsOf+AlertDays,2,IF(Q1003&lt;=AsOf+2*AlertDays,3,""))))))</f>
        <v/>
      </c>
      <c r="S1003" s="79">
        <f>IF(R1003="","",IF(H1003="High","High-severity issue: ",IF(C1003="Punch item","Punch item: ","Issue action due: "))&amp;F1003&amp;IF(J1003="",""," → "&amp;J1003))</f>
        <v/>
      </c>
      <c r="T1003" s="79">
        <f>IF(O1003=1,IF(I1003="",0,I1003),0)</f>
        <v/>
      </c>
      <c r="U1003" s="79">
        <f>IF(AND(O1003=1,H1003="High"),1,0)</f>
        <v/>
      </c>
      <c r="V1003" s="79">
        <f>IF(AND(O1003=1,C1003="Punch item"),1,0)</f>
        <v/>
      </c>
    </row>
    <row r="1004" ht="24" customHeight="1">
      <c r="B1004" s="125" t="n">
        <v>997</v>
      </c>
      <c r="C1004" s="72" t="n"/>
      <c r="D1004" s="109" t="n"/>
      <c r="E1004" s="72" t="n"/>
      <c r="F1004" s="113" t="n"/>
      <c r="G1004" s="72" t="n"/>
      <c r="H1004" s="74" t="n"/>
      <c r="I1004" s="73" t="n"/>
      <c r="J1004" s="113" t="n"/>
      <c r="K1004" s="109" t="n"/>
      <c r="L1004" s="72" t="n"/>
      <c r="M1004" s="109" t="n"/>
      <c r="N1004" s="72" t="n"/>
      <c r="O1004" s="79">
        <f>IF(AND(F1004&lt;&gt;"",L1004&lt;&gt;"Resolved"),1,0)</f>
        <v/>
      </c>
      <c r="P1004" s="79">
        <f>IF(F1004="","",IF(O1004=0,0,IF(H1004="High",2,1)))</f>
        <v/>
      </c>
      <c r="Q1004" s="112">
        <f>IF(O1004=1,IF(K1004&lt;&gt;"",K1004,IF(H1004="High",AsOf,"")),"")</f>
        <v/>
      </c>
      <c r="R1004" s="79">
        <f>IF(Q1004="","",IF(H1004="High",1,IF(Q1004="","",IF(Q1004&lt;AsOf,1,IF(Q1004&lt;=AsOf+AlertDays,2,IF(Q1004&lt;=AsOf+2*AlertDays,3,""))))))</f>
        <v/>
      </c>
      <c r="S1004" s="79">
        <f>IF(R1004="","",IF(H1004="High","High-severity issue: ",IF(C1004="Punch item","Punch item: ","Issue action due: "))&amp;F1004&amp;IF(J1004="",""," → "&amp;J1004))</f>
        <v/>
      </c>
      <c r="T1004" s="79">
        <f>IF(O1004=1,IF(I1004="",0,I1004),0)</f>
        <v/>
      </c>
      <c r="U1004" s="79">
        <f>IF(AND(O1004=1,H1004="High"),1,0)</f>
        <v/>
      </c>
      <c r="V1004" s="79">
        <f>IF(AND(O1004=1,C1004="Punch item"),1,0)</f>
        <v/>
      </c>
    </row>
    <row r="1005" ht="24" customHeight="1">
      <c r="B1005" s="125" t="n">
        <v>998</v>
      </c>
      <c r="C1005" s="72" t="n"/>
      <c r="D1005" s="109" t="n"/>
      <c r="E1005" s="72" t="n"/>
      <c r="F1005" s="113" t="n"/>
      <c r="G1005" s="72" t="n"/>
      <c r="H1005" s="74" t="n"/>
      <c r="I1005" s="73" t="n"/>
      <c r="J1005" s="113" t="n"/>
      <c r="K1005" s="109" t="n"/>
      <c r="L1005" s="72" t="n"/>
      <c r="M1005" s="109" t="n"/>
      <c r="N1005" s="72" t="n"/>
      <c r="O1005" s="79">
        <f>IF(AND(F1005&lt;&gt;"",L1005&lt;&gt;"Resolved"),1,0)</f>
        <v/>
      </c>
      <c r="P1005" s="79">
        <f>IF(F1005="","",IF(O1005=0,0,IF(H1005="High",2,1)))</f>
        <v/>
      </c>
      <c r="Q1005" s="112">
        <f>IF(O1005=1,IF(K1005&lt;&gt;"",K1005,IF(H1005="High",AsOf,"")),"")</f>
        <v/>
      </c>
      <c r="R1005" s="79">
        <f>IF(Q1005="","",IF(H1005="High",1,IF(Q1005="","",IF(Q1005&lt;AsOf,1,IF(Q1005&lt;=AsOf+AlertDays,2,IF(Q1005&lt;=AsOf+2*AlertDays,3,""))))))</f>
        <v/>
      </c>
      <c r="S1005" s="79">
        <f>IF(R1005="","",IF(H1005="High","High-severity issue: ",IF(C1005="Punch item","Punch item: ","Issue action due: "))&amp;F1005&amp;IF(J1005="",""," → "&amp;J1005))</f>
        <v/>
      </c>
      <c r="T1005" s="79">
        <f>IF(O1005=1,IF(I1005="",0,I1005),0)</f>
        <v/>
      </c>
      <c r="U1005" s="79">
        <f>IF(AND(O1005=1,H1005="High"),1,0)</f>
        <v/>
      </c>
      <c r="V1005" s="79">
        <f>IF(AND(O1005=1,C1005="Punch item"),1,0)</f>
        <v/>
      </c>
    </row>
    <row r="1006" ht="24" customHeight="1">
      <c r="B1006" s="125" t="n">
        <v>999</v>
      </c>
      <c r="C1006" s="72" t="n"/>
      <c r="D1006" s="109" t="n"/>
      <c r="E1006" s="72" t="n"/>
      <c r="F1006" s="113" t="n"/>
      <c r="G1006" s="72" t="n"/>
      <c r="H1006" s="74" t="n"/>
      <c r="I1006" s="73" t="n"/>
      <c r="J1006" s="113" t="n"/>
      <c r="K1006" s="109" t="n"/>
      <c r="L1006" s="72" t="n"/>
      <c r="M1006" s="109" t="n"/>
      <c r="N1006" s="72" t="n"/>
      <c r="O1006" s="79">
        <f>IF(AND(F1006&lt;&gt;"",L1006&lt;&gt;"Resolved"),1,0)</f>
        <v/>
      </c>
      <c r="P1006" s="79">
        <f>IF(F1006="","",IF(O1006=0,0,IF(H1006="High",2,1)))</f>
        <v/>
      </c>
      <c r="Q1006" s="112">
        <f>IF(O1006=1,IF(K1006&lt;&gt;"",K1006,IF(H1006="High",AsOf,"")),"")</f>
        <v/>
      </c>
      <c r="R1006" s="79">
        <f>IF(Q1006="","",IF(H1006="High",1,IF(Q1006="","",IF(Q1006&lt;AsOf,1,IF(Q1006&lt;=AsOf+AlertDays,2,IF(Q1006&lt;=AsOf+2*AlertDays,3,""))))))</f>
        <v/>
      </c>
      <c r="S1006" s="79">
        <f>IF(R1006="","",IF(H1006="High","High-severity issue: ",IF(C1006="Punch item","Punch item: ","Issue action due: "))&amp;F1006&amp;IF(J1006="",""," → "&amp;J1006))</f>
        <v/>
      </c>
      <c r="T1006" s="79">
        <f>IF(O1006=1,IF(I1006="",0,I1006),0)</f>
        <v/>
      </c>
      <c r="U1006" s="79">
        <f>IF(AND(O1006=1,H1006="High"),1,0)</f>
        <v/>
      </c>
      <c r="V1006" s="79">
        <f>IF(AND(O1006=1,C1006="Punch item"),1,0)</f>
        <v/>
      </c>
    </row>
    <row r="1007" ht="24" customHeight="1">
      <c r="B1007" s="125" t="n">
        <v>1000</v>
      </c>
      <c r="C1007" s="72" t="n"/>
      <c r="D1007" s="109" t="n"/>
      <c r="E1007" s="72" t="n"/>
      <c r="F1007" s="113" t="n"/>
      <c r="G1007" s="72" t="n"/>
      <c r="H1007" s="74" t="n"/>
      <c r="I1007" s="73" t="n"/>
      <c r="J1007" s="113" t="n"/>
      <c r="K1007" s="109" t="n"/>
      <c r="L1007" s="72" t="n"/>
      <c r="M1007" s="109" t="n"/>
      <c r="N1007" s="72" t="n"/>
      <c r="O1007" s="79">
        <f>IF(AND(F1007&lt;&gt;"",L1007&lt;&gt;"Resolved"),1,0)</f>
        <v/>
      </c>
      <c r="P1007" s="79">
        <f>IF(F1007="","",IF(O1007=0,0,IF(H1007="High",2,1)))</f>
        <v/>
      </c>
      <c r="Q1007" s="112">
        <f>IF(O1007=1,IF(K1007&lt;&gt;"",K1007,IF(H1007="High",AsOf,"")),"")</f>
        <v/>
      </c>
      <c r="R1007" s="79">
        <f>IF(Q1007="","",IF(H1007="High",1,IF(Q1007="","",IF(Q1007&lt;AsOf,1,IF(Q1007&lt;=AsOf+AlertDays,2,IF(Q1007&lt;=AsOf+2*AlertDays,3,""))))))</f>
        <v/>
      </c>
      <c r="S1007" s="79">
        <f>IF(R1007="","",IF(H1007="High","High-severity issue: ",IF(C1007="Punch item","Punch item: ","Issue action due: "))&amp;F1007&amp;IF(J1007="",""," → "&amp;J1007))</f>
        <v/>
      </c>
      <c r="T1007" s="79">
        <f>IF(O1007=1,IF(I1007="",0,I1007),0)</f>
        <v/>
      </c>
      <c r="U1007" s="79">
        <f>IF(AND(O1007=1,H1007="High"),1,0)</f>
        <v/>
      </c>
      <c r="V1007" s="79">
        <f>IF(AND(O1007=1,C1007="Punch item"),1,0)</f>
        <v/>
      </c>
    </row>
  </sheetData>
  <sheetProtection selectLockedCells="1" selectUnlockedCells="0" sheet="1" objects="0" insertRows="1" insertHyperlinks="1" autoFilter="1" scenarios="0" formatColumns="0" deleteColumns="1" insertColumns="1" pivotTables="1" deleteRows="1" formatCells="1" formatRows="0" sort="1" password="CD61"/>
  <mergeCells count="6">
    <mergeCell ref="I4:J4"/>
    <mergeCell ref="B5:C5"/>
    <mergeCell ref="D5:E5"/>
    <mergeCell ref="I5:J5"/>
    <mergeCell ref="D4:E4"/>
    <mergeCell ref="B4:C4"/>
  </mergeCells>
  <conditionalFormatting sqref="L8:L1007">
    <cfRule type="expression" priority="1" dxfId="0" stopIfTrue="0">
      <formula>$P8=2</formula>
    </cfRule>
    <cfRule type="expression" priority="2" dxfId="2" stopIfTrue="0">
      <formula>$P8=1</formula>
    </cfRule>
    <cfRule type="expression" priority="3" dxfId="3" stopIfTrue="0">
      <formula>$P8=0</formula>
    </cfRule>
  </conditionalFormatting>
  <conditionalFormatting sqref="H8:H1007">
    <cfRule type="expression" priority="4" dxfId="0" stopIfTrue="0">
      <formula>AND(H8="High",$O8=1)</formula>
    </cfRule>
  </conditionalFormatting>
  <conditionalFormatting sqref="B5">
    <cfRule type="expression" priority="5" dxfId="0" stopIfTrue="0">
      <formula>B5&gt;0</formula>
    </cfRule>
  </conditionalFormatting>
  <conditionalFormatting sqref="D5">
    <cfRule type="expression" priority="6" dxfId="2" stopIfTrue="0">
      <formula>D5&gt;0</formula>
    </cfRule>
  </conditionalFormatting>
  <conditionalFormatting sqref="F5">
    <cfRule type="expression" priority="7" dxfId="2" stopIfTrue="0">
      <formula>F5&gt;0</formula>
    </cfRule>
  </conditionalFormatting>
  <conditionalFormatting sqref="G5">
    <cfRule type="expression" priority="8" dxfId="2" stopIfTrue="0">
      <formula>G5&gt;0</formula>
    </cfRule>
  </conditionalFormatting>
  <conditionalFormatting sqref="I5">
    <cfRule type="expression" priority="9" dxfId="2" stopIfTrue="0">
      <formula>I5&gt;0</formula>
    </cfRule>
  </conditionalFormatting>
  <dataValidations count="5">
    <dataValidation sqref="C8:C1007" showDropDown="0" showInputMessage="0" showErrorMessage="1" allowBlank="1" errorTitle="Renovation OS" error="Please pick a value from the dropdown list." type="list">
      <formula1>='Lists'!$I$2:$I$3</formula1>
    </dataValidation>
    <dataValidation sqref="E8:E1007" showDropDown="0" showInputMessage="0" showErrorMessage="1" allowBlank="1" errorTitle="Renovation OS" error="Please pick a value from the dropdown list." type="list">
      <formula1>='Lists'!$W$2:$W$12</formula1>
    </dataValidation>
    <dataValidation sqref="G8:G1007" showDropDown="0" showInputMessage="0" showErrorMessage="1" allowBlank="1" errorTitle="Renovation OS" error="This name is not in the list. Keep it anyway?" type="list" errorStyle="warning">
      <formula1>='Lists'!$X$2:$X$1001</formula1>
    </dataValidation>
    <dataValidation sqref="H8:H1007" showDropDown="0" showInputMessage="0" showErrorMessage="1" allowBlank="1" errorTitle="Renovation OS" error="Please pick a value from the dropdown list." type="list">
      <formula1>='Lists'!$J$2:$J$4</formula1>
    </dataValidation>
    <dataValidation sqref="L8:L1007" showDropDown="0" showInputMessage="0" showErrorMessage="1" allowBlank="1" errorTitle="Renovation OS" error="Please pick a value from the dropdown list." type="list">
      <formula1>='Lists'!$K$2:$K$4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6A1B9A"/>
    <outlinePr summaryBelow="1" summaryRight="1"/>
    <pageSetUpPr/>
  </sheetPr>
  <dimension ref="A1:Z10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2" customWidth="1" min="3" max="3"/>
    <col width="20" customWidth="1" min="4" max="4"/>
    <col width="14" customWidth="1" min="5" max="5"/>
    <col width="12" customWidth="1" min="6" max="6"/>
    <col width="12" customWidth="1" min="7" max="7"/>
    <col width="30" customWidth="1" min="8" max="8"/>
    <col width="9" customWidth="1" min="9" max="9"/>
    <col width="28" customWidth="1" min="10" max="10"/>
    <col width="3" customWidth="1" min="11" max="11"/>
    <col width="24" customWidth="1" min="12" max="12"/>
    <col width="9" customWidth="1" min="13" max="13"/>
    <col width="11" customWidth="1" min="14" max="14"/>
    <col width="11" customWidth="1" min="15" max="15"/>
    <col width="11" customWidth="1" min="16" max="16"/>
    <col width="19" customWidth="1" min="17" max="17"/>
    <col hidden="1" width="13" customWidth="1" min="18" max="18"/>
    <col width="3" customWidth="1" min="19" max="19"/>
    <col width="22" customWidth="1" min="20" max="20"/>
    <col width="11" customWidth="1" min="21" max="21"/>
    <col width="11" customWidth="1" min="22" max="22"/>
    <col width="11" customWidth="1" min="23" max="23"/>
    <col width="11" customWidth="1" min="24" max="24"/>
    <col width="11" customWidth="1" min="25" max="25"/>
    <col width="11" customWidth="1" min="26" max="26"/>
  </cols>
  <sheetData>
    <row r="1" ht="36" customHeight="1">
      <c r="B1" s="1" t="inlineStr">
        <is>
          <t>🗄️ Vault</t>
        </is>
      </c>
    </row>
    <row r="2" ht="20" customHeight="1">
      <c r="B2" s="2" t="inlineStr">
        <is>
          <t>What this tab does: an index of every contract, invoice, permit and photo (paste the Drive/OneDrive link) — and a checklist of what is still missing (right →).</t>
        </is>
      </c>
    </row>
    <row r="3">
      <c r="B3" s="3" t="inlineStr">
        <is>
          <t>© 2026 Hang Nguyen — Renovation OS. Licensed to the original purchaser for personal use only. Do not share, copy, resell or redistribute.</t>
        </is>
      </c>
    </row>
    <row r="4">
      <c r="L4" s="4" t="inlineStr">
        <is>
          <t>DOCUMENTS YOU SHOULD HAVE (signed contractors)</t>
        </is>
      </c>
      <c r="M4" s="5" t="n"/>
      <c r="N4" s="5" t="n"/>
      <c r="O4" s="5" t="n"/>
      <c r="P4" s="5" t="n"/>
      <c r="Q4" s="5" t="n"/>
      <c r="R4" s="5" t="n"/>
      <c r="T4" s="4" t="inlineStr">
        <is>
          <t>PROJECT DOCUMENTS</t>
        </is>
      </c>
      <c r="U4" s="5" t="n"/>
      <c r="V4" s="5" t="n"/>
      <c r="W4" s="5" t="n"/>
      <c r="X4" s="5" t="n"/>
      <c r="Y4" s="5" t="n"/>
      <c r="Z4" s="5" t="n"/>
    </row>
    <row r="5" ht="32" customHeight="1">
      <c r="B5" s="52" t="inlineStr">
        <is>
          <t>Document / photo</t>
        </is>
      </c>
      <c r="C5" s="52" t="inlineStr">
        <is>
          <t>Type</t>
        </is>
      </c>
      <c r="D5" s="52" t="inlineStr">
        <is>
          <t>Contractor</t>
        </is>
      </c>
      <c r="E5" s="52" t="inlineStr">
        <is>
          <t>Room</t>
        </is>
      </c>
      <c r="F5" s="52" t="inlineStr">
        <is>
          <t>Stage</t>
        </is>
      </c>
      <c r="G5" s="52" t="inlineStr">
        <is>
          <t>Date</t>
        </is>
      </c>
      <c r="H5" s="52" t="inlineStr">
        <is>
          <t>Link (Drive / OneDrive / Dropbox)</t>
        </is>
      </c>
      <c r="I5" s="52" t="inlineStr">
        <is>
          <t>Open</t>
        </is>
      </c>
      <c r="J5" s="52" t="inlineStr">
        <is>
          <t>Notes</t>
        </is>
      </c>
      <c r="L5" s="52" t="inlineStr">
        <is>
          <t>Contractor</t>
        </is>
      </c>
      <c r="M5" s="52" t="inlineStr">
        <is>
          <t>Signed?</t>
        </is>
      </c>
      <c r="N5" s="52" t="inlineStr">
        <is>
          <t>Contract</t>
        </is>
      </c>
      <c r="O5" s="52" t="inlineStr">
        <is>
          <t>Insurance</t>
        </is>
      </c>
      <c r="P5" s="52" t="inlineStr">
        <is>
          <t>Quote</t>
        </is>
      </c>
      <c r="Q5" s="52" t="inlineStr">
        <is>
          <t>Status</t>
        </is>
      </c>
      <c r="R5" s="71" t="inlineStr">
        <is>
          <t>lvl</t>
        </is>
      </c>
      <c r="T5" s="6" t="inlineStr">
        <is>
          <t>Building permit</t>
        </is>
      </c>
      <c r="U5" s="78">
        <f>IF(COUNTIF('Vault'!$C$6:$C$1005,"Permit")&gt;0,"✓","✗ missing")</f>
        <v/>
      </c>
    </row>
    <row r="6" ht="20" customHeight="1">
      <c r="B6" s="72" t="inlineStr">
        <is>
          <t>Architect contract</t>
        </is>
      </c>
      <c r="C6" s="72" t="inlineStr">
        <is>
          <t>Contract</t>
        </is>
      </c>
      <c r="D6" s="72" t="inlineStr">
        <is>
          <t>GreenPlan Architects</t>
        </is>
      </c>
      <c r="E6" s="72" t="n"/>
      <c r="F6" s="72" t="n"/>
      <c r="G6" s="109" t="n">
        <v>46073</v>
      </c>
      <c r="H6" s="72" t="inlineStr">
        <is>
          <t>https://drive.google.com/example-greenplan-contract</t>
        </is>
      </c>
      <c r="I6" s="78">
        <f>IF(H6="","",HYPERLINK(H6,"Open ↗"))</f>
        <v/>
      </c>
      <c r="J6" s="72" t="n"/>
      <c r="L6" s="116">
        <f>IF('Contractors'!B6="","",'Contractors'!B6)</f>
        <v/>
      </c>
      <c r="M6" s="78">
        <f>IF(L6="","",'Contractors'!L6)</f>
        <v/>
      </c>
      <c r="N6" s="78">
        <f>IF(OR(L6="",M6&lt;&gt;"Yes"),"",IF(COUNTIFS('Vault'!$C$6:$C$1005,"Contract",'Vault'!$D$6:$D$1005,L6)&gt;0,"✓","✗ missing"))</f>
        <v/>
      </c>
      <c r="O6" s="78">
        <f>IF(OR(L6="",M6&lt;&gt;"Yes"),"",IF(COUNTIFS('Vault'!$C$6:$C$1005,"Insurance",'Vault'!$D$6:$D$1005,L6)&gt;0,"✓","✗ missing"))</f>
        <v/>
      </c>
      <c r="P6" s="78">
        <f>IF(OR(L6="",M6&lt;&gt;"Yes"),"",IF(COUNTIFS('Vault'!$C$6:$C$1005,"Quote",'Vault'!$D$6:$D$1005,L6)&gt;0,"✓","✗ missing"))</f>
        <v/>
      </c>
      <c r="Q6" s="78">
        <f>IF(N6="","",IF(AND(N6="✓",O6="✓",P6="✓"),"✓ Complete","Missing documents"))</f>
        <v/>
      </c>
      <c r="R6" s="79">
        <f>IF(Q6="","",IF(Q6="✓ Complete",0,1))</f>
        <v/>
      </c>
      <c r="T6" s="6" t="inlineStr">
        <is>
          <t>Plans / drawings</t>
        </is>
      </c>
      <c r="U6" s="78">
        <f>IF(COUNTIF('Vault'!$C$6:$C$1005,"Plan")&gt;0,"✓","✗ missing")</f>
        <v/>
      </c>
    </row>
    <row r="7" ht="20" customHeight="1">
      <c r="B7" s="72" t="inlineStr">
        <is>
          <t>Design drawings rev C</t>
        </is>
      </c>
      <c r="C7" s="72" t="inlineStr">
        <is>
          <t>Plan</t>
        </is>
      </c>
      <c r="D7" s="72" t="inlineStr">
        <is>
          <t>GreenPlan Architects</t>
        </is>
      </c>
      <c r="E7" s="72" t="n"/>
      <c r="F7" s="72" t="n"/>
      <c r="G7" s="109" t="n">
        <v>46101</v>
      </c>
      <c r="H7" s="72" t="inlineStr">
        <is>
          <t>https://drive.google.com/example-plans</t>
        </is>
      </c>
      <c r="I7" s="78">
        <f>IF(H7="","",HYPERLINK(H7,"Open ↗"))</f>
        <v/>
      </c>
      <c r="J7" s="72" t="n"/>
      <c r="L7" s="116">
        <f>IF('Contractors'!B7="","",'Contractors'!B7)</f>
        <v/>
      </c>
      <c r="M7" s="78">
        <f>IF(L7="","",'Contractors'!L7)</f>
        <v/>
      </c>
      <c r="N7" s="78">
        <f>IF(OR(L7="",M7&lt;&gt;"Yes"),"",IF(COUNTIFS('Vault'!$C$6:$C$1005,"Contract",'Vault'!$D$6:$D$1005,L7)&gt;0,"✓","✗ missing"))</f>
        <v/>
      </c>
      <c r="O7" s="78">
        <f>IF(OR(L7="",M7&lt;&gt;"Yes"),"",IF(COUNTIFS('Vault'!$C$6:$C$1005,"Insurance",'Vault'!$D$6:$D$1005,L7)&gt;0,"✓","✗ missing"))</f>
        <v/>
      </c>
      <c r="P7" s="78">
        <f>IF(OR(L7="",M7&lt;&gt;"Yes"),"",IF(COUNTIFS('Vault'!$C$6:$C$1005,"Quote",'Vault'!$D$6:$D$1005,L7)&gt;0,"✓","✗ missing"))</f>
        <v/>
      </c>
      <c r="Q7" s="78">
        <f>IF(N7="","",IF(AND(N7="✓",O7="✓",P7="✓"),"✓ Complete","Missing documents"))</f>
        <v/>
      </c>
      <c r="R7" s="79">
        <f>IF(Q7="","",IF(Q7="✓ Complete",0,1))</f>
        <v/>
      </c>
      <c r="T7" s="6" t="inlineStr">
        <is>
          <t>Inspection reports</t>
        </is>
      </c>
      <c r="U7" s="78">
        <f>IF(COUNTIF('Vault'!$C$6:$C$1005,"Inspection")&gt;0,"✓","✗ missing")</f>
        <v/>
      </c>
    </row>
    <row r="8" ht="20" customHeight="1">
      <c r="B8" s="72" t="inlineStr">
        <is>
          <t>Building permit</t>
        </is>
      </c>
      <c r="C8" s="72" t="inlineStr">
        <is>
          <t>Permit</t>
        </is>
      </c>
      <c r="D8" s="72" t="n"/>
      <c r="E8" s="72" t="n"/>
      <c r="F8" s="72" t="n"/>
      <c r="G8" s="109" t="n">
        <v>46129</v>
      </c>
      <c r="H8" s="72" t="inlineStr">
        <is>
          <t>https://drive.google.com/example-permit</t>
        </is>
      </c>
      <c r="I8" s="78">
        <f>IF(H8="","",HYPERLINK(H8,"Open ↗"))</f>
        <v/>
      </c>
      <c r="J8" s="72" t="n"/>
      <c r="L8" s="116">
        <f>IF('Contractors'!B8="","",'Contractors'!B8)</f>
        <v/>
      </c>
      <c r="M8" s="78">
        <f>IF(L8="","",'Contractors'!L8)</f>
        <v/>
      </c>
      <c r="N8" s="78">
        <f>IF(OR(L8="",M8&lt;&gt;"Yes"),"",IF(COUNTIFS('Vault'!$C$6:$C$1005,"Contract",'Vault'!$D$6:$D$1005,L8)&gt;0,"✓","✗ missing"))</f>
        <v/>
      </c>
      <c r="O8" s="78">
        <f>IF(OR(L8="",M8&lt;&gt;"Yes"),"",IF(COUNTIFS('Vault'!$C$6:$C$1005,"Insurance",'Vault'!$D$6:$D$1005,L8)&gt;0,"✓","✗ missing"))</f>
        <v/>
      </c>
      <c r="P8" s="78">
        <f>IF(OR(L8="",M8&lt;&gt;"Yes"),"",IF(COUNTIFS('Vault'!$C$6:$C$1005,"Quote",'Vault'!$D$6:$D$1005,L8)&gt;0,"✓","✗ missing"))</f>
        <v/>
      </c>
      <c r="Q8" s="78">
        <f>IF(N8="","",IF(AND(N8="✓",O8="✓",P8="✓"),"✓ Complete","Missing documents"))</f>
        <v/>
      </c>
      <c r="R8" s="79">
        <f>IF(Q8="","",IF(Q8="✓ Complete",0,1))</f>
        <v/>
      </c>
    </row>
    <row r="9" ht="20" customHeight="1">
      <c r="B9" s="72" t="inlineStr">
        <is>
          <t>Hansen contract</t>
        </is>
      </c>
      <c r="C9" s="72" t="inlineStr">
        <is>
          <t>Contract</t>
        </is>
      </c>
      <c r="D9" s="72" t="inlineStr">
        <is>
          <t>Hansen Demolition</t>
        </is>
      </c>
      <c r="E9" s="72" t="n"/>
      <c r="F9" s="72" t="n"/>
      <c r="G9" s="109" t="n">
        <v>46117</v>
      </c>
      <c r="H9" s="72" t="n"/>
      <c r="I9" s="78">
        <f>IF(H9="","",HYPERLINK(H9,"Open ↗"))</f>
        <v/>
      </c>
      <c r="J9" s="72" t="n"/>
      <c r="L9" s="116">
        <f>IF('Contractors'!B9="","",'Contractors'!B9)</f>
        <v/>
      </c>
      <c r="M9" s="78">
        <f>IF(L9="","",'Contractors'!L9)</f>
        <v/>
      </c>
      <c r="N9" s="78">
        <f>IF(OR(L9="",M9&lt;&gt;"Yes"),"",IF(COUNTIFS('Vault'!$C$6:$C$1005,"Contract",'Vault'!$D$6:$D$1005,L9)&gt;0,"✓","✗ missing"))</f>
        <v/>
      </c>
      <c r="O9" s="78">
        <f>IF(OR(L9="",M9&lt;&gt;"Yes"),"",IF(COUNTIFS('Vault'!$C$6:$C$1005,"Insurance",'Vault'!$D$6:$D$1005,L9)&gt;0,"✓","✗ missing"))</f>
        <v/>
      </c>
      <c r="P9" s="78">
        <f>IF(OR(L9="",M9&lt;&gt;"Yes"),"",IF(COUNTIFS('Vault'!$C$6:$C$1005,"Quote",'Vault'!$D$6:$D$1005,L9)&gt;0,"✓","✗ missing"))</f>
        <v/>
      </c>
      <c r="Q9" s="78">
        <f>IF(N9="","",IF(AND(N9="✓",O9="✓",P9="✓"),"✓ Complete","Missing documents"))</f>
        <v/>
      </c>
      <c r="R9" s="79">
        <f>IF(Q9="","",IF(Q9="✓ Complete",0,1))</f>
        <v/>
      </c>
    </row>
    <row r="10" ht="20" customHeight="1">
      <c r="B10" s="72" t="inlineStr">
        <is>
          <t>Hansen insurance certificate</t>
        </is>
      </c>
      <c r="C10" s="72" t="inlineStr">
        <is>
          <t>Insurance</t>
        </is>
      </c>
      <c r="D10" s="72" t="inlineStr">
        <is>
          <t>Hansen Demolition</t>
        </is>
      </c>
      <c r="E10" s="72" t="n"/>
      <c r="F10" s="72" t="n"/>
      <c r="G10" s="109" t="n">
        <v>46117</v>
      </c>
      <c r="H10" s="72" t="n"/>
      <c r="I10" s="78">
        <f>IF(H10="","",HYPERLINK(H10,"Open ↗"))</f>
        <v/>
      </c>
      <c r="J10" s="72" t="n"/>
      <c r="L10" s="116">
        <f>IF('Contractors'!B10="","",'Contractors'!B10)</f>
        <v/>
      </c>
      <c r="M10" s="78">
        <f>IF(L10="","",'Contractors'!L10)</f>
        <v/>
      </c>
      <c r="N10" s="78">
        <f>IF(OR(L10="",M10&lt;&gt;"Yes"),"",IF(COUNTIFS('Vault'!$C$6:$C$1005,"Contract",'Vault'!$D$6:$D$1005,L10)&gt;0,"✓","✗ missing"))</f>
        <v/>
      </c>
      <c r="O10" s="78">
        <f>IF(OR(L10="",M10&lt;&gt;"Yes"),"",IF(COUNTIFS('Vault'!$C$6:$C$1005,"Insurance",'Vault'!$D$6:$D$1005,L10)&gt;0,"✓","✗ missing"))</f>
        <v/>
      </c>
      <c r="P10" s="78">
        <f>IF(OR(L10="",M10&lt;&gt;"Yes"),"",IF(COUNTIFS('Vault'!$C$6:$C$1005,"Quote",'Vault'!$D$6:$D$1005,L10)&gt;0,"✓","✗ missing"))</f>
        <v/>
      </c>
      <c r="Q10" s="78">
        <f>IF(N10="","",IF(AND(N10="✓",O10="✓",P10="✓"),"✓ Complete","Missing documents"))</f>
        <v/>
      </c>
      <c r="R10" s="79">
        <f>IF(Q10="","",IF(Q10="✓ Complete",0,1))</f>
        <v/>
      </c>
      <c r="T10" s="4" t="inlineStr">
        <is>
          <t>PHOTO TRACKER — ✓ when a Photo row exists for room + stage</t>
        </is>
      </c>
      <c r="U10" s="5" t="n"/>
      <c r="V10" s="5" t="n"/>
      <c r="W10" s="5" t="n"/>
      <c r="X10" s="5" t="n"/>
      <c r="Y10" s="5" t="n"/>
      <c r="Z10" s="5" t="n"/>
    </row>
    <row r="11" ht="20" customHeight="1">
      <c r="B11" s="72" t="inlineStr">
        <is>
          <t>Hansen quote</t>
        </is>
      </c>
      <c r="C11" s="72" t="inlineStr">
        <is>
          <t>Quote</t>
        </is>
      </c>
      <c r="D11" s="72" t="inlineStr">
        <is>
          <t>Hansen Demolition</t>
        </is>
      </c>
      <c r="E11" s="72" t="n"/>
      <c r="F11" s="72" t="n"/>
      <c r="G11" s="109" t="n">
        <v>46109</v>
      </c>
      <c r="H11" s="72" t="n"/>
      <c r="I11" s="78">
        <f>IF(H11="","",HYPERLINK(H11,"Open ↗"))</f>
        <v/>
      </c>
      <c r="J11" s="72" t="n"/>
      <c r="L11" s="116">
        <f>IF('Contractors'!B11="","",'Contractors'!B11)</f>
        <v/>
      </c>
      <c r="M11" s="78">
        <f>IF(L11="","",'Contractors'!L11)</f>
        <v/>
      </c>
      <c r="N11" s="78">
        <f>IF(OR(L11="",M11&lt;&gt;"Yes"),"",IF(COUNTIFS('Vault'!$C$6:$C$1005,"Contract",'Vault'!$D$6:$D$1005,L11)&gt;0,"✓","✗ missing"))</f>
        <v/>
      </c>
      <c r="O11" s="78">
        <f>IF(OR(L11="",M11&lt;&gt;"Yes"),"",IF(COUNTIFS('Vault'!$C$6:$C$1005,"Insurance",'Vault'!$D$6:$D$1005,L11)&gt;0,"✓","✗ missing"))</f>
        <v/>
      </c>
      <c r="P11" s="78">
        <f>IF(OR(L11="",M11&lt;&gt;"Yes"),"",IF(COUNTIFS('Vault'!$C$6:$C$1005,"Quote",'Vault'!$D$6:$D$1005,L11)&gt;0,"✓","✗ missing"))</f>
        <v/>
      </c>
      <c r="Q11" s="78">
        <f>IF(N11="","",IF(AND(N11="✓",O11="✓",P11="✓"),"✓ Complete","Missing documents"))</f>
        <v/>
      </c>
      <c r="R11" s="79">
        <f>IF(Q11="","",IF(Q11="✓ Complete",0,1))</f>
        <v/>
      </c>
      <c r="T11" s="52" t="inlineStr">
        <is>
          <t>Room</t>
        </is>
      </c>
      <c r="U11" s="52" t="inlineStr">
        <is>
          <t>Before</t>
        </is>
      </c>
      <c r="V11" s="52" t="inlineStr">
        <is>
          <t>Demolition</t>
        </is>
      </c>
      <c r="W11" s="52" t="inlineStr">
        <is>
          <t>Rough-in</t>
        </is>
      </c>
      <c r="X11" s="52" t="inlineStr">
        <is>
          <t>Walls</t>
        </is>
      </c>
      <c r="Y11" s="52" t="inlineStr">
        <is>
          <t>Finishing</t>
        </is>
      </c>
      <c r="Z11" s="52" t="inlineStr">
        <is>
          <t>Final</t>
        </is>
      </c>
    </row>
    <row r="12" ht="20" customHeight="1">
      <c r="B12" s="72" t="inlineStr">
        <is>
          <t>Solid Structures contract</t>
        </is>
      </c>
      <c r="C12" s="72" t="inlineStr">
        <is>
          <t>Contract</t>
        </is>
      </c>
      <c r="D12" s="72" t="inlineStr">
        <is>
          <t>Solid Structures Ltd</t>
        </is>
      </c>
      <c r="E12" s="72" t="n"/>
      <c r="F12" s="72" t="n"/>
      <c r="G12" s="109" t="n">
        <v>46124</v>
      </c>
      <c r="H12" s="72" t="n"/>
      <c r="I12" s="78">
        <f>IF(H12="","",HYPERLINK(H12,"Open ↗"))</f>
        <v/>
      </c>
      <c r="J12" s="72" t="n"/>
      <c r="L12" s="116">
        <f>IF('Contractors'!B12="","",'Contractors'!B12)</f>
        <v/>
      </c>
      <c r="M12" s="78">
        <f>IF(L12="","",'Contractors'!L12)</f>
        <v/>
      </c>
      <c r="N12" s="78">
        <f>IF(OR(L12="",M12&lt;&gt;"Yes"),"",IF(COUNTIFS('Vault'!$C$6:$C$1005,"Contract",'Vault'!$D$6:$D$1005,L12)&gt;0,"✓","✗ missing"))</f>
        <v/>
      </c>
      <c r="O12" s="78">
        <f>IF(OR(L12="",M12&lt;&gt;"Yes"),"",IF(COUNTIFS('Vault'!$C$6:$C$1005,"Insurance",'Vault'!$D$6:$D$1005,L12)&gt;0,"✓","✗ missing"))</f>
        <v/>
      </c>
      <c r="P12" s="78">
        <f>IF(OR(L12="",M12&lt;&gt;"Yes"),"",IF(COUNTIFS('Vault'!$C$6:$C$1005,"Quote",'Vault'!$D$6:$D$1005,L12)&gt;0,"✓","✗ missing"))</f>
        <v/>
      </c>
      <c r="Q12" s="78">
        <f>IF(N12="","",IF(AND(N12="✓",O12="✓",P12="✓"),"✓ Complete","Missing documents"))</f>
        <v/>
      </c>
      <c r="R12" s="79">
        <f>IF(Q12="","",IF(Q12="✓ Complete",0,1))</f>
        <v/>
      </c>
      <c r="T12" s="116">
        <f>IF('Rooms'!Q6="","",'Rooms'!Q6)</f>
        <v/>
      </c>
      <c r="U12" s="78">
        <f>IF($T12="","",IF(COUNTIFS('Vault'!$C$6:$C$1005,"Photo",'Vault'!$E$6:$E$1005,$T12,'Vault'!$F$6:$F$1005,U$11)&gt;0,"✓","·"))</f>
        <v/>
      </c>
      <c r="V12" s="78">
        <f>IF($T12="","",IF(COUNTIFS('Vault'!$C$6:$C$1005,"Photo",'Vault'!$E$6:$E$1005,$T12,'Vault'!$F$6:$F$1005,V$11)&gt;0,"✓","·"))</f>
        <v/>
      </c>
      <c r="W12" s="78">
        <f>IF($T12="","",IF(COUNTIFS('Vault'!$C$6:$C$1005,"Photo",'Vault'!$E$6:$E$1005,$T12,'Vault'!$F$6:$F$1005,W$11)&gt;0,"✓","·"))</f>
        <v/>
      </c>
      <c r="X12" s="78">
        <f>IF($T12="","",IF(COUNTIFS('Vault'!$C$6:$C$1005,"Photo",'Vault'!$E$6:$E$1005,$T12,'Vault'!$F$6:$F$1005,X$11)&gt;0,"✓","·"))</f>
        <v/>
      </c>
      <c r="Y12" s="78">
        <f>IF($T12="","",IF(COUNTIFS('Vault'!$C$6:$C$1005,"Photo",'Vault'!$E$6:$E$1005,$T12,'Vault'!$F$6:$F$1005,Y$11)&gt;0,"✓","·"))</f>
        <v/>
      </c>
      <c r="Z12" s="78">
        <f>IF($T12="","",IF(COUNTIFS('Vault'!$C$6:$C$1005,"Photo",'Vault'!$E$6:$E$1005,$T12,'Vault'!$F$6:$F$1005,Z$11)&gt;0,"✓","·"))</f>
        <v/>
      </c>
    </row>
    <row r="13" ht="20" customHeight="1">
      <c r="B13" s="72" t="inlineStr">
        <is>
          <t>Solid Structures insurance</t>
        </is>
      </c>
      <c r="C13" s="72" t="inlineStr">
        <is>
          <t>Insurance</t>
        </is>
      </c>
      <c r="D13" s="72" t="inlineStr">
        <is>
          <t>Solid Structures Ltd</t>
        </is>
      </c>
      <c r="E13" s="72" t="n"/>
      <c r="F13" s="72" t="n"/>
      <c r="G13" s="109" t="n">
        <v>46124</v>
      </c>
      <c r="H13" s="72" t="n"/>
      <c r="I13" s="78">
        <f>IF(H13="","",HYPERLINK(H13,"Open ↗"))</f>
        <v/>
      </c>
      <c r="J13" s="72" t="n"/>
      <c r="L13" s="116">
        <f>IF('Contractors'!B13="","",'Contractors'!B13)</f>
        <v/>
      </c>
      <c r="M13" s="78">
        <f>IF(L13="","",'Contractors'!L13)</f>
        <v/>
      </c>
      <c r="N13" s="78">
        <f>IF(OR(L13="",M13&lt;&gt;"Yes"),"",IF(COUNTIFS('Vault'!$C$6:$C$1005,"Contract",'Vault'!$D$6:$D$1005,L13)&gt;0,"✓","✗ missing"))</f>
        <v/>
      </c>
      <c r="O13" s="78">
        <f>IF(OR(L13="",M13&lt;&gt;"Yes"),"",IF(COUNTIFS('Vault'!$C$6:$C$1005,"Insurance",'Vault'!$D$6:$D$1005,L13)&gt;0,"✓","✗ missing"))</f>
        <v/>
      </c>
      <c r="P13" s="78">
        <f>IF(OR(L13="",M13&lt;&gt;"Yes"),"",IF(COUNTIFS('Vault'!$C$6:$C$1005,"Quote",'Vault'!$D$6:$D$1005,L13)&gt;0,"✓","✗ missing"))</f>
        <v/>
      </c>
      <c r="Q13" s="78">
        <f>IF(N13="","",IF(AND(N13="✓",O13="✓",P13="✓"),"✓ Complete","Missing documents"))</f>
        <v/>
      </c>
      <c r="R13" s="79">
        <f>IF(Q13="","",IF(Q13="✓ Complete",0,1))</f>
        <v/>
      </c>
      <c r="T13" s="116">
        <f>IF('Rooms'!Q7="","",'Rooms'!Q7)</f>
        <v/>
      </c>
      <c r="U13" s="78">
        <f>IF($T13="","",IF(COUNTIFS('Vault'!$C$6:$C$1005,"Photo",'Vault'!$E$6:$E$1005,$T13,'Vault'!$F$6:$F$1005,U$11)&gt;0,"✓","·"))</f>
        <v/>
      </c>
      <c r="V13" s="78">
        <f>IF($T13="","",IF(COUNTIFS('Vault'!$C$6:$C$1005,"Photo",'Vault'!$E$6:$E$1005,$T13,'Vault'!$F$6:$F$1005,V$11)&gt;0,"✓","·"))</f>
        <v/>
      </c>
      <c r="W13" s="78">
        <f>IF($T13="","",IF(COUNTIFS('Vault'!$C$6:$C$1005,"Photo",'Vault'!$E$6:$E$1005,$T13,'Vault'!$F$6:$F$1005,W$11)&gt;0,"✓","·"))</f>
        <v/>
      </c>
      <c r="X13" s="78">
        <f>IF($T13="","",IF(COUNTIFS('Vault'!$C$6:$C$1005,"Photo",'Vault'!$E$6:$E$1005,$T13,'Vault'!$F$6:$F$1005,X$11)&gt;0,"✓","·"))</f>
        <v/>
      </c>
      <c r="Y13" s="78">
        <f>IF($T13="","",IF(COUNTIFS('Vault'!$C$6:$C$1005,"Photo",'Vault'!$E$6:$E$1005,$T13,'Vault'!$F$6:$F$1005,Y$11)&gt;0,"✓","·"))</f>
        <v/>
      </c>
      <c r="Z13" s="78">
        <f>IF($T13="","",IF(COUNTIFS('Vault'!$C$6:$C$1005,"Photo",'Vault'!$E$6:$E$1005,$T13,'Vault'!$F$6:$F$1005,Z$11)&gt;0,"✓","·"))</f>
        <v/>
      </c>
    </row>
    <row r="14" ht="20" customHeight="1">
      <c r="B14" s="72" t="inlineStr">
        <is>
          <t>Solid Structures quote</t>
        </is>
      </c>
      <c r="C14" s="72" t="inlineStr">
        <is>
          <t>Quote</t>
        </is>
      </c>
      <c r="D14" s="72" t="inlineStr">
        <is>
          <t>Solid Structures Ltd</t>
        </is>
      </c>
      <c r="E14" s="72" t="n"/>
      <c r="F14" s="72" t="n"/>
      <c r="G14" s="109" t="n">
        <v>46113</v>
      </c>
      <c r="H14" s="72" t="n"/>
      <c r="I14" s="78">
        <f>IF(H14="","",HYPERLINK(H14,"Open ↗"))</f>
        <v/>
      </c>
      <c r="J14" s="72" t="n"/>
      <c r="L14" s="116">
        <f>IF('Contractors'!B14="","",'Contractors'!B14)</f>
        <v/>
      </c>
      <c r="M14" s="78">
        <f>IF(L14="","",'Contractors'!L14)</f>
        <v/>
      </c>
      <c r="N14" s="78">
        <f>IF(OR(L14="",M14&lt;&gt;"Yes"),"",IF(COUNTIFS('Vault'!$C$6:$C$1005,"Contract",'Vault'!$D$6:$D$1005,L14)&gt;0,"✓","✗ missing"))</f>
        <v/>
      </c>
      <c r="O14" s="78">
        <f>IF(OR(L14="",M14&lt;&gt;"Yes"),"",IF(COUNTIFS('Vault'!$C$6:$C$1005,"Insurance",'Vault'!$D$6:$D$1005,L14)&gt;0,"✓","✗ missing"))</f>
        <v/>
      </c>
      <c r="P14" s="78">
        <f>IF(OR(L14="",M14&lt;&gt;"Yes"),"",IF(COUNTIFS('Vault'!$C$6:$C$1005,"Quote",'Vault'!$D$6:$D$1005,L14)&gt;0,"✓","✗ missing"))</f>
        <v/>
      </c>
      <c r="Q14" s="78">
        <f>IF(N14="","",IF(AND(N14="✓",O14="✓",P14="✓"),"✓ Complete","Missing documents"))</f>
        <v/>
      </c>
      <c r="R14" s="79">
        <f>IF(Q14="","",IF(Q14="✓ Complete",0,1))</f>
        <v/>
      </c>
      <c r="T14" s="116">
        <f>IF('Rooms'!Q8="","",'Rooms'!Q8)</f>
        <v/>
      </c>
      <c r="U14" s="78">
        <f>IF($T14="","",IF(COUNTIFS('Vault'!$C$6:$C$1005,"Photo",'Vault'!$E$6:$E$1005,$T14,'Vault'!$F$6:$F$1005,U$11)&gt;0,"✓","·"))</f>
        <v/>
      </c>
      <c r="V14" s="78">
        <f>IF($T14="","",IF(COUNTIFS('Vault'!$C$6:$C$1005,"Photo",'Vault'!$E$6:$E$1005,$T14,'Vault'!$F$6:$F$1005,V$11)&gt;0,"✓","·"))</f>
        <v/>
      </c>
      <c r="W14" s="78">
        <f>IF($T14="","",IF(COUNTIFS('Vault'!$C$6:$C$1005,"Photo",'Vault'!$E$6:$E$1005,$T14,'Vault'!$F$6:$F$1005,W$11)&gt;0,"✓","·"))</f>
        <v/>
      </c>
      <c r="X14" s="78">
        <f>IF($T14="","",IF(COUNTIFS('Vault'!$C$6:$C$1005,"Photo",'Vault'!$E$6:$E$1005,$T14,'Vault'!$F$6:$F$1005,X$11)&gt;0,"✓","·"))</f>
        <v/>
      </c>
      <c r="Y14" s="78">
        <f>IF($T14="","",IF(COUNTIFS('Vault'!$C$6:$C$1005,"Photo",'Vault'!$E$6:$E$1005,$T14,'Vault'!$F$6:$F$1005,Y$11)&gt;0,"✓","·"))</f>
        <v/>
      </c>
      <c r="Z14" s="78">
        <f>IF($T14="","",IF(COUNTIFS('Vault'!$C$6:$C$1005,"Photo",'Vault'!$E$6:$E$1005,$T14,'Vault'!$F$6:$F$1005,Z$11)&gt;0,"✓","·"))</f>
        <v/>
      </c>
    </row>
    <row r="15" ht="20" customHeight="1">
      <c r="B15" s="72" t="inlineStr">
        <is>
          <t>FlowRight contract</t>
        </is>
      </c>
      <c r="C15" s="72" t="inlineStr">
        <is>
          <t>Contract</t>
        </is>
      </c>
      <c r="D15" s="72" t="inlineStr">
        <is>
          <t>FlowRight Plumbing</t>
        </is>
      </c>
      <c r="E15" s="72" t="n"/>
      <c r="F15" s="72" t="n"/>
      <c r="G15" s="109" t="n">
        <v>46132</v>
      </c>
      <c r="H15" s="72" t="n"/>
      <c r="I15" s="78">
        <f>IF(H15="","",HYPERLINK(H15,"Open ↗"))</f>
        <v/>
      </c>
      <c r="J15" s="72" t="n"/>
      <c r="L15" s="116">
        <f>IF('Contractors'!B15="","",'Contractors'!B15)</f>
        <v/>
      </c>
      <c r="M15" s="78">
        <f>IF(L15="","",'Contractors'!L15)</f>
        <v/>
      </c>
      <c r="N15" s="78">
        <f>IF(OR(L15="",M15&lt;&gt;"Yes"),"",IF(COUNTIFS('Vault'!$C$6:$C$1005,"Contract",'Vault'!$D$6:$D$1005,L15)&gt;0,"✓","✗ missing"))</f>
        <v/>
      </c>
      <c r="O15" s="78">
        <f>IF(OR(L15="",M15&lt;&gt;"Yes"),"",IF(COUNTIFS('Vault'!$C$6:$C$1005,"Insurance",'Vault'!$D$6:$D$1005,L15)&gt;0,"✓","✗ missing"))</f>
        <v/>
      </c>
      <c r="P15" s="78">
        <f>IF(OR(L15="",M15&lt;&gt;"Yes"),"",IF(COUNTIFS('Vault'!$C$6:$C$1005,"Quote",'Vault'!$D$6:$D$1005,L15)&gt;0,"✓","✗ missing"))</f>
        <v/>
      </c>
      <c r="Q15" s="78">
        <f>IF(N15="","",IF(AND(N15="✓",O15="✓",P15="✓"),"✓ Complete","Missing documents"))</f>
        <v/>
      </c>
      <c r="R15" s="79">
        <f>IF(Q15="","",IF(Q15="✓ Complete",0,1))</f>
        <v/>
      </c>
      <c r="T15" s="116">
        <f>IF('Rooms'!Q9="","",'Rooms'!Q9)</f>
        <v/>
      </c>
      <c r="U15" s="78">
        <f>IF($T15="","",IF(COUNTIFS('Vault'!$C$6:$C$1005,"Photo",'Vault'!$E$6:$E$1005,$T15,'Vault'!$F$6:$F$1005,U$11)&gt;0,"✓","·"))</f>
        <v/>
      </c>
      <c r="V15" s="78">
        <f>IF($T15="","",IF(COUNTIFS('Vault'!$C$6:$C$1005,"Photo",'Vault'!$E$6:$E$1005,$T15,'Vault'!$F$6:$F$1005,V$11)&gt;0,"✓","·"))</f>
        <v/>
      </c>
      <c r="W15" s="78">
        <f>IF($T15="","",IF(COUNTIFS('Vault'!$C$6:$C$1005,"Photo",'Vault'!$E$6:$E$1005,$T15,'Vault'!$F$6:$F$1005,W$11)&gt;0,"✓","·"))</f>
        <v/>
      </c>
      <c r="X15" s="78">
        <f>IF($T15="","",IF(COUNTIFS('Vault'!$C$6:$C$1005,"Photo",'Vault'!$E$6:$E$1005,$T15,'Vault'!$F$6:$F$1005,X$11)&gt;0,"✓","·"))</f>
        <v/>
      </c>
      <c r="Y15" s="78">
        <f>IF($T15="","",IF(COUNTIFS('Vault'!$C$6:$C$1005,"Photo",'Vault'!$E$6:$E$1005,$T15,'Vault'!$F$6:$F$1005,Y$11)&gt;0,"✓","·"))</f>
        <v/>
      </c>
      <c r="Z15" s="78">
        <f>IF($T15="","",IF(COUNTIFS('Vault'!$C$6:$C$1005,"Photo",'Vault'!$E$6:$E$1005,$T15,'Vault'!$F$6:$F$1005,Z$11)&gt;0,"✓","·"))</f>
        <v/>
      </c>
    </row>
    <row r="16" ht="20" customHeight="1">
      <c r="B16" s="72" t="inlineStr">
        <is>
          <t>FlowRight insurance</t>
        </is>
      </c>
      <c r="C16" s="72" t="inlineStr">
        <is>
          <t>Insurance</t>
        </is>
      </c>
      <c r="D16" s="72" t="inlineStr">
        <is>
          <t>FlowRight Plumbing</t>
        </is>
      </c>
      <c r="E16" s="72" t="n"/>
      <c r="F16" s="72" t="n"/>
      <c r="G16" s="109" t="n">
        <v>46132</v>
      </c>
      <c r="H16" s="72" t="n"/>
      <c r="I16" s="78">
        <f>IF(H16="","",HYPERLINK(H16,"Open ↗"))</f>
        <v/>
      </c>
      <c r="J16" s="72" t="n"/>
      <c r="L16" s="116">
        <f>IF('Contractors'!B16="","",'Contractors'!B16)</f>
        <v/>
      </c>
      <c r="M16" s="78">
        <f>IF(L16="","",'Contractors'!L16)</f>
        <v/>
      </c>
      <c r="N16" s="78">
        <f>IF(OR(L16="",M16&lt;&gt;"Yes"),"",IF(COUNTIFS('Vault'!$C$6:$C$1005,"Contract",'Vault'!$D$6:$D$1005,L16)&gt;0,"✓","✗ missing"))</f>
        <v/>
      </c>
      <c r="O16" s="78">
        <f>IF(OR(L16="",M16&lt;&gt;"Yes"),"",IF(COUNTIFS('Vault'!$C$6:$C$1005,"Insurance",'Vault'!$D$6:$D$1005,L16)&gt;0,"✓","✗ missing"))</f>
        <v/>
      </c>
      <c r="P16" s="78">
        <f>IF(OR(L16="",M16&lt;&gt;"Yes"),"",IF(COUNTIFS('Vault'!$C$6:$C$1005,"Quote",'Vault'!$D$6:$D$1005,L16)&gt;0,"✓","✗ missing"))</f>
        <v/>
      </c>
      <c r="Q16" s="78">
        <f>IF(N16="","",IF(AND(N16="✓",O16="✓",P16="✓"),"✓ Complete","Missing documents"))</f>
        <v/>
      </c>
      <c r="R16" s="79">
        <f>IF(Q16="","",IF(Q16="✓ Complete",0,1))</f>
        <v/>
      </c>
      <c r="T16" s="116">
        <f>IF('Rooms'!Q10="","",'Rooms'!Q10)</f>
        <v/>
      </c>
      <c r="U16" s="78">
        <f>IF($T16="","",IF(COUNTIFS('Vault'!$C$6:$C$1005,"Photo",'Vault'!$E$6:$E$1005,$T16,'Vault'!$F$6:$F$1005,U$11)&gt;0,"✓","·"))</f>
        <v/>
      </c>
      <c r="V16" s="78">
        <f>IF($T16="","",IF(COUNTIFS('Vault'!$C$6:$C$1005,"Photo",'Vault'!$E$6:$E$1005,$T16,'Vault'!$F$6:$F$1005,V$11)&gt;0,"✓","·"))</f>
        <v/>
      </c>
      <c r="W16" s="78">
        <f>IF($T16="","",IF(COUNTIFS('Vault'!$C$6:$C$1005,"Photo",'Vault'!$E$6:$E$1005,$T16,'Vault'!$F$6:$F$1005,W$11)&gt;0,"✓","·"))</f>
        <v/>
      </c>
      <c r="X16" s="78">
        <f>IF($T16="","",IF(COUNTIFS('Vault'!$C$6:$C$1005,"Photo",'Vault'!$E$6:$E$1005,$T16,'Vault'!$F$6:$F$1005,X$11)&gt;0,"✓","·"))</f>
        <v/>
      </c>
      <c r="Y16" s="78">
        <f>IF($T16="","",IF(COUNTIFS('Vault'!$C$6:$C$1005,"Photo",'Vault'!$E$6:$E$1005,$T16,'Vault'!$F$6:$F$1005,Y$11)&gt;0,"✓","·"))</f>
        <v/>
      </c>
      <c r="Z16" s="78">
        <f>IF($T16="","",IF(COUNTIFS('Vault'!$C$6:$C$1005,"Photo",'Vault'!$E$6:$E$1005,$T16,'Vault'!$F$6:$F$1005,Z$11)&gt;0,"✓","·"))</f>
        <v/>
      </c>
    </row>
    <row r="17" ht="20" customHeight="1">
      <c r="B17" s="72" t="inlineStr">
        <is>
          <t>FlowRight quote</t>
        </is>
      </c>
      <c r="C17" s="72" t="inlineStr">
        <is>
          <t>Quote</t>
        </is>
      </c>
      <c r="D17" s="72" t="inlineStr">
        <is>
          <t>FlowRight Plumbing</t>
        </is>
      </c>
      <c r="E17" s="72" t="n"/>
      <c r="F17" s="72" t="n"/>
      <c r="G17" s="109" t="n">
        <v>46114</v>
      </c>
      <c r="H17" s="72" t="n"/>
      <c r="I17" s="78">
        <f>IF(H17="","",HYPERLINK(H17,"Open ↗"))</f>
        <v/>
      </c>
      <c r="J17" s="72" t="n"/>
      <c r="L17" s="116">
        <f>IF('Contractors'!B17="","",'Contractors'!B17)</f>
        <v/>
      </c>
      <c r="M17" s="78">
        <f>IF(L17="","",'Contractors'!L17)</f>
        <v/>
      </c>
      <c r="N17" s="78">
        <f>IF(OR(L17="",M17&lt;&gt;"Yes"),"",IF(COUNTIFS('Vault'!$C$6:$C$1005,"Contract",'Vault'!$D$6:$D$1005,L17)&gt;0,"✓","✗ missing"))</f>
        <v/>
      </c>
      <c r="O17" s="78">
        <f>IF(OR(L17="",M17&lt;&gt;"Yes"),"",IF(COUNTIFS('Vault'!$C$6:$C$1005,"Insurance",'Vault'!$D$6:$D$1005,L17)&gt;0,"✓","✗ missing"))</f>
        <v/>
      </c>
      <c r="P17" s="78">
        <f>IF(OR(L17="",M17&lt;&gt;"Yes"),"",IF(COUNTIFS('Vault'!$C$6:$C$1005,"Quote",'Vault'!$D$6:$D$1005,L17)&gt;0,"✓","✗ missing"))</f>
        <v/>
      </c>
      <c r="Q17" s="78">
        <f>IF(N17="","",IF(AND(N17="✓",O17="✓",P17="✓"),"✓ Complete","Missing documents"))</f>
        <v/>
      </c>
      <c r="R17" s="79">
        <f>IF(Q17="","",IF(Q17="✓ Complete",0,1))</f>
        <v/>
      </c>
      <c r="T17" s="116">
        <f>IF('Rooms'!Q11="","",'Rooms'!Q11)</f>
        <v/>
      </c>
      <c r="U17" s="78">
        <f>IF($T17="","",IF(COUNTIFS('Vault'!$C$6:$C$1005,"Photo",'Vault'!$E$6:$E$1005,$T17,'Vault'!$F$6:$F$1005,U$11)&gt;0,"✓","·"))</f>
        <v/>
      </c>
      <c r="V17" s="78">
        <f>IF($T17="","",IF(COUNTIFS('Vault'!$C$6:$C$1005,"Photo",'Vault'!$E$6:$E$1005,$T17,'Vault'!$F$6:$F$1005,V$11)&gt;0,"✓","·"))</f>
        <v/>
      </c>
      <c r="W17" s="78">
        <f>IF($T17="","",IF(COUNTIFS('Vault'!$C$6:$C$1005,"Photo",'Vault'!$E$6:$E$1005,$T17,'Vault'!$F$6:$F$1005,W$11)&gt;0,"✓","·"))</f>
        <v/>
      </c>
      <c r="X17" s="78">
        <f>IF($T17="","",IF(COUNTIFS('Vault'!$C$6:$C$1005,"Photo",'Vault'!$E$6:$E$1005,$T17,'Vault'!$F$6:$F$1005,X$11)&gt;0,"✓","·"))</f>
        <v/>
      </c>
      <c r="Y17" s="78">
        <f>IF($T17="","",IF(COUNTIFS('Vault'!$C$6:$C$1005,"Photo",'Vault'!$E$6:$E$1005,$T17,'Vault'!$F$6:$F$1005,Y$11)&gt;0,"✓","·"))</f>
        <v/>
      </c>
      <c r="Z17" s="78">
        <f>IF($T17="","",IF(COUNTIFS('Vault'!$C$6:$C$1005,"Photo",'Vault'!$E$6:$E$1005,$T17,'Vault'!$F$6:$F$1005,Z$11)&gt;0,"✓","·"))</f>
        <v/>
      </c>
    </row>
    <row r="18" ht="20" customHeight="1">
      <c r="B18" s="72" t="inlineStr">
        <is>
          <t>Bright Spark contract</t>
        </is>
      </c>
      <c r="C18" s="72" t="inlineStr">
        <is>
          <t>Contract</t>
        </is>
      </c>
      <c r="D18" s="72" t="inlineStr">
        <is>
          <t>Bright Spark Electric</t>
        </is>
      </c>
      <c r="E18" s="72" t="n"/>
      <c r="F18" s="72" t="n"/>
      <c r="G18" s="109" t="n">
        <v>46134</v>
      </c>
      <c r="H18" s="72" t="n"/>
      <c r="I18" s="78">
        <f>IF(H18="","",HYPERLINK(H18,"Open ↗"))</f>
        <v/>
      </c>
      <c r="J18" s="72" t="inlineStr">
        <is>
          <t>Insurance certificate still missing — asked twice</t>
        </is>
      </c>
      <c r="L18" s="116">
        <f>IF('Contractors'!B18="","",'Contractors'!B18)</f>
        <v/>
      </c>
      <c r="M18" s="78">
        <f>IF(L18="","",'Contractors'!L18)</f>
        <v/>
      </c>
      <c r="N18" s="78">
        <f>IF(OR(L18="",M18&lt;&gt;"Yes"),"",IF(COUNTIFS('Vault'!$C$6:$C$1005,"Contract",'Vault'!$D$6:$D$1005,L18)&gt;0,"✓","✗ missing"))</f>
        <v/>
      </c>
      <c r="O18" s="78">
        <f>IF(OR(L18="",M18&lt;&gt;"Yes"),"",IF(COUNTIFS('Vault'!$C$6:$C$1005,"Insurance",'Vault'!$D$6:$D$1005,L18)&gt;0,"✓","✗ missing"))</f>
        <v/>
      </c>
      <c r="P18" s="78">
        <f>IF(OR(L18="",M18&lt;&gt;"Yes"),"",IF(COUNTIFS('Vault'!$C$6:$C$1005,"Quote",'Vault'!$D$6:$D$1005,L18)&gt;0,"✓","✗ missing"))</f>
        <v/>
      </c>
      <c r="Q18" s="78">
        <f>IF(N18="","",IF(AND(N18="✓",O18="✓",P18="✓"),"✓ Complete","Missing documents"))</f>
        <v/>
      </c>
      <c r="R18" s="79">
        <f>IF(Q18="","",IF(Q18="✓ Complete",0,1))</f>
        <v/>
      </c>
      <c r="T18" s="116">
        <f>IF('Rooms'!Q12="","",'Rooms'!Q12)</f>
        <v/>
      </c>
      <c r="U18" s="78">
        <f>IF($T18="","",IF(COUNTIFS('Vault'!$C$6:$C$1005,"Photo",'Vault'!$E$6:$E$1005,$T18,'Vault'!$F$6:$F$1005,U$11)&gt;0,"✓","·"))</f>
        <v/>
      </c>
      <c r="V18" s="78">
        <f>IF($T18="","",IF(COUNTIFS('Vault'!$C$6:$C$1005,"Photo",'Vault'!$E$6:$E$1005,$T18,'Vault'!$F$6:$F$1005,V$11)&gt;0,"✓","·"))</f>
        <v/>
      </c>
      <c r="W18" s="78">
        <f>IF($T18="","",IF(COUNTIFS('Vault'!$C$6:$C$1005,"Photo",'Vault'!$E$6:$E$1005,$T18,'Vault'!$F$6:$F$1005,W$11)&gt;0,"✓","·"))</f>
        <v/>
      </c>
      <c r="X18" s="78">
        <f>IF($T18="","",IF(COUNTIFS('Vault'!$C$6:$C$1005,"Photo",'Vault'!$E$6:$E$1005,$T18,'Vault'!$F$6:$F$1005,X$11)&gt;0,"✓","·"))</f>
        <v/>
      </c>
      <c r="Y18" s="78">
        <f>IF($T18="","",IF(COUNTIFS('Vault'!$C$6:$C$1005,"Photo",'Vault'!$E$6:$E$1005,$T18,'Vault'!$F$6:$F$1005,Y$11)&gt;0,"✓","·"))</f>
        <v/>
      </c>
      <c r="Z18" s="78">
        <f>IF($T18="","",IF(COUNTIFS('Vault'!$C$6:$C$1005,"Photo",'Vault'!$E$6:$E$1005,$T18,'Vault'!$F$6:$F$1005,Z$11)&gt;0,"✓","·"))</f>
        <v/>
      </c>
    </row>
    <row r="19" ht="20" customHeight="1">
      <c r="B19" s="72" t="inlineStr">
        <is>
          <t>Bright Spark quote</t>
        </is>
      </c>
      <c r="C19" s="72" t="inlineStr">
        <is>
          <t>Quote</t>
        </is>
      </c>
      <c r="D19" s="72" t="inlineStr">
        <is>
          <t>Bright Spark Electric</t>
        </is>
      </c>
      <c r="E19" s="72" t="n"/>
      <c r="F19" s="72" t="n"/>
      <c r="G19" s="109" t="n">
        <v>46115</v>
      </c>
      <c r="H19" s="72" t="n"/>
      <c r="I19" s="78">
        <f>IF(H19="","",HYPERLINK(H19,"Open ↗"))</f>
        <v/>
      </c>
      <c r="J19" s="72" t="n"/>
      <c r="L19" s="116">
        <f>IF('Contractors'!B19="","",'Contractors'!B19)</f>
        <v/>
      </c>
      <c r="M19" s="78">
        <f>IF(L19="","",'Contractors'!L19)</f>
        <v/>
      </c>
      <c r="N19" s="78">
        <f>IF(OR(L19="",M19&lt;&gt;"Yes"),"",IF(COUNTIFS('Vault'!$C$6:$C$1005,"Contract",'Vault'!$D$6:$D$1005,L19)&gt;0,"✓","✗ missing"))</f>
        <v/>
      </c>
      <c r="O19" s="78">
        <f>IF(OR(L19="",M19&lt;&gt;"Yes"),"",IF(COUNTIFS('Vault'!$C$6:$C$1005,"Insurance",'Vault'!$D$6:$D$1005,L19)&gt;0,"✓","✗ missing"))</f>
        <v/>
      </c>
      <c r="P19" s="78">
        <f>IF(OR(L19="",M19&lt;&gt;"Yes"),"",IF(COUNTIFS('Vault'!$C$6:$C$1005,"Quote",'Vault'!$D$6:$D$1005,L19)&gt;0,"✓","✗ missing"))</f>
        <v/>
      </c>
      <c r="Q19" s="78">
        <f>IF(N19="","",IF(AND(N19="✓",O19="✓",P19="✓"),"✓ Complete","Missing documents"))</f>
        <v/>
      </c>
      <c r="R19" s="79">
        <f>IF(Q19="","",IF(Q19="✓ Complete",0,1))</f>
        <v/>
      </c>
      <c r="T19" s="116">
        <f>IF('Rooms'!Q13="","",'Rooms'!Q13)</f>
        <v/>
      </c>
      <c r="U19" s="78">
        <f>IF($T19="","",IF(COUNTIFS('Vault'!$C$6:$C$1005,"Photo",'Vault'!$E$6:$E$1005,$T19,'Vault'!$F$6:$F$1005,U$11)&gt;0,"✓","·"))</f>
        <v/>
      </c>
      <c r="V19" s="78">
        <f>IF($T19="","",IF(COUNTIFS('Vault'!$C$6:$C$1005,"Photo",'Vault'!$E$6:$E$1005,$T19,'Vault'!$F$6:$F$1005,V$11)&gt;0,"✓","·"))</f>
        <v/>
      </c>
      <c r="W19" s="78">
        <f>IF($T19="","",IF(COUNTIFS('Vault'!$C$6:$C$1005,"Photo",'Vault'!$E$6:$E$1005,$T19,'Vault'!$F$6:$F$1005,W$11)&gt;0,"✓","·"))</f>
        <v/>
      </c>
      <c r="X19" s="78">
        <f>IF($T19="","",IF(COUNTIFS('Vault'!$C$6:$C$1005,"Photo",'Vault'!$E$6:$E$1005,$T19,'Vault'!$F$6:$F$1005,X$11)&gt;0,"✓","·"))</f>
        <v/>
      </c>
      <c r="Y19" s="78">
        <f>IF($T19="","",IF(COUNTIFS('Vault'!$C$6:$C$1005,"Photo",'Vault'!$E$6:$E$1005,$T19,'Vault'!$F$6:$F$1005,Y$11)&gt;0,"✓","·"))</f>
        <v/>
      </c>
      <c r="Z19" s="78">
        <f>IF($T19="","",IF(COUNTIFS('Vault'!$C$6:$C$1005,"Photo",'Vault'!$E$6:$E$1005,$T19,'Vault'!$F$6:$F$1005,Z$11)&gt;0,"✓","·"))</f>
        <v/>
      </c>
    </row>
    <row r="20" ht="20" customHeight="1">
      <c r="B20" s="72" t="inlineStr">
        <is>
          <t>ClimaHeat contract</t>
        </is>
      </c>
      <c r="C20" s="72" t="inlineStr">
        <is>
          <t>Contract</t>
        </is>
      </c>
      <c r="D20" s="72" t="inlineStr">
        <is>
          <t>ClimaHeat HVAC</t>
        </is>
      </c>
      <c r="E20" s="72" t="n"/>
      <c r="F20" s="72" t="n"/>
      <c r="G20" s="109" t="n">
        <v>46144</v>
      </c>
      <c r="H20" s="72" t="n"/>
      <c r="I20" s="78">
        <f>IF(H20="","",HYPERLINK(H20,"Open ↗"))</f>
        <v/>
      </c>
      <c r="J20" s="72" t="n"/>
      <c r="L20" s="116">
        <f>IF('Contractors'!B20="","",'Contractors'!B20)</f>
        <v/>
      </c>
      <c r="M20" s="78">
        <f>IF(L20="","",'Contractors'!L20)</f>
        <v/>
      </c>
      <c r="N20" s="78">
        <f>IF(OR(L20="",M20&lt;&gt;"Yes"),"",IF(COUNTIFS('Vault'!$C$6:$C$1005,"Contract",'Vault'!$D$6:$D$1005,L20)&gt;0,"✓","✗ missing"))</f>
        <v/>
      </c>
      <c r="O20" s="78">
        <f>IF(OR(L20="",M20&lt;&gt;"Yes"),"",IF(COUNTIFS('Vault'!$C$6:$C$1005,"Insurance",'Vault'!$D$6:$D$1005,L20)&gt;0,"✓","✗ missing"))</f>
        <v/>
      </c>
      <c r="P20" s="78">
        <f>IF(OR(L20="",M20&lt;&gt;"Yes"),"",IF(COUNTIFS('Vault'!$C$6:$C$1005,"Quote",'Vault'!$D$6:$D$1005,L20)&gt;0,"✓","✗ missing"))</f>
        <v/>
      </c>
      <c r="Q20" s="78">
        <f>IF(N20="","",IF(AND(N20="✓",O20="✓",P20="✓"),"✓ Complete","Missing documents"))</f>
        <v/>
      </c>
      <c r="R20" s="79">
        <f>IF(Q20="","",IF(Q20="✓ Complete",0,1))</f>
        <v/>
      </c>
      <c r="T20" s="116">
        <f>IF('Rooms'!Q14="","",'Rooms'!Q14)</f>
        <v/>
      </c>
      <c r="U20" s="78">
        <f>IF($T20="","",IF(COUNTIFS('Vault'!$C$6:$C$1005,"Photo",'Vault'!$E$6:$E$1005,$T20,'Vault'!$F$6:$F$1005,U$11)&gt;0,"✓","·"))</f>
        <v/>
      </c>
      <c r="V20" s="78">
        <f>IF($T20="","",IF(COUNTIFS('Vault'!$C$6:$C$1005,"Photo",'Vault'!$E$6:$E$1005,$T20,'Vault'!$F$6:$F$1005,V$11)&gt;0,"✓","·"))</f>
        <v/>
      </c>
      <c r="W20" s="78">
        <f>IF($T20="","",IF(COUNTIFS('Vault'!$C$6:$C$1005,"Photo",'Vault'!$E$6:$E$1005,$T20,'Vault'!$F$6:$F$1005,W$11)&gt;0,"✓","·"))</f>
        <v/>
      </c>
      <c r="X20" s="78">
        <f>IF($T20="","",IF(COUNTIFS('Vault'!$C$6:$C$1005,"Photo",'Vault'!$E$6:$E$1005,$T20,'Vault'!$F$6:$F$1005,X$11)&gt;0,"✓","·"))</f>
        <v/>
      </c>
      <c r="Y20" s="78">
        <f>IF($T20="","",IF(COUNTIFS('Vault'!$C$6:$C$1005,"Photo",'Vault'!$E$6:$E$1005,$T20,'Vault'!$F$6:$F$1005,Y$11)&gt;0,"✓","·"))</f>
        <v/>
      </c>
      <c r="Z20" s="78">
        <f>IF($T20="","",IF(COUNTIFS('Vault'!$C$6:$C$1005,"Photo",'Vault'!$E$6:$E$1005,$T20,'Vault'!$F$6:$F$1005,Z$11)&gt;0,"✓","·"))</f>
        <v/>
      </c>
    </row>
    <row r="21" ht="20" customHeight="1">
      <c r="B21" s="72" t="inlineStr">
        <is>
          <t>ClimaHeat insurance</t>
        </is>
      </c>
      <c r="C21" s="72" t="inlineStr">
        <is>
          <t>Insurance</t>
        </is>
      </c>
      <c r="D21" s="72" t="inlineStr">
        <is>
          <t>ClimaHeat HVAC</t>
        </is>
      </c>
      <c r="E21" s="72" t="n"/>
      <c r="F21" s="72" t="n"/>
      <c r="G21" s="109" t="n">
        <v>46144</v>
      </c>
      <c r="H21" s="72" t="n"/>
      <c r="I21" s="78">
        <f>IF(H21="","",HYPERLINK(H21,"Open ↗"))</f>
        <v/>
      </c>
      <c r="J21" s="72" t="n"/>
      <c r="L21" s="116">
        <f>IF('Contractors'!B21="","",'Contractors'!B21)</f>
        <v/>
      </c>
      <c r="M21" s="78">
        <f>IF(L21="","",'Contractors'!L21)</f>
        <v/>
      </c>
      <c r="N21" s="78">
        <f>IF(OR(L21="",M21&lt;&gt;"Yes"),"",IF(COUNTIFS('Vault'!$C$6:$C$1005,"Contract",'Vault'!$D$6:$D$1005,L21)&gt;0,"✓","✗ missing"))</f>
        <v/>
      </c>
      <c r="O21" s="78">
        <f>IF(OR(L21="",M21&lt;&gt;"Yes"),"",IF(COUNTIFS('Vault'!$C$6:$C$1005,"Insurance",'Vault'!$D$6:$D$1005,L21)&gt;0,"✓","✗ missing"))</f>
        <v/>
      </c>
      <c r="P21" s="78">
        <f>IF(OR(L21="",M21&lt;&gt;"Yes"),"",IF(COUNTIFS('Vault'!$C$6:$C$1005,"Quote",'Vault'!$D$6:$D$1005,L21)&gt;0,"✓","✗ missing"))</f>
        <v/>
      </c>
      <c r="Q21" s="78">
        <f>IF(N21="","",IF(AND(N21="✓",O21="✓",P21="✓"),"✓ Complete","Missing documents"))</f>
        <v/>
      </c>
      <c r="R21" s="79">
        <f>IF(Q21="","",IF(Q21="✓ Complete",0,1))</f>
        <v/>
      </c>
      <c r="T21" s="116">
        <f>IF('Rooms'!Q15="","",'Rooms'!Q15)</f>
        <v/>
      </c>
      <c r="U21" s="78">
        <f>IF($T21="","",IF(COUNTIFS('Vault'!$C$6:$C$1005,"Photo",'Vault'!$E$6:$E$1005,$T21,'Vault'!$F$6:$F$1005,U$11)&gt;0,"✓","·"))</f>
        <v/>
      </c>
      <c r="V21" s="78">
        <f>IF($T21="","",IF(COUNTIFS('Vault'!$C$6:$C$1005,"Photo",'Vault'!$E$6:$E$1005,$T21,'Vault'!$F$6:$F$1005,V$11)&gt;0,"✓","·"))</f>
        <v/>
      </c>
      <c r="W21" s="78">
        <f>IF($T21="","",IF(COUNTIFS('Vault'!$C$6:$C$1005,"Photo",'Vault'!$E$6:$E$1005,$T21,'Vault'!$F$6:$F$1005,W$11)&gt;0,"✓","·"))</f>
        <v/>
      </c>
      <c r="X21" s="78">
        <f>IF($T21="","",IF(COUNTIFS('Vault'!$C$6:$C$1005,"Photo",'Vault'!$E$6:$E$1005,$T21,'Vault'!$F$6:$F$1005,X$11)&gt;0,"✓","·"))</f>
        <v/>
      </c>
      <c r="Y21" s="78">
        <f>IF($T21="","",IF(COUNTIFS('Vault'!$C$6:$C$1005,"Photo",'Vault'!$E$6:$E$1005,$T21,'Vault'!$F$6:$F$1005,Y$11)&gt;0,"✓","·"))</f>
        <v/>
      </c>
      <c r="Z21" s="78">
        <f>IF($T21="","",IF(COUNTIFS('Vault'!$C$6:$C$1005,"Photo",'Vault'!$E$6:$E$1005,$T21,'Vault'!$F$6:$F$1005,Z$11)&gt;0,"✓","·"))</f>
        <v/>
      </c>
    </row>
    <row r="22" ht="20" customHeight="1">
      <c r="B22" s="72" t="inlineStr">
        <is>
          <t>ClimaHeat quote</t>
        </is>
      </c>
      <c r="C22" s="72" t="inlineStr">
        <is>
          <t>Quote</t>
        </is>
      </c>
      <c r="D22" s="72" t="inlineStr">
        <is>
          <t>ClimaHeat HVAC</t>
        </is>
      </c>
      <c r="E22" s="72" t="n"/>
      <c r="F22" s="72" t="n"/>
      <c r="G22" s="109" t="n">
        <v>46127</v>
      </c>
      <c r="H22" s="72" t="n"/>
      <c r="I22" s="78">
        <f>IF(H22="","",HYPERLINK(H22,"Open ↗"))</f>
        <v/>
      </c>
      <c r="J22" s="72" t="n"/>
      <c r="L22" s="116">
        <f>IF('Contractors'!B22="","",'Contractors'!B22)</f>
        <v/>
      </c>
      <c r="M22" s="78">
        <f>IF(L22="","",'Contractors'!L22)</f>
        <v/>
      </c>
      <c r="N22" s="78">
        <f>IF(OR(L22="",M22&lt;&gt;"Yes"),"",IF(COUNTIFS('Vault'!$C$6:$C$1005,"Contract",'Vault'!$D$6:$D$1005,L22)&gt;0,"✓","✗ missing"))</f>
        <v/>
      </c>
      <c r="O22" s="78">
        <f>IF(OR(L22="",M22&lt;&gt;"Yes"),"",IF(COUNTIFS('Vault'!$C$6:$C$1005,"Insurance",'Vault'!$D$6:$D$1005,L22)&gt;0,"✓","✗ missing"))</f>
        <v/>
      </c>
      <c r="P22" s="78">
        <f>IF(OR(L22="",M22&lt;&gt;"Yes"),"",IF(COUNTIFS('Vault'!$C$6:$C$1005,"Quote",'Vault'!$D$6:$D$1005,L22)&gt;0,"✓","✗ missing"))</f>
        <v/>
      </c>
      <c r="Q22" s="78">
        <f>IF(N22="","",IF(AND(N22="✓",O22="✓",P22="✓"),"✓ Complete","Missing documents"))</f>
        <v/>
      </c>
      <c r="R22" s="79">
        <f>IF(Q22="","",IF(Q22="✓ Complete",0,1))</f>
        <v/>
      </c>
    </row>
    <row r="23" ht="20" customHeight="1">
      <c r="B23" s="72" t="inlineStr">
        <is>
          <t>ClearView contract</t>
        </is>
      </c>
      <c r="C23" s="72" t="inlineStr">
        <is>
          <t>Contract</t>
        </is>
      </c>
      <c r="D23" s="72" t="inlineStr">
        <is>
          <t>ClearView Windows</t>
        </is>
      </c>
      <c r="E23" s="72" t="n"/>
      <c r="F23" s="72" t="n"/>
      <c r="G23" s="109" t="n">
        <v>46113</v>
      </c>
      <c r="H23" s="72" t="n"/>
      <c r="I23" s="78">
        <f>IF(H23="","",HYPERLINK(H23,"Open ↗"))</f>
        <v/>
      </c>
      <c r="J23" s="72" t="n"/>
      <c r="L23" s="116">
        <f>IF('Contractors'!B23="","",'Contractors'!B23)</f>
        <v/>
      </c>
      <c r="M23" s="78">
        <f>IF(L23="","",'Contractors'!L23)</f>
        <v/>
      </c>
      <c r="N23" s="78">
        <f>IF(OR(L23="",M23&lt;&gt;"Yes"),"",IF(COUNTIFS('Vault'!$C$6:$C$1005,"Contract",'Vault'!$D$6:$D$1005,L23)&gt;0,"✓","✗ missing"))</f>
        <v/>
      </c>
      <c r="O23" s="78">
        <f>IF(OR(L23="",M23&lt;&gt;"Yes"),"",IF(COUNTIFS('Vault'!$C$6:$C$1005,"Insurance",'Vault'!$D$6:$D$1005,L23)&gt;0,"✓","✗ missing"))</f>
        <v/>
      </c>
      <c r="P23" s="78">
        <f>IF(OR(L23="",M23&lt;&gt;"Yes"),"",IF(COUNTIFS('Vault'!$C$6:$C$1005,"Quote",'Vault'!$D$6:$D$1005,L23)&gt;0,"✓","✗ missing"))</f>
        <v/>
      </c>
      <c r="Q23" s="78">
        <f>IF(N23="","",IF(AND(N23="✓",O23="✓",P23="✓"),"✓ Complete","Missing documents"))</f>
        <v/>
      </c>
      <c r="R23" s="79">
        <f>IF(Q23="","",IF(Q23="✓ Complete",0,1))</f>
        <v/>
      </c>
    </row>
    <row r="24" ht="20" customHeight="1">
      <c r="B24" s="72" t="inlineStr">
        <is>
          <t>ClearView insurance</t>
        </is>
      </c>
      <c r="C24" s="72" t="inlineStr">
        <is>
          <t>Insurance</t>
        </is>
      </c>
      <c r="D24" s="72" t="inlineStr">
        <is>
          <t>ClearView Windows</t>
        </is>
      </c>
      <c r="E24" s="72" t="n"/>
      <c r="F24" s="72" t="n"/>
      <c r="G24" s="109" t="n">
        <v>46113</v>
      </c>
      <c r="H24" s="72" t="n"/>
      <c r="I24" s="78">
        <f>IF(H24="","",HYPERLINK(H24,"Open ↗"))</f>
        <v/>
      </c>
      <c r="J24" s="72" t="n"/>
      <c r="L24" s="116">
        <f>IF('Contractors'!B24="","",'Contractors'!B24)</f>
        <v/>
      </c>
      <c r="M24" s="78">
        <f>IF(L24="","",'Contractors'!L24)</f>
        <v/>
      </c>
      <c r="N24" s="78">
        <f>IF(OR(L24="",M24&lt;&gt;"Yes"),"",IF(COUNTIFS('Vault'!$C$6:$C$1005,"Contract",'Vault'!$D$6:$D$1005,L24)&gt;0,"✓","✗ missing"))</f>
        <v/>
      </c>
      <c r="O24" s="78">
        <f>IF(OR(L24="",M24&lt;&gt;"Yes"),"",IF(COUNTIFS('Vault'!$C$6:$C$1005,"Insurance",'Vault'!$D$6:$D$1005,L24)&gt;0,"✓","✗ missing"))</f>
        <v/>
      </c>
      <c r="P24" s="78">
        <f>IF(OR(L24="",M24&lt;&gt;"Yes"),"",IF(COUNTIFS('Vault'!$C$6:$C$1005,"Quote",'Vault'!$D$6:$D$1005,L24)&gt;0,"✓","✗ missing"))</f>
        <v/>
      </c>
      <c r="Q24" s="78">
        <f>IF(N24="","",IF(AND(N24="✓",O24="✓",P24="✓"),"✓ Complete","Missing documents"))</f>
        <v/>
      </c>
      <c r="R24" s="79">
        <f>IF(Q24="","",IF(Q24="✓ Complete",0,1))</f>
        <v/>
      </c>
    </row>
    <row r="25" ht="20" customHeight="1">
      <c r="B25" s="72" t="inlineStr">
        <is>
          <t>ClearView quote</t>
        </is>
      </c>
      <c r="C25" s="72" t="inlineStr">
        <is>
          <t>Quote</t>
        </is>
      </c>
      <c r="D25" s="72" t="inlineStr">
        <is>
          <t>ClearView Windows</t>
        </is>
      </c>
      <c r="E25" s="72" t="n"/>
      <c r="F25" s="72" t="n"/>
      <c r="G25" s="109" t="n">
        <v>46103</v>
      </c>
      <c r="H25" s="72" t="n"/>
      <c r="I25" s="78">
        <f>IF(H25="","",HYPERLINK(H25,"Open ↗"))</f>
        <v/>
      </c>
      <c r="J25" s="72" t="n"/>
      <c r="L25" s="116">
        <f>IF('Contractors'!B25="","",'Contractors'!B25)</f>
        <v/>
      </c>
      <c r="M25" s="78">
        <f>IF(L25="","",'Contractors'!L25)</f>
        <v/>
      </c>
      <c r="N25" s="78">
        <f>IF(OR(L25="",M25&lt;&gt;"Yes"),"",IF(COUNTIFS('Vault'!$C$6:$C$1005,"Contract",'Vault'!$D$6:$D$1005,L25)&gt;0,"✓","✗ missing"))</f>
        <v/>
      </c>
      <c r="O25" s="78">
        <f>IF(OR(L25="",M25&lt;&gt;"Yes"),"",IF(COUNTIFS('Vault'!$C$6:$C$1005,"Insurance",'Vault'!$D$6:$D$1005,L25)&gt;0,"✓","✗ missing"))</f>
        <v/>
      </c>
      <c r="P25" s="78">
        <f>IF(OR(L25="",M25&lt;&gt;"Yes"),"",IF(COUNTIFS('Vault'!$C$6:$C$1005,"Quote",'Vault'!$D$6:$D$1005,L25)&gt;0,"✓","✗ missing"))</f>
        <v/>
      </c>
      <c r="Q25" s="78">
        <f>IF(N25="","",IF(AND(N25="✓",O25="✓",P25="✓"),"✓ Complete","Missing documents"))</f>
        <v/>
      </c>
      <c r="R25" s="79">
        <f>IF(Q25="","",IF(Q25="✓ Complete",0,1))</f>
        <v/>
      </c>
    </row>
    <row r="26" ht="20" customHeight="1">
      <c r="B26" s="72" t="inlineStr">
        <is>
          <t>Nordic Kitchens contract</t>
        </is>
      </c>
      <c r="C26" s="72" t="inlineStr">
        <is>
          <t>Contract</t>
        </is>
      </c>
      <c r="D26" s="72" t="inlineStr">
        <is>
          <t>Nordic Kitchens</t>
        </is>
      </c>
      <c r="E26" s="72" t="n"/>
      <c r="F26" s="72" t="n"/>
      <c r="G26" s="109" t="n">
        <v>46152</v>
      </c>
      <c r="H26" s="72" t="n"/>
      <c r="I26" s="78">
        <f>IF(H26="","",HYPERLINK(H26,"Open ↗"))</f>
        <v/>
      </c>
      <c r="J26" s="72" t="n"/>
      <c r="L26" s="116">
        <f>IF('Contractors'!B26="","",'Contractors'!B26)</f>
        <v/>
      </c>
      <c r="M26" s="78">
        <f>IF(L26="","",'Contractors'!L26)</f>
        <v/>
      </c>
      <c r="N26" s="78">
        <f>IF(OR(L26="",M26&lt;&gt;"Yes"),"",IF(COUNTIFS('Vault'!$C$6:$C$1005,"Contract",'Vault'!$D$6:$D$1005,L26)&gt;0,"✓","✗ missing"))</f>
        <v/>
      </c>
      <c r="O26" s="78">
        <f>IF(OR(L26="",M26&lt;&gt;"Yes"),"",IF(COUNTIFS('Vault'!$C$6:$C$1005,"Insurance",'Vault'!$D$6:$D$1005,L26)&gt;0,"✓","✗ missing"))</f>
        <v/>
      </c>
      <c r="P26" s="78">
        <f>IF(OR(L26="",M26&lt;&gt;"Yes"),"",IF(COUNTIFS('Vault'!$C$6:$C$1005,"Quote",'Vault'!$D$6:$D$1005,L26)&gt;0,"✓","✗ missing"))</f>
        <v/>
      </c>
      <c r="Q26" s="78">
        <f>IF(N26="","",IF(AND(N26="✓",O26="✓",P26="✓"),"✓ Complete","Missing documents"))</f>
        <v/>
      </c>
      <c r="R26" s="79">
        <f>IF(Q26="","",IF(Q26="✓ Complete",0,1))</f>
        <v/>
      </c>
    </row>
    <row r="27" ht="20" customHeight="1">
      <c r="B27" s="72" t="inlineStr">
        <is>
          <t>Nordic Kitchens insurance</t>
        </is>
      </c>
      <c r="C27" s="72" t="inlineStr">
        <is>
          <t>Insurance</t>
        </is>
      </c>
      <c r="D27" s="72" t="inlineStr">
        <is>
          <t>Nordic Kitchens</t>
        </is>
      </c>
      <c r="E27" s="72" t="n"/>
      <c r="F27" s="72" t="n"/>
      <c r="G27" s="109" t="n">
        <v>46152</v>
      </c>
      <c r="H27" s="72" t="n"/>
      <c r="I27" s="78">
        <f>IF(H27="","",HYPERLINK(H27,"Open ↗"))</f>
        <v/>
      </c>
      <c r="J27" s="72" t="n"/>
      <c r="L27" s="116">
        <f>IF('Contractors'!B27="","",'Contractors'!B27)</f>
        <v/>
      </c>
      <c r="M27" s="78">
        <f>IF(L27="","",'Contractors'!L27)</f>
        <v/>
      </c>
      <c r="N27" s="78">
        <f>IF(OR(L27="",M27&lt;&gt;"Yes"),"",IF(COUNTIFS('Vault'!$C$6:$C$1005,"Contract",'Vault'!$D$6:$D$1005,L27)&gt;0,"✓","✗ missing"))</f>
        <v/>
      </c>
      <c r="O27" s="78">
        <f>IF(OR(L27="",M27&lt;&gt;"Yes"),"",IF(COUNTIFS('Vault'!$C$6:$C$1005,"Insurance",'Vault'!$D$6:$D$1005,L27)&gt;0,"✓","✗ missing"))</f>
        <v/>
      </c>
      <c r="P27" s="78">
        <f>IF(OR(L27="",M27&lt;&gt;"Yes"),"",IF(COUNTIFS('Vault'!$C$6:$C$1005,"Quote",'Vault'!$D$6:$D$1005,L27)&gt;0,"✓","✗ missing"))</f>
        <v/>
      </c>
      <c r="Q27" s="78">
        <f>IF(N27="","",IF(AND(N27="✓",O27="✓",P27="✓"),"✓ Complete","Missing documents"))</f>
        <v/>
      </c>
      <c r="R27" s="79">
        <f>IF(Q27="","",IF(Q27="✓ Complete",0,1))</f>
        <v/>
      </c>
    </row>
    <row r="28" ht="20" customHeight="1">
      <c r="B28" s="72" t="inlineStr">
        <is>
          <t>Nordic Kitchens quote</t>
        </is>
      </c>
      <c r="C28" s="72" t="inlineStr">
        <is>
          <t>Quote</t>
        </is>
      </c>
      <c r="D28" s="72" t="inlineStr">
        <is>
          <t>Nordic Kitchens</t>
        </is>
      </c>
      <c r="E28" s="72" t="n"/>
      <c r="F28" s="72" t="n"/>
      <c r="G28" s="109" t="n">
        <v>46140</v>
      </c>
      <c r="H28" s="72" t="n"/>
      <c r="I28" s="78">
        <f>IF(H28="","",HYPERLINK(H28,"Open ↗"))</f>
        <v/>
      </c>
      <c r="J28" s="72" t="n"/>
      <c r="L28" s="116">
        <f>IF('Contractors'!B28="","",'Contractors'!B28)</f>
        <v/>
      </c>
      <c r="M28" s="78">
        <f>IF(L28="","",'Contractors'!L28)</f>
        <v/>
      </c>
      <c r="N28" s="78">
        <f>IF(OR(L28="",M28&lt;&gt;"Yes"),"",IF(COUNTIFS('Vault'!$C$6:$C$1005,"Contract",'Vault'!$D$6:$D$1005,L28)&gt;0,"✓","✗ missing"))</f>
        <v/>
      </c>
      <c r="O28" s="78">
        <f>IF(OR(L28="",M28&lt;&gt;"Yes"),"",IF(COUNTIFS('Vault'!$C$6:$C$1005,"Insurance",'Vault'!$D$6:$D$1005,L28)&gt;0,"✓","✗ missing"))</f>
        <v/>
      </c>
      <c r="P28" s="78">
        <f>IF(OR(L28="",M28&lt;&gt;"Yes"),"",IF(COUNTIFS('Vault'!$C$6:$C$1005,"Quote",'Vault'!$D$6:$D$1005,L28)&gt;0,"✓","✗ missing"))</f>
        <v/>
      </c>
      <c r="Q28" s="78">
        <f>IF(N28="","",IF(AND(N28="✓",O28="✓",P28="✓"),"✓ Complete","Missing documents"))</f>
        <v/>
      </c>
      <c r="R28" s="79">
        <f>IF(Q28="","",IF(Q28="✓ Complete",0,1))</f>
        <v/>
      </c>
    </row>
    <row r="29" ht="20" customHeight="1">
      <c r="B29" s="72" t="inlineStr">
        <is>
          <t>Aqua Bath contract</t>
        </is>
      </c>
      <c r="C29" s="72" t="inlineStr">
        <is>
          <t>Contract</t>
        </is>
      </c>
      <c r="D29" s="72" t="inlineStr">
        <is>
          <t>Aqua Bath Studio</t>
        </is>
      </c>
      <c r="E29" s="72" t="n"/>
      <c r="F29" s="72" t="n"/>
      <c r="G29" s="109" t="n">
        <v>46172</v>
      </c>
      <c r="H29" s="72" t="n"/>
      <c r="I29" s="78">
        <f>IF(H29="","",HYPERLINK(H29,"Open ↗"))</f>
        <v/>
      </c>
      <c r="J29" s="72" t="n"/>
      <c r="L29" s="116">
        <f>IF('Contractors'!B29="","",'Contractors'!B29)</f>
        <v/>
      </c>
      <c r="M29" s="78">
        <f>IF(L29="","",'Contractors'!L29)</f>
        <v/>
      </c>
      <c r="N29" s="78">
        <f>IF(OR(L29="",M29&lt;&gt;"Yes"),"",IF(COUNTIFS('Vault'!$C$6:$C$1005,"Contract",'Vault'!$D$6:$D$1005,L29)&gt;0,"✓","✗ missing"))</f>
        <v/>
      </c>
      <c r="O29" s="78">
        <f>IF(OR(L29="",M29&lt;&gt;"Yes"),"",IF(COUNTIFS('Vault'!$C$6:$C$1005,"Insurance",'Vault'!$D$6:$D$1005,L29)&gt;0,"✓","✗ missing"))</f>
        <v/>
      </c>
      <c r="P29" s="78">
        <f>IF(OR(L29="",M29&lt;&gt;"Yes"),"",IF(COUNTIFS('Vault'!$C$6:$C$1005,"Quote",'Vault'!$D$6:$D$1005,L29)&gt;0,"✓","✗ missing"))</f>
        <v/>
      </c>
      <c r="Q29" s="78">
        <f>IF(N29="","",IF(AND(N29="✓",O29="✓",P29="✓"),"✓ Complete","Missing documents"))</f>
        <v/>
      </c>
      <c r="R29" s="79">
        <f>IF(Q29="","",IF(Q29="✓ Complete",0,1))</f>
        <v/>
      </c>
    </row>
    <row r="30" ht="20" customHeight="1">
      <c r="B30" s="72" t="inlineStr">
        <is>
          <t>Aqua Bath quote</t>
        </is>
      </c>
      <c r="C30" s="72" t="inlineStr">
        <is>
          <t>Quote</t>
        </is>
      </c>
      <c r="D30" s="72" t="inlineStr">
        <is>
          <t>Aqua Bath Studio</t>
        </is>
      </c>
      <c r="E30" s="72" t="n"/>
      <c r="F30" s="72" t="n"/>
      <c r="G30" s="109" t="n">
        <v>46157</v>
      </c>
      <c r="H30" s="72" t="n"/>
      <c r="I30" s="78">
        <f>IF(H30="","",HYPERLINK(H30,"Open ↗"))</f>
        <v/>
      </c>
      <c r="J30" s="72" t="n"/>
      <c r="L30" s="116">
        <f>IF('Contractors'!B30="","",'Contractors'!B30)</f>
        <v/>
      </c>
      <c r="M30" s="78">
        <f>IF(L30="","",'Contractors'!L30)</f>
        <v/>
      </c>
      <c r="N30" s="78">
        <f>IF(OR(L30="",M30&lt;&gt;"Yes"),"",IF(COUNTIFS('Vault'!$C$6:$C$1005,"Contract",'Vault'!$D$6:$D$1005,L30)&gt;0,"✓","✗ missing"))</f>
        <v/>
      </c>
      <c r="O30" s="78">
        <f>IF(OR(L30="",M30&lt;&gt;"Yes"),"",IF(COUNTIFS('Vault'!$C$6:$C$1005,"Insurance",'Vault'!$D$6:$D$1005,L30)&gt;0,"✓","✗ missing"))</f>
        <v/>
      </c>
      <c r="P30" s="78">
        <f>IF(OR(L30="",M30&lt;&gt;"Yes"),"",IF(COUNTIFS('Vault'!$C$6:$C$1005,"Quote",'Vault'!$D$6:$D$1005,L30)&gt;0,"✓","✗ missing"))</f>
        <v/>
      </c>
      <c r="Q30" s="78">
        <f>IF(N30="","",IF(AND(N30="✓",O30="✓",P30="✓"),"✓ Complete","Missing documents"))</f>
        <v/>
      </c>
      <c r="R30" s="79">
        <f>IF(Q30="","",IF(Q30="✓ Complete",0,1))</f>
        <v/>
      </c>
    </row>
    <row r="31" ht="20" customHeight="1">
      <c r="B31" s="72" t="inlineStr">
        <is>
          <t>Aqua Bath insurance</t>
        </is>
      </c>
      <c r="C31" s="72" t="inlineStr">
        <is>
          <t>Insurance</t>
        </is>
      </c>
      <c r="D31" s="72" t="inlineStr">
        <is>
          <t>Aqua Bath Studio</t>
        </is>
      </c>
      <c r="E31" s="72" t="n"/>
      <c r="F31" s="72" t="n"/>
      <c r="G31" s="109" t="n">
        <v>46172</v>
      </c>
      <c r="H31" s="72" t="n"/>
      <c r="I31" s="78">
        <f>IF(H31="","",HYPERLINK(H31,"Open ↗"))</f>
        <v/>
      </c>
      <c r="J31" s="72" t="n"/>
      <c r="L31" s="116">
        <f>IF('Contractors'!B31="","",'Contractors'!B31)</f>
        <v/>
      </c>
      <c r="M31" s="78">
        <f>IF(L31="","",'Contractors'!L31)</f>
        <v/>
      </c>
      <c r="N31" s="78">
        <f>IF(OR(L31="",M31&lt;&gt;"Yes"),"",IF(COUNTIFS('Vault'!$C$6:$C$1005,"Contract",'Vault'!$D$6:$D$1005,L31)&gt;0,"✓","✗ missing"))</f>
        <v/>
      </c>
      <c r="O31" s="78">
        <f>IF(OR(L31="",M31&lt;&gt;"Yes"),"",IF(COUNTIFS('Vault'!$C$6:$C$1005,"Insurance",'Vault'!$D$6:$D$1005,L31)&gt;0,"✓","✗ missing"))</f>
        <v/>
      </c>
      <c r="P31" s="78">
        <f>IF(OR(L31="",M31&lt;&gt;"Yes"),"",IF(COUNTIFS('Vault'!$C$6:$C$1005,"Quote",'Vault'!$D$6:$D$1005,L31)&gt;0,"✓","✗ missing"))</f>
        <v/>
      </c>
      <c r="Q31" s="78">
        <f>IF(N31="","",IF(AND(N31="✓",O31="✓",P31="✓"),"✓ Complete","Missing documents"))</f>
        <v/>
      </c>
      <c r="R31" s="79">
        <f>IF(Q31="","",IF(Q31="✓ Complete",0,1))</f>
        <v/>
      </c>
    </row>
    <row r="32" ht="20" customHeight="1">
      <c r="B32" s="72" t="inlineStr">
        <is>
          <t>GreenPlan insurance</t>
        </is>
      </c>
      <c r="C32" s="72" t="inlineStr">
        <is>
          <t>Insurance</t>
        </is>
      </c>
      <c r="D32" s="72" t="inlineStr">
        <is>
          <t>GreenPlan Architects</t>
        </is>
      </c>
      <c r="E32" s="72" t="n"/>
      <c r="F32" s="72" t="n"/>
      <c r="G32" s="109" t="n">
        <v>46073</v>
      </c>
      <c r="H32" s="72" t="n"/>
      <c r="I32" s="78">
        <f>IF(H32="","",HYPERLINK(H32,"Open ↗"))</f>
        <v/>
      </c>
      <c r="J32" s="72" t="n"/>
      <c r="L32" s="116">
        <f>IF('Contractors'!B32="","",'Contractors'!B32)</f>
        <v/>
      </c>
      <c r="M32" s="78">
        <f>IF(L32="","",'Contractors'!L32)</f>
        <v/>
      </c>
      <c r="N32" s="78">
        <f>IF(OR(L32="",M32&lt;&gt;"Yes"),"",IF(COUNTIFS('Vault'!$C$6:$C$1005,"Contract",'Vault'!$D$6:$D$1005,L32)&gt;0,"✓","✗ missing"))</f>
        <v/>
      </c>
      <c r="O32" s="78">
        <f>IF(OR(L32="",M32&lt;&gt;"Yes"),"",IF(COUNTIFS('Vault'!$C$6:$C$1005,"Insurance",'Vault'!$D$6:$D$1005,L32)&gt;0,"✓","✗ missing"))</f>
        <v/>
      </c>
      <c r="P32" s="78">
        <f>IF(OR(L32="",M32&lt;&gt;"Yes"),"",IF(COUNTIFS('Vault'!$C$6:$C$1005,"Quote",'Vault'!$D$6:$D$1005,L32)&gt;0,"✓","✗ missing"))</f>
        <v/>
      </c>
      <c r="Q32" s="78">
        <f>IF(N32="","",IF(AND(N32="✓",O32="✓",P32="✓"),"✓ Complete","Missing documents"))</f>
        <v/>
      </c>
      <c r="R32" s="79">
        <f>IF(Q32="","",IF(Q32="✓ Complete",0,1))</f>
        <v/>
      </c>
    </row>
    <row r="33" ht="20" customHeight="1">
      <c r="B33" s="72" t="inlineStr">
        <is>
          <t>GreenPlan quote</t>
        </is>
      </c>
      <c r="C33" s="72" t="inlineStr">
        <is>
          <t>Quote</t>
        </is>
      </c>
      <c r="D33" s="72" t="inlineStr">
        <is>
          <t>GreenPlan Architects</t>
        </is>
      </c>
      <c r="E33" s="72" t="n"/>
      <c r="F33" s="72" t="n"/>
      <c r="G33" s="109" t="n">
        <v>46063</v>
      </c>
      <c r="H33" s="72" t="n"/>
      <c r="I33" s="78">
        <f>IF(H33="","",HYPERLINK(H33,"Open ↗"))</f>
        <v/>
      </c>
      <c r="J33" s="72" t="n"/>
      <c r="L33" s="116">
        <f>IF('Contractors'!B33="","",'Contractors'!B33)</f>
        <v/>
      </c>
      <c r="M33" s="78">
        <f>IF(L33="","",'Contractors'!L33)</f>
        <v/>
      </c>
      <c r="N33" s="78">
        <f>IF(OR(L33="",M33&lt;&gt;"Yes"),"",IF(COUNTIFS('Vault'!$C$6:$C$1005,"Contract",'Vault'!$D$6:$D$1005,L33)&gt;0,"✓","✗ missing"))</f>
        <v/>
      </c>
      <c r="O33" s="78">
        <f>IF(OR(L33="",M33&lt;&gt;"Yes"),"",IF(COUNTIFS('Vault'!$C$6:$C$1005,"Insurance",'Vault'!$D$6:$D$1005,L33)&gt;0,"✓","✗ missing"))</f>
        <v/>
      </c>
      <c r="P33" s="78">
        <f>IF(OR(L33="",M33&lt;&gt;"Yes"),"",IF(COUNTIFS('Vault'!$C$6:$C$1005,"Quote",'Vault'!$D$6:$D$1005,L33)&gt;0,"✓","✗ missing"))</f>
        <v/>
      </c>
      <c r="Q33" s="78">
        <f>IF(N33="","",IF(AND(N33="✓",O33="✓",P33="✓"),"✓ Complete","Missing documents"))</f>
        <v/>
      </c>
      <c r="R33" s="79">
        <f>IF(Q33="","",IF(Q33="✓ Complete",0,1))</f>
        <v/>
      </c>
    </row>
    <row r="34" ht="20" customHeight="1">
      <c r="B34" s="72" t="inlineStr">
        <is>
          <t>Structural beam inspection</t>
        </is>
      </c>
      <c r="C34" s="72" t="inlineStr">
        <is>
          <t>Inspection</t>
        </is>
      </c>
      <c r="D34" s="72" t="inlineStr">
        <is>
          <t>Solid Structures Ltd</t>
        </is>
      </c>
      <c r="E34" s="72" t="inlineStr">
        <is>
          <t>Living room</t>
        </is>
      </c>
      <c r="F34" s="72" t="inlineStr">
        <is>
          <t>Rough-in</t>
        </is>
      </c>
      <c r="G34" s="109" t="n">
        <v>46153</v>
      </c>
      <c r="H34" s="72" t="n"/>
      <c r="I34" s="78">
        <f>IF(H34="","",HYPERLINK(H34,"Open ↗"))</f>
        <v/>
      </c>
      <c r="J34" s="72" t="n"/>
      <c r="L34" s="116">
        <f>IF('Contractors'!B34="","",'Contractors'!B34)</f>
        <v/>
      </c>
      <c r="M34" s="78">
        <f>IF(L34="","",'Contractors'!L34)</f>
        <v/>
      </c>
      <c r="N34" s="78">
        <f>IF(OR(L34="",M34&lt;&gt;"Yes"),"",IF(COUNTIFS('Vault'!$C$6:$C$1005,"Contract",'Vault'!$D$6:$D$1005,L34)&gt;0,"✓","✗ missing"))</f>
        <v/>
      </c>
      <c r="O34" s="78">
        <f>IF(OR(L34="",M34&lt;&gt;"Yes"),"",IF(COUNTIFS('Vault'!$C$6:$C$1005,"Insurance",'Vault'!$D$6:$D$1005,L34)&gt;0,"✓","✗ missing"))</f>
        <v/>
      </c>
      <c r="P34" s="78">
        <f>IF(OR(L34="",M34&lt;&gt;"Yes"),"",IF(COUNTIFS('Vault'!$C$6:$C$1005,"Quote",'Vault'!$D$6:$D$1005,L34)&gt;0,"✓","✗ missing"))</f>
        <v/>
      </c>
      <c r="Q34" s="78">
        <f>IF(N34="","",IF(AND(N34="✓",O34="✓",P34="✓"),"✓ Complete","Missing documents"))</f>
        <v/>
      </c>
      <c r="R34" s="79">
        <f>IF(Q34="","",IF(Q34="✓ Complete",0,1))</f>
        <v/>
      </c>
    </row>
    <row r="35" ht="20" customHeight="1">
      <c r="B35" s="72" t="inlineStr">
        <is>
          <t>Fridge-freezer receipt</t>
        </is>
      </c>
      <c r="C35" s="72" t="inlineStr">
        <is>
          <t>Receipt</t>
        </is>
      </c>
      <c r="D35" s="72" t="n"/>
      <c r="E35" s="72" t="inlineStr">
        <is>
          <t>Kitchen</t>
        </is>
      </c>
      <c r="F35" s="72" t="n"/>
      <c r="G35" s="109" t="n">
        <v>46175</v>
      </c>
      <c r="H35" s="72" t="n"/>
      <c r="I35" s="78">
        <f>IF(H35="","",HYPERLINK(H35,"Open ↗"))</f>
        <v/>
      </c>
      <c r="J35" s="72" t="n"/>
      <c r="L35" s="116">
        <f>IF('Contractors'!B35="","",'Contractors'!B35)</f>
        <v/>
      </c>
      <c r="M35" s="78">
        <f>IF(L35="","",'Contractors'!L35)</f>
        <v/>
      </c>
      <c r="N35" s="78">
        <f>IF(OR(L35="",M35&lt;&gt;"Yes"),"",IF(COUNTIFS('Vault'!$C$6:$C$1005,"Contract",'Vault'!$D$6:$D$1005,L35)&gt;0,"✓","✗ missing"))</f>
        <v/>
      </c>
      <c r="O35" s="78">
        <f>IF(OR(L35="",M35&lt;&gt;"Yes"),"",IF(COUNTIFS('Vault'!$C$6:$C$1005,"Insurance",'Vault'!$D$6:$D$1005,L35)&gt;0,"✓","✗ missing"))</f>
        <v/>
      </c>
      <c r="P35" s="78">
        <f>IF(OR(L35="",M35&lt;&gt;"Yes"),"",IF(COUNTIFS('Vault'!$C$6:$C$1005,"Quote",'Vault'!$D$6:$D$1005,L35)&gt;0,"✓","✗ missing"))</f>
        <v/>
      </c>
      <c r="Q35" s="78">
        <f>IF(N35="","",IF(AND(N35="✓",O35="✓",P35="✓"),"✓ Complete","Missing documents"))</f>
        <v/>
      </c>
      <c r="R35" s="79">
        <f>IF(Q35="","",IF(Q35="✓ Complete",0,1))</f>
        <v/>
      </c>
    </row>
    <row r="36" ht="20" customHeight="1">
      <c r="B36" s="72" t="inlineStr">
        <is>
          <t>Kitchen — before</t>
        </is>
      </c>
      <c r="C36" s="72" t="inlineStr">
        <is>
          <t>Photo</t>
        </is>
      </c>
      <c r="D36" s="72" t="n"/>
      <c r="E36" s="72" t="inlineStr">
        <is>
          <t>Kitchen</t>
        </is>
      </c>
      <c r="F36" s="72" t="inlineStr">
        <is>
          <t>Before</t>
        </is>
      </c>
      <c r="G36" s="109" t="n">
        <v>46082</v>
      </c>
      <c r="H36" s="72" t="inlineStr">
        <is>
          <t>https://photos.google.com/example-album</t>
        </is>
      </c>
      <c r="I36" s="78">
        <f>IF(H36="","",HYPERLINK(H36,"Open ↗"))</f>
        <v/>
      </c>
      <c r="J36" s="72" t="n"/>
      <c r="L36" s="116">
        <f>IF('Contractors'!B36="","",'Contractors'!B36)</f>
        <v/>
      </c>
      <c r="M36" s="78">
        <f>IF(L36="","",'Contractors'!L36)</f>
        <v/>
      </c>
      <c r="N36" s="78">
        <f>IF(OR(L36="",M36&lt;&gt;"Yes"),"",IF(COUNTIFS('Vault'!$C$6:$C$1005,"Contract",'Vault'!$D$6:$D$1005,L36)&gt;0,"✓","✗ missing"))</f>
        <v/>
      </c>
      <c r="O36" s="78">
        <f>IF(OR(L36="",M36&lt;&gt;"Yes"),"",IF(COUNTIFS('Vault'!$C$6:$C$1005,"Insurance",'Vault'!$D$6:$D$1005,L36)&gt;0,"✓","✗ missing"))</f>
        <v/>
      </c>
      <c r="P36" s="78">
        <f>IF(OR(L36="",M36&lt;&gt;"Yes"),"",IF(COUNTIFS('Vault'!$C$6:$C$1005,"Quote",'Vault'!$D$6:$D$1005,L36)&gt;0,"✓","✗ missing"))</f>
        <v/>
      </c>
      <c r="Q36" s="78">
        <f>IF(N36="","",IF(AND(N36="✓",O36="✓",P36="✓"),"✓ Complete","Missing documents"))</f>
        <v/>
      </c>
      <c r="R36" s="79">
        <f>IF(Q36="","",IF(Q36="✓ Complete",0,1))</f>
        <v/>
      </c>
    </row>
    <row r="37" ht="20" customHeight="1">
      <c r="B37" s="72" t="inlineStr">
        <is>
          <t>Bathroom 1 — before</t>
        </is>
      </c>
      <c r="C37" s="72" t="inlineStr">
        <is>
          <t>Photo</t>
        </is>
      </c>
      <c r="D37" s="72" t="n"/>
      <c r="E37" s="72" t="inlineStr">
        <is>
          <t>Bathroom 1</t>
        </is>
      </c>
      <c r="F37" s="72" t="inlineStr">
        <is>
          <t>Before</t>
        </is>
      </c>
      <c r="G37" s="109" t="n">
        <v>46082</v>
      </c>
      <c r="H37" s="72" t="inlineStr">
        <is>
          <t>https://photos.google.com/example-album</t>
        </is>
      </c>
      <c r="I37" s="78">
        <f>IF(H37="","",HYPERLINK(H37,"Open ↗"))</f>
        <v/>
      </c>
      <c r="J37" s="72" t="n"/>
      <c r="L37" s="116">
        <f>IF('Contractors'!B37="","",'Contractors'!B37)</f>
        <v/>
      </c>
      <c r="M37" s="78">
        <f>IF(L37="","",'Contractors'!L37)</f>
        <v/>
      </c>
      <c r="N37" s="78">
        <f>IF(OR(L37="",M37&lt;&gt;"Yes"),"",IF(COUNTIFS('Vault'!$C$6:$C$1005,"Contract",'Vault'!$D$6:$D$1005,L37)&gt;0,"✓","✗ missing"))</f>
        <v/>
      </c>
      <c r="O37" s="78">
        <f>IF(OR(L37="",M37&lt;&gt;"Yes"),"",IF(COUNTIFS('Vault'!$C$6:$C$1005,"Insurance",'Vault'!$D$6:$D$1005,L37)&gt;0,"✓","✗ missing"))</f>
        <v/>
      </c>
      <c r="P37" s="78">
        <f>IF(OR(L37="",M37&lt;&gt;"Yes"),"",IF(COUNTIFS('Vault'!$C$6:$C$1005,"Quote",'Vault'!$D$6:$D$1005,L37)&gt;0,"✓","✗ missing"))</f>
        <v/>
      </c>
      <c r="Q37" s="78">
        <f>IF(N37="","",IF(AND(N37="✓",O37="✓",P37="✓"),"✓ Complete","Missing documents"))</f>
        <v/>
      </c>
      <c r="R37" s="79">
        <f>IF(Q37="","",IF(Q37="✓ Complete",0,1))</f>
        <v/>
      </c>
    </row>
    <row r="38" ht="20" customHeight="1">
      <c r="B38" s="72" t="inlineStr">
        <is>
          <t>Bathroom 2 — before</t>
        </is>
      </c>
      <c r="C38" s="72" t="inlineStr">
        <is>
          <t>Photo</t>
        </is>
      </c>
      <c r="D38" s="72" t="n"/>
      <c r="E38" s="72" t="inlineStr">
        <is>
          <t>Bathroom 2</t>
        </is>
      </c>
      <c r="F38" s="72" t="inlineStr">
        <is>
          <t>Before</t>
        </is>
      </c>
      <c r="G38" s="109" t="n">
        <v>46082</v>
      </c>
      <c r="H38" s="72" t="inlineStr">
        <is>
          <t>https://photos.google.com/example-album</t>
        </is>
      </c>
      <c r="I38" s="78">
        <f>IF(H38="","",HYPERLINK(H38,"Open ↗"))</f>
        <v/>
      </c>
      <c r="J38" s="72" t="n"/>
      <c r="L38" s="116">
        <f>IF('Contractors'!B38="","",'Contractors'!B38)</f>
        <v/>
      </c>
      <c r="M38" s="78">
        <f>IF(L38="","",'Contractors'!L38)</f>
        <v/>
      </c>
      <c r="N38" s="78">
        <f>IF(OR(L38="",M38&lt;&gt;"Yes"),"",IF(COUNTIFS('Vault'!$C$6:$C$1005,"Contract",'Vault'!$D$6:$D$1005,L38)&gt;0,"✓","✗ missing"))</f>
        <v/>
      </c>
      <c r="O38" s="78">
        <f>IF(OR(L38="",M38&lt;&gt;"Yes"),"",IF(COUNTIFS('Vault'!$C$6:$C$1005,"Insurance",'Vault'!$D$6:$D$1005,L38)&gt;0,"✓","✗ missing"))</f>
        <v/>
      </c>
      <c r="P38" s="78">
        <f>IF(OR(L38="",M38&lt;&gt;"Yes"),"",IF(COUNTIFS('Vault'!$C$6:$C$1005,"Quote",'Vault'!$D$6:$D$1005,L38)&gt;0,"✓","✗ missing"))</f>
        <v/>
      </c>
      <c r="Q38" s="78">
        <f>IF(N38="","",IF(AND(N38="✓",O38="✓",P38="✓"),"✓ Complete","Missing documents"))</f>
        <v/>
      </c>
      <c r="R38" s="79">
        <f>IF(Q38="","",IF(Q38="✓ Complete",0,1))</f>
        <v/>
      </c>
    </row>
    <row r="39" ht="20" customHeight="1">
      <c r="B39" s="72" t="inlineStr">
        <is>
          <t>Master bedroom — before</t>
        </is>
      </c>
      <c r="C39" s="72" t="inlineStr">
        <is>
          <t>Photo</t>
        </is>
      </c>
      <c r="D39" s="72" t="n"/>
      <c r="E39" s="72" t="inlineStr">
        <is>
          <t>Master bedroom</t>
        </is>
      </c>
      <c r="F39" s="72" t="inlineStr">
        <is>
          <t>Before</t>
        </is>
      </c>
      <c r="G39" s="109" t="n">
        <v>46082</v>
      </c>
      <c r="H39" s="72" t="inlineStr">
        <is>
          <t>https://photos.google.com/example-album</t>
        </is>
      </c>
      <c r="I39" s="78">
        <f>IF(H39="","",HYPERLINK(H39,"Open ↗"))</f>
        <v/>
      </c>
      <c r="J39" s="72" t="n"/>
      <c r="L39" s="116">
        <f>IF('Contractors'!B39="","",'Contractors'!B39)</f>
        <v/>
      </c>
      <c r="M39" s="78">
        <f>IF(L39="","",'Contractors'!L39)</f>
        <v/>
      </c>
      <c r="N39" s="78">
        <f>IF(OR(L39="",M39&lt;&gt;"Yes"),"",IF(COUNTIFS('Vault'!$C$6:$C$1005,"Contract",'Vault'!$D$6:$D$1005,L39)&gt;0,"✓","✗ missing"))</f>
        <v/>
      </c>
      <c r="O39" s="78">
        <f>IF(OR(L39="",M39&lt;&gt;"Yes"),"",IF(COUNTIFS('Vault'!$C$6:$C$1005,"Insurance",'Vault'!$D$6:$D$1005,L39)&gt;0,"✓","✗ missing"))</f>
        <v/>
      </c>
      <c r="P39" s="78">
        <f>IF(OR(L39="",M39&lt;&gt;"Yes"),"",IF(COUNTIFS('Vault'!$C$6:$C$1005,"Quote",'Vault'!$D$6:$D$1005,L39)&gt;0,"✓","✗ missing"))</f>
        <v/>
      </c>
      <c r="Q39" s="78">
        <f>IF(N39="","",IF(AND(N39="✓",O39="✓",P39="✓"),"✓ Complete","Missing documents"))</f>
        <v/>
      </c>
      <c r="R39" s="79">
        <f>IF(Q39="","",IF(Q39="✓ Complete",0,1))</f>
        <v/>
      </c>
    </row>
    <row r="40" ht="20" customHeight="1">
      <c r="B40" s="72" t="inlineStr">
        <is>
          <t>Living room — before</t>
        </is>
      </c>
      <c r="C40" s="72" t="inlineStr">
        <is>
          <t>Photo</t>
        </is>
      </c>
      <c r="D40" s="72" t="n"/>
      <c r="E40" s="72" t="inlineStr">
        <is>
          <t>Living room</t>
        </is>
      </c>
      <c r="F40" s="72" t="inlineStr">
        <is>
          <t>Before</t>
        </is>
      </c>
      <c r="G40" s="109" t="n">
        <v>46082</v>
      </c>
      <c r="H40" s="72" t="inlineStr">
        <is>
          <t>https://photos.google.com/example-album</t>
        </is>
      </c>
      <c r="I40" s="78">
        <f>IF(H40="","",HYPERLINK(H40,"Open ↗"))</f>
        <v/>
      </c>
      <c r="J40" s="72" t="n"/>
      <c r="L40" s="116">
        <f>IF('Contractors'!B40="","",'Contractors'!B40)</f>
        <v/>
      </c>
      <c r="M40" s="78">
        <f>IF(L40="","",'Contractors'!L40)</f>
        <v/>
      </c>
      <c r="N40" s="78">
        <f>IF(OR(L40="",M40&lt;&gt;"Yes"),"",IF(COUNTIFS('Vault'!$C$6:$C$1005,"Contract",'Vault'!$D$6:$D$1005,L40)&gt;0,"✓","✗ missing"))</f>
        <v/>
      </c>
      <c r="O40" s="78">
        <f>IF(OR(L40="",M40&lt;&gt;"Yes"),"",IF(COUNTIFS('Vault'!$C$6:$C$1005,"Insurance",'Vault'!$D$6:$D$1005,L40)&gt;0,"✓","✗ missing"))</f>
        <v/>
      </c>
      <c r="P40" s="78">
        <f>IF(OR(L40="",M40&lt;&gt;"Yes"),"",IF(COUNTIFS('Vault'!$C$6:$C$1005,"Quote",'Vault'!$D$6:$D$1005,L40)&gt;0,"✓","✗ missing"))</f>
        <v/>
      </c>
      <c r="Q40" s="78">
        <f>IF(N40="","",IF(AND(N40="✓",O40="✓",P40="✓"),"✓ Complete","Missing documents"))</f>
        <v/>
      </c>
      <c r="R40" s="79">
        <f>IF(Q40="","",IF(Q40="✓ Complete",0,1))</f>
        <v/>
      </c>
    </row>
    <row r="41" ht="20" customHeight="1">
      <c r="B41" s="72" t="inlineStr">
        <is>
          <t>Exterior — before</t>
        </is>
      </c>
      <c r="C41" s="72" t="inlineStr">
        <is>
          <t>Photo</t>
        </is>
      </c>
      <c r="D41" s="72" t="n"/>
      <c r="E41" s="72" t="inlineStr">
        <is>
          <t>Exterior</t>
        </is>
      </c>
      <c r="F41" s="72" t="inlineStr">
        <is>
          <t>Before</t>
        </is>
      </c>
      <c r="G41" s="109" t="n">
        <v>46082</v>
      </c>
      <c r="H41" s="72" t="inlineStr">
        <is>
          <t>https://photos.google.com/example-album</t>
        </is>
      </c>
      <c r="I41" s="78">
        <f>IF(H41="","",HYPERLINK(H41,"Open ↗"))</f>
        <v/>
      </c>
      <c r="J41" s="72" t="n"/>
      <c r="L41" s="116">
        <f>IF('Contractors'!B41="","",'Contractors'!B41)</f>
        <v/>
      </c>
      <c r="M41" s="78">
        <f>IF(L41="","",'Contractors'!L41)</f>
        <v/>
      </c>
      <c r="N41" s="78">
        <f>IF(OR(L41="",M41&lt;&gt;"Yes"),"",IF(COUNTIFS('Vault'!$C$6:$C$1005,"Contract",'Vault'!$D$6:$D$1005,L41)&gt;0,"✓","✗ missing"))</f>
        <v/>
      </c>
      <c r="O41" s="78">
        <f>IF(OR(L41="",M41&lt;&gt;"Yes"),"",IF(COUNTIFS('Vault'!$C$6:$C$1005,"Insurance",'Vault'!$D$6:$D$1005,L41)&gt;0,"✓","✗ missing"))</f>
        <v/>
      </c>
      <c r="P41" s="78">
        <f>IF(OR(L41="",M41&lt;&gt;"Yes"),"",IF(COUNTIFS('Vault'!$C$6:$C$1005,"Quote",'Vault'!$D$6:$D$1005,L41)&gt;0,"✓","✗ missing"))</f>
        <v/>
      </c>
      <c r="Q41" s="78">
        <f>IF(N41="","",IF(AND(N41="✓",O41="✓",P41="✓"),"✓ Complete","Missing documents"))</f>
        <v/>
      </c>
      <c r="R41" s="79">
        <f>IF(Q41="","",IF(Q41="✓ Complete",0,1))</f>
        <v/>
      </c>
    </row>
    <row r="42" ht="20" customHeight="1">
      <c r="B42" s="72" t="inlineStr">
        <is>
          <t>Kitchen — stripped out</t>
        </is>
      </c>
      <c r="C42" s="72" t="inlineStr">
        <is>
          <t>Photo</t>
        </is>
      </c>
      <c r="D42" s="72" t="n"/>
      <c r="E42" s="72" t="inlineStr">
        <is>
          <t>Kitchen</t>
        </is>
      </c>
      <c r="F42" s="72" t="inlineStr">
        <is>
          <t>Demolition</t>
        </is>
      </c>
      <c r="G42" s="109" t="n">
        <v>46141</v>
      </c>
      <c r="H42" s="72" t="n"/>
      <c r="I42" s="78">
        <f>IF(H42="","",HYPERLINK(H42,"Open ↗"))</f>
        <v/>
      </c>
      <c r="J42" s="72" t="n"/>
      <c r="L42" s="116">
        <f>IF('Contractors'!B42="","",'Contractors'!B42)</f>
        <v/>
      </c>
      <c r="M42" s="78">
        <f>IF(L42="","",'Contractors'!L42)</f>
        <v/>
      </c>
      <c r="N42" s="78">
        <f>IF(OR(L42="",M42&lt;&gt;"Yes"),"",IF(COUNTIFS('Vault'!$C$6:$C$1005,"Contract",'Vault'!$D$6:$D$1005,L42)&gt;0,"✓","✗ missing"))</f>
        <v/>
      </c>
      <c r="O42" s="78">
        <f>IF(OR(L42="",M42&lt;&gt;"Yes"),"",IF(COUNTIFS('Vault'!$C$6:$C$1005,"Insurance",'Vault'!$D$6:$D$1005,L42)&gt;0,"✓","✗ missing"))</f>
        <v/>
      </c>
      <c r="P42" s="78">
        <f>IF(OR(L42="",M42&lt;&gt;"Yes"),"",IF(COUNTIFS('Vault'!$C$6:$C$1005,"Quote",'Vault'!$D$6:$D$1005,L42)&gt;0,"✓","✗ missing"))</f>
        <v/>
      </c>
      <c r="Q42" s="78">
        <f>IF(N42="","",IF(AND(N42="✓",O42="✓",P42="✓"),"✓ Complete","Missing documents"))</f>
        <v/>
      </c>
      <c r="R42" s="79">
        <f>IF(Q42="","",IF(Q42="✓ Complete",0,1))</f>
        <v/>
      </c>
    </row>
    <row r="43" ht="20" customHeight="1">
      <c r="B43" s="72" t="inlineStr">
        <is>
          <t>Bathroom 1 — stripped out</t>
        </is>
      </c>
      <c r="C43" s="72" t="inlineStr">
        <is>
          <t>Photo</t>
        </is>
      </c>
      <c r="D43" s="72" t="n"/>
      <c r="E43" s="72" t="inlineStr">
        <is>
          <t>Bathroom 1</t>
        </is>
      </c>
      <c r="F43" s="72" t="inlineStr">
        <is>
          <t>Demolition</t>
        </is>
      </c>
      <c r="G43" s="109" t="n">
        <v>46141</v>
      </c>
      <c r="H43" s="72" t="n"/>
      <c r="I43" s="78">
        <f>IF(H43="","",HYPERLINK(H43,"Open ↗"))</f>
        <v/>
      </c>
      <c r="J43" s="72" t="n"/>
      <c r="L43" s="116">
        <f>IF('Contractors'!B43="","",'Contractors'!B43)</f>
        <v/>
      </c>
      <c r="M43" s="78">
        <f>IF(L43="","",'Contractors'!L43)</f>
        <v/>
      </c>
      <c r="N43" s="78">
        <f>IF(OR(L43="",M43&lt;&gt;"Yes"),"",IF(COUNTIFS('Vault'!$C$6:$C$1005,"Contract",'Vault'!$D$6:$D$1005,L43)&gt;0,"✓","✗ missing"))</f>
        <v/>
      </c>
      <c r="O43" s="78">
        <f>IF(OR(L43="",M43&lt;&gt;"Yes"),"",IF(COUNTIFS('Vault'!$C$6:$C$1005,"Insurance",'Vault'!$D$6:$D$1005,L43)&gt;0,"✓","✗ missing"))</f>
        <v/>
      </c>
      <c r="P43" s="78">
        <f>IF(OR(L43="",M43&lt;&gt;"Yes"),"",IF(COUNTIFS('Vault'!$C$6:$C$1005,"Quote",'Vault'!$D$6:$D$1005,L43)&gt;0,"✓","✗ missing"))</f>
        <v/>
      </c>
      <c r="Q43" s="78">
        <f>IF(N43="","",IF(AND(N43="✓",O43="✓",P43="✓"),"✓ Complete","Missing documents"))</f>
        <v/>
      </c>
      <c r="R43" s="79">
        <f>IF(Q43="","",IF(Q43="✓ Complete",0,1))</f>
        <v/>
      </c>
    </row>
    <row r="44" ht="20" customHeight="1">
      <c r="B44" s="72" t="inlineStr">
        <is>
          <t>Living room — stripped out</t>
        </is>
      </c>
      <c r="C44" s="72" t="inlineStr">
        <is>
          <t>Photo</t>
        </is>
      </c>
      <c r="D44" s="72" t="n"/>
      <c r="E44" s="72" t="inlineStr">
        <is>
          <t>Living room</t>
        </is>
      </c>
      <c r="F44" s="72" t="inlineStr">
        <is>
          <t>Demolition</t>
        </is>
      </c>
      <c r="G44" s="109" t="n">
        <v>46141</v>
      </c>
      <c r="H44" s="72" t="n"/>
      <c r="I44" s="78">
        <f>IF(H44="","",HYPERLINK(H44,"Open ↗"))</f>
        <v/>
      </c>
      <c r="J44" s="72" t="n"/>
      <c r="L44" s="116">
        <f>IF('Contractors'!B44="","",'Contractors'!B44)</f>
        <v/>
      </c>
      <c r="M44" s="78">
        <f>IF(L44="","",'Contractors'!L44)</f>
        <v/>
      </c>
      <c r="N44" s="78">
        <f>IF(OR(L44="",M44&lt;&gt;"Yes"),"",IF(COUNTIFS('Vault'!$C$6:$C$1005,"Contract",'Vault'!$D$6:$D$1005,L44)&gt;0,"✓","✗ missing"))</f>
        <v/>
      </c>
      <c r="O44" s="78">
        <f>IF(OR(L44="",M44&lt;&gt;"Yes"),"",IF(COUNTIFS('Vault'!$C$6:$C$1005,"Insurance",'Vault'!$D$6:$D$1005,L44)&gt;0,"✓","✗ missing"))</f>
        <v/>
      </c>
      <c r="P44" s="78">
        <f>IF(OR(L44="",M44&lt;&gt;"Yes"),"",IF(COUNTIFS('Vault'!$C$6:$C$1005,"Quote",'Vault'!$D$6:$D$1005,L44)&gt;0,"✓","✗ missing"))</f>
        <v/>
      </c>
      <c r="Q44" s="78">
        <f>IF(N44="","",IF(AND(N44="✓",O44="✓",P44="✓"),"✓ Complete","Missing documents"))</f>
        <v/>
      </c>
      <c r="R44" s="79">
        <f>IF(Q44="","",IF(Q44="✓ Complete",0,1))</f>
        <v/>
      </c>
    </row>
    <row r="45" ht="20" customHeight="1">
      <c r="B45" s="72" t="inlineStr">
        <is>
          <t>Kitchen — pipes &amp; cables</t>
        </is>
      </c>
      <c r="C45" s="72" t="inlineStr">
        <is>
          <t>Photo</t>
        </is>
      </c>
      <c r="D45" s="72" t="n"/>
      <c r="E45" s="72" t="inlineStr">
        <is>
          <t>Kitchen</t>
        </is>
      </c>
      <c r="F45" s="72" t="inlineStr">
        <is>
          <t>Rough-in</t>
        </is>
      </c>
      <c r="G45" s="109" t="n">
        <v>46185</v>
      </c>
      <c r="H45" s="72" t="n"/>
      <c r="I45" s="78">
        <f>IF(H45="","",HYPERLINK(H45,"Open ↗"))</f>
        <v/>
      </c>
      <c r="J45" s="72" t="n"/>
      <c r="L45" s="116">
        <f>IF('Contractors'!B45="","",'Contractors'!B45)</f>
        <v/>
      </c>
      <c r="M45" s="78">
        <f>IF(L45="","",'Contractors'!L45)</f>
        <v/>
      </c>
      <c r="N45" s="78">
        <f>IF(OR(L45="",M45&lt;&gt;"Yes"),"",IF(COUNTIFS('Vault'!$C$6:$C$1005,"Contract",'Vault'!$D$6:$D$1005,L45)&gt;0,"✓","✗ missing"))</f>
        <v/>
      </c>
      <c r="O45" s="78">
        <f>IF(OR(L45="",M45&lt;&gt;"Yes"),"",IF(COUNTIFS('Vault'!$C$6:$C$1005,"Insurance",'Vault'!$D$6:$D$1005,L45)&gt;0,"✓","✗ missing"))</f>
        <v/>
      </c>
      <c r="P45" s="78">
        <f>IF(OR(L45="",M45&lt;&gt;"Yes"),"",IF(COUNTIFS('Vault'!$C$6:$C$1005,"Quote",'Vault'!$D$6:$D$1005,L45)&gt;0,"✓","✗ missing"))</f>
        <v/>
      </c>
      <c r="Q45" s="78">
        <f>IF(N45="","",IF(AND(N45="✓",O45="✓",P45="✓"),"✓ Complete","Missing documents"))</f>
        <v/>
      </c>
      <c r="R45" s="79">
        <f>IF(Q45="","",IF(Q45="✓ Complete",0,1))</f>
        <v/>
      </c>
    </row>
    <row r="46" ht="20" customHeight="1">
      <c r="B46" s="72" t="n"/>
      <c r="C46" s="72" t="n"/>
      <c r="D46" s="72" t="n"/>
      <c r="E46" s="72" t="n"/>
      <c r="F46" s="72" t="n"/>
      <c r="G46" s="109" t="n"/>
      <c r="H46" s="72" t="n"/>
      <c r="I46" s="78">
        <f>IF(H46="","",HYPERLINK(H46,"Open ↗"))</f>
        <v/>
      </c>
      <c r="J46" s="72" t="n"/>
      <c r="L46" s="116">
        <f>IF('Contractors'!B46="","",'Contractors'!B46)</f>
        <v/>
      </c>
      <c r="M46" s="78">
        <f>IF(L46="","",'Contractors'!L46)</f>
        <v/>
      </c>
      <c r="N46" s="78">
        <f>IF(OR(L46="",M46&lt;&gt;"Yes"),"",IF(COUNTIFS('Vault'!$C$6:$C$1005,"Contract",'Vault'!$D$6:$D$1005,L46)&gt;0,"✓","✗ missing"))</f>
        <v/>
      </c>
      <c r="O46" s="78">
        <f>IF(OR(L46="",M46&lt;&gt;"Yes"),"",IF(COUNTIFS('Vault'!$C$6:$C$1005,"Insurance",'Vault'!$D$6:$D$1005,L46)&gt;0,"✓","✗ missing"))</f>
        <v/>
      </c>
      <c r="P46" s="78">
        <f>IF(OR(L46="",M46&lt;&gt;"Yes"),"",IF(COUNTIFS('Vault'!$C$6:$C$1005,"Quote",'Vault'!$D$6:$D$1005,L46)&gt;0,"✓","✗ missing"))</f>
        <v/>
      </c>
      <c r="Q46" s="78">
        <f>IF(N46="","",IF(AND(N46="✓",O46="✓",P46="✓"),"✓ Complete","Missing documents"))</f>
        <v/>
      </c>
      <c r="R46" s="79">
        <f>IF(Q46="","",IF(Q46="✓ Complete",0,1))</f>
        <v/>
      </c>
    </row>
    <row r="47" ht="20" customHeight="1">
      <c r="B47" s="72" t="n"/>
      <c r="C47" s="72" t="n"/>
      <c r="D47" s="72" t="n"/>
      <c r="E47" s="72" t="n"/>
      <c r="F47" s="72" t="n"/>
      <c r="G47" s="109" t="n"/>
      <c r="H47" s="72" t="n"/>
      <c r="I47" s="78">
        <f>IF(H47="","",HYPERLINK(H47,"Open ↗"))</f>
        <v/>
      </c>
      <c r="J47" s="72" t="n"/>
      <c r="L47" s="116">
        <f>IF('Contractors'!B47="","",'Contractors'!B47)</f>
        <v/>
      </c>
      <c r="M47" s="78">
        <f>IF(L47="","",'Contractors'!L47)</f>
        <v/>
      </c>
      <c r="N47" s="78">
        <f>IF(OR(L47="",M47&lt;&gt;"Yes"),"",IF(COUNTIFS('Vault'!$C$6:$C$1005,"Contract",'Vault'!$D$6:$D$1005,L47)&gt;0,"✓","✗ missing"))</f>
        <v/>
      </c>
      <c r="O47" s="78">
        <f>IF(OR(L47="",M47&lt;&gt;"Yes"),"",IF(COUNTIFS('Vault'!$C$6:$C$1005,"Insurance",'Vault'!$D$6:$D$1005,L47)&gt;0,"✓","✗ missing"))</f>
        <v/>
      </c>
      <c r="P47" s="78">
        <f>IF(OR(L47="",M47&lt;&gt;"Yes"),"",IF(COUNTIFS('Vault'!$C$6:$C$1005,"Quote",'Vault'!$D$6:$D$1005,L47)&gt;0,"✓","✗ missing"))</f>
        <v/>
      </c>
      <c r="Q47" s="78">
        <f>IF(N47="","",IF(AND(N47="✓",O47="✓",P47="✓"),"✓ Complete","Missing documents"))</f>
        <v/>
      </c>
      <c r="R47" s="79">
        <f>IF(Q47="","",IF(Q47="✓ Complete",0,1))</f>
        <v/>
      </c>
    </row>
    <row r="48" ht="20" customHeight="1">
      <c r="B48" s="72" t="n"/>
      <c r="C48" s="72" t="n"/>
      <c r="D48" s="72" t="n"/>
      <c r="E48" s="72" t="n"/>
      <c r="F48" s="72" t="n"/>
      <c r="G48" s="109" t="n"/>
      <c r="H48" s="72" t="n"/>
      <c r="I48" s="78">
        <f>IF(H48="","",HYPERLINK(H48,"Open ↗"))</f>
        <v/>
      </c>
      <c r="J48" s="72" t="n"/>
      <c r="L48" s="116">
        <f>IF('Contractors'!B48="","",'Contractors'!B48)</f>
        <v/>
      </c>
      <c r="M48" s="78">
        <f>IF(L48="","",'Contractors'!L48)</f>
        <v/>
      </c>
      <c r="N48" s="78">
        <f>IF(OR(L48="",M48&lt;&gt;"Yes"),"",IF(COUNTIFS('Vault'!$C$6:$C$1005,"Contract",'Vault'!$D$6:$D$1005,L48)&gt;0,"✓","✗ missing"))</f>
        <v/>
      </c>
      <c r="O48" s="78">
        <f>IF(OR(L48="",M48&lt;&gt;"Yes"),"",IF(COUNTIFS('Vault'!$C$6:$C$1005,"Insurance",'Vault'!$D$6:$D$1005,L48)&gt;0,"✓","✗ missing"))</f>
        <v/>
      </c>
      <c r="P48" s="78">
        <f>IF(OR(L48="",M48&lt;&gt;"Yes"),"",IF(COUNTIFS('Vault'!$C$6:$C$1005,"Quote",'Vault'!$D$6:$D$1005,L48)&gt;0,"✓","✗ missing"))</f>
        <v/>
      </c>
      <c r="Q48" s="78">
        <f>IF(N48="","",IF(AND(N48="✓",O48="✓",P48="✓"),"✓ Complete","Missing documents"))</f>
        <v/>
      </c>
      <c r="R48" s="79">
        <f>IF(Q48="","",IF(Q48="✓ Complete",0,1))</f>
        <v/>
      </c>
    </row>
    <row r="49" ht="20" customHeight="1">
      <c r="B49" s="72" t="n"/>
      <c r="C49" s="72" t="n"/>
      <c r="D49" s="72" t="n"/>
      <c r="E49" s="72" t="n"/>
      <c r="F49" s="72" t="n"/>
      <c r="G49" s="109" t="n"/>
      <c r="H49" s="72" t="n"/>
      <c r="I49" s="78">
        <f>IF(H49="","",HYPERLINK(H49,"Open ↗"))</f>
        <v/>
      </c>
      <c r="J49" s="72" t="n"/>
      <c r="L49" s="116">
        <f>IF('Contractors'!B49="","",'Contractors'!B49)</f>
        <v/>
      </c>
      <c r="M49" s="78">
        <f>IF(L49="","",'Contractors'!L49)</f>
        <v/>
      </c>
      <c r="N49" s="78">
        <f>IF(OR(L49="",M49&lt;&gt;"Yes"),"",IF(COUNTIFS('Vault'!$C$6:$C$1005,"Contract",'Vault'!$D$6:$D$1005,L49)&gt;0,"✓","✗ missing"))</f>
        <v/>
      </c>
      <c r="O49" s="78">
        <f>IF(OR(L49="",M49&lt;&gt;"Yes"),"",IF(COUNTIFS('Vault'!$C$6:$C$1005,"Insurance",'Vault'!$D$6:$D$1005,L49)&gt;0,"✓","✗ missing"))</f>
        <v/>
      </c>
      <c r="P49" s="78">
        <f>IF(OR(L49="",M49&lt;&gt;"Yes"),"",IF(COUNTIFS('Vault'!$C$6:$C$1005,"Quote",'Vault'!$D$6:$D$1005,L49)&gt;0,"✓","✗ missing"))</f>
        <v/>
      </c>
      <c r="Q49" s="78">
        <f>IF(N49="","",IF(AND(N49="✓",O49="✓",P49="✓"),"✓ Complete","Missing documents"))</f>
        <v/>
      </c>
      <c r="R49" s="79">
        <f>IF(Q49="","",IF(Q49="✓ Complete",0,1))</f>
        <v/>
      </c>
    </row>
    <row r="50" ht="20" customHeight="1">
      <c r="B50" s="72" t="n"/>
      <c r="C50" s="72" t="n"/>
      <c r="D50" s="72" t="n"/>
      <c r="E50" s="72" t="n"/>
      <c r="F50" s="72" t="n"/>
      <c r="G50" s="109" t="n"/>
      <c r="H50" s="72" t="n"/>
      <c r="I50" s="78">
        <f>IF(H50="","",HYPERLINK(H50,"Open ↗"))</f>
        <v/>
      </c>
      <c r="J50" s="72" t="n"/>
      <c r="L50" s="116">
        <f>IF('Contractors'!B50="","",'Contractors'!B50)</f>
        <v/>
      </c>
      <c r="M50" s="78">
        <f>IF(L50="","",'Contractors'!L50)</f>
        <v/>
      </c>
      <c r="N50" s="78">
        <f>IF(OR(L50="",M50&lt;&gt;"Yes"),"",IF(COUNTIFS('Vault'!$C$6:$C$1005,"Contract",'Vault'!$D$6:$D$1005,L50)&gt;0,"✓","✗ missing"))</f>
        <v/>
      </c>
      <c r="O50" s="78">
        <f>IF(OR(L50="",M50&lt;&gt;"Yes"),"",IF(COUNTIFS('Vault'!$C$6:$C$1005,"Insurance",'Vault'!$D$6:$D$1005,L50)&gt;0,"✓","✗ missing"))</f>
        <v/>
      </c>
      <c r="P50" s="78">
        <f>IF(OR(L50="",M50&lt;&gt;"Yes"),"",IF(COUNTIFS('Vault'!$C$6:$C$1005,"Quote",'Vault'!$D$6:$D$1005,L50)&gt;0,"✓","✗ missing"))</f>
        <v/>
      </c>
      <c r="Q50" s="78">
        <f>IF(N50="","",IF(AND(N50="✓",O50="✓",P50="✓"),"✓ Complete","Missing documents"))</f>
        <v/>
      </c>
      <c r="R50" s="79">
        <f>IF(Q50="","",IF(Q50="✓ Complete",0,1))</f>
        <v/>
      </c>
    </row>
    <row r="51" ht="20" customHeight="1">
      <c r="B51" s="72" t="n"/>
      <c r="C51" s="72" t="n"/>
      <c r="D51" s="72" t="n"/>
      <c r="E51" s="72" t="n"/>
      <c r="F51" s="72" t="n"/>
      <c r="G51" s="109" t="n"/>
      <c r="H51" s="72" t="n"/>
      <c r="I51" s="78">
        <f>IF(H51="","",HYPERLINK(H51,"Open ↗"))</f>
        <v/>
      </c>
      <c r="J51" s="72" t="n"/>
      <c r="L51" s="116">
        <f>IF('Contractors'!B51="","",'Contractors'!B51)</f>
        <v/>
      </c>
      <c r="M51" s="78">
        <f>IF(L51="","",'Contractors'!L51)</f>
        <v/>
      </c>
      <c r="N51" s="78">
        <f>IF(OR(L51="",M51&lt;&gt;"Yes"),"",IF(COUNTIFS('Vault'!$C$6:$C$1005,"Contract",'Vault'!$D$6:$D$1005,L51)&gt;0,"✓","✗ missing"))</f>
        <v/>
      </c>
      <c r="O51" s="78">
        <f>IF(OR(L51="",M51&lt;&gt;"Yes"),"",IF(COUNTIFS('Vault'!$C$6:$C$1005,"Insurance",'Vault'!$D$6:$D$1005,L51)&gt;0,"✓","✗ missing"))</f>
        <v/>
      </c>
      <c r="P51" s="78">
        <f>IF(OR(L51="",M51&lt;&gt;"Yes"),"",IF(COUNTIFS('Vault'!$C$6:$C$1005,"Quote",'Vault'!$D$6:$D$1005,L51)&gt;0,"✓","✗ missing"))</f>
        <v/>
      </c>
      <c r="Q51" s="78">
        <f>IF(N51="","",IF(AND(N51="✓",O51="✓",P51="✓"),"✓ Complete","Missing documents"))</f>
        <v/>
      </c>
      <c r="R51" s="79">
        <f>IF(Q51="","",IF(Q51="✓ Complete",0,1))</f>
        <v/>
      </c>
    </row>
    <row r="52" ht="20" customHeight="1">
      <c r="B52" s="72" t="n"/>
      <c r="C52" s="72" t="n"/>
      <c r="D52" s="72" t="n"/>
      <c r="E52" s="72" t="n"/>
      <c r="F52" s="72" t="n"/>
      <c r="G52" s="109" t="n"/>
      <c r="H52" s="72" t="n"/>
      <c r="I52" s="78">
        <f>IF(H52="","",HYPERLINK(H52,"Open ↗"))</f>
        <v/>
      </c>
      <c r="J52" s="72" t="n"/>
      <c r="L52" s="116">
        <f>IF('Contractors'!B52="","",'Contractors'!B52)</f>
        <v/>
      </c>
      <c r="M52" s="78">
        <f>IF(L52="","",'Contractors'!L52)</f>
        <v/>
      </c>
      <c r="N52" s="78">
        <f>IF(OR(L52="",M52&lt;&gt;"Yes"),"",IF(COUNTIFS('Vault'!$C$6:$C$1005,"Contract",'Vault'!$D$6:$D$1005,L52)&gt;0,"✓","✗ missing"))</f>
        <v/>
      </c>
      <c r="O52" s="78">
        <f>IF(OR(L52="",M52&lt;&gt;"Yes"),"",IF(COUNTIFS('Vault'!$C$6:$C$1005,"Insurance",'Vault'!$D$6:$D$1005,L52)&gt;0,"✓","✗ missing"))</f>
        <v/>
      </c>
      <c r="P52" s="78">
        <f>IF(OR(L52="",M52&lt;&gt;"Yes"),"",IF(COUNTIFS('Vault'!$C$6:$C$1005,"Quote",'Vault'!$D$6:$D$1005,L52)&gt;0,"✓","✗ missing"))</f>
        <v/>
      </c>
      <c r="Q52" s="78">
        <f>IF(N52="","",IF(AND(N52="✓",O52="✓",P52="✓"),"✓ Complete","Missing documents"))</f>
        <v/>
      </c>
      <c r="R52" s="79">
        <f>IF(Q52="","",IF(Q52="✓ Complete",0,1))</f>
        <v/>
      </c>
    </row>
    <row r="53" ht="20" customHeight="1">
      <c r="B53" s="72" t="n"/>
      <c r="C53" s="72" t="n"/>
      <c r="D53" s="72" t="n"/>
      <c r="E53" s="72" t="n"/>
      <c r="F53" s="72" t="n"/>
      <c r="G53" s="109" t="n"/>
      <c r="H53" s="72" t="n"/>
      <c r="I53" s="78">
        <f>IF(H53="","",HYPERLINK(H53,"Open ↗"))</f>
        <v/>
      </c>
      <c r="J53" s="72" t="n"/>
      <c r="L53" s="116">
        <f>IF('Contractors'!B53="","",'Contractors'!B53)</f>
        <v/>
      </c>
      <c r="M53" s="78">
        <f>IF(L53="","",'Contractors'!L53)</f>
        <v/>
      </c>
      <c r="N53" s="78">
        <f>IF(OR(L53="",M53&lt;&gt;"Yes"),"",IF(COUNTIFS('Vault'!$C$6:$C$1005,"Contract",'Vault'!$D$6:$D$1005,L53)&gt;0,"✓","✗ missing"))</f>
        <v/>
      </c>
      <c r="O53" s="78">
        <f>IF(OR(L53="",M53&lt;&gt;"Yes"),"",IF(COUNTIFS('Vault'!$C$6:$C$1005,"Insurance",'Vault'!$D$6:$D$1005,L53)&gt;0,"✓","✗ missing"))</f>
        <v/>
      </c>
      <c r="P53" s="78">
        <f>IF(OR(L53="",M53&lt;&gt;"Yes"),"",IF(COUNTIFS('Vault'!$C$6:$C$1005,"Quote",'Vault'!$D$6:$D$1005,L53)&gt;0,"✓","✗ missing"))</f>
        <v/>
      </c>
      <c r="Q53" s="78">
        <f>IF(N53="","",IF(AND(N53="✓",O53="✓",P53="✓"),"✓ Complete","Missing documents"))</f>
        <v/>
      </c>
      <c r="R53" s="79">
        <f>IF(Q53="","",IF(Q53="✓ Complete",0,1))</f>
        <v/>
      </c>
    </row>
    <row r="54" ht="20" customHeight="1">
      <c r="B54" s="72" t="n"/>
      <c r="C54" s="72" t="n"/>
      <c r="D54" s="72" t="n"/>
      <c r="E54" s="72" t="n"/>
      <c r="F54" s="72" t="n"/>
      <c r="G54" s="109" t="n"/>
      <c r="H54" s="72" t="n"/>
      <c r="I54" s="78">
        <f>IF(H54="","",HYPERLINK(H54,"Open ↗"))</f>
        <v/>
      </c>
      <c r="J54" s="72" t="n"/>
      <c r="L54" s="116">
        <f>IF('Contractors'!B54="","",'Contractors'!B54)</f>
        <v/>
      </c>
      <c r="M54" s="78">
        <f>IF(L54="","",'Contractors'!L54)</f>
        <v/>
      </c>
      <c r="N54" s="78">
        <f>IF(OR(L54="",M54&lt;&gt;"Yes"),"",IF(COUNTIFS('Vault'!$C$6:$C$1005,"Contract",'Vault'!$D$6:$D$1005,L54)&gt;0,"✓","✗ missing"))</f>
        <v/>
      </c>
      <c r="O54" s="78">
        <f>IF(OR(L54="",M54&lt;&gt;"Yes"),"",IF(COUNTIFS('Vault'!$C$6:$C$1005,"Insurance",'Vault'!$D$6:$D$1005,L54)&gt;0,"✓","✗ missing"))</f>
        <v/>
      </c>
      <c r="P54" s="78">
        <f>IF(OR(L54="",M54&lt;&gt;"Yes"),"",IF(COUNTIFS('Vault'!$C$6:$C$1005,"Quote",'Vault'!$D$6:$D$1005,L54)&gt;0,"✓","✗ missing"))</f>
        <v/>
      </c>
      <c r="Q54" s="78">
        <f>IF(N54="","",IF(AND(N54="✓",O54="✓",P54="✓"),"✓ Complete","Missing documents"))</f>
        <v/>
      </c>
      <c r="R54" s="79">
        <f>IF(Q54="","",IF(Q54="✓ Complete",0,1))</f>
        <v/>
      </c>
    </row>
    <row r="55" ht="20" customHeight="1">
      <c r="B55" s="72" t="n"/>
      <c r="C55" s="72" t="n"/>
      <c r="D55" s="72" t="n"/>
      <c r="E55" s="72" t="n"/>
      <c r="F55" s="72" t="n"/>
      <c r="G55" s="109" t="n"/>
      <c r="H55" s="72" t="n"/>
      <c r="I55" s="78">
        <f>IF(H55="","",HYPERLINK(H55,"Open ↗"))</f>
        <v/>
      </c>
      <c r="J55" s="72" t="n"/>
      <c r="L55" s="116">
        <f>IF('Contractors'!B55="","",'Contractors'!B55)</f>
        <v/>
      </c>
      <c r="M55" s="78">
        <f>IF(L55="","",'Contractors'!L55)</f>
        <v/>
      </c>
      <c r="N55" s="78">
        <f>IF(OR(L55="",M55&lt;&gt;"Yes"),"",IF(COUNTIFS('Vault'!$C$6:$C$1005,"Contract",'Vault'!$D$6:$D$1005,L55)&gt;0,"✓","✗ missing"))</f>
        <v/>
      </c>
      <c r="O55" s="78">
        <f>IF(OR(L55="",M55&lt;&gt;"Yes"),"",IF(COUNTIFS('Vault'!$C$6:$C$1005,"Insurance",'Vault'!$D$6:$D$1005,L55)&gt;0,"✓","✗ missing"))</f>
        <v/>
      </c>
      <c r="P55" s="78">
        <f>IF(OR(L55="",M55&lt;&gt;"Yes"),"",IF(COUNTIFS('Vault'!$C$6:$C$1005,"Quote",'Vault'!$D$6:$D$1005,L55)&gt;0,"✓","✗ missing"))</f>
        <v/>
      </c>
      <c r="Q55" s="78">
        <f>IF(N55="","",IF(AND(N55="✓",O55="✓",P55="✓"),"✓ Complete","Missing documents"))</f>
        <v/>
      </c>
      <c r="R55" s="79">
        <f>IF(Q55="","",IF(Q55="✓ Complete",0,1))</f>
        <v/>
      </c>
    </row>
    <row r="56" ht="20" customHeight="1">
      <c r="B56" s="72" t="n"/>
      <c r="C56" s="72" t="n"/>
      <c r="D56" s="72" t="n"/>
      <c r="E56" s="72" t="n"/>
      <c r="F56" s="72" t="n"/>
      <c r="G56" s="109" t="n"/>
      <c r="H56" s="72" t="n"/>
      <c r="I56" s="78">
        <f>IF(H56="","",HYPERLINK(H56,"Open ↗"))</f>
        <v/>
      </c>
      <c r="J56" s="72" t="n"/>
      <c r="L56" s="116">
        <f>IF('Contractors'!B56="","",'Contractors'!B56)</f>
        <v/>
      </c>
      <c r="M56" s="78">
        <f>IF(L56="","",'Contractors'!L56)</f>
        <v/>
      </c>
      <c r="N56" s="78">
        <f>IF(OR(L56="",M56&lt;&gt;"Yes"),"",IF(COUNTIFS('Vault'!$C$6:$C$1005,"Contract",'Vault'!$D$6:$D$1005,L56)&gt;0,"✓","✗ missing"))</f>
        <v/>
      </c>
      <c r="O56" s="78">
        <f>IF(OR(L56="",M56&lt;&gt;"Yes"),"",IF(COUNTIFS('Vault'!$C$6:$C$1005,"Insurance",'Vault'!$D$6:$D$1005,L56)&gt;0,"✓","✗ missing"))</f>
        <v/>
      </c>
      <c r="P56" s="78">
        <f>IF(OR(L56="",M56&lt;&gt;"Yes"),"",IF(COUNTIFS('Vault'!$C$6:$C$1005,"Quote",'Vault'!$D$6:$D$1005,L56)&gt;0,"✓","✗ missing"))</f>
        <v/>
      </c>
      <c r="Q56" s="78">
        <f>IF(N56="","",IF(AND(N56="✓",O56="✓",P56="✓"),"✓ Complete","Missing documents"))</f>
        <v/>
      </c>
      <c r="R56" s="79">
        <f>IF(Q56="","",IF(Q56="✓ Complete",0,1))</f>
        <v/>
      </c>
    </row>
    <row r="57" ht="20" customHeight="1">
      <c r="B57" s="72" t="n"/>
      <c r="C57" s="72" t="n"/>
      <c r="D57" s="72" t="n"/>
      <c r="E57" s="72" t="n"/>
      <c r="F57" s="72" t="n"/>
      <c r="G57" s="109" t="n"/>
      <c r="H57" s="72" t="n"/>
      <c r="I57" s="78">
        <f>IF(H57="","",HYPERLINK(H57,"Open ↗"))</f>
        <v/>
      </c>
      <c r="J57" s="72" t="n"/>
      <c r="L57" s="116">
        <f>IF('Contractors'!B57="","",'Contractors'!B57)</f>
        <v/>
      </c>
      <c r="M57" s="78">
        <f>IF(L57="","",'Contractors'!L57)</f>
        <v/>
      </c>
      <c r="N57" s="78">
        <f>IF(OR(L57="",M57&lt;&gt;"Yes"),"",IF(COUNTIFS('Vault'!$C$6:$C$1005,"Contract",'Vault'!$D$6:$D$1005,L57)&gt;0,"✓","✗ missing"))</f>
        <v/>
      </c>
      <c r="O57" s="78">
        <f>IF(OR(L57="",M57&lt;&gt;"Yes"),"",IF(COUNTIFS('Vault'!$C$6:$C$1005,"Insurance",'Vault'!$D$6:$D$1005,L57)&gt;0,"✓","✗ missing"))</f>
        <v/>
      </c>
      <c r="P57" s="78">
        <f>IF(OR(L57="",M57&lt;&gt;"Yes"),"",IF(COUNTIFS('Vault'!$C$6:$C$1005,"Quote",'Vault'!$D$6:$D$1005,L57)&gt;0,"✓","✗ missing"))</f>
        <v/>
      </c>
      <c r="Q57" s="78">
        <f>IF(N57="","",IF(AND(N57="✓",O57="✓",P57="✓"),"✓ Complete","Missing documents"))</f>
        <v/>
      </c>
      <c r="R57" s="79">
        <f>IF(Q57="","",IF(Q57="✓ Complete",0,1))</f>
        <v/>
      </c>
    </row>
    <row r="58" ht="20" customHeight="1">
      <c r="B58" s="72" t="n"/>
      <c r="C58" s="72" t="n"/>
      <c r="D58" s="72" t="n"/>
      <c r="E58" s="72" t="n"/>
      <c r="F58" s="72" t="n"/>
      <c r="G58" s="109" t="n"/>
      <c r="H58" s="72" t="n"/>
      <c r="I58" s="78">
        <f>IF(H58="","",HYPERLINK(H58,"Open ↗"))</f>
        <v/>
      </c>
      <c r="J58" s="72" t="n"/>
      <c r="L58" s="116">
        <f>IF('Contractors'!B58="","",'Contractors'!B58)</f>
        <v/>
      </c>
      <c r="M58" s="78">
        <f>IF(L58="","",'Contractors'!L58)</f>
        <v/>
      </c>
      <c r="N58" s="78">
        <f>IF(OR(L58="",M58&lt;&gt;"Yes"),"",IF(COUNTIFS('Vault'!$C$6:$C$1005,"Contract",'Vault'!$D$6:$D$1005,L58)&gt;0,"✓","✗ missing"))</f>
        <v/>
      </c>
      <c r="O58" s="78">
        <f>IF(OR(L58="",M58&lt;&gt;"Yes"),"",IF(COUNTIFS('Vault'!$C$6:$C$1005,"Insurance",'Vault'!$D$6:$D$1005,L58)&gt;0,"✓","✗ missing"))</f>
        <v/>
      </c>
      <c r="P58" s="78">
        <f>IF(OR(L58="",M58&lt;&gt;"Yes"),"",IF(COUNTIFS('Vault'!$C$6:$C$1005,"Quote",'Vault'!$D$6:$D$1005,L58)&gt;0,"✓","✗ missing"))</f>
        <v/>
      </c>
      <c r="Q58" s="78">
        <f>IF(N58="","",IF(AND(N58="✓",O58="✓",P58="✓"),"✓ Complete","Missing documents"))</f>
        <v/>
      </c>
      <c r="R58" s="79">
        <f>IF(Q58="","",IF(Q58="✓ Complete",0,1))</f>
        <v/>
      </c>
    </row>
    <row r="59" ht="20" customHeight="1">
      <c r="B59" s="72" t="n"/>
      <c r="C59" s="72" t="n"/>
      <c r="D59" s="72" t="n"/>
      <c r="E59" s="72" t="n"/>
      <c r="F59" s="72" t="n"/>
      <c r="G59" s="109" t="n"/>
      <c r="H59" s="72" t="n"/>
      <c r="I59" s="78">
        <f>IF(H59="","",HYPERLINK(H59,"Open ↗"))</f>
        <v/>
      </c>
      <c r="J59" s="72" t="n"/>
      <c r="L59" s="116">
        <f>IF('Contractors'!B59="","",'Contractors'!B59)</f>
        <v/>
      </c>
      <c r="M59" s="78">
        <f>IF(L59="","",'Contractors'!L59)</f>
        <v/>
      </c>
      <c r="N59" s="78">
        <f>IF(OR(L59="",M59&lt;&gt;"Yes"),"",IF(COUNTIFS('Vault'!$C$6:$C$1005,"Contract",'Vault'!$D$6:$D$1005,L59)&gt;0,"✓","✗ missing"))</f>
        <v/>
      </c>
      <c r="O59" s="78">
        <f>IF(OR(L59="",M59&lt;&gt;"Yes"),"",IF(COUNTIFS('Vault'!$C$6:$C$1005,"Insurance",'Vault'!$D$6:$D$1005,L59)&gt;0,"✓","✗ missing"))</f>
        <v/>
      </c>
      <c r="P59" s="78">
        <f>IF(OR(L59="",M59&lt;&gt;"Yes"),"",IF(COUNTIFS('Vault'!$C$6:$C$1005,"Quote",'Vault'!$D$6:$D$1005,L59)&gt;0,"✓","✗ missing"))</f>
        <v/>
      </c>
      <c r="Q59" s="78">
        <f>IF(N59="","",IF(AND(N59="✓",O59="✓",P59="✓"),"✓ Complete","Missing documents"))</f>
        <v/>
      </c>
      <c r="R59" s="79">
        <f>IF(Q59="","",IF(Q59="✓ Complete",0,1))</f>
        <v/>
      </c>
    </row>
    <row r="60" ht="20" customHeight="1">
      <c r="B60" s="72" t="n"/>
      <c r="C60" s="72" t="n"/>
      <c r="D60" s="72" t="n"/>
      <c r="E60" s="72" t="n"/>
      <c r="F60" s="72" t="n"/>
      <c r="G60" s="109" t="n"/>
      <c r="H60" s="72" t="n"/>
      <c r="I60" s="78">
        <f>IF(H60="","",HYPERLINK(H60,"Open ↗"))</f>
        <v/>
      </c>
      <c r="J60" s="72" t="n"/>
      <c r="L60" s="116">
        <f>IF('Contractors'!B60="","",'Contractors'!B60)</f>
        <v/>
      </c>
      <c r="M60" s="78">
        <f>IF(L60="","",'Contractors'!L60)</f>
        <v/>
      </c>
      <c r="N60" s="78">
        <f>IF(OR(L60="",M60&lt;&gt;"Yes"),"",IF(COUNTIFS('Vault'!$C$6:$C$1005,"Contract",'Vault'!$D$6:$D$1005,L60)&gt;0,"✓","✗ missing"))</f>
        <v/>
      </c>
      <c r="O60" s="78">
        <f>IF(OR(L60="",M60&lt;&gt;"Yes"),"",IF(COUNTIFS('Vault'!$C$6:$C$1005,"Insurance",'Vault'!$D$6:$D$1005,L60)&gt;0,"✓","✗ missing"))</f>
        <v/>
      </c>
      <c r="P60" s="78">
        <f>IF(OR(L60="",M60&lt;&gt;"Yes"),"",IF(COUNTIFS('Vault'!$C$6:$C$1005,"Quote",'Vault'!$D$6:$D$1005,L60)&gt;0,"✓","✗ missing"))</f>
        <v/>
      </c>
      <c r="Q60" s="78">
        <f>IF(N60="","",IF(AND(N60="✓",O60="✓",P60="✓"),"✓ Complete","Missing documents"))</f>
        <v/>
      </c>
      <c r="R60" s="79">
        <f>IF(Q60="","",IF(Q60="✓ Complete",0,1))</f>
        <v/>
      </c>
    </row>
    <row r="61" ht="20" customHeight="1">
      <c r="B61" s="72" t="n"/>
      <c r="C61" s="72" t="n"/>
      <c r="D61" s="72" t="n"/>
      <c r="E61" s="72" t="n"/>
      <c r="F61" s="72" t="n"/>
      <c r="G61" s="109" t="n"/>
      <c r="H61" s="72" t="n"/>
      <c r="I61" s="78">
        <f>IF(H61="","",HYPERLINK(H61,"Open ↗"))</f>
        <v/>
      </c>
      <c r="J61" s="72" t="n"/>
      <c r="L61" s="116">
        <f>IF('Contractors'!B61="","",'Contractors'!B61)</f>
        <v/>
      </c>
      <c r="M61" s="78">
        <f>IF(L61="","",'Contractors'!L61)</f>
        <v/>
      </c>
      <c r="N61" s="78">
        <f>IF(OR(L61="",M61&lt;&gt;"Yes"),"",IF(COUNTIFS('Vault'!$C$6:$C$1005,"Contract",'Vault'!$D$6:$D$1005,L61)&gt;0,"✓","✗ missing"))</f>
        <v/>
      </c>
      <c r="O61" s="78">
        <f>IF(OR(L61="",M61&lt;&gt;"Yes"),"",IF(COUNTIFS('Vault'!$C$6:$C$1005,"Insurance",'Vault'!$D$6:$D$1005,L61)&gt;0,"✓","✗ missing"))</f>
        <v/>
      </c>
      <c r="P61" s="78">
        <f>IF(OR(L61="",M61&lt;&gt;"Yes"),"",IF(COUNTIFS('Vault'!$C$6:$C$1005,"Quote",'Vault'!$D$6:$D$1005,L61)&gt;0,"✓","✗ missing"))</f>
        <v/>
      </c>
      <c r="Q61" s="78">
        <f>IF(N61="","",IF(AND(N61="✓",O61="✓",P61="✓"),"✓ Complete","Missing documents"))</f>
        <v/>
      </c>
      <c r="R61" s="79">
        <f>IF(Q61="","",IF(Q61="✓ Complete",0,1))</f>
        <v/>
      </c>
    </row>
    <row r="62" ht="20" customHeight="1">
      <c r="B62" s="72" t="n"/>
      <c r="C62" s="72" t="n"/>
      <c r="D62" s="72" t="n"/>
      <c r="E62" s="72" t="n"/>
      <c r="F62" s="72" t="n"/>
      <c r="G62" s="109" t="n"/>
      <c r="H62" s="72" t="n"/>
      <c r="I62" s="78">
        <f>IF(H62="","",HYPERLINK(H62,"Open ↗"))</f>
        <v/>
      </c>
      <c r="J62" s="72" t="n"/>
      <c r="L62" s="116">
        <f>IF('Contractors'!B62="","",'Contractors'!B62)</f>
        <v/>
      </c>
      <c r="M62" s="78">
        <f>IF(L62="","",'Contractors'!L62)</f>
        <v/>
      </c>
      <c r="N62" s="78">
        <f>IF(OR(L62="",M62&lt;&gt;"Yes"),"",IF(COUNTIFS('Vault'!$C$6:$C$1005,"Contract",'Vault'!$D$6:$D$1005,L62)&gt;0,"✓","✗ missing"))</f>
        <v/>
      </c>
      <c r="O62" s="78">
        <f>IF(OR(L62="",M62&lt;&gt;"Yes"),"",IF(COUNTIFS('Vault'!$C$6:$C$1005,"Insurance",'Vault'!$D$6:$D$1005,L62)&gt;0,"✓","✗ missing"))</f>
        <v/>
      </c>
      <c r="P62" s="78">
        <f>IF(OR(L62="",M62&lt;&gt;"Yes"),"",IF(COUNTIFS('Vault'!$C$6:$C$1005,"Quote",'Vault'!$D$6:$D$1005,L62)&gt;0,"✓","✗ missing"))</f>
        <v/>
      </c>
      <c r="Q62" s="78">
        <f>IF(N62="","",IF(AND(N62="✓",O62="✓",P62="✓"),"✓ Complete","Missing documents"))</f>
        <v/>
      </c>
      <c r="R62" s="79">
        <f>IF(Q62="","",IF(Q62="✓ Complete",0,1))</f>
        <v/>
      </c>
    </row>
    <row r="63" ht="20" customHeight="1">
      <c r="B63" s="72" t="n"/>
      <c r="C63" s="72" t="n"/>
      <c r="D63" s="72" t="n"/>
      <c r="E63" s="72" t="n"/>
      <c r="F63" s="72" t="n"/>
      <c r="G63" s="109" t="n"/>
      <c r="H63" s="72" t="n"/>
      <c r="I63" s="78">
        <f>IF(H63="","",HYPERLINK(H63,"Open ↗"))</f>
        <v/>
      </c>
      <c r="J63" s="72" t="n"/>
      <c r="L63" s="116">
        <f>IF('Contractors'!B63="","",'Contractors'!B63)</f>
        <v/>
      </c>
      <c r="M63" s="78">
        <f>IF(L63="","",'Contractors'!L63)</f>
        <v/>
      </c>
      <c r="N63" s="78">
        <f>IF(OR(L63="",M63&lt;&gt;"Yes"),"",IF(COUNTIFS('Vault'!$C$6:$C$1005,"Contract",'Vault'!$D$6:$D$1005,L63)&gt;0,"✓","✗ missing"))</f>
        <v/>
      </c>
      <c r="O63" s="78">
        <f>IF(OR(L63="",M63&lt;&gt;"Yes"),"",IF(COUNTIFS('Vault'!$C$6:$C$1005,"Insurance",'Vault'!$D$6:$D$1005,L63)&gt;0,"✓","✗ missing"))</f>
        <v/>
      </c>
      <c r="P63" s="78">
        <f>IF(OR(L63="",M63&lt;&gt;"Yes"),"",IF(COUNTIFS('Vault'!$C$6:$C$1005,"Quote",'Vault'!$D$6:$D$1005,L63)&gt;0,"✓","✗ missing"))</f>
        <v/>
      </c>
      <c r="Q63" s="78">
        <f>IF(N63="","",IF(AND(N63="✓",O63="✓",P63="✓"),"✓ Complete","Missing documents"))</f>
        <v/>
      </c>
      <c r="R63" s="79">
        <f>IF(Q63="","",IF(Q63="✓ Complete",0,1))</f>
        <v/>
      </c>
    </row>
    <row r="64" ht="20" customHeight="1">
      <c r="B64" s="72" t="n"/>
      <c r="C64" s="72" t="n"/>
      <c r="D64" s="72" t="n"/>
      <c r="E64" s="72" t="n"/>
      <c r="F64" s="72" t="n"/>
      <c r="G64" s="109" t="n"/>
      <c r="H64" s="72" t="n"/>
      <c r="I64" s="78">
        <f>IF(H64="","",HYPERLINK(H64,"Open ↗"))</f>
        <v/>
      </c>
      <c r="J64" s="72" t="n"/>
      <c r="L64" s="116">
        <f>IF('Contractors'!B64="","",'Contractors'!B64)</f>
        <v/>
      </c>
      <c r="M64" s="78">
        <f>IF(L64="","",'Contractors'!L64)</f>
        <v/>
      </c>
      <c r="N64" s="78">
        <f>IF(OR(L64="",M64&lt;&gt;"Yes"),"",IF(COUNTIFS('Vault'!$C$6:$C$1005,"Contract",'Vault'!$D$6:$D$1005,L64)&gt;0,"✓","✗ missing"))</f>
        <v/>
      </c>
      <c r="O64" s="78">
        <f>IF(OR(L64="",M64&lt;&gt;"Yes"),"",IF(COUNTIFS('Vault'!$C$6:$C$1005,"Insurance",'Vault'!$D$6:$D$1005,L64)&gt;0,"✓","✗ missing"))</f>
        <v/>
      </c>
      <c r="P64" s="78">
        <f>IF(OR(L64="",M64&lt;&gt;"Yes"),"",IF(COUNTIFS('Vault'!$C$6:$C$1005,"Quote",'Vault'!$D$6:$D$1005,L64)&gt;0,"✓","✗ missing"))</f>
        <v/>
      </c>
      <c r="Q64" s="78">
        <f>IF(N64="","",IF(AND(N64="✓",O64="✓",P64="✓"),"✓ Complete","Missing documents"))</f>
        <v/>
      </c>
      <c r="R64" s="79">
        <f>IF(Q64="","",IF(Q64="✓ Complete",0,1))</f>
        <v/>
      </c>
    </row>
    <row r="65" ht="20" customHeight="1">
      <c r="B65" s="72" t="n"/>
      <c r="C65" s="72" t="n"/>
      <c r="D65" s="72" t="n"/>
      <c r="E65" s="72" t="n"/>
      <c r="F65" s="72" t="n"/>
      <c r="G65" s="109" t="n"/>
      <c r="H65" s="72" t="n"/>
      <c r="I65" s="78">
        <f>IF(H65="","",HYPERLINK(H65,"Open ↗"))</f>
        <v/>
      </c>
      <c r="J65" s="72" t="n"/>
      <c r="L65" s="116">
        <f>IF('Contractors'!B65="","",'Contractors'!B65)</f>
        <v/>
      </c>
      <c r="M65" s="78">
        <f>IF(L65="","",'Contractors'!L65)</f>
        <v/>
      </c>
      <c r="N65" s="78">
        <f>IF(OR(L65="",M65&lt;&gt;"Yes"),"",IF(COUNTIFS('Vault'!$C$6:$C$1005,"Contract",'Vault'!$D$6:$D$1005,L65)&gt;0,"✓","✗ missing"))</f>
        <v/>
      </c>
      <c r="O65" s="78">
        <f>IF(OR(L65="",M65&lt;&gt;"Yes"),"",IF(COUNTIFS('Vault'!$C$6:$C$1005,"Insurance",'Vault'!$D$6:$D$1005,L65)&gt;0,"✓","✗ missing"))</f>
        <v/>
      </c>
      <c r="P65" s="78">
        <f>IF(OR(L65="",M65&lt;&gt;"Yes"),"",IF(COUNTIFS('Vault'!$C$6:$C$1005,"Quote",'Vault'!$D$6:$D$1005,L65)&gt;0,"✓","✗ missing"))</f>
        <v/>
      </c>
      <c r="Q65" s="78">
        <f>IF(N65="","",IF(AND(N65="✓",O65="✓",P65="✓"),"✓ Complete","Missing documents"))</f>
        <v/>
      </c>
      <c r="R65" s="79">
        <f>IF(Q65="","",IF(Q65="✓ Complete",0,1))</f>
        <v/>
      </c>
    </row>
    <row r="66" ht="20" customHeight="1">
      <c r="B66" s="72" t="n"/>
      <c r="C66" s="72" t="n"/>
      <c r="D66" s="72" t="n"/>
      <c r="E66" s="72" t="n"/>
      <c r="F66" s="72" t="n"/>
      <c r="G66" s="109" t="n"/>
      <c r="H66" s="72" t="n"/>
      <c r="I66" s="78">
        <f>IF(H66="","",HYPERLINK(H66,"Open ↗"))</f>
        <v/>
      </c>
      <c r="J66" s="72" t="n"/>
      <c r="L66" s="116">
        <f>IF('Contractors'!B66="","",'Contractors'!B66)</f>
        <v/>
      </c>
      <c r="M66" s="78">
        <f>IF(L66="","",'Contractors'!L66)</f>
        <v/>
      </c>
      <c r="N66" s="78">
        <f>IF(OR(L66="",M66&lt;&gt;"Yes"),"",IF(COUNTIFS('Vault'!$C$6:$C$1005,"Contract",'Vault'!$D$6:$D$1005,L66)&gt;0,"✓","✗ missing"))</f>
        <v/>
      </c>
      <c r="O66" s="78">
        <f>IF(OR(L66="",M66&lt;&gt;"Yes"),"",IF(COUNTIFS('Vault'!$C$6:$C$1005,"Insurance",'Vault'!$D$6:$D$1005,L66)&gt;0,"✓","✗ missing"))</f>
        <v/>
      </c>
      <c r="P66" s="78">
        <f>IF(OR(L66="",M66&lt;&gt;"Yes"),"",IF(COUNTIFS('Vault'!$C$6:$C$1005,"Quote",'Vault'!$D$6:$D$1005,L66)&gt;0,"✓","✗ missing"))</f>
        <v/>
      </c>
      <c r="Q66" s="78">
        <f>IF(N66="","",IF(AND(N66="✓",O66="✓",P66="✓"),"✓ Complete","Missing documents"))</f>
        <v/>
      </c>
      <c r="R66" s="79">
        <f>IF(Q66="","",IF(Q66="✓ Complete",0,1))</f>
        <v/>
      </c>
    </row>
    <row r="67" ht="20" customHeight="1">
      <c r="B67" s="72" t="n"/>
      <c r="C67" s="72" t="n"/>
      <c r="D67" s="72" t="n"/>
      <c r="E67" s="72" t="n"/>
      <c r="F67" s="72" t="n"/>
      <c r="G67" s="109" t="n"/>
      <c r="H67" s="72" t="n"/>
      <c r="I67" s="78">
        <f>IF(H67="","",HYPERLINK(H67,"Open ↗"))</f>
        <v/>
      </c>
      <c r="J67" s="72" t="n"/>
      <c r="L67" s="116">
        <f>IF('Contractors'!B67="","",'Contractors'!B67)</f>
        <v/>
      </c>
      <c r="M67" s="78">
        <f>IF(L67="","",'Contractors'!L67)</f>
        <v/>
      </c>
      <c r="N67" s="78">
        <f>IF(OR(L67="",M67&lt;&gt;"Yes"),"",IF(COUNTIFS('Vault'!$C$6:$C$1005,"Contract",'Vault'!$D$6:$D$1005,L67)&gt;0,"✓","✗ missing"))</f>
        <v/>
      </c>
      <c r="O67" s="78">
        <f>IF(OR(L67="",M67&lt;&gt;"Yes"),"",IF(COUNTIFS('Vault'!$C$6:$C$1005,"Insurance",'Vault'!$D$6:$D$1005,L67)&gt;0,"✓","✗ missing"))</f>
        <v/>
      </c>
      <c r="P67" s="78">
        <f>IF(OR(L67="",M67&lt;&gt;"Yes"),"",IF(COUNTIFS('Vault'!$C$6:$C$1005,"Quote",'Vault'!$D$6:$D$1005,L67)&gt;0,"✓","✗ missing"))</f>
        <v/>
      </c>
      <c r="Q67" s="78">
        <f>IF(N67="","",IF(AND(N67="✓",O67="✓",P67="✓"),"✓ Complete","Missing documents"))</f>
        <v/>
      </c>
      <c r="R67" s="79">
        <f>IF(Q67="","",IF(Q67="✓ Complete",0,1))</f>
        <v/>
      </c>
    </row>
    <row r="68" ht="20" customHeight="1">
      <c r="B68" s="72" t="n"/>
      <c r="C68" s="72" t="n"/>
      <c r="D68" s="72" t="n"/>
      <c r="E68" s="72" t="n"/>
      <c r="F68" s="72" t="n"/>
      <c r="G68" s="109" t="n"/>
      <c r="H68" s="72" t="n"/>
      <c r="I68" s="78">
        <f>IF(H68="","",HYPERLINK(H68,"Open ↗"))</f>
        <v/>
      </c>
      <c r="J68" s="72" t="n"/>
      <c r="L68" s="116">
        <f>IF('Contractors'!B68="","",'Contractors'!B68)</f>
        <v/>
      </c>
      <c r="M68" s="78">
        <f>IF(L68="","",'Contractors'!L68)</f>
        <v/>
      </c>
      <c r="N68" s="78">
        <f>IF(OR(L68="",M68&lt;&gt;"Yes"),"",IF(COUNTIFS('Vault'!$C$6:$C$1005,"Contract",'Vault'!$D$6:$D$1005,L68)&gt;0,"✓","✗ missing"))</f>
        <v/>
      </c>
      <c r="O68" s="78">
        <f>IF(OR(L68="",M68&lt;&gt;"Yes"),"",IF(COUNTIFS('Vault'!$C$6:$C$1005,"Insurance",'Vault'!$D$6:$D$1005,L68)&gt;0,"✓","✗ missing"))</f>
        <v/>
      </c>
      <c r="P68" s="78">
        <f>IF(OR(L68="",M68&lt;&gt;"Yes"),"",IF(COUNTIFS('Vault'!$C$6:$C$1005,"Quote",'Vault'!$D$6:$D$1005,L68)&gt;0,"✓","✗ missing"))</f>
        <v/>
      </c>
      <c r="Q68" s="78">
        <f>IF(N68="","",IF(AND(N68="✓",O68="✓",P68="✓"),"✓ Complete","Missing documents"))</f>
        <v/>
      </c>
      <c r="R68" s="79">
        <f>IF(Q68="","",IF(Q68="✓ Complete",0,1))</f>
        <v/>
      </c>
    </row>
    <row r="69" ht="20" customHeight="1">
      <c r="B69" s="72" t="n"/>
      <c r="C69" s="72" t="n"/>
      <c r="D69" s="72" t="n"/>
      <c r="E69" s="72" t="n"/>
      <c r="F69" s="72" t="n"/>
      <c r="G69" s="109" t="n"/>
      <c r="H69" s="72" t="n"/>
      <c r="I69" s="78">
        <f>IF(H69="","",HYPERLINK(H69,"Open ↗"))</f>
        <v/>
      </c>
      <c r="J69" s="72" t="n"/>
      <c r="L69" s="116">
        <f>IF('Contractors'!B69="","",'Contractors'!B69)</f>
        <v/>
      </c>
      <c r="M69" s="78">
        <f>IF(L69="","",'Contractors'!L69)</f>
        <v/>
      </c>
      <c r="N69" s="78">
        <f>IF(OR(L69="",M69&lt;&gt;"Yes"),"",IF(COUNTIFS('Vault'!$C$6:$C$1005,"Contract",'Vault'!$D$6:$D$1005,L69)&gt;0,"✓","✗ missing"))</f>
        <v/>
      </c>
      <c r="O69" s="78">
        <f>IF(OR(L69="",M69&lt;&gt;"Yes"),"",IF(COUNTIFS('Vault'!$C$6:$C$1005,"Insurance",'Vault'!$D$6:$D$1005,L69)&gt;0,"✓","✗ missing"))</f>
        <v/>
      </c>
      <c r="P69" s="78">
        <f>IF(OR(L69="",M69&lt;&gt;"Yes"),"",IF(COUNTIFS('Vault'!$C$6:$C$1005,"Quote",'Vault'!$D$6:$D$1005,L69)&gt;0,"✓","✗ missing"))</f>
        <v/>
      </c>
      <c r="Q69" s="78">
        <f>IF(N69="","",IF(AND(N69="✓",O69="✓",P69="✓"),"✓ Complete","Missing documents"))</f>
        <v/>
      </c>
      <c r="R69" s="79">
        <f>IF(Q69="","",IF(Q69="✓ Complete",0,1))</f>
        <v/>
      </c>
    </row>
    <row r="70" ht="20" customHeight="1">
      <c r="B70" s="72" t="n"/>
      <c r="C70" s="72" t="n"/>
      <c r="D70" s="72" t="n"/>
      <c r="E70" s="72" t="n"/>
      <c r="F70" s="72" t="n"/>
      <c r="G70" s="109" t="n"/>
      <c r="H70" s="72" t="n"/>
      <c r="I70" s="78">
        <f>IF(H70="","",HYPERLINK(H70,"Open ↗"))</f>
        <v/>
      </c>
      <c r="J70" s="72" t="n"/>
      <c r="L70" s="116">
        <f>IF('Contractors'!B70="","",'Contractors'!B70)</f>
        <v/>
      </c>
      <c r="M70" s="78">
        <f>IF(L70="","",'Contractors'!L70)</f>
        <v/>
      </c>
      <c r="N70" s="78">
        <f>IF(OR(L70="",M70&lt;&gt;"Yes"),"",IF(COUNTIFS('Vault'!$C$6:$C$1005,"Contract",'Vault'!$D$6:$D$1005,L70)&gt;0,"✓","✗ missing"))</f>
        <v/>
      </c>
      <c r="O70" s="78">
        <f>IF(OR(L70="",M70&lt;&gt;"Yes"),"",IF(COUNTIFS('Vault'!$C$6:$C$1005,"Insurance",'Vault'!$D$6:$D$1005,L70)&gt;0,"✓","✗ missing"))</f>
        <v/>
      </c>
      <c r="P70" s="78">
        <f>IF(OR(L70="",M70&lt;&gt;"Yes"),"",IF(COUNTIFS('Vault'!$C$6:$C$1005,"Quote",'Vault'!$D$6:$D$1005,L70)&gt;0,"✓","✗ missing"))</f>
        <v/>
      </c>
      <c r="Q70" s="78">
        <f>IF(N70="","",IF(AND(N70="✓",O70="✓",P70="✓"),"✓ Complete","Missing documents"))</f>
        <v/>
      </c>
      <c r="R70" s="79">
        <f>IF(Q70="","",IF(Q70="✓ Complete",0,1))</f>
        <v/>
      </c>
    </row>
    <row r="71" ht="20" customHeight="1">
      <c r="B71" s="72" t="n"/>
      <c r="C71" s="72" t="n"/>
      <c r="D71" s="72" t="n"/>
      <c r="E71" s="72" t="n"/>
      <c r="F71" s="72" t="n"/>
      <c r="G71" s="109" t="n"/>
      <c r="H71" s="72" t="n"/>
      <c r="I71" s="78">
        <f>IF(H71="","",HYPERLINK(H71,"Open ↗"))</f>
        <v/>
      </c>
      <c r="J71" s="72" t="n"/>
      <c r="L71" s="116">
        <f>IF('Contractors'!B71="","",'Contractors'!B71)</f>
        <v/>
      </c>
      <c r="M71" s="78">
        <f>IF(L71="","",'Contractors'!L71)</f>
        <v/>
      </c>
      <c r="N71" s="78">
        <f>IF(OR(L71="",M71&lt;&gt;"Yes"),"",IF(COUNTIFS('Vault'!$C$6:$C$1005,"Contract",'Vault'!$D$6:$D$1005,L71)&gt;0,"✓","✗ missing"))</f>
        <v/>
      </c>
      <c r="O71" s="78">
        <f>IF(OR(L71="",M71&lt;&gt;"Yes"),"",IF(COUNTIFS('Vault'!$C$6:$C$1005,"Insurance",'Vault'!$D$6:$D$1005,L71)&gt;0,"✓","✗ missing"))</f>
        <v/>
      </c>
      <c r="P71" s="78">
        <f>IF(OR(L71="",M71&lt;&gt;"Yes"),"",IF(COUNTIFS('Vault'!$C$6:$C$1005,"Quote",'Vault'!$D$6:$D$1005,L71)&gt;0,"✓","✗ missing"))</f>
        <v/>
      </c>
      <c r="Q71" s="78">
        <f>IF(N71="","",IF(AND(N71="✓",O71="✓",P71="✓"),"✓ Complete","Missing documents"))</f>
        <v/>
      </c>
      <c r="R71" s="79">
        <f>IF(Q71="","",IF(Q71="✓ Complete",0,1))</f>
        <v/>
      </c>
    </row>
    <row r="72" ht="20" customHeight="1">
      <c r="B72" s="72" t="n"/>
      <c r="C72" s="72" t="n"/>
      <c r="D72" s="72" t="n"/>
      <c r="E72" s="72" t="n"/>
      <c r="F72" s="72" t="n"/>
      <c r="G72" s="109" t="n"/>
      <c r="H72" s="72" t="n"/>
      <c r="I72" s="78">
        <f>IF(H72="","",HYPERLINK(H72,"Open ↗"))</f>
        <v/>
      </c>
      <c r="J72" s="72" t="n"/>
      <c r="L72" s="116">
        <f>IF('Contractors'!B72="","",'Contractors'!B72)</f>
        <v/>
      </c>
      <c r="M72" s="78">
        <f>IF(L72="","",'Contractors'!L72)</f>
        <v/>
      </c>
      <c r="N72" s="78">
        <f>IF(OR(L72="",M72&lt;&gt;"Yes"),"",IF(COUNTIFS('Vault'!$C$6:$C$1005,"Contract",'Vault'!$D$6:$D$1005,L72)&gt;0,"✓","✗ missing"))</f>
        <v/>
      </c>
      <c r="O72" s="78">
        <f>IF(OR(L72="",M72&lt;&gt;"Yes"),"",IF(COUNTIFS('Vault'!$C$6:$C$1005,"Insurance",'Vault'!$D$6:$D$1005,L72)&gt;0,"✓","✗ missing"))</f>
        <v/>
      </c>
      <c r="P72" s="78">
        <f>IF(OR(L72="",M72&lt;&gt;"Yes"),"",IF(COUNTIFS('Vault'!$C$6:$C$1005,"Quote",'Vault'!$D$6:$D$1005,L72)&gt;0,"✓","✗ missing"))</f>
        <v/>
      </c>
      <c r="Q72" s="78">
        <f>IF(N72="","",IF(AND(N72="✓",O72="✓",P72="✓"),"✓ Complete","Missing documents"))</f>
        <v/>
      </c>
      <c r="R72" s="79">
        <f>IF(Q72="","",IF(Q72="✓ Complete",0,1))</f>
        <v/>
      </c>
    </row>
    <row r="73" ht="20" customHeight="1">
      <c r="B73" s="72" t="n"/>
      <c r="C73" s="72" t="n"/>
      <c r="D73" s="72" t="n"/>
      <c r="E73" s="72" t="n"/>
      <c r="F73" s="72" t="n"/>
      <c r="G73" s="109" t="n"/>
      <c r="H73" s="72" t="n"/>
      <c r="I73" s="78">
        <f>IF(H73="","",HYPERLINK(H73,"Open ↗"))</f>
        <v/>
      </c>
      <c r="J73" s="72" t="n"/>
      <c r="L73" s="116">
        <f>IF('Contractors'!B73="","",'Contractors'!B73)</f>
        <v/>
      </c>
      <c r="M73" s="78">
        <f>IF(L73="","",'Contractors'!L73)</f>
        <v/>
      </c>
      <c r="N73" s="78">
        <f>IF(OR(L73="",M73&lt;&gt;"Yes"),"",IF(COUNTIFS('Vault'!$C$6:$C$1005,"Contract",'Vault'!$D$6:$D$1005,L73)&gt;0,"✓","✗ missing"))</f>
        <v/>
      </c>
      <c r="O73" s="78">
        <f>IF(OR(L73="",M73&lt;&gt;"Yes"),"",IF(COUNTIFS('Vault'!$C$6:$C$1005,"Insurance",'Vault'!$D$6:$D$1005,L73)&gt;0,"✓","✗ missing"))</f>
        <v/>
      </c>
      <c r="P73" s="78">
        <f>IF(OR(L73="",M73&lt;&gt;"Yes"),"",IF(COUNTIFS('Vault'!$C$6:$C$1005,"Quote",'Vault'!$D$6:$D$1005,L73)&gt;0,"✓","✗ missing"))</f>
        <v/>
      </c>
      <c r="Q73" s="78">
        <f>IF(N73="","",IF(AND(N73="✓",O73="✓",P73="✓"),"✓ Complete","Missing documents"))</f>
        <v/>
      </c>
      <c r="R73" s="79">
        <f>IF(Q73="","",IF(Q73="✓ Complete",0,1))</f>
        <v/>
      </c>
    </row>
    <row r="74" ht="20" customHeight="1">
      <c r="B74" s="72" t="n"/>
      <c r="C74" s="72" t="n"/>
      <c r="D74" s="72" t="n"/>
      <c r="E74" s="72" t="n"/>
      <c r="F74" s="72" t="n"/>
      <c r="G74" s="109" t="n"/>
      <c r="H74" s="72" t="n"/>
      <c r="I74" s="78">
        <f>IF(H74="","",HYPERLINK(H74,"Open ↗"))</f>
        <v/>
      </c>
      <c r="J74" s="72" t="n"/>
      <c r="L74" s="116">
        <f>IF('Contractors'!B74="","",'Contractors'!B74)</f>
        <v/>
      </c>
      <c r="M74" s="78">
        <f>IF(L74="","",'Contractors'!L74)</f>
        <v/>
      </c>
      <c r="N74" s="78">
        <f>IF(OR(L74="",M74&lt;&gt;"Yes"),"",IF(COUNTIFS('Vault'!$C$6:$C$1005,"Contract",'Vault'!$D$6:$D$1005,L74)&gt;0,"✓","✗ missing"))</f>
        <v/>
      </c>
      <c r="O74" s="78">
        <f>IF(OR(L74="",M74&lt;&gt;"Yes"),"",IF(COUNTIFS('Vault'!$C$6:$C$1005,"Insurance",'Vault'!$D$6:$D$1005,L74)&gt;0,"✓","✗ missing"))</f>
        <v/>
      </c>
      <c r="P74" s="78">
        <f>IF(OR(L74="",M74&lt;&gt;"Yes"),"",IF(COUNTIFS('Vault'!$C$6:$C$1005,"Quote",'Vault'!$D$6:$D$1005,L74)&gt;0,"✓","✗ missing"))</f>
        <v/>
      </c>
      <c r="Q74" s="78">
        <f>IF(N74="","",IF(AND(N74="✓",O74="✓",P74="✓"),"✓ Complete","Missing documents"))</f>
        <v/>
      </c>
      <c r="R74" s="79">
        <f>IF(Q74="","",IF(Q74="✓ Complete",0,1))</f>
        <v/>
      </c>
    </row>
    <row r="75" ht="20" customHeight="1">
      <c r="B75" s="72" t="n"/>
      <c r="C75" s="72" t="n"/>
      <c r="D75" s="72" t="n"/>
      <c r="E75" s="72" t="n"/>
      <c r="F75" s="72" t="n"/>
      <c r="G75" s="109" t="n"/>
      <c r="H75" s="72" t="n"/>
      <c r="I75" s="78">
        <f>IF(H75="","",HYPERLINK(H75,"Open ↗"))</f>
        <v/>
      </c>
      <c r="J75" s="72" t="n"/>
      <c r="L75" s="116">
        <f>IF('Contractors'!B75="","",'Contractors'!B75)</f>
        <v/>
      </c>
      <c r="M75" s="78">
        <f>IF(L75="","",'Contractors'!L75)</f>
        <v/>
      </c>
      <c r="N75" s="78">
        <f>IF(OR(L75="",M75&lt;&gt;"Yes"),"",IF(COUNTIFS('Vault'!$C$6:$C$1005,"Contract",'Vault'!$D$6:$D$1005,L75)&gt;0,"✓","✗ missing"))</f>
        <v/>
      </c>
      <c r="O75" s="78">
        <f>IF(OR(L75="",M75&lt;&gt;"Yes"),"",IF(COUNTIFS('Vault'!$C$6:$C$1005,"Insurance",'Vault'!$D$6:$D$1005,L75)&gt;0,"✓","✗ missing"))</f>
        <v/>
      </c>
      <c r="P75" s="78">
        <f>IF(OR(L75="",M75&lt;&gt;"Yes"),"",IF(COUNTIFS('Vault'!$C$6:$C$1005,"Quote",'Vault'!$D$6:$D$1005,L75)&gt;0,"✓","✗ missing"))</f>
        <v/>
      </c>
      <c r="Q75" s="78">
        <f>IF(N75="","",IF(AND(N75="✓",O75="✓",P75="✓"),"✓ Complete","Missing documents"))</f>
        <v/>
      </c>
      <c r="R75" s="79">
        <f>IF(Q75="","",IF(Q75="✓ Complete",0,1))</f>
        <v/>
      </c>
    </row>
    <row r="76" ht="20" customHeight="1">
      <c r="B76" s="72" t="n"/>
      <c r="C76" s="72" t="n"/>
      <c r="D76" s="72" t="n"/>
      <c r="E76" s="72" t="n"/>
      <c r="F76" s="72" t="n"/>
      <c r="G76" s="109" t="n"/>
      <c r="H76" s="72" t="n"/>
      <c r="I76" s="78">
        <f>IF(H76="","",HYPERLINK(H76,"Open ↗"))</f>
        <v/>
      </c>
      <c r="J76" s="72" t="n"/>
      <c r="L76" s="116">
        <f>IF('Contractors'!B76="","",'Contractors'!B76)</f>
        <v/>
      </c>
      <c r="M76" s="78">
        <f>IF(L76="","",'Contractors'!L76)</f>
        <v/>
      </c>
      <c r="N76" s="78">
        <f>IF(OR(L76="",M76&lt;&gt;"Yes"),"",IF(COUNTIFS('Vault'!$C$6:$C$1005,"Contract",'Vault'!$D$6:$D$1005,L76)&gt;0,"✓","✗ missing"))</f>
        <v/>
      </c>
      <c r="O76" s="78">
        <f>IF(OR(L76="",M76&lt;&gt;"Yes"),"",IF(COUNTIFS('Vault'!$C$6:$C$1005,"Insurance",'Vault'!$D$6:$D$1005,L76)&gt;0,"✓","✗ missing"))</f>
        <v/>
      </c>
      <c r="P76" s="78">
        <f>IF(OR(L76="",M76&lt;&gt;"Yes"),"",IF(COUNTIFS('Vault'!$C$6:$C$1005,"Quote",'Vault'!$D$6:$D$1005,L76)&gt;0,"✓","✗ missing"))</f>
        <v/>
      </c>
      <c r="Q76" s="78">
        <f>IF(N76="","",IF(AND(N76="✓",O76="✓",P76="✓"),"✓ Complete","Missing documents"))</f>
        <v/>
      </c>
      <c r="R76" s="79">
        <f>IF(Q76="","",IF(Q76="✓ Complete",0,1))</f>
        <v/>
      </c>
    </row>
    <row r="77" ht="20" customHeight="1">
      <c r="B77" s="72" t="n"/>
      <c r="C77" s="72" t="n"/>
      <c r="D77" s="72" t="n"/>
      <c r="E77" s="72" t="n"/>
      <c r="F77" s="72" t="n"/>
      <c r="G77" s="109" t="n"/>
      <c r="H77" s="72" t="n"/>
      <c r="I77" s="78">
        <f>IF(H77="","",HYPERLINK(H77,"Open ↗"))</f>
        <v/>
      </c>
      <c r="J77" s="72" t="n"/>
      <c r="L77" s="116">
        <f>IF('Contractors'!B77="","",'Contractors'!B77)</f>
        <v/>
      </c>
      <c r="M77" s="78">
        <f>IF(L77="","",'Contractors'!L77)</f>
        <v/>
      </c>
      <c r="N77" s="78">
        <f>IF(OR(L77="",M77&lt;&gt;"Yes"),"",IF(COUNTIFS('Vault'!$C$6:$C$1005,"Contract",'Vault'!$D$6:$D$1005,L77)&gt;0,"✓","✗ missing"))</f>
        <v/>
      </c>
      <c r="O77" s="78">
        <f>IF(OR(L77="",M77&lt;&gt;"Yes"),"",IF(COUNTIFS('Vault'!$C$6:$C$1005,"Insurance",'Vault'!$D$6:$D$1005,L77)&gt;0,"✓","✗ missing"))</f>
        <v/>
      </c>
      <c r="P77" s="78">
        <f>IF(OR(L77="",M77&lt;&gt;"Yes"),"",IF(COUNTIFS('Vault'!$C$6:$C$1005,"Quote",'Vault'!$D$6:$D$1005,L77)&gt;0,"✓","✗ missing"))</f>
        <v/>
      </c>
      <c r="Q77" s="78">
        <f>IF(N77="","",IF(AND(N77="✓",O77="✓",P77="✓"),"✓ Complete","Missing documents"))</f>
        <v/>
      </c>
      <c r="R77" s="79">
        <f>IF(Q77="","",IF(Q77="✓ Complete",0,1))</f>
        <v/>
      </c>
    </row>
    <row r="78" ht="20" customHeight="1">
      <c r="B78" s="72" t="n"/>
      <c r="C78" s="72" t="n"/>
      <c r="D78" s="72" t="n"/>
      <c r="E78" s="72" t="n"/>
      <c r="F78" s="72" t="n"/>
      <c r="G78" s="109" t="n"/>
      <c r="H78" s="72" t="n"/>
      <c r="I78" s="78">
        <f>IF(H78="","",HYPERLINK(H78,"Open ↗"))</f>
        <v/>
      </c>
      <c r="J78" s="72" t="n"/>
      <c r="L78" s="116">
        <f>IF('Contractors'!B78="","",'Contractors'!B78)</f>
        <v/>
      </c>
      <c r="M78" s="78">
        <f>IF(L78="","",'Contractors'!L78)</f>
        <v/>
      </c>
      <c r="N78" s="78">
        <f>IF(OR(L78="",M78&lt;&gt;"Yes"),"",IF(COUNTIFS('Vault'!$C$6:$C$1005,"Contract",'Vault'!$D$6:$D$1005,L78)&gt;0,"✓","✗ missing"))</f>
        <v/>
      </c>
      <c r="O78" s="78">
        <f>IF(OR(L78="",M78&lt;&gt;"Yes"),"",IF(COUNTIFS('Vault'!$C$6:$C$1005,"Insurance",'Vault'!$D$6:$D$1005,L78)&gt;0,"✓","✗ missing"))</f>
        <v/>
      </c>
      <c r="P78" s="78">
        <f>IF(OR(L78="",M78&lt;&gt;"Yes"),"",IF(COUNTIFS('Vault'!$C$6:$C$1005,"Quote",'Vault'!$D$6:$D$1005,L78)&gt;0,"✓","✗ missing"))</f>
        <v/>
      </c>
      <c r="Q78" s="78">
        <f>IF(N78="","",IF(AND(N78="✓",O78="✓",P78="✓"),"✓ Complete","Missing documents"))</f>
        <v/>
      </c>
      <c r="R78" s="79">
        <f>IF(Q78="","",IF(Q78="✓ Complete",0,1))</f>
        <v/>
      </c>
    </row>
    <row r="79" ht="20" customHeight="1">
      <c r="B79" s="72" t="n"/>
      <c r="C79" s="72" t="n"/>
      <c r="D79" s="72" t="n"/>
      <c r="E79" s="72" t="n"/>
      <c r="F79" s="72" t="n"/>
      <c r="G79" s="109" t="n"/>
      <c r="H79" s="72" t="n"/>
      <c r="I79" s="78">
        <f>IF(H79="","",HYPERLINK(H79,"Open ↗"))</f>
        <v/>
      </c>
      <c r="J79" s="72" t="n"/>
      <c r="L79" s="116">
        <f>IF('Contractors'!B79="","",'Contractors'!B79)</f>
        <v/>
      </c>
      <c r="M79" s="78">
        <f>IF(L79="","",'Contractors'!L79)</f>
        <v/>
      </c>
      <c r="N79" s="78">
        <f>IF(OR(L79="",M79&lt;&gt;"Yes"),"",IF(COUNTIFS('Vault'!$C$6:$C$1005,"Contract",'Vault'!$D$6:$D$1005,L79)&gt;0,"✓","✗ missing"))</f>
        <v/>
      </c>
      <c r="O79" s="78">
        <f>IF(OR(L79="",M79&lt;&gt;"Yes"),"",IF(COUNTIFS('Vault'!$C$6:$C$1005,"Insurance",'Vault'!$D$6:$D$1005,L79)&gt;0,"✓","✗ missing"))</f>
        <v/>
      </c>
      <c r="P79" s="78">
        <f>IF(OR(L79="",M79&lt;&gt;"Yes"),"",IF(COUNTIFS('Vault'!$C$6:$C$1005,"Quote",'Vault'!$D$6:$D$1005,L79)&gt;0,"✓","✗ missing"))</f>
        <v/>
      </c>
      <c r="Q79" s="78">
        <f>IF(N79="","",IF(AND(N79="✓",O79="✓",P79="✓"),"✓ Complete","Missing documents"))</f>
        <v/>
      </c>
      <c r="R79" s="79">
        <f>IF(Q79="","",IF(Q79="✓ Complete",0,1))</f>
        <v/>
      </c>
    </row>
    <row r="80" ht="20" customHeight="1">
      <c r="B80" s="72" t="n"/>
      <c r="C80" s="72" t="n"/>
      <c r="D80" s="72" t="n"/>
      <c r="E80" s="72" t="n"/>
      <c r="F80" s="72" t="n"/>
      <c r="G80" s="109" t="n"/>
      <c r="H80" s="72" t="n"/>
      <c r="I80" s="78">
        <f>IF(H80="","",HYPERLINK(H80,"Open ↗"))</f>
        <v/>
      </c>
      <c r="J80" s="72" t="n"/>
      <c r="L80" s="116">
        <f>IF('Contractors'!B80="","",'Contractors'!B80)</f>
        <v/>
      </c>
      <c r="M80" s="78">
        <f>IF(L80="","",'Contractors'!L80)</f>
        <v/>
      </c>
      <c r="N80" s="78">
        <f>IF(OR(L80="",M80&lt;&gt;"Yes"),"",IF(COUNTIFS('Vault'!$C$6:$C$1005,"Contract",'Vault'!$D$6:$D$1005,L80)&gt;0,"✓","✗ missing"))</f>
        <v/>
      </c>
      <c r="O80" s="78">
        <f>IF(OR(L80="",M80&lt;&gt;"Yes"),"",IF(COUNTIFS('Vault'!$C$6:$C$1005,"Insurance",'Vault'!$D$6:$D$1005,L80)&gt;0,"✓","✗ missing"))</f>
        <v/>
      </c>
      <c r="P80" s="78">
        <f>IF(OR(L80="",M80&lt;&gt;"Yes"),"",IF(COUNTIFS('Vault'!$C$6:$C$1005,"Quote",'Vault'!$D$6:$D$1005,L80)&gt;0,"✓","✗ missing"))</f>
        <v/>
      </c>
      <c r="Q80" s="78">
        <f>IF(N80="","",IF(AND(N80="✓",O80="✓",P80="✓"),"✓ Complete","Missing documents"))</f>
        <v/>
      </c>
      <c r="R80" s="79">
        <f>IF(Q80="","",IF(Q80="✓ Complete",0,1))</f>
        <v/>
      </c>
    </row>
    <row r="81" ht="20" customHeight="1">
      <c r="B81" s="72" t="n"/>
      <c r="C81" s="72" t="n"/>
      <c r="D81" s="72" t="n"/>
      <c r="E81" s="72" t="n"/>
      <c r="F81" s="72" t="n"/>
      <c r="G81" s="109" t="n"/>
      <c r="H81" s="72" t="n"/>
      <c r="I81" s="78">
        <f>IF(H81="","",HYPERLINK(H81,"Open ↗"))</f>
        <v/>
      </c>
      <c r="J81" s="72" t="n"/>
      <c r="L81" s="116">
        <f>IF('Contractors'!B81="","",'Contractors'!B81)</f>
        <v/>
      </c>
      <c r="M81" s="78">
        <f>IF(L81="","",'Contractors'!L81)</f>
        <v/>
      </c>
      <c r="N81" s="78">
        <f>IF(OR(L81="",M81&lt;&gt;"Yes"),"",IF(COUNTIFS('Vault'!$C$6:$C$1005,"Contract",'Vault'!$D$6:$D$1005,L81)&gt;0,"✓","✗ missing"))</f>
        <v/>
      </c>
      <c r="O81" s="78">
        <f>IF(OR(L81="",M81&lt;&gt;"Yes"),"",IF(COUNTIFS('Vault'!$C$6:$C$1005,"Insurance",'Vault'!$D$6:$D$1005,L81)&gt;0,"✓","✗ missing"))</f>
        <v/>
      </c>
      <c r="P81" s="78">
        <f>IF(OR(L81="",M81&lt;&gt;"Yes"),"",IF(COUNTIFS('Vault'!$C$6:$C$1005,"Quote",'Vault'!$D$6:$D$1005,L81)&gt;0,"✓","✗ missing"))</f>
        <v/>
      </c>
      <c r="Q81" s="78">
        <f>IF(N81="","",IF(AND(N81="✓",O81="✓",P81="✓"),"✓ Complete","Missing documents"))</f>
        <v/>
      </c>
      <c r="R81" s="79">
        <f>IF(Q81="","",IF(Q81="✓ Complete",0,1))</f>
        <v/>
      </c>
    </row>
    <row r="82" ht="20" customHeight="1">
      <c r="B82" s="72" t="n"/>
      <c r="C82" s="72" t="n"/>
      <c r="D82" s="72" t="n"/>
      <c r="E82" s="72" t="n"/>
      <c r="F82" s="72" t="n"/>
      <c r="G82" s="109" t="n"/>
      <c r="H82" s="72" t="n"/>
      <c r="I82" s="78">
        <f>IF(H82="","",HYPERLINK(H82,"Open ↗"))</f>
        <v/>
      </c>
      <c r="J82" s="72" t="n"/>
      <c r="L82" s="116">
        <f>IF('Contractors'!B82="","",'Contractors'!B82)</f>
        <v/>
      </c>
      <c r="M82" s="78">
        <f>IF(L82="","",'Contractors'!L82)</f>
        <v/>
      </c>
      <c r="N82" s="78">
        <f>IF(OR(L82="",M82&lt;&gt;"Yes"),"",IF(COUNTIFS('Vault'!$C$6:$C$1005,"Contract",'Vault'!$D$6:$D$1005,L82)&gt;0,"✓","✗ missing"))</f>
        <v/>
      </c>
      <c r="O82" s="78">
        <f>IF(OR(L82="",M82&lt;&gt;"Yes"),"",IF(COUNTIFS('Vault'!$C$6:$C$1005,"Insurance",'Vault'!$D$6:$D$1005,L82)&gt;0,"✓","✗ missing"))</f>
        <v/>
      </c>
      <c r="P82" s="78">
        <f>IF(OR(L82="",M82&lt;&gt;"Yes"),"",IF(COUNTIFS('Vault'!$C$6:$C$1005,"Quote",'Vault'!$D$6:$D$1005,L82)&gt;0,"✓","✗ missing"))</f>
        <v/>
      </c>
      <c r="Q82" s="78">
        <f>IF(N82="","",IF(AND(N82="✓",O82="✓",P82="✓"),"✓ Complete","Missing documents"))</f>
        <v/>
      </c>
      <c r="R82" s="79">
        <f>IF(Q82="","",IF(Q82="✓ Complete",0,1))</f>
        <v/>
      </c>
    </row>
    <row r="83" ht="20" customHeight="1">
      <c r="B83" s="72" t="n"/>
      <c r="C83" s="72" t="n"/>
      <c r="D83" s="72" t="n"/>
      <c r="E83" s="72" t="n"/>
      <c r="F83" s="72" t="n"/>
      <c r="G83" s="109" t="n"/>
      <c r="H83" s="72" t="n"/>
      <c r="I83" s="78">
        <f>IF(H83="","",HYPERLINK(H83,"Open ↗"))</f>
        <v/>
      </c>
      <c r="J83" s="72" t="n"/>
      <c r="L83" s="116">
        <f>IF('Contractors'!B83="","",'Contractors'!B83)</f>
        <v/>
      </c>
      <c r="M83" s="78">
        <f>IF(L83="","",'Contractors'!L83)</f>
        <v/>
      </c>
      <c r="N83" s="78">
        <f>IF(OR(L83="",M83&lt;&gt;"Yes"),"",IF(COUNTIFS('Vault'!$C$6:$C$1005,"Contract",'Vault'!$D$6:$D$1005,L83)&gt;0,"✓","✗ missing"))</f>
        <v/>
      </c>
      <c r="O83" s="78">
        <f>IF(OR(L83="",M83&lt;&gt;"Yes"),"",IF(COUNTIFS('Vault'!$C$6:$C$1005,"Insurance",'Vault'!$D$6:$D$1005,L83)&gt;0,"✓","✗ missing"))</f>
        <v/>
      </c>
      <c r="P83" s="78">
        <f>IF(OR(L83="",M83&lt;&gt;"Yes"),"",IF(COUNTIFS('Vault'!$C$6:$C$1005,"Quote",'Vault'!$D$6:$D$1005,L83)&gt;0,"✓","✗ missing"))</f>
        <v/>
      </c>
      <c r="Q83" s="78">
        <f>IF(N83="","",IF(AND(N83="✓",O83="✓",P83="✓"),"✓ Complete","Missing documents"))</f>
        <v/>
      </c>
      <c r="R83" s="79">
        <f>IF(Q83="","",IF(Q83="✓ Complete",0,1))</f>
        <v/>
      </c>
    </row>
    <row r="84" ht="20" customHeight="1">
      <c r="B84" s="72" t="n"/>
      <c r="C84" s="72" t="n"/>
      <c r="D84" s="72" t="n"/>
      <c r="E84" s="72" t="n"/>
      <c r="F84" s="72" t="n"/>
      <c r="G84" s="109" t="n"/>
      <c r="H84" s="72" t="n"/>
      <c r="I84" s="78">
        <f>IF(H84="","",HYPERLINK(H84,"Open ↗"))</f>
        <v/>
      </c>
      <c r="J84" s="72" t="n"/>
      <c r="L84" s="116">
        <f>IF('Contractors'!B84="","",'Contractors'!B84)</f>
        <v/>
      </c>
      <c r="M84" s="78">
        <f>IF(L84="","",'Contractors'!L84)</f>
        <v/>
      </c>
      <c r="N84" s="78">
        <f>IF(OR(L84="",M84&lt;&gt;"Yes"),"",IF(COUNTIFS('Vault'!$C$6:$C$1005,"Contract",'Vault'!$D$6:$D$1005,L84)&gt;0,"✓","✗ missing"))</f>
        <v/>
      </c>
      <c r="O84" s="78">
        <f>IF(OR(L84="",M84&lt;&gt;"Yes"),"",IF(COUNTIFS('Vault'!$C$6:$C$1005,"Insurance",'Vault'!$D$6:$D$1005,L84)&gt;0,"✓","✗ missing"))</f>
        <v/>
      </c>
      <c r="P84" s="78">
        <f>IF(OR(L84="",M84&lt;&gt;"Yes"),"",IF(COUNTIFS('Vault'!$C$6:$C$1005,"Quote",'Vault'!$D$6:$D$1005,L84)&gt;0,"✓","✗ missing"))</f>
        <v/>
      </c>
      <c r="Q84" s="78">
        <f>IF(N84="","",IF(AND(N84="✓",O84="✓",P84="✓"),"✓ Complete","Missing documents"))</f>
        <v/>
      </c>
      <c r="R84" s="79">
        <f>IF(Q84="","",IF(Q84="✓ Complete",0,1))</f>
        <v/>
      </c>
    </row>
    <row r="85" ht="20" customHeight="1">
      <c r="B85" s="72" t="n"/>
      <c r="C85" s="72" t="n"/>
      <c r="D85" s="72" t="n"/>
      <c r="E85" s="72" t="n"/>
      <c r="F85" s="72" t="n"/>
      <c r="G85" s="109" t="n"/>
      <c r="H85" s="72" t="n"/>
      <c r="I85" s="78">
        <f>IF(H85="","",HYPERLINK(H85,"Open ↗"))</f>
        <v/>
      </c>
      <c r="J85" s="72" t="n"/>
      <c r="L85" s="116">
        <f>IF('Contractors'!B85="","",'Contractors'!B85)</f>
        <v/>
      </c>
      <c r="M85" s="78">
        <f>IF(L85="","",'Contractors'!L85)</f>
        <v/>
      </c>
      <c r="N85" s="78">
        <f>IF(OR(L85="",M85&lt;&gt;"Yes"),"",IF(COUNTIFS('Vault'!$C$6:$C$1005,"Contract",'Vault'!$D$6:$D$1005,L85)&gt;0,"✓","✗ missing"))</f>
        <v/>
      </c>
      <c r="O85" s="78">
        <f>IF(OR(L85="",M85&lt;&gt;"Yes"),"",IF(COUNTIFS('Vault'!$C$6:$C$1005,"Insurance",'Vault'!$D$6:$D$1005,L85)&gt;0,"✓","✗ missing"))</f>
        <v/>
      </c>
      <c r="P85" s="78">
        <f>IF(OR(L85="",M85&lt;&gt;"Yes"),"",IF(COUNTIFS('Vault'!$C$6:$C$1005,"Quote",'Vault'!$D$6:$D$1005,L85)&gt;0,"✓","✗ missing"))</f>
        <v/>
      </c>
      <c r="Q85" s="78">
        <f>IF(N85="","",IF(AND(N85="✓",O85="✓",P85="✓"),"✓ Complete","Missing documents"))</f>
        <v/>
      </c>
      <c r="R85" s="79">
        <f>IF(Q85="","",IF(Q85="✓ Complete",0,1))</f>
        <v/>
      </c>
    </row>
    <row r="86" ht="20" customHeight="1">
      <c r="B86" s="72" t="n"/>
      <c r="C86" s="72" t="n"/>
      <c r="D86" s="72" t="n"/>
      <c r="E86" s="72" t="n"/>
      <c r="F86" s="72" t="n"/>
      <c r="G86" s="109" t="n"/>
      <c r="H86" s="72" t="n"/>
      <c r="I86" s="78">
        <f>IF(H86="","",HYPERLINK(H86,"Open ↗"))</f>
        <v/>
      </c>
      <c r="J86" s="72" t="n"/>
      <c r="L86" s="116">
        <f>IF('Contractors'!B86="","",'Contractors'!B86)</f>
        <v/>
      </c>
      <c r="M86" s="78">
        <f>IF(L86="","",'Contractors'!L86)</f>
        <v/>
      </c>
      <c r="N86" s="78">
        <f>IF(OR(L86="",M86&lt;&gt;"Yes"),"",IF(COUNTIFS('Vault'!$C$6:$C$1005,"Contract",'Vault'!$D$6:$D$1005,L86)&gt;0,"✓","✗ missing"))</f>
        <v/>
      </c>
      <c r="O86" s="78">
        <f>IF(OR(L86="",M86&lt;&gt;"Yes"),"",IF(COUNTIFS('Vault'!$C$6:$C$1005,"Insurance",'Vault'!$D$6:$D$1005,L86)&gt;0,"✓","✗ missing"))</f>
        <v/>
      </c>
      <c r="P86" s="78">
        <f>IF(OR(L86="",M86&lt;&gt;"Yes"),"",IF(COUNTIFS('Vault'!$C$6:$C$1005,"Quote",'Vault'!$D$6:$D$1005,L86)&gt;0,"✓","✗ missing"))</f>
        <v/>
      </c>
      <c r="Q86" s="78">
        <f>IF(N86="","",IF(AND(N86="✓",O86="✓",P86="✓"),"✓ Complete","Missing documents"))</f>
        <v/>
      </c>
      <c r="R86" s="79">
        <f>IF(Q86="","",IF(Q86="✓ Complete",0,1))</f>
        <v/>
      </c>
    </row>
    <row r="87" ht="20" customHeight="1">
      <c r="B87" s="72" t="n"/>
      <c r="C87" s="72" t="n"/>
      <c r="D87" s="72" t="n"/>
      <c r="E87" s="72" t="n"/>
      <c r="F87" s="72" t="n"/>
      <c r="G87" s="109" t="n"/>
      <c r="H87" s="72" t="n"/>
      <c r="I87" s="78">
        <f>IF(H87="","",HYPERLINK(H87,"Open ↗"))</f>
        <v/>
      </c>
      <c r="J87" s="72" t="n"/>
      <c r="L87" s="116">
        <f>IF('Contractors'!B87="","",'Contractors'!B87)</f>
        <v/>
      </c>
      <c r="M87" s="78">
        <f>IF(L87="","",'Contractors'!L87)</f>
        <v/>
      </c>
      <c r="N87" s="78">
        <f>IF(OR(L87="",M87&lt;&gt;"Yes"),"",IF(COUNTIFS('Vault'!$C$6:$C$1005,"Contract",'Vault'!$D$6:$D$1005,L87)&gt;0,"✓","✗ missing"))</f>
        <v/>
      </c>
      <c r="O87" s="78">
        <f>IF(OR(L87="",M87&lt;&gt;"Yes"),"",IF(COUNTIFS('Vault'!$C$6:$C$1005,"Insurance",'Vault'!$D$6:$D$1005,L87)&gt;0,"✓","✗ missing"))</f>
        <v/>
      </c>
      <c r="P87" s="78">
        <f>IF(OR(L87="",M87&lt;&gt;"Yes"),"",IF(COUNTIFS('Vault'!$C$6:$C$1005,"Quote",'Vault'!$D$6:$D$1005,L87)&gt;0,"✓","✗ missing"))</f>
        <v/>
      </c>
      <c r="Q87" s="78">
        <f>IF(N87="","",IF(AND(N87="✓",O87="✓",P87="✓"),"✓ Complete","Missing documents"))</f>
        <v/>
      </c>
      <c r="R87" s="79">
        <f>IF(Q87="","",IF(Q87="✓ Complete",0,1))</f>
        <v/>
      </c>
    </row>
    <row r="88" ht="20" customHeight="1">
      <c r="B88" s="72" t="n"/>
      <c r="C88" s="72" t="n"/>
      <c r="D88" s="72" t="n"/>
      <c r="E88" s="72" t="n"/>
      <c r="F88" s="72" t="n"/>
      <c r="G88" s="109" t="n"/>
      <c r="H88" s="72" t="n"/>
      <c r="I88" s="78">
        <f>IF(H88="","",HYPERLINK(H88,"Open ↗"))</f>
        <v/>
      </c>
      <c r="J88" s="72" t="n"/>
      <c r="L88" s="116">
        <f>IF('Contractors'!B88="","",'Contractors'!B88)</f>
        <v/>
      </c>
      <c r="M88" s="78">
        <f>IF(L88="","",'Contractors'!L88)</f>
        <v/>
      </c>
      <c r="N88" s="78">
        <f>IF(OR(L88="",M88&lt;&gt;"Yes"),"",IF(COUNTIFS('Vault'!$C$6:$C$1005,"Contract",'Vault'!$D$6:$D$1005,L88)&gt;0,"✓","✗ missing"))</f>
        <v/>
      </c>
      <c r="O88" s="78">
        <f>IF(OR(L88="",M88&lt;&gt;"Yes"),"",IF(COUNTIFS('Vault'!$C$6:$C$1005,"Insurance",'Vault'!$D$6:$D$1005,L88)&gt;0,"✓","✗ missing"))</f>
        <v/>
      </c>
      <c r="P88" s="78">
        <f>IF(OR(L88="",M88&lt;&gt;"Yes"),"",IF(COUNTIFS('Vault'!$C$6:$C$1005,"Quote",'Vault'!$D$6:$D$1005,L88)&gt;0,"✓","✗ missing"))</f>
        <v/>
      </c>
      <c r="Q88" s="78">
        <f>IF(N88="","",IF(AND(N88="✓",O88="✓",P88="✓"),"✓ Complete","Missing documents"))</f>
        <v/>
      </c>
      <c r="R88" s="79">
        <f>IF(Q88="","",IF(Q88="✓ Complete",0,1))</f>
        <v/>
      </c>
    </row>
    <row r="89" ht="20" customHeight="1">
      <c r="B89" s="72" t="n"/>
      <c r="C89" s="72" t="n"/>
      <c r="D89" s="72" t="n"/>
      <c r="E89" s="72" t="n"/>
      <c r="F89" s="72" t="n"/>
      <c r="G89" s="109" t="n"/>
      <c r="H89" s="72" t="n"/>
      <c r="I89" s="78">
        <f>IF(H89="","",HYPERLINK(H89,"Open ↗"))</f>
        <v/>
      </c>
      <c r="J89" s="72" t="n"/>
      <c r="L89" s="116">
        <f>IF('Contractors'!B89="","",'Contractors'!B89)</f>
        <v/>
      </c>
      <c r="M89" s="78">
        <f>IF(L89="","",'Contractors'!L89)</f>
        <v/>
      </c>
      <c r="N89" s="78">
        <f>IF(OR(L89="",M89&lt;&gt;"Yes"),"",IF(COUNTIFS('Vault'!$C$6:$C$1005,"Contract",'Vault'!$D$6:$D$1005,L89)&gt;0,"✓","✗ missing"))</f>
        <v/>
      </c>
      <c r="O89" s="78">
        <f>IF(OR(L89="",M89&lt;&gt;"Yes"),"",IF(COUNTIFS('Vault'!$C$6:$C$1005,"Insurance",'Vault'!$D$6:$D$1005,L89)&gt;0,"✓","✗ missing"))</f>
        <v/>
      </c>
      <c r="P89" s="78">
        <f>IF(OR(L89="",M89&lt;&gt;"Yes"),"",IF(COUNTIFS('Vault'!$C$6:$C$1005,"Quote",'Vault'!$D$6:$D$1005,L89)&gt;0,"✓","✗ missing"))</f>
        <v/>
      </c>
      <c r="Q89" s="78">
        <f>IF(N89="","",IF(AND(N89="✓",O89="✓",P89="✓"),"✓ Complete","Missing documents"))</f>
        <v/>
      </c>
      <c r="R89" s="79">
        <f>IF(Q89="","",IF(Q89="✓ Complete",0,1))</f>
        <v/>
      </c>
    </row>
    <row r="90" ht="20" customHeight="1">
      <c r="B90" s="72" t="n"/>
      <c r="C90" s="72" t="n"/>
      <c r="D90" s="72" t="n"/>
      <c r="E90" s="72" t="n"/>
      <c r="F90" s="72" t="n"/>
      <c r="G90" s="109" t="n"/>
      <c r="H90" s="72" t="n"/>
      <c r="I90" s="78">
        <f>IF(H90="","",HYPERLINK(H90,"Open ↗"))</f>
        <v/>
      </c>
      <c r="J90" s="72" t="n"/>
      <c r="L90" s="116">
        <f>IF('Contractors'!B90="","",'Contractors'!B90)</f>
        <v/>
      </c>
      <c r="M90" s="78">
        <f>IF(L90="","",'Contractors'!L90)</f>
        <v/>
      </c>
      <c r="N90" s="78">
        <f>IF(OR(L90="",M90&lt;&gt;"Yes"),"",IF(COUNTIFS('Vault'!$C$6:$C$1005,"Contract",'Vault'!$D$6:$D$1005,L90)&gt;0,"✓","✗ missing"))</f>
        <v/>
      </c>
      <c r="O90" s="78">
        <f>IF(OR(L90="",M90&lt;&gt;"Yes"),"",IF(COUNTIFS('Vault'!$C$6:$C$1005,"Insurance",'Vault'!$D$6:$D$1005,L90)&gt;0,"✓","✗ missing"))</f>
        <v/>
      </c>
      <c r="P90" s="78">
        <f>IF(OR(L90="",M90&lt;&gt;"Yes"),"",IF(COUNTIFS('Vault'!$C$6:$C$1005,"Quote",'Vault'!$D$6:$D$1005,L90)&gt;0,"✓","✗ missing"))</f>
        <v/>
      </c>
      <c r="Q90" s="78">
        <f>IF(N90="","",IF(AND(N90="✓",O90="✓",P90="✓"),"✓ Complete","Missing documents"))</f>
        <v/>
      </c>
      <c r="R90" s="79">
        <f>IF(Q90="","",IF(Q90="✓ Complete",0,1))</f>
        <v/>
      </c>
    </row>
    <row r="91" ht="20" customHeight="1">
      <c r="B91" s="72" t="n"/>
      <c r="C91" s="72" t="n"/>
      <c r="D91" s="72" t="n"/>
      <c r="E91" s="72" t="n"/>
      <c r="F91" s="72" t="n"/>
      <c r="G91" s="109" t="n"/>
      <c r="H91" s="72" t="n"/>
      <c r="I91" s="78">
        <f>IF(H91="","",HYPERLINK(H91,"Open ↗"))</f>
        <v/>
      </c>
      <c r="J91" s="72" t="n"/>
      <c r="L91" s="116">
        <f>IF('Contractors'!B91="","",'Contractors'!B91)</f>
        <v/>
      </c>
      <c r="M91" s="78">
        <f>IF(L91="","",'Contractors'!L91)</f>
        <v/>
      </c>
      <c r="N91" s="78">
        <f>IF(OR(L91="",M91&lt;&gt;"Yes"),"",IF(COUNTIFS('Vault'!$C$6:$C$1005,"Contract",'Vault'!$D$6:$D$1005,L91)&gt;0,"✓","✗ missing"))</f>
        <v/>
      </c>
      <c r="O91" s="78">
        <f>IF(OR(L91="",M91&lt;&gt;"Yes"),"",IF(COUNTIFS('Vault'!$C$6:$C$1005,"Insurance",'Vault'!$D$6:$D$1005,L91)&gt;0,"✓","✗ missing"))</f>
        <v/>
      </c>
      <c r="P91" s="78">
        <f>IF(OR(L91="",M91&lt;&gt;"Yes"),"",IF(COUNTIFS('Vault'!$C$6:$C$1005,"Quote",'Vault'!$D$6:$D$1005,L91)&gt;0,"✓","✗ missing"))</f>
        <v/>
      </c>
      <c r="Q91" s="78">
        <f>IF(N91="","",IF(AND(N91="✓",O91="✓",P91="✓"),"✓ Complete","Missing documents"))</f>
        <v/>
      </c>
      <c r="R91" s="79">
        <f>IF(Q91="","",IF(Q91="✓ Complete",0,1))</f>
        <v/>
      </c>
    </row>
    <row r="92" ht="20" customHeight="1">
      <c r="B92" s="72" t="n"/>
      <c r="C92" s="72" t="n"/>
      <c r="D92" s="72" t="n"/>
      <c r="E92" s="72" t="n"/>
      <c r="F92" s="72" t="n"/>
      <c r="G92" s="109" t="n"/>
      <c r="H92" s="72" t="n"/>
      <c r="I92" s="78">
        <f>IF(H92="","",HYPERLINK(H92,"Open ↗"))</f>
        <v/>
      </c>
      <c r="J92" s="72" t="n"/>
      <c r="L92" s="116">
        <f>IF('Contractors'!B92="","",'Contractors'!B92)</f>
        <v/>
      </c>
      <c r="M92" s="78">
        <f>IF(L92="","",'Contractors'!L92)</f>
        <v/>
      </c>
      <c r="N92" s="78">
        <f>IF(OR(L92="",M92&lt;&gt;"Yes"),"",IF(COUNTIFS('Vault'!$C$6:$C$1005,"Contract",'Vault'!$D$6:$D$1005,L92)&gt;0,"✓","✗ missing"))</f>
        <v/>
      </c>
      <c r="O92" s="78">
        <f>IF(OR(L92="",M92&lt;&gt;"Yes"),"",IF(COUNTIFS('Vault'!$C$6:$C$1005,"Insurance",'Vault'!$D$6:$D$1005,L92)&gt;0,"✓","✗ missing"))</f>
        <v/>
      </c>
      <c r="P92" s="78">
        <f>IF(OR(L92="",M92&lt;&gt;"Yes"),"",IF(COUNTIFS('Vault'!$C$6:$C$1005,"Quote",'Vault'!$D$6:$D$1005,L92)&gt;0,"✓","✗ missing"))</f>
        <v/>
      </c>
      <c r="Q92" s="78">
        <f>IF(N92="","",IF(AND(N92="✓",O92="✓",P92="✓"),"✓ Complete","Missing documents"))</f>
        <v/>
      </c>
      <c r="R92" s="79">
        <f>IF(Q92="","",IF(Q92="✓ Complete",0,1))</f>
        <v/>
      </c>
    </row>
    <row r="93" ht="20" customHeight="1">
      <c r="B93" s="72" t="n"/>
      <c r="C93" s="72" t="n"/>
      <c r="D93" s="72" t="n"/>
      <c r="E93" s="72" t="n"/>
      <c r="F93" s="72" t="n"/>
      <c r="G93" s="109" t="n"/>
      <c r="H93" s="72" t="n"/>
      <c r="I93" s="78">
        <f>IF(H93="","",HYPERLINK(H93,"Open ↗"))</f>
        <v/>
      </c>
      <c r="J93" s="72" t="n"/>
      <c r="L93" s="116">
        <f>IF('Contractors'!B93="","",'Contractors'!B93)</f>
        <v/>
      </c>
      <c r="M93" s="78">
        <f>IF(L93="","",'Contractors'!L93)</f>
        <v/>
      </c>
      <c r="N93" s="78">
        <f>IF(OR(L93="",M93&lt;&gt;"Yes"),"",IF(COUNTIFS('Vault'!$C$6:$C$1005,"Contract",'Vault'!$D$6:$D$1005,L93)&gt;0,"✓","✗ missing"))</f>
        <v/>
      </c>
      <c r="O93" s="78">
        <f>IF(OR(L93="",M93&lt;&gt;"Yes"),"",IF(COUNTIFS('Vault'!$C$6:$C$1005,"Insurance",'Vault'!$D$6:$D$1005,L93)&gt;0,"✓","✗ missing"))</f>
        <v/>
      </c>
      <c r="P93" s="78">
        <f>IF(OR(L93="",M93&lt;&gt;"Yes"),"",IF(COUNTIFS('Vault'!$C$6:$C$1005,"Quote",'Vault'!$D$6:$D$1005,L93)&gt;0,"✓","✗ missing"))</f>
        <v/>
      </c>
      <c r="Q93" s="78">
        <f>IF(N93="","",IF(AND(N93="✓",O93="✓",P93="✓"),"✓ Complete","Missing documents"))</f>
        <v/>
      </c>
      <c r="R93" s="79">
        <f>IF(Q93="","",IF(Q93="✓ Complete",0,1))</f>
        <v/>
      </c>
    </row>
    <row r="94" ht="20" customHeight="1">
      <c r="B94" s="72" t="n"/>
      <c r="C94" s="72" t="n"/>
      <c r="D94" s="72" t="n"/>
      <c r="E94" s="72" t="n"/>
      <c r="F94" s="72" t="n"/>
      <c r="G94" s="109" t="n"/>
      <c r="H94" s="72" t="n"/>
      <c r="I94" s="78">
        <f>IF(H94="","",HYPERLINK(H94,"Open ↗"))</f>
        <v/>
      </c>
      <c r="J94" s="72" t="n"/>
      <c r="L94" s="116">
        <f>IF('Contractors'!B94="","",'Contractors'!B94)</f>
        <v/>
      </c>
      <c r="M94" s="78">
        <f>IF(L94="","",'Contractors'!L94)</f>
        <v/>
      </c>
      <c r="N94" s="78">
        <f>IF(OR(L94="",M94&lt;&gt;"Yes"),"",IF(COUNTIFS('Vault'!$C$6:$C$1005,"Contract",'Vault'!$D$6:$D$1005,L94)&gt;0,"✓","✗ missing"))</f>
        <v/>
      </c>
      <c r="O94" s="78">
        <f>IF(OR(L94="",M94&lt;&gt;"Yes"),"",IF(COUNTIFS('Vault'!$C$6:$C$1005,"Insurance",'Vault'!$D$6:$D$1005,L94)&gt;0,"✓","✗ missing"))</f>
        <v/>
      </c>
      <c r="P94" s="78">
        <f>IF(OR(L94="",M94&lt;&gt;"Yes"),"",IF(COUNTIFS('Vault'!$C$6:$C$1005,"Quote",'Vault'!$D$6:$D$1005,L94)&gt;0,"✓","✗ missing"))</f>
        <v/>
      </c>
      <c r="Q94" s="78">
        <f>IF(N94="","",IF(AND(N94="✓",O94="✓",P94="✓"),"✓ Complete","Missing documents"))</f>
        <v/>
      </c>
      <c r="R94" s="79">
        <f>IF(Q94="","",IF(Q94="✓ Complete",0,1))</f>
        <v/>
      </c>
    </row>
    <row r="95" ht="20" customHeight="1">
      <c r="B95" s="72" t="n"/>
      <c r="C95" s="72" t="n"/>
      <c r="D95" s="72" t="n"/>
      <c r="E95" s="72" t="n"/>
      <c r="F95" s="72" t="n"/>
      <c r="G95" s="109" t="n"/>
      <c r="H95" s="72" t="n"/>
      <c r="I95" s="78">
        <f>IF(H95="","",HYPERLINK(H95,"Open ↗"))</f>
        <v/>
      </c>
      <c r="J95" s="72" t="n"/>
      <c r="L95" s="116">
        <f>IF('Contractors'!B95="","",'Contractors'!B95)</f>
        <v/>
      </c>
      <c r="M95" s="78">
        <f>IF(L95="","",'Contractors'!L95)</f>
        <v/>
      </c>
      <c r="N95" s="78">
        <f>IF(OR(L95="",M95&lt;&gt;"Yes"),"",IF(COUNTIFS('Vault'!$C$6:$C$1005,"Contract",'Vault'!$D$6:$D$1005,L95)&gt;0,"✓","✗ missing"))</f>
        <v/>
      </c>
      <c r="O95" s="78">
        <f>IF(OR(L95="",M95&lt;&gt;"Yes"),"",IF(COUNTIFS('Vault'!$C$6:$C$1005,"Insurance",'Vault'!$D$6:$D$1005,L95)&gt;0,"✓","✗ missing"))</f>
        <v/>
      </c>
      <c r="P95" s="78">
        <f>IF(OR(L95="",M95&lt;&gt;"Yes"),"",IF(COUNTIFS('Vault'!$C$6:$C$1005,"Quote",'Vault'!$D$6:$D$1005,L95)&gt;0,"✓","✗ missing"))</f>
        <v/>
      </c>
      <c r="Q95" s="78">
        <f>IF(N95="","",IF(AND(N95="✓",O95="✓",P95="✓"),"✓ Complete","Missing documents"))</f>
        <v/>
      </c>
      <c r="R95" s="79">
        <f>IF(Q95="","",IF(Q95="✓ Complete",0,1))</f>
        <v/>
      </c>
    </row>
    <row r="96" ht="20" customHeight="1">
      <c r="B96" s="72" t="n"/>
      <c r="C96" s="72" t="n"/>
      <c r="D96" s="72" t="n"/>
      <c r="E96" s="72" t="n"/>
      <c r="F96" s="72" t="n"/>
      <c r="G96" s="109" t="n"/>
      <c r="H96" s="72" t="n"/>
      <c r="I96" s="78">
        <f>IF(H96="","",HYPERLINK(H96,"Open ↗"))</f>
        <v/>
      </c>
      <c r="J96" s="72" t="n"/>
      <c r="L96" s="116">
        <f>IF('Contractors'!B96="","",'Contractors'!B96)</f>
        <v/>
      </c>
      <c r="M96" s="78">
        <f>IF(L96="","",'Contractors'!L96)</f>
        <v/>
      </c>
      <c r="N96" s="78">
        <f>IF(OR(L96="",M96&lt;&gt;"Yes"),"",IF(COUNTIFS('Vault'!$C$6:$C$1005,"Contract",'Vault'!$D$6:$D$1005,L96)&gt;0,"✓","✗ missing"))</f>
        <v/>
      </c>
      <c r="O96" s="78">
        <f>IF(OR(L96="",M96&lt;&gt;"Yes"),"",IF(COUNTIFS('Vault'!$C$6:$C$1005,"Insurance",'Vault'!$D$6:$D$1005,L96)&gt;0,"✓","✗ missing"))</f>
        <v/>
      </c>
      <c r="P96" s="78">
        <f>IF(OR(L96="",M96&lt;&gt;"Yes"),"",IF(COUNTIFS('Vault'!$C$6:$C$1005,"Quote",'Vault'!$D$6:$D$1005,L96)&gt;0,"✓","✗ missing"))</f>
        <v/>
      </c>
      <c r="Q96" s="78">
        <f>IF(N96="","",IF(AND(N96="✓",O96="✓",P96="✓"),"✓ Complete","Missing documents"))</f>
        <v/>
      </c>
      <c r="R96" s="79">
        <f>IF(Q96="","",IF(Q96="✓ Complete",0,1))</f>
        <v/>
      </c>
    </row>
    <row r="97" ht="20" customHeight="1">
      <c r="B97" s="72" t="n"/>
      <c r="C97" s="72" t="n"/>
      <c r="D97" s="72" t="n"/>
      <c r="E97" s="72" t="n"/>
      <c r="F97" s="72" t="n"/>
      <c r="G97" s="109" t="n"/>
      <c r="H97" s="72" t="n"/>
      <c r="I97" s="78">
        <f>IF(H97="","",HYPERLINK(H97,"Open ↗"))</f>
        <v/>
      </c>
      <c r="J97" s="72" t="n"/>
      <c r="L97" s="116">
        <f>IF('Contractors'!B97="","",'Contractors'!B97)</f>
        <v/>
      </c>
      <c r="M97" s="78">
        <f>IF(L97="","",'Contractors'!L97)</f>
        <v/>
      </c>
      <c r="N97" s="78">
        <f>IF(OR(L97="",M97&lt;&gt;"Yes"),"",IF(COUNTIFS('Vault'!$C$6:$C$1005,"Contract",'Vault'!$D$6:$D$1005,L97)&gt;0,"✓","✗ missing"))</f>
        <v/>
      </c>
      <c r="O97" s="78">
        <f>IF(OR(L97="",M97&lt;&gt;"Yes"),"",IF(COUNTIFS('Vault'!$C$6:$C$1005,"Insurance",'Vault'!$D$6:$D$1005,L97)&gt;0,"✓","✗ missing"))</f>
        <v/>
      </c>
      <c r="P97" s="78">
        <f>IF(OR(L97="",M97&lt;&gt;"Yes"),"",IF(COUNTIFS('Vault'!$C$6:$C$1005,"Quote",'Vault'!$D$6:$D$1005,L97)&gt;0,"✓","✗ missing"))</f>
        <v/>
      </c>
      <c r="Q97" s="78">
        <f>IF(N97="","",IF(AND(N97="✓",O97="✓",P97="✓"),"✓ Complete","Missing documents"))</f>
        <v/>
      </c>
      <c r="R97" s="79">
        <f>IF(Q97="","",IF(Q97="✓ Complete",0,1))</f>
        <v/>
      </c>
    </row>
    <row r="98" ht="20" customHeight="1">
      <c r="B98" s="72" t="n"/>
      <c r="C98" s="72" t="n"/>
      <c r="D98" s="72" t="n"/>
      <c r="E98" s="72" t="n"/>
      <c r="F98" s="72" t="n"/>
      <c r="G98" s="109" t="n"/>
      <c r="H98" s="72" t="n"/>
      <c r="I98" s="78">
        <f>IF(H98="","",HYPERLINK(H98,"Open ↗"))</f>
        <v/>
      </c>
      <c r="J98" s="72" t="n"/>
      <c r="L98" s="116">
        <f>IF('Contractors'!B98="","",'Contractors'!B98)</f>
        <v/>
      </c>
      <c r="M98" s="78">
        <f>IF(L98="","",'Contractors'!L98)</f>
        <v/>
      </c>
      <c r="N98" s="78">
        <f>IF(OR(L98="",M98&lt;&gt;"Yes"),"",IF(COUNTIFS('Vault'!$C$6:$C$1005,"Contract",'Vault'!$D$6:$D$1005,L98)&gt;0,"✓","✗ missing"))</f>
        <v/>
      </c>
      <c r="O98" s="78">
        <f>IF(OR(L98="",M98&lt;&gt;"Yes"),"",IF(COUNTIFS('Vault'!$C$6:$C$1005,"Insurance",'Vault'!$D$6:$D$1005,L98)&gt;0,"✓","✗ missing"))</f>
        <v/>
      </c>
      <c r="P98" s="78">
        <f>IF(OR(L98="",M98&lt;&gt;"Yes"),"",IF(COUNTIFS('Vault'!$C$6:$C$1005,"Quote",'Vault'!$D$6:$D$1005,L98)&gt;0,"✓","✗ missing"))</f>
        <v/>
      </c>
      <c r="Q98" s="78">
        <f>IF(N98="","",IF(AND(N98="✓",O98="✓",P98="✓"),"✓ Complete","Missing documents"))</f>
        <v/>
      </c>
      <c r="R98" s="79">
        <f>IF(Q98="","",IF(Q98="✓ Complete",0,1))</f>
        <v/>
      </c>
    </row>
    <row r="99" ht="20" customHeight="1">
      <c r="B99" s="72" t="n"/>
      <c r="C99" s="72" t="n"/>
      <c r="D99" s="72" t="n"/>
      <c r="E99" s="72" t="n"/>
      <c r="F99" s="72" t="n"/>
      <c r="G99" s="109" t="n"/>
      <c r="H99" s="72" t="n"/>
      <c r="I99" s="78">
        <f>IF(H99="","",HYPERLINK(H99,"Open ↗"))</f>
        <v/>
      </c>
      <c r="J99" s="72" t="n"/>
      <c r="L99" s="116">
        <f>IF('Contractors'!B99="","",'Contractors'!B99)</f>
        <v/>
      </c>
      <c r="M99" s="78">
        <f>IF(L99="","",'Contractors'!L99)</f>
        <v/>
      </c>
      <c r="N99" s="78">
        <f>IF(OR(L99="",M99&lt;&gt;"Yes"),"",IF(COUNTIFS('Vault'!$C$6:$C$1005,"Contract",'Vault'!$D$6:$D$1005,L99)&gt;0,"✓","✗ missing"))</f>
        <v/>
      </c>
      <c r="O99" s="78">
        <f>IF(OR(L99="",M99&lt;&gt;"Yes"),"",IF(COUNTIFS('Vault'!$C$6:$C$1005,"Insurance",'Vault'!$D$6:$D$1005,L99)&gt;0,"✓","✗ missing"))</f>
        <v/>
      </c>
      <c r="P99" s="78">
        <f>IF(OR(L99="",M99&lt;&gt;"Yes"),"",IF(COUNTIFS('Vault'!$C$6:$C$1005,"Quote",'Vault'!$D$6:$D$1005,L99)&gt;0,"✓","✗ missing"))</f>
        <v/>
      </c>
      <c r="Q99" s="78">
        <f>IF(N99="","",IF(AND(N99="✓",O99="✓",P99="✓"),"✓ Complete","Missing documents"))</f>
        <v/>
      </c>
      <c r="R99" s="79">
        <f>IF(Q99="","",IF(Q99="✓ Complete",0,1))</f>
        <v/>
      </c>
    </row>
    <row r="100" ht="20" customHeight="1">
      <c r="B100" s="72" t="n"/>
      <c r="C100" s="72" t="n"/>
      <c r="D100" s="72" t="n"/>
      <c r="E100" s="72" t="n"/>
      <c r="F100" s="72" t="n"/>
      <c r="G100" s="109" t="n"/>
      <c r="H100" s="72" t="n"/>
      <c r="I100" s="78">
        <f>IF(H100="","",HYPERLINK(H100,"Open ↗"))</f>
        <v/>
      </c>
      <c r="J100" s="72" t="n"/>
      <c r="L100" s="116">
        <f>IF('Contractors'!B100="","",'Contractors'!B100)</f>
        <v/>
      </c>
      <c r="M100" s="78">
        <f>IF(L100="","",'Contractors'!L100)</f>
        <v/>
      </c>
      <c r="N100" s="78">
        <f>IF(OR(L100="",M100&lt;&gt;"Yes"),"",IF(COUNTIFS('Vault'!$C$6:$C$1005,"Contract",'Vault'!$D$6:$D$1005,L100)&gt;0,"✓","✗ missing"))</f>
        <v/>
      </c>
      <c r="O100" s="78">
        <f>IF(OR(L100="",M100&lt;&gt;"Yes"),"",IF(COUNTIFS('Vault'!$C$6:$C$1005,"Insurance",'Vault'!$D$6:$D$1005,L100)&gt;0,"✓","✗ missing"))</f>
        <v/>
      </c>
      <c r="P100" s="78">
        <f>IF(OR(L100="",M100&lt;&gt;"Yes"),"",IF(COUNTIFS('Vault'!$C$6:$C$1005,"Quote",'Vault'!$D$6:$D$1005,L100)&gt;0,"✓","✗ missing"))</f>
        <v/>
      </c>
      <c r="Q100" s="78">
        <f>IF(N100="","",IF(AND(N100="✓",O100="✓",P100="✓"),"✓ Complete","Missing documents"))</f>
        <v/>
      </c>
      <c r="R100" s="79">
        <f>IF(Q100="","",IF(Q100="✓ Complete",0,1))</f>
        <v/>
      </c>
    </row>
    <row r="101" ht="20" customHeight="1">
      <c r="B101" s="72" t="n"/>
      <c r="C101" s="72" t="n"/>
      <c r="D101" s="72" t="n"/>
      <c r="E101" s="72" t="n"/>
      <c r="F101" s="72" t="n"/>
      <c r="G101" s="109" t="n"/>
      <c r="H101" s="72" t="n"/>
      <c r="I101" s="78">
        <f>IF(H101="","",HYPERLINK(H101,"Open ↗"))</f>
        <v/>
      </c>
      <c r="J101" s="72" t="n"/>
      <c r="L101" s="116">
        <f>IF('Contractors'!B101="","",'Contractors'!B101)</f>
        <v/>
      </c>
      <c r="M101" s="78">
        <f>IF(L101="","",'Contractors'!L101)</f>
        <v/>
      </c>
      <c r="N101" s="78">
        <f>IF(OR(L101="",M101&lt;&gt;"Yes"),"",IF(COUNTIFS('Vault'!$C$6:$C$1005,"Contract",'Vault'!$D$6:$D$1005,L101)&gt;0,"✓","✗ missing"))</f>
        <v/>
      </c>
      <c r="O101" s="78">
        <f>IF(OR(L101="",M101&lt;&gt;"Yes"),"",IF(COUNTIFS('Vault'!$C$6:$C$1005,"Insurance",'Vault'!$D$6:$D$1005,L101)&gt;0,"✓","✗ missing"))</f>
        <v/>
      </c>
      <c r="P101" s="78">
        <f>IF(OR(L101="",M101&lt;&gt;"Yes"),"",IF(COUNTIFS('Vault'!$C$6:$C$1005,"Quote",'Vault'!$D$6:$D$1005,L101)&gt;0,"✓","✗ missing"))</f>
        <v/>
      </c>
      <c r="Q101" s="78">
        <f>IF(N101="","",IF(AND(N101="✓",O101="✓",P101="✓"),"✓ Complete","Missing documents"))</f>
        <v/>
      </c>
      <c r="R101" s="79">
        <f>IF(Q101="","",IF(Q101="✓ Complete",0,1))</f>
        <v/>
      </c>
    </row>
    <row r="102" ht="20" customHeight="1">
      <c r="B102" s="72" t="n"/>
      <c r="C102" s="72" t="n"/>
      <c r="D102" s="72" t="n"/>
      <c r="E102" s="72" t="n"/>
      <c r="F102" s="72" t="n"/>
      <c r="G102" s="109" t="n"/>
      <c r="H102" s="72" t="n"/>
      <c r="I102" s="78">
        <f>IF(H102="","",HYPERLINK(H102,"Open ↗"))</f>
        <v/>
      </c>
      <c r="J102" s="72" t="n"/>
      <c r="L102" s="116">
        <f>IF('Contractors'!B102="","",'Contractors'!B102)</f>
        <v/>
      </c>
      <c r="M102" s="78">
        <f>IF(L102="","",'Contractors'!L102)</f>
        <v/>
      </c>
      <c r="N102" s="78">
        <f>IF(OR(L102="",M102&lt;&gt;"Yes"),"",IF(COUNTIFS('Vault'!$C$6:$C$1005,"Contract",'Vault'!$D$6:$D$1005,L102)&gt;0,"✓","✗ missing"))</f>
        <v/>
      </c>
      <c r="O102" s="78">
        <f>IF(OR(L102="",M102&lt;&gt;"Yes"),"",IF(COUNTIFS('Vault'!$C$6:$C$1005,"Insurance",'Vault'!$D$6:$D$1005,L102)&gt;0,"✓","✗ missing"))</f>
        <v/>
      </c>
      <c r="P102" s="78">
        <f>IF(OR(L102="",M102&lt;&gt;"Yes"),"",IF(COUNTIFS('Vault'!$C$6:$C$1005,"Quote",'Vault'!$D$6:$D$1005,L102)&gt;0,"✓","✗ missing"))</f>
        <v/>
      </c>
      <c r="Q102" s="78">
        <f>IF(N102="","",IF(AND(N102="✓",O102="✓",P102="✓"),"✓ Complete","Missing documents"))</f>
        <v/>
      </c>
      <c r="R102" s="79">
        <f>IF(Q102="","",IF(Q102="✓ Complete",0,1))</f>
        <v/>
      </c>
    </row>
    <row r="103" ht="20" customHeight="1">
      <c r="B103" s="72" t="n"/>
      <c r="C103" s="72" t="n"/>
      <c r="D103" s="72" t="n"/>
      <c r="E103" s="72" t="n"/>
      <c r="F103" s="72" t="n"/>
      <c r="G103" s="109" t="n"/>
      <c r="H103" s="72" t="n"/>
      <c r="I103" s="78">
        <f>IF(H103="","",HYPERLINK(H103,"Open ↗"))</f>
        <v/>
      </c>
      <c r="J103" s="72" t="n"/>
      <c r="L103" s="116">
        <f>IF('Contractors'!B103="","",'Contractors'!B103)</f>
        <v/>
      </c>
      <c r="M103" s="78">
        <f>IF(L103="","",'Contractors'!L103)</f>
        <v/>
      </c>
      <c r="N103" s="78">
        <f>IF(OR(L103="",M103&lt;&gt;"Yes"),"",IF(COUNTIFS('Vault'!$C$6:$C$1005,"Contract",'Vault'!$D$6:$D$1005,L103)&gt;0,"✓","✗ missing"))</f>
        <v/>
      </c>
      <c r="O103" s="78">
        <f>IF(OR(L103="",M103&lt;&gt;"Yes"),"",IF(COUNTIFS('Vault'!$C$6:$C$1005,"Insurance",'Vault'!$D$6:$D$1005,L103)&gt;0,"✓","✗ missing"))</f>
        <v/>
      </c>
      <c r="P103" s="78">
        <f>IF(OR(L103="",M103&lt;&gt;"Yes"),"",IF(COUNTIFS('Vault'!$C$6:$C$1005,"Quote",'Vault'!$D$6:$D$1005,L103)&gt;0,"✓","✗ missing"))</f>
        <v/>
      </c>
      <c r="Q103" s="78">
        <f>IF(N103="","",IF(AND(N103="✓",O103="✓",P103="✓"),"✓ Complete","Missing documents"))</f>
        <v/>
      </c>
      <c r="R103" s="79">
        <f>IF(Q103="","",IF(Q103="✓ Complete",0,1))</f>
        <v/>
      </c>
    </row>
    <row r="104" ht="20" customHeight="1">
      <c r="B104" s="72" t="n"/>
      <c r="C104" s="72" t="n"/>
      <c r="D104" s="72" t="n"/>
      <c r="E104" s="72" t="n"/>
      <c r="F104" s="72" t="n"/>
      <c r="G104" s="109" t="n"/>
      <c r="H104" s="72" t="n"/>
      <c r="I104" s="78">
        <f>IF(H104="","",HYPERLINK(H104,"Open ↗"))</f>
        <v/>
      </c>
      <c r="J104" s="72" t="n"/>
      <c r="L104" s="116">
        <f>IF('Contractors'!B104="","",'Contractors'!B104)</f>
        <v/>
      </c>
      <c r="M104" s="78">
        <f>IF(L104="","",'Contractors'!L104)</f>
        <v/>
      </c>
      <c r="N104" s="78">
        <f>IF(OR(L104="",M104&lt;&gt;"Yes"),"",IF(COUNTIFS('Vault'!$C$6:$C$1005,"Contract",'Vault'!$D$6:$D$1005,L104)&gt;0,"✓","✗ missing"))</f>
        <v/>
      </c>
      <c r="O104" s="78">
        <f>IF(OR(L104="",M104&lt;&gt;"Yes"),"",IF(COUNTIFS('Vault'!$C$6:$C$1005,"Insurance",'Vault'!$D$6:$D$1005,L104)&gt;0,"✓","✗ missing"))</f>
        <v/>
      </c>
      <c r="P104" s="78">
        <f>IF(OR(L104="",M104&lt;&gt;"Yes"),"",IF(COUNTIFS('Vault'!$C$6:$C$1005,"Quote",'Vault'!$D$6:$D$1005,L104)&gt;0,"✓","✗ missing"))</f>
        <v/>
      </c>
      <c r="Q104" s="78">
        <f>IF(N104="","",IF(AND(N104="✓",O104="✓",P104="✓"),"✓ Complete","Missing documents"))</f>
        <v/>
      </c>
      <c r="R104" s="79">
        <f>IF(Q104="","",IF(Q104="✓ Complete",0,1))</f>
        <v/>
      </c>
    </row>
    <row r="105" ht="20" customHeight="1">
      <c r="B105" s="72" t="n"/>
      <c r="C105" s="72" t="n"/>
      <c r="D105" s="72" t="n"/>
      <c r="E105" s="72" t="n"/>
      <c r="F105" s="72" t="n"/>
      <c r="G105" s="109" t="n"/>
      <c r="H105" s="72" t="n"/>
      <c r="I105" s="78">
        <f>IF(H105="","",HYPERLINK(H105,"Open ↗"))</f>
        <v/>
      </c>
      <c r="J105" s="72" t="n"/>
      <c r="L105" s="116">
        <f>IF('Contractors'!B105="","",'Contractors'!B105)</f>
        <v/>
      </c>
      <c r="M105" s="78">
        <f>IF(L105="","",'Contractors'!L105)</f>
        <v/>
      </c>
      <c r="N105" s="78">
        <f>IF(OR(L105="",M105&lt;&gt;"Yes"),"",IF(COUNTIFS('Vault'!$C$6:$C$1005,"Contract",'Vault'!$D$6:$D$1005,L105)&gt;0,"✓","✗ missing"))</f>
        <v/>
      </c>
      <c r="O105" s="78">
        <f>IF(OR(L105="",M105&lt;&gt;"Yes"),"",IF(COUNTIFS('Vault'!$C$6:$C$1005,"Insurance",'Vault'!$D$6:$D$1005,L105)&gt;0,"✓","✗ missing"))</f>
        <v/>
      </c>
      <c r="P105" s="78">
        <f>IF(OR(L105="",M105&lt;&gt;"Yes"),"",IF(COUNTIFS('Vault'!$C$6:$C$1005,"Quote",'Vault'!$D$6:$D$1005,L105)&gt;0,"✓","✗ missing"))</f>
        <v/>
      </c>
      <c r="Q105" s="78">
        <f>IF(N105="","",IF(AND(N105="✓",O105="✓",P105="✓"),"✓ Complete","Missing documents"))</f>
        <v/>
      </c>
      <c r="R105" s="79">
        <f>IF(Q105="","",IF(Q105="✓ Complete",0,1))</f>
        <v/>
      </c>
    </row>
    <row r="106" ht="20" customHeight="1">
      <c r="B106" s="72" t="n"/>
      <c r="C106" s="72" t="n"/>
      <c r="D106" s="72" t="n"/>
      <c r="E106" s="72" t="n"/>
      <c r="F106" s="72" t="n"/>
      <c r="G106" s="109" t="n"/>
      <c r="H106" s="72" t="n"/>
      <c r="I106" s="78">
        <f>IF(H106="","",HYPERLINK(H106,"Open ↗"))</f>
        <v/>
      </c>
      <c r="J106" s="72" t="n"/>
      <c r="L106" s="116">
        <f>IF('Contractors'!B106="","",'Contractors'!B106)</f>
        <v/>
      </c>
      <c r="M106" s="78">
        <f>IF(L106="","",'Contractors'!L106)</f>
        <v/>
      </c>
      <c r="N106" s="78">
        <f>IF(OR(L106="",M106&lt;&gt;"Yes"),"",IF(COUNTIFS('Vault'!$C$6:$C$1005,"Contract",'Vault'!$D$6:$D$1005,L106)&gt;0,"✓","✗ missing"))</f>
        <v/>
      </c>
      <c r="O106" s="78">
        <f>IF(OR(L106="",M106&lt;&gt;"Yes"),"",IF(COUNTIFS('Vault'!$C$6:$C$1005,"Insurance",'Vault'!$D$6:$D$1005,L106)&gt;0,"✓","✗ missing"))</f>
        <v/>
      </c>
      <c r="P106" s="78">
        <f>IF(OR(L106="",M106&lt;&gt;"Yes"),"",IF(COUNTIFS('Vault'!$C$6:$C$1005,"Quote",'Vault'!$D$6:$D$1005,L106)&gt;0,"✓","✗ missing"))</f>
        <v/>
      </c>
      <c r="Q106" s="78">
        <f>IF(N106="","",IF(AND(N106="✓",O106="✓",P106="✓"),"✓ Complete","Missing documents"))</f>
        <v/>
      </c>
      <c r="R106" s="79">
        <f>IF(Q106="","",IF(Q106="✓ Complete",0,1))</f>
        <v/>
      </c>
    </row>
    <row r="107" ht="20" customHeight="1">
      <c r="B107" s="72" t="n"/>
      <c r="C107" s="72" t="n"/>
      <c r="D107" s="72" t="n"/>
      <c r="E107" s="72" t="n"/>
      <c r="F107" s="72" t="n"/>
      <c r="G107" s="109" t="n"/>
      <c r="H107" s="72" t="n"/>
      <c r="I107" s="78">
        <f>IF(H107="","",HYPERLINK(H107,"Open ↗"))</f>
        <v/>
      </c>
      <c r="J107" s="72" t="n"/>
      <c r="L107" s="116">
        <f>IF('Contractors'!B107="","",'Contractors'!B107)</f>
        <v/>
      </c>
      <c r="M107" s="78">
        <f>IF(L107="","",'Contractors'!L107)</f>
        <v/>
      </c>
      <c r="N107" s="78">
        <f>IF(OR(L107="",M107&lt;&gt;"Yes"),"",IF(COUNTIFS('Vault'!$C$6:$C$1005,"Contract",'Vault'!$D$6:$D$1005,L107)&gt;0,"✓","✗ missing"))</f>
        <v/>
      </c>
      <c r="O107" s="78">
        <f>IF(OR(L107="",M107&lt;&gt;"Yes"),"",IF(COUNTIFS('Vault'!$C$6:$C$1005,"Insurance",'Vault'!$D$6:$D$1005,L107)&gt;0,"✓","✗ missing"))</f>
        <v/>
      </c>
      <c r="P107" s="78">
        <f>IF(OR(L107="",M107&lt;&gt;"Yes"),"",IF(COUNTIFS('Vault'!$C$6:$C$1005,"Quote",'Vault'!$D$6:$D$1005,L107)&gt;0,"✓","✗ missing"))</f>
        <v/>
      </c>
      <c r="Q107" s="78">
        <f>IF(N107="","",IF(AND(N107="✓",O107="✓",P107="✓"),"✓ Complete","Missing documents"))</f>
        <v/>
      </c>
      <c r="R107" s="79">
        <f>IF(Q107="","",IF(Q107="✓ Complete",0,1))</f>
        <v/>
      </c>
    </row>
    <row r="108" ht="20" customHeight="1">
      <c r="B108" s="72" t="n"/>
      <c r="C108" s="72" t="n"/>
      <c r="D108" s="72" t="n"/>
      <c r="E108" s="72" t="n"/>
      <c r="F108" s="72" t="n"/>
      <c r="G108" s="109" t="n"/>
      <c r="H108" s="72" t="n"/>
      <c r="I108" s="78">
        <f>IF(H108="","",HYPERLINK(H108,"Open ↗"))</f>
        <v/>
      </c>
      <c r="J108" s="72" t="n"/>
      <c r="L108" s="116">
        <f>IF('Contractors'!B108="","",'Contractors'!B108)</f>
        <v/>
      </c>
      <c r="M108" s="78">
        <f>IF(L108="","",'Contractors'!L108)</f>
        <v/>
      </c>
      <c r="N108" s="78">
        <f>IF(OR(L108="",M108&lt;&gt;"Yes"),"",IF(COUNTIFS('Vault'!$C$6:$C$1005,"Contract",'Vault'!$D$6:$D$1005,L108)&gt;0,"✓","✗ missing"))</f>
        <v/>
      </c>
      <c r="O108" s="78">
        <f>IF(OR(L108="",M108&lt;&gt;"Yes"),"",IF(COUNTIFS('Vault'!$C$6:$C$1005,"Insurance",'Vault'!$D$6:$D$1005,L108)&gt;0,"✓","✗ missing"))</f>
        <v/>
      </c>
      <c r="P108" s="78">
        <f>IF(OR(L108="",M108&lt;&gt;"Yes"),"",IF(COUNTIFS('Vault'!$C$6:$C$1005,"Quote",'Vault'!$D$6:$D$1005,L108)&gt;0,"✓","✗ missing"))</f>
        <v/>
      </c>
      <c r="Q108" s="78">
        <f>IF(N108="","",IF(AND(N108="✓",O108="✓",P108="✓"),"✓ Complete","Missing documents"))</f>
        <v/>
      </c>
      <c r="R108" s="79">
        <f>IF(Q108="","",IF(Q108="✓ Complete",0,1))</f>
        <v/>
      </c>
    </row>
    <row r="109" ht="20" customHeight="1">
      <c r="B109" s="72" t="n"/>
      <c r="C109" s="72" t="n"/>
      <c r="D109" s="72" t="n"/>
      <c r="E109" s="72" t="n"/>
      <c r="F109" s="72" t="n"/>
      <c r="G109" s="109" t="n"/>
      <c r="H109" s="72" t="n"/>
      <c r="I109" s="78">
        <f>IF(H109="","",HYPERLINK(H109,"Open ↗"))</f>
        <v/>
      </c>
      <c r="J109" s="72" t="n"/>
      <c r="L109" s="116">
        <f>IF('Contractors'!B109="","",'Contractors'!B109)</f>
        <v/>
      </c>
      <c r="M109" s="78">
        <f>IF(L109="","",'Contractors'!L109)</f>
        <v/>
      </c>
      <c r="N109" s="78">
        <f>IF(OR(L109="",M109&lt;&gt;"Yes"),"",IF(COUNTIFS('Vault'!$C$6:$C$1005,"Contract",'Vault'!$D$6:$D$1005,L109)&gt;0,"✓","✗ missing"))</f>
        <v/>
      </c>
      <c r="O109" s="78">
        <f>IF(OR(L109="",M109&lt;&gt;"Yes"),"",IF(COUNTIFS('Vault'!$C$6:$C$1005,"Insurance",'Vault'!$D$6:$D$1005,L109)&gt;0,"✓","✗ missing"))</f>
        <v/>
      </c>
      <c r="P109" s="78">
        <f>IF(OR(L109="",M109&lt;&gt;"Yes"),"",IF(COUNTIFS('Vault'!$C$6:$C$1005,"Quote",'Vault'!$D$6:$D$1005,L109)&gt;0,"✓","✗ missing"))</f>
        <v/>
      </c>
      <c r="Q109" s="78">
        <f>IF(N109="","",IF(AND(N109="✓",O109="✓",P109="✓"),"✓ Complete","Missing documents"))</f>
        <v/>
      </c>
      <c r="R109" s="79">
        <f>IF(Q109="","",IF(Q109="✓ Complete",0,1))</f>
        <v/>
      </c>
    </row>
    <row r="110" ht="20" customHeight="1">
      <c r="B110" s="72" t="n"/>
      <c r="C110" s="72" t="n"/>
      <c r="D110" s="72" t="n"/>
      <c r="E110" s="72" t="n"/>
      <c r="F110" s="72" t="n"/>
      <c r="G110" s="109" t="n"/>
      <c r="H110" s="72" t="n"/>
      <c r="I110" s="78">
        <f>IF(H110="","",HYPERLINK(H110,"Open ↗"))</f>
        <v/>
      </c>
      <c r="J110" s="72" t="n"/>
      <c r="L110" s="116">
        <f>IF('Contractors'!B110="","",'Contractors'!B110)</f>
        <v/>
      </c>
      <c r="M110" s="78">
        <f>IF(L110="","",'Contractors'!L110)</f>
        <v/>
      </c>
      <c r="N110" s="78">
        <f>IF(OR(L110="",M110&lt;&gt;"Yes"),"",IF(COUNTIFS('Vault'!$C$6:$C$1005,"Contract",'Vault'!$D$6:$D$1005,L110)&gt;0,"✓","✗ missing"))</f>
        <v/>
      </c>
      <c r="O110" s="78">
        <f>IF(OR(L110="",M110&lt;&gt;"Yes"),"",IF(COUNTIFS('Vault'!$C$6:$C$1005,"Insurance",'Vault'!$D$6:$D$1005,L110)&gt;0,"✓","✗ missing"))</f>
        <v/>
      </c>
      <c r="P110" s="78">
        <f>IF(OR(L110="",M110&lt;&gt;"Yes"),"",IF(COUNTIFS('Vault'!$C$6:$C$1005,"Quote",'Vault'!$D$6:$D$1005,L110)&gt;0,"✓","✗ missing"))</f>
        <v/>
      </c>
      <c r="Q110" s="78">
        <f>IF(N110="","",IF(AND(N110="✓",O110="✓",P110="✓"),"✓ Complete","Missing documents"))</f>
        <v/>
      </c>
      <c r="R110" s="79">
        <f>IF(Q110="","",IF(Q110="✓ Complete",0,1))</f>
        <v/>
      </c>
    </row>
    <row r="111" ht="20" customHeight="1">
      <c r="B111" s="72" t="n"/>
      <c r="C111" s="72" t="n"/>
      <c r="D111" s="72" t="n"/>
      <c r="E111" s="72" t="n"/>
      <c r="F111" s="72" t="n"/>
      <c r="G111" s="109" t="n"/>
      <c r="H111" s="72" t="n"/>
      <c r="I111" s="78">
        <f>IF(H111="","",HYPERLINK(H111,"Open ↗"))</f>
        <v/>
      </c>
      <c r="J111" s="72" t="n"/>
      <c r="L111" s="116">
        <f>IF('Contractors'!B111="","",'Contractors'!B111)</f>
        <v/>
      </c>
      <c r="M111" s="78">
        <f>IF(L111="","",'Contractors'!L111)</f>
        <v/>
      </c>
      <c r="N111" s="78">
        <f>IF(OR(L111="",M111&lt;&gt;"Yes"),"",IF(COUNTIFS('Vault'!$C$6:$C$1005,"Contract",'Vault'!$D$6:$D$1005,L111)&gt;0,"✓","✗ missing"))</f>
        <v/>
      </c>
      <c r="O111" s="78">
        <f>IF(OR(L111="",M111&lt;&gt;"Yes"),"",IF(COUNTIFS('Vault'!$C$6:$C$1005,"Insurance",'Vault'!$D$6:$D$1005,L111)&gt;0,"✓","✗ missing"))</f>
        <v/>
      </c>
      <c r="P111" s="78">
        <f>IF(OR(L111="",M111&lt;&gt;"Yes"),"",IF(COUNTIFS('Vault'!$C$6:$C$1005,"Quote",'Vault'!$D$6:$D$1005,L111)&gt;0,"✓","✗ missing"))</f>
        <v/>
      </c>
      <c r="Q111" s="78">
        <f>IF(N111="","",IF(AND(N111="✓",O111="✓",P111="✓"),"✓ Complete","Missing documents"))</f>
        <v/>
      </c>
      <c r="R111" s="79">
        <f>IF(Q111="","",IF(Q111="✓ Complete",0,1))</f>
        <v/>
      </c>
    </row>
    <row r="112" ht="20" customHeight="1">
      <c r="B112" s="72" t="n"/>
      <c r="C112" s="72" t="n"/>
      <c r="D112" s="72" t="n"/>
      <c r="E112" s="72" t="n"/>
      <c r="F112" s="72" t="n"/>
      <c r="G112" s="109" t="n"/>
      <c r="H112" s="72" t="n"/>
      <c r="I112" s="78">
        <f>IF(H112="","",HYPERLINK(H112,"Open ↗"))</f>
        <v/>
      </c>
      <c r="J112" s="72" t="n"/>
      <c r="L112" s="116">
        <f>IF('Contractors'!B112="","",'Contractors'!B112)</f>
        <v/>
      </c>
      <c r="M112" s="78">
        <f>IF(L112="","",'Contractors'!L112)</f>
        <v/>
      </c>
      <c r="N112" s="78">
        <f>IF(OR(L112="",M112&lt;&gt;"Yes"),"",IF(COUNTIFS('Vault'!$C$6:$C$1005,"Contract",'Vault'!$D$6:$D$1005,L112)&gt;0,"✓","✗ missing"))</f>
        <v/>
      </c>
      <c r="O112" s="78">
        <f>IF(OR(L112="",M112&lt;&gt;"Yes"),"",IF(COUNTIFS('Vault'!$C$6:$C$1005,"Insurance",'Vault'!$D$6:$D$1005,L112)&gt;0,"✓","✗ missing"))</f>
        <v/>
      </c>
      <c r="P112" s="78">
        <f>IF(OR(L112="",M112&lt;&gt;"Yes"),"",IF(COUNTIFS('Vault'!$C$6:$C$1005,"Quote",'Vault'!$D$6:$D$1005,L112)&gt;0,"✓","✗ missing"))</f>
        <v/>
      </c>
      <c r="Q112" s="78">
        <f>IF(N112="","",IF(AND(N112="✓",O112="✓",P112="✓"),"✓ Complete","Missing documents"))</f>
        <v/>
      </c>
      <c r="R112" s="79">
        <f>IF(Q112="","",IF(Q112="✓ Complete",0,1))</f>
        <v/>
      </c>
    </row>
    <row r="113" ht="20" customHeight="1">
      <c r="B113" s="72" t="n"/>
      <c r="C113" s="72" t="n"/>
      <c r="D113" s="72" t="n"/>
      <c r="E113" s="72" t="n"/>
      <c r="F113" s="72" t="n"/>
      <c r="G113" s="109" t="n"/>
      <c r="H113" s="72" t="n"/>
      <c r="I113" s="78">
        <f>IF(H113="","",HYPERLINK(H113,"Open ↗"))</f>
        <v/>
      </c>
      <c r="J113" s="72" t="n"/>
      <c r="L113" s="116">
        <f>IF('Contractors'!B113="","",'Contractors'!B113)</f>
        <v/>
      </c>
      <c r="M113" s="78">
        <f>IF(L113="","",'Contractors'!L113)</f>
        <v/>
      </c>
      <c r="N113" s="78">
        <f>IF(OR(L113="",M113&lt;&gt;"Yes"),"",IF(COUNTIFS('Vault'!$C$6:$C$1005,"Contract",'Vault'!$D$6:$D$1005,L113)&gt;0,"✓","✗ missing"))</f>
        <v/>
      </c>
      <c r="O113" s="78">
        <f>IF(OR(L113="",M113&lt;&gt;"Yes"),"",IF(COUNTIFS('Vault'!$C$6:$C$1005,"Insurance",'Vault'!$D$6:$D$1005,L113)&gt;0,"✓","✗ missing"))</f>
        <v/>
      </c>
      <c r="P113" s="78">
        <f>IF(OR(L113="",M113&lt;&gt;"Yes"),"",IF(COUNTIFS('Vault'!$C$6:$C$1005,"Quote",'Vault'!$D$6:$D$1005,L113)&gt;0,"✓","✗ missing"))</f>
        <v/>
      </c>
      <c r="Q113" s="78">
        <f>IF(N113="","",IF(AND(N113="✓",O113="✓",P113="✓"),"✓ Complete","Missing documents"))</f>
        <v/>
      </c>
      <c r="R113" s="79">
        <f>IF(Q113="","",IF(Q113="✓ Complete",0,1))</f>
        <v/>
      </c>
    </row>
    <row r="114" ht="20" customHeight="1">
      <c r="B114" s="72" t="n"/>
      <c r="C114" s="72" t="n"/>
      <c r="D114" s="72" t="n"/>
      <c r="E114" s="72" t="n"/>
      <c r="F114" s="72" t="n"/>
      <c r="G114" s="109" t="n"/>
      <c r="H114" s="72" t="n"/>
      <c r="I114" s="78">
        <f>IF(H114="","",HYPERLINK(H114,"Open ↗"))</f>
        <v/>
      </c>
      <c r="J114" s="72" t="n"/>
      <c r="L114" s="116">
        <f>IF('Contractors'!B114="","",'Contractors'!B114)</f>
        <v/>
      </c>
      <c r="M114" s="78">
        <f>IF(L114="","",'Contractors'!L114)</f>
        <v/>
      </c>
      <c r="N114" s="78">
        <f>IF(OR(L114="",M114&lt;&gt;"Yes"),"",IF(COUNTIFS('Vault'!$C$6:$C$1005,"Contract",'Vault'!$D$6:$D$1005,L114)&gt;0,"✓","✗ missing"))</f>
        <v/>
      </c>
      <c r="O114" s="78">
        <f>IF(OR(L114="",M114&lt;&gt;"Yes"),"",IF(COUNTIFS('Vault'!$C$6:$C$1005,"Insurance",'Vault'!$D$6:$D$1005,L114)&gt;0,"✓","✗ missing"))</f>
        <v/>
      </c>
      <c r="P114" s="78">
        <f>IF(OR(L114="",M114&lt;&gt;"Yes"),"",IF(COUNTIFS('Vault'!$C$6:$C$1005,"Quote",'Vault'!$D$6:$D$1005,L114)&gt;0,"✓","✗ missing"))</f>
        <v/>
      </c>
      <c r="Q114" s="78">
        <f>IF(N114="","",IF(AND(N114="✓",O114="✓",P114="✓"),"✓ Complete","Missing documents"))</f>
        <v/>
      </c>
      <c r="R114" s="79">
        <f>IF(Q114="","",IF(Q114="✓ Complete",0,1))</f>
        <v/>
      </c>
    </row>
    <row r="115" ht="20" customHeight="1">
      <c r="B115" s="72" t="n"/>
      <c r="C115" s="72" t="n"/>
      <c r="D115" s="72" t="n"/>
      <c r="E115" s="72" t="n"/>
      <c r="F115" s="72" t="n"/>
      <c r="G115" s="109" t="n"/>
      <c r="H115" s="72" t="n"/>
      <c r="I115" s="78">
        <f>IF(H115="","",HYPERLINK(H115,"Open ↗"))</f>
        <v/>
      </c>
      <c r="J115" s="72" t="n"/>
      <c r="L115" s="116">
        <f>IF('Contractors'!B115="","",'Contractors'!B115)</f>
        <v/>
      </c>
      <c r="M115" s="78">
        <f>IF(L115="","",'Contractors'!L115)</f>
        <v/>
      </c>
      <c r="N115" s="78">
        <f>IF(OR(L115="",M115&lt;&gt;"Yes"),"",IF(COUNTIFS('Vault'!$C$6:$C$1005,"Contract",'Vault'!$D$6:$D$1005,L115)&gt;0,"✓","✗ missing"))</f>
        <v/>
      </c>
      <c r="O115" s="78">
        <f>IF(OR(L115="",M115&lt;&gt;"Yes"),"",IF(COUNTIFS('Vault'!$C$6:$C$1005,"Insurance",'Vault'!$D$6:$D$1005,L115)&gt;0,"✓","✗ missing"))</f>
        <v/>
      </c>
      <c r="P115" s="78">
        <f>IF(OR(L115="",M115&lt;&gt;"Yes"),"",IF(COUNTIFS('Vault'!$C$6:$C$1005,"Quote",'Vault'!$D$6:$D$1005,L115)&gt;0,"✓","✗ missing"))</f>
        <v/>
      </c>
      <c r="Q115" s="78">
        <f>IF(N115="","",IF(AND(N115="✓",O115="✓",P115="✓"),"✓ Complete","Missing documents"))</f>
        <v/>
      </c>
      <c r="R115" s="79">
        <f>IF(Q115="","",IF(Q115="✓ Complete",0,1))</f>
        <v/>
      </c>
    </row>
    <row r="116" ht="20" customHeight="1">
      <c r="B116" s="72" t="n"/>
      <c r="C116" s="72" t="n"/>
      <c r="D116" s="72" t="n"/>
      <c r="E116" s="72" t="n"/>
      <c r="F116" s="72" t="n"/>
      <c r="G116" s="109" t="n"/>
      <c r="H116" s="72" t="n"/>
      <c r="I116" s="78">
        <f>IF(H116="","",HYPERLINK(H116,"Open ↗"))</f>
        <v/>
      </c>
      <c r="J116" s="72" t="n"/>
      <c r="L116" s="116">
        <f>IF('Contractors'!B116="","",'Contractors'!B116)</f>
        <v/>
      </c>
      <c r="M116" s="78">
        <f>IF(L116="","",'Contractors'!L116)</f>
        <v/>
      </c>
      <c r="N116" s="78">
        <f>IF(OR(L116="",M116&lt;&gt;"Yes"),"",IF(COUNTIFS('Vault'!$C$6:$C$1005,"Contract",'Vault'!$D$6:$D$1005,L116)&gt;0,"✓","✗ missing"))</f>
        <v/>
      </c>
      <c r="O116" s="78">
        <f>IF(OR(L116="",M116&lt;&gt;"Yes"),"",IF(COUNTIFS('Vault'!$C$6:$C$1005,"Insurance",'Vault'!$D$6:$D$1005,L116)&gt;0,"✓","✗ missing"))</f>
        <v/>
      </c>
      <c r="P116" s="78">
        <f>IF(OR(L116="",M116&lt;&gt;"Yes"),"",IF(COUNTIFS('Vault'!$C$6:$C$1005,"Quote",'Vault'!$D$6:$D$1005,L116)&gt;0,"✓","✗ missing"))</f>
        <v/>
      </c>
      <c r="Q116" s="78">
        <f>IF(N116="","",IF(AND(N116="✓",O116="✓",P116="✓"),"✓ Complete","Missing documents"))</f>
        <v/>
      </c>
      <c r="R116" s="79">
        <f>IF(Q116="","",IF(Q116="✓ Complete",0,1))</f>
        <v/>
      </c>
    </row>
    <row r="117" ht="20" customHeight="1">
      <c r="B117" s="72" t="n"/>
      <c r="C117" s="72" t="n"/>
      <c r="D117" s="72" t="n"/>
      <c r="E117" s="72" t="n"/>
      <c r="F117" s="72" t="n"/>
      <c r="G117" s="109" t="n"/>
      <c r="H117" s="72" t="n"/>
      <c r="I117" s="78">
        <f>IF(H117="","",HYPERLINK(H117,"Open ↗"))</f>
        <v/>
      </c>
      <c r="J117" s="72" t="n"/>
      <c r="L117" s="116">
        <f>IF('Contractors'!B117="","",'Contractors'!B117)</f>
        <v/>
      </c>
      <c r="M117" s="78">
        <f>IF(L117="","",'Contractors'!L117)</f>
        <v/>
      </c>
      <c r="N117" s="78">
        <f>IF(OR(L117="",M117&lt;&gt;"Yes"),"",IF(COUNTIFS('Vault'!$C$6:$C$1005,"Contract",'Vault'!$D$6:$D$1005,L117)&gt;0,"✓","✗ missing"))</f>
        <v/>
      </c>
      <c r="O117" s="78">
        <f>IF(OR(L117="",M117&lt;&gt;"Yes"),"",IF(COUNTIFS('Vault'!$C$6:$C$1005,"Insurance",'Vault'!$D$6:$D$1005,L117)&gt;0,"✓","✗ missing"))</f>
        <v/>
      </c>
      <c r="P117" s="78">
        <f>IF(OR(L117="",M117&lt;&gt;"Yes"),"",IF(COUNTIFS('Vault'!$C$6:$C$1005,"Quote",'Vault'!$D$6:$D$1005,L117)&gt;0,"✓","✗ missing"))</f>
        <v/>
      </c>
      <c r="Q117" s="78">
        <f>IF(N117="","",IF(AND(N117="✓",O117="✓",P117="✓"),"✓ Complete","Missing documents"))</f>
        <v/>
      </c>
      <c r="R117" s="79">
        <f>IF(Q117="","",IF(Q117="✓ Complete",0,1))</f>
        <v/>
      </c>
    </row>
    <row r="118" ht="20" customHeight="1">
      <c r="B118" s="72" t="n"/>
      <c r="C118" s="72" t="n"/>
      <c r="D118" s="72" t="n"/>
      <c r="E118" s="72" t="n"/>
      <c r="F118" s="72" t="n"/>
      <c r="G118" s="109" t="n"/>
      <c r="H118" s="72" t="n"/>
      <c r="I118" s="78">
        <f>IF(H118="","",HYPERLINK(H118,"Open ↗"))</f>
        <v/>
      </c>
      <c r="J118" s="72" t="n"/>
      <c r="L118" s="116">
        <f>IF('Contractors'!B118="","",'Contractors'!B118)</f>
        <v/>
      </c>
      <c r="M118" s="78">
        <f>IF(L118="","",'Contractors'!L118)</f>
        <v/>
      </c>
      <c r="N118" s="78">
        <f>IF(OR(L118="",M118&lt;&gt;"Yes"),"",IF(COUNTIFS('Vault'!$C$6:$C$1005,"Contract",'Vault'!$D$6:$D$1005,L118)&gt;0,"✓","✗ missing"))</f>
        <v/>
      </c>
      <c r="O118" s="78">
        <f>IF(OR(L118="",M118&lt;&gt;"Yes"),"",IF(COUNTIFS('Vault'!$C$6:$C$1005,"Insurance",'Vault'!$D$6:$D$1005,L118)&gt;0,"✓","✗ missing"))</f>
        <v/>
      </c>
      <c r="P118" s="78">
        <f>IF(OR(L118="",M118&lt;&gt;"Yes"),"",IF(COUNTIFS('Vault'!$C$6:$C$1005,"Quote",'Vault'!$D$6:$D$1005,L118)&gt;0,"✓","✗ missing"))</f>
        <v/>
      </c>
      <c r="Q118" s="78">
        <f>IF(N118="","",IF(AND(N118="✓",O118="✓",P118="✓"),"✓ Complete","Missing documents"))</f>
        <v/>
      </c>
      <c r="R118" s="79">
        <f>IF(Q118="","",IF(Q118="✓ Complete",0,1))</f>
        <v/>
      </c>
    </row>
    <row r="119" ht="20" customHeight="1">
      <c r="B119" s="72" t="n"/>
      <c r="C119" s="72" t="n"/>
      <c r="D119" s="72" t="n"/>
      <c r="E119" s="72" t="n"/>
      <c r="F119" s="72" t="n"/>
      <c r="G119" s="109" t="n"/>
      <c r="H119" s="72" t="n"/>
      <c r="I119" s="78">
        <f>IF(H119="","",HYPERLINK(H119,"Open ↗"))</f>
        <v/>
      </c>
      <c r="J119" s="72" t="n"/>
      <c r="L119" s="116">
        <f>IF('Contractors'!B119="","",'Contractors'!B119)</f>
        <v/>
      </c>
      <c r="M119" s="78">
        <f>IF(L119="","",'Contractors'!L119)</f>
        <v/>
      </c>
      <c r="N119" s="78">
        <f>IF(OR(L119="",M119&lt;&gt;"Yes"),"",IF(COUNTIFS('Vault'!$C$6:$C$1005,"Contract",'Vault'!$D$6:$D$1005,L119)&gt;0,"✓","✗ missing"))</f>
        <v/>
      </c>
      <c r="O119" s="78">
        <f>IF(OR(L119="",M119&lt;&gt;"Yes"),"",IF(COUNTIFS('Vault'!$C$6:$C$1005,"Insurance",'Vault'!$D$6:$D$1005,L119)&gt;0,"✓","✗ missing"))</f>
        <v/>
      </c>
      <c r="P119" s="78">
        <f>IF(OR(L119="",M119&lt;&gt;"Yes"),"",IF(COUNTIFS('Vault'!$C$6:$C$1005,"Quote",'Vault'!$D$6:$D$1005,L119)&gt;0,"✓","✗ missing"))</f>
        <v/>
      </c>
      <c r="Q119" s="78">
        <f>IF(N119="","",IF(AND(N119="✓",O119="✓",P119="✓"),"✓ Complete","Missing documents"))</f>
        <v/>
      </c>
      <c r="R119" s="79">
        <f>IF(Q119="","",IF(Q119="✓ Complete",0,1))</f>
        <v/>
      </c>
    </row>
    <row r="120" ht="20" customHeight="1">
      <c r="B120" s="72" t="n"/>
      <c r="C120" s="72" t="n"/>
      <c r="D120" s="72" t="n"/>
      <c r="E120" s="72" t="n"/>
      <c r="F120" s="72" t="n"/>
      <c r="G120" s="109" t="n"/>
      <c r="H120" s="72" t="n"/>
      <c r="I120" s="78">
        <f>IF(H120="","",HYPERLINK(H120,"Open ↗"))</f>
        <v/>
      </c>
      <c r="J120" s="72" t="n"/>
      <c r="L120" s="116">
        <f>IF('Contractors'!B120="","",'Contractors'!B120)</f>
        <v/>
      </c>
      <c r="M120" s="78">
        <f>IF(L120="","",'Contractors'!L120)</f>
        <v/>
      </c>
      <c r="N120" s="78">
        <f>IF(OR(L120="",M120&lt;&gt;"Yes"),"",IF(COUNTIFS('Vault'!$C$6:$C$1005,"Contract",'Vault'!$D$6:$D$1005,L120)&gt;0,"✓","✗ missing"))</f>
        <v/>
      </c>
      <c r="O120" s="78">
        <f>IF(OR(L120="",M120&lt;&gt;"Yes"),"",IF(COUNTIFS('Vault'!$C$6:$C$1005,"Insurance",'Vault'!$D$6:$D$1005,L120)&gt;0,"✓","✗ missing"))</f>
        <v/>
      </c>
      <c r="P120" s="78">
        <f>IF(OR(L120="",M120&lt;&gt;"Yes"),"",IF(COUNTIFS('Vault'!$C$6:$C$1005,"Quote",'Vault'!$D$6:$D$1005,L120)&gt;0,"✓","✗ missing"))</f>
        <v/>
      </c>
      <c r="Q120" s="78">
        <f>IF(N120="","",IF(AND(N120="✓",O120="✓",P120="✓"),"✓ Complete","Missing documents"))</f>
        <v/>
      </c>
      <c r="R120" s="79">
        <f>IF(Q120="","",IF(Q120="✓ Complete",0,1))</f>
        <v/>
      </c>
    </row>
    <row r="121" ht="20" customHeight="1">
      <c r="B121" s="72" t="n"/>
      <c r="C121" s="72" t="n"/>
      <c r="D121" s="72" t="n"/>
      <c r="E121" s="72" t="n"/>
      <c r="F121" s="72" t="n"/>
      <c r="G121" s="109" t="n"/>
      <c r="H121" s="72" t="n"/>
      <c r="I121" s="78">
        <f>IF(H121="","",HYPERLINK(H121,"Open ↗"))</f>
        <v/>
      </c>
      <c r="J121" s="72" t="n"/>
      <c r="L121" s="116">
        <f>IF('Contractors'!B121="","",'Contractors'!B121)</f>
        <v/>
      </c>
      <c r="M121" s="78">
        <f>IF(L121="","",'Contractors'!L121)</f>
        <v/>
      </c>
      <c r="N121" s="78">
        <f>IF(OR(L121="",M121&lt;&gt;"Yes"),"",IF(COUNTIFS('Vault'!$C$6:$C$1005,"Contract",'Vault'!$D$6:$D$1005,L121)&gt;0,"✓","✗ missing"))</f>
        <v/>
      </c>
      <c r="O121" s="78">
        <f>IF(OR(L121="",M121&lt;&gt;"Yes"),"",IF(COUNTIFS('Vault'!$C$6:$C$1005,"Insurance",'Vault'!$D$6:$D$1005,L121)&gt;0,"✓","✗ missing"))</f>
        <v/>
      </c>
      <c r="P121" s="78">
        <f>IF(OR(L121="",M121&lt;&gt;"Yes"),"",IF(COUNTIFS('Vault'!$C$6:$C$1005,"Quote",'Vault'!$D$6:$D$1005,L121)&gt;0,"✓","✗ missing"))</f>
        <v/>
      </c>
      <c r="Q121" s="78">
        <f>IF(N121="","",IF(AND(N121="✓",O121="✓",P121="✓"),"✓ Complete","Missing documents"))</f>
        <v/>
      </c>
      <c r="R121" s="79">
        <f>IF(Q121="","",IF(Q121="✓ Complete",0,1))</f>
        <v/>
      </c>
    </row>
    <row r="122" ht="20" customHeight="1">
      <c r="B122" s="72" t="n"/>
      <c r="C122" s="72" t="n"/>
      <c r="D122" s="72" t="n"/>
      <c r="E122" s="72" t="n"/>
      <c r="F122" s="72" t="n"/>
      <c r="G122" s="109" t="n"/>
      <c r="H122" s="72" t="n"/>
      <c r="I122" s="78">
        <f>IF(H122="","",HYPERLINK(H122,"Open ↗"))</f>
        <v/>
      </c>
      <c r="J122" s="72" t="n"/>
      <c r="L122" s="116">
        <f>IF('Contractors'!B122="","",'Contractors'!B122)</f>
        <v/>
      </c>
      <c r="M122" s="78">
        <f>IF(L122="","",'Contractors'!L122)</f>
        <v/>
      </c>
      <c r="N122" s="78">
        <f>IF(OR(L122="",M122&lt;&gt;"Yes"),"",IF(COUNTIFS('Vault'!$C$6:$C$1005,"Contract",'Vault'!$D$6:$D$1005,L122)&gt;0,"✓","✗ missing"))</f>
        <v/>
      </c>
      <c r="O122" s="78">
        <f>IF(OR(L122="",M122&lt;&gt;"Yes"),"",IF(COUNTIFS('Vault'!$C$6:$C$1005,"Insurance",'Vault'!$D$6:$D$1005,L122)&gt;0,"✓","✗ missing"))</f>
        <v/>
      </c>
      <c r="P122" s="78">
        <f>IF(OR(L122="",M122&lt;&gt;"Yes"),"",IF(COUNTIFS('Vault'!$C$6:$C$1005,"Quote",'Vault'!$D$6:$D$1005,L122)&gt;0,"✓","✗ missing"))</f>
        <v/>
      </c>
      <c r="Q122" s="78">
        <f>IF(N122="","",IF(AND(N122="✓",O122="✓",P122="✓"),"✓ Complete","Missing documents"))</f>
        <v/>
      </c>
      <c r="R122" s="79">
        <f>IF(Q122="","",IF(Q122="✓ Complete",0,1))</f>
        <v/>
      </c>
    </row>
    <row r="123" ht="20" customHeight="1">
      <c r="B123" s="72" t="n"/>
      <c r="C123" s="72" t="n"/>
      <c r="D123" s="72" t="n"/>
      <c r="E123" s="72" t="n"/>
      <c r="F123" s="72" t="n"/>
      <c r="G123" s="109" t="n"/>
      <c r="H123" s="72" t="n"/>
      <c r="I123" s="78">
        <f>IF(H123="","",HYPERLINK(H123,"Open ↗"))</f>
        <v/>
      </c>
      <c r="J123" s="72" t="n"/>
      <c r="L123" s="116">
        <f>IF('Contractors'!B123="","",'Contractors'!B123)</f>
        <v/>
      </c>
      <c r="M123" s="78">
        <f>IF(L123="","",'Contractors'!L123)</f>
        <v/>
      </c>
      <c r="N123" s="78">
        <f>IF(OR(L123="",M123&lt;&gt;"Yes"),"",IF(COUNTIFS('Vault'!$C$6:$C$1005,"Contract",'Vault'!$D$6:$D$1005,L123)&gt;0,"✓","✗ missing"))</f>
        <v/>
      </c>
      <c r="O123" s="78">
        <f>IF(OR(L123="",M123&lt;&gt;"Yes"),"",IF(COUNTIFS('Vault'!$C$6:$C$1005,"Insurance",'Vault'!$D$6:$D$1005,L123)&gt;0,"✓","✗ missing"))</f>
        <v/>
      </c>
      <c r="P123" s="78">
        <f>IF(OR(L123="",M123&lt;&gt;"Yes"),"",IF(COUNTIFS('Vault'!$C$6:$C$1005,"Quote",'Vault'!$D$6:$D$1005,L123)&gt;0,"✓","✗ missing"))</f>
        <v/>
      </c>
      <c r="Q123" s="78">
        <f>IF(N123="","",IF(AND(N123="✓",O123="✓",P123="✓"),"✓ Complete","Missing documents"))</f>
        <v/>
      </c>
      <c r="R123" s="79">
        <f>IF(Q123="","",IF(Q123="✓ Complete",0,1))</f>
        <v/>
      </c>
    </row>
    <row r="124" ht="20" customHeight="1">
      <c r="B124" s="72" t="n"/>
      <c r="C124" s="72" t="n"/>
      <c r="D124" s="72" t="n"/>
      <c r="E124" s="72" t="n"/>
      <c r="F124" s="72" t="n"/>
      <c r="G124" s="109" t="n"/>
      <c r="H124" s="72" t="n"/>
      <c r="I124" s="78">
        <f>IF(H124="","",HYPERLINK(H124,"Open ↗"))</f>
        <v/>
      </c>
      <c r="J124" s="72" t="n"/>
      <c r="L124" s="116">
        <f>IF('Contractors'!B124="","",'Contractors'!B124)</f>
        <v/>
      </c>
      <c r="M124" s="78">
        <f>IF(L124="","",'Contractors'!L124)</f>
        <v/>
      </c>
      <c r="N124" s="78">
        <f>IF(OR(L124="",M124&lt;&gt;"Yes"),"",IF(COUNTIFS('Vault'!$C$6:$C$1005,"Contract",'Vault'!$D$6:$D$1005,L124)&gt;0,"✓","✗ missing"))</f>
        <v/>
      </c>
      <c r="O124" s="78">
        <f>IF(OR(L124="",M124&lt;&gt;"Yes"),"",IF(COUNTIFS('Vault'!$C$6:$C$1005,"Insurance",'Vault'!$D$6:$D$1005,L124)&gt;0,"✓","✗ missing"))</f>
        <v/>
      </c>
      <c r="P124" s="78">
        <f>IF(OR(L124="",M124&lt;&gt;"Yes"),"",IF(COUNTIFS('Vault'!$C$6:$C$1005,"Quote",'Vault'!$D$6:$D$1005,L124)&gt;0,"✓","✗ missing"))</f>
        <v/>
      </c>
      <c r="Q124" s="78">
        <f>IF(N124="","",IF(AND(N124="✓",O124="✓",P124="✓"),"✓ Complete","Missing documents"))</f>
        <v/>
      </c>
      <c r="R124" s="79">
        <f>IF(Q124="","",IF(Q124="✓ Complete",0,1))</f>
        <v/>
      </c>
    </row>
    <row r="125" ht="20" customHeight="1">
      <c r="B125" s="72" t="n"/>
      <c r="C125" s="72" t="n"/>
      <c r="D125" s="72" t="n"/>
      <c r="E125" s="72" t="n"/>
      <c r="F125" s="72" t="n"/>
      <c r="G125" s="109" t="n"/>
      <c r="H125" s="72" t="n"/>
      <c r="I125" s="78">
        <f>IF(H125="","",HYPERLINK(H125,"Open ↗"))</f>
        <v/>
      </c>
      <c r="J125" s="72" t="n"/>
      <c r="L125" s="116">
        <f>IF('Contractors'!B125="","",'Contractors'!B125)</f>
        <v/>
      </c>
      <c r="M125" s="78">
        <f>IF(L125="","",'Contractors'!L125)</f>
        <v/>
      </c>
      <c r="N125" s="78">
        <f>IF(OR(L125="",M125&lt;&gt;"Yes"),"",IF(COUNTIFS('Vault'!$C$6:$C$1005,"Contract",'Vault'!$D$6:$D$1005,L125)&gt;0,"✓","✗ missing"))</f>
        <v/>
      </c>
      <c r="O125" s="78">
        <f>IF(OR(L125="",M125&lt;&gt;"Yes"),"",IF(COUNTIFS('Vault'!$C$6:$C$1005,"Insurance",'Vault'!$D$6:$D$1005,L125)&gt;0,"✓","✗ missing"))</f>
        <v/>
      </c>
      <c r="P125" s="78">
        <f>IF(OR(L125="",M125&lt;&gt;"Yes"),"",IF(COUNTIFS('Vault'!$C$6:$C$1005,"Quote",'Vault'!$D$6:$D$1005,L125)&gt;0,"✓","✗ missing"))</f>
        <v/>
      </c>
      <c r="Q125" s="78">
        <f>IF(N125="","",IF(AND(N125="✓",O125="✓",P125="✓"),"✓ Complete","Missing documents"))</f>
        <v/>
      </c>
      <c r="R125" s="79">
        <f>IF(Q125="","",IF(Q125="✓ Complete",0,1))</f>
        <v/>
      </c>
    </row>
    <row r="126" ht="20" customHeight="1">
      <c r="B126" s="72" t="n"/>
      <c r="C126" s="72" t="n"/>
      <c r="D126" s="72" t="n"/>
      <c r="E126" s="72" t="n"/>
      <c r="F126" s="72" t="n"/>
      <c r="G126" s="109" t="n"/>
      <c r="H126" s="72" t="n"/>
      <c r="I126" s="78">
        <f>IF(H126="","",HYPERLINK(H126,"Open ↗"))</f>
        <v/>
      </c>
      <c r="J126" s="72" t="n"/>
      <c r="L126" s="116">
        <f>IF('Contractors'!B126="","",'Contractors'!B126)</f>
        <v/>
      </c>
      <c r="M126" s="78">
        <f>IF(L126="","",'Contractors'!L126)</f>
        <v/>
      </c>
      <c r="N126" s="78">
        <f>IF(OR(L126="",M126&lt;&gt;"Yes"),"",IF(COUNTIFS('Vault'!$C$6:$C$1005,"Contract",'Vault'!$D$6:$D$1005,L126)&gt;0,"✓","✗ missing"))</f>
        <v/>
      </c>
      <c r="O126" s="78">
        <f>IF(OR(L126="",M126&lt;&gt;"Yes"),"",IF(COUNTIFS('Vault'!$C$6:$C$1005,"Insurance",'Vault'!$D$6:$D$1005,L126)&gt;0,"✓","✗ missing"))</f>
        <v/>
      </c>
      <c r="P126" s="78">
        <f>IF(OR(L126="",M126&lt;&gt;"Yes"),"",IF(COUNTIFS('Vault'!$C$6:$C$1005,"Quote",'Vault'!$D$6:$D$1005,L126)&gt;0,"✓","✗ missing"))</f>
        <v/>
      </c>
      <c r="Q126" s="78">
        <f>IF(N126="","",IF(AND(N126="✓",O126="✓",P126="✓"),"✓ Complete","Missing documents"))</f>
        <v/>
      </c>
      <c r="R126" s="79">
        <f>IF(Q126="","",IF(Q126="✓ Complete",0,1))</f>
        <v/>
      </c>
    </row>
    <row r="127" ht="20" customHeight="1">
      <c r="B127" s="72" t="n"/>
      <c r="C127" s="72" t="n"/>
      <c r="D127" s="72" t="n"/>
      <c r="E127" s="72" t="n"/>
      <c r="F127" s="72" t="n"/>
      <c r="G127" s="109" t="n"/>
      <c r="H127" s="72" t="n"/>
      <c r="I127" s="78">
        <f>IF(H127="","",HYPERLINK(H127,"Open ↗"))</f>
        <v/>
      </c>
      <c r="J127" s="72" t="n"/>
      <c r="L127" s="116">
        <f>IF('Contractors'!B127="","",'Contractors'!B127)</f>
        <v/>
      </c>
      <c r="M127" s="78">
        <f>IF(L127="","",'Contractors'!L127)</f>
        <v/>
      </c>
      <c r="N127" s="78">
        <f>IF(OR(L127="",M127&lt;&gt;"Yes"),"",IF(COUNTIFS('Vault'!$C$6:$C$1005,"Contract",'Vault'!$D$6:$D$1005,L127)&gt;0,"✓","✗ missing"))</f>
        <v/>
      </c>
      <c r="O127" s="78">
        <f>IF(OR(L127="",M127&lt;&gt;"Yes"),"",IF(COUNTIFS('Vault'!$C$6:$C$1005,"Insurance",'Vault'!$D$6:$D$1005,L127)&gt;0,"✓","✗ missing"))</f>
        <v/>
      </c>
      <c r="P127" s="78">
        <f>IF(OR(L127="",M127&lt;&gt;"Yes"),"",IF(COUNTIFS('Vault'!$C$6:$C$1005,"Quote",'Vault'!$D$6:$D$1005,L127)&gt;0,"✓","✗ missing"))</f>
        <v/>
      </c>
      <c r="Q127" s="78">
        <f>IF(N127="","",IF(AND(N127="✓",O127="✓",P127="✓"),"✓ Complete","Missing documents"))</f>
        <v/>
      </c>
      <c r="R127" s="79">
        <f>IF(Q127="","",IF(Q127="✓ Complete",0,1))</f>
        <v/>
      </c>
    </row>
    <row r="128" ht="20" customHeight="1">
      <c r="B128" s="72" t="n"/>
      <c r="C128" s="72" t="n"/>
      <c r="D128" s="72" t="n"/>
      <c r="E128" s="72" t="n"/>
      <c r="F128" s="72" t="n"/>
      <c r="G128" s="109" t="n"/>
      <c r="H128" s="72" t="n"/>
      <c r="I128" s="78">
        <f>IF(H128="","",HYPERLINK(H128,"Open ↗"))</f>
        <v/>
      </c>
      <c r="J128" s="72" t="n"/>
      <c r="L128" s="116">
        <f>IF('Contractors'!B128="","",'Contractors'!B128)</f>
        <v/>
      </c>
      <c r="M128" s="78">
        <f>IF(L128="","",'Contractors'!L128)</f>
        <v/>
      </c>
      <c r="N128" s="78">
        <f>IF(OR(L128="",M128&lt;&gt;"Yes"),"",IF(COUNTIFS('Vault'!$C$6:$C$1005,"Contract",'Vault'!$D$6:$D$1005,L128)&gt;0,"✓","✗ missing"))</f>
        <v/>
      </c>
      <c r="O128" s="78">
        <f>IF(OR(L128="",M128&lt;&gt;"Yes"),"",IF(COUNTIFS('Vault'!$C$6:$C$1005,"Insurance",'Vault'!$D$6:$D$1005,L128)&gt;0,"✓","✗ missing"))</f>
        <v/>
      </c>
      <c r="P128" s="78">
        <f>IF(OR(L128="",M128&lt;&gt;"Yes"),"",IF(COUNTIFS('Vault'!$C$6:$C$1005,"Quote",'Vault'!$D$6:$D$1005,L128)&gt;0,"✓","✗ missing"))</f>
        <v/>
      </c>
      <c r="Q128" s="78">
        <f>IF(N128="","",IF(AND(N128="✓",O128="✓",P128="✓"),"✓ Complete","Missing documents"))</f>
        <v/>
      </c>
      <c r="R128" s="79">
        <f>IF(Q128="","",IF(Q128="✓ Complete",0,1))</f>
        <v/>
      </c>
    </row>
    <row r="129" ht="20" customHeight="1">
      <c r="B129" s="72" t="n"/>
      <c r="C129" s="72" t="n"/>
      <c r="D129" s="72" t="n"/>
      <c r="E129" s="72" t="n"/>
      <c r="F129" s="72" t="n"/>
      <c r="G129" s="109" t="n"/>
      <c r="H129" s="72" t="n"/>
      <c r="I129" s="78">
        <f>IF(H129="","",HYPERLINK(H129,"Open ↗"))</f>
        <v/>
      </c>
      <c r="J129" s="72" t="n"/>
      <c r="L129" s="116">
        <f>IF('Contractors'!B129="","",'Contractors'!B129)</f>
        <v/>
      </c>
      <c r="M129" s="78">
        <f>IF(L129="","",'Contractors'!L129)</f>
        <v/>
      </c>
      <c r="N129" s="78">
        <f>IF(OR(L129="",M129&lt;&gt;"Yes"),"",IF(COUNTIFS('Vault'!$C$6:$C$1005,"Contract",'Vault'!$D$6:$D$1005,L129)&gt;0,"✓","✗ missing"))</f>
        <v/>
      </c>
      <c r="O129" s="78">
        <f>IF(OR(L129="",M129&lt;&gt;"Yes"),"",IF(COUNTIFS('Vault'!$C$6:$C$1005,"Insurance",'Vault'!$D$6:$D$1005,L129)&gt;0,"✓","✗ missing"))</f>
        <v/>
      </c>
      <c r="P129" s="78">
        <f>IF(OR(L129="",M129&lt;&gt;"Yes"),"",IF(COUNTIFS('Vault'!$C$6:$C$1005,"Quote",'Vault'!$D$6:$D$1005,L129)&gt;0,"✓","✗ missing"))</f>
        <v/>
      </c>
      <c r="Q129" s="78">
        <f>IF(N129="","",IF(AND(N129="✓",O129="✓",P129="✓"),"✓ Complete","Missing documents"))</f>
        <v/>
      </c>
      <c r="R129" s="79">
        <f>IF(Q129="","",IF(Q129="✓ Complete",0,1))</f>
        <v/>
      </c>
    </row>
    <row r="130" ht="20" customHeight="1">
      <c r="B130" s="72" t="n"/>
      <c r="C130" s="72" t="n"/>
      <c r="D130" s="72" t="n"/>
      <c r="E130" s="72" t="n"/>
      <c r="F130" s="72" t="n"/>
      <c r="G130" s="109" t="n"/>
      <c r="H130" s="72" t="n"/>
      <c r="I130" s="78">
        <f>IF(H130="","",HYPERLINK(H130,"Open ↗"))</f>
        <v/>
      </c>
      <c r="J130" s="72" t="n"/>
      <c r="L130" s="116">
        <f>IF('Contractors'!B130="","",'Contractors'!B130)</f>
        <v/>
      </c>
      <c r="M130" s="78">
        <f>IF(L130="","",'Contractors'!L130)</f>
        <v/>
      </c>
      <c r="N130" s="78">
        <f>IF(OR(L130="",M130&lt;&gt;"Yes"),"",IF(COUNTIFS('Vault'!$C$6:$C$1005,"Contract",'Vault'!$D$6:$D$1005,L130)&gt;0,"✓","✗ missing"))</f>
        <v/>
      </c>
      <c r="O130" s="78">
        <f>IF(OR(L130="",M130&lt;&gt;"Yes"),"",IF(COUNTIFS('Vault'!$C$6:$C$1005,"Insurance",'Vault'!$D$6:$D$1005,L130)&gt;0,"✓","✗ missing"))</f>
        <v/>
      </c>
      <c r="P130" s="78">
        <f>IF(OR(L130="",M130&lt;&gt;"Yes"),"",IF(COUNTIFS('Vault'!$C$6:$C$1005,"Quote",'Vault'!$D$6:$D$1005,L130)&gt;0,"✓","✗ missing"))</f>
        <v/>
      </c>
      <c r="Q130" s="78">
        <f>IF(N130="","",IF(AND(N130="✓",O130="✓",P130="✓"),"✓ Complete","Missing documents"))</f>
        <v/>
      </c>
      <c r="R130" s="79">
        <f>IF(Q130="","",IF(Q130="✓ Complete",0,1))</f>
        <v/>
      </c>
    </row>
    <row r="131" ht="20" customHeight="1">
      <c r="B131" s="72" t="n"/>
      <c r="C131" s="72" t="n"/>
      <c r="D131" s="72" t="n"/>
      <c r="E131" s="72" t="n"/>
      <c r="F131" s="72" t="n"/>
      <c r="G131" s="109" t="n"/>
      <c r="H131" s="72" t="n"/>
      <c r="I131" s="78">
        <f>IF(H131="","",HYPERLINK(H131,"Open ↗"))</f>
        <v/>
      </c>
      <c r="J131" s="72" t="n"/>
      <c r="L131" s="116">
        <f>IF('Contractors'!B131="","",'Contractors'!B131)</f>
        <v/>
      </c>
      <c r="M131" s="78">
        <f>IF(L131="","",'Contractors'!L131)</f>
        <v/>
      </c>
      <c r="N131" s="78">
        <f>IF(OR(L131="",M131&lt;&gt;"Yes"),"",IF(COUNTIFS('Vault'!$C$6:$C$1005,"Contract",'Vault'!$D$6:$D$1005,L131)&gt;0,"✓","✗ missing"))</f>
        <v/>
      </c>
      <c r="O131" s="78">
        <f>IF(OR(L131="",M131&lt;&gt;"Yes"),"",IF(COUNTIFS('Vault'!$C$6:$C$1005,"Insurance",'Vault'!$D$6:$D$1005,L131)&gt;0,"✓","✗ missing"))</f>
        <v/>
      </c>
      <c r="P131" s="78">
        <f>IF(OR(L131="",M131&lt;&gt;"Yes"),"",IF(COUNTIFS('Vault'!$C$6:$C$1005,"Quote",'Vault'!$D$6:$D$1005,L131)&gt;0,"✓","✗ missing"))</f>
        <v/>
      </c>
      <c r="Q131" s="78">
        <f>IF(N131="","",IF(AND(N131="✓",O131="✓",P131="✓"),"✓ Complete","Missing documents"))</f>
        <v/>
      </c>
      <c r="R131" s="79">
        <f>IF(Q131="","",IF(Q131="✓ Complete",0,1))</f>
        <v/>
      </c>
    </row>
    <row r="132" ht="20" customHeight="1">
      <c r="B132" s="72" t="n"/>
      <c r="C132" s="72" t="n"/>
      <c r="D132" s="72" t="n"/>
      <c r="E132" s="72" t="n"/>
      <c r="F132" s="72" t="n"/>
      <c r="G132" s="109" t="n"/>
      <c r="H132" s="72" t="n"/>
      <c r="I132" s="78">
        <f>IF(H132="","",HYPERLINK(H132,"Open ↗"))</f>
        <v/>
      </c>
      <c r="J132" s="72" t="n"/>
      <c r="L132" s="116">
        <f>IF('Contractors'!B132="","",'Contractors'!B132)</f>
        <v/>
      </c>
      <c r="M132" s="78">
        <f>IF(L132="","",'Contractors'!L132)</f>
        <v/>
      </c>
      <c r="N132" s="78">
        <f>IF(OR(L132="",M132&lt;&gt;"Yes"),"",IF(COUNTIFS('Vault'!$C$6:$C$1005,"Contract",'Vault'!$D$6:$D$1005,L132)&gt;0,"✓","✗ missing"))</f>
        <v/>
      </c>
      <c r="O132" s="78">
        <f>IF(OR(L132="",M132&lt;&gt;"Yes"),"",IF(COUNTIFS('Vault'!$C$6:$C$1005,"Insurance",'Vault'!$D$6:$D$1005,L132)&gt;0,"✓","✗ missing"))</f>
        <v/>
      </c>
      <c r="P132" s="78">
        <f>IF(OR(L132="",M132&lt;&gt;"Yes"),"",IF(COUNTIFS('Vault'!$C$6:$C$1005,"Quote",'Vault'!$D$6:$D$1005,L132)&gt;0,"✓","✗ missing"))</f>
        <v/>
      </c>
      <c r="Q132" s="78">
        <f>IF(N132="","",IF(AND(N132="✓",O132="✓",P132="✓"),"✓ Complete","Missing documents"))</f>
        <v/>
      </c>
      <c r="R132" s="79">
        <f>IF(Q132="","",IF(Q132="✓ Complete",0,1))</f>
        <v/>
      </c>
    </row>
    <row r="133" ht="20" customHeight="1">
      <c r="B133" s="72" t="n"/>
      <c r="C133" s="72" t="n"/>
      <c r="D133" s="72" t="n"/>
      <c r="E133" s="72" t="n"/>
      <c r="F133" s="72" t="n"/>
      <c r="G133" s="109" t="n"/>
      <c r="H133" s="72" t="n"/>
      <c r="I133" s="78">
        <f>IF(H133="","",HYPERLINK(H133,"Open ↗"))</f>
        <v/>
      </c>
      <c r="J133" s="72" t="n"/>
      <c r="L133" s="116">
        <f>IF('Contractors'!B133="","",'Contractors'!B133)</f>
        <v/>
      </c>
      <c r="M133" s="78">
        <f>IF(L133="","",'Contractors'!L133)</f>
        <v/>
      </c>
      <c r="N133" s="78">
        <f>IF(OR(L133="",M133&lt;&gt;"Yes"),"",IF(COUNTIFS('Vault'!$C$6:$C$1005,"Contract",'Vault'!$D$6:$D$1005,L133)&gt;0,"✓","✗ missing"))</f>
        <v/>
      </c>
      <c r="O133" s="78">
        <f>IF(OR(L133="",M133&lt;&gt;"Yes"),"",IF(COUNTIFS('Vault'!$C$6:$C$1005,"Insurance",'Vault'!$D$6:$D$1005,L133)&gt;0,"✓","✗ missing"))</f>
        <v/>
      </c>
      <c r="P133" s="78">
        <f>IF(OR(L133="",M133&lt;&gt;"Yes"),"",IF(COUNTIFS('Vault'!$C$6:$C$1005,"Quote",'Vault'!$D$6:$D$1005,L133)&gt;0,"✓","✗ missing"))</f>
        <v/>
      </c>
      <c r="Q133" s="78">
        <f>IF(N133="","",IF(AND(N133="✓",O133="✓",P133="✓"),"✓ Complete","Missing documents"))</f>
        <v/>
      </c>
      <c r="R133" s="79">
        <f>IF(Q133="","",IF(Q133="✓ Complete",0,1))</f>
        <v/>
      </c>
    </row>
    <row r="134" ht="20" customHeight="1">
      <c r="B134" s="72" t="n"/>
      <c r="C134" s="72" t="n"/>
      <c r="D134" s="72" t="n"/>
      <c r="E134" s="72" t="n"/>
      <c r="F134" s="72" t="n"/>
      <c r="G134" s="109" t="n"/>
      <c r="H134" s="72" t="n"/>
      <c r="I134" s="78">
        <f>IF(H134="","",HYPERLINK(H134,"Open ↗"))</f>
        <v/>
      </c>
      <c r="J134" s="72" t="n"/>
      <c r="L134" s="116">
        <f>IF('Contractors'!B134="","",'Contractors'!B134)</f>
        <v/>
      </c>
      <c r="M134" s="78">
        <f>IF(L134="","",'Contractors'!L134)</f>
        <v/>
      </c>
      <c r="N134" s="78">
        <f>IF(OR(L134="",M134&lt;&gt;"Yes"),"",IF(COUNTIFS('Vault'!$C$6:$C$1005,"Contract",'Vault'!$D$6:$D$1005,L134)&gt;0,"✓","✗ missing"))</f>
        <v/>
      </c>
      <c r="O134" s="78">
        <f>IF(OR(L134="",M134&lt;&gt;"Yes"),"",IF(COUNTIFS('Vault'!$C$6:$C$1005,"Insurance",'Vault'!$D$6:$D$1005,L134)&gt;0,"✓","✗ missing"))</f>
        <v/>
      </c>
      <c r="P134" s="78">
        <f>IF(OR(L134="",M134&lt;&gt;"Yes"),"",IF(COUNTIFS('Vault'!$C$6:$C$1005,"Quote",'Vault'!$D$6:$D$1005,L134)&gt;0,"✓","✗ missing"))</f>
        <v/>
      </c>
      <c r="Q134" s="78">
        <f>IF(N134="","",IF(AND(N134="✓",O134="✓",P134="✓"),"✓ Complete","Missing documents"))</f>
        <v/>
      </c>
      <c r="R134" s="79">
        <f>IF(Q134="","",IF(Q134="✓ Complete",0,1))</f>
        <v/>
      </c>
    </row>
    <row r="135" ht="20" customHeight="1">
      <c r="B135" s="72" t="n"/>
      <c r="C135" s="72" t="n"/>
      <c r="D135" s="72" t="n"/>
      <c r="E135" s="72" t="n"/>
      <c r="F135" s="72" t="n"/>
      <c r="G135" s="109" t="n"/>
      <c r="H135" s="72" t="n"/>
      <c r="I135" s="78">
        <f>IF(H135="","",HYPERLINK(H135,"Open ↗"))</f>
        <v/>
      </c>
      <c r="J135" s="72" t="n"/>
      <c r="L135" s="116">
        <f>IF('Contractors'!B135="","",'Contractors'!B135)</f>
        <v/>
      </c>
      <c r="M135" s="78">
        <f>IF(L135="","",'Contractors'!L135)</f>
        <v/>
      </c>
      <c r="N135" s="78">
        <f>IF(OR(L135="",M135&lt;&gt;"Yes"),"",IF(COUNTIFS('Vault'!$C$6:$C$1005,"Contract",'Vault'!$D$6:$D$1005,L135)&gt;0,"✓","✗ missing"))</f>
        <v/>
      </c>
      <c r="O135" s="78">
        <f>IF(OR(L135="",M135&lt;&gt;"Yes"),"",IF(COUNTIFS('Vault'!$C$6:$C$1005,"Insurance",'Vault'!$D$6:$D$1005,L135)&gt;0,"✓","✗ missing"))</f>
        <v/>
      </c>
      <c r="P135" s="78">
        <f>IF(OR(L135="",M135&lt;&gt;"Yes"),"",IF(COUNTIFS('Vault'!$C$6:$C$1005,"Quote",'Vault'!$D$6:$D$1005,L135)&gt;0,"✓","✗ missing"))</f>
        <v/>
      </c>
      <c r="Q135" s="78">
        <f>IF(N135="","",IF(AND(N135="✓",O135="✓",P135="✓"),"✓ Complete","Missing documents"))</f>
        <v/>
      </c>
      <c r="R135" s="79">
        <f>IF(Q135="","",IF(Q135="✓ Complete",0,1))</f>
        <v/>
      </c>
    </row>
    <row r="136" ht="20" customHeight="1">
      <c r="B136" s="72" t="n"/>
      <c r="C136" s="72" t="n"/>
      <c r="D136" s="72" t="n"/>
      <c r="E136" s="72" t="n"/>
      <c r="F136" s="72" t="n"/>
      <c r="G136" s="109" t="n"/>
      <c r="H136" s="72" t="n"/>
      <c r="I136" s="78">
        <f>IF(H136="","",HYPERLINK(H136,"Open ↗"))</f>
        <v/>
      </c>
      <c r="J136" s="72" t="n"/>
      <c r="L136" s="116">
        <f>IF('Contractors'!B136="","",'Contractors'!B136)</f>
        <v/>
      </c>
      <c r="M136" s="78">
        <f>IF(L136="","",'Contractors'!L136)</f>
        <v/>
      </c>
      <c r="N136" s="78">
        <f>IF(OR(L136="",M136&lt;&gt;"Yes"),"",IF(COUNTIFS('Vault'!$C$6:$C$1005,"Contract",'Vault'!$D$6:$D$1005,L136)&gt;0,"✓","✗ missing"))</f>
        <v/>
      </c>
      <c r="O136" s="78">
        <f>IF(OR(L136="",M136&lt;&gt;"Yes"),"",IF(COUNTIFS('Vault'!$C$6:$C$1005,"Insurance",'Vault'!$D$6:$D$1005,L136)&gt;0,"✓","✗ missing"))</f>
        <v/>
      </c>
      <c r="P136" s="78">
        <f>IF(OR(L136="",M136&lt;&gt;"Yes"),"",IF(COUNTIFS('Vault'!$C$6:$C$1005,"Quote",'Vault'!$D$6:$D$1005,L136)&gt;0,"✓","✗ missing"))</f>
        <v/>
      </c>
      <c r="Q136" s="78">
        <f>IF(N136="","",IF(AND(N136="✓",O136="✓",P136="✓"),"✓ Complete","Missing documents"))</f>
        <v/>
      </c>
      <c r="R136" s="79">
        <f>IF(Q136="","",IF(Q136="✓ Complete",0,1))</f>
        <v/>
      </c>
    </row>
    <row r="137" ht="20" customHeight="1">
      <c r="B137" s="72" t="n"/>
      <c r="C137" s="72" t="n"/>
      <c r="D137" s="72" t="n"/>
      <c r="E137" s="72" t="n"/>
      <c r="F137" s="72" t="n"/>
      <c r="G137" s="109" t="n"/>
      <c r="H137" s="72" t="n"/>
      <c r="I137" s="78">
        <f>IF(H137="","",HYPERLINK(H137,"Open ↗"))</f>
        <v/>
      </c>
      <c r="J137" s="72" t="n"/>
      <c r="L137" s="116">
        <f>IF('Contractors'!B137="","",'Contractors'!B137)</f>
        <v/>
      </c>
      <c r="M137" s="78">
        <f>IF(L137="","",'Contractors'!L137)</f>
        <v/>
      </c>
      <c r="N137" s="78">
        <f>IF(OR(L137="",M137&lt;&gt;"Yes"),"",IF(COUNTIFS('Vault'!$C$6:$C$1005,"Contract",'Vault'!$D$6:$D$1005,L137)&gt;0,"✓","✗ missing"))</f>
        <v/>
      </c>
      <c r="O137" s="78">
        <f>IF(OR(L137="",M137&lt;&gt;"Yes"),"",IF(COUNTIFS('Vault'!$C$6:$C$1005,"Insurance",'Vault'!$D$6:$D$1005,L137)&gt;0,"✓","✗ missing"))</f>
        <v/>
      </c>
      <c r="P137" s="78">
        <f>IF(OR(L137="",M137&lt;&gt;"Yes"),"",IF(COUNTIFS('Vault'!$C$6:$C$1005,"Quote",'Vault'!$D$6:$D$1005,L137)&gt;0,"✓","✗ missing"))</f>
        <v/>
      </c>
      <c r="Q137" s="78">
        <f>IF(N137="","",IF(AND(N137="✓",O137="✓",P137="✓"),"✓ Complete","Missing documents"))</f>
        <v/>
      </c>
      <c r="R137" s="79">
        <f>IF(Q137="","",IF(Q137="✓ Complete",0,1))</f>
        <v/>
      </c>
    </row>
    <row r="138" ht="20" customHeight="1">
      <c r="B138" s="72" t="n"/>
      <c r="C138" s="72" t="n"/>
      <c r="D138" s="72" t="n"/>
      <c r="E138" s="72" t="n"/>
      <c r="F138" s="72" t="n"/>
      <c r="G138" s="109" t="n"/>
      <c r="H138" s="72" t="n"/>
      <c r="I138" s="78">
        <f>IF(H138="","",HYPERLINK(H138,"Open ↗"))</f>
        <v/>
      </c>
      <c r="J138" s="72" t="n"/>
      <c r="L138" s="116">
        <f>IF('Contractors'!B138="","",'Contractors'!B138)</f>
        <v/>
      </c>
      <c r="M138" s="78">
        <f>IF(L138="","",'Contractors'!L138)</f>
        <v/>
      </c>
      <c r="N138" s="78">
        <f>IF(OR(L138="",M138&lt;&gt;"Yes"),"",IF(COUNTIFS('Vault'!$C$6:$C$1005,"Contract",'Vault'!$D$6:$D$1005,L138)&gt;0,"✓","✗ missing"))</f>
        <v/>
      </c>
      <c r="O138" s="78">
        <f>IF(OR(L138="",M138&lt;&gt;"Yes"),"",IF(COUNTIFS('Vault'!$C$6:$C$1005,"Insurance",'Vault'!$D$6:$D$1005,L138)&gt;0,"✓","✗ missing"))</f>
        <v/>
      </c>
      <c r="P138" s="78">
        <f>IF(OR(L138="",M138&lt;&gt;"Yes"),"",IF(COUNTIFS('Vault'!$C$6:$C$1005,"Quote",'Vault'!$D$6:$D$1005,L138)&gt;0,"✓","✗ missing"))</f>
        <v/>
      </c>
      <c r="Q138" s="78">
        <f>IF(N138="","",IF(AND(N138="✓",O138="✓",P138="✓"),"✓ Complete","Missing documents"))</f>
        <v/>
      </c>
      <c r="R138" s="79">
        <f>IF(Q138="","",IF(Q138="✓ Complete",0,1))</f>
        <v/>
      </c>
    </row>
    <row r="139" ht="20" customHeight="1">
      <c r="B139" s="72" t="n"/>
      <c r="C139" s="72" t="n"/>
      <c r="D139" s="72" t="n"/>
      <c r="E139" s="72" t="n"/>
      <c r="F139" s="72" t="n"/>
      <c r="G139" s="109" t="n"/>
      <c r="H139" s="72" t="n"/>
      <c r="I139" s="78">
        <f>IF(H139="","",HYPERLINK(H139,"Open ↗"))</f>
        <v/>
      </c>
      <c r="J139" s="72" t="n"/>
      <c r="L139" s="116">
        <f>IF('Contractors'!B139="","",'Contractors'!B139)</f>
        <v/>
      </c>
      <c r="M139" s="78">
        <f>IF(L139="","",'Contractors'!L139)</f>
        <v/>
      </c>
      <c r="N139" s="78">
        <f>IF(OR(L139="",M139&lt;&gt;"Yes"),"",IF(COUNTIFS('Vault'!$C$6:$C$1005,"Contract",'Vault'!$D$6:$D$1005,L139)&gt;0,"✓","✗ missing"))</f>
        <v/>
      </c>
      <c r="O139" s="78">
        <f>IF(OR(L139="",M139&lt;&gt;"Yes"),"",IF(COUNTIFS('Vault'!$C$6:$C$1005,"Insurance",'Vault'!$D$6:$D$1005,L139)&gt;0,"✓","✗ missing"))</f>
        <v/>
      </c>
      <c r="P139" s="78">
        <f>IF(OR(L139="",M139&lt;&gt;"Yes"),"",IF(COUNTIFS('Vault'!$C$6:$C$1005,"Quote",'Vault'!$D$6:$D$1005,L139)&gt;0,"✓","✗ missing"))</f>
        <v/>
      </c>
      <c r="Q139" s="78">
        <f>IF(N139="","",IF(AND(N139="✓",O139="✓",P139="✓"),"✓ Complete","Missing documents"))</f>
        <v/>
      </c>
      <c r="R139" s="79">
        <f>IF(Q139="","",IF(Q139="✓ Complete",0,1))</f>
        <v/>
      </c>
    </row>
    <row r="140" ht="20" customHeight="1">
      <c r="B140" s="72" t="n"/>
      <c r="C140" s="72" t="n"/>
      <c r="D140" s="72" t="n"/>
      <c r="E140" s="72" t="n"/>
      <c r="F140" s="72" t="n"/>
      <c r="G140" s="109" t="n"/>
      <c r="H140" s="72" t="n"/>
      <c r="I140" s="78">
        <f>IF(H140="","",HYPERLINK(H140,"Open ↗"))</f>
        <v/>
      </c>
      <c r="J140" s="72" t="n"/>
      <c r="L140" s="116">
        <f>IF('Contractors'!B140="","",'Contractors'!B140)</f>
        <v/>
      </c>
      <c r="M140" s="78">
        <f>IF(L140="","",'Contractors'!L140)</f>
        <v/>
      </c>
      <c r="N140" s="78">
        <f>IF(OR(L140="",M140&lt;&gt;"Yes"),"",IF(COUNTIFS('Vault'!$C$6:$C$1005,"Contract",'Vault'!$D$6:$D$1005,L140)&gt;0,"✓","✗ missing"))</f>
        <v/>
      </c>
      <c r="O140" s="78">
        <f>IF(OR(L140="",M140&lt;&gt;"Yes"),"",IF(COUNTIFS('Vault'!$C$6:$C$1005,"Insurance",'Vault'!$D$6:$D$1005,L140)&gt;0,"✓","✗ missing"))</f>
        <v/>
      </c>
      <c r="P140" s="78">
        <f>IF(OR(L140="",M140&lt;&gt;"Yes"),"",IF(COUNTIFS('Vault'!$C$6:$C$1005,"Quote",'Vault'!$D$6:$D$1005,L140)&gt;0,"✓","✗ missing"))</f>
        <v/>
      </c>
      <c r="Q140" s="78">
        <f>IF(N140="","",IF(AND(N140="✓",O140="✓",P140="✓"),"✓ Complete","Missing documents"))</f>
        <v/>
      </c>
      <c r="R140" s="79">
        <f>IF(Q140="","",IF(Q140="✓ Complete",0,1))</f>
        <v/>
      </c>
    </row>
    <row r="141" ht="20" customHeight="1">
      <c r="B141" s="72" t="n"/>
      <c r="C141" s="72" t="n"/>
      <c r="D141" s="72" t="n"/>
      <c r="E141" s="72" t="n"/>
      <c r="F141" s="72" t="n"/>
      <c r="G141" s="109" t="n"/>
      <c r="H141" s="72" t="n"/>
      <c r="I141" s="78">
        <f>IF(H141="","",HYPERLINK(H141,"Open ↗"))</f>
        <v/>
      </c>
      <c r="J141" s="72" t="n"/>
      <c r="L141" s="116">
        <f>IF('Contractors'!B141="","",'Contractors'!B141)</f>
        <v/>
      </c>
      <c r="M141" s="78">
        <f>IF(L141="","",'Contractors'!L141)</f>
        <v/>
      </c>
      <c r="N141" s="78">
        <f>IF(OR(L141="",M141&lt;&gt;"Yes"),"",IF(COUNTIFS('Vault'!$C$6:$C$1005,"Contract",'Vault'!$D$6:$D$1005,L141)&gt;0,"✓","✗ missing"))</f>
        <v/>
      </c>
      <c r="O141" s="78">
        <f>IF(OR(L141="",M141&lt;&gt;"Yes"),"",IF(COUNTIFS('Vault'!$C$6:$C$1005,"Insurance",'Vault'!$D$6:$D$1005,L141)&gt;0,"✓","✗ missing"))</f>
        <v/>
      </c>
      <c r="P141" s="78">
        <f>IF(OR(L141="",M141&lt;&gt;"Yes"),"",IF(COUNTIFS('Vault'!$C$6:$C$1005,"Quote",'Vault'!$D$6:$D$1005,L141)&gt;0,"✓","✗ missing"))</f>
        <v/>
      </c>
      <c r="Q141" s="78">
        <f>IF(N141="","",IF(AND(N141="✓",O141="✓",P141="✓"),"✓ Complete","Missing documents"))</f>
        <v/>
      </c>
      <c r="R141" s="79">
        <f>IF(Q141="","",IF(Q141="✓ Complete",0,1))</f>
        <v/>
      </c>
    </row>
    <row r="142" ht="20" customHeight="1">
      <c r="B142" s="72" t="n"/>
      <c r="C142" s="72" t="n"/>
      <c r="D142" s="72" t="n"/>
      <c r="E142" s="72" t="n"/>
      <c r="F142" s="72" t="n"/>
      <c r="G142" s="109" t="n"/>
      <c r="H142" s="72" t="n"/>
      <c r="I142" s="78">
        <f>IF(H142="","",HYPERLINK(H142,"Open ↗"))</f>
        <v/>
      </c>
      <c r="J142" s="72" t="n"/>
      <c r="L142" s="116">
        <f>IF('Contractors'!B142="","",'Contractors'!B142)</f>
        <v/>
      </c>
      <c r="M142" s="78">
        <f>IF(L142="","",'Contractors'!L142)</f>
        <v/>
      </c>
      <c r="N142" s="78">
        <f>IF(OR(L142="",M142&lt;&gt;"Yes"),"",IF(COUNTIFS('Vault'!$C$6:$C$1005,"Contract",'Vault'!$D$6:$D$1005,L142)&gt;0,"✓","✗ missing"))</f>
        <v/>
      </c>
      <c r="O142" s="78">
        <f>IF(OR(L142="",M142&lt;&gt;"Yes"),"",IF(COUNTIFS('Vault'!$C$6:$C$1005,"Insurance",'Vault'!$D$6:$D$1005,L142)&gt;0,"✓","✗ missing"))</f>
        <v/>
      </c>
      <c r="P142" s="78">
        <f>IF(OR(L142="",M142&lt;&gt;"Yes"),"",IF(COUNTIFS('Vault'!$C$6:$C$1005,"Quote",'Vault'!$D$6:$D$1005,L142)&gt;0,"✓","✗ missing"))</f>
        <v/>
      </c>
      <c r="Q142" s="78">
        <f>IF(N142="","",IF(AND(N142="✓",O142="✓",P142="✓"),"✓ Complete","Missing documents"))</f>
        <v/>
      </c>
      <c r="R142" s="79">
        <f>IF(Q142="","",IF(Q142="✓ Complete",0,1))</f>
        <v/>
      </c>
    </row>
    <row r="143" ht="20" customHeight="1">
      <c r="B143" s="72" t="n"/>
      <c r="C143" s="72" t="n"/>
      <c r="D143" s="72" t="n"/>
      <c r="E143" s="72" t="n"/>
      <c r="F143" s="72" t="n"/>
      <c r="G143" s="109" t="n"/>
      <c r="H143" s="72" t="n"/>
      <c r="I143" s="78">
        <f>IF(H143="","",HYPERLINK(H143,"Open ↗"))</f>
        <v/>
      </c>
      <c r="J143" s="72" t="n"/>
      <c r="L143" s="116">
        <f>IF('Contractors'!B143="","",'Contractors'!B143)</f>
        <v/>
      </c>
      <c r="M143" s="78">
        <f>IF(L143="","",'Contractors'!L143)</f>
        <v/>
      </c>
      <c r="N143" s="78">
        <f>IF(OR(L143="",M143&lt;&gt;"Yes"),"",IF(COUNTIFS('Vault'!$C$6:$C$1005,"Contract",'Vault'!$D$6:$D$1005,L143)&gt;0,"✓","✗ missing"))</f>
        <v/>
      </c>
      <c r="O143" s="78">
        <f>IF(OR(L143="",M143&lt;&gt;"Yes"),"",IF(COUNTIFS('Vault'!$C$6:$C$1005,"Insurance",'Vault'!$D$6:$D$1005,L143)&gt;0,"✓","✗ missing"))</f>
        <v/>
      </c>
      <c r="P143" s="78">
        <f>IF(OR(L143="",M143&lt;&gt;"Yes"),"",IF(COUNTIFS('Vault'!$C$6:$C$1005,"Quote",'Vault'!$D$6:$D$1005,L143)&gt;0,"✓","✗ missing"))</f>
        <v/>
      </c>
      <c r="Q143" s="78">
        <f>IF(N143="","",IF(AND(N143="✓",O143="✓",P143="✓"),"✓ Complete","Missing documents"))</f>
        <v/>
      </c>
      <c r="R143" s="79">
        <f>IF(Q143="","",IF(Q143="✓ Complete",0,1))</f>
        <v/>
      </c>
    </row>
    <row r="144" ht="20" customHeight="1">
      <c r="B144" s="72" t="n"/>
      <c r="C144" s="72" t="n"/>
      <c r="D144" s="72" t="n"/>
      <c r="E144" s="72" t="n"/>
      <c r="F144" s="72" t="n"/>
      <c r="G144" s="109" t="n"/>
      <c r="H144" s="72" t="n"/>
      <c r="I144" s="78">
        <f>IF(H144="","",HYPERLINK(H144,"Open ↗"))</f>
        <v/>
      </c>
      <c r="J144" s="72" t="n"/>
      <c r="L144" s="116">
        <f>IF('Contractors'!B144="","",'Contractors'!B144)</f>
        <v/>
      </c>
      <c r="M144" s="78">
        <f>IF(L144="","",'Contractors'!L144)</f>
        <v/>
      </c>
      <c r="N144" s="78">
        <f>IF(OR(L144="",M144&lt;&gt;"Yes"),"",IF(COUNTIFS('Vault'!$C$6:$C$1005,"Contract",'Vault'!$D$6:$D$1005,L144)&gt;0,"✓","✗ missing"))</f>
        <v/>
      </c>
      <c r="O144" s="78">
        <f>IF(OR(L144="",M144&lt;&gt;"Yes"),"",IF(COUNTIFS('Vault'!$C$6:$C$1005,"Insurance",'Vault'!$D$6:$D$1005,L144)&gt;0,"✓","✗ missing"))</f>
        <v/>
      </c>
      <c r="P144" s="78">
        <f>IF(OR(L144="",M144&lt;&gt;"Yes"),"",IF(COUNTIFS('Vault'!$C$6:$C$1005,"Quote",'Vault'!$D$6:$D$1005,L144)&gt;0,"✓","✗ missing"))</f>
        <v/>
      </c>
      <c r="Q144" s="78">
        <f>IF(N144="","",IF(AND(N144="✓",O144="✓",P144="✓"),"✓ Complete","Missing documents"))</f>
        <v/>
      </c>
      <c r="R144" s="79">
        <f>IF(Q144="","",IF(Q144="✓ Complete",0,1))</f>
        <v/>
      </c>
    </row>
    <row r="145" ht="20" customHeight="1">
      <c r="B145" s="72" t="n"/>
      <c r="C145" s="72" t="n"/>
      <c r="D145" s="72" t="n"/>
      <c r="E145" s="72" t="n"/>
      <c r="F145" s="72" t="n"/>
      <c r="G145" s="109" t="n"/>
      <c r="H145" s="72" t="n"/>
      <c r="I145" s="78">
        <f>IF(H145="","",HYPERLINK(H145,"Open ↗"))</f>
        <v/>
      </c>
      <c r="J145" s="72" t="n"/>
      <c r="L145" s="116">
        <f>IF('Contractors'!B145="","",'Contractors'!B145)</f>
        <v/>
      </c>
      <c r="M145" s="78">
        <f>IF(L145="","",'Contractors'!L145)</f>
        <v/>
      </c>
      <c r="N145" s="78">
        <f>IF(OR(L145="",M145&lt;&gt;"Yes"),"",IF(COUNTIFS('Vault'!$C$6:$C$1005,"Contract",'Vault'!$D$6:$D$1005,L145)&gt;0,"✓","✗ missing"))</f>
        <v/>
      </c>
      <c r="O145" s="78">
        <f>IF(OR(L145="",M145&lt;&gt;"Yes"),"",IF(COUNTIFS('Vault'!$C$6:$C$1005,"Insurance",'Vault'!$D$6:$D$1005,L145)&gt;0,"✓","✗ missing"))</f>
        <v/>
      </c>
      <c r="P145" s="78">
        <f>IF(OR(L145="",M145&lt;&gt;"Yes"),"",IF(COUNTIFS('Vault'!$C$6:$C$1005,"Quote",'Vault'!$D$6:$D$1005,L145)&gt;0,"✓","✗ missing"))</f>
        <v/>
      </c>
      <c r="Q145" s="78">
        <f>IF(N145="","",IF(AND(N145="✓",O145="✓",P145="✓"),"✓ Complete","Missing documents"))</f>
        <v/>
      </c>
      <c r="R145" s="79">
        <f>IF(Q145="","",IF(Q145="✓ Complete",0,1))</f>
        <v/>
      </c>
    </row>
    <row r="146" ht="20" customHeight="1">
      <c r="B146" s="72" t="n"/>
      <c r="C146" s="72" t="n"/>
      <c r="D146" s="72" t="n"/>
      <c r="E146" s="72" t="n"/>
      <c r="F146" s="72" t="n"/>
      <c r="G146" s="109" t="n"/>
      <c r="H146" s="72" t="n"/>
      <c r="I146" s="78">
        <f>IF(H146="","",HYPERLINK(H146,"Open ↗"))</f>
        <v/>
      </c>
      <c r="J146" s="72" t="n"/>
      <c r="L146" s="116">
        <f>IF('Contractors'!B146="","",'Contractors'!B146)</f>
        <v/>
      </c>
      <c r="M146" s="78">
        <f>IF(L146="","",'Contractors'!L146)</f>
        <v/>
      </c>
      <c r="N146" s="78">
        <f>IF(OR(L146="",M146&lt;&gt;"Yes"),"",IF(COUNTIFS('Vault'!$C$6:$C$1005,"Contract",'Vault'!$D$6:$D$1005,L146)&gt;0,"✓","✗ missing"))</f>
        <v/>
      </c>
      <c r="O146" s="78">
        <f>IF(OR(L146="",M146&lt;&gt;"Yes"),"",IF(COUNTIFS('Vault'!$C$6:$C$1005,"Insurance",'Vault'!$D$6:$D$1005,L146)&gt;0,"✓","✗ missing"))</f>
        <v/>
      </c>
      <c r="P146" s="78">
        <f>IF(OR(L146="",M146&lt;&gt;"Yes"),"",IF(COUNTIFS('Vault'!$C$6:$C$1005,"Quote",'Vault'!$D$6:$D$1005,L146)&gt;0,"✓","✗ missing"))</f>
        <v/>
      </c>
      <c r="Q146" s="78">
        <f>IF(N146="","",IF(AND(N146="✓",O146="✓",P146="✓"),"✓ Complete","Missing documents"))</f>
        <v/>
      </c>
      <c r="R146" s="79">
        <f>IF(Q146="","",IF(Q146="✓ Complete",0,1))</f>
        <v/>
      </c>
    </row>
    <row r="147" ht="20" customHeight="1">
      <c r="B147" s="72" t="n"/>
      <c r="C147" s="72" t="n"/>
      <c r="D147" s="72" t="n"/>
      <c r="E147" s="72" t="n"/>
      <c r="F147" s="72" t="n"/>
      <c r="G147" s="109" t="n"/>
      <c r="H147" s="72" t="n"/>
      <c r="I147" s="78">
        <f>IF(H147="","",HYPERLINK(H147,"Open ↗"))</f>
        <v/>
      </c>
      <c r="J147" s="72" t="n"/>
      <c r="L147" s="116">
        <f>IF('Contractors'!B147="","",'Contractors'!B147)</f>
        <v/>
      </c>
      <c r="M147" s="78">
        <f>IF(L147="","",'Contractors'!L147)</f>
        <v/>
      </c>
      <c r="N147" s="78">
        <f>IF(OR(L147="",M147&lt;&gt;"Yes"),"",IF(COUNTIFS('Vault'!$C$6:$C$1005,"Contract",'Vault'!$D$6:$D$1005,L147)&gt;0,"✓","✗ missing"))</f>
        <v/>
      </c>
      <c r="O147" s="78">
        <f>IF(OR(L147="",M147&lt;&gt;"Yes"),"",IF(COUNTIFS('Vault'!$C$6:$C$1005,"Insurance",'Vault'!$D$6:$D$1005,L147)&gt;0,"✓","✗ missing"))</f>
        <v/>
      </c>
      <c r="P147" s="78">
        <f>IF(OR(L147="",M147&lt;&gt;"Yes"),"",IF(COUNTIFS('Vault'!$C$6:$C$1005,"Quote",'Vault'!$D$6:$D$1005,L147)&gt;0,"✓","✗ missing"))</f>
        <v/>
      </c>
      <c r="Q147" s="78">
        <f>IF(N147="","",IF(AND(N147="✓",O147="✓",P147="✓"),"✓ Complete","Missing documents"))</f>
        <v/>
      </c>
      <c r="R147" s="79">
        <f>IF(Q147="","",IF(Q147="✓ Complete",0,1))</f>
        <v/>
      </c>
    </row>
    <row r="148" ht="20" customHeight="1">
      <c r="B148" s="72" t="n"/>
      <c r="C148" s="72" t="n"/>
      <c r="D148" s="72" t="n"/>
      <c r="E148" s="72" t="n"/>
      <c r="F148" s="72" t="n"/>
      <c r="G148" s="109" t="n"/>
      <c r="H148" s="72" t="n"/>
      <c r="I148" s="78">
        <f>IF(H148="","",HYPERLINK(H148,"Open ↗"))</f>
        <v/>
      </c>
      <c r="J148" s="72" t="n"/>
      <c r="L148" s="116">
        <f>IF('Contractors'!B148="","",'Contractors'!B148)</f>
        <v/>
      </c>
      <c r="M148" s="78">
        <f>IF(L148="","",'Contractors'!L148)</f>
        <v/>
      </c>
      <c r="N148" s="78">
        <f>IF(OR(L148="",M148&lt;&gt;"Yes"),"",IF(COUNTIFS('Vault'!$C$6:$C$1005,"Contract",'Vault'!$D$6:$D$1005,L148)&gt;0,"✓","✗ missing"))</f>
        <v/>
      </c>
      <c r="O148" s="78">
        <f>IF(OR(L148="",M148&lt;&gt;"Yes"),"",IF(COUNTIFS('Vault'!$C$6:$C$1005,"Insurance",'Vault'!$D$6:$D$1005,L148)&gt;0,"✓","✗ missing"))</f>
        <v/>
      </c>
      <c r="P148" s="78">
        <f>IF(OR(L148="",M148&lt;&gt;"Yes"),"",IF(COUNTIFS('Vault'!$C$6:$C$1005,"Quote",'Vault'!$D$6:$D$1005,L148)&gt;0,"✓","✗ missing"))</f>
        <v/>
      </c>
      <c r="Q148" s="78">
        <f>IF(N148="","",IF(AND(N148="✓",O148="✓",P148="✓"),"✓ Complete","Missing documents"))</f>
        <v/>
      </c>
      <c r="R148" s="79">
        <f>IF(Q148="","",IF(Q148="✓ Complete",0,1))</f>
        <v/>
      </c>
    </row>
    <row r="149" ht="20" customHeight="1">
      <c r="B149" s="72" t="n"/>
      <c r="C149" s="72" t="n"/>
      <c r="D149" s="72" t="n"/>
      <c r="E149" s="72" t="n"/>
      <c r="F149" s="72" t="n"/>
      <c r="G149" s="109" t="n"/>
      <c r="H149" s="72" t="n"/>
      <c r="I149" s="78">
        <f>IF(H149="","",HYPERLINK(H149,"Open ↗"))</f>
        <v/>
      </c>
      <c r="J149" s="72" t="n"/>
      <c r="L149" s="116">
        <f>IF('Contractors'!B149="","",'Contractors'!B149)</f>
        <v/>
      </c>
      <c r="M149" s="78">
        <f>IF(L149="","",'Contractors'!L149)</f>
        <v/>
      </c>
      <c r="N149" s="78">
        <f>IF(OR(L149="",M149&lt;&gt;"Yes"),"",IF(COUNTIFS('Vault'!$C$6:$C$1005,"Contract",'Vault'!$D$6:$D$1005,L149)&gt;0,"✓","✗ missing"))</f>
        <v/>
      </c>
      <c r="O149" s="78">
        <f>IF(OR(L149="",M149&lt;&gt;"Yes"),"",IF(COUNTIFS('Vault'!$C$6:$C$1005,"Insurance",'Vault'!$D$6:$D$1005,L149)&gt;0,"✓","✗ missing"))</f>
        <v/>
      </c>
      <c r="P149" s="78">
        <f>IF(OR(L149="",M149&lt;&gt;"Yes"),"",IF(COUNTIFS('Vault'!$C$6:$C$1005,"Quote",'Vault'!$D$6:$D$1005,L149)&gt;0,"✓","✗ missing"))</f>
        <v/>
      </c>
      <c r="Q149" s="78">
        <f>IF(N149="","",IF(AND(N149="✓",O149="✓",P149="✓"),"✓ Complete","Missing documents"))</f>
        <v/>
      </c>
      <c r="R149" s="79">
        <f>IF(Q149="","",IF(Q149="✓ Complete",0,1))</f>
        <v/>
      </c>
    </row>
    <row r="150" ht="20" customHeight="1">
      <c r="B150" s="72" t="n"/>
      <c r="C150" s="72" t="n"/>
      <c r="D150" s="72" t="n"/>
      <c r="E150" s="72" t="n"/>
      <c r="F150" s="72" t="n"/>
      <c r="G150" s="109" t="n"/>
      <c r="H150" s="72" t="n"/>
      <c r="I150" s="78">
        <f>IF(H150="","",HYPERLINK(H150,"Open ↗"))</f>
        <v/>
      </c>
      <c r="J150" s="72" t="n"/>
      <c r="L150" s="116">
        <f>IF('Contractors'!B150="","",'Contractors'!B150)</f>
        <v/>
      </c>
      <c r="M150" s="78">
        <f>IF(L150="","",'Contractors'!L150)</f>
        <v/>
      </c>
      <c r="N150" s="78">
        <f>IF(OR(L150="",M150&lt;&gt;"Yes"),"",IF(COUNTIFS('Vault'!$C$6:$C$1005,"Contract",'Vault'!$D$6:$D$1005,L150)&gt;0,"✓","✗ missing"))</f>
        <v/>
      </c>
      <c r="O150" s="78">
        <f>IF(OR(L150="",M150&lt;&gt;"Yes"),"",IF(COUNTIFS('Vault'!$C$6:$C$1005,"Insurance",'Vault'!$D$6:$D$1005,L150)&gt;0,"✓","✗ missing"))</f>
        <v/>
      </c>
      <c r="P150" s="78">
        <f>IF(OR(L150="",M150&lt;&gt;"Yes"),"",IF(COUNTIFS('Vault'!$C$6:$C$1005,"Quote",'Vault'!$D$6:$D$1005,L150)&gt;0,"✓","✗ missing"))</f>
        <v/>
      </c>
      <c r="Q150" s="78">
        <f>IF(N150="","",IF(AND(N150="✓",O150="✓",P150="✓"),"✓ Complete","Missing documents"))</f>
        <v/>
      </c>
      <c r="R150" s="79">
        <f>IF(Q150="","",IF(Q150="✓ Complete",0,1))</f>
        <v/>
      </c>
    </row>
    <row r="151" ht="20" customHeight="1">
      <c r="B151" s="72" t="n"/>
      <c r="C151" s="72" t="n"/>
      <c r="D151" s="72" t="n"/>
      <c r="E151" s="72" t="n"/>
      <c r="F151" s="72" t="n"/>
      <c r="G151" s="109" t="n"/>
      <c r="H151" s="72" t="n"/>
      <c r="I151" s="78">
        <f>IF(H151="","",HYPERLINK(H151,"Open ↗"))</f>
        <v/>
      </c>
      <c r="J151" s="72" t="n"/>
      <c r="L151" s="116">
        <f>IF('Contractors'!B151="","",'Contractors'!B151)</f>
        <v/>
      </c>
      <c r="M151" s="78">
        <f>IF(L151="","",'Contractors'!L151)</f>
        <v/>
      </c>
      <c r="N151" s="78">
        <f>IF(OR(L151="",M151&lt;&gt;"Yes"),"",IF(COUNTIFS('Vault'!$C$6:$C$1005,"Contract",'Vault'!$D$6:$D$1005,L151)&gt;0,"✓","✗ missing"))</f>
        <v/>
      </c>
      <c r="O151" s="78">
        <f>IF(OR(L151="",M151&lt;&gt;"Yes"),"",IF(COUNTIFS('Vault'!$C$6:$C$1005,"Insurance",'Vault'!$D$6:$D$1005,L151)&gt;0,"✓","✗ missing"))</f>
        <v/>
      </c>
      <c r="P151" s="78">
        <f>IF(OR(L151="",M151&lt;&gt;"Yes"),"",IF(COUNTIFS('Vault'!$C$6:$C$1005,"Quote",'Vault'!$D$6:$D$1005,L151)&gt;0,"✓","✗ missing"))</f>
        <v/>
      </c>
      <c r="Q151" s="78">
        <f>IF(N151="","",IF(AND(N151="✓",O151="✓",P151="✓"),"✓ Complete","Missing documents"))</f>
        <v/>
      </c>
      <c r="R151" s="79">
        <f>IF(Q151="","",IF(Q151="✓ Complete",0,1))</f>
        <v/>
      </c>
    </row>
    <row r="152" ht="20" customHeight="1">
      <c r="B152" s="72" t="n"/>
      <c r="C152" s="72" t="n"/>
      <c r="D152" s="72" t="n"/>
      <c r="E152" s="72" t="n"/>
      <c r="F152" s="72" t="n"/>
      <c r="G152" s="109" t="n"/>
      <c r="H152" s="72" t="n"/>
      <c r="I152" s="78">
        <f>IF(H152="","",HYPERLINK(H152,"Open ↗"))</f>
        <v/>
      </c>
      <c r="J152" s="72" t="n"/>
      <c r="L152" s="116">
        <f>IF('Contractors'!B152="","",'Contractors'!B152)</f>
        <v/>
      </c>
      <c r="M152" s="78">
        <f>IF(L152="","",'Contractors'!L152)</f>
        <v/>
      </c>
      <c r="N152" s="78">
        <f>IF(OR(L152="",M152&lt;&gt;"Yes"),"",IF(COUNTIFS('Vault'!$C$6:$C$1005,"Contract",'Vault'!$D$6:$D$1005,L152)&gt;0,"✓","✗ missing"))</f>
        <v/>
      </c>
      <c r="O152" s="78">
        <f>IF(OR(L152="",M152&lt;&gt;"Yes"),"",IF(COUNTIFS('Vault'!$C$6:$C$1005,"Insurance",'Vault'!$D$6:$D$1005,L152)&gt;0,"✓","✗ missing"))</f>
        <v/>
      </c>
      <c r="P152" s="78">
        <f>IF(OR(L152="",M152&lt;&gt;"Yes"),"",IF(COUNTIFS('Vault'!$C$6:$C$1005,"Quote",'Vault'!$D$6:$D$1005,L152)&gt;0,"✓","✗ missing"))</f>
        <v/>
      </c>
      <c r="Q152" s="78">
        <f>IF(N152="","",IF(AND(N152="✓",O152="✓",P152="✓"),"✓ Complete","Missing documents"))</f>
        <v/>
      </c>
      <c r="R152" s="79">
        <f>IF(Q152="","",IF(Q152="✓ Complete",0,1))</f>
        <v/>
      </c>
    </row>
    <row r="153" ht="20" customHeight="1">
      <c r="B153" s="72" t="n"/>
      <c r="C153" s="72" t="n"/>
      <c r="D153" s="72" t="n"/>
      <c r="E153" s="72" t="n"/>
      <c r="F153" s="72" t="n"/>
      <c r="G153" s="109" t="n"/>
      <c r="H153" s="72" t="n"/>
      <c r="I153" s="78">
        <f>IF(H153="","",HYPERLINK(H153,"Open ↗"))</f>
        <v/>
      </c>
      <c r="J153" s="72" t="n"/>
      <c r="L153" s="116">
        <f>IF('Contractors'!B153="","",'Contractors'!B153)</f>
        <v/>
      </c>
      <c r="M153" s="78">
        <f>IF(L153="","",'Contractors'!L153)</f>
        <v/>
      </c>
      <c r="N153" s="78">
        <f>IF(OR(L153="",M153&lt;&gt;"Yes"),"",IF(COUNTIFS('Vault'!$C$6:$C$1005,"Contract",'Vault'!$D$6:$D$1005,L153)&gt;0,"✓","✗ missing"))</f>
        <v/>
      </c>
      <c r="O153" s="78">
        <f>IF(OR(L153="",M153&lt;&gt;"Yes"),"",IF(COUNTIFS('Vault'!$C$6:$C$1005,"Insurance",'Vault'!$D$6:$D$1005,L153)&gt;0,"✓","✗ missing"))</f>
        <v/>
      </c>
      <c r="P153" s="78">
        <f>IF(OR(L153="",M153&lt;&gt;"Yes"),"",IF(COUNTIFS('Vault'!$C$6:$C$1005,"Quote",'Vault'!$D$6:$D$1005,L153)&gt;0,"✓","✗ missing"))</f>
        <v/>
      </c>
      <c r="Q153" s="78">
        <f>IF(N153="","",IF(AND(N153="✓",O153="✓",P153="✓"),"✓ Complete","Missing documents"))</f>
        <v/>
      </c>
      <c r="R153" s="79">
        <f>IF(Q153="","",IF(Q153="✓ Complete",0,1))</f>
        <v/>
      </c>
    </row>
    <row r="154" ht="20" customHeight="1">
      <c r="B154" s="72" t="n"/>
      <c r="C154" s="72" t="n"/>
      <c r="D154" s="72" t="n"/>
      <c r="E154" s="72" t="n"/>
      <c r="F154" s="72" t="n"/>
      <c r="G154" s="109" t="n"/>
      <c r="H154" s="72" t="n"/>
      <c r="I154" s="78">
        <f>IF(H154="","",HYPERLINK(H154,"Open ↗"))</f>
        <v/>
      </c>
      <c r="J154" s="72" t="n"/>
      <c r="L154" s="116">
        <f>IF('Contractors'!B154="","",'Contractors'!B154)</f>
        <v/>
      </c>
      <c r="M154" s="78">
        <f>IF(L154="","",'Contractors'!L154)</f>
        <v/>
      </c>
      <c r="N154" s="78">
        <f>IF(OR(L154="",M154&lt;&gt;"Yes"),"",IF(COUNTIFS('Vault'!$C$6:$C$1005,"Contract",'Vault'!$D$6:$D$1005,L154)&gt;0,"✓","✗ missing"))</f>
        <v/>
      </c>
      <c r="O154" s="78">
        <f>IF(OR(L154="",M154&lt;&gt;"Yes"),"",IF(COUNTIFS('Vault'!$C$6:$C$1005,"Insurance",'Vault'!$D$6:$D$1005,L154)&gt;0,"✓","✗ missing"))</f>
        <v/>
      </c>
      <c r="P154" s="78">
        <f>IF(OR(L154="",M154&lt;&gt;"Yes"),"",IF(COUNTIFS('Vault'!$C$6:$C$1005,"Quote",'Vault'!$D$6:$D$1005,L154)&gt;0,"✓","✗ missing"))</f>
        <v/>
      </c>
      <c r="Q154" s="78">
        <f>IF(N154="","",IF(AND(N154="✓",O154="✓",P154="✓"),"✓ Complete","Missing documents"))</f>
        <v/>
      </c>
      <c r="R154" s="79">
        <f>IF(Q154="","",IF(Q154="✓ Complete",0,1))</f>
        <v/>
      </c>
    </row>
    <row r="155" ht="20" customHeight="1">
      <c r="B155" s="72" t="n"/>
      <c r="C155" s="72" t="n"/>
      <c r="D155" s="72" t="n"/>
      <c r="E155" s="72" t="n"/>
      <c r="F155" s="72" t="n"/>
      <c r="G155" s="109" t="n"/>
      <c r="H155" s="72" t="n"/>
      <c r="I155" s="78">
        <f>IF(H155="","",HYPERLINK(H155,"Open ↗"))</f>
        <v/>
      </c>
      <c r="J155" s="72" t="n"/>
      <c r="L155" s="116">
        <f>IF('Contractors'!B155="","",'Contractors'!B155)</f>
        <v/>
      </c>
      <c r="M155" s="78">
        <f>IF(L155="","",'Contractors'!L155)</f>
        <v/>
      </c>
      <c r="N155" s="78">
        <f>IF(OR(L155="",M155&lt;&gt;"Yes"),"",IF(COUNTIFS('Vault'!$C$6:$C$1005,"Contract",'Vault'!$D$6:$D$1005,L155)&gt;0,"✓","✗ missing"))</f>
        <v/>
      </c>
      <c r="O155" s="78">
        <f>IF(OR(L155="",M155&lt;&gt;"Yes"),"",IF(COUNTIFS('Vault'!$C$6:$C$1005,"Insurance",'Vault'!$D$6:$D$1005,L155)&gt;0,"✓","✗ missing"))</f>
        <v/>
      </c>
      <c r="P155" s="78">
        <f>IF(OR(L155="",M155&lt;&gt;"Yes"),"",IF(COUNTIFS('Vault'!$C$6:$C$1005,"Quote",'Vault'!$D$6:$D$1005,L155)&gt;0,"✓","✗ missing"))</f>
        <v/>
      </c>
      <c r="Q155" s="78">
        <f>IF(N155="","",IF(AND(N155="✓",O155="✓",P155="✓"),"✓ Complete","Missing documents"))</f>
        <v/>
      </c>
      <c r="R155" s="79">
        <f>IF(Q155="","",IF(Q155="✓ Complete",0,1))</f>
        <v/>
      </c>
    </row>
    <row r="156" ht="20" customHeight="1">
      <c r="B156" s="72" t="n"/>
      <c r="C156" s="72" t="n"/>
      <c r="D156" s="72" t="n"/>
      <c r="E156" s="72" t="n"/>
      <c r="F156" s="72" t="n"/>
      <c r="G156" s="109" t="n"/>
      <c r="H156" s="72" t="n"/>
      <c r="I156" s="78">
        <f>IF(H156="","",HYPERLINK(H156,"Open ↗"))</f>
        <v/>
      </c>
      <c r="J156" s="72" t="n"/>
      <c r="L156" s="116">
        <f>IF('Contractors'!B156="","",'Contractors'!B156)</f>
        <v/>
      </c>
      <c r="M156" s="78">
        <f>IF(L156="","",'Contractors'!L156)</f>
        <v/>
      </c>
      <c r="N156" s="78">
        <f>IF(OR(L156="",M156&lt;&gt;"Yes"),"",IF(COUNTIFS('Vault'!$C$6:$C$1005,"Contract",'Vault'!$D$6:$D$1005,L156)&gt;0,"✓","✗ missing"))</f>
        <v/>
      </c>
      <c r="O156" s="78">
        <f>IF(OR(L156="",M156&lt;&gt;"Yes"),"",IF(COUNTIFS('Vault'!$C$6:$C$1005,"Insurance",'Vault'!$D$6:$D$1005,L156)&gt;0,"✓","✗ missing"))</f>
        <v/>
      </c>
      <c r="P156" s="78">
        <f>IF(OR(L156="",M156&lt;&gt;"Yes"),"",IF(COUNTIFS('Vault'!$C$6:$C$1005,"Quote",'Vault'!$D$6:$D$1005,L156)&gt;0,"✓","✗ missing"))</f>
        <v/>
      </c>
      <c r="Q156" s="78">
        <f>IF(N156="","",IF(AND(N156="✓",O156="✓",P156="✓"),"✓ Complete","Missing documents"))</f>
        <v/>
      </c>
      <c r="R156" s="79">
        <f>IF(Q156="","",IF(Q156="✓ Complete",0,1))</f>
        <v/>
      </c>
    </row>
    <row r="157" ht="20" customHeight="1">
      <c r="B157" s="72" t="n"/>
      <c r="C157" s="72" t="n"/>
      <c r="D157" s="72" t="n"/>
      <c r="E157" s="72" t="n"/>
      <c r="F157" s="72" t="n"/>
      <c r="G157" s="109" t="n"/>
      <c r="H157" s="72" t="n"/>
      <c r="I157" s="78">
        <f>IF(H157="","",HYPERLINK(H157,"Open ↗"))</f>
        <v/>
      </c>
      <c r="J157" s="72" t="n"/>
      <c r="L157" s="116">
        <f>IF('Contractors'!B157="","",'Contractors'!B157)</f>
        <v/>
      </c>
      <c r="M157" s="78">
        <f>IF(L157="","",'Contractors'!L157)</f>
        <v/>
      </c>
      <c r="N157" s="78">
        <f>IF(OR(L157="",M157&lt;&gt;"Yes"),"",IF(COUNTIFS('Vault'!$C$6:$C$1005,"Contract",'Vault'!$D$6:$D$1005,L157)&gt;0,"✓","✗ missing"))</f>
        <v/>
      </c>
      <c r="O157" s="78">
        <f>IF(OR(L157="",M157&lt;&gt;"Yes"),"",IF(COUNTIFS('Vault'!$C$6:$C$1005,"Insurance",'Vault'!$D$6:$D$1005,L157)&gt;0,"✓","✗ missing"))</f>
        <v/>
      </c>
      <c r="P157" s="78">
        <f>IF(OR(L157="",M157&lt;&gt;"Yes"),"",IF(COUNTIFS('Vault'!$C$6:$C$1005,"Quote",'Vault'!$D$6:$D$1005,L157)&gt;0,"✓","✗ missing"))</f>
        <v/>
      </c>
      <c r="Q157" s="78">
        <f>IF(N157="","",IF(AND(N157="✓",O157="✓",P157="✓"),"✓ Complete","Missing documents"))</f>
        <v/>
      </c>
      <c r="R157" s="79">
        <f>IF(Q157="","",IF(Q157="✓ Complete",0,1))</f>
        <v/>
      </c>
    </row>
    <row r="158" ht="20" customHeight="1">
      <c r="B158" s="72" t="n"/>
      <c r="C158" s="72" t="n"/>
      <c r="D158" s="72" t="n"/>
      <c r="E158" s="72" t="n"/>
      <c r="F158" s="72" t="n"/>
      <c r="G158" s="109" t="n"/>
      <c r="H158" s="72" t="n"/>
      <c r="I158" s="78">
        <f>IF(H158="","",HYPERLINK(H158,"Open ↗"))</f>
        <v/>
      </c>
      <c r="J158" s="72" t="n"/>
      <c r="L158" s="116">
        <f>IF('Contractors'!B158="","",'Contractors'!B158)</f>
        <v/>
      </c>
      <c r="M158" s="78">
        <f>IF(L158="","",'Contractors'!L158)</f>
        <v/>
      </c>
      <c r="N158" s="78">
        <f>IF(OR(L158="",M158&lt;&gt;"Yes"),"",IF(COUNTIFS('Vault'!$C$6:$C$1005,"Contract",'Vault'!$D$6:$D$1005,L158)&gt;0,"✓","✗ missing"))</f>
        <v/>
      </c>
      <c r="O158" s="78">
        <f>IF(OR(L158="",M158&lt;&gt;"Yes"),"",IF(COUNTIFS('Vault'!$C$6:$C$1005,"Insurance",'Vault'!$D$6:$D$1005,L158)&gt;0,"✓","✗ missing"))</f>
        <v/>
      </c>
      <c r="P158" s="78">
        <f>IF(OR(L158="",M158&lt;&gt;"Yes"),"",IF(COUNTIFS('Vault'!$C$6:$C$1005,"Quote",'Vault'!$D$6:$D$1005,L158)&gt;0,"✓","✗ missing"))</f>
        <v/>
      </c>
      <c r="Q158" s="78">
        <f>IF(N158="","",IF(AND(N158="✓",O158="✓",P158="✓"),"✓ Complete","Missing documents"))</f>
        <v/>
      </c>
      <c r="R158" s="79">
        <f>IF(Q158="","",IF(Q158="✓ Complete",0,1))</f>
        <v/>
      </c>
    </row>
    <row r="159" ht="20" customHeight="1">
      <c r="B159" s="72" t="n"/>
      <c r="C159" s="72" t="n"/>
      <c r="D159" s="72" t="n"/>
      <c r="E159" s="72" t="n"/>
      <c r="F159" s="72" t="n"/>
      <c r="G159" s="109" t="n"/>
      <c r="H159" s="72" t="n"/>
      <c r="I159" s="78">
        <f>IF(H159="","",HYPERLINK(H159,"Open ↗"))</f>
        <v/>
      </c>
      <c r="J159" s="72" t="n"/>
      <c r="L159" s="116">
        <f>IF('Contractors'!B159="","",'Contractors'!B159)</f>
        <v/>
      </c>
      <c r="M159" s="78">
        <f>IF(L159="","",'Contractors'!L159)</f>
        <v/>
      </c>
      <c r="N159" s="78">
        <f>IF(OR(L159="",M159&lt;&gt;"Yes"),"",IF(COUNTIFS('Vault'!$C$6:$C$1005,"Contract",'Vault'!$D$6:$D$1005,L159)&gt;0,"✓","✗ missing"))</f>
        <v/>
      </c>
      <c r="O159" s="78">
        <f>IF(OR(L159="",M159&lt;&gt;"Yes"),"",IF(COUNTIFS('Vault'!$C$6:$C$1005,"Insurance",'Vault'!$D$6:$D$1005,L159)&gt;0,"✓","✗ missing"))</f>
        <v/>
      </c>
      <c r="P159" s="78">
        <f>IF(OR(L159="",M159&lt;&gt;"Yes"),"",IF(COUNTIFS('Vault'!$C$6:$C$1005,"Quote",'Vault'!$D$6:$D$1005,L159)&gt;0,"✓","✗ missing"))</f>
        <v/>
      </c>
      <c r="Q159" s="78">
        <f>IF(N159="","",IF(AND(N159="✓",O159="✓",P159="✓"),"✓ Complete","Missing documents"))</f>
        <v/>
      </c>
      <c r="R159" s="79">
        <f>IF(Q159="","",IF(Q159="✓ Complete",0,1))</f>
        <v/>
      </c>
    </row>
    <row r="160" ht="20" customHeight="1">
      <c r="B160" s="72" t="n"/>
      <c r="C160" s="72" t="n"/>
      <c r="D160" s="72" t="n"/>
      <c r="E160" s="72" t="n"/>
      <c r="F160" s="72" t="n"/>
      <c r="G160" s="109" t="n"/>
      <c r="H160" s="72" t="n"/>
      <c r="I160" s="78">
        <f>IF(H160="","",HYPERLINK(H160,"Open ↗"))</f>
        <v/>
      </c>
      <c r="J160" s="72" t="n"/>
      <c r="L160" s="116">
        <f>IF('Contractors'!B160="","",'Contractors'!B160)</f>
        <v/>
      </c>
      <c r="M160" s="78">
        <f>IF(L160="","",'Contractors'!L160)</f>
        <v/>
      </c>
      <c r="N160" s="78">
        <f>IF(OR(L160="",M160&lt;&gt;"Yes"),"",IF(COUNTIFS('Vault'!$C$6:$C$1005,"Contract",'Vault'!$D$6:$D$1005,L160)&gt;0,"✓","✗ missing"))</f>
        <v/>
      </c>
      <c r="O160" s="78">
        <f>IF(OR(L160="",M160&lt;&gt;"Yes"),"",IF(COUNTIFS('Vault'!$C$6:$C$1005,"Insurance",'Vault'!$D$6:$D$1005,L160)&gt;0,"✓","✗ missing"))</f>
        <v/>
      </c>
      <c r="P160" s="78">
        <f>IF(OR(L160="",M160&lt;&gt;"Yes"),"",IF(COUNTIFS('Vault'!$C$6:$C$1005,"Quote",'Vault'!$D$6:$D$1005,L160)&gt;0,"✓","✗ missing"))</f>
        <v/>
      </c>
      <c r="Q160" s="78">
        <f>IF(N160="","",IF(AND(N160="✓",O160="✓",P160="✓"),"✓ Complete","Missing documents"))</f>
        <v/>
      </c>
      <c r="R160" s="79">
        <f>IF(Q160="","",IF(Q160="✓ Complete",0,1))</f>
        <v/>
      </c>
    </row>
    <row r="161" ht="20" customHeight="1">
      <c r="B161" s="72" t="n"/>
      <c r="C161" s="72" t="n"/>
      <c r="D161" s="72" t="n"/>
      <c r="E161" s="72" t="n"/>
      <c r="F161" s="72" t="n"/>
      <c r="G161" s="109" t="n"/>
      <c r="H161" s="72" t="n"/>
      <c r="I161" s="78">
        <f>IF(H161="","",HYPERLINK(H161,"Open ↗"))</f>
        <v/>
      </c>
      <c r="J161" s="72" t="n"/>
      <c r="L161" s="116">
        <f>IF('Contractors'!B161="","",'Contractors'!B161)</f>
        <v/>
      </c>
      <c r="M161" s="78">
        <f>IF(L161="","",'Contractors'!L161)</f>
        <v/>
      </c>
      <c r="N161" s="78">
        <f>IF(OR(L161="",M161&lt;&gt;"Yes"),"",IF(COUNTIFS('Vault'!$C$6:$C$1005,"Contract",'Vault'!$D$6:$D$1005,L161)&gt;0,"✓","✗ missing"))</f>
        <v/>
      </c>
      <c r="O161" s="78">
        <f>IF(OR(L161="",M161&lt;&gt;"Yes"),"",IF(COUNTIFS('Vault'!$C$6:$C$1005,"Insurance",'Vault'!$D$6:$D$1005,L161)&gt;0,"✓","✗ missing"))</f>
        <v/>
      </c>
      <c r="P161" s="78">
        <f>IF(OR(L161="",M161&lt;&gt;"Yes"),"",IF(COUNTIFS('Vault'!$C$6:$C$1005,"Quote",'Vault'!$D$6:$D$1005,L161)&gt;0,"✓","✗ missing"))</f>
        <v/>
      </c>
      <c r="Q161" s="78">
        <f>IF(N161="","",IF(AND(N161="✓",O161="✓",P161="✓"),"✓ Complete","Missing documents"))</f>
        <v/>
      </c>
      <c r="R161" s="79">
        <f>IF(Q161="","",IF(Q161="✓ Complete",0,1))</f>
        <v/>
      </c>
    </row>
    <row r="162" ht="20" customHeight="1">
      <c r="B162" s="72" t="n"/>
      <c r="C162" s="72" t="n"/>
      <c r="D162" s="72" t="n"/>
      <c r="E162" s="72" t="n"/>
      <c r="F162" s="72" t="n"/>
      <c r="G162" s="109" t="n"/>
      <c r="H162" s="72" t="n"/>
      <c r="I162" s="78">
        <f>IF(H162="","",HYPERLINK(H162,"Open ↗"))</f>
        <v/>
      </c>
      <c r="J162" s="72" t="n"/>
      <c r="L162" s="116">
        <f>IF('Contractors'!B162="","",'Contractors'!B162)</f>
        <v/>
      </c>
      <c r="M162" s="78">
        <f>IF(L162="","",'Contractors'!L162)</f>
        <v/>
      </c>
      <c r="N162" s="78">
        <f>IF(OR(L162="",M162&lt;&gt;"Yes"),"",IF(COUNTIFS('Vault'!$C$6:$C$1005,"Contract",'Vault'!$D$6:$D$1005,L162)&gt;0,"✓","✗ missing"))</f>
        <v/>
      </c>
      <c r="O162" s="78">
        <f>IF(OR(L162="",M162&lt;&gt;"Yes"),"",IF(COUNTIFS('Vault'!$C$6:$C$1005,"Insurance",'Vault'!$D$6:$D$1005,L162)&gt;0,"✓","✗ missing"))</f>
        <v/>
      </c>
      <c r="P162" s="78">
        <f>IF(OR(L162="",M162&lt;&gt;"Yes"),"",IF(COUNTIFS('Vault'!$C$6:$C$1005,"Quote",'Vault'!$D$6:$D$1005,L162)&gt;0,"✓","✗ missing"))</f>
        <v/>
      </c>
      <c r="Q162" s="78">
        <f>IF(N162="","",IF(AND(N162="✓",O162="✓",P162="✓"),"✓ Complete","Missing documents"))</f>
        <v/>
      </c>
      <c r="R162" s="79">
        <f>IF(Q162="","",IF(Q162="✓ Complete",0,1))</f>
        <v/>
      </c>
    </row>
    <row r="163" ht="20" customHeight="1">
      <c r="B163" s="72" t="n"/>
      <c r="C163" s="72" t="n"/>
      <c r="D163" s="72" t="n"/>
      <c r="E163" s="72" t="n"/>
      <c r="F163" s="72" t="n"/>
      <c r="G163" s="109" t="n"/>
      <c r="H163" s="72" t="n"/>
      <c r="I163" s="78">
        <f>IF(H163="","",HYPERLINK(H163,"Open ↗"))</f>
        <v/>
      </c>
      <c r="J163" s="72" t="n"/>
      <c r="L163" s="116">
        <f>IF('Contractors'!B163="","",'Contractors'!B163)</f>
        <v/>
      </c>
      <c r="M163" s="78">
        <f>IF(L163="","",'Contractors'!L163)</f>
        <v/>
      </c>
      <c r="N163" s="78">
        <f>IF(OR(L163="",M163&lt;&gt;"Yes"),"",IF(COUNTIFS('Vault'!$C$6:$C$1005,"Contract",'Vault'!$D$6:$D$1005,L163)&gt;0,"✓","✗ missing"))</f>
        <v/>
      </c>
      <c r="O163" s="78">
        <f>IF(OR(L163="",M163&lt;&gt;"Yes"),"",IF(COUNTIFS('Vault'!$C$6:$C$1005,"Insurance",'Vault'!$D$6:$D$1005,L163)&gt;0,"✓","✗ missing"))</f>
        <v/>
      </c>
      <c r="P163" s="78">
        <f>IF(OR(L163="",M163&lt;&gt;"Yes"),"",IF(COUNTIFS('Vault'!$C$6:$C$1005,"Quote",'Vault'!$D$6:$D$1005,L163)&gt;0,"✓","✗ missing"))</f>
        <v/>
      </c>
      <c r="Q163" s="78">
        <f>IF(N163="","",IF(AND(N163="✓",O163="✓",P163="✓"),"✓ Complete","Missing documents"))</f>
        <v/>
      </c>
      <c r="R163" s="79">
        <f>IF(Q163="","",IF(Q163="✓ Complete",0,1))</f>
        <v/>
      </c>
    </row>
    <row r="164" ht="20" customHeight="1">
      <c r="B164" s="72" t="n"/>
      <c r="C164" s="72" t="n"/>
      <c r="D164" s="72" t="n"/>
      <c r="E164" s="72" t="n"/>
      <c r="F164" s="72" t="n"/>
      <c r="G164" s="109" t="n"/>
      <c r="H164" s="72" t="n"/>
      <c r="I164" s="78">
        <f>IF(H164="","",HYPERLINK(H164,"Open ↗"))</f>
        <v/>
      </c>
      <c r="J164" s="72" t="n"/>
      <c r="L164" s="116">
        <f>IF('Contractors'!B164="","",'Contractors'!B164)</f>
        <v/>
      </c>
      <c r="M164" s="78">
        <f>IF(L164="","",'Contractors'!L164)</f>
        <v/>
      </c>
      <c r="N164" s="78">
        <f>IF(OR(L164="",M164&lt;&gt;"Yes"),"",IF(COUNTIFS('Vault'!$C$6:$C$1005,"Contract",'Vault'!$D$6:$D$1005,L164)&gt;0,"✓","✗ missing"))</f>
        <v/>
      </c>
      <c r="O164" s="78">
        <f>IF(OR(L164="",M164&lt;&gt;"Yes"),"",IF(COUNTIFS('Vault'!$C$6:$C$1005,"Insurance",'Vault'!$D$6:$D$1005,L164)&gt;0,"✓","✗ missing"))</f>
        <v/>
      </c>
      <c r="P164" s="78">
        <f>IF(OR(L164="",M164&lt;&gt;"Yes"),"",IF(COUNTIFS('Vault'!$C$6:$C$1005,"Quote",'Vault'!$D$6:$D$1005,L164)&gt;0,"✓","✗ missing"))</f>
        <v/>
      </c>
      <c r="Q164" s="78">
        <f>IF(N164="","",IF(AND(N164="✓",O164="✓",P164="✓"),"✓ Complete","Missing documents"))</f>
        <v/>
      </c>
      <c r="R164" s="79">
        <f>IF(Q164="","",IF(Q164="✓ Complete",0,1))</f>
        <v/>
      </c>
    </row>
    <row r="165" ht="20" customHeight="1">
      <c r="B165" s="72" t="n"/>
      <c r="C165" s="72" t="n"/>
      <c r="D165" s="72" t="n"/>
      <c r="E165" s="72" t="n"/>
      <c r="F165" s="72" t="n"/>
      <c r="G165" s="109" t="n"/>
      <c r="H165" s="72" t="n"/>
      <c r="I165" s="78">
        <f>IF(H165="","",HYPERLINK(H165,"Open ↗"))</f>
        <v/>
      </c>
      <c r="J165" s="72" t="n"/>
      <c r="L165" s="116">
        <f>IF('Contractors'!B165="","",'Contractors'!B165)</f>
        <v/>
      </c>
      <c r="M165" s="78">
        <f>IF(L165="","",'Contractors'!L165)</f>
        <v/>
      </c>
      <c r="N165" s="78">
        <f>IF(OR(L165="",M165&lt;&gt;"Yes"),"",IF(COUNTIFS('Vault'!$C$6:$C$1005,"Contract",'Vault'!$D$6:$D$1005,L165)&gt;0,"✓","✗ missing"))</f>
        <v/>
      </c>
      <c r="O165" s="78">
        <f>IF(OR(L165="",M165&lt;&gt;"Yes"),"",IF(COUNTIFS('Vault'!$C$6:$C$1005,"Insurance",'Vault'!$D$6:$D$1005,L165)&gt;0,"✓","✗ missing"))</f>
        <v/>
      </c>
      <c r="P165" s="78">
        <f>IF(OR(L165="",M165&lt;&gt;"Yes"),"",IF(COUNTIFS('Vault'!$C$6:$C$1005,"Quote",'Vault'!$D$6:$D$1005,L165)&gt;0,"✓","✗ missing"))</f>
        <v/>
      </c>
      <c r="Q165" s="78">
        <f>IF(N165="","",IF(AND(N165="✓",O165="✓",P165="✓"),"✓ Complete","Missing documents"))</f>
        <v/>
      </c>
      <c r="R165" s="79">
        <f>IF(Q165="","",IF(Q165="✓ Complete",0,1))</f>
        <v/>
      </c>
    </row>
    <row r="166" ht="20" customHeight="1">
      <c r="B166" s="72" t="n"/>
      <c r="C166" s="72" t="n"/>
      <c r="D166" s="72" t="n"/>
      <c r="E166" s="72" t="n"/>
      <c r="F166" s="72" t="n"/>
      <c r="G166" s="109" t="n"/>
      <c r="H166" s="72" t="n"/>
      <c r="I166" s="78">
        <f>IF(H166="","",HYPERLINK(H166,"Open ↗"))</f>
        <v/>
      </c>
      <c r="J166" s="72" t="n"/>
      <c r="L166" s="116">
        <f>IF('Contractors'!B166="","",'Contractors'!B166)</f>
        <v/>
      </c>
      <c r="M166" s="78">
        <f>IF(L166="","",'Contractors'!L166)</f>
        <v/>
      </c>
      <c r="N166" s="78">
        <f>IF(OR(L166="",M166&lt;&gt;"Yes"),"",IF(COUNTIFS('Vault'!$C$6:$C$1005,"Contract",'Vault'!$D$6:$D$1005,L166)&gt;0,"✓","✗ missing"))</f>
        <v/>
      </c>
      <c r="O166" s="78">
        <f>IF(OR(L166="",M166&lt;&gt;"Yes"),"",IF(COUNTIFS('Vault'!$C$6:$C$1005,"Insurance",'Vault'!$D$6:$D$1005,L166)&gt;0,"✓","✗ missing"))</f>
        <v/>
      </c>
      <c r="P166" s="78">
        <f>IF(OR(L166="",M166&lt;&gt;"Yes"),"",IF(COUNTIFS('Vault'!$C$6:$C$1005,"Quote",'Vault'!$D$6:$D$1005,L166)&gt;0,"✓","✗ missing"))</f>
        <v/>
      </c>
      <c r="Q166" s="78">
        <f>IF(N166="","",IF(AND(N166="✓",O166="✓",P166="✓"),"✓ Complete","Missing documents"))</f>
        <v/>
      </c>
      <c r="R166" s="79">
        <f>IF(Q166="","",IF(Q166="✓ Complete",0,1))</f>
        <v/>
      </c>
    </row>
    <row r="167" ht="20" customHeight="1">
      <c r="B167" s="72" t="n"/>
      <c r="C167" s="72" t="n"/>
      <c r="D167" s="72" t="n"/>
      <c r="E167" s="72" t="n"/>
      <c r="F167" s="72" t="n"/>
      <c r="G167" s="109" t="n"/>
      <c r="H167" s="72" t="n"/>
      <c r="I167" s="78">
        <f>IF(H167="","",HYPERLINK(H167,"Open ↗"))</f>
        <v/>
      </c>
      <c r="J167" s="72" t="n"/>
      <c r="L167" s="116">
        <f>IF('Contractors'!B167="","",'Contractors'!B167)</f>
        <v/>
      </c>
      <c r="M167" s="78">
        <f>IF(L167="","",'Contractors'!L167)</f>
        <v/>
      </c>
      <c r="N167" s="78">
        <f>IF(OR(L167="",M167&lt;&gt;"Yes"),"",IF(COUNTIFS('Vault'!$C$6:$C$1005,"Contract",'Vault'!$D$6:$D$1005,L167)&gt;0,"✓","✗ missing"))</f>
        <v/>
      </c>
      <c r="O167" s="78">
        <f>IF(OR(L167="",M167&lt;&gt;"Yes"),"",IF(COUNTIFS('Vault'!$C$6:$C$1005,"Insurance",'Vault'!$D$6:$D$1005,L167)&gt;0,"✓","✗ missing"))</f>
        <v/>
      </c>
      <c r="P167" s="78">
        <f>IF(OR(L167="",M167&lt;&gt;"Yes"),"",IF(COUNTIFS('Vault'!$C$6:$C$1005,"Quote",'Vault'!$D$6:$D$1005,L167)&gt;0,"✓","✗ missing"))</f>
        <v/>
      </c>
      <c r="Q167" s="78">
        <f>IF(N167="","",IF(AND(N167="✓",O167="✓",P167="✓"),"✓ Complete","Missing documents"))</f>
        <v/>
      </c>
      <c r="R167" s="79">
        <f>IF(Q167="","",IF(Q167="✓ Complete",0,1))</f>
        <v/>
      </c>
    </row>
    <row r="168" ht="20" customHeight="1">
      <c r="B168" s="72" t="n"/>
      <c r="C168" s="72" t="n"/>
      <c r="D168" s="72" t="n"/>
      <c r="E168" s="72" t="n"/>
      <c r="F168" s="72" t="n"/>
      <c r="G168" s="109" t="n"/>
      <c r="H168" s="72" t="n"/>
      <c r="I168" s="78">
        <f>IF(H168="","",HYPERLINK(H168,"Open ↗"))</f>
        <v/>
      </c>
      <c r="J168" s="72" t="n"/>
      <c r="L168" s="116">
        <f>IF('Contractors'!B168="","",'Contractors'!B168)</f>
        <v/>
      </c>
      <c r="M168" s="78">
        <f>IF(L168="","",'Contractors'!L168)</f>
        <v/>
      </c>
      <c r="N168" s="78">
        <f>IF(OR(L168="",M168&lt;&gt;"Yes"),"",IF(COUNTIFS('Vault'!$C$6:$C$1005,"Contract",'Vault'!$D$6:$D$1005,L168)&gt;0,"✓","✗ missing"))</f>
        <v/>
      </c>
      <c r="O168" s="78">
        <f>IF(OR(L168="",M168&lt;&gt;"Yes"),"",IF(COUNTIFS('Vault'!$C$6:$C$1005,"Insurance",'Vault'!$D$6:$D$1005,L168)&gt;0,"✓","✗ missing"))</f>
        <v/>
      </c>
      <c r="P168" s="78">
        <f>IF(OR(L168="",M168&lt;&gt;"Yes"),"",IF(COUNTIFS('Vault'!$C$6:$C$1005,"Quote",'Vault'!$D$6:$D$1005,L168)&gt;0,"✓","✗ missing"))</f>
        <v/>
      </c>
      <c r="Q168" s="78">
        <f>IF(N168="","",IF(AND(N168="✓",O168="✓",P168="✓"),"✓ Complete","Missing documents"))</f>
        <v/>
      </c>
      <c r="R168" s="79">
        <f>IF(Q168="","",IF(Q168="✓ Complete",0,1))</f>
        <v/>
      </c>
    </row>
    <row r="169" ht="20" customHeight="1">
      <c r="B169" s="72" t="n"/>
      <c r="C169" s="72" t="n"/>
      <c r="D169" s="72" t="n"/>
      <c r="E169" s="72" t="n"/>
      <c r="F169" s="72" t="n"/>
      <c r="G169" s="109" t="n"/>
      <c r="H169" s="72" t="n"/>
      <c r="I169" s="78">
        <f>IF(H169="","",HYPERLINK(H169,"Open ↗"))</f>
        <v/>
      </c>
      <c r="J169" s="72" t="n"/>
      <c r="L169" s="116">
        <f>IF('Contractors'!B169="","",'Contractors'!B169)</f>
        <v/>
      </c>
      <c r="M169" s="78">
        <f>IF(L169="","",'Contractors'!L169)</f>
        <v/>
      </c>
      <c r="N169" s="78">
        <f>IF(OR(L169="",M169&lt;&gt;"Yes"),"",IF(COUNTIFS('Vault'!$C$6:$C$1005,"Contract",'Vault'!$D$6:$D$1005,L169)&gt;0,"✓","✗ missing"))</f>
        <v/>
      </c>
      <c r="O169" s="78">
        <f>IF(OR(L169="",M169&lt;&gt;"Yes"),"",IF(COUNTIFS('Vault'!$C$6:$C$1005,"Insurance",'Vault'!$D$6:$D$1005,L169)&gt;0,"✓","✗ missing"))</f>
        <v/>
      </c>
      <c r="P169" s="78">
        <f>IF(OR(L169="",M169&lt;&gt;"Yes"),"",IF(COUNTIFS('Vault'!$C$6:$C$1005,"Quote",'Vault'!$D$6:$D$1005,L169)&gt;0,"✓","✗ missing"))</f>
        <v/>
      </c>
      <c r="Q169" s="78">
        <f>IF(N169="","",IF(AND(N169="✓",O169="✓",P169="✓"),"✓ Complete","Missing documents"))</f>
        <v/>
      </c>
      <c r="R169" s="79">
        <f>IF(Q169="","",IF(Q169="✓ Complete",0,1))</f>
        <v/>
      </c>
    </row>
    <row r="170" ht="20" customHeight="1">
      <c r="B170" s="72" t="n"/>
      <c r="C170" s="72" t="n"/>
      <c r="D170" s="72" t="n"/>
      <c r="E170" s="72" t="n"/>
      <c r="F170" s="72" t="n"/>
      <c r="G170" s="109" t="n"/>
      <c r="H170" s="72" t="n"/>
      <c r="I170" s="78">
        <f>IF(H170="","",HYPERLINK(H170,"Open ↗"))</f>
        <v/>
      </c>
      <c r="J170" s="72" t="n"/>
      <c r="L170" s="116">
        <f>IF('Contractors'!B170="","",'Contractors'!B170)</f>
        <v/>
      </c>
      <c r="M170" s="78">
        <f>IF(L170="","",'Contractors'!L170)</f>
        <v/>
      </c>
      <c r="N170" s="78">
        <f>IF(OR(L170="",M170&lt;&gt;"Yes"),"",IF(COUNTIFS('Vault'!$C$6:$C$1005,"Contract",'Vault'!$D$6:$D$1005,L170)&gt;0,"✓","✗ missing"))</f>
        <v/>
      </c>
      <c r="O170" s="78">
        <f>IF(OR(L170="",M170&lt;&gt;"Yes"),"",IF(COUNTIFS('Vault'!$C$6:$C$1005,"Insurance",'Vault'!$D$6:$D$1005,L170)&gt;0,"✓","✗ missing"))</f>
        <v/>
      </c>
      <c r="P170" s="78">
        <f>IF(OR(L170="",M170&lt;&gt;"Yes"),"",IF(COUNTIFS('Vault'!$C$6:$C$1005,"Quote",'Vault'!$D$6:$D$1005,L170)&gt;0,"✓","✗ missing"))</f>
        <v/>
      </c>
      <c r="Q170" s="78">
        <f>IF(N170="","",IF(AND(N170="✓",O170="✓",P170="✓"),"✓ Complete","Missing documents"))</f>
        <v/>
      </c>
      <c r="R170" s="79">
        <f>IF(Q170="","",IF(Q170="✓ Complete",0,1))</f>
        <v/>
      </c>
    </row>
    <row r="171" ht="20" customHeight="1">
      <c r="B171" s="72" t="n"/>
      <c r="C171" s="72" t="n"/>
      <c r="D171" s="72" t="n"/>
      <c r="E171" s="72" t="n"/>
      <c r="F171" s="72" t="n"/>
      <c r="G171" s="109" t="n"/>
      <c r="H171" s="72" t="n"/>
      <c r="I171" s="78">
        <f>IF(H171="","",HYPERLINK(H171,"Open ↗"))</f>
        <v/>
      </c>
      <c r="J171" s="72" t="n"/>
      <c r="L171" s="116">
        <f>IF('Contractors'!B171="","",'Contractors'!B171)</f>
        <v/>
      </c>
      <c r="M171" s="78">
        <f>IF(L171="","",'Contractors'!L171)</f>
        <v/>
      </c>
      <c r="N171" s="78">
        <f>IF(OR(L171="",M171&lt;&gt;"Yes"),"",IF(COUNTIFS('Vault'!$C$6:$C$1005,"Contract",'Vault'!$D$6:$D$1005,L171)&gt;0,"✓","✗ missing"))</f>
        <v/>
      </c>
      <c r="O171" s="78">
        <f>IF(OR(L171="",M171&lt;&gt;"Yes"),"",IF(COUNTIFS('Vault'!$C$6:$C$1005,"Insurance",'Vault'!$D$6:$D$1005,L171)&gt;0,"✓","✗ missing"))</f>
        <v/>
      </c>
      <c r="P171" s="78">
        <f>IF(OR(L171="",M171&lt;&gt;"Yes"),"",IF(COUNTIFS('Vault'!$C$6:$C$1005,"Quote",'Vault'!$D$6:$D$1005,L171)&gt;0,"✓","✗ missing"))</f>
        <v/>
      </c>
      <c r="Q171" s="78">
        <f>IF(N171="","",IF(AND(N171="✓",O171="✓",P171="✓"),"✓ Complete","Missing documents"))</f>
        <v/>
      </c>
      <c r="R171" s="79">
        <f>IF(Q171="","",IF(Q171="✓ Complete",0,1))</f>
        <v/>
      </c>
    </row>
    <row r="172" ht="20" customHeight="1">
      <c r="B172" s="72" t="n"/>
      <c r="C172" s="72" t="n"/>
      <c r="D172" s="72" t="n"/>
      <c r="E172" s="72" t="n"/>
      <c r="F172" s="72" t="n"/>
      <c r="G172" s="109" t="n"/>
      <c r="H172" s="72" t="n"/>
      <c r="I172" s="78">
        <f>IF(H172="","",HYPERLINK(H172,"Open ↗"))</f>
        <v/>
      </c>
      <c r="J172" s="72" t="n"/>
      <c r="L172" s="116">
        <f>IF('Contractors'!B172="","",'Contractors'!B172)</f>
        <v/>
      </c>
      <c r="M172" s="78">
        <f>IF(L172="","",'Contractors'!L172)</f>
        <v/>
      </c>
      <c r="N172" s="78">
        <f>IF(OR(L172="",M172&lt;&gt;"Yes"),"",IF(COUNTIFS('Vault'!$C$6:$C$1005,"Contract",'Vault'!$D$6:$D$1005,L172)&gt;0,"✓","✗ missing"))</f>
        <v/>
      </c>
      <c r="O172" s="78">
        <f>IF(OR(L172="",M172&lt;&gt;"Yes"),"",IF(COUNTIFS('Vault'!$C$6:$C$1005,"Insurance",'Vault'!$D$6:$D$1005,L172)&gt;0,"✓","✗ missing"))</f>
        <v/>
      </c>
      <c r="P172" s="78">
        <f>IF(OR(L172="",M172&lt;&gt;"Yes"),"",IF(COUNTIFS('Vault'!$C$6:$C$1005,"Quote",'Vault'!$D$6:$D$1005,L172)&gt;0,"✓","✗ missing"))</f>
        <v/>
      </c>
      <c r="Q172" s="78">
        <f>IF(N172="","",IF(AND(N172="✓",O172="✓",P172="✓"),"✓ Complete","Missing documents"))</f>
        <v/>
      </c>
      <c r="R172" s="79">
        <f>IF(Q172="","",IF(Q172="✓ Complete",0,1))</f>
        <v/>
      </c>
    </row>
    <row r="173" ht="20" customHeight="1">
      <c r="B173" s="72" t="n"/>
      <c r="C173" s="72" t="n"/>
      <c r="D173" s="72" t="n"/>
      <c r="E173" s="72" t="n"/>
      <c r="F173" s="72" t="n"/>
      <c r="G173" s="109" t="n"/>
      <c r="H173" s="72" t="n"/>
      <c r="I173" s="78">
        <f>IF(H173="","",HYPERLINK(H173,"Open ↗"))</f>
        <v/>
      </c>
      <c r="J173" s="72" t="n"/>
      <c r="L173" s="116">
        <f>IF('Contractors'!B173="","",'Contractors'!B173)</f>
        <v/>
      </c>
      <c r="M173" s="78">
        <f>IF(L173="","",'Contractors'!L173)</f>
        <v/>
      </c>
      <c r="N173" s="78">
        <f>IF(OR(L173="",M173&lt;&gt;"Yes"),"",IF(COUNTIFS('Vault'!$C$6:$C$1005,"Contract",'Vault'!$D$6:$D$1005,L173)&gt;0,"✓","✗ missing"))</f>
        <v/>
      </c>
      <c r="O173" s="78">
        <f>IF(OR(L173="",M173&lt;&gt;"Yes"),"",IF(COUNTIFS('Vault'!$C$6:$C$1005,"Insurance",'Vault'!$D$6:$D$1005,L173)&gt;0,"✓","✗ missing"))</f>
        <v/>
      </c>
      <c r="P173" s="78">
        <f>IF(OR(L173="",M173&lt;&gt;"Yes"),"",IF(COUNTIFS('Vault'!$C$6:$C$1005,"Quote",'Vault'!$D$6:$D$1005,L173)&gt;0,"✓","✗ missing"))</f>
        <v/>
      </c>
      <c r="Q173" s="78">
        <f>IF(N173="","",IF(AND(N173="✓",O173="✓",P173="✓"),"✓ Complete","Missing documents"))</f>
        <v/>
      </c>
      <c r="R173" s="79">
        <f>IF(Q173="","",IF(Q173="✓ Complete",0,1))</f>
        <v/>
      </c>
    </row>
    <row r="174" ht="20" customHeight="1">
      <c r="B174" s="72" t="n"/>
      <c r="C174" s="72" t="n"/>
      <c r="D174" s="72" t="n"/>
      <c r="E174" s="72" t="n"/>
      <c r="F174" s="72" t="n"/>
      <c r="G174" s="109" t="n"/>
      <c r="H174" s="72" t="n"/>
      <c r="I174" s="78">
        <f>IF(H174="","",HYPERLINK(H174,"Open ↗"))</f>
        <v/>
      </c>
      <c r="J174" s="72" t="n"/>
      <c r="L174" s="116">
        <f>IF('Contractors'!B174="","",'Contractors'!B174)</f>
        <v/>
      </c>
      <c r="M174" s="78">
        <f>IF(L174="","",'Contractors'!L174)</f>
        <v/>
      </c>
      <c r="N174" s="78">
        <f>IF(OR(L174="",M174&lt;&gt;"Yes"),"",IF(COUNTIFS('Vault'!$C$6:$C$1005,"Contract",'Vault'!$D$6:$D$1005,L174)&gt;0,"✓","✗ missing"))</f>
        <v/>
      </c>
      <c r="O174" s="78">
        <f>IF(OR(L174="",M174&lt;&gt;"Yes"),"",IF(COUNTIFS('Vault'!$C$6:$C$1005,"Insurance",'Vault'!$D$6:$D$1005,L174)&gt;0,"✓","✗ missing"))</f>
        <v/>
      </c>
      <c r="P174" s="78">
        <f>IF(OR(L174="",M174&lt;&gt;"Yes"),"",IF(COUNTIFS('Vault'!$C$6:$C$1005,"Quote",'Vault'!$D$6:$D$1005,L174)&gt;0,"✓","✗ missing"))</f>
        <v/>
      </c>
      <c r="Q174" s="78">
        <f>IF(N174="","",IF(AND(N174="✓",O174="✓",P174="✓"),"✓ Complete","Missing documents"))</f>
        <v/>
      </c>
      <c r="R174" s="79">
        <f>IF(Q174="","",IF(Q174="✓ Complete",0,1))</f>
        <v/>
      </c>
    </row>
    <row r="175" ht="20" customHeight="1">
      <c r="B175" s="72" t="n"/>
      <c r="C175" s="72" t="n"/>
      <c r="D175" s="72" t="n"/>
      <c r="E175" s="72" t="n"/>
      <c r="F175" s="72" t="n"/>
      <c r="G175" s="109" t="n"/>
      <c r="H175" s="72" t="n"/>
      <c r="I175" s="78">
        <f>IF(H175="","",HYPERLINK(H175,"Open ↗"))</f>
        <v/>
      </c>
      <c r="J175" s="72" t="n"/>
      <c r="L175" s="116">
        <f>IF('Contractors'!B175="","",'Contractors'!B175)</f>
        <v/>
      </c>
      <c r="M175" s="78">
        <f>IF(L175="","",'Contractors'!L175)</f>
        <v/>
      </c>
      <c r="N175" s="78">
        <f>IF(OR(L175="",M175&lt;&gt;"Yes"),"",IF(COUNTIFS('Vault'!$C$6:$C$1005,"Contract",'Vault'!$D$6:$D$1005,L175)&gt;0,"✓","✗ missing"))</f>
        <v/>
      </c>
      <c r="O175" s="78">
        <f>IF(OR(L175="",M175&lt;&gt;"Yes"),"",IF(COUNTIFS('Vault'!$C$6:$C$1005,"Insurance",'Vault'!$D$6:$D$1005,L175)&gt;0,"✓","✗ missing"))</f>
        <v/>
      </c>
      <c r="P175" s="78">
        <f>IF(OR(L175="",M175&lt;&gt;"Yes"),"",IF(COUNTIFS('Vault'!$C$6:$C$1005,"Quote",'Vault'!$D$6:$D$1005,L175)&gt;0,"✓","✗ missing"))</f>
        <v/>
      </c>
      <c r="Q175" s="78">
        <f>IF(N175="","",IF(AND(N175="✓",O175="✓",P175="✓"),"✓ Complete","Missing documents"))</f>
        <v/>
      </c>
      <c r="R175" s="79">
        <f>IF(Q175="","",IF(Q175="✓ Complete",0,1))</f>
        <v/>
      </c>
    </row>
    <row r="176" ht="20" customHeight="1">
      <c r="B176" s="72" t="n"/>
      <c r="C176" s="72" t="n"/>
      <c r="D176" s="72" t="n"/>
      <c r="E176" s="72" t="n"/>
      <c r="F176" s="72" t="n"/>
      <c r="G176" s="109" t="n"/>
      <c r="H176" s="72" t="n"/>
      <c r="I176" s="78">
        <f>IF(H176="","",HYPERLINK(H176,"Open ↗"))</f>
        <v/>
      </c>
      <c r="J176" s="72" t="n"/>
      <c r="L176" s="116">
        <f>IF('Contractors'!B176="","",'Contractors'!B176)</f>
        <v/>
      </c>
      <c r="M176" s="78">
        <f>IF(L176="","",'Contractors'!L176)</f>
        <v/>
      </c>
      <c r="N176" s="78">
        <f>IF(OR(L176="",M176&lt;&gt;"Yes"),"",IF(COUNTIFS('Vault'!$C$6:$C$1005,"Contract",'Vault'!$D$6:$D$1005,L176)&gt;0,"✓","✗ missing"))</f>
        <v/>
      </c>
      <c r="O176" s="78">
        <f>IF(OR(L176="",M176&lt;&gt;"Yes"),"",IF(COUNTIFS('Vault'!$C$6:$C$1005,"Insurance",'Vault'!$D$6:$D$1005,L176)&gt;0,"✓","✗ missing"))</f>
        <v/>
      </c>
      <c r="P176" s="78">
        <f>IF(OR(L176="",M176&lt;&gt;"Yes"),"",IF(COUNTIFS('Vault'!$C$6:$C$1005,"Quote",'Vault'!$D$6:$D$1005,L176)&gt;0,"✓","✗ missing"))</f>
        <v/>
      </c>
      <c r="Q176" s="78">
        <f>IF(N176="","",IF(AND(N176="✓",O176="✓",P176="✓"),"✓ Complete","Missing documents"))</f>
        <v/>
      </c>
      <c r="R176" s="79">
        <f>IF(Q176="","",IF(Q176="✓ Complete",0,1))</f>
        <v/>
      </c>
    </row>
    <row r="177" ht="20" customHeight="1">
      <c r="B177" s="72" t="n"/>
      <c r="C177" s="72" t="n"/>
      <c r="D177" s="72" t="n"/>
      <c r="E177" s="72" t="n"/>
      <c r="F177" s="72" t="n"/>
      <c r="G177" s="109" t="n"/>
      <c r="H177" s="72" t="n"/>
      <c r="I177" s="78">
        <f>IF(H177="","",HYPERLINK(H177,"Open ↗"))</f>
        <v/>
      </c>
      <c r="J177" s="72" t="n"/>
      <c r="L177" s="116">
        <f>IF('Contractors'!B177="","",'Contractors'!B177)</f>
        <v/>
      </c>
      <c r="M177" s="78">
        <f>IF(L177="","",'Contractors'!L177)</f>
        <v/>
      </c>
      <c r="N177" s="78">
        <f>IF(OR(L177="",M177&lt;&gt;"Yes"),"",IF(COUNTIFS('Vault'!$C$6:$C$1005,"Contract",'Vault'!$D$6:$D$1005,L177)&gt;0,"✓","✗ missing"))</f>
        <v/>
      </c>
      <c r="O177" s="78">
        <f>IF(OR(L177="",M177&lt;&gt;"Yes"),"",IF(COUNTIFS('Vault'!$C$6:$C$1005,"Insurance",'Vault'!$D$6:$D$1005,L177)&gt;0,"✓","✗ missing"))</f>
        <v/>
      </c>
      <c r="P177" s="78">
        <f>IF(OR(L177="",M177&lt;&gt;"Yes"),"",IF(COUNTIFS('Vault'!$C$6:$C$1005,"Quote",'Vault'!$D$6:$D$1005,L177)&gt;0,"✓","✗ missing"))</f>
        <v/>
      </c>
      <c r="Q177" s="78">
        <f>IF(N177="","",IF(AND(N177="✓",O177="✓",P177="✓"),"✓ Complete","Missing documents"))</f>
        <v/>
      </c>
      <c r="R177" s="79">
        <f>IF(Q177="","",IF(Q177="✓ Complete",0,1))</f>
        <v/>
      </c>
    </row>
    <row r="178" ht="20" customHeight="1">
      <c r="B178" s="72" t="n"/>
      <c r="C178" s="72" t="n"/>
      <c r="D178" s="72" t="n"/>
      <c r="E178" s="72" t="n"/>
      <c r="F178" s="72" t="n"/>
      <c r="G178" s="109" t="n"/>
      <c r="H178" s="72" t="n"/>
      <c r="I178" s="78">
        <f>IF(H178="","",HYPERLINK(H178,"Open ↗"))</f>
        <v/>
      </c>
      <c r="J178" s="72" t="n"/>
      <c r="L178" s="116">
        <f>IF('Contractors'!B178="","",'Contractors'!B178)</f>
        <v/>
      </c>
      <c r="M178" s="78">
        <f>IF(L178="","",'Contractors'!L178)</f>
        <v/>
      </c>
      <c r="N178" s="78">
        <f>IF(OR(L178="",M178&lt;&gt;"Yes"),"",IF(COUNTIFS('Vault'!$C$6:$C$1005,"Contract",'Vault'!$D$6:$D$1005,L178)&gt;0,"✓","✗ missing"))</f>
        <v/>
      </c>
      <c r="O178" s="78">
        <f>IF(OR(L178="",M178&lt;&gt;"Yes"),"",IF(COUNTIFS('Vault'!$C$6:$C$1005,"Insurance",'Vault'!$D$6:$D$1005,L178)&gt;0,"✓","✗ missing"))</f>
        <v/>
      </c>
      <c r="P178" s="78">
        <f>IF(OR(L178="",M178&lt;&gt;"Yes"),"",IF(COUNTIFS('Vault'!$C$6:$C$1005,"Quote",'Vault'!$D$6:$D$1005,L178)&gt;0,"✓","✗ missing"))</f>
        <v/>
      </c>
      <c r="Q178" s="78">
        <f>IF(N178="","",IF(AND(N178="✓",O178="✓",P178="✓"),"✓ Complete","Missing documents"))</f>
        <v/>
      </c>
      <c r="R178" s="79">
        <f>IF(Q178="","",IF(Q178="✓ Complete",0,1))</f>
        <v/>
      </c>
    </row>
    <row r="179" ht="20" customHeight="1">
      <c r="B179" s="72" t="n"/>
      <c r="C179" s="72" t="n"/>
      <c r="D179" s="72" t="n"/>
      <c r="E179" s="72" t="n"/>
      <c r="F179" s="72" t="n"/>
      <c r="G179" s="109" t="n"/>
      <c r="H179" s="72" t="n"/>
      <c r="I179" s="78">
        <f>IF(H179="","",HYPERLINK(H179,"Open ↗"))</f>
        <v/>
      </c>
      <c r="J179" s="72" t="n"/>
      <c r="L179" s="116">
        <f>IF('Contractors'!B179="","",'Contractors'!B179)</f>
        <v/>
      </c>
      <c r="M179" s="78">
        <f>IF(L179="","",'Contractors'!L179)</f>
        <v/>
      </c>
      <c r="N179" s="78">
        <f>IF(OR(L179="",M179&lt;&gt;"Yes"),"",IF(COUNTIFS('Vault'!$C$6:$C$1005,"Contract",'Vault'!$D$6:$D$1005,L179)&gt;0,"✓","✗ missing"))</f>
        <v/>
      </c>
      <c r="O179" s="78">
        <f>IF(OR(L179="",M179&lt;&gt;"Yes"),"",IF(COUNTIFS('Vault'!$C$6:$C$1005,"Insurance",'Vault'!$D$6:$D$1005,L179)&gt;0,"✓","✗ missing"))</f>
        <v/>
      </c>
      <c r="P179" s="78">
        <f>IF(OR(L179="",M179&lt;&gt;"Yes"),"",IF(COUNTIFS('Vault'!$C$6:$C$1005,"Quote",'Vault'!$D$6:$D$1005,L179)&gt;0,"✓","✗ missing"))</f>
        <v/>
      </c>
      <c r="Q179" s="78">
        <f>IF(N179="","",IF(AND(N179="✓",O179="✓",P179="✓"),"✓ Complete","Missing documents"))</f>
        <v/>
      </c>
      <c r="R179" s="79">
        <f>IF(Q179="","",IF(Q179="✓ Complete",0,1))</f>
        <v/>
      </c>
    </row>
    <row r="180" ht="20" customHeight="1">
      <c r="B180" s="72" t="n"/>
      <c r="C180" s="72" t="n"/>
      <c r="D180" s="72" t="n"/>
      <c r="E180" s="72" t="n"/>
      <c r="F180" s="72" t="n"/>
      <c r="G180" s="109" t="n"/>
      <c r="H180" s="72" t="n"/>
      <c r="I180" s="78">
        <f>IF(H180="","",HYPERLINK(H180,"Open ↗"))</f>
        <v/>
      </c>
      <c r="J180" s="72" t="n"/>
      <c r="L180" s="116">
        <f>IF('Contractors'!B180="","",'Contractors'!B180)</f>
        <v/>
      </c>
      <c r="M180" s="78">
        <f>IF(L180="","",'Contractors'!L180)</f>
        <v/>
      </c>
      <c r="N180" s="78">
        <f>IF(OR(L180="",M180&lt;&gt;"Yes"),"",IF(COUNTIFS('Vault'!$C$6:$C$1005,"Contract",'Vault'!$D$6:$D$1005,L180)&gt;0,"✓","✗ missing"))</f>
        <v/>
      </c>
      <c r="O180" s="78">
        <f>IF(OR(L180="",M180&lt;&gt;"Yes"),"",IF(COUNTIFS('Vault'!$C$6:$C$1005,"Insurance",'Vault'!$D$6:$D$1005,L180)&gt;0,"✓","✗ missing"))</f>
        <v/>
      </c>
      <c r="P180" s="78">
        <f>IF(OR(L180="",M180&lt;&gt;"Yes"),"",IF(COUNTIFS('Vault'!$C$6:$C$1005,"Quote",'Vault'!$D$6:$D$1005,L180)&gt;0,"✓","✗ missing"))</f>
        <v/>
      </c>
      <c r="Q180" s="78">
        <f>IF(N180="","",IF(AND(N180="✓",O180="✓",P180="✓"),"✓ Complete","Missing documents"))</f>
        <v/>
      </c>
      <c r="R180" s="79">
        <f>IF(Q180="","",IF(Q180="✓ Complete",0,1))</f>
        <v/>
      </c>
    </row>
    <row r="181" ht="20" customHeight="1">
      <c r="B181" s="72" t="n"/>
      <c r="C181" s="72" t="n"/>
      <c r="D181" s="72" t="n"/>
      <c r="E181" s="72" t="n"/>
      <c r="F181" s="72" t="n"/>
      <c r="G181" s="109" t="n"/>
      <c r="H181" s="72" t="n"/>
      <c r="I181" s="78">
        <f>IF(H181="","",HYPERLINK(H181,"Open ↗"))</f>
        <v/>
      </c>
      <c r="J181" s="72" t="n"/>
      <c r="L181" s="116">
        <f>IF('Contractors'!B181="","",'Contractors'!B181)</f>
        <v/>
      </c>
      <c r="M181" s="78">
        <f>IF(L181="","",'Contractors'!L181)</f>
        <v/>
      </c>
      <c r="N181" s="78">
        <f>IF(OR(L181="",M181&lt;&gt;"Yes"),"",IF(COUNTIFS('Vault'!$C$6:$C$1005,"Contract",'Vault'!$D$6:$D$1005,L181)&gt;0,"✓","✗ missing"))</f>
        <v/>
      </c>
      <c r="O181" s="78">
        <f>IF(OR(L181="",M181&lt;&gt;"Yes"),"",IF(COUNTIFS('Vault'!$C$6:$C$1005,"Insurance",'Vault'!$D$6:$D$1005,L181)&gt;0,"✓","✗ missing"))</f>
        <v/>
      </c>
      <c r="P181" s="78">
        <f>IF(OR(L181="",M181&lt;&gt;"Yes"),"",IF(COUNTIFS('Vault'!$C$6:$C$1005,"Quote",'Vault'!$D$6:$D$1005,L181)&gt;0,"✓","✗ missing"))</f>
        <v/>
      </c>
      <c r="Q181" s="78">
        <f>IF(N181="","",IF(AND(N181="✓",O181="✓",P181="✓"),"✓ Complete","Missing documents"))</f>
        <v/>
      </c>
      <c r="R181" s="79">
        <f>IF(Q181="","",IF(Q181="✓ Complete",0,1))</f>
        <v/>
      </c>
    </row>
    <row r="182" ht="20" customHeight="1">
      <c r="B182" s="72" t="n"/>
      <c r="C182" s="72" t="n"/>
      <c r="D182" s="72" t="n"/>
      <c r="E182" s="72" t="n"/>
      <c r="F182" s="72" t="n"/>
      <c r="G182" s="109" t="n"/>
      <c r="H182" s="72" t="n"/>
      <c r="I182" s="78">
        <f>IF(H182="","",HYPERLINK(H182,"Open ↗"))</f>
        <v/>
      </c>
      <c r="J182" s="72" t="n"/>
      <c r="L182" s="116">
        <f>IF('Contractors'!B182="","",'Contractors'!B182)</f>
        <v/>
      </c>
      <c r="M182" s="78">
        <f>IF(L182="","",'Contractors'!L182)</f>
        <v/>
      </c>
      <c r="N182" s="78">
        <f>IF(OR(L182="",M182&lt;&gt;"Yes"),"",IF(COUNTIFS('Vault'!$C$6:$C$1005,"Contract",'Vault'!$D$6:$D$1005,L182)&gt;0,"✓","✗ missing"))</f>
        <v/>
      </c>
      <c r="O182" s="78">
        <f>IF(OR(L182="",M182&lt;&gt;"Yes"),"",IF(COUNTIFS('Vault'!$C$6:$C$1005,"Insurance",'Vault'!$D$6:$D$1005,L182)&gt;0,"✓","✗ missing"))</f>
        <v/>
      </c>
      <c r="P182" s="78">
        <f>IF(OR(L182="",M182&lt;&gt;"Yes"),"",IF(COUNTIFS('Vault'!$C$6:$C$1005,"Quote",'Vault'!$D$6:$D$1005,L182)&gt;0,"✓","✗ missing"))</f>
        <v/>
      </c>
      <c r="Q182" s="78">
        <f>IF(N182="","",IF(AND(N182="✓",O182="✓",P182="✓"),"✓ Complete","Missing documents"))</f>
        <v/>
      </c>
      <c r="R182" s="79">
        <f>IF(Q182="","",IF(Q182="✓ Complete",0,1))</f>
        <v/>
      </c>
    </row>
    <row r="183" ht="20" customHeight="1">
      <c r="B183" s="72" t="n"/>
      <c r="C183" s="72" t="n"/>
      <c r="D183" s="72" t="n"/>
      <c r="E183" s="72" t="n"/>
      <c r="F183" s="72" t="n"/>
      <c r="G183" s="109" t="n"/>
      <c r="H183" s="72" t="n"/>
      <c r="I183" s="78">
        <f>IF(H183="","",HYPERLINK(H183,"Open ↗"))</f>
        <v/>
      </c>
      <c r="J183" s="72" t="n"/>
      <c r="L183" s="116">
        <f>IF('Contractors'!B183="","",'Contractors'!B183)</f>
        <v/>
      </c>
      <c r="M183" s="78">
        <f>IF(L183="","",'Contractors'!L183)</f>
        <v/>
      </c>
      <c r="N183" s="78">
        <f>IF(OR(L183="",M183&lt;&gt;"Yes"),"",IF(COUNTIFS('Vault'!$C$6:$C$1005,"Contract",'Vault'!$D$6:$D$1005,L183)&gt;0,"✓","✗ missing"))</f>
        <v/>
      </c>
      <c r="O183" s="78">
        <f>IF(OR(L183="",M183&lt;&gt;"Yes"),"",IF(COUNTIFS('Vault'!$C$6:$C$1005,"Insurance",'Vault'!$D$6:$D$1005,L183)&gt;0,"✓","✗ missing"))</f>
        <v/>
      </c>
      <c r="P183" s="78">
        <f>IF(OR(L183="",M183&lt;&gt;"Yes"),"",IF(COUNTIFS('Vault'!$C$6:$C$1005,"Quote",'Vault'!$D$6:$D$1005,L183)&gt;0,"✓","✗ missing"))</f>
        <v/>
      </c>
      <c r="Q183" s="78">
        <f>IF(N183="","",IF(AND(N183="✓",O183="✓",P183="✓"),"✓ Complete","Missing documents"))</f>
        <v/>
      </c>
      <c r="R183" s="79">
        <f>IF(Q183="","",IF(Q183="✓ Complete",0,1))</f>
        <v/>
      </c>
    </row>
    <row r="184" ht="20" customHeight="1">
      <c r="B184" s="72" t="n"/>
      <c r="C184" s="72" t="n"/>
      <c r="D184" s="72" t="n"/>
      <c r="E184" s="72" t="n"/>
      <c r="F184" s="72" t="n"/>
      <c r="G184" s="109" t="n"/>
      <c r="H184" s="72" t="n"/>
      <c r="I184" s="78">
        <f>IF(H184="","",HYPERLINK(H184,"Open ↗"))</f>
        <v/>
      </c>
      <c r="J184" s="72" t="n"/>
      <c r="L184" s="116">
        <f>IF('Contractors'!B184="","",'Contractors'!B184)</f>
        <v/>
      </c>
      <c r="M184" s="78">
        <f>IF(L184="","",'Contractors'!L184)</f>
        <v/>
      </c>
      <c r="N184" s="78">
        <f>IF(OR(L184="",M184&lt;&gt;"Yes"),"",IF(COUNTIFS('Vault'!$C$6:$C$1005,"Contract",'Vault'!$D$6:$D$1005,L184)&gt;0,"✓","✗ missing"))</f>
        <v/>
      </c>
      <c r="O184" s="78">
        <f>IF(OR(L184="",M184&lt;&gt;"Yes"),"",IF(COUNTIFS('Vault'!$C$6:$C$1005,"Insurance",'Vault'!$D$6:$D$1005,L184)&gt;0,"✓","✗ missing"))</f>
        <v/>
      </c>
      <c r="P184" s="78">
        <f>IF(OR(L184="",M184&lt;&gt;"Yes"),"",IF(COUNTIFS('Vault'!$C$6:$C$1005,"Quote",'Vault'!$D$6:$D$1005,L184)&gt;0,"✓","✗ missing"))</f>
        <v/>
      </c>
      <c r="Q184" s="78">
        <f>IF(N184="","",IF(AND(N184="✓",O184="✓",P184="✓"),"✓ Complete","Missing documents"))</f>
        <v/>
      </c>
      <c r="R184" s="79">
        <f>IF(Q184="","",IF(Q184="✓ Complete",0,1))</f>
        <v/>
      </c>
    </row>
    <row r="185" ht="20" customHeight="1">
      <c r="B185" s="72" t="n"/>
      <c r="C185" s="72" t="n"/>
      <c r="D185" s="72" t="n"/>
      <c r="E185" s="72" t="n"/>
      <c r="F185" s="72" t="n"/>
      <c r="G185" s="109" t="n"/>
      <c r="H185" s="72" t="n"/>
      <c r="I185" s="78">
        <f>IF(H185="","",HYPERLINK(H185,"Open ↗"))</f>
        <v/>
      </c>
      <c r="J185" s="72" t="n"/>
      <c r="L185" s="116">
        <f>IF('Contractors'!B185="","",'Contractors'!B185)</f>
        <v/>
      </c>
      <c r="M185" s="78">
        <f>IF(L185="","",'Contractors'!L185)</f>
        <v/>
      </c>
      <c r="N185" s="78">
        <f>IF(OR(L185="",M185&lt;&gt;"Yes"),"",IF(COUNTIFS('Vault'!$C$6:$C$1005,"Contract",'Vault'!$D$6:$D$1005,L185)&gt;0,"✓","✗ missing"))</f>
        <v/>
      </c>
      <c r="O185" s="78">
        <f>IF(OR(L185="",M185&lt;&gt;"Yes"),"",IF(COUNTIFS('Vault'!$C$6:$C$1005,"Insurance",'Vault'!$D$6:$D$1005,L185)&gt;0,"✓","✗ missing"))</f>
        <v/>
      </c>
      <c r="P185" s="78">
        <f>IF(OR(L185="",M185&lt;&gt;"Yes"),"",IF(COUNTIFS('Vault'!$C$6:$C$1005,"Quote",'Vault'!$D$6:$D$1005,L185)&gt;0,"✓","✗ missing"))</f>
        <v/>
      </c>
      <c r="Q185" s="78">
        <f>IF(N185="","",IF(AND(N185="✓",O185="✓",P185="✓"),"✓ Complete","Missing documents"))</f>
        <v/>
      </c>
      <c r="R185" s="79">
        <f>IF(Q185="","",IF(Q185="✓ Complete",0,1))</f>
        <v/>
      </c>
    </row>
    <row r="186" ht="20" customHeight="1">
      <c r="B186" s="72" t="n"/>
      <c r="C186" s="72" t="n"/>
      <c r="D186" s="72" t="n"/>
      <c r="E186" s="72" t="n"/>
      <c r="F186" s="72" t="n"/>
      <c r="G186" s="109" t="n"/>
      <c r="H186" s="72" t="n"/>
      <c r="I186" s="78">
        <f>IF(H186="","",HYPERLINK(H186,"Open ↗"))</f>
        <v/>
      </c>
      <c r="J186" s="72" t="n"/>
      <c r="L186" s="116">
        <f>IF('Contractors'!B186="","",'Contractors'!B186)</f>
        <v/>
      </c>
      <c r="M186" s="78">
        <f>IF(L186="","",'Contractors'!L186)</f>
        <v/>
      </c>
      <c r="N186" s="78">
        <f>IF(OR(L186="",M186&lt;&gt;"Yes"),"",IF(COUNTIFS('Vault'!$C$6:$C$1005,"Contract",'Vault'!$D$6:$D$1005,L186)&gt;0,"✓","✗ missing"))</f>
        <v/>
      </c>
      <c r="O186" s="78">
        <f>IF(OR(L186="",M186&lt;&gt;"Yes"),"",IF(COUNTIFS('Vault'!$C$6:$C$1005,"Insurance",'Vault'!$D$6:$D$1005,L186)&gt;0,"✓","✗ missing"))</f>
        <v/>
      </c>
      <c r="P186" s="78">
        <f>IF(OR(L186="",M186&lt;&gt;"Yes"),"",IF(COUNTIFS('Vault'!$C$6:$C$1005,"Quote",'Vault'!$D$6:$D$1005,L186)&gt;0,"✓","✗ missing"))</f>
        <v/>
      </c>
      <c r="Q186" s="78">
        <f>IF(N186="","",IF(AND(N186="✓",O186="✓",P186="✓"),"✓ Complete","Missing documents"))</f>
        <v/>
      </c>
      <c r="R186" s="79">
        <f>IF(Q186="","",IF(Q186="✓ Complete",0,1))</f>
        <v/>
      </c>
    </row>
    <row r="187" ht="20" customHeight="1">
      <c r="B187" s="72" t="n"/>
      <c r="C187" s="72" t="n"/>
      <c r="D187" s="72" t="n"/>
      <c r="E187" s="72" t="n"/>
      <c r="F187" s="72" t="n"/>
      <c r="G187" s="109" t="n"/>
      <c r="H187" s="72" t="n"/>
      <c r="I187" s="78">
        <f>IF(H187="","",HYPERLINK(H187,"Open ↗"))</f>
        <v/>
      </c>
      <c r="J187" s="72" t="n"/>
      <c r="L187" s="116">
        <f>IF('Contractors'!B187="","",'Contractors'!B187)</f>
        <v/>
      </c>
      <c r="M187" s="78">
        <f>IF(L187="","",'Contractors'!L187)</f>
        <v/>
      </c>
      <c r="N187" s="78">
        <f>IF(OR(L187="",M187&lt;&gt;"Yes"),"",IF(COUNTIFS('Vault'!$C$6:$C$1005,"Contract",'Vault'!$D$6:$D$1005,L187)&gt;0,"✓","✗ missing"))</f>
        <v/>
      </c>
      <c r="O187" s="78">
        <f>IF(OR(L187="",M187&lt;&gt;"Yes"),"",IF(COUNTIFS('Vault'!$C$6:$C$1005,"Insurance",'Vault'!$D$6:$D$1005,L187)&gt;0,"✓","✗ missing"))</f>
        <v/>
      </c>
      <c r="P187" s="78">
        <f>IF(OR(L187="",M187&lt;&gt;"Yes"),"",IF(COUNTIFS('Vault'!$C$6:$C$1005,"Quote",'Vault'!$D$6:$D$1005,L187)&gt;0,"✓","✗ missing"))</f>
        <v/>
      </c>
      <c r="Q187" s="78">
        <f>IF(N187="","",IF(AND(N187="✓",O187="✓",P187="✓"),"✓ Complete","Missing documents"))</f>
        <v/>
      </c>
      <c r="R187" s="79">
        <f>IF(Q187="","",IF(Q187="✓ Complete",0,1))</f>
        <v/>
      </c>
    </row>
    <row r="188" ht="20" customHeight="1">
      <c r="B188" s="72" t="n"/>
      <c r="C188" s="72" t="n"/>
      <c r="D188" s="72" t="n"/>
      <c r="E188" s="72" t="n"/>
      <c r="F188" s="72" t="n"/>
      <c r="G188" s="109" t="n"/>
      <c r="H188" s="72" t="n"/>
      <c r="I188" s="78">
        <f>IF(H188="","",HYPERLINK(H188,"Open ↗"))</f>
        <v/>
      </c>
      <c r="J188" s="72" t="n"/>
      <c r="L188" s="116">
        <f>IF('Contractors'!B188="","",'Contractors'!B188)</f>
        <v/>
      </c>
      <c r="M188" s="78">
        <f>IF(L188="","",'Contractors'!L188)</f>
        <v/>
      </c>
      <c r="N188" s="78">
        <f>IF(OR(L188="",M188&lt;&gt;"Yes"),"",IF(COUNTIFS('Vault'!$C$6:$C$1005,"Contract",'Vault'!$D$6:$D$1005,L188)&gt;0,"✓","✗ missing"))</f>
        <v/>
      </c>
      <c r="O188" s="78">
        <f>IF(OR(L188="",M188&lt;&gt;"Yes"),"",IF(COUNTIFS('Vault'!$C$6:$C$1005,"Insurance",'Vault'!$D$6:$D$1005,L188)&gt;0,"✓","✗ missing"))</f>
        <v/>
      </c>
      <c r="P188" s="78">
        <f>IF(OR(L188="",M188&lt;&gt;"Yes"),"",IF(COUNTIFS('Vault'!$C$6:$C$1005,"Quote",'Vault'!$D$6:$D$1005,L188)&gt;0,"✓","✗ missing"))</f>
        <v/>
      </c>
      <c r="Q188" s="78">
        <f>IF(N188="","",IF(AND(N188="✓",O188="✓",P188="✓"),"✓ Complete","Missing documents"))</f>
        <v/>
      </c>
      <c r="R188" s="79">
        <f>IF(Q188="","",IF(Q188="✓ Complete",0,1))</f>
        <v/>
      </c>
    </row>
    <row r="189" ht="20" customHeight="1">
      <c r="B189" s="72" t="n"/>
      <c r="C189" s="72" t="n"/>
      <c r="D189" s="72" t="n"/>
      <c r="E189" s="72" t="n"/>
      <c r="F189" s="72" t="n"/>
      <c r="G189" s="109" t="n"/>
      <c r="H189" s="72" t="n"/>
      <c r="I189" s="78">
        <f>IF(H189="","",HYPERLINK(H189,"Open ↗"))</f>
        <v/>
      </c>
      <c r="J189" s="72" t="n"/>
      <c r="L189" s="116">
        <f>IF('Contractors'!B189="","",'Contractors'!B189)</f>
        <v/>
      </c>
      <c r="M189" s="78">
        <f>IF(L189="","",'Contractors'!L189)</f>
        <v/>
      </c>
      <c r="N189" s="78">
        <f>IF(OR(L189="",M189&lt;&gt;"Yes"),"",IF(COUNTIFS('Vault'!$C$6:$C$1005,"Contract",'Vault'!$D$6:$D$1005,L189)&gt;0,"✓","✗ missing"))</f>
        <v/>
      </c>
      <c r="O189" s="78">
        <f>IF(OR(L189="",M189&lt;&gt;"Yes"),"",IF(COUNTIFS('Vault'!$C$6:$C$1005,"Insurance",'Vault'!$D$6:$D$1005,L189)&gt;0,"✓","✗ missing"))</f>
        <v/>
      </c>
      <c r="P189" s="78">
        <f>IF(OR(L189="",M189&lt;&gt;"Yes"),"",IF(COUNTIFS('Vault'!$C$6:$C$1005,"Quote",'Vault'!$D$6:$D$1005,L189)&gt;0,"✓","✗ missing"))</f>
        <v/>
      </c>
      <c r="Q189" s="78">
        <f>IF(N189="","",IF(AND(N189="✓",O189="✓",P189="✓"),"✓ Complete","Missing documents"))</f>
        <v/>
      </c>
      <c r="R189" s="79">
        <f>IF(Q189="","",IF(Q189="✓ Complete",0,1))</f>
        <v/>
      </c>
    </row>
    <row r="190" ht="20" customHeight="1">
      <c r="B190" s="72" t="n"/>
      <c r="C190" s="72" t="n"/>
      <c r="D190" s="72" t="n"/>
      <c r="E190" s="72" t="n"/>
      <c r="F190" s="72" t="n"/>
      <c r="G190" s="109" t="n"/>
      <c r="H190" s="72" t="n"/>
      <c r="I190" s="78">
        <f>IF(H190="","",HYPERLINK(H190,"Open ↗"))</f>
        <v/>
      </c>
      <c r="J190" s="72" t="n"/>
      <c r="L190" s="116">
        <f>IF('Contractors'!B190="","",'Contractors'!B190)</f>
        <v/>
      </c>
      <c r="M190" s="78">
        <f>IF(L190="","",'Contractors'!L190)</f>
        <v/>
      </c>
      <c r="N190" s="78">
        <f>IF(OR(L190="",M190&lt;&gt;"Yes"),"",IF(COUNTIFS('Vault'!$C$6:$C$1005,"Contract",'Vault'!$D$6:$D$1005,L190)&gt;0,"✓","✗ missing"))</f>
        <v/>
      </c>
      <c r="O190" s="78">
        <f>IF(OR(L190="",M190&lt;&gt;"Yes"),"",IF(COUNTIFS('Vault'!$C$6:$C$1005,"Insurance",'Vault'!$D$6:$D$1005,L190)&gt;0,"✓","✗ missing"))</f>
        <v/>
      </c>
      <c r="P190" s="78">
        <f>IF(OR(L190="",M190&lt;&gt;"Yes"),"",IF(COUNTIFS('Vault'!$C$6:$C$1005,"Quote",'Vault'!$D$6:$D$1005,L190)&gt;0,"✓","✗ missing"))</f>
        <v/>
      </c>
      <c r="Q190" s="78">
        <f>IF(N190="","",IF(AND(N190="✓",O190="✓",P190="✓"),"✓ Complete","Missing documents"))</f>
        <v/>
      </c>
      <c r="R190" s="79">
        <f>IF(Q190="","",IF(Q190="✓ Complete",0,1))</f>
        <v/>
      </c>
    </row>
    <row r="191" ht="20" customHeight="1">
      <c r="B191" s="72" t="n"/>
      <c r="C191" s="72" t="n"/>
      <c r="D191" s="72" t="n"/>
      <c r="E191" s="72" t="n"/>
      <c r="F191" s="72" t="n"/>
      <c r="G191" s="109" t="n"/>
      <c r="H191" s="72" t="n"/>
      <c r="I191" s="78">
        <f>IF(H191="","",HYPERLINK(H191,"Open ↗"))</f>
        <v/>
      </c>
      <c r="J191" s="72" t="n"/>
      <c r="L191" s="116">
        <f>IF('Contractors'!B191="","",'Contractors'!B191)</f>
        <v/>
      </c>
      <c r="M191" s="78">
        <f>IF(L191="","",'Contractors'!L191)</f>
        <v/>
      </c>
      <c r="N191" s="78">
        <f>IF(OR(L191="",M191&lt;&gt;"Yes"),"",IF(COUNTIFS('Vault'!$C$6:$C$1005,"Contract",'Vault'!$D$6:$D$1005,L191)&gt;0,"✓","✗ missing"))</f>
        <v/>
      </c>
      <c r="O191" s="78">
        <f>IF(OR(L191="",M191&lt;&gt;"Yes"),"",IF(COUNTIFS('Vault'!$C$6:$C$1005,"Insurance",'Vault'!$D$6:$D$1005,L191)&gt;0,"✓","✗ missing"))</f>
        <v/>
      </c>
      <c r="P191" s="78">
        <f>IF(OR(L191="",M191&lt;&gt;"Yes"),"",IF(COUNTIFS('Vault'!$C$6:$C$1005,"Quote",'Vault'!$D$6:$D$1005,L191)&gt;0,"✓","✗ missing"))</f>
        <v/>
      </c>
      <c r="Q191" s="78">
        <f>IF(N191="","",IF(AND(N191="✓",O191="✓",P191="✓"),"✓ Complete","Missing documents"))</f>
        <v/>
      </c>
      <c r="R191" s="79">
        <f>IF(Q191="","",IF(Q191="✓ Complete",0,1))</f>
        <v/>
      </c>
    </row>
    <row r="192" ht="20" customHeight="1">
      <c r="B192" s="72" t="n"/>
      <c r="C192" s="72" t="n"/>
      <c r="D192" s="72" t="n"/>
      <c r="E192" s="72" t="n"/>
      <c r="F192" s="72" t="n"/>
      <c r="G192" s="109" t="n"/>
      <c r="H192" s="72" t="n"/>
      <c r="I192" s="78">
        <f>IF(H192="","",HYPERLINK(H192,"Open ↗"))</f>
        <v/>
      </c>
      <c r="J192" s="72" t="n"/>
      <c r="L192" s="116">
        <f>IF('Contractors'!B192="","",'Contractors'!B192)</f>
        <v/>
      </c>
      <c r="M192" s="78">
        <f>IF(L192="","",'Contractors'!L192)</f>
        <v/>
      </c>
      <c r="N192" s="78">
        <f>IF(OR(L192="",M192&lt;&gt;"Yes"),"",IF(COUNTIFS('Vault'!$C$6:$C$1005,"Contract",'Vault'!$D$6:$D$1005,L192)&gt;0,"✓","✗ missing"))</f>
        <v/>
      </c>
      <c r="O192" s="78">
        <f>IF(OR(L192="",M192&lt;&gt;"Yes"),"",IF(COUNTIFS('Vault'!$C$6:$C$1005,"Insurance",'Vault'!$D$6:$D$1005,L192)&gt;0,"✓","✗ missing"))</f>
        <v/>
      </c>
      <c r="P192" s="78">
        <f>IF(OR(L192="",M192&lt;&gt;"Yes"),"",IF(COUNTIFS('Vault'!$C$6:$C$1005,"Quote",'Vault'!$D$6:$D$1005,L192)&gt;0,"✓","✗ missing"))</f>
        <v/>
      </c>
      <c r="Q192" s="78">
        <f>IF(N192="","",IF(AND(N192="✓",O192="✓",P192="✓"),"✓ Complete","Missing documents"))</f>
        <v/>
      </c>
      <c r="R192" s="79">
        <f>IF(Q192="","",IF(Q192="✓ Complete",0,1))</f>
        <v/>
      </c>
    </row>
    <row r="193" ht="20" customHeight="1">
      <c r="B193" s="72" t="n"/>
      <c r="C193" s="72" t="n"/>
      <c r="D193" s="72" t="n"/>
      <c r="E193" s="72" t="n"/>
      <c r="F193" s="72" t="n"/>
      <c r="G193" s="109" t="n"/>
      <c r="H193" s="72" t="n"/>
      <c r="I193" s="78">
        <f>IF(H193="","",HYPERLINK(H193,"Open ↗"))</f>
        <v/>
      </c>
      <c r="J193" s="72" t="n"/>
      <c r="L193" s="116">
        <f>IF('Contractors'!B193="","",'Contractors'!B193)</f>
        <v/>
      </c>
      <c r="M193" s="78">
        <f>IF(L193="","",'Contractors'!L193)</f>
        <v/>
      </c>
      <c r="N193" s="78">
        <f>IF(OR(L193="",M193&lt;&gt;"Yes"),"",IF(COUNTIFS('Vault'!$C$6:$C$1005,"Contract",'Vault'!$D$6:$D$1005,L193)&gt;0,"✓","✗ missing"))</f>
        <v/>
      </c>
      <c r="O193" s="78">
        <f>IF(OR(L193="",M193&lt;&gt;"Yes"),"",IF(COUNTIFS('Vault'!$C$6:$C$1005,"Insurance",'Vault'!$D$6:$D$1005,L193)&gt;0,"✓","✗ missing"))</f>
        <v/>
      </c>
      <c r="P193" s="78">
        <f>IF(OR(L193="",M193&lt;&gt;"Yes"),"",IF(COUNTIFS('Vault'!$C$6:$C$1005,"Quote",'Vault'!$D$6:$D$1005,L193)&gt;0,"✓","✗ missing"))</f>
        <v/>
      </c>
      <c r="Q193" s="78">
        <f>IF(N193="","",IF(AND(N193="✓",O193="✓",P193="✓"),"✓ Complete","Missing documents"))</f>
        <v/>
      </c>
      <c r="R193" s="79">
        <f>IF(Q193="","",IF(Q193="✓ Complete",0,1))</f>
        <v/>
      </c>
    </row>
    <row r="194" ht="20" customHeight="1">
      <c r="B194" s="72" t="n"/>
      <c r="C194" s="72" t="n"/>
      <c r="D194" s="72" t="n"/>
      <c r="E194" s="72" t="n"/>
      <c r="F194" s="72" t="n"/>
      <c r="G194" s="109" t="n"/>
      <c r="H194" s="72" t="n"/>
      <c r="I194" s="78">
        <f>IF(H194="","",HYPERLINK(H194,"Open ↗"))</f>
        <v/>
      </c>
      <c r="J194" s="72" t="n"/>
      <c r="L194" s="116">
        <f>IF('Contractors'!B194="","",'Contractors'!B194)</f>
        <v/>
      </c>
      <c r="M194" s="78">
        <f>IF(L194="","",'Contractors'!L194)</f>
        <v/>
      </c>
      <c r="N194" s="78">
        <f>IF(OR(L194="",M194&lt;&gt;"Yes"),"",IF(COUNTIFS('Vault'!$C$6:$C$1005,"Contract",'Vault'!$D$6:$D$1005,L194)&gt;0,"✓","✗ missing"))</f>
        <v/>
      </c>
      <c r="O194" s="78">
        <f>IF(OR(L194="",M194&lt;&gt;"Yes"),"",IF(COUNTIFS('Vault'!$C$6:$C$1005,"Insurance",'Vault'!$D$6:$D$1005,L194)&gt;0,"✓","✗ missing"))</f>
        <v/>
      </c>
      <c r="P194" s="78">
        <f>IF(OR(L194="",M194&lt;&gt;"Yes"),"",IF(COUNTIFS('Vault'!$C$6:$C$1005,"Quote",'Vault'!$D$6:$D$1005,L194)&gt;0,"✓","✗ missing"))</f>
        <v/>
      </c>
      <c r="Q194" s="78">
        <f>IF(N194="","",IF(AND(N194="✓",O194="✓",P194="✓"),"✓ Complete","Missing documents"))</f>
        <v/>
      </c>
      <c r="R194" s="79">
        <f>IF(Q194="","",IF(Q194="✓ Complete",0,1))</f>
        <v/>
      </c>
    </row>
    <row r="195" ht="20" customHeight="1">
      <c r="B195" s="72" t="n"/>
      <c r="C195" s="72" t="n"/>
      <c r="D195" s="72" t="n"/>
      <c r="E195" s="72" t="n"/>
      <c r="F195" s="72" t="n"/>
      <c r="G195" s="109" t="n"/>
      <c r="H195" s="72" t="n"/>
      <c r="I195" s="78">
        <f>IF(H195="","",HYPERLINK(H195,"Open ↗"))</f>
        <v/>
      </c>
      <c r="J195" s="72" t="n"/>
      <c r="L195" s="116">
        <f>IF('Contractors'!B195="","",'Contractors'!B195)</f>
        <v/>
      </c>
      <c r="M195" s="78">
        <f>IF(L195="","",'Contractors'!L195)</f>
        <v/>
      </c>
      <c r="N195" s="78">
        <f>IF(OR(L195="",M195&lt;&gt;"Yes"),"",IF(COUNTIFS('Vault'!$C$6:$C$1005,"Contract",'Vault'!$D$6:$D$1005,L195)&gt;0,"✓","✗ missing"))</f>
        <v/>
      </c>
      <c r="O195" s="78">
        <f>IF(OR(L195="",M195&lt;&gt;"Yes"),"",IF(COUNTIFS('Vault'!$C$6:$C$1005,"Insurance",'Vault'!$D$6:$D$1005,L195)&gt;0,"✓","✗ missing"))</f>
        <v/>
      </c>
      <c r="P195" s="78">
        <f>IF(OR(L195="",M195&lt;&gt;"Yes"),"",IF(COUNTIFS('Vault'!$C$6:$C$1005,"Quote",'Vault'!$D$6:$D$1005,L195)&gt;0,"✓","✗ missing"))</f>
        <v/>
      </c>
      <c r="Q195" s="78">
        <f>IF(N195="","",IF(AND(N195="✓",O195="✓",P195="✓"),"✓ Complete","Missing documents"))</f>
        <v/>
      </c>
      <c r="R195" s="79">
        <f>IF(Q195="","",IF(Q195="✓ Complete",0,1))</f>
        <v/>
      </c>
    </row>
    <row r="196" ht="20" customHeight="1">
      <c r="B196" s="72" t="n"/>
      <c r="C196" s="72" t="n"/>
      <c r="D196" s="72" t="n"/>
      <c r="E196" s="72" t="n"/>
      <c r="F196" s="72" t="n"/>
      <c r="G196" s="109" t="n"/>
      <c r="H196" s="72" t="n"/>
      <c r="I196" s="78">
        <f>IF(H196="","",HYPERLINK(H196,"Open ↗"))</f>
        <v/>
      </c>
      <c r="J196" s="72" t="n"/>
      <c r="L196" s="116">
        <f>IF('Contractors'!B196="","",'Contractors'!B196)</f>
        <v/>
      </c>
      <c r="M196" s="78">
        <f>IF(L196="","",'Contractors'!L196)</f>
        <v/>
      </c>
      <c r="N196" s="78">
        <f>IF(OR(L196="",M196&lt;&gt;"Yes"),"",IF(COUNTIFS('Vault'!$C$6:$C$1005,"Contract",'Vault'!$D$6:$D$1005,L196)&gt;0,"✓","✗ missing"))</f>
        <v/>
      </c>
      <c r="O196" s="78">
        <f>IF(OR(L196="",M196&lt;&gt;"Yes"),"",IF(COUNTIFS('Vault'!$C$6:$C$1005,"Insurance",'Vault'!$D$6:$D$1005,L196)&gt;0,"✓","✗ missing"))</f>
        <v/>
      </c>
      <c r="P196" s="78">
        <f>IF(OR(L196="",M196&lt;&gt;"Yes"),"",IF(COUNTIFS('Vault'!$C$6:$C$1005,"Quote",'Vault'!$D$6:$D$1005,L196)&gt;0,"✓","✗ missing"))</f>
        <v/>
      </c>
      <c r="Q196" s="78">
        <f>IF(N196="","",IF(AND(N196="✓",O196="✓",P196="✓"),"✓ Complete","Missing documents"))</f>
        <v/>
      </c>
      <c r="R196" s="79">
        <f>IF(Q196="","",IF(Q196="✓ Complete",0,1))</f>
        <v/>
      </c>
    </row>
    <row r="197" ht="20" customHeight="1">
      <c r="B197" s="72" t="n"/>
      <c r="C197" s="72" t="n"/>
      <c r="D197" s="72" t="n"/>
      <c r="E197" s="72" t="n"/>
      <c r="F197" s="72" t="n"/>
      <c r="G197" s="109" t="n"/>
      <c r="H197" s="72" t="n"/>
      <c r="I197" s="78">
        <f>IF(H197="","",HYPERLINK(H197,"Open ↗"))</f>
        <v/>
      </c>
      <c r="J197" s="72" t="n"/>
      <c r="L197" s="116">
        <f>IF('Contractors'!B197="","",'Contractors'!B197)</f>
        <v/>
      </c>
      <c r="M197" s="78">
        <f>IF(L197="","",'Contractors'!L197)</f>
        <v/>
      </c>
      <c r="N197" s="78">
        <f>IF(OR(L197="",M197&lt;&gt;"Yes"),"",IF(COUNTIFS('Vault'!$C$6:$C$1005,"Contract",'Vault'!$D$6:$D$1005,L197)&gt;0,"✓","✗ missing"))</f>
        <v/>
      </c>
      <c r="O197" s="78">
        <f>IF(OR(L197="",M197&lt;&gt;"Yes"),"",IF(COUNTIFS('Vault'!$C$6:$C$1005,"Insurance",'Vault'!$D$6:$D$1005,L197)&gt;0,"✓","✗ missing"))</f>
        <v/>
      </c>
      <c r="P197" s="78">
        <f>IF(OR(L197="",M197&lt;&gt;"Yes"),"",IF(COUNTIFS('Vault'!$C$6:$C$1005,"Quote",'Vault'!$D$6:$D$1005,L197)&gt;0,"✓","✗ missing"))</f>
        <v/>
      </c>
      <c r="Q197" s="78">
        <f>IF(N197="","",IF(AND(N197="✓",O197="✓",P197="✓"),"✓ Complete","Missing documents"))</f>
        <v/>
      </c>
      <c r="R197" s="79">
        <f>IF(Q197="","",IF(Q197="✓ Complete",0,1))</f>
        <v/>
      </c>
    </row>
    <row r="198" ht="20" customHeight="1">
      <c r="B198" s="72" t="n"/>
      <c r="C198" s="72" t="n"/>
      <c r="D198" s="72" t="n"/>
      <c r="E198" s="72" t="n"/>
      <c r="F198" s="72" t="n"/>
      <c r="G198" s="109" t="n"/>
      <c r="H198" s="72" t="n"/>
      <c r="I198" s="78">
        <f>IF(H198="","",HYPERLINK(H198,"Open ↗"))</f>
        <v/>
      </c>
      <c r="J198" s="72" t="n"/>
      <c r="L198" s="116">
        <f>IF('Contractors'!B198="","",'Contractors'!B198)</f>
        <v/>
      </c>
      <c r="M198" s="78">
        <f>IF(L198="","",'Contractors'!L198)</f>
        <v/>
      </c>
      <c r="N198" s="78">
        <f>IF(OR(L198="",M198&lt;&gt;"Yes"),"",IF(COUNTIFS('Vault'!$C$6:$C$1005,"Contract",'Vault'!$D$6:$D$1005,L198)&gt;0,"✓","✗ missing"))</f>
        <v/>
      </c>
      <c r="O198" s="78">
        <f>IF(OR(L198="",M198&lt;&gt;"Yes"),"",IF(COUNTIFS('Vault'!$C$6:$C$1005,"Insurance",'Vault'!$D$6:$D$1005,L198)&gt;0,"✓","✗ missing"))</f>
        <v/>
      </c>
      <c r="P198" s="78">
        <f>IF(OR(L198="",M198&lt;&gt;"Yes"),"",IF(COUNTIFS('Vault'!$C$6:$C$1005,"Quote",'Vault'!$D$6:$D$1005,L198)&gt;0,"✓","✗ missing"))</f>
        <v/>
      </c>
      <c r="Q198" s="78">
        <f>IF(N198="","",IF(AND(N198="✓",O198="✓",P198="✓"),"✓ Complete","Missing documents"))</f>
        <v/>
      </c>
      <c r="R198" s="79">
        <f>IF(Q198="","",IF(Q198="✓ Complete",0,1))</f>
        <v/>
      </c>
    </row>
    <row r="199" ht="20" customHeight="1">
      <c r="B199" s="72" t="n"/>
      <c r="C199" s="72" t="n"/>
      <c r="D199" s="72" t="n"/>
      <c r="E199" s="72" t="n"/>
      <c r="F199" s="72" t="n"/>
      <c r="G199" s="109" t="n"/>
      <c r="H199" s="72" t="n"/>
      <c r="I199" s="78">
        <f>IF(H199="","",HYPERLINK(H199,"Open ↗"))</f>
        <v/>
      </c>
      <c r="J199" s="72" t="n"/>
      <c r="L199" s="116">
        <f>IF('Contractors'!B199="","",'Contractors'!B199)</f>
        <v/>
      </c>
      <c r="M199" s="78">
        <f>IF(L199="","",'Contractors'!L199)</f>
        <v/>
      </c>
      <c r="N199" s="78">
        <f>IF(OR(L199="",M199&lt;&gt;"Yes"),"",IF(COUNTIFS('Vault'!$C$6:$C$1005,"Contract",'Vault'!$D$6:$D$1005,L199)&gt;0,"✓","✗ missing"))</f>
        <v/>
      </c>
      <c r="O199" s="78">
        <f>IF(OR(L199="",M199&lt;&gt;"Yes"),"",IF(COUNTIFS('Vault'!$C$6:$C$1005,"Insurance",'Vault'!$D$6:$D$1005,L199)&gt;0,"✓","✗ missing"))</f>
        <v/>
      </c>
      <c r="P199" s="78">
        <f>IF(OR(L199="",M199&lt;&gt;"Yes"),"",IF(COUNTIFS('Vault'!$C$6:$C$1005,"Quote",'Vault'!$D$6:$D$1005,L199)&gt;0,"✓","✗ missing"))</f>
        <v/>
      </c>
      <c r="Q199" s="78">
        <f>IF(N199="","",IF(AND(N199="✓",O199="✓",P199="✓"),"✓ Complete","Missing documents"))</f>
        <v/>
      </c>
      <c r="R199" s="79">
        <f>IF(Q199="","",IF(Q199="✓ Complete",0,1))</f>
        <v/>
      </c>
    </row>
    <row r="200" ht="20" customHeight="1">
      <c r="B200" s="72" t="n"/>
      <c r="C200" s="72" t="n"/>
      <c r="D200" s="72" t="n"/>
      <c r="E200" s="72" t="n"/>
      <c r="F200" s="72" t="n"/>
      <c r="G200" s="109" t="n"/>
      <c r="H200" s="72" t="n"/>
      <c r="I200" s="78">
        <f>IF(H200="","",HYPERLINK(H200,"Open ↗"))</f>
        <v/>
      </c>
      <c r="J200" s="72" t="n"/>
      <c r="L200" s="116">
        <f>IF('Contractors'!B200="","",'Contractors'!B200)</f>
        <v/>
      </c>
      <c r="M200" s="78">
        <f>IF(L200="","",'Contractors'!L200)</f>
        <v/>
      </c>
      <c r="N200" s="78">
        <f>IF(OR(L200="",M200&lt;&gt;"Yes"),"",IF(COUNTIFS('Vault'!$C$6:$C$1005,"Contract",'Vault'!$D$6:$D$1005,L200)&gt;0,"✓","✗ missing"))</f>
        <v/>
      </c>
      <c r="O200" s="78">
        <f>IF(OR(L200="",M200&lt;&gt;"Yes"),"",IF(COUNTIFS('Vault'!$C$6:$C$1005,"Insurance",'Vault'!$D$6:$D$1005,L200)&gt;0,"✓","✗ missing"))</f>
        <v/>
      </c>
      <c r="P200" s="78">
        <f>IF(OR(L200="",M200&lt;&gt;"Yes"),"",IF(COUNTIFS('Vault'!$C$6:$C$1005,"Quote",'Vault'!$D$6:$D$1005,L200)&gt;0,"✓","✗ missing"))</f>
        <v/>
      </c>
      <c r="Q200" s="78">
        <f>IF(N200="","",IF(AND(N200="✓",O200="✓",P200="✓"),"✓ Complete","Missing documents"))</f>
        <v/>
      </c>
      <c r="R200" s="79">
        <f>IF(Q200="","",IF(Q200="✓ Complete",0,1))</f>
        <v/>
      </c>
    </row>
    <row r="201" ht="20" customHeight="1">
      <c r="B201" s="72" t="n"/>
      <c r="C201" s="72" t="n"/>
      <c r="D201" s="72" t="n"/>
      <c r="E201" s="72" t="n"/>
      <c r="F201" s="72" t="n"/>
      <c r="G201" s="109" t="n"/>
      <c r="H201" s="72" t="n"/>
      <c r="I201" s="78">
        <f>IF(H201="","",HYPERLINK(H201,"Open ↗"))</f>
        <v/>
      </c>
      <c r="J201" s="72" t="n"/>
      <c r="L201" s="116">
        <f>IF('Contractors'!B201="","",'Contractors'!B201)</f>
        <v/>
      </c>
      <c r="M201" s="78">
        <f>IF(L201="","",'Contractors'!L201)</f>
        <v/>
      </c>
      <c r="N201" s="78">
        <f>IF(OR(L201="",M201&lt;&gt;"Yes"),"",IF(COUNTIFS('Vault'!$C$6:$C$1005,"Contract",'Vault'!$D$6:$D$1005,L201)&gt;0,"✓","✗ missing"))</f>
        <v/>
      </c>
      <c r="O201" s="78">
        <f>IF(OR(L201="",M201&lt;&gt;"Yes"),"",IF(COUNTIFS('Vault'!$C$6:$C$1005,"Insurance",'Vault'!$D$6:$D$1005,L201)&gt;0,"✓","✗ missing"))</f>
        <v/>
      </c>
      <c r="P201" s="78">
        <f>IF(OR(L201="",M201&lt;&gt;"Yes"),"",IF(COUNTIFS('Vault'!$C$6:$C$1005,"Quote",'Vault'!$D$6:$D$1005,L201)&gt;0,"✓","✗ missing"))</f>
        <v/>
      </c>
      <c r="Q201" s="78">
        <f>IF(N201="","",IF(AND(N201="✓",O201="✓",P201="✓"),"✓ Complete","Missing documents"))</f>
        <v/>
      </c>
      <c r="R201" s="79">
        <f>IF(Q201="","",IF(Q201="✓ Complete",0,1))</f>
        <v/>
      </c>
    </row>
    <row r="202" ht="20" customHeight="1">
      <c r="B202" s="72" t="n"/>
      <c r="C202" s="72" t="n"/>
      <c r="D202" s="72" t="n"/>
      <c r="E202" s="72" t="n"/>
      <c r="F202" s="72" t="n"/>
      <c r="G202" s="109" t="n"/>
      <c r="H202" s="72" t="n"/>
      <c r="I202" s="78">
        <f>IF(H202="","",HYPERLINK(H202,"Open ↗"))</f>
        <v/>
      </c>
      <c r="J202" s="72" t="n"/>
      <c r="L202" s="116">
        <f>IF('Contractors'!B202="","",'Contractors'!B202)</f>
        <v/>
      </c>
      <c r="M202" s="78">
        <f>IF(L202="","",'Contractors'!L202)</f>
        <v/>
      </c>
      <c r="N202" s="78">
        <f>IF(OR(L202="",M202&lt;&gt;"Yes"),"",IF(COUNTIFS('Vault'!$C$6:$C$1005,"Contract",'Vault'!$D$6:$D$1005,L202)&gt;0,"✓","✗ missing"))</f>
        <v/>
      </c>
      <c r="O202" s="78">
        <f>IF(OR(L202="",M202&lt;&gt;"Yes"),"",IF(COUNTIFS('Vault'!$C$6:$C$1005,"Insurance",'Vault'!$D$6:$D$1005,L202)&gt;0,"✓","✗ missing"))</f>
        <v/>
      </c>
      <c r="P202" s="78">
        <f>IF(OR(L202="",M202&lt;&gt;"Yes"),"",IF(COUNTIFS('Vault'!$C$6:$C$1005,"Quote",'Vault'!$D$6:$D$1005,L202)&gt;0,"✓","✗ missing"))</f>
        <v/>
      </c>
      <c r="Q202" s="78">
        <f>IF(N202="","",IF(AND(N202="✓",O202="✓",P202="✓"),"✓ Complete","Missing documents"))</f>
        <v/>
      </c>
      <c r="R202" s="79">
        <f>IF(Q202="","",IF(Q202="✓ Complete",0,1))</f>
        <v/>
      </c>
    </row>
    <row r="203" ht="20" customHeight="1">
      <c r="B203" s="72" t="n"/>
      <c r="C203" s="72" t="n"/>
      <c r="D203" s="72" t="n"/>
      <c r="E203" s="72" t="n"/>
      <c r="F203" s="72" t="n"/>
      <c r="G203" s="109" t="n"/>
      <c r="H203" s="72" t="n"/>
      <c r="I203" s="78">
        <f>IF(H203="","",HYPERLINK(H203,"Open ↗"))</f>
        <v/>
      </c>
      <c r="J203" s="72" t="n"/>
      <c r="L203" s="116">
        <f>IF('Contractors'!B203="","",'Contractors'!B203)</f>
        <v/>
      </c>
      <c r="M203" s="78">
        <f>IF(L203="","",'Contractors'!L203)</f>
        <v/>
      </c>
      <c r="N203" s="78">
        <f>IF(OR(L203="",M203&lt;&gt;"Yes"),"",IF(COUNTIFS('Vault'!$C$6:$C$1005,"Contract",'Vault'!$D$6:$D$1005,L203)&gt;0,"✓","✗ missing"))</f>
        <v/>
      </c>
      <c r="O203" s="78">
        <f>IF(OR(L203="",M203&lt;&gt;"Yes"),"",IF(COUNTIFS('Vault'!$C$6:$C$1005,"Insurance",'Vault'!$D$6:$D$1005,L203)&gt;0,"✓","✗ missing"))</f>
        <v/>
      </c>
      <c r="P203" s="78">
        <f>IF(OR(L203="",M203&lt;&gt;"Yes"),"",IF(COUNTIFS('Vault'!$C$6:$C$1005,"Quote",'Vault'!$D$6:$D$1005,L203)&gt;0,"✓","✗ missing"))</f>
        <v/>
      </c>
      <c r="Q203" s="78">
        <f>IF(N203="","",IF(AND(N203="✓",O203="✓",P203="✓"),"✓ Complete","Missing documents"))</f>
        <v/>
      </c>
      <c r="R203" s="79">
        <f>IF(Q203="","",IF(Q203="✓ Complete",0,1))</f>
        <v/>
      </c>
    </row>
    <row r="204" ht="20" customHeight="1">
      <c r="B204" s="72" t="n"/>
      <c r="C204" s="72" t="n"/>
      <c r="D204" s="72" t="n"/>
      <c r="E204" s="72" t="n"/>
      <c r="F204" s="72" t="n"/>
      <c r="G204" s="109" t="n"/>
      <c r="H204" s="72" t="n"/>
      <c r="I204" s="78">
        <f>IF(H204="","",HYPERLINK(H204,"Open ↗"))</f>
        <v/>
      </c>
      <c r="J204" s="72" t="n"/>
      <c r="L204" s="116">
        <f>IF('Contractors'!B204="","",'Contractors'!B204)</f>
        <v/>
      </c>
      <c r="M204" s="78">
        <f>IF(L204="","",'Contractors'!L204)</f>
        <v/>
      </c>
      <c r="N204" s="78">
        <f>IF(OR(L204="",M204&lt;&gt;"Yes"),"",IF(COUNTIFS('Vault'!$C$6:$C$1005,"Contract",'Vault'!$D$6:$D$1005,L204)&gt;0,"✓","✗ missing"))</f>
        <v/>
      </c>
      <c r="O204" s="78">
        <f>IF(OR(L204="",M204&lt;&gt;"Yes"),"",IF(COUNTIFS('Vault'!$C$6:$C$1005,"Insurance",'Vault'!$D$6:$D$1005,L204)&gt;0,"✓","✗ missing"))</f>
        <v/>
      </c>
      <c r="P204" s="78">
        <f>IF(OR(L204="",M204&lt;&gt;"Yes"),"",IF(COUNTIFS('Vault'!$C$6:$C$1005,"Quote",'Vault'!$D$6:$D$1005,L204)&gt;0,"✓","✗ missing"))</f>
        <v/>
      </c>
      <c r="Q204" s="78">
        <f>IF(N204="","",IF(AND(N204="✓",O204="✓",P204="✓"),"✓ Complete","Missing documents"))</f>
        <v/>
      </c>
      <c r="R204" s="79">
        <f>IF(Q204="","",IF(Q204="✓ Complete",0,1))</f>
        <v/>
      </c>
    </row>
    <row r="205" ht="20" customHeight="1">
      <c r="B205" s="72" t="n"/>
      <c r="C205" s="72" t="n"/>
      <c r="D205" s="72" t="n"/>
      <c r="E205" s="72" t="n"/>
      <c r="F205" s="72" t="n"/>
      <c r="G205" s="109" t="n"/>
      <c r="H205" s="72" t="n"/>
      <c r="I205" s="78">
        <f>IF(H205="","",HYPERLINK(H205,"Open ↗"))</f>
        <v/>
      </c>
      <c r="J205" s="72" t="n"/>
      <c r="L205" s="116">
        <f>IF('Contractors'!B205="","",'Contractors'!B205)</f>
        <v/>
      </c>
      <c r="M205" s="78">
        <f>IF(L205="","",'Contractors'!L205)</f>
        <v/>
      </c>
      <c r="N205" s="78">
        <f>IF(OR(L205="",M205&lt;&gt;"Yes"),"",IF(COUNTIFS('Vault'!$C$6:$C$1005,"Contract",'Vault'!$D$6:$D$1005,L205)&gt;0,"✓","✗ missing"))</f>
        <v/>
      </c>
      <c r="O205" s="78">
        <f>IF(OR(L205="",M205&lt;&gt;"Yes"),"",IF(COUNTIFS('Vault'!$C$6:$C$1005,"Insurance",'Vault'!$D$6:$D$1005,L205)&gt;0,"✓","✗ missing"))</f>
        <v/>
      </c>
      <c r="P205" s="78">
        <f>IF(OR(L205="",M205&lt;&gt;"Yes"),"",IF(COUNTIFS('Vault'!$C$6:$C$1005,"Quote",'Vault'!$D$6:$D$1005,L205)&gt;0,"✓","✗ missing"))</f>
        <v/>
      </c>
      <c r="Q205" s="78">
        <f>IF(N205="","",IF(AND(N205="✓",O205="✓",P205="✓"),"✓ Complete","Missing documents"))</f>
        <v/>
      </c>
      <c r="R205" s="79">
        <f>IF(Q205="","",IF(Q205="✓ Complete",0,1))</f>
        <v/>
      </c>
    </row>
    <row r="206" ht="20" customHeight="1">
      <c r="B206" s="72" t="n"/>
      <c r="C206" s="72" t="n"/>
      <c r="D206" s="72" t="n"/>
      <c r="E206" s="72" t="n"/>
      <c r="F206" s="72" t="n"/>
      <c r="G206" s="109" t="n"/>
      <c r="H206" s="72" t="n"/>
      <c r="I206" s="78">
        <f>IF(H206="","",HYPERLINK(H206,"Open ↗"))</f>
        <v/>
      </c>
      <c r="J206" s="72" t="n"/>
      <c r="L206" s="116">
        <f>IF('Contractors'!B206="","",'Contractors'!B206)</f>
        <v/>
      </c>
      <c r="M206" s="78">
        <f>IF(L206="","",'Contractors'!L206)</f>
        <v/>
      </c>
      <c r="N206" s="78">
        <f>IF(OR(L206="",M206&lt;&gt;"Yes"),"",IF(COUNTIFS('Vault'!$C$6:$C$1005,"Contract",'Vault'!$D$6:$D$1005,L206)&gt;0,"✓","✗ missing"))</f>
        <v/>
      </c>
      <c r="O206" s="78">
        <f>IF(OR(L206="",M206&lt;&gt;"Yes"),"",IF(COUNTIFS('Vault'!$C$6:$C$1005,"Insurance",'Vault'!$D$6:$D$1005,L206)&gt;0,"✓","✗ missing"))</f>
        <v/>
      </c>
      <c r="P206" s="78">
        <f>IF(OR(L206="",M206&lt;&gt;"Yes"),"",IF(COUNTIFS('Vault'!$C$6:$C$1005,"Quote",'Vault'!$D$6:$D$1005,L206)&gt;0,"✓","✗ missing"))</f>
        <v/>
      </c>
      <c r="Q206" s="78">
        <f>IF(N206="","",IF(AND(N206="✓",O206="✓",P206="✓"),"✓ Complete","Missing documents"))</f>
        <v/>
      </c>
      <c r="R206" s="79">
        <f>IF(Q206="","",IF(Q206="✓ Complete",0,1))</f>
        <v/>
      </c>
    </row>
    <row r="207" ht="20" customHeight="1">
      <c r="B207" s="72" t="n"/>
      <c r="C207" s="72" t="n"/>
      <c r="D207" s="72" t="n"/>
      <c r="E207" s="72" t="n"/>
      <c r="F207" s="72" t="n"/>
      <c r="G207" s="109" t="n"/>
      <c r="H207" s="72" t="n"/>
      <c r="I207" s="78">
        <f>IF(H207="","",HYPERLINK(H207,"Open ↗"))</f>
        <v/>
      </c>
      <c r="J207" s="72" t="n"/>
      <c r="L207" s="116">
        <f>IF('Contractors'!B207="","",'Contractors'!B207)</f>
        <v/>
      </c>
      <c r="M207" s="78">
        <f>IF(L207="","",'Contractors'!L207)</f>
        <v/>
      </c>
      <c r="N207" s="78">
        <f>IF(OR(L207="",M207&lt;&gt;"Yes"),"",IF(COUNTIFS('Vault'!$C$6:$C$1005,"Contract",'Vault'!$D$6:$D$1005,L207)&gt;0,"✓","✗ missing"))</f>
        <v/>
      </c>
      <c r="O207" s="78">
        <f>IF(OR(L207="",M207&lt;&gt;"Yes"),"",IF(COUNTIFS('Vault'!$C$6:$C$1005,"Insurance",'Vault'!$D$6:$D$1005,L207)&gt;0,"✓","✗ missing"))</f>
        <v/>
      </c>
      <c r="P207" s="78">
        <f>IF(OR(L207="",M207&lt;&gt;"Yes"),"",IF(COUNTIFS('Vault'!$C$6:$C$1005,"Quote",'Vault'!$D$6:$D$1005,L207)&gt;0,"✓","✗ missing"))</f>
        <v/>
      </c>
      <c r="Q207" s="78">
        <f>IF(N207="","",IF(AND(N207="✓",O207="✓",P207="✓"),"✓ Complete","Missing documents"))</f>
        <v/>
      </c>
      <c r="R207" s="79">
        <f>IF(Q207="","",IF(Q207="✓ Complete",0,1))</f>
        <v/>
      </c>
    </row>
    <row r="208" ht="20" customHeight="1">
      <c r="B208" s="72" t="n"/>
      <c r="C208" s="72" t="n"/>
      <c r="D208" s="72" t="n"/>
      <c r="E208" s="72" t="n"/>
      <c r="F208" s="72" t="n"/>
      <c r="G208" s="109" t="n"/>
      <c r="H208" s="72" t="n"/>
      <c r="I208" s="78">
        <f>IF(H208="","",HYPERLINK(H208,"Open ↗"))</f>
        <v/>
      </c>
      <c r="J208" s="72" t="n"/>
      <c r="L208" s="116">
        <f>IF('Contractors'!B208="","",'Contractors'!B208)</f>
        <v/>
      </c>
      <c r="M208" s="78">
        <f>IF(L208="","",'Contractors'!L208)</f>
        <v/>
      </c>
      <c r="N208" s="78">
        <f>IF(OR(L208="",M208&lt;&gt;"Yes"),"",IF(COUNTIFS('Vault'!$C$6:$C$1005,"Contract",'Vault'!$D$6:$D$1005,L208)&gt;0,"✓","✗ missing"))</f>
        <v/>
      </c>
      <c r="O208" s="78">
        <f>IF(OR(L208="",M208&lt;&gt;"Yes"),"",IF(COUNTIFS('Vault'!$C$6:$C$1005,"Insurance",'Vault'!$D$6:$D$1005,L208)&gt;0,"✓","✗ missing"))</f>
        <v/>
      </c>
      <c r="P208" s="78">
        <f>IF(OR(L208="",M208&lt;&gt;"Yes"),"",IF(COUNTIFS('Vault'!$C$6:$C$1005,"Quote",'Vault'!$D$6:$D$1005,L208)&gt;0,"✓","✗ missing"))</f>
        <v/>
      </c>
      <c r="Q208" s="78">
        <f>IF(N208="","",IF(AND(N208="✓",O208="✓",P208="✓"),"✓ Complete","Missing documents"))</f>
        <v/>
      </c>
      <c r="R208" s="79">
        <f>IF(Q208="","",IF(Q208="✓ Complete",0,1))</f>
        <v/>
      </c>
    </row>
    <row r="209" ht="20" customHeight="1">
      <c r="B209" s="72" t="n"/>
      <c r="C209" s="72" t="n"/>
      <c r="D209" s="72" t="n"/>
      <c r="E209" s="72" t="n"/>
      <c r="F209" s="72" t="n"/>
      <c r="G209" s="109" t="n"/>
      <c r="H209" s="72" t="n"/>
      <c r="I209" s="78">
        <f>IF(H209="","",HYPERLINK(H209,"Open ↗"))</f>
        <v/>
      </c>
      <c r="J209" s="72" t="n"/>
      <c r="L209" s="116">
        <f>IF('Contractors'!B209="","",'Contractors'!B209)</f>
        <v/>
      </c>
      <c r="M209" s="78">
        <f>IF(L209="","",'Contractors'!L209)</f>
        <v/>
      </c>
      <c r="N209" s="78">
        <f>IF(OR(L209="",M209&lt;&gt;"Yes"),"",IF(COUNTIFS('Vault'!$C$6:$C$1005,"Contract",'Vault'!$D$6:$D$1005,L209)&gt;0,"✓","✗ missing"))</f>
        <v/>
      </c>
      <c r="O209" s="78">
        <f>IF(OR(L209="",M209&lt;&gt;"Yes"),"",IF(COUNTIFS('Vault'!$C$6:$C$1005,"Insurance",'Vault'!$D$6:$D$1005,L209)&gt;0,"✓","✗ missing"))</f>
        <v/>
      </c>
      <c r="P209" s="78">
        <f>IF(OR(L209="",M209&lt;&gt;"Yes"),"",IF(COUNTIFS('Vault'!$C$6:$C$1005,"Quote",'Vault'!$D$6:$D$1005,L209)&gt;0,"✓","✗ missing"))</f>
        <v/>
      </c>
      <c r="Q209" s="78">
        <f>IF(N209="","",IF(AND(N209="✓",O209="✓",P209="✓"),"✓ Complete","Missing documents"))</f>
        <v/>
      </c>
      <c r="R209" s="79">
        <f>IF(Q209="","",IF(Q209="✓ Complete",0,1))</f>
        <v/>
      </c>
    </row>
    <row r="210" ht="20" customHeight="1">
      <c r="B210" s="72" t="n"/>
      <c r="C210" s="72" t="n"/>
      <c r="D210" s="72" t="n"/>
      <c r="E210" s="72" t="n"/>
      <c r="F210" s="72" t="n"/>
      <c r="G210" s="109" t="n"/>
      <c r="H210" s="72" t="n"/>
      <c r="I210" s="78">
        <f>IF(H210="","",HYPERLINK(H210,"Open ↗"))</f>
        <v/>
      </c>
      <c r="J210" s="72" t="n"/>
      <c r="L210" s="116">
        <f>IF('Contractors'!B210="","",'Contractors'!B210)</f>
        <v/>
      </c>
      <c r="M210" s="78">
        <f>IF(L210="","",'Contractors'!L210)</f>
        <v/>
      </c>
      <c r="N210" s="78">
        <f>IF(OR(L210="",M210&lt;&gt;"Yes"),"",IF(COUNTIFS('Vault'!$C$6:$C$1005,"Contract",'Vault'!$D$6:$D$1005,L210)&gt;0,"✓","✗ missing"))</f>
        <v/>
      </c>
      <c r="O210" s="78">
        <f>IF(OR(L210="",M210&lt;&gt;"Yes"),"",IF(COUNTIFS('Vault'!$C$6:$C$1005,"Insurance",'Vault'!$D$6:$D$1005,L210)&gt;0,"✓","✗ missing"))</f>
        <v/>
      </c>
      <c r="P210" s="78">
        <f>IF(OR(L210="",M210&lt;&gt;"Yes"),"",IF(COUNTIFS('Vault'!$C$6:$C$1005,"Quote",'Vault'!$D$6:$D$1005,L210)&gt;0,"✓","✗ missing"))</f>
        <v/>
      </c>
      <c r="Q210" s="78">
        <f>IF(N210="","",IF(AND(N210="✓",O210="✓",P210="✓"),"✓ Complete","Missing documents"))</f>
        <v/>
      </c>
      <c r="R210" s="79">
        <f>IF(Q210="","",IF(Q210="✓ Complete",0,1))</f>
        <v/>
      </c>
    </row>
    <row r="211" ht="20" customHeight="1">
      <c r="B211" s="72" t="n"/>
      <c r="C211" s="72" t="n"/>
      <c r="D211" s="72" t="n"/>
      <c r="E211" s="72" t="n"/>
      <c r="F211" s="72" t="n"/>
      <c r="G211" s="109" t="n"/>
      <c r="H211" s="72" t="n"/>
      <c r="I211" s="78">
        <f>IF(H211="","",HYPERLINK(H211,"Open ↗"))</f>
        <v/>
      </c>
      <c r="J211" s="72" t="n"/>
      <c r="L211" s="116">
        <f>IF('Contractors'!B211="","",'Contractors'!B211)</f>
        <v/>
      </c>
      <c r="M211" s="78">
        <f>IF(L211="","",'Contractors'!L211)</f>
        <v/>
      </c>
      <c r="N211" s="78">
        <f>IF(OR(L211="",M211&lt;&gt;"Yes"),"",IF(COUNTIFS('Vault'!$C$6:$C$1005,"Contract",'Vault'!$D$6:$D$1005,L211)&gt;0,"✓","✗ missing"))</f>
        <v/>
      </c>
      <c r="O211" s="78">
        <f>IF(OR(L211="",M211&lt;&gt;"Yes"),"",IF(COUNTIFS('Vault'!$C$6:$C$1005,"Insurance",'Vault'!$D$6:$D$1005,L211)&gt;0,"✓","✗ missing"))</f>
        <v/>
      </c>
      <c r="P211" s="78">
        <f>IF(OR(L211="",M211&lt;&gt;"Yes"),"",IF(COUNTIFS('Vault'!$C$6:$C$1005,"Quote",'Vault'!$D$6:$D$1005,L211)&gt;0,"✓","✗ missing"))</f>
        <v/>
      </c>
      <c r="Q211" s="78">
        <f>IF(N211="","",IF(AND(N211="✓",O211="✓",P211="✓"),"✓ Complete","Missing documents"))</f>
        <v/>
      </c>
      <c r="R211" s="79">
        <f>IF(Q211="","",IF(Q211="✓ Complete",0,1))</f>
        <v/>
      </c>
    </row>
    <row r="212" ht="20" customHeight="1">
      <c r="B212" s="72" t="n"/>
      <c r="C212" s="72" t="n"/>
      <c r="D212" s="72" t="n"/>
      <c r="E212" s="72" t="n"/>
      <c r="F212" s="72" t="n"/>
      <c r="G212" s="109" t="n"/>
      <c r="H212" s="72" t="n"/>
      <c r="I212" s="78">
        <f>IF(H212="","",HYPERLINK(H212,"Open ↗"))</f>
        <v/>
      </c>
      <c r="J212" s="72" t="n"/>
      <c r="L212" s="116">
        <f>IF('Contractors'!B212="","",'Contractors'!B212)</f>
        <v/>
      </c>
      <c r="M212" s="78">
        <f>IF(L212="","",'Contractors'!L212)</f>
        <v/>
      </c>
      <c r="N212" s="78">
        <f>IF(OR(L212="",M212&lt;&gt;"Yes"),"",IF(COUNTIFS('Vault'!$C$6:$C$1005,"Contract",'Vault'!$D$6:$D$1005,L212)&gt;0,"✓","✗ missing"))</f>
        <v/>
      </c>
      <c r="O212" s="78">
        <f>IF(OR(L212="",M212&lt;&gt;"Yes"),"",IF(COUNTIFS('Vault'!$C$6:$C$1005,"Insurance",'Vault'!$D$6:$D$1005,L212)&gt;0,"✓","✗ missing"))</f>
        <v/>
      </c>
      <c r="P212" s="78">
        <f>IF(OR(L212="",M212&lt;&gt;"Yes"),"",IF(COUNTIFS('Vault'!$C$6:$C$1005,"Quote",'Vault'!$D$6:$D$1005,L212)&gt;0,"✓","✗ missing"))</f>
        <v/>
      </c>
      <c r="Q212" s="78">
        <f>IF(N212="","",IF(AND(N212="✓",O212="✓",P212="✓"),"✓ Complete","Missing documents"))</f>
        <v/>
      </c>
      <c r="R212" s="79">
        <f>IF(Q212="","",IF(Q212="✓ Complete",0,1))</f>
        <v/>
      </c>
    </row>
    <row r="213" ht="20" customHeight="1">
      <c r="B213" s="72" t="n"/>
      <c r="C213" s="72" t="n"/>
      <c r="D213" s="72" t="n"/>
      <c r="E213" s="72" t="n"/>
      <c r="F213" s="72" t="n"/>
      <c r="G213" s="109" t="n"/>
      <c r="H213" s="72" t="n"/>
      <c r="I213" s="78">
        <f>IF(H213="","",HYPERLINK(H213,"Open ↗"))</f>
        <v/>
      </c>
      <c r="J213" s="72" t="n"/>
      <c r="L213" s="116">
        <f>IF('Contractors'!B213="","",'Contractors'!B213)</f>
        <v/>
      </c>
      <c r="M213" s="78">
        <f>IF(L213="","",'Contractors'!L213)</f>
        <v/>
      </c>
      <c r="N213" s="78">
        <f>IF(OR(L213="",M213&lt;&gt;"Yes"),"",IF(COUNTIFS('Vault'!$C$6:$C$1005,"Contract",'Vault'!$D$6:$D$1005,L213)&gt;0,"✓","✗ missing"))</f>
        <v/>
      </c>
      <c r="O213" s="78">
        <f>IF(OR(L213="",M213&lt;&gt;"Yes"),"",IF(COUNTIFS('Vault'!$C$6:$C$1005,"Insurance",'Vault'!$D$6:$D$1005,L213)&gt;0,"✓","✗ missing"))</f>
        <v/>
      </c>
      <c r="P213" s="78">
        <f>IF(OR(L213="",M213&lt;&gt;"Yes"),"",IF(COUNTIFS('Vault'!$C$6:$C$1005,"Quote",'Vault'!$D$6:$D$1005,L213)&gt;0,"✓","✗ missing"))</f>
        <v/>
      </c>
      <c r="Q213" s="78">
        <f>IF(N213="","",IF(AND(N213="✓",O213="✓",P213="✓"),"✓ Complete","Missing documents"))</f>
        <v/>
      </c>
      <c r="R213" s="79">
        <f>IF(Q213="","",IF(Q213="✓ Complete",0,1))</f>
        <v/>
      </c>
    </row>
    <row r="214" ht="20" customHeight="1">
      <c r="B214" s="72" t="n"/>
      <c r="C214" s="72" t="n"/>
      <c r="D214" s="72" t="n"/>
      <c r="E214" s="72" t="n"/>
      <c r="F214" s="72" t="n"/>
      <c r="G214" s="109" t="n"/>
      <c r="H214" s="72" t="n"/>
      <c r="I214" s="78">
        <f>IF(H214="","",HYPERLINK(H214,"Open ↗"))</f>
        <v/>
      </c>
      <c r="J214" s="72" t="n"/>
      <c r="L214" s="116">
        <f>IF('Contractors'!B214="","",'Contractors'!B214)</f>
        <v/>
      </c>
      <c r="M214" s="78">
        <f>IF(L214="","",'Contractors'!L214)</f>
        <v/>
      </c>
      <c r="N214" s="78">
        <f>IF(OR(L214="",M214&lt;&gt;"Yes"),"",IF(COUNTIFS('Vault'!$C$6:$C$1005,"Contract",'Vault'!$D$6:$D$1005,L214)&gt;0,"✓","✗ missing"))</f>
        <v/>
      </c>
      <c r="O214" s="78">
        <f>IF(OR(L214="",M214&lt;&gt;"Yes"),"",IF(COUNTIFS('Vault'!$C$6:$C$1005,"Insurance",'Vault'!$D$6:$D$1005,L214)&gt;0,"✓","✗ missing"))</f>
        <v/>
      </c>
      <c r="P214" s="78">
        <f>IF(OR(L214="",M214&lt;&gt;"Yes"),"",IF(COUNTIFS('Vault'!$C$6:$C$1005,"Quote",'Vault'!$D$6:$D$1005,L214)&gt;0,"✓","✗ missing"))</f>
        <v/>
      </c>
      <c r="Q214" s="78">
        <f>IF(N214="","",IF(AND(N214="✓",O214="✓",P214="✓"),"✓ Complete","Missing documents"))</f>
        <v/>
      </c>
      <c r="R214" s="79">
        <f>IF(Q214="","",IF(Q214="✓ Complete",0,1))</f>
        <v/>
      </c>
    </row>
    <row r="215" ht="20" customHeight="1">
      <c r="B215" s="72" t="n"/>
      <c r="C215" s="72" t="n"/>
      <c r="D215" s="72" t="n"/>
      <c r="E215" s="72" t="n"/>
      <c r="F215" s="72" t="n"/>
      <c r="G215" s="109" t="n"/>
      <c r="H215" s="72" t="n"/>
      <c r="I215" s="78">
        <f>IF(H215="","",HYPERLINK(H215,"Open ↗"))</f>
        <v/>
      </c>
      <c r="J215" s="72" t="n"/>
      <c r="L215" s="116">
        <f>IF('Contractors'!B215="","",'Contractors'!B215)</f>
        <v/>
      </c>
      <c r="M215" s="78">
        <f>IF(L215="","",'Contractors'!L215)</f>
        <v/>
      </c>
      <c r="N215" s="78">
        <f>IF(OR(L215="",M215&lt;&gt;"Yes"),"",IF(COUNTIFS('Vault'!$C$6:$C$1005,"Contract",'Vault'!$D$6:$D$1005,L215)&gt;0,"✓","✗ missing"))</f>
        <v/>
      </c>
      <c r="O215" s="78">
        <f>IF(OR(L215="",M215&lt;&gt;"Yes"),"",IF(COUNTIFS('Vault'!$C$6:$C$1005,"Insurance",'Vault'!$D$6:$D$1005,L215)&gt;0,"✓","✗ missing"))</f>
        <v/>
      </c>
      <c r="P215" s="78">
        <f>IF(OR(L215="",M215&lt;&gt;"Yes"),"",IF(COUNTIFS('Vault'!$C$6:$C$1005,"Quote",'Vault'!$D$6:$D$1005,L215)&gt;0,"✓","✗ missing"))</f>
        <v/>
      </c>
      <c r="Q215" s="78">
        <f>IF(N215="","",IF(AND(N215="✓",O215="✓",P215="✓"),"✓ Complete","Missing documents"))</f>
        <v/>
      </c>
      <c r="R215" s="79">
        <f>IF(Q215="","",IF(Q215="✓ Complete",0,1))</f>
        <v/>
      </c>
    </row>
    <row r="216" ht="20" customHeight="1">
      <c r="B216" s="72" t="n"/>
      <c r="C216" s="72" t="n"/>
      <c r="D216" s="72" t="n"/>
      <c r="E216" s="72" t="n"/>
      <c r="F216" s="72" t="n"/>
      <c r="G216" s="109" t="n"/>
      <c r="H216" s="72" t="n"/>
      <c r="I216" s="78">
        <f>IF(H216="","",HYPERLINK(H216,"Open ↗"))</f>
        <v/>
      </c>
      <c r="J216" s="72" t="n"/>
      <c r="L216" s="116">
        <f>IF('Contractors'!B216="","",'Contractors'!B216)</f>
        <v/>
      </c>
      <c r="M216" s="78">
        <f>IF(L216="","",'Contractors'!L216)</f>
        <v/>
      </c>
      <c r="N216" s="78">
        <f>IF(OR(L216="",M216&lt;&gt;"Yes"),"",IF(COUNTIFS('Vault'!$C$6:$C$1005,"Contract",'Vault'!$D$6:$D$1005,L216)&gt;0,"✓","✗ missing"))</f>
        <v/>
      </c>
      <c r="O216" s="78">
        <f>IF(OR(L216="",M216&lt;&gt;"Yes"),"",IF(COUNTIFS('Vault'!$C$6:$C$1005,"Insurance",'Vault'!$D$6:$D$1005,L216)&gt;0,"✓","✗ missing"))</f>
        <v/>
      </c>
      <c r="P216" s="78">
        <f>IF(OR(L216="",M216&lt;&gt;"Yes"),"",IF(COUNTIFS('Vault'!$C$6:$C$1005,"Quote",'Vault'!$D$6:$D$1005,L216)&gt;0,"✓","✗ missing"))</f>
        <v/>
      </c>
      <c r="Q216" s="78">
        <f>IF(N216="","",IF(AND(N216="✓",O216="✓",P216="✓"),"✓ Complete","Missing documents"))</f>
        <v/>
      </c>
      <c r="R216" s="79">
        <f>IF(Q216="","",IF(Q216="✓ Complete",0,1))</f>
        <v/>
      </c>
    </row>
    <row r="217" ht="20" customHeight="1">
      <c r="B217" s="72" t="n"/>
      <c r="C217" s="72" t="n"/>
      <c r="D217" s="72" t="n"/>
      <c r="E217" s="72" t="n"/>
      <c r="F217" s="72" t="n"/>
      <c r="G217" s="109" t="n"/>
      <c r="H217" s="72" t="n"/>
      <c r="I217" s="78">
        <f>IF(H217="","",HYPERLINK(H217,"Open ↗"))</f>
        <v/>
      </c>
      <c r="J217" s="72" t="n"/>
      <c r="L217" s="116">
        <f>IF('Contractors'!B217="","",'Contractors'!B217)</f>
        <v/>
      </c>
      <c r="M217" s="78">
        <f>IF(L217="","",'Contractors'!L217)</f>
        <v/>
      </c>
      <c r="N217" s="78">
        <f>IF(OR(L217="",M217&lt;&gt;"Yes"),"",IF(COUNTIFS('Vault'!$C$6:$C$1005,"Contract",'Vault'!$D$6:$D$1005,L217)&gt;0,"✓","✗ missing"))</f>
        <v/>
      </c>
      <c r="O217" s="78">
        <f>IF(OR(L217="",M217&lt;&gt;"Yes"),"",IF(COUNTIFS('Vault'!$C$6:$C$1005,"Insurance",'Vault'!$D$6:$D$1005,L217)&gt;0,"✓","✗ missing"))</f>
        <v/>
      </c>
      <c r="P217" s="78">
        <f>IF(OR(L217="",M217&lt;&gt;"Yes"),"",IF(COUNTIFS('Vault'!$C$6:$C$1005,"Quote",'Vault'!$D$6:$D$1005,L217)&gt;0,"✓","✗ missing"))</f>
        <v/>
      </c>
      <c r="Q217" s="78">
        <f>IF(N217="","",IF(AND(N217="✓",O217="✓",P217="✓"),"✓ Complete","Missing documents"))</f>
        <v/>
      </c>
      <c r="R217" s="79">
        <f>IF(Q217="","",IF(Q217="✓ Complete",0,1))</f>
        <v/>
      </c>
    </row>
    <row r="218" ht="20" customHeight="1">
      <c r="B218" s="72" t="n"/>
      <c r="C218" s="72" t="n"/>
      <c r="D218" s="72" t="n"/>
      <c r="E218" s="72" t="n"/>
      <c r="F218" s="72" t="n"/>
      <c r="G218" s="109" t="n"/>
      <c r="H218" s="72" t="n"/>
      <c r="I218" s="78">
        <f>IF(H218="","",HYPERLINK(H218,"Open ↗"))</f>
        <v/>
      </c>
      <c r="J218" s="72" t="n"/>
      <c r="L218" s="116">
        <f>IF('Contractors'!B218="","",'Contractors'!B218)</f>
        <v/>
      </c>
      <c r="M218" s="78">
        <f>IF(L218="","",'Contractors'!L218)</f>
        <v/>
      </c>
      <c r="N218" s="78">
        <f>IF(OR(L218="",M218&lt;&gt;"Yes"),"",IF(COUNTIFS('Vault'!$C$6:$C$1005,"Contract",'Vault'!$D$6:$D$1005,L218)&gt;0,"✓","✗ missing"))</f>
        <v/>
      </c>
      <c r="O218" s="78">
        <f>IF(OR(L218="",M218&lt;&gt;"Yes"),"",IF(COUNTIFS('Vault'!$C$6:$C$1005,"Insurance",'Vault'!$D$6:$D$1005,L218)&gt;0,"✓","✗ missing"))</f>
        <v/>
      </c>
      <c r="P218" s="78">
        <f>IF(OR(L218="",M218&lt;&gt;"Yes"),"",IF(COUNTIFS('Vault'!$C$6:$C$1005,"Quote",'Vault'!$D$6:$D$1005,L218)&gt;0,"✓","✗ missing"))</f>
        <v/>
      </c>
      <c r="Q218" s="78">
        <f>IF(N218="","",IF(AND(N218="✓",O218="✓",P218="✓"),"✓ Complete","Missing documents"))</f>
        <v/>
      </c>
      <c r="R218" s="79">
        <f>IF(Q218="","",IF(Q218="✓ Complete",0,1))</f>
        <v/>
      </c>
    </row>
    <row r="219" ht="20" customHeight="1">
      <c r="B219" s="72" t="n"/>
      <c r="C219" s="72" t="n"/>
      <c r="D219" s="72" t="n"/>
      <c r="E219" s="72" t="n"/>
      <c r="F219" s="72" t="n"/>
      <c r="G219" s="109" t="n"/>
      <c r="H219" s="72" t="n"/>
      <c r="I219" s="78">
        <f>IF(H219="","",HYPERLINK(H219,"Open ↗"))</f>
        <v/>
      </c>
      <c r="J219" s="72" t="n"/>
      <c r="L219" s="116">
        <f>IF('Contractors'!B219="","",'Contractors'!B219)</f>
        <v/>
      </c>
      <c r="M219" s="78">
        <f>IF(L219="","",'Contractors'!L219)</f>
        <v/>
      </c>
      <c r="N219" s="78">
        <f>IF(OR(L219="",M219&lt;&gt;"Yes"),"",IF(COUNTIFS('Vault'!$C$6:$C$1005,"Contract",'Vault'!$D$6:$D$1005,L219)&gt;0,"✓","✗ missing"))</f>
        <v/>
      </c>
      <c r="O219" s="78">
        <f>IF(OR(L219="",M219&lt;&gt;"Yes"),"",IF(COUNTIFS('Vault'!$C$6:$C$1005,"Insurance",'Vault'!$D$6:$D$1005,L219)&gt;0,"✓","✗ missing"))</f>
        <v/>
      </c>
      <c r="P219" s="78">
        <f>IF(OR(L219="",M219&lt;&gt;"Yes"),"",IF(COUNTIFS('Vault'!$C$6:$C$1005,"Quote",'Vault'!$D$6:$D$1005,L219)&gt;0,"✓","✗ missing"))</f>
        <v/>
      </c>
      <c r="Q219" s="78">
        <f>IF(N219="","",IF(AND(N219="✓",O219="✓",P219="✓"),"✓ Complete","Missing documents"))</f>
        <v/>
      </c>
      <c r="R219" s="79">
        <f>IF(Q219="","",IF(Q219="✓ Complete",0,1))</f>
        <v/>
      </c>
    </row>
    <row r="220" ht="20" customHeight="1">
      <c r="B220" s="72" t="n"/>
      <c r="C220" s="72" t="n"/>
      <c r="D220" s="72" t="n"/>
      <c r="E220" s="72" t="n"/>
      <c r="F220" s="72" t="n"/>
      <c r="G220" s="109" t="n"/>
      <c r="H220" s="72" t="n"/>
      <c r="I220" s="78">
        <f>IF(H220="","",HYPERLINK(H220,"Open ↗"))</f>
        <v/>
      </c>
      <c r="J220" s="72" t="n"/>
      <c r="L220" s="116">
        <f>IF('Contractors'!B220="","",'Contractors'!B220)</f>
        <v/>
      </c>
      <c r="M220" s="78">
        <f>IF(L220="","",'Contractors'!L220)</f>
        <v/>
      </c>
      <c r="N220" s="78">
        <f>IF(OR(L220="",M220&lt;&gt;"Yes"),"",IF(COUNTIFS('Vault'!$C$6:$C$1005,"Contract",'Vault'!$D$6:$D$1005,L220)&gt;0,"✓","✗ missing"))</f>
        <v/>
      </c>
      <c r="O220" s="78">
        <f>IF(OR(L220="",M220&lt;&gt;"Yes"),"",IF(COUNTIFS('Vault'!$C$6:$C$1005,"Insurance",'Vault'!$D$6:$D$1005,L220)&gt;0,"✓","✗ missing"))</f>
        <v/>
      </c>
      <c r="P220" s="78">
        <f>IF(OR(L220="",M220&lt;&gt;"Yes"),"",IF(COUNTIFS('Vault'!$C$6:$C$1005,"Quote",'Vault'!$D$6:$D$1005,L220)&gt;0,"✓","✗ missing"))</f>
        <v/>
      </c>
      <c r="Q220" s="78">
        <f>IF(N220="","",IF(AND(N220="✓",O220="✓",P220="✓"),"✓ Complete","Missing documents"))</f>
        <v/>
      </c>
      <c r="R220" s="79">
        <f>IF(Q220="","",IF(Q220="✓ Complete",0,1))</f>
        <v/>
      </c>
    </row>
    <row r="221" ht="20" customHeight="1">
      <c r="B221" s="72" t="n"/>
      <c r="C221" s="72" t="n"/>
      <c r="D221" s="72" t="n"/>
      <c r="E221" s="72" t="n"/>
      <c r="F221" s="72" t="n"/>
      <c r="G221" s="109" t="n"/>
      <c r="H221" s="72" t="n"/>
      <c r="I221" s="78">
        <f>IF(H221="","",HYPERLINK(H221,"Open ↗"))</f>
        <v/>
      </c>
      <c r="J221" s="72" t="n"/>
      <c r="L221" s="116">
        <f>IF('Contractors'!B221="","",'Contractors'!B221)</f>
        <v/>
      </c>
      <c r="M221" s="78">
        <f>IF(L221="","",'Contractors'!L221)</f>
        <v/>
      </c>
      <c r="N221" s="78">
        <f>IF(OR(L221="",M221&lt;&gt;"Yes"),"",IF(COUNTIFS('Vault'!$C$6:$C$1005,"Contract",'Vault'!$D$6:$D$1005,L221)&gt;0,"✓","✗ missing"))</f>
        <v/>
      </c>
      <c r="O221" s="78">
        <f>IF(OR(L221="",M221&lt;&gt;"Yes"),"",IF(COUNTIFS('Vault'!$C$6:$C$1005,"Insurance",'Vault'!$D$6:$D$1005,L221)&gt;0,"✓","✗ missing"))</f>
        <v/>
      </c>
      <c r="P221" s="78">
        <f>IF(OR(L221="",M221&lt;&gt;"Yes"),"",IF(COUNTIFS('Vault'!$C$6:$C$1005,"Quote",'Vault'!$D$6:$D$1005,L221)&gt;0,"✓","✗ missing"))</f>
        <v/>
      </c>
      <c r="Q221" s="78">
        <f>IF(N221="","",IF(AND(N221="✓",O221="✓",P221="✓"),"✓ Complete","Missing documents"))</f>
        <v/>
      </c>
      <c r="R221" s="79">
        <f>IF(Q221="","",IF(Q221="✓ Complete",0,1))</f>
        <v/>
      </c>
    </row>
    <row r="222" ht="20" customHeight="1">
      <c r="B222" s="72" t="n"/>
      <c r="C222" s="72" t="n"/>
      <c r="D222" s="72" t="n"/>
      <c r="E222" s="72" t="n"/>
      <c r="F222" s="72" t="n"/>
      <c r="G222" s="109" t="n"/>
      <c r="H222" s="72" t="n"/>
      <c r="I222" s="78">
        <f>IF(H222="","",HYPERLINK(H222,"Open ↗"))</f>
        <v/>
      </c>
      <c r="J222" s="72" t="n"/>
      <c r="L222" s="116">
        <f>IF('Contractors'!B222="","",'Contractors'!B222)</f>
        <v/>
      </c>
      <c r="M222" s="78">
        <f>IF(L222="","",'Contractors'!L222)</f>
        <v/>
      </c>
      <c r="N222" s="78">
        <f>IF(OR(L222="",M222&lt;&gt;"Yes"),"",IF(COUNTIFS('Vault'!$C$6:$C$1005,"Contract",'Vault'!$D$6:$D$1005,L222)&gt;0,"✓","✗ missing"))</f>
        <v/>
      </c>
      <c r="O222" s="78">
        <f>IF(OR(L222="",M222&lt;&gt;"Yes"),"",IF(COUNTIFS('Vault'!$C$6:$C$1005,"Insurance",'Vault'!$D$6:$D$1005,L222)&gt;0,"✓","✗ missing"))</f>
        <v/>
      </c>
      <c r="P222" s="78">
        <f>IF(OR(L222="",M222&lt;&gt;"Yes"),"",IF(COUNTIFS('Vault'!$C$6:$C$1005,"Quote",'Vault'!$D$6:$D$1005,L222)&gt;0,"✓","✗ missing"))</f>
        <v/>
      </c>
      <c r="Q222" s="78">
        <f>IF(N222="","",IF(AND(N222="✓",O222="✓",P222="✓"),"✓ Complete","Missing documents"))</f>
        <v/>
      </c>
      <c r="R222" s="79">
        <f>IF(Q222="","",IF(Q222="✓ Complete",0,1))</f>
        <v/>
      </c>
    </row>
    <row r="223" ht="20" customHeight="1">
      <c r="B223" s="72" t="n"/>
      <c r="C223" s="72" t="n"/>
      <c r="D223" s="72" t="n"/>
      <c r="E223" s="72" t="n"/>
      <c r="F223" s="72" t="n"/>
      <c r="G223" s="109" t="n"/>
      <c r="H223" s="72" t="n"/>
      <c r="I223" s="78">
        <f>IF(H223="","",HYPERLINK(H223,"Open ↗"))</f>
        <v/>
      </c>
      <c r="J223" s="72" t="n"/>
      <c r="L223" s="116">
        <f>IF('Contractors'!B223="","",'Contractors'!B223)</f>
        <v/>
      </c>
      <c r="M223" s="78">
        <f>IF(L223="","",'Contractors'!L223)</f>
        <v/>
      </c>
      <c r="N223" s="78">
        <f>IF(OR(L223="",M223&lt;&gt;"Yes"),"",IF(COUNTIFS('Vault'!$C$6:$C$1005,"Contract",'Vault'!$D$6:$D$1005,L223)&gt;0,"✓","✗ missing"))</f>
        <v/>
      </c>
      <c r="O223" s="78">
        <f>IF(OR(L223="",M223&lt;&gt;"Yes"),"",IF(COUNTIFS('Vault'!$C$6:$C$1005,"Insurance",'Vault'!$D$6:$D$1005,L223)&gt;0,"✓","✗ missing"))</f>
        <v/>
      </c>
      <c r="P223" s="78">
        <f>IF(OR(L223="",M223&lt;&gt;"Yes"),"",IF(COUNTIFS('Vault'!$C$6:$C$1005,"Quote",'Vault'!$D$6:$D$1005,L223)&gt;0,"✓","✗ missing"))</f>
        <v/>
      </c>
      <c r="Q223" s="78">
        <f>IF(N223="","",IF(AND(N223="✓",O223="✓",P223="✓"),"✓ Complete","Missing documents"))</f>
        <v/>
      </c>
      <c r="R223" s="79">
        <f>IF(Q223="","",IF(Q223="✓ Complete",0,1))</f>
        <v/>
      </c>
    </row>
    <row r="224" ht="20" customHeight="1">
      <c r="B224" s="72" t="n"/>
      <c r="C224" s="72" t="n"/>
      <c r="D224" s="72" t="n"/>
      <c r="E224" s="72" t="n"/>
      <c r="F224" s="72" t="n"/>
      <c r="G224" s="109" t="n"/>
      <c r="H224" s="72" t="n"/>
      <c r="I224" s="78">
        <f>IF(H224="","",HYPERLINK(H224,"Open ↗"))</f>
        <v/>
      </c>
      <c r="J224" s="72" t="n"/>
      <c r="L224" s="116">
        <f>IF('Contractors'!B224="","",'Contractors'!B224)</f>
        <v/>
      </c>
      <c r="M224" s="78">
        <f>IF(L224="","",'Contractors'!L224)</f>
        <v/>
      </c>
      <c r="N224" s="78">
        <f>IF(OR(L224="",M224&lt;&gt;"Yes"),"",IF(COUNTIFS('Vault'!$C$6:$C$1005,"Contract",'Vault'!$D$6:$D$1005,L224)&gt;0,"✓","✗ missing"))</f>
        <v/>
      </c>
      <c r="O224" s="78">
        <f>IF(OR(L224="",M224&lt;&gt;"Yes"),"",IF(COUNTIFS('Vault'!$C$6:$C$1005,"Insurance",'Vault'!$D$6:$D$1005,L224)&gt;0,"✓","✗ missing"))</f>
        <v/>
      </c>
      <c r="P224" s="78">
        <f>IF(OR(L224="",M224&lt;&gt;"Yes"),"",IF(COUNTIFS('Vault'!$C$6:$C$1005,"Quote",'Vault'!$D$6:$D$1005,L224)&gt;0,"✓","✗ missing"))</f>
        <v/>
      </c>
      <c r="Q224" s="78">
        <f>IF(N224="","",IF(AND(N224="✓",O224="✓",P224="✓"),"✓ Complete","Missing documents"))</f>
        <v/>
      </c>
      <c r="R224" s="79">
        <f>IF(Q224="","",IF(Q224="✓ Complete",0,1))</f>
        <v/>
      </c>
    </row>
    <row r="225" ht="20" customHeight="1">
      <c r="B225" s="72" t="n"/>
      <c r="C225" s="72" t="n"/>
      <c r="D225" s="72" t="n"/>
      <c r="E225" s="72" t="n"/>
      <c r="F225" s="72" t="n"/>
      <c r="G225" s="109" t="n"/>
      <c r="H225" s="72" t="n"/>
      <c r="I225" s="78">
        <f>IF(H225="","",HYPERLINK(H225,"Open ↗"))</f>
        <v/>
      </c>
      <c r="J225" s="72" t="n"/>
      <c r="L225" s="116">
        <f>IF('Contractors'!B225="","",'Contractors'!B225)</f>
        <v/>
      </c>
      <c r="M225" s="78">
        <f>IF(L225="","",'Contractors'!L225)</f>
        <v/>
      </c>
      <c r="N225" s="78">
        <f>IF(OR(L225="",M225&lt;&gt;"Yes"),"",IF(COUNTIFS('Vault'!$C$6:$C$1005,"Contract",'Vault'!$D$6:$D$1005,L225)&gt;0,"✓","✗ missing"))</f>
        <v/>
      </c>
      <c r="O225" s="78">
        <f>IF(OR(L225="",M225&lt;&gt;"Yes"),"",IF(COUNTIFS('Vault'!$C$6:$C$1005,"Insurance",'Vault'!$D$6:$D$1005,L225)&gt;0,"✓","✗ missing"))</f>
        <v/>
      </c>
      <c r="P225" s="78">
        <f>IF(OR(L225="",M225&lt;&gt;"Yes"),"",IF(COUNTIFS('Vault'!$C$6:$C$1005,"Quote",'Vault'!$D$6:$D$1005,L225)&gt;0,"✓","✗ missing"))</f>
        <v/>
      </c>
      <c r="Q225" s="78">
        <f>IF(N225="","",IF(AND(N225="✓",O225="✓",P225="✓"),"✓ Complete","Missing documents"))</f>
        <v/>
      </c>
      <c r="R225" s="79">
        <f>IF(Q225="","",IF(Q225="✓ Complete",0,1))</f>
        <v/>
      </c>
    </row>
    <row r="226" ht="20" customHeight="1">
      <c r="B226" s="72" t="n"/>
      <c r="C226" s="72" t="n"/>
      <c r="D226" s="72" t="n"/>
      <c r="E226" s="72" t="n"/>
      <c r="F226" s="72" t="n"/>
      <c r="G226" s="109" t="n"/>
      <c r="H226" s="72" t="n"/>
      <c r="I226" s="78">
        <f>IF(H226="","",HYPERLINK(H226,"Open ↗"))</f>
        <v/>
      </c>
      <c r="J226" s="72" t="n"/>
      <c r="L226" s="116">
        <f>IF('Contractors'!B226="","",'Contractors'!B226)</f>
        <v/>
      </c>
      <c r="M226" s="78">
        <f>IF(L226="","",'Contractors'!L226)</f>
        <v/>
      </c>
      <c r="N226" s="78">
        <f>IF(OR(L226="",M226&lt;&gt;"Yes"),"",IF(COUNTIFS('Vault'!$C$6:$C$1005,"Contract",'Vault'!$D$6:$D$1005,L226)&gt;0,"✓","✗ missing"))</f>
        <v/>
      </c>
      <c r="O226" s="78">
        <f>IF(OR(L226="",M226&lt;&gt;"Yes"),"",IF(COUNTIFS('Vault'!$C$6:$C$1005,"Insurance",'Vault'!$D$6:$D$1005,L226)&gt;0,"✓","✗ missing"))</f>
        <v/>
      </c>
      <c r="P226" s="78">
        <f>IF(OR(L226="",M226&lt;&gt;"Yes"),"",IF(COUNTIFS('Vault'!$C$6:$C$1005,"Quote",'Vault'!$D$6:$D$1005,L226)&gt;0,"✓","✗ missing"))</f>
        <v/>
      </c>
      <c r="Q226" s="78">
        <f>IF(N226="","",IF(AND(N226="✓",O226="✓",P226="✓"),"✓ Complete","Missing documents"))</f>
        <v/>
      </c>
      <c r="R226" s="79">
        <f>IF(Q226="","",IF(Q226="✓ Complete",0,1))</f>
        <v/>
      </c>
    </row>
    <row r="227" ht="20" customHeight="1">
      <c r="B227" s="72" t="n"/>
      <c r="C227" s="72" t="n"/>
      <c r="D227" s="72" t="n"/>
      <c r="E227" s="72" t="n"/>
      <c r="F227" s="72" t="n"/>
      <c r="G227" s="109" t="n"/>
      <c r="H227" s="72" t="n"/>
      <c r="I227" s="78">
        <f>IF(H227="","",HYPERLINK(H227,"Open ↗"))</f>
        <v/>
      </c>
      <c r="J227" s="72" t="n"/>
      <c r="L227" s="116">
        <f>IF('Contractors'!B227="","",'Contractors'!B227)</f>
        <v/>
      </c>
      <c r="M227" s="78">
        <f>IF(L227="","",'Contractors'!L227)</f>
        <v/>
      </c>
      <c r="N227" s="78">
        <f>IF(OR(L227="",M227&lt;&gt;"Yes"),"",IF(COUNTIFS('Vault'!$C$6:$C$1005,"Contract",'Vault'!$D$6:$D$1005,L227)&gt;0,"✓","✗ missing"))</f>
        <v/>
      </c>
      <c r="O227" s="78">
        <f>IF(OR(L227="",M227&lt;&gt;"Yes"),"",IF(COUNTIFS('Vault'!$C$6:$C$1005,"Insurance",'Vault'!$D$6:$D$1005,L227)&gt;0,"✓","✗ missing"))</f>
        <v/>
      </c>
      <c r="P227" s="78">
        <f>IF(OR(L227="",M227&lt;&gt;"Yes"),"",IF(COUNTIFS('Vault'!$C$6:$C$1005,"Quote",'Vault'!$D$6:$D$1005,L227)&gt;0,"✓","✗ missing"))</f>
        <v/>
      </c>
      <c r="Q227" s="78">
        <f>IF(N227="","",IF(AND(N227="✓",O227="✓",P227="✓"),"✓ Complete","Missing documents"))</f>
        <v/>
      </c>
      <c r="R227" s="79">
        <f>IF(Q227="","",IF(Q227="✓ Complete",0,1))</f>
        <v/>
      </c>
    </row>
    <row r="228" ht="20" customHeight="1">
      <c r="B228" s="72" t="n"/>
      <c r="C228" s="72" t="n"/>
      <c r="D228" s="72" t="n"/>
      <c r="E228" s="72" t="n"/>
      <c r="F228" s="72" t="n"/>
      <c r="G228" s="109" t="n"/>
      <c r="H228" s="72" t="n"/>
      <c r="I228" s="78">
        <f>IF(H228="","",HYPERLINK(H228,"Open ↗"))</f>
        <v/>
      </c>
      <c r="J228" s="72" t="n"/>
      <c r="L228" s="116">
        <f>IF('Contractors'!B228="","",'Contractors'!B228)</f>
        <v/>
      </c>
      <c r="M228" s="78">
        <f>IF(L228="","",'Contractors'!L228)</f>
        <v/>
      </c>
      <c r="N228" s="78">
        <f>IF(OR(L228="",M228&lt;&gt;"Yes"),"",IF(COUNTIFS('Vault'!$C$6:$C$1005,"Contract",'Vault'!$D$6:$D$1005,L228)&gt;0,"✓","✗ missing"))</f>
        <v/>
      </c>
      <c r="O228" s="78">
        <f>IF(OR(L228="",M228&lt;&gt;"Yes"),"",IF(COUNTIFS('Vault'!$C$6:$C$1005,"Insurance",'Vault'!$D$6:$D$1005,L228)&gt;0,"✓","✗ missing"))</f>
        <v/>
      </c>
      <c r="P228" s="78">
        <f>IF(OR(L228="",M228&lt;&gt;"Yes"),"",IF(COUNTIFS('Vault'!$C$6:$C$1005,"Quote",'Vault'!$D$6:$D$1005,L228)&gt;0,"✓","✗ missing"))</f>
        <v/>
      </c>
      <c r="Q228" s="78">
        <f>IF(N228="","",IF(AND(N228="✓",O228="✓",P228="✓"),"✓ Complete","Missing documents"))</f>
        <v/>
      </c>
      <c r="R228" s="79">
        <f>IF(Q228="","",IF(Q228="✓ Complete",0,1))</f>
        <v/>
      </c>
    </row>
    <row r="229" ht="20" customHeight="1">
      <c r="B229" s="72" t="n"/>
      <c r="C229" s="72" t="n"/>
      <c r="D229" s="72" t="n"/>
      <c r="E229" s="72" t="n"/>
      <c r="F229" s="72" t="n"/>
      <c r="G229" s="109" t="n"/>
      <c r="H229" s="72" t="n"/>
      <c r="I229" s="78">
        <f>IF(H229="","",HYPERLINK(H229,"Open ↗"))</f>
        <v/>
      </c>
      <c r="J229" s="72" t="n"/>
      <c r="L229" s="116">
        <f>IF('Contractors'!B229="","",'Contractors'!B229)</f>
        <v/>
      </c>
      <c r="M229" s="78">
        <f>IF(L229="","",'Contractors'!L229)</f>
        <v/>
      </c>
      <c r="N229" s="78">
        <f>IF(OR(L229="",M229&lt;&gt;"Yes"),"",IF(COUNTIFS('Vault'!$C$6:$C$1005,"Contract",'Vault'!$D$6:$D$1005,L229)&gt;0,"✓","✗ missing"))</f>
        <v/>
      </c>
      <c r="O229" s="78">
        <f>IF(OR(L229="",M229&lt;&gt;"Yes"),"",IF(COUNTIFS('Vault'!$C$6:$C$1005,"Insurance",'Vault'!$D$6:$D$1005,L229)&gt;0,"✓","✗ missing"))</f>
        <v/>
      </c>
      <c r="P229" s="78">
        <f>IF(OR(L229="",M229&lt;&gt;"Yes"),"",IF(COUNTIFS('Vault'!$C$6:$C$1005,"Quote",'Vault'!$D$6:$D$1005,L229)&gt;0,"✓","✗ missing"))</f>
        <v/>
      </c>
      <c r="Q229" s="78">
        <f>IF(N229="","",IF(AND(N229="✓",O229="✓",P229="✓"),"✓ Complete","Missing documents"))</f>
        <v/>
      </c>
      <c r="R229" s="79">
        <f>IF(Q229="","",IF(Q229="✓ Complete",0,1))</f>
        <v/>
      </c>
    </row>
    <row r="230" ht="20" customHeight="1">
      <c r="B230" s="72" t="n"/>
      <c r="C230" s="72" t="n"/>
      <c r="D230" s="72" t="n"/>
      <c r="E230" s="72" t="n"/>
      <c r="F230" s="72" t="n"/>
      <c r="G230" s="109" t="n"/>
      <c r="H230" s="72" t="n"/>
      <c r="I230" s="78">
        <f>IF(H230="","",HYPERLINK(H230,"Open ↗"))</f>
        <v/>
      </c>
      <c r="J230" s="72" t="n"/>
      <c r="L230" s="116">
        <f>IF('Contractors'!B230="","",'Contractors'!B230)</f>
        <v/>
      </c>
      <c r="M230" s="78">
        <f>IF(L230="","",'Contractors'!L230)</f>
        <v/>
      </c>
      <c r="N230" s="78">
        <f>IF(OR(L230="",M230&lt;&gt;"Yes"),"",IF(COUNTIFS('Vault'!$C$6:$C$1005,"Contract",'Vault'!$D$6:$D$1005,L230)&gt;0,"✓","✗ missing"))</f>
        <v/>
      </c>
      <c r="O230" s="78">
        <f>IF(OR(L230="",M230&lt;&gt;"Yes"),"",IF(COUNTIFS('Vault'!$C$6:$C$1005,"Insurance",'Vault'!$D$6:$D$1005,L230)&gt;0,"✓","✗ missing"))</f>
        <v/>
      </c>
      <c r="P230" s="78">
        <f>IF(OR(L230="",M230&lt;&gt;"Yes"),"",IF(COUNTIFS('Vault'!$C$6:$C$1005,"Quote",'Vault'!$D$6:$D$1005,L230)&gt;0,"✓","✗ missing"))</f>
        <v/>
      </c>
      <c r="Q230" s="78">
        <f>IF(N230="","",IF(AND(N230="✓",O230="✓",P230="✓"),"✓ Complete","Missing documents"))</f>
        <v/>
      </c>
      <c r="R230" s="79">
        <f>IF(Q230="","",IF(Q230="✓ Complete",0,1))</f>
        <v/>
      </c>
    </row>
    <row r="231" ht="20" customHeight="1">
      <c r="B231" s="72" t="n"/>
      <c r="C231" s="72" t="n"/>
      <c r="D231" s="72" t="n"/>
      <c r="E231" s="72" t="n"/>
      <c r="F231" s="72" t="n"/>
      <c r="G231" s="109" t="n"/>
      <c r="H231" s="72" t="n"/>
      <c r="I231" s="78">
        <f>IF(H231="","",HYPERLINK(H231,"Open ↗"))</f>
        <v/>
      </c>
      <c r="J231" s="72" t="n"/>
      <c r="L231" s="116">
        <f>IF('Contractors'!B231="","",'Contractors'!B231)</f>
        <v/>
      </c>
      <c r="M231" s="78">
        <f>IF(L231="","",'Contractors'!L231)</f>
        <v/>
      </c>
      <c r="N231" s="78">
        <f>IF(OR(L231="",M231&lt;&gt;"Yes"),"",IF(COUNTIFS('Vault'!$C$6:$C$1005,"Contract",'Vault'!$D$6:$D$1005,L231)&gt;0,"✓","✗ missing"))</f>
        <v/>
      </c>
      <c r="O231" s="78">
        <f>IF(OR(L231="",M231&lt;&gt;"Yes"),"",IF(COUNTIFS('Vault'!$C$6:$C$1005,"Insurance",'Vault'!$D$6:$D$1005,L231)&gt;0,"✓","✗ missing"))</f>
        <v/>
      </c>
      <c r="P231" s="78">
        <f>IF(OR(L231="",M231&lt;&gt;"Yes"),"",IF(COUNTIFS('Vault'!$C$6:$C$1005,"Quote",'Vault'!$D$6:$D$1005,L231)&gt;0,"✓","✗ missing"))</f>
        <v/>
      </c>
      <c r="Q231" s="78">
        <f>IF(N231="","",IF(AND(N231="✓",O231="✓",P231="✓"),"✓ Complete","Missing documents"))</f>
        <v/>
      </c>
      <c r="R231" s="79">
        <f>IF(Q231="","",IF(Q231="✓ Complete",0,1))</f>
        <v/>
      </c>
    </row>
    <row r="232" ht="20" customHeight="1">
      <c r="B232" s="72" t="n"/>
      <c r="C232" s="72" t="n"/>
      <c r="D232" s="72" t="n"/>
      <c r="E232" s="72" t="n"/>
      <c r="F232" s="72" t="n"/>
      <c r="G232" s="109" t="n"/>
      <c r="H232" s="72" t="n"/>
      <c r="I232" s="78">
        <f>IF(H232="","",HYPERLINK(H232,"Open ↗"))</f>
        <v/>
      </c>
      <c r="J232" s="72" t="n"/>
      <c r="L232" s="116">
        <f>IF('Contractors'!B232="","",'Contractors'!B232)</f>
        <v/>
      </c>
      <c r="M232" s="78">
        <f>IF(L232="","",'Contractors'!L232)</f>
        <v/>
      </c>
      <c r="N232" s="78">
        <f>IF(OR(L232="",M232&lt;&gt;"Yes"),"",IF(COUNTIFS('Vault'!$C$6:$C$1005,"Contract",'Vault'!$D$6:$D$1005,L232)&gt;0,"✓","✗ missing"))</f>
        <v/>
      </c>
      <c r="O232" s="78">
        <f>IF(OR(L232="",M232&lt;&gt;"Yes"),"",IF(COUNTIFS('Vault'!$C$6:$C$1005,"Insurance",'Vault'!$D$6:$D$1005,L232)&gt;0,"✓","✗ missing"))</f>
        <v/>
      </c>
      <c r="P232" s="78">
        <f>IF(OR(L232="",M232&lt;&gt;"Yes"),"",IF(COUNTIFS('Vault'!$C$6:$C$1005,"Quote",'Vault'!$D$6:$D$1005,L232)&gt;0,"✓","✗ missing"))</f>
        <v/>
      </c>
      <c r="Q232" s="78">
        <f>IF(N232="","",IF(AND(N232="✓",O232="✓",P232="✓"),"✓ Complete","Missing documents"))</f>
        <v/>
      </c>
      <c r="R232" s="79">
        <f>IF(Q232="","",IF(Q232="✓ Complete",0,1))</f>
        <v/>
      </c>
    </row>
    <row r="233" ht="20" customHeight="1">
      <c r="B233" s="72" t="n"/>
      <c r="C233" s="72" t="n"/>
      <c r="D233" s="72" t="n"/>
      <c r="E233" s="72" t="n"/>
      <c r="F233" s="72" t="n"/>
      <c r="G233" s="109" t="n"/>
      <c r="H233" s="72" t="n"/>
      <c r="I233" s="78">
        <f>IF(H233="","",HYPERLINK(H233,"Open ↗"))</f>
        <v/>
      </c>
      <c r="J233" s="72" t="n"/>
      <c r="L233" s="116">
        <f>IF('Contractors'!B233="","",'Contractors'!B233)</f>
        <v/>
      </c>
      <c r="M233" s="78">
        <f>IF(L233="","",'Contractors'!L233)</f>
        <v/>
      </c>
      <c r="N233" s="78">
        <f>IF(OR(L233="",M233&lt;&gt;"Yes"),"",IF(COUNTIFS('Vault'!$C$6:$C$1005,"Contract",'Vault'!$D$6:$D$1005,L233)&gt;0,"✓","✗ missing"))</f>
        <v/>
      </c>
      <c r="O233" s="78">
        <f>IF(OR(L233="",M233&lt;&gt;"Yes"),"",IF(COUNTIFS('Vault'!$C$6:$C$1005,"Insurance",'Vault'!$D$6:$D$1005,L233)&gt;0,"✓","✗ missing"))</f>
        <v/>
      </c>
      <c r="P233" s="78">
        <f>IF(OR(L233="",M233&lt;&gt;"Yes"),"",IF(COUNTIFS('Vault'!$C$6:$C$1005,"Quote",'Vault'!$D$6:$D$1005,L233)&gt;0,"✓","✗ missing"))</f>
        <v/>
      </c>
      <c r="Q233" s="78">
        <f>IF(N233="","",IF(AND(N233="✓",O233="✓",P233="✓"),"✓ Complete","Missing documents"))</f>
        <v/>
      </c>
      <c r="R233" s="79">
        <f>IF(Q233="","",IF(Q233="✓ Complete",0,1))</f>
        <v/>
      </c>
    </row>
    <row r="234" ht="20" customHeight="1">
      <c r="B234" s="72" t="n"/>
      <c r="C234" s="72" t="n"/>
      <c r="D234" s="72" t="n"/>
      <c r="E234" s="72" t="n"/>
      <c r="F234" s="72" t="n"/>
      <c r="G234" s="109" t="n"/>
      <c r="H234" s="72" t="n"/>
      <c r="I234" s="78">
        <f>IF(H234="","",HYPERLINK(H234,"Open ↗"))</f>
        <v/>
      </c>
      <c r="J234" s="72" t="n"/>
      <c r="L234" s="116">
        <f>IF('Contractors'!B234="","",'Contractors'!B234)</f>
        <v/>
      </c>
      <c r="M234" s="78">
        <f>IF(L234="","",'Contractors'!L234)</f>
        <v/>
      </c>
      <c r="N234" s="78">
        <f>IF(OR(L234="",M234&lt;&gt;"Yes"),"",IF(COUNTIFS('Vault'!$C$6:$C$1005,"Contract",'Vault'!$D$6:$D$1005,L234)&gt;0,"✓","✗ missing"))</f>
        <v/>
      </c>
      <c r="O234" s="78">
        <f>IF(OR(L234="",M234&lt;&gt;"Yes"),"",IF(COUNTIFS('Vault'!$C$6:$C$1005,"Insurance",'Vault'!$D$6:$D$1005,L234)&gt;0,"✓","✗ missing"))</f>
        <v/>
      </c>
      <c r="P234" s="78">
        <f>IF(OR(L234="",M234&lt;&gt;"Yes"),"",IF(COUNTIFS('Vault'!$C$6:$C$1005,"Quote",'Vault'!$D$6:$D$1005,L234)&gt;0,"✓","✗ missing"))</f>
        <v/>
      </c>
      <c r="Q234" s="78">
        <f>IF(N234="","",IF(AND(N234="✓",O234="✓",P234="✓"),"✓ Complete","Missing documents"))</f>
        <v/>
      </c>
      <c r="R234" s="79">
        <f>IF(Q234="","",IF(Q234="✓ Complete",0,1))</f>
        <v/>
      </c>
    </row>
    <row r="235" ht="20" customHeight="1">
      <c r="B235" s="72" t="n"/>
      <c r="C235" s="72" t="n"/>
      <c r="D235" s="72" t="n"/>
      <c r="E235" s="72" t="n"/>
      <c r="F235" s="72" t="n"/>
      <c r="G235" s="109" t="n"/>
      <c r="H235" s="72" t="n"/>
      <c r="I235" s="78">
        <f>IF(H235="","",HYPERLINK(H235,"Open ↗"))</f>
        <v/>
      </c>
      <c r="J235" s="72" t="n"/>
      <c r="L235" s="116">
        <f>IF('Contractors'!B235="","",'Contractors'!B235)</f>
        <v/>
      </c>
      <c r="M235" s="78">
        <f>IF(L235="","",'Contractors'!L235)</f>
        <v/>
      </c>
      <c r="N235" s="78">
        <f>IF(OR(L235="",M235&lt;&gt;"Yes"),"",IF(COUNTIFS('Vault'!$C$6:$C$1005,"Contract",'Vault'!$D$6:$D$1005,L235)&gt;0,"✓","✗ missing"))</f>
        <v/>
      </c>
      <c r="O235" s="78">
        <f>IF(OR(L235="",M235&lt;&gt;"Yes"),"",IF(COUNTIFS('Vault'!$C$6:$C$1005,"Insurance",'Vault'!$D$6:$D$1005,L235)&gt;0,"✓","✗ missing"))</f>
        <v/>
      </c>
      <c r="P235" s="78">
        <f>IF(OR(L235="",M235&lt;&gt;"Yes"),"",IF(COUNTIFS('Vault'!$C$6:$C$1005,"Quote",'Vault'!$D$6:$D$1005,L235)&gt;0,"✓","✗ missing"))</f>
        <v/>
      </c>
      <c r="Q235" s="78">
        <f>IF(N235="","",IF(AND(N235="✓",O235="✓",P235="✓"),"✓ Complete","Missing documents"))</f>
        <v/>
      </c>
      <c r="R235" s="79">
        <f>IF(Q235="","",IF(Q235="✓ Complete",0,1))</f>
        <v/>
      </c>
    </row>
    <row r="236" ht="20" customHeight="1">
      <c r="B236" s="72" t="n"/>
      <c r="C236" s="72" t="n"/>
      <c r="D236" s="72" t="n"/>
      <c r="E236" s="72" t="n"/>
      <c r="F236" s="72" t="n"/>
      <c r="G236" s="109" t="n"/>
      <c r="H236" s="72" t="n"/>
      <c r="I236" s="78">
        <f>IF(H236="","",HYPERLINK(H236,"Open ↗"))</f>
        <v/>
      </c>
      <c r="J236" s="72" t="n"/>
      <c r="L236" s="116">
        <f>IF('Contractors'!B236="","",'Contractors'!B236)</f>
        <v/>
      </c>
      <c r="M236" s="78">
        <f>IF(L236="","",'Contractors'!L236)</f>
        <v/>
      </c>
      <c r="N236" s="78">
        <f>IF(OR(L236="",M236&lt;&gt;"Yes"),"",IF(COUNTIFS('Vault'!$C$6:$C$1005,"Contract",'Vault'!$D$6:$D$1005,L236)&gt;0,"✓","✗ missing"))</f>
        <v/>
      </c>
      <c r="O236" s="78">
        <f>IF(OR(L236="",M236&lt;&gt;"Yes"),"",IF(COUNTIFS('Vault'!$C$6:$C$1005,"Insurance",'Vault'!$D$6:$D$1005,L236)&gt;0,"✓","✗ missing"))</f>
        <v/>
      </c>
      <c r="P236" s="78">
        <f>IF(OR(L236="",M236&lt;&gt;"Yes"),"",IF(COUNTIFS('Vault'!$C$6:$C$1005,"Quote",'Vault'!$D$6:$D$1005,L236)&gt;0,"✓","✗ missing"))</f>
        <v/>
      </c>
      <c r="Q236" s="78">
        <f>IF(N236="","",IF(AND(N236="✓",O236="✓",P236="✓"),"✓ Complete","Missing documents"))</f>
        <v/>
      </c>
      <c r="R236" s="79">
        <f>IF(Q236="","",IF(Q236="✓ Complete",0,1))</f>
        <v/>
      </c>
    </row>
    <row r="237" ht="20" customHeight="1">
      <c r="B237" s="72" t="n"/>
      <c r="C237" s="72" t="n"/>
      <c r="D237" s="72" t="n"/>
      <c r="E237" s="72" t="n"/>
      <c r="F237" s="72" t="n"/>
      <c r="G237" s="109" t="n"/>
      <c r="H237" s="72" t="n"/>
      <c r="I237" s="78">
        <f>IF(H237="","",HYPERLINK(H237,"Open ↗"))</f>
        <v/>
      </c>
      <c r="J237" s="72" t="n"/>
      <c r="L237" s="116">
        <f>IF('Contractors'!B237="","",'Contractors'!B237)</f>
        <v/>
      </c>
      <c r="M237" s="78">
        <f>IF(L237="","",'Contractors'!L237)</f>
        <v/>
      </c>
      <c r="N237" s="78">
        <f>IF(OR(L237="",M237&lt;&gt;"Yes"),"",IF(COUNTIFS('Vault'!$C$6:$C$1005,"Contract",'Vault'!$D$6:$D$1005,L237)&gt;0,"✓","✗ missing"))</f>
        <v/>
      </c>
      <c r="O237" s="78">
        <f>IF(OR(L237="",M237&lt;&gt;"Yes"),"",IF(COUNTIFS('Vault'!$C$6:$C$1005,"Insurance",'Vault'!$D$6:$D$1005,L237)&gt;0,"✓","✗ missing"))</f>
        <v/>
      </c>
      <c r="P237" s="78">
        <f>IF(OR(L237="",M237&lt;&gt;"Yes"),"",IF(COUNTIFS('Vault'!$C$6:$C$1005,"Quote",'Vault'!$D$6:$D$1005,L237)&gt;0,"✓","✗ missing"))</f>
        <v/>
      </c>
      <c r="Q237" s="78">
        <f>IF(N237="","",IF(AND(N237="✓",O237="✓",P237="✓"),"✓ Complete","Missing documents"))</f>
        <v/>
      </c>
      <c r="R237" s="79">
        <f>IF(Q237="","",IF(Q237="✓ Complete",0,1))</f>
        <v/>
      </c>
    </row>
    <row r="238" ht="20" customHeight="1">
      <c r="B238" s="72" t="n"/>
      <c r="C238" s="72" t="n"/>
      <c r="D238" s="72" t="n"/>
      <c r="E238" s="72" t="n"/>
      <c r="F238" s="72" t="n"/>
      <c r="G238" s="109" t="n"/>
      <c r="H238" s="72" t="n"/>
      <c r="I238" s="78">
        <f>IF(H238="","",HYPERLINK(H238,"Open ↗"))</f>
        <v/>
      </c>
      <c r="J238" s="72" t="n"/>
      <c r="L238" s="116">
        <f>IF('Contractors'!B238="","",'Contractors'!B238)</f>
        <v/>
      </c>
      <c r="M238" s="78">
        <f>IF(L238="","",'Contractors'!L238)</f>
        <v/>
      </c>
      <c r="N238" s="78">
        <f>IF(OR(L238="",M238&lt;&gt;"Yes"),"",IF(COUNTIFS('Vault'!$C$6:$C$1005,"Contract",'Vault'!$D$6:$D$1005,L238)&gt;0,"✓","✗ missing"))</f>
        <v/>
      </c>
      <c r="O238" s="78">
        <f>IF(OR(L238="",M238&lt;&gt;"Yes"),"",IF(COUNTIFS('Vault'!$C$6:$C$1005,"Insurance",'Vault'!$D$6:$D$1005,L238)&gt;0,"✓","✗ missing"))</f>
        <v/>
      </c>
      <c r="P238" s="78">
        <f>IF(OR(L238="",M238&lt;&gt;"Yes"),"",IF(COUNTIFS('Vault'!$C$6:$C$1005,"Quote",'Vault'!$D$6:$D$1005,L238)&gt;0,"✓","✗ missing"))</f>
        <v/>
      </c>
      <c r="Q238" s="78">
        <f>IF(N238="","",IF(AND(N238="✓",O238="✓",P238="✓"),"✓ Complete","Missing documents"))</f>
        <v/>
      </c>
      <c r="R238" s="79">
        <f>IF(Q238="","",IF(Q238="✓ Complete",0,1))</f>
        <v/>
      </c>
    </row>
    <row r="239" ht="20" customHeight="1">
      <c r="B239" s="72" t="n"/>
      <c r="C239" s="72" t="n"/>
      <c r="D239" s="72" t="n"/>
      <c r="E239" s="72" t="n"/>
      <c r="F239" s="72" t="n"/>
      <c r="G239" s="109" t="n"/>
      <c r="H239" s="72" t="n"/>
      <c r="I239" s="78">
        <f>IF(H239="","",HYPERLINK(H239,"Open ↗"))</f>
        <v/>
      </c>
      <c r="J239" s="72" t="n"/>
      <c r="L239" s="116">
        <f>IF('Contractors'!B239="","",'Contractors'!B239)</f>
        <v/>
      </c>
      <c r="M239" s="78">
        <f>IF(L239="","",'Contractors'!L239)</f>
        <v/>
      </c>
      <c r="N239" s="78">
        <f>IF(OR(L239="",M239&lt;&gt;"Yes"),"",IF(COUNTIFS('Vault'!$C$6:$C$1005,"Contract",'Vault'!$D$6:$D$1005,L239)&gt;0,"✓","✗ missing"))</f>
        <v/>
      </c>
      <c r="O239" s="78">
        <f>IF(OR(L239="",M239&lt;&gt;"Yes"),"",IF(COUNTIFS('Vault'!$C$6:$C$1005,"Insurance",'Vault'!$D$6:$D$1005,L239)&gt;0,"✓","✗ missing"))</f>
        <v/>
      </c>
      <c r="P239" s="78">
        <f>IF(OR(L239="",M239&lt;&gt;"Yes"),"",IF(COUNTIFS('Vault'!$C$6:$C$1005,"Quote",'Vault'!$D$6:$D$1005,L239)&gt;0,"✓","✗ missing"))</f>
        <v/>
      </c>
      <c r="Q239" s="78">
        <f>IF(N239="","",IF(AND(N239="✓",O239="✓",P239="✓"),"✓ Complete","Missing documents"))</f>
        <v/>
      </c>
      <c r="R239" s="79">
        <f>IF(Q239="","",IF(Q239="✓ Complete",0,1))</f>
        <v/>
      </c>
    </row>
    <row r="240" ht="20" customHeight="1">
      <c r="B240" s="72" t="n"/>
      <c r="C240" s="72" t="n"/>
      <c r="D240" s="72" t="n"/>
      <c r="E240" s="72" t="n"/>
      <c r="F240" s="72" t="n"/>
      <c r="G240" s="109" t="n"/>
      <c r="H240" s="72" t="n"/>
      <c r="I240" s="78">
        <f>IF(H240="","",HYPERLINK(H240,"Open ↗"))</f>
        <v/>
      </c>
      <c r="J240" s="72" t="n"/>
      <c r="L240" s="116">
        <f>IF('Contractors'!B240="","",'Contractors'!B240)</f>
        <v/>
      </c>
      <c r="M240" s="78">
        <f>IF(L240="","",'Contractors'!L240)</f>
        <v/>
      </c>
      <c r="N240" s="78">
        <f>IF(OR(L240="",M240&lt;&gt;"Yes"),"",IF(COUNTIFS('Vault'!$C$6:$C$1005,"Contract",'Vault'!$D$6:$D$1005,L240)&gt;0,"✓","✗ missing"))</f>
        <v/>
      </c>
      <c r="O240" s="78">
        <f>IF(OR(L240="",M240&lt;&gt;"Yes"),"",IF(COUNTIFS('Vault'!$C$6:$C$1005,"Insurance",'Vault'!$D$6:$D$1005,L240)&gt;0,"✓","✗ missing"))</f>
        <v/>
      </c>
      <c r="P240" s="78">
        <f>IF(OR(L240="",M240&lt;&gt;"Yes"),"",IF(COUNTIFS('Vault'!$C$6:$C$1005,"Quote",'Vault'!$D$6:$D$1005,L240)&gt;0,"✓","✗ missing"))</f>
        <v/>
      </c>
      <c r="Q240" s="78">
        <f>IF(N240="","",IF(AND(N240="✓",O240="✓",P240="✓"),"✓ Complete","Missing documents"))</f>
        <v/>
      </c>
      <c r="R240" s="79">
        <f>IF(Q240="","",IF(Q240="✓ Complete",0,1))</f>
        <v/>
      </c>
    </row>
    <row r="241" ht="20" customHeight="1">
      <c r="B241" s="72" t="n"/>
      <c r="C241" s="72" t="n"/>
      <c r="D241" s="72" t="n"/>
      <c r="E241" s="72" t="n"/>
      <c r="F241" s="72" t="n"/>
      <c r="G241" s="109" t="n"/>
      <c r="H241" s="72" t="n"/>
      <c r="I241" s="78">
        <f>IF(H241="","",HYPERLINK(H241,"Open ↗"))</f>
        <v/>
      </c>
      <c r="J241" s="72" t="n"/>
      <c r="L241" s="116">
        <f>IF('Contractors'!B241="","",'Contractors'!B241)</f>
        <v/>
      </c>
      <c r="M241" s="78">
        <f>IF(L241="","",'Contractors'!L241)</f>
        <v/>
      </c>
      <c r="N241" s="78">
        <f>IF(OR(L241="",M241&lt;&gt;"Yes"),"",IF(COUNTIFS('Vault'!$C$6:$C$1005,"Contract",'Vault'!$D$6:$D$1005,L241)&gt;0,"✓","✗ missing"))</f>
        <v/>
      </c>
      <c r="O241" s="78">
        <f>IF(OR(L241="",M241&lt;&gt;"Yes"),"",IF(COUNTIFS('Vault'!$C$6:$C$1005,"Insurance",'Vault'!$D$6:$D$1005,L241)&gt;0,"✓","✗ missing"))</f>
        <v/>
      </c>
      <c r="P241" s="78">
        <f>IF(OR(L241="",M241&lt;&gt;"Yes"),"",IF(COUNTIFS('Vault'!$C$6:$C$1005,"Quote",'Vault'!$D$6:$D$1005,L241)&gt;0,"✓","✗ missing"))</f>
        <v/>
      </c>
      <c r="Q241" s="78">
        <f>IF(N241="","",IF(AND(N241="✓",O241="✓",P241="✓"),"✓ Complete","Missing documents"))</f>
        <v/>
      </c>
      <c r="R241" s="79">
        <f>IF(Q241="","",IF(Q241="✓ Complete",0,1))</f>
        <v/>
      </c>
    </row>
    <row r="242" ht="20" customHeight="1">
      <c r="B242" s="72" t="n"/>
      <c r="C242" s="72" t="n"/>
      <c r="D242" s="72" t="n"/>
      <c r="E242" s="72" t="n"/>
      <c r="F242" s="72" t="n"/>
      <c r="G242" s="109" t="n"/>
      <c r="H242" s="72" t="n"/>
      <c r="I242" s="78">
        <f>IF(H242="","",HYPERLINK(H242,"Open ↗"))</f>
        <v/>
      </c>
      <c r="J242" s="72" t="n"/>
      <c r="L242" s="116">
        <f>IF('Contractors'!B242="","",'Contractors'!B242)</f>
        <v/>
      </c>
      <c r="M242" s="78">
        <f>IF(L242="","",'Contractors'!L242)</f>
        <v/>
      </c>
      <c r="N242" s="78">
        <f>IF(OR(L242="",M242&lt;&gt;"Yes"),"",IF(COUNTIFS('Vault'!$C$6:$C$1005,"Contract",'Vault'!$D$6:$D$1005,L242)&gt;0,"✓","✗ missing"))</f>
        <v/>
      </c>
      <c r="O242" s="78">
        <f>IF(OR(L242="",M242&lt;&gt;"Yes"),"",IF(COUNTIFS('Vault'!$C$6:$C$1005,"Insurance",'Vault'!$D$6:$D$1005,L242)&gt;0,"✓","✗ missing"))</f>
        <v/>
      </c>
      <c r="P242" s="78">
        <f>IF(OR(L242="",M242&lt;&gt;"Yes"),"",IF(COUNTIFS('Vault'!$C$6:$C$1005,"Quote",'Vault'!$D$6:$D$1005,L242)&gt;0,"✓","✗ missing"))</f>
        <v/>
      </c>
      <c r="Q242" s="78">
        <f>IF(N242="","",IF(AND(N242="✓",O242="✓",P242="✓"),"✓ Complete","Missing documents"))</f>
        <v/>
      </c>
      <c r="R242" s="79">
        <f>IF(Q242="","",IF(Q242="✓ Complete",0,1))</f>
        <v/>
      </c>
    </row>
    <row r="243" ht="20" customHeight="1">
      <c r="B243" s="72" t="n"/>
      <c r="C243" s="72" t="n"/>
      <c r="D243" s="72" t="n"/>
      <c r="E243" s="72" t="n"/>
      <c r="F243" s="72" t="n"/>
      <c r="G243" s="109" t="n"/>
      <c r="H243" s="72" t="n"/>
      <c r="I243" s="78">
        <f>IF(H243="","",HYPERLINK(H243,"Open ↗"))</f>
        <v/>
      </c>
      <c r="J243" s="72" t="n"/>
      <c r="L243" s="116">
        <f>IF('Contractors'!B243="","",'Contractors'!B243)</f>
        <v/>
      </c>
      <c r="M243" s="78">
        <f>IF(L243="","",'Contractors'!L243)</f>
        <v/>
      </c>
      <c r="N243" s="78">
        <f>IF(OR(L243="",M243&lt;&gt;"Yes"),"",IF(COUNTIFS('Vault'!$C$6:$C$1005,"Contract",'Vault'!$D$6:$D$1005,L243)&gt;0,"✓","✗ missing"))</f>
        <v/>
      </c>
      <c r="O243" s="78">
        <f>IF(OR(L243="",M243&lt;&gt;"Yes"),"",IF(COUNTIFS('Vault'!$C$6:$C$1005,"Insurance",'Vault'!$D$6:$D$1005,L243)&gt;0,"✓","✗ missing"))</f>
        <v/>
      </c>
      <c r="P243" s="78">
        <f>IF(OR(L243="",M243&lt;&gt;"Yes"),"",IF(COUNTIFS('Vault'!$C$6:$C$1005,"Quote",'Vault'!$D$6:$D$1005,L243)&gt;0,"✓","✗ missing"))</f>
        <v/>
      </c>
      <c r="Q243" s="78">
        <f>IF(N243="","",IF(AND(N243="✓",O243="✓",P243="✓"),"✓ Complete","Missing documents"))</f>
        <v/>
      </c>
      <c r="R243" s="79">
        <f>IF(Q243="","",IF(Q243="✓ Complete",0,1))</f>
        <v/>
      </c>
    </row>
    <row r="244" ht="20" customHeight="1">
      <c r="B244" s="72" t="n"/>
      <c r="C244" s="72" t="n"/>
      <c r="D244" s="72" t="n"/>
      <c r="E244" s="72" t="n"/>
      <c r="F244" s="72" t="n"/>
      <c r="G244" s="109" t="n"/>
      <c r="H244" s="72" t="n"/>
      <c r="I244" s="78">
        <f>IF(H244="","",HYPERLINK(H244,"Open ↗"))</f>
        <v/>
      </c>
      <c r="J244" s="72" t="n"/>
      <c r="L244" s="116">
        <f>IF('Contractors'!B244="","",'Contractors'!B244)</f>
        <v/>
      </c>
      <c r="M244" s="78">
        <f>IF(L244="","",'Contractors'!L244)</f>
        <v/>
      </c>
      <c r="N244" s="78">
        <f>IF(OR(L244="",M244&lt;&gt;"Yes"),"",IF(COUNTIFS('Vault'!$C$6:$C$1005,"Contract",'Vault'!$D$6:$D$1005,L244)&gt;0,"✓","✗ missing"))</f>
        <v/>
      </c>
      <c r="O244" s="78">
        <f>IF(OR(L244="",M244&lt;&gt;"Yes"),"",IF(COUNTIFS('Vault'!$C$6:$C$1005,"Insurance",'Vault'!$D$6:$D$1005,L244)&gt;0,"✓","✗ missing"))</f>
        <v/>
      </c>
      <c r="P244" s="78">
        <f>IF(OR(L244="",M244&lt;&gt;"Yes"),"",IF(COUNTIFS('Vault'!$C$6:$C$1005,"Quote",'Vault'!$D$6:$D$1005,L244)&gt;0,"✓","✗ missing"))</f>
        <v/>
      </c>
      <c r="Q244" s="78">
        <f>IF(N244="","",IF(AND(N244="✓",O244="✓",P244="✓"),"✓ Complete","Missing documents"))</f>
        <v/>
      </c>
      <c r="R244" s="79">
        <f>IF(Q244="","",IF(Q244="✓ Complete",0,1))</f>
        <v/>
      </c>
    </row>
    <row r="245" ht="20" customHeight="1">
      <c r="B245" s="72" t="n"/>
      <c r="C245" s="72" t="n"/>
      <c r="D245" s="72" t="n"/>
      <c r="E245" s="72" t="n"/>
      <c r="F245" s="72" t="n"/>
      <c r="G245" s="109" t="n"/>
      <c r="H245" s="72" t="n"/>
      <c r="I245" s="78">
        <f>IF(H245="","",HYPERLINK(H245,"Open ↗"))</f>
        <v/>
      </c>
      <c r="J245" s="72" t="n"/>
      <c r="L245" s="116">
        <f>IF('Contractors'!B245="","",'Contractors'!B245)</f>
        <v/>
      </c>
      <c r="M245" s="78">
        <f>IF(L245="","",'Contractors'!L245)</f>
        <v/>
      </c>
      <c r="N245" s="78">
        <f>IF(OR(L245="",M245&lt;&gt;"Yes"),"",IF(COUNTIFS('Vault'!$C$6:$C$1005,"Contract",'Vault'!$D$6:$D$1005,L245)&gt;0,"✓","✗ missing"))</f>
        <v/>
      </c>
      <c r="O245" s="78">
        <f>IF(OR(L245="",M245&lt;&gt;"Yes"),"",IF(COUNTIFS('Vault'!$C$6:$C$1005,"Insurance",'Vault'!$D$6:$D$1005,L245)&gt;0,"✓","✗ missing"))</f>
        <v/>
      </c>
      <c r="P245" s="78">
        <f>IF(OR(L245="",M245&lt;&gt;"Yes"),"",IF(COUNTIFS('Vault'!$C$6:$C$1005,"Quote",'Vault'!$D$6:$D$1005,L245)&gt;0,"✓","✗ missing"))</f>
        <v/>
      </c>
      <c r="Q245" s="78">
        <f>IF(N245="","",IF(AND(N245="✓",O245="✓",P245="✓"),"✓ Complete","Missing documents"))</f>
        <v/>
      </c>
      <c r="R245" s="79">
        <f>IF(Q245="","",IF(Q245="✓ Complete",0,1))</f>
        <v/>
      </c>
    </row>
    <row r="246" ht="20" customHeight="1">
      <c r="B246" s="72" t="n"/>
      <c r="C246" s="72" t="n"/>
      <c r="D246" s="72" t="n"/>
      <c r="E246" s="72" t="n"/>
      <c r="F246" s="72" t="n"/>
      <c r="G246" s="109" t="n"/>
      <c r="H246" s="72" t="n"/>
      <c r="I246" s="78">
        <f>IF(H246="","",HYPERLINK(H246,"Open ↗"))</f>
        <v/>
      </c>
      <c r="J246" s="72" t="n"/>
      <c r="L246" s="116">
        <f>IF('Contractors'!B246="","",'Contractors'!B246)</f>
        <v/>
      </c>
      <c r="M246" s="78">
        <f>IF(L246="","",'Contractors'!L246)</f>
        <v/>
      </c>
      <c r="N246" s="78">
        <f>IF(OR(L246="",M246&lt;&gt;"Yes"),"",IF(COUNTIFS('Vault'!$C$6:$C$1005,"Contract",'Vault'!$D$6:$D$1005,L246)&gt;0,"✓","✗ missing"))</f>
        <v/>
      </c>
      <c r="O246" s="78">
        <f>IF(OR(L246="",M246&lt;&gt;"Yes"),"",IF(COUNTIFS('Vault'!$C$6:$C$1005,"Insurance",'Vault'!$D$6:$D$1005,L246)&gt;0,"✓","✗ missing"))</f>
        <v/>
      </c>
      <c r="P246" s="78">
        <f>IF(OR(L246="",M246&lt;&gt;"Yes"),"",IF(COUNTIFS('Vault'!$C$6:$C$1005,"Quote",'Vault'!$D$6:$D$1005,L246)&gt;0,"✓","✗ missing"))</f>
        <v/>
      </c>
      <c r="Q246" s="78">
        <f>IF(N246="","",IF(AND(N246="✓",O246="✓",P246="✓"),"✓ Complete","Missing documents"))</f>
        <v/>
      </c>
      <c r="R246" s="79">
        <f>IF(Q246="","",IF(Q246="✓ Complete",0,1))</f>
        <v/>
      </c>
    </row>
    <row r="247" ht="20" customHeight="1">
      <c r="B247" s="72" t="n"/>
      <c r="C247" s="72" t="n"/>
      <c r="D247" s="72" t="n"/>
      <c r="E247" s="72" t="n"/>
      <c r="F247" s="72" t="n"/>
      <c r="G247" s="109" t="n"/>
      <c r="H247" s="72" t="n"/>
      <c r="I247" s="78">
        <f>IF(H247="","",HYPERLINK(H247,"Open ↗"))</f>
        <v/>
      </c>
      <c r="J247" s="72" t="n"/>
      <c r="L247" s="116">
        <f>IF('Contractors'!B247="","",'Contractors'!B247)</f>
        <v/>
      </c>
      <c r="M247" s="78">
        <f>IF(L247="","",'Contractors'!L247)</f>
        <v/>
      </c>
      <c r="N247" s="78">
        <f>IF(OR(L247="",M247&lt;&gt;"Yes"),"",IF(COUNTIFS('Vault'!$C$6:$C$1005,"Contract",'Vault'!$D$6:$D$1005,L247)&gt;0,"✓","✗ missing"))</f>
        <v/>
      </c>
      <c r="O247" s="78">
        <f>IF(OR(L247="",M247&lt;&gt;"Yes"),"",IF(COUNTIFS('Vault'!$C$6:$C$1005,"Insurance",'Vault'!$D$6:$D$1005,L247)&gt;0,"✓","✗ missing"))</f>
        <v/>
      </c>
      <c r="P247" s="78">
        <f>IF(OR(L247="",M247&lt;&gt;"Yes"),"",IF(COUNTIFS('Vault'!$C$6:$C$1005,"Quote",'Vault'!$D$6:$D$1005,L247)&gt;0,"✓","✗ missing"))</f>
        <v/>
      </c>
      <c r="Q247" s="78">
        <f>IF(N247="","",IF(AND(N247="✓",O247="✓",P247="✓"),"✓ Complete","Missing documents"))</f>
        <v/>
      </c>
      <c r="R247" s="79">
        <f>IF(Q247="","",IF(Q247="✓ Complete",0,1))</f>
        <v/>
      </c>
    </row>
    <row r="248" ht="20" customHeight="1">
      <c r="B248" s="72" t="n"/>
      <c r="C248" s="72" t="n"/>
      <c r="D248" s="72" t="n"/>
      <c r="E248" s="72" t="n"/>
      <c r="F248" s="72" t="n"/>
      <c r="G248" s="109" t="n"/>
      <c r="H248" s="72" t="n"/>
      <c r="I248" s="78">
        <f>IF(H248="","",HYPERLINK(H248,"Open ↗"))</f>
        <v/>
      </c>
      <c r="J248" s="72" t="n"/>
      <c r="L248" s="116">
        <f>IF('Contractors'!B248="","",'Contractors'!B248)</f>
        <v/>
      </c>
      <c r="M248" s="78">
        <f>IF(L248="","",'Contractors'!L248)</f>
        <v/>
      </c>
      <c r="N248" s="78">
        <f>IF(OR(L248="",M248&lt;&gt;"Yes"),"",IF(COUNTIFS('Vault'!$C$6:$C$1005,"Contract",'Vault'!$D$6:$D$1005,L248)&gt;0,"✓","✗ missing"))</f>
        <v/>
      </c>
      <c r="O248" s="78">
        <f>IF(OR(L248="",M248&lt;&gt;"Yes"),"",IF(COUNTIFS('Vault'!$C$6:$C$1005,"Insurance",'Vault'!$D$6:$D$1005,L248)&gt;0,"✓","✗ missing"))</f>
        <v/>
      </c>
      <c r="P248" s="78">
        <f>IF(OR(L248="",M248&lt;&gt;"Yes"),"",IF(COUNTIFS('Vault'!$C$6:$C$1005,"Quote",'Vault'!$D$6:$D$1005,L248)&gt;0,"✓","✗ missing"))</f>
        <v/>
      </c>
      <c r="Q248" s="78">
        <f>IF(N248="","",IF(AND(N248="✓",O248="✓",P248="✓"),"✓ Complete","Missing documents"))</f>
        <v/>
      </c>
      <c r="R248" s="79">
        <f>IF(Q248="","",IF(Q248="✓ Complete",0,1))</f>
        <v/>
      </c>
    </row>
    <row r="249" ht="20" customHeight="1">
      <c r="B249" s="72" t="n"/>
      <c r="C249" s="72" t="n"/>
      <c r="D249" s="72" t="n"/>
      <c r="E249" s="72" t="n"/>
      <c r="F249" s="72" t="n"/>
      <c r="G249" s="109" t="n"/>
      <c r="H249" s="72" t="n"/>
      <c r="I249" s="78">
        <f>IF(H249="","",HYPERLINK(H249,"Open ↗"))</f>
        <v/>
      </c>
      <c r="J249" s="72" t="n"/>
      <c r="L249" s="116">
        <f>IF('Contractors'!B249="","",'Contractors'!B249)</f>
        <v/>
      </c>
      <c r="M249" s="78">
        <f>IF(L249="","",'Contractors'!L249)</f>
        <v/>
      </c>
      <c r="N249" s="78">
        <f>IF(OR(L249="",M249&lt;&gt;"Yes"),"",IF(COUNTIFS('Vault'!$C$6:$C$1005,"Contract",'Vault'!$D$6:$D$1005,L249)&gt;0,"✓","✗ missing"))</f>
        <v/>
      </c>
      <c r="O249" s="78">
        <f>IF(OR(L249="",M249&lt;&gt;"Yes"),"",IF(COUNTIFS('Vault'!$C$6:$C$1005,"Insurance",'Vault'!$D$6:$D$1005,L249)&gt;0,"✓","✗ missing"))</f>
        <v/>
      </c>
      <c r="P249" s="78">
        <f>IF(OR(L249="",M249&lt;&gt;"Yes"),"",IF(COUNTIFS('Vault'!$C$6:$C$1005,"Quote",'Vault'!$D$6:$D$1005,L249)&gt;0,"✓","✗ missing"))</f>
        <v/>
      </c>
      <c r="Q249" s="78">
        <f>IF(N249="","",IF(AND(N249="✓",O249="✓",P249="✓"),"✓ Complete","Missing documents"))</f>
        <v/>
      </c>
      <c r="R249" s="79">
        <f>IF(Q249="","",IF(Q249="✓ Complete",0,1))</f>
        <v/>
      </c>
    </row>
    <row r="250" ht="20" customHeight="1">
      <c r="B250" s="72" t="n"/>
      <c r="C250" s="72" t="n"/>
      <c r="D250" s="72" t="n"/>
      <c r="E250" s="72" t="n"/>
      <c r="F250" s="72" t="n"/>
      <c r="G250" s="109" t="n"/>
      <c r="H250" s="72" t="n"/>
      <c r="I250" s="78">
        <f>IF(H250="","",HYPERLINK(H250,"Open ↗"))</f>
        <v/>
      </c>
      <c r="J250" s="72" t="n"/>
      <c r="L250" s="116">
        <f>IF('Contractors'!B250="","",'Contractors'!B250)</f>
        <v/>
      </c>
      <c r="M250" s="78">
        <f>IF(L250="","",'Contractors'!L250)</f>
        <v/>
      </c>
      <c r="N250" s="78">
        <f>IF(OR(L250="",M250&lt;&gt;"Yes"),"",IF(COUNTIFS('Vault'!$C$6:$C$1005,"Contract",'Vault'!$D$6:$D$1005,L250)&gt;0,"✓","✗ missing"))</f>
        <v/>
      </c>
      <c r="O250" s="78">
        <f>IF(OR(L250="",M250&lt;&gt;"Yes"),"",IF(COUNTIFS('Vault'!$C$6:$C$1005,"Insurance",'Vault'!$D$6:$D$1005,L250)&gt;0,"✓","✗ missing"))</f>
        <v/>
      </c>
      <c r="P250" s="78">
        <f>IF(OR(L250="",M250&lt;&gt;"Yes"),"",IF(COUNTIFS('Vault'!$C$6:$C$1005,"Quote",'Vault'!$D$6:$D$1005,L250)&gt;0,"✓","✗ missing"))</f>
        <v/>
      </c>
      <c r="Q250" s="78">
        <f>IF(N250="","",IF(AND(N250="✓",O250="✓",P250="✓"),"✓ Complete","Missing documents"))</f>
        <v/>
      </c>
      <c r="R250" s="79">
        <f>IF(Q250="","",IF(Q250="✓ Complete",0,1))</f>
        <v/>
      </c>
    </row>
    <row r="251" ht="20" customHeight="1">
      <c r="B251" s="72" t="n"/>
      <c r="C251" s="72" t="n"/>
      <c r="D251" s="72" t="n"/>
      <c r="E251" s="72" t="n"/>
      <c r="F251" s="72" t="n"/>
      <c r="G251" s="109" t="n"/>
      <c r="H251" s="72" t="n"/>
      <c r="I251" s="78">
        <f>IF(H251="","",HYPERLINK(H251,"Open ↗"))</f>
        <v/>
      </c>
      <c r="J251" s="72" t="n"/>
      <c r="L251" s="116">
        <f>IF('Contractors'!B251="","",'Contractors'!B251)</f>
        <v/>
      </c>
      <c r="M251" s="78">
        <f>IF(L251="","",'Contractors'!L251)</f>
        <v/>
      </c>
      <c r="N251" s="78">
        <f>IF(OR(L251="",M251&lt;&gt;"Yes"),"",IF(COUNTIFS('Vault'!$C$6:$C$1005,"Contract",'Vault'!$D$6:$D$1005,L251)&gt;0,"✓","✗ missing"))</f>
        <v/>
      </c>
      <c r="O251" s="78">
        <f>IF(OR(L251="",M251&lt;&gt;"Yes"),"",IF(COUNTIFS('Vault'!$C$6:$C$1005,"Insurance",'Vault'!$D$6:$D$1005,L251)&gt;0,"✓","✗ missing"))</f>
        <v/>
      </c>
      <c r="P251" s="78">
        <f>IF(OR(L251="",M251&lt;&gt;"Yes"),"",IF(COUNTIFS('Vault'!$C$6:$C$1005,"Quote",'Vault'!$D$6:$D$1005,L251)&gt;0,"✓","✗ missing"))</f>
        <v/>
      </c>
      <c r="Q251" s="78">
        <f>IF(N251="","",IF(AND(N251="✓",O251="✓",P251="✓"),"✓ Complete","Missing documents"))</f>
        <v/>
      </c>
      <c r="R251" s="79">
        <f>IF(Q251="","",IF(Q251="✓ Complete",0,1))</f>
        <v/>
      </c>
    </row>
    <row r="252" ht="20" customHeight="1">
      <c r="B252" s="72" t="n"/>
      <c r="C252" s="72" t="n"/>
      <c r="D252" s="72" t="n"/>
      <c r="E252" s="72" t="n"/>
      <c r="F252" s="72" t="n"/>
      <c r="G252" s="109" t="n"/>
      <c r="H252" s="72" t="n"/>
      <c r="I252" s="78">
        <f>IF(H252="","",HYPERLINK(H252,"Open ↗"))</f>
        <v/>
      </c>
      <c r="J252" s="72" t="n"/>
      <c r="L252" s="116">
        <f>IF('Contractors'!B252="","",'Contractors'!B252)</f>
        <v/>
      </c>
      <c r="M252" s="78">
        <f>IF(L252="","",'Contractors'!L252)</f>
        <v/>
      </c>
      <c r="N252" s="78">
        <f>IF(OR(L252="",M252&lt;&gt;"Yes"),"",IF(COUNTIFS('Vault'!$C$6:$C$1005,"Contract",'Vault'!$D$6:$D$1005,L252)&gt;0,"✓","✗ missing"))</f>
        <v/>
      </c>
      <c r="O252" s="78">
        <f>IF(OR(L252="",M252&lt;&gt;"Yes"),"",IF(COUNTIFS('Vault'!$C$6:$C$1005,"Insurance",'Vault'!$D$6:$D$1005,L252)&gt;0,"✓","✗ missing"))</f>
        <v/>
      </c>
      <c r="P252" s="78">
        <f>IF(OR(L252="",M252&lt;&gt;"Yes"),"",IF(COUNTIFS('Vault'!$C$6:$C$1005,"Quote",'Vault'!$D$6:$D$1005,L252)&gt;0,"✓","✗ missing"))</f>
        <v/>
      </c>
      <c r="Q252" s="78">
        <f>IF(N252="","",IF(AND(N252="✓",O252="✓",P252="✓"),"✓ Complete","Missing documents"))</f>
        <v/>
      </c>
      <c r="R252" s="79">
        <f>IF(Q252="","",IF(Q252="✓ Complete",0,1))</f>
        <v/>
      </c>
    </row>
    <row r="253" ht="20" customHeight="1">
      <c r="B253" s="72" t="n"/>
      <c r="C253" s="72" t="n"/>
      <c r="D253" s="72" t="n"/>
      <c r="E253" s="72" t="n"/>
      <c r="F253" s="72" t="n"/>
      <c r="G253" s="109" t="n"/>
      <c r="H253" s="72" t="n"/>
      <c r="I253" s="78">
        <f>IF(H253="","",HYPERLINK(H253,"Open ↗"))</f>
        <v/>
      </c>
      <c r="J253" s="72" t="n"/>
      <c r="L253" s="116">
        <f>IF('Contractors'!B253="","",'Contractors'!B253)</f>
        <v/>
      </c>
      <c r="M253" s="78">
        <f>IF(L253="","",'Contractors'!L253)</f>
        <v/>
      </c>
      <c r="N253" s="78">
        <f>IF(OR(L253="",M253&lt;&gt;"Yes"),"",IF(COUNTIFS('Vault'!$C$6:$C$1005,"Contract",'Vault'!$D$6:$D$1005,L253)&gt;0,"✓","✗ missing"))</f>
        <v/>
      </c>
      <c r="O253" s="78">
        <f>IF(OR(L253="",M253&lt;&gt;"Yes"),"",IF(COUNTIFS('Vault'!$C$6:$C$1005,"Insurance",'Vault'!$D$6:$D$1005,L253)&gt;0,"✓","✗ missing"))</f>
        <v/>
      </c>
      <c r="P253" s="78">
        <f>IF(OR(L253="",M253&lt;&gt;"Yes"),"",IF(COUNTIFS('Vault'!$C$6:$C$1005,"Quote",'Vault'!$D$6:$D$1005,L253)&gt;0,"✓","✗ missing"))</f>
        <v/>
      </c>
      <c r="Q253" s="78">
        <f>IF(N253="","",IF(AND(N253="✓",O253="✓",P253="✓"),"✓ Complete","Missing documents"))</f>
        <v/>
      </c>
      <c r="R253" s="79">
        <f>IF(Q253="","",IF(Q253="✓ Complete",0,1))</f>
        <v/>
      </c>
    </row>
    <row r="254" ht="20" customHeight="1">
      <c r="B254" s="72" t="n"/>
      <c r="C254" s="72" t="n"/>
      <c r="D254" s="72" t="n"/>
      <c r="E254" s="72" t="n"/>
      <c r="F254" s="72" t="n"/>
      <c r="G254" s="109" t="n"/>
      <c r="H254" s="72" t="n"/>
      <c r="I254" s="78">
        <f>IF(H254="","",HYPERLINK(H254,"Open ↗"))</f>
        <v/>
      </c>
      <c r="J254" s="72" t="n"/>
      <c r="L254" s="116">
        <f>IF('Contractors'!B254="","",'Contractors'!B254)</f>
        <v/>
      </c>
      <c r="M254" s="78">
        <f>IF(L254="","",'Contractors'!L254)</f>
        <v/>
      </c>
      <c r="N254" s="78">
        <f>IF(OR(L254="",M254&lt;&gt;"Yes"),"",IF(COUNTIFS('Vault'!$C$6:$C$1005,"Contract",'Vault'!$D$6:$D$1005,L254)&gt;0,"✓","✗ missing"))</f>
        <v/>
      </c>
      <c r="O254" s="78">
        <f>IF(OR(L254="",M254&lt;&gt;"Yes"),"",IF(COUNTIFS('Vault'!$C$6:$C$1005,"Insurance",'Vault'!$D$6:$D$1005,L254)&gt;0,"✓","✗ missing"))</f>
        <v/>
      </c>
      <c r="P254" s="78">
        <f>IF(OR(L254="",M254&lt;&gt;"Yes"),"",IF(COUNTIFS('Vault'!$C$6:$C$1005,"Quote",'Vault'!$D$6:$D$1005,L254)&gt;0,"✓","✗ missing"))</f>
        <v/>
      </c>
      <c r="Q254" s="78">
        <f>IF(N254="","",IF(AND(N254="✓",O254="✓",P254="✓"),"✓ Complete","Missing documents"))</f>
        <v/>
      </c>
      <c r="R254" s="79">
        <f>IF(Q254="","",IF(Q254="✓ Complete",0,1))</f>
        <v/>
      </c>
    </row>
    <row r="255" ht="20" customHeight="1">
      <c r="B255" s="72" t="n"/>
      <c r="C255" s="72" t="n"/>
      <c r="D255" s="72" t="n"/>
      <c r="E255" s="72" t="n"/>
      <c r="F255" s="72" t="n"/>
      <c r="G255" s="109" t="n"/>
      <c r="H255" s="72" t="n"/>
      <c r="I255" s="78">
        <f>IF(H255="","",HYPERLINK(H255,"Open ↗"))</f>
        <v/>
      </c>
      <c r="J255" s="72" t="n"/>
      <c r="L255" s="116">
        <f>IF('Contractors'!B255="","",'Contractors'!B255)</f>
        <v/>
      </c>
      <c r="M255" s="78">
        <f>IF(L255="","",'Contractors'!L255)</f>
        <v/>
      </c>
      <c r="N255" s="78">
        <f>IF(OR(L255="",M255&lt;&gt;"Yes"),"",IF(COUNTIFS('Vault'!$C$6:$C$1005,"Contract",'Vault'!$D$6:$D$1005,L255)&gt;0,"✓","✗ missing"))</f>
        <v/>
      </c>
      <c r="O255" s="78">
        <f>IF(OR(L255="",M255&lt;&gt;"Yes"),"",IF(COUNTIFS('Vault'!$C$6:$C$1005,"Insurance",'Vault'!$D$6:$D$1005,L255)&gt;0,"✓","✗ missing"))</f>
        <v/>
      </c>
      <c r="P255" s="78">
        <f>IF(OR(L255="",M255&lt;&gt;"Yes"),"",IF(COUNTIFS('Vault'!$C$6:$C$1005,"Quote",'Vault'!$D$6:$D$1005,L255)&gt;0,"✓","✗ missing"))</f>
        <v/>
      </c>
      <c r="Q255" s="78">
        <f>IF(N255="","",IF(AND(N255="✓",O255="✓",P255="✓"),"✓ Complete","Missing documents"))</f>
        <v/>
      </c>
      <c r="R255" s="79">
        <f>IF(Q255="","",IF(Q255="✓ Complete",0,1))</f>
        <v/>
      </c>
    </row>
    <row r="256" ht="20" customHeight="1">
      <c r="B256" s="72" t="n"/>
      <c r="C256" s="72" t="n"/>
      <c r="D256" s="72" t="n"/>
      <c r="E256" s="72" t="n"/>
      <c r="F256" s="72" t="n"/>
      <c r="G256" s="109" t="n"/>
      <c r="H256" s="72" t="n"/>
      <c r="I256" s="78">
        <f>IF(H256="","",HYPERLINK(H256,"Open ↗"))</f>
        <v/>
      </c>
      <c r="J256" s="72" t="n"/>
      <c r="L256" s="116">
        <f>IF('Contractors'!B256="","",'Contractors'!B256)</f>
        <v/>
      </c>
      <c r="M256" s="78">
        <f>IF(L256="","",'Contractors'!L256)</f>
        <v/>
      </c>
      <c r="N256" s="78">
        <f>IF(OR(L256="",M256&lt;&gt;"Yes"),"",IF(COUNTIFS('Vault'!$C$6:$C$1005,"Contract",'Vault'!$D$6:$D$1005,L256)&gt;0,"✓","✗ missing"))</f>
        <v/>
      </c>
      <c r="O256" s="78">
        <f>IF(OR(L256="",M256&lt;&gt;"Yes"),"",IF(COUNTIFS('Vault'!$C$6:$C$1005,"Insurance",'Vault'!$D$6:$D$1005,L256)&gt;0,"✓","✗ missing"))</f>
        <v/>
      </c>
      <c r="P256" s="78">
        <f>IF(OR(L256="",M256&lt;&gt;"Yes"),"",IF(COUNTIFS('Vault'!$C$6:$C$1005,"Quote",'Vault'!$D$6:$D$1005,L256)&gt;0,"✓","✗ missing"))</f>
        <v/>
      </c>
      <c r="Q256" s="78">
        <f>IF(N256="","",IF(AND(N256="✓",O256="✓",P256="✓"),"✓ Complete","Missing documents"))</f>
        <v/>
      </c>
      <c r="R256" s="79">
        <f>IF(Q256="","",IF(Q256="✓ Complete",0,1))</f>
        <v/>
      </c>
    </row>
    <row r="257" ht="20" customHeight="1">
      <c r="B257" s="72" t="n"/>
      <c r="C257" s="72" t="n"/>
      <c r="D257" s="72" t="n"/>
      <c r="E257" s="72" t="n"/>
      <c r="F257" s="72" t="n"/>
      <c r="G257" s="109" t="n"/>
      <c r="H257" s="72" t="n"/>
      <c r="I257" s="78">
        <f>IF(H257="","",HYPERLINK(H257,"Open ↗"))</f>
        <v/>
      </c>
      <c r="J257" s="72" t="n"/>
      <c r="L257" s="116">
        <f>IF('Contractors'!B257="","",'Contractors'!B257)</f>
        <v/>
      </c>
      <c r="M257" s="78">
        <f>IF(L257="","",'Contractors'!L257)</f>
        <v/>
      </c>
      <c r="N257" s="78">
        <f>IF(OR(L257="",M257&lt;&gt;"Yes"),"",IF(COUNTIFS('Vault'!$C$6:$C$1005,"Contract",'Vault'!$D$6:$D$1005,L257)&gt;0,"✓","✗ missing"))</f>
        <v/>
      </c>
      <c r="O257" s="78">
        <f>IF(OR(L257="",M257&lt;&gt;"Yes"),"",IF(COUNTIFS('Vault'!$C$6:$C$1005,"Insurance",'Vault'!$D$6:$D$1005,L257)&gt;0,"✓","✗ missing"))</f>
        <v/>
      </c>
      <c r="P257" s="78">
        <f>IF(OR(L257="",M257&lt;&gt;"Yes"),"",IF(COUNTIFS('Vault'!$C$6:$C$1005,"Quote",'Vault'!$D$6:$D$1005,L257)&gt;0,"✓","✗ missing"))</f>
        <v/>
      </c>
      <c r="Q257" s="78">
        <f>IF(N257="","",IF(AND(N257="✓",O257="✓",P257="✓"),"✓ Complete","Missing documents"))</f>
        <v/>
      </c>
      <c r="R257" s="79">
        <f>IF(Q257="","",IF(Q257="✓ Complete",0,1))</f>
        <v/>
      </c>
    </row>
    <row r="258" ht="20" customHeight="1">
      <c r="B258" s="72" t="n"/>
      <c r="C258" s="72" t="n"/>
      <c r="D258" s="72" t="n"/>
      <c r="E258" s="72" t="n"/>
      <c r="F258" s="72" t="n"/>
      <c r="G258" s="109" t="n"/>
      <c r="H258" s="72" t="n"/>
      <c r="I258" s="78">
        <f>IF(H258="","",HYPERLINK(H258,"Open ↗"))</f>
        <v/>
      </c>
      <c r="J258" s="72" t="n"/>
      <c r="L258" s="116">
        <f>IF('Contractors'!B258="","",'Contractors'!B258)</f>
        <v/>
      </c>
      <c r="M258" s="78">
        <f>IF(L258="","",'Contractors'!L258)</f>
        <v/>
      </c>
      <c r="N258" s="78">
        <f>IF(OR(L258="",M258&lt;&gt;"Yes"),"",IF(COUNTIFS('Vault'!$C$6:$C$1005,"Contract",'Vault'!$D$6:$D$1005,L258)&gt;0,"✓","✗ missing"))</f>
        <v/>
      </c>
      <c r="O258" s="78">
        <f>IF(OR(L258="",M258&lt;&gt;"Yes"),"",IF(COUNTIFS('Vault'!$C$6:$C$1005,"Insurance",'Vault'!$D$6:$D$1005,L258)&gt;0,"✓","✗ missing"))</f>
        <v/>
      </c>
      <c r="P258" s="78">
        <f>IF(OR(L258="",M258&lt;&gt;"Yes"),"",IF(COUNTIFS('Vault'!$C$6:$C$1005,"Quote",'Vault'!$D$6:$D$1005,L258)&gt;0,"✓","✗ missing"))</f>
        <v/>
      </c>
      <c r="Q258" s="78">
        <f>IF(N258="","",IF(AND(N258="✓",O258="✓",P258="✓"),"✓ Complete","Missing documents"))</f>
        <v/>
      </c>
      <c r="R258" s="79">
        <f>IF(Q258="","",IF(Q258="✓ Complete",0,1))</f>
        <v/>
      </c>
    </row>
    <row r="259" ht="20" customHeight="1">
      <c r="B259" s="72" t="n"/>
      <c r="C259" s="72" t="n"/>
      <c r="D259" s="72" t="n"/>
      <c r="E259" s="72" t="n"/>
      <c r="F259" s="72" t="n"/>
      <c r="G259" s="109" t="n"/>
      <c r="H259" s="72" t="n"/>
      <c r="I259" s="78">
        <f>IF(H259="","",HYPERLINK(H259,"Open ↗"))</f>
        <v/>
      </c>
      <c r="J259" s="72" t="n"/>
      <c r="L259" s="116">
        <f>IF('Contractors'!B259="","",'Contractors'!B259)</f>
        <v/>
      </c>
      <c r="M259" s="78">
        <f>IF(L259="","",'Contractors'!L259)</f>
        <v/>
      </c>
      <c r="N259" s="78">
        <f>IF(OR(L259="",M259&lt;&gt;"Yes"),"",IF(COUNTIFS('Vault'!$C$6:$C$1005,"Contract",'Vault'!$D$6:$D$1005,L259)&gt;0,"✓","✗ missing"))</f>
        <v/>
      </c>
      <c r="O259" s="78">
        <f>IF(OR(L259="",M259&lt;&gt;"Yes"),"",IF(COUNTIFS('Vault'!$C$6:$C$1005,"Insurance",'Vault'!$D$6:$D$1005,L259)&gt;0,"✓","✗ missing"))</f>
        <v/>
      </c>
      <c r="P259" s="78">
        <f>IF(OR(L259="",M259&lt;&gt;"Yes"),"",IF(COUNTIFS('Vault'!$C$6:$C$1005,"Quote",'Vault'!$D$6:$D$1005,L259)&gt;0,"✓","✗ missing"))</f>
        <v/>
      </c>
      <c r="Q259" s="78">
        <f>IF(N259="","",IF(AND(N259="✓",O259="✓",P259="✓"),"✓ Complete","Missing documents"))</f>
        <v/>
      </c>
      <c r="R259" s="79">
        <f>IF(Q259="","",IF(Q259="✓ Complete",0,1))</f>
        <v/>
      </c>
    </row>
    <row r="260" ht="20" customHeight="1">
      <c r="B260" s="72" t="n"/>
      <c r="C260" s="72" t="n"/>
      <c r="D260" s="72" t="n"/>
      <c r="E260" s="72" t="n"/>
      <c r="F260" s="72" t="n"/>
      <c r="G260" s="109" t="n"/>
      <c r="H260" s="72" t="n"/>
      <c r="I260" s="78">
        <f>IF(H260="","",HYPERLINK(H260,"Open ↗"))</f>
        <v/>
      </c>
      <c r="J260" s="72" t="n"/>
      <c r="L260" s="116">
        <f>IF('Contractors'!B260="","",'Contractors'!B260)</f>
        <v/>
      </c>
      <c r="M260" s="78">
        <f>IF(L260="","",'Contractors'!L260)</f>
        <v/>
      </c>
      <c r="N260" s="78">
        <f>IF(OR(L260="",M260&lt;&gt;"Yes"),"",IF(COUNTIFS('Vault'!$C$6:$C$1005,"Contract",'Vault'!$D$6:$D$1005,L260)&gt;0,"✓","✗ missing"))</f>
        <v/>
      </c>
      <c r="O260" s="78">
        <f>IF(OR(L260="",M260&lt;&gt;"Yes"),"",IF(COUNTIFS('Vault'!$C$6:$C$1005,"Insurance",'Vault'!$D$6:$D$1005,L260)&gt;0,"✓","✗ missing"))</f>
        <v/>
      </c>
      <c r="P260" s="78">
        <f>IF(OR(L260="",M260&lt;&gt;"Yes"),"",IF(COUNTIFS('Vault'!$C$6:$C$1005,"Quote",'Vault'!$D$6:$D$1005,L260)&gt;0,"✓","✗ missing"))</f>
        <v/>
      </c>
      <c r="Q260" s="78">
        <f>IF(N260="","",IF(AND(N260="✓",O260="✓",P260="✓"),"✓ Complete","Missing documents"))</f>
        <v/>
      </c>
      <c r="R260" s="79">
        <f>IF(Q260="","",IF(Q260="✓ Complete",0,1))</f>
        <v/>
      </c>
    </row>
    <row r="261" ht="20" customHeight="1">
      <c r="B261" s="72" t="n"/>
      <c r="C261" s="72" t="n"/>
      <c r="D261" s="72" t="n"/>
      <c r="E261" s="72" t="n"/>
      <c r="F261" s="72" t="n"/>
      <c r="G261" s="109" t="n"/>
      <c r="H261" s="72" t="n"/>
      <c r="I261" s="78">
        <f>IF(H261="","",HYPERLINK(H261,"Open ↗"))</f>
        <v/>
      </c>
      <c r="J261" s="72" t="n"/>
      <c r="L261" s="116">
        <f>IF('Contractors'!B261="","",'Contractors'!B261)</f>
        <v/>
      </c>
      <c r="M261" s="78">
        <f>IF(L261="","",'Contractors'!L261)</f>
        <v/>
      </c>
      <c r="N261" s="78">
        <f>IF(OR(L261="",M261&lt;&gt;"Yes"),"",IF(COUNTIFS('Vault'!$C$6:$C$1005,"Contract",'Vault'!$D$6:$D$1005,L261)&gt;0,"✓","✗ missing"))</f>
        <v/>
      </c>
      <c r="O261" s="78">
        <f>IF(OR(L261="",M261&lt;&gt;"Yes"),"",IF(COUNTIFS('Vault'!$C$6:$C$1005,"Insurance",'Vault'!$D$6:$D$1005,L261)&gt;0,"✓","✗ missing"))</f>
        <v/>
      </c>
      <c r="P261" s="78">
        <f>IF(OR(L261="",M261&lt;&gt;"Yes"),"",IF(COUNTIFS('Vault'!$C$6:$C$1005,"Quote",'Vault'!$D$6:$D$1005,L261)&gt;0,"✓","✗ missing"))</f>
        <v/>
      </c>
      <c r="Q261" s="78">
        <f>IF(N261="","",IF(AND(N261="✓",O261="✓",P261="✓"),"✓ Complete","Missing documents"))</f>
        <v/>
      </c>
      <c r="R261" s="79">
        <f>IF(Q261="","",IF(Q261="✓ Complete",0,1))</f>
        <v/>
      </c>
    </row>
    <row r="262" ht="20" customHeight="1">
      <c r="B262" s="72" t="n"/>
      <c r="C262" s="72" t="n"/>
      <c r="D262" s="72" t="n"/>
      <c r="E262" s="72" t="n"/>
      <c r="F262" s="72" t="n"/>
      <c r="G262" s="109" t="n"/>
      <c r="H262" s="72" t="n"/>
      <c r="I262" s="78">
        <f>IF(H262="","",HYPERLINK(H262,"Open ↗"))</f>
        <v/>
      </c>
      <c r="J262" s="72" t="n"/>
      <c r="L262" s="116">
        <f>IF('Contractors'!B262="","",'Contractors'!B262)</f>
        <v/>
      </c>
      <c r="M262" s="78">
        <f>IF(L262="","",'Contractors'!L262)</f>
        <v/>
      </c>
      <c r="N262" s="78">
        <f>IF(OR(L262="",M262&lt;&gt;"Yes"),"",IF(COUNTIFS('Vault'!$C$6:$C$1005,"Contract",'Vault'!$D$6:$D$1005,L262)&gt;0,"✓","✗ missing"))</f>
        <v/>
      </c>
      <c r="O262" s="78">
        <f>IF(OR(L262="",M262&lt;&gt;"Yes"),"",IF(COUNTIFS('Vault'!$C$6:$C$1005,"Insurance",'Vault'!$D$6:$D$1005,L262)&gt;0,"✓","✗ missing"))</f>
        <v/>
      </c>
      <c r="P262" s="78">
        <f>IF(OR(L262="",M262&lt;&gt;"Yes"),"",IF(COUNTIFS('Vault'!$C$6:$C$1005,"Quote",'Vault'!$D$6:$D$1005,L262)&gt;0,"✓","✗ missing"))</f>
        <v/>
      </c>
      <c r="Q262" s="78">
        <f>IF(N262="","",IF(AND(N262="✓",O262="✓",P262="✓"),"✓ Complete","Missing documents"))</f>
        <v/>
      </c>
      <c r="R262" s="79">
        <f>IF(Q262="","",IF(Q262="✓ Complete",0,1))</f>
        <v/>
      </c>
    </row>
    <row r="263" ht="20" customHeight="1">
      <c r="B263" s="72" t="n"/>
      <c r="C263" s="72" t="n"/>
      <c r="D263" s="72" t="n"/>
      <c r="E263" s="72" t="n"/>
      <c r="F263" s="72" t="n"/>
      <c r="G263" s="109" t="n"/>
      <c r="H263" s="72" t="n"/>
      <c r="I263" s="78">
        <f>IF(H263="","",HYPERLINK(H263,"Open ↗"))</f>
        <v/>
      </c>
      <c r="J263" s="72" t="n"/>
      <c r="L263" s="116">
        <f>IF('Contractors'!B263="","",'Contractors'!B263)</f>
        <v/>
      </c>
      <c r="M263" s="78">
        <f>IF(L263="","",'Contractors'!L263)</f>
        <v/>
      </c>
      <c r="N263" s="78">
        <f>IF(OR(L263="",M263&lt;&gt;"Yes"),"",IF(COUNTIFS('Vault'!$C$6:$C$1005,"Contract",'Vault'!$D$6:$D$1005,L263)&gt;0,"✓","✗ missing"))</f>
        <v/>
      </c>
      <c r="O263" s="78">
        <f>IF(OR(L263="",M263&lt;&gt;"Yes"),"",IF(COUNTIFS('Vault'!$C$6:$C$1005,"Insurance",'Vault'!$D$6:$D$1005,L263)&gt;0,"✓","✗ missing"))</f>
        <v/>
      </c>
      <c r="P263" s="78">
        <f>IF(OR(L263="",M263&lt;&gt;"Yes"),"",IF(COUNTIFS('Vault'!$C$6:$C$1005,"Quote",'Vault'!$D$6:$D$1005,L263)&gt;0,"✓","✗ missing"))</f>
        <v/>
      </c>
      <c r="Q263" s="78">
        <f>IF(N263="","",IF(AND(N263="✓",O263="✓",P263="✓"),"✓ Complete","Missing documents"))</f>
        <v/>
      </c>
      <c r="R263" s="79">
        <f>IF(Q263="","",IF(Q263="✓ Complete",0,1))</f>
        <v/>
      </c>
    </row>
    <row r="264" ht="20" customHeight="1">
      <c r="B264" s="72" t="n"/>
      <c r="C264" s="72" t="n"/>
      <c r="D264" s="72" t="n"/>
      <c r="E264" s="72" t="n"/>
      <c r="F264" s="72" t="n"/>
      <c r="G264" s="109" t="n"/>
      <c r="H264" s="72" t="n"/>
      <c r="I264" s="78">
        <f>IF(H264="","",HYPERLINK(H264,"Open ↗"))</f>
        <v/>
      </c>
      <c r="J264" s="72" t="n"/>
      <c r="L264" s="116">
        <f>IF('Contractors'!B264="","",'Contractors'!B264)</f>
        <v/>
      </c>
      <c r="M264" s="78">
        <f>IF(L264="","",'Contractors'!L264)</f>
        <v/>
      </c>
      <c r="N264" s="78">
        <f>IF(OR(L264="",M264&lt;&gt;"Yes"),"",IF(COUNTIFS('Vault'!$C$6:$C$1005,"Contract",'Vault'!$D$6:$D$1005,L264)&gt;0,"✓","✗ missing"))</f>
        <v/>
      </c>
      <c r="O264" s="78">
        <f>IF(OR(L264="",M264&lt;&gt;"Yes"),"",IF(COUNTIFS('Vault'!$C$6:$C$1005,"Insurance",'Vault'!$D$6:$D$1005,L264)&gt;0,"✓","✗ missing"))</f>
        <v/>
      </c>
      <c r="P264" s="78">
        <f>IF(OR(L264="",M264&lt;&gt;"Yes"),"",IF(COUNTIFS('Vault'!$C$6:$C$1005,"Quote",'Vault'!$D$6:$D$1005,L264)&gt;0,"✓","✗ missing"))</f>
        <v/>
      </c>
      <c r="Q264" s="78">
        <f>IF(N264="","",IF(AND(N264="✓",O264="✓",P264="✓"),"✓ Complete","Missing documents"))</f>
        <v/>
      </c>
      <c r="R264" s="79">
        <f>IF(Q264="","",IF(Q264="✓ Complete",0,1))</f>
        <v/>
      </c>
    </row>
    <row r="265" ht="20" customHeight="1">
      <c r="B265" s="72" t="n"/>
      <c r="C265" s="72" t="n"/>
      <c r="D265" s="72" t="n"/>
      <c r="E265" s="72" t="n"/>
      <c r="F265" s="72" t="n"/>
      <c r="G265" s="109" t="n"/>
      <c r="H265" s="72" t="n"/>
      <c r="I265" s="78">
        <f>IF(H265="","",HYPERLINK(H265,"Open ↗"))</f>
        <v/>
      </c>
      <c r="J265" s="72" t="n"/>
      <c r="L265" s="116">
        <f>IF('Contractors'!B265="","",'Contractors'!B265)</f>
        <v/>
      </c>
      <c r="M265" s="78">
        <f>IF(L265="","",'Contractors'!L265)</f>
        <v/>
      </c>
      <c r="N265" s="78">
        <f>IF(OR(L265="",M265&lt;&gt;"Yes"),"",IF(COUNTIFS('Vault'!$C$6:$C$1005,"Contract",'Vault'!$D$6:$D$1005,L265)&gt;0,"✓","✗ missing"))</f>
        <v/>
      </c>
      <c r="O265" s="78">
        <f>IF(OR(L265="",M265&lt;&gt;"Yes"),"",IF(COUNTIFS('Vault'!$C$6:$C$1005,"Insurance",'Vault'!$D$6:$D$1005,L265)&gt;0,"✓","✗ missing"))</f>
        <v/>
      </c>
      <c r="P265" s="78">
        <f>IF(OR(L265="",M265&lt;&gt;"Yes"),"",IF(COUNTIFS('Vault'!$C$6:$C$1005,"Quote",'Vault'!$D$6:$D$1005,L265)&gt;0,"✓","✗ missing"))</f>
        <v/>
      </c>
      <c r="Q265" s="78">
        <f>IF(N265="","",IF(AND(N265="✓",O265="✓",P265="✓"),"✓ Complete","Missing documents"))</f>
        <v/>
      </c>
      <c r="R265" s="79">
        <f>IF(Q265="","",IF(Q265="✓ Complete",0,1))</f>
        <v/>
      </c>
    </row>
    <row r="266" ht="20" customHeight="1">
      <c r="B266" s="72" t="n"/>
      <c r="C266" s="72" t="n"/>
      <c r="D266" s="72" t="n"/>
      <c r="E266" s="72" t="n"/>
      <c r="F266" s="72" t="n"/>
      <c r="G266" s="109" t="n"/>
      <c r="H266" s="72" t="n"/>
      <c r="I266" s="78">
        <f>IF(H266="","",HYPERLINK(H266,"Open ↗"))</f>
        <v/>
      </c>
      <c r="J266" s="72" t="n"/>
      <c r="L266" s="116">
        <f>IF('Contractors'!B266="","",'Contractors'!B266)</f>
        <v/>
      </c>
      <c r="M266" s="78">
        <f>IF(L266="","",'Contractors'!L266)</f>
        <v/>
      </c>
      <c r="N266" s="78">
        <f>IF(OR(L266="",M266&lt;&gt;"Yes"),"",IF(COUNTIFS('Vault'!$C$6:$C$1005,"Contract",'Vault'!$D$6:$D$1005,L266)&gt;0,"✓","✗ missing"))</f>
        <v/>
      </c>
      <c r="O266" s="78">
        <f>IF(OR(L266="",M266&lt;&gt;"Yes"),"",IF(COUNTIFS('Vault'!$C$6:$C$1005,"Insurance",'Vault'!$D$6:$D$1005,L266)&gt;0,"✓","✗ missing"))</f>
        <v/>
      </c>
      <c r="P266" s="78">
        <f>IF(OR(L266="",M266&lt;&gt;"Yes"),"",IF(COUNTIFS('Vault'!$C$6:$C$1005,"Quote",'Vault'!$D$6:$D$1005,L266)&gt;0,"✓","✗ missing"))</f>
        <v/>
      </c>
      <c r="Q266" s="78">
        <f>IF(N266="","",IF(AND(N266="✓",O266="✓",P266="✓"),"✓ Complete","Missing documents"))</f>
        <v/>
      </c>
      <c r="R266" s="79">
        <f>IF(Q266="","",IF(Q266="✓ Complete",0,1))</f>
        <v/>
      </c>
    </row>
    <row r="267" ht="20" customHeight="1">
      <c r="B267" s="72" t="n"/>
      <c r="C267" s="72" t="n"/>
      <c r="D267" s="72" t="n"/>
      <c r="E267" s="72" t="n"/>
      <c r="F267" s="72" t="n"/>
      <c r="G267" s="109" t="n"/>
      <c r="H267" s="72" t="n"/>
      <c r="I267" s="78">
        <f>IF(H267="","",HYPERLINK(H267,"Open ↗"))</f>
        <v/>
      </c>
      <c r="J267" s="72" t="n"/>
      <c r="L267" s="116">
        <f>IF('Contractors'!B267="","",'Contractors'!B267)</f>
        <v/>
      </c>
      <c r="M267" s="78">
        <f>IF(L267="","",'Contractors'!L267)</f>
        <v/>
      </c>
      <c r="N267" s="78">
        <f>IF(OR(L267="",M267&lt;&gt;"Yes"),"",IF(COUNTIFS('Vault'!$C$6:$C$1005,"Contract",'Vault'!$D$6:$D$1005,L267)&gt;0,"✓","✗ missing"))</f>
        <v/>
      </c>
      <c r="O267" s="78">
        <f>IF(OR(L267="",M267&lt;&gt;"Yes"),"",IF(COUNTIFS('Vault'!$C$6:$C$1005,"Insurance",'Vault'!$D$6:$D$1005,L267)&gt;0,"✓","✗ missing"))</f>
        <v/>
      </c>
      <c r="P267" s="78">
        <f>IF(OR(L267="",M267&lt;&gt;"Yes"),"",IF(COUNTIFS('Vault'!$C$6:$C$1005,"Quote",'Vault'!$D$6:$D$1005,L267)&gt;0,"✓","✗ missing"))</f>
        <v/>
      </c>
      <c r="Q267" s="78">
        <f>IF(N267="","",IF(AND(N267="✓",O267="✓",P267="✓"),"✓ Complete","Missing documents"))</f>
        <v/>
      </c>
      <c r="R267" s="79">
        <f>IF(Q267="","",IF(Q267="✓ Complete",0,1))</f>
        <v/>
      </c>
    </row>
    <row r="268" ht="20" customHeight="1">
      <c r="B268" s="72" t="n"/>
      <c r="C268" s="72" t="n"/>
      <c r="D268" s="72" t="n"/>
      <c r="E268" s="72" t="n"/>
      <c r="F268" s="72" t="n"/>
      <c r="G268" s="109" t="n"/>
      <c r="H268" s="72" t="n"/>
      <c r="I268" s="78">
        <f>IF(H268="","",HYPERLINK(H268,"Open ↗"))</f>
        <v/>
      </c>
      <c r="J268" s="72" t="n"/>
      <c r="L268" s="116">
        <f>IF('Contractors'!B268="","",'Contractors'!B268)</f>
        <v/>
      </c>
      <c r="M268" s="78">
        <f>IF(L268="","",'Contractors'!L268)</f>
        <v/>
      </c>
      <c r="N268" s="78">
        <f>IF(OR(L268="",M268&lt;&gt;"Yes"),"",IF(COUNTIFS('Vault'!$C$6:$C$1005,"Contract",'Vault'!$D$6:$D$1005,L268)&gt;0,"✓","✗ missing"))</f>
        <v/>
      </c>
      <c r="O268" s="78">
        <f>IF(OR(L268="",M268&lt;&gt;"Yes"),"",IF(COUNTIFS('Vault'!$C$6:$C$1005,"Insurance",'Vault'!$D$6:$D$1005,L268)&gt;0,"✓","✗ missing"))</f>
        <v/>
      </c>
      <c r="P268" s="78">
        <f>IF(OR(L268="",M268&lt;&gt;"Yes"),"",IF(COUNTIFS('Vault'!$C$6:$C$1005,"Quote",'Vault'!$D$6:$D$1005,L268)&gt;0,"✓","✗ missing"))</f>
        <v/>
      </c>
      <c r="Q268" s="78">
        <f>IF(N268="","",IF(AND(N268="✓",O268="✓",P268="✓"),"✓ Complete","Missing documents"))</f>
        <v/>
      </c>
      <c r="R268" s="79">
        <f>IF(Q268="","",IF(Q268="✓ Complete",0,1))</f>
        <v/>
      </c>
    </row>
    <row r="269" ht="20" customHeight="1">
      <c r="B269" s="72" t="n"/>
      <c r="C269" s="72" t="n"/>
      <c r="D269" s="72" t="n"/>
      <c r="E269" s="72" t="n"/>
      <c r="F269" s="72" t="n"/>
      <c r="G269" s="109" t="n"/>
      <c r="H269" s="72" t="n"/>
      <c r="I269" s="78">
        <f>IF(H269="","",HYPERLINK(H269,"Open ↗"))</f>
        <v/>
      </c>
      <c r="J269" s="72" t="n"/>
      <c r="L269" s="116">
        <f>IF('Contractors'!B269="","",'Contractors'!B269)</f>
        <v/>
      </c>
      <c r="M269" s="78">
        <f>IF(L269="","",'Contractors'!L269)</f>
        <v/>
      </c>
      <c r="N269" s="78">
        <f>IF(OR(L269="",M269&lt;&gt;"Yes"),"",IF(COUNTIFS('Vault'!$C$6:$C$1005,"Contract",'Vault'!$D$6:$D$1005,L269)&gt;0,"✓","✗ missing"))</f>
        <v/>
      </c>
      <c r="O269" s="78">
        <f>IF(OR(L269="",M269&lt;&gt;"Yes"),"",IF(COUNTIFS('Vault'!$C$6:$C$1005,"Insurance",'Vault'!$D$6:$D$1005,L269)&gt;0,"✓","✗ missing"))</f>
        <v/>
      </c>
      <c r="P269" s="78">
        <f>IF(OR(L269="",M269&lt;&gt;"Yes"),"",IF(COUNTIFS('Vault'!$C$6:$C$1005,"Quote",'Vault'!$D$6:$D$1005,L269)&gt;0,"✓","✗ missing"))</f>
        <v/>
      </c>
      <c r="Q269" s="78">
        <f>IF(N269="","",IF(AND(N269="✓",O269="✓",P269="✓"),"✓ Complete","Missing documents"))</f>
        <v/>
      </c>
      <c r="R269" s="79">
        <f>IF(Q269="","",IF(Q269="✓ Complete",0,1))</f>
        <v/>
      </c>
    </row>
    <row r="270" ht="20" customHeight="1">
      <c r="B270" s="72" t="n"/>
      <c r="C270" s="72" t="n"/>
      <c r="D270" s="72" t="n"/>
      <c r="E270" s="72" t="n"/>
      <c r="F270" s="72" t="n"/>
      <c r="G270" s="109" t="n"/>
      <c r="H270" s="72" t="n"/>
      <c r="I270" s="78">
        <f>IF(H270="","",HYPERLINK(H270,"Open ↗"))</f>
        <v/>
      </c>
      <c r="J270" s="72" t="n"/>
      <c r="L270" s="116">
        <f>IF('Contractors'!B270="","",'Contractors'!B270)</f>
        <v/>
      </c>
      <c r="M270" s="78">
        <f>IF(L270="","",'Contractors'!L270)</f>
        <v/>
      </c>
      <c r="N270" s="78">
        <f>IF(OR(L270="",M270&lt;&gt;"Yes"),"",IF(COUNTIFS('Vault'!$C$6:$C$1005,"Contract",'Vault'!$D$6:$D$1005,L270)&gt;0,"✓","✗ missing"))</f>
        <v/>
      </c>
      <c r="O270" s="78">
        <f>IF(OR(L270="",M270&lt;&gt;"Yes"),"",IF(COUNTIFS('Vault'!$C$6:$C$1005,"Insurance",'Vault'!$D$6:$D$1005,L270)&gt;0,"✓","✗ missing"))</f>
        <v/>
      </c>
      <c r="P270" s="78">
        <f>IF(OR(L270="",M270&lt;&gt;"Yes"),"",IF(COUNTIFS('Vault'!$C$6:$C$1005,"Quote",'Vault'!$D$6:$D$1005,L270)&gt;0,"✓","✗ missing"))</f>
        <v/>
      </c>
      <c r="Q270" s="78">
        <f>IF(N270="","",IF(AND(N270="✓",O270="✓",P270="✓"),"✓ Complete","Missing documents"))</f>
        <v/>
      </c>
      <c r="R270" s="79">
        <f>IF(Q270="","",IF(Q270="✓ Complete",0,1))</f>
        <v/>
      </c>
    </row>
    <row r="271" ht="20" customHeight="1">
      <c r="B271" s="72" t="n"/>
      <c r="C271" s="72" t="n"/>
      <c r="D271" s="72" t="n"/>
      <c r="E271" s="72" t="n"/>
      <c r="F271" s="72" t="n"/>
      <c r="G271" s="109" t="n"/>
      <c r="H271" s="72" t="n"/>
      <c r="I271" s="78">
        <f>IF(H271="","",HYPERLINK(H271,"Open ↗"))</f>
        <v/>
      </c>
      <c r="J271" s="72" t="n"/>
      <c r="L271" s="116">
        <f>IF('Contractors'!B271="","",'Contractors'!B271)</f>
        <v/>
      </c>
      <c r="M271" s="78">
        <f>IF(L271="","",'Contractors'!L271)</f>
        <v/>
      </c>
      <c r="N271" s="78">
        <f>IF(OR(L271="",M271&lt;&gt;"Yes"),"",IF(COUNTIFS('Vault'!$C$6:$C$1005,"Contract",'Vault'!$D$6:$D$1005,L271)&gt;0,"✓","✗ missing"))</f>
        <v/>
      </c>
      <c r="O271" s="78">
        <f>IF(OR(L271="",M271&lt;&gt;"Yes"),"",IF(COUNTIFS('Vault'!$C$6:$C$1005,"Insurance",'Vault'!$D$6:$D$1005,L271)&gt;0,"✓","✗ missing"))</f>
        <v/>
      </c>
      <c r="P271" s="78">
        <f>IF(OR(L271="",M271&lt;&gt;"Yes"),"",IF(COUNTIFS('Vault'!$C$6:$C$1005,"Quote",'Vault'!$D$6:$D$1005,L271)&gt;0,"✓","✗ missing"))</f>
        <v/>
      </c>
      <c r="Q271" s="78">
        <f>IF(N271="","",IF(AND(N271="✓",O271="✓",P271="✓"),"✓ Complete","Missing documents"))</f>
        <v/>
      </c>
      <c r="R271" s="79">
        <f>IF(Q271="","",IF(Q271="✓ Complete",0,1))</f>
        <v/>
      </c>
    </row>
    <row r="272" ht="20" customHeight="1">
      <c r="B272" s="72" t="n"/>
      <c r="C272" s="72" t="n"/>
      <c r="D272" s="72" t="n"/>
      <c r="E272" s="72" t="n"/>
      <c r="F272" s="72" t="n"/>
      <c r="G272" s="109" t="n"/>
      <c r="H272" s="72" t="n"/>
      <c r="I272" s="78">
        <f>IF(H272="","",HYPERLINK(H272,"Open ↗"))</f>
        <v/>
      </c>
      <c r="J272" s="72" t="n"/>
      <c r="L272" s="116">
        <f>IF('Contractors'!B272="","",'Contractors'!B272)</f>
        <v/>
      </c>
      <c r="M272" s="78">
        <f>IF(L272="","",'Contractors'!L272)</f>
        <v/>
      </c>
      <c r="N272" s="78">
        <f>IF(OR(L272="",M272&lt;&gt;"Yes"),"",IF(COUNTIFS('Vault'!$C$6:$C$1005,"Contract",'Vault'!$D$6:$D$1005,L272)&gt;0,"✓","✗ missing"))</f>
        <v/>
      </c>
      <c r="O272" s="78">
        <f>IF(OR(L272="",M272&lt;&gt;"Yes"),"",IF(COUNTIFS('Vault'!$C$6:$C$1005,"Insurance",'Vault'!$D$6:$D$1005,L272)&gt;0,"✓","✗ missing"))</f>
        <v/>
      </c>
      <c r="P272" s="78">
        <f>IF(OR(L272="",M272&lt;&gt;"Yes"),"",IF(COUNTIFS('Vault'!$C$6:$C$1005,"Quote",'Vault'!$D$6:$D$1005,L272)&gt;0,"✓","✗ missing"))</f>
        <v/>
      </c>
      <c r="Q272" s="78">
        <f>IF(N272="","",IF(AND(N272="✓",O272="✓",P272="✓"),"✓ Complete","Missing documents"))</f>
        <v/>
      </c>
      <c r="R272" s="79">
        <f>IF(Q272="","",IF(Q272="✓ Complete",0,1))</f>
        <v/>
      </c>
    </row>
    <row r="273" ht="20" customHeight="1">
      <c r="B273" s="72" t="n"/>
      <c r="C273" s="72" t="n"/>
      <c r="D273" s="72" t="n"/>
      <c r="E273" s="72" t="n"/>
      <c r="F273" s="72" t="n"/>
      <c r="G273" s="109" t="n"/>
      <c r="H273" s="72" t="n"/>
      <c r="I273" s="78">
        <f>IF(H273="","",HYPERLINK(H273,"Open ↗"))</f>
        <v/>
      </c>
      <c r="J273" s="72" t="n"/>
      <c r="L273" s="116">
        <f>IF('Contractors'!B273="","",'Contractors'!B273)</f>
        <v/>
      </c>
      <c r="M273" s="78">
        <f>IF(L273="","",'Contractors'!L273)</f>
        <v/>
      </c>
      <c r="N273" s="78">
        <f>IF(OR(L273="",M273&lt;&gt;"Yes"),"",IF(COUNTIFS('Vault'!$C$6:$C$1005,"Contract",'Vault'!$D$6:$D$1005,L273)&gt;0,"✓","✗ missing"))</f>
        <v/>
      </c>
      <c r="O273" s="78">
        <f>IF(OR(L273="",M273&lt;&gt;"Yes"),"",IF(COUNTIFS('Vault'!$C$6:$C$1005,"Insurance",'Vault'!$D$6:$D$1005,L273)&gt;0,"✓","✗ missing"))</f>
        <v/>
      </c>
      <c r="P273" s="78">
        <f>IF(OR(L273="",M273&lt;&gt;"Yes"),"",IF(COUNTIFS('Vault'!$C$6:$C$1005,"Quote",'Vault'!$D$6:$D$1005,L273)&gt;0,"✓","✗ missing"))</f>
        <v/>
      </c>
      <c r="Q273" s="78">
        <f>IF(N273="","",IF(AND(N273="✓",O273="✓",P273="✓"),"✓ Complete","Missing documents"))</f>
        <v/>
      </c>
      <c r="R273" s="79">
        <f>IF(Q273="","",IF(Q273="✓ Complete",0,1))</f>
        <v/>
      </c>
    </row>
    <row r="274" ht="20" customHeight="1">
      <c r="B274" s="72" t="n"/>
      <c r="C274" s="72" t="n"/>
      <c r="D274" s="72" t="n"/>
      <c r="E274" s="72" t="n"/>
      <c r="F274" s="72" t="n"/>
      <c r="G274" s="109" t="n"/>
      <c r="H274" s="72" t="n"/>
      <c r="I274" s="78">
        <f>IF(H274="","",HYPERLINK(H274,"Open ↗"))</f>
        <v/>
      </c>
      <c r="J274" s="72" t="n"/>
      <c r="L274" s="116">
        <f>IF('Contractors'!B274="","",'Contractors'!B274)</f>
        <v/>
      </c>
      <c r="M274" s="78">
        <f>IF(L274="","",'Contractors'!L274)</f>
        <v/>
      </c>
      <c r="N274" s="78">
        <f>IF(OR(L274="",M274&lt;&gt;"Yes"),"",IF(COUNTIFS('Vault'!$C$6:$C$1005,"Contract",'Vault'!$D$6:$D$1005,L274)&gt;0,"✓","✗ missing"))</f>
        <v/>
      </c>
      <c r="O274" s="78">
        <f>IF(OR(L274="",M274&lt;&gt;"Yes"),"",IF(COUNTIFS('Vault'!$C$6:$C$1005,"Insurance",'Vault'!$D$6:$D$1005,L274)&gt;0,"✓","✗ missing"))</f>
        <v/>
      </c>
      <c r="P274" s="78">
        <f>IF(OR(L274="",M274&lt;&gt;"Yes"),"",IF(COUNTIFS('Vault'!$C$6:$C$1005,"Quote",'Vault'!$D$6:$D$1005,L274)&gt;0,"✓","✗ missing"))</f>
        <v/>
      </c>
      <c r="Q274" s="78">
        <f>IF(N274="","",IF(AND(N274="✓",O274="✓",P274="✓"),"✓ Complete","Missing documents"))</f>
        <v/>
      </c>
      <c r="R274" s="79">
        <f>IF(Q274="","",IF(Q274="✓ Complete",0,1))</f>
        <v/>
      </c>
    </row>
    <row r="275" ht="20" customHeight="1">
      <c r="B275" s="72" t="n"/>
      <c r="C275" s="72" t="n"/>
      <c r="D275" s="72" t="n"/>
      <c r="E275" s="72" t="n"/>
      <c r="F275" s="72" t="n"/>
      <c r="G275" s="109" t="n"/>
      <c r="H275" s="72" t="n"/>
      <c r="I275" s="78">
        <f>IF(H275="","",HYPERLINK(H275,"Open ↗"))</f>
        <v/>
      </c>
      <c r="J275" s="72" t="n"/>
      <c r="L275" s="116">
        <f>IF('Contractors'!B275="","",'Contractors'!B275)</f>
        <v/>
      </c>
      <c r="M275" s="78">
        <f>IF(L275="","",'Contractors'!L275)</f>
        <v/>
      </c>
      <c r="N275" s="78">
        <f>IF(OR(L275="",M275&lt;&gt;"Yes"),"",IF(COUNTIFS('Vault'!$C$6:$C$1005,"Contract",'Vault'!$D$6:$D$1005,L275)&gt;0,"✓","✗ missing"))</f>
        <v/>
      </c>
      <c r="O275" s="78">
        <f>IF(OR(L275="",M275&lt;&gt;"Yes"),"",IF(COUNTIFS('Vault'!$C$6:$C$1005,"Insurance",'Vault'!$D$6:$D$1005,L275)&gt;0,"✓","✗ missing"))</f>
        <v/>
      </c>
      <c r="P275" s="78">
        <f>IF(OR(L275="",M275&lt;&gt;"Yes"),"",IF(COUNTIFS('Vault'!$C$6:$C$1005,"Quote",'Vault'!$D$6:$D$1005,L275)&gt;0,"✓","✗ missing"))</f>
        <v/>
      </c>
      <c r="Q275" s="78">
        <f>IF(N275="","",IF(AND(N275="✓",O275="✓",P275="✓"),"✓ Complete","Missing documents"))</f>
        <v/>
      </c>
      <c r="R275" s="79">
        <f>IF(Q275="","",IF(Q275="✓ Complete",0,1))</f>
        <v/>
      </c>
    </row>
    <row r="276" ht="20" customHeight="1">
      <c r="B276" s="72" t="n"/>
      <c r="C276" s="72" t="n"/>
      <c r="D276" s="72" t="n"/>
      <c r="E276" s="72" t="n"/>
      <c r="F276" s="72" t="n"/>
      <c r="G276" s="109" t="n"/>
      <c r="H276" s="72" t="n"/>
      <c r="I276" s="78">
        <f>IF(H276="","",HYPERLINK(H276,"Open ↗"))</f>
        <v/>
      </c>
      <c r="J276" s="72" t="n"/>
      <c r="L276" s="116">
        <f>IF('Contractors'!B276="","",'Contractors'!B276)</f>
        <v/>
      </c>
      <c r="M276" s="78">
        <f>IF(L276="","",'Contractors'!L276)</f>
        <v/>
      </c>
      <c r="N276" s="78">
        <f>IF(OR(L276="",M276&lt;&gt;"Yes"),"",IF(COUNTIFS('Vault'!$C$6:$C$1005,"Contract",'Vault'!$D$6:$D$1005,L276)&gt;0,"✓","✗ missing"))</f>
        <v/>
      </c>
      <c r="O276" s="78">
        <f>IF(OR(L276="",M276&lt;&gt;"Yes"),"",IF(COUNTIFS('Vault'!$C$6:$C$1005,"Insurance",'Vault'!$D$6:$D$1005,L276)&gt;0,"✓","✗ missing"))</f>
        <v/>
      </c>
      <c r="P276" s="78">
        <f>IF(OR(L276="",M276&lt;&gt;"Yes"),"",IF(COUNTIFS('Vault'!$C$6:$C$1005,"Quote",'Vault'!$D$6:$D$1005,L276)&gt;0,"✓","✗ missing"))</f>
        <v/>
      </c>
      <c r="Q276" s="78">
        <f>IF(N276="","",IF(AND(N276="✓",O276="✓",P276="✓"),"✓ Complete","Missing documents"))</f>
        <v/>
      </c>
      <c r="R276" s="79">
        <f>IF(Q276="","",IF(Q276="✓ Complete",0,1))</f>
        <v/>
      </c>
    </row>
    <row r="277" ht="20" customHeight="1">
      <c r="B277" s="72" t="n"/>
      <c r="C277" s="72" t="n"/>
      <c r="D277" s="72" t="n"/>
      <c r="E277" s="72" t="n"/>
      <c r="F277" s="72" t="n"/>
      <c r="G277" s="109" t="n"/>
      <c r="H277" s="72" t="n"/>
      <c r="I277" s="78">
        <f>IF(H277="","",HYPERLINK(H277,"Open ↗"))</f>
        <v/>
      </c>
      <c r="J277" s="72" t="n"/>
      <c r="L277" s="116">
        <f>IF('Contractors'!B277="","",'Contractors'!B277)</f>
        <v/>
      </c>
      <c r="M277" s="78">
        <f>IF(L277="","",'Contractors'!L277)</f>
        <v/>
      </c>
      <c r="N277" s="78">
        <f>IF(OR(L277="",M277&lt;&gt;"Yes"),"",IF(COUNTIFS('Vault'!$C$6:$C$1005,"Contract",'Vault'!$D$6:$D$1005,L277)&gt;0,"✓","✗ missing"))</f>
        <v/>
      </c>
      <c r="O277" s="78">
        <f>IF(OR(L277="",M277&lt;&gt;"Yes"),"",IF(COUNTIFS('Vault'!$C$6:$C$1005,"Insurance",'Vault'!$D$6:$D$1005,L277)&gt;0,"✓","✗ missing"))</f>
        <v/>
      </c>
      <c r="P277" s="78">
        <f>IF(OR(L277="",M277&lt;&gt;"Yes"),"",IF(COUNTIFS('Vault'!$C$6:$C$1005,"Quote",'Vault'!$D$6:$D$1005,L277)&gt;0,"✓","✗ missing"))</f>
        <v/>
      </c>
      <c r="Q277" s="78">
        <f>IF(N277="","",IF(AND(N277="✓",O277="✓",P277="✓"),"✓ Complete","Missing documents"))</f>
        <v/>
      </c>
      <c r="R277" s="79">
        <f>IF(Q277="","",IF(Q277="✓ Complete",0,1))</f>
        <v/>
      </c>
    </row>
    <row r="278" ht="20" customHeight="1">
      <c r="B278" s="72" t="n"/>
      <c r="C278" s="72" t="n"/>
      <c r="D278" s="72" t="n"/>
      <c r="E278" s="72" t="n"/>
      <c r="F278" s="72" t="n"/>
      <c r="G278" s="109" t="n"/>
      <c r="H278" s="72" t="n"/>
      <c r="I278" s="78">
        <f>IF(H278="","",HYPERLINK(H278,"Open ↗"))</f>
        <v/>
      </c>
      <c r="J278" s="72" t="n"/>
      <c r="L278" s="116">
        <f>IF('Contractors'!B278="","",'Contractors'!B278)</f>
        <v/>
      </c>
      <c r="M278" s="78">
        <f>IF(L278="","",'Contractors'!L278)</f>
        <v/>
      </c>
      <c r="N278" s="78">
        <f>IF(OR(L278="",M278&lt;&gt;"Yes"),"",IF(COUNTIFS('Vault'!$C$6:$C$1005,"Contract",'Vault'!$D$6:$D$1005,L278)&gt;0,"✓","✗ missing"))</f>
        <v/>
      </c>
      <c r="O278" s="78">
        <f>IF(OR(L278="",M278&lt;&gt;"Yes"),"",IF(COUNTIFS('Vault'!$C$6:$C$1005,"Insurance",'Vault'!$D$6:$D$1005,L278)&gt;0,"✓","✗ missing"))</f>
        <v/>
      </c>
      <c r="P278" s="78">
        <f>IF(OR(L278="",M278&lt;&gt;"Yes"),"",IF(COUNTIFS('Vault'!$C$6:$C$1005,"Quote",'Vault'!$D$6:$D$1005,L278)&gt;0,"✓","✗ missing"))</f>
        <v/>
      </c>
      <c r="Q278" s="78">
        <f>IF(N278="","",IF(AND(N278="✓",O278="✓",P278="✓"),"✓ Complete","Missing documents"))</f>
        <v/>
      </c>
      <c r="R278" s="79">
        <f>IF(Q278="","",IF(Q278="✓ Complete",0,1))</f>
        <v/>
      </c>
    </row>
    <row r="279" ht="20" customHeight="1">
      <c r="B279" s="72" t="n"/>
      <c r="C279" s="72" t="n"/>
      <c r="D279" s="72" t="n"/>
      <c r="E279" s="72" t="n"/>
      <c r="F279" s="72" t="n"/>
      <c r="G279" s="109" t="n"/>
      <c r="H279" s="72" t="n"/>
      <c r="I279" s="78">
        <f>IF(H279="","",HYPERLINK(H279,"Open ↗"))</f>
        <v/>
      </c>
      <c r="J279" s="72" t="n"/>
      <c r="L279" s="116">
        <f>IF('Contractors'!B279="","",'Contractors'!B279)</f>
        <v/>
      </c>
      <c r="M279" s="78">
        <f>IF(L279="","",'Contractors'!L279)</f>
        <v/>
      </c>
      <c r="N279" s="78">
        <f>IF(OR(L279="",M279&lt;&gt;"Yes"),"",IF(COUNTIFS('Vault'!$C$6:$C$1005,"Contract",'Vault'!$D$6:$D$1005,L279)&gt;0,"✓","✗ missing"))</f>
        <v/>
      </c>
      <c r="O279" s="78">
        <f>IF(OR(L279="",M279&lt;&gt;"Yes"),"",IF(COUNTIFS('Vault'!$C$6:$C$1005,"Insurance",'Vault'!$D$6:$D$1005,L279)&gt;0,"✓","✗ missing"))</f>
        <v/>
      </c>
      <c r="P279" s="78">
        <f>IF(OR(L279="",M279&lt;&gt;"Yes"),"",IF(COUNTIFS('Vault'!$C$6:$C$1005,"Quote",'Vault'!$D$6:$D$1005,L279)&gt;0,"✓","✗ missing"))</f>
        <v/>
      </c>
      <c r="Q279" s="78">
        <f>IF(N279="","",IF(AND(N279="✓",O279="✓",P279="✓"),"✓ Complete","Missing documents"))</f>
        <v/>
      </c>
      <c r="R279" s="79">
        <f>IF(Q279="","",IF(Q279="✓ Complete",0,1))</f>
        <v/>
      </c>
    </row>
    <row r="280" ht="20" customHeight="1">
      <c r="B280" s="72" t="n"/>
      <c r="C280" s="72" t="n"/>
      <c r="D280" s="72" t="n"/>
      <c r="E280" s="72" t="n"/>
      <c r="F280" s="72" t="n"/>
      <c r="G280" s="109" t="n"/>
      <c r="H280" s="72" t="n"/>
      <c r="I280" s="78">
        <f>IF(H280="","",HYPERLINK(H280,"Open ↗"))</f>
        <v/>
      </c>
      <c r="J280" s="72" t="n"/>
      <c r="L280" s="116">
        <f>IF('Contractors'!B280="","",'Contractors'!B280)</f>
        <v/>
      </c>
      <c r="M280" s="78">
        <f>IF(L280="","",'Contractors'!L280)</f>
        <v/>
      </c>
      <c r="N280" s="78">
        <f>IF(OR(L280="",M280&lt;&gt;"Yes"),"",IF(COUNTIFS('Vault'!$C$6:$C$1005,"Contract",'Vault'!$D$6:$D$1005,L280)&gt;0,"✓","✗ missing"))</f>
        <v/>
      </c>
      <c r="O280" s="78">
        <f>IF(OR(L280="",M280&lt;&gt;"Yes"),"",IF(COUNTIFS('Vault'!$C$6:$C$1005,"Insurance",'Vault'!$D$6:$D$1005,L280)&gt;0,"✓","✗ missing"))</f>
        <v/>
      </c>
      <c r="P280" s="78">
        <f>IF(OR(L280="",M280&lt;&gt;"Yes"),"",IF(COUNTIFS('Vault'!$C$6:$C$1005,"Quote",'Vault'!$D$6:$D$1005,L280)&gt;0,"✓","✗ missing"))</f>
        <v/>
      </c>
      <c r="Q280" s="78">
        <f>IF(N280="","",IF(AND(N280="✓",O280="✓",P280="✓"),"✓ Complete","Missing documents"))</f>
        <v/>
      </c>
      <c r="R280" s="79">
        <f>IF(Q280="","",IF(Q280="✓ Complete",0,1))</f>
        <v/>
      </c>
    </row>
    <row r="281" ht="20" customHeight="1">
      <c r="B281" s="72" t="n"/>
      <c r="C281" s="72" t="n"/>
      <c r="D281" s="72" t="n"/>
      <c r="E281" s="72" t="n"/>
      <c r="F281" s="72" t="n"/>
      <c r="G281" s="109" t="n"/>
      <c r="H281" s="72" t="n"/>
      <c r="I281" s="78">
        <f>IF(H281="","",HYPERLINK(H281,"Open ↗"))</f>
        <v/>
      </c>
      <c r="J281" s="72" t="n"/>
      <c r="L281" s="116">
        <f>IF('Contractors'!B281="","",'Contractors'!B281)</f>
        <v/>
      </c>
      <c r="M281" s="78">
        <f>IF(L281="","",'Contractors'!L281)</f>
        <v/>
      </c>
      <c r="N281" s="78">
        <f>IF(OR(L281="",M281&lt;&gt;"Yes"),"",IF(COUNTIFS('Vault'!$C$6:$C$1005,"Contract",'Vault'!$D$6:$D$1005,L281)&gt;0,"✓","✗ missing"))</f>
        <v/>
      </c>
      <c r="O281" s="78">
        <f>IF(OR(L281="",M281&lt;&gt;"Yes"),"",IF(COUNTIFS('Vault'!$C$6:$C$1005,"Insurance",'Vault'!$D$6:$D$1005,L281)&gt;0,"✓","✗ missing"))</f>
        <v/>
      </c>
      <c r="P281" s="78">
        <f>IF(OR(L281="",M281&lt;&gt;"Yes"),"",IF(COUNTIFS('Vault'!$C$6:$C$1005,"Quote",'Vault'!$D$6:$D$1005,L281)&gt;0,"✓","✗ missing"))</f>
        <v/>
      </c>
      <c r="Q281" s="78">
        <f>IF(N281="","",IF(AND(N281="✓",O281="✓",P281="✓"),"✓ Complete","Missing documents"))</f>
        <v/>
      </c>
      <c r="R281" s="79">
        <f>IF(Q281="","",IF(Q281="✓ Complete",0,1))</f>
        <v/>
      </c>
    </row>
    <row r="282" ht="20" customHeight="1">
      <c r="B282" s="72" t="n"/>
      <c r="C282" s="72" t="n"/>
      <c r="D282" s="72" t="n"/>
      <c r="E282" s="72" t="n"/>
      <c r="F282" s="72" t="n"/>
      <c r="G282" s="109" t="n"/>
      <c r="H282" s="72" t="n"/>
      <c r="I282" s="78">
        <f>IF(H282="","",HYPERLINK(H282,"Open ↗"))</f>
        <v/>
      </c>
      <c r="J282" s="72" t="n"/>
      <c r="L282" s="116">
        <f>IF('Contractors'!B282="","",'Contractors'!B282)</f>
        <v/>
      </c>
      <c r="M282" s="78">
        <f>IF(L282="","",'Contractors'!L282)</f>
        <v/>
      </c>
      <c r="N282" s="78">
        <f>IF(OR(L282="",M282&lt;&gt;"Yes"),"",IF(COUNTIFS('Vault'!$C$6:$C$1005,"Contract",'Vault'!$D$6:$D$1005,L282)&gt;0,"✓","✗ missing"))</f>
        <v/>
      </c>
      <c r="O282" s="78">
        <f>IF(OR(L282="",M282&lt;&gt;"Yes"),"",IF(COUNTIFS('Vault'!$C$6:$C$1005,"Insurance",'Vault'!$D$6:$D$1005,L282)&gt;0,"✓","✗ missing"))</f>
        <v/>
      </c>
      <c r="P282" s="78">
        <f>IF(OR(L282="",M282&lt;&gt;"Yes"),"",IF(COUNTIFS('Vault'!$C$6:$C$1005,"Quote",'Vault'!$D$6:$D$1005,L282)&gt;0,"✓","✗ missing"))</f>
        <v/>
      </c>
      <c r="Q282" s="78">
        <f>IF(N282="","",IF(AND(N282="✓",O282="✓",P282="✓"),"✓ Complete","Missing documents"))</f>
        <v/>
      </c>
      <c r="R282" s="79">
        <f>IF(Q282="","",IF(Q282="✓ Complete",0,1))</f>
        <v/>
      </c>
    </row>
    <row r="283" ht="20" customHeight="1">
      <c r="B283" s="72" t="n"/>
      <c r="C283" s="72" t="n"/>
      <c r="D283" s="72" t="n"/>
      <c r="E283" s="72" t="n"/>
      <c r="F283" s="72" t="n"/>
      <c r="G283" s="109" t="n"/>
      <c r="H283" s="72" t="n"/>
      <c r="I283" s="78">
        <f>IF(H283="","",HYPERLINK(H283,"Open ↗"))</f>
        <v/>
      </c>
      <c r="J283" s="72" t="n"/>
      <c r="L283" s="116">
        <f>IF('Contractors'!B283="","",'Contractors'!B283)</f>
        <v/>
      </c>
      <c r="M283" s="78">
        <f>IF(L283="","",'Contractors'!L283)</f>
        <v/>
      </c>
      <c r="N283" s="78">
        <f>IF(OR(L283="",M283&lt;&gt;"Yes"),"",IF(COUNTIFS('Vault'!$C$6:$C$1005,"Contract",'Vault'!$D$6:$D$1005,L283)&gt;0,"✓","✗ missing"))</f>
        <v/>
      </c>
      <c r="O283" s="78">
        <f>IF(OR(L283="",M283&lt;&gt;"Yes"),"",IF(COUNTIFS('Vault'!$C$6:$C$1005,"Insurance",'Vault'!$D$6:$D$1005,L283)&gt;0,"✓","✗ missing"))</f>
        <v/>
      </c>
      <c r="P283" s="78">
        <f>IF(OR(L283="",M283&lt;&gt;"Yes"),"",IF(COUNTIFS('Vault'!$C$6:$C$1005,"Quote",'Vault'!$D$6:$D$1005,L283)&gt;0,"✓","✗ missing"))</f>
        <v/>
      </c>
      <c r="Q283" s="78">
        <f>IF(N283="","",IF(AND(N283="✓",O283="✓",P283="✓"),"✓ Complete","Missing documents"))</f>
        <v/>
      </c>
      <c r="R283" s="79">
        <f>IF(Q283="","",IF(Q283="✓ Complete",0,1))</f>
        <v/>
      </c>
    </row>
    <row r="284" ht="20" customHeight="1">
      <c r="B284" s="72" t="n"/>
      <c r="C284" s="72" t="n"/>
      <c r="D284" s="72" t="n"/>
      <c r="E284" s="72" t="n"/>
      <c r="F284" s="72" t="n"/>
      <c r="G284" s="109" t="n"/>
      <c r="H284" s="72" t="n"/>
      <c r="I284" s="78">
        <f>IF(H284="","",HYPERLINK(H284,"Open ↗"))</f>
        <v/>
      </c>
      <c r="J284" s="72" t="n"/>
      <c r="L284" s="116">
        <f>IF('Contractors'!B284="","",'Contractors'!B284)</f>
        <v/>
      </c>
      <c r="M284" s="78">
        <f>IF(L284="","",'Contractors'!L284)</f>
        <v/>
      </c>
      <c r="N284" s="78">
        <f>IF(OR(L284="",M284&lt;&gt;"Yes"),"",IF(COUNTIFS('Vault'!$C$6:$C$1005,"Contract",'Vault'!$D$6:$D$1005,L284)&gt;0,"✓","✗ missing"))</f>
        <v/>
      </c>
      <c r="O284" s="78">
        <f>IF(OR(L284="",M284&lt;&gt;"Yes"),"",IF(COUNTIFS('Vault'!$C$6:$C$1005,"Insurance",'Vault'!$D$6:$D$1005,L284)&gt;0,"✓","✗ missing"))</f>
        <v/>
      </c>
      <c r="P284" s="78">
        <f>IF(OR(L284="",M284&lt;&gt;"Yes"),"",IF(COUNTIFS('Vault'!$C$6:$C$1005,"Quote",'Vault'!$D$6:$D$1005,L284)&gt;0,"✓","✗ missing"))</f>
        <v/>
      </c>
      <c r="Q284" s="78">
        <f>IF(N284="","",IF(AND(N284="✓",O284="✓",P284="✓"),"✓ Complete","Missing documents"))</f>
        <v/>
      </c>
      <c r="R284" s="79">
        <f>IF(Q284="","",IF(Q284="✓ Complete",0,1))</f>
        <v/>
      </c>
    </row>
    <row r="285" ht="20" customHeight="1">
      <c r="B285" s="72" t="n"/>
      <c r="C285" s="72" t="n"/>
      <c r="D285" s="72" t="n"/>
      <c r="E285" s="72" t="n"/>
      <c r="F285" s="72" t="n"/>
      <c r="G285" s="109" t="n"/>
      <c r="H285" s="72" t="n"/>
      <c r="I285" s="78">
        <f>IF(H285="","",HYPERLINK(H285,"Open ↗"))</f>
        <v/>
      </c>
      <c r="J285" s="72" t="n"/>
      <c r="L285" s="116">
        <f>IF('Contractors'!B285="","",'Contractors'!B285)</f>
        <v/>
      </c>
      <c r="M285" s="78">
        <f>IF(L285="","",'Contractors'!L285)</f>
        <v/>
      </c>
      <c r="N285" s="78">
        <f>IF(OR(L285="",M285&lt;&gt;"Yes"),"",IF(COUNTIFS('Vault'!$C$6:$C$1005,"Contract",'Vault'!$D$6:$D$1005,L285)&gt;0,"✓","✗ missing"))</f>
        <v/>
      </c>
      <c r="O285" s="78">
        <f>IF(OR(L285="",M285&lt;&gt;"Yes"),"",IF(COUNTIFS('Vault'!$C$6:$C$1005,"Insurance",'Vault'!$D$6:$D$1005,L285)&gt;0,"✓","✗ missing"))</f>
        <v/>
      </c>
      <c r="P285" s="78">
        <f>IF(OR(L285="",M285&lt;&gt;"Yes"),"",IF(COUNTIFS('Vault'!$C$6:$C$1005,"Quote",'Vault'!$D$6:$D$1005,L285)&gt;0,"✓","✗ missing"))</f>
        <v/>
      </c>
      <c r="Q285" s="78">
        <f>IF(N285="","",IF(AND(N285="✓",O285="✓",P285="✓"),"✓ Complete","Missing documents"))</f>
        <v/>
      </c>
      <c r="R285" s="79">
        <f>IF(Q285="","",IF(Q285="✓ Complete",0,1))</f>
        <v/>
      </c>
    </row>
    <row r="286" ht="20" customHeight="1">
      <c r="B286" s="72" t="n"/>
      <c r="C286" s="72" t="n"/>
      <c r="D286" s="72" t="n"/>
      <c r="E286" s="72" t="n"/>
      <c r="F286" s="72" t="n"/>
      <c r="G286" s="109" t="n"/>
      <c r="H286" s="72" t="n"/>
      <c r="I286" s="78">
        <f>IF(H286="","",HYPERLINK(H286,"Open ↗"))</f>
        <v/>
      </c>
      <c r="J286" s="72" t="n"/>
      <c r="L286" s="116">
        <f>IF('Contractors'!B286="","",'Contractors'!B286)</f>
        <v/>
      </c>
      <c r="M286" s="78">
        <f>IF(L286="","",'Contractors'!L286)</f>
        <v/>
      </c>
      <c r="N286" s="78">
        <f>IF(OR(L286="",M286&lt;&gt;"Yes"),"",IF(COUNTIFS('Vault'!$C$6:$C$1005,"Contract",'Vault'!$D$6:$D$1005,L286)&gt;0,"✓","✗ missing"))</f>
        <v/>
      </c>
      <c r="O286" s="78">
        <f>IF(OR(L286="",M286&lt;&gt;"Yes"),"",IF(COUNTIFS('Vault'!$C$6:$C$1005,"Insurance",'Vault'!$D$6:$D$1005,L286)&gt;0,"✓","✗ missing"))</f>
        <v/>
      </c>
      <c r="P286" s="78">
        <f>IF(OR(L286="",M286&lt;&gt;"Yes"),"",IF(COUNTIFS('Vault'!$C$6:$C$1005,"Quote",'Vault'!$D$6:$D$1005,L286)&gt;0,"✓","✗ missing"))</f>
        <v/>
      </c>
      <c r="Q286" s="78">
        <f>IF(N286="","",IF(AND(N286="✓",O286="✓",P286="✓"),"✓ Complete","Missing documents"))</f>
        <v/>
      </c>
      <c r="R286" s="79">
        <f>IF(Q286="","",IF(Q286="✓ Complete",0,1))</f>
        <v/>
      </c>
    </row>
    <row r="287" ht="20" customHeight="1">
      <c r="B287" s="72" t="n"/>
      <c r="C287" s="72" t="n"/>
      <c r="D287" s="72" t="n"/>
      <c r="E287" s="72" t="n"/>
      <c r="F287" s="72" t="n"/>
      <c r="G287" s="109" t="n"/>
      <c r="H287" s="72" t="n"/>
      <c r="I287" s="78">
        <f>IF(H287="","",HYPERLINK(H287,"Open ↗"))</f>
        <v/>
      </c>
      <c r="J287" s="72" t="n"/>
      <c r="L287" s="116">
        <f>IF('Contractors'!B287="","",'Contractors'!B287)</f>
        <v/>
      </c>
      <c r="M287" s="78">
        <f>IF(L287="","",'Contractors'!L287)</f>
        <v/>
      </c>
      <c r="N287" s="78">
        <f>IF(OR(L287="",M287&lt;&gt;"Yes"),"",IF(COUNTIFS('Vault'!$C$6:$C$1005,"Contract",'Vault'!$D$6:$D$1005,L287)&gt;0,"✓","✗ missing"))</f>
        <v/>
      </c>
      <c r="O287" s="78">
        <f>IF(OR(L287="",M287&lt;&gt;"Yes"),"",IF(COUNTIFS('Vault'!$C$6:$C$1005,"Insurance",'Vault'!$D$6:$D$1005,L287)&gt;0,"✓","✗ missing"))</f>
        <v/>
      </c>
      <c r="P287" s="78">
        <f>IF(OR(L287="",M287&lt;&gt;"Yes"),"",IF(COUNTIFS('Vault'!$C$6:$C$1005,"Quote",'Vault'!$D$6:$D$1005,L287)&gt;0,"✓","✗ missing"))</f>
        <v/>
      </c>
      <c r="Q287" s="78">
        <f>IF(N287="","",IF(AND(N287="✓",O287="✓",P287="✓"),"✓ Complete","Missing documents"))</f>
        <v/>
      </c>
      <c r="R287" s="79">
        <f>IF(Q287="","",IF(Q287="✓ Complete",0,1))</f>
        <v/>
      </c>
    </row>
    <row r="288" ht="20" customHeight="1">
      <c r="B288" s="72" t="n"/>
      <c r="C288" s="72" t="n"/>
      <c r="D288" s="72" t="n"/>
      <c r="E288" s="72" t="n"/>
      <c r="F288" s="72" t="n"/>
      <c r="G288" s="109" t="n"/>
      <c r="H288" s="72" t="n"/>
      <c r="I288" s="78">
        <f>IF(H288="","",HYPERLINK(H288,"Open ↗"))</f>
        <v/>
      </c>
      <c r="J288" s="72" t="n"/>
      <c r="L288" s="116">
        <f>IF('Contractors'!B288="","",'Contractors'!B288)</f>
        <v/>
      </c>
      <c r="M288" s="78">
        <f>IF(L288="","",'Contractors'!L288)</f>
        <v/>
      </c>
      <c r="N288" s="78">
        <f>IF(OR(L288="",M288&lt;&gt;"Yes"),"",IF(COUNTIFS('Vault'!$C$6:$C$1005,"Contract",'Vault'!$D$6:$D$1005,L288)&gt;0,"✓","✗ missing"))</f>
        <v/>
      </c>
      <c r="O288" s="78">
        <f>IF(OR(L288="",M288&lt;&gt;"Yes"),"",IF(COUNTIFS('Vault'!$C$6:$C$1005,"Insurance",'Vault'!$D$6:$D$1005,L288)&gt;0,"✓","✗ missing"))</f>
        <v/>
      </c>
      <c r="P288" s="78">
        <f>IF(OR(L288="",M288&lt;&gt;"Yes"),"",IF(COUNTIFS('Vault'!$C$6:$C$1005,"Quote",'Vault'!$D$6:$D$1005,L288)&gt;0,"✓","✗ missing"))</f>
        <v/>
      </c>
      <c r="Q288" s="78">
        <f>IF(N288="","",IF(AND(N288="✓",O288="✓",P288="✓"),"✓ Complete","Missing documents"))</f>
        <v/>
      </c>
      <c r="R288" s="79">
        <f>IF(Q288="","",IF(Q288="✓ Complete",0,1))</f>
        <v/>
      </c>
    </row>
    <row r="289" ht="20" customHeight="1">
      <c r="B289" s="72" t="n"/>
      <c r="C289" s="72" t="n"/>
      <c r="D289" s="72" t="n"/>
      <c r="E289" s="72" t="n"/>
      <c r="F289" s="72" t="n"/>
      <c r="G289" s="109" t="n"/>
      <c r="H289" s="72" t="n"/>
      <c r="I289" s="78">
        <f>IF(H289="","",HYPERLINK(H289,"Open ↗"))</f>
        <v/>
      </c>
      <c r="J289" s="72" t="n"/>
      <c r="L289" s="116">
        <f>IF('Contractors'!B289="","",'Contractors'!B289)</f>
        <v/>
      </c>
      <c r="M289" s="78">
        <f>IF(L289="","",'Contractors'!L289)</f>
        <v/>
      </c>
      <c r="N289" s="78">
        <f>IF(OR(L289="",M289&lt;&gt;"Yes"),"",IF(COUNTIFS('Vault'!$C$6:$C$1005,"Contract",'Vault'!$D$6:$D$1005,L289)&gt;0,"✓","✗ missing"))</f>
        <v/>
      </c>
      <c r="O289" s="78">
        <f>IF(OR(L289="",M289&lt;&gt;"Yes"),"",IF(COUNTIFS('Vault'!$C$6:$C$1005,"Insurance",'Vault'!$D$6:$D$1005,L289)&gt;0,"✓","✗ missing"))</f>
        <v/>
      </c>
      <c r="P289" s="78">
        <f>IF(OR(L289="",M289&lt;&gt;"Yes"),"",IF(COUNTIFS('Vault'!$C$6:$C$1005,"Quote",'Vault'!$D$6:$D$1005,L289)&gt;0,"✓","✗ missing"))</f>
        <v/>
      </c>
      <c r="Q289" s="78">
        <f>IF(N289="","",IF(AND(N289="✓",O289="✓",P289="✓"),"✓ Complete","Missing documents"))</f>
        <v/>
      </c>
      <c r="R289" s="79">
        <f>IF(Q289="","",IF(Q289="✓ Complete",0,1))</f>
        <v/>
      </c>
    </row>
    <row r="290" ht="20" customHeight="1">
      <c r="B290" s="72" t="n"/>
      <c r="C290" s="72" t="n"/>
      <c r="D290" s="72" t="n"/>
      <c r="E290" s="72" t="n"/>
      <c r="F290" s="72" t="n"/>
      <c r="G290" s="109" t="n"/>
      <c r="H290" s="72" t="n"/>
      <c r="I290" s="78">
        <f>IF(H290="","",HYPERLINK(H290,"Open ↗"))</f>
        <v/>
      </c>
      <c r="J290" s="72" t="n"/>
      <c r="L290" s="116">
        <f>IF('Contractors'!B290="","",'Contractors'!B290)</f>
        <v/>
      </c>
      <c r="M290" s="78">
        <f>IF(L290="","",'Contractors'!L290)</f>
        <v/>
      </c>
      <c r="N290" s="78">
        <f>IF(OR(L290="",M290&lt;&gt;"Yes"),"",IF(COUNTIFS('Vault'!$C$6:$C$1005,"Contract",'Vault'!$D$6:$D$1005,L290)&gt;0,"✓","✗ missing"))</f>
        <v/>
      </c>
      <c r="O290" s="78">
        <f>IF(OR(L290="",M290&lt;&gt;"Yes"),"",IF(COUNTIFS('Vault'!$C$6:$C$1005,"Insurance",'Vault'!$D$6:$D$1005,L290)&gt;0,"✓","✗ missing"))</f>
        <v/>
      </c>
      <c r="P290" s="78">
        <f>IF(OR(L290="",M290&lt;&gt;"Yes"),"",IF(COUNTIFS('Vault'!$C$6:$C$1005,"Quote",'Vault'!$D$6:$D$1005,L290)&gt;0,"✓","✗ missing"))</f>
        <v/>
      </c>
      <c r="Q290" s="78">
        <f>IF(N290="","",IF(AND(N290="✓",O290="✓",P290="✓"),"✓ Complete","Missing documents"))</f>
        <v/>
      </c>
      <c r="R290" s="79">
        <f>IF(Q290="","",IF(Q290="✓ Complete",0,1))</f>
        <v/>
      </c>
    </row>
    <row r="291" ht="20" customHeight="1">
      <c r="B291" s="72" t="n"/>
      <c r="C291" s="72" t="n"/>
      <c r="D291" s="72" t="n"/>
      <c r="E291" s="72" t="n"/>
      <c r="F291" s="72" t="n"/>
      <c r="G291" s="109" t="n"/>
      <c r="H291" s="72" t="n"/>
      <c r="I291" s="78">
        <f>IF(H291="","",HYPERLINK(H291,"Open ↗"))</f>
        <v/>
      </c>
      <c r="J291" s="72" t="n"/>
      <c r="L291" s="116">
        <f>IF('Contractors'!B291="","",'Contractors'!B291)</f>
        <v/>
      </c>
      <c r="M291" s="78">
        <f>IF(L291="","",'Contractors'!L291)</f>
        <v/>
      </c>
      <c r="N291" s="78">
        <f>IF(OR(L291="",M291&lt;&gt;"Yes"),"",IF(COUNTIFS('Vault'!$C$6:$C$1005,"Contract",'Vault'!$D$6:$D$1005,L291)&gt;0,"✓","✗ missing"))</f>
        <v/>
      </c>
      <c r="O291" s="78">
        <f>IF(OR(L291="",M291&lt;&gt;"Yes"),"",IF(COUNTIFS('Vault'!$C$6:$C$1005,"Insurance",'Vault'!$D$6:$D$1005,L291)&gt;0,"✓","✗ missing"))</f>
        <v/>
      </c>
      <c r="P291" s="78">
        <f>IF(OR(L291="",M291&lt;&gt;"Yes"),"",IF(COUNTIFS('Vault'!$C$6:$C$1005,"Quote",'Vault'!$D$6:$D$1005,L291)&gt;0,"✓","✗ missing"))</f>
        <v/>
      </c>
      <c r="Q291" s="78">
        <f>IF(N291="","",IF(AND(N291="✓",O291="✓",P291="✓"),"✓ Complete","Missing documents"))</f>
        <v/>
      </c>
      <c r="R291" s="79">
        <f>IF(Q291="","",IF(Q291="✓ Complete",0,1))</f>
        <v/>
      </c>
    </row>
    <row r="292" ht="20" customHeight="1">
      <c r="B292" s="72" t="n"/>
      <c r="C292" s="72" t="n"/>
      <c r="D292" s="72" t="n"/>
      <c r="E292" s="72" t="n"/>
      <c r="F292" s="72" t="n"/>
      <c r="G292" s="109" t="n"/>
      <c r="H292" s="72" t="n"/>
      <c r="I292" s="78">
        <f>IF(H292="","",HYPERLINK(H292,"Open ↗"))</f>
        <v/>
      </c>
      <c r="J292" s="72" t="n"/>
      <c r="L292" s="116">
        <f>IF('Contractors'!B292="","",'Contractors'!B292)</f>
        <v/>
      </c>
      <c r="M292" s="78">
        <f>IF(L292="","",'Contractors'!L292)</f>
        <v/>
      </c>
      <c r="N292" s="78">
        <f>IF(OR(L292="",M292&lt;&gt;"Yes"),"",IF(COUNTIFS('Vault'!$C$6:$C$1005,"Contract",'Vault'!$D$6:$D$1005,L292)&gt;0,"✓","✗ missing"))</f>
        <v/>
      </c>
      <c r="O292" s="78">
        <f>IF(OR(L292="",M292&lt;&gt;"Yes"),"",IF(COUNTIFS('Vault'!$C$6:$C$1005,"Insurance",'Vault'!$D$6:$D$1005,L292)&gt;0,"✓","✗ missing"))</f>
        <v/>
      </c>
      <c r="P292" s="78">
        <f>IF(OR(L292="",M292&lt;&gt;"Yes"),"",IF(COUNTIFS('Vault'!$C$6:$C$1005,"Quote",'Vault'!$D$6:$D$1005,L292)&gt;0,"✓","✗ missing"))</f>
        <v/>
      </c>
      <c r="Q292" s="78">
        <f>IF(N292="","",IF(AND(N292="✓",O292="✓",P292="✓"),"✓ Complete","Missing documents"))</f>
        <v/>
      </c>
      <c r="R292" s="79">
        <f>IF(Q292="","",IF(Q292="✓ Complete",0,1))</f>
        <v/>
      </c>
    </row>
    <row r="293" ht="20" customHeight="1">
      <c r="B293" s="72" t="n"/>
      <c r="C293" s="72" t="n"/>
      <c r="D293" s="72" t="n"/>
      <c r="E293" s="72" t="n"/>
      <c r="F293" s="72" t="n"/>
      <c r="G293" s="109" t="n"/>
      <c r="H293" s="72" t="n"/>
      <c r="I293" s="78">
        <f>IF(H293="","",HYPERLINK(H293,"Open ↗"))</f>
        <v/>
      </c>
      <c r="J293" s="72" t="n"/>
      <c r="L293" s="116">
        <f>IF('Contractors'!B293="","",'Contractors'!B293)</f>
        <v/>
      </c>
      <c r="M293" s="78">
        <f>IF(L293="","",'Contractors'!L293)</f>
        <v/>
      </c>
      <c r="N293" s="78">
        <f>IF(OR(L293="",M293&lt;&gt;"Yes"),"",IF(COUNTIFS('Vault'!$C$6:$C$1005,"Contract",'Vault'!$D$6:$D$1005,L293)&gt;0,"✓","✗ missing"))</f>
        <v/>
      </c>
      <c r="O293" s="78">
        <f>IF(OR(L293="",M293&lt;&gt;"Yes"),"",IF(COUNTIFS('Vault'!$C$6:$C$1005,"Insurance",'Vault'!$D$6:$D$1005,L293)&gt;0,"✓","✗ missing"))</f>
        <v/>
      </c>
      <c r="P293" s="78">
        <f>IF(OR(L293="",M293&lt;&gt;"Yes"),"",IF(COUNTIFS('Vault'!$C$6:$C$1005,"Quote",'Vault'!$D$6:$D$1005,L293)&gt;0,"✓","✗ missing"))</f>
        <v/>
      </c>
      <c r="Q293" s="78">
        <f>IF(N293="","",IF(AND(N293="✓",O293="✓",P293="✓"),"✓ Complete","Missing documents"))</f>
        <v/>
      </c>
      <c r="R293" s="79">
        <f>IF(Q293="","",IF(Q293="✓ Complete",0,1))</f>
        <v/>
      </c>
    </row>
    <row r="294" ht="20" customHeight="1">
      <c r="B294" s="72" t="n"/>
      <c r="C294" s="72" t="n"/>
      <c r="D294" s="72" t="n"/>
      <c r="E294" s="72" t="n"/>
      <c r="F294" s="72" t="n"/>
      <c r="G294" s="109" t="n"/>
      <c r="H294" s="72" t="n"/>
      <c r="I294" s="78">
        <f>IF(H294="","",HYPERLINK(H294,"Open ↗"))</f>
        <v/>
      </c>
      <c r="J294" s="72" t="n"/>
      <c r="L294" s="116">
        <f>IF('Contractors'!B294="","",'Contractors'!B294)</f>
        <v/>
      </c>
      <c r="M294" s="78">
        <f>IF(L294="","",'Contractors'!L294)</f>
        <v/>
      </c>
      <c r="N294" s="78">
        <f>IF(OR(L294="",M294&lt;&gt;"Yes"),"",IF(COUNTIFS('Vault'!$C$6:$C$1005,"Contract",'Vault'!$D$6:$D$1005,L294)&gt;0,"✓","✗ missing"))</f>
        <v/>
      </c>
      <c r="O294" s="78">
        <f>IF(OR(L294="",M294&lt;&gt;"Yes"),"",IF(COUNTIFS('Vault'!$C$6:$C$1005,"Insurance",'Vault'!$D$6:$D$1005,L294)&gt;0,"✓","✗ missing"))</f>
        <v/>
      </c>
      <c r="P294" s="78">
        <f>IF(OR(L294="",M294&lt;&gt;"Yes"),"",IF(COUNTIFS('Vault'!$C$6:$C$1005,"Quote",'Vault'!$D$6:$D$1005,L294)&gt;0,"✓","✗ missing"))</f>
        <v/>
      </c>
      <c r="Q294" s="78">
        <f>IF(N294="","",IF(AND(N294="✓",O294="✓",P294="✓"),"✓ Complete","Missing documents"))</f>
        <v/>
      </c>
      <c r="R294" s="79">
        <f>IF(Q294="","",IF(Q294="✓ Complete",0,1))</f>
        <v/>
      </c>
    </row>
    <row r="295" ht="20" customHeight="1">
      <c r="B295" s="72" t="n"/>
      <c r="C295" s="72" t="n"/>
      <c r="D295" s="72" t="n"/>
      <c r="E295" s="72" t="n"/>
      <c r="F295" s="72" t="n"/>
      <c r="G295" s="109" t="n"/>
      <c r="H295" s="72" t="n"/>
      <c r="I295" s="78">
        <f>IF(H295="","",HYPERLINK(H295,"Open ↗"))</f>
        <v/>
      </c>
      <c r="J295" s="72" t="n"/>
      <c r="L295" s="116">
        <f>IF('Contractors'!B295="","",'Contractors'!B295)</f>
        <v/>
      </c>
      <c r="M295" s="78">
        <f>IF(L295="","",'Contractors'!L295)</f>
        <v/>
      </c>
      <c r="N295" s="78">
        <f>IF(OR(L295="",M295&lt;&gt;"Yes"),"",IF(COUNTIFS('Vault'!$C$6:$C$1005,"Contract",'Vault'!$D$6:$D$1005,L295)&gt;0,"✓","✗ missing"))</f>
        <v/>
      </c>
      <c r="O295" s="78">
        <f>IF(OR(L295="",M295&lt;&gt;"Yes"),"",IF(COUNTIFS('Vault'!$C$6:$C$1005,"Insurance",'Vault'!$D$6:$D$1005,L295)&gt;0,"✓","✗ missing"))</f>
        <v/>
      </c>
      <c r="P295" s="78">
        <f>IF(OR(L295="",M295&lt;&gt;"Yes"),"",IF(COUNTIFS('Vault'!$C$6:$C$1005,"Quote",'Vault'!$D$6:$D$1005,L295)&gt;0,"✓","✗ missing"))</f>
        <v/>
      </c>
      <c r="Q295" s="78">
        <f>IF(N295="","",IF(AND(N295="✓",O295="✓",P295="✓"),"✓ Complete","Missing documents"))</f>
        <v/>
      </c>
      <c r="R295" s="79">
        <f>IF(Q295="","",IF(Q295="✓ Complete",0,1))</f>
        <v/>
      </c>
    </row>
    <row r="296" ht="20" customHeight="1">
      <c r="B296" s="72" t="n"/>
      <c r="C296" s="72" t="n"/>
      <c r="D296" s="72" t="n"/>
      <c r="E296" s="72" t="n"/>
      <c r="F296" s="72" t="n"/>
      <c r="G296" s="109" t="n"/>
      <c r="H296" s="72" t="n"/>
      <c r="I296" s="78">
        <f>IF(H296="","",HYPERLINK(H296,"Open ↗"))</f>
        <v/>
      </c>
      <c r="J296" s="72" t="n"/>
      <c r="L296" s="116">
        <f>IF('Contractors'!B296="","",'Contractors'!B296)</f>
        <v/>
      </c>
      <c r="M296" s="78">
        <f>IF(L296="","",'Contractors'!L296)</f>
        <v/>
      </c>
      <c r="N296" s="78">
        <f>IF(OR(L296="",M296&lt;&gt;"Yes"),"",IF(COUNTIFS('Vault'!$C$6:$C$1005,"Contract",'Vault'!$D$6:$D$1005,L296)&gt;0,"✓","✗ missing"))</f>
        <v/>
      </c>
      <c r="O296" s="78">
        <f>IF(OR(L296="",M296&lt;&gt;"Yes"),"",IF(COUNTIFS('Vault'!$C$6:$C$1005,"Insurance",'Vault'!$D$6:$D$1005,L296)&gt;0,"✓","✗ missing"))</f>
        <v/>
      </c>
      <c r="P296" s="78">
        <f>IF(OR(L296="",M296&lt;&gt;"Yes"),"",IF(COUNTIFS('Vault'!$C$6:$C$1005,"Quote",'Vault'!$D$6:$D$1005,L296)&gt;0,"✓","✗ missing"))</f>
        <v/>
      </c>
      <c r="Q296" s="78">
        <f>IF(N296="","",IF(AND(N296="✓",O296="✓",P296="✓"),"✓ Complete","Missing documents"))</f>
        <v/>
      </c>
      <c r="R296" s="79">
        <f>IF(Q296="","",IF(Q296="✓ Complete",0,1))</f>
        <v/>
      </c>
    </row>
    <row r="297" ht="20" customHeight="1">
      <c r="B297" s="72" t="n"/>
      <c r="C297" s="72" t="n"/>
      <c r="D297" s="72" t="n"/>
      <c r="E297" s="72" t="n"/>
      <c r="F297" s="72" t="n"/>
      <c r="G297" s="109" t="n"/>
      <c r="H297" s="72" t="n"/>
      <c r="I297" s="78">
        <f>IF(H297="","",HYPERLINK(H297,"Open ↗"))</f>
        <v/>
      </c>
      <c r="J297" s="72" t="n"/>
      <c r="L297" s="116">
        <f>IF('Contractors'!B297="","",'Contractors'!B297)</f>
        <v/>
      </c>
      <c r="M297" s="78">
        <f>IF(L297="","",'Contractors'!L297)</f>
        <v/>
      </c>
      <c r="N297" s="78">
        <f>IF(OR(L297="",M297&lt;&gt;"Yes"),"",IF(COUNTIFS('Vault'!$C$6:$C$1005,"Contract",'Vault'!$D$6:$D$1005,L297)&gt;0,"✓","✗ missing"))</f>
        <v/>
      </c>
      <c r="O297" s="78">
        <f>IF(OR(L297="",M297&lt;&gt;"Yes"),"",IF(COUNTIFS('Vault'!$C$6:$C$1005,"Insurance",'Vault'!$D$6:$D$1005,L297)&gt;0,"✓","✗ missing"))</f>
        <v/>
      </c>
      <c r="P297" s="78">
        <f>IF(OR(L297="",M297&lt;&gt;"Yes"),"",IF(COUNTIFS('Vault'!$C$6:$C$1005,"Quote",'Vault'!$D$6:$D$1005,L297)&gt;0,"✓","✗ missing"))</f>
        <v/>
      </c>
      <c r="Q297" s="78">
        <f>IF(N297="","",IF(AND(N297="✓",O297="✓",P297="✓"),"✓ Complete","Missing documents"))</f>
        <v/>
      </c>
      <c r="R297" s="79">
        <f>IF(Q297="","",IF(Q297="✓ Complete",0,1))</f>
        <v/>
      </c>
    </row>
    <row r="298" ht="20" customHeight="1">
      <c r="B298" s="72" t="n"/>
      <c r="C298" s="72" t="n"/>
      <c r="D298" s="72" t="n"/>
      <c r="E298" s="72" t="n"/>
      <c r="F298" s="72" t="n"/>
      <c r="G298" s="109" t="n"/>
      <c r="H298" s="72" t="n"/>
      <c r="I298" s="78">
        <f>IF(H298="","",HYPERLINK(H298,"Open ↗"))</f>
        <v/>
      </c>
      <c r="J298" s="72" t="n"/>
      <c r="L298" s="116">
        <f>IF('Contractors'!B298="","",'Contractors'!B298)</f>
        <v/>
      </c>
      <c r="M298" s="78">
        <f>IF(L298="","",'Contractors'!L298)</f>
        <v/>
      </c>
      <c r="N298" s="78">
        <f>IF(OR(L298="",M298&lt;&gt;"Yes"),"",IF(COUNTIFS('Vault'!$C$6:$C$1005,"Contract",'Vault'!$D$6:$D$1005,L298)&gt;0,"✓","✗ missing"))</f>
        <v/>
      </c>
      <c r="O298" s="78">
        <f>IF(OR(L298="",M298&lt;&gt;"Yes"),"",IF(COUNTIFS('Vault'!$C$6:$C$1005,"Insurance",'Vault'!$D$6:$D$1005,L298)&gt;0,"✓","✗ missing"))</f>
        <v/>
      </c>
      <c r="P298" s="78">
        <f>IF(OR(L298="",M298&lt;&gt;"Yes"),"",IF(COUNTIFS('Vault'!$C$6:$C$1005,"Quote",'Vault'!$D$6:$D$1005,L298)&gt;0,"✓","✗ missing"))</f>
        <v/>
      </c>
      <c r="Q298" s="78">
        <f>IF(N298="","",IF(AND(N298="✓",O298="✓",P298="✓"),"✓ Complete","Missing documents"))</f>
        <v/>
      </c>
      <c r="R298" s="79">
        <f>IF(Q298="","",IF(Q298="✓ Complete",0,1))</f>
        <v/>
      </c>
    </row>
    <row r="299" ht="20" customHeight="1">
      <c r="B299" s="72" t="n"/>
      <c r="C299" s="72" t="n"/>
      <c r="D299" s="72" t="n"/>
      <c r="E299" s="72" t="n"/>
      <c r="F299" s="72" t="n"/>
      <c r="G299" s="109" t="n"/>
      <c r="H299" s="72" t="n"/>
      <c r="I299" s="78">
        <f>IF(H299="","",HYPERLINK(H299,"Open ↗"))</f>
        <v/>
      </c>
      <c r="J299" s="72" t="n"/>
      <c r="L299" s="116">
        <f>IF('Contractors'!B299="","",'Contractors'!B299)</f>
        <v/>
      </c>
      <c r="M299" s="78">
        <f>IF(L299="","",'Contractors'!L299)</f>
        <v/>
      </c>
      <c r="N299" s="78">
        <f>IF(OR(L299="",M299&lt;&gt;"Yes"),"",IF(COUNTIFS('Vault'!$C$6:$C$1005,"Contract",'Vault'!$D$6:$D$1005,L299)&gt;0,"✓","✗ missing"))</f>
        <v/>
      </c>
      <c r="O299" s="78">
        <f>IF(OR(L299="",M299&lt;&gt;"Yes"),"",IF(COUNTIFS('Vault'!$C$6:$C$1005,"Insurance",'Vault'!$D$6:$D$1005,L299)&gt;0,"✓","✗ missing"))</f>
        <v/>
      </c>
      <c r="P299" s="78">
        <f>IF(OR(L299="",M299&lt;&gt;"Yes"),"",IF(COUNTIFS('Vault'!$C$6:$C$1005,"Quote",'Vault'!$D$6:$D$1005,L299)&gt;0,"✓","✗ missing"))</f>
        <v/>
      </c>
      <c r="Q299" s="78">
        <f>IF(N299="","",IF(AND(N299="✓",O299="✓",P299="✓"),"✓ Complete","Missing documents"))</f>
        <v/>
      </c>
      <c r="R299" s="79">
        <f>IF(Q299="","",IF(Q299="✓ Complete",0,1))</f>
        <v/>
      </c>
    </row>
    <row r="300" ht="20" customHeight="1">
      <c r="B300" s="72" t="n"/>
      <c r="C300" s="72" t="n"/>
      <c r="D300" s="72" t="n"/>
      <c r="E300" s="72" t="n"/>
      <c r="F300" s="72" t="n"/>
      <c r="G300" s="109" t="n"/>
      <c r="H300" s="72" t="n"/>
      <c r="I300" s="78">
        <f>IF(H300="","",HYPERLINK(H300,"Open ↗"))</f>
        <v/>
      </c>
      <c r="J300" s="72" t="n"/>
      <c r="L300" s="116">
        <f>IF('Contractors'!B300="","",'Contractors'!B300)</f>
        <v/>
      </c>
      <c r="M300" s="78">
        <f>IF(L300="","",'Contractors'!L300)</f>
        <v/>
      </c>
      <c r="N300" s="78">
        <f>IF(OR(L300="",M300&lt;&gt;"Yes"),"",IF(COUNTIFS('Vault'!$C$6:$C$1005,"Contract",'Vault'!$D$6:$D$1005,L300)&gt;0,"✓","✗ missing"))</f>
        <v/>
      </c>
      <c r="O300" s="78">
        <f>IF(OR(L300="",M300&lt;&gt;"Yes"),"",IF(COUNTIFS('Vault'!$C$6:$C$1005,"Insurance",'Vault'!$D$6:$D$1005,L300)&gt;0,"✓","✗ missing"))</f>
        <v/>
      </c>
      <c r="P300" s="78">
        <f>IF(OR(L300="",M300&lt;&gt;"Yes"),"",IF(COUNTIFS('Vault'!$C$6:$C$1005,"Quote",'Vault'!$D$6:$D$1005,L300)&gt;0,"✓","✗ missing"))</f>
        <v/>
      </c>
      <c r="Q300" s="78">
        <f>IF(N300="","",IF(AND(N300="✓",O300="✓",P300="✓"),"✓ Complete","Missing documents"))</f>
        <v/>
      </c>
      <c r="R300" s="79">
        <f>IF(Q300="","",IF(Q300="✓ Complete",0,1))</f>
        <v/>
      </c>
    </row>
    <row r="301" ht="20" customHeight="1">
      <c r="B301" s="72" t="n"/>
      <c r="C301" s="72" t="n"/>
      <c r="D301" s="72" t="n"/>
      <c r="E301" s="72" t="n"/>
      <c r="F301" s="72" t="n"/>
      <c r="G301" s="109" t="n"/>
      <c r="H301" s="72" t="n"/>
      <c r="I301" s="78">
        <f>IF(H301="","",HYPERLINK(H301,"Open ↗"))</f>
        <v/>
      </c>
      <c r="J301" s="72" t="n"/>
      <c r="L301" s="116">
        <f>IF('Contractors'!B301="","",'Contractors'!B301)</f>
        <v/>
      </c>
      <c r="M301" s="78">
        <f>IF(L301="","",'Contractors'!L301)</f>
        <v/>
      </c>
      <c r="N301" s="78">
        <f>IF(OR(L301="",M301&lt;&gt;"Yes"),"",IF(COUNTIFS('Vault'!$C$6:$C$1005,"Contract",'Vault'!$D$6:$D$1005,L301)&gt;0,"✓","✗ missing"))</f>
        <v/>
      </c>
      <c r="O301" s="78">
        <f>IF(OR(L301="",M301&lt;&gt;"Yes"),"",IF(COUNTIFS('Vault'!$C$6:$C$1005,"Insurance",'Vault'!$D$6:$D$1005,L301)&gt;0,"✓","✗ missing"))</f>
        <v/>
      </c>
      <c r="P301" s="78">
        <f>IF(OR(L301="",M301&lt;&gt;"Yes"),"",IF(COUNTIFS('Vault'!$C$6:$C$1005,"Quote",'Vault'!$D$6:$D$1005,L301)&gt;0,"✓","✗ missing"))</f>
        <v/>
      </c>
      <c r="Q301" s="78">
        <f>IF(N301="","",IF(AND(N301="✓",O301="✓",P301="✓"),"✓ Complete","Missing documents"))</f>
        <v/>
      </c>
      <c r="R301" s="79">
        <f>IF(Q301="","",IF(Q301="✓ Complete",0,1))</f>
        <v/>
      </c>
    </row>
    <row r="302" ht="20" customHeight="1">
      <c r="B302" s="72" t="n"/>
      <c r="C302" s="72" t="n"/>
      <c r="D302" s="72" t="n"/>
      <c r="E302" s="72" t="n"/>
      <c r="F302" s="72" t="n"/>
      <c r="G302" s="109" t="n"/>
      <c r="H302" s="72" t="n"/>
      <c r="I302" s="78">
        <f>IF(H302="","",HYPERLINK(H302,"Open ↗"))</f>
        <v/>
      </c>
      <c r="J302" s="72" t="n"/>
      <c r="L302" s="116">
        <f>IF('Contractors'!B302="","",'Contractors'!B302)</f>
        <v/>
      </c>
      <c r="M302" s="78">
        <f>IF(L302="","",'Contractors'!L302)</f>
        <v/>
      </c>
      <c r="N302" s="78">
        <f>IF(OR(L302="",M302&lt;&gt;"Yes"),"",IF(COUNTIFS('Vault'!$C$6:$C$1005,"Contract",'Vault'!$D$6:$D$1005,L302)&gt;0,"✓","✗ missing"))</f>
        <v/>
      </c>
      <c r="O302" s="78">
        <f>IF(OR(L302="",M302&lt;&gt;"Yes"),"",IF(COUNTIFS('Vault'!$C$6:$C$1005,"Insurance",'Vault'!$D$6:$D$1005,L302)&gt;0,"✓","✗ missing"))</f>
        <v/>
      </c>
      <c r="P302" s="78">
        <f>IF(OR(L302="",M302&lt;&gt;"Yes"),"",IF(COUNTIFS('Vault'!$C$6:$C$1005,"Quote",'Vault'!$D$6:$D$1005,L302)&gt;0,"✓","✗ missing"))</f>
        <v/>
      </c>
      <c r="Q302" s="78">
        <f>IF(N302="","",IF(AND(N302="✓",O302="✓",P302="✓"),"✓ Complete","Missing documents"))</f>
        <v/>
      </c>
      <c r="R302" s="79">
        <f>IF(Q302="","",IF(Q302="✓ Complete",0,1))</f>
        <v/>
      </c>
    </row>
    <row r="303" ht="20" customHeight="1">
      <c r="B303" s="72" t="n"/>
      <c r="C303" s="72" t="n"/>
      <c r="D303" s="72" t="n"/>
      <c r="E303" s="72" t="n"/>
      <c r="F303" s="72" t="n"/>
      <c r="G303" s="109" t="n"/>
      <c r="H303" s="72" t="n"/>
      <c r="I303" s="78">
        <f>IF(H303="","",HYPERLINK(H303,"Open ↗"))</f>
        <v/>
      </c>
      <c r="J303" s="72" t="n"/>
      <c r="L303" s="116">
        <f>IF('Contractors'!B303="","",'Contractors'!B303)</f>
        <v/>
      </c>
      <c r="M303" s="78">
        <f>IF(L303="","",'Contractors'!L303)</f>
        <v/>
      </c>
      <c r="N303" s="78">
        <f>IF(OR(L303="",M303&lt;&gt;"Yes"),"",IF(COUNTIFS('Vault'!$C$6:$C$1005,"Contract",'Vault'!$D$6:$D$1005,L303)&gt;0,"✓","✗ missing"))</f>
        <v/>
      </c>
      <c r="O303" s="78">
        <f>IF(OR(L303="",M303&lt;&gt;"Yes"),"",IF(COUNTIFS('Vault'!$C$6:$C$1005,"Insurance",'Vault'!$D$6:$D$1005,L303)&gt;0,"✓","✗ missing"))</f>
        <v/>
      </c>
      <c r="P303" s="78">
        <f>IF(OR(L303="",M303&lt;&gt;"Yes"),"",IF(COUNTIFS('Vault'!$C$6:$C$1005,"Quote",'Vault'!$D$6:$D$1005,L303)&gt;0,"✓","✗ missing"))</f>
        <v/>
      </c>
      <c r="Q303" s="78">
        <f>IF(N303="","",IF(AND(N303="✓",O303="✓",P303="✓"),"✓ Complete","Missing documents"))</f>
        <v/>
      </c>
      <c r="R303" s="79">
        <f>IF(Q303="","",IF(Q303="✓ Complete",0,1))</f>
        <v/>
      </c>
    </row>
    <row r="304" ht="20" customHeight="1">
      <c r="B304" s="72" t="n"/>
      <c r="C304" s="72" t="n"/>
      <c r="D304" s="72" t="n"/>
      <c r="E304" s="72" t="n"/>
      <c r="F304" s="72" t="n"/>
      <c r="G304" s="109" t="n"/>
      <c r="H304" s="72" t="n"/>
      <c r="I304" s="78">
        <f>IF(H304="","",HYPERLINK(H304,"Open ↗"))</f>
        <v/>
      </c>
      <c r="J304" s="72" t="n"/>
      <c r="L304" s="116">
        <f>IF('Contractors'!B304="","",'Contractors'!B304)</f>
        <v/>
      </c>
      <c r="M304" s="78">
        <f>IF(L304="","",'Contractors'!L304)</f>
        <v/>
      </c>
      <c r="N304" s="78">
        <f>IF(OR(L304="",M304&lt;&gt;"Yes"),"",IF(COUNTIFS('Vault'!$C$6:$C$1005,"Contract",'Vault'!$D$6:$D$1005,L304)&gt;0,"✓","✗ missing"))</f>
        <v/>
      </c>
      <c r="O304" s="78">
        <f>IF(OR(L304="",M304&lt;&gt;"Yes"),"",IF(COUNTIFS('Vault'!$C$6:$C$1005,"Insurance",'Vault'!$D$6:$D$1005,L304)&gt;0,"✓","✗ missing"))</f>
        <v/>
      </c>
      <c r="P304" s="78">
        <f>IF(OR(L304="",M304&lt;&gt;"Yes"),"",IF(COUNTIFS('Vault'!$C$6:$C$1005,"Quote",'Vault'!$D$6:$D$1005,L304)&gt;0,"✓","✗ missing"))</f>
        <v/>
      </c>
      <c r="Q304" s="78">
        <f>IF(N304="","",IF(AND(N304="✓",O304="✓",P304="✓"),"✓ Complete","Missing documents"))</f>
        <v/>
      </c>
      <c r="R304" s="79">
        <f>IF(Q304="","",IF(Q304="✓ Complete",0,1))</f>
        <v/>
      </c>
    </row>
    <row r="305" ht="20" customHeight="1">
      <c r="B305" s="72" t="n"/>
      <c r="C305" s="72" t="n"/>
      <c r="D305" s="72" t="n"/>
      <c r="E305" s="72" t="n"/>
      <c r="F305" s="72" t="n"/>
      <c r="G305" s="109" t="n"/>
      <c r="H305" s="72" t="n"/>
      <c r="I305" s="78">
        <f>IF(H305="","",HYPERLINK(H305,"Open ↗"))</f>
        <v/>
      </c>
      <c r="J305" s="72" t="n"/>
      <c r="L305" s="116">
        <f>IF('Contractors'!B305="","",'Contractors'!B305)</f>
        <v/>
      </c>
      <c r="M305" s="78">
        <f>IF(L305="","",'Contractors'!L305)</f>
        <v/>
      </c>
      <c r="N305" s="78">
        <f>IF(OR(L305="",M305&lt;&gt;"Yes"),"",IF(COUNTIFS('Vault'!$C$6:$C$1005,"Contract",'Vault'!$D$6:$D$1005,L305)&gt;0,"✓","✗ missing"))</f>
        <v/>
      </c>
      <c r="O305" s="78">
        <f>IF(OR(L305="",M305&lt;&gt;"Yes"),"",IF(COUNTIFS('Vault'!$C$6:$C$1005,"Insurance",'Vault'!$D$6:$D$1005,L305)&gt;0,"✓","✗ missing"))</f>
        <v/>
      </c>
      <c r="P305" s="78">
        <f>IF(OR(L305="",M305&lt;&gt;"Yes"),"",IF(COUNTIFS('Vault'!$C$6:$C$1005,"Quote",'Vault'!$D$6:$D$1005,L305)&gt;0,"✓","✗ missing"))</f>
        <v/>
      </c>
      <c r="Q305" s="78">
        <f>IF(N305="","",IF(AND(N305="✓",O305="✓",P305="✓"),"✓ Complete","Missing documents"))</f>
        <v/>
      </c>
      <c r="R305" s="79">
        <f>IF(Q305="","",IF(Q305="✓ Complete",0,1))</f>
        <v/>
      </c>
    </row>
    <row r="306" ht="20" customHeight="1">
      <c r="B306" s="72" t="n"/>
      <c r="C306" s="72" t="n"/>
      <c r="D306" s="72" t="n"/>
      <c r="E306" s="72" t="n"/>
      <c r="F306" s="72" t="n"/>
      <c r="G306" s="109" t="n"/>
      <c r="H306" s="72" t="n"/>
      <c r="I306" s="78">
        <f>IF(H306="","",HYPERLINK(H306,"Open ↗"))</f>
        <v/>
      </c>
      <c r="J306" s="72" t="n"/>
      <c r="L306" s="116">
        <f>IF('Contractors'!B306="","",'Contractors'!B306)</f>
        <v/>
      </c>
      <c r="M306" s="78">
        <f>IF(L306="","",'Contractors'!L306)</f>
        <v/>
      </c>
      <c r="N306" s="78">
        <f>IF(OR(L306="",M306&lt;&gt;"Yes"),"",IF(COUNTIFS('Vault'!$C$6:$C$1005,"Contract",'Vault'!$D$6:$D$1005,L306)&gt;0,"✓","✗ missing"))</f>
        <v/>
      </c>
      <c r="O306" s="78">
        <f>IF(OR(L306="",M306&lt;&gt;"Yes"),"",IF(COUNTIFS('Vault'!$C$6:$C$1005,"Insurance",'Vault'!$D$6:$D$1005,L306)&gt;0,"✓","✗ missing"))</f>
        <v/>
      </c>
      <c r="P306" s="78">
        <f>IF(OR(L306="",M306&lt;&gt;"Yes"),"",IF(COUNTIFS('Vault'!$C$6:$C$1005,"Quote",'Vault'!$D$6:$D$1005,L306)&gt;0,"✓","✗ missing"))</f>
        <v/>
      </c>
      <c r="Q306" s="78">
        <f>IF(N306="","",IF(AND(N306="✓",O306="✓",P306="✓"),"✓ Complete","Missing documents"))</f>
        <v/>
      </c>
      <c r="R306" s="79">
        <f>IF(Q306="","",IF(Q306="✓ Complete",0,1))</f>
        <v/>
      </c>
    </row>
    <row r="307" ht="20" customHeight="1">
      <c r="B307" s="72" t="n"/>
      <c r="C307" s="72" t="n"/>
      <c r="D307" s="72" t="n"/>
      <c r="E307" s="72" t="n"/>
      <c r="F307" s="72" t="n"/>
      <c r="G307" s="109" t="n"/>
      <c r="H307" s="72" t="n"/>
      <c r="I307" s="78">
        <f>IF(H307="","",HYPERLINK(H307,"Open ↗"))</f>
        <v/>
      </c>
      <c r="J307" s="72" t="n"/>
      <c r="L307" s="116">
        <f>IF('Contractors'!B307="","",'Contractors'!B307)</f>
        <v/>
      </c>
      <c r="M307" s="78">
        <f>IF(L307="","",'Contractors'!L307)</f>
        <v/>
      </c>
      <c r="N307" s="78">
        <f>IF(OR(L307="",M307&lt;&gt;"Yes"),"",IF(COUNTIFS('Vault'!$C$6:$C$1005,"Contract",'Vault'!$D$6:$D$1005,L307)&gt;0,"✓","✗ missing"))</f>
        <v/>
      </c>
      <c r="O307" s="78">
        <f>IF(OR(L307="",M307&lt;&gt;"Yes"),"",IF(COUNTIFS('Vault'!$C$6:$C$1005,"Insurance",'Vault'!$D$6:$D$1005,L307)&gt;0,"✓","✗ missing"))</f>
        <v/>
      </c>
      <c r="P307" s="78">
        <f>IF(OR(L307="",M307&lt;&gt;"Yes"),"",IF(COUNTIFS('Vault'!$C$6:$C$1005,"Quote",'Vault'!$D$6:$D$1005,L307)&gt;0,"✓","✗ missing"))</f>
        <v/>
      </c>
      <c r="Q307" s="78">
        <f>IF(N307="","",IF(AND(N307="✓",O307="✓",P307="✓"),"✓ Complete","Missing documents"))</f>
        <v/>
      </c>
      <c r="R307" s="79">
        <f>IF(Q307="","",IF(Q307="✓ Complete",0,1))</f>
        <v/>
      </c>
    </row>
    <row r="308" ht="20" customHeight="1">
      <c r="B308" s="72" t="n"/>
      <c r="C308" s="72" t="n"/>
      <c r="D308" s="72" t="n"/>
      <c r="E308" s="72" t="n"/>
      <c r="F308" s="72" t="n"/>
      <c r="G308" s="109" t="n"/>
      <c r="H308" s="72" t="n"/>
      <c r="I308" s="78">
        <f>IF(H308="","",HYPERLINK(H308,"Open ↗"))</f>
        <v/>
      </c>
      <c r="J308" s="72" t="n"/>
      <c r="L308" s="116">
        <f>IF('Contractors'!B308="","",'Contractors'!B308)</f>
        <v/>
      </c>
      <c r="M308" s="78">
        <f>IF(L308="","",'Contractors'!L308)</f>
        <v/>
      </c>
      <c r="N308" s="78">
        <f>IF(OR(L308="",M308&lt;&gt;"Yes"),"",IF(COUNTIFS('Vault'!$C$6:$C$1005,"Contract",'Vault'!$D$6:$D$1005,L308)&gt;0,"✓","✗ missing"))</f>
        <v/>
      </c>
      <c r="O308" s="78">
        <f>IF(OR(L308="",M308&lt;&gt;"Yes"),"",IF(COUNTIFS('Vault'!$C$6:$C$1005,"Insurance",'Vault'!$D$6:$D$1005,L308)&gt;0,"✓","✗ missing"))</f>
        <v/>
      </c>
      <c r="P308" s="78">
        <f>IF(OR(L308="",M308&lt;&gt;"Yes"),"",IF(COUNTIFS('Vault'!$C$6:$C$1005,"Quote",'Vault'!$D$6:$D$1005,L308)&gt;0,"✓","✗ missing"))</f>
        <v/>
      </c>
      <c r="Q308" s="78">
        <f>IF(N308="","",IF(AND(N308="✓",O308="✓",P308="✓"),"✓ Complete","Missing documents"))</f>
        <v/>
      </c>
      <c r="R308" s="79">
        <f>IF(Q308="","",IF(Q308="✓ Complete",0,1))</f>
        <v/>
      </c>
    </row>
    <row r="309" ht="20" customHeight="1">
      <c r="B309" s="72" t="n"/>
      <c r="C309" s="72" t="n"/>
      <c r="D309" s="72" t="n"/>
      <c r="E309" s="72" t="n"/>
      <c r="F309" s="72" t="n"/>
      <c r="G309" s="109" t="n"/>
      <c r="H309" s="72" t="n"/>
      <c r="I309" s="78">
        <f>IF(H309="","",HYPERLINK(H309,"Open ↗"))</f>
        <v/>
      </c>
      <c r="J309" s="72" t="n"/>
      <c r="L309" s="116">
        <f>IF('Contractors'!B309="","",'Contractors'!B309)</f>
        <v/>
      </c>
      <c r="M309" s="78">
        <f>IF(L309="","",'Contractors'!L309)</f>
        <v/>
      </c>
      <c r="N309" s="78">
        <f>IF(OR(L309="",M309&lt;&gt;"Yes"),"",IF(COUNTIFS('Vault'!$C$6:$C$1005,"Contract",'Vault'!$D$6:$D$1005,L309)&gt;0,"✓","✗ missing"))</f>
        <v/>
      </c>
      <c r="O309" s="78">
        <f>IF(OR(L309="",M309&lt;&gt;"Yes"),"",IF(COUNTIFS('Vault'!$C$6:$C$1005,"Insurance",'Vault'!$D$6:$D$1005,L309)&gt;0,"✓","✗ missing"))</f>
        <v/>
      </c>
      <c r="P309" s="78">
        <f>IF(OR(L309="",M309&lt;&gt;"Yes"),"",IF(COUNTIFS('Vault'!$C$6:$C$1005,"Quote",'Vault'!$D$6:$D$1005,L309)&gt;0,"✓","✗ missing"))</f>
        <v/>
      </c>
      <c r="Q309" s="78">
        <f>IF(N309="","",IF(AND(N309="✓",O309="✓",P309="✓"),"✓ Complete","Missing documents"))</f>
        <v/>
      </c>
      <c r="R309" s="79">
        <f>IF(Q309="","",IF(Q309="✓ Complete",0,1))</f>
        <v/>
      </c>
    </row>
    <row r="310" ht="20" customHeight="1">
      <c r="B310" s="72" t="n"/>
      <c r="C310" s="72" t="n"/>
      <c r="D310" s="72" t="n"/>
      <c r="E310" s="72" t="n"/>
      <c r="F310" s="72" t="n"/>
      <c r="G310" s="109" t="n"/>
      <c r="H310" s="72" t="n"/>
      <c r="I310" s="78">
        <f>IF(H310="","",HYPERLINK(H310,"Open ↗"))</f>
        <v/>
      </c>
      <c r="J310" s="72" t="n"/>
      <c r="L310" s="116">
        <f>IF('Contractors'!B310="","",'Contractors'!B310)</f>
        <v/>
      </c>
      <c r="M310" s="78">
        <f>IF(L310="","",'Contractors'!L310)</f>
        <v/>
      </c>
      <c r="N310" s="78">
        <f>IF(OR(L310="",M310&lt;&gt;"Yes"),"",IF(COUNTIFS('Vault'!$C$6:$C$1005,"Contract",'Vault'!$D$6:$D$1005,L310)&gt;0,"✓","✗ missing"))</f>
        <v/>
      </c>
      <c r="O310" s="78">
        <f>IF(OR(L310="",M310&lt;&gt;"Yes"),"",IF(COUNTIFS('Vault'!$C$6:$C$1005,"Insurance",'Vault'!$D$6:$D$1005,L310)&gt;0,"✓","✗ missing"))</f>
        <v/>
      </c>
      <c r="P310" s="78">
        <f>IF(OR(L310="",M310&lt;&gt;"Yes"),"",IF(COUNTIFS('Vault'!$C$6:$C$1005,"Quote",'Vault'!$D$6:$D$1005,L310)&gt;0,"✓","✗ missing"))</f>
        <v/>
      </c>
      <c r="Q310" s="78">
        <f>IF(N310="","",IF(AND(N310="✓",O310="✓",P310="✓"),"✓ Complete","Missing documents"))</f>
        <v/>
      </c>
      <c r="R310" s="79">
        <f>IF(Q310="","",IF(Q310="✓ Complete",0,1))</f>
        <v/>
      </c>
    </row>
    <row r="311" ht="20" customHeight="1">
      <c r="B311" s="72" t="n"/>
      <c r="C311" s="72" t="n"/>
      <c r="D311" s="72" t="n"/>
      <c r="E311" s="72" t="n"/>
      <c r="F311" s="72" t="n"/>
      <c r="G311" s="109" t="n"/>
      <c r="H311" s="72" t="n"/>
      <c r="I311" s="78">
        <f>IF(H311="","",HYPERLINK(H311,"Open ↗"))</f>
        <v/>
      </c>
      <c r="J311" s="72" t="n"/>
      <c r="L311" s="116">
        <f>IF('Contractors'!B311="","",'Contractors'!B311)</f>
        <v/>
      </c>
      <c r="M311" s="78">
        <f>IF(L311="","",'Contractors'!L311)</f>
        <v/>
      </c>
      <c r="N311" s="78">
        <f>IF(OR(L311="",M311&lt;&gt;"Yes"),"",IF(COUNTIFS('Vault'!$C$6:$C$1005,"Contract",'Vault'!$D$6:$D$1005,L311)&gt;0,"✓","✗ missing"))</f>
        <v/>
      </c>
      <c r="O311" s="78">
        <f>IF(OR(L311="",M311&lt;&gt;"Yes"),"",IF(COUNTIFS('Vault'!$C$6:$C$1005,"Insurance",'Vault'!$D$6:$D$1005,L311)&gt;0,"✓","✗ missing"))</f>
        <v/>
      </c>
      <c r="P311" s="78">
        <f>IF(OR(L311="",M311&lt;&gt;"Yes"),"",IF(COUNTIFS('Vault'!$C$6:$C$1005,"Quote",'Vault'!$D$6:$D$1005,L311)&gt;0,"✓","✗ missing"))</f>
        <v/>
      </c>
      <c r="Q311" s="78">
        <f>IF(N311="","",IF(AND(N311="✓",O311="✓",P311="✓"),"✓ Complete","Missing documents"))</f>
        <v/>
      </c>
      <c r="R311" s="79">
        <f>IF(Q311="","",IF(Q311="✓ Complete",0,1))</f>
        <v/>
      </c>
    </row>
    <row r="312" ht="20" customHeight="1">
      <c r="B312" s="72" t="n"/>
      <c r="C312" s="72" t="n"/>
      <c r="D312" s="72" t="n"/>
      <c r="E312" s="72" t="n"/>
      <c r="F312" s="72" t="n"/>
      <c r="G312" s="109" t="n"/>
      <c r="H312" s="72" t="n"/>
      <c r="I312" s="78">
        <f>IF(H312="","",HYPERLINK(H312,"Open ↗"))</f>
        <v/>
      </c>
      <c r="J312" s="72" t="n"/>
      <c r="L312" s="116">
        <f>IF('Contractors'!B312="","",'Contractors'!B312)</f>
        <v/>
      </c>
      <c r="M312" s="78">
        <f>IF(L312="","",'Contractors'!L312)</f>
        <v/>
      </c>
      <c r="N312" s="78">
        <f>IF(OR(L312="",M312&lt;&gt;"Yes"),"",IF(COUNTIFS('Vault'!$C$6:$C$1005,"Contract",'Vault'!$D$6:$D$1005,L312)&gt;0,"✓","✗ missing"))</f>
        <v/>
      </c>
      <c r="O312" s="78">
        <f>IF(OR(L312="",M312&lt;&gt;"Yes"),"",IF(COUNTIFS('Vault'!$C$6:$C$1005,"Insurance",'Vault'!$D$6:$D$1005,L312)&gt;0,"✓","✗ missing"))</f>
        <v/>
      </c>
      <c r="P312" s="78">
        <f>IF(OR(L312="",M312&lt;&gt;"Yes"),"",IF(COUNTIFS('Vault'!$C$6:$C$1005,"Quote",'Vault'!$D$6:$D$1005,L312)&gt;0,"✓","✗ missing"))</f>
        <v/>
      </c>
      <c r="Q312" s="78">
        <f>IF(N312="","",IF(AND(N312="✓",O312="✓",P312="✓"),"✓ Complete","Missing documents"))</f>
        <v/>
      </c>
      <c r="R312" s="79">
        <f>IF(Q312="","",IF(Q312="✓ Complete",0,1))</f>
        <v/>
      </c>
    </row>
    <row r="313" ht="20" customHeight="1">
      <c r="B313" s="72" t="n"/>
      <c r="C313" s="72" t="n"/>
      <c r="D313" s="72" t="n"/>
      <c r="E313" s="72" t="n"/>
      <c r="F313" s="72" t="n"/>
      <c r="G313" s="109" t="n"/>
      <c r="H313" s="72" t="n"/>
      <c r="I313" s="78">
        <f>IF(H313="","",HYPERLINK(H313,"Open ↗"))</f>
        <v/>
      </c>
      <c r="J313" s="72" t="n"/>
      <c r="L313" s="116">
        <f>IF('Contractors'!B313="","",'Contractors'!B313)</f>
        <v/>
      </c>
      <c r="M313" s="78">
        <f>IF(L313="","",'Contractors'!L313)</f>
        <v/>
      </c>
      <c r="N313" s="78">
        <f>IF(OR(L313="",M313&lt;&gt;"Yes"),"",IF(COUNTIFS('Vault'!$C$6:$C$1005,"Contract",'Vault'!$D$6:$D$1005,L313)&gt;0,"✓","✗ missing"))</f>
        <v/>
      </c>
      <c r="O313" s="78">
        <f>IF(OR(L313="",M313&lt;&gt;"Yes"),"",IF(COUNTIFS('Vault'!$C$6:$C$1005,"Insurance",'Vault'!$D$6:$D$1005,L313)&gt;0,"✓","✗ missing"))</f>
        <v/>
      </c>
      <c r="P313" s="78">
        <f>IF(OR(L313="",M313&lt;&gt;"Yes"),"",IF(COUNTIFS('Vault'!$C$6:$C$1005,"Quote",'Vault'!$D$6:$D$1005,L313)&gt;0,"✓","✗ missing"))</f>
        <v/>
      </c>
      <c r="Q313" s="78">
        <f>IF(N313="","",IF(AND(N313="✓",O313="✓",P313="✓"),"✓ Complete","Missing documents"))</f>
        <v/>
      </c>
      <c r="R313" s="79">
        <f>IF(Q313="","",IF(Q313="✓ Complete",0,1))</f>
        <v/>
      </c>
    </row>
    <row r="314" ht="20" customHeight="1">
      <c r="B314" s="72" t="n"/>
      <c r="C314" s="72" t="n"/>
      <c r="D314" s="72" t="n"/>
      <c r="E314" s="72" t="n"/>
      <c r="F314" s="72" t="n"/>
      <c r="G314" s="109" t="n"/>
      <c r="H314" s="72" t="n"/>
      <c r="I314" s="78">
        <f>IF(H314="","",HYPERLINK(H314,"Open ↗"))</f>
        <v/>
      </c>
      <c r="J314" s="72" t="n"/>
      <c r="L314" s="116">
        <f>IF('Contractors'!B314="","",'Contractors'!B314)</f>
        <v/>
      </c>
      <c r="M314" s="78">
        <f>IF(L314="","",'Contractors'!L314)</f>
        <v/>
      </c>
      <c r="N314" s="78">
        <f>IF(OR(L314="",M314&lt;&gt;"Yes"),"",IF(COUNTIFS('Vault'!$C$6:$C$1005,"Contract",'Vault'!$D$6:$D$1005,L314)&gt;0,"✓","✗ missing"))</f>
        <v/>
      </c>
      <c r="O314" s="78">
        <f>IF(OR(L314="",M314&lt;&gt;"Yes"),"",IF(COUNTIFS('Vault'!$C$6:$C$1005,"Insurance",'Vault'!$D$6:$D$1005,L314)&gt;0,"✓","✗ missing"))</f>
        <v/>
      </c>
      <c r="P314" s="78">
        <f>IF(OR(L314="",M314&lt;&gt;"Yes"),"",IF(COUNTIFS('Vault'!$C$6:$C$1005,"Quote",'Vault'!$D$6:$D$1005,L314)&gt;0,"✓","✗ missing"))</f>
        <v/>
      </c>
      <c r="Q314" s="78">
        <f>IF(N314="","",IF(AND(N314="✓",O314="✓",P314="✓"),"✓ Complete","Missing documents"))</f>
        <v/>
      </c>
      <c r="R314" s="79">
        <f>IF(Q314="","",IF(Q314="✓ Complete",0,1))</f>
        <v/>
      </c>
    </row>
    <row r="315" ht="20" customHeight="1">
      <c r="B315" s="72" t="n"/>
      <c r="C315" s="72" t="n"/>
      <c r="D315" s="72" t="n"/>
      <c r="E315" s="72" t="n"/>
      <c r="F315" s="72" t="n"/>
      <c r="G315" s="109" t="n"/>
      <c r="H315" s="72" t="n"/>
      <c r="I315" s="78">
        <f>IF(H315="","",HYPERLINK(H315,"Open ↗"))</f>
        <v/>
      </c>
      <c r="J315" s="72" t="n"/>
      <c r="L315" s="116">
        <f>IF('Contractors'!B315="","",'Contractors'!B315)</f>
        <v/>
      </c>
      <c r="M315" s="78">
        <f>IF(L315="","",'Contractors'!L315)</f>
        <v/>
      </c>
      <c r="N315" s="78">
        <f>IF(OR(L315="",M315&lt;&gt;"Yes"),"",IF(COUNTIFS('Vault'!$C$6:$C$1005,"Contract",'Vault'!$D$6:$D$1005,L315)&gt;0,"✓","✗ missing"))</f>
        <v/>
      </c>
      <c r="O315" s="78">
        <f>IF(OR(L315="",M315&lt;&gt;"Yes"),"",IF(COUNTIFS('Vault'!$C$6:$C$1005,"Insurance",'Vault'!$D$6:$D$1005,L315)&gt;0,"✓","✗ missing"))</f>
        <v/>
      </c>
      <c r="P315" s="78">
        <f>IF(OR(L315="",M315&lt;&gt;"Yes"),"",IF(COUNTIFS('Vault'!$C$6:$C$1005,"Quote",'Vault'!$D$6:$D$1005,L315)&gt;0,"✓","✗ missing"))</f>
        <v/>
      </c>
      <c r="Q315" s="78">
        <f>IF(N315="","",IF(AND(N315="✓",O315="✓",P315="✓"),"✓ Complete","Missing documents"))</f>
        <v/>
      </c>
      <c r="R315" s="79">
        <f>IF(Q315="","",IF(Q315="✓ Complete",0,1))</f>
        <v/>
      </c>
    </row>
    <row r="316" ht="20" customHeight="1">
      <c r="B316" s="72" t="n"/>
      <c r="C316" s="72" t="n"/>
      <c r="D316" s="72" t="n"/>
      <c r="E316" s="72" t="n"/>
      <c r="F316" s="72" t="n"/>
      <c r="G316" s="109" t="n"/>
      <c r="H316" s="72" t="n"/>
      <c r="I316" s="78">
        <f>IF(H316="","",HYPERLINK(H316,"Open ↗"))</f>
        <v/>
      </c>
      <c r="J316" s="72" t="n"/>
      <c r="L316" s="116">
        <f>IF('Contractors'!B316="","",'Contractors'!B316)</f>
        <v/>
      </c>
      <c r="M316" s="78">
        <f>IF(L316="","",'Contractors'!L316)</f>
        <v/>
      </c>
      <c r="N316" s="78">
        <f>IF(OR(L316="",M316&lt;&gt;"Yes"),"",IF(COUNTIFS('Vault'!$C$6:$C$1005,"Contract",'Vault'!$D$6:$D$1005,L316)&gt;0,"✓","✗ missing"))</f>
        <v/>
      </c>
      <c r="O316" s="78">
        <f>IF(OR(L316="",M316&lt;&gt;"Yes"),"",IF(COUNTIFS('Vault'!$C$6:$C$1005,"Insurance",'Vault'!$D$6:$D$1005,L316)&gt;0,"✓","✗ missing"))</f>
        <v/>
      </c>
      <c r="P316" s="78">
        <f>IF(OR(L316="",M316&lt;&gt;"Yes"),"",IF(COUNTIFS('Vault'!$C$6:$C$1005,"Quote",'Vault'!$D$6:$D$1005,L316)&gt;0,"✓","✗ missing"))</f>
        <v/>
      </c>
      <c r="Q316" s="78">
        <f>IF(N316="","",IF(AND(N316="✓",O316="✓",P316="✓"),"✓ Complete","Missing documents"))</f>
        <v/>
      </c>
      <c r="R316" s="79">
        <f>IF(Q316="","",IF(Q316="✓ Complete",0,1))</f>
        <v/>
      </c>
    </row>
    <row r="317" ht="20" customHeight="1">
      <c r="B317" s="72" t="n"/>
      <c r="C317" s="72" t="n"/>
      <c r="D317" s="72" t="n"/>
      <c r="E317" s="72" t="n"/>
      <c r="F317" s="72" t="n"/>
      <c r="G317" s="109" t="n"/>
      <c r="H317" s="72" t="n"/>
      <c r="I317" s="78">
        <f>IF(H317="","",HYPERLINK(H317,"Open ↗"))</f>
        <v/>
      </c>
      <c r="J317" s="72" t="n"/>
      <c r="L317" s="116">
        <f>IF('Contractors'!B317="","",'Contractors'!B317)</f>
        <v/>
      </c>
      <c r="M317" s="78">
        <f>IF(L317="","",'Contractors'!L317)</f>
        <v/>
      </c>
      <c r="N317" s="78">
        <f>IF(OR(L317="",M317&lt;&gt;"Yes"),"",IF(COUNTIFS('Vault'!$C$6:$C$1005,"Contract",'Vault'!$D$6:$D$1005,L317)&gt;0,"✓","✗ missing"))</f>
        <v/>
      </c>
      <c r="O317" s="78">
        <f>IF(OR(L317="",M317&lt;&gt;"Yes"),"",IF(COUNTIFS('Vault'!$C$6:$C$1005,"Insurance",'Vault'!$D$6:$D$1005,L317)&gt;0,"✓","✗ missing"))</f>
        <v/>
      </c>
      <c r="P317" s="78">
        <f>IF(OR(L317="",M317&lt;&gt;"Yes"),"",IF(COUNTIFS('Vault'!$C$6:$C$1005,"Quote",'Vault'!$D$6:$D$1005,L317)&gt;0,"✓","✗ missing"))</f>
        <v/>
      </c>
      <c r="Q317" s="78">
        <f>IF(N317="","",IF(AND(N317="✓",O317="✓",P317="✓"),"✓ Complete","Missing documents"))</f>
        <v/>
      </c>
      <c r="R317" s="79">
        <f>IF(Q317="","",IF(Q317="✓ Complete",0,1))</f>
        <v/>
      </c>
    </row>
    <row r="318" ht="20" customHeight="1">
      <c r="B318" s="72" t="n"/>
      <c r="C318" s="72" t="n"/>
      <c r="D318" s="72" t="n"/>
      <c r="E318" s="72" t="n"/>
      <c r="F318" s="72" t="n"/>
      <c r="G318" s="109" t="n"/>
      <c r="H318" s="72" t="n"/>
      <c r="I318" s="78">
        <f>IF(H318="","",HYPERLINK(H318,"Open ↗"))</f>
        <v/>
      </c>
      <c r="J318" s="72" t="n"/>
      <c r="L318" s="116">
        <f>IF('Contractors'!B318="","",'Contractors'!B318)</f>
        <v/>
      </c>
      <c r="M318" s="78">
        <f>IF(L318="","",'Contractors'!L318)</f>
        <v/>
      </c>
      <c r="N318" s="78">
        <f>IF(OR(L318="",M318&lt;&gt;"Yes"),"",IF(COUNTIFS('Vault'!$C$6:$C$1005,"Contract",'Vault'!$D$6:$D$1005,L318)&gt;0,"✓","✗ missing"))</f>
        <v/>
      </c>
      <c r="O318" s="78">
        <f>IF(OR(L318="",M318&lt;&gt;"Yes"),"",IF(COUNTIFS('Vault'!$C$6:$C$1005,"Insurance",'Vault'!$D$6:$D$1005,L318)&gt;0,"✓","✗ missing"))</f>
        <v/>
      </c>
      <c r="P318" s="78">
        <f>IF(OR(L318="",M318&lt;&gt;"Yes"),"",IF(COUNTIFS('Vault'!$C$6:$C$1005,"Quote",'Vault'!$D$6:$D$1005,L318)&gt;0,"✓","✗ missing"))</f>
        <v/>
      </c>
      <c r="Q318" s="78">
        <f>IF(N318="","",IF(AND(N318="✓",O318="✓",P318="✓"),"✓ Complete","Missing documents"))</f>
        <v/>
      </c>
      <c r="R318" s="79">
        <f>IF(Q318="","",IF(Q318="✓ Complete",0,1))</f>
        <v/>
      </c>
    </row>
    <row r="319" ht="20" customHeight="1">
      <c r="B319" s="72" t="n"/>
      <c r="C319" s="72" t="n"/>
      <c r="D319" s="72" t="n"/>
      <c r="E319" s="72" t="n"/>
      <c r="F319" s="72" t="n"/>
      <c r="G319" s="109" t="n"/>
      <c r="H319" s="72" t="n"/>
      <c r="I319" s="78">
        <f>IF(H319="","",HYPERLINK(H319,"Open ↗"))</f>
        <v/>
      </c>
      <c r="J319" s="72" t="n"/>
      <c r="L319" s="116">
        <f>IF('Contractors'!B319="","",'Contractors'!B319)</f>
        <v/>
      </c>
      <c r="M319" s="78">
        <f>IF(L319="","",'Contractors'!L319)</f>
        <v/>
      </c>
      <c r="N319" s="78">
        <f>IF(OR(L319="",M319&lt;&gt;"Yes"),"",IF(COUNTIFS('Vault'!$C$6:$C$1005,"Contract",'Vault'!$D$6:$D$1005,L319)&gt;0,"✓","✗ missing"))</f>
        <v/>
      </c>
      <c r="O319" s="78">
        <f>IF(OR(L319="",M319&lt;&gt;"Yes"),"",IF(COUNTIFS('Vault'!$C$6:$C$1005,"Insurance",'Vault'!$D$6:$D$1005,L319)&gt;0,"✓","✗ missing"))</f>
        <v/>
      </c>
      <c r="P319" s="78">
        <f>IF(OR(L319="",M319&lt;&gt;"Yes"),"",IF(COUNTIFS('Vault'!$C$6:$C$1005,"Quote",'Vault'!$D$6:$D$1005,L319)&gt;0,"✓","✗ missing"))</f>
        <v/>
      </c>
      <c r="Q319" s="78">
        <f>IF(N319="","",IF(AND(N319="✓",O319="✓",P319="✓"),"✓ Complete","Missing documents"))</f>
        <v/>
      </c>
      <c r="R319" s="79">
        <f>IF(Q319="","",IF(Q319="✓ Complete",0,1))</f>
        <v/>
      </c>
    </row>
    <row r="320" ht="20" customHeight="1">
      <c r="B320" s="72" t="n"/>
      <c r="C320" s="72" t="n"/>
      <c r="D320" s="72" t="n"/>
      <c r="E320" s="72" t="n"/>
      <c r="F320" s="72" t="n"/>
      <c r="G320" s="109" t="n"/>
      <c r="H320" s="72" t="n"/>
      <c r="I320" s="78">
        <f>IF(H320="","",HYPERLINK(H320,"Open ↗"))</f>
        <v/>
      </c>
      <c r="J320" s="72" t="n"/>
      <c r="L320" s="116">
        <f>IF('Contractors'!B320="","",'Contractors'!B320)</f>
        <v/>
      </c>
      <c r="M320" s="78">
        <f>IF(L320="","",'Contractors'!L320)</f>
        <v/>
      </c>
      <c r="N320" s="78">
        <f>IF(OR(L320="",M320&lt;&gt;"Yes"),"",IF(COUNTIFS('Vault'!$C$6:$C$1005,"Contract",'Vault'!$D$6:$D$1005,L320)&gt;0,"✓","✗ missing"))</f>
        <v/>
      </c>
      <c r="O320" s="78">
        <f>IF(OR(L320="",M320&lt;&gt;"Yes"),"",IF(COUNTIFS('Vault'!$C$6:$C$1005,"Insurance",'Vault'!$D$6:$D$1005,L320)&gt;0,"✓","✗ missing"))</f>
        <v/>
      </c>
      <c r="P320" s="78">
        <f>IF(OR(L320="",M320&lt;&gt;"Yes"),"",IF(COUNTIFS('Vault'!$C$6:$C$1005,"Quote",'Vault'!$D$6:$D$1005,L320)&gt;0,"✓","✗ missing"))</f>
        <v/>
      </c>
      <c r="Q320" s="78">
        <f>IF(N320="","",IF(AND(N320="✓",O320="✓",P320="✓"),"✓ Complete","Missing documents"))</f>
        <v/>
      </c>
      <c r="R320" s="79">
        <f>IF(Q320="","",IF(Q320="✓ Complete",0,1))</f>
        <v/>
      </c>
    </row>
    <row r="321" ht="20" customHeight="1">
      <c r="B321" s="72" t="n"/>
      <c r="C321" s="72" t="n"/>
      <c r="D321" s="72" t="n"/>
      <c r="E321" s="72" t="n"/>
      <c r="F321" s="72" t="n"/>
      <c r="G321" s="109" t="n"/>
      <c r="H321" s="72" t="n"/>
      <c r="I321" s="78">
        <f>IF(H321="","",HYPERLINK(H321,"Open ↗"))</f>
        <v/>
      </c>
      <c r="J321" s="72" t="n"/>
      <c r="L321" s="116">
        <f>IF('Contractors'!B321="","",'Contractors'!B321)</f>
        <v/>
      </c>
      <c r="M321" s="78">
        <f>IF(L321="","",'Contractors'!L321)</f>
        <v/>
      </c>
      <c r="N321" s="78">
        <f>IF(OR(L321="",M321&lt;&gt;"Yes"),"",IF(COUNTIFS('Vault'!$C$6:$C$1005,"Contract",'Vault'!$D$6:$D$1005,L321)&gt;0,"✓","✗ missing"))</f>
        <v/>
      </c>
      <c r="O321" s="78">
        <f>IF(OR(L321="",M321&lt;&gt;"Yes"),"",IF(COUNTIFS('Vault'!$C$6:$C$1005,"Insurance",'Vault'!$D$6:$D$1005,L321)&gt;0,"✓","✗ missing"))</f>
        <v/>
      </c>
      <c r="P321" s="78">
        <f>IF(OR(L321="",M321&lt;&gt;"Yes"),"",IF(COUNTIFS('Vault'!$C$6:$C$1005,"Quote",'Vault'!$D$6:$D$1005,L321)&gt;0,"✓","✗ missing"))</f>
        <v/>
      </c>
      <c r="Q321" s="78">
        <f>IF(N321="","",IF(AND(N321="✓",O321="✓",P321="✓"),"✓ Complete","Missing documents"))</f>
        <v/>
      </c>
      <c r="R321" s="79">
        <f>IF(Q321="","",IF(Q321="✓ Complete",0,1))</f>
        <v/>
      </c>
    </row>
    <row r="322" ht="20" customHeight="1">
      <c r="B322" s="72" t="n"/>
      <c r="C322" s="72" t="n"/>
      <c r="D322" s="72" t="n"/>
      <c r="E322" s="72" t="n"/>
      <c r="F322" s="72" t="n"/>
      <c r="G322" s="109" t="n"/>
      <c r="H322" s="72" t="n"/>
      <c r="I322" s="78">
        <f>IF(H322="","",HYPERLINK(H322,"Open ↗"))</f>
        <v/>
      </c>
      <c r="J322" s="72" t="n"/>
      <c r="L322" s="116">
        <f>IF('Contractors'!B322="","",'Contractors'!B322)</f>
        <v/>
      </c>
      <c r="M322" s="78">
        <f>IF(L322="","",'Contractors'!L322)</f>
        <v/>
      </c>
      <c r="N322" s="78">
        <f>IF(OR(L322="",M322&lt;&gt;"Yes"),"",IF(COUNTIFS('Vault'!$C$6:$C$1005,"Contract",'Vault'!$D$6:$D$1005,L322)&gt;0,"✓","✗ missing"))</f>
        <v/>
      </c>
      <c r="O322" s="78">
        <f>IF(OR(L322="",M322&lt;&gt;"Yes"),"",IF(COUNTIFS('Vault'!$C$6:$C$1005,"Insurance",'Vault'!$D$6:$D$1005,L322)&gt;0,"✓","✗ missing"))</f>
        <v/>
      </c>
      <c r="P322" s="78">
        <f>IF(OR(L322="",M322&lt;&gt;"Yes"),"",IF(COUNTIFS('Vault'!$C$6:$C$1005,"Quote",'Vault'!$D$6:$D$1005,L322)&gt;0,"✓","✗ missing"))</f>
        <v/>
      </c>
      <c r="Q322" s="78">
        <f>IF(N322="","",IF(AND(N322="✓",O322="✓",P322="✓"),"✓ Complete","Missing documents"))</f>
        <v/>
      </c>
      <c r="R322" s="79">
        <f>IF(Q322="","",IF(Q322="✓ Complete",0,1))</f>
        <v/>
      </c>
    </row>
    <row r="323" ht="20" customHeight="1">
      <c r="B323" s="72" t="n"/>
      <c r="C323" s="72" t="n"/>
      <c r="D323" s="72" t="n"/>
      <c r="E323" s="72" t="n"/>
      <c r="F323" s="72" t="n"/>
      <c r="G323" s="109" t="n"/>
      <c r="H323" s="72" t="n"/>
      <c r="I323" s="78">
        <f>IF(H323="","",HYPERLINK(H323,"Open ↗"))</f>
        <v/>
      </c>
      <c r="J323" s="72" t="n"/>
      <c r="L323" s="116">
        <f>IF('Contractors'!B323="","",'Contractors'!B323)</f>
        <v/>
      </c>
      <c r="M323" s="78">
        <f>IF(L323="","",'Contractors'!L323)</f>
        <v/>
      </c>
      <c r="N323" s="78">
        <f>IF(OR(L323="",M323&lt;&gt;"Yes"),"",IF(COUNTIFS('Vault'!$C$6:$C$1005,"Contract",'Vault'!$D$6:$D$1005,L323)&gt;0,"✓","✗ missing"))</f>
        <v/>
      </c>
      <c r="O323" s="78">
        <f>IF(OR(L323="",M323&lt;&gt;"Yes"),"",IF(COUNTIFS('Vault'!$C$6:$C$1005,"Insurance",'Vault'!$D$6:$D$1005,L323)&gt;0,"✓","✗ missing"))</f>
        <v/>
      </c>
      <c r="P323" s="78">
        <f>IF(OR(L323="",M323&lt;&gt;"Yes"),"",IF(COUNTIFS('Vault'!$C$6:$C$1005,"Quote",'Vault'!$D$6:$D$1005,L323)&gt;0,"✓","✗ missing"))</f>
        <v/>
      </c>
      <c r="Q323" s="78">
        <f>IF(N323="","",IF(AND(N323="✓",O323="✓",P323="✓"),"✓ Complete","Missing documents"))</f>
        <v/>
      </c>
      <c r="R323" s="79">
        <f>IF(Q323="","",IF(Q323="✓ Complete",0,1))</f>
        <v/>
      </c>
    </row>
    <row r="324" ht="20" customHeight="1">
      <c r="B324" s="72" t="n"/>
      <c r="C324" s="72" t="n"/>
      <c r="D324" s="72" t="n"/>
      <c r="E324" s="72" t="n"/>
      <c r="F324" s="72" t="n"/>
      <c r="G324" s="109" t="n"/>
      <c r="H324" s="72" t="n"/>
      <c r="I324" s="78">
        <f>IF(H324="","",HYPERLINK(H324,"Open ↗"))</f>
        <v/>
      </c>
      <c r="J324" s="72" t="n"/>
      <c r="L324" s="116">
        <f>IF('Contractors'!B324="","",'Contractors'!B324)</f>
        <v/>
      </c>
      <c r="M324" s="78">
        <f>IF(L324="","",'Contractors'!L324)</f>
        <v/>
      </c>
      <c r="N324" s="78">
        <f>IF(OR(L324="",M324&lt;&gt;"Yes"),"",IF(COUNTIFS('Vault'!$C$6:$C$1005,"Contract",'Vault'!$D$6:$D$1005,L324)&gt;0,"✓","✗ missing"))</f>
        <v/>
      </c>
      <c r="O324" s="78">
        <f>IF(OR(L324="",M324&lt;&gt;"Yes"),"",IF(COUNTIFS('Vault'!$C$6:$C$1005,"Insurance",'Vault'!$D$6:$D$1005,L324)&gt;0,"✓","✗ missing"))</f>
        <v/>
      </c>
      <c r="P324" s="78">
        <f>IF(OR(L324="",M324&lt;&gt;"Yes"),"",IF(COUNTIFS('Vault'!$C$6:$C$1005,"Quote",'Vault'!$D$6:$D$1005,L324)&gt;0,"✓","✗ missing"))</f>
        <v/>
      </c>
      <c r="Q324" s="78">
        <f>IF(N324="","",IF(AND(N324="✓",O324="✓",P324="✓"),"✓ Complete","Missing documents"))</f>
        <v/>
      </c>
      <c r="R324" s="79">
        <f>IF(Q324="","",IF(Q324="✓ Complete",0,1))</f>
        <v/>
      </c>
    </row>
    <row r="325" ht="20" customHeight="1">
      <c r="B325" s="72" t="n"/>
      <c r="C325" s="72" t="n"/>
      <c r="D325" s="72" t="n"/>
      <c r="E325" s="72" t="n"/>
      <c r="F325" s="72" t="n"/>
      <c r="G325" s="109" t="n"/>
      <c r="H325" s="72" t="n"/>
      <c r="I325" s="78">
        <f>IF(H325="","",HYPERLINK(H325,"Open ↗"))</f>
        <v/>
      </c>
      <c r="J325" s="72" t="n"/>
      <c r="L325" s="116">
        <f>IF('Contractors'!B325="","",'Contractors'!B325)</f>
        <v/>
      </c>
      <c r="M325" s="78">
        <f>IF(L325="","",'Contractors'!L325)</f>
        <v/>
      </c>
      <c r="N325" s="78">
        <f>IF(OR(L325="",M325&lt;&gt;"Yes"),"",IF(COUNTIFS('Vault'!$C$6:$C$1005,"Contract",'Vault'!$D$6:$D$1005,L325)&gt;0,"✓","✗ missing"))</f>
        <v/>
      </c>
      <c r="O325" s="78">
        <f>IF(OR(L325="",M325&lt;&gt;"Yes"),"",IF(COUNTIFS('Vault'!$C$6:$C$1005,"Insurance",'Vault'!$D$6:$D$1005,L325)&gt;0,"✓","✗ missing"))</f>
        <v/>
      </c>
      <c r="P325" s="78">
        <f>IF(OR(L325="",M325&lt;&gt;"Yes"),"",IF(COUNTIFS('Vault'!$C$6:$C$1005,"Quote",'Vault'!$D$6:$D$1005,L325)&gt;0,"✓","✗ missing"))</f>
        <v/>
      </c>
      <c r="Q325" s="78">
        <f>IF(N325="","",IF(AND(N325="✓",O325="✓",P325="✓"),"✓ Complete","Missing documents"))</f>
        <v/>
      </c>
      <c r="R325" s="79">
        <f>IF(Q325="","",IF(Q325="✓ Complete",0,1))</f>
        <v/>
      </c>
    </row>
    <row r="326" ht="20" customHeight="1">
      <c r="B326" s="72" t="n"/>
      <c r="C326" s="72" t="n"/>
      <c r="D326" s="72" t="n"/>
      <c r="E326" s="72" t="n"/>
      <c r="F326" s="72" t="n"/>
      <c r="G326" s="109" t="n"/>
      <c r="H326" s="72" t="n"/>
      <c r="I326" s="78">
        <f>IF(H326="","",HYPERLINK(H326,"Open ↗"))</f>
        <v/>
      </c>
      <c r="J326" s="72" t="n"/>
      <c r="L326" s="116">
        <f>IF('Contractors'!B326="","",'Contractors'!B326)</f>
        <v/>
      </c>
      <c r="M326" s="78">
        <f>IF(L326="","",'Contractors'!L326)</f>
        <v/>
      </c>
      <c r="N326" s="78">
        <f>IF(OR(L326="",M326&lt;&gt;"Yes"),"",IF(COUNTIFS('Vault'!$C$6:$C$1005,"Contract",'Vault'!$D$6:$D$1005,L326)&gt;0,"✓","✗ missing"))</f>
        <v/>
      </c>
      <c r="O326" s="78">
        <f>IF(OR(L326="",M326&lt;&gt;"Yes"),"",IF(COUNTIFS('Vault'!$C$6:$C$1005,"Insurance",'Vault'!$D$6:$D$1005,L326)&gt;0,"✓","✗ missing"))</f>
        <v/>
      </c>
      <c r="P326" s="78">
        <f>IF(OR(L326="",M326&lt;&gt;"Yes"),"",IF(COUNTIFS('Vault'!$C$6:$C$1005,"Quote",'Vault'!$D$6:$D$1005,L326)&gt;0,"✓","✗ missing"))</f>
        <v/>
      </c>
      <c r="Q326" s="78">
        <f>IF(N326="","",IF(AND(N326="✓",O326="✓",P326="✓"),"✓ Complete","Missing documents"))</f>
        <v/>
      </c>
      <c r="R326" s="79">
        <f>IF(Q326="","",IF(Q326="✓ Complete",0,1))</f>
        <v/>
      </c>
    </row>
    <row r="327" ht="20" customHeight="1">
      <c r="B327" s="72" t="n"/>
      <c r="C327" s="72" t="n"/>
      <c r="D327" s="72" t="n"/>
      <c r="E327" s="72" t="n"/>
      <c r="F327" s="72" t="n"/>
      <c r="G327" s="109" t="n"/>
      <c r="H327" s="72" t="n"/>
      <c r="I327" s="78">
        <f>IF(H327="","",HYPERLINK(H327,"Open ↗"))</f>
        <v/>
      </c>
      <c r="J327" s="72" t="n"/>
      <c r="L327" s="116">
        <f>IF('Contractors'!B327="","",'Contractors'!B327)</f>
        <v/>
      </c>
      <c r="M327" s="78">
        <f>IF(L327="","",'Contractors'!L327)</f>
        <v/>
      </c>
      <c r="N327" s="78">
        <f>IF(OR(L327="",M327&lt;&gt;"Yes"),"",IF(COUNTIFS('Vault'!$C$6:$C$1005,"Contract",'Vault'!$D$6:$D$1005,L327)&gt;0,"✓","✗ missing"))</f>
        <v/>
      </c>
      <c r="O327" s="78">
        <f>IF(OR(L327="",M327&lt;&gt;"Yes"),"",IF(COUNTIFS('Vault'!$C$6:$C$1005,"Insurance",'Vault'!$D$6:$D$1005,L327)&gt;0,"✓","✗ missing"))</f>
        <v/>
      </c>
      <c r="P327" s="78">
        <f>IF(OR(L327="",M327&lt;&gt;"Yes"),"",IF(COUNTIFS('Vault'!$C$6:$C$1005,"Quote",'Vault'!$D$6:$D$1005,L327)&gt;0,"✓","✗ missing"))</f>
        <v/>
      </c>
      <c r="Q327" s="78">
        <f>IF(N327="","",IF(AND(N327="✓",O327="✓",P327="✓"),"✓ Complete","Missing documents"))</f>
        <v/>
      </c>
      <c r="R327" s="79">
        <f>IF(Q327="","",IF(Q327="✓ Complete",0,1))</f>
        <v/>
      </c>
    </row>
    <row r="328" ht="20" customHeight="1">
      <c r="B328" s="72" t="n"/>
      <c r="C328" s="72" t="n"/>
      <c r="D328" s="72" t="n"/>
      <c r="E328" s="72" t="n"/>
      <c r="F328" s="72" t="n"/>
      <c r="G328" s="109" t="n"/>
      <c r="H328" s="72" t="n"/>
      <c r="I328" s="78">
        <f>IF(H328="","",HYPERLINK(H328,"Open ↗"))</f>
        <v/>
      </c>
      <c r="J328" s="72" t="n"/>
      <c r="L328" s="116">
        <f>IF('Contractors'!B328="","",'Contractors'!B328)</f>
        <v/>
      </c>
      <c r="M328" s="78">
        <f>IF(L328="","",'Contractors'!L328)</f>
        <v/>
      </c>
      <c r="N328" s="78">
        <f>IF(OR(L328="",M328&lt;&gt;"Yes"),"",IF(COUNTIFS('Vault'!$C$6:$C$1005,"Contract",'Vault'!$D$6:$D$1005,L328)&gt;0,"✓","✗ missing"))</f>
        <v/>
      </c>
      <c r="O328" s="78">
        <f>IF(OR(L328="",M328&lt;&gt;"Yes"),"",IF(COUNTIFS('Vault'!$C$6:$C$1005,"Insurance",'Vault'!$D$6:$D$1005,L328)&gt;0,"✓","✗ missing"))</f>
        <v/>
      </c>
      <c r="P328" s="78">
        <f>IF(OR(L328="",M328&lt;&gt;"Yes"),"",IF(COUNTIFS('Vault'!$C$6:$C$1005,"Quote",'Vault'!$D$6:$D$1005,L328)&gt;0,"✓","✗ missing"))</f>
        <v/>
      </c>
      <c r="Q328" s="78">
        <f>IF(N328="","",IF(AND(N328="✓",O328="✓",P328="✓"),"✓ Complete","Missing documents"))</f>
        <v/>
      </c>
      <c r="R328" s="79">
        <f>IF(Q328="","",IF(Q328="✓ Complete",0,1))</f>
        <v/>
      </c>
    </row>
    <row r="329" ht="20" customHeight="1">
      <c r="B329" s="72" t="n"/>
      <c r="C329" s="72" t="n"/>
      <c r="D329" s="72" t="n"/>
      <c r="E329" s="72" t="n"/>
      <c r="F329" s="72" t="n"/>
      <c r="G329" s="109" t="n"/>
      <c r="H329" s="72" t="n"/>
      <c r="I329" s="78">
        <f>IF(H329="","",HYPERLINK(H329,"Open ↗"))</f>
        <v/>
      </c>
      <c r="J329" s="72" t="n"/>
      <c r="L329" s="116">
        <f>IF('Contractors'!B329="","",'Contractors'!B329)</f>
        <v/>
      </c>
      <c r="M329" s="78">
        <f>IF(L329="","",'Contractors'!L329)</f>
        <v/>
      </c>
      <c r="N329" s="78">
        <f>IF(OR(L329="",M329&lt;&gt;"Yes"),"",IF(COUNTIFS('Vault'!$C$6:$C$1005,"Contract",'Vault'!$D$6:$D$1005,L329)&gt;0,"✓","✗ missing"))</f>
        <v/>
      </c>
      <c r="O329" s="78">
        <f>IF(OR(L329="",M329&lt;&gt;"Yes"),"",IF(COUNTIFS('Vault'!$C$6:$C$1005,"Insurance",'Vault'!$D$6:$D$1005,L329)&gt;0,"✓","✗ missing"))</f>
        <v/>
      </c>
      <c r="P329" s="78">
        <f>IF(OR(L329="",M329&lt;&gt;"Yes"),"",IF(COUNTIFS('Vault'!$C$6:$C$1005,"Quote",'Vault'!$D$6:$D$1005,L329)&gt;0,"✓","✗ missing"))</f>
        <v/>
      </c>
      <c r="Q329" s="78">
        <f>IF(N329="","",IF(AND(N329="✓",O329="✓",P329="✓"),"✓ Complete","Missing documents"))</f>
        <v/>
      </c>
      <c r="R329" s="79">
        <f>IF(Q329="","",IF(Q329="✓ Complete",0,1))</f>
        <v/>
      </c>
    </row>
    <row r="330" ht="20" customHeight="1">
      <c r="B330" s="72" t="n"/>
      <c r="C330" s="72" t="n"/>
      <c r="D330" s="72" t="n"/>
      <c r="E330" s="72" t="n"/>
      <c r="F330" s="72" t="n"/>
      <c r="G330" s="109" t="n"/>
      <c r="H330" s="72" t="n"/>
      <c r="I330" s="78">
        <f>IF(H330="","",HYPERLINK(H330,"Open ↗"))</f>
        <v/>
      </c>
      <c r="J330" s="72" t="n"/>
      <c r="L330" s="116">
        <f>IF('Contractors'!B330="","",'Contractors'!B330)</f>
        <v/>
      </c>
      <c r="M330" s="78">
        <f>IF(L330="","",'Contractors'!L330)</f>
        <v/>
      </c>
      <c r="N330" s="78">
        <f>IF(OR(L330="",M330&lt;&gt;"Yes"),"",IF(COUNTIFS('Vault'!$C$6:$C$1005,"Contract",'Vault'!$D$6:$D$1005,L330)&gt;0,"✓","✗ missing"))</f>
        <v/>
      </c>
      <c r="O330" s="78">
        <f>IF(OR(L330="",M330&lt;&gt;"Yes"),"",IF(COUNTIFS('Vault'!$C$6:$C$1005,"Insurance",'Vault'!$D$6:$D$1005,L330)&gt;0,"✓","✗ missing"))</f>
        <v/>
      </c>
      <c r="P330" s="78">
        <f>IF(OR(L330="",M330&lt;&gt;"Yes"),"",IF(COUNTIFS('Vault'!$C$6:$C$1005,"Quote",'Vault'!$D$6:$D$1005,L330)&gt;0,"✓","✗ missing"))</f>
        <v/>
      </c>
      <c r="Q330" s="78">
        <f>IF(N330="","",IF(AND(N330="✓",O330="✓",P330="✓"),"✓ Complete","Missing documents"))</f>
        <v/>
      </c>
      <c r="R330" s="79">
        <f>IF(Q330="","",IF(Q330="✓ Complete",0,1))</f>
        <v/>
      </c>
    </row>
    <row r="331" ht="20" customHeight="1">
      <c r="B331" s="72" t="n"/>
      <c r="C331" s="72" t="n"/>
      <c r="D331" s="72" t="n"/>
      <c r="E331" s="72" t="n"/>
      <c r="F331" s="72" t="n"/>
      <c r="G331" s="109" t="n"/>
      <c r="H331" s="72" t="n"/>
      <c r="I331" s="78">
        <f>IF(H331="","",HYPERLINK(H331,"Open ↗"))</f>
        <v/>
      </c>
      <c r="J331" s="72" t="n"/>
      <c r="L331" s="116">
        <f>IF('Contractors'!B331="","",'Contractors'!B331)</f>
        <v/>
      </c>
      <c r="M331" s="78">
        <f>IF(L331="","",'Contractors'!L331)</f>
        <v/>
      </c>
      <c r="N331" s="78">
        <f>IF(OR(L331="",M331&lt;&gt;"Yes"),"",IF(COUNTIFS('Vault'!$C$6:$C$1005,"Contract",'Vault'!$D$6:$D$1005,L331)&gt;0,"✓","✗ missing"))</f>
        <v/>
      </c>
      <c r="O331" s="78">
        <f>IF(OR(L331="",M331&lt;&gt;"Yes"),"",IF(COUNTIFS('Vault'!$C$6:$C$1005,"Insurance",'Vault'!$D$6:$D$1005,L331)&gt;0,"✓","✗ missing"))</f>
        <v/>
      </c>
      <c r="P331" s="78">
        <f>IF(OR(L331="",M331&lt;&gt;"Yes"),"",IF(COUNTIFS('Vault'!$C$6:$C$1005,"Quote",'Vault'!$D$6:$D$1005,L331)&gt;0,"✓","✗ missing"))</f>
        <v/>
      </c>
      <c r="Q331" s="78">
        <f>IF(N331="","",IF(AND(N331="✓",O331="✓",P331="✓"),"✓ Complete","Missing documents"))</f>
        <v/>
      </c>
      <c r="R331" s="79">
        <f>IF(Q331="","",IF(Q331="✓ Complete",0,1))</f>
        <v/>
      </c>
    </row>
    <row r="332" ht="20" customHeight="1">
      <c r="B332" s="72" t="n"/>
      <c r="C332" s="72" t="n"/>
      <c r="D332" s="72" t="n"/>
      <c r="E332" s="72" t="n"/>
      <c r="F332" s="72" t="n"/>
      <c r="G332" s="109" t="n"/>
      <c r="H332" s="72" t="n"/>
      <c r="I332" s="78">
        <f>IF(H332="","",HYPERLINK(H332,"Open ↗"))</f>
        <v/>
      </c>
      <c r="J332" s="72" t="n"/>
      <c r="L332" s="116">
        <f>IF('Contractors'!B332="","",'Contractors'!B332)</f>
        <v/>
      </c>
      <c r="M332" s="78">
        <f>IF(L332="","",'Contractors'!L332)</f>
        <v/>
      </c>
      <c r="N332" s="78">
        <f>IF(OR(L332="",M332&lt;&gt;"Yes"),"",IF(COUNTIFS('Vault'!$C$6:$C$1005,"Contract",'Vault'!$D$6:$D$1005,L332)&gt;0,"✓","✗ missing"))</f>
        <v/>
      </c>
      <c r="O332" s="78">
        <f>IF(OR(L332="",M332&lt;&gt;"Yes"),"",IF(COUNTIFS('Vault'!$C$6:$C$1005,"Insurance",'Vault'!$D$6:$D$1005,L332)&gt;0,"✓","✗ missing"))</f>
        <v/>
      </c>
      <c r="P332" s="78">
        <f>IF(OR(L332="",M332&lt;&gt;"Yes"),"",IF(COUNTIFS('Vault'!$C$6:$C$1005,"Quote",'Vault'!$D$6:$D$1005,L332)&gt;0,"✓","✗ missing"))</f>
        <v/>
      </c>
      <c r="Q332" s="78">
        <f>IF(N332="","",IF(AND(N332="✓",O332="✓",P332="✓"),"✓ Complete","Missing documents"))</f>
        <v/>
      </c>
      <c r="R332" s="79">
        <f>IF(Q332="","",IF(Q332="✓ Complete",0,1))</f>
        <v/>
      </c>
    </row>
    <row r="333" ht="20" customHeight="1">
      <c r="B333" s="72" t="n"/>
      <c r="C333" s="72" t="n"/>
      <c r="D333" s="72" t="n"/>
      <c r="E333" s="72" t="n"/>
      <c r="F333" s="72" t="n"/>
      <c r="G333" s="109" t="n"/>
      <c r="H333" s="72" t="n"/>
      <c r="I333" s="78">
        <f>IF(H333="","",HYPERLINK(H333,"Open ↗"))</f>
        <v/>
      </c>
      <c r="J333" s="72" t="n"/>
      <c r="L333" s="116">
        <f>IF('Contractors'!B333="","",'Contractors'!B333)</f>
        <v/>
      </c>
      <c r="M333" s="78">
        <f>IF(L333="","",'Contractors'!L333)</f>
        <v/>
      </c>
      <c r="N333" s="78">
        <f>IF(OR(L333="",M333&lt;&gt;"Yes"),"",IF(COUNTIFS('Vault'!$C$6:$C$1005,"Contract",'Vault'!$D$6:$D$1005,L333)&gt;0,"✓","✗ missing"))</f>
        <v/>
      </c>
      <c r="O333" s="78">
        <f>IF(OR(L333="",M333&lt;&gt;"Yes"),"",IF(COUNTIFS('Vault'!$C$6:$C$1005,"Insurance",'Vault'!$D$6:$D$1005,L333)&gt;0,"✓","✗ missing"))</f>
        <v/>
      </c>
      <c r="P333" s="78">
        <f>IF(OR(L333="",M333&lt;&gt;"Yes"),"",IF(COUNTIFS('Vault'!$C$6:$C$1005,"Quote",'Vault'!$D$6:$D$1005,L333)&gt;0,"✓","✗ missing"))</f>
        <v/>
      </c>
      <c r="Q333" s="78">
        <f>IF(N333="","",IF(AND(N333="✓",O333="✓",P333="✓"),"✓ Complete","Missing documents"))</f>
        <v/>
      </c>
      <c r="R333" s="79">
        <f>IF(Q333="","",IF(Q333="✓ Complete",0,1))</f>
        <v/>
      </c>
    </row>
    <row r="334" ht="20" customHeight="1">
      <c r="B334" s="72" t="n"/>
      <c r="C334" s="72" t="n"/>
      <c r="D334" s="72" t="n"/>
      <c r="E334" s="72" t="n"/>
      <c r="F334" s="72" t="n"/>
      <c r="G334" s="109" t="n"/>
      <c r="H334" s="72" t="n"/>
      <c r="I334" s="78">
        <f>IF(H334="","",HYPERLINK(H334,"Open ↗"))</f>
        <v/>
      </c>
      <c r="J334" s="72" t="n"/>
      <c r="L334" s="116">
        <f>IF('Contractors'!B334="","",'Contractors'!B334)</f>
        <v/>
      </c>
      <c r="M334" s="78">
        <f>IF(L334="","",'Contractors'!L334)</f>
        <v/>
      </c>
      <c r="N334" s="78">
        <f>IF(OR(L334="",M334&lt;&gt;"Yes"),"",IF(COUNTIFS('Vault'!$C$6:$C$1005,"Contract",'Vault'!$D$6:$D$1005,L334)&gt;0,"✓","✗ missing"))</f>
        <v/>
      </c>
      <c r="O334" s="78">
        <f>IF(OR(L334="",M334&lt;&gt;"Yes"),"",IF(COUNTIFS('Vault'!$C$6:$C$1005,"Insurance",'Vault'!$D$6:$D$1005,L334)&gt;0,"✓","✗ missing"))</f>
        <v/>
      </c>
      <c r="P334" s="78">
        <f>IF(OR(L334="",M334&lt;&gt;"Yes"),"",IF(COUNTIFS('Vault'!$C$6:$C$1005,"Quote",'Vault'!$D$6:$D$1005,L334)&gt;0,"✓","✗ missing"))</f>
        <v/>
      </c>
      <c r="Q334" s="78">
        <f>IF(N334="","",IF(AND(N334="✓",O334="✓",P334="✓"),"✓ Complete","Missing documents"))</f>
        <v/>
      </c>
      <c r="R334" s="79">
        <f>IF(Q334="","",IF(Q334="✓ Complete",0,1))</f>
        <v/>
      </c>
    </row>
    <row r="335" ht="20" customHeight="1">
      <c r="B335" s="72" t="n"/>
      <c r="C335" s="72" t="n"/>
      <c r="D335" s="72" t="n"/>
      <c r="E335" s="72" t="n"/>
      <c r="F335" s="72" t="n"/>
      <c r="G335" s="109" t="n"/>
      <c r="H335" s="72" t="n"/>
      <c r="I335" s="78">
        <f>IF(H335="","",HYPERLINK(H335,"Open ↗"))</f>
        <v/>
      </c>
      <c r="J335" s="72" t="n"/>
      <c r="L335" s="116">
        <f>IF('Contractors'!B335="","",'Contractors'!B335)</f>
        <v/>
      </c>
      <c r="M335" s="78">
        <f>IF(L335="","",'Contractors'!L335)</f>
        <v/>
      </c>
      <c r="N335" s="78">
        <f>IF(OR(L335="",M335&lt;&gt;"Yes"),"",IF(COUNTIFS('Vault'!$C$6:$C$1005,"Contract",'Vault'!$D$6:$D$1005,L335)&gt;0,"✓","✗ missing"))</f>
        <v/>
      </c>
      <c r="O335" s="78">
        <f>IF(OR(L335="",M335&lt;&gt;"Yes"),"",IF(COUNTIFS('Vault'!$C$6:$C$1005,"Insurance",'Vault'!$D$6:$D$1005,L335)&gt;0,"✓","✗ missing"))</f>
        <v/>
      </c>
      <c r="P335" s="78">
        <f>IF(OR(L335="",M335&lt;&gt;"Yes"),"",IF(COUNTIFS('Vault'!$C$6:$C$1005,"Quote",'Vault'!$D$6:$D$1005,L335)&gt;0,"✓","✗ missing"))</f>
        <v/>
      </c>
      <c r="Q335" s="78">
        <f>IF(N335="","",IF(AND(N335="✓",O335="✓",P335="✓"),"✓ Complete","Missing documents"))</f>
        <v/>
      </c>
      <c r="R335" s="79">
        <f>IF(Q335="","",IF(Q335="✓ Complete",0,1))</f>
        <v/>
      </c>
    </row>
    <row r="336" ht="20" customHeight="1">
      <c r="B336" s="72" t="n"/>
      <c r="C336" s="72" t="n"/>
      <c r="D336" s="72" t="n"/>
      <c r="E336" s="72" t="n"/>
      <c r="F336" s="72" t="n"/>
      <c r="G336" s="109" t="n"/>
      <c r="H336" s="72" t="n"/>
      <c r="I336" s="78">
        <f>IF(H336="","",HYPERLINK(H336,"Open ↗"))</f>
        <v/>
      </c>
      <c r="J336" s="72" t="n"/>
      <c r="L336" s="116">
        <f>IF('Contractors'!B336="","",'Contractors'!B336)</f>
        <v/>
      </c>
      <c r="M336" s="78">
        <f>IF(L336="","",'Contractors'!L336)</f>
        <v/>
      </c>
      <c r="N336" s="78">
        <f>IF(OR(L336="",M336&lt;&gt;"Yes"),"",IF(COUNTIFS('Vault'!$C$6:$C$1005,"Contract",'Vault'!$D$6:$D$1005,L336)&gt;0,"✓","✗ missing"))</f>
        <v/>
      </c>
      <c r="O336" s="78">
        <f>IF(OR(L336="",M336&lt;&gt;"Yes"),"",IF(COUNTIFS('Vault'!$C$6:$C$1005,"Insurance",'Vault'!$D$6:$D$1005,L336)&gt;0,"✓","✗ missing"))</f>
        <v/>
      </c>
      <c r="P336" s="78">
        <f>IF(OR(L336="",M336&lt;&gt;"Yes"),"",IF(COUNTIFS('Vault'!$C$6:$C$1005,"Quote",'Vault'!$D$6:$D$1005,L336)&gt;0,"✓","✗ missing"))</f>
        <v/>
      </c>
      <c r="Q336" s="78">
        <f>IF(N336="","",IF(AND(N336="✓",O336="✓",P336="✓"),"✓ Complete","Missing documents"))</f>
        <v/>
      </c>
      <c r="R336" s="79">
        <f>IF(Q336="","",IF(Q336="✓ Complete",0,1))</f>
        <v/>
      </c>
    </row>
    <row r="337" ht="20" customHeight="1">
      <c r="B337" s="72" t="n"/>
      <c r="C337" s="72" t="n"/>
      <c r="D337" s="72" t="n"/>
      <c r="E337" s="72" t="n"/>
      <c r="F337" s="72" t="n"/>
      <c r="G337" s="109" t="n"/>
      <c r="H337" s="72" t="n"/>
      <c r="I337" s="78">
        <f>IF(H337="","",HYPERLINK(H337,"Open ↗"))</f>
        <v/>
      </c>
      <c r="J337" s="72" t="n"/>
      <c r="L337" s="116">
        <f>IF('Contractors'!B337="","",'Contractors'!B337)</f>
        <v/>
      </c>
      <c r="M337" s="78">
        <f>IF(L337="","",'Contractors'!L337)</f>
        <v/>
      </c>
      <c r="N337" s="78">
        <f>IF(OR(L337="",M337&lt;&gt;"Yes"),"",IF(COUNTIFS('Vault'!$C$6:$C$1005,"Contract",'Vault'!$D$6:$D$1005,L337)&gt;0,"✓","✗ missing"))</f>
        <v/>
      </c>
      <c r="O337" s="78">
        <f>IF(OR(L337="",M337&lt;&gt;"Yes"),"",IF(COUNTIFS('Vault'!$C$6:$C$1005,"Insurance",'Vault'!$D$6:$D$1005,L337)&gt;0,"✓","✗ missing"))</f>
        <v/>
      </c>
      <c r="P337" s="78">
        <f>IF(OR(L337="",M337&lt;&gt;"Yes"),"",IF(COUNTIFS('Vault'!$C$6:$C$1005,"Quote",'Vault'!$D$6:$D$1005,L337)&gt;0,"✓","✗ missing"))</f>
        <v/>
      </c>
      <c r="Q337" s="78">
        <f>IF(N337="","",IF(AND(N337="✓",O337="✓",P337="✓"),"✓ Complete","Missing documents"))</f>
        <v/>
      </c>
      <c r="R337" s="79">
        <f>IF(Q337="","",IF(Q337="✓ Complete",0,1))</f>
        <v/>
      </c>
    </row>
    <row r="338" ht="20" customHeight="1">
      <c r="B338" s="72" t="n"/>
      <c r="C338" s="72" t="n"/>
      <c r="D338" s="72" t="n"/>
      <c r="E338" s="72" t="n"/>
      <c r="F338" s="72" t="n"/>
      <c r="G338" s="109" t="n"/>
      <c r="H338" s="72" t="n"/>
      <c r="I338" s="78">
        <f>IF(H338="","",HYPERLINK(H338,"Open ↗"))</f>
        <v/>
      </c>
      <c r="J338" s="72" t="n"/>
      <c r="L338" s="116">
        <f>IF('Contractors'!B338="","",'Contractors'!B338)</f>
        <v/>
      </c>
      <c r="M338" s="78">
        <f>IF(L338="","",'Contractors'!L338)</f>
        <v/>
      </c>
      <c r="N338" s="78">
        <f>IF(OR(L338="",M338&lt;&gt;"Yes"),"",IF(COUNTIFS('Vault'!$C$6:$C$1005,"Contract",'Vault'!$D$6:$D$1005,L338)&gt;0,"✓","✗ missing"))</f>
        <v/>
      </c>
      <c r="O338" s="78">
        <f>IF(OR(L338="",M338&lt;&gt;"Yes"),"",IF(COUNTIFS('Vault'!$C$6:$C$1005,"Insurance",'Vault'!$D$6:$D$1005,L338)&gt;0,"✓","✗ missing"))</f>
        <v/>
      </c>
      <c r="P338" s="78">
        <f>IF(OR(L338="",M338&lt;&gt;"Yes"),"",IF(COUNTIFS('Vault'!$C$6:$C$1005,"Quote",'Vault'!$D$6:$D$1005,L338)&gt;0,"✓","✗ missing"))</f>
        <v/>
      </c>
      <c r="Q338" s="78">
        <f>IF(N338="","",IF(AND(N338="✓",O338="✓",P338="✓"),"✓ Complete","Missing documents"))</f>
        <v/>
      </c>
      <c r="R338" s="79">
        <f>IF(Q338="","",IF(Q338="✓ Complete",0,1))</f>
        <v/>
      </c>
    </row>
    <row r="339" ht="20" customHeight="1">
      <c r="B339" s="72" t="n"/>
      <c r="C339" s="72" t="n"/>
      <c r="D339" s="72" t="n"/>
      <c r="E339" s="72" t="n"/>
      <c r="F339" s="72" t="n"/>
      <c r="G339" s="109" t="n"/>
      <c r="H339" s="72" t="n"/>
      <c r="I339" s="78">
        <f>IF(H339="","",HYPERLINK(H339,"Open ↗"))</f>
        <v/>
      </c>
      <c r="J339" s="72" t="n"/>
      <c r="L339" s="116">
        <f>IF('Contractors'!B339="","",'Contractors'!B339)</f>
        <v/>
      </c>
      <c r="M339" s="78">
        <f>IF(L339="","",'Contractors'!L339)</f>
        <v/>
      </c>
      <c r="N339" s="78">
        <f>IF(OR(L339="",M339&lt;&gt;"Yes"),"",IF(COUNTIFS('Vault'!$C$6:$C$1005,"Contract",'Vault'!$D$6:$D$1005,L339)&gt;0,"✓","✗ missing"))</f>
        <v/>
      </c>
      <c r="O339" s="78">
        <f>IF(OR(L339="",M339&lt;&gt;"Yes"),"",IF(COUNTIFS('Vault'!$C$6:$C$1005,"Insurance",'Vault'!$D$6:$D$1005,L339)&gt;0,"✓","✗ missing"))</f>
        <v/>
      </c>
      <c r="P339" s="78">
        <f>IF(OR(L339="",M339&lt;&gt;"Yes"),"",IF(COUNTIFS('Vault'!$C$6:$C$1005,"Quote",'Vault'!$D$6:$D$1005,L339)&gt;0,"✓","✗ missing"))</f>
        <v/>
      </c>
      <c r="Q339" s="78">
        <f>IF(N339="","",IF(AND(N339="✓",O339="✓",P339="✓"),"✓ Complete","Missing documents"))</f>
        <v/>
      </c>
      <c r="R339" s="79">
        <f>IF(Q339="","",IF(Q339="✓ Complete",0,1))</f>
        <v/>
      </c>
    </row>
    <row r="340" ht="20" customHeight="1">
      <c r="B340" s="72" t="n"/>
      <c r="C340" s="72" t="n"/>
      <c r="D340" s="72" t="n"/>
      <c r="E340" s="72" t="n"/>
      <c r="F340" s="72" t="n"/>
      <c r="G340" s="109" t="n"/>
      <c r="H340" s="72" t="n"/>
      <c r="I340" s="78">
        <f>IF(H340="","",HYPERLINK(H340,"Open ↗"))</f>
        <v/>
      </c>
      <c r="J340" s="72" t="n"/>
      <c r="L340" s="116">
        <f>IF('Contractors'!B340="","",'Contractors'!B340)</f>
        <v/>
      </c>
      <c r="M340" s="78">
        <f>IF(L340="","",'Contractors'!L340)</f>
        <v/>
      </c>
      <c r="N340" s="78">
        <f>IF(OR(L340="",M340&lt;&gt;"Yes"),"",IF(COUNTIFS('Vault'!$C$6:$C$1005,"Contract",'Vault'!$D$6:$D$1005,L340)&gt;0,"✓","✗ missing"))</f>
        <v/>
      </c>
      <c r="O340" s="78">
        <f>IF(OR(L340="",M340&lt;&gt;"Yes"),"",IF(COUNTIFS('Vault'!$C$6:$C$1005,"Insurance",'Vault'!$D$6:$D$1005,L340)&gt;0,"✓","✗ missing"))</f>
        <v/>
      </c>
      <c r="P340" s="78">
        <f>IF(OR(L340="",M340&lt;&gt;"Yes"),"",IF(COUNTIFS('Vault'!$C$6:$C$1005,"Quote",'Vault'!$D$6:$D$1005,L340)&gt;0,"✓","✗ missing"))</f>
        <v/>
      </c>
      <c r="Q340" s="78">
        <f>IF(N340="","",IF(AND(N340="✓",O340="✓",P340="✓"),"✓ Complete","Missing documents"))</f>
        <v/>
      </c>
      <c r="R340" s="79">
        <f>IF(Q340="","",IF(Q340="✓ Complete",0,1))</f>
        <v/>
      </c>
    </row>
    <row r="341" ht="20" customHeight="1">
      <c r="B341" s="72" t="n"/>
      <c r="C341" s="72" t="n"/>
      <c r="D341" s="72" t="n"/>
      <c r="E341" s="72" t="n"/>
      <c r="F341" s="72" t="n"/>
      <c r="G341" s="109" t="n"/>
      <c r="H341" s="72" t="n"/>
      <c r="I341" s="78">
        <f>IF(H341="","",HYPERLINK(H341,"Open ↗"))</f>
        <v/>
      </c>
      <c r="J341" s="72" t="n"/>
      <c r="L341" s="116">
        <f>IF('Contractors'!B341="","",'Contractors'!B341)</f>
        <v/>
      </c>
      <c r="M341" s="78">
        <f>IF(L341="","",'Contractors'!L341)</f>
        <v/>
      </c>
      <c r="N341" s="78">
        <f>IF(OR(L341="",M341&lt;&gt;"Yes"),"",IF(COUNTIFS('Vault'!$C$6:$C$1005,"Contract",'Vault'!$D$6:$D$1005,L341)&gt;0,"✓","✗ missing"))</f>
        <v/>
      </c>
      <c r="O341" s="78">
        <f>IF(OR(L341="",M341&lt;&gt;"Yes"),"",IF(COUNTIFS('Vault'!$C$6:$C$1005,"Insurance",'Vault'!$D$6:$D$1005,L341)&gt;0,"✓","✗ missing"))</f>
        <v/>
      </c>
      <c r="P341" s="78">
        <f>IF(OR(L341="",M341&lt;&gt;"Yes"),"",IF(COUNTIFS('Vault'!$C$6:$C$1005,"Quote",'Vault'!$D$6:$D$1005,L341)&gt;0,"✓","✗ missing"))</f>
        <v/>
      </c>
      <c r="Q341" s="78">
        <f>IF(N341="","",IF(AND(N341="✓",O341="✓",P341="✓"),"✓ Complete","Missing documents"))</f>
        <v/>
      </c>
      <c r="R341" s="79">
        <f>IF(Q341="","",IF(Q341="✓ Complete",0,1))</f>
        <v/>
      </c>
    </row>
    <row r="342" ht="20" customHeight="1">
      <c r="B342" s="72" t="n"/>
      <c r="C342" s="72" t="n"/>
      <c r="D342" s="72" t="n"/>
      <c r="E342" s="72" t="n"/>
      <c r="F342" s="72" t="n"/>
      <c r="G342" s="109" t="n"/>
      <c r="H342" s="72" t="n"/>
      <c r="I342" s="78">
        <f>IF(H342="","",HYPERLINK(H342,"Open ↗"))</f>
        <v/>
      </c>
      <c r="J342" s="72" t="n"/>
      <c r="L342" s="116">
        <f>IF('Contractors'!B342="","",'Contractors'!B342)</f>
        <v/>
      </c>
      <c r="M342" s="78">
        <f>IF(L342="","",'Contractors'!L342)</f>
        <v/>
      </c>
      <c r="N342" s="78">
        <f>IF(OR(L342="",M342&lt;&gt;"Yes"),"",IF(COUNTIFS('Vault'!$C$6:$C$1005,"Contract",'Vault'!$D$6:$D$1005,L342)&gt;0,"✓","✗ missing"))</f>
        <v/>
      </c>
      <c r="O342" s="78">
        <f>IF(OR(L342="",M342&lt;&gt;"Yes"),"",IF(COUNTIFS('Vault'!$C$6:$C$1005,"Insurance",'Vault'!$D$6:$D$1005,L342)&gt;0,"✓","✗ missing"))</f>
        <v/>
      </c>
      <c r="P342" s="78">
        <f>IF(OR(L342="",M342&lt;&gt;"Yes"),"",IF(COUNTIFS('Vault'!$C$6:$C$1005,"Quote",'Vault'!$D$6:$D$1005,L342)&gt;0,"✓","✗ missing"))</f>
        <v/>
      </c>
      <c r="Q342" s="78">
        <f>IF(N342="","",IF(AND(N342="✓",O342="✓",P342="✓"),"✓ Complete","Missing documents"))</f>
        <v/>
      </c>
      <c r="R342" s="79">
        <f>IF(Q342="","",IF(Q342="✓ Complete",0,1))</f>
        <v/>
      </c>
    </row>
    <row r="343" ht="20" customHeight="1">
      <c r="B343" s="72" t="n"/>
      <c r="C343" s="72" t="n"/>
      <c r="D343" s="72" t="n"/>
      <c r="E343" s="72" t="n"/>
      <c r="F343" s="72" t="n"/>
      <c r="G343" s="109" t="n"/>
      <c r="H343" s="72" t="n"/>
      <c r="I343" s="78">
        <f>IF(H343="","",HYPERLINK(H343,"Open ↗"))</f>
        <v/>
      </c>
      <c r="J343" s="72" t="n"/>
      <c r="L343" s="116">
        <f>IF('Contractors'!B343="","",'Contractors'!B343)</f>
        <v/>
      </c>
      <c r="M343" s="78">
        <f>IF(L343="","",'Contractors'!L343)</f>
        <v/>
      </c>
      <c r="N343" s="78">
        <f>IF(OR(L343="",M343&lt;&gt;"Yes"),"",IF(COUNTIFS('Vault'!$C$6:$C$1005,"Contract",'Vault'!$D$6:$D$1005,L343)&gt;0,"✓","✗ missing"))</f>
        <v/>
      </c>
      <c r="O343" s="78">
        <f>IF(OR(L343="",M343&lt;&gt;"Yes"),"",IF(COUNTIFS('Vault'!$C$6:$C$1005,"Insurance",'Vault'!$D$6:$D$1005,L343)&gt;0,"✓","✗ missing"))</f>
        <v/>
      </c>
      <c r="P343" s="78">
        <f>IF(OR(L343="",M343&lt;&gt;"Yes"),"",IF(COUNTIFS('Vault'!$C$6:$C$1005,"Quote",'Vault'!$D$6:$D$1005,L343)&gt;0,"✓","✗ missing"))</f>
        <v/>
      </c>
      <c r="Q343" s="78">
        <f>IF(N343="","",IF(AND(N343="✓",O343="✓",P343="✓"),"✓ Complete","Missing documents"))</f>
        <v/>
      </c>
      <c r="R343" s="79">
        <f>IF(Q343="","",IF(Q343="✓ Complete",0,1))</f>
        <v/>
      </c>
    </row>
    <row r="344" ht="20" customHeight="1">
      <c r="B344" s="72" t="n"/>
      <c r="C344" s="72" t="n"/>
      <c r="D344" s="72" t="n"/>
      <c r="E344" s="72" t="n"/>
      <c r="F344" s="72" t="n"/>
      <c r="G344" s="109" t="n"/>
      <c r="H344" s="72" t="n"/>
      <c r="I344" s="78">
        <f>IF(H344="","",HYPERLINK(H344,"Open ↗"))</f>
        <v/>
      </c>
      <c r="J344" s="72" t="n"/>
      <c r="L344" s="116">
        <f>IF('Contractors'!B344="","",'Contractors'!B344)</f>
        <v/>
      </c>
      <c r="M344" s="78">
        <f>IF(L344="","",'Contractors'!L344)</f>
        <v/>
      </c>
      <c r="N344" s="78">
        <f>IF(OR(L344="",M344&lt;&gt;"Yes"),"",IF(COUNTIFS('Vault'!$C$6:$C$1005,"Contract",'Vault'!$D$6:$D$1005,L344)&gt;0,"✓","✗ missing"))</f>
        <v/>
      </c>
      <c r="O344" s="78">
        <f>IF(OR(L344="",M344&lt;&gt;"Yes"),"",IF(COUNTIFS('Vault'!$C$6:$C$1005,"Insurance",'Vault'!$D$6:$D$1005,L344)&gt;0,"✓","✗ missing"))</f>
        <v/>
      </c>
      <c r="P344" s="78">
        <f>IF(OR(L344="",M344&lt;&gt;"Yes"),"",IF(COUNTIFS('Vault'!$C$6:$C$1005,"Quote",'Vault'!$D$6:$D$1005,L344)&gt;0,"✓","✗ missing"))</f>
        <v/>
      </c>
      <c r="Q344" s="78">
        <f>IF(N344="","",IF(AND(N344="✓",O344="✓",P344="✓"),"✓ Complete","Missing documents"))</f>
        <v/>
      </c>
      <c r="R344" s="79">
        <f>IF(Q344="","",IF(Q344="✓ Complete",0,1))</f>
        <v/>
      </c>
    </row>
    <row r="345" ht="20" customHeight="1">
      <c r="B345" s="72" t="n"/>
      <c r="C345" s="72" t="n"/>
      <c r="D345" s="72" t="n"/>
      <c r="E345" s="72" t="n"/>
      <c r="F345" s="72" t="n"/>
      <c r="G345" s="109" t="n"/>
      <c r="H345" s="72" t="n"/>
      <c r="I345" s="78">
        <f>IF(H345="","",HYPERLINK(H345,"Open ↗"))</f>
        <v/>
      </c>
      <c r="J345" s="72" t="n"/>
      <c r="L345" s="116">
        <f>IF('Contractors'!B345="","",'Contractors'!B345)</f>
        <v/>
      </c>
      <c r="M345" s="78">
        <f>IF(L345="","",'Contractors'!L345)</f>
        <v/>
      </c>
      <c r="N345" s="78">
        <f>IF(OR(L345="",M345&lt;&gt;"Yes"),"",IF(COUNTIFS('Vault'!$C$6:$C$1005,"Contract",'Vault'!$D$6:$D$1005,L345)&gt;0,"✓","✗ missing"))</f>
        <v/>
      </c>
      <c r="O345" s="78">
        <f>IF(OR(L345="",M345&lt;&gt;"Yes"),"",IF(COUNTIFS('Vault'!$C$6:$C$1005,"Insurance",'Vault'!$D$6:$D$1005,L345)&gt;0,"✓","✗ missing"))</f>
        <v/>
      </c>
      <c r="P345" s="78">
        <f>IF(OR(L345="",M345&lt;&gt;"Yes"),"",IF(COUNTIFS('Vault'!$C$6:$C$1005,"Quote",'Vault'!$D$6:$D$1005,L345)&gt;0,"✓","✗ missing"))</f>
        <v/>
      </c>
      <c r="Q345" s="78">
        <f>IF(N345="","",IF(AND(N345="✓",O345="✓",P345="✓"),"✓ Complete","Missing documents"))</f>
        <v/>
      </c>
      <c r="R345" s="79">
        <f>IF(Q345="","",IF(Q345="✓ Complete",0,1))</f>
        <v/>
      </c>
    </row>
    <row r="346" ht="20" customHeight="1">
      <c r="B346" s="72" t="n"/>
      <c r="C346" s="72" t="n"/>
      <c r="D346" s="72" t="n"/>
      <c r="E346" s="72" t="n"/>
      <c r="F346" s="72" t="n"/>
      <c r="G346" s="109" t="n"/>
      <c r="H346" s="72" t="n"/>
      <c r="I346" s="78">
        <f>IF(H346="","",HYPERLINK(H346,"Open ↗"))</f>
        <v/>
      </c>
      <c r="J346" s="72" t="n"/>
      <c r="L346" s="116">
        <f>IF('Contractors'!B346="","",'Contractors'!B346)</f>
        <v/>
      </c>
      <c r="M346" s="78">
        <f>IF(L346="","",'Contractors'!L346)</f>
        <v/>
      </c>
      <c r="N346" s="78">
        <f>IF(OR(L346="",M346&lt;&gt;"Yes"),"",IF(COUNTIFS('Vault'!$C$6:$C$1005,"Contract",'Vault'!$D$6:$D$1005,L346)&gt;0,"✓","✗ missing"))</f>
        <v/>
      </c>
      <c r="O346" s="78">
        <f>IF(OR(L346="",M346&lt;&gt;"Yes"),"",IF(COUNTIFS('Vault'!$C$6:$C$1005,"Insurance",'Vault'!$D$6:$D$1005,L346)&gt;0,"✓","✗ missing"))</f>
        <v/>
      </c>
      <c r="P346" s="78">
        <f>IF(OR(L346="",M346&lt;&gt;"Yes"),"",IF(COUNTIFS('Vault'!$C$6:$C$1005,"Quote",'Vault'!$D$6:$D$1005,L346)&gt;0,"✓","✗ missing"))</f>
        <v/>
      </c>
      <c r="Q346" s="78">
        <f>IF(N346="","",IF(AND(N346="✓",O346="✓",P346="✓"),"✓ Complete","Missing documents"))</f>
        <v/>
      </c>
      <c r="R346" s="79">
        <f>IF(Q346="","",IF(Q346="✓ Complete",0,1))</f>
        <v/>
      </c>
    </row>
    <row r="347" ht="20" customHeight="1">
      <c r="B347" s="72" t="n"/>
      <c r="C347" s="72" t="n"/>
      <c r="D347" s="72" t="n"/>
      <c r="E347" s="72" t="n"/>
      <c r="F347" s="72" t="n"/>
      <c r="G347" s="109" t="n"/>
      <c r="H347" s="72" t="n"/>
      <c r="I347" s="78">
        <f>IF(H347="","",HYPERLINK(H347,"Open ↗"))</f>
        <v/>
      </c>
      <c r="J347" s="72" t="n"/>
      <c r="L347" s="116">
        <f>IF('Contractors'!B347="","",'Contractors'!B347)</f>
        <v/>
      </c>
      <c r="M347" s="78">
        <f>IF(L347="","",'Contractors'!L347)</f>
        <v/>
      </c>
      <c r="N347" s="78">
        <f>IF(OR(L347="",M347&lt;&gt;"Yes"),"",IF(COUNTIFS('Vault'!$C$6:$C$1005,"Contract",'Vault'!$D$6:$D$1005,L347)&gt;0,"✓","✗ missing"))</f>
        <v/>
      </c>
      <c r="O347" s="78">
        <f>IF(OR(L347="",M347&lt;&gt;"Yes"),"",IF(COUNTIFS('Vault'!$C$6:$C$1005,"Insurance",'Vault'!$D$6:$D$1005,L347)&gt;0,"✓","✗ missing"))</f>
        <v/>
      </c>
      <c r="P347" s="78">
        <f>IF(OR(L347="",M347&lt;&gt;"Yes"),"",IF(COUNTIFS('Vault'!$C$6:$C$1005,"Quote",'Vault'!$D$6:$D$1005,L347)&gt;0,"✓","✗ missing"))</f>
        <v/>
      </c>
      <c r="Q347" s="78">
        <f>IF(N347="","",IF(AND(N347="✓",O347="✓",P347="✓"),"✓ Complete","Missing documents"))</f>
        <v/>
      </c>
      <c r="R347" s="79">
        <f>IF(Q347="","",IF(Q347="✓ Complete",0,1))</f>
        <v/>
      </c>
    </row>
    <row r="348" ht="20" customHeight="1">
      <c r="B348" s="72" t="n"/>
      <c r="C348" s="72" t="n"/>
      <c r="D348" s="72" t="n"/>
      <c r="E348" s="72" t="n"/>
      <c r="F348" s="72" t="n"/>
      <c r="G348" s="109" t="n"/>
      <c r="H348" s="72" t="n"/>
      <c r="I348" s="78">
        <f>IF(H348="","",HYPERLINK(H348,"Open ↗"))</f>
        <v/>
      </c>
      <c r="J348" s="72" t="n"/>
      <c r="L348" s="116">
        <f>IF('Contractors'!B348="","",'Contractors'!B348)</f>
        <v/>
      </c>
      <c r="M348" s="78">
        <f>IF(L348="","",'Contractors'!L348)</f>
        <v/>
      </c>
      <c r="N348" s="78">
        <f>IF(OR(L348="",M348&lt;&gt;"Yes"),"",IF(COUNTIFS('Vault'!$C$6:$C$1005,"Contract",'Vault'!$D$6:$D$1005,L348)&gt;0,"✓","✗ missing"))</f>
        <v/>
      </c>
      <c r="O348" s="78">
        <f>IF(OR(L348="",M348&lt;&gt;"Yes"),"",IF(COUNTIFS('Vault'!$C$6:$C$1005,"Insurance",'Vault'!$D$6:$D$1005,L348)&gt;0,"✓","✗ missing"))</f>
        <v/>
      </c>
      <c r="P348" s="78">
        <f>IF(OR(L348="",M348&lt;&gt;"Yes"),"",IF(COUNTIFS('Vault'!$C$6:$C$1005,"Quote",'Vault'!$D$6:$D$1005,L348)&gt;0,"✓","✗ missing"))</f>
        <v/>
      </c>
      <c r="Q348" s="78">
        <f>IF(N348="","",IF(AND(N348="✓",O348="✓",P348="✓"),"✓ Complete","Missing documents"))</f>
        <v/>
      </c>
      <c r="R348" s="79">
        <f>IF(Q348="","",IF(Q348="✓ Complete",0,1))</f>
        <v/>
      </c>
    </row>
    <row r="349" ht="20" customHeight="1">
      <c r="B349" s="72" t="n"/>
      <c r="C349" s="72" t="n"/>
      <c r="D349" s="72" t="n"/>
      <c r="E349" s="72" t="n"/>
      <c r="F349" s="72" t="n"/>
      <c r="G349" s="109" t="n"/>
      <c r="H349" s="72" t="n"/>
      <c r="I349" s="78">
        <f>IF(H349="","",HYPERLINK(H349,"Open ↗"))</f>
        <v/>
      </c>
      <c r="J349" s="72" t="n"/>
      <c r="L349" s="116">
        <f>IF('Contractors'!B349="","",'Contractors'!B349)</f>
        <v/>
      </c>
      <c r="M349" s="78">
        <f>IF(L349="","",'Contractors'!L349)</f>
        <v/>
      </c>
      <c r="N349" s="78">
        <f>IF(OR(L349="",M349&lt;&gt;"Yes"),"",IF(COUNTIFS('Vault'!$C$6:$C$1005,"Contract",'Vault'!$D$6:$D$1005,L349)&gt;0,"✓","✗ missing"))</f>
        <v/>
      </c>
      <c r="O349" s="78">
        <f>IF(OR(L349="",M349&lt;&gt;"Yes"),"",IF(COUNTIFS('Vault'!$C$6:$C$1005,"Insurance",'Vault'!$D$6:$D$1005,L349)&gt;0,"✓","✗ missing"))</f>
        <v/>
      </c>
      <c r="P349" s="78">
        <f>IF(OR(L349="",M349&lt;&gt;"Yes"),"",IF(COUNTIFS('Vault'!$C$6:$C$1005,"Quote",'Vault'!$D$6:$D$1005,L349)&gt;0,"✓","✗ missing"))</f>
        <v/>
      </c>
      <c r="Q349" s="78">
        <f>IF(N349="","",IF(AND(N349="✓",O349="✓",P349="✓"),"✓ Complete","Missing documents"))</f>
        <v/>
      </c>
      <c r="R349" s="79">
        <f>IF(Q349="","",IF(Q349="✓ Complete",0,1))</f>
        <v/>
      </c>
    </row>
    <row r="350" ht="20" customHeight="1">
      <c r="B350" s="72" t="n"/>
      <c r="C350" s="72" t="n"/>
      <c r="D350" s="72" t="n"/>
      <c r="E350" s="72" t="n"/>
      <c r="F350" s="72" t="n"/>
      <c r="G350" s="109" t="n"/>
      <c r="H350" s="72" t="n"/>
      <c r="I350" s="78">
        <f>IF(H350="","",HYPERLINK(H350,"Open ↗"))</f>
        <v/>
      </c>
      <c r="J350" s="72" t="n"/>
      <c r="L350" s="116">
        <f>IF('Contractors'!B350="","",'Contractors'!B350)</f>
        <v/>
      </c>
      <c r="M350" s="78">
        <f>IF(L350="","",'Contractors'!L350)</f>
        <v/>
      </c>
      <c r="N350" s="78">
        <f>IF(OR(L350="",M350&lt;&gt;"Yes"),"",IF(COUNTIFS('Vault'!$C$6:$C$1005,"Contract",'Vault'!$D$6:$D$1005,L350)&gt;0,"✓","✗ missing"))</f>
        <v/>
      </c>
      <c r="O350" s="78">
        <f>IF(OR(L350="",M350&lt;&gt;"Yes"),"",IF(COUNTIFS('Vault'!$C$6:$C$1005,"Insurance",'Vault'!$D$6:$D$1005,L350)&gt;0,"✓","✗ missing"))</f>
        <v/>
      </c>
      <c r="P350" s="78">
        <f>IF(OR(L350="",M350&lt;&gt;"Yes"),"",IF(COUNTIFS('Vault'!$C$6:$C$1005,"Quote",'Vault'!$D$6:$D$1005,L350)&gt;0,"✓","✗ missing"))</f>
        <v/>
      </c>
      <c r="Q350" s="78">
        <f>IF(N350="","",IF(AND(N350="✓",O350="✓",P350="✓"),"✓ Complete","Missing documents"))</f>
        <v/>
      </c>
      <c r="R350" s="79">
        <f>IF(Q350="","",IF(Q350="✓ Complete",0,1))</f>
        <v/>
      </c>
    </row>
    <row r="351" ht="20" customHeight="1">
      <c r="B351" s="72" t="n"/>
      <c r="C351" s="72" t="n"/>
      <c r="D351" s="72" t="n"/>
      <c r="E351" s="72" t="n"/>
      <c r="F351" s="72" t="n"/>
      <c r="G351" s="109" t="n"/>
      <c r="H351" s="72" t="n"/>
      <c r="I351" s="78">
        <f>IF(H351="","",HYPERLINK(H351,"Open ↗"))</f>
        <v/>
      </c>
      <c r="J351" s="72" t="n"/>
      <c r="L351" s="116">
        <f>IF('Contractors'!B351="","",'Contractors'!B351)</f>
        <v/>
      </c>
      <c r="M351" s="78">
        <f>IF(L351="","",'Contractors'!L351)</f>
        <v/>
      </c>
      <c r="N351" s="78">
        <f>IF(OR(L351="",M351&lt;&gt;"Yes"),"",IF(COUNTIFS('Vault'!$C$6:$C$1005,"Contract",'Vault'!$D$6:$D$1005,L351)&gt;0,"✓","✗ missing"))</f>
        <v/>
      </c>
      <c r="O351" s="78">
        <f>IF(OR(L351="",M351&lt;&gt;"Yes"),"",IF(COUNTIFS('Vault'!$C$6:$C$1005,"Insurance",'Vault'!$D$6:$D$1005,L351)&gt;0,"✓","✗ missing"))</f>
        <v/>
      </c>
      <c r="P351" s="78">
        <f>IF(OR(L351="",M351&lt;&gt;"Yes"),"",IF(COUNTIFS('Vault'!$C$6:$C$1005,"Quote",'Vault'!$D$6:$D$1005,L351)&gt;0,"✓","✗ missing"))</f>
        <v/>
      </c>
      <c r="Q351" s="78">
        <f>IF(N351="","",IF(AND(N351="✓",O351="✓",P351="✓"),"✓ Complete","Missing documents"))</f>
        <v/>
      </c>
      <c r="R351" s="79">
        <f>IF(Q351="","",IF(Q351="✓ Complete",0,1))</f>
        <v/>
      </c>
    </row>
    <row r="352" ht="20" customHeight="1">
      <c r="B352" s="72" t="n"/>
      <c r="C352" s="72" t="n"/>
      <c r="D352" s="72" t="n"/>
      <c r="E352" s="72" t="n"/>
      <c r="F352" s="72" t="n"/>
      <c r="G352" s="109" t="n"/>
      <c r="H352" s="72" t="n"/>
      <c r="I352" s="78">
        <f>IF(H352="","",HYPERLINK(H352,"Open ↗"))</f>
        <v/>
      </c>
      <c r="J352" s="72" t="n"/>
      <c r="L352" s="116">
        <f>IF('Contractors'!B352="","",'Contractors'!B352)</f>
        <v/>
      </c>
      <c r="M352" s="78">
        <f>IF(L352="","",'Contractors'!L352)</f>
        <v/>
      </c>
      <c r="N352" s="78">
        <f>IF(OR(L352="",M352&lt;&gt;"Yes"),"",IF(COUNTIFS('Vault'!$C$6:$C$1005,"Contract",'Vault'!$D$6:$D$1005,L352)&gt;0,"✓","✗ missing"))</f>
        <v/>
      </c>
      <c r="O352" s="78">
        <f>IF(OR(L352="",M352&lt;&gt;"Yes"),"",IF(COUNTIFS('Vault'!$C$6:$C$1005,"Insurance",'Vault'!$D$6:$D$1005,L352)&gt;0,"✓","✗ missing"))</f>
        <v/>
      </c>
      <c r="P352" s="78">
        <f>IF(OR(L352="",M352&lt;&gt;"Yes"),"",IF(COUNTIFS('Vault'!$C$6:$C$1005,"Quote",'Vault'!$D$6:$D$1005,L352)&gt;0,"✓","✗ missing"))</f>
        <v/>
      </c>
      <c r="Q352" s="78">
        <f>IF(N352="","",IF(AND(N352="✓",O352="✓",P352="✓"),"✓ Complete","Missing documents"))</f>
        <v/>
      </c>
      <c r="R352" s="79">
        <f>IF(Q352="","",IF(Q352="✓ Complete",0,1))</f>
        <v/>
      </c>
    </row>
    <row r="353" ht="20" customHeight="1">
      <c r="B353" s="72" t="n"/>
      <c r="C353" s="72" t="n"/>
      <c r="D353" s="72" t="n"/>
      <c r="E353" s="72" t="n"/>
      <c r="F353" s="72" t="n"/>
      <c r="G353" s="109" t="n"/>
      <c r="H353" s="72" t="n"/>
      <c r="I353" s="78">
        <f>IF(H353="","",HYPERLINK(H353,"Open ↗"))</f>
        <v/>
      </c>
      <c r="J353" s="72" t="n"/>
      <c r="L353" s="116">
        <f>IF('Contractors'!B353="","",'Contractors'!B353)</f>
        <v/>
      </c>
      <c r="M353" s="78">
        <f>IF(L353="","",'Contractors'!L353)</f>
        <v/>
      </c>
      <c r="N353" s="78">
        <f>IF(OR(L353="",M353&lt;&gt;"Yes"),"",IF(COUNTIFS('Vault'!$C$6:$C$1005,"Contract",'Vault'!$D$6:$D$1005,L353)&gt;0,"✓","✗ missing"))</f>
        <v/>
      </c>
      <c r="O353" s="78">
        <f>IF(OR(L353="",M353&lt;&gt;"Yes"),"",IF(COUNTIFS('Vault'!$C$6:$C$1005,"Insurance",'Vault'!$D$6:$D$1005,L353)&gt;0,"✓","✗ missing"))</f>
        <v/>
      </c>
      <c r="P353" s="78">
        <f>IF(OR(L353="",M353&lt;&gt;"Yes"),"",IF(COUNTIFS('Vault'!$C$6:$C$1005,"Quote",'Vault'!$D$6:$D$1005,L353)&gt;0,"✓","✗ missing"))</f>
        <v/>
      </c>
      <c r="Q353" s="78">
        <f>IF(N353="","",IF(AND(N353="✓",O353="✓",P353="✓"),"✓ Complete","Missing documents"))</f>
        <v/>
      </c>
      <c r="R353" s="79">
        <f>IF(Q353="","",IF(Q353="✓ Complete",0,1))</f>
        <v/>
      </c>
    </row>
    <row r="354" ht="20" customHeight="1">
      <c r="B354" s="72" t="n"/>
      <c r="C354" s="72" t="n"/>
      <c r="D354" s="72" t="n"/>
      <c r="E354" s="72" t="n"/>
      <c r="F354" s="72" t="n"/>
      <c r="G354" s="109" t="n"/>
      <c r="H354" s="72" t="n"/>
      <c r="I354" s="78">
        <f>IF(H354="","",HYPERLINK(H354,"Open ↗"))</f>
        <v/>
      </c>
      <c r="J354" s="72" t="n"/>
      <c r="L354" s="116">
        <f>IF('Contractors'!B354="","",'Contractors'!B354)</f>
        <v/>
      </c>
      <c r="M354" s="78">
        <f>IF(L354="","",'Contractors'!L354)</f>
        <v/>
      </c>
      <c r="N354" s="78">
        <f>IF(OR(L354="",M354&lt;&gt;"Yes"),"",IF(COUNTIFS('Vault'!$C$6:$C$1005,"Contract",'Vault'!$D$6:$D$1005,L354)&gt;0,"✓","✗ missing"))</f>
        <v/>
      </c>
      <c r="O354" s="78">
        <f>IF(OR(L354="",M354&lt;&gt;"Yes"),"",IF(COUNTIFS('Vault'!$C$6:$C$1005,"Insurance",'Vault'!$D$6:$D$1005,L354)&gt;0,"✓","✗ missing"))</f>
        <v/>
      </c>
      <c r="P354" s="78">
        <f>IF(OR(L354="",M354&lt;&gt;"Yes"),"",IF(COUNTIFS('Vault'!$C$6:$C$1005,"Quote",'Vault'!$D$6:$D$1005,L354)&gt;0,"✓","✗ missing"))</f>
        <v/>
      </c>
      <c r="Q354" s="78">
        <f>IF(N354="","",IF(AND(N354="✓",O354="✓",P354="✓"),"✓ Complete","Missing documents"))</f>
        <v/>
      </c>
      <c r="R354" s="79">
        <f>IF(Q354="","",IF(Q354="✓ Complete",0,1))</f>
        <v/>
      </c>
    </row>
    <row r="355" ht="20" customHeight="1">
      <c r="B355" s="72" t="n"/>
      <c r="C355" s="72" t="n"/>
      <c r="D355" s="72" t="n"/>
      <c r="E355" s="72" t="n"/>
      <c r="F355" s="72" t="n"/>
      <c r="G355" s="109" t="n"/>
      <c r="H355" s="72" t="n"/>
      <c r="I355" s="78">
        <f>IF(H355="","",HYPERLINK(H355,"Open ↗"))</f>
        <v/>
      </c>
      <c r="J355" s="72" t="n"/>
      <c r="L355" s="116">
        <f>IF('Contractors'!B355="","",'Contractors'!B355)</f>
        <v/>
      </c>
      <c r="M355" s="78">
        <f>IF(L355="","",'Contractors'!L355)</f>
        <v/>
      </c>
      <c r="N355" s="78">
        <f>IF(OR(L355="",M355&lt;&gt;"Yes"),"",IF(COUNTIFS('Vault'!$C$6:$C$1005,"Contract",'Vault'!$D$6:$D$1005,L355)&gt;0,"✓","✗ missing"))</f>
        <v/>
      </c>
      <c r="O355" s="78">
        <f>IF(OR(L355="",M355&lt;&gt;"Yes"),"",IF(COUNTIFS('Vault'!$C$6:$C$1005,"Insurance",'Vault'!$D$6:$D$1005,L355)&gt;0,"✓","✗ missing"))</f>
        <v/>
      </c>
      <c r="P355" s="78">
        <f>IF(OR(L355="",M355&lt;&gt;"Yes"),"",IF(COUNTIFS('Vault'!$C$6:$C$1005,"Quote",'Vault'!$D$6:$D$1005,L355)&gt;0,"✓","✗ missing"))</f>
        <v/>
      </c>
      <c r="Q355" s="78">
        <f>IF(N355="","",IF(AND(N355="✓",O355="✓",P355="✓"),"✓ Complete","Missing documents"))</f>
        <v/>
      </c>
      <c r="R355" s="79">
        <f>IF(Q355="","",IF(Q355="✓ Complete",0,1))</f>
        <v/>
      </c>
    </row>
    <row r="356" ht="20" customHeight="1">
      <c r="B356" s="72" t="n"/>
      <c r="C356" s="72" t="n"/>
      <c r="D356" s="72" t="n"/>
      <c r="E356" s="72" t="n"/>
      <c r="F356" s="72" t="n"/>
      <c r="G356" s="109" t="n"/>
      <c r="H356" s="72" t="n"/>
      <c r="I356" s="78">
        <f>IF(H356="","",HYPERLINK(H356,"Open ↗"))</f>
        <v/>
      </c>
      <c r="J356" s="72" t="n"/>
      <c r="L356" s="116">
        <f>IF('Contractors'!B356="","",'Contractors'!B356)</f>
        <v/>
      </c>
      <c r="M356" s="78">
        <f>IF(L356="","",'Contractors'!L356)</f>
        <v/>
      </c>
      <c r="N356" s="78">
        <f>IF(OR(L356="",M356&lt;&gt;"Yes"),"",IF(COUNTIFS('Vault'!$C$6:$C$1005,"Contract",'Vault'!$D$6:$D$1005,L356)&gt;0,"✓","✗ missing"))</f>
        <v/>
      </c>
      <c r="O356" s="78">
        <f>IF(OR(L356="",M356&lt;&gt;"Yes"),"",IF(COUNTIFS('Vault'!$C$6:$C$1005,"Insurance",'Vault'!$D$6:$D$1005,L356)&gt;0,"✓","✗ missing"))</f>
        <v/>
      </c>
      <c r="P356" s="78">
        <f>IF(OR(L356="",M356&lt;&gt;"Yes"),"",IF(COUNTIFS('Vault'!$C$6:$C$1005,"Quote",'Vault'!$D$6:$D$1005,L356)&gt;0,"✓","✗ missing"))</f>
        <v/>
      </c>
      <c r="Q356" s="78">
        <f>IF(N356="","",IF(AND(N356="✓",O356="✓",P356="✓"),"✓ Complete","Missing documents"))</f>
        <v/>
      </c>
      <c r="R356" s="79">
        <f>IF(Q356="","",IF(Q356="✓ Complete",0,1))</f>
        <v/>
      </c>
    </row>
    <row r="357" ht="20" customHeight="1">
      <c r="B357" s="72" t="n"/>
      <c r="C357" s="72" t="n"/>
      <c r="D357" s="72" t="n"/>
      <c r="E357" s="72" t="n"/>
      <c r="F357" s="72" t="n"/>
      <c r="G357" s="109" t="n"/>
      <c r="H357" s="72" t="n"/>
      <c r="I357" s="78">
        <f>IF(H357="","",HYPERLINK(H357,"Open ↗"))</f>
        <v/>
      </c>
      <c r="J357" s="72" t="n"/>
      <c r="L357" s="116">
        <f>IF('Contractors'!B357="","",'Contractors'!B357)</f>
        <v/>
      </c>
      <c r="M357" s="78">
        <f>IF(L357="","",'Contractors'!L357)</f>
        <v/>
      </c>
      <c r="N357" s="78">
        <f>IF(OR(L357="",M357&lt;&gt;"Yes"),"",IF(COUNTIFS('Vault'!$C$6:$C$1005,"Contract",'Vault'!$D$6:$D$1005,L357)&gt;0,"✓","✗ missing"))</f>
        <v/>
      </c>
      <c r="O357" s="78">
        <f>IF(OR(L357="",M357&lt;&gt;"Yes"),"",IF(COUNTIFS('Vault'!$C$6:$C$1005,"Insurance",'Vault'!$D$6:$D$1005,L357)&gt;0,"✓","✗ missing"))</f>
        <v/>
      </c>
      <c r="P357" s="78">
        <f>IF(OR(L357="",M357&lt;&gt;"Yes"),"",IF(COUNTIFS('Vault'!$C$6:$C$1005,"Quote",'Vault'!$D$6:$D$1005,L357)&gt;0,"✓","✗ missing"))</f>
        <v/>
      </c>
      <c r="Q357" s="78">
        <f>IF(N357="","",IF(AND(N357="✓",O357="✓",P357="✓"),"✓ Complete","Missing documents"))</f>
        <v/>
      </c>
      <c r="R357" s="79">
        <f>IF(Q357="","",IF(Q357="✓ Complete",0,1))</f>
        <v/>
      </c>
    </row>
    <row r="358" ht="20" customHeight="1">
      <c r="B358" s="72" t="n"/>
      <c r="C358" s="72" t="n"/>
      <c r="D358" s="72" t="n"/>
      <c r="E358" s="72" t="n"/>
      <c r="F358" s="72" t="n"/>
      <c r="G358" s="109" t="n"/>
      <c r="H358" s="72" t="n"/>
      <c r="I358" s="78">
        <f>IF(H358="","",HYPERLINK(H358,"Open ↗"))</f>
        <v/>
      </c>
      <c r="J358" s="72" t="n"/>
      <c r="L358" s="116">
        <f>IF('Contractors'!B358="","",'Contractors'!B358)</f>
        <v/>
      </c>
      <c r="M358" s="78">
        <f>IF(L358="","",'Contractors'!L358)</f>
        <v/>
      </c>
      <c r="N358" s="78">
        <f>IF(OR(L358="",M358&lt;&gt;"Yes"),"",IF(COUNTIFS('Vault'!$C$6:$C$1005,"Contract",'Vault'!$D$6:$D$1005,L358)&gt;0,"✓","✗ missing"))</f>
        <v/>
      </c>
      <c r="O358" s="78">
        <f>IF(OR(L358="",M358&lt;&gt;"Yes"),"",IF(COUNTIFS('Vault'!$C$6:$C$1005,"Insurance",'Vault'!$D$6:$D$1005,L358)&gt;0,"✓","✗ missing"))</f>
        <v/>
      </c>
      <c r="P358" s="78">
        <f>IF(OR(L358="",M358&lt;&gt;"Yes"),"",IF(COUNTIFS('Vault'!$C$6:$C$1005,"Quote",'Vault'!$D$6:$D$1005,L358)&gt;0,"✓","✗ missing"))</f>
        <v/>
      </c>
      <c r="Q358" s="78">
        <f>IF(N358="","",IF(AND(N358="✓",O358="✓",P358="✓"),"✓ Complete","Missing documents"))</f>
        <v/>
      </c>
      <c r="R358" s="79">
        <f>IF(Q358="","",IF(Q358="✓ Complete",0,1))</f>
        <v/>
      </c>
    </row>
    <row r="359" ht="20" customHeight="1">
      <c r="B359" s="72" t="n"/>
      <c r="C359" s="72" t="n"/>
      <c r="D359" s="72" t="n"/>
      <c r="E359" s="72" t="n"/>
      <c r="F359" s="72" t="n"/>
      <c r="G359" s="109" t="n"/>
      <c r="H359" s="72" t="n"/>
      <c r="I359" s="78">
        <f>IF(H359="","",HYPERLINK(H359,"Open ↗"))</f>
        <v/>
      </c>
      <c r="J359" s="72" t="n"/>
      <c r="L359" s="116">
        <f>IF('Contractors'!B359="","",'Contractors'!B359)</f>
        <v/>
      </c>
      <c r="M359" s="78">
        <f>IF(L359="","",'Contractors'!L359)</f>
        <v/>
      </c>
      <c r="N359" s="78">
        <f>IF(OR(L359="",M359&lt;&gt;"Yes"),"",IF(COUNTIFS('Vault'!$C$6:$C$1005,"Contract",'Vault'!$D$6:$D$1005,L359)&gt;0,"✓","✗ missing"))</f>
        <v/>
      </c>
      <c r="O359" s="78">
        <f>IF(OR(L359="",M359&lt;&gt;"Yes"),"",IF(COUNTIFS('Vault'!$C$6:$C$1005,"Insurance",'Vault'!$D$6:$D$1005,L359)&gt;0,"✓","✗ missing"))</f>
        <v/>
      </c>
      <c r="P359" s="78">
        <f>IF(OR(L359="",M359&lt;&gt;"Yes"),"",IF(COUNTIFS('Vault'!$C$6:$C$1005,"Quote",'Vault'!$D$6:$D$1005,L359)&gt;0,"✓","✗ missing"))</f>
        <v/>
      </c>
      <c r="Q359" s="78">
        <f>IF(N359="","",IF(AND(N359="✓",O359="✓",P359="✓"),"✓ Complete","Missing documents"))</f>
        <v/>
      </c>
      <c r="R359" s="79">
        <f>IF(Q359="","",IF(Q359="✓ Complete",0,1))</f>
        <v/>
      </c>
    </row>
    <row r="360" ht="20" customHeight="1">
      <c r="B360" s="72" t="n"/>
      <c r="C360" s="72" t="n"/>
      <c r="D360" s="72" t="n"/>
      <c r="E360" s="72" t="n"/>
      <c r="F360" s="72" t="n"/>
      <c r="G360" s="109" t="n"/>
      <c r="H360" s="72" t="n"/>
      <c r="I360" s="78">
        <f>IF(H360="","",HYPERLINK(H360,"Open ↗"))</f>
        <v/>
      </c>
      <c r="J360" s="72" t="n"/>
      <c r="L360" s="116">
        <f>IF('Contractors'!B360="","",'Contractors'!B360)</f>
        <v/>
      </c>
      <c r="M360" s="78">
        <f>IF(L360="","",'Contractors'!L360)</f>
        <v/>
      </c>
      <c r="N360" s="78">
        <f>IF(OR(L360="",M360&lt;&gt;"Yes"),"",IF(COUNTIFS('Vault'!$C$6:$C$1005,"Contract",'Vault'!$D$6:$D$1005,L360)&gt;0,"✓","✗ missing"))</f>
        <v/>
      </c>
      <c r="O360" s="78">
        <f>IF(OR(L360="",M360&lt;&gt;"Yes"),"",IF(COUNTIFS('Vault'!$C$6:$C$1005,"Insurance",'Vault'!$D$6:$D$1005,L360)&gt;0,"✓","✗ missing"))</f>
        <v/>
      </c>
      <c r="P360" s="78">
        <f>IF(OR(L360="",M360&lt;&gt;"Yes"),"",IF(COUNTIFS('Vault'!$C$6:$C$1005,"Quote",'Vault'!$D$6:$D$1005,L360)&gt;0,"✓","✗ missing"))</f>
        <v/>
      </c>
      <c r="Q360" s="78">
        <f>IF(N360="","",IF(AND(N360="✓",O360="✓",P360="✓"),"✓ Complete","Missing documents"))</f>
        <v/>
      </c>
      <c r="R360" s="79">
        <f>IF(Q360="","",IF(Q360="✓ Complete",0,1))</f>
        <v/>
      </c>
    </row>
    <row r="361" ht="20" customHeight="1">
      <c r="B361" s="72" t="n"/>
      <c r="C361" s="72" t="n"/>
      <c r="D361" s="72" t="n"/>
      <c r="E361" s="72" t="n"/>
      <c r="F361" s="72" t="n"/>
      <c r="G361" s="109" t="n"/>
      <c r="H361" s="72" t="n"/>
      <c r="I361" s="78">
        <f>IF(H361="","",HYPERLINK(H361,"Open ↗"))</f>
        <v/>
      </c>
      <c r="J361" s="72" t="n"/>
      <c r="L361" s="116">
        <f>IF('Contractors'!B361="","",'Contractors'!B361)</f>
        <v/>
      </c>
      <c r="M361" s="78">
        <f>IF(L361="","",'Contractors'!L361)</f>
        <v/>
      </c>
      <c r="N361" s="78">
        <f>IF(OR(L361="",M361&lt;&gt;"Yes"),"",IF(COUNTIFS('Vault'!$C$6:$C$1005,"Contract",'Vault'!$D$6:$D$1005,L361)&gt;0,"✓","✗ missing"))</f>
        <v/>
      </c>
      <c r="O361" s="78">
        <f>IF(OR(L361="",M361&lt;&gt;"Yes"),"",IF(COUNTIFS('Vault'!$C$6:$C$1005,"Insurance",'Vault'!$D$6:$D$1005,L361)&gt;0,"✓","✗ missing"))</f>
        <v/>
      </c>
      <c r="P361" s="78">
        <f>IF(OR(L361="",M361&lt;&gt;"Yes"),"",IF(COUNTIFS('Vault'!$C$6:$C$1005,"Quote",'Vault'!$D$6:$D$1005,L361)&gt;0,"✓","✗ missing"))</f>
        <v/>
      </c>
      <c r="Q361" s="78">
        <f>IF(N361="","",IF(AND(N361="✓",O361="✓",P361="✓"),"✓ Complete","Missing documents"))</f>
        <v/>
      </c>
      <c r="R361" s="79">
        <f>IF(Q361="","",IF(Q361="✓ Complete",0,1))</f>
        <v/>
      </c>
    </row>
    <row r="362" ht="20" customHeight="1">
      <c r="B362" s="72" t="n"/>
      <c r="C362" s="72" t="n"/>
      <c r="D362" s="72" t="n"/>
      <c r="E362" s="72" t="n"/>
      <c r="F362" s="72" t="n"/>
      <c r="G362" s="109" t="n"/>
      <c r="H362" s="72" t="n"/>
      <c r="I362" s="78">
        <f>IF(H362="","",HYPERLINK(H362,"Open ↗"))</f>
        <v/>
      </c>
      <c r="J362" s="72" t="n"/>
      <c r="L362" s="116">
        <f>IF('Contractors'!B362="","",'Contractors'!B362)</f>
        <v/>
      </c>
      <c r="M362" s="78">
        <f>IF(L362="","",'Contractors'!L362)</f>
        <v/>
      </c>
      <c r="N362" s="78">
        <f>IF(OR(L362="",M362&lt;&gt;"Yes"),"",IF(COUNTIFS('Vault'!$C$6:$C$1005,"Contract",'Vault'!$D$6:$D$1005,L362)&gt;0,"✓","✗ missing"))</f>
        <v/>
      </c>
      <c r="O362" s="78">
        <f>IF(OR(L362="",M362&lt;&gt;"Yes"),"",IF(COUNTIFS('Vault'!$C$6:$C$1005,"Insurance",'Vault'!$D$6:$D$1005,L362)&gt;0,"✓","✗ missing"))</f>
        <v/>
      </c>
      <c r="P362" s="78">
        <f>IF(OR(L362="",M362&lt;&gt;"Yes"),"",IF(COUNTIFS('Vault'!$C$6:$C$1005,"Quote",'Vault'!$D$6:$D$1005,L362)&gt;0,"✓","✗ missing"))</f>
        <v/>
      </c>
      <c r="Q362" s="78">
        <f>IF(N362="","",IF(AND(N362="✓",O362="✓",P362="✓"),"✓ Complete","Missing documents"))</f>
        <v/>
      </c>
      <c r="R362" s="79">
        <f>IF(Q362="","",IF(Q362="✓ Complete",0,1))</f>
        <v/>
      </c>
    </row>
    <row r="363" ht="20" customHeight="1">
      <c r="B363" s="72" t="n"/>
      <c r="C363" s="72" t="n"/>
      <c r="D363" s="72" t="n"/>
      <c r="E363" s="72" t="n"/>
      <c r="F363" s="72" t="n"/>
      <c r="G363" s="109" t="n"/>
      <c r="H363" s="72" t="n"/>
      <c r="I363" s="78">
        <f>IF(H363="","",HYPERLINK(H363,"Open ↗"))</f>
        <v/>
      </c>
      <c r="J363" s="72" t="n"/>
      <c r="L363" s="116">
        <f>IF('Contractors'!B363="","",'Contractors'!B363)</f>
        <v/>
      </c>
      <c r="M363" s="78">
        <f>IF(L363="","",'Contractors'!L363)</f>
        <v/>
      </c>
      <c r="N363" s="78">
        <f>IF(OR(L363="",M363&lt;&gt;"Yes"),"",IF(COUNTIFS('Vault'!$C$6:$C$1005,"Contract",'Vault'!$D$6:$D$1005,L363)&gt;0,"✓","✗ missing"))</f>
        <v/>
      </c>
      <c r="O363" s="78">
        <f>IF(OR(L363="",M363&lt;&gt;"Yes"),"",IF(COUNTIFS('Vault'!$C$6:$C$1005,"Insurance",'Vault'!$D$6:$D$1005,L363)&gt;0,"✓","✗ missing"))</f>
        <v/>
      </c>
      <c r="P363" s="78">
        <f>IF(OR(L363="",M363&lt;&gt;"Yes"),"",IF(COUNTIFS('Vault'!$C$6:$C$1005,"Quote",'Vault'!$D$6:$D$1005,L363)&gt;0,"✓","✗ missing"))</f>
        <v/>
      </c>
      <c r="Q363" s="78">
        <f>IF(N363="","",IF(AND(N363="✓",O363="✓",P363="✓"),"✓ Complete","Missing documents"))</f>
        <v/>
      </c>
      <c r="R363" s="79">
        <f>IF(Q363="","",IF(Q363="✓ Complete",0,1))</f>
        <v/>
      </c>
    </row>
    <row r="364" ht="20" customHeight="1">
      <c r="B364" s="72" t="n"/>
      <c r="C364" s="72" t="n"/>
      <c r="D364" s="72" t="n"/>
      <c r="E364" s="72" t="n"/>
      <c r="F364" s="72" t="n"/>
      <c r="G364" s="109" t="n"/>
      <c r="H364" s="72" t="n"/>
      <c r="I364" s="78">
        <f>IF(H364="","",HYPERLINK(H364,"Open ↗"))</f>
        <v/>
      </c>
      <c r="J364" s="72" t="n"/>
      <c r="L364" s="116">
        <f>IF('Contractors'!B364="","",'Contractors'!B364)</f>
        <v/>
      </c>
      <c r="M364" s="78">
        <f>IF(L364="","",'Contractors'!L364)</f>
        <v/>
      </c>
      <c r="N364" s="78">
        <f>IF(OR(L364="",M364&lt;&gt;"Yes"),"",IF(COUNTIFS('Vault'!$C$6:$C$1005,"Contract",'Vault'!$D$6:$D$1005,L364)&gt;0,"✓","✗ missing"))</f>
        <v/>
      </c>
      <c r="O364" s="78">
        <f>IF(OR(L364="",M364&lt;&gt;"Yes"),"",IF(COUNTIFS('Vault'!$C$6:$C$1005,"Insurance",'Vault'!$D$6:$D$1005,L364)&gt;0,"✓","✗ missing"))</f>
        <v/>
      </c>
      <c r="P364" s="78">
        <f>IF(OR(L364="",M364&lt;&gt;"Yes"),"",IF(COUNTIFS('Vault'!$C$6:$C$1005,"Quote",'Vault'!$D$6:$D$1005,L364)&gt;0,"✓","✗ missing"))</f>
        <v/>
      </c>
      <c r="Q364" s="78">
        <f>IF(N364="","",IF(AND(N364="✓",O364="✓",P364="✓"),"✓ Complete","Missing documents"))</f>
        <v/>
      </c>
      <c r="R364" s="79">
        <f>IF(Q364="","",IF(Q364="✓ Complete",0,1))</f>
        <v/>
      </c>
    </row>
    <row r="365" ht="20" customHeight="1">
      <c r="B365" s="72" t="n"/>
      <c r="C365" s="72" t="n"/>
      <c r="D365" s="72" t="n"/>
      <c r="E365" s="72" t="n"/>
      <c r="F365" s="72" t="n"/>
      <c r="G365" s="109" t="n"/>
      <c r="H365" s="72" t="n"/>
      <c r="I365" s="78">
        <f>IF(H365="","",HYPERLINK(H365,"Open ↗"))</f>
        <v/>
      </c>
      <c r="J365" s="72" t="n"/>
      <c r="L365" s="116">
        <f>IF('Contractors'!B365="","",'Contractors'!B365)</f>
        <v/>
      </c>
      <c r="M365" s="78">
        <f>IF(L365="","",'Contractors'!L365)</f>
        <v/>
      </c>
      <c r="N365" s="78">
        <f>IF(OR(L365="",M365&lt;&gt;"Yes"),"",IF(COUNTIFS('Vault'!$C$6:$C$1005,"Contract",'Vault'!$D$6:$D$1005,L365)&gt;0,"✓","✗ missing"))</f>
        <v/>
      </c>
      <c r="O365" s="78">
        <f>IF(OR(L365="",M365&lt;&gt;"Yes"),"",IF(COUNTIFS('Vault'!$C$6:$C$1005,"Insurance",'Vault'!$D$6:$D$1005,L365)&gt;0,"✓","✗ missing"))</f>
        <v/>
      </c>
      <c r="P365" s="78">
        <f>IF(OR(L365="",M365&lt;&gt;"Yes"),"",IF(COUNTIFS('Vault'!$C$6:$C$1005,"Quote",'Vault'!$D$6:$D$1005,L365)&gt;0,"✓","✗ missing"))</f>
        <v/>
      </c>
      <c r="Q365" s="78">
        <f>IF(N365="","",IF(AND(N365="✓",O365="✓",P365="✓"),"✓ Complete","Missing documents"))</f>
        <v/>
      </c>
      <c r="R365" s="79">
        <f>IF(Q365="","",IF(Q365="✓ Complete",0,1))</f>
        <v/>
      </c>
    </row>
    <row r="366" ht="20" customHeight="1">
      <c r="B366" s="72" t="n"/>
      <c r="C366" s="72" t="n"/>
      <c r="D366" s="72" t="n"/>
      <c r="E366" s="72" t="n"/>
      <c r="F366" s="72" t="n"/>
      <c r="G366" s="109" t="n"/>
      <c r="H366" s="72" t="n"/>
      <c r="I366" s="78">
        <f>IF(H366="","",HYPERLINK(H366,"Open ↗"))</f>
        <v/>
      </c>
      <c r="J366" s="72" t="n"/>
      <c r="L366" s="116">
        <f>IF('Contractors'!B366="","",'Contractors'!B366)</f>
        <v/>
      </c>
      <c r="M366" s="78">
        <f>IF(L366="","",'Contractors'!L366)</f>
        <v/>
      </c>
      <c r="N366" s="78">
        <f>IF(OR(L366="",M366&lt;&gt;"Yes"),"",IF(COUNTIFS('Vault'!$C$6:$C$1005,"Contract",'Vault'!$D$6:$D$1005,L366)&gt;0,"✓","✗ missing"))</f>
        <v/>
      </c>
      <c r="O366" s="78">
        <f>IF(OR(L366="",M366&lt;&gt;"Yes"),"",IF(COUNTIFS('Vault'!$C$6:$C$1005,"Insurance",'Vault'!$D$6:$D$1005,L366)&gt;0,"✓","✗ missing"))</f>
        <v/>
      </c>
      <c r="P366" s="78">
        <f>IF(OR(L366="",M366&lt;&gt;"Yes"),"",IF(COUNTIFS('Vault'!$C$6:$C$1005,"Quote",'Vault'!$D$6:$D$1005,L366)&gt;0,"✓","✗ missing"))</f>
        <v/>
      </c>
      <c r="Q366" s="78">
        <f>IF(N366="","",IF(AND(N366="✓",O366="✓",P366="✓"),"✓ Complete","Missing documents"))</f>
        <v/>
      </c>
      <c r="R366" s="79">
        <f>IF(Q366="","",IF(Q366="✓ Complete",0,1))</f>
        <v/>
      </c>
    </row>
    <row r="367" ht="20" customHeight="1">
      <c r="B367" s="72" t="n"/>
      <c r="C367" s="72" t="n"/>
      <c r="D367" s="72" t="n"/>
      <c r="E367" s="72" t="n"/>
      <c r="F367" s="72" t="n"/>
      <c r="G367" s="109" t="n"/>
      <c r="H367" s="72" t="n"/>
      <c r="I367" s="78">
        <f>IF(H367="","",HYPERLINK(H367,"Open ↗"))</f>
        <v/>
      </c>
      <c r="J367" s="72" t="n"/>
      <c r="L367" s="116">
        <f>IF('Contractors'!B367="","",'Contractors'!B367)</f>
        <v/>
      </c>
      <c r="M367" s="78">
        <f>IF(L367="","",'Contractors'!L367)</f>
        <v/>
      </c>
      <c r="N367" s="78">
        <f>IF(OR(L367="",M367&lt;&gt;"Yes"),"",IF(COUNTIFS('Vault'!$C$6:$C$1005,"Contract",'Vault'!$D$6:$D$1005,L367)&gt;0,"✓","✗ missing"))</f>
        <v/>
      </c>
      <c r="O367" s="78">
        <f>IF(OR(L367="",M367&lt;&gt;"Yes"),"",IF(COUNTIFS('Vault'!$C$6:$C$1005,"Insurance",'Vault'!$D$6:$D$1005,L367)&gt;0,"✓","✗ missing"))</f>
        <v/>
      </c>
      <c r="P367" s="78">
        <f>IF(OR(L367="",M367&lt;&gt;"Yes"),"",IF(COUNTIFS('Vault'!$C$6:$C$1005,"Quote",'Vault'!$D$6:$D$1005,L367)&gt;0,"✓","✗ missing"))</f>
        <v/>
      </c>
      <c r="Q367" s="78">
        <f>IF(N367="","",IF(AND(N367="✓",O367="✓",P367="✓"),"✓ Complete","Missing documents"))</f>
        <v/>
      </c>
      <c r="R367" s="79">
        <f>IF(Q367="","",IF(Q367="✓ Complete",0,1))</f>
        <v/>
      </c>
    </row>
    <row r="368" ht="20" customHeight="1">
      <c r="B368" s="72" t="n"/>
      <c r="C368" s="72" t="n"/>
      <c r="D368" s="72" t="n"/>
      <c r="E368" s="72" t="n"/>
      <c r="F368" s="72" t="n"/>
      <c r="G368" s="109" t="n"/>
      <c r="H368" s="72" t="n"/>
      <c r="I368" s="78">
        <f>IF(H368="","",HYPERLINK(H368,"Open ↗"))</f>
        <v/>
      </c>
      <c r="J368" s="72" t="n"/>
      <c r="L368" s="116">
        <f>IF('Contractors'!B368="","",'Contractors'!B368)</f>
        <v/>
      </c>
      <c r="M368" s="78">
        <f>IF(L368="","",'Contractors'!L368)</f>
        <v/>
      </c>
      <c r="N368" s="78">
        <f>IF(OR(L368="",M368&lt;&gt;"Yes"),"",IF(COUNTIFS('Vault'!$C$6:$C$1005,"Contract",'Vault'!$D$6:$D$1005,L368)&gt;0,"✓","✗ missing"))</f>
        <v/>
      </c>
      <c r="O368" s="78">
        <f>IF(OR(L368="",M368&lt;&gt;"Yes"),"",IF(COUNTIFS('Vault'!$C$6:$C$1005,"Insurance",'Vault'!$D$6:$D$1005,L368)&gt;0,"✓","✗ missing"))</f>
        <v/>
      </c>
      <c r="P368" s="78">
        <f>IF(OR(L368="",M368&lt;&gt;"Yes"),"",IF(COUNTIFS('Vault'!$C$6:$C$1005,"Quote",'Vault'!$D$6:$D$1005,L368)&gt;0,"✓","✗ missing"))</f>
        <v/>
      </c>
      <c r="Q368" s="78">
        <f>IF(N368="","",IF(AND(N368="✓",O368="✓",P368="✓"),"✓ Complete","Missing documents"))</f>
        <v/>
      </c>
      <c r="R368" s="79">
        <f>IF(Q368="","",IF(Q368="✓ Complete",0,1))</f>
        <v/>
      </c>
    </row>
    <row r="369" ht="20" customHeight="1">
      <c r="B369" s="72" t="n"/>
      <c r="C369" s="72" t="n"/>
      <c r="D369" s="72" t="n"/>
      <c r="E369" s="72" t="n"/>
      <c r="F369" s="72" t="n"/>
      <c r="G369" s="109" t="n"/>
      <c r="H369" s="72" t="n"/>
      <c r="I369" s="78">
        <f>IF(H369="","",HYPERLINK(H369,"Open ↗"))</f>
        <v/>
      </c>
      <c r="J369" s="72" t="n"/>
      <c r="L369" s="116">
        <f>IF('Contractors'!B369="","",'Contractors'!B369)</f>
        <v/>
      </c>
      <c r="M369" s="78">
        <f>IF(L369="","",'Contractors'!L369)</f>
        <v/>
      </c>
      <c r="N369" s="78">
        <f>IF(OR(L369="",M369&lt;&gt;"Yes"),"",IF(COUNTIFS('Vault'!$C$6:$C$1005,"Contract",'Vault'!$D$6:$D$1005,L369)&gt;0,"✓","✗ missing"))</f>
        <v/>
      </c>
      <c r="O369" s="78">
        <f>IF(OR(L369="",M369&lt;&gt;"Yes"),"",IF(COUNTIFS('Vault'!$C$6:$C$1005,"Insurance",'Vault'!$D$6:$D$1005,L369)&gt;0,"✓","✗ missing"))</f>
        <v/>
      </c>
      <c r="P369" s="78">
        <f>IF(OR(L369="",M369&lt;&gt;"Yes"),"",IF(COUNTIFS('Vault'!$C$6:$C$1005,"Quote",'Vault'!$D$6:$D$1005,L369)&gt;0,"✓","✗ missing"))</f>
        <v/>
      </c>
      <c r="Q369" s="78">
        <f>IF(N369="","",IF(AND(N369="✓",O369="✓",P369="✓"),"✓ Complete","Missing documents"))</f>
        <v/>
      </c>
      <c r="R369" s="79">
        <f>IF(Q369="","",IF(Q369="✓ Complete",0,1))</f>
        <v/>
      </c>
    </row>
    <row r="370" ht="20" customHeight="1">
      <c r="B370" s="72" t="n"/>
      <c r="C370" s="72" t="n"/>
      <c r="D370" s="72" t="n"/>
      <c r="E370" s="72" t="n"/>
      <c r="F370" s="72" t="n"/>
      <c r="G370" s="109" t="n"/>
      <c r="H370" s="72" t="n"/>
      <c r="I370" s="78">
        <f>IF(H370="","",HYPERLINK(H370,"Open ↗"))</f>
        <v/>
      </c>
      <c r="J370" s="72" t="n"/>
      <c r="L370" s="116">
        <f>IF('Contractors'!B370="","",'Contractors'!B370)</f>
        <v/>
      </c>
      <c r="M370" s="78">
        <f>IF(L370="","",'Contractors'!L370)</f>
        <v/>
      </c>
      <c r="N370" s="78">
        <f>IF(OR(L370="",M370&lt;&gt;"Yes"),"",IF(COUNTIFS('Vault'!$C$6:$C$1005,"Contract",'Vault'!$D$6:$D$1005,L370)&gt;0,"✓","✗ missing"))</f>
        <v/>
      </c>
      <c r="O370" s="78">
        <f>IF(OR(L370="",M370&lt;&gt;"Yes"),"",IF(COUNTIFS('Vault'!$C$6:$C$1005,"Insurance",'Vault'!$D$6:$D$1005,L370)&gt;0,"✓","✗ missing"))</f>
        <v/>
      </c>
      <c r="P370" s="78">
        <f>IF(OR(L370="",M370&lt;&gt;"Yes"),"",IF(COUNTIFS('Vault'!$C$6:$C$1005,"Quote",'Vault'!$D$6:$D$1005,L370)&gt;0,"✓","✗ missing"))</f>
        <v/>
      </c>
      <c r="Q370" s="78">
        <f>IF(N370="","",IF(AND(N370="✓",O370="✓",P370="✓"),"✓ Complete","Missing documents"))</f>
        <v/>
      </c>
      <c r="R370" s="79">
        <f>IF(Q370="","",IF(Q370="✓ Complete",0,1))</f>
        <v/>
      </c>
    </row>
    <row r="371" ht="20" customHeight="1">
      <c r="B371" s="72" t="n"/>
      <c r="C371" s="72" t="n"/>
      <c r="D371" s="72" t="n"/>
      <c r="E371" s="72" t="n"/>
      <c r="F371" s="72" t="n"/>
      <c r="G371" s="109" t="n"/>
      <c r="H371" s="72" t="n"/>
      <c r="I371" s="78">
        <f>IF(H371="","",HYPERLINK(H371,"Open ↗"))</f>
        <v/>
      </c>
      <c r="J371" s="72" t="n"/>
      <c r="L371" s="116">
        <f>IF('Contractors'!B371="","",'Contractors'!B371)</f>
        <v/>
      </c>
      <c r="M371" s="78">
        <f>IF(L371="","",'Contractors'!L371)</f>
        <v/>
      </c>
      <c r="N371" s="78">
        <f>IF(OR(L371="",M371&lt;&gt;"Yes"),"",IF(COUNTIFS('Vault'!$C$6:$C$1005,"Contract",'Vault'!$D$6:$D$1005,L371)&gt;0,"✓","✗ missing"))</f>
        <v/>
      </c>
      <c r="O371" s="78">
        <f>IF(OR(L371="",M371&lt;&gt;"Yes"),"",IF(COUNTIFS('Vault'!$C$6:$C$1005,"Insurance",'Vault'!$D$6:$D$1005,L371)&gt;0,"✓","✗ missing"))</f>
        <v/>
      </c>
      <c r="P371" s="78">
        <f>IF(OR(L371="",M371&lt;&gt;"Yes"),"",IF(COUNTIFS('Vault'!$C$6:$C$1005,"Quote",'Vault'!$D$6:$D$1005,L371)&gt;0,"✓","✗ missing"))</f>
        <v/>
      </c>
      <c r="Q371" s="78">
        <f>IF(N371="","",IF(AND(N371="✓",O371="✓",P371="✓"),"✓ Complete","Missing documents"))</f>
        <v/>
      </c>
      <c r="R371" s="79">
        <f>IF(Q371="","",IF(Q371="✓ Complete",0,1))</f>
        <v/>
      </c>
    </row>
    <row r="372" ht="20" customHeight="1">
      <c r="B372" s="72" t="n"/>
      <c r="C372" s="72" t="n"/>
      <c r="D372" s="72" t="n"/>
      <c r="E372" s="72" t="n"/>
      <c r="F372" s="72" t="n"/>
      <c r="G372" s="109" t="n"/>
      <c r="H372" s="72" t="n"/>
      <c r="I372" s="78">
        <f>IF(H372="","",HYPERLINK(H372,"Open ↗"))</f>
        <v/>
      </c>
      <c r="J372" s="72" t="n"/>
      <c r="L372" s="116">
        <f>IF('Contractors'!B372="","",'Contractors'!B372)</f>
        <v/>
      </c>
      <c r="M372" s="78">
        <f>IF(L372="","",'Contractors'!L372)</f>
        <v/>
      </c>
      <c r="N372" s="78">
        <f>IF(OR(L372="",M372&lt;&gt;"Yes"),"",IF(COUNTIFS('Vault'!$C$6:$C$1005,"Contract",'Vault'!$D$6:$D$1005,L372)&gt;0,"✓","✗ missing"))</f>
        <v/>
      </c>
      <c r="O372" s="78">
        <f>IF(OR(L372="",M372&lt;&gt;"Yes"),"",IF(COUNTIFS('Vault'!$C$6:$C$1005,"Insurance",'Vault'!$D$6:$D$1005,L372)&gt;0,"✓","✗ missing"))</f>
        <v/>
      </c>
      <c r="P372" s="78">
        <f>IF(OR(L372="",M372&lt;&gt;"Yes"),"",IF(COUNTIFS('Vault'!$C$6:$C$1005,"Quote",'Vault'!$D$6:$D$1005,L372)&gt;0,"✓","✗ missing"))</f>
        <v/>
      </c>
      <c r="Q372" s="78">
        <f>IF(N372="","",IF(AND(N372="✓",O372="✓",P372="✓"),"✓ Complete","Missing documents"))</f>
        <v/>
      </c>
      <c r="R372" s="79">
        <f>IF(Q372="","",IF(Q372="✓ Complete",0,1))</f>
        <v/>
      </c>
    </row>
    <row r="373" ht="20" customHeight="1">
      <c r="B373" s="72" t="n"/>
      <c r="C373" s="72" t="n"/>
      <c r="D373" s="72" t="n"/>
      <c r="E373" s="72" t="n"/>
      <c r="F373" s="72" t="n"/>
      <c r="G373" s="109" t="n"/>
      <c r="H373" s="72" t="n"/>
      <c r="I373" s="78">
        <f>IF(H373="","",HYPERLINK(H373,"Open ↗"))</f>
        <v/>
      </c>
      <c r="J373" s="72" t="n"/>
      <c r="L373" s="116">
        <f>IF('Contractors'!B373="","",'Contractors'!B373)</f>
        <v/>
      </c>
      <c r="M373" s="78">
        <f>IF(L373="","",'Contractors'!L373)</f>
        <v/>
      </c>
      <c r="N373" s="78">
        <f>IF(OR(L373="",M373&lt;&gt;"Yes"),"",IF(COUNTIFS('Vault'!$C$6:$C$1005,"Contract",'Vault'!$D$6:$D$1005,L373)&gt;0,"✓","✗ missing"))</f>
        <v/>
      </c>
      <c r="O373" s="78">
        <f>IF(OR(L373="",M373&lt;&gt;"Yes"),"",IF(COUNTIFS('Vault'!$C$6:$C$1005,"Insurance",'Vault'!$D$6:$D$1005,L373)&gt;0,"✓","✗ missing"))</f>
        <v/>
      </c>
      <c r="P373" s="78">
        <f>IF(OR(L373="",M373&lt;&gt;"Yes"),"",IF(COUNTIFS('Vault'!$C$6:$C$1005,"Quote",'Vault'!$D$6:$D$1005,L373)&gt;0,"✓","✗ missing"))</f>
        <v/>
      </c>
      <c r="Q373" s="78">
        <f>IF(N373="","",IF(AND(N373="✓",O373="✓",P373="✓"),"✓ Complete","Missing documents"))</f>
        <v/>
      </c>
      <c r="R373" s="79">
        <f>IF(Q373="","",IF(Q373="✓ Complete",0,1))</f>
        <v/>
      </c>
    </row>
    <row r="374" ht="20" customHeight="1">
      <c r="B374" s="72" t="n"/>
      <c r="C374" s="72" t="n"/>
      <c r="D374" s="72" t="n"/>
      <c r="E374" s="72" t="n"/>
      <c r="F374" s="72" t="n"/>
      <c r="G374" s="109" t="n"/>
      <c r="H374" s="72" t="n"/>
      <c r="I374" s="78">
        <f>IF(H374="","",HYPERLINK(H374,"Open ↗"))</f>
        <v/>
      </c>
      <c r="J374" s="72" t="n"/>
      <c r="L374" s="116">
        <f>IF('Contractors'!B374="","",'Contractors'!B374)</f>
        <v/>
      </c>
      <c r="M374" s="78">
        <f>IF(L374="","",'Contractors'!L374)</f>
        <v/>
      </c>
      <c r="N374" s="78">
        <f>IF(OR(L374="",M374&lt;&gt;"Yes"),"",IF(COUNTIFS('Vault'!$C$6:$C$1005,"Contract",'Vault'!$D$6:$D$1005,L374)&gt;0,"✓","✗ missing"))</f>
        <v/>
      </c>
      <c r="O374" s="78">
        <f>IF(OR(L374="",M374&lt;&gt;"Yes"),"",IF(COUNTIFS('Vault'!$C$6:$C$1005,"Insurance",'Vault'!$D$6:$D$1005,L374)&gt;0,"✓","✗ missing"))</f>
        <v/>
      </c>
      <c r="P374" s="78">
        <f>IF(OR(L374="",M374&lt;&gt;"Yes"),"",IF(COUNTIFS('Vault'!$C$6:$C$1005,"Quote",'Vault'!$D$6:$D$1005,L374)&gt;0,"✓","✗ missing"))</f>
        <v/>
      </c>
      <c r="Q374" s="78">
        <f>IF(N374="","",IF(AND(N374="✓",O374="✓",P374="✓"),"✓ Complete","Missing documents"))</f>
        <v/>
      </c>
      <c r="R374" s="79">
        <f>IF(Q374="","",IF(Q374="✓ Complete",0,1))</f>
        <v/>
      </c>
    </row>
    <row r="375" ht="20" customHeight="1">
      <c r="B375" s="72" t="n"/>
      <c r="C375" s="72" t="n"/>
      <c r="D375" s="72" t="n"/>
      <c r="E375" s="72" t="n"/>
      <c r="F375" s="72" t="n"/>
      <c r="G375" s="109" t="n"/>
      <c r="H375" s="72" t="n"/>
      <c r="I375" s="78">
        <f>IF(H375="","",HYPERLINK(H375,"Open ↗"))</f>
        <v/>
      </c>
      <c r="J375" s="72" t="n"/>
      <c r="L375" s="116">
        <f>IF('Contractors'!B375="","",'Contractors'!B375)</f>
        <v/>
      </c>
      <c r="M375" s="78">
        <f>IF(L375="","",'Contractors'!L375)</f>
        <v/>
      </c>
      <c r="N375" s="78">
        <f>IF(OR(L375="",M375&lt;&gt;"Yes"),"",IF(COUNTIFS('Vault'!$C$6:$C$1005,"Contract",'Vault'!$D$6:$D$1005,L375)&gt;0,"✓","✗ missing"))</f>
        <v/>
      </c>
      <c r="O375" s="78">
        <f>IF(OR(L375="",M375&lt;&gt;"Yes"),"",IF(COUNTIFS('Vault'!$C$6:$C$1005,"Insurance",'Vault'!$D$6:$D$1005,L375)&gt;0,"✓","✗ missing"))</f>
        <v/>
      </c>
      <c r="P375" s="78">
        <f>IF(OR(L375="",M375&lt;&gt;"Yes"),"",IF(COUNTIFS('Vault'!$C$6:$C$1005,"Quote",'Vault'!$D$6:$D$1005,L375)&gt;0,"✓","✗ missing"))</f>
        <v/>
      </c>
      <c r="Q375" s="78">
        <f>IF(N375="","",IF(AND(N375="✓",O375="✓",P375="✓"),"✓ Complete","Missing documents"))</f>
        <v/>
      </c>
      <c r="R375" s="79">
        <f>IF(Q375="","",IF(Q375="✓ Complete",0,1))</f>
        <v/>
      </c>
    </row>
    <row r="376" ht="20" customHeight="1">
      <c r="B376" s="72" t="n"/>
      <c r="C376" s="72" t="n"/>
      <c r="D376" s="72" t="n"/>
      <c r="E376" s="72" t="n"/>
      <c r="F376" s="72" t="n"/>
      <c r="G376" s="109" t="n"/>
      <c r="H376" s="72" t="n"/>
      <c r="I376" s="78">
        <f>IF(H376="","",HYPERLINK(H376,"Open ↗"))</f>
        <v/>
      </c>
      <c r="J376" s="72" t="n"/>
      <c r="L376" s="116">
        <f>IF('Contractors'!B376="","",'Contractors'!B376)</f>
        <v/>
      </c>
      <c r="M376" s="78">
        <f>IF(L376="","",'Contractors'!L376)</f>
        <v/>
      </c>
      <c r="N376" s="78">
        <f>IF(OR(L376="",M376&lt;&gt;"Yes"),"",IF(COUNTIFS('Vault'!$C$6:$C$1005,"Contract",'Vault'!$D$6:$D$1005,L376)&gt;0,"✓","✗ missing"))</f>
        <v/>
      </c>
      <c r="O376" s="78">
        <f>IF(OR(L376="",M376&lt;&gt;"Yes"),"",IF(COUNTIFS('Vault'!$C$6:$C$1005,"Insurance",'Vault'!$D$6:$D$1005,L376)&gt;0,"✓","✗ missing"))</f>
        <v/>
      </c>
      <c r="P376" s="78">
        <f>IF(OR(L376="",M376&lt;&gt;"Yes"),"",IF(COUNTIFS('Vault'!$C$6:$C$1005,"Quote",'Vault'!$D$6:$D$1005,L376)&gt;0,"✓","✗ missing"))</f>
        <v/>
      </c>
      <c r="Q376" s="78">
        <f>IF(N376="","",IF(AND(N376="✓",O376="✓",P376="✓"),"✓ Complete","Missing documents"))</f>
        <v/>
      </c>
      <c r="R376" s="79">
        <f>IF(Q376="","",IF(Q376="✓ Complete",0,1))</f>
        <v/>
      </c>
    </row>
    <row r="377" ht="20" customHeight="1">
      <c r="B377" s="72" t="n"/>
      <c r="C377" s="72" t="n"/>
      <c r="D377" s="72" t="n"/>
      <c r="E377" s="72" t="n"/>
      <c r="F377" s="72" t="n"/>
      <c r="G377" s="109" t="n"/>
      <c r="H377" s="72" t="n"/>
      <c r="I377" s="78">
        <f>IF(H377="","",HYPERLINK(H377,"Open ↗"))</f>
        <v/>
      </c>
      <c r="J377" s="72" t="n"/>
      <c r="L377" s="116">
        <f>IF('Contractors'!B377="","",'Contractors'!B377)</f>
        <v/>
      </c>
      <c r="M377" s="78">
        <f>IF(L377="","",'Contractors'!L377)</f>
        <v/>
      </c>
      <c r="N377" s="78">
        <f>IF(OR(L377="",M377&lt;&gt;"Yes"),"",IF(COUNTIFS('Vault'!$C$6:$C$1005,"Contract",'Vault'!$D$6:$D$1005,L377)&gt;0,"✓","✗ missing"))</f>
        <v/>
      </c>
      <c r="O377" s="78">
        <f>IF(OR(L377="",M377&lt;&gt;"Yes"),"",IF(COUNTIFS('Vault'!$C$6:$C$1005,"Insurance",'Vault'!$D$6:$D$1005,L377)&gt;0,"✓","✗ missing"))</f>
        <v/>
      </c>
      <c r="P377" s="78">
        <f>IF(OR(L377="",M377&lt;&gt;"Yes"),"",IF(COUNTIFS('Vault'!$C$6:$C$1005,"Quote",'Vault'!$D$6:$D$1005,L377)&gt;0,"✓","✗ missing"))</f>
        <v/>
      </c>
      <c r="Q377" s="78">
        <f>IF(N377="","",IF(AND(N377="✓",O377="✓",P377="✓"),"✓ Complete","Missing documents"))</f>
        <v/>
      </c>
      <c r="R377" s="79">
        <f>IF(Q377="","",IF(Q377="✓ Complete",0,1))</f>
        <v/>
      </c>
    </row>
    <row r="378" ht="20" customHeight="1">
      <c r="B378" s="72" t="n"/>
      <c r="C378" s="72" t="n"/>
      <c r="D378" s="72" t="n"/>
      <c r="E378" s="72" t="n"/>
      <c r="F378" s="72" t="n"/>
      <c r="G378" s="109" t="n"/>
      <c r="H378" s="72" t="n"/>
      <c r="I378" s="78">
        <f>IF(H378="","",HYPERLINK(H378,"Open ↗"))</f>
        <v/>
      </c>
      <c r="J378" s="72" t="n"/>
      <c r="L378" s="116">
        <f>IF('Contractors'!B378="","",'Contractors'!B378)</f>
        <v/>
      </c>
      <c r="M378" s="78">
        <f>IF(L378="","",'Contractors'!L378)</f>
        <v/>
      </c>
      <c r="N378" s="78">
        <f>IF(OR(L378="",M378&lt;&gt;"Yes"),"",IF(COUNTIFS('Vault'!$C$6:$C$1005,"Contract",'Vault'!$D$6:$D$1005,L378)&gt;0,"✓","✗ missing"))</f>
        <v/>
      </c>
      <c r="O378" s="78">
        <f>IF(OR(L378="",M378&lt;&gt;"Yes"),"",IF(COUNTIFS('Vault'!$C$6:$C$1005,"Insurance",'Vault'!$D$6:$D$1005,L378)&gt;0,"✓","✗ missing"))</f>
        <v/>
      </c>
      <c r="P378" s="78">
        <f>IF(OR(L378="",M378&lt;&gt;"Yes"),"",IF(COUNTIFS('Vault'!$C$6:$C$1005,"Quote",'Vault'!$D$6:$D$1005,L378)&gt;0,"✓","✗ missing"))</f>
        <v/>
      </c>
      <c r="Q378" s="78">
        <f>IF(N378="","",IF(AND(N378="✓",O378="✓",P378="✓"),"✓ Complete","Missing documents"))</f>
        <v/>
      </c>
      <c r="R378" s="79">
        <f>IF(Q378="","",IF(Q378="✓ Complete",0,1))</f>
        <v/>
      </c>
    </row>
    <row r="379" ht="20" customHeight="1">
      <c r="B379" s="72" t="n"/>
      <c r="C379" s="72" t="n"/>
      <c r="D379" s="72" t="n"/>
      <c r="E379" s="72" t="n"/>
      <c r="F379" s="72" t="n"/>
      <c r="G379" s="109" t="n"/>
      <c r="H379" s="72" t="n"/>
      <c r="I379" s="78">
        <f>IF(H379="","",HYPERLINK(H379,"Open ↗"))</f>
        <v/>
      </c>
      <c r="J379" s="72" t="n"/>
      <c r="L379" s="116">
        <f>IF('Contractors'!B379="","",'Contractors'!B379)</f>
        <v/>
      </c>
      <c r="M379" s="78">
        <f>IF(L379="","",'Contractors'!L379)</f>
        <v/>
      </c>
      <c r="N379" s="78">
        <f>IF(OR(L379="",M379&lt;&gt;"Yes"),"",IF(COUNTIFS('Vault'!$C$6:$C$1005,"Contract",'Vault'!$D$6:$D$1005,L379)&gt;0,"✓","✗ missing"))</f>
        <v/>
      </c>
      <c r="O379" s="78">
        <f>IF(OR(L379="",M379&lt;&gt;"Yes"),"",IF(COUNTIFS('Vault'!$C$6:$C$1005,"Insurance",'Vault'!$D$6:$D$1005,L379)&gt;0,"✓","✗ missing"))</f>
        <v/>
      </c>
      <c r="P379" s="78">
        <f>IF(OR(L379="",M379&lt;&gt;"Yes"),"",IF(COUNTIFS('Vault'!$C$6:$C$1005,"Quote",'Vault'!$D$6:$D$1005,L379)&gt;0,"✓","✗ missing"))</f>
        <v/>
      </c>
      <c r="Q379" s="78">
        <f>IF(N379="","",IF(AND(N379="✓",O379="✓",P379="✓"),"✓ Complete","Missing documents"))</f>
        <v/>
      </c>
      <c r="R379" s="79">
        <f>IF(Q379="","",IF(Q379="✓ Complete",0,1))</f>
        <v/>
      </c>
    </row>
    <row r="380" ht="20" customHeight="1">
      <c r="B380" s="72" t="n"/>
      <c r="C380" s="72" t="n"/>
      <c r="D380" s="72" t="n"/>
      <c r="E380" s="72" t="n"/>
      <c r="F380" s="72" t="n"/>
      <c r="G380" s="109" t="n"/>
      <c r="H380" s="72" t="n"/>
      <c r="I380" s="78">
        <f>IF(H380="","",HYPERLINK(H380,"Open ↗"))</f>
        <v/>
      </c>
      <c r="J380" s="72" t="n"/>
      <c r="L380" s="116">
        <f>IF('Contractors'!B380="","",'Contractors'!B380)</f>
        <v/>
      </c>
      <c r="M380" s="78">
        <f>IF(L380="","",'Contractors'!L380)</f>
        <v/>
      </c>
      <c r="N380" s="78">
        <f>IF(OR(L380="",M380&lt;&gt;"Yes"),"",IF(COUNTIFS('Vault'!$C$6:$C$1005,"Contract",'Vault'!$D$6:$D$1005,L380)&gt;0,"✓","✗ missing"))</f>
        <v/>
      </c>
      <c r="O380" s="78">
        <f>IF(OR(L380="",M380&lt;&gt;"Yes"),"",IF(COUNTIFS('Vault'!$C$6:$C$1005,"Insurance",'Vault'!$D$6:$D$1005,L380)&gt;0,"✓","✗ missing"))</f>
        <v/>
      </c>
      <c r="P380" s="78">
        <f>IF(OR(L380="",M380&lt;&gt;"Yes"),"",IF(COUNTIFS('Vault'!$C$6:$C$1005,"Quote",'Vault'!$D$6:$D$1005,L380)&gt;0,"✓","✗ missing"))</f>
        <v/>
      </c>
      <c r="Q380" s="78">
        <f>IF(N380="","",IF(AND(N380="✓",O380="✓",P380="✓"),"✓ Complete","Missing documents"))</f>
        <v/>
      </c>
      <c r="R380" s="79">
        <f>IF(Q380="","",IF(Q380="✓ Complete",0,1))</f>
        <v/>
      </c>
    </row>
    <row r="381" ht="20" customHeight="1">
      <c r="B381" s="72" t="n"/>
      <c r="C381" s="72" t="n"/>
      <c r="D381" s="72" t="n"/>
      <c r="E381" s="72" t="n"/>
      <c r="F381" s="72" t="n"/>
      <c r="G381" s="109" t="n"/>
      <c r="H381" s="72" t="n"/>
      <c r="I381" s="78">
        <f>IF(H381="","",HYPERLINK(H381,"Open ↗"))</f>
        <v/>
      </c>
      <c r="J381" s="72" t="n"/>
      <c r="L381" s="116">
        <f>IF('Contractors'!B381="","",'Contractors'!B381)</f>
        <v/>
      </c>
      <c r="M381" s="78">
        <f>IF(L381="","",'Contractors'!L381)</f>
        <v/>
      </c>
      <c r="N381" s="78">
        <f>IF(OR(L381="",M381&lt;&gt;"Yes"),"",IF(COUNTIFS('Vault'!$C$6:$C$1005,"Contract",'Vault'!$D$6:$D$1005,L381)&gt;0,"✓","✗ missing"))</f>
        <v/>
      </c>
      <c r="O381" s="78">
        <f>IF(OR(L381="",M381&lt;&gt;"Yes"),"",IF(COUNTIFS('Vault'!$C$6:$C$1005,"Insurance",'Vault'!$D$6:$D$1005,L381)&gt;0,"✓","✗ missing"))</f>
        <v/>
      </c>
      <c r="P381" s="78">
        <f>IF(OR(L381="",M381&lt;&gt;"Yes"),"",IF(COUNTIFS('Vault'!$C$6:$C$1005,"Quote",'Vault'!$D$6:$D$1005,L381)&gt;0,"✓","✗ missing"))</f>
        <v/>
      </c>
      <c r="Q381" s="78">
        <f>IF(N381="","",IF(AND(N381="✓",O381="✓",P381="✓"),"✓ Complete","Missing documents"))</f>
        <v/>
      </c>
      <c r="R381" s="79">
        <f>IF(Q381="","",IF(Q381="✓ Complete",0,1))</f>
        <v/>
      </c>
    </row>
    <row r="382" ht="20" customHeight="1">
      <c r="B382" s="72" t="n"/>
      <c r="C382" s="72" t="n"/>
      <c r="D382" s="72" t="n"/>
      <c r="E382" s="72" t="n"/>
      <c r="F382" s="72" t="n"/>
      <c r="G382" s="109" t="n"/>
      <c r="H382" s="72" t="n"/>
      <c r="I382" s="78">
        <f>IF(H382="","",HYPERLINK(H382,"Open ↗"))</f>
        <v/>
      </c>
      <c r="J382" s="72" t="n"/>
      <c r="L382" s="116">
        <f>IF('Contractors'!B382="","",'Contractors'!B382)</f>
        <v/>
      </c>
      <c r="M382" s="78">
        <f>IF(L382="","",'Contractors'!L382)</f>
        <v/>
      </c>
      <c r="N382" s="78">
        <f>IF(OR(L382="",M382&lt;&gt;"Yes"),"",IF(COUNTIFS('Vault'!$C$6:$C$1005,"Contract",'Vault'!$D$6:$D$1005,L382)&gt;0,"✓","✗ missing"))</f>
        <v/>
      </c>
      <c r="O382" s="78">
        <f>IF(OR(L382="",M382&lt;&gt;"Yes"),"",IF(COUNTIFS('Vault'!$C$6:$C$1005,"Insurance",'Vault'!$D$6:$D$1005,L382)&gt;0,"✓","✗ missing"))</f>
        <v/>
      </c>
      <c r="P382" s="78">
        <f>IF(OR(L382="",M382&lt;&gt;"Yes"),"",IF(COUNTIFS('Vault'!$C$6:$C$1005,"Quote",'Vault'!$D$6:$D$1005,L382)&gt;0,"✓","✗ missing"))</f>
        <v/>
      </c>
      <c r="Q382" s="78">
        <f>IF(N382="","",IF(AND(N382="✓",O382="✓",P382="✓"),"✓ Complete","Missing documents"))</f>
        <v/>
      </c>
      <c r="R382" s="79">
        <f>IF(Q382="","",IF(Q382="✓ Complete",0,1))</f>
        <v/>
      </c>
    </row>
    <row r="383" ht="20" customHeight="1">
      <c r="B383" s="72" t="n"/>
      <c r="C383" s="72" t="n"/>
      <c r="D383" s="72" t="n"/>
      <c r="E383" s="72" t="n"/>
      <c r="F383" s="72" t="n"/>
      <c r="G383" s="109" t="n"/>
      <c r="H383" s="72" t="n"/>
      <c r="I383" s="78">
        <f>IF(H383="","",HYPERLINK(H383,"Open ↗"))</f>
        <v/>
      </c>
      <c r="J383" s="72" t="n"/>
      <c r="L383" s="116">
        <f>IF('Contractors'!B383="","",'Contractors'!B383)</f>
        <v/>
      </c>
      <c r="M383" s="78">
        <f>IF(L383="","",'Contractors'!L383)</f>
        <v/>
      </c>
      <c r="N383" s="78">
        <f>IF(OR(L383="",M383&lt;&gt;"Yes"),"",IF(COUNTIFS('Vault'!$C$6:$C$1005,"Contract",'Vault'!$D$6:$D$1005,L383)&gt;0,"✓","✗ missing"))</f>
        <v/>
      </c>
      <c r="O383" s="78">
        <f>IF(OR(L383="",M383&lt;&gt;"Yes"),"",IF(COUNTIFS('Vault'!$C$6:$C$1005,"Insurance",'Vault'!$D$6:$D$1005,L383)&gt;0,"✓","✗ missing"))</f>
        <v/>
      </c>
      <c r="P383" s="78">
        <f>IF(OR(L383="",M383&lt;&gt;"Yes"),"",IF(COUNTIFS('Vault'!$C$6:$C$1005,"Quote",'Vault'!$D$6:$D$1005,L383)&gt;0,"✓","✗ missing"))</f>
        <v/>
      </c>
      <c r="Q383" s="78">
        <f>IF(N383="","",IF(AND(N383="✓",O383="✓",P383="✓"),"✓ Complete","Missing documents"))</f>
        <v/>
      </c>
      <c r="R383" s="79">
        <f>IF(Q383="","",IF(Q383="✓ Complete",0,1))</f>
        <v/>
      </c>
    </row>
    <row r="384" ht="20" customHeight="1">
      <c r="B384" s="72" t="n"/>
      <c r="C384" s="72" t="n"/>
      <c r="D384" s="72" t="n"/>
      <c r="E384" s="72" t="n"/>
      <c r="F384" s="72" t="n"/>
      <c r="G384" s="109" t="n"/>
      <c r="H384" s="72" t="n"/>
      <c r="I384" s="78">
        <f>IF(H384="","",HYPERLINK(H384,"Open ↗"))</f>
        <v/>
      </c>
      <c r="J384" s="72" t="n"/>
      <c r="L384" s="116">
        <f>IF('Contractors'!B384="","",'Contractors'!B384)</f>
        <v/>
      </c>
      <c r="M384" s="78">
        <f>IF(L384="","",'Contractors'!L384)</f>
        <v/>
      </c>
      <c r="N384" s="78">
        <f>IF(OR(L384="",M384&lt;&gt;"Yes"),"",IF(COUNTIFS('Vault'!$C$6:$C$1005,"Contract",'Vault'!$D$6:$D$1005,L384)&gt;0,"✓","✗ missing"))</f>
        <v/>
      </c>
      <c r="O384" s="78">
        <f>IF(OR(L384="",M384&lt;&gt;"Yes"),"",IF(COUNTIFS('Vault'!$C$6:$C$1005,"Insurance",'Vault'!$D$6:$D$1005,L384)&gt;0,"✓","✗ missing"))</f>
        <v/>
      </c>
      <c r="P384" s="78">
        <f>IF(OR(L384="",M384&lt;&gt;"Yes"),"",IF(COUNTIFS('Vault'!$C$6:$C$1005,"Quote",'Vault'!$D$6:$D$1005,L384)&gt;0,"✓","✗ missing"))</f>
        <v/>
      </c>
      <c r="Q384" s="78">
        <f>IF(N384="","",IF(AND(N384="✓",O384="✓",P384="✓"),"✓ Complete","Missing documents"))</f>
        <v/>
      </c>
      <c r="R384" s="79">
        <f>IF(Q384="","",IF(Q384="✓ Complete",0,1))</f>
        <v/>
      </c>
    </row>
    <row r="385" ht="20" customHeight="1">
      <c r="B385" s="72" t="n"/>
      <c r="C385" s="72" t="n"/>
      <c r="D385" s="72" t="n"/>
      <c r="E385" s="72" t="n"/>
      <c r="F385" s="72" t="n"/>
      <c r="G385" s="109" t="n"/>
      <c r="H385" s="72" t="n"/>
      <c r="I385" s="78">
        <f>IF(H385="","",HYPERLINK(H385,"Open ↗"))</f>
        <v/>
      </c>
      <c r="J385" s="72" t="n"/>
      <c r="L385" s="116">
        <f>IF('Contractors'!B385="","",'Contractors'!B385)</f>
        <v/>
      </c>
      <c r="M385" s="78">
        <f>IF(L385="","",'Contractors'!L385)</f>
        <v/>
      </c>
      <c r="N385" s="78">
        <f>IF(OR(L385="",M385&lt;&gt;"Yes"),"",IF(COUNTIFS('Vault'!$C$6:$C$1005,"Contract",'Vault'!$D$6:$D$1005,L385)&gt;0,"✓","✗ missing"))</f>
        <v/>
      </c>
      <c r="O385" s="78">
        <f>IF(OR(L385="",M385&lt;&gt;"Yes"),"",IF(COUNTIFS('Vault'!$C$6:$C$1005,"Insurance",'Vault'!$D$6:$D$1005,L385)&gt;0,"✓","✗ missing"))</f>
        <v/>
      </c>
      <c r="P385" s="78">
        <f>IF(OR(L385="",M385&lt;&gt;"Yes"),"",IF(COUNTIFS('Vault'!$C$6:$C$1005,"Quote",'Vault'!$D$6:$D$1005,L385)&gt;0,"✓","✗ missing"))</f>
        <v/>
      </c>
      <c r="Q385" s="78">
        <f>IF(N385="","",IF(AND(N385="✓",O385="✓",P385="✓"),"✓ Complete","Missing documents"))</f>
        <v/>
      </c>
      <c r="R385" s="79">
        <f>IF(Q385="","",IF(Q385="✓ Complete",0,1))</f>
        <v/>
      </c>
    </row>
    <row r="386" ht="20" customHeight="1">
      <c r="B386" s="72" t="n"/>
      <c r="C386" s="72" t="n"/>
      <c r="D386" s="72" t="n"/>
      <c r="E386" s="72" t="n"/>
      <c r="F386" s="72" t="n"/>
      <c r="G386" s="109" t="n"/>
      <c r="H386" s="72" t="n"/>
      <c r="I386" s="78">
        <f>IF(H386="","",HYPERLINK(H386,"Open ↗"))</f>
        <v/>
      </c>
      <c r="J386" s="72" t="n"/>
      <c r="L386" s="116">
        <f>IF('Contractors'!B386="","",'Contractors'!B386)</f>
        <v/>
      </c>
      <c r="M386" s="78">
        <f>IF(L386="","",'Contractors'!L386)</f>
        <v/>
      </c>
      <c r="N386" s="78">
        <f>IF(OR(L386="",M386&lt;&gt;"Yes"),"",IF(COUNTIFS('Vault'!$C$6:$C$1005,"Contract",'Vault'!$D$6:$D$1005,L386)&gt;0,"✓","✗ missing"))</f>
        <v/>
      </c>
      <c r="O386" s="78">
        <f>IF(OR(L386="",M386&lt;&gt;"Yes"),"",IF(COUNTIFS('Vault'!$C$6:$C$1005,"Insurance",'Vault'!$D$6:$D$1005,L386)&gt;0,"✓","✗ missing"))</f>
        <v/>
      </c>
      <c r="P386" s="78">
        <f>IF(OR(L386="",M386&lt;&gt;"Yes"),"",IF(COUNTIFS('Vault'!$C$6:$C$1005,"Quote",'Vault'!$D$6:$D$1005,L386)&gt;0,"✓","✗ missing"))</f>
        <v/>
      </c>
      <c r="Q386" s="78">
        <f>IF(N386="","",IF(AND(N386="✓",O386="✓",P386="✓"),"✓ Complete","Missing documents"))</f>
        <v/>
      </c>
      <c r="R386" s="79">
        <f>IF(Q386="","",IF(Q386="✓ Complete",0,1))</f>
        <v/>
      </c>
    </row>
    <row r="387" ht="20" customHeight="1">
      <c r="B387" s="72" t="n"/>
      <c r="C387" s="72" t="n"/>
      <c r="D387" s="72" t="n"/>
      <c r="E387" s="72" t="n"/>
      <c r="F387" s="72" t="n"/>
      <c r="G387" s="109" t="n"/>
      <c r="H387" s="72" t="n"/>
      <c r="I387" s="78">
        <f>IF(H387="","",HYPERLINK(H387,"Open ↗"))</f>
        <v/>
      </c>
      <c r="J387" s="72" t="n"/>
      <c r="L387" s="116">
        <f>IF('Contractors'!B387="","",'Contractors'!B387)</f>
        <v/>
      </c>
      <c r="M387" s="78">
        <f>IF(L387="","",'Contractors'!L387)</f>
        <v/>
      </c>
      <c r="N387" s="78">
        <f>IF(OR(L387="",M387&lt;&gt;"Yes"),"",IF(COUNTIFS('Vault'!$C$6:$C$1005,"Contract",'Vault'!$D$6:$D$1005,L387)&gt;0,"✓","✗ missing"))</f>
        <v/>
      </c>
      <c r="O387" s="78">
        <f>IF(OR(L387="",M387&lt;&gt;"Yes"),"",IF(COUNTIFS('Vault'!$C$6:$C$1005,"Insurance",'Vault'!$D$6:$D$1005,L387)&gt;0,"✓","✗ missing"))</f>
        <v/>
      </c>
      <c r="P387" s="78">
        <f>IF(OR(L387="",M387&lt;&gt;"Yes"),"",IF(COUNTIFS('Vault'!$C$6:$C$1005,"Quote",'Vault'!$D$6:$D$1005,L387)&gt;0,"✓","✗ missing"))</f>
        <v/>
      </c>
      <c r="Q387" s="78">
        <f>IF(N387="","",IF(AND(N387="✓",O387="✓",P387="✓"),"✓ Complete","Missing documents"))</f>
        <v/>
      </c>
      <c r="R387" s="79">
        <f>IF(Q387="","",IF(Q387="✓ Complete",0,1))</f>
        <v/>
      </c>
    </row>
    <row r="388" ht="20" customHeight="1">
      <c r="B388" s="72" t="n"/>
      <c r="C388" s="72" t="n"/>
      <c r="D388" s="72" t="n"/>
      <c r="E388" s="72" t="n"/>
      <c r="F388" s="72" t="n"/>
      <c r="G388" s="109" t="n"/>
      <c r="H388" s="72" t="n"/>
      <c r="I388" s="78">
        <f>IF(H388="","",HYPERLINK(H388,"Open ↗"))</f>
        <v/>
      </c>
      <c r="J388" s="72" t="n"/>
      <c r="L388" s="116">
        <f>IF('Contractors'!B388="","",'Contractors'!B388)</f>
        <v/>
      </c>
      <c r="M388" s="78">
        <f>IF(L388="","",'Contractors'!L388)</f>
        <v/>
      </c>
      <c r="N388" s="78">
        <f>IF(OR(L388="",M388&lt;&gt;"Yes"),"",IF(COUNTIFS('Vault'!$C$6:$C$1005,"Contract",'Vault'!$D$6:$D$1005,L388)&gt;0,"✓","✗ missing"))</f>
        <v/>
      </c>
      <c r="O388" s="78">
        <f>IF(OR(L388="",M388&lt;&gt;"Yes"),"",IF(COUNTIFS('Vault'!$C$6:$C$1005,"Insurance",'Vault'!$D$6:$D$1005,L388)&gt;0,"✓","✗ missing"))</f>
        <v/>
      </c>
      <c r="P388" s="78">
        <f>IF(OR(L388="",M388&lt;&gt;"Yes"),"",IF(COUNTIFS('Vault'!$C$6:$C$1005,"Quote",'Vault'!$D$6:$D$1005,L388)&gt;0,"✓","✗ missing"))</f>
        <v/>
      </c>
      <c r="Q388" s="78">
        <f>IF(N388="","",IF(AND(N388="✓",O388="✓",P388="✓"),"✓ Complete","Missing documents"))</f>
        <v/>
      </c>
      <c r="R388" s="79">
        <f>IF(Q388="","",IF(Q388="✓ Complete",0,1))</f>
        <v/>
      </c>
    </row>
    <row r="389" ht="20" customHeight="1">
      <c r="B389" s="72" t="n"/>
      <c r="C389" s="72" t="n"/>
      <c r="D389" s="72" t="n"/>
      <c r="E389" s="72" t="n"/>
      <c r="F389" s="72" t="n"/>
      <c r="G389" s="109" t="n"/>
      <c r="H389" s="72" t="n"/>
      <c r="I389" s="78">
        <f>IF(H389="","",HYPERLINK(H389,"Open ↗"))</f>
        <v/>
      </c>
      <c r="J389" s="72" t="n"/>
      <c r="L389" s="116">
        <f>IF('Contractors'!B389="","",'Contractors'!B389)</f>
        <v/>
      </c>
      <c r="M389" s="78">
        <f>IF(L389="","",'Contractors'!L389)</f>
        <v/>
      </c>
      <c r="N389" s="78">
        <f>IF(OR(L389="",M389&lt;&gt;"Yes"),"",IF(COUNTIFS('Vault'!$C$6:$C$1005,"Contract",'Vault'!$D$6:$D$1005,L389)&gt;0,"✓","✗ missing"))</f>
        <v/>
      </c>
      <c r="O389" s="78">
        <f>IF(OR(L389="",M389&lt;&gt;"Yes"),"",IF(COUNTIFS('Vault'!$C$6:$C$1005,"Insurance",'Vault'!$D$6:$D$1005,L389)&gt;0,"✓","✗ missing"))</f>
        <v/>
      </c>
      <c r="P389" s="78">
        <f>IF(OR(L389="",M389&lt;&gt;"Yes"),"",IF(COUNTIFS('Vault'!$C$6:$C$1005,"Quote",'Vault'!$D$6:$D$1005,L389)&gt;0,"✓","✗ missing"))</f>
        <v/>
      </c>
      <c r="Q389" s="78">
        <f>IF(N389="","",IF(AND(N389="✓",O389="✓",P389="✓"),"✓ Complete","Missing documents"))</f>
        <v/>
      </c>
      <c r="R389" s="79">
        <f>IF(Q389="","",IF(Q389="✓ Complete",0,1))</f>
        <v/>
      </c>
    </row>
    <row r="390" ht="20" customHeight="1">
      <c r="B390" s="72" t="n"/>
      <c r="C390" s="72" t="n"/>
      <c r="D390" s="72" t="n"/>
      <c r="E390" s="72" t="n"/>
      <c r="F390" s="72" t="n"/>
      <c r="G390" s="109" t="n"/>
      <c r="H390" s="72" t="n"/>
      <c r="I390" s="78">
        <f>IF(H390="","",HYPERLINK(H390,"Open ↗"))</f>
        <v/>
      </c>
      <c r="J390" s="72" t="n"/>
      <c r="L390" s="116">
        <f>IF('Contractors'!B390="","",'Contractors'!B390)</f>
        <v/>
      </c>
      <c r="M390" s="78">
        <f>IF(L390="","",'Contractors'!L390)</f>
        <v/>
      </c>
      <c r="N390" s="78">
        <f>IF(OR(L390="",M390&lt;&gt;"Yes"),"",IF(COUNTIFS('Vault'!$C$6:$C$1005,"Contract",'Vault'!$D$6:$D$1005,L390)&gt;0,"✓","✗ missing"))</f>
        <v/>
      </c>
      <c r="O390" s="78">
        <f>IF(OR(L390="",M390&lt;&gt;"Yes"),"",IF(COUNTIFS('Vault'!$C$6:$C$1005,"Insurance",'Vault'!$D$6:$D$1005,L390)&gt;0,"✓","✗ missing"))</f>
        <v/>
      </c>
      <c r="P390" s="78">
        <f>IF(OR(L390="",M390&lt;&gt;"Yes"),"",IF(COUNTIFS('Vault'!$C$6:$C$1005,"Quote",'Vault'!$D$6:$D$1005,L390)&gt;0,"✓","✗ missing"))</f>
        <v/>
      </c>
      <c r="Q390" s="78">
        <f>IF(N390="","",IF(AND(N390="✓",O390="✓",P390="✓"),"✓ Complete","Missing documents"))</f>
        <v/>
      </c>
      <c r="R390" s="79">
        <f>IF(Q390="","",IF(Q390="✓ Complete",0,1))</f>
        <v/>
      </c>
    </row>
    <row r="391" ht="20" customHeight="1">
      <c r="B391" s="72" t="n"/>
      <c r="C391" s="72" t="n"/>
      <c r="D391" s="72" t="n"/>
      <c r="E391" s="72" t="n"/>
      <c r="F391" s="72" t="n"/>
      <c r="G391" s="109" t="n"/>
      <c r="H391" s="72" t="n"/>
      <c r="I391" s="78">
        <f>IF(H391="","",HYPERLINK(H391,"Open ↗"))</f>
        <v/>
      </c>
      <c r="J391" s="72" t="n"/>
      <c r="L391" s="116">
        <f>IF('Contractors'!B391="","",'Contractors'!B391)</f>
        <v/>
      </c>
      <c r="M391" s="78">
        <f>IF(L391="","",'Contractors'!L391)</f>
        <v/>
      </c>
      <c r="N391" s="78">
        <f>IF(OR(L391="",M391&lt;&gt;"Yes"),"",IF(COUNTIFS('Vault'!$C$6:$C$1005,"Contract",'Vault'!$D$6:$D$1005,L391)&gt;0,"✓","✗ missing"))</f>
        <v/>
      </c>
      <c r="O391" s="78">
        <f>IF(OR(L391="",M391&lt;&gt;"Yes"),"",IF(COUNTIFS('Vault'!$C$6:$C$1005,"Insurance",'Vault'!$D$6:$D$1005,L391)&gt;0,"✓","✗ missing"))</f>
        <v/>
      </c>
      <c r="P391" s="78">
        <f>IF(OR(L391="",M391&lt;&gt;"Yes"),"",IF(COUNTIFS('Vault'!$C$6:$C$1005,"Quote",'Vault'!$D$6:$D$1005,L391)&gt;0,"✓","✗ missing"))</f>
        <v/>
      </c>
      <c r="Q391" s="78">
        <f>IF(N391="","",IF(AND(N391="✓",O391="✓",P391="✓"),"✓ Complete","Missing documents"))</f>
        <v/>
      </c>
      <c r="R391" s="79">
        <f>IF(Q391="","",IF(Q391="✓ Complete",0,1))</f>
        <v/>
      </c>
    </row>
    <row r="392" ht="20" customHeight="1">
      <c r="B392" s="72" t="n"/>
      <c r="C392" s="72" t="n"/>
      <c r="D392" s="72" t="n"/>
      <c r="E392" s="72" t="n"/>
      <c r="F392" s="72" t="n"/>
      <c r="G392" s="109" t="n"/>
      <c r="H392" s="72" t="n"/>
      <c r="I392" s="78">
        <f>IF(H392="","",HYPERLINK(H392,"Open ↗"))</f>
        <v/>
      </c>
      <c r="J392" s="72" t="n"/>
      <c r="L392" s="116">
        <f>IF('Contractors'!B392="","",'Contractors'!B392)</f>
        <v/>
      </c>
      <c r="M392" s="78">
        <f>IF(L392="","",'Contractors'!L392)</f>
        <v/>
      </c>
      <c r="N392" s="78">
        <f>IF(OR(L392="",M392&lt;&gt;"Yes"),"",IF(COUNTIFS('Vault'!$C$6:$C$1005,"Contract",'Vault'!$D$6:$D$1005,L392)&gt;0,"✓","✗ missing"))</f>
        <v/>
      </c>
      <c r="O392" s="78">
        <f>IF(OR(L392="",M392&lt;&gt;"Yes"),"",IF(COUNTIFS('Vault'!$C$6:$C$1005,"Insurance",'Vault'!$D$6:$D$1005,L392)&gt;0,"✓","✗ missing"))</f>
        <v/>
      </c>
      <c r="P392" s="78">
        <f>IF(OR(L392="",M392&lt;&gt;"Yes"),"",IF(COUNTIFS('Vault'!$C$6:$C$1005,"Quote",'Vault'!$D$6:$D$1005,L392)&gt;0,"✓","✗ missing"))</f>
        <v/>
      </c>
      <c r="Q392" s="78">
        <f>IF(N392="","",IF(AND(N392="✓",O392="✓",P392="✓"),"✓ Complete","Missing documents"))</f>
        <v/>
      </c>
      <c r="R392" s="79">
        <f>IF(Q392="","",IF(Q392="✓ Complete",0,1))</f>
        <v/>
      </c>
    </row>
    <row r="393" ht="20" customHeight="1">
      <c r="B393" s="72" t="n"/>
      <c r="C393" s="72" t="n"/>
      <c r="D393" s="72" t="n"/>
      <c r="E393" s="72" t="n"/>
      <c r="F393" s="72" t="n"/>
      <c r="G393" s="109" t="n"/>
      <c r="H393" s="72" t="n"/>
      <c r="I393" s="78">
        <f>IF(H393="","",HYPERLINK(H393,"Open ↗"))</f>
        <v/>
      </c>
      <c r="J393" s="72" t="n"/>
      <c r="L393" s="116">
        <f>IF('Contractors'!B393="","",'Contractors'!B393)</f>
        <v/>
      </c>
      <c r="M393" s="78">
        <f>IF(L393="","",'Contractors'!L393)</f>
        <v/>
      </c>
      <c r="N393" s="78">
        <f>IF(OR(L393="",M393&lt;&gt;"Yes"),"",IF(COUNTIFS('Vault'!$C$6:$C$1005,"Contract",'Vault'!$D$6:$D$1005,L393)&gt;0,"✓","✗ missing"))</f>
        <v/>
      </c>
      <c r="O393" s="78">
        <f>IF(OR(L393="",M393&lt;&gt;"Yes"),"",IF(COUNTIFS('Vault'!$C$6:$C$1005,"Insurance",'Vault'!$D$6:$D$1005,L393)&gt;0,"✓","✗ missing"))</f>
        <v/>
      </c>
      <c r="P393" s="78">
        <f>IF(OR(L393="",M393&lt;&gt;"Yes"),"",IF(COUNTIFS('Vault'!$C$6:$C$1005,"Quote",'Vault'!$D$6:$D$1005,L393)&gt;0,"✓","✗ missing"))</f>
        <v/>
      </c>
      <c r="Q393" s="78">
        <f>IF(N393="","",IF(AND(N393="✓",O393="✓",P393="✓"),"✓ Complete","Missing documents"))</f>
        <v/>
      </c>
      <c r="R393" s="79">
        <f>IF(Q393="","",IF(Q393="✓ Complete",0,1))</f>
        <v/>
      </c>
    </row>
    <row r="394" ht="20" customHeight="1">
      <c r="B394" s="72" t="n"/>
      <c r="C394" s="72" t="n"/>
      <c r="D394" s="72" t="n"/>
      <c r="E394" s="72" t="n"/>
      <c r="F394" s="72" t="n"/>
      <c r="G394" s="109" t="n"/>
      <c r="H394" s="72" t="n"/>
      <c r="I394" s="78">
        <f>IF(H394="","",HYPERLINK(H394,"Open ↗"))</f>
        <v/>
      </c>
      <c r="J394" s="72" t="n"/>
      <c r="L394" s="116">
        <f>IF('Contractors'!B394="","",'Contractors'!B394)</f>
        <v/>
      </c>
      <c r="M394" s="78">
        <f>IF(L394="","",'Contractors'!L394)</f>
        <v/>
      </c>
      <c r="N394" s="78">
        <f>IF(OR(L394="",M394&lt;&gt;"Yes"),"",IF(COUNTIFS('Vault'!$C$6:$C$1005,"Contract",'Vault'!$D$6:$D$1005,L394)&gt;0,"✓","✗ missing"))</f>
        <v/>
      </c>
      <c r="O394" s="78">
        <f>IF(OR(L394="",M394&lt;&gt;"Yes"),"",IF(COUNTIFS('Vault'!$C$6:$C$1005,"Insurance",'Vault'!$D$6:$D$1005,L394)&gt;0,"✓","✗ missing"))</f>
        <v/>
      </c>
      <c r="P394" s="78">
        <f>IF(OR(L394="",M394&lt;&gt;"Yes"),"",IF(COUNTIFS('Vault'!$C$6:$C$1005,"Quote",'Vault'!$D$6:$D$1005,L394)&gt;0,"✓","✗ missing"))</f>
        <v/>
      </c>
      <c r="Q394" s="78">
        <f>IF(N394="","",IF(AND(N394="✓",O394="✓",P394="✓"),"✓ Complete","Missing documents"))</f>
        <v/>
      </c>
      <c r="R394" s="79">
        <f>IF(Q394="","",IF(Q394="✓ Complete",0,1))</f>
        <v/>
      </c>
    </row>
    <row r="395" ht="20" customHeight="1">
      <c r="B395" s="72" t="n"/>
      <c r="C395" s="72" t="n"/>
      <c r="D395" s="72" t="n"/>
      <c r="E395" s="72" t="n"/>
      <c r="F395" s="72" t="n"/>
      <c r="G395" s="109" t="n"/>
      <c r="H395" s="72" t="n"/>
      <c r="I395" s="78">
        <f>IF(H395="","",HYPERLINK(H395,"Open ↗"))</f>
        <v/>
      </c>
      <c r="J395" s="72" t="n"/>
      <c r="L395" s="116">
        <f>IF('Contractors'!B395="","",'Contractors'!B395)</f>
        <v/>
      </c>
      <c r="M395" s="78">
        <f>IF(L395="","",'Contractors'!L395)</f>
        <v/>
      </c>
      <c r="N395" s="78">
        <f>IF(OR(L395="",M395&lt;&gt;"Yes"),"",IF(COUNTIFS('Vault'!$C$6:$C$1005,"Contract",'Vault'!$D$6:$D$1005,L395)&gt;0,"✓","✗ missing"))</f>
        <v/>
      </c>
      <c r="O395" s="78">
        <f>IF(OR(L395="",M395&lt;&gt;"Yes"),"",IF(COUNTIFS('Vault'!$C$6:$C$1005,"Insurance",'Vault'!$D$6:$D$1005,L395)&gt;0,"✓","✗ missing"))</f>
        <v/>
      </c>
      <c r="P395" s="78">
        <f>IF(OR(L395="",M395&lt;&gt;"Yes"),"",IF(COUNTIFS('Vault'!$C$6:$C$1005,"Quote",'Vault'!$D$6:$D$1005,L395)&gt;0,"✓","✗ missing"))</f>
        <v/>
      </c>
      <c r="Q395" s="78">
        <f>IF(N395="","",IF(AND(N395="✓",O395="✓",P395="✓"),"✓ Complete","Missing documents"))</f>
        <v/>
      </c>
      <c r="R395" s="79">
        <f>IF(Q395="","",IF(Q395="✓ Complete",0,1))</f>
        <v/>
      </c>
    </row>
    <row r="396" ht="20" customHeight="1">
      <c r="B396" s="72" t="n"/>
      <c r="C396" s="72" t="n"/>
      <c r="D396" s="72" t="n"/>
      <c r="E396" s="72" t="n"/>
      <c r="F396" s="72" t="n"/>
      <c r="G396" s="109" t="n"/>
      <c r="H396" s="72" t="n"/>
      <c r="I396" s="78">
        <f>IF(H396="","",HYPERLINK(H396,"Open ↗"))</f>
        <v/>
      </c>
      <c r="J396" s="72" t="n"/>
      <c r="L396" s="116">
        <f>IF('Contractors'!B396="","",'Contractors'!B396)</f>
        <v/>
      </c>
      <c r="M396" s="78">
        <f>IF(L396="","",'Contractors'!L396)</f>
        <v/>
      </c>
      <c r="N396" s="78">
        <f>IF(OR(L396="",M396&lt;&gt;"Yes"),"",IF(COUNTIFS('Vault'!$C$6:$C$1005,"Contract",'Vault'!$D$6:$D$1005,L396)&gt;0,"✓","✗ missing"))</f>
        <v/>
      </c>
      <c r="O396" s="78">
        <f>IF(OR(L396="",M396&lt;&gt;"Yes"),"",IF(COUNTIFS('Vault'!$C$6:$C$1005,"Insurance",'Vault'!$D$6:$D$1005,L396)&gt;0,"✓","✗ missing"))</f>
        <v/>
      </c>
      <c r="P396" s="78">
        <f>IF(OR(L396="",M396&lt;&gt;"Yes"),"",IF(COUNTIFS('Vault'!$C$6:$C$1005,"Quote",'Vault'!$D$6:$D$1005,L396)&gt;0,"✓","✗ missing"))</f>
        <v/>
      </c>
      <c r="Q396" s="78">
        <f>IF(N396="","",IF(AND(N396="✓",O396="✓",P396="✓"),"✓ Complete","Missing documents"))</f>
        <v/>
      </c>
      <c r="R396" s="79">
        <f>IF(Q396="","",IF(Q396="✓ Complete",0,1))</f>
        <v/>
      </c>
    </row>
    <row r="397" ht="20" customHeight="1">
      <c r="B397" s="72" t="n"/>
      <c r="C397" s="72" t="n"/>
      <c r="D397" s="72" t="n"/>
      <c r="E397" s="72" t="n"/>
      <c r="F397" s="72" t="n"/>
      <c r="G397" s="109" t="n"/>
      <c r="H397" s="72" t="n"/>
      <c r="I397" s="78">
        <f>IF(H397="","",HYPERLINK(H397,"Open ↗"))</f>
        <v/>
      </c>
      <c r="J397" s="72" t="n"/>
      <c r="L397" s="116">
        <f>IF('Contractors'!B397="","",'Contractors'!B397)</f>
        <v/>
      </c>
      <c r="M397" s="78">
        <f>IF(L397="","",'Contractors'!L397)</f>
        <v/>
      </c>
      <c r="N397" s="78">
        <f>IF(OR(L397="",M397&lt;&gt;"Yes"),"",IF(COUNTIFS('Vault'!$C$6:$C$1005,"Contract",'Vault'!$D$6:$D$1005,L397)&gt;0,"✓","✗ missing"))</f>
        <v/>
      </c>
      <c r="O397" s="78">
        <f>IF(OR(L397="",M397&lt;&gt;"Yes"),"",IF(COUNTIFS('Vault'!$C$6:$C$1005,"Insurance",'Vault'!$D$6:$D$1005,L397)&gt;0,"✓","✗ missing"))</f>
        <v/>
      </c>
      <c r="P397" s="78">
        <f>IF(OR(L397="",M397&lt;&gt;"Yes"),"",IF(COUNTIFS('Vault'!$C$6:$C$1005,"Quote",'Vault'!$D$6:$D$1005,L397)&gt;0,"✓","✗ missing"))</f>
        <v/>
      </c>
      <c r="Q397" s="78">
        <f>IF(N397="","",IF(AND(N397="✓",O397="✓",P397="✓"),"✓ Complete","Missing documents"))</f>
        <v/>
      </c>
      <c r="R397" s="79">
        <f>IF(Q397="","",IF(Q397="✓ Complete",0,1))</f>
        <v/>
      </c>
    </row>
    <row r="398" ht="20" customHeight="1">
      <c r="B398" s="72" t="n"/>
      <c r="C398" s="72" t="n"/>
      <c r="D398" s="72" t="n"/>
      <c r="E398" s="72" t="n"/>
      <c r="F398" s="72" t="n"/>
      <c r="G398" s="109" t="n"/>
      <c r="H398" s="72" t="n"/>
      <c r="I398" s="78">
        <f>IF(H398="","",HYPERLINK(H398,"Open ↗"))</f>
        <v/>
      </c>
      <c r="J398" s="72" t="n"/>
      <c r="L398" s="116">
        <f>IF('Contractors'!B398="","",'Contractors'!B398)</f>
        <v/>
      </c>
      <c r="M398" s="78">
        <f>IF(L398="","",'Contractors'!L398)</f>
        <v/>
      </c>
      <c r="N398" s="78">
        <f>IF(OR(L398="",M398&lt;&gt;"Yes"),"",IF(COUNTIFS('Vault'!$C$6:$C$1005,"Contract",'Vault'!$D$6:$D$1005,L398)&gt;0,"✓","✗ missing"))</f>
        <v/>
      </c>
      <c r="O398" s="78">
        <f>IF(OR(L398="",M398&lt;&gt;"Yes"),"",IF(COUNTIFS('Vault'!$C$6:$C$1005,"Insurance",'Vault'!$D$6:$D$1005,L398)&gt;0,"✓","✗ missing"))</f>
        <v/>
      </c>
      <c r="P398" s="78">
        <f>IF(OR(L398="",M398&lt;&gt;"Yes"),"",IF(COUNTIFS('Vault'!$C$6:$C$1005,"Quote",'Vault'!$D$6:$D$1005,L398)&gt;0,"✓","✗ missing"))</f>
        <v/>
      </c>
      <c r="Q398" s="78">
        <f>IF(N398="","",IF(AND(N398="✓",O398="✓",P398="✓"),"✓ Complete","Missing documents"))</f>
        <v/>
      </c>
      <c r="R398" s="79">
        <f>IF(Q398="","",IF(Q398="✓ Complete",0,1))</f>
        <v/>
      </c>
    </row>
    <row r="399" ht="20" customHeight="1">
      <c r="B399" s="72" t="n"/>
      <c r="C399" s="72" t="n"/>
      <c r="D399" s="72" t="n"/>
      <c r="E399" s="72" t="n"/>
      <c r="F399" s="72" t="n"/>
      <c r="G399" s="109" t="n"/>
      <c r="H399" s="72" t="n"/>
      <c r="I399" s="78">
        <f>IF(H399="","",HYPERLINK(H399,"Open ↗"))</f>
        <v/>
      </c>
      <c r="J399" s="72" t="n"/>
      <c r="L399" s="116">
        <f>IF('Contractors'!B399="","",'Contractors'!B399)</f>
        <v/>
      </c>
      <c r="M399" s="78">
        <f>IF(L399="","",'Contractors'!L399)</f>
        <v/>
      </c>
      <c r="N399" s="78">
        <f>IF(OR(L399="",M399&lt;&gt;"Yes"),"",IF(COUNTIFS('Vault'!$C$6:$C$1005,"Contract",'Vault'!$D$6:$D$1005,L399)&gt;0,"✓","✗ missing"))</f>
        <v/>
      </c>
      <c r="O399" s="78">
        <f>IF(OR(L399="",M399&lt;&gt;"Yes"),"",IF(COUNTIFS('Vault'!$C$6:$C$1005,"Insurance",'Vault'!$D$6:$D$1005,L399)&gt;0,"✓","✗ missing"))</f>
        <v/>
      </c>
      <c r="P399" s="78">
        <f>IF(OR(L399="",M399&lt;&gt;"Yes"),"",IF(COUNTIFS('Vault'!$C$6:$C$1005,"Quote",'Vault'!$D$6:$D$1005,L399)&gt;0,"✓","✗ missing"))</f>
        <v/>
      </c>
      <c r="Q399" s="78">
        <f>IF(N399="","",IF(AND(N399="✓",O399="✓",P399="✓"),"✓ Complete","Missing documents"))</f>
        <v/>
      </c>
      <c r="R399" s="79">
        <f>IF(Q399="","",IF(Q399="✓ Complete",0,1))</f>
        <v/>
      </c>
    </row>
    <row r="400" ht="20" customHeight="1">
      <c r="B400" s="72" t="n"/>
      <c r="C400" s="72" t="n"/>
      <c r="D400" s="72" t="n"/>
      <c r="E400" s="72" t="n"/>
      <c r="F400" s="72" t="n"/>
      <c r="G400" s="109" t="n"/>
      <c r="H400" s="72" t="n"/>
      <c r="I400" s="78">
        <f>IF(H400="","",HYPERLINK(H400,"Open ↗"))</f>
        <v/>
      </c>
      <c r="J400" s="72" t="n"/>
      <c r="L400" s="116">
        <f>IF('Contractors'!B400="","",'Contractors'!B400)</f>
        <v/>
      </c>
      <c r="M400" s="78">
        <f>IF(L400="","",'Contractors'!L400)</f>
        <v/>
      </c>
      <c r="N400" s="78">
        <f>IF(OR(L400="",M400&lt;&gt;"Yes"),"",IF(COUNTIFS('Vault'!$C$6:$C$1005,"Contract",'Vault'!$D$6:$D$1005,L400)&gt;0,"✓","✗ missing"))</f>
        <v/>
      </c>
      <c r="O400" s="78">
        <f>IF(OR(L400="",M400&lt;&gt;"Yes"),"",IF(COUNTIFS('Vault'!$C$6:$C$1005,"Insurance",'Vault'!$D$6:$D$1005,L400)&gt;0,"✓","✗ missing"))</f>
        <v/>
      </c>
      <c r="P400" s="78">
        <f>IF(OR(L400="",M400&lt;&gt;"Yes"),"",IF(COUNTIFS('Vault'!$C$6:$C$1005,"Quote",'Vault'!$D$6:$D$1005,L400)&gt;0,"✓","✗ missing"))</f>
        <v/>
      </c>
      <c r="Q400" s="78">
        <f>IF(N400="","",IF(AND(N400="✓",O400="✓",P400="✓"),"✓ Complete","Missing documents"))</f>
        <v/>
      </c>
      <c r="R400" s="79">
        <f>IF(Q400="","",IF(Q400="✓ Complete",0,1))</f>
        <v/>
      </c>
    </row>
    <row r="401" ht="20" customHeight="1">
      <c r="B401" s="72" t="n"/>
      <c r="C401" s="72" t="n"/>
      <c r="D401" s="72" t="n"/>
      <c r="E401" s="72" t="n"/>
      <c r="F401" s="72" t="n"/>
      <c r="G401" s="109" t="n"/>
      <c r="H401" s="72" t="n"/>
      <c r="I401" s="78">
        <f>IF(H401="","",HYPERLINK(H401,"Open ↗"))</f>
        <v/>
      </c>
      <c r="J401" s="72" t="n"/>
      <c r="L401" s="116">
        <f>IF('Contractors'!B401="","",'Contractors'!B401)</f>
        <v/>
      </c>
      <c r="M401" s="78">
        <f>IF(L401="","",'Contractors'!L401)</f>
        <v/>
      </c>
      <c r="N401" s="78">
        <f>IF(OR(L401="",M401&lt;&gt;"Yes"),"",IF(COUNTIFS('Vault'!$C$6:$C$1005,"Contract",'Vault'!$D$6:$D$1005,L401)&gt;0,"✓","✗ missing"))</f>
        <v/>
      </c>
      <c r="O401" s="78">
        <f>IF(OR(L401="",M401&lt;&gt;"Yes"),"",IF(COUNTIFS('Vault'!$C$6:$C$1005,"Insurance",'Vault'!$D$6:$D$1005,L401)&gt;0,"✓","✗ missing"))</f>
        <v/>
      </c>
      <c r="P401" s="78">
        <f>IF(OR(L401="",M401&lt;&gt;"Yes"),"",IF(COUNTIFS('Vault'!$C$6:$C$1005,"Quote",'Vault'!$D$6:$D$1005,L401)&gt;0,"✓","✗ missing"))</f>
        <v/>
      </c>
      <c r="Q401" s="78">
        <f>IF(N401="","",IF(AND(N401="✓",O401="✓",P401="✓"),"✓ Complete","Missing documents"))</f>
        <v/>
      </c>
      <c r="R401" s="79">
        <f>IF(Q401="","",IF(Q401="✓ Complete",0,1))</f>
        <v/>
      </c>
    </row>
    <row r="402" ht="20" customHeight="1">
      <c r="B402" s="72" t="n"/>
      <c r="C402" s="72" t="n"/>
      <c r="D402" s="72" t="n"/>
      <c r="E402" s="72" t="n"/>
      <c r="F402" s="72" t="n"/>
      <c r="G402" s="109" t="n"/>
      <c r="H402" s="72" t="n"/>
      <c r="I402" s="78">
        <f>IF(H402="","",HYPERLINK(H402,"Open ↗"))</f>
        <v/>
      </c>
      <c r="J402" s="72" t="n"/>
      <c r="L402" s="116">
        <f>IF('Contractors'!B402="","",'Contractors'!B402)</f>
        <v/>
      </c>
      <c r="M402" s="78">
        <f>IF(L402="","",'Contractors'!L402)</f>
        <v/>
      </c>
      <c r="N402" s="78">
        <f>IF(OR(L402="",M402&lt;&gt;"Yes"),"",IF(COUNTIFS('Vault'!$C$6:$C$1005,"Contract",'Vault'!$D$6:$D$1005,L402)&gt;0,"✓","✗ missing"))</f>
        <v/>
      </c>
      <c r="O402" s="78">
        <f>IF(OR(L402="",M402&lt;&gt;"Yes"),"",IF(COUNTIFS('Vault'!$C$6:$C$1005,"Insurance",'Vault'!$D$6:$D$1005,L402)&gt;0,"✓","✗ missing"))</f>
        <v/>
      </c>
      <c r="P402" s="78">
        <f>IF(OR(L402="",M402&lt;&gt;"Yes"),"",IF(COUNTIFS('Vault'!$C$6:$C$1005,"Quote",'Vault'!$D$6:$D$1005,L402)&gt;0,"✓","✗ missing"))</f>
        <v/>
      </c>
      <c r="Q402" s="78">
        <f>IF(N402="","",IF(AND(N402="✓",O402="✓",P402="✓"),"✓ Complete","Missing documents"))</f>
        <v/>
      </c>
      <c r="R402" s="79">
        <f>IF(Q402="","",IF(Q402="✓ Complete",0,1))</f>
        <v/>
      </c>
    </row>
    <row r="403" ht="20" customHeight="1">
      <c r="B403" s="72" t="n"/>
      <c r="C403" s="72" t="n"/>
      <c r="D403" s="72" t="n"/>
      <c r="E403" s="72" t="n"/>
      <c r="F403" s="72" t="n"/>
      <c r="G403" s="109" t="n"/>
      <c r="H403" s="72" t="n"/>
      <c r="I403" s="78">
        <f>IF(H403="","",HYPERLINK(H403,"Open ↗"))</f>
        <v/>
      </c>
      <c r="J403" s="72" t="n"/>
      <c r="L403" s="116">
        <f>IF('Contractors'!B403="","",'Contractors'!B403)</f>
        <v/>
      </c>
      <c r="M403" s="78">
        <f>IF(L403="","",'Contractors'!L403)</f>
        <v/>
      </c>
      <c r="N403" s="78">
        <f>IF(OR(L403="",M403&lt;&gt;"Yes"),"",IF(COUNTIFS('Vault'!$C$6:$C$1005,"Contract",'Vault'!$D$6:$D$1005,L403)&gt;0,"✓","✗ missing"))</f>
        <v/>
      </c>
      <c r="O403" s="78">
        <f>IF(OR(L403="",M403&lt;&gt;"Yes"),"",IF(COUNTIFS('Vault'!$C$6:$C$1005,"Insurance",'Vault'!$D$6:$D$1005,L403)&gt;0,"✓","✗ missing"))</f>
        <v/>
      </c>
      <c r="P403" s="78">
        <f>IF(OR(L403="",M403&lt;&gt;"Yes"),"",IF(COUNTIFS('Vault'!$C$6:$C$1005,"Quote",'Vault'!$D$6:$D$1005,L403)&gt;0,"✓","✗ missing"))</f>
        <v/>
      </c>
      <c r="Q403" s="78">
        <f>IF(N403="","",IF(AND(N403="✓",O403="✓",P403="✓"),"✓ Complete","Missing documents"))</f>
        <v/>
      </c>
      <c r="R403" s="79">
        <f>IF(Q403="","",IF(Q403="✓ Complete",0,1))</f>
        <v/>
      </c>
    </row>
    <row r="404" ht="20" customHeight="1">
      <c r="B404" s="72" t="n"/>
      <c r="C404" s="72" t="n"/>
      <c r="D404" s="72" t="n"/>
      <c r="E404" s="72" t="n"/>
      <c r="F404" s="72" t="n"/>
      <c r="G404" s="109" t="n"/>
      <c r="H404" s="72" t="n"/>
      <c r="I404" s="78">
        <f>IF(H404="","",HYPERLINK(H404,"Open ↗"))</f>
        <v/>
      </c>
      <c r="J404" s="72" t="n"/>
      <c r="L404" s="116">
        <f>IF('Contractors'!B404="","",'Contractors'!B404)</f>
        <v/>
      </c>
      <c r="M404" s="78">
        <f>IF(L404="","",'Contractors'!L404)</f>
        <v/>
      </c>
      <c r="N404" s="78">
        <f>IF(OR(L404="",M404&lt;&gt;"Yes"),"",IF(COUNTIFS('Vault'!$C$6:$C$1005,"Contract",'Vault'!$D$6:$D$1005,L404)&gt;0,"✓","✗ missing"))</f>
        <v/>
      </c>
      <c r="O404" s="78">
        <f>IF(OR(L404="",M404&lt;&gt;"Yes"),"",IF(COUNTIFS('Vault'!$C$6:$C$1005,"Insurance",'Vault'!$D$6:$D$1005,L404)&gt;0,"✓","✗ missing"))</f>
        <v/>
      </c>
      <c r="P404" s="78">
        <f>IF(OR(L404="",M404&lt;&gt;"Yes"),"",IF(COUNTIFS('Vault'!$C$6:$C$1005,"Quote",'Vault'!$D$6:$D$1005,L404)&gt;0,"✓","✗ missing"))</f>
        <v/>
      </c>
      <c r="Q404" s="78">
        <f>IF(N404="","",IF(AND(N404="✓",O404="✓",P404="✓"),"✓ Complete","Missing documents"))</f>
        <v/>
      </c>
      <c r="R404" s="79">
        <f>IF(Q404="","",IF(Q404="✓ Complete",0,1))</f>
        <v/>
      </c>
    </row>
    <row r="405" ht="20" customHeight="1">
      <c r="B405" s="72" t="n"/>
      <c r="C405" s="72" t="n"/>
      <c r="D405" s="72" t="n"/>
      <c r="E405" s="72" t="n"/>
      <c r="F405" s="72" t="n"/>
      <c r="G405" s="109" t="n"/>
      <c r="H405" s="72" t="n"/>
      <c r="I405" s="78">
        <f>IF(H405="","",HYPERLINK(H405,"Open ↗"))</f>
        <v/>
      </c>
      <c r="J405" s="72" t="n"/>
      <c r="L405" s="116">
        <f>IF('Contractors'!B405="","",'Contractors'!B405)</f>
        <v/>
      </c>
      <c r="M405" s="78">
        <f>IF(L405="","",'Contractors'!L405)</f>
        <v/>
      </c>
      <c r="N405" s="78">
        <f>IF(OR(L405="",M405&lt;&gt;"Yes"),"",IF(COUNTIFS('Vault'!$C$6:$C$1005,"Contract",'Vault'!$D$6:$D$1005,L405)&gt;0,"✓","✗ missing"))</f>
        <v/>
      </c>
      <c r="O405" s="78">
        <f>IF(OR(L405="",M405&lt;&gt;"Yes"),"",IF(COUNTIFS('Vault'!$C$6:$C$1005,"Insurance",'Vault'!$D$6:$D$1005,L405)&gt;0,"✓","✗ missing"))</f>
        <v/>
      </c>
      <c r="P405" s="78">
        <f>IF(OR(L405="",M405&lt;&gt;"Yes"),"",IF(COUNTIFS('Vault'!$C$6:$C$1005,"Quote",'Vault'!$D$6:$D$1005,L405)&gt;0,"✓","✗ missing"))</f>
        <v/>
      </c>
      <c r="Q405" s="78">
        <f>IF(N405="","",IF(AND(N405="✓",O405="✓",P405="✓"),"✓ Complete","Missing documents"))</f>
        <v/>
      </c>
      <c r="R405" s="79">
        <f>IF(Q405="","",IF(Q405="✓ Complete",0,1))</f>
        <v/>
      </c>
    </row>
    <row r="406" ht="20" customHeight="1">
      <c r="B406" s="72" t="n"/>
      <c r="C406" s="72" t="n"/>
      <c r="D406" s="72" t="n"/>
      <c r="E406" s="72" t="n"/>
      <c r="F406" s="72" t="n"/>
      <c r="G406" s="109" t="n"/>
      <c r="H406" s="72" t="n"/>
      <c r="I406" s="78">
        <f>IF(H406="","",HYPERLINK(H406,"Open ↗"))</f>
        <v/>
      </c>
      <c r="J406" s="72" t="n"/>
      <c r="L406" s="116">
        <f>IF('Contractors'!B406="","",'Contractors'!B406)</f>
        <v/>
      </c>
      <c r="M406" s="78">
        <f>IF(L406="","",'Contractors'!L406)</f>
        <v/>
      </c>
      <c r="N406" s="78">
        <f>IF(OR(L406="",M406&lt;&gt;"Yes"),"",IF(COUNTIFS('Vault'!$C$6:$C$1005,"Contract",'Vault'!$D$6:$D$1005,L406)&gt;0,"✓","✗ missing"))</f>
        <v/>
      </c>
      <c r="O406" s="78">
        <f>IF(OR(L406="",M406&lt;&gt;"Yes"),"",IF(COUNTIFS('Vault'!$C$6:$C$1005,"Insurance",'Vault'!$D$6:$D$1005,L406)&gt;0,"✓","✗ missing"))</f>
        <v/>
      </c>
      <c r="P406" s="78">
        <f>IF(OR(L406="",M406&lt;&gt;"Yes"),"",IF(COUNTIFS('Vault'!$C$6:$C$1005,"Quote",'Vault'!$D$6:$D$1005,L406)&gt;0,"✓","✗ missing"))</f>
        <v/>
      </c>
      <c r="Q406" s="78">
        <f>IF(N406="","",IF(AND(N406="✓",O406="✓",P406="✓"),"✓ Complete","Missing documents"))</f>
        <v/>
      </c>
      <c r="R406" s="79">
        <f>IF(Q406="","",IF(Q406="✓ Complete",0,1))</f>
        <v/>
      </c>
    </row>
    <row r="407" ht="20" customHeight="1">
      <c r="B407" s="72" t="n"/>
      <c r="C407" s="72" t="n"/>
      <c r="D407" s="72" t="n"/>
      <c r="E407" s="72" t="n"/>
      <c r="F407" s="72" t="n"/>
      <c r="G407" s="109" t="n"/>
      <c r="H407" s="72" t="n"/>
      <c r="I407" s="78">
        <f>IF(H407="","",HYPERLINK(H407,"Open ↗"))</f>
        <v/>
      </c>
      <c r="J407" s="72" t="n"/>
      <c r="L407" s="116">
        <f>IF('Contractors'!B407="","",'Contractors'!B407)</f>
        <v/>
      </c>
      <c r="M407" s="78">
        <f>IF(L407="","",'Contractors'!L407)</f>
        <v/>
      </c>
      <c r="N407" s="78">
        <f>IF(OR(L407="",M407&lt;&gt;"Yes"),"",IF(COUNTIFS('Vault'!$C$6:$C$1005,"Contract",'Vault'!$D$6:$D$1005,L407)&gt;0,"✓","✗ missing"))</f>
        <v/>
      </c>
      <c r="O407" s="78">
        <f>IF(OR(L407="",M407&lt;&gt;"Yes"),"",IF(COUNTIFS('Vault'!$C$6:$C$1005,"Insurance",'Vault'!$D$6:$D$1005,L407)&gt;0,"✓","✗ missing"))</f>
        <v/>
      </c>
      <c r="P407" s="78">
        <f>IF(OR(L407="",M407&lt;&gt;"Yes"),"",IF(COUNTIFS('Vault'!$C$6:$C$1005,"Quote",'Vault'!$D$6:$D$1005,L407)&gt;0,"✓","✗ missing"))</f>
        <v/>
      </c>
      <c r="Q407" s="78">
        <f>IF(N407="","",IF(AND(N407="✓",O407="✓",P407="✓"),"✓ Complete","Missing documents"))</f>
        <v/>
      </c>
      <c r="R407" s="79">
        <f>IF(Q407="","",IF(Q407="✓ Complete",0,1))</f>
        <v/>
      </c>
    </row>
    <row r="408" ht="20" customHeight="1">
      <c r="B408" s="72" t="n"/>
      <c r="C408" s="72" t="n"/>
      <c r="D408" s="72" t="n"/>
      <c r="E408" s="72" t="n"/>
      <c r="F408" s="72" t="n"/>
      <c r="G408" s="109" t="n"/>
      <c r="H408" s="72" t="n"/>
      <c r="I408" s="78">
        <f>IF(H408="","",HYPERLINK(H408,"Open ↗"))</f>
        <v/>
      </c>
      <c r="J408" s="72" t="n"/>
      <c r="L408" s="116">
        <f>IF('Contractors'!B408="","",'Contractors'!B408)</f>
        <v/>
      </c>
      <c r="M408" s="78">
        <f>IF(L408="","",'Contractors'!L408)</f>
        <v/>
      </c>
      <c r="N408" s="78">
        <f>IF(OR(L408="",M408&lt;&gt;"Yes"),"",IF(COUNTIFS('Vault'!$C$6:$C$1005,"Contract",'Vault'!$D$6:$D$1005,L408)&gt;0,"✓","✗ missing"))</f>
        <v/>
      </c>
      <c r="O408" s="78">
        <f>IF(OR(L408="",M408&lt;&gt;"Yes"),"",IF(COUNTIFS('Vault'!$C$6:$C$1005,"Insurance",'Vault'!$D$6:$D$1005,L408)&gt;0,"✓","✗ missing"))</f>
        <v/>
      </c>
      <c r="P408" s="78">
        <f>IF(OR(L408="",M408&lt;&gt;"Yes"),"",IF(COUNTIFS('Vault'!$C$6:$C$1005,"Quote",'Vault'!$D$6:$D$1005,L408)&gt;0,"✓","✗ missing"))</f>
        <v/>
      </c>
      <c r="Q408" s="78">
        <f>IF(N408="","",IF(AND(N408="✓",O408="✓",P408="✓"),"✓ Complete","Missing documents"))</f>
        <v/>
      </c>
      <c r="R408" s="79">
        <f>IF(Q408="","",IF(Q408="✓ Complete",0,1))</f>
        <v/>
      </c>
    </row>
    <row r="409" ht="20" customHeight="1">
      <c r="B409" s="72" t="n"/>
      <c r="C409" s="72" t="n"/>
      <c r="D409" s="72" t="n"/>
      <c r="E409" s="72" t="n"/>
      <c r="F409" s="72" t="n"/>
      <c r="G409" s="109" t="n"/>
      <c r="H409" s="72" t="n"/>
      <c r="I409" s="78">
        <f>IF(H409="","",HYPERLINK(H409,"Open ↗"))</f>
        <v/>
      </c>
      <c r="J409" s="72" t="n"/>
      <c r="L409" s="116">
        <f>IF('Contractors'!B409="","",'Contractors'!B409)</f>
        <v/>
      </c>
      <c r="M409" s="78">
        <f>IF(L409="","",'Contractors'!L409)</f>
        <v/>
      </c>
      <c r="N409" s="78">
        <f>IF(OR(L409="",M409&lt;&gt;"Yes"),"",IF(COUNTIFS('Vault'!$C$6:$C$1005,"Contract",'Vault'!$D$6:$D$1005,L409)&gt;0,"✓","✗ missing"))</f>
        <v/>
      </c>
      <c r="O409" s="78">
        <f>IF(OR(L409="",M409&lt;&gt;"Yes"),"",IF(COUNTIFS('Vault'!$C$6:$C$1005,"Insurance",'Vault'!$D$6:$D$1005,L409)&gt;0,"✓","✗ missing"))</f>
        <v/>
      </c>
      <c r="P409" s="78">
        <f>IF(OR(L409="",M409&lt;&gt;"Yes"),"",IF(COUNTIFS('Vault'!$C$6:$C$1005,"Quote",'Vault'!$D$6:$D$1005,L409)&gt;0,"✓","✗ missing"))</f>
        <v/>
      </c>
      <c r="Q409" s="78">
        <f>IF(N409="","",IF(AND(N409="✓",O409="✓",P409="✓"),"✓ Complete","Missing documents"))</f>
        <v/>
      </c>
      <c r="R409" s="79">
        <f>IF(Q409="","",IF(Q409="✓ Complete",0,1))</f>
        <v/>
      </c>
    </row>
    <row r="410" ht="20" customHeight="1">
      <c r="B410" s="72" t="n"/>
      <c r="C410" s="72" t="n"/>
      <c r="D410" s="72" t="n"/>
      <c r="E410" s="72" t="n"/>
      <c r="F410" s="72" t="n"/>
      <c r="G410" s="109" t="n"/>
      <c r="H410" s="72" t="n"/>
      <c r="I410" s="78">
        <f>IF(H410="","",HYPERLINK(H410,"Open ↗"))</f>
        <v/>
      </c>
      <c r="J410" s="72" t="n"/>
      <c r="L410" s="116">
        <f>IF('Contractors'!B410="","",'Contractors'!B410)</f>
        <v/>
      </c>
      <c r="M410" s="78">
        <f>IF(L410="","",'Contractors'!L410)</f>
        <v/>
      </c>
      <c r="N410" s="78">
        <f>IF(OR(L410="",M410&lt;&gt;"Yes"),"",IF(COUNTIFS('Vault'!$C$6:$C$1005,"Contract",'Vault'!$D$6:$D$1005,L410)&gt;0,"✓","✗ missing"))</f>
        <v/>
      </c>
      <c r="O410" s="78">
        <f>IF(OR(L410="",M410&lt;&gt;"Yes"),"",IF(COUNTIFS('Vault'!$C$6:$C$1005,"Insurance",'Vault'!$D$6:$D$1005,L410)&gt;0,"✓","✗ missing"))</f>
        <v/>
      </c>
      <c r="P410" s="78">
        <f>IF(OR(L410="",M410&lt;&gt;"Yes"),"",IF(COUNTIFS('Vault'!$C$6:$C$1005,"Quote",'Vault'!$D$6:$D$1005,L410)&gt;0,"✓","✗ missing"))</f>
        <v/>
      </c>
      <c r="Q410" s="78">
        <f>IF(N410="","",IF(AND(N410="✓",O410="✓",P410="✓"),"✓ Complete","Missing documents"))</f>
        <v/>
      </c>
      <c r="R410" s="79">
        <f>IF(Q410="","",IF(Q410="✓ Complete",0,1))</f>
        <v/>
      </c>
    </row>
    <row r="411" ht="20" customHeight="1">
      <c r="B411" s="72" t="n"/>
      <c r="C411" s="72" t="n"/>
      <c r="D411" s="72" t="n"/>
      <c r="E411" s="72" t="n"/>
      <c r="F411" s="72" t="n"/>
      <c r="G411" s="109" t="n"/>
      <c r="H411" s="72" t="n"/>
      <c r="I411" s="78">
        <f>IF(H411="","",HYPERLINK(H411,"Open ↗"))</f>
        <v/>
      </c>
      <c r="J411" s="72" t="n"/>
      <c r="L411" s="116">
        <f>IF('Contractors'!B411="","",'Contractors'!B411)</f>
        <v/>
      </c>
      <c r="M411" s="78">
        <f>IF(L411="","",'Contractors'!L411)</f>
        <v/>
      </c>
      <c r="N411" s="78">
        <f>IF(OR(L411="",M411&lt;&gt;"Yes"),"",IF(COUNTIFS('Vault'!$C$6:$C$1005,"Contract",'Vault'!$D$6:$D$1005,L411)&gt;0,"✓","✗ missing"))</f>
        <v/>
      </c>
      <c r="O411" s="78">
        <f>IF(OR(L411="",M411&lt;&gt;"Yes"),"",IF(COUNTIFS('Vault'!$C$6:$C$1005,"Insurance",'Vault'!$D$6:$D$1005,L411)&gt;0,"✓","✗ missing"))</f>
        <v/>
      </c>
      <c r="P411" s="78">
        <f>IF(OR(L411="",M411&lt;&gt;"Yes"),"",IF(COUNTIFS('Vault'!$C$6:$C$1005,"Quote",'Vault'!$D$6:$D$1005,L411)&gt;0,"✓","✗ missing"))</f>
        <v/>
      </c>
      <c r="Q411" s="78">
        <f>IF(N411="","",IF(AND(N411="✓",O411="✓",P411="✓"),"✓ Complete","Missing documents"))</f>
        <v/>
      </c>
      <c r="R411" s="79">
        <f>IF(Q411="","",IF(Q411="✓ Complete",0,1))</f>
        <v/>
      </c>
    </row>
    <row r="412" ht="20" customHeight="1">
      <c r="B412" s="72" t="n"/>
      <c r="C412" s="72" t="n"/>
      <c r="D412" s="72" t="n"/>
      <c r="E412" s="72" t="n"/>
      <c r="F412" s="72" t="n"/>
      <c r="G412" s="109" t="n"/>
      <c r="H412" s="72" t="n"/>
      <c r="I412" s="78">
        <f>IF(H412="","",HYPERLINK(H412,"Open ↗"))</f>
        <v/>
      </c>
      <c r="J412" s="72" t="n"/>
      <c r="L412" s="116">
        <f>IF('Contractors'!B412="","",'Contractors'!B412)</f>
        <v/>
      </c>
      <c r="M412" s="78">
        <f>IF(L412="","",'Contractors'!L412)</f>
        <v/>
      </c>
      <c r="N412" s="78">
        <f>IF(OR(L412="",M412&lt;&gt;"Yes"),"",IF(COUNTIFS('Vault'!$C$6:$C$1005,"Contract",'Vault'!$D$6:$D$1005,L412)&gt;0,"✓","✗ missing"))</f>
        <v/>
      </c>
      <c r="O412" s="78">
        <f>IF(OR(L412="",M412&lt;&gt;"Yes"),"",IF(COUNTIFS('Vault'!$C$6:$C$1005,"Insurance",'Vault'!$D$6:$D$1005,L412)&gt;0,"✓","✗ missing"))</f>
        <v/>
      </c>
      <c r="P412" s="78">
        <f>IF(OR(L412="",M412&lt;&gt;"Yes"),"",IF(COUNTIFS('Vault'!$C$6:$C$1005,"Quote",'Vault'!$D$6:$D$1005,L412)&gt;0,"✓","✗ missing"))</f>
        <v/>
      </c>
      <c r="Q412" s="78">
        <f>IF(N412="","",IF(AND(N412="✓",O412="✓",P412="✓"),"✓ Complete","Missing documents"))</f>
        <v/>
      </c>
      <c r="R412" s="79">
        <f>IF(Q412="","",IF(Q412="✓ Complete",0,1))</f>
        <v/>
      </c>
    </row>
    <row r="413" ht="20" customHeight="1">
      <c r="B413" s="72" t="n"/>
      <c r="C413" s="72" t="n"/>
      <c r="D413" s="72" t="n"/>
      <c r="E413" s="72" t="n"/>
      <c r="F413" s="72" t="n"/>
      <c r="G413" s="109" t="n"/>
      <c r="H413" s="72" t="n"/>
      <c r="I413" s="78">
        <f>IF(H413="","",HYPERLINK(H413,"Open ↗"))</f>
        <v/>
      </c>
      <c r="J413" s="72" t="n"/>
      <c r="L413" s="116">
        <f>IF('Contractors'!B413="","",'Contractors'!B413)</f>
        <v/>
      </c>
      <c r="M413" s="78">
        <f>IF(L413="","",'Contractors'!L413)</f>
        <v/>
      </c>
      <c r="N413" s="78">
        <f>IF(OR(L413="",M413&lt;&gt;"Yes"),"",IF(COUNTIFS('Vault'!$C$6:$C$1005,"Contract",'Vault'!$D$6:$D$1005,L413)&gt;0,"✓","✗ missing"))</f>
        <v/>
      </c>
      <c r="O413" s="78">
        <f>IF(OR(L413="",M413&lt;&gt;"Yes"),"",IF(COUNTIFS('Vault'!$C$6:$C$1005,"Insurance",'Vault'!$D$6:$D$1005,L413)&gt;0,"✓","✗ missing"))</f>
        <v/>
      </c>
      <c r="P413" s="78">
        <f>IF(OR(L413="",M413&lt;&gt;"Yes"),"",IF(COUNTIFS('Vault'!$C$6:$C$1005,"Quote",'Vault'!$D$6:$D$1005,L413)&gt;0,"✓","✗ missing"))</f>
        <v/>
      </c>
      <c r="Q413" s="78">
        <f>IF(N413="","",IF(AND(N413="✓",O413="✓",P413="✓"),"✓ Complete","Missing documents"))</f>
        <v/>
      </c>
      <c r="R413" s="79">
        <f>IF(Q413="","",IF(Q413="✓ Complete",0,1))</f>
        <v/>
      </c>
    </row>
    <row r="414" ht="20" customHeight="1">
      <c r="B414" s="72" t="n"/>
      <c r="C414" s="72" t="n"/>
      <c r="D414" s="72" t="n"/>
      <c r="E414" s="72" t="n"/>
      <c r="F414" s="72" t="n"/>
      <c r="G414" s="109" t="n"/>
      <c r="H414" s="72" t="n"/>
      <c r="I414" s="78">
        <f>IF(H414="","",HYPERLINK(H414,"Open ↗"))</f>
        <v/>
      </c>
      <c r="J414" s="72" t="n"/>
      <c r="L414" s="116">
        <f>IF('Contractors'!B414="","",'Contractors'!B414)</f>
        <v/>
      </c>
      <c r="M414" s="78">
        <f>IF(L414="","",'Contractors'!L414)</f>
        <v/>
      </c>
      <c r="N414" s="78">
        <f>IF(OR(L414="",M414&lt;&gt;"Yes"),"",IF(COUNTIFS('Vault'!$C$6:$C$1005,"Contract",'Vault'!$D$6:$D$1005,L414)&gt;0,"✓","✗ missing"))</f>
        <v/>
      </c>
      <c r="O414" s="78">
        <f>IF(OR(L414="",M414&lt;&gt;"Yes"),"",IF(COUNTIFS('Vault'!$C$6:$C$1005,"Insurance",'Vault'!$D$6:$D$1005,L414)&gt;0,"✓","✗ missing"))</f>
        <v/>
      </c>
      <c r="P414" s="78">
        <f>IF(OR(L414="",M414&lt;&gt;"Yes"),"",IF(COUNTIFS('Vault'!$C$6:$C$1005,"Quote",'Vault'!$D$6:$D$1005,L414)&gt;0,"✓","✗ missing"))</f>
        <v/>
      </c>
      <c r="Q414" s="78">
        <f>IF(N414="","",IF(AND(N414="✓",O414="✓",P414="✓"),"✓ Complete","Missing documents"))</f>
        <v/>
      </c>
      <c r="R414" s="79">
        <f>IF(Q414="","",IF(Q414="✓ Complete",0,1))</f>
        <v/>
      </c>
    </row>
    <row r="415" ht="20" customHeight="1">
      <c r="B415" s="72" t="n"/>
      <c r="C415" s="72" t="n"/>
      <c r="D415" s="72" t="n"/>
      <c r="E415" s="72" t="n"/>
      <c r="F415" s="72" t="n"/>
      <c r="G415" s="109" t="n"/>
      <c r="H415" s="72" t="n"/>
      <c r="I415" s="78">
        <f>IF(H415="","",HYPERLINK(H415,"Open ↗"))</f>
        <v/>
      </c>
      <c r="J415" s="72" t="n"/>
      <c r="L415" s="116">
        <f>IF('Contractors'!B415="","",'Contractors'!B415)</f>
        <v/>
      </c>
      <c r="M415" s="78">
        <f>IF(L415="","",'Contractors'!L415)</f>
        <v/>
      </c>
      <c r="N415" s="78">
        <f>IF(OR(L415="",M415&lt;&gt;"Yes"),"",IF(COUNTIFS('Vault'!$C$6:$C$1005,"Contract",'Vault'!$D$6:$D$1005,L415)&gt;0,"✓","✗ missing"))</f>
        <v/>
      </c>
      <c r="O415" s="78">
        <f>IF(OR(L415="",M415&lt;&gt;"Yes"),"",IF(COUNTIFS('Vault'!$C$6:$C$1005,"Insurance",'Vault'!$D$6:$D$1005,L415)&gt;0,"✓","✗ missing"))</f>
        <v/>
      </c>
      <c r="P415" s="78">
        <f>IF(OR(L415="",M415&lt;&gt;"Yes"),"",IF(COUNTIFS('Vault'!$C$6:$C$1005,"Quote",'Vault'!$D$6:$D$1005,L415)&gt;0,"✓","✗ missing"))</f>
        <v/>
      </c>
      <c r="Q415" s="78">
        <f>IF(N415="","",IF(AND(N415="✓",O415="✓",P415="✓"),"✓ Complete","Missing documents"))</f>
        <v/>
      </c>
      <c r="R415" s="79">
        <f>IF(Q415="","",IF(Q415="✓ Complete",0,1))</f>
        <v/>
      </c>
    </row>
    <row r="416" ht="20" customHeight="1">
      <c r="B416" s="72" t="n"/>
      <c r="C416" s="72" t="n"/>
      <c r="D416" s="72" t="n"/>
      <c r="E416" s="72" t="n"/>
      <c r="F416" s="72" t="n"/>
      <c r="G416" s="109" t="n"/>
      <c r="H416" s="72" t="n"/>
      <c r="I416" s="78">
        <f>IF(H416="","",HYPERLINK(H416,"Open ↗"))</f>
        <v/>
      </c>
      <c r="J416" s="72" t="n"/>
      <c r="L416" s="116">
        <f>IF('Contractors'!B416="","",'Contractors'!B416)</f>
        <v/>
      </c>
      <c r="M416" s="78">
        <f>IF(L416="","",'Contractors'!L416)</f>
        <v/>
      </c>
      <c r="N416" s="78">
        <f>IF(OR(L416="",M416&lt;&gt;"Yes"),"",IF(COUNTIFS('Vault'!$C$6:$C$1005,"Contract",'Vault'!$D$6:$D$1005,L416)&gt;0,"✓","✗ missing"))</f>
        <v/>
      </c>
      <c r="O416" s="78">
        <f>IF(OR(L416="",M416&lt;&gt;"Yes"),"",IF(COUNTIFS('Vault'!$C$6:$C$1005,"Insurance",'Vault'!$D$6:$D$1005,L416)&gt;0,"✓","✗ missing"))</f>
        <v/>
      </c>
      <c r="P416" s="78">
        <f>IF(OR(L416="",M416&lt;&gt;"Yes"),"",IF(COUNTIFS('Vault'!$C$6:$C$1005,"Quote",'Vault'!$D$6:$D$1005,L416)&gt;0,"✓","✗ missing"))</f>
        <v/>
      </c>
      <c r="Q416" s="78">
        <f>IF(N416="","",IF(AND(N416="✓",O416="✓",P416="✓"),"✓ Complete","Missing documents"))</f>
        <v/>
      </c>
      <c r="R416" s="79">
        <f>IF(Q416="","",IF(Q416="✓ Complete",0,1))</f>
        <v/>
      </c>
    </row>
    <row r="417" ht="20" customHeight="1">
      <c r="B417" s="72" t="n"/>
      <c r="C417" s="72" t="n"/>
      <c r="D417" s="72" t="n"/>
      <c r="E417" s="72" t="n"/>
      <c r="F417" s="72" t="n"/>
      <c r="G417" s="109" t="n"/>
      <c r="H417" s="72" t="n"/>
      <c r="I417" s="78">
        <f>IF(H417="","",HYPERLINK(H417,"Open ↗"))</f>
        <v/>
      </c>
      <c r="J417" s="72" t="n"/>
      <c r="L417" s="116">
        <f>IF('Contractors'!B417="","",'Contractors'!B417)</f>
        <v/>
      </c>
      <c r="M417" s="78">
        <f>IF(L417="","",'Contractors'!L417)</f>
        <v/>
      </c>
      <c r="N417" s="78">
        <f>IF(OR(L417="",M417&lt;&gt;"Yes"),"",IF(COUNTIFS('Vault'!$C$6:$C$1005,"Contract",'Vault'!$D$6:$D$1005,L417)&gt;0,"✓","✗ missing"))</f>
        <v/>
      </c>
      <c r="O417" s="78">
        <f>IF(OR(L417="",M417&lt;&gt;"Yes"),"",IF(COUNTIFS('Vault'!$C$6:$C$1005,"Insurance",'Vault'!$D$6:$D$1005,L417)&gt;0,"✓","✗ missing"))</f>
        <v/>
      </c>
      <c r="P417" s="78">
        <f>IF(OR(L417="",M417&lt;&gt;"Yes"),"",IF(COUNTIFS('Vault'!$C$6:$C$1005,"Quote",'Vault'!$D$6:$D$1005,L417)&gt;0,"✓","✗ missing"))</f>
        <v/>
      </c>
      <c r="Q417" s="78">
        <f>IF(N417="","",IF(AND(N417="✓",O417="✓",P417="✓"),"✓ Complete","Missing documents"))</f>
        <v/>
      </c>
      <c r="R417" s="79">
        <f>IF(Q417="","",IF(Q417="✓ Complete",0,1))</f>
        <v/>
      </c>
    </row>
    <row r="418" ht="20" customHeight="1">
      <c r="B418" s="72" t="n"/>
      <c r="C418" s="72" t="n"/>
      <c r="D418" s="72" t="n"/>
      <c r="E418" s="72" t="n"/>
      <c r="F418" s="72" t="n"/>
      <c r="G418" s="109" t="n"/>
      <c r="H418" s="72" t="n"/>
      <c r="I418" s="78">
        <f>IF(H418="","",HYPERLINK(H418,"Open ↗"))</f>
        <v/>
      </c>
      <c r="J418" s="72" t="n"/>
      <c r="L418" s="116">
        <f>IF('Contractors'!B418="","",'Contractors'!B418)</f>
        <v/>
      </c>
      <c r="M418" s="78">
        <f>IF(L418="","",'Contractors'!L418)</f>
        <v/>
      </c>
      <c r="N418" s="78">
        <f>IF(OR(L418="",M418&lt;&gt;"Yes"),"",IF(COUNTIFS('Vault'!$C$6:$C$1005,"Contract",'Vault'!$D$6:$D$1005,L418)&gt;0,"✓","✗ missing"))</f>
        <v/>
      </c>
      <c r="O418" s="78">
        <f>IF(OR(L418="",M418&lt;&gt;"Yes"),"",IF(COUNTIFS('Vault'!$C$6:$C$1005,"Insurance",'Vault'!$D$6:$D$1005,L418)&gt;0,"✓","✗ missing"))</f>
        <v/>
      </c>
      <c r="P418" s="78">
        <f>IF(OR(L418="",M418&lt;&gt;"Yes"),"",IF(COUNTIFS('Vault'!$C$6:$C$1005,"Quote",'Vault'!$D$6:$D$1005,L418)&gt;0,"✓","✗ missing"))</f>
        <v/>
      </c>
      <c r="Q418" s="78">
        <f>IF(N418="","",IF(AND(N418="✓",O418="✓",P418="✓"),"✓ Complete","Missing documents"))</f>
        <v/>
      </c>
      <c r="R418" s="79">
        <f>IF(Q418="","",IF(Q418="✓ Complete",0,1))</f>
        <v/>
      </c>
    </row>
    <row r="419" ht="20" customHeight="1">
      <c r="B419" s="72" t="n"/>
      <c r="C419" s="72" t="n"/>
      <c r="D419" s="72" t="n"/>
      <c r="E419" s="72" t="n"/>
      <c r="F419" s="72" t="n"/>
      <c r="G419" s="109" t="n"/>
      <c r="H419" s="72" t="n"/>
      <c r="I419" s="78">
        <f>IF(H419="","",HYPERLINK(H419,"Open ↗"))</f>
        <v/>
      </c>
      <c r="J419" s="72" t="n"/>
      <c r="L419" s="116">
        <f>IF('Contractors'!B419="","",'Contractors'!B419)</f>
        <v/>
      </c>
      <c r="M419" s="78">
        <f>IF(L419="","",'Contractors'!L419)</f>
        <v/>
      </c>
      <c r="N419" s="78">
        <f>IF(OR(L419="",M419&lt;&gt;"Yes"),"",IF(COUNTIFS('Vault'!$C$6:$C$1005,"Contract",'Vault'!$D$6:$D$1005,L419)&gt;0,"✓","✗ missing"))</f>
        <v/>
      </c>
      <c r="O419" s="78">
        <f>IF(OR(L419="",M419&lt;&gt;"Yes"),"",IF(COUNTIFS('Vault'!$C$6:$C$1005,"Insurance",'Vault'!$D$6:$D$1005,L419)&gt;0,"✓","✗ missing"))</f>
        <v/>
      </c>
      <c r="P419" s="78">
        <f>IF(OR(L419="",M419&lt;&gt;"Yes"),"",IF(COUNTIFS('Vault'!$C$6:$C$1005,"Quote",'Vault'!$D$6:$D$1005,L419)&gt;0,"✓","✗ missing"))</f>
        <v/>
      </c>
      <c r="Q419" s="78">
        <f>IF(N419="","",IF(AND(N419="✓",O419="✓",P419="✓"),"✓ Complete","Missing documents"))</f>
        <v/>
      </c>
      <c r="R419" s="79">
        <f>IF(Q419="","",IF(Q419="✓ Complete",0,1))</f>
        <v/>
      </c>
    </row>
    <row r="420" ht="20" customHeight="1">
      <c r="B420" s="72" t="n"/>
      <c r="C420" s="72" t="n"/>
      <c r="D420" s="72" t="n"/>
      <c r="E420" s="72" t="n"/>
      <c r="F420" s="72" t="n"/>
      <c r="G420" s="109" t="n"/>
      <c r="H420" s="72" t="n"/>
      <c r="I420" s="78">
        <f>IF(H420="","",HYPERLINK(H420,"Open ↗"))</f>
        <v/>
      </c>
      <c r="J420" s="72" t="n"/>
      <c r="L420" s="116">
        <f>IF('Contractors'!B420="","",'Contractors'!B420)</f>
        <v/>
      </c>
      <c r="M420" s="78">
        <f>IF(L420="","",'Contractors'!L420)</f>
        <v/>
      </c>
      <c r="N420" s="78">
        <f>IF(OR(L420="",M420&lt;&gt;"Yes"),"",IF(COUNTIFS('Vault'!$C$6:$C$1005,"Contract",'Vault'!$D$6:$D$1005,L420)&gt;0,"✓","✗ missing"))</f>
        <v/>
      </c>
      <c r="O420" s="78">
        <f>IF(OR(L420="",M420&lt;&gt;"Yes"),"",IF(COUNTIFS('Vault'!$C$6:$C$1005,"Insurance",'Vault'!$D$6:$D$1005,L420)&gt;0,"✓","✗ missing"))</f>
        <v/>
      </c>
      <c r="P420" s="78">
        <f>IF(OR(L420="",M420&lt;&gt;"Yes"),"",IF(COUNTIFS('Vault'!$C$6:$C$1005,"Quote",'Vault'!$D$6:$D$1005,L420)&gt;0,"✓","✗ missing"))</f>
        <v/>
      </c>
      <c r="Q420" s="78">
        <f>IF(N420="","",IF(AND(N420="✓",O420="✓",P420="✓"),"✓ Complete","Missing documents"))</f>
        <v/>
      </c>
      <c r="R420" s="79">
        <f>IF(Q420="","",IF(Q420="✓ Complete",0,1))</f>
        <v/>
      </c>
    </row>
    <row r="421" ht="20" customHeight="1">
      <c r="B421" s="72" t="n"/>
      <c r="C421" s="72" t="n"/>
      <c r="D421" s="72" t="n"/>
      <c r="E421" s="72" t="n"/>
      <c r="F421" s="72" t="n"/>
      <c r="G421" s="109" t="n"/>
      <c r="H421" s="72" t="n"/>
      <c r="I421" s="78">
        <f>IF(H421="","",HYPERLINK(H421,"Open ↗"))</f>
        <v/>
      </c>
      <c r="J421" s="72" t="n"/>
      <c r="L421" s="116">
        <f>IF('Contractors'!B421="","",'Contractors'!B421)</f>
        <v/>
      </c>
      <c r="M421" s="78">
        <f>IF(L421="","",'Contractors'!L421)</f>
        <v/>
      </c>
      <c r="N421" s="78">
        <f>IF(OR(L421="",M421&lt;&gt;"Yes"),"",IF(COUNTIFS('Vault'!$C$6:$C$1005,"Contract",'Vault'!$D$6:$D$1005,L421)&gt;0,"✓","✗ missing"))</f>
        <v/>
      </c>
      <c r="O421" s="78">
        <f>IF(OR(L421="",M421&lt;&gt;"Yes"),"",IF(COUNTIFS('Vault'!$C$6:$C$1005,"Insurance",'Vault'!$D$6:$D$1005,L421)&gt;0,"✓","✗ missing"))</f>
        <v/>
      </c>
      <c r="P421" s="78">
        <f>IF(OR(L421="",M421&lt;&gt;"Yes"),"",IF(COUNTIFS('Vault'!$C$6:$C$1005,"Quote",'Vault'!$D$6:$D$1005,L421)&gt;0,"✓","✗ missing"))</f>
        <v/>
      </c>
      <c r="Q421" s="78">
        <f>IF(N421="","",IF(AND(N421="✓",O421="✓",P421="✓"),"✓ Complete","Missing documents"))</f>
        <v/>
      </c>
      <c r="R421" s="79">
        <f>IF(Q421="","",IF(Q421="✓ Complete",0,1))</f>
        <v/>
      </c>
    </row>
    <row r="422" ht="20" customHeight="1">
      <c r="B422" s="72" t="n"/>
      <c r="C422" s="72" t="n"/>
      <c r="D422" s="72" t="n"/>
      <c r="E422" s="72" t="n"/>
      <c r="F422" s="72" t="n"/>
      <c r="G422" s="109" t="n"/>
      <c r="H422" s="72" t="n"/>
      <c r="I422" s="78">
        <f>IF(H422="","",HYPERLINK(H422,"Open ↗"))</f>
        <v/>
      </c>
      <c r="J422" s="72" t="n"/>
      <c r="L422" s="116">
        <f>IF('Contractors'!B422="","",'Contractors'!B422)</f>
        <v/>
      </c>
      <c r="M422" s="78">
        <f>IF(L422="","",'Contractors'!L422)</f>
        <v/>
      </c>
      <c r="N422" s="78">
        <f>IF(OR(L422="",M422&lt;&gt;"Yes"),"",IF(COUNTIFS('Vault'!$C$6:$C$1005,"Contract",'Vault'!$D$6:$D$1005,L422)&gt;0,"✓","✗ missing"))</f>
        <v/>
      </c>
      <c r="O422" s="78">
        <f>IF(OR(L422="",M422&lt;&gt;"Yes"),"",IF(COUNTIFS('Vault'!$C$6:$C$1005,"Insurance",'Vault'!$D$6:$D$1005,L422)&gt;0,"✓","✗ missing"))</f>
        <v/>
      </c>
      <c r="P422" s="78">
        <f>IF(OR(L422="",M422&lt;&gt;"Yes"),"",IF(COUNTIFS('Vault'!$C$6:$C$1005,"Quote",'Vault'!$D$6:$D$1005,L422)&gt;0,"✓","✗ missing"))</f>
        <v/>
      </c>
      <c r="Q422" s="78">
        <f>IF(N422="","",IF(AND(N422="✓",O422="✓",P422="✓"),"✓ Complete","Missing documents"))</f>
        <v/>
      </c>
      <c r="R422" s="79">
        <f>IF(Q422="","",IF(Q422="✓ Complete",0,1))</f>
        <v/>
      </c>
    </row>
    <row r="423" ht="20" customHeight="1">
      <c r="B423" s="72" t="n"/>
      <c r="C423" s="72" t="n"/>
      <c r="D423" s="72" t="n"/>
      <c r="E423" s="72" t="n"/>
      <c r="F423" s="72" t="n"/>
      <c r="G423" s="109" t="n"/>
      <c r="H423" s="72" t="n"/>
      <c r="I423" s="78">
        <f>IF(H423="","",HYPERLINK(H423,"Open ↗"))</f>
        <v/>
      </c>
      <c r="J423" s="72" t="n"/>
      <c r="L423" s="116">
        <f>IF('Contractors'!B423="","",'Contractors'!B423)</f>
        <v/>
      </c>
      <c r="M423" s="78">
        <f>IF(L423="","",'Contractors'!L423)</f>
        <v/>
      </c>
      <c r="N423" s="78">
        <f>IF(OR(L423="",M423&lt;&gt;"Yes"),"",IF(COUNTIFS('Vault'!$C$6:$C$1005,"Contract",'Vault'!$D$6:$D$1005,L423)&gt;0,"✓","✗ missing"))</f>
        <v/>
      </c>
      <c r="O423" s="78">
        <f>IF(OR(L423="",M423&lt;&gt;"Yes"),"",IF(COUNTIFS('Vault'!$C$6:$C$1005,"Insurance",'Vault'!$D$6:$D$1005,L423)&gt;0,"✓","✗ missing"))</f>
        <v/>
      </c>
      <c r="P423" s="78">
        <f>IF(OR(L423="",M423&lt;&gt;"Yes"),"",IF(COUNTIFS('Vault'!$C$6:$C$1005,"Quote",'Vault'!$D$6:$D$1005,L423)&gt;0,"✓","✗ missing"))</f>
        <v/>
      </c>
      <c r="Q423" s="78">
        <f>IF(N423="","",IF(AND(N423="✓",O423="✓",P423="✓"),"✓ Complete","Missing documents"))</f>
        <v/>
      </c>
      <c r="R423" s="79">
        <f>IF(Q423="","",IF(Q423="✓ Complete",0,1))</f>
        <v/>
      </c>
    </row>
    <row r="424" ht="20" customHeight="1">
      <c r="B424" s="72" t="n"/>
      <c r="C424" s="72" t="n"/>
      <c r="D424" s="72" t="n"/>
      <c r="E424" s="72" t="n"/>
      <c r="F424" s="72" t="n"/>
      <c r="G424" s="109" t="n"/>
      <c r="H424" s="72" t="n"/>
      <c r="I424" s="78">
        <f>IF(H424="","",HYPERLINK(H424,"Open ↗"))</f>
        <v/>
      </c>
      <c r="J424" s="72" t="n"/>
      <c r="L424" s="116">
        <f>IF('Contractors'!B424="","",'Contractors'!B424)</f>
        <v/>
      </c>
      <c r="M424" s="78">
        <f>IF(L424="","",'Contractors'!L424)</f>
        <v/>
      </c>
      <c r="N424" s="78">
        <f>IF(OR(L424="",M424&lt;&gt;"Yes"),"",IF(COUNTIFS('Vault'!$C$6:$C$1005,"Contract",'Vault'!$D$6:$D$1005,L424)&gt;0,"✓","✗ missing"))</f>
        <v/>
      </c>
      <c r="O424" s="78">
        <f>IF(OR(L424="",M424&lt;&gt;"Yes"),"",IF(COUNTIFS('Vault'!$C$6:$C$1005,"Insurance",'Vault'!$D$6:$D$1005,L424)&gt;0,"✓","✗ missing"))</f>
        <v/>
      </c>
      <c r="P424" s="78">
        <f>IF(OR(L424="",M424&lt;&gt;"Yes"),"",IF(COUNTIFS('Vault'!$C$6:$C$1005,"Quote",'Vault'!$D$6:$D$1005,L424)&gt;0,"✓","✗ missing"))</f>
        <v/>
      </c>
      <c r="Q424" s="78">
        <f>IF(N424="","",IF(AND(N424="✓",O424="✓",P424="✓"),"✓ Complete","Missing documents"))</f>
        <v/>
      </c>
      <c r="R424" s="79">
        <f>IF(Q424="","",IF(Q424="✓ Complete",0,1))</f>
        <v/>
      </c>
    </row>
    <row r="425" ht="20" customHeight="1">
      <c r="B425" s="72" t="n"/>
      <c r="C425" s="72" t="n"/>
      <c r="D425" s="72" t="n"/>
      <c r="E425" s="72" t="n"/>
      <c r="F425" s="72" t="n"/>
      <c r="G425" s="109" t="n"/>
      <c r="H425" s="72" t="n"/>
      <c r="I425" s="78">
        <f>IF(H425="","",HYPERLINK(H425,"Open ↗"))</f>
        <v/>
      </c>
      <c r="J425" s="72" t="n"/>
      <c r="L425" s="116">
        <f>IF('Contractors'!B425="","",'Contractors'!B425)</f>
        <v/>
      </c>
      <c r="M425" s="78">
        <f>IF(L425="","",'Contractors'!L425)</f>
        <v/>
      </c>
      <c r="N425" s="78">
        <f>IF(OR(L425="",M425&lt;&gt;"Yes"),"",IF(COUNTIFS('Vault'!$C$6:$C$1005,"Contract",'Vault'!$D$6:$D$1005,L425)&gt;0,"✓","✗ missing"))</f>
        <v/>
      </c>
      <c r="O425" s="78">
        <f>IF(OR(L425="",M425&lt;&gt;"Yes"),"",IF(COUNTIFS('Vault'!$C$6:$C$1005,"Insurance",'Vault'!$D$6:$D$1005,L425)&gt;0,"✓","✗ missing"))</f>
        <v/>
      </c>
      <c r="P425" s="78">
        <f>IF(OR(L425="",M425&lt;&gt;"Yes"),"",IF(COUNTIFS('Vault'!$C$6:$C$1005,"Quote",'Vault'!$D$6:$D$1005,L425)&gt;0,"✓","✗ missing"))</f>
        <v/>
      </c>
      <c r="Q425" s="78">
        <f>IF(N425="","",IF(AND(N425="✓",O425="✓",P425="✓"),"✓ Complete","Missing documents"))</f>
        <v/>
      </c>
      <c r="R425" s="79">
        <f>IF(Q425="","",IF(Q425="✓ Complete",0,1))</f>
        <v/>
      </c>
    </row>
    <row r="426" ht="20" customHeight="1">
      <c r="B426" s="72" t="n"/>
      <c r="C426" s="72" t="n"/>
      <c r="D426" s="72" t="n"/>
      <c r="E426" s="72" t="n"/>
      <c r="F426" s="72" t="n"/>
      <c r="G426" s="109" t="n"/>
      <c r="H426" s="72" t="n"/>
      <c r="I426" s="78">
        <f>IF(H426="","",HYPERLINK(H426,"Open ↗"))</f>
        <v/>
      </c>
      <c r="J426" s="72" t="n"/>
      <c r="L426" s="116">
        <f>IF('Contractors'!B426="","",'Contractors'!B426)</f>
        <v/>
      </c>
      <c r="M426" s="78">
        <f>IF(L426="","",'Contractors'!L426)</f>
        <v/>
      </c>
      <c r="N426" s="78">
        <f>IF(OR(L426="",M426&lt;&gt;"Yes"),"",IF(COUNTIFS('Vault'!$C$6:$C$1005,"Contract",'Vault'!$D$6:$D$1005,L426)&gt;0,"✓","✗ missing"))</f>
        <v/>
      </c>
      <c r="O426" s="78">
        <f>IF(OR(L426="",M426&lt;&gt;"Yes"),"",IF(COUNTIFS('Vault'!$C$6:$C$1005,"Insurance",'Vault'!$D$6:$D$1005,L426)&gt;0,"✓","✗ missing"))</f>
        <v/>
      </c>
      <c r="P426" s="78">
        <f>IF(OR(L426="",M426&lt;&gt;"Yes"),"",IF(COUNTIFS('Vault'!$C$6:$C$1005,"Quote",'Vault'!$D$6:$D$1005,L426)&gt;0,"✓","✗ missing"))</f>
        <v/>
      </c>
      <c r="Q426" s="78">
        <f>IF(N426="","",IF(AND(N426="✓",O426="✓",P426="✓"),"✓ Complete","Missing documents"))</f>
        <v/>
      </c>
      <c r="R426" s="79">
        <f>IF(Q426="","",IF(Q426="✓ Complete",0,1))</f>
        <v/>
      </c>
    </row>
    <row r="427" ht="20" customHeight="1">
      <c r="B427" s="72" t="n"/>
      <c r="C427" s="72" t="n"/>
      <c r="D427" s="72" t="n"/>
      <c r="E427" s="72" t="n"/>
      <c r="F427" s="72" t="n"/>
      <c r="G427" s="109" t="n"/>
      <c r="H427" s="72" t="n"/>
      <c r="I427" s="78">
        <f>IF(H427="","",HYPERLINK(H427,"Open ↗"))</f>
        <v/>
      </c>
      <c r="J427" s="72" t="n"/>
      <c r="L427" s="116">
        <f>IF('Contractors'!B427="","",'Contractors'!B427)</f>
        <v/>
      </c>
      <c r="M427" s="78">
        <f>IF(L427="","",'Contractors'!L427)</f>
        <v/>
      </c>
      <c r="N427" s="78">
        <f>IF(OR(L427="",M427&lt;&gt;"Yes"),"",IF(COUNTIFS('Vault'!$C$6:$C$1005,"Contract",'Vault'!$D$6:$D$1005,L427)&gt;0,"✓","✗ missing"))</f>
        <v/>
      </c>
      <c r="O427" s="78">
        <f>IF(OR(L427="",M427&lt;&gt;"Yes"),"",IF(COUNTIFS('Vault'!$C$6:$C$1005,"Insurance",'Vault'!$D$6:$D$1005,L427)&gt;0,"✓","✗ missing"))</f>
        <v/>
      </c>
      <c r="P427" s="78">
        <f>IF(OR(L427="",M427&lt;&gt;"Yes"),"",IF(COUNTIFS('Vault'!$C$6:$C$1005,"Quote",'Vault'!$D$6:$D$1005,L427)&gt;0,"✓","✗ missing"))</f>
        <v/>
      </c>
      <c r="Q427" s="78">
        <f>IF(N427="","",IF(AND(N427="✓",O427="✓",P427="✓"),"✓ Complete","Missing documents"))</f>
        <v/>
      </c>
      <c r="R427" s="79">
        <f>IF(Q427="","",IF(Q427="✓ Complete",0,1))</f>
        <v/>
      </c>
    </row>
    <row r="428" ht="20" customHeight="1">
      <c r="B428" s="72" t="n"/>
      <c r="C428" s="72" t="n"/>
      <c r="D428" s="72" t="n"/>
      <c r="E428" s="72" t="n"/>
      <c r="F428" s="72" t="n"/>
      <c r="G428" s="109" t="n"/>
      <c r="H428" s="72" t="n"/>
      <c r="I428" s="78">
        <f>IF(H428="","",HYPERLINK(H428,"Open ↗"))</f>
        <v/>
      </c>
      <c r="J428" s="72" t="n"/>
      <c r="L428" s="116">
        <f>IF('Contractors'!B428="","",'Contractors'!B428)</f>
        <v/>
      </c>
      <c r="M428" s="78">
        <f>IF(L428="","",'Contractors'!L428)</f>
        <v/>
      </c>
      <c r="N428" s="78">
        <f>IF(OR(L428="",M428&lt;&gt;"Yes"),"",IF(COUNTIFS('Vault'!$C$6:$C$1005,"Contract",'Vault'!$D$6:$D$1005,L428)&gt;0,"✓","✗ missing"))</f>
        <v/>
      </c>
      <c r="O428" s="78">
        <f>IF(OR(L428="",M428&lt;&gt;"Yes"),"",IF(COUNTIFS('Vault'!$C$6:$C$1005,"Insurance",'Vault'!$D$6:$D$1005,L428)&gt;0,"✓","✗ missing"))</f>
        <v/>
      </c>
      <c r="P428" s="78">
        <f>IF(OR(L428="",M428&lt;&gt;"Yes"),"",IF(COUNTIFS('Vault'!$C$6:$C$1005,"Quote",'Vault'!$D$6:$D$1005,L428)&gt;0,"✓","✗ missing"))</f>
        <v/>
      </c>
      <c r="Q428" s="78">
        <f>IF(N428="","",IF(AND(N428="✓",O428="✓",P428="✓"),"✓ Complete","Missing documents"))</f>
        <v/>
      </c>
      <c r="R428" s="79">
        <f>IF(Q428="","",IF(Q428="✓ Complete",0,1))</f>
        <v/>
      </c>
    </row>
    <row r="429" ht="20" customHeight="1">
      <c r="B429" s="72" t="n"/>
      <c r="C429" s="72" t="n"/>
      <c r="D429" s="72" t="n"/>
      <c r="E429" s="72" t="n"/>
      <c r="F429" s="72" t="n"/>
      <c r="G429" s="109" t="n"/>
      <c r="H429" s="72" t="n"/>
      <c r="I429" s="78">
        <f>IF(H429="","",HYPERLINK(H429,"Open ↗"))</f>
        <v/>
      </c>
      <c r="J429" s="72" t="n"/>
      <c r="L429" s="116">
        <f>IF('Contractors'!B429="","",'Contractors'!B429)</f>
        <v/>
      </c>
      <c r="M429" s="78">
        <f>IF(L429="","",'Contractors'!L429)</f>
        <v/>
      </c>
      <c r="N429" s="78">
        <f>IF(OR(L429="",M429&lt;&gt;"Yes"),"",IF(COUNTIFS('Vault'!$C$6:$C$1005,"Contract",'Vault'!$D$6:$D$1005,L429)&gt;0,"✓","✗ missing"))</f>
        <v/>
      </c>
      <c r="O429" s="78">
        <f>IF(OR(L429="",M429&lt;&gt;"Yes"),"",IF(COUNTIFS('Vault'!$C$6:$C$1005,"Insurance",'Vault'!$D$6:$D$1005,L429)&gt;0,"✓","✗ missing"))</f>
        <v/>
      </c>
      <c r="P429" s="78">
        <f>IF(OR(L429="",M429&lt;&gt;"Yes"),"",IF(COUNTIFS('Vault'!$C$6:$C$1005,"Quote",'Vault'!$D$6:$D$1005,L429)&gt;0,"✓","✗ missing"))</f>
        <v/>
      </c>
      <c r="Q429" s="78">
        <f>IF(N429="","",IF(AND(N429="✓",O429="✓",P429="✓"),"✓ Complete","Missing documents"))</f>
        <v/>
      </c>
      <c r="R429" s="79">
        <f>IF(Q429="","",IF(Q429="✓ Complete",0,1))</f>
        <v/>
      </c>
    </row>
    <row r="430" ht="20" customHeight="1">
      <c r="B430" s="72" t="n"/>
      <c r="C430" s="72" t="n"/>
      <c r="D430" s="72" t="n"/>
      <c r="E430" s="72" t="n"/>
      <c r="F430" s="72" t="n"/>
      <c r="G430" s="109" t="n"/>
      <c r="H430" s="72" t="n"/>
      <c r="I430" s="78">
        <f>IF(H430="","",HYPERLINK(H430,"Open ↗"))</f>
        <v/>
      </c>
      <c r="J430" s="72" t="n"/>
      <c r="L430" s="116">
        <f>IF('Contractors'!B430="","",'Contractors'!B430)</f>
        <v/>
      </c>
      <c r="M430" s="78">
        <f>IF(L430="","",'Contractors'!L430)</f>
        <v/>
      </c>
      <c r="N430" s="78">
        <f>IF(OR(L430="",M430&lt;&gt;"Yes"),"",IF(COUNTIFS('Vault'!$C$6:$C$1005,"Contract",'Vault'!$D$6:$D$1005,L430)&gt;0,"✓","✗ missing"))</f>
        <v/>
      </c>
      <c r="O430" s="78">
        <f>IF(OR(L430="",M430&lt;&gt;"Yes"),"",IF(COUNTIFS('Vault'!$C$6:$C$1005,"Insurance",'Vault'!$D$6:$D$1005,L430)&gt;0,"✓","✗ missing"))</f>
        <v/>
      </c>
      <c r="P430" s="78">
        <f>IF(OR(L430="",M430&lt;&gt;"Yes"),"",IF(COUNTIFS('Vault'!$C$6:$C$1005,"Quote",'Vault'!$D$6:$D$1005,L430)&gt;0,"✓","✗ missing"))</f>
        <v/>
      </c>
      <c r="Q430" s="78">
        <f>IF(N430="","",IF(AND(N430="✓",O430="✓",P430="✓"),"✓ Complete","Missing documents"))</f>
        <v/>
      </c>
      <c r="R430" s="79">
        <f>IF(Q430="","",IF(Q430="✓ Complete",0,1))</f>
        <v/>
      </c>
    </row>
    <row r="431" ht="20" customHeight="1">
      <c r="B431" s="72" t="n"/>
      <c r="C431" s="72" t="n"/>
      <c r="D431" s="72" t="n"/>
      <c r="E431" s="72" t="n"/>
      <c r="F431" s="72" t="n"/>
      <c r="G431" s="109" t="n"/>
      <c r="H431" s="72" t="n"/>
      <c r="I431" s="78">
        <f>IF(H431="","",HYPERLINK(H431,"Open ↗"))</f>
        <v/>
      </c>
      <c r="J431" s="72" t="n"/>
      <c r="L431" s="116">
        <f>IF('Contractors'!B431="","",'Contractors'!B431)</f>
        <v/>
      </c>
      <c r="M431" s="78">
        <f>IF(L431="","",'Contractors'!L431)</f>
        <v/>
      </c>
      <c r="N431" s="78">
        <f>IF(OR(L431="",M431&lt;&gt;"Yes"),"",IF(COUNTIFS('Vault'!$C$6:$C$1005,"Contract",'Vault'!$D$6:$D$1005,L431)&gt;0,"✓","✗ missing"))</f>
        <v/>
      </c>
      <c r="O431" s="78">
        <f>IF(OR(L431="",M431&lt;&gt;"Yes"),"",IF(COUNTIFS('Vault'!$C$6:$C$1005,"Insurance",'Vault'!$D$6:$D$1005,L431)&gt;0,"✓","✗ missing"))</f>
        <v/>
      </c>
      <c r="P431" s="78">
        <f>IF(OR(L431="",M431&lt;&gt;"Yes"),"",IF(COUNTIFS('Vault'!$C$6:$C$1005,"Quote",'Vault'!$D$6:$D$1005,L431)&gt;0,"✓","✗ missing"))</f>
        <v/>
      </c>
      <c r="Q431" s="78">
        <f>IF(N431="","",IF(AND(N431="✓",O431="✓",P431="✓"),"✓ Complete","Missing documents"))</f>
        <v/>
      </c>
      <c r="R431" s="79">
        <f>IF(Q431="","",IF(Q431="✓ Complete",0,1))</f>
        <v/>
      </c>
    </row>
    <row r="432" ht="20" customHeight="1">
      <c r="B432" s="72" t="n"/>
      <c r="C432" s="72" t="n"/>
      <c r="D432" s="72" t="n"/>
      <c r="E432" s="72" t="n"/>
      <c r="F432" s="72" t="n"/>
      <c r="G432" s="109" t="n"/>
      <c r="H432" s="72" t="n"/>
      <c r="I432" s="78">
        <f>IF(H432="","",HYPERLINK(H432,"Open ↗"))</f>
        <v/>
      </c>
      <c r="J432" s="72" t="n"/>
      <c r="L432" s="116">
        <f>IF('Contractors'!B432="","",'Contractors'!B432)</f>
        <v/>
      </c>
      <c r="M432" s="78">
        <f>IF(L432="","",'Contractors'!L432)</f>
        <v/>
      </c>
      <c r="N432" s="78">
        <f>IF(OR(L432="",M432&lt;&gt;"Yes"),"",IF(COUNTIFS('Vault'!$C$6:$C$1005,"Contract",'Vault'!$D$6:$D$1005,L432)&gt;0,"✓","✗ missing"))</f>
        <v/>
      </c>
      <c r="O432" s="78">
        <f>IF(OR(L432="",M432&lt;&gt;"Yes"),"",IF(COUNTIFS('Vault'!$C$6:$C$1005,"Insurance",'Vault'!$D$6:$D$1005,L432)&gt;0,"✓","✗ missing"))</f>
        <v/>
      </c>
      <c r="P432" s="78">
        <f>IF(OR(L432="",M432&lt;&gt;"Yes"),"",IF(COUNTIFS('Vault'!$C$6:$C$1005,"Quote",'Vault'!$D$6:$D$1005,L432)&gt;0,"✓","✗ missing"))</f>
        <v/>
      </c>
      <c r="Q432" s="78">
        <f>IF(N432="","",IF(AND(N432="✓",O432="✓",P432="✓"),"✓ Complete","Missing documents"))</f>
        <v/>
      </c>
      <c r="R432" s="79">
        <f>IF(Q432="","",IF(Q432="✓ Complete",0,1))</f>
        <v/>
      </c>
    </row>
    <row r="433" ht="20" customHeight="1">
      <c r="B433" s="72" t="n"/>
      <c r="C433" s="72" t="n"/>
      <c r="D433" s="72" t="n"/>
      <c r="E433" s="72" t="n"/>
      <c r="F433" s="72" t="n"/>
      <c r="G433" s="109" t="n"/>
      <c r="H433" s="72" t="n"/>
      <c r="I433" s="78">
        <f>IF(H433="","",HYPERLINK(H433,"Open ↗"))</f>
        <v/>
      </c>
      <c r="J433" s="72" t="n"/>
      <c r="L433" s="116">
        <f>IF('Contractors'!B433="","",'Contractors'!B433)</f>
        <v/>
      </c>
      <c r="M433" s="78">
        <f>IF(L433="","",'Contractors'!L433)</f>
        <v/>
      </c>
      <c r="N433" s="78">
        <f>IF(OR(L433="",M433&lt;&gt;"Yes"),"",IF(COUNTIFS('Vault'!$C$6:$C$1005,"Contract",'Vault'!$D$6:$D$1005,L433)&gt;0,"✓","✗ missing"))</f>
        <v/>
      </c>
      <c r="O433" s="78">
        <f>IF(OR(L433="",M433&lt;&gt;"Yes"),"",IF(COUNTIFS('Vault'!$C$6:$C$1005,"Insurance",'Vault'!$D$6:$D$1005,L433)&gt;0,"✓","✗ missing"))</f>
        <v/>
      </c>
      <c r="P433" s="78">
        <f>IF(OR(L433="",M433&lt;&gt;"Yes"),"",IF(COUNTIFS('Vault'!$C$6:$C$1005,"Quote",'Vault'!$D$6:$D$1005,L433)&gt;0,"✓","✗ missing"))</f>
        <v/>
      </c>
      <c r="Q433" s="78">
        <f>IF(N433="","",IF(AND(N433="✓",O433="✓",P433="✓"),"✓ Complete","Missing documents"))</f>
        <v/>
      </c>
      <c r="R433" s="79">
        <f>IF(Q433="","",IF(Q433="✓ Complete",0,1))</f>
        <v/>
      </c>
    </row>
    <row r="434" ht="20" customHeight="1">
      <c r="B434" s="72" t="n"/>
      <c r="C434" s="72" t="n"/>
      <c r="D434" s="72" t="n"/>
      <c r="E434" s="72" t="n"/>
      <c r="F434" s="72" t="n"/>
      <c r="G434" s="109" t="n"/>
      <c r="H434" s="72" t="n"/>
      <c r="I434" s="78">
        <f>IF(H434="","",HYPERLINK(H434,"Open ↗"))</f>
        <v/>
      </c>
      <c r="J434" s="72" t="n"/>
      <c r="L434" s="116">
        <f>IF('Contractors'!B434="","",'Contractors'!B434)</f>
        <v/>
      </c>
      <c r="M434" s="78">
        <f>IF(L434="","",'Contractors'!L434)</f>
        <v/>
      </c>
      <c r="N434" s="78">
        <f>IF(OR(L434="",M434&lt;&gt;"Yes"),"",IF(COUNTIFS('Vault'!$C$6:$C$1005,"Contract",'Vault'!$D$6:$D$1005,L434)&gt;0,"✓","✗ missing"))</f>
        <v/>
      </c>
      <c r="O434" s="78">
        <f>IF(OR(L434="",M434&lt;&gt;"Yes"),"",IF(COUNTIFS('Vault'!$C$6:$C$1005,"Insurance",'Vault'!$D$6:$D$1005,L434)&gt;0,"✓","✗ missing"))</f>
        <v/>
      </c>
      <c r="P434" s="78">
        <f>IF(OR(L434="",M434&lt;&gt;"Yes"),"",IF(COUNTIFS('Vault'!$C$6:$C$1005,"Quote",'Vault'!$D$6:$D$1005,L434)&gt;0,"✓","✗ missing"))</f>
        <v/>
      </c>
      <c r="Q434" s="78">
        <f>IF(N434="","",IF(AND(N434="✓",O434="✓",P434="✓"),"✓ Complete","Missing documents"))</f>
        <v/>
      </c>
      <c r="R434" s="79">
        <f>IF(Q434="","",IF(Q434="✓ Complete",0,1))</f>
        <v/>
      </c>
    </row>
    <row r="435" ht="20" customHeight="1">
      <c r="B435" s="72" t="n"/>
      <c r="C435" s="72" t="n"/>
      <c r="D435" s="72" t="n"/>
      <c r="E435" s="72" t="n"/>
      <c r="F435" s="72" t="n"/>
      <c r="G435" s="109" t="n"/>
      <c r="H435" s="72" t="n"/>
      <c r="I435" s="78">
        <f>IF(H435="","",HYPERLINK(H435,"Open ↗"))</f>
        <v/>
      </c>
      <c r="J435" s="72" t="n"/>
      <c r="L435" s="116">
        <f>IF('Contractors'!B435="","",'Contractors'!B435)</f>
        <v/>
      </c>
      <c r="M435" s="78">
        <f>IF(L435="","",'Contractors'!L435)</f>
        <v/>
      </c>
      <c r="N435" s="78">
        <f>IF(OR(L435="",M435&lt;&gt;"Yes"),"",IF(COUNTIFS('Vault'!$C$6:$C$1005,"Contract",'Vault'!$D$6:$D$1005,L435)&gt;0,"✓","✗ missing"))</f>
        <v/>
      </c>
      <c r="O435" s="78">
        <f>IF(OR(L435="",M435&lt;&gt;"Yes"),"",IF(COUNTIFS('Vault'!$C$6:$C$1005,"Insurance",'Vault'!$D$6:$D$1005,L435)&gt;0,"✓","✗ missing"))</f>
        <v/>
      </c>
      <c r="P435" s="78">
        <f>IF(OR(L435="",M435&lt;&gt;"Yes"),"",IF(COUNTIFS('Vault'!$C$6:$C$1005,"Quote",'Vault'!$D$6:$D$1005,L435)&gt;0,"✓","✗ missing"))</f>
        <v/>
      </c>
      <c r="Q435" s="78">
        <f>IF(N435="","",IF(AND(N435="✓",O435="✓",P435="✓"),"✓ Complete","Missing documents"))</f>
        <v/>
      </c>
      <c r="R435" s="79">
        <f>IF(Q435="","",IF(Q435="✓ Complete",0,1))</f>
        <v/>
      </c>
    </row>
    <row r="436" ht="20" customHeight="1">
      <c r="B436" s="72" t="n"/>
      <c r="C436" s="72" t="n"/>
      <c r="D436" s="72" t="n"/>
      <c r="E436" s="72" t="n"/>
      <c r="F436" s="72" t="n"/>
      <c r="G436" s="109" t="n"/>
      <c r="H436" s="72" t="n"/>
      <c r="I436" s="78">
        <f>IF(H436="","",HYPERLINK(H436,"Open ↗"))</f>
        <v/>
      </c>
      <c r="J436" s="72" t="n"/>
      <c r="L436" s="116">
        <f>IF('Contractors'!B436="","",'Contractors'!B436)</f>
        <v/>
      </c>
      <c r="M436" s="78">
        <f>IF(L436="","",'Contractors'!L436)</f>
        <v/>
      </c>
      <c r="N436" s="78">
        <f>IF(OR(L436="",M436&lt;&gt;"Yes"),"",IF(COUNTIFS('Vault'!$C$6:$C$1005,"Contract",'Vault'!$D$6:$D$1005,L436)&gt;0,"✓","✗ missing"))</f>
        <v/>
      </c>
      <c r="O436" s="78">
        <f>IF(OR(L436="",M436&lt;&gt;"Yes"),"",IF(COUNTIFS('Vault'!$C$6:$C$1005,"Insurance",'Vault'!$D$6:$D$1005,L436)&gt;0,"✓","✗ missing"))</f>
        <v/>
      </c>
      <c r="P436" s="78">
        <f>IF(OR(L436="",M436&lt;&gt;"Yes"),"",IF(COUNTIFS('Vault'!$C$6:$C$1005,"Quote",'Vault'!$D$6:$D$1005,L436)&gt;0,"✓","✗ missing"))</f>
        <v/>
      </c>
      <c r="Q436" s="78">
        <f>IF(N436="","",IF(AND(N436="✓",O436="✓",P436="✓"),"✓ Complete","Missing documents"))</f>
        <v/>
      </c>
      <c r="R436" s="79">
        <f>IF(Q436="","",IF(Q436="✓ Complete",0,1))</f>
        <v/>
      </c>
    </row>
    <row r="437" ht="20" customHeight="1">
      <c r="B437" s="72" t="n"/>
      <c r="C437" s="72" t="n"/>
      <c r="D437" s="72" t="n"/>
      <c r="E437" s="72" t="n"/>
      <c r="F437" s="72" t="n"/>
      <c r="G437" s="109" t="n"/>
      <c r="H437" s="72" t="n"/>
      <c r="I437" s="78">
        <f>IF(H437="","",HYPERLINK(H437,"Open ↗"))</f>
        <v/>
      </c>
      <c r="J437" s="72" t="n"/>
      <c r="L437" s="116">
        <f>IF('Contractors'!B437="","",'Contractors'!B437)</f>
        <v/>
      </c>
      <c r="M437" s="78">
        <f>IF(L437="","",'Contractors'!L437)</f>
        <v/>
      </c>
      <c r="N437" s="78">
        <f>IF(OR(L437="",M437&lt;&gt;"Yes"),"",IF(COUNTIFS('Vault'!$C$6:$C$1005,"Contract",'Vault'!$D$6:$D$1005,L437)&gt;0,"✓","✗ missing"))</f>
        <v/>
      </c>
      <c r="O437" s="78">
        <f>IF(OR(L437="",M437&lt;&gt;"Yes"),"",IF(COUNTIFS('Vault'!$C$6:$C$1005,"Insurance",'Vault'!$D$6:$D$1005,L437)&gt;0,"✓","✗ missing"))</f>
        <v/>
      </c>
      <c r="P437" s="78">
        <f>IF(OR(L437="",M437&lt;&gt;"Yes"),"",IF(COUNTIFS('Vault'!$C$6:$C$1005,"Quote",'Vault'!$D$6:$D$1005,L437)&gt;0,"✓","✗ missing"))</f>
        <v/>
      </c>
      <c r="Q437" s="78">
        <f>IF(N437="","",IF(AND(N437="✓",O437="✓",P437="✓"),"✓ Complete","Missing documents"))</f>
        <v/>
      </c>
      <c r="R437" s="79">
        <f>IF(Q437="","",IF(Q437="✓ Complete",0,1))</f>
        <v/>
      </c>
    </row>
    <row r="438" ht="20" customHeight="1">
      <c r="B438" s="72" t="n"/>
      <c r="C438" s="72" t="n"/>
      <c r="D438" s="72" t="n"/>
      <c r="E438" s="72" t="n"/>
      <c r="F438" s="72" t="n"/>
      <c r="G438" s="109" t="n"/>
      <c r="H438" s="72" t="n"/>
      <c r="I438" s="78">
        <f>IF(H438="","",HYPERLINK(H438,"Open ↗"))</f>
        <v/>
      </c>
      <c r="J438" s="72" t="n"/>
      <c r="L438" s="116">
        <f>IF('Contractors'!B438="","",'Contractors'!B438)</f>
        <v/>
      </c>
      <c r="M438" s="78">
        <f>IF(L438="","",'Contractors'!L438)</f>
        <v/>
      </c>
      <c r="N438" s="78">
        <f>IF(OR(L438="",M438&lt;&gt;"Yes"),"",IF(COUNTIFS('Vault'!$C$6:$C$1005,"Contract",'Vault'!$D$6:$D$1005,L438)&gt;0,"✓","✗ missing"))</f>
        <v/>
      </c>
      <c r="O438" s="78">
        <f>IF(OR(L438="",M438&lt;&gt;"Yes"),"",IF(COUNTIFS('Vault'!$C$6:$C$1005,"Insurance",'Vault'!$D$6:$D$1005,L438)&gt;0,"✓","✗ missing"))</f>
        <v/>
      </c>
      <c r="P438" s="78">
        <f>IF(OR(L438="",M438&lt;&gt;"Yes"),"",IF(COUNTIFS('Vault'!$C$6:$C$1005,"Quote",'Vault'!$D$6:$D$1005,L438)&gt;0,"✓","✗ missing"))</f>
        <v/>
      </c>
      <c r="Q438" s="78">
        <f>IF(N438="","",IF(AND(N438="✓",O438="✓",P438="✓"),"✓ Complete","Missing documents"))</f>
        <v/>
      </c>
      <c r="R438" s="79">
        <f>IF(Q438="","",IF(Q438="✓ Complete",0,1))</f>
        <v/>
      </c>
    </row>
    <row r="439" ht="20" customHeight="1">
      <c r="B439" s="72" t="n"/>
      <c r="C439" s="72" t="n"/>
      <c r="D439" s="72" t="n"/>
      <c r="E439" s="72" t="n"/>
      <c r="F439" s="72" t="n"/>
      <c r="G439" s="109" t="n"/>
      <c r="H439" s="72" t="n"/>
      <c r="I439" s="78">
        <f>IF(H439="","",HYPERLINK(H439,"Open ↗"))</f>
        <v/>
      </c>
      <c r="J439" s="72" t="n"/>
      <c r="L439" s="116">
        <f>IF('Contractors'!B439="","",'Contractors'!B439)</f>
        <v/>
      </c>
      <c r="M439" s="78">
        <f>IF(L439="","",'Contractors'!L439)</f>
        <v/>
      </c>
      <c r="N439" s="78">
        <f>IF(OR(L439="",M439&lt;&gt;"Yes"),"",IF(COUNTIFS('Vault'!$C$6:$C$1005,"Contract",'Vault'!$D$6:$D$1005,L439)&gt;0,"✓","✗ missing"))</f>
        <v/>
      </c>
      <c r="O439" s="78">
        <f>IF(OR(L439="",M439&lt;&gt;"Yes"),"",IF(COUNTIFS('Vault'!$C$6:$C$1005,"Insurance",'Vault'!$D$6:$D$1005,L439)&gt;0,"✓","✗ missing"))</f>
        <v/>
      </c>
      <c r="P439" s="78">
        <f>IF(OR(L439="",M439&lt;&gt;"Yes"),"",IF(COUNTIFS('Vault'!$C$6:$C$1005,"Quote",'Vault'!$D$6:$D$1005,L439)&gt;0,"✓","✗ missing"))</f>
        <v/>
      </c>
      <c r="Q439" s="78">
        <f>IF(N439="","",IF(AND(N439="✓",O439="✓",P439="✓"),"✓ Complete","Missing documents"))</f>
        <v/>
      </c>
      <c r="R439" s="79">
        <f>IF(Q439="","",IF(Q439="✓ Complete",0,1))</f>
        <v/>
      </c>
    </row>
    <row r="440" ht="20" customHeight="1">
      <c r="B440" s="72" t="n"/>
      <c r="C440" s="72" t="n"/>
      <c r="D440" s="72" t="n"/>
      <c r="E440" s="72" t="n"/>
      <c r="F440" s="72" t="n"/>
      <c r="G440" s="109" t="n"/>
      <c r="H440" s="72" t="n"/>
      <c r="I440" s="78">
        <f>IF(H440="","",HYPERLINK(H440,"Open ↗"))</f>
        <v/>
      </c>
      <c r="J440" s="72" t="n"/>
      <c r="L440" s="116">
        <f>IF('Contractors'!B440="","",'Contractors'!B440)</f>
        <v/>
      </c>
      <c r="M440" s="78">
        <f>IF(L440="","",'Contractors'!L440)</f>
        <v/>
      </c>
      <c r="N440" s="78">
        <f>IF(OR(L440="",M440&lt;&gt;"Yes"),"",IF(COUNTIFS('Vault'!$C$6:$C$1005,"Contract",'Vault'!$D$6:$D$1005,L440)&gt;0,"✓","✗ missing"))</f>
        <v/>
      </c>
      <c r="O440" s="78">
        <f>IF(OR(L440="",M440&lt;&gt;"Yes"),"",IF(COUNTIFS('Vault'!$C$6:$C$1005,"Insurance",'Vault'!$D$6:$D$1005,L440)&gt;0,"✓","✗ missing"))</f>
        <v/>
      </c>
      <c r="P440" s="78">
        <f>IF(OR(L440="",M440&lt;&gt;"Yes"),"",IF(COUNTIFS('Vault'!$C$6:$C$1005,"Quote",'Vault'!$D$6:$D$1005,L440)&gt;0,"✓","✗ missing"))</f>
        <v/>
      </c>
      <c r="Q440" s="78">
        <f>IF(N440="","",IF(AND(N440="✓",O440="✓",P440="✓"),"✓ Complete","Missing documents"))</f>
        <v/>
      </c>
      <c r="R440" s="79">
        <f>IF(Q440="","",IF(Q440="✓ Complete",0,1))</f>
        <v/>
      </c>
    </row>
    <row r="441" ht="20" customHeight="1">
      <c r="B441" s="72" t="n"/>
      <c r="C441" s="72" t="n"/>
      <c r="D441" s="72" t="n"/>
      <c r="E441" s="72" t="n"/>
      <c r="F441" s="72" t="n"/>
      <c r="G441" s="109" t="n"/>
      <c r="H441" s="72" t="n"/>
      <c r="I441" s="78">
        <f>IF(H441="","",HYPERLINK(H441,"Open ↗"))</f>
        <v/>
      </c>
      <c r="J441" s="72" t="n"/>
      <c r="L441" s="116">
        <f>IF('Contractors'!B441="","",'Contractors'!B441)</f>
        <v/>
      </c>
      <c r="M441" s="78">
        <f>IF(L441="","",'Contractors'!L441)</f>
        <v/>
      </c>
      <c r="N441" s="78">
        <f>IF(OR(L441="",M441&lt;&gt;"Yes"),"",IF(COUNTIFS('Vault'!$C$6:$C$1005,"Contract",'Vault'!$D$6:$D$1005,L441)&gt;0,"✓","✗ missing"))</f>
        <v/>
      </c>
      <c r="O441" s="78">
        <f>IF(OR(L441="",M441&lt;&gt;"Yes"),"",IF(COUNTIFS('Vault'!$C$6:$C$1005,"Insurance",'Vault'!$D$6:$D$1005,L441)&gt;0,"✓","✗ missing"))</f>
        <v/>
      </c>
      <c r="P441" s="78">
        <f>IF(OR(L441="",M441&lt;&gt;"Yes"),"",IF(COUNTIFS('Vault'!$C$6:$C$1005,"Quote",'Vault'!$D$6:$D$1005,L441)&gt;0,"✓","✗ missing"))</f>
        <v/>
      </c>
      <c r="Q441" s="78">
        <f>IF(N441="","",IF(AND(N441="✓",O441="✓",P441="✓"),"✓ Complete","Missing documents"))</f>
        <v/>
      </c>
      <c r="R441" s="79">
        <f>IF(Q441="","",IF(Q441="✓ Complete",0,1))</f>
        <v/>
      </c>
    </row>
    <row r="442" ht="20" customHeight="1">
      <c r="B442" s="72" t="n"/>
      <c r="C442" s="72" t="n"/>
      <c r="D442" s="72" t="n"/>
      <c r="E442" s="72" t="n"/>
      <c r="F442" s="72" t="n"/>
      <c r="G442" s="109" t="n"/>
      <c r="H442" s="72" t="n"/>
      <c r="I442" s="78">
        <f>IF(H442="","",HYPERLINK(H442,"Open ↗"))</f>
        <v/>
      </c>
      <c r="J442" s="72" t="n"/>
      <c r="L442" s="116">
        <f>IF('Contractors'!B442="","",'Contractors'!B442)</f>
        <v/>
      </c>
      <c r="M442" s="78">
        <f>IF(L442="","",'Contractors'!L442)</f>
        <v/>
      </c>
      <c r="N442" s="78">
        <f>IF(OR(L442="",M442&lt;&gt;"Yes"),"",IF(COUNTIFS('Vault'!$C$6:$C$1005,"Contract",'Vault'!$D$6:$D$1005,L442)&gt;0,"✓","✗ missing"))</f>
        <v/>
      </c>
      <c r="O442" s="78">
        <f>IF(OR(L442="",M442&lt;&gt;"Yes"),"",IF(COUNTIFS('Vault'!$C$6:$C$1005,"Insurance",'Vault'!$D$6:$D$1005,L442)&gt;0,"✓","✗ missing"))</f>
        <v/>
      </c>
      <c r="P442" s="78">
        <f>IF(OR(L442="",M442&lt;&gt;"Yes"),"",IF(COUNTIFS('Vault'!$C$6:$C$1005,"Quote",'Vault'!$D$6:$D$1005,L442)&gt;0,"✓","✗ missing"))</f>
        <v/>
      </c>
      <c r="Q442" s="78">
        <f>IF(N442="","",IF(AND(N442="✓",O442="✓",P442="✓"),"✓ Complete","Missing documents"))</f>
        <v/>
      </c>
      <c r="R442" s="79">
        <f>IF(Q442="","",IF(Q442="✓ Complete",0,1))</f>
        <v/>
      </c>
    </row>
    <row r="443" ht="20" customHeight="1">
      <c r="B443" s="72" t="n"/>
      <c r="C443" s="72" t="n"/>
      <c r="D443" s="72" t="n"/>
      <c r="E443" s="72" t="n"/>
      <c r="F443" s="72" t="n"/>
      <c r="G443" s="109" t="n"/>
      <c r="H443" s="72" t="n"/>
      <c r="I443" s="78">
        <f>IF(H443="","",HYPERLINK(H443,"Open ↗"))</f>
        <v/>
      </c>
      <c r="J443" s="72" t="n"/>
      <c r="L443" s="116">
        <f>IF('Contractors'!B443="","",'Contractors'!B443)</f>
        <v/>
      </c>
      <c r="M443" s="78">
        <f>IF(L443="","",'Contractors'!L443)</f>
        <v/>
      </c>
      <c r="N443" s="78">
        <f>IF(OR(L443="",M443&lt;&gt;"Yes"),"",IF(COUNTIFS('Vault'!$C$6:$C$1005,"Contract",'Vault'!$D$6:$D$1005,L443)&gt;0,"✓","✗ missing"))</f>
        <v/>
      </c>
      <c r="O443" s="78">
        <f>IF(OR(L443="",M443&lt;&gt;"Yes"),"",IF(COUNTIFS('Vault'!$C$6:$C$1005,"Insurance",'Vault'!$D$6:$D$1005,L443)&gt;0,"✓","✗ missing"))</f>
        <v/>
      </c>
      <c r="P443" s="78">
        <f>IF(OR(L443="",M443&lt;&gt;"Yes"),"",IF(COUNTIFS('Vault'!$C$6:$C$1005,"Quote",'Vault'!$D$6:$D$1005,L443)&gt;0,"✓","✗ missing"))</f>
        <v/>
      </c>
      <c r="Q443" s="78">
        <f>IF(N443="","",IF(AND(N443="✓",O443="✓",P443="✓"),"✓ Complete","Missing documents"))</f>
        <v/>
      </c>
      <c r="R443" s="79">
        <f>IF(Q443="","",IF(Q443="✓ Complete",0,1))</f>
        <v/>
      </c>
    </row>
    <row r="444" ht="20" customHeight="1">
      <c r="B444" s="72" t="n"/>
      <c r="C444" s="72" t="n"/>
      <c r="D444" s="72" t="n"/>
      <c r="E444" s="72" t="n"/>
      <c r="F444" s="72" t="n"/>
      <c r="G444" s="109" t="n"/>
      <c r="H444" s="72" t="n"/>
      <c r="I444" s="78">
        <f>IF(H444="","",HYPERLINK(H444,"Open ↗"))</f>
        <v/>
      </c>
      <c r="J444" s="72" t="n"/>
      <c r="L444" s="116">
        <f>IF('Contractors'!B444="","",'Contractors'!B444)</f>
        <v/>
      </c>
      <c r="M444" s="78">
        <f>IF(L444="","",'Contractors'!L444)</f>
        <v/>
      </c>
      <c r="N444" s="78">
        <f>IF(OR(L444="",M444&lt;&gt;"Yes"),"",IF(COUNTIFS('Vault'!$C$6:$C$1005,"Contract",'Vault'!$D$6:$D$1005,L444)&gt;0,"✓","✗ missing"))</f>
        <v/>
      </c>
      <c r="O444" s="78">
        <f>IF(OR(L444="",M444&lt;&gt;"Yes"),"",IF(COUNTIFS('Vault'!$C$6:$C$1005,"Insurance",'Vault'!$D$6:$D$1005,L444)&gt;0,"✓","✗ missing"))</f>
        <v/>
      </c>
      <c r="P444" s="78">
        <f>IF(OR(L444="",M444&lt;&gt;"Yes"),"",IF(COUNTIFS('Vault'!$C$6:$C$1005,"Quote",'Vault'!$D$6:$D$1005,L444)&gt;0,"✓","✗ missing"))</f>
        <v/>
      </c>
      <c r="Q444" s="78">
        <f>IF(N444="","",IF(AND(N444="✓",O444="✓",P444="✓"),"✓ Complete","Missing documents"))</f>
        <v/>
      </c>
      <c r="R444" s="79">
        <f>IF(Q444="","",IF(Q444="✓ Complete",0,1))</f>
        <v/>
      </c>
    </row>
    <row r="445" ht="20" customHeight="1">
      <c r="B445" s="72" t="n"/>
      <c r="C445" s="72" t="n"/>
      <c r="D445" s="72" t="n"/>
      <c r="E445" s="72" t="n"/>
      <c r="F445" s="72" t="n"/>
      <c r="G445" s="109" t="n"/>
      <c r="H445" s="72" t="n"/>
      <c r="I445" s="78">
        <f>IF(H445="","",HYPERLINK(H445,"Open ↗"))</f>
        <v/>
      </c>
      <c r="J445" s="72" t="n"/>
      <c r="L445" s="116">
        <f>IF('Contractors'!B445="","",'Contractors'!B445)</f>
        <v/>
      </c>
      <c r="M445" s="78">
        <f>IF(L445="","",'Contractors'!L445)</f>
        <v/>
      </c>
      <c r="N445" s="78">
        <f>IF(OR(L445="",M445&lt;&gt;"Yes"),"",IF(COUNTIFS('Vault'!$C$6:$C$1005,"Contract",'Vault'!$D$6:$D$1005,L445)&gt;0,"✓","✗ missing"))</f>
        <v/>
      </c>
      <c r="O445" s="78">
        <f>IF(OR(L445="",M445&lt;&gt;"Yes"),"",IF(COUNTIFS('Vault'!$C$6:$C$1005,"Insurance",'Vault'!$D$6:$D$1005,L445)&gt;0,"✓","✗ missing"))</f>
        <v/>
      </c>
      <c r="P445" s="78">
        <f>IF(OR(L445="",M445&lt;&gt;"Yes"),"",IF(COUNTIFS('Vault'!$C$6:$C$1005,"Quote",'Vault'!$D$6:$D$1005,L445)&gt;0,"✓","✗ missing"))</f>
        <v/>
      </c>
      <c r="Q445" s="78">
        <f>IF(N445="","",IF(AND(N445="✓",O445="✓",P445="✓"),"✓ Complete","Missing documents"))</f>
        <v/>
      </c>
      <c r="R445" s="79">
        <f>IF(Q445="","",IF(Q445="✓ Complete",0,1))</f>
        <v/>
      </c>
    </row>
    <row r="446" ht="20" customHeight="1">
      <c r="B446" s="72" t="n"/>
      <c r="C446" s="72" t="n"/>
      <c r="D446" s="72" t="n"/>
      <c r="E446" s="72" t="n"/>
      <c r="F446" s="72" t="n"/>
      <c r="G446" s="109" t="n"/>
      <c r="H446" s="72" t="n"/>
      <c r="I446" s="78">
        <f>IF(H446="","",HYPERLINK(H446,"Open ↗"))</f>
        <v/>
      </c>
      <c r="J446" s="72" t="n"/>
      <c r="L446" s="116">
        <f>IF('Contractors'!B446="","",'Contractors'!B446)</f>
        <v/>
      </c>
      <c r="M446" s="78">
        <f>IF(L446="","",'Contractors'!L446)</f>
        <v/>
      </c>
      <c r="N446" s="78">
        <f>IF(OR(L446="",M446&lt;&gt;"Yes"),"",IF(COUNTIFS('Vault'!$C$6:$C$1005,"Contract",'Vault'!$D$6:$D$1005,L446)&gt;0,"✓","✗ missing"))</f>
        <v/>
      </c>
      <c r="O446" s="78">
        <f>IF(OR(L446="",M446&lt;&gt;"Yes"),"",IF(COUNTIFS('Vault'!$C$6:$C$1005,"Insurance",'Vault'!$D$6:$D$1005,L446)&gt;0,"✓","✗ missing"))</f>
        <v/>
      </c>
      <c r="P446" s="78">
        <f>IF(OR(L446="",M446&lt;&gt;"Yes"),"",IF(COUNTIFS('Vault'!$C$6:$C$1005,"Quote",'Vault'!$D$6:$D$1005,L446)&gt;0,"✓","✗ missing"))</f>
        <v/>
      </c>
      <c r="Q446" s="78">
        <f>IF(N446="","",IF(AND(N446="✓",O446="✓",P446="✓"),"✓ Complete","Missing documents"))</f>
        <v/>
      </c>
      <c r="R446" s="79">
        <f>IF(Q446="","",IF(Q446="✓ Complete",0,1))</f>
        <v/>
      </c>
    </row>
    <row r="447" ht="20" customHeight="1">
      <c r="B447" s="72" t="n"/>
      <c r="C447" s="72" t="n"/>
      <c r="D447" s="72" t="n"/>
      <c r="E447" s="72" t="n"/>
      <c r="F447" s="72" t="n"/>
      <c r="G447" s="109" t="n"/>
      <c r="H447" s="72" t="n"/>
      <c r="I447" s="78">
        <f>IF(H447="","",HYPERLINK(H447,"Open ↗"))</f>
        <v/>
      </c>
      <c r="J447" s="72" t="n"/>
      <c r="L447" s="116">
        <f>IF('Contractors'!B447="","",'Contractors'!B447)</f>
        <v/>
      </c>
      <c r="M447" s="78">
        <f>IF(L447="","",'Contractors'!L447)</f>
        <v/>
      </c>
      <c r="N447" s="78">
        <f>IF(OR(L447="",M447&lt;&gt;"Yes"),"",IF(COUNTIFS('Vault'!$C$6:$C$1005,"Contract",'Vault'!$D$6:$D$1005,L447)&gt;0,"✓","✗ missing"))</f>
        <v/>
      </c>
      <c r="O447" s="78">
        <f>IF(OR(L447="",M447&lt;&gt;"Yes"),"",IF(COUNTIFS('Vault'!$C$6:$C$1005,"Insurance",'Vault'!$D$6:$D$1005,L447)&gt;0,"✓","✗ missing"))</f>
        <v/>
      </c>
      <c r="P447" s="78">
        <f>IF(OR(L447="",M447&lt;&gt;"Yes"),"",IF(COUNTIFS('Vault'!$C$6:$C$1005,"Quote",'Vault'!$D$6:$D$1005,L447)&gt;0,"✓","✗ missing"))</f>
        <v/>
      </c>
      <c r="Q447" s="78">
        <f>IF(N447="","",IF(AND(N447="✓",O447="✓",P447="✓"),"✓ Complete","Missing documents"))</f>
        <v/>
      </c>
      <c r="R447" s="79">
        <f>IF(Q447="","",IF(Q447="✓ Complete",0,1))</f>
        <v/>
      </c>
    </row>
    <row r="448" ht="20" customHeight="1">
      <c r="B448" s="72" t="n"/>
      <c r="C448" s="72" t="n"/>
      <c r="D448" s="72" t="n"/>
      <c r="E448" s="72" t="n"/>
      <c r="F448" s="72" t="n"/>
      <c r="G448" s="109" t="n"/>
      <c r="H448" s="72" t="n"/>
      <c r="I448" s="78">
        <f>IF(H448="","",HYPERLINK(H448,"Open ↗"))</f>
        <v/>
      </c>
      <c r="J448" s="72" t="n"/>
      <c r="L448" s="116">
        <f>IF('Contractors'!B448="","",'Contractors'!B448)</f>
        <v/>
      </c>
      <c r="M448" s="78">
        <f>IF(L448="","",'Contractors'!L448)</f>
        <v/>
      </c>
      <c r="N448" s="78">
        <f>IF(OR(L448="",M448&lt;&gt;"Yes"),"",IF(COUNTIFS('Vault'!$C$6:$C$1005,"Contract",'Vault'!$D$6:$D$1005,L448)&gt;0,"✓","✗ missing"))</f>
        <v/>
      </c>
      <c r="O448" s="78">
        <f>IF(OR(L448="",M448&lt;&gt;"Yes"),"",IF(COUNTIFS('Vault'!$C$6:$C$1005,"Insurance",'Vault'!$D$6:$D$1005,L448)&gt;0,"✓","✗ missing"))</f>
        <v/>
      </c>
      <c r="P448" s="78">
        <f>IF(OR(L448="",M448&lt;&gt;"Yes"),"",IF(COUNTIFS('Vault'!$C$6:$C$1005,"Quote",'Vault'!$D$6:$D$1005,L448)&gt;0,"✓","✗ missing"))</f>
        <v/>
      </c>
      <c r="Q448" s="78">
        <f>IF(N448="","",IF(AND(N448="✓",O448="✓",P448="✓"),"✓ Complete","Missing documents"))</f>
        <v/>
      </c>
      <c r="R448" s="79">
        <f>IF(Q448="","",IF(Q448="✓ Complete",0,1))</f>
        <v/>
      </c>
    </row>
    <row r="449" ht="20" customHeight="1">
      <c r="B449" s="72" t="n"/>
      <c r="C449" s="72" t="n"/>
      <c r="D449" s="72" t="n"/>
      <c r="E449" s="72" t="n"/>
      <c r="F449" s="72" t="n"/>
      <c r="G449" s="109" t="n"/>
      <c r="H449" s="72" t="n"/>
      <c r="I449" s="78">
        <f>IF(H449="","",HYPERLINK(H449,"Open ↗"))</f>
        <v/>
      </c>
      <c r="J449" s="72" t="n"/>
      <c r="L449" s="116">
        <f>IF('Contractors'!B449="","",'Contractors'!B449)</f>
        <v/>
      </c>
      <c r="M449" s="78">
        <f>IF(L449="","",'Contractors'!L449)</f>
        <v/>
      </c>
      <c r="N449" s="78">
        <f>IF(OR(L449="",M449&lt;&gt;"Yes"),"",IF(COUNTIFS('Vault'!$C$6:$C$1005,"Contract",'Vault'!$D$6:$D$1005,L449)&gt;0,"✓","✗ missing"))</f>
        <v/>
      </c>
      <c r="O449" s="78">
        <f>IF(OR(L449="",M449&lt;&gt;"Yes"),"",IF(COUNTIFS('Vault'!$C$6:$C$1005,"Insurance",'Vault'!$D$6:$D$1005,L449)&gt;0,"✓","✗ missing"))</f>
        <v/>
      </c>
      <c r="P449" s="78">
        <f>IF(OR(L449="",M449&lt;&gt;"Yes"),"",IF(COUNTIFS('Vault'!$C$6:$C$1005,"Quote",'Vault'!$D$6:$D$1005,L449)&gt;0,"✓","✗ missing"))</f>
        <v/>
      </c>
      <c r="Q449" s="78">
        <f>IF(N449="","",IF(AND(N449="✓",O449="✓",P449="✓"),"✓ Complete","Missing documents"))</f>
        <v/>
      </c>
      <c r="R449" s="79">
        <f>IF(Q449="","",IF(Q449="✓ Complete",0,1))</f>
        <v/>
      </c>
    </row>
    <row r="450" ht="20" customHeight="1">
      <c r="B450" s="72" t="n"/>
      <c r="C450" s="72" t="n"/>
      <c r="D450" s="72" t="n"/>
      <c r="E450" s="72" t="n"/>
      <c r="F450" s="72" t="n"/>
      <c r="G450" s="109" t="n"/>
      <c r="H450" s="72" t="n"/>
      <c r="I450" s="78">
        <f>IF(H450="","",HYPERLINK(H450,"Open ↗"))</f>
        <v/>
      </c>
      <c r="J450" s="72" t="n"/>
      <c r="L450" s="116">
        <f>IF('Contractors'!B450="","",'Contractors'!B450)</f>
        <v/>
      </c>
      <c r="M450" s="78">
        <f>IF(L450="","",'Contractors'!L450)</f>
        <v/>
      </c>
      <c r="N450" s="78">
        <f>IF(OR(L450="",M450&lt;&gt;"Yes"),"",IF(COUNTIFS('Vault'!$C$6:$C$1005,"Contract",'Vault'!$D$6:$D$1005,L450)&gt;0,"✓","✗ missing"))</f>
        <v/>
      </c>
      <c r="O450" s="78">
        <f>IF(OR(L450="",M450&lt;&gt;"Yes"),"",IF(COUNTIFS('Vault'!$C$6:$C$1005,"Insurance",'Vault'!$D$6:$D$1005,L450)&gt;0,"✓","✗ missing"))</f>
        <v/>
      </c>
      <c r="P450" s="78">
        <f>IF(OR(L450="",M450&lt;&gt;"Yes"),"",IF(COUNTIFS('Vault'!$C$6:$C$1005,"Quote",'Vault'!$D$6:$D$1005,L450)&gt;0,"✓","✗ missing"))</f>
        <v/>
      </c>
      <c r="Q450" s="78">
        <f>IF(N450="","",IF(AND(N450="✓",O450="✓",P450="✓"),"✓ Complete","Missing documents"))</f>
        <v/>
      </c>
      <c r="R450" s="79">
        <f>IF(Q450="","",IF(Q450="✓ Complete",0,1))</f>
        <v/>
      </c>
    </row>
    <row r="451" ht="20" customHeight="1">
      <c r="B451" s="72" t="n"/>
      <c r="C451" s="72" t="n"/>
      <c r="D451" s="72" t="n"/>
      <c r="E451" s="72" t="n"/>
      <c r="F451" s="72" t="n"/>
      <c r="G451" s="109" t="n"/>
      <c r="H451" s="72" t="n"/>
      <c r="I451" s="78">
        <f>IF(H451="","",HYPERLINK(H451,"Open ↗"))</f>
        <v/>
      </c>
      <c r="J451" s="72" t="n"/>
      <c r="L451" s="116">
        <f>IF('Contractors'!B451="","",'Contractors'!B451)</f>
        <v/>
      </c>
      <c r="M451" s="78">
        <f>IF(L451="","",'Contractors'!L451)</f>
        <v/>
      </c>
      <c r="N451" s="78">
        <f>IF(OR(L451="",M451&lt;&gt;"Yes"),"",IF(COUNTIFS('Vault'!$C$6:$C$1005,"Contract",'Vault'!$D$6:$D$1005,L451)&gt;0,"✓","✗ missing"))</f>
        <v/>
      </c>
      <c r="O451" s="78">
        <f>IF(OR(L451="",M451&lt;&gt;"Yes"),"",IF(COUNTIFS('Vault'!$C$6:$C$1005,"Insurance",'Vault'!$D$6:$D$1005,L451)&gt;0,"✓","✗ missing"))</f>
        <v/>
      </c>
      <c r="P451" s="78">
        <f>IF(OR(L451="",M451&lt;&gt;"Yes"),"",IF(COUNTIFS('Vault'!$C$6:$C$1005,"Quote",'Vault'!$D$6:$D$1005,L451)&gt;0,"✓","✗ missing"))</f>
        <v/>
      </c>
      <c r="Q451" s="78">
        <f>IF(N451="","",IF(AND(N451="✓",O451="✓",P451="✓"),"✓ Complete","Missing documents"))</f>
        <v/>
      </c>
      <c r="R451" s="79">
        <f>IF(Q451="","",IF(Q451="✓ Complete",0,1))</f>
        <v/>
      </c>
    </row>
    <row r="452" ht="20" customHeight="1">
      <c r="B452" s="72" t="n"/>
      <c r="C452" s="72" t="n"/>
      <c r="D452" s="72" t="n"/>
      <c r="E452" s="72" t="n"/>
      <c r="F452" s="72" t="n"/>
      <c r="G452" s="109" t="n"/>
      <c r="H452" s="72" t="n"/>
      <c r="I452" s="78">
        <f>IF(H452="","",HYPERLINK(H452,"Open ↗"))</f>
        <v/>
      </c>
      <c r="J452" s="72" t="n"/>
      <c r="L452" s="116">
        <f>IF('Contractors'!B452="","",'Contractors'!B452)</f>
        <v/>
      </c>
      <c r="M452" s="78">
        <f>IF(L452="","",'Contractors'!L452)</f>
        <v/>
      </c>
      <c r="N452" s="78">
        <f>IF(OR(L452="",M452&lt;&gt;"Yes"),"",IF(COUNTIFS('Vault'!$C$6:$C$1005,"Contract",'Vault'!$D$6:$D$1005,L452)&gt;0,"✓","✗ missing"))</f>
        <v/>
      </c>
      <c r="O452" s="78">
        <f>IF(OR(L452="",M452&lt;&gt;"Yes"),"",IF(COUNTIFS('Vault'!$C$6:$C$1005,"Insurance",'Vault'!$D$6:$D$1005,L452)&gt;0,"✓","✗ missing"))</f>
        <v/>
      </c>
      <c r="P452" s="78">
        <f>IF(OR(L452="",M452&lt;&gt;"Yes"),"",IF(COUNTIFS('Vault'!$C$6:$C$1005,"Quote",'Vault'!$D$6:$D$1005,L452)&gt;0,"✓","✗ missing"))</f>
        <v/>
      </c>
      <c r="Q452" s="78">
        <f>IF(N452="","",IF(AND(N452="✓",O452="✓",P452="✓"),"✓ Complete","Missing documents"))</f>
        <v/>
      </c>
      <c r="R452" s="79">
        <f>IF(Q452="","",IF(Q452="✓ Complete",0,1))</f>
        <v/>
      </c>
    </row>
    <row r="453" ht="20" customHeight="1">
      <c r="B453" s="72" t="n"/>
      <c r="C453" s="72" t="n"/>
      <c r="D453" s="72" t="n"/>
      <c r="E453" s="72" t="n"/>
      <c r="F453" s="72" t="n"/>
      <c r="G453" s="109" t="n"/>
      <c r="H453" s="72" t="n"/>
      <c r="I453" s="78">
        <f>IF(H453="","",HYPERLINK(H453,"Open ↗"))</f>
        <v/>
      </c>
      <c r="J453" s="72" t="n"/>
      <c r="L453" s="116">
        <f>IF('Contractors'!B453="","",'Contractors'!B453)</f>
        <v/>
      </c>
      <c r="M453" s="78">
        <f>IF(L453="","",'Contractors'!L453)</f>
        <v/>
      </c>
      <c r="N453" s="78">
        <f>IF(OR(L453="",M453&lt;&gt;"Yes"),"",IF(COUNTIFS('Vault'!$C$6:$C$1005,"Contract",'Vault'!$D$6:$D$1005,L453)&gt;0,"✓","✗ missing"))</f>
        <v/>
      </c>
      <c r="O453" s="78">
        <f>IF(OR(L453="",M453&lt;&gt;"Yes"),"",IF(COUNTIFS('Vault'!$C$6:$C$1005,"Insurance",'Vault'!$D$6:$D$1005,L453)&gt;0,"✓","✗ missing"))</f>
        <v/>
      </c>
      <c r="P453" s="78">
        <f>IF(OR(L453="",M453&lt;&gt;"Yes"),"",IF(COUNTIFS('Vault'!$C$6:$C$1005,"Quote",'Vault'!$D$6:$D$1005,L453)&gt;0,"✓","✗ missing"))</f>
        <v/>
      </c>
      <c r="Q453" s="78">
        <f>IF(N453="","",IF(AND(N453="✓",O453="✓",P453="✓"),"✓ Complete","Missing documents"))</f>
        <v/>
      </c>
      <c r="R453" s="79">
        <f>IF(Q453="","",IF(Q453="✓ Complete",0,1))</f>
        <v/>
      </c>
    </row>
    <row r="454" ht="20" customHeight="1">
      <c r="B454" s="72" t="n"/>
      <c r="C454" s="72" t="n"/>
      <c r="D454" s="72" t="n"/>
      <c r="E454" s="72" t="n"/>
      <c r="F454" s="72" t="n"/>
      <c r="G454" s="109" t="n"/>
      <c r="H454" s="72" t="n"/>
      <c r="I454" s="78">
        <f>IF(H454="","",HYPERLINK(H454,"Open ↗"))</f>
        <v/>
      </c>
      <c r="J454" s="72" t="n"/>
      <c r="L454" s="116">
        <f>IF('Contractors'!B454="","",'Contractors'!B454)</f>
        <v/>
      </c>
      <c r="M454" s="78">
        <f>IF(L454="","",'Contractors'!L454)</f>
        <v/>
      </c>
      <c r="N454" s="78">
        <f>IF(OR(L454="",M454&lt;&gt;"Yes"),"",IF(COUNTIFS('Vault'!$C$6:$C$1005,"Contract",'Vault'!$D$6:$D$1005,L454)&gt;0,"✓","✗ missing"))</f>
        <v/>
      </c>
      <c r="O454" s="78">
        <f>IF(OR(L454="",M454&lt;&gt;"Yes"),"",IF(COUNTIFS('Vault'!$C$6:$C$1005,"Insurance",'Vault'!$D$6:$D$1005,L454)&gt;0,"✓","✗ missing"))</f>
        <v/>
      </c>
      <c r="P454" s="78">
        <f>IF(OR(L454="",M454&lt;&gt;"Yes"),"",IF(COUNTIFS('Vault'!$C$6:$C$1005,"Quote",'Vault'!$D$6:$D$1005,L454)&gt;0,"✓","✗ missing"))</f>
        <v/>
      </c>
      <c r="Q454" s="78">
        <f>IF(N454="","",IF(AND(N454="✓",O454="✓",P454="✓"),"✓ Complete","Missing documents"))</f>
        <v/>
      </c>
      <c r="R454" s="79">
        <f>IF(Q454="","",IF(Q454="✓ Complete",0,1))</f>
        <v/>
      </c>
    </row>
    <row r="455" ht="20" customHeight="1">
      <c r="B455" s="72" t="n"/>
      <c r="C455" s="72" t="n"/>
      <c r="D455" s="72" t="n"/>
      <c r="E455" s="72" t="n"/>
      <c r="F455" s="72" t="n"/>
      <c r="G455" s="109" t="n"/>
      <c r="H455" s="72" t="n"/>
      <c r="I455" s="78">
        <f>IF(H455="","",HYPERLINK(H455,"Open ↗"))</f>
        <v/>
      </c>
      <c r="J455" s="72" t="n"/>
      <c r="L455" s="116">
        <f>IF('Contractors'!B455="","",'Contractors'!B455)</f>
        <v/>
      </c>
      <c r="M455" s="78">
        <f>IF(L455="","",'Contractors'!L455)</f>
        <v/>
      </c>
      <c r="N455" s="78">
        <f>IF(OR(L455="",M455&lt;&gt;"Yes"),"",IF(COUNTIFS('Vault'!$C$6:$C$1005,"Contract",'Vault'!$D$6:$D$1005,L455)&gt;0,"✓","✗ missing"))</f>
        <v/>
      </c>
      <c r="O455" s="78">
        <f>IF(OR(L455="",M455&lt;&gt;"Yes"),"",IF(COUNTIFS('Vault'!$C$6:$C$1005,"Insurance",'Vault'!$D$6:$D$1005,L455)&gt;0,"✓","✗ missing"))</f>
        <v/>
      </c>
      <c r="P455" s="78">
        <f>IF(OR(L455="",M455&lt;&gt;"Yes"),"",IF(COUNTIFS('Vault'!$C$6:$C$1005,"Quote",'Vault'!$D$6:$D$1005,L455)&gt;0,"✓","✗ missing"))</f>
        <v/>
      </c>
      <c r="Q455" s="78">
        <f>IF(N455="","",IF(AND(N455="✓",O455="✓",P455="✓"),"✓ Complete","Missing documents"))</f>
        <v/>
      </c>
      <c r="R455" s="79">
        <f>IF(Q455="","",IF(Q455="✓ Complete",0,1))</f>
        <v/>
      </c>
    </row>
    <row r="456" ht="20" customHeight="1">
      <c r="B456" s="72" t="n"/>
      <c r="C456" s="72" t="n"/>
      <c r="D456" s="72" t="n"/>
      <c r="E456" s="72" t="n"/>
      <c r="F456" s="72" t="n"/>
      <c r="G456" s="109" t="n"/>
      <c r="H456" s="72" t="n"/>
      <c r="I456" s="78">
        <f>IF(H456="","",HYPERLINK(H456,"Open ↗"))</f>
        <v/>
      </c>
      <c r="J456" s="72" t="n"/>
      <c r="L456" s="116">
        <f>IF('Contractors'!B456="","",'Contractors'!B456)</f>
        <v/>
      </c>
      <c r="M456" s="78">
        <f>IF(L456="","",'Contractors'!L456)</f>
        <v/>
      </c>
      <c r="N456" s="78">
        <f>IF(OR(L456="",M456&lt;&gt;"Yes"),"",IF(COUNTIFS('Vault'!$C$6:$C$1005,"Contract",'Vault'!$D$6:$D$1005,L456)&gt;0,"✓","✗ missing"))</f>
        <v/>
      </c>
      <c r="O456" s="78">
        <f>IF(OR(L456="",M456&lt;&gt;"Yes"),"",IF(COUNTIFS('Vault'!$C$6:$C$1005,"Insurance",'Vault'!$D$6:$D$1005,L456)&gt;0,"✓","✗ missing"))</f>
        <v/>
      </c>
      <c r="P456" s="78">
        <f>IF(OR(L456="",M456&lt;&gt;"Yes"),"",IF(COUNTIFS('Vault'!$C$6:$C$1005,"Quote",'Vault'!$D$6:$D$1005,L456)&gt;0,"✓","✗ missing"))</f>
        <v/>
      </c>
      <c r="Q456" s="78">
        <f>IF(N456="","",IF(AND(N456="✓",O456="✓",P456="✓"),"✓ Complete","Missing documents"))</f>
        <v/>
      </c>
      <c r="R456" s="79">
        <f>IF(Q456="","",IF(Q456="✓ Complete",0,1))</f>
        <v/>
      </c>
    </row>
    <row r="457" ht="20" customHeight="1">
      <c r="B457" s="72" t="n"/>
      <c r="C457" s="72" t="n"/>
      <c r="D457" s="72" t="n"/>
      <c r="E457" s="72" t="n"/>
      <c r="F457" s="72" t="n"/>
      <c r="G457" s="109" t="n"/>
      <c r="H457" s="72" t="n"/>
      <c r="I457" s="78">
        <f>IF(H457="","",HYPERLINK(H457,"Open ↗"))</f>
        <v/>
      </c>
      <c r="J457" s="72" t="n"/>
      <c r="L457" s="116">
        <f>IF('Contractors'!B457="","",'Contractors'!B457)</f>
        <v/>
      </c>
      <c r="M457" s="78">
        <f>IF(L457="","",'Contractors'!L457)</f>
        <v/>
      </c>
      <c r="N457" s="78">
        <f>IF(OR(L457="",M457&lt;&gt;"Yes"),"",IF(COUNTIFS('Vault'!$C$6:$C$1005,"Contract",'Vault'!$D$6:$D$1005,L457)&gt;0,"✓","✗ missing"))</f>
        <v/>
      </c>
      <c r="O457" s="78">
        <f>IF(OR(L457="",M457&lt;&gt;"Yes"),"",IF(COUNTIFS('Vault'!$C$6:$C$1005,"Insurance",'Vault'!$D$6:$D$1005,L457)&gt;0,"✓","✗ missing"))</f>
        <v/>
      </c>
      <c r="P457" s="78">
        <f>IF(OR(L457="",M457&lt;&gt;"Yes"),"",IF(COUNTIFS('Vault'!$C$6:$C$1005,"Quote",'Vault'!$D$6:$D$1005,L457)&gt;0,"✓","✗ missing"))</f>
        <v/>
      </c>
      <c r="Q457" s="78">
        <f>IF(N457="","",IF(AND(N457="✓",O457="✓",P457="✓"),"✓ Complete","Missing documents"))</f>
        <v/>
      </c>
      <c r="R457" s="79">
        <f>IF(Q457="","",IF(Q457="✓ Complete",0,1))</f>
        <v/>
      </c>
    </row>
    <row r="458" ht="20" customHeight="1">
      <c r="B458" s="72" t="n"/>
      <c r="C458" s="72" t="n"/>
      <c r="D458" s="72" t="n"/>
      <c r="E458" s="72" t="n"/>
      <c r="F458" s="72" t="n"/>
      <c r="G458" s="109" t="n"/>
      <c r="H458" s="72" t="n"/>
      <c r="I458" s="78">
        <f>IF(H458="","",HYPERLINK(H458,"Open ↗"))</f>
        <v/>
      </c>
      <c r="J458" s="72" t="n"/>
      <c r="L458" s="116">
        <f>IF('Contractors'!B458="","",'Contractors'!B458)</f>
        <v/>
      </c>
      <c r="M458" s="78">
        <f>IF(L458="","",'Contractors'!L458)</f>
        <v/>
      </c>
      <c r="N458" s="78">
        <f>IF(OR(L458="",M458&lt;&gt;"Yes"),"",IF(COUNTIFS('Vault'!$C$6:$C$1005,"Contract",'Vault'!$D$6:$D$1005,L458)&gt;0,"✓","✗ missing"))</f>
        <v/>
      </c>
      <c r="O458" s="78">
        <f>IF(OR(L458="",M458&lt;&gt;"Yes"),"",IF(COUNTIFS('Vault'!$C$6:$C$1005,"Insurance",'Vault'!$D$6:$D$1005,L458)&gt;0,"✓","✗ missing"))</f>
        <v/>
      </c>
      <c r="P458" s="78">
        <f>IF(OR(L458="",M458&lt;&gt;"Yes"),"",IF(COUNTIFS('Vault'!$C$6:$C$1005,"Quote",'Vault'!$D$6:$D$1005,L458)&gt;0,"✓","✗ missing"))</f>
        <v/>
      </c>
      <c r="Q458" s="78">
        <f>IF(N458="","",IF(AND(N458="✓",O458="✓",P458="✓"),"✓ Complete","Missing documents"))</f>
        <v/>
      </c>
      <c r="R458" s="79">
        <f>IF(Q458="","",IF(Q458="✓ Complete",0,1))</f>
        <v/>
      </c>
    </row>
    <row r="459" ht="20" customHeight="1">
      <c r="B459" s="72" t="n"/>
      <c r="C459" s="72" t="n"/>
      <c r="D459" s="72" t="n"/>
      <c r="E459" s="72" t="n"/>
      <c r="F459" s="72" t="n"/>
      <c r="G459" s="109" t="n"/>
      <c r="H459" s="72" t="n"/>
      <c r="I459" s="78">
        <f>IF(H459="","",HYPERLINK(H459,"Open ↗"))</f>
        <v/>
      </c>
      <c r="J459" s="72" t="n"/>
      <c r="L459" s="116">
        <f>IF('Contractors'!B459="","",'Contractors'!B459)</f>
        <v/>
      </c>
      <c r="M459" s="78">
        <f>IF(L459="","",'Contractors'!L459)</f>
        <v/>
      </c>
      <c r="N459" s="78">
        <f>IF(OR(L459="",M459&lt;&gt;"Yes"),"",IF(COUNTIFS('Vault'!$C$6:$C$1005,"Contract",'Vault'!$D$6:$D$1005,L459)&gt;0,"✓","✗ missing"))</f>
        <v/>
      </c>
      <c r="O459" s="78">
        <f>IF(OR(L459="",M459&lt;&gt;"Yes"),"",IF(COUNTIFS('Vault'!$C$6:$C$1005,"Insurance",'Vault'!$D$6:$D$1005,L459)&gt;0,"✓","✗ missing"))</f>
        <v/>
      </c>
      <c r="P459" s="78">
        <f>IF(OR(L459="",M459&lt;&gt;"Yes"),"",IF(COUNTIFS('Vault'!$C$6:$C$1005,"Quote",'Vault'!$D$6:$D$1005,L459)&gt;0,"✓","✗ missing"))</f>
        <v/>
      </c>
      <c r="Q459" s="78">
        <f>IF(N459="","",IF(AND(N459="✓",O459="✓",P459="✓"),"✓ Complete","Missing documents"))</f>
        <v/>
      </c>
      <c r="R459" s="79">
        <f>IF(Q459="","",IF(Q459="✓ Complete",0,1))</f>
        <v/>
      </c>
    </row>
    <row r="460" ht="20" customHeight="1">
      <c r="B460" s="72" t="n"/>
      <c r="C460" s="72" t="n"/>
      <c r="D460" s="72" t="n"/>
      <c r="E460" s="72" t="n"/>
      <c r="F460" s="72" t="n"/>
      <c r="G460" s="109" t="n"/>
      <c r="H460" s="72" t="n"/>
      <c r="I460" s="78">
        <f>IF(H460="","",HYPERLINK(H460,"Open ↗"))</f>
        <v/>
      </c>
      <c r="J460" s="72" t="n"/>
      <c r="L460" s="116">
        <f>IF('Contractors'!B460="","",'Contractors'!B460)</f>
        <v/>
      </c>
      <c r="M460" s="78">
        <f>IF(L460="","",'Contractors'!L460)</f>
        <v/>
      </c>
      <c r="N460" s="78">
        <f>IF(OR(L460="",M460&lt;&gt;"Yes"),"",IF(COUNTIFS('Vault'!$C$6:$C$1005,"Contract",'Vault'!$D$6:$D$1005,L460)&gt;0,"✓","✗ missing"))</f>
        <v/>
      </c>
      <c r="O460" s="78">
        <f>IF(OR(L460="",M460&lt;&gt;"Yes"),"",IF(COUNTIFS('Vault'!$C$6:$C$1005,"Insurance",'Vault'!$D$6:$D$1005,L460)&gt;0,"✓","✗ missing"))</f>
        <v/>
      </c>
      <c r="P460" s="78">
        <f>IF(OR(L460="",M460&lt;&gt;"Yes"),"",IF(COUNTIFS('Vault'!$C$6:$C$1005,"Quote",'Vault'!$D$6:$D$1005,L460)&gt;0,"✓","✗ missing"))</f>
        <v/>
      </c>
      <c r="Q460" s="78">
        <f>IF(N460="","",IF(AND(N460="✓",O460="✓",P460="✓"),"✓ Complete","Missing documents"))</f>
        <v/>
      </c>
      <c r="R460" s="79">
        <f>IF(Q460="","",IF(Q460="✓ Complete",0,1))</f>
        <v/>
      </c>
    </row>
    <row r="461" ht="20" customHeight="1">
      <c r="B461" s="72" t="n"/>
      <c r="C461" s="72" t="n"/>
      <c r="D461" s="72" t="n"/>
      <c r="E461" s="72" t="n"/>
      <c r="F461" s="72" t="n"/>
      <c r="G461" s="109" t="n"/>
      <c r="H461" s="72" t="n"/>
      <c r="I461" s="78">
        <f>IF(H461="","",HYPERLINK(H461,"Open ↗"))</f>
        <v/>
      </c>
      <c r="J461" s="72" t="n"/>
      <c r="L461" s="116">
        <f>IF('Contractors'!B461="","",'Contractors'!B461)</f>
        <v/>
      </c>
      <c r="M461" s="78">
        <f>IF(L461="","",'Contractors'!L461)</f>
        <v/>
      </c>
      <c r="N461" s="78">
        <f>IF(OR(L461="",M461&lt;&gt;"Yes"),"",IF(COUNTIFS('Vault'!$C$6:$C$1005,"Contract",'Vault'!$D$6:$D$1005,L461)&gt;0,"✓","✗ missing"))</f>
        <v/>
      </c>
      <c r="O461" s="78">
        <f>IF(OR(L461="",M461&lt;&gt;"Yes"),"",IF(COUNTIFS('Vault'!$C$6:$C$1005,"Insurance",'Vault'!$D$6:$D$1005,L461)&gt;0,"✓","✗ missing"))</f>
        <v/>
      </c>
      <c r="P461" s="78">
        <f>IF(OR(L461="",M461&lt;&gt;"Yes"),"",IF(COUNTIFS('Vault'!$C$6:$C$1005,"Quote",'Vault'!$D$6:$D$1005,L461)&gt;0,"✓","✗ missing"))</f>
        <v/>
      </c>
      <c r="Q461" s="78">
        <f>IF(N461="","",IF(AND(N461="✓",O461="✓",P461="✓"),"✓ Complete","Missing documents"))</f>
        <v/>
      </c>
      <c r="R461" s="79">
        <f>IF(Q461="","",IF(Q461="✓ Complete",0,1))</f>
        <v/>
      </c>
    </row>
    <row r="462" ht="20" customHeight="1">
      <c r="B462" s="72" t="n"/>
      <c r="C462" s="72" t="n"/>
      <c r="D462" s="72" t="n"/>
      <c r="E462" s="72" t="n"/>
      <c r="F462" s="72" t="n"/>
      <c r="G462" s="109" t="n"/>
      <c r="H462" s="72" t="n"/>
      <c r="I462" s="78">
        <f>IF(H462="","",HYPERLINK(H462,"Open ↗"))</f>
        <v/>
      </c>
      <c r="J462" s="72" t="n"/>
      <c r="L462" s="116">
        <f>IF('Contractors'!B462="","",'Contractors'!B462)</f>
        <v/>
      </c>
      <c r="M462" s="78">
        <f>IF(L462="","",'Contractors'!L462)</f>
        <v/>
      </c>
      <c r="N462" s="78">
        <f>IF(OR(L462="",M462&lt;&gt;"Yes"),"",IF(COUNTIFS('Vault'!$C$6:$C$1005,"Contract",'Vault'!$D$6:$D$1005,L462)&gt;0,"✓","✗ missing"))</f>
        <v/>
      </c>
      <c r="O462" s="78">
        <f>IF(OR(L462="",M462&lt;&gt;"Yes"),"",IF(COUNTIFS('Vault'!$C$6:$C$1005,"Insurance",'Vault'!$D$6:$D$1005,L462)&gt;0,"✓","✗ missing"))</f>
        <v/>
      </c>
      <c r="P462" s="78">
        <f>IF(OR(L462="",M462&lt;&gt;"Yes"),"",IF(COUNTIFS('Vault'!$C$6:$C$1005,"Quote",'Vault'!$D$6:$D$1005,L462)&gt;0,"✓","✗ missing"))</f>
        <v/>
      </c>
      <c r="Q462" s="78">
        <f>IF(N462="","",IF(AND(N462="✓",O462="✓",P462="✓"),"✓ Complete","Missing documents"))</f>
        <v/>
      </c>
      <c r="R462" s="79">
        <f>IF(Q462="","",IF(Q462="✓ Complete",0,1))</f>
        <v/>
      </c>
    </row>
    <row r="463" ht="20" customHeight="1">
      <c r="B463" s="72" t="n"/>
      <c r="C463" s="72" t="n"/>
      <c r="D463" s="72" t="n"/>
      <c r="E463" s="72" t="n"/>
      <c r="F463" s="72" t="n"/>
      <c r="G463" s="109" t="n"/>
      <c r="H463" s="72" t="n"/>
      <c r="I463" s="78">
        <f>IF(H463="","",HYPERLINK(H463,"Open ↗"))</f>
        <v/>
      </c>
      <c r="J463" s="72" t="n"/>
      <c r="L463" s="116">
        <f>IF('Contractors'!B463="","",'Contractors'!B463)</f>
        <v/>
      </c>
      <c r="M463" s="78">
        <f>IF(L463="","",'Contractors'!L463)</f>
        <v/>
      </c>
      <c r="N463" s="78">
        <f>IF(OR(L463="",M463&lt;&gt;"Yes"),"",IF(COUNTIFS('Vault'!$C$6:$C$1005,"Contract",'Vault'!$D$6:$D$1005,L463)&gt;0,"✓","✗ missing"))</f>
        <v/>
      </c>
      <c r="O463" s="78">
        <f>IF(OR(L463="",M463&lt;&gt;"Yes"),"",IF(COUNTIFS('Vault'!$C$6:$C$1005,"Insurance",'Vault'!$D$6:$D$1005,L463)&gt;0,"✓","✗ missing"))</f>
        <v/>
      </c>
      <c r="P463" s="78">
        <f>IF(OR(L463="",M463&lt;&gt;"Yes"),"",IF(COUNTIFS('Vault'!$C$6:$C$1005,"Quote",'Vault'!$D$6:$D$1005,L463)&gt;0,"✓","✗ missing"))</f>
        <v/>
      </c>
      <c r="Q463" s="78">
        <f>IF(N463="","",IF(AND(N463="✓",O463="✓",P463="✓"),"✓ Complete","Missing documents"))</f>
        <v/>
      </c>
      <c r="R463" s="79">
        <f>IF(Q463="","",IF(Q463="✓ Complete",0,1))</f>
        <v/>
      </c>
    </row>
    <row r="464" ht="20" customHeight="1">
      <c r="B464" s="72" t="n"/>
      <c r="C464" s="72" t="n"/>
      <c r="D464" s="72" t="n"/>
      <c r="E464" s="72" t="n"/>
      <c r="F464" s="72" t="n"/>
      <c r="G464" s="109" t="n"/>
      <c r="H464" s="72" t="n"/>
      <c r="I464" s="78">
        <f>IF(H464="","",HYPERLINK(H464,"Open ↗"))</f>
        <v/>
      </c>
      <c r="J464" s="72" t="n"/>
      <c r="L464" s="116">
        <f>IF('Contractors'!B464="","",'Contractors'!B464)</f>
        <v/>
      </c>
      <c r="M464" s="78">
        <f>IF(L464="","",'Contractors'!L464)</f>
        <v/>
      </c>
      <c r="N464" s="78">
        <f>IF(OR(L464="",M464&lt;&gt;"Yes"),"",IF(COUNTIFS('Vault'!$C$6:$C$1005,"Contract",'Vault'!$D$6:$D$1005,L464)&gt;0,"✓","✗ missing"))</f>
        <v/>
      </c>
      <c r="O464" s="78">
        <f>IF(OR(L464="",M464&lt;&gt;"Yes"),"",IF(COUNTIFS('Vault'!$C$6:$C$1005,"Insurance",'Vault'!$D$6:$D$1005,L464)&gt;0,"✓","✗ missing"))</f>
        <v/>
      </c>
      <c r="P464" s="78">
        <f>IF(OR(L464="",M464&lt;&gt;"Yes"),"",IF(COUNTIFS('Vault'!$C$6:$C$1005,"Quote",'Vault'!$D$6:$D$1005,L464)&gt;0,"✓","✗ missing"))</f>
        <v/>
      </c>
      <c r="Q464" s="78">
        <f>IF(N464="","",IF(AND(N464="✓",O464="✓",P464="✓"),"✓ Complete","Missing documents"))</f>
        <v/>
      </c>
      <c r="R464" s="79">
        <f>IF(Q464="","",IF(Q464="✓ Complete",0,1))</f>
        <v/>
      </c>
    </row>
    <row r="465" ht="20" customHeight="1">
      <c r="B465" s="72" t="n"/>
      <c r="C465" s="72" t="n"/>
      <c r="D465" s="72" t="n"/>
      <c r="E465" s="72" t="n"/>
      <c r="F465" s="72" t="n"/>
      <c r="G465" s="109" t="n"/>
      <c r="H465" s="72" t="n"/>
      <c r="I465" s="78">
        <f>IF(H465="","",HYPERLINK(H465,"Open ↗"))</f>
        <v/>
      </c>
      <c r="J465" s="72" t="n"/>
      <c r="L465" s="116">
        <f>IF('Contractors'!B465="","",'Contractors'!B465)</f>
        <v/>
      </c>
      <c r="M465" s="78">
        <f>IF(L465="","",'Contractors'!L465)</f>
        <v/>
      </c>
      <c r="N465" s="78">
        <f>IF(OR(L465="",M465&lt;&gt;"Yes"),"",IF(COUNTIFS('Vault'!$C$6:$C$1005,"Contract",'Vault'!$D$6:$D$1005,L465)&gt;0,"✓","✗ missing"))</f>
        <v/>
      </c>
      <c r="O465" s="78">
        <f>IF(OR(L465="",M465&lt;&gt;"Yes"),"",IF(COUNTIFS('Vault'!$C$6:$C$1005,"Insurance",'Vault'!$D$6:$D$1005,L465)&gt;0,"✓","✗ missing"))</f>
        <v/>
      </c>
      <c r="P465" s="78">
        <f>IF(OR(L465="",M465&lt;&gt;"Yes"),"",IF(COUNTIFS('Vault'!$C$6:$C$1005,"Quote",'Vault'!$D$6:$D$1005,L465)&gt;0,"✓","✗ missing"))</f>
        <v/>
      </c>
      <c r="Q465" s="78">
        <f>IF(N465="","",IF(AND(N465="✓",O465="✓",P465="✓"),"✓ Complete","Missing documents"))</f>
        <v/>
      </c>
      <c r="R465" s="79">
        <f>IF(Q465="","",IF(Q465="✓ Complete",0,1))</f>
        <v/>
      </c>
    </row>
    <row r="466" ht="20" customHeight="1">
      <c r="B466" s="72" t="n"/>
      <c r="C466" s="72" t="n"/>
      <c r="D466" s="72" t="n"/>
      <c r="E466" s="72" t="n"/>
      <c r="F466" s="72" t="n"/>
      <c r="G466" s="109" t="n"/>
      <c r="H466" s="72" t="n"/>
      <c r="I466" s="78">
        <f>IF(H466="","",HYPERLINK(H466,"Open ↗"))</f>
        <v/>
      </c>
      <c r="J466" s="72" t="n"/>
      <c r="L466" s="116">
        <f>IF('Contractors'!B466="","",'Contractors'!B466)</f>
        <v/>
      </c>
      <c r="M466" s="78">
        <f>IF(L466="","",'Contractors'!L466)</f>
        <v/>
      </c>
      <c r="N466" s="78">
        <f>IF(OR(L466="",M466&lt;&gt;"Yes"),"",IF(COUNTIFS('Vault'!$C$6:$C$1005,"Contract",'Vault'!$D$6:$D$1005,L466)&gt;0,"✓","✗ missing"))</f>
        <v/>
      </c>
      <c r="O466" s="78">
        <f>IF(OR(L466="",M466&lt;&gt;"Yes"),"",IF(COUNTIFS('Vault'!$C$6:$C$1005,"Insurance",'Vault'!$D$6:$D$1005,L466)&gt;0,"✓","✗ missing"))</f>
        <v/>
      </c>
      <c r="P466" s="78">
        <f>IF(OR(L466="",M466&lt;&gt;"Yes"),"",IF(COUNTIFS('Vault'!$C$6:$C$1005,"Quote",'Vault'!$D$6:$D$1005,L466)&gt;0,"✓","✗ missing"))</f>
        <v/>
      </c>
      <c r="Q466" s="78">
        <f>IF(N466="","",IF(AND(N466="✓",O466="✓",P466="✓"),"✓ Complete","Missing documents"))</f>
        <v/>
      </c>
      <c r="R466" s="79">
        <f>IF(Q466="","",IF(Q466="✓ Complete",0,1))</f>
        <v/>
      </c>
    </row>
    <row r="467" ht="20" customHeight="1">
      <c r="B467" s="72" t="n"/>
      <c r="C467" s="72" t="n"/>
      <c r="D467" s="72" t="n"/>
      <c r="E467" s="72" t="n"/>
      <c r="F467" s="72" t="n"/>
      <c r="G467" s="109" t="n"/>
      <c r="H467" s="72" t="n"/>
      <c r="I467" s="78">
        <f>IF(H467="","",HYPERLINK(H467,"Open ↗"))</f>
        <v/>
      </c>
      <c r="J467" s="72" t="n"/>
      <c r="L467" s="116">
        <f>IF('Contractors'!B467="","",'Contractors'!B467)</f>
        <v/>
      </c>
      <c r="M467" s="78">
        <f>IF(L467="","",'Contractors'!L467)</f>
        <v/>
      </c>
      <c r="N467" s="78">
        <f>IF(OR(L467="",M467&lt;&gt;"Yes"),"",IF(COUNTIFS('Vault'!$C$6:$C$1005,"Contract",'Vault'!$D$6:$D$1005,L467)&gt;0,"✓","✗ missing"))</f>
        <v/>
      </c>
      <c r="O467" s="78">
        <f>IF(OR(L467="",M467&lt;&gt;"Yes"),"",IF(COUNTIFS('Vault'!$C$6:$C$1005,"Insurance",'Vault'!$D$6:$D$1005,L467)&gt;0,"✓","✗ missing"))</f>
        <v/>
      </c>
      <c r="P467" s="78">
        <f>IF(OR(L467="",M467&lt;&gt;"Yes"),"",IF(COUNTIFS('Vault'!$C$6:$C$1005,"Quote",'Vault'!$D$6:$D$1005,L467)&gt;0,"✓","✗ missing"))</f>
        <v/>
      </c>
      <c r="Q467" s="78">
        <f>IF(N467="","",IF(AND(N467="✓",O467="✓",P467="✓"),"✓ Complete","Missing documents"))</f>
        <v/>
      </c>
      <c r="R467" s="79">
        <f>IF(Q467="","",IF(Q467="✓ Complete",0,1))</f>
        <v/>
      </c>
    </row>
    <row r="468" ht="20" customHeight="1">
      <c r="B468" s="72" t="n"/>
      <c r="C468" s="72" t="n"/>
      <c r="D468" s="72" t="n"/>
      <c r="E468" s="72" t="n"/>
      <c r="F468" s="72" t="n"/>
      <c r="G468" s="109" t="n"/>
      <c r="H468" s="72" t="n"/>
      <c r="I468" s="78">
        <f>IF(H468="","",HYPERLINK(H468,"Open ↗"))</f>
        <v/>
      </c>
      <c r="J468" s="72" t="n"/>
      <c r="L468" s="116">
        <f>IF('Contractors'!B468="","",'Contractors'!B468)</f>
        <v/>
      </c>
      <c r="M468" s="78">
        <f>IF(L468="","",'Contractors'!L468)</f>
        <v/>
      </c>
      <c r="N468" s="78">
        <f>IF(OR(L468="",M468&lt;&gt;"Yes"),"",IF(COUNTIFS('Vault'!$C$6:$C$1005,"Contract",'Vault'!$D$6:$D$1005,L468)&gt;0,"✓","✗ missing"))</f>
        <v/>
      </c>
      <c r="O468" s="78">
        <f>IF(OR(L468="",M468&lt;&gt;"Yes"),"",IF(COUNTIFS('Vault'!$C$6:$C$1005,"Insurance",'Vault'!$D$6:$D$1005,L468)&gt;0,"✓","✗ missing"))</f>
        <v/>
      </c>
      <c r="P468" s="78">
        <f>IF(OR(L468="",M468&lt;&gt;"Yes"),"",IF(COUNTIFS('Vault'!$C$6:$C$1005,"Quote",'Vault'!$D$6:$D$1005,L468)&gt;0,"✓","✗ missing"))</f>
        <v/>
      </c>
      <c r="Q468" s="78">
        <f>IF(N468="","",IF(AND(N468="✓",O468="✓",P468="✓"),"✓ Complete","Missing documents"))</f>
        <v/>
      </c>
      <c r="R468" s="79">
        <f>IF(Q468="","",IF(Q468="✓ Complete",0,1))</f>
        <v/>
      </c>
    </row>
    <row r="469" ht="20" customHeight="1">
      <c r="B469" s="72" t="n"/>
      <c r="C469" s="72" t="n"/>
      <c r="D469" s="72" t="n"/>
      <c r="E469" s="72" t="n"/>
      <c r="F469" s="72" t="n"/>
      <c r="G469" s="109" t="n"/>
      <c r="H469" s="72" t="n"/>
      <c r="I469" s="78">
        <f>IF(H469="","",HYPERLINK(H469,"Open ↗"))</f>
        <v/>
      </c>
      <c r="J469" s="72" t="n"/>
      <c r="L469" s="116">
        <f>IF('Contractors'!B469="","",'Contractors'!B469)</f>
        <v/>
      </c>
      <c r="M469" s="78">
        <f>IF(L469="","",'Contractors'!L469)</f>
        <v/>
      </c>
      <c r="N469" s="78">
        <f>IF(OR(L469="",M469&lt;&gt;"Yes"),"",IF(COUNTIFS('Vault'!$C$6:$C$1005,"Contract",'Vault'!$D$6:$D$1005,L469)&gt;0,"✓","✗ missing"))</f>
        <v/>
      </c>
      <c r="O469" s="78">
        <f>IF(OR(L469="",M469&lt;&gt;"Yes"),"",IF(COUNTIFS('Vault'!$C$6:$C$1005,"Insurance",'Vault'!$D$6:$D$1005,L469)&gt;0,"✓","✗ missing"))</f>
        <v/>
      </c>
      <c r="P469" s="78">
        <f>IF(OR(L469="",M469&lt;&gt;"Yes"),"",IF(COUNTIFS('Vault'!$C$6:$C$1005,"Quote",'Vault'!$D$6:$D$1005,L469)&gt;0,"✓","✗ missing"))</f>
        <v/>
      </c>
      <c r="Q469" s="78">
        <f>IF(N469="","",IF(AND(N469="✓",O469="✓",P469="✓"),"✓ Complete","Missing documents"))</f>
        <v/>
      </c>
      <c r="R469" s="79">
        <f>IF(Q469="","",IF(Q469="✓ Complete",0,1))</f>
        <v/>
      </c>
    </row>
    <row r="470" ht="20" customHeight="1">
      <c r="B470" s="72" t="n"/>
      <c r="C470" s="72" t="n"/>
      <c r="D470" s="72" t="n"/>
      <c r="E470" s="72" t="n"/>
      <c r="F470" s="72" t="n"/>
      <c r="G470" s="109" t="n"/>
      <c r="H470" s="72" t="n"/>
      <c r="I470" s="78">
        <f>IF(H470="","",HYPERLINK(H470,"Open ↗"))</f>
        <v/>
      </c>
      <c r="J470" s="72" t="n"/>
      <c r="L470" s="116">
        <f>IF('Contractors'!B470="","",'Contractors'!B470)</f>
        <v/>
      </c>
      <c r="M470" s="78">
        <f>IF(L470="","",'Contractors'!L470)</f>
        <v/>
      </c>
      <c r="N470" s="78">
        <f>IF(OR(L470="",M470&lt;&gt;"Yes"),"",IF(COUNTIFS('Vault'!$C$6:$C$1005,"Contract",'Vault'!$D$6:$D$1005,L470)&gt;0,"✓","✗ missing"))</f>
        <v/>
      </c>
      <c r="O470" s="78">
        <f>IF(OR(L470="",M470&lt;&gt;"Yes"),"",IF(COUNTIFS('Vault'!$C$6:$C$1005,"Insurance",'Vault'!$D$6:$D$1005,L470)&gt;0,"✓","✗ missing"))</f>
        <v/>
      </c>
      <c r="P470" s="78">
        <f>IF(OR(L470="",M470&lt;&gt;"Yes"),"",IF(COUNTIFS('Vault'!$C$6:$C$1005,"Quote",'Vault'!$D$6:$D$1005,L470)&gt;0,"✓","✗ missing"))</f>
        <v/>
      </c>
      <c r="Q470" s="78">
        <f>IF(N470="","",IF(AND(N470="✓",O470="✓",P470="✓"),"✓ Complete","Missing documents"))</f>
        <v/>
      </c>
      <c r="R470" s="79">
        <f>IF(Q470="","",IF(Q470="✓ Complete",0,1))</f>
        <v/>
      </c>
    </row>
    <row r="471" ht="20" customHeight="1">
      <c r="B471" s="72" t="n"/>
      <c r="C471" s="72" t="n"/>
      <c r="D471" s="72" t="n"/>
      <c r="E471" s="72" t="n"/>
      <c r="F471" s="72" t="n"/>
      <c r="G471" s="109" t="n"/>
      <c r="H471" s="72" t="n"/>
      <c r="I471" s="78">
        <f>IF(H471="","",HYPERLINK(H471,"Open ↗"))</f>
        <v/>
      </c>
      <c r="J471" s="72" t="n"/>
      <c r="L471" s="116">
        <f>IF('Contractors'!B471="","",'Contractors'!B471)</f>
        <v/>
      </c>
      <c r="M471" s="78">
        <f>IF(L471="","",'Contractors'!L471)</f>
        <v/>
      </c>
      <c r="N471" s="78">
        <f>IF(OR(L471="",M471&lt;&gt;"Yes"),"",IF(COUNTIFS('Vault'!$C$6:$C$1005,"Contract",'Vault'!$D$6:$D$1005,L471)&gt;0,"✓","✗ missing"))</f>
        <v/>
      </c>
      <c r="O471" s="78">
        <f>IF(OR(L471="",M471&lt;&gt;"Yes"),"",IF(COUNTIFS('Vault'!$C$6:$C$1005,"Insurance",'Vault'!$D$6:$D$1005,L471)&gt;0,"✓","✗ missing"))</f>
        <v/>
      </c>
      <c r="P471" s="78">
        <f>IF(OR(L471="",M471&lt;&gt;"Yes"),"",IF(COUNTIFS('Vault'!$C$6:$C$1005,"Quote",'Vault'!$D$6:$D$1005,L471)&gt;0,"✓","✗ missing"))</f>
        <v/>
      </c>
      <c r="Q471" s="78">
        <f>IF(N471="","",IF(AND(N471="✓",O471="✓",P471="✓"),"✓ Complete","Missing documents"))</f>
        <v/>
      </c>
      <c r="R471" s="79">
        <f>IF(Q471="","",IF(Q471="✓ Complete",0,1))</f>
        <v/>
      </c>
    </row>
    <row r="472" ht="20" customHeight="1">
      <c r="B472" s="72" t="n"/>
      <c r="C472" s="72" t="n"/>
      <c r="D472" s="72" t="n"/>
      <c r="E472" s="72" t="n"/>
      <c r="F472" s="72" t="n"/>
      <c r="G472" s="109" t="n"/>
      <c r="H472" s="72" t="n"/>
      <c r="I472" s="78">
        <f>IF(H472="","",HYPERLINK(H472,"Open ↗"))</f>
        <v/>
      </c>
      <c r="J472" s="72" t="n"/>
      <c r="L472" s="116">
        <f>IF('Contractors'!B472="","",'Contractors'!B472)</f>
        <v/>
      </c>
      <c r="M472" s="78">
        <f>IF(L472="","",'Contractors'!L472)</f>
        <v/>
      </c>
      <c r="N472" s="78">
        <f>IF(OR(L472="",M472&lt;&gt;"Yes"),"",IF(COUNTIFS('Vault'!$C$6:$C$1005,"Contract",'Vault'!$D$6:$D$1005,L472)&gt;0,"✓","✗ missing"))</f>
        <v/>
      </c>
      <c r="O472" s="78">
        <f>IF(OR(L472="",M472&lt;&gt;"Yes"),"",IF(COUNTIFS('Vault'!$C$6:$C$1005,"Insurance",'Vault'!$D$6:$D$1005,L472)&gt;0,"✓","✗ missing"))</f>
        <v/>
      </c>
      <c r="P472" s="78">
        <f>IF(OR(L472="",M472&lt;&gt;"Yes"),"",IF(COUNTIFS('Vault'!$C$6:$C$1005,"Quote",'Vault'!$D$6:$D$1005,L472)&gt;0,"✓","✗ missing"))</f>
        <v/>
      </c>
      <c r="Q472" s="78">
        <f>IF(N472="","",IF(AND(N472="✓",O472="✓",P472="✓"),"✓ Complete","Missing documents"))</f>
        <v/>
      </c>
      <c r="R472" s="79">
        <f>IF(Q472="","",IF(Q472="✓ Complete",0,1))</f>
        <v/>
      </c>
    </row>
    <row r="473" ht="20" customHeight="1">
      <c r="B473" s="72" t="n"/>
      <c r="C473" s="72" t="n"/>
      <c r="D473" s="72" t="n"/>
      <c r="E473" s="72" t="n"/>
      <c r="F473" s="72" t="n"/>
      <c r="G473" s="109" t="n"/>
      <c r="H473" s="72" t="n"/>
      <c r="I473" s="78">
        <f>IF(H473="","",HYPERLINK(H473,"Open ↗"))</f>
        <v/>
      </c>
      <c r="J473" s="72" t="n"/>
      <c r="L473" s="116">
        <f>IF('Contractors'!B473="","",'Contractors'!B473)</f>
        <v/>
      </c>
      <c r="M473" s="78">
        <f>IF(L473="","",'Contractors'!L473)</f>
        <v/>
      </c>
      <c r="N473" s="78">
        <f>IF(OR(L473="",M473&lt;&gt;"Yes"),"",IF(COUNTIFS('Vault'!$C$6:$C$1005,"Contract",'Vault'!$D$6:$D$1005,L473)&gt;0,"✓","✗ missing"))</f>
        <v/>
      </c>
      <c r="O473" s="78">
        <f>IF(OR(L473="",M473&lt;&gt;"Yes"),"",IF(COUNTIFS('Vault'!$C$6:$C$1005,"Insurance",'Vault'!$D$6:$D$1005,L473)&gt;0,"✓","✗ missing"))</f>
        <v/>
      </c>
      <c r="P473" s="78">
        <f>IF(OR(L473="",M473&lt;&gt;"Yes"),"",IF(COUNTIFS('Vault'!$C$6:$C$1005,"Quote",'Vault'!$D$6:$D$1005,L473)&gt;0,"✓","✗ missing"))</f>
        <v/>
      </c>
      <c r="Q473" s="78">
        <f>IF(N473="","",IF(AND(N473="✓",O473="✓",P473="✓"),"✓ Complete","Missing documents"))</f>
        <v/>
      </c>
      <c r="R473" s="79">
        <f>IF(Q473="","",IF(Q473="✓ Complete",0,1))</f>
        <v/>
      </c>
    </row>
    <row r="474" ht="20" customHeight="1">
      <c r="B474" s="72" t="n"/>
      <c r="C474" s="72" t="n"/>
      <c r="D474" s="72" t="n"/>
      <c r="E474" s="72" t="n"/>
      <c r="F474" s="72" t="n"/>
      <c r="G474" s="109" t="n"/>
      <c r="H474" s="72" t="n"/>
      <c r="I474" s="78">
        <f>IF(H474="","",HYPERLINK(H474,"Open ↗"))</f>
        <v/>
      </c>
      <c r="J474" s="72" t="n"/>
      <c r="L474" s="116">
        <f>IF('Contractors'!B474="","",'Contractors'!B474)</f>
        <v/>
      </c>
      <c r="M474" s="78">
        <f>IF(L474="","",'Contractors'!L474)</f>
        <v/>
      </c>
      <c r="N474" s="78">
        <f>IF(OR(L474="",M474&lt;&gt;"Yes"),"",IF(COUNTIFS('Vault'!$C$6:$C$1005,"Contract",'Vault'!$D$6:$D$1005,L474)&gt;0,"✓","✗ missing"))</f>
        <v/>
      </c>
      <c r="O474" s="78">
        <f>IF(OR(L474="",M474&lt;&gt;"Yes"),"",IF(COUNTIFS('Vault'!$C$6:$C$1005,"Insurance",'Vault'!$D$6:$D$1005,L474)&gt;0,"✓","✗ missing"))</f>
        <v/>
      </c>
      <c r="P474" s="78">
        <f>IF(OR(L474="",M474&lt;&gt;"Yes"),"",IF(COUNTIFS('Vault'!$C$6:$C$1005,"Quote",'Vault'!$D$6:$D$1005,L474)&gt;0,"✓","✗ missing"))</f>
        <v/>
      </c>
      <c r="Q474" s="78">
        <f>IF(N474="","",IF(AND(N474="✓",O474="✓",P474="✓"),"✓ Complete","Missing documents"))</f>
        <v/>
      </c>
      <c r="R474" s="79">
        <f>IF(Q474="","",IF(Q474="✓ Complete",0,1))</f>
        <v/>
      </c>
    </row>
    <row r="475" ht="20" customHeight="1">
      <c r="B475" s="72" t="n"/>
      <c r="C475" s="72" t="n"/>
      <c r="D475" s="72" t="n"/>
      <c r="E475" s="72" t="n"/>
      <c r="F475" s="72" t="n"/>
      <c r="G475" s="109" t="n"/>
      <c r="H475" s="72" t="n"/>
      <c r="I475" s="78">
        <f>IF(H475="","",HYPERLINK(H475,"Open ↗"))</f>
        <v/>
      </c>
      <c r="J475" s="72" t="n"/>
      <c r="L475" s="116">
        <f>IF('Contractors'!B475="","",'Contractors'!B475)</f>
        <v/>
      </c>
      <c r="M475" s="78">
        <f>IF(L475="","",'Contractors'!L475)</f>
        <v/>
      </c>
      <c r="N475" s="78">
        <f>IF(OR(L475="",M475&lt;&gt;"Yes"),"",IF(COUNTIFS('Vault'!$C$6:$C$1005,"Contract",'Vault'!$D$6:$D$1005,L475)&gt;0,"✓","✗ missing"))</f>
        <v/>
      </c>
      <c r="O475" s="78">
        <f>IF(OR(L475="",M475&lt;&gt;"Yes"),"",IF(COUNTIFS('Vault'!$C$6:$C$1005,"Insurance",'Vault'!$D$6:$D$1005,L475)&gt;0,"✓","✗ missing"))</f>
        <v/>
      </c>
      <c r="P475" s="78">
        <f>IF(OR(L475="",M475&lt;&gt;"Yes"),"",IF(COUNTIFS('Vault'!$C$6:$C$1005,"Quote",'Vault'!$D$6:$D$1005,L475)&gt;0,"✓","✗ missing"))</f>
        <v/>
      </c>
      <c r="Q475" s="78">
        <f>IF(N475="","",IF(AND(N475="✓",O475="✓",P475="✓"),"✓ Complete","Missing documents"))</f>
        <v/>
      </c>
      <c r="R475" s="79">
        <f>IF(Q475="","",IF(Q475="✓ Complete",0,1))</f>
        <v/>
      </c>
    </row>
    <row r="476" ht="20" customHeight="1">
      <c r="B476" s="72" t="n"/>
      <c r="C476" s="72" t="n"/>
      <c r="D476" s="72" t="n"/>
      <c r="E476" s="72" t="n"/>
      <c r="F476" s="72" t="n"/>
      <c r="G476" s="109" t="n"/>
      <c r="H476" s="72" t="n"/>
      <c r="I476" s="78">
        <f>IF(H476="","",HYPERLINK(H476,"Open ↗"))</f>
        <v/>
      </c>
      <c r="J476" s="72" t="n"/>
      <c r="L476" s="116">
        <f>IF('Contractors'!B476="","",'Contractors'!B476)</f>
        <v/>
      </c>
      <c r="M476" s="78">
        <f>IF(L476="","",'Contractors'!L476)</f>
        <v/>
      </c>
      <c r="N476" s="78">
        <f>IF(OR(L476="",M476&lt;&gt;"Yes"),"",IF(COUNTIFS('Vault'!$C$6:$C$1005,"Contract",'Vault'!$D$6:$D$1005,L476)&gt;0,"✓","✗ missing"))</f>
        <v/>
      </c>
      <c r="O476" s="78">
        <f>IF(OR(L476="",M476&lt;&gt;"Yes"),"",IF(COUNTIFS('Vault'!$C$6:$C$1005,"Insurance",'Vault'!$D$6:$D$1005,L476)&gt;0,"✓","✗ missing"))</f>
        <v/>
      </c>
      <c r="P476" s="78">
        <f>IF(OR(L476="",M476&lt;&gt;"Yes"),"",IF(COUNTIFS('Vault'!$C$6:$C$1005,"Quote",'Vault'!$D$6:$D$1005,L476)&gt;0,"✓","✗ missing"))</f>
        <v/>
      </c>
      <c r="Q476" s="78">
        <f>IF(N476="","",IF(AND(N476="✓",O476="✓",P476="✓"),"✓ Complete","Missing documents"))</f>
        <v/>
      </c>
      <c r="R476" s="79">
        <f>IF(Q476="","",IF(Q476="✓ Complete",0,1))</f>
        <v/>
      </c>
    </row>
    <row r="477" ht="20" customHeight="1">
      <c r="B477" s="72" t="n"/>
      <c r="C477" s="72" t="n"/>
      <c r="D477" s="72" t="n"/>
      <c r="E477" s="72" t="n"/>
      <c r="F477" s="72" t="n"/>
      <c r="G477" s="109" t="n"/>
      <c r="H477" s="72" t="n"/>
      <c r="I477" s="78">
        <f>IF(H477="","",HYPERLINK(H477,"Open ↗"))</f>
        <v/>
      </c>
      <c r="J477" s="72" t="n"/>
      <c r="L477" s="116">
        <f>IF('Contractors'!B477="","",'Contractors'!B477)</f>
        <v/>
      </c>
      <c r="M477" s="78">
        <f>IF(L477="","",'Contractors'!L477)</f>
        <v/>
      </c>
      <c r="N477" s="78">
        <f>IF(OR(L477="",M477&lt;&gt;"Yes"),"",IF(COUNTIFS('Vault'!$C$6:$C$1005,"Contract",'Vault'!$D$6:$D$1005,L477)&gt;0,"✓","✗ missing"))</f>
        <v/>
      </c>
      <c r="O477" s="78">
        <f>IF(OR(L477="",M477&lt;&gt;"Yes"),"",IF(COUNTIFS('Vault'!$C$6:$C$1005,"Insurance",'Vault'!$D$6:$D$1005,L477)&gt;0,"✓","✗ missing"))</f>
        <v/>
      </c>
      <c r="P477" s="78">
        <f>IF(OR(L477="",M477&lt;&gt;"Yes"),"",IF(COUNTIFS('Vault'!$C$6:$C$1005,"Quote",'Vault'!$D$6:$D$1005,L477)&gt;0,"✓","✗ missing"))</f>
        <v/>
      </c>
      <c r="Q477" s="78">
        <f>IF(N477="","",IF(AND(N477="✓",O477="✓",P477="✓"),"✓ Complete","Missing documents"))</f>
        <v/>
      </c>
      <c r="R477" s="79">
        <f>IF(Q477="","",IF(Q477="✓ Complete",0,1))</f>
        <v/>
      </c>
    </row>
    <row r="478" ht="20" customHeight="1">
      <c r="B478" s="72" t="n"/>
      <c r="C478" s="72" t="n"/>
      <c r="D478" s="72" t="n"/>
      <c r="E478" s="72" t="n"/>
      <c r="F478" s="72" t="n"/>
      <c r="G478" s="109" t="n"/>
      <c r="H478" s="72" t="n"/>
      <c r="I478" s="78">
        <f>IF(H478="","",HYPERLINK(H478,"Open ↗"))</f>
        <v/>
      </c>
      <c r="J478" s="72" t="n"/>
      <c r="L478" s="116">
        <f>IF('Contractors'!B478="","",'Contractors'!B478)</f>
        <v/>
      </c>
      <c r="M478" s="78">
        <f>IF(L478="","",'Contractors'!L478)</f>
        <v/>
      </c>
      <c r="N478" s="78">
        <f>IF(OR(L478="",M478&lt;&gt;"Yes"),"",IF(COUNTIFS('Vault'!$C$6:$C$1005,"Contract",'Vault'!$D$6:$D$1005,L478)&gt;0,"✓","✗ missing"))</f>
        <v/>
      </c>
      <c r="O478" s="78">
        <f>IF(OR(L478="",M478&lt;&gt;"Yes"),"",IF(COUNTIFS('Vault'!$C$6:$C$1005,"Insurance",'Vault'!$D$6:$D$1005,L478)&gt;0,"✓","✗ missing"))</f>
        <v/>
      </c>
      <c r="P478" s="78">
        <f>IF(OR(L478="",M478&lt;&gt;"Yes"),"",IF(COUNTIFS('Vault'!$C$6:$C$1005,"Quote",'Vault'!$D$6:$D$1005,L478)&gt;0,"✓","✗ missing"))</f>
        <v/>
      </c>
      <c r="Q478" s="78">
        <f>IF(N478="","",IF(AND(N478="✓",O478="✓",P478="✓"),"✓ Complete","Missing documents"))</f>
        <v/>
      </c>
      <c r="R478" s="79">
        <f>IF(Q478="","",IF(Q478="✓ Complete",0,1))</f>
        <v/>
      </c>
    </row>
    <row r="479" ht="20" customHeight="1">
      <c r="B479" s="72" t="n"/>
      <c r="C479" s="72" t="n"/>
      <c r="D479" s="72" t="n"/>
      <c r="E479" s="72" t="n"/>
      <c r="F479" s="72" t="n"/>
      <c r="G479" s="109" t="n"/>
      <c r="H479" s="72" t="n"/>
      <c r="I479" s="78">
        <f>IF(H479="","",HYPERLINK(H479,"Open ↗"))</f>
        <v/>
      </c>
      <c r="J479" s="72" t="n"/>
      <c r="L479" s="116">
        <f>IF('Contractors'!B479="","",'Contractors'!B479)</f>
        <v/>
      </c>
      <c r="M479" s="78">
        <f>IF(L479="","",'Contractors'!L479)</f>
        <v/>
      </c>
      <c r="N479" s="78">
        <f>IF(OR(L479="",M479&lt;&gt;"Yes"),"",IF(COUNTIFS('Vault'!$C$6:$C$1005,"Contract",'Vault'!$D$6:$D$1005,L479)&gt;0,"✓","✗ missing"))</f>
        <v/>
      </c>
      <c r="O479" s="78">
        <f>IF(OR(L479="",M479&lt;&gt;"Yes"),"",IF(COUNTIFS('Vault'!$C$6:$C$1005,"Insurance",'Vault'!$D$6:$D$1005,L479)&gt;0,"✓","✗ missing"))</f>
        <v/>
      </c>
      <c r="P479" s="78">
        <f>IF(OR(L479="",M479&lt;&gt;"Yes"),"",IF(COUNTIFS('Vault'!$C$6:$C$1005,"Quote",'Vault'!$D$6:$D$1005,L479)&gt;0,"✓","✗ missing"))</f>
        <v/>
      </c>
      <c r="Q479" s="78">
        <f>IF(N479="","",IF(AND(N479="✓",O479="✓",P479="✓"),"✓ Complete","Missing documents"))</f>
        <v/>
      </c>
      <c r="R479" s="79">
        <f>IF(Q479="","",IF(Q479="✓ Complete",0,1))</f>
        <v/>
      </c>
    </row>
    <row r="480" ht="20" customHeight="1">
      <c r="B480" s="72" t="n"/>
      <c r="C480" s="72" t="n"/>
      <c r="D480" s="72" t="n"/>
      <c r="E480" s="72" t="n"/>
      <c r="F480" s="72" t="n"/>
      <c r="G480" s="109" t="n"/>
      <c r="H480" s="72" t="n"/>
      <c r="I480" s="78">
        <f>IF(H480="","",HYPERLINK(H480,"Open ↗"))</f>
        <v/>
      </c>
      <c r="J480" s="72" t="n"/>
      <c r="L480" s="116">
        <f>IF('Contractors'!B480="","",'Contractors'!B480)</f>
        <v/>
      </c>
      <c r="M480" s="78">
        <f>IF(L480="","",'Contractors'!L480)</f>
        <v/>
      </c>
      <c r="N480" s="78">
        <f>IF(OR(L480="",M480&lt;&gt;"Yes"),"",IF(COUNTIFS('Vault'!$C$6:$C$1005,"Contract",'Vault'!$D$6:$D$1005,L480)&gt;0,"✓","✗ missing"))</f>
        <v/>
      </c>
      <c r="O480" s="78">
        <f>IF(OR(L480="",M480&lt;&gt;"Yes"),"",IF(COUNTIFS('Vault'!$C$6:$C$1005,"Insurance",'Vault'!$D$6:$D$1005,L480)&gt;0,"✓","✗ missing"))</f>
        <v/>
      </c>
      <c r="P480" s="78">
        <f>IF(OR(L480="",M480&lt;&gt;"Yes"),"",IF(COUNTIFS('Vault'!$C$6:$C$1005,"Quote",'Vault'!$D$6:$D$1005,L480)&gt;0,"✓","✗ missing"))</f>
        <v/>
      </c>
      <c r="Q480" s="78">
        <f>IF(N480="","",IF(AND(N480="✓",O480="✓",P480="✓"),"✓ Complete","Missing documents"))</f>
        <v/>
      </c>
      <c r="R480" s="79">
        <f>IF(Q480="","",IF(Q480="✓ Complete",0,1))</f>
        <v/>
      </c>
    </row>
    <row r="481" ht="20" customHeight="1">
      <c r="B481" s="72" t="n"/>
      <c r="C481" s="72" t="n"/>
      <c r="D481" s="72" t="n"/>
      <c r="E481" s="72" t="n"/>
      <c r="F481" s="72" t="n"/>
      <c r="G481" s="109" t="n"/>
      <c r="H481" s="72" t="n"/>
      <c r="I481" s="78">
        <f>IF(H481="","",HYPERLINK(H481,"Open ↗"))</f>
        <v/>
      </c>
      <c r="J481" s="72" t="n"/>
      <c r="L481" s="116">
        <f>IF('Contractors'!B481="","",'Contractors'!B481)</f>
        <v/>
      </c>
      <c r="M481" s="78">
        <f>IF(L481="","",'Contractors'!L481)</f>
        <v/>
      </c>
      <c r="N481" s="78">
        <f>IF(OR(L481="",M481&lt;&gt;"Yes"),"",IF(COUNTIFS('Vault'!$C$6:$C$1005,"Contract",'Vault'!$D$6:$D$1005,L481)&gt;0,"✓","✗ missing"))</f>
        <v/>
      </c>
      <c r="O481" s="78">
        <f>IF(OR(L481="",M481&lt;&gt;"Yes"),"",IF(COUNTIFS('Vault'!$C$6:$C$1005,"Insurance",'Vault'!$D$6:$D$1005,L481)&gt;0,"✓","✗ missing"))</f>
        <v/>
      </c>
      <c r="P481" s="78">
        <f>IF(OR(L481="",M481&lt;&gt;"Yes"),"",IF(COUNTIFS('Vault'!$C$6:$C$1005,"Quote",'Vault'!$D$6:$D$1005,L481)&gt;0,"✓","✗ missing"))</f>
        <v/>
      </c>
      <c r="Q481" s="78">
        <f>IF(N481="","",IF(AND(N481="✓",O481="✓",P481="✓"),"✓ Complete","Missing documents"))</f>
        <v/>
      </c>
      <c r="R481" s="79">
        <f>IF(Q481="","",IF(Q481="✓ Complete",0,1))</f>
        <v/>
      </c>
    </row>
    <row r="482" ht="20" customHeight="1">
      <c r="B482" s="72" t="n"/>
      <c r="C482" s="72" t="n"/>
      <c r="D482" s="72" t="n"/>
      <c r="E482" s="72" t="n"/>
      <c r="F482" s="72" t="n"/>
      <c r="G482" s="109" t="n"/>
      <c r="H482" s="72" t="n"/>
      <c r="I482" s="78">
        <f>IF(H482="","",HYPERLINK(H482,"Open ↗"))</f>
        <v/>
      </c>
      <c r="J482" s="72" t="n"/>
      <c r="L482" s="116">
        <f>IF('Contractors'!B482="","",'Contractors'!B482)</f>
        <v/>
      </c>
      <c r="M482" s="78">
        <f>IF(L482="","",'Contractors'!L482)</f>
        <v/>
      </c>
      <c r="N482" s="78">
        <f>IF(OR(L482="",M482&lt;&gt;"Yes"),"",IF(COUNTIFS('Vault'!$C$6:$C$1005,"Contract",'Vault'!$D$6:$D$1005,L482)&gt;0,"✓","✗ missing"))</f>
        <v/>
      </c>
      <c r="O482" s="78">
        <f>IF(OR(L482="",M482&lt;&gt;"Yes"),"",IF(COUNTIFS('Vault'!$C$6:$C$1005,"Insurance",'Vault'!$D$6:$D$1005,L482)&gt;0,"✓","✗ missing"))</f>
        <v/>
      </c>
      <c r="P482" s="78">
        <f>IF(OR(L482="",M482&lt;&gt;"Yes"),"",IF(COUNTIFS('Vault'!$C$6:$C$1005,"Quote",'Vault'!$D$6:$D$1005,L482)&gt;0,"✓","✗ missing"))</f>
        <v/>
      </c>
      <c r="Q482" s="78">
        <f>IF(N482="","",IF(AND(N482="✓",O482="✓",P482="✓"),"✓ Complete","Missing documents"))</f>
        <v/>
      </c>
      <c r="R482" s="79">
        <f>IF(Q482="","",IF(Q482="✓ Complete",0,1))</f>
        <v/>
      </c>
    </row>
    <row r="483" ht="20" customHeight="1">
      <c r="B483" s="72" t="n"/>
      <c r="C483" s="72" t="n"/>
      <c r="D483" s="72" t="n"/>
      <c r="E483" s="72" t="n"/>
      <c r="F483" s="72" t="n"/>
      <c r="G483" s="109" t="n"/>
      <c r="H483" s="72" t="n"/>
      <c r="I483" s="78">
        <f>IF(H483="","",HYPERLINK(H483,"Open ↗"))</f>
        <v/>
      </c>
      <c r="J483" s="72" t="n"/>
      <c r="L483" s="116">
        <f>IF('Contractors'!B483="","",'Contractors'!B483)</f>
        <v/>
      </c>
      <c r="M483" s="78">
        <f>IF(L483="","",'Contractors'!L483)</f>
        <v/>
      </c>
      <c r="N483" s="78">
        <f>IF(OR(L483="",M483&lt;&gt;"Yes"),"",IF(COUNTIFS('Vault'!$C$6:$C$1005,"Contract",'Vault'!$D$6:$D$1005,L483)&gt;0,"✓","✗ missing"))</f>
        <v/>
      </c>
      <c r="O483" s="78">
        <f>IF(OR(L483="",M483&lt;&gt;"Yes"),"",IF(COUNTIFS('Vault'!$C$6:$C$1005,"Insurance",'Vault'!$D$6:$D$1005,L483)&gt;0,"✓","✗ missing"))</f>
        <v/>
      </c>
      <c r="P483" s="78">
        <f>IF(OR(L483="",M483&lt;&gt;"Yes"),"",IF(COUNTIFS('Vault'!$C$6:$C$1005,"Quote",'Vault'!$D$6:$D$1005,L483)&gt;0,"✓","✗ missing"))</f>
        <v/>
      </c>
      <c r="Q483" s="78">
        <f>IF(N483="","",IF(AND(N483="✓",O483="✓",P483="✓"),"✓ Complete","Missing documents"))</f>
        <v/>
      </c>
      <c r="R483" s="79">
        <f>IF(Q483="","",IF(Q483="✓ Complete",0,1))</f>
        <v/>
      </c>
    </row>
    <row r="484" ht="20" customHeight="1">
      <c r="B484" s="72" t="n"/>
      <c r="C484" s="72" t="n"/>
      <c r="D484" s="72" t="n"/>
      <c r="E484" s="72" t="n"/>
      <c r="F484" s="72" t="n"/>
      <c r="G484" s="109" t="n"/>
      <c r="H484" s="72" t="n"/>
      <c r="I484" s="78">
        <f>IF(H484="","",HYPERLINK(H484,"Open ↗"))</f>
        <v/>
      </c>
      <c r="J484" s="72" t="n"/>
      <c r="L484" s="116">
        <f>IF('Contractors'!B484="","",'Contractors'!B484)</f>
        <v/>
      </c>
      <c r="M484" s="78">
        <f>IF(L484="","",'Contractors'!L484)</f>
        <v/>
      </c>
      <c r="N484" s="78">
        <f>IF(OR(L484="",M484&lt;&gt;"Yes"),"",IF(COUNTIFS('Vault'!$C$6:$C$1005,"Contract",'Vault'!$D$6:$D$1005,L484)&gt;0,"✓","✗ missing"))</f>
        <v/>
      </c>
      <c r="O484" s="78">
        <f>IF(OR(L484="",M484&lt;&gt;"Yes"),"",IF(COUNTIFS('Vault'!$C$6:$C$1005,"Insurance",'Vault'!$D$6:$D$1005,L484)&gt;0,"✓","✗ missing"))</f>
        <v/>
      </c>
      <c r="P484" s="78">
        <f>IF(OR(L484="",M484&lt;&gt;"Yes"),"",IF(COUNTIFS('Vault'!$C$6:$C$1005,"Quote",'Vault'!$D$6:$D$1005,L484)&gt;0,"✓","✗ missing"))</f>
        <v/>
      </c>
      <c r="Q484" s="78">
        <f>IF(N484="","",IF(AND(N484="✓",O484="✓",P484="✓"),"✓ Complete","Missing documents"))</f>
        <v/>
      </c>
      <c r="R484" s="79">
        <f>IF(Q484="","",IF(Q484="✓ Complete",0,1))</f>
        <v/>
      </c>
    </row>
    <row r="485" ht="20" customHeight="1">
      <c r="B485" s="72" t="n"/>
      <c r="C485" s="72" t="n"/>
      <c r="D485" s="72" t="n"/>
      <c r="E485" s="72" t="n"/>
      <c r="F485" s="72" t="n"/>
      <c r="G485" s="109" t="n"/>
      <c r="H485" s="72" t="n"/>
      <c r="I485" s="78">
        <f>IF(H485="","",HYPERLINK(H485,"Open ↗"))</f>
        <v/>
      </c>
      <c r="J485" s="72" t="n"/>
      <c r="L485" s="116">
        <f>IF('Contractors'!B485="","",'Contractors'!B485)</f>
        <v/>
      </c>
      <c r="M485" s="78">
        <f>IF(L485="","",'Contractors'!L485)</f>
        <v/>
      </c>
      <c r="N485" s="78">
        <f>IF(OR(L485="",M485&lt;&gt;"Yes"),"",IF(COUNTIFS('Vault'!$C$6:$C$1005,"Contract",'Vault'!$D$6:$D$1005,L485)&gt;0,"✓","✗ missing"))</f>
        <v/>
      </c>
      <c r="O485" s="78">
        <f>IF(OR(L485="",M485&lt;&gt;"Yes"),"",IF(COUNTIFS('Vault'!$C$6:$C$1005,"Insurance",'Vault'!$D$6:$D$1005,L485)&gt;0,"✓","✗ missing"))</f>
        <v/>
      </c>
      <c r="P485" s="78">
        <f>IF(OR(L485="",M485&lt;&gt;"Yes"),"",IF(COUNTIFS('Vault'!$C$6:$C$1005,"Quote",'Vault'!$D$6:$D$1005,L485)&gt;0,"✓","✗ missing"))</f>
        <v/>
      </c>
      <c r="Q485" s="78">
        <f>IF(N485="","",IF(AND(N485="✓",O485="✓",P485="✓"),"✓ Complete","Missing documents"))</f>
        <v/>
      </c>
      <c r="R485" s="79">
        <f>IF(Q485="","",IF(Q485="✓ Complete",0,1))</f>
        <v/>
      </c>
    </row>
    <row r="486" ht="20" customHeight="1">
      <c r="B486" s="72" t="n"/>
      <c r="C486" s="72" t="n"/>
      <c r="D486" s="72" t="n"/>
      <c r="E486" s="72" t="n"/>
      <c r="F486" s="72" t="n"/>
      <c r="G486" s="109" t="n"/>
      <c r="H486" s="72" t="n"/>
      <c r="I486" s="78">
        <f>IF(H486="","",HYPERLINK(H486,"Open ↗"))</f>
        <v/>
      </c>
      <c r="J486" s="72" t="n"/>
      <c r="L486" s="116">
        <f>IF('Contractors'!B486="","",'Contractors'!B486)</f>
        <v/>
      </c>
      <c r="M486" s="78">
        <f>IF(L486="","",'Contractors'!L486)</f>
        <v/>
      </c>
      <c r="N486" s="78">
        <f>IF(OR(L486="",M486&lt;&gt;"Yes"),"",IF(COUNTIFS('Vault'!$C$6:$C$1005,"Contract",'Vault'!$D$6:$D$1005,L486)&gt;0,"✓","✗ missing"))</f>
        <v/>
      </c>
      <c r="O486" s="78">
        <f>IF(OR(L486="",M486&lt;&gt;"Yes"),"",IF(COUNTIFS('Vault'!$C$6:$C$1005,"Insurance",'Vault'!$D$6:$D$1005,L486)&gt;0,"✓","✗ missing"))</f>
        <v/>
      </c>
      <c r="P486" s="78">
        <f>IF(OR(L486="",M486&lt;&gt;"Yes"),"",IF(COUNTIFS('Vault'!$C$6:$C$1005,"Quote",'Vault'!$D$6:$D$1005,L486)&gt;0,"✓","✗ missing"))</f>
        <v/>
      </c>
      <c r="Q486" s="78">
        <f>IF(N486="","",IF(AND(N486="✓",O486="✓",P486="✓"),"✓ Complete","Missing documents"))</f>
        <v/>
      </c>
      <c r="R486" s="79">
        <f>IF(Q486="","",IF(Q486="✓ Complete",0,1))</f>
        <v/>
      </c>
    </row>
    <row r="487" ht="20" customHeight="1">
      <c r="B487" s="72" t="n"/>
      <c r="C487" s="72" t="n"/>
      <c r="D487" s="72" t="n"/>
      <c r="E487" s="72" t="n"/>
      <c r="F487" s="72" t="n"/>
      <c r="G487" s="109" t="n"/>
      <c r="H487" s="72" t="n"/>
      <c r="I487" s="78">
        <f>IF(H487="","",HYPERLINK(H487,"Open ↗"))</f>
        <v/>
      </c>
      <c r="J487" s="72" t="n"/>
      <c r="L487" s="116">
        <f>IF('Contractors'!B487="","",'Contractors'!B487)</f>
        <v/>
      </c>
      <c r="M487" s="78">
        <f>IF(L487="","",'Contractors'!L487)</f>
        <v/>
      </c>
      <c r="N487" s="78">
        <f>IF(OR(L487="",M487&lt;&gt;"Yes"),"",IF(COUNTIFS('Vault'!$C$6:$C$1005,"Contract",'Vault'!$D$6:$D$1005,L487)&gt;0,"✓","✗ missing"))</f>
        <v/>
      </c>
      <c r="O487" s="78">
        <f>IF(OR(L487="",M487&lt;&gt;"Yes"),"",IF(COUNTIFS('Vault'!$C$6:$C$1005,"Insurance",'Vault'!$D$6:$D$1005,L487)&gt;0,"✓","✗ missing"))</f>
        <v/>
      </c>
      <c r="P487" s="78">
        <f>IF(OR(L487="",M487&lt;&gt;"Yes"),"",IF(COUNTIFS('Vault'!$C$6:$C$1005,"Quote",'Vault'!$D$6:$D$1005,L487)&gt;0,"✓","✗ missing"))</f>
        <v/>
      </c>
      <c r="Q487" s="78">
        <f>IF(N487="","",IF(AND(N487="✓",O487="✓",P487="✓"),"✓ Complete","Missing documents"))</f>
        <v/>
      </c>
      <c r="R487" s="79">
        <f>IF(Q487="","",IF(Q487="✓ Complete",0,1))</f>
        <v/>
      </c>
    </row>
    <row r="488" ht="20" customHeight="1">
      <c r="B488" s="72" t="n"/>
      <c r="C488" s="72" t="n"/>
      <c r="D488" s="72" t="n"/>
      <c r="E488" s="72" t="n"/>
      <c r="F488" s="72" t="n"/>
      <c r="G488" s="109" t="n"/>
      <c r="H488" s="72" t="n"/>
      <c r="I488" s="78">
        <f>IF(H488="","",HYPERLINK(H488,"Open ↗"))</f>
        <v/>
      </c>
      <c r="J488" s="72" t="n"/>
      <c r="L488" s="116">
        <f>IF('Contractors'!B488="","",'Contractors'!B488)</f>
        <v/>
      </c>
      <c r="M488" s="78">
        <f>IF(L488="","",'Contractors'!L488)</f>
        <v/>
      </c>
      <c r="N488" s="78">
        <f>IF(OR(L488="",M488&lt;&gt;"Yes"),"",IF(COUNTIFS('Vault'!$C$6:$C$1005,"Contract",'Vault'!$D$6:$D$1005,L488)&gt;0,"✓","✗ missing"))</f>
        <v/>
      </c>
      <c r="O488" s="78">
        <f>IF(OR(L488="",M488&lt;&gt;"Yes"),"",IF(COUNTIFS('Vault'!$C$6:$C$1005,"Insurance",'Vault'!$D$6:$D$1005,L488)&gt;0,"✓","✗ missing"))</f>
        <v/>
      </c>
      <c r="P488" s="78">
        <f>IF(OR(L488="",M488&lt;&gt;"Yes"),"",IF(COUNTIFS('Vault'!$C$6:$C$1005,"Quote",'Vault'!$D$6:$D$1005,L488)&gt;0,"✓","✗ missing"))</f>
        <v/>
      </c>
      <c r="Q488" s="78">
        <f>IF(N488="","",IF(AND(N488="✓",O488="✓",P488="✓"),"✓ Complete","Missing documents"))</f>
        <v/>
      </c>
      <c r="R488" s="79">
        <f>IF(Q488="","",IF(Q488="✓ Complete",0,1))</f>
        <v/>
      </c>
    </row>
    <row r="489" ht="20" customHeight="1">
      <c r="B489" s="72" t="n"/>
      <c r="C489" s="72" t="n"/>
      <c r="D489" s="72" t="n"/>
      <c r="E489" s="72" t="n"/>
      <c r="F489" s="72" t="n"/>
      <c r="G489" s="109" t="n"/>
      <c r="H489" s="72" t="n"/>
      <c r="I489" s="78">
        <f>IF(H489="","",HYPERLINK(H489,"Open ↗"))</f>
        <v/>
      </c>
      <c r="J489" s="72" t="n"/>
      <c r="L489" s="116">
        <f>IF('Contractors'!B489="","",'Contractors'!B489)</f>
        <v/>
      </c>
      <c r="M489" s="78">
        <f>IF(L489="","",'Contractors'!L489)</f>
        <v/>
      </c>
      <c r="N489" s="78">
        <f>IF(OR(L489="",M489&lt;&gt;"Yes"),"",IF(COUNTIFS('Vault'!$C$6:$C$1005,"Contract",'Vault'!$D$6:$D$1005,L489)&gt;0,"✓","✗ missing"))</f>
        <v/>
      </c>
      <c r="O489" s="78">
        <f>IF(OR(L489="",M489&lt;&gt;"Yes"),"",IF(COUNTIFS('Vault'!$C$6:$C$1005,"Insurance",'Vault'!$D$6:$D$1005,L489)&gt;0,"✓","✗ missing"))</f>
        <v/>
      </c>
      <c r="P489" s="78">
        <f>IF(OR(L489="",M489&lt;&gt;"Yes"),"",IF(COUNTIFS('Vault'!$C$6:$C$1005,"Quote",'Vault'!$D$6:$D$1005,L489)&gt;0,"✓","✗ missing"))</f>
        <v/>
      </c>
      <c r="Q489" s="78">
        <f>IF(N489="","",IF(AND(N489="✓",O489="✓",P489="✓"),"✓ Complete","Missing documents"))</f>
        <v/>
      </c>
      <c r="R489" s="79">
        <f>IF(Q489="","",IF(Q489="✓ Complete",0,1))</f>
        <v/>
      </c>
    </row>
    <row r="490" ht="20" customHeight="1">
      <c r="B490" s="72" t="n"/>
      <c r="C490" s="72" t="n"/>
      <c r="D490" s="72" t="n"/>
      <c r="E490" s="72" t="n"/>
      <c r="F490" s="72" t="n"/>
      <c r="G490" s="109" t="n"/>
      <c r="H490" s="72" t="n"/>
      <c r="I490" s="78">
        <f>IF(H490="","",HYPERLINK(H490,"Open ↗"))</f>
        <v/>
      </c>
      <c r="J490" s="72" t="n"/>
      <c r="L490" s="116">
        <f>IF('Contractors'!B490="","",'Contractors'!B490)</f>
        <v/>
      </c>
      <c r="M490" s="78">
        <f>IF(L490="","",'Contractors'!L490)</f>
        <v/>
      </c>
      <c r="N490" s="78">
        <f>IF(OR(L490="",M490&lt;&gt;"Yes"),"",IF(COUNTIFS('Vault'!$C$6:$C$1005,"Contract",'Vault'!$D$6:$D$1005,L490)&gt;0,"✓","✗ missing"))</f>
        <v/>
      </c>
      <c r="O490" s="78">
        <f>IF(OR(L490="",M490&lt;&gt;"Yes"),"",IF(COUNTIFS('Vault'!$C$6:$C$1005,"Insurance",'Vault'!$D$6:$D$1005,L490)&gt;0,"✓","✗ missing"))</f>
        <v/>
      </c>
      <c r="P490" s="78">
        <f>IF(OR(L490="",M490&lt;&gt;"Yes"),"",IF(COUNTIFS('Vault'!$C$6:$C$1005,"Quote",'Vault'!$D$6:$D$1005,L490)&gt;0,"✓","✗ missing"))</f>
        <v/>
      </c>
      <c r="Q490" s="78">
        <f>IF(N490="","",IF(AND(N490="✓",O490="✓",P490="✓"),"✓ Complete","Missing documents"))</f>
        <v/>
      </c>
      <c r="R490" s="79">
        <f>IF(Q490="","",IF(Q490="✓ Complete",0,1))</f>
        <v/>
      </c>
    </row>
    <row r="491" ht="20" customHeight="1">
      <c r="B491" s="72" t="n"/>
      <c r="C491" s="72" t="n"/>
      <c r="D491" s="72" t="n"/>
      <c r="E491" s="72" t="n"/>
      <c r="F491" s="72" t="n"/>
      <c r="G491" s="109" t="n"/>
      <c r="H491" s="72" t="n"/>
      <c r="I491" s="78">
        <f>IF(H491="","",HYPERLINK(H491,"Open ↗"))</f>
        <v/>
      </c>
      <c r="J491" s="72" t="n"/>
      <c r="L491" s="116">
        <f>IF('Contractors'!B491="","",'Contractors'!B491)</f>
        <v/>
      </c>
      <c r="M491" s="78">
        <f>IF(L491="","",'Contractors'!L491)</f>
        <v/>
      </c>
      <c r="N491" s="78">
        <f>IF(OR(L491="",M491&lt;&gt;"Yes"),"",IF(COUNTIFS('Vault'!$C$6:$C$1005,"Contract",'Vault'!$D$6:$D$1005,L491)&gt;0,"✓","✗ missing"))</f>
        <v/>
      </c>
      <c r="O491" s="78">
        <f>IF(OR(L491="",M491&lt;&gt;"Yes"),"",IF(COUNTIFS('Vault'!$C$6:$C$1005,"Insurance",'Vault'!$D$6:$D$1005,L491)&gt;0,"✓","✗ missing"))</f>
        <v/>
      </c>
      <c r="P491" s="78">
        <f>IF(OR(L491="",M491&lt;&gt;"Yes"),"",IF(COUNTIFS('Vault'!$C$6:$C$1005,"Quote",'Vault'!$D$6:$D$1005,L491)&gt;0,"✓","✗ missing"))</f>
        <v/>
      </c>
      <c r="Q491" s="78">
        <f>IF(N491="","",IF(AND(N491="✓",O491="✓",P491="✓"),"✓ Complete","Missing documents"))</f>
        <v/>
      </c>
      <c r="R491" s="79">
        <f>IF(Q491="","",IF(Q491="✓ Complete",0,1))</f>
        <v/>
      </c>
    </row>
    <row r="492" ht="20" customHeight="1">
      <c r="B492" s="72" t="n"/>
      <c r="C492" s="72" t="n"/>
      <c r="D492" s="72" t="n"/>
      <c r="E492" s="72" t="n"/>
      <c r="F492" s="72" t="n"/>
      <c r="G492" s="109" t="n"/>
      <c r="H492" s="72" t="n"/>
      <c r="I492" s="78">
        <f>IF(H492="","",HYPERLINK(H492,"Open ↗"))</f>
        <v/>
      </c>
      <c r="J492" s="72" t="n"/>
      <c r="L492" s="116">
        <f>IF('Contractors'!B492="","",'Contractors'!B492)</f>
        <v/>
      </c>
      <c r="M492" s="78">
        <f>IF(L492="","",'Contractors'!L492)</f>
        <v/>
      </c>
      <c r="N492" s="78">
        <f>IF(OR(L492="",M492&lt;&gt;"Yes"),"",IF(COUNTIFS('Vault'!$C$6:$C$1005,"Contract",'Vault'!$D$6:$D$1005,L492)&gt;0,"✓","✗ missing"))</f>
        <v/>
      </c>
      <c r="O492" s="78">
        <f>IF(OR(L492="",M492&lt;&gt;"Yes"),"",IF(COUNTIFS('Vault'!$C$6:$C$1005,"Insurance",'Vault'!$D$6:$D$1005,L492)&gt;0,"✓","✗ missing"))</f>
        <v/>
      </c>
      <c r="P492" s="78">
        <f>IF(OR(L492="",M492&lt;&gt;"Yes"),"",IF(COUNTIFS('Vault'!$C$6:$C$1005,"Quote",'Vault'!$D$6:$D$1005,L492)&gt;0,"✓","✗ missing"))</f>
        <v/>
      </c>
      <c r="Q492" s="78">
        <f>IF(N492="","",IF(AND(N492="✓",O492="✓",P492="✓"),"✓ Complete","Missing documents"))</f>
        <v/>
      </c>
      <c r="R492" s="79">
        <f>IF(Q492="","",IF(Q492="✓ Complete",0,1))</f>
        <v/>
      </c>
    </row>
    <row r="493" ht="20" customHeight="1">
      <c r="B493" s="72" t="n"/>
      <c r="C493" s="72" t="n"/>
      <c r="D493" s="72" t="n"/>
      <c r="E493" s="72" t="n"/>
      <c r="F493" s="72" t="n"/>
      <c r="G493" s="109" t="n"/>
      <c r="H493" s="72" t="n"/>
      <c r="I493" s="78">
        <f>IF(H493="","",HYPERLINK(H493,"Open ↗"))</f>
        <v/>
      </c>
      <c r="J493" s="72" t="n"/>
      <c r="L493" s="116">
        <f>IF('Contractors'!B493="","",'Contractors'!B493)</f>
        <v/>
      </c>
      <c r="M493" s="78">
        <f>IF(L493="","",'Contractors'!L493)</f>
        <v/>
      </c>
      <c r="N493" s="78">
        <f>IF(OR(L493="",M493&lt;&gt;"Yes"),"",IF(COUNTIFS('Vault'!$C$6:$C$1005,"Contract",'Vault'!$D$6:$D$1005,L493)&gt;0,"✓","✗ missing"))</f>
        <v/>
      </c>
      <c r="O493" s="78">
        <f>IF(OR(L493="",M493&lt;&gt;"Yes"),"",IF(COUNTIFS('Vault'!$C$6:$C$1005,"Insurance",'Vault'!$D$6:$D$1005,L493)&gt;0,"✓","✗ missing"))</f>
        <v/>
      </c>
      <c r="P493" s="78">
        <f>IF(OR(L493="",M493&lt;&gt;"Yes"),"",IF(COUNTIFS('Vault'!$C$6:$C$1005,"Quote",'Vault'!$D$6:$D$1005,L493)&gt;0,"✓","✗ missing"))</f>
        <v/>
      </c>
      <c r="Q493" s="78">
        <f>IF(N493="","",IF(AND(N493="✓",O493="✓",P493="✓"),"✓ Complete","Missing documents"))</f>
        <v/>
      </c>
      <c r="R493" s="79">
        <f>IF(Q493="","",IF(Q493="✓ Complete",0,1))</f>
        <v/>
      </c>
    </row>
    <row r="494" ht="20" customHeight="1">
      <c r="B494" s="72" t="n"/>
      <c r="C494" s="72" t="n"/>
      <c r="D494" s="72" t="n"/>
      <c r="E494" s="72" t="n"/>
      <c r="F494" s="72" t="n"/>
      <c r="G494" s="109" t="n"/>
      <c r="H494" s="72" t="n"/>
      <c r="I494" s="78">
        <f>IF(H494="","",HYPERLINK(H494,"Open ↗"))</f>
        <v/>
      </c>
      <c r="J494" s="72" t="n"/>
      <c r="L494" s="116">
        <f>IF('Contractors'!B494="","",'Contractors'!B494)</f>
        <v/>
      </c>
      <c r="M494" s="78">
        <f>IF(L494="","",'Contractors'!L494)</f>
        <v/>
      </c>
      <c r="N494" s="78">
        <f>IF(OR(L494="",M494&lt;&gt;"Yes"),"",IF(COUNTIFS('Vault'!$C$6:$C$1005,"Contract",'Vault'!$D$6:$D$1005,L494)&gt;0,"✓","✗ missing"))</f>
        <v/>
      </c>
      <c r="O494" s="78">
        <f>IF(OR(L494="",M494&lt;&gt;"Yes"),"",IF(COUNTIFS('Vault'!$C$6:$C$1005,"Insurance",'Vault'!$D$6:$D$1005,L494)&gt;0,"✓","✗ missing"))</f>
        <v/>
      </c>
      <c r="P494" s="78">
        <f>IF(OR(L494="",M494&lt;&gt;"Yes"),"",IF(COUNTIFS('Vault'!$C$6:$C$1005,"Quote",'Vault'!$D$6:$D$1005,L494)&gt;0,"✓","✗ missing"))</f>
        <v/>
      </c>
      <c r="Q494" s="78">
        <f>IF(N494="","",IF(AND(N494="✓",O494="✓",P494="✓"),"✓ Complete","Missing documents"))</f>
        <v/>
      </c>
      <c r="R494" s="79">
        <f>IF(Q494="","",IF(Q494="✓ Complete",0,1))</f>
        <v/>
      </c>
    </row>
    <row r="495" ht="20" customHeight="1">
      <c r="B495" s="72" t="n"/>
      <c r="C495" s="72" t="n"/>
      <c r="D495" s="72" t="n"/>
      <c r="E495" s="72" t="n"/>
      <c r="F495" s="72" t="n"/>
      <c r="G495" s="109" t="n"/>
      <c r="H495" s="72" t="n"/>
      <c r="I495" s="78">
        <f>IF(H495="","",HYPERLINK(H495,"Open ↗"))</f>
        <v/>
      </c>
      <c r="J495" s="72" t="n"/>
      <c r="L495" s="116">
        <f>IF('Contractors'!B495="","",'Contractors'!B495)</f>
        <v/>
      </c>
      <c r="M495" s="78">
        <f>IF(L495="","",'Contractors'!L495)</f>
        <v/>
      </c>
      <c r="N495" s="78">
        <f>IF(OR(L495="",M495&lt;&gt;"Yes"),"",IF(COUNTIFS('Vault'!$C$6:$C$1005,"Contract",'Vault'!$D$6:$D$1005,L495)&gt;0,"✓","✗ missing"))</f>
        <v/>
      </c>
      <c r="O495" s="78">
        <f>IF(OR(L495="",M495&lt;&gt;"Yes"),"",IF(COUNTIFS('Vault'!$C$6:$C$1005,"Insurance",'Vault'!$D$6:$D$1005,L495)&gt;0,"✓","✗ missing"))</f>
        <v/>
      </c>
      <c r="P495" s="78">
        <f>IF(OR(L495="",M495&lt;&gt;"Yes"),"",IF(COUNTIFS('Vault'!$C$6:$C$1005,"Quote",'Vault'!$D$6:$D$1005,L495)&gt;0,"✓","✗ missing"))</f>
        <v/>
      </c>
      <c r="Q495" s="78">
        <f>IF(N495="","",IF(AND(N495="✓",O495="✓",P495="✓"),"✓ Complete","Missing documents"))</f>
        <v/>
      </c>
      <c r="R495" s="79">
        <f>IF(Q495="","",IF(Q495="✓ Complete",0,1))</f>
        <v/>
      </c>
    </row>
    <row r="496" ht="20" customHeight="1">
      <c r="B496" s="72" t="n"/>
      <c r="C496" s="72" t="n"/>
      <c r="D496" s="72" t="n"/>
      <c r="E496" s="72" t="n"/>
      <c r="F496" s="72" t="n"/>
      <c r="G496" s="109" t="n"/>
      <c r="H496" s="72" t="n"/>
      <c r="I496" s="78">
        <f>IF(H496="","",HYPERLINK(H496,"Open ↗"))</f>
        <v/>
      </c>
      <c r="J496" s="72" t="n"/>
      <c r="L496" s="116">
        <f>IF('Contractors'!B496="","",'Contractors'!B496)</f>
        <v/>
      </c>
      <c r="M496" s="78">
        <f>IF(L496="","",'Contractors'!L496)</f>
        <v/>
      </c>
      <c r="N496" s="78">
        <f>IF(OR(L496="",M496&lt;&gt;"Yes"),"",IF(COUNTIFS('Vault'!$C$6:$C$1005,"Contract",'Vault'!$D$6:$D$1005,L496)&gt;0,"✓","✗ missing"))</f>
        <v/>
      </c>
      <c r="O496" s="78">
        <f>IF(OR(L496="",M496&lt;&gt;"Yes"),"",IF(COUNTIFS('Vault'!$C$6:$C$1005,"Insurance",'Vault'!$D$6:$D$1005,L496)&gt;0,"✓","✗ missing"))</f>
        <v/>
      </c>
      <c r="P496" s="78">
        <f>IF(OR(L496="",M496&lt;&gt;"Yes"),"",IF(COUNTIFS('Vault'!$C$6:$C$1005,"Quote",'Vault'!$D$6:$D$1005,L496)&gt;0,"✓","✗ missing"))</f>
        <v/>
      </c>
      <c r="Q496" s="78">
        <f>IF(N496="","",IF(AND(N496="✓",O496="✓",P496="✓"),"✓ Complete","Missing documents"))</f>
        <v/>
      </c>
      <c r="R496" s="79">
        <f>IF(Q496="","",IF(Q496="✓ Complete",0,1))</f>
        <v/>
      </c>
    </row>
    <row r="497" ht="20" customHeight="1">
      <c r="B497" s="72" t="n"/>
      <c r="C497" s="72" t="n"/>
      <c r="D497" s="72" t="n"/>
      <c r="E497" s="72" t="n"/>
      <c r="F497" s="72" t="n"/>
      <c r="G497" s="109" t="n"/>
      <c r="H497" s="72" t="n"/>
      <c r="I497" s="78">
        <f>IF(H497="","",HYPERLINK(H497,"Open ↗"))</f>
        <v/>
      </c>
      <c r="J497" s="72" t="n"/>
      <c r="L497" s="116">
        <f>IF('Contractors'!B497="","",'Contractors'!B497)</f>
        <v/>
      </c>
      <c r="M497" s="78">
        <f>IF(L497="","",'Contractors'!L497)</f>
        <v/>
      </c>
      <c r="N497" s="78">
        <f>IF(OR(L497="",M497&lt;&gt;"Yes"),"",IF(COUNTIFS('Vault'!$C$6:$C$1005,"Contract",'Vault'!$D$6:$D$1005,L497)&gt;0,"✓","✗ missing"))</f>
        <v/>
      </c>
      <c r="O497" s="78">
        <f>IF(OR(L497="",M497&lt;&gt;"Yes"),"",IF(COUNTIFS('Vault'!$C$6:$C$1005,"Insurance",'Vault'!$D$6:$D$1005,L497)&gt;0,"✓","✗ missing"))</f>
        <v/>
      </c>
      <c r="P497" s="78">
        <f>IF(OR(L497="",M497&lt;&gt;"Yes"),"",IF(COUNTIFS('Vault'!$C$6:$C$1005,"Quote",'Vault'!$D$6:$D$1005,L497)&gt;0,"✓","✗ missing"))</f>
        <v/>
      </c>
      <c r="Q497" s="78">
        <f>IF(N497="","",IF(AND(N497="✓",O497="✓",P497="✓"),"✓ Complete","Missing documents"))</f>
        <v/>
      </c>
      <c r="R497" s="79">
        <f>IF(Q497="","",IF(Q497="✓ Complete",0,1))</f>
        <v/>
      </c>
    </row>
    <row r="498" ht="20" customHeight="1">
      <c r="B498" s="72" t="n"/>
      <c r="C498" s="72" t="n"/>
      <c r="D498" s="72" t="n"/>
      <c r="E498" s="72" t="n"/>
      <c r="F498" s="72" t="n"/>
      <c r="G498" s="109" t="n"/>
      <c r="H498" s="72" t="n"/>
      <c r="I498" s="78">
        <f>IF(H498="","",HYPERLINK(H498,"Open ↗"))</f>
        <v/>
      </c>
      <c r="J498" s="72" t="n"/>
      <c r="L498" s="116">
        <f>IF('Contractors'!B498="","",'Contractors'!B498)</f>
        <v/>
      </c>
      <c r="M498" s="78">
        <f>IF(L498="","",'Contractors'!L498)</f>
        <v/>
      </c>
      <c r="N498" s="78">
        <f>IF(OR(L498="",M498&lt;&gt;"Yes"),"",IF(COUNTIFS('Vault'!$C$6:$C$1005,"Contract",'Vault'!$D$6:$D$1005,L498)&gt;0,"✓","✗ missing"))</f>
        <v/>
      </c>
      <c r="O498" s="78">
        <f>IF(OR(L498="",M498&lt;&gt;"Yes"),"",IF(COUNTIFS('Vault'!$C$6:$C$1005,"Insurance",'Vault'!$D$6:$D$1005,L498)&gt;0,"✓","✗ missing"))</f>
        <v/>
      </c>
      <c r="P498" s="78">
        <f>IF(OR(L498="",M498&lt;&gt;"Yes"),"",IF(COUNTIFS('Vault'!$C$6:$C$1005,"Quote",'Vault'!$D$6:$D$1005,L498)&gt;0,"✓","✗ missing"))</f>
        <v/>
      </c>
      <c r="Q498" s="78">
        <f>IF(N498="","",IF(AND(N498="✓",O498="✓",P498="✓"),"✓ Complete","Missing documents"))</f>
        <v/>
      </c>
      <c r="R498" s="79">
        <f>IF(Q498="","",IF(Q498="✓ Complete",0,1))</f>
        <v/>
      </c>
    </row>
    <row r="499" ht="20" customHeight="1">
      <c r="B499" s="72" t="n"/>
      <c r="C499" s="72" t="n"/>
      <c r="D499" s="72" t="n"/>
      <c r="E499" s="72" t="n"/>
      <c r="F499" s="72" t="n"/>
      <c r="G499" s="109" t="n"/>
      <c r="H499" s="72" t="n"/>
      <c r="I499" s="78">
        <f>IF(H499="","",HYPERLINK(H499,"Open ↗"))</f>
        <v/>
      </c>
      <c r="J499" s="72" t="n"/>
      <c r="L499" s="116">
        <f>IF('Contractors'!B499="","",'Contractors'!B499)</f>
        <v/>
      </c>
      <c r="M499" s="78">
        <f>IF(L499="","",'Contractors'!L499)</f>
        <v/>
      </c>
      <c r="N499" s="78">
        <f>IF(OR(L499="",M499&lt;&gt;"Yes"),"",IF(COUNTIFS('Vault'!$C$6:$C$1005,"Contract",'Vault'!$D$6:$D$1005,L499)&gt;0,"✓","✗ missing"))</f>
        <v/>
      </c>
      <c r="O499" s="78">
        <f>IF(OR(L499="",M499&lt;&gt;"Yes"),"",IF(COUNTIFS('Vault'!$C$6:$C$1005,"Insurance",'Vault'!$D$6:$D$1005,L499)&gt;0,"✓","✗ missing"))</f>
        <v/>
      </c>
      <c r="P499" s="78">
        <f>IF(OR(L499="",M499&lt;&gt;"Yes"),"",IF(COUNTIFS('Vault'!$C$6:$C$1005,"Quote",'Vault'!$D$6:$D$1005,L499)&gt;0,"✓","✗ missing"))</f>
        <v/>
      </c>
      <c r="Q499" s="78">
        <f>IF(N499="","",IF(AND(N499="✓",O499="✓",P499="✓"),"✓ Complete","Missing documents"))</f>
        <v/>
      </c>
      <c r="R499" s="79">
        <f>IF(Q499="","",IF(Q499="✓ Complete",0,1))</f>
        <v/>
      </c>
    </row>
    <row r="500" ht="20" customHeight="1">
      <c r="B500" s="72" t="n"/>
      <c r="C500" s="72" t="n"/>
      <c r="D500" s="72" t="n"/>
      <c r="E500" s="72" t="n"/>
      <c r="F500" s="72" t="n"/>
      <c r="G500" s="109" t="n"/>
      <c r="H500" s="72" t="n"/>
      <c r="I500" s="78">
        <f>IF(H500="","",HYPERLINK(H500,"Open ↗"))</f>
        <v/>
      </c>
      <c r="J500" s="72" t="n"/>
      <c r="L500" s="116">
        <f>IF('Contractors'!B500="","",'Contractors'!B500)</f>
        <v/>
      </c>
      <c r="M500" s="78">
        <f>IF(L500="","",'Contractors'!L500)</f>
        <v/>
      </c>
      <c r="N500" s="78">
        <f>IF(OR(L500="",M500&lt;&gt;"Yes"),"",IF(COUNTIFS('Vault'!$C$6:$C$1005,"Contract",'Vault'!$D$6:$D$1005,L500)&gt;0,"✓","✗ missing"))</f>
        <v/>
      </c>
      <c r="O500" s="78">
        <f>IF(OR(L500="",M500&lt;&gt;"Yes"),"",IF(COUNTIFS('Vault'!$C$6:$C$1005,"Insurance",'Vault'!$D$6:$D$1005,L500)&gt;0,"✓","✗ missing"))</f>
        <v/>
      </c>
      <c r="P500" s="78">
        <f>IF(OR(L500="",M500&lt;&gt;"Yes"),"",IF(COUNTIFS('Vault'!$C$6:$C$1005,"Quote",'Vault'!$D$6:$D$1005,L500)&gt;0,"✓","✗ missing"))</f>
        <v/>
      </c>
      <c r="Q500" s="78">
        <f>IF(N500="","",IF(AND(N500="✓",O500="✓",P500="✓"),"✓ Complete","Missing documents"))</f>
        <v/>
      </c>
      <c r="R500" s="79">
        <f>IF(Q500="","",IF(Q500="✓ Complete",0,1))</f>
        <v/>
      </c>
    </row>
    <row r="501" ht="20" customHeight="1">
      <c r="B501" s="72" t="n"/>
      <c r="C501" s="72" t="n"/>
      <c r="D501" s="72" t="n"/>
      <c r="E501" s="72" t="n"/>
      <c r="F501" s="72" t="n"/>
      <c r="G501" s="109" t="n"/>
      <c r="H501" s="72" t="n"/>
      <c r="I501" s="78">
        <f>IF(H501="","",HYPERLINK(H501,"Open ↗"))</f>
        <v/>
      </c>
      <c r="J501" s="72" t="n"/>
      <c r="L501" s="116">
        <f>IF('Contractors'!B501="","",'Contractors'!B501)</f>
        <v/>
      </c>
      <c r="M501" s="78">
        <f>IF(L501="","",'Contractors'!L501)</f>
        <v/>
      </c>
      <c r="N501" s="78">
        <f>IF(OR(L501="",M501&lt;&gt;"Yes"),"",IF(COUNTIFS('Vault'!$C$6:$C$1005,"Contract",'Vault'!$D$6:$D$1005,L501)&gt;0,"✓","✗ missing"))</f>
        <v/>
      </c>
      <c r="O501" s="78">
        <f>IF(OR(L501="",M501&lt;&gt;"Yes"),"",IF(COUNTIFS('Vault'!$C$6:$C$1005,"Insurance",'Vault'!$D$6:$D$1005,L501)&gt;0,"✓","✗ missing"))</f>
        <v/>
      </c>
      <c r="P501" s="78">
        <f>IF(OR(L501="",M501&lt;&gt;"Yes"),"",IF(COUNTIFS('Vault'!$C$6:$C$1005,"Quote",'Vault'!$D$6:$D$1005,L501)&gt;0,"✓","✗ missing"))</f>
        <v/>
      </c>
      <c r="Q501" s="78">
        <f>IF(N501="","",IF(AND(N501="✓",O501="✓",P501="✓"),"✓ Complete","Missing documents"))</f>
        <v/>
      </c>
      <c r="R501" s="79">
        <f>IF(Q501="","",IF(Q501="✓ Complete",0,1))</f>
        <v/>
      </c>
    </row>
    <row r="502" ht="20" customHeight="1">
      <c r="B502" s="72" t="n"/>
      <c r="C502" s="72" t="n"/>
      <c r="D502" s="72" t="n"/>
      <c r="E502" s="72" t="n"/>
      <c r="F502" s="72" t="n"/>
      <c r="G502" s="109" t="n"/>
      <c r="H502" s="72" t="n"/>
      <c r="I502" s="78">
        <f>IF(H502="","",HYPERLINK(H502,"Open ↗"))</f>
        <v/>
      </c>
      <c r="J502" s="72" t="n"/>
      <c r="L502" s="116">
        <f>IF('Contractors'!B502="","",'Contractors'!B502)</f>
        <v/>
      </c>
      <c r="M502" s="78">
        <f>IF(L502="","",'Contractors'!L502)</f>
        <v/>
      </c>
      <c r="N502" s="78">
        <f>IF(OR(L502="",M502&lt;&gt;"Yes"),"",IF(COUNTIFS('Vault'!$C$6:$C$1005,"Contract",'Vault'!$D$6:$D$1005,L502)&gt;0,"✓","✗ missing"))</f>
        <v/>
      </c>
      <c r="O502" s="78">
        <f>IF(OR(L502="",M502&lt;&gt;"Yes"),"",IF(COUNTIFS('Vault'!$C$6:$C$1005,"Insurance",'Vault'!$D$6:$D$1005,L502)&gt;0,"✓","✗ missing"))</f>
        <v/>
      </c>
      <c r="P502" s="78">
        <f>IF(OR(L502="",M502&lt;&gt;"Yes"),"",IF(COUNTIFS('Vault'!$C$6:$C$1005,"Quote",'Vault'!$D$6:$D$1005,L502)&gt;0,"✓","✗ missing"))</f>
        <v/>
      </c>
      <c r="Q502" s="78">
        <f>IF(N502="","",IF(AND(N502="✓",O502="✓",P502="✓"),"✓ Complete","Missing documents"))</f>
        <v/>
      </c>
      <c r="R502" s="79">
        <f>IF(Q502="","",IF(Q502="✓ Complete",0,1))</f>
        <v/>
      </c>
    </row>
    <row r="503" ht="20" customHeight="1">
      <c r="B503" s="72" t="n"/>
      <c r="C503" s="72" t="n"/>
      <c r="D503" s="72" t="n"/>
      <c r="E503" s="72" t="n"/>
      <c r="F503" s="72" t="n"/>
      <c r="G503" s="109" t="n"/>
      <c r="H503" s="72" t="n"/>
      <c r="I503" s="78">
        <f>IF(H503="","",HYPERLINK(H503,"Open ↗"))</f>
        <v/>
      </c>
      <c r="J503" s="72" t="n"/>
      <c r="L503" s="116">
        <f>IF('Contractors'!B503="","",'Contractors'!B503)</f>
        <v/>
      </c>
      <c r="M503" s="78">
        <f>IF(L503="","",'Contractors'!L503)</f>
        <v/>
      </c>
      <c r="N503" s="78">
        <f>IF(OR(L503="",M503&lt;&gt;"Yes"),"",IF(COUNTIFS('Vault'!$C$6:$C$1005,"Contract",'Vault'!$D$6:$D$1005,L503)&gt;0,"✓","✗ missing"))</f>
        <v/>
      </c>
      <c r="O503" s="78">
        <f>IF(OR(L503="",M503&lt;&gt;"Yes"),"",IF(COUNTIFS('Vault'!$C$6:$C$1005,"Insurance",'Vault'!$D$6:$D$1005,L503)&gt;0,"✓","✗ missing"))</f>
        <v/>
      </c>
      <c r="P503" s="78">
        <f>IF(OR(L503="",M503&lt;&gt;"Yes"),"",IF(COUNTIFS('Vault'!$C$6:$C$1005,"Quote",'Vault'!$D$6:$D$1005,L503)&gt;0,"✓","✗ missing"))</f>
        <v/>
      </c>
      <c r="Q503" s="78">
        <f>IF(N503="","",IF(AND(N503="✓",O503="✓",P503="✓"),"✓ Complete","Missing documents"))</f>
        <v/>
      </c>
      <c r="R503" s="79">
        <f>IF(Q503="","",IF(Q503="✓ Complete",0,1))</f>
        <v/>
      </c>
    </row>
    <row r="504" ht="20" customHeight="1">
      <c r="B504" s="72" t="n"/>
      <c r="C504" s="72" t="n"/>
      <c r="D504" s="72" t="n"/>
      <c r="E504" s="72" t="n"/>
      <c r="F504" s="72" t="n"/>
      <c r="G504" s="109" t="n"/>
      <c r="H504" s="72" t="n"/>
      <c r="I504" s="78">
        <f>IF(H504="","",HYPERLINK(H504,"Open ↗"))</f>
        <v/>
      </c>
      <c r="J504" s="72" t="n"/>
      <c r="L504" s="116">
        <f>IF('Contractors'!B504="","",'Contractors'!B504)</f>
        <v/>
      </c>
      <c r="M504" s="78">
        <f>IF(L504="","",'Contractors'!L504)</f>
        <v/>
      </c>
      <c r="N504" s="78">
        <f>IF(OR(L504="",M504&lt;&gt;"Yes"),"",IF(COUNTIFS('Vault'!$C$6:$C$1005,"Contract",'Vault'!$D$6:$D$1005,L504)&gt;0,"✓","✗ missing"))</f>
        <v/>
      </c>
      <c r="O504" s="78">
        <f>IF(OR(L504="",M504&lt;&gt;"Yes"),"",IF(COUNTIFS('Vault'!$C$6:$C$1005,"Insurance",'Vault'!$D$6:$D$1005,L504)&gt;0,"✓","✗ missing"))</f>
        <v/>
      </c>
      <c r="P504" s="78">
        <f>IF(OR(L504="",M504&lt;&gt;"Yes"),"",IF(COUNTIFS('Vault'!$C$6:$C$1005,"Quote",'Vault'!$D$6:$D$1005,L504)&gt;0,"✓","✗ missing"))</f>
        <v/>
      </c>
      <c r="Q504" s="78">
        <f>IF(N504="","",IF(AND(N504="✓",O504="✓",P504="✓"),"✓ Complete","Missing documents"))</f>
        <v/>
      </c>
      <c r="R504" s="79">
        <f>IF(Q504="","",IF(Q504="✓ Complete",0,1))</f>
        <v/>
      </c>
    </row>
    <row r="505" ht="20" customHeight="1">
      <c r="B505" s="72" t="n"/>
      <c r="C505" s="72" t="n"/>
      <c r="D505" s="72" t="n"/>
      <c r="E505" s="72" t="n"/>
      <c r="F505" s="72" t="n"/>
      <c r="G505" s="109" t="n"/>
      <c r="H505" s="72" t="n"/>
      <c r="I505" s="78">
        <f>IF(H505="","",HYPERLINK(H505,"Open ↗"))</f>
        <v/>
      </c>
      <c r="J505" s="72" t="n"/>
      <c r="L505" s="116">
        <f>IF('Contractors'!B505="","",'Contractors'!B505)</f>
        <v/>
      </c>
      <c r="M505" s="78">
        <f>IF(L505="","",'Contractors'!L505)</f>
        <v/>
      </c>
      <c r="N505" s="78">
        <f>IF(OR(L505="",M505&lt;&gt;"Yes"),"",IF(COUNTIFS('Vault'!$C$6:$C$1005,"Contract",'Vault'!$D$6:$D$1005,L505)&gt;0,"✓","✗ missing"))</f>
        <v/>
      </c>
      <c r="O505" s="78">
        <f>IF(OR(L505="",M505&lt;&gt;"Yes"),"",IF(COUNTIFS('Vault'!$C$6:$C$1005,"Insurance",'Vault'!$D$6:$D$1005,L505)&gt;0,"✓","✗ missing"))</f>
        <v/>
      </c>
      <c r="P505" s="78">
        <f>IF(OR(L505="",M505&lt;&gt;"Yes"),"",IF(COUNTIFS('Vault'!$C$6:$C$1005,"Quote",'Vault'!$D$6:$D$1005,L505)&gt;0,"✓","✗ missing"))</f>
        <v/>
      </c>
      <c r="Q505" s="78">
        <f>IF(N505="","",IF(AND(N505="✓",O505="✓",P505="✓"),"✓ Complete","Missing documents"))</f>
        <v/>
      </c>
      <c r="R505" s="79">
        <f>IF(Q505="","",IF(Q505="✓ Complete",0,1))</f>
        <v/>
      </c>
    </row>
    <row r="506" ht="20" customHeight="1">
      <c r="B506" s="72" t="n"/>
      <c r="C506" s="72" t="n"/>
      <c r="D506" s="72" t="n"/>
      <c r="E506" s="72" t="n"/>
      <c r="F506" s="72" t="n"/>
      <c r="G506" s="109" t="n"/>
      <c r="H506" s="72" t="n"/>
      <c r="I506" s="78">
        <f>IF(H506="","",HYPERLINK(H506,"Open ↗"))</f>
        <v/>
      </c>
      <c r="J506" s="72" t="n"/>
      <c r="L506" s="116">
        <f>IF('Contractors'!B506="","",'Contractors'!B506)</f>
        <v/>
      </c>
      <c r="M506" s="78">
        <f>IF(L506="","",'Contractors'!L506)</f>
        <v/>
      </c>
      <c r="N506" s="78">
        <f>IF(OR(L506="",M506&lt;&gt;"Yes"),"",IF(COUNTIFS('Vault'!$C$6:$C$1005,"Contract",'Vault'!$D$6:$D$1005,L506)&gt;0,"✓","✗ missing"))</f>
        <v/>
      </c>
      <c r="O506" s="78">
        <f>IF(OR(L506="",M506&lt;&gt;"Yes"),"",IF(COUNTIFS('Vault'!$C$6:$C$1005,"Insurance",'Vault'!$D$6:$D$1005,L506)&gt;0,"✓","✗ missing"))</f>
        <v/>
      </c>
      <c r="P506" s="78">
        <f>IF(OR(L506="",M506&lt;&gt;"Yes"),"",IF(COUNTIFS('Vault'!$C$6:$C$1005,"Quote",'Vault'!$D$6:$D$1005,L506)&gt;0,"✓","✗ missing"))</f>
        <v/>
      </c>
      <c r="Q506" s="78">
        <f>IF(N506="","",IF(AND(N506="✓",O506="✓",P506="✓"),"✓ Complete","Missing documents"))</f>
        <v/>
      </c>
      <c r="R506" s="79">
        <f>IF(Q506="","",IF(Q506="✓ Complete",0,1))</f>
        <v/>
      </c>
    </row>
    <row r="507" ht="20" customHeight="1">
      <c r="B507" s="72" t="n"/>
      <c r="C507" s="72" t="n"/>
      <c r="D507" s="72" t="n"/>
      <c r="E507" s="72" t="n"/>
      <c r="F507" s="72" t="n"/>
      <c r="G507" s="109" t="n"/>
      <c r="H507" s="72" t="n"/>
      <c r="I507" s="78">
        <f>IF(H507="","",HYPERLINK(H507,"Open ↗"))</f>
        <v/>
      </c>
      <c r="J507" s="72" t="n"/>
      <c r="L507" s="116">
        <f>IF('Contractors'!B507="","",'Contractors'!B507)</f>
        <v/>
      </c>
      <c r="M507" s="78">
        <f>IF(L507="","",'Contractors'!L507)</f>
        <v/>
      </c>
      <c r="N507" s="78">
        <f>IF(OR(L507="",M507&lt;&gt;"Yes"),"",IF(COUNTIFS('Vault'!$C$6:$C$1005,"Contract",'Vault'!$D$6:$D$1005,L507)&gt;0,"✓","✗ missing"))</f>
        <v/>
      </c>
      <c r="O507" s="78">
        <f>IF(OR(L507="",M507&lt;&gt;"Yes"),"",IF(COUNTIFS('Vault'!$C$6:$C$1005,"Insurance",'Vault'!$D$6:$D$1005,L507)&gt;0,"✓","✗ missing"))</f>
        <v/>
      </c>
      <c r="P507" s="78">
        <f>IF(OR(L507="",M507&lt;&gt;"Yes"),"",IF(COUNTIFS('Vault'!$C$6:$C$1005,"Quote",'Vault'!$D$6:$D$1005,L507)&gt;0,"✓","✗ missing"))</f>
        <v/>
      </c>
      <c r="Q507" s="78">
        <f>IF(N507="","",IF(AND(N507="✓",O507="✓",P507="✓"),"✓ Complete","Missing documents"))</f>
        <v/>
      </c>
      <c r="R507" s="79">
        <f>IF(Q507="","",IF(Q507="✓ Complete",0,1))</f>
        <v/>
      </c>
    </row>
    <row r="508" ht="20" customHeight="1">
      <c r="B508" s="72" t="n"/>
      <c r="C508" s="72" t="n"/>
      <c r="D508" s="72" t="n"/>
      <c r="E508" s="72" t="n"/>
      <c r="F508" s="72" t="n"/>
      <c r="G508" s="109" t="n"/>
      <c r="H508" s="72" t="n"/>
      <c r="I508" s="78">
        <f>IF(H508="","",HYPERLINK(H508,"Open ↗"))</f>
        <v/>
      </c>
      <c r="J508" s="72" t="n"/>
      <c r="L508" s="116">
        <f>IF('Contractors'!B508="","",'Contractors'!B508)</f>
        <v/>
      </c>
      <c r="M508" s="78">
        <f>IF(L508="","",'Contractors'!L508)</f>
        <v/>
      </c>
      <c r="N508" s="78">
        <f>IF(OR(L508="",M508&lt;&gt;"Yes"),"",IF(COUNTIFS('Vault'!$C$6:$C$1005,"Contract",'Vault'!$D$6:$D$1005,L508)&gt;0,"✓","✗ missing"))</f>
        <v/>
      </c>
      <c r="O508" s="78">
        <f>IF(OR(L508="",M508&lt;&gt;"Yes"),"",IF(COUNTIFS('Vault'!$C$6:$C$1005,"Insurance",'Vault'!$D$6:$D$1005,L508)&gt;0,"✓","✗ missing"))</f>
        <v/>
      </c>
      <c r="P508" s="78">
        <f>IF(OR(L508="",M508&lt;&gt;"Yes"),"",IF(COUNTIFS('Vault'!$C$6:$C$1005,"Quote",'Vault'!$D$6:$D$1005,L508)&gt;0,"✓","✗ missing"))</f>
        <v/>
      </c>
      <c r="Q508" s="78">
        <f>IF(N508="","",IF(AND(N508="✓",O508="✓",P508="✓"),"✓ Complete","Missing documents"))</f>
        <v/>
      </c>
      <c r="R508" s="79">
        <f>IF(Q508="","",IF(Q508="✓ Complete",0,1))</f>
        <v/>
      </c>
    </row>
    <row r="509" ht="20" customHeight="1">
      <c r="B509" s="72" t="n"/>
      <c r="C509" s="72" t="n"/>
      <c r="D509" s="72" t="n"/>
      <c r="E509" s="72" t="n"/>
      <c r="F509" s="72" t="n"/>
      <c r="G509" s="109" t="n"/>
      <c r="H509" s="72" t="n"/>
      <c r="I509" s="78">
        <f>IF(H509="","",HYPERLINK(H509,"Open ↗"))</f>
        <v/>
      </c>
      <c r="J509" s="72" t="n"/>
      <c r="L509" s="116">
        <f>IF('Contractors'!B509="","",'Contractors'!B509)</f>
        <v/>
      </c>
      <c r="M509" s="78">
        <f>IF(L509="","",'Contractors'!L509)</f>
        <v/>
      </c>
      <c r="N509" s="78">
        <f>IF(OR(L509="",M509&lt;&gt;"Yes"),"",IF(COUNTIFS('Vault'!$C$6:$C$1005,"Contract",'Vault'!$D$6:$D$1005,L509)&gt;0,"✓","✗ missing"))</f>
        <v/>
      </c>
      <c r="O509" s="78">
        <f>IF(OR(L509="",M509&lt;&gt;"Yes"),"",IF(COUNTIFS('Vault'!$C$6:$C$1005,"Insurance",'Vault'!$D$6:$D$1005,L509)&gt;0,"✓","✗ missing"))</f>
        <v/>
      </c>
      <c r="P509" s="78">
        <f>IF(OR(L509="",M509&lt;&gt;"Yes"),"",IF(COUNTIFS('Vault'!$C$6:$C$1005,"Quote",'Vault'!$D$6:$D$1005,L509)&gt;0,"✓","✗ missing"))</f>
        <v/>
      </c>
      <c r="Q509" s="78">
        <f>IF(N509="","",IF(AND(N509="✓",O509="✓",P509="✓"),"✓ Complete","Missing documents"))</f>
        <v/>
      </c>
      <c r="R509" s="79">
        <f>IF(Q509="","",IF(Q509="✓ Complete",0,1))</f>
        <v/>
      </c>
    </row>
    <row r="510" ht="20" customHeight="1">
      <c r="B510" s="72" t="n"/>
      <c r="C510" s="72" t="n"/>
      <c r="D510" s="72" t="n"/>
      <c r="E510" s="72" t="n"/>
      <c r="F510" s="72" t="n"/>
      <c r="G510" s="109" t="n"/>
      <c r="H510" s="72" t="n"/>
      <c r="I510" s="78">
        <f>IF(H510="","",HYPERLINK(H510,"Open ↗"))</f>
        <v/>
      </c>
      <c r="J510" s="72" t="n"/>
      <c r="L510" s="116">
        <f>IF('Contractors'!B510="","",'Contractors'!B510)</f>
        <v/>
      </c>
      <c r="M510" s="78">
        <f>IF(L510="","",'Contractors'!L510)</f>
        <v/>
      </c>
      <c r="N510" s="78">
        <f>IF(OR(L510="",M510&lt;&gt;"Yes"),"",IF(COUNTIFS('Vault'!$C$6:$C$1005,"Contract",'Vault'!$D$6:$D$1005,L510)&gt;0,"✓","✗ missing"))</f>
        <v/>
      </c>
      <c r="O510" s="78">
        <f>IF(OR(L510="",M510&lt;&gt;"Yes"),"",IF(COUNTIFS('Vault'!$C$6:$C$1005,"Insurance",'Vault'!$D$6:$D$1005,L510)&gt;0,"✓","✗ missing"))</f>
        <v/>
      </c>
      <c r="P510" s="78">
        <f>IF(OR(L510="",M510&lt;&gt;"Yes"),"",IF(COUNTIFS('Vault'!$C$6:$C$1005,"Quote",'Vault'!$D$6:$D$1005,L510)&gt;0,"✓","✗ missing"))</f>
        <v/>
      </c>
      <c r="Q510" s="78">
        <f>IF(N510="","",IF(AND(N510="✓",O510="✓",P510="✓"),"✓ Complete","Missing documents"))</f>
        <v/>
      </c>
      <c r="R510" s="79">
        <f>IF(Q510="","",IF(Q510="✓ Complete",0,1))</f>
        <v/>
      </c>
    </row>
    <row r="511" ht="20" customHeight="1">
      <c r="B511" s="72" t="n"/>
      <c r="C511" s="72" t="n"/>
      <c r="D511" s="72" t="n"/>
      <c r="E511" s="72" t="n"/>
      <c r="F511" s="72" t="n"/>
      <c r="G511" s="109" t="n"/>
      <c r="H511" s="72" t="n"/>
      <c r="I511" s="78">
        <f>IF(H511="","",HYPERLINK(H511,"Open ↗"))</f>
        <v/>
      </c>
      <c r="J511" s="72" t="n"/>
      <c r="L511" s="116">
        <f>IF('Contractors'!B511="","",'Contractors'!B511)</f>
        <v/>
      </c>
      <c r="M511" s="78">
        <f>IF(L511="","",'Contractors'!L511)</f>
        <v/>
      </c>
      <c r="N511" s="78">
        <f>IF(OR(L511="",M511&lt;&gt;"Yes"),"",IF(COUNTIFS('Vault'!$C$6:$C$1005,"Contract",'Vault'!$D$6:$D$1005,L511)&gt;0,"✓","✗ missing"))</f>
        <v/>
      </c>
      <c r="O511" s="78">
        <f>IF(OR(L511="",M511&lt;&gt;"Yes"),"",IF(COUNTIFS('Vault'!$C$6:$C$1005,"Insurance",'Vault'!$D$6:$D$1005,L511)&gt;0,"✓","✗ missing"))</f>
        <v/>
      </c>
      <c r="P511" s="78">
        <f>IF(OR(L511="",M511&lt;&gt;"Yes"),"",IF(COUNTIFS('Vault'!$C$6:$C$1005,"Quote",'Vault'!$D$6:$D$1005,L511)&gt;0,"✓","✗ missing"))</f>
        <v/>
      </c>
      <c r="Q511" s="78">
        <f>IF(N511="","",IF(AND(N511="✓",O511="✓",P511="✓"),"✓ Complete","Missing documents"))</f>
        <v/>
      </c>
      <c r="R511" s="79">
        <f>IF(Q511="","",IF(Q511="✓ Complete",0,1))</f>
        <v/>
      </c>
    </row>
    <row r="512" ht="20" customHeight="1">
      <c r="B512" s="72" t="n"/>
      <c r="C512" s="72" t="n"/>
      <c r="D512" s="72" t="n"/>
      <c r="E512" s="72" t="n"/>
      <c r="F512" s="72" t="n"/>
      <c r="G512" s="109" t="n"/>
      <c r="H512" s="72" t="n"/>
      <c r="I512" s="78">
        <f>IF(H512="","",HYPERLINK(H512,"Open ↗"))</f>
        <v/>
      </c>
      <c r="J512" s="72" t="n"/>
      <c r="L512" s="116">
        <f>IF('Contractors'!B512="","",'Contractors'!B512)</f>
        <v/>
      </c>
      <c r="M512" s="78">
        <f>IF(L512="","",'Contractors'!L512)</f>
        <v/>
      </c>
      <c r="N512" s="78">
        <f>IF(OR(L512="",M512&lt;&gt;"Yes"),"",IF(COUNTIFS('Vault'!$C$6:$C$1005,"Contract",'Vault'!$D$6:$D$1005,L512)&gt;0,"✓","✗ missing"))</f>
        <v/>
      </c>
      <c r="O512" s="78">
        <f>IF(OR(L512="",M512&lt;&gt;"Yes"),"",IF(COUNTIFS('Vault'!$C$6:$C$1005,"Insurance",'Vault'!$D$6:$D$1005,L512)&gt;0,"✓","✗ missing"))</f>
        <v/>
      </c>
      <c r="P512" s="78">
        <f>IF(OR(L512="",M512&lt;&gt;"Yes"),"",IF(COUNTIFS('Vault'!$C$6:$C$1005,"Quote",'Vault'!$D$6:$D$1005,L512)&gt;0,"✓","✗ missing"))</f>
        <v/>
      </c>
      <c r="Q512" s="78">
        <f>IF(N512="","",IF(AND(N512="✓",O512="✓",P512="✓"),"✓ Complete","Missing documents"))</f>
        <v/>
      </c>
      <c r="R512" s="79">
        <f>IF(Q512="","",IF(Q512="✓ Complete",0,1))</f>
        <v/>
      </c>
    </row>
    <row r="513" ht="20" customHeight="1">
      <c r="B513" s="72" t="n"/>
      <c r="C513" s="72" t="n"/>
      <c r="D513" s="72" t="n"/>
      <c r="E513" s="72" t="n"/>
      <c r="F513" s="72" t="n"/>
      <c r="G513" s="109" t="n"/>
      <c r="H513" s="72" t="n"/>
      <c r="I513" s="78">
        <f>IF(H513="","",HYPERLINK(H513,"Open ↗"))</f>
        <v/>
      </c>
      <c r="J513" s="72" t="n"/>
      <c r="L513" s="116">
        <f>IF('Contractors'!B513="","",'Contractors'!B513)</f>
        <v/>
      </c>
      <c r="M513" s="78">
        <f>IF(L513="","",'Contractors'!L513)</f>
        <v/>
      </c>
      <c r="N513" s="78">
        <f>IF(OR(L513="",M513&lt;&gt;"Yes"),"",IF(COUNTIFS('Vault'!$C$6:$C$1005,"Contract",'Vault'!$D$6:$D$1005,L513)&gt;0,"✓","✗ missing"))</f>
        <v/>
      </c>
      <c r="O513" s="78">
        <f>IF(OR(L513="",M513&lt;&gt;"Yes"),"",IF(COUNTIFS('Vault'!$C$6:$C$1005,"Insurance",'Vault'!$D$6:$D$1005,L513)&gt;0,"✓","✗ missing"))</f>
        <v/>
      </c>
      <c r="P513" s="78">
        <f>IF(OR(L513="",M513&lt;&gt;"Yes"),"",IF(COUNTIFS('Vault'!$C$6:$C$1005,"Quote",'Vault'!$D$6:$D$1005,L513)&gt;0,"✓","✗ missing"))</f>
        <v/>
      </c>
      <c r="Q513" s="78">
        <f>IF(N513="","",IF(AND(N513="✓",O513="✓",P513="✓"),"✓ Complete","Missing documents"))</f>
        <v/>
      </c>
      <c r="R513" s="79">
        <f>IF(Q513="","",IF(Q513="✓ Complete",0,1))</f>
        <v/>
      </c>
    </row>
    <row r="514" ht="20" customHeight="1">
      <c r="B514" s="72" t="n"/>
      <c r="C514" s="72" t="n"/>
      <c r="D514" s="72" t="n"/>
      <c r="E514" s="72" t="n"/>
      <c r="F514" s="72" t="n"/>
      <c r="G514" s="109" t="n"/>
      <c r="H514" s="72" t="n"/>
      <c r="I514" s="78">
        <f>IF(H514="","",HYPERLINK(H514,"Open ↗"))</f>
        <v/>
      </c>
      <c r="J514" s="72" t="n"/>
      <c r="L514" s="116">
        <f>IF('Contractors'!B514="","",'Contractors'!B514)</f>
        <v/>
      </c>
      <c r="M514" s="78">
        <f>IF(L514="","",'Contractors'!L514)</f>
        <v/>
      </c>
      <c r="N514" s="78">
        <f>IF(OR(L514="",M514&lt;&gt;"Yes"),"",IF(COUNTIFS('Vault'!$C$6:$C$1005,"Contract",'Vault'!$D$6:$D$1005,L514)&gt;0,"✓","✗ missing"))</f>
        <v/>
      </c>
      <c r="O514" s="78">
        <f>IF(OR(L514="",M514&lt;&gt;"Yes"),"",IF(COUNTIFS('Vault'!$C$6:$C$1005,"Insurance",'Vault'!$D$6:$D$1005,L514)&gt;0,"✓","✗ missing"))</f>
        <v/>
      </c>
      <c r="P514" s="78">
        <f>IF(OR(L514="",M514&lt;&gt;"Yes"),"",IF(COUNTIFS('Vault'!$C$6:$C$1005,"Quote",'Vault'!$D$6:$D$1005,L514)&gt;0,"✓","✗ missing"))</f>
        <v/>
      </c>
      <c r="Q514" s="78">
        <f>IF(N514="","",IF(AND(N514="✓",O514="✓",P514="✓"),"✓ Complete","Missing documents"))</f>
        <v/>
      </c>
      <c r="R514" s="79">
        <f>IF(Q514="","",IF(Q514="✓ Complete",0,1))</f>
        <v/>
      </c>
    </row>
    <row r="515" ht="20" customHeight="1">
      <c r="B515" s="72" t="n"/>
      <c r="C515" s="72" t="n"/>
      <c r="D515" s="72" t="n"/>
      <c r="E515" s="72" t="n"/>
      <c r="F515" s="72" t="n"/>
      <c r="G515" s="109" t="n"/>
      <c r="H515" s="72" t="n"/>
      <c r="I515" s="78">
        <f>IF(H515="","",HYPERLINK(H515,"Open ↗"))</f>
        <v/>
      </c>
      <c r="J515" s="72" t="n"/>
      <c r="L515" s="116">
        <f>IF('Contractors'!B515="","",'Contractors'!B515)</f>
        <v/>
      </c>
      <c r="M515" s="78">
        <f>IF(L515="","",'Contractors'!L515)</f>
        <v/>
      </c>
      <c r="N515" s="78">
        <f>IF(OR(L515="",M515&lt;&gt;"Yes"),"",IF(COUNTIFS('Vault'!$C$6:$C$1005,"Contract",'Vault'!$D$6:$D$1005,L515)&gt;0,"✓","✗ missing"))</f>
        <v/>
      </c>
      <c r="O515" s="78">
        <f>IF(OR(L515="",M515&lt;&gt;"Yes"),"",IF(COUNTIFS('Vault'!$C$6:$C$1005,"Insurance",'Vault'!$D$6:$D$1005,L515)&gt;0,"✓","✗ missing"))</f>
        <v/>
      </c>
      <c r="P515" s="78">
        <f>IF(OR(L515="",M515&lt;&gt;"Yes"),"",IF(COUNTIFS('Vault'!$C$6:$C$1005,"Quote",'Vault'!$D$6:$D$1005,L515)&gt;0,"✓","✗ missing"))</f>
        <v/>
      </c>
      <c r="Q515" s="78">
        <f>IF(N515="","",IF(AND(N515="✓",O515="✓",P515="✓"),"✓ Complete","Missing documents"))</f>
        <v/>
      </c>
      <c r="R515" s="79">
        <f>IF(Q515="","",IF(Q515="✓ Complete",0,1))</f>
        <v/>
      </c>
    </row>
    <row r="516" ht="20" customHeight="1">
      <c r="B516" s="72" t="n"/>
      <c r="C516" s="72" t="n"/>
      <c r="D516" s="72" t="n"/>
      <c r="E516" s="72" t="n"/>
      <c r="F516" s="72" t="n"/>
      <c r="G516" s="109" t="n"/>
      <c r="H516" s="72" t="n"/>
      <c r="I516" s="78">
        <f>IF(H516="","",HYPERLINK(H516,"Open ↗"))</f>
        <v/>
      </c>
      <c r="J516" s="72" t="n"/>
      <c r="L516" s="116">
        <f>IF('Contractors'!B516="","",'Contractors'!B516)</f>
        <v/>
      </c>
      <c r="M516" s="78">
        <f>IF(L516="","",'Contractors'!L516)</f>
        <v/>
      </c>
      <c r="N516" s="78">
        <f>IF(OR(L516="",M516&lt;&gt;"Yes"),"",IF(COUNTIFS('Vault'!$C$6:$C$1005,"Contract",'Vault'!$D$6:$D$1005,L516)&gt;0,"✓","✗ missing"))</f>
        <v/>
      </c>
      <c r="O516" s="78">
        <f>IF(OR(L516="",M516&lt;&gt;"Yes"),"",IF(COUNTIFS('Vault'!$C$6:$C$1005,"Insurance",'Vault'!$D$6:$D$1005,L516)&gt;0,"✓","✗ missing"))</f>
        <v/>
      </c>
      <c r="P516" s="78">
        <f>IF(OR(L516="",M516&lt;&gt;"Yes"),"",IF(COUNTIFS('Vault'!$C$6:$C$1005,"Quote",'Vault'!$D$6:$D$1005,L516)&gt;0,"✓","✗ missing"))</f>
        <v/>
      </c>
      <c r="Q516" s="78">
        <f>IF(N516="","",IF(AND(N516="✓",O516="✓",P516="✓"),"✓ Complete","Missing documents"))</f>
        <v/>
      </c>
      <c r="R516" s="79">
        <f>IF(Q516="","",IF(Q516="✓ Complete",0,1))</f>
        <v/>
      </c>
    </row>
    <row r="517" ht="20" customHeight="1">
      <c r="B517" s="72" t="n"/>
      <c r="C517" s="72" t="n"/>
      <c r="D517" s="72" t="n"/>
      <c r="E517" s="72" t="n"/>
      <c r="F517" s="72" t="n"/>
      <c r="G517" s="109" t="n"/>
      <c r="H517" s="72" t="n"/>
      <c r="I517" s="78">
        <f>IF(H517="","",HYPERLINK(H517,"Open ↗"))</f>
        <v/>
      </c>
      <c r="J517" s="72" t="n"/>
      <c r="L517" s="116">
        <f>IF('Contractors'!B517="","",'Contractors'!B517)</f>
        <v/>
      </c>
      <c r="M517" s="78">
        <f>IF(L517="","",'Contractors'!L517)</f>
        <v/>
      </c>
      <c r="N517" s="78">
        <f>IF(OR(L517="",M517&lt;&gt;"Yes"),"",IF(COUNTIFS('Vault'!$C$6:$C$1005,"Contract",'Vault'!$D$6:$D$1005,L517)&gt;0,"✓","✗ missing"))</f>
        <v/>
      </c>
      <c r="O517" s="78">
        <f>IF(OR(L517="",M517&lt;&gt;"Yes"),"",IF(COUNTIFS('Vault'!$C$6:$C$1005,"Insurance",'Vault'!$D$6:$D$1005,L517)&gt;0,"✓","✗ missing"))</f>
        <v/>
      </c>
      <c r="P517" s="78">
        <f>IF(OR(L517="",M517&lt;&gt;"Yes"),"",IF(COUNTIFS('Vault'!$C$6:$C$1005,"Quote",'Vault'!$D$6:$D$1005,L517)&gt;0,"✓","✗ missing"))</f>
        <v/>
      </c>
      <c r="Q517" s="78">
        <f>IF(N517="","",IF(AND(N517="✓",O517="✓",P517="✓"),"✓ Complete","Missing documents"))</f>
        <v/>
      </c>
      <c r="R517" s="79">
        <f>IF(Q517="","",IF(Q517="✓ Complete",0,1))</f>
        <v/>
      </c>
    </row>
    <row r="518" ht="20" customHeight="1">
      <c r="B518" s="72" t="n"/>
      <c r="C518" s="72" t="n"/>
      <c r="D518" s="72" t="n"/>
      <c r="E518" s="72" t="n"/>
      <c r="F518" s="72" t="n"/>
      <c r="G518" s="109" t="n"/>
      <c r="H518" s="72" t="n"/>
      <c r="I518" s="78">
        <f>IF(H518="","",HYPERLINK(H518,"Open ↗"))</f>
        <v/>
      </c>
      <c r="J518" s="72" t="n"/>
      <c r="L518" s="116">
        <f>IF('Contractors'!B518="","",'Contractors'!B518)</f>
        <v/>
      </c>
      <c r="M518" s="78">
        <f>IF(L518="","",'Contractors'!L518)</f>
        <v/>
      </c>
      <c r="N518" s="78">
        <f>IF(OR(L518="",M518&lt;&gt;"Yes"),"",IF(COUNTIFS('Vault'!$C$6:$C$1005,"Contract",'Vault'!$D$6:$D$1005,L518)&gt;0,"✓","✗ missing"))</f>
        <v/>
      </c>
      <c r="O518" s="78">
        <f>IF(OR(L518="",M518&lt;&gt;"Yes"),"",IF(COUNTIFS('Vault'!$C$6:$C$1005,"Insurance",'Vault'!$D$6:$D$1005,L518)&gt;0,"✓","✗ missing"))</f>
        <v/>
      </c>
      <c r="P518" s="78">
        <f>IF(OR(L518="",M518&lt;&gt;"Yes"),"",IF(COUNTIFS('Vault'!$C$6:$C$1005,"Quote",'Vault'!$D$6:$D$1005,L518)&gt;0,"✓","✗ missing"))</f>
        <v/>
      </c>
      <c r="Q518" s="78">
        <f>IF(N518="","",IF(AND(N518="✓",O518="✓",P518="✓"),"✓ Complete","Missing documents"))</f>
        <v/>
      </c>
      <c r="R518" s="79">
        <f>IF(Q518="","",IF(Q518="✓ Complete",0,1))</f>
        <v/>
      </c>
    </row>
    <row r="519" ht="20" customHeight="1">
      <c r="B519" s="72" t="n"/>
      <c r="C519" s="72" t="n"/>
      <c r="D519" s="72" t="n"/>
      <c r="E519" s="72" t="n"/>
      <c r="F519" s="72" t="n"/>
      <c r="G519" s="109" t="n"/>
      <c r="H519" s="72" t="n"/>
      <c r="I519" s="78">
        <f>IF(H519="","",HYPERLINK(H519,"Open ↗"))</f>
        <v/>
      </c>
      <c r="J519" s="72" t="n"/>
      <c r="L519" s="116">
        <f>IF('Contractors'!B519="","",'Contractors'!B519)</f>
        <v/>
      </c>
      <c r="M519" s="78">
        <f>IF(L519="","",'Contractors'!L519)</f>
        <v/>
      </c>
      <c r="N519" s="78">
        <f>IF(OR(L519="",M519&lt;&gt;"Yes"),"",IF(COUNTIFS('Vault'!$C$6:$C$1005,"Contract",'Vault'!$D$6:$D$1005,L519)&gt;0,"✓","✗ missing"))</f>
        <v/>
      </c>
      <c r="O519" s="78">
        <f>IF(OR(L519="",M519&lt;&gt;"Yes"),"",IF(COUNTIFS('Vault'!$C$6:$C$1005,"Insurance",'Vault'!$D$6:$D$1005,L519)&gt;0,"✓","✗ missing"))</f>
        <v/>
      </c>
      <c r="P519" s="78">
        <f>IF(OR(L519="",M519&lt;&gt;"Yes"),"",IF(COUNTIFS('Vault'!$C$6:$C$1005,"Quote",'Vault'!$D$6:$D$1005,L519)&gt;0,"✓","✗ missing"))</f>
        <v/>
      </c>
      <c r="Q519" s="78">
        <f>IF(N519="","",IF(AND(N519="✓",O519="✓",P519="✓"),"✓ Complete","Missing documents"))</f>
        <v/>
      </c>
      <c r="R519" s="79">
        <f>IF(Q519="","",IF(Q519="✓ Complete",0,1))</f>
        <v/>
      </c>
    </row>
    <row r="520" ht="20" customHeight="1">
      <c r="B520" s="72" t="n"/>
      <c r="C520" s="72" t="n"/>
      <c r="D520" s="72" t="n"/>
      <c r="E520" s="72" t="n"/>
      <c r="F520" s="72" t="n"/>
      <c r="G520" s="109" t="n"/>
      <c r="H520" s="72" t="n"/>
      <c r="I520" s="78">
        <f>IF(H520="","",HYPERLINK(H520,"Open ↗"))</f>
        <v/>
      </c>
      <c r="J520" s="72" t="n"/>
      <c r="L520" s="116">
        <f>IF('Contractors'!B520="","",'Contractors'!B520)</f>
        <v/>
      </c>
      <c r="M520" s="78">
        <f>IF(L520="","",'Contractors'!L520)</f>
        <v/>
      </c>
      <c r="N520" s="78">
        <f>IF(OR(L520="",M520&lt;&gt;"Yes"),"",IF(COUNTIFS('Vault'!$C$6:$C$1005,"Contract",'Vault'!$D$6:$D$1005,L520)&gt;0,"✓","✗ missing"))</f>
        <v/>
      </c>
      <c r="O520" s="78">
        <f>IF(OR(L520="",M520&lt;&gt;"Yes"),"",IF(COUNTIFS('Vault'!$C$6:$C$1005,"Insurance",'Vault'!$D$6:$D$1005,L520)&gt;0,"✓","✗ missing"))</f>
        <v/>
      </c>
      <c r="P520" s="78">
        <f>IF(OR(L520="",M520&lt;&gt;"Yes"),"",IF(COUNTIFS('Vault'!$C$6:$C$1005,"Quote",'Vault'!$D$6:$D$1005,L520)&gt;0,"✓","✗ missing"))</f>
        <v/>
      </c>
      <c r="Q520" s="78">
        <f>IF(N520="","",IF(AND(N520="✓",O520="✓",P520="✓"),"✓ Complete","Missing documents"))</f>
        <v/>
      </c>
      <c r="R520" s="79">
        <f>IF(Q520="","",IF(Q520="✓ Complete",0,1))</f>
        <v/>
      </c>
    </row>
    <row r="521" ht="20" customHeight="1">
      <c r="B521" s="72" t="n"/>
      <c r="C521" s="72" t="n"/>
      <c r="D521" s="72" t="n"/>
      <c r="E521" s="72" t="n"/>
      <c r="F521" s="72" t="n"/>
      <c r="G521" s="109" t="n"/>
      <c r="H521" s="72" t="n"/>
      <c r="I521" s="78">
        <f>IF(H521="","",HYPERLINK(H521,"Open ↗"))</f>
        <v/>
      </c>
      <c r="J521" s="72" t="n"/>
      <c r="L521" s="116">
        <f>IF('Contractors'!B521="","",'Contractors'!B521)</f>
        <v/>
      </c>
      <c r="M521" s="78">
        <f>IF(L521="","",'Contractors'!L521)</f>
        <v/>
      </c>
      <c r="N521" s="78">
        <f>IF(OR(L521="",M521&lt;&gt;"Yes"),"",IF(COUNTIFS('Vault'!$C$6:$C$1005,"Contract",'Vault'!$D$6:$D$1005,L521)&gt;0,"✓","✗ missing"))</f>
        <v/>
      </c>
      <c r="O521" s="78">
        <f>IF(OR(L521="",M521&lt;&gt;"Yes"),"",IF(COUNTIFS('Vault'!$C$6:$C$1005,"Insurance",'Vault'!$D$6:$D$1005,L521)&gt;0,"✓","✗ missing"))</f>
        <v/>
      </c>
      <c r="P521" s="78">
        <f>IF(OR(L521="",M521&lt;&gt;"Yes"),"",IF(COUNTIFS('Vault'!$C$6:$C$1005,"Quote",'Vault'!$D$6:$D$1005,L521)&gt;0,"✓","✗ missing"))</f>
        <v/>
      </c>
      <c r="Q521" s="78">
        <f>IF(N521="","",IF(AND(N521="✓",O521="✓",P521="✓"),"✓ Complete","Missing documents"))</f>
        <v/>
      </c>
      <c r="R521" s="79">
        <f>IF(Q521="","",IF(Q521="✓ Complete",0,1))</f>
        <v/>
      </c>
    </row>
    <row r="522" ht="20" customHeight="1">
      <c r="B522" s="72" t="n"/>
      <c r="C522" s="72" t="n"/>
      <c r="D522" s="72" t="n"/>
      <c r="E522" s="72" t="n"/>
      <c r="F522" s="72" t="n"/>
      <c r="G522" s="109" t="n"/>
      <c r="H522" s="72" t="n"/>
      <c r="I522" s="78">
        <f>IF(H522="","",HYPERLINK(H522,"Open ↗"))</f>
        <v/>
      </c>
      <c r="J522" s="72" t="n"/>
      <c r="L522" s="116">
        <f>IF('Contractors'!B522="","",'Contractors'!B522)</f>
        <v/>
      </c>
      <c r="M522" s="78">
        <f>IF(L522="","",'Contractors'!L522)</f>
        <v/>
      </c>
      <c r="N522" s="78">
        <f>IF(OR(L522="",M522&lt;&gt;"Yes"),"",IF(COUNTIFS('Vault'!$C$6:$C$1005,"Contract",'Vault'!$D$6:$D$1005,L522)&gt;0,"✓","✗ missing"))</f>
        <v/>
      </c>
      <c r="O522" s="78">
        <f>IF(OR(L522="",M522&lt;&gt;"Yes"),"",IF(COUNTIFS('Vault'!$C$6:$C$1005,"Insurance",'Vault'!$D$6:$D$1005,L522)&gt;0,"✓","✗ missing"))</f>
        <v/>
      </c>
      <c r="P522" s="78">
        <f>IF(OR(L522="",M522&lt;&gt;"Yes"),"",IF(COUNTIFS('Vault'!$C$6:$C$1005,"Quote",'Vault'!$D$6:$D$1005,L522)&gt;0,"✓","✗ missing"))</f>
        <v/>
      </c>
      <c r="Q522" s="78">
        <f>IF(N522="","",IF(AND(N522="✓",O522="✓",P522="✓"),"✓ Complete","Missing documents"))</f>
        <v/>
      </c>
      <c r="R522" s="79">
        <f>IF(Q522="","",IF(Q522="✓ Complete",0,1))</f>
        <v/>
      </c>
    </row>
    <row r="523" ht="20" customHeight="1">
      <c r="B523" s="72" t="n"/>
      <c r="C523" s="72" t="n"/>
      <c r="D523" s="72" t="n"/>
      <c r="E523" s="72" t="n"/>
      <c r="F523" s="72" t="n"/>
      <c r="G523" s="109" t="n"/>
      <c r="H523" s="72" t="n"/>
      <c r="I523" s="78">
        <f>IF(H523="","",HYPERLINK(H523,"Open ↗"))</f>
        <v/>
      </c>
      <c r="J523" s="72" t="n"/>
      <c r="L523" s="116">
        <f>IF('Contractors'!B523="","",'Contractors'!B523)</f>
        <v/>
      </c>
      <c r="M523" s="78">
        <f>IF(L523="","",'Contractors'!L523)</f>
        <v/>
      </c>
      <c r="N523" s="78">
        <f>IF(OR(L523="",M523&lt;&gt;"Yes"),"",IF(COUNTIFS('Vault'!$C$6:$C$1005,"Contract",'Vault'!$D$6:$D$1005,L523)&gt;0,"✓","✗ missing"))</f>
        <v/>
      </c>
      <c r="O523" s="78">
        <f>IF(OR(L523="",M523&lt;&gt;"Yes"),"",IF(COUNTIFS('Vault'!$C$6:$C$1005,"Insurance",'Vault'!$D$6:$D$1005,L523)&gt;0,"✓","✗ missing"))</f>
        <v/>
      </c>
      <c r="P523" s="78">
        <f>IF(OR(L523="",M523&lt;&gt;"Yes"),"",IF(COUNTIFS('Vault'!$C$6:$C$1005,"Quote",'Vault'!$D$6:$D$1005,L523)&gt;0,"✓","✗ missing"))</f>
        <v/>
      </c>
      <c r="Q523" s="78">
        <f>IF(N523="","",IF(AND(N523="✓",O523="✓",P523="✓"),"✓ Complete","Missing documents"))</f>
        <v/>
      </c>
      <c r="R523" s="79">
        <f>IF(Q523="","",IF(Q523="✓ Complete",0,1))</f>
        <v/>
      </c>
    </row>
    <row r="524" ht="20" customHeight="1">
      <c r="B524" s="72" t="n"/>
      <c r="C524" s="72" t="n"/>
      <c r="D524" s="72" t="n"/>
      <c r="E524" s="72" t="n"/>
      <c r="F524" s="72" t="n"/>
      <c r="G524" s="109" t="n"/>
      <c r="H524" s="72" t="n"/>
      <c r="I524" s="78">
        <f>IF(H524="","",HYPERLINK(H524,"Open ↗"))</f>
        <v/>
      </c>
      <c r="J524" s="72" t="n"/>
      <c r="L524" s="116">
        <f>IF('Contractors'!B524="","",'Contractors'!B524)</f>
        <v/>
      </c>
      <c r="M524" s="78">
        <f>IF(L524="","",'Contractors'!L524)</f>
        <v/>
      </c>
      <c r="N524" s="78">
        <f>IF(OR(L524="",M524&lt;&gt;"Yes"),"",IF(COUNTIFS('Vault'!$C$6:$C$1005,"Contract",'Vault'!$D$6:$D$1005,L524)&gt;0,"✓","✗ missing"))</f>
        <v/>
      </c>
      <c r="O524" s="78">
        <f>IF(OR(L524="",M524&lt;&gt;"Yes"),"",IF(COUNTIFS('Vault'!$C$6:$C$1005,"Insurance",'Vault'!$D$6:$D$1005,L524)&gt;0,"✓","✗ missing"))</f>
        <v/>
      </c>
      <c r="P524" s="78">
        <f>IF(OR(L524="",M524&lt;&gt;"Yes"),"",IF(COUNTIFS('Vault'!$C$6:$C$1005,"Quote",'Vault'!$D$6:$D$1005,L524)&gt;0,"✓","✗ missing"))</f>
        <v/>
      </c>
      <c r="Q524" s="78">
        <f>IF(N524="","",IF(AND(N524="✓",O524="✓",P524="✓"),"✓ Complete","Missing documents"))</f>
        <v/>
      </c>
      <c r="R524" s="79">
        <f>IF(Q524="","",IF(Q524="✓ Complete",0,1))</f>
        <v/>
      </c>
    </row>
    <row r="525" ht="20" customHeight="1">
      <c r="B525" s="72" t="n"/>
      <c r="C525" s="72" t="n"/>
      <c r="D525" s="72" t="n"/>
      <c r="E525" s="72" t="n"/>
      <c r="F525" s="72" t="n"/>
      <c r="G525" s="109" t="n"/>
      <c r="H525" s="72" t="n"/>
      <c r="I525" s="78">
        <f>IF(H525="","",HYPERLINK(H525,"Open ↗"))</f>
        <v/>
      </c>
      <c r="J525" s="72" t="n"/>
      <c r="L525" s="116">
        <f>IF('Contractors'!B525="","",'Contractors'!B525)</f>
        <v/>
      </c>
      <c r="M525" s="78">
        <f>IF(L525="","",'Contractors'!L525)</f>
        <v/>
      </c>
      <c r="N525" s="78">
        <f>IF(OR(L525="",M525&lt;&gt;"Yes"),"",IF(COUNTIFS('Vault'!$C$6:$C$1005,"Contract",'Vault'!$D$6:$D$1005,L525)&gt;0,"✓","✗ missing"))</f>
        <v/>
      </c>
      <c r="O525" s="78">
        <f>IF(OR(L525="",M525&lt;&gt;"Yes"),"",IF(COUNTIFS('Vault'!$C$6:$C$1005,"Insurance",'Vault'!$D$6:$D$1005,L525)&gt;0,"✓","✗ missing"))</f>
        <v/>
      </c>
      <c r="P525" s="78">
        <f>IF(OR(L525="",M525&lt;&gt;"Yes"),"",IF(COUNTIFS('Vault'!$C$6:$C$1005,"Quote",'Vault'!$D$6:$D$1005,L525)&gt;0,"✓","✗ missing"))</f>
        <v/>
      </c>
      <c r="Q525" s="78">
        <f>IF(N525="","",IF(AND(N525="✓",O525="✓",P525="✓"),"✓ Complete","Missing documents"))</f>
        <v/>
      </c>
      <c r="R525" s="79">
        <f>IF(Q525="","",IF(Q525="✓ Complete",0,1))</f>
        <v/>
      </c>
    </row>
    <row r="526" ht="20" customHeight="1">
      <c r="B526" s="72" t="n"/>
      <c r="C526" s="72" t="n"/>
      <c r="D526" s="72" t="n"/>
      <c r="E526" s="72" t="n"/>
      <c r="F526" s="72" t="n"/>
      <c r="G526" s="109" t="n"/>
      <c r="H526" s="72" t="n"/>
      <c r="I526" s="78">
        <f>IF(H526="","",HYPERLINK(H526,"Open ↗"))</f>
        <v/>
      </c>
      <c r="J526" s="72" t="n"/>
      <c r="L526" s="116">
        <f>IF('Contractors'!B526="","",'Contractors'!B526)</f>
        <v/>
      </c>
      <c r="M526" s="78">
        <f>IF(L526="","",'Contractors'!L526)</f>
        <v/>
      </c>
      <c r="N526" s="78">
        <f>IF(OR(L526="",M526&lt;&gt;"Yes"),"",IF(COUNTIFS('Vault'!$C$6:$C$1005,"Contract",'Vault'!$D$6:$D$1005,L526)&gt;0,"✓","✗ missing"))</f>
        <v/>
      </c>
      <c r="O526" s="78">
        <f>IF(OR(L526="",M526&lt;&gt;"Yes"),"",IF(COUNTIFS('Vault'!$C$6:$C$1005,"Insurance",'Vault'!$D$6:$D$1005,L526)&gt;0,"✓","✗ missing"))</f>
        <v/>
      </c>
      <c r="P526" s="78">
        <f>IF(OR(L526="",M526&lt;&gt;"Yes"),"",IF(COUNTIFS('Vault'!$C$6:$C$1005,"Quote",'Vault'!$D$6:$D$1005,L526)&gt;0,"✓","✗ missing"))</f>
        <v/>
      </c>
      <c r="Q526" s="78">
        <f>IF(N526="","",IF(AND(N526="✓",O526="✓",P526="✓"),"✓ Complete","Missing documents"))</f>
        <v/>
      </c>
      <c r="R526" s="79">
        <f>IF(Q526="","",IF(Q526="✓ Complete",0,1))</f>
        <v/>
      </c>
    </row>
    <row r="527" ht="20" customHeight="1">
      <c r="B527" s="72" t="n"/>
      <c r="C527" s="72" t="n"/>
      <c r="D527" s="72" t="n"/>
      <c r="E527" s="72" t="n"/>
      <c r="F527" s="72" t="n"/>
      <c r="G527" s="109" t="n"/>
      <c r="H527" s="72" t="n"/>
      <c r="I527" s="78">
        <f>IF(H527="","",HYPERLINK(H527,"Open ↗"))</f>
        <v/>
      </c>
      <c r="J527" s="72" t="n"/>
      <c r="L527" s="116">
        <f>IF('Contractors'!B527="","",'Contractors'!B527)</f>
        <v/>
      </c>
      <c r="M527" s="78">
        <f>IF(L527="","",'Contractors'!L527)</f>
        <v/>
      </c>
      <c r="N527" s="78">
        <f>IF(OR(L527="",M527&lt;&gt;"Yes"),"",IF(COUNTIFS('Vault'!$C$6:$C$1005,"Contract",'Vault'!$D$6:$D$1005,L527)&gt;0,"✓","✗ missing"))</f>
        <v/>
      </c>
      <c r="O527" s="78">
        <f>IF(OR(L527="",M527&lt;&gt;"Yes"),"",IF(COUNTIFS('Vault'!$C$6:$C$1005,"Insurance",'Vault'!$D$6:$D$1005,L527)&gt;0,"✓","✗ missing"))</f>
        <v/>
      </c>
      <c r="P527" s="78">
        <f>IF(OR(L527="",M527&lt;&gt;"Yes"),"",IF(COUNTIFS('Vault'!$C$6:$C$1005,"Quote",'Vault'!$D$6:$D$1005,L527)&gt;0,"✓","✗ missing"))</f>
        <v/>
      </c>
      <c r="Q527" s="78">
        <f>IF(N527="","",IF(AND(N527="✓",O527="✓",P527="✓"),"✓ Complete","Missing documents"))</f>
        <v/>
      </c>
      <c r="R527" s="79">
        <f>IF(Q527="","",IF(Q527="✓ Complete",0,1))</f>
        <v/>
      </c>
    </row>
    <row r="528" ht="20" customHeight="1">
      <c r="B528" s="72" t="n"/>
      <c r="C528" s="72" t="n"/>
      <c r="D528" s="72" t="n"/>
      <c r="E528" s="72" t="n"/>
      <c r="F528" s="72" t="n"/>
      <c r="G528" s="109" t="n"/>
      <c r="H528" s="72" t="n"/>
      <c r="I528" s="78">
        <f>IF(H528="","",HYPERLINK(H528,"Open ↗"))</f>
        <v/>
      </c>
      <c r="J528" s="72" t="n"/>
      <c r="L528" s="116">
        <f>IF('Contractors'!B528="","",'Contractors'!B528)</f>
        <v/>
      </c>
      <c r="M528" s="78">
        <f>IF(L528="","",'Contractors'!L528)</f>
        <v/>
      </c>
      <c r="N528" s="78">
        <f>IF(OR(L528="",M528&lt;&gt;"Yes"),"",IF(COUNTIFS('Vault'!$C$6:$C$1005,"Contract",'Vault'!$D$6:$D$1005,L528)&gt;0,"✓","✗ missing"))</f>
        <v/>
      </c>
      <c r="O528" s="78">
        <f>IF(OR(L528="",M528&lt;&gt;"Yes"),"",IF(COUNTIFS('Vault'!$C$6:$C$1005,"Insurance",'Vault'!$D$6:$D$1005,L528)&gt;0,"✓","✗ missing"))</f>
        <v/>
      </c>
      <c r="P528" s="78">
        <f>IF(OR(L528="",M528&lt;&gt;"Yes"),"",IF(COUNTIFS('Vault'!$C$6:$C$1005,"Quote",'Vault'!$D$6:$D$1005,L528)&gt;0,"✓","✗ missing"))</f>
        <v/>
      </c>
      <c r="Q528" s="78">
        <f>IF(N528="","",IF(AND(N528="✓",O528="✓",P528="✓"),"✓ Complete","Missing documents"))</f>
        <v/>
      </c>
      <c r="R528" s="79">
        <f>IF(Q528="","",IF(Q528="✓ Complete",0,1))</f>
        <v/>
      </c>
    </row>
    <row r="529" ht="20" customHeight="1">
      <c r="B529" s="72" t="n"/>
      <c r="C529" s="72" t="n"/>
      <c r="D529" s="72" t="n"/>
      <c r="E529" s="72" t="n"/>
      <c r="F529" s="72" t="n"/>
      <c r="G529" s="109" t="n"/>
      <c r="H529" s="72" t="n"/>
      <c r="I529" s="78">
        <f>IF(H529="","",HYPERLINK(H529,"Open ↗"))</f>
        <v/>
      </c>
      <c r="J529" s="72" t="n"/>
      <c r="L529" s="116">
        <f>IF('Contractors'!B529="","",'Contractors'!B529)</f>
        <v/>
      </c>
      <c r="M529" s="78">
        <f>IF(L529="","",'Contractors'!L529)</f>
        <v/>
      </c>
      <c r="N529" s="78">
        <f>IF(OR(L529="",M529&lt;&gt;"Yes"),"",IF(COUNTIFS('Vault'!$C$6:$C$1005,"Contract",'Vault'!$D$6:$D$1005,L529)&gt;0,"✓","✗ missing"))</f>
        <v/>
      </c>
      <c r="O529" s="78">
        <f>IF(OR(L529="",M529&lt;&gt;"Yes"),"",IF(COUNTIFS('Vault'!$C$6:$C$1005,"Insurance",'Vault'!$D$6:$D$1005,L529)&gt;0,"✓","✗ missing"))</f>
        <v/>
      </c>
      <c r="P529" s="78">
        <f>IF(OR(L529="",M529&lt;&gt;"Yes"),"",IF(COUNTIFS('Vault'!$C$6:$C$1005,"Quote",'Vault'!$D$6:$D$1005,L529)&gt;0,"✓","✗ missing"))</f>
        <v/>
      </c>
      <c r="Q529" s="78">
        <f>IF(N529="","",IF(AND(N529="✓",O529="✓",P529="✓"),"✓ Complete","Missing documents"))</f>
        <v/>
      </c>
      <c r="R529" s="79">
        <f>IF(Q529="","",IF(Q529="✓ Complete",0,1))</f>
        <v/>
      </c>
    </row>
    <row r="530" ht="20" customHeight="1">
      <c r="B530" s="72" t="n"/>
      <c r="C530" s="72" t="n"/>
      <c r="D530" s="72" t="n"/>
      <c r="E530" s="72" t="n"/>
      <c r="F530" s="72" t="n"/>
      <c r="G530" s="109" t="n"/>
      <c r="H530" s="72" t="n"/>
      <c r="I530" s="78">
        <f>IF(H530="","",HYPERLINK(H530,"Open ↗"))</f>
        <v/>
      </c>
      <c r="J530" s="72" t="n"/>
      <c r="L530" s="116">
        <f>IF('Contractors'!B530="","",'Contractors'!B530)</f>
        <v/>
      </c>
      <c r="M530" s="78">
        <f>IF(L530="","",'Contractors'!L530)</f>
        <v/>
      </c>
      <c r="N530" s="78">
        <f>IF(OR(L530="",M530&lt;&gt;"Yes"),"",IF(COUNTIFS('Vault'!$C$6:$C$1005,"Contract",'Vault'!$D$6:$D$1005,L530)&gt;0,"✓","✗ missing"))</f>
        <v/>
      </c>
      <c r="O530" s="78">
        <f>IF(OR(L530="",M530&lt;&gt;"Yes"),"",IF(COUNTIFS('Vault'!$C$6:$C$1005,"Insurance",'Vault'!$D$6:$D$1005,L530)&gt;0,"✓","✗ missing"))</f>
        <v/>
      </c>
      <c r="P530" s="78">
        <f>IF(OR(L530="",M530&lt;&gt;"Yes"),"",IF(COUNTIFS('Vault'!$C$6:$C$1005,"Quote",'Vault'!$D$6:$D$1005,L530)&gt;0,"✓","✗ missing"))</f>
        <v/>
      </c>
      <c r="Q530" s="78">
        <f>IF(N530="","",IF(AND(N530="✓",O530="✓",P530="✓"),"✓ Complete","Missing documents"))</f>
        <v/>
      </c>
      <c r="R530" s="79">
        <f>IF(Q530="","",IF(Q530="✓ Complete",0,1))</f>
        <v/>
      </c>
    </row>
    <row r="531" ht="20" customHeight="1">
      <c r="B531" s="72" t="n"/>
      <c r="C531" s="72" t="n"/>
      <c r="D531" s="72" t="n"/>
      <c r="E531" s="72" t="n"/>
      <c r="F531" s="72" t="n"/>
      <c r="G531" s="109" t="n"/>
      <c r="H531" s="72" t="n"/>
      <c r="I531" s="78">
        <f>IF(H531="","",HYPERLINK(H531,"Open ↗"))</f>
        <v/>
      </c>
      <c r="J531" s="72" t="n"/>
      <c r="L531" s="116">
        <f>IF('Contractors'!B531="","",'Contractors'!B531)</f>
        <v/>
      </c>
      <c r="M531" s="78">
        <f>IF(L531="","",'Contractors'!L531)</f>
        <v/>
      </c>
      <c r="N531" s="78">
        <f>IF(OR(L531="",M531&lt;&gt;"Yes"),"",IF(COUNTIFS('Vault'!$C$6:$C$1005,"Contract",'Vault'!$D$6:$D$1005,L531)&gt;0,"✓","✗ missing"))</f>
        <v/>
      </c>
      <c r="O531" s="78">
        <f>IF(OR(L531="",M531&lt;&gt;"Yes"),"",IF(COUNTIFS('Vault'!$C$6:$C$1005,"Insurance",'Vault'!$D$6:$D$1005,L531)&gt;0,"✓","✗ missing"))</f>
        <v/>
      </c>
      <c r="P531" s="78">
        <f>IF(OR(L531="",M531&lt;&gt;"Yes"),"",IF(COUNTIFS('Vault'!$C$6:$C$1005,"Quote",'Vault'!$D$6:$D$1005,L531)&gt;0,"✓","✗ missing"))</f>
        <v/>
      </c>
      <c r="Q531" s="78">
        <f>IF(N531="","",IF(AND(N531="✓",O531="✓",P531="✓"),"✓ Complete","Missing documents"))</f>
        <v/>
      </c>
      <c r="R531" s="79">
        <f>IF(Q531="","",IF(Q531="✓ Complete",0,1))</f>
        <v/>
      </c>
    </row>
    <row r="532" ht="20" customHeight="1">
      <c r="B532" s="72" t="n"/>
      <c r="C532" s="72" t="n"/>
      <c r="D532" s="72" t="n"/>
      <c r="E532" s="72" t="n"/>
      <c r="F532" s="72" t="n"/>
      <c r="G532" s="109" t="n"/>
      <c r="H532" s="72" t="n"/>
      <c r="I532" s="78">
        <f>IF(H532="","",HYPERLINK(H532,"Open ↗"))</f>
        <v/>
      </c>
      <c r="J532" s="72" t="n"/>
      <c r="L532" s="116">
        <f>IF('Contractors'!B532="","",'Contractors'!B532)</f>
        <v/>
      </c>
      <c r="M532" s="78">
        <f>IF(L532="","",'Contractors'!L532)</f>
        <v/>
      </c>
      <c r="N532" s="78">
        <f>IF(OR(L532="",M532&lt;&gt;"Yes"),"",IF(COUNTIFS('Vault'!$C$6:$C$1005,"Contract",'Vault'!$D$6:$D$1005,L532)&gt;0,"✓","✗ missing"))</f>
        <v/>
      </c>
      <c r="O532" s="78">
        <f>IF(OR(L532="",M532&lt;&gt;"Yes"),"",IF(COUNTIFS('Vault'!$C$6:$C$1005,"Insurance",'Vault'!$D$6:$D$1005,L532)&gt;0,"✓","✗ missing"))</f>
        <v/>
      </c>
      <c r="P532" s="78">
        <f>IF(OR(L532="",M532&lt;&gt;"Yes"),"",IF(COUNTIFS('Vault'!$C$6:$C$1005,"Quote",'Vault'!$D$6:$D$1005,L532)&gt;0,"✓","✗ missing"))</f>
        <v/>
      </c>
      <c r="Q532" s="78">
        <f>IF(N532="","",IF(AND(N532="✓",O532="✓",P532="✓"),"✓ Complete","Missing documents"))</f>
        <v/>
      </c>
      <c r="R532" s="79">
        <f>IF(Q532="","",IF(Q532="✓ Complete",0,1))</f>
        <v/>
      </c>
    </row>
    <row r="533" ht="20" customHeight="1">
      <c r="B533" s="72" t="n"/>
      <c r="C533" s="72" t="n"/>
      <c r="D533" s="72" t="n"/>
      <c r="E533" s="72" t="n"/>
      <c r="F533" s="72" t="n"/>
      <c r="G533" s="109" t="n"/>
      <c r="H533" s="72" t="n"/>
      <c r="I533" s="78">
        <f>IF(H533="","",HYPERLINK(H533,"Open ↗"))</f>
        <v/>
      </c>
      <c r="J533" s="72" t="n"/>
      <c r="L533" s="116">
        <f>IF('Contractors'!B533="","",'Contractors'!B533)</f>
        <v/>
      </c>
      <c r="M533" s="78">
        <f>IF(L533="","",'Contractors'!L533)</f>
        <v/>
      </c>
      <c r="N533" s="78">
        <f>IF(OR(L533="",M533&lt;&gt;"Yes"),"",IF(COUNTIFS('Vault'!$C$6:$C$1005,"Contract",'Vault'!$D$6:$D$1005,L533)&gt;0,"✓","✗ missing"))</f>
        <v/>
      </c>
      <c r="O533" s="78">
        <f>IF(OR(L533="",M533&lt;&gt;"Yes"),"",IF(COUNTIFS('Vault'!$C$6:$C$1005,"Insurance",'Vault'!$D$6:$D$1005,L533)&gt;0,"✓","✗ missing"))</f>
        <v/>
      </c>
      <c r="P533" s="78">
        <f>IF(OR(L533="",M533&lt;&gt;"Yes"),"",IF(COUNTIFS('Vault'!$C$6:$C$1005,"Quote",'Vault'!$D$6:$D$1005,L533)&gt;0,"✓","✗ missing"))</f>
        <v/>
      </c>
      <c r="Q533" s="78">
        <f>IF(N533="","",IF(AND(N533="✓",O533="✓",P533="✓"),"✓ Complete","Missing documents"))</f>
        <v/>
      </c>
      <c r="R533" s="79">
        <f>IF(Q533="","",IF(Q533="✓ Complete",0,1))</f>
        <v/>
      </c>
    </row>
    <row r="534" ht="20" customHeight="1">
      <c r="B534" s="72" t="n"/>
      <c r="C534" s="72" t="n"/>
      <c r="D534" s="72" t="n"/>
      <c r="E534" s="72" t="n"/>
      <c r="F534" s="72" t="n"/>
      <c r="G534" s="109" t="n"/>
      <c r="H534" s="72" t="n"/>
      <c r="I534" s="78">
        <f>IF(H534="","",HYPERLINK(H534,"Open ↗"))</f>
        <v/>
      </c>
      <c r="J534" s="72" t="n"/>
      <c r="L534" s="116">
        <f>IF('Contractors'!B534="","",'Contractors'!B534)</f>
        <v/>
      </c>
      <c r="M534" s="78">
        <f>IF(L534="","",'Contractors'!L534)</f>
        <v/>
      </c>
      <c r="N534" s="78">
        <f>IF(OR(L534="",M534&lt;&gt;"Yes"),"",IF(COUNTIFS('Vault'!$C$6:$C$1005,"Contract",'Vault'!$D$6:$D$1005,L534)&gt;0,"✓","✗ missing"))</f>
        <v/>
      </c>
      <c r="O534" s="78">
        <f>IF(OR(L534="",M534&lt;&gt;"Yes"),"",IF(COUNTIFS('Vault'!$C$6:$C$1005,"Insurance",'Vault'!$D$6:$D$1005,L534)&gt;0,"✓","✗ missing"))</f>
        <v/>
      </c>
      <c r="P534" s="78">
        <f>IF(OR(L534="",M534&lt;&gt;"Yes"),"",IF(COUNTIFS('Vault'!$C$6:$C$1005,"Quote",'Vault'!$D$6:$D$1005,L534)&gt;0,"✓","✗ missing"))</f>
        <v/>
      </c>
      <c r="Q534" s="78">
        <f>IF(N534="","",IF(AND(N534="✓",O534="✓",P534="✓"),"✓ Complete","Missing documents"))</f>
        <v/>
      </c>
      <c r="R534" s="79">
        <f>IF(Q534="","",IF(Q534="✓ Complete",0,1))</f>
        <v/>
      </c>
    </row>
    <row r="535" ht="20" customHeight="1">
      <c r="B535" s="72" t="n"/>
      <c r="C535" s="72" t="n"/>
      <c r="D535" s="72" t="n"/>
      <c r="E535" s="72" t="n"/>
      <c r="F535" s="72" t="n"/>
      <c r="G535" s="109" t="n"/>
      <c r="H535" s="72" t="n"/>
      <c r="I535" s="78">
        <f>IF(H535="","",HYPERLINK(H535,"Open ↗"))</f>
        <v/>
      </c>
      <c r="J535" s="72" t="n"/>
      <c r="L535" s="116">
        <f>IF('Contractors'!B535="","",'Contractors'!B535)</f>
        <v/>
      </c>
      <c r="M535" s="78">
        <f>IF(L535="","",'Contractors'!L535)</f>
        <v/>
      </c>
      <c r="N535" s="78">
        <f>IF(OR(L535="",M535&lt;&gt;"Yes"),"",IF(COUNTIFS('Vault'!$C$6:$C$1005,"Contract",'Vault'!$D$6:$D$1005,L535)&gt;0,"✓","✗ missing"))</f>
        <v/>
      </c>
      <c r="O535" s="78">
        <f>IF(OR(L535="",M535&lt;&gt;"Yes"),"",IF(COUNTIFS('Vault'!$C$6:$C$1005,"Insurance",'Vault'!$D$6:$D$1005,L535)&gt;0,"✓","✗ missing"))</f>
        <v/>
      </c>
      <c r="P535" s="78">
        <f>IF(OR(L535="",M535&lt;&gt;"Yes"),"",IF(COUNTIFS('Vault'!$C$6:$C$1005,"Quote",'Vault'!$D$6:$D$1005,L535)&gt;0,"✓","✗ missing"))</f>
        <v/>
      </c>
      <c r="Q535" s="78">
        <f>IF(N535="","",IF(AND(N535="✓",O535="✓",P535="✓"),"✓ Complete","Missing documents"))</f>
        <v/>
      </c>
      <c r="R535" s="79">
        <f>IF(Q535="","",IF(Q535="✓ Complete",0,1))</f>
        <v/>
      </c>
    </row>
    <row r="536" ht="20" customHeight="1">
      <c r="B536" s="72" t="n"/>
      <c r="C536" s="72" t="n"/>
      <c r="D536" s="72" t="n"/>
      <c r="E536" s="72" t="n"/>
      <c r="F536" s="72" t="n"/>
      <c r="G536" s="109" t="n"/>
      <c r="H536" s="72" t="n"/>
      <c r="I536" s="78">
        <f>IF(H536="","",HYPERLINK(H536,"Open ↗"))</f>
        <v/>
      </c>
      <c r="J536" s="72" t="n"/>
      <c r="L536" s="116">
        <f>IF('Contractors'!B536="","",'Contractors'!B536)</f>
        <v/>
      </c>
      <c r="M536" s="78">
        <f>IF(L536="","",'Contractors'!L536)</f>
        <v/>
      </c>
      <c r="N536" s="78">
        <f>IF(OR(L536="",M536&lt;&gt;"Yes"),"",IF(COUNTIFS('Vault'!$C$6:$C$1005,"Contract",'Vault'!$D$6:$D$1005,L536)&gt;0,"✓","✗ missing"))</f>
        <v/>
      </c>
      <c r="O536" s="78">
        <f>IF(OR(L536="",M536&lt;&gt;"Yes"),"",IF(COUNTIFS('Vault'!$C$6:$C$1005,"Insurance",'Vault'!$D$6:$D$1005,L536)&gt;0,"✓","✗ missing"))</f>
        <v/>
      </c>
      <c r="P536" s="78">
        <f>IF(OR(L536="",M536&lt;&gt;"Yes"),"",IF(COUNTIFS('Vault'!$C$6:$C$1005,"Quote",'Vault'!$D$6:$D$1005,L536)&gt;0,"✓","✗ missing"))</f>
        <v/>
      </c>
      <c r="Q536" s="78">
        <f>IF(N536="","",IF(AND(N536="✓",O536="✓",P536="✓"),"✓ Complete","Missing documents"))</f>
        <v/>
      </c>
      <c r="R536" s="79">
        <f>IF(Q536="","",IF(Q536="✓ Complete",0,1))</f>
        <v/>
      </c>
    </row>
    <row r="537" ht="20" customHeight="1">
      <c r="B537" s="72" t="n"/>
      <c r="C537" s="72" t="n"/>
      <c r="D537" s="72" t="n"/>
      <c r="E537" s="72" t="n"/>
      <c r="F537" s="72" t="n"/>
      <c r="G537" s="109" t="n"/>
      <c r="H537" s="72" t="n"/>
      <c r="I537" s="78">
        <f>IF(H537="","",HYPERLINK(H537,"Open ↗"))</f>
        <v/>
      </c>
      <c r="J537" s="72" t="n"/>
      <c r="L537" s="116">
        <f>IF('Contractors'!B537="","",'Contractors'!B537)</f>
        <v/>
      </c>
      <c r="M537" s="78">
        <f>IF(L537="","",'Contractors'!L537)</f>
        <v/>
      </c>
      <c r="N537" s="78">
        <f>IF(OR(L537="",M537&lt;&gt;"Yes"),"",IF(COUNTIFS('Vault'!$C$6:$C$1005,"Contract",'Vault'!$D$6:$D$1005,L537)&gt;0,"✓","✗ missing"))</f>
        <v/>
      </c>
      <c r="O537" s="78">
        <f>IF(OR(L537="",M537&lt;&gt;"Yes"),"",IF(COUNTIFS('Vault'!$C$6:$C$1005,"Insurance",'Vault'!$D$6:$D$1005,L537)&gt;0,"✓","✗ missing"))</f>
        <v/>
      </c>
      <c r="P537" s="78">
        <f>IF(OR(L537="",M537&lt;&gt;"Yes"),"",IF(COUNTIFS('Vault'!$C$6:$C$1005,"Quote",'Vault'!$D$6:$D$1005,L537)&gt;0,"✓","✗ missing"))</f>
        <v/>
      </c>
      <c r="Q537" s="78">
        <f>IF(N537="","",IF(AND(N537="✓",O537="✓",P537="✓"),"✓ Complete","Missing documents"))</f>
        <v/>
      </c>
      <c r="R537" s="79">
        <f>IF(Q537="","",IF(Q537="✓ Complete",0,1))</f>
        <v/>
      </c>
    </row>
    <row r="538" ht="20" customHeight="1">
      <c r="B538" s="72" t="n"/>
      <c r="C538" s="72" t="n"/>
      <c r="D538" s="72" t="n"/>
      <c r="E538" s="72" t="n"/>
      <c r="F538" s="72" t="n"/>
      <c r="G538" s="109" t="n"/>
      <c r="H538" s="72" t="n"/>
      <c r="I538" s="78">
        <f>IF(H538="","",HYPERLINK(H538,"Open ↗"))</f>
        <v/>
      </c>
      <c r="J538" s="72" t="n"/>
      <c r="L538" s="116">
        <f>IF('Contractors'!B538="","",'Contractors'!B538)</f>
        <v/>
      </c>
      <c r="M538" s="78">
        <f>IF(L538="","",'Contractors'!L538)</f>
        <v/>
      </c>
      <c r="N538" s="78">
        <f>IF(OR(L538="",M538&lt;&gt;"Yes"),"",IF(COUNTIFS('Vault'!$C$6:$C$1005,"Contract",'Vault'!$D$6:$D$1005,L538)&gt;0,"✓","✗ missing"))</f>
        <v/>
      </c>
      <c r="O538" s="78">
        <f>IF(OR(L538="",M538&lt;&gt;"Yes"),"",IF(COUNTIFS('Vault'!$C$6:$C$1005,"Insurance",'Vault'!$D$6:$D$1005,L538)&gt;0,"✓","✗ missing"))</f>
        <v/>
      </c>
      <c r="P538" s="78">
        <f>IF(OR(L538="",M538&lt;&gt;"Yes"),"",IF(COUNTIFS('Vault'!$C$6:$C$1005,"Quote",'Vault'!$D$6:$D$1005,L538)&gt;0,"✓","✗ missing"))</f>
        <v/>
      </c>
      <c r="Q538" s="78">
        <f>IF(N538="","",IF(AND(N538="✓",O538="✓",P538="✓"),"✓ Complete","Missing documents"))</f>
        <v/>
      </c>
      <c r="R538" s="79">
        <f>IF(Q538="","",IF(Q538="✓ Complete",0,1))</f>
        <v/>
      </c>
    </row>
    <row r="539" ht="20" customHeight="1">
      <c r="B539" s="72" t="n"/>
      <c r="C539" s="72" t="n"/>
      <c r="D539" s="72" t="n"/>
      <c r="E539" s="72" t="n"/>
      <c r="F539" s="72" t="n"/>
      <c r="G539" s="109" t="n"/>
      <c r="H539" s="72" t="n"/>
      <c r="I539" s="78">
        <f>IF(H539="","",HYPERLINK(H539,"Open ↗"))</f>
        <v/>
      </c>
      <c r="J539" s="72" t="n"/>
      <c r="L539" s="116">
        <f>IF('Contractors'!B539="","",'Contractors'!B539)</f>
        <v/>
      </c>
      <c r="M539" s="78">
        <f>IF(L539="","",'Contractors'!L539)</f>
        <v/>
      </c>
      <c r="N539" s="78">
        <f>IF(OR(L539="",M539&lt;&gt;"Yes"),"",IF(COUNTIFS('Vault'!$C$6:$C$1005,"Contract",'Vault'!$D$6:$D$1005,L539)&gt;0,"✓","✗ missing"))</f>
        <v/>
      </c>
      <c r="O539" s="78">
        <f>IF(OR(L539="",M539&lt;&gt;"Yes"),"",IF(COUNTIFS('Vault'!$C$6:$C$1005,"Insurance",'Vault'!$D$6:$D$1005,L539)&gt;0,"✓","✗ missing"))</f>
        <v/>
      </c>
      <c r="P539" s="78">
        <f>IF(OR(L539="",M539&lt;&gt;"Yes"),"",IF(COUNTIFS('Vault'!$C$6:$C$1005,"Quote",'Vault'!$D$6:$D$1005,L539)&gt;0,"✓","✗ missing"))</f>
        <v/>
      </c>
      <c r="Q539" s="78">
        <f>IF(N539="","",IF(AND(N539="✓",O539="✓",P539="✓"),"✓ Complete","Missing documents"))</f>
        <v/>
      </c>
      <c r="R539" s="79">
        <f>IF(Q539="","",IF(Q539="✓ Complete",0,1))</f>
        <v/>
      </c>
    </row>
    <row r="540" ht="20" customHeight="1">
      <c r="B540" s="72" t="n"/>
      <c r="C540" s="72" t="n"/>
      <c r="D540" s="72" t="n"/>
      <c r="E540" s="72" t="n"/>
      <c r="F540" s="72" t="n"/>
      <c r="G540" s="109" t="n"/>
      <c r="H540" s="72" t="n"/>
      <c r="I540" s="78">
        <f>IF(H540="","",HYPERLINK(H540,"Open ↗"))</f>
        <v/>
      </c>
      <c r="J540" s="72" t="n"/>
      <c r="L540" s="116">
        <f>IF('Contractors'!B540="","",'Contractors'!B540)</f>
        <v/>
      </c>
      <c r="M540" s="78">
        <f>IF(L540="","",'Contractors'!L540)</f>
        <v/>
      </c>
      <c r="N540" s="78">
        <f>IF(OR(L540="",M540&lt;&gt;"Yes"),"",IF(COUNTIFS('Vault'!$C$6:$C$1005,"Contract",'Vault'!$D$6:$D$1005,L540)&gt;0,"✓","✗ missing"))</f>
        <v/>
      </c>
      <c r="O540" s="78">
        <f>IF(OR(L540="",M540&lt;&gt;"Yes"),"",IF(COUNTIFS('Vault'!$C$6:$C$1005,"Insurance",'Vault'!$D$6:$D$1005,L540)&gt;0,"✓","✗ missing"))</f>
        <v/>
      </c>
      <c r="P540" s="78">
        <f>IF(OR(L540="",M540&lt;&gt;"Yes"),"",IF(COUNTIFS('Vault'!$C$6:$C$1005,"Quote",'Vault'!$D$6:$D$1005,L540)&gt;0,"✓","✗ missing"))</f>
        <v/>
      </c>
      <c r="Q540" s="78">
        <f>IF(N540="","",IF(AND(N540="✓",O540="✓",P540="✓"),"✓ Complete","Missing documents"))</f>
        <v/>
      </c>
      <c r="R540" s="79">
        <f>IF(Q540="","",IF(Q540="✓ Complete",0,1))</f>
        <v/>
      </c>
    </row>
    <row r="541" ht="20" customHeight="1">
      <c r="B541" s="72" t="n"/>
      <c r="C541" s="72" t="n"/>
      <c r="D541" s="72" t="n"/>
      <c r="E541" s="72" t="n"/>
      <c r="F541" s="72" t="n"/>
      <c r="G541" s="109" t="n"/>
      <c r="H541" s="72" t="n"/>
      <c r="I541" s="78">
        <f>IF(H541="","",HYPERLINK(H541,"Open ↗"))</f>
        <v/>
      </c>
      <c r="J541" s="72" t="n"/>
      <c r="L541" s="116">
        <f>IF('Contractors'!B541="","",'Contractors'!B541)</f>
        <v/>
      </c>
      <c r="M541" s="78">
        <f>IF(L541="","",'Contractors'!L541)</f>
        <v/>
      </c>
      <c r="N541" s="78">
        <f>IF(OR(L541="",M541&lt;&gt;"Yes"),"",IF(COUNTIFS('Vault'!$C$6:$C$1005,"Contract",'Vault'!$D$6:$D$1005,L541)&gt;0,"✓","✗ missing"))</f>
        <v/>
      </c>
      <c r="O541" s="78">
        <f>IF(OR(L541="",M541&lt;&gt;"Yes"),"",IF(COUNTIFS('Vault'!$C$6:$C$1005,"Insurance",'Vault'!$D$6:$D$1005,L541)&gt;0,"✓","✗ missing"))</f>
        <v/>
      </c>
      <c r="P541" s="78">
        <f>IF(OR(L541="",M541&lt;&gt;"Yes"),"",IF(COUNTIFS('Vault'!$C$6:$C$1005,"Quote",'Vault'!$D$6:$D$1005,L541)&gt;0,"✓","✗ missing"))</f>
        <v/>
      </c>
      <c r="Q541" s="78">
        <f>IF(N541="","",IF(AND(N541="✓",O541="✓",P541="✓"),"✓ Complete","Missing documents"))</f>
        <v/>
      </c>
      <c r="R541" s="79">
        <f>IF(Q541="","",IF(Q541="✓ Complete",0,1))</f>
        <v/>
      </c>
    </row>
    <row r="542" ht="20" customHeight="1">
      <c r="B542" s="72" t="n"/>
      <c r="C542" s="72" t="n"/>
      <c r="D542" s="72" t="n"/>
      <c r="E542" s="72" t="n"/>
      <c r="F542" s="72" t="n"/>
      <c r="G542" s="109" t="n"/>
      <c r="H542" s="72" t="n"/>
      <c r="I542" s="78">
        <f>IF(H542="","",HYPERLINK(H542,"Open ↗"))</f>
        <v/>
      </c>
      <c r="J542" s="72" t="n"/>
      <c r="L542" s="116">
        <f>IF('Contractors'!B542="","",'Contractors'!B542)</f>
        <v/>
      </c>
      <c r="M542" s="78">
        <f>IF(L542="","",'Contractors'!L542)</f>
        <v/>
      </c>
      <c r="N542" s="78">
        <f>IF(OR(L542="",M542&lt;&gt;"Yes"),"",IF(COUNTIFS('Vault'!$C$6:$C$1005,"Contract",'Vault'!$D$6:$D$1005,L542)&gt;0,"✓","✗ missing"))</f>
        <v/>
      </c>
      <c r="O542" s="78">
        <f>IF(OR(L542="",M542&lt;&gt;"Yes"),"",IF(COUNTIFS('Vault'!$C$6:$C$1005,"Insurance",'Vault'!$D$6:$D$1005,L542)&gt;0,"✓","✗ missing"))</f>
        <v/>
      </c>
      <c r="P542" s="78">
        <f>IF(OR(L542="",M542&lt;&gt;"Yes"),"",IF(COUNTIFS('Vault'!$C$6:$C$1005,"Quote",'Vault'!$D$6:$D$1005,L542)&gt;0,"✓","✗ missing"))</f>
        <v/>
      </c>
      <c r="Q542" s="78">
        <f>IF(N542="","",IF(AND(N542="✓",O542="✓",P542="✓"),"✓ Complete","Missing documents"))</f>
        <v/>
      </c>
      <c r="R542" s="79">
        <f>IF(Q542="","",IF(Q542="✓ Complete",0,1))</f>
        <v/>
      </c>
    </row>
    <row r="543" ht="20" customHeight="1">
      <c r="B543" s="72" t="n"/>
      <c r="C543" s="72" t="n"/>
      <c r="D543" s="72" t="n"/>
      <c r="E543" s="72" t="n"/>
      <c r="F543" s="72" t="n"/>
      <c r="G543" s="109" t="n"/>
      <c r="H543" s="72" t="n"/>
      <c r="I543" s="78">
        <f>IF(H543="","",HYPERLINK(H543,"Open ↗"))</f>
        <v/>
      </c>
      <c r="J543" s="72" t="n"/>
      <c r="L543" s="116">
        <f>IF('Contractors'!B543="","",'Contractors'!B543)</f>
        <v/>
      </c>
      <c r="M543" s="78">
        <f>IF(L543="","",'Contractors'!L543)</f>
        <v/>
      </c>
      <c r="N543" s="78">
        <f>IF(OR(L543="",M543&lt;&gt;"Yes"),"",IF(COUNTIFS('Vault'!$C$6:$C$1005,"Contract",'Vault'!$D$6:$D$1005,L543)&gt;0,"✓","✗ missing"))</f>
        <v/>
      </c>
      <c r="O543" s="78">
        <f>IF(OR(L543="",M543&lt;&gt;"Yes"),"",IF(COUNTIFS('Vault'!$C$6:$C$1005,"Insurance",'Vault'!$D$6:$D$1005,L543)&gt;0,"✓","✗ missing"))</f>
        <v/>
      </c>
      <c r="P543" s="78">
        <f>IF(OR(L543="",M543&lt;&gt;"Yes"),"",IF(COUNTIFS('Vault'!$C$6:$C$1005,"Quote",'Vault'!$D$6:$D$1005,L543)&gt;0,"✓","✗ missing"))</f>
        <v/>
      </c>
      <c r="Q543" s="78">
        <f>IF(N543="","",IF(AND(N543="✓",O543="✓",P543="✓"),"✓ Complete","Missing documents"))</f>
        <v/>
      </c>
      <c r="R543" s="79">
        <f>IF(Q543="","",IF(Q543="✓ Complete",0,1))</f>
        <v/>
      </c>
    </row>
    <row r="544" ht="20" customHeight="1">
      <c r="B544" s="72" t="n"/>
      <c r="C544" s="72" t="n"/>
      <c r="D544" s="72" t="n"/>
      <c r="E544" s="72" t="n"/>
      <c r="F544" s="72" t="n"/>
      <c r="G544" s="109" t="n"/>
      <c r="H544" s="72" t="n"/>
      <c r="I544" s="78">
        <f>IF(H544="","",HYPERLINK(H544,"Open ↗"))</f>
        <v/>
      </c>
      <c r="J544" s="72" t="n"/>
      <c r="L544" s="116">
        <f>IF('Contractors'!B544="","",'Contractors'!B544)</f>
        <v/>
      </c>
      <c r="M544" s="78">
        <f>IF(L544="","",'Contractors'!L544)</f>
        <v/>
      </c>
      <c r="N544" s="78">
        <f>IF(OR(L544="",M544&lt;&gt;"Yes"),"",IF(COUNTIFS('Vault'!$C$6:$C$1005,"Contract",'Vault'!$D$6:$D$1005,L544)&gt;0,"✓","✗ missing"))</f>
        <v/>
      </c>
      <c r="O544" s="78">
        <f>IF(OR(L544="",M544&lt;&gt;"Yes"),"",IF(COUNTIFS('Vault'!$C$6:$C$1005,"Insurance",'Vault'!$D$6:$D$1005,L544)&gt;0,"✓","✗ missing"))</f>
        <v/>
      </c>
      <c r="P544" s="78">
        <f>IF(OR(L544="",M544&lt;&gt;"Yes"),"",IF(COUNTIFS('Vault'!$C$6:$C$1005,"Quote",'Vault'!$D$6:$D$1005,L544)&gt;0,"✓","✗ missing"))</f>
        <v/>
      </c>
      <c r="Q544" s="78">
        <f>IF(N544="","",IF(AND(N544="✓",O544="✓",P544="✓"),"✓ Complete","Missing documents"))</f>
        <v/>
      </c>
      <c r="R544" s="79">
        <f>IF(Q544="","",IF(Q544="✓ Complete",0,1))</f>
        <v/>
      </c>
    </row>
    <row r="545" ht="20" customHeight="1">
      <c r="B545" s="72" t="n"/>
      <c r="C545" s="72" t="n"/>
      <c r="D545" s="72" t="n"/>
      <c r="E545" s="72" t="n"/>
      <c r="F545" s="72" t="n"/>
      <c r="G545" s="109" t="n"/>
      <c r="H545" s="72" t="n"/>
      <c r="I545" s="78">
        <f>IF(H545="","",HYPERLINK(H545,"Open ↗"))</f>
        <v/>
      </c>
      <c r="J545" s="72" t="n"/>
      <c r="L545" s="116">
        <f>IF('Contractors'!B545="","",'Contractors'!B545)</f>
        <v/>
      </c>
      <c r="M545" s="78">
        <f>IF(L545="","",'Contractors'!L545)</f>
        <v/>
      </c>
      <c r="N545" s="78">
        <f>IF(OR(L545="",M545&lt;&gt;"Yes"),"",IF(COUNTIFS('Vault'!$C$6:$C$1005,"Contract",'Vault'!$D$6:$D$1005,L545)&gt;0,"✓","✗ missing"))</f>
        <v/>
      </c>
      <c r="O545" s="78">
        <f>IF(OR(L545="",M545&lt;&gt;"Yes"),"",IF(COUNTIFS('Vault'!$C$6:$C$1005,"Insurance",'Vault'!$D$6:$D$1005,L545)&gt;0,"✓","✗ missing"))</f>
        <v/>
      </c>
      <c r="P545" s="78">
        <f>IF(OR(L545="",M545&lt;&gt;"Yes"),"",IF(COUNTIFS('Vault'!$C$6:$C$1005,"Quote",'Vault'!$D$6:$D$1005,L545)&gt;0,"✓","✗ missing"))</f>
        <v/>
      </c>
      <c r="Q545" s="78">
        <f>IF(N545="","",IF(AND(N545="✓",O545="✓",P545="✓"),"✓ Complete","Missing documents"))</f>
        <v/>
      </c>
      <c r="R545" s="79">
        <f>IF(Q545="","",IF(Q545="✓ Complete",0,1))</f>
        <v/>
      </c>
    </row>
    <row r="546" ht="20" customHeight="1">
      <c r="B546" s="72" t="n"/>
      <c r="C546" s="72" t="n"/>
      <c r="D546" s="72" t="n"/>
      <c r="E546" s="72" t="n"/>
      <c r="F546" s="72" t="n"/>
      <c r="G546" s="109" t="n"/>
      <c r="H546" s="72" t="n"/>
      <c r="I546" s="78">
        <f>IF(H546="","",HYPERLINK(H546,"Open ↗"))</f>
        <v/>
      </c>
      <c r="J546" s="72" t="n"/>
      <c r="L546" s="116">
        <f>IF('Contractors'!B546="","",'Contractors'!B546)</f>
        <v/>
      </c>
      <c r="M546" s="78">
        <f>IF(L546="","",'Contractors'!L546)</f>
        <v/>
      </c>
      <c r="N546" s="78">
        <f>IF(OR(L546="",M546&lt;&gt;"Yes"),"",IF(COUNTIFS('Vault'!$C$6:$C$1005,"Contract",'Vault'!$D$6:$D$1005,L546)&gt;0,"✓","✗ missing"))</f>
        <v/>
      </c>
      <c r="O546" s="78">
        <f>IF(OR(L546="",M546&lt;&gt;"Yes"),"",IF(COUNTIFS('Vault'!$C$6:$C$1005,"Insurance",'Vault'!$D$6:$D$1005,L546)&gt;0,"✓","✗ missing"))</f>
        <v/>
      </c>
      <c r="P546" s="78">
        <f>IF(OR(L546="",M546&lt;&gt;"Yes"),"",IF(COUNTIFS('Vault'!$C$6:$C$1005,"Quote",'Vault'!$D$6:$D$1005,L546)&gt;0,"✓","✗ missing"))</f>
        <v/>
      </c>
      <c r="Q546" s="78">
        <f>IF(N546="","",IF(AND(N546="✓",O546="✓",P546="✓"),"✓ Complete","Missing documents"))</f>
        <v/>
      </c>
      <c r="R546" s="79">
        <f>IF(Q546="","",IF(Q546="✓ Complete",0,1))</f>
        <v/>
      </c>
    </row>
    <row r="547" ht="20" customHeight="1">
      <c r="B547" s="72" t="n"/>
      <c r="C547" s="72" t="n"/>
      <c r="D547" s="72" t="n"/>
      <c r="E547" s="72" t="n"/>
      <c r="F547" s="72" t="n"/>
      <c r="G547" s="109" t="n"/>
      <c r="H547" s="72" t="n"/>
      <c r="I547" s="78">
        <f>IF(H547="","",HYPERLINK(H547,"Open ↗"))</f>
        <v/>
      </c>
      <c r="J547" s="72" t="n"/>
      <c r="L547" s="116">
        <f>IF('Contractors'!B547="","",'Contractors'!B547)</f>
        <v/>
      </c>
      <c r="M547" s="78">
        <f>IF(L547="","",'Contractors'!L547)</f>
        <v/>
      </c>
      <c r="N547" s="78">
        <f>IF(OR(L547="",M547&lt;&gt;"Yes"),"",IF(COUNTIFS('Vault'!$C$6:$C$1005,"Contract",'Vault'!$D$6:$D$1005,L547)&gt;0,"✓","✗ missing"))</f>
        <v/>
      </c>
      <c r="O547" s="78">
        <f>IF(OR(L547="",M547&lt;&gt;"Yes"),"",IF(COUNTIFS('Vault'!$C$6:$C$1005,"Insurance",'Vault'!$D$6:$D$1005,L547)&gt;0,"✓","✗ missing"))</f>
        <v/>
      </c>
      <c r="P547" s="78">
        <f>IF(OR(L547="",M547&lt;&gt;"Yes"),"",IF(COUNTIFS('Vault'!$C$6:$C$1005,"Quote",'Vault'!$D$6:$D$1005,L547)&gt;0,"✓","✗ missing"))</f>
        <v/>
      </c>
      <c r="Q547" s="78">
        <f>IF(N547="","",IF(AND(N547="✓",O547="✓",P547="✓"),"✓ Complete","Missing documents"))</f>
        <v/>
      </c>
      <c r="R547" s="79">
        <f>IF(Q547="","",IF(Q547="✓ Complete",0,1))</f>
        <v/>
      </c>
    </row>
    <row r="548" ht="20" customHeight="1">
      <c r="B548" s="72" t="n"/>
      <c r="C548" s="72" t="n"/>
      <c r="D548" s="72" t="n"/>
      <c r="E548" s="72" t="n"/>
      <c r="F548" s="72" t="n"/>
      <c r="G548" s="109" t="n"/>
      <c r="H548" s="72" t="n"/>
      <c r="I548" s="78">
        <f>IF(H548="","",HYPERLINK(H548,"Open ↗"))</f>
        <v/>
      </c>
      <c r="J548" s="72" t="n"/>
      <c r="L548" s="116">
        <f>IF('Contractors'!B548="","",'Contractors'!B548)</f>
        <v/>
      </c>
      <c r="M548" s="78">
        <f>IF(L548="","",'Contractors'!L548)</f>
        <v/>
      </c>
      <c r="N548" s="78">
        <f>IF(OR(L548="",M548&lt;&gt;"Yes"),"",IF(COUNTIFS('Vault'!$C$6:$C$1005,"Contract",'Vault'!$D$6:$D$1005,L548)&gt;0,"✓","✗ missing"))</f>
        <v/>
      </c>
      <c r="O548" s="78">
        <f>IF(OR(L548="",M548&lt;&gt;"Yes"),"",IF(COUNTIFS('Vault'!$C$6:$C$1005,"Insurance",'Vault'!$D$6:$D$1005,L548)&gt;0,"✓","✗ missing"))</f>
        <v/>
      </c>
      <c r="P548" s="78">
        <f>IF(OR(L548="",M548&lt;&gt;"Yes"),"",IF(COUNTIFS('Vault'!$C$6:$C$1005,"Quote",'Vault'!$D$6:$D$1005,L548)&gt;0,"✓","✗ missing"))</f>
        <v/>
      </c>
      <c r="Q548" s="78">
        <f>IF(N548="","",IF(AND(N548="✓",O548="✓",P548="✓"),"✓ Complete","Missing documents"))</f>
        <v/>
      </c>
      <c r="R548" s="79">
        <f>IF(Q548="","",IF(Q548="✓ Complete",0,1))</f>
        <v/>
      </c>
    </row>
    <row r="549" ht="20" customHeight="1">
      <c r="B549" s="72" t="n"/>
      <c r="C549" s="72" t="n"/>
      <c r="D549" s="72" t="n"/>
      <c r="E549" s="72" t="n"/>
      <c r="F549" s="72" t="n"/>
      <c r="G549" s="109" t="n"/>
      <c r="H549" s="72" t="n"/>
      <c r="I549" s="78">
        <f>IF(H549="","",HYPERLINK(H549,"Open ↗"))</f>
        <v/>
      </c>
      <c r="J549" s="72" t="n"/>
      <c r="L549" s="116">
        <f>IF('Contractors'!B549="","",'Contractors'!B549)</f>
        <v/>
      </c>
      <c r="M549" s="78">
        <f>IF(L549="","",'Contractors'!L549)</f>
        <v/>
      </c>
      <c r="N549" s="78">
        <f>IF(OR(L549="",M549&lt;&gt;"Yes"),"",IF(COUNTIFS('Vault'!$C$6:$C$1005,"Contract",'Vault'!$D$6:$D$1005,L549)&gt;0,"✓","✗ missing"))</f>
        <v/>
      </c>
      <c r="O549" s="78">
        <f>IF(OR(L549="",M549&lt;&gt;"Yes"),"",IF(COUNTIFS('Vault'!$C$6:$C$1005,"Insurance",'Vault'!$D$6:$D$1005,L549)&gt;0,"✓","✗ missing"))</f>
        <v/>
      </c>
      <c r="P549" s="78">
        <f>IF(OR(L549="",M549&lt;&gt;"Yes"),"",IF(COUNTIFS('Vault'!$C$6:$C$1005,"Quote",'Vault'!$D$6:$D$1005,L549)&gt;0,"✓","✗ missing"))</f>
        <v/>
      </c>
      <c r="Q549" s="78">
        <f>IF(N549="","",IF(AND(N549="✓",O549="✓",P549="✓"),"✓ Complete","Missing documents"))</f>
        <v/>
      </c>
      <c r="R549" s="79">
        <f>IF(Q549="","",IF(Q549="✓ Complete",0,1))</f>
        <v/>
      </c>
    </row>
    <row r="550" ht="20" customHeight="1">
      <c r="B550" s="72" t="n"/>
      <c r="C550" s="72" t="n"/>
      <c r="D550" s="72" t="n"/>
      <c r="E550" s="72" t="n"/>
      <c r="F550" s="72" t="n"/>
      <c r="G550" s="109" t="n"/>
      <c r="H550" s="72" t="n"/>
      <c r="I550" s="78">
        <f>IF(H550="","",HYPERLINK(H550,"Open ↗"))</f>
        <v/>
      </c>
      <c r="J550" s="72" t="n"/>
      <c r="L550" s="116">
        <f>IF('Contractors'!B550="","",'Contractors'!B550)</f>
        <v/>
      </c>
      <c r="M550" s="78">
        <f>IF(L550="","",'Contractors'!L550)</f>
        <v/>
      </c>
      <c r="N550" s="78">
        <f>IF(OR(L550="",M550&lt;&gt;"Yes"),"",IF(COUNTIFS('Vault'!$C$6:$C$1005,"Contract",'Vault'!$D$6:$D$1005,L550)&gt;0,"✓","✗ missing"))</f>
        <v/>
      </c>
      <c r="O550" s="78">
        <f>IF(OR(L550="",M550&lt;&gt;"Yes"),"",IF(COUNTIFS('Vault'!$C$6:$C$1005,"Insurance",'Vault'!$D$6:$D$1005,L550)&gt;0,"✓","✗ missing"))</f>
        <v/>
      </c>
      <c r="P550" s="78">
        <f>IF(OR(L550="",M550&lt;&gt;"Yes"),"",IF(COUNTIFS('Vault'!$C$6:$C$1005,"Quote",'Vault'!$D$6:$D$1005,L550)&gt;0,"✓","✗ missing"))</f>
        <v/>
      </c>
      <c r="Q550" s="78">
        <f>IF(N550="","",IF(AND(N550="✓",O550="✓",P550="✓"),"✓ Complete","Missing documents"))</f>
        <v/>
      </c>
      <c r="R550" s="79">
        <f>IF(Q550="","",IF(Q550="✓ Complete",0,1))</f>
        <v/>
      </c>
    </row>
    <row r="551" ht="20" customHeight="1">
      <c r="B551" s="72" t="n"/>
      <c r="C551" s="72" t="n"/>
      <c r="D551" s="72" t="n"/>
      <c r="E551" s="72" t="n"/>
      <c r="F551" s="72" t="n"/>
      <c r="G551" s="109" t="n"/>
      <c r="H551" s="72" t="n"/>
      <c r="I551" s="78">
        <f>IF(H551="","",HYPERLINK(H551,"Open ↗"))</f>
        <v/>
      </c>
      <c r="J551" s="72" t="n"/>
      <c r="L551" s="116">
        <f>IF('Contractors'!B551="","",'Contractors'!B551)</f>
        <v/>
      </c>
      <c r="M551" s="78">
        <f>IF(L551="","",'Contractors'!L551)</f>
        <v/>
      </c>
      <c r="N551" s="78">
        <f>IF(OR(L551="",M551&lt;&gt;"Yes"),"",IF(COUNTIFS('Vault'!$C$6:$C$1005,"Contract",'Vault'!$D$6:$D$1005,L551)&gt;0,"✓","✗ missing"))</f>
        <v/>
      </c>
      <c r="O551" s="78">
        <f>IF(OR(L551="",M551&lt;&gt;"Yes"),"",IF(COUNTIFS('Vault'!$C$6:$C$1005,"Insurance",'Vault'!$D$6:$D$1005,L551)&gt;0,"✓","✗ missing"))</f>
        <v/>
      </c>
      <c r="P551" s="78">
        <f>IF(OR(L551="",M551&lt;&gt;"Yes"),"",IF(COUNTIFS('Vault'!$C$6:$C$1005,"Quote",'Vault'!$D$6:$D$1005,L551)&gt;0,"✓","✗ missing"))</f>
        <v/>
      </c>
      <c r="Q551" s="78">
        <f>IF(N551="","",IF(AND(N551="✓",O551="✓",P551="✓"),"✓ Complete","Missing documents"))</f>
        <v/>
      </c>
      <c r="R551" s="79">
        <f>IF(Q551="","",IF(Q551="✓ Complete",0,1))</f>
        <v/>
      </c>
    </row>
    <row r="552" ht="20" customHeight="1">
      <c r="B552" s="72" t="n"/>
      <c r="C552" s="72" t="n"/>
      <c r="D552" s="72" t="n"/>
      <c r="E552" s="72" t="n"/>
      <c r="F552" s="72" t="n"/>
      <c r="G552" s="109" t="n"/>
      <c r="H552" s="72" t="n"/>
      <c r="I552" s="78">
        <f>IF(H552="","",HYPERLINK(H552,"Open ↗"))</f>
        <v/>
      </c>
      <c r="J552" s="72" t="n"/>
      <c r="L552" s="116">
        <f>IF('Contractors'!B552="","",'Contractors'!B552)</f>
        <v/>
      </c>
      <c r="M552" s="78">
        <f>IF(L552="","",'Contractors'!L552)</f>
        <v/>
      </c>
      <c r="N552" s="78">
        <f>IF(OR(L552="",M552&lt;&gt;"Yes"),"",IF(COUNTIFS('Vault'!$C$6:$C$1005,"Contract",'Vault'!$D$6:$D$1005,L552)&gt;0,"✓","✗ missing"))</f>
        <v/>
      </c>
      <c r="O552" s="78">
        <f>IF(OR(L552="",M552&lt;&gt;"Yes"),"",IF(COUNTIFS('Vault'!$C$6:$C$1005,"Insurance",'Vault'!$D$6:$D$1005,L552)&gt;0,"✓","✗ missing"))</f>
        <v/>
      </c>
      <c r="P552" s="78">
        <f>IF(OR(L552="",M552&lt;&gt;"Yes"),"",IF(COUNTIFS('Vault'!$C$6:$C$1005,"Quote",'Vault'!$D$6:$D$1005,L552)&gt;0,"✓","✗ missing"))</f>
        <v/>
      </c>
      <c r="Q552" s="78">
        <f>IF(N552="","",IF(AND(N552="✓",O552="✓",P552="✓"),"✓ Complete","Missing documents"))</f>
        <v/>
      </c>
      <c r="R552" s="79">
        <f>IF(Q552="","",IF(Q552="✓ Complete",0,1))</f>
        <v/>
      </c>
    </row>
    <row r="553" ht="20" customHeight="1">
      <c r="B553" s="72" t="n"/>
      <c r="C553" s="72" t="n"/>
      <c r="D553" s="72" t="n"/>
      <c r="E553" s="72" t="n"/>
      <c r="F553" s="72" t="n"/>
      <c r="G553" s="109" t="n"/>
      <c r="H553" s="72" t="n"/>
      <c r="I553" s="78">
        <f>IF(H553="","",HYPERLINK(H553,"Open ↗"))</f>
        <v/>
      </c>
      <c r="J553" s="72" t="n"/>
      <c r="L553" s="116">
        <f>IF('Contractors'!B553="","",'Contractors'!B553)</f>
        <v/>
      </c>
      <c r="M553" s="78">
        <f>IF(L553="","",'Contractors'!L553)</f>
        <v/>
      </c>
      <c r="N553" s="78">
        <f>IF(OR(L553="",M553&lt;&gt;"Yes"),"",IF(COUNTIFS('Vault'!$C$6:$C$1005,"Contract",'Vault'!$D$6:$D$1005,L553)&gt;0,"✓","✗ missing"))</f>
        <v/>
      </c>
      <c r="O553" s="78">
        <f>IF(OR(L553="",M553&lt;&gt;"Yes"),"",IF(COUNTIFS('Vault'!$C$6:$C$1005,"Insurance",'Vault'!$D$6:$D$1005,L553)&gt;0,"✓","✗ missing"))</f>
        <v/>
      </c>
      <c r="P553" s="78">
        <f>IF(OR(L553="",M553&lt;&gt;"Yes"),"",IF(COUNTIFS('Vault'!$C$6:$C$1005,"Quote",'Vault'!$D$6:$D$1005,L553)&gt;0,"✓","✗ missing"))</f>
        <v/>
      </c>
      <c r="Q553" s="78">
        <f>IF(N553="","",IF(AND(N553="✓",O553="✓",P553="✓"),"✓ Complete","Missing documents"))</f>
        <v/>
      </c>
      <c r="R553" s="79">
        <f>IF(Q553="","",IF(Q553="✓ Complete",0,1))</f>
        <v/>
      </c>
    </row>
    <row r="554" ht="20" customHeight="1">
      <c r="B554" s="72" t="n"/>
      <c r="C554" s="72" t="n"/>
      <c r="D554" s="72" t="n"/>
      <c r="E554" s="72" t="n"/>
      <c r="F554" s="72" t="n"/>
      <c r="G554" s="109" t="n"/>
      <c r="H554" s="72" t="n"/>
      <c r="I554" s="78">
        <f>IF(H554="","",HYPERLINK(H554,"Open ↗"))</f>
        <v/>
      </c>
      <c r="J554" s="72" t="n"/>
      <c r="L554" s="116">
        <f>IF('Contractors'!B554="","",'Contractors'!B554)</f>
        <v/>
      </c>
      <c r="M554" s="78">
        <f>IF(L554="","",'Contractors'!L554)</f>
        <v/>
      </c>
      <c r="N554" s="78">
        <f>IF(OR(L554="",M554&lt;&gt;"Yes"),"",IF(COUNTIFS('Vault'!$C$6:$C$1005,"Contract",'Vault'!$D$6:$D$1005,L554)&gt;0,"✓","✗ missing"))</f>
        <v/>
      </c>
      <c r="O554" s="78">
        <f>IF(OR(L554="",M554&lt;&gt;"Yes"),"",IF(COUNTIFS('Vault'!$C$6:$C$1005,"Insurance",'Vault'!$D$6:$D$1005,L554)&gt;0,"✓","✗ missing"))</f>
        <v/>
      </c>
      <c r="P554" s="78">
        <f>IF(OR(L554="",M554&lt;&gt;"Yes"),"",IF(COUNTIFS('Vault'!$C$6:$C$1005,"Quote",'Vault'!$D$6:$D$1005,L554)&gt;0,"✓","✗ missing"))</f>
        <v/>
      </c>
      <c r="Q554" s="78">
        <f>IF(N554="","",IF(AND(N554="✓",O554="✓",P554="✓"),"✓ Complete","Missing documents"))</f>
        <v/>
      </c>
      <c r="R554" s="79">
        <f>IF(Q554="","",IF(Q554="✓ Complete",0,1))</f>
        <v/>
      </c>
    </row>
    <row r="555" ht="20" customHeight="1">
      <c r="B555" s="72" t="n"/>
      <c r="C555" s="72" t="n"/>
      <c r="D555" s="72" t="n"/>
      <c r="E555" s="72" t="n"/>
      <c r="F555" s="72" t="n"/>
      <c r="G555" s="109" t="n"/>
      <c r="H555" s="72" t="n"/>
      <c r="I555" s="78">
        <f>IF(H555="","",HYPERLINK(H555,"Open ↗"))</f>
        <v/>
      </c>
      <c r="J555" s="72" t="n"/>
      <c r="L555" s="116">
        <f>IF('Contractors'!B555="","",'Contractors'!B555)</f>
        <v/>
      </c>
      <c r="M555" s="78">
        <f>IF(L555="","",'Contractors'!L555)</f>
        <v/>
      </c>
      <c r="N555" s="78">
        <f>IF(OR(L555="",M555&lt;&gt;"Yes"),"",IF(COUNTIFS('Vault'!$C$6:$C$1005,"Contract",'Vault'!$D$6:$D$1005,L555)&gt;0,"✓","✗ missing"))</f>
        <v/>
      </c>
      <c r="O555" s="78">
        <f>IF(OR(L555="",M555&lt;&gt;"Yes"),"",IF(COUNTIFS('Vault'!$C$6:$C$1005,"Insurance",'Vault'!$D$6:$D$1005,L555)&gt;0,"✓","✗ missing"))</f>
        <v/>
      </c>
      <c r="P555" s="78">
        <f>IF(OR(L555="",M555&lt;&gt;"Yes"),"",IF(COUNTIFS('Vault'!$C$6:$C$1005,"Quote",'Vault'!$D$6:$D$1005,L555)&gt;0,"✓","✗ missing"))</f>
        <v/>
      </c>
      <c r="Q555" s="78">
        <f>IF(N555="","",IF(AND(N555="✓",O555="✓",P555="✓"),"✓ Complete","Missing documents"))</f>
        <v/>
      </c>
      <c r="R555" s="79">
        <f>IF(Q555="","",IF(Q555="✓ Complete",0,1))</f>
        <v/>
      </c>
    </row>
    <row r="556" ht="20" customHeight="1">
      <c r="B556" s="72" t="n"/>
      <c r="C556" s="72" t="n"/>
      <c r="D556" s="72" t="n"/>
      <c r="E556" s="72" t="n"/>
      <c r="F556" s="72" t="n"/>
      <c r="G556" s="109" t="n"/>
      <c r="H556" s="72" t="n"/>
      <c r="I556" s="78">
        <f>IF(H556="","",HYPERLINK(H556,"Open ↗"))</f>
        <v/>
      </c>
      <c r="J556" s="72" t="n"/>
      <c r="L556" s="116">
        <f>IF('Contractors'!B556="","",'Contractors'!B556)</f>
        <v/>
      </c>
      <c r="M556" s="78">
        <f>IF(L556="","",'Contractors'!L556)</f>
        <v/>
      </c>
      <c r="N556" s="78">
        <f>IF(OR(L556="",M556&lt;&gt;"Yes"),"",IF(COUNTIFS('Vault'!$C$6:$C$1005,"Contract",'Vault'!$D$6:$D$1005,L556)&gt;0,"✓","✗ missing"))</f>
        <v/>
      </c>
      <c r="O556" s="78">
        <f>IF(OR(L556="",M556&lt;&gt;"Yes"),"",IF(COUNTIFS('Vault'!$C$6:$C$1005,"Insurance",'Vault'!$D$6:$D$1005,L556)&gt;0,"✓","✗ missing"))</f>
        <v/>
      </c>
      <c r="P556" s="78">
        <f>IF(OR(L556="",M556&lt;&gt;"Yes"),"",IF(COUNTIFS('Vault'!$C$6:$C$1005,"Quote",'Vault'!$D$6:$D$1005,L556)&gt;0,"✓","✗ missing"))</f>
        <v/>
      </c>
      <c r="Q556" s="78">
        <f>IF(N556="","",IF(AND(N556="✓",O556="✓",P556="✓"),"✓ Complete","Missing documents"))</f>
        <v/>
      </c>
      <c r="R556" s="79">
        <f>IF(Q556="","",IF(Q556="✓ Complete",0,1))</f>
        <v/>
      </c>
    </row>
    <row r="557" ht="20" customHeight="1">
      <c r="B557" s="72" t="n"/>
      <c r="C557" s="72" t="n"/>
      <c r="D557" s="72" t="n"/>
      <c r="E557" s="72" t="n"/>
      <c r="F557" s="72" t="n"/>
      <c r="G557" s="109" t="n"/>
      <c r="H557" s="72" t="n"/>
      <c r="I557" s="78">
        <f>IF(H557="","",HYPERLINK(H557,"Open ↗"))</f>
        <v/>
      </c>
      <c r="J557" s="72" t="n"/>
      <c r="L557" s="116">
        <f>IF('Contractors'!B557="","",'Contractors'!B557)</f>
        <v/>
      </c>
      <c r="M557" s="78">
        <f>IF(L557="","",'Contractors'!L557)</f>
        <v/>
      </c>
      <c r="N557" s="78">
        <f>IF(OR(L557="",M557&lt;&gt;"Yes"),"",IF(COUNTIFS('Vault'!$C$6:$C$1005,"Contract",'Vault'!$D$6:$D$1005,L557)&gt;0,"✓","✗ missing"))</f>
        <v/>
      </c>
      <c r="O557" s="78">
        <f>IF(OR(L557="",M557&lt;&gt;"Yes"),"",IF(COUNTIFS('Vault'!$C$6:$C$1005,"Insurance",'Vault'!$D$6:$D$1005,L557)&gt;0,"✓","✗ missing"))</f>
        <v/>
      </c>
      <c r="P557" s="78">
        <f>IF(OR(L557="",M557&lt;&gt;"Yes"),"",IF(COUNTIFS('Vault'!$C$6:$C$1005,"Quote",'Vault'!$D$6:$D$1005,L557)&gt;0,"✓","✗ missing"))</f>
        <v/>
      </c>
      <c r="Q557" s="78">
        <f>IF(N557="","",IF(AND(N557="✓",O557="✓",P557="✓"),"✓ Complete","Missing documents"))</f>
        <v/>
      </c>
      <c r="R557" s="79">
        <f>IF(Q557="","",IF(Q557="✓ Complete",0,1))</f>
        <v/>
      </c>
    </row>
    <row r="558" ht="20" customHeight="1">
      <c r="B558" s="72" t="n"/>
      <c r="C558" s="72" t="n"/>
      <c r="D558" s="72" t="n"/>
      <c r="E558" s="72" t="n"/>
      <c r="F558" s="72" t="n"/>
      <c r="G558" s="109" t="n"/>
      <c r="H558" s="72" t="n"/>
      <c r="I558" s="78">
        <f>IF(H558="","",HYPERLINK(H558,"Open ↗"))</f>
        <v/>
      </c>
      <c r="J558" s="72" t="n"/>
      <c r="L558" s="116">
        <f>IF('Contractors'!B558="","",'Contractors'!B558)</f>
        <v/>
      </c>
      <c r="M558" s="78">
        <f>IF(L558="","",'Contractors'!L558)</f>
        <v/>
      </c>
      <c r="N558" s="78">
        <f>IF(OR(L558="",M558&lt;&gt;"Yes"),"",IF(COUNTIFS('Vault'!$C$6:$C$1005,"Contract",'Vault'!$D$6:$D$1005,L558)&gt;0,"✓","✗ missing"))</f>
        <v/>
      </c>
      <c r="O558" s="78">
        <f>IF(OR(L558="",M558&lt;&gt;"Yes"),"",IF(COUNTIFS('Vault'!$C$6:$C$1005,"Insurance",'Vault'!$D$6:$D$1005,L558)&gt;0,"✓","✗ missing"))</f>
        <v/>
      </c>
      <c r="P558" s="78">
        <f>IF(OR(L558="",M558&lt;&gt;"Yes"),"",IF(COUNTIFS('Vault'!$C$6:$C$1005,"Quote",'Vault'!$D$6:$D$1005,L558)&gt;0,"✓","✗ missing"))</f>
        <v/>
      </c>
      <c r="Q558" s="78">
        <f>IF(N558="","",IF(AND(N558="✓",O558="✓",P558="✓"),"✓ Complete","Missing documents"))</f>
        <v/>
      </c>
      <c r="R558" s="79">
        <f>IF(Q558="","",IF(Q558="✓ Complete",0,1))</f>
        <v/>
      </c>
    </row>
    <row r="559" ht="20" customHeight="1">
      <c r="B559" s="72" t="n"/>
      <c r="C559" s="72" t="n"/>
      <c r="D559" s="72" t="n"/>
      <c r="E559" s="72" t="n"/>
      <c r="F559" s="72" t="n"/>
      <c r="G559" s="109" t="n"/>
      <c r="H559" s="72" t="n"/>
      <c r="I559" s="78">
        <f>IF(H559="","",HYPERLINK(H559,"Open ↗"))</f>
        <v/>
      </c>
      <c r="J559" s="72" t="n"/>
      <c r="L559" s="116">
        <f>IF('Contractors'!B559="","",'Contractors'!B559)</f>
        <v/>
      </c>
      <c r="M559" s="78">
        <f>IF(L559="","",'Contractors'!L559)</f>
        <v/>
      </c>
      <c r="N559" s="78">
        <f>IF(OR(L559="",M559&lt;&gt;"Yes"),"",IF(COUNTIFS('Vault'!$C$6:$C$1005,"Contract",'Vault'!$D$6:$D$1005,L559)&gt;0,"✓","✗ missing"))</f>
        <v/>
      </c>
      <c r="O559" s="78">
        <f>IF(OR(L559="",M559&lt;&gt;"Yes"),"",IF(COUNTIFS('Vault'!$C$6:$C$1005,"Insurance",'Vault'!$D$6:$D$1005,L559)&gt;0,"✓","✗ missing"))</f>
        <v/>
      </c>
      <c r="P559" s="78">
        <f>IF(OR(L559="",M559&lt;&gt;"Yes"),"",IF(COUNTIFS('Vault'!$C$6:$C$1005,"Quote",'Vault'!$D$6:$D$1005,L559)&gt;0,"✓","✗ missing"))</f>
        <v/>
      </c>
      <c r="Q559" s="78">
        <f>IF(N559="","",IF(AND(N559="✓",O559="✓",P559="✓"),"✓ Complete","Missing documents"))</f>
        <v/>
      </c>
      <c r="R559" s="79">
        <f>IF(Q559="","",IF(Q559="✓ Complete",0,1))</f>
        <v/>
      </c>
    </row>
    <row r="560" ht="20" customHeight="1">
      <c r="B560" s="72" t="n"/>
      <c r="C560" s="72" t="n"/>
      <c r="D560" s="72" t="n"/>
      <c r="E560" s="72" t="n"/>
      <c r="F560" s="72" t="n"/>
      <c r="G560" s="109" t="n"/>
      <c r="H560" s="72" t="n"/>
      <c r="I560" s="78">
        <f>IF(H560="","",HYPERLINK(H560,"Open ↗"))</f>
        <v/>
      </c>
      <c r="J560" s="72" t="n"/>
      <c r="L560" s="116">
        <f>IF('Contractors'!B560="","",'Contractors'!B560)</f>
        <v/>
      </c>
      <c r="M560" s="78">
        <f>IF(L560="","",'Contractors'!L560)</f>
        <v/>
      </c>
      <c r="N560" s="78">
        <f>IF(OR(L560="",M560&lt;&gt;"Yes"),"",IF(COUNTIFS('Vault'!$C$6:$C$1005,"Contract",'Vault'!$D$6:$D$1005,L560)&gt;0,"✓","✗ missing"))</f>
        <v/>
      </c>
      <c r="O560" s="78">
        <f>IF(OR(L560="",M560&lt;&gt;"Yes"),"",IF(COUNTIFS('Vault'!$C$6:$C$1005,"Insurance",'Vault'!$D$6:$D$1005,L560)&gt;0,"✓","✗ missing"))</f>
        <v/>
      </c>
      <c r="P560" s="78">
        <f>IF(OR(L560="",M560&lt;&gt;"Yes"),"",IF(COUNTIFS('Vault'!$C$6:$C$1005,"Quote",'Vault'!$D$6:$D$1005,L560)&gt;0,"✓","✗ missing"))</f>
        <v/>
      </c>
      <c r="Q560" s="78">
        <f>IF(N560="","",IF(AND(N560="✓",O560="✓",P560="✓"),"✓ Complete","Missing documents"))</f>
        <v/>
      </c>
      <c r="R560" s="79">
        <f>IF(Q560="","",IF(Q560="✓ Complete",0,1))</f>
        <v/>
      </c>
    </row>
    <row r="561" ht="20" customHeight="1">
      <c r="B561" s="72" t="n"/>
      <c r="C561" s="72" t="n"/>
      <c r="D561" s="72" t="n"/>
      <c r="E561" s="72" t="n"/>
      <c r="F561" s="72" t="n"/>
      <c r="G561" s="109" t="n"/>
      <c r="H561" s="72" t="n"/>
      <c r="I561" s="78">
        <f>IF(H561="","",HYPERLINK(H561,"Open ↗"))</f>
        <v/>
      </c>
      <c r="J561" s="72" t="n"/>
      <c r="L561" s="116">
        <f>IF('Contractors'!B561="","",'Contractors'!B561)</f>
        <v/>
      </c>
      <c r="M561" s="78">
        <f>IF(L561="","",'Contractors'!L561)</f>
        <v/>
      </c>
      <c r="N561" s="78">
        <f>IF(OR(L561="",M561&lt;&gt;"Yes"),"",IF(COUNTIFS('Vault'!$C$6:$C$1005,"Contract",'Vault'!$D$6:$D$1005,L561)&gt;0,"✓","✗ missing"))</f>
        <v/>
      </c>
      <c r="O561" s="78">
        <f>IF(OR(L561="",M561&lt;&gt;"Yes"),"",IF(COUNTIFS('Vault'!$C$6:$C$1005,"Insurance",'Vault'!$D$6:$D$1005,L561)&gt;0,"✓","✗ missing"))</f>
        <v/>
      </c>
      <c r="P561" s="78">
        <f>IF(OR(L561="",M561&lt;&gt;"Yes"),"",IF(COUNTIFS('Vault'!$C$6:$C$1005,"Quote",'Vault'!$D$6:$D$1005,L561)&gt;0,"✓","✗ missing"))</f>
        <v/>
      </c>
      <c r="Q561" s="78">
        <f>IF(N561="","",IF(AND(N561="✓",O561="✓",P561="✓"),"✓ Complete","Missing documents"))</f>
        <v/>
      </c>
      <c r="R561" s="79">
        <f>IF(Q561="","",IF(Q561="✓ Complete",0,1))</f>
        <v/>
      </c>
    </row>
    <row r="562" ht="20" customHeight="1">
      <c r="B562" s="72" t="n"/>
      <c r="C562" s="72" t="n"/>
      <c r="D562" s="72" t="n"/>
      <c r="E562" s="72" t="n"/>
      <c r="F562" s="72" t="n"/>
      <c r="G562" s="109" t="n"/>
      <c r="H562" s="72" t="n"/>
      <c r="I562" s="78">
        <f>IF(H562="","",HYPERLINK(H562,"Open ↗"))</f>
        <v/>
      </c>
      <c r="J562" s="72" t="n"/>
      <c r="L562" s="116">
        <f>IF('Contractors'!B562="","",'Contractors'!B562)</f>
        <v/>
      </c>
      <c r="M562" s="78">
        <f>IF(L562="","",'Contractors'!L562)</f>
        <v/>
      </c>
      <c r="N562" s="78">
        <f>IF(OR(L562="",M562&lt;&gt;"Yes"),"",IF(COUNTIFS('Vault'!$C$6:$C$1005,"Contract",'Vault'!$D$6:$D$1005,L562)&gt;0,"✓","✗ missing"))</f>
        <v/>
      </c>
      <c r="O562" s="78">
        <f>IF(OR(L562="",M562&lt;&gt;"Yes"),"",IF(COUNTIFS('Vault'!$C$6:$C$1005,"Insurance",'Vault'!$D$6:$D$1005,L562)&gt;0,"✓","✗ missing"))</f>
        <v/>
      </c>
      <c r="P562" s="78">
        <f>IF(OR(L562="",M562&lt;&gt;"Yes"),"",IF(COUNTIFS('Vault'!$C$6:$C$1005,"Quote",'Vault'!$D$6:$D$1005,L562)&gt;0,"✓","✗ missing"))</f>
        <v/>
      </c>
      <c r="Q562" s="78">
        <f>IF(N562="","",IF(AND(N562="✓",O562="✓",P562="✓"),"✓ Complete","Missing documents"))</f>
        <v/>
      </c>
      <c r="R562" s="79">
        <f>IF(Q562="","",IF(Q562="✓ Complete",0,1))</f>
        <v/>
      </c>
    </row>
    <row r="563" ht="20" customHeight="1">
      <c r="B563" s="72" t="n"/>
      <c r="C563" s="72" t="n"/>
      <c r="D563" s="72" t="n"/>
      <c r="E563" s="72" t="n"/>
      <c r="F563" s="72" t="n"/>
      <c r="G563" s="109" t="n"/>
      <c r="H563" s="72" t="n"/>
      <c r="I563" s="78">
        <f>IF(H563="","",HYPERLINK(H563,"Open ↗"))</f>
        <v/>
      </c>
      <c r="J563" s="72" t="n"/>
      <c r="L563" s="116">
        <f>IF('Contractors'!B563="","",'Contractors'!B563)</f>
        <v/>
      </c>
      <c r="M563" s="78">
        <f>IF(L563="","",'Contractors'!L563)</f>
        <v/>
      </c>
      <c r="N563" s="78">
        <f>IF(OR(L563="",M563&lt;&gt;"Yes"),"",IF(COUNTIFS('Vault'!$C$6:$C$1005,"Contract",'Vault'!$D$6:$D$1005,L563)&gt;0,"✓","✗ missing"))</f>
        <v/>
      </c>
      <c r="O563" s="78">
        <f>IF(OR(L563="",M563&lt;&gt;"Yes"),"",IF(COUNTIFS('Vault'!$C$6:$C$1005,"Insurance",'Vault'!$D$6:$D$1005,L563)&gt;0,"✓","✗ missing"))</f>
        <v/>
      </c>
      <c r="P563" s="78">
        <f>IF(OR(L563="",M563&lt;&gt;"Yes"),"",IF(COUNTIFS('Vault'!$C$6:$C$1005,"Quote",'Vault'!$D$6:$D$1005,L563)&gt;0,"✓","✗ missing"))</f>
        <v/>
      </c>
      <c r="Q563" s="78">
        <f>IF(N563="","",IF(AND(N563="✓",O563="✓",P563="✓"),"✓ Complete","Missing documents"))</f>
        <v/>
      </c>
      <c r="R563" s="79">
        <f>IF(Q563="","",IF(Q563="✓ Complete",0,1))</f>
        <v/>
      </c>
    </row>
    <row r="564" ht="20" customHeight="1">
      <c r="B564" s="72" t="n"/>
      <c r="C564" s="72" t="n"/>
      <c r="D564" s="72" t="n"/>
      <c r="E564" s="72" t="n"/>
      <c r="F564" s="72" t="n"/>
      <c r="G564" s="109" t="n"/>
      <c r="H564" s="72" t="n"/>
      <c r="I564" s="78">
        <f>IF(H564="","",HYPERLINK(H564,"Open ↗"))</f>
        <v/>
      </c>
      <c r="J564" s="72" t="n"/>
      <c r="L564" s="116">
        <f>IF('Contractors'!B564="","",'Contractors'!B564)</f>
        <v/>
      </c>
      <c r="M564" s="78">
        <f>IF(L564="","",'Contractors'!L564)</f>
        <v/>
      </c>
      <c r="N564" s="78">
        <f>IF(OR(L564="",M564&lt;&gt;"Yes"),"",IF(COUNTIFS('Vault'!$C$6:$C$1005,"Contract",'Vault'!$D$6:$D$1005,L564)&gt;0,"✓","✗ missing"))</f>
        <v/>
      </c>
      <c r="O564" s="78">
        <f>IF(OR(L564="",M564&lt;&gt;"Yes"),"",IF(COUNTIFS('Vault'!$C$6:$C$1005,"Insurance",'Vault'!$D$6:$D$1005,L564)&gt;0,"✓","✗ missing"))</f>
        <v/>
      </c>
      <c r="P564" s="78">
        <f>IF(OR(L564="",M564&lt;&gt;"Yes"),"",IF(COUNTIFS('Vault'!$C$6:$C$1005,"Quote",'Vault'!$D$6:$D$1005,L564)&gt;0,"✓","✗ missing"))</f>
        <v/>
      </c>
      <c r="Q564" s="78">
        <f>IF(N564="","",IF(AND(N564="✓",O564="✓",P564="✓"),"✓ Complete","Missing documents"))</f>
        <v/>
      </c>
      <c r="R564" s="79">
        <f>IF(Q564="","",IF(Q564="✓ Complete",0,1))</f>
        <v/>
      </c>
    </row>
    <row r="565" ht="20" customHeight="1">
      <c r="B565" s="72" t="n"/>
      <c r="C565" s="72" t="n"/>
      <c r="D565" s="72" t="n"/>
      <c r="E565" s="72" t="n"/>
      <c r="F565" s="72" t="n"/>
      <c r="G565" s="109" t="n"/>
      <c r="H565" s="72" t="n"/>
      <c r="I565" s="78">
        <f>IF(H565="","",HYPERLINK(H565,"Open ↗"))</f>
        <v/>
      </c>
      <c r="J565" s="72" t="n"/>
      <c r="L565" s="116">
        <f>IF('Contractors'!B565="","",'Contractors'!B565)</f>
        <v/>
      </c>
      <c r="M565" s="78">
        <f>IF(L565="","",'Contractors'!L565)</f>
        <v/>
      </c>
      <c r="N565" s="78">
        <f>IF(OR(L565="",M565&lt;&gt;"Yes"),"",IF(COUNTIFS('Vault'!$C$6:$C$1005,"Contract",'Vault'!$D$6:$D$1005,L565)&gt;0,"✓","✗ missing"))</f>
        <v/>
      </c>
      <c r="O565" s="78">
        <f>IF(OR(L565="",M565&lt;&gt;"Yes"),"",IF(COUNTIFS('Vault'!$C$6:$C$1005,"Insurance",'Vault'!$D$6:$D$1005,L565)&gt;0,"✓","✗ missing"))</f>
        <v/>
      </c>
      <c r="P565" s="78">
        <f>IF(OR(L565="",M565&lt;&gt;"Yes"),"",IF(COUNTIFS('Vault'!$C$6:$C$1005,"Quote",'Vault'!$D$6:$D$1005,L565)&gt;0,"✓","✗ missing"))</f>
        <v/>
      </c>
      <c r="Q565" s="78">
        <f>IF(N565="","",IF(AND(N565="✓",O565="✓",P565="✓"),"✓ Complete","Missing documents"))</f>
        <v/>
      </c>
      <c r="R565" s="79">
        <f>IF(Q565="","",IF(Q565="✓ Complete",0,1))</f>
        <v/>
      </c>
    </row>
    <row r="566" ht="20" customHeight="1">
      <c r="B566" s="72" t="n"/>
      <c r="C566" s="72" t="n"/>
      <c r="D566" s="72" t="n"/>
      <c r="E566" s="72" t="n"/>
      <c r="F566" s="72" t="n"/>
      <c r="G566" s="109" t="n"/>
      <c r="H566" s="72" t="n"/>
      <c r="I566" s="78">
        <f>IF(H566="","",HYPERLINK(H566,"Open ↗"))</f>
        <v/>
      </c>
      <c r="J566" s="72" t="n"/>
      <c r="L566" s="116">
        <f>IF('Contractors'!B566="","",'Contractors'!B566)</f>
        <v/>
      </c>
      <c r="M566" s="78">
        <f>IF(L566="","",'Contractors'!L566)</f>
        <v/>
      </c>
      <c r="N566" s="78">
        <f>IF(OR(L566="",M566&lt;&gt;"Yes"),"",IF(COUNTIFS('Vault'!$C$6:$C$1005,"Contract",'Vault'!$D$6:$D$1005,L566)&gt;0,"✓","✗ missing"))</f>
        <v/>
      </c>
      <c r="O566" s="78">
        <f>IF(OR(L566="",M566&lt;&gt;"Yes"),"",IF(COUNTIFS('Vault'!$C$6:$C$1005,"Insurance",'Vault'!$D$6:$D$1005,L566)&gt;0,"✓","✗ missing"))</f>
        <v/>
      </c>
      <c r="P566" s="78">
        <f>IF(OR(L566="",M566&lt;&gt;"Yes"),"",IF(COUNTIFS('Vault'!$C$6:$C$1005,"Quote",'Vault'!$D$6:$D$1005,L566)&gt;0,"✓","✗ missing"))</f>
        <v/>
      </c>
      <c r="Q566" s="78">
        <f>IF(N566="","",IF(AND(N566="✓",O566="✓",P566="✓"),"✓ Complete","Missing documents"))</f>
        <v/>
      </c>
      <c r="R566" s="79">
        <f>IF(Q566="","",IF(Q566="✓ Complete",0,1))</f>
        <v/>
      </c>
    </row>
    <row r="567" ht="20" customHeight="1">
      <c r="B567" s="72" t="n"/>
      <c r="C567" s="72" t="n"/>
      <c r="D567" s="72" t="n"/>
      <c r="E567" s="72" t="n"/>
      <c r="F567" s="72" t="n"/>
      <c r="G567" s="109" t="n"/>
      <c r="H567" s="72" t="n"/>
      <c r="I567" s="78">
        <f>IF(H567="","",HYPERLINK(H567,"Open ↗"))</f>
        <v/>
      </c>
      <c r="J567" s="72" t="n"/>
      <c r="L567" s="116">
        <f>IF('Contractors'!B567="","",'Contractors'!B567)</f>
        <v/>
      </c>
      <c r="M567" s="78">
        <f>IF(L567="","",'Contractors'!L567)</f>
        <v/>
      </c>
      <c r="N567" s="78">
        <f>IF(OR(L567="",M567&lt;&gt;"Yes"),"",IF(COUNTIFS('Vault'!$C$6:$C$1005,"Contract",'Vault'!$D$6:$D$1005,L567)&gt;0,"✓","✗ missing"))</f>
        <v/>
      </c>
      <c r="O567" s="78">
        <f>IF(OR(L567="",M567&lt;&gt;"Yes"),"",IF(COUNTIFS('Vault'!$C$6:$C$1005,"Insurance",'Vault'!$D$6:$D$1005,L567)&gt;0,"✓","✗ missing"))</f>
        <v/>
      </c>
      <c r="P567" s="78">
        <f>IF(OR(L567="",M567&lt;&gt;"Yes"),"",IF(COUNTIFS('Vault'!$C$6:$C$1005,"Quote",'Vault'!$D$6:$D$1005,L567)&gt;0,"✓","✗ missing"))</f>
        <v/>
      </c>
      <c r="Q567" s="78">
        <f>IF(N567="","",IF(AND(N567="✓",O567="✓",P567="✓"),"✓ Complete","Missing documents"))</f>
        <v/>
      </c>
      <c r="R567" s="79">
        <f>IF(Q567="","",IF(Q567="✓ Complete",0,1))</f>
        <v/>
      </c>
    </row>
    <row r="568" ht="20" customHeight="1">
      <c r="B568" s="72" t="n"/>
      <c r="C568" s="72" t="n"/>
      <c r="D568" s="72" t="n"/>
      <c r="E568" s="72" t="n"/>
      <c r="F568" s="72" t="n"/>
      <c r="G568" s="109" t="n"/>
      <c r="H568" s="72" t="n"/>
      <c r="I568" s="78">
        <f>IF(H568="","",HYPERLINK(H568,"Open ↗"))</f>
        <v/>
      </c>
      <c r="J568" s="72" t="n"/>
      <c r="L568" s="116">
        <f>IF('Contractors'!B568="","",'Contractors'!B568)</f>
        <v/>
      </c>
      <c r="M568" s="78">
        <f>IF(L568="","",'Contractors'!L568)</f>
        <v/>
      </c>
      <c r="N568" s="78">
        <f>IF(OR(L568="",M568&lt;&gt;"Yes"),"",IF(COUNTIFS('Vault'!$C$6:$C$1005,"Contract",'Vault'!$D$6:$D$1005,L568)&gt;0,"✓","✗ missing"))</f>
        <v/>
      </c>
      <c r="O568" s="78">
        <f>IF(OR(L568="",M568&lt;&gt;"Yes"),"",IF(COUNTIFS('Vault'!$C$6:$C$1005,"Insurance",'Vault'!$D$6:$D$1005,L568)&gt;0,"✓","✗ missing"))</f>
        <v/>
      </c>
      <c r="P568" s="78">
        <f>IF(OR(L568="",M568&lt;&gt;"Yes"),"",IF(COUNTIFS('Vault'!$C$6:$C$1005,"Quote",'Vault'!$D$6:$D$1005,L568)&gt;0,"✓","✗ missing"))</f>
        <v/>
      </c>
      <c r="Q568" s="78">
        <f>IF(N568="","",IF(AND(N568="✓",O568="✓",P568="✓"),"✓ Complete","Missing documents"))</f>
        <v/>
      </c>
      <c r="R568" s="79">
        <f>IF(Q568="","",IF(Q568="✓ Complete",0,1))</f>
        <v/>
      </c>
    </row>
    <row r="569" ht="20" customHeight="1">
      <c r="B569" s="72" t="n"/>
      <c r="C569" s="72" t="n"/>
      <c r="D569" s="72" t="n"/>
      <c r="E569" s="72" t="n"/>
      <c r="F569" s="72" t="n"/>
      <c r="G569" s="109" t="n"/>
      <c r="H569" s="72" t="n"/>
      <c r="I569" s="78">
        <f>IF(H569="","",HYPERLINK(H569,"Open ↗"))</f>
        <v/>
      </c>
      <c r="J569" s="72" t="n"/>
      <c r="L569" s="116">
        <f>IF('Contractors'!B569="","",'Contractors'!B569)</f>
        <v/>
      </c>
      <c r="M569" s="78">
        <f>IF(L569="","",'Contractors'!L569)</f>
        <v/>
      </c>
      <c r="N569" s="78">
        <f>IF(OR(L569="",M569&lt;&gt;"Yes"),"",IF(COUNTIFS('Vault'!$C$6:$C$1005,"Contract",'Vault'!$D$6:$D$1005,L569)&gt;0,"✓","✗ missing"))</f>
        <v/>
      </c>
      <c r="O569" s="78">
        <f>IF(OR(L569="",M569&lt;&gt;"Yes"),"",IF(COUNTIFS('Vault'!$C$6:$C$1005,"Insurance",'Vault'!$D$6:$D$1005,L569)&gt;0,"✓","✗ missing"))</f>
        <v/>
      </c>
      <c r="P569" s="78">
        <f>IF(OR(L569="",M569&lt;&gt;"Yes"),"",IF(COUNTIFS('Vault'!$C$6:$C$1005,"Quote",'Vault'!$D$6:$D$1005,L569)&gt;0,"✓","✗ missing"))</f>
        <v/>
      </c>
      <c r="Q569" s="78">
        <f>IF(N569="","",IF(AND(N569="✓",O569="✓",P569="✓"),"✓ Complete","Missing documents"))</f>
        <v/>
      </c>
      <c r="R569" s="79">
        <f>IF(Q569="","",IF(Q569="✓ Complete",0,1))</f>
        <v/>
      </c>
    </row>
    <row r="570" ht="20" customHeight="1">
      <c r="B570" s="72" t="n"/>
      <c r="C570" s="72" t="n"/>
      <c r="D570" s="72" t="n"/>
      <c r="E570" s="72" t="n"/>
      <c r="F570" s="72" t="n"/>
      <c r="G570" s="109" t="n"/>
      <c r="H570" s="72" t="n"/>
      <c r="I570" s="78">
        <f>IF(H570="","",HYPERLINK(H570,"Open ↗"))</f>
        <v/>
      </c>
      <c r="J570" s="72" t="n"/>
      <c r="L570" s="116">
        <f>IF('Contractors'!B570="","",'Contractors'!B570)</f>
        <v/>
      </c>
      <c r="M570" s="78">
        <f>IF(L570="","",'Contractors'!L570)</f>
        <v/>
      </c>
      <c r="N570" s="78">
        <f>IF(OR(L570="",M570&lt;&gt;"Yes"),"",IF(COUNTIFS('Vault'!$C$6:$C$1005,"Contract",'Vault'!$D$6:$D$1005,L570)&gt;0,"✓","✗ missing"))</f>
        <v/>
      </c>
      <c r="O570" s="78">
        <f>IF(OR(L570="",M570&lt;&gt;"Yes"),"",IF(COUNTIFS('Vault'!$C$6:$C$1005,"Insurance",'Vault'!$D$6:$D$1005,L570)&gt;0,"✓","✗ missing"))</f>
        <v/>
      </c>
      <c r="P570" s="78">
        <f>IF(OR(L570="",M570&lt;&gt;"Yes"),"",IF(COUNTIFS('Vault'!$C$6:$C$1005,"Quote",'Vault'!$D$6:$D$1005,L570)&gt;0,"✓","✗ missing"))</f>
        <v/>
      </c>
      <c r="Q570" s="78">
        <f>IF(N570="","",IF(AND(N570="✓",O570="✓",P570="✓"),"✓ Complete","Missing documents"))</f>
        <v/>
      </c>
      <c r="R570" s="79">
        <f>IF(Q570="","",IF(Q570="✓ Complete",0,1))</f>
        <v/>
      </c>
    </row>
    <row r="571" ht="20" customHeight="1">
      <c r="B571" s="72" t="n"/>
      <c r="C571" s="72" t="n"/>
      <c r="D571" s="72" t="n"/>
      <c r="E571" s="72" t="n"/>
      <c r="F571" s="72" t="n"/>
      <c r="G571" s="109" t="n"/>
      <c r="H571" s="72" t="n"/>
      <c r="I571" s="78">
        <f>IF(H571="","",HYPERLINK(H571,"Open ↗"))</f>
        <v/>
      </c>
      <c r="J571" s="72" t="n"/>
      <c r="L571" s="116">
        <f>IF('Contractors'!B571="","",'Contractors'!B571)</f>
        <v/>
      </c>
      <c r="M571" s="78">
        <f>IF(L571="","",'Contractors'!L571)</f>
        <v/>
      </c>
      <c r="N571" s="78">
        <f>IF(OR(L571="",M571&lt;&gt;"Yes"),"",IF(COUNTIFS('Vault'!$C$6:$C$1005,"Contract",'Vault'!$D$6:$D$1005,L571)&gt;0,"✓","✗ missing"))</f>
        <v/>
      </c>
      <c r="O571" s="78">
        <f>IF(OR(L571="",M571&lt;&gt;"Yes"),"",IF(COUNTIFS('Vault'!$C$6:$C$1005,"Insurance",'Vault'!$D$6:$D$1005,L571)&gt;0,"✓","✗ missing"))</f>
        <v/>
      </c>
      <c r="P571" s="78">
        <f>IF(OR(L571="",M571&lt;&gt;"Yes"),"",IF(COUNTIFS('Vault'!$C$6:$C$1005,"Quote",'Vault'!$D$6:$D$1005,L571)&gt;0,"✓","✗ missing"))</f>
        <v/>
      </c>
      <c r="Q571" s="78">
        <f>IF(N571="","",IF(AND(N571="✓",O571="✓",P571="✓"),"✓ Complete","Missing documents"))</f>
        <v/>
      </c>
      <c r="R571" s="79">
        <f>IF(Q571="","",IF(Q571="✓ Complete",0,1))</f>
        <v/>
      </c>
    </row>
    <row r="572" ht="20" customHeight="1">
      <c r="B572" s="72" t="n"/>
      <c r="C572" s="72" t="n"/>
      <c r="D572" s="72" t="n"/>
      <c r="E572" s="72" t="n"/>
      <c r="F572" s="72" t="n"/>
      <c r="G572" s="109" t="n"/>
      <c r="H572" s="72" t="n"/>
      <c r="I572" s="78">
        <f>IF(H572="","",HYPERLINK(H572,"Open ↗"))</f>
        <v/>
      </c>
      <c r="J572" s="72" t="n"/>
      <c r="L572" s="116">
        <f>IF('Contractors'!B572="","",'Contractors'!B572)</f>
        <v/>
      </c>
      <c r="M572" s="78">
        <f>IF(L572="","",'Contractors'!L572)</f>
        <v/>
      </c>
      <c r="N572" s="78">
        <f>IF(OR(L572="",M572&lt;&gt;"Yes"),"",IF(COUNTIFS('Vault'!$C$6:$C$1005,"Contract",'Vault'!$D$6:$D$1005,L572)&gt;0,"✓","✗ missing"))</f>
        <v/>
      </c>
      <c r="O572" s="78">
        <f>IF(OR(L572="",M572&lt;&gt;"Yes"),"",IF(COUNTIFS('Vault'!$C$6:$C$1005,"Insurance",'Vault'!$D$6:$D$1005,L572)&gt;0,"✓","✗ missing"))</f>
        <v/>
      </c>
      <c r="P572" s="78">
        <f>IF(OR(L572="",M572&lt;&gt;"Yes"),"",IF(COUNTIFS('Vault'!$C$6:$C$1005,"Quote",'Vault'!$D$6:$D$1005,L572)&gt;0,"✓","✗ missing"))</f>
        <v/>
      </c>
      <c r="Q572" s="78">
        <f>IF(N572="","",IF(AND(N572="✓",O572="✓",P572="✓"),"✓ Complete","Missing documents"))</f>
        <v/>
      </c>
      <c r="R572" s="79">
        <f>IF(Q572="","",IF(Q572="✓ Complete",0,1))</f>
        <v/>
      </c>
    </row>
    <row r="573" ht="20" customHeight="1">
      <c r="B573" s="72" t="n"/>
      <c r="C573" s="72" t="n"/>
      <c r="D573" s="72" t="n"/>
      <c r="E573" s="72" t="n"/>
      <c r="F573" s="72" t="n"/>
      <c r="G573" s="109" t="n"/>
      <c r="H573" s="72" t="n"/>
      <c r="I573" s="78">
        <f>IF(H573="","",HYPERLINK(H573,"Open ↗"))</f>
        <v/>
      </c>
      <c r="J573" s="72" t="n"/>
      <c r="L573" s="116">
        <f>IF('Contractors'!B573="","",'Contractors'!B573)</f>
        <v/>
      </c>
      <c r="M573" s="78">
        <f>IF(L573="","",'Contractors'!L573)</f>
        <v/>
      </c>
      <c r="N573" s="78">
        <f>IF(OR(L573="",M573&lt;&gt;"Yes"),"",IF(COUNTIFS('Vault'!$C$6:$C$1005,"Contract",'Vault'!$D$6:$D$1005,L573)&gt;0,"✓","✗ missing"))</f>
        <v/>
      </c>
      <c r="O573" s="78">
        <f>IF(OR(L573="",M573&lt;&gt;"Yes"),"",IF(COUNTIFS('Vault'!$C$6:$C$1005,"Insurance",'Vault'!$D$6:$D$1005,L573)&gt;0,"✓","✗ missing"))</f>
        <v/>
      </c>
      <c r="P573" s="78">
        <f>IF(OR(L573="",M573&lt;&gt;"Yes"),"",IF(COUNTIFS('Vault'!$C$6:$C$1005,"Quote",'Vault'!$D$6:$D$1005,L573)&gt;0,"✓","✗ missing"))</f>
        <v/>
      </c>
      <c r="Q573" s="78">
        <f>IF(N573="","",IF(AND(N573="✓",O573="✓",P573="✓"),"✓ Complete","Missing documents"))</f>
        <v/>
      </c>
      <c r="R573" s="79">
        <f>IF(Q573="","",IF(Q573="✓ Complete",0,1))</f>
        <v/>
      </c>
    </row>
    <row r="574" ht="20" customHeight="1">
      <c r="B574" s="72" t="n"/>
      <c r="C574" s="72" t="n"/>
      <c r="D574" s="72" t="n"/>
      <c r="E574" s="72" t="n"/>
      <c r="F574" s="72" t="n"/>
      <c r="G574" s="109" t="n"/>
      <c r="H574" s="72" t="n"/>
      <c r="I574" s="78">
        <f>IF(H574="","",HYPERLINK(H574,"Open ↗"))</f>
        <v/>
      </c>
      <c r="J574" s="72" t="n"/>
      <c r="L574" s="116">
        <f>IF('Contractors'!B574="","",'Contractors'!B574)</f>
        <v/>
      </c>
      <c r="M574" s="78">
        <f>IF(L574="","",'Contractors'!L574)</f>
        <v/>
      </c>
      <c r="N574" s="78">
        <f>IF(OR(L574="",M574&lt;&gt;"Yes"),"",IF(COUNTIFS('Vault'!$C$6:$C$1005,"Contract",'Vault'!$D$6:$D$1005,L574)&gt;0,"✓","✗ missing"))</f>
        <v/>
      </c>
      <c r="O574" s="78">
        <f>IF(OR(L574="",M574&lt;&gt;"Yes"),"",IF(COUNTIFS('Vault'!$C$6:$C$1005,"Insurance",'Vault'!$D$6:$D$1005,L574)&gt;0,"✓","✗ missing"))</f>
        <v/>
      </c>
      <c r="P574" s="78">
        <f>IF(OR(L574="",M574&lt;&gt;"Yes"),"",IF(COUNTIFS('Vault'!$C$6:$C$1005,"Quote",'Vault'!$D$6:$D$1005,L574)&gt;0,"✓","✗ missing"))</f>
        <v/>
      </c>
      <c r="Q574" s="78">
        <f>IF(N574="","",IF(AND(N574="✓",O574="✓",P574="✓"),"✓ Complete","Missing documents"))</f>
        <v/>
      </c>
      <c r="R574" s="79">
        <f>IF(Q574="","",IF(Q574="✓ Complete",0,1))</f>
        <v/>
      </c>
    </row>
    <row r="575" ht="20" customHeight="1">
      <c r="B575" s="72" t="n"/>
      <c r="C575" s="72" t="n"/>
      <c r="D575" s="72" t="n"/>
      <c r="E575" s="72" t="n"/>
      <c r="F575" s="72" t="n"/>
      <c r="G575" s="109" t="n"/>
      <c r="H575" s="72" t="n"/>
      <c r="I575" s="78">
        <f>IF(H575="","",HYPERLINK(H575,"Open ↗"))</f>
        <v/>
      </c>
      <c r="J575" s="72" t="n"/>
      <c r="L575" s="116">
        <f>IF('Contractors'!B575="","",'Contractors'!B575)</f>
        <v/>
      </c>
      <c r="M575" s="78">
        <f>IF(L575="","",'Contractors'!L575)</f>
        <v/>
      </c>
      <c r="N575" s="78">
        <f>IF(OR(L575="",M575&lt;&gt;"Yes"),"",IF(COUNTIFS('Vault'!$C$6:$C$1005,"Contract",'Vault'!$D$6:$D$1005,L575)&gt;0,"✓","✗ missing"))</f>
        <v/>
      </c>
      <c r="O575" s="78">
        <f>IF(OR(L575="",M575&lt;&gt;"Yes"),"",IF(COUNTIFS('Vault'!$C$6:$C$1005,"Insurance",'Vault'!$D$6:$D$1005,L575)&gt;0,"✓","✗ missing"))</f>
        <v/>
      </c>
      <c r="P575" s="78">
        <f>IF(OR(L575="",M575&lt;&gt;"Yes"),"",IF(COUNTIFS('Vault'!$C$6:$C$1005,"Quote",'Vault'!$D$6:$D$1005,L575)&gt;0,"✓","✗ missing"))</f>
        <v/>
      </c>
      <c r="Q575" s="78">
        <f>IF(N575="","",IF(AND(N575="✓",O575="✓",P575="✓"),"✓ Complete","Missing documents"))</f>
        <v/>
      </c>
      <c r="R575" s="79">
        <f>IF(Q575="","",IF(Q575="✓ Complete",0,1))</f>
        <v/>
      </c>
    </row>
    <row r="576" ht="20" customHeight="1">
      <c r="B576" s="72" t="n"/>
      <c r="C576" s="72" t="n"/>
      <c r="D576" s="72" t="n"/>
      <c r="E576" s="72" t="n"/>
      <c r="F576" s="72" t="n"/>
      <c r="G576" s="109" t="n"/>
      <c r="H576" s="72" t="n"/>
      <c r="I576" s="78">
        <f>IF(H576="","",HYPERLINK(H576,"Open ↗"))</f>
        <v/>
      </c>
      <c r="J576" s="72" t="n"/>
      <c r="L576" s="116">
        <f>IF('Contractors'!B576="","",'Contractors'!B576)</f>
        <v/>
      </c>
      <c r="M576" s="78">
        <f>IF(L576="","",'Contractors'!L576)</f>
        <v/>
      </c>
      <c r="N576" s="78">
        <f>IF(OR(L576="",M576&lt;&gt;"Yes"),"",IF(COUNTIFS('Vault'!$C$6:$C$1005,"Contract",'Vault'!$D$6:$D$1005,L576)&gt;0,"✓","✗ missing"))</f>
        <v/>
      </c>
      <c r="O576" s="78">
        <f>IF(OR(L576="",M576&lt;&gt;"Yes"),"",IF(COUNTIFS('Vault'!$C$6:$C$1005,"Insurance",'Vault'!$D$6:$D$1005,L576)&gt;0,"✓","✗ missing"))</f>
        <v/>
      </c>
      <c r="P576" s="78">
        <f>IF(OR(L576="",M576&lt;&gt;"Yes"),"",IF(COUNTIFS('Vault'!$C$6:$C$1005,"Quote",'Vault'!$D$6:$D$1005,L576)&gt;0,"✓","✗ missing"))</f>
        <v/>
      </c>
      <c r="Q576" s="78">
        <f>IF(N576="","",IF(AND(N576="✓",O576="✓",P576="✓"),"✓ Complete","Missing documents"))</f>
        <v/>
      </c>
      <c r="R576" s="79">
        <f>IF(Q576="","",IF(Q576="✓ Complete",0,1))</f>
        <v/>
      </c>
    </row>
    <row r="577" ht="20" customHeight="1">
      <c r="B577" s="72" t="n"/>
      <c r="C577" s="72" t="n"/>
      <c r="D577" s="72" t="n"/>
      <c r="E577" s="72" t="n"/>
      <c r="F577" s="72" t="n"/>
      <c r="G577" s="109" t="n"/>
      <c r="H577" s="72" t="n"/>
      <c r="I577" s="78">
        <f>IF(H577="","",HYPERLINK(H577,"Open ↗"))</f>
        <v/>
      </c>
      <c r="J577" s="72" t="n"/>
      <c r="L577" s="116">
        <f>IF('Contractors'!B577="","",'Contractors'!B577)</f>
        <v/>
      </c>
      <c r="M577" s="78">
        <f>IF(L577="","",'Contractors'!L577)</f>
        <v/>
      </c>
      <c r="N577" s="78">
        <f>IF(OR(L577="",M577&lt;&gt;"Yes"),"",IF(COUNTIFS('Vault'!$C$6:$C$1005,"Contract",'Vault'!$D$6:$D$1005,L577)&gt;0,"✓","✗ missing"))</f>
        <v/>
      </c>
      <c r="O577" s="78">
        <f>IF(OR(L577="",M577&lt;&gt;"Yes"),"",IF(COUNTIFS('Vault'!$C$6:$C$1005,"Insurance",'Vault'!$D$6:$D$1005,L577)&gt;0,"✓","✗ missing"))</f>
        <v/>
      </c>
      <c r="P577" s="78">
        <f>IF(OR(L577="",M577&lt;&gt;"Yes"),"",IF(COUNTIFS('Vault'!$C$6:$C$1005,"Quote",'Vault'!$D$6:$D$1005,L577)&gt;0,"✓","✗ missing"))</f>
        <v/>
      </c>
      <c r="Q577" s="78">
        <f>IF(N577="","",IF(AND(N577="✓",O577="✓",P577="✓"),"✓ Complete","Missing documents"))</f>
        <v/>
      </c>
      <c r="R577" s="79">
        <f>IF(Q577="","",IF(Q577="✓ Complete",0,1))</f>
        <v/>
      </c>
    </row>
    <row r="578" ht="20" customHeight="1">
      <c r="B578" s="72" t="n"/>
      <c r="C578" s="72" t="n"/>
      <c r="D578" s="72" t="n"/>
      <c r="E578" s="72" t="n"/>
      <c r="F578" s="72" t="n"/>
      <c r="G578" s="109" t="n"/>
      <c r="H578" s="72" t="n"/>
      <c r="I578" s="78">
        <f>IF(H578="","",HYPERLINK(H578,"Open ↗"))</f>
        <v/>
      </c>
      <c r="J578" s="72" t="n"/>
      <c r="L578" s="116">
        <f>IF('Contractors'!B578="","",'Contractors'!B578)</f>
        <v/>
      </c>
      <c r="M578" s="78">
        <f>IF(L578="","",'Contractors'!L578)</f>
        <v/>
      </c>
      <c r="N578" s="78">
        <f>IF(OR(L578="",M578&lt;&gt;"Yes"),"",IF(COUNTIFS('Vault'!$C$6:$C$1005,"Contract",'Vault'!$D$6:$D$1005,L578)&gt;0,"✓","✗ missing"))</f>
        <v/>
      </c>
      <c r="O578" s="78">
        <f>IF(OR(L578="",M578&lt;&gt;"Yes"),"",IF(COUNTIFS('Vault'!$C$6:$C$1005,"Insurance",'Vault'!$D$6:$D$1005,L578)&gt;0,"✓","✗ missing"))</f>
        <v/>
      </c>
      <c r="P578" s="78">
        <f>IF(OR(L578="",M578&lt;&gt;"Yes"),"",IF(COUNTIFS('Vault'!$C$6:$C$1005,"Quote",'Vault'!$D$6:$D$1005,L578)&gt;0,"✓","✗ missing"))</f>
        <v/>
      </c>
      <c r="Q578" s="78">
        <f>IF(N578="","",IF(AND(N578="✓",O578="✓",P578="✓"),"✓ Complete","Missing documents"))</f>
        <v/>
      </c>
      <c r="R578" s="79">
        <f>IF(Q578="","",IF(Q578="✓ Complete",0,1))</f>
        <v/>
      </c>
    </row>
    <row r="579" ht="20" customHeight="1">
      <c r="B579" s="72" t="n"/>
      <c r="C579" s="72" t="n"/>
      <c r="D579" s="72" t="n"/>
      <c r="E579" s="72" t="n"/>
      <c r="F579" s="72" t="n"/>
      <c r="G579" s="109" t="n"/>
      <c r="H579" s="72" t="n"/>
      <c r="I579" s="78">
        <f>IF(H579="","",HYPERLINK(H579,"Open ↗"))</f>
        <v/>
      </c>
      <c r="J579" s="72" t="n"/>
      <c r="L579" s="116">
        <f>IF('Contractors'!B579="","",'Contractors'!B579)</f>
        <v/>
      </c>
      <c r="M579" s="78">
        <f>IF(L579="","",'Contractors'!L579)</f>
        <v/>
      </c>
      <c r="N579" s="78">
        <f>IF(OR(L579="",M579&lt;&gt;"Yes"),"",IF(COUNTIFS('Vault'!$C$6:$C$1005,"Contract",'Vault'!$D$6:$D$1005,L579)&gt;0,"✓","✗ missing"))</f>
        <v/>
      </c>
      <c r="O579" s="78">
        <f>IF(OR(L579="",M579&lt;&gt;"Yes"),"",IF(COUNTIFS('Vault'!$C$6:$C$1005,"Insurance",'Vault'!$D$6:$D$1005,L579)&gt;0,"✓","✗ missing"))</f>
        <v/>
      </c>
      <c r="P579" s="78">
        <f>IF(OR(L579="",M579&lt;&gt;"Yes"),"",IF(COUNTIFS('Vault'!$C$6:$C$1005,"Quote",'Vault'!$D$6:$D$1005,L579)&gt;0,"✓","✗ missing"))</f>
        <v/>
      </c>
      <c r="Q579" s="78">
        <f>IF(N579="","",IF(AND(N579="✓",O579="✓",P579="✓"),"✓ Complete","Missing documents"))</f>
        <v/>
      </c>
      <c r="R579" s="79">
        <f>IF(Q579="","",IF(Q579="✓ Complete",0,1))</f>
        <v/>
      </c>
    </row>
    <row r="580" ht="20" customHeight="1">
      <c r="B580" s="72" t="n"/>
      <c r="C580" s="72" t="n"/>
      <c r="D580" s="72" t="n"/>
      <c r="E580" s="72" t="n"/>
      <c r="F580" s="72" t="n"/>
      <c r="G580" s="109" t="n"/>
      <c r="H580" s="72" t="n"/>
      <c r="I580" s="78">
        <f>IF(H580="","",HYPERLINK(H580,"Open ↗"))</f>
        <v/>
      </c>
      <c r="J580" s="72" t="n"/>
      <c r="L580" s="116">
        <f>IF('Contractors'!B580="","",'Contractors'!B580)</f>
        <v/>
      </c>
      <c r="M580" s="78">
        <f>IF(L580="","",'Contractors'!L580)</f>
        <v/>
      </c>
      <c r="N580" s="78">
        <f>IF(OR(L580="",M580&lt;&gt;"Yes"),"",IF(COUNTIFS('Vault'!$C$6:$C$1005,"Contract",'Vault'!$D$6:$D$1005,L580)&gt;0,"✓","✗ missing"))</f>
        <v/>
      </c>
      <c r="O580" s="78">
        <f>IF(OR(L580="",M580&lt;&gt;"Yes"),"",IF(COUNTIFS('Vault'!$C$6:$C$1005,"Insurance",'Vault'!$D$6:$D$1005,L580)&gt;0,"✓","✗ missing"))</f>
        <v/>
      </c>
      <c r="P580" s="78">
        <f>IF(OR(L580="",M580&lt;&gt;"Yes"),"",IF(COUNTIFS('Vault'!$C$6:$C$1005,"Quote",'Vault'!$D$6:$D$1005,L580)&gt;0,"✓","✗ missing"))</f>
        <v/>
      </c>
      <c r="Q580" s="78">
        <f>IF(N580="","",IF(AND(N580="✓",O580="✓",P580="✓"),"✓ Complete","Missing documents"))</f>
        <v/>
      </c>
      <c r="R580" s="79">
        <f>IF(Q580="","",IF(Q580="✓ Complete",0,1))</f>
        <v/>
      </c>
    </row>
    <row r="581" ht="20" customHeight="1">
      <c r="B581" s="72" t="n"/>
      <c r="C581" s="72" t="n"/>
      <c r="D581" s="72" t="n"/>
      <c r="E581" s="72" t="n"/>
      <c r="F581" s="72" t="n"/>
      <c r="G581" s="109" t="n"/>
      <c r="H581" s="72" t="n"/>
      <c r="I581" s="78">
        <f>IF(H581="","",HYPERLINK(H581,"Open ↗"))</f>
        <v/>
      </c>
      <c r="J581" s="72" t="n"/>
      <c r="L581" s="116">
        <f>IF('Contractors'!B581="","",'Contractors'!B581)</f>
        <v/>
      </c>
      <c r="M581" s="78">
        <f>IF(L581="","",'Contractors'!L581)</f>
        <v/>
      </c>
      <c r="N581" s="78">
        <f>IF(OR(L581="",M581&lt;&gt;"Yes"),"",IF(COUNTIFS('Vault'!$C$6:$C$1005,"Contract",'Vault'!$D$6:$D$1005,L581)&gt;0,"✓","✗ missing"))</f>
        <v/>
      </c>
      <c r="O581" s="78">
        <f>IF(OR(L581="",M581&lt;&gt;"Yes"),"",IF(COUNTIFS('Vault'!$C$6:$C$1005,"Insurance",'Vault'!$D$6:$D$1005,L581)&gt;0,"✓","✗ missing"))</f>
        <v/>
      </c>
      <c r="P581" s="78">
        <f>IF(OR(L581="",M581&lt;&gt;"Yes"),"",IF(COUNTIFS('Vault'!$C$6:$C$1005,"Quote",'Vault'!$D$6:$D$1005,L581)&gt;0,"✓","✗ missing"))</f>
        <v/>
      </c>
      <c r="Q581" s="78">
        <f>IF(N581="","",IF(AND(N581="✓",O581="✓",P581="✓"),"✓ Complete","Missing documents"))</f>
        <v/>
      </c>
      <c r="R581" s="79">
        <f>IF(Q581="","",IF(Q581="✓ Complete",0,1))</f>
        <v/>
      </c>
    </row>
    <row r="582" ht="20" customHeight="1">
      <c r="B582" s="72" t="n"/>
      <c r="C582" s="72" t="n"/>
      <c r="D582" s="72" t="n"/>
      <c r="E582" s="72" t="n"/>
      <c r="F582" s="72" t="n"/>
      <c r="G582" s="109" t="n"/>
      <c r="H582" s="72" t="n"/>
      <c r="I582" s="78">
        <f>IF(H582="","",HYPERLINK(H582,"Open ↗"))</f>
        <v/>
      </c>
      <c r="J582" s="72" t="n"/>
      <c r="L582" s="116">
        <f>IF('Contractors'!B582="","",'Contractors'!B582)</f>
        <v/>
      </c>
      <c r="M582" s="78">
        <f>IF(L582="","",'Contractors'!L582)</f>
        <v/>
      </c>
      <c r="N582" s="78">
        <f>IF(OR(L582="",M582&lt;&gt;"Yes"),"",IF(COUNTIFS('Vault'!$C$6:$C$1005,"Contract",'Vault'!$D$6:$D$1005,L582)&gt;0,"✓","✗ missing"))</f>
        <v/>
      </c>
      <c r="O582" s="78">
        <f>IF(OR(L582="",M582&lt;&gt;"Yes"),"",IF(COUNTIFS('Vault'!$C$6:$C$1005,"Insurance",'Vault'!$D$6:$D$1005,L582)&gt;0,"✓","✗ missing"))</f>
        <v/>
      </c>
      <c r="P582" s="78">
        <f>IF(OR(L582="",M582&lt;&gt;"Yes"),"",IF(COUNTIFS('Vault'!$C$6:$C$1005,"Quote",'Vault'!$D$6:$D$1005,L582)&gt;0,"✓","✗ missing"))</f>
        <v/>
      </c>
      <c r="Q582" s="78">
        <f>IF(N582="","",IF(AND(N582="✓",O582="✓",P582="✓"),"✓ Complete","Missing documents"))</f>
        <v/>
      </c>
      <c r="R582" s="79">
        <f>IF(Q582="","",IF(Q582="✓ Complete",0,1))</f>
        <v/>
      </c>
    </row>
    <row r="583" ht="20" customHeight="1">
      <c r="B583" s="72" t="n"/>
      <c r="C583" s="72" t="n"/>
      <c r="D583" s="72" t="n"/>
      <c r="E583" s="72" t="n"/>
      <c r="F583" s="72" t="n"/>
      <c r="G583" s="109" t="n"/>
      <c r="H583" s="72" t="n"/>
      <c r="I583" s="78">
        <f>IF(H583="","",HYPERLINK(H583,"Open ↗"))</f>
        <v/>
      </c>
      <c r="J583" s="72" t="n"/>
      <c r="L583" s="116">
        <f>IF('Contractors'!B583="","",'Contractors'!B583)</f>
        <v/>
      </c>
      <c r="M583" s="78">
        <f>IF(L583="","",'Contractors'!L583)</f>
        <v/>
      </c>
      <c r="N583" s="78">
        <f>IF(OR(L583="",M583&lt;&gt;"Yes"),"",IF(COUNTIFS('Vault'!$C$6:$C$1005,"Contract",'Vault'!$D$6:$D$1005,L583)&gt;0,"✓","✗ missing"))</f>
        <v/>
      </c>
      <c r="O583" s="78">
        <f>IF(OR(L583="",M583&lt;&gt;"Yes"),"",IF(COUNTIFS('Vault'!$C$6:$C$1005,"Insurance",'Vault'!$D$6:$D$1005,L583)&gt;0,"✓","✗ missing"))</f>
        <v/>
      </c>
      <c r="P583" s="78">
        <f>IF(OR(L583="",M583&lt;&gt;"Yes"),"",IF(COUNTIFS('Vault'!$C$6:$C$1005,"Quote",'Vault'!$D$6:$D$1005,L583)&gt;0,"✓","✗ missing"))</f>
        <v/>
      </c>
      <c r="Q583" s="78">
        <f>IF(N583="","",IF(AND(N583="✓",O583="✓",P583="✓"),"✓ Complete","Missing documents"))</f>
        <v/>
      </c>
      <c r="R583" s="79">
        <f>IF(Q583="","",IF(Q583="✓ Complete",0,1))</f>
        <v/>
      </c>
    </row>
    <row r="584" ht="20" customHeight="1">
      <c r="B584" s="72" t="n"/>
      <c r="C584" s="72" t="n"/>
      <c r="D584" s="72" t="n"/>
      <c r="E584" s="72" t="n"/>
      <c r="F584" s="72" t="n"/>
      <c r="G584" s="109" t="n"/>
      <c r="H584" s="72" t="n"/>
      <c r="I584" s="78">
        <f>IF(H584="","",HYPERLINK(H584,"Open ↗"))</f>
        <v/>
      </c>
      <c r="J584" s="72" t="n"/>
      <c r="L584" s="116">
        <f>IF('Contractors'!B584="","",'Contractors'!B584)</f>
        <v/>
      </c>
      <c r="M584" s="78">
        <f>IF(L584="","",'Contractors'!L584)</f>
        <v/>
      </c>
      <c r="N584" s="78">
        <f>IF(OR(L584="",M584&lt;&gt;"Yes"),"",IF(COUNTIFS('Vault'!$C$6:$C$1005,"Contract",'Vault'!$D$6:$D$1005,L584)&gt;0,"✓","✗ missing"))</f>
        <v/>
      </c>
      <c r="O584" s="78">
        <f>IF(OR(L584="",M584&lt;&gt;"Yes"),"",IF(COUNTIFS('Vault'!$C$6:$C$1005,"Insurance",'Vault'!$D$6:$D$1005,L584)&gt;0,"✓","✗ missing"))</f>
        <v/>
      </c>
      <c r="P584" s="78">
        <f>IF(OR(L584="",M584&lt;&gt;"Yes"),"",IF(COUNTIFS('Vault'!$C$6:$C$1005,"Quote",'Vault'!$D$6:$D$1005,L584)&gt;0,"✓","✗ missing"))</f>
        <v/>
      </c>
      <c r="Q584" s="78">
        <f>IF(N584="","",IF(AND(N584="✓",O584="✓",P584="✓"),"✓ Complete","Missing documents"))</f>
        <v/>
      </c>
      <c r="R584" s="79">
        <f>IF(Q584="","",IF(Q584="✓ Complete",0,1))</f>
        <v/>
      </c>
    </row>
    <row r="585" ht="20" customHeight="1">
      <c r="B585" s="72" t="n"/>
      <c r="C585" s="72" t="n"/>
      <c r="D585" s="72" t="n"/>
      <c r="E585" s="72" t="n"/>
      <c r="F585" s="72" t="n"/>
      <c r="G585" s="109" t="n"/>
      <c r="H585" s="72" t="n"/>
      <c r="I585" s="78">
        <f>IF(H585="","",HYPERLINK(H585,"Open ↗"))</f>
        <v/>
      </c>
      <c r="J585" s="72" t="n"/>
      <c r="L585" s="116">
        <f>IF('Contractors'!B585="","",'Contractors'!B585)</f>
        <v/>
      </c>
      <c r="M585" s="78">
        <f>IF(L585="","",'Contractors'!L585)</f>
        <v/>
      </c>
      <c r="N585" s="78">
        <f>IF(OR(L585="",M585&lt;&gt;"Yes"),"",IF(COUNTIFS('Vault'!$C$6:$C$1005,"Contract",'Vault'!$D$6:$D$1005,L585)&gt;0,"✓","✗ missing"))</f>
        <v/>
      </c>
      <c r="O585" s="78">
        <f>IF(OR(L585="",M585&lt;&gt;"Yes"),"",IF(COUNTIFS('Vault'!$C$6:$C$1005,"Insurance",'Vault'!$D$6:$D$1005,L585)&gt;0,"✓","✗ missing"))</f>
        <v/>
      </c>
      <c r="P585" s="78">
        <f>IF(OR(L585="",M585&lt;&gt;"Yes"),"",IF(COUNTIFS('Vault'!$C$6:$C$1005,"Quote",'Vault'!$D$6:$D$1005,L585)&gt;0,"✓","✗ missing"))</f>
        <v/>
      </c>
      <c r="Q585" s="78">
        <f>IF(N585="","",IF(AND(N585="✓",O585="✓",P585="✓"),"✓ Complete","Missing documents"))</f>
        <v/>
      </c>
      <c r="R585" s="79">
        <f>IF(Q585="","",IF(Q585="✓ Complete",0,1))</f>
        <v/>
      </c>
    </row>
    <row r="586" ht="20" customHeight="1">
      <c r="B586" s="72" t="n"/>
      <c r="C586" s="72" t="n"/>
      <c r="D586" s="72" t="n"/>
      <c r="E586" s="72" t="n"/>
      <c r="F586" s="72" t="n"/>
      <c r="G586" s="109" t="n"/>
      <c r="H586" s="72" t="n"/>
      <c r="I586" s="78">
        <f>IF(H586="","",HYPERLINK(H586,"Open ↗"))</f>
        <v/>
      </c>
      <c r="J586" s="72" t="n"/>
      <c r="L586" s="116">
        <f>IF('Contractors'!B586="","",'Contractors'!B586)</f>
        <v/>
      </c>
      <c r="M586" s="78">
        <f>IF(L586="","",'Contractors'!L586)</f>
        <v/>
      </c>
      <c r="N586" s="78">
        <f>IF(OR(L586="",M586&lt;&gt;"Yes"),"",IF(COUNTIFS('Vault'!$C$6:$C$1005,"Contract",'Vault'!$D$6:$D$1005,L586)&gt;0,"✓","✗ missing"))</f>
        <v/>
      </c>
      <c r="O586" s="78">
        <f>IF(OR(L586="",M586&lt;&gt;"Yes"),"",IF(COUNTIFS('Vault'!$C$6:$C$1005,"Insurance",'Vault'!$D$6:$D$1005,L586)&gt;0,"✓","✗ missing"))</f>
        <v/>
      </c>
      <c r="P586" s="78">
        <f>IF(OR(L586="",M586&lt;&gt;"Yes"),"",IF(COUNTIFS('Vault'!$C$6:$C$1005,"Quote",'Vault'!$D$6:$D$1005,L586)&gt;0,"✓","✗ missing"))</f>
        <v/>
      </c>
      <c r="Q586" s="78">
        <f>IF(N586="","",IF(AND(N586="✓",O586="✓",P586="✓"),"✓ Complete","Missing documents"))</f>
        <v/>
      </c>
      <c r="R586" s="79">
        <f>IF(Q586="","",IF(Q586="✓ Complete",0,1))</f>
        <v/>
      </c>
    </row>
    <row r="587" ht="20" customHeight="1">
      <c r="B587" s="72" t="n"/>
      <c r="C587" s="72" t="n"/>
      <c r="D587" s="72" t="n"/>
      <c r="E587" s="72" t="n"/>
      <c r="F587" s="72" t="n"/>
      <c r="G587" s="109" t="n"/>
      <c r="H587" s="72" t="n"/>
      <c r="I587" s="78">
        <f>IF(H587="","",HYPERLINK(H587,"Open ↗"))</f>
        <v/>
      </c>
      <c r="J587" s="72" t="n"/>
      <c r="L587" s="116">
        <f>IF('Contractors'!B587="","",'Contractors'!B587)</f>
        <v/>
      </c>
      <c r="M587" s="78">
        <f>IF(L587="","",'Contractors'!L587)</f>
        <v/>
      </c>
      <c r="N587" s="78">
        <f>IF(OR(L587="",M587&lt;&gt;"Yes"),"",IF(COUNTIFS('Vault'!$C$6:$C$1005,"Contract",'Vault'!$D$6:$D$1005,L587)&gt;0,"✓","✗ missing"))</f>
        <v/>
      </c>
      <c r="O587" s="78">
        <f>IF(OR(L587="",M587&lt;&gt;"Yes"),"",IF(COUNTIFS('Vault'!$C$6:$C$1005,"Insurance",'Vault'!$D$6:$D$1005,L587)&gt;0,"✓","✗ missing"))</f>
        <v/>
      </c>
      <c r="P587" s="78">
        <f>IF(OR(L587="",M587&lt;&gt;"Yes"),"",IF(COUNTIFS('Vault'!$C$6:$C$1005,"Quote",'Vault'!$D$6:$D$1005,L587)&gt;0,"✓","✗ missing"))</f>
        <v/>
      </c>
      <c r="Q587" s="78">
        <f>IF(N587="","",IF(AND(N587="✓",O587="✓",P587="✓"),"✓ Complete","Missing documents"))</f>
        <v/>
      </c>
      <c r="R587" s="79">
        <f>IF(Q587="","",IF(Q587="✓ Complete",0,1))</f>
        <v/>
      </c>
    </row>
    <row r="588" ht="20" customHeight="1">
      <c r="B588" s="72" t="n"/>
      <c r="C588" s="72" t="n"/>
      <c r="D588" s="72" t="n"/>
      <c r="E588" s="72" t="n"/>
      <c r="F588" s="72" t="n"/>
      <c r="G588" s="109" t="n"/>
      <c r="H588" s="72" t="n"/>
      <c r="I588" s="78">
        <f>IF(H588="","",HYPERLINK(H588,"Open ↗"))</f>
        <v/>
      </c>
      <c r="J588" s="72" t="n"/>
      <c r="L588" s="116">
        <f>IF('Contractors'!B588="","",'Contractors'!B588)</f>
        <v/>
      </c>
      <c r="M588" s="78">
        <f>IF(L588="","",'Contractors'!L588)</f>
        <v/>
      </c>
      <c r="N588" s="78">
        <f>IF(OR(L588="",M588&lt;&gt;"Yes"),"",IF(COUNTIFS('Vault'!$C$6:$C$1005,"Contract",'Vault'!$D$6:$D$1005,L588)&gt;0,"✓","✗ missing"))</f>
        <v/>
      </c>
      <c r="O588" s="78">
        <f>IF(OR(L588="",M588&lt;&gt;"Yes"),"",IF(COUNTIFS('Vault'!$C$6:$C$1005,"Insurance",'Vault'!$D$6:$D$1005,L588)&gt;0,"✓","✗ missing"))</f>
        <v/>
      </c>
      <c r="P588" s="78">
        <f>IF(OR(L588="",M588&lt;&gt;"Yes"),"",IF(COUNTIFS('Vault'!$C$6:$C$1005,"Quote",'Vault'!$D$6:$D$1005,L588)&gt;0,"✓","✗ missing"))</f>
        <v/>
      </c>
      <c r="Q588" s="78">
        <f>IF(N588="","",IF(AND(N588="✓",O588="✓",P588="✓"),"✓ Complete","Missing documents"))</f>
        <v/>
      </c>
      <c r="R588" s="79">
        <f>IF(Q588="","",IF(Q588="✓ Complete",0,1))</f>
        <v/>
      </c>
    </row>
    <row r="589" ht="20" customHeight="1">
      <c r="B589" s="72" t="n"/>
      <c r="C589" s="72" t="n"/>
      <c r="D589" s="72" t="n"/>
      <c r="E589" s="72" t="n"/>
      <c r="F589" s="72" t="n"/>
      <c r="G589" s="109" t="n"/>
      <c r="H589" s="72" t="n"/>
      <c r="I589" s="78">
        <f>IF(H589="","",HYPERLINK(H589,"Open ↗"))</f>
        <v/>
      </c>
      <c r="J589" s="72" t="n"/>
      <c r="L589" s="116">
        <f>IF('Contractors'!B589="","",'Contractors'!B589)</f>
        <v/>
      </c>
      <c r="M589" s="78">
        <f>IF(L589="","",'Contractors'!L589)</f>
        <v/>
      </c>
      <c r="N589" s="78">
        <f>IF(OR(L589="",M589&lt;&gt;"Yes"),"",IF(COUNTIFS('Vault'!$C$6:$C$1005,"Contract",'Vault'!$D$6:$D$1005,L589)&gt;0,"✓","✗ missing"))</f>
        <v/>
      </c>
      <c r="O589" s="78">
        <f>IF(OR(L589="",M589&lt;&gt;"Yes"),"",IF(COUNTIFS('Vault'!$C$6:$C$1005,"Insurance",'Vault'!$D$6:$D$1005,L589)&gt;0,"✓","✗ missing"))</f>
        <v/>
      </c>
      <c r="P589" s="78">
        <f>IF(OR(L589="",M589&lt;&gt;"Yes"),"",IF(COUNTIFS('Vault'!$C$6:$C$1005,"Quote",'Vault'!$D$6:$D$1005,L589)&gt;0,"✓","✗ missing"))</f>
        <v/>
      </c>
      <c r="Q589" s="78">
        <f>IF(N589="","",IF(AND(N589="✓",O589="✓",P589="✓"),"✓ Complete","Missing documents"))</f>
        <v/>
      </c>
      <c r="R589" s="79">
        <f>IF(Q589="","",IF(Q589="✓ Complete",0,1))</f>
        <v/>
      </c>
    </row>
    <row r="590" ht="20" customHeight="1">
      <c r="B590" s="72" t="n"/>
      <c r="C590" s="72" t="n"/>
      <c r="D590" s="72" t="n"/>
      <c r="E590" s="72" t="n"/>
      <c r="F590" s="72" t="n"/>
      <c r="G590" s="109" t="n"/>
      <c r="H590" s="72" t="n"/>
      <c r="I590" s="78">
        <f>IF(H590="","",HYPERLINK(H590,"Open ↗"))</f>
        <v/>
      </c>
      <c r="J590" s="72" t="n"/>
      <c r="L590" s="116">
        <f>IF('Contractors'!B590="","",'Contractors'!B590)</f>
        <v/>
      </c>
      <c r="M590" s="78">
        <f>IF(L590="","",'Contractors'!L590)</f>
        <v/>
      </c>
      <c r="N590" s="78">
        <f>IF(OR(L590="",M590&lt;&gt;"Yes"),"",IF(COUNTIFS('Vault'!$C$6:$C$1005,"Contract",'Vault'!$D$6:$D$1005,L590)&gt;0,"✓","✗ missing"))</f>
        <v/>
      </c>
      <c r="O590" s="78">
        <f>IF(OR(L590="",M590&lt;&gt;"Yes"),"",IF(COUNTIFS('Vault'!$C$6:$C$1005,"Insurance",'Vault'!$D$6:$D$1005,L590)&gt;0,"✓","✗ missing"))</f>
        <v/>
      </c>
      <c r="P590" s="78">
        <f>IF(OR(L590="",M590&lt;&gt;"Yes"),"",IF(COUNTIFS('Vault'!$C$6:$C$1005,"Quote",'Vault'!$D$6:$D$1005,L590)&gt;0,"✓","✗ missing"))</f>
        <v/>
      </c>
      <c r="Q590" s="78">
        <f>IF(N590="","",IF(AND(N590="✓",O590="✓",P590="✓"),"✓ Complete","Missing documents"))</f>
        <v/>
      </c>
      <c r="R590" s="79">
        <f>IF(Q590="","",IF(Q590="✓ Complete",0,1))</f>
        <v/>
      </c>
    </row>
    <row r="591" ht="20" customHeight="1">
      <c r="B591" s="72" t="n"/>
      <c r="C591" s="72" t="n"/>
      <c r="D591" s="72" t="n"/>
      <c r="E591" s="72" t="n"/>
      <c r="F591" s="72" t="n"/>
      <c r="G591" s="109" t="n"/>
      <c r="H591" s="72" t="n"/>
      <c r="I591" s="78">
        <f>IF(H591="","",HYPERLINK(H591,"Open ↗"))</f>
        <v/>
      </c>
      <c r="J591" s="72" t="n"/>
      <c r="L591" s="116">
        <f>IF('Contractors'!B591="","",'Contractors'!B591)</f>
        <v/>
      </c>
      <c r="M591" s="78">
        <f>IF(L591="","",'Contractors'!L591)</f>
        <v/>
      </c>
      <c r="N591" s="78">
        <f>IF(OR(L591="",M591&lt;&gt;"Yes"),"",IF(COUNTIFS('Vault'!$C$6:$C$1005,"Contract",'Vault'!$D$6:$D$1005,L591)&gt;0,"✓","✗ missing"))</f>
        <v/>
      </c>
      <c r="O591" s="78">
        <f>IF(OR(L591="",M591&lt;&gt;"Yes"),"",IF(COUNTIFS('Vault'!$C$6:$C$1005,"Insurance",'Vault'!$D$6:$D$1005,L591)&gt;0,"✓","✗ missing"))</f>
        <v/>
      </c>
      <c r="P591" s="78">
        <f>IF(OR(L591="",M591&lt;&gt;"Yes"),"",IF(COUNTIFS('Vault'!$C$6:$C$1005,"Quote",'Vault'!$D$6:$D$1005,L591)&gt;0,"✓","✗ missing"))</f>
        <v/>
      </c>
      <c r="Q591" s="78">
        <f>IF(N591="","",IF(AND(N591="✓",O591="✓",P591="✓"),"✓ Complete","Missing documents"))</f>
        <v/>
      </c>
      <c r="R591" s="79">
        <f>IF(Q591="","",IF(Q591="✓ Complete",0,1))</f>
        <v/>
      </c>
    </row>
    <row r="592" ht="20" customHeight="1">
      <c r="B592" s="72" t="n"/>
      <c r="C592" s="72" t="n"/>
      <c r="D592" s="72" t="n"/>
      <c r="E592" s="72" t="n"/>
      <c r="F592" s="72" t="n"/>
      <c r="G592" s="109" t="n"/>
      <c r="H592" s="72" t="n"/>
      <c r="I592" s="78">
        <f>IF(H592="","",HYPERLINK(H592,"Open ↗"))</f>
        <v/>
      </c>
      <c r="J592" s="72" t="n"/>
      <c r="L592" s="116">
        <f>IF('Contractors'!B592="","",'Contractors'!B592)</f>
        <v/>
      </c>
      <c r="M592" s="78">
        <f>IF(L592="","",'Contractors'!L592)</f>
        <v/>
      </c>
      <c r="N592" s="78">
        <f>IF(OR(L592="",M592&lt;&gt;"Yes"),"",IF(COUNTIFS('Vault'!$C$6:$C$1005,"Contract",'Vault'!$D$6:$D$1005,L592)&gt;0,"✓","✗ missing"))</f>
        <v/>
      </c>
      <c r="O592" s="78">
        <f>IF(OR(L592="",M592&lt;&gt;"Yes"),"",IF(COUNTIFS('Vault'!$C$6:$C$1005,"Insurance",'Vault'!$D$6:$D$1005,L592)&gt;0,"✓","✗ missing"))</f>
        <v/>
      </c>
      <c r="P592" s="78">
        <f>IF(OR(L592="",M592&lt;&gt;"Yes"),"",IF(COUNTIFS('Vault'!$C$6:$C$1005,"Quote",'Vault'!$D$6:$D$1005,L592)&gt;0,"✓","✗ missing"))</f>
        <v/>
      </c>
      <c r="Q592" s="78">
        <f>IF(N592="","",IF(AND(N592="✓",O592="✓",P592="✓"),"✓ Complete","Missing documents"))</f>
        <v/>
      </c>
      <c r="R592" s="79">
        <f>IF(Q592="","",IF(Q592="✓ Complete",0,1))</f>
        <v/>
      </c>
    </row>
    <row r="593" ht="20" customHeight="1">
      <c r="B593" s="72" t="n"/>
      <c r="C593" s="72" t="n"/>
      <c r="D593" s="72" t="n"/>
      <c r="E593" s="72" t="n"/>
      <c r="F593" s="72" t="n"/>
      <c r="G593" s="109" t="n"/>
      <c r="H593" s="72" t="n"/>
      <c r="I593" s="78">
        <f>IF(H593="","",HYPERLINK(H593,"Open ↗"))</f>
        <v/>
      </c>
      <c r="J593" s="72" t="n"/>
      <c r="L593" s="116">
        <f>IF('Contractors'!B593="","",'Contractors'!B593)</f>
        <v/>
      </c>
      <c r="M593" s="78">
        <f>IF(L593="","",'Contractors'!L593)</f>
        <v/>
      </c>
      <c r="N593" s="78">
        <f>IF(OR(L593="",M593&lt;&gt;"Yes"),"",IF(COUNTIFS('Vault'!$C$6:$C$1005,"Contract",'Vault'!$D$6:$D$1005,L593)&gt;0,"✓","✗ missing"))</f>
        <v/>
      </c>
      <c r="O593" s="78">
        <f>IF(OR(L593="",M593&lt;&gt;"Yes"),"",IF(COUNTIFS('Vault'!$C$6:$C$1005,"Insurance",'Vault'!$D$6:$D$1005,L593)&gt;0,"✓","✗ missing"))</f>
        <v/>
      </c>
      <c r="P593" s="78">
        <f>IF(OR(L593="",M593&lt;&gt;"Yes"),"",IF(COUNTIFS('Vault'!$C$6:$C$1005,"Quote",'Vault'!$D$6:$D$1005,L593)&gt;0,"✓","✗ missing"))</f>
        <v/>
      </c>
      <c r="Q593" s="78">
        <f>IF(N593="","",IF(AND(N593="✓",O593="✓",P593="✓"),"✓ Complete","Missing documents"))</f>
        <v/>
      </c>
      <c r="R593" s="79">
        <f>IF(Q593="","",IF(Q593="✓ Complete",0,1))</f>
        <v/>
      </c>
    </row>
    <row r="594" ht="20" customHeight="1">
      <c r="B594" s="72" t="n"/>
      <c r="C594" s="72" t="n"/>
      <c r="D594" s="72" t="n"/>
      <c r="E594" s="72" t="n"/>
      <c r="F594" s="72" t="n"/>
      <c r="G594" s="109" t="n"/>
      <c r="H594" s="72" t="n"/>
      <c r="I594" s="78">
        <f>IF(H594="","",HYPERLINK(H594,"Open ↗"))</f>
        <v/>
      </c>
      <c r="J594" s="72" t="n"/>
      <c r="L594" s="116">
        <f>IF('Contractors'!B594="","",'Contractors'!B594)</f>
        <v/>
      </c>
      <c r="M594" s="78">
        <f>IF(L594="","",'Contractors'!L594)</f>
        <v/>
      </c>
      <c r="N594" s="78">
        <f>IF(OR(L594="",M594&lt;&gt;"Yes"),"",IF(COUNTIFS('Vault'!$C$6:$C$1005,"Contract",'Vault'!$D$6:$D$1005,L594)&gt;0,"✓","✗ missing"))</f>
        <v/>
      </c>
      <c r="O594" s="78">
        <f>IF(OR(L594="",M594&lt;&gt;"Yes"),"",IF(COUNTIFS('Vault'!$C$6:$C$1005,"Insurance",'Vault'!$D$6:$D$1005,L594)&gt;0,"✓","✗ missing"))</f>
        <v/>
      </c>
      <c r="P594" s="78">
        <f>IF(OR(L594="",M594&lt;&gt;"Yes"),"",IF(COUNTIFS('Vault'!$C$6:$C$1005,"Quote",'Vault'!$D$6:$D$1005,L594)&gt;0,"✓","✗ missing"))</f>
        <v/>
      </c>
      <c r="Q594" s="78">
        <f>IF(N594="","",IF(AND(N594="✓",O594="✓",P594="✓"),"✓ Complete","Missing documents"))</f>
        <v/>
      </c>
      <c r="R594" s="79">
        <f>IF(Q594="","",IF(Q594="✓ Complete",0,1))</f>
        <v/>
      </c>
    </row>
    <row r="595" ht="20" customHeight="1">
      <c r="B595" s="72" t="n"/>
      <c r="C595" s="72" t="n"/>
      <c r="D595" s="72" t="n"/>
      <c r="E595" s="72" t="n"/>
      <c r="F595" s="72" t="n"/>
      <c r="G595" s="109" t="n"/>
      <c r="H595" s="72" t="n"/>
      <c r="I595" s="78">
        <f>IF(H595="","",HYPERLINK(H595,"Open ↗"))</f>
        <v/>
      </c>
      <c r="J595" s="72" t="n"/>
      <c r="L595" s="116">
        <f>IF('Contractors'!B595="","",'Contractors'!B595)</f>
        <v/>
      </c>
      <c r="M595" s="78">
        <f>IF(L595="","",'Contractors'!L595)</f>
        <v/>
      </c>
      <c r="N595" s="78">
        <f>IF(OR(L595="",M595&lt;&gt;"Yes"),"",IF(COUNTIFS('Vault'!$C$6:$C$1005,"Contract",'Vault'!$D$6:$D$1005,L595)&gt;0,"✓","✗ missing"))</f>
        <v/>
      </c>
      <c r="O595" s="78">
        <f>IF(OR(L595="",M595&lt;&gt;"Yes"),"",IF(COUNTIFS('Vault'!$C$6:$C$1005,"Insurance",'Vault'!$D$6:$D$1005,L595)&gt;0,"✓","✗ missing"))</f>
        <v/>
      </c>
      <c r="P595" s="78">
        <f>IF(OR(L595="",M595&lt;&gt;"Yes"),"",IF(COUNTIFS('Vault'!$C$6:$C$1005,"Quote",'Vault'!$D$6:$D$1005,L595)&gt;0,"✓","✗ missing"))</f>
        <v/>
      </c>
      <c r="Q595" s="78">
        <f>IF(N595="","",IF(AND(N595="✓",O595="✓",P595="✓"),"✓ Complete","Missing documents"))</f>
        <v/>
      </c>
      <c r="R595" s="79">
        <f>IF(Q595="","",IF(Q595="✓ Complete",0,1))</f>
        <v/>
      </c>
    </row>
    <row r="596" ht="20" customHeight="1">
      <c r="B596" s="72" t="n"/>
      <c r="C596" s="72" t="n"/>
      <c r="D596" s="72" t="n"/>
      <c r="E596" s="72" t="n"/>
      <c r="F596" s="72" t="n"/>
      <c r="G596" s="109" t="n"/>
      <c r="H596" s="72" t="n"/>
      <c r="I596" s="78">
        <f>IF(H596="","",HYPERLINK(H596,"Open ↗"))</f>
        <v/>
      </c>
      <c r="J596" s="72" t="n"/>
      <c r="L596" s="116">
        <f>IF('Contractors'!B596="","",'Contractors'!B596)</f>
        <v/>
      </c>
      <c r="M596" s="78">
        <f>IF(L596="","",'Contractors'!L596)</f>
        <v/>
      </c>
      <c r="N596" s="78">
        <f>IF(OR(L596="",M596&lt;&gt;"Yes"),"",IF(COUNTIFS('Vault'!$C$6:$C$1005,"Contract",'Vault'!$D$6:$D$1005,L596)&gt;0,"✓","✗ missing"))</f>
        <v/>
      </c>
      <c r="O596" s="78">
        <f>IF(OR(L596="",M596&lt;&gt;"Yes"),"",IF(COUNTIFS('Vault'!$C$6:$C$1005,"Insurance",'Vault'!$D$6:$D$1005,L596)&gt;0,"✓","✗ missing"))</f>
        <v/>
      </c>
      <c r="P596" s="78">
        <f>IF(OR(L596="",M596&lt;&gt;"Yes"),"",IF(COUNTIFS('Vault'!$C$6:$C$1005,"Quote",'Vault'!$D$6:$D$1005,L596)&gt;0,"✓","✗ missing"))</f>
        <v/>
      </c>
      <c r="Q596" s="78">
        <f>IF(N596="","",IF(AND(N596="✓",O596="✓",P596="✓"),"✓ Complete","Missing documents"))</f>
        <v/>
      </c>
      <c r="R596" s="79">
        <f>IF(Q596="","",IF(Q596="✓ Complete",0,1))</f>
        <v/>
      </c>
    </row>
    <row r="597" ht="20" customHeight="1">
      <c r="B597" s="72" t="n"/>
      <c r="C597" s="72" t="n"/>
      <c r="D597" s="72" t="n"/>
      <c r="E597" s="72" t="n"/>
      <c r="F597" s="72" t="n"/>
      <c r="G597" s="109" t="n"/>
      <c r="H597" s="72" t="n"/>
      <c r="I597" s="78">
        <f>IF(H597="","",HYPERLINK(H597,"Open ↗"))</f>
        <v/>
      </c>
      <c r="J597" s="72" t="n"/>
      <c r="L597" s="116">
        <f>IF('Contractors'!B597="","",'Contractors'!B597)</f>
        <v/>
      </c>
      <c r="M597" s="78">
        <f>IF(L597="","",'Contractors'!L597)</f>
        <v/>
      </c>
      <c r="N597" s="78">
        <f>IF(OR(L597="",M597&lt;&gt;"Yes"),"",IF(COUNTIFS('Vault'!$C$6:$C$1005,"Contract",'Vault'!$D$6:$D$1005,L597)&gt;0,"✓","✗ missing"))</f>
        <v/>
      </c>
      <c r="O597" s="78">
        <f>IF(OR(L597="",M597&lt;&gt;"Yes"),"",IF(COUNTIFS('Vault'!$C$6:$C$1005,"Insurance",'Vault'!$D$6:$D$1005,L597)&gt;0,"✓","✗ missing"))</f>
        <v/>
      </c>
      <c r="P597" s="78">
        <f>IF(OR(L597="",M597&lt;&gt;"Yes"),"",IF(COUNTIFS('Vault'!$C$6:$C$1005,"Quote",'Vault'!$D$6:$D$1005,L597)&gt;0,"✓","✗ missing"))</f>
        <v/>
      </c>
      <c r="Q597" s="78">
        <f>IF(N597="","",IF(AND(N597="✓",O597="✓",P597="✓"),"✓ Complete","Missing documents"))</f>
        <v/>
      </c>
      <c r="R597" s="79">
        <f>IF(Q597="","",IF(Q597="✓ Complete",0,1))</f>
        <v/>
      </c>
    </row>
    <row r="598" ht="20" customHeight="1">
      <c r="B598" s="72" t="n"/>
      <c r="C598" s="72" t="n"/>
      <c r="D598" s="72" t="n"/>
      <c r="E598" s="72" t="n"/>
      <c r="F598" s="72" t="n"/>
      <c r="G598" s="109" t="n"/>
      <c r="H598" s="72" t="n"/>
      <c r="I598" s="78">
        <f>IF(H598="","",HYPERLINK(H598,"Open ↗"))</f>
        <v/>
      </c>
      <c r="J598" s="72" t="n"/>
      <c r="L598" s="116">
        <f>IF('Contractors'!B598="","",'Contractors'!B598)</f>
        <v/>
      </c>
      <c r="M598" s="78">
        <f>IF(L598="","",'Contractors'!L598)</f>
        <v/>
      </c>
      <c r="N598" s="78">
        <f>IF(OR(L598="",M598&lt;&gt;"Yes"),"",IF(COUNTIFS('Vault'!$C$6:$C$1005,"Contract",'Vault'!$D$6:$D$1005,L598)&gt;0,"✓","✗ missing"))</f>
        <v/>
      </c>
      <c r="O598" s="78">
        <f>IF(OR(L598="",M598&lt;&gt;"Yes"),"",IF(COUNTIFS('Vault'!$C$6:$C$1005,"Insurance",'Vault'!$D$6:$D$1005,L598)&gt;0,"✓","✗ missing"))</f>
        <v/>
      </c>
      <c r="P598" s="78">
        <f>IF(OR(L598="",M598&lt;&gt;"Yes"),"",IF(COUNTIFS('Vault'!$C$6:$C$1005,"Quote",'Vault'!$D$6:$D$1005,L598)&gt;0,"✓","✗ missing"))</f>
        <v/>
      </c>
      <c r="Q598" s="78">
        <f>IF(N598="","",IF(AND(N598="✓",O598="✓",P598="✓"),"✓ Complete","Missing documents"))</f>
        <v/>
      </c>
      <c r="R598" s="79">
        <f>IF(Q598="","",IF(Q598="✓ Complete",0,1))</f>
        <v/>
      </c>
    </row>
    <row r="599" ht="20" customHeight="1">
      <c r="B599" s="72" t="n"/>
      <c r="C599" s="72" t="n"/>
      <c r="D599" s="72" t="n"/>
      <c r="E599" s="72" t="n"/>
      <c r="F599" s="72" t="n"/>
      <c r="G599" s="109" t="n"/>
      <c r="H599" s="72" t="n"/>
      <c r="I599" s="78">
        <f>IF(H599="","",HYPERLINK(H599,"Open ↗"))</f>
        <v/>
      </c>
      <c r="J599" s="72" t="n"/>
      <c r="L599" s="116">
        <f>IF('Contractors'!B599="","",'Contractors'!B599)</f>
        <v/>
      </c>
      <c r="M599" s="78">
        <f>IF(L599="","",'Contractors'!L599)</f>
        <v/>
      </c>
      <c r="N599" s="78">
        <f>IF(OR(L599="",M599&lt;&gt;"Yes"),"",IF(COUNTIFS('Vault'!$C$6:$C$1005,"Contract",'Vault'!$D$6:$D$1005,L599)&gt;0,"✓","✗ missing"))</f>
        <v/>
      </c>
      <c r="O599" s="78">
        <f>IF(OR(L599="",M599&lt;&gt;"Yes"),"",IF(COUNTIFS('Vault'!$C$6:$C$1005,"Insurance",'Vault'!$D$6:$D$1005,L599)&gt;0,"✓","✗ missing"))</f>
        <v/>
      </c>
      <c r="P599" s="78">
        <f>IF(OR(L599="",M599&lt;&gt;"Yes"),"",IF(COUNTIFS('Vault'!$C$6:$C$1005,"Quote",'Vault'!$D$6:$D$1005,L599)&gt;0,"✓","✗ missing"))</f>
        <v/>
      </c>
      <c r="Q599" s="78">
        <f>IF(N599="","",IF(AND(N599="✓",O599="✓",P599="✓"),"✓ Complete","Missing documents"))</f>
        <v/>
      </c>
      <c r="R599" s="79">
        <f>IF(Q599="","",IF(Q599="✓ Complete",0,1))</f>
        <v/>
      </c>
    </row>
    <row r="600" ht="20" customHeight="1">
      <c r="B600" s="72" t="n"/>
      <c r="C600" s="72" t="n"/>
      <c r="D600" s="72" t="n"/>
      <c r="E600" s="72" t="n"/>
      <c r="F600" s="72" t="n"/>
      <c r="G600" s="109" t="n"/>
      <c r="H600" s="72" t="n"/>
      <c r="I600" s="78">
        <f>IF(H600="","",HYPERLINK(H600,"Open ↗"))</f>
        <v/>
      </c>
      <c r="J600" s="72" t="n"/>
      <c r="L600" s="116">
        <f>IF('Contractors'!B600="","",'Contractors'!B600)</f>
        <v/>
      </c>
      <c r="M600" s="78">
        <f>IF(L600="","",'Contractors'!L600)</f>
        <v/>
      </c>
      <c r="N600" s="78">
        <f>IF(OR(L600="",M600&lt;&gt;"Yes"),"",IF(COUNTIFS('Vault'!$C$6:$C$1005,"Contract",'Vault'!$D$6:$D$1005,L600)&gt;0,"✓","✗ missing"))</f>
        <v/>
      </c>
      <c r="O600" s="78">
        <f>IF(OR(L600="",M600&lt;&gt;"Yes"),"",IF(COUNTIFS('Vault'!$C$6:$C$1005,"Insurance",'Vault'!$D$6:$D$1005,L600)&gt;0,"✓","✗ missing"))</f>
        <v/>
      </c>
      <c r="P600" s="78">
        <f>IF(OR(L600="",M600&lt;&gt;"Yes"),"",IF(COUNTIFS('Vault'!$C$6:$C$1005,"Quote",'Vault'!$D$6:$D$1005,L600)&gt;0,"✓","✗ missing"))</f>
        <v/>
      </c>
      <c r="Q600" s="78">
        <f>IF(N600="","",IF(AND(N600="✓",O600="✓",P600="✓"),"✓ Complete","Missing documents"))</f>
        <v/>
      </c>
      <c r="R600" s="79">
        <f>IF(Q600="","",IF(Q600="✓ Complete",0,1))</f>
        <v/>
      </c>
    </row>
    <row r="601" ht="20" customHeight="1">
      <c r="B601" s="72" t="n"/>
      <c r="C601" s="72" t="n"/>
      <c r="D601" s="72" t="n"/>
      <c r="E601" s="72" t="n"/>
      <c r="F601" s="72" t="n"/>
      <c r="G601" s="109" t="n"/>
      <c r="H601" s="72" t="n"/>
      <c r="I601" s="78">
        <f>IF(H601="","",HYPERLINK(H601,"Open ↗"))</f>
        <v/>
      </c>
      <c r="J601" s="72" t="n"/>
      <c r="L601" s="116">
        <f>IF('Contractors'!B601="","",'Contractors'!B601)</f>
        <v/>
      </c>
      <c r="M601" s="78">
        <f>IF(L601="","",'Contractors'!L601)</f>
        <v/>
      </c>
      <c r="N601" s="78">
        <f>IF(OR(L601="",M601&lt;&gt;"Yes"),"",IF(COUNTIFS('Vault'!$C$6:$C$1005,"Contract",'Vault'!$D$6:$D$1005,L601)&gt;0,"✓","✗ missing"))</f>
        <v/>
      </c>
      <c r="O601" s="78">
        <f>IF(OR(L601="",M601&lt;&gt;"Yes"),"",IF(COUNTIFS('Vault'!$C$6:$C$1005,"Insurance",'Vault'!$D$6:$D$1005,L601)&gt;0,"✓","✗ missing"))</f>
        <v/>
      </c>
      <c r="P601" s="78">
        <f>IF(OR(L601="",M601&lt;&gt;"Yes"),"",IF(COUNTIFS('Vault'!$C$6:$C$1005,"Quote",'Vault'!$D$6:$D$1005,L601)&gt;0,"✓","✗ missing"))</f>
        <v/>
      </c>
      <c r="Q601" s="78">
        <f>IF(N601="","",IF(AND(N601="✓",O601="✓",P601="✓"),"✓ Complete","Missing documents"))</f>
        <v/>
      </c>
      <c r="R601" s="79">
        <f>IF(Q601="","",IF(Q601="✓ Complete",0,1))</f>
        <v/>
      </c>
    </row>
    <row r="602" ht="20" customHeight="1">
      <c r="B602" s="72" t="n"/>
      <c r="C602" s="72" t="n"/>
      <c r="D602" s="72" t="n"/>
      <c r="E602" s="72" t="n"/>
      <c r="F602" s="72" t="n"/>
      <c r="G602" s="109" t="n"/>
      <c r="H602" s="72" t="n"/>
      <c r="I602" s="78">
        <f>IF(H602="","",HYPERLINK(H602,"Open ↗"))</f>
        <v/>
      </c>
      <c r="J602" s="72" t="n"/>
      <c r="L602" s="116">
        <f>IF('Contractors'!B602="","",'Contractors'!B602)</f>
        <v/>
      </c>
      <c r="M602" s="78">
        <f>IF(L602="","",'Contractors'!L602)</f>
        <v/>
      </c>
      <c r="N602" s="78">
        <f>IF(OR(L602="",M602&lt;&gt;"Yes"),"",IF(COUNTIFS('Vault'!$C$6:$C$1005,"Contract",'Vault'!$D$6:$D$1005,L602)&gt;0,"✓","✗ missing"))</f>
        <v/>
      </c>
      <c r="O602" s="78">
        <f>IF(OR(L602="",M602&lt;&gt;"Yes"),"",IF(COUNTIFS('Vault'!$C$6:$C$1005,"Insurance",'Vault'!$D$6:$D$1005,L602)&gt;0,"✓","✗ missing"))</f>
        <v/>
      </c>
      <c r="P602" s="78">
        <f>IF(OR(L602="",M602&lt;&gt;"Yes"),"",IF(COUNTIFS('Vault'!$C$6:$C$1005,"Quote",'Vault'!$D$6:$D$1005,L602)&gt;0,"✓","✗ missing"))</f>
        <v/>
      </c>
      <c r="Q602" s="78">
        <f>IF(N602="","",IF(AND(N602="✓",O602="✓",P602="✓"),"✓ Complete","Missing documents"))</f>
        <v/>
      </c>
      <c r="R602" s="79">
        <f>IF(Q602="","",IF(Q602="✓ Complete",0,1))</f>
        <v/>
      </c>
    </row>
    <row r="603" ht="20" customHeight="1">
      <c r="B603" s="72" t="n"/>
      <c r="C603" s="72" t="n"/>
      <c r="D603" s="72" t="n"/>
      <c r="E603" s="72" t="n"/>
      <c r="F603" s="72" t="n"/>
      <c r="G603" s="109" t="n"/>
      <c r="H603" s="72" t="n"/>
      <c r="I603" s="78">
        <f>IF(H603="","",HYPERLINK(H603,"Open ↗"))</f>
        <v/>
      </c>
      <c r="J603" s="72" t="n"/>
      <c r="L603" s="116">
        <f>IF('Contractors'!B603="","",'Contractors'!B603)</f>
        <v/>
      </c>
      <c r="M603" s="78">
        <f>IF(L603="","",'Contractors'!L603)</f>
        <v/>
      </c>
      <c r="N603" s="78">
        <f>IF(OR(L603="",M603&lt;&gt;"Yes"),"",IF(COUNTIFS('Vault'!$C$6:$C$1005,"Contract",'Vault'!$D$6:$D$1005,L603)&gt;0,"✓","✗ missing"))</f>
        <v/>
      </c>
      <c r="O603" s="78">
        <f>IF(OR(L603="",M603&lt;&gt;"Yes"),"",IF(COUNTIFS('Vault'!$C$6:$C$1005,"Insurance",'Vault'!$D$6:$D$1005,L603)&gt;0,"✓","✗ missing"))</f>
        <v/>
      </c>
      <c r="P603" s="78">
        <f>IF(OR(L603="",M603&lt;&gt;"Yes"),"",IF(COUNTIFS('Vault'!$C$6:$C$1005,"Quote",'Vault'!$D$6:$D$1005,L603)&gt;0,"✓","✗ missing"))</f>
        <v/>
      </c>
      <c r="Q603" s="78">
        <f>IF(N603="","",IF(AND(N603="✓",O603="✓",P603="✓"),"✓ Complete","Missing documents"))</f>
        <v/>
      </c>
      <c r="R603" s="79">
        <f>IF(Q603="","",IF(Q603="✓ Complete",0,1))</f>
        <v/>
      </c>
    </row>
    <row r="604" ht="20" customHeight="1">
      <c r="B604" s="72" t="n"/>
      <c r="C604" s="72" t="n"/>
      <c r="D604" s="72" t="n"/>
      <c r="E604" s="72" t="n"/>
      <c r="F604" s="72" t="n"/>
      <c r="G604" s="109" t="n"/>
      <c r="H604" s="72" t="n"/>
      <c r="I604" s="78">
        <f>IF(H604="","",HYPERLINK(H604,"Open ↗"))</f>
        <v/>
      </c>
      <c r="J604" s="72" t="n"/>
      <c r="L604" s="116">
        <f>IF('Contractors'!B604="","",'Contractors'!B604)</f>
        <v/>
      </c>
      <c r="M604" s="78">
        <f>IF(L604="","",'Contractors'!L604)</f>
        <v/>
      </c>
      <c r="N604" s="78">
        <f>IF(OR(L604="",M604&lt;&gt;"Yes"),"",IF(COUNTIFS('Vault'!$C$6:$C$1005,"Contract",'Vault'!$D$6:$D$1005,L604)&gt;0,"✓","✗ missing"))</f>
        <v/>
      </c>
      <c r="O604" s="78">
        <f>IF(OR(L604="",M604&lt;&gt;"Yes"),"",IF(COUNTIFS('Vault'!$C$6:$C$1005,"Insurance",'Vault'!$D$6:$D$1005,L604)&gt;0,"✓","✗ missing"))</f>
        <v/>
      </c>
      <c r="P604" s="78">
        <f>IF(OR(L604="",M604&lt;&gt;"Yes"),"",IF(COUNTIFS('Vault'!$C$6:$C$1005,"Quote",'Vault'!$D$6:$D$1005,L604)&gt;0,"✓","✗ missing"))</f>
        <v/>
      </c>
      <c r="Q604" s="78">
        <f>IF(N604="","",IF(AND(N604="✓",O604="✓",P604="✓"),"✓ Complete","Missing documents"))</f>
        <v/>
      </c>
      <c r="R604" s="79">
        <f>IF(Q604="","",IF(Q604="✓ Complete",0,1))</f>
        <v/>
      </c>
    </row>
    <row r="605" ht="20" customHeight="1">
      <c r="B605" s="72" t="n"/>
      <c r="C605" s="72" t="n"/>
      <c r="D605" s="72" t="n"/>
      <c r="E605" s="72" t="n"/>
      <c r="F605" s="72" t="n"/>
      <c r="G605" s="109" t="n"/>
      <c r="H605" s="72" t="n"/>
      <c r="I605" s="78">
        <f>IF(H605="","",HYPERLINK(H605,"Open ↗"))</f>
        <v/>
      </c>
      <c r="J605" s="72" t="n"/>
      <c r="L605" s="116">
        <f>IF('Contractors'!B605="","",'Contractors'!B605)</f>
        <v/>
      </c>
      <c r="M605" s="78">
        <f>IF(L605="","",'Contractors'!L605)</f>
        <v/>
      </c>
      <c r="N605" s="78">
        <f>IF(OR(L605="",M605&lt;&gt;"Yes"),"",IF(COUNTIFS('Vault'!$C$6:$C$1005,"Contract",'Vault'!$D$6:$D$1005,L605)&gt;0,"✓","✗ missing"))</f>
        <v/>
      </c>
      <c r="O605" s="78">
        <f>IF(OR(L605="",M605&lt;&gt;"Yes"),"",IF(COUNTIFS('Vault'!$C$6:$C$1005,"Insurance",'Vault'!$D$6:$D$1005,L605)&gt;0,"✓","✗ missing"))</f>
        <v/>
      </c>
      <c r="P605" s="78">
        <f>IF(OR(L605="",M605&lt;&gt;"Yes"),"",IF(COUNTIFS('Vault'!$C$6:$C$1005,"Quote",'Vault'!$D$6:$D$1005,L605)&gt;0,"✓","✗ missing"))</f>
        <v/>
      </c>
      <c r="Q605" s="78">
        <f>IF(N605="","",IF(AND(N605="✓",O605="✓",P605="✓"),"✓ Complete","Missing documents"))</f>
        <v/>
      </c>
      <c r="R605" s="79">
        <f>IF(Q605="","",IF(Q605="✓ Complete",0,1))</f>
        <v/>
      </c>
    </row>
    <row r="606" ht="20" customHeight="1">
      <c r="B606" s="72" t="n"/>
      <c r="C606" s="72" t="n"/>
      <c r="D606" s="72" t="n"/>
      <c r="E606" s="72" t="n"/>
      <c r="F606" s="72" t="n"/>
      <c r="G606" s="109" t="n"/>
      <c r="H606" s="72" t="n"/>
      <c r="I606" s="78">
        <f>IF(H606="","",HYPERLINK(H606,"Open ↗"))</f>
        <v/>
      </c>
      <c r="J606" s="72" t="n"/>
      <c r="L606" s="116">
        <f>IF('Contractors'!B606="","",'Contractors'!B606)</f>
        <v/>
      </c>
      <c r="M606" s="78">
        <f>IF(L606="","",'Contractors'!L606)</f>
        <v/>
      </c>
      <c r="N606" s="78">
        <f>IF(OR(L606="",M606&lt;&gt;"Yes"),"",IF(COUNTIFS('Vault'!$C$6:$C$1005,"Contract",'Vault'!$D$6:$D$1005,L606)&gt;0,"✓","✗ missing"))</f>
        <v/>
      </c>
      <c r="O606" s="78">
        <f>IF(OR(L606="",M606&lt;&gt;"Yes"),"",IF(COUNTIFS('Vault'!$C$6:$C$1005,"Insurance",'Vault'!$D$6:$D$1005,L606)&gt;0,"✓","✗ missing"))</f>
        <v/>
      </c>
      <c r="P606" s="78">
        <f>IF(OR(L606="",M606&lt;&gt;"Yes"),"",IF(COUNTIFS('Vault'!$C$6:$C$1005,"Quote",'Vault'!$D$6:$D$1005,L606)&gt;0,"✓","✗ missing"))</f>
        <v/>
      </c>
      <c r="Q606" s="78">
        <f>IF(N606="","",IF(AND(N606="✓",O606="✓",P606="✓"),"✓ Complete","Missing documents"))</f>
        <v/>
      </c>
      <c r="R606" s="79">
        <f>IF(Q606="","",IF(Q606="✓ Complete",0,1))</f>
        <v/>
      </c>
    </row>
    <row r="607" ht="20" customHeight="1">
      <c r="B607" s="72" t="n"/>
      <c r="C607" s="72" t="n"/>
      <c r="D607" s="72" t="n"/>
      <c r="E607" s="72" t="n"/>
      <c r="F607" s="72" t="n"/>
      <c r="G607" s="109" t="n"/>
      <c r="H607" s="72" t="n"/>
      <c r="I607" s="78">
        <f>IF(H607="","",HYPERLINK(H607,"Open ↗"))</f>
        <v/>
      </c>
      <c r="J607" s="72" t="n"/>
      <c r="L607" s="116">
        <f>IF('Contractors'!B607="","",'Contractors'!B607)</f>
        <v/>
      </c>
      <c r="M607" s="78">
        <f>IF(L607="","",'Contractors'!L607)</f>
        <v/>
      </c>
      <c r="N607" s="78">
        <f>IF(OR(L607="",M607&lt;&gt;"Yes"),"",IF(COUNTIFS('Vault'!$C$6:$C$1005,"Contract",'Vault'!$D$6:$D$1005,L607)&gt;0,"✓","✗ missing"))</f>
        <v/>
      </c>
      <c r="O607" s="78">
        <f>IF(OR(L607="",M607&lt;&gt;"Yes"),"",IF(COUNTIFS('Vault'!$C$6:$C$1005,"Insurance",'Vault'!$D$6:$D$1005,L607)&gt;0,"✓","✗ missing"))</f>
        <v/>
      </c>
      <c r="P607" s="78">
        <f>IF(OR(L607="",M607&lt;&gt;"Yes"),"",IF(COUNTIFS('Vault'!$C$6:$C$1005,"Quote",'Vault'!$D$6:$D$1005,L607)&gt;0,"✓","✗ missing"))</f>
        <v/>
      </c>
      <c r="Q607" s="78">
        <f>IF(N607="","",IF(AND(N607="✓",O607="✓",P607="✓"),"✓ Complete","Missing documents"))</f>
        <v/>
      </c>
      <c r="R607" s="79">
        <f>IF(Q607="","",IF(Q607="✓ Complete",0,1))</f>
        <v/>
      </c>
    </row>
    <row r="608" ht="20" customHeight="1">
      <c r="B608" s="72" t="n"/>
      <c r="C608" s="72" t="n"/>
      <c r="D608" s="72" t="n"/>
      <c r="E608" s="72" t="n"/>
      <c r="F608" s="72" t="n"/>
      <c r="G608" s="109" t="n"/>
      <c r="H608" s="72" t="n"/>
      <c r="I608" s="78">
        <f>IF(H608="","",HYPERLINK(H608,"Open ↗"))</f>
        <v/>
      </c>
      <c r="J608" s="72" t="n"/>
      <c r="L608" s="116">
        <f>IF('Contractors'!B608="","",'Contractors'!B608)</f>
        <v/>
      </c>
      <c r="M608" s="78">
        <f>IF(L608="","",'Contractors'!L608)</f>
        <v/>
      </c>
      <c r="N608" s="78">
        <f>IF(OR(L608="",M608&lt;&gt;"Yes"),"",IF(COUNTIFS('Vault'!$C$6:$C$1005,"Contract",'Vault'!$D$6:$D$1005,L608)&gt;0,"✓","✗ missing"))</f>
        <v/>
      </c>
      <c r="O608" s="78">
        <f>IF(OR(L608="",M608&lt;&gt;"Yes"),"",IF(COUNTIFS('Vault'!$C$6:$C$1005,"Insurance",'Vault'!$D$6:$D$1005,L608)&gt;0,"✓","✗ missing"))</f>
        <v/>
      </c>
      <c r="P608" s="78">
        <f>IF(OR(L608="",M608&lt;&gt;"Yes"),"",IF(COUNTIFS('Vault'!$C$6:$C$1005,"Quote",'Vault'!$D$6:$D$1005,L608)&gt;0,"✓","✗ missing"))</f>
        <v/>
      </c>
      <c r="Q608" s="78">
        <f>IF(N608="","",IF(AND(N608="✓",O608="✓",P608="✓"),"✓ Complete","Missing documents"))</f>
        <v/>
      </c>
      <c r="R608" s="79">
        <f>IF(Q608="","",IF(Q608="✓ Complete",0,1))</f>
        <v/>
      </c>
    </row>
    <row r="609" ht="20" customHeight="1">
      <c r="B609" s="72" t="n"/>
      <c r="C609" s="72" t="n"/>
      <c r="D609" s="72" t="n"/>
      <c r="E609" s="72" t="n"/>
      <c r="F609" s="72" t="n"/>
      <c r="G609" s="109" t="n"/>
      <c r="H609" s="72" t="n"/>
      <c r="I609" s="78">
        <f>IF(H609="","",HYPERLINK(H609,"Open ↗"))</f>
        <v/>
      </c>
      <c r="J609" s="72" t="n"/>
      <c r="L609" s="116">
        <f>IF('Contractors'!B609="","",'Contractors'!B609)</f>
        <v/>
      </c>
      <c r="M609" s="78">
        <f>IF(L609="","",'Contractors'!L609)</f>
        <v/>
      </c>
      <c r="N609" s="78">
        <f>IF(OR(L609="",M609&lt;&gt;"Yes"),"",IF(COUNTIFS('Vault'!$C$6:$C$1005,"Contract",'Vault'!$D$6:$D$1005,L609)&gt;0,"✓","✗ missing"))</f>
        <v/>
      </c>
      <c r="O609" s="78">
        <f>IF(OR(L609="",M609&lt;&gt;"Yes"),"",IF(COUNTIFS('Vault'!$C$6:$C$1005,"Insurance",'Vault'!$D$6:$D$1005,L609)&gt;0,"✓","✗ missing"))</f>
        <v/>
      </c>
      <c r="P609" s="78">
        <f>IF(OR(L609="",M609&lt;&gt;"Yes"),"",IF(COUNTIFS('Vault'!$C$6:$C$1005,"Quote",'Vault'!$D$6:$D$1005,L609)&gt;0,"✓","✗ missing"))</f>
        <v/>
      </c>
      <c r="Q609" s="78">
        <f>IF(N609="","",IF(AND(N609="✓",O609="✓",P609="✓"),"✓ Complete","Missing documents"))</f>
        <v/>
      </c>
      <c r="R609" s="79">
        <f>IF(Q609="","",IF(Q609="✓ Complete",0,1))</f>
        <v/>
      </c>
    </row>
    <row r="610" ht="20" customHeight="1">
      <c r="B610" s="72" t="n"/>
      <c r="C610" s="72" t="n"/>
      <c r="D610" s="72" t="n"/>
      <c r="E610" s="72" t="n"/>
      <c r="F610" s="72" t="n"/>
      <c r="G610" s="109" t="n"/>
      <c r="H610" s="72" t="n"/>
      <c r="I610" s="78">
        <f>IF(H610="","",HYPERLINK(H610,"Open ↗"))</f>
        <v/>
      </c>
      <c r="J610" s="72" t="n"/>
      <c r="L610" s="116">
        <f>IF('Contractors'!B610="","",'Contractors'!B610)</f>
        <v/>
      </c>
      <c r="M610" s="78">
        <f>IF(L610="","",'Contractors'!L610)</f>
        <v/>
      </c>
      <c r="N610" s="78">
        <f>IF(OR(L610="",M610&lt;&gt;"Yes"),"",IF(COUNTIFS('Vault'!$C$6:$C$1005,"Contract",'Vault'!$D$6:$D$1005,L610)&gt;0,"✓","✗ missing"))</f>
        <v/>
      </c>
      <c r="O610" s="78">
        <f>IF(OR(L610="",M610&lt;&gt;"Yes"),"",IF(COUNTIFS('Vault'!$C$6:$C$1005,"Insurance",'Vault'!$D$6:$D$1005,L610)&gt;0,"✓","✗ missing"))</f>
        <v/>
      </c>
      <c r="P610" s="78">
        <f>IF(OR(L610="",M610&lt;&gt;"Yes"),"",IF(COUNTIFS('Vault'!$C$6:$C$1005,"Quote",'Vault'!$D$6:$D$1005,L610)&gt;0,"✓","✗ missing"))</f>
        <v/>
      </c>
      <c r="Q610" s="78">
        <f>IF(N610="","",IF(AND(N610="✓",O610="✓",P610="✓"),"✓ Complete","Missing documents"))</f>
        <v/>
      </c>
      <c r="R610" s="79">
        <f>IF(Q610="","",IF(Q610="✓ Complete",0,1))</f>
        <v/>
      </c>
    </row>
    <row r="611" ht="20" customHeight="1">
      <c r="B611" s="72" t="n"/>
      <c r="C611" s="72" t="n"/>
      <c r="D611" s="72" t="n"/>
      <c r="E611" s="72" t="n"/>
      <c r="F611" s="72" t="n"/>
      <c r="G611" s="109" t="n"/>
      <c r="H611" s="72" t="n"/>
      <c r="I611" s="78">
        <f>IF(H611="","",HYPERLINK(H611,"Open ↗"))</f>
        <v/>
      </c>
      <c r="J611" s="72" t="n"/>
      <c r="L611" s="116">
        <f>IF('Contractors'!B611="","",'Contractors'!B611)</f>
        <v/>
      </c>
      <c r="M611" s="78">
        <f>IF(L611="","",'Contractors'!L611)</f>
        <v/>
      </c>
      <c r="N611" s="78">
        <f>IF(OR(L611="",M611&lt;&gt;"Yes"),"",IF(COUNTIFS('Vault'!$C$6:$C$1005,"Contract",'Vault'!$D$6:$D$1005,L611)&gt;0,"✓","✗ missing"))</f>
        <v/>
      </c>
      <c r="O611" s="78">
        <f>IF(OR(L611="",M611&lt;&gt;"Yes"),"",IF(COUNTIFS('Vault'!$C$6:$C$1005,"Insurance",'Vault'!$D$6:$D$1005,L611)&gt;0,"✓","✗ missing"))</f>
        <v/>
      </c>
      <c r="P611" s="78">
        <f>IF(OR(L611="",M611&lt;&gt;"Yes"),"",IF(COUNTIFS('Vault'!$C$6:$C$1005,"Quote",'Vault'!$D$6:$D$1005,L611)&gt;0,"✓","✗ missing"))</f>
        <v/>
      </c>
      <c r="Q611" s="78">
        <f>IF(N611="","",IF(AND(N611="✓",O611="✓",P611="✓"),"✓ Complete","Missing documents"))</f>
        <v/>
      </c>
      <c r="R611" s="79">
        <f>IF(Q611="","",IF(Q611="✓ Complete",0,1))</f>
        <v/>
      </c>
    </row>
    <row r="612" ht="20" customHeight="1">
      <c r="B612" s="72" t="n"/>
      <c r="C612" s="72" t="n"/>
      <c r="D612" s="72" t="n"/>
      <c r="E612" s="72" t="n"/>
      <c r="F612" s="72" t="n"/>
      <c r="G612" s="109" t="n"/>
      <c r="H612" s="72" t="n"/>
      <c r="I612" s="78">
        <f>IF(H612="","",HYPERLINK(H612,"Open ↗"))</f>
        <v/>
      </c>
      <c r="J612" s="72" t="n"/>
      <c r="L612" s="116">
        <f>IF('Contractors'!B612="","",'Contractors'!B612)</f>
        <v/>
      </c>
      <c r="M612" s="78">
        <f>IF(L612="","",'Contractors'!L612)</f>
        <v/>
      </c>
      <c r="N612" s="78">
        <f>IF(OR(L612="",M612&lt;&gt;"Yes"),"",IF(COUNTIFS('Vault'!$C$6:$C$1005,"Contract",'Vault'!$D$6:$D$1005,L612)&gt;0,"✓","✗ missing"))</f>
        <v/>
      </c>
      <c r="O612" s="78">
        <f>IF(OR(L612="",M612&lt;&gt;"Yes"),"",IF(COUNTIFS('Vault'!$C$6:$C$1005,"Insurance",'Vault'!$D$6:$D$1005,L612)&gt;0,"✓","✗ missing"))</f>
        <v/>
      </c>
      <c r="P612" s="78">
        <f>IF(OR(L612="",M612&lt;&gt;"Yes"),"",IF(COUNTIFS('Vault'!$C$6:$C$1005,"Quote",'Vault'!$D$6:$D$1005,L612)&gt;0,"✓","✗ missing"))</f>
        <v/>
      </c>
      <c r="Q612" s="78">
        <f>IF(N612="","",IF(AND(N612="✓",O612="✓",P612="✓"),"✓ Complete","Missing documents"))</f>
        <v/>
      </c>
      <c r="R612" s="79">
        <f>IF(Q612="","",IF(Q612="✓ Complete",0,1))</f>
        <v/>
      </c>
    </row>
    <row r="613" ht="20" customHeight="1">
      <c r="B613" s="72" t="n"/>
      <c r="C613" s="72" t="n"/>
      <c r="D613" s="72" t="n"/>
      <c r="E613" s="72" t="n"/>
      <c r="F613" s="72" t="n"/>
      <c r="G613" s="109" t="n"/>
      <c r="H613" s="72" t="n"/>
      <c r="I613" s="78">
        <f>IF(H613="","",HYPERLINK(H613,"Open ↗"))</f>
        <v/>
      </c>
      <c r="J613" s="72" t="n"/>
      <c r="L613" s="116">
        <f>IF('Contractors'!B613="","",'Contractors'!B613)</f>
        <v/>
      </c>
      <c r="M613" s="78">
        <f>IF(L613="","",'Contractors'!L613)</f>
        <v/>
      </c>
      <c r="N613" s="78">
        <f>IF(OR(L613="",M613&lt;&gt;"Yes"),"",IF(COUNTIFS('Vault'!$C$6:$C$1005,"Contract",'Vault'!$D$6:$D$1005,L613)&gt;0,"✓","✗ missing"))</f>
        <v/>
      </c>
      <c r="O613" s="78">
        <f>IF(OR(L613="",M613&lt;&gt;"Yes"),"",IF(COUNTIFS('Vault'!$C$6:$C$1005,"Insurance",'Vault'!$D$6:$D$1005,L613)&gt;0,"✓","✗ missing"))</f>
        <v/>
      </c>
      <c r="P613" s="78">
        <f>IF(OR(L613="",M613&lt;&gt;"Yes"),"",IF(COUNTIFS('Vault'!$C$6:$C$1005,"Quote",'Vault'!$D$6:$D$1005,L613)&gt;0,"✓","✗ missing"))</f>
        <v/>
      </c>
      <c r="Q613" s="78">
        <f>IF(N613="","",IF(AND(N613="✓",O613="✓",P613="✓"),"✓ Complete","Missing documents"))</f>
        <v/>
      </c>
      <c r="R613" s="79">
        <f>IF(Q613="","",IF(Q613="✓ Complete",0,1))</f>
        <v/>
      </c>
    </row>
    <row r="614" ht="20" customHeight="1">
      <c r="B614" s="72" t="n"/>
      <c r="C614" s="72" t="n"/>
      <c r="D614" s="72" t="n"/>
      <c r="E614" s="72" t="n"/>
      <c r="F614" s="72" t="n"/>
      <c r="G614" s="109" t="n"/>
      <c r="H614" s="72" t="n"/>
      <c r="I614" s="78">
        <f>IF(H614="","",HYPERLINK(H614,"Open ↗"))</f>
        <v/>
      </c>
      <c r="J614" s="72" t="n"/>
      <c r="L614" s="116">
        <f>IF('Contractors'!B614="","",'Contractors'!B614)</f>
        <v/>
      </c>
      <c r="M614" s="78">
        <f>IF(L614="","",'Contractors'!L614)</f>
        <v/>
      </c>
      <c r="N614" s="78">
        <f>IF(OR(L614="",M614&lt;&gt;"Yes"),"",IF(COUNTIFS('Vault'!$C$6:$C$1005,"Contract",'Vault'!$D$6:$D$1005,L614)&gt;0,"✓","✗ missing"))</f>
        <v/>
      </c>
      <c r="O614" s="78">
        <f>IF(OR(L614="",M614&lt;&gt;"Yes"),"",IF(COUNTIFS('Vault'!$C$6:$C$1005,"Insurance",'Vault'!$D$6:$D$1005,L614)&gt;0,"✓","✗ missing"))</f>
        <v/>
      </c>
      <c r="P614" s="78">
        <f>IF(OR(L614="",M614&lt;&gt;"Yes"),"",IF(COUNTIFS('Vault'!$C$6:$C$1005,"Quote",'Vault'!$D$6:$D$1005,L614)&gt;0,"✓","✗ missing"))</f>
        <v/>
      </c>
      <c r="Q614" s="78">
        <f>IF(N614="","",IF(AND(N614="✓",O614="✓",P614="✓"),"✓ Complete","Missing documents"))</f>
        <v/>
      </c>
      <c r="R614" s="79">
        <f>IF(Q614="","",IF(Q614="✓ Complete",0,1))</f>
        <v/>
      </c>
    </row>
    <row r="615" ht="20" customHeight="1">
      <c r="B615" s="72" t="n"/>
      <c r="C615" s="72" t="n"/>
      <c r="D615" s="72" t="n"/>
      <c r="E615" s="72" t="n"/>
      <c r="F615" s="72" t="n"/>
      <c r="G615" s="109" t="n"/>
      <c r="H615" s="72" t="n"/>
      <c r="I615" s="78">
        <f>IF(H615="","",HYPERLINK(H615,"Open ↗"))</f>
        <v/>
      </c>
      <c r="J615" s="72" t="n"/>
      <c r="L615" s="116">
        <f>IF('Contractors'!B615="","",'Contractors'!B615)</f>
        <v/>
      </c>
      <c r="M615" s="78">
        <f>IF(L615="","",'Contractors'!L615)</f>
        <v/>
      </c>
      <c r="N615" s="78">
        <f>IF(OR(L615="",M615&lt;&gt;"Yes"),"",IF(COUNTIFS('Vault'!$C$6:$C$1005,"Contract",'Vault'!$D$6:$D$1005,L615)&gt;0,"✓","✗ missing"))</f>
        <v/>
      </c>
      <c r="O615" s="78">
        <f>IF(OR(L615="",M615&lt;&gt;"Yes"),"",IF(COUNTIFS('Vault'!$C$6:$C$1005,"Insurance",'Vault'!$D$6:$D$1005,L615)&gt;0,"✓","✗ missing"))</f>
        <v/>
      </c>
      <c r="P615" s="78">
        <f>IF(OR(L615="",M615&lt;&gt;"Yes"),"",IF(COUNTIFS('Vault'!$C$6:$C$1005,"Quote",'Vault'!$D$6:$D$1005,L615)&gt;0,"✓","✗ missing"))</f>
        <v/>
      </c>
      <c r="Q615" s="78">
        <f>IF(N615="","",IF(AND(N615="✓",O615="✓",P615="✓"),"✓ Complete","Missing documents"))</f>
        <v/>
      </c>
      <c r="R615" s="79">
        <f>IF(Q615="","",IF(Q615="✓ Complete",0,1))</f>
        <v/>
      </c>
    </row>
    <row r="616" ht="20" customHeight="1">
      <c r="B616" s="72" t="n"/>
      <c r="C616" s="72" t="n"/>
      <c r="D616" s="72" t="n"/>
      <c r="E616" s="72" t="n"/>
      <c r="F616" s="72" t="n"/>
      <c r="G616" s="109" t="n"/>
      <c r="H616" s="72" t="n"/>
      <c r="I616" s="78">
        <f>IF(H616="","",HYPERLINK(H616,"Open ↗"))</f>
        <v/>
      </c>
      <c r="J616" s="72" t="n"/>
      <c r="L616" s="116">
        <f>IF('Contractors'!B616="","",'Contractors'!B616)</f>
        <v/>
      </c>
      <c r="M616" s="78">
        <f>IF(L616="","",'Contractors'!L616)</f>
        <v/>
      </c>
      <c r="N616" s="78">
        <f>IF(OR(L616="",M616&lt;&gt;"Yes"),"",IF(COUNTIFS('Vault'!$C$6:$C$1005,"Contract",'Vault'!$D$6:$D$1005,L616)&gt;0,"✓","✗ missing"))</f>
        <v/>
      </c>
      <c r="O616" s="78">
        <f>IF(OR(L616="",M616&lt;&gt;"Yes"),"",IF(COUNTIFS('Vault'!$C$6:$C$1005,"Insurance",'Vault'!$D$6:$D$1005,L616)&gt;0,"✓","✗ missing"))</f>
        <v/>
      </c>
      <c r="P616" s="78">
        <f>IF(OR(L616="",M616&lt;&gt;"Yes"),"",IF(COUNTIFS('Vault'!$C$6:$C$1005,"Quote",'Vault'!$D$6:$D$1005,L616)&gt;0,"✓","✗ missing"))</f>
        <v/>
      </c>
      <c r="Q616" s="78">
        <f>IF(N616="","",IF(AND(N616="✓",O616="✓",P616="✓"),"✓ Complete","Missing documents"))</f>
        <v/>
      </c>
      <c r="R616" s="79">
        <f>IF(Q616="","",IF(Q616="✓ Complete",0,1))</f>
        <v/>
      </c>
    </row>
    <row r="617" ht="20" customHeight="1">
      <c r="B617" s="72" t="n"/>
      <c r="C617" s="72" t="n"/>
      <c r="D617" s="72" t="n"/>
      <c r="E617" s="72" t="n"/>
      <c r="F617" s="72" t="n"/>
      <c r="G617" s="109" t="n"/>
      <c r="H617" s="72" t="n"/>
      <c r="I617" s="78">
        <f>IF(H617="","",HYPERLINK(H617,"Open ↗"))</f>
        <v/>
      </c>
      <c r="J617" s="72" t="n"/>
      <c r="L617" s="116">
        <f>IF('Contractors'!B617="","",'Contractors'!B617)</f>
        <v/>
      </c>
      <c r="M617" s="78">
        <f>IF(L617="","",'Contractors'!L617)</f>
        <v/>
      </c>
      <c r="N617" s="78">
        <f>IF(OR(L617="",M617&lt;&gt;"Yes"),"",IF(COUNTIFS('Vault'!$C$6:$C$1005,"Contract",'Vault'!$D$6:$D$1005,L617)&gt;0,"✓","✗ missing"))</f>
        <v/>
      </c>
      <c r="O617" s="78">
        <f>IF(OR(L617="",M617&lt;&gt;"Yes"),"",IF(COUNTIFS('Vault'!$C$6:$C$1005,"Insurance",'Vault'!$D$6:$D$1005,L617)&gt;0,"✓","✗ missing"))</f>
        <v/>
      </c>
      <c r="P617" s="78">
        <f>IF(OR(L617="",M617&lt;&gt;"Yes"),"",IF(COUNTIFS('Vault'!$C$6:$C$1005,"Quote",'Vault'!$D$6:$D$1005,L617)&gt;0,"✓","✗ missing"))</f>
        <v/>
      </c>
      <c r="Q617" s="78">
        <f>IF(N617="","",IF(AND(N617="✓",O617="✓",P617="✓"),"✓ Complete","Missing documents"))</f>
        <v/>
      </c>
      <c r="R617" s="79">
        <f>IF(Q617="","",IF(Q617="✓ Complete",0,1))</f>
        <v/>
      </c>
    </row>
    <row r="618" ht="20" customHeight="1">
      <c r="B618" s="72" t="n"/>
      <c r="C618" s="72" t="n"/>
      <c r="D618" s="72" t="n"/>
      <c r="E618" s="72" t="n"/>
      <c r="F618" s="72" t="n"/>
      <c r="G618" s="109" t="n"/>
      <c r="H618" s="72" t="n"/>
      <c r="I618" s="78">
        <f>IF(H618="","",HYPERLINK(H618,"Open ↗"))</f>
        <v/>
      </c>
      <c r="J618" s="72" t="n"/>
      <c r="L618" s="116">
        <f>IF('Contractors'!B618="","",'Contractors'!B618)</f>
        <v/>
      </c>
      <c r="M618" s="78">
        <f>IF(L618="","",'Contractors'!L618)</f>
        <v/>
      </c>
      <c r="N618" s="78">
        <f>IF(OR(L618="",M618&lt;&gt;"Yes"),"",IF(COUNTIFS('Vault'!$C$6:$C$1005,"Contract",'Vault'!$D$6:$D$1005,L618)&gt;0,"✓","✗ missing"))</f>
        <v/>
      </c>
      <c r="O618" s="78">
        <f>IF(OR(L618="",M618&lt;&gt;"Yes"),"",IF(COUNTIFS('Vault'!$C$6:$C$1005,"Insurance",'Vault'!$D$6:$D$1005,L618)&gt;0,"✓","✗ missing"))</f>
        <v/>
      </c>
      <c r="P618" s="78">
        <f>IF(OR(L618="",M618&lt;&gt;"Yes"),"",IF(COUNTIFS('Vault'!$C$6:$C$1005,"Quote",'Vault'!$D$6:$D$1005,L618)&gt;0,"✓","✗ missing"))</f>
        <v/>
      </c>
      <c r="Q618" s="78">
        <f>IF(N618="","",IF(AND(N618="✓",O618="✓",P618="✓"),"✓ Complete","Missing documents"))</f>
        <v/>
      </c>
      <c r="R618" s="79">
        <f>IF(Q618="","",IF(Q618="✓ Complete",0,1))</f>
        <v/>
      </c>
    </row>
    <row r="619" ht="20" customHeight="1">
      <c r="B619" s="72" t="n"/>
      <c r="C619" s="72" t="n"/>
      <c r="D619" s="72" t="n"/>
      <c r="E619" s="72" t="n"/>
      <c r="F619" s="72" t="n"/>
      <c r="G619" s="109" t="n"/>
      <c r="H619" s="72" t="n"/>
      <c r="I619" s="78">
        <f>IF(H619="","",HYPERLINK(H619,"Open ↗"))</f>
        <v/>
      </c>
      <c r="J619" s="72" t="n"/>
      <c r="L619" s="116">
        <f>IF('Contractors'!B619="","",'Contractors'!B619)</f>
        <v/>
      </c>
      <c r="M619" s="78">
        <f>IF(L619="","",'Contractors'!L619)</f>
        <v/>
      </c>
      <c r="N619" s="78">
        <f>IF(OR(L619="",M619&lt;&gt;"Yes"),"",IF(COUNTIFS('Vault'!$C$6:$C$1005,"Contract",'Vault'!$D$6:$D$1005,L619)&gt;0,"✓","✗ missing"))</f>
        <v/>
      </c>
      <c r="O619" s="78">
        <f>IF(OR(L619="",M619&lt;&gt;"Yes"),"",IF(COUNTIFS('Vault'!$C$6:$C$1005,"Insurance",'Vault'!$D$6:$D$1005,L619)&gt;0,"✓","✗ missing"))</f>
        <v/>
      </c>
      <c r="P619" s="78">
        <f>IF(OR(L619="",M619&lt;&gt;"Yes"),"",IF(COUNTIFS('Vault'!$C$6:$C$1005,"Quote",'Vault'!$D$6:$D$1005,L619)&gt;0,"✓","✗ missing"))</f>
        <v/>
      </c>
      <c r="Q619" s="78">
        <f>IF(N619="","",IF(AND(N619="✓",O619="✓",P619="✓"),"✓ Complete","Missing documents"))</f>
        <v/>
      </c>
      <c r="R619" s="79">
        <f>IF(Q619="","",IF(Q619="✓ Complete",0,1))</f>
        <v/>
      </c>
    </row>
    <row r="620" ht="20" customHeight="1">
      <c r="B620" s="72" t="n"/>
      <c r="C620" s="72" t="n"/>
      <c r="D620" s="72" t="n"/>
      <c r="E620" s="72" t="n"/>
      <c r="F620" s="72" t="n"/>
      <c r="G620" s="109" t="n"/>
      <c r="H620" s="72" t="n"/>
      <c r="I620" s="78">
        <f>IF(H620="","",HYPERLINK(H620,"Open ↗"))</f>
        <v/>
      </c>
      <c r="J620" s="72" t="n"/>
      <c r="L620" s="116">
        <f>IF('Contractors'!B620="","",'Contractors'!B620)</f>
        <v/>
      </c>
      <c r="M620" s="78">
        <f>IF(L620="","",'Contractors'!L620)</f>
        <v/>
      </c>
      <c r="N620" s="78">
        <f>IF(OR(L620="",M620&lt;&gt;"Yes"),"",IF(COUNTIFS('Vault'!$C$6:$C$1005,"Contract",'Vault'!$D$6:$D$1005,L620)&gt;0,"✓","✗ missing"))</f>
        <v/>
      </c>
      <c r="O620" s="78">
        <f>IF(OR(L620="",M620&lt;&gt;"Yes"),"",IF(COUNTIFS('Vault'!$C$6:$C$1005,"Insurance",'Vault'!$D$6:$D$1005,L620)&gt;0,"✓","✗ missing"))</f>
        <v/>
      </c>
      <c r="P620" s="78">
        <f>IF(OR(L620="",M620&lt;&gt;"Yes"),"",IF(COUNTIFS('Vault'!$C$6:$C$1005,"Quote",'Vault'!$D$6:$D$1005,L620)&gt;0,"✓","✗ missing"))</f>
        <v/>
      </c>
      <c r="Q620" s="78">
        <f>IF(N620="","",IF(AND(N620="✓",O620="✓",P620="✓"),"✓ Complete","Missing documents"))</f>
        <v/>
      </c>
      <c r="R620" s="79">
        <f>IF(Q620="","",IF(Q620="✓ Complete",0,1))</f>
        <v/>
      </c>
    </row>
    <row r="621" ht="20" customHeight="1">
      <c r="B621" s="72" t="n"/>
      <c r="C621" s="72" t="n"/>
      <c r="D621" s="72" t="n"/>
      <c r="E621" s="72" t="n"/>
      <c r="F621" s="72" t="n"/>
      <c r="G621" s="109" t="n"/>
      <c r="H621" s="72" t="n"/>
      <c r="I621" s="78">
        <f>IF(H621="","",HYPERLINK(H621,"Open ↗"))</f>
        <v/>
      </c>
      <c r="J621" s="72" t="n"/>
      <c r="L621" s="116">
        <f>IF('Contractors'!B621="","",'Contractors'!B621)</f>
        <v/>
      </c>
      <c r="M621" s="78">
        <f>IF(L621="","",'Contractors'!L621)</f>
        <v/>
      </c>
      <c r="N621" s="78">
        <f>IF(OR(L621="",M621&lt;&gt;"Yes"),"",IF(COUNTIFS('Vault'!$C$6:$C$1005,"Contract",'Vault'!$D$6:$D$1005,L621)&gt;0,"✓","✗ missing"))</f>
        <v/>
      </c>
      <c r="O621" s="78">
        <f>IF(OR(L621="",M621&lt;&gt;"Yes"),"",IF(COUNTIFS('Vault'!$C$6:$C$1005,"Insurance",'Vault'!$D$6:$D$1005,L621)&gt;0,"✓","✗ missing"))</f>
        <v/>
      </c>
      <c r="P621" s="78">
        <f>IF(OR(L621="",M621&lt;&gt;"Yes"),"",IF(COUNTIFS('Vault'!$C$6:$C$1005,"Quote",'Vault'!$D$6:$D$1005,L621)&gt;0,"✓","✗ missing"))</f>
        <v/>
      </c>
      <c r="Q621" s="78">
        <f>IF(N621="","",IF(AND(N621="✓",O621="✓",P621="✓"),"✓ Complete","Missing documents"))</f>
        <v/>
      </c>
      <c r="R621" s="79">
        <f>IF(Q621="","",IF(Q621="✓ Complete",0,1))</f>
        <v/>
      </c>
    </row>
    <row r="622" ht="20" customHeight="1">
      <c r="B622" s="72" t="n"/>
      <c r="C622" s="72" t="n"/>
      <c r="D622" s="72" t="n"/>
      <c r="E622" s="72" t="n"/>
      <c r="F622" s="72" t="n"/>
      <c r="G622" s="109" t="n"/>
      <c r="H622" s="72" t="n"/>
      <c r="I622" s="78">
        <f>IF(H622="","",HYPERLINK(H622,"Open ↗"))</f>
        <v/>
      </c>
      <c r="J622" s="72" t="n"/>
      <c r="L622" s="116">
        <f>IF('Contractors'!B622="","",'Contractors'!B622)</f>
        <v/>
      </c>
      <c r="M622" s="78">
        <f>IF(L622="","",'Contractors'!L622)</f>
        <v/>
      </c>
      <c r="N622" s="78">
        <f>IF(OR(L622="",M622&lt;&gt;"Yes"),"",IF(COUNTIFS('Vault'!$C$6:$C$1005,"Contract",'Vault'!$D$6:$D$1005,L622)&gt;0,"✓","✗ missing"))</f>
        <v/>
      </c>
      <c r="O622" s="78">
        <f>IF(OR(L622="",M622&lt;&gt;"Yes"),"",IF(COUNTIFS('Vault'!$C$6:$C$1005,"Insurance",'Vault'!$D$6:$D$1005,L622)&gt;0,"✓","✗ missing"))</f>
        <v/>
      </c>
      <c r="P622" s="78">
        <f>IF(OR(L622="",M622&lt;&gt;"Yes"),"",IF(COUNTIFS('Vault'!$C$6:$C$1005,"Quote",'Vault'!$D$6:$D$1005,L622)&gt;0,"✓","✗ missing"))</f>
        <v/>
      </c>
      <c r="Q622" s="78">
        <f>IF(N622="","",IF(AND(N622="✓",O622="✓",P622="✓"),"✓ Complete","Missing documents"))</f>
        <v/>
      </c>
      <c r="R622" s="79">
        <f>IF(Q622="","",IF(Q622="✓ Complete",0,1))</f>
        <v/>
      </c>
    </row>
    <row r="623" ht="20" customHeight="1">
      <c r="B623" s="72" t="n"/>
      <c r="C623" s="72" t="n"/>
      <c r="D623" s="72" t="n"/>
      <c r="E623" s="72" t="n"/>
      <c r="F623" s="72" t="n"/>
      <c r="G623" s="109" t="n"/>
      <c r="H623" s="72" t="n"/>
      <c r="I623" s="78">
        <f>IF(H623="","",HYPERLINK(H623,"Open ↗"))</f>
        <v/>
      </c>
      <c r="J623" s="72" t="n"/>
      <c r="L623" s="116">
        <f>IF('Contractors'!B623="","",'Contractors'!B623)</f>
        <v/>
      </c>
      <c r="M623" s="78">
        <f>IF(L623="","",'Contractors'!L623)</f>
        <v/>
      </c>
      <c r="N623" s="78">
        <f>IF(OR(L623="",M623&lt;&gt;"Yes"),"",IF(COUNTIFS('Vault'!$C$6:$C$1005,"Contract",'Vault'!$D$6:$D$1005,L623)&gt;0,"✓","✗ missing"))</f>
        <v/>
      </c>
      <c r="O623" s="78">
        <f>IF(OR(L623="",M623&lt;&gt;"Yes"),"",IF(COUNTIFS('Vault'!$C$6:$C$1005,"Insurance",'Vault'!$D$6:$D$1005,L623)&gt;0,"✓","✗ missing"))</f>
        <v/>
      </c>
      <c r="P623" s="78">
        <f>IF(OR(L623="",M623&lt;&gt;"Yes"),"",IF(COUNTIFS('Vault'!$C$6:$C$1005,"Quote",'Vault'!$D$6:$D$1005,L623)&gt;0,"✓","✗ missing"))</f>
        <v/>
      </c>
      <c r="Q623" s="78">
        <f>IF(N623="","",IF(AND(N623="✓",O623="✓",P623="✓"),"✓ Complete","Missing documents"))</f>
        <v/>
      </c>
      <c r="R623" s="79">
        <f>IF(Q623="","",IF(Q623="✓ Complete",0,1))</f>
        <v/>
      </c>
    </row>
    <row r="624" ht="20" customHeight="1">
      <c r="B624" s="72" t="n"/>
      <c r="C624" s="72" t="n"/>
      <c r="D624" s="72" t="n"/>
      <c r="E624" s="72" t="n"/>
      <c r="F624" s="72" t="n"/>
      <c r="G624" s="109" t="n"/>
      <c r="H624" s="72" t="n"/>
      <c r="I624" s="78">
        <f>IF(H624="","",HYPERLINK(H624,"Open ↗"))</f>
        <v/>
      </c>
      <c r="J624" s="72" t="n"/>
      <c r="L624" s="116">
        <f>IF('Contractors'!B624="","",'Contractors'!B624)</f>
        <v/>
      </c>
      <c r="M624" s="78">
        <f>IF(L624="","",'Contractors'!L624)</f>
        <v/>
      </c>
      <c r="N624" s="78">
        <f>IF(OR(L624="",M624&lt;&gt;"Yes"),"",IF(COUNTIFS('Vault'!$C$6:$C$1005,"Contract",'Vault'!$D$6:$D$1005,L624)&gt;0,"✓","✗ missing"))</f>
        <v/>
      </c>
      <c r="O624" s="78">
        <f>IF(OR(L624="",M624&lt;&gt;"Yes"),"",IF(COUNTIFS('Vault'!$C$6:$C$1005,"Insurance",'Vault'!$D$6:$D$1005,L624)&gt;0,"✓","✗ missing"))</f>
        <v/>
      </c>
      <c r="P624" s="78">
        <f>IF(OR(L624="",M624&lt;&gt;"Yes"),"",IF(COUNTIFS('Vault'!$C$6:$C$1005,"Quote",'Vault'!$D$6:$D$1005,L624)&gt;0,"✓","✗ missing"))</f>
        <v/>
      </c>
      <c r="Q624" s="78">
        <f>IF(N624="","",IF(AND(N624="✓",O624="✓",P624="✓"),"✓ Complete","Missing documents"))</f>
        <v/>
      </c>
      <c r="R624" s="79">
        <f>IF(Q624="","",IF(Q624="✓ Complete",0,1))</f>
        <v/>
      </c>
    </row>
    <row r="625" ht="20" customHeight="1">
      <c r="B625" s="72" t="n"/>
      <c r="C625" s="72" t="n"/>
      <c r="D625" s="72" t="n"/>
      <c r="E625" s="72" t="n"/>
      <c r="F625" s="72" t="n"/>
      <c r="G625" s="109" t="n"/>
      <c r="H625" s="72" t="n"/>
      <c r="I625" s="78">
        <f>IF(H625="","",HYPERLINK(H625,"Open ↗"))</f>
        <v/>
      </c>
      <c r="J625" s="72" t="n"/>
      <c r="L625" s="116">
        <f>IF('Contractors'!B625="","",'Contractors'!B625)</f>
        <v/>
      </c>
      <c r="M625" s="78">
        <f>IF(L625="","",'Contractors'!L625)</f>
        <v/>
      </c>
      <c r="N625" s="78">
        <f>IF(OR(L625="",M625&lt;&gt;"Yes"),"",IF(COUNTIFS('Vault'!$C$6:$C$1005,"Contract",'Vault'!$D$6:$D$1005,L625)&gt;0,"✓","✗ missing"))</f>
        <v/>
      </c>
      <c r="O625" s="78">
        <f>IF(OR(L625="",M625&lt;&gt;"Yes"),"",IF(COUNTIFS('Vault'!$C$6:$C$1005,"Insurance",'Vault'!$D$6:$D$1005,L625)&gt;0,"✓","✗ missing"))</f>
        <v/>
      </c>
      <c r="P625" s="78">
        <f>IF(OR(L625="",M625&lt;&gt;"Yes"),"",IF(COUNTIFS('Vault'!$C$6:$C$1005,"Quote",'Vault'!$D$6:$D$1005,L625)&gt;0,"✓","✗ missing"))</f>
        <v/>
      </c>
      <c r="Q625" s="78">
        <f>IF(N625="","",IF(AND(N625="✓",O625="✓",P625="✓"),"✓ Complete","Missing documents"))</f>
        <v/>
      </c>
      <c r="R625" s="79">
        <f>IF(Q625="","",IF(Q625="✓ Complete",0,1))</f>
        <v/>
      </c>
    </row>
    <row r="626" ht="20" customHeight="1">
      <c r="B626" s="72" t="n"/>
      <c r="C626" s="72" t="n"/>
      <c r="D626" s="72" t="n"/>
      <c r="E626" s="72" t="n"/>
      <c r="F626" s="72" t="n"/>
      <c r="G626" s="109" t="n"/>
      <c r="H626" s="72" t="n"/>
      <c r="I626" s="78">
        <f>IF(H626="","",HYPERLINK(H626,"Open ↗"))</f>
        <v/>
      </c>
      <c r="J626" s="72" t="n"/>
      <c r="L626" s="116">
        <f>IF('Contractors'!B626="","",'Contractors'!B626)</f>
        <v/>
      </c>
      <c r="M626" s="78">
        <f>IF(L626="","",'Contractors'!L626)</f>
        <v/>
      </c>
      <c r="N626" s="78">
        <f>IF(OR(L626="",M626&lt;&gt;"Yes"),"",IF(COUNTIFS('Vault'!$C$6:$C$1005,"Contract",'Vault'!$D$6:$D$1005,L626)&gt;0,"✓","✗ missing"))</f>
        <v/>
      </c>
      <c r="O626" s="78">
        <f>IF(OR(L626="",M626&lt;&gt;"Yes"),"",IF(COUNTIFS('Vault'!$C$6:$C$1005,"Insurance",'Vault'!$D$6:$D$1005,L626)&gt;0,"✓","✗ missing"))</f>
        <v/>
      </c>
      <c r="P626" s="78">
        <f>IF(OR(L626="",M626&lt;&gt;"Yes"),"",IF(COUNTIFS('Vault'!$C$6:$C$1005,"Quote",'Vault'!$D$6:$D$1005,L626)&gt;0,"✓","✗ missing"))</f>
        <v/>
      </c>
      <c r="Q626" s="78">
        <f>IF(N626="","",IF(AND(N626="✓",O626="✓",P626="✓"),"✓ Complete","Missing documents"))</f>
        <v/>
      </c>
      <c r="R626" s="79">
        <f>IF(Q626="","",IF(Q626="✓ Complete",0,1))</f>
        <v/>
      </c>
    </row>
    <row r="627" ht="20" customHeight="1">
      <c r="B627" s="72" t="n"/>
      <c r="C627" s="72" t="n"/>
      <c r="D627" s="72" t="n"/>
      <c r="E627" s="72" t="n"/>
      <c r="F627" s="72" t="n"/>
      <c r="G627" s="109" t="n"/>
      <c r="H627" s="72" t="n"/>
      <c r="I627" s="78">
        <f>IF(H627="","",HYPERLINK(H627,"Open ↗"))</f>
        <v/>
      </c>
      <c r="J627" s="72" t="n"/>
      <c r="L627" s="116">
        <f>IF('Contractors'!B627="","",'Contractors'!B627)</f>
        <v/>
      </c>
      <c r="M627" s="78">
        <f>IF(L627="","",'Contractors'!L627)</f>
        <v/>
      </c>
      <c r="N627" s="78">
        <f>IF(OR(L627="",M627&lt;&gt;"Yes"),"",IF(COUNTIFS('Vault'!$C$6:$C$1005,"Contract",'Vault'!$D$6:$D$1005,L627)&gt;0,"✓","✗ missing"))</f>
        <v/>
      </c>
      <c r="O627" s="78">
        <f>IF(OR(L627="",M627&lt;&gt;"Yes"),"",IF(COUNTIFS('Vault'!$C$6:$C$1005,"Insurance",'Vault'!$D$6:$D$1005,L627)&gt;0,"✓","✗ missing"))</f>
        <v/>
      </c>
      <c r="P627" s="78">
        <f>IF(OR(L627="",M627&lt;&gt;"Yes"),"",IF(COUNTIFS('Vault'!$C$6:$C$1005,"Quote",'Vault'!$D$6:$D$1005,L627)&gt;0,"✓","✗ missing"))</f>
        <v/>
      </c>
      <c r="Q627" s="78">
        <f>IF(N627="","",IF(AND(N627="✓",O627="✓",P627="✓"),"✓ Complete","Missing documents"))</f>
        <v/>
      </c>
      <c r="R627" s="79">
        <f>IF(Q627="","",IF(Q627="✓ Complete",0,1))</f>
        <v/>
      </c>
    </row>
    <row r="628" ht="20" customHeight="1">
      <c r="B628" s="72" t="n"/>
      <c r="C628" s="72" t="n"/>
      <c r="D628" s="72" t="n"/>
      <c r="E628" s="72" t="n"/>
      <c r="F628" s="72" t="n"/>
      <c r="G628" s="109" t="n"/>
      <c r="H628" s="72" t="n"/>
      <c r="I628" s="78">
        <f>IF(H628="","",HYPERLINK(H628,"Open ↗"))</f>
        <v/>
      </c>
      <c r="J628" s="72" t="n"/>
      <c r="L628" s="116">
        <f>IF('Contractors'!B628="","",'Contractors'!B628)</f>
        <v/>
      </c>
      <c r="M628" s="78">
        <f>IF(L628="","",'Contractors'!L628)</f>
        <v/>
      </c>
      <c r="N628" s="78">
        <f>IF(OR(L628="",M628&lt;&gt;"Yes"),"",IF(COUNTIFS('Vault'!$C$6:$C$1005,"Contract",'Vault'!$D$6:$D$1005,L628)&gt;0,"✓","✗ missing"))</f>
        <v/>
      </c>
      <c r="O628" s="78">
        <f>IF(OR(L628="",M628&lt;&gt;"Yes"),"",IF(COUNTIFS('Vault'!$C$6:$C$1005,"Insurance",'Vault'!$D$6:$D$1005,L628)&gt;0,"✓","✗ missing"))</f>
        <v/>
      </c>
      <c r="P628" s="78">
        <f>IF(OR(L628="",M628&lt;&gt;"Yes"),"",IF(COUNTIFS('Vault'!$C$6:$C$1005,"Quote",'Vault'!$D$6:$D$1005,L628)&gt;0,"✓","✗ missing"))</f>
        <v/>
      </c>
      <c r="Q628" s="78">
        <f>IF(N628="","",IF(AND(N628="✓",O628="✓",P628="✓"),"✓ Complete","Missing documents"))</f>
        <v/>
      </c>
      <c r="R628" s="79">
        <f>IF(Q628="","",IF(Q628="✓ Complete",0,1))</f>
        <v/>
      </c>
    </row>
    <row r="629" ht="20" customHeight="1">
      <c r="B629" s="72" t="n"/>
      <c r="C629" s="72" t="n"/>
      <c r="D629" s="72" t="n"/>
      <c r="E629" s="72" t="n"/>
      <c r="F629" s="72" t="n"/>
      <c r="G629" s="109" t="n"/>
      <c r="H629" s="72" t="n"/>
      <c r="I629" s="78">
        <f>IF(H629="","",HYPERLINK(H629,"Open ↗"))</f>
        <v/>
      </c>
      <c r="J629" s="72" t="n"/>
      <c r="L629" s="116">
        <f>IF('Contractors'!B629="","",'Contractors'!B629)</f>
        <v/>
      </c>
      <c r="M629" s="78">
        <f>IF(L629="","",'Contractors'!L629)</f>
        <v/>
      </c>
      <c r="N629" s="78">
        <f>IF(OR(L629="",M629&lt;&gt;"Yes"),"",IF(COUNTIFS('Vault'!$C$6:$C$1005,"Contract",'Vault'!$D$6:$D$1005,L629)&gt;0,"✓","✗ missing"))</f>
        <v/>
      </c>
      <c r="O629" s="78">
        <f>IF(OR(L629="",M629&lt;&gt;"Yes"),"",IF(COUNTIFS('Vault'!$C$6:$C$1005,"Insurance",'Vault'!$D$6:$D$1005,L629)&gt;0,"✓","✗ missing"))</f>
        <v/>
      </c>
      <c r="P629" s="78">
        <f>IF(OR(L629="",M629&lt;&gt;"Yes"),"",IF(COUNTIFS('Vault'!$C$6:$C$1005,"Quote",'Vault'!$D$6:$D$1005,L629)&gt;0,"✓","✗ missing"))</f>
        <v/>
      </c>
      <c r="Q629" s="78">
        <f>IF(N629="","",IF(AND(N629="✓",O629="✓",P629="✓"),"✓ Complete","Missing documents"))</f>
        <v/>
      </c>
      <c r="R629" s="79">
        <f>IF(Q629="","",IF(Q629="✓ Complete",0,1))</f>
        <v/>
      </c>
    </row>
    <row r="630" ht="20" customHeight="1">
      <c r="B630" s="72" t="n"/>
      <c r="C630" s="72" t="n"/>
      <c r="D630" s="72" t="n"/>
      <c r="E630" s="72" t="n"/>
      <c r="F630" s="72" t="n"/>
      <c r="G630" s="109" t="n"/>
      <c r="H630" s="72" t="n"/>
      <c r="I630" s="78">
        <f>IF(H630="","",HYPERLINK(H630,"Open ↗"))</f>
        <v/>
      </c>
      <c r="J630" s="72" t="n"/>
      <c r="L630" s="116">
        <f>IF('Contractors'!B630="","",'Contractors'!B630)</f>
        <v/>
      </c>
      <c r="M630" s="78">
        <f>IF(L630="","",'Contractors'!L630)</f>
        <v/>
      </c>
      <c r="N630" s="78">
        <f>IF(OR(L630="",M630&lt;&gt;"Yes"),"",IF(COUNTIFS('Vault'!$C$6:$C$1005,"Contract",'Vault'!$D$6:$D$1005,L630)&gt;0,"✓","✗ missing"))</f>
        <v/>
      </c>
      <c r="O630" s="78">
        <f>IF(OR(L630="",M630&lt;&gt;"Yes"),"",IF(COUNTIFS('Vault'!$C$6:$C$1005,"Insurance",'Vault'!$D$6:$D$1005,L630)&gt;0,"✓","✗ missing"))</f>
        <v/>
      </c>
      <c r="P630" s="78">
        <f>IF(OR(L630="",M630&lt;&gt;"Yes"),"",IF(COUNTIFS('Vault'!$C$6:$C$1005,"Quote",'Vault'!$D$6:$D$1005,L630)&gt;0,"✓","✗ missing"))</f>
        <v/>
      </c>
      <c r="Q630" s="78">
        <f>IF(N630="","",IF(AND(N630="✓",O630="✓",P630="✓"),"✓ Complete","Missing documents"))</f>
        <v/>
      </c>
      <c r="R630" s="79">
        <f>IF(Q630="","",IF(Q630="✓ Complete",0,1))</f>
        <v/>
      </c>
    </row>
    <row r="631" ht="20" customHeight="1">
      <c r="B631" s="72" t="n"/>
      <c r="C631" s="72" t="n"/>
      <c r="D631" s="72" t="n"/>
      <c r="E631" s="72" t="n"/>
      <c r="F631" s="72" t="n"/>
      <c r="G631" s="109" t="n"/>
      <c r="H631" s="72" t="n"/>
      <c r="I631" s="78">
        <f>IF(H631="","",HYPERLINK(H631,"Open ↗"))</f>
        <v/>
      </c>
      <c r="J631" s="72" t="n"/>
      <c r="L631" s="116">
        <f>IF('Contractors'!B631="","",'Contractors'!B631)</f>
        <v/>
      </c>
      <c r="M631" s="78">
        <f>IF(L631="","",'Contractors'!L631)</f>
        <v/>
      </c>
      <c r="N631" s="78">
        <f>IF(OR(L631="",M631&lt;&gt;"Yes"),"",IF(COUNTIFS('Vault'!$C$6:$C$1005,"Contract",'Vault'!$D$6:$D$1005,L631)&gt;0,"✓","✗ missing"))</f>
        <v/>
      </c>
      <c r="O631" s="78">
        <f>IF(OR(L631="",M631&lt;&gt;"Yes"),"",IF(COUNTIFS('Vault'!$C$6:$C$1005,"Insurance",'Vault'!$D$6:$D$1005,L631)&gt;0,"✓","✗ missing"))</f>
        <v/>
      </c>
      <c r="P631" s="78">
        <f>IF(OR(L631="",M631&lt;&gt;"Yes"),"",IF(COUNTIFS('Vault'!$C$6:$C$1005,"Quote",'Vault'!$D$6:$D$1005,L631)&gt;0,"✓","✗ missing"))</f>
        <v/>
      </c>
      <c r="Q631" s="78">
        <f>IF(N631="","",IF(AND(N631="✓",O631="✓",P631="✓"),"✓ Complete","Missing documents"))</f>
        <v/>
      </c>
      <c r="R631" s="79">
        <f>IF(Q631="","",IF(Q631="✓ Complete",0,1))</f>
        <v/>
      </c>
    </row>
    <row r="632" ht="20" customHeight="1">
      <c r="B632" s="72" t="n"/>
      <c r="C632" s="72" t="n"/>
      <c r="D632" s="72" t="n"/>
      <c r="E632" s="72" t="n"/>
      <c r="F632" s="72" t="n"/>
      <c r="G632" s="109" t="n"/>
      <c r="H632" s="72" t="n"/>
      <c r="I632" s="78">
        <f>IF(H632="","",HYPERLINK(H632,"Open ↗"))</f>
        <v/>
      </c>
      <c r="J632" s="72" t="n"/>
      <c r="L632" s="116">
        <f>IF('Contractors'!B632="","",'Contractors'!B632)</f>
        <v/>
      </c>
      <c r="M632" s="78">
        <f>IF(L632="","",'Contractors'!L632)</f>
        <v/>
      </c>
      <c r="N632" s="78">
        <f>IF(OR(L632="",M632&lt;&gt;"Yes"),"",IF(COUNTIFS('Vault'!$C$6:$C$1005,"Contract",'Vault'!$D$6:$D$1005,L632)&gt;0,"✓","✗ missing"))</f>
        <v/>
      </c>
      <c r="O632" s="78">
        <f>IF(OR(L632="",M632&lt;&gt;"Yes"),"",IF(COUNTIFS('Vault'!$C$6:$C$1005,"Insurance",'Vault'!$D$6:$D$1005,L632)&gt;0,"✓","✗ missing"))</f>
        <v/>
      </c>
      <c r="P632" s="78">
        <f>IF(OR(L632="",M632&lt;&gt;"Yes"),"",IF(COUNTIFS('Vault'!$C$6:$C$1005,"Quote",'Vault'!$D$6:$D$1005,L632)&gt;0,"✓","✗ missing"))</f>
        <v/>
      </c>
      <c r="Q632" s="78">
        <f>IF(N632="","",IF(AND(N632="✓",O632="✓",P632="✓"),"✓ Complete","Missing documents"))</f>
        <v/>
      </c>
      <c r="R632" s="79">
        <f>IF(Q632="","",IF(Q632="✓ Complete",0,1))</f>
        <v/>
      </c>
    </row>
    <row r="633" ht="20" customHeight="1">
      <c r="B633" s="72" t="n"/>
      <c r="C633" s="72" t="n"/>
      <c r="D633" s="72" t="n"/>
      <c r="E633" s="72" t="n"/>
      <c r="F633" s="72" t="n"/>
      <c r="G633" s="109" t="n"/>
      <c r="H633" s="72" t="n"/>
      <c r="I633" s="78">
        <f>IF(H633="","",HYPERLINK(H633,"Open ↗"))</f>
        <v/>
      </c>
      <c r="J633" s="72" t="n"/>
      <c r="L633" s="116">
        <f>IF('Contractors'!B633="","",'Contractors'!B633)</f>
        <v/>
      </c>
      <c r="M633" s="78">
        <f>IF(L633="","",'Contractors'!L633)</f>
        <v/>
      </c>
      <c r="N633" s="78">
        <f>IF(OR(L633="",M633&lt;&gt;"Yes"),"",IF(COUNTIFS('Vault'!$C$6:$C$1005,"Contract",'Vault'!$D$6:$D$1005,L633)&gt;0,"✓","✗ missing"))</f>
        <v/>
      </c>
      <c r="O633" s="78">
        <f>IF(OR(L633="",M633&lt;&gt;"Yes"),"",IF(COUNTIFS('Vault'!$C$6:$C$1005,"Insurance",'Vault'!$D$6:$D$1005,L633)&gt;0,"✓","✗ missing"))</f>
        <v/>
      </c>
      <c r="P633" s="78">
        <f>IF(OR(L633="",M633&lt;&gt;"Yes"),"",IF(COUNTIFS('Vault'!$C$6:$C$1005,"Quote",'Vault'!$D$6:$D$1005,L633)&gt;0,"✓","✗ missing"))</f>
        <v/>
      </c>
      <c r="Q633" s="78">
        <f>IF(N633="","",IF(AND(N633="✓",O633="✓",P633="✓"),"✓ Complete","Missing documents"))</f>
        <v/>
      </c>
      <c r="R633" s="79">
        <f>IF(Q633="","",IF(Q633="✓ Complete",0,1))</f>
        <v/>
      </c>
    </row>
    <row r="634" ht="20" customHeight="1">
      <c r="B634" s="72" t="n"/>
      <c r="C634" s="72" t="n"/>
      <c r="D634" s="72" t="n"/>
      <c r="E634" s="72" t="n"/>
      <c r="F634" s="72" t="n"/>
      <c r="G634" s="109" t="n"/>
      <c r="H634" s="72" t="n"/>
      <c r="I634" s="78">
        <f>IF(H634="","",HYPERLINK(H634,"Open ↗"))</f>
        <v/>
      </c>
      <c r="J634" s="72" t="n"/>
      <c r="L634" s="116">
        <f>IF('Contractors'!B634="","",'Contractors'!B634)</f>
        <v/>
      </c>
      <c r="M634" s="78">
        <f>IF(L634="","",'Contractors'!L634)</f>
        <v/>
      </c>
      <c r="N634" s="78">
        <f>IF(OR(L634="",M634&lt;&gt;"Yes"),"",IF(COUNTIFS('Vault'!$C$6:$C$1005,"Contract",'Vault'!$D$6:$D$1005,L634)&gt;0,"✓","✗ missing"))</f>
        <v/>
      </c>
      <c r="O634" s="78">
        <f>IF(OR(L634="",M634&lt;&gt;"Yes"),"",IF(COUNTIFS('Vault'!$C$6:$C$1005,"Insurance",'Vault'!$D$6:$D$1005,L634)&gt;0,"✓","✗ missing"))</f>
        <v/>
      </c>
      <c r="P634" s="78">
        <f>IF(OR(L634="",M634&lt;&gt;"Yes"),"",IF(COUNTIFS('Vault'!$C$6:$C$1005,"Quote",'Vault'!$D$6:$D$1005,L634)&gt;0,"✓","✗ missing"))</f>
        <v/>
      </c>
      <c r="Q634" s="78">
        <f>IF(N634="","",IF(AND(N634="✓",O634="✓",P634="✓"),"✓ Complete","Missing documents"))</f>
        <v/>
      </c>
      <c r="R634" s="79">
        <f>IF(Q634="","",IF(Q634="✓ Complete",0,1))</f>
        <v/>
      </c>
    </row>
    <row r="635" ht="20" customHeight="1">
      <c r="B635" s="72" t="n"/>
      <c r="C635" s="72" t="n"/>
      <c r="D635" s="72" t="n"/>
      <c r="E635" s="72" t="n"/>
      <c r="F635" s="72" t="n"/>
      <c r="G635" s="109" t="n"/>
      <c r="H635" s="72" t="n"/>
      <c r="I635" s="78">
        <f>IF(H635="","",HYPERLINK(H635,"Open ↗"))</f>
        <v/>
      </c>
      <c r="J635" s="72" t="n"/>
      <c r="L635" s="116">
        <f>IF('Contractors'!B635="","",'Contractors'!B635)</f>
        <v/>
      </c>
      <c r="M635" s="78">
        <f>IF(L635="","",'Contractors'!L635)</f>
        <v/>
      </c>
      <c r="N635" s="78">
        <f>IF(OR(L635="",M635&lt;&gt;"Yes"),"",IF(COUNTIFS('Vault'!$C$6:$C$1005,"Contract",'Vault'!$D$6:$D$1005,L635)&gt;0,"✓","✗ missing"))</f>
        <v/>
      </c>
      <c r="O635" s="78">
        <f>IF(OR(L635="",M635&lt;&gt;"Yes"),"",IF(COUNTIFS('Vault'!$C$6:$C$1005,"Insurance",'Vault'!$D$6:$D$1005,L635)&gt;0,"✓","✗ missing"))</f>
        <v/>
      </c>
      <c r="P635" s="78">
        <f>IF(OR(L635="",M635&lt;&gt;"Yes"),"",IF(COUNTIFS('Vault'!$C$6:$C$1005,"Quote",'Vault'!$D$6:$D$1005,L635)&gt;0,"✓","✗ missing"))</f>
        <v/>
      </c>
      <c r="Q635" s="78">
        <f>IF(N635="","",IF(AND(N635="✓",O635="✓",P635="✓"),"✓ Complete","Missing documents"))</f>
        <v/>
      </c>
      <c r="R635" s="79">
        <f>IF(Q635="","",IF(Q635="✓ Complete",0,1))</f>
        <v/>
      </c>
    </row>
    <row r="636" ht="20" customHeight="1">
      <c r="B636" s="72" t="n"/>
      <c r="C636" s="72" t="n"/>
      <c r="D636" s="72" t="n"/>
      <c r="E636" s="72" t="n"/>
      <c r="F636" s="72" t="n"/>
      <c r="G636" s="109" t="n"/>
      <c r="H636" s="72" t="n"/>
      <c r="I636" s="78">
        <f>IF(H636="","",HYPERLINK(H636,"Open ↗"))</f>
        <v/>
      </c>
      <c r="J636" s="72" t="n"/>
      <c r="L636" s="116">
        <f>IF('Contractors'!B636="","",'Contractors'!B636)</f>
        <v/>
      </c>
      <c r="M636" s="78">
        <f>IF(L636="","",'Contractors'!L636)</f>
        <v/>
      </c>
      <c r="N636" s="78">
        <f>IF(OR(L636="",M636&lt;&gt;"Yes"),"",IF(COUNTIFS('Vault'!$C$6:$C$1005,"Contract",'Vault'!$D$6:$D$1005,L636)&gt;0,"✓","✗ missing"))</f>
        <v/>
      </c>
      <c r="O636" s="78">
        <f>IF(OR(L636="",M636&lt;&gt;"Yes"),"",IF(COUNTIFS('Vault'!$C$6:$C$1005,"Insurance",'Vault'!$D$6:$D$1005,L636)&gt;0,"✓","✗ missing"))</f>
        <v/>
      </c>
      <c r="P636" s="78">
        <f>IF(OR(L636="",M636&lt;&gt;"Yes"),"",IF(COUNTIFS('Vault'!$C$6:$C$1005,"Quote",'Vault'!$D$6:$D$1005,L636)&gt;0,"✓","✗ missing"))</f>
        <v/>
      </c>
      <c r="Q636" s="78">
        <f>IF(N636="","",IF(AND(N636="✓",O636="✓",P636="✓"),"✓ Complete","Missing documents"))</f>
        <v/>
      </c>
      <c r="R636" s="79">
        <f>IF(Q636="","",IF(Q636="✓ Complete",0,1))</f>
        <v/>
      </c>
    </row>
    <row r="637" ht="20" customHeight="1">
      <c r="B637" s="72" t="n"/>
      <c r="C637" s="72" t="n"/>
      <c r="D637" s="72" t="n"/>
      <c r="E637" s="72" t="n"/>
      <c r="F637" s="72" t="n"/>
      <c r="G637" s="109" t="n"/>
      <c r="H637" s="72" t="n"/>
      <c r="I637" s="78">
        <f>IF(H637="","",HYPERLINK(H637,"Open ↗"))</f>
        <v/>
      </c>
      <c r="J637" s="72" t="n"/>
      <c r="L637" s="116">
        <f>IF('Contractors'!B637="","",'Contractors'!B637)</f>
        <v/>
      </c>
      <c r="M637" s="78">
        <f>IF(L637="","",'Contractors'!L637)</f>
        <v/>
      </c>
      <c r="N637" s="78">
        <f>IF(OR(L637="",M637&lt;&gt;"Yes"),"",IF(COUNTIFS('Vault'!$C$6:$C$1005,"Contract",'Vault'!$D$6:$D$1005,L637)&gt;0,"✓","✗ missing"))</f>
        <v/>
      </c>
      <c r="O637" s="78">
        <f>IF(OR(L637="",M637&lt;&gt;"Yes"),"",IF(COUNTIFS('Vault'!$C$6:$C$1005,"Insurance",'Vault'!$D$6:$D$1005,L637)&gt;0,"✓","✗ missing"))</f>
        <v/>
      </c>
      <c r="P637" s="78">
        <f>IF(OR(L637="",M637&lt;&gt;"Yes"),"",IF(COUNTIFS('Vault'!$C$6:$C$1005,"Quote",'Vault'!$D$6:$D$1005,L637)&gt;0,"✓","✗ missing"))</f>
        <v/>
      </c>
      <c r="Q637" s="78">
        <f>IF(N637="","",IF(AND(N637="✓",O637="✓",P637="✓"),"✓ Complete","Missing documents"))</f>
        <v/>
      </c>
      <c r="R637" s="79">
        <f>IF(Q637="","",IF(Q637="✓ Complete",0,1))</f>
        <v/>
      </c>
    </row>
    <row r="638" ht="20" customHeight="1">
      <c r="B638" s="72" t="n"/>
      <c r="C638" s="72" t="n"/>
      <c r="D638" s="72" t="n"/>
      <c r="E638" s="72" t="n"/>
      <c r="F638" s="72" t="n"/>
      <c r="G638" s="109" t="n"/>
      <c r="H638" s="72" t="n"/>
      <c r="I638" s="78">
        <f>IF(H638="","",HYPERLINK(H638,"Open ↗"))</f>
        <v/>
      </c>
      <c r="J638" s="72" t="n"/>
      <c r="L638" s="116">
        <f>IF('Contractors'!B638="","",'Contractors'!B638)</f>
        <v/>
      </c>
      <c r="M638" s="78">
        <f>IF(L638="","",'Contractors'!L638)</f>
        <v/>
      </c>
      <c r="N638" s="78">
        <f>IF(OR(L638="",M638&lt;&gt;"Yes"),"",IF(COUNTIFS('Vault'!$C$6:$C$1005,"Contract",'Vault'!$D$6:$D$1005,L638)&gt;0,"✓","✗ missing"))</f>
        <v/>
      </c>
      <c r="O638" s="78">
        <f>IF(OR(L638="",M638&lt;&gt;"Yes"),"",IF(COUNTIFS('Vault'!$C$6:$C$1005,"Insurance",'Vault'!$D$6:$D$1005,L638)&gt;0,"✓","✗ missing"))</f>
        <v/>
      </c>
      <c r="P638" s="78">
        <f>IF(OR(L638="",M638&lt;&gt;"Yes"),"",IF(COUNTIFS('Vault'!$C$6:$C$1005,"Quote",'Vault'!$D$6:$D$1005,L638)&gt;0,"✓","✗ missing"))</f>
        <v/>
      </c>
      <c r="Q638" s="78">
        <f>IF(N638="","",IF(AND(N638="✓",O638="✓",P638="✓"),"✓ Complete","Missing documents"))</f>
        <v/>
      </c>
      <c r="R638" s="79">
        <f>IF(Q638="","",IF(Q638="✓ Complete",0,1))</f>
        <v/>
      </c>
    </row>
    <row r="639" ht="20" customHeight="1">
      <c r="B639" s="72" t="n"/>
      <c r="C639" s="72" t="n"/>
      <c r="D639" s="72" t="n"/>
      <c r="E639" s="72" t="n"/>
      <c r="F639" s="72" t="n"/>
      <c r="G639" s="109" t="n"/>
      <c r="H639" s="72" t="n"/>
      <c r="I639" s="78">
        <f>IF(H639="","",HYPERLINK(H639,"Open ↗"))</f>
        <v/>
      </c>
      <c r="J639" s="72" t="n"/>
      <c r="L639" s="116">
        <f>IF('Contractors'!B639="","",'Contractors'!B639)</f>
        <v/>
      </c>
      <c r="M639" s="78">
        <f>IF(L639="","",'Contractors'!L639)</f>
        <v/>
      </c>
      <c r="N639" s="78">
        <f>IF(OR(L639="",M639&lt;&gt;"Yes"),"",IF(COUNTIFS('Vault'!$C$6:$C$1005,"Contract",'Vault'!$D$6:$D$1005,L639)&gt;0,"✓","✗ missing"))</f>
        <v/>
      </c>
      <c r="O639" s="78">
        <f>IF(OR(L639="",M639&lt;&gt;"Yes"),"",IF(COUNTIFS('Vault'!$C$6:$C$1005,"Insurance",'Vault'!$D$6:$D$1005,L639)&gt;0,"✓","✗ missing"))</f>
        <v/>
      </c>
      <c r="P639" s="78">
        <f>IF(OR(L639="",M639&lt;&gt;"Yes"),"",IF(COUNTIFS('Vault'!$C$6:$C$1005,"Quote",'Vault'!$D$6:$D$1005,L639)&gt;0,"✓","✗ missing"))</f>
        <v/>
      </c>
      <c r="Q639" s="78">
        <f>IF(N639="","",IF(AND(N639="✓",O639="✓",P639="✓"),"✓ Complete","Missing documents"))</f>
        <v/>
      </c>
      <c r="R639" s="79">
        <f>IF(Q639="","",IF(Q639="✓ Complete",0,1))</f>
        <v/>
      </c>
    </row>
    <row r="640" ht="20" customHeight="1">
      <c r="B640" s="72" t="n"/>
      <c r="C640" s="72" t="n"/>
      <c r="D640" s="72" t="n"/>
      <c r="E640" s="72" t="n"/>
      <c r="F640" s="72" t="n"/>
      <c r="G640" s="109" t="n"/>
      <c r="H640" s="72" t="n"/>
      <c r="I640" s="78">
        <f>IF(H640="","",HYPERLINK(H640,"Open ↗"))</f>
        <v/>
      </c>
      <c r="J640" s="72" t="n"/>
      <c r="L640" s="116">
        <f>IF('Contractors'!B640="","",'Contractors'!B640)</f>
        <v/>
      </c>
      <c r="M640" s="78">
        <f>IF(L640="","",'Contractors'!L640)</f>
        <v/>
      </c>
      <c r="N640" s="78">
        <f>IF(OR(L640="",M640&lt;&gt;"Yes"),"",IF(COUNTIFS('Vault'!$C$6:$C$1005,"Contract",'Vault'!$D$6:$D$1005,L640)&gt;0,"✓","✗ missing"))</f>
        <v/>
      </c>
      <c r="O640" s="78">
        <f>IF(OR(L640="",M640&lt;&gt;"Yes"),"",IF(COUNTIFS('Vault'!$C$6:$C$1005,"Insurance",'Vault'!$D$6:$D$1005,L640)&gt;0,"✓","✗ missing"))</f>
        <v/>
      </c>
      <c r="P640" s="78">
        <f>IF(OR(L640="",M640&lt;&gt;"Yes"),"",IF(COUNTIFS('Vault'!$C$6:$C$1005,"Quote",'Vault'!$D$6:$D$1005,L640)&gt;0,"✓","✗ missing"))</f>
        <v/>
      </c>
      <c r="Q640" s="78">
        <f>IF(N640="","",IF(AND(N640="✓",O640="✓",P640="✓"),"✓ Complete","Missing documents"))</f>
        <v/>
      </c>
      <c r="R640" s="79">
        <f>IF(Q640="","",IF(Q640="✓ Complete",0,1))</f>
        <v/>
      </c>
    </row>
    <row r="641" ht="20" customHeight="1">
      <c r="B641" s="72" t="n"/>
      <c r="C641" s="72" t="n"/>
      <c r="D641" s="72" t="n"/>
      <c r="E641" s="72" t="n"/>
      <c r="F641" s="72" t="n"/>
      <c r="G641" s="109" t="n"/>
      <c r="H641" s="72" t="n"/>
      <c r="I641" s="78">
        <f>IF(H641="","",HYPERLINK(H641,"Open ↗"))</f>
        <v/>
      </c>
      <c r="J641" s="72" t="n"/>
      <c r="L641" s="116">
        <f>IF('Contractors'!B641="","",'Contractors'!B641)</f>
        <v/>
      </c>
      <c r="M641" s="78">
        <f>IF(L641="","",'Contractors'!L641)</f>
        <v/>
      </c>
      <c r="N641" s="78">
        <f>IF(OR(L641="",M641&lt;&gt;"Yes"),"",IF(COUNTIFS('Vault'!$C$6:$C$1005,"Contract",'Vault'!$D$6:$D$1005,L641)&gt;0,"✓","✗ missing"))</f>
        <v/>
      </c>
      <c r="O641" s="78">
        <f>IF(OR(L641="",M641&lt;&gt;"Yes"),"",IF(COUNTIFS('Vault'!$C$6:$C$1005,"Insurance",'Vault'!$D$6:$D$1005,L641)&gt;0,"✓","✗ missing"))</f>
        <v/>
      </c>
      <c r="P641" s="78">
        <f>IF(OR(L641="",M641&lt;&gt;"Yes"),"",IF(COUNTIFS('Vault'!$C$6:$C$1005,"Quote",'Vault'!$D$6:$D$1005,L641)&gt;0,"✓","✗ missing"))</f>
        <v/>
      </c>
      <c r="Q641" s="78">
        <f>IF(N641="","",IF(AND(N641="✓",O641="✓",P641="✓"),"✓ Complete","Missing documents"))</f>
        <v/>
      </c>
      <c r="R641" s="79">
        <f>IF(Q641="","",IF(Q641="✓ Complete",0,1))</f>
        <v/>
      </c>
    </row>
    <row r="642" ht="20" customHeight="1">
      <c r="B642" s="72" t="n"/>
      <c r="C642" s="72" t="n"/>
      <c r="D642" s="72" t="n"/>
      <c r="E642" s="72" t="n"/>
      <c r="F642" s="72" t="n"/>
      <c r="G642" s="109" t="n"/>
      <c r="H642" s="72" t="n"/>
      <c r="I642" s="78">
        <f>IF(H642="","",HYPERLINK(H642,"Open ↗"))</f>
        <v/>
      </c>
      <c r="J642" s="72" t="n"/>
      <c r="L642" s="116">
        <f>IF('Contractors'!B642="","",'Contractors'!B642)</f>
        <v/>
      </c>
      <c r="M642" s="78">
        <f>IF(L642="","",'Contractors'!L642)</f>
        <v/>
      </c>
      <c r="N642" s="78">
        <f>IF(OR(L642="",M642&lt;&gt;"Yes"),"",IF(COUNTIFS('Vault'!$C$6:$C$1005,"Contract",'Vault'!$D$6:$D$1005,L642)&gt;0,"✓","✗ missing"))</f>
        <v/>
      </c>
      <c r="O642" s="78">
        <f>IF(OR(L642="",M642&lt;&gt;"Yes"),"",IF(COUNTIFS('Vault'!$C$6:$C$1005,"Insurance",'Vault'!$D$6:$D$1005,L642)&gt;0,"✓","✗ missing"))</f>
        <v/>
      </c>
      <c r="P642" s="78">
        <f>IF(OR(L642="",M642&lt;&gt;"Yes"),"",IF(COUNTIFS('Vault'!$C$6:$C$1005,"Quote",'Vault'!$D$6:$D$1005,L642)&gt;0,"✓","✗ missing"))</f>
        <v/>
      </c>
      <c r="Q642" s="78">
        <f>IF(N642="","",IF(AND(N642="✓",O642="✓",P642="✓"),"✓ Complete","Missing documents"))</f>
        <v/>
      </c>
      <c r="R642" s="79">
        <f>IF(Q642="","",IF(Q642="✓ Complete",0,1))</f>
        <v/>
      </c>
    </row>
    <row r="643" ht="20" customHeight="1">
      <c r="B643" s="72" t="n"/>
      <c r="C643" s="72" t="n"/>
      <c r="D643" s="72" t="n"/>
      <c r="E643" s="72" t="n"/>
      <c r="F643" s="72" t="n"/>
      <c r="G643" s="109" t="n"/>
      <c r="H643" s="72" t="n"/>
      <c r="I643" s="78">
        <f>IF(H643="","",HYPERLINK(H643,"Open ↗"))</f>
        <v/>
      </c>
      <c r="J643" s="72" t="n"/>
      <c r="L643" s="116">
        <f>IF('Contractors'!B643="","",'Contractors'!B643)</f>
        <v/>
      </c>
      <c r="M643" s="78">
        <f>IF(L643="","",'Contractors'!L643)</f>
        <v/>
      </c>
      <c r="N643" s="78">
        <f>IF(OR(L643="",M643&lt;&gt;"Yes"),"",IF(COUNTIFS('Vault'!$C$6:$C$1005,"Contract",'Vault'!$D$6:$D$1005,L643)&gt;0,"✓","✗ missing"))</f>
        <v/>
      </c>
      <c r="O643" s="78">
        <f>IF(OR(L643="",M643&lt;&gt;"Yes"),"",IF(COUNTIFS('Vault'!$C$6:$C$1005,"Insurance",'Vault'!$D$6:$D$1005,L643)&gt;0,"✓","✗ missing"))</f>
        <v/>
      </c>
      <c r="P643" s="78">
        <f>IF(OR(L643="",M643&lt;&gt;"Yes"),"",IF(COUNTIFS('Vault'!$C$6:$C$1005,"Quote",'Vault'!$D$6:$D$1005,L643)&gt;0,"✓","✗ missing"))</f>
        <v/>
      </c>
      <c r="Q643" s="78">
        <f>IF(N643="","",IF(AND(N643="✓",O643="✓",P643="✓"),"✓ Complete","Missing documents"))</f>
        <v/>
      </c>
      <c r="R643" s="79">
        <f>IF(Q643="","",IF(Q643="✓ Complete",0,1))</f>
        <v/>
      </c>
    </row>
    <row r="644" ht="20" customHeight="1">
      <c r="B644" s="72" t="n"/>
      <c r="C644" s="72" t="n"/>
      <c r="D644" s="72" t="n"/>
      <c r="E644" s="72" t="n"/>
      <c r="F644" s="72" t="n"/>
      <c r="G644" s="109" t="n"/>
      <c r="H644" s="72" t="n"/>
      <c r="I644" s="78">
        <f>IF(H644="","",HYPERLINK(H644,"Open ↗"))</f>
        <v/>
      </c>
      <c r="J644" s="72" t="n"/>
      <c r="L644" s="116">
        <f>IF('Contractors'!B644="","",'Contractors'!B644)</f>
        <v/>
      </c>
      <c r="M644" s="78">
        <f>IF(L644="","",'Contractors'!L644)</f>
        <v/>
      </c>
      <c r="N644" s="78">
        <f>IF(OR(L644="",M644&lt;&gt;"Yes"),"",IF(COUNTIFS('Vault'!$C$6:$C$1005,"Contract",'Vault'!$D$6:$D$1005,L644)&gt;0,"✓","✗ missing"))</f>
        <v/>
      </c>
      <c r="O644" s="78">
        <f>IF(OR(L644="",M644&lt;&gt;"Yes"),"",IF(COUNTIFS('Vault'!$C$6:$C$1005,"Insurance",'Vault'!$D$6:$D$1005,L644)&gt;0,"✓","✗ missing"))</f>
        <v/>
      </c>
      <c r="P644" s="78">
        <f>IF(OR(L644="",M644&lt;&gt;"Yes"),"",IF(COUNTIFS('Vault'!$C$6:$C$1005,"Quote",'Vault'!$D$6:$D$1005,L644)&gt;0,"✓","✗ missing"))</f>
        <v/>
      </c>
      <c r="Q644" s="78">
        <f>IF(N644="","",IF(AND(N644="✓",O644="✓",P644="✓"),"✓ Complete","Missing documents"))</f>
        <v/>
      </c>
      <c r="R644" s="79">
        <f>IF(Q644="","",IF(Q644="✓ Complete",0,1))</f>
        <v/>
      </c>
    </row>
    <row r="645" ht="20" customHeight="1">
      <c r="B645" s="72" t="n"/>
      <c r="C645" s="72" t="n"/>
      <c r="D645" s="72" t="n"/>
      <c r="E645" s="72" t="n"/>
      <c r="F645" s="72" t="n"/>
      <c r="G645" s="109" t="n"/>
      <c r="H645" s="72" t="n"/>
      <c r="I645" s="78">
        <f>IF(H645="","",HYPERLINK(H645,"Open ↗"))</f>
        <v/>
      </c>
      <c r="J645" s="72" t="n"/>
      <c r="L645" s="116">
        <f>IF('Contractors'!B645="","",'Contractors'!B645)</f>
        <v/>
      </c>
      <c r="M645" s="78">
        <f>IF(L645="","",'Contractors'!L645)</f>
        <v/>
      </c>
      <c r="N645" s="78">
        <f>IF(OR(L645="",M645&lt;&gt;"Yes"),"",IF(COUNTIFS('Vault'!$C$6:$C$1005,"Contract",'Vault'!$D$6:$D$1005,L645)&gt;0,"✓","✗ missing"))</f>
        <v/>
      </c>
      <c r="O645" s="78">
        <f>IF(OR(L645="",M645&lt;&gt;"Yes"),"",IF(COUNTIFS('Vault'!$C$6:$C$1005,"Insurance",'Vault'!$D$6:$D$1005,L645)&gt;0,"✓","✗ missing"))</f>
        <v/>
      </c>
      <c r="P645" s="78">
        <f>IF(OR(L645="",M645&lt;&gt;"Yes"),"",IF(COUNTIFS('Vault'!$C$6:$C$1005,"Quote",'Vault'!$D$6:$D$1005,L645)&gt;0,"✓","✗ missing"))</f>
        <v/>
      </c>
      <c r="Q645" s="78">
        <f>IF(N645="","",IF(AND(N645="✓",O645="✓",P645="✓"),"✓ Complete","Missing documents"))</f>
        <v/>
      </c>
      <c r="R645" s="79">
        <f>IF(Q645="","",IF(Q645="✓ Complete",0,1))</f>
        <v/>
      </c>
    </row>
    <row r="646" ht="20" customHeight="1">
      <c r="B646" s="72" t="n"/>
      <c r="C646" s="72" t="n"/>
      <c r="D646" s="72" t="n"/>
      <c r="E646" s="72" t="n"/>
      <c r="F646" s="72" t="n"/>
      <c r="G646" s="109" t="n"/>
      <c r="H646" s="72" t="n"/>
      <c r="I646" s="78">
        <f>IF(H646="","",HYPERLINK(H646,"Open ↗"))</f>
        <v/>
      </c>
      <c r="J646" s="72" t="n"/>
      <c r="L646" s="116">
        <f>IF('Contractors'!B646="","",'Contractors'!B646)</f>
        <v/>
      </c>
      <c r="M646" s="78">
        <f>IF(L646="","",'Contractors'!L646)</f>
        <v/>
      </c>
      <c r="N646" s="78">
        <f>IF(OR(L646="",M646&lt;&gt;"Yes"),"",IF(COUNTIFS('Vault'!$C$6:$C$1005,"Contract",'Vault'!$D$6:$D$1005,L646)&gt;0,"✓","✗ missing"))</f>
        <v/>
      </c>
      <c r="O646" s="78">
        <f>IF(OR(L646="",M646&lt;&gt;"Yes"),"",IF(COUNTIFS('Vault'!$C$6:$C$1005,"Insurance",'Vault'!$D$6:$D$1005,L646)&gt;0,"✓","✗ missing"))</f>
        <v/>
      </c>
      <c r="P646" s="78">
        <f>IF(OR(L646="",M646&lt;&gt;"Yes"),"",IF(COUNTIFS('Vault'!$C$6:$C$1005,"Quote",'Vault'!$D$6:$D$1005,L646)&gt;0,"✓","✗ missing"))</f>
        <v/>
      </c>
      <c r="Q646" s="78">
        <f>IF(N646="","",IF(AND(N646="✓",O646="✓",P646="✓"),"✓ Complete","Missing documents"))</f>
        <v/>
      </c>
      <c r="R646" s="79">
        <f>IF(Q646="","",IF(Q646="✓ Complete",0,1))</f>
        <v/>
      </c>
    </row>
    <row r="647" ht="20" customHeight="1">
      <c r="B647" s="72" t="n"/>
      <c r="C647" s="72" t="n"/>
      <c r="D647" s="72" t="n"/>
      <c r="E647" s="72" t="n"/>
      <c r="F647" s="72" t="n"/>
      <c r="G647" s="109" t="n"/>
      <c r="H647" s="72" t="n"/>
      <c r="I647" s="78">
        <f>IF(H647="","",HYPERLINK(H647,"Open ↗"))</f>
        <v/>
      </c>
      <c r="J647" s="72" t="n"/>
      <c r="L647" s="116">
        <f>IF('Contractors'!B647="","",'Contractors'!B647)</f>
        <v/>
      </c>
      <c r="M647" s="78">
        <f>IF(L647="","",'Contractors'!L647)</f>
        <v/>
      </c>
      <c r="N647" s="78">
        <f>IF(OR(L647="",M647&lt;&gt;"Yes"),"",IF(COUNTIFS('Vault'!$C$6:$C$1005,"Contract",'Vault'!$D$6:$D$1005,L647)&gt;0,"✓","✗ missing"))</f>
        <v/>
      </c>
      <c r="O647" s="78">
        <f>IF(OR(L647="",M647&lt;&gt;"Yes"),"",IF(COUNTIFS('Vault'!$C$6:$C$1005,"Insurance",'Vault'!$D$6:$D$1005,L647)&gt;0,"✓","✗ missing"))</f>
        <v/>
      </c>
      <c r="P647" s="78">
        <f>IF(OR(L647="",M647&lt;&gt;"Yes"),"",IF(COUNTIFS('Vault'!$C$6:$C$1005,"Quote",'Vault'!$D$6:$D$1005,L647)&gt;0,"✓","✗ missing"))</f>
        <v/>
      </c>
      <c r="Q647" s="78">
        <f>IF(N647="","",IF(AND(N647="✓",O647="✓",P647="✓"),"✓ Complete","Missing documents"))</f>
        <v/>
      </c>
      <c r="R647" s="79">
        <f>IF(Q647="","",IF(Q647="✓ Complete",0,1))</f>
        <v/>
      </c>
    </row>
    <row r="648" ht="20" customHeight="1">
      <c r="B648" s="72" t="n"/>
      <c r="C648" s="72" t="n"/>
      <c r="D648" s="72" t="n"/>
      <c r="E648" s="72" t="n"/>
      <c r="F648" s="72" t="n"/>
      <c r="G648" s="109" t="n"/>
      <c r="H648" s="72" t="n"/>
      <c r="I648" s="78">
        <f>IF(H648="","",HYPERLINK(H648,"Open ↗"))</f>
        <v/>
      </c>
      <c r="J648" s="72" t="n"/>
      <c r="L648" s="116">
        <f>IF('Contractors'!B648="","",'Contractors'!B648)</f>
        <v/>
      </c>
      <c r="M648" s="78">
        <f>IF(L648="","",'Contractors'!L648)</f>
        <v/>
      </c>
      <c r="N648" s="78">
        <f>IF(OR(L648="",M648&lt;&gt;"Yes"),"",IF(COUNTIFS('Vault'!$C$6:$C$1005,"Contract",'Vault'!$D$6:$D$1005,L648)&gt;0,"✓","✗ missing"))</f>
        <v/>
      </c>
      <c r="O648" s="78">
        <f>IF(OR(L648="",M648&lt;&gt;"Yes"),"",IF(COUNTIFS('Vault'!$C$6:$C$1005,"Insurance",'Vault'!$D$6:$D$1005,L648)&gt;0,"✓","✗ missing"))</f>
        <v/>
      </c>
      <c r="P648" s="78">
        <f>IF(OR(L648="",M648&lt;&gt;"Yes"),"",IF(COUNTIFS('Vault'!$C$6:$C$1005,"Quote",'Vault'!$D$6:$D$1005,L648)&gt;0,"✓","✗ missing"))</f>
        <v/>
      </c>
      <c r="Q648" s="78">
        <f>IF(N648="","",IF(AND(N648="✓",O648="✓",P648="✓"),"✓ Complete","Missing documents"))</f>
        <v/>
      </c>
      <c r="R648" s="79">
        <f>IF(Q648="","",IF(Q648="✓ Complete",0,1))</f>
        <v/>
      </c>
    </row>
    <row r="649" ht="20" customHeight="1">
      <c r="B649" s="72" t="n"/>
      <c r="C649" s="72" t="n"/>
      <c r="D649" s="72" t="n"/>
      <c r="E649" s="72" t="n"/>
      <c r="F649" s="72" t="n"/>
      <c r="G649" s="109" t="n"/>
      <c r="H649" s="72" t="n"/>
      <c r="I649" s="78">
        <f>IF(H649="","",HYPERLINK(H649,"Open ↗"))</f>
        <v/>
      </c>
      <c r="J649" s="72" t="n"/>
      <c r="L649" s="116">
        <f>IF('Contractors'!B649="","",'Contractors'!B649)</f>
        <v/>
      </c>
      <c r="M649" s="78">
        <f>IF(L649="","",'Contractors'!L649)</f>
        <v/>
      </c>
      <c r="N649" s="78">
        <f>IF(OR(L649="",M649&lt;&gt;"Yes"),"",IF(COUNTIFS('Vault'!$C$6:$C$1005,"Contract",'Vault'!$D$6:$D$1005,L649)&gt;0,"✓","✗ missing"))</f>
        <v/>
      </c>
      <c r="O649" s="78">
        <f>IF(OR(L649="",M649&lt;&gt;"Yes"),"",IF(COUNTIFS('Vault'!$C$6:$C$1005,"Insurance",'Vault'!$D$6:$D$1005,L649)&gt;0,"✓","✗ missing"))</f>
        <v/>
      </c>
      <c r="P649" s="78">
        <f>IF(OR(L649="",M649&lt;&gt;"Yes"),"",IF(COUNTIFS('Vault'!$C$6:$C$1005,"Quote",'Vault'!$D$6:$D$1005,L649)&gt;0,"✓","✗ missing"))</f>
        <v/>
      </c>
      <c r="Q649" s="78">
        <f>IF(N649="","",IF(AND(N649="✓",O649="✓",P649="✓"),"✓ Complete","Missing documents"))</f>
        <v/>
      </c>
      <c r="R649" s="79">
        <f>IF(Q649="","",IF(Q649="✓ Complete",0,1))</f>
        <v/>
      </c>
    </row>
    <row r="650" ht="20" customHeight="1">
      <c r="B650" s="72" t="n"/>
      <c r="C650" s="72" t="n"/>
      <c r="D650" s="72" t="n"/>
      <c r="E650" s="72" t="n"/>
      <c r="F650" s="72" t="n"/>
      <c r="G650" s="109" t="n"/>
      <c r="H650" s="72" t="n"/>
      <c r="I650" s="78">
        <f>IF(H650="","",HYPERLINK(H650,"Open ↗"))</f>
        <v/>
      </c>
      <c r="J650" s="72" t="n"/>
      <c r="L650" s="116">
        <f>IF('Contractors'!B650="","",'Contractors'!B650)</f>
        <v/>
      </c>
      <c r="M650" s="78">
        <f>IF(L650="","",'Contractors'!L650)</f>
        <v/>
      </c>
      <c r="N650" s="78">
        <f>IF(OR(L650="",M650&lt;&gt;"Yes"),"",IF(COUNTIFS('Vault'!$C$6:$C$1005,"Contract",'Vault'!$D$6:$D$1005,L650)&gt;0,"✓","✗ missing"))</f>
        <v/>
      </c>
      <c r="O650" s="78">
        <f>IF(OR(L650="",M650&lt;&gt;"Yes"),"",IF(COUNTIFS('Vault'!$C$6:$C$1005,"Insurance",'Vault'!$D$6:$D$1005,L650)&gt;0,"✓","✗ missing"))</f>
        <v/>
      </c>
      <c r="P650" s="78">
        <f>IF(OR(L650="",M650&lt;&gt;"Yes"),"",IF(COUNTIFS('Vault'!$C$6:$C$1005,"Quote",'Vault'!$D$6:$D$1005,L650)&gt;0,"✓","✗ missing"))</f>
        <v/>
      </c>
      <c r="Q650" s="78">
        <f>IF(N650="","",IF(AND(N650="✓",O650="✓",P650="✓"),"✓ Complete","Missing documents"))</f>
        <v/>
      </c>
      <c r="R650" s="79">
        <f>IF(Q650="","",IF(Q650="✓ Complete",0,1))</f>
        <v/>
      </c>
    </row>
    <row r="651" ht="20" customHeight="1">
      <c r="B651" s="72" t="n"/>
      <c r="C651" s="72" t="n"/>
      <c r="D651" s="72" t="n"/>
      <c r="E651" s="72" t="n"/>
      <c r="F651" s="72" t="n"/>
      <c r="G651" s="109" t="n"/>
      <c r="H651" s="72" t="n"/>
      <c r="I651" s="78">
        <f>IF(H651="","",HYPERLINK(H651,"Open ↗"))</f>
        <v/>
      </c>
      <c r="J651" s="72" t="n"/>
      <c r="L651" s="116">
        <f>IF('Contractors'!B651="","",'Contractors'!B651)</f>
        <v/>
      </c>
      <c r="M651" s="78">
        <f>IF(L651="","",'Contractors'!L651)</f>
        <v/>
      </c>
      <c r="N651" s="78">
        <f>IF(OR(L651="",M651&lt;&gt;"Yes"),"",IF(COUNTIFS('Vault'!$C$6:$C$1005,"Contract",'Vault'!$D$6:$D$1005,L651)&gt;0,"✓","✗ missing"))</f>
        <v/>
      </c>
      <c r="O651" s="78">
        <f>IF(OR(L651="",M651&lt;&gt;"Yes"),"",IF(COUNTIFS('Vault'!$C$6:$C$1005,"Insurance",'Vault'!$D$6:$D$1005,L651)&gt;0,"✓","✗ missing"))</f>
        <v/>
      </c>
      <c r="P651" s="78">
        <f>IF(OR(L651="",M651&lt;&gt;"Yes"),"",IF(COUNTIFS('Vault'!$C$6:$C$1005,"Quote",'Vault'!$D$6:$D$1005,L651)&gt;0,"✓","✗ missing"))</f>
        <v/>
      </c>
      <c r="Q651" s="78">
        <f>IF(N651="","",IF(AND(N651="✓",O651="✓",P651="✓"),"✓ Complete","Missing documents"))</f>
        <v/>
      </c>
      <c r="R651" s="79">
        <f>IF(Q651="","",IF(Q651="✓ Complete",0,1))</f>
        <v/>
      </c>
    </row>
    <row r="652" ht="20" customHeight="1">
      <c r="B652" s="72" t="n"/>
      <c r="C652" s="72" t="n"/>
      <c r="D652" s="72" t="n"/>
      <c r="E652" s="72" t="n"/>
      <c r="F652" s="72" t="n"/>
      <c r="G652" s="109" t="n"/>
      <c r="H652" s="72" t="n"/>
      <c r="I652" s="78">
        <f>IF(H652="","",HYPERLINK(H652,"Open ↗"))</f>
        <v/>
      </c>
      <c r="J652" s="72" t="n"/>
      <c r="L652" s="116">
        <f>IF('Contractors'!B652="","",'Contractors'!B652)</f>
        <v/>
      </c>
      <c r="M652" s="78">
        <f>IF(L652="","",'Contractors'!L652)</f>
        <v/>
      </c>
      <c r="N652" s="78">
        <f>IF(OR(L652="",M652&lt;&gt;"Yes"),"",IF(COUNTIFS('Vault'!$C$6:$C$1005,"Contract",'Vault'!$D$6:$D$1005,L652)&gt;0,"✓","✗ missing"))</f>
        <v/>
      </c>
      <c r="O652" s="78">
        <f>IF(OR(L652="",M652&lt;&gt;"Yes"),"",IF(COUNTIFS('Vault'!$C$6:$C$1005,"Insurance",'Vault'!$D$6:$D$1005,L652)&gt;0,"✓","✗ missing"))</f>
        <v/>
      </c>
      <c r="P652" s="78">
        <f>IF(OR(L652="",M652&lt;&gt;"Yes"),"",IF(COUNTIFS('Vault'!$C$6:$C$1005,"Quote",'Vault'!$D$6:$D$1005,L652)&gt;0,"✓","✗ missing"))</f>
        <v/>
      </c>
      <c r="Q652" s="78">
        <f>IF(N652="","",IF(AND(N652="✓",O652="✓",P652="✓"),"✓ Complete","Missing documents"))</f>
        <v/>
      </c>
      <c r="R652" s="79">
        <f>IF(Q652="","",IF(Q652="✓ Complete",0,1))</f>
        <v/>
      </c>
    </row>
    <row r="653" ht="20" customHeight="1">
      <c r="B653" s="72" t="n"/>
      <c r="C653" s="72" t="n"/>
      <c r="D653" s="72" t="n"/>
      <c r="E653" s="72" t="n"/>
      <c r="F653" s="72" t="n"/>
      <c r="G653" s="109" t="n"/>
      <c r="H653" s="72" t="n"/>
      <c r="I653" s="78">
        <f>IF(H653="","",HYPERLINK(H653,"Open ↗"))</f>
        <v/>
      </c>
      <c r="J653" s="72" t="n"/>
      <c r="L653" s="116">
        <f>IF('Contractors'!B653="","",'Contractors'!B653)</f>
        <v/>
      </c>
      <c r="M653" s="78">
        <f>IF(L653="","",'Contractors'!L653)</f>
        <v/>
      </c>
      <c r="N653" s="78">
        <f>IF(OR(L653="",M653&lt;&gt;"Yes"),"",IF(COUNTIFS('Vault'!$C$6:$C$1005,"Contract",'Vault'!$D$6:$D$1005,L653)&gt;0,"✓","✗ missing"))</f>
        <v/>
      </c>
      <c r="O653" s="78">
        <f>IF(OR(L653="",M653&lt;&gt;"Yes"),"",IF(COUNTIFS('Vault'!$C$6:$C$1005,"Insurance",'Vault'!$D$6:$D$1005,L653)&gt;0,"✓","✗ missing"))</f>
        <v/>
      </c>
      <c r="P653" s="78">
        <f>IF(OR(L653="",M653&lt;&gt;"Yes"),"",IF(COUNTIFS('Vault'!$C$6:$C$1005,"Quote",'Vault'!$D$6:$D$1005,L653)&gt;0,"✓","✗ missing"))</f>
        <v/>
      </c>
      <c r="Q653" s="78">
        <f>IF(N653="","",IF(AND(N653="✓",O653="✓",P653="✓"),"✓ Complete","Missing documents"))</f>
        <v/>
      </c>
      <c r="R653" s="79">
        <f>IF(Q653="","",IF(Q653="✓ Complete",0,1))</f>
        <v/>
      </c>
    </row>
    <row r="654" ht="20" customHeight="1">
      <c r="B654" s="72" t="n"/>
      <c r="C654" s="72" t="n"/>
      <c r="D654" s="72" t="n"/>
      <c r="E654" s="72" t="n"/>
      <c r="F654" s="72" t="n"/>
      <c r="G654" s="109" t="n"/>
      <c r="H654" s="72" t="n"/>
      <c r="I654" s="78">
        <f>IF(H654="","",HYPERLINK(H654,"Open ↗"))</f>
        <v/>
      </c>
      <c r="J654" s="72" t="n"/>
      <c r="L654" s="116">
        <f>IF('Contractors'!B654="","",'Contractors'!B654)</f>
        <v/>
      </c>
      <c r="M654" s="78">
        <f>IF(L654="","",'Contractors'!L654)</f>
        <v/>
      </c>
      <c r="N654" s="78">
        <f>IF(OR(L654="",M654&lt;&gt;"Yes"),"",IF(COUNTIFS('Vault'!$C$6:$C$1005,"Contract",'Vault'!$D$6:$D$1005,L654)&gt;0,"✓","✗ missing"))</f>
        <v/>
      </c>
      <c r="O654" s="78">
        <f>IF(OR(L654="",M654&lt;&gt;"Yes"),"",IF(COUNTIFS('Vault'!$C$6:$C$1005,"Insurance",'Vault'!$D$6:$D$1005,L654)&gt;0,"✓","✗ missing"))</f>
        <v/>
      </c>
      <c r="P654" s="78">
        <f>IF(OR(L654="",M654&lt;&gt;"Yes"),"",IF(COUNTIFS('Vault'!$C$6:$C$1005,"Quote",'Vault'!$D$6:$D$1005,L654)&gt;0,"✓","✗ missing"))</f>
        <v/>
      </c>
      <c r="Q654" s="78">
        <f>IF(N654="","",IF(AND(N654="✓",O654="✓",P654="✓"),"✓ Complete","Missing documents"))</f>
        <v/>
      </c>
      <c r="R654" s="79">
        <f>IF(Q654="","",IF(Q654="✓ Complete",0,1))</f>
        <v/>
      </c>
    </row>
    <row r="655" ht="20" customHeight="1">
      <c r="B655" s="72" t="n"/>
      <c r="C655" s="72" t="n"/>
      <c r="D655" s="72" t="n"/>
      <c r="E655" s="72" t="n"/>
      <c r="F655" s="72" t="n"/>
      <c r="G655" s="109" t="n"/>
      <c r="H655" s="72" t="n"/>
      <c r="I655" s="78">
        <f>IF(H655="","",HYPERLINK(H655,"Open ↗"))</f>
        <v/>
      </c>
      <c r="J655" s="72" t="n"/>
      <c r="L655" s="116">
        <f>IF('Contractors'!B655="","",'Contractors'!B655)</f>
        <v/>
      </c>
      <c r="M655" s="78">
        <f>IF(L655="","",'Contractors'!L655)</f>
        <v/>
      </c>
      <c r="N655" s="78">
        <f>IF(OR(L655="",M655&lt;&gt;"Yes"),"",IF(COUNTIFS('Vault'!$C$6:$C$1005,"Contract",'Vault'!$D$6:$D$1005,L655)&gt;0,"✓","✗ missing"))</f>
        <v/>
      </c>
      <c r="O655" s="78">
        <f>IF(OR(L655="",M655&lt;&gt;"Yes"),"",IF(COUNTIFS('Vault'!$C$6:$C$1005,"Insurance",'Vault'!$D$6:$D$1005,L655)&gt;0,"✓","✗ missing"))</f>
        <v/>
      </c>
      <c r="P655" s="78">
        <f>IF(OR(L655="",M655&lt;&gt;"Yes"),"",IF(COUNTIFS('Vault'!$C$6:$C$1005,"Quote",'Vault'!$D$6:$D$1005,L655)&gt;0,"✓","✗ missing"))</f>
        <v/>
      </c>
      <c r="Q655" s="78">
        <f>IF(N655="","",IF(AND(N655="✓",O655="✓",P655="✓"),"✓ Complete","Missing documents"))</f>
        <v/>
      </c>
      <c r="R655" s="79">
        <f>IF(Q655="","",IF(Q655="✓ Complete",0,1))</f>
        <v/>
      </c>
    </row>
    <row r="656" ht="20" customHeight="1">
      <c r="B656" s="72" t="n"/>
      <c r="C656" s="72" t="n"/>
      <c r="D656" s="72" t="n"/>
      <c r="E656" s="72" t="n"/>
      <c r="F656" s="72" t="n"/>
      <c r="G656" s="109" t="n"/>
      <c r="H656" s="72" t="n"/>
      <c r="I656" s="78">
        <f>IF(H656="","",HYPERLINK(H656,"Open ↗"))</f>
        <v/>
      </c>
      <c r="J656" s="72" t="n"/>
      <c r="L656" s="116">
        <f>IF('Contractors'!B656="","",'Contractors'!B656)</f>
        <v/>
      </c>
      <c r="M656" s="78">
        <f>IF(L656="","",'Contractors'!L656)</f>
        <v/>
      </c>
      <c r="N656" s="78">
        <f>IF(OR(L656="",M656&lt;&gt;"Yes"),"",IF(COUNTIFS('Vault'!$C$6:$C$1005,"Contract",'Vault'!$D$6:$D$1005,L656)&gt;0,"✓","✗ missing"))</f>
        <v/>
      </c>
      <c r="O656" s="78">
        <f>IF(OR(L656="",M656&lt;&gt;"Yes"),"",IF(COUNTIFS('Vault'!$C$6:$C$1005,"Insurance",'Vault'!$D$6:$D$1005,L656)&gt;0,"✓","✗ missing"))</f>
        <v/>
      </c>
      <c r="P656" s="78">
        <f>IF(OR(L656="",M656&lt;&gt;"Yes"),"",IF(COUNTIFS('Vault'!$C$6:$C$1005,"Quote",'Vault'!$D$6:$D$1005,L656)&gt;0,"✓","✗ missing"))</f>
        <v/>
      </c>
      <c r="Q656" s="78">
        <f>IF(N656="","",IF(AND(N656="✓",O656="✓",P656="✓"),"✓ Complete","Missing documents"))</f>
        <v/>
      </c>
      <c r="R656" s="79">
        <f>IF(Q656="","",IF(Q656="✓ Complete",0,1))</f>
        <v/>
      </c>
    </row>
    <row r="657" ht="20" customHeight="1">
      <c r="B657" s="72" t="n"/>
      <c r="C657" s="72" t="n"/>
      <c r="D657" s="72" t="n"/>
      <c r="E657" s="72" t="n"/>
      <c r="F657" s="72" t="n"/>
      <c r="G657" s="109" t="n"/>
      <c r="H657" s="72" t="n"/>
      <c r="I657" s="78">
        <f>IF(H657="","",HYPERLINK(H657,"Open ↗"))</f>
        <v/>
      </c>
      <c r="J657" s="72" t="n"/>
      <c r="L657" s="116">
        <f>IF('Contractors'!B657="","",'Contractors'!B657)</f>
        <v/>
      </c>
      <c r="M657" s="78">
        <f>IF(L657="","",'Contractors'!L657)</f>
        <v/>
      </c>
      <c r="N657" s="78">
        <f>IF(OR(L657="",M657&lt;&gt;"Yes"),"",IF(COUNTIFS('Vault'!$C$6:$C$1005,"Contract",'Vault'!$D$6:$D$1005,L657)&gt;0,"✓","✗ missing"))</f>
        <v/>
      </c>
      <c r="O657" s="78">
        <f>IF(OR(L657="",M657&lt;&gt;"Yes"),"",IF(COUNTIFS('Vault'!$C$6:$C$1005,"Insurance",'Vault'!$D$6:$D$1005,L657)&gt;0,"✓","✗ missing"))</f>
        <v/>
      </c>
      <c r="P657" s="78">
        <f>IF(OR(L657="",M657&lt;&gt;"Yes"),"",IF(COUNTIFS('Vault'!$C$6:$C$1005,"Quote",'Vault'!$D$6:$D$1005,L657)&gt;0,"✓","✗ missing"))</f>
        <v/>
      </c>
      <c r="Q657" s="78">
        <f>IF(N657="","",IF(AND(N657="✓",O657="✓",P657="✓"),"✓ Complete","Missing documents"))</f>
        <v/>
      </c>
      <c r="R657" s="79">
        <f>IF(Q657="","",IF(Q657="✓ Complete",0,1))</f>
        <v/>
      </c>
    </row>
    <row r="658" ht="20" customHeight="1">
      <c r="B658" s="72" t="n"/>
      <c r="C658" s="72" t="n"/>
      <c r="D658" s="72" t="n"/>
      <c r="E658" s="72" t="n"/>
      <c r="F658" s="72" t="n"/>
      <c r="G658" s="109" t="n"/>
      <c r="H658" s="72" t="n"/>
      <c r="I658" s="78">
        <f>IF(H658="","",HYPERLINK(H658,"Open ↗"))</f>
        <v/>
      </c>
      <c r="J658" s="72" t="n"/>
      <c r="L658" s="116">
        <f>IF('Contractors'!B658="","",'Contractors'!B658)</f>
        <v/>
      </c>
      <c r="M658" s="78">
        <f>IF(L658="","",'Contractors'!L658)</f>
        <v/>
      </c>
      <c r="N658" s="78">
        <f>IF(OR(L658="",M658&lt;&gt;"Yes"),"",IF(COUNTIFS('Vault'!$C$6:$C$1005,"Contract",'Vault'!$D$6:$D$1005,L658)&gt;0,"✓","✗ missing"))</f>
        <v/>
      </c>
      <c r="O658" s="78">
        <f>IF(OR(L658="",M658&lt;&gt;"Yes"),"",IF(COUNTIFS('Vault'!$C$6:$C$1005,"Insurance",'Vault'!$D$6:$D$1005,L658)&gt;0,"✓","✗ missing"))</f>
        <v/>
      </c>
      <c r="P658" s="78">
        <f>IF(OR(L658="",M658&lt;&gt;"Yes"),"",IF(COUNTIFS('Vault'!$C$6:$C$1005,"Quote",'Vault'!$D$6:$D$1005,L658)&gt;0,"✓","✗ missing"))</f>
        <v/>
      </c>
      <c r="Q658" s="78">
        <f>IF(N658="","",IF(AND(N658="✓",O658="✓",P658="✓"),"✓ Complete","Missing documents"))</f>
        <v/>
      </c>
      <c r="R658" s="79">
        <f>IF(Q658="","",IF(Q658="✓ Complete",0,1))</f>
        <v/>
      </c>
    </row>
    <row r="659" ht="20" customHeight="1">
      <c r="B659" s="72" t="n"/>
      <c r="C659" s="72" t="n"/>
      <c r="D659" s="72" t="n"/>
      <c r="E659" s="72" t="n"/>
      <c r="F659" s="72" t="n"/>
      <c r="G659" s="109" t="n"/>
      <c r="H659" s="72" t="n"/>
      <c r="I659" s="78">
        <f>IF(H659="","",HYPERLINK(H659,"Open ↗"))</f>
        <v/>
      </c>
      <c r="J659" s="72" t="n"/>
      <c r="L659" s="116">
        <f>IF('Contractors'!B659="","",'Contractors'!B659)</f>
        <v/>
      </c>
      <c r="M659" s="78">
        <f>IF(L659="","",'Contractors'!L659)</f>
        <v/>
      </c>
      <c r="N659" s="78">
        <f>IF(OR(L659="",M659&lt;&gt;"Yes"),"",IF(COUNTIFS('Vault'!$C$6:$C$1005,"Contract",'Vault'!$D$6:$D$1005,L659)&gt;0,"✓","✗ missing"))</f>
        <v/>
      </c>
      <c r="O659" s="78">
        <f>IF(OR(L659="",M659&lt;&gt;"Yes"),"",IF(COUNTIFS('Vault'!$C$6:$C$1005,"Insurance",'Vault'!$D$6:$D$1005,L659)&gt;0,"✓","✗ missing"))</f>
        <v/>
      </c>
      <c r="P659" s="78">
        <f>IF(OR(L659="",M659&lt;&gt;"Yes"),"",IF(COUNTIFS('Vault'!$C$6:$C$1005,"Quote",'Vault'!$D$6:$D$1005,L659)&gt;0,"✓","✗ missing"))</f>
        <v/>
      </c>
      <c r="Q659" s="78">
        <f>IF(N659="","",IF(AND(N659="✓",O659="✓",P659="✓"),"✓ Complete","Missing documents"))</f>
        <v/>
      </c>
      <c r="R659" s="79">
        <f>IF(Q659="","",IF(Q659="✓ Complete",0,1))</f>
        <v/>
      </c>
    </row>
    <row r="660" ht="20" customHeight="1">
      <c r="B660" s="72" t="n"/>
      <c r="C660" s="72" t="n"/>
      <c r="D660" s="72" t="n"/>
      <c r="E660" s="72" t="n"/>
      <c r="F660" s="72" t="n"/>
      <c r="G660" s="109" t="n"/>
      <c r="H660" s="72" t="n"/>
      <c r="I660" s="78">
        <f>IF(H660="","",HYPERLINK(H660,"Open ↗"))</f>
        <v/>
      </c>
      <c r="J660" s="72" t="n"/>
      <c r="L660" s="116">
        <f>IF('Contractors'!B660="","",'Contractors'!B660)</f>
        <v/>
      </c>
      <c r="M660" s="78">
        <f>IF(L660="","",'Contractors'!L660)</f>
        <v/>
      </c>
      <c r="N660" s="78">
        <f>IF(OR(L660="",M660&lt;&gt;"Yes"),"",IF(COUNTIFS('Vault'!$C$6:$C$1005,"Contract",'Vault'!$D$6:$D$1005,L660)&gt;0,"✓","✗ missing"))</f>
        <v/>
      </c>
      <c r="O660" s="78">
        <f>IF(OR(L660="",M660&lt;&gt;"Yes"),"",IF(COUNTIFS('Vault'!$C$6:$C$1005,"Insurance",'Vault'!$D$6:$D$1005,L660)&gt;0,"✓","✗ missing"))</f>
        <v/>
      </c>
      <c r="P660" s="78">
        <f>IF(OR(L660="",M660&lt;&gt;"Yes"),"",IF(COUNTIFS('Vault'!$C$6:$C$1005,"Quote",'Vault'!$D$6:$D$1005,L660)&gt;0,"✓","✗ missing"))</f>
        <v/>
      </c>
      <c r="Q660" s="78">
        <f>IF(N660="","",IF(AND(N660="✓",O660="✓",P660="✓"),"✓ Complete","Missing documents"))</f>
        <v/>
      </c>
      <c r="R660" s="79">
        <f>IF(Q660="","",IF(Q660="✓ Complete",0,1))</f>
        <v/>
      </c>
    </row>
    <row r="661" ht="20" customHeight="1">
      <c r="B661" s="72" t="n"/>
      <c r="C661" s="72" t="n"/>
      <c r="D661" s="72" t="n"/>
      <c r="E661" s="72" t="n"/>
      <c r="F661" s="72" t="n"/>
      <c r="G661" s="109" t="n"/>
      <c r="H661" s="72" t="n"/>
      <c r="I661" s="78">
        <f>IF(H661="","",HYPERLINK(H661,"Open ↗"))</f>
        <v/>
      </c>
      <c r="J661" s="72" t="n"/>
      <c r="L661" s="116">
        <f>IF('Contractors'!B661="","",'Contractors'!B661)</f>
        <v/>
      </c>
      <c r="M661" s="78">
        <f>IF(L661="","",'Contractors'!L661)</f>
        <v/>
      </c>
      <c r="N661" s="78">
        <f>IF(OR(L661="",M661&lt;&gt;"Yes"),"",IF(COUNTIFS('Vault'!$C$6:$C$1005,"Contract",'Vault'!$D$6:$D$1005,L661)&gt;0,"✓","✗ missing"))</f>
        <v/>
      </c>
      <c r="O661" s="78">
        <f>IF(OR(L661="",M661&lt;&gt;"Yes"),"",IF(COUNTIFS('Vault'!$C$6:$C$1005,"Insurance",'Vault'!$D$6:$D$1005,L661)&gt;0,"✓","✗ missing"))</f>
        <v/>
      </c>
      <c r="P661" s="78">
        <f>IF(OR(L661="",M661&lt;&gt;"Yes"),"",IF(COUNTIFS('Vault'!$C$6:$C$1005,"Quote",'Vault'!$D$6:$D$1005,L661)&gt;0,"✓","✗ missing"))</f>
        <v/>
      </c>
      <c r="Q661" s="78">
        <f>IF(N661="","",IF(AND(N661="✓",O661="✓",P661="✓"),"✓ Complete","Missing documents"))</f>
        <v/>
      </c>
      <c r="R661" s="79">
        <f>IF(Q661="","",IF(Q661="✓ Complete",0,1))</f>
        <v/>
      </c>
    </row>
    <row r="662" ht="20" customHeight="1">
      <c r="B662" s="72" t="n"/>
      <c r="C662" s="72" t="n"/>
      <c r="D662" s="72" t="n"/>
      <c r="E662" s="72" t="n"/>
      <c r="F662" s="72" t="n"/>
      <c r="G662" s="109" t="n"/>
      <c r="H662" s="72" t="n"/>
      <c r="I662" s="78">
        <f>IF(H662="","",HYPERLINK(H662,"Open ↗"))</f>
        <v/>
      </c>
      <c r="J662" s="72" t="n"/>
      <c r="L662" s="116">
        <f>IF('Contractors'!B662="","",'Contractors'!B662)</f>
        <v/>
      </c>
      <c r="M662" s="78">
        <f>IF(L662="","",'Contractors'!L662)</f>
        <v/>
      </c>
      <c r="N662" s="78">
        <f>IF(OR(L662="",M662&lt;&gt;"Yes"),"",IF(COUNTIFS('Vault'!$C$6:$C$1005,"Contract",'Vault'!$D$6:$D$1005,L662)&gt;0,"✓","✗ missing"))</f>
        <v/>
      </c>
      <c r="O662" s="78">
        <f>IF(OR(L662="",M662&lt;&gt;"Yes"),"",IF(COUNTIFS('Vault'!$C$6:$C$1005,"Insurance",'Vault'!$D$6:$D$1005,L662)&gt;0,"✓","✗ missing"))</f>
        <v/>
      </c>
      <c r="P662" s="78">
        <f>IF(OR(L662="",M662&lt;&gt;"Yes"),"",IF(COUNTIFS('Vault'!$C$6:$C$1005,"Quote",'Vault'!$D$6:$D$1005,L662)&gt;0,"✓","✗ missing"))</f>
        <v/>
      </c>
      <c r="Q662" s="78">
        <f>IF(N662="","",IF(AND(N662="✓",O662="✓",P662="✓"),"✓ Complete","Missing documents"))</f>
        <v/>
      </c>
      <c r="R662" s="79">
        <f>IF(Q662="","",IF(Q662="✓ Complete",0,1))</f>
        <v/>
      </c>
    </row>
    <row r="663" ht="20" customHeight="1">
      <c r="B663" s="72" t="n"/>
      <c r="C663" s="72" t="n"/>
      <c r="D663" s="72" t="n"/>
      <c r="E663" s="72" t="n"/>
      <c r="F663" s="72" t="n"/>
      <c r="G663" s="109" t="n"/>
      <c r="H663" s="72" t="n"/>
      <c r="I663" s="78">
        <f>IF(H663="","",HYPERLINK(H663,"Open ↗"))</f>
        <v/>
      </c>
      <c r="J663" s="72" t="n"/>
      <c r="L663" s="116">
        <f>IF('Contractors'!B663="","",'Contractors'!B663)</f>
        <v/>
      </c>
      <c r="M663" s="78">
        <f>IF(L663="","",'Contractors'!L663)</f>
        <v/>
      </c>
      <c r="N663" s="78">
        <f>IF(OR(L663="",M663&lt;&gt;"Yes"),"",IF(COUNTIFS('Vault'!$C$6:$C$1005,"Contract",'Vault'!$D$6:$D$1005,L663)&gt;0,"✓","✗ missing"))</f>
        <v/>
      </c>
      <c r="O663" s="78">
        <f>IF(OR(L663="",M663&lt;&gt;"Yes"),"",IF(COUNTIFS('Vault'!$C$6:$C$1005,"Insurance",'Vault'!$D$6:$D$1005,L663)&gt;0,"✓","✗ missing"))</f>
        <v/>
      </c>
      <c r="P663" s="78">
        <f>IF(OR(L663="",M663&lt;&gt;"Yes"),"",IF(COUNTIFS('Vault'!$C$6:$C$1005,"Quote",'Vault'!$D$6:$D$1005,L663)&gt;0,"✓","✗ missing"))</f>
        <v/>
      </c>
      <c r="Q663" s="78">
        <f>IF(N663="","",IF(AND(N663="✓",O663="✓",P663="✓"),"✓ Complete","Missing documents"))</f>
        <v/>
      </c>
      <c r="R663" s="79">
        <f>IF(Q663="","",IF(Q663="✓ Complete",0,1))</f>
        <v/>
      </c>
    </row>
    <row r="664" ht="20" customHeight="1">
      <c r="B664" s="72" t="n"/>
      <c r="C664" s="72" t="n"/>
      <c r="D664" s="72" t="n"/>
      <c r="E664" s="72" t="n"/>
      <c r="F664" s="72" t="n"/>
      <c r="G664" s="109" t="n"/>
      <c r="H664" s="72" t="n"/>
      <c r="I664" s="78">
        <f>IF(H664="","",HYPERLINK(H664,"Open ↗"))</f>
        <v/>
      </c>
      <c r="J664" s="72" t="n"/>
      <c r="L664" s="116">
        <f>IF('Contractors'!B664="","",'Contractors'!B664)</f>
        <v/>
      </c>
      <c r="M664" s="78">
        <f>IF(L664="","",'Contractors'!L664)</f>
        <v/>
      </c>
      <c r="N664" s="78">
        <f>IF(OR(L664="",M664&lt;&gt;"Yes"),"",IF(COUNTIFS('Vault'!$C$6:$C$1005,"Contract",'Vault'!$D$6:$D$1005,L664)&gt;0,"✓","✗ missing"))</f>
        <v/>
      </c>
      <c r="O664" s="78">
        <f>IF(OR(L664="",M664&lt;&gt;"Yes"),"",IF(COUNTIFS('Vault'!$C$6:$C$1005,"Insurance",'Vault'!$D$6:$D$1005,L664)&gt;0,"✓","✗ missing"))</f>
        <v/>
      </c>
      <c r="P664" s="78">
        <f>IF(OR(L664="",M664&lt;&gt;"Yes"),"",IF(COUNTIFS('Vault'!$C$6:$C$1005,"Quote",'Vault'!$D$6:$D$1005,L664)&gt;0,"✓","✗ missing"))</f>
        <v/>
      </c>
      <c r="Q664" s="78">
        <f>IF(N664="","",IF(AND(N664="✓",O664="✓",P664="✓"),"✓ Complete","Missing documents"))</f>
        <v/>
      </c>
      <c r="R664" s="79">
        <f>IF(Q664="","",IF(Q664="✓ Complete",0,1))</f>
        <v/>
      </c>
    </row>
    <row r="665" ht="20" customHeight="1">
      <c r="B665" s="72" t="n"/>
      <c r="C665" s="72" t="n"/>
      <c r="D665" s="72" t="n"/>
      <c r="E665" s="72" t="n"/>
      <c r="F665" s="72" t="n"/>
      <c r="G665" s="109" t="n"/>
      <c r="H665" s="72" t="n"/>
      <c r="I665" s="78">
        <f>IF(H665="","",HYPERLINK(H665,"Open ↗"))</f>
        <v/>
      </c>
      <c r="J665" s="72" t="n"/>
      <c r="L665" s="116">
        <f>IF('Contractors'!B665="","",'Contractors'!B665)</f>
        <v/>
      </c>
      <c r="M665" s="78">
        <f>IF(L665="","",'Contractors'!L665)</f>
        <v/>
      </c>
      <c r="N665" s="78">
        <f>IF(OR(L665="",M665&lt;&gt;"Yes"),"",IF(COUNTIFS('Vault'!$C$6:$C$1005,"Contract",'Vault'!$D$6:$D$1005,L665)&gt;0,"✓","✗ missing"))</f>
        <v/>
      </c>
      <c r="O665" s="78">
        <f>IF(OR(L665="",M665&lt;&gt;"Yes"),"",IF(COUNTIFS('Vault'!$C$6:$C$1005,"Insurance",'Vault'!$D$6:$D$1005,L665)&gt;0,"✓","✗ missing"))</f>
        <v/>
      </c>
      <c r="P665" s="78">
        <f>IF(OR(L665="",M665&lt;&gt;"Yes"),"",IF(COUNTIFS('Vault'!$C$6:$C$1005,"Quote",'Vault'!$D$6:$D$1005,L665)&gt;0,"✓","✗ missing"))</f>
        <v/>
      </c>
      <c r="Q665" s="78">
        <f>IF(N665="","",IF(AND(N665="✓",O665="✓",P665="✓"),"✓ Complete","Missing documents"))</f>
        <v/>
      </c>
      <c r="R665" s="79">
        <f>IF(Q665="","",IF(Q665="✓ Complete",0,1))</f>
        <v/>
      </c>
    </row>
    <row r="666" ht="20" customHeight="1">
      <c r="B666" s="72" t="n"/>
      <c r="C666" s="72" t="n"/>
      <c r="D666" s="72" t="n"/>
      <c r="E666" s="72" t="n"/>
      <c r="F666" s="72" t="n"/>
      <c r="G666" s="109" t="n"/>
      <c r="H666" s="72" t="n"/>
      <c r="I666" s="78">
        <f>IF(H666="","",HYPERLINK(H666,"Open ↗"))</f>
        <v/>
      </c>
      <c r="J666" s="72" t="n"/>
      <c r="L666" s="116">
        <f>IF('Contractors'!B666="","",'Contractors'!B666)</f>
        <v/>
      </c>
      <c r="M666" s="78">
        <f>IF(L666="","",'Contractors'!L666)</f>
        <v/>
      </c>
      <c r="N666" s="78">
        <f>IF(OR(L666="",M666&lt;&gt;"Yes"),"",IF(COUNTIFS('Vault'!$C$6:$C$1005,"Contract",'Vault'!$D$6:$D$1005,L666)&gt;0,"✓","✗ missing"))</f>
        <v/>
      </c>
      <c r="O666" s="78">
        <f>IF(OR(L666="",M666&lt;&gt;"Yes"),"",IF(COUNTIFS('Vault'!$C$6:$C$1005,"Insurance",'Vault'!$D$6:$D$1005,L666)&gt;0,"✓","✗ missing"))</f>
        <v/>
      </c>
      <c r="P666" s="78">
        <f>IF(OR(L666="",M666&lt;&gt;"Yes"),"",IF(COUNTIFS('Vault'!$C$6:$C$1005,"Quote",'Vault'!$D$6:$D$1005,L666)&gt;0,"✓","✗ missing"))</f>
        <v/>
      </c>
      <c r="Q666" s="78">
        <f>IF(N666="","",IF(AND(N666="✓",O666="✓",P666="✓"),"✓ Complete","Missing documents"))</f>
        <v/>
      </c>
      <c r="R666" s="79">
        <f>IF(Q666="","",IF(Q666="✓ Complete",0,1))</f>
        <v/>
      </c>
    </row>
    <row r="667" ht="20" customHeight="1">
      <c r="B667" s="72" t="n"/>
      <c r="C667" s="72" t="n"/>
      <c r="D667" s="72" t="n"/>
      <c r="E667" s="72" t="n"/>
      <c r="F667" s="72" t="n"/>
      <c r="G667" s="109" t="n"/>
      <c r="H667" s="72" t="n"/>
      <c r="I667" s="78">
        <f>IF(H667="","",HYPERLINK(H667,"Open ↗"))</f>
        <v/>
      </c>
      <c r="J667" s="72" t="n"/>
      <c r="L667" s="116">
        <f>IF('Contractors'!B667="","",'Contractors'!B667)</f>
        <v/>
      </c>
      <c r="M667" s="78">
        <f>IF(L667="","",'Contractors'!L667)</f>
        <v/>
      </c>
      <c r="N667" s="78">
        <f>IF(OR(L667="",M667&lt;&gt;"Yes"),"",IF(COUNTIFS('Vault'!$C$6:$C$1005,"Contract",'Vault'!$D$6:$D$1005,L667)&gt;0,"✓","✗ missing"))</f>
        <v/>
      </c>
      <c r="O667" s="78">
        <f>IF(OR(L667="",M667&lt;&gt;"Yes"),"",IF(COUNTIFS('Vault'!$C$6:$C$1005,"Insurance",'Vault'!$D$6:$D$1005,L667)&gt;0,"✓","✗ missing"))</f>
        <v/>
      </c>
      <c r="P667" s="78">
        <f>IF(OR(L667="",M667&lt;&gt;"Yes"),"",IF(COUNTIFS('Vault'!$C$6:$C$1005,"Quote",'Vault'!$D$6:$D$1005,L667)&gt;0,"✓","✗ missing"))</f>
        <v/>
      </c>
      <c r="Q667" s="78">
        <f>IF(N667="","",IF(AND(N667="✓",O667="✓",P667="✓"),"✓ Complete","Missing documents"))</f>
        <v/>
      </c>
      <c r="R667" s="79">
        <f>IF(Q667="","",IF(Q667="✓ Complete",0,1))</f>
        <v/>
      </c>
    </row>
    <row r="668" ht="20" customHeight="1">
      <c r="B668" s="72" t="n"/>
      <c r="C668" s="72" t="n"/>
      <c r="D668" s="72" t="n"/>
      <c r="E668" s="72" t="n"/>
      <c r="F668" s="72" t="n"/>
      <c r="G668" s="109" t="n"/>
      <c r="H668" s="72" t="n"/>
      <c r="I668" s="78">
        <f>IF(H668="","",HYPERLINK(H668,"Open ↗"))</f>
        <v/>
      </c>
      <c r="J668" s="72" t="n"/>
      <c r="L668" s="116">
        <f>IF('Contractors'!B668="","",'Contractors'!B668)</f>
        <v/>
      </c>
      <c r="M668" s="78">
        <f>IF(L668="","",'Contractors'!L668)</f>
        <v/>
      </c>
      <c r="N668" s="78">
        <f>IF(OR(L668="",M668&lt;&gt;"Yes"),"",IF(COUNTIFS('Vault'!$C$6:$C$1005,"Contract",'Vault'!$D$6:$D$1005,L668)&gt;0,"✓","✗ missing"))</f>
        <v/>
      </c>
      <c r="O668" s="78">
        <f>IF(OR(L668="",M668&lt;&gt;"Yes"),"",IF(COUNTIFS('Vault'!$C$6:$C$1005,"Insurance",'Vault'!$D$6:$D$1005,L668)&gt;0,"✓","✗ missing"))</f>
        <v/>
      </c>
      <c r="P668" s="78">
        <f>IF(OR(L668="",M668&lt;&gt;"Yes"),"",IF(COUNTIFS('Vault'!$C$6:$C$1005,"Quote",'Vault'!$D$6:$D$1005,L668)&gt;0,"✓","✗ missing"))</f>
        <v/>
      </c>
      <c r="Q668" s="78">
        <f>IF(N668="","",IF(AND(N668="✓",O668="✓",P668="✓"),"✓ Complete","Missing documents"))</f>
        <v/>
      </c>
      <c r="R668" s="79">
        <f>IF(Q668="","",IF(Q668="✓ Complete",0,1))</f>
        <v/>
      </c>
    </row>
    <row r="669" ht="20" customHeight="1">
      <c r="B669" s="72" t="n"/>
      <c r="C669" s="72" t="n"/>
      <c r="D669" s="72" t="n"/>
      <c r="E669" s="72" t="n"/>
      <c r="F669" s="72" t="n"/>
      <c r="G669" s="109" t="n"/>
      <c r="H669" s="72" t="n"/>
      <c r="I669" s="78">
        <f>IF(H669="","",HYPERLINK(H669,"Open ↗"))</f>
        <v/>
      </c>
      <c r="J669" s="72" t="n"/>
      <c r="L669" s="116">
        <f>IF('Contractors'!B669="","",'Contractors'!B669)</f>
        <v/>
      </c>
      <c r="M669" s="78">
        <f>IF(L669="","",'Contractors'!L669)</f>
        <v/>
      </c>
      <c r="N669" s="78">
        <f>IF(OR(L669="",M669&lt;&gt;"Yes"),"",IF(COUNTIFS('Vault'!$C$6:$C$1005,"Contract",'Vault'!$D$6:$D$1005,L669)&gt;0,"✓","✗ missing"))</f>
        <v/>
      </c>
      <c r="O669" s="78">
        <f>IF(OR(L669="",M669&lt;&gt;"Yes"),"",IF(COUNTIFS('Vault'!$C$6:$C$1005,"Insurance",'Vault'!$D$6:$D$1005,L669)&gt;0,"✓","✗ missing"))</f>
        <v/>
      </c>
      <c r="P669" s="78">
        <f>IF(OR(L669="",M669&lt;&gt;"Yes"),"",IF(COUNTIFS('Vault'!$C$6:$C$1005,"Quote",'Vault'!$D$6:$D$1005,L669)&gt;0,"✓","✗ missing"))</f>
        <v/>
      </c>
      <c r="Q669" s="78">
        <f>IF(N669="","",IF(AND(N669="✓",O669="✓",P669="✓"),"✓ Complete","Missing documents"))</f>
        <v/>
      </c>
      <c r="R669" s="79">
        <f>IF(Q669="","",IF(Q669="✓ Complete",0,1))</f>
        <v/>
      </c>
    </row>
    <row r="670" ht="20" customHeight="1">
      <c r="B670" s="72" t="n"/>
      <c r="C670" s="72" t="n"/>
      <c r="D670" s="72" t="n"/>
      <c r="E670" s="72" t="n"/>
      <c r="F670" s="72" t="n"/>
      <c r="G670" s="109" t="n"/>
      <c r="H670" s="72" t="n"/>
      <c r="I670" s="78">
        <f>IF(H670="","",HYPERLINK(H670,"Open ↗"))</f>
        <v/>
      </c>
      <c r="J670" s="72" t="n"/>
      <c r="L670" s="116">
        <f>IF('Contractors'!B670="","",'Contractors'!B670)</f>
        <v/>
      </c>
      <c r="M670" s="78">
        <f>IF(L670="","",'Contractors'!L670)</f>
        <v/>
      </c>
      <c r="N670" s="78">
        <f>IF(OR(L670="",M670&lt;&gt;"Yes"),"",IF(COUNTIFS('Vault'!$C$6:$C$1005,"Contract",'Vault'!$D$6:$D$1005,L670)&gt;0,"✓","✗ missing"))</f>
        <v/>
      </c>
      <c r="O670" s="78">
        <f>IF(OR(L670="",M670&lt;&gt;"Yes"),"",IF(COUNTIFS('Vault'!$C$6:$C$1005,"Insurance",'Vault'!$D$6:$D$1005,L670)&gt;0,"✓","✗ missing"))</f>
        <v/>
      </c>
      <c r="P670" s="78">
        <f>IF(OR(L670="",M670&lt;&gt;"Yes"),"",IF(COUNTIFS('Vault'!$C$6:$C$1005,"Quote",'Vault'!$D$6:$D$1005,L670)&gt;0,"✓","✗ missing"))</f>
        <v/>
      </c>
      <c r="Q670" s="78">
        <f>IF(N670="","",IF(AND(N670="✓",O670="✓",P670="✓"),"✓ Complete","Missing documents"))</f>
        <v/>
      </c>
      <c r="R670" s="79">
        <f>IF(Q670="","",IF(Q670="✓ Complete",0,1))</f>
        <v/>
      </c>
    </row>
    <row r="671" ht="20" customHeight="1">
      <c r="B671" s="72" t="n"/>
      <c r="C671" s="72" t="n"/>
      <c r="D671" s="72" t="n"/>
      <c r="E671" s="72" t="n"/>
      <c r="F671" s="72" t="n"/>
      <c r="G671" s="109" t="n"/>
      <c r="H671" s="72" t="n"/>
      <c r="I671" s="78">
        <f>IF(H671="","",HYPERLINK(H671,"Open ↗"))</f>
        <v/>
      </c>
      <c r="J671" s="72" t="n"/>
      <c r="L671" s="116">
        <f>IF('Contractors'!B671="","",'Contractors'!B671)</f>
        <v/>
      </c>
      <c r="M671" s="78">
        <f>IF(L671="","",'Contractors'!L671)</f>
        <v/>
      </c>
      <c r="N671" s="78">
        <f>IF(OR(L671="",M671&lt;&gt;"Yes"),"",IF(COUNTIFS('Vault'!$C$6:$C$1005,"Contract",'Vault'!$D$6:$D$1005,L671)&gt;0,"✓","✗ missing"))</f>
        <v/>
      </c>
      <c r="O671" s="78">
        <f>IF(OR(L671="",M671&lt;&gt;"Yes"),"",IF(COUNTIFS('Vault'!$C$6:$C$1005,"Insurance",'Vault'!$D$6:$D$1005,L671)&gt;0,"✓","✗ missing"))</f>
        <v/>
      </c>
      <c r="P671" s="78">
        <f>IF(OR(L671="",M671&lt;&gt;"Yes"),"",IF(COUNTIFS('Vault'!$C$6:$C$1005,"Quote",'Vault'!$D$6:$D$1005,L671)&gt;0,"✓","✗ missing"))</f>
        <v/>
      </c>
      <c r="Q671" s="78">
        <f>IF(N671="","",IF(AND(N671="✓",O671="✓",P671="✓"),"✓ Complete","Missing documents"))</f>
        <v/>
      </c>
      <c r="R671" s="79">
        <f>IF(Q671="","",IF(Q671="✓ Complete",0,1))</f>
        <v/>
      </c>
    </row>
    <row r="672" ht="20" customHeight="1">
      <c r="B672" s="72" t="n"/>
      <c r="C672" s="72" t="n"/>
      <c r="D672" s="72" t="n"/>
      <c r="E672" s="72" t="n"/>
      <c r="F672" s="72" t="n"/>
      <c r="G672" s="109" t="n"/>
      <c r="H672" s="72" t="n"/>
      <c r="I672" s="78">
        <f>IF(H672="","",HYPERLINK(H672,"Open ↗"))</f>
        <v/>
      </c>
      <c r="J672" s="72" t="n"/>
      <c r="L672" s="116">
        <f>IF('Contractors'!B672="","",'Contractors'!B672)</f>
        <v/>
      </c>
      <c r="M672" s="78">
        <f>IF(L672="","",'Contractors'!L672)</f>
        <v/>
      </c>
      <c r="N672" s="78">
        <f>IF(OR(L672="",M672&lt;&gt;"Yes"),"",IF(COUNTIFS('Vault'!$C$6:$C$1005,"Contract",'Vault'!$D$6:$D$1005,L672)&gt;0,"✓","✗ missing"))</f>
        <v/>
      </c>
      <c r="O672" s="78">
        <f>IF(OR(L672="",M672&lt;&gt;"Yes"),"",IF(COUNTIFS('Vault'!$C$6:$C$1005,"Insurance",'Vault'!$D$6:$D$1005,L672)&gt;0,"✓","✗ missing"))</f>
        <v/>
      </c>
      <c r="P672" s="78">
        <f>IF(OR(L672="",M672&lt;&gt;"Yes"),"",IF(COUNTIFS('Vault'!$C$6:$C$1005,"Quote",'Vault'!$D$6:$D$1005,L672)&gt;0,"✓","✗ missing"))</f>
        <v/>
      </c>
      <c r="Q672" s="78">
        <f>IF(N672="","",IF(AND(N672="✓",O672="✓",P672="✓"),"✓ Complete","Missing documents"))</f>
        <v/>
      </c>
      <c r="R672" s="79">
        <f>IF(Q672="","",IF(Q672="✓ Complete",0,1))</f>
        <v/>
      </c>
    </row>
    <row r="673" ht="20" customHeight="1">
      <c r="B673" s="72" t="n"/>
      <c r="C673" s="72" t="n"/>
      <c r="D673" s="72" t="n"/>
      <c r="E673" s="72" t="n"/>
      <c r="F673" s="72" t="n"/>
      <c r="G673" s="109" t="n"/>
      <c r="H673" s="72" t="n"/>
      <c r="I673" s="78">
        <f>IF(H673="","",HYPERLINK(H673,"Open ↗"))</f>
        <v/>
      </c>
      <c r="J673" s="72" t="n"/>
      <c r="L673" s="116">
        <f>IF('Contractors'!B673="","",'Contractors'!B673)</f>
        <v/>
      </c>
      <c r="M673" s="78">
        <f>IF(L673="","",'Contractors'!L673)</f>
        <v/>
      </c>
      <c r="N673" s="78">
        <f>IF(OR(L673="",M673&lt;&gt;"Yes"),"",IF(COUNTIFS('Vault'!$C$6:$C$1005,"Contract",'Vault'!$D$6:$D$1005,L673)&gt;0,"✓","✗ missing"))</f>
        <v/>
      </c>
      <c r="O673" s="78">
        <f>IF(OR(L673="",M673&lt;&gt;"Yes"),"",IF(COUNTIFS('Vault'!$C$6:$C$1005,"Insurance",'Vault'!$D$6:$D$1005,L673)&gt;0,"✓","✗ missing"))</f>
        <v/>
      </c>
      <c r="P673" s="78">
        <f>IF(OR(L673="",M673&lt;&gt;"Yes"),"",IF(COUNTIFS('Vault'!$C$6:$C$1005,"Quote",'Vault'!$D$6:$D$1005,L673)&gt;0,"✓","✗ missing"))</f>
        <v/>
      </c>
      <c r="Q673" s="78">
        <f>IF(N673="","",IF(AND(N673="✓",O673="✓",P673="✓"),"✓ Complete","Missing documents"))</f>
        <v/>
      </c>
      <c r="R673" s="79">
        <f>IF(Q673="","",IF(Q673="✓ Complete",0,1))</f>
        <v/>
      </c>
    </row>
    <row r="674" ht="20" customHeight="1">
      <c r="B674" s="72" t="n"/>
      <c r="C674" s="72" t="n"/>
      <c r="D674" s="72" t="n"/>
      <c r="E674" s="72" t="n"/>
      <c r="F674" s="72" t="n"/>
      <c r="G674" s="109" t="n"/>
      <c r="H674" s="72" t="n"/>
      <c r="I674" s="78">
        <f>IF(H674="","",HYPERLINK(H674,"Open ↗"))</f>
        <v/>
      </c>
      <c r="J674" s="72" t="n"/>
      <c r="L674" s="116">
        <f>IF('Contractors'!B674="","",'Contractors'!B674)</f>
        <v/>
      </c>
      <c r="M674" s="78">
        <f>IF(L674="","",'Contractors'!L674)</f>
        <v/>
      </c>
      <c r="N674" s="78">
        <f>IF(OR(L674="",M674&lt;&gt;"Yes"),"",IF(COUNTIFS('Vault'!$C$6:$C$1005,"Contract",'Vault'!$D$6:$D$1005,L674)&gt;0,"✓","✗ missing"))</f>
        <v/>
      </c>
      <c r="O674" s="78">
        <f>IF(OR(L674="",M674&lt;&gt;"Yes"),"",IF(COUNTIFS('Vault'!$C$6:$C$1005,"Insurance",'Vault'!$D$6:$D$1005,L674)&gt;0,"✓","✗ missing"))</f>
        <v/>
      </c>
      <c r="P674" s="78">
        <f>IF(OR(L674="",M674&lt;&gt;"Yes"),"",IF(COUNTIFS('Vault'!$C$6:$C$1005,"Quote",'Vault'!$D$6:$D$1005,L674)&gt;0,"✓","✗ missing"))</f>
        <v/>
      </c>
      <c r="Q674" s="78">
        <f>IF(N674="","",IF(AND(N674="✓",O674="✓",P674="✓"),"✓ Complete","Missing documents"))</f>
        <v/>
      </c>
      <c r="R674" s="79">
        <f>IF(Q674="","",IF(Q674="✓ Complete",0,1))</f>
        <v/>
      </c>
    </row>
    <row r="675" ht="20" customHeight="1">
      <c r="B675" s="72" t="n"/>
      <c r="C675" s="72" t="n"/>
      <c r="D675" s="72" t="n"/>
      <c r="E675" s="72" t="n"/>
      <c r="F675" s="72" t="n"/>
      <c r="G675" s="109" t="n"/>
      <c r="H675" s="72" t="n"/>
      <c r="I675" s="78">
        <f>IF(H675="","",HYPERLINK(H675,"Open ↗"))</f>
        <v/>
      </c>
      <c r="J675" s="72" t="n"/>
      <c r="L675" s="116">
        <f>IF('Contractors'!B675="","",'Contractors'!B675)</f>
        <v/>
      </c>
      <c r="M675" s="78">
        <f>IF(L675="","",'Contractors'!L675)</f>
        <v/>
      </c>
      <c r="N675" s="78">
        <f>IF(OR(L675="",M675&lt;&gt;"Yes"),"",IF(COUNTIFS('Vault'!$C$6:$C$1005,"Contract",'Vault'!$D$6:$D$1005,L675)&gt;0,"✓","✗ missing"))</f>
        <v/>
      </c>
      <c r="O675" s="78">
        <f>IF(OR(L675="",M675&lt;&gt;"Yes"),"",IF(COUNTIFS('Vault'!$C$6:$C$1005,"Insurance",'Vault'!$D$6:$D$1005,L675)&gt;0,"✓","✗ missing"))</f>
        <v/>
      </c>
      <c r="P675" s="78">
        <f>IF(OR(L675="",M675&lt;&gt;"Yes"),"",IF(COUNTIFS('Vault'!$C$6:$C$1005,"Quote",'Vault'!$D$6:$D$1005,L675)&gt;0,"✓","✗ missing"))</f>
        <v/>
      </c>
      <c r="Q675" s="78">
        <f>IF(N675="","",IF(AND(N675="✓",O675="✓",P675="✓"),"✓ Complete","Missing documents"))</f>
        <v/>
      </c>
      <c r="R675" s="79">
        <f>IF(Q675="","",IF(Q675="✓ Complete",0,1))</f>
        <v/>
      </c>
    </row>
    <row r="676" ht="20" customHeight="1">
      <c r="B676" s="72" t="n"/>
      <c r="C676" s="72" t="n"/>
      <c r="D676" s="72" t="n"/>
      <c r="E676" s="72" t="n"/>
      <c r="F676" s="72" t="n"/>
      <c r="G676" s="109" t="n"/>
      <c r="H676" s="72" t="n"/>
      <c r="I676" s="78">
        <f>IF(H676="","",HYPERLINK(H676,"Open ↗"))</f>
        <v/>
      </c>
      <c r="J676" s="72" t="n"/>
      <c r="L676" s="116">
        <f>IF('Contractors'!B676="","",'Contractors'!B676)</f>
        <v/>
      </c>
      <c r="M676" s="78">
        <f>IF(L676="","",'Contractors'!L676)</f>
        <v/>
      </c>
      <c r="N676" s="78">
        <f>IF(OR(L676="",M676&lt;&gt;"Yes"),"",IF(COUNTIFS('Vault'!$C$6:$C$1005,"Contract",'Vault'!$D$6:$D$1005,L676)&gt;0,"✓","✗ missing"))</f>
        <v/>
      </c>
      <c r="O676" s="78">
        <f>IF(OR(L676="",M676&lt;&gt;"Yes"),"",IF(COUNTIFS('Vault'!$C$6:$C$1005,"Insurance",'Vault'!$D$6:$D$1005,L676)&gt;0,"✓","✗ missing"))</f>
        <v/>
      </c>
      <c r="P676" s="78">
        <f>IF(OR(L676="",M676&lt;&gt;"Yes"),"",IF(COUNTIFS('Vault'!$C$6:$C$1005,"Quote",'Vault'!$D$6:$D$1005,L676)&gt;0,"✓","✗ missing"))</f>
        <v/>
      </c>
      <c r="Q676" s="78">
        <f>IF(N676="","",IF(AND(N676="✓",O676="✓",P676="✓"),"✓ Complete","Missing documents"))</f>
        <v/>
      </c>
      <c r="R676" s="79">
        <f>IF(Q676="","",IF(Q676="✓ Complete",0,1))</f>
        <v/>
      </c>
    </row>
    <row r="677" ht="20" customHeight="1">
      <c r="B677" s="72" t="n"/>
      <c r="C677" s="72" t="n"/>
      <c r="D677" s="72" t="n"/>
      <c r="E677" s="72" t="n"/>
      <c r="F677" s="72" t="n"/>
      <c r="G677" s="109" t="n"/>
      <c r="H677" s="72" t="n"/>
      <c r="I677" s="78">
        <f>IF(H677="","",HYPERLINK(H677,"Open ↗"))</f>
        <v/>
      </c>
      <c r="J677" s="72" t="n"/>
      <c r="L677" s="116">
        <f>IF('Contractors'!B677="","",'Contractors'!B677)</f>
        <v/>
      </c>
      <c r="M677" s="78">
        <f>IF(L677="","",'Contractors'!L677)</f>
        <v/>
      </c>
      <c r="N677" s="78">
        <f>IF(OR(L677="",M677&lt;&gt;"Yes"),"",IF(COUNTIFS('Vault'!$C$6:$C$1005,"Contract",'Vault'!$D$6:$D$1005,L677)&gt;0,"✓","✗ missing"))</f>
        <v/>
      </c>
      <c r="O677" s="78">
        <f>IF(OR(L677="",M677&lt;&gt;"Yes"),"",IF(COUNTIFS('Vault'!$C$6:$C$1005,"Insurance",'Vault'!$D$6:$D$1005,L677)&gt;0,"✓","✗ missing"))</f>
        <v/>
      </c>
      <c r="P677" s="78">
        <f>IF(OR(L677="",M677&lt;&gt;"Yes"),"",IF(COUNTIFS('Vault'!$C$6:$C$1005,"Quote",'Vault'!$D$6:$D$1005,L677)&gt;0,"✓","✗ missing"))</f>
        <v/>
      </c>
      <c r="Q677" s="78">
        <f>IF(N677="","",IF(AND(N677="✓",O677="✓",P677="✓"),"✓ Complete","Missing documents"))</f>
        <v/>
      </c>
      <c r="R677" s="79">
        <f>IF(Q677="","",IF(Q677="✓ Complete",0,1))</f>
        <v/>
      </c>
    </row>
    <row r="678" ht="20" customHeight="1">
      <c r="B678" s="72" t="n"/>
      <c r="C678" s="72" t="n"/>
      <c r="D678" s="72" t="n"/>
      <c r="E678" s="72" t="n"/>
      <c r="F678" s="72" t="n"/>
      <c r="G678" s="109" t="n"/>
      <c r="H678" s="72" t="n"/>
      <c r="I678" s="78">
        <f>IF(H678="","",HYPERLINK(H678,"Open ↗"))</f>
        <v/>
      </c>
      <c r="J678" s="72" t="n"/>
      <c r="L678" s="116">
        <f>IF('Contractors'!B678="","",'Contractors'!B678)</f>
        <v/>
      </c>
      <c r="M678" s="78">
        <f>IF(L678="","",'Contractors'!L678)</f>
        <v/>
      </c>
      <c r="N678" s="78">
        <f>IF(OR(L678="",M678&lt;&gt;"Yes"),"",IF(COUNTIFS('Vault'!$C$6:$C$1005,"Contract",'Vault'!$D$6:$D$1005,L678)&gt;0,"✓","✗ missing"))</f>
        <v/>
      </c>
      <c r="O678" s="78">
        <f>IF(OR(L678="",M678&lt;&gt;"Yes"),"",IF(COUNTIFS('Vault'!$C$6:$C$1005,"Insurance",'Vault'!$D$6:$D$1005,L678)&gt;0,"✓","✗ missing"))</f>
        <v/>
      </c>
      <c r="P678" s="78">
        <f>IF(OR(L678="",M678&lt;&gt;"Yes"),"",IF(COUNTIFS('Vault'!$C$6:$C$1005,"Quote",'Vault'!$D$6:$D$1005,L678)&gt;0,"✓","✗ missing"))</f>
        <v/>
      </c>
      <c r="Q678" s="78">
        <f>IF(N678="","",IF(AND(N678="✓",O678="✓",P678="✓"),"✓ Complete","Missing documents"))</f>
        <v/>
      </c>
      <c r="R678" s="79">
        <f>IF(Q678="","",IF(Q678="✓ Complete",0,1))</f>
        <v/>
      </c>
    </row>
    <row r="679" ht="20" customHeight="1">
      <c r="B679" s="72" t="n"/>
      <c r="C679" s="72" t="n"/>
      <c r="D679" s="72" t="n"/>
      <c r="E679" s="72" t="n"/>
      <c r="F679" s="72" t="n"/>
      <c r="G679" s="109" t="n"/>
      <c r="H679" s="72" t="n"/>
      <c r="I679" s="78">
        <f>IF(H679="","",HYPERLINK(H679,"Open ↗"))</f>
        <v/>
      </c>
      <c r="J679" s="72" t="n"/>
      <c r="L679" s="116">
        <f>IF('Contractors'!B679="","",'Contractors'!B679)</f>
        <v/>
      </c>
      <c r="M679" s="78">
        <f>IF(L679="","",'Contractors'!L679)</f>
        <v/>
      </c>
      <c r="N679" s="78">
        <f>IF(OR(L679="",M679&lt;&gt;"Yes"),"",IF(COUNTIFS('Vault'!$C$6:$C$1005,"Contract",'Vault'!$D$6:$D$1005,L679)&gt;0,"✓","✗ missing"))</f>
        <v/>
      </c>
      <c r="O679" s="78">
        <f>IF(OR(L679="",M679&lt;&gt;"Yes"),"",IF(COUNTIFS('Vault'!$C$6:$C$1005,"Insurance",'Vault'!$D$6:$D$1005,L679)&gt;0,"✓","✗ missing"))</f>
        <v/>
      </c>
      <c r="P679" s="78">
        <f>IF(OR(L679="",M679&lt;&gt;"Yes"),"",IF(COUNTIFS('Vault'!$C$6:$C$1005,"Quote",'Vault'!$D$6:$D$1005,L679)&gt;0,"✓","✗ missing"))</f>
        <v/>
      </c>
      <c r="Q679" s="78">
        <f>IF(N679="","",IF(AND(N679="✓",O679="✓",P679="✓"),"✓ Complete","Missing documents"))</f>
        <v/>
      </c>
      <c r="R679" s="79">
        <f>IF(Q679="","",IF(Q679="✓ Complete",0,1))</f>
        <v/>
      </c>
    </row>
    <row r="680" ht="20" customHeight="1">
      <c r="B680" s="72" t="n"/>
      <c r="C680" s="72" t="n"/>
      <c r="D680" s="72" t="n"/>
      <c r="E680" s="72" t="n"/>
      <c r="F680" s="72" t="n"/>
      <c r="G680" s="109" t="n"/>
      <c r="H680" s="72" t="n"/>
      <c r="I680" s="78">
        <f>IF(H680="","",HYPERLINK(H680,"Open ↗"))</f>
        <v/>
      </c>
      <c r="J680" s="72" t="n"/>
      <c r="L680" s="116">
        <f>IF('Contractors'!B680="","",'Contractors'!B680)</f>
        <v/>
      </c>
      <c r="M680" s="78">
        <f>IF(L680="","",'Contractors'!L680)</f>
        <v/>
      </c>
      <c r="N680" s="78">
        <f>IF(OR(L680="",M680&lt;&gt;"Yes"),"",IF(COUNTIFS('Vault'!$C$6:$C$1005,"Contract",'Vault'!$D$6:$D$1005,L680)&gt;0,"✓","✗ missing"))</f>
        <v/>
      </c>
      <c r="O680" s="78">
        <f>IF(OR(L680="",M680&lt;&gt;"Yes"),"",IF(COUNTIFS('Vault'!$C$6:$C$1005,"Insurance",'Vault'!$D$6:$D$1005,L680)&gt;0,"✓","✗ missing"))</f>
        <v/>
      </c>
      <c r="P680" s="78">
        <f>IF(OR(L680="",M680&lt;&gt;"Yes"),"",IF(COUNTIFS('Vault'!$C$6:$C$1005,"Quote",'Vault'!$D$6:$D$1005,L680)&gt;0,"✓","✗ missing"))</f>
        <v/>
      </c>
      <c r="Q680" s="78">
        <f>IF(N680="","",IF(AND(N680="✓",O680="✓",P680="✓"),"✓ Complete","Missing documents"))</f>
        <v/>
      </c>
      <c r="R680" s="79">
        <f>IF(Q680="","",IF(Q680="✓ Complete",0,1))</f>
        <v/>
      </c>
    </row>
    <row r="681" ht="20" customHeight="1">
      <c r="B681" s="72" t="n"/>
      <c r="C681" s="72" t="n"/>
      <c r="D681" s="72" t="n"/>
      <c r="E681" s="72" t="n"/>
      <c r="F681" s="72" t="n"/>
      <c r="G681" s="109" t="n"/>
      <c r="H681" s="72" t="n"/>
      <c r="I681" s="78">
        <f>IF(H681="","",HYPERLINK(H681,"Open ↗"))</f>
        <v/>
      </c>
      <c r="J681" s="72" t="n"/>
      <c r="L681" s="116">
        <f>IF('Contractors'!B681="","",'Contractors'!B681)</f>
        <v/>
      </c>
      <c r="M681" s="78">
        <f>IF(L681="","",'Contractors'!L681)</f>
        <v/>
      </c>
      <c r="N681" s="78">
        <f>IF(OR(L681="",M681&lt;&gt;"Yes"),"",IF(COUNTIFS('Vault'!$C$6:$C$1005,"Contract",'Vault'!$D$6:$D$1005,L681)&gt;0,"✓","✗ missing"))</f>
        <v/>
      </c>
      <c r="O681" s="78">
        <f>IF(OR(L681="",M681&lt;&gt;"Yes"),"",IF(COUNTIFS('Vault'!$C$6:$C$1005,"Insurance",'Vault'!$D$6:$D$1005,L681)&gt;0,"✓","✗ missing"))</f>
        <v/>
      </c>
      <c r="P681" s="78">
        <f>IF(OR(L681="",M681&lt;&gt;"Yes"),"",IF(COUNTIFS('Vault'!$C$6:$C$1005,"Quote",'Vault'!$D$6:$D$1005,L681)&gt;0,"✓","✗ missing"))</f>
        <v/>
      </c>
      <c r="Q681" s="78">
        <f>IF(N681="","",IF(AND(N681="✓",O681="✓",P681="✓"),"✓ Complete","Missing documents"))</f>
        <v/>
      </c>
      <c r="R681" s="79">
        <f>IF(Q681="","",IF(Q681="✓ Complete",0,1))</f>
        <v/>
      </c>
    </row>
    <row r="682" ht="20" customHeight="1">
      <c r="B682" s="72" t="n"/>
      <c r="C682" s="72" t="n"/>
      <c r="D682" s="72" t="n"/>
      <c r="E682" s="72" t="n"/>
      <c r="F682" s="72" t="n"/>
      <c r="G682" s="109" t="n"/>
      <c r="H682" s="72" t="n"/>
      <c r="I682" s="78">
        <f>IF(H682="","",HYPERLINK(H682,"Open ↗"))</f>
        <v/>
      </c>
      <c r="J682" s="72" t="n"/>
      <c r="L682" s="116">
        <f>IF('Contractors'!B682="","",'Contractors'!B682)</f>
        <v/>
      </c>
      <c r="M682" s="78">
        <f>IF(L682="","",'Contractors'!L682)</f>
        <v/>
      </c>
      <c r="N682" s="78">
        <f>IF(OR(L682="",M682&lt;&gt;"Yes"),"",IF(COUNTIFS('Vault'!$C$6:$C$1005,"Contract",'Vault'!$D$6:$D$1005,L682)&gt;0,"✓","✗ missing"))</f>
        <v/>
      </c>
      <c r="O682" s="78">
        <f>IF(OR(L682="",M682&lt;&gt;"Yes"),"",IF(COUNTIFS('Vault'!$C$6:$C$1005,"Insurance",'Vault'!$D$6:$D$1005,L682)&gt;0,"✓","✗ missing"))</f>
        <v/>
      </c>
      <c r="P682" s="78">
        <f>IF(OR(L682="",M682&lt;&gt;"Yes"),"",IF(COUNTIFS('Vault'!$C$6:$C$1005,"Quote",'Vault'!$D$6:$D$1005,L682)&gt;0,"✓","✗ missing"))</f>
        <v/>
      </c>
      <c r="Q682" s="78">
        <f>IF(N682="","",IF(AND(N682="✓",O682="✓",P682="✓"),"✓ Complete","Missing documents"))</f>
        <v/>
      </c>
      <c r="R682" s="79">
        <f>IF(Q682="","",IF(Q682="✓ Complete",0,1))</f>
        <v/>
      </c>
    </row>
    <row r="683" ht="20" customHeight="1">
      <c r="B683" s="72" t="n"/>
      <c r="C683" s="72" t="n"/>
      <c r="D683" s="72" t="n"/>
      <c r="E683" s="72" t="n"/>
      <c r="F683" s="72" t="n"/>
      <c r="G683" s="109" t="n"/>
      <c r="H683" s="72" t="n"/>
      <c r="I683" s="78">
        <f>IF(H683="","",HYPERLINK(H683,"Open ↗"))</f>
        <v/>
      </c>
      <c r="J683" s="72" t="n"/>
      <c r="L683" s="116">
        <f>IF('Contractors'!B683="","",'Contractors'!B683)</f>
        <v/>
      </c>
      <c r="M683" s="78">
        <f>IF(L683="","",'Contractors'!L683)</f>
        <v/>
      </c>
      <c r="N683" s="78">
        <f>IF(OR(L683="",M683&lt;&gt;"Yes"),"",IF(COUNTIFS('Vault'!$C$6:$C$1005,"Contract",'Vault'!$D$6:$D$1005,L683)&gt;0,"✓","✗ missing"))</f>
        <v/>
      </c>
      <c r="O683" s="78">
        <f>IF(OR(L683="",M683&lt;&gt;"Yes"),"",IF(COUNTIFS('Vault'!$C$6:$C$1005,"Insurance",'Vault'!$D$6:$D$1005,L683)&gt;0,"✓","✗ missing"))</f>
        <v/>
      </c>
      <c r="P683" s="78">
        <f>IF(OR(L683="",M683&lt;&gt;"Yes"),"",IF(COUNTIFS('Vault'!$C$6:$C$1005,"Quote",'Vault'!$D$6:$D$1005,L683)&gt;0,"✓","✗ missing"))</f>
        <v/>
      </c>
      <c r="Q683" s="78">
        <f>IF(N683="","",IF(AND(N683="✓",O683="✓",P683="✓"),"✓ Complete","Missing documents"))</f>
        <v/>
      </c>
      <c r="R683" s="79">
        <f>IF(Q683="","",IF(Q683="✓ Complete",0,1))</f>
        <v/>
      </c>
    </row>
    <row r="684" ht="20" customHeight="1">
      <c r="B684" s="72" t="n"/>
      <c r="C684" s="72" t="n"/>
      <c r="D684" s="72" t="n"/>
      <c r="E684" s="72" t="n"/>
      <c r="F684" s="72" t="n"/>
      <c r="G684" s="109" t="n"/>
      <c r="H684" s="72" t="n"/>
      <c r="I684" s="78">
        <f>IF(H684="","",HYPERLINK(H684,"Open ↗"))</f>
        <v/>
      </c>
      <c r="J684" s="72" t="n"/>
      <c r="L684" s="116">
        <f>IF('Contractors'!B684="","",'Contractors'!B684)</f>
        <v/>
      </c>
      <c r="M684" s="78">
        <f>IF(L684="","",'Contractors'!L684)</f>
        <v/>
      </c>
      <c r="N684" s="78">
        <f>IF(OR(L684="",M684&lt;&gt;"Yes"),"",IF(COUNTIFS('Vault'!$C$6:$C$1005,"Contract",'Vault'!$D$6:$D$1005,L684)&gt;0,"✓","✗ missing"))</f>
        <v/>
      </c>
      <c r="O684" s="78">
        <f>IF(OR(L684="",M684&lt;&gt;"Yes"),"",IF(COUNTIFS('Vault'!$C$6:$C$1005,"Insurance",'Vault'!$D$6:$D$1005,L684)&gt;0,"✓","✗ missing"))</f>
        <v/>
      </c>
      <c r="P684" s="78">
        <f>IF(OR(L684="",M684&lt;&gt;"Yes"),"",IF(COUNTIFS('Vault'!$C$6:$C$1005,"Quote",'Vault'!$D$6:$D$1005,L684)&gt;0,"✓","✗ missing"))</f>
        <v/>
      </c>
      <c r="Q684" s="78">
        <f>IF(N684="","",IF(AND(N684="✓",O684="✓",P684="✓"),"✓ Complete","Missing documents"))</f>
        <v/>
      </c>
      <c r="R684" s="79">
        <f>IF(Q684="","",IF(Q684="✓ Complete",0,1))</f>
        <v/>
      </c>
    </row>
    <row r="685" ht="20" customHeight="1">
      <c r="B685" s="72" t="n"/>
      <c r="C685" s="72" t="n"/>
      <c r="D685" s="72" t="n"/>
      <c r="E685" s="72" t="n"/>
      <c r="F685" s="72" t="n"/>
      <c r="G685" s="109" t="n"/>
      <c r="H685" s="72" t="n"/>
      <c r="I685" s="78">
        <f>IF(H685="","",HYPERLINK(H685,"Open ↗"))</f>
        <v/>
      </c>
      <c r="J685" s="72" t="n"/>
      <c r="L685" s="116">
        <f>IF('Contractors'!B685="","",'Contractors'!B685)</f>
        <v/>
      </c>
      <c r="M685" s="78">
        <f>IF(L685="","",'Contractors'!L685)</f>
        <v/>
      </c>
      <c r="N685" s="78">
        <f>IF(OR(L685="",M685&lt;&gt;"Yes"),"",IF(COUNTIFS('Vault'!$C$6:$C$1005,"Contract",'Vault'!$D$6:$D$1005,L685)&gt;0,"✓","✗ missing"))</f>
        <v/>
      </c>
      <c r="O685" s="78">
        <f>IF(OR(L685="",M685&lt;&gt;"Yes"),"",IF(COUNTIFS('Vault'!$C$6:$C$1005,"Insurance",'Vault'!$D$6:$D$1005,L685)&gt;0,"✓","✗ missing"))</f>
        <v/>
      </c>
      <c r="P685" s="78">
        <f>IF(OR(L685="",M685&lt;&gt;"Yes"),"",IF(COUNTIFS('Vault'!$C$6:$C$1005,"Quote",'Vault'!$D$6:$D$1005,L685)&gt;0,"✓","✗ missing"))</f>
        <v/>
      </c>
      <c r="Q685" s="78">
        <f>IF(N685="","",IF(AND(N685="✓",O685="✓",P685="✓"),"✓ Complete","Missing documents"))</f>
        <v/>
      </c>
      <c r="R685" s="79">
        <f>IF(Q685="","",IF(Q685="✓ Complete",0,1))</f>
        <v/>
      </c>
    </row>
    <row r="686" ht="20" customHeight="1">
      <c r="B686" s="72" t="n"/>
      <c r="C686" s="72" t="n"/>
      <c r="D686" s="72" t="n"/>
      <c r="E686" s="72" t="n"/>
      <c r="F686" s="72" t="n"/>
      <c r="G686" s="109" t="n"/>
      <c r="H686" s="72" t="n"/>
      <c r="I686" s="78">
        <f>IF(H686="","",HYPERLINK(H686,"Open ↗"))</f>
        <v/>
      </c>
      <c r="J686" s="72" t="n"/>
      <c r="L686" s="116">
        <f>IF('Contractors'!B686="","",'Contractors'!B686)</f>
        <v/>
      </c>
      <c r="M686" s="78">
        <f>IF(L686="","",'Contractors'!L686)</f>
        <v/>
      </c>
      <c r="N686" s="78">
        <f>IF(OR(L686="",M686&lt;&gt;"Yes"),"",IF(COUNTIFS('Vault'!$C$6:$C$1005,"Contract",'Vault'!$D$6:$D$1005,L686)&gt;0,"✓","✗ missing"))</f>
        <v/>
      </c>
      <c r="O686" s="78">
        <f>IF(OR(L686="",M686&lt;&gt;"Yes"),"",IF(COUNTIFS('Vault'!$C$6:$C$1005,"Insurance",'Vault'!$D$6:$D$1005,L686)&gt;0,"✓","✗ missing"))</f>
        <v/>
      </c>
      <c r="P686" s="78">
        <f>IF(OR(L686="",M686&lt;&gt;"Yes"),"",IF(COUNTIFS('Vault'!$C$6:$C$1005,"Quote",'Vault'!$D$6:$D$1005,L686)&gt;0,"✓","✗ missing"))</f>
        <v/>
      </c>
      <c r="Q686" s="78">
        <f>IF(N686="","",IF(AND(N686="✓",O686="✓",P686="✓"),"✓ Complete","Missing documents"))</f>
        <v/>
      </c>
      <c r="R686" s="79">
        <f>IF(Q686="","",IF(Q686="✓ Complete",0,1))</f>
        <v/>
      </c>
    </row>
    <row r="687" ht="20" customHeight="1">
      <c r="B687" s="72" t="n"/>
      <c r="C687" s="72" t="n"/>
      <c r="D687" s="72" t="n"/>
      <c r="E687" s="72" t="n"/>
      <c r="F687" s="72" t="n"/>
      <c r="G687" s="109" t="n"/>
      <c r="H687" s="72" t="n"/>
      <c r="I687" s="78">
        <f>IF(H687="","",HYPERLINK(H687,"Open ↗"))</f>
        <v/>
      </c>
      <c r="J687" s="72" t="n"/>
      <c r="L687" s="116">
        <f>IF('Contractors'!B687="","",'Contractors'!B687)</f>
        <v/>
      </c>
      <c r="M687" s="78">
        <f>IF(L687="","",'Contractors'!L687)</f>
        <v/>
      </c>
      <c r="N687" s="78">
        <f>IF(OR(L687="",M687&lt;&gt;"Yes"),"",IF(COUNTIFS('Vault'!$C$6:$C$1005,"Contract",'Vault'!$D$6:$D$1005,L687)&gt;0,"✓","✗ missing"))</f>
        <v/>
      </c>
      <c r="O687" s="78">
        <f>IF(OR(L687="",M687&lt;&gt;"Yes"),"",IF(COUNTIFS('Vault'!$C$6:$C$1005,"Insurance",'Vault'!$D$6:$D$1005,L687)&gt;0,"✓","✗ missing"))</f>
        <v/>
      </c>
      <c r="P687" s="78">
        <f>IF(OR(L687="",M687&lt;&gt;"Yes"),"",IF(COUNTIFS('Vault'!$C$6:$C$1005,"Quote",'Vault'!$D$6:$D$1005,L687)&gt;0,"✓","✗ missing"))</f>
        <v/>
      </c>
      <c r="Q687" s="78">
        <f>IF(N687="","",IF(AND(N687="✓",O687="✓",P687="✓"),"✓ Complete","Missing documents"))</f>
        <v/>
      </c>
      <c r="R687" s="79">
        <f>IF(Q687="","",IF(Q687="✓ Complete",0,1))</f>
        <v/>
      </c>
    </row>
    <row r="688" ht="20" customHeight="1">
      <c r="B688" s="72" t="n"/>
      <c r="C688" s="72" t="n"/>
      <c r="D688" s="72" t="n"/>
      <c r="E688" s="72" t="n"/>
      <c r="F688" s="72" t="n"/>
      <c r="G688" s="109" t="n"/>
      <c r="H688" s="72" t="n"/>
      <c r="I688" s="78">
        <f>IF(H688="","",HYPERLINK(H688,"Open ↗"))</f>
        <v/>
      </c>
      <c r="J688" s="72" t="n"/>
      <c r="L688" s="116">
        <f>IF('Contractors'!B688="","",'Contractors'!B688)</f>
        <v/>
      </c>
      <c r="M688" s="78">
        <f>IF(L688="","",'Contractors'!L688)</f>
        <v/>
      </c>
      <c r="N688" s="78">
        <f>IF(OR(L688="",M688&lt;&gt;"Yes"),"",IF(COUNTIFS('Vault'!$C$6:$C$1005,"Contract",'Vault'!$D$6:$D$1005,L688)&gt;0,"✓","✗ missing"))</f>
        <v/>
      </c>
      <c r="O688" s="78">
        <f>IF(OR(L688="",M688&lt;&gt;"Yes"),"",IF(COUNTIFS('Vault'!$C$6:$C$1005,"Insurance",'Vault'!$D$6:$D$1005,L688)&gt;0,"✓","✗ missing"))</f>
        <v/>
      </c>
      <c r="P688" s="78">
        <f>IF(OR(L688="",M688&lt;&gt;"Yes"),"",IF(COUNTIFS('Vault'!$C$6:$C$1005,"Quote",'Vault'!$D$6:$D$1005,L688)&gt;0,"✓","✗ missing"))</f>
        <v/>
      </c>
      <c r="Q688" s="78">
        <f>IF(N688="","",IF(AND(N688="✓",O688="✓",P688="✓"),"✓ Complete","Missing documents"))</f>
        <v/>
      </c>
      <c r="R688" s="79">
        <f>IF(Q688="","",IF(Q688="✓ Complete",0,1))</f>
        <v/>
      </c>
    </row>
    <row r="689" ht="20" customHeight="1">
      <c r="B689" s="72" t="n"/>
      <c r="C689" s="72" t="n"/>
      <c r="D689" s="72" t="n"/>
      <c r="E689" s="72" t="n"/>
      <c r="F689" s="72" t="n"/>
      <c r="G689" s="109" t="n"/>
      <c r="H689" s="72" t="n"/>
      <c r="I689" s="78">
        <f>IF(H689="","",HYPERLINK(H689,"Open ↗"))</f>
        <v/>
      </c>
      <c r="J689" s="72" t="n"/>
      <c r="L689" s="116">
        <f>IF('Contractors'!B689="","",'Contractors'!B689)</f>
        <v/>
      </c>
      <c r="M689" s="78">
        <f>IF(L689="","",'Contractors'!L689)</f>
        <v/>
      </c>
      <c r="N689" s="78">
        <f>IF(OR(L689="",M689&lt;&gt;"Yes"),"",IF(COUNTIFS('Vault'!$C$6:$C$1005,"Contract",'Vault'!$D$6:$D$1005,L689)&gt;0,"✓","✗ missing"))</f>
        <v/>
      </c>
      <c r="O689" s="78">
        <f>IF(OR(L689="",M689&lt;&gt;"Yes"),"",IF(COUNTIFS('Vault'!$C$6:$C$1005,"Insurance",'Vault'!$D$6:$D$1005,L689)&gt;0,"✓","✗ missing"))</f>
        <v/>
      </c>
      <c r="P689" s="78">
        <f>IF(OR(L689="",M689&lt;&gt;"Yes"),"",IF(COUNTIFS('Vault'!$C$6:$C$1005,"Quote",'Vault'!$D$6:$D$1005,L689)&gt;0,"✓","✗ missing"))</f>
        <v/>
      </c>
      <c r="Q689" s="78">
        <f>IF(N689="","",IF(AND(N689="✓",O689="✓",P689="✓"),"✓ Complete","Missing documents"))</f>
        <v/>
      </c>
      <c r="R689" s="79">
        <f>IF(Q689="","",IF(Q689="✓ Complete",0,1))</f>
        <v/>
      </c>
    </row>
    <row r="690" ht="20" customHeight="1">
      <c r="B690" s="72" t="n"/>
      <c r="C690" s="72" t="n"/>
      <c r="D690" s="72" t="n"/>
      <c r="E690" s="72" t="n"/>
      <c r="F690" s="72" t="n"/>
      <c r="G690" s="109" t="n"/>
      <c r="H690" s="72" t="n"/>
      <c r="I690" s="78">
        <f>IF(H690="","",HYPERLINK(H690,"Open ↗"))</f>
        <v/>
      </c>
      <c r="J690" s="72" t="n"/>
      <c r="L690" s="116">
        <f>IF('Contractors'!B690="","",'Contractors'!B690)</f>
        <v/>
      </c>
      <c r="M690" s="78">
        <f>IF(L690="","",'Contractors'!L690)</f>
        <v/>
      </c>
      <c r="N690" s="78">
        <f>IF(OR(L690="",M690&lt;&gt;"Yes"),"",IF(COUNTIFS('Vault'!$C$6:$C$1005,"Contract",'Vault'!$D$6:$D$1005,L690)&gt;0,"✓","✗ missing"))</f>
        <v/>
      </c>
      <c r="O690" s="78">
        <f>IF(OR(L690="",M690&lt;&gt;"Yes"),"",IF(COUNTIFS('Vault'!$C$6:$C$1005,"Insurance",'Vault'!$D$6:$D$1005,L690)&gt;0,"✓","✗ missing"))</f>
        <v/>
      </c>
      <c r="P690" s="78">
        <f>IF(OR(L690="",M690&lt;&gt;"Yes"),"",IF(COUNTIFS('Vault'!$C$6:$C$1005,"Quote",'Vault'!$D$6:$D$1005,L690)&gt;0,"✓","✗ missing"))</f>
        <v/>
      </c>
      <c r="Q690" s="78">
        <f>IF(N690="","",IF(AND(N690="✓",O690="✓",P690="✓"),"✓ Complete","Missing documents"))</f>
        <v/>
      </c>
      <c r="R690" s="79">
        <f>IF(Q690="","",IF(Q690="✓ Complete",0,1))</f>
        <v/>
      </c>
    </row>
    <row r="691" ht="20" customHeight="1">
      <c r="B691" s="72" t="n"/>
      <c r="C691" s="72" t="n"/>
      <c r="D691" s="72" t="n"/>
      <c r="E691" s="72" t="n"/>
      <c r="F691" s="72" t="n"/>
      <c r="G691" s="109" t="n"/>
      <c r="H691" s="72" t="n"/>
      <c r="I691" s="78">
        <f>IF(H691="","",HYPERLINK(H691,"Open ↗"))</f>
        <v/>
      </c>
      <c r="J691" s="72" t="n"/>
      <c r="L691" s="116">
        <f>IF('Contractors'!B691="","",'Contractors'!B691)</f>
        <v/>
      </c>
      <c r="M691" s="78">
        <f>IF(L691="","",'Contractors'!L691)</f>
        <v/>
      </c>
      <c r="N691" s="78">
        <f>IF(OR(L691="",M691&lt;&gt;"Yes"),"",IF(COUNTIFS('Vault'!$C$6:$C$1005,"Contract",'Vault'!$D$6:$D$1005,L691)&gt;0,"✓","✗ missing"))</f>
        <v/>
      </c>
      <c r="O691" s="78">
        <f>IF(OR(L691="",M691&lt;&gt;"Yes"),"",IF(COUNTIFS('Vault'!$C$6:$C$1005,"Insurance",'Vault'!$D$6:$D$1005,L691)&gt;0,"✓","✗ missing"))</f>
        <v/>
      </c>
      <c r="P691" s="78">
        <f>IF(OR(L691="",M691&lt;&gt;"Yes"),"",IF(COUNTIFS('Vault'!$C$6:$C$1005,"Quote",'Vault'!$D$6:$D$1005,L691)&gt;0,"✓","✗ missing"))</f>
        <v/>
      </c>
      <c r="Q691" s="78">
        <f>IF(N691="","",IF(AND(N691="✓",O691="✓",P691="✓"),"✓ Complete","Missing documents"))</f>
        <v/>
      </c>
      <c r="R691" s="79">
        <f>IF(Q691="","",IF(Q691="✓ Complete",0,1))</f>
        <v/>
      </c>
    </row>
    <row r="692" ht="20" customHeight="1">
      <c r="B692" s="72" t="n"/>
      <c r="C692" s="72" t="n"/>
      <c r="D692" s="72" t="n"/>
      <c r="E692" s="72" t="n"/>
      <c r="F692" s="72" t="n"/>
      <c r="G692" s="109" t="n"/>
      <c r="H692" s="72" t="n"/>
      <c r="I692" s="78">
        <f>IF(H692="","",HYPERLINK(H692,"Open ↗"))</f>
        <v/>
      </c>
      <c r="J692" s="72" t="n"/>
      <c r="L692" s="116">
        <f>IF('Contractors'!B692="","",'Contractors'!B692)</f>
        <v/>
      </c>
      <c r="M692" s="78">
        <f>IF(L692="","",'Contractors'!L692)</f>
        <v/>
      </c>
      <c r="N692" s="78">
        <f>IF(OR(L692="",M692&lt;&gt;"Yes"),"",IF(COUNTIFS('Vault'!$C$6:$C$1005,"Contract",'Vault'!$D$6:$D$1005,L692)&gt;0,"✓","✗ missing"))</f>
        <v/>
      </c>
      <c r="O692" s="78">
        <f>IF(OR(L692="",M692&lt;&gt;"Yes"),"",IF(COUNTIFS('Vault'!$C$6:$C$1005,"Insurance",'Vault'!$D$6:$D$1005,L692)&gt;0,"✓","✗ missing"))</f>
        <v/>
      </c>
      <c r="P692" s="78">
        <f>IF(OR(L692="",M692&lt;&gt;"Yes"),"",IF(COUNTIFS('Vault'!$C$6:$C$1005,"Quote",'Vault'!$D$6:$D$1005,L692)&gt;0,"✓","✗ missing"))</f>
        <v/>
      </c>
      <c r="Q692" s="78">
        <f>IF(N692="","",IF(AND(N692="✓",O692="✓",P692="✓"),"✓ Complete","Missing documents"))</f>
        <v/>
      </c>
      <c r="R692" s="79">
        <f>IF(Q692="","",IF(Q692="✓ Complete",0,1))</f>
        <v/>
      </c>
    </row>
    <row r="693" ht="20" customHeight="1">
      <c r="B693" s="72" t="n"/>
      <c r="C693" s="72" t="n"/>
      <c r="D693" s="72" t="n"/>
      <c r="E693" s="72" t="n"/>
      <c r="F693" s="72" t="n"/>
      <c r="G693" s="109" t="n"/>
      <c r="H693" s="72" t="n"/>
      <c r="I693" s="78">
        <f>IF(H693="","",HYPERLINK(H693,"Open ↗"))</f>
        <v/>
      </c>
      <c r="J693" s="72" t="n"/>
      <c r="L693" s="116">
        <f>IF('Contractors'!B693="","",'Contractors'!B693)</f>
        <v/>
      </c>
      <c r="M693" s="78">
        <f>IF(L693="","",'Contractors'!L693)</f>
        <v/>
      </c>
      <c r="N693" s="78">
        <f>IF(OR(L693="",M693&lt;&gt;"Yes"),"",IF(COUNTIFS('Vault'!$C$6:$C$1005,"Contract",'Vault'!$D$6:$D$1005,L693)&gt;0,"✓","✗ missing"))</f>
        <v/>
      </c>
      <c r="O693" s="78">
        <f>IF(OR(L693="",M693&lt;&gt;"Yes"),"",IF(COUNTIFS('Vault'!$C$6:$C$1005,"Insurance",'Vault'!$D$6:$D$1005,L693)&gt;0,"✓","✗ missing"))</f>
        <v/>
      </c>
      <c r="P693" s="78">
        <f>IF(OR(L693="",M693&lt;&gt;"Yes"),"",IF(COUNTIFS('Vault'!$C$6:$C$1005,"Quote",'Vault'!$D$6:$D$1005,L693)&gt;0,"✓","✗ missing"))</f>
        <v/>
      </c>
      <c r="Q693" s="78">
        <f>IF(N693="","",IF(AND(N693="✓",O693="✓",P693="✓"),"✓ Complete","Missing documents"))</f>
        <v/>
      </c>
      <c r="R693" s="79">
        <f>IF(Q693="","",IF(Q693="✓ Complete",0,1))</f>
        <v/>
      </c>
    </row>
    <row r="694" ht="20" customHeight="1">
      <c r="B694" s="72" t="n"/>
      <c r="C694" s="72" t="n"/>
      <c r="D694" s="72" t="n"/>
      <c r="E694" s="72" t="n"/>
      <c r="F694" s="72" t="n"/>
      <c r="G694" s="109" t="n"/>
      <c r="H694" s="72" t="n"/>
      <c r="I694" s="78">
        <f>IF(H694="","",HYPERLINK(H694,"Open ↗"))</f>
        <v/>
      </c>
      <c r="J694" s="72" t="n"/>
      <c r="L694" s="116">
        <f>IF('Contractors'!B694="","",'Contractors'!B694)</f>
        <v/>
      </c>
      <c r="M694" s="78">
        <f>IF(L694="","",'Contractors'!L694)</f>
        <v/>
      </c>
      <c r="N694" s="78">
        <f>IF(OR(L694="",M694&lt;&gt;"Yes"),"",IF(COUNTIFS('Vault'!$C$6:$C$1005,"Contract",'Vault'!$D$6:$D$1005,L694)&gt;0,"✓","✗ missing"))</f>
        <v/>
      </c>
      <c r="O694" s="78">
        <f>IF(OR(L694="",M694&lt;&gt;"Yes"),"",IF(COUNTIFS('Vault'!$C$6:$C$1005,"Insurance",'Vault'!$D$6:$D$1005,L694)&gt;0,"✓","✗ missing"))</f>
        <v/>
      </c>
      <c r="P694" s="78">
        <f>IF(OR(L694="",M694&lt;&gt;"Yes"),"",IF(COUNTIFS('Vault'!$C$6:$C$1005,"Quote",'Vault'!$D$6:$D$1005,L694)&gt;0,"✓","✗ missing"))</f>
        <v/>
      </c>
      <c r="Q694" s="78">
        <f>IF(N694="","",IF(AND(N694="✓",O694="✓",P694="✓"),"✓ Complete","Missing documents"))</f>
        <v/>
      </c>
      <c r="R694" s="79">
        <f>IF(Q694="","",IF(Q694="✓ Complete",0,1))</f>
        <v/>
      </c>
    </row>
    <row r="695" ht="20" customHeight="1">
      <c r="B695" s="72" t="n"/>
      <c r="C695" s="72" t="n"/>
      <c r="D695" s="72" t="n"/>
      <c r="E695" s="72" t="n"/>
      <c r="F695" s="72" t="n"/>
      <c r="G695" s="109" t="n"/>
      <c r="H695" s="72" t="n"/>
      <c r="I695" s="78">
        <f>IF(H695="","",HYPERLINK(H695,"Open ↗"))</f>
        <v/>
      </c>
      <c r="J695" s="72" t="n"/>
      <c r="L695" s="116">
        <f>IF('Contractors'!B695="","",'Contractors'!B695)</f>
        <v/>
      </c>
      <c r="M695" s="78">
        <f>IF(L695="","",'Contractors'!L695)</f>
        <v/>
      </c>
      <c r="N695" s="78">
        <f>IF(OR(L695="",M695&lt;&gt;"Yes"),"",IF(COUNTIFS('Vault'!$C$6:$C$1005,"Contract",'Vault'!$D$6:$D$1005,L695)&gt;0,"✓","✗ missing"))</f>
        <v/>
      </c>
      <c r="O695" s="78">
        <f>IF(OR(L695="",M695&lt;&gt;"Yes"),"",IF(COUNTIFS('Vault'!$C$6:$C$1005,"Insurance",'Vault'!$D$6:$D$1005,L695)&gt;0,"✓","✗ missing"))</f>
        <v/>
      </c>
      <c r="P695" s="78">
        <f>IF(OR(L695="",M695&lt;&gt;"Yes"),"",IF(COUNTIFS('Vault'!$C$6:$C$1005,"Quote",'Vault'!$D$6:$D$1005,L695)&gt;0,"✓","✗ missing"))</f>
        <v/>
      </c>
      <c r="Q695" s="78">
        <f>IF(N695="","",IF(AND(N695="✓",O695="✓",P695="✓"),"✓ Complete","Missing documents"))</f>
        <v/>
      </c>
      <c r="R695" s="79">
        <f>IF(Q695="","",IF(Q695="✓ Complete",0,1))</f>
        <v/>
      </c>
    </row>
    <row r="696" ht="20" customHeight="1">
      <c r="B696" s="72" t="n"/>
      <c r="C696" s="72" t="n"/>
      <c r="D696" s="72" t="n"/>
      <c r="E696" s="72" t="n"/>
      <c r="F696" s="72" t="n"/>
      <c r="G696" s="109" t="n"/>
      <c r="H696" s="72" t="n"/>
      <c r="I696" s="78">
        <f>IF(H696="","",HYPERLINK(H696,"Open ↗"))</f>
        <v/>
      </c>
      <c r="J696" s="72" t="n"/>
      <c r="L696" s="116">
        <f>IF('Contractors'!B696="","",'Contractors'!B696)</f>
        <v/>
      </c>
      <c r="M696" s="78">
        <f>IF(L696="","",'Contractors'!L696)</f>
        <v/>
      </c>
      <c r="N696" s="78">
        <f>IF(OR(L696="",M696&lt;&gt;"Yes"),"",IF(COUNTIFS('Vault'!$C$6:$C$1005,"Contract",'Vault'!$D$6:$D$1005,L696)&gt;0,"✓","✗ missing"))</f>
        <v/>
      </c>
      <c r="O696" s="78">
        <f>IF(OR(L696="",M696&lt;&gt;"Yes"),"",IF(COUNTIFS('Vault'!$C$6:$C$1005,"Insurance",'Vault'!$D$6:$D$1005,L696)&gt;0,"✓","✗ missing"))</f>
        <v/>
      </c>
      <c r="P696" s="78">
        <f>IF(OR(L696="",M696&lt;&gt;"Yes"),"",IF(COUNTIFS('Vault'!$C$6:$C$1005,"Quote",'Vault'!$D$6:$D$1005,L696)&gt;0,"✓","✗ missing"))</f>
        <v/>
      </c>
      <c r="Q696" s="78">
        <f>IF(N696="","",IF(AND(N696="✓",O696="✓",P696="✓"),"✓ Complete","Missing documents"))</f>
        <v/>
      </c>
      <c r="R696" s="79">
        <f>IF(Q696="","",IF(Q696="✓ Complete",0,1))</f>
        <v/>
      </c>
    </row>
    <row r="697" ht="20" customHeight="1">
      <c r="B697" s="72" t="n"/>
      <c r="C697" s="72" t="n"/>
      <c r="D697" s="72" t="n"/>
      <c r="E697" s="72" t="n"/>
      <c r="F697" s="72" t="n"/>
      <c r="G697" s="109" t="n"/>
      <c r="H697" s="72" t="n"/>
      <c r="I697" s="78">
        <f>IF(H697="","",HYPERLINK(H697,"Open ↗"))</f>
        <v/>
      </c>
      <c r="J697" s="72" t="n"/>
      <c r="L697" s="116">
        <f>IF('Contractors'!B697="","",'Contractors'!B697)</f>
        <v/>
      </c>
      <c r="M697" s="78">
        <f>IF(L697="","",'Contractors'!L697)</f>
        <v/>
      </c>
      <c r="N697" s="78">
        <f>IF(OR(L697="",M697&lt;&gt;"Yes"),"",IF(COUNTIFS('Vault'!$C$6:$C$1005,"Contract",'Vault'!$D$6:$D$1005,L697)&gt;0,"✓","✗ missing"))</f>
        <v/>
      </c>
      <c r="O697" s="78">
        <f>IF(OR(L697="",M697&lt;&gt;"Yes"),"",IF(COUNTIFS('Vault'!$C$6:$C$1005,"Insurance",'Vault'!$D$6:$D$1005,L697)&gt;0,"✓","✗ missing"))</f>
        <v/>
      </c>
      <c r="P697" s="78">
        <f>IF(OR(L697="",M697&lt;&gt;"Yes"),"",IF(COUNTIFS('Vault'!$C$6:$C$1005,"Quote",'Vault'!$D$6:$D$1005,L697)&gt;0,"✓","✗ missing"))</f>
        <v/>
      </c>
      <c r="Q697" s="78">
        <f>IF(N697="","",IF(AND(N697="✓",O697="✓",P697="✓"),"✓ Complete","Missing documents"))</f>
        <v/>
      </c>
      <c r="R697" s="79">
        <f>IF(Q697="","",IF(Q697="✓ Complete",0,1))</f>
        <v/>
      </c>
    </row>
    <row r="698" ht="20" customHeight="1">
      <c r="B698" s="72" t="n"/>
      <c r="C698" s="72" t="n"/>
      <c r="D698" s="72" t="n"/>
      <c r="E698" s="72" t="n"/>
      <c r="F698" s="72" t="n"/>
      <c r="G698" s="109" t="n"/>
      <c r="H698" s="72" t="n"/>
      <c r="I698" s="78">
        <f>IF(H698="","",HYPERLINK(H698,"Open ↗"))</f>
        <v/>
      </c>
      <c r="J698" s="72" t="n"/>
      <c r="L698" s="116">
        <f>IF('Contractors'!B698="","",'Contractors'!B698)</f>
        <v/>
      </c>
      <c r="M698" s="78">
        <f>IF(L698="","",'Contractors'!L698)</f>
        <v/>
      </c>
      <c r="N698" s="78">
        <f>IF(OR(L698="",M698&lt;&gt;"Yes"),"",IF(COUNTIFS('Vault'!$C$6:$C$1005,"Contract",'Vault'!$D$6:$D$1005,L698)&gt;0,"✓","✗ missing"))</f>
        <v/>
      </c>
      <c r="O698" s="78">
        <f>IF(OR(L698="",M698&lt;&gt;"Yes"),"",IF(COUNTIFS('Vault'!$C$6:$C$1005,"Insurance",'Vault'!$D$6:$D$1005,L698)&gt;0,"✓","✗ missing"))</f>
        <v/>
      </c>
      <c r="P698" s="78">
        <f>IF(OR(L698="",M698&lt;&gt;"Yes"),"",IF(COUNTIFS('Vault'!$C$6:$C$1005,"Quote",'Vault'!$D$6:$D$1005,L698)&gt;0,"✓","✗ missing"))</f>
        <v/>
      </c>
      <c r="Q698" s="78">
        <f>IF(N698="","",IF(AND(N698="✓",O698="✓",P698="✓"),"✓ Complete","Missing documents"))</f>
        <v/>
      </c>
      <c r="R698" s="79">
        <f>IF(Q698="","",IF(Q698="✓ Complete",0,1))</f>
        <v/>
      </c>
    </row>
    <row r="699" ht="20" customHeight="1">
      <c r="B699" s="72" t="n"/>
      <c r="C699" s="72" t="n"/>
      <c r="D699" s="72" t="n"/>
      <c r="E699" s="72" t="n"/>
      <c r="F699" s="72" t="n"/>
      <c r="G699" s="109" t="n"/>
      <c r="H699" s="72" t="n"/>
      <c r="I699" s="78">
        <f>IF(H699="","",HYPERLINK(H699,"Open ↗"))</f>
        <v/>
      </c>
      <c r="J699" s="72" t="n"/>
      <c r="L699" s="116">
        <f>IF('Contractors'!B699="","",'Contractors'!B699)</f>
        <v/>
      </c>
      <c r="M699" s="78">
        <f>IF(L699="","",'Contractors'!L699)</f>
        <v/>
      </c>
      <c r="N699" s="78">
        <f>IF(OR(L699="",M699&lt;&gt;"Yes"),"",IF(COUNTIFS('Vault'!$C$6:$C$1005,"Contract",'Vault'!$D$6:$D$1005,L699)&gt;0,"✓","✗ missing"))</f>
        <v/>
      </c>
      <c r="O699" s="78">
        <f>IF(OR(L699="",M699&lt;&gt;"Yes"),"",IF(COUNTIFS('Vault'!$C$6:$C$1005,"Insurance",'Vault'!$D$6:$D$1005,L699)&gt;0,"✓","✗ missing"))</f>
        <v/>
      </c>
      <c r="P699" s="78">
        <f>IF(OR(L699="",M699&lt;&gt;"Yes"),"",IF(COUNTIFS('Vault'!$C$6:$C$1005,"Quote",'Vault'!$D$6:$D$1005,L699)&gt;0,"✓","✗ missing"))</f>
        <v/>
      </c>
      <c r="Q699" s="78">
        <f>IF(N699="","",IF(AND(N699="✓",O699="✓",P699="✓"),"✓ Complete","Missing documents"))</f>
        <v/>
      </c>
      <c r="R699" s="79">
        <f>IF(Q699="","",IF(Q699="✓ Complete",0,1))</f>
        <v/>
      </c>
    </row>
    <row r="700" ht="20" customHeight="1">
      <c r="B700" s="72" t="n"/>
      <c r="C700" s="72" t="n"/>
      <c r="D700" s="72" t="n"/>
      <c r="E700" s="72" t="n"/>
      <c r="F700" s="72" t="n"/>
      <c r="G700" s="109" t="n"/>
      <c r="H700" s="72" t="n"/>
      <c r="I700" s="78">
        <f>IF(H700="","",HYPERLINK(H700,"Open ↗"))</f>
        <v/>
      </c>
      <c r="J700" s="72" t="n"/>
      <c r="L700" s="116">
        <f>IF('Contractors'!B700="","",'Contractors'!B700)</f>
        <v/>
      </c>
      <c r="M700" s="78">
        <f>IF(L700="","",'Contractors'!L700)</f>
        <v/>
      </c>
      <c r="N700" s="78">
        <f>IF(OR(L700="",M700&lt;&gt;"Yes"),"",IF(COUNTIFS('Vault'!$C$6:$C$1005,"Contract",'Vault'!$D$6:$D$1005,L700)&gt;0,"✓","✗ missing"))</f>
        <v/>
      </c>
      <c r="O700" s="78">
        <f>IF(OR(L700="",M700&lt;&gt;"Yes"),"",IF(COUNTIFS('Vault'!$C$6:$C$1005,"Insurance",'Vault'!$D$6:$D$1005,L700)&gt;0,"✓","✗ missing"))</f>
        <v/>
      </c>
      <c r="P700" s="78">
        <f>IF(OR(L700="",M700&lt;&gt;"Yes"),"",IF(COUNTIFS('Vault'!$C$6:$C$1005,"Quote",'Vault'!$D$6:$D$1005,L700)&gt;0,"✓","✗ missing"))</f>
        <v/>
      </c>
      <c r="Q700" s="78">
        <f>IF(N700="","",IF(AND(N700="✓",O700="✓",P700="✓"),"✓ Complete","Missing documents"))</f>
        <v/>
      </c>
      <c r="R700" s="79">
        <f>IF(Q700="","",IF(Q700="✓ Complete",0,1))</f>
        <v/>
      </c>
    </row>
    <row r="701" ht="20" customHeight="1">
      <c r="B701" s="72" t="n"/>
      <c r="C701" s="72" t="n"/>
      <c r="D701" s="72" t="n"/>
      <c r="E701" s="72" t="n"/>
      <c r="F701" s="72" t="n"/>
      <c r="G701" s="109" t="n"/>
      <c r="H701" s="72" t="n"/>
      <c r="I701" s="78">
        <f>IF(H701="","",HYPERLINK(H701,"Open ↗"))</f>
        <v/>
      </c>
      <c r="J701" s="72" t="n"/>
      <c r="L701" s="116">
        <f>IF('Contractors'!B701="","",'Contractors'!B701)</f>
        <v/>
      </c>
      <c r="M701" s="78">
        <f>IF(L701="","",'Contractors'!L701)</f>
        <v/>
      </c>
      <c r="N701" s="78">
        <f>IF(OR(L701="",M701&lt;&gt;"Yes"),"",IF(COUNTIFS('Vault'!$C$6:$C$1005,"Contract",'Vault'!$D$6:$D$1005,L701)&gt;0,"✓","✗ missing"))</f>
        <v/>
      </c>
      <c r="O701" s="78">
        <f>IF(OR(L701="",M701&lt;&gt;"Yes"),"",IF(COUNTIFS('Vault'!$C$6:$C$1005,"Insurance",'Vault'!$D$6:$D$1005,L701)&gt;0,"✓","✗ missing"))</f>
        <v/>
      </c>
      <c r="P701" s="78">
        <f>IF(OR(L701="",M701&lt;&gt;"Yes"),"",IF(COUNTIFS('Vault'!$C$6:$C$1005,"Quote",'Vault'!$D$6:$D$1005,L701)&gt;0,"✓","✗ missing"))</f>
        <v/>
      </c>
      <c r="Q701" s="78">
        <f>IF(N701="","",IF(AND(N701="✓",O701="✓",P701="✓"),"✓ Complete","Missing documents"))</f>
        <v/>
      </c>
      <c r="R701" s="79">
        <f>IF(Q701="","",IF(Q701="✓ Complete",0,1))</f>
        <v/>
      </c>
    </row>
    <row r="702" ht="20" customHeight="1">
      <c r="B702" s="72" t="n"/>
      <c r="C702" s="72" t="n"/>
      <c r="D702" s="72" t="n"/>
      <c r="E702" s="72" t="n"/>
      <c r="F702" s="72" t="n"/>
      <c r="G702" s="109" t="n"/>
      <c r="H702" s="72" t="n"/>
      <c r="I702" s="78">
        <f>IF(H702="","",HYPERLINK(H702,"Open ↗"))</f>
        <v/>
      </c>
      <c r="J702" s="72" t="n"/>
      <c r="L702" s="116">
        <f>IF('Contractors'!B702="","",'Contractors'!B702)</f>
        <v/>
      </c>
      <c r="M702" s="78">
        <f>IF(L702="","",'Contractors'!L702)</f>
        <v/>
      </c>
      <c r="N702" s="78">
        <f>IF(OR(L702="",M702&lt;&gt;"Yes"),"",IF(COUNTIFS('Vault'!$C$6:$C$1005,"Contract",'Vault'!$D$6:$D$1005,L702)&gt;0,"✓","✗ missing"))</f>
        <v/>
      </c>
      <c r="O702" s="78">
        <f>IF(OR(L702="",M702&lt;&gt;"Yes"),"",IF(COUNTIFS('Vault'!$C$6:$C$1005,"Insurance",'Vault'!$D$6:$D$1005,L702)&gt;0,"✓","✗ missing"))</f>
        <v/>
      </c>
      <c r="P702" s="78">
        <f>IF(OR(L702="",M702&lt;&gt;"Yes"),"",IF(COUNTIFS('Vault'!$C$6:$C$1005,"Quote",'Vault'!$D$6:$D$1005,L702)&gt;0,"✓","✗ missing"))</f>
        <v/>
      </c>
      <c r="Q702" s="78">
        <f>IF(N702="","",IF(AND(N702="✓",O702="✓",P702="✓"),"✓ Complete","Missing documents"))</f>
        <v/>
      </c>
      <c r="R702" s="79">
        <f>IF(Q702="","",IF(Q702="✓ Complete",0,1))</f>
        <v/>
      </c>
    </row>
    <row r="703" ht="20" customHeight="1">
      <c r="B703" s="72" t="n"/>
      <c r="C703" s="72" t="n"/>
      <c r="D703" s="72" t="n"/>
      <c r="E703" s="72" t="n"/>
      <c r="F703" s="72" t="n"/>
      <c r="G703" s="109" t="n"/>
      <c r="H703" s="72" t="n"/>
      <c r="I703" s="78">
        <f>IF(H703="","",HYPERLINK(H703,"Open ↗"))</f>
        <v/>
      </c>
      <c r="J703" s="72" t="n"/>
      <c r="L703" s="116">
        <f>IF('Contractors'!B703="","",'Contractors'!B703)</f>
        <v/>
      </c>
      <c r="M703" s="78">
        <f>IF(L703="","",'Contractors'!L703)</f>
        <v/>
      </c>
      <c r="N703" s="78">
        <f>IF(OR(L703="",M703&lt;&gt;"Yes"),"",IF(COUNTIFS('Vault'!$C$6:$C$1005,"Contract",'Vault'!$D$6:$D$1005,L703)&gt;0,"✓","✗ missing"))</f>
        <v/>
      </c>
      <c r="O703" s="78">
        <f>IF(OR(L703="",M703&lt;&gt;"Yes"),"",IF(COUNTIFS('Vault'!$C$6:$C$1005,"Insurance",'Vault'!$D$6:$D$1005,L703)&gt;0,"✓","✗ missing"))</f>
        <v/>
      </c>
      <c r="P703" s="78">
        <f>IF(OR(L703="",M703&lt;&gt;"Yes"),"",IF(COUNTIFS('Vault'!$C$6:$C$1005,"Quote",'Vault'!$D$6:$D$1005,L703)&gt;0,"✓","✗ missing"))</f>
        <v/>
      </c>
      <c r="Q703" s="78">
        <f>IF(N703="","",IF(AND(N703="✓",O703="✓",P703="✓"),"✓ Complete","Missing documents"))</f>
        <v/>
      </c>
      <c r="R703" s="79">
        <f>IF(Q703="","",IF(Q703="✓ Complete",0,1))</f>
        <v/>
      </c>
    </row>
    <row r="704" ht="20" customHeight="1">
      <c r="B704" s="72" t="n"/>
      <c r="C704" s="72" t="n"/>
      <c r="D704" s="72" t="n"/>
      <c r="E704" s="72" t="n"/>
      <c r="F704" s="72" t="n"/>
      <c r="G704" s="109" t="n"/>
      <c r="H704" s="72" t="n"/>
      <c r="I704" s="78">
        <f>IF(H704="","",HYPERLINK(H704,"Open ↗"))</f>
        <v/>
      </c>
      <c r="J704" s="72" t="n"/>
      <c r="L704" s="116">
        <f>IF('Contractors'!B704="","",'Contractors'!B704)</f>
        <v/>
      </c>
      <c r="M704" s="78">
        <f>IF(L704="","",'Contractors'!L704)</f>
        <v/>
      </c>
      <c r="N704" s="78">
        <f>IF(OR(L704="",M704&lt;&gt;"Yes"),"",IF(COUNTIFS('Vault'!$C$6:$C$1005,"Contract",'Vault'!$D$6:$D$1005,L704)&gt;0,"✓","✗ missing"))</f>
        <v/>
      </c>
      <c r="O704" s="78">
        <f>IF(OR(L704="",M704&lt;&gt;"Yes"),"",IF(COUNTIFS('Vault'!$C$6:$C$1005,"Insurance",'Vault'!$D$6:$D$1005,L704)&gt;0,"✓","✗ missing"))</f>
        <v/>
      </c>
      <c r="P704" s="78">
        <f>IF(OR(L704="",M704&lt;&gt;"Yes"),"",IF(COUNTIFS('Vault'!$C$6:$C$1005,"Quote",'Vault'!$D$6:$D$1005,L704)&gt;0,"✓","✗ missing"))</f>
        <v/>
      </c>
      <c r="Q704" s="78">
        <f>IF(N704="","",IF(AND(N704="✓",O704="✓",P704="✓"),"✓ Complete","Missing documents"))</f>
        <v/>
      </c>
      <c r="R704" s="79">
        <f>IF(Q704="","",IF(Q704="✓ Complete",0,1))</f>
        <v/>
      </c>
    </row>
    <row r="705" ht="20" customHeight="1">
      <c r="B705" s="72" t="n"/>
      <c r="C705" s="72" t="n"/>
      <c r="D705" s="72" t="n"/>
      <c r="E705" s="72" t="n"/>
      <c r="F705" s="72" t="n"/>
      <c r="G705" s="109" t="n"/>
      <c r="H705" s="72" t="n"/>
      <c r="I705" s="78">
        <f>IF(H705="","",HYPERLINK(H705,"Open ↗"))</f>
        <v/>
      </c>
      <c r="J705" s="72" t="n"/>
      <c r="L705" s="116">
        <f>IF('Contractors'!B705="","",'Contractors'!B705)</f>
        <v/>
      </c>
      <c r="M705" s="78">
        <f>IF(L705="","",'Contractors'!L705)</f>
        <v/>
      </c>
      <c r="N705" s="78">
        <f>IF(OR(L705="",M705&lt;&gt;"Yes"),"",IF(COUNTIFS('Vault'!$C$6:$C$1005,"Contract",'Vault'!$D$6:$D$1005,L705)&gt;0,"✓","✗ missing"))</f>
        <v/>
      </c>
      <c r="O705" s="78">
        <f>IF(OR(L705="",M705&lt;&gt;"Yes"),"",IF(COUNTIFS('Vault'!$C$6:$C$1005,"Insurance",'Vault'!$D$6:$D$1005,L705)&gt;0,"✓","✗ missing"))</f>
        <v/>
      </c>
      <c r="P705" s="78">
        <f>IF(OR(L705="",M705&lt;&gt;"Yes"),"",IF(COUNTIFS('Vault'!$C$6:$C$1005,"Quote",'Vault'!$D$6:$D$1005,L705)&gt;0,"✓","✗ missing"))</f>
        <v/>
      </c>
      <c r="Q705" s="78">
        <f>IF(N705="","",IF(AND(N705="✓",O705="✓",P705="✓"),"✓ Complete","Missing documents"))</f>
        <v/>
      </c>
      <c r="R705" s="79">
        <f>IF(Q705="","",IF(Q705="✓ Complete",0,1))</f>
        <v/>
      </c>
    </row>
    <row r="706" ht="20" customHeight="1">
      <c r="B706" s="72" t="n"/>
      <c r="C706" s="72" t="n"/>
      <c r="D706" s="72" t="n"/>
      <c r="E706" s="72" t="n"/>
      <c r="F706" s="72" t="n"/>
      <c r="G706" s="109" t="n"/>
      <c r="H706" s="72" t="n"/>
      <c r="I706" s="78">
        <f>IF(H706="","",HYPERLINK(H706,"Open ↗"))</f>
        <v/>
      </c>
      <c r="J706" s="72" t="n"/>
      <c r="L706" s="116">
        <f>IF('Contractors'!B706="","",'Contractors'!B706)</f>
        <v/>
      </c>
      <c r="M706" s="78">
        <f>IF(L706="","",'Contractors'!L706)</f>
        <v/>
      </c>
      <c r="N706" s="78">
        <f>IF(OR(L706="",M706&lt;&gt;"Yes"),"",IF(COUNTIFS('Vault'!$C$6:$C$1005,"Contract",'Vault'!$D$6:$D$1005,L706)&gt;0,"✓","✗ missing"))</f>
        <v/>
      </c>
      <c r="O706" s="78">
        <f>IF(OR(L706="",M706&lt;&gt;"Yes"),"",IF(COUNTIFS('Vault'!$C$6:$C$1005,"Insurance",'Vault'!$D$6:$D$1005,L706)&gt;0,"✓","✗ missing"))</f>
        <v/>
      </c>
      <c r="P706" s="78">
        <f>IF(OR(L706="",M706&lt;&gt;"Yes"),"",IF(COUNTIFS('Vault'!$C$6:$C$1005,"Quote",'Vault'!$D$6:$D$1005,L706)&gt;0,"✓","✗ missing"))</f>
        <v/>
      </c>
      <c r="Q706" s="78">
        <f>IF(N706="","",IF(AND(N706="✓",O706="✓",P706="✓"),"✓ Complete","Missing documents"))</f>
        <v/>
      </c>
      <c r="R706" s="79">
        <f>IF(Q706="","",IF(Q706="✓ Complete",0,1))</f>
        <v/>
      </c>
    </row>
    <row r="707" ht="20" customHeight="1">
      <c r="B707" s="72" t="n"/>
      <c r="C707" s="72" t="n"/>
      <c r="D707" s="72" t="n"/>
      <c r="E707" s="72" t="n"/>
      <c r="F707" s="72" t="n"/>
      <c r="G707" s="109" t="n"/>
      <c r="H707" s="72" t="n"/>
      <c r="I707" s="78">
        <f>IF(H707="","",HYPERLINK(H707,"Open ↗"))</f>
        <v/>
      </c>
      <c r="J707" s="72" t="n"/>
      <c r="L707" s="116">
        <f>IF('Contractors'!B707="","",'Contractors'!B707)</f>
        <v/>
      </c>
      <c r="M707" s="78">
        <f>IF(L707="","",'Contractors'!L707)</f>
        <v/>
      </c>
      <c r="N707" s="78">
        <f>IF(OR(L707="",M707&lt;&gt;"Yes"),"",IF(COUNTIFS('Vault'!$C$6:$C$1005,"Contract",'Vault'!$D$6:$D$1005,L707)&gt;0,"✓","✗ missing"))</f>
        <v/>
      </c>
      <c r="O707" s="78">
        <f>IF(OR(L707="",M707&lt;&gt;"Yes"),"",IF(COUNTIFS('Vault'!$C$6:$C$1005,"Insurance",'Vault'!$D$6:$D$1005,L707)&gt;0,"✓","✗ missing"))</f>
        <v/>
      </c>
      <c r="P707" s="78">
        <f>IF(OR(L707="",M707&lt;&gt;"Yes"),"",IF(COUNTIFS('Vault'!$C$6:$C$1005,"Quote",'Vault'!$D$6:$D$1005,L707)&gt;0,"✓","✗ missing"))</f>
        <v/>
      </c>
      <c r="Q707" s="78">
        <f>IF(N707="","",IF(AND(N707="✓",O707="✓",P707="✓"),"✓ Complete","Missing documents"))</f>
        <v/>
      </c>
      <c r="R707" s="79">
        <f>IF(Q707="","",IF(Q707="✓ Complete",0,1))</f>
        <v/>
      </c>
    </row>
    <row r="708" ht="20" customHeight="1">
      <c r="B708" s="72" t="n"/>
      <c r="C708" s="72" t="n"/>
      <c r="D708" s="72" t="n"/>
      <c r="E708" s="72" t="n"/>
      <c r="F708" s="72" t="n"/>
      <c r="G708" s="109" t="n"/>
      <c r="H708" s="72" t="n"/>
      <c r="I708" s="78">
        <f>IF(H708="","",HYPERLINK(H708,"Open ↗"))</f>
        <v/>
      </c>
      <c r="J708" s="72" t="n"/>
      <c r="L708" s="116">
        <f>IF('Contractors'!B708="","",'Contractors'!B708)</f>
        <v/>
      </c>
      <c r="M708" s="78">
        <f>IF(L708="","",'Contractors'!L708)</f>
        <v/>
      </c>
      <c r="N708" s="78">
        <f>IF(OR(L708="",M708&lt;&gt;"Yes"),"",IF(COUNTIFS('Vault'!$C$6:$C$1005,"Contract",'Vault'!$D$6:$D$1005,L708)&gt;0,"✓","✗ missing"))</f>
        <v/>
      </c>
      <c r="O708" s="78">
        <f>IF(OR(L708="",M708&lt;&gt;"Yes"),"",IF(COUNTIFS('Vault'!$C$6:$C$1005,"Insurance",'Vault'!$D$6:$D$1005,L708)&gt;0,"✓","✗ missing"))</f>
        <v/>
      </c>
      <c r="P708" s="78">
        <f>IF(OR(L708="",M708&lt;&gt;"Yes"),"",IF(COUNTIFS('Vault'!$C$6:$C$1005,"Quote",'Vault'!$D$6:$D$1005,L708)&gt;0,"✓","✗ missing"))</f>
        <v/>
      </c>
      <c r="Q708" s="78">
        <f>IF(N708="","",IF(AND(N708="✓",O708="✓",P708="✓"),"✓ Complete","Missing documents"))</f>
        <v/>
      </c>
      <c r="R708" s="79">
        <f>IF(Q708="","",IF(Q708="✓ Complete",0,1))</f>
        <v/>
      </c>
    </row>
    <row r="709" ht="20" customHeight="1">
      <c r="B709" s="72" t="n"/>
      <c r="C709" s="72" t="n"/>
      <c r="D709" s="72" t="n"/>
      <c r="E709" s="72" t="n"/>
      <c r="F709" s="72" t="n"/>
      <c r="G709" s="109" t="n"/>
      <c r="H709" s="72" t="n"/>
      <c r="I709" s="78">
        <f>IF(H709="","",HYPERLINK(H709,"Open ↗"))</f>
        <v/>
      </c>
      <c r="J709" s="72" t="n"/>
      <c r="L709" s="116">
        <f>IF('Contractors'!B709="","",'Contractors'!B709)</f>
        <v/>
      </c>
      <c r="M709" s="78">
        <f>IF(L709="","",'Contractors'!L709)</f>
        <v/>
      </c>
      <c r="N709" s="78">
        <f>IF(OR(L709="",M709&lt;&gt;"Yes"),"",IF(COUNTIFS('Vault'!$C$6:$C$1005,"Contract",'Vault'!$D$6:$D$1005,L709)&gt;0,"✓","✗ missing"))</f>
        <v/>
      </c>
      <c r="O709" s="78">
        <f>IF(OR(L709="",M709&lt;&gt;"Yes"),"",IF(COUNTIFS('Vault'!$C$6:$C$1005,"Insurance",'Vault'!$D$6:$D$1005,L709)&gt;0,"✓","✗ missing"))</f>
        <v/>
      </c>
      <c r="P709" s="78">
        <f>IF(OR(L709="",M709&lt;&gt;"Yes"),"",IF(COUNTIFS('Vault'!$C$6:$C$1005,"Quote",'Vault'!$D$6:$D$1005,L709)&gt;0,"✓","✗ missing"))</f>
        <v/>
      </c>
      <c r="Q709" s="78">
        <f>IF(N709="","",IF(AND(N709="✓",O709="✓",P709="✓"),"✓ Complete","Missing documents"))</f>
        <v/>
      </c>
      <c r="R709" s="79">
        <f>IF(Q709="","",IF(Q709="✓ Complete",0,1))</f>
        <v/>
      </c>
    </row>
    <row r="710" ht="20" customHeight="1">
      <c r="B710" s="72" t="n"/>
      <c r="C710" s="72" t="n"/>
      <c r="D710" s="72" t="n"/>
      <c r="E710" s="72" t="n"/>
      <c r="F710" s="72" t="n"/>
      <c r="G710" s="109" t="n"/>
      <c r="H710" s="72" t="n"/>
      <c r="I710" s="78">
        <f>IF(H710="","",HYPERLINK(H710,"Open ↗"))</f>
        <v/>
      </c>
      <c r="J710" s="72" t="n"/>
      <c r="L710" s="116">
        <f>IF('Contractors'!B710="","",'Contractors'!B710)</f>
        <v/>
      </c>
      <c r="M710" s="78">
        <f>IF(L710="","",'Contractors'!L710)</f>
        <v/>
      </c>
      <c r="N710" s="78">
        <f>IF(OR(L710="",M710&lt;&gt;"Yes"),"",IF(COUNTIFS('Vault'!$C$6:$C$1005,"Contract",'Vault'!$D$6:$D$1005,L710)&gt;0,"✓","✗ missing"))</f>
        <v/>
      </c>
      <c r="O710" s="78">
        <f>IF(OR(L710="",M710&lt;&gt;"Yes"),"",IF(COUNTIFS('Vault'!$C$6:$C$1005,"Insurance",'Vault'!$D$6:$D$1005,L710)&gt;0,"✓","✗ missing"))</f>
        <v/>
      </c>
      <c r="P710" s="78">
        <f>IF(OR(L710="",M710&lt;&gt;"Yes"),"",IF(COUNTIFS('Vault'!$C$6:$C$1005,"Quote",'Vault'!$D$6:$D$1005,L710)&gt;0,"✓","✗ missing"))</f>
        <v/>
      </c>
      <c r="Q710" s="78">
        <f>IF(N710="","",IF(AND(N710="✓",O710="✓",P710="✓"),"✓ Complete","Missing documents"))</f>
        <v/>
      </c>
      <c r="R710" s="79">
        <f>IF(Q710="","",IF(Q710="✓ Complete",0,1))</f>
        <v/>
      </c>
    </row>
    <row r="711" ht="20" customHeight="1">
      <c r="B711" s="72" t="n"/>
      <c r="C711" s="72" t="n"/>
      <c r="D711" s="72" t="n"/>
      <c r="E711" s="72" t="n"/>
      <c r="F711" s="72" t="n"/>
      <c r="G711" s="109" t="n"/>
      <c r="H711" s="72" t="n"/>
      <c r="I711" s="78">
        <f>IF(H711="","",HYPERLINK(H711,"Open ↗"))</f>
        <v/>
      </c>
      <c r="J711" s="72" t="n"/>
      <c r="L711" s="116">
        <f>IF('Contractors'!B711="","",'Contractors'!B711)</f>
        <v/>
      </c>
      <c r="M711" s="78">
        <f>IF(L711="","",'Contractors'!L711)</f>
        <v/>
      </c>
      <c r="N711" s="78">
        <f>IF(OR(L711="",M711&lt;&gt;"Yes"),"",IF(COUNTIFS('Vault'!$C$6:$C$1005,"Contract",'Vault'!$D$6:$D$1005,L711)&gt;0,"✓","✗ missing"))</f>
        <v/>
      </c>
      <c r="O711" s="78">
        <f>IF(OR(L711="",M711&lt;&gt;"Yes"),"",IF(COUNTIFS('Vault'!$C$6:$C$1005,"Insurance",'Vault'!$D$6:$D$1005,L711)&gt;0,"✓","✗ missing"))</f>
        <v/>
      </c>
      <c r="P711" s="78">
        <f>IF(OR(L711="",M711&lt;&gt;"Yes"),"",IF(COUNTIFS('Vault'!$C$6:$C$1005,"Quote",'Vault'!$D$6:$D$1005,L711)&gt;0,"✓","✗ missing"))</f>
        <v/>
      </c>
      <c r="Q711" s="78">
        <f>IF(N711="","",IF(AND(N711="✓",O711="✓",P711="✓"),"✓ Complete","Missing documents"))</f>
        <v/>
      </c>
      <c r="R711" s="79">
        <f>IF(Q711="","",IF(Q711="✓ Complete",0,1))</f>
        <v/>
      </c>
    </row>
    <row r="712" ht="20" customHeight="1">
      <c r="B712" s="72" t="n"/>
      <c r="C712" s="72" t="n"/>
      <c r="D712" s="72" t="n"/>
      <c r="E712" s="72" t="n"/>
      <c r="F712" s="72" t="n"/>
      <c r="G712" s="109" t="n"/>
      <c r="H712" s="72" t="n"/>
      <c r="I712" s="78">
        <f>IF(H712="","",HYPERLINK(H712,"Open ↗"))</f>
        <v/>
      </c>
      <c r="J712" s="72" t="n"/>
      <c r="L712" s="116">
        <f>IF('Contractors'!B712="","",'Contractors'!B712)</f>
        <v/>
      </c>
      <c r="M712" s="78">
        <f>IF(L712="","",'Contractors'!L712)</f>
        <v/>
      </c>
      <c r="N712" s="78">
        <f>IF(OR(L712="",M712&lt;&gt;"Yes"),"",IF(COUNTIFS('Vault'!$C$6:$C$1005,"Contract",'Vault'!$D$6:$D$1005,L712)&gt;0,"✓","✗ missing"))</f>
        <v/>
      </c>
      <c r="O712" s="78">
        <f>IF(OR(L712="",M712&lt;&gt;"Yes"),"",IF(COUNTIFS('Vault'!$C$6:$C$1005,"Insurance",'Vault'!$D$6:$D$1005,L712)&gt;0,"✓","✗ missing"))</f>
        <v/>
      </c>
      <c r="P712" s="78">
        <f>IF(OR(L712="",M712&lt;&gt;"Yes"),"",IF(COUNTIFS('Vault'!$C$6:$C$1005,"Quote",'Vault'!$D$6:$D$1005,L712)&gt;0,"✓","✗ missing"))</f>
        <v/>
      </c>
      <c r="Q712" s="78">
        <f>IF(N712="","",IF(AND(N712="✓",O712="✓",P712="✓"),"✓ Complete","Missing documents"))</f>
        <v/>
      </c>
      <c r="R712" s="79">
        <f>IF(Q712="","",IF(Q712="✓ Complete",0,1))</f>
        <v/>
      </c>
    </row>
    <row r="713" ht="20" customHeight="1">
      <c r="B713" s="72" t="n"/>
      <c r="C713" s="72" t="n"/>
      <c r="D713" s="72" t="n"/>
      <c r="E713" s="72" t="n"/>
      <c r="F713" s="72" t="n"/>
      <c r="G713" s="109" t="n"/>
      <c r="H713" s="72" t="n"/>
      <c r="I713" s="78">
        <f>IF(H713="","",HYPERLINK(H713,"Open ↗"))</f>
        <v/>
      </c>
      <c r="J713" s="72" t="n"/>
      <c r="L713" s="116">
        <f>IF('Contractors'!B713="","",'Contractors'!B713)</f>
        <v/>
      </c>
      <c r="M713" s="78">
        <f>IF(L713="","",'Contractors'!L713)</f>
        <v/>
      </c>
      <c r="N713" s="78">
        <f>IF(OR(L713="",M713&lt;&gt;"Yes"),"",IF(COUNTIFS('Vault'!$C$6:$C$1005,"Contract",'Vault'!$D$6:$D$1005,L713)&gt;0,"✓","✗ missing"))</f>
        <v/>
      </c>
      <c r="O713" s="78">
        <f>IF(OR(L713="",M713&lt;&gt;"Yes"),"",IF(COUNTIFS('Vault'!$C$6:$C$1005,"Insurance",'Vault'!$D$6:$D$1005,L713)&gt;0,"✓","✗ missing"))</f>
        <v/>
      </c>
      <c r="P713" s="78">
        <f>IF(OR(L713="",M713&lt;&gt;"Yes"),"",IF(COUNTIFS('Vault'!$C$6:$C$1005,"Quote",'Vault'!$D$6:$D$1005,L713)&gt;0,"✓","✗ missing"))</f>
        <v/>
      </c>
      <c r="Q713" s="78">
        <f>IF(N713="","",IF(AND(N713="✓",O713="✓",P713="✓"),"✓ Complete","Missing documents"))</f>
        <v/>
      </c>
      <c r="R713" s="79">
        <f>IF(Q713="","",IF(Q713="✓ Complete",0,1))</f>
        <v/>
      </c>
    </row>
    <row r="714" ht="20" customHeight="1">
      <c r="B714" s="72" t="n"/>
      <c r="C714" s="72" t="n"/>
      <c r="D714" s="72" t="n"/>
      <c r="E714" s="72" t="n"/>
      <c r="F714" s="72" t="n"/>
      <c r="G714" s="109" t="n"/>
      <c r="H714" s="72" t="n"/>
      <c r="I714" s="78">
        <f>IF(H714="","",HYPERLINK(H714,"Open ↗"))</f>
        <v/>
      </c>
      <c r="J714" s="72" t="n"/>
      <c r="L714" s="116">
        <f>IF('Contractors'!B714="","",'Contractors'!B714)</f>
        <v/>
      </c>
      <c r="M714" s="78">
        <f>IF(L714="","",'Contractors'!L714)</f>
        <v/>
      </c>
      <c r="N714" s="78">
        <f>IF(OR(L714="",M714&lt;&gt;"Yes"),"",IF(COUNTIFS('Vault'!$C$6:$C$1005,"Contract",'Vault'!$D$6:$D$1005,L714)&gt;0,"✓","✗ missing"))</f>
        <v/>
      </c>
      <c r="O714" s="78">
        <f>IF(OR(L714="",M714&lt;&gt;"Yes"),"",IF(COUNTIFS('Vault'!$C$6:$C$1005,"Insurance",'Vault'!$D$6:$D$1005,L714)&gt;0,"✓","✗ missing"))</f>
        <v/>
      </c>
      <c r="P714" s="78">
        <f>IF(OR(L714="",M714&lt;&gt;"Yes"),"",IF(COUNTIFS('Vault'!$C$6:$C$1005,"Quote",'Vault'!$D$6:$D$1005,L714)&gt;0,"✓","✗ missing"))</f>
        <v/>
      </c>
      <c r="Q714" s="78">
        <f>IF(N714="","",IF(AND(N714="✓",O714="✓",P714="✓"),"✓ Complete","Missing documents"))</f>
        <v/>
      </c>
      <c r="R714" s="79">
        <f>IF(Q714="","",IF(Q714="✓ Complete",0,1))</f>
        <v/>
      </c>
    </row>
    <row r="715" ht="20" customHeight="1">
      <c r="B715" s="72" t="n"/>
      <c r="C715" s="72" t="n"/>
      <c r="D715" s="72" t="n"/>
      <c r="E715" s="72" t="n"/>
      <c r="F715" s="72" t="n"/>
      <c r="G715" s="109" t="n"/>
      <c r="H715" s="72" t="n"/>
      <c r="I715" s="78">
        <f>IF(H715="","",HYPERLINK(H715,"Open ↗"))</f>
        <v/>
      </c>
      <c r="J715" s="72" t="n"/>
      <c r="L715" s="116">
        <f>IF('Contractors'!B715="","",'Contractors'!B715)</f>
        <v/>
      </c>
      <c r="M715" s="78">
        <f>IF(L715="","",'Contractors'!L715)</f>
        <v/>
      </c>
      <c r="N715" s="78">
        <f>IF(OR(L715="",M715&lt;&gt;"Yes"),"",IF(COUNTIFS('Vault'!$C$6:$C$1005,"Contract",'Vault'!$D$6:$D$1005,L715)&gt;0,"✓","✗ missing"))</f>
        <v/>
      </c>
      <c r="O715" s="78">
        <f>IF(OR(L715="",M715&lt;&gt;"Yes"),"",IF(COUNTIFS('Vault'!$C$6:$C$1005,"Insurance",'Vault'!$D$6:$D$1005,L715)&gt;0,"✓","✗ missing"))</f>
        <v/>
      </c>
      <c r="P715" s="78">
        <f>IF(OR(L715="",M715&lt;&gt;"Yes"),"",IF(COUNTIFS('Vault'!$C$6:$C$1005,"Quote",'Vault'!$D$6:$D$1005,L715)&gt;0,"✓","✗ missing"))</f>
        <v/>
      </c>
      <c r="Q715" s="78">
        <f>IF(N715="","",IF(AND(N715="✓",O715="✓",P715="✓"),"✓ Complete","Missing documents"))</f>
        <v/>
      </c>
      <c r="R715" s="79">
        <f>IF(Q715="","",IF(Q715="✓ Complete",0,1))</f>
        <v/>
      </c>
    </row>
    <row r="716" ht="20" customHeight="1">
      <c r="B716" s="72" t="n"/>
      <c r="C716" s="72" t="n"/>
      <c r="D716" s="72" t="n"/>
      <c r="E716" s="72" t="n"/>
      <c r="F716" s="72" t="n"/>
      <c r="G716" s="109" t="n"/>
      <c r="H716" s="72" t="n"/>
      <c r="I716" s="78">
        <f>IF(H716="","",HYPERLINK(H716,"Open ↗"))</f>
        <v/>
      </c>
      <c r="J716" s="72" t="n"/>
      <c r="L716" s="116">
        <f>IF('Contractors'!B716="","",'Contractors'!B716)</f>
        <v/>
      </c>
      <c r="M716" s="78">
        <f>IF(L716="","",'Contractors'!L716)</f>
        <v/>
      </c>
      <c r="N716" s="78">
        <f>IF(OR(L716="",M716&lt;&gt;"Yes"),"",IF(COUNTIFS('Vault'!$C$6:$C$1005,"Contract",'Vault'!$D$6:$D$1005,L716)&gt;0,"✓","✗ missing"))</f>
        <v/>
      </c>
      <c r="O716" s="78">
        <f>IF(OR(L716="",M716&lt;&gt;"Yes"),"",IF(COUNTIFS('Vault'!$C$6:$C$1005,"Insurance",'Vault'!$D$6:$D$1005,L716)&gt;0,"✓","✗ missing"))</f>
        <v/>
      </c>
      <c r="P716" s="78">
        <f>IF(OR(L716="",M716&lt;&gt;"Yes"),"",IF(COUNTIFS('Vault'!$C$6:$C$1005,"Quote",'Vault'!$D$6:$D$1005,L716)&gt;0,"✓","✗ missing"))</f>
        <v/>
      </c>
      <c r="Q716" s="78">
        <f>IF(N716="","",IF(AND(N716="✓",O716="✓",P716="✓"),"✓ Complete","Missing documents"))</f>
        <v/>
      </c>
      <c r="R716" s="79">
        <f>IF(Q716="","",IF(Q716="✓ Complete",0,1))</f>
        <v/>
      </c>
    </row>
    <row r="717" ht="20" customHeight="1">
      <c r="B717" s="72" t="n"/>
      <c r="C717" s="72" t="n"/>
      <c r="D717" s="72" t="n"/>
      <c r="E717" s="72" t="n"/>
      <c r="F717" s="72" t="n"/>
      <c r="G717" s="109" t="n"/>
      <c r="H717" s="72" t="n"/>
      <c r="I717" s="78">
        <f>IF(H717="","",HYPERLINK(H717,"Open ↗"))</f>
        <v/>
      </c>
      <c r="J717" s="72" t="n"/>
      <c r="L717" s="116">
        <f>IF('Contractors'!B717="","",'Contractors'!B717)</f>
        <v/>
      </c>
      <c r="M717" s="78">
        <f>IF(L717="","",'Contractors'!L717)</f>
        <v/>
      </c>
      <c r="N717" s="78">
        <f>IF(OR(L717="",M717&lt;&gt;"Yes"),"",IF(COUNTIFS('Vault'!$C$6:$C$1005,"Contract",'Vault'!$D$6:$D$1005,L717)&gt;0,"✓","✗ missing"))</f>
        <v/>
      </c>
      <c r="O717" s="78">
        <f>IF(OR(L717="",M717&lt;&gt;"Yes"),"",IF(COUNTIFS('Vault'!$C$6:$C$1005,"Insurance",'Vault'!$D$6:$D$1005,L717)&gt;0,"✓","✗ missing"))</f>
        <v/>
      </c>
      <c r="P717" s="78">
        <f>IF(OR(L717="",M717&lt;&gt;"Yes"),"",IF(COUNTIFS('Vault'!$C$6:$C$1005,"Quote",'Vault'!$D$6:$D$1005,L717)&gt;0,"✓","✗ missing"))</f>
        <v/>
      </c>
      <c r="Q717" s="78">
        <f>IF(N717="","",IF(AND(N717="✓",O717="✓",P717="✓"),"✓ Complete","Missing documents"))</f>
        <v/>
      </c>
      <c r="R717" s="79">
        <f>IF(Q717="","",IF(Q717="✓ Complete",0,1))</f>
        <v/>
      </c>
    </row>
    <row r="718" ht="20" customHeight="1">
      <c r="B718" s="72" t="n"/>
      <c r="C718" s="72" t="n"/>
      <c r="D718" s="72" t="n"/>
      <c r="E718" s="72" t="n"/>
      <c r="F718" s="72" t="n"/>
      <c r="G718" s="109" t="n"/>
      <c r="H718" s="72" t="n"/>
      <c r="I718" s="78">
        <f>IF(H718="","",HYPERLINK(H718,"Open ↗"))</f>
        <v/>
      </c>
      <c r="J718" s="72" t="n"/>
      <c r="L718" s="116">
        <f>IF('Contractors'!B718="","",'Contractors'!B718)</f>
        <v/>
      </c>
      <c r="M718" s="78">
        <f>IF(L718="","",'Contractors'!L718)</f>
        <v/>
      </c>
      <c r="N718" s="78">
        <f>IF(OR(L718="",M718&lt;&gt;"Yes"),"",IF(COUNTIFS('Vault'!$C$6:$C$1005,"Contract",'Vault'!$D$6:$D$1005,L718)&gt;0,"✓","✗ missing"))</f>
        <v/>
      </c>
      <c r="O718" s="78">
        <f>IF(OR(L718="",M718&lt;&gt;"Yes"),"",IF(COUNTIFS('Vault'!$C$6:$C$1005,"Insurance",'Vault'!$D$6:$D$1005,L718)&gt;0,"✓","✗ missing"))</f>
        <v/>
      </c>
      <c r="P718" s="78">
        <f>IF(OR(L718="",M718&lt;&gt;"Yes"),"",IF(COUNTIFS('Vault'!$C$6:$C$1005,"Quote",'Vault'!$D$6:$D$1005,L718)&gt;0,"✓","✗ missing"))</f>
        <v/>
      </c>
      <c r="Q718" s="78">
        <f>IF(N718="","",IF(AND(N718="✓",O718="✓",P718="✓"),"✓ Complete","Missing documents"))</f>
        <v/>
      </c>
      <c r="R718" s="79">
        <f>IF(Q718="","",IF(Q718="✓ Complete",0,1))</f>
        <v/>
      </c>
    </row>
    <row r="719" ht="20" customHeight="1">
      <c r="B719" s="72" t="n"/>
      <c r="C719" s="72" t="n"/>
      <c r="D719" s="72" t="n"/>
      <c r="E719" s="72" t="n"/>
      <c r="F719" s="72" t="n"/>
      <c r="G719" s="109" t="n"/>
      <c r="H719" s="72" t="n"/>
      <c r="I719" s="78">
        <f>IF(H719="","",HYPERLINK(H719,"Open ↗"))</f>
        <v/>
      </c>
      <c r="J719" s="72" t="n"/>
      <c r="L719" s="116">
        <f>IF('Contractors'!B719="","",'Contractors'!B719)</f>
        <v/>
      </c>
      <c r="M719" s="78">
        <f>IF(L719="","",'Contractors'!L719)</f>
        <v/>
      </c>
      <c r="N719" s="78">
        <f>IF(OR(L719="",M719&lt;&gt;"Yes"),"",IF(COUNTIFS('Vault'!$C$6:$C$1005,"Contract",'Vault'!$D$6:$D$1005,L719)&gt;0,"✓","✗ missing"))</f>
        <v/>
      </c>
      <c r="O719" s="78">
        <f>IF(OR(L719="",M719&lt;&gt;"Yes"),"",IF(COUNTIFS('Vault'!$C$6:$C$1005,"Insurance",'Vault'!$D$6:$D$1005,L719)&gt;0,"✓","✗ missing"))</f>
        <v/>
      </c>
      <c r="P719" s="78">
        <f>IF(OR(L719="",M719&lt;&gt;"Yes"),"",IF(COUNTIFS('Vault'!$C$6:$C$1005,"Quote",'Vault'!$D$6:$D$1005,L719)&gt;0,"✓","✗ missing"))</f>
        <v/>
      </c>
      <c r="Q719" s="78">
        <f>IF(N719="","",IF(AND(N719="✓",O719="✓",P719="✓"),"✓ Complete","Missing documents"))</f>
        <v/>
      </c>
      <c r="R719" s="79">
        <f>IF(Q719="","",IF(Q719="✓ Complete",0,1))</f>
        <v/>
      </c>
    </row>
    <row r="720" ht="20" customHeight="1">
      <c r="B720" s="72" t="n"/>
      <c r="C720" s="72" t="n"/>
      <c r="D720" s="72" t="n"/>
      <c r="E720" s="72" t="n"/>
      <c r="F720" s="72" t="n"/>
      <c r="G720" s="109" t="n"/>
      <c r="H720" s="72" t="n"/>
      <c r="I720" s="78">
        <f>IF(H720="","",HYPERLINK(H720,"Open ↗"))</f>
        <v/>
      </c>
      <c r="J720" s="72" t="n"/>
      <c r="L720" s="116">
        <f>IF('Contractors'!B720="","",'Contractors'!B720)</f>
        <v/>
      </c>
      <c r="M720" s="78">
        <f>IF(L720="","",'Contractors'!L720)</f>
        <v/>
      </c>
      <c r="N720" s="78">
        <f>IF(OR(L720="",M720&lt;&gt;"Yes"),"",IF(COUNTIFS('Vault'!$C$6:$C$1005,"Contract",'Vault'!$D$6:$D$1005,L720)&gt;0,"✓","✗ missing"))</f>
        <v/>
      </c>
      <c r="O720" s="78">
        <f>IF(OR(L720="",M720&lt;&gt;"Yes"),"",IF(COUNTIFS('Vault'!$C$6:$C$1005,"Insurance",'Vault'!$D$6:$D$1005,L720)&gt;0,"✓","✗ missing"))</f>
        <v/>
      </c>
      <c r="P720" s="78">
        <f>IF(OR(L720="",M720&lt;&gt;"Yes"),"",IF(COUNTIFS('Vault'!$C$6:$C$1005,"Quote",'Vault'!$D$6:$D$1005,L720)&gt;0,"✓","✗ missing"))</f>
        <v/>
      </c>
      <c r="Q720" s="78">
        <f>IF(N720="","",IF(AND(N720="✓",O720="✓",P720="✓"),"✓ Complete","Missing documents"))</f>
        <v/>
      </c>
      <c r="R720" s="79">
        <f>IF(Q720="","",IF(Q720="✓ Complete",0,1))</f>
        <v/>
      </c>
    </row>
    <row r="721" ht="20" customHeight="1">
      <c r="B721" s="72" t="n"/>
      <c r="C721" s="72" t="n"/>
      <c r="D721" s="72" t="n"/>
      <c r="E721" s="72" t="n"/>
      <c r="F721" s="72" t="n"/>
      <c r="G721" s="109" t="n"/>
      <c r="H721" s="72" t="n"/>
      <c r="I721" s="78">
        <f>IF(H721="","",HYPERLINK(H721,"Open ↗"))</f>
        <v/>
      </c>
      <c r="J721" s="72" t="n"/>
      <c r="L721" s="116">
        <f>IF('Contractors'!B721="","",'Contractors'!B721)</f>
        <v/>
      </c>
      <c r="M721" s="78">
        <f>IF(L721="","",'Contractors'!L721)</f>
        <v/>
      </c>
      <c r="N721" s="78">
        <f>IF(OR(L721="",M721&lt;&gt;"Yes"),"",IF(COUNTIFS('Vault'!$C$6:$C$1005,"Contract",'Vault'!$D$6:$D$1005,L721)&gt;0,"✓","✗ missing"))</f>
        <v/>
      </c>
      <c r="O721" s="78">
        <f>IF(OR(L721="",M721&lt;&gt;"Yes"),"",IF(COUNTIFS('Vault'!$C$6:$C$1005,"Insurance",'Vault'!$D$6:$D$1005,L721)&gt;0,"✓","✗ missing"))</f>
        <v/>
      </c>
      <c r="P721" s="78">
        <f>IF(OR(L721="",M721&lt;&gt;"Yes"),"",IF(COUNTIFS('Vault'!$C$6:$C$1005,"Quote",'Vault'!$D$6:$D$1005,L721)&gt;0,"✓","✗ missing"))</f>
        <v/>
      </c>
      <c r="Q721" s="78">
        <f>IF(N721="","",IF(AND(N721="✓",O721="✓",P721="✓"),"✓ Complete","Missing documents"))</f>
        <v/>
      </c>
      <c r="R721" s="79">
        <f>IF(Q721="","",IF(Q721="✓ Complete",0,1))</f>
        <v/>
      </c>
    </row>
    <row r="722" ht="20" customHeight="1">
      <c r="B722" s="72" t="n"/>
      <c r="C722" s="72" t="n"/>
      <c r="D722" s="72" t="n"/>
      <c r="E722" s="72" t="n"/>
      <c r="F722" s="72" t="n"/>
      <c r="G722" s="109" t="n"/>
      <c r="H722" s="72" t="n"/>
      <c r="I722" s="78">
        <f>IF(H722="","",HYPERLINK(H722,"Open ↗"))</f>
        <v/>
      </c>
      <c r="J722" s="72" t="n"/>
      <c r="L722" s="116">
        <f>IF('Contractors'!B722="","",'Contractors'!B722)</f>
        <v/>
      </c>
      <c r="M722" s="78">
        <f>IF(L722="","",'Contractors'!L722)</f>
        <v/>
      </c>
      <c r="N722" s="78">
        <f>IF(OR(L722="",M722&lt;&gt;"Yes"),"",IF(COUNTIFS('Vault'!$C$6:$C$1005,"Contract",'Vault'!$D$6:$D$1005,L722)&gt;0,"✓","✗ missing"))</f>
        <v/>
      </c>
      <c r="O722" s="78">
        <f>IF(OR(L722="",M722&lt;&gt;"Yes"),"",IF(COUNTIFS('Vault'!$C$6:$C$1005,"Insurance",'Vault'!$D$6:$D$1005,L722)&gt;0,"✓","✗ missing"))</f>
        <v/>
      </c>
      <c r="P722" s="78">
        <f>IF(OR(L722="",M722&lt;&gt;"Yes"),"",IF(COUNTIFS('Vault'!$C$6:$C$1005,"Quote",'Vault'!$D$6:$D$1005,L722)&gt;0,"✓","✗ missing"))</f>
        <v/>
      </c>
      <c r="Q722" s="78">
        <f>IF(N722="","",IF(AND(N722="✓",O722="✓",P722="✓"),"✓ Complete","Missing documents"))</f>
        <v/>
      </c>
      <c r="R722" s="79">
        <f>IF(Q722="","",IF(Q722="✓ Complete",0,1))</f>
        <v/>
      </c>
    </row>
    <row r="723" ht="20" customHeight="1">
      <c r="B723" s="72" t="n"/>
      <c r="C723" s="72" t="n"/>
      <c r="D723" s="72" t="n"/>
      <c r="E723" s="72" t="n"/>
      <c r="F723" s="72" t="n"/>
      <c r="G723" s="109" t="n"/>
      <c r="H723" s="72" t="n"/>
      <c r="I723" s="78">
        <f>IF(H723="","",HYPERLINK(H723,"Open ↗"))</f>
        <v/>
      </c>
      <c r="J723" s="72" t="n"/>
      <c r="L723" s="116">
        <f>IF('Contractors'!B723="","",'Contractors'!B723)</f>
        <v/>
      </c>
      <c r="M723" s="78">
        <f>IF(L723="","",'Contractors'!L723)</f>
        <v/>
      </c>
      <c r="N723" s="78">
        <f>IF(OR(L723="",M723&lt;&gt;"Yes"),"",IF(COUNTIFS('Vault'!$C$6:$C$1005,"Contract",'Vault'!$D$6:$D$1005,L723)&gt;0,"✓","✗ missing"))</f>
        <v/>
      </c>
      <c r="O723" s="78">
        <f>IF(OR(L723="",M723&lt;&gt;"Yes"),"",IF(COUNTIFS('Vault'!$C$6:$C$1005,"Insurance",'Vault'!$D$6:$D$1005,L723)&gt;0,"✓","✗ missing"))</f>
        <v/>
      </c>
      <c r="P723" s="78">
        <f>IF(OR(L723="",M723&lt;&gt;"Yes"),"",IF(COUNTIFS('Vault'!$C$6:$C$1005,"Quote",'Vault'!$D$6:$D$1005,L723)&gt;0,"✓","✗ missing"))</f>
        <v/>
      </c>
      <c r="Q723" s="78">
        <f>IF(N723="","",IF(AND(N723="✓",O723="✓",P723="✓"),"✓ Complete","Missing documents"))</f>
        <v/>
      </c>
      <c r="R723" s="79">
        <f>IF(Q723="","",IF(Q723="✓ Complete",0,1))</f>
        <v/>
      </c>
    </row>
    <row r="724" ht="20" customHeight="1">
      <c r="B724" s="72" t="n"/>
      <c r="C724" s="72" t="n"/>
      <c r="D724" s="72" t="n"/>
      <c r="E724" s="72" t="n"/>
      <c r="F724" s="72" t="n"/>
      <c r="G724" s="109" t="n"/>
      <c r="H724" s="72" t="n"/>
      <c r="I724" s="78">
        <f>IF(H724="","",HYPERLINK(H724,"Open ↗"))</f>
        <v/>
      </c>
      <c r="J724" s="72" t="n"/>
      <c r="L724" s="116">
        <f>IF('Contractors'!B724="","",'Contractors'!B724)</f>
        <v/>
      </c>
      <c r="M724" s="78">
        <f>IF(L724="","",'Contractors'!L724)</f>
        <v/>
      </c>
      <c r="N724" s="78">
        <f>IF(OR(L724="",M724&lt;&gt;"Yes"),"",IF(COUNTIFS('Vault'!$C$6:$C$1005,"Contract",'Vault'!$D$6:$D$1005,L724)&gt;0,"✓","✗ missing"))</f>
        <v/>
      </c>
      <c r="O724" s="78">
        <f>IF(OR(L724="",M724&lt;&gt;"Yes"),"",IF(COUNTIFS('Vault'!$C$6:$C$1005,"Insurance",'Vault'!$D$6:$D$1005,L724)&gt;0,"✓","✗ missing"))</f>
        <v/>
      </c>
      <c r="P724" s="78">
        <f>IF(OR(L724="",M724&lt;&gt;"Yes"),"",IF(COUNTIFS('Vault'!$C$6:$C$1005,"Quote",'Vault'!$D$6:$D$1005,L724)&gt;0,"✓","✗ missing"))</f>
        <v/>
      </c>
      <c r="Q724" s="78">
        <f>IF(N724="","",IF(AND(N724="✓",O724="✓",P724="✓"),"✓ Complete","Missing documents"))</f>
        <v/>
      </c>
      <c r="R724" s="79">
        <f>IF(Q724="","",IF(Q724="✓ Complete",0,1))</f>
        <v/>
      </c>
    </row>
    <row r="725" ht="20" customHeight="1">
      <c r="B725" s="72" t="n"/>
      <c r="C725" s="72" t="n"/>
      <c r="D725" s="72" t="n"/>
      <c r="E725" s="72" t="n"/>
      <c r="F725" s="72" t="n"/>
      <c r="G725" s="109" t="n"/>
      <c r="H725" s="72" t="n"/>
      <c r="I725" s="78">
        <f>IF(H725="","",HYPERLINK(H725,"Open ↗"))</f>
        <v/>
      </c>
      <c r="J725" s="72" t="n"/>
      <c r="L725" s="116">
        <f>IF('Contractors'!B725="","",'Contractors'!B725)</f>
        <v/>
      </c>
      <c r="M725" s="78">
        <f>IF(L725="","",'Contractors'!L725)</f>
        <v/>
      </c>
      <c r="N725" s="78">
        <f>IF(OR(L725="",M725&lt;&gt;"Yes"),"",IF(COUNTIFS('Vault'!$C$6:$C$1005,"Contract",'Vault'!$D$6:$D$1005,L725)&gt;0,"✓","✗ missing"))</f>
        <v/>
      </c>
      <c r="O725" s="78">
        <f>IF(OR(L725="",M725&lt;&gt;"Yes"),"",IF(COUNTIFS('Vault'!$C$6:$C$1005,"Insurance",'Vault'!$D$6:$D$1005,L725)&gt;0,"✓","✗ missing"))</f>
        <v/>
      </c>
      <c r="P725" s="78">
        <f>IF(OR(L725="",M725&lt;&gt;"Yes"),"",IF(COUNTIFS('Vault'!$C$6:$C$1005,"Quote",'Vault'!$D$6:$D$1005,L725)&gt;0,"✓","✗ missing"))</f>
        <v/>
      </c>
      <c r="Q725" s="78">
        <f>IF(N725="","",IF(AND(N725="✓",O725="✓",P725="✓"),"✓ Complete","Missing documents"))</f>
        <v/>
      </c>
      <c r="R725" s="79">
        <f>IF(Q725="","",IF(Q725="✓ Complete",0,1))</f>
        <v/>
      </c>
    </row>
    <row r="726" ht="20" customHeight="1">
      <c r="B726" s="72" t="n"/>
      <c r="C726" s="72" t="n"/>
      <c r="D726" s="72" t="n"/>
      <c r="E726" s="72" t="n"/>
      <c r="F726" s="72" t="n"/>
      <c r="G726" s="109" t="n"/>
      <c r="H726" s="72" t="n"/>
      <c r="I726" s="78">
        <f>IF(H726="","",HYPERLINK(H726,"Open ↗"))</f>
        <v/>
      </c>
      <c r="J726" s="72" t="n"/>
      <c r="L726" s="116">
        <f>IF('Contractors'!B726="","",'Contractors'!B726)</f>
        <v/>
      </c>
      <c r="M726" s="78">
        <f>IF(L726="","",'Contractors'!L726)</f>
        <v/>
      </c>
      <c r="N726" s="78">
        <f>IF(OR(L726="",M726&lt;&gt;"Yes"),"",IF(COUNTIFS('Vault'!$C$6:$C$1005,"Contract",'Vault'!$D$6:$D$1005,L726)&gt;0,"✓","✗ missing"))</f>
        <v/>
      </c>
      <c r="O726" s="78">
        <f>IF(OR(L726="",M726&lt;&gt;"Yes"),"",IF(COUNTIFS('Vault'!$C$6:$C$1005,"Insurance",'Vault'!$D$6:$D$1005,L726)&gt;0,"✓","✗ missing"))</f>
        <v/>
      </c>
      <c r="P726" s="78">
        <f>IF(OR(L726="",M726&lt;&gt;"Yes"),"",IF(COUNTIFS('Vault'!$C$6:$C$1005,"Quote",'Vault'!$D$6:$D$1005,L726)&gt;0,"✓","✗ missing"))</f>
        <v/>
      </c>
      <c r="Q726" s="78">
        <f>IF(N726="","",IF(AND(N726="✓",O726="✓",P726="✓"),"✓ Complete","Missing documents"))</f>
        <v/>
      </c>
      <c r="R726" s="79">
        <f>IF(Q726="","",IF(Q726="✓ Complete",0,1))</f>
        <v/>
      </c>
    </row>
    <row r="727" ht="20" customHeight="1">
      <c r="B727" s="72" t="n"/>
      <c r="C727" s="72" t="n"/>
      <c r="D727" s="72" t="n"/>
      <c r="E727" s="72" t="n"/>
      <c r="F727" s="72" t="n"/>
      <c r="G727" s="109" t="n"/>
      <c r="H727" s="72" t="n"/>
      <c r="I727" s="78">
        <f>IF(H727="","",HYPERLINK(H727,"Open ↗"))</f>
        <v/>
      </c>
      <c r="J727" s="72" t="n"/>
      <c r="L727" s="116">
        <f>IF('Contractors'!B727="","",'Contractors'!B727)</f>
        <v/>
      </c>
      <c r="M727" s="78">
        <f>IF(L727="","",'Contractors'!L727)</f>
        <v/>
      </c>
      <c r="N727" s="78">
        <f>IF(OR(L727="",M727&lt;&gt;"Yes"),"",IF(COUNTIFS('Vault'!$C$6:$C$1005,"Contract",'Vault'!$D$6:$D$1005,L727)&gt;0,"✓","✗ missing"))</f>
        <v/>
      </c>
      <c r="O727" s="78">
        <f>IF(OR(L727="",M727&lt;&gt;"Yes"),"",IF(COUNTIFS('Vault'!$C$6:$C$1005,"Insurance",'Vault'!$D$6:$D$1005,L727)&gt;0,"✓","✗ missing"))</f>
        <v/>
      </c>
      <c r="P727" s="78">
        <f>IF(OR(L727="",M727&lt;&gt;"Yes"),"",IF(COUNTIFS('Vault'!$C$6:$C$1005,"Quote",'Vault'!$D$6:$D$1005,L727)&gt;0,"✓","✗ missing"))</f>
        <v/>
      </c>
      <c r="Q727" s="78">
        <f>IF(N727="","",IF(AND(N727="✓",O727="✓",P727="✓"),"✓ Complete","Missing documents"))</f>
        <v/>
      </c>
      <c r="R727" s="79">
        <f>IF(Q727="","",IF(Q727="✓ Complete",0,1))</f>
        <v/>
      </c>
    </row>
    <row r="728" ht="20" customHeight="1">
      <c r="B728" s="72" t="n"/>
      <c r="C728" s="72" t="n"/>
      <c r="D728" s="72" t="n"/>
      <c r="E728" s="72" t="n"/>
      <c r="F728" s="72" t="n"/>
      <c r="G728" s="109" t="n"/>
      <c r="H728" s="72" t="n"/>
      <c r="I728" s="78">
        <f>IF(H728="","",HYPERLINK(H728,"Open ↗"))</f>
        <v/>
      </c>
      <c r="J728" s="72" t="n"/>
      <c r="L728" s="116">
        <f>IF('Contractors'!B728="","",'Contractors'!B728)</f>
        <v/>
      </c>
      <c r="M728" s="78">
        <f>IF(L728="","",'Contractors'!L728)</f>
        <v/>
      </c>
      <c r="N728" s="78">
        <f>IF(OR(L728="",M728&lt;&gt;"Yes"),"",IF(COUNTIFS('Vault'!$C$6:$C$1005,"Contract",'Vault'!$D$6:$D$1005,L728)&gt;0,"✓","✗ missing"))</f>
        <v/>
      </c>
      <c r="O728" s="78">
        <f>IF(OR(L728="",M728&lt;&gt;"Yes"),"",IF(COUNTIFS('Vault'!$C$6:$C$1005,"Insurance",'Vault'!$D$6:$D$1005,L728)&gt;0,"✓","✗ missing"))</f>
        <v/>
      </c>
      <c r="P728" s="78">
        <f>IF(OR(L728="",M728&lt;&gt;"Yes"),"",IF(COUNTIFS('Vault'!$C$6:$C$1005,"Quote",'Vault'!$D$6:$D$1005,L728)&gt;0,"✓","✗ missing"))</f>
        <v/>
      </c>
      <c r="Q728" s="78">
        <f>IF(N728="","",IF(AND(N728="✓",O728="✓",P728="✓"),"✓ Complete","Missing documents"))</f>
        <v/>
      </c>
      <c r="R728" s="79">
        <f>IF(Q728="","",IF(Q728="✓ Complete",0,1))</f>
        <v/>
      </c>
    </row>
    <row r="729" ht="20" customHeight="1">
      <c r="B729" s="72" t="n"/>
      <c r="C729" s="72" t="n"/>
      <c r="D729" s="72" t="n"/>
      <c r="E729" s="72" t="n"/>
      <c r="F729" s="72" t="n"/>
      <c r="G729" s="109" t="n"/>
      <c r="H729" s="72" t="n"/>
      <c r="I729" s="78">
        <f>IF(H729="","",HYPERLINK(H729,"Open ↗"))</f>
        <v/>
      </c>
      <c r="J729" s="72" t="n"/>
      <c r="L729" s="116">
        <f>IF('Contractors'!B729="","",'Contractors'!B729)</f>
        <v/>
      </c>
      <c r="M729" s="78">
        <f>IF(L729="","",'Contractors'!L729)</f>
        <v/>
      </c>
      <c r="N729" s="78">
        <f>IF(OR(L729="",M729&lt;&gt;"Yes"),"",IF(COUNTIFS('Vault'!$C$6:$C$1005,"Contract",'Vault'!$D$6:$D$1005,L729)&gt;0,"✓","✗ missing"))</f>
        <v/>
      </c>
      <c r="O729" s="78">
        <f>IF(OR(L729="",M729&lt;&gt;"Yes"),"",IF(COUNTIFS('Vault'!$C$6:$C$1005,"Insurance",'Vault'!$D$6:$D$1005,L729)&gt;0,"✓","✗ missing"))</f>
        <v/>
      </c>
      <c r="P729" s="78">
        <f>IF(OR(L729="",M729&lt;&gt;"Yes"),"",IF(COUNTIFS('Vault'!$C$6:$C$1005,"Quote",'Vault'!$D$6:$D$1005,L729)&gt;0,"✓","✗ missing"))</f>
        <v/>
      </c>
      <c r="Q729" s="78">
        <f>IF(N729="","",IF(AND(N729="✓",O729="✓",P729="✓"),"✓ Complete","Missing documents"))</f>
        <v/>
      </c>
      <c r="R729" s="79">
        <f>IF(Q729="","",IF(Q729="✓ Complete",0,1))</f>
        <v/>
      </c>
    </row>
    <row r="730" ht="20" customHeight="1">
      <c r="B730" s="72" t="n"/>
      <c r="C730" s="72" t="n"/>
      <c r="D730" s="72" t="n"/>
      <c r="E730" s="72" t="n"/>
      <c r="F730" s="72" t="n"/>
      <c r="G730" s="109" t="n"/>
      <c r="H730" s="72" t="n"/>
      <c r="I730" s="78">
        <f>IF(H730="","",HYPERLINK(H730,"Open ↗"))</f>
        <v/>
      </c>
      <c r="J730" s="72" t="n"/>
      <c r="L730" s="116">
        <f>IF('Contractors'!B730="","",'Contractors'!B730)</f>
        <v/>
      </c>
      <c r="M730" s="78">
        <f>IF(L730="","",'Contractors'!L730)</f>
        <v/>
      </c>
      <c r="N730" s="78">
        <f>IF(OR(L730="",M730&lt;&gt;"Yes"),"",IF(COUNTIFS('Vault'!$C$6:$C$1005,"Contract",'Vault'!$D$6:$D$1005,L730)&gt;0,"✓","✗ missing"))</f>
        <v/>
      </c>
      <c r="O730" s="78">
        <f>IF(OR(L730="",M730&lt;&gt;"Yes"),"",IF(COUNTIFS('Vault'!$C$6:$C$1005,"Insurance",'Vault'!$D$6:$D$1005,L730)&gt;0,"✓","✗ missing"))</f>
        <v/>
      </c>
      <c r="P730" s="78">
        <f>IF(OR(L730="",M730&lt;&gt;"Yes"),"",IF(COUNTIFS('Vault'!$C$6:$C$1005,"Quote",'Vault'!$D$6:$D$1005,L730)&gt;0,"✓","✗ missing"))</f>
        <v/>
      </c>
      <c r="Q730" s="78">
        <f>IF(N730="","",IF(AND(N730="✓",O730="✓",P730="✓"),"✓ Complete","Missing documents"))</f>
        <v/>
      </c>
      <c r="R730" s="79">
        <f>IF(Q730="","",IF(Q730="✓ Complete",0,1))</f>
        <v/>
      </c>
    </row>
    <row r="731" ht="20" customHeight="1">
      <c r="B731" s="72" t="n"/>
      <c r="C731" s="72" t="n"/>
      <c r="D731" s="72" t="n"/>
      <c r="E731" s="72" t="n"/>
      <c r="F731" s="72" t="n"/>
      <c r="G731" s="109" t="n"/>
      <c r="H731" s="72" t="n"/>
      <c r="I731" s="78">
        <f>IF(H731="","",HYPERLINK(H731,"Open ↗"))</f>
        <v/>
      </c>
      <c r="J731" s="72" t="n"/>
      <c r="L731" s="116">
        <f>IF('Contractors'!B731="","",'Contractors'!B731)</f>
        <v/>
      </c>
      <c r="M731" s="78">
        <f>IF(L731="","",'Contractors'!L731)</f>
        <v/>
      </c>
      <c r="N731" s="78">
        <f>IF(OR(L731="",M731&lt;&gt;"Yes"),"",IF(COUNTIFS('Vault'!$C$6:$C$1005,"Contract",'Vault'!$D$6:$D$1005,L731)&gt;0,"✓","✗ missing"))</f>
        <v/>
      </c>
      <c r="O731" s="78">
        <f>IF(OR(L731="",M731&lt;&gt;"Yes"),"",IF(COUNTIFS('Vault'!$C$6:$C$1005,"Insurance",'Vault'!$D$6:$D$1005,L731)&gt;0,"✓","✗ missing"))</f>
        <v/>
      </c>
      <c r="P731" s="78">
        <f>IF(OR(L731="",M731&lt;&gt;"Yes"),"",IF(COUNTIFS('Vault'!$C$6:$C$1005,"Quote",'Vault'!$D$6:$D$1005,L731)&gt;0,"✓","✗ missing"))</f>
        <v/>
      </c>
      <c r="Q731" s="78">
        <f>IF(N731="","",IF(AND(N731="✓",O731="✓",P731="✓"),"✓ Complete","Missing documents"))</f>
        <v/>
      </c>
      <c r="R731" s="79">
        <f>IF(Q731="","",IF(Q731="✓ Complete",0,1))</f>
        <v/>
      </c>
    </row>
    <row r="732" ht="20" customHeight="1">
      <c r="B732" s="72" t="n"/>
      <c r="C732" s="72" t="n"/>
      <c r="D732" s="72" t="n"/>
      <c r="E732" s="72" t="n"/>
      <c r="F732" s="72" t="n"/>
      <c r="G732" s="109" t="n"/>
      <c r="H732" s="72" t="n"/>
      <c r="I732" s="78">
        <f>IF(H732="","",HYPERLINK(H732,"Open ↗"))</f>
        <v/>
      </c>
      <c r="J732" s="72" t="n"/>
      <c r="L732" s="116">
        <f>IF('Contractors'!B732="","",'Contractors'!B732)</f>
        <v/>
      </c>
      <c r="M732" s="78">
        <f>IF(L732="","",'Contractors'!L732)</f>
        <v/>
      </c>
      <c r="N732" s="78">
        <f>IF(OR(L732="",M732&lt;&gt;"Yes"),"",IF(COUNTIFS('Vault'!$C$6:$C$1005,"Contract",'Vault'!$D$6:$D$1005,L732)&gt;0,"✓","✗ missing"))</f>
        <v/>
      </c>
      <c r="O732" s="78">
        <f>IF(OR(L732="",M732&lt;&gt;"Yes"),"",IF(COUNTIFS('Vault'!$C$6:$C$1005,"Insurance",'Vault'!$D$6:$D$1005,L732)&gt;0,"✓","✗ missing"))</f>
        <v/>
      </c>
      <c r="P732" s="78">
        <f>IF(OR(L732="",M732&lt;&gt;"Yes"),"",IF(COUNTIFS('Vault'!$C$6:$C$1005,"Quote",'Vault'!$D$6:$D$1005,L732)&gt;0,"✓","✗ missing"))</f>
        <v/>
      </c>
      <c r="Q732" s="78">
        <f>IF(N732="","",IF(AND(N732="✓",O732="✓",P732="✓"),"✓ Complete","Missing documents"))</f>
        <v/>
      </c>
      <c r="R732" s="79">
        <f>IF(Q732="","",IF(Q732="✓ Complete",0,1))</f>
        <v/>
      </c>
    </row>
    <row r="733" ht="20" customHeight="1">
      <c r="B733" s="72" t="n"/>
      <c r="C733" s="72" t="n"/>
      <c r="D733" s="72" t="n"/>
      <c r="E733" s="72" t="n"/>
      <c r="F733" s="72" t="n"/>
      <c r="G733" s="109" t="n"/>
      <c r="H733" s="72" t="n"/>
      <c r="I733" s="78">
        <f>IF(H733="","",HYPERLINK(H733,"Open ↗"))</f>
        <v/>
      </c>
      <c r="J733" s="72" t="n"/>
      <c r="L733" s="116">
        <f>IF('Contractors'!B733="","",'Contractors'!B733)</f>
        <v/>
      </c>
      <c r="M733" s="78">
        <f>IF(L733="","",'Contractors'!L733)</f>
        <v/>
      </c>
      <c r="N733" s="78">
        <f>IF(OR(L733="",M733&lt;&gt;"Yes"),"",IF(COUNTIFS('Vault'!$C$6:$C$1005,"Contract",'Vault'!$D$6:$D$1005,L733)&gt;0,"✓","✗ missing"))</f>
        <v/>
      </c>
      <c r="O733" s="78">
        <f>IF(OR(L733="",M733&lt;&gt;"Yes"),"",IF(COUNTIFS('Vault'!$C$6:$C$1005,"Insurance",'Vault'!$D$6:$D$1005,L733)&gt;0,"✓","✗ missing"))</f>
        <v/>
      </c>
      <c r="P733" s="78">
        <f>IF(OR(L733="",M733&lt;&gt;"Yes"),"",IF(COUNTIFS('Vault'!$C$6:$C$1005,"Quote",'Vault'!$D$6:$D$1005,L733)&gt;0,"✓","✗ missing"))</f>
        <v/>
      </c>
      <c r="Q733" s="78">
        <f>IF(N733="","",IF(AND(N733="✓",O733="✓",P733="✓"),"✓ Complete","Missing documents"))</f>
        <v/>
      </c>
      <c r="R733" s="79">
        <f>IF(Q733="","",IF(Q733="✓ Complete",0,1))</f>
        <v/>
      </c>
    </row>
    <row r="734" ht="20" customHeight="1">
      <c r="B734" s="72" t="n"/>
      <c r="C734" s="72" t="n"/>
      <c r="D734" s="72" t="n"/>
      <c r="E734" s="72" t="n"/>
      <c r="F734" s="72" t="n"/>
      <c r="G734" s="109" t="n"/>
      <c r="H734" s="72" t="n"/>
      <c r="I734" s="78">
        <f>IF(H734="","",HYPERLINK(H734,"Open ↗"))</f>
        <v/>
      </c>
      <c r="J734" s="72" t="n"/>
      <c r="L734" s="116">
        <f>IF('Contractors'!B734="","",'Contractors'!B734)</f>
        <v/>
      </c>
      <c r="M734" s="78">
        <f>IF(L734="","",'Contractors'!L734)</f>
        <v/>
      </c>
      <c r="N734" s="78">
        <f>IF(OR(L734="",M734&lt;&gt;"Yes"),"",IF(COUNTIFS('Vault'!$C$6:$C$1005,"Contract",'Vault'!$D$6:$D$1005,L734)&gt;0,"✓","✗ missing"))</f>
        <v/>
      </c>
      <c r="O734" s="78">
        <f>IF(OR(L734="",M734&lt;&gt;"Yes"),"",IF(COUNTIFS('Vault'!$C$6:$C$1005,"Insurance",'Vault'!$D$6:$D$1005,L734)&gt;0,"✓","✗ missing"))</f>
        <v/>
      </c>
      <c r="P734" s="78">
        <f>IF(OR(L734="",M734&lt;&gt;"Yes"),"",IF(COUNTIFS('Vault'!$C$6:$C$1005,"Quote",'Vault'!$D$6:$D$1005,L734)&gt;0,"✓","✗ missing"))</f>
        <v/>
      </c>
      <c r="Q734" s="78">
        <f>IF(N734="","",IF(AND(N734="✓",O734="✓",P734="✓"),"✓ Complete","Missing documents"))</f>
        <v/>
      </c>
      <c r="R734" s="79">
        <f>IF(Q734="","",IF(Q734="✓ Complete",0,1))</f>
        <v/>
      </c>
    </row>
    <row r="735" ht="20" customHeight="1">
      <c r="B735" s="72" t="n"/>
      <c r="C735" s="72" t="n"/>
      <c r="D735" s="72" t="n"/>
      <c r="E735" s="72" t="n"/>
      <c r="F735" s="72" t="n"/>
      <c r="G735" s="109" t="n"/>
      <c r="H735" s="72" t="n"/>
      <c r="I735" s="78">
        <f>IF(H735="","",HYPERLINK(H735,"Open ↗"))</f>
        <v/>
      </c>
      <c r="J735" s="72" t="n"/>
      <c r="L735" s="116">
        <f>IF('Contractors'!B735="","",'Contractors'!B735)</f>
        <v/>
      </c>
      <c r="M735" s="78">
        <f>IF(L735="","",'Contractors'!L735)</f>
        <v/>
      </c>
      <c r="N735" s="78">
        <f>IF(OR(L735="",M735&lt;&gt;"Yes"),"",IF(COUNTIFS('Vault'!$C$6:$C$1005,"Contract",'Vault'!$D$6:$D$1005,L735)&gt;0,"✓","✗ missing"))</f>
        <v/>
      </c>
      <c r="O735" s="78">
        <f>IF(OR(L735="",M735&lt;&gt;"Yes"),"",IF(COUNTIFS('Vault'!$C$6:$C$1005,"Insurance",'Vault'!$D$6:$D$1005,L735)&gt;0,"✓","✗ missing"))</f>
        <v/>
      </c>
      <c r="P735" s="78">
        <f>IF(OR(L735="",M735&lt;&gt;"Yes"),"",IF(COUNTIFS('Vault'!$C$6:$C$1005,"Quote",'Vault'!$D$6:$D$1005,L735)&gt;0,"✓","✗ missing"))</f>
        <v/>
      </c>
      <c r="Q735" s="78">
        <f>IF(N735="","",IF(AND(N735="✓",O735="✓",P735="✓"),"✓ Complete","Missing documents"))</f>
        <v/>
      </c>
      <c r="R735" s="79">
        <f>IF(Q735="","",IF(Q735="✓ Complete",0,1))</f>
        <v/>
      </c>
    </row>
    <row r="736" ht="20" customHeight="1">
      <c r="B736" s="72" t="n"/>
      <c r="C736" s="72" t="n"/>
      <c r="D736" s="72" t="n"/>
      <c r="E736" s="72" t="n"/>
      <c r="F736" s="72" t="n"/>
      <c r="G736" s="109" t="n"/>
      <c r="H736" s="72" t="n"/>
      <c r="I736" s="78">
        <f>IF(H736="","",HYPERLINK(H736,"Open ↗"))</f>
        <v/>
      </c>
      <c r="J736" s="72" t="n"/>
      <c r="L736" s="116">
        <f>IF('Contractors'!B736="","",'Contractors'!B736)</f>
        <v/>
      </c>
      <c r="M736" s="78">
        <f>IF(L736="","",'Contractors'!L736)</f>
        <v/>
      </c>
      <c r="N736" s="78">
        <f>IF(OR(L736="",M736&lt;&gt;"Yes"),"",IF(COUNTIFS('Vault'!$C$6:$C$1005,"Contract",'Vault'!$D$6:$D$1005,L736)&gt;0,"✓","✗ missing"))</f>
        <v/>
      </c>
      <c r="O736" s="78">
        <f>IF(OR(L736="",M736&lt;&gt;"Yes"),"",IF(COUNTIFS('Vault'!$C$6:$C$1005,"Insurance",'Vault'!$D$6:$D$1005,L736)&gt;0,"✓","✗ missing"))</f>
        <v/>
      </c>
      <c r="P736" s="78">
        <f>IF(OR(L736="",M736&lt;&gt;"Yes"),"",IF(COUNTIFS('Vault'!$C$6:$C$1005,"Quote",'Vault'!$D$6:$D$1005,L736)&gt;0,"✓","✗ missing"))</f>
        <v/>
      </c>
      <c r="Q736" s="78">
        <f>IF(N736="","",IF(AND(N736="✓",O736="✓",P736="✓"),"✓ Complete","Missing documents"))</f>
        <v/>
      </c>
      <c r="R736" s="79">
        <f>IF(Q736="","",IF(Q736="✓ Complete",0,1))</f>
        <v/>
      </c>
    </row>
    <row r="737" ht="20" customHeight="1">
      <c r="B737" s="72" t="n"/>
      <c r="C737" s="72" t="n"/>
      <c r="D737" s="72" t="n"/>
      <c r="E737" s="72" t="n"/>
      <c r="F737" s="72" t="n"/>
      <c r="G737" s="109" t="n"/>
      <c r="H737" s="72" t="n"/>
      <c r="I737" s="78">
        <f>IF(H737="","",HYPERLINK(H737,"Open ↗"))</f>
        <v/>
      </c>
      <c r="J737" s="72" t="n"/>
      <c r="L737" s="116">
        <f>IF('Contractors'!B737="","",'Contractors'!B737)</f>
        <v/>
      </c>
      <c r="M737" s="78">
        <f>IF(L737="","",'Contractors'!L737)</f>
        <v/>
      </c>
      <c r="N737" s="78">
        <f>IF(OR(L737="",M737&lt;&gt;"Yes"),"",IF(COUNTIFS('Vault'!$C$6:$C$1005,"Contract",'Vault'!$D$6:$D$1005,L737)&gt;0,"✓","✗ missing"))</f>
        <v/>
      </c>
      <c r="O737" s="78">
        <f>IF(OR(L737="",M737&lt;&gt;"Yes"),"",IF(COUNTIFS('Vault'!$C$6:$C$1005,"Insurance",'Vault'!$D$6:$D$1005,L737)&gt;0,"✓","✗ missing"))</f>
        <v/>
      </c>
      <c r="P737" s="78">
        <f>IF(OR(L737="",M737&lt;&gt;"Yes"),"",IF(COUNTIFS('Vault'!$C$6:$C$1005,"Quote",'Vault'!$D$6:$D$1005,L737)&gt;0,"✓","✗ missing"))</f>
        <v/>
      </c>
      <c r="Q737" s="78">
        <f>IF(N737="","",IF(AND(N737="✓",O737="✓",P737="✓"),"✓ Complete","Missing documents"))</f>
        <v/>
      </c>
      <c r="R737" s="79">
        <f>IF(Q737="","",IF(Q737="✓ Complete",0,1))</f>
        <v/>
      </c>
    </row>
    <row r="738" ht="20" customHeight="1">
      <c r="B738" s="72" t="n"/>
      <c r="C738" s="72" t="n"/>
      <c r="D738" s="72" t="n"/>
      <c r="E738" s="72" t="n"/>
      <c r="F738" s="72" t="n"/>
      <c r="G738" s="109" t="n"/>
      <c r="H738" s="72" t="n"/>
      <c r="I738" s="78">
        <f>IF(H738="","",HYPERLINK(H738,"Open ↗"))</f>
        <v/>
      </c>
      <c r="J738" s="72" t="n"/>
      <c r="L738" s="116">
        <f>IF('Contractors'!B738="","",'Contractors'!B738)</f>
        <v/>
      </c>
      <c r="M738" s="78">
        <f>IF(L738="","",'Contractors'!L738)</f>
        <v/>
      </c>
      <c r="N738" s="78">
        <f>IF(OR(L738="",M738&lt;&gt;"Yes"),"",IF(COUNTIFS('Vault'!$C$6:$C$1005,"Contract",'Vault'!$D$6:$D$1005,L738)&gt;0,"✓","✗ missing"))</f>
        <v/>
      </c>
      <c r="O738" s="78">
        <f>IF(OR(L738="",M738&lt;&gt;"Yes"),"",IF(COUNTIFS('Vault'!$C$6:$C$1005,"Insurance",'Vault'!$D$6:$D$1005,L738)&gt;0,"✓","✗ missing"))</f>
        <v/>
      </c>
      <c r="P738" s="78">
        <f>IF(OR(L738="",M738&lt;&gt;"Yes"),"",IF(COUNTIFS('Vault'!$C$6:$C$1005,"Quote",'Vault'!$D$6:$D$1005,L738)&gt;0,"✓","✗ missing"))</f>
        <v/>
      </c>
      <c r="Q738" s="78">
        <f>IF(N738="","",IF(AND(N738="✓",O738="✓",P738="✓"),"✓ Complete","Missing documents"))</f>
        <v/>
      </c>
      <c r="R738" s="79">
        <f>IF(Q738="","",IF(Q738="✓ Complete",0,1))</f>
        <v/>
      </c>
    </row>
    <row r="739" ht="20" customHeight="1">
      <c r="B739" s="72" t="n"/>
      <c r="C739" s="72" t="n"/>
      <c r="D739" s="72" t="n"/>
      <c r="E739" s="72" t="n"/>
      <c r="F739" s="72" t="n"/>
      <c r="G739" s="109" t="n"/>
      <c r="H739" s="72" t="n"/>
      <c r="I739" s="78">
        <f>IF(H739="","",HYPERLINK(H739,"Open ↗"))</f>
        <v/>
      </c>
      <c r="J739" s="72" t="n"/>
      <c r="L739" s="116">
        <f>IF('Contractors'!B739="","",'Contractors'!B739)</f>
        <v/>
      </c>
      <c r="M739" s="78">
        <f>IF(L739="","",'Contractors'!L739)</f>
        <v/>
      </c>
      <c r="N739" s="78">
        <f>IF(OR(L739="",M739&lt;&gt;"Yes"),"",IF(COUNTIFS('Vault'!$C$6:$C$1005,"Contract",'Vault'!$D$6:$D$1005,L739)&gt;0,"✓","✗ missing"))</f>
        <v/>
      </c>
      <c r="O739" s="78">
        <f>IF(OR(L739="",M739&lt;&gt;"Yes"),"",IF(COUNTIFS('Vault'!$C$6:$C$1005,"Insurance",'Vault'!$D$6:$D$1005,L739)&gt;0,"✓","✗ missing"))</f>
        <v/>
      </c>
      <c r="P739" s="78">
        <f>IF(OR(L739="",M739&lt;&gt;"Yes"),"",IF(COUNTIFS('Vault'!$C$6:$C$1005,"Quote",'Vault'!$D$6:$D$1005,L739)&gt;0,"✓","✗ missing"))</f>
        <v/>
      </c>
      <c r="Q739" s="78">
        <f>IF(N739="","",IF(AND(N739="✓",O739="✓",P739="✓"),"✓ Complete","Missing documents"))</f>
        <v/>
      </c>
      <c r="R739" s="79">
        <f>IF(Q739="","",IF(Q739="✓ Complete",0,1))</f>
        <v/>
      </c>
    </row>
    <row r="740" ht="20" customHeight="1">
      <c r="B740" s="72" t="n"/>
      <c r="C740" s="72" t="n"/>
      <c r="D740" s="72" t="n"/>
      <c r="E740" s="72" t="n"/>
      <c r="F740" s="72" t="n"/>
      <c r="G740" s="109" t="n"/>
      <c r="H740" s="72" t="n"/>
      <c r="I740" s="78">
        <f>IF(H740="","",HYPERLINK(H740,"Open ↗"))</f>
        <v/>
      </c>
      <c r="J740" s="72" t="n"/>
      <c r="L740" s="116">
        <f>IF('Contractors'!B740="","",'Contractors'!B740)</f>
        <v/>
      </c>
      <c r="M740" s="78">
        <f>IF(L740="","",'Contractors'!L740)</f>
        <v/>
      </c>
      <c r="N740" s="78">
        <f>IF(OR(L740="",M740&lt;&gt;"Yes"),"",IF(COUNTIFS('Vault'!$C$6:$C$1005,"Contract",'Vault'!$D$6:$D$1005,L740)&gt;0,"✓","✗ missing"))</f>
        <v/>
      </c>
      <c r="O740" s="78">
        <f>IF(OR(L740="",M740&lt;&gt;"Yes"),"",IF(COUNTIFS('Vault'!$C$6:$C$1005,"Insurance",'Vault'!$D$6:$D$1005,L740)&gt;0,"✓","✗ missing"))</f>
        <v/>
      </c>
      <c r="P740" s="78">
        <f>IF(OR(L740="",M740&lt;&gt;"Yes"),"",IF(COUNTIFS('Vault'!$C$6:$C$1005,"Quote",'Vault'!$D$6:$D$1005,L740)&gt;0,"✓","✗ missing"))</f>
        <v/>
      </c>
      <c r="Q740" s="78">
        <f>IF(N740="","",IF(AND(N740="✓",O740="✓",P740="✓"),"✓ Complete","Missing documents"))</f>
        <v/>
      </c>
      <c r="R740" s="79">
        <f>IF(Q740="","",IF(Q740="✓ Complete",0,1))</f>
        <v/>
      </c>
    </row>
    <row r="741" ht="20" customHeight="1">
      <c r="B741" s="72" t="n"/>
      <c r="C741" s="72" t="n"/>
      <c r="D741" s="72" t="n"/>
      <c r="E741" s="72" t="n"/>
      <c r="F741" s="72" t="n"/>
      <c r="G741" s="109" t="n"/>
      <c r="H741" s="72" t="n"/>
      <c r="I741" s="78">
        <f>IF(H741="","",HYPERLINK(H741,"Open ↗"))</f>
        <v/>
      </c>
      <c r="J741" s="72" t="n"/>
      <c r="L741" s="116">
        <f>IF('Contractors'!B741="","",'Contractors'!B741)</f>
        <v/>
      </c>
      <c r="M741" s="78">
        <f>IF(L741="","",'Contractors'!L741)</f>
        <v/>
      </c>
      <c r="N741" s="78">
        <f>IF(OR(L741="",M741&lt;&gt;"Yes"),"",IF(COUNTIFS('Vault'!$C$6:$C$1005,"Contract",'Vault'!$D$6:$D$1005,L741)&gt;0,"✓","✗ missing"))</f>
        <v/>
      </c>
      <c r="O741" s="78">
        <f>IF(OR(L741="",M741&lt;&gt;"Yes"),"",IF(COUNTIFS('Vault'!$C$6:$C$1005,"Insurance",'Vault'!$D$6:$D$1005,L741)&gt;0,"✓","✗ missing"))</f>
        <v/>
      </c>
      <c r="P741" s="78">
        <f>IF(OR(L741="",M741&lt;&gt;"Yes"),"",IF(COUNTIFS('Vault'!$C$6:$C$1005,"Quote",'Vault'!$D$6:$D$1005,L741)&gt;0,"✓","✗ missing"))</f>
        <v/>
      </c>
      <c r="Q741" s="78">
        <f>IF(N741="","",IF(AND(N741="✓",O741="✓",P741="✓"),"✓ Complete","Missing documents"))</f>
        <v/>
      </c>
      <c r="R741" s="79">
        <f>IF(Q741="","",IF(Q741="✓ Complete",0,1))</f>
        <v/>
      </c>
    </row>
    <row r="742" ht="20" customHeight="1">
      <c r="B742" s="72" t="n"/>
      <c r="C742" s="72" t="n"/>
      <c r="D742" s="72" t="n"/>
      <c r="E742" s="72" t="n"/>
      <c r="F742" s="72" t="n"/>
      <c r="G742" s="109" t="n"/>
      <c r="H742" s="72" t="n"/>
      <c r="I742" s="78">
        <f>IF(H742="","",HYPERLINK(H742,"Open ↗"))</f>
        <v/>
      </c>
      <c r="J742" s="72" t="n"/>
      <c r="L742" s="116">
        <f>IF('Contractors'!B742="","",'Contractors'!B742)</f>
        <v/>
      </c>
      <c r="M742" s="78">
        <f>IF(L742="","",'Contractors'!L742)</f>
        <v/>
      </c>
      <c r="N742" s="78">
        <f>IF(OR(L742="",M742&lt;&gt;"Yes"),"",IF(COUNTIFS('Vault'!$C$6:$C$1005,"Contract",'Vault'!$D$6:$D$1005,L742)&gt;0,"✓","✗ missing"))</f>
        <v/>
      </c>
      <c r="O742" s="78">
        <f>IF(OR(L742="",M742&lt;&gt;"Yes"),"",IF(COUNTIFS('Vault'!$C$6:$C$1005,"Insurance",'Vault'!$D$6:$D$1005,L742)&gt;0,"✓","✗ missing"))</f>
        <v/>
      </c>
      <c r="P742" s="78">
        <f>IF(OR(L742="",M742&lt;&gt;"Yes"),"",IF(COUNTIFS('Vault'!$C$6:$C$1005,"Quote",'Vault'!$D$6:$D$1005,L742)&gt;0,"✓","✗ missing"))</f>
        <v/>
      </c>
      <c r="Q742" s="78">
        <f>IF(N742="","",IF(AND(N742="✓",O742="✓",P742="✓"),"✓ Complete","Missing documents"))</f>
        <v/>
      </c>
      <c r="R742" s="79">
        <f>IF(Q742="","",IF(Q742="✓ Complete",0,1))</f>
        <v/>
      </c>
    </row>
    <row r="743" ht="20" customHeight="1">
      <c r="B743" s="72" t="n"/>
      <c r="C743" s="72" t="n"/>
      <c r="D743" s="72" t="n"/>
      <c r="E743" s="72" t="n"/>
      <c r="F743" s="72" t="n"/>
      <c r="G743" s="109" t="n"/>
      <c r="H743" s="72" t="n"/>
      <c r="I743" s="78">
        <f>IF(H743="","",HYPERLINK(H743,"Open ↗"))</f>
        <v/>
      </c>
      <c r="J743" s="72" t="n"/>
      <c r="L743" s="116">
        <f>IF('Contractors'!B743="","",'Contractors'!B743)</f>
        <v/>
      </c>
      <c r="M743" s="78">
        <f>IF(L743="","",'Contractors'!L743)</f>
        <v/>
      </c>
      <c r="N743" s="78">
        <f>IF(OR(L743="",M743&lt;&gt;"Yes"),"",IF(COUNTIFS('Vault'!$C$6:$C$1005,"Contract",'Vault'!$D$6:$D$1005,L743)&gt;0,"✓","✗ missing"))</f>
        <v/>
      </c>
      <c r="O743" s="78">
        <f>IF(OR(L743="",M743&lt;&gt;"Yes"),"",IF(COUNTIFS('Vault'!$C$6:$C$1005,"Insurance",'Vault'!$D$6:$D$1005,L743)&gt;0,"✓","✗ missing"))</f>
        <v/>
      </c>
      <c r="P743" s="78">
        <f>IF(OR(L743="",M743&lt;&gt;"Yes"),"",IF(COUNTIFS('Vault'!$C$6:$C$1005,"Quote",'Vault'!$D$6:$D$1005,L743)&gt;0,"✓","✗ missing"))</f>
        <v/>
      </c>
      <c r="Q743" s="78">
        <f>IF(N743="","",IF(AND(N743="✓",O743="✓",P743="✓"),"✓ Complete","Missing documents"))</f>
        <v/>
      </c>
      <c r="R743" s="79">
        <f>IF(Q743="","",IF(Q743="✓ Complete",0,1))</f>
        <v/>
      </c>
    </row>
    <row r="744" ht="20" customHeight="1">
      <c r="B744" s="72" t="n"/>
      <c r="C744" s="72" t="n"/>
      <c r="D744" s="72" t="n"/>
      <c r="E744" s="72" t="n"/>
      <c r="F744" s="72" t="n"/>
      <c r="G744" s="109" t="n"/>
      <c r="H744" s="72" t="n"/>
      <c r="I744" s="78">
        <f>IF(H744="","",HYPERLINK(H744,"Open ↗"))</f>
        <v/>
      </c>
      <c r="J744" s="72" t="n"/>
      <c r="L744" s="116">
        <f>IF('Contractors'!B744="","",'Contractors'!B744)</f>
        <v/>
      </c>
      <c r="M744" s="78">
        <f>IF(L744="","",'Contractors'!L744)</f>
        <v/>
      </c>
      <c r="N744" s="78">
        <f>IF(OR(L744="",M744&lt;&gt;"Yes"),"",IF(COUNTIFS('Vault'!$C$6:$C$1005,"Contract",'Vault'!$D$6:$D$1005,L744)&gt;0,"✓","✗ missing"))</f>
        <v/>
      </c>
      <c r="O744" s="78">
        <f>IF(OR(L744="",M744&lt;&gt;"Yes"),"",IF(COUNTIFS('Vault'!$C$6:$C$1005,"Insurance",'Vault'!$D$6:$D$1005,L744)&gt;0,"✓","✗ missing"))</f>
        <v/>
      </c>
      <c r="P744" s="78">
        <f>IF(OR(L744="",M744&lt;&gt;"Yes"),"",IF(COUNTIFS('Vault'!$C$6:$C$1005,"Quote",'Vault'!$D$6:$D$1005,L744)&gt;0,"✓","✗ missing"))</f>
        <v/>
      </c>
      <c r="Q744" s="78">
        <f>IF(N744="","",IF(AND(N744="✓",O744="✓",P744="✓"),"✓ Complete","Missing documents"))</f>
        <v/>
      </c>
      <c r="R744" s="79">
        <f>IF(Q744="","",IF(Q744="✓ Complete",0,1))</f>
        <v/>
      </c>
    </row>
    <row r="745" ht="20" customHeight="1">
      <c r="B745" s="72" t="n"/>
      <c r="C745" s="72" t="n"/>
      <c r="D745" s="72" t="n"/>
      <c r="E745" s="72" t="n"/>
      <c r="F745" s="72" t="n"/>
      <c r="G745" s="109" t="n"/>
      <c r="H745" s="72" t="n"/>
      <c r="I745" s="78">
        <f>IF(H745="","",HYPERLINK(H745,"Open ↗"))</f>
        <v/>
      </c>
      <c r="J745" s="72" t="n"/>
      <c r="L745" s="116">
        <f>IF('Contractors'!B745="","",'Contractors'!B745)</f>
        <v/>
      </c>
      <c r="M745" s="78">
        <f>IF(L745="","",'Contractors'!L745)</f>
        <v/>
      </c>
      <c r="N745" s="78">
        <f>IF(OR(L745="",M745&lt;&gt;"Yes"),"",IF(COUNTIFS('Vault'!$C$6:$C$1005,"Contract",'Vault'!$D$6:$D$1005,L745)&gt;0,"✓","✗ missing"))</f>
        <v/>
      </c>
      <c r="O745" s="78">
        <f>IF(OR(L745="",M745&lt;&gt;"Yes"),"",IF(COUNTIFS('Vault'!$C$6:$C$1005,"Insurance",'Vault'!$D$6:$D$1005,L745)&gt;0,"✓","✗ missing"))</f>
        <v/>
      </c>
      <c r="P745" s="78">
        <f>IF(OR(L745="",M745&lt;&gt;"Yes"),"",IF(COUNTIFS('Vault'!$C$6:$C$1005,"Quote",'Vault'!$D$6:$D$1005,L745)&gt;0,"✓","✗ missing"))</f>
        <v/>
      </c>
      <c r="Q745" s="78">
        <f>IF(N745="","",IF(AND(N745="✓",O745="✓",P745="✓"),"✓ Complete","Missing documents"))</f>
        <v/>
      </c>
      <c r="R745" s="79">
        <f>IF(Q745="","",IF(Q745="✓ Complete",0,1))</f>
        <v/>
      </c>
    </row>
    <row r="746" ht="20" customHeight="1">
      <c r="B746" s="72" t="n"/>
      <c r="C746" s="72" t="n"/>
      <c r="D746" s="72" t="n"/>
      <c r="E746" s="72" t="n"/>
      <c r="F746" s="72" t="n"/>
      <c r="G746" s="109" t="n"/>
      <c r="H746" s="72" t="n"/>
      <c r="I746" s="78">
        <f>IF(H746="","",HYPERLINK(H746,"Open ↗"))</f>
        <v/>
      </c>
      <c r="J746" s="72" t="n"/>
      <c r="L746" s="116">
        <f>IF('Contractors'!B746="","",'Contractors'!B746)</f>
        <v/>
      </c>
      <c r="M746" s="78">
        <f>IF(L746="","",'Contractors'!L746)</f>
        <v/>
      </c>
      <c r="N746" s="78">
        <f>IF(OR(L746="",M746&lt;&gt;"Yes"),"",IF(COUNTIFS('Vault'!$C$6:$C$1005,"Contract",'Vault'!$D$6:$D$1005,L746)&gt;0,"✓","✗ missing"))</f>
        <v/>
      </c>
      <c r="O746" s="78">
        <f>IF(OR(L746="",M746&lt;&gt;"Yes"),"",IF(COUNTIFS('Vault'!$C$6:$C$1005,"Insurance",'Vault'!$D$6:$D$1005,L746)&gt;0,"✓","✗ missing"))</f>
        <v/>
      </c>
      <c r="P746" s="78">
        <f>IF(OR(L746="",M746&lt;&gt;"Yes"),"",IF(COUNTIFS('Vault'!$C$6:$C$1005,"Quote",'Vault'!$D$6:$D$1005,L746)&gt;0,"✓","✗ missing"))</f>
        <v/>
      </c>
      <c r="Q746" s="78">
        <f>IF(N746="","",IF(AND(N746="✓",O746="✓",P746="✓"),"✓ Complete","Missing documents"))</f>
        <v/>
      </c>
      <c r="R746" s="79">
        <f>IF(Q746="","",IF(Q746="✓ Complete",0,1))</f>
        <v/>
      </c>
    </row>
    <row r="747" ht="20" customHeight="1">
      <c r="B747" s="72" t="n"/>
      <c r="C747" s="72" t="n"/>
      <c r="D747" s="72" t="n"/>
      <c r="E747" s="72" t="n"/>
      <c r="F747" s="72" t="n"/>
      <c r="G747" s="109" t="n"/>
      <c r="H747" s="72" t="n"/>
      <c r="I747" s="78">
        <f>IF(H747="","",HYPERLINK(H747,"Open ↗"))</f>
        <v/>
      </c>
      <c r="J747" s="72" t="n"/>
      <c r="L747" s="116">
        <f>IF('Contractors'!B747="","",'Contractors'!B747)</f>
        <v/>
      </c>
      <c r="M747" s="78">
        <f>IF(L747="","",'Contractors'!L747)</f>
        <v/>
      </c>
      <c r="N747" s="78">
        <f>IF(OR(L747="",M747&lt;&gt;"Yes"),"",IF(COUNTIFS('Vault'!$C$6:$C$1005,"Contract",'Vault'!$D$6:$D$1005,L747)&gt;0,"✓","✗ missing"))</f>
        <v/>
      </c>
      <c r="O747" s="78">
        <f>IF(OR(L747="",M747&lt;&gt;"Yes"),"",IF(COUNTIFS('Vault'!$C$6:$C$1005,"Insurance",'Vault'!$D$6:$D$1005,L747)&gt;0,"✓","✗ missing"))</f>
        <v/>
      </c>
      <c r="P747" s="78">
        <f>IF(OR(L747="",M747&lt;&gt;"Yes"),"",IF(COUNTIFS('Vault'!$C$6:$C$1005,"Quote",'Vault'!$D$6:$D$1005,L747)&gt;0,"✓","✗ missing"))</f>
        <v/>
      </c>
      <c r="Q747" s="78">
        <f>IF(N747="","",IF(AND(N747="✓",O747="✓",P747="✓"),"✓ Complete","Missing documents"))</f>
        <v/>
      </c>
      <c r="R747" s="79">
        <f>IF(Q747="","",IF(Q747="✓ Complete",0,1))</f>
        <v/>
      </c>
    </row>
    <row r="748" ht="20" customHeight="1">
      <c r="B748" s="72" t="n"/>
      <c r="C748" s="72" t="n"/>
      <c r="D748" s="72" t="n"/>
      <c r="E748" s="72" t="n"/>
      <c r="F748" s="72" t="n"/>
      <c r="G748" s="109" t="n"/>
      <c r="H748" s="72" t="n"/>
      <c r="I748" s="78">
        <f>IF(H748="","",HYPERLINK(H748,"Open ↗"))</f>
        <v/>
      </c>
      <c r="J748" s="72" t="n"/>
      <c r="L748" s="116">
        <f>IF('Contractors'!B748="","",'Contractors'!B748)</f>
        <v/>
      </c>
      <c r="M748" s="78">
        <f>IF(L748="","",'Contractors'!L748)</f>
        <v/>
      </c>
      <c r="N748" s="78">
        <f>IF(OR(L748="",M748&lt;&gt;"Yes"),"",IF(COUNTIFS('Vault'!$C$6:$C$1005,"Contract",'Vault'!$D$6:$D$1005,L748)&gt;0,"✓","✗ missing"))</f>
        <v/>
      </c>
      <c r="O748" s="78">
        <f>IF(OR(L748="",M748&lt;&gt;"Yes"),"",IF(COUNTIFS('Vault'!$C$6:$C$1005,"Insurance",'Vault'!$D$6:$D$1005,L748)&gt;0,"✓","✗ missing"))</f>
        <v/>
      </c>
      <c r="P748" s="78">
        <f>IF(OR(L748="",M748&lt;&gt;"Yes"),"",IF(COUNTIFS('Vault'!$C$6:$C$1005,"Quote",'Vault'!$D$6:$D$1005,L748)&gt;0,"✓","✗ missing"))</f>
        <v/>
      </c>
      <c r="Q748" s="78">
        <f>IF(N748="","",IF(AND(N748="✓",O748="✓",P748="✓"),"✓ Complete","Missing documents"))</f>
        <v/>
      </c>
      <c r="R748" s="79">
        <f>IF(Q748="","",IF(Q748="✓ Complete",0,1))</f>
        <v/>
      </c>
    </row>
    <row r="749" ht="20" customHeight="1">
      <c r="B749" s="72" t="n"/>
      <c r="C749" s="72" t="n"/>
      <c r="D749" s="72" t="n"/>
      <c r="E749" s="72" t="n"/>
      <c r="F749" s="72" t="n"/>
      <c r="G749" s="109" t="n"/>
      <c r="H749" s="72" t="n"/>
      <c r="I749" s="78">
        <f>IF(H749="","",HYPERLINK(H749,"Open ↗"))</f>
        <v/>
      </c>
      <c r="J749" s="72" t="n"/>
      <c r="L749" s="116">
        <f>IF('Contractors'!B749="","",'Contractors'!B749)</f>
        <v/>
      </c>
      <c r="M749" s="78">
        <f>IF(L749="","",'Contractors'!L749)</f>
        <v/>
      </c>
      <c r="N749" s="78">
        <f>IF(OR(L749="",M749&lt;&gt;"Yes"),"",IF(COUNTIFS('Vault'!$C$6:$C$1005,"Contract",'Vault'!$D$6:$D$1005,L749)&gt;0,"✓","✗ missing"))</f>
        <v/>
      </c>
      <c r="O749" s="78">
        <f>IF(OR(L749="",M749&lt;&gt;"Yes"),"",IF(COUNTIFS('Vault'!$C$6:$C$1005,"Insurance",'Vault'!$D$6:$D$1005,L749)&gt;0,"✓","✗ missing"))</f>
        <v/>
      </c>
      <c r="P749" s="78">
        <f>IF(OR(L749="",M749&lt;&gt;"Yes"),"",IF(COUNTIFS('Vault'!$C$6:$C$1005,"Quote",'Vault'!$D$6:$D$1005,L749)&gt;0,"✓","✗ missing"))</f>
        <v/>
      </c>
      <c r="Q749" s="78">
        <f>IF(N749="","",IF(AND(N749="✓",O749="✓",P749="✓"),"✓ Complete","Missing documents"))</f>
        <v/>
      </c>
      <c r="R749" s="79">
        <f>IF(Q749="","",IF(Q749="✓ Complete",0,1))</f>
        <v/>
      </c>
    </row>
    <row r="750" ht="20" customHeight="1">
      <c r="B750" s="72" t="n"/>
      <c r="C750" s="72" t="n"/>
      <c r="D750" s="72" t="n"/>
      <c r="E750" s="72" t="n"/>
      <c r="F750" s="72" t="n"/>
      <c r="G750" s="109" t="n"/>
      <c r="H750" s="72" t="n"/>
      <c r="I750" s="78">
        <f>IF(H750="","",HYPERLINK(H750,"Open ↗"))</f>
        <v/>
      </c>
      <c r="J750" s="72" t="n"/>
      <c r="L750" s="116">
        <f>IF('Contractors'!B750="","",'Contractors'!B750)</f>
        <v/>
      </c>
      <c r="M750" s="78">
        <f>IF(L750="","",'Contractors'!L750)</f>
        <v/>
      </c>
      <c r="N750" s="78">
        <f>IF(OR(L750="",M750&lt;&gt;"Yes"),"",IF(COUNTIFS('Vault'!$C$6:$C$1005,"Contract",'Vault'!$D$6:$D$1005,L750)&gt;0,"✓","✗ missing"))</f>
        <v/>
      </c>
      <c r="O750" s="78">
        <f>IF(OR(L750="",M750&lt;&gt;"Yes"),"",IF(COUNTIFS('Vault'!$C$6:$C$1005,"Insurance",'Vault'!$D$6:$D$1005,L750)&gt;0,"✓","✗ missing"))</f>
        <v/>
      </c>
      <c r="P750" s="78">
        <f>IF(OR(L750="",M750&lt;&gt;"Yes"),"",IF(COUNTIFS('Vault'!$C$6:$C$1005,"Quote",'Vault'!$D$6:$D$1005,L750)&gt;0,"✓","✗ missing"))</f>
        <v/>
      </c>
      <c r="Q750" s="78">
        <f>IF(N750="","",IF(AND(N750="✓",O750="✓",P750="✓"),"✓ Complete","Missing documents"))</f>
        <v/>
      </c>
      <c r="R750" s="79">
        <f>IF(Q750="","",IF(Q750="✓ Complete",0,1))</f>
        <v/>
      </c>
    </row>
    <row r="751" ht="20" customHeight="1">
      <c r="B751" s="72" t="n"/>
      <c r="C751" s="72" t="n"/>
      <c r="D751" s="72" t="n"/>
      <c r="E751" s="72" t="n"/>
      <c r="F751" s="72" t="n"/>
      <c r="G751" s="109" t="n"/>
      <c r="H751" s="72" t="n"/>
      <c r="I751" s="78">
        <f>IF(H751="","",HYPERLINK(H751,"Open ↗"))</f>
        <v/>
      </c>
      <c r="J751" s="72" t="n"/>
      <c r="L751" s="116">
        <f>IF('Contractors'!B751="","",'Contractors'!B751)</f>
        <v/>
      </c>
      <c r="M751" s="78">
        <f>IF(L751="","",'Contractors'!L751)</f>
        <v/>
      </c>
      <c r="N751" s="78">
        <f>IF(OR(L751="",M751&lt;&gt;"Yes"),"",IF(COUNTIFS('Vault'!$C$6:$C$1005,"Contract",'Vault'!$D$6:$D$1005,L751)&gt;0,"✓","✗ missing"))</f>
        <v/>
      </c>
      <c r="O751" s="78">
        <f>IF(OR(L751="",M751&lt;&gt;"Yes"),"",IF(COUNTIFS('Vault'!$C$6:$C$1005,"Insurance",'Vault'!$D$6:$D$1005,L751)&gt;0,"✓","✗ missing"))</f>
        <v/>
      </c>
      <c r="P751" s="78">
        <f>IF(OR(L751="",M751&lt;&gt;"Yes"),"",IF(COUNTIFS('Vault'!$C$6:$C$1005,"Quote",'Vault'!$D$6:$D$1005,L751)&gt;0,"✓","✗ missing"))</f>
        <v/>
      </c>
      <c r="Q751" s="78">
        <f>IF(N751="","",IF(AND(N751="✓",O751="✓",P751="✓"),"✓ Complete","Missing documents"))</f>
        <v/>
      </c>
      <c r="R751" s="79">
        <f>IF(Q751="","",IF(Q751="✓ Complete",0,1))</f>
        <v/>
      </c>
    </row>
    <row r="752" ht="20" customHeight="1">
      <c r="B752" s="72" t="n"/>
      <c r="C752" s="72" t="n"/>
      <c r="D752" s="72" t="n"/>
      <c r="E752" s="72" t="n"/>
      <c r="F752" s="72" t="n"/>
      <c r="G752" s="109" t="n"/>
      <c r="H752" s="72" t="n"/>
      <c r="I752" s="78">
        <f>IF(H752="","",HYPERLINK(H752,"Open ↗"))</f>
        <v/>
      </c>
      <c r="J752" s="72" t="n"/>
      <c r="L752" s="116">
        <f>IF('Contractors'!B752="","",'Contractors'!B752)</f>
        <v/>
      </c>
      <c r="M752" s="78">
        <f>IF(L752="","",'Contractors'!L752)</f>
        <v/>
      </c>
      <c r="N752" s="78">
        <f>IF(OR(L752="",M752&lt;&gt;"Yes"),"",IF(COUNTIFS('Vault'!$C$6:$C$1005,"Contract",'Vault'!$D$6:$D$1005,L752)&gt;0,"✓","✗ missing"))</f>
        <v/>
      </c>
      <c r="O752" s="78">
        <f>IF(OR(L752="",M752&lt;&gt;"Yes"),"",IF(COUNTIFS('Vault'!$C$6:$C$1005,"Insurance",'Vault'!$D$6:$D$1005,L752)&gt;0,"✓","✗ missing"))</f>
        <v/>
      </c>
      <c r="P752" s="78">
        <f>IF(OR(L752="",M752&lt;&gt;"Yes"),"",IF(COUNTIFS('Vault'!$C$6:$C$1005,"Quote",'Vault'!$D$6:$D$1005,L752)&gt;0,"✓","✗ missing"))</f>
        <v/>
      </c>
      <c r="Q752" s="78">
        <f>IF(N752="","",IF(AND(N752="✓",O752="✓",P752="✓"),"✓ Complete","Missing documents"))</f>
        <v/>
      </c>
      <c r="R752" s="79">
        <f>IF(Q752="","",IF(Q752="✓ Complete",0,1))</f>
        <v/>
      </c>
    </row>
    <row r="753" ht="20" customHeight="1">
      <c r="B753" s="72" t="n"/>
      <c r="C753" s="72" t="n"/>
      <c r="D753" s="72" t="n"/>
      <c r="E753" s="72" t="n"/>
      <c r="F753" s="72" t="n"/>
      <c r="G753" s="109" t="n"/>
      <c r="H753" s="72" t="n"/>
      <c r="I753" s="78">
        <f>IF(H753="","",HYPERLINK(H753,"Open ↗"))</f>
        <v/>
      </c>
      <c r="J753" s="72" t="n"/>
      <c r="L753" s="116">
        <f>IF('Contractors'!B753="","",'Contractors'!B753)</f>
        <v/>
      </c>
      <c r="M753" s="78">
        <f>IF(L753="","",'Contractors'!L753)</f>
        <v/>
      </c>
      <c r="N753" s="78">
        <f>IF(OR(L753="",M753&lt;&gt;"Yes"),"",IF(COUNTIFS('Vault'!$C$6:$C$1005,"Contract",'Vault'!$D$6:$D$1005,L753)&gt;0,"✓","✗ missing"))</f>
        <v/>
      </c>
      <c r="O753" s="78">
        <f>IF(OR(L753="",M753&lt;&gt;"Yes"),"",IF(COUNTIFS('Vault'!$C$6:$C$1005,"Insurance",'Vault'!$D$6:$D$1005,L753)&gt;0,"✓","✗ missing"))</f>
        <v/>
      </c>
      <c r="P753" s="78">
        <f>IF(OR(L753="",M753&lt;&gt;"Yes"),"",IF(COUNTIFS('Vault'!$C$6:$C$1005,"Quote",'Vault'!$D$6:$D$1005,L753)&gt;0,"✓","✗ missing"))</f>
        <v/>
      </c>
      <c r="Q753" s="78">
        <f>IF(N753="","",IF(AND(N753="✓",O753="✓",P753="✓"),"✓ Complete","Missing documents"))</f>
        <v/>
      </c>
      <c r="R753" s="79">
        <f>IF(Q753="","",IF(Q753="✓ Complete",0,1))</f>
        <v/>
      </c>
    </row>
    <row r="754" ht="20" customHeight="1">
      <c r="B754" s="72" t="n"/>
      <c r="C754" s="72" t="n"/>
      <c r="D754" s="72" t="n"/>
      <c r="E754" s="72" t="n"/>
      <c r="F754" s="72" t="n"/>
      <c r="G754" s="109" t="n"/>
      <c r="H754" s="72" t="n"/>
      <c r="I754" s="78">
        <f>IF(H754="","",HYPERLINK(H754,"Open ↗"))</f>
        <v/>
      </c>
      <c r="J754" s="72" t="n"/>
      <c r="L754" s="116">
        <f>IF('Contractors'!B754="","",'Contractors'!B754)</f>
        <v/>
      </c>
      <c r="M754" s="78">
        <f>IF(L754="","",'Contractors'!L754)</f>
        <v/>
      </c>
      <c r="N754" s="78">
        <f>IF(OR(L754="",M754&lt;&gt;"Yes"),"",IF(COUNTIFS('Vault'!$C$6:$C$1005,"Contract",'Vault'!$D$6:$D$1005,L754)&gt;0,"✓","✗ missing"))</f>
        <v/>
      </c>
      <c r="O754" s="78">
        <f>IF(OR(L754="",M754&lt;&gt;"Yes"),"",IF(COUNTIFS('Vault'!$C$6:$C$1005,"Insurance",'Vault'!$D$6:$D$1005,L754)&gt;0,"✓","✗ missing"))</f>
        <v/>
      </c>
      <c r="P754" s="78">
        <f>IF(OR(L754="",M754&lt;&gt;"Yes"),"",IF(COUNTIFS('Vault'!$C$6:$C$1005,"Quote",'Vault'!$D$6:$D$1005,L754)&gt;0,"✓","✗ missing"))</f>
        <v/>
      </c>
      <c r="Q754" s="78">
        <f>IF(N754="","",IF(AND(N754="✓",O754="✓",P754="✓"),"✓ Complete","Missing documents"))</f>
        <v/>
      </c>
      <c r="R754" s="79">
        <f>IF(Q754="","",IF(Q754="✓ Complete",0,1))</f>
        <v/>
      </c>
    </row>
    <row r="755" ht="20" customHeight="1">
      <c r="B755" s="72" t="n"/>
      <c r="C755" s="72" t="n"/>
      <c r="D755" s="72" t="n"/>
      <c r="E755" s="72" t="n"/>
      <c r="F755" s="72" t="n"/>
      <c r="G755" s="109" t="n"/>
      <c r="H755" s="72" t="n"/>
      <c r="I755" s="78">
        <f>IF(H755="","",HYPERLINK(H755,"Open ↗"))</f>
        <v/>
      </c>
      <c r="J755" s="72" t="n"/>
      <c r="L755" s="116">
        <f>IF('Contractors'!B755="","",'Contractors'!B755)</f>
        <v/>
      </c>
      <c r="M755" s="78">
        <f>IF(L755="","",'Contractors'!L755)</f>
        <v/>
      </c>
      <c r="N755" s="78">
        <f>IF(OR(L755="",M755&lt;&gt;"Yes"),"",IF(COUNTIFS('Vault'!$C$6:$C$1005,"Contract",'Vault'!$D$6:$D$1005,L755)&gt;0,"✓","✗ missing"))</f>
        <v/>
      </c>
      <c r="O755" s="78">
        <f>IF(OR(L755="",M755&lt;&gt;"Yes"),"",IF(COUNTIFS('Vault'!$C$6:$C$1005,"Insurance",'Vault'!$D$6:$D$1005,L755)&gt;0,"✓","✗ missing"))</f>
        <v/>
      </c>
      <c r="P755" s="78">
        <f>IF(OR(L755="",M755&lt;&gt;"Yes"),"",IF(COUNTIFS('Vault'!$C$6:$C$1005,"Quote",'Vault'!$D$6:$D$1005,L755)&gt;0,"✓","✗ missing"))</f>
        <v/>
      </c>
      <c r="Q755" s="78">
        <f>IF(N755="","",IF(AND(N755="✓",O755="✓",P755="✓"),"✓ Complete","Missing documents"))</f>
        <v/>
      </c>
      <c r="R755" s="79">
        <f>IF(Q755="","",IF(Q755="✓ Complete",0,1))</f>
        <v/>
      </c>
    </row>
    <row r="756" ht="20" customHeight="1">
      <c r="B756" s="72" t="n"/>
      <c r="C756" s="72" t="n"/>
      <c r="D756" s="72" t="n"/>
      <c r="E756" s="72" t="n"/>
      <c r="F756" s="72" t="n"/>
      <c r="G756" s="109" t="n"/>
      <c r="H756" s="72" t="n"/>
      <c r="I756" s="78">
        <f>IF(H756="","",HYPERLINK(H756,"Open ↗"))</f>
        <v/>
      </c>
      <c r="J756" s="72" t="n"/>
      <c r="L756" s="116">
        <f>IF('Contractors'!B756="","",'Contractors'!B756)</f>
        <v/>
      </c>
      <c r="M756" s="78">
        <f>IF(L756="","",'Contractors'!L756)</f>
        <v/>
      </c>
      <c r="N756" s="78">
        <f>IF(OR(L756="",M756&lt;&gt;"Yes"),"",IF(COUNTIFS('Vault'!$C$6:$C$1005,"Contract",'Vault'!$D$6:$D$1005,L756)&gt;0,"✓","✗ missing"))</f>
        <v/>
      </c>
      <c r="O756" s="78">
        <f>IF(OR(L756="",M756&lt;&gt;"Yes"),"",IF(COUNTIFS('Vault'!$C$6:$C$1005,"Insurance",'Vault'!$D$6:$D$1005,L756)&gt;0,"✓","✗ missing"))</f>
        <v/>
      </c>
      <c r="P756" s="78">
        <f>IF(OR(L756="",M756&lt;&gt;"Yes"),"",IF(COUNTIFS('Vault'!$C$6:$C$1005,"Quote",'Vault'!$D$6:$D$1005,L756)&gt;0,"✓","✗ missing"))</f>
        <v/>
      </c>
      <c r="Q756" s="78">
        <f>IF(N756="","",IF(AND(N756="✓",O756="✓",P756="✓"),"✓ Complete","Missing documents"))</f>
        <v/>
      </c>
      <c r="R756" s="79">
        <f>IF(Q756="","",IF(Q756="✓ Complete",0,1))</f>
        <v/>
      </c>
    </row>
    <row r="757" ht="20" customHeight="1">
      <c r="B757" s="72" t="n"/>
      <c r="C757" s="72" t="n"/>
      <c r="D757" s="72" t="n"/>
      <c r="E757" s="72" t="n"/>
      <c r="F757" s="72" t="n"/>
      <c r="G757" s="109" t="n"/>
      <c r="H757" s="72" t="n"/>
      <c r="I757" s="78">
        <f>IF(H757="","",HYPERLINK(H757,"Open ↗"))</f>
        <v/>
      </c>
      <c r="J757" s="72" t="n"/>
      <c r="L757" s="116">
        <f>IF('Contractors'!B757="","",'Contractors'!B757)</f>
        <v/>
      </c>
      <c r="M757" s="78">
        <f>IF(L757="","",'Contractors'!L757)</f>
        <v/>
      </c>
      <c r="N757" s="78">
        <f>IF(OR(L757="",M757&lt;&gt;"Yes"),"",IF(COUNTIFS('Vault'!$C$6:$C$1005,"Contract",'Vault'!$D$6:$D$1005,L757)&gt;0,"✓","✗ missing"))</f>
        <v/>
      </c>
      <c r="O757" s="78">
        <f>IF(OR(L757="",M757&lt;&gt;"Yes"),"",IF(COUNTIFS('Vault'!$C$6:$C$1005,"Insurance",'Vault'!$D$6:$D$1005,L757)&gt;0,"✓","✗ missing"))</f>
        <v/>
      </c>
      <c r="P757" s="78">
        <f>IF(OR(L757="",M757&lt;&gt;"Yes"),"",IF(COUNTIFS('Vault'!$C$6:$C$1005,"Quote",'Vault'!$D$6:$D$1005,L757)&gt;0,"✓","✗ missing"))</f>
        <v/>
      </c>
      <c r="Q757" s="78">
        <f>IF(N757="","",IF(AND(N757="✓",O757="✓",P757="✓"),"✓ Complete","Missing documents"))</f>
        <v/>
      </c>
      <c r="R757" s="79">
        <f>IF(Q757="","",IF(Q757="✓ Complete",0,1))</f>
        <v/>
      </c>
    </row>
    <row r="758" ht="20" customHeight="1">
      <c r="B758" s="72" t="n"/>
      <c r="C758" s="72" t="n"/>
      <c r="D758" s="72" t="n"/>
      <c r="E758" s="72" t="n"/>
      <c r="F758" s="72" t="n"/>
      <c r="G758" s="109" t="n"/>
      <c r="H758" s="72" t="n"/>
      <c r="I758" s="78">
        <f>IF(H758="","",HYPERLINK(H758,"Open ↗"))</f>
        <v/>
      </c>
      <c r="J758" s="72" t="n"/>
      <c r="L758" s="116">
        <f>IF('Contractors'!B758="","",'Contractors'!B758)</f>
        <v/>
      </c>
      <c r="M758" s="78">
        <f>IF(L758="","",'Contractors'!L758)</f>
        <v/>
      </c>
      <c r="N758" s="78">
        <f>IF(OR(L758="",M758&lt;&gt;"Yes"),"",IF(COUNTIFS('Vault'!$C$6:$C$1005,"Contract",'Vault'!$D$6:$D$1005,L758)&gt;0,"✓","✗ missing"))</f>
        <v/>
      </c>
      <c r="O758" s="78">
        <f>IF(OR(L758="",M758&lt;&gt;"Yes"),"",IF(COUNTIFS('Vault'!$C$6:$C$1005,"Insurance",'Vault'!$D$6:$D$1005,L758)&gt;0,"✓","✗ missing"))</f>
        <v/>
      </c>
      <c r="P758" s="78">
        <f>IF(OR(L758="",M758&lt;&gt;"Yes"),"",IF(COUNTIFS('Vault'!$C$6:$C$1005,"Quote",'Vault'!$D$6:$D$1005,L758)&gt;0,"✓","✗ missing"))</f>
        <v/>
      </c>
      <c r="Q758" s="78">
        <f>IF(N758="","",IF(AND(N758="✓",O758="✓",P758="✓"),"✓ Complete","Missing documents"))</f>
        <v/>
      </c>
      <c r="R758" s="79">
        <f>IF(Q758="","",IF(Q758="✓ Complete",0,1))</f>
        <v/>
      </c>
    </row>
    <row r="759" ht="20" customHeight="1">
      <c r="B759" s="72" t="n"/>
      <c r="C759" s="72" t="n"/>
      <c r="D759" s="72" t="n"/>
      <c r="E759" s="72" t="n"/>
      <c r="F759" s="72" t="n"/>
      <c r="G759" s="109" t="n"/>
      <c r="H759" s="72" t="n"/>
      <c r="I759" s="78">
        <f>IF(H759="","",HYPERLINK(H759,"Open ↗"))</f>
        <v/>
      </c>
      <c r="J759" s="72" t="n"/>
      <c r="L759" s="116">
        <f>IF('Contractors'!B759="","",'Contractors'!B759)</f>
        <v/>
      </c>
      <c r="M759" s="78">
        <f>IF(L759="","",'Contractors'!L759)</f>
        <v/>
      </c>
      <c r="N759" s="78">
        <f>IF(OR(L759="",M759&lt;&gt;"Yes"),"",IF(COUNTIFS('Vault'!$C$6:$C$1005,"Contract",'Vault'!$D$6:$D$1005,L759)&gt;0,"✓","✗ missing"))</f>
        <v/>
      </c>
      <c r="O759" s="78">
        <f>IF(OR(L759="",M759&lt;&gt;"Yes"),"",IF(COUNTIFS('Vault'!$C$6:$C$1005,"Insurance",'Vault'!$D$6:$D$1005,L759)&gt;0,"✓","✗ missing"))</f>
        <v/>
      </c>
      <c r="P759" s="78">
        <f>IF(OR(L759="",M759&lt;&gt;"Yes"),"",IF(COUNTIFS('Vault'!$C$6:$C$1005,"Quote",'Vault'!$D$6:$D$1005,L759)&gt;0,"✓","✗ missing"))</f>
        <v/>
      </c>
      <c r="Q759" s="78">
        <f>IF(N759="","",IF(AND(N759="✓",O759="✓",P759="✓"),"✓ Complete","Missing documents"))</f>
        <v/>
      </c>
      <c r="R759" s="79">
        <f>IF(Q759="","",IF(Q759="✓ Complete",0,1))</f>
        <v/>
      </c>
    </row>
    <row r="760" ht="20" customHeight="1">
      <c r="B760" s="72" t="n"/>
      <c r="C760" s="72" t="n"/>
      <c r="D760" s="72" t="n"/>
      <c r="E760" s="72" t="n"/>
      <c r="F760" s="72" t="n"/>
      <c r="G760" s="109" t="n"/>
      <c r="H760" s="72" t="n"/>
      <c r="I760" s="78">
        <f>IF(H760="","",HYPERLINK(H760,"Open ↗"))</f>
        <v/>
      </c>
      <c r="J760" s="72" t="n"/>
      <c r="L760" s="116">
        <f>IF('Contractors'!B760="","",'Contractors'!B760)</f>
        <v/>
      </c>
      <c r="M760" s="78">
        <f>IF(L760="","",'Contractors'!L760)</f>
        <v/>
      </c>
      <c r="N760" s="78">
        <f>IF(OR(L760="",M760&lt;&gt;"Yes"),"",IF(COUNTIFS('Vault'!$C$6:$C$1005,"Contract",'Vault'!$D$6:$D$1005,L760)&gt;0,"✓","✗ missing"))</f>
        <v/>
      </c>
      <c r="O760" s="78">
        <f>IF(OR(L760="",M760&lt;&gt;"Yes"),"",IF(COUNTIFS('Vault'!$C$6:$C$1005,"Insurance",'Vault'!$D$6:$D$1005,L760)&gt;0,"✓","✗ missing"))</f>
        <v/>
      </c>
      <c r="P760" s="78">
        <f>IF(OR(L760="",M760&lt;&gt;"Yes"),"",IF(COUNTIFS('Vault'!$C$6:$C$1005,"Quote",'Vault'!$D$6:$D$1005,L760)&gt;0,"✓","✗ missing"))</f>
        <v/>
      </c>
      <c r="Q760" s="78">
        <f>IF(N760="","",IF(AND(N760="✓",O760="✓",P760="✓"),"✓ Complete","Missing documents"))</f>
        <v/>
      </c>
      <c r="R760" s="79">
        <f>IF(Q760="","",IF(Q760="✓ Complete",0,1))</f>
        <v/>
      </c>
    </row>
    <row r="761" ht="20" customHeight="1">
      <c r="B761" s="72" t="n"/>
      <c r="C761" s="72" t="n"/>
      <c r="D761" s="72" t="n"/>
      <c r="E761" s="72" t="n"/>
      <c r="F761" s="72" t="n"/>
      <c r="G761" s="109" t="n"/>
      <c r="H761" s="72" t="n"/>
      <c r="I761" s="78">
        <f>IF(H761="","",HYPERLINK(H761,"Open ↗"))</f>
        <v/>
      </c>
      <c r="J761" s="72" t="n"/>
      <c r="L761" s="116">
        <f>IF('Contractors'!B761="","",'Contractors'!B761)</f>
        <v/>
      </c>
      <c r="M761" s="78">
        <f>IF(L761="","",'Contractors'!L761)</f>
        <v/>
      </c>
      <c r="N761" s="78">
        <f>IF(OR(L761="",M761&lt;&gt;"Yes"),"",IF(COUNTIFS('Vault'!$C$6:$C$1005,"Contract",'Vault'!$D$6:$D$1005,L761)&gt;0,"✓","✗ missing"))</f>
        <v/>
      </c>
      <c r="O761" s="78">
        <f>IF(OR(L761="",M761&lt;&gt;"Yes"),"",IF(COUNTIFS('Vault'!$C$6:$C$1005,"Insurance",'Vault'!$D$6:$D$1005,L761)&gt;0,"✓","✗ missing"))</f>
        <v/>
      </c>
      <c r="P761" s="78">
        <f>IF(OR(L761="",M761&lt;&gt;"Yes"),"",IF(COUNTIFS('Vault'!$C$6:$C$1005,"Quote",'Vault'!$D$6:$D$1005,L761)&gt;0,"✓","✗ missing"))</f>
        <v/>
      </c>
      <c r="Q761" s="78">
        <f>IF(N761="","",IF(AND(N761="✓",O761="✓",P761="✓"),"✓ Complete","Missing documents"))</f>
        <v/>
      </c>
      <c r="R761" s="79">
        <f>IF(Q761="","",IF(Q761="✓ Complete",0,1))</f>
        <v/>
      </c>
    </row>
    <row r="762" ht="20" customHeight="1">
      <c r="B762" s="72" t="n"/>
      <c r="C762" s="72" t="n"/>
      <c r="D762" s="72" t="n"/>
      <c r="E762" s="72" t="n"/>
      <c r="F762" s="72" t="n"/>
      <c r="G762" s="109" t="n"/>
      <c r="H762" s="72" t="n"/>
      <c r="I762" s="78">
        <f>IF(H762="","",HYPERLINK(H762,"Open ↗"))</f>
        <v/>
      </c>
      <c r="J762" s="72" t="n"/>
      <c r="L762" s="116">
        <f>IF('Contractors'!B762="","",'Contractors'!B762)</f>
        <v/>
      </c>
      <c r="M762" s="78">
        <f>IF(L762="","",'Contractors'!L762)</f>
        <v/>
      </c>
      <c r="N762" s="78">
        <f>IF(OR(L762="",M762&lt;&gt;"Yes"),"",IF(COUNTIFS('Vault'!$C$6:$C$1005,"Contract",'Vault'!$D$6:$D$1005,L762)&gt;0,"✓","✗ missing"))</f>
        <v/>
      </c>
      <c r="O762" s="78">
        <f>IF(OR(L762="",M762&lt;&gt;"Yes"),"",IF(COUNTIFS('Vault'!$C$6:$C$1005,"Insurance",'Vault'!$D$6:$D$1005,L762)&gt;0,"✓","✗ missing"))</f>
        <v/>
      </c>
      <c r="P762" s="78">
        <f>IF(OR(L762="",M762&lt;&gt;"Yes"),"",IF(COUNTIFS('Vault'!$C$6:$C$1005,"Quote",'Vault'!$D$6:$D$1005,L762)&gt;0,"✓","✗ missing"))</f>
        <v/>
      </c>
      <c r="Q762" s="78">
        <f>IF(N762="","",IF(AND(N762="✓",O762="✓",P762="✓"),"✓ Complete","Missing documents"))</f>
        <v/>
      </c>
      <c r="R762" s="79">
        <f>IF(Q762="","",IF(Q762="✓ Complete",0,1))</f>
        <v/>
      </c>
    </row>
    <row r="763" ht="20" customHeight="1">
      <c r="B763" s="72" t="n"/>
      <c r="C763" s="72" t="n"/>
      <c r="D763" s="72" t="n"/>
      <c r="E763" s="72" t="n"/>
      <c r="F763" s="72" t="n"/>
      <c r="G763" s="109" t="n"/>
      <c r="H763" s="72" t="n"/>
      <c r="I763" s="78">
        <f>IF(H763="","",HYPERLINK(H763,"Open ↗"))</f>
        <v/>
      </c>
      <c r="J763" s="72" t="n"/>
      <c r="L763" s="116">
        <f>IF('Contractors'!B763="","",'Contractors'!B763)</f>
        <v/>
      </c>
      <c r="M763" s="78">
        <f>IF(L763="","",'Contractors'!L763)</f>
        <v/>
      </c>
      <c r="N763" s="78">
        <f>IF(OR(L763="",M763&lt;&gt;"Yes"),"",IF(COUNTIFS('Vault'!$C$6:$C$1005,"Contract",'Vault'!$D$6:$D$1005,L763)&gt;0,"✓","✗ missing"))</f>
        <v/>
      </c>
      <c r="O763" s="78">
        <f>IF(OR(L763="",M763&lt;&gt;"Yes"),"",IF(COUNTIFS('Vault'!$C$6:$C$1005,"Insurance",'Vault'!$D$6:$D$1005,L763)&gt;0,"✓","✗ missing"))</f>
        <v/>
      </c>
      <c r="P763" s="78">
        <f>IF(OR(L763="",M763&lt;&gt;"Yes"),"",IF(COUNTIFS('Vault'!$C$6:$C$1005,"Quote",'Vault'!$D$6:$D$1005,L763)&gt;0,"✓","✗ missing"))</f>
        <v/>
      </c>
      <c r="Q763" s="78">
        <f>IF(N763="","",IF(AND(N763="✓",O763="✓",P763="✓"),"✓ Complete","Missing documents"))</f>
        <v/>
      </c>
      <c r="R763" s="79">
        <f>IF(Q763="","",IF(Q763="✓ Complete",0,1))</f>
        <v/>
      </c>
    </row>
    <row r="764" ht="20" customHeight="1">
      <c r="B764" s="72" t="n"/>
      <c r="C764" s="72" t="n"/>
      <c r="D764" s="72" t="n"/>
      <c r="E764" s="72" t="n"/>
      <c r="F764" s="72" t="n"/>
      <c r="G764" s="109" t="n"/>
      <c r="H764" s="72" t="n"/>
      <c r="I764" s="78">
        <f>IF(H764="","",HYPERLINK(H764,"Open ↗"))</f>
        <v/>
      </c>
      <c r="J764" s="72" t="n"/>
      <c r="L764" s="116">
        <f>IF('Contractors'!B764="","",'Contractors'!B764)</f>
        <v/>
      </c>
      <c r="M764" s="78">
        <f>IF(L764="","",'Contractors'!L764)</f>
        <v/>
      </c>
      <c r="N764" s="78">
        <f>IF(OR(L764="",M764&lt;&gt;"Yes"),"",IF(COUNTIFS('Vault'!$C$6:$C$1005,"Contract",'Vault'!$D$6:$D$1005,L764)&gt;0,"✓","✗ missing"))</f>
        <v/>
      </c>
      <c r="O764" s="78">
        <f>IF(OR(L764="",M764&lt;&gt;"Yes"),"",IF(COUNTIFS('Vault'!$C$6:$C$1005,"Insurance",'Vault'!$D$6:$D$1005,L764)&gt;0,"✓","✗ missing"))</f>
        <v/>
      </c>
      <c r="P764" s="78">
        <f>IF(OR(L764="",M764&lt;&gt;"Yes"),"",IF(COUNTIFS('Vault'!$C$6:$C$1005,"Quote",'Vault'!$D$6:$D$1005,L764)&gt;0,"✓","✗ missing"))</f>
        <v/>
      </c>
      <c r="Q764" s="78">
        <f>IF(N764="","",IF(AND(N764="✓",O764="✓",P764="✓"),"✓ Complete","Missing documents"))</f>
        <v/>
      </c>
      <c r="R764" s="79">
        <f>IF(Q764="","",IF(Q764="✓ Complete",0,1))</f>
        <v/>
      </c>
    </row>
    <row r="765" ht="20" customHeight="1">
      <c r="B765" s="72" t="n"/>
      <c r="C765" s="72" t="n"/>
      <c r="D765" s="72" t="n"/>
      <c r="E765" s="72" t="n"/>
      <c r="F765" s="72" t="n"/>
      <c r="G765" s="109" t="n"/>
      <c r="H765" s="72" t="n"/>
      <c r="I765" s="78">
        <f>IF(H765="","",HYPERLINK(H765,"Open ↗"))</f>
        <v/>
      </c>
      <c r="J765" s="72" t="n"/>
      <c r="L765" s="116">
        <f>IF('Contractors'!B765="","",'Contractors'!B765)</f>
        <v/>
      </c>
      <c r="M765" s="78">
        <f>IF(L765="","",'Contractors'!L765)</f>
        <v/>
      </c>
      <c r="N765" s="78">
        <f>IF(OR(L765="",M765&lt;&gt;"Yes"),"",IF(COUNTIFS('Vault'!$C$6:$C$1005,"Contract",'Vault'!$D$6:$D$1005,L765)&gt;0,"✓","✗ missing"))</f>
        <v/>
      </c>
      <c r="O765" s="78">
        <f>IF(OR(L765="",M765&lt;&gt;"Yes"),"",IF(COUNTIFS('Vault'!$C$6:$C$1005,"Insurance",'Vault'!$D$6:$D$1005,L765)&gt;0,"✓","✗ missing"))</f>
        <v/>
      </c>
      <c r="P765" s="78">
        <f>IF(OR(L765="",M765&lt;&gt;"Yes"),"",IF(COUNTIFS('Vault'!$C$6:$C$1005,"Quote",'Vault'!$D$6:$D$1005,L765)&gt;0,"✓","✗ missing"))</f>
        <v/>
      </c>
      <c r="Q765" s="78">
        <f>IF(N765="","",IF(AND(N765="✓",O765="✓",P765="✓"),"✓ Complete","Missing documents"))</f>
        <v/>
      </c>
      <c r="R765" s="79">
        <f>IF(Q765="","",IF(Q765="✓ Complete",0,1))</f>
        <v/>
      </c>
    </row>
    <row r="766" ht="20" customHeight="1">
      <c r="B766" s="72" t="n"/>
      <c r="C766" s="72" t="n"/>
      <c r="D766" s="72" t="n"/>
      <c r="E766" s="72" t="n"/>
      <c r="F766" s="72" t="n"/>
      <c r="G766" s="109" t="n"/>
      <c r="H766" s="72" t="n"/>
      <c r="I766" s="78">
        <f>IF(H766="","",HYPERLINK(H766,"Open ↗"))</f>
        <v/>
      </c>
      <c r="J766" s="72" t="n"/>
      <c r="L766" s="116">
        <f>IF('Contractors'!B766="","",'Contractors'!B766)</f>
        <v/>
      </c>
      <c r="M766" s="78">
        <f>IF(L766="","",'Contractors'!L766)</f>
        <v/>
      </c>
      <c r="N766" s="78">
        <f>IF(OR(L766="",M766&lt;&gt;"Yes"),"",IF(COUNTIFS('Vault'!$C$6:$C$1005,"Contract",'Vault'!$D$6:$D$1005,L766)&gt;0,"✓","✗ missing"))</f>
        <v/>
      </c>
      <c r="O766" s="78">
        <f>IF(OR(L766="",M766&lt;&gt;"Yes"),"",IF(COUNTIFS('Vault'!$C$6:$C$1005,"Insurance",'Vault'!$D$6:$D$1005,L766)&gt;0,"✓","✗ missing"))</f>
        <v/>
      </c>
      <c r="P766" s="78">
        <f>IF(OR(L766="",M766&lt;&gt;"Yes"),"",IF(COUNTIFS('Vault'!$C$6:$C$1005,"Quote",'Vault'!$D$6:$D$1005,L766)&gt;0,"✓","✗ missing"))</f>
        <v/>
      </c>
      <c r="Q766" s="78">
        <f>IF(N766="","",IF(AND(N766="✓",O766="✓",P766="✓"),"✓ Complete","Missing documents"))</f>
        <v/>
      </c>
      <c r="R766" s="79">
        <f>IF(Q766="","",IF(Q766="✓ Complete",0,1))</f>
        <v/>
      </c>
    </row>
    <row r="767" ht="20" customHeight="1">
      <c r="B767" s="72" t="n"/>
      <c r="C767" s="72" t="n"/>
      <c r="D767" s="72" t="n"/>
      <c r="E767" s="72" t="n"/>
      <c r="F767" s="72" t="n"/>
      <c r="G767" s="109" t="n"/>
      <c r="H767" s="72" t="n"/>
      <c r="I767" s="78">
        <f>IF(H767="","",HYPERLINK(H767,"Open ↗"))</f>
        <v/>
      </c>
      <c r="J767" s="72" t="n"/>
      <c r="L767" s="116">
        <f>IF('Contractors'!B767="","",'Contractors'!B767)</f>
        <v/>
      </c>
      <c r="M767" s="78">
        <f>IF(L767="","",'Contractors'!L767)</f>
        <v/>
      </c>
      <c r="N767" s="78">
        <f>IF(OR(L767="",M767&lt;&gt;"Yes"),"",IF(COUNTIFS('Vault'!$C$6:$C$1005,"Contract",'Vault'!$D$6:$D$1005,L767)&gt;0,"✓","✗ missing"))</f>
        <v/>
      </c>
      <c r="O767" s="78">
        <f>IF(OR(L767="",M767&lt;&gt;"Yes"),"",IF(COUNTIFS('Vault'!$C$6:$C$1005,"Insurance",'Vault'!$D$6:$D$1005,L767)&gt;0,"✓","✗ missing"))</f>
        <v/>
      </c>
      <c r="P767" s="78">
        <f>IF(OR(L767="",M767&lt;&gt;"Yes"),"",IF(COUNTIFS('Vault'!$C$6:$C$1005,"Quote",'Vault'!$D$6:$D$1005,L767)&gt;0,"✓","✗ missing"))</f>
        <v/>
      </c>
      <c r="Q767" s="78">
        <f>IF(N767="","",IF(AND(N767="✓",O767="✓",P767="✓"),"✓ Complete","Missing documents"))</f>
        <v/>
      </c>
      <c r="R767" s="79">
        <f>IF(Q767="","",IF(Q767="✓ Complete",0,1))</f>
        <v/>
      </c>
    </row>
    <row r="768" ht="20" customHeight="1">
      <c r="B768" s="72" t="n"/>
      <c r="C768" s="72" t="n"/>
      <c r="D768" s="72" t="n"/>
      <c r="E768" s="72" t="n"/>
      <c r="F768" s="72" t="n"/>
      <c r="G768" s="109" t="n"/>
      <c r="H768" s="72" t="n"/>
      <c r="I768" s="78">
        <f>IF(H768="","",HYPERLINK(H768,"Open ↗"))</f>
        <v/>
      </c>
      <c r="J768" s="72" t="n"/>
      <c r="L768" s="116">
        <f>IF('Contractors'!B768="","",'Contractors'!B768)</f>
        <v/>
      </c>
      <c r="M768" s="78">
        <f>IF(L768="","",'Contractors'!L768)</f>
        <v/>
      </c>
      <c r="N768" s="78">
        <f>IF(OR(L768="",M768&lt;&gt;"Yes"),"",IF(COUNTIFS('Vault'!$C$6:$C$1005,"Contract",'Vault'!$D$6:$D$1005,L768)&gt;0,"✓","✗ missing"))</f>
        <v/>
      </c>
      <c r="O768" s="78">
        <f>IF(OR(L768="",M768&lt;&gt;"Yes"),"",IF(COUNTIFS('Vault'!$C$6:$C$1005,"Insurance",'Vault'!$D$6:$D$1005,L768)&gt;0,"✓","✗ missing"))</f>
        <v/>
      </c>
      <c r="P768" s="78">
        <f>IF(OR(L768="",M768&lt;&gt;"Yes"),"",IF(COUNTIFS('Vault'!$C$6:$C$1005,"Quote",'Vault'!$D$6:$D$1005,L768)&gt;0,"✓","✗ missing"))</f>
        <v/>
      </c>
      <c r="Q768" s="78">
        <f>IF(N768="","",IF(AND(N768="✓",O768="✓",P768="✓"),"✓ Complete","Missing documents"))</f>
        <v/>
      </c>
      <c r="R768" s="79">
        <f>IF(Q768="","",IF(Q768="✓ Complete",0,1))</f>
        <v/>
      </c>
    </row>
    <row r="769" ht="20" customHeight="1">
      <c r="B769" s="72" t="n"/>
      <c r="C769" s="72" t="n"/>
      <c r="D769" s="72" t="n"/>
      <c r="E769" s="72" t="n"/>
      <c r="F769" s="72" t="n"/>
      <c r="G769" s="109" t="n"/>
      <c r="H769" s="72" t="n"/>
      <c r="I769" s="78">
        <f>IF(H769="","",HYPERLINK(H769,"Open ↗"))</f>
        <v/>
      </c>
      <c r="J769" s="72" t="n"/>
      <c r="L769" s="116">
        <f>IF('Contractors'!B769="","",'Contractors'!B769)</f>
        <v/>
      </c>
      <c r="M769" s="78">
        <f>IF(L769="","",'Contractors'!L769)</f>
        <v/>
      </c>
      <c r="N769" s="78">
        <f>IF(OR(L769="",M769&lt;&gt;"Yes"),"",IF(COUNTIFS('Vault'!$C$6:$C$1005,"Contract",'Vault'!$D$6:$D$1005,L769)&gt;0,"✓","✗ missing"))</f>
        <v/>
      </c>
      <c r="O769" s="78">
        <f>IF(OR(L769="",M769&lt;&gt;"Yes"),"",IF(COUNTIFS('Vault'!$C$6:$C$1005,"Insurance",'Vault'!$D$6:$D$1005,L769)&gt;0,"✓","✗ missing"))</f>
        <v/>
      </c>
      <c r="P769" s="78">
        <f>IF(OR(L769="",M769&lt;&gt;"Yes"),"",IF(COUNTIFS('Vault'!$C$6:$C$1005,"Quote",'Vault'!$D$6:$D$1005,L769)&gt;0,"✓","✗ missing"))</f>
        <v/>
      </c>
      <c r="Q769" s="78">
        <f>IF(N769="","",IF(AND(N769="✓",O769="✓",P769="✓"),"✓ Complete","Missing documents"))</f>
        <v/>
      </c>
      <c r="R769" s="79">
        <f>IF(Q769="","",IF(Q769="✓ Complete",0,1))</f>
        <v/>
      </c>
    </row>
    <row r="770" ht="20" customHeight="1">
      <c r="B770" s="72" t="n"/>
      <c r="C770" s="72" t="n"/>
      <c r="D770" s="72" t="n"/>
      <c r="E770" s="72" t="n"/>
      <c r="F770" s="72" t="n"/>
      <c r="G770" s="109" t="n"/>
      <c r="H770" s="72" t="n"/>
      <c r="I770" s="78">
        <f>IF(H770="","",HYPERLINK(H770,"Open ↗"))</f>
        <v/>
      </c>
      <c r="J770" s="72" t="n"/>
      <c r="L770" s="116">
        <f>IF('Contractors'!B770="","",'Contractors'!B770)</f>
        <v/>
      </c>
      <c r="M770" s="78">
        <f>IF(L770="","",'Contractors'!L770)</f>
        <v/>
      </c>
      <c r="N770" s="78">
        <f>IF(OR(L770="",M770&lt;&gt;"Yes"),"",IF(COUNTIFS('Vault'!$C$6:$C$1005,"Contract",'Vault'!$D$6:$D$1005,L770)&gt;0,"✓","✗ missing"))</f>
        <v/>
      </c>
      <c r="O770" s="78">
        <f>IF(OR(L770="",M770&lt;&gt;"Yes"),"",IF(COUNTIFS('Vault'!$C$6:$C$1005,"Insurance",'Vault'!$D$6:$D$1005,L770)&gt;0,"✓","✗ missing"))</f>
        <v/>
      </c>
      <c r="P770" s="78">
        <f>IF(OR(L770="",M770&lt;&gt;"Yes"),"",IF(COUNTIFS('Vault'!$C$6:$C$1005,"Quote",'Vault'!$D$6:$D$1005,L770)&gt;0,"✓","✗ missing"))</f>
        <v/>
      </c>
      <c r="Q770" s="78">
        <f>IF(N770="","",IF(AND(N770="✓",O770="✓",P770="✓"),"✓ Complete","Missing documents"))</f>
        <v/>
      </c>
      <c r="R770" s="79">
        <f>IF(Q770="","",IF(Q770="✓ Complete",0,1))</f>
        <v/>
      </c>
    </row>
    <row r="771" ht="20" customHeight="1">
      <c r="B771" s="72" t="n"/>
      <c r="C771" s="72" t="n"/>
      <c r="D771" s="72" t="n"/>
      <c r="E771" s="72" t="n"/>
      <c r="F771" s="72" t="n"/>
      <c r="G771" s="109" t="n"/>
      <c r="H771" s="72" t="n"/>
      <c r="I771" s="78">
        <f>IF(H771="","",HYPERLINK(H771,"Open ↗"))</f>
        <v/>
      </c>
      <c r="J771" s="72" t="n"/>
      <c r="L771" s="116">
        <f>IF('Contractors'!B771="","",'Contractors'!B771)</f>
        <v/>
      </c>
      <c r="M771" s="78">
        <f>IF(L771="","",'Contractors'!L771)</f>
        <v/>
      </c>
      <c r="N771" s="78">
        <f>IF(OR(L771="",M771&lt;&gt;"Yes"),"",IF(COUNTIFS('Vault'!$C$6:$C$1005,"Contract",'Vault'!$D$6:$D$1005,L771)&gt;0,"✓","✗ missing"))</f>
        <v/>
      </c>
      <c r="O771" s="78">
        <f>IF(OR(L771="",M771&lt;&gt;"Yes"),"",IF(COUNTIFS('Vault'!$C$6:$C$1005,"Insurance",'Vault'!$D$6:$D$1005,L771)&gt;0,"✓","✗ missing"))</f>
        <v/>
      </c>
      <c r="P771" s="78">
        <f>IF(OR(L771="",M771&lt;&gt;"Yes"),"",IF(COUNTIFS('Vault'!$C$6:$C$1005,"Quote",'Vault'!$D$6:$D$1005,L771)&gt;0,"✓","✗ missing"))</f>
        <v/>
      </c>
      <c r="Q771" s="78">
        <f>IF(N771="","",IF(AND(N771="✓",O771="✓",P771="✓"),"✓ Complete","Missing documents"))</f>
        <v/>
      </c>
      <c r="R771" s="79">
        <f>IF(Q771="","",IF(Q771="✓ Complete",0,1))</f>
        <v/>
      </c>
    </row>
    <row r="772" ht="20" customHeight="1">
      <c r="B772" s="72" t="n"/>
      <c r="C772" s="72" t="n"/>
      <c r="D772" s="72" t="n"/>
      <c r="E772" s="72" t="n"/>
      <c r="F772" s="72" t="n"/>
      <c r="G772" s="109" t="n"/>
      <c r="H772" s="72" t="n"/>
      <c r="I772" s="78">
        <f>IF(H772="","",HYPERLINK(H772,"Open ↗"))</f>
        <v/>
      </c>
      <c r="J772" s="72" t="n"/>
      <c r="L772" s="116">
        <f>IF('Contractors'!B772="","",'Contractors'!B772)</f>
        <v/>
      </c>
      <c r="M772" s="78">
        <f>IF(L772="","",'Contractors'!L772)</f>
        <v/>
      </c>
      <c r="N772" s="78">
        <f>IF(OR(L772="",M772&lt;&gt;"Yes"),"",IF(COUNTIFS('Vault'!$C$6:$C$1005,"Contract",'Vault'!$D$6:$D$1005,L772)&gt;0,"✓","✗ missing"))</f>
        <v/>
      </c>
      <c r="O772" s="78">
        <f>IF(OR(L772="",M772&lt;&gt;"Yes"),"",IF(COUNTIFS('Vault'!$C$6:$C$1005,"Insurance",'Vault'!$D$6:$D$1005,L772)&gt;0,"✓","✗ missing"))</f>
        <v/>
      </c>
      <c r="P772" s="78">
        <f>IF(OR(L772="",M772&lt;&gt;"Yes"),"",IF(COUNTIFS('Vault'!$C$6:$C$1005,"Quote",'Vault'!$D$6:$D$1005,L772)&gt;0,"✓","✗ missing"))</f>
        <v/>
      </c>
      <c r="Q772" s="78">
        <f>IF(N772="","",IF(AND(N772="✓",O772="✓",P772="✓"),"✓ Complete","Missing documents"))</f>
        <v/>
      </c>
      <c r="R772" s="79">
        <f>IF(Q772="","",IF(Q772="✓ Complete",0,1))</f>
        <v/>
      </c>
    </row>
    <row r="773" ht="20" customHeight="1">
      <c r="B773" s="72" t="n"/>
      <c r="C773" s="72" t="n"/>
      <c r="D773" s="72" t="n"/>
      <c r="E773" s="72" t="n"/>
      <c r="F773" s="72" t="n"/>
      <c r="G773" s="109" t="n"/>
      <c r="H773" s="72" t="n"/>
      <c r="I773" s="78">
        <f>IF(H773="","",HYPERLINK(H773,"Open ↗"))</f>
        <v/>
      </c>
      <c r="J773" s="72" t="n"/>
      <c r="L773" s="116">
        <f>IF('Contractors'!B773="","",'Contractors'!B773)</f>
        <v/>
      </c>
      <c r="M773" s="78">
        <f>IF(L773="","",'Contractors'!L773)</f>
        <v/>
      </c>
      <c r="N773" s="78">
        <f>IF(OR(L773="",M773&lt;&gt;"Yes"),"",IF(COUNTIFS('Vault'!$C$6:$C$1005,"Contract",'Vault'!$D$6:$D$1005,L773)&gt;0,"✓","✗ missing"))</f>
        <v/>
      </c>
      <c r="O773" s="78">
        <f>IF(OR(L773="",M773&lt;&gt;"Yes"),"",IF(COUNTIFS('Vault'!$C$6:$C$1005,"Insurance",'Vault'!$D$6:$D$1005,L773)&gt;0,"✓","✗ missing"))</f>
        <v/>
      </c>
      <c r="P773" s="78">
        <f>IF(OR(L773="",M773&lt;&gt;"Yes"),"",IF(COUNTIFS('Vault'!$C$6:$C$1005,"Quote",'Vault'!$D$6:$D$1005,L773)&gt;0,"✓","✗ missing"))</f>
        <v/>
      </c>
      <c r="Q773" s="78">
        <f>IF(N773="","",IF(AND(N773="✓",O773="✓",P773="✓"),"✓ Complete","Missing documents"))</f>
        <v/>
      </c>
      <c r="R773" s="79">
        <f>IF(Q773="","",IF(Q773="✓ Complete",0,1))</f>
        <v/>
      </c>
    </row>
    <row r="774" ht="20" customHeight="1">
      <c r="B774" s="72" t="n"/>
      <c r="C774" s="72" t="n"/>
      <c r="D774" s="72" t="n"/>
      <c r="E774" s="72" t="n"/>
      <c r="F774" s="72" t="n"/>
      <c r="G774" s="109" t="n"/>
      <c r="H774" s="72" t="n"/>
      <c r="I774" s="78">
        <f>IF(H774="","",HYPERLINK(H774,"Open ↗"))</f>
        <v/>
      </c>
      <c r="J774" s="72" t="n"/>
      <c r="L774" s="116">
        <f>IF('Contractors'!B774="","",'Contractors'!B774)</f>
        <v/>
      </c>
      <c r="M774" s="78">
        <f>IF(L774="","",'Contractors'!L774)</f>
        <v/>
      </c>
      <c r="N774" s="78">
        <f>IF(OR(L774="",M774&lt;&gt;"Yes"),"",IF(COUNTIFS('Vault'!$C$6:$C$1005,"Contract",'Vault'!$D$6:$D$1005,L774)&gt;0,"✓","✗ missing"))</f>
        <v/>
      </c>
      <c r="O774" s="78">
        <f>IF(OR(L774="",M774&lt;&gt;"Yes"),"",IF(COUNTIFS('Vault'!$C$6:$C$1005,"Insurance",'Vault'!$D$6:$D$1005,L774)&gt;0,"✓","✗ missing"))</f>
        <v/>
      </c>
      <c r="P774" s="78">
        <f>IF(OR(L774="",M774&lt;&gt;"Yes"),"",IF(COUNTIFS('Vault'!$C$6:$C$1005,"Quote",'Vault'!$D$6:$D$1005,L774)&gt;0,"✓","✗ missing"))</f>
        <v/>
      </c>
      <c r="Q774" s="78">
        <f>IF(N774="","",IF(AND(N774="✓",O774="✓",P774="✓"),"✓ Complete","Missing documents"))</f>
        <v/>
      </c>
      <c r="R774" s="79">
        <f>IF(Q774="","",IF(Q774="✓ Complete",0,1))</f>
        <v/>
      </c>
    </row>
    <row r="775" ht="20" customHeight="1">
      <c r="B775" s="72" t="n"/>
      <c r="C775" s="72" t="n"/>
      <c r="D775" s="72" t="n"/>
      <c r="E775" s="72" t="n"/>
      <c r="F775" s="72" t="n"/>
      <c r="G775" s="109" t="n"/>
      <c r="H775" s="72" t="n"/>
      <c r="I775" s="78">
        <f>IF(H775="","",HYPERLINK(H775,"Open ↗"))</f>
        <v/>
      </c>
      <c r="J775" s="72" t="n"/>
      <c r="L775" s="116">
        <f>IF('Contractors'!B775="","",'Contractors'!B775)</f>
        <v/>
      </c>
      <c r="M775" s="78">
        <f>IF(L775="","",'Contractors'!L775)</f>
        <v/>
      </c>
      <c r="N775" s="78">
        <f>IF(OR(L775="",M775&lt;&gt;"Yes"),"",IF(COUNTIFS('Vault'!$C$6:$C$1005,"Contract",'Vault'!$D$6:$D$1005,L775)&gt;0,"✓","✗ missing"))</f>
        <v/>
      </c>
      <c r="O775" s="78">
        <f>IF(OR(L775="",M775&lt;&gt;"Yes"),"",IF(COUNTIFS('Vault'!$C$6:$C$1005,"Insurance",'Vault'!$D$6:$D$1005,L775)&gt;0,"✓","✗ missing"))</f>
        <v/>
      </c>
      <c r="P775" s="78">
        <f>IF(OR(L775="",M775&lt;&gt;"Yes"),"",IF(COUNTIFS('Vault'!$C$6:$C$1005,"Quote",'Vault'!$D$6:$D$1005,L775)&gt;0,"✓","✗ missing"))</f>
        <v/>
      </c>
      <c r="Q775" s="78">
        <f>IF(N775="","",IF(AND(N775="✓",O775="✓",P775="✓"),"✓ Complete","Missing documents"))</f>
        <v/>
      </c>
      <c r="R775" s="79">
        <f>IF(Q775="","",IF(Q775="✓ Complete",0,1))</f>
        <v/>
      </c>
    </row>
    <row r="776" ht="20" customHeight="1">
      <c r="B776" s="72" t="n"/>
      <c r="C776" s="72" t="n"/>
      <c r="D776" s="72" t="n"/>
      <c r="E776" s="72" t="n"/>
      <c r="F776" s="72" t="n"/>
      <c r="G776" s="109" t="n"/>
      <c r="H776" s="72" t="n"/>
      <c r="I776" s="78">
        <f>IF(H776="","",HYPERLINK(H776,"Open ↗"))</f>
        <v/>
      </c>
      <c r="J776" s="72" t="n"/>
      <c r="L776" s="116">
        <f>IF('Contractors'!B776="","",'Contractors'!B776)</f>
        <v/>
      </c>
      <c r="M776" s="78">
        <f>IF(L776="","",'Contractors'!L776)</f>
        <v/>
      </c>
      <c r="N776" s="78">
        <f>IF(OR(L776="",M776&lt;&gt;"Yes"),"",IF(COUNTIFS('Vault'!$C$6:$C$1005,"Contract",'Vault'!$D$6:$D$1005,L776)&gt;0,"✓","✗ missing"))</f>
        <v/>
      </c>
      <c r="O776" s="78">
        <f>IF(OR(L776="",M776&lt;&gt;"Yes"),"",IF(COUNTIFS('Vault'!$C$6:$C$1005,"Insurance",'Vault'!$D$6:$D$1005,L776)&gt;0,"✓","✗ missing"))</f>
        <v/>
      </c>
      <c r="P776" s="78">
        <f>IF(OR(L776="",M776&lt;&gt;"Yes"),"",IF(COUNTIFS('Vault'!$C$6:$C$1005,"Quote",'Vault'!$D$6:$D$1005,L776)&gt;0,"✓","✗ missing"))</f>
        <v/>
      </c>
      <c r="Q776" s="78">
        <f>IF(N776="","",IF(AND(N776="✓",O776="✓",P776="✓"),"✓ Complete","Missing documents"))</f>
        <v/>
      </c>
      <c r="R776" s="79">
        <f>IF(Q776="","",IF(Q776="✓ Complete",0,1))</f>
        <v/>
      </c>
    </row>
    <row r="777" ht="20" customHeight="1">
      <c r="B777" s="72" t="n"/>
      <c r="C777" s="72" t="n"/>
      <c r="D777" s="72" t="n"/>
      <c r="E777" s="72" t="n"/>
      <c r="F777" s="72" t="n"/>
      <c r="G777" s="109" t="n"/>
      <c r="H777" s="72" t="n"/>
      <c r="I777" s="78">
        <f>IF(H777="","",HYPERLINK(H777,"Open ↗"))</f>
        <v/>
      </c>
      <c r="J777" s="72" t="n"/>
      <c r="L777" s="116">
        <f>IF('Contractors'!B777="","",'Contractors'!B777)</f>
        <v/>
      </c>
      <c r="M777" s="78">
        <f>IF(L777="","",'Contractors'!L777)</f>
        <v/>
      </c>
      <c r="N777" s="78">
        <f>IF(OR(L777="",M777&lt;&gt;"Yes"),"",IF(COUNTIFS('Vault'!$C$6:$C$1005,"Contract",'Vault'!$D$6:$D$1005,L777)&gt;0,"✓","✗ missing"))</f>
        <v/>
      </c>
      <c r="O777" s="78">
        <f>IF(OR(L777="",M777&lt;&gt;"Yes"),"",IF(COUNTIFS('Vault'!$C$6:$C$1005,"Insurance",'Vault'!$D$6:$D$1005,L777)&gt;0,"✓","✗ missing"))</f>
        <v/>
      </c>
      <c r="P777" s="78">
        <f>IF(OR(L777="",M777&lt;&gt;"Yes"),"",IF(COUNTIFS('Vault'!$C$6:$C$1005,"Quote",'Vault'!$D$6:$D$1005,L777)&gt;0,"✓","✗ missing"))</f>
        <v/>
      </c>
      <c r="Q777" s="78">
        <f>IF(N777="","",IF(AND(N777="✓",O777="✓",P777="✓"),"✓ Complete","Missing documents"))</f>
        <v/>
      </c>
      <c r="R777" s="79">
        <f>IF(Q777="","",IF(Q777="✓ Complete",0,1))</f>
        <v/>
      </c>
    </row>
    <row r="778" ht="20" customHeight="1">
      <c r="B778" s="72" t="n"/>
      <c r="C778" s="72" t="n"/>
      <c r="D778" s="72" t="n"/>
      <c r="E778" s="72" t="n"/>
      <c r="F778" s="72" t="n"/>
      <c r="G778" s="109" t="n"/>
      <c r="H778" s="72" t="n"/>
      <c r="I778" s="78">
        <f>IF(H778="","",HYPERLINK(H778,"Open ↗"))</f>
        <v/>
      </c>
      <c r="J778" s="72" t="n"/>
      <c r="L778" s="116">
        <f>IF('Contractors'!B778="","",'Contractors'!B778)</f>
        <v/>
      </c>
      <c r="M778" s="78">
        <f>IF(L778="","",'Contractors'!L778)</f>
        <v/>
      </c>
      <c r="N778" s="78">
        <f>IF(OR(L778="",M778&lt;&gt;"Yes"),"",IF(COUNTIFS('Vault'!$C$6:$C$1005,"Contract",'Vault'!$D$6:$D$1005,L778)&gt;0,"✓","✗ missing"))</f>
        <v/>
      </c>
      <c r="O778" s="78">
        <f>IF(OR(L778="",M778&lt;&gt;"Yes"),"",IF(COUNTIFS('Vault'!$C$6:$C$1005,"Insurance",'Vault'!$D$6:$D$1005,L778)&gt;0,"✓","✗ missing"))</f>
        <v/>
      </c>
      <c r="P778" s="78">
        <f>IF(OR(L778="",M778&lt;&gt;"Yes"),"",IF(COUNTIFS('Vault'!$C$6:$C$1005,"Quote",'Vault'!$D$6:$D$1005,L778)&gt;0,"✓","✗ missing"))</f>
        <v/>
      </c>
      <c r="Q778" s="78">
        <f>IF(N778="","",IF(AND(N778="✓",O778="✓",P778="✓"),"✓ Complete","Missing documents"))</f>
        <v/>
      </c>
      <c r="R778" s="79">
        <f>IF(Q778="","",IF(Q778="✓ Complete",0,1))</f>
        <v/>
      </c>
    </row>
    <row r="779" ht="20" customHeight="1">
      <c r="B779" s="72" t="n"/>
      <c r="C779" s="72" t="n"/>
      <c r="D779" s="72" t="n"/>
      <c r="E779" s="72" t="n"/>
      <c r="F779" s="72" t="n"/>
      <c r="G779" s="109" t="n"/>
      <c r="H779" s="72" t="n"/>
      <c r="I779" s="78">
        <f>IF(H779="","",HYPERLINK(H779,"Open ↗"))</f>
        <v/>
      </c>
      <c r="J779" s="72" t="n"/>
      <c r="L779" s="116">
        <f>IF('Contractors'!B779="","",'Contractors'!B779)</f>
        <v/>
      </c>
      <c r="M779" s="78">
        <f>IF(L779="","",'Contractors'!L779)</f>
        <v/>
      </c>
      <c r="N779" s="78">
        <f>IF(OR(L779="",M779&lt;&gt;"Yes"),"",IF(COUNTIFS('Vault'!$C$6:$C$1005,"Contract",'Vault'!$D$6:$D$1005,L779)&gt;0,"✓","✗ missing"))</f>
        <v/>
      </c>
      <c r="O779" s="78">
        <f>IF(OR(L779="",M779&lt;&gt;"Yes"),"",IF(COUNTIFS('Vault'!$C$6:$C$1005,"Insurance",'Vault'!$D$6:$D$1005,L779)&gt;0,"✓","✗ missing"))</f>
        <v/>
      </c>
      <c r="P779" s="78">
        <f>IF(OR(L779="",M779&lt;&gt;"Yes"),"",IF(COUNTIFS('Vault'!$C$6:$C$1005,"Quote",'Vault'!$D$6:$D$1005,L779)&gt;0,"✓","✗ missing"))</f>
        <v/>
      </c>
      <c r="Q779" s="78">
        <f>IF(N779="","",IF(AND(N779="✓",O779="✓",P779="✓"),"✓ Complete","Missing documents"))</f>
        <v/>
      </c>
      <c r="R779" s="79">
        <f>IF(Q779="","",IF(Q779="✓ Complete",0,1))</f>
        <v/>
      </c>
    </row>
    <row r="780" ht="20" customHeight="1">
      <c r="B780" s="72" t="n"/>
      <c r="C780" s="72" t="n"/>
      <c r="D780" s="72" t="n"/>
      <c r="E780" s="72" t="n"/>
      <c r="F780" s="72" t="n"/>
      <c r="G780" s="109" t="n"/>
      <c r="H780" s="72" t="n"/>
      <c r="I780" s="78">
        <f>IF(H780="","",HYPERLINK(H780,"Open ↗"))</f>
        <v/>
      </c>
      <c r="J780" s="72" t="n"/>
      <c r="L780" s="116">
        <f>IF('Contractors'!B780="","",'Contractors'!B780)</f>
        <v/>
      </c>
      <c r="M780" s="78">
        <f>IF(L780="","",'Contractors'!L780)</f>
        <v/>
      </c>
      <c r="N780" s="78">
        <f>IF(OR(L780="",M780&lt;&gt;"Yes"),"",IF(COUNTIFS('Vault'!$C$6:$C$1005,"Contract",'Vault'!$D$6:$D$1005,L780)&gt;0,"✓","✗ missing"))</f>
        <v/>
      </c>
      <c r="O780" s="78">
        <f>IF(OR(L780="",M780&lt;&gt;"Yes"),"",IF(COUNTIFS('Vault'!$C$6:$C$1005,"Insurance",'Vault'!$D$6:$D$1005,L780)&gt;0,"✓","✗ missing"))</f>
        <v/>
      </c>
      <c r="P780" s="78">
        <f>IF(OR(L780="",M780&lt;&gt;"Yes"),"",IF(COUNTIFS('Vault'!$C$6:$C$1005,"Quote",'Vault'!$D$6:$D$1005,L780)&gt;0,"✓","✗ missing"))</f>
        <v/>
      </c>
      <c r="Q780" s="78">
        <f>IF(N780="","",IF(AND(N780="✓",O780="✓",P780="✓"),"✓ Complete","Missing documents"))</f>
        <v/>
      </c>
      <c r="R780" s="79">
        <f>IF(Q780="","",IF(Q780="✓ Complete",0,1))</f>
        <v/>
      </c>
    </row>
    <row r="781" ht="20" customHeight="1">
      <c r="B781" s="72" t="n"/>
      <c r="C781" s="72" t="n"/>
      <c r="D781" s="72" t="n"/>
      <c r="E781" s="72" t="n"/>
      <c r="F781" s="72" t="n"/>
      <c r="G781" s="109" t="n"/>
      <c r="H781" s="72" t="n"/>
      <c r="I781" s="78">
        <f>IF(H781="","",HYPERLINK(H781,"Open ↗"))</f>
        <v/>
      </c>
      <c r="J781" s="72" t="n"/>
      <c r="L781" s="116">
        <f>IF('Contractors'!B781="","",'Contractors'!B781)</f>
        <v/>
      </c>
      <c r="M781" s="78">
        <f>IF(L781="","",'Contractors'!L781)</f>
        <v/>
      </c>
      <c r="N781" s="78">
        <f>IF(OR(L781="",M781&lt;&gt;"Yes"),"",IF(COUNTIFS('Vault'!$C$6:$C$1005,"Contract",'Vault'!$D$6:$D$1005,L781)&gt;0,"✓","✗ missing"))</f>
        <v/>
      </c>
      <c r="O781" s="78">
        <f>IF(OR(L781="",M781&lt;&gt;"Yes"),"",IF(COUNTIFS('Vault'!$C$6:$C$1005,"Insurance",'Vault'!$D$6:$D$1005,L781)&gt;0,"✓","✗ missing"))</f>
        <v/>
      </c>
      <c r="P781" s="78">
        <f>IF(OR(L781="",M781&lt;&gt;"Yes"),"",IF(COUNTIFS('Vault'!$C$6:$C$1005,"Quote",'Vault'!$D$6:$D$1005,L781)&gt;0,"✓","✗ missing"))</f>
        <v/>
      </c>
      <c r="Q781" s="78">
        <f>IF(N781="","",IF(AND(N781="✓",O781="✓",P781="✓"),"✓ Complete","Missing documents"))</f>
        <v/>
      </c>
      <c r="R781" s="79">
        <f>IF(Q781="","",IF(Q781="✓ Complete",0,1))</f>
        <v/>
      </c>
    </row>
    <row r="782" ht="20" customHeight="1">
      <c r="B782" s="72" t="n"/>
      <c r="C782" s="72" t="n"/>
      <c r="D782" s="72" t="n"/>
      <c r="E782" s="72" t="n"/>
      <c r="F782" s="72" t="n"/>
      <c r="G782" s="109" t="n"/>
      <c r="H782" s="72" t="n"/>
      <c r="I782" s="78">
        <f>IF(H782="","",HYPERLINK(H782,"Open ↗"))</f>
        <v/>
      </c>
      <c r="J782" s="72" t="n"/>
      <c r="L782" s="116">
        <f>IF('Contractors'!B782="","",'Contractors'!B782)</f>
        <v/>
      </c>
      <c r="M782" s="78">
        <f>IF(L782="","",'Contractors'!L782)</f>
        <v/>
      </c>
      <c r="N782" s="78">
        <f>IF(OR(L782="",M782&lt;&gt;"Yes"),"",IF(COUNTIFS('Vault'!$C$6:$C$1005,"Contract",'Vault'!$D$6:$D$1005,L782)&gt;0,"✓","✗ missing"))</f>
        <v/>
      </c>
      <c r="O782" s="78">
        <f>IF(OR(L782="",M782&lt;&gt;"Yes"),"",IF(COUNTIFS('Vault'!$C$6:$C$1005,"Insurance",'Vault'!$D$6:$D$1005,L782)&gt;0,"✓","✗ missing"))</f>
        <v/>
      </c>
      <c r="P782" s="78">
        <f>IF(OR(L782="",M782&lt;&gt;"Yes"),"",IF(COUNTIFS('Vault'!$C$6:$C$1005,"Quote",'Vault'!$D$6:$D$1005,L782)&gt;0,"✓","✗ missing"))</f>
        <v/>
      </c>
      <c r="Q782" s="78">
        <f>IF(N782="","",IF(AND(N782="✓",O782="✓",P782="✓"),"✓ Complete","Missing documents"))</f>
        <v/>
      </c>
      <c r="R782" s="79">
        <f>IF(Q782="","",IF(Q782="✓ Complete",0,1))</f>
        <v/>
      </c>
    </row>
    <row r="783" ht="20" customHeight="1">
      <c r="B783" s="72" t="n"/>
      <c r="C783" s="72" t="n"/>
      <c r="D783" s="72" t="n"/>
      <c r="E783" s="72" t="n"/>
      <c r="F783" s="72" t="n"/>
      <c r="G783" s="109" t="n"/>
      <c r="H783" s="72" t="n"/>
      <c r="I783" s="78">
        <f>IF(H783="","",HYPERLINK(H783,"Open ↗"))</f>
        <v/>
      </c>
      <c r="J783" s="72" t="n"/>
      <c r="L783" s="116">
        <f>IF('Contractors'!B783="","",'Contractors'!B783)</f>
        <v/>
      </c>
      <c r="M783" s="78">
        <f>IF(L783="","",'Contractors'!L783)</f>
        <v/>
      </c>
      <c r="N783" s="78">
        <f>IF(OR(L783="",M783&lt;&gt;"Yes"),"",IF(COUNTIFS('Vault'!$C$6:$C$1005,"Contract",'Vault'!$D$6:$D$1005,L783)&gt;0,"✓","✗ missing"))</f>
        <v/>
      </c>
      <c r="O783" s="78">
        <f>IF(OR(L783="",M783&lt;&gt;"Yes"),"",IF(COUNTIFS('Vault'!$C$6:$C$1005,"Insurance",'Vault'!$D$6:$D$1005,L783)&gt;0,"✓","✗ missing"))</f>
        <v/>
      </c>
      <c r="P783" s="78">
        <f>IF(OR(L783="",M783&lt;&gt;"Yes"),"",IF(COUNTIFS('Vault'!$C$6:$C$1005,"Quote",'Vault'!$D$6:$D$1005,L783)&gt;0,"✓","✗ missing"))</f>
        <v/>
      </c>
      <c r="Q783" s="78">
        <f>IF(N783="","",IF(AND(N783="✓",O783="✓",P783="✓"),"✓ Complete","Missing documents"))</f>
        <v/>
      </c>
      <c r="R783" s="79">
        <f>IF(Q783="","",IF(Q783="✓ Complete",0,1))</f>
        <v/>
      </c>
    </row>
    <row r="784" ht="20" customHeight="1">
      <c r="B784" s="72" t="n"/>
      <c r="C784" s="72" t="n"/>
      <c r="D784" s="72" t="n"/>
      <c r="E784" s="72" t="n"/>
      <c r="F784" s="72" t="n"/>
      <c r="G784" s="109" t="n"/>
      <c r="H784" s="72" t="n"/>
      <c r="I784" s="78">
        <f>IF(H784="","",HYPERLINK(H784,"Open ↗"))</f>
        <v/>
      </c>
      <c r="J784" s="72" t="n"/>
      <c r="L784" s="116">
        <f>IF('Contractors'!B784="","",'Contractors'!B784)</f>
        <v/>
      </c>
      <c r="M784" s="78">
        <f>IF(L784="","",'Contractors'!L784)</f>
        <v/>
      </c>
      <c r="N784" s="78">
        <f>IF(OR(L784="",M784&lt;&gt;"Yes"),"",IF(COUNTIFS('Vault'!$C$6:$C$1005,"Contract",'Vault'!$D$6:$D$1005,L784)&gt;0,"✓","✗ missing"))</f>
        <v/>
      </c>
      <c r="O784" s="78">
        <f>IF(OR(L784="",M784&lt;&gt;"Yes"),"",IF(COUNTIFS('Vault'!$C$6:$C$1005,"Insurance",'Vault'!$D$6:$D$1005,L784)&gt;0,"✓","✗ missing"))</f>
        <v/>
      </c>
      <c r="P784" s="78">
        <f>IF(OR(L784="",M784&lt;&gt;"Yes"),"",IF(COUNTIFS('Vault'!$C$6:$C$1005,"Quote",'Vault'!$D$6:$D$1005,L784)&gt;0,"✓","✗ missing"))</f>
        <v/>
      </c>
      <c r="Q784" s="78">
        <f>IF(N784="","",IF(AND(N784="✓",O784="✓",P784="✓"),"✓ Complete","Missing documents"))</f>
        <v/>
      </c>
      <c r="R784" s="79">
        <f>IF(Q784="","",IF(Q784="✓ Complete",0,1))</f>
        <v/>
      </c>
    </row>
    <row r="785" ht="20" customHeight="1">
      <c r="B785" s="72" t="n"/>
      <c r="C785" s="72" t="n"/>
      <c r="D785" s="72" t="n"/>
      <c r="E785" s="72" t="n"/>
      <c r="F785" s="72" t="n"/>
      <c r="G785" s="109" t="n"/>
      <c r="H785" s="72" t="n"/>
      <c r="I785" s="78">
        <f>IF(H785="","",HYPERLINK(H785,"Open ↗"))</f>
        <v/>
      </c>
      <c r="J785" s="72" t="n"/>
      <c r="L785" s="116">
        <f>IF('Contractors'!B785="","",'Contractors'!B785)</f>
        <v/>
      </c>
      <c r="M785" s="78">
        <f>IF(L785="","",'Contractors'!L785)</f>
        <v/>
      </c>
      <c r="N785" s="78">
        <f>IF(OR(L785="",M785&lt;&gt;"Yes"),"",IF(COUNTIFS('Vault'!$C$6:$C$1005,"Contract",'Vault'!$D$6:$D$1005,L785)&gt;0,"✓","✗ missing"))</f>
        <v/>
      </c>
      <c r="O785" s="78">
        <f>IF(OR(L785="",M785&lt;&gt;"Yes"),"",IF(COUNTIFS('Vault'!$C$6:$C$1005,"Insurance",'Vault'!$D$6:$D$1005,L785)&gt;0,"✓","✗ missing"))</f>
        <v/>
      </c>
      <c r="P785" s="78">
        <f>IF(OR(L785="",M785&lt;&gt;"Yes"),"",IF(COUNTIFS('Vault'!$C$6:$C$1005,"Quote",'Vault'!$D$6:$D$1005,L785)&gt;0,"✓","✗ missing"))</f>
        <v/>
      </c>
      <c r="Q785" s="78">
        <f>IF(N785="","",IF(AND(N785="✓",O785="✓",P785="✓"),"✓ Complete","Missing documents"))</f>
        <v/>
      </c>
      <c r="R785" s="79">
        <f>IF(Q785="","",IF(Q785="✓ Complete",0,1))</f>
        <v/>
      </c>
    </row>
    <row r="786" ht="20" customHeight="1">
      <c r="B786" s="72" t="n"/>
      <c r="C786" s="72" t="n"/>
      <c r="D786" s="72" t="n"/>
      <c r="E786" s="72" t="n"/>
      <c r="F786" s="72" t="n"/>
      <c r="G786" s="109" t="n"/>
      <c r="H786" s="72" t="n"/>
      <c r="I786" s="78">
        <f>IF(H786="","",HYPERLINK(H786,"Open ↗"))</f>
        <v/>
      </c>
      <c r="J786" s="72" t="n"/>
      <c r="L786" s="116">
        <f>IF('Contractors'!B786="","",'Contractors'!B786)</f>
        <v/>
      </c>
      <c r="M786" s="78">
        <f>IF(L786="","",'Contractors'!L786)</f>
        <v/>
      </c>
      <c r="N786" s="78">
        <f>IF(OR(L786="",M786&lt;&gt;"Yes"),"",IF(COUNTIFS('Vault'!$C$6:$C$1005,"Contract",'Vault'!$D$6:$D$1005,L786)&gt;0,"✓","✗ missing"))</f>
        <v/>
      </c>
      <c r="O786" s="78">
        <f>IF(OR(L786="",M786&lt;&gt;"Yes"),"",IF(COUNTIFS('Vault'!$C$6:$C$1005,"Insurance",'Vault'!$D$6:$D$1005,L786)&gt;0,"✓","✗ missing"))</f>
        <v/>
      </c>
      <c r="P786" s="78">
        <f>IF(OR(L786="",M786&lt;&gt;"Yes"),"",IF(COUNTIFS('Vault'!$C$6:$C$1005,"Quote",'Vault'!$D$6:$D$1005,L786)&gt;0,"✓","✗ missing"))</f>
        <v/>
      </c>
      <c r="Q786" s="78">
        <f>IF(N786="","",IF(AND(N786="✓",O786="✓",P786="✓"),"✓ Complete","Missing documents"))</f>
        <v/>
      </c>
      <c r="R786" s="79">
        <f>IF(Q786="","",IF(Q786="✓ Complete",0,1))</f>
        <v/>
      </c>
    </row>
    <row r="787" ht="20" customHeight="1">
      <c r="B787" s="72" t="n"/>
      <c r="C787" s="72" t="n"/>
      <c r="D787" s="72" t="n"/>
      <c r="E787" s="72" t="n"/>
      <c r="F787" s="72" t="n"/>
      <c r="G787" s="109" t="n"/>
      <c r="H787" s="72" t="n"/>
      <c r="I787" s="78">
        <f>IF(H787="","",HYPERLINK(H787,"Open ↗"))</f>
        <v/>
      </c>
      <c r="J787" s="72" t="n"/>
      <c r="L787" s="116">
        <f>IF('Contractors'!B787="","",'Contractors'!B787)</f>
        <v/>
      </c>
      <c r="M787" s="78">
        <f>IF(L787="","",'Contractors'!L787)</f>
        <v/>
      </c>
      <c r="N787" s="78">
        <f>IF(OR(L787="",M787&lt;&gt;"Yes"),"",IF(COUNTIFS('Vault'!$C$6:$C$1005,"Contract",'Vault'!$D$6:$D$1005,L787)&gt;0,"✓","✗ missing"))</f>
        <v/>
      </c>
      <c r="O787" s="78">
        <f>IF(OR(L787="",M787&lt;&gt;"Yes"),"",IF(COUNTIFS('Vault'!$C$6:$C$1005,"Insurance",'Vault'!$D$6:$D$1005,L787)&gt;0,"✓","✗ missing"))</f>
        <v/>
      </c>
      <c r="P787" s="78">
        <f>IF(OR(L787="",M787&lt;&gt;"Yes"),"",IF(COUNTIFS('Vault'!$C$6:$C$1005,"Quote",'Vault'!$D$6:$D$1005,L787)&gt;0,"✓","✗ missing"))</f>
        <v/>
      </c>
      <c r="Q787" s="78">
        <f>IF(N787="","",IF(AND(N787="✓",O787="✓",P787="✓"),"✓ Complete","Missing documents"))</f>
        <v/>
      </c>
      <c r="R787" s="79">
        <f>IF(Q787="","",IF(Q787="✓ Complete",0,1))</f>
        <v/>
      </c>
    </row>
    <row r="788" ht="20" customHeight="1">
      <c r="B788" s="72" t="n"/>
      <c r="C788" s="72" t="n"/>
      <c r="D788" s="72" t="n"/>
      <c r="E788" s="72" t="n"/>
      <c r="F788" s="72" t="n"/>
      <c r="G788" s="109" t="n"/>
      <c r="H788" s="72" t="n"/>
      <c r="I788" s="78">
        <f>IF(H788="","",HYPERLINK(H788,"Open ↗"))</f>
        <v/>
      </c>
      <c r="J788" s="72" t="n"/>
      <c r="L788" s="116">
        <f>IF('Contractors'!B788="","",'Contractors'!B788)</f>
        <v/>
      </c>
      <c r="M788" s="78">
        <f>IF(L788="","",'Contractors'!L788)</f>
        <v/>
      </c>
      <c r="N788" s="78">
        <f>IF(OR(L788="",M788&lt;&gt;"Yes"),"",IF(COUNTIFS('Vault'!$C$6:$C$1005,"Contract",'Vault'!$D$6:$D$1005,L788)&gt;0,"✓","✗ missing"))</f>
        <v/>
      </c>
      <c r="O788" s="78">
        <f>IF(OR(L788="",M788&lt;&gt;"Yes"),"",IF(COUNTIFS('Vault'!$C$6:$C$1005,"Insurance",'Vault'!$D$6:$D$1005,L788)&gt;0,"✓","✗ missing"))</f>
        <v/>
      </c>
      <c r="P788" s="78">
        <f>IF(OR(L788="",M788&lt;&gt;"Yes"),"",IF(COUNTIFS('Vault'!$C$6:$C$1005,"Quote",'Vault'!$D$6:$D$1005,L788)&gt;0,"✓","✗ missing"))</f>
        <v/>
      </c>
      <c r="Q788" s="78">
        <f>IF(N788="","",IF(AND(N788="✓",O788="✓",P788="✓"),"✓ Complete","Missing documents"))</f>
        <v/>
      </c>
      <c r="R788" s="79">
        <f>IF(Q788="","",IF(Q788="✓ Complete",0,1))</f>
        <v/>
      </c>
    </row>
    <row r="789" ht="20" customHeight="1">
      <c r="B789" s="72" t="n"/>
      <c r="C789" s="72" t="n"/>
      <c r="D789" s="72" t="n"/>
      <c r="E789" s="72" t="n"/>
      <c r="F789" s="72" t="n"/>
      <c r="G789" s="109" t="n"/>
      <c r="H789" s="72" t="n"/>
      <c r="I789" s="78">
        <f>IF(H789="","",HYPERLINK(H789,"Open ↗"))</f>
        <v/>
      </c>
      <c r="J789" s="72" t="n"/>
      <c r="L789" s="116">
        <f>IF('Contractors'!B789="","",'Contractors'!B789)</f>
        <v/>
      </c>
      <c r="M789" s="78">
        <f>IF(L789="","",'Contractors'!L789)</f>
        <v/>
      </c>
      <c r="N789" s="78">
        <f>IF(OR(L789="",M789&lt;&gt;"Yes"),"",IF(COUNTIFS('Vault'!$C$6:$C$1005,"Contract",'Vault'!$D$6:$D$1005,L789)&gt;0,"✓","✗ missing"))</f>
        <v/>
      </c>
      <c r="O789" s="78">
        <f>IF(OR(L789="",M789&lt;&gt;"Yes"),"",IF(COUNTIFS('Vault'!$C$6:$C$1005,"Insurance",'Vault'!$D$6:$D$1005,L789)&gt;0,"✓","✗ missing"))</f>
        <v/>
      </c>
      <c r="P789" s="78">
        <f>IF(OR(L789="",M789&lt;&gt;"Yes"),"",IF(COUNTIFS('Vault'!$C$6:$C$1005,"Quote",'Vault'!$D$6:$D$1005,L789)&gt;0,"✓","✗ missing"))</f>
        <v/>
      </c>
      <c r="Q789" s="78">
        <f>IF(N789="","",IF(AND(N789="✓",O789="✓",P789="✓"),"✓ Complete","Missing documents"))</f>
        <v/>
      </c>
      <c r="R789" s="79">
        <f>IF(Q789="","",IF(Q789="✓ Complete",0,1))</f>
        <v/>
      </c>
    </row>
    <row r="790" ht="20" customHeight="1">
      <c r="B790" s="72" t="n"/>
      <c r="C790" s="72" t="n"/>
      <c r="D790" s="72" t="n"/>
      <c r="E790" s="72" t="n"/>
      <c r="F790" s="72" t="n"/>
      <c r="G790" s="109" t="n"/>
      <c r="H790" s="72" t="n"/>
      <c r="I790" s="78">
        <f>IF(H790="","",HYPERLINK(H790,"Open ↗"))</f>
        <v/>
      </c>
      <c r="J790" s="72" t="n"/>
      <c r="L790" s="116">
        <f>IF('Contractors'!B790="","",'Contractors'!B790)</f>
        <v/>
      </c>
      <c r="M790" s="78">
        <f>IF(L790="","",'Contractors'!L790)</f>
        <v/>
      </c>
      <c r="N790" s="78">
        <f>IF(OR(L790="",M790&lt;&gt;"Yes"),"",IF(COUNTIFS('Vault'!$C$6:$C$1005,"Contract",'Vault'!$D$6:$D$1005,L790)&gt;0,"✓","✗ missing"))</f>
        <v/>
      </c>
      <c r="O790" s="78">
        <f>IF(OR(L790="",M790&lt;&gt;"Yes"),"",IF(COUNTIFS('Vault'!$C$6:$C$1005,"Insurance",'Vault'!$D$6:$D$1005,L790)&gt;0,"✓","✗ missing"))</f>
        <v/>
      </c>
      <c r="P790" s="78">
        <f>IF(OR(L790="",M790&lt;&gt;"Yes"),"",IF(COUNTIFS('Vault'!$C$6:$C$1005,"Quote",'Vault'!$D$6:$D$1005,L790)&gt;0,"✓","✗ missing"))</f>
        <v/>
      </c>
      <c r="Q790" s="78">
        <f>IF(N790="","",IF(AND(N790="✓",O790="✓",P790="✓"),"✓ Complete","Missing documents"))</f>
        <v/>
      </c>
      <c r="R790" s="79">
        <f>IF(Q790="","",IF(Q790="✓ Complete",0,1))</f>
        <v/>
      </c>
    </row>
    <row r="791" ht="20" customHeight="1">
      <c r="B791" s="72" t="n"/>
      <c r="C791" s="72" t="n"/>
      <c r="D791" s="72" t="n"/>
      <c r="E791" s="72" t="n"/>
      <c r="F791" s="72" t="n"/>
      <c r="G791" s="109" t="n"/>
      <c r="H791" s="72" t="n"/>
      <c r="I791" s="78">
        <f>IF(H791="","",HYPERLINK(H791,"Open ↗"))</f>
        <v/>
      </c>
      <c r="J791" s="72" t="n"/>
      <c r="L791" s="116">
        <f>IF('Contractors'!B791="","",'Contractors'!B791)</f>
        <v/>
      </c>
      <c r="M791" s="78">
        <f>IF(L791="","",'Contractors'!L791)</f>
        <v/>
      </c>
      <c r="N791" s="78">
        <f>IF(OR(L791="",M791&lt;&gt;"Yes"),"",IF(COUNTIFS('Vault'!$C$6:$C$1005,"Contract",'Vault'!$D$6:$D$1005,L791)&gt;0,"✓","✗ missing"))</f>
        <v/>
      </c>
      <c r="O791" s="78">
        <f>IF(OR(L791="",M791&lt;&gt;"Yes"),"",IF(COUNTIFS('Vault'!$C$6:$C$1005,"Insurance",'Vault'!$D$6:$D$1005,L791)&gt;0,"✓","✗ missing"))</f>
        <v/>
      </c>
      <c r="P791" s="78">
        <f>IF(OR(L791="",M791&lt;&gt;"Yes"),"",IF(COUNTIFS('Vault'!$C$6:$C$1005,"Quote",'Vault'!$D$6:$D$1005,L791)&gt;0,"✓","✗ missing"))</f>
        <v/>
      </c>
      <c r="Q791" s="78">
        <f>IF(N791="","",IF(AND(N791="✓",O791="✓",P791="✓"),"✓ Complete","Missing documents"))</f>
        <v/>
      </c>
      <c r="R791" s="79">
        <f>IF(Q791="","",IF(Q791="✓ Complete",0,1))</f>
        <v/>
      </c>
    </row>
    <row r="792" ht="20" customHeight="1">
      <c r="B792" s="72" t="n"/>
      <c r="C792" s="72" t="n"/>
      <c r="D792" s="72" t="n"/>
      <c r="E792" s="72" t="n"/>
      <c r="F792" s="72" t="n"/>
      <c r="G792" s="109" t="n"/>
      <c r="H792" s="72" t="n"/>
      <c r="I792" s="78">
        <f>IF(H792="","",HYPERLINK(H792,"Open ↗"))</f>
        <v/>
      </c>
      <c r="J792" s="72" t="n"/>
      <c r="L792" s="116">
        <f>IF('Contractors'!B792="","",'Contractors'!B792)</f>
        <v/>
      </c>
      <c r="M792" s="78">
        <f>IF(L792="","",'Contractors'!L792)</f>
        <v/>
      </c>
      <c r="N792" s="78">
        <f>IF(OR(L792="",M792&lt;&gt;"Yes"),"",IF(COUNTIFS('Vault'!$C$6:$C$1005,"Contract",'Vault'!$D$6:$D$1005,L792)&gt;0,"✓","✗ missing"))</f>
        <v/>
      </c>
      <c r="O792" s="78">
        <f>IF(OR(L792="",M792&lt;&gt;"Yes"),"",IF(COUNTIFS('Vault'!$C$6:$C$1005,"Insurance",'Vault'!$D$6:$D$1005,L792)&gt;0,"✓","✗ missing"))</f>
        <v/>
      </c>
      <c r="P792" s="78">
        <f>IF(OR(L792="",M792&lt;&gt;"Yes"),"",IF(COUNTIFS('Vault'!$C$6:$C$1005,"Quote",'Vault'!$D$6:$D$1005,L792)&gt;0,"✓","✗ missing"))</f>
        <v/>
      </c>
      <c r="Q792" s="78">
        <f>IF(N792="","",IF(AND(N792="✓",O792="✓",P792="✓"),"✓ Complete","Missing documents"))</f>
        <v/>
      </c>
      <c r="R792" s="79">
        <f>IF(Q792="","",IF(Q792="✓ Complete",0,1))</f>
        <v/>
      </c>
    </row>
    <row r="793" ht="20" customHeight="1">
      <c r="B793" s="72" t="n"/>
      <c r="C793" s="72" t="n"/>
      <c r="D793" s="72" t="n"/>
      <c r="E793" s="72" t="n"/>
      <c r="F793" s="72" t="n"/>
      <c r="G793" s="109" t="n"/>
      <c r="H793" s="72" t="n"/>
      <c r="I793" s="78">
        <f>IF(H793="","",HYPERLINK(H793,"Open ↗"))</f>
        <v/>
      </c>
      <c r="J793" s="72" t="n"/>
      <c r="L793" s="116">
        <f>IF('Contractors'!B793="","",'Contractors'!B793)</f>
        <v/>
      </c>
      <c r="M793" s="78">
        <f>IF(L793="","",'Contractors'!L793)</f>
        <v/>
      </c>
      <c r="N793" s="78">
        <f>IF(OR(L793="",M793&lt;&gt;"Yes"),"",IF(COUNTIFS('Vault'!$C$6:$C$1005,"Contract",'Vault'!$D$6:$D$1005,L793)&gt;0,"✓","✗ missing"))</f>
        <v/>
      </c>
      <c r="O793" s="78">
        <f>IF(OR(L793="",M793&lt;&gt;"Yes"),"",IF(COUNTIFS('Vault'!$C$6:$C$1005,"Insurance",'Vault'!$D$6:$D$1005,L793)&gt;0,"✓","✗ missing"))</f>
        <v/>
      </c>
      <c r="P793" s="78">
        <f>IF(OR(L793="",M793&lt;&gt;"Yes"),"",IF(COUNTIFS('Vault'!$C$6:$C$1005,"Quote",'Vault'!$D$6:$D$1005,L793)&gt;0,"✓","✗ missing"))</f>
        <v/>
      </c>
      <c r="Q793" s="78">
        <f>IF(N793="","",IF(AND(N793="✓",O793="✓",P793="✓"),"✓ Complete","Missing documents"))</f>
        <v/>
      </c>
      <c r="R793" s="79">
        <f>IF(Q793="","",IF(Q793="✓ Complete",0,1))</f>
        <v/>
      </c>
    </row>
    <row r="794" ht="20" customHeight="1">
      <c r="B794" s="72" t="n"/>
      <c r="C794" s="72" t="n"/>
      <c r="D794" s="72" t="n"/>
      <c r="E794" s="72" t="n"/>
      <c r="F794" s="72" t="n"/>
      <c r="G794" s="109" t="n"/>
      <c r="H794" s="72" t="n"/>
      <c r="I794" s="78">
        <f>IF(H794="","",HYPERLINK(H794,"Open ↗"))</f>
        <v/>
      </c>
      <c r="J794" s="72" t="n"/>
      <c r="L794" s="116">
        <f>IF('Contractors'!B794="","",'Contractors'!B794)</f>
        <v/>
      </c>
      <c r="M794" s="78">
        <f>IF(L794="","",'Contractors'!L794)</f>
        <v/>
      </c>
      <c r="N794" s="78">
        <f>IF(OR(L794="",M794&lt;&gt;"Yes"),"",IF(COUNTIFS('Vault'!$C$6:$C$1005,"Contract",'Vault'!$D$6:$D$1005,L794)&gt;0,"✓","✗ missing"))</f>
        <v/>
      </c>
      <c r="O794" s="78">
        <f>IF(OR(L794="",M794&lt;&gt;"Yes"),"",IF(COUNTIFS('Vault'!$C$6:$C$1005,"Insurance",'Vault'!$D$6:$D$1005,L794)&gt;0,"✓","✗ missing"))</f>
        <v/>
      </c>
      <c r="P794" s="78">
        <f>IF(OR(L794="",M794&lt;&gt;"Yes"),"",IF(COUNTIFS('Vault'!$C$6:$C$1005,"Quote",'Vault'!$D$6:$D$1005,L794)&gt;0,"✓","✗ missing"))</f>
        <v/>
      </c>
      <c r="Q794" s="78">
        <f>IF(N794="","",IF(AND(N794="✓",O794="✓",P794="✓"),"✓ Complete","Missing documents"))</f>
        <v/>
      </c>
      <c r="R794" s="79">
        <f>IF(Q794="","",IF(Q794="✓ Complete",0,1))</f>
        <v/>
      </c>
    </row>
    <row r="795" ht="20" customHeight="1">
      <c r="B795" s="72" t="n"/>
      <c r="C795" s="72" t="n"/>
      <c r="D795" s="72" t="n"/>
      <c r="E795" s="72" t="n"/>
      <c r="F795" s="72" t="n"/>
      <c r="G795" s="109" t="n"/>
      <c r="H795" s="72" t="n"/>
      <c r="I795" s="78">
        <f>IF(H795="","",HYPERLINK(H795,"Open ↗"))</f>
        <v/>
      </c>
      <c r="J795" s="72" t="n"/>
      <c r="L795" s="116">
        <f>IF('Contractors'!B795="","",'Contractors'!B795)</f>
        <v/>
      </c>
      <c r="M795" s="78">
        <f>IF(L795="","",'Contractors'!L795)</f>
        <v/>
      </c>
      <c r="N795" s="78">
        <f>IF(OR(L795="",M795&lt;&gt;"Yes"),"",IF(COUNTIFS('Vault'!$C$6:$C$1005,"Contract",'Vault'!$D$6:$D$1005,L795)&gt;0,"✓","✗ missing"))</f>
        <v/>
      </c>
      <c r="O795" s="78">
        <f>IF(OR(L795="",M795&lt;&gt;"Yes"),"",IF(COUNTIFS('Vault'!$C$6:$C$1005,"Insurance",'Vault'!$D$6:$D$1005,L795)&gt;0,"✓","✗ missing"))</f>
        <v/>
      </c>
      <c r="P795" s="78">
        <f>IF(OR(L795="",M795&lt;&gt;"Yes"),"",IF(COUNTIFS('Vault'!$C$6:$C$1005,"Quote",'Vault'!$D$6:$D$1005,L795)&gt;0,"✓","✗ missing"))</f>
        <v/>
      </c>
      <c r="Q795" s="78">
        <f>IF(N795="","",IF(AND(N795="✓",O795="✓",P795="✓"),"✓ Complete","Missing documents"))</f>
        <v/>
      </c>
      <c r="R795" s="79">
        <f>IF(Q795="","",IF(Q795="✓ Complete",0,1))</f>
        <v/>
      </c>
    </row>
    <row r="796" ht="20" customHeight="1">
      <c r="B796" s="72" t="n"/>
      <c r="C796" s="72" t="n"/>
      <c r="D796" s="72" t="n"/>
      <c r="E796" s="72" t="n"/>
      <c r="F796" s="72" t="n"/>
      <c r="G796" s="109" t="n"/>
      <c r="H796" s="72" t="n"/>
      <c r="I796" s="78">
        <f>IF(H796="","",HYPERLINK(H796,"Open ↗"))</f>
        <v/>
      </c>
      <c r="J796" s="72" t="n"/>
      <c r="L796" s="116">
        <f>IF('Contractors'!B796="","",'Contractors'!B796)</f>
        <v/>
      </c>
      <c r="M796" s="78">
        <f>IF(L796="","",'Contractors'!L796)</f>
        <v/>
      </c>
      <c r="N796" s="78">
        <f>IF(OR(L796="",M796&lt;&gt;"Yes"),"",IF(COUNTIFS('Vault'!$C$6:$C$1005,"Contract",'Vault'!$D$6:$D$1005,L796)&gt;0,"✓","✗ missing"))</f>
        <v/>
      </c>
      <c r="O796" s="78">
        <f>IF(OR(L796="",M796&lt;&gt;"Yes"),"",IF(COUNTIFS('Vault'!$C$6:$C$1005,"Insurance",'Vault'!$D$6:$D$1005,L796)&gt;0,"✓","✗ missing"))</f>
        <v/>
      </c>
      <c r="P796" s="78">
        <f>IF(OR(L796="",M796&lt;&gt;"Yes"),"",IF(COUNTIFS('Vault'!$C$6:$C$1005,"Quote",'Vault'!$D$6:$D$1005,L796)&gt;0,"✓","✗ missing"))</f>
        <v/>
      </c>
      <c r="Q796" s="78">
        <f>IF(N796="","",IF(AND(N796="✓",O796="✓",P796="✓"),"✓ Complete","Missing documents"))</f>
        <v/>
      </c>
      <c r="R796" s="79">
        <f>IF(Q796="","",IF(Q796="✓ Complete",0,1))</f>
        <v/>
      </c>
    </row>
    <row r="797" ht="20" customHeight="1">
      <c r="B797" s="72" t="n"/>
      <c r="C797" s="72" t="n"/>
      <c r="D797" s="72" t="n"/>
      <c r="E797" s="72" t="n"/>
      <c r="F797" s="72" t="n"/>
      <c r="G797" s="109" t="n"/>
      <c r="H797" s="72" t="n"/>
      <c r="I797" s="78">
        <f>IF(H797="","",HYPERLINK(H797,"Open ↗"))</f>
        <v/>
      </c>
      <c r="J797" s="72" t="n"/>
      <c r="L797" s="116">
        <f>IF('Contractors'!B797="","",'Contractors'!B797)</f>
        <v/>
      </c>
      <c r="M797" s="78">
        <f>IF(L797="","",'Contractors'!L797)</f>
        <v/>
      </c>
      <c r="N797" s="78">
        <f>IF(OR(L797="",M797&lt;&gt;"Yes"),"",IF(COUNTIFS('Vault'!$C$6:$C$1005,"Contract",'Vault'!$D$6:$D$1005,L797)&gt;0,"✓","✗ missing"))</f>
        <v/>
      </c>
      <c r="O797" s="78">
        <f>IF(OR(L797="",M797&lt;&gt;"Yes"),"",IF(COUNTIFS('Vault'!$C$6:$C$1005,"Insurance",'Vault'!$D$6:$D$1005,L797)&gt;0,"✓","✗ missing"))</f>
        <v/>
      </c>
      <c r="P797" s="78">
        <f>IF(OR(L797="",M797&lt;&gt;"Yes"),"",IF(COUNTIFS('Vault'!$C$6:$C$1005,"Quote",'Vault'!$D$6:$D$1005,L797)&gt;0,"✓","✗ missing"))</f>
        <v/>
      </c>
      <c r="Q797" s="78">
        <f>IF(N797="","",IF(AND(N797="✓",O797="✓",P797="✓"),"✓ Complete","Missing documents"))</f>
        <v/>
      </c>
      <c r="R797" s="79">
        <f>IF(Q797="","",IF(Q797="✓ Complete",0,1))</f>
        <v/>
      </c>
    </row>
    <row r="798" ht="20" customHeight="1">
      <c r="B798" s="72" t="n"/>
      <c r="C798" s="72" t="n"/>
      <c r="D798" s="72" t="n"/>
      <c r="E798" s="72" t="n"/>
      <c r="F798" s="72" t="n"/>
      <c r="G798" s="109" t="n"/>
      <c r="H798" s="72" t="n"/>
      <c r="I798" s="78">
        <f>IF(H798="","",HYPERLINK(H798,"Open ↗"))</f>
        <v/>
      </c>
      <c r="J798" s="72" t="n"/>
      <c r="L798" s="116">
        <f>IF('Contractors'!B798="","",'Contractors'!B798)</f>
        <v/>
      </c>
      <c r="M798" s="78">
        <f>IF(L798="","",'Contractors'!L798)</f>
        <v/>
      </c>
      <c r="N798" s="78">
        <f>IF(OR(L798="",M798&lt;&gt;"Yes"),"",IF(COUNTIFS('Vault'!$C$6:$C$1005,"Contract",'Vault'!$D$6:$D$1005,L798)&gt;0,"✓","✗ missing"))</f>
        <v/>
      </c>
      <c r="O798" s="78">
        <f>IF(OR(L798="",M798&lt;&gt;"Yes"),"",IF(COUNTIFS('Vault'!$C$6:$C$1005,"Insurance",'Vault'!$D$6:$D$1005,L798)&gt;0,"✓","✗ missing"))</f>
        <v/>
      </c>
      <c r="P798" s="78">
        <f>IF(OR(L798="",M798&lt;&gt;"Yes"),"",IF(COUNTIFS('Vault'!$C$6:$C$1005,"Quote",'Vault'!$D$6:$D$1005,L798)&gt;0,"✓","✗ missing"))</f>
        <v/>
      </c>
      <c r="Q798" s="78">
        <f>IF(N798="","",IF(AND(N798="✓",O798="✓",P798="✓"),"✓ Complete","Missing documents"))</f>
        <v/>
      </c>
      <c r="R798" s="79">
        <f>IF(Q798="","",IF(Q798="✓ Complete",0,1))</f>
        <v/>
      </c>
    </row>
    <row r="799" ht="20" customHeight="1">
      <c r="B799" s="72" t="n"/>
      <c r="C799" s="72" t="n"/>
      <c r="D799" s="72" t="n"/>
      <c r="E799" s="72" t="n"/>
      <c r="F799" s="72" t="n"/>
      <c r="G799" s="109" t="n"/>
      <c r="H799" s="72" t="n"/>
      <c r="I799" s="78">
        <f>IF(H799="","",HYPERLINK(H799,"Open ↗"))</f>
        <v/>
      </c>
      <c r="J799" s="72" t="n"/>
      <c r="L799" s="116">
        <f>IF('Contractors'!B799="","",'Contractors'!B799)</f>
        <v/>
      </c>
      <c r="M799" s="78">
        <f>IF(L799="","",'Contractors'!L799)</f>
        <v/>
      </c>
      <c r="N799" s="78">
        <f>IF(OR(L799="",M799&lt;&gt;"Yes"),"",IF(COUNTIFS('Vault'!$C$6:$C$1005,"Contract",'Vault'!$D$6:$D$1005,L799)&gt;0,"✓","✗ missing"))</f>
        <v/>
      </c>
      <c r="O799" s="78">
        <f>IF(OR(L799="",M799&lt;&gt;"Yes"),"",IF(COUNTIFS('Vault'!$C$6:$C$1005,"Insurance",'Vault'!$D$6:$D$1005,L799)&gt;0,"✓","✗ missing"))</f>
        <v/>
      </c>
      <c r="P799" s="78">
        <f>IF(OR(L799="",M799&lt;&gt;"Yes"),"",IF(COUNTIFS('Vault'!$C$6:$C$1005,"Quote",'Vault'!$D$6:$D$1005,L799)&gt;0,"✓","✗ missing"))</f>
        <v/>
      </c>
      <c r="Q799" s="78">
        <f>IF(N799="","",IF(AND(N799="✓",O799="✓",P799="✓"),"✓ Complete","Missing documents"))</f>
        <v/>
      </c>
      <c r="R799" s="79">
        <f>IF(Q799="","",IF(Q799="✓ Complete",0,1))</f>
        <v/>
      </c>
    </row>
    <row r="800" ht="20" customHeight="1">
      <c r="B800" s="72" t="n"/>
      <c r="C800" s="72" t="n"/>
      <c r="D800" s="72" t="n"/>
      <c r="E800" s="72" t="n"/>
      <c r="F800" s="72" t="n"/>
      <c r="G800" s="109" t="n"/>
      <c r="H800" s="72" t="n"/>
      <c r="I800" s="78">
        <f>IF(H800="","",HYPERLINK(H800,"Open ↗"))</f>
        <v/>
      </c>
      <c r="J800" s="72" t="n"/>
      <c r="L800" s="116">
        <f>IF('Contractors'!B800="","",'Contractors'!B800)</f>
        <v/>
      </c>
      <c r="M800" s="78">
        <f>IF(L800="","",'Contractors'!L800)</f>
        <v/>
      </c>
      <c r="N800" s="78">
        <f>IF(OR(L800="",M800&lt;&gt;"Yes"),"",IF(COUNTIFS('Vault'!$C$6:$C$1005,"Contract",'Vault'!$D$6:$D$1005,L800)&gt;0,"✓","✗ missing"))</f>
        <v/>
      </c>
      <c r="O800" s="78">
        <f>IF(OR(L800="",M800&lt;&gt;"Yes"),"",IF(COUNTIFS('Vault'!$C$6:$C$1005,"Insurance",'Vault'!$D$6:$D$1005,L800)&gt;0,"✓","✗ missing"))</f>
        <v/>
      </c>
      <c r="P800" s="78">
        <f>IF(OR(L800="",M800&lt;&gt;"Yes"),"",IF(COUNTIFS('Vault'!$C$6:$C$1005,"Quote",'Vault'!$D$6:$D$1005,L800)&gt;0,"✓","✗ missing"))</f>
        <v/>
      </c>
      <c r="Q800" s="78">
        <f>IF(N800="","",IF(AND(N800="✓",O800="✓",P800="✓"),"✓ Complete","Missing documents"))</f>
        <v/>
      </c>
      <c r="R800" s="79">
        <f>IF(Q800="","",IF(Q800="✓ Complete",0,1))</f>
        <v/>
      </c>
    </row>
    <row r="801" ht="20" customHeight="1">
      <c r="B801" s="72" t="n"/>
      <c r="C801" s="72" t="n"/>
      <c r="D801" s="72" t="n"/>
      <c r="E801" s="72" t="n"/>
      <c r="F801" s="72" t="n"/>
      <c r="G801" s="109" t="n"/>
      <c r="H801" s="72" t="n"/>
      <c r="I801" s="78">
        <f>IF(H801="","",HYPERLINK(H801,"Open ↗"))</f>
        <v/>
      </c>
      <c r="J801" s="72" t="n"/>
      <c r="L801" s="116">
        <f>IF('Contractors'!B801="","",'Contractors'!B801)</f>
        <v/>
      </c>
      <c r="M801" s="78">
        <f>IF(L801="","",'Contractors'!L801)</f>
        <v/>
      </c>
      <c r="N801" s="78">
        <f>IF(OR(L801="",M801&lt;&gt;"Yes"),"",IF(COUNTIFS('Vault'!$C$6:$C$1005,"Contract",'Vault'!$D$6:$D$1005,L801)&gt;0,"✓","✗ missing"))</f>
        <v/>
      </c>
      <c r="O801" s="78">
        <f>IF(OR(L801="",M801&lt;&gt;"Yes"),"",IF(COUNTIFS('Vault'!$C$6:$C$1005,"Insurance",'Vault'!$D$6:$D$1005,L801)&gt;0,"✓","✗ missing"))</f>
        <v/>
      </c>
      <c r="P801" s="78">
        <f>IF(OR(L801="",M801&lt;&gt;"Yes"),"",IF(COUNTIFS('Vault'!$C$6:$C$1005,"Quote",'Vault'!$D$6:$D$1005,L801)&gt;0,"✓","✗ missing"))</f>
        <v/>
      </c>
      <c r="Q801" s="78">
        <f>IF(N801="","",IF(AND(N801="✓",O801="✓",P801="✓"),"✓ Complete","Missing documents"))</f>
        <v/>
      </c>
      <c r="R801" s="79">
        <f>IF(Q801="","",IF(Q801="✓ Complete",0,1))</f>
        <v/>
      </c>
    </row>
    <row r="802" ht="20" customHeight="1">
      <c r="B802" s="72" t="n"/>
      <c r="C802" s="72" t="n"/>
      <c r="D802" s="72" t="n"/>
      <c r="E802" s="72" t="n"/>
      <c r="F802" s="72" t="n"/>
      <c r="G802" s="109" t="n"/>
      <c r="H802" s="72" t="n"/>
      <c r="I802" s="78">
        <f>IF(H802="","",HYPERLINK(H802,"Open ↗"))</f>
        <v/>
      </c>
      <c r="J802" s="72" t="n"/>
      <c r="L802" s="116">
        <f>IF('Contractors'!B802="","",'Contractors'!B802)</f>
        <v/>
      </c>
      <c r="M802" s="78">
        <f>IF(L802="","",'Contractors'!L802)</f>
        <v/>
      </c>
      <c r="N802" s="78">
        <f>IF(OR(L802="",M802&lt;&gt;"Yes"),"",IF(COUNTIFS('Vault'!$C$6:$C$1005,"Contract",'Vault'!$D$6:$D$1005,L802)&gt;0,"✓","✗ missing"))</f>
        <v/>
      </c>
      <c r="O802" s="78">
        <f>IF(OR(L802="",M802&lt;&gt;"Yes"),"",IF(COUNTIFS('Vault'!$C$6:$C$1005,"Insurance",'Vault'!$D$6:$D$1005,L802)&gt;0,"✓","✗ missing"))</f>
        <v/>
      </c>
      <c r="P802" s="78">
        <f>IF(OR(L802="",M802&lt;&gt;"Yes"),"",IF(COUNTIFS('Vault'!$C$6:$C$1005,"Quote",'Vault'!$D$6:$D$1005,L802)&gt;0,"✓","✗ missing"))</f>
        <v/>
      </c>
      <c r="Q802" s="78">
        <f>IF(N802="","",IF(AND(N802="✓",O802="✓",P802="✓"),"✓ Complete","Missing documents"))</f>
        <v/>
      </c>
      <c r="R802" s="79">
        <f>IF(Q802="","",IF(Q802="✓ Complete",0,1))</f>
        <v/>
      </c>
    </row>
    <row r="803" ht="20" customHeight="1">
      <c r="B803" s="72" t="n"/>
      <c r="C803" s="72" t="n"/>
      <c r="D803" s="72" t="n"/>
      <c r="E803" s="72" t="n"/>
      <c r="F803" s="72" t="n"/>
      <c r="G803" s="109" t="n"/>
      <c r="H803" s="72" t="n"/>
      <c r="I803" s="78">
        <f>IF(H803="","",HYPERLINK(H803,"Open ↗"))</f>
        <v/>
      </c>
      <c r="J803" s="72" t="n"/>
      <c r="L803" s="116">
        <f>IF('Contractors'!B803="","",'Contractors'!B803)</f>
        <v/>
      </c>
      <c r="M803" s="78">
        <f>IF(L803="","",'Contractors'!L803)</f>
        <v/>
      </c>
      <c r="N803" s="78">
        <f>IF(OR(L803="",M803&lt;&gt;"Yes"),"",IF(COUNTIFS('Vault'!$C$6:$C$1005,"Contract",'Vault'!$D$6:$D$1005,L803)&gt;0,"✓","✗ missing"))</f>
        <v/>
      </c>
      <c r="O803" s="78">
        <f>IF(OR(L803="",M803&lt;&gt;"Yes"),"",IF(COUNTIFS('Vault'!$C$6:$C$1005,"Insurance",'Vault'!$D$6:$D$1005,L803)&gt;0,"✓","✗ missing"))</f>
        <v/>
      </c>
      <c r="P803" s="78">
        <f>IF(OR(L803="",M803&lt;&gt;"Yes"),"",IF(COUNTIFS('Vault'!$C$6:$C$1005,"Quote",'Vault'!$D$6:$D$1005,L803)&gt;0,"✓","✗ missing"))</f>
        <v/>
      </c>
      <c r="Q803" s="78">
        <f>IF(N803="","",IF(AND(N803="✓",O803="✓",P803="✓"),"✓ Complete","Missing documents"))</f>
        <v/>
      </c>
      <c r="R803" s="79">
        <f>IF(Q803="","",IF(Q803="✓ Complete",0,1))</f>
        <v/>
      </c>
    </row>
    <row r="804" ht="20" customHeight="1">
      <c r="B804" s="72" t="n"/>
      <c r="C804" s="72" t="n"/>
      <c r="D804" s="72" t="n"/>
      <c r="E804" s="72" t="n"/>
      <c r="F804" s="72" t="n"/>
      <c r="G804" s="109" t="n"/>
      <c r="H804" s="72" t="n"/>
      <c r="I804" s="78">
        <f>IF(H804="","",HYPERLINK(H804,"Open ↗"))</f>
        <v/>
      </c>
      <c r="J804" s="72" t="n"/>
      <c r="L804" s="116">
        <f>IF('Contractors'!B804="","",'Contractors'!B804)</f>
        <v/>
      </c>
      <c r="M804" s="78">
        <f>IF(L804="","",'Contractors'!L804)</f>
        <v/>
      </c>
      <c r="N804" s="78">
        <f>IF(OR(L804="",M804&lt;&gt;"Yes"),"",IF(COUNTIFS('Vault'!$C$6:$C$1005,"Contract",'Vault'!$D$6:$D$1005,L804)&gt;0,"✓","✗ missing"))</f>
        <v/>
      </c>
      <c r="O804" s="78">
        <f>IF(OR(L804="",M804&lt;&gt;"Yes"),"",IF(COUNTIFS('Vault'!$C$6:$C$1005,"Insurance",'Vault'!$D$6:$D$1005,L804)&gt;0,"✓","✗ missing"))</f>
        <v/>
      </c>
      <c r="P804" s="78">
        <f>IF(OR(L804="",M804&lt;&gt;"Yes"),"",IF(COUNTIFS('Vault'!$C$6:$C$1005,"Quote",'Vault'!$D$6:$D$1005,L804)&gt;0,"✓","✗ missing"))</f>
        <v/>
      </c>
      <c r="Q804" s="78">
        <f>IF(N804="","",IF(AND(N804="✓",O804="✓",P804="✓"),"✓ Complete","Missing documents"))</f>
        <v/>
      </c>
      <c r="R804" s="79">
        <f>IF(Q804="","",IF(Q804="✓ Complete",0,1))</f>
        <v/>
      </c>
    </row>
    <row r="805" ht="20" customHeight="1">
      <c r="B805" s="72" t="n"/>
      <c r="C805" s="72" t="n"/>
      <c r="D805" s="72" t="n"/>
      <c r="E805" s="72" t="n"/>
      <c r="F805" s="72" t="n"/>
      <c r="G805" s="109" t="n"/>
      <c r="H805" s="72" t="n"/>
      <c r="I805" s="78">
        <f>IF(H805="","",HYPERLINK(H805,"Open ↗"))</f>
        <v/>
      </c>
      <c r="J805" s="72" t="n"/>
      <c r="L805" s="116">
        <f>IF('Contractors'!B805="","",'Contractors'!B805)</f>
        <v/>
      </c>
      <c r="M805" s="78">
        <f>IF(L805="","",'Contractors'!L805)</f>
        <v/>
      </c>
      <c r="N805" s="78">
        <f>IF(OR(L805="",M805&lt;&gt;"Yes"),"",IF(COUNTIFS('Vault'!$C$6:$C$1005,"Contract",'Vault'!$D$6:$D$1005,L805)&gt;0,"✓","✗ missing"))</f>
        <v/>
      </c>
      <c r="O805" s="78">
        <f>IF(OR(L805="",M805&lt;&gt;"Yes"),"",IF(COUNTIFS('Vault'!$C$6:$C$1005,"Insurance",'Vault'!$D$6:$D$1005,L805)&gt;0,"✓","✗ missing"))</f>
        <v/>
      </c>
      <c r="P805" s="78">
        <f>IF(OR(L805="",M805&lt;&gt;"Yes"),"",IF(COUNTIFS('Vault'!$C$6:$C$1005,"Quote",'Vault'!$D$6:$D$1005,L805)&gt;0,"✓","✗ missing"))</f>
        <v/>
      </c>
      <c r="Q805" s="78">
        <f>IF(N805="","",IF(AND(N805="✓",O805="✓",P805="✓"),"✓ Complete","Missing documents"))</f>
        <v/>
      </c>
      <c r="R805" s="79">
        <f>IF(Q805="","",IF(Q805="✓ Complete",0,1))</f>
        <v/>
      </c>
    </row>
    <row r="806" ht="20" customHeight="1">
      <c r="B806" s="72" t="n"/>
      <c r="C806" s="72" t="n"/>
      <c r="D806" s="72" t="n"/>
      <c r="E806" s="72" t="n"/>
      <c r="F806" s="72" t="n"/>
      <c r="G806" s="109" t="n"/>
      <c r="H806" s="72" t="n"/>
      <c r="I806" s="78">
        <f>IF(H806="","",HYPERLINK(H806,"Open ↗"))</f>
        <v/>
      </c>
      <c r="J806" s="72" t="n"/>
      <c r="L806" s="116">
        <f>IF('Contractors'!B806="","",'Contractors'!B806)</f>
        <v/>
      </c>
      <c r="M806" s="78">
        <f>IF(L806="","",'Contractors'!L806)</f>
        <v/>
      </c>
      <c r="N806" s="78">
        <f>IF(OR(L806="",M806&lt;&gt;"Yes"),"",IF(COUNTIFS('Vault'!$C$6:$C$1005,"Contract",'Vault'!$D$6:$D$1005,L806)&gt;0,"✓","✗ missing"))</f>
        <v/>
      </c>
      <c r="O806" s="78">
        <f>IF(OR(L806="",M806&lt;&gt;"Yes"),"",IF(COUNTIFS('Vault'!$C$6:$C$1005,"Insurance",'Vault'!$D$6:$D$1005,L806)&gt;0,"✓","✗ missing"))</f>
        <v/>
      </c>
      <c r="P806" s="78">
        <f>IF(OR(L806="",M806&lt;&gt;"Yes"),"",IF(COUNTIFS('Vault'!$C$6:$C$1005,"Quote",'Vault'!$D$6:$D$1005,L806)&gt;0,"✓","✗ missing"))</f>
        <v/>
      </c>
      <c r="Q806" s="78">
        <f>IF(N806="","",IF(AND(N806="✓",O806="✓",P806="✓"),"✓ Complete","Missing documents"))</f>
        <v/>
      </c>
      <c r="R806" s="79">
        <f>IF(Q806="","",IF(Q806="✓ Complete",0,1))</f>
        <v/>
      </c>
    </row>
    <row r="807" ht="20" customHeight="1">
      <c r="B807" s="72" t="n"/>
      <c r="C807" s="72" t="n"/>
      <c r="D807" s="72" t="n"/>
      <c r="E807" s="72" t="n"/>
      <c r="F807" s="72" t="n"/>
      <c r="G807" s="109" t="n"/>
      <c r="H807" s="72" t="n"/>
      <c r="I807" s="78">
        <f>IF(H807="","",HYPERLINK(H807,"Open ↗"))</f>
        <v/>
      </c>
      <c r="J807" s="72" t="n"/>
      <c r="L807" s="116">
        <f>IF('Contractors'!B807="","",'Contractors'!B807)</f>
        <v/>
      </c>
      <c r="M807" s="78">
        <f>IF(L807="","",'Contractors'!L807)</f>
        <v/>
      </c>
      <c r="N807" s="78">
        <f>IF(OR(L807="",M807&lt;&gt;"Yes"),"",IF(COUNTIFS('Vault'!$C$6:$C$1005,"Contract",'Vault'!$D$6:$D$1005,L807)&gt;0,"✓","✗ missing"))</f>
        <v/>
      </c>
      <c r="O807" s="78">
        <f>IF(OR(L807="",M807&lt;&gt;"Yes"),"",IF(COUNTIFS('Vault'!$C$6:$C$1005,"Insurance",'Vault'!$D$6:$D$1005,L807)&gt;0,"✓","✗ missing"))</f>
        <v/>
      </c>
      <c r="P807" s="78">
        <f>IF(OR(L807="",M807&lt;&gt;"Yes"),"",IF(COUNTIFS('Vault'!$C$6:$C$1005,"Quote",'Vault'!$D$6:$D$1005,L807)&gt;0,"✓","✗ missing"))</f>
        <v/>
      </c>
      <c r="Q807" s="78">
        <f>IF(N807="","",IF(AND(N807="✓",O807="✓",P807="✓"),"✓ Complete","Missing documents"))</f>
        <v/>
      </c>
      <c r="R807" s="79">
        <f>IF(Q807="","",IF(Q807="✓ Complete",0,1))</f>
        <v/>
      </c>
    </row>
    <row r="808" ht="20" customHeight="1">
      <c r="B808" s="72" t="n"/>
      <c r="C808" s="72" t="n"/>
      <c r="D808" s="72" t="n"/>
      <c r="E808" s="72" t="n"/>
      <c r="F808" s="72" t="n"/>
      <c r="G808" s="109" t="n"/>
      <c r="H808" s="72" t="n"/>
      <c r="I808" s="78">
        <f>IF(H808="","",HYPERLINK(H808,"Open ↗"))</f>
        <v/>
      </c>
      <c r="J808" s="72" t="n"/>
      <c r="L808" s="116">
        <f>IF('Contractors'!B808="","",'Contractors'!B808)</f>
        <v/>
      </c>
      <c r="M808" s="78">
        <f>IF(L808="","",'Contractors'!L808)</f>
        <v/>
      </c>
      <c r="N808" s="78">
        <f>IF(OR(L808="",M808&lt;&gt;"Yes"),"",IF(COUNTIFS('Vault'!$C$6:$C$1005,"Contract",'Vault'!$D$6:$D$1005,L808)&gt;0,"✓","✗ missing"))</f>
        <v/>
      </c>
      <c r="O808" s="78">
        <f>IF(OR(L808="",M808&lt;&gt;"Yes"),"",IF(COUNTIFS('Vault'!$C$6:$C$1005,"Insurance",'Vault'!$D$6:$D$1005,L808)&gt;0,"✓","✗ missing"))</f>
        <v/>
      </c>
      <c r="P808" s="78">
        <f>IF(OR(L808="",M808&lt;&gt;"Yes"),"",IF(COUNTIFS('Vault'!$C$6:$C$1005,"Quote",'Vault'!$D$6:$D$1005,L808)&gt;0,"✓","✗ missing"))</f>
        <v/>
      </c>
      <c r="Q808" s="78">
        <f>IF(N808="","",IF(AND(N808="✓",O808="✓",P808="✓"),"✓ Complete","Missing documents"))</f>
        <v/>
      </c>
      <c r="R808" s="79">
        <f>IF(Q808="","",IF(Q808="✓ Complete",0,1))</f>
        <v/>
      </c>
    </row>
    <row r="809" ht="20" customHeight="1">
      <c r="B809" s="72" t="n"/>
      <c r="C809" s="72" t="n"/>
      <c r="D809" s="72" t="n"/>
      <c r="E809" s="72" t="n"/>
      <c r="F809" s="72" t="n"/>
      <c r="G809" s="109" t="n"/>
      <c r="H809" s="72" t="n"/>
      <c r="I809" s="78">
        <f>IF(H809="","",HYPERLINK(H809,"Open ↗"))</f>
        <v/>
      </c>
      <c r="J809" s="72" t="n"/>
      <c r="L809" s="116">
        <f>IF('Contractors'!B809="","",'Contractors'!B809)</f>
        <v/>
      </c>
      <c r="M809" s="78">
        <f>IF(L809="","",'Contractors'!L809)</f>
        <v/>
      </c>
      <c r="N809" s="78">
        <f>IF(OR(L809="",M809&lt;&gt;"Yes"),"",IF(COUNTIFS('Vault'!$C$6:$C$1005,"Contract",'Vault'!$D$6:$D$1005,L809)&gt;0,"✓","✗ missing"))</f>
        <v/>
      </c>
      <c r="O809" s="78">
        <f>IF(OR(L809="",M809&lt;&gt;"Yes"),"",IF(COUNTIFS('Vault'!$C$6:$C$1005,"Insurance",'Vault'!$D$6:$D$1005,L809)&gt;0,"✓","✗ missing"))</f>
        <v/>
      </c>
      <c r="P809" s="78">
        <f>IF(OR(L809="",M809&lt;&gt;"Yes"),"",IF(COUNTIFS('Vault'!$C$6:$C$1005,"Quote",'Vault'!$D$6:$D$1005,L809)&gt;0,"✓","✗ missing"))</f>
        <v/>
      </c>
      <c r="Q809" s="78">
        <f>IF(N809="","",IF(AND(N809="✓",O809="✓",P809="✓"),"✓ Complete","Missing documents"))</f>
        <v/>
      </c>
      <c r="R809" s="79">
        <f>IF(Q809="","",IF(Q809="✓ Complete",0,1))</f>
        <v/>
      </c>
    </row>
    <row r="810" ht="20" customHeight="1">
      <c r="B810" s="72" t="n"/>
      <c r="C810" s="72" t="n"/>
      <c r="D810" s="72" t="n"/>
      <c r="E810" s="72" t="n"/>
      <c r="F810" s="72" t="n"/>
      <c r="G810" s="109" t="n"/>
      <c r="H810" s="72" t="n"/>
      <c r="I810" s="78">
        <f>IF(H810="","",HYPERLINK(H810,"Open ↗"))</f>
        <v/>
      </c>
      <c r="J810" s="72" t="n"/>
      <c r="L810" s="116">
        <f>IF('Contractors'!B810="","",'Contractors'!B810)</f>
        <v/>
      </c>
      <c r="M810" s="78">
        <f>IF(L810="","",'Contractors'!L810)</f>
        <v/>
      </c>
      <c r="N810" s="78">
        <f>IF(OR(L810="",M810&lt;&gt;"Yes"),"",IF(COUNTIFS('Vault'!$C$6:$C$1005,"Contract",'Vault'!$D$6:$D$1005,L810)&gt;0,"✓","✗ missing"))</f>
        <v/>
      </c>
      <c r="O810" s="78">
        <f>IF(OR(L810="",M810&lt;&gt;"Yes"),"",IF(COUNTIFS('Vault'!$C$6:$C$1005,"Insurance",'Vault'!$D$6:$D$1005,L810)&gt;0,"✓","✗ missing"))</f>
        <v/>
      </c>
      <c r="P810" s="78">
        <f>IF(OR(L810="",M810&lt;&gt;"Yes"),"",IF(COUNTIFS('Vault'!$C$6:$C$1005,"Quote",'Vault'!$D$6:$D$1005,L810)&gt;0,"✓","✗ missing"))</f>
        <v/>
      </c>
      <c r="Q810" s="78">
        <f>IF(N810="","",IF(AND(N810="✓",O810="✓",P810="✓"),"✓ Complete","Missing documents"))</f>
        <v/>
      </c>
      <c r="R810" s="79">
        <f>IF(Q810="","",IF(Q810="✓ Complete",0,1))</f>
        <v/>
      </c>
    </row>
    <row r="811" ht="20" customHeight="1">
      <c r="B811" s="72" t="n"/>
      <c r="C811" s="72" t="n"/>
      <c r="D811" s="72" t="n"/>
      <c r="E811" s="72" t="n"/>
      <c r="F811" s="72" t="n"/>
      <c r="G811" s="109" t="n"/>
      <c r="H811" s="72" t="n"/>
      <c r="I811" s="78">
        <f>IF(H811="","",HYPERLINK(H811,"Open ↗"))</f>
        <v/>
      </c>
      <c r="J811" s="72" t="n"/>
      <c r="L811" s="116">
        <f>IF('Contractors'!B811="","",'Contractors'!B811)</f>
        <v/>
      </c>
      <c r="M811" s="78">
        <f>IF(L811="","",'Contractors'!L811)</f>
        <v/>
      </c>
      <c r="N811" s="78">
        <f>IF(OR(L811="",M811&lt;&gt;"Yes"),"",IF(COUNTIFS('Vault'!$C$6:$C$1005,"Contract",'Vault'!$D$6:$D$1005,L811)&gt;0,"✓","✗ missing"))</f>
        <v/>
      </c>
      <c r="O811" s="78">
        <f>IF(OR(L811="",M811&lt;&gt;"Yes"),"",IF(COUNTIFS('Vault'!$C$6:$C$1005,"Insurance",'Vault'!$D$6:$D$1005,L811)&gt;0,"✓","✗ missing"))</f>
        <v/>
      </c>
      <c r="P811" s="78">
        <f>IF(OR(L811="",M811&lt;&gt;"Yes"),"",IF(COUNTIFS('Vault'!$C$6:$C$1005,"Quote",'Vault'!$D$6:$D$1005,L811)&gt;0,"✓","✗ missing"))</f>
        <v/>
      </c>
      <c r="Q811" s="78">
        <f>IF(N811="","",IF(AND(N811="✓",O811="✓",P811="✓"),"✓ Complete","Missing documents"))</f>
        <v/>
      </c>
      <c r="R811" s="79">
        <f>IF(Q811="","",IF(Q811="✓ Complete",0,1))</f>
        <v/>
      </c>
    </row>
    <row r="812" ht="20" customHeight="1">
      <c r="B812" s="72" t="n"/>
      <c r="C812" s="72" t="n"/>
      <c r="D812" s="72" t="n"/>
      <c r="E812" s="72" t="n"/>
      <c r="F812" s="72" t="n"/>
      <c r="G812" s="109" t="n"/>
      <c r="H812" s="72" t="n"/>
      <c r="I812" s="78">
        <f>IF(H812="","",HYPERLINK(H812,"Open ↗"))</f>
        <v/>
      </c>
      <c r="J812" s="72" t="n"/>
      <c r="L812" s="116">
        <f>IF('Contractors'!B812="","",'Contractors'!B812)</f>
        <v/>
      </c>
      <c r="M812" s="78">
        <f>IF(L812="","",'Contractors'!L812)</f>
        <v/>
      </c>
      <c r="N812" s="78">
        <f>IF(OR(L812="",M812&lt;&gt;"Yes"),"",IF(COUNTIFS('Vault'!$C$6:$C$1005,"Contract",'Vault'!$D$6:$D$1005,L812)&gt;0,"✓","✗ missing"))</f>
        <v/>
      </c>
      <c r="O812" s="78">
        <f>IF(OR(L812="",M812&lt;&gt;"Yes"),"",IF(COUNTIFS('Vault'!$C$6:$C$1005,"Insurance",'Vault'!$D$6:$D$1005,L812)&gt;0,"✓","✗ missing"))</f>
        <v/>
      </c>
      <c r="P812" s="78">
        <f>IF(OR(L812="",M812&lt;&gt;"Yes"),"",IF(COUNTIFS('Vault'!$C$6:$C$1005,"Quote",'Vault'!$D$6:$D$1005,L812)&gt;0,"✓","✗ missing"))</f>
        <v/>
      </c>
      <c r="Q812" s="78">
        <f>IF(N812="","",IF(AND(N812="✓",O812="✓",P812="✓"),"✓ Complete","Missing documents"))</f>
        <v/>
      </c>
      <c r="R812" s="79">
        <f>IF(Q812="","",IF(Q812="✓ Complete",0,1))</f>
        <v/>
      </c>
    </row>
    <row r="813" ht="20" customHeight="1">
      <c r="B813" s="72" t="n"/>
      <c r="C813" s="72" t="n"/>
      <c r="D813" s="72" t="n"/>
      <c r="E813" s="72" t="n"/>
      <c r="F813" s="72" t="n"/>
      <c r="G813" s="109" t="n"/>
      <c r="H813" s="72" t="n"/>
      <c r="I813" s="78">
        <f>IF(H813="","",HYPERLINK(H813,"Open ↗"))</f>
        <v/>
      </c>
      <c r="J813" s="72" t="n"/>
      <c r="L813" s="116">
        <f>IF('Contractors'!B813="","",'Contractors'!B813)</f>
        <v/>
      </c>
      <c r="M813" s="78">
        <f>IF(L813="","",'Contractors'!L813)</f>
        <v/>
      </c>
      <c r="N813" s="78">
        <f>IF(OR(L813="",M813&lt;&gt;"Yes"),"",IF(COUNTIFS('Vault'!$C$6:$C$1005,"Contract",'Vault'!$D$6:$D$1005,L813)&gt;0,"✓","✗ missing"))</f>
        <v/>
      </c>
      <c r="O813" s="78">
        <f>IF(OR(L813="",M813&lt;&gt;"Yes"),"",IF(COUNTIFS('Vault'!$C$6:$C$1005,"Insurance",'Vault'!$D$6:$D$1005,L813)&gt;0,"✓","✗ missing"))</f>
        <v/>
      </c>
      <c r="P813" s="78">
        <f>IF(OR(L813="",M813&lt;&gt;"Yes"),"",IF(COUNTIFS('Vault'!$C$6:$C$1005,"Quote",'Vault'!$D$6:$D$1005,L813)&gt;0,"✓","✗ missing"))</f>
        <v/>
      </c>
      <c r="Q813" s="78">
        <f>IF(N813="","",IF(AND(N813="✓",O813="✓",P813="✓"),"✓ Complete","Missing documents"))</f>
        <v/>
      </c>
      <c r="R813" s="79">
        <f>IF(Q813="","",IF(Q813="✓ Complete",0,1))</f>
        <v/>
      </c>
    </row>
    <row r="814" ht="20" customHeight="1">
      <c r="B814" s="72" t="n"/>
      <c r="C814" s="72" t="n"/>
      <c r="D814" s="72" t="n"/>
      <c r="E814" s="72" t="n"/>
      <c r="F814" s="72" t="n"/>
      <c r="G814" s="109" t="n"/>
      <c r="H814" s="72" t="n"/>
      <c r="I814" s="78">
        <f>IF(H814="","",HYPERLINK(H814,"Open ↗"))</f>
        <v/>
      </c>
      <c r="J814" s="72" t="n"/>
      <c r="L814" s="116">
        <f>IF('Contractors'!B814="","",'Contractors'!B814)</f>
        <v/>
      </c>
      <c r="M814" s="78">
        <f>IF(L814="","",'Contractors'!L814)</f>
        <v/>
      </c>
      <c r="N814" s="78">
        <f>IF(OR(L814="",M814&lt;&gt;"Yes"),"",IF(COUNTIFS('Vault'!$C$6:$C$1005,"Contract",'Vault'!$D$6:$D$1005,L814)&gt;0,"✓","✗ missing"))</f>
        <v/>
      </c>
      <c r="O814" s="78">
        <f>IF(OR(L814="",M814&lt;&gt;"Yes"),"",IF(COUNTIFS('Vault'!$C$6:$C$1005,"Insurance",'Vault'!$D$6:$D$1005,L814)&gt;0,"✓","✗ missing"))</f>
        <v/>
      </c>
      <c r="P814" s="78">
        <f>IF(OR(L814="",M814&lt;&gt;"Yes"),"",IF(COUNTIFS('Vault'!$C$6:$C$1005,"Quote",'Vault'!$D$6:$D$1005,L814)&gt;0,"✓","✗ missing"))</f>
        <v/>
      </c>
      <c r="Q814" s="78">
        <f>IF(N814="","",IF(AND(N814="✓",O814="✓",P814="✓"),"✓ Complete","Missing documents"))</f>
        <v/>
      </c>
      <c r="R814" s="79">
        <f>IF(Q814="","",IF(Q814="✓ Complete",0,1))</f>
        <v/>
      </c>
    </row>
    <row r="815" ht="20" customHeight="1">
      <c r="B815" s="72" t="n"/>
      <c r="C815" s="72" t="n"/>
      <c r="D815" s="72" t="n"/>
      <c r="E815" s="72" t="n"/>
      <c r="F815" s="72" t="n"/>
      <c r="G815" s="109" t="n"/>
      <c r="H815" s="72" t="n"/>
      <c r="I815" s="78">
        <f>IF(H815="","",HYPERLINK(H815,"Open ↗"))</f>
        <v/>
      </c>
      <c r="J815" s="72" t="n"/>
      <c r="L815" s="116">
        <f>IF('Contractors'!B815="","",'Contractors'!B815)</f>
        <v/>
      </c>
      <c r="M815" s="78">
        <f>IF(L815="","",'Contractors'!L815)</f>
        <v/>
      </c>
      <c r="N815" s="78">
        <f>IF(OR(L815="",M815&lt;&gt;"Yes"),"",IF(COUNTIFS('Vault'!$C$6:$C$1005,"Contract",'Vault'!$D$6:$D$1005,L815)&gt;0,"✓","✗ missing"))</f>
        <v/>
      </c>
      <c r="O815" s="78">
        <f>IF(OR(L815="",M815&lt;&gt;"Yes"),"",IF(COUNTIFS('Vault'!$C$6:$C$1005,"Insurance",'Vault'!$D$6:$D$1005,L815)&gt;0,"✓","✗ missing"))</f>
        <v/>
      </c>
      <c r="P815" s="78">
        <f>IF(OR(L815="",M815&lt;&gt;"Yes"),"",IF(COUNTIFS('Vault'!$C$6:$C$1005,"Quote",'Vault'!$D$6:$D$1005,L815)&gt;0,"✓","✗ missing"))</f>
        <v/>
      </c>
      <c r="Q815" s="78">
        <f>IF(N815="","",IF(AND(N815="✓",O815="✓",P815="✓"),"✓ Complete","Missing documents"))</f>
        <v/>
      </c>
      <c r="R815" s="79">
        <f>IF(Q815="","",IF(Q815="✓ Complete",0,1))</f>
        <v/>
      </c>
    </row>
    <row r="816" ht="20" customHeight="1">
      <c r="B816" s="72" t="n"/>
      <c r="C816" s="72" t="n"/>
      <c r="D816" s="72" t="n"/>
      <c r="E816" s="72" t="n"/>
      <c r="F816" s="72" t="n"/>
      <c r="G816" s="109" t="n"/>
      <c r="H816" s="72" t="n"/>
      <c r="I816" s="78">
        <f>IF(H816="","",HYPERLINK(H816,"Open ↗"))</f>
        <v/>
      </c>
      <c r="J816" s="72" t="n"/>
      <c r="L816" s="116">
        <f>IF('Contractors'!B816="","",'Contractors'!B816)</f>
        <v/>
      </c>
      <c r="M816" s="78">
        <f>IF(L816="","",'Contractors'!L816)</f>
        <v/>
      </c>
      <c r="N816" s="78">
        <f>IF(OR(L816="",M816&lt;&gt;"Yes"),"",IF(COUNTIFS('Vault'!$C$6:$C$1005,"Contract",'Vault'!$D$6:$D$1005,L816)&gt;0,"✓","✗ missing"))</f>
        <v/>
      </c>
      <c r="O816" s="78">
        <f>IF(OR(L816="",M816&lt;&gt;"Yes"),"",IF(COUNTIFS('Vault'!$C$6:$C$1005,"Insurance",'Vault'!$D$6:$D$1005,L816)&gt;0,"✓","✗ missing"))</f>
        <v/>
      </c>
      <c r="P816" s="78">
        <f>IF(OR(L816="",M816&lt;&gt;"Yes"),"",IF(COUNTIFS('Vault'!$C$6:$C$1005,"Quote",'Vault'!$D$6:$D$1005,L816)&gt;0,"✓","✗ missing"))</f>
        <v/>
      </c>
      <c r="Q816" s="78">
        <f>IF(N816="","",IF(AND(N816="✓",O816="✓",P816="✓"),"✓ Complete","Missing documents"))</f>
        <v/>
      </c>
      <c r="R816" s="79">
        <f>IF(Q816="","",IF(Q816="✓ Complete",0,1))</f>
        <v/>
      </c>
    </row>
    <row r="817" ht="20" customHeight="1">
      <c r="B817" s="72" t="n"/>
      <c r="C817" s="72" t="n"/>
      <c r="D817" s="72" t="n"/>
      <c r="E817" s="72" t="n"/>
      <c r="F817" s="72" t="n"/>
      <c r="G817" s="109" t="n"/>
      <c r="H817" s="72" t="n"/>
      <c r="I817" s="78">
        <f>IF(H817="","",HYPERLINK(H817,"Open ↗"))</f>
        <v/>
      </c>
      <c r="J817" s="72" t="n"/>
      <c r="L817" s="116">
        <f>IF('Contractors'!B817="","",'Contractors'!B817)</f>
        <v/>
      </c>
      <c r="M817" s="78">
        <f>IF(L817="","",'Contractors'!L817)</f>
        <v/>
      </c>
      <c r="N817" s="78">
        <f>IF(OR(L817="",M817&lt;&gt;"Yes"),"",IF(COUNTIFS('Vault'!$C$6:$C$1005,"Contract",'Vault'!$D$6:$D$1005,L817)&gt;0,"✓","✗ missing"))</f>
        <v/>
      </c>
      <c r="O817" s="78">
        <f>IF(OR(L817="",M817&lt;&gt;"Yes"),"",IF(COUNTIFS('Vault'!$C$6:$C$1005,"Insurance",'Vault'!$D$6:$D$1005,L817)&gt;0,"✓","✗ missing"))</f>
        <v/>
      </c>
      <c r="P817" s="78">
        <f>IF(OR(L817="",M817&lt;&gt;"Yes"),"",IF(COUNTIFS('Vault'!$C$6:$C$1005,"Quote",'Vault'!$D$6:$D$1005,L817)&gt;0,"✓","✗ missing"))</f>
        <v/>
      </c>
      <c r="Q817" s="78">
        <f>IF(N817="","",IF(AND(N817="✓",O817="✓",P817="✓"),"✓ Complete","Missing documents"))</f>
        <v/>
      </c>
      <c r="R817" s="79">
        <f>IF(Q817="","",IF(Q817="✓ Complete",0,1))</f>
        <v/>
      </c>
    </row>
    <row r="818" ht="20" customHeight="1">
      <c r="B818" s="72" t="n"/>
      <c r="C818" s="72" t="n"/>
      <c r="D818" s="72" t="n"/>
      <c r="E818" s="72" t="n"/>
      <c r="F818" s="72" t="n"/>
      <c r="G818" s="109" t="n"/>
      <c r="H818" s="72" t="n"/>
      <c r="I818" s="78">
        <f>IF(H818="","",HYPERLINK(H818,"Open ↗"))</f>
        <v/>
      </c>
      <c r="J818" s="72" t="n"/>
      <c r="L818" s="116">
        <f>IF('Contractors'!B818="","",'Contractors'!B818)</f>
        <v/>
      </c>
      <c r="M818" s="78">
        <f>IF(L818="","",'Contractors'!L818)</f>
        <v/>
      </c>
      <c r="N818" s="78">
        <f>IF(OR(L818="",M818&lt;&gt;"Yes"),"",IF(COUNTIFS('Vault'!$C$6:$C$1005,"Contract",'Vault'!$D$6:$D$1005,L818)&gt;0,"✓","✗ missing"))</f>
        <v/>
      </c>
      <c r="O818" s="78">
        <f>IF(OR(L818="",M818&lt;&gt;"Yes"),"",IF(COUNTIFS('Vault'!$C$6:$C$1005,"Insurance",'Vault'!$D$6:$D$1005,L818)&gt;0,"✓","✗ missing"))</f>
        <v/>
      </c>
      <c r="P818" s="78">
        <f>IF(OR(L818="",M818&lt;&gt;"Yes"),"",IF(COUNTIFS('Vault'!$C$6:$C$1005,"Quote",'Vault'!$D$6:$D$1005,L818)&gt;0,"✓","✗ missing"))</f>
        <v/>
      </c>
      <c r="Q818" s="78">
        <f>IF(N818="","",IF(AND(N818="✓",O818="✓",P818="✓"),"✓ Complete","Missing documents"))</f>
        <v/>
      </c>
      <c r="R818" s="79">
        <f>IF(Q818="","",IF(Q818="✓ Complete",0,1))</f>
        <v/>
      </c>
    </row>
    <row r="819" ht="20" customHeight="1">
      <c r="B819" s="72" t="n"/>
      <c r="C819" s="72" t="n"/>
      <c r="D819" s="72" t="n"/>
      <c r="E819" s="72" t="n"/>
      <c r="F819" s="72" t="n"/>
      <c r="G819" s="109" t="n"/>
      <c r="H819" s="72" t="n"/>
      <c r="I819" s="78">
        <f>IF(H819="","",HYPERLINK(H819,"Open ↗"))</f>
        <v/>
      </c>
      <c r="J819" s="72" t="n"/>
      <c r="L819" s="116">
        <f>IF('Contractors'!B819="","",'Contractors'!B819)</f>
        <v/>
      </c>
      <c r="M819" s="78">
        <f>IF(L819="","",'Contractors'!L819)</f>
        <v/>
      </c>
      <c r="N819" s="78">
        <f>IF(OR(L819="",M819&lt;&gt;"Yes"),"",IF(COUNTIFS('Vault'!$C$6:$C$1005,"Contract",'Vault'!$D$6:$D$1005,L819)&gt;0,"✓","✗ missing"))</f>
        <v/>
      </c>
      <c r="O819" s="78">
        <f>IF(OR(L819="",M819&lt;&gt;"Yes"),"",IF(COUNTIFS('Vault'!$C$6:$C$1005,"Insurance",'Vault'!$D$6:$D$1005,L819)&gt;0,"✓","✗ missing"))</f>
        <v/>
      </c>
      <c r="P819" s="78">
        <f>IF(OR(L819="",M819&lt;&gt;"Yes"),"",IF(COUNTIFS('Vault'!$C$6:$C$1005,"Quote",'Vault'!$D$6:$D$1005,L819)&gt;0,"✓","✗ missing"))</f>
        <v/>
      </c>
      <c r="Q819" s="78">
        <f>IF(N819="","",IF(AND(N819="✓",O819="✓",P819="✓"),"✓ Complete","Missing documents"))</f>
        <v/>
      </c>
      <c r="R819" s="79">
        <f>IF(Q819="","",IF(Q819="✓ Complete",0,1))</f>
        <v/>
      </c>
    </row>
    <row r="820" ht="20" customHeight="1">
      <c r="B820" s="72" t="n"/>
      <c r="C820" s="72" t="n"/>
      <c r="D820" s="72" t="n"/>
      <c r="E820" s="72" t="n"/>
      <c r="F820" s="72" t="n"/>
      <c r="G820" s="109" t="n"/>
      <c r="H820" s="72" t="n"/>
      <c r="I820" s="78">
        <f>IF(H820="","",HYPERLINK(H820,"Open ↗"))</f>
        <v/>
      </c>
      <c r="J820" s="72" t="n"/>
      <c r="L820" s="116">
        <f>IF('Contractors'!B820="","",'Contractors'!B820)</f>
        <v/>
      </c>
      <c r="M820" s="78">
        <f>IF(L820="","",'Contractors'!L820)</f>
        <v/>
      </c>
      <c r="N820" s="78">
        <f>IF(OR(L820="",M820&lt;&gt;"Yes"),"",IF(COUNTIFS('Vault'!$C$6:$C$1005,"Contract",'Vault'!$D$6:$D$1005,L820)&gt;0,"✓","✗ missing"))</f>
        <v/>
      </c>
      <c r="O820" s="78">
        <f>IF(OR(L820="",M820&lt;&gt;"Yes"),"",IF(COUNTIFS('Vault'!$C$6:$C$1005,"Insurance",'Vault'!$D$6:$D$1005,L820)&gt;0,"✓","✗ missing"))</f>
        <v/>
      </c>
      <c r="P820" s="78">
        <f>IF(OR(L820="",M820&lt;&gt;"Yes"),"",IF(COUNTIFS('Vault'!$C$6:$C$1005,"Quote",'Vault'!$D$6:$D$1005,L820)&gt;0,"✓","✗ missing"))</f>
        <v/>
      </c>
      <c r="Q820" s="78">
        <f>IF(N820="","",IF(AND(N820="✓",O820="✓",P820="✓"),"✓ Complete","Missing documents"))</f>
        <v/>
      </c>
      <c r="R820" s="79">
        <f>IF(Q820="","",IF(Q820="✓ Complete",0,1))</f>
        <v/>
      </c>
    </row>
    <row r="821" ht="20" customHeight="1">
      <c r="B821" s="72" t="n"/>
      <c r="C821" s="72" t="n"/>
      <c r="D821" s="72" t="n"/>
      <c r="E821" s="72" t="n"/>
      <c r="F821" s="72" t="n"/>
      <c r="G821" s="109" t="n"/>
      <c r="H821" s="72" t="n"/>
      <c r="I821" s="78">
        <f>IF(H821="","",HYPERLINK(H821,"Open ↗"))</f>
        <v/>
      </c>
      <c r="J821" s="72" t="n"/>
      <c r="L821" s="116">
        <f>IF('Contractors'!B821="","",'Contractors'!B821)</f>
        <v/>
      </c>
      <c r="M821" s="78">
        <f>IF(L821="","",'Contractors'!L821)</f>
        <v/>
      </c>
      <c r="N821" s="78">
        <f>IF(OR(L821="",M821&lt;&gt;"Yes"),"",IF(COUNTIFS('Vault'!$C$6:$C$1005,"Contract",'Vault'!$D$6:$D$1005,L821)&gt;0,"✓","✗ missing"))</f>
        <v/>
      </c>
      <c r="O821" s="78">
        <f>IF(OR(L821="",M821&lt;&gt;"Yes"),"",IF(COUNTIFS('Vault'!$C$6:$C$1005,"Insurance",'Vault'!$D$6:$D$1005,L821)&gt;0,"✓","✗ missing"))</f>
        <v/>
      </c>
      <c r="P821" s="78">
        <f>IF(OR(L821="",M821&lt;&gt;"Yes"),"",IF(COUNTIFS('Vault'!$C$6:$C$1005,"Quote",'Vault'!$D$6:$D$1005,L821)&gt;0,"✓","✗ missing"))</f>
        <v/>
      </c>
      <c r="Q821" s="78">
        <f>IF(N821="","",IF(AND(N821="✓",O821="✓",P821="✓"),"✓ Complete","Missing documents"))</f>
        <v/>
      </c>
      <c r="R821" s="79">
        <f>IF(Q821="","",IF(Q821="✓ Complete",0,1))</f>
        <v/>
      </c>
    </row>
    <row r="822" ht="20" customHeight="1">
      <c r="B822" s="72" t="n"/>
      <c r="C822" s="72" t="n"/>
      <c r="D822" s="72" t="n"/>
      <c r="E822" s="72" t="n"/>
      <c r="F822" s="72" t="n"/>
      <c r="G822" s="109" t="n"/>
      <c r="H822" s="72" t="n"/>
      <c r="I822" s="78">
        <f>IF(H822="","",HYPERLINK(H822,"Open ↗"))</f>
        <v/>
      </c>
      <c r="J822" s="72" t="n"/>
      <c r="L822" s="116">
        <f>IF('Contractors'!B822="","",'Contractors'!B822)</f>
        <v/>
      </c>
      <c r="M822" s="78">
        <f>IF(L822="","",'Contractors'!L822)</f>
        <v/>
      </c>
      <c r="N822" s="78">
        <f>IF(OR(L822="",M822&lt;&gt;"Yes"),"",IF(COUNTIFS('Vault'!$C$6:$C$1005,"Contract",'Vault'!$D$6:$D$1005,L822)&gt;0,"✓","✗ missing"))</f>
        <v/>
      </c>
      <c r="O822" s="78">
        <f>IF(OR(L822="",M822&lt;&gt;"Yes"),"",IF(COUNTIFS('Vault'!$C$6:$C$1005,"Insurance",'Vault'!$D$6:$D$1005,L822)&gt;0,"✓","✗ missing"))</f>
        <v/>
      </c>
      <c r="P822" s="78">
        <f>IF(OR(L822="",M822&lt;&gt;"Yes"),"",IF(COUNTIFS('Vault'!$C$6:$C$1005,"Quote",'Vault'!$D$6:$D$1005,L822)&gt;0,"✓","✗ missing"))</f>
        <v/>
      </c>
      <c r="Q822" s="78">
        <f>IF(N822="","",IF(AND(N822="✓",O822="✓",P822="✓"),"✓ Complete","Missing documents"))</f>
        <v/>
      </c>
      <c r="R822" s="79">
        <f>IF(Q822="","",IF(Q822="✓ Complete",0,1))</f>
        <v/>
      </c>
    </row>
    <row r="823" ht="20" customHeight="1">
      <c r="B823" s="72" t="n"/>
      <c r="C823" s="72" t="n"/>
      <c r="D823" s="72" t="n"/>
      <c r="E823" s="72" t="n"/>
      <c r="F823" s="72" t="n"/>
      <c r="G823" s="109" t="n"/>
      <c r="H823" s="72" t="n"/>
      <c r="I823" s="78">
        <f>IF(H823="","",HYPERLINK(H823,"Open ↗"))</f>
        <v/>
      </c>
      <c r="J823" s="72" t="n"/>
      <c r="L823" s="116">
        <f>IF('Contractors'!B823="","",'Contractors'!B823)</f>
        <v/>
      </c>
      <c r="M823" s="78">
        <f>IF(L823="","",'Contractors'!L823)</f>
        <v/>
      </c>
      <c r="N823" s="78">
        <f>IF(OR(L823="",M823&lt;&gt;"Yes"),"",IF(COUNTIFS('Vault'!$C$6:$C$1005,"Contract",'Vault'!$D$6:$D$1005,L823)&gt;0,"✓","✗ missing"))</f>
        <v/>
      </c>
      <c r="O823" s="78">
        <f>IF(OR(L823="",M823&lt;&gt;"Yes"),"",IF(COUNTIFS('Vault'!$C$6:$C$1005,"Insurance",'Vault'!$D$6:$D$1005,L823)&gt;0,"✓","✗ missing"))</f>
        <v/>
      </c>
      <c r="P823" s="78">
        <f>IF(OR(L823="",M823&lt;&gt;"Yes"),"",IF(COUNTIFS('Vault'!$C$6:$C$1005,"Quote",'Vault'!$D$6:$D$1005,L823)&gt;0,"✓","✗ missing"))</f>
        <v/>
      </c>
      <c r="Q823" s="78">
        <f>IF(N823="","",IF(AND(N823="✓",O823="✓",P823="✓"),"✓ Complete","Missing documents"))</f>
        <v/>
      </c>
      <c r="R823" s="79">
        <f>IF(Q823="","",IF(Q823="✓ Complete",0,1))</f>
        <v/>
      </c>
    </row>
    <row r="824" ht="20" customHeight="1">
      <c r="B824" s="72" t="n"/>
      <c r="C824" s="72" t="n"/>
      <c r="D824" s="72" t="n"/>
      <c r="E824" s="72" t="n"/>
      <c r="F824" s="72" t="n"/>
      <c r="G824" s="109" t="n"/>
      <c r="H824" s="72" t="n"/>
      <c r="I824" s="78">
        <f>IF(H824="","",HYPERLINK(H824,"Open ↗"))</f>
        <v/>
      </c>
      <c r="J824" s="72" t="n"/>
      <c r="L824" s="116">
        <f>IF('Contractors'!B824="","",'Contractors'!B824)</f>
        <v/>
      </c>
      <c r="M824" s="78">
        <f>IF(L824="","",'Contractors'!L824)</f>
        <v/>
      </c>
      <c r="N824" s="78">
        <f>IF(OR(L824="",M824&lt;&gt;"Yes"),"",IF(COUNTIFS('Vault'!$C$6:$C$1005,"Contract",'Vault'!$D$6:$D$1005,L824)&gt;0,"✓","✗ missing"))</f>
        <v/>
      </c>
      <c r="O824" s="78">
        <f>IF(OR(L824="",M824&lt;&gt;"Yes"),"",IF(COUNTIFS('Vault'!$C$6:$C$1005,"Insurance",'Vault'!$D$6:$D$1005,L824)&gt;0,"✓","✗ missing"))</f>
        <v/>
      </c>
      <c r="P824" s="78">
        <f>IF(OR(L824="",M824&lt;&gt;"Yes"),"",IF(COUNTIFS('Vault'!$C$6:$C$1005,"Quote",'Vault'!$D$6:$D$1005,L824)&gt;0,"✓","✗ missing"))</f>
        <v/>
      </c>
      <c r="Q824" s="78">
        <f>IF(N824="","",IF(AND(N824="✓",O824="✓",P824="✓"),"✓ Complete","Missing documents"))</f>
        <v/>
      </c>
      <c r="R824" s="79">
        <f>IF(Q824="","",IF(Q824="✓ Complete",0,1))</f>
        <v/>
      </c>
    </row>
    <row r="825" ht="20" customHeight="1">
      <c r="B825" s="72" t="n"/>
      <c r="C825" s="72" t="n"/>
      <c r="D825" s="72" t="n"/>
      <c r="E825" s="72" t="n"/>
      <c r="F825" s="72" t="n"/>
      <c r="G825" s="109" t="n"/>
      <c r="H825" s="72" t="n"/>
      <c r="I825" s="78">
        <f>IF(H825="","",HYPERLINK(H825,"Open ↗"))</f>
        <v/>
      </c>
      <c r="J825" s="72" t="n"/>
      <c r="L825" s="116">
        <f>IF('Contractors'!B825="","",'Contractors'!B825)</f>
        <v/>
      </c>
      <c r="M825" s="78">
        <f>IF(L825="","",'Contractors'!L825)</f>
        <v/>
      </c>
      <c r="N825" s="78">
        <f>IF(OR(L825="",M825&lt;&gt;"Yes"),"",IF(COUNTIFS('Vault'!$C$6:$C$1005,"Contract",'Vault'!$D$6:$D$1005,L825)&gt;0,"✓","✗ missing"))</f>
        <v/>
      </c>
      <c r="O825" s="78">
        <f>IF(OR(L825="",M825&lt;&gt;"Yes"),"",IF(COUNTIFS('Vault'!$C$6:$C$1005,"Insurance",'Vault'!$D$6:$D$1005,L825)&gt;0,"✓","✗ missing"))</f>
        <v/>
      </c>
      <c r="P825" s="78">
        <f>IF(OR(L825="",M825&lt;&gt;"Yes"),"",IF(COUNTIFS('Vault'!$C$6:$C$1005,"Quote",'Vault'!$D$6:$D$1005,L825)&gt;0,"✓","✗ missing"))</f>
        <v/>
      </c>
      <c r="Q825" s="78">
        <f>IF(N825="","",IF(AND(N825="✓",O825="✓",P825="✓"),"✓ Complete","Missing documents"))</f>
        <v/>
      </c>
      <c r="R825" s="79">
        <f>IF(Q825="","",IF(Q825="✓ Complete",0,1))</f>
        <v/>
      </c>
    </row>
    <row r="826" ht="20" customHeight="1">
      <c r="B826" s="72" t="n"/>
      <c r="C826" s="72" t="n"/>
      <c r="D826" s="72" t="n"/>
      <c r="E826" s="72" t="n"/>
      <c r="F826" s="72" t="n"/>
      <c r="G826" s="109" t="n"/>
      <c r="H826" s="72" t="n"/>
      <c r="I826" s="78">
        <f>IF(H826="","",HYPERLINK(H826,"Open ↗"))</f>
        <v/>
      </c>
      <c r="J826" s="72" t="n"/>
      <c r="L826" s="116">
        <f>IF('Contractors'!B826="","",'Contractors'!B826)</f>
        <v/>
      </c>
      <c r="M826" s="78">
        <f>IF(L826="","",'Contractors'!L826)</f>
        <v/>
      </c>
      <c r="N826" s="78">
        <f>IF(OR(L826="",M826&lt;&gt;"Yes"),"",IF(COUNTIFS('Vault'!$C$6:$C$1005,"Contract",'Vault'!$D$6:$D$1005,L826)&gt;0,"✓","✗ missing"))</f>
        <v/>
      </c>
      <c r="O826" s="78">
        <f>IF(OR(L826="",M826&lt;&gt;"Yes"),"",IF(COUNTIFS('Vault'!$C$6:$C$1005,"Insurance",'Vault'!$D$6:$D$1005,L826)&gt;0,"✓","✗ missing"))</f>
        <v/>
      </c>
      <c r="P826" s="78">
        <f>IF(OR(L826="",M826&lt;&gt;"Yes"),"",IF(COUNTIFS('Vault'!$C$6:$C$1005,"Quote",'Vault'!$D$6:$D$1005,L826)&gt;0,"✓","✗ missing"))</f>
        <v/>
      </c>
      <c r="Q826" s="78">
        <f>IF(N826="","",IF(AND(N826="✓",O826="✓",P826="✓"),"✓ Complete","Missing documents"))</f>
        <v/>
      </c>
      <c r="R826" s="79">
        <f>IF(Q826="","",IF(Q826="✓ Complete",0,1))</f>
        <v/>
      </c>
    </row>
    <row r="827" ht="20" customHeight="1">
      <c r="B827" s="72" t="n"/>
      <c r="C827" s="72" t="n"/>
      <c r="D827" s="72" t="n"/>
      <c r="E827" s="72" t="n"/>
      <c r="F827" s="72" t="n"/>
      <c r="G827" s="109" t="n"/>
      <c r="H827" s="72" t="n"/>
      <c r="I827" s="78">
        <f>IF(H827="","",HYPERLINK(H827,"Open ↗"))</f>
        <v/>
      </c>
      <c r="J827" s="72" t="n"/>
      <c r="L827" s="116">
        <f>IF('Contractors'!B827="","",'Contractors'!B827)</f>
        <v/>
      </c>
      <c r="M827" s="78">
        <f>IF(L827="","",'Contractors'!L827)</f>
        <v/>
      </c>
      <c r="N827" s="78">
        <f>IF(OR(L827="",M827&lt;&gt;"Yes"),"",IF(COUNTIFS('Vault'!$C$6:$C$1005,"Contract",'Vault'!$D$6:$D$1005,L827)&gt;0,"✓","✗ missing"))</f>
        <v/>
      </c>
      <c r="O827" s="78">
        <f>IF(OR(L827="",M827&lt;&gt;"Yes"),"",IF(COUNTIFS('Vault'!$C$6:$C$1005,"Insurance",'Vault'!$D$6:$D$1005,L827)&gt;0,"✓","✗ missing"))</f>
        <v/>
      </c>
      <c r="P827" s="78">
        <f>IF(OR(L827="",M827&lt;&gt;"Yes"),"",IF(COUNTIFS('Vault'!$C$6:$C$1005,"Quote",'Vault'!$D$6:$D$1005,L827)&gt;0,"✓","✗ missing"))</f>
        <v/>
      </c>
      <c r="Q827" s="78">
        <f>IF(N827="","",IF(AND(N827="✓",O827="✓",P827="✓"),"✓ Complete","Missing documents"))</f>
        <v/>
      </c>
      <c r="R827" s="79">
        <f>IF(Q827="","",IF(Q827="✓ Complete",0,1))</f>
        <v/>
      </c>
    </row>
    <row r="828" ht="20" customHeight="1">
      <c r="B828" s="72" t="n"/>
      <c r="C828" s="72" t="n"/>
      <c r="D828" s="72" t="n"/>
      <c r="E828" s="72" t="n"/>
      <c r="F828" s="72" t="n"/>
      <c r="G828" s="109" t="n"/>
      <c r="H828" s="72" t="n"/>
      <c r="I828" s="78">
        <f>IF(H828="","",HYPERLINK(H828,"Open ↗"))</f>
        <v/>
      </c>
      <c r="J828" s="72" t="n"/>
      <c r="L828" s="116">
        <f>IF('Contractors'!B828="","",'Contractors'!B828)</f>
        <v/>
      </c>
      <c r="M828" s="78">
        <f>IF(L828="","",'Contractors'!L828)</f>
        <v/>
      </c>
      <c r="N828" s="78">
        <f>IF(OR(L828="",M828&lt;&gt;"Yes"),"",IF(COUNTIFS('Vault'!$C$6:$C$1005,"Contract",'Vault'!$D$6:$D$1005,L828)&gt;0,"✓","✗ missing"))</f>
        <v/>
      </c>
      <c r="O828" s="78">
        <f>IF(OR(L828="",M828&lt;&gt;"Yes"),"",IF(COUNTIFS('Vault'!$C$6:$C$1005,"Insurance",'Vault'!$D$6:$D$1005,L828)&gt;0,"✓","✗ missing"))</f>
        <v/>
      </c>
      <c r="P828" s="78">
        <f>IF(OR(L828="",M828&lt;&gt;"Yes"),"",IF(COUNTIFS('Vault'!$C$6:$C$1005,"Quote",'Vault'!$D$6:$D$1005,L828)&gt;0,"✓","✗ missing"))</f>
        <v/>
      </c>
      <c r="Q828" s="78">
        <f>IF(N828="","",IF(AND(N828="✓",O828="✓",P828="✓"),"✓ Complete","Missing documents"))</f>
        <v/>
      </c>
      <c r="R828" s="79">
        <f>IF(Q828="","",IF(Q828="✓ Complete",0,1))</f>
        <v/>
      </c>
    </row>
    <row r="829" ht="20" customHeight="1">
      <c r="B829" s="72" t="n"/>
      <c r="C829" s="72" t="n"/>
      <c r="D829" s="72" t="n"/>
      <c r="E829" s="72" t="n"/>
      <c r="F829" s="72" t="n"/>
      <c r="G829" s="109" t="n"/>
      <c r="H829" s="72" t="n"/>
      <c r="I829" s="78">
        <f>IF(H829="","",HYPERLINK(H829,"Open ↗"))</f>
        <v/>
      </c>
      <c r="J829" s="72" t="n"/>
      <c r="L829" s="116">
        <f>IF('Contractors'!B829="","",'Contractors'!B829)</f>
        <v/>
      </c>
      <c r="M829" s="78">
        <f>IF(L829="","",'Contractors'!L829)</f>
        <v/>
      </c>
      <c r="N829" s="78">
        <f>IF(OR(L829="",M829&lt;&gt;"Yes"),"",IF(COUNTIFS('Vault'!$C$6:$C$1005,"Contract",'Vault'!$D$6:$D$1005,L829)&gt;0,"✓","✗ missing"))</f>
        <v/>
      </c>
      <c r="O829" s="78">
        <f>IF(OR(L829="",M829&lt;&gt;"Yes"),"",IF(COUNTIFS('Vault'!$C$6:$C$1005,"Insurance",'Vault'!$D$6:$D$1005,L829)&gt;0,"✓","✗ missing"))</f>
        <v/>
      </c>
      <c r="P829" s="78">
        <f>IF(OR(L829="",M829&lt;&gt;"Yes"),"",IF(COUNTIFS('Vault'!$C$6:$C$1005,"Quote",'Vault'!$D$6:$D$1005,L829)&gt;0,"✓","✗ missing"))</f>
        <v/>
      </c>
      <c r="Q829" s="78">
        <f>IF(N829="","",IF(AND(N829="✓",O829="✓",P829="✓"),"✓ Complete","Missing documents"))</f>
        <v/>
      </c>
      <c r="R829" s="79">
        <f>IF(Q829="","",IF(Q829="✓ Complete",0,1))</f>
        <v/>
      </c>
    </row>
    <row r="830" ht="20" customHeight="1">
      <c r="B830" s="72" t="n"/>
      <c r="C830" s="72" t="n"/>
      <c r="D830" s="72" t="n"/>
      <c r="E830" s="72" t="n"/>
      <c r="F830" s="72" t="n"/>
      <c r="G830" s="109" t="n"/>
      <c r="H830" s="72" t="n"/>
      <c r="I830" s="78">
        <f>IF(H830="","",HYPERLINK(H830,"Open ↗"))</f>
        <v/>
      </c>
      <c r="J830" s="72" t="n"/>
      <c r="L830" s="116">
        <f>IF('Contractors'!B830="","",'Contractors'!B830)</f>
        <v/>
      </c>
      <c r="M830" s="78">
        <f>IF(L830="","",'Contractors'!L830)</f>
        <v/>
      </c>
      <c r="N830" s="78">
        <f>IF(OR(L830="",M830&lt;&gt;"Yes"),"",IF(COUNTIFS('Vault'!$C$6:$C$1005,"Contract",'Vault'!$D$6:$D$1005,L830)&gt;0,"✓","✗ missing"))</f>
        <v/>
      </c>
      <c r="O830" s="78">
        <f>IF(OR(L830="",M830&lt;&gt;"Yes"),"",IF(COUNTIFS('Vault'!$C$6:$C$1005,"Insurance",'Vault'!$D$6:$D$1005,L830)&gt;0,"✓","✗ missing"))</f>
        <v/>
      </c>
      <c r="P830" s="78">
        <f>IF(OR(L830="",M830&lt;&gt;"Yes"),"",IF(COUNTIFS('Vault'!$C$6:$C$1005,"Quote",'Vault'!$D$6:$D$1005,L830)&gt;0,"✓","✗ missing"))</f>
        <v/>
      </c>
      <c r="Q830" s="78">
        <f>IF(N830="","",IF(AND(N830="✓",O830="✓",P830="✓"),"✓ Complete","Missing documents"))</f>
        <v/>
      </c>
      <c r="R830" s="79">
        <f>IF(Q830="","",IF(Q830="✓ Complete",0,1))</f>
        <v/>
      </c>
    </row>
    <row r="831" ht="20" customHeight="1">
      <c r="B831" s="72" t="n"/>
      <c r="C831" s="72" t="n"/>
      <c r="D831" s="72" t="n"/>
      <c r="E831" s="72" t="n"/>
      <c r="F831" s="72" t="n"/>
      <c r="G831" s="109" t="n"/>
      <c r="H831" s="72" t="n"/>
      <c r="I831" s="78">
        <f>IF(H831="","",HYPERLINK(H831,"Open ↗"))</f>
        <v/>
      </c>
      <c r="J831" s="72" t="n"/>
      <c r="L831" s="116">
        <f>IF('Contractors'!B831="","",'Contractors'!B831)</f>
        <v/>
      </c>
      <c r="M831" s="78">
        <f>IF(L831="","",'Contractors'!L831)</f>
        <v/>
      </c>
      <c r="N831" s="78">
        <f>IF(OR(L831="",M831&lt;&gt;"Yes"),"",IF(COUNTIFS('Vault'!$C$6:$C$1005,"Contract",'Vault'!$D$6:$D$1005,L831)&gt;0,"✓","✗ missing"))</f>
        <v/>
      </c>
      <c r="O831" s="78">
        <f>IF(OR(L831="",M831&lt;&gt;"Yes"),"",IF(COUNTIFS('Vault'!$C$6:$C$1005,"Insurance",'Vault'!$D$6:$D$1005,L831)&gt;0,"✓","✗ missing"))</f>
        <v/>
      </c>
      <c r="P831" s="78">
        <f>IF(OR(L831="",M831&lt;&gt;"Yes"),"",IF(COUNTIFS('Vault'!$C$6:$C$1005,"Quote",'Vault'!$D$6:$D$1005,L831)&gt;0,"✓","✗ missing"))</f>
        <v/>
      </c>
      <c r="Q831" s="78">
        <f>IF(N831="","",IF(AND(N831="✓",O831="✓",P831="✓"),"✓ Complete","Missing documents"))</f>
        <v/>
      </c>
      <c r="R831" s="79">
        <f>IF(Q831="","",IF(Q831="✓ Complete",0,1))</f>
        <v/>
      </c>
    </row>
    <row r="832" ht="20" customHeight="1">
      <c r="B832" s="72" t="n"/>
      <c r="C832" s="72" t="n"/>
      <c r="D832" s="72" t="n"/>
      <c r="E832" s="72" t="n"/>
      <c r="F832" s="72" t="n"/>
      <c r="G832" s="109" t="n"/>
      <c r="H832" s="72" t="n"/>
      <c r="I832" s="78">
        <f>IF(H832="","",HYPERLINK(H832,"Open ↗"))</f>
        <v/>
      </c>
      <c r="J832" s="72" t="n"/>
      <c r="L832" s="116">
        <f>IF('Contractors'!B832="","",'Contractors'!B832)</f>
        <v/>
      </c>
      <c r="M832" s="78">
        <f>IF(L832="","",'Contractors'!L832)</f>
        <v/>
      </c>
      <c r="N832" s="78">
        <f>IF(OR(L832="",M832&lt;&gt;"Yes"),"",IF(COUNTIFS('Vault'!$C$6:$C$1005,"Contract",'Vault'!$D$6:$D$1005,L832)&gt;0,"✓","✗ missing"))</f>
        <v/>
      </c>
      <c r="O832" s="78">
        <f>IF(OR(L832="",M832&lt;&gt;"Yes"),"",IF(COUNTIFS('Vault'!$C$6:$C$1005,"Insurance",'Vault'!$D$6:$D$1005,L832)&gt;0,"✓","✗ missing"))</f>
        <v/>
      </c>
      <c r="P832" s="78">
        <f>IF(OR(L832="",M832&lt;&gt;"Yes"),"",IF(COUNTIFS('Vault'!$C$6:$C$1005,"Quote",'Vault'!$D$6:$D$1005,L832)&gt;0,"✓","✗ missing"))</f>
        <v/>
      </c>
      <c r="Q832" s="78">
        <f>IF(N832="","",IF(AND(N832="✓",O832="✓",P832="✓"),"✓ Complete","Missing documents"))</f>
        <v/>
      </c>
      <c r="R832" s="79">
        <f>IF(Q832="","",IF(Q832="✓ Complete",0,1))</f>
        <v/>
      </c>
    </row>
    <row r="833" ht="20" customHeight="1">
      <c r="B833" s="72" t="n"/>
      <c r="C833" s="72" t="n"/>
      <c r="D833" s="72" t="n"/>
      <c r="E833" s="72" t="n"/>
      <c r="F833" s="72" t="n"/>
      <c r="G833" s="109" t="n"/>
      <c r="H833" s="72" t="n"/>
      <c r="I833" s="78">
        <f>IF(H833="","",HYPERLINK(H833,"Open ↗"))</f>
        <v/>
      </c>
      <c r="J833" s="72" t="n"/>
      <c r="L833" s="116">
        <f>IF('Contractors'!B833="","",'Contractors'!B833)</f>
        <v/>
      </c>
      <c r="M833" s="78">
        <f>IF(L833="","",'Contractors'!L833)</f>
        <v/>
      </c>
      <c r="N833" s="78">
        <f>IF(OR(L833="",M833&lt;&gt;"Yes"),"",IF(COUNTIFS('Vault'!$C$6:$C$1005,"Contract",'Vault'!$D$6:$D$1005,L833)&gt;0,"✓","✗ missing"))</f>
        <v/>
      </c>
      <c r="O833" s="78">
        <f>IF(OR(L833="",M833&lt;&gt;"Yes"),"",IF(COUNTIFS('Vault'!$C$6:$C$1005,"Insurance",'Vault'!$D$6:$D$1005,L833)&gt;0,"✓","✗ missing"))</f>
        <v/>
      </c>
      <c r="P833" s="78">
        <f>IF(OR(L833="",M833&lt;&gt;"Yes"),"",IF(COUNTIFS('Vault'!$C$6:$C$1005,"Quote",'Vault'!$D$6:$D$1005,L833)&gt;0,"✓","✗ missing"))</f>
        <v/>
      </c>
      <c r="Q833" s="78">
        <f>IF(N833="","",IF(AND(N833="✓",O833="✓",P833="✓"),"✓ Complete","Missing documents"))</f>
        <v/>
      </c>
      <c r="R833" s="79">
        <f>IF(Q833="","",IF(Q833="✓ Complete",0,1))</f>
        <v/>
      </c>
    </row>
    <row r="834" ht="20" customHeight="1">
      <c r="B834" s="72" t="n"/>
      <c r="C834" s="72" t="n"/>
      <c r="D834" s="72" t="n"/>
      <c r="E834" s="72" t="n"/>
      <c r="F834" s="72" t="n"/>
      <c r="G834" s="109" t="n"/>
      <c r="H834" s="72" t="n"/>
      <c r="I834" s="78">
        <f>IF(H834="","",HYPERLINK(H834,"Open ↗"))</f>
        <v/>
      </c>
      <c r="J834" s="72" t="n"/>
      <c r="L834" s="116">
        <f>IF('Contractors'!B834="","",'Contractors'!B834)</f>
        <v/>
      </c>
      <c r="M834" s="78">
        <f>IF(L834="","",'Contractors'!L834)</f>
        <v/>
      </c>
      <c r="N834" s="78">
        <f>IF(OR(L834="",M834&lt;&gt;"Yes"),"",IF(COUNTIFS('Vault'!$C$6:$C$1005,"Contract",'Vault'!$D$6:$D$1005,L834)&gt;0,"✓","✗ missing"))</f>
        <v/>
      </c>
      <c r="O834" s="78">
        <f>IF(OR(L834="",M834&lt;&gt;"Yes"),"",IF(COUNTIFS('Vault'!$C$6:$C$1005,"Insurance",'Vault'!$D$6:$D$1005,L834)&gt;0,"✓","✗ missing"))</f>
        <v/>
      </c>
      <c r="P834" s="78">
        <f>IF(OR(L834="",M834&lt;&gt;"Yes"),"",IF(COUNTIFS('Vault'!$C$6:$C$1005,"Quote",'Vault'!$D$6:$D$1005,L834)&gt;0,"✓","✗ missing"))</f>
        <v/>
      </c>
      <c r="Q834" s="78">
        <f>IF(N834="","",IF(AND(N834="✓",O834="✓",P834="✓"),"✓ Complete","Missing documents"))</f>
        <v/>
      </c>
      <c r="R834" s="79">
        <f>IF(Q834="","",IF(Q834="✓ Complete",0,1))</f>
        <v/>
      </c>
    </row>
    <row r="835" ht="20" customHeight="1">
      <c r="B835" s="72" t="n"/>
      <c r="C835" s="72" t="n"/>
      <c r="D835" s="72" t="n"/>
      <c r="E835" s="72" t="n"/>
      <c r="F835" s="72" t="n"/>
      <c r="G835" s="109" t="n"/>
      <c r="H835" s="72" t="n"/>
      <c r="I835" s="78">
        <f>IF(H835="","",HYPERLINK(H835,"Open ↗"))</f>
        <v/>
      </c>
      <c r="J835" s="72" t="n"/>
      <c r="L835" s="116">
        <f>IF('Contractors'!B835="","",'Contractors'!B835)</f>
        <v/>
      </c>
      <c r="M835" s="78">
        <f>IF(L835="","",'Contractors'!L835)</f>
        <v/>
      </c>
      <c r="N835" s="78">
        <f>IF(OR(L835="",M835&lt;&gt;"Yes"),"",IF(COUNTIFS('Vault'!$C$6:$C$1005,"Contract",'Vault'!$D$6:$D$1005,L835)&gt;0,"✓","✗ missing"))</f>
        <v/>
      </c>
      <c r="O835" s="78">
        <f>IF(OR(L835="",M835&lt;&gt;"Yes"),"",IF(COUNTIFS('Vault'!$C$6:$C$1005,"Insurance",'Vault'!$D$6:$D$1005,L835)&gt;0,"✓","✗ missing"))</f>
        <v/>
      </c>
      <c r="P835" s="78">
        <f>IF(OR(L835="",M835&lt;&gt;"Yes"),"",IF(COUNTIFS('Vault'!$C$6:$C$1005,"Quote",'Vault'!$D$6:$D$1005,L835)&gt;0,"✓","✗ missing"))</f>
        <v/>
      </c>
      <c r="Q835" s="78">
        <f>IF(N835="","",IF(AND(N835="✓",O835="✓",P835="✓"),"✓ Complete","Missing documents"))</f>
        <v/>
      </c>
      <c r="R835" s="79">
        <f>IF(Q835="","",IF(Q835="✓ Complete",0,1))</f>
        <v/>
      </c>
    </row>
    <row r="836" ht="20" customHeight="1">
      <c r="B836" s="72" t="n"/>
      <c r="C836" s="72" t="n"/>
      <c r="D836" s="72" t="n"/>
      <c r="E836" s="72" t="n"/>
      <c r="F836" s="72" t="n"/>
      <c r="G836" s="109" t="n"/>
      <c r="H836" s="72" t="n"/>
      <c r="I836" s="78">
        <f>IF(H836="","",HYPERLINK(H836,"Open ↗"))</f>
        <v/>
      </c>
      <c r="J836" s="72" t="n"/>
      <c r="L836" s="116">
        <f>IF('Contractors'!B836="","",'Contractors'!B836)</f>
        <v/>
      </c>
      <c r="M836" s="78">
        <f>IF(L836="","",'Contractors'!L836)</f>
        <v/>
      </c>
      <c r="N836" s="78">
        <f>IF(OR(L836="",M836&lt;&gt;"Yes"),"",IF(COUNTIFS('Vault'!$C$6:$C$1005,"Contract",'Vault'!$D$6:$D$1005,L836)&gt;0,"✓","✗ missing"))</f>
        <v/>
      </c>
      <c r="O836" s="78">
        <f>IF(OR(L836="",M836&lt;&gt;"Yes"),"",IF(COUNTIFS('Vault'!$C$6:$C$1005,"Insurance",'Vault'!$D$6:$D$1005,L836)&gt;0,"✓","✗ missing"))</f>
        <v/>
      </c>
      <c r="P836" s="78">
        <f>IF(OR(L836="",M836&lt;&gt;"Yes"),"",IF(COUNTIFS('Vault'!$C$6:$C$1005,"Quote",'Vault'!$D$6:$D$1005,L836)&gt;0,"✓","✗ missing"))</f>
        <v/>
      </c>
      <c r="Q836" s="78">
        <f>IF(N836="","",IF(AND(N836="✓",O836="✓",P836="✓"),"✓ Complete","Missing documents"))</f>
        <v/>
      </c>
      <c r="R836" s="79">
        <f>IF(Q836="","",IF(Q836="✓ Complete",0,1))</f>
        <v/>
      </c>
    </row>
    <row r="837" ht="20" customHeight="1">
      <c r="B837" s="72" t="n"/>
      <c r="C837" s="72" t="n"/>
      <c r="D837" s="72" t="n"/>
      <c r="E837" s="72" t="n"/>
      <c r="F837" s="72" t="n"/>
      <c r="G837" s="109" t="n"/>
      <c r="H837" s="72" t="n"/>
      <c r="I837" s="78">
        <f>IF(H837="","",HYPERLINK(H837,"Open ↗"))</f>
        <v/>
      </c>
      <c r="J837" s="72" t="n"/>
      <c r="L837" s="116">
        <f>IF('Contractors'!B837="","",'Contractors'!B837)</f>
        <v/>
      </c>
      <c r="M837" s="78">
        <f>IF(L837="","",'Contractors'!L837)</f>
        <v/>
      </c>
      <c r="N837" s="78">
        <f>IF(OR(L837="",M837&lt;&gt;"Yes"),"",IF(COUNTIFS('Vault'!$C$6:$C$1005,"Contract",'Vault'!$D$6:$D$1005,L837)&gt;0,"✓","✗ missing"))</f>
        <v/>
      </c>
      <c r="O837" s="78">
        <f>IF(OR(L837="",M837&lt;&gt;"Yes"),"",IF(COUNTIFS('Vault'!$C$6:$C$1005,"Insurance",'Vault'!$D$6:$D$1005,L837)&gt;0,"✓","✗ missing"))</f>
        <v/>
      </c>
      <c r="P837" s="78">
        <f>IF(OR(L837="",M837&lt;&gt;"Yes"),"",IF(COUNTIFS('Vault'!$C$6:$C$1005,"Quote",'Vault'!$D$6:$D$1005,L837)&gt;0,"✓","✗ missing"))</f>
        <v/>
      </c>
      <c r="Q837" s="78">
        <f>IF(N837="","",IF(AND(N837="✓",O837="✓",P837="✓"),"✓ Complete","Missing documents"))</f>
        <v/>
      </c>
      <c r="R837" s="79">
        <f>IF(Q837="","",IF(Q837="✓ Complete",0,1))</f>
        <v/>
      </c>
    </row>
    <row r="838" ht="20" customHeight="1">
      <c r="B838" s="72" t="n"/>
      <c r="C838" s="72" t="n"/>
      <c r="D838" s="72" t="n"/>
      <c r="E838" s="72" t="n"/>
      <c r="F838" s="72" t="n"/>
      <c r="G838" s="109" t="n"/>
      <c r="H838" s="72" t="n"/>
      <c r="I838" s="78">
        <f>IF(H838="","",HYPERLINK(H838,"Open ↗"))</f>
        <v/>
      </c>
      <c r="J838" s="72" t="n"/>
      <c r="L838" s="116">
        <f>IF('Contractors'!B838="","",'Contractors'!B838)</f>
        <v/>
      </c>
      <c r="M838" s="78">
        <f>IF(L838="","",'Contractors'!L838)</f>
        <v/>
      </c>
      <c r="N838" s="78">
        <f>IF(OR(L838="",M838&lt;&gt;"Yes"),"",IF(COUNTIFS('Vault'!$C$6:$C$1005,"Contract",'Vault'!$D$6:$D$1005,L838)&gt;0,"✓","✗ missing"))</f>
        <v/>
      </c>
      <c r="O838" s="78">
        <f>IF(OR(L838="",M838&lt;&gt;"Yes"),"",IF(COUNTIFS('Vault'!$C$6:$C$1005,"Insurance",'Vault'!$D$6:$D$1005,L838)&gt;0,"✓","✗ missing"))</f>
        <v/>
      </c>
      <c r="P838" s="78">
        <f>IF(OR(L838="",M838&lt;&gt;"Yes"),"",IF(COUNTIFS('Vault'!$C$6:$C$1005,"Quote",'Vault'!$D$6:$D$1005,L838)&gt;0,"✓","✗ missing"))</f>
        <v/>
      </c>
      <c r="Q838" s="78">
        <f>IF(N838="","",IF(AND(N838="✓",O838="✓",P838="✓"),"✓ Complete","Missing documents"))</f>
        <v/>
      </c>
      <c r="R838" s="79">
        <f>IF(Q838="","",IF(Q838="✓ Complete",0,1))</f>
        <v/>
      </c>
    </row>
    <row r="839" ht="20" customHeight="1">
      <c r="B839" s="72" t="n"/>
      <c r="C839" s="72" t="n"/>
      <c r="D839" s="72" t="n"/>
      <c r="E839" s="72" t="n"/>
      <c r="F839" s="72" t="n"/>
      <c r="G839" s="109" t="n"/>
      <c r="H839" s="72" t="n"/>
      <c r="I839" s="78">
        <f>IF(H839="","",HYPERLINK(H839,"Open ↗"))</f>
        <v/>
      </c>
      <c r="J839" s="72" t="n"/>
      <c r="L839" s="116">
        <f>IF('Contractors'!B839="","",'Contractors'!B839)</f>
        <v/>
      </c>
      <c r="M839" s="78">
        <f>IF(L839="","",'Contractors'!L839)</f>
        <v/>
      </c>
      <c r="N839" s="78">
        <f>IF(OR(L839="",M839&lt;&gt;"Yes"),"",IF(COUNTIFS('Vault'!$C$6:$C$1005,"Contract",'Vault'!$D$6:$D$1005,L839)&gt;0,"✓","✗ missing"))</f>
        <v/>
      </c>
      <c r="O839" s="78">
        <f>IF(OR(L839="",M839&lt;&gt;"Yes"),"",IF(COUNTIFS('Vault'!$C$6:$C$1005,"Insurance",'Vault'!$D$6:$D$1005,L839)&gt;0,"✓","✗ missing"))</f>
        <v/>
      </c>
      <c r="P839" s="78">
        <f>IF(OR(L839="",M839&lt;&gt;"Yes"),"",IF(COUNTIFS('Vault'!$C$6:$C$1005,"Quote",'Vault'!$D$6:$D$1005,L839)&gt;0,"✓","✗ missing"))</f>
        <v/>
      </c>
      <c r="Q839" s="78">
        <f>IF(N839="","",IF(AND(N839="✓",O839="✓",P839="✓"),"✓ Complete","Missing documents"))</f>
        <v/>
      </c>
      <c r="R839" s="79">
        <f>IF(Q839="","",IF(Q839="✓ Complete",0,1))</f>
        <v/>
      </c>
    </row>
    <row r="840" ht="20" customHeight="1">
      <c r="B840" s="72" t="n"/>
      <c r="C840" s="72" t="n"/>
      <c r="D840" s="72" t="n"/>
      <c r="E840" s="72" t="n"/>
      <c r="F840" s="72" t="n"/>
      <c r="G840" s="109" t="n"/>
      <c r="H840" s="72" t="n"/>
      <c r="I840" s="78">
        <f>IF(H840="","",HYPERLINK(H840,"Open ↗"))</f>
        <v/>
      </c>
      <c r="J840" s="72" t="n"/>
      <c r="L840" s="116">
        <f>IF('Contractors'!B840="","",'Contractors'!B840)</f>
        <v/>
      </c>
      <c r="M840" s="78">
        <f>IF(L840="","",'Contractors'!L840)</f>
        <v/>
      </c>
      <c r="N840" s="78">
        <f>IF(OR(L840="",M840&lt;&gt;"Yes"),"",IF(COUNTIFS('Vault'!$C$6:$C$1005,"Contract",'Vault'!$D$6:$D$1005,L840)&gt;0,"✓","✗ missing"))</f>
        <v/>
      </c>
      <c r="O840" s="78">
        <f>IF(OR(L840="",M840&lt;&gt;"Yes"),"",IF(COUNTIFS('Vault'!$C$6:$C$1005,"Insurance",'Vault'!$D$6:$D$1005,L840)&gt;0,"✓","✗ missing"))</f>
        <v/>
      </c>
      <c r="P840" s="78">
        <f>IF(OR(L840="",M840&lt;&gt;"Yes"),"",IF(COUNTIFS('Vault'!$C$6:$C$1005,"Quote",'Vault'!$D$6:$D$1005,L840)&gt;0,"✓","✗ missing"))</f>
        <v/>
      </c>
      <c r="Q840" s="78">
        <f>IF(N840="","",IF(AND(N840="✓",O840="✓",P840="✓"),"✓ Complete","Missing documents"))</f>
        <v/>
      </c>
      <c r="R840" s="79">
        <f>IF(Q840="","",IF(Q840="✓ Complete",0,1))</f>
        <v/>
      </c>
    </row>
    <row r="841" ht="20" customHeight="1">
      <c r="B841" s="72" t="n"/>
      <c r="C841" s="72" t="n"/>
      <c r="D841" s="72" t="n"/>
      <c r="E841" s="72" t="n"/>
      <c r="F841" s="72" t="n"/>
      <c r="G841" s="109" t="n"/>
      <c r="H841" s="72" t="n"/>
      <c r="I841" s="78">
        <f>IF(H841="","",HYPERLINK(H841,"Open ↗"))</f>
        <v/>
      </c>
      <c r="J841" s="72" t="n"/>
      <c r="L841" s="116">
        <f>IF('Contractors'!B841="","",'Contractors'!B841)</f>
        <v/>
      </c>
      <c r="M841" s="78">
        <f>IF(L841="","",'Contractors'!L841)</f>
        <v/>
      </c>
      <c r="N841" s="78">
        <f>IF(OR(L841="",M841&lt;&gt;"Yes"),"",IF(COUNTIFS('Vault'!$C$6:$C$1005,"Contract",'Vault'!$D$6:$D$1005,L841)&gt;0,"✓","✗ missing"))</f>
        <v/>
      </c>
      <c r="O841" s="78">
        <f>IF(OR(L841="",M841&lt;&gt;"Yes"),"",IF(COUNTIFS('Vault'!$C$6:$C$1005,"Insurance",'Vault'!$D$6:$D$1005,L841)&gt;0,"✓","✗ missing"))</f>
        <v/>
      </c>
      <c r="P841" s="78">
        <f>IF(OR(L841="",M841&lt;&gt;"Yes"),"",IF(COUNTIFS('Vault'!$C$6:$C$1005,"Quote",'Vault'!$D$6:$D$1005,L841)&gt;0,"✓","✗ missing"))</f>
        <v/>
      </c>
      <c r="Q841" s="78">
        <f>IF(N841="","",IF(AND(N841="✓",O841="✓",P841="✓"),"✓ Complete","Missing documents"))</f>
        <v/>
      </c>
      <c r="R841" s="79">
        <f>IF(Q841="","",IF(Q841="✓ Complete",0,1))</f>
        <v/>
      </c>
    </row>
    <row r="842" ht="20" customHeight="1">
      <c r="B842" s="72" t="n"/>
      <c r="C842" s="72" t="n"/>
      <c r="D842" s="72" t="n"/>
      <c r="E842" s="72" t="n"/>
      <c r="F842" s="72" t="n"/>
      <c r="G842" s="109" t="n"/>
      <c r="H842" s="72" t="n"/>
      <c r="I842" s="78">
        <f>IF(H842="","",HYPERLINK(H842,"Open ↗"))</f>
        <v/>
      </c>
      <c r="J842" s="72" t="n"/>
      <c r="L842" s="116">
        <f>IF('Contractors'!B842="","",'Contractors'!B842)</f>
        <v/>
      </c>
      <c r="M842" s="78">
        <f>IF(L842="","",'Contractors'!L842)</f>
        <v/>
      </c>
      <c r="N842" s="78">
        <f>IF(OR(L842="",M842&lt;&gt;"Yes"),"",IF(COUNTIFS('Vault'!$C$6:$C$1005,"Contract",'Vault'!$D$6:$D$1005,L842)&gt;0,"✓","✗ missing"))</f>
        <v/>
      </c>
      <c r="O842" s="78">
        <f>IF(OR(L842="",M842&lt;&gt;"Yes"),"",IF(COUNTIFS('Vault'!$C$6:$C$1005,"Insurance",'Vault'!$D$6:$D$1005,L842)&gt;0,"✓","✗ missing"))</f>
        <v/>
      </c>
      <c r="P842" s="78">
        <f>IF(OR(L842="",M842&lt;&gt;"Yes"),"",IF(COUNTIFS('Vault'!$C$6:$C$1005,"Quote",'Vault'!$D$6:$D$1005,L842)&gt;0,"✓","✗ missing"))</f>
        <v/>
      </c>
      <c r="Q842" s="78">
        <f>IF(N842="","",IF(AND(N842="✓",O842="✓",P842="✓"),"✓ Complete","Missing documents"))</f>
        <v/>
      </c>
      <c r="R842" s="79">
        <f>IF(Q842="","",IF(Q842="✓ Complete",0,1))</f>
        <v/>
      </c>
    </row>
    <row r="843" ht="20" customHeight="1">
      <c r="B843" s="72" t="n"/>
      <c r="C843" s="72" t="n"/>
      <c r="D843" s="72" t="n"/>
      <c r="E843" s="72" t="n"/>
      <c r="F843" s="72" t="n"/>
      <c r="G843" s="109" t="n"/>
      <c r="H843" s="72" t="n"/>
      <c r="I843" s="78">
        <f>IF(H843="","",HYPERLINK(H843,"Open ↗"))</f>
        <v/>
      </c>
      <c r="J843" s="72" t="n"/>
      <c r="L843" s="116">
        <f>IF('Contractors'!B843="","",'Contractors'!B843)</f>
        <v/>
      </c>
      <c r="M843" s="78">
        <f>IF(L843="","",'Contractors'!L843)</f>
        <v/>
      </c>
      <c r="N843" s="78">
        <f>IF(OR(L843="",M843&lt;&gt;"Yes"),"",IF(COUNTIFS('Vault'!$C$6:$C$1005,"Contract",'Vault'!$D$6:$D$1005,L843)&gt;0,"✓","✗ missing"))</f>
        <v/>
      </c>
      <c r="O843" s="78">
        <f>IF(OR(L843="",M843&lt;&gt;"Yes"),"",IF(COUNTIFS('Vault'!$C$6:$C$1005,"Insurance",'Vault'!$D$6:$D$1005,L843)&gt;0,"✓","✗ missing"))</f>
        <v/>
      </c>
      <c r="P843" s="78">
        <f>IF(OR(L843="",M843&lt;&gt;"Yes"),"",IF(COUNTIFS('Vault'!$C$6:$C$1005,"Quote",'Vault'!$D$6:$D$1005,L843)&gt;0,"✓","✗ missing"))</f>
        <v/>
      </c>
      <c r="Q843" s="78">
        <f>IF(N843="","",IF(AND(N843="✓",O843="✓",P843="✓"),"✓ Complete","Missing documents"))</f>
        <v/>
      </c>
      <c r="R843" s="79">
        <f>IF(Q843="","",IF(Q843="✓ Complete",0,1))</f>
        <v/>
      </c>
    </row>
    <row r="844" ht="20" customHeight="1">
      <c r="B844" s="72" t="n"/>
      <c r="C844" s="72" t="n"/>
      <c r="D844" s="72" t="n"/>
      <c r="E844" s="72" t="n"/>
      <c r="F844" s="72" t="n"/>
      <c r="G844" s="109" t="n"/>
      <c r="H844" s="72" t="n"/>
      <c r="I844" s="78">
        <f>IF(H844="","",HYPERLINK(H844,"Open ↗"))</f>
        <v/>
      </c>
      <c r="J844" s="72" t="n"/>
      <c r="L844" s="116">
        <f>IF('Contractors'!B844="","",'Contractors'!B844)</f>
        <v/>
      </c>
      <c r="M844" s="78">
        <f>IF(L844="","",'Contractors'!L844)</f>
        <v/>
      </c>
      <c r="N844" s="78">
        <f>IF(OR(L844="",M844&lt;&gt;"Yes"),"",IF(COUNTIFS('Vault'!$C$6:$C$1005,"Contract",'Vault'!$D$6:$D$1005,L844)&gt;0,"✓","✗ missing"))</f>
        <v/>
      </c>
      <c r="O844" s="78">
        <f>IF(OR(L844="",M844&lt;&gt;"Yes"),"",IF(COUNTIFS('Vault'!$C$6:$C$1005,"Insurance",'Vault'!$D$6:$D$1005,L844)&gt;0,"✓","✗ missing"))</f>
        <v/>
      </c>
      <c r="P844" s="78">
        <f>IF(OR(L844="",M844&lt;&gt;"Yes"),"",IF(COUNTIFS('Vault'!$C$6:$C$1005,"Quote",'Vault'!$D$6:$D$1005,L844)&gt;0,"✓","✗ missing"))</f>
        <v/>
      </c>
      <c r="Q844" s="78">
        <f>IF(N844="","",IF(AND(N844="✓",O844="✓",P844="✓"),"✓ Complete","Missing documents"))</f>
        <v/>
      </c>
      <c r="R844" s="79">
        <f>IF(Q844="","",IF(Q844="✓ Complete",0,1))</f>
        <v/>
      </c>
    </row>
    <row r="845" ht="20" customHeight="1">
      <c r="B845" s="72" t="n"/>
      <c r="C845" s="72" t="n"/>
      <c r="D845" s="72" t="n"/>
      <c r="E845" s="72" t="n"/>
      <c r="F845" s="72" t="n"/>
      <c r="G845" s="109" t="n"/>
      <c r="H845" s="72" t="n"/>
      <c r="I845" s="78">
        <f>IF(H845="","",HYPERLINK(H845,"Open ↗"))</f>
        <v/>
      </c>
      <c r="J845" s="72" t="n"/>
      <c r="L845" s="116">
        <f>IF('Contractors'!B845="","",'Contractors'!B845)</f>
        <v/>
      </c>
      <c r="M845" s="78">
        <f>IF(L845="","",'Contractors'!L845)</f>
        <v/>
      </c>
      <c r="N845" s="78">
        <f>IF(OR(L845="",M845&lt;&gt;"Yes"),"",IF(COUNTIFS('Vault'!$C$6:$C$1005,"Contract",'Vault'!$D$6:$D$1005,L845)&gt;0,"✓","✗ missing"))</f>
        <v/>
      </c>
      <c r="O845" s="78">
        <f>IF(OR(L845="",M845&lt;&gt;"Yes"),"",IF(COUNTIFS('Vault'!$C$6:$C$1005,"Insurance",'Vault'!$D$6:$D$1005,L845)&gt;0,"✓","✗ missing"))</f>
        <v/>
      </c>
      <c r="P845" s="78">
        <f>IF(OR(L845="",M845&lt;&gt;"Yes"),"",IF(COUNTIFS('Vault'!$C$6:$C$1005,"Quote",'Vault'!$D$6:$D$1005,L845)&gt;0,"✓","✗ missing"))</f>
        <v/>
      </c>
      <c r="Q845" s="78">
        <f>IF(N845="","",IF(AND(N845="✓",O845="✓",P845="✓"),"✓ Complete","Missing documents"))</f>
        <v/>
      </c>
      <c r="R845" s="79">
        <f>IF(Q845="","",IF(Q845="✓ Complete",0,1))</f>
        <v/>
      </c>
    </row>
    <row r="846" ht="20" customHeight="1">
      <c r="B846" s="72" t="n"/>
      <c r="C846" s="72" t="n"/>
      <c r="D846" s="72" t="n"/>
      <c r="E846" s="72" t="n"/>
      <c r="F846" s="72" t="n"/>
      <c r="G846" s="109" t="n"/>
      <c r="H846" s="72" t="n"/>
      <c r="I846" s="78">
        <f>IF(H846="","",HYPERLINK(H846,"Open ↗"))</f>
        <v/>
      </c>
      <c r="J846" s="72" t="n"/>
      <c r="L846" s="116">
        <f>IF('Contractors'!B846="","",'Contractors'!B846)</f>
        <v/>
      </c>
      <c r="M846" s="78">
        <f>IF(L846="","",'Contractors'!L846)</f>
        <v/>
      </c>
      <c r="N846" s="78">
        <f>IF(OR(L846="",M846&lt;&gt;"Yes"),"",IF(COUNTIFS('Vault'!$C$6:$C$1005,"Contract",'Vault'!$D$6:$D$1005,L846)&gt;0,"✓","✗ missing"))</f>
        <v/>
      </c>
      <c r="O846" s="78">
        <f>IF(OR(L846="",M846&lt;&gt;"Yes"),"",IF(COUNTIFS('Vault'!$C$6:$C$1005,"Insurance",'Vault'!$D$6:$D$1005,L846)&gt;0,"✓","✗ missing"))</f>
        <v/>
      </c>
      <c r="P846" s="78">
        <f>IF(OR(L846="",M846&lt;&gt;"Yes"),"",IF(COUNTIFS('Vault'!$C$6:$C$1005,"Quote",'Vault'!$D$6:$D$1005,L846)&gt;0,"✓","✗ missing"))</f>
        <v/>
      </c>
      <c r="Q846" s="78">
        <f>IF(N846="","",IF(AND(N846="✓",O846="✓",P846="✓"),"✓ Complete","Missing documents"))</f>
        <v/>
      </c>
      <c r="R846" s="79">
        <f>IF(Q846="","",IF(Q846="✓ Complete",0,1))</f>
        <v/>
      </c>
    </row>
    <row r="847" ht="20" customHeight="1">
      <c r="B847" s="72" t="n"/>
      <c r="C847" s="72" t="n"/>
      <c r="D847" s="72" t="n"/>
      <c r="E847" s="72" t="n"/>
      <c r="F847" s="72" t="n"/>
      <c r="G847" s="109" t="n"/>
      <c r="H847" s="72" t="n"/>
      <c r="I847" s="78">
        <f>IF(H847="","",HYPERLINK(H847,"Open ↗"))</f>
        <v/>
      </c>
      <c r="J847" s="72" t="n"/>
      <c r="L847" s="116">
        <f>IF('Contractors'!B847="","",'Contractors'!B847)</f>
        <v/>
      </c>
      <c r="M847" s="78">
        <f>IF(L847="","",'Contractors'!L847)</f>
        <v/>
      </c>
      <c r="N847" s="78">
        <f>IF(OR(L847="",M847&lt;&gt;"Yes"),"",IF(COUNTIFS('Vault'!$C$6:$C$1005,"Contract",'Vault'!$D$6:$D$1005,L847)&gt;0,"✓","✗ missing"))</f>
        <v/>
      </c>
      <c r="O847" s="78">
        <f>IF(OR(L847="",M847&lt;&gt;"Yes"),"",IF(COUNTIFS('Vault'!$C$6:$C$1005,"Insurance",'Vault'!$D$6:$D$1005,L847)&gt;0,"✓","✗ missing"))</f>
        <v/>
      </c>
      <c r="P847" s="78">
        <f>IF(OR(L847="",M847&lt;&gt;"Yes"),"",IF(COUNTIFS('Vault'!$C$6:$C$1005,"Quote",'Vault'!$D$6:$D$1005,L847)&gt;0,"✓","✗ missing"))</f>
        <v/>
      </c>
      <c r="Q847" s="78">
        <f>IF(N847="","",IF(AND(N847="✓",O847="✓",P847="✓"),"✓ Complete","Missing documents"))</f>
        <v/>
      </c>
      <c r="R847" s="79">
        <f>IF(Q847="","",IF(Q847="✓ Complete",0,1))</f>
        <v/>
      </c>
    </row>
    <row r="848" ht="20" customHeight="1">
      <c r="B848" s="72" t="n"/>
      <c r="C848" s="72" t="n"/>
      <c r="D848" s="72" t="n"/>
      <c r="E848" s="72" t="n"/>
      <c r="F848" s="72" t="n"/>
      <c r="G848" s="109" t="n"/>
      <c r="H848" s="72" t="n"/>
      <c r="I848" s="78">
        <f>IF(H848="","",HYPERLINK(H848,"Open ↗"))</f>
        <v/>
      </c>
      <c r="J848" s="72" t="n"/>
      <c r="L848" s="116">
        <f>IF('Contractors'!B848="","",'Contractors'!B848)</f>
        <v/>
      </c>
      <c r="M848" s="78">
        <f>IF(L848="","",'Contractors'!L848)</f>
        <v/>
      </c>
      <c r="N848" s="78">
        <f>IF(OR(L848="",M848&lt;&gt;"Yes"),"",IF(COUNTIFS('Vault'!$C$6:$C$1005,"Contract",'Vault'!$D$6:$D$1005,L848)&gt;0,"✓","✗ missing"))</f>
        <v/>
      </c>
      <c r="O848" s="78">
        <f>IF(OR(L848="",M848&lt;&gt;"Yes"),"",IF(COUNTIFS('Vault'!$C$6:$C$1005,"Insurance",'Vault'!$D$6:$D$1005,L848)&gt;0,"✓","✗ missing"))</f>
        <v/>
      </c>
      <c r="P848" s="78">
        <f>IF(OR(L848="",M848&lt;&gt;"Yes"),"",IF(COUNTIFS('Vault'!$C$6:$C$1005,"Quote",'Vault'!$D$6:$D$1005,L848)&gt;0,"✓","✗ missing"))</f>
        <v/>
      </c>
      <c r="Q848" s="78">
        <f>IF(N848="","",IF(AND(N848="✓",O848="✓",P848="✓"),"✓ Complete","Missing documents"))</f>
        <v/>
      </c>
      <c r="R848" s="79">
        <f>IF(Q848="","",IF(Q848="✓ Complete",0,1))</f>
        <v/>
      </c>
    </row>
    <row r="849" ht="20" customHeight="1">
      <c r="B849" s="72" t="n"/>
      <c r="C849" s="72" t="n"/>
      <c r="D849" s="72" t="n"/>
      <c r="E849" s="72" t="n"/>
      <c r="F849" s="72" t="n"/>
      <c r="G849" s="109" t="n"/>
      <c r="H849" s="72" t="n"/>
      <c r="I849" s="78">
        <f>IF(H849="","",HYPERLINK(H849,"Open ↗"))</f>
        <v/>
      </c>
      <c r="J849" s="72" t="n"/>
      <c r="L849" s="116">
        <f>IF('Contractors'!B849="","",'Contractors'!B849)</f>
        <v/>
      </c>
      <c r="M849" s="78">
        <f>IF(L849="","",'Contractors'!L849)</f>
        <v/>
      </c>
      <c r="N849" s="78">
        <f>IF(OR(L849="",M849&lt;&gt;"Yes"),"",IF(COUNTIFS('Vault'!$C$6:$C$1005,"Contract",'Vault'!$D$6:$D$1005,L849)&gt;0,"✓","✗ missing"))</f>
        <v/>
      </c>
      <c r="O849" s="78">
        <f>IF(OR(L849="",M849&lt;&gt;"Yes"),"",IF(COUNTIFS('Vault'!$C$6:$C$1005,"Insurance",'Vault'!$D$6:$D$1005,L849)&gt;0,"✓","✗ missing"))</f>
        <v/>
      </c>
      <c r="P849" s="78">
        <f>IF(OR(L849="",M849&lt;&gt;"Yes"),"",IF(COUNTIFS('Vault'!$C$6:$C$1005,"Quote",'Vault'!$D$6:$D$1005,L849)&gt;0,"✓","✗ missing"))</f>
        <v/>
      </c>
      <c r="Q849" s="78">
        <f>IF(N849="","",IF(AND(N849="✓",O849="✓",P849="✓"),"✓ Complete","Missing documents"))</f>
        <v/>
      </c>
      <c r="R849" s="79">
        <f>IF(Q849="","",IF(Q849="✓ Complete",0,1))</f>
        <v/>
      </c>
    </row>
    <row r="850" ht="20" customHeight="1">
      <c r="B850" s="72" t="n"/>
      <c r="C850" s="72" t="n"/>
      <c r="D850" s="72" t="n"/>
      <c r="E850" s="72" t="n"/>
      <c r="F850" s="72" t="n"/>
      <c r="G850" s="109" t="n"/>
      <c r="H850" s="72" t="n"/>
      <c r="I850" s="78">
        <f>IF(H850="","",HYPERLINK(H850,"Open ↗"))</f>
        <v/>
      </c>
      <c r="J850" s="72" t="n"/>
      <c r="L850" s="116">
        <f>IF('Contractors'!B850="","",'Contractors'!B850)</f>
        <v/>
      </c>
      <c r="M850" s="78">
        <f>IF(L850="","",'Contractors'!L850)</f>
        <v/>
      </c>
      <c r="N850" s="78">
        <f>IF(OR(L850="",M850&lt;&gt;"Yes"),"",IF(COUNTIFS('Vault'!$C$6:$C$1005,"Contract",'Vault'!$D$6:$D$1005,L850)&gt;0,"✓","✗ missing"))</f>
        <v/>
      </c>
      <c r="O850" s="78">
        <f>IF(OR(L850="",M850&lt;&gt;"Yes"),"",IF(COUNTIFS('Vault'!$C$6:$C$1005,"Insurance",'Vault'!$D$6:$D$1005,L850)&gt;0,"✓","✗ missing"))</f>
        <v/>
      </c>
      <c r="P850" s="78">
        <f>IF(OR(L850="",M850&lt;&gt;"Yes"),"",IF(COUNTIFS('Vault'!$C$6:$C$1005,"Quote",'Vault'!$D$6:$D$1005,L850)&gt;0,"✓","✗ missing"))</f>
        <v/>
      </c>
      <c r="Q850" s="78">
        <f>IF(N850="","",IF(AND(N850="✓",O850="✓",P850="✓"),"✓ Complete","Missing documents"))</f>
        <v/>
      </c>
      <c r="R850" s="79">
        <f>IF(Q850="","",IF(Q850="✓ Complete",0,1))</f>
        <v/>
      </c>
    </row>
    <row r="851" ht="20" customHeight="1">
      <c r="B851" s="72" t="n"/>
      <c r="C851" s="72" t="n"/>
      <c r="D851" s="72" t="n"/>
      <c r="E851" s="72" t="n"/>
      <c r="F851" s="72" t="n"/>
      <c r="G851" s="109" t="n"/>
      <c r="H851" s="72" t="n"/>
      <c r="I851" s="78">
        <f>IF(H851="","",HYPERLINK(H851,"Open ↗"))</f>
        <v/>
      </c>
      <c r="J851" s="72" t="n"/>
      <c r="L851" s="116">
        <f>IF('Contractors'!B851="","",'Contractors'!B851)</f>
        <v/>
      </c>
      <c r="M851" s="78">
        <f>IF(L851="","",'Contractors'!L851)</f>
        <v/>
      </c>
      <c r="N851" s="78">
        <f>IF(OR(L851="",M851&lt;&gt;"Yes"),"",IF(COUNTIFS('Vault'!$C$6:$C$1005,"Contract",'Vault'!$D$6:$D$1005,L851)&gt;0,"✓","✗ missing"))</f>
        <v/>
      </c>
      <c r="O851" s="78">
        <f>IF(OR(L851="",M851&lt;&gt;"Yes"),"",IF(COUNTIFS('Vault'!$C$6:$C$1005,"Insurance",'Vault'!$D$6:$D$1005,L851)&gt;0,"✓","✗ missing"))</f>
        <v/>
      </c>
      <c r="P851" s="78">
        <f>IF(OR(L851="",M851&lt;&gt;"Yes"),"",IF(COUNTIFS('Vault'!$C$6:$C$1005,"Quote",'Vault'!$D$6:$D$1005,L851)&gt;0,"✓","✗ missing"))</f>
        <v/>
      </c>
      <c r="Q851" s="78">
        <f>IF(N851="","",IF(AND(N851="✓",O851="✓",P851="✓"),"✓ Complete","Missing documents"))</f>
        <v/>
      </c>
      <c r="R851" s="79">
        <f>IF(Q851="","",IF(Q851="✓ Complete",0,1))</f>
        <v/>
      </c>
    </row>
    <row r="852" ht="20" customHeight="1">
      <c r="B852" s="72" t="n"/>
      <c r="C852" s="72" t="n"/>
      <c r="D852" s="72" t="n"/>
      <c r="E852" s="72" t="n"/>
      <c r="F852" s="72" t="n"/>
      <c r="G852" s="109" t="n"/>
      <c r="H852" s="72" t="n"/>
      <c r="I852" s="78">
        <f>IF(H852="","",HYPERLINK(H852,"Open ↗"))</f>
        <v/>
      </c>
      <c r="J852" s="72" t="n"/>
      <c r="L852" s="116">
        <f>IF('Contractors'!B852="","",'Contractors'!B852)</f>
        <v/>
      </c>
      <c r="M852" s="78">
        <f>IF(L852="","",'Contractors'!L852)</f>
        <v/>
      </c>
      <c r="N852" s="78">
        <f>IF(OR(L852="",M852&lt;&gt;"Yes"),"",IF(COUNTIFS('Vault'!$C$6:$C$1005,"Contract",'Vault'!$D$6:$D$1005,L852)&gt;0,"✓","✗ missing"))</f>
        <v/>
      </c>
      <c r="O852" s="78">
        <f>IF(OR(L852="",M852&lt;&gt;"Yes"),"",IF(COUNTIFS('Vault'!$C$6:$C$1005,"Insurance",'Vault'!$D$6:$D$1005,L852)&gt;0,"✓","✗ missing"))</f>
        <v/>
      </c>
      <c r="P852" s="78">
        <f>IF(OR(L852="",M852&lt;&gt;"Yes"),"",IF(COUNTIFS('Vault'!$C$6:$C$1005,"Quote",'Vault'!$D$6:$D$1005,L852)&gt;0,"✓","✗ missing"))</f>
        <v/>
      </c>
      <c r="Q852" s="78">
        <f>IF(N852="","",IF(AND(N852="✓",O852="✓",P852="✓"),"✓ Complete","Missing documents"))</f>
        <v/>
      </c>
      <c r="R852" s="79">
        <f>IF(Q852="","",IF(Q852="✓ Complete",0,1))</f>
        <v/>
      </c>
    </row>
    <row r="853" ht="20" customHeight="1">
      <c r="B853" s="72" t="n"/>
      <c r="C853" s="72" t="n"/>
      <c r="D853" s="72" t="n"/>
      <c r="E853" s="72" t="n"/>
      <c r="F853" s="72" t="n"/>
      <c r="G853" s="109" t="n"/>
      <c r="H853" s="72" t="n"/>
      <c r="I853" s="78">
        <f>IF(H853="","",HYPERLINK(H853,"Open ↗"))</f>
        <v/>
      </c>
      <c r="J853" s="72" t="n"/>
      <c r="L853" s="116">
        <f>IF('Contractors'!B853="","",'Contractors'!B853)</f>
        <v/>
      </c>
      <c r="M853" s="78">
        <f>IF(L853="","",'Contractors'!L853)</f>
        <v/>
      </c>
      <c r="N853" s="78">
        <f>IF(OR(L853="",M853&lt;&gt;"Yes"),"",IF(COUNTIFS('Vault'!$C$6:$C$1005,"Contract",'Vault'!$D$6:$D$1005,L853)&gt;0,"✓","✗ missing"))</f>
        <v/>
      </c>
      <c r="O853" s="78">
        <f>IF(OR(L853="",M853&lt;&gt;"Yes"),"",IF(COUNTIFS('Vault'!$C$6:$C$1005,"Insurance",'Vault'!$D$6:$D$1005,L853)&gt;0,"✓","✗ missing"))</f>
        <v/>
      </c>
      <c r="P853" s="78">
        <f>IF(OR(L853="",M853&lt;&gt;"Yes"),"",IF(COUNTIFS('Vault'!$C$6:$C$1005,"Quote",'Vault'!$D$6:$D$1005,L853)&gt;0,"✓","✗ missing"))</f>
        <v/>
      </c>
      <c r="Q853" s="78">
        <f>IF(N853="","",IF(AND(N853="✓",O853="✓",P853="✓"),"✓ Complete","Missing documents"))</f>
        <v/>
      </c>
      <c r="R853" s="79">
        <f>IF(Q853="","",IF(Q853="✓ Complete",0,1))</f>
        <v/>
      </c>
    </row>
    <row r="854" ht="20" customHeight="1">
      <c r="B854" s="72" t="n"/>
      <c r="C854" s="72" t="n"/>
      <c r="D854" s="72" t="n"/>
      <c r="E854" s="72" t="n"/>
      <c r="F854" s="72" t="n"/>
      <c r="G854" s="109" t="n"/>
      <c r="H854" s="72" t="n"/>
      <c r="I854" s="78">
        <f>IF(H854="","",HYPERLINK(H854,"Open ↗"))</f>
        <v/>
      </c>
      <c r="J854" s="72" t="n"/>
      <c r="L854" s="116">
        <f>IF('Contractors'!B854="","",'Contractors'!B854)</f>
        <v/>
      </c>
      <c r="M854" s="78">
        <f>IF(L854="","",'Contractors'!L854)</f>
        <v/>
      </c>
      <c r="N854" s="78">
        <f>IF(OR(L854="",M854&lt;&gt;"Yes"),"",IF(COUNTIFS('Vault'!$C$6:$C$1005,"Contract",'Vault'!$D$6:$D$1005,L854)&gt;0,"✓","✗ missing"))</f>
        <v/>
      </c>
      <c r="O854" s="78">
        <f>IF(OR(L854="",M854&lt;&gt;"Yes"),"",IF(COUNTIFS('Vault'!$C$6:$C$1005,"Insurance",'Vault'!$D$6:$D$1005,L854)&gt;0,"✓","✗ missing"))</f>
        <v/>
      </c>
      <c r="P854" s="78">
        <f>IF(OR(L854="",M854&lt;&gt;"Yes"),"",IF(COUNTIFS('Vault'!$C$6:$C$1005,"Quote",'Vault'!$D$6:$D$1005,L854)&gt;0,"✓","✗ missing"))</f>
        <v/>
      </c>
      <c r="Q854" s="78">
        <f>IF(N854="","",IF(AND(N854="✓",O854="✓",P854="✓"),"✓ Complete","Missing documents"))</f>
        <v/>
      </c>
      <c r="R854" s="79">
        <f>IF(Q854="","",IF(Q854="✓ Complete",0,1))</f>
        <v/>
      </c>
    </row>
    <row r="855" ht="20" customHeight="1">
      <c r="B855" s="72" t="n"/>
      <c r="C855" s="72" t="n"/>
      <c r="D855" s="72" t="n"/>
      <c r="E855" s="72" t="n"/>
      <c r="F855" s="72" t="n"/>
      <c r="G855" s="109" t="n"/>
      <c r="H855" s="72" t="n"/>
      <c r="I855" s="78">
        <f>IF(H855="","",HYPERLINK(H855,"Open ↗"))</f>
        <v/>
      </c>
      <c r="J855" s="72" t="n"/>
      <c r="L855" s="116">
        <f>IF('Contractors'!B855="","",'Contractors'!B855)</f>
        <v/>
      </c>
      <c r="M855" s="78">
        <f>IF(L855="","",'Contractors'!L855)</f>
        <v/>
      </c>
      <c r="N855" s="78">
        <f>IF(OR(L855="",M855&lt;&gt;"Yes"),"",IF(COUNTIFS('Vault'!$C$6:$C$1005,"Contract",'Vault'!$D$6:$D$1005,L855)&gt;0,"✓","✗ missing"))</f>
        <v/>
      </c>
      <c r="O855" s="78">
        <f>IF(OR(L855="",M855&lt;&gt;"Yes"),"",IF(COUNTIFS('Vault'!$C$6:$C$1005,"Insurance",'Vault'!$D$6:$D$1005,L855)&gt;0,"✓","✗ missing"))</f>
        <v/>
      </c>
      <c r="P855" s="78">
        <f>IF(OR(L855="",M855&lt;&gt;"Yes"),"",IF(COUNTIFS('Vault'!$C$6:$C$1005,"Quote",'Vault'!$D$6:$D$1005,L855)&gt;0,"✓","✗ missing"))</f>
        <v/>
      </c>
      <c r="Q855" s="78">
        <f>IF(N855="","",IF(AND(N855="✓",O855="✓",P855="✓"),"✓ Complete","Missing documents"))</f>
        <v/>
      </c>
      <c r="R855" s="79">
        <f>IF(Q855="","",IF(Q855="✓ Complete",0,1))</f>
        <v/>
      </c>
    </row>
    <row r="856" ht="20" customHeight="1">
      <c r="B856" s="72" t="n"/>
      <c r="C856" s="72" t="n"/>
      <c r="D856" s="72" t="n"/>
      <c r="E856" s="72" t="n"/>
      <c r="F856" s="72" t="n"/>
      <c r="G856" s="109" t="n"/>
      <c r="H856" s="72" t="n"/>
      <c r="I856" s="78">
        <f>IF(H856="","",HYPERLINK(H856,"Open ↗"))</f>
        <v/>
      </c>
      <c r="J856" s="72" t="n"/>
      <c r="L856" s="116">
        <f>IF('Contractors'!B856="","",'Contractors'!B856)</f>
        <v/>
      </c>
      <c r="M856" s="78">
        <f>IF(L856="","",'Contractors'!L856)</f>
        <v/>
      </c>
      <c r="N856" s="78">
        <f>IF(OR(L856="",M856&lt;&gt;"Yes"),"",IF(COUNTIFS('Vault'!$C$6:$C$1005,"Contract",'Vault'!$D$6:$D$1005,L856)&gt;0,"✓","✗ missing"))</f>
        <v/>
      </c>
      <c r="O856" s="78">
        <f>IF(OR(L856="",M856&lt;&gt;"Yes"),"",IF(COUNTIFS('Vault'!$C$6:$C$1005,"Insurance",'Vault'!$D$6:$D$1005,L856)&gt;0,"✓","✗ missing"))</f>
        <v/>
      </c>
      <c r="P856" s="78">
        <f>IF(OR(L856="",M856&lt;&gt;"Yes"),"",IF(COUNTIFS('Vault'!$C$6:$C$1005,"Quote",'Vault'!$D$6:$D$1005,L856)&gt;0,"✓","✗ missing"))</f>
        <v/>
      </c>
      <c r="Q856" s="78">
        <f>IF(N856="","",IF(AND(N856="✓",O856="✓",P856="✓"),"✓ Complete","Missing documents"))</f>
        <v/>
      </c>
      <c r="R856" s="79">
        <f>IF(Q856="","",IF(Q856="✓ Complete",0,1))</f>
        <v/>
      </c>
    </row>
    <row r="857" ht="20" customHeight="1">
      <c r="B857" s="72" t="n"/>
      <c r="C857" s="72" t="n"/>
      <c r="D857" s="72" t="n"/>
      <c r="E857" s="72" t="n"/>
      <c r="F857" s="72" t="n"/>
      <c r="G857" s="109" t="n"/>
      <c r="H857" s="72" t="n"/>
      <c r="I857" s="78">
        <f>IF(H857="","",HYPERLINK(H857,"Open ↗"))</f>
        <v/>
      </c>
      <c r="J857" s="72" t="n"/>
      <c r="L857" s="116">
        <f>IF('Contractors'!B857="","",'Contractors'!B857)</f>
        <v/>
      </c>
      <c r="M857" s="78">
        <f>IF(L857="","",'Contractors'!L857)</f>
        <v/>
      </c>
      <c r="N857" s="78">
        <f>IF(OR(L857="",M857&lt;&gt;"Yes"),"",IF(COUNTIFS('Vault'!$C$6:$C$1005,"Contract",'Vault'!$D$6:$D$1005,L857)&gt;0,"✓","✗ missing"))</f>
        <v/>
      </c>
      <c r="O857" s="78">
        <f>IF(OR(L857="",M857&lt;&gt;"Yes"),"",IF(COUNTIFS('Vault'!$C$6:$C$1005,"Insurance",'Vault'!$D$6:$D$1005,L857)&gt;0,"✓","✗ missing"))</f>
        <v/>
      </c>
      <c r="P857" s="78">
        <f>IF(OR(L857="",M857&lt;&gt;"Yes"),"",IF(COUNTIFS('Vault'!$C$6:$C$1005,"Quote",'Vault'!$D$6:$D$1005,L857)&gt;0,"✓","✗ missing"))</f>
        <v/>
      </c>
      <c r="Q857" s="78">
        <f>IF(N857="","",IF(AND(N857="✓",O857="✓",P857="✓"),"✓ Complete","Missing documents"))</f>
        <v/>
      </c>
      <c r="R857" s="79">
        <f>IF(Q857="","",IF(Q857="✓ Complete",0,1))</f>
        <v/>
      </c>
    </row>
    <row r="858" ht="20" customHeight="1">
      <c r="B858" s="72" t="n"/>
      <c r="C858" s="72" t="n"/>
      <c r="D858" s="72" t="n"/>
      <c r="E858" s="72" t="n"/>
      <c r="F858" s="72" t="n"/>
      <c r="G858" s="109" t="n"/>
      <c r="H858" s="72" t="n"/>
      <c r="I858" s="78">
        <f>IF(H858="","",HYPERLINK(H858,"Open ↗"))</f>
        <v/>
      </c>
      <c r="J858" s="72" t="n"/>
      <c r="L858" s="116">
        <f>IF('Contractors'!B858="","",'Contractors'!B858)</f>
        <v/>
      </c>
      <c r="M858" s="78">
        <f>IF(L858="","",'Contractors'!L858)</f>
        <v/>
      </c>
      <c r="N858" s="78">
        <f>IF(OR(L858="",M858&lt;&gt;"Yes"),"",IF(COUNTIFS('Vault'!$C$6:$C$1005,"Contract",'Vault'!$D$6:$D$1005,L858)&gt;0,"✓","✗ missing"))</f>
        <v/>
      </c>
      <c r="O858" s="78">
        <f>IF(OR(L858="",M858&lt;&gt;"Yes"),"",IF(COUNTIFS('Vault'!$C$6:$C$1005,"Insurance",'Vault'!$D$6:$D$1005,L858)&gt;0,"✓","✗ missing"))</f>
        <v/>
      </c>
      <c r="P858" s="78">
        <f>IF(OR(L858="",M858&lt;&gt;"Yes"),"",IF(COUNTIFS('Vault'!$C$6:$C$1005,"Quote",'Vault'!$D$6:$D$1005,L858)&gt;0,"✓","✗ missing"))</f>
        <v/>
      </c>
      <c r="Q858" s="78">
        <f>IF(N858="","",IF(AND(N858="✓",O858="✓",P858="✓"),"✓ Complete","Missing documents"))</f>
        <v/>
      </c>
      <c r="R858" s="79">
        <f>IF(Q858="","",IF(Q858="✓ Complete",0,1))</f>
        <v/>
      </c>
    </row>
    <row r="859" ht="20" customHeight="1">
      <c r="B859" s="72" t="n"/>
      <c r="C859" s="72" t="n"/>
      <c r="D859" s="72" t="n"/>
      <c r="E859" s="72" t="n"/>
      <c r="F859" s="72" t="n"/>
      <c r="G859" s="109" t="n"/>
      <c r="H859" s="72" t="n"/>
      <c r="I859" s="78">
        <f>IF(H859="","",HYPERLINK(H859,"Open ↗"))</f>
        <v/>
      </c>
      <c r="J859" s="72" t="n"/>
      <c r="L859" s="116">
        <f>IF('Contractors'!B859="","",'Contractors'!B859)</f>
        <v/>
      </c>
      <c r="M859" s="78">
        <f>IF(L859="","",'Contractors'!L859)</f>
        <v/>
      </c>
      <c r="N859" s="78">
        <f>IF(OR(L859="",M859&lt;&gt;"Yes"),"",IF(COUNTIFS('Vault'!$C$6:$C$1005,"Contract",'Vault'!$D$6:$D$1005,L859)&gt;0,"✓","✗ missing"))</f>
        <v/>
      </c>
      <c r="O859" s="78">
        <f>IF(OR(L859="",M859&lt;&gt;"Yes"),"",IF(COUNTIFS('Vault'!$C$6:$C$1005,"Insurance",'Vault'!$D$6:$D$1005,L859)&gt;0,"✓","✗ missing"))</f>
        <v/>
      </c>
      <c r="P859" s="78">
        <f>IF(OR(L859="",M859&lt;&gt;"Yes"),"",IF(COUNTIFS('Vault'!$C$6:$C$1005,"Quote",'Vault'!$D$6:$D$1005,L859)&gt;0,"✓","✗ missing"))</f>
        <v/>
      </c>
      <c r="Q859" s="78">
        <f>IF(N859="","",IF(AND(N859="✓",O859="✓",P859="✓"),"✓ Complete","Missing documents"))</f>
        <v/>
      </c>
      <c r="R859" s="79">
        <f>IF(Q859="","",IF(Q859="✓ Complete",0,1))</f>
        <v/>
      </c>
    </row>
    <row r="860" ht="20" customHeight="1">
      <c r="B860" s="72" t="n"/>
      <c r="C860" s="72" t="n"/>
      <c r="D860" s="72" t="n"/>
      <c r="E860" s="72" t="n"/>
      <c r="F860" s="72" t="n"/>
      <c r="G860" s="109" t="n"/>
      <c r="H860" s="72" t="n"/>
      <c r="I860" s="78">
        <f>IF(H860="","",HYPERLINK(H860,"Open ↗"))</f>
        <v/>
      </c>
      <c r="J860" s="72" t="n"/>
      <c r="L860" s="116">
        <f>IF('Contractors'!B860="","",'Contractors'!B860)</f>
        <v/>
      </c>
      <c r="M860" s="78">
        <f>IF(L860="","",'Contractors'!L860)</f>
        <v/>
      </c>
      <c r="N860" s="78">
        <f>IF(OR(L860="",M860&lt;&gt;"Yes"),"",IF(COUNTIFS('Vault'!$C$6:$C$1005,"Contract",'Vault'!$D$6:$D$1005,L860)&gt;0,"✓","✗ missing"))</f>
        <v/>
      </c>
      <c r="O860" s="78">
        <f>IF(OR(L860="",M860&lt;&gt;"Yes"),"",IF(COUNTIFS('Vault'!$C$6:$C$1005,"Insurance",'Vault'!$D$6:$D$1005,L860)&gt;0,"✓","✗ missing"))</f>
        <v/>
      </c>
      <c r="P860" s="78">
        <f>IF(OR(L860="",M860&lt;&gt;"Yes"),"",IF(COUNTIFS('Vault'!$C$6:$C$1005,"Quote",'Vault'!$D$6:$D$1005,L860)&gt;0,"✓","✗ missing"))</f>
        <v/>
      </c>
      <c r="Q860" s="78">
        <f>IF(N860="","",IF(AND(N860="✓",O860="✓",P860="✓"),"✓ Complete","Missing documents"))</f>
        <v/>
      </c>
      <c r="R860" s="79">
        <f>IF(Q860="","",IF(Q860="✓ Complete",0,1))</f>
        <v/>
      </c>
    </row>
    <row r="861" ht="20" customHeight="1">
      <c r="B861" s="72" t="n"/>
      <c r="C861" s="72" t="n"/>
      <c r="D861" s="72" t="n"/>
      <c r="E861" s="72" t="n"/>
      <c r="F861" s="72" t="n"/>
      <c r="G861" s="109" t="n"/>
      <c r="H861" s="72" t="n"/>
      <c r="I861" s="78">
        <f>IF(H861="","",HYPERLINK(H861,"Open ↗"))</f>
        <v/>
      </c>
      <c r="J861" s="72" t="n"/>
      <c r="L861" s="116">
        <f>IF('Contractors'!B861="","",'Contractors'!B861)</f>
        <v/>
      </c>
      <c r="M861" s="78">
        <f>IF(L861="","",'Contractors'!L861)</f>
        <v/>
      </c>
      <c r="N861" s="78">
        <f>IF(OR(L861="",M861&lt;&gt;"Yes"),"",IF(COUNTIFS('Vault'!$C$6:$C$1005,"Contract",'Vault'!$D$6:$D$1005,L861)&gt;0,"✓","✗ missing"))</f>
        <v/>
      </c>
      <c r="O861" s="78">
        <f>IF(OR(L861="",M861&lt;&gt;"Yes"),"",IF(COUNTIFS('Vault'!$C$6:$C$1005,"Insurance",'Vault'!$D$6:$D$1005,L861)&gt;0,"✓","✗ missing"))</f>
        <v/>
      </c>
      <c r="P861" s="78">
        <f>IF(OR(L861="",M861&lt;&gt;"Yes"),"",IF(COUNTIFS('Vault'!$C$6:$C$1005,"Quote",'Vault'!$D$6:$D$1005,L861)&gt;0,"✓","✗ missing"))</f>
        <v/>
      </c>
      <c r="Q861" s="78">
        <f>IF(N861="","",IF(AND(N861="✓",O861="✓",P861="✓"),"✓ Complete","Missing documents"))</f>
        <v/>
      </c>
      <c r="R861" s="79">
        <f>IF(Q861="","",IF(Q861="✓ Complete",0,1))</f>
        <v/>
      </c>
    </row>
    <row r="862" ht="20" customHeight="1">
      <c r="B862" s="72" t="n"/>
      <c r="C862" s="72" t="n"/>
      <c r="D862" s="72" t="n"/>
      <c r="E862" s="72" t="n"/>
      <c r="F862" s="72" t="n"/>
      <c r="G862" s="109" t="n"/>
      <c r="H862" s="72" t="n"/>
      <c r="I862" s="78">
        <f>IF(H862="","",HYPERLINK(H862,"Open ↗"))</f>
        <v/>
      </c>
      <c r="J862" s="72" t="n"/>
      <c r="L862" s="116">
        <f>IF('Contractors'!B862="","",'Contractors'!B862)</f>
        <v/>
      </c>
      <c r="M862" s="78">
        <f>IF(L862="","",'Contractors'!L862)</f>
        <v/>
      </c>
      <c r="N862" s="78">
        <f>IF(OR(L862="",M862&lt;&gt;"Yes"),"",IF(COUNTIFS('Vault'!$C$6:$C$1005,"Contract",'Vault'!$D$6:$D$1005,L862)&gt;0,"✓","✗ missing"))</f>
        <v/>
      </c>
      <c r="O862" s="78">
        <f>IF(OR(L862="",M862&lt;&gt;"Yes"),"",IF(COUNTIFS('Vault'!$C$6:$C$1005,"Insurance",'Vault'!$D$6:$D$1005,L862)&gt;0,"✓","✗ missing"))</f>
        <v/>
      </c>
      <c r="P862" s="78">
        <f>IF(OR(L862="",M862&lt;&gt;"Yes"),"",IF(COUNTIFS('Vault'!$C$6:$C$1005,"Quote",'Vault'!$D$6:$D$1005,L862)&gt;0,"✓","✗ missing"))</f>
        <v/>
      </c>
      <c r="Q862" s="78">
        <f>IF(N862="","",IF(AND(N862="✓",O862="✓",P862="✓"),"✓ Complete","Missing documents"))</f>
        <v/>
      </c>
      <c r="R862" s="79">
        <f>IF(Q862="","",IF(Q862="✓ Complete",0,1))</f>
        <v/>
      </c>
    </row>
    <row r="863" ht="20" customHeight="1">
      <c r="B863" s="72" t="n"/>
      <c r="C863" s="72" t="n"/>
      <c r="D863" s="72" t="n"/>
      <c r="E863" s="72" t="n"/>
      <c r="F863" s="72" t="n"/>
      <c r="G863" s="109" t="n"/>
      <c r="H863" s="72" t="n"/>
      <c r="I863" s="78">
        <f>IF(H863="","",HYPERLINK(H863,"Open ↗"))</f>
        <v/>
      </c>
      <c r="J863" s="72" t="n"/>
      <c r="L863" s="116">
        <f>IF('Contractors'!B863="","",'Contractors'!B863)</f>
        <v/>
      </c>
      <c r="M863" s="78">
        <f>IF(L863="","",'Contractors'!L863)</f>
        <v/>
      </c>
      <c r="N863" s="78">
        <f>IF(OR(L863="",M863&lt;&gt;"Yes"),"",IF(COUNTIFS('Vault'!$C$6:$C$1005,"Contract",'Vault'!$D$6:$D$1005,L863)&gt;0,"✓","✗ missing"))</f>
        <v/>
      </c>
      <c r="O863" s="78">
        <f>IF(OR(L863="",M863&lt;&gt;"Yes"),"",IF(COUNTIFS('Vault'!$C$6:$C$1005,"Insurance",'Vault'!$D$6:$D$1005,L863)&gt;0,"✓","✗ missing"))</f>
        <v/>
      </c>
      <c r="P863" s="78">
        <f>IF(OR(L863="",M863&lt;&gt;"Yes"),"",IF(COUNTIFS('Vault'!$C$6:$C$1005,"Quote",'Vault'!$D$6:$D$1005,L863)&gt;0,"✓","✗ missing"))</f>
        <v/>
      </c>
      <c r="Q863" s="78">
        <f>IF(N863="","",IF(AND(N863="✓",O863="✓",P863="✓"),"✓ Complete","Missing documents"))</f>
        <v/>
      </c>
      <c r="R863" s="79">
        <f>IF(Q863="","",IF(Q863="✓ Complete",0,1))</f>
        <v/>
      </c>
    </row>
    <row r="864" ht="20" customHeight="1">
      <c r="B864" s="72" t="n"/>
      <c r="C864" s="72" t="n"/>
      <c r="D864" s="72" t="n"/>
      <c r="E864" s="72" t="n"/>
      <c r="F864" s="72" t="n"/>
      <c r="G864" s="109" t="n"/>
      <c r="H864" s="72" t="n"/>
      <c r="I864" s="78">
        <f>IF(H864="","",HYPERLINK(H864,"Open ↗"))</f>
        <v/>
      </c>
      <c r="J864" s="72" t="n"/>
      <c r="L864" s="116">
        <f>IF('Contractors'!B864="","",'Contractors'!B864)</f>
        <v/>
      </c>
      <c r="M864" s="78">
        <f>IF(L864="","",'Contractors'!L864)</f>
        <v/>
      </c>
      <c r="N864" s="78">
        <f>IF(OR(L864="",M864&lt;&gt;"Yes"),"",IF(COUNTIFS('Vault'!$C$6:$C$1005,"Contract",'Vault'!$D$6:$D$1005,L864)&gt;0,"✓","✗ missing"))</f>
        <v/>
      </c>
      <c r="O864" s="78">
        <f>IF(OR(L864="",M864&lt;&gt;"Yes"),"",IF(COUNTIFS('Vault'!$C$6:$C$1005,"Insurance",'Vault'!$D$6:$D$1005,L864)&gt;0,"✓","✗ missing"))</f>
        <v/>
      </c>
      <c r="P864" s="78">
        <f>IF(OR(L864="",M864&lt;&gt;"Yes"),"",IF(COUNTIFS('Vault'!$C$6:$C$1005,"Quote",'Vault'!$D$6:$D$1005,L864)&gt;0,"✓","✗ missing"))</f>
        <v/>
      </c>
      <c r="Q864" s="78">
        <f>IF(N864="","",IF(AND(N864="✓",O864="✓",P864="✓"),"✓ Complete","Missing documents"))</f>
        <v/>
      </c>
      <c r="R864" s="79">
        <f>IF(Q864="","",IF(Q864="✓ Complete",0,1))</f>
        <v/>
      </c>
    </row>
    <row r="865" ht="20" customHeight="1">
      <c r="B865" s="72" t="n"/>
      <c r="C865" s="72" t="n"/>
      <c r="D865" s="72" t="n"/>
      <c r="E865" s="72" t="n"/>
      <c r="F865" s="72" t="n"/>
      <c r="G865" s="109" t="n"/>
      <c r="H865" s="72" t="n"/>
      <c r="I865" s="78">
        <f>IF(H865="","",HYPERLINK(H865,"Open ↗"))</f>
        <v/>
      </c>
      <c r="J865" s="72" t="n"/>
      <c r="L865" s="116">
        <f>IF('Contractors'!B865="","",'Contractors'!B865)</f>
        <v/>
      </c>
      <c r="M865" s="78">
        <f>IF(L865="","",'Contractors'!L865)</f>
        <v/>
      </c>
      <c r="N865" s="78">
        <f>IF(OR(L865="",M865&lt;&gt;"Yes"),"",IF(COUNTIFS('Vault'!$C$6:$C$1005,"Contract",'Vault'!$D$6:$D$1005,L865)&gt;0,"✓","✗ missing"))</f>
        <v/>
      </c>
      <c r="O865" s="78">
        <f>IF(OR(L865="",M865&lt;&gt;"Yes"),"",IF(COUNTIFS('Vault'!$C$6:$C$1005,"Insurance",'Vault'!$D$6:$D$1005,L865)&gt;0,"✓","✗ missing"))</f>
        <v/>
      </c>
      <c r="P865" s="78">
        <f>IF(OR(L865="",M865&lt;&gt;"Yes"),"",IF(COUNTIFS('Vault'!$C$6:$C$1005,"Quote",'Vault'!$D$6:$D$1005,L865)&gt;0,"✓","✗ missing"))</f>
        <v/>
      </c>
      <c r="Q865" s="78">
        <f>IF(N865="","",IF(AND(N865="✓",O865="✓",P865="✓"),"✓ Complete","Missing documents"))</f>
        <v/>
      </c>
      <c r="R865" s="79">
        <f>IF(Q865="","",IF(Q865="✓ Complete",0,1))</f>
        <v/>
      </c>
    </row>
    <row r="866" ht="20" customHeight="1">
      <c r="B866" s="72" t="n"/>
      <c r="C866" s="72" t="n"/>
      <c r="D866" s="72" t="n"/>
      <c r="E866" s="72" t="n"/>
      <c r="F866" s="72" t="n"/>
      <c r="G866" s="109" t="n"/>
      <c r="H866" s="72" t="n"/>
      <c r="I866" s="78">
        <f>IF(H866="","",HYPERLINK(H866,"Open ↗"))</f>
        <v/>
      </c>
      <c r="J866" s="72" t="n"/>
      <c r="L866" s="116">
        <f>IF('Contractors'!B866="","",'Contractors'!B866)</f>
        <v/>
      </c>
      <c r="M866" s="78">
        <f>IF(L866="","",'Contractors'!L866)</f>
        <v/>
      </c>
      <c r="N866" s="78">
        <f>IF(OR(L866="",M866&lt;&gt;"Yes"),"",IF(COUNTIFS('Vault'!$C$6:$C$1005,"Contract",'Vault'!$D$6:$D$1005,L866)&gt;0,"✓","✗ missing"))</f>
        <v/>
      </c>
      <c r="O866" s="78">
        <f>IF(OR(L866="",M866&lt;&gt;"Yes"),"",IF(COUNTIFS('Vault'!$C$6:$C$1005,"Insurance",'Vault'!$D$6:$D$1005,L866)&gt;0,"✓","✗ missing"))</f>
        <v/>
      </c>
      <c r="P866" s="78">
        <f>IF(OR(L866="",M866&lt;&gt;"Yes"),"",IF(COUNTIFS('Vault'!$C$6:$C$1005,"Quote",'Vault'!$D$6:$D$1005,L866)&gt;0,"✓","✗ missing"))</f>
        <v/>
      </c>
      <c r="Q866" s="78">
        <f>IF(N866="","",IF(AND(N866="✓",O866="✓",P866="✓"),"✓ Complete","Missing documents"))</f>
        <v/>
      </c>
      <c r="R866" s="79">
        <f>IF(Q866="","",IF(Q866="✓ Complete",0,1))</f>
        <v/>
      </c>
    </row>
    <row r="867" ht="20" customHeight="1">
      <c r="B867" s="72" t="n"/>
      <c r="C867" s="72" t="n"/>
      <c r="D867" s="72" t="n"/>
      <c r="E867" s="72" t="n"/>
      <c r="F867" s="72" t="n"/>
      <c r="G867" s="109" t="n"/>
      <c r="H867" s="72" t="n"/>
      <c r="I867" s="78">
        <f>IF(H867="","",HYPERLINK(H867,"Open ↗"))</f>
        <v/>
      </c>
      <c r="J867" s="72" t="n"/>
      <c r="L867" s="116">
        <f>IF('Contractors'!B867="","",'Contractors'!B867)</f>
        <v/>
      </c>
      <c r="M867" s="78">
        <f>IF(L867="","",'Contractors'!L867)</f>
        <v/>
      </c>
      <c r="N867" s="78">
        <f>IF(OR(L867="",M867&lt;&gt;"Yes"),"",IF(COUNTIFS('Vault'!$C$6:$C$1005,"Contract",'Vault'!$D$6:$D$1005,L867)&gt;0,"✓","✗ missing"))</f>
        <v/>
      </c>
      <c r="O867" s="78">
        <f>IF(OR(L867="",M867&lt;&gt;"Yes"),"",IF(COUNTIFS('Vault'!$C$6:$C$1005,"Insurance",'Vault'!$D$6:$D$1005,L867)&gt;0,"✓","✗ missing"))</f>
        <v/>
      </c>
      <c r="P867" s="78">
        <f>IF(OR(L867="",M867&lt;&gt;"Yes"),"",IF(COUNTIFS('Vault'!$C$6:$C$1005,"Quote",'Vault'!$D$6:$D$1005,L867)&gt;0,"✓","✗ missing"))</f>
        <v/>
      </c>
      <c r="Q867" s="78">
        <f>IF(N867="","",IF(AND(N867="✓",O867="✓",P867="✓"),"✓ Complete","Missing documents"))</f>
        <v/>
      </c>
      <c r="R867" s="79">
        <f>IF(Q867="","",IF(Q867="✓ Complete",0,1))</f>
        <v/>
      </c>
    </row>
    <row r="868" ht="20" customHeight="1">
      <c r="B868" s="72" t="n"/>
      <c r="C868" s="72" t="n"/>
      <c r="D868" s="72" t="n"/>
      <c r="E868" s="72" t="n"/>
      <c r="F868" s="72" t="n"/>
      <c r="G868" s="109" t="n"/>
      <c r="H868" s="72" t="n"/>
      <c r="I868" s="78">
        <f>IF(H868="","",HYPERLINK(H868,"Open ↗"))</f>
        <v/>
      </c>
      <c r="J868" s="72" t="n"/>
      <c r="L868" s="116">
        <f>IF('Contractors'!B868="","",'Contractors'!B868)</f>
        <v/>
      </c>
      <c r="M868" s="78">
        <f>IF(L868="","",'Contractors'!L868)</f>
        <v/>
      </c>
      <c r="N868" s="78">
        <f>IF(OR(L868="",M868&lt;&gt;"Yes"),"",IF(COUNTIFS('Vault'!$C$6:$C$1005,"Contract",'Vault'!$D$6:$D$1005,L868)&gt;0,"✓","✗ missing"))</f>
        <v/>
      </c>
      <c r="O868" s="78">
        <f>IF(OR(L868="",M868&lt;&gt;"Yes"),"",IF(COUNTIFS('Vault'!$C$6:$C$1005,"Insurance",'Vault'!$D$6:$D$1005,L868)&gt;0,"✓","✗ missing"))</f>
        <v/>
      </c>
      <c r="P868" s="78">
        <f>IF(OR(L868="",M868&lt;&gt;"Yes"),"",IF(COUNTIFS('Vault'!$C$6:$C$1005,"Quote",'Vault'!$D$6:$D$1005,L868)&gt;0,"✓","✗ missing"))</f>
        <v/>
      </c>
      <c r="Q868" s="78">
        <f>IF(N868="","",IF(AND(N868="✓",O868="✓",P868="✓"),"✓ Complete","Missing documents"))</f>
        <v/>
      </c>
      <c r="R868" s="79">
        <f>IF(Q868="","",IF(Q868="✓ Complete",0,1))</f>
        <v/>
      </c>
    </row>
    <row r="869" ht="20" customHeight="1">
      <c r="B869" s="72" t="n"/>
      <c r="C869" s="72" t="n"/>
      <c r="D869" s="72" t="n"/>
      <c r="E869" s="72" t="n"/>
      <c r="F869" s="72" t="n"/>
      <c r="G869" s="109" t="n"/>
      <c r="H869" s="72" t="n"/>
      <c r="I869" s="78">
        <f>IF(H869="","",HYPERLINK(H869,"Open ↗"))</f>
        <v/>
      </c>
      <c r="J869" s="72" t="n"/>
      <c r="L869" s="116">
        <f>IF('Contractors'!B869="","",'Contractors'!B869)</f>
        <v/>
      </c>
      <c r="M869" s="78">
        <f>IF(L869="","",'Contractors'!L869)</f>
        <v/>
      </c>
      <c r="N869" s="78">
        <f>IF(OR(L869="",M869&lt;&gt;"Yes"),"",IF(COUNTIFS('Vault'!$C$6:$C$1005,"Contract",'Vault'!$D$6:$D$1005,L869)&gt;0,"✓","✗ missing"))</f>
        <v/>
      </c>
      <c r="O869" s="78">
        <f>IF(OR(L869="",M869&lt;&gt;"Yes"),"",IF(COUNTIFS('Vault'!$C$6:$C$1005,"Insurance",'Vault'!$D$6:$D$1005,L869)&gt;0,"✓","✗ missing"))</f>
        <v/>
      </c>
      <c r="P869" s="78">
        <f>IF(OR(L869="",M869&lt;&gt;"Yes"),"",IF(COUNTIFS('Vault'!$C$6:$C$1005,"Quote",'Vault'!$D$6:$D$1005,L869)&gt;0,"✓","✗ missing"))</f>
        <v/>
      </c>
      <c r="Q869" s="78">
        <f>IF(N869="","",IF(AND(N869="✓",O869="✓",P869="✓"),"✓ Complete","Missing documents"))</f>
        <v/>
      </c>
      <c r="R869" s="79">
        <f>IF(Q869="","",IF(Q869="✓ Complete",0,1))</f>
        <v/>
      </c>
    </row>
    <row r="870" ht="20" customHeight="1">
      <c r="B870" s="72" t="n"/>
      <c r="C870" s="72" t="n"/>
      <c r="D870" s="72" t="n"/>
      <c r="E870" s="72" t="n"/>
      <c r="F870" s="72" t="n"/>
      <c r="G870" s="109" t="n"/>
      <c r="H870" s="72" t="n"/>
      <c r="I870" s="78">
        <f>IF(H870="","",HYPERLINK(H870,"Open ↗"))</f>
        <v/>
      </c>
      <c r="J870" s="72" t="n"/>
      <c r="L870" s="116">
        <f>IF('Contractors'!B870="","",'Contractors'!B870)</f>
        <v/>
      </c>
      <c r="M870" s="78">
        <f>IF(L870="","",'Contractors'!L870)</f>
        <v/>
      </c>
      <c r="N870" s="78">
        <f>IF(OR(L870="",M870&lt;&gt;"Yes"),"",IF(COUNTIFS('Vault'!$C$6:$C$1005,"Contract",'Vault'!$D$6:$D$1005,L870)&gt;0,"✓","✗ missing"))</f>
        <v/>
      </c>
      <c r="O870" s="78">
        <f>IF(OR(L870="",M870&lt;&gt;"Yes"),"",IF(COUNTIFS('Vault'!$C$6:$C$1005,"Insurance",'Vault'!$D$6:$D$1005,L870)&gt;0,"✓","✗ missing"))</f>
        <v/>
      </c>
      <c r="P870" s="78">
        <f>IF(OR(L870="",M870&lt;&gt;"Yes"),"",IF(COUNTIFS('Vault'!$C$6:$C$1005,"Quote",'Vault'!$D$6:$D$1005,L870)&gt;0,"✓","✗ missing"))</f>
        <v/>
      </c>
      <c r="Q870" s="78">
        <f>IF(N870="","",IF(AND(N870="✓",O870="✓",P870="✓"),"✓ Complete","Missing documents"))</f>
        <v/>
      </c>
      <c r="R870" s="79">
        <f>IF(Q870="","",IF(Q870="✓ Complete",0,1))</f>
        <v/>
      </c>
    </row>
    <row r="871" ht="20" customHeight="1">
      <c r="B871" s="72" t="n"/>
      <c r="C871" s="72" t="n"/>
      <c r="D871" s="72" t="n"/>
      <c r="E871" s="72" t="n"/>
      <c r="F871" s="72" t="n"/>
      <c r="G871" s="109" t="n"/>
      <c r="H871" s="72" t="n"/>
      <c r="I871" s="78">
        <f>IF(H871="","",HYPERLINK(H871,"Open ↗"))</f>
        <v/>
      </c>
      <c r="J871" s="72" t="n"/>
      <c r="L871" s="116">
        <f>IF('Contractors'!B871="","",'Contractors'!B871)</f>
        <v/>
      </c>
      <c r="M871" s="78">
        <f>IF(L871="","",'Contractors'!L871)</f>
        <v/>
      </c>
      <c r="N871" s="78">
        <f>IF(OR(L871="",M871&lt;&gt;"Yes"),"",IF(COUNTIFS('Vault'!$C$6:$C$1005,"Contract",'Vault'!$D$6:$D$1005,L871)&gt;0,"✓","✗ missing"))</f>
        <v/>
      </c>
      <c r="O871" s="78">
        <f>IF(OR(L871="",M871&lt;&gt;"Yes"),"",IF(COUNTIFS('Vault'!$C$6:$C$1005,"Insurance",'Vault'!$D$6:$D$1005,L871)&gt;0,"✓","✗ missing"))</f>
        <v/>
      </c>
      <c r="P871" s="78">
        <f>IF(OR(L871="",M871&lt;&gt;"Yes"),"",IF(COUNTIFS('Vault'!$C$6:$C$1005,"Quote",'Vault'!$D$6:$D$1005,L871)&gt;0,"✓","✗ missing"))</f>
        <v/>
      </c>
      <c r="Q871" s="78">
        <f>IF(N871="","",IF(AND(N871="✓",O871="✓",P871="✓"),"✓ Complete","Missing documents"))</f>
        <v/>
      </c>
      <c r="R871" s="79">
        <f>IF(Q871="","",IF(Q871="✓ Complete",0,1))</f>
        <v/>
      </c>
    </row>
    <row r="872" ht="20" customHeight="1">
      <c r="B872" s="72" t="n"/>
      <c r="C872" s="72" t="n"/>
      <c r="D872" s="72" t="n"/>
      <c r="E872" s="72" t="n"/>
      <c r="F872" s="72" t="n"/>
      <c r="G872" s="109" t="n"/>
      <c r="H872" s="72" t="n"/>
      <c r="I872" s="78">
        <f>IF(H872="","",HYPERLINK(H872,"Open ↗"))</f>
        <v/>
      </c>
      <c r="J872" s="72" t="n"/>
      <c r="L872" s="116">
        <f>IF('Contractors'!B872="","",'Contractors'!B872)</f>
        <v/>
      </c>
      <c r="M872" s="78">
        <f>IF(L872="","",'Contractors'!L872)</f>
        <v/>
      </c>
      <c r="N872" s="78">
        <f>IF(OR(L872="",M872&lt;&gt;"Yes"),"",IF(COUNTIFS('Vault'!$C$6:$C$1005,"Contract",'Vault'!$D$6:$D$1005,L872)&gt;0,"✓","✗ missing"))</f>
        <v/>
      </c>
      <c r="O872" s="78">
        <f>IF(OR(L872="",M872&lt;&gt;"Yes"),"",IF(COUNTIFS('Vault'!$C$6:$C$1005,"Insurance",'Vault'!$D$6:$D$1005,L872)&gt;0,"✓","✗ missing"))</f>
        <v/>
      </c>
      <c r="P872" s="78">
        <f>IF(OR(L872="",M872&lt;&gt;"Yes"),"",IF(COUNTIFS('Vault'!$C$6:$C$1005,"Quote",'Vault'!$D$6:$D$1005,L872)&gt;0,"✓","✗ missing"))</f>
        <v/>
      </c>
      <c r="Q872" s="78">
        <f>IF(N872="","",IF(AND(N872="✓",O872="✓",P872="✓"),"✓ Complete","Missing documents"))</f>
        <v/>
      </c>
      <c r="R872" s="79">
        <f>IF(Q872="","",IF(Q872="✓ Complete",0,1))</f>
        <v/>
      </c>
    </row>
    <row r="873" ht="20" customHeight="1">
      <c r="B873" s="72" t="n"/>
      <c r="C873" s="72" t="n"/>
      <c r="D873" s="72" t="n"/>
      <c r="E873" s="72" t="n"/>
      <c r="F873" s="72" t="n"/>
      <c r="G873" s="109" t="n"/>
      <c r="H873" s="72" t="n"/>
      <c r="I873" s="78">
        <f>IF(H873="","",HYPERLINK(H873,"Open ↗"))</f>
        <v/>
      </c>
      <c r="J873" s="72" t="n"/>
      <c r="L873" s="116">
        <f>IF('Contractors'!B873="","",'Contractors'!B873)</f>
        <v/>
      </c>
      <c r="M873" s="78">
        <f>IF(L873="","",'Contractors'!L873)</f>
        <v/>
      </c>
      <c r="N873" s="78">
        <f>IF(OR(L873="",M873&lt;&gt;"Yes"),"",IF(COUNTIFS('Vault'!$C$6:$C$1005,"Contract",'Vault'!$D$6:$D$1005,L873)&gt;0,"✓","✗ missing"))</f>
        <v/>
      </c>
      <c r="O873" s="78">
        <f>IF(OR(L873="",M873&lt;&gt;"Yes"),"",IF(COUNTIFS('Vault'!$C$6:$C$1005,"Insurance",'Vault'!$D$6:$D$1005,L873)&gt;0,"✓","✗ missing"))</f>
        <v/>
      </c>
      <c r="P873" s="78">
        <f>IF(OR(L873="",M873&lt;&gt;"Yes"),"",IF(COUNTIFS('Vault'!$C$6:$C$1005,"Quote",'Vault'!$D$6:$D$1005,L873)&gt;0,"✓","✗ missing"))</f>
        <v/>
      </c>
      <c r="Q873" s="78">
        <f>IF(N873="","",IF(AND(N873="✓",O873="✓",P873="✓"),"✓ Complete","Missing documents"))</f>
        <v/>
      </c>
      <c r="R873" s="79">
        <f>IF(Q873="","",IF(Q873="✓ Complete",0,1))</f>
        <v/>
      </c>
    </row>
    <row r="874" ht="20" customHeight="1">
      <c r="B874" s="72" t="n"/>
      <c r="C874" s="72" t="n"/>
      <c r="D874" s="72" t="n"/>
      <c r="E874" s="72" t="n"/>
      <c r="F874" s="72" t="n"/>
      <c r="G874" s="109" t="n"/>
      <c r="H874" s="72" t="n"/>
      <c r="I874" s="78">
        <f>IF(H874="","",HYPERLINK(H874,"Open ↗"))</f>
        <v/>
      </c>
      <c r="J874" s="72" t="n"/>
      <c r="L874" s="116">
        <f>IF('Contractors'!B874="","",'Contractors'!B874)</f>
        <v/>
      </c>
      <c r="M874" s="78">
        <f>IF(L874="","",'Contractors'!L874)</f>
        <v/>
      </c>
      <c r="N874" s="78">
        <f>IF(OR(L874="",M874&lt;&gt;"Yes"),"",IF(COUNTIFS('Vault'!$C$6:$C$1005,"Contract",'Vault'!$D$6:$D$1005,L874)&gt;0,"✓","✗ missing"))</f>
        <v/>
      </c>
      <c r="O874" s="78">
        <f>IF(OR(L874="",M874&lt;&gt;"Yes"),"",IF(COUNTIFS('Vault'!$C$6:$C$1005,"Insurance",'Vault'!$D$6:$D$1005,L874)&gt;0,"✓","✗ missing"))</f>
        <v/>
      </c>
      <c r="P874" s="78">
        <f>IF(OR(L874="",M874&lt;&gt;"Yes"),"",IF(COUNTIFS('Vault'!$C$6:$C$1005,"Quote",'Vault'!$D$6:$D$1005,L874)&gt;0,"✓","✗ missing"))</f>
        <v/>
      </c>
      <c r="Q874" s="78">
        <f>IF(N874="","",IF(AND(N874="✓",O874="✓",P874="✓"),"✓ Complete","Missing documents"))</f>
        <v/>
      </c>
      <c r="R874" s="79">
        <f>IF(Q874="","",IF(Q874="✓ Complete",0,1))</f>
        <v/>
      </c>
    </row>
    <row r="875" ht="20" customHeight="1">
      <c r="B875" s="72" t="n"/>
      <c r="C875" s="72" t="n"/>
      <c r="D875" s="72" t="n"/>
      <c r="E875" s="72" t="n"/>
      <c r="F875" s="72" t="n"/>
      <c r="G875" s="109" t="n"/>
      <c r="H875" s="72" t="n"/>
      <c r="I875" s="78">
        <f>IF(H875="","",HYPERLINK(H875,"Open ↗"))</f>
        <v/>
      </c>
      <c r="J875" s="72" t="n"/>
      <c r="L875" s="116">
        <f>IF('Contractors'!B875="","",'Contractors'!B875)</f>
        <v/>
      </c>
      <c r="M875" s="78">
        <f>IF(L875="","",'Contractors'!L875)</f>
        <v/>
      </c>
      <c r="N875" s="78">
        <f>IF(OR(L875="",M875&lt;&gt;"Yes"),"",IF(COUNTIFS('Vault'!$C$6:$C$1005,"Contract",'Vault'!$D$6:$D$1005,L875)&gt;0,"✓","✗ missing"))</f>
        <v/>
      </c>
      <c r="O875" s="78">
        <f>IF(OR(L875="",M875&lt;&gt;"Yes"),"",IF(COUNTIFS('Vault'!$C$6:$C$1005,"Insurance",'Vault'!$D$6:$D$1005,L875)&gt;0,"✓","✗ missing"))</f>
        <v/>
      </c>
      <c r="P875" s="78">
        <f>IF(OR(L875="",M875&lt;&gt;"Yes"),"",IF(COUNTIFS('Vault'!$C$6:$C$1005,"Quote",'Vault'!$D$6:$D$1005,L875)&gt;0,"✓","✗ missing"))</f>
        <v/>
      </c>
      <c r="Q875" s="78">
        <f>IF(N875="","",IF(AND(N875="✓",O875="✓",P875="✓"),"✓ Complete","Missing documents"))</f>
        <v/>
      </c>
      <c r="R875" s="79">
        <f>IF(Q875="","",IF(Q875="✓ Complete",0,1))</f>
        <v/>
      </c>
    </row>
    <row r="876" ht="20" customHeight="1">
      <c r="B876" s="72" t="n"/>
      <c r="C876" s="72" t="n"/>
      <c r="D876" s="72" t="n"/>
      <c r="E876" s="72" t="n"/>
      <c r="F876" s="72" t="n"/>
      <c r="G876" s="109" t="n"/>
      <c r="H876" s="72" t="n"/>
      <c r="I876" s="78">
        <f>IF(H876="","",HYPERLINK(H876,"Open ↗"))</f>
        <v/>
      </c>
      <c r="J876" s="72" t="n"/>
      <c r="L876" s="116">
        <f>IF('Contractors'!B876="","",'Contractors'!B876)</f>
        <v/>
      </c>
      <c r="M876" s="78">
        <f>IF(L876="","",'Contractors'!L876)</f>
        <v/>
      </c>
      <c r="N876" s="78">
        <f>IF(OR(L876="",M876&lt;&gt;"Yes"),"",IF(COUNTIFS('Vault'!$C$6:$C$1005,"Contract",'Vault'!$D$6:$D$1005,L876)&gt;0,"✓","✗ missing"))</f>
        <v/>
      </c>
      <c r="O876" s="78">
        <f>IF(OR(L876="",M876&lt;&gt;"Yes"),"",IF(COUNTIFS('Vault'!$C$6:$C$1005,"Insurance",'Vault'!$D$6:$D$1005,L876)&gt;0,"✓","✗ missing"))</f>
        <v/>
      </c>
      <c r="P876" s="78">
        <f>IF(OR(L876="",M876&lt;&gt;"Yes"),"",IF(COUNTIFS('Vault'!$C$6:$C$1005,"Quote",'Vault'!$D$6:$D$1005,L876)&gt;0,"✓","✗ missing"))</f>
        <v/>
      </c>
      <c r="Q876" s="78">
        <f>IF(N876="","",IF(AND(N876="✓",O876="✓",P876="✓"),"✓ Complete","Missing documents"))</f>
        <v/>
      </c>
      <c r="R876" s="79">
        <f>IF(Q876="","",IF(Q876="✓ Complete",0,1))</f>
        <v/>
      </c>
    </row>
    <row r="877" ht="20" customHeight="1">
      <c r="B877" s="72" t="n"/>
      <c r="C877" s="72" t="n"/>
      <c r="D877" s="72" t="n"/>
      <c r="E877" s="72" t="n"/>
      <c r="F877" s="72" t="n"/>
      <c r="G877" s="109" t="n"/>
      <c r="H877" s="72" t="n"/>
      <c r="I877" s="78">
        <f>IF(H877="","",HYPERLINK(H877,"Open ↗"))</f>
        <v/>
      </c>
      <c r="J877" s="72" t="n"/>
      <c r="L877" s="116">
        <f>IF('Contractors'!B877="","",'Contractors'!B877)</f>
        <v/>
      </c>
      <c r="M877" s="78">
        <f>IF(L877="","",'Contractors'!L877)</f>
        <v/>
      </c>
      <c r="N877" s="78">
        <f>IF(OR(L877="",M877&lt;&gt;"Yes"),"",IF(COUNTIFS('Vault'!$C$6:$C$1005,"Contract",'Vault'!$D$6:$D$1005,L877)&gt;0,"✓","✗ missing"))</f>
        <v/>
      </c>
      <c r="O877" s="78">
        <f>IF(OR(L877="",M877&lt;&gt;"Yes"),"",IF(COUNTIFS('Vault'!$C$6:$C$1005,"Insurance",'Vault'!$D$6:$D$1005,L877)&gt;0,"✓","✗ missing"))</f>
        <v/>
      </c>
      <c r="P877" s="78">
        <f>IF(OR(L877="",M877&lt;&gt;"Yes"),"",IF(COUNTIFS('Vault'!$C$6:$C$1005,"Quote",'Vault'!$D$6:$D$1005,L877)&gt;0,"✓","✗ missing"))</f>
        <v/>
      </c>
      <c r="Q877" s="78">
        <f>IF(N877="","",IF(AND(N877="✓",O877="✓",P877="✓"),"✓ Complete","Missing documents"))</f>
        <v/>
      </c>
      <c r="R877" s="79">
        <f>IF(Q877="","",IF(Q877="✓ Complete",0,1))</f>
        <v/>
      </c>
    </row>
    <row r="878" ht="20" customHeight="1">
      <c r="B878" s="72" t="n"/>
      <c r="C878" s="72" t="n"/>
      <c r="D878" s="72" t="n"/>
      <c r="E878" s="72" t="n"/>
      <c r="F878" s="72" t="n"/>
      <c r="G878" s="109" t="n"/>
      <c r="H878" s="72" t="n"/>
      <c r="I878" s="78">
        <f>IF(H878="","",HYPERLINK(H878,"Open ↗"))</f>
        <v/>
      </c>
      <c r="J878" s="72" t="n"/>
      <c r="L878" s="116">
        <f>IF('Contractors'!B878="","",'Contractors'!B878)</f>
        <v/>
      </c>
      <c r="M878" s="78">
        <f>IF(L878="","",'Contractors'!L878)</f>
        <v/>
      </c>
      <c r="N878" s="78">
        <f>IF(OR(L878="",M878&lt;&gt;"Yes"),"",IF(COUNTIFS('Vault'!$C$6:$C$1005,"Contract",'Vault'!$D$6:$D$1005,L878)&gt;0,"✓","✗ missing"))</f>
        <v/>
      </c>
      <c r="O878" s="78">
        <f>IF(OR(L878="",M878&lt;&gt;"Yes"),"",IF(COUNTIFS('Vault'!$C$6:$C$1005,"Insurance",'Vault'!$D$6:$D$1005,L878)&gt;0,"✓","✗ missing"))</f>
        <v/>
      </c>
      <c r="P878" s="78">
        <f>IF(OR(L878="",M878&lt;&gt;"Yes"),"",IF(COUNTIFS('Vault'!$C$6:$C$1005,"Quote",'Vault'!$D$6:$D$1005,L878)&gt;0,"✓","✗ missing"))</f>
        <v/>
      </c>
      <c r="Q878" s="78">
        <f>IF(N878="","",IF(AND(N878="✓",O878="✓",P878="✓"),"✓ Complete","Missing documents"))</f>
        <v/>
      </c>
      <c r="R878" s="79">
        <f>IF(Q878="","",IF(Q878="✓ Complete",0,1))</f>
        <v/>
      </c>
    </row>
    <row r="879" ht="20" customHeight="1">
      <c r="B879" s="72" t="n"/>
      <c r="C879" s="72" t="n"/>
      <c r="D879" s="72" t="n"/>
      <c r="E879" s="72" t="n"/>
      <c r="F879" s="72" t="n"/>
      <c r="G879" s="109" t="n"/>
      <c r="H879" s="72" t="n"/>
      <c r="I879" s="78">
        <f>IF(H879="","",HYPERLINK(H879,"Open ↗"))</f>
        <v/>
      </c>
      <c r="J879" s="72" t="n"/>
      <c r="L879" s="116">
        <f>IF('Contractors'!B879="","",'Contractors'!B879)</f>
        <v/>
      </c>
      <c r="M879" s="78">
        <f>IF(L879="","",'Contractors'!L879)</f>
        <v/>
      </c>
      <c r="N879" s="78">
        <f>IF(OR(L879="",M879&lt;&gt;"Yes"),"",IF(COUNTIFS('Vault'!$C$6:$C$1005,"Contract",'Vault'!$D$6:$D$1005,L879)&gt;0,"✓","✗ missing"))</f>
        <v/>
      </c>
      <c r="O879" s="78">
        <f>IF(OR(L879="",M879&lt;&gt;"Yes"),"",IF(COUNTIFS('Vault'!$C$6:$C$1005,"Insurance",'Vault'!$D$6:$D$1005,L879)&gt;0,"✓","✗ missing"))</f>
        <v/>
      </c>
      <c r="P879" s="78">
        <f>IF(OR(L879="",M879&lt;&gt;"Yes"),"",IF(COUNTIFS('Vault'!$C$6:$C$1005,"Quote",'Vault'!$D$6:$D$1005,L879)&gt;0,"✓","✗ missing"))</f>
        <v/>
      </c>
      <c r="Q879" s="78">
        <f>IF(N879="","",IF(AND(N879="✓",O879="✓",P879="✓"),"✓ Complete","Missing documents"))</f>
        <v/>
      </c>
      <c r="R879" s="79">
        <f>IF(Q879="","",IF(Q879="✓ Complete",0,1))</f>
        <v/>
      </c>
    </row>
    <row r="880" ht="20" customHeight="1">
      <c r="B880" s="72" t="n"/>
      <c r="C880" s="72" t="n"/>
      <c r="D880" s="72" t="n"/>
      <c r="E880" s="72" t="n"/>
      <c r="F880" s="72" t="n"/>
      <c r="G880" s="109" t="n"/>
      <c r="H880" s="72" t="n"/>
      <c r="I880" s="78">
        <f>IF(H880="","",HYPERLINK(H880,"Open ↗"))</f>
        <v/>
      </c>
      <c r="J880" s="72" t="n"/>
      <c r="L880" s="116">
        <f>IF('Contractors'!B880="","",'Contractors'!B880)</f>
        <v/>
      </c>
      <c r="M880" s="78">
        <f>IF(L880="","",'Contractors'!L880)</f>
        <v/>
      </c>
      <c r="N880" s="78">
        <f>IF(OR(L880="",M880&lt;&gt;"Yes"),"",IF(COUNTIFS('Vault'!$C$6:$C$1005,"Contract",'Vault'!$D$6:$D$1005,L880)&gt;0,"✓","✗ missing"))</f>
        <v/>
      </c>
      <c r="O880" s="78">
        <f>IF(OR(L880="",M880&lt;&gt;"Yes"),"",IF(COUNTIFS('Vault'!$C$6:$C$1005,"Insurance",'Vault'!$D$6:$D$1005,L880)&gt;0,"✓","✗ missing"))</f>
        <v/>
      </c>
      <c r="P880" s="78">
        <f>IF(OR(L880="",M880&lt;&gt;"Yes"),"",IF(COUNTIFS('Vault'!$C$6:$C$1005,"Quote",'Vault'!$D$6:$D$1005,L880)&gt;0,"✓","✗ missing"))</f>
        <v/>
      </c>
      <c r="Q880" s="78">
        <f>IF(N880="","",IF(AND(N880="✓",O880="✓",P880="✓"),"✓ Complete","Missing documents"))</f>
        <v/>
      </c>
      <c r="R880" s="79">
        <f>IF(Q880="","",IF(Q880="✓ Complete",0,1))</f>
        <v/>
      </c>
    </row>
    <row r="881" ht="20" customHeight="1">
      <c r="B881" s="72" t="n"/>
      <c r="C881" s="72" t="n"/>
      <c r="D881" s="72" t="n"/>
      <c r="E881" s="72" t="n"/>
      <c r="F881" s="72" t="n"/>
      <c r="G881" s="109" t="n"/>
      <c r="H881" s="72" t="n"/>
      <c r="I881" s="78">
        <f>IF(H881="","",HYPERLINK(H881,"Open ↗"))</f>
        <v/>
      </c>
      <c r="J881" s="72" t="n"/>
      <c r="L881" s="116">
        <f>IF('Contractors'!B881="","",'Contractors'!B881)</f>
        <v/>
      </c>
      <c r="M881" s="78">
        <f>IF(L881="","",'Contractors'!L881)</f>
        <v/>
      </c>
      <c r="N881" s="78">
        <f>IF(OR(L881="",M881&lt;&gt;"Yes"),"",IF(COUNTIFS('Vault'!$C$6:$C$1005,"Contract",'Vault'!$D$6:$D$1005,L881)&gt;0,"✓","✗ missing"))</f>
        <v/>
      </c>
      <c r="O881" s="78">
        <f>IF(OR(L881="",M881&lt;&gt;"Yes"),"",IF(COUNTIFS('Vault'!$C$6:$C$1005,"Insurance",'Vault'!$D$6:$D$1005,L881)&gt;0,"✓","✗ missing"))</f>
        <v/>
      </c>
      <c r="P881" s="78">
        <f>IF(OR(L881="",M881&lt;&gt;"Yes"),"",IF(COUNTIFS('Vault'!$C$6:$C$1005,"Quote",'Vault'!$D$6:$D$1005,L881)&gt;0,"✓","✗ missing"))</f>
        <v/>
      </c>
      <c r="Q881" s="78">
        <f>IF(N881="","",IF(AND(N881="✓",O881="✓",P881="✓"),"✓ Complete","Missing documents"))</f>
        <v/>
      </c>
      <c r="R881" s="79">
        <f>IF(Q881="","",IF(Q881="✓ Complete",0,1))</f>
        <v/>
      </c>
    </row>
    <row r="882" ht="20" customHeight="1">
      <c r="B882" s="72" t="n"/>
      <c r="C882" s="72" t="n"/>
      <c r="D882" s="72" t="n"/>
      <c r="E882" s="72" t="n"/>
      <c r="F882" s="72" t="n"/>
      <c r="G882" s="109" t="n"/>
      <c r="H882" s="72" t="n"/>
      <c r="I882" s="78">
        <f>IF(H882="","",HYPERLINK(H882,"Open ↗"))</f>
        <v/>
      </c>
      <c r="J882" s="72" t="n"/>
      <c r="L882" s="116">
        <f>IF('Contractors'!B882="","",'Contractors'!B882)</f>
        <v/>
      </c>
      <c r="M882" s="78">
        <f>IF(L882="","",'Contractors'!L882)</f>
        <v/>
      </c>
      <c r="N882" s="78">
        <f>IF(OR(L882="",M882&lt;&gt;"Yes"),"",IF(COUNTIFS('Vault'!$C$6:$C$1005,"Contract",'Vault'!$D$6:$D$1005,L882)&gt;0,"✓","✗ missing"))</f>
        <v/>
      </c>
      <c r="O882" s="78">
        <f>IF(OR(L882="",M882&lt;&gt;"Yes"),"",IF(COUNTIFS('Vault'!$C$6:$C$1005,"Insurance",'Vault'!$D$6:$D$1005,L882)&gt;0,"✓","✗ missing"))</f>
        <v/>
      </c>
      <c r="P882" s="78">
        <f>IF(OR(L882="",M882&lt;&gt;"Yes"),"",IF(COUNTIFS('Vault'!$C$6:$C$1005,"Quote",'Vault'!$D$6:$D$1005,L882)&gt;0,"✓","✗ missing"))</f>
        <v/>
      </c>
      <c r="Q882" s="78">
        <f>IF(N882="","",IF(AND(N882="✓",O882="✓",P882="✓"),"✓ Complete","Missing documents"))</f>
        <v/>
      </c>
      <c r="R882" s="79">
        <f>IF(Q882="","",IF(Q882="✓ Complete",0,1))</f>
        <v/>
      </c>
    </row>
    <row r="883" ht="20" customHeight="1">
      <c r="B883" s="72" t="n"/>
      <c r="C883" s="72" t="n"/>
      <c r="D883" s="72" t="n"/>
      <c r="E883" s="72" t="n"/>
      <c r="F883" s="72" t="n"/>
      <c r="G883" s="109" t="n"/>
      <c r="H883" s="72" t="n"/>
      <c r="I883" s="78">
        <f>IF(H883="","",HYPERLINK(H883,"Open ↗"))</f>
        <v/>
      </c>
      <c r="J883" s="72" t="n"/>
      <c r="L883" s="116">
        <f>IF('Contractors'!B883="","",'Contractors'!B883)</f>
        <v/>
      </c>
      <c r="M883" s="78">
        <f>IF(L883="","",'Contractors'!L883)</f>
        <v/>
      </c>
      <c r="N883" s="78">
        <f>IF(OR(L883="",M883&lt;&gt;"Yes"),"",IF(COUNTIFS('Vault'!$C$6:$C$1005,"Contract",'Vault'!$D$6:$D$1005,L883)&gt;0,"✓","✗ missing"))</f>
        <v/>
      </c>
      <c r="O883" s="78">
        <f>IF(OR(L883="",M883&lt;&gt;"Yes"),"",IF(COUNTIFS('Vault'!$C$6:$C$1005,"Insurance",'Vault'!$D$6:$D$1005,L883)&gt;0,"✓","✗ missing"))</f>
        <v/>
      </c>
      <c r="P883" s="78">
        <f>IF(OR(L883="",M883&lt;&gt;"Yes"),"",IF(COUNTIFS('Vault'!$C$6:$C$1005,"Quote",'Vault'!$D$6:$D$1005,L883)&gt;0,"✓","✗ missing"))</f>
        <v/>
      </c>
      <c r="Q883" s="78">
        <f>IF(N883="","",IF(AND(N883="✓",O883="✓",P883="✓"),"✓ Complete","Missing documents"))</f>
        <v/>
      </c>
      <c r="R883" s="79">
        <f>IF(Q883="","",IF(Q883="✓ Complete",0,1))</f>
        <v/>
      </c>
    </row>
    <row r="884" ht="20" customHeight="1">
      <c r="B884" s="72" t="n"/>
      <c r="C884" s="72" t="n"/>
      <c r="D884" s="72" t="n"/>
      <c r="E884" s="72" t="n"/>
      <c r="F884" s="72" t="n"/>
      <c r="G884" s="109" t="n"/>
      <c r="H884" s="72" t="n"/>
      <c r="I884" s="78">
        <f>IF(H884="","",HYPERLINK(H884,"Open ↗"))</f>
        <v/>
      </c>
      <c r="J884" s="72" t="n"/>
      <c r="L884" s="116">
        <f>IF('Contractors'!B884="","",'Contractors'!B884)</f>
        <v/>
      </c>
      <c r="M884" s="78">
        <f>IF(L884="","",'Contractors'!L884)</f>
        <v/>
      </c>
      <c r="N884" s="78">
        <f>IF(OR(L884="",M884&lt;&gt;"Yes"),"",IF(COUNTIFS('Vault'!$C$6:$C$1005,"Contract",'Vault'!$D$6:$D$1005,L884)&gt;0,"✓","✗ missing"))</f>
        <v/>
      </c>
      <c r="O884" s="78">
        <f>IF(OR(L884="",M884&lt;&gt;"Yes"),"",IF(COUNTIFS('Vault'!$C$6:$C$1005,"Insurance",'Vault'!$D$6:$D$1005,L884)&gt;0,"✓","✗ missing"))</f>
        <v/>
      </c>
      <c r="P884" s="78">
        <f>IF(OR(L884="",M884&lt;&gt;"Yes"),"",IF(COUNTIFS('Vault'!$C$6:$C$1005,"Quote",'Vault'!$D$6:$D$1005,L884)&gt;0,"✓","✗ missing"))</f>
        <v/>
      </c>
      <c r="Q884" s="78">
        <f>IF(N884="","",IF(AND(N884="✓",O884="✓",P884="✓"),"✓ Complete","Missing documents"))</f>
        <v/>
      </c>
      <c r="R884" s="79">
        <f>IF(Q884="","",IF(Q884="✓ Complete",0,1))</f>
        <v/>
      </c>
    </row>
    <row r="885" ht="20" customHeight="1">
      <c r="B885" s="72" t="n"/>
      <c r="C885" s="72" t="n"/>
      <c r="D885" s="72" t="n"/>
      <c r="E885" s="72" t="n"/>
      <c r="F885" s="72" t="n"/>
      <c r="G885" s="109" t="n"/>
      <c r="H885" s="72" t="n"/>
      <c r="I885" s="78">
        <f>IF(H885="","",HYPERLINK(H885,"Open ↗"))</f>
        <v/>
      </c>
      <c r="J885" s="72" t="n"/>
      <c r="L885" s="116">
        <f>IF('Contractors'!B885="","",'Contractors'!B885)</f>
        <v/>
      </c>
      <c r="M885" s="78">
        <f>IF(L885="","",'Contractors'!L885)</f>
        <v/>
      </c>
      <c r="N885" s="78">
        <f>IF(OR(L885="",M885&lt;&gt;"Yes"),"",IF(COUNTIFS('Vault'!$C$6:$C$1005,"Contract",'Vault'!$D$6:$D$1005,L885)&gt;0,"✓","✗ missing"))</f>
        <v/>
      </c>
      <c r="O885" s="78">
        <f>IF(OR(L885="",M885&lt;&gt;"Yes"),"",IF(COUNTIFS('Vault'!$C$6:$C$1005,"Insurance",'Vault'!$D$6:$D$1005,L885)&gt;0,"✓","✗ missing"))</f>
        <v/>
      </c>
      <c r="P885" s="78">
        <f>IF(OR(L885="",M885&lt;&gt;"Yes"),"",IF(COUNTIFS('Vault'!$C$6:$C$1005,"Quote",'Vault'!$D$6:$D$1005,L885)&gt;0,"✓","✗ missing"))</f>
        <v/>
      </c>
      <c r="Q885" s="78">
        <f>IF(N885="","",IF(AND(N885="✓",O885="✓",P885="✓"),"✓ Complete","Missing documents"))</f>
        <v/>
      </c>
      <c r="R885" s="79">
        <f>IF(Q885="","",IF(Q885="✓ Complete",0,1))</f>
        <v/>
      </c>
    </row>
    <row r="886" ht="20" customHeight="1">
      <c r="B886" s="72" t="n"/>
      <c r="C886" s="72" t="n"/>
      <c r="D886" s="72" t="n"/>
      <c r="E886" s="72" t="n"/>
      <c r="F886" s="72" t="n"/>
      <c r="G886" s="109" t="n"/>
      <c r="H886" s="72" t="n"/>
      <c r="I886" s="78">
        <f>IF(H886="","",HYPERLINK(H886,"Open ↗"))</f>
        <v/>
      </c>
      <c r="J886" s="72" t="n"/>
      <c r="L886" s="116">
        <f>IF('Contractors'!B886="","",'Contractors'!B886)</f>
        <v/>
      </c>
      <c r="M886" s="78">
        <f>IF(L886="","",'Contractors'!L886)</f>
        <v/>
      </c>
      <c r="N886" s="78">
        <f>IF(OR(L886="",M886&lt;&gt;"Yes"),"",IF(COUNTIFS('Vault'!$C$6:$C$1005,"Contract",'Vault'!$D$6:$D$1005,L886)&gt;0,"✓","✗ missing"))</f>
        <v/>
      </c>
      <c r="O886" s="78">
        <f>IF(OR(L886="",M886&lt;&gt;"Yes"),"",IF(COUNTIFS('Vault'!$C$6:$C$1005,"Insurance",'Vault'!$D$6:$D$1005,L886)&gt;0,"✓","✗ missing"))</f>
        <v/>
      </c>
      <c r="P886" s="78">
        <f>IF(OR(L886="",M886&lt;&gt;"Yes"),"",IF(COUNTIFS('Vault'!$C$6:$C$1005,"Quote",'Vault'!$D$6:$D$1005,L886)&gt;0,"✓","✗ missing"))</f>
        <v/>
      </c>
      <c r="Q886" s="78">
        <f>IF(N886="","",IF(AND(N886="✓",O886="✓",P886="✓"),"✓ Complete","Missing documents"))</f>
        <v/>
      </c>
      <c r="R886" s="79">
        <f>IF(Q886="","",IF(Q886="✓ Complete",0,1))</f>
        <v/>
      </c>
    </row>
    <row r="887" ht="20" customHeight="1">
      <c r="B887" s="72" t="n"/>
      <c r="C887" s="72" t="n"/>
      <c r="D887" s="72" t="n"/>
      <c r="E887" s="72" t="n"/>
      <c r="F887" s="72" t="n"/>
      <c r="G887" s="109" t="n"/>
      <c r="H887" s="72" t="n"/>
      <c r="I887" s="78">
        <f>IF(H887="","",HYPERLINK(H887,"Open ↗"))</f>
        <v/>
      </c>
      <c r="J887" s="72" t="n"/>
      <c r="L887" s="116">
        <f>IF('Contractors'!B887="","",'Contractors'!B887)</f>
        <v/>
      </c>
      <c r="M887" s="78">
        <f>IF(L887="","",'Contractors'!L887)</f>
        <v/>
      </c>
      <c r="N887" s="78">
        <f>IF(OR(L887="",M887&lt;&gt;"Yes"),"",IF(COUNTIFS('Vault'!$C$6:$C$1005,"Contract",'Vault'!$D$6:$D$1005,L887)&gt;0,"✓","✗ missing"))</f>
        <v/>
      </c>
      <c r="O887" s="78">
        <f>IF(OR(L887="",M887&lt;&gt;"Yes"),"",IF(COUNTIFS('Vault'!$C$6:$C$1005,"Insurance",'Vault'!$D$6:$D$1005,L887)&gt;0,"✓","✗ missing"))</f>
        <v/>
      </c>
      <c r="P887" s="78">
        <f>IF(OR(L887="",M887&lt;&gt;"Yes"),"",IF(COUNTIFS('Vault'!$C$6:$C$1005,"Quote",'Vault'!$D$6:$D$1005,L887)&gt;0,"✓","✗ missing"))</f>
        <v/>
      </c>
      <c r="Q887" s="78">
        <f>IF(N887="","",IF(AND(N887="✓",O887="✓",P887="✓"),"✓ Complete","Missing documents"))</f>
        <v/>
      </c>
      <c r="R887" s="79">
        <f>IF(Q887="","",IF(Q887="✓ Complete",0,1))</f>
        <v/>
      </c>
    </row>
    <row r="888" ht="20" customHeight="1">
      <c r="B888" s="72" t="n"/>
      <c r="C888" s="72" t="n"/>
      <c r="D888" s="72" t="n"/>
      <c r="E888" s="72" t="n"/>
      <c r="F888" s="72" t="n"/>
      <c r="G888" s="109" t="n"/>
      <c r="H888" s="72" t="n"/>
      <c r="I888" s="78">
        <f>IF(H888="","",HYPERLINK(H888,"Open ↗"))</f>
        <v/>
      </c>
      <c r="J888" s="72" t="n"/>
      <c r="L888" s="116">
        <f>IF('Contractors'!B888="","",'Contractors'!B888)</f>
        <v/>
      </c>
      <c r="M888" s="78">
        <f>IF(L888="","",'Contractors'!L888)</f>
        <v/>
      </c>
      <c r="N888" s="78">
        <f>IF(OR(L888="",M888&lt;&gt;"Yes"),"",IF(COUNTIFS('Vault'!$C$6:$C$1005,"Contract",'Vault'!$D$6:$D$1005,L888)&gt;0,"✓","✗ missing"))</f>
        <v/>
      </c>
      <c r="O888" s="78">
        <f>IF(OR(L888="",M888&lt;&gt;"Yes"),"",IF(COUNTIFS('Vault'!$C$6:$C$1005,"Insurance",'Vault'!$D$6:$D$1005,L888)&gt;0,"✓","✗ missing"))</f>
        <v/>
      </c>
      <c r="P888" s="78">
        <f>IF(OR(L888="",M888&lt;&gt;"Yes"),"",IF(COUNTIFS('Vault'!$C$6:$C$1005,"Quote",'Vault'!$D$6:$D$1005,L888)&gt;0,"✓","✗ missing"))</f>
        <v/>
      </c>
      <c r="Q888" s="78">
        <f>IF(N888="","",IF(AND(N888="✓",O888="✓",P888="✓"),"✓ Complete","Missing documents"))</f>
        <v/>
      </c>
      <c r="R888" s="79">
        <f>IF(Q888="","",IF(Q888="✓ Complete",0,1))</f>
        <v/>
      </c>
    </row>
    <row r="889" ht="20" customHeight="1">
      <c r="B889" s="72" t="n"/>
      <c r="C889" s="72" t="n"/>
      <c r="D889" s="72" t="n"/>
      <c r="E889" s="72" t="n"/>
      <c r="F889" s="72" t="n"/>
      <c r="G889" s="109" t="n"/>
      <c r="H889" s="72" t="n"/>
      <c r="I889" s="78">
        <f>IF(H889="","",HYPERLINK(H889,"Open ↗"))</f>
        <v/>
      </c>
      <c r="J889" s="72" t="n"/>
      <c r="L889" s="116">
        <f>IF('Contractors'!B889="","",'Contractors'!B889)</f>
        <v/>
      </c>
      <c r="M889" s="78">
        <f>IF(L889="","",'Contractors'!L889)</f>
        <v/>
      </c>
      <c r="N889" s="78">
        <f>IF(OR(L889="",M889&lt;&gt;"Yes"),"",IF(COUNTIFS('Vault'!$C$6:$C$1005,"Contract",'Vault'!$D$6:$D$1005,L889)&gt;0,"✓","✗ missing"))</f>
        <v/>
      </c>
      <c r="O889" s="78">
        <f>IF(OR(L889="",M889&lt;&gt;"Yes"),"",IF(COUNTIFS('Vault'!$C$6:$C$1005,"Insurance",'Vault'!$D$6:$D$1005,L889)&gt;0,"✓","✗ missing"))</f>
        <v/>
      </c>
      <c r="P889" s="78">
        <f>IF(OR(L889="",M889&lt;&gt;"Yes"),"",IF(COUNTIFS('Vault'!$C$6:$C$1005,"Quote",'Vault'!$D$6:$D$1005,L889)&gt;0,"✓","✗ missing"))</f>
        <v/>
      </c>
      <c r="Q889" s="78">
        <f>IF(N889="","",IF(AND(N889="✓",O889="✓",P889="✓"),"✓ Complete","Missing documents"))</f>
        <v/>
      </c>
      <c r="R889" s="79">
        <f>IF(Q889="","",IF(Q889="✓ Complete",0,1))</f>
        <v/>
      </c>
    </row>
    <row r="890" ht="20" customHeight="1">
      <c r="B890" s="72" t="n"/>
      <c r="C890" s="72" t="n"/>
      <c r="D890" s="72" t="n"/>
      <c r="E890" s="72" t="n"/>
      <c r="F890" s="72" t="n"/>
      <c r="G890" s="109" t="n"/>
      <c r="H890" s="72" t="n"/>
      <c r="I890" s="78">
        <f>IF(H890="","",HYPERLINK(H890,"Open ↗"))</f>
        <v/>
      </c>
      <c r="J890" s="72" t="n"/>
      <c r="L890" s="116">
        <f>IF('Contractors'!B890="","",'Contractors'!B890)</f>
        <v/>
      </c>
      <c r="M890" s="78">
        <f>IF(L890="","",'Contractors'!L890)</f>
        <v/>
      </c>
      <c r="N890" s="78">
        <f>IF(OR(L890="",M890&lt;&gt;"Yes"),"",IF(COUNTIFS('Vault'!$C$6:$C$1005,"Contract",'Vault'!$D$6:$D$1005,L890)&gt;0,"✓","✗ missing"))</f>
        <v/>
      </c>
      <c r="O890" s="78">
        <f>IF(OR(L890="",M890&lt;&gt;"Yes"),"",IF(COUNTIFS('Vault'!$C$6:$C$1005,"Insurance",'Vault'!$D$6:$D$1005,L890)&gt;0,"✓","✗ missing"))</f>
        <v/>
      </c>
      <c r="P890" s="78">
        <f>IF(OR(L890="",M890&lt;&gt;"Yes"),"",IF(COUNTIFS('Vault'!$C$6:$C$1005,"Quote",'Vault'!$D$6:$D$1005,L890)&gt;0,"✓","✗ missing"))</f>
        <v/>
      </c>
      <c r="Q890" s="78">
        <f>IF(N890="","",IF(AND(N890="✓",O890="✓",P890="✓"),"✓ Complete","Missing documents"))</f>
        <v/>
      </c>
      <c r="R890" s="79">
        <f>IF(Q890="","",IF(Q890="✓ Complete",0,1))</f>
        <v/>
      </c>
    </row>
    <row r="891" ht="20" customHeight="1">
      <c r="B891" s="72" t="n"/>
      <c r="C891" s="72" t="n"/>
      <c r="D891" s="72" t="n"/>
      <c r="E891" s="72" t="n"/>
      <c r="F891" s="72" t="n"/>
      <c r="G891" s="109" t="n"/>
      <c r="H891" s="72" t="n"/>
      <c r="I891" s="78">
        <f>IF(H891="","",HYPERLINK(H891,"Open ↗"))</f>
        <v/>
      </c>
      <c r="J891" s="72" t="n"/>
      <c r="L891" s="116">
        <f>IF('Contractors'!B891="","",'Contractors'!B891)</f>
        <v/>
      </c>
      <c r="M891" s="78">
        <f>IF(L891="","",'Contractors'!L891)</f>
        <v/>
      </c>
      <c r="N891" s="78">
        <f>IF(OR(L891="",M891&lt;&gt;"Yes"),"",IF(COUNTIFS('Vault'!$C$6:$C$1005,"Contract",'Vault'!$D$6:$D$1005,L891)&gt;0,"✓","✗ missing"))</f>
        <v/>
      </c>
      <c r="O891" s="78">
        <f>IF(OR(L891="",M891&lt;&gt;"Yes"),"",IF(COUNTIFS('Vault'!$C$6:$C$1005,"Insurance",'Vault'!$D$6:$D$1005,L891)&gt;0,"✓","✗ missing"))</f>
        <v/>
      </c>
      <c r="P891" s="78">
        <f>IF(OR(L891="",M891&lt;&gt;"Yes"),"",IF(COUNTIFS('Vault'!$C$6:$C$1005,"Quote",'Vault'!$D$6:$D$1005,L891)&gt;0,"✓","✗ missing"))</f>
        <v/>
      </c>
      <c r="Q891" s="78">
        <f>IF(N891="","",IF(AND(N891="✓",O891="✓",P891="✓"),"✓ Complete","Missing documents"))</f>
        <v/>
      </c>
      <c r="R891" s="79">
        <f>IF(Q891="","",IF(Q891="✓ Complete",0,1))</f>
        <v/>
      </c>
    </row>
    <row r="892" ht="20" customHeight="1">
      <c r="B892" s="72" t="n"/>
      <c r="C892" s="72" t="n"/>
      <c r="D892" s="72" t="n"/>
      <c r="E892" s="72" t="n"/>
      <c r="F892" s="72" t="n"/>
      <c r="G892" s="109" t="n"/>
      <c r="H892" s="72" t="n"/>
      <c r="I892" s="78">
        <f>IF(H892="","",HYPERLINK(H892,"Open ↗"))</f>
        <v/>
      </c>
      <c r="J892" s="72" t="n"/>
      <c r="L892" s="116">
        <f>IF('Contractors'!B892="","",'Contractors'!B892)</f>
        <v/>
      </c>
      <c r="M892" s="78">
        <f>IF(L892="","",'Contractors'!L892)</f>
        <v/>
      </c>
      <c r="N892" s="78">
        <f>IF(OR(L892="",M892&lt;&gt;"Yes"),"",IF(COUNTIFS('Vault'!$C$6:$C$1005,"Contract",'Vault'!$D$6:$D$1005,L892)&gt;0,"✓","✗ missing"))</f>
        <v/>
      </c>
      <c r="O892" s="78">
        <f>IF(OR(L892="",M892&lt;&gt;"Yes"),"",IF(COUNTIFS('Vault'!$C$6:$C$1005,"Insurance",'Vault'!$D$6:$D$1005,L892)&gt;0,"✓","✗ missing"))</f>
        <v/>
      </c>
      <c r="P892" s="78">
        <f>IF(OR(L892="",M892&lt;&gt;"Yes"),"",IF(COUNTIFS('Vault'!$C$6:$C$1005,"Quote",'Vault'!$D$6:$D$1005,L892)&gt;0,"✓","✗ missing"))</f>
        <v/>
      </c>
      <c r="Q892" s="78">
        <f>IF(N892="","",IF(AND(N892="✓",O892="✓",P892="✓"),"✓ Complete","Missing documents"))</f>
        <v/>
      </c>
      <c r="R892" s="79">
        <f>IF(Q892="","",IF(Q892="✓ Complete",0,1))</f>
        <v/>
      </c>
    </row>
    <row r="893" ht="20" customHeight="1">
      <c r="B893" s="72" t="n"/>
      <c r="C893" s="72" t="n"/>
      <c r="D893" s="72" t="n"/>
      <c r="E893" s="72" t="n"/>
      <c r="F893" s="72" t="n"/>
      <c r="G893" s="109" t="n"/>
      <c r="H893" s="72" t="n"/>
      <c r="I893" s="78">
        <f>IF(H893="","",HYPERLINK(H893,"Open ↗"))</f>
        <v/>
      </c>
      <c r="J893" s="72" t="n"/>
      <c r="L893" s="116">
        <f>IF('Contractors'!B893="","",'Contractors'!B893)</f>
        <v/>
      </c>
      <c r="M893" s="78">
        <f>IF(L893="","",'Contractors'!L893)</f>
        <v/>
      </c>
      <c r="N893" s="78">
        <f>IF(OR(L893="",M893&lt;&gt;"Yes"),"",IF(COUNTIFS('Vault'!$C$6:$C$1005,"Contract",'Vault'!$D$6:$D$1005,L893)&gt;0,"✓","✗ missing"))</f>
        <v/>
      </c>
      <c r="O893" s="78">
        <f>IF(OR(L893="",M893&lt;&gt;"Yes"),"",IF(COUNTIFS('Vault'!$C$6:$C$1005,"Insurance",'Vault'!$D$6:$D$1005,L893)&gt;0,"✓","✗ missing"))</f>
        <v/>
      </c>
      <c r="P893" s="78">
        <f>IF(OR(L893="",M893&lt;&gt;"Yes"),"",IF(COUNTIFS('Vault'!$C$6:$C$1005,"Quote",'Vault'!$D$6:$D$1005,L893)&gt;0,"✓","✗ missing"))</f>
        <v/>
      </c>
      <c r="Q893" s="78">
        <f>IF(N893="","",IF(AND(N893="✓",O893="✓",P893="✓"),"✓ Complete","Missing documents"))</f>
        <v/>
      </c>
      <c r="R893" s="79">
        <f>IF(Q893="","",IF(Q893="✓ Complete",0,1))</f>
        <v/>
      </c>
    </row>
    <row r="894" ht="20" customHeight="1">
      <c r="B894" s="72" t="n"/>
      <c r="C894" s="72" t="n"/>
      <c r="D894" s="72" t="n"/>
      <c r="E894" s="72" t="n"/>
      <c r="F894" s="72" t="n"/>
      <c r="G894" s="109" t="n"/>
      <c r="H894" s="72" t="n"/>
      <c r="I894" s="78">
        <f>IF(H894="","",HYPERLINK(H894,"Open ↗"))</f>
        <v/>
      </c>
      <c r="J894" s="72" t="n"/>
      <c r="L894" s="116">
        <f>IF('Contractors'!B894="","",'Contractors'!B894)</f>
        <v/>
      </c>
      <c r="M894" s="78">
        <f>IF(L894="","",'Contractors'!L894)</f>
        <v/>
      </c>
      <c r="N894" s="78">
        <f>IF(OR(L894="",M894&lt;&gt;"Yes"),"",IF(COUNTIFS('Vault'!$C$6:$C$1005,"Contract",'Vault'!$D$6:$D$1005,L894)&gt;0,"✓","✗ missing"))</f>
        <v/>
      </c>
      <c r="O894" s="78">
        <f>IF(OR(L894="",M894&lt;&gt;"Yes"),"",IF(COUNTIFS('Vault'!$C$6:$C$1005,"Insurance",'Vault'!$D$6:$D$1005,L894)&gt;0,"✓","✗ missing"))</f>
        <v/>
      </c>
      <c r="P894" s="78">
        <f>IF(OR(L894="",M894&lt;&gt;"Yes"),"",IF(COUNTIFS('Vault'!$C$6:$C$1005,"Quote",'Vault'!$D$6:$D$1005,L894)&gt;0,"✓","✗ missing"))</f>
        <v/>
      </c>
      <c r="Q894" s="78">
        <f>IF(N894="","",IF(AND(N894="✓",O894="✓",P894="✓"),"✓ Complete","Missing documents"))</f>
        <v/>
      </c>
      <c r="R894" s="79">
        <f>IF(Q894="","",IF(Q894="✓ Complete",0,1))</f>
        <v/>
      </c>
    </row>
    <row r="895" ht="20" customHeight="1">
      <c r="B895" s="72" t="n"/>
      <c r="C895" s="72" t="n"/>
      <c r="D895" s="72" t="n"/>
      <c r="E895" s="72" t="n"/>
      <c r="F895" s="72" t="n"/>
      <c r="G895" s="109" t="n"/>
      <c r="H895" s="72" t="n"/>
      <c r="I895" s="78">
        <f>IF(H895="","",HYPERLINK(H895,"Open ↗"))</f>
        <v/>
      </c>
      <c r="J895" s="72" t="n"/>
      <c r="L895" s="116">
        <f>IF('Contractors'!B895="","",'Contractors'!B895)</f>
        <v/>
      </c>
      <c r="M895" s="78">
        <f>IF(L895="","",'Contractors'!L895)</f>
        <v/>
      </c>
      <c r="N895" s="78">
        <f>IF(OR(L895="",M895&lt;&gt;"Yes"),"",IF(COUNTIFS('Vault'!$C$6:$C$1005,"Contract",'Vault'!$D$6:$D$1005,L895)&gt;0,"✓","✗ missing"))</f>
        <v/>
      </c>
      <c r="O895" s="78">
        <f>IF(OR(L895="",M895&lt;&gt;"Yes"),"",IF(COUNTIFS('Vault'!$C$6:$C$1005,"Insurance",'Vault'!$D$6:$D$1005,L895)&gt;0,"✓","✗ missing"))</f>
        <v/>
      </c>
      <c r="P895" s="78">
        <f>IF(OR(L895="",M895&lt;&gt;"Yes"),"",IF(COUNTIFS('Vault'!$C$6:$C$1005,"Quote",'Vault'!$D$6:$D$1005,L895)&gt;0,"✓","✗ missing"))</f>
        <v/>
      </c>
      <c r="Q895" s="78">
        <f>IF(N895="","",IF(AND(N895="✓",O895="✓",P895="✓"),"✓ Complete","Missing documents"))</f>
        <v/>
      </c>
      <c r="R895" s="79">
        <f>IF(Q895="","",IF(Q895="✓ Complete",0,1))</f>
        <v/>
      </c>
    </row>
    <row r="896" ht="20" customHeight="1">
      <c r="B896" s="72" t="n"/>
      <c r="C896" s="72" t="n"/>
      <c r="D896" s="72" t="n"/>
      <c r="E896" s="72" t="n"/>
      <c r="F896" s="72" t="n"/>
      <c r="G896" s="109" t="n"/>
      <c r="H896" s="72" t="n"/>
      <c r="I896" s="78">
        <f>IF(H896="","",HYPERLINK(H896,"Open ↗"))</f>
        <v/>
      </c>
      <c r="J896" s="72" t="n"/>
      <c r="L896" s="116">
        <f>IF('Contractors'!B896="","",'Contractors'!B896)</f>
        <v/>
      </c>
      <c r="M896" s="78">
        <f>IF(L896="","",'Contractors'!L896)</f>
        <v/>
      </c>
      <c r="N896" s="78">
        <f>IF(OR(L896="",M896&lt;&gt;"Yes"),"",IF(COUNTIFS('Vault'!$C$6:$C$1005,"Contract",'Vault'!$D$6:$D$1005,L896)&gt;0,"✓","✗ missing"))</f>
        <v/>
      </c>
      <c r="O896" s="78">
        <f>IF(OR(L896="",M896&lt;&gt;"Yes"),"",IF(COUNTIFS('Vault'!$C$6:$C$1005,"Insurance",'Vault'!$D$6:$D$1005,L896)&gt;0,"✓","✗ missing"))</f>
        <v/>
      </c>
      <c r="P896" s="78">
        <f>IF(OR(L896="",M896&lt;&gt;"Yes"),"",IF(COUNTIFS('Vault'!$C$6:$C$1005,"Quote",'Vault'!$D$6:$D$1005,L896)&gt;0,"✓","✗ missing"))</f>
        <v/>
      </c>
      <c r="Q896" s="78">
        <f>IF(N896="","",IF(AND(N896="✓",O896="✓",P896="✓"),"✓ Complete","Missing documents"))</f>
        <v/>
      </c>
      <c r="R896" s="79">
        <f>IF(Q896="","",IF(Q896="✓ Complete",0,1))</f>
        <v/>
      </c>
    </row>
    <row r="897" ht="20" customHeight="1">
      <c r="B897" s="72" t="n"/>
      <c r="C897" s="72" t="n"/>
      <c r="D897" s="72" t="n"/>
      <c r="E897" s="72" t="n"/>
      <c r="F897" s="72" t="n"/>
      <c r="G897" s="109" t="n"/>
      <c r="H897" s="72" t="n"/>
      <c r="I897" s="78">
        <f>IF(H897="","",HYPERLINK(H897,"Open ↗"))</f>
        <v/>
      </c>
      <c r="J897" s="72" t="n"/>
      <c r="L897" s="116">
        <f>IF('Contractors'!B897="","",'Contractors'!B897)</f>
        <v/>
      </c>
      <c r="M897" s="78">
        <f>IF(L897="","",'Contractors'!L897)</f>
        <v/>
      </c>
      <c r="N897" s="78">
        <f>IF(OR(L897="",M897&lt;&gt;"Yes"),"",IF(COUNTIFS('Vault'!$C$6:$C$1005,"Contract",'Vault'!$D$6:$D$1005,L897)&gt;0,"✓","✗ missing"))</f>
        <v/>
      </c>
      <c r="O897" s="78">
        <f>IF(OR(L897="",M897&lt;&gt;"Yes"),"",IF(COUNTIFS('Vault'!$C$6:$C$1005,"Insurance",'Vault'!$D$6:$D$1005,L897)&gt;0,"✓","✗ missing"))</f>
        <v/>
      </c>
      <c r="P897" s="78">
        <f>IF(OR(L897="",M897&lt;&gt;"Yes"),"",IF(COUNTIFS('Vault'!$C$6:$C$1005,"Quote",'Vault'!$D$6:$D$1005,L897)&gt;0,"✓","✗ missing"))</f>
        <v/>
      </c>
      <c r="Q897" s="78">
        <f>IF(N897="","",IF(AND(N897="✓",O897="✓",P897="✓"),"✓ Complete","Missing documents"))</f>
        <v/>
      </c>
      <c r="R897" s="79">
        <f>IF(Q897="","",IF(Q897="✓ Complete",0,1))</f>
        <v/>
      </c>
    </row>
    <row r="898" ht="20" customHeight="1">
      <c r="B898" s="72" t="n"/>
      <c r="C898" s="72" t="n"/>
      <c r="D898" s="72" t="n"/>
      <c r="E898" s="72" t="n"/>
      <c r="F898" s="72" t="n"/>
      <c r="G898" s="109" t="n"/>
      <c r="H898" s="72" t="n"/>
      <c r="I898" s="78">
        <f>IF(H898="","",HYPERLINK(H898,"Open ↗"))</f>
        <v/>
      </c>
      <c r="J898" s="72" t="n"/>
      <c r="L898" s="116">
        <f>IF('Contractors'!B898="","",'Contractors'!B898)</f>
        <v/>
      </c>
      <c r="M898" s="78">
        <f>IF(L898="","",'Contractors'!L898)</f>
        <v/>
      </c>
      <c r="N898" s="78">
        <f>IF(OR(L898="",M898&lt;&gt;"Yes"),"",IF(COUNTIFS('Vault'!$C$6:$C$1005,"Contract",'Vault'!$D$6:$D$1005,L898)&gt;0,"✓","✗ missing"))</f>
        <v/>
      </c>
      <c r="O898" s="78">
        <f>IF(OR(L898="",M898&lt;&gt;"Yes"),"",IF(COUNTIFS('Vault'!$C$6:$C$1005,"Insurance",'Vault'!$D$6:$D$1005,L898)&gt;0,"✓","✗ missing"))</f>
        <v/>
      </c>
      <c r="P898" s="78">
        <f>IF(OR(L898="",M898&lt;&gt;"Yes"),"",IF(COUNTIFS('Vault'!$C$6:$C$1005,"Quote",'Vault'!$D$6:$D$1005,L898)&gt;0,"✓","✗ missing"))</f>
        <v/>
      </c>
      <c r="Q898" s="78">
        <f>IF(N898="","",IF(AND(N898="✓",O898="✓",P898="✓"),"✓ Complete","Missing documents"))</f>
        <v/>
      </c>
      <c r="R898" s="79">
        <f>IF(Q898="","",IF(Q898="✓ Complete",0,1))</f>
        <v/>
      </c>
    </row>
    <row r="899" ht="20" customHeight="1">
      <c r="B899" s="72" t="n"/>
      <c r="C899" s="72" t="n"/>
      <c r="D899" s="72" t="n"/>
      <c r="E899" s="72" t="n"/>
      <c r="F899" s="72" t="n"/>
      <c r="G899" s="109" t="n"/>
      <c r="H899" s="72" t="n"/>
      <c r="I899" s="78">
        <f>IF(H899="","",HYPERLINK(H899,"Open ↗"))</f>
        <v/>
      </c>
      <c r="J899" s="72" t="n"/>
      <c r="L899" s="116">
        <f>IF('Contractors'!B899="","",'Contractors'!B899)</f>
        <v/>
      </c>
      <c r="M899" s="78">
        <f>IF(L899="","",'Contractors'!L899)</f>
        <v/>
      </c>
      <c r="N899" s="78">
        <f>IF(OR(L899="",M899&lt;&gt;"Yes"),"",IF(COUNTIFS('Vault'!$C$6:$C$1005,"Contract",'Vault'!$D$6:$D$1005,L899)&gt;0,"✓","✗ missing"))</f>
        <v/>
      </c>
      <c r="O899" s="78">
        <f>IF(OR(L899="",M899&lt;&gt;"Yes"),"",IF(COUNTIFS('Vault'!$C$6:$C$1005,"Insurance",'Vault'!$D$6:$D$1005,L899)&gt;0,"✓","✗ missing"))</f>
        <v/>
      </c>
      <c r="P899" s="78">
        <f>IF(OR(L899="",M899&lt;&gt;"Yes"),"",IF(COUNTIFS('Vault'!$C$6:$C$1005,"Quote",'Vault'!$D$6:$D$1005,L899)&gt;0,"✓","✗ missing"))</f>
        <v/>
      </c>
      <c r="Q899" s="78">
        <f>IF(N899="","",IF(AND(N899="✓",O899="✓",P899="✓"),"✓ Complete","Missing documents"))</f>
        <v/>
      </c>
      <c r="R899" s="79">
        <f>IF(Q899="","",IF(Q899="✓ Complete",0,1))</f>
        <v/>
      </c>
    </row>
    <row r="900" ht="20" customHeight="1">
      <c r="B900" s="72" t="n"/>
      <c r="C900" s="72" t="n"/>
      <c r="D900" s="72" t="n"/>
      <c r="E900" s="72" t="n"/>
      <c r="F900" s="72" t="n"/>
      <c r="G900" s="109" t="n"/>
      <c r="H900" s="72" t="n"/>
      <c r="I900" s="78">
        <f>IF(H900="","",HYPERLINK(H900,"Open ↗"))</f>
        <v/>
      </c>
      <c r="J900" s="72" t="n"/>
      <c r="L900" s="116">
        <f>IF('Contractors'!B900="","",'Contractors'!B900)</f>
        <v/>
      </c>
      <c r="M900" s="78">
        <f>IF(L900="","",'Contractors'!L900)</f>
        <v/>
      </c>
      <c r="N900" s="78">
        <f>IF(OR(L900="",M900&lt;&gt;"Yes"),"",IF(COUNTIFS('Vault'!$C$6:$C$1005,"Contract",'Vault'!$D$6:$D$1005,L900)&gt;0,"✓","✗ missing"))</f>
        <v/>
      </c>
      <c r="O900" s="78">
        <f>IF(OR(L900="",M900&lt;&gt;"Yes"),"",IF(COUNTIFS('Vault'!$C$6:$C$1005,"Insurance",'Vault'!$D$6:$D$1005,L900)&gt;0,"✓","✗ missing"))</f>
        <v/>
      </c>
      <c r="P900" s="78">
        <f>IF(OR(L900="",M900&lt;&gt;"Yes"),"",IF(COUNTIFS('Vault'!$C$6:$C$1005,"Quote",'Vault'!$D$6:$D$1005,L900)&gt;0,"✓","✗ missing"))</f>
        <v/>
      </c>
      <c r="Q900" s="78">
        <f>IF(N900="","",IF(AND(N900="✓",O900="✓",P900="✓"),"✓ Complete","Missing documents"))</f>
        <v/>
      </c>
      <c r="R900" s="79">
        <f>IF(Q900="","",IF(Q900="✓ Complete",0,1))</f>
        <v/>
      </c>
    </row>
    <row r="901" ht="20" customHeight="1">
      <c r="B901" s="72" t="n"/>
      <c r="C901" s="72" t="n"/>
      <c r="D901" s="72" t="n"/>
      <c r="E901" s="72" t="n"/>
      <c r="F901" s="72" t="n"/>
      <c r="G901" s="109" t="n"/>
      <c r="H901" s="72" t="n"/>
      <c r="I901" s="78">
        <f>IF(H901="","",HYPERLINK(H901,"Open ↗"))</f>
        <v/>
      </c>
      <c r="J901" s="72" t="n"/>
      <c r="L901" s="116">
        <f>IF('Contractors'!B901="","",'Contractors'!B901)</f>
        <v/>
      </c>
      <c r="M901" s="78">
        <f>IF(L901="","",'Contractors'!L901)</f>
        <v/>
      </c>
      <c r="N901" s="78">
        <f>IF(OR(L901="",M901&lt;&gt;"Yes"),"",IF(COUNTIFS('Vault'!$C$6:$C$1005,"Contract",'Vault'!$D$6:$D$1005,L901)&gt;0,"✓","✗ missing"))</f>
        <v/>
      </c>
      <c r="O901" s="78">
        <f>IF(OR(L901="",M901&lt;&gt;"Yes"),"",IF(COUNTIFS('Vault'!$C$6:$C$1005,"Insurance",'Vault'!$D$6:$D$1005,L901)&gt;0,"✓","✗ missing"))</f>
        <v/>
      </c>
      <c r="P901" s="78">
        <f>IF(OR(L901="",M901&lt;&gt;"Yes"),"",IF(COUNTIFS('Vault'!$C$6:$C$1005,"Quote",'Vault'!$D$6:$D$1005,L901)&gt;0,"✓","✗ missing"))</f>
        <v/>
      </c>
      <c r="Q901" s="78">
        <f>IF(N901="","",IF(AND(N901="✓",O901="✓",P901="✓"),"✓ Complete","Missing documents"))</f>
        <v/>
      </c>
      <c r="R901" s="79">
        <f>IF(Q901="","",IF(Q901="✓ Complete",0,1))</f>
        <v/>
      </c>
    </row>
    <row r="902" ht="20" customHeight="1">
      <c r="B902" s="72" t="n"/>
      <c r="C902" s="72" t="n"/>
      <c r="D902" s="72" t="n"/>
      <c r="E902" s="72" t="n"/>
      <c r="F902" s="72" t="n"/>
      <c r="G902" s="109" t="n"/>
      <c r="H902" s="72" t="n"/>
      <c r="I902" s="78">
        <f>IF(H902="","",HYPERLINK(H902,"Open ↗"))</f>
        <v/>
      </c>
      <c r="J902" s="72" t="n"/>
      <c r="L902" s="116">
        <f>IF('Contractors'!B902="","",'Contractors'!B902)</f>
        <v/>
      </c>
      <c r="M902" s="78">
        <f>IF(L902="","",'Contractors'!L902)</f>
        <v/>
      </c>
      <c r="N902" s="78">
        <f>IF(OR(L902="",M902&lt;&gt;"Yes"),"",IF(COUNTIFS('Vault'!$C$6:$C$1005,"Contract",'Vault'!$D$6:$D$1005,L902)&gt;0,"✓","✗ missing"))</f>
        <v/>
      </c>
      <c r="O902" s="78">
        <f>IF(OR(L902="",M902&lt;&gt;"Yes"),"",IF(COUNTIFS('Vault'!$C$6:$C$1005,"Insurance",'Vault'!$D$6:$D$1005,L902)&gt;0,"✓","✗ missing"))</f>
        <v/>
      </c>
      <c r="P902" s="78">
        <f>IF(OR(L902="",M902&lt;&gt;"Yes"),"",IF(COUNTIFS('Vault'!$C$6:$C$1005,"Quote",'Vault'!$D$6:$D$1005,L902)&gt;0,"✓","✗ missing"))</f>
        <v/>
      </c>
      <c r="Q902" s="78">
        <f>IF(N902="","",IF(AND(N902="✓",O902="✓",P902="✓"),"✓ Complete","Missing documents"))</f>
        <v/>
      </c>
      <c r="R902" s="79">
        <f>IF(Q902="","",IF(Q902="✓ Complete",0,1))</f>
        <v/>
      </c>
    </row>
    <row r="903" ht="20" customHeight="1">
      <c r="B903" s="72" t="n"/>
      <c r="C903" s="72" t="n"/>
      <c r="D903" s="72" t="n"/>
      <c r="E903" s="72" t="n"/>
      <c r="F903" s="72" t="n"/>
      <c r="G903" s="109" t="n"/>
      <c r="H903" s="72" t="n"/>
      <c r="I903" s="78">
        <f>IF(H903="","",HYPERLINK(H903,"Open ↗"))</f>
        <v/>
      </c>
      <c r="J903" s="72" t="n"/>
      <c r="L903" s="116">
        <f>IF('Contractors'!B903="","",'Contractors'!B903)</f>
        <v/>
      </c>
      <c r="M903" s="78">
        <f>IF(L903="","",'Contractors'!L903)</f>
        <v/>
      </c>
      <c r="N903" s="78">
        <f>IF(OR(L903="",M903&lt;&gt;"Yes"),"",IF(COUNTIFS('Vault'!$C$6:$C$1005,"Contract",'Vault'!$D$6:$D$1005,L903)&gt;0,"✓","✗ missing"))</f>
        <v/>
      </c>
      <c r="O903" s="78">
        <f>IF(OR(L903="",M903&lt;&gt;"Yes"),"",IF(COUNTIFS('Vault'!$C$6:$C$1005,"Insurance",'Vault'!$D$6:$D$1005,L903)&gt;0,"✓","✗ missing"))</f>
        <v/>
      </c>
      <c r="P903" s="78">
        <f>IF(OR(L903="",M903&lt;&gt;"Yes"),"",IF(COUNTIFS('Vault'!$C$6:$C$1005,"Quote",'Vault'!$D$6:$D$1005,L903)&gt;0,"✓","✗ missing"))</f>
        <v/>
      </c>
      <c r="Q903" s="78">
        <f>IF(N903="","",IF(AND(N903="✓",O903="✓",P903="✓"),"✓ Complete","Missing documents"))</f>
        <v/>
      </c>
      <c r="R903" s="79">
        <f>IF(Q903="","",IF(Q903="✓ Complete",0,1))</f>
        <v/>
      </c>
    </row>
    <row r="904" ht="20" customHeight="1">
      <c r="B904" s="72" t="n"/>
      <c r="C904" s="72" t="n"/>
      <c r="D904" s="72" t="n"/>
      <c r="E904" s="72" t="n"/>
      <c r="F904" s="72" t="n"/>
      <c r="G904" s="109" t="n"/>
      <c r="H904" s="72" t="n"/>
      <c r="I904" s="78">
        <f>IF(H904="","",HYPERLINK(H904,"Open ↗"))</f>
        <v/>
      </c>
      <c r="J904" s="72" t="n"/>
      <c r="L904" s="116">
        <f>IF('Contractors'!B904="","",'Contractors'!B904)</f>
        <v/>
      </c>
      <c r="M904" s="78">
        <f>IF(L904="","",'Contractors'!L904)</f>
        <v/>
      </c>
      <c r="N904" s="78">
        <f>IF(OR(L904="",M904&lt;&gt;"Yes"),"",IF(COUNTIFS('Vault'!$C$6:$C$1005,"Contract",'Vault'!$D$6:$D$1005,L904)&gt;0,"✓","✗ missing"))</f>
        <v/>
      </c>
      <c r="O904" s="78">
        <f>IF(OR(L904="",M904&lt;&gt;"Yes"),"",IF(COUNTIFS('Vault'!$C$6:$C$1005,"Insurance",'Vault'!$D$6:$D$1005,L904)&gt;0,"✓","✗ missing"))</f>
        <v/>
      </c>
      <c r="P904" s="78">
        <f>IF(OR(L904="",M904&lt;&gt;"Yes"),"",IF(COUNTIFS('Vault'!$C$6:$C$1005,"Quote",'Vault'!$D$6:$D$1005,L904)&gt;0,"✓","✗ missing"))</f>
        <v/>
      </c>
      <c r="Q904" s="78">
        <f>IF(N904="","",IF(AND(N904="✓",O904="✓",P904="✓"),"✓ Complete","Missing documents"))</f>
        <v/>
      </c>
      <c r="R904" s="79">
        <f>IF(Q904="","",IF(Q904="✓ Complete",0,1))</f>
        <v/>
      </c>
    </row>
    <row r="905" ht="20" customHeight="1">
      <c r="B905" s="72" t="n"/>
      <c r="C905" s="72" t="n"/>
      <c r="D905" s="72" t="n"/>
      <c r="E905" s="72" t="n"/>
      <c r="F905" s="72" t="n"/>
      <c r="G905" s="109" t="n"/>
      <c r="H905" s="72" t="n"/>
      <c r="I905" s="78">
        <f>IF(H905="","",HYPERLINK(H905,"Open ↗"))</f>
        <v/>
      </c>
      <c r="J905" s="72" t="n"/>
      <c r="L905" s="116">
        <f>IF('Contractors'!B905="","",'Contractors'!B905)</f>
        <v/>
      </c>
      <c r="M905" s="78">
        <f>IF(L905="","",'Contractors'!L905)</f>
        <v/>
      </c>
      <c r="N905" s="78">
        <f>IF(OR(L905="",M905&lt;&gt;"Yes"),"",IF(COUNTIFS('Vault'!$C$6:$C$1005,"Contract",'Vault'!$D$6:$D$1005,L905)&gt;0,"✓","✗ missing"))</f>
        <v/>
      </c>
      <c r="O905" s="78">
        <f>IF(OR(L905="",M905&lt;&gt;"Yes"),"",IF(COUNTIFS('Vault'!$C$6:$C$1005,"Insurance",'Vault'!$D$6:$D$1005,L905)&gt;0,"✓","✗ missing"))</f>
        <v/>
      </c>
      <c r="P905" s="78">
        <f>IF(OR(L905="",M905&lt;&gt;"Yes"),"",IF(COUNTIFS('Vault'!$C$6:$C$1005,"Quote",'Vault'!$D$6:$D$1005,L905)&gt;0,"✓","✗ missing"))</f>
        <v/>
      </c>
      <c r="Q905" s="78">
        <f>IF(N905="","",IF(AND(N905="✓",O905="✓",P905="✓"),"✓ Complete","Missing documents"))</f>
        <v/>
      </c>
      <c r="R905" s="79">
        <f>IF(Q905="","",IF(Q905="✓ Complete",0,1))</f>
        <v/>
      </c>
    </row>
    <row r="906" ht="20" customHeight="1">
      <c r="B906" s="72" t="n"/>
      <c r="C906" s="72" t="n"/>
      <c r="D906" s="72" t="n"/>
      <c r="E906" s="72" t="n"/>
      <c r="F906" s="72" t="n"/>
      <c r="G906" s="109" t="n"/>
      <c r="H906" s="72" t="n"/>
      <c r="I906" s="78">
        <f>IF(H906="","",HYPERLINK(H906,"Open ↗"))</f>
        <v/>
      </c>
      <c r="J906" s="72" t="n"/>
      <c r="L906" s="116">
        <f>IF('Contractors'!B906="","",'Contractors'!B906)</f>
        <v/>
      </c>
      <c r="M906" s="78">
        <f>IF(L906="","",'Contractors'!L906)</f>
        <v/>
      </c>
      <c r="N906" s="78">
        <f>IF(OR(L906="",M906&lt;&gt;"Yes"),"",IF(COUNTIFS('Vault'!$C$6:$C$1005,"Contract",'Vault'!$D$6:$D$1005,L906)&gt;0,"✓","✗ missing"))</f>
        <v/>
      </c>
      <c r="O906" s="78">
        <f>IF(OR(L906="",M906&lt;&gt;"Yes"),"",IF(COUNTIFS('Vault'!$C$6:$C$1005,"Insurance",'Vault'!$D$6:$D$1005,L906)&gt;0,"✓","✗ missing"))</f>
        <v/>
      </c>
      <c r="P906" s="78">
        <f>IF(OR(L906="",M906&lt;&gt;"Yes"),"",IF(COUNTIFS('Vault'!$C$6:$C$1005,"Quote",'Vault'!$D$6:$D$1005,L906)&gt;0,"✓","✗ missing"))</f>
        <v/>
      </c>
      <c r="Q906" s="78">
        <f>IF(N906="","",IF(AND(N906="✓",O906="✓",P906="✓"),"✓ Complete","Missing documents"))</f>
        <v/>
      </c>
      <c r="R906" s="79">
        <f>IF(Q906="","",IF(Q906="✓ Complete",0,1))</f>
        <v/>
      </c>
    </row>
    <row r="907" ht="20" customHeight="1">
      <c r="B907" s="72" t="n"/>
      <c r="C907" s="72" t="n"/>
      <c r="D907" s="72" t="n"/>
      <c r="E907" s="72" t="n"/>
      <c r="F907" s="72" t="n"/>
      <c r="G907" s="109" t="n"/>
      <c r="H907" s="72" t="n"/>
      <c r="I907" s="78">
        <f>IF(H907="","",HYPERLINK(H907,"Open ↗"))</f>
        <v/>
      </c>
      <c r="J907" s="72" t="n"/>
      <c r="L907" s="116">
        <f>IF('Contractors'!B907="","",'Contractors'!B907)</f>
        <v/>
      </c>
      <c r="M907" s="78">
        <f>IF(L907="","",'Contractors'!L907)</f>
        <v/>
      </c>
      <c r="N907" s="78">
        <f>IF(OR(L907="",M907&lt;&gt;"Yes"),"",IF(COUNTIFS('Vault'!$C$6:$C$1005,"Contract",'Vault'!$D$6:$D$1005,L907)&gt;0,"✓","✗ missing"))</f>
        <v/>
      </c>
      <c r="O907" s="78">
        <f>IF(OR(L907="",M907&lt;&gt;"Yes"),"",IF(COUNTIFS('Vault'!$C$6:$C$1005,"Insurance",'Vault'!$D$6:$D$1005,L907)&gt;0,"✓","✗ missing"))</f>
        <v/>
      </c>
      <c r="P907" s="78">
        <f>IF(OR(L907="",M907&lt;&gt;"Yes"),"",IF(COUNTIFS('Vault'!$C$6:$C$1005,"Quote",'Vault'!$D$6:$D$1005,L907)&gt;0,"✓","✗ missing"))</f>
        <v/>
      </c>
      <c r="Q907" s="78">
        <f>IF(N907="","",IF(AND(N907="✓",O907="✓",P907="✓"),"✓ Complete","Missing documents"))</f>
        <v/>
      </c>
      <c r="R907" s="79">
        <f>IF(Q907="","",IF(Q907="✓ Complete",0,1))</f>
        <v/>
      </c>
    </row>
    <row r="908" ht="20" customHeight="1">
      <c r="B908" s="72" t="n"/>
      <c r="C908" s="72" t="n"/>
      <c r="D908" s="72" t="n"/>
      <c r="E908" s="72" t="n"/>
      <c r="F908" s="72" t="n"/>
      <c r="G908" s="109" t="n"/>
      <c r="H908" s="72" t="n"/>
      <c r="I908" s="78">
        <f>IF(H908="","",HYPERLINK(H908,"Open ↗"))</f>
        <v/>
      </c>
      <c r="J908" s="72" t="n"/>
      <c r="L908" s="116">
        <f>IF('Contractors'!B908="","",'Contractors'!B908)</f>
        <v/>
      </c>
      <c r="M908" s="78">
        <f>IF(L908="","",'Contractors'!L908)</f>
        <v/>
      </c>
      <c r="N908" s="78">
        <f>IF(OR(L908="",M908&lt;&gt;"Yes"),"",IF(COUNTIFS('Vault'!$C$6:$C$1005,"Contract",'Vault'!$D$6:$D$1005,L908)&gt;0,"✓","✗ missing"))</f>
        <v/>
      </c>
      <c r="O908" s="78">
        <f>IF(OR(L908="",M908&lt;&gt;"Yes"),"",IF(COUNTIFS('Vault'!$C$6:$C$1005,"Insurance",'Vault'!$D$6:$D$1005,L908)&gt;0,"✓","✗ missing"))</f>
        <v/>
      </c>
      <c r="P908" s="78">
        <f>IF(OR(L908="",M908&lt;&gt;"Yes"),"",IF(COUNTIFS('Vault'!$C$6:$C$1005,"Quote",'Vault'!$D$6:$D$1005,L908)&gt;0,"✓","✗ missing"))</f>
        <v/>
      </c>
      <c r="Q908" s="78">
        <f>IF(N908="","",IF(AND(N908="✓",O908="✓",P908="✓"),"✓ Complete","Missing documents"))</f>
        <v/>
      </c>
      <c r="R908" s="79">
        <f>IF(Q908="","",IF(Q908="✓ Complete",0,1))</f>
        <v/>
      </c>
    </row>
    <row r="909" ht="20" customHeight="1">
      <c r="B909" s="72" t="n"/>
      <c r="C909" s="72" t="n"/>
      <c r="D909" s="72" t="n"/>
      <c r="E909" s="72" t="n"/>
      <c r="F909" s="72" t="n"/>
      <c r="G909" s="109" t="n"/>
      <c r="H909" s="72" t="n"/>
      <c r="I909" s="78">
        <f>IF(H909="","",HYPERLINK(H909,"Open ↗"))</f>
        <v/>
      </c>
      <c r="J909" s="72" t="n"/>
      <c r="L909" s="116">
        <f>IF('Contractors'!B909="","",'Contractors'!B909)</f>
        <v/>
      </c>
      <c r="M909" s="78">
        <f>IF(L909="","",'Contractors'!L909)</f>
        <v/>
      </c>
      <c r="N909" s="78">
        <f>IF(OR(L909="",M909&lt;&gt;"Yes"),"",IF(COUNTIFS('Vault'!$C$6:$C$1005,"Contract",'Vault'!$D$6:$D$1005,L909)&gt;0,"✓","✗ missing"))</f>
        <v/>
      </c>
      <c r="O909" s="78">
        <f>IF(OR(L909="",M909&lt;&gt;"Yes"),"",IF(COUNTIFS('Vault'!$C$6:$C$1005,"Insurance",'Vault'!$D$6:$D$1005,L909)&gt;0,"✓","✗ missing"))</f>
        <v/>
      </c>
      <c r="P909" s="78">
        <f>IF(OR(L909="",M909&lt;&gt;"Yes"),"",IF(COUNTIFS('Vault'!$C$6:$C$1005,"Quote",'Vault'!$D$6:$D$1005,L909)&gt;0,"✓","✗ missing"))</f>
        <v/>
      </c>
      <c r="Q909" s="78">
        <f>IF(N909="","",IF(AND(N909="✓",O909="✓",P909="✓"),"✓ Complete","Missing documents"))</f>
        <v/>
      </c>
      <c r="R909" s="79">
        <f>IF(Q909="","",IF(Q909="✓ Complete",0,1))</f>
        <v/>
      </c>
    </row>
    <row r="910" ht="20" customHeight="1">
      <c r="B910" s="72" t="n"/>
      <c r="C910" s="72" t="n"/>
      <c r="D910" s="72" t="n"/>
      <c r="E910" s="72" t="n"/>
      <c r="F910" s="72" t="n"/>
      <c r="G910" s="109" t="n"/>
      <c r="H910" s="72" t="n"/>
      <c r="I910" s="78">
        <f>IF(H910="","",HYPERLINK(H910,"Open ↗"))</f>
        <v/>
      </c>
      <c r="J910" s="72" t="n"/>
      <c r="L910" s="116">
        <f>IF('Contractors'!B910="","",'Contractors'!B910)</f>
        <v/>
      </c>
      <c r="M910" s="78">
        <f>IF(L910="","",'Contractors'!L910)</f>
        <v/>
      </c>
      <c r="N910" s="78">
        <f>IF(OR(L910="",M910&lt;&gt;"Yes"),"",IF(COUNTIFS('Vault'!$C$6:$C$1005,"Contract",'Vault'!$D$6:$D$1005,L910)&gt;0,"✓","✗ missing"))</f>
        <v/>
      </c>
      <c r="O910" s="78">
        <f>IF(OR(L910="",M910&lt;&gt;"Yes"),"",IF(COUNTIFS('Vault'!$C$6:$C$1005,"Insurance",'Vault'!$D$6:$D$1005,L910)&gt;0,"✓","✗ missing"))</f>
        <v/>
      </c>
      <c r="P910" s="78">
        <f>IF(OR(L910="",M910&lt;&gt;"Yes"),"",IF(COUNTIFS('Vault'!$C$6:$C$1005,"Quote",'Vault'!$D$6:$D$1005,L910)&gt;0,"✓","✗ missing"))</f>
        <v/>
      </c>
      <c r="Q910" s="78">
        <f>IF(N910="","",IF(AND(N910="✓",O910="✓",P910="✓"),"✓ Complete","Missing documents"))</f>
        <v/>
      </c>
      <c r="R910" s="79">
        <f>IF(Q910="","",IF(Q910="✓ Complete",0,1))</f>
        <v/>
      </c>
    </row>
    <row r="911" ht="20" customHeight="1">
      <c r="B911" s="72" t="n"/>
      <c r="C911" s="72" t="n"/>
      <c r="D911" s="72" t="n"/>
      <c r="E911" s="72" t="n"/>
      <c r="F911" s="72" t="n"/>
      <c r="G911" s="109" t="n"/>
      <c r="H911" s="72" t="n"/>
      <c r="I911" s="78">
        <f>IF(H911="","",HYPERLINK(H911,"Open ↗"))</f>
        <v/>
      </c>
      <c r="J911" s="72" t="n"/>
      <c r="L911" s="116">
        <f>IF('Contractors'!B911="","",'Contractors'!B911)</f>
        <v/>
      </c>
      <c r="M911" s="78">
        <f>IF(L911="","",'Contractors'!L911)</f>
        <v/>
      </c>
      <c r="N911" s="78">
        <f>IF(OR(L911="",M911&lt;&gt;"Yes"),"",IF(COUNTIFS('Vault'!$C$6:$C$1005,"Contract",'Vault'!$D$6:$D$1005,L911)&gt;0,"✓","✗ missing"))</f>
        <v/>
      </c>
      <c r="O911" s="78">
        <f>IF(OR(L911="",M911&lt;&gt;"Yes"),"",IF(COUNTIFS('Vault'!$C$6:$C$1005,"Insurance",'Vault'!$D$6:$D$1005,L911)&gt;0,"✓","✗ missing"))</f>
        <v/>
      </c>
      <c r="P911" s="78">
        <f>IF(OR(L911="",M911&lt;&gt;"Yes"),"",IF(COUNTIFS('Vault'!$C$6:$C$1005,"Quote",'Vault'!$D$6:$D$1005,L911)&gt;0,"✓","✗ missing"))</f>
        <v/>
      </c>
      <c r="Q911" s="78">
        <f>IF(N911="","",IF(AND(N911="✓",O911="✓",P911="✓"),"✓ Complete","Missing documents"))</f>
        <v/>
      </c>
      <c r="R911" s="79">
        <f>IF(Q911="","",IF(Q911="✓ Complete",0,1))</f>
        <v/>
      </c>
    </row>
    <row r="912" ht="20" customHeight="1">
      <c r="B912" s="72" t="n"/>
      <c r="C912" s="72" t="n"/>
      <c r="D912" s="72" t="n"/>
      <c r="E912" s="72" t="n"/>
      <c r="F912" s="72" t="n"/>
      <c r="G912" s="109" t="n"/>
      <c r="H912" s="72" t="n"/>
      <c r="I912" s="78">
        <f>IF(H912="","",HYPERLINK(H912,"Open ↗"))</f>
        <v/>
      </c>
      <c r="J912" s="72" t="n"/>
      <c r="L912" s="116">
        <f>IF('Contractors'!B912="","",'Contractors'!B912)</f>
        <v/>
      </c>
      <c r="M912" s="78">
        <f>IF(L912="","",'Contractors'!L912)</f>
        <v/>
      </c>
      <c r="N912" s="78">
        <f>IF(OR(L912="",M912&lt;&gt;"Yes"),"",IF(COUNTIFS('Vault'!$C$6:$C$1005,"Contract",'Vault'!$D$6:$D$1005,L912)&gt;0,"✓","✗ missing"))</f>
        <v/>
      </c>
      <c r="O912" s="78">
        <f>IF(OR(L912="",M912&lt;&gt;"Yes"),"",IF(COUNTIFS('Vault'!$C$6:$C$1005,"Insurance",'Vault'!$D$6:$D$1005,L912)&gt;0,"✓","✗ missing"))</f>
        <v/>
      </c>
      <c r="P912" s="78">
        <f>IF(OR(L912="",M912&lt;&gt;"Yes"),"",IF(COUNTIFS('Vault'!$C$6:$C$1005,"Quote",'Vault'!$D$6:$D$1005,L912)&gt;0,"✓","✗ missing"))</f>
        <v/>
      </c>
      <c r="Q912" s="78">
        <f>IF(N912="","",IF(AND(N912="✓",O912="✓",P912="✓"),"✓ Complete","Missing documents"))</f>
        <v/>
      </c>
      <c r="R912" s="79">
        <f>IF(Q912="","",IF(Q912="✓ Complete",0,1))</f>
        <v/>
      </c>
    </row>
    <row r="913" ht="20" customHeight="1">
      <c r="B913" s="72" t="n"/>
      <c r="C913" s="72" t="n"/>
      <c r="D913" s="72" t="n"/>
      <c r="E913" s="72" t="n"/>
      <c r="F913" s="72" t="n"/>
      <c r="G913" s="109" t="n"/>
      <c r="H913" s="72" t="n"/>
      <c r="I913" s="78">
        <f>IF(H913="","",HYPERLINK(H913,"Open ↗"))</f>
        <v/>
      </c>
      <c r="J913" s="72" t="n"/>
      <c r="L913" s="116">
        <f>IF('Contractors'!B913="","",'Contractors'!B913)</f>
        <v/>
      </c>
      <c r="M913" s="78">
        <f>IF(L913="","",'Contractors'!L913)</f>
        <v/>
      </c>
      <c r="N913" s="78">
        <f>IF(OR(L913="",M913&lt;&gt;"Yes"),"",IF(COUNTIFS('Vault'!$C$6:$C$1005,"Contract",'Vault'!$D$6:$D$1005,L913)&gt;0,"✓","✗ missing"))</f>
        <v/>
      </c>
      <c r="O913" s="78">
        <f>IF(OR(L913="",M913&lt;&gt;"Yes"),"",IF(COUNTIFS('Vault'!$C$6:$C$1005,"Insurance",'Vault'!$D$6:$D$1005,L913)&gt;0,"✓","✗ missing"))</f>
        <v/>
      </c>
      <c r="P913" s="78">
        <f>IF(OR(L913="",M913&lt;&gt;"Yes"),"",IF(COUNTIFS('Vault'!$C$6:$C$1005,"Quote",'Vault'!$D$6:$D$1005,L913)&gt;0,"✓","✗ missing"))</f>
        <v/>
      </c>
      <c r="Q913" s="78">
        <f>IF(N913="","",IF(AND(N913="✓",O913="✓",P913="✓"),"✓ Complete","Missing documents"))</f>
        <v/>
      </c>
      <c r="R913" s="79">
        <f>IF(Q913="","",IF(Q913="✓ Complete",0,1))</f>
        <v/>
      </c>
    </row>
    <row r="914" ht="20" customHeight="1">
      <c r="B914" s="72" t="n"/>
      <c r="C914" s="72" t="n"/>
      <c r="D914" s="72" t="n"/>
      <c r="E914" s="72" t="n"/>
      <c r="F914" s="72" t="n"/>
      <c r="G914" s="109" t="n"/>
      <c r="H914" s="72" t="n"/>
      <c r="I914" s="78">
        <f>IF(H914="","",HYPERLINK(H914,"Open ↗"))</f>
        <v/>
      </c>
      <c r="J914" s="72" t="n"/>
      <c r="L914" s="116">
        <f>IF('Contractors'!B914="","",'Contractors'!B914)</f>
        <v/>
      </c>
      <c r="M914" s="78">
        <f>IF(L914="","",'Contractors'!L914)</f>
        <v/>
      </c>
      <c r="N914" s="78">
        <f>IF(OR(L914="",M914&lt;&gt;"Yes"),"",IF(COUNTIFS('Vault'!$C$6:$C$1005,"Contract",'Vault'!$D$6:$D$1005,L914)&gt;0,"✓","✗ missing"))</f>
        <v/>
      </c>
      <c r="O914" s="78">
        <f>IF(OR(L914="",M914&lt;&gt;"Yes"),"",IF(COUNTIFS('Vault'!$C$6:$C$1005,"Insurance",'Vault'!$D$6:$D$1005,L914)&gt;0,"✓","✗ missing"))</f>
        <v/>
      </c>
      <c r="P914" s="78">
        <f>IF(OR(L914="",M914&lt;&gt;"Yes"),"",IF(COUNTIFS('Vault'!$C$6:$C$1005,"Quote",'Vault'!$D$6:$D$1005,L914)&gt;0,"✓","✗ missing"))</f>
        <v/>
      </c>
      <c r="Q914" s="78">
        <f>IF(N914="","",IF(AND(N914="✓",O914="✓",P914="✓"),"✓ Complete","Missing documents"))</f>
        <v/>
      </c>
      <c r="R914" s="79">
        <f>IF(Q914="","",IF(Q914="✓ Complete",0,1))</f>
        <v/>
      </c>
    </row>
    <row r="915" ht="20" customHeight="1">
      <c r="B915" s="72" t="n"/>
      <c r="C915" s="72" t="n"/>
      <c r="D915" s="72" t="n"/>
      <c r="E915" s="72" t="n"/>
      <c r="F915" s="72" t="n"/>
      <c r="G915" s="109" t="n"/>
      <c r="H915" s="72" t="n"/>
      <c r="I915" s="78">
        <f>IF(H915="","",HYPERLINK(H915,"Open ↗"))</f>
        <v/>
      </c>
      <c r="J915" s="72" t="n"/>
      <c r="L915" s="116">
        <f>IF('Contractors'!B915="","",'Contractors'!B915)</f>
        <v/>
      </c>
      <c r="M915" s="78">
        <f>IF(L915="","",'Contractors'!L915)</f>
        <v/>
      </c>
      <c r="N915" s="78">
        <f>IF(OR(L915="",M915&lt;&gt;"Yes"),"",IF(COUNTIFS('Vault'!$C$6:$C$1005,"Contract",'Vault'!$D$6:$D$1005,L915)&gt;0,"✓","✗ missing"))</f>
        <v/>
      </c>
      <c r="O915" s="78">
        <f>IF(OR(L915="",M915&lt;&gt;"Yes"),"",IF(COUNTIFS('Vault'!$C$6:$C$1005,"Insurance",'Vault'!$D$6:$D$1005,L915)&gt;0,"✓","✗ missing"))</f>
        <v/>
      </c>
      <c r="P915" s="78">
        <f>IF(OR(L915="",M915&lt;&gt;"Yes"),"",IF(COUNTIFS('Vault'!$C$6:$C$1005,"Quote",'Vault'!$D$6:$D$1005,L915)&gt;0,"✓","✗ missing"))</f>
        <v/>
      </c>
      <c r="Q915" s="78">
        <f>IF(N915="","",IF(AND(N915="✓",O915="✓",P915="✓"),"✓ Complete","Missing documents"))</f>
        <v/>
      </c>
      <c r="R915" s="79">
        <f>IF(Q915="","",IF(Q915="✓ Complete",0,1))</f>
        <v/>
      </c>
    </row>
    <row r="916" ht="20" customHeight="1">
      <c r="B916" s="72" t="n"/>
      <c r="C916" s="72" t="n"/>
      <c r="D916" s="72" t="n"/>
      <c r="E916" s="72" t="n"/>
      <c r="F916" s="72" t="n"/>
      <c r="G916" s="109" t="n"/>
      <c r="H916" s="72" t="n"/>
      <c r="I916" s="78">
        <f>IF(H916="","",HYPERLINK(H916,"Open ↗"))</f>
        <v/>
      </c>
      <c r="J916" s="72" t="n"/>
      <c r="L916" s="116">
        <f>IF('Contractors'!B916="","",'Contractors'!B916)</f>
        <v/>
      </c>
      <c r="M916" s="78">
        <f>IF(L916="","",'Contractors'!L916)</f>
        <v/>
      </c>
      <c r="N916" s="78">
        <f>IF(OR(L916="",M916&lt;&gt;"Yes"),"",IF(COUNTIFS('Vault'!$C$6:$C$1005,"Contract",'Vault'!$D$6:$D$1005,L916)&gt;0,"✓","✗ missing"))</f>
        <v/>
      </c>
      <c r="O916" s="78">
        <f>IF(OR(L916="",M916&lt;&gt;"Yes"),"",IF(COUNTIFS('Vault'!$C$6:$C$1005,"Insurance",'Vault'!$D$6:$D$1005,L916)&gt;0,"✓","✗ missing"))</f>
        <v/>
      </c>
      <c r="P916" s="78">
        <f>IF(OR(L916="",M916&lt;&gt;"Yes"),"",IF(COUNTIFS('Vault'!$C$6:$C$1005,"Quote",'Vault'!$D$6:$D$1005,L916)&gt;0,"✓","✗ missing"))</f>
        <v/>
      </c>
      <c r="Q916" s="78">
        <f>IF(N916="","",IF(AND(N916="✓",O916="✓",P916="✓"),"✓ Complete","Missing documents"))</f>
        <v/>
      </c>
      <c r="R916" s="79">
        <f>IF(Q916="","",IF(Q916="✓ Complete",0,1))</f>
        <v/>
      </c>
    </row>
    <row r="917" ht="20" customHeight="1">
      <c r="B917" s="72" t="n"/>
      <c r="C917" s="72" t="n"/>
      <c r="D917" s="72" t="n"/>
      <c r="E917" s="72" t="n"/>
      <c r="F917" s="72" t="n"/>
      <c r="G917" s="109" t="n"/>
      <c r="H917" s="72" t="n"/>
      <c r="I917" s="78">
        <f>IF(H917="","",HYPERLINK(H917,"Open ↗"))</f>
        <v/>
      </c>
      <c r="J917" s="72" t="n"/>
      <c r="L917" s="116">
        <f>IF('Contractors'!B917="","",'Contractors'!B917)</f>
        <v/>
      </c>
      <c r="M917" s="78">
        <f>IF(L917="","",'Contractors'!L917)</f>
        <v/>
      </c>
      <c r="N917" s="78">
        <f>IF(OR(L917="",M917&lt;&gt;"Yes"),"",IF(COUNTIFS('Vault'!$C$6:$C$1005,"Contract",'Vault'!$D$6:$D$1005,L917)&gt;0,"✓","✗ missing"))</f>
        <v/>
      </c>
      <c r="O917" s="78">
        <f>IF(OR(L917="",M917&lt;&gt;"Yes"),"",IF(COUNTIFS('Vault'!$C$6:$C$1005,"Insurance",'Vault'!$D$6:$D$1005,L917)&gt;0,"✓","✗ missing"))</f>
        <v/>
      </c>
      <c r="P917" s="78">
        <f>IF(OR(L917="",M917&lt;&gt;"Yes"),"",IF(COUNTIFS('Vault'!$C$6:$C$1005,"Quote",'Vault'!$D$6:$D$1005,L917)&gt;0,"✓","✗ missing"))</f>
        <v/>
      </c>
      <c r="Q917" s="78">
        <f>IF(N917="","",IF(AND(N917="✓",O917="✓",P917="✓"),"✓ Complete","Missing documents"))</f>
        <v/>
      </c>
      <c r="R917" s="79">
        <f>IF(Q917="","",IF(Q917="✓ Complete",0,1))</f>
        <v/>
      </c>
    </row>
    <row r="918" ht="20" customHeight="1">
      <c r="B918" s="72" t="n"/>
      <c r="C918" s="72" t="n"/>
      <c r="D918" s="72" t="n"/>
      <c r="E918" s="72" t="n"/>
      <c r="F918" s="72" t="n"/>
      <c r="G918" s="109" t="n"/>
      <c r="H918" s="72" t="n"/>
      <c r="I918" s="78">
        <f>IF(H918="","",HYPERLINK(H918,"Open ↗"))</f>
        <v/>
      </c>
      <c r="J918" s="72" t="n"/>
      <c r="L918" s="116">
        <f>IF('Contractors'!B918="","",'Contractors'!B918)</f>
        <v/>
      </c>
      <c r="M918" s="78">
        <f>IF(L918="","",'Contractors'!L918)</f>
        <v/>
      </c>
      <c r="N918" s="78">
        <f>IF(OR(L918="",M918&lt;&gt;"Yes"),"",IF(COUNTIFS('Vault'!$C$6:$C$1005,"Contract",'Vault'!$D$6:$D$1005,L918)&gt;0,"✓","✗ missing"))</f>
        <v/>
      </c>
      <c r="O918" s="78">
        <f>IF(OR(L918="",M918&lt;&gt;"Yes"),"",IF(COUNTIFS('Vault'!$C$6:$C$1005,"Insurance",'Vault'!$D$6:$D$1005,L918)&gt;0,"✓","✗ missing"))</f>
        <v/>
      </c>
      <c r="P918" s="78">
        <f>IF(OR(L918="",M918&lt;&gt;"Yes"),"",IF(COUNTIFS('Vault'!$C$6:$C$1005,"Quote",'Vault'!$D$6:$D$1005,L918)&gt;0,"✓","✗ missing"))</f>
        <v/>
      </c>
      <c r="Q918" s="78">
        <f>IF(N918="","",IF(AND(N918="✓",O918="✓",P918="✓"),"✓ Complete","Missing documents"))</f>
        <v/>
      </c>
      <c r="R918" s="79">
        <f>IF(Q918="","",IF(Q918="✓ Complete",0,1))</f>
        <v/>
      </c>
    </row>
    <row r="919" ht="20" customHeight="1">
      <c r="B919" s="72" t="n"/>
      <c r="C919" s="72" t="n"/>
      <c r="D919" s="72" t="n"/>
      <c r="E919" s="72" t="n"/>
      <c r="F919" s="72" t="n"/>
      <c r="G919" s="109" t="n"/>
      <c r="H919" s="72" t="n"/>
      <c r="I919" s="78">
        <f>IF(H919="","",HYPERLINK(H919,"Open ↗"))</f>
        <v/>
      </c>
      <c r="J919" s="72" t="n"/>
      <c r="L919" s="116">
        <f>IF('Contractors'!B919="","",'Contractors'!B919)</f>
        <v/>
      </c>
      <c r="M919" s="78">
        <f>IF(L919="","",'Contractors'!L919)</f>
        <v/>
      </c>
      <c r="N919" s="78">
        <f>IF(OR(L919="",M919&lt;&gt;"Yes"),"",IF(COUNTIFS('Vault'!$C$6:$C$1005,"Contract",'Vault'!$D$6:$D$1005,L919)&gt;0,"✓","✗ missing"))</f>
        <v/>
      </c>
      <c r="O919" s="78">
        <f>IF(OR(L919="",M919&lt;&gt;"Yes"),"",IF(COUNTIFS('Vault'!$C$6:$C$1005,"Insurance",'Vault'!$D$6:$D$1005,L919)&gt;0,"✓","✗ missing"))</f>
        <v/>
      </c>
      <c r="P919" s="78">
        <f>IF(OR(L919="",M919&lt;&gt;"Yes"),"",IF(COUNTIFS('Vault'!$C$6:$C$1005,"Quote",'Vault'!$D$6:$D$1005,L919)&gt;0,"✓","✗ missing"))</f>
        <v/>
      </c>
      <c r="Q919" s="78">
        <f>IF(N919="","",IF(AND(N919="✓",O919="✓",P919="✓"),"✓ Complete","Missing documents"))</f>
        <v/>
      </c>
      <c r="R919" s="79">
        <f>IF(Q919="","",IF(Q919="✓ Complete",0,1))</f>
        <v/>
      </c>
    </row>
    <row r="920" ht="20" customHeight="1">
      <c r="B920" s="72" t="n"/>
      <c r="C920" s="72" t="n"/>
      <c r="D920" s="72" t="n"/>
      <c r="E920" s="72" t="n"/>
      <c r="F920" s="72" t="n"/>
      <c r="G920" s="109" t="n"/>
      <c r="H920" s="72" t="n"/>
      <c r="I920" s="78">
        <f>IF(H920="","",HYPERLINK(H920,"Open ↗"))</f>
        <v/>
      </c>
      <c r="J920" s="72" t="n"/>
      <c r="L920" s="116">
        <f>IF('Contractors'!B920="","",'Contractors'!B920)</f>
        <v/>
      </c>
      <c r="M920" s="78">
        <f>IF(L920="","",'Contractors'!L920)</f>
        <v/>
      </c>
      <c r="N920" s="78">
        <f>IF(OR(L920="",M920&lt;&gt;"Yes"),"",IF(COUNTIFS('Vault'!$C$6:$C$1005,"Contract",'Vault'!$D$6:$D$1005,L920)&gt;0,"✓","✗ missing"))</f>
        <v/>
      </c>
      <c r="O920" s="78">
        <f>IF(OR(L920="",M920&lt;&gt;"Yes"),"",IF(COUNTIFS('Vault'!$C$6:$C$1005,"Insurance",'Vault'!$D$6:$D$1005,L920)&gt;0,"✓","✗ missing"))</f>
        <v/>
      </c>
      <c r="P920" s="78">
        <f>IF(OR(L920="",M920&lt;&gt;"Yes"),"",IF(COUNTIFS('Vault'!$C$6:$C$1005,"Quote",'Vault'!$D$6:$D$1005,L920)&gt;0,"✓","✗ missing"))</f>
        <v/>
      </c>
      <c r="Q920" s="78">
        <f>IF(N920="","",IF(AND(N920="✓",O920="✓",P920="✓"),"✓ Complete","Missing documents"))</f>
        <v/>
      </c>
      <c r="R920" s="79">
        <f>IF(Q920="","",IF(Q920="✓ Complete",0,1))</f>
        <v/>
      </c>
    </row>
    <row r="921" ht="20" customHeight="1">
      <c r="B921" s="72" t="n"/>
      <c r="C921" s="72" t="n"/>
      <c r="D921" s="72" t="n"/>
      <c r="E921" s="72" t="n"/>
      <c r="F921" s="72" t="n"/>
      <c r="G921" s="109" t="n"/>
      <c r="H921" s="72" t="n"/>
      <c r="I921" s="78">
        <f>IF(H921="","",HYPERLINK(H921,"Open ↗"))</f>
        <v/>
      </c>
      <c r="J921" s="72" t="n"/>
      <c r="L921" s="116">
        <f>IF('Contractors'!B921="","",'Contractors'!B921)</f>
        <v/>
      </c>
      <c r="M921" s="78">
        <f>IF(L921="","",'Contractors'!L921)</f>
        <v/>
      </c>
      <c r="N921" s="78">
        <f>IF(OR(L921="",M921&lt;&gt;"Yes"),"",IF(COUNTIFS('Vault'!$C$6:$C$1005,"Contract",'Vault'!$D$6:$D$1005,L921)&gt;0,"✓","✗ missing"))</f>
        <v/>
      </c>
      <c r="O921" s="78">
        <f>IF(OR(L921="",M921&lt;&gt;"Yes"),"",IF(COUNTIFS('Vault'!$C$6:$C$1005,"Insurance",'Vault'!$D$6:$D$1005,L921)&gt;0,"✓","✗ missing"))</f>
        <v/>
      </c>
      <c r="P921" s="78">
        <f>IF(OR(L921="",M921&lt;&gt;"Yes"),"",IF(COUNTIFS('Vault'!$C$6:$C$1005,"Quote",'Vault'!$D$6:$D$1005,L921)&gt;0,"✓","✗ missing"))</f>
        <v/>
      </c>
      <c r="Q921" s="78">
        <f>IF(N921="","",IF(AND(N921="✓",O921="✓",P921="✓"),"✓ Complete","Missing documents"))</f>
        <v/>
      </c>
      <c r="R921" s="79">
        <f>IF(Q921="","",IF(Q921="✓ Complete",0,1))</f>
        <v/>
      </c>
    </row>
    <row r="922" ht="20" customHeight="1">
      <c r="B922" s="72" t="n"/>
      <c r="C922" s="72" t="n"/>
      <c r="D922" s="72" t="n"/>
      <c r="E922" s="72" t="n"/>
      <c r="F922" s="72" t="n"/>
      <c r="G922" s="109" t="n"/>
      <c r="H922" s="72" t="n"/>
      <c r="I922" s="78">
        <f>IF(H922="","",HYPERLINK(H922,"Open ↗"))</f>
        <v/>
      </c>
      <c r="J922" s="72" t="n"/>
      <c r="L922" s="116">
        <f>IF('Contractors'!B922="","",'Contractors'!B922)</f>
        <v/>
      </c>
      <c r="M922" s="78">
        <f>IF(L922="","",'Contractors'!L922)</f>
        <v/>
      </c>
      <c r="N922" s="78">
        <f>IF(OR(L922="",M922&lt;&gt;"Yes"),"",IF(COUNTIFS('Vault'!$C$6:$C$1005,"Contract",'Vault'!$D$6:$D$1005,L922)&gt;0,"✓","✗ missing"))</f>
        <v/>
      </c>
      <c r="O922" s="78">
        <f>IF(OR(L922="",M922&lt;&gt;"Yes"),"",IF(COUNTIFS('Vault'!$C$6:$C$1005,"Insurance",'Vault'!$D$6:$D$1005,L922)&gt;0,"✓","✗ missing"))</f>
        <v/>
      </c>
      <c r="P922" s="78">
        <f>IF(OR(L922="",M922&lt;&gt;"Yes"),"",IF(COUNTIFS('Vault'!$C$6:$C$1005,"Quote",'Vault'!$D$6:$D$1005,L922)&gt;0,"✓","✗ missing"))</f>
        <v/>
      </c>
      <c r="Q922" s="78">
        <f>IF(N922="","",IF(AND(N922="✓",O922="✓",P922="✓"),"✓ Complete","Missing documents"))</f>
        <v/>
      </c>
      <c r="R922" s="79">
        <f>IF(Q922="","",IF(Q922="✓ Complete",0,1))</f>
        <v/>
      </c>
    </row>
    <row r="923" ht="20" customHeight="1">
      <c r="B923" s="72" t="n"/>
      <c r="C923" s="72" t="n"/>
      <c r="D923" s="72" t="n"/>
      <c r="E923" s="72" t="n"/>
      <c r="F923" s="72" t="n"/>
      <c r="G923" s="109" t="n"/>
      <c r="H923" s="72" t="n"/>
      <c r="I923" s="78">
        <f>IF(H923="","",HYPERLINK(H923,"Open ↗"))</f>
        <v/>
      </c>
      <c r="J923" s="72" t="n"/>
      <c r="L923" s="116">
        <f>IF('Contractors'!B923="","",'Contractors'!B923)</f>
        <v/>
      </c>
      <c r="M923" s="78">
        <f>IF(L923="","",'Contractors'!L923)</f>
        <v/>
      </c>
      <c r="N923" s="78">
        <f>IF(OR(L923="",M923&lt;&gt;"Yes"),"",IF(COUNTIFS('Vault'!$C$6:$C$1005,"Contract",'Vault'!$D$6:$D$1005,L923)&gt;0,"✓","✗ missing"))</f>
        <v/>
      </c>
      <c r="O923" s="78">
        <f>IF(OR(L923="",M923&lt;&gt;"Yes"),"",IF(COUNTIFS('Vault'!$C$6:$C$1005,"Insurance",'Vault'!$D$6:$D$1005,L923)&gt;0,"✓","✗ missing"))</f>
        <v/>
      </c>
      <c r="P923" s="78">
        <f>IF(OR(L923="",M923&lt;&gt;"Yes"),"",IF(COUNTIFS('Vault'!$C$6:$C$1005,"Quote",'Vault'!$D$6:$D$1005,L923)&gt;0,"✓","✗ missing"))</f>
        <v/>
      </c>
      <c r="Q923" s="78">
        <f>IF(N923="","",IF(AND(N923="✓",O923="✓",P923="✓"),"✓ Complete","Missing documents"))</f>
        <v/>
      </c>
      <c r="R923" s="79">
        <f>IF(Q923="","",IF(Q923="✓ Complete",0,1))</f>
        <v/>
      </c>
    </row>
    <row r="924" ht="20" customHeight="1">
      <c r="B924" s="72" t="n"/>
      <c r="C924" s="72" t="n"/>
      <c r="D924" s="72" t="n"/>
      <c r="E924" s="72" t="n"/>
      <c r="F924" s="72" t="n"/>
      <c r="G924" s="109" t="n"/>
      <c r="H924" s="72" t="n"/>
      <c r="I924" s="78">
        <f>IF(H924="","",HYPERLINK(H924,"Open ↗"))</f>
        <v/>
      </c>
      <c r="J924" s="72" t="n"/>
      <c r="L924" s="116">
        <f>IF('Contractors'!B924="","",'Contractors'!B924)</f>
        <v/>
      </c>
      <c r="M924" s="78">
        <f>IF(L924="","",'Contractors'!L924)</f>
        <v/>
      </c>
      <c r="N924" s="78">
        <f>IF(OR(L924="",M924&lt;&gt;"Yes"),"",IF(COUNTIFS('Vault'!$C$6:$C$1005,"Contract",'Vault'!$D$6:$D$1005,L924)&gt;0,"✓","✗ missing"))</f>
        <v/>
      </c>
      <c r="O924" s="78">
        <f>IF(OR(L924="",M924&lt;&gt;"Yes"),"",IF(COUNTIFS('Vault'!$C$6:$C$1005,"Insurance",'Vault'!$D$6:$D$1005,L924)&gt;0,"✓","✗ missing"))</f>
        <v/>
      </c>
      <c r="P924" s="78">
        <f>IF(OR(L924="",M924&lt;&gt;"Yes"),"",IF(COUNTIFS('Vault'!$C$6:$C$1005,"Quote",'Vault'!$D$6:$D$1005,L924)&gt;0,"✓","✗ missing"))</f>
        <v/>
      </c>
      <c r="Q924" s="78">
        <f>IF(N924="","",IF(AND(N924="✓",O924="✓",P924="✓"),"✓ Complete","Missing documents"))</f>
        <v/>
      </c>
      <c r="R924" s="79">
        <f>IF(Q924="","",IF(Q924="✓ Complete",0,1))</f>
        <v/>
      </c>
    </row>
    <row r="925" ht="20" customHeight="1">
      <c r="B925" s="72" t="n"/>
      <c r="C925" s="72" t="n"/>
      <c r="D925" s="72" t="n"/>
      <c r="E925" s="72" t="n"/>
      <c r="F925" s="72" t="n"/>
      <c r="G925" s="109" t="n"/>
      <c r="H925" s="72" t="n"/>
      <c r="I925" s="78">
        <f>IF(H925="","",HYPERLINK(H925,"Open ↗"))</f>
        <v/>
      </c>
      <c r="J925" s="72" t="n"/>
      <c r="L925" s="116">
        <f>IF('Contractors'!B925="","",'Contractors'!B925)</f>
        <v/>
      </c>
      <c r="M925" s="78">
        <f>IF(L925="","",'Contractors'!L925)</f>
        <v/>
      </c>
      <c r="N925" s="78">
        <f>IF(OR(L925="",M925&lt;&gt;"Yes"),"",IF(COUNTIFS('Vault'!$C$6:$C$1005,"Contract",'Vault'!$D$6:$D$1005,L925)&gt;0,"✓","✗ missing"))</f>
        <v/>
      </c>
      <c r="O925" s="78">
        <f>IF(OR(L925="",M925&lt;&gt;"Yes"),"",IF(COUNTIFS('Vault'!$C$6:$C$1005,"Insurance",'Vault'!$D$6:$D$1005,L925)&gt;0,"✓","✗ missing"))</f>
        <v/>
      </c>
      <c r="P925" s="78">
        <f>IF(OR(L925="",M925&lt;&gt;"Yes"),"",IF(COUNTIFS('Vault'!$C$6:$C$1005,"Quote",'Vault'!$D$6:$D$1005,L925)&gt;0,"✓","✗ missing"))</f>
        <v/>
      </c>
      <c r="Q925" s="78">
        <f>IF(N925="","",IF(AND(N925="✓",O925="✓",P925="✓"),"✓ Complete","Missing documents"))</f>
        <v/>
      </c>
      <c r="R925" s="79">
        <f>IF(Q925="","",IF(Q925="✓ Complete",0,1))</f>
        <v/>
      </c>
    </row>
    <row r="926" ht="20" customHeight="1">
      <c r="B926" s="72" t="n"/>
      <c r="C926" s="72" t="n"/>
      <c r="D926" s="72" t="n"/>
      <c r="E926" s="72" t="n"/>
      <c r="F926" s="72" t="n"/>
      <c r="G926" s="109" t="n"/>
      <c r="H926" s="72" t="n"/>
      <c r="I926" s="78">
        <f>IF(H926="","",HYPERLINK(H926,"Open ↗"))</f>
        <v/>
      </c>
      <c r="J926" s="72" t="n"/>
      <c r="L926" s="116">
        <f>IF('Contractors'!B926="","",'Contractors'!B926)</f>
        <v/>
      </c>
      <c r="M926" s="78">
        <f>IF(L926="","",'Contractors'!L926)</f>
        <v/>
      </c>
      <c r="N926" s="78">
        <f>IF(OR(L926="",M926&lt;&gt;"Yes"),"",IF(COUNTIFS('Vault'!$C$6:$C$1005,"Contract",'Vault'!$D$6:$D$1005,L926)&gt;0,"✓","✗ missing"))</f>
        <v/>
      </c>
      <c r="O926" s="78">
        <f>IF(OR(L926="",M926&lt;&gt;"Yes"),"",IF(COUNTIFS('Vault'!$C$6:$C$1005,"Insurance",'Vault'!$D$6:$D$1005,L926)&gt;0,"✓","✗ missing"))</f>
        <v/>
      </c>
      <c r="P926" s="78">
        <f>IF(OR(L926="",M926&lt;&gt;"Yes"),"",IF(COUNTIFS('Vault'!$C$6:$C$1005,"Quote",'Vault'!$D$6:$D$1005,L926)&gt;0,"✓","✗ missing"))</f>
        <v/>
      </c>
      <c r="Q926" s="78">
        <f>IF(N926="","",IF(AND(N926="✓",O926="✓",P926="✓"),"✓ Complete","Missing documents"))</f>
        <v/>
      </c>
      <c r="R926" s="79">
        <f>IF(Q926="","",IF(Q926="✓ Complete",0,1))</f>
        <v/>
      </c>
    </row>
    <row r="927" ht="20" customHeight="1">
      <c r="B927" s="72" t="n"/>
      <c r="C927" s="72" t="n"/>
      <c r="D927" s="72" t="n"/>
      <c r="E927" s="72" t="n"/>
      <c r="F927" s="72" t="n"/>
      <c r="G927" s="109" t="n"/>
      <c r="H927" s="72" t="n"/>
      <c r="I927" s="78">
        <f>IF(H927="","",HYPERLINK(H927,"Open ↗"))</f>
        <v/>
      </c>
      <c r="J927" s="72" t="n"/>
      <c r="L927" s="116">
        <f>IF('Contractors'!B927="","",'Contractors'!B927)</f>
        <v/>
      </c>
      <c r="M927" s="78">
        <f>IF(L927="","",'Contractors'!L927)</f>
        <v/>
      </c>
      <c r="N927" s="78">
        <f>IF(OR(L927="",M927&lt;&gt;"Yes"),"",IF(COUNTIFS('Vault'!$C$6:$C$1005,"Contract",'Vault'!$D$6:$D$1005,L927)&gt;0,"✓","✗ missing"))</f>
        <v/>
      </c>
      <c r="O927" s="78">
        <f>IF(OR(L927="",M927&lt;&gt;"Yes"),"",IF(COUNTIFS('Vault'!$C$6:$C$1005,"Insurance",'Vault'!$D$6:$D$1005,L927)&gt;0,"✓","✗ missing"))</f>
        <v/>
      </c>
      <c r="P927" s="78">
        <f>IF(OR(L927="",M927&lt;&gt;"Yes"),"",IF(COUNTIFS('Vault'!$C$6:$C$1005,"Quote",'Vault'!$D$6:$D$1005,L927)&gt;0,"✓","✗ missing"))</f>
        <v/>
      </c>
      <c r="Q927" s="78">
        <f>IF(N927="","",IF(AND(N927="✓",O927="✓",P927="✓"),"✓ Complete","Missing documents"))</f>
        <v/>
      </c>
      <c r="R927" s="79">
        <f>IF(Q927="","",IF(Q927="✓ Complete",0,1))</f>
        <v/>
      </c>
    </row>
    <row r="928" ht="20" customHeight="1">
      <c r="B928" s="72" t="n"/>
      <c r="C928" s="72" t="n"/>
      <c r="D928" s="72" t="n"/>
      <c r="E928" s="72" t="n"/>
      <c r="F928" s="72" t="n"/>
      <c r="G928" s="109" t="n"/>
      <c r="H928" s="72" t="n"/>
      <c r="I928" s="78">
        <f>IF(H928="","",HYPERLINK(H928,"Open ↗"))</f>
        <v/>
      </c>
      <c r="J928" s="72" t="n"/>
      <c r="L928" s="116">
        <f>IF('Contractors'!B928="","",'Contractors'!B928)</f>
        <v/>
      </c>
      <c r="M928" s="78">
        <f>IF(L928="","",'Contractors'!L928)</f>
        <v/>
      </c>
      <c r="N928" s="78">
        <f>IF(OR(L928="",M928&lt;&gt;"Yes"),"",IF(COUNTIFS('Vault'!$C$6:$C$1005,"Contract",'Vault'!$D$6:$D$1005,L928)&gt;0,"✓","✗ missing"))</f>
        <v/>
      </c>
      <c r="O928" s="78">
        <f>IF(OR(L928="",M928&lt;&gt;"Yes"),"",IF(COUNTIFS('Vault'!$C$6:$C$1005,"Insurance",'Vault'!$D$6:$D$1005,L928)&gt;0,"✓","✗ missing"))</f>
        <v/>
      </c>
      <c r="P928" s="78">
        <f>IF(OR(L928="",M928&lt;&gt;"Yes"),"",IF(COUNTIFS('Vault'!$C$6:$C$1005,"Quote",'Vault'!$D$6:$D$1005,L928)&gt;0,"✓","✗ missing"))</f>
        <v/>
      </c>
      <c r="Q928" s="78">
        <f>IF(N928="","",IF(AND(N928="✓",O928="✓",P928="✓"),"✓ Complete","Missing documents"))</f>
        <v/>
      </c>
      <c r="R928" s="79">
        <f>IF(Q928="","",IF(Q928="✓ Complete",0,1))</f>
        <v/>
      </c>
    </row>
    <row r="929" ht="20" customHeight="1">
      <c r="B929" s="72" t="n"/>
      <c r="C929" s="72" t="n"/>
      <c r="D929" s="72" t="n"/>
      <c r="E929" s="72" t="n"/>
      <c r="F929" s="72" t="n"/>
      <c r="G929" s="109" t="n"/>
      <c r="H929" s="72" t="n"/>
      <c r="I929" s="78">
        <f>IF(H929="","",HYPERLINK(H929,"Open ↗"))</f>
        <v/>
      </c>
      <c r="J929" s="72" t="n"/>
      <c r="L929" s="116">
        <f>IF('Contractors'!B929="","",'Contractors'!B929)</f>
        <v/>
      </c>
      <c r="M929" s="78">
        <f>IF(L929="","",'Contractors'!L929)</f>
        <v/>
      </c>
      <c r="N929" s="78">
        <f>IF(OR(L929="",M929&lt;&gt;"Yes"),"",IF(COUNTIFS('Vault'!$C$6:$C$1005,"Contract",'Vault'!$D$6:$D$1005,L929)&gt;0,"✓","✗ missing"))</f>
        <v/>
      </c>
      <c r="O929" s="78">
        <f>IF(OR(L929="",M929&lt;&gt;"Yes"),"",IF(COUNTIFS('Vault'!$C$6:$C$1005,"Insurance",'Vault'!$D$6:$D$1005,L929)&gt;0,"✓","✗ missing"))</f>
        <v/>
      </c>
      <c r="P929" s="78">
        <f>IF(OR(L929="",M929&lt;&gt;"Yes"),"",IF(COUNTIFS('Vault'!$C$6:$C$1005,"Quote",'Vault'!$D$6:$D$1005,L929)&gt;0,"✓","✗ missing"))</f>
        <v/>
      </c>
      <c r="Q929" s="78">
        <f>IF(N929="","",IF(AND(N929="✓",O929="✓",P929="✓"),"✓ Complete","Missing documents"))</f>
        <v/>
      </c>
      <c r="R929" s="79">
        <f>IF(Q929="","",IF(Q929="✓ Complete",0,1))</f>
        <v/>
      </c>
    </row>
    <row r="930" ht="20" customHeight="1">
      <c r="B930" s="72" t="n"/>
      <c r="C930" s="72" t="n"/>
      <c r="D930" s="72" t="n"/>
      <c r="E930" s="72" t="n"/>
      <c r="F930" s="72" t="n"/>
      <c r="G930" s="109" t="n"/>
      <c r="H930" s="72" t="n"/>
      <c r="I930" s="78">
        <f>IF(H930="","",HYPERLINK(H930,"Open ↗"))</f>
        <v/>
      </c>
      <c r="J930" s="72" t="n"/>
      <c r="L930" s="116">
        <f>IF('Contractors'!B930="","",'Contractors'!B930)</f>
        <v/>
      </c>
      <c r="M930" s="78">
        <f>IF(L930="","",'Contractors'!L930)</f>
        <v/>
      </c>
      <c r="N930" s="78">
        <f>IF(OR(L930="",M930&lt;&gt;"Yes"),"",IF(COUNTIFS('Vault'!$C$6:$C$1005,"Contract",'Vault'!$D$6:$D$1005,L930)&gt;0,"✓","✗ missing"))</f>
        <v/>
      </c>
      <c r="O930" s="78">
        <f>IF(OR(L930="",M930&lt;&gt;"Yes"),"",IF(COUNTIFS('Vault'!$C$6:$C$1005,"Insurance",'Vault'!$D$6:$D$1005,L930)&gt;0,"✓","✗ missing"))</f>
        <v/>
      </c>
      <c r="P930" s="78">
        <f>IF(OR(L930="",M930&lt;&gt;"Yes"),"",IF(COUNTIFS('Vault'!$C$6:$C$1005,"Quote",'Vault'!$D$6:$D$1005,L930)&gt;0,"✓","✗ missing"))</f>
        <v/>
      </c>
      <c r="Q930" s="78">
        <f>IF(N930="","",IF(AND(N930="✓",O930="✓",P930="✓"),"✓ Complete","Missing documents"))</f>
        <v/>
      </c>
      <c r="R930" s="79">
        <f>IF(Q930="","",IF(Q930="✓ Complete",0,1))</f>
        <v/>
      </c>
    </row>
    <row r="931" ht="20" customHeight="1">
      <c r="B931" s="72" t="n"/>
      <c r="C931" s="72" t="n"/>
      <c r="D931" s="72" t="n"/>
      <c r="E931" s="72" t="n"/>
      <c r="F931" s="72" t="n"/>
      <c r="G931" s="109" t="n"/>
      <c r="H931" s="72" t="n"/>
      <c r="I931" s="78">
        <f>IF(H931="","",HYPERLINK(H931,"Open ↗"))</f>
        <v/>
      </c>
      <c r="J931" s="72" t="n"/>
      <c r="L931" s="116">
        <f>IF('Contractors'!B931="","",'Contractors'!B931)</f>
        <v/>
      </c>
      <c r="M931" s="78">
        <f>IF(L931="","",'Contractors'!L931)</f>
        <v/>
      </c>
      <c r="N931" s="78">
        <f>IF(OR(L931="",M931&lt;&gt;"Yes"),"",IF(COUNTIFS('Vault'!$C$6:$C$1005,"Contract",'Vault'!$D$6:$D$1005,L931)&gt;0,"✓","✗ missing"))</f>
        <v/>
      </c>
      <c r="O931" s="78">
        <f>IF(OR(L931="",M931&lt;&gt;"Yes"),"",IF(COUNTIFS('Vault'!$C$6:$C$1005,"Insurance",'Vault'!$D$6:$D$1005,L931)&gt;0,"✓","✗ missing"))</f>
        <v/>
      </c>
      <c r="P931" s="78">
        <f>IF(OR(L931="",M931&lt;&gt;"Yes"),"",IF(COUNTIFS('Vault'!$C$6:$C$1005,"Quote",'Vault'!$D$6:$D$1005,L931)&gt;0,"✓","✗ missing"))</f>
        <v/>
      </c>
      <c r="Q931" s="78">
        <f>IF(N931="","",IF(AND(N931="✓",O931="✓",P931="✓"),"✓ Complete","Missing documents"))</f>
        <v/>
      </c>
      <c r="R931" s="79">
        <f>IF(Q931="","",IF(Q931="✓ Complete",0,1))</f>
        <v/>
      </c>
    </row>
    <row r="932" ht="20" customHeight="1">
      <c r="B932" s="72" t="n"/>
      <c r="C932" s="72" t="n"/>
      <c r="D932" s="72" t="n"/>
      <c r="E932" s="72" t="n"/>
      <c r="F932" s="72" t="n"/>
      <c r="G932" s="109" t="n"/>
      <c r="H932" s="72" t="n"/>
      <c r="I932" s="78">
        <f>IF(H932="","",HYPERLINK(H932,"Open ↗"))</f>
        <v/>
      </c>
      <c r="J932" s="72" t="n"/>
      <c r="L932" s="116">
        <f>IF('Contractors'!B932="","",'Contractors'!B932)</f>
        <v/>
      </c>
      <c r="M932" s="78">
        <f>IF(L932="","",'Contractors'!L932)</f>
        <v/>
      </c>
      <c r="N932" s="78">
        <f>IF(OR(L932="",M932&lt;&gt;"Yes"),"",IF(COUNTIFS('Vault'!$C$6:$C$1005,"Contract",'Vault'!$D$6:$D$1005,L932)&gt;0,"✓","✗ missing"))</f>
        <v/>
      </c>
      <c r="O932" s="78">
        <f>IF(OR(L932="",M932&lt;&gt;"Yes"),"",IF(COUNTIFS('Vault'!$C$6:$C$1005,"Insurance",'Vault'!$D$6:$D$1005,L932)&gt;0,"✓","✗ missing"))</f>
        <v/>
      </c>
      <c r="P932" s="78">
        <f>IF(OR(L932="",M932&lt;&gt;"Yes"),"",IF(COUNTIFS('Vault'!$C$6:$C$1005,"Quote",'Vault'!$D$6:$D$1005,L932)&gt;0,"✓","✗ missing"))</f>
        <v/>
      </c>
      <c r="Q932" s="78">
        <f>IF(N932="","",IF(AND(N932="✓",O932="✓",P932="✓"),"✓ Complete","Missing documents"))</f>
        <v/>
      </c>
      <c r="R932" s="79">
        <f>IF(Q932="","",IF(Q932="✓ Complete",0,1))</f>
        <v/>
      </c>
    </row>
    <row r="933" ht="20" customHeight="1">
      <c r="B933" s="72" t="n"/>
      <c r="C933" s="72" t="n"/>
      <c r="D933" s="72" t="n"/>
      <c r="E933" s="72" t="n"/>
      <c r="F933" s="72" t="n"/>
      <c r="G933" s="109" t="n"/>
      <c r="H933" s="72" t="n"/>
      <c r="I933" s="78">
        <f>IF(H933="","",HYPERLINK(H933,"Open ↗"))</f>
        <v/>
      </c>
      <c r="J933" s="72" t="n"/>
      <c r="L933" s="116">
        <f>IF('Contractors'!B933="","",'Contractors'!B933)</f>
        <v/>
      </c>
      <c r="M933" s="78">
        <f>IF(L933="","",'Contractors'!L933)</f>
        <v/>
      </c>
      <c r="N933" s="78">
        <f>IF(OR(L933="",M933&lt;&gt;"Yes"),"",IF(COUNTIFS('Vault'!$C$6:$C$1005,"Contract",'Vault'!$D$6:$D$1005,L933)&gt;0,"✓","✗ missing"))</f>
        <v/>
      </c>
      <c r="O933" s="78">
        <f>IF(OR(L933="",M933&lt;&gt;"Yes"),"",IF(COUNTIFS('Vault'!$C$6:$C$1005,"Insurance",'Vault'!$D$6:$D$1005,L933)&gt;0,"✓","✗ missing"))</f>
        <v/>
      </c>
      <c r="P933" s="78">
        <f>IF(OR(L933="",M933&lt;&gt;"Yes"),"",IF(COUNTIFS('Vault'!$C$6:$C$1005,"Quote",'Vault'!$D$6:$D$1005,L933)&gt;0,"✓","✗ missing"))</f>
        <v/>
      </c>
      <c r="Q933" s="78">
        <f>IF(N933="","",IF(AND(N933="✓",O933="✓",P933="✓"),"✓ Complete","Missing documents"))</f>
        <v/>
      </c>
      <c r="R933" s="79">
        <f>IF(Q933="","",IF(Q933="✓ Complete",0,1))</f>
        <v/>
      </c>
    </row>
    <row r="934" ht="20" customHeight="1">
      <c r="B934" s="72" t="n"/>
      <c r="C934" s="72" t="n"/>
      <c r="D934" s="72" t="n"/>
      <c r="E934" s="72" t="n"/>
      <c r="F934" s="72" t="n"/>
      <c r="G934" s="109" t="n"/>
      <c r="H934" s="72" t="n"/>
      <c r="I934" s="78">
        <f>IF(H934="","",HYPERLINK(H934,"Open ↗"))</f>
        <v/>
      </c>
      <c r="J934" s="72" t="n"/>
      <c r="L934" s="116">
        <f>IF('Contractors'!B934="","",'Contractors'!B934)</f>
        <v/>
      </c>
      <c r="M934" s="78">
        <f>IF(L934="","",'Contractors'!L934)</f>
        <v/>
      </c>
      <c r="N934" s="78">
        <f>IF(OR(L934="",M934&lt;&gt;"Yes"),"",IF(COUNTIFS('Vault'!$C$6:$C$1005,"Contract",'Vault'!$D$6:$D$1005,L934)&gt;0,"✓","✗ missing"))</f>
        <v/>
      </c>
      <c r="O934" s="78">
        <f>IF(OR(L934="",M934&lt;&gt;"Yes"),"",IF(COUNTIFS('Vault'!$C$6:$C$1005,"Insurance",'Vault'!$D$6:$D$1005,L934)&gt;0,"✓","✗ missing"))</f>
        <v/>
      </c>
      <c r="P934" s="78">
        <f>IF(OR(L934="",M934&lt;&gt;"Yes"),"",IF(COUNTIFS('Vault'!$C$6:$C$1005,"Quote",'Vault'!$D$6:$D$1005,L934)&gt;0,"✓","✗ missing"))</f>
        <v/>
      </c>
      <c r="Q934" s="78">
        <f>IF(N934="","",IF(AND(N934="✓",O934="✓",P934="✓"),"✓ Complete","Missing documents"))</f>
        <v/>
      </c>
      <c r="R934" s="79">
        <f>IF(Q934="","",IF(Q934="✓ Complete",0,1))</f>
        <v/>
      </c>
    </row>
    <row r="935" ht="20" customHeight="1">
      <c r="B935" s="72" t="n"/>
      <c r="C935" s="72" t="n"/>
      <c r="D935" s="72" t="n"/>
      <c r="E935" s="72" t="n"/>
      <c r="F935" s="72" t="n"/>
      <c r="G935" s="109" t="n"/>
      <c r="H935" s="72" t="n"/>
      <c r="I935" s="78">
        <f>IF(H935="","",HYPERLINK(H935,"Open ↗"))</f>
        <v/>
      </c>
      <c r="J935" s="72" t="n"/>
      <c r="L935" s="116">
        <f>IF('Contractors'!B935="","",'Contractors'!B935)</f>
        <v/>
      </c>
      <c r="M935" s="78">
        <f>IF(L935="","",'Contractors'!L935)</f>
        <v/>
      </c>
      <c r="N935" s="78">
        <f>IF(OR(L935="",M935&lt;&gt;"Yes"),"",IF(COUNTIFS('Vault'!$C$6:$C$1005,"Contract",'Vault'!$D$6:$D$1005,L935)&gt;0,"✓","✗ missing"))</f>
        <v/>
      </c>
      <c r="O935" s="78">
        <f>IF(OR(L935="",M935&lt;&gt;"Yes"),"",IF(COUNTIFS('Vault'!$C$6:$C$1005,"Insurance",'Vault'!$D$6:$D$1005,L935)&gt;0,"✓","✗ missing"))</f>
        <v/>
      </c>
      <c r="P935" s="78">
        <f>IF(OR(L935="",M935&lt;&gt;"Yes"),"",IF(COUNTIFS('Vault'!$C$6:$C$1005,"Quote",'Vault'!$D$6:$D$1005,L935)&gt;0,"✓","✗ missing"))</f>
        <v/>
      </c>
      <c r="Q935" s="78">
        <f>IF(N935="","",IF(AND(N935="✓",O935="✓",P935="✓"),"✓ Complete","Missing documents"))</f>
        <v/>
      </c>
      <c r="R935" s="79">
        <f>IF(Q935="","",IF(Q935="✓ Complete",0,1))</f>
        <v/>
      </c>
    </row>
    <row r="936" ht="20" customHeight="1">
      <c r="B936" s="72" t="n"/>
      <c r="C936" s="72" t="n"/>
      <c r="D936" s="72" t="n"/>
      <c r="E936" s="72" t="n"/>
      <c r="F936" s="72" t="n"/>
      <c r="G936" s="109" t="n"/>
      <c r="H936" s="72" t="n"/>
      <c r="I936" s="78">
        <f>IF(H936="","",HYPERLINK(H936,"Open ↗"))</f>
        <v/>
      </c>
      <c r="J936" s="72" t="n"/>
      <c r="L936" s="116">
        <f>IF('Contractors'!B936="","",'Contractors'!B936)</f>
        <v/>
      </c>
      <c r="M936" s="78">
        <f>IF(L936="","",'Contractors'!L936)</f>
        <v/>
      </c>
      <c r="N936" s="78">
        <f>IF(OR(L936="",M936&lt;&gt;"Yes"),"",IF(COUNTIFS('Vault'!$C$6:$C$1005,"Contract",'Vault'!$D$6:$D$1005,L936)&gt;0,"✓","✗ missing"))</f>
        <v/>
      </c>
      <c r="O936" s="78">
        <f>IF(OR(L936="",M936&lt;&gt;"Yes"),"",IF(COUNTIFS('Vault'!$C$6:$C$1005,"Insurance",'Vault'!$D$6:$D$1005,L936)&gt;0,"✓","✗ missing"))</f>
        <v/>
      </c>
      <c r="P936" s="78">
        <f>IF(OR(L936="",M936&lt;&gt;"Yes"),"",IF(COUNTIFS('Vault'!$C$6:$C$1005,"Quote",'Vault'!$D$6:$D$1005,L936)&gt;0,"✓","✗ missing"))</f>
        <v/>
      </c>
      <c r="Q936" s="78">
        <f>IF(N936="","",IF(AND(N936="✓",O936="✓",P936="✓"),"✓ Complete","Missing documents"))</f>
        <v/>
      </c>
      <c r="R936" s="79">
        <f>IF(Q936="","",IF(Q936="✓ Complete",0,1))</f>
        <v/>
      </c>
    </row>
    <row r="937" ht="20" customHeight="1">
      <c r="B937" s="72" t="n"/>
      <c r="C937" s="72" t="n"/>
      <c r="D937" s="72" t="n"/>
      <c r="E937" s="72" t="n"/>
      <c r="F937" s="72" t="n"/>
      <c r="G937" s="109" t="n"/>
      <c r="H937" s="72" t="n"/>
      <c r="I937" s="78">
        <f>IF(H937="","",HYPERLINK(H937,"Open ↗"))</f>
        <v/>
      </c>
      <c r="J937" s="72" t="n"/>
      <c r="L937" s="116">
        <f>IF('Contractors'!B937="","",'Contractors'!B937)</f>
        <v/>
      </c>
      <c r="M937" s="78">
        <f>IF(L937="","",'Contractors'!L937)</f>
        <v/>
      </c>
      <c r="N937" s="78">
        <f>IF(OR(L937="",M937&lt;&gt;"Yes"),"",IF(COUNTIFS('Vault'!$C$6:$C$1005,"Contract",'Vault'!$D$6:$D$1005,L937)&gt;0,"✓","✗ missing"))</f>
        <v/>
      </c>
      <c r="O937" s="78">
        <f>IF(OR(L937="",M937&lt;&gt;"Yes"),"",IF(COUNTIFS('Vault'!$C$6:$C$1005,"Insurance",'Vault'!$D$6:$D$1005,L937)&gt;0,"✓","✗ missing"))</f>
        <v/>
      </c>
      <c r="P937" s="78">
        <f>IF(OR(L937="",M937&lt;&gt;"Yes"),"",IF(COUNTIFS('Vault'!$C$6:$C$1005,"Quote",'Vault'!$D$6:$D$1005,L937)&gt;0,"✓","✗ missing"))</f>
        <v/>
      </c>
      <c r="Q937" s="78">
        <f>IF(N937="","",IF(AND(N937="✓",O937="✓",P937="✓"),"✓ Complete","Missing documents"))</f>
        <v/>
      </c>
      <c r="R937" s="79">
        <f>IF(Q937="","",IF(Q937="✓ Complete",0,1))</f>
        <v/>
      </c>
    </row>
    <row r="938" ht="20" customHeight="1">
      <c r="B938" s="72" t="n"/>
      <c r="C938" s="72" t="n"/>
      <c r="D938" s="72" t="n"/>
      <c r="E938" s="72" t="n"/>
      <c r="F938" s="72" t="n"/>
      <c r="G938" s="109" t="n"/>
      <c r="H938" s="72" t="n"/>
      <c r="I938" s="78">
        <f>IF(H938="","",HYPERLINK(H938,"Open ↗"))</f>
        <v/>
      </c>
      <c r="J938" s="72" t="n"/>
      <c r="L938" s="116">
        <f>IF('Contractors'!B938="","",'Contractors'!B938)</f>
        <v/>
      </c>
      <c r="M938" s="78">
        <f>IF(L938="","",'Contractors'!L938)</f>
        <v/>
      </c>
      <c r="N938" s="78">
        <f>IF(OR(L938="",M938&lt;&gt;"Yes"),"",IF(COUNTIFS('Vault'!$C$6:$C$1005,"Contract",'Vault'!$D$6:$D$1005,L938)&gt;0,"✓","✗ missing"))</f>
        <v/>
      </c>
      <c r="O938" s="78">
        <f>IF(OR(L938="",M938&lt;&gt;"Yes"),"",IF(COUNTIFS('Vault'!$C$6:$C$1005,"Insurance",'Vault'!$D$6:$D$1005,L938)&gt;0,"✓","✗ missing"))</f>
        <v/>
      </c>
      <c r="P938" s="78">
        <f>IF(OR(L938="",M938&lt;&gt;"Yes"),"",IF(COUNTIFS('Vault'!$C$6:$C$1005,"Quote",'Vault'!$D$6:$D$1005,L938)&gt;0,"✓","✗ missing"))</f>
        <v/>
      </c>
      <c r="Q938" s="78">
        <f>IF(N938="","",IF(AND(N938="✓",O938="✓",P938="✓"),"✓ Complete","Missing documents"))</f>
        <v/>
      </c>
      <c r="R938" s="79">
        <f>IF(Q938="","",IF(Q938="✓ Complete",0,1))</f>
        <v/>
      </c>
    </row>
    <row r="939" ht="20" customHeight="1">
      <c r="B939" s="72" t="n"/>
      <c r="C939" s="72" t="n"/>
      <c r="D939" s="72" t="n"/>
      <c r="E939" s="72" t="n"/>
      <c r="F939" s="72" t="n"/>
      <c r="G939" s="109" t="n"/>
      <c r="H939" s="72" t="n"/>
      <c r="I939" s="78">
        <f>IF(H939="","",HYPERLINK(H939,"Open ↗"))</f>
        <v/>
      </c>
      <c r="J939" s="72" t="n"/>
      <c r="L939" s="116">
        <f>IF('Contractors'!B939="","",'Contractors'!B939)</f>
        <v/>
      </c>
      <c r="M939" s="78">
        <f>IF(L939="","",'Contractors'!L939)</f>
        <v/>
      </c>
      <c r="N939" s="78">
        <f>IF(OR(L939="",M939&lt;&gt;"Yes"),"",IF(COUNTIFS('Vault'!$C$6:$C$1005,"Contract",'Vault'!$D$6:$D$1005,L939)&gt;0,"✓","✗ missing"))</f>
        <v/>
      </c>
      <c r="O939" s="78">
        <f>IF(OR(L939="",M939&lt;&gt;"Yes"),"",IF(COUNTIFS('Vault'!$C$6:$C$1005,"Insurance",'Vault'!$D$6:$D$1005,L939)&gt;0,"✓","✗ missing"))</f>
        <v/>
      </c>
      <c r="P939" s="78">
        <f>IF(OR(L939="",M939&lt;&gt;"Yes"),"",IF(COUNTIFS('Vault'!$C$6:$C$1005,"Quote",'Vault'!$D$6:$D$1005,L939)&gt;0,"✓","✗ missing"))</f>
        <v/>
      </c>
      <c r="Q939" s="78">
        <f>IF(N939="","",IF(AND(N939="✓",O939="✓",P939="✓"),"✓ Complete","Missing documents"))</f>
        <v/>
      </c>
      <c r="R939" s="79">
        <f>IF(Q939="","",IF(Q939="✓ Complete",0,1))</f>
        <v/>
      </c>
    </row>
    <row r="940" ht="20" customHeight="1">
      <c r="B940" s="72" t="n"/>
      <c r="C940" s="72" t="n"/>
      <c r="D940" s="72" t="n"/>
      <c r="E940" s="72" t="n"/>
      <c r="F940" s="72" t="n"/>
      <c r="G940" s="109" t="n"/>
      <c r="H940" s="72" t="n"/>
      <c r="I940" s="78">
        <f>IF(H940="","",HYPERLINK(H940,"Open ↗"))</f>
        <v/>
      </c>
      <c r="J940" s="72" t="n"/>
      <c r="L940" s="116">
        <f>IF('Contractors'!B940="","",'Contractors'!B940)</f>
        <v/>
      </c>
      <c r="M940" s="78">
        <f>IF(L940="","",'Contractors'!L940)</f>
        <v/>
      </c>
      <c r="N940" s="78">
        <f>IF(OR(L940="",M940&lt;&gt;"Yes"),"",IF(COUNTIFS('Vault'!$C$6:$C$1005,"Contract",'Vault'!$D$6:$D$1005,L940)&gt;0,"✓","✗ missing"))</f>
        <v/>
      </c>
      <c r="O940" s="78">
        <f>IF(OR(L940="",M940&lt;&gt;"Yes"),"",IF(COUNTIFS('Vault'!$C$6:$C$1005,"Insurance",'Vault'!$D$6:$D$1005,L940)&gt;0,"✓","✗ missing"))</f>
        <v/>
      </c>
      <c r="P940" s="78">
        <f>IF(OR(L940="",M940&lt;&gt;"Yes"),"",IF(COUNTIFS('Vault'!$C$6:$C$1005,"Quote",'Vault'!$D$6:$D$1005,L940)&gt;0,"✓","✗ missing"))</f>
        <v/>
      </c>
      <c r="Q940" s="78">
        <f>IF(N940="","",IF(AND(N940="✓",O940="✓",P940="✓"),"✓ Complete","Missing documents"))</f>
        <v/>
      </c>
      <c r="R940" s="79">
        <f>IF(Q940="","",IF(Q940="✓ Complete",0,1))</f>
        <v/>
      </c>
    </row>
    <row r="941" ht="20" customHeight="1">
      <c r="B941" s="72" t="n"/>
      <c r="C941" s="72" t="n"/>
      <c r="D941" s="72" t="n"/>
      <c r="E941" s="72" t="n"/>
      <c r="F941" s="72" t="n"/>
      <c r="G941" s="109" t="n"/>
      <c r="H941" s="72" t="n"/>
      <c r="I941" s="78">
        <f>IF(H941="","",HYPERLINK(H941,"Open ↗"))</f>
        <v/>
      </c>
      <c r="J941" s="72" t="n"/>
      <c r="L941" s="116">
        <f>IF('Contractors'!B941="","",'Contractors'!B941)</f>
        <v/>
      </c>
      <c r="M941" s="78">
        <f>IF(L941="","",'Contractors'!L941)</f>
        <v/>
      </c>
      <c r="N941" s="78">
        <f>IF(OR(L941="",M941&lt;&gt;"Yes"),"",IF(COUNTIFS('Vault'!$C$6:$C$1005,"Contract",'Vault'!$D$6:$D$1005,L941)&gt;0,"✓","✗ missing"))</f>
        <v/>
      </c>
      <c r="O941" s="78">
        <f>IF(OR(L941="",M941&lt;&gt;"Yes"),"",IF(COUNTIFS('Vault'!$C$6:$C$1005,"Insurance",'Vault'!$D$6:$D$1005,L941)&gt;0,"✓","✗ missing"))</f>
        <v/>
      </c>
      <c r="P941" s="78">
        <f>IF(OR(L941="",M941&lt;&gt;"Yes"),"",IF(COUNTIFS('Vault'!$C$6:$C$1005,"Quote",'Vault'!$D$6:$D$1005,L941)&gt;0,"✓","✗ missing"))</f>
        <v/>
      </c>
      <c r="Q941" s="78">
        <f>IF(N941="","",IF(AND(N941="✓",O941="✓",P941="✓"),"✓ Complete","Missing documents"))</f>
        <v/>
      </c>
      <c r="R941" s="79">
        <f>IF(Q941="","",IF(Q941="✓ Complete",0,1))</f>
        <v/>
      </c>
    </row>
    <row r="942" ht="20" customHeight="1">
      <c r="B942" s="72" t="n"/>
      <c r="C942" s="72" t="n"/>
      <c r="D942" s="72" t="n"/>
      <c r="E942" s="72" t="n"/>
      <c r="F942" s="72" t="n"/>
      <c r="G942" s="109" t="n"/>
      <c r="H942" s="72" t="n"/>
      <c r="I942" s="78">
        <f>IF(H942="","",HYPERLINK(H942,"Open ↗"))</f>
        <v/>
      </c>
      <c r="J942" s="72" t="n"/>
      <c r="L942" s="116">
        <f>IF('Contractors'!B942="","",'Contractors'!B942)</f>
        <v/>
      </c>
      <c r="M942" s="78">
        <f>IF(L942="","",'Contractors'!L942)</f>
        <v/>
      </c>
      <c r="N942" s="78">
        <f>IF(OR(L942="",M942&lt;&gt;"Yes"),"",IF(COUNTIFS('Vault'!$C$6:$C$1005,"Contract",'Vault'!$D$6:$D$1005,L942)&gt;0,"✓","✗ missing"))</f>
        <v/>
      </c>
      <c r="O942" s="78">
        <f>IF(OR(L942="",M942&lt;&gt;"Yes"),"",IF(COUNTIFS('Vault'!$C$6:$C$1005,"Insurance",'Vault'!$D$6:$D$1005,L942)&gt;0,"✓","✗ missing"))</f>
        <v/>
      </c>
      <c r="P942" s="78">
        <f>IF(OR(L942="",M942&lt;&gt;"Yes"),"",IF(COUNTIFS('Vault'!$C$6:$C$1005,"Quote",'Vault'!$D$6:$D$1005,L942)&gt;0,"✓","✗ missing"))</f>
        <v/>
      </c>
      <c r="Q942" s="78">
        <f>IF(N942="","",IF(AND(N942="✓",O942="✓",P942="✓"),"✓ Complete","Missing documents"))</f>
        <v/>
      </c>
      <c r="R942" s="79">
        <f>IF(Q942="","",IF(Q942="✓ Complete",0,1))</f>
        <v/>
      </c>
    </row>
    <row r="943" ht="20" customHeight="1">
      <c r="B943" s="72" t="n"/>
      <c r="C943" s="72" t="n"/>
      <c r="D943" s="72" t="n"/>
      <c r="E943" s="72" t="n"/>
      <c r="F943" s="72" t="n"/>
      <c r="G943" s="109" t="n"/>
      <c r="H943" s="72" t="n"/>
      <c r="I943" s="78">
        <f>IF(H943="","",HYPERLINK(H943,"Open ↗"))</f>
        <v/>
      </c>
      <c r="J943" s="72" t="n"/>
      <c r="L943" s="116">
        <f>IF('Contractors'!B943="","",'Contractors'!B943)</f>
        <v/>
      </c>
      <c r="M943" s="78">
        <f>IF(L943="","",'Contractors'!L943)</f>
        <v/>
      </c>
      <c r="N943" s="78">
        <f>IF(OR(L943="",M943&lt;&gt;"Yes"),"",IF(COUNTIFS('Vault'!$C$6:$C$1005,"Contract",'Vault'!$D$6:$D$1005,L943)&gt;0,"✓","✗ missing"))</f>
        <v/>
      </c>
      <c r="O943" s="78">
        <f>IF(OR(L943="",M943&lt;&gt;"Yes"),"",IF(COUNTIFS('Vault'!$C$6:$C$1005,"Insurance",'Vault'!$D$6:$D$1005,L943)&gt;0,"✓","✗ missing"))</f>
        <v/>
      </c>
      <c r="P943" s="78">
        <f>IF(OR(L943="",M943&lt;&gt;"Yes"),"",IF(COUNTIFS('Vault'!$C$6:$C$1005,"Quote",'Vault'!$D$6:$D$1005,L943)&gt;0,"✓","✗ missing"))</f>
        <v/>
      </c>
      <c r="Q943" s="78">
        <f>IF(N943="","",IF(AND(N943="✓",O943="✓",P943="✓"),"✓ Complete","Missing documents"))</f>
        <v/>
      </c>
      <c r="R943" s="79">
        <f>IF(Q943="","",IF(Q943="✓ Complete",0,1))</f>
        <v/>
      </c>
    </row>
    <row r="944" ht="20" customHeight="1">
      <c r="B944" s="72" t="n"/>
      <c r="C944" s="72" t="n"/>
      <c r="D944" s="72" t="n"/>
      <c r="E944" s="72" t="n"/>
      <c r="F944" s="72" t="n"/>
      <c r="G944" s="109" t="n"/>
      <c r="H944" s="72" t="n"/>
      <c r="I944" s="78">
        <f>IF(H944="","",HYPERLINK(H944,"Open ↗"))</f>
        <v/>
      </c>
      <c r="J944" s="72" t="n"/>
      <c r="L944" s="116">
        <f>IF('Contractors'!B944="","",'Contractors'!B944)</f>
        <v/>
      </c>
      <c r="M944" s="78">
        <f>IF(L944="","",'Contractors'!L944)</f>
        <v/>
      </c>
      <c r="N944" s="78">
        <f>IF(OR(L944="",M944&lt;&gt;"Yes"),"",IF(COUNTIFS('Vault'!$C$6:$C$1005,"Contract",'Vault'!$D$6:$D$1005,L944)&gt;0,"✓","✗ missing"))</f>
        <v/>
      </c>
      <c r="O944" s="78">
        <f>IF(OR(L944="",M944&lt;&gt;"Yes"),"",IF(COUNTIFS('Vault'!$C$6:$C$1005,"Insurance",'Vault'!$D$6:$D$1005,L944)&gt;0,"✓","✗ missing"))</f>
        <v/>
      </c>
      <c r="P944" s="78">
        <f>IF(OR(L944="",M944&lt;&gt;"Yes"),"",IF(COUNTIFS('Vault'!$C$6:$C$1005,"Quote",'Vault'!$D$6:$D$1005,L944)&gt;0,"✓","✗ missing"))</f>
        <v/>
      </c>
      <c r="Q944" s="78">
        <f>IF(N944="","",IF(AND(N944="✓",O944="✓",P944="✓"),"✓ Complete","Missing documents"))</f>
        <v/>
      </c>
      <c r="R944" s="79">
        <f>IF(Q944="","",IF(Q944="✓ Complete",0,1))</f>
        <v/>
      </c>
    </row>
    <row r="945" ht="20" customHeight="1">
      <c r="B945" s="72" t="n"/>
      <c r="C945" s="72" t="n"/>
      <c r="D945" s="72" t="n"/>
      <c r="E945" s="72" t="n"/>
      <c r="F945" s="72" t="n"/>
      <c r="G945" s="109" t="n"/>
      <c r="H945" s="72" t="n"/>
      <c r="I945" s="78">
        <f>IF(H945="","",HYPERLINK(H945,"Open ↗"))</f>
        <v/>
      </c>
      <c r="J945" s="72" t="n"/>
      <c r="L945" s="116">
        <f>IF('Contractors'!B945="","",'Contractors'!B945)</f>
        <v/>
      </c>
      <c r="M945" s="78">
        <f>IF(L945="","",'Contractors'!L945)</f>
        <v/>
      </c>
      <c r="N945" s="78">
        <f>IF(OR(L945="",M945&lt;&gt;"Yes"),"",IF(COUNTIFS('Vault'!$C$6:$C$1005,"Contract",'Vault'!$D$6:$D$1005,L945)&gt;0,"✓","✗ missing"))</f>
        <v/>
      </c>
      <c r="O945" s="78">
        <f>IF(OR(L945="",M945&lt;&gt;"Yes"),"",IF(COUNTIFS('Vault'!$C$6:$C$1005,"Insurance",'Vault'!$D$6:$D$1005,L945)&gt;0,"✓","✗ missing"))</f>
        <v/>
      </c>
      <c r="P945" s="78">
        <f>IF(OR(L945="",M945&lt;&gt;"Yes"),"",IF(COUNTIFS('Vault'!$C$6:$C$1005,"Quote",'Vault'!$D$6:$D$1005,L945)&gt;0,"✓","✗ missing"))</f>
        <v/>
      </c>
      <c r="Q945" s="78">
        <f>IF(N945="","",IF(AND(N945="✓",O945="✓",P945="✓"),"✓ Complete","Missing documents"))</f>
        <v/>
      </c>
      <c r="R945" s="79">
        <f>IF(Q945="","",IF(Q945="✓ Complete",0,1))</f>
        <v/>
      </c>
    </row>
    <row r="946" ht="20" customHeight="1">
      <c r="B946" s="72" t="n"/>
      <c r="C946" s="72" t="n"/>
      <c r="D946" s="72" t="n"/>
      <c r="E946" s="72" t="n"/>
      <c r="F946" s="72" t="n"/>
      <c r="G946" s="109" t="n"/>
      <c r="H946" s="72" t="n"/>
      <c r="I946" s="78">
        <f>IF(H946="","",HYPERLINK(H946,"Open ↗"))</f>
        <v/>
      </c>
      <c r="J946" s="72" t="n"/>
      <c r="L946" s="116">
        <f>IF('Contractors'!B946="","",'Contractors'!B946)</f>
        <v/>
      </c>
      <c r="M946" s="78">
        <f>IF(L946="","",'Contractors'!L946)</f>
        <v/>
      </c>
      <c r="N946" s="78">
        <f>IF(OR(L946="",M946&lt;&gt;"Yes"),"",IF(COUNTIFS('Vault'!$C$6:$C$1005,"Contract",'Vault'!$D$6:$D$1005,L946)&gt;0,"✓","✗ missing"))</f>
        <v/>
      </c>
      <c r="O946" s="78">
        <f>IF(OR(L946="",M946&lt;&gt;"Yes"),"",IF(COUNTIFS('Vault'!$C$6:$C$1005,"Insurance",'Vault'!$D$6:$D$1005,L946)&gt;0,"✓","✗ missing"))</f>
        <v/>
      </c>
      <c r="P946" s="78">
        <f>IF(OR(L946="",M946&lt;&gt;"Yes"),"",IF(COUNTIFS('Vault'!$C$6:$C$1005,"Quote",'Vault'!$D$6:$D$1005,L946)&gt;0,"✓","✗ missing"))</f>
        <v/>
      </c>
      <c r="Q946" s="78">
        <f>IF(N946="","",IF(AND(N946="✓",O946="✓",P946="✓"),"✓ Complete","Missing documents"))</f>
        <v/>
      </c>
      <c r="R946" s="79">
        <f>IF(Q946="","",IF(Q946="✓ Complete",0,1))</f>
        <v/>
      </c>
    </row>
    <row r="947" ht="20" customHeight="1">
      <c r="B947" s="72" t="n"/>
      <c r="C947" s="72" t="n"/>
      <c r="D947" s="72" t="n"/>
      <c r="E947" s="72" t="n"/>
      <c r="F947" s="72" t="n"/>
      <c r="G947" s="109" t="n"/>
      <c r="H947" s="72" t="n"/>
      <c r="I947" s="78">
        <f>IF(H947="","",HYPERLINK(H947,"Open ↗"))</f>
        <v/>
      </c>
      <c r="J947" s="72" t="n"/>
      <c r="L947" s="116">
        <f>IF('Contractors'!B947="","",'Contractors'!B947)</f>
        <v/>
      </c>
      <c r="M947" s="78">
        <f>IF(L947="","",'Contractors'!L947)</f>
        <v/>
      </c>
      <c r="N947" s="78">
        <f>IF(OR(L947="",M947&lt;&gt;"Yes"),"",IF(COUNTIFS('Vault'!$C$6:$C$1005,"Contract",'Vault'!$D$6:$D$1005,L947)&gt;0,"✓","✗ missing"))</f>
        <v/>
      </c>
      <c r="O947" s="78">
        <f>IF(OR(L947="",M947&lt;&gt;"Yes"),"",IF(COUNTIFS('Vault'!$C$6:$C$1005,"Insurance",'Vault'!$D$6:$D$1005,L947)&gt;0,"✓","✗ missing"))</f>
        <v/>
      </c>
      <c r="P947" s="78">
        <f>IF(OR(L947="",M947&lt;&gt;"Yes"),"",IF(COUNTIFS('Vault'!$C$6:$C$1005,"Quote",'Vault'!$D$6:$D$1005,L947)&gt;0,"✓","✗ missing"))</f>
        <v/>
      </c>
      <c r="Q947" s="78">
        <f>IF(N947="","",IF(AND(N947="✓",O947="✓",P947="✓"),"✓ Complete","Missing documents"))</f>
        <v/>
      </c>
      <c r="R947" s="79">
        <f>IF(Q947="","",IF(Q947="✓ Complete",0,1))</f>
        <v/>
      </c>
    </row>
    <row r="948" ht="20" customHeight="1">
      <c r="B948" s="72" t="n"/>
      <c r="C948" s="72" t="n"/>
      <c r="D948" s="72" t="n"/>
      <c r="E948" s="72" t="n"/>
      <c r="F948" s="72" t="n"/>
      <c r="G948" s="109" t="n"/>
      <c r="H948" s="72" t="n"/>
      <c r="I948" s="78">
        <f>IF(H948="","",HYPERLINK(H948,"Open ↗"))</f>
        <v/>
      </c>
      <c r="J948" s="72" t="n"/>
      <c r="L948" s="116">
        <f>IF('Contractors'!B948="","",'Contractors'!B948)</f>
        <v/>
      </c>
      <c r="M948" s="78">
        <f>IF(L948="","",'Contractors'!L948)</f>
        <v/>
      </c>
      <c r="N948" s="78">
        <f>IF(OR(L948="",M948&lt;&gt;"Yes"),"",IF(COUNTIFS('Vault'!$C$6:$C$1005,"Contract",'Vault'!$D$6:$D$1005,L948)&gt;0,"✓","✗ missing"))</f>
        <v/>
      </c>
      <c r="O948" s="78">
        <f>IF(OR(L948="",M948&lt;&gt;"Yes"),"",IF(COUNTIFS('Vault'!$C$6:$C$1005,"Insurance",'Vault'!$D$6:$D$1005,L948)&gt;0,"✓","✗ missing"))</f>
        <v/>
      </c>
      <c r="P948" s="78">
        <f>IF(OR(L948="",M948&lt;&gt;"Yes"),"",IF(COUNTIFS('Vault'!$C$6:$C$1005,"Quote",'Vault'!$D$6:$D$1005,L948)&gt;0,"✓","✗ missing"))</f>
        <v/>
      </c>
      <c r="Q948" s="78">
        <f>IF(N948="","",IF(AND(N948="✓",O948="✓",P948="✓"),"✓ Complete","Missing documents"))</f>
        <v/>
      </c>
      <c r="R948" s="79">
        <f>IF(Q948="","",IF(Q948="✓ Complete",0,1))</f>
        <v/>
      </c>
    </row>
    <row r="949" ht="20" customHeight="1">
      <c r="B949" s="72" t="n"/>
      <c r="C949" s="72" t="n"/>
      <c r="D949" s="72" t="n"/>
      <c r="E949" s="72" t="n"/>
      <c r="F949" s="72" t="n"/>
      <c r="G949" s="109" t="n"/>
      <c r="H949" s="72" t="n"/>
      <c r="I949" s="78">
        <f>IF(H949="","",HYPERLINK(H949,"Open ↗"))</f>
        <v/>
      </c>
      <c r="J949" s="72" t="n"/>
      <c r="L949" s="116">
        <f>IF('Contractors'!B949="","",'Contractors'!B949)</f>
        <v/>
      </c>
      <c r="M949" s="78">
        <f>IF(L949="","",'Contractors'!L949)</f>
        <v/>
      </c>
      <c r="N949" s="78">
        <f>IF(OR(L949="",M949&lt;&gt;"Yes"),"",IF(COUNTIFS('Vault'!$C$6:$C$1005,"Contract",'Vault'!$D$6:$D$1005,L949)&gt;0,"✓","✗ missing"))</f>
        <v/>
      </c>
      <c r="O949" s="78">
        <f>IF(OR(L949="",M949&lt;&gt;"Yes"),"",IF(COUNTIFS('Vault'!$C$6:$C$1005,"Insurance",'Vault'!$D$6:$D$1005,L949)&gt;0,"✓","✗ missing"))</f>
        <v/>
      </c>
      <c r="P949" s="78">
        <f>IF(OR(L949="",M949&lt;&gt;"Yes"),"",IF(COUNTIFS('Vault'!$C$6:$C$1005,"Quote",'Vault'!$D$6:$D$1005,L949)&gt;0,"✓","✗ missing"))</f>
        <v/>
      </c>
      <c r="Q949" s="78">
        <f>IF(N949="","",IF(AND(N949="✓",O949="✓",P949="✓"),"✓ Complete","Missing documents"))</f>
        <v/>
      </c>
      <c r="R949" s="79">
        <f>IF(Q949="","",IF(Q949="✓ Complete",0,1))</f>
        <v/>
      </c>
    </row>
    <row r="950" ht="20" customHeight="1">
      <c r="B950" s="72" t="n"/>
      <c r="C950" s="72" t="n"/>
      <c r="D950" s="72" t="n"/>
      <c r="E950" s="72" t="n"/>
      <c r="F950" s="72" t="n"/>
      <c r="G950" s="109" t="n"/>
      <c r="H950" s="72" t="n"/>
      <c r="I950" s="78">
        <f>IF(H950="","",HYPERLINK(H950,"Open ↗"))</f>
        <v/>
      </c>
      <c r="J950" s="72" t="n"/>
      <c r="L950" s="116">
        <f>IF('Contractors'!B950="","",'Contractors'!B950)</f>
        <v/>
      </c>
      <c r="M950" s="78">
        <f>IF(L950="","",'Contractors'!L950)</f>
        <v/>
      </c>
      <c r="N950" s="78">
        <f>IF(OR(L950="",M950&lt;&gt;"Yes"),"",IF(COUNTIFS('Vault'!$C$6:$C$1005,"Contract",'Vault'!$D$6:$D$1005,L950)&gt;0,"✓","✗ missing"))</f>
        <v/>
      </c>
      <c r="O950" s="78">
        <f>IF(OR(L950="",M950&lt;&gt;"Yes"),"",IF(COUNTIFS('Vault'!$C$6:$C$1005,"Insurance",'Vault'!$D$6:$D$1005,L950)&gt;0,"✓","✗ missing"))</f>
        <v/>
      </c>
      <c r="P950" s="78">
        <f>IF(OR(L950="",M950&lt;&gt;"Yes"),"",IF(COUNTIFS('Vault'!$C$6:$C$1005,"Quote",'Vault'!$D$6:$D$1005,L950)&gt;0,"✓","✗ missing"))</f>
        <v/>
      </c>
      <c r="Q950" s="78">
        <f>IF(N950="","",IF(AND(N950="✓",O950="✓",P950="✓"),"✓ Complete","Missing documents"))</f>
        <v/>
      </c>
      <c r="R950" s="79">
        <f>IF(Q950="","",IF(Q950="✓ Complete",0,1))</f>
        <v/>
      </c>
    </row>
    <row r="951" ht="20" customHeight="1">
      <c r="B951" s="72" t="n"/>
      <c r="C951" s="72" t="n"/>
      <c r="D951" s="72" t="n"/>
      <c r="E951" s="72" t="n"/>
      <c r="F951" s="72" t="n"/>
      <c r="G951" s="109" t="n"/>
      <c r="H951" s="72" t="n"/>
      <c r="I951" s="78">
        <f>IF(H951="","",HYPERLINK(H951,"Open ↗"))</f>
        <v/>
      </c>
      <c r="J951" s="72" t="n"/>
      <c r="L951" s="116">
        <f>IF('Contractors'!B951="","",'Contractors'!B951)</f>
        <v/>
      </c>
      <c r="M951" s="78">
        <f>IF(L951="","",'Contractors'!L951)</f>
        <v/>
      </c>
      <c r="N951" s="78">
        <f>IF(OR(L951="",M951&lt;&gt;"Yes"),"",IF(COUNTIFS('Vault'!$C$6:$C$1005,"Contract",'Vault'!$D$6:$D$1005,L951)&gt;0,"✓","✗ missing"))</f>
        <v/>
      </c>
      <c r="O951" s="78">
        <f>IF(OR(L951="",M951&lt;&gt;"Yes"),"",IF(COUNTIFS('Vault'!$C$6:$C$1005,"Insurance",'Vault'!$D$6:$D$1005,L951)&gt;0,"✓","✗ missing"))</f>
        <v/>
      </c>
      <c r="P951" s="78">
        <f>IF(OR(L951="",M951&lt;&gt;"Yes"),"",IF(COUNTIFS('Vault'!$C$6:$C$1005,"Quote",'Vault'!$D$6:$D$1005,L951)&gt;0,"✓","✗ missing"))</f>
        <v/>
      </c>
      <c r="Q951" s="78">
        <f>IF(N951="","",IF(AND(N951="✓",O951="✓",P951="✓"),"✓ Complete","Missing documents"))</f>
        <v/>
      </c>
      <c r="R951" s="79">
        <f>IF(Q951="","",IF(Q951="✓ Complete",0,1))</f>
        <v/>
      </c>
    </row>
    <row r="952" ht="20" customHeight="1">
      <c r="B952" s="72" t="n"/>
      <c r="C952" s="72" t="n"/>
      <c r="D952" s="72" t="n"/>
      <c r="E952" s="72" t="n"/>
      <c r="F952" s="72" t="n"/>
      <c r="G952" s="109" t="n"/>
      <c r="H952" s="72" t="n"/>
      <c r="I952" s="78">
        <f>IF(H952="","",HYPERLINK(H952,"Open ↗"))</f>
        <v/>
      </c>
      <c r="J952" s="72" t="n"/>
      <c r="L952" s="116">
        <f>IF('Contractors'!B952="","",'Contractors'!B952)</f>
        <v/>
      </c>
      <c r="M952" s="78">
        <f>IF(L952="","",'Contractors'!L952)</f>
        <v/>
      </c>
      <c r="N952" s="78">
        <f>IF(OR(L952="",M952&lt;&gt;"Yes"),"",IF(COUNTIFS('Vault'!$C$6:$C$1005,"Contract",'Vault'!$D$6:$D$1005,L952)&gt;0,"✓","✗ missing"))</f>
        <v/>
      </c>
      <c r="O952" s="78">
        <f>IF(OR(L952="",M952&lt;&gt;"Yes"),"",IF(COUNTIFS('Vault'!$C$6:$C$1005,"Insurance",'Vault'!$D$6:$D$1005,L952)&gt;0,"✓","✗ missing"))</f>
        <v/>
      </c>
      <c r="P952" s="78">
        <f>IF(OR(L952="",M952&lt;&gt;"Yes"),"",IF(COUNTIFS('Vault'!$C$6:$C$1005,"Quote",'Vault'!$D$6:$D$1005,L952)&gt;0,"✓","✗ missing"))</f>
        <v/>
      </c>
      <c r="Q952" s="78">
        <f>IF(N952="","",IF(AND(N952="✓",O952="✓",P952="✓"),"✓ Complete","Missing documents"))</f>
        <v/>
      </c>
      <c r="R952" s="79">
        <f>IF(Q952="","",IF(Q952="✓ Complete",0,1))</f>
        <v/>
      </c>
    </row>
    <row r="953" ht="20" customHeight="1">
      <c r="B953" s="72" t="n"/>
      <c r="C953" s="72" t="n"/>
      <c r="D953" s="72" t="n"/>
      <c r="E953" s="72" t="n"/>
      <c r="F953" s="72" t="n"/>
      <c r="G953" s="109" t="n"/>
      <c r="H953" s="72" t="n"/>
      <c r="I953" s="78">
        <f>IF(H953="","",HYPERLINK(H953,"Open ↗"))</f>
        <v/>
      </c>
      <c r="J953" s="72" t="n"/>
      <c r="L953" s="116">
        <f>IF('Contractors'!B953="","",'Contractors'!B953)</f>
        <v/>
      </c>
      <c r="M953" s="78">
        <f>IF(L953="","",'Contractors'!L953)</f>
        <v/>
      </c>
      <c r="N953" s="78">
        <f>IF(OR(L953="",M953&lt;&gt;"Yes"),"",IF(COUNTIFS('Vault'!$C$6:$C$1005,"Contract",'Vault'!$D$6:$D$1005,L953)&gt;0,"✓","✗ missing"))</f>
        <v/>
      </c>
      <c r="O953" s="78">
        <f>IF(OR(L953="",M953&lt;&gt;"Yes"),"",IF(COUNTIFS('Vault'!$C$6:$C$1005,"Insurance",'Vault'!$D$6:$D$1005,L953)&gt;0,"✓","✗ missing"))</f>
        <v/>
      </c>
      <c r="P953" s="78">
        <f>IF(OR(L953="",M953&lt;&gt;"Yes"),"",IF(COUNTIFS('Vault'!$C$6:$C$1005,"Quote",'Vault'!$D$6:$D$1005,L953)&gt;0,"✓","✗ missing"))</f>
        <v/>
      </c>
      <c r="Q953" s="78">
        <f>IF(N953="","",IF(AND(N953="✓",O953="✓",P953="✓"),"✓ Complete","Missing documents"))</f>
        <v/>
      </c>
      <c r="R953" s="79">
        <f>IF(Q953="","",IF(Q953="✓ Complete",0,1))</f>
        <v/>
      </c>
    </row>
    <row r="954" ht="20" customHeight="1">
      <c r="B954" s="72" t="n"/>
      <c r="C954" s="72" t="n"/>
      <c r="D954" s="72" t="n"/>
      <c r="E954" s="72" t="n"/>
      <c r="F954" s="72" t="n"/>
      <c r="G954" s="109" t="n"/>
      <c r="H954" s="72" t="n"/>
      <c r="I954" s="78">
        <f>IF(H954="","",HYPERLINK(H954,"Open ↗"))</f>
        <v/>
      </c>
      <c r="J954" s="72" t="n"/>
      <c r="L954" s="116">
        <f>IF('Contractors'!B954="","",'Contractors'!B954)</f>
        <v/>
      </c>
      <c r="M954" s="78">
        <f>IF(L954="","",'Contractors'!L954)</f>
        <v/>
      </c>
      <c r="N954" s="78">
        <f>IF(OR(L954="",M954&lt;&gt;"Yes"),"",IF(COUNTIFS('Vault'!$C$6:$C$1005,"Contract",'Vault'!$D$6:$D$1005,L954)&gt;0,"✓","✗ missing"))</f>
        <v/>
      </c>
      <c r="O954" s="78">
        <f>IF(OR(L954="",M954&lt;&gt;"Yes"),"",IF(COUNTIFS('Vault'!$C$6:$C$1005,"Insurance",'Vault'!$D$6:$D$1005,L954)&gt;0,"✓","✗ missing"))</f>
        <v/>
      </c>
      <c r="P954" s="78">
        <f>IF(OR(L954="",M954&lt;&gt;"Yes"),"",IF(COUNTIFS('Vault'!$C$6:$C$1005,"Quote",'Vault'!$D$6:$D$1005,L954)&gt;0,"✓","✗ missing"))</f>
        <v/>
      </c>
      <c r="Q954" s="78">
        <f>IF(N954="","",IF(AND(N954="✓",O954="✓",P954="✓"),"✓ Complete","Missing documents"))</f>
        <v/>
      </c>
      <c r="R954" s="79">
        <f>IF(Q954="","",IF(Q954="✓ Complete",0,1))</f>
        <v/>
      </c>
    </row>
    <row r="955" ht="20" customHeight="1">
      <c r="B955" s="72" t="n"/>
      <c r="C955" s="72" t="n"/>
      <c r="D955" s="72" t="n"/>
      <c r="E955" s="72" t="n"/>
      <c r="F955" s="72" t="n"/>
      <c r="G955" s="109" t="n"/>
      <c r="H955" s="72" t="n"/>
      <c r="I955" s="78">
        <f>IF(H955="","",HYPERLINK(H955,"Open ↗"))</f>
        <v/>
      </c>
      <c r="J955" s="72" t="n"/>
      <c r="L955" s="116">
        <f>IF('Contractors'!B955="","",'Contractors'!B955)</f>
        <v/>
      </c>
      <c r="M955" s="78">
        <f>IF(L955="","",'Contractors'!L955)</f>
        <v/>
      </c>
      <c r="N955" s="78">
        <f>IF(OR(L955="",M955&lt;&gt;"Yes"),"",IF(COUNTIFS('Vault'!$C$6:$C$1005,"Contract",'Vault'!$D$6:$D$1005,L955)&gt;0,"✓","✗ missing"))</f>
        <v/>
      </c>
      <c r="O955" s="78">
        <f>IF(OR(L955="",M955&lt;&gt;"Yes"),"",IF(COUNTIFS('Vault'!$C$6:$C$1005,"Insurance",'Vault'!$D$6:$D$1005,L955)&gt;0,"✓","✗ missing"))</f>
        <v/>
      </c>
      <c r="P955" s="78">
        <f>IF(OR(L955="",M955&lt;&gt;"Yes"),"",IF(COUNTIFS('Vault'!$C$6:$C$1005,"Quote",'Vault'!$D$6:$D$1005,L955)&gt;0,"✓","✗ missing"))</f>
        <v/>
      </c>
      <c r="Q955" s="78">
        <f>IF(N955="","",IF(AND(N955="✓",O955="✓",P955="✓"),"✓ Complete","Missing documents"))</f>
        <v/>
      </c>
      <c r="R955" s="79">
        <f>IF(Q955="","",IF(Q955="✓ Complete",0,1))</f>
        <v/>
      </c>
    </row>
    <row r="956" ht="20" customHeight="1">
      <c r="B956" s="72" t="n"/>
      <c r="C956" s="72" t="n"/>
      <c r="D956" s="72" t="n"/>
      <c r="E956" s="72" t="n"/>
      <c r="F956" s="72" t="n"/>
      <c r="G956" s="109" t="n"/>
      <c r="H956" s="72" t="n"/>
      <c r="I956" s="78">
        <f>IF(H956="","",HYPERLINK(H956,"Open ↗"))</f>
        <v/>
      </c>
      <c r="J956" s="72" t="n"/>
      <c r="L956" s="116">
        <f>IF('Contractors'!B956="","",'Contractors'!B956)</f>
        <v/>
      </c>
      <c r="M956" s="78">
        <f>IF(L956="","",'Contractors'!L956)</f>
        <v/>
      </c>
      <c r="N956" s="78">
        <f>IF(OR(L956="",M956&lt;&gt;"Yes"),"",IF(COUNTIFS('Vault'!$C$6:$C$1005,"Contract",'Vault'!$D$6:$D$1005,L956)&gt;0,"✓","✗ missing"))</f>
        <v/>
      </c>
      <c r="O956" s="78">
        <f>IF(OR(L956="",M956&lt;&gt;"Yes"),"",IF(COUNTIFS('Vault'!$C$6:$C$1005,"Insurance",'Vault'!$D$6:$D$1005,L956)&gt;0,"✓","✗ missing"))</f>
        <v/>
      </c>
      <c r="P956" s="78">
        <f>IF(OR(L956="",M956&lt;&gt;"Yes"),"",IF(COUNTIFS('Vault'!$C$6:$C$1005,"Quote",'Vault'!$D$6:$D$1005,L956)&gt;0,"✓","✗ missing"))</f>
        <v/>
      </c>
      <c r="Q956" s="78">
        <f>IF(N956="","",IF(AND(N956="✓",O956="✓",P956="✓"),"✓ Complete","Missing documents"))</f>
        <v/>
      </c>
      <c r="R956" s="79">
        <f>IF(Q956="","",IF(Q956="✓ Complete",0,1))</f>
        <v/>
      </c>
    </row>
    <row r="957" ht="20" customHeight="1">
      <c r="B957" s="72" t="n"/>
      <c r="C957" s="72" t="n"/>
      <c r="D957" s="72" t="n"/>
      <c r="E957" s="72" t="n"/>
      <c r="F957" s="72" t="n"/>
      <c r="G957" s="109" t="n"/>
      <c r="H957" s="72" t="n"/>
      <c r="I957" s="78">
        <f>IF(H957="","",HYPERLINK(H957,"Open ↗"))</f>
        <v/>
      </c>
      <c r="J957" s="72" t="n"/>
      <c r="L957" s="116">
        <f>IF('Contractors'!B957="","",'Contractors'!B957)</f>
        <v/>
      </c>
      <c r="M957" s="78">
        <f>IF(L957="","",'Contractors'!L957)</f>
        <v/>
      </c>
      <c r="N957" s="78">
        <f>IF(OR(L957="",M957&lt;&gt;"Yes"),"",IF(COUNTIFS('Vault'!$C$6:$C$1005,"Contract",'Vault'!$D$6:$D$1005,L957)&gt;0,"✓","✗ missing"))</f>
        <v/>
      </c>
      <c r="O957" s="78">
        <f>IF(OR(L957="",M957&lt;&gt;"Yes"),"",IF(COUNTIFS('Vault'!$C$6:$C$1005,"Insurance",'Vault'!$D$6:$D$1005,L957)&gt;0,"✓","✗ missing"))</f>
        <v/>
      </c>
      <c r="P957" s="78">
        <f>IF(OR(L957="",M957&lt;&gt;"Yes"),"",IF(COUNTIFS('Vault'!$C$6:$C$1005,"Quote",'Vault'!$D$6:$D$1005,L957)&gt;0,"✓","✗ missing"))</f>
        <v/>
      </c>
      <c r="Q957" s="78">
        <f>IF(N957="","",IF(AND(N957="✓",O957="✓",P957="✓"),"✓ Complete","Missing documents"))</f>
        <v/>
      </c>
      <c r="R957" s="79">
        <f>IF(Q957="","",IF(Q957="✓ Complete",0,1))</f>
        <v/>
      </c>
    </row>
    <row r="958" ht="20" customHeight="1">
      <c r="B958" s="72" t="n"/>
      <c r="C958" s="72" t="n"/>
      <c r="D958" s="72" t="n"/>
      <c r="E958" s="72" t="n"/>
      <c r="F958" s="72" t="n"/>
      <c r="G958" s="109" t="n"/>
      <c r="H958" s="72" t="n"/>
      <c r="I958" s="78">
        <f>IF(H958="","",HYPERLINK(H958,"Open ↗"))</f>
        <v/>
      </c>
      <c r="J958" s="72" t="n"/>
      <c r="L958" s="116">
        <f>IF('Contractors'!B958="","",'Contractors'!B958)</f>
        <v/>
      </c>
      <c r="M958" s="78">
        <f>IF(L958="","",'Contractors'!L958)</f>
        <v/>
      </c>
      <c r="N958" s="78">
        <f>IF(OR(L958="",M958&lt;&gt;"Yes"),"",IF(COUNTIFS('Vault'!$C$6:$C$1005,"Contract",'Vault'!$D$6:$D$1005,L958)&gt;0,"✓","✗ missing"))</f>
        <v/>
      </c>
      <c r="O958" s="78">
        <f>IF(OR(L958="",M958&lt;&gt;"Yes"),"",IF(COUNTIFS('Vault'!$C$6:$C$1005,"Insurance",'Vault'!$D$6:$D$1005,L958)&gt;0,"✓","✗ missing"))</f>
        <v/>
      </c>
      <c r="P958" s="78">
        <f>IF(OR(L958="",M958&lt;&gt;"Yes"),"",IF(COUNTIFS('Vault'!$C$6:$C$1005,"Quote",'Vault'!$D$6:$D$1005,L958)&gt;0,"✓","✗ missing"))</f>
        <v/>
      </c>
      <c r="Q958" s="78">
        <f>IF(N958="","",IF(AND(N958="✓",O958="✓",P958="✓"),"✓ Complete","Missing documents"))</f>
        <v/>
      </c>
      <c r="R958" s="79">
        <f>IF(Q958="","",IF(Q958="✓ Complete",0,1))</f>
        <v/>
      </c>
    </row>
    <row r="959" ht="20" customHeight="1">
      <c r="B959" s="72" t="n"/>
      <c r="C959" s="72" t="n"/>
      <c r="D959" s="72" t="n"/>
      <c r="E959" s="72" t="n"/>
      <c r="F959" s="72" t="n"/>
      <c r="G959" s="109" t="n"/>
      <c r="H959" s="72" t="n"/>
      <c r="I959" s="78">
        <f>IF(H959="","",HYPERLINK(H959,"Open ↗"))</f>
        <v/>
      </c>
      <c r="J959" s="72" t="n"/>
      <c r="L959" s="116">
        <f>IF('Contractors'!B959="","",'Contractors'!B959)</f>
        <v/>
      </c>
      <c r="M959" s="78">
        <f>IF(L959="","",'Contractors'!L959)</f>
        <v/>
      </c>
      <c r="N959" s="78">
        <f>IF(OR(L959="",M959&lt;&gt;"Yes"),"",IF(COUNTIFS('Vault'!$C$6:$C$1005,"Contract",'Vault'!$D$6:$D$1005,L959)&gt;0,"✓","✗ missing"))</f>
        <v/>
      </c>
      <c r="O959" s="78">
        <f>IF(OR(L959="",M959&lt;&gt;"Yes"),"",IF(COUNTIFS('Vault'!$C$6:$C$1005,"Insurance",'Vault'!$D$6:$D$1005,L959)&gt;0,"✓","✗ missing"))</f>
        <v/>
      </c>
      <c r="P959" s="78">
        <f>IF(OR(L959="",M959&lt;&gt;"Yes"),"",IF(COUNTIFS('Vault'!$C$6:$C$1005,"Quote",'Vault'!$D$6:$D$1005,L959)&gt;0,"✓","✗ missing"))</f>
        <v/>
      </c>
      <c r="Q959" s="78">
        <f>IF(N959="","",IF(AND(N959="✓",O959="✓",P959="✓"),"✓ Complete","Missing documents"))</f>
        <v/>
      </c>
      <c r="R959" s="79">
        <f>IF(Q959="","",IF(Q959="✓ Complete",0,1))</f>
        <v/>
      </c>
    </row>
    <row r="960" ht="20" customHeight="1">
      <c r="B960" s="72" t="n"/>
      <c r="C960" s="72" t="n"/>
      <c r="D960" s="72" t="n"/>
      <c r="E960" s="72" t="n"/>
      <c r="F960" s="72" t="n"/>
      <c r="G960" s="109" t="n"/>
      <c r="H960" s="72" t="n"/>
      <c r="I960" s="78">
        <f>IF(H960="","",HYPERLINK(H960,"Open ↗"))</f>
        <v/>
      </c>
      <c r="J960" s="72" t="n"/>
      <c r="L960" s="116">
        <f>IF('Contractors'!B960="","",'Contractors'!B960)</f>
        <v/>
      </c>
      <c r="M960" s="78">
        <f>IF(L960="","",'Contractors'!L960)</f>
        <v/>
      </c>
      <c r="N960" s="78">
        <f>IF(OR(L960="",M960&lt;&gt;"Yes"),"",IF(COUNTIFS('Vault'!$C$6:$C$1005,"Contract",'Vault'!$D$6:$D$1005,L960)&gt;0,"✓","✗ missing"))</f>
        <v/>
      </c>
      <c r="O960" s="78">
        <f>IF(OR(L960="",M960&lt;&gt;"Yes"),"",IF(COUNTIFS('Vault'!$C$6:$C$1005,"Insurance",'Vault'!$D$6:$D$1005,L960)&gt;0,"✓","✗ missing"))</f>
        <v/>
      </c>
      <c r="P960" s="78">
        <f>IF(OR(L960="",M960&lt;&gt;"Yes"),"",IF(COUNTIFS('Vault'!$C$6:$C$1005,"Quote",'Vault'!$D$6:$D$1005,L960)&gt;0,"✓","✗ missing"))</f>
        <v/>
      </c>
      <c r="Q960" s="78">
        <f>IF(N960="","",IF(AND(N960="✓",O960="✓",P960="✓"),"✓ Complete","Missing documents"))</f>
        <v/>
      </c>
      <c r="R960" s="79">
        <f>IF(Q960="","",IF(Q960="✓ Complete",0,1))</f>
        <v/>
      </c>
    </row>
    <row r="961" ht="20" customHeight="1">
      <c r="B961" s="72" t="n"/>
      <c r="C961" s="72" t="n"/>
      <c r="D961" s="72" t="n"/>
      <c r="E961" s="72" t="n"/>
      <c r="F961" s="72" t="n"/>
      <c r="G961" s="109" t="n"/>
      <c r="H961" s="72" t="n"/>
      <c r="I961" s="78">
        <f>IF(H961="","",HYPERLINK(H961,"Open ↗"))</f>
        <v/>
      </c>
      <c r="J961" s="72" t="n"/>
      <c r="L961" s="116">
        <f>IF('Contractors'!B961="","",'Contractors'!B961)</f>
        <v/>
      </c>
      <c r="M961" s="78">
        <f>IF(L961="","",'Contractors'!L961)</f>
        <v/>
      </c>
      <c r="N961" s="78">
        <f>IF(OR(L961="",M961&lt;&gt;"Yes"),"",IF(COUNTIFS('Vault'!$C$6:$C$1005,"Contract",'Vault'!$D$6:$D$1005,L961)&gt;0,"✓","✗ missing"))</f>
        <v/>
      </c>
      <c r="O961" s="78">
        <f>IF(OR(L961="",M961&lt;&gt;"Yes"),"",IF(COUNTIFS('Vault'!$C$6:$C$1005,"Insurance",'Vault'!$D$6:$D$1005,L961)&gt;0,"✓","✗ missing"))</f>
        <v/>
      </c>
      <c r="P961" s="78">
        <f>IF(OR(L961="",M961&lt;&gt;"Yes"),"",IF(COUNTIFS('Vault'!$C$6:$C$1005,"Quote",'Vault'!$D$6:$D$1005,L961)&gt;0,"✓","✗ missing"))</f>
        <v/>
      </c>
      <c r="Q961" s="78">
        <f>IF(N961="","",IF(AND(N961="✓",O961="✓",P961="✓"),"✓ Complete","Missing documents"))</f>
        <v/>
      </c>
      <c r="R961" s="79">
        <f>IF(Q961="","",IF(Q961="✓ Complete",0,1))</f>
        <v/>
      </c>
    </row>
    <row r="962" ht="20" customHeight="1">
      <c r="B962" s="72" t="n"/>
      <c r="C962" s="72" t="n"/>
      <c r="D962" s="72" t="n"/>
      <c r="E962" s="72" t="n"/>
      <c r="F962" s="72" t="n"/>
      <c r="G962" s="109" t="n"/>
      <c r="H962" s="72" t="n"/>
      <c r="I962" s="78">
        <f>IF(H962="","",HYPERLINK(H962,"Open ↗"))</f>
        <v/>
      </c>
      <c r="J962" s="72" t="n"/>
      <c r="L962" s="116">
        <f>IF('Contractors'!B962="","",'Contractors'!B962)</f>
        <v/>
      </c>
      <c r="M962" s="78">
        <f>IF(L962="","",'Contractors'!L962)</f>
        <v/>
      </c>
      <c r="N962" s="78">
        <f>IF(OR(L962="",M962&lt;&gt;"Yes"),"",IF(COUNTIFS('Vault'!$C$6:$C$1005,"Contract",'Vault'!$D$6:$D$1005,L962)&gt;0,"✓","✗ missing"))</f>
        <v/>
      </c>
      <c r="O962" s="78">
        <f>IF(OR(L962="",M962&lt;&gt;"Yes"),"",IF(COUNTIFS('Vault'!$C$6:$C$1005,"Insurance",'Vault'!$D$6:$D$1005,L962)&gt;0,"✓","✗ missing"))</f>
        <v/>
      </c>
      <c r="P962" s="78">
        <f>IF(OR(L962="",M962&lt;&gt;"Yes"),"",IF(COUNTIFS('Vault'!$C$6:$C$1005,"Quote",'Vault'!$D$6:$D$1005,L962)&gt;0,"✓","✗ missing"))</f>
        <v/>
      </c>
      <c r="Q962" s="78">
        <f>IF(N962="","",IF(AND(N962="✓",O962="✓",P962="✓"),"✓ Complete","Missing documents"))</f>
        <v/>
      </c>
      <c r="R962" s="79">
        <f>IF(Q962="","",IF(Q962="✓ Complete",0,1))</f>
        <v/>
      </c>
    </row>
    <row r="963" ht="20" customHeight="1">
      <c r="B963" s="72" t="n"/>
      <c r="C963" s="72" t="n"/>
      <c r="D963" s="72" t="n"/>
      <c r="E963" s="72" t="n"/>
      <c r="F963" s="72" t="n"/>
      <c r="G963" s="109" t="n"/>
      <c r="H963" s="72" t="n"/>
      <c r="I963" s="78">
        <f>IF(H963="","",HYPERLINK(H963,"Open ↗"))</f>
        <v/>
      </c>
      <c r="J963" s="72" t="n"/>
      <c r="L963" s="116">
        <f>IF('Contractors'!B963="","",'Contractors'!B963)</f>
        <v/>
      </c>
      <c r="M963" s="78">
        <f>IF(L963="","",'Contractors'!L963)</f>
        <v/>
      </c>
      <c r="N963" s="78">
        <f>IF(OR(L963="",M963&lt;&gt;"Yes"),"",IF(COUNTIFS('Vault'!$C$6:$C$1005,"Contract",'Vault'!$D$6:$D$1005,L963)&gt;0,"✓","✗ missing"))</f>
        <v/>
      </c>
      <c r="O963" s="78">
        <f>IF(OR(L963="",M963&lt;&gt;"Yes"),"",IF(COUNTIFS('Vault'!$C$6:$C$1005,"Insurance",'Vault'!$D$6:$D$1005,L963)&gt;0,"✓","✗ missing"))</f>
        <v/>
      </c>
      <c r="P963" s="78">
        <f>IF(OR(L963="",M963&lt;&gt;"Yes"),"",IF(COUNTIFS('Vault'!$C$6:$C$1005,"Quote",'Vault'!$D$6:$D$1005,L963)&gt;0,"✓","✗ missing"))</f>
        <v/>
      </c>
      <c r="Q963" s="78">
        <f>IF(N963="","",IF(AND(N963="✓",O963="✓",P963="✓"),"✓ Complete","Missing documents"))</f>
        <v/>
      </c>
      <c r="R963" s="79">
        <f>IF(Q963="","",IF(Q963="✓ Complete",0,1))</f>
        <v/>
      </c>
    </row>
    <row r="964" ht="20" customHeight="1">
      <c r="B964" s="72" t="n"/>
      <c r="C964" s="72" t="n"/>
      <c r="D964" s="72" t="n"/>
      <c r="E964" s="72" t="n"/>
      <c r="F964" s="72" t="n"/>
      <c r="G964" s="109" t="n"/>
      <c r="H964" s="72" t="n"/>
      <c r="I964" s="78">
        <f>IF(H964="","",HYPERLINK(H964,"Open ↗"))</f>
        <v/>
      </c>
      <c r="J964" s="72" t="n"/>
      <c r="L964" s="116">
        <f>IF('Contractors'!B964="","",'Contractors'!B964)</f>
        <v/>
      </c>
      <c r="M964" s="78">
        <f>IF(L964="","",'Contractors'!L964)</f>
        <v/>
      </c>
      <c r="N964" s="78">
        <f>IF(OR(L964="",M964&lt;&gt;"Yes"),"",IF(COUNTIFS('Vault'!$C$6:$C$1005,"Contract",'Vault'!$D$6:$D$1005,L964)&gt;0,"✓","✗ missing"))</f>
        <v/>
      </c>
      <c r="O964" s="78">
        <f>IF(OR(L964="",M964&lt;&gt;"Yes"),"",IF(COUNTIFS('Vault'!$C$6:$C$1005,"Insurance",'Vault'!$D$6:$D$1005,L964)&gt;0,"✓","✗ missing"))</f>
        <v/>
      </c>
      <c r="P964" s="78">
        <f>IF(OR(L964="",M964&lt;&gt;"Yes"),"",IF(COUNTIFS('Vault'!$C$6:$C$1005,"Quote",'Vault'!$D$6:$D$1005,L964)&gt;0,"✓","✗ missing"))</f>
        <v/>
      </c>
      <c r="Q964" s="78">
        <f>IF(N964="","",IF(AND(N964="✓",O964="✓",P964="✓"),"✓ Complete","Missing documents"))</f>
        <v/>
      </c>
      <c r="R964" s="79">
        <f>IF(Q964="","",IF(Q964="✓ Complete",0,1))</f>
        <v/>
      </c>
    </row>
    <row r="965" ht="20" customHeight="1">
      <c r="B965" s="72" t="n"/>
      <c r="C965" s="72" t="n"/>
      <c r="D965" s="72" t="n"/>
      <c r="E965" s="72" t="n"/>
      <c r="F965" s="72" t="n"/>
      <c r="G965" s="109" t="n"/>
      <c r="H965" s="72" t="n"/>
      <c r="I965" s="78">
        <f>IF(H965="","",HYPERLINK(H965,"Open ↗"))</f>
        <v/>
      </c>
      <c r="J965" s="72" t="n"/>
      <c r="L965" s="116">
        <f>IF('Contractors'!B965="","",'Contractors'!B965)</f>
        <v/>
      </c>
      <c r="M965" s="78">
        <f>IF(L965="","",'Contractors'!L965)</f>
        <v/>
      </c>
      <c r="N965" s="78">
        <f>IF(OR(L965="",M965&lt;&gt;"Yes"),"",IF(COUNTIFS('Vault'!$C$6:$C$1005,"Contract",'Vault'!$D$6:$D$1005,L965)&gt;0,"✓","✗ missing"))</f>
        <v/>
      </c>
      <c r="O965" s="78">
        <f>IF(OR(L965="",M965&lt;&gt;"Yes"),"",IF(COUNTIFS('Vault'!$C$6:$C$1005,"Insurance",'Vault'!$D$6:$D$1005,L965)&gt;0,"✓","✗ missing"))</f>
        <v/>
      </c>
      <c r="P965" s="78">
        <f>IF(OR(L965="",M965&lt;&gt;"Yes"),"",IF(COUNTIFS('Vault'!$C$6:$C$1005,"Quote",'Vault'!$D$6:$D$1005,L965)&gt;0,"✓","✗ missing"))</f>
        <v/>
      </c>
      <c r="Q965" s="78">
        <f>IF(N965="","",IF(AND(N965="✓",O965="✓",P965="✓"),"✓ Complete","Missing documents"))</f>
        <v/>
      </c>
      <c r="R965" s="79">
        <f>IF(Q965="","",IF(Q965="✓ Complete",0,1))</f>
        <v/>
      </c>
    </row>
    <row r="966" ht="20" customHeight="1">
      <c r="B966" s="72" t="n"/>
      <c r="C966" s="72" t="n"/>
      <c r="D966" s="72" t="n"/>
      <c r="E966" s="72" t="n"/>
      <c r="F966" s="72" t="n"/>
      <c r="G966" s="109" t="n"/>
      <c r="H966" s="72" t="n"/>
      <c r="I966" s="78">
        <f>IF(H966="","",HYPERLINK(H966,"Open ↗"))</f>
        <v/>
      </c>
      <c r="J966" s="72" t="n"/>
      <c r="L966" s="116">
        <f>IF('Contractors'!B966="","",'Contractors'!B966)</f>
        <v/>
      </c>
      <c r="M966" s="78">
        <f>IF(L966="","",'Contractors'!L966)</f>
        <v/>
      </c>
      <c r="N966" s="78">
        <f>IF(OR(L966="",M966&lt;&gt;"Yes"),"",IF(COUNTIFS('Vault'!$C$6:$C$1005,"Contract",'Vault'!$D$6:$D$1005,L966)&gt;0,"✓","✗ missing"))</f>
        <v/>
      </c>
      <c r="O966" s="78">
        <f>IF(OR(L966="",M966&lt;&gt;"Yes"),"",IF(COUNTIFS('Vault'!$C$6:$C$1005,"Insurance",'Vault'!$D$6:$D$1005,L966)&gt;0,"✓","✗ missing"))</f>
        <v/>
      </c>
      <c r="P966" s="78">
        <f>IF(OR(L966="",M966&lt;&gt;"Yes"),"",IF(COUNTIFS('Vault'!$C$6:$C$1005,"Quote",'Vault'!$D$6:$D$1005,L966)&gt;0,"✓","✗ missing"))</f>
        <v/>
      </c>
      <c r="Q966" s="78">
        <f>IF(N966="","",IF(AND(N966="✓",O966="✓",P966="✓"),"✓ Complete","Missing documents"))</f>
        <v/>
      </c>
      <c r="R966" s="79">
        <f>IF(Q966="","",IF(Q966="✓ Complete",0,1))</f>
        <v/>
      </c>
    </row>
    <row r="967" ht="20" customHeight="1">
      <c r="B967" s="72" t="n"/>
      <c r="C967" s="72" t="n"/>
      <c r="D967" s="72" t="n"/>
      <c r="E967" s="72" t="n"/>
      <c r="F967" s="72" t="n"/>
      <c r="G967" s="109" t="n"/>
      <c r="H967" s="72" t="n"/>
      <c r="I967" s="78">
        <f>IF(H967="","",HYPERLINK(H967,"Open ↗"))</f>
        <v/>
      </c>
      <c r="J967" s="72" t="n"/>
      <c r="L967" s="116">
        <f>IF('Contractors'!B967="","",'Contractors'!B967)</f>
        <v/>
      </c>
      <c r="M967" s="78">
        <f>IF(L967="","",'Contractors'!L967)</f>
        <v/>
      </c>
      <c r="N967" s="78">
        <f>IF(OR(L967="",M967&lt;&gt;"Yes"),"",IF(COUNTIFS('Vault'!$C$6:$C$1005,"Contract",'Vault'!$D$6:$D$1005,L967)&gt;0,"✓","✗ missing"))</f>
        <v/>
      </c>
      <c r="O967" s="78">
        <f>IF(OR(L967="",M967&lt;&gt;"Yes"),"",IF(COUNTIFS('Vault'!$C$6:$C$1005,"Insurance",'Vault'!$D$6:$D$1005,L967)&gt;0,"✓","✗ missing"))</f>
        <v/>
      </c>
      <c r="P967" s="78">
        <f>IF(OR(L967="",M967&lt;&gt;"Yes"),"",IF(COUNTIFS('Vault'!$C$6:$C$1005,"Quote",'Vault'!$D$6:$D$1005,L967)&gt;0,"✓","✗ missing"))</f>
        <v/>
      </c>
      <c r="Q967" s="78">
        <f>IF(N967="","",IF(AND(N967="✓",O967="✓",P967="✓"),"✓ Complete","Missing documents"))</f>
        <v/>
      </c>
      <c r="R967" s="79">
        <f>IF(Q967="","",IF(Q967="✓ Complete",0,1))</f>
        <v/>
      </c>
    </row>
    <row r="968" ht="20" customHeight="1">
      <c r="B968" s="72" t="n"/>
      <c r="C968" s="72" t="n"/>
      <c r="D968" s="72" t="n"/>
      <c r="E968" s="72" t="n"/>
      <c r="F968" s="72" t="n"/>
      <c r="G968" s="109" t="n"/>
      <c r="H968" s="72" t="n"/>
      <c r="I968" s="78">
        <f>IF(H968="","",HYPERLINK(H968,"Open ↗"))</f>
        <v/>
      </c>
      <c r="J968" s="72" t="n"/>
      <c r="L968" s="116">
        <f>IF('Contractors'!B968="","",'Contractors'!B968)</f>
        <v/>
      </c>
      <c r="M968" s="78">
        <f>IF(L968="","",'Contractors'!L968)</f>
        <v/>
      </c>
      <c r="N968" s="78">
        <f>IF(OR(L968="",M968&lt;&gt;"Yes"),"",IF(COUNTIFS('Vault'!$C$6:$C$1005,"Contract",'Vault'!$D$6:$D$1005,L968)&gt;0,"✓","✗ missing"))</f>
        <v/>
      </c>
      <c r="O968" s="78">
        <f>IF(OR(L968="",M968&lt;&gt;"Yes"),"",IF(COUNTIFS('Vault'!$C$6:$C$1005,"Insurance",'Vault'!$D$6:$D$1005,L968)&gt;0,"✓","✗ missing"))</f>
        <v/>
      </c>
      <c r="P968" s="78">
        <f>IF(OR(L968="",M968&lt;&gt;"Yes"),"",IF(COUNTIFS('Vault'!$C$6:$C$1005,"Quote",'Vault'!$D$6:$D$1005,L968)&gt;0,"✓","✗ missing"))</f>
        <v/>
      </c>
      <c r="Q968" s="78">
        <f>IF(N968="","",IF(AND(N968="✓",O968="✓",P968="✓"),"✓ Complete","Missing documents"))</f>
        <v/>
      </c>
      <c r="R968" s="79">
        <f>IF(Q968="","",IF(Q968="✓ Complete",0,1))</f>
        <v/>
      </c>
    </row>
    <row r="969" ht="20" customHeight="1">
      <c r="B969" s="72" t="n"/>
      <c r="C969" s="72" t="n"/>
      <c r="D969" s="72" t="n"/>
      <c r="E969" s="72" t="n"/>
      <c r="F969" s="72" t="n"/>
      <c r="G969" s="109" t="n"/>
      <c r="H969" s="72" t="n"/>
      <c r="I969" s="78">
        <f>IF(H969="","",HYPERLINK(H969,"Open ↗"))</f>
        <v/>
      </c>
      <c r="J969" s="72" t="n"/>
      <c r="L969" s="116">
        <f>IF('Contractors'!B969="","",'Contractors'!B969)</f>
        <v/>
      </c>
      <c r="M969" s="78">
        <f>IF(L969="","",'Contractors'!L969)</f>
        <v/>
      </c>
      <c r="N969" s="78">
        <f>IF(OR(L969="",M969&lt;&gt;"Yes"),"",IF(COUNTIFS('Vault'!$C$6:$C$1005,"Contract",'Vault'!$D$6:$D$1005,L969)&gt;0,"✓","✗ missing"))</f>
        <v/>
      </c>
      <c r="O969" s="78">
        <f>IF(OR(L969="",M969&lt;&gt;"Yes"),"",IF(COUNTIFS('Vault'!$C$6:$C$1005,"Insurance",'Vault'!$D$6:$D$1005,L969)&gt;0,"✓","✗ missing"))</f>
        <v/>
      </c>
      <c r="P969" s="78">
        <f>IF(OR(L969="",M969&lt;&gt;"Yes"),"",IF(COUNTIFS('Vault'!$C$6:$C$1005,"Quote",'Vault'!$D$6:$D$1005,L969)&gt;0,"✓","✗ missing"))</f>
        <v/>
      </c>
      <c r="Q969" s="78">
        <f>IF(N969="","",IF(AND(N969="✓",O969="✓",P969="✓"),"✓ Complete","Missing documents"))</f>
        <v/>
      </c>
      <c r="R969" s="79">
        <f>IF(Q969="","",IF(Q969="✓ Complete",0,1))</f>
        <v/>
      </c>
    </row>
    <row r="970" ht="20" customHeight="1">
      <c r="B970" s="72" t="n"/>
      <c r="C970" s="72" t="n"/>
      <c r="D970" s="72" t="n"/>
      <c r="E970" s="72" t="n"/>
      <c r="F970" s="72" t="n"/>
      <c r="G970" s="109" t="n"/>
      <c r="H970" s="72" t="n"/>
      <c r="I970" s="78">
        <f>IF(H970="","",HYPERLINK(H970,"Open ↗"))</f>
        <v/>
      </c>
      <c r="J970" s="72" t="n"/>
      <c r="L970" s="116">
        <f>IF('Contractors'!B970="","",'Contractors'!B970)</f>
        <v/>
      </c>
      <c r="M970" s="78">
        <f>IF(L970="","",'Contractors'!L970)</f>
        <v/>
      </c>
      <c r="N970" s="78">
        <f>IF(OR(L970="",M970&lt;&gt;"Yes"),"",IF(COUNTIFS('Vault'!$C$6:$C$1005,"Contract",'Vault'!$D$6:$D$1005,L970)&gt;0,"✓","✗ missing"))</f>
        <v/>
      </c>
      <c r="O970" s="78">
        <f>IF(OR(L970="",M970&lt;&gt;"Yes"),"",IF(COUNTIFS('Vault'!$C$6:$C$1005,"Insurance",'Vault'!$D$6:$D$1005,L970)&gt;0,"✓","✗ missing"))</f>
        <v/>
      </c>
      <c r="P970" s="78">
        <f>IF(OR(L970="",M970&lt;&gt;"Yes"),"",IF(COUNTIFS('Vault'!$C$6:$C$1005,"Quote",'Vault'!$D$6:$D$1005,L970)&gt;0,"✓","✗ missing"))</f>
        <v/>
      </c>
      <c r="Q970" s="78">
        <f>IF(N970="","",IF(AND(N970="✓",O970="✓",P970="✓"),"✓ Complete","Missing documents"))</f>
        <v/>
      </c>
      <c r="R970" s="79">
        <f>IF(Q970="","",IF(Q970="✓ Complete",0,1))</f>
        <v/>
      </c>
    </row>
    <row r="971" ht="20" customHeight="1">
      <c r="B971" s="72" t="n"/>
      <c r="C971" s="72" t="n"/>
      <c r="D971" s="72" t="n"/>
      <c r="E971" s="72" t="n"/>
      <c r="F971" s="72" t="n"/>
      <c r="G971" s="109" t="n"/>
      <c r="H971" s="72" t="n"/>
      <c r="I971" s="78">
        <f>IF(H971="","",HYPERLINK(H971,"Open ↗"))</f>
        <v/>
      </c>
      <c r="J971" s="72" t="n"/>
      <c r="L971" s="116">
        <f>IF('Contractors'!B971="","",'Contractors'!B971)</f>
        <v/>
      </c>
      <c r="M971" s="78">
        <f>IF(L971="","",'Contractors'!L971)</f>
        <v/>
      </c>
      <c r="N971" s="78">
        <f>IF(OR(L971="",M971&lt;&gt;"Yes"),"",IF(COUNTIFS('Vault'!$C$6:$C$1005,"Contract",'Vault'!$D$6:$D$1005,L971)&gt;0,"✓","✗ missing"))</f>
        <v/>
      </c>
      <c r="O971" s="78">
        <f>IF(OR(L971="",M971&lt;&gt;"Yes"),"",IF(COUNTIFS('Vault'!$C$6:$C$1005,"Insurance",'Vault'!$D$6:$D$1005,L971)&gt;0,"✓","✗ missing"))</f>
        <v/>
      </c>
      <c r="P971" s="78">
        <f>IF(OR(L971="",M971&lt;&gt;"Yes"),"",IF(COUNTIFS('Vault'!$C$6:$C$1005,"Quote",'Vault'!$D$6:$D$1005,L971)&gt;0,"✓","✗ missing"))</f>
        <v/>
      </c>
      <c r="Q971" s="78">
        <f>IF(N971="","",IF(AND(N971="✓",O971="✓",P971="✓"),"✓ Complete","Missing documents"))</f>
        <v/>
      </c>
      <c r="R971" s="79">
        <f>IF(Q971="","",IF(Q971="✓ Complete",0,1))</f>
        <v/>
      </c>
    </row>
    <row r="972" ht="20" customHeight="1">
      <c r="B972" s="72" t="n"/>
      <c r="C972" s="72" t="n"/>
      <c r="D972" s="72" t="n"/>
      <c r="E972" s="72" t="n"/>
      <c r="F972" s="72" t="n"/>
      <c r="G972" s="109" t="n"/>
      <c r="H972" s="72" t="n"/>
      <c r="I972" s="78">
        <f>IF(H972="","",HYPERLINK(H972,"Open ↗"))</f>
        <v/>
      </c>
      <c r="J972" s="72" t="n"/>
      <c r="L972" s="116">
        <f>IF('Contractors'!B972="","",'Contractors'!B972)</f>
        <v/>
      </c>
      <c r="M972" s="78">
        <f>IF(L972="","",'Contractors'!L972)</f>
        <v/>
      </c>
      <c r="N972" s="78">
        <f>IF(OR(L972="",M972&lt;&gt;"Yes"),"",IF(COUNTIFS('Vault'!$C$6:$C$1005,"Contract",'Vault'!$D$6:$D$1005,L972)&gt;0,"✓","✗ missing"))</f>
        <v/>
      </c>
      <c r="O972" s="78">
        <f>IF(OR(L972="",M972&lt;&gt;"Yes"),"",IF(COUNTIFS('Vault'!$C$6:$C$1005,"Insurance",'Vault'!$D$6:$D$1005,L972)&gt;0,"✓","✗ missing"))</f>
        <v/>
      </c>
      <c r="P972" s="78">
        <f>IF(OR(L972="",M972&lt;&gt;"Yes"),"",IF(COUNTIFS('Vault'!$C$6:$C$1005,"Quote",'Vault'!$D$6:$D$1005,L972)&gt;0,"✓","✗ missing"))</f>
        <v/>
      </c>
      <c r="Q972" s="78">
        <f>IF(N972="","",IF(AND(N972="✓",O972="✓",P972="✓"),"✓ Complete","Missing documents"))</f>
        <v/>
      </c>
      <c r="R972" s="79">
        <f>IF(Q972="","",IF(Q972="✓ Complete",0,1))</f>
        <v/>
      </c>
    </row>
    <row r="973" ht="20" customHeight="1">
      <c r="B973" s="72" t="n"/>
      <c r="C973" s="72" t="n"/>
      <c r="D973" s="72" t="n"/>
      <c r="E973" s="72" t="n"/>
      <c r="F973" s="72" t="n"/>
      <c r="G973" s="109" t="n"/>
      <c r="H973" s="72" t="n"/>
      <c r="I973" s="78">
        <f>IF(H973="","",HYPERLINK(H973,"Open ↗"))</f>
        <v/>
      </c>
      <c r="J973" s="72" t="n"/>
      <c r="L973" s="116">
        <f>IF('Contractors'!B973="","",'Contractors'!B973)</f>
        <v/>
      </c>
      <c r="M973" s="78">
        <f>IF(L973="","",'Contractors'!L973)</f>
        <v/>
      </c>
      <c r="N973" s="78">
        <f>IF(OR(L973="",M973&lt;&gt;"Yes"),"",IF(COUNTIFS('Vault'!$C$6:$C$1005,"Contract",'Vault'!$D$6:$D$1005,L973)&gt;0,"✓","✗ missing"))</f>
        <v/>
      </c>
      <c r="O973" s="78">
        <f>IF(OR(L973="",M973&lt;&gt;"Yes"),"",IF(COUNTIFS('Vault'!$C$6:$C$1005,"Insurance",'Vault'!$D$6:$D$1005,L973)&gt;0,"✓","✗ missing"))</f>
        <v/>
      </c>
      <c r="P973" s="78">
        <f>IF(OR(L973="",M973&lt;&gt;"Yes"),"",IF(COUNTIFS('Vault'!$C$6:$C$1005,"Quote",'Vault'!$D$6:$D$1005,L973)&gt;0,"✓","✗ missing"))</f>
        <v/>
      </c>
      <c r="Q973" s="78">
        <f>IF(N973="","",IF(AND(N973="✓",O973="✓",P973="✓"),"✓ Complete","Missing documents"))</f>
        <v/>
      </c>
      <c r="R973" s="79">
        <f>IF(Q973="","",IF(Q973="✓ Complete",0,1))</f>
        <v/>
      </c>
    </row>
    <row r="974" ht="20" customHeight="1">
      <c r="B974" s="72" t="n"/>
      <c r="C974" s="72" t="n"/>
      <c r="D974" s="72" t="n"/>
      <c r="E974" s="72" t="n"/>
      <c r="F974" s="72" t="n"/>
      <c r="G974" s="109" t="n"/>
      <c r="H974" s="72" t="n"/>
      <c r="I974" s="78">
        <f>IF(H974="","",HYPERLINK(H974,"Open ↗"))</f>
        <v/>
      </c>
      <c r="J974" s="72" t="n"/>
      <c r="L974" s="116">
        <f>IF('Contractors'!B974="","",'Contractors'!B974)</f>
        <v/>
      </c>
      <c r="M974" s="78">
        <f>IF(L974="","",'Contractors'!L974)</f>
        <v/>
      </c>
      <c r="N974" s="78">
        <f>IF(OR(L974="",M974&lt;&gt;"Yes"),"",IF(COUNTIFS('Vault'!$C$6:$C$1005,"Contract",'Vault'!$D$6:$D$1005,L974)&gt;0,"✓","✗ missing"))</f>
        <v/>
      </c>
      <c r="O974" s="78">
        <f>IF(OR(L974="",M974&lt;&gt;"Yes"),"",IF(COUNTIFS('Vault'!$C$6:$C$1005,"Insurance",'Vault'!$D$6:$D$1005,L974)&gt;0,"✓","✗ missing"))</f>
        <v/>
      </c>
      <c r="P974" s="78">
        <f>IF(OR(L974="",M974&lt;&gt;"Yes"),"",IF(COUNTIFS('Vault'!$C$6:$C$1005,"Quote",'Vault'!$D$6:$D$1005,L974)&gt;0,"✓","✗ missing"))</f>
        <v/>
      </c>
      <c r="Q974" s="78">
        <f>IF(N974="","",IF(AND(N974="✓",O974="✓",P974="✓"),"✓ Complete","Missing documents"))</f>
        <v/>
      </c>
      <c r="R974" s="79">
        <f>IF(Q974="","",IF(Q974="✓ Complete",0,1))</f>
        <v/>
      </c>
    </row>
    <row r="975" ht="20" customHeight="1">
      <c r="B975" s="72" t="n"/>
      <c r="C975" s="72" t="n"/>
      <c r="D975" s="72" t="n"/>
      <c r="E975" s="72" t="n"/>
      <c r="F975" s="72" t="n"/>
      <c r="G975" s="109" t="n"/>
      <c r="H975" s="72" t="n"/>
      <c r="I975" s="78">
        <f>IF(H975="","",HYPERLINK(H975,"Open ↗"))</f>
        <v/>
      </c>
      <c r="J975" s="72" t="n"/>
      <c r="L975" s="116">
        <f>IF('Contractors'!B975="","",'Contractors'!B975)</f>
        <v/>
      </c>
      <c r="M975" s="78">
        <f>IF(L975="","",'Contractors'!L975)</f>
        <v/>
      </c>
      <c r="N975" s="78">
        <f>IF(OR(L975="",M975&lt;&gt;"Yes"),"",IF(COUNTIFS('Vault'!$C$6:$C$1005,"Contract",'Vault'!$D$6:$D$1005,L975)&gt;0,"✓","✗ missing"))</f>
        <v/>
      </c>
      <c r="O975" s="78">
        <f>IF(OR(L975="",M975&lt;&gt;"Yes"),"",IF(COUNTIFS('Vault'!$C$6:$C$1005,"Insurance",'Vault'!$D$6:$D$1005,L975)&gt;0,"✓","✗ missing"))</f>
        <v/>
      </c>
      <c r="P975" s="78">
        <f>IF(OR(L975="",M975&lt;&gt;"Yes"),"",IF(COUNTIFS('Vault'!$C$6:$C$1005,"Quote",'Vault'!$D$6:$D$1005,L975)&gt;0,"✓","✗ missing"))</f>
        <v/>
      </c>
      <c r="Q975" s="78">
        <f>IF(N975="","",IF(AND(N975="✓",O975="✓",P975="✓"),"✓ Complete","Missing documents"))</f>
        <v/>
      </c>
      <c r="R975" s="79">
        <f>IF(Q975="","",IF(Q975="✓ Complete",0,1))</f>
        <v/>
      </c>
    </row>
    <row r="976" ht="20" customHeight="1">
      <c r="B976" s="72" t="n"/>
      <c r="C976" s="72" t="n"/>
      <c r="D976" s="72" t="n"/>
      <c r="E976" s="72" t="n"/>
      <c r="F976" s="72" t="n"/>
      <c r="G976" s="109" t="n"/>
      <c r="H976" s="72" t="n"/>
      <c r="I976" s="78">
        <f>IF(H976="","",HYPERLINK(H976,"Open ↗"))</f>
        <v/>
      </c>
      <c r="J976" s="72" t="n"/>
      <c r="L976" s="116">
        <f>IF('Contractors'!B976="","",'Contractors'!B976)</f>
        <v/>
      </c>
      <c r="M976" s="78">
        <f>IF(L976="","",'Contractors'!L976)</f>
        <v/>
      </c>
      <c r="N976" s="78">
        <f>IF(OR(L976="",M976&lt;&gt;"Yes"),"",IF(COUNTIFS('Vault'!$C$6:$C$1005,"Contract",'Vault'!$D$6:$D$1005,L976)&gt;0,"✓","✗ missing"))</f>
        <v/>
      </c>
      <c r="O976" s="78">
        <f>IF(OR(L976="",M976&lt;&gt;"Yes"),"",IF(COUNTIFS('Vault'!$C$6:$C$1005,"Insurance",'Vault'!$D$6:$D$1005,L976)&gt;0,"✓","✗ missing"))</f>
        <v/>
      </c>
      <c r="P976" s="78">
        <f>IF(OR(L976="",M976&lt;&gt;"Yes"),"",IF(COUNTIFS('Vault'!$C$6:$C$1005,"Quote",'Vault'!$D$6:$D$1005,L976)&gt;0,"✓","✗ missing"))</f>
        <v/>
      </c>
      <c r="Q976" s="78">
        <f>IF(N976="","",IF(AND(N976="✓",O976="✓",P976="✓"),"✓ Complete","Missing documents"))</f>
        <v/>
      </c>
      <c r="R976" s="79">
        <f>IF(Q976="","",IF(Q976="✓ Complete",0,1))</f>
        <v/>
      </c>
    </row>
    <row r="977" ht="20" customHeight="1">
      <c r="B977" s="72" t="n"/>
      <c r="C977" s="72" t="n"/>
      <c r="D977" s="72" t="n"/>
      <c r="E977" s="72" t="n"/>
      <c r="F977" s="72" t="n"/>
      <c r="G977" s="109" t="n"/>
      <c r="H977" s="72" t="n"/>
      <c r="I977" s="78">
        <f>IF(H977="","",HYPERLINK(H977,"Open ↗"))</f>
        <v/>
      </c>
      <c r="J977" s="72" t="n"/>
      <c r="L977" s="116">
        <f>IF('Contractors'!B977="","",'Contractors'!B977)</f>
        <v/>
      </c>
      <c r="M977" s="78">
        <f>IF(L977="","",'Contractors'!L977)</f>
        <v/>
      </c>
      <c r="N977" s="78">
        <f>IF(OR(L977="",M977&lt;&gt;"Yes"),"",IF(COUNTIFS('Vault'!$C$6:$C$1005,"Contract",'Vault'!$D$6:$D$1005,L977)&gt;0,"✓","✗ missing"))</f>
        <v/>
      </c>
      <c r="O977" s="78">
        <f>IF(OR(L977="",M977&lt;&gt;"Yes"),"",IF(COUNTIFS('Vault'!$C$6:$C$1005,"Insurance",'Vault'!$D$6:$D$1005,L977)&gt;0,"✓","✗ missing"))</f>
        <v/>
      </c>
      <c r="P977" s="78">
        <f>IF(OR(L977="",M977&lt;&gt;"Yes"),"",IF(COUNTIFS('Vault'!$C$6:$C$1005,"Quote",'Vault'!$D$6:$D$1005,L977)&gt;0,"✓","✗ missing"))</f>
        <v/>
      </c>
      <c r="Q977" s="78">
        <f>IF(N977="","",IF(AND(N977="✓",O977="✓",P977="✓"),"✓ Complete","Missing documents"))</f>
        <v/>
      </c>
      <c r="R977" s="79">
        <f>IF(Q977="","",IF(Q977="✓ Complete",0,1))</f>
        <v/>
      </c>
    </row>
    <row r="978" ht="20" customHeight="1">
      <c r="B978" s="72" t="n"/>
      <c r="C978" s="72" t="n"/>
      <c r="D978" s="72" t="n"/>
      <c r="E978" s="72" t="n"/>
      <c r="F978" s="72" t="n"/>
      <c r="G978" s="109" t="n"/>
      <c r="H978" s="72" t="n"/>
      <c r="I978" s="78">
        <f>IF(H978="","",HYPERLINK(H978,"Open ↗"))</f>
        <v/>
      </c>
      <c r="J978" s="72" t="n"/>
      <c r="L978" s="116">
        <f>IF('Contractors'!B978="","",'Contractors'!B978)</f>
        <v/>
      </c>
      <c r="M978" s="78">
        <f>IF(L978="","",'Contractors'!L978)</f>
        <v/>
      </c>
      <c r="N978" s="78">
        <f>IF(OR(L978="",M978&lt;&gt;"Yes"),"",IF(COUNTIFS('Vault'!$C$6:$C$1005,"Contract",'Vault'!$D$6:$D$1005,L978)&gt;0,"✓","✗ missing"))</f>
        <v/>
      </c>
      <c r="O978" s="78">
        <f>IF(OR(L978="",M978&lt;&gt;"Yes"),"",IF(COUNTIFS('Vault'!$C$6:$C$1005,"Insurance",'Vault'!$D$6:$D$1005,L978)&gt;0,"✓","✗ missing"))</f>
        <v/>
      </c>
      <c r="P978" s="78">
        <f>IF(OR(L978="",M978&lt;&gt;"Yes"),"",IF(COUNTIFS('Vault'!$C$6:$C$1005,"Quote",'Vault'!$D$6:$D$1005,L978)&gt;0,"✓","✗ missing"))</f>
        <v/>
      </c>
      <c r="Q978" s="78">
        <f>IF(N978="","",IF(AND(N978="✓",O978="✓",P978="✓"),"✓ Complete","Missing documents"))</f>
        <v/>
      </c>
      <c r="R978" s="79">
        <f>IF(Q978="","",IF(Q978="✓ Complete",0,1))</f>
        <v/>
      </c>
    </row>
    <row r="979" ht="20" customHeight="1">
      <c r="B979" s="72" t="n"/>
      <c r="C979" s="72" t="n"/>
      <c r="D979" s="72" t="n"/>
      <c r="E979" s="72" t="n"/>
      <c r="F979" s="72" t="n"/>
      <c r="G979" s="109" t="n"/>
      <c r="H979" s="72" t="n"/>
      <c r="I979" s="78">
        <f>IF(H979="","",HYPERLINK(H979,"Open ↗"))</f>
        <v/>
      </c>
      <c r="J979" s="72" t="n"/>
      <c r="L979" s="116">
        <f>IF('Contractors'!B979="","",'Contractors'!B979)</f>
        <v/>
      </c>
      <c r="M979" s="78">
        <f>IF(L979="","",'Contractors'!L979)</f>
        <v/>
      </c>
      <c r="N979" s="78">
        <f>IF(OR(L979="",M979&lt;&gt;"Yes"),"",IF(COUNTIFS('Vault'!$C$6:$C$1005,"Contract",'Vault'!$D$6:$D$1005,L979)&gt;0,"✓","✗ missing"))</f>
        <v/>
      </c>
      <c r="O979" s="78">
        <f>IF(OR(L979="",M979&lt;&gt;"Yes"),"",IF(COUNTIFS('Vault'!$C$6:$C$1005,"Insurance",'Vault'!$D$6:$D$1005,L979)&gt;0,"✓","✗ missing"))</f>
        <v/>
      </c>
      <c r="P979" s="78">
        <f>IF(OR(L979="",M979&lt;&gt;"Yes"),"",IF(COUNTIFS('Vault'!$C$6:$C$1005,"Quote",'Vault'!$D$6:$D$1005,L979)&gt;0,"✓","✗ missing"))</f>
        <v/>
      </c>
      <c r="Q979" s="78">
        <f>IF(N979="","",IF(AND(N979="✓",O979="✓",P979="✓"),"✓ Complete","Missing documents"))</f>
        <v/>
      </c>
      <c r="R979" s="79">
        <f>IF(Q979="","",IF(Q979="✓ Complete",0,1))</f>
        <v/>
      </c>
    </row>
    <row r="980" ht="20" customHeight="1">
      <c r="B980" s="72" t="n"/>
      <c r="C980" s="72" t="n"/>
      <c r="D980" s="72" t="n"/>
      <c r="E980" s="72" t="n"/>
      <c r="F980" s="72" t="n"/>
      <c r="G980" s="109" t="n"/>
      <c r="H980" s="72" t="n"/>
      <c r="I980" s="78">
        <f>IF(H980="","",HYPERLINK(H980,"Open ↗"))</f>
        <v/>
      </c>
      <c r="J980" s="72" t="n"/>
      <c r="L980" s="116">
        <f>IF('Contractors'!B980="","",'Contractors'!B980)</f>
        <v/>
      </c>
      <c r="M980" s="78">
        <f>IF(L980="","",'Contractors'!L980)</f>
        <v/>
      </c>
      <c r="N980" s="78">
        <f>IF(OR(L980="",M980&lt;&gt;"Yes"),"",IF(COUNTIFS('Vault'!$C$6:$C$1005,"Contract",'Vault'!$D$6:$D$1005,L980)&gt;0,"✓","✗ missing"))</f>
        <v/>
      </c>
      <c r="O980" s="78">
        <f>IF(OR(L980="",M980&lt;&gt;"Yes"),"",IF(COUNTIFS('Vault'!$C$6:$C$1005,"Insurance",'Vault'!$D$6:$D$1005,L980)&gt;0,"✓","✗ missing"))</f>
        <v/>
      </c>
      <c r="P980" s="78">
        <f>IF(OR(L980="",M980&lt;&gt;"Yes"),"",IF(COUNTIFS('Vault'!$C$6:$C$1005,"Quote",'Vault'!$D$6:$D$1005,L980)&gt;0,"✓","✗ missing"))</f>
        <v/>
      </c>
      <c r="Q980" s="78">
        <f>IF(N980="","",IF(AND(N980="✓",O980="✓",P980="✓"),"✓ Complete","Missing documents"))</f>
        <v/>
      </c>
      <c r="R980" s="79">
        <f>IF(Q980="","",IF(Q980="✓ Complete",0,1))</f>
        <v/>
      </c>
    </row>
    <row r="981" ht="20" customHeight="1">
      <c r="B981" s="72" t="n"/>
      <c r="C981" s="72" t="n"/>
      <c r="D981" s="72" t="n"/>
      <c r="E981" s="72" t="n"/>
      <c r="F981" s="72" t="n"/>
      <c r="G981" s="109" t="n"/>
      <c r="H981" s="72" t="n"/>
      <c r="I981" s="78">
        <f>IF(H981="","",HYPERLINK(H981,"Open ↗"))</f>
        <v/>
      </c>
      <c r="J981" s="72" t="n"/>
      <c r="L981" s="116">
        <f>IF('Contractors'!B981="","",'Contractors'!B981)</f>
        <v/>
      </c>
      <c r="M981" s="78">
        <f>IF(L981="","",'Contractors'!L981)</f>
        <v/>
      </c>
      <c r="N981" s="78">
        <f>IF(OR(L981="",M981&lt;&gt;"Yes"),"",IF(COUNTIFS('Vault'!$C$6:$C$1005,"Contract",'Vault'!$D$6:$D$1005,L981)&gt;0,"✓","✗ missing"))</f>
        <v/>
      </c>
      <c r="O981" s="78">
        <f>IF(OR(L981="",M981&lt;&gt;"Yes"),"",IF(COUNTIFS('Vault'!$C$6:$C$1005,"Insurance",'Vault'!$D$6:$D$1005,L981)&gt;0,"✓","✗ missing"))</f>
        <v/>
      </c>
      <c r="P981" s="78">
        <f>IF(OR(L981="",M981&lt;&gt;"Yes"),"",IF(COUNTIFS('Vault'!$C$6:$C$1005,"Quote",'Vault'!$D$6:$D$1005,L981)&gt;0,"✓","✗ missing"))</f>
        <v/>
      </c>
      <c r="Q981" s="78">
        <f>IF(N981="","",IF(AND(N981="✓",O981="✓",P981="✓"),"✓ Complete","Missing documents"))</f>
        <v/>
      </c>
      <c r="R981" s="79">
        <f>IF(Q981="","",IF(Q981="✓ Complete",0,1))</f>
        <v/>
      </c>
    </row>
    <row r="982" ht="20" customHeight="1">
      <c r="B982" s="72" t="n"/>
      <c r="C982" s="72" t="n"/>
      <c r="D982" s="72" t="n"/>
      <c r="E982" s="72" t="n"/>
      <c r="F982" s="72" t="n"/>
      <c r="G982" s="109" t="n"/>
      <c r="H982" s="72" t="n"/>
      <c r="I982" s="78">
        <f>IF(H982="","",HYPERLINK(H982,"Open ↗"))</f>
        <v/>
      </c>
      <c r="J982" s="72" t="n"/>
      <c r="L982" s="116">
        <f>IF('Contractors'!B982="","",'Contractors'!B982)</f>
        <v/>
      </c>
      <c r="M982" s="78">
        <f>IF(L982="","",'Contractors'!L982)</f>
        <v/>
      </c>
      <c r="N982" s="78">
        <f>IF(OR(L982="",M982&lt;&gt;"Yes"),"",IF(COUNTIFS('Vault'!$C$6:$C$1005,"Contract",'Vault'!$D$6:$D$1005,L982)&gt;0,"✓","✗ missing"))</f>
        <v/>
      </c>
      <c r="O982" s="78">
        <f>IF(OR(L982="",M982&lt;&gt;"Yes"),"",IF(COUNTIFS('Vault'!$C$6:$C$1005,"Insurance",'Vault'!$D$6:$D$1005,L982)&gt;0,"✓","✗ missing"))</f>
        <v/>
      </c>
      <c r="P982" s="78">
        <f>IF(OR(L982="",M982&lt;&gt;"Yes"),"",IF(COUNTIFS('Vault'!$C$6:$C$1005,"Quote",'Vault'!$D$6:$D$1005,L982)&gt;0,"✓","✗ missing"))</f>
        <v/>
      </c>
      <c r="Q982" s="78">
        <f>IF(N982="","",IF(AND(N982="✓",O982="✓",P982="✓"),"✓ Complete","Missing documents"))</f>
        <v/>
      </c>
      <c r="R982" s="79">
        <f>IF(Q982="","",IF(Q982="✓ Complete",0,1))</f>
        <v/>
      </c>
    </row>
    <row r="983" ht="20" customHeight="1">
      <c r="B983" s="72" t="n"/>
      <c r="C983" s="72" t="n"/>
      <c r="D983" s="72" t="n"/>
      <c r="E983" s="72" t="n"/>
      <c r="F983" s="72" t="n"/>
      <c r="G983" s="109" t="n"/>
      <c r="H983" s="72" t="n"/>
      <c r="I983" s="78">
        <f>IF(H983="","",HYPERLINK(H983,"Open ↗"))</f>
        <v/>
      </c>
      <c r="J983" s="72" t="n"/>
      <c r="L983" s="116">
        <f>IF('Contractors'!B983="","",'Contractors'!B983)</f>
        <v/>
      </c>
      <c r="M983" s="78">
        <f>IF(L983="","",'Contractors'!L983)</f>
        <v/>
      </c>
      <c r="N983" s="78">
        <f>IF(OR(L983="",M983&lt;&gt;"Yes"),"",IF(COUNTIFS('Vault'!$C$6:$C$1005,"Contract",'Vault'!$D$6:$D$1005,L983)&gt;0,"✓","✗ missing"))</f>
        <v/>
      </c>
      <c r="O983" s="78">
        <f>IF(OR(L983="",M983&lt;&gt;"Yes"),"",IF(COUNTIFS('Vault'!$C$6:$C$1005,"Insurance",'Vault'!$D$6:$D$1005,L983)&gt;0,"✓","✗ missing"))</f>
        <v/>
      </c>
      <c r="P983" s="78">
        <f>IF(OR(L983="",M983&lt;&gt;"Yes"),"",IF(COUNTIFS('Vault'!$C$6:$C$1005,"Quote",'Vault'!$D$6:$D$1005,L983)&gt;0,"✓","✗ missing"))</f>
        <v/>
      </c>
      <c r="Q983" s="78">
        <f>IF(N983="","",IF(AND(N983="✓",O983="✓",P983="✓"),"✓ Complete","Missing documents"))</f>
        <v/>
      </c>
      <c r="R983" s="79">
        <f>IF(Q983="","",IF(Q983="✓ Complete",0,1))</f>
        <v/>
      </c>
    </row>
    <row r="984" ht="20" customHeight="1">
      <c r="B984" s="72" t="n"/>
      <c r="C984" s="72" t="n"/>
      <c r="D984" s="72" t="n"/>
      <c r="E984" s="72" t="n"/>
      <c r="F984" s="72" t="n"/>
      <c r="G984" s="109" t="n"/>
      <c r="H984" s="72" t="n"/>
      <c r="I984" s="78">
        <f>IF(H984="","",HYPERLINK(H984,"Open ↗"))</f>
        <v/>
      </c>
      <c r="J984" s="72" t="n"/>
      <c r="L984" s="116">
        <f>IF('Contractors'!B984="","",'Contractors'!B984)</f>
        <v/>
      </c>
      <c r="M984" s="78">
        <f>IF(L984="","",'Contractors'!L984)</f>
        <v/>
      </c>
      <c r="N984" s="78">
        <f>IF(OR(L984="",M984&lt;&gt;"Yes"),"",IF(COUNTIFS('Vault'!$C$6:$C$1005,"Contract",'Vault'!$D$6:$D$1005,L984)&gt;0,"✓","✗ missing"))</f>
        <v/>
      </c>
      <c r="O984" s="78">
        <f>IF(OR(L984="",M984&lt;&gt;"Yes"),"",IF(COUNTIFS('Vault'!$C$6:$C$1005,"Insurance",'Vault'!$D$6:$D$1005,L984)&gt;0,"✓","✗ missing"))</f>
        <v/>
      </c>
      <c r="P984" s="78">
        <f>IF(OR(L984="",M984&lt;&gt;"Yes"),"",IF(COUNTIFS('Vault'!$C$6:$C$1005,"Quote",'Vault'!$D$6:$D$1005,L984)&gt;0,"✓","✗ missing"))</f>
        <v/>
      </c>
      <c r="Q984" s="78">
        <f>IF(N984="","",IF(AND(N984="✓",O984="✓",P984="✓"),"✓ Complete","Missing documents"))</f>
        <v/>
      </c>
      <c r="R984" s="79">
        <f>IF(Q984="","",IF(Q984="✓ Complete",0,1))</f>
        <v/>
      </c>
    </row>
    <row r="985" ht="20" customHeight="1">
      <c r="B985" s="72" t="n"/>
      <c r="C985" s="72" t="n"/>
      <c r="D985" s="72" t="n"/>
      <c r="E985" s="72" t="n"/>
      <c r="F985" s="72" t="n"/>
      <c r="G985" s="109" t="n"/>
      <c r="H985" s="72" t="n"/>
      <c r="I985" s="78">
        <f>IF(H985="","",HYPERLINK(H985,"Open ↗"))</f>
        <v/>
      </c>
      <c r="J985" s="72" t="n"/>
      <c r="L985" s="116">
        <f>IF('Contractors'!B985="","",'Contractors'!B985)</f>
        <v/>
      </c>
      <c r="M985" s="78">
        <f>IF(L985="","",'Contractors'!L985)</f>
        <v/>
      </c>
      <c r="N985" s="78">
        <f>IF(OR(L985="",M985&lt;&gt;"Yes"),"",IF(COUNTIFS('Vault'!$C$6:$C$1005,"Contract",'Vault'!$D$6:$D$1005,L985)&gt;0,"✓","✗ missing"))</f>
        <v/>
      </c>
      <c r="O985" s="78">
        <f>IF(OR(L985="",M985&lt;&gt;"Yes"),"",IF(COUNTIFS('Vault'!$C$6:$C$1005,"Insurance",'Vault'!$D$6:$D$1005,L985)&gt;0,"✓","✗ missing"))</f>
        <v/>
      </c>
      <c r="P985" s="78">
        <f>IF(OR(L985="",M985&lt;&gt;"Yes"),"",IF(COUNTIFS('Vault'!$C$6:$C$1005,"Quote",'Vault'!$D$6:$D$1005,L985)&gt;0,"✓","✗ missing"))</f>
        <v/>
      </c>
      <c r="Q985" s="78">
        <f>IF(N985="","",IF(AND(N985="✓",O985="✓",P985="✓"),"✓ Complete","Missing documents"))</f>
        <v/>
      </c>
      <c r="R985" s="79">
        <f>IF(Q985="","",IF(Q985="✓ Complete",0,1))</f>
        <v/>
      </c>
    </row>
    <row r="986" ht="20" customHeight="1">
      <c r="B986" s="72" t="n"/>
      <c r="C986" s="72" t="n"/>
      <c r="D986" s="72" t="n"/>
      <c r="E986" s="72" t="n"/>
      <c r="F986" s="72" t="n"/>
      <c r="G986" s="109" t="n"/>
      <c r="H986" s="72" t="n"/>
      <c r="I986" s="78">
        <f>IF(H986="","",HYPERLINK(H986,"Open ↗"))</f>
        <v/>
      </c>
      <c r="J986" s="72" t="n"/>
      <c r="L986" s="116">
        <f>IF('Contractors'!B986="","",'Contractors'!B986)</f>
        <v/>
      </c>
      <c r="M986" s="78">
        <f>IF(L986="","",'Contractors'!L986)</f>
        <v/>
      </c>
      <c r="N986" s="78">
        <f>IF(OR(L986="",M986&lt;&gt;"Yes"),"",IF(COUNTIFS('Vault'!$C$6:$C$1005,"Contract",'Vault'!$D$6:$D$1005,L986)&gt;0,"✓","✗ missing"))</f>
        <v/>
      </c>
      <c r="O986" s="78">
        <f>IF(OR(L986="",M986&lt;&gt;"Yes"),"",IF(COUNTIFS('Vault'!$C$6:$C$1005,"Insurance",'Vault'!$D$6:$D$1005,L986)&gt;0,"✓","✗ missing"))</f>
        <v/>
      </c>
      <c r="P986" s="78">
        <f>IF(OR(L986="",M986&lt;&gt;"Yes"),"",IF(COUNTIFS('Vault'!$C$6:$C$1005,"Quote",'Vault'!$D$6:$D$1005,L986)&gt;0,"✓","✗ missing"))</f>
        <v/>
      </c>
      <c r="Q986" s="78">
        <f>IF(N986="","",IF(AND(N986="✓",O986="✓",P986="✓"),"✓ Complete","Missing documents"))</f>
        <v/>
      </c>
      <c r="R986" s="79">
        <f>IF(Q986="","",IF(Q986="✓ Complete",0,1))</f>
        <v/>
      </c>
    </row>
    <row r="987" ht="20" customHeight="1">
      <c r="B987" s="72" t="n"/>
      <c r="C987" s="72" t="n"/>
      <c r="D987" s="72" t="n"/>
      <c r="E987" s="72" t="n"/>
      <c r="F987" s="72" t="n"/>
      <c r="G987" s="109" t="n"/>
      <c r="H987" s="72" t="n"/>
      <c r="I987" s="78">
        <f>IF(H987="","",HYPERLINK(H987,"Open ↗"))</f>
        <v/>
      </c>
      <c r="J987" s="72" t="n"/>
      <c r="L987" s="116">
        <f>IF('Contractors'!B987="","",'Contractors'!B987)</f>
        <v/>
      </c>
      <c r="M987" s="78">
        <f>IF(L987="","",'Contractors'!L987)</f>
        <v/>
      </c>
      <c r="N987" s="78">
        <f>IF(OR(L987="",M987&lt;&gt;"Yes"),"",IF(COUNTIFS('Vault'!$C$6:$C$1005,"Contract",'Vault'!$D$6:$D$1005,L987)&gt;0,"✓","✗ missing"))</f>
        <v/>
      </c>
      <c r="O987" s="78">
        <f>IF(OR(L987="",M987&lt;&gt;"Yes"),"",IF(COUNTIFS('Vault'!$C$6:$C$1005,"Insurance",'Vault'!$D$6:$D$1005,L987)&gt;0,"✓","✗ missing"))</f>
        <v/>
      </c>
      <c r="P987" s="78">
        <f>IF(OR(L987="",M987&lt;&gt;"Yes"),"",IF(COUNTIFS('Vault'!$C$6:$C$1005,"Quote",'Vault'!$D$6:$D$1005,L987)&gt;0,"✓","✗ missing"))</f>
        <v/>
      </c>
      <c r="Q987" s="78">
        <f>IF(N987="","",IF(AND(N987="✓",O987="✓",P987="✓"),"✓ Complete","Missing documents"))</f>
        <v/>
      </c>
      <c r="R987" s="79">
        <f>IF(Q987="","",IF(Q987="✓ Complete",0,1))</f>
        <v/>
      </c>
    </row>
    <row r="988" ht="20" customHeight="1">
      <c r="B988" s="72" t="n"/>
      <c r="C988" s="72" t="n"/>
      <c r="D988" s="72" t="n"/>
      <c r="E988" s="72" t="n"/>
      <c r="F988" s="72" t="n"/>
      <c r="G988" s="109" t="n"/>
      <c r="H988" s="72" t="n"/>
      <c r="I988" s="78">
        <f>IF(H988="","",HYPERLINK(H988,"Open ↗"))</f>
        <v/>
      </c>
      <c r="J988" s="72" t="n"/>
      <c r="L988" s="116">
        <f>IF('Contractors'!B988="","",'Contractors'!B988)</f>
        <v/>
      </c>
      <c r="M988" s="78">
        <f>IF(L988="","",'Contractors'!L988)</f>
        <v/>
      </c>
      <c r="N988" s="78">
        <f>IF(OR(L988="",M988&lt;&gt;"Yes"),"",IF(COUNTIFS('Vault'!$C$6:$C$1005,"Contract",'Vault'!$D$6:$D$1005,L988)&gt;0,"✓","✗ missing"))</f>
        <v/>
      </c>
      <c r="O988" s="78">
        <f>IF(OR(L988="",M988&lt;&gt;"Yes"),"",IF(COUNTIFS('Vault'!$C$6:$C$1005,"Insurance",'Vault'!$D$6:$D$1005,L988)&gt;0,"✓","✗ missing"))</f>
        <v/>
      </c>
      <c r="P988" s="78">
        <f>IF(OR(L988="",M988&lt;&gt;"Yes"),"",IF(COUNTIFS('Vault'!$C$6:$C$1005,"Quote",'Vault'!$D$6:$D$1005,L988)&gt;0,"✓","✗ missing"))</f>
        <v/>
      </c>
      <c r="Q988" s="78">
        <f>IF(N988="","",IF(AND(N988="✓",O988="✓",P988="✓"),"✓ Complete","Missing documents"))</f>
        <v/>
      </c>
      <c r="R988" s="79">
        <f>IF(Q988="","",IF(Q988="✓ Complete",0,1))</f>
        <v/>
      </c>
    </row>
    <row r="989" ht="20" customHeight="1">
      <c r="B989" s="72" t="n"/>
      <c r="C989" s="72" t="n"/>
      <c r="D989" s="72" t="n"/>
      <c r="E989" s="72" t="n"/>
      <c r="F989" s="72" t="n"/>
      <c r="G989" s="109" t="n"/>
      <c r="H989" s="72" t="n"/>
      <c r="I989" s="78">
        <f>IF(H989="","",HYPERLINK(H989,"Open ↗"))</f>
        <v/>
      </c>
      <c r="J989" s="72" t="n"/>
      <c r="L989" s="116">
        <f>IF('Contractors'!B989="","",'Contractors'!B989)</f>
        <v/>
      </c>
      <c r="M989" s="78">
        <f>IF(L989="","",'Contractors'!L989)</f>
        <v/>
      </c>
      <c r="N989" s="78">
        <f>IF(OR(L989="",M989&lt;&gt;"Yes"),"",IF(COUNTIFS('Vault'!$C$6:$C$1005,"Contract",'Vault'!$D$6:$D$1005,L989)&gt;0,"✓","✗ missing"))</f>
        <v/>
      </c>
      <c r="O989" s="78">
        <f>IF(OR(L989="",M989&lt;&gt;"Yes"),"",IF(COUNTIFS('Vault'!$C$6:$C$1005,"Insurance",'Vault'!$D$6:$D$1005,L989)&gt;0,"✓","✗ missing"))</f>
        <v/>
      </c>
      <c r="P989" s="78">
        <f>IF(OR(L989="",M989&lt;&gt;"Yes"),"",IF(COUNTIFS('Vault'!$C$6:$C$1005,"Quote",'Vault'!$D$6:$D$1005,L989)&gt;0,"✓","✗ missing"))</f>
        <v/>
      </c>
      <c r="Q989" s="78">
        <f>IF(N989="","",IF(AND(N989="✓",O989="✓",P989="✓"),"✓ Complete","Missing documents"))</f>
        <v/>
      </c>
      <c r="R989" s="79">
        <f>IF(Q989="","",IF(Q989="✓ Complete",0,1))</f>
        <v/>
      </c>
    </row>
    <row r="990" ht="20" customHeight="1">
      <c r="B990" s="72" t="n"/>
      <c r="C990" s="72" t="n"/>
      <c r="D990" s="72" t="n"/>
      <c r="E990" s="72" t="n"/>
      <c r="F990" s="72" t="n"/>
      <c r="G990" s="109" t="n"/>
      <c r="H990" s="72" t="n"/>
      <c r="I990" s="78">
        <f>IF(H990="","",HYPERLINK(H990,"Open ↗"))</f>
        <v/>
      </c>
      <c r="J990" s="72" t="n"/>
      <c r="L990" s="116">
        <f>IF('Contractors'!B990="","",'Contractors'!B990)</f>
        <v/>
      </c>
      <c r="M990" s="78">
        <f>IF(L990="","",'Contractors'!L990)</f>
        <v/>
      </c>
      <c r="N990" s="78">
        <f>IF(OR(L990="",M990&lt;&gt;"Yes"),"",IF(COUNTIFS('Vault'!$C$6:$C$1005,"Contract",'Vault'!$D$6:$D$1005,L990)&gt;0,"✓","✗ missing"))</f>
        <v/>
      </c>
      <c r="O990" s="78">
        <f>IF(OR(L990="",M990&lt;&gt;"Yes"),"",IF(COUNTIFS('Vault'!$C$6:$C$1005,"Insurance",'Vault'!$D$6:$D$1005,L990)&gt;0,"✓","✗ missing"))</f>
        <v/>
      </c>
      <c r="P990" s="78">
        <f>IF(OR(L990="",M990&lt;&gt;"Yes"),"",IF(COUNTIFS('Vault'!$C$6:$C$1005,"Quote",'Vault'!$D$6:$D$1005,L990)&gt;0,"✓","✗ missing"))</f>
        <v/>
      </c>
      <c r="Q990" s="78">
        <f>IF(N990="","",IF(AND(N990="✓",O990="✓",P990="✓"),"✓ Complete","Missing documents"))</f>
        <v/>
      </c>
      <c r="R990" s="79">
        <f>IF(Q990="","",IF(Q990="✓ Complete",0,1))</f>
        <v/>
      </c>
    </row>
    <row r="991" ht="20" customHeight="1">
      <c r="B991" s="72" t="n"/>
      <c r="C991" s="72" t="n"/>
      <c r="D991" s="72" t="n"/>
      <c r="E991" s="72" t="n"/>
      <c r="F991" s="72" t="n"/>
      <c r="G991" s="109" t="n"/>
      <c r="H991" s="72" t="n"/>
      <c r="I991" s="78">
        <f>IF(H991="","",HYPERLINK(H991,"Open ↗"))</f>
        <v/>
      </c>
      <c r="J991" s="72" t="n"/>
      <c r="L991" s="116">
        <f>IF('Contractors'!B991="","",'Contractors'!B991)</f>
        <v/>
      </c>
      <c r="M991" s="78">
        <f>IF(L991="","",'Contractors'!L991)</f>
        <v/>
      </c>
      <c r="N991" s="78">
        <f>IF(OR(L991="",M991&lt;&gt;"Yes"),"",IF(COUNTIFS('Vault'!$C$6:$C$1005,"Contract",'Vault'!$D$6:$D$1005,L991)&gt;0,"✓","✗ missing"))</f>
        <v/>
      </c>
      <c r="O991" s="78">
        <f>IF(OR(L991="",M991&lt;&gt;"Yes"),"",IF(COUNTIFS('Vault'!$C$6:$C$1005,"Insurance",'Vault'!$D$6:$D$1005,L991)&gt;0,"✓","✗ missing"))</f>
        <v/>
      </c>
      <c r="P991" s="78">
        <f>IF(OR(L991="",M991&lt;&gt;"Yes"),"",IF(COUNTIFS('Vault'!$C$6:$C$1005,"Quote",'Vault'!$D$6:$D$1005,L991)&gt;0,"✓","✗ missing"))</f>
        <v/>
      </c>
      <c r="Q991" s="78">
        <f>IF(N991="","",IF(AND(N991="✓",O991="✓",P991="✓"),"✓ Complete","Missing documents"))</f>
        <v/>
      </c>
      <c r="R991" s="79">
        <f>IF(Q991="","",IF(Q991="✓ Complete",0,1))</f>
        <v/>
      </c>
    </row>
    <row r="992" ht="20" customHeight="1">
      <c r="B992" s="72" t="n"/>
      <c r="C992" s="72" t="n"/>
      <c r="D992" s="72" t="n"/>
      <c r="E992" s="72" t="n"/>
      <c r="F992" s="72" t="n"/>
      <c r="G992" s="109" t="n"/>
      <c r="H992" s="72" t="n"/>
      <c r="I992" s="78">
        <f>IF(H992="","",HYPERLINK(H992,"Open ↗"))</f>
        <v/>
      </c>
      <c r="J992" s="72" t="n"/>
      <c r="L992" s="116">
        <f>IF('Contractors'!B992="","",'Contractors'!B992)</f>
        <v/>
      </c>
      <c r="M992" s="78">
        <f>IF(L992="","",'Contractors'!L992)</f>
        <v/>
      </c>
      <c r="N992" s="78">
        <f>IF(OR(L992="",M992&lt;&gt;"Yes"),"",IF(COUNTIFS('Vault'!$C$6:$C$1005,"Contract",'Vault'!$D$6:$D$1005,L992)&gt;0,"✓","✗ missing"))</f>
        <v/>
      </c>
      <c r="O992" s="78">
        <f>IF(OR(L992="",M992&lt;&gt;"Yes"),"",IF(COUNTIFS('Vault'!$C$6:$C$1005,"Insurance",'Vault'!$D$6:$D$1005,L992)&gt;0,"✓","✗ missing"))</f>
        <v/>
      </c>
      <c r="P992" s="78">
        <f>IF(OR(L992="",M992&lt;&gt;"Yes"),"",IF(COUNTIFS('Vault'!$C$6:$C$1005,"Quote",'Vault'!$D$6:$D$1005,L992)&gt;0,"✓","✗ missing"))</f>
        <v/>
      </c>
      <c r="Q992" s="78">
        <f>IF(N992="","",IF(AND(N992="✓",O992="✓",P992="✓"),"✓ Complete","Missing documents"))</f>
        <v/>
      </c>
      <c r="R992" s="79">
        <f>IF(Q992="","",IF(Q992="✓ Complete",0,1))</f>
        <v/>
      </c>
    </row>
    <row r="993" ht="20" customHeight="1">
      <c r="B993" s="72" t="n"/>
      <c r="C993" s="72" t="n"/>
      <c r="D993" s="72" t="n"/>
      <c r="E993" s="72" t="n"/>
      <c r="F993" s="72" t="n"/>
      <c r="G993" s="109" t="n"/>
      <c r="H993" s="72" t="n"/>
      <c r="I993" s="78">
        <f>IF(H993="","",HYPERLINK(H993,"Open ↗"))</f>
        <v/>
      </c>
      <c r="J993" s="72" t="n"/>
      <c r="L993" s="116">
        <f>IF('Contractors'!B993="","",'Contractors'!B993)</f>
        <v/>
      </c>
      <c r="M993" s="78">
        <f>IF(L993="","",'Contractors'!L993)</f>
        <v/>
      </c>
      <c r="N993" s="78">
        <f>IF(OR(L993="",M993&lt;&gt;"Yes"),"",IF(COUNTIFS('Vault'!$C$6:$C$1005,"Contract",'Vault'!$D$6:$D$1005,L993)&gt;0,"✓","✗ missing"))</f>
        <v/>
      </c>
      <c r="O993" s="78">
        <f>IF(OR(L993="",M993&lt;&gt;"Yes"),"",IF(COUNTIFS('Vault'!$C$6:$C$1005,"Insurance",'Vault'!$D$6:$D$1005,L993)&gt;0,"✓","✗ missing"))</f>
        <v/>
      </c>
      <c r="P993" s="78">
        <f>IF(OR(L993="",M993&lt;&gt;"Yes"),"",IF(COUNTIFS('Vault'!$C$6:$C$1005,"Quote",'Vault'!$D$6:$D$1005,L993)&gt;0,"✓","✗ missing"))</f>
        <v/>
      </c>
      <c r="Q993" s="78">
        <f>IF(N993="","",IF(AND(N993="✓",O993="✓",P993="✓"),"✓ Complete","Missing documents"))</f>
        <v/>
      </c>
      <c r="R993" s="79">
        <f>IF(Q993="","",IF(Q993="✓ Complete",0,1))</f>
        <v/>
      </c>
    </row>
    <row r="994" ht="20" customHeight="1">
      <c r="B994" s="72" t="n"/>
      <c r="C994" s="72" t="n"/>
      <c r="D994" s="72" t="n"/>
      <c r="E994" s="72" t="n"/>
      <c r="F994" s="72" t="n"/>
      <c r="G994" s="109" t="n"/>
      <c r="H994" s="72" t="n"/>
      <c r="I994" s="78">
        <f>IF(H994="","",HYPERLINK(H994,"Open ↗"))</f>
        <v/>
      </c>
      <c r="J994" s="72" t="n"/>
      <c r="L994" s="116">
        <f>IF('Contractors'!B994="","",'Contractors'!B994)</f>
        <v/>
      </c>
      <c r="M994" s="78">
        <f>IF(L994="","",'Contractors'!L994)</f>
        <v/>
      </c>
      <c r="N994" s="78">
        <f>IF(OR(L994="",M994&lt;&gt;"Yes"),"",IF(COUNTIFS('Vault'!$C$6:$C$1005,"Contract",'Vault'!$D$6:$D$1005,L994)&gt;0,"✓","✗ missing"))</f>
        <v/>
      </c>
      <c r="O994" s="78">
        <f>IF(OR(L994="",M994&lt;&gt;"Yes"),"",IF(COUNTIFS('Vault'!$C$6:$C$1005,"Insurance",'Vault'!$D$6:$D$1005,L994)&gt;0,"✓","✗ missing"))</f>
        <v/>
      </c>
      <c r="P994" s="78">
        <f>IF(OR(L994="",M994&lt;&gt;"Yes"),"",IF(COUNTIFS('Vault'!$C$6:$C$1005,"Quote",'Vault'!$D$6:$D$1005,L994)&gt;0,"✓","✗ missing"))</f>
        <v/>
      </c>
      <c r="Q994" s="78">
        <f>IF(N994="","",IF(AND(N994="✓",O994="✓",P994="✓"),"✓ Complete","Missing documents"))</f>
        <v/>
      </c>
      <c r="R994" s="79">
        <f>IF(Q994="","",IF(Q994="✓ Complete",0,1))</f>
        <v/>
      </c>
    </row>
    <row r="995" ht="20" customHeight="1">
      <c r="B995" s="72" t="n"/>
      <c r="C995" s="72" t="n"/>
      <c r="D995" s="72" t="n"/>
      <c r="E995" s="72" t="n"/>
      <c r="F995" s="72" t="n"/>
      <c r="G995" s="109" t="n"/>
      <c r="H995" s="72" t="n"/>
      <c r="I995" s="78">
        <f>IF(H995="","",HYPERLINK(H995,"Open ↗"))</f>
        <v/>
      </c>
      <c r="J995" s="72" t="n"/>
      <c r="L995" s="116">
        <f>IF('Contractors'!B995="","",'Contractors'!B995)</f>
        <v/>
      </c>
      <c r="M995" s="78">
        <f>IF(L995="","",'Contractors'!L995)</f>
        <v/>
      </c>
      <c r="N995" s="78">
        <f>IF(OR(L995="",M995&lt;&gt;"Yes"),"",IF(COUNTIFS('Vault'!$C$6:$C$1005,"Contract",'Vault'!$D$6:$D$1005,L995)&gt;0,"✓","✗ missing"))</f>
        <v/>
      </c>
      <c r="O995" s="78">
        <f>IF(OR(L995="",M995&lt;&gt;"Yes"),"",IF(COUNTIFS('Vault'!$C$6:$C$1005,"Insurance",'Vault'!$D$6:$D$1005,L995)&gt;0,"✓","✗ missing"))</f>
        <v/>
      </c>
      <c r="P995" s="78">
        <f>IF(OR(L995="",M995&lt;&gt;"Yes"),"",IF(COUNTIFS('Vault'!$C$6:$C$1005,"Quote",'Vault'!$D$6:$D$1005,L995)&gt;0,"✓","✗ missing"))</f>
        <v/>
      </c>
      <c r="Q995" s="78">
        <f>IF(N995="","",IF(AND(N995="✓",O995="✓",P995="✓"),"✓ Complete","Missing documents"))</f>
        <v/>
      </c>
      <c r="R995" s="79">
        <f>IF(Q995="","",IF(Q995="✓ Complete",0,1))</f>
        <v/>
      </c>
    </row>
    <row r="996" ht="20" customHeight="1">
      <c r="B996" s="72" t="n"/>
      <c r="C996" s="72" t="n"/>
      <c r="D996" s="72" t="n"/>
      <c r="E996" s="72" t="n"/>
      <c r="F996" s="72" t="n"/>
      <c r="G996" s="109" t="n"/>
      <c r="H996" s="72" t="n"/>
      <c r="I996" s="78">
        <f>IF(H996="","",HYPERLINK(H996,"Open ↗"))</f>
        <v/>
      </c>
      <c r="J996" s="72" t="n"/>
      <c r="L996" s="116">
        <f>IF('Contractors'!B996="","",'Contractors'!B996)</f>
        <v/>
      </c>
      <c r="M996" s="78">
        <f>IF(L996="","",'Contractors'!L996)</f>
        <v/>
      </c>
      <c r="N996" s="78">
        <f>IF(OR(L996="",M996&lt;&gt;"Yes"),"",IF(COUNTIFS('Vault'!$C$6:$C$1005,"Contract",'Vault'!$D$6:$D$1005,L996)&gt;0,"✓","✗ missing"))</f>
        <v/>
      </c>
      <c r="O996" s="78">
        <f>IF(OR(L996="",M996&lt;&gt;"Yes"),"",IF(COUNTIFS('Vault'!$C$6:$C$1005,"Insurance",'Vault'!$D$6:$D$1005,L996)&gt;0,"✓","✗ missing"))</f>
        <v/>
      </c>
      <c r="P996" s="78">
        <f>IF(OR(L996="",M996&lt;&gt;"Yes"),"",IF(COUNTIFS('Vault'!$C$6:$C$1005,"Quote",'Vault'!$D$6:$D$1005,L996)&gt;0,"✓","✗ missing"))</f>
        <v/>
      </c>
      <c r="Q996" s="78">
        <f>IF(N996="","",IF(AND(N996="✓",O996="✓",P996="✓"),"✓ Complete","Missing documents"))</f>
        <v/>
      </c>
      <c r="R996" s="79">
        <f>IF(Q996="","",IF(Q996="✓ Complete",0,1))</f>
        <v/>
      </c>
    </row>
    <row r="997" ht="20" customHeight="1">
      <c r="B997" s="72" t="n"/>
      <c r="C997" s="72" t="n"/>
      <c r="D997" s="72" t="n"/>
      <c r="E997" s="72" t="n"/>
      <c r="F997" s="72" t="n"/>
      <c r="G997" s="109" t="n"/>
      <c r="H997" s="72" t="n"/>
      <c r="I997" s="78">
        <f>IF(H997="","",HYPERLINK(H997,"Open ↗"))</f>
        <v/>
      </c>
      <c r="J997" s="72" t="n"/>
      <c r="L997" s="116">
        <f>IF('Contractors'!B997="","",'Contractors'!B997)</f>
        <v/>
      </c>
      <c r="M997" s="78">
        <f>IF(L997="","",'Contractors'!L997)</f>
        <v/>
      </c>
      <c r="N997" s="78">
        <f>IF(OR(L997="",M997&lt;&gt;"Yes"),"",IF(COUNTIFS('Vault'!$C$6:$C$1005,"Contract",'Vault'!$D$6:$D$1005,L997)&gt;0,"✓","✗ missing"))</f>
        <v/>
      </c>
      <c r="O997" s="78">
        <f>IF(OR(L997="",M997&lt;&gt;"Yes"),"",IF(COUNTIFS('Vault'!$C$6:$C$1005,"Insurance",'Vault'!$D$6:$D$1005,L997)&gt;0,"✓","✗ missing"))</f>
        <v/>
      </c>
      <c r="P997" s="78">
        <f>IF(OR(L997="",M997&lt;&gt;"Yes"),"",IF(COUNTIFS('Vault'!$C$6:$C$1005,"Quote",'Vault'!$D$6:$D$1005,L997)&gt;0,"✓","✗ missing"))</f>
        <v/>
      </c>
      <c r="Q997" s="78">
        <f>IF(N997="","",IF(AND(N997="✓",O997="✓",P997="✓"),"✓ Complete","Missing documents"))</f>
        <v/>
      </c>
      <c r="R997" s="79">
        <f>IF(Q997="","",IF(Q997="✓ Complete",0,1))</f>
        <v/>
      </c>
    </row>
    <row r="998" ht="20" customHeight="1">
      <c r="B998" s="72" t="n"/>
      <c r="C998" s="72" t="n"/>
      <c r="D998" s="72" t="n"/>
      <c r="E998" s="72" t="n"/>
      <c r="F998" s="72" t="n"/>
      <c r="G998" s="109" t="n"/>
      <c r="H998" s="72" t="n"/>
      <c r="I998" s="78">
        <f>IF(H998="","",HYPERLINK(H998,"Open ↗"))</f>
        <v/>
      </c>
      <c r="J998" s="72" t="n"/>
      <c r="L998" s="116">
        <f>IF('Contractors'!B998="","",'Contractors'!B998)</f>
        <v/>
      </c>
      <c r="M998" s="78">
        <f>IF(L998="","",'Contractors'!L998)</f>
        <v/>
      </c>
      <c r="N998" s="78">
        <f>IF(OR(L998="",M998&lt;&gt;"Yes"),"",IF(COUNTIFS('Vault'!$C$6:$C$1005,"Contract",'Vault'!$D$6:$D$1005,L998)&gt;0,"✓","✗ missing"))</f>
        <v/>
      </c>
      <c r="O998" s="78">
        <f>IF(OR(L998="",M998&lt;&gt;"Yes"),"",IF(COUNTIFS('Vault'!$C$6:$C$1005,"Insurance",'Vault'!$D$6:$D$1005,L998)&gt;0,"✓","✗ missing"))</f>
        <v/>
      </c>
      <c r="P998" s="78">
        <f>IF(OR(L998="",M998&lt;&gt;"Yes"),"",IF(COUNTIFS('Vault'!$C$6:$C$1005,"Quote",'Vault'!$D$6:$D$1005,L998)&gt;0,"✓","✗ missing"))</f>
        <v/>
      </c>
      <c r="Q998" s="78">
        <f>IF(N998="","",IF(AND(N998="✓",O998="✓",P998="✓"),"✓ Complete","Missing documents"))</f>
        <v/>
      </c>
      <c r="R998" s="79">
        <f>IF(Q998="","",IF(Q998="✓ Complete",0,1))</f>
        <v/>
      </c>
    </row>
    <row r="999" ht="20" customHeight="1">
      <c r="B999" s="72" t="n"/>
      <c r="C999" s="72" t="n"/>
      <c r="D999" s="72" t="n"/>
      <c r="E999" s="72" t="n"/>
      <c r="F999" s="72" t="n"/>
      <c r="G999" s="109" t="n"/>
      <c r="H999" s="72" t="n"/>
      <c r="I999" s="78">
        <f>IF(H999="","",HYPERLINK(H999,"Open ↗"))</f>
        <v/>
      </c>
      <c r="J999" s="72" t="n"/>
      <c r="L999" s="116">
        <f>IF('Contractors'!B999="","",'Contractors'!B999)</f>
        <v/>
      </c>
      <c r="M999" s="78">
        <f>IF(L999="","",'Contractors'!L999)</f>
        <v/>
      </c>
      <c r="N999" s="78">
        <f>IF(OR(L999="",M999&lt;&gt;"Yes"),"",IF(COUNTIFS('Vault'!$C$6:$C$1005,"Contract",'Vault'!$D$6:$D$1005,L999)&gt;0,"✓","✗ missing"))</f>
        <v/>
      </c>
      <c r="O999" s="78">
        <f>IF(OR(L999="",M999&lt;&gt;"Yes"),"",IF(COUNTIFS('Vault'!$C$6:$C$1005,"Insurance",'Vault'!$D$6:$D$1005,L999)&gt;0,"✓","✗ missing"))</f>
        <v/>
      </c>
      <c r="P999" s="78">
        <f>IF(OR(L999="",M999&lt;&gt;"Yes"),"",IF(COUNTIFS('Vault'!$C$6:$C$1005,"Quote",'Vault'!$D$6:$D$1005,L999)&gt;0,"✓","✗ missing"))</f>
        <v/>
      </c>
      <c r="Q999" s="78">
        <f>IF(N999="","",IF(AND(N999="✓",O999="✓",P999="✓"),"✓ Complete","Missing documents"))</f>
        <v/>
      </c>
      <c r="R999" s="79">
        <f>IF(Q999="","",IF(Q999="✓ Complete",0,1))</f>
        <v/>
      </c>
    </row>
    <row r="1000" ht="20" customHeight="1">
      <c r="B1000" s="72" t="n"/>
      <c r="C1000" s="72" t="n"/>
      <c r="D1000" s="72" t="n"/>
      <c r="E1000" s="72" t="n"/>
      <c r="F1000" s="72" t="n"/>
      <c r="G1000" s="109" t="n"/>
      <c r="H1000" s="72" t="n"/>
      <c r="I1000" s="78">
        <f>IF(H1000="","",HYPERLINK(H1000,"Open ↗"))</f>
        <v/>
      </c>
      <c r="J1000" s="72" t="n"/>
      <c r="L1000" s="116">
        <f>IF('Contractors'!B1000="","",'Contractors'!B1000)</f>
        <v/>
      </c>
      <c r="M1000" s="78">
        <f>IF(L1000="","",'Contractors'!L1000)</f>
        <v/>
      </c>
      <c r="N1000" s="78">
        <f>IF(OR(L1000="",M1000&lt;&gt;"Yes"),"",IF(COUNTIFS('Vault'!$C$6:$C$1005,"Contract",'Vault'!$D$6:$D$1005,L1000)&gt;0,"✓","✗ missing"))</f>
        <v/>
      </c>
      <c r="O1000" s="78">
        <f>IF(OR(L1000="",M1000&lt;&gt;"Yes"),"",IF(COUNTIFS('Vault'!$C$6:$C$1005,"Insurance",'Vault'!$D$6:$D$1005,L1000)&gt;0,"✓","✗ missing"))</f>
        <v/>
      </c>
      <c r="P1000" s="78">
        <f>IF(OR(L1000="",M1000&lt;&gt;"Yes"),"",IF(COUNTIFS('Vault'!$C$6:$C$1005,"Quote",'Vault'!$D$6:$D$1005,L1000)&gt;0,"✓","✗ missing"))</f>
        <v/>
      </c>
      <c r="Q1000" s="78">
        <f>IF(N1000="","",IF(AND(N1000="✓",O1000="✓",P1000="✓"),"✓ Complete","Missing documents"))</f>
        <v/>
      </c>
      <c r="R1000" s="79">
        <f>IF(Q1000="","",IF(Q1000="✓ Complete",0,1))</f>
        <v/>
      </c>
    </row>
    <row r="1001" ht="20" customHeight="1">
      <c r="B1001" s="72" t="n"/>
      <c r="C1001" s="72" t="n"/>
      <c r="D1001" s="72" t="n"/>
      <c r="E1001" s="72" t="n"/>
      <c r="F1001" s="72" t="n"/>
      <c r="G1001" s="109" t="n"/>
      <c r="H1001" s="72" t="n"/>
      <c r="I1001" s="78">
        <f>IF(H1001="","",HYPERLINK(H1001,"Open ↗"))</f>
        <v/>
      </c>
      <c r="J1001" s="72" t="n"/>
      <c r="L1001" s="116">
        <f>IF('Contractors'!B1001="","",'Contractors'!B1001)</f>
        <v/>
      </c>
      <c r="M1001" s="78">
        <f>IF(L1001="","",'Contractors'!L1001)</f>
        <v/>
      </c>
      <c r="N1001" s="78">
        <f>IF(OR(L1001="",M1001&lt;&gt;"Yes"),"",IF(COUNTIFS('Vault'!$C$6:$C$1005,"Contract",'Vault'!$D$6:$D$1005,L1001)&gt;0,"✓","✗ missing"))</f>
        <v/>
      </c>
      <c r="O1001" s="78">
        <f>IF(OR(L1001="",M1001&lt;&gt;"Yes"),"",IF(COUNTIFS('Vault'!$C$6:$C$1005,"Insurance",'Vault'!$D$6:$D$1005,L1001)&gt;0,"✓","✗ missing"))</f>
        <v/>
      </c>
      <c r="P1001" s="78">
        <f>IF(OR(L1001="",M1001&lt;&gt;"Yes"),"",IF(COUNTIFS('Vault'!$C$6:$C$1005,"Quote",'Vault'!$D$6:$D$1005,L1001)&gt;0,"✓","✗ missing"))</f>
        <v/>
      </c>
      <c r="Q1001" s="78">
        <f>IF(N1001="","",IF(AND(N1001="✓",O1001="✓",P1001="✓"),"✓ Complete","Missing documents"))</f>
        <v/>
      </c>
      <c r="R1001" s="79">
        <f>IF(Q1001="","",IF(Q1001="✓ Complete",0,1))</f>
        <v/>
      </c>
    </row>
    <row r="1002" ht="20" customHeight="1">
      <c r="B1002" s="72" t="n"/>
      <c r="C1002" s="72" t="n"/>
      <c r="D1002" s="72" t="n"/>
      <c r="E1002" s="72" t="n"/>
      <c r="F1002" s="72" t="n"/>
      <c r="G1002" s="109" t="n"/>
      <c r="H1002" s="72" t="n"/>
      <c r="I1002" s="78">
        <f>IF(H1002="","",HYPERLINK(H1002,"Open ↗"))</f>
        <v/>
      </c>
      <c r="J1002" s="72" t="n"/>
      <c r="L1002" s="116">
        <f>IF('Contractors'!B1002="","",'Contractors'!B1002)</f>
        <v/>
      </c>
      <c r="M1002" s="78">
        <f>IF(L1002="","",'Contractors'!L1002)</f>
        <v/>
      </c>
      <c r="N1002" s="78">
        <f>IF(OR(L1002="",M1002&lt;&gt;"Yes"),"",IF(COUNTIFS('Vault'!$C$6:$C$1005,"Contract",'Vault'!$D$6:$D$1005,L1002)&gt;0,"✓","✗ missing"))</f>
        <v/>
      </c>
      <c r="O1002" s="78">
        <f>IF(OR(L1002="",M1002&lt;&gt;"Yes"),"",IF(COUNTIFS('Vault'!$C$6:$C$1005,"Insurance",'Vault'!$D$6:$D$1005,L1002)&gt;0,"✓","✗ missing"))</f>
        <v/>
      </c>
      <c r="P1002" s="78">
        <f>IF(OR(L1002="",M1002&lt;&gt;"Yes"),"",IF(COUNTIFS('Vault'!$C$6:$C$1005,"Quote",'Vault'!$D$6:$D$1005,L1002)&gt;0,"✓","✗ missing"))</f>
        <v/>
      </c>
      <c r="Q1002" s="78">
        <f>IF(N1002="","",IF(AND(N1002="✓",O1002="✓",P1002="✓"),"✓ Complete","Missing documents"))</f>
        <v/>
      </c>
      <c r="R1002" s="79">
        <f>IF(Q1002="","",IF(Q1002="✓ Complete",0,1))</f>
        <v/>
      </c>
    </row>
    <row r="1003" ht="20" customHeight="1">
      <c r="B1003" s="72" t="n"/>
      <c r="C1003" s="72" t="n"/>
      <c r="D1003" s="72" t="n"/>
      <c r="E1003" s="72" t="n"/>
      <c r="F1003" s="72" t="n"/>
      <c r="G1003" s="109" t="n"/>
      <c r="H1003" s="72" t="n"/>
      <c r="I1003" s="78">
        <f>IF(H1003="","",HYPERLINK(H1003,"Open ↗"))</f>
        <v/>
      </c>
      <c r="J1003" s="72" t="n"/>
      <c r="L1003" s="116">
        <f>IF('Contractors'!B1003="","",'Contractors'!B1003)</f>
        <v/>
      </c>
      <c r="M1003" s="78">
        <f>IF(L1003="","",'Contractors'!L1003)</f>
        <v/>
      </c>
      <c r="N1003" s="78">
        <f>IF(OR(L1003="",M1003&lt;&gt;"Yes"),"",IF(COUNTIFS('Vault'!$C$6:$C$1005,"Contract",'Vault'!$D$6:$D$1005,L1003)&gt;0,"✓","✗ missing"))</f>
        <v/>
      </c>
      <c r="O1003" s="78">
        <f>IF(OR(L1003="",M1003&lt;&gt;"Yes"),"",IF(COUNTIFS('Vault'!$C$6:$C$1005,"Insurance",'Vault'!$D$6:$D$1005,L1003)&gt;0,"✓","✗ missing"))</f>
        <v/>
      </c>
      <c r="P1003" s="78">
        <f>IF(OR(L1003="",M1003&lt;&gt;"Yes"),"",IF(COUNTIFS('Vault'!$C$6:$C$1005,"Quote",'Vault'!$D$6:$D$1005,L1003)&gt;0,"✓","✗ missing"))</f>
        <v/>
      </c>
      <c r="Q1003" s="78">
        <f>IF(N1003="","",IF(AND(N1003="✓",O1003="✓",P1003="✓"),"✓ Complete","Missing documents"))</f>
        <v/>
      </c>
      <c r="R1003" s="79">
        <f>IF(Q1003="","",IF(Q1003="✓ Complete",0,1))</f>
        <v/>
      </c>
    </row>
    <row r="1004" ht="20" customHeight="1">
      <c r="B1004" s="72" t="n"/>
      <c r="C1004" s="72" t="n"/>
      <c r="D1004" s="72" t="n"/>
      <c r="E1004" s="72" t="n"/>
      <c r="F1004" s="72" t="n"/>
      <c r="G1004" s="109" t="n"/>
      <c r="H1004" s="72" t="n"/>
      <c r="I1004" s="78">
        <f>IF(H1004="","",HYPERLINK(H1004,"Open ↗"))</f>
        <v/>
      </c>
      <c r="J1004" s="72" t="n"/>
      <c r="L1004" s="116">
        <f>IF('Contractors'!B1004="","",'Contractors'!B1004)</f>
        <v/>
      </c>
      <c r="M1004" s="78">
        <f>IF(L1004="","",'Contractors'!L1004)</f>
        <v/>
      </c>
      <c r="N1004" s="78">
        <f>IF(OR(L1004="",M1004&lt;&gt;"Yes"),"",IF(COUNTIFS('Vault'!$C$6:$C$1005,"Contract",'Vault'!$D$6:$D$1005,L1004)&gt;0,"✓","✗ missing"))</f>
        <v/>
      </c>
      <c r="O1004" s="78">
        <f>IF(OR(L1004="",M1004&lt;&gt;"Yes"),"",IF(COUNTIFS('Vault'!$C$6:$C$1005,"Insurance",'Vault'!$D$6:$D$1005,L1004)&gt;0,"✓","✗ missing"))</f>
        <v/>
      </c>
      <c r="P1004" s="78">
        <f>IF(OR(L1004="",M1004&lt;&gt;"Yes"),"",IF(COUNTIFS('Vault'!$C$6:$C$1005,"Quote",'Vault'!$D$6:$D$1005,L1004)&gt;0,"✓","✗ missing"))</f>
        <v/>
      </c>
      <c r="Q1004" s="78">
        <f>IF(N1004="","",IF(AND(N1004="✓",O1004="✓",P1004="✓"),"✓ Complete","Missing documents"))</f>
        <v/>
      </c>
      <c r="R1004" s="79">
        <f>IF(Q1004="","",IF(Q1004="✓ Complete",0,1))</f>
        <v/>
      </c>
    </row>
    <row r="1005" ht="20" customHeight="1">
      <c r="B1005" s="72" t="n"/>
      <c r="C1005" s="72" t="n"/>
      <c r="D1005" s="72" t="n"/>
      <c r="E1005" s="72" t="n"/>
      <c r="F1005" s="72" t="n"/>
      <c r="G1005" s="109" t="n"/>
      <c r="H1005" s="72" t="n"/>
      <c r="I1005" s="78">
        <f>IF(H1005="","",HYPERLINK(H1005,"Open ↗"))</f>
        <v/>
      </c>
      <c r="J1005" s="72" t="n"/>
      <c r="L1005" s="116">
        <f>IF('Contractors'!B1005="","",'Contractors'!B1005)</f>
        <v/>
      </c>
      <c r="M1005" s="78">
        <f>IF(L1005="","",'Contractors'!L1005)</f>
        <v/>
      </c>
      <c r="N1005" s="78">
        <f>IF(OR(L1005="",M1005&lt;&gt;"Yes"),"",IF(COUNTIFS('Vault'!$C$6:$C$1005,"Contract",'Vault'!$D$6:$D$1005,L1005)&gt;0,"✓","✗ missing"))</f>
        <v/>
      </c>
      <c r="O1005" s="78">
        <f>IF(OR(L1005="",M1005&lt;&gt;"Yes"),"",IF(COUNTIFS('Vault'!$C$6:$C$1005,"Insurance",'Vault'!$D$6:$D$1005,L1005)&gt;0,"✓","✗ missing"))</f>
        <v/>
      </c>
      <c r="P1005" s="78">
        <f>IF(OR(L1005="",M1005&lt;&gt;"Yes"),"",IF(COUNTIFS('Vault'!$C$6:$C$1005,"Quote",'Vault'!$D$6:$D$1005,L1005)&gt;0,"✓","✗ missing"))</f>
        <v/>
      </c>
      <c r="Q1005" s="78">
        <f>IF(N1005="","",IF(AND(N1005="✓",O1005="✓",P1005="✓"),"✓ Complete","Missing documents"))</f>
        <v/>
      </c>
      <c r="R1005" s="79">
        <f>IF(Q1005="","",IF(Q1005="✓ Complete",0,1))</f>
        <v/>
      </c>
    </row>
  </sheetData>
  <sheetProtection selectLockedCells="1" selectUnlockedCells="0" sheet="1" objects="0" insertRows="1" insertHyperlinks="1" autoFilter="1" scenarios="0" formatColumns="0" deleteColumns="1" insertColumns="1" pivotTables="1" deleteRows="1" formatCells="1" formatRows="0" sort="1" password="CD61"/>
  <conditionalFormatting sqref="N6:P1005">
    <cfRule type="expression" priority="1" dxfId="0" stopIfTrue="0">
      <formula>N6="✗ missing"</formula>
    </cfRule>
    <cfRule type="expression" priority="2" dxfId="3" stopIfTrue="0">
      <formula>N6="✓"</formula>
    </cfRule>
  </conditionalFormatting>
  <conditionalFormatting sqref="Q6:Q1005">
    <cfRule type="expression" priority="3" dxfId="0" stopIfTrue="0">
      <formula>$R6=2</formula>
    </cfRule>
    <cfRule type="expression" priority="4" dxfId="2" stopIfTrue="0">
      <formula>$R6=1</formula>
    </cfRule>
    <cfRule type="expression" priority="5" dxfId="3" stopIfTrue="0">
      <formula>$R6=0</formula>
    </cfRule>
  </conditionalFormatting>
  <conditionalFormatting sqref="U5">
    <cfRule type="expression" priority="6" dxfId="0" stopIfTrue="0">
      <formula>U5="✗ missing"</formula>
    </cfRule>
    <cfRule type="expression" priority="7" dxfId="3" stopIfTrue="0">
      <formula>U5="✓"</formula>
    </cfRule>
  </conditionalFormatting>
  <conditionalFormatting sqref="U6">
    <cfRule type="expression" priority="8" dxfId="0" stopIfTrue="0">
      <formula>U6="✗ missing"</formula>
    </cfRule>
    <cfRule type="expression" priority="9" dxfId="3" stopIfTrue="0">
      <formula>U6="✓"</formula>
    </cfRule>
  </conditionalFormatting>
  <conditionalFormatting sqref="U7">
    <cfRule type="expression" priority="10" dxfId="0" stopIfTrue="0">
      <formula>U7="✗ missing"</formula>
    </cfRule>
    <cfRule type="expression" priority="11" dxfId="3" stopIfTrue="0">
      <formula>U7="✓"</formula>
    </cfRule>
  </conditionalFormatting>
  <conditionalFormatting sqref="U12:Z21">
    <cfRule type="expression" priority="12" dxfId="1" stopIfTrue="0">
      <formula>U12="✓"</formula>
    </cfRule>
  </conditionalFormatting>
  <dataValidations count="4">
    <dataValidation sqref="C6:C1005" showDropDown="0" showInputMessage="0" showErrorMessage="1" allowBlank="1" errorTitle="Renovation OS" error="Please pick a value from the dropdown list." type="list">
      <formula1>='Lists'!$L$2:$L$12</formula1>
    </dataValidation>
    <dataValidation sqref="D6:D1005" showDropDown="0" showInputMessage="0" showErrorMessage="1" allowBlank="1" errorTitle="Renovation OS" error="This name is not in the list. Keep it anyway?" type="list" errorStyle="warning">
      <formula1>='Lists'!$X$2:$X$1001</formula1>
    </dataValidation>
    <dataValidation sqref="E6:E1005" showDropDown="0" showInputMessage="0" showErrorMessage="1" allowBlank="1" errorTitle="Renovation OS" error="Please pick a value from the dropdown list." type="list">
      <formula1>='Lists'!$W$2:$W$12</formula1>
    </dataValidation>
    <dataValidation sqref="F6:F1005" showDropDown="0" showInputMessage="0" showErrorMessage="1" allowBlank="1" errorTitle="Renovation OS" error="Please pick a value from the dropdown list." type="list">
      <formula1>='Lists'!$M$2:$M$7</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006A1B9A"/>
    <outlinePr summaryBelow="1" summaryRight="1"/>
    <pageSetUpPr/>
  </sheetPr>
  <dimension ref="A1:Z1006"/>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28" customWidth="1" min="2" max="2"/>
    <col width="20" customWidth="1" min="3" max="3"/>
    <col width="14" customWidth="1" min="4" max="4"/>
    <col width="13" customWidth="1" min="5" max="5"/>
    <col width="13" customWidth="1" min="6" max="6"/>
    <col width="13" customWidth="1" min="7" max="7"/>
    <col width="10" customWidth="1" min="8" max="8"/>
    <col width="18" customWidth="1" min="9" max="9"/>
    <col width="26" customWidth="1" min="10" max="10"/>
    <col hidden="1" width="13" customWidth="1" min="11" max="11"/>
    <col hidden="1" width="13" customWidth="1" min="12" max="12"/>
    <col hidden="1" width="13" customWidth="1" min="13" max="13"/>
    <col hidden="1" width="13" customWidth="1" min="14" max="14"/>
    <col width="3" customWidth="1" min="15" max="15"/>
    <col width="28" customWidth="1" min="16" max="16"/>
    <col width="14" customWidth="1" min="17" max="17"/>
    <col width="10" customWidth="1" min="18" max="18"/>
    <col width="13" customWidth="1" min="19" max="19"/>
    <col width="13" customWidth="1" min="20" max="20"/>
    <col width="10" customWidth="1" min="21" max="21"/>
    <col width="18" customWidth="1" min="22" max="22"/>
    <col hidden="1" width="13" customWidth="1" min="23" max="23"/>
    <col hidden="1" width="13" customWidth="1" min="24" max="24"/>
    <col hidden="1" width="13" customWidth="1" min="25" max="25"/>
    <col hidden="1" width="13" customWidth="1" min="26" max="26"/>
  </cols>
  <sheetData>
    <row r="1" ht="36" customHeight="1">
      <c r="B1" s="1" t="inlineStr">
        <is>
          <t>🛡️ Warranty &amp; Maintenance</t>
        </is>
      </c>
    </row>
    <row r="2" ht="20" customHeight="1">
      <c r="B2" s="2" t="inlineStr">
        <is>
          <t>What this tab does: tracks warranty expiry dates (check for defects before they run out) and recurring home maintenance. Both create alerts.</t>
        </is>
      </c>
    </row>
    <row r="3">
      <c r="B3" s="3" t="inlineStr">
        <is>
          <t>© 2026 Hang Nguyen — Renovation OS. Licensed to the original purchaser for personal use only. Do not share, copy, resell or redistribute.</t>
        </is>
      </c>
    </row>
    <row r="4">
      <c r="B4" s="4" t="inlineStr">
        <is>
          <t>WARRANTIES</t>
        </is>
      </c>
      <c r="C4" s="5" t="n"/>
      <c r="D4" s="5" t="n"/>
      <c r="E4" s="5" t="n"/>
      <c r="F4" s="5" t="n"/>
      <c r="G4" s="5" t="n"/>
      <c r="H4" s="5" t="n"/>
      <c r="I4" s="5" t="n"/>
      <c r="J4" s="5" t="n"/>
      <c r="P4" s="4" t="inlineStr">
        <is>
          <t>HOME MAINTENANCE</t>
        </is>
      </c>
      <c r="Q4" s="5" t="n"/>
      <c r="R4" s="5" t="n"/>
      <c r="S4" s="5" t="n"/>
      <c r="T4" s="5" t="n"/>
      <c r="U4" s="5" t="n"/>
      <c r="V4" s="5" t="n"/>
    </row>
    <row r="5"/>
    <row r="6" ht="32" customHeight="1">
      <c r="B6" s="52" t="inlineStr">
        <is>
          <t>Item / work</t>
        </is>
      </c>
      <c r="C6" s="52" t="inlineStr">
        <is>
          <t>Supplier / contractor</t>
        </is>
      </c>
      <c r="D6" s="52" t="inlineStr">
        <is>
          <t>Room</t>
        </is>
      </c>
      <c r="E6" s="52" t="inlineStr">
        <is>
          <t>Purchase / completion date</t>
        </is>
      </c>
      <c r="F6" s="52" t="inlineStr">
        <is>
          <t>Warranty (years)</t>
        </is>
      </c>
      <c r="G6" s="52" t="inlineStr">
        <is>
          <t>Expires</t>
        </is>
      </c>
      <c r="H6" s="52" t="inlineStr">
        <is>
          <t>Days left</t>
        </is>
      </c>
      <c r="I6" s="52" t="inlineStr">
        <is>
          <t>Status</t>
        </is>
      </c>
      <c r="J6" s="52" t="inlineStr">
        <is>
          <t>Warranty document link</t>
        </is>
      </c>
      <c r="K6" s="71" t="inlineStr">
        <is>
          <t>lvl</t>
        </is>
      </c>
      <c r="L6" s="71" t="inlineStr">
        <is>
          <t>due</t>
        </is>
      </c>
      <c r="M6" s="71" t="inlineStr">
        <is>
          <t>pri</t>
        </is>
      </c>
      <c r="N6" s="71" t="inlineStr">
        <is>
          <t>text</t>
        </is>
      </c>
      <c r="P6" s="52" t="inlineStr">
        <is>
          <t>Maintenance task</t>
        </is>
      </c>
      <c r="Q6" s="52" t="inlineStr">
        <is>
          <t>Room</t>
        </is>
      </c>
      <c r="R6" s="52" t="inlineStr">
        <is>
          <t>Every (months)</t>
        </is>
      </c>
      <c r="S6" s="52" t="inlineStr">
        <is>
          <t>Last done</t>
        </is>
      </c>
      <c r="T6" s="52" t="inlineStr">
        <is>
          <t>Next due</t>
        </is>
      </c>
      <c r="U6" s="52" t="inlineStr">
        <is>
          <t>Days left</t>
        </is>
      </c>
      <c r="V6" s="52" t="inlineStr">
        <is>
          <t>Status</t>
        </is>
      </c>
      <c r="W6" s="71" t="inlineStr">
        <is>
          <t>lvl</t>
        </is>
      </c>
      <c r="X6" s="71" t="inlineStr">
        <is>
          <t>due</t>
        </is>
      </c>
      <c r="Y6" s="71" t="inlineStr">
        <is>
          <t>pri</t>
        </is>
      </c>
      <c r="Z6" s="71" t="inlineStr">
        <is>
          <t>text</t>
        </is>
      </c>
    </row>
    <row r="7" ht="20" customHeight="1">
      <c r="B7" s="72" t="inlineStr">
        <is>
          <t>Roof repair (2019)</t>
        </is>
      </c>
      <c r="C7" s="72" t="inlineStr">
        <is>
          <t>TopRoof</t>
        </is>
      </c>
      <c r="D7" s="72" t="inlineStr">
        <is>
          <t>Exterior</t>
        </is>
      </c>
      <c r="E7" s="109" t="n">
        <v>43709</v>
      </c>
      <c r="F7" s="74" t="n">
        <v>7</v>
      </c>
      <c r="G7" s="126">
        <f>IF(OR(E7="",F7=""),"",DATE(YEAR(E7),MONTH(E7)+ROUND(F7*12,0),DAY(E7)))</f>
        <v/>
      </c>
      <c r="H7" s="144">
        <f>IF(G7="","",G7-AsOf)</f>
        <v/>
      </c>
      <c r="I7" s="107">
        <f>IF(G7="","",IF(H7&lt;0,"Expired",IF(H7&lt;=90,"Expires soon","Active")))</f>
        <v/>
      </c>
      <c r="J7" s="72" t="n"/>
      <c r="K7" s="79">
        <f>IF(I7="","",IF(I7="Active",0,IF(I7="Expires soon",1,3)))</f>
        <v/>
      </c>
      <c r="L7" s="112">
        <f>IF(G7="","",IF(G7&lt;AsOf,"",G7))</f>
        <v/>
      </c>
      <c r="M7" s="79">
        <f>IF(L7="","",IF(L7&lt;=AsOf+AlertDays,2,IF(L7&lt;=AsOf+90,3,"")))</f>
        <v/>
      </c>
      <c r="N7" s="79">
        <f>IF(M7="","","Warranty expires in "&amp;H7&amp;" days: "&amp;B7&amp;IF(C7="",""," ("&amp;C7&amp;")")&amp;" — check for defects")</f>
        <v/>
      </c>
      <c r="P7" s="72" t="inlineStr">
        <is>
          <t>Service heating system</t>
        </is>
      </c>
      <c r="Q7" s="72" t="inlineStr">
        <is>
          <t>Whole house</t>
        </is>
      </c>
      <c r="R7" s="89" t="n">
        <v>12</v>
      </c>
      <c r="S7" s="109" t="n">
        <v>45818</v>
      </c>
      <c r="T7" s="126">
        <f>IF(OR(R7="",S7=""),"",DATE(YEAR(S7),MONTH(S7)+R7,DAY(S7)))</f>
        <v/>
      </c>
      <c r="U7" s="144">
        <f>IF(T7="","",T7-AsOf)</f>
        <v/>
      </c>
      <c r="V7" s="107">
        <f>IF(T7="",IF(P7="","","Enter last-done date"),IF(U7&lt;0,"Overdue",IF(U7&lt;=30,"Due soon","OK")))</f>
        <v/>
      </c>
      <c r="W7" s="79">
        <f>IF(T7="","",IF(U7&lt;0,2,IF(U7&lt;=30,1,0)))</f>
        <v/>
      </c>
      <c r="X7" s="112">
        <f>IF(T7="","",T7)</f>
        <v/>
      </c>
      <c r="Y7" s="79">
        <f>IF(X7="","",IF(X7&lt;=AsOf+AlertDays,2,IF(X7&lt;=AsOf+30,3,"")))</f>
        <v/>
      </c>
      <c r="Z7" s="79">
        <f>IF(Y7="","",IF(U7&lt;0,"Maintenance overdue: ","Maintenance due: ")&amp;P7)</f>
        <v/>
      </c>
    </row>
    <row r="8" ht="20" customHeight="1">
      <c r="B8" s="72" t="inlineStr">
        <is>
          <t>Garage door motor</t>
        </is>
      </c>
      <c r="C8" s="72" t="inlineStr">
        <is>
          <t>DoorTech</t>
        </is>
      </c>
      <c r="D8" s="72" t="inlineStr">
        <is>
          <t>Exterior</t>
        </is>
      </c>
      <c r="E8" s="109" t="n">
        <v>45463</v>
      </c>
      <c r="F8" s="74" t="n">
        <v>2</v>
      </c>
      <c r="G8" s="126">
        <f>IF(OR(E8="",F8=""),"",DATE(YEAR(E8),MONTH(E8)+ROUND(F8*12,0),DAY(E8)))</f>
        <v/>
      </c>
      <c r="H8" s="144">
        <f>IF(G8="","",G8-AsOf)</f>
        <v/>
      </c>
      <c r="I8" s="107">
        <f>IF(G8="","",IF(H8&lt;0,"Expired",IF(H8&lt;=90,"Expires soon","Active")))</f>
        <v/>
      </c>
      <c r="J8" s="72" t="n"/>
      <c r="K8" s="79">
        <f>IF(I8="","",IF(I8="Active",0,IF(I8="Expires soon",1,3)))</f>
        <v/>
      </c>
      <c r="L8" s="112">
        <f>IF(G8="","",IF(G8&lt;AsOf,"",G8))</f>
        <v/>
      </c>
      <c r="M8" s="79">
        <f>IF(L8="","",IF(L8&lt;=AsOf+AlertDays,2,IF(L8&lt;=AsOf+90,3,"")))</f>
        <v/>
      </c>
      <c r="N8" s="79">
        <f>IF(M8="","","Warranty expires in "&amp;H8&amp;" days: "&amp;B8&amp;IF(C8="",""," ("&amp;C8&amp;")")&amp;" — check for defects")</f>
        <v/>
      </c>
      <c r="P8" s="72" t="inlineStr">
        <is>
          <t>Clean gutters</t>
        </is>
      </c>
      <c r="Q8" s="72" t="inlineStr">
        <is>
          <t>Exterior</t>
        </is>
      </c>
      <c r="R8" s="89" t="n">
        <v>6</v>
      </c>
      <c r="S8" s="109" t="n">
        <v>46037</v>
      </c>
      <c r="T8" s="126">
        <f>IF(OR(R8="",S8=""),"",DATE(YEAR(S8),MONTH(S8)+R8,DAY(S8)))</f>
        <v/>
      </c>
      <c r="U8" s="144">
        <f>IF(T8="","",T8-AsOf)</f>
        <v/>
      </c>
      <c r="V8" s="107">
        <f>IF(T8="",IF(P8="","","Enter last-done date"),IF(U8&lt;0,"Overdue",IF(U8&lt;=30,"Due soon","OK")))</f>
        <v/>
      </c>
      <c r="W8" s="79">
        <f>IF(T8="","",IF(U8&lt;0,2,IF(U8&lt;=30,1,0)))</f>
        <v/>
      </c>
      <c r="X8" s="112">
        <f>IF(T8="","",T8)</f>
        <v/>
      </c>
      <c r="Y8" s="79">
        <f>IF(X8="","",IF(X8&lt;=AsOf+AlertDays,2,IF(X8&lt;=AsOf+30,3,"")))</f>
        <v/>
      </c>
      <c r="Z8" s="79">
        <f>IF(Y8="","",IF(U8&lt;0,"Maintenance overdue: ","Maintenance due: ")&amp;P8)</f>
        <v/>
      </c>
    </row>
    <row r="9" ht="20" customHeight="1">
      <c r="B9" s="72" t="inlineStr">
        <is>
          <t>Windows &amp; doors</t>
        </is>
      </c>
      <c r="C9" s="72" t="inlineStr">
        <is>
          <t>ClearView Windows</t>
        </is>
      </c>
      <c r="D9" s="72" t="inlineStr">
        <is>
          <t>Whole house</t>
        </is>
      </c>
      <c r="E9" s="109" t="n">
        <v>46149</v>
      </c>
      <c r="F9" s="74" t="n">
        <v>10</v>
      </c>
      <c r="G9" s="126">
        <f>IF(OR(E9="",F9=""),"",DATE(YEAR(E9),MONTH(E9)+ROUND(F9*12,0),DAY(E9)))</f>
        <v/>
      </c>
      <c r="H9" s="144">
        <f>IF(G9="","",G9-AsOf)</f>
        <v/>
      </c>
      <c r="I9" s="107">
        <f>IF(G9="","",IF(H9&lt;0,"Expired",IF(H9&lt;=90,"Expires soon","Active")))</f>
        <v/>
      </c>
      <c r="J9" s="72" t="inlineStr">
        <is>
          <t>https://drive.google.com/example-warranty</t>
        </is>
      </c>
      <c r="K9" s="79">
        <f>IF(I9="","",IF(I9="Active",0,IF(I9="Expires soon",1,3)))</f>
        <v/>
      </c>
      <c r="L9" s="112">
        <f>IF(G9="","",IF(G9&lt;AsOf,"",G9))</f>
        <v/>
      </c>
      <c r="M9" s="79">
        <f>IF(L9="","",IF(L9&lt;=AsOf+AlertDays,2,IF(L9&lt;=AsOf+90,3,"")))</f>
        <v/>
      </c>
      <c r="N9" s="79">
        <f>IF(M9="","","Warranty expires in "&amp;H9&amp;" days: "&amp;B9&amp;IF(C9="",""," ("&amp;C9&amp;")")&amp;" — check for defects")</f>
        <v/>
      </c>
      <c r="P9" s="72" t="inlineStr">
        <is>
          <t>Test smoke alarms</t>
        </is>
      </c>
      <c r="Q9" s="72" t="inlineStr">
        <is>
          <t>Whole house</t>
        </is>
      </c>
      <c r="R9" s="89" t="n">
        <v>6</v>
      </c>
      <c r="S9" s="109" t="n">
        <v>46082</v>
      </c>
      <c r="T9" s="126">
        <f>IF(OR(R9="",S9=""),"",DATE(YEAR(S9),MONTH(S9)+R9,DAY(S9)))</f>
        <v/>
      </c>
      <c r="U9" s="144">
        <f>IF(T9="","",T9-AsOf)</f>
        <v/>
      </c>
      <c r="V9" s="107">
        <f>IF(T9="",IF(P9="","","Enter last-done date"),IF(U9&lt;0,"Overdue",IF(U9&lt;=30,"Due soon","OK")))</f>
        <v/>
      </c>
      <c r="W9" s="79">
        <f>IF(T9="","",IF(U9&lt;0,2,IF(U9&lt;=30,1,0)))</f>
        <v/>
      </c>
      <c r="X9" s="112">
        <f>IF(T9="","",T9)</f>
        <v/>
      </c>
      <c r="Y9" s="79">
        <f>IF(X9="","",IF(X9&lt;=AsOf+AlertDays,2,IF(X9&lt;=AsOf+30,3,"")))</f>
        <v/>
      </c>
      <c r="Z9" s="79">
        <f>IF(Y9="","",IF(U9&lt;0,"Maintenance overdue: ","Maintenance due: ")&amp;P9)</f>
        <v/>
      </c>
    </row>
    <row r="10" ht="20" customHeight="1">
      <c r="B10" s="72" t="inlineStr">
        <is>
          <t>Fridge-freezer</t>
        </is>
      </c>
      <c r="C10" s="72" t="inlineStr">
        <is>
          <t>ApplianceHub</t>
        </is>
      </c>
      <c r="D10" s="72" t="inlineStr">
        <is>
          <t>Kitchen</t>
        </is>
      </c>
      <c r="E10" s="109" t="n">
        <v>46175</v>
      </c>
      <c r="F10" s="74" t="n">
        <v>2</v>
      </c>
      <c r="G10" s="126">
        <f>IF(OR(E10="",F10=""),"",DATE(YEAR(E10),MONTH(E10)+ROUND(F10*12,0),DAY(E10)))</f>
        <v/>
      </c>
      <c r="H10" s="144">
        <f>IF(G10="","",G10-AsOf)</f>
        <v/>
      </c>
      <c r="I10" s="107">
        <f>IF(G10="","",IF(H10&lt;0,"Expired",IF(H10&lt;=90,"Expires soon","Active")))</f>
        <v/>
      </c>
      <c r="J10" s="72" t="n"/>
      <c r="K10" s="79">
        <f>IF(I10="","",IF(I10="Active",0,IF(I10="Expires soon",1,3)))</f>
        <v/>
      </c>
      <c r="L10" s="112">
        <f>IF(G10="","",IF(G10&lt;AsOf,"",G10))</f>
        <v/>
      </c>
      <c r="M10" s="79">
        <f>IF(L10="","",IF(L10&lt;=AsOf+AlertDays,2,IF(L10&lt;=AsOf+90,3,"")))</f>
        <v/>
      </c>
      <c r="N10" s="79">
        <f>IF(M10="","","Warranty expires in "&amp;H10&amp;" days: "&amp;B10&amp;IF(C10="",""," ("&amp;C10&amp;")")&amp;" — check for defects")</f>
        <v/>
      </c>
      <c r="P10" s="72" t="inlineStr">
        <is>
          <t>Re-seal bathroom silicone</t>
        </is>
      </c>
      <c r="Q10" s="72" t="inlineStr">
        <is>
          <t>Bathroom 1</t>
        </is>
      </c>
      <c r="R10" s="89" t="n">
        <v>24</v>
      </c>
      <c r="S10" s="109" t="n"/>
      <c r="T10" s="126">
        <f>IF(OR(R10="",S10=""),"",DATE(YEAR(S10),MONTH(S10)+R10,DAY(S10)))</f>
        <v/>
      </c>
      <c r="U10" s="144">
        <f>IF(T10="","",T10-AsOf)</f>
        <v/>
      </c>
      <c r="V10" s="107">
        <f>IF(T10="",IF(P10="","","Enter last-done date"),IF(U10&lt;0,"Overdue",IF(U10&lt;=30,"Due soon","OK")))</f>
        <v/>
      </c>
      <c r="W10" s="79">
        <f>IF(T10="","",IF(U10&lt;0,2,IF(U10&lt;=30,1,0)))</f>
        <v/>
      </c>
      <c r="X10" s="112">
        <f>IF(T10="","",T10)</f>
        <v/>
      </c>
      <c r="Y10" s="79">
        <f>IF(X10="","",IF(X10&lt;=AsOf+AlertDays,2,IF(X10&lt;=AsOf+30,3,"")))</f>
        <v/>
      </c>
      <c r="Z10" s="79">
        <f>IF(Y10="","",IF(U10&lt;0,"Maintenance overdue: ","Maintenance due: ")&amp;P10)</f>
        <v/>
      </c>
    </row>
    <row r="11" ht="20" customHeight="1">
      <c r="B11" s="72" t="inlineStr">
        <is>
          <t>Demolition works</t>
        </is>
      </c>
      <c r="C11" s="72" t="inlineStr">
        <is>
          <t>Hansen Demolition</t>
        </is>
      </c>
      <c r="D11" s="72" t="inlineStr">
        <is>
          <t>Whole house</t>
        </is>
      </c>
      <c r="E11" s="109" t="n">
        <v>46141</v>
      </c>
      <c r="F11" s="74" t="n">
        <v>1</v>
      </c>
      <c r="G11" s="126">
        <f>IF(OR(E11="",F11=""),"",DATE(YEAR(E11),MONTH(E11)+ROUND(F11*12,0),DAY(E11)))</f>
        <v/>
      </c>
      <c r="H11" s="144">
        <f>IF(G11="","",G11-AsOf)</f>
        <v/>
      </c>
      <c r="I11" s="107">
        <f>IF(G11="","",IF(H11&lt;0,"Expired",IF(H11&lt;=90,"Expires soon","Active")))</f>
        <v/>
      </c>
      <c r="J11" s="72" t="n"/>
      <c r="K11" s="79">
        <f>IF(I11="","",IF(I11="Active",0,IF(I11="Expires soon",1,3)))</f>
        <v/>
      </c>
      <c r="L11" s="112">
        <f>IF(G11="","",IF(G11&lt;AsOf,"",G11))</f>
        <v/>
      </c>
      <c r="M11" s="79">
        <f>IF(L11="","",IF(L11&lt;=AsOf+AlertDays,2,IF(L11&lt;=AsOf+90,3,"")))</f>
        <v/>
      </c>
      <c r="N11" s="79">
        <f>IF(M11="","","Warranty expires in "&amp;H11&amp;" days: "&amp;B11&amp;IF(C11="",""," ("&amp;C11&amp;")")&amp;" — check for defects")</f>
        <v/>
      </c>
      <c r="P11" s="72" t="n"/>
      <c r="Q11" s="72" t="n"/>
      <c r="R11" s="89" t="n"/>
      <c r="S11" s="109" t="n"/>
      <c r="T11" s="126">
        <f>IF(OR(R11="",S11=""),"",DATE(YEAR(S11),MONTH(S11)+R11,DAY(S11)))</f>
        <v/>
      </c>
      <c r="U11" s="144">
        <f>IF(T11="","",T11-AsOf)</f>
        <v/>
      </c>
      <c r="V11" s="107">
        <f>IF(T11="",IF(P11="","","Enter last-done date"),IF(U11&lt;0,"Overdue",IF(U11&lt;=30,"Due soon","OK")))</f>
        <v/>
      </c>
      <c r="W11" s="79">
        <f>IF(T11="","",IF(U11&lt;0,2,IF(U11&lt;=30,1,0)))</f>
        <v/>
      </c>
      <c r="X11" s="112">
        <f>IF(T11="","",T11)</f>
        <v/>
      </c>
      <c r="Y11" s="79">
        <f>IF(X11="","",IF(X11&lt;=AsOf+AlertDays,2,IF(X11&lt;=AsOf+30,3,"")))</f>
        <v/>
      </c>
      <c r="Z11" s="79">
        <f>IF(Y11="","",IF(U11&lt;0,"Maintenance overdue: ","Maintenance due: ")&amp;P11)</f>
        <v/>
      </c>
    </row>
    <row r="12" ht="20" customHeight="1">
      <c r="B12" s="72" t="inlineStr">
        <is>
          <t>Structural beam</t>
        </is>
      </c>
      <c r="C12" s="72" t="inlineStr">
        <is>
          <t>Solid Structures Ltd</t>
        </is>
      </c>
      <c r="D12" s="72" t="inlineStr">
        <is>
          <t>Living room</t>
        </is>
      </c>
      <c r="E12" s="109" t="n">
        <v>46153</v>
      </c>
      <c r="F12" s="74" t="n">
        <v>10</v>
      </c>
      <c r="G12" s="126">
        <f>IF(OR(E12="",F12=""),"",DATE(YEAR(E12),MONTH(E12)+ROUND(F12*12,0),DAY(E12)))</f>
        <v/>
      </c>
      <c r="H12" s="144">
        <f>IF(G12="","",G12-AsOf)</f>
        <v/>
      </c>
      <c r="I12" s="107">
        <f>IF(G12="","",IF(H12&lt;0,"Expired",IF(H12&lt;=90,"Expires soon","Active")))</f>
        <v/>
      </c>
      <c r="J12" s="72" t="n"/>
      <c r="K12" s="79">
        <f>IF(I12="","",IF(I12="Active",0,IF(I12="Expires soon",1,3)))</f>
        <v/>
      </c>
      <c r="L12" s="112">
        <f>IF(G12="","",IF(G12&lt;AsOf,"",G12))</f>
        <v/>
      </c>
      <c r="M12" s="79">
        <f>IF(L12="","",IF(L12&lt;=AsOf+AlertDays,2,IF(L12&lt;=AsOf+90,3,"")))</f>
        <v/>
      </c>
      <c r="N12" s="79">
        <f>IF(M12="","","Warranty expires in "&amp;H12&amp;" days: "&amp;B12&amp;IF(C12="",""," ("&amp;C12&amp;")")&amp;" — check for defects")</f>
        <v/>
      </c>
      <c r="P12" s="72" t="n"/>
      <c r="Q12" s="72" t="n"/>
      <c r="R12" s="89" t="n"/>
      <c r="S12" s="109" t="n"/>
      <c r="T12" s="126">
        <f>IF(OR(R12="",S12=""),"",DATE(YEAR(S12),MONTH(S12)+R12,DAY(S12)))</f>
        <v/>
      </c>
      <c r="U12" s="144">
        <f>IF(T12="","",T12-AsOf)</f>
        <v/>
      </c>
      <c r="V12" s="107">
        <f>IF(T12="",IF(P12="","","Enter last-done date"),IF(U12&lt;0,"Overdue",IF(U12&lt;=30,"Due soon","OK")))</f>
        <v/>
      </c>
      <c r="W12" s="79">
        <f>IF(T12="","",IF(U12&lt;0,2,IF(U12&lt;=30,1,0)))</f>
        <v/>
      </c>
      <c r="X12" s="112">
        <f>IF(T12="","",T12)</f>
        <v/>
      </c>
      <c r="Y12" s="79">
        <f>IF(X12="","",IF(X12&lt;=AsOf+AlertDays,2,IF(X12&lt;=AsOf+30,3,"")))</f>
        <v/>
      </c>
      <c r="Z12" s="79">
        <f>IF(Y12="","",IF(U12&lt;0,"Maintenance overdue: ","Maintenance due: ")&amp;P12)</f>
        <v/>
      </c>
    </row>
    <row r="13" ht="20" customHeight="1">
      <c r="B13" s="72" t="n"/>
      <c r="C13" s="72" t="n"/>
      <c r="D13" s="72" t="n"/>
      <c r="E13" s="109" t="n"/>
      <c r="F13" s="74" t="n"/>
      <c r="G13" s="126">
        <f>IF(OR(E13="",F13=""),"",DATE(YEAR(E13),MONTH(E13)+ROUND(F13*12,0),DAY(E13)))</f>
        <v/>
      </c>
      <c r="H13" s="144">
        <f>IF(G13="","",G13-AsOf)</f>
        <v/>
      </c>
      <c r="I13" s="107">
        <f>IF(G13="","",IF(H13&lt;0,"Expired",IF(H13&lt;=90,"Expires soon","Active")))</f>
        <v/>
      </c>
      <c r="J13" s="72" t="n"/>
      <c r="K13" s="79">
        <f>IF(I13="","",IF(I13="Active",0,IF(I13="Expires soon",1,3)))</f>
        <v/>
      </c>
      <c r="L13" s="112">
        <f>IF(G13="","",IF(G13&lt;AsOf,"",G13))</f>
        <v/>
      </c>
      <c r="M13" s="79">
        <f>IF(L13="","",IF(L13&lt;=AsOf+AlertDays,2,IF(L13&lt;=AsOf+90,3,"")))</f>
        <v/>
      </c>
      <c r="N13" s="79">
        <f>IF(M13="","","Warranty expires in "&amp;H13&amp;" days: "&amp;B13&amp;IF(C13="",""," ("&amp;C13&amp;")")&amp;" — check for defects")</f>
        <v/>
      </c>
      <c r="P13" s="72" t="n"/>
      <c r="Q13" s="72" t="n"/>
      <c r="R13" s="89" t="n"/>
      <c r="S13" s="109" t="n"/>
      <c r="T13" s="126">
        <f>IF(OR(R13="",S13=""),"",DATE(YEAR(S13),MONTH(S13)+R13,DAY(S13)))</f>
        <v/>
      </c>
      <c r="U13" s="144">
        <f>IF(T13="","",T13-AsOf)</f>
        <v/>
      </c>
      <c r="V13" s="107">
        <f>IF(T13="",IF(P13="","","Enter last-done date"),IF(U13&lt;0,"Overdue",IF(U13&lt;=30,"Due soon","OK")))</f>
        <v/>
      </c>
      <c r="W13" s="79">
        <f>IF(T13="","",IF(U13&lt;0,2,IF(U13&lt;=30,1,0)))</f>
        <v/>
      </c>
      <c r="X13" s="112">
        <f>IF(T13="","",T13)</f>
        <v/>
      </c>
      <c r="Y13" s="79">
        <f>IF(X13="","",IF(X13&lt;=AsOf+AlertDays,2,IF(X13&lt;=AsOf+30,3,"")))</f>
        <v/>
      </c>
      <c r="Z13" s="79">
        <f>IF(Y13="","",IF(U13&lt;0,"Maintenance overdue: ","Maintenance due: ")&amp;P13)</f>
        <v/>
      </c>
    </row>
    <row r="14" ht="20" customHeight="1">
      <c r="B14" s="72" t="n"/>
      <c r="C14" s="72" t="n"/>
      <c r="D14" s="72" t="n"/>
      <c r="E14" s="109" t="n"/>
      <c r="F14" s="74" t="n"/>
      <c r="G14" s="126">
        <f>IF(OR(E14="",F14=""),"",DATE(YEAR(E14),MONTH(E14)+ROUND(F14*12,0),DAY(E14)))</f>
        <v/>
      </c>
      <c r="H14" s="144">
        <f>IF(G14="","",G14-AsOf)</f>
        <v/>
      </c>
      <c r="I14" s="107">
        <f>IF(G14="","",IF(H14&lt;0,"Expired",IF(H14&lt;=90,"Expires soon","Active")))</f>
        <v/>
      </c>
      <c r="J14" s="72" t="n"/>
      <c r="K14" s="79">
        <f>IF(I14="","",IF(I14="Active",0,IF(I14="Expires soon",1,3)))</f>
        <v/>
      </c>
      <c r="L14" s="112">
        <f>IF(G14="","",IF(G14&lt;AsOf,"",G14))</f>
        <v/>
      </c>
      <c r="M14" s="79">
        <f>IF(L14="","",IF(L14&lt;=AsOf+AlertDays,2,IF(L14&lt;=AsOf+90,3,"")))</f>
        <v/>
      </c>
      <c r="N14" s="79">
        <f>IF(M14="","","Warranty expires in "&amp;H14&amp;" days: "&amp;B14&amp;IF(C14="",""," ("&amp;C14&amp;")")&amp;" — check for defects")</f>
        <v/>
      </c>
      <c r="P14" s="72" t="n"/>
      <c r="Q14" s="72" t="n"/>
      <c r="R14" s="89" t="n"/>
      <c r="S14" s="109" t="n"/>
      <c r="T14" s="126">
        <f>IF(OR(R14="",S14=""),"",DATE(YEAR(S14),MONTH(S14)+R14,DAY(S14)))</f>
        <v/>
      </c>
      <c r="U14" s="144">
        <f>IF(T14="","",T14-AsOf)</f>
        <v/>
      </c>
      <c r="V14" s="107">
        <f>IF(T14="",IF(P14="","","Enter last-done date"),IF(U14&lt;0,"Overdue",IF(U14&lt;=30,"Due soon","OK")))</f>
        <v/>
      </c>
      <c r="W14" s="79">
        <f>IF(T14="","",IF(U14&lt;0,2,IF(U14&lt;=30,1,0)))</f>
        <v/>
      </c>
      <c r="X14" s="112">
        <f>IF(T14="","",T14)</f>
        <v/>
      </c>
      <c r="Y14" s="79">
        <f>IF(X14="","",IF(X14&lt;=AsOf+AlertDays,2,IF(X14&lt;=AsOf+30,3,"")))</f>
        <v/>
      </c>
      <c r="Z14" s="79">
        <f>IF(Y14="","",IF(U14&lt;0,"Maintenance overdue: ","Maintenance due: ")&amp;P14)</f>
        <v/>
      </c>
    </row>
    <row r="15" ht="20" customHeight="1">
      <c r="B15" s="72" t="n"/>
      <c r="C15" s="72" t="n"/>
      <c r="D15" s="72" t="n"/>
      <c r="E15" s="109" t="n"/>
      <c r="F15" s="74" t="n"/>
      <c r="G15" s="126">
        <f>IF(OR(E15="",F15=""),"",DATE(YEAR(E15),MONTH(E15)+ROUND(F15*12,0),DAY(E15)))</f>
        <v/>
      </c>
      <c r="H15" s="144">
        <f>IF(G15="","",G15-AsOf)</f>
        <v/>
      </c>
      <c r="I15" s="107">
        <f>IF(G15="","",IF(H15&lt;0,"Expired",IF(H15&lt;=90,"Expires soon","Active")))</f>
        <v/>
      </c>
      <c r="J15" s="72" t="n"/>
      <c r="K15" s="79">
        <f>IF(I15="","",IF(I15="Active",0,IF(I15="Expires soon",1,3)))</f>
        <v/>
      </c>
      <c r="L15" s="112">
        <f>IF(G15="","",IF(G15&lt;AsOf,"",G15))</f>
        <v/>
      </c>
      <c r="M15" s="79">
        <f>IF(L15="","",IF(L15&lt;=AsOf+AlertDays,2,IF(L15&lt;=AsOf+90,3,"")))</f>
        <v/>
      </c>
      <c r="N15" s="79">
        <f>IF(M15="","","Warranty expires in "&amp;H15&amp;" days: "&amp;B15&amp;IF(C15="",""," ("&amp;C15&amp;")")&amp;" — check for defects")</f>
        <v/>
      </c>
      <c r="P15" s="72" t="n"/>
      <c r="Q15" s="72" t="n"/>
      <c r="R15" s="89" t="n"/>
      <c r="S15" s="109" t="n"/>
      <c r="T15" s="126">
        <f>IF(OR(R15="",S15=""),"",DATE(YEAR(S15),MONTH(S15)+R15,DAY(S15)))</f>
        <v/>
      </c>
      <c r="U15" s="144">
        <f>IF(T15="","",T15-AsOf)</f>
        <v/>
      </c>
      <c r="V15" s="107">
        <f>IF(T15="",IF(P15="","","Enter last-done date"),IF(U15&lt;0,"Overdue",IF(U15&lt;=30,"Due soon","OK")))</f>
        <v/>
      </c>
      <c r="W15" s="79">
        <f>IF(T15="","",IF(U15&lt;0,2,IF(U15&lt;=30,1,0)))</f>
        <v/>
      </c>
      <c r="X15" s="112">
        <f>IF(T15="","",T15)</f>
        <v/>
      </c>
      <c r="Y15" s="79">
        <f>IF(X15="","",IF(X15&lt;=AsOf+AlertDays,2,IF(X15&lt;=AsOf+30,3,"")))</f>
        <v/>
      </c>
      <c r="Z15" s="79">
        <f>IF(Y15="","",IF(U15&lt;0,"Maintenance overdue: ","Maintenance due: ")&amp;P15)</f>
        <v/>
      </c>
    </row>
    <row r="16" ht="20" customHeight="1">
      <c r="B16" s="72" t="n"/>
      <c r="C16" s="72" t="n"/>
      <c r="D16" s="72" t="n"/>
      <c r="E16" s="109" t="n"/>
      <c r="F16" s="74" t="n"/>
      <c r="G16" s="126">
        <f>IF(OR(E16="",F16=""),"",DATE(YEAR(E16),MONTH(E16)+ROUND(F16*12,0),DAY(E16)))</f>
        <v/>
      </c>
      <c r="H16" s="144">
        <f>IF(G16="","",G16-AsOf)</f>
        <v/>
      </c>
      <c r="I16" s="107">
        <f>IF(G16="","",IF(H16&lt;0,"Expired",IF(H16&lt;=90,"Expires soon","Active")))</f>
        <v/>
      </c>
      <c r="J16" s="72" t="n"/>
      <c r="K16" s="79">
        <f>IF(I16="","",IF(I16="Active",0,IF(I16="Expires soon",1,3)))</f>
        <v/>
      </c>
      <c r="L16" s="112">
        <f>IF(G16="","",IF(G16&lt;AsOf,"",G16))</f>
        <v/>
      </c>
      <c r="M16" s="79">
        <f>IF(L16="","",IF(L16&lt;=AsOf+AlertDays,2,IF(L16&lt;=AsOf+90,3,"")))</f>
        <v/>
      </c>
      <c r="N16" s="79">
        <f>IF(M16="","","Warranty expires in "&amp;H16&amp;" days: "&amp;B16&amp;IF(C16="",""," ("&amp;C16&amp;")")&amp;" — check for defects")</f>
        <v/>
      </c>
      <c r="P16" s="72" t="n"/>
      <c r="Q16" s="72" t="n"/>
      <c r="R16" s="89" t="n"/>
      <c r="S16" s="109" t="n"/>
      <c r="T16" s="126">
        <f>IF(OR(R16="",S16=""),"",DATE(YEAR(S16),MONTH(S16)+R16,DAY(S16)))</f>
        <v/>
      </c>
      <c r="U16" s="144">
        <f>IF(T16="","",T16-AsOf)</f>
        <v/>
      </c>
      <c r="V16" s="107">
        <f>IF(T16="",IF(P16="","","Enter last-done date"),IF(U16&lt;0,"Overdue",IF(U16&lt;=30,"Due soon","OK")))</f>
        <v/>
      </c>
      <c r="W16" s="79">
        <f>IF(T16="","",IF(U16&lt;0,2,IF(U16&lt;=30,1,0)))</f>
        <v/>
      </c>
      <c r="X16" s="112">
        <f>IF(T16="","",T16)</f>
        <v/>
      </c>
      <c r="Y16" s="79">
        <f>IF(X16="","",IF(X16&lt;=AsOf+AlertDays,2,IF(X16&lt;=AsOf+30,3,"")))</f>
        <v/>
      </c>
      <c r="Z16" s="79">
        <f>IF(Y16="","",IF(U16&lt;0,"Maintenance overdue: ","Maintenance due: ")&amp;P16)</f>
        <v/>
      </c>
    </row>
    <row r="17" ht="20" customHeight="1">
      <c r="B17" s="72" t="n"/>
      <c r="C17" s="72" t="n"/>
      <c r="D17" s="72" t="n"/>
      <c r="E17" s="109" t="n"/>
      <c r="F17" s="74" t="n"/>
      <c r="G17" s="126">
        <f>IF(OR(E17="",F17=""),"",DATE(YEAR(E17),MONTH(E17)+ROUND(F17*12,0),DAY(E17)))</f>
        <v/>
      </c>
      <c r="H17" s="144">
        <f>IF(G17="","",G17-AsOf)</f>
        <v/>
      </c>
      <c r="I17" s="107">
        <f>IF(G17="","",IF(H17&lt;0,"Expired",IF(H17&lt;=90,"Expires soon","Active")))</f>
        <v/>
      </c>
      <c r="J17" s="72" t="n"/>
      <c r="K17" s="79">
        <f>IF(I17="","",IF(I17="Active",0,IF(I17="Expires soon",1,3)))</f>
        <v/>
      </c>
      <c r="L17" s="112">
        <f>IF(G17="","",IF(G17&lt;AsOf,"",G17))</f>
        <v/>
      </c>
      <c r="M17" s="79">
        <f>IF(L17="","",IF(L17&lt;=AsOf+AlertDays,2,IF(L17&lt;=AsOf+90,3,"")))</f>
        <v/>
      </c>
      <c r="N17" s="79">
        <f>IF(M17="","","Warranty expires in "&amp;H17&amp;" days: "&amp;B17&amp;IF(C17="",""," ("&amp;C17&amp;")")&amp;" — check for defects")</f>
        <v/>
      </c>
      <c r="P17" s="72" t="n"/>
      <c r="Q17" s="72" t="n"/>
      <c r="R17" s="89" t="n"/>
      <c r="S17" s="109" t="n"/>
      <c r="T17" s="126">
        <f>IF(OR(R17="",S17=""),"",DATE(YEAR(S17),MONTH(S17)+R17,DAY(S17)))</f>
        <v/>
      </c>
      <c r="U17" s="144">
        <f>IF(T17="","",T17-AsOf)</f>
        <v/>
      </c>
      <c r="V17" s="107">
        <f>IF(T17="",IF(P17="","","Enter last-done date"),IF(U17&lt;0,"Overdue",IF(U17&lt;=30,"Due soon","OK")))</f>
        <v/>
      </c>
      <c r="W17" s="79">
        <f>IF(T17="","",IF(U17&lt;0,2,IF(U17&lt;=30,1,0)))</f>
        <v/>
      </c>
      <c r="X17" s="112">
        <f>IF(T17="","",T17)</f>
        <v/>
      </c>
      <c r="Y17" s="79">
        <f>IF(X17="","",IF(X17&lt;=AsOf+AlertDays,2,IF(X17&lt;=AsOf+30,3,"")))</f>
        <v/>
      </c>
      <c r="Z17" s="79">
        <f>IF(Y17="","",IF(U17&lt;0,"Maintenance overdue: ","Maintenance due: ")&amp;P17)</f>
        <v/>
      </c>
    </row>
    <row r="18" ht="20" customHeight="1">
      <c r="B18" s="72" t="n"/>
      <c r="C18" s="72" t="n"/>
      <c r="D18" s="72" t="n"/>
      <c r="E18" s="109" t="n"/>
      <c r="F18" s="74" t="n"/>
      <c r="G18" s="126">
        <f>IF(OR(E18="",F18=""),"",DATE(YEAR(E18),MONTH(E18)+ROUND(F18*12,0),DAY(E18)))</f>
        <v/>
      </c>
      <c r="H18" s="144">
        <f>IF(G18="","",G18-AsOf)</f>
        <v/>
      </c>
      <c r="I18" s="107">
        <f>IF(G18="","",IF(H18&lt;0,"Expired",IF(H18&lt;=90,"Expires soon","Active")))</f>
        <v/>
      </c>
      <c r="J18" s="72" t="n"/>
      <c r="K18" s="79">
        <f>IF(I18="","",IF(I18="Active",0,IF(I18="Expires soon",1,3)))</f>
        <v/>
      </c>
      <c r="L18" s="112">
        <f>IF(G18="","",IF(G18&lt;AsOf,"",G18))</f>
        <v/>
      </c>
      <c r="M18" s="79">
        <f>IF(L18="","",IF(L18&lt;=AsOf+AlertDays,2,IF(L18&lt;=AsOf+90,3,"")))</f>
        <v/>
      </c>
      <c r="N18" s="79">
        <f>IF(M18="","","Warranty expires in "&amp;H18&amp;" days: "&amp;B18&amp;IF(C18="",""," ("&amp;C18&amp;")")&amp;" — check for defects")</f>
        <v/>
      </c>
      <c r="P18" s="72" t="n"/>
      <c r="Q18" s="72" t="n"/>
      <c r="R18" s="89" t="n"/>
      <c r="S18" s="109" t="n"/>
      <c r="T18" s="126">
        <f>IF(OR(R18="",S18=""),"",DATE(YEAR(S18),MONTH(S18)+R18,DAY(S18)))</f>
        <v/>
      </c>
      <c r="U18" s="144">
        <f>IF(T18="","",T18-AsOf)</f>
        <v/>
      </c>
      <c r="V18" s="107">
        <f>IF(T18="",IF(P18="","","Enter last-done date"),IF(U18&lt;0,"Overdue",IF(U18&lt;=30,"Due soon","OK")))</f>
        <v/>
      </c>
      <c r="W18" s="79">
        <f>IF(T18="","",IF(U18&lt;0,2,IF(U18&lt;=30,1,0)))</f>
        <v/>
      </c>
      <c r="X18" s="112">
        <f>IF(T18="","",T18)</f>
        <v/>
      </c>
      <c r="Y18" s="79">
        <f>IF(X18="","",IF(X18&lt;=AsOf+AlertDays,2,IF(X18&lt;=AsOf+30,3,"")))</f>
        <v/>
      </c>
      <c r="Z18" s="79">
        <f>IF(Y18="","",IF(U18&lt;0,"Maintenance overdue: ","Maintenance due: ")&amp;P18)</f>
        <v/>
      </c>
    </row>
    <row r="19" ht="20" customHeight="1">
      <c r="B19" s="72" t="n"/>
      <c r="C19" s="72" t="n"/>
      <c r="D19" s="72" t="n"/>
      <c r="E19" s="109" t="n"/>
      <c r="F19" s="74" t="n"/>
      <c r="G19" s="126">
        <f>IF(OR(E19="",F19=""),"",DATE(YEAR(E19),MONTH(E19)+ROUND(F19*12,0),DAY(E19)))</f>
        <v/>
      </c>
      <c r="H19" s="144">
        <f>IF(G19="","",G19-AsOf)</f>
        <v/>
      </c>
      <c r="I19" s="107">
        <f>IF(G19="","",IF(H19&lt;0,"Expired",IF(H19&lt;=90,"Expires soon","Active")))</f>
        <v/>
      </c>
      <c r="J19" s="72" t="n"/>
      <c r="K19" s="79">
        <f>IF(I19="","",IF(I19="Active",0,IF(I19="Expires soon",1,3)))</f>
        <v/>
      </c>
      <c r="L19" s="112">
        <f>IF(G19="","",IF(G19&lt;AsOf,"",G19))</f>
        <v/>
      </c>
      <c r="M19" s="79">
        <f>IF(L19="","",IF(L19&lt;=AsOf+AlertDays,2,IF(L19&lt;=AsOf+90,3,"")))</f>
        <v/>
      </c>
      <c r="N19" s="79">
        <f>IF(M19="","","Warranty expires in "&amp;H19&amp;" days: "&amp;B19&amp;IF(C19="",""," ("&amp;C19&amp;")")&amp;" — check for defects")</f>
        <v/>
      </c>
      <c r="P19" s="72" t="n"/>
      <c r="Q19" s="72" t="n"/>
      <c r="R19" s="89" t="n"/>
      <c r="S19" s="109" t="n"/>
      <c r="T19" s="126">
        <f>IF(OR(R19="",S19=""),"",DATE(YEAR(S19),MONTH(S19)+R19,DAY(S19)))</f>
        <v/>
      </c>
      <c r="U19" s="144">
        <f>IF(T19="","",T19-AsOf)</f>
        <v/>
      </c>
      <c r="V19" s="107">
        <f>IF(T19="",IF(P19="","","Enter last-done date"),IF(U19&lt;0,"Overdue",IF(U19&lt;=30,"Due soon","OK")))</f>
        <v/>
      </c>
      <c r="W19" s="79">
        <f>IF(T19="","",IF(U19&lt;0,2,IF(U19&lt;=30,1,0)))</f>
        <v/>
      </c>
      <c r="X19" s="112">
        <f>IF(T19="","",T19)</f>
        <v/>
      </c>
      <c r="Y19" s="79">
        <f>IF(X19="","",IF(X19&lt;=AsOf+AlertDays,2,IF(X19&lt;=AsOf+30,3,"")))</f>
        <v/>
      </c>
      <c r="Z19" s="79">
        <f>IF(Y19="","",IF(U19&lt;0,"Maintenance overdue: ","Maintenance due: ")&amp;P19)</f>
        <v/>
      </c>
    </row>
    <row r="20" ht="20" customHeight="1">
      <c r="B20" s="72" t="n"/>
      <c r="C20" s="72" t="n"/>
      <c r="D20" s="72" t="n"/>
      <c r="E20" s="109" t="n"/>
      <c r="F20" s="74" t="n"/>
      <c r="G20" s="126">
        <f>IF(OR(E20="",F20=""),"",DATE(YEAR(E20),MONTH(E20)+ROUND(F20*12,0),DAY(E20)))</f>
        <v/>
      </c>
      <c r="H20" s="144">
        <f>IF(G20="","",G20-AsOf)</f>
        <v/>
      </c>
      <c r="I20" s="107">
        <f>IF(G20="","",IF(H20&lt;0,"Expired",IF(H20&lt;=90,"Expires soon","Active")))</f>
        <v/>
      </c>
      <c r="J20" s="72" t="n"/>
      <c r="K20" s="79">
        <f>IF(I20="","",IF(I20="Active",0,IF(I20="Expires soon",1,3)))</f>
        <v/>
      </c>
      <c r="L20" s="112">
        <f>IF(G20="","",IF(G20&lt;AsOf,"",G20))</f>
        <v/>
      </c>
      <c r="M20" s="79">
        <f>IF(L20="","",IF(L20&lt;=AsOf+AlertDays,2,IF(L20&lt;=AsOf+90,3,"")))</f>
        <v/>
      </c>
      <c r="N20" s="79">
        <f>IF(M20="","","Warranty expires in "&amp;H20&amp;" days: "&amp;B20&amp;IF(C20="",""," ("&amp;C20&amp;")")&amp;" — check for defects")</f>
        <v/>
      </c>
      <c r="P20" s="72" t="n"/>
      <c r="Q20" s="72" t="n"/>
      <c r="R20" s="89" t="n"/>
      <c r="S20" s="109" t="n"/>
      <c r="T20" s="126">
        <f>IF(OR(R20="",S20=""),"",DATE(YEAR(S20),MONTH(S20)+R20,DAY(S20)))</f>
        <v/>
      </c>
      <c r="U20" s="144">
        <f>IF(T20="","",T20-AsOf)</f>
        <v/>
      </c>
      <c r="V20" s="107">
        <f>IF(T20="",IF(P20="","","Enter last-done date"),IF(U20&lt;0,"Overdue",IF(U20&lt;=30,"Due soon","OK")))</f>
        <v/>
      </c>
      <c r="W20" s="79">
        <f>IF(T20="","",IF(U20&lt;0,2,IF(U20&lt;=30,1,0)))</f>
        <v/>
      </c>
      <c r="X20" s="112">
        <f>IF(T20="","",T20)</f>
        <v/>
      </c>
      <c r="Y20" s="79">
        <f>IF(X20="","",IF(X20&lt;=AsOf+AlertDays,2,IF(X20&lt;=AsOf+30,3,"")))</f>
        <v/>
      </c>
      <c r="Z20" s="79">
        <f>IF(Y20="","",IF(U20&lt;0,"Maintenance overdue: ","Maintenance due: ")&amp;P20)</f>
        <v/>
      </c>
    </row>
    <row r="21" ht="20" customHeight="1">
      <c r="B21" s="72" t="n"/>
      <c r="C21" s="72" t="n"/>
      <c r="D21" s="72" t="n"/>
      <c r="E21" s="109" t="n"/>
      <c r="F21" s="74" t="n"/>
      <c r="G21" s="126">
        <f>IF(OR(E21="",F21=""),"",DATE(YEAR(E21),MONTH(E21)+ROUND(F21*12,0),DAY(E21)))</f>
        <v/>
      </c>
      <c r="H21" s="144">
        <f>IF(G21="","",G21-AsOf)</f>
        <v/>
      </c>
      <c r="I21" s="107">
        <f>IF(G21="","",IF(H21&lt;0,"Expired",IF(H21&lt;=90,"Expires soon","Active")))</f>
        <v/>
      </c>
      <c r="J21" s="72" t="n"/>
      <c r="K21" s="79">
        <f>IF(I21="","",IF(I21="Active",0,IF(I21="Expires soon",1,3)))</f>
        <v/>
      </c>
      <c r="L21" s="112">
        <f>IF(G21="","",IF(G21&lt;AsOf,"",G21))</f>
        <v/>
      </c>
      <c r="M21" s="79">
        <f>IF(L21="","",IF(L21&lt;=AsOf+AlertDays,2,IF(L21&lt;=AsOf+90,3,"")))</f>
        <v/>
      </c>
      <c r="N21" s="79">
        <f>IF(M21="","","Warranty expires in "&amp;H21&amp;" days: "&amp;B21&amp;IF(C21="",""," ("&amp;C21&amp;")")&amp;" — check for defects")</f>
        <v/>
      </c>
      <c r="P21" s="72" t="n"/>
      <c r="Q21" s="72" t="n"/>
      <c r="R21" s="89" t="n"/>
      <c r="S21" s="109" t="n"/>
      <c r="T21" s="126">
        <f>IF(OR(R21="",S21=""),"",DATE(YEAR(S21),MONTH(S21)+R21,DAY(S21)))</f>
        <v/>
      </c>
      <c r="U21" s="144">
        <f>IF(T21="","",T21-AsOf)</f>
        <v/>
      </c>
      <c r="V21" s="107">
        <f>IF(T21="",IF(P21="","","Enter last-done date"),IF(U21&lt;0,"Overdue",IF(U21&lt;=30,"Due soon","OK")))</f>
        <v/>
      </c>
      <c r="W21" s="79">
        <f>IF(T21="","",IF(U21&lt;0,2,IF(U21&lt;=30,1,0)))</f>
        <v/>
      </c>
      <c r="X21" s="112">
        <f>IF(T21="","",T21)</f>
        <v/>
      </c>
      <c r="Y21" s="79">
        <f>IF(X21="","",IF(X21&lt;=AsOf+AlertDays,2,IF(X21&lt;=AsOf+30,3,"")))</f>
        <v/>
      </c>
      <c r="Z21" s="79">
        <f>IF(Y21="","",IF(U21&lt;0,"Maintenance overdue: ","Maintenance due: ")&amp;P21)</f>
        <v/>
      </c>
    </row>
    <row r="22" ht="20" customHeight="1">
      <c r="B22" s="72" t="n"/>
      <c r="C22" s="72" t="n"/>
      <c r="D22" s="72" t="n"/>
      <c r="E22" s="109" t="n"/>
      <c r="F22" s="74" t="n"/>
      <c r="G22" s="126">
        <f>IF(OR(E22="",F22=""),"",DATE(YEAR(E22),MONTH(E22)+ROUND(F22*12,0),DAY(E22)))</f>
        <v/>
      </c>
      <c r="H22" s="144">
        <f>IF(G22="","",G22-AsOf)</f>
        <v/>
      </c>
      <c r="I22" s="107">
        <f>IF(G22="","",IF(H22&lt;0,"Expired",IF(H22&lt;=90,"Expires soon","Active")))</f>
        <v/>
      </c>
      <c r="J22" s="72" t="n"/>
      <c r="K22" s="79">
        <f>IF(I22="","",IF(I22="Active",0,IF(I22="Expires soon",1,3)))</f>
        <v/>
      </c>
      <c r="L22" s="112">
        <f>IF(G22="","",IF(G22&lt;AsOf,"",G22))</f>
        <v/>
      </c>
      <c r="M22" s="79">
        <f>IF(L22="","",IF(L22&lt;=AsOf+AlertDays,2,IF(L22&lt;=AsOf+90,3,"")))</f>
        <v/>
      </c>
      <c r="N22" s="79">
        <f>IF(M22="","","Warranty expires in "&amp;H22&amp;" days: "&amp;B22&amp;IF(C22="",""," ("&amp;C22&amp;")")&amp;" — check for defects")</f>
        <v/>
      </c>
      <c r="P22" s="72" t="n"/>
      <c r="Q22" s="72" t="n"/>
      <c r="R22" s="89" t="n"/>
      <c r="S22" s="109" t="n"/>
      <c r="T22" s="126">
        <f>IF(OR(R22="",S22=""),"",DATE(YEAR(S22),MONTH(S22)+R22,DAY(S22)))</f>
        <v/>
      </c>
      <c r="U22" s="144">
        <f>IF(T22="","",T22-AsOf)</f>
        <v/>
      </c>
      <c r="V22" s="107">
        <f>IF(T22="",IF(P22="","","Enter last-done date"),IF(U22&lt;0,"Overdue",IF(U22&lt;=30,"Due soon","OK")))</f>
        <v/>
      </c>
      <c r="W22" s="79">
        <f>IF(T22="","",IF(U22&lt;0,2,IF(U22&lt;=30,1,0)))</f>
        <v/>
      </c>
      <c r="X22" s="112">
        <f>IF(T22="","",T22)</f>
        <v/>
      </c>
      <c r="Y22" s="79">
        <f>IF(X22="","",IF(X22&lt;=AsOf+AlertDays,2,IF(X22&lt;=AsOf+30,3,"")))</f>
        <v/>
      </c>
      <c r="Z22" s="79">
        <f>IF(Y22="","",IF(U22&lt;0,"Maintenance overdue: ","Maintenance due: ")&amp;P22)</f>
        <v/>
      </c>
    </row>
    <row r="23" ht="20" customHeight="1">
      <c r="B23" s="72" t="n"/>
      <c r="C23" s="72" t="n"/>
      <c r="D23" s="72" t="n"/>
      <c r="E23" s="109" t="n"/>
      <c r="F23" s="74" t="n"/>
      <c r="G23" s="126">
        <f>IF(OR(E23="",F23=""),"",DATE(YEAR(E23),MONTH(E23)+ROUND(F23*12,0),DAY(E23)))</f>
        <v/>
      </c>
      <c r="H23" s="144">
        <f>IF(G23="","",G23-AsOf)</f>
        <v/>
      </c>
      <c r="I23" s="107">
        <f>IF(G23="","",IF(H23&lt;0,"Expired",IF(H23&lt;=90,"Expires soon","Active")))</f>
        <v/>
      </c>
      <c r="J23" s="72" t="n"/>
      <c r="K23" s="79">
        <f>IF(I23="","",IF(I23="Active",0,IF(I23="Expires soon",1,3)))</f>
        <v/>
      </c>
      <c r="L23" s="112">
        <f>IF(G23="","",IF(G23&lt;AsOf,"",G23))</f>
        <v/>
      </c>
      <c r="M23" s="79">
        <f>IF(L23="","",IF(L23&lt;=AsOf+AlertDays,2,IF(L23&lt;=AsOf+90,3,"")))</f>
        <v/>
      </c>
      <c r="N23" s="79">
        <f>IF(M23="","","Warranty expires in "&amp;H23&amp;" days: "&amp;B23&amp;IF(C23="",""," ("&amp;C23&amp;")")&amp;" — check for defects")</f>
        <v/>
      </c>
      <c r="P23" s="72" t="n"/>
      <c r="Q23" s="72" t="n"/>
      <c r="R23" s="89" t="n"/>
      <c r="S23" s="109" t="n"/>
      <c r="T23" s="126">
        <f>IF(OR(R23="",S23=""),"",DATE(YEAR(S23),MONTH(S23)+R23,DAY(S23)))</f>
        <v/>
      </c>
      <c r="U23" s="144">
        <f>IF(T23="","",T23-AsOf)</f>
        <v/>
      </c>
      <c r="V23" s="107">
        <f>IF(T23="",IF(P23="","","Enter last-done date"),IF(U23&lt;0,"Overdue",IF(U23&lt;=30,"Due soon","OK")))</f>
        <v/>
      </c>
      <c r="W23" s="79">
        <f>IF(T23="","",IF(U23&lt;0,2,IF(U23&lt;=30,1,0)))</f>
        <v/>
      </c>
      <c r="X23" s="112">
        <f>IF(T23="","",T23)</f>
        <v/>
      </c>
      <c r="Y23" s="79">
        <f>IF(X23="","",IF(X23&lt;=AsOf+AlertDays,2,IF(X23&lt;=AsOf+30,3,"")))</f>
        <v/>
      </c>
      <c r="Z23" s="79">
        <f>IF(Y23="","",IF(U23&lt;0,"Maintenance overdue: ","Maintenance due: ")&amp;P23)</f>
        <v/>
      </c>
    </row>
    <row r="24" ht="20" customHeight="1">
      <c r="B24" s="72" t="n"/>
      <c r="C24" s="72" t="n"/>
      <c r="D24" s="72" t="n"/>
      <c r="E24" s="109" t="n"/>
      <c r="F24" s="74" t="n"/>
      <c r="G24" s="126">
        <f>IF(OR(E24="",F24=""),"",DATE(YEAR(E24),MONTH(E24)+ROUND(F24*12,0),DAY(E24)))</f>
        <v/>
      </c>
      <c r="H24" s="144">
        <f>IF(G24="","",G24-AsOf)</f>
        <v/>
      </c>
      <c r="I24" s="107">
        <f>IF(G24="","",IF(H24&lt;0,"Expired",IF(H24&lt;=90,"Expires soon","Active")))</f>
        <v/>
      </c>
      <c r="J24" s="72" t="n"/>
      <c r="K24" s="79">
        <f>IF(I24="","",IF(I24="Active",0,IF(I24="Expires soon",1,3)))</f>
        <v/>
      </c>
      <c r="L24" s="112">
        <f>IF(G24="","",IF(G24&lt;AsOf,"",G24))</f>
        <v/>
      </c>
      <c r="M24" s="79">
        <f>IF(L24="","",IF(L24&lt;=AsOf+AlertDays,2,IF(L24&lt;=AsOf+90,3,"")))</f>
        <v/>
      </c>
      <c r="N24" s="79">
        <f>IF(M24="","","Warranty expires in "&amp;H24&amp;" days: "&amp;B24&amp;IF(C24="",""," ("&amp;C24&amp;")")&amp;" — check for defects")</f>
        <v/>
      </c>
      <c r="P24" s="72" t="n"/>
      <c r="Q24" s="72" t="n"/>
      <c r="R24" s="89" t="n"/>
      <c r="S24" s="109" t="n"/>
      <c r="T24" s="126">
        <f>IF(OR(R24="",S24=""),"",DATE(YEAR(S24),MONTH(S24)+R24,DAY(S24)))</f>
        <v/>
      </c>
      <c r="U24" s="144">
        <f>IF(T24="","",T24-AsOf)</f>
        <v/>
      </c>
      <c r="V24" s="107">
        <f>IF(T24="",IF(P24="","","Enter last-done date"),IF(U24&lt;0,"Overdue",IF(U24&lt;=30,"Due soon","OK")))</f>
        <v/>
      </c>
      <c r="W24" s="79">
        <f>IF(T24="","",IF(U24&lt;0,2,IF(U24&lt;=30,1,0)))</f>
        <v/>
      </c>
      <c r="X24" s="112">
        <f>IF(T24="","",T24)</f>
        <v/>
      </c>
      <c r="Y24" s="79">
        <f>IF(X24="","",IF(X24&lt;=AsOf+AlertDays,2,IF(X24&lt;=AsOf+30,3,"")))</f>
        <v/>
      </c>
      <c r="Z24" s="79">
        <f>IF(Y24="","",IF(U24&lt;0,"Maintenance overdue: ","Maintenance due: ")&amp;P24)</f>
        <v/>
      </c>
    </row>
    <row r="25" ht="20" customHeight="1">
      <c r="B25" s="72" t="n"/>
      <c r="C25" s="72" t="n"/>
      <c r="D25" s="72" t="n"/>
      <c r="E25" s="109" t="n"/>
      <c r="F25" s="74" t="n"/>
      <c r="G25" s="126">
        <f>IF(OR(E25="",F25=""),"",DATE(YEAR(E25),MONTH(E25)+ROUND(F25*12,0),DAY(E25)))</f>
        <v/>
      </c>
      <c r="H25" s="144">
        <f>IF(G25="","",G25-AsOf)</f>
        <v/>
      </c>
      <c r="I25" s="107">
        <f>IF(G25="","",IF(H25&lt;0,"Expired",IF(H25&lt;=90,"Expires soon","Active")))</f>
        <v/>
      </c>
      <c r="J25" s="72" t="n"/>
      <c r="K25" s="79">
        <f>IF(I25="","",IF(I25="Active",0,IF(I25="Expires soon",1,3)))</f>
        <v/>
      </c>
      <c r="L25" s="112">
        <f>IF(G25="","",IF(G25&lt;AsOf,"",G25))</f>
        <v/>
      </c>
      <c r="M25" s="79">
        <f>IF(L25="","",IF(L25&lt;=AsOf+AlertDays,2,IF(L25&lt;=AsOf+90,3,"")))</f>
        <v/>
      </c>
      <c r="N25" s="79">
        <f>IF(M25="","","Warranty expires in "&amp;H25&amp;" days: "&amp;B25&amp;IF(C25="",""," ("&amp;C25&amp;")")&amp;" — check for defects")</f>
        <v/>
      </c>
      <c r="P25" s="72" t="n"/>
      <c r="Q25" s="72" t="n"/>
      <c r="R25" s="89" t="n"/>
      <c r="S25" s="109" t="n"/>
      <c r="T25" s="126">
        <f>IF(OR(R25="",S25=""),"",DATE(YEAR(S25),MONTH(S25)+R25,DAY(S25)))</f>
        <v/>
      </c>
      <c r="U25" s="144">
        <f>IF(T25="","",T25-AsOf)</f>
        <v/>
      </c>
      <c r="V25" s="107">
        <f>IF(T25="",IF(P25="","","Enter last-done date"),IF(U25&lt;0,"Overdue",IF(U25&lt;=30,"Due soon","OK")))</f>
        <v/>
      </c>
      <c r="W25" s="79">
        <f>IF(T25="","",IF(U25&lt;0,2,IF(U25&lt;=30,1,0)))</f>
        <v/>
      </c>
      <c r="X25" s="112">
        <f>IF(T25="","",T25)</f>
        <v/>
      </c>
      <c r="Y25" s="79">
        <f>IF(X25="","",IF(X25&lt;=AsOf+AlertDays,2,IF(X25&lt;=AsOf+30,3,"")))</f>
        <v/>
      </c>
      <c r="Z25" s="79">
        <f>IF(Y25="","",IF(U25&lt;0,"Maintenance overdue: ","Maintenance due: ")&amp;P25)</f>
        <v/>
      </c>
    </row>
    <row r="26" ht="20" customHeight="1">
      <c r="B26" s="72" t="n"/>
      <c r="C26" s="72" t="n"/>
      <c r="D26" s="72" t="n"/>
      <c r="E26" s="109" t="n"/>
      <c r="F26" s="74" t="n"/>
      <c r="G26" s="126">
        <f>IF(OR(E26="",F26=""),"",DATE(YEAR(E26),MONTH(E26)+ROUND(F26*12,0),DAY(E26)))</f>
        <v/>
      </c>
      <c r="H26" s="144">
        <f>IF(G26="","",G26-AsOf)</f>
        <v/>
      </c>
      <c r="I26" s="107">
        <f>IF(G26="","",IF(H26&lt;0,"Expired",IF(H26&lt;=90,"Expires soon","Active")))</f>
        <v/>
      </c>
      <c r="J26" s="72" t="n"/>
      <c r="K26" s="79">
        <f>IF(I26="","",IF(I26="Active",0,IF(I26="Expires soon",1,3)))</f>
        <v/>
      </c>
      <c r="L26" s="112">
        <f>IF(G26="","",IF(G26&lt;AsOf,"",G26))</f>
        <v/>
      </c>
      <c r="M26" s="79">
        <f>IF(L26="","",IF(L26&lt;=AsOf+AlertDays,2,IF(L26&lt;=AsOf+90,3,"")))</f>
        <v/>
      </c>
      <c r="N26" s="79">
        <f>IF(M26="","","Warranty expires in "&amp;H26&amp;" days: "&amp;B26&amp;IF(C26="",""," ("&amp;C26&amp;")")&amp;" — check for defects")</f>
        <v/>
      </c>
      <c r="P26" s="72" t="n"/>
      <c r="Q26" s="72" t="n"/>
      <c r="R26" s="89" t="n"/>
      <c r="S26" s="109" t="n"/>
      <c r="T26" s="126">
        <f>IF(OR(R26="",S26=""),"",DATE(YEAR(S26),MONTH(S26)+R26,DAY(S26)))</f>
        <v/>
      </c>
      <c r="U26" s="144">
        <f>IF(T26="","",T26-AsOf)</f>
        <v/>
      </c>
      <c r="V26" s="107">
        <f>IF(T26="",IF(P26="","","Enter last-done date"),IF(U26&lt;0,"Overdue",IF(U26&lt;=30,"Due soon","OK")))</f>
        <v/>
      </c>
      <c r="W26" s="79">
        <f>IF(T26="","",IF(U26&lt;0,2,IF(U26&lt;=30,1,0)))</f>
        <v/>
      </c>
      <c r="X26" s="112">
        <f>IF(T26="","",T26)</f>
        <v/>
      </c>
      <c r="Y26" s="79">
        <f>IF(X26="","",IF(X26&lt;=AsOf+AlertDays,2,IF(X26&lt;=AsOf+30,3,"")))</f>
        <v/>
      </c>
      <c r="Z26" s="79">
        <f>IF(Y26="","",IF(U26&lt;0,"Maintenance overdue: ","Maintenance due: ")&amp;P26)</f>
        <v/>
      </c>
    </row>
    <row r="27" ht="20" customHeight="1">
      <c r="B27" s="72" t="n"/>
      <c r="C27" s="72" t="n"/>
      <c r="D27" s="72" t="n"/>
      <c r="E27" s="109" t="n"/>
      <c r="F27" s="74" t="n"/>
      <c r="G27" s="126">
        <f>IF(OR(E27="",F27=""),"",DATE(YEAR(E27),MONTH(E27)+ROUND(F27*12,0),DAY(E27)))</f>
        <v/>
      </c>
      <c r="H27" s="144">
        <f>IF(G27="","",G27-AsOf)</f>
        <v/>
      </c>
      <c r="I27" s="107">
        <f>IF(G27="","",IF(H27&lt;0,"Expired",IF(H27&lt;=90,"Expires soon","Active")))</f>
        <v/>
      </c>
      <c r="J27" s="72" t="n"/>
      <c r="K27" s="79">
        <f>IF(I27="","",IF(I27="Active",0,IF(I27="Expires soon",1,3)))</f>
        <v/>
      </c>
      <c r="L27" s="112">
        <f>IF(G27="","",IF(G27&lt;AsOf,"",G27))</f>
        <v/>
      </c>
      <c r="M27" s="79">
        <f>IF(L27="","",IF(L27&lt;=AsOf+AlertDays,2,IF(L27&lt;=AsOf+90,3,"")))</f>
        <v/>
      </c>
      <c r="N27" s="79">
        <f>IF(M27="","","Warranty expires in "&amp;H27&amp;" days: "&amp;B27&amp;IF(C27="",""," ("&amp;C27&amp;")")&amp;" — check for defects")</f>
        <v/>
      </c>
      <c r="P27" s="72" t="n"/>
      <c r="Q27" s="72" t="n"/>
      <c r="R27" s="89" t="n"/>
      <c r="S27" s="109" t="n"/>
      <c r="T27" s="126">
        <f>IF(OR(R27="",S27=""),"",DATE(YEAR(S27),MONTH(S27)+R27,DAY(S27)))</f>
        <v/>
      </c>
      <c r="U27" s="144">
        <f>IF(T27="","",T27-AsOf)</f>
        <v/>
      </c>
      <c r="V27" s="107">
        <f>IF(T27="",IF(P27="","","Enter last-done date"),IF(U27&lt;0,"Overdue",IF(U27&lt;=30,"Due soon","OK")))</f>
        <v/>
      </c>
      <c r="W27" s="79">
        <f>IF(T27="","",IF(U27&lt;0,2,IF(U27&lt;=30,1,0)))</f>
        <v/>
      </c>
      <c r="X27" s="112">
        <f>IF(T27="","",T27)</f>
        <v/>
      </c>
      <c r="Y27" s="79">
        <f>IF(X27="","",IF(X27&lt;=AsOf+AlertDays,2,IF(X27&lt;=AsOf+30,3,"")))</f>
        <v/>
      </c>
      <c r="Z27" s="79">
        <f>IF(Y27="","",IF(U27&lt;0,"Maintenance overdue: ","Maintenance due: ")&amp;P27)</f>
        <v/>
      </c>
    </row>
    <row r="28" ht="20" customHeight="1">
      <c r="B28" s="72" t="n"/>
      <c r="C28" s="72" t="n"/>
      <c r="D28" s="72" t="n"/>
      <c r="E28" s="109" t="n"/>
      <c r="F28" s="74" t="n"/>
      <c r="G28" s="126">
        <f>IF(OR(E28="",F28=""),"",DATE(YEAR(E28),MONTH(E28)+ROUND(F28*12,0),DAY(E28)))</f>
        <v/>
      </c>
      <c r="H28" s="144">
        <f>IF(G28="","",G28-AsOf)</f>
        <v/>
      </c>
      <c r="I28" s="107">
        <f>IF(G28="","",IF(H28&lt;0,"Expired",IF(H28&lt;=90,"Expires soon","Active")))</f>
        <v/>
      </c>
      <c r="J28" s="72" t="n"/>
      <c r="K28" s="79">
        <f>IF(I28="","",IF(I28="Active",0,IF(I28="Expires soon",1,3)))</f>
        <v/>
      </c>
      <c r="L28" s="112">
        <f>IF(G28="","",IF(G28&lt;AsOf,"",G28))</f>
        <v/>
      </c>
      <c r="M28" s="79">
        <f>IF(L28="","",IF(L28&lt;=AsOf+AlertDays,2,IF(L28&lt;=AsOf+90,3,"")))</f>
        <v/>
      </c>
      <c r="N28" s="79">
        <f>IF(M28="","","Warranty expires in "&amp;H28&amp;" days: "&amp;B28&amp;IF(C28="",""," ("&amp;C28&amp;")")&amp;" — check for defects")</f>
        <v/>
      </c>
      <c r="P28" s="72" t="n"/>
      <c r="Q28" s="72" t="n"/>
      <c r="R28" s="89" t="n"/>
      <c r="S28" s="109" t="n"/>
      <c r="T28" s="126">
        <f>IF(OR(R28="",S28=""),"",DATE(YEAR(S28),MONTH(S28)+R28,DAY(S28)))</f>
        <v/>
      </c>
      <c r="U28" s="144">
        <f>IF(T28="","",T28-AsOf)</f>
        <v/>
      </c>
      <c r="V28" s="107">
        <f>IF(T28="",IF(P28="","","Enter last-done date"),IF(U28&lt;0,"Overdue",IF(U28&lt;=30,"Due soon","OK")))</f>
        <v/>
      </c>
      <c r="W28" s="79">
        <f>IF(T28="","",IF(U28&lt;0,2,IF(U28&lt;=30,1,0)))</f>
        <v/>
      </c>
      <c r="X28" s="112">
        <f>IF(T28="","",T28)</f>
        <v/>
      </c>
      <c r="Y28" s="79">
        <f>IF(X28="","",IF(X28&lt;=AsOf+AlertDays,2,IF(X28&lt;=AsOf+30,3,"")))</f>
        <v/>
      </c>
      <c r="Z28" s="79">
        <f>IF(Y28="","",IF(U28&lt;0,"Maintenance overdue: ","Maintenance due: ")&amp;P28)</f>
        <v/>
      </c>
    </row>
    <row r="29" ht="20" customHeight="1">
      <c r="B29" s="72" t="n"/>
      <c r="C29" s="72" t="n"/>
      <c r="D29" s="72" t="n"/>
      <c r="E29" s="109" t="n"/>
      <c r="F29" s="74" t="n"/>
      <c r="G29" s="126">
        <f>IF(OR(E29="",F29=""),"",DATE(YEAR(E29),MONTH(E29)+ROUND(F29*12,0),DAY(E29)))</f>
        <v/>
      </c>
      <c r="H29" s="144">
        <f>IF(G29="","",G29-AsOf)</f>
        <v/>
      </c>
      <c r="I29" s="107">
        <f>IF(G29="","",IF(H29&lt;0,"Expired",IF(H29&lt;=90,"Expires soon","Active")))</f>
        <v/>
      </c>
      <c r="J29" s="72" t="n"/>
      <c r="K29" s="79">
        <f>IF(I29="","",IF(I29="Active",0,IF(I29="Expires soon",1,3)))</f>
        <v/>
      </c>
      <c r="L29" s="112">
        <f>IF(G29="","",IF(G29&lt;AsOf,"",G29))</f>
        <v/>
      </c>
      <c r="M29" s="79">
        <f>IF(L29="","",IF(L29&lt;=AsOf+AlertDays,2,IF(L29&lt;=AsOf+90,3,"")))</f>
        <v/>
      </c>
      <c r="N29" s="79">
        <f>IF(M29="","","Warranty expires in "&amp;H29&amp;" days: "&amp;B29&amp;IF(C29="",""," ("&amp;C29&amp;")")&amp;" — check for defects")</f>
        <v/>
      </c>
      <c r="P29" s="72" t="n"/>
      <c r="Q29" s="72" t="n"/>
      <c r="R29" s="89" t="n"/>
      <c r="S29" s="109" t="n"/>
      <c r="T29" s="126">
        <f>IF(OR(R29="",S29=""),"",DATE(YEAR(S29),MONTH(S29)+R29,DAY(S29)))</f>
        <v/>
      </c>
      <c r="U29" s="144">
        <f>IF(T29="","",T29-AsOf)</f>
        <v/>
      </c>
      <c r="V29" s="107">
        <f>IF(T29="",IF(P29="","","Enter last-done date"),IF(U29&lt;0,"Overdue",IF(U29&lt;=30,"Due soon","OK")))</f>
        <v/>
      </c>
      <c r="W29" s="79">
        <f>IF(T29="","",IF(U29&lt;0,2,IF(U29&lt;=30,1,0)))</f>
        <v/>
      </c>
      <c r="X29" s="112">
        <f>IF(T29="","",T29)</f>
        <v/>
      </c>
      <c r="Y29" s="79">
        <f>IF(X29="","",IF(X29&lt;=AsOf+AlertDays,2,IF(X29&lt;=AsOf+30,3,"")))</f>
        <v/>
      </c>
      <c r="Z29" s="79">
        <f>IF(Y29="","",IF(U29&lt;0,"Maintenance overdue: ","Maintenance due: ")&amp;P29)</f>
        <v/>
      </c>
    </row>
    <row r="30" ht="20" customHeight="1">
      <c r="B30" s="72" t="n"/>
      <c r="C30" s="72" t="n"/>
      <c r="D30" s="72" t="n"/>
      <c r="E30" s="109" t="n"/>
      <c r="F30" s="74" t="n"/>
      <c r="G30" s="126">
        <f>IF(OR(E30="",F30=""),"",DATE(YEAR(E30),MONTH(E30)+ROUND(F30*12,0),DAY(E30)))</f>
        <v/>
      </c>
      <c r="H30" s="144">
        <f>IF(G30="","",G30-AsOf)</f>
        <v/>
      </c>
      <c r="I30" s="107">
        <f>IF(G30="","",IF(H30&lt;0,"Expired",IF(H30&lt;=90,"Expires soon","Active")))</f>
        <v/>
      </c>
      <c r="J30" s="72" t="n"/>
      <c r="K30" s="79">
        <f>IF(I30="","",IF(I30="Active",0,IF(I30="Expires soon",1,3)))</f>
        <v/>
      </c>
      <c r="L30" s="112">
        <f>IF(G30="","",IF(G30&lt;AsOf,"",G30))</f>
        <v/>
      </c>
      <c r="M30" s="79">
        <f>IF(L30="","",IF(L30&lt;=AsOf+AlertDays,2,IF(L30&lt;=AsOf+90,3,"")))</f>
        <v/>
      </c>
      <c r="N30" s="79">
        <f>IF(M30="","","Warranty expires in "&amp;H30&amp;" days: "&amp;B30&amp;IF(C30="",""," ("&amp;C30&amp;")")&amp;" — check for defects")</f>
        <v/>
      </c>
      <c r="P30" s="72" t="n"/>
      <c r="Q30" s="72" t="n"/>
      <c r="R30" s="89" t="n"/>
      <c r="S30" s="109" t="n"/>
      <c r="T30" s="126">
        <f>IF(OR(R30="",S30=""),"",DATE(YEAR(S30),MONTH(S30)+R30,DAY(S30)))</f>
        <v/>
      </c>
      <c r="U30" s="144">
        <f>IF(T30="","",T30-AsOf)</f>
        <v/>
      </c>
      <c r="V30" s="107">
        <f>IF(T30="",IF(P30="","","Enter last-done date"),IF(U30&lt;0,"Overdue",IF(U30&lt;=30,"Due soon","OK")))</f>
        <v/>
      </c>
      <c r="W30" s="79">
        <f>IF(T30="","",IF(U30&lt;0,2,IF(U30&lt;=30,1,0)))</f>
        <v/>
      </c>
      <c r="X30" s="112">
        <f>IF(T30="","",T30)</f>
        <v/>
      </c>
      <c r="Y30" s="79">
        <f>IF(X30="","",IF(X30&lt;=AsOf+AlertDays,2,IF(X30&lt;=AsOf+30,3,"")))</f>
        <v/>
      </c>
      <c r="Z30" s="79">
        <f>IF(Y30="","",IF(U30&lt;0,"Maintenance overdue: ","Maintenance due: ")&amp;P30)</f>
        <v/>
      </c>
    </row>
    <row r="31" ht="20" customHeight="1">
      <c r="B31" s="72" t="n"/>
      <c r="C31" s="72" t="n"/>
      <c r="D31" s="72" t="n"/>
      <c r="E31" s="109" t="n"/>
      <c r="F31" s="74" t="n"/>
      <c r="G31" s="126">
        <f>IF(OR(E31="",F31=""),"",DATE(YEAR(E31),MONTH(E31)+ROUND(F31*12,0),DAY(E31)))</f>
        <v/>
      </c>
      <c r="H31" s="144">
        <f>IF(G31="","",G31-AsOf)</f>
        <v/>
      </c>
      <c r="I31" s="107">
        <f>IF(G31="","",IF(H31&lt;0,"Expired",IF(H31&lt;=90,"Expires soon","Active")))</f>
        <v/>
      </c>
      <c r="J31" s="72" t="n"/>
      <c r="K31" s="79">
        <f>IF(I31="","",IF(I31="Active",0,IF(I31="Expires soon",1,3)))</f>
        <v/>
      </c>
      <c r="L31" s="112">
        <f>IF(G31="","",IF(G31&lt;AsOf,"",G31))</f>
        <v/>
      </c>
      <c r="M31" s="79">
        <f>IF(L31="","",IF(L31&lt;=AsOf+AlertDays,2,IF(L31&lt;=AsOf+90,3,"")))</f>
        <v/>
      </c>
      <c r="N31" s="79">
        <f>IF(M31="","","Warranty expires in "&amp;H31&amp;" days: "&amp;B31&amp;IF(C31="",""," ("&amp;C31&amp;")")&amp;" — check for defects")</f>
        <v/>
      </c>
      <c r="P31" s="72" t="n"/>
      <c r="Q31" s="72" t="n"/>
      <c r="R31" s="89" t="n"/>
      <c r="S31" s="109" t="n"/>
      <c r="T31" s="126">
        <f>IF(OR(R31="",S31=""),"",DATE(YEAR(S31),MONTH(S31)+R31,DAY(S31)))</f>
        <v/>
      </c>
      <c r="U31" s="144">
        <f>IF(T31="","",T31-AsOf)</f>
        <v/>
      </c>
      <c r="V31" s="107">
        <f>IF(T31="",IF(P31="","","Enter last-done date"),IF(U31&lt;0,"Overdue",IF(U31&lt;=30,"Due soon","OK")))</f>
        <v/>
      </c>
      <c r="W31" s="79">
        <f>IF(T31="","",IF(U31&lt;0,2,IF(U31&lt;=30,1,0)))</f>
        <v/>
      </c>
      <c r="X31" s="112">
        <f>IF(T31="","",T31)</f>
        <v/>
      </c>
      <c r="Y31" s="79">
        <f>IF(X31="","",IF(X31&lt;=AsOf+AlertDays,2,IF(X31&lt;=AsOf+30,3,"")))</f>
        <v/>
      </c>
      <c r="Z31" s="79">
        <f>IF(Y31="","",IF(U31&lt;0,"Maintenance overdue: ","Maintenance due: ")&amp;P31)</f>
        <v/>
      </c>
    </row>
    <row r="32" ht="20" customHeight="1">
      <c r="B32" s="72" t="n"/>
      <c r="C32" s="72" t="n"/>
      <c r="D32" s="72" t="n"/>
      <c r="E32" s="109" t="n"/>
      <c r="F32" s="74" t="n"/>
      <c r="G32" s="126">
        <f>IF(OR(E32="",F32=""),"",DATE(YEAR(E32),MONTH(E32)+ROUND(F32*12,0),DAY(E32)))</f>
        <v/>
      </c>
      <c r="H32" s="144">
        <f>IF(G32="","",G32-AsOf)</f>
        <v/>
      </c>
      <c r="I32" s="107">
        <f>IF(G32="","",IF(H32&lt;0,"Expired",IF(H32&lt;=90,"Expires soon","Active")))</f>
        <v/>
      </c>
      <c r="J32" s="72" t="n"/>
      <c r="K32" s="79">
        <f>IF(I32="","",IF(I32="Active",0,IF(I32="Expires soon",1,3)))</f>
        <v/>
      </c>
      <c r="L32" s="112">
        <f>IF(G32="","",IF(G32&lt;AsOf,"",G32))</f>
        <v/>
      </c>
      <c r="M32" s="79">
        <f>IF(L32="","",IF(L32&lt;=AsOf+AlertDays,2,IF(L32&lt;=AsOf+90,3,"")))</f>
        <v/>
      </c>
      <c r="N32" s="79">
        <f>IF(M32="","","Warranty expires in "&amp;H32&amp;" days: "&amp;B32&amp;IF(C32="",""," ("&amp;C32&amp;")")&amp;" — check for defects")</f>
        <v/>
      </c>
      <c r="P32" s="72" t="n"/>
      <c r="Q32" s="72" t="n"/>
      <c r="R32" s="89" t="n"/>
      <c r="S32" s="109" t="n"/>
      <c r="T32" s="126">
        <f>IF(OR(R32="",S32=""),"",DATE(YEAR(S32),MONTH(S32)+R32,DAY(S32)))</f>
        <v/>
      </c>
      <c r="U32" s="144">
        <f>IF(T32="","",T32-AsOf)</f>
        <v/>
      </c>
      <c r="V32" s="107">
        <f>IF(T32="",IF(P32="","","Enter last-done date"),IF(U32&lt;0,"Overdue",IF(U32&lt;=30,"Due soon","OK")))</f>
        <v/>
      </c>
      <c r="W32" s="79">
        <f>IF(T32="","",IF(U32&lt;0,2,IF(U32&lt;=30,1,0)))</f>
        <v/>
      </c>
      <c r="X32" s="112">
        <f>IF(T32="","",T32)</f>
        <v/>
      </c>
      <c r="Y32" s="79">
        <f>IF(X32="","",IF(X32&lt;=AsOf+AlertDays,2,IF(X32&lt;=AsOf+30,3,"")))</f>
        <v/>
      </c>
      <c r="Z32" s="79">
        <f>IF(Y32="","",IF(U32&lt;0,"Maintenance overdue: ","Maintenance due: ")&amp;P32)</f>
        <v/>
      </c>
    </row>
    <row r="33" ht="20" customHeight="1">
      <c r="B33" s="72" t="n"/>
      <c r="C33" s="72" t="n"/>
      <c r="D33" s="72" t="n"/>
      <c r="E33" s="109" t="n"/>
      <c r="F33" s="74" t="n"/>
      <c r="G33" s="126">
        <f>IF(OR(E33="",F33=""),"",DATE(YEAR(E33),MONTH(E33)+ROUND(F33*12,0),DAY(E33)))</f>
        <v/>
      </c>
      <c r="H33" s="144">
        <f>IF(G33="","",G33-AsOf)</f>
        <v/>
      </c>
      <c r="I33" s="107">
        <f>IF(G33="","",IF(H33&lt;0,"Expired",IF(H33&lt;=90,"Expires soon","Active")))</f>
        <v/>
      </c>
      <c r="J33" s="72" t="n"/>
      <c r="K33" s="79">
        <f>IF(I33="","",IF(I33="Active",0,IF(I33="Expires soon",1,3)))</f>
        <v/>
      </c>
      <c r="L33" s="112">
        <f>IF(G33="","",IF(G33&lt;AsOf,"",G33))</f>
        <v/>
      </c>
      <c r="M33" s="79">
        <f>IF(L33="","",IF(L33&lt;=AsOf+AlertDays,2,IF(L33&lt;=AsOf+90,3,"")))</f>
        <v/>
      </c>
      <c r="N33" s="79">
        <f>IF(M33="","","Warranty expires in "&amp;H33&amp;" days: "&amp;B33&amp;IF(C33="",""," ("&amp;C33&amp;")")&amp;" — check for defects")</f>
        <v/>
      </c>
      <c r="P33" s="72" t="n"/>
      <c r="Q33" s="72" t="n"/>
      <c r="R33" s="89" t="n"/>
      <c r="S33" s="109" t="n"/>
      <c r="T33" s="126">
        <f>IF(OR(R33="",S33=""),"",DATE(YEAR(S33),MONTH(S33)+R33,DAY(S33)))</f>
        <v/>
      </c>
      <c r="U33" s="144">
        <f>IF(T33="","",T33-AsOf)</f>
        <v/>
      </c>
      <c r="V33" s="107">
        <f>IF(T33="",IF(P33="","","Enter last-done date"),IF(U33&lt;0,"Overdue",IF(U33&lt;=30,"Due soon","OK")))</f>
        <v/>
      </c>
      <c r="W33" s="79">
        <f>IF(T33="","",IF(U33&lt;0,2,IF(U33&lt;=30,1,0)))</f>
        <v/>
      </c>
      <c r="X33" s="112">
        <f>IF(T33="","",T33)</f>
        <v/>
      </c>
      <c r="Y33" s="79">
        <f>IF(X33="","",IF(X33&lt;=AsOf+AlertDays,2,IF(X33&lt;=AsOf+30,3,"")))</f>
        <v/>
      </c>
      <c r="Z33" s="79">
        <f>IF(Y33="","",IF(U33&lt;0,"Maintenance overdue: ","Maintenance due: ")&amp;P33)</f>
        <v/>
      </c>
    </row>
    <row r="34" ht="20" customHeight="1">
      <c r="B34" s="72" t="n"/>
      <c r="C34" s="72" t="n"/>
      <c r="D34" s="72" t="n"/>
      <c r="E34" s="109" t="n"/>
      <c r="F34" s="74" t="n"/>
      <c r="G34" s="126">
        <f>IF(OR(E34="",F34=""),"",DATE(YEAR(E34),MONTH(E34)+ROUND(F34*12,0),DAY(E34)))</f>
        <v/>
      </c>
      <c r="H34" s="144">
        <f>IF(G34="","",G34-AsOf)</f>
        <v/>
      </c>
      <c r="I34" s="107">
        <f>IF(G34="","",IF(H34&lt;0,"Expired",IF(H34&lt;=90,"Expires soon","Active")))</f>
        <v/>
      </c>
      <c r="J34" s="72" t="n"/>
      <c r="K34" s="79">
        <f>IF(I34="","",IF(I34="Active",0,IF(I34="Expires soon",1,3)))</f>
        <v/>
      </c>
      <c r="L34" s="112">
        <f>IF(G34="","",IF(G34&lt;AsOf,"",G34))</f>
        <v/>
      </c>
      <c r="M34" s="79">
        <f>IF(L34="","",IF(L34&lt;=AsOf+AlertDays,2,IF(L34&lt;=AsOf+90,3,"")))</f>
        <v/>
      </c>
      <c r="N34" s="79">
        <f>IF(M34="","","Warranty expires in "&amp;H34&amp;" days: "&amp;B34&amp;IF(C34="",""," ("&amp;C34&amp;")")&amp;" — check for defects")</f>
        <v/>
      </c>
      <c r="P34" s="72" t="n"/>
      <c r="Q34" s="72" t="n"/>
      <c r="R34" s="89" t="n"/>
      <c r="S34" s="109" t="n"/>
      <c r="T34" s="126">
        <f>IF(OR(R34="",S34=""),"",DATE(YEAR(S34),MONTH(S34)+R34,DAY(S34)))</f>
        <v/>
      </c>
      <c r="U34" s="144">
        <f>IF(T34="","",T34-AsOf)</f>
        <v/>
      </c>
      <c r="V34" s="107">
        <f>IF(T34="",IF(P34="","","Enter last-done date"),IF(U34&lt;0,"Overdue",IF(U34&lt;=30,"Due soon","OK")))</f>
        <v/>
      </c>
      <c r="W34" s="79">
        <f>IF(T34="","",IF(U34&lt;0,2,IF(U34&lt;=30,1,0)))</f>
        <v/>
      </c>
      <c r="X34" s="112">
        <f>IF(T34="","",T34)</f>
        <v/>
      </c>
      <c r="Y34" s="79">
        <f>IF(X34="","",IF(X34&lt;=AsOf+AlertDays,2,IF(X34&lt;=AsOf+30,3,"")))</f>
        <v/>
      </c>
      <c r="Z34" s="79">
        <f>IF(Y34="","",IF(U34&lt;0,"Maintenance overdue: ","Maintenance due: ")&amp;P34)</f>
        <v/>
      </c>
    </row>
    <row r="35" ht="20" customHeight="1">
      <c r="B35" s="72" t="n"/>
      <c r="C35" s="72" t="n"/>
      <c r="D35" s="72" t="n"/>
      <c r="E35" s="109" t="n"/>
      <c r="F35" s="74" t="n"/>
      <c r="G35" s="126">
        <f>IF(OR(E35="",F35=""),"",DATE(YEAR(E35),MONTH(E35)+ROUND(F35*12,0),DAY(E35)))</f>
        <v/>
      </c>
      <c r="H35" s="144">
        <f>IF(G35="","",G35-AsOf)</f>
        <v/>
      </c>
      <c r="I35" s="107">
        <f>IF(G35="","",IF(H35&lt;0,"Expired",IF(H35&lt;=90,"Expires soon","Active")))</f>
        <v/>
      </c>
      <c r="J35" s="72" t="n"/>
      <c r="K35" s="79">
        <f>IF(I35="","",IF(I35="Active",0,IF(I35="Expires soon",1,3)))</f>
        <v/>
      </c>
      <c r="L35" s="112">
        <f>IF(G35="","",IF(G35&lt;AsOf,"",G35))</f>
        <v/>
      </c>
      <c r="M35" s="79">
        <f>IF(L35="","",IF(L35&lt;=AsOf+AlertDays,2,IF(L35&lt;=AsOf+90,3,"")))</f>
        <v/>
      </c>
      <c r="N35" s="79">
        <f>IF(M35="","","Warranty expires in "&amp;H35&amp;" days: "&amp;B35&amp;IF(C35="",""," ("&amp;C35&amp;")")&amp;" — check for defects")</f>
        <v/>
      </c>
      <c r="P35" s="72" t="n"/>
      <c r="Q35" s="72" t="n"/>
      <c r="R35" s="89" t="n"/>
      <c r="S35" s="109" t="n"/>
      <c r="T35" s="126">
        <f>IF(OR(R35="",S35=""),"",DATE(YEAR(S35),MONTH(S35)+R35,DAY(S35)))</f>
        <v/>
      </c>
      <c r="U35" s="144">
        <f>IF(T35="","",T35-AsOf)</f>
        <v/>
      </c>
      <c r="V35" s="107">
        <f>IF(T35="",IF(P35="","","Enter last-done date"),IF(U35&lt;0,"Overdue",IF(U35&lt;=30,"Due soon","OK")))</f>
        <v/>
      </c>
      <c r="W35" s="79">
        <f>IF(T35="","",IF(U35&lt;0,2,IF(U35&lt;=30,1,0)))</f>
        <v/>
      </c>
      <c r="X35" s="112">
        <f>IF(T35="","",T35)</f>
        <v/>
      </c>
      <c r="Y35" s="79">
        <f>IF(X35="","",IF(X35&lt;=AsOf+AlertDays,2,IF(X35&lt;=AsOf+30,3,"")))</f>
        <v/>
      </c>
      <c r="Z35" s="79">
        <f>IF(Y35="","",IF(U35&lt;0,"Maintenance overdue: ","Maintenance due: ")&amp;P35)</f>
        <v/>
      </c>
    </row>
    <row r="36" ht="20" customHeight="1">
      <c r="B36" s="72" t="n"/>
      <c r="C36" s="72" t="n"/>
      <c r="D36" s="72" t="n"/>
      <c r="E36" s="109" t="n"/>
      <c r="F36" s="74" t="n"/>
      <c r="G36" s="126">
        <f>IF(OR(E36="",F36=""),"",DATE(YEAR(E36),MONTH(E36)+ROUND(F36*12,0),DAY(E36)))</f>
        <v/>
      </c>
      <c r="H36" s="144">
        <f>IF(G36="","",G36-AsOf)</f>
        <v/>
      </c>
      <c r="I36" s="107">
        <f>IF(G36="","",IF(H36&lt;0,"Expired",IF(H36&lt;=90,"Expires soon","Active")))</f>
        <v/>
      </c>
      <c r="J36" s="72" t="n"/>
      <c r="K36" s="79">
        <f>IF(I36="","",IF(I36="Active",0,IF(I36="Expires soon",1,3)))</f>
        <v/>
      </c>
      <c r="L36" s="112">
        <f>IF(G36="","",IF(G36&lt;AsOf,"",G36))</f>
        <v/>
      </c>
      <c r="M36" s="79">
        <f>IF(L36="","",IF(L36&lt;=AsOf+AlertDays,2,IF(L36&lt;=AsOf+90,3,"")))</f>
        <v/>
      </c>
      <c r="N36" s="79">
        <f>IF(M36="","","Warranty expires in "&amp;H36&amp;" days: "&amp;B36&amp;IF(C36="",""," ("&amp;C36&amp;")")&amp;" — check for defects")</f>
        <v/>
      </c>
      <c r="P36" s="72" t="n"/>
      <c r="Q36" s="72" t="n"/>
      <c r="R36" s="89" t="n"/>
      <c r="S36" s="109" t="n"/>
      <c r="T36" s="126">
        <f>IF(OR(R36="",S36=""),"",DATE(YEAR(S36),MONTH(S36)+R36,DAY(S36)))</f>
        <v/>
      </c>
      <c r="U36" s="144">
        <f>IF(T36="","",T36-AsOf)</f>
        <v/>
      </c>
      <c r="V36" s="107">
        <f>IF(T36="",IF(P36="","","Enter last-done date"),IF(U36&lt;0,"Overdue",IF(U36&lt;=30,"Due soon","OK")))</f>
        <v/>
      </c>
      <c r="W36" s="79">
        <f>IF(T36="","",IF(U36&lt;0,2,IF(U36&lt;=30,1,0)))</f>
        <v/>
      </c>
      <c r="X36" s="112">
        <f>IF(T36="","",T36)</f>
        <v/>
      </c>
      <c r="Y36" s="79">
        <f>IF(X36="","",IF(X36&lt;=AsOf+AlertDays,2,IF(X36&lt;=AsOf+30,3,"")))</f>
        <v/>
      </c>
      <c r="Z36" s="79">
        <f>IF(Y36="","",IF(U36&lt;0,"Maintenance overdue: ","Maintenance due: ")&amp;P36)</f>
        <v/>
      </c>
    </row>
    <row r="37" ht="20" customHeight="1">
      <c r="B37" s="72" t="n"/>
      <c r="C37" s="72" t="n"/>
      <c r="D37" s="72" t="n"/>
      <c r="E37" s="109" t="n"/>
      <c r="F37" s="74" t="n"/>
      <c r="G37" s="126">
        <f>IF(OR(E37="",F37=""),"",DATE(YEAR(E37),MONTH(E37)+ROUND(F37*12,0),DAY(E37)))</f>
        <v/>
      </c>
      <c r="H37" s="144">
        <f>IF(G37="","",G37-AsOf)</f>
        <v/>
      </c>
      <c r="I37" s="107">
        <f>IF(G37="","",IF(H37&lt;0,"Expired",IF(H37&lt;=90,"Expires soon","Active")))</f>
        <v/>
      </c>
      <c r="J37" s="72" t="n"/>
      <c r="K37" s="79">
        <f>IF(I37="","",IF(I37="Active",0,IF(I37="Expires soon",1,3)))</f>
        <v/>
      </c>
      <c r="L37" s="112">
        <f>IF(G37="","",IF(G37&lt;AsOf,"",G37))</f>
        <v/>
      </c>
      <c r="M37" s="79">
        <f>IF(L37="","",IF(L37&lt;=AsOf+AlertDays,2,IF(L37&lt;=AsOf+90,3,"")))</f>
        <v/>
      </c>
      <c r="N37" s="79">
        <f>IF(M37="","","Warranty expires in "&amp;H37&amp;" days: "&amp;B37&amp;IF(C37="",""," ("&amp;C37&amp;")")&amp;" — check for defects")</f>
        <v/>
      </c>
      <c r="P37" s="72" t="n"/>
      <c r="Q37" s="72" t="n"/>
      <c r="R37" s="89" t="n"/>
      <c r="S37" s="109" t="n"/>
      <c r="T37" s="126">
        <f>IF(OR(R37="",S37=""),"",DATE(YEAR(S37),MONTH(S37)+R37,DAY(S37)))</f>
        <v/>
      </c>
      <c r="U37" s="144">
        <f>IF(T37="","",T37-AsOf)</f>
        <v/>
      </c>
      <c r="V37" s="107">
        <f>IF(T37="",IF(P37="","","Enter last-done date"),IF(U37&lt;0,"Overdue",IF(U37&lt;=30,"Due soon","OK")))</f>
        <v/>
      </c>
      <c r="W37" s="79">
        <f>IF(T37="","",IF(U37&lt;0,2,IF(U37&lt;=30,1,0)))</f>
        <v/>
      </c>
      <c r="X37" s="112">
        <f>IF(T37="","",T37)</f>
        <v/>
      </c>
      <c r="Y37" s="79">
        <f>IF(X37="","",IF(X37&lt;=AsOf+AlertDays,2,IF(X37&lt;=AsOf+30,3,"")))</f>
        <v/>
      </c>
      <c r="Z37" s="79">
        <f>IF(Y37="","",IF(U37&lt;0,"Maintenance overdue: ","Maintenance due: ")&amp;P37)</f>
        <v/>
      </c>
    </row>
    <row r="38" ht="20" customHeight="1">
      <c r="B38" s="72" t="n"/>
      <c r="C38" s="72" t="n"/>
      <c r="D38" s="72" t="n"/>
      <c r="E38" s="109" t="n"/>
      <c r="F38" s="74" t="n"/>
      <c r="G38" s="126">
        <f>IF(OR(E38="",F38=""),"",DATE(YEAR(E38),MONTH(E38)+ROUND(F38*12,0),DAY(E38)))</f>
        <v/>
      </c>
      <c r="H38" s="144">
        <f>IF(G38="","",G38-AsOf)</f>
        <v/>
      </c>
      <c r="I38" s="107">
        <f>IF(G38="","",IF(H38&lt;0,"Expired",IF(H38&lt;=90,"Expires soon","Active")))</f>
        <v/>
      </c>
      <c r="J38" s="72" t="n"/>
      <c r="K38" s="79">
        <f>IF(I38="","",IF(I38="Active",0,IF(I38="Expires soon",1,3)))</f>
        <v/>
      </c>
      <c r="L38" s="112">
        <f>IF(G38="","",IF(G38&lt;AsOf,"",G38))</f>
        <v/>
      </c>
      <c r="M38" s="79">
        <f>IF(L38="","",IF(L38&lt;=AsOf+AlertDays,2,IF(L38&lt;=AsOf+90,3,"")))</f>
        <v/>
      </c>
      <c r="N38" s="79">
        <f>IF(M38="","","Warranty expires in "&amp;H38&amp;" days: "&amp;B38&amp;IF(C38="",""," ("&amp;C38&amp;")")&amp;" — check for defects")</f>
        <v/>
      </c>
      <c r="P38" s="72" t="n"/>
      <c r="Q38" s="72" t="n"/>
      <c r="R38" s="89" t="n"/>
      <c r="S38" s="109" t="n"/>
      <c r="T38" s="126">
        <f>IF(OR(R38="",S38=""),"",DATE(YEAR(S38),MONTH(S38)+R38,DAY(S38)))</f>
        <v/>
      </c>
      <c r="U38" s="144">
        <f>IF(T38="","",T38-AsOf)</f>
        <v/>
      </c>
      <c r="V38" s="107">
        <f>IF(T38="",IF(P38="","","Enter last-done date"),IF(U38&lt;0,"Overdue",IF(U38&lt;=30,"Due soon","OK")))</f>
        <v/>
      </c>
      <c r="W38" s="79">
        <f>IF(T38="","",IF(U38&lt;0,2,IF(U38&lt;=30,1,0)))</f>
        <v/>
      </c>
      <c r="X38" s="112">
        <f>IF(T38="","",T38)</f>
        <v/>
      </c>
      <c r="Y38" s="79">
        <f>IF(X38="","",IF(X38&lt;=AsOf+AlertDays,2,IF(X38&lt;=AsOf+30,3,"")))</f>
        <v/>
      </c>
      <c r="Z38" s="79">
        <f>IF(Y38="","",IF(U38&lt;0,"Maintenance overdue: ","Maintenance due: ")&amp;P38)</f>
        <v/>
      </c>
    </row>
    <row r="39" ht="20" customHeight="1">
      <c r="B39" s="72" t="n"/>
      <c r="C39" s="72" t="n"/>
      <c r="D39" s="72" t="n"/>
      <c r="E39" s="109" t="n"/>
      <c r="F39" s="74" t="n"/>
      <c r="G39" s="126">
        <f>IF(OR(E39="",F39=""),"",DATE(YEAR(E39),MONTH(E39)+ROUND(F39*12,0),DAY(E39)))</f>
        <v/>
      </c>
      <c r="H39" s="144">
        <f>IF(G39="","",G39-AsOf)</f>
        <v/>
      </c>
      <c r="I39" s="107">
        <f>IF(G39="","",IF(H39&lt;0,"Expired",IF(H39&lt;=90,"Expires soon","Active")))</f>
        <v/>
      </c>
      <c r="J39" s="72" t="n"/>
      <c r="K39" s="79">
        <f>IF(I39="","",IF(I39="Active",0,IF(I39="Expires soon",1,3)))</f>
        <v/>
      </c>
      <c r="L39" s="112">
        <f>IF(G39="","",IF(G39&lt;AsOf,"",G39))</f>
        <v/>
      </c>
      <c r="M39" s="79">
        <f>IF(L39="","",IF(L39&lt;=AsOf+AlertDays,2,IF(L39&lt;=AsOf+90,3,"")))</f>
        <v/>
      </c>
      <c r="N39" s="79">
        <f>IF(M39="","","Warranty expires in "&amp;H39&amp;" days: "&amp;B39&amp;IF(C39="",""," ("&amp;C39&amp;")")&amp;" — check for defects")</f>
        <v/>
      </c>
      <c r="P39" s="72" t="n"/>
      <c r="Q39" s="72" t="n"/>
      <c r="R39" s="89" t="n"/>
      <c r="S39" s="109" t="n"/>
      <c r="T39" s="126">
        <f>IF(OR(R39="",S39=""),"",DATE(YEAR(S39),MONTH(S39)+R39,DAY(S39)))</f>
        <v/>
      </c>
      <c r="U39" s="144">
        <f>IF(T39="","",T39-AsOf)</f>
        <v/>
      </c>
      <c r="V39" s="107">
        <f>IF(T39="",IF(P39="","","Enter last-done date"),IF(U39&lt;0,"Overdue",IF(U39&lt;=30,"Due soon","OK")))</f>
        <v/>
      </c>
      <c r="W39" s="79">
        <f>IF(T39="","",IF(U39&lt;0,2,IF(U39&lt;=30,1,0)))</f>
        <v/>
      </c>
      <c r="X39" s="112">
        <f>IF(T39="","",T39)</f>
        <v/>
      </c>
      <c r="Y39" s="79">
        <f>IF(X39="","",IF(X39&lt;=AsOf+AlertDays,2,IF(X39&lt;=AsOf+30,3,"")))</f>
        <v/>
      </c>
      <c r="Z39" s="79">
        <f>IF(Y39="","",IF(U39&lt;0,"Maintenance overdue: ","Maintenance due: ")&amp;P39)</f>
        <v/>
      </c>
    </row>
    <row r="40" ht="20" customHeight="1">
      <c r="B40" s="72" t="n"/>
      <c r="C40" s="72" t="n"/>
      <c r="D40" s="72" t="n"/>
      <c r="E40" s="109" t="n"/>
      <c r="F40" s="74" t="n"/>
      <c r="G40" s="126">
        <f>IF(OR(E40="",F40=""),"",DATE(YEAR(E40),MONTH(E40)+ROUND(F40*12,0),DAY(E40)))</f>
        <v/>
      </c>
      <c r="H40" s="144">
        <f>IF(G40="","",G40-AsOf)</f>
        <v/>
      </c>
      <c r="I40" s="107">
        <f>IF(G40="","",IF(H40&lt;0,"Expired",IF(H40&lt;=90,"Expires soon","Active")))</f>
        <v/>
      </c>
      <c r="J40" s="72" t="n"/>
      <c r="K40" s="79">
        <f>IF(I40="","",IF(I40="Active",0,IF(I40="Expires soon",1,3)))</f>
        <v/>
      </c>
      <c r="L40" s="112">
        <f>IF(G40="","",IF(G40&lt;AsOf,"",G40))</f>
        <v/>
      </c>
      <c r="M40" s="79">
        <f>IF(L40="","",IF(L40&lt;=AsOf+AlertDays,2,IF(L40&lt;=AsOf+90,3,"")))</f>
        <v/>
      </c>
      <c r="N40" s="79">
        <f>IF(M40="","","Warranty expires in "&amp;H40&amp;" days: "&amp;B40&amp;IF(C40="",""," ("&amp;C40&amp;")")&amp;" — check for defects")</f>
        <v/>
      </c>
      <c r="P40" s="72" t="n"/>
      <c r="Q40" s="72" t="n"/>
      <c r="R40" s="89" t="n"/>
      <c r="S40" s="109" t="n"/>
      <c r="T40" s="126">
        <f>IF(OR(R40="",S40=""),"",DATE(YEAR(S40),MONTH(S40)+R40,DAY(S40)))</f>
        <v/>
      </c>
      <c r="U40" s="144">
        <f>IF(T40="","",T40-AsOf)</f>
        <v/>
      </c>
      <c r="V40" s="107">
        <f>IF(T40="",IF(P40="","","Enter last-done date"),IF(U40&lt;0,"Overdue",IF(U40&lt;=30,"Due soon","OK")))</f>
        <v/>
      </c>
      <c r="W40" s="79">
        <f>IF(T40="","",IF(U40&lt;0,2,IF(U40&lt;=30,1,0)))</f>
        <v/>
      </c>
      <c r="X40" s="112">
        <f>IF(T40="","",T40)</f>
        <v/>
      </c>
      <c r="Y40" s="79">
        <f>IF(X40="","",IF(X40&lt;=AsOf+AlertDays,2,IF(X40&lt;=AsOf+30,3,"")))</f>
        <v/>
      </c>
      <c r="Z40" s="79">
        <f>IF(Y40="","",IF(U40&lt;0,"Maintenance overdue: ","Maintenance due: ")&amp;P40)</f>
        <v/>
      </c>
    </row>
    <row r="41" ht="20" customHeight="1">
      <c r="B41" s="72" t="n"/>
      <c r="C41" s="72" t="n"/>
      <c r="D41" s="72" t="n"/>
      <c r="E41" s="109" t="n"/>
      <c r="F41" s="74" t="n"/>
      <c r="G41" s="126">
        <f>IF(OR(E41="",F41=""),"",DATE(YEAR(E41),MONTH(E41)+ROUND(F41*12,0),DAY(E41)))</f>
        <v/>
      </c>
      <c r="H41" s="144">
        <f>IF(G41="","",G41-AsOf)</f>
        <v/>
      </c>
      <c r="I41" s="107">
        <f>IF(G41="","",IF(H41&lt;0,"Expired",IF(H41&lt;=90,"Expires soon","Active")))</f>
        <v/>
      </c>
      <c r="J41" s="72" t="n"/>
      <c r="K41" s="79">
        <f>IF(I41="","",IF(I41="Active",0,IF(I41="Expires soon",1,3)))</f>
        <v/>
      </c>
      <c r="L41" s="112">
        <f>IF(G41="","",IF(G41&lt;AsOf,"",G41))</f>
        <v/>
      </c>
      <c r="M41" s="79">
        <f>IF(L41="","",IF(L41&lt;=AsOf+AlertDays,2,IF(L41&lt;=AsOf+90,3,"")))</f>
        <v/>
      </c>
      <c r="N41" s="79">
        <f>IF(M41="","","Warranty expires in "&amp;H41&amp;" days: "&amp;B41&amp;IF(C41="",""," ("&amp;C41&amp;")")&amp;" — check for defects")</f>
        <v/>
      </c>
      <c r="P41" s="72" t="n"/>
      <c r="Q41" s="72" t="n"/>
      <c r="R41" s="89" t="n"/>
      <c r="S41" s="109" t="n"/>
      <c r="T41" s="126">
        <f>IF(OR(R41="",S41=""),"",DATE(YEAR(S41),MONTH(S41)+R41,DAY(S41)))</f>
        <v/>
      </c>
      <c r="U41" s="144">
        <f>IF(T41="","",T41-AsOf)</f>
        <v/>
      </c>
      <c r="V41" s="107">
        <f>IF(T41="",IF(P41="","","Enter last-done date"),IF(U41&lt;0,"Overdue",IF(U41&lt;=30,"Due soon","OK")))</f>
        <v/>
      </c>
      <c r="W41" s="79">
        <f>IF(T41="","",IF(U41&lt;0,2,IF(U41&lt;=30,1,0)))</f>
        <v/>
      </c>
      <c r="X41" s="112">
        <f>IF(T41="","",T41)</f>
        <v/>
      </c>
      <c r="Y41" s="79">
        <f>IF(X41="","",IF(X41&lt;=AsOf+AlertDays,2,IF(X41&lt;=AsOf+30,3,"")))</f>
        <v/>
      </c>
      <c r="Z41" s="79">
        <f>IF(Y41="","",IF(U41&lt;0,"Maintenance overdue: ","Maintenance due: ")&amp;P41)</f>
        <v/>
      </c>
    </row>
    <row r="42" ht="20" customHeight="1">
      <c r="B42" s="72" t="n"/>
      <c r="C42" s="72" t="n"/>
      <c r="D42" s="72" t="n"/>
      <c r="E42" s="109" t="n"/>
      <c r="F42" s="74" t="n"/>
      <c r="G42" s="126">
        <f>IF(OR(E42="",F42=""),"",DATE(YEAR(E42),MONTH(E42)+ROUND(F42*12,0),DAY(E42)))</f>
        <v/>
      </c>
      <c r="H42" s="144">
        <f>IF(G42="","",G42-AsOf)</f>
        <v/>
      </c>
      <c r="I42" s="107">
        <f>IF(G42="","",IF(H42&lt;0,"Expired",IF(H42&lt;=90,"Expires soon","Active")))</f>
        <v/>
      </c>
      <c r="J42" s="72" t="n"/>
      <c r="K42" s="79">
        <f>IF(I42="","",IF(I42="Active",0,IF(I42="Expires soon",1,3)))</f>
        <v/>
      </c>
      <c r="L42" s="112">
        <f>IF(G42="","",IF(G42&lt;AsOf,"",G42))</f>
        <v/>
      </c>
      <c r="M42" s="79">
        <f>IF(L42="","",IF(L42&lt;=AsOf+AlertDays,2,IF(L42&lt;=AsOf+90,3,"")))</f>
        <v/>
      </c>
      <c r="N42" s="79">
        <f>IF(M42="","","Warranty expires in "&amp;H42&amp;" days: "&amp;B42&amp;IF(C42="",""," ("&amp;C42&amp;")")&amp;" — check for defects")</f>
        <v/>
      </c>
      <c r="P42" s="72" t="n"/>
      <c r="Q42" s="72" t="n"/>
      <c r="R42" s="89" t="n"/>
      <c r="S42" s="109" t="n"/>
      <c r="T42" s="126">
        <f>IF(OR(R42="",S42=""),"",DATE(YEAR(S42),MONTH(S42)+R42,DAY(S42)))</f>
        <v/>
      </c>
      <c r="U42" s="144">
        <f>IF(T42="","",T42-AsOf)</f>
        <v/>
      </c>
      <c r="V42" s="107">
        <f>IF(T42="",IF(P42="","","Enter last-done date"),IF(U42&lt;0,"Overdue",IF(U42&lt;=30,"Due soon","OK")))</f>
        <v/>
      </c>
      <c r="W42" s="79">
        <f>IF(T42="","",IF(U42&lt;0,2,IF(U42&lt;=30,1,0)))</f>
        <v/>
      </c>
      <c r="X42" s="112">
        <f>IF(T42="","",T42)</f>
        <v/>
      </c>
      <c r="Y42" s="79">
        <f>IF(X42="","",IF(X42&lt;=AsOf+AlertDays,2,IF(X42&lt;=AsOf+30,3,"")))</f>
        <v/>
      </c>
      <c r="Z42" s="79">
        <f>IF(Y42="","",IF(U42&lt;0,"Maintenance overdue: ","Maintenance due: ")&amp;P42)</f>
        <v/>
      </c>
    </row>
    <row r="43" ht="20" customHeight="1">
      <c r="B43" s="72" t="n"/>
      <c r="C43" s="72" t="n"/>
      <c r="D43" s="72" t="n"/>
      <c r="E43" s="109" t="n"/>
      <c r="F43" s="74" t="n"/>
      <c r="G43" s="126">
        <f>IF(OR(E43="",F43=""),"",DATE(YEAR(E43),MONTH(E43)+ROUND(F43*12,0),DAY(E43)))</f>
        <v/>
      </c>
      <c r="H43" s="144">
        <f>IF(G43="","",G43-AsOf)</f>
        <v/>
      </c>
      <c r="I43" s="107">
        <f>IF(G43="","",IF(H43&lt;0,"Expired",IF(H43&lt;=90,"Expires soon","Active")))</f>
        <v/>
      </c>
      <c r="J43" s="72" t="n"/>
      <c r="K43" s="79">
        <f>IF(I43="","",IF(I43="Active",0,IF(I43="Expires soon",1,3)))</f>
        <v/>
      </c>
      <c r="L43" s="112">
        <f>IF(G43="","",IF(G43&lt;AsOf,"",G43))</f>
        <v/>
      </c>
      <c r="M43" s="79">
        <f>IF(L43="","",IF(L43&lt;=AsOf+AlertDays,2,IF(L43&lt;=AsOf+90,3,"")))</f>
        <v/>
      </c>
      <c r="N43" s="79">
        <f>IF(M43="","","Warranty expires in "&amp;H43&amp;" days: "&amp;B43&amp;IF(C43="",""," ("&amp;C43&amp;")")&amp;" — check for defects")</f>
        <v/>
      </c>
      <c r="P43" s="72" t="n"/>
      <c r="Q43" s="72" t="n"/>
      <c r="R43" s="89" t="n"/>
      <c r="S43" s="109" t="n"/>
      <c r="T43" s="126">
        <f>IF(OR(R43="",S43=""),"",DATE(YEAR(S43),MONTH(S43)+R43,DAY(S43)))</f>
        <v/>
      </c>
      <c r="U43" s="144">
        <f>IF(T43="","",T43-AsOf)</f>
        <v/>
      </c>
      <c r="V43" s="107">
        <f>IF(T43="",IF(P43="","","Enter last-done date"),IF(U43&lt;0,"Overdue",IF(U43&lt;=30,"Due soon","OK")))</f>
        <v/>
      </c>
      <c r="W43" s="79">
        <f>IF(T43="","",IF(U43&lt;0,2,IF(U43&lt;=30,1,0)))</f>
        <v/>
      </c>
      <c r="X43" s="112">
        <f>IF(T43="","",T43)</f>
        <v/>
      </c>
      <c r="Y43" s="79">
        <f>IF(X43="","",IF(X43&lt;=AsOf+AlertDays,2,IF(X43&lt;=AsOf+30,3,"")))</f>
        <v/>
      </c>
      <c r="Z43" s="79">
        <f>IF(Y43="","",IF(U43&lt;0,"Maintenance overdue: ","Maintenance due: ")&amp;P43)</f>
        <v/>
      </c>
    </row>
    <row r="44" ht="20" customHeight="1">
      <c r="B44" s="72" t="n"/>
      <c r="C44" s="72" t="n"/>
      <c r="D44" s="72" t="n"/>
      <c r="E44" s="109" t="n"/>
      <c r="F44" s="74" t="n"/>
      <c r="G44" s="126">
        <f>IF(OR(E44="",F44=""),"",DATE(YEAR(E44),MONTH(E44)+ROUND(F44*12,0),DAY(E44)))</f>
        <v/>
      </c>
      <c r="H44" s="144">
        <f>IF(G44="","",G44-AsOf)</f>
        <v/>
      </c>
      <c r="I44" s="107">
        <f>IF(G44="","",IF(H44&lt;0,"Expired",IF(H44&lt;=90,"Expires soon","Active")))</f>
        <v/>
      </c>
      <c r="J44" s="72" t="n"/>
      <c r="K44" s="79">
        <f>IF(I44="","",IF(I44="Active",0,IF(I44="Expires soon",1,3)))</f>
        <v/>
      </c>
      <c r="L44" s="112">
        <f>IF(G44="","",IF(G44&lt;AsOf,"",G44))</f>
        <v/>
      </c>
      <c r="M44" s="79">
        <f>IF(L44="","",IF(L44&lt;=AsOf+AlertDays,2,IF(L44&lt;=AsOf+90,3,"")))</f>
        <v/>
      </c>
      <c r="N44" s="79">
        <f>IF(M44="","","Warranty expires in "&amp;H44&amp;" days: "&amp;B44&amp;IF(C44="",""," ("&amp;C44&amp;")")&amp;" — check for defects")</f>
        <v/>
      </c>
      <c r="P44" s="72" t="n"/>
      <c r="Q44" s="72" t="n"/>
      <c r="R44" s="89" t="n"/>
      <c r="S44" s="109" t="n"/>
      <c r="T44" s="126">
        <f>IF(OR(R44="",S44=""),"",DATE(YEAR(S44),MONTH(S44)+R44,DAY(S44)))</f>
        <v/>
      </c>
      <c r="U44" s="144">
        <f>IF(T44="","",T44-AsOf)</f>
        <v/>
      </c>
      <c r="V44" s="107">
        <f>IF(T44="",IF(P44="","","Enter last-done date"),IF(U44&lt;0,"Overdue",IF(U44&lt;=30,"Due soon","OK")))</f>
        <v/>
      </c>
      <c r="W44" s="79">
        <f>IF(T44="","",IF(U44&lt;0,2,IF(U44&lt;=30,1,0)))</f>
        <v/>
      </c>
      <c r="X44" s="112">
        <f>IF(T44="","",T44)</f>
        <v/>
      </c>
      <c r="Y44" s="79">
        <f>IF(X44="","",IF(X44&lt;=AsOf+AlertDays,2,IF(X44&lt;=AsOf+30,3,"")))</f>
        <v/>
      </c>
      <c r="Z44" s="79">
        <f>IF(Y44="","",IF(U44&lt;0,"Maintenance overdue: ","Maintenance due: ")&amp;P44)</f>
        <v/>
      </c>
    </row>
    <row r="45" ht="20" customHeight="1">
      <c r="B45" s="72" t="n"/>
      <c r="C45" s="72" t="n"/>
      <c r="D45" s="72" t="n"/>
      <c r="E45" s="109" t="n"/>
      <c r="F45" s="74" t="n"/>
      <c r="G45" s="126">
        <f>IF(OR(E45="",F45=""),"",DATE(YEAR(E45),MONTH(E45)+ROUND(F45*12,0),DAY(E45)))</f>
        <v/>
      </c>
      <c r="H45" s="144">
        <f>IF(G45="","",G45-AsOf)</f>
        <v/>
      </c>
      <c r="I45" s="107">
        <f>IF(G45="","",IF(H45&lt;0,"Expired",IF(H45&lt;=90,"Expires soon","Active")))</f>
        <v/>
      </c>
      <c r="J45" s="72" t="n"/>
      <c r="K45" s="79">
        <f>IF(I45="","",IF(I45="Active",0,IF(I45="Expires soon",1,3)))</f>
        <v/>
      </c>
      <c r="L45" s="112">
        <f>IF(G45="","",IF(G45&lt;AsOf,"",G45))</f>
        <v/>
      </c>
      <c r="M45" s="79">
        <f>IF(L45="","",IF(L45&lt;=AsOf+AlertDays,2,IF(L45&lt;=AsOf+90,3,"")))</f>
        <v/>
      </c>
      <c r="N45" s="79">
        <f>IF(M45="","","Warranty expires in "&amp;H45&amp;" days: "&amp;B45&amp;IF(C45="",""," ("&amp;C45&amp;")")&amp;" — check for defects")</f>
        <v/>
      </c>
      <c r="P45" s="72" t="n"/>
      <c r="Q45" s="72" t="n"/>
      <c r="R45" s="89" t="n"/>
      <c r="S45" s="109" t="n"/>
      <c r="T45" s="126">
        <f>IF(OR(R45="",S45=""),"",DATE(YEAR(S45),MONTH(S45)+R45,DAY(S45)))</f>
        <v/>
      </c>
      <c r="U45" s="144">
        <f>IF(T45="","",T45-AsOf)</f>
        <v/>
      </c>
      <c r="V45" s="107">
        <f>IF(T45="",IF(P45="","","Enter last-done date"),IF(U45&lt;0,"Overdue",IF(U45&lt;=30,"Due soon","OK")))</f>
        <v/>
      </c>
      <c r="W45" s="79">
        <f>IF(T45="","",IF(U45&lt;0,2,IF(U45&lt;=30,1,0)))</f>
        <v/>
      </c>
      <c r="X45" s="112">
        <f>IF(T45="","",T45)</f>
        <v/>
      </c>
      <c r="Y45" s="79">
        <f>IF(X45="","",IF(X45&lt;=AsOf+AlertDays,2,IF(X45&lt;=AsOf+30,3,"")))</f>
        <v/>
      </c>
      <c r="Z45" s="79">
        <f>IF(Y45="","",IF(U45&lt;0,"Maintenance overdue: ","Maintenance due: ")&amp;P45)</f>
        <v/>
      </c>
    </row>
    <row r="46" ht="20" customHeight="1">
      <c r="B46" s="72" t="n"/>
      <c r="C46" s="72" t="n"/>
      <c r="D46" s="72" t="n"/>
      <c r="E46" s="109" t="n"/>
      <c r="F46" s="74" t="n"/>
      <c r="G46" s="126">
        <f>IF(OR(E46="",F46=""),"",DATE(YEAR(E46),MONTH(E46)+ROUND(F46*12,0),DAY(E46)))</f>
        <v/>
      </c>
      <c r="H46" s="144">
        <f>IF(G46="","",G46-AsOf)</f>
        <v/>
      </c>
      <c r="I46" s="107">
        <f>IF(G46="","",IF(H46&lt;0,"Expired",IF(H46&lt;=90,"Expires soon","Active")))</f>
        <v/>
      </c>
      <c r="J46" s="72" t="n"/>
      <c r="K46" s="79">
        <f>IF(I46="","",IF(I46="Active",0,IF(I46="Expires soon",1,3)))</f>
        <v/>
      </c>
      <c r="L46" s="112">
        <f>IF(G46="","",IF(G46&lt;AsOf,"",G46))</f>
        <v/>
      </c>
      <c r="M46" s="79">
        <f>IF(L46="","",IF(L46&lt;=AsOf+AlertDays,2,IF(L46&lt;=AsOf+90,3,"")))</f>
        <v/>
      </c>
      <c r="N46" s="79">
        <f>IF(M46="","","Warranty expires in "&amp;H46&amp;" days: "&amp;B46&amp;IF(C46="",""," ("&amp;C46&amp;")")&amp;" — check for defects")</f>
        <v/>
      </c>
      <c r="P46" s="72" t="n"/>
      <c r="Q46" s="72" t="n"/>
      <c r="R46" s="89" t="n"/>
      <c r="S46" s="109" t="n"/>
      <c r="T46" s="126">
        <f>IF(OR(R46="",S46=""),"",DATE(YEAR(S46),MONTH(S46)+R46,DAY(S46)))</f>
        <v/>
      </c>
      <c r="U46" s="144">
        <f>IF(T46="","",T46-AsOf)</f>
        <v/>
      </c>
      <c r="V46" s="107">
        <f>IF(T46="",IF(P46="","","Enter last-done date"),IF(U46&lt;0,"Overdue",IF(U46&lt;=30,"Due soon","OK")))</f>
        <v/>
      </c>
      <c r="W46" s="79">
        <f>IF(T46="","",IF(U46&lt;0,2,IF(U46&lt;=30,1,0)))</f>
        <v/>
      </c>
      <c r="X46" s="112">
        <f>IF(T46="","",T46)</f>
        <v/>
      </c>
      <c r="Y46" s="79">
        <f>IF(X46="","",IF(X46&lt;=AsOf+AlertDays,2,IF(X46&lt;=AsOf+30,3,"")))</f>
        <v/>
      </c>
      <c r="Z46" s="79">
        <f>IF(Y46="","",IF(U46&lt;0,"Maintenance overdue: ","Maintenance due: ")&amp;P46)</f>
        <v/>
      </c>
    </row>
    <row r="47" ht="20" customHeight="1">
      <c r="B47" s="72" t="n"/>
      <c r="C47" s="72" t="n"/>
      <c r="D47" s="72" t="n"/>
      <c r="E47" s="109" t="n"/>
      <c r="F47" s="74" t="n"/>
      <c r="G47" s="126">
        <f>IF(OR(E47="",F47=""),"",DATE(YEAR(E47),MONTH(E47)+ROUND(F47*12,0),DAY(E47)))</f>
        <v/>
      </c>
      <c r="H47" s="144">
        <f>IF(G47="","",G47-AsOf)</f>
        <v/>
      </c>
      <c r="I47" s="107">
        <f>IF(G47="","",IF(H47&lt;0,"Expired",IF(H47&lt;=90,"Expires soon","Active")))</f>
        <v/>
      </c>
      <c r="J47" s="72" t="n"/>
      <c r="K47" s="79">
        <f>IF(I47="","",IF(I47="Active",0,IF(I47="Expires soon",1,3)))</f>
        <v/>
      </c>
      <c r="L47" s="112">
        <f>IF(G47="","",IF(G47&lt;AsOf,"",G47))</f>
        <v/>
      </c>
      <c r="M47" s="79">
        <f>IF(L47="","",IF(L47&lt;=AsOf+AlertDays,2,IF(L47&lt;=AsOf+90,3,"")))</f>
        <v/>
      </c>
      <c r="N47" s="79">
        <f>IF(M47="","","Warranty expires in "&amp;H47&amp;" days: "&amp;B47&amp;IF(C47="",""," ("&amp;C47&amp;")")&amp;" — check for defects")</f>
        <v/>
      </c>
      <c r="P47" s="72" t="n"/>
      <c r="Q47" s="72" t="n"/>
      <c r="R47" s="89" t="n"/>
      <c r="S47" s="109" t="n"/>
      <c r="T47" s="126">
        <f>IF(OR(R47="",S47=""),"",DATE(YEAR(S47),MONTH(S47)+R47,DAY(S47)))</f>
        <v/>
      </c>
      <c r="U47" s="144">
        <f>IF(T47="","",T47-AsOf)</f>
        <v/>
      </c>
      <c r="V47" s="107">
        <f>IF(T47="",IF(P47="","","Enter last-done date"),IF(U47&lt;0,"Overdue",IF(U47&lt;=30,"Due soon","OK")))</f>
        <v/>
      </c>
      <c r="W47" s="79">
        <f>IF(T47="","",IF(U47&lt;0,2,IF(U47&lt;=30,1,0)))</f>
        <v/>
      </c>
      <c r="X47" s="112">
        <f>IF(T47="","",T47)</f>
        <v/>
      </c>
      <c r="Y47" s="79">
        <f>IF(X47="","",IF(X47&lt;=AsOf+AlertDays,2,IF(X47&lt;=AsOf+30,3,"")))</f>
        <v/>
      </c>
      <c r="Z47" s="79">
        <f>IF(Y47="","",IF(U47&lt;0,"Maintenance overdue: ","Maintenance due: ")&amp;P47)</f>
        <v/>
      </c>
    </row>
    <row r="48" ht="20" customHeight="1">
      <c r="B48" s="72" t="n"/>
      <c r="C48" s="72" t="n"/>
      <c r="D48" s="72" t="n"/>
      <c r="E48" s="109" t="n"/>
      <c r="F48" s="74" t="n"/>
      <c r="G48" s="126">
        <f>IF(OR(E48="",F48=""),"",DATE(YEAR(E48),MONTH(E48)+ROUND(F48*12,0),DAY(E48)))</f>
        <v/>
      </c>
      <c r="H48" s="144">
        <f>IF(G48="","",G48-AsOf)</f>
        <v/>
      </c>
      <c r="I48" s="107">
        <f>IF(G48="","",IF(H48&lt;0,"Expired",IF(H48&lt;=90,"Expires soon","Active")))</f>
        <v/>
      </c>
      <c r="J48" s="72" t="n"/>
      <c r="K48" s="79">
        <f>IF(I48="","",IF(I48="Active",0,IF(I48="Expires soon",1,3)))</f>
        <v/>
      </c>
      <c r="L48" s="112">
        <f>IF(G48="","",IF(G48&lt;AsOf,"",G48))</f>
        <v/>
      </c>
      <c r="M48" s="79">
        <f>IF(L48="","",IF(L48&lt;=AsOf+AlertDays,2,IF(L48&lt;=AsOf+90,3,"")))</f>
        <v/>
      </c>
      <c r="N48" s="79">
        <f>IF(M48="","","Warranty expires in "&amp;H48&amp;" days: "&amp;B48&amp;IF(C48="",""," ("&amp;C48&amp;")")&amp;" — check for defects")</f>
        <v/>
      </c>
      <c r="P48" s="72" t="n"/>
      <c r="Q48" s="72" t="n"/>
      <c r="R48" s="89" t="n"/>
      <c r="S48" s="109" t="n"/>
      <c r="T48" s="126">
        <f>IF(OR(R48="",S48=""),"",DATE(YEAR(S48),MONTH(S48)+R48,DAY(S48)))</f>
        <v/>
      </c>
      <c r="U48" s="144">
        <f>IF(T48="","",T48-AsOf)</f>
        <v/>
      </c>
      <c r="V48" s="107">
        <f>IF(T48="",IF(P48="","","Enter last-done date"),IF(U48&lt;0,"Overdue",IF(U48&lt;=30,"Due soon","OK")))</f>
        <v/>
      </c>
      <c r="W48" s="79">
        <f>IF(T48="","",IF(U48&lt;0,2,IF(U48&lt;=30,1,0)))</f>
        <v/>
      </c>
      <c r="X48" s="112">
        <f>IF(T48="","",T48)</f>
        <v/>
      </c>
      <c r="Y48" s="79">
        <f>IF(X48="","",IF(X48&lt;=AsOf+AlertDays,2,IF(X48&lt;=AsOf+30,3,"")))</f>
        <v/>
      </c>
      <c r="Z48" s="79">
        <f>IF(Y48="","",IF(U48&lt;0,"Maintenance overdue: ","Maintenance due: ")&amp;P48)</f>
        <v/>
      </c>
    </row>
    <row r="49" ht="20" customHeight="1">
      <c r="B49" s="72" t="n"/>
      <c r="C49" s="72" t="n"/>
      <c r="D49" s="72" t="n"/>
      <c r="E49" s="109" t="n"/>
      <c r="F49" s="74" t="n"/>
      <c r="G49" s="126">
        <f>IF(OR(E49="",F49=""),"",DATE(YEAR(E49),MONTH(E49)+ROUND(F49*12,0),DAY(E49)))</f>
        <v/>
      </c>
      <c r="H49" s="144">
        <f>IF(G49="","",G49-AsOf)</f>
        <v/>
      </c>
      <c r="I49" s="107">
        <f>IF(G49="","",IF(H49&lt;0,"Expired",IF(H49&lt;=90,"Expires soon","Active")))</f>
        <v/>
      </c>
      <c r="J49" s="72" t="n"/>
      <c r="K49" s="79">
        <f>IF(I49="","",IF(I49="Active",0,IF(I49="Expires soon",1,3)))</f>
        <v/>
      </c>
      <c r="L49" s="112">
        <f>IF(G49="","",IF(G49&lt;AsOf,"",G49))</f>
        <v/>
      </c>
      <c r="M49" s="79">
        <f>IF(L49="","",IF(L49&lt;=AsOf+AlertDays,2,IF(L49&lt;=AsOf+90,3,"")))</f>
        <v/>
      </c>
      <c r="N49" s="79">
        <f>IF(M49="","","Warranty expires in "&amp;H49&amp;" days: "&amp;B49&amp;IF(C49="",""," ("&amp;C49&amp;")")&amp;" — check for defects")</f>
        <v/>
      </c>
      <c r="P49" s="72" t="n"/>
      <c r="Q49" s="72" t="n"/>
      <c r="R49" s="89" t="n"/>
      <c r="S49" s="109" t="n"/>
      <c r="T49" s="126">
        <f>IF(OR(R49="",S49=""),"",DATE(YEAR(S49),MONTH(S49)+R49,DAY(S49)))</f>
        <v/>
      </c>
      <c r="U49" s="144">
        <f>IF(T49="","",T49-AsOf)</f>
        <v/>
      </c>
      <c r="V49" s="107">
        <f>IF(T49="",IF(P49="","","Enter last-done date"),IF(U49&lt;0,"Overdue",IF(U49&lt;=30,"Due soon","OK")))</f>
        <v/>
      </c>
      <c r="W49" s="79">
        <f>IF(T49="","",IF(U49&lt;0,2,IF(U49&lt;=30,1,0)))</f>
        <v/>
      </c>
      <c r="X49" s="112">
        <f>IF(T49="","",T49)</f>
        <v/>
      </c>
      <c r="Y49" s="79">
        <f>IF(X49="","",IF(X49&lt;=AsOf+AlertDays,2,IF(X49&lt;=AsOf+30,3,"")))</f>
        <v/>
      </c>
      <c r="Z49" s="79">
        <f>IF(Y49="","",IF(U49&lt;0,"Maintenance overdue: ","Maintenance due: ")&amp;P49)</f>
        <v/>
      </c>
    </row>
    <row r="50" ht="20" customHeight="1">
      <c r="B50" s="72" t="n"/>
      <c r="C50" s="72" t="n"/>
      <c r="D50" s="72" t="n"/>
      <c r="E50" s="109" t="n"/>
      <c r="F50" s="74" t="n"/>
      <c r="G50" s="126">
        <f>IF(OR(E50="",F50=""),"",DATE(YEAR(E50),MONTH(E50)+ROUND(F50*12,0),DAY(E50)))</f>
        <v/>
      </c>
      <c r="H50" s="144">
        <f>IF(G50="","",G50-AsOf)</f>
        <v/>
      </c>
      <c r="I50" s="107">
        <f>IF(G50="","",IF(H50&lt;0,"Expired",IF(H50&lt;=90,"Expires soon","Active")))</f>
        <v/>
      </c>
      <c r="J50" s="72" t="n"/>
      <c r="K50" s="79">
        <f>IF(I50="","",IF(I50="Active",0,IF(I50="Expires soon",1,3)))</f>
        <v/>
      </c>
      <c r="L50" s="112">
        <f>IF(G50="","",IF(G50&lt;AsOf,"",G50))</f>
        <v/>
      </c>
      <c r="M50" s="79">
        <f>IF(L50="","",IF(L50&lt;=AsOf+AlertDays,2,IF(L50&lt;=AsOf+90,3,"")))</f>
        <v/>
      </c>
      <c r="N50" s="79">
        <f>IF(M50="","","Warranty expires in "&amp;H50&amp;" days: "&amp;B50&amp;IF(C50="",""," ("&amp;C50&amp;")")&amp;" — check for defects")</f>
        <v/>
      </c>
      <c r="P50" s="72" t="n"/>
      <c r="Q50" s="72" t="n"/>
      <c r="R50" s="89" t="n"/>
      <c r="S50" s="109" t="n"/>
      <c r="T50" s="126">
        <f>IF(OR(R50="",S50=""),"",DATE(YEAR(S50),MONTH(S50)+R50,DAY(S50)))</f>
        <v/>
      </c>
      <c r="U50" s="144">
        <f>IF(T50="","",T50-AsOf)</f>
        <v/>
      </c>
      <c r="V50" s="107">
        <f>IF(T50="",IF(P50="","","Enter last-done date"),IF(U50&lt;0,"Overdue",IF(U50&lt;=30,"Due soon","OK")))</f>
        <v/>
      </c>
      <c r="W50" s="79">
        <f>IF(T50="","",IF(U50&lt;0,2,IF(U50&lt;=30,1,0)))</f>
        <v/>
      </c>
      <c r="X50" s="112">
        <f>IF(T50="","",T50)</f>
        <v/>
      </c>
      <c r="Y50" s="79">
        <f>IF(X50="","",IF(X50&lt;=AsOf+AlertDays,2,IF(X50&lt;=AsOf+30,3,"")))</f>
        <v/>
      </c>
      <c r="Z50" s="79">
        <f>IF(Y50="","",IF(U50&lt;0,"Maintenance overdue: ","Maintenance due: ")&amp;P50)</f>
        <v/>
      </c>
    </row>
    <row r="51" ht="20" customHeight="1">
      <c r="B51" s="72" t="n"/>
      <c r="C51" s="72" t="n"/>
      <c r="D51" s="72" t="n"/>
      <c r="E51" s="109" t="n"/>
      <c r="F51" s="74" t="n"/>
      <c r="G51" s="126">
        <f>IF(OR(E51="",F51=""),"",DATE(YEAR(E51),MONTH(E51)+ROUND(F51*12,0),DAY(E51)))</f>
        <v/>
      </c>
      <c r="H51" s="144">
        <f>IF(G51="","",G51-AsOf)</f>
        <v/>
      </c>
      <c r="I51" s="107">
        <f>IF(G51="","",IF(H51&lt;0,"Expired",IF(H51&lt;=90,"Expires soon","Active")))</f>
        <v/>
      </c>
      <c r="J51" s="72" t="n"/>
      <c r="K51" s="79">
        <f>IF(I51="","",IF(I51="Active",0,IF(I51="Expires soon",1,3)))</f>
        <v/>
      </c>
      <c r="L51" s="112">
        <f>IF(G51="","",IF(G51&lt;AsOf,"",G51))</f>
        <v/>
      </c>
      <c r="M51" s="79">
        <f>IF(L51="","",IF(L51&lt;=AsOf+AlertDays,2,IF(L51&lt;=AsOf+90,3,"")))</f>
        <v/>
      </c>
      <c r="N51" s="79">
        <f>IF(M51="","","Warranty expires in "&amp;H51&amp;" days: "&amp;B51&amp;IF(C51="",""," ("&amp;C51&amp;")")&amp;" — check for defects")</f>
        <v/>
      </c>
      <c r="P51" s="72" t="n"/>
      <c r="Q51" s="72" t="n"/>
      <c r="R51" s="89" t="n"/>
      <c r="S51" s="109" t="n"/>
      <c r="T51" s="126">
        <f>IF(OR(R51="",S51=""),"",DATE(YEAR(S51),MONTH(S51)+R51,DAY(S51)))</f>
        <v/>
      </c>
      <c r="U51" s="144">
        <f>IF(T51="","",T51-AsOf)</f>
        <v/>
      </c>
      <c r="V51" s="107">
        <f>IF(T51="",IF(P51="","","Enter last-done date"),IF(U51&lt;0,"Overdue",IF(U51&lt;=30,"Due soon","OK")))</f>
        <v/>
      </c>
      <c r="W51" s="79">
        <f>IF(T51="","",IF(U51&lt;0,2,IF(U51&lt;=30,1,0)))</f>
        <v/>
      </c>
      <c r="X51" s="112">
        <f>IF(T51="","",T51)</f>
        <v/>
      </c>
      <c r="Y51" s="79">
        <f>IF(X51="","",IF(X51&lt;=AsOf+AlertDays,2,IF(X51&lt;=AsOf+30,3,"")))</f>
        <v/>
      </c>
      <c r="Z51" s="79">
        <f>IF(Y51="","",IF(U51&lt;0,"Maintenance overdue: ","Maintenance due: ")&amp;P51)</f>
        <v/>
      </c>
    </row>
    <row r="52" ht="20" customHeight="1">
      <c r="B52" s="72" t="n"/>
      <c r="C52" s="72" t="n"/>
      <c r="D52" s="72" t="n"/>
      <c r="E52" s="109" t="n"/>
      <c r="F52" s="74" t="n"/>
      <c r="G52" s="126">
        <f>IF(OR(E52="",F52=""),"",DATE(YEAR(E52),MONTH(E52)+ROUND(F52*12,0),DAY(E52)))</f>
        <v/>
      </c>
      <c r="H52" s="144">
        <f>IF(G52="","",G52-AsOf)</f>
        <v/>
      </c>
      <c r="I52" s="107">
        <f>IF(G52="","",IF(H52&lt;0,"Expired",IF(H52&lt;=90,"Expires soon","Active")))</f>
        <v/>
      </c>
      <c r="J52" s="72" t="n"/>
      <c r="K52" s="79">
        <f>IF(I52="","",IF(I52="Active",0,IF(I52="Expires soon",1,3)))</f>
        <v/>
      </c>
      <c r="L52" s="112">
        <f>IF(G52="","",IF(G52&lt;AsOf,"",G52))</f>
        <v/>
      </c>
      <c r="M52" s="79">
        <f>IF(L52="","",IF(L52&lt;=AsOf+AlertDays,2,IF(L52&lt;=AsOf+90,3,"")))</f>
        <v/>
      </c>
      <c r="N52" s="79">
        <f>IF(M52="","","Warranty expires in "&amp;H52&amp;" days: "&amp;B52&amp;IF(C52="",""," ("&amp;C52&amp;")")&amp;" — check for defects")</f>
        <v/>
      </c>
      <c r="P52" s="72" t="n"/>
      <c r="Q52" s="72" t="n"/>
      <c r="R52" s="89" t="n"/>
      <c r="S52" s="109" t="n"/>
      <c r="T52" s="126">
        <f>IF(OR(R52="",S52=""),"",DATE(YEAR(S52),MONTH(S52)+R52,DAY(S52)))</f>
        <v/>
      </c>
      <c r="U52" s="144">
        <f>IF(T52="","",T52-AsOf)</f>
        <v/>
      </c>
      <c r="V52" s="107">
        <f>IF(T52="",IF(P52="","","Enter last-done date"),IF(U52&lt;0,"Overdue",IF(U52&lt;=30,"Due soon","OK")))</f>
        <v/>
      </c>
      <c r="W52" s="79">
        <f>IF(T52="","",IF(U52&lt;0,2,IF(U52&lt;=30,1,0)))</f>
        <v/>
      </c>
      <c r="X52" s="112">
        <f>IF(T52="","",T52)</f>
        <v/>
      </c>
      <c r="Y52" s="79">
        <f>IF(X52="","",IF(X52&lt;=AsOf+AlertDays,2,IF(X52&lt;=AsOf+30,3,"")))</f>
        <v/>
      </c>
      <c r="Z52" s="79">
        <f>IF(Y52="","",IF(U52&lt;0,"Maintenance overdue: ","Maintenance due: ")&amp;P52)</f>
        <v/>
      </c>
    </row>
    <row r="53" ht="20" customHeight="1">
      <c r="B53" s="72" t="n"/>
      <c r="C53" s="72" t="n"/>
      <c r="D53" s="72" t="n"/>
      <c r="E53" s="109" t="n"/>
      <c r="F53" s="74" t="n"/>
      <c r="G53" s="126">
        <f>IF(OR(E53="",F53=""),"",DATE(YEAR(E53),MONTH(E53)+ROUND(F53*12,0),DAY(E53)))</f>
        <v/>
      </c>
      <c r="H53" s="144">
        <f>IF(G53="","",G53-AsOf)</f>
        <v/>
      </c>
      <c r="I53" s="107">
        <f>IF(G53="","",IF(H53&lt;0,"Expired",IF(H53&lt;=90,"Expires soon","Active")))</f>
        <v/>
      </c>
      <c r="J53" s="72" t="n"/>
      <c r="K53" s="79">
        <f>IF(I53="","",IF(I53="Active",0,IF(I53="Expires soon",1,3)))</f>
        <v/>
      </c>
      <c r="L53" s="112">
        <f>IF(G53="","",IF(G53&lt;AsOf,"",G53))</f>
        <v/>
      </c>
      <c r="M53" s="79">
        <f>IF(L53="","",IF(L53&lt;=AsOf+AlertDays,2,IF(L53&lt;=AsOf+90,3,"")))</f>
        <v/>
      </c>
      <c r="N53" s="79">
        <f>IF(M53="","","Warranty expires in "&amp;H53&amp;" days: "&amp;B53&amp;IF(C53="",""," ("&amp;C53&amp;")")&amp;" — check for defects")</f>
        <v/>
      </c>
      <c r="P53" s="72" t="n"/>
      <c r="Q53" s="72" t="n"/>
      <c r="R53" s="89" t="n"/>
      <c r="S53" s="109" t="n"/>
      <c r="T53" s="126">
        <f>IF(OR(R53="",S53=""),"",DATE(YEAR(S53),MONTH(S53)+R53,DAY(S53)))</f>
        <v/>
      </c>
      <c r="U53" s="144">
        <f>IF(T53="","",T53-AsOf)</f>
        <v/>
      </c>
      <c r="V53" s="107">
        <f>IF(T53="",IF(P53="","","Enter last-done date"),IF(U53&lt;0,"Overdue",IF(U53&lt;=30,"Due soon","OK")))</f>
        <v/>
      </c>
      <c r="W53" s="79">
        <f>IF(T53="","",IF(U53&lt;0,2,IF(U53&lt;=30,1,0)))</f>
        <v/>
      </c>
      <c r="X53" s="112">
        <f>IF(T53="","",T53)</f>
        <v/>
      </c>
      <c r="Y53" s="79">
        <f>IF(X53="","",IF(X53&lt;=AsOf+AlertDays,2,IF(X53&lt;=AsOf+30,3,"")))</f>
        <v/>
      </c>
      <c r="Z53" s="79">
        <f>IF(Y53="","",IF(U53&lt;0,"Maintenance overdue: ","Maintenance due: ")&amp;P53)</f>
        <v/>
      </c>
    </row>
    <row r="54" ht="20" customHeight="1">
      <c r="B54" s="72" t="n"/>
      <c r="C54" s="72" t="n"/>
      <c r="D54" s="72" t="n"/>
      <c r="E54" s="109" t="n"/>
      <c r="F54" s="74" t="n"/>
      <c r="G54" s="126">
        <f>IF(OR(E54="",F54=""),"",DATE(YEAR(E54),MONTH(E54)+ROUND(F54*12,0),DAY(E54)))</f>
        <v/>
      </c>
      <c r="H54" s="144">
        <f>IF(G54="","",G54-AsOf)</f>
        <v/>
      </c>
      <c r="I54" s="107">
        <f>IF(G54="","",IF(H54&lt;0,"Expired",IF(H54&lt;=90,"Expires soon","Active")))</f>
        <v/>
      </c>
      <c r="J54" s="72" t="n"/>
      <c r="K54" s="79">
        <f>IF(I54="","",IF(I54="Active",0,IF(I54="Expires soon",1,3)))</f>
        <v/>
      </c>
      <c r="L54" s="112">
        <f>IF(G54="","",IF(G54&lt;AsOf,"",G54))</f>
        <v/>
      </c>
      <c r="M54" s="79">
        <f>IF(L54="","",IF(L54&lt;=AsOf+AlertDays,2,IF(L54&lt;=AsOf+90,3,"")))</f>
        <v/>
      </c>
      <c r="N54" s="79">
        <f>IF(M54="","","Warranty expires in "&amp;H54&amp;" days: "&amp;B54&amp;IF(C54="",""," ("&amp;C54&amp;")")&amp;" — check for defects")</f>
        <v/>
      </c>
      <c r="P54" s="72" t="n"/>
      <c r="Q54" s="72" t="n"/>
      <c r="R54" s="89" t="n"/>
      <c r="S54" s="109" t="n"/>
      <c r="T54" s="126">
        <f>IF(OR(R54="",S54=""),"",DATE(YEAR(S54),MONTH(S54)+R54,DAY(S54)))</f>
        <v/>
      </c>
      <c r="U54" s="144">
        <f>IF(T54="","",T54-AsOf)</f>
        <v/>
      </c>
      <c r="V54" s="107">
        <f>IF(T54="",IF(P54="","","Enter last-done date"),IF(U54&lt;0,"Overdue",IF(U54&lt;=30,"Due soon","OK")))</f>
        <v/>
      </c>
      <c r="W54" s="79">
        <f>IF(T54="","",IF(U54&lt;0,2,IF(U54&lt;=30,1,0)))</f>
        <v/>
      </c>
      <c r="X54" s="112">
        <f>IF(T54="","",T54)</f>
        <v/>
      </c>
      <c r="Y54" s="79">
        <f>IF(X54="","",IF(X54&lt;=AsOf+AlertDays,2,IF(X54&lt;=AsOf+30,3,"")))</f>
        <v/>
      </c>
      <c r="Z54" s="79">
        <f>IF(Y54="","",IF(U54&lt;0,"Maintenance overdue: ","Maintenance due: ")&amp;P54)</f>
        <v/>
      </c>
    </row>
    <row r="55" ht="20" customHeight="1">
      <c r="B55" s="72" t="n"/>
      <c r="C55" s="72" t="n"/>
      <c r="D55" s="72" t="n"/>
      <c r="E55" s="109" t="n"/>
      <c r="F55" s="74" t="n"/>
      <c r="G55" s="126">
        <f>IF(OR(E55="",F55=""),"",DATE(YEAR(E55),MONTH(E55)+ROUND(F55*12,0),DAY(E55)))</f>
        <v/>
      </c>
      <c r="H55" s="144">
        <f>IF(G55="","",G55-AsOf)</f>
        <v/>
      </c>
      <c r="I55" s="107">
        <f>IF(G55="","",IF(H55&lt;0,"Expired",IF(H55&lt;=90,"Expires soon","Active")))</f>
        <v/>
      </c>
      <c r="J55" s="72" t="n"/>
      <c r="K55" s="79">
        <f>IF(I55="","",IF(I55="Active",0,IF(I55="Expires soon",1,3)))</f>
        <v/>
      </c>
      <c r="L55" s="112">
        <f>IF(G55="","",IF(G55&lt;AsOf,"",G55))</f>
        <v/>
      </c>
      <c r="M55" s="79">
        <f>IF(L55="","",IF(L55&lt;=AsOf+AlertDays,2,IF(L55&lt;=AsOf+90,3,"")))</f>
        <v/>
      </c>
      <c r="N55" s="79">
        <f>IF(M55="","","Warranty expires in "&amp;H55&amp;" days: "&amp;B55&amp;IF(C55="",""," ("&amp;C55&amp;")")&amp;" — check for defects")</f>
        <v/>
      </c>
      <c r="P55" s="72" t="n"/>
      <c r="Q55" s="72" t="n"/>
      <c r="R55" s="89" t="n"/>
      <c r="S55" s="109" t="n"/>
      <c r="T55" s="126">
        <f>IF(OR(R55="",S55=""),"",DATE(YEAR(S55),MONTH(S55)+R55,DAY(S55)))</f>
        <v/>
      </c>
      <c r="U55" s="144">
        <f>IF(T55="","",T55-AsOf)</f>
        <v/>
      </c>
      <c r="V55" s="107">
        <f>IF(T55="",IF(P55="","","Enter last-done date"),IF(U55&lt;0,"Overdue",IF(U55&lt;=30,"Due soon","OK")))</f>
        <v/>
      </c>
      <c r="W55" s="79">
        <f>IF(T55="","",IF(U55&lt;0,2,IF(U55&lt;=30,1,0)))</f>
        <v/>
      </c>
      <c r="X55" s="112">
        <f>IF(T55="","",T55)</f>
        <v/>
      </c>
      <c r="Y55" s="79">
        <f>IF(X55="","",IF(X55&lt;=AsOf+AlertDays,2,IF(X55&lt;=AsOf+30,3,"")))</f>
        <v/>
      </c>
      <c r="Z55" s="79">
        <f>IF(Y55="","",IF(U55&lt;0,"Maintenance overdue: ","Maintenance due: ")&amp;P55)</f>
        <v/>
      </c>
    </row>
    <row r="56" ht="20" customHeight="1">
      <c r="B56" s="72" t="n"/>
      <c r="C56" s="72" t="n"/>
      <c r="D56" s="72" t="n"/>
      <c r="E56" s="109" t="n"/>
      <c r="F56" s="74" t="n"/>
      <c r="G56" s="126">
        <f>IF(OR(E56="",F56=""),"",DATE(YEAR(E56),MONTH(E56)+ROUND(F56*12,0),DAY(E56)))</f>
        <v/>
      </c>
      <c r="H56" s="144">
        <f>IF(G56="","",G56-AsOf)</f>
        <v/>
      </c>
      <c r="I56" s="107">
        <f>IF(G56="","",IF(H56&lt;0,"Expired",IF(H56&lt;=90,"Expires soon","Active")))</f>
        <v/>
      </c>
      <c r="J56" s="72" t="n"/>
      <c r="K56" s="79">
        <f>IF(I56="","",IF(I56="Active",0,IF(I56="Expires soon",1,3)))</f>
        <v/>
      </c>
      <c r="L56" s="112">
        <f>IF(G56="","",IF(G56&lt;AsOf,"",G56))</f>
        <v/>
      </c>
      <c r="M56" s="79">
        <f>IF(L56="","",IF(L56&lt;=AsOf+AlertDays,2,IF(L56&lt;=AsOf+90,3,"")))</f>
        <v/>
      </c>
      <c r="N56" s="79">
        <f>IF(M56="","","Warranty expires in "&amp;H56&amp;" days: "&amp;B56&amp;IF(C56="",""," ("&amp;C56&amp;")")&amp;" — check for defects")</f>
        <v/>
      </c>
      <c r="P56" s="72" t="n"/>
      <c r="Q56" s="72" t="n"/>
      <c r="R56" s="89" t="n"/>
      <c r="S56" s="109" t="n"/>
      <c r="T56" s="126">
        <f>IF(OR(R56="",S56=""),"",DATE(YEAR(S56),MONTH(S56)+R56,DAY(S56)))</f>
        <v/>
      </c>
      <c r="U56" s="144">
        <f>IF(T56="","",T56-AsOf)</f>
        <v/>
      </c>
      <c r="V56" s="107">
        <f>IF(T56="",IF(P56="","","Enter last-done date"),IF(U56&lt;0,"Overdue",IF(U56&lt;=30,"Due soon","OK")))</f>
        <v/>
      </c>
      <c r="W56" s="79">
        <f>IF(T56="","",IF(U56&lt;0,2,IF(U56&lt;=30,1,0)))</f>
        <v/>
      </c>
      <c r="X56" s="112">
        <f>IF(T56="","",T56)</f>
        <v/>
      </c>
      <c r="Y56" s="79">
        <f>IF(X56="","",IF(X56&lt;=AsOf+AlertDays,2,IF(X56&lt;=AsOf+30,3,"")))</f>
        <v/>
      </c>
      <c r="Z56" s="79">
        <f>IF(Y56="","",IF(U56&lt;0,"Maintenance overdue: ","Maintenance due: ")&amp;P56)</f>
        <v/>
      </c>
    </row>
    <row r="57" ht="20" customHeight="1">
      <c r="B57" s="72" t="n"/>
      <c r="C57" s="72" t="n"/>
      <c r="D57" s="72" t="n"/>
      <c r="E57" s="109" t="n"/>
      <c r="F57" s="74" t="n"/>
      <c r="G57" s="126">
        <f>IF(OR(E57="",F57=""),"",DATE(YEAR(E57),MONTH(E57)+ROUND(F57*12,0),DAY(E57)))</f>
        <v/>
      </c>
      <c r="H57" s="144">
        <f>IF(G57="","",G57-AsOf)</f>
        <v/>
      </c>
      <c r="I57" s="107">
        <f>IF(G57="","",IF(H57&lt;0,"Expired",IF(H57&lt;=90,"Expires soon","Active")))</f>
        <v/>
      </c>
      <c r="J57" s="72" t="n"/>
      <c r="K57" s="79">
        <f>IF(I57="","",IF(I57="Active",0,IF(I57="Expires soon",1,3)))</f>
        <v/>
      </c>
      <c r="L57" s="112">
        <f>IF(G57="","",IF(G57&lt;AsOf,"",G57))</f>
        <v/>
      </c>
      <c r="M57" s="79">
        <f>IF(L57="","",IF(L57&lt;=AsOf+AlertDays,2,IF(L57&lt;=AsOf+90,3,"")))</f>
        <v/>
      </c>
      <c r="N57" s="79">
        <f>IF(M57="","","Warranty expires in "&amp;H57&amp;" days: "&amp;B57&amp;IF(C57="",""," ("&amp;C57&amp;")")&amp;" — check for defects")</f>
        <v/>
      </c>
      <c r="P57" s="72" t="n"/>
      <c r="Q57" s="72" t="n"/>
      <c r="R57" s="89" t="n"/>
      <c r="S57" s="109" t="n"/>
      <c r="T57" s="126">
        <f>IF(OR(R57="",S57=""),"",DATE(YEAR(S57),MONTH(S57)+R57,DAY(S57)))</f>
        <v/>
      </c>
      <c r="U57" s="144">
        <f>IF(T57="","",T57-AsOf)</f>
        <v/>
      </c>
      <c r="V57" s="107">
        <f>IF(T57="",IF(P57="","","Enter last-done date"),IF(U57&lt;0,"Overdue",IF(U57&lt;=30,"Due soon","OK")))</f>
        <v/>
      </c>
      <c r="W57" s="79">
        <f>IF(T57="","",IF(U57&lt;0,2,IF(U57&lt;=30,1,0)))</f>
        <v/>
      </c>
      <c r="X57" s="112">
        <f>IF(T57="","",T57)</f>
        <v/>
      </c>
      <c r="Y57" s="79">
        <f>IF(X57="","",IF(X57&lt;=AsOf+AlertDays,2,IF(X57&lt;=AsOf+30,3,"")))</f>
        <v/>
      </c>
      <c r="Z57" s="79">
        <f>IF(Y57="","",IF(U57&lt;0,"Maintenance overdue: ","Maintenance due: ")&amp;P57)</f>
        <v/>
      </c>
    </row>
    <row r="58" ht="20" customHeight="1">
      <c r="B58" s="72" t="n"/>
      <c r="C58" s="72" t="n"/>
      <c r="D58" s="72" t="n"/>
      <c r="E58" s="109" t="n"/>
      <c r="F58" s="74" t="n"/>
      <c r="G58" s="126">
        <f>IF(OR(E58="",F58=""),"",DATE(YEAR(E58),MONTH(E58)+ROUND(F58*12,0),DAY(E58)))</f>
        <v/>
      </c>
      <c r="H58" s="144">
        <f>IF(G58="","",G58-AsOf)</f>
        <v/>
      </c>
      <c r="I58" s="107">
        <f>IF(G58="","",IF(H58&lt;0,"Expired",IF(H58&lt;=90,"Expires soon","Active")))</f>
        <v/>
      </c>
      <c r="J58" s="72" t="n"/>
      <c r="K58" s="79">
        <f>IF(I58="","",IF(I58="Active",0,IF(I58="Expires soon",1,3)))</f>
        <v/>
      </c>
      <c r="L58" s="112">
        <f>IF(G58="","",IF(G58&lt;AsOf,"",G58))</f>
        <v/>
      </c>
      <c r="M58" s="79">
        <f>IF(L58="","",IF(L58&lt;=AsOf+AlertDays,2,IF(L58&lt;=AsOf+90,3,"")))</f>
        <v/>
      </c>
      <c r="N58" s="79">
        <f>IF(M58="","","Warranty expires in "&amp;H58&amp;" days: "&amp;B58&amp;IF(C58="",""," ("&amp;C58&amp;")")&amp;" — check for defects")</f>
        <v/>
      </c>
      <c r="P58" s="72" t="n"/>
      <c r="Q58" s="72" t="n"/>
      <c r="R58" s="89" t="n"/>
      <c r="S58" s="109" t="n"/>
      <c r="T58" s="126">
        <f>IF(OR(R58="",S58=""),"",DATE(YEAR(S58),MONTH(S58)+R58,DAY(S58)))</f>
        <v/>
      </c>
      <c r="U58" s="144">
        <f>IF(T58="","",T58-AsOf)</f>
        <v/>
      </c>
      <c r="V58" s="107">
        <f>IF(T58="",IF(P58="","","Enter last-done date"),IF(U58&lt;0,"Overdue",IF(U58&lt;=30,"Due soon","OK")))</f>
        <v/>
      </c>
      <c r="W58" s="79">
        <f>IF(T58="","",IF(U58&lt;0,2,IF(U58&lt;=30,1,0)))</f>
        <v/>
      </c>
      <c r="X58" s="112">
        <f>IF(T58="","",T58)</f>
        <v/>
      </c>
      <c r="Y58" s="79">
        <f>IF(X58="","",IF(X58&lt;=AsOf+AlertDays,2,IF(X58&lt;=AsOf+30,3,"")))</f>
        <v/>
      </c>
      <c r="Z58" s="79">
        <f>IF(Y58="","",IF(U58&lt;0,"Maintenance overdue: ","Maintenance due: ")&amp;P58)</f>
        <v/>
      </c>
    </row>
    <row r="59" ht="20" customHeight="1">
      <c r="B59" s="72" t="n"/>
      <c r="C59" s="72" t="n"/>
      <c r="D59" s="72" t="n"/>
      <c r="E59" s="109" t="n"/>
      <c r="F59" s="74" t="n"/>
      <c r="G59" s="126">
        <f>IF(OR(E59="",F59=""),"",DATE(YEAR(E59),MONTH(E59)+ROUND(F59*12,0),DAY(E59)))</f>
        <v/>
      </c>
      <c r="H59" s="144">
        <f>IF(G59="","",G59-AsOf)</f>
        <v/>
      </c>
      <c r="I59" s="107">
        <f>IF(G59="","",IF(H59&lt;0,"Expired",IF(H59&lt;=90,"Expires soon","Active")))</f>
        <v/>
      </c>
      <c r="J59" s="72" t="n"/>
      <c r="K59" s="79">
        <f>IF(I59="","",IF(I59="Active",0,IF(I59="Expires soon",1,3)))</f>
        <v/>
      </c>
      <c r="L59" s="112">
        <f>IF(G59="","",IF(G59&lt;AsOf,"",G59))</f>
        <v/>
      </c>
      <c r="M59" s="79">
        <f>IF(L59="","",IF(L59&lt;=AsOf+AlertDays,2,IF(L59&lt;=AsOf+90,3,"")))</f>
        <v/>
      </c>
      <c r="N59" s="79">
        <f>IF(M59="","","Warranty expires in "&amp;H59&amp;" days: "&amp;B59&amp;IF(C59="",""," ("&amp;C59&amp;")")&amp;" — check for defects")</f>
        <v/>
      </c>
      <c r="P59" s="72" t="n"/>
      <c r="Q59" s="72" t="n"/>
      <c r="R59" s="89" t="n"/>
      <c r="S59" s="109" t="n"/>
      <c r="T59" s="126">
        <f>IF(OR(R59="",S59=""),"",DATE(YEAR(S59),MONTH(S59)+R59,DAY(S59)))</f>
        <v/>
      </c>
      <c r="U59" s="144">
        <f>IF(T59="","",T59-AsOf)</f>
        <v/>
      </c>
      <c r="V59" s="107">
        <f>IF(T59="",IF(P59="","","Enter last-done date"),IF(U59&lt;0,"Overdue",IF(U59&lt;=30,"Due soon","OK")))</f>
        <v/>
      </c>
      <c r="W59" s="79">
        <f>IF(T59="","",IF(U59&lt;0,2,IF(U59&lt;=30,1,0)))</f>
        <v/>
      </c>
      <c r="X59" s="112">
        <f>IF(T59="","",T59)</f>
        <v/>
      </c>
      <c r="Y59" s="79">
        <f>IF(X59="","",IF(X59&lt;=AsOf+AlertDays,2,IF(X59&lt;=AsOf+30,3,"")))</f>
        <v/>
      </c>
      <c r="Z59" s="79">
        <f>IF(Y59="","",IF(U59&lt;0,"Maintenance overdue: ","Maintenance due: ")&amp;P59)</f>
        <v/>
      </c>
    </row>
    <row r="60" ht="20" customHeight="1">
      <c r="B60" s="72" t="n"/>
      <c r="C60" s="72" t="n"/>
      <c r="D60" s="72" t="n"/>
      <c r="E60" s="109" t="n"/>
      <c r="F60" s="74" t="n"/>
      <c r="G60" s="126">
        <f>IF(OR(E60="",F60=""),"",DATE(YEAR(E60),MONTH(E60)+ROUND(F60*12,0),DAY(E60)))</f>
        <v/>
      </c>
      <c r="H60" s="144">
        <f>IF(G60="","",G60-AsOf)</f>
        <v/>
      </c>
      <c r="I60" s="107">
        <f>IF(G60="","",IF(H60&lt;0,"Expired",IF(H60&lt;=90,"Expires soon","Active")))</f>
        <v/>
      </c>
      <c r="J60" s="72" t="n"/>
      <c r="K60" s="79">
        <f>IF(I60="","",IF(I60="Active",0,IF(I60="Expires soon",1,3)))</f>
        <v/>
      </c>
      <c r="L60" s="112">
        <f>IF(G60="","",IF(G60&lt;AsOf,"",G60))</f>
        <v/>
      </c>
      <c r="M60" s="79">
        <f>IF(L60="","",IF(L60&lt;=AsOf+AlertDays,2,IF(L60&lt;=AsOf+90,3,"")))</f>
        <v/>
      </c>
      <c r="N60" s="79">
        <f>IF(M60="","","Warranty expires in "&amp;H60&amp;" days: "&amp;B60&amp;IF(C60="",""," ("&amp;C60&amp;")")&amp;" — check for defects")</f>
        <v/>
      </c>
      <c r="P60" s="72" t="n"/>
      <c r="Q60" s="72" t="n"/>
      <c r="R60" s="89" t="n"/>
      <c r="S60" s="109" t="n"/>
      <c r="T60" s="126">
        <f>IF(OR(R60="",S60=""),"",DATE(YEAR(S60),MONTH(S60)+R60,DAY(S60)))</f>
        <v/>
      </c>
      <c r="U60" s="144">
        <f>IF(T60="","",T60-AsOf)</f>
        <v/>
      </c>
      <c r="V60" s="107">
        <f>IF(T60="",IF(P60="","","Enter last-done date"),IF(U60&lt;0,"Overdue",IF(U60&lt;=30,"Due soon","OK")))</f>
        <v/>
      </c>
      <c r="W60" s="79">
        <f>IF(T60="","",IF(U60&lt;0,2,IF(U60&lt;=30,1,0)))</f>
        <v/>
      </c>
      <c r="X60" s="112">
        <f>IF(T60="","",T60)</f>
        <v/>
      </c>
      <c r="Y60" s="79">
        <f>IF(X60="","",IF(X60&lt;=AsOf+AlertDays,2,IF(X60&lt;=AsOf+30,3,"")))</f>
        <v/>
      </c>
      <c r="Z60" s="79">
        <f>IF(Y60="","",IF(U60&lt;0,"Maintenance overdue: ","Maintenance due: ")&amp;P60)</f>
        <v/>
      </c>
    </row>
    <row r="61" ht="20" customHeight="1">
      <c r="B61" s="72" t="n"/>
      <c r="C61" s="72" t="n"/>
      <c r="D61" s="72" t="n"/>
      <c r="E61" s="109" t="n"/>
      <c r="F61" s="74" t="n"/>
      <c r="G61" s="126">
        <f>IF(OR(E61="",F61=""),"",DATE(YEAR(E61),MONTH(E61)+ROUND(F61*12,0),DAY(E61)))</f>
        <v/>
      </c>
      <c r="H61" s="144">
        <f>IF(G61="","",G61-AsOf)</f>
        <v/>
      </c>
      <c r="I61" s="107">
        <f>IF(G61="","",IF(H61&lt;0,"Expired",IF(H61&lt;=90,"Expires soon","Active")))</f>
        <v/>
      </c>
      <c r="J61" s="72" t="n"/>
      <c r="K61" s="79">
        <f>IF(I61="","",IF(I61="Active",0,IF(I61="Expires soon",1,3)))</f>
        <v/>
      </c>
      <c r="L61" s="112">
        <f>IF(G61="","",IF(G61&lt;AsOf,"",G61))</f>
        <v/>
      </c>
      <c r="M61" s="79">
        <f>IF(L61="","",IF(L61&lt;=AsOf+AlertDays,2,IF(L61&lt;=AsOf+90,3,"")))</f>
        <v/>
      </c>
      <c r="N61" s="79">
        <f>IF(M61="","","Warranty expires in "&amp;H61&amp;" days: "&amp;B61&amp;IF(C61="",""," ("&amp;C61&amp;")")&amp;" — check for defects")</f>
        <v/>
      </c>
      <c r="P61" s="72" t="n"/>
      <c r="Q61" s="72" t="n"/>
      <c r="R61" s="89" t="n"/>
      <c r="S61" s="109" t="n"/>
      <c r="T61" s="126">
        <f>IF(OR(R61="",S61=""),"",DATE(YEAR(S61),MONTH(S61)+R61,DAY(S61)))</f>
        <v/>
      </c>
      <c r="U61" s="144">
        <f>IF(T61="","",T61-AsOf)</f>
        <v/>
      </c>
      <c r="V61" s="107">
        <f>IF(T61="",IF(P61="","","Enter last-done date"),IF(U61&lt;0,"Overdue",IF(U61&lt;=30,"Due soon","OK")))</f>
        <v/>
      </c>
      <c r="W61" s="79">
        <f>IF(T61="","",IF(U61&lt;0,2,IF(U61&lt;=30,1,0)))</f>
        <v/>
      </c>
      <c r="X61" s="112">
        <f>IF(T61="","",T61)</f>
        <v/>
      </c>
      <c r="Y61" s="79">
        <f>IF(X61="","",IF(X61&lt;=AsOf+AlertDays,2,IF(X61&lt;=AsOf+30,3,"")))</f>
        <v/>
      </c>
      <c r="Z61" s="79">
        <f>IF(Y61="","",IF(U61&lt;0,"Maintenance overdue: ","Maintenance due: ")&amp;P61)</f>
        <v/>
      </c>
    </row>
    <row r="62" ht="20" customHeight="1">
      <c r="B62" s="72" t="n"/>
      <c r="C62" s="72" t="n"/>
      <c r="D62" s="72" t="n"/>
      <c r="E62" s="109" t="n"/>
      <c r="F62" s="74" t="n"/>
      <c r="G62" s="126">
        <f>IF(OR(E62="",F62=""),"",DATE(YEAR(E62),MONTH(E62)+ROUND(F62*12,0),DAY(E62)))</f>
        <v/>
      </c>
      <c r="H62" s="144">
        <f>IF(G62="","",G62-AsOf)</f>
        <v/>
      </c>
      <c r="I62" s="107">
        <f>IF(G62="","",IF(H62&lt;0,"Expired",IF(H62&lt;=90,"Expires soon","Active")))</f>
        <v/>
      </c>
      <c r="J62" s="72" t="n"/>
      <c r="K62" s="79">
        <f>IF(I62="","",IF(I62="Active",0,IF(I62="Expires soon",1,3)))</f>
        <v/>
      </c>
      <c r="L62" s="112">
        <f>IF(G62="","",IF(G62&lt;AsOf,"",G62))</f>
        <v/>
      </c>
      <c r="M62" s="79">
        <f>IF(L62="","",IF(L62&lt;=AsOf+AlertDays,2,IF(L62&lt;=AsOf+90,3,"")))</f>
        <v/>
      </c>
      <c r="N62" s="79">
        <f>IF(M62="","","Warranty expires in "&amp;H62&amp;" days: "&amp;B62&amp;IF(C62="",""," ("&amp;C62&amp;")")&amp;" — check for defects")</f>
        <v/>
      </c>
      <c r="P62" s="72" t="n"/>
      <c r="Q62" s="72" t="n"/>
      <c r="R62" s="89" t="n"/>
      <c r="S62" s="109" t="n"/>
      <c r="T62" s="126">
        <f>IF(OR(R62="",S62=""),"",DATE(YEAR(S62),MONTH(S62)+R62,DAY(S62)))</f>
        <v/>
      </c>
      <c r="U62" s="144">
        <f>IF(T62="","",T62-AsOf)</f>
        <v/>
      </c>
      <c r="V62" s="107">
        <f>IF(T62="",IF(P62="","","Enter last-done date"),IF(U62&lt;0,"Overdue",IF(U62&lt;=30,"Due soon","OK")))</f>
        <v/>
      </c>
      <c r="W62" s="79">
        <f>IF(T62="","",IF(U62&lt;0,2,IF(U62&lt;=30,1,0)))</f>
        <v/>
      </c>
      <c r="X62" s="112">
        <f>IF(T62="","",T62)</f>
        <v/>
      </c>
      <c r="Y62" s="79">
        <f>IF(X62="","",IF(X62&lt;=AsOf+AlertDays,2,IF(X62&lt;=AsOf+30,3,"")))</f>
        <v/>
      </c>
      <c r="Z62" s="79">
        <f>IF(Y62="","",IF(U62&lt;0,"Maintenance overdue: ","Maintenance due: ")&amp;P62)</f>
        <v/>
      </c>
    </row>
    <row r="63" ht="20" customHeight="1">
      <c r="B63" s="72" t="n"/>
      <c r="C63" s="72" t="n"/>
      <c r="D63" s="72" t="n"/>
      <c r="E63" s="109" t="n"/>
      <c r="F63" s="74" t="n"/>
      <c r="G63" s="126">
        <f>IF(OR(E63="",F63=""),"",DATE(YEAR(E63),MONTH(E63)+ROUND(F63*12,0),DAY(E63)))</f>
        <v/>
      </c>
      <c r="H63" s="144">
        <f>IF(G63="","",G63-AsOf)</f>
        <v/>
      </c>
      <c r="I63" s="107">
        <f>IF(G63="","",IF(H63&lt;0,"Expired",IF(H63&lt;=90,"Expires soon","Active")))</f>
        <v/>
      </c>
      <c r="J63" s="72" t="n"/>
      <c r="K63" s="79">
        <f>IF(I63="","",IF(I63="Active",0,IF(I63="Expires soon",1,3)))</f>
        <v/>
      </c>
      <c r="L63" s="112">
        <f>IF(G63="","",IF(G63&lt;AsOf,"",G63))</f>
        <v/>
      </c>
      <c r="M63" s="79">
        <f>IF(L63="","",IF(L63&lt;=AsOf+AlertDays,2,IF(L63&lt;=AsOf+90,3,"")))</f>
        <v/>
      </c>
      <c r="N63" s="79">
        <f>IF(M63="","","Warranty expires in "&amp;H63&amp;" days: "&amp;B63&amp;IF(C63="",""," ("&amp;C63&amp;")")&amp;" — check for defects")</f>
        <v/>
      </c>
      <c r="P63" s="72" t="n"/>
      <c r="Q63" s="72" t="n"/>
      <c r="R63" s="89" t="n"/>
      <c r="S63" s="109" t="n"/>
      <c r="T63" s="126">
        <f>IF(OR(R63="",S63=""),"",DATE(YEAR(S63),MONTH(S63)+R63,DAY(S63)))</f>
        <v/>
      </c>
      <c r="U63" s="144">
        <f>IF(T63="","",T63-AsOf)</f>
        <v/>
      </c>
      <c r="V63" s="107">
        <f>IF(T63="",IF(P63="","","Enter last-done date"),IF(U63&lt;0,"Overdue",IF(U63&lt;=30,"Due soon","OK")))</f>
        <v/>
      </c>
      <c r="W63" s="79">
        <f>IF(T63="","",IF(U63&lt;0,2,IF(U63&lt;=30,1,0)))</f>
        <v/>
      </c>
      <c r="X63" s="112">
        <f>IF(T63="","",T63)</f>
        <v/>
      </c>
      <c r="Y63" s="79">
        <f>IF(X63="","",IF(X63&lt;=AsOf+AlertDays,2,IF(X63&lt;=AsOf+30,3,"")))</f>
        <v/>
      </c>
      <c r="Z63" s="79">
        <f>IF(Y63="","",IF(U63&lt;0,"Maintenance overdue: ","Maintenance due: ")&amp;P63)</f>
        <v/>
      </c>
    </row>
    <row r="64" ht="20" customHeight="1">
      <c r="B64" s="72" t="n"/>
      <c r="C64" s="72" t="n"/>
      <c r="D64" s="72" t="n"/>
      <c r="E64" s="109" t="n"/>
      <c r="F64" s="74" t="n"/>
      <c r="G64" s="126">
        <f>IF(OR(E64="",F64=""),"",DATE(YEAR(E64),MONTH(E64)+ROUND(F64*12,0),DAY(E64)))</f>
        <v/>
      </c>
      <c r="H64" s="144">
        <f>IF(G64="","",G64-AsOf)</f>
        <v/>
      </c>
      <c r="I64" s="107">
        <f>IF(G64="","",IF(H64&lt;0,"Expired",IF(H64&lt;=90,"Expires soon","Active")))</f>
        <v/>
      </c>
      <c r="J64" s="72" t="n"/>
      <c r="K64" s="79">
        <f>IF(I64="","",IF(I64="Active",0,IF(I64="Expires soon",1,3)))</f>
        <v/>
      </c>
      <c r="L64" s="112">
        <f>IF(G64="","",IF(G64&lt;AsOf,"",G64))</f>
        <v/>
      </c>
      <c r="M64" s="79">
        <f>IF(L64="","",IF(L64&lt;=AsOf+AlertDays,2,IF(L64&lt;=AsOf+90,3,"")))</f>
        <v/>
      </c>
      <c r="N64" s="79">
        <f>IF(M64="","","Warranty expires in "&amp;H64&amp;" days: "&amp;B64&amp;IF(C64="",""," ("&amp;C64&amp;")")&amp;" — check for defects")</f>
        <v/>
      </c>
      <c r="P64" s="72" t="n"/>
      <c r="Q64" s="72" t="n"/>
      <c r="R64" s="89" t="n"/>
      <c r="S64" s="109" t="n"/>
      <c r="T64" s="126">
        <f>IF(OR(R64="",S64=""),"",DATE(YEAR(S64),MONTH(S64)+R64,DAY(S64)))</f>
        <v/>
      </c>
      <c r="U64" s="144">
        <f>IF(T64="","",T64-AsOf)</f>
        <v/>
      </c>
      <c r="V64" s="107">
        <f>IF(T64="",IF(P64="","","Enter last-done date"),IF(U64&lt;0,"Overdue",IF(U64&lt;=30,"Due soon","OK")))</f>
        <v/>
      </c>
      <c r="W64" s="79">
        <f>IF(T64="","",IF(U64&lt;0,2,IF(U64&lt;=30,1,0)))</f>
        <v/>
      </c>
      <c r="X64" s="112">
        <f>IF(T64="","",T64)</f>
        <v/>
      </c>
      <c r="Y64" s="79">
        <f>IF(X64="","",IF(X64&lt;=AsOf+AlertDays,2,IF(X64&lt;=AsOf+30,3,"")))</f>
        <v/>
      </c>
      <c r="Z64" s="79">
        <f>IF(Y64="","",IF(U64&lt;0,"Maintenance overdue: ","Maintenance due: ")&amp;P64)</f>
        <v/>
      </c>
    </row>
    <row r="65" ht="20" customHeight="1">
      <c r="B65" s="72" t="n"/>
      <c r="C65" s="72" t="n"/>
      <c r="D65" s="72" t="n"/>
      <c r="E65" s="109" t="n"/>
      <c r="F65" s="74" t="n"/>
      <c r="G65" s="126">
        <f>IF(OR(E65="",F65=""),"",DATE(YEAR(E65),MONTH(E65)+ROUND(F65*12,0),DAY(E65)))</f>
        <v/>
      </c>
      <c r="H65" s="144">
        <f>IF(G65="","",G65-AsOf)</f>
        <v/>
      </c>
      <c r="I65" s="107">
        <f>IF(G65="","",IF(H65&lt;0,"Expired",IF(H65&lt;=90,"Expires soon","Active")))</f>
        <v/>
      </c>
      <c r="J65" s="72" t="n"/>
      <c r="K65" s="79">
        <f>IF(I65="","",IF(I65="Active",0,IF(I65="Expires soon",1,3)))</f>
        <v/>
      </c>
      <c r="L65" s="112">
        <f>IF(G65="","",IF(G65&lt;AsOf,"",G65))</f>
        <v/>
      </c>
      <c r="M65" s="79">
        <f>IF(L65="","",IF(L65&lt;=AsOf+AlertDays,2,IF(L65&lt;=AsOf+90,3,"")))</f>
        <v/>
      </c>
      <c r="N65" s="79">
        <f>IF(M65="","","Warranty expires in "&amp;H65&amp;" days: "&amp;B65&amp;IF(C65="",""," ("&amp;C65&amp;")")&amp;" — check for defects")</f>
        <v/>
      </c>
      <c r="P65" s="72" t="n"/>
      <c r="Q65" s="72" t="n"/>
      <c r="R65" s="89" t="n"/>
      <c r="S65" s="109" t="n"/>
      <c r="T65" s="126">
        <f>IF(OR(R65="",S65=""),"",DATE(YEAR(S65),MONTH(S65)+R65,DAY(S65)))</f>
        <v/>
      </c>
      <c r="U65" s="144">
        <f>IF(T65="","",T65-AsOf)</f>
        <v/>
      </c>
      <c r="V65" s="107">
        <f>IF(T65="",IF(P65="","","Enter last-done date"),IF(U65&lt;0,"Overdue",IF(U65&lt;=30,"Due soon","OK")))</f>
        <v/>
      </c>
      <c r="W65" s="79">
        <f>IF(T65="","",IF(U65&lt;0,2,IF(U65&lt;=30,1,0)))</f>
        <v/>
      </c>
      <c r="X65" s="112">
        <f>IF(T65="","",T65)</f>
        <v/>
      </c>
      <c r="Y65" s="79">
        <f>IF(X65="","",IF(X65&lt;=AsOf+AlertDays,2,IF(X65&lt;=AsOf+30,3,"")))</f>
        <v/>
      </c>
      <c r="Z65" s="79">
        <f>IF(Y65="","",IF(U65&lt;0,"Maintenance overdue: ","Maintenance due: ")&amp;P65)</f>
        <v/>
      </c>
    </row>
    <row r="66" ht="20" customHeight="1">
      <c r="B66" s="72" t="n"/>
      <c r="C66" s="72" t="n"/>
      <c r="D66" s="72" t="n"/>
      <c r="E66" s="109" t="n"/>
      <c r="F66" s="74" t="n"/>
      <c r="G66" s="126">
        <f>IF(OR(E66="",F66=""),"",DATE(YEAR(E66),MONTH(E66)+ROUND(F66*12,0),DAY(E66)))</f>
        <v/>
      </c>
      <c r="H66" s="144">
        <f>IF(G66="","",G66-AsOf)</f>
        <v/>
      </c>
      <c r="I66" s="107">
        <f>IF(G66="","",IF(H66&lt;0,"Expired",IF(H66&lt;=90,"Expires soon","Active")))</f>
        <v/>
      </c>
      <c r="J66" s="72" t="n"/>
      <c r="K66" s="79">
        <f>IF(I66="","",IF(I66="Active",0,IF(I66="Expires soon",1,3)))</f>
        <v/>
      </c>
      <c r="L66" s="112">
        <f>IF(G66="","",IF(G66&lt;AsOf,"",G66))</f>
        <v/>
      </c>
      <c r="M66" s="79">
        <f>IF(L66="","",IF(L66&lt;=AsOf+AlertDays,2,IF(L66&lt;=AsOf+90,3,"")))</f>
        <v/>
      </c>
      <c r="N66" s="79">
        <f>IF(M66="","","Warranty expires in "&amp;H66&amp;" days: "&amp;B66&amp;IF(C66="",""," ("&amp;C66&amp;")")&amp;" — check for defects")</f>
        <v/>
      </c>
      <c r="P66" s="72" t="n"/>
      <c r="Q66" s="72" t="n"/>
      <c r="R66" s="89" t="n"/>
      <c r="S66" s="109" t="n"/>
      <c r="T66" s="126">
        <f>IF(OR(R66="",S66=""),"",DATE(YEAR(S66),MONTH(S66)+R66,DAY(S66)))</f>
        <v/>
      </c>
      <c r="U66" s="144">
        <f>IF(T66="","",T66-AsOf)</f>
        <v/>
      </c>
      <c r="V66" s="107">
        <f>IF(T66="",IF(P66="","","Enter last-done date"),IF(U66&lt;0,"Overdue",IF(U66&lt;=30,"Due soon","OK")))</f>
        <v/>
      </c>
      <c r="W66" s="79">
        <f>IF(T66="","",IF(U66&lt;0,2,IF(U66&lt;=30,1,0)))</f>
        <v/>
      </c>
      <c r="X66" s="112">
        <f>IF(T66="","",T66)</f>
        <v/>
      </c>
      <c r="Y66" s="79">
        <f>IF(X66="","",IF(X66&lt;=AsOf+AlertDays,2,IF(X66&lt;=AsOf+30,3,"")))</f>
        <v/>
      </c>
      <c r="Z66" s="79">
        <f>IF(Y66="","",IF(U66&lt;0,"Maintenance overdue: ","Maintenance due: ")&amp;P66)</f>
        <v/>
      </c>
    </row>
    <row r="67" ht="20" customHeight="1">
      <c r="B67" s="72" t="n"/>
      <c r="C67" s="72" t="n"/>
      <c r="D67" s="72" t="n"/>
      <c r="E67" s="109" t="n"/>
      <c r="F67" s="74" t="n"/>
      <c r="G67" s="126">
        <f>IF(OR(E67="",F67=""),"",DATE(YEAR(E67),MONTH(E67)+ROUND(F67*12,0),DAY(E67)))</f>
        <v/>
      </c>
      <c r="H67" s="144">
        <f>IF(G67="","",G67-AsOf)</f>
        <v/>
      </c>
      <c r="I67" s="107">
        <f>IF(G67="","",IF(H67&lt;0,"Expired",IF(H67&lt;=90,"Expires soon","Active")))</f>
        <v/>
      </c>
      <c r="J67" s="72" t="n"/>
      <c r="K67" s="79">
        <f>IF(I67="","",IF(I67="Active",0,IF(I67="Expires soon",1,3)))</f>
        <v/>
      </c>
      <c r="L67" s="112">
        <f>IF(G67="","",IF(G67&lt;AsOf,"",G67))</f>
        <v/>
      </c>
      <c r="M67" s="79">
        <f>IF(L67="","",IF(L67&lt;=AsOf+AlertDays,2,IF(L67&lt;=AsOf+90,3,"")))</f>
        <v/>
      </c>
      <c r="N67" s="79">
        <f>IF(M67="","","Warranty expires in "&amp;H67&amp;" days: "&amp;B67&amp;IF(C67="",""," ("&amp;C67&amp;")")&amp;" — check for defects")</f>
        <v/>
      </c>
      <c r="P67" s="72" t="n"/>
      <c r="Q67" s="72" t="n"/>
      <c r="R67" s="89" t="n"/>
      <c r="S67" s="109" t="n"/>
      <c r="T67" s="126">
        <f>IF(OR(R67="",S67=""),"",DATE(YEAR(S67),MONTH(S67)+R67,DAY(S67)))</f>
        <v/>
      </c>
      <c r="U67" s="144">
        <f>IF(T67="","",T67-AsOf)</f>
        <v/>
      </c>
      <c r="V67" s="107">
        <f>IF(T67="",IF(P67="","","Enter last-done date"),IF(U67&lt;0,"Overdue",IF(U67&lt;=30,"Due soon","OK")))</f>
        <v/>
      </c>
      <c r="W67" s="79">
        <f>IF(T67="","",IF(U67&lt;0,2,IF(U67&lt;=30,1,0)))</f>
        <v/>
      </c>
      <c r="X67" s="112">
        <f>IF(T67="","",T67)</f>
        <v/>
      </c>
      <c r="Y67" s="79">
        <f>IF(X67="","",IF(X67&lt;=AsOf+AlertDays,2,IF(X67&lt;=AsOf+30,3,"")))</f>
        <v/>
      </c>
      <c r="Z67" s="79">
        <f>IF(Y67="","",IF(U67&lt;0,"Maintenance overdue: ","Maintenance due: ")&amp;P67)</f>
        <v/>
      </c>
    </row>
    <row r="68" ht="20" customHeight="1">
      <c r="B68" s="72" t="n"/>
      <c r="C68" s="72" t="n"/>
      <c r="D68" s="72" t="n"/>
      <c r="E68" s="109" t="n"/>
      <c r="F68" s="74" t="n"/>
      <c r="G68" s="126">
        <f>IF(OR(E68="",F68=""),"",DATE(YEAR(E68),MONTH(E68)+ROUND(F68*12,0),DAY(E68)))</f>
        <v/>
      </c>
      <c r="H68" s="144">
        <f>IF(G68="","",G68-AsOf)</f>
        <v/>
      </c>
      <c r="I68" s="107">
        <f>IF(G68="","",IF(H68&lt;0,"Expired",IF(H68&lt;=90,"Expires soon","Active")))</f>
        <v/>
      </c>
      <c r="J68" s="72" t="n"/>
      <c r="K68" s="79">
        <f>IF(I68="","",IF(I68="Active",0,IF(I68="Expires soon",1,3)))</f>
        <v/>
      </c>
      <c r="L68" s="112">
        <f>IF(G68="","",IF(G68&lt;AsOf,"",G68))</f>
        <v/>
      </c>
      <c r="M68" s="79">
        <f>IF(L68="","",IF(L68&lt;=AsOf+AlertDays,2,IF(L68&lt;=AsOf+90,3,"")))</f>
        <v/>
      </c>
      <c r="N68" s="79">
        <f>IF(M68="","","Warranty expires in "&amp;H68&amp;" days: "&amp;B68&amp;IF(C68="",""," ("&amp;C68&amp;")")&amp;" — check for defects")</f>
        <v/>
      </c>
      <c r="P68" s="72" t="n"/>
      <c r="Q68" s="72" t="n"/>
      <c r="R68" s="89" t="n"/>
      <c r="S68" s="109" t="n"/>
      <c r="T68" s="126">
        <f>IF(OR(R68="",S68=""),"",DATE(YEAR(S68),MONTH(S68)+R68,DAY(S68)))</f>
        <v/>
      </c>
      <c r="U68" s="144">
        <f>IF(T68="","",T68-AsOf)</f>
        <v/>
      </c>
      <c r="V68" s="107">
        <f>IF(T68="",IF(P68="","","Enter last-done date"),IF(U68&lt;0,"Overdue",IF(U68&lt;=30,"Due soon","OK")))</f>
        <v/>
      </c>
      <c r="W68" s="79">
        <f>IF(T68="","",IF(U68&lt;0,2,IF(U68&lt;=30,1,0)))</f>
        <v/>
      </c>
      <c r="X68" s="112">
        <f>IF(T68="","",T68)</f>
        <v/>
      </c>
      <c r="Y68" s="79">
        <f>IF(X68="","",IF(X68&lt;=AsOf+AlertDays,2,IF(X68&lt;=AsOf+30,3,"")))</f>
        <v/>
      </c>
      <c r="Z68" s="79">
        <f>IF(Y68="","",IF(U68&lt;0,"Maintenance overdue: ","Maintenance due: ")&amp;P68)</f>
        <v/>
      </c>
    </row>
    <row r="69" ht="20" customHeight="1">
      <c r="B69" s="72" t="n"/>
      <c r="C69" s="72" t="n"/>
      <c r="D69" s="72" t="n"/>
      <c r="E69" s="109" t="n"/>
      <c r="F69" s="74" t="n"/>
      <c r="G69" s="126">
        <f>IF(OR(E69="",F69=""),"",DATE(YEAR(E69),MONTH(E69)+ROUND(F69*12,0),DAY(E69)))</f>
        <v/>
      </c>
      <c r="H69" s="144">
        <f>IF(G69="","",G69-AsOf)</f>
        <v/>
      </c>
      <c r="I69" s="107">
        <f>IF(G69="","",IF(H69&lt;0,"Expired",IF(H69&lt;=90,"Expires soon","Active")))</f>
        <v/>
      </c>
      <c r="J69" s="72" t="n"/>
      <c r="K69" s="79">
        <f>IF(I69="","",IF(I69="Active",0,IF(I69="Expires soon",1,3)))</f>
        <v/>
      </c>
      <c r="L69" s="112">
        <f>IF(G69="","",IF(G69&lt;AsOf,"",G69))</f>
        <v/>
      </c>
      <c r="M69" s="79">
        <f>IF(L69="","",IF(L69&lt;=AsOf+AlertDays,2,IF(L69&lt;=AsOf+90,3,"")))</f>
        <v/>
      </c>
      <c r="N69" s="79">
        <f>IF(M69="","","Warranty expires in "&amp;H69&amp;" days: "&amp;B69&amp;IF(C69="",""," ("&amp;C69&amp;")")&amp;" — check for defects")</f>
        <v/>
      </c>
      <c r="P69" s="72" t="n"/>
      <c r="Q69" s="72" t="n"/>
      <c r="R69" s="89" t="n"/>
      <c r="S69" s="109" t="n"/>
      <c r="T69" s="126">
        <f>IF(OR(R69="",S69=""),"",DATE(YEAR(S69),MONTH(S69)+R69,DAY(S69)))</f>
        <v/>
      </c>
      <c r="U69" s="144">
        <f>IF(T69="","",T69-AsOf)</f>
        <v/>
      </c>
      <c r="V69" s="107">
        <f>IF(T69="",IF(P69="","","Enter last-done date"),IF(U69&lt;0,"Overdue",IF(U69&lt;=30,"Due soon","OK")))</f>
        <v/>
      </c>
      <c r="W69" s="79">
        <f>IF(T69="","",IF(U69&lt;0,2,IF(U69&lt;=30,1,0)))</f>
        <v/>
      </c>
      <c r="X69" s="112">
        <f>IF(T69="","",T69)</f>
        <v/>
      </c>
      <c r="Y69" s="79">
        <f>IF(X69="","",IF(X69&lt;=AsOf+AlertDays,2,IF(X69&lt;=AsOf+30,3,"")))</f>
        <v/>
      </c>
      <c r="Z69" s="79">
        <f>IF(Y69="","",IF(U69&lt;0,"Maintenance overdue: ","Maintenance due: ")&amp;P69)</f>
        <v/>
      </c>
    </row>
    <row r="70" ht="20" customHeight="1">
      <c r="B70" s="72" t="n"/>
      <c r="C70" s="72" t="n"/>
      <c r="D70" s="72" t="n"/>
      <c r="E70" s="109" t="n"/>
      <c r="F70" s="74" t="n"/>
      <c r="G70" s="126">
        <f>IF(OR(E70="",F70=""),"",DATE(YEAR(E70),MONTH(E70)+ROUND(F70*12,0),DAY(E70)))</f>
        <v/>
      </c>
      <c r="H70" s="144">
        <f>IF(G70="","",G70-AsOf)</f>
        <v/>
      </c>
      <c r="I70" s="107">
        <f>IF(G70="","",IF(H70&lt;0,"Expired",IF(H70&lt;=90,"Expires soon","Active")))</f>
        <v/>
      </c>
      <c r="J70" s="72" t="n"/>
      <c r="K70" s="79">
        <f>IF(I70="","",IF(I70="Active",0,IF(I70="Expires soon",1,3)))</f>
        <v/>
      </c>
      <c r="L70" s="112">
        <f>IF(G70="","",IF(G70&lt;AsOf,"",G70))</f>
        <v/>
      </c>
      <c r="M70" s="79">
        <f>IF(L70="","",IF(L70&lt;=AsOf+AlertDays,2,IF(L70&lt;=AsOf+90,3,"")))</f>
        <v/>
      </c>
      <c r="N70" s="79">
        <f>IF(M70="","","Warranty expires in "&amp;H70&amp;" days: "&amp;B70&amp;IF(C70="",""," ("&amp;C70&amp;")")&amp;" — check for defects")</f>
        <v/>
      </c>
      <c r="P70" s="72" t="n"/>
      <c r="Q70" s="72" t="n"/>
      <c r="R70" s="89" t="n"/>
      <c r="S70" s="109" t="n"/>
      <c r="T70" s="126">
        <f>IF(OR(R70="",S70=""),"",DATE(YEAR(S70),MONTH(S70)+R70,DAY(S70)))</f>
        <v/>
      </c>
      <c r="U70" s="144">
        <f>IF(T70="","",T70-AsOf)</f>
        <v/>
      </c>
      <c r="V70" s="107">
        <f>IF(T70="",IF(P70="","","Enter last-done date"),IF(U70&lt;0,"Overdue",IF(U70&lt;=30,"Due soon","OK")))</f>
        <v/>
      </c>
      <c r="W70" s="79">
        <f>IF(T70="","",IF(U70&lt;0,2,IF(U70&lt;=30,1,0)))</f>
        <v/>
      </c>
      <c r="X70" s="112">
        <f>IF(T70="","",T70)</f>
        <v/>
      </c>
      <c r="Y70" s="79">
        <f>IF(X70="","",IF(X70&lt;=AsOf+AlertDays,2,IF(X70&lt;=AsOf+30,3,"")))</f>
        <v/>
      </c>
      <c r="Z70" s="79">
        <f>IF(Y70="","",IF(U70&lt;0,"Maintenance overdue: ","Maintenance due: ")&amp;P70)</f>
        <v/>
      </c>
    </row>
    <row r="71" ht="20" customHeight="1">
      <c r="B71" s="72" t="n"/>
      <c r="C71" s="72" t="n"/>
      <c r="D71" s="72" t="n"/>
      <c r="E71" s="109" t="n"/>
      <c r="F71" s="74" t="n"/>
      <c r="G71" s="126">
        <f>IF(OR(E71="",F71=""),"",DATE(YEAR(E71),MONTH(E71)+ROUND(F71*12,0),DAY(E71)))</f>
        <v/>
      </c>
      <c r="H71" s="144">
        <f>IF(G71="","",G71-AsOf)</f>
        <v/>
      </c>
      <c r="I71" s="107">
        <f>IF(G71="","",IF(H71&lt;0,"Expired",IF(H71&lt;=90,"Expires soon","Active")))</f>
        <v/>
      </c>
      <c r="J71" s="72" t="n"/>
      <c r="K71" s="79">
        <f>IF(I71="","",IF(I71="Active",0,IF(I71="Expires soon",1,3)))</f>
        <v/>
      </c>
      <c r="L71" s="112">
        <f>IF(G71="","",IF(G71&lt;AsOf,"",G71))</f>
        <v/>
      </c>
      <c r="M71" s="79">
        <f>IF(L71="","",IF(L71&lt;=AsOf+AlertDays,2,IF(L71&lt;=AsOf+90,3,"")))</f>
        <v/>
      </c>
      <c r="N71" s="79">
        <f>IF(M71="","","Warranty expires in "&amp;H71&amp;" days: "&amp;B71&amp;IF(C71="",""," ("&amp;C71&amp;")")&amp;" — check for defects")</f>
        <v/>
      </c>
      <c r="P71" s="72" t="n"/>
      <c r="Q71" s="72" t="n"/>
      <c r="R71" s="89" t="n"/>
      <c r="S71" s="109" t="n"/>
      <c r="T71" s="126">
        <f>IF(OR(R71="",S71=""),"",DATE(YEAR(S71),MONTH(S71)+R71,DAY(S71)))</f>
        <v/>
      </c>
      <c r="U71" s="144">
        <f>IF(T71="","",T71-AsOf)</f>
        <v/>
      </c>
      <c r="V71" s="107">
        <f>IF(T71="",IF(P71="","","Enter last-done date"),IF(U71&lt;0,"Overdue",IF(U71&lt;=30,"Due soon","OK")))</f>
        <v/>
      </c>
      <c r="W71" s="79">
        <f>IF(T71="","",IF(U71&lt;0,2,IF(U71&lt;=30,1,0)))</f>
        <v/>
      </c>
      <c r="X71" s="112">
        <f>IF(T71="","",T71)</f>
        <v/>
      </c>
      <c r="Y71" s="79">
        <f>IF(X71="","",IF(X71&lt;=AsOf+AlertDays,2,IF(X71&lt;=AsOf+30,3,"")))</f>
        <v/>
      </c>
      <c r="Z71" s="79">
        <f>IF(Y71="","",IF(U71&lt;0,"Maintenance overdue: ","Maintenance due: ")&amp;P71)</f>
        <v/>
      </c>
    </row>
    <row r="72" ht="20" customHeight="1">
      <c r="B72" s="72" t="n"/>
      <c r="C72" s="72" t="n"/>
      <c r="D72" s="72" t="n"/>
      <c r="E72" s="109" t="n"/>
      <c r="F72" s="74" t="n"/>
      <c r="G72" s="126">
        <f>IF(OR(E72="",F72=""),"",DATE(YEAR(E72),MONTH(E72)+ROUND(F72*12,0),DAY(E72)))</f>
        <v/>
      </c>
      <c r="H72" s="144">
        <f>IF(G72="","",G72-AsOf)</f>
        <v/>
      </c>
      <c r="I72" s="107">
        <f>IF(G72="","",IF(H72&lt;0,"Expired",IF(H72&lt;=90,"Expires soon","Active")))</f>
        <v/>
      </c>
      <c r="J72" s="72" t="n"/>
      <c r="K72" s="79">
        <f>IF(I72="","",IF(I72="Active",0,IF(I72="Expires soon",1,3)))</f>
        <v/>
      </c>
      <c r="L72" s="112">
        <f>IF(G72="","",IF(G72&lt;AsOf,"",G72))</f>
        <v/>
      </c>
      <c r="M72" s="79">
        <f>IF(L72="","",IF(L72&lt;=AsOf+AlertDays,2,IF(L72&lt;=AsOf+90,3,"")))</f>
        <v/>
      </c>
      <c r="N72" s="79">
        <f>IF(M72="","","Warranty expires in "&amp;H72&amp;" days: "&amp;B72&amp;IF(C72="",""," ("&amp;C72&amp;")")&amp;" — check for defects")</f>
        <v/>
      </c>
      <c r="P72" s="72" t="n"/>
      <c r="Q72" s="72" t="n"/>
      <c r="R72" s="89" t="n"/>
      <c r="S72" s="109" t="n"/>
      <c r="T72" s="126">
        <f>IF(OR(R72="",S72=""),"",DATE(YEAR(S72),MONTH(S72)+R72,DAY(S72)))</f>
        <v/>
      </c>
      <c r="U72" s="144">
        <f>IF(T72="","",T72-AsOf)</f>
        <v/>
      </c>
      <c r="V72" s="107">
        <f>IF(T72="",IF(P72="","","Enter last-done date"),IF(U72&lt;0,"Overdue",IF(U72&lt;=30,"Due soon","OK")))</f>
        <v/>
      </c>
      <c r="W72" s="79">
        <f>IF(T72="","",IF(U72&lt;0,2,IF(U72&lt;=30,1,0)))</f>
        <v/>
      </c>
      <c r="X72" s="112">
        <f>IF(T72="","",T72)</f>
        <v/>
      </c>
      <c r="Y72" s="79">
        <f>IF(X72="","",IF(X72&lt;=AsOf+AlertDays,2,IF(X72&lt;=AsOf+30,3,"")))</f>
        <v/>
      </c>
      <c r="Z72" s="79">
        <f>IF(Y72="","",IF(U72&lt;0,"Maintenance overdue: ","Maintenance due: ")&amp;P72)</f>
        <v/>
      </c>
    </row>
    <row r="73" ht="20" customHeight="1">
      <c r="B73" s="72" t="n"/>
      <c r="C73" s="72" t="n"/>
      <c r="D73" s="72" t="n"/>
      <c r="E73" s="109" t="n"/>
      <c r="F73" s="74" t="n"/>
      <c r="G73" s="126">
        <f>IF(OR(E73="",F73=""),"",DATE(YEAR(E73),MONTH(E73)+ROUND(F73*12,0),DAY(E73)))</f>
        <v/>
      </c>
      <c r="H73" s="144">
        <f>IF(G73="","",G73-AsOf)</f>
        <v/>
      </c>
      <c r="I73" s="107">
        <f>IF(G73="","",IF(H73&lt;0,"Expired",IF(H73&lt;=90,"Expires soon","Active")))</f>
        <v/>
      </c>
      <c r="J73" s="72" t="n"/>
      <c r="K73" s="79">
        <f>IF(I73="","",IF(I73="Active",0,IF(I73="Expires soon",1,3)))</f>
        <v/>
      </c>
      <c r="L73" s="112">
        <f>IF(G73="","",IF(G73&lt;AsOf,"",G73))</f>
        <v/>
      </c>
      <c r="M73" s="79">
        <f>IF(L73="","",IF(L73&lt;=AsOf+AlertDays,2,IF(L73&lt;=AsOf+90,3,"")))</f>
        <v/>
      </c>
      <c r="N73" s="79">
        <f>IF(M73="","","Warranty expires in "&amp;H73&amp;" days: "&amp;B73&amp;IF(C73="",""," ("&amp;C73&amp;")")&amp;" — check for defects")</f>
        <v/>
      </c>
      <c r="P73" s="72" t="n"/>
      <c r="Q73" s="72" t="n"/>
      <c r="R73" s="89" t="n"/>
      <c r="S73" s="109" t="n"/>
      <c r="T73" s="126">
        <f>IF(OR(R73="",S73=""),"",DATE(YEAR(S73),MONTH(S73)+R73,DAY(S73)))</f>
        <v/>
      </c>
      <c r="U73" s="144">
        <f>IF(T73="","",T73-AsOf)</f>
        <v/>
      </c>
      <c r="V73" s="107">
        <f>IF(T73="",IF(P73="","","Enter last-done date"),IF(U73&lt;0,"Overdue",IF(U73&lt;=30,"Due soon","OK")))</f>
        <v/>
      </c>
      <c r="W73" s="79">
        <f>IF(T73="","",IF(U73&lt;0,2,IF(U73&lt;=30,1,0)))</f>
        <v/>
      </c>
      <c r="X73" s="112">
        <f>IF(T73="","",T73)</f>
        <v/>
      </c>
      <c r="Y73" s="79">
        <f>IF(X73="","",IF(X73&lt;=AsOf+AlertDays,2,IF(X73&lt;=AsOf+30,3,"")))</f>
        <v/>
      </c>
      <c r="Z73" s="79">
        <f>IF(Y73="","",IF(U73&lt;0,"Maintenance overdue: ","Maintenance due: ")&amp;P73)</f>
        <v/>
      </c>
    </row>
    <row r="74" ht="20" customHeight="1">
      <c r="B74" s="72" t="n"/>
      <c r="C74" s="72" t="n"/>
      <c r="D74" s="72" t="n"/>
      <c r="E74" s="109" t="n"/>
      <c r="F74" s="74" t="n"/>
      <c r="G74" s="126">
        <f>IF(OR(E74="",F74=""),"",DATE(YEAR(E74),MONTH(E74)+ROUND(F74*12,0),DAY(E74)))</f>
        <v/>
      </c>
      <c r="H74" s="144">
        <f>IF(G74="","",G74-AsOf)</f>
        <v/>
      </c>
      <c r="I74" s="107">
        <f>IF(G74="","",IF(H74&lt;0,"Expired",IF(H74&lt;=90,"Expires soon","Active")))</f>
        <v/>
      </c>
      <c r="J74" s="72" t="n"/>
      <c r="K74" s="79">
        <f>IF(I74="","",IF(I74="Active",0,IF(I74="Expires soon",1,3)))</f>
        <v/>
      </c>
      <c r="L74" s="112">
        <f>IF(G74="","",IF(G74&lt;AsOf,"",G74))</f>
        <v/>
      </c>
      <c r="M74" s="79">
        <f>IF(L74="","",IF(L74&lt;=AsOf+AlertDays,2,IF(L74&lt;=AsOf+90,3,"")))</f>
        <v/>
      </c>
      <c r="N74" s="79">
        <f>IF(M74="","","Warranty expires in "&amp;H74&amp;" days: "&amp;B74&amp;IF(C74="",""," ("&amp;C74&amp;")")&amp;" — check for defects")</f>
        <v/>
      </c>
      <c r="P74" s="72" t="n"/>
      <c r="Q74" s="72" t="n"/>
      <c r="R74" s="89" t="n"/>
      <c r="S74" s="109" t="n"/>
      <c r="T74" s="126">
        <f>IF(OR(R74="",S74=""),"",DATE(YEAR(S74),MONTH(S74)+R74,DAY(S74)))</f>
        <v/>
      </c>
      <c r="U74" s="144">
        <f>IF(T74="","",T74-AsOf)</f>
        <v/>
      </c>
      <c r="V74" s="107">
        <f>IF(T74="",IF(P74="","","Enter last-done date"),IF(U74&lt;0,"Overdue",IF(U74&lt;=30,"Due soon","OK")))</f>
        <v/>
      </c>
      <c r="W74" s="79">
        <f>IF(T74="","",IF(U74&lt;0,2,IF(U74&lt;=30,1,0)))</f>
        <v/>
      </c>
      <c r="X74" s="112">
        <f>IF(T74="","",T74)</f>
        <v/>
      </c>
      <c r="Y74" s="79">
        <f>IF(X74="","",IF(X74&lt;=AsOf+AlertDays,2,IF(X74&lt;=AsOf+30,3,"")))</f>
        <v/>
      </c>
      <c r="Z74" s="79">
        <f>IF(Y74="","",IF(U74&lt;0,"Maintenance overdue: ","Maintenance due: ")&amp;P74)</f>
        <v/>
      </c>
    </row>
    <row r="75" ht="20" customHeight="1">
      <c r="B75" s="72" t="n"/>
      <c r="C75" s="72" t="n"/>
      <c r="D75" s="72" t="n"/>
      <c r="E75" s="109" t="n"/>
      <c r="F75" s="74" t="n"/>
      <c r="G75" s="126">
        <f>IF(OR(E75="",F75=""),"",DATE(YEAR(E75),MONTH(E75)+ROUND(F75*12,0),DAY(E75)))</f>
        <v/>
      </c>
      <c r="H75" s="144">
        <f>IF(G75="","",G75-AsOf)</f>
        <v/>
      </c>
      <c r="I75" s="107">
        <f>IF(G75="","",IF(H75&lt;0,"Expired",IF(H75&lt;=90,"Expires soon","Active")))</f>
        <v/>
      </c>
      <c r="J75" s="72" t="n"/>
      <c r="K75" s="79">
        <f>IF(I75="","",IF(I75="Active",0,IF(I75="Expires soon",1,3)))</f>
        <v/>
      </c>
      <c r="L75" s="112">
        <f>IF(G75="","",IF(G75&lt;AsOf,"",G75))</f>
        <v/>
      </c>
      <c r="M75" s="79">
        <f>IF(L75="","",IF(L75&lt;=AsOf+AlertDays,2,IF(L75&lt;=AsOf+90,3,"")))</f>
        <v/>
      </c>
      <c r="N75" s="79">
        <f>IF(M75="","","Warranty expires in "&amp;H75&amp;" days: "&amp;B75&amp;IF(C75="",""," ("&amp;C75&amp;")")&amp;" — check for defects")</f>
        <v/>
      </c>
      <c r="P75" s="72" t="n"/>
      <c r="Q75" s="72" t="n"/>
      <c r="R75" s="89" t="n"/>
      <c r="S75" s="109" t="n"/>
      <c r="T75" s="126">
        <f>IF(OR(R75="",S75=""),"",DATE(YEAR(S75),MONTH(S75)+R75,DAY(S75)))</f>
        <v/>
      </c>
      <c r="U75" s="144">
        <f>IF(T75="","",T75-AsOf)</f>
        <v/>
      </c>
      <c r="V75" s="107">
        <f>IF(T75="",IF(P75="","","Enter last-done date"),IF(U75&lt;0,"Overdue",IF(U75&lt;=30,"Due soon","OK")))</f>
        <v/>
      </c>
      <c r="W75" s="79">
        <f>IF(T75="","",IF(U75&lt;0,2,IF(U75&lt;=30,1,0)))</f>
        <v/>
      </c>
      <c r="X75" s="112">
        <f>IF(T75="","",T75)</f>
        <v/>
      </c>
      <c r="Y75" s="79">
        <f>IF(X75="","",IF(X75&lt;=AsOf+AlertDays,2,IF(X75&lt;=AsOf+30,3,"")))</f>
        <v/>
      </c>
      <c r="Z75" s="79">
        <f>IF(Y75="","",IF(U75&lt;0,"Maintenance overdue: ","Maintenance due: ")&amp;P75)</f>
        <v/>
      </c>
    </row>
    <row r="76" ht="20" customHeight="1">
      <c r="B76" s="72" t="n"/>
      <c r="C76" s="72" t="n"/>
      <c r="D76" s="72" t="n"/>
      <c r="E76" s="109" t="n"/>
      <c r="F76" s="74" t="n"/>
      <c r="G76" s="126">
        <f>IF(OR(E76="",F76=""),"",DATE(YEAR(E76),MONTH(E76)+ROUND(F76*12,0),DAY(E76)))</f>
        <v/>
      </c>
      <c r="H76" s="144">
        <f>IF(G76="","",G76-AsOf)</f>
        <v/>
      </c>
      <c r="I76" s="107">
        <f>IF(G76="","",IF(H76&lt;0,"Expired",IF(H76&lt;=90,"Expires soon","Active")))</f>
        <v/>
      </c>
      <c r="J76" s="72" t="n"/>
      <c r="K76" s="79">
        <f>IF(I76="","",IF(I76="Active",0,IF(I76="Expires soon",1,3)))</f>
        <v/>
      </c>
      <c r="L76" s="112">
        <f>IF(G76="","",IF(G76&lt;AsOf,"",G76))</f>
        <v/>
      </c>
      <c r="M76" s="79">
        <f>IF(L76="","",IF(L76&lt;=AsOf+AlertDays,2,IF(L76&lt;=AsOf+90,3,"")))</f>
        <v/>
      </c>
      <c r="N76" s="79">
        <f>IF(M76="","","Warranty expires in "&amp;H76&amp;" days: "&amp;B76&amp;IF(C76="",""," ("&amp;C76&amp;")")&amp;" — check for defects")</f>
        <v/>
      </c>
      <c r="P76" s="72" t="n"/>
      <c r="Q76" s="72" t="n"/>
      <c r="R76" s="89" t="n"/>
      <c r="S76" s="109" t="n"/>
      <c r="T76" s="126">
        <f>IF(OR(R76="",S76=""),"",DATE(YEAR(S76),MONTH(S76)+R76,DAY(S76)))</f>
        <v/>
      </c>
      <c r="U76" s="144">
        <f>IF(T76="","",T76-AsOf)</f>
        <v/>
      </c>
      <c r="V76" s="107">
        <f>IF(T76="",IF(P76="","","Enter last-done date"),IF(U76&lt;0,"Overdue",IF(U76&lt;=30,"Due soon","OK")))</f>
        <v/>
      </c>
      <c r="W76" s="79">
        <f>IF(T76="","",IF(U76&lt;0,2,IF(U76&lt;=30,1,0)))</f>
        <v/>
      </c>
      <c r="X76" s="112">
        <f>IF(T76="","",T76)</f>
        <v/>
      </c>
      <c r="Y76" s="79">
        <f>IF(X76="","",IF(X76&lt;=AsOf+AlertDays,2,IF(X76&lt;=AsOf+30,3,"")))</f>
        <v/>
      </c>
      <c r="Z76" s="79">
        <f>IF(Y76="","",IF(U76&lt;0,"Maintenance overdue: ","Maintenance due: ")&amp;P76)</f>
        <v/>
      </c>
    </row>
    <row r="77" ht="20" customHeight="1">
      <c r="B77" s="72" t="n"/>
      <c r="C77" s="72" t="n"/>
      <c r="D77" s="72" t="n"/>
      <c r="E77" s="109" t="n"/>
      <c r="F77" s="74" t="n"/>
      <c r="G77" s="126">
        <f>IF(OR(E77="",F77=""),"",DATE(YEAR(E77),MONTH(E77)+ROUND(F77*12,0),DAY(E77)))</f>
        <v/>
      </c>
      <c r="H77" s="144">
        <f>IF(G77="","",G77-AsOf)</f>
        <v/>
      </c>
      <c r="I77" s="107">
        <f>IF(G77="","",IF(H77&lt;0,"Expired",IF(H77&lt;=90,"Expires soon","Active")))</f>
        <v/>
      </c>
      <c r="J77" s="72" t="n"/>
      <c r="K77" s="79">
        <f>IF(I77="","",IF(I77="Active",0,IF(I77="Expires soon",1,3)))</f>
        <v/>
      </c>
      <c r="L77" s="112">
        <f>IF(G77="","",IF(G77&lt;AsOf,"",G77))</f>
        <v/>
      </c>
      <c r="M77" s="79">
        <f>IF(L77="","",IF(L77&lt;=AsOf+AlertDays,2,IF(L77&lt;=AsOf+90,3,"")))</f>
        <v/>
      </c>
      <c r="N77" s="79">
        <f>IF(M77="","","Warranty expires in "&amp;H77&amp;" days: "&amp;B77&amp;IF(C77="",""," ("&amp;C77&amp;")")&amp;" — check for defects")</f>
        <v/>
      </c>
      <c r="P77" s="72" t="n"/>
      <c r="Q77" s="72" t="n"/>
      <c r="R77" s="89" t="n"/>
      <c r="S77" s="109" t="n"/>
      <c r="T77" s="126">
        <f>IF(OR(R77="",S77=""),"",DATE(YEAR(S77),MONTH(S77)+R77,DAY(S77)))</f>
        <v/>
      </c>
      <c r="U77" s="144">
        <f>IF(T77="","",T77-AsOf)</f>
        <v/>
      </c>
      <c r="V77" s="107">
        <f>IF(T77="",IF(P77="","","Enter last-done date"),IF(U77&lt;0,"Overdue",IF(U77&lt;=30,"Due soon","OK")))</f>
        <v/>
      </c>
      <c r="W77" s="79">
        <f>IF(T77="","",IF(U77&lt;0,2,IF(U77&lt;=30,1,0)))</f>
        <v/>
      </c>
      <c r="X77" s="112">
        <f>IF(T77="","",T77)</f>
        <v/>
      </c>
      <c r="Y77" s="79">
        <f>IF(X77="","",IF(X77&lt;=AsOf+AlertDays,2,IF(X77&lt;=AsOf+30,3,"")))</f>
        <v/>
      </c>
      <c r="Z77" s="79">
        <f>IF(Y77="","",IF(U77&lt;0,"Maintenance overdue: ","Maintenance due: ")&amp;P77)</f>
        <v/>
      </c>
    </row>
    <row r="78" ht="20" customHeight="1">
      <c r="B78" s="72" t="n"/>
      <c r="C78" s="72" t="n"/>
      <c r="D78" s="72" t="n"/>
      <c r="E78" s="109" t="n"/>
      <c r="F78" s="74" t="n"/>
      <c r="G78" s="126">
        <f>IF(OR(E78="",F78=""),"",DATE(YEAR(E78),MONTH(E78)+ROUND(F78*12,0),DAY(E78)))</f>
        <v/>
      </c>
      <c r="H78" s="144">
        <f>IF(G78="","",G78-AsOf)</f>
        <v/>
      </c>
      <c r="I78" s="107">
        <f>IF(G78="","",IF(H78&lt;0,"Expired",IF(H78&lt;=90,"Expires soon","Active")))</f>
        <v/>
      </c>
      <c r="J78" s="72" t="n"/>
      <c r="K78" s="79">
        <f>IF(I78="","",IF(I78="Active",0,IF(I78="Expires soon",1,3)))</f>
        <v/>
      </c>
      <c r="L78" s="112">
        <f>IF(G78="","",IF(G78&lt;AsOf,"",G78))</f>
        <v/>
      </c>
      <c r="M78" s="79">
        <f>IF(L78="","",IF(L78&lt;=AsOf+AlertDays,2,IF(L78&lt;=AsOf+90,3,"")))</f>
        <v/>
      </c>
      <c r="N78" s="79">
        <f>IF(M78="","","Warranty expires in "&amp;H78&amp;" days: "&amp;B78&amp;IF(C78="",""," ("&amp;C78&amp;")")&amp;" — check for defects")</f>
        <v/>
      </c>
      <c r="P78" s="72" t="n"/>
      <c r="Q78" s="72" t="n"/>
      <c r="R78" s="89" t="n"/>
      <c r="S78" s="109" t="n"/>
      <c r="T78" s="126">
        <f>IF(OR(R78="",S78=""),"",DATE(YEAR(S78),MONTH(S78)+R78,DAY(S78)))</f>
        <v/>
      </c>
      <c r="U78" s="144">
        <f>IF(T78="","",T78-AsOf)</f>
        <v/>
      </c>
      <c r="V78" s="107">
        <f>IF(T78="",IF(P78="","","Enter last-done date"),IF(U78&lt;0,"Overdue",IF(U78&lt;=30,"Due soon","OK")))</f>
        <v/>
      </c>
      <c r="W78" s="79">
        <f>IF(T78="","",IF(U78&lt;0,2,IF(U78&lt;=30,1,0)))</f>
        <v/>
      </c>
      <c r="X78" s="112">
        <f>IF(T78="","",T78)</f>
        <v/>
      </c>
      <c r="Y78" s="79">
        <f>IF(X78="","",IF(X78&lt;=AsOf+AlertDays,2,IF(X78&lt;=AsOf+30,3,"")))</f>
        <v/>
      </c>
      <c r="Z78" s="79">
        <f>IF(Y78="","",IF(U78&lt;0,"Maintenance overdue: ","Maintenance due: ")&amp;P78)</f>
        <v/>
      </c>
    </row>
    <row r="79" ht="20" customHeight="1">
      <c r="B79" s="72" t="n"/>
      <c r="C79" s="72" t="n"/>
      <c r="D79" s="72" t="n"/>
      <c r="E79" s="109" t="n"/>
      <c r="F79" s="74" t="n"/>
      <c r="G79" s="126">
        <f>IF(OR(E79="",F79=""),"",DATE(YEAR(E79),MONTH(E79)+ROUND(F79*12,0),DAY(E79)))</f>
        <v/>
      </c>
      <c r="H79" s="144">
        <f>IF(G79="","",G79-AsOf)</f>
        <v/>
      </c>
      <c r="I79" s="107">
        <f>IF(G79="","",IF(H79&lt;0,"Expired",IF(H79&lt;=90,"Expires soon","Active")))</f>
        <v/>
      </c>
      <c r="J79" s="72" t="n"/>
      <c r="K79" s="79">
        <f>IF(I79="","",IF(I79="Active",0,IF(I79="Expires soon",1,3)))</f>
        <v/>
      </c>
      <c r="L79" s="112">
        <f>IF(G79="","",IF(G79&lt;AsOf,"",G79))</f>
        <v/>
      </c>
      <c r="M79" s="79">
        <f>IF(L79="","",IF(L79&lt;=AsOf+AlertDays,2,IF(L79&lt;=AsOf+90,3,"")))</f>
        <v/>
      </c>
      <c r="N79" s="79">
        <f>IF(M79="","","Warranty expires in "&amp;H79&amp;" days: "&amp;B79&amp;IF(C79="",""," ("&amp;C79&amp;")")&amp;" — check for defects")</f>
        <v/>
      </c>
      <c r="P79" s="72" t="n"/>
      <c r="Q79" s="72" t="n"/>
      <c r="R79" s="89" t="n"/>
      <c r="S79" s="109" t="n"/>
      <c r="T79" s="126">
        <f>IF(OR(R79="",S79=""),"",DATE(YEAR(S79),MONTH(S79)+R79,DAY(S79)))</f>
        <v/>
      </c>
      <c r="U79" s="144">
        <f>IF(T79="","",T79-AsOf)</f>
        <v/>
      </c>
      <c r="V79" s="107">
        <f>IF(T79="",IF(P79="","","Enter last-done date"),IF(U79&lt;0,"Overdue",IF(U79&lt;=30,"Due soon","OK")))</f>
        <v/>
      </c>
      <c r="W79" s="79">
        <f>IF(T79="","",IF(U79&lt;0,2,IF(U79&lt;=30,1,0)))</f>
        <v/>
      </c>
      <c r="X79" s="112">
        <f>IF(T79="","",T79)</f>
        <v/>
      </c>
      <c r="Y79" s="79">
        <f>IF(X79="","",IF(X79&lt;=AsOf+AlertDays,2,IF(X79&lt;=AsOf+30,3,"")))</f>
        <v/>
      </c>
      <c r="Z79" s="79">
        <f>IF(Y79="","",IF(U79&lt;0,"Maintenance overdue: ","Maintenance due: ")&amp;P79)</f>
        <v/>
      </c>
    </row>
    <row r="80" ht="20" customHeight="1">
      <c r="B80" s="72" t="n"/>
      <c r="C80" s="72" t="n"/>
      <c r="D80" s="72" t="n"/>
      <c r="E80" s="109" t="n"/>
      <c r="F80" s="74" t="n"/>
      <c r="G80" s="126">
        <f>IF(OR(E80="",F80=""),"",DATE(YEAR(E80),MONTH(E80)+ROUND(F80*12,0),DAY(E80)))</f>
        <v/>
      </c>
      <c r="H80" s="144">
        <f>IF(G80="","",G80-AsOf)</f>
        <v/>
      </c>
      <c r="I80" s="107">
        <f>IF(G80="","",IF(H80&lt;0,"Expired",IF(H80&lt;=90,"Expires soon","Active")))</f>
        <v/>
      </c>
      <c r="J80" s="72" t="n"/>
      <c r="K80" s="79">
        <f>IF(I80="","",IF(I80="Active",0,IF(I80="Expires soon",1,3)))</f>
        <v/>
      </c>
      <c r="L80" s="112">
        <f>IF(G80="","",IF(G80&lt;AsOf,"",G80))</f>
        <v/>
      </c>
      <c r="M80" s="79">
        <f>IF(L80="","",IF(L80&lt;=AsOf+AlertDays,2,IF(L80&lt;=AsOf+90,3,"")))</f>
        <v/>
      </c>
      <c r="N80" s="79">
        <f>IF(M80="","","Warranty expires in "&amp;H80&amp;" days: "&amp;B80&amp;IF(C80="",""," ("&amp;C80&amp;")")&amp;" — check for defects")</f>
        <v/>
      </c>
      <c r="P80" s="72" t="n"/>
      <c r="Q80" s="72" t="n"/>
      <c r="R80" s="89" t="n"/>
      <c r="S80" s="109" t="n"/>
      <c r="T80" s="126">
        <f>IF(OR(R80="",S80=""),"",DATE(YEAR(S80),MONTH(S80)+R80,DAY(S80)))</f>
        <v/>
      </c>
      <c r="U80" s="144">
        <f>IF(T80="","",T80-AsOf)</f>
        <v/>
      </c>
      <c r="V80" s="107">
        <f>IF(T80="",IF(P80="","","Enter last-done date"),IF(U80&lt;0,"Overdue",IF(U80&lt;=30,"Due soon","OK")))</f>
        <v/>
      </c>
      <c r="W80" s="79">
        <f>IF(T80="","",IF(U80&lt;0,2,IF(U80&lt;=30,1,0)))</f>
        <v/>
      </c>
      <c r="X80" s="112">
        <f>IF(T80="","",T80)</f>
        <v/>
      </c>
      <c r="Y80" s="79">
        <f>IF(X80="","",IF(X80&lt;=AsOf+AlertDays,2,IF(X80&lt;=AsOf+30,3,"")))</f>
        <v/>
      </c>
      <c r="Z80" s="79">
        <f>IF(Y80="","",IF(U80&lt;0,"Maintenance overdue: ","Maintenance due: ")&amp;P80)</f>
        <v/>
      </c>
    </row>
    <row r="81" ht="20" customHeight="1">
      <c r="B81" s="72" t="n"/>
      <c r="C81" s="72" t="n"/>
      <c r="D81" s="72" t="n"/>
      <c r="E81" s="109" t="n"/>
      <c r="F81" s="74" t="n"/>
      <c r="G81" s="126">
        <f>IF(OR(E81="",F81=""),"",DATE(YEAR(E81),MONTH(E81)+ROUND(F81*12,0),DAY(E81)))</f>
        <v/>
      </c>
      <c r="H81" s="144">
        <f>IF(G81="","",G81-AsOf)</f>
        <v/>
      </c>
      <c r="I81" s="107">
        <f>IF(G81="","",IF(H81&lt;0,"Expired",IF(H81&lt;=90,"Expires soon","Active")))</f>
        <v/>
      </c>
      <c r="J81" s="72" t="n"/>
      <c r="K81" s="79">
        <f>IF(I81="","",IF(I81="Active",0,IF(I81="Expires soon",1,3)))</f>
        <v/>
      </c>
      <c r="L81" s="112">
        <f>IF(G81="","",IF(G81&lt;AsOf,"",G81))</f>
        <v/>
      </c>
      <c r="M81" s="79">
        <f>IF(L81="","",IF(L81&lt;=AsOf+AlertDays,2,IF(L81&lt;=AsOf+90,3,"")))</f>
        <v/>
      </c>
      <c r="N81" s="79">
        <f>IF(M81="","","Warranty expires in "&amp;H81&amp;" days: "&amp;B81&amp;IF(C81="",""," ("&amp;C81&amp;")")&amp;" — check for defects")</f>
        <v/>
      </c>
      <c r="P81" s="72" t="n"/>
      <c r="Q81" s="72" t="n"/>
      <c r="R81" s="89" t="n"/>
      <c r="S81" s="109" t="n"/>
      <c r="T81" s="126">
        <f>IF(OR(R81="",S81=""),"",DATE(YEAR(S81),MONTH(S81)+R81,DAY(S81)))</f>
        <v/>
      </c>
      <c r="U81" s="144">
        <f>IF(T81="","",T81-AsOf)</f>
        <v/>
      </c>
      <c r="V81" s="107">
        <f>IF(T81="",IF(P81="","","Enter last-done date"),IF(U81&lt;0,"Overdue",IF(U81&lt;=30,"Due soon","OK")))</f>
        <v/>
      </c>
      <c r="W81" s="79">
        <f>IF(T81="","",IF(U81&lt;0,2,IF(U81&lt;=30,1,0)))</f>
        <v/>
      </c>
      <c r="X81" s="112">
        <f>IF(T81="","",T81)</f>
        <v/>
      </c>
      <c r="Y81" s="79">
        <f>IF(X81="","",IF(X81&lt;=AsOf+AlertDays,2,IF(X81&lt;=AsOf+30,3,"")))</f>
        <v/>
      </c>
      <c r="Z81" s="79">
        <f>IF(Y81="","",IF(U81&lt;0,"Maintenance overdue: ","Maintenance due: ")&amp;P81)</f>
        <v/>
      </c>
    </row>
    <row r="82" ht="20" customHeight="1">
      <c r="B82" s="72" t="n"/>
      <c r="C82" s="72" t="n"/>
      <c r="D82" s="72" t="n"/>
      <c r="E82" s="109" t="n"/>
      <c r="F82" s="74" t="n"/>
      <c r="G82" s="126">
        <f>IF(OR(E82="",F82=""),"",DATE(YEAR(E82),MONTH(E82)+ROUND(F82*12,0),DAY(E82)))</f>
        <v/>
      </c>
      <c r="H82" s="144">
        <f>IF(G82="","",G82-AsOf)</f>
        <v/>
      </c>
      <c r="I82" s="107">
        <f>IF(G82="","",IF(H82&lt;0,"Expired",IF(H82&lt;=90,"Expires soon","Active")))</f>
        <v/>
      </c>
      <c r="J82" s="72" t="n"/>
      <c r="K82" s="79">
        <f>IF(I82="","",IF(I82="Active",0,IF(I82="Expires soon",1,3)))</f>
        <v/>
      </c>
      <c r="L82" s="112">
        <f>IF(G82="","",IF(G82&lt;AsOf,"",G82))</f>
        <v/>
      </c>
      <c r="M82" s="79">
        <f>IF(L82="","",IF(L82&lt;=AsOf+AlertDays,2,IF(L82&lt;=AsOf+90,3,"")))</f>
        <v/>
      </c>
      <c r="N82" s="79">
        <f>IF(M82="","","Warranty expires in "&amp;H82&amp;" days: "&amp;B82&amp;IF(C82="",""," ("&amp;C82&amp;")")&amp;" — check for defects")</f>
        <v/>
      </c>
      <c r="P82" s="72" t="n"/>
      <c r="Q82" s="72" t="n"/>
      <c r="R82" s="89" t="n"/>
      <c r="S82" s="109" t="n"/>
      <c r="T82" s="126">
        <f>IF(OR(R82="",S82=""),"",DATE(YEAR(S82),MONTH(S82)+R82,DAY(S82)))</f>
        <v/>
      </c>
      <c r="U82" s="144">
        <f>IF(T82="","",T82-AsOf)</f>
        <v/>
      </c>
      <c r="V82" s="107">
        <f>IF(T82="",IF(P82="","","Enter last-done date"),IF(U82&lt;0,"Overdue",IF(U82&lt;=30,"Due soon","OK")))</f>
        <v/>
      </c>
      <c r="W82" s="79">
        <f>IF(T82="","",IF(U82&lt;0,2,IF(U82&lt;=30,1,0)))</f>
        <v/>
      </c>
      <c r="X82" s="112">
        <f>IF(T82="","",T82)</f>
        <v/>
      </c>
      <c r="Y82" s="79">
        <f>IF(X82="","",IF(X82&lt;=AsOf+AlertDays,2,IF(X82&lt;=AsOf+30,3,"")))</f>
        <v/>
      </c>
      <c r="Z82" s="79">
        <f>IF(Y82="","",IF(U82&lt;0,"Maintenance overdue: ","Maintenance due: ")&amp;P82)</f>
        <v/>
      </c>
    </row>
    <row r="83" ht="20" customHeight="1">
      <c r="B83" s="72" t="n"/>
      <c r="C83" s="72" t="n"/>
      <c r="D83" s="72" t="n"/>
      <c r="E83" s="109" t="n"/>
      <c r="F83" s="74" t="n"/>
      <c r="G83" s="126">
        <f>IF(OR(E83="",F83=""),"",DATE(YEAR(E83),MONTH(E83)+ROUND(F83*12,0),DAY(E83)))</f>
        <v/>
      </c>
      <c r="H83" s="144">
        <f>IF(G83="","",G83-AsOf)</f>
        <v/>
      </c>
      <c r="I83" s="107">
        <f>IF(G83="","",IF(H83&lt;0,"Expired",IF(H83&lt;=90,"Expires soon","Active")))</f>
        <v/>
      </c>
      <c r="J83" s="72" t="n"/>
      <c r="K83" s="79">
        <f>IF(I83="","",IF(I83="Active",0,IF(I83="Expires soon",1,3)))</f>
        <v/>
      </c>
      <c r="L83" s="112">
        <f>IF(G83="","",IF(G83&lt;AsOf,"",G83))</f>
        <v/>
      </c>
      <c r="M83" s="79">
        <f>IF(L83="","",IF(L83&lt;=AsOf+AlertDays,2,IF(L83&lt;=AsOf+90,3,"")))</f>
        <v/>
      </c>
      <c r="N83" s="79">
        <f>IF(M83="","","Warranty expires in "&amp;H83&amp;" days: "&amp;B83&amp;IF(C83="",""," ("&amp;C83&amp;")")&amp;" — check for defects")</f>
        <v/>
      </c>
      <c r="P83" s="72" t="n"/>
      <c r="Q83" s="72" t="n"/>
      <c r="R83" s="89" t="n"/>
      <c r="S83" s="109" t="n"/>
      <c r="T83" s="126">
        <f>IF(OR(R83="",S83=""),"",DATE(YEAR(S83),MONTH(S83)+R83,DAY(S83)))</f>
        <v/>
      </c>
      <c r="U83" s="144">
        <f>IF(T83="","",T83-AsOf)</f>
        <v/>
      </c>
      <c r="V83" s="107">
        <f>IF(T83="",IF(P83="","","Enter last-done date"),IF(U83&lt;0,"Overdue",IF(U83&lt;=30,"Due soon","OK")))</f>
        <v/>
      </c>
      <c r="W83" s="79">
        <f>IF(T83="","",IF(U83&lt;0,2,IF(U83&lt;=30,1,0)))</f>
        <v/>
      </c>
      <c r="X83" s="112">
        <f>IF(T83="","",T83)</f>
        <v/>
      </c>
      <c r="Y83" s="79">
        <f>IF(X83="","",IF(X83&lt;=AsOf+AlertDays,2,IF(X83&lt;=AsOf+30,3,"")))</f>
        <v/>
      </c>
      <c r="Z83" s="79">
        <f>IF(Y83="","",IF(U83&lt;0,"Maintenance overdue: ","Maintenance due: ")&amp;P83)</f>
        <v/>
      </c>
    </row>
    <row r="84" ht="20" customHeight="1">
      <c r="B84" s="72" t="n"/>
      <c r="C84" s="72" t="n"/>
      <c r="D84" s="72" t="n"/>
      <c r="E84" s="109" t="n"/>
      <c r="F84" s="74" t="n"/>
      <c r="G84" s="126">
        <f>IF(OR(E84="",F84=""),"",DATE(YEAR(E84),MONTH(E84)+ROUND(F84*12,0),DAY(E84)))</f>
        <v/>
      </c>
      <c r="H84" s="144">
        <f>IF(G84="","",G84-AsOf)</f>
        <v/>
      </c>
      <c r="I84" s="107">
        <f>IF(G84="","",IF(H84&lt;0,"Expired",IF(H84&lt;=90,"Expires soon","Active")))</f>
        <v/>
      </c>
      <c r="J84" s="72" t="n"/>
      <c r="K84" s="79">
        <f>IF(I84="","",IF(I84="Active",0,IF(I84="Expires soon",1,3)))</f>
        <v/>
      </c>
      <c r="L84" s="112">
        <f>IF(G84="","",IF(G84&lt;AsOf,"",G84))</f>
        <v/>
      </c>
      <c r="M84" s="79">
        <f>IF(L84="","",IF(L84&lt;=AsOf+AlertDays,2,IF(L84&lt;=AsOf+90,3,"")))</f>
        <v/>
      </c>
      <c r="N84" s="79">
        <f>IF(M84="","","Warranty expires in "&amp;H84&amp;" days: "&amp;B84&amp;IF(C84="",""," ("&amp;C84&amp;")")&amp;" — check for defects")</f>
        <v/>
      </c>
      <c r="P84" s="72" t="n"/>
      <c r="Q84" s="72" t="n"/>
      <c r="R84" s="89" t="n"/>
      <c r="S84" s="109" t="n"/>
      <c r="T84" s="126">
        <f>IF(OR(R84="",S84=""),"",DATE(YEAR(S84),MONTH(S84)+R84,DAY(S84)))</f>
        <v/>
      </c>
      <c r="U84" s="144">
        <f>IF(T84="","",T84-AsOf)</f>
        <v/>
      </c>
      <c r="V84" s="107">
        <f>IF(T84="",IF(P84="","","Enter last-done date"),IF(U84&lt;0,"Overdue",IF(U84&lt;=30,"Due soon","OK")))</f>
        <v/>
      </c>
      <c r="W84" s="79">
        <f>IF(T84="","",IF(U84&lt;0,2,IF(U84&lt;=30,1,0)))</f>
        <v/>
      </c>
      <c r="X84" s="112">
        <f>IF(T84="","",T84)</f>
        <v/>
      </c>
      <c r="Y84" s="79">
        <f>IF(X84="","",IF(X84&lt;=AsOf+AlertDays,2,IF(X84&lt;=AsOf+30,3,"")))</f>
        <v/>
      </c>
      <c r="Z84" s="79">
        <f>IF(Y84="","",IF(U84&lt;0,"Maintenance overdue: ","Maintenance due: ")&amp;P84)</f>
        <v/>
      </c>
    </row>
    <row r="85" ht="20" customHeight="1">
      <c r="B85" s="72" t="n"/>
      <c r="C85" s="72" t="n"/>
      <c r="D85" s="72" t="n"/>
      <c r="E85" s="109" t="n"/>
      <c r="F85" s="74" t="n"/>
      <c r="G85" s="126">
        <f>IF(OR(E85="",F85=""),"",DATE(YEAR(E85),MONTH(E85)+ROUND(F85*12,0),DAY(E85)))</f>
        <v/>
      </c>
      <c r="H85" s="144">
        <f>IF(G85="","",G85-AsOf)</f>
        <v/>
      </c>
      <c r="I85" s="107">
        <f>IF(G85="","",IF(H85&lt;0,"Expired",IF(H85&lt;=90,"Expires soon","Active")))</f>
        <v/>
      </c>
      <c r="J85" s="72" t="n"/>
      <c r="K85" s="79">
        <f>IF(I85="","",IF(I85="Active",0,IF(I85="Expires soon",1,3)))</f>
        <v/>
      </c>
      <c r="L85" s="112">
        <f>IF(G85="","",IF(G85&lt;AsOf,"",G85))</f>
        <v/>
      </c>
      <c r="M85" s="79">
        <f>IF(L85="","",IF(L85&lt;=AsOf+AlertDays,2,IF(L85&lt;=AsOf+90,3,"")))</f>
        <v/>
      </c>
      <c r="N85" s="79">
        <f>IF(M85="","","Warranty expires in "&amp;H85&amp;" days: "&amp;B85&amp;IF(C85="",""," ("&amp;C85&amp;")")&amp;" — check for defects")</f>
        <v/>
      </c>
      <c r="P85" s="72" t="n"/>
      <c r="Q85" s="72" t="n"/>
      <c r="R85" s="89" t="n"/>
      <c r="S85" s="109" t="n"/>
      <c r="T85" s="126">
        <f>IF(OR(R85="",S85=""),"",DATE(YEAR(S85),MONTH(S85)+R85,DAY(S85)))</f>
        <v/>
      </c>
      <c r="U85" s="144">
        <f>IF(T85="","",T85-AsOf)</f>
        <v/>
      </c>
      <c r="V85" s="107">
        <f>IF(T85="",IF(P85="","","Enter last-done date"),IF(U85&lt;0,"Overdue",IF(U85&lt;=30,"Due soon","OK")))</f>
        <v/>
      </c>
      <c r="W85" s="79">
        <f>IF(T85="","",IF(U85&lt;0,2,IF(U85&lt;=30,1,0)))</f>
        <v/>
      </c>
      <c r="X85" s="112">
        <f>IF(T85="","",T85)</f>
        <v/>
      </c>
      <c r="Y85" s="79">
        <f>IF(X85="","",IF(X85&lt;=AsOf+AlertDays,2,IF(X85&lt;=AsOf+30,3,"")))</f>
        <v/>
      </c>
      <c r="Z85" s="79">
        <f>IF(Y85="","",IF(U85&lt;0,"Maintenance overdue: ","Maintenance due: ")&amp;P85)</f>
        <v/>
      </c>
    </row>
    <row r="86" ht="20" customHeight="1">
      <c r="B86" s="72" t="n"/>
      <c r="C86" s="72" t="n"/>
      <c r="D86" s="72" t="n"/>
      <c r="E86" s="109" t="n"/>
      <c r="F86" s="74" t="n"/>
      <c r="G86" s="126">
        <f>IF(OR(E86="",F86=""),"",DATE(YEAR(E86),MONTH(E86)+ROUND(F86*12,0),DAY(E86)))</f>
        <v/>
      </c>
      <c r="H86" s="144">
        <f>IF(G86="","",G86-AsOf)</f>
        <v/>
      </c>
      <c r="I86" s="107">
        <f>IF(G86="","",IF(H86&lt;0,"Expired",IF(H86&lt;=90,"Expires soon","Active")))</f>
        <v/>
      </c>
      <c r="J86" s="72" t="n"/>
      <c r="K86" s="79">
        <f>IF(I86="","",IF(I86="Active",0,IF(I86="Expires soon",1,3)))</f>
        <v/>
      </c>
      <c r="L86" s="112">
        <f>IF(G86="","",IF(G86&lt;AsOf,"",G86))</f>
        <v/>
      </c>
      <c r="M86" s="79">
        <f>IF(L86="","",IF(L86&lt;=AsOf+AlertDays,2,IF(L86&lt;=AsOf+90,3,"")))</f>
        <v/>
      </c>
      <c r="N86" s="79">
        <f>IF(M86="","","Warranty expires in "&amp;H86&amp;" days: "&amp;B86&amp;IF(C86="",""," ("&amp;C86&amp;")")&amp;" — check for defects")</f>
        <v/>
      </c>
      <c r="P86" s="72" t="n"/>
      <c r="Q86" s="72" t="n"/>
      <c r="R86" s="89" t="n"/>
      <c r="S86" s="109" t="n"/>
      <c r="T86" s="126">
        <f>IF(OR(R86="",S86=""),"",DATE(YEAR(S86),MONTH(S86)+R86,DAY(S86)))</f>
        <v/>
      </c>
      <c r="U86" s="144">
        <f>IF(T86="","",T86-AsOf)</f>
        <v/>
      </c>
      <c r="V86" s="107">
        <f>IF(T86="",IF(P86="","","Enter last-done date"),IF(U86&lt;0,"Overdue",IF(U86&lt;=30,"Due soon","OK")))</f>
        <v/>
      </c>
      <c r="W86" s="79">
        <f>IF(T86="","",IF(U86&lt;0,2,IF(U86&lt;=30,1,0)))</f>
        <v/>
      </c>
      <c r="X86" s="112">
        <f>IF(T86="","",T86)</f>
        <v/>
      </c>
      <c r="Y86" s="79">
        <f>IF(X86="","",IF(X86&lt;=AsOf+AlertDays,2,IF(X86&lt;=AsOf+30,3,"")))</f>
        <v/>
      </c>
      <c r="Z86" s="79">
        <f>IF(Y86="","",IF(U86&lt;0,"Maintenance overdue: ","Maintenance due: ")&amp;P86)</f>
        <v/>
      </c>
    </row>
    <row r="87" ht="20" customHeight="1">
      <c r="B87" s="72" t="n"/>
      <c r="C87" s="72" t="n"/>
      <c r="D87" s="72" t="n"/>
      <c r="E87" s="109" t="n"/>
      <c r="F87" s="74" t="n"/>
      <c r="G87" s="126">
        <f>IF(OR(E87="",F87=""),"",DATE(YEAR(E87),MONTH(E87)+ROUND(F87*12,0),DAY(E87)))</f>
        <v/>
      </c>
      <c r="H87" s="144">
        <f>IF(G87="","",G87-AsOf)</f>
        <v/>
      </c>
      <c r="I87" s="107">
        <f>IF(G87="","",IF(H87&lt;0,"Expired",IF(H87&lt;=90,"Expires soon","Active")))</f>
        <v/>
      </c>
      <c r="J87" s="72" t="n"/>
      <c r="K87" s="79">
        <f>IF(I87="","",IF(I87="Active",0,IF(I87="Expires soon",1,3)))</f>
        <v/>
      </c>
      <c r="L87" s="112">
        <f>IF(G87="","",IF(G87&lt;AsOf,"",G87))</f>
        <v/>
      </c>
      <c r="M87" s="79">
        <f>IF(L87="","",IF(L87&lt;=AsOf+AlertDays,2,IF(L87&lt;=AsOf+90,3,"")))</f>
        <v/>
      </c>
      <c r="N87" s="79">
        <f>IF(M87="","","Warranty expires in "&amp;H87&amp;" days: "&amp;B87&amp;IF(C87="",""," ("&amp;C87&amp;")")&amp;" — check for defects")</f>
        <v/>
      </c>
      <c r="P87" s="72" t="n"/>
      <c r="Q87" s="72" t="n"/>
      <c r="R87" s="89" t="n"/>
      <c r="S87" s="109" t="n"/>
      <c r="T87" s="126">
        <f>IF(OR(R87="",S87=""),"",DATE(YEAR(S87),MONTH(S87)+R87,DAY(S87)))</f>
        <v/>
      </c>
      <c r="U87" s="144">
        <f>IF(T87="","",T87-AsOf)</f>
        <v/>
      </c>
      <c r="V87" s="107">
        <f>IF(T87="",IF(P87="","","Enter last-done date"),IF(U87&lt;0,"Overdue",IF(U87&lt;=30,"Due soon","OK")))</f>
        <v/>
      </c>
      <c r="W87" s="79">
        <f>IF(T87="","",IF(U87&lt;0,2,IF(U87&lt;=30,1,0)))</f>
        <v/>
      </c>
      <c r="X87" s="112">
        <f>IF(T87="","",T87)</f>
        <v/>
      </c>
      <c r="Y87" s="79">
        <f>IF(X87="","",IF(X87&lt;=AsOf+AlertDays,2,IF(X87&lt;=AsOf+30,3,"")))</f>
        <v/>
      </c>
      <c r="Z87" s="79">
        <f>IF(Y87="","",IF(U87&lt;0,"Maintenance overdue: ","Maintenance due: ")&amp;P87)</f>
        <v/>
      </c>
    </row>
    <row r="88" ht="20" customHeight="1">
      <c r="B88" s="72" t="n"/>
      <c r="C88" s="72" t="n"/>
      <c r="D88" s="72" t="n"/>
      <c r="E88" s="109" t="n"/>
      <c r="F88" s="74" t="n"/>
      <c r="G88" s="126">
        <f>IF(OR(E88="",F88=""),"",DATE(YEAR(E88),MONTH(E88)+ROUND(F88*12,0),DAY(E88)))</f>
        <v/>
      </c>
      <c r="H88" s="144">
        <f>IF(G88="","",G88-AsOf)</f>
        <v/>
      </c>
      <c r="I88" s="107">
        <f>IF(G88="","",IF(H88&lt;0,"Expired",IF(H88&lt;=90,"Expires soon","Active")))</f>
        <v/>
      </c>
      <c r="J88" s="72" t="n"/>
      <c r="K88" s="79">
        <f>IF(I88="","",IF(I88="Active",0,IF(I88="Expires soon",1,3)))</f>
        <v/>
      </c>
      <c r="L88" s="112">
        <f>IF(G88="","",IF(G88&lt;AsOf,"",G88))</f>
        <v/>
      </c>
      <c r="M88" s="79">
        <f>IF(L88="","",IF(L88&lt;=AsOf+AlertDays,2,IF(L88&lt;=AsOf+90,3,"")))</f>
        <v/>
      </c>
      <c r="N88" s="79">
        <f>IF(M88="","","Warranty expires in "&amp;H88&amp;" days: "&amp;B88&amp;IF(C88="",""," ("&amp;C88&amp;")")&amp;" — check for defects")</f>
        <v/>
      </c>
      <c r="P88" s="72" t="n"/>
      <c r="Q88" s="72" t="n"/>
      <c r="R88" s="89" t="n"/>
      <c r="S88" s="109" t="n"/>
      <c r="T88" s="126">
        <f>IF(OR(R88="",S88=""),"",DATE(YEAR(S88),MONTH(S88)+R88,DAY(S88)))</f>
        <v/>
      </c>
      <c r="U88" s="144">
        <f>IF(T88="","",T88-AsOf)</f>
        <v/>
      </c>
      <c r="V88" s="107">
        <f>IF(T88="",IF(P88="","","Enter last-done date"),IF(U88&lt;0,"Overdue",IF(U88&lt;=30,"Due soon","OK")))</f>
        <v/>
      </c>
      <c r="W88" s="79">
        <f>IF(T88="","",IF(U88&lt;0,2,IF(U88&lt;=30,1,0)))</f>
        <v/>
      </c>
      <c r="X88" s="112">
        <f>IF(T88="","",T88)</f>
        <v/>
      </c>
      <c r="Y88" s="79">
        <f>IF(X88="","",IF(X88&lt;=AsOf+AlertDays,2,IF(X88&lt;=AsOf+30,3,"")))</f>
        <v/>
      </c>
      <c r="Z88" s="79">
        <f>IF(Y88="","",IF(U88&lt;0,"Maintenance overdue: ","Maintenance due: ")&amp;P88)</f>
        <v/>
      </c>
    </row>
    <row r="89" ht="20" customHeight="1">
      <c r="B89" s="72" t="n"/>
      <c r="C89" s="72" t="n"/>
      <c r="D89" s="72" t="n"/>
      <c r="E89" s="109" t="n"/>
      <c r="F89" s="74" t="n"/>
      <c r="G89" s="126">
        <f>IF(OR(E89="",F89=""),"",DATE(YEAR(E89),MONTH(E89)+ROUND(F89*12,0),DAY(E89)))</f>
        <v/>
      </c>
      <c r="H89" s="144">
        <f>IF(G89="","",G89-AsOf)</f>
        <v/>
      </c>
      <c r="I89" s="107">
        <f>IF(G89="","",IF(H89&lt;0,"Expired",IF(H89&lt;=90,"Expires soon","Active")))</f>
        <v/>
      </c>
      <c r="J89" s="72" t="n"/>
      <c r="K89" s="79">
        <f>IF(I89="","",IF(I89="Active",0,IF(I89="Expires soon",1,3)))</f>
        <v/>
      </c>
      <c r="L89" s="112">
        <f>IF(G89="","",IF(G89&lt;AsOf,"",G89))</f>
        <v/>
      </c>
      <c r="M89" s="79">
        <f>IF(L89="","",IF(L89&lt;=AsOf+AlertDays,2,IF(L89&lt;=AsOf+90,3,"")))</f>
        <v/>
      </c>
      <c r="N89" s="79">
        <f>IF(M89="","","Warranty expires in "&amp;H89&amp;" days: "&amp;B89&amp;IF(C89="",""," ("&amp;C89&amp;")")&amp;" — check for defects")</f>
        <v/>
      </c>
      <c r="P89" s="72" t="n"/>
      <c r="Q89" s="72" t="n"/>
      <c r="R89" s="89" t="n"/>
      <c r="S89" s="109" t="n"/>
      <c r="T89" s="126">
        <f>IF(OR(R89="",S89=""),"",DATE(YEAR(S89),MONTH(S89)+R89,DAY(S89)))</f>
        <v/>
      </c>
      <c r="U89" s="144">
        <f>IF(T89="","",T89-AsOf)</f>
        <v/>
      </c>
      <c r="V89" s="107">
        <f>IF(T89="",IF(P89="","","Enter last-done date"),IF(U89&lt;0,"Overdue",IF(U89&lt;=30,"Due soon","OK")))</f>
        <v/>
      </c>
      <c r="W89" s="79">
        <f>IF(T89="","",IF(U89&lt;0,2,IF(U89&lt;=30,1,0)))</f>
        <v/>
      </c>
      <c r="X89" s="112">
        <f>IF(T89="","",T89)</f>
        <v/>
      </c>
      <c r="Y89" s="79">
        <f>IF(X89="","",IF(X89&lt;=AsOf+AlertDays,2,IF(X89&lt;=AsOf+30,3,"")))</f>
        <v/>
      </c>
      <c r="Z89" s="79">
        <f>IF(Y89="","",IF(U89&lt;0,"Maintenance overdue: ","Maintenance due: ")&amp;P89)</f>
        <v/>
      </c>
    </row>
    <row r="90" ht="20" customHeight="1">
      <c r="B90" s="72" t="n"/>
      <c r="C90" s="72" t="n"/>
      <c r="D90" s="72" t="n"/>
      <c r="E90" s="109" t="n"/>
      <c r="F90" s="74" t="n"/>
      <c r="G90" s="126">
        <f>IF(OR(E90="",F90=""),"",DATE(YEAR(E90),MONTH(E90)+ROUND(F90*12,0),DAY(E90)))</f>
        <v/>
      </c>
      <c r="H90" s="144">
        <f>IF(G90="","",G90-AsOf)</f>
        <v/>
      </c>
      <c r="I90" s="107">
        <f>IF(G90="","",IF(H90&lt;0,"Expired",IF(H90&lt;=90,"Expires soon","Active")))</f>
        <v/>
      </c>
      <c r="J90" s="72" t="n"/>
      <c r="K90" s="79">
        <f>IF(I90="","",IF(I90="Active",0,IF(I90="Expires soon",1,3)))</f>
        <v/>
      </c>
      <c r="L90" s="112">
        <f>IF(G90="","",IF(G90&lt;AsOf,"",G90))</f>
        <v/>
      </c>
      <c r="M90" s="79">
        <f>IF(L90="","",IF(L90&lt;=AsOf+AlertDays,2,IF(L90&lt;=AsOf+90,3,"")))</f>
        <v/>
      </c>
      <c r="N90" s="79">
        <f>IF(M90="","","Warranty expires in "&amp;H90&amp;" days: "&amp;B90&amp;IF(C90="",""," ("&amp;C90&amp;")")&amp;" — check for defects")</f>
        <v/>
      </c>
      <c r="P90" s="72" t="n"/>
      <c r="Q90" s="72" t="n"/>
      <c r="R90" s="89" t="n"/>
      <c r="S90" s="109" t="n"/>
      <c r="T90" s="126">
        <f>IF(OR(R90="",S90=""),"",DATE(YEAR(S90),MONTH(S90)+R90,DAY(S90)))</f>
        <v/>
      </c>
      <c r="U90" s="144">
        <f>IF(T90="","",T90-AsOf)</f>
        <v/>
      </c>
      <c r="V90" s="107">
        <f>IF(T90="",IF(P90="","","Enter last-done date"),IF(U90&lt;0,"Overdue",IF(U90&lt;=30,"Due soon","OK")))</f>
        <v/>
      </c>
      <c r="W90" s="79">
        <f>IF(T90="","",IF(U90&lt;0,2,IF(U90&lt;=30,1,0)))</f>
        <v/>
      </c>
      <c r="X90" s="112">
        <f>IF(T90="","",T90)</f>
        <v/>
      </c>
      <c r="Y90" s="79">
        <f>IF(X90="","",IF(X90&lt;=AsOf+AlertDays,2,IF(X90&lt;=AsOf+30,3,"")))</f>
        <v/>
      </c>
      <c r="Z90" s="79">
        <f>IF(Y90="","",IF(U90&lt;0,"Maintenance overdue: ","Maintenance due: ")&amp;P90)</f>
        <v/>
      </c>
    </row>
    <row r="91" ht="20" customHeight="1">
      <c r="B91" s="72" t="n"/>
      <c r="C91" s="72" t="n"/>
      <c r="D91" s="72" t="n"/>
      <c r="E91" s="109" t="n"/>
      <c r="F91" s="74" t="n"/>
      <c r="G91" s="126">
        <f>IF(OR(E91="",F91=""),"",DATE(YEAR(E91),MONTH(E91)+ROUND(F91*12,0),DAY(E91)))</f>
        <v/>
      </c>
      <c r="H91" s="144">
        <f>IF(G91="","",G91-AsOf)</f>
        <v/>
      </c>
      <c r="I91" s="107">
        <f>IF(G91="","",IF(H91&lt;0,"Expired",IF(H91&lt;=90,"Expires soon","Active")))</f>
        <v/>
      </c>
      <c r="J91" s="72" t="n"/>
      <c r="K91" s="79">
        <f>IF(I91="","",IF(I91="Active",0,IF(I91="Expires soon",1,3)))</f>
        <v/>
      </c>
      <c r="L91" s="112">
        <f>IF(G91="","",IF(G91&lt;AsOf,"",G91))</f>
        <v/>
      </c>
      <c r="M91" s="79">
        <f>IF(L91="","",IF(L91&lt;=AsOf+AlertDays,2,IF(L91&lt;=AsOf+90,3,"")))</f>
        <v/>
      </c>
      <c r="N91" s="79">
        <f>IF(M91="","","Warranty expires in "&amp;H91&amp;" days: "&amp;B91&amp;IF(C91="",""," ("&amp;C91&amp;")")&amp;" — check for defects")</f>
        <v/>
      </c>
      <c r="P91" s="72" t="n"/>
      <c r="Q91" s="72" t="n"/>
      <c r="R91" s="89" t="n"/>
      <c r="S91" s="109" t="n"/>
      <c r="T91" s="126">
        <f>IF(OR(R91="",S91=""),"",DATE(YEAR(S91),MONTH(S91)+R91,DAY(S91)))</f>
        <v/>
      </c>
      <c r="U91" s="144">
        <f>IF(T91="","",T91-AsOf)</f>
        <v/>
      </c>
      <c r="V91" s="107">
        <f>IF(T91="",IF(P91="","","Enter last-done date"),IF(U91&lt;0,"Overdue",IF(U91&lt;=30,"Due soon","OK")))</f>
        <v/>
      </c>
      <c r="W91" s="79">
        <f>IF(T91="","",IF(U91&lt;0,2,IF(U91&lt;=30,1,0)))</f>
        <v/>
      </c>
      <c r="X91" s="112">
        <f>IF(T91="","",T91)</f>
        <v/>
      </c>
      <c r="Y91" s="79">
        <f>IF(X91="","",IF(X91&lt;=AsOf+AlertDays,2,IF(X91&lt;=AsOf+30,3,"")))</f>
        <v/>
      </c>
      <c r="Z91" s="79">
        <f>IF(Y91="","",IF(U91&lt;0,"Maintenance overdue: ","Maintenance due: ")&amp;P91)</f>
        <v/>
      </c>
    </row>
    <row r="92" ht="20" customHeight="1">
      <c r="B92" s="72" t="n"/>
      <c r="C92" s="72" t="n"/>
      <c r="D92" s="72" t="n"/>
      <c r="E92" s="109" t="n"/>
      <c r="F92" s="74" t="n"/>
      <c r="G92" s="126">
        <f>IF(OR(E92="",F92=""),"",DATE(YEAR(E92),MONTH(E92)+ROUND(F92*12,0),DAY(E92)))</f>
        <v/>
      </c>
      <c r="H92" s="144">
        <f>IF(G92="","",G92-AsOf)</f>
        <v/>
      </c>
      <c r="I92" s="107">
        <f>IF(G92="","",IF(H92&lt;0,"Expired",IF(H92&lt;=90,"Expires soon","Active")))</f>
        <v/>
      </c>
      <c r="J92" s="72" t="n"/>
      <c r="K92" s="79">
        <f>IF(I92="","",IF(I92="Active",0,IF(I92="Expires soon",1,3)))</f>
        <v/>
      </c>
      <c r="L92" s="112">
        <f>IF(G92="","",IF(G92&lt;AsOf,"",G92))</f>
        <v/>
      </c>
      <c r="M92" s="79">
        <f>IF(L92="","",IF(L92&lt;=AsOf+AlertDays,2,IF(L92&lt;=AsOf+90,3,"")))</f>
        <v/>
      </c>
      <c r="N92" s="79">
        <f>IF(M92="","","Warranty expires in "&amp;H92&amp;" days: "&amp;B92&amp;IF(C92="",""," ("&amp;C92&amp;")")&amp;" — check for defects")</f>
        <v/>
      </c>
      <c r="P92" s="72" t="n"/>
      <c r="Q92" s="72" t="n"/>
      <c r="R92" s="89" t="n"/>
      <c r="S92" s="109" t="n"/>
      <c r="T92" s="126">
        <f>IF(OR(R92="",S92=""),"",DATE(YEAR(S92),MONTH(S92)+R92,DAY(S92)))</f>
        <v/>
      </c>
      <c r="U92" s="144">
        <f>IF(T92="","",T92-AsOf)</f>
        <v/>
      </c>
      <c r="V92" s="107">
        <f>IF(T92="",IF(P92="","","Enter last-done date"),IF(U92&lt;0,"Overdue",IF(U92&lt;=30,"Due soon","OK")))</f>
        <v/>
      </c>
      <c r="W92" s="79">
        <f>IF(T92="","",IF(U92&lt;0,2,IF(U92&lt;=30,1,0)))</f>
        <v/>
      </c>
      <c r="X92" s="112">
        <f>IF(T92="","",T92)</f>
        <v/>
      </c>
      <c r="Y92" s="79">
        <f>IF(X92="","",IF(X92&lt;=AsOf+AlertDays,2,IF(X92&lt;=AsOf+30,3,"")))</f>
        <v/>
      </c>
      <c r="Z92" s="79">
        <f>IF(Y92="","",IF(U92&lt;0,"Maintenance overdue: ","Maintenance due: ")&amp;P92)</f>
        <v/>
      </c>
    </row>
    <row r="93" ht="20" customHeight="1">
      <c r="B93" s="72" t="n"/>
      <c r="C93" s="72" t="n"/>
      <c r="D93" s="72" t="n"/>
      <c r="E93" s="109" t="n"/>
      <c r="F93" s="74" t="n"/>
      <c r="G93" s="126">
        <f>IF(OR(E93="",F93=""),"",DATE(YEAR(E93),MONTH(E93)+ROUND(F93*12,0),DAY(E93)))</f>
        <v/>
      </c>
      <c r="H93" s="144">
        <f>IF(G93="","",G93-AsOf)</f>
        <v/>
      </c>
      <c r="I93" s="107">
        <f>IF(G93="","",IF(H93&lt;0,"Expired",IF(H93&lt;=90,"Expires soon","Active")))</f>
        <v/>
      </c>
      <c r="J93" s="72" t="n"/>
      <c r="K93" s="79">
        <f>IF(I93="","",IF(I93="Active",0,IF(I93="Expires soon",1,3)))</f>
        <v/>
      </c>
      <c r="L93" s="112">
        <f>IF(G93="","",IF(G93&lt;AsOf,"",G93))</f>
        <v/>
      </c>
      <c r="M93" s="79">
        <f>IF(L93="","",IF(L93&lt;=AsOf+AlertDays,2,IF(L93&lt;=AsOf+90,3,"")))</f>
        <v/>
      </c>
      <c r="N93" s="79">
        <f>IF(M93="","","Warranty expires in "&amp;H93&amp;" days: "&amp;B93&amp;IF(C93="",""," ("&amp;C93&amp;")")&amp;" — check for defects")</f>
        <v/>
      </c>
      <c r="P93" s="72" t="n"/>
      <c r="Q93" s="72" t="n"/>
      <c r="R93" s="89" t="n"/>
      <c r="S93" s="109" t="n"/>
      <c r="T93" s="126">
        <f>IF(OR(R93="",S93=""),"",DATE(YEAR(S93),MONTH(S93)+R93,DAY(S93)))</f>
        <v/>
      </c>
      <c r="U93" s="144">
        <f>IF(T93="","",T93-AsOf)</f>
        <v/>
      </c>
      <c r="V93" s="107">
        <f>IF(T93="",IF(P93="","","Enter last-done date"),IF(U93&lt;0,"Overdue",IF(U93&lt;=30,"Due soon","OK")))</f>
        <v/>
      </c>
      <c r="W93" s="79">
        <f>IF(T93="","",IF(U93&lt;0,2,IF(U93&lt;=30,1,0)))</f>
        <v/>
      </c>
      <c r="X93" s="112">
        <f>IF(T93="","",T93)</f>
        <v/>
      </c>
      <c r="Y93" s="79">
        <f>IF(X93="","",IF(X93&lt;=AsOf+AlertDays,2,IF(X93&lt;=AsOf+30,3,"")))</f>
        <v/>
      </c>
      <c r="Z93" s="79">
        <f>IF(Y93="","",IF(U93&lt;0,"Maintenance overdue: ","Maintenance due: ")&amp;P93)</f>
        <v/>
      </c>
    </row>
    <row r="94" ht="20" customHeight="1">
      <c r="B94" s="72" t="n"/>
      <c r="C94" s="72" t="n"/>
      <c r="D94" s="72" t="n"/>
      <c r="E94" s="109" t="n"/>
      <c r="F94" s="74" t="n"/>
      <c r="G94" s="126">
        <f>IF(OR(E94="",F94=""),"",DATE(YEAR(E94),MONTH(E94)+ROUND(F94*12,0),DAY(E94)))</f>
        <v/>
      </c>
      <c r="H94" s="144">
        <f>IF(G94="","",G94-AsOf)</f>
        <v/>
      </c>
      <c r="I94" s="107">
        <f>IF(G94="","",IF(H94&lt;0,"Expired",IF(H94&lt;=90,"Expires soon","Active")))</f>
        <v/>
      </c>
      <c r="J94" s="72" t="n"/>
      <c r="K94" s="79">
        <f>IF(I94="","",IF(I94="Active",0,IF(I94="Expires soon",1,3)))</f>
        <v/>
      </c>
      <c r="L94" s="112">
        <f>IF(G94="","",IF(G94&lt;AsOf,"",G94))</f>
        <v/>
      </c>
      <c r="M94" s="79">
        <f>IF(L94="","",IF(L94&lt;=AsOf+AlertDays,2,IF(L94&lt;=AsOf+90,3,"")))</f>
        <v/>
      </c>
      <c r="N94" s="79">
        <f>IF(M94="","","Warranty expires in "&amp;H94&amp;" days: "&amp;B94&amp;IF(C94="",""," ("&amp;C94&amp;")")&amp;" — check for defects")</f>
        <v/>
      </c>
      <c r="P94" s="72" t="n"/>
      <c r="Q94" s="72" t="n"/>
      <c r="R94" s="89" t="n"/>
      <c r="S94" s="109" t="n"/>
      <c r="T94" s="126">
        <f>IF(OR(R94="",S94=""),"",DATE(YEAR(S94),MONTH(S94)+R94,DAY(S94)))</f>
        <v/>
      </c>
      <c r="U94" s="144">
        <f>IF(T94="","",T94-AsOf)</f>
        <v/>
      </c>
      <c r="V94" s="107">
        <f>IF(T94="",IF(P94="","","Enter last-done date"),IF(U94&lt;0,"Overdue",IF(U94&lt;=30,"Due soon","OK")))</f>
        <v/>
      </c>
      <c r="W94" s="79">
        <f>IF(T94="","",IF(U94&lt;0,2,IF(U94&lt;=30,1,0)))</f>
        <v/>
      </c>
      <c r="X94" s="112">
        <f>IF(T94="","",T94)</f>
        <v/>
      </c>
      <c r="Y94" s="79">
        <f>IF(X94="","",IF(X94&lt;=AsOf+AlertDays,2,IF(X94&lt;=AsOf+30,3,"")))</f>
        <v/>
      </c>
      <c r="Z94" s="79">
        <f>IF(Y94="","",IF(U94&lt;0,"Maintenance overdue: ","Maintenance due: ")&amp;P94)</f>
        <v/>
      </c>
    </row>
    <row r="95" ht="20" customHeight="1">
      <c r="B95" s="72" t="n"/>
      <c r="C95" s="72" t="n"/>
      <c r="D95" s="72" t="n"/>
      <c r="E95" s="109" t="n"/>
      <c r="F95" s="74" t="n"/>
      <c r="G95" s="126">
        <f>IF(OR(E95="",F95=""),"",DATE(YEAR(E95),MONTH(E95)+ROUND(F95*12,0),DAY(E95)))</f>
        <v/>
      </c>
      <c r="H95" s="144">
        <f>IF(G95="","",G95-AsOf)</f>
        <v/>
      </c>
      <c r="I95" s="107">
        <f>IF(G95="","",IF(H95&lt;0,"Expired",IF(H95&lt;=90,"Expires soon","Active")))</f>
        <v/>
      </c>
      <c r="J95" s="72" t="n"/>
      <c r="K95" s="79">
        <f>IF(I95="","",IF(I95="Active",0,IF(I95="Expires soon",1,3)))</f>
        <v/>
      </c>
      <c r="L95" s="112">
        <f>IF(G95="","",IF(G95&lt;AsOf,"",G95))</f>
        <v/>
      </c>
      <c r="M95" s="79">
        <f>IF(L95="","",IF(L95&lt;=AsOf+AlertDays,2,IF(L95&lt;=AsOf+90,3,"")))</f>
        <v/>
      </c>
      <c r="N95" s="79">
        <f>IF(M95="","","Warranty expires in "&amp;H95&amp;" days: "&amp;B95&amp;IF(C95="",""," ("&amp;C95&amp;")")&amp;" — check for defects")</f>
        <v/>
      </c>
      <c r="P95" s="72" t="n"/>
      <c r="Q95" s="72" t="n"/>
      <c r="R95" s="89" t="n"/>
      <c r="S95" s="109" t="n"/>
      <c r="T95" s="126">
        <f>IF(OR(R95="",S95=""),"",DATE(YEAR(S95),MONTH(S95)+R95,DAY(S95)))</f>
        <v/>
      </c>
      <c r="U95" s="144">
        <f>IF(T95="","",T95-AsOf)</f>
        <v/>
      </c>
      <c r="V95" s="107">
        <f>IF(T95="",IF(P95="","","Enter last-done date"),IF(U95&lt;0,"Overdue",IF(U95&lt;=30,"Due soon","OK")))</f>
        <v/>
      </c>
      <c r="W95" s="79">
        <f>IF(T95="","",IF(U95&lt;0,2,IF(U95&lt;=30,1,0)))</f>
        <v/>
      </c>
      <c r="X95" s="112">
        <f>IF(T95="","",T95)</f>
        <v/>
      </c>
      <c r="Y95" s="79">
        <f>IF(X95="","",IF(X95&lt;=AsOf+AlertDays,2,IF(X95&lt;=AsOf+30,3,"")))</f>
        <v/>
      </c>
      <c r="Z95" s="79">
        <f>IF(Y95="","",IF(U95&lt;0,"Maintenance overdue: ","Maintenance due: ")&amp;P95)</f>
        <v/>
      </c>
    </row>
    <row r="96" ht="20" customHeight="1">
      <c r="B96" s="72" t="n"/>
      <c r="C96" s="72" t="n"/>
      <c r="D96" s="72" t="n"/>
      <c r="E96" s="109" t="n"/>
      <c r="F96" s="74" t="n"/>
      <c r="G96" s="126">
        <f>IF(OR(E96="",F96=""),"",DATE(YEAR(E96),MONTH(E96)+ROUND(F96*12,0),DAY(E96)))</f>
        <v/>
      </c>
      <c r="H96" s="144">
        <f>IF(G96="","",G96-AsOf)</f>
        <v/>
      </c>
      <c r="I96" s="107">
        <f>IF(G96="","",IF(H96&lt;0,"Expired",IF(H96&lt;=90,"Expires soon","Active")))</f>
        <v/>
      </c>
      <c r="J96" s="72" t="n"/>
      <c r="K96" s="79">
        <f>IF(I96="","",IF(I96="Active",0,IF(I96="Expires soon",1,3)))</f>
        <v/>
      </c>
      <c r="L96" s="112">
        <f>IF(G96="","",IF(G96&lt;AsOf,"",G96))</f>
        <v/>
      </c>
      <c r="M96" s="79">
        <f>IF(L96="","",IF(L96&lt;=AsOf+AlertDays,2,IF(L96&lt;=AsOf+90,3,"")))</f>
        <v/>
      </c>
      <c r="N96" s="79">
        <f>IF(M96="","","Warranty expires in "&amp;H96&amp;" days: "&amp;B96&amp;IF(C96="",""," ("&amp;C96&amp;")")&amp;" — check for defects")</f>
        <v/>
      </c>
      <c r="P96" s="72" t="n"/>
      <c r="Q96" s="72" t="n"/>
      <c r="R96" s="89" t="n"/>
      <c r="S96" s="109" t="n"/>
      <c r="T96" s="126">
        <f>IF(OR(R96="",S96=""),"",DATE(YEAR(S96),MONTH(S96)+R96,DAY(S96)))</f>
        <v/>
      </c>
      <c r="U96" s="144">
        <f>IF(T96="","",T96-AsOf)</f>
        <v/>
      </c>
      <c r="V96" s="107">
        <f>IF(T96="",IF(P96="","","Enter last-done date"),IF(U96&lt;0,"Overdue",IF(U96&lt;=30,"Due soon","OK")))</f>
        <v/>
      </c>
      <c r="W96" s="79">
        <f>IF(T96="","",IF(U96&lt;0,2,IF(U96&lt;=30,1,0)))</f>
        <v/>
      </c>
      <c r="X96" s="112">
        <f>IF(T96="","",T96)</f>
        <v/>
      </c>
      <c r="Y96" s="79">
        <f>IF(X96="","",IF(X96&lt;=AsOf+AlertDays,2,IF(X96&lt;=AsOf+30,3,"")))</f>
        <v/>
      </c>
      <c r="Z96" s="79">
        <f>IF(Y96="","",IF(U96&lt;0,"Maintenance overdue: ","Maintenance due: ")&amp;P96)</f>
        <v/>
      </c>
    </row>
    <row r="97" ht="20" customHeight="1">
      <c r="B97" s="72" t="n"/>
      <c r="C97" s="72" t="n"/>
      <c r="D97" s="72" t="n"/>
      <c r="E97" s="109" t="n"/>
      <c r="F97" s="74" t="n"/>
      <c r="G97" s="126">
        <f>IF(OR(E97="",F97=""),"",DATE(YEAR(E97),MONTH(E97)+ROUND(F97*12,0),DAY(E97)))</f>
        <v/>
      </c>
      <c r="H97" s="144">
        <f>IF(G97="","",G97-AsOf)</f>
        <v/>
      </c>
      <c r="I97" s="107">
        <f>IF(G97="","",IF(H97&lt;0,"Expired",IF(H97&lt;=90,"Expires soon","Active")))</f>
        <v/>
      </c>
      <c r="J97" s="72" t="n"/>
      <c r="K97" s="79">
        <f>IF(I97="","",IF(I97="Active",0,IF(I97="Expires soon",1,3)))</f>
        <v/>
      </c>
      <c r="L97" s="112">
        <f>IF(G97="","",IF(G97&lt;AsOf,"",G97))</f>
        <v/>
      </c>
      <c r="M97" s="79">
        <f>IF(L97="","",IF(L97&lt;=AsOf+AlertDays,2,IF(L97&lt;=AsOf+90,3,"")))</f>
        <v/>
      </c>
      <c r="N97" s="79">
        <f>IF(M97="","","Warranty expires in "&amp;H97&amp;" days: "&amp;B97&amp;IF(C97="",""," ("&amp;C97&amp;")")&amp;" — check for defects")</f>
        <v/>
      </c>
      <c r="P97" s="72" t="n"/>
      <c r="Q97" s="72" t="n"/>
      <c r="R97" s="89" t="n"/>
      <c r="S97" s="109" t="n"/>
      <c r="T97" s="126">
        <f>IF(OR(R97="",S97=""),"",DATE(YEAR(S97),MONTH(S97)+R97,DAY(S97)))</f>
        <v/>
      </c>
      <c r="U97" s="144">
        <f>IF(T97="","",T97-AsOf)</f>
        <v/>
      </c>
      <c r="V97" s="107">
        <f>IF(T97="",IF(P97="","","Enter last-done date"),IF(U97&lt;0,"Overdue",IF(U97&lt;=30,"Due soon","OK")))</f>
        <v/>
      </c>
      <c r="W97" s="79">
        <f>IF(T97="","",IF(U97&lt;0,2,IF(U97&lt;=30,1,0)))</f>
        <v/>
      </c>
      <c r="X97" s="112">
        <f>IF(T97="","",T97)</f>
        <v/>
      </c>
      <c r="Y97" s="79">
        <f>IF(X97="","",IF(X97&lt;=AsOf+AlertDays,2,IF(X97&lt;=AsOf+30,3,"")))</f>
        <v/>
      </c>
      <c r="Z97" s="79">
        <f>IF(Y97="","",IF(U97&lt;0,"Maintenance overdue: ","Maintenance due: ")&amp;P97)</f>
        <v/>
      </c>
    </row>
    <row r="98" ht="20" customHeight="1">
      <c r="B98" s="72" t="n"/>
      <c r="C98" s="72" t="n"/>
      <c r="D98" s="72" t="n"/>
      <c r="E98" s="109" t="n"/>
      <c r="F98" s="74" t="n"/>
      <c r="G98" s="126">
        <f>IF(OR(E98="",F98=""),"",DATE(YEAR(E98),MONTH(E98)+ROUND(F98*12,0),DAY(E98)))</f>
        <v/>
      </c>
      <c r="H98" s="144">
        <f>IF(G98="","",G98-AsOf)</f>
        <v/>
      </c>
      <c r="I98" s="107">
        <f>IF(G98="","",IF(H98&lt;0,"Expired",IF(H98&lt;=90,"Expires soon","Active")))</f>
        <v/>
      </c>
      <c r="J98" s="72" t="n"/>
      <c r="K98" s="79">
        <f>IF(I98="","",IF(I98="Active",0,IF(I98="Expires soon",1,3)))</f>
        <v/>
      </c>
      <c r="L98" s="112">
        <f>IF(G98="","",IF(G98&lt;AsOf,"",G98))</f>
        <v/>
      </c>
      <c r="M98" s="79">
        <f>IF(L98="","",IF(L98&lt;=AsOf+AlertDays,2,IF(L98&lt;=AsOf+90,3,"")))</f>
        <v/>
      </c>
      <c r="N98" s="79">
        <f>IF(M98="","","Warranty expires in "&amp;H98&amp;" days: "&amp;B98&amp;IF(C98="",""," ("&amp;C98&amp;")")&amp;" — check for defects")</f>
        <v/>
      </c>
      <c r="P98" s="72" t="n"/>
      <c r="Q98" s="72" t="n"/>
      <c r="R98" s="89" t="n"/>
      <c r="S98" s="109" t="n"/>
      <c r="T98" s="126">
        <f>IF(OR(R98="",S98=""),"",DATE(YEAR(S98),MONTH(S98)+R98,DAY(S98)))</f>
        <v/>
      </c>
      <c r="U98" s="144">
        <f>IF(T98="","",T98-AsOf)</f>
        <v/>
      </c>
      <c r="V98" s="107">
        <f>IF(T98="",IF(P98="","","Enter last-done date"),IF(U98&lt;0,"Overdue",IF(U98&lt;=30,"Due soon","OK")))</f>
        <v/>
      </c>
      <c r="W98" s="79">
        <f>IF(T98="","",IF(U98&lt;0,2,IF(U98&lt;=30,1,0)))</f>
        <v/>
      </c>
      <c r="X98" s="112">
        <f>IF(T98="","",T98)</f>
        <v/>
      </c>
      <c r="Y98" s="79">
        <f>IF(X98="","",IF(X98&lt;=AsOf+AlertDays,2,IF(X98&lt;=AsOf+30,3,"")))</f>
        <v/>
      </c>
      <c r="Z98" s="79">
        <f>IF(Y98="","",IF(U98&lt;0,"Maintenance overdue: ","Maintenance due: ")&amp;P98)</f>
        <v/>
      </c>
    </row>
    <row r="99" ht="20" customHeight="1">
      <c r="B99" s="72" t="n"/>
      <c r="C99" s="72" t="n"/>
      <c r="D99" s="72" t="n"/>
      <c r="E99" s="109" t="n"/>
      <c r="F99" s="74" t="n"/>
      <c r="G99" s="126">
        <f>IF(OR(E99="",F99=""),"",DATE(YEAR(E99),MONTH(E99)+ROUND(F99*12,0),DAY(E99)))</f>
        <v/>
      </c>
      <c r="H99" s="144">
        <f>IF(G99="","",G99-AsOf)</f>
        <v/>
      </c>
      <c r="I99" s="107">
        <f>IF(G99="","",IF(H99&lt;0,"Expired",IF(H99&lt;=90,"Expires soon","Active")))</f>
        <v/>
      </c>
      <c r="J99" s="72" t="n"/>
      <c r="K99" s="79">
        <f>IF(I99="","",IF(I99="Active",0,IF(I99="Expires soon",1,3)))</f>
        <v/>
      </c>
      <c r="L99" s="112">
        <f>IF(G99="","",IF(G99&lt;AsOf,"",G99))</f>
        <v/>
      </c>
      <c r="M99" s="79">
        <f>IF(L99="","",IF(L99&lt;=AsOf+AlertDays,2,IF(L99&lt;=AsOf+90,3,"")))</f>
        <v/>
      </c>
      <c r="N99" s="79">
        <f>IF(M99="","","Warranty expires in "&amp;H99&amp;" days: "&amp;B99&amp;IF(C99="",""," ("&amp;C99&amp;")")&amp;" — check for defects")</f>
        <v/>
      </c>
      <c r="P99" s="72" t="n"/>
      <c r="Q99" s="72" t="n"/>
      <c r="R99" s="89" t="n"/>
      <c r="S99" s="109" t="n"/>
      <c r="T99" s="126">
        <f>IF(OR(R99="",S99=""),"",DATE(YEAR(S99),MONTH(S99)+R99,DAY(S99)))</f>
        <v/>
      </c>
      <c r="U99" s="144">
        <f>IF(T99="","",T99-AsOf)</f>
        <v/>
      </c>
      <c r="V99" s="107">
        <f>IF(T99="",IF(P99="","","Enter last-done date"),IF(U99&lt;0,"Overdue",IF(U99&lt;=30,"Due soon","OK")))</f>
        <v/>
      </c>
      <c r="W99" s="79">
        <f>IF(T99="","",IF(U99&lt;0,2,IF(U99&lt;=30,1,0)))</f>
        <v/>
      </c>
      <c r="X99" s="112">
        <f>IF(T99="","",T99)</f>
        <v/>
      </c>
      <c r="Y99" s="79">
        <f>IF(X99="","",IF(X99&lt;=AsOf+AlertDays,2,IF(X99&lt;=AsOf+30,3,"")))</f>
        <v/>
      </c>
      <c r="Z99" s="79">
        <f>IF(Y99="","",IF(U99&lt;0,"Maintenance overdue: ","Maintenance due: ")&amp;P99)</f>
        <v/>
      </c>
    </row>
    <row r="100" ht="20" customHeight="1">
      <c r="B100" s="72" t="n"/>
      <c r="C100" s="72" t="n"/>
      <c r="D100" s="72" t="n"/>
      <c r="E100" s="109" t="n"/>
      <c r="F100" s="74" t="n"/>
      <c r="G100" s="126">
        <f>IF(OR(E100="",F100=""),"",DATE(YEAR(E100),MONTH(E100)+ROUND(F100*12,0),DAY(E100)))</f>
        <v/>
      </c>
      <c r="H100" s="144">
        <f>IF(G100="","",G100-AsOf)</f>
        <v/>
      </c>
      <c r="I100" s="107">
        <f>IF(G100="","",IF(H100&lt;0,"Expired",IF(H100&lt;=90,"Expires soon","Active")))</f>
        <v/>
      </c>
      <c r="J100" s="72" t="n"/>
      <c r="K100" s="79">
        <f>IF(I100="","",IF(I100="Active",0,IF(I100="Expires soon",1,3)))</f>
        <v/>
      </c>
      <c r="L100" s="112">
        <f>IF(G100="","",IF(G100&lt;AsOf,"",G100))</f>
        <v/>
      </c>
      <c r="M100" s="79">
        <f>IF(L100="","",IF(L100&lt;=AsOf+AlertDays,2,IF(L100&lt;=AsOf+90,3,"")))</f>
        <v/>
      </c>
      <c r="N100" s="79">
        <f>IF(M100="","","Warranty expires in "&amp;H100&amp;" days: "&amp;B100&amp;IF(C100="",""," ("&amp;C100&amp;")")&amp;" — check for defects")</f>
        <v/>
      </c>
      <c r="P100" s="72" t="n"/>
      <c r="Q100" s="72" t="n"/>
      <c r="R100" s="89" t="n"/>
      <c r="S100" s="109" t="n"/>
      <c r="T100" s="126">
        <f>IF(OR(R100="",S100=""),"",DATE(YEAR(S100),MONTH(S100)+R100,DAY(S100)))</f>
        <v/>
      </c>
      <c r="U100" s="144">
        <f>IF(T100="","",T100-AsOf)</f>
        <v/>
      </c>
      <c r="V100" s="107">
        <f>IF(T100="",IF(P100="","","Enter last-done date"),IF(U100&lt;0,"Overdue",IF(U100&lt;=30,"Due soon","OK")))</f>
        <v/>
      </c>
      <c r="W100" s="79">
        <f>IF(T100="","",IF(U100&lt;0,2,IF(U100&lt;=30,1,0)))</f>
        <v/>
      </c>
      <c r="X100" s="112">
        <f>IF(T100="","",T100)</f>
        <v/>
      </c>
      <c r="Y100" s="79">
        <f>IF(X100="","",IF(X100&lt;=AsOf+AlertDays,2,IF(X100&lt;=AsOf+30,3,"")))</f>
        <v/>
      </c>
      <c r="Z100" s="79">
        <f>IF(Y100="","",IF(U100&lt;0,"Maintenance overdue: ","Maintenance due: ")&amp;P100)</f>
        <v/>
      </c>
    </row>
    <row r="101" ht="20" customHeight="1">
      <c r="B101" s="72" t="n"/>
      <c r="C101" s="72" t="n"/>
      <c r="D101" s="72" t="n"/>
      <c r="E101" s="109" t="n"/>
      <c r="F101" s="74" t="n"/>
      <c r="G101" s="126">
        <f>IF(OR(E101="",F101=""),"",DATE(YEAR(E101),MONTH(E101)+ROUND(F101*12,0),DAY(E101)))</f>
        <v/>
      </c>
      <c r="H101" s="144">
        <f>IF(G101="","",G101-AsOf)</f>
        <v/>
      </c>
      <c r="I101" s="107">
        <f>IF(G101="","",IF(H101&lt;0,"Expired",IF(H101&lt;=90,"Expires soon","Active")))</f>
        <v/>
      </c>
      <c r="J101" s="72" t="n"/>
      <c r="K101" s="79">
        <f>IF(I101="","",IF(I101="Active",0,IF(I101="Expires soon",1,3)))</f>
        <v/>
      </c>
      <c r="L101" s="112">
        <f>IF(G101="","",IF(G101&lt;AsOf,"",G101))</f>
        <v/>
      </c>
      <c r="M101" s="79">
        <f>IF(L101="","",IF(L101&lt;=AsOf+AlertDays,2,IF(L101&lt;=AsOf+90,3,"")))</f>
        <v/>
      </c>
      <c r="N101" s="79">
        <f>IF(M101="","","Warranty expires in "&amp;H101&amp;" days: "&amp;B101&amp;IF(C101="",""," ("&amp;C101&amp;")")&amp;" — check for defects")</f>
        <v/>
      </c>
      <c r="P101" s="72" t="n"/>
      <c r="Q101" s="72" t="n"/>
      <c r="R101" s="89" t="n"/>
      <c r="S101" s="109" t="n"/>
      <c r="T101" s="126">
        <f>IF(OR(R101="",S101=""),"",DATE(YEAR(S101),MONTH(S101)+R101,DAY(S101)))</f>
        <v/>
      </c>
      <c r="U101" s="144">
        <f>IF(T101="","",T101-AsOf)</f>
        <v/>
      </c>
      <c r="V101" s="107">
        <f>IF(T101="",IF(P101="","","Enter last-done date"),IF(U101&lt;0,"Overdue",IF(U101&lt;=30,"Due soon","OK")))</f>
        <v/>
      </c>
      <c r="W101" s="79">
        <f>IF(T101="","",IF(U101&lt;0,2,IF(U101&lt;=30,1,0)))</f>
        <v/>
      </c>
      <c r="X101" s="112">
        <f>IF(T101="","",T101)</f>
        <v/>
      </c>
      <c r="Y101" s="79">
        <f>IF(X101="","",IF(X101&lt;=AsOf+AlertDays,2,IF(X101&lt;=AsOf+30,3,"")))</f>
        <v/>
      </c>
      <c r="Z101" s="79">
        <f>IF(Y101="","",IF(U101&lt;0,"Maintenance overdue: ","Maintenance due: ")&amp;P101)</f>
        <v/>
      </c>
    </row>
    <row r="102" ht="20" customHeight="1">
      <c r="B102" s="72" t="n"/>
      <c r="C102" s="72" t="n"/>
      <c r="D102" s="72" t="n"/>
      <c r="E102" s="109" t="n"/>
      <c r="F102" s="74" t="n"/>
      <c r="G102" s="126">
        <f>IF(OR(E102="",F102=""),"",DATE(YEAR(E102),MONTH(E102)+ROUND(F102*12,0),DAY(E102)))</f>
        <v/>
      </c>
      <c r="H102" s="144">
        <f>IF(G102="","",G102-AsOf)</f>
        <v/>
      </c>
      <c r="I102" s="107">
        <f>IF(G102="","",IF(H102&lt;0,"Expired",IF(H102&lt;=90,"Expires soon","Active")))</f>
        <v/>
      </c>
      <c r="J102" s="72" t="n"/>
      <c r="K102" s="79">
        <f>IF(I102="","",IF(I102="Active",0,IF(I102="Expires soon",1,3)))</f>
        <v/>
      </c>
      <c r="L102" s="112">
        <f>IF(G102="","",IF(G102&lt;AsOf,"",G102))</f>
        <v/>
      </c>
      <c r="M102" s="79">
        <f>IF(L102="","",IF(L102&lt;=AsOf+AlertDays,2,IF(L102&lt;=AsOf+90,3,"")))</f>
        <v/>
      </c>
      <c r="N102" s="79">
        <f>IF(M102="","","Warranty expires in "&amp;H102&amp;" days: "&amp;B102&amp;IF(C102="",""," ("&amp;C102&amp;")")&amp;" — check for defects")</f>
        <v/>
      </c>
      <c r="P102" s="72" t="n"/>
      <c r="Q102" s="72" t="n"/>
      <c r="R102" s="89" t="n"/>
      <c r="S102" s="109" t="n"/>
      <c r="T102" s="126">
        <f>IF(OR(R102="",S102=""),"",DATE(YEAR(S102),MONTH(S102)+R102,DAY(S102)))</f>
        <v/>
      </c>
      <c r="U102" s="144">
        <f>IF(T102="","",T102-AsOf)</f>
        <v/>
      </c>
      <c r="V102" s="107">
        <f>IF(T102="",IF(P102="","","Enter last-done date"),IF(U102&lt;0,"Overdue",IF(U102&lt;=30,"Due soon","OK")))</f>
        <v/>
      </c>
      <c r="W102" s="79">
        <f>IF(T102="","",IF(U102&lt;0,2,IF(U102&lt;=30,1,0)))</f>
        <v/>
      </c>
      <c r="X102" s="112">
        <f>IF(T102="","",T102)</f>
        <v/>
      </c>
      <c r="Y102" s="79">
        <f>IF(X102="","",IF(X102&lt;=AsOf+AlertDays,2,IF(X102&lt;=AsOf+30,3,"")))</f>
        <v/>
      </c>
      <c r="Z102" s="79">
        <f>IF(Y102="","",IF(U102&lt;0,"Maintenance overdue: ","Maintenance due: ")&amp;P102)</f>
        <v/>
      </c>
    </row>
    <row r="103" ht="20" customHeight="1">
      <c r="B103" s="72" t="n"/>
      <c r="C103" s="72" t="n"/>
      <c r="D103" s="72" t="n"/>
      <c r="E103" s="109" t="n"/>
      <c r="F103" s="74" t="n"/>
      <c r="G103" s="126">
        <f>IF(OR(E103="",F103=""),"",DATE(YEAR(E103),MONTH(E103)+ROUND(F103*12,0),DAY(E103)))</f>
        <v/>
      </c>
      <c r="H103" s="144">
        <f>IF(G103="","",G103-AsOf)</f>
        <v/>
      </c>
      <c r="I103" s="107">
        <f>IF(G103="","",IF(H103&lt;0,"Expired",IF(H103&lt;=90,"Expires soon","Active")))</f>
        <v/>
      </c>
      <c r="J103" s="72" t="n"/>
      <c r="K103" s="79">
        <f>IF(I103="","",IF(I103="Active",0,IF(I103="Expires soon",1,3)))</f>
        <v/>
      </c>
      <c r="L103" s="112">
        <f>IF(G103="","",IF(G103&lt;AsOf,"",G103))</f>
        <v/>
      </c>
      <c r="M103" s="79">
        <f>IF(L103="","",IF(L103&lt;=AsOf+AlertDays,2,IF(L103&lt;=AsOf+90,3,"")))</f>
        <v/>
      </c>
      <c r="N103" s="79">
        <f>IF(M103="","","Warranty expires in "&amp;H103&amp;" days: "&amp;B103&amp;IF(C103="",""," ("&amp;C103&amp;")")&amp;" — check for defects")</f>
        <v/>
      </c>
      <c r="P103" s="72" t="n"/>
      <c r="Q103" s="72" t="n"/>
      <c r="R103" s="89" t="n"/>
      <c r="S103" s="109" t="n"/>
      <c r="T103" s="126">
        <f>IF(OR(R103="",S103=""),"",DATE(YEAR(S103),MONTH(S103)+R103,DAY(S103)))</f>
        <v/>
      </c>
      <c r="U103" s="144">
        <f>IF(T103="","",T103-AsOf)</f>
        <v/>
      </c>
      <c r="V103" s="107">
        <f>IF(T103="",IF(P103="","","Enter last-done date"),IF(U103&lt;0,"Overdue",IF(U103&lt;=30,"Due soon","OK")))</f>
        <v/>
      </c>
      <c r="W103" s="79">
        <f>IF(T103="","",IF(U103&lt;0,2,IF(U103&lt;=30,1,0)))</f>
        <v/>
      </c>
      <c r="X103" s="112">
        <f>IF(T103="","",T103)</f>
        <v/>
      </c>
      <c r="Y103" s="79">
        <f>IF(X103="","",IF(X103&lt;=AsOf+AlertDays,2,IF(X103&lt;=AsOf+30,3,"")))</f>
        <v/>
      </c>
      <c r="Z103" s="79">
        <f>IF(Y103="","",IF(U103&lt;0,"Maintenance overdue: ","Maintenance due: ")&amp;P103)</f>
        <v/>
      </c>
    </row>
    <row r="104" ht="20" customHeight="1">
      <c r="B104" s="72" t="n"/>
      <c r="C104" s="72" t="n"/>
      <c r="D104" s="72" t="n"/>
      <c r="E104" s="109" t="n"/>
      <c r="F104" s="74" t="n"/>
      <c r="G104" s="126">
        <f>IF(OR(E104="",F104=""),"",DATE(YEAR(E104),MONTH(E104)+ROUND(F104*12,0),DAY(E104)))</f>
        <v/>
      </c>
      <c r="H104" s="144">
        <f>IF(G104="","",G104-AsOf)</f>
        <v/>
      </c>
      <c r="I104" s="107">
        <f>IF(G104="","",IF(H104&lt;0,"Expired",IF(H104&lt;=90,"Expires soon","Active")))</f>
        <v/>
      </c>
      <c r="J104" s="72" t="n"/>
      <c r="K104" s="79">
        <f>IF(I104="","",IF(I104="Active",0,IF(I104="Expires soon",1,3)))</f>
        <v/>
      </c>
      <c r="L104" s="112">
        <f>IF(G104="","",IF(G104&lt;AsOf,"",G104))</f>
        <v/>
      </c>
      <c r="M104" s="79">
        <f>IF(L104="","",IF(L104&lt;=AsOf+AlertDays,2,IF(L104&lt;=AsOf+90,3,"")))</f>
        <v/>
      </c>
      <c r="N104" s="79">
        <f>IF(M104="","","Warranty expires in "&amp;H104&amp;" days: "&amp;B104&amp;IF(C104="",""," ("&amp;C104&amp;")")&amp;" — check for defects")</f>
        <v/>
      </c>
      <c r="P104" s="72" t="n"/>
      <c r="Q104" s="72" t="n"/>
      <c r="R104" s="89" t="n"/>
      <c r="S104" s="109" t="n"/>
      <c r="T104" s="126">
        <f>IF(OR(R104="",S104=""),"",DATE(YEAR(S104),MONTH(S104)+R104,DAY(S104)))</f>
        <v/>
      </c>
      <c r="U104" s="144">
        <f>IF(T104="","",T104-AsOf)</f>
        <v/>
      </c>
      <c r="V104" s="107">
        <f>IF(T104="",IF(P104="","","Enter last-done date"),IF(U104&lt;0,"Overdue",IF(U104&lt;=30,"Due soon","OK")))</f>
        <v/>
      </c>
      <c r="W104" s="79">
        <f>IF(T104="","",IF(U104&lt;0,2,IF(U104&lt;=30,1,0)))</f>
        <v/>
      </c>
      <c r="X104" s="112">
        <f>IF(T104="","",T104)</f>
        <v/>
      </c>
      <c r="Y104" s="79">
        <f>IF(X104="","",IF(X104&lt;=AsOf+AlertDays,2,IF(X104&lt;=AsOf+30,3,"")))</f>
        <v/>
      </c>
      <c r="Z104" s="79">
        <f>IF(Y104="","",IF(U104&lt;0,"Maintenance overdue: ","Maintenance due: ")&amp;P104)</f>
        <v/>
      </c>
    </row>
    <row r="105" ht="20" customHeight="1">
      <c r="B105" s="72" t="n"/>
      <c r="C105" s="72" t="n"/>
      <c r="D105" s="72" t="n"/>
      <c r="E105" s="109" t="n"/>
      <c r="F105" s="74" t="n"/>
      <c r="G105" s="126">
        <f>IF(OR(E105="",F105=""),"",DATE(YEAR(E105),MONTH(E105)+ROUND(F105*12,0),DAY(E105)))</f>
        <v/>
      </c>
      <c r="H105" s="144">
        <f>IF(G105="","",G105-AsOf)</f>
        <v/>
      </c>
      <c r="I105" s="107">
        <f>IF(G105="","",IF(H105&lt;0,"Expired",IF(H105&lt;=90,"Expires soon","Active")))</f>
        <v/>
      </c>
      <c r="J105" s="72" t="n"/>
      <c r="K105" s="79">
        <f>IF(I105="","",IF(I105="Active",0,IF(I105="Expires soon",1,3)))</f>
        <v/>
      </c>
      <c r="L105" s="112">
        <f>IF(G105="","",IF(G105&lt;AsOf,"",G105))</f>
        <v/>
      </c>
      <c r="M105" s="79">
        <f>IF(L105="","",IF(L105&lt;=AsOf+AlertDays,2,IF(L105&lt;=AsOf+90,3,"")))</f>
        <v/>
      </c>
      <c r="N105" s="79">
        <f>IF(M105="","","Warranty expires in "&amp;H105&amp;" days: "&amp;B105&amp;IF(C105="",""," ("&amp;C105&amp;")")&amp;" — check for defects")</f>
        <v/>
      </c>
      <c r="P105" s="72" t="n"/>
      <c r="Q105" s="72" t="n"/>
      <c r="R105" s="89" t="n"/>
      <c r="S105" s="109" t="n"/>
      <c r="T105" s="126">
        <f>IF(OR(R105="",S105=""),"",DATE(YEAR(S105),MONTH(S105)+R105,DAY(S105)))</f>
        <v/>
      </c>
      <c r="U105" s="144">
        <f>IF(T105="","",T105-AsOf)</f>
        <v/>
      </c>
      <c r="V105" s="107">
        <f>IF(T105="",IF(P105="","","Enter last-done date"),IF(U105&lt;0,"Overdue",IF(U105&lt;=30,"Due soon","OK")))</f>
        <v/>
      </c>
      <c r="W105" s="79">
        <f>IF(T105="","",IF(U105&lt;0,2,IF(U105&lt;=30,1,0)))</f>
        <v/>
      </c>
      <c r="X105" s="112">
        <f>IF(T105="","",T105)</f>
        <v/>
      </c>
      <c r="Y105" s="79">
        <f>IF(X105="","",IF(X105&lt;=AsOf+AlertDays,2,IF(X105&lt;=AsOf+30,3,"")))</f>
        <v/>
      </c>
      <c r="Z105" s="79">
        <f>IF(Y105="","",IF(U105&lt;0,"Maintenance overdue: ","Maintenance due: ")&amp;P105)</f>
        <v/>
      </c>
    </row>
    <row r="106" ht="20" customHeight="1">
      <c r="B106" s="72" t="n"/>
      <c r="C106" s="72" t="n"/>
      <c r="D106" s="72" t="n"/>
      <c r="E106" s="109" t="n"/>
      <c r="F106" s="74" t="n"/>
      <c r="G106" s="126">
        <f>IF(OR(E106="",F106=""),"",DATE(YEAR(E106),MONTH(E106)+ROUND(F106*12,0),DAY(E106)))</f>
        <v/>
      </c>
      <c r="H106" s="144">
        <f>IF(G106="","",G106-AsOf)</f>
        <v/>
      </c>
      <c r="I106" s="107">
        <f>IF(G106="","",IF(H106&lt;0,"Expired",IF(H106&lt;=90,"Expires soon","Active")))</f>
        <v/>
      </c>
      <c r="J106" s="72" t="n"/>
      <c r="K106" s="79">
        <f>IF(I106="","",IF(I106="Active",0,IF(I106="Expires soon",1,3)))</f>
        <v/>
      </c>
      <c r="L106" s="112">
        <f>IF(G106="","",IF(G106&lt;AsOf,"",G106))</f>
        <v/>
      </c>
      <c r="M106" s="79">
        <f>IF(L106="","",IF(L106&lt;=AsOf+AlertDays,2,IF(L106&lt;=AsOf+90,3,"")))</f>
        <v/>
      </c>
      <c r="N106" s="79">
        <f>IF(M106="","","Warranty expires in "&amp;H106&amp;" days: "&amp;B106&amp;IF(C106="",""," ("&amp;C106&amp;")")&amp;" — check for defects")</f>
        <v/>
      </c>
      <c r="P106" s="72" t="n"/>
      <c r="Q106" s="72" t="n"/>
      <c r="R106" s="89" t="n"/>
      <c r="S106" s="109" t="n"/>
      <c r="T106" s="126">
        <f>IF(OR(R106="",S106=""),"",DATE(YEAR(S106),MONTH(S106)+R106,DAY(S106)))</f>
        <v/>
      </c>
      <c r="U106" s="144">
        <f>IF(T106="","",T106-AsOf)</f>
        <v/>
      </c>
      <c r="V106" s="107">
        <f>IF(T106="",IF(P106="","","Enter last-done date"),IF(U106&lt;0,"Overdue",IF(U106&lt;=30,"Due soon","OK")))</f>
        <v/>
      </c>
      <c r="W106" s="79">
        <f>IF(T106="","",IF(U106&lt;0,2,IF(U106&lt;=30,1,0)))</f>
        <v/>
      </c>
      <c r="X106" s="112">
        <f>IF(T106="","",T106)</f>
        <v/>
      </c>
      <c r="Y106" s="79">
        <f>IF(X106="","",IF(X106&lt;=AsOf+AlertDays,2,IF(X106&lt;=AsOf+30,3,"")))</f>
        <v/>
      </c>
      <c r="Z106" s="79">
        <f>IF(Y106="","",IF(U106&lt;0,"Maintenance overdue: ","Maintenance due: ")&amp;P106)</f>
        <v/>
      </c>
    </row>
    <row r="107" ht="20" customHeight="1">
      <c r="B107" s="72" t="n"/>
      <c r="C107" s="72" t="n"/>
      <c r="D107" s="72" t="n"/>
      <c r="E107" s="109" t="n"/>
      <c r="F107" s="74" t="n"/>
      <c r="G107" s="126">
        <f>IF(OR(E107="",F107=""),"",DATE(YEAR(E107),MONTH(E107)+ROUND(F107*12,0),DAY(E107)))</f>
        <v/>
      </c>
      <c r="H107" s="144">
        <f>IF(G107="","",G107-AsOf)</f>
        <v/>
      </c>
      <c r="I107" s="107">
        <f>IF(G107="","",IF(H107&lt;0,"Expired",IF(H107&lt;=90,"Expires soon","Active")))</f>
        <v/>
      </c>
      <c r="J107" s="72" t="n"/>
      <c r="K107" s="79">
        <f>IF(I107="","",IF(I107="Active",0,IF(I107="Expires soon",1,3)))</f>
        <v/>
      </c>
      <c r="L107" s="112">
        <f>IF(G107="","",IF(G107&lt;AsOf,"",G107))</f>
        <v/>
      </c>
      <c r="M107" s="79">
        <f>IF(L107="","",IF(L107&lt;=AsOf+AlertDays,2,IF(L107&lt;=AsOf+90,3,"")))</f>
        <v/>
      </c>
      <c r="N107" s="79">
        <f>IF(M107="","","Warranty expires in "&amp;H107&amp;" days: "&amp;B107&amp;IF(C107="",""," ("&amp;C107&amp;")")&amp;" — check for defects")</f>
        <v/>
      </c>
      <c r="P107" s="72" t="n"/>
      <c r="Q107" s="72" t="n"/>
      <c r="R107" s="89" t="n"/>
      <c r="S107" s="109" t="n"/>
      <c r="T107" s="126">
        <f>IF(OR(R107="",S107=""),"",DATE(YEAR(S107),MONTH(S107)+R107,DAY(S107)))</f>
        <v/>
      </c>
      <c r="U107" s="144">
        <f>IF(T107="","",T107-AsOf)</f>
        <v/>
      </c>
      <c r="V107" s="107">
        <f>IF(T107="",IF(P107="","","Enter last-done date"),IF(U107&lt;0,"Overdue",IF(U107&lt;=30,"Due soon","OK")))</f>
        <v/>
      </c>
      <c r="W107" s="79">
        <f>IF(T107="","",IF(U107&lt;0,2,IF(U107&lt;=30,1,0)))</f>
        <v/>
      </c>
      <c r="X107" s="112">
        <f>IF(T107="","",T107)</f>
        <v/>
      </c>
      <c r="Y107" s="79">
        <f>IF(X107="","",IF(X107&lt;=AsOf+AlertDays,2,IF(X107&lt;=AsOf+30,3,"")))</f>
        <v/>
      </c>
      <c r="Z107" s="79">
        <f>IF(Y107="","",IF(U107&lt;0,"Maintenance overdue: ","Maintenance due: ")&amp;P107)</f>
        <v/>
      </c>
    </row>
    <row r="108" ht="20" customHeight="1">
      <c r="B108" s="72" t="n"/>
      <c r="C108" s="72" t="n"/>
      <c r="D108" s="72" t="n"/>
      <c r="E108" s="109" t="n"/>
      <c r="F108" s="74" t="n"/>
      <c r="G108" s="126">
        <f>IF(OR(E108="",F108=""),"",DATE(YEAR(E108),MONTH(E108)+ROUND(F108*12,0),DAY(E108)))</f>
        <v/>
      </c>
      <c r="H108" s="144">
        <f>IF(G108="","",G108-AsOf)</f>
        <v/>
      </c>
      <c r="I108" s="107">
        <f>IF(G108="","",IF(H108&lt;0,"Expired",IF(H108&lt;=90,"Expires soon","Active")))</f>
        <v/>
      </c>
      <c r="J108" s="72" t="n"/>
      <c r="K108" s="79">
        <f>IF(I108="","",IF(I108="Active",0,IF(I108="Expires soon",1,3)))</f>
        <v/>
      </c>
      <c r="L108" s="112">
        <f>IF(G108="","",IF(G108&lt;AsOf,"",G108))</f>
        <v/>
      </c>
      <c r="M108" s="79">
        <f>IF(L108="","",IF(L108&lt;=AsOf+AlertDays,2,IF(L108&lt;=AsOf+90,3,"")))</f>
        <v/>
      </c>
      <c r="N108" s="79">
        <f>IF(M108="","","Warranty expires in "&amp;H108&amp;" days: "&amp;B108&amp;IF(C108="",""," ("&amp;C108&amp;")")&amp;" — check for defects")</f>
        <v/>
      </c>
      <c r="P108" s="72" t="n"/>
      <c r="Q108" s="72" t="n"/>
      <c r="R108" s="89" t="n"/>
      <c r="S108" s="109" t="n"/>
      <c r="T108" s="126">
        <f>IF(OR(R108="",S108=""),"",DATE(YEAR(S108),MONTH(S108)+R108,DAY(S108)))</f>
        <v/>
      </c>
      <c r="U108" s="144">
        <f>IF(T108="","",T108-AsOf)</f>
        <v/>
      </c>
      <c r="V108" s="107">
        <f>IF(T108="",IF(P108="","","Enter last-done date"),IF(U108&lt;0,"Overdue",IF(U108&lt;=30,"Due soon","OK")))</f>
        <v/>
      </c>
      <c r="W108" s="79">
        <f>IF(T108="","",IF(U108&lt;0,2,IF(U108&lt;=30,1,0)))</f>
        <v/>
      </c>
      <c r="X108" s="112">
        <f>IF(T108="","",T108)</f>
        <v/>
      </c>
      <c r="Y108" s="79">
        <f>IF(X108="","",IF(X108&lt;=AsOf+AlertDays,2,IF(X108&lt;=AsOf+30,3,"")))</f>
        <v/>
      </c>
      <c r="Z108" s="79">
        <f>IF(Y108="","",IF(U108&lt;0,"Maintenance overdue: ","Maintenance due: ")&amp;P108)</f>
        <v/>
      </c>
    </row>
    <row r="109" ht="20" customHeight="1">
      <c r="B109" s="72" t="n"/>
      <c r="C109" s="72" t="n"/>
      <c r="D109" s="72" t="n"/>
      <c r="E109" s="109" t="n"/>
      <c r="F109" s="74" t="n"/>
      <c r="G109" s="126">
        <f>IF(OR(E109="",F109=""),"",DATE(YEAR(E109),MONTH(E109)+ROUND(F109*12,0),DAY(E109)))</f>
        <v/>
      </c>
      <c r="H109" s="144">
        <f>IF(G109="","",G109-AsOf)</f>
        <v/>
      </c>
      <c r="I109" s="107">
        <f>IF(G109="","",IF(H109&lt;0,"Expired",IF(H109&lt;=90,"Expires soon","Active")))</f>
        <v/>
      </c>
      <c r="J109" s="72" t="n"/>
      <c r="K109" s="79">
        <f>IF(I109="","",IF(I109="Active",0,IF(I109="Expires soon",1,3)))</f>
        <v/>
      </c>
      <c r="L109" s="112">
        <f>IF(G109="","",IF(G109&lt;AsOf,"",G109))</f>
        <v/>
      </c>
      <c r="M109" s="79">
        <f>IF(L109="","",IF(L109&lt;=AsOf+AlertDays,2,IF(L109&lt;=AsOf+90,3,"")))</f>
        <v/>
      </c>
      <c r="N109" s="79">
        <f>IF(M109="","","Warranty expires in "&amp;H109&amp;" days: "&amp;B109&amp;IF(C109="",""," ("&amp;C109&amp;")")&amp;" — check for defects")</f>
        <v/>
      </c>
      <c r="P109" s="72" t="n"/>
      <c r="Q109" s="72" t="n"/>
      <c r="R109" s="89" t="n"/>
      <c r="S109" s="109" t="n"/>
      <c r="T109" s="126">
        <f>IF(OR(R109="",S109=""),"",DATE(YEAR(S109),MONTH(S109)+R109,DAY(S109)))</f>
        <v/>
      </c>
      <c r="U109" s="144">
        <f>IF(T109="","",T109-AsOf)</f>
        <v/>
      </c>
      <c r="V109" s="107">
        <f>IF(T109="",IF(P109="","","Enter last-done date"),IF(U109&lt;0,"Overdue",IF(U109&lt;=30,"Due soon","OK")))</f>
        <v/>
      </c>
      <c r="W109" s="79">
        <f>IF(T109="","",IF(U109&lt;0,2,IF(U109&lt;=30,1,0)))</f>
        <v/>
      </c>
      <c r="X109" s="112">
        <f>IF(T109="","",T109)</f>
        <v/>
      </c>
      <c r="Y109" s="79">
        <f>IF(X109="","",IF(X109&lt;=AsOf+AlertDays,2,IF(X109&lt;=AsOf+30,3,"")))</f>
        <v/>
      </c>
      <c r="Z109" s="79">
        <f>IF(Y109="","",IF(U109&lt;0,"Maintenance overdue: ","Maintenance due: ")&amp;P109)</f>
        <v/>
      </c>
    </row>
    <row r="110" ht="20" customHeight="1">
      <c r="B110" s="72" t="n"/>
      <c r="C110" s="72" t="n"/>
      <c r="D110" s="72" t="n"/>
      <c r="E110" s="109" t="n"/>
      <c r="F110" s="74" t="n"/>
      <c r="G110" s="126">
        <f>IF(OR(E110="",F110=""),"",DATE(YEAR(E110),MONTH(E110)+ROUND(F110*12,0),DAY(E110)))</f>
        <v/>
      </c>
      <c r="H110" s="144">
        <f>IF(G110="","",G110-AsOf)</f>
        <v/>
      </c>
      <c r="I110" s="107">
        <f>IF(G110="","",IF(H110&lt;0,"Expired",IF(H110&lt;=90,"Expires soon","Active")))</f>
        <v/>
      </c>
      <c r="J110" s="72" t="n"/>
      <c r="K110" s="79">
        <f>IF(I110="","",IF(I110="Active",0,IF(I110="Expires soon",1,3)))</f>
        <v/>
      </c>
      <c r="L110" s="112">
        <f>IF(G110="","",IF(G110&lt;AsOf,"",G110))</f>
        <v/>
      </c>
      <c r="M110" s="79">
        <f>IF(L110="","",IF(L110&lt;=AsOf+AlertDays,2,IF(L110&lt;=AsOf+90,3,"")))</f>
        <v/>
      </c>
      <c r="N110" s="79">
        <f>IF(M110="","","Warranty expires in "&amp;H110&amp;" days: "&amp;B110&amp;IF(C110="",""," ("&amp;C110&amp;")")&amp;" — check for defects")</f>
        <v/>
      </c>
      <c r="P110" s="72" t="n"/>
      <c r="Q110" s="72" t="n"/>
      <c r="R110" s="89" t="n"/>
      <c r="S110" s="109" t="n"/>
      <c r="T110" s="126">
        <f>IF(OR(R110="",S110=""),"",DATE(YEAR(S110),MONTH(S110)+R110,DAY(S110)))</f>
        <v/>
      </c>
      <c r="U110" s="144">
        <f>IF(T110="","",T110-AsOf)</f>
        <v/>
      </c>
      <c r="V110" s="107">
        <f>IF(T110="",IF(P110="","","Enter last-done date"),IF(U110&lt;0,"Overdue",IF(U110&lt;=30,"Due soon","OK")))</f>
        <v/>
      </c>
      <c r="W110" s="79">
        <f>IF(T110="","",IF(U110&lt;0,2,IF(U110&lt;=30,1,0)))</f>
        <v/>
      </c>
      <c r="X110" s="112">
        <f>IF(T110="","",T110)</f>
        <v/>
      </c>
      <c r="Y110" s="79">
        <f>IF(X110="","",IF(X110&lt;=AsOf+AlertDays,2,IF(X110&lt;=AsOf+30,3,"")))</f>
        <v/>
      </c>
      <c r="Z110" s="79">
        <f>IF(Y110="","",IF(U110&lt;0,"Maintenance overdue: ","Maintenance due: ")&amp;P110)</f>
        <v/>
      </c>
    </row>
    <row r="111" ht="20" customHeight="1">
      <c r="B111" s="72" t="n"/>
      <c r="C111" s="72" t="n"/>
      <c r="D111" s="72" t="n"/>
      <c r="E111" s="109" t="n"/>
      <c r="F111" s="74" t="n"/>
      <c r="G111" s="126">
        <f>IF(OR(E111="",F111=""),"",DATE(YEAR(E111),MONTH(E111)+ROUND(F111*12,0),DAY(E111)))</f>
        <v/>
      </c>
      <c r="H111" s="144">
        <f>IF(G111="","",G111-AsOf)</f>
        <v/>
      </c>
      <c r="I111" s="107">
        <f>IF(G111="","",IF(H111&lt;0,"Expired",IF(H111&lt;=90,"Expires soon","Active")))</f>
        <v/>
      </c>
      <c r="J111" s="72" t="n"/>
      <c r="K111" s="79">
        <f>IF(I111="","",IF(I111="Active",0,IF(I111="Expires soon",1,3)))</f>
        <v/>
      </c>
      <c r="L111" s="112">
        <f>IF(G111="","",IF(G111&lt;AsOf,"",G111))</f>
        <v/>
      </c>
      <c r="M111" s="79">
        <f>IF(L111="","",IF(L111&lt;=AsOf+AlertDays,2,IF(L111&lt;=AsOf+90,3,"")))</f>
        <v/>
      </c>
      <c r="N111" s="79">
        <f>IF(M111="","","Warranty expires in "&amp;H111&amp;" days: "&amp;B111&amp;IF(C111="",""," ("&amp;C111&amp;")")&amp;" — check for defects")</f>
        <v/>
      </c>
      <c r="P111" s="72" t="n"/>
      <c r="Q111" s="72" t="n"/>
      <c r="R111" s="89" t="n"/>
      <c r="S111" s="109" t="n"/>
      <c r="T111" s="126">
        <f>IF(OR(R111="",S111=""),"",DATE(YEAR(S111),MONTH(S111)+R111,DAY(S111)))</f>
        <v/>
      </c>
      <c r="U111" s="144">
        <f>IF(T111="","",T111-AsOf)</f>
        <v/>
      </c>
      <c r="V111" s="107">
        <f>IF(T111="",IF(P111="","","Enter last-done date"),IF(U111&lt;0,"Overdue",IF(U111&lt;=30,"Due soon","OK")))</f>
        <v/>
      </c>
      <c r="W111" s="79">
        <f>IF(T111="","",IF(U111&lt;0,2,IF(U111&lt;=30,1,0)))</f>
        <v/>
      </c>
      <c r="X111" s="112">
        <f>IF(T111="","",T111)</f>
        <v/>
      </c>
      <c r="Y111" s="79">
        <f>IF(X111="","",IF(X111&lt;=AsOf+AlertDays,2,IF(X111&lt;=AsOf+30,3,"")))</f>
        <v/>
      </c>
      <c r="Z111" s="79">
        <f>IF(Y111="","",IF(U111&lt;0,"Maintenance overdue: ","Maintenance due: ")&amp;P111)</f>
        <v/>
      </c>
    </row>
    <row r="112" ht="20" customHeight="1">
      <c r="B112" s="72" t="n"/>
      <c r="C112" s="72" t="n"/>
      <c r="D112" s="72" t="n"/>
      <c r="E112" s="109" t="n"/>
      <c r="F112" s="74" t="n"/>
      <c r="G112" s="126">
        <f>IF(OR(E112="",F112=""),"",DATE(YEAR(E112),MONTH(E112)+ROUND(F112*12,0),DAY(E112)))</f>
        <v/>
      </c>
      <c r="H112" s="144">
        <f>IF(G112="","",G112-AsOf)</f>
        <v/>
      </c>
      <c r="I112" s="107">
        <f>IF(G112="","",IF(H112&lt;0,"Expired",IF(H112&lt;=90,"Expires soon","Active")))</f>
        <v/>
      </c>
      <c r="J112" s="72" t="n"/>
      <c r="K112" s="79">
        <f>IF(I112="","",IF(I112="Active",0,IF(I112="Expires soon",1,3)))</f>
        <v/>
      </c>
      <c r="L112" s="112">
        <f>IF(G112="","",IF(G112&lt;AsOf,"",G112))</f>
        <v/>
      </c>
      <c r="M112" s="79">
        <f>IF(L112="","",IF(L112&lt;=AsOf+AlertDays,2,IF(L112&lt;=AsOf+90,3,"")))</f>
        <v/>
      </c>
      <c r="N112" s="79">
        <f>IF(M112="","","Warranty expires in "&amp;H112&amp;" days: "&amp;B112&amp;IF(C112="",""," ("&amp;C112&amp;")")&amp;" — check for defects")</f>
        <v/>
      </c>
      <c r="P112" s="72" t="n"/>
      <c r="Q112" s="72" t="n"/>
      <c r="R112" s="89" t="n"/>
      <c r="S112" s="109" t="n"/>
      <c r="T112" s="126">
        <f>IF(OR(R112="",S112=""),"",DATE(YEAR(S112),MONTH(S112)+R112,DAY(S112)))</f>
        <v/>
      </c>
      <c r="U112" s="144">
        <f>IF(T112="","",T112-AsOf)</f>
        <v/>
      </c>
      <c r="V112" s="107">
        <f>IF(T112="",IF(P112="","","Enter last-done date"),IF(U112&lt;0,"Overdue",IF(U112&lt;=30,"Due soon","OK")))</f>
        <v/>
      </c>
      <c r="W112" s="79">
        <f>IF(T112="","",IF(U112&lt;0,2,IF(U112&lt;=30,1,0)))</f>
        <v/>
      </c>
      <c r="X112" s="112">
        <f>IF(T112="","",T112)</f>
        <v/>
      </c>
      <c r="Y112" s="79">
        <f>IF(X112="","",IF(X112&lt;=AsOf+AlertDays,2,IF(X112&lt;=AsOf+30,3,"")))</f>
        <v/>
      </c>
      <c r="Z112" s="79">
        <f>IF(Y112="","",IF(U112&lt;0,"Maintenance overdue: ","Maintenance due: ")&amp;P112)</f>
        <v/>
      </c>
    </row>
    <row r="113" ht="20" customHeight="1">
      <c r="B113" s="72" t="n"/>
      <c r="C113" s="72" t="n"/>
      <c r="D113" s="72" t="n"/>
      <c r="E113" s="109" t="n"/>
      <c r="F113" s="74" t="n"/>
      <c r="G113" s="126">
        <f>IF(OR(E113="",F113=""),"",DATE(YEAR(E113),MONTH(E113)+ROUND(F113*12,0),DAY(E113)))</f>
        <v/>
      </c>
      <c r="H113" s="144">
        <f>IF(G113="","",G113-AsOf)</f>
        <v/>
      </c>
      <c r="I113" s="107">
        <f>IF(G113="","",IF(H113&lt;0,"Expired",IF(H113&lt;=90,"Expires soon","Active")))</f>
        <v/>
      </c>
      <c r="J113" s="72" t="n"/>
      <c r="K113" s="79">
        <f>IF(I113="","",IF(I113="Active",0,IF(I113="Expires soon",1,3)))</f>
        <v/>
      </c>
      <c r="L113" s="112">
        <f>IF(G113="","",IF(G113&lt;AsOf,"",G113))</f>
        <v/>
      </c>
      <c r="M113" s="79">
        <f>IF(L113="","",IF(L113&lt;=AsOf+AlertDays,2,IF(L113&lt;=AsOf+90,3,"")))</f>
        <v/>
      </c>
      <c r="N113" s="79">
        <f>IF(M113="","","Warranty expires in "&amp;H113&amp;" days: "&amp;B113&amp;IF(C113="",""," ("&amp;C113&amp;")")&amp;" — check for defects")</f>
        <v/>
      </c>
      <c r="P113" s="72" t="n"/>
      <c r="Q113" s="72" t="n"/>
      <c r="R113" s="89" t="n"/>
      <c r="S113" s="109" t="n"/>
      <c r="T113" s="126">
        <f>IF(OR(R113="",S113=""),"",DATE(YEAR(S113),MONTH(S113)+R113,DAY(S113)))</f>
        <v/>
      </c>
      <c r="U113" s="144">
        <f>IF(T113="","",T113-AsOf)</f>
        <v/>
      </c>
      <c r="V113" s="107">
        <f>IF(T113="",IF(P113="","","Enter last-done date"),IF(U113&lt;0,"Overdue",IF(U113&lt;=30,"Due soon","OK")))</f>
        <v/>
      </c>
      <c r="W113" s="79">
        <f>IF(T113="","",IF(U113&lt;0,2,IF(U113&lt;=30,1,0)))</f>
        <v/>
      </c>
      <c r="X113" s="112">
        <f>IF(T113="","",T113)</f>
        <v/>
      </c>
      <c r="Y113" s="79">
        <f>IF(X113="","",IF(X113&lt;=AsOf+AlertDays,2,IF(X113&lt;=AsOf+30,3,"")))</f>
        <v/>
      </c>
      <c r="Z113" s="79">
        <f>IF(Y113="","",IF(U113&lt;0,"Maintenance overdue: ","Maintenance due: ")&amp;P113)</f>
        <v/>
      </c>
    </row>
    <row r="114" ht="20" customHeight="1">
      <c r="B114" s="72" t="n"/>
      <c r="C114" s="72" t="n"/>
      <c r="D114" s="72" t="n"/>
      <c r="E114" s="109" t="n"/>
      <c r="F114" s="74" t="n"/>
      <c r="G114" s="126">
        <f>IF(OR(E114="",F114=""),"",DATE(YEAR(E114),MONTH(E114)+ROUND(F114*12,0),DAY(E114)))</f>
        <v/>
      </c>
      <c r="H114" s="144">
        <f>IF(G114="","",G114-AsOf)</f>
        <v/>
      </c>
      <c r="I114" s="107">
        <f>IF(G114="","",IF(H114&lt;0,"Expired",IF(H114&lt;=90,"Expires soon","Active")))</f>
        <v/>
      </c>
      <c r="J114" s="72" t="n"/>
      <c r="K114" s="79">
        <f>IF(I114="","",IF(I114="Active",0,IF(I114="Expires soon",1,3)))</f>
        <v/>
      </c>
      <c r="L114" s="112">
        <f>IF(G114="","",IF(G114&lt;AsOf,"",G114))</f>
        <v/>
      </c>
      <c r="M114" s="79">
        <f>IF(L114="","",IF(L114&lt;=AsOf+AlertDays,2,IF(L114&lt;=AsOf+90,3,"")))</f>
        <v/>
      </c>
      <c r="N114" s="79">
        <f>IF(M114="","","Warranty expires in "&amp;H114&amp;" days: "&amp;B114&amp;IF(C114="",""," ("&amp;C114&amp;")")&amp;" — check for defects")</f>
        <v/>
      </c>
      <c r="P114" s="72" t="n"/>
      <c r="Q114" s="72" t="n"/>
      <c r="R114" s="89" t="n"/>
      <c r="S114" s="109" t="n"/>
      <c r="T114" s="126">
        <f>IF(OR(R114="",S114=""),"",DATE(YEAR(S114),MONTH(S114)+R114,DAY(S114)))</f>
        <v/>
      </c>
      <c r="U114" s="144">
        <f>IF(T114="","",T114-AsOf)</f>
        <v/>
      </c>
      <c r="V114" s="107">
        <f>IF(T114="",IF(P114="","","Enter last-done date"),IF(U114&lt;0,"Overdue",IF(U114&lt;=30,"Due soon","OK")))</f>
        <v/>
      </c>
      <c r="W114" s="79">
        <f>IF(T114="","",IF(U114&lt;0,2,IF(U114&lt;=30,1,0)))</f>
        <v/>
      </c>
      <c r="X114" s="112">
        <f>IF(T114="","",T114)</f>
        <v/>
      </c>
      <c r="Y114" s="79">
        <f>IF(X114="","",IF(X114&lt;=AsOf+AlertDays,2,IF(X114&lt;=AsOf+30,3,"")))</f>
        <v/>
      </c>
      <c r="Z114" s="79">
        <f>IF(Y114="","",IF(U114&lt;0,"Maintenance overdue: ","Maintenance due: ")&amp;P114)</f>
        <v/>
      </c>
    </row>
    <row r="115" ht="20" customHeight="1">
      <c r="B115" s="72" t="n"/>
      <c r="C115" s="72" t="n"/>
      <c r="D115" s="72" t="n"/>
      <c r="E115" s="109" t="n"/>
      <c r="F115" s="74" t="n"/>
      <c r="G115" s="126">
        <f>IF(OR(E115="",F115=""),"",DATE(YEAR(E115),MONTH(E115)+ROUND(F115*12,0),DAY(E115)))</f>
        <v/>
      </c>
      <c r="H115" s="144">
        <f>IF(G115="","",G115-AsOf)</f>
        <v/>
      </c>
      <c r="I115" s="107">
        <f>IF(G115="","",IF(H115&lt;0,"Expired",IF(H115&lt;=90,"Expires soon","Active")))</f>
        <v/>
      </c>
      <c r="J115" s="72" t="n"/>
      <c r="K115" s="79">
        <f>IF(I115="","",IF(I115="Active",0,IF(I115="Expires soon",1,3)))</f>
        <v/>
      </c>
      <c r="L115" s="112">
        <f>IF(G115="","",IF(G115&lt;AsOf,"",G115))</f>
        <v/>
      </c>
      <c r="M115" s="79">
        <f>IF(L115="","",IF(L115&lt;=AsOf+AlertDays,2,IF(L115&lt;=AsOf+90,3,"")))</f>
        <v/>
      </c>
      <c r="N115" s="79">
        <f>IF(M115="","","Warranty expires in "&amp;H115&amp;" days: "&amp;B115&amp;IF(C115="",""," ("&amp;C115&amp;")")&amp;" — check for defects")</f>
        <v/>
      </c>
      <c r="P115" s="72" t="n"/>
      <c r="Q115" s="72" t="n"/>
      <c r="R115" s="89" t="n"/>
      <c r="S115" s="109" t="n"/>
      <c r="T115" s="126">
        <f>IF(OR(R115="",S115=""),"",DATE(YEAR(S115),MONTH(S115)+R115,DAY(S115)))</f>
        <v/>
      </c>
      <c r="U115" s="144">
        <f>IF(T115="","",T115-AsOf)</f>
        <v/>
      </c>
      <c r="V115" s="107">
        <f>IF(T115="",IF(P115="","","Enter last-done date"),IF(U115&lt;0,"Overdue",IF(U115&lt;=30,"Due soon","OK")))</f>
        <v/>
      </c>
      <c r="W115" s="79">
        <f>IF(T115="","",IF(U115&lt;0,2,IF(U115&lt;=30,1,0)))</f>
        <v/>
      </c>
      <c r="X115" s="112">
        <f>IF(T115="","",T115)</f>
        <v/>
      </c>
      <c r="Y115" s="79">
        <f>IF(X115="","",IF(X115&lt;=AsOf+AlertDays,2,IF(X115&lt;=AsOf+30,3,"")))</f>
        <v/>
      </c>
      <c r="Z115" s="79">
        <f>IF(Y115="","",IF(U115&lt;0,"Maintenance overdue: ","Maintenance due: ")&amp;P115)</f>
        <v/>
      </c>
    </row>
    <row r="116" ht="20" customHeight="1">
      <c r="B116" s="72" t="n"/>
      <c r="C116" s="72" t="n"/>
      <c r="D116" s="72" t="n"/>
      <c r="E116" s="109" t="n"/>
      <c r="F116" s="74" t="n"/>
      <c r="G116" s="126">
        <f>IF(OR(E116="",F116=""),"",DATE(YEAR(E116),MONTH(E116)+ROUND(F116*12,0),DAY(E116)))</f>
        <v/>
      </c>
      <c r="H116" s="144">
        <f>IF(G116="","",G116-AsOf)</f>
        <v/>
      </c>
      <c r="I116" s="107">
        <f>IF(G116="","",IF(H116&lt;0,"Expired",IF(H116&lt;=90,"Expires soon","Active")))</f>
        <v/>
      </c>
      <c r="J116" s="72" t="n"/>
      <c r="K116" s="79">
        <f>IF(I116="","",IF(I116="Active",0,IF(I116="Expires soon",1,3)))</f>
        <v/>
      </c>
      <c r="L116" s="112">
        <f>IF(G116="","",IF(G116&lt;AsOf,"",G116))</f>
        <v/>
      </c>
      <c r="M116" s="79">
        <f>IF(L116="","",IF(L116&lt;=AsOf+AlertDays,2,IF(L116&lt;=AsOf+90,3,"")))</f>
        <v/>
      </c>
      <c r="N116" s="79">
        <f>IF(M116="","","Warranty expires in "&amp;H116&amp;" days: "&amp;B116&amp;IF(C116="",""," ("&amp;C116&amp;")")&amp;" — check for defects")</f>
        <v/>
      </c>
      <c r="P116" s="72" t="n"/>
      <c r="Q116" s="72" t="n"/>
      <c r="R116" s="89" t="n"/>
      <c r="S116" s="109" t="n"/>
      <c r="T116" s="126">
        <f>IF(OR(R116="",S116=""),"",DATE(YEAR(S116),MONTH(S116)+R116,DAY(S116)))</f>
        <v/>
      </c>
      <c r="U116" s="144">
        <f>IF(T116="","",T116-AsOf)</f>
        <v/>
      </c>
      <c r="V116" s="107">
        <f>IF(T116="",IF(P116="","","Enter last-done date"),IF(U116&lt;0,"Overdue",IF(U116&lt;=30,"Due soon","OK")))</f>
        <v/>
      </c>
      <c r="W116" s="79">
        <f>IF(T116="","",IF(U116&lt;0,2,IF(U116&lt;=30,1,0)))</f>
        <v/>
      </c>
      <c r="X116" s="112">
        <f>IF(T116="","",T116)</f>
        <v/>
      </c>
      <c r="Y116" s="79">
        <f>IF(X116="","",IF(X116&lt;=AsOf+AlertDays,2,IF(X116&lt;=AsOf+30,3,"")))</f>
        <v/>
      </c>
      <c r="Z116" s="79">
        <f>IF(Y116="","",IF(U116&lt;0,"Maintenance overdue: ","Maintenance due: ")&amp;P116)</f>
        <v/>
      </c>
    </row>
    <row r="117" ht="20" customHeight="1">
      <c r="B117" s="72" t="n"/>
      <c r="C117" s="72" t="n"/>
      <c r="D117" s="72" t="n"/>
      <c r="E117" s="109" t="n"/>
      <c r="F117" s="74" t="n"/>
      <c r="G117" s="126">
        <f>IF(OR(E117="",F117=""),"",DATE(YEAR(E117),MONTH(E117)+ROUND(F117*12,0),DAY(E117)))</f>
        <v/>
      </c>
      <c r="H117" s="144">
        <f>IF(G117="","",G117-AsOf)</f>
        <v/>
      </c>
      <c r="I117" s="107">
        <f>IF(G117="","",IF(H117&lt;0,"Expired",IF(H117&lt;=90,"Expires soon","Active")))</f>
        <v/>
      </c>
      <c r="J117" s="72" t="n"/>
      <c r="K117" s="79">
        <f>IF(I117="","",IF(I117="Active",0,IF(I117="Expires soon",1,3)))</f>
        <v/>
      </c>
      <c r="L117" s="112">
        <f>IF(G117="","",IF(G117&lt;AsOf,"",G117))</f>
        <v/>
      </c>
      <c r="M117" s="79">
        <f>IF(L117="","",IF(L117&lt;=AsOf+AlertDays,2,IF(L117&lt;=AsOf+90,3,"")))</f>
        <v/>
      </c>
      <c r="N117" s="79">
        <f>IF(M117="","","Warranty expires in "&amp;H117&amp;" days: "&amp;B117&amp;IF(C117="",""," ("&amp;C117&amp;")")&amp;" — check for defects")</f>
        <v/>
      </c>
      <c r="P117" s="72" t="n"/>
      <c r="Q117" s="72" t="n"/>
      <c r="R117" s="89" t="n"/>
      <c r="S117" s="109" t="n"/>
      <c r="T117" s="126">
        <f>IF(OR(R117="",S117=""),"",DATE(YEAR(S117),MONTH(S117)+R117,DAY(S117)))</f>
        <v/>
      </c>
      <c r="U117" s="144">
        <f>IF(T117="","",T117-AsOf)</f>
        <v/>
      </c>
      <c r="V117" s="107">
        <f>IF(T117="",IF(P117="","","Enter last-done date"),IF(U117&lt;0,"Overdue",IF(U117&lt;=30,"Due soon","OK")))</f>
        <v/>
      </c>
      <c r="W117" s="79">
        <f>IF(T117="","",IF(U117&lt;0,2,IF(U117&lt;=30,1,0)))</f>
        <v/>
      </c>
      <c r="X117" s="112">
        <f>IF(T117="","",T117)</f>
        <v/>
      </c>
      <c r="Y117" s="79">
        <f>IF(X117="","",IF(X117&lt;=AsOf+AlertDays,2,IF(X117&lt;=AsOf+30,3,"")))</f>
        <v/>
      </c>
      <c r="Z117" s="79">
        <f>IF(Y117="","",IF(U117&lt;0,"Maintenance overdue: ","Maintenance due: ")&amp;P117)</f>
        <v/>
      </c>
    </row>
    <row r="118" ht="20" customHeight="1">
      <c r="B118" s="72" t="n"/>
      <c r="C118" s="72" t="n"/>
      <c r="D118" s="72" t="n"/>
      <c r="E118" s="109" t="n"/>
      <c r="F118" s="74" t="n"/>
      <c r="G118" s="126">
        <f>IF(OR(E118="",F118=""),"",DATE(YEAR(E118),MONTH(E118)+ROUND(F118*12,0),DAY(E118)))</f>
        <v/>
      </c>
      <c r="H118" s="144">
        <f>IF(G118="","",G118-AsOf)</f>
        <v/>
      </c>
      <c r="I118" s="107">
        <f>IF(G118="","",IF(H118&lt;0,"Expired",IF(H118&lt;=90,"Expires soon","Active")))</f>
        <v/>
      </c>
      <c r="J118" s="72" t="n"/>
      <c r="K118" s="79">
        <f>IF(I118="","",IF(I118="Active",0,IF(I118="Expires soon",1,3)))</f>
        <v/>
      </c>
      <c r="L118" s="112">
        <f>IF(G118="","",IF(G118&lt;AsOf,"",G118))</f>
        <v/>
      </c>
      <c r="M118" s="79">
        <f>IF(L118="","",IF(L118&lt;=AsOf+AlertDays,2,IF(L118&lt;=AsOf+90,3,"")))</f>
        <v/>
      </c>
      <c r="N118" s="79">
        <f>IF(M118="","","Warranty expires in "&amp;H118&amp;" days: "&amp;B118&amp;IF(C118="",""," ("&amp;C118&amp;")")&amp;" — check for defects")</f>
        <v/>
      </c>
      <c r="P118" s="72" t="n"/>
      <c r="Q118" s="72" t="n"/>
      <c r="R118" s="89" t="n"/>
      <c r="S118" s="109" t="n"/>
      <c r="T118" s="126">
        <f>IF(OR(R118="",S118=""),"",DATE(YEAR(S118),MONTH(S118)+R118,DAY(S118)))</f>
        <v/>
      </c>
      <c r="U118" s="144">
        <f>IF(T118="","",T118-AsOf)</f>
        <v/>
      </c>
      <c r="V118" s="107">
        <f>IF(T118="",IF(P118="","","Enter last-done date"),IF(U118&lt;0,"Overdue",IF(U118&lt;=30,"Due soon","OK")))</f>
        <v/>
      </c>
      <c r="W118" s="79">
        <f>IF(T118="","",IF(U118&lt;0,2,IF(U118&lt;=30,1,0)))</f>
        <v/>
      </c>
      <c r="X118" s="112">
        <f>IF(T118="","",T118)</f>
        <v/>
      </c>
      <c r="Y118" s="79">
        <f>IF(X118="","",IF(X118&lt;=AsOf+AlertDays,2,IF(X118&lt;=AsOf+30,3,"")))</f>
        <v/>
      </c>
      <c r="Z118" s="79">
        <f>IF(Y118="","",IF(U118&lt;0,"Maintenance overdue: ","Maintenance due: ")&amp;P118)</f>
        <v/>
      </c>
    </row>
    <row r="119" ht="20" customHeight="1">
      <c r="B119" s="72" t="n"/>
      <c r="C119" s="72" t="n"/>
      <c r="D119" s="72" t="n"/>
      <c r="E119" s="109" t="n"/>
      <c r="F119" s="74" t="n"/>
      <c r="G119" s="126">
        <f>IF(OR(E119="",F119=""),"",DATE(YEAR(E119),MONTH(E119)+ROUND(F119*12,0),DAY(E119)))</f>
        <v/>
      </c>
      <c r="H119" s="144">
        <f>IF(G119="","",G119-AsOf)</f>
        <v/>
      </c>
      <c r="I119" s="107">
        <f>IF(G119="","",IF(H119&lt;0,"Expired",IF(H119&lt;=90,"Expires soon","Active")))</f>
        <v/>
      </c>
      <c r="J119" s="72" t="n"/>
      <c r="K119" s="79">
        <f>IF(I119="","",IF(I119="Active",0,IF(I119="Expires soon",1,3)))</f>
        <v/>
      </c>
      <c r="L119" s="112">
        <f>IF(G119="","",IF(G119&lt;AsOf,"",G119))</f>
        <v/>
      </c>
      <c r="M119" s="79">
        <f>IF(L119="","",IF(L119&lt;=AsOf+AlertDays,2,IF(L119&lt;=AsOf+90,3,"")))</f>
        <v/>
      </c>
      <c r="N119" s="79">
        <f>IF(M119="","","Warranty expires in "&amp;H119&amp;" days: "&amp;B119&amp;IF(C119="",""," ("&amp;C119&amp;")")&amp;" — check for defects")</f>
        <v/>
      </c>
      <c r="P119" s="72" t="n"/>
      <c r="Q119" s="72" t="n"/>
      <c r="R119" s="89" t="n"/>
      <c r="S119" s="109" t="n"/>
      <c r="T119" s="126">
        <f>IF(OR(R119="",S119=""),"",DATE(YEAR(S119),MONTH(S119)+R119,DAY(S119)))</f>
        <v/>
      </c>
      <c r="U119" s="144">
        <f>IF(T119="","",T119-AsOf)</f>
        <v/>
      </c>
      <c r="V119" s="107">
        <f>IF(T119="",IF(P119="","","Enter last-done date"),IF(U119&lt;0,"Overdue",IF(U119&lt;=30,"Due soon","OK")))</f>
        <v/>
      </c>
      <c r="W119" s="79">
        <f>IF(T119="","",IF(U119&lt;0,2,IF(U119&lt;=30,1,0)))</f>
        <v/>
      </c>
      <c r="X119" s="112">
        <f>IF(T119="","",T119)</f>
        <v/>
      </c>
      <c r="Y119" s="79">
        <f>IF(X119="","",IF(X119&lt;=AsOf+AlertDays,2,IF(X119&lt;=AsOf+30,3,"")))</f>
        <v/>
      </c>
      <c r="Z119" s="79">
        <f>IF(Y119="","",IF(U119&lt;0,"Maintenance overdue: ","Maintenance due: ")&amp;P119)</f>
        <v/>
      </c>
    </row>
    <row r="120" ht="20" customHeight="1">
      <c r="B120" s="72" t="n"/>
      <c r="C120" s="72" t="n"/>
      <c r="D120" s="72" t="n"/>
      <c r="E120" s="109" t="n"/>
      <c r="F120" s="74" t="n"/>
      <c r="G120" s="126">
        <f>IF(OR(E120="",F120=""),"",DATE(YEAR(E120),MONTH(E120)+ROUND(F120*12,0),DAY(E120)))</f>
        <v/>
      </c>
      <c r="H120" s="144">
        <f>IF(G120="","",G120-AsOf)</f>
        <v/>
      </c>
      <c r="I120" s="107">
        <f>IF(G120="","",IF(H120&lt;0,"Expired",IF(H120&lt;=90,"Expires soon","Active")))</f>
        <v/>
      </c>
      <c r="J120" s="72" t="n"/>
      <c r="K120" s="79">
        <f>IF(I120="","",IF(I120="Active",0,IF(I120="Expires soon",1,3)))</f>
        <v/>
      </c>
      <c r="L120" s="112">
        <f>IF(G120="","",IF(G120&lt;AsOf,"",G120))</f>
        <v/>
      </c>
      <c r="M120" s="79">
        <f>IF(L120="","",IF(L120&lt;=AsOf+AlertDays,2,IF(L120&lt;=AsOf+90,3,"")))</f>
        <v/>
      </c>
      <c r="N120" s="79">
        <f>IF(M120="","","Warranty expires in "&amp;H120&amp;" days: "&amp;B120&amp;IF(C120="",""," ("&amp;C120&amp;")")&amp;" — check for defects")</f>
        <v/>
      </c>
      <c r="P120" s="72" t="n"/>
      <c r="Q120" s="72" t="n"/>
      <c r="R120" s="89" t="n"/>
      <c r="S120" s="109" t="n"/>
      <c r="T120" s="126">
        <f>IF(OR(R120="",S120=""),"",DATE(YEAR(S120),MONTH(S120)+R120,DAY(S120)))</f>
        <v/>
      </c>
      <c r="U120" s="144">
        <f>IF(T120="","",T120-AsOf)</f>
        <v/>
      </c>
      <c r="V120" s="107">
        <f>IF(T120="",IF(P120="","","Enter last-done date"),IF(U120&lt;0,"Overdue",IF(U120&lt;=30,"Due soon","OK")))</f>
        <v/>
      </c>
      <c r="W120" s="79">
        <f>IF(T120="","",IF(U120&lt;0,2,IF(U120&lt;=30,1,0)))</f>
        <v/>
      </c>
      <c r="X120" s="112">
        <f>IF(T120="","",T120)</f>
        <v/>
      </c>
      <c r="Y120" s="79">
        <f>IF(X120="","",IF(X120&lt;=AsOf+AlertDays,2,IF(X120&lt;=AsOf+30,3,"")))</f>
        <v/>
      </c>
      <c r="Z120" s="79">
        <f>IF(Y120="","",IF(U120&lt;0,"Maintenance overdue: ","Maintenance due: ")&amp;P120)</f>
        <v/>
      </c>
    </row>
    <row r="121" ht="20" customHeight="1">
      <c r="B121" s="72" t="n"/>
      <c r="C121" s="72" t="n"/>
      <c r="D121" s="72" t="n"/>
      <c r="E121" s="109" t="n"/>
      <c r="F121" s="74" t="n"/>
      <c r="G121" s="126">
        <f>IF(OR(E121="",F121=""),"",DATE(YEAR(E121),MONTH(E121)+ROUND(F121*12,0),DAY(E121)))</f>
        <v/>
      </c>
      <c r="H121" s="144">
        <f>IF(G121="","",G121-AsOf)</f>
        <v/>
      </c>
      <c r="I121" s="107">
        <f>IF(G121="","",IF(H121&lt;0,"Expired",IF(H121&lt;=90,"Expires soon","Active")))</f>
        <v/>
      </c>
      <c r="J121" s="72" t="n"/>
      <c r="K121" s="79">
        <f>IF(I121="","",IF(I121="Active",0,IF(I121="Expires soon",1,3)))</f>
        <v/>
      </c>
      <c r="L121" s="112">
        <f>IF(G121="","",IF(G121&lt;AsOf,"",G121))</f>
        <v/>
      </c>
      <c r="M121" s="79">
        <f>IF(L121="","",IF(L121&lt;=AsOf+AlertDays,2,IF(L121&lt;=AsOf+90,3,"")))</f>
        <v/>
      </c>
      <c r="N121" s="79">
        <f>IF(M121="","","Warranty expires in "&amp;H121&amp;" days: "&amp;B121&amp;IF(C121="",""," ("&amp;C121&amp;")")&amp;" — check for defects")</f>
        <v/>
      </c>
      <c r="P121" s="72" t="n"/>
      <c r="Q121" s="72" t="n"/>
      <c r="R121" s="89" t="n"/>
      <c r="S121" s="109" t="n"/>
      <c r="T121" s="126">
        <f>IF(OR(R121="",S121=""),"",DATE(YEAR(S121),MONTH(S121)+R121,DAY(S121)))</f>
        <v/>
      </c>
      <c r="U121" s="144">
        <f>IF(T121="","",T121-AsOf)</f>
        <v/>
      </c>
      <c r="V121" s="107">
        <f>IF(T121="",IF(P121="","","Enter last-done date"),IF(U121&lt;0,"Overdue",IF(U121&lt;=30,"Due soon","OK")))</f>
        <v/>
      </c>
      <c r="W121" s="79">
        <f>IF(T121="","",IF(U121&lt;0,2,IF(U121&lt;=30,1,0)))</f>
        <v/>
      </c>
      <c r="X121" s="112">
        <f>IF(T121="","",T121)</f>
        <v/>
      </c>
      <c r="Y121" s="79">
        <f>IF(X121="","",IF(X121&lt;=AsOf+AlertDays,2,IF(X121&lt;=AsOf+30,3,"")))</f>
        <v/>
      </c>
      <c r="Z121" s="79">
        <f>IF(Y121="","",IF(U121&lt;0,"Maintenance overdue: ","Maintenance due: ")&amp;P121)</f>
        <v/>
      </c>
    </row>
    <row r="122" ht="20" customHeight="1">
      <c r="B122" s="72" t="n"/>
      <c r="C122" s="72" t="n"/>
      <c r="D122" s="72" t="n"/>
      <c r="E122" s="109" t="n"/>
      <c r="F122" s="74" t="n"/>
      <c r="G122" s="126">
        <f>IF(OR(E122="",F122=""),"",DATE(YEAR(E122),MONTH(E122)+ROUND(F122*12,0),DAY(E122)))</f>
        <v/>
      </c>
      <c r="H122" s="144">
        <f>IF(G122="","",G122-AsOf)</f>
        <v/>
      </c>
      <c r="I122" s="107">
        <f>IF(G122="","",IF(H122&lt;0,"Expired",IF(H122&lt;=90,"Expires soon","Active")))</f>
        <v/>
      </c>
      <c r="J122" s="72" t="n"/>
      <c r="K122" s="79">
        <f>IF(I122="","",IF(I122="Active",0,IF(I122="Expires soon",1,3)))</f>
        <v/>
      </c>
      <c r="L122" s="112">
        <f>IF(G122="","",IF(G122&lt;AsOf,"",G122))</f>
        <v/>
      </c>
      <c r="M122" s="79">
        <f>IF(L122="","",IF(L122&lt;=AsOf+AlertDays,2,IF(L122&lt;=AsOf+90,3,"")))</f>
        <v/>
      </c>
      <c r="N122" s="79">
        <f>IF(M122="","","Warranty expires in "&amp;H122&amp;" days: "&amp;B122&amp;IF(C122="",""," ("&amp;C122&amp;")")&amp;" — check for defects")</f>
        <v/>
      </c>
      <c r="P122" s="72" t="n"/>
      <c r="Q122" s="72" t="n"/>
      <c r="R122" s="89" t="n"/>
      <c r="S122" s="109" t="n"/>
      <c r="T122" s="126">
        <f>IF(OR(R122="",S122=""),"",DATE(YEAR(S122),MONTH(S122)+R122,DAY(S122)))</f>
        <v/>
      </c>
      <c r="U122" s="144">
        <f>IF(T122="","",T122-AsOf)</f>
        <v/>
      </c>
      <c r="V122" s="107">
        <f>IF(T122="",IF(P122="","","Enter last-done date"),IF(U122&lt;0,"Overdue",IF(U122&lt;=30,"Due soon","OK")))</f>
        <v/>
      </c>
      <c r="W122" s="79">
        <f>IF(T122="","",IF(U122&lt;0,2,IF(U122&lt;=30,1,0)))</f>
        <v/>
      </c>
      <c r="X122" s="112">
        <f>IF(T122="","",T122)</f>
        <v/>
      </c>
      <c r="Y122" s="79">
        <f>IF(X122="","",IF(X122&lt;=AsOf+AlertDays,2,IF(X122&lt;=AsOf+30,3,"")))</f>
        <v/>
      </c>
      <c r="Z122" s="79">
        <f>IF(Y122="","",IF(U122&lt;0,"Maintenance overdue: ","Maintenance due: ")&amp;P122)</f>
        <v/>
      </c>
    </row>
    <row r="123" ht="20" customHeight="1">
      <c r="B123" s="72" t="n"/>
      <c r="C123" s="72" t="n"/>
      <c r="D123" s="72" t="n"/>
      <c r="E123" s="109" t="n"/>
      <c r="F123" s="74" t="n"/>
      <c r="G123" s="126">
        <f>IF(OR(E123="",F123=""),"",DATE(YEAR(E123),MONTH(E123)+ROUND(F123*12,0),DAY(E123)))</f>
        <v/>
      </c>
      <c r="H123" s="144">
        <f>IF(G123="","",G123-AsOf)</f>
        <v/>
      </c>
      <c r="I123" s="107">
        <f>IF(G123="","",IF(H123&lt;0,"Expired",IF(H123&lt;=90,"Expires soon","Active")))</f>
        <v/>
      </c>
      <c r="J123" s="72" t="n"/>
      <c r="K123" s="79">
        <f>IF(I123="","",IF(I123="Active",0,IF(I123="Expires soon",1,3)))</f>
        <v/>
      </c>
      <c r="L123" s="112">
        <f>IF(G123="","",IF(G123&lt;AsOf,"",G123))</f>
        <v/>
      </c>
      <c r="M123" s="79">
        <f>IF(L123="","",IF(L123&lt;=AsOf+AlertDays,2,IF(L123&lt;=AsOf+90,3,"")))</f>
        <v/>
      </c>
      <c r="N123" s="79">
        <f>IF(M123="","","Warranty expires in "&amp;H123&amp;" days: "&amp;B123&amp;IF(C123="",""," ("&amp;C123&amp;")")&amp;" — check for defects")</f>
        <v/>
      </c>
      <c r="P123" s="72" t="n"/>
      <c r="Q123" s="72" t="n"/>
      <c r="R123" s="89" t="n"/>
      <c r="S123" s="109" t="n"/>
      <c r="T123" s="126">
        <f>IF(OR(R123="",S123=""),"",DATE(YEAR(S123),MONTH(S123)+R123,DAY(S123)))</f>
        <v/>
      </c>
      <c r="U123" s="144">
        <f>IF(T123="","",T123-AsOf)</f>
        <v/>
      </c>
      <c r="V123" s="107">
        <f>IF(T123="",IF(P123="","","Enter last-done date"),IF(U123&lt;0,"Overdue",IF(U123&lt;=30,"Due soon","OK")))</f>
        <v/>
      </c>
      <c r="W123" s="79">
        <f>IF(T123="","",IF(U123&lt;0,2,IF(U123&lt;=30,1,0)))</f>
        <v/>
      </c>
      <c r="X123" s="112">
        <f>IF(T123="","",T123)</f>
        <v/>
      </c>
      <c r="Y123" s="79">
        <f>IF(X123="","",IF(X123&lt;=AsOf+AlertDays,2,IF(X123&lt;=AsOf+30,3,"")))</f>
        <v/>
      </c>
      <c r="Z123" s="79">
        <f>IF(Y123="","",IF(U123&lt;0,"Maintenance overdue: ","Maintenance due: ")&amp;P123)</f>
        <v/>
      </c>
    </row>
    <row r="124" ht="20" customHeight="1">
      <c r="B124" s="72" t="n"/>
      <c r="C124" s="72" t="n"/>
      <c r="D124" s="72" t="n"/>
      <c r="E124" s="109" t="n"/>
      <c r="F124" s="74" t="n"/>
      <c r="G124" s="126">
        <f>IF(OR(E124="",F124=""),"",DATE(YEAR(E124),MONTH(E124)+ROUND(F124*12,0),DAY(E124)))</f>
        <v/>
      </c>
      <c r="H124" s="144">
        <f>IF(G124="","",G124-AsOf)</f>
        <v/>
      </c>
      <c r="I124" s="107">
        <f>IF(G124="","",IF(H124&lt;0,"Expired",IF(H124&lt;=90,"Expires soon","Active")))</f>
        <v/>
      </c>
      <c r="J124" s="72" t="n"/>
      <c r="K124" s="79">
        <f>IF(I124="","",IF(I124="Active",0,IF(I124="Expires soon",1,3)))</f>
        <v/>
      </c>
      <c r="L124" s="112">
        <f>IF(G124="","",IF(G124&lt;AsOf,"",G124))</f>
        <v/>
      </c>
      <c r="M124" s="79">
        <f>IF(L124="","",IF(L124&lt;=AsOf+AlertDays,2,IF(L124&lt;=AsOf+90,3,"")))</f>
        <v/>
      </c>
      <c r="N124" s="79">
        <f>IF(M124="","","Warranty expires in "&amp;H124&amp;" days: "&amp;B124&amp;IF(C124="",""," ("&amp;C124&amp;")")&amp;" — check for defects")</f>
        <v/>
      </c>
      <c r="P124" s="72" t="n"/>
      <c r="Q124" s="72" t="n"/>
      <c r="R124" s="89" t="n"/>
      <c r="S124" s="109" t="n"/>
      <c r="T124" s="126">
        <f>IF(OR(R124="",S124=""),"",DATE(YEAR(S124),MONTH(S124)+R124,DAY(S124)))</f>
        <v/>
      </c>
      <c r="U124" s="144">
        <f>IF(T124="","",T124-AsOf)</f>
        <v/>
      </c>
      <c r="V124" s="107">
        <f>IF(T124="",IF(P124="","","Enter last-done date"),IF(U124&lt;0,"Overdue",IF(U124&lt;=30,"Due soon","OK")))</f>
        <v/>
      </c>
      <c r="W124" s="79">
        <f>IF(T124="","",IF(U124&lt;0,2,IF(U124&lt;=30,1,0)))</f>
        <v/>
      </c>
      <c r="X124" s="112">
        <f>IF(T124="","",T124)</f>
        <v/>
      </c>
      <c r="Y124" s="79">
        <f>IF(X124="","",IF(X124&lt;=AsOf+AlertDays,2,IF(X124&lt;=AsOf+30,3,"")))</f>
        <v/>
      </c>
      <c r="Z124" s="79">
        <f>IF(Y124="","",IF(U124&lt;0,"Maintenance overdue: ","Maintenance due: ")&amp;P124)</f>
        <v/>
      </c>
    </row>
    <row r="125" ht="20" customHeight="1">
      <c r="B125" s="72" t="n"/>
      <c r="C125" s="72" t="n"/>
      <c r="D125" s="72" t="n"/>
      <c r="E125" s="109" t="n"/>
      <c r="F125" s="74" t="n"/>
      <c r="G125" s="126">
        <f>IF(OR(E125="",F125=""),"",DATE(YEAR(E125),MONTH(E125)+ROUND(F125*12,0),DAY(E125)))</f>
        <v/>
      </c>
      <c r="H125" s="144">
        <f>IF(G125="","",G125-AsOf)</f>
        <v/>
      </c>
      <c r="I125" s="107">
        <f>IF(G125="","",IF(H125&lt;0,"Expired",IF(H125&lt;=90,"Expires soon","Active")))</f>
        <v/>
      </c>
      <c r="J125" s="72" t="n"/>
      <c r="K125" s="79">
        <f>IF(I125="","",IF(I125="Active",0,IF(I125="Expires soon",1,3)))</f>
        <v/>
      </c>
      <c r="L125" s="112">
        <f>IF(G125="","",IF(G125&lt;AsOf,"",G125))</f>
        <v/>
      </c>
      <c r="M125" s="79">
        <f>IF(L125="","",IF(L125&lt;=AsOf+AlertDays,2,IF(L125&lt;=AsOf+90,3,"")))</f>
        <v/>
      </c>
      <c r="N125" s="79">
        <f>IF(M125="","","Warranty expires in "&amp;H125&amp;" days: "&amp;B125&amp;IF(C125="",""," ("&amp;C125&amp;")")&amp;" — check for defects")</f>
        <v/>
      </c>
      <c r="P125" s="72" t="n"/>
      <c r="Q125" s="72" t="n"/>
      <c r="R125" s="89" t="n"/>
      <c r="S125" s="109" t="n"/>
      <c r="T125" s="126">
        <f>IF(OR(R125="",S125=""),"",DATE(YEAR(S125),MONTH(S125)+R125,DAY(S125)))</f>
        <v/>
      </c>
      <c r="U125" s="144">
        <f>IF(T125="","",T125-AsOf)</f>
        <v/>
      </c>
      <c r="V125" s="107">
        <f>IF(T125="",IF(P125="","","Enter last-done date"),IF(U125&lt;0,"Overdue",IF(U125&lt;=30,"Due soon","OK")))</f>
        <v/>
      </c>
      <c r="W125" s="79">
        <f>IF(T125="","",IF(U125&lt;0,2,IF(U125&lt;=30,1,0)))</f>
        <v/>
      </c>
      <c r="X125" s="112">
        <f>IF(T125="","",T125)</f>
        <v/>
      </c>
      <c r="Y125" s="79">
        <f>IF(X125="","",IF(X125&lt;=AsOf+AlertDays,2,IF(X125&lt;=AsOf+30,3,"")))</f>
        <v/>
      </c>
      <c r="Z125" s="79">
        <f>IF(Y125="","",IF(U125&lt;0,"Maintenance overdue: ","Maintenance due: ")&amp;P125)</f>
        <v/>
      </c>
    </row>
    <row r="126" ht="20" customHeight="1">
      <c r="B126" s="72" t="n"/>
      <c r="C126" s="72" t="n"/>
      <c r="D126" s="72" t="n"/>
      <c r="E126" s="109" t="n"/>
      <c r="F126" s="74" t="n"/>
      <c r="G126" s="126">
        <f>IF(OR(E126="",F126=""),"",DATE(YEAR(E126),MONTH(E126)+ROUND(F126*12,0),DAY(E126)))</f>
        <v/>
      </c>
      <c r="H126" s="144">
        <f>IF(G126="","",G126-AsOf)</f>
        <v/>
      </c>
      <c r="I126" s="107">
        <f>IF(G126="","",IF(H126&lt;0,"Expired",IF(H126&lt;=90,"Expires soon","Active")))</f>
        <v/>
      </c>
      <c r="J126" s="72" t="n"/>
      <c r="K126" s="79">
        <f>IF(I126="","",IF(I126="Active",0,IF(I126="Expires soon",1,3)))</f>
        <v/>
      </c>
      <c r="L126" s="112">
        <f>IF(G126="","",IF(G126&lt;AsOf,"",G126))</f>
        <v/>
      </c>
      <c r="M126" s="79">
        <f>IF(L126="","",IF(L126&lt;=AsOf+AlertDays,2,IF(L126&lt;=AsOf+90,3,"")))</f>
        <v/>
      </c>
      <c r="N126" s="79">
        <f>IF(M126="","","Warranty expires in "&amp;H126&amp;" days: "&amp;B126&amp;IF(C126="",""," ("&amp;C126&amp;")")&amp;" — check for defects")</f>
        <v/>
      </c>
      <c r="P126" s="72" t="n"/>
      <c r="Q126" s="72" t="n"/>
      <c r="R126" s="89" t="n"/>
      <c r="S126" s="109" t="n"/>
      <c r="T126" s="126">
        <f>IF(OR(R126="",S126=""),"",DATE(YEAR(S126),MONTH(S126)+R126,DAY(S126)))</f>
        <v/>
      </c>
      <c r="U126" s="144">
        <f>IF(T126="","",T126-AsOf)</f>
        <v/>
      </c>
      <c r="V126" s="107">
        <f>IF(T126="",IF(P126="","","Enter last-done date"),IF(U126&lt;0,"Overdue",IF(U126&lt;=30,"Due soon","OK")))</f>
        <v/>
      </c>
      <c r="W126" s="79">
        <f>IF(T126="","",IF(U126&lt;0,2,IF(U126&lt;=30,1,0)))</f>
        <v/>
      </c>
      <c r="X126" s="112">
        <f>IF(T126="","",T126)</f>
        <v/>
      </c>
      <c r="Y126" s="79">
        <f>IF(X126="","",IF(X126&lt;=AsOf+AlertDays,2,IF(X126&lt;=AsOf+30,3,"")))</f>
        <v/>
      </c>
      <c r="Z126" s="79">
        <f>IF(Y126="","",IF(U126&lt;0,"Maintenance overdue: ","Maintenance due: ")&amp;P126)</f>
        <v/>
      </c>
    </row>
    <row r="127" ht="20" customHeight="1">
      <c r="B127" s="72" t="n"/>
      <c r="C127" s="72" t="n"/>
      <c r="D127" s="72" t="n"/>
      <c r="E127" s="109" t="n"/>
      <c r="F127" s="74" t="n"/>
      <c r="G127" s="126">
        <f>IF(OR(E127="",F127=""),"",DATE(YEAR(E127),MONTH(E127)+ROUND(F127*12,0),DAY(E127)))</f>
        <v/>
      </c>
      <c r="H127" s="144">
        <f>IF(G127="","",G127-AsOf)</f>
        <v/>
      </c>
      <c r="I127" s="107">
        <f>IF(G127="","",IF(H127&lt;0,"Expired",IF(H127&lt;=90,"Expires soon","Active")))</f>
        <v/>
      </c>
      <c r="J127" s="72" t="n"/>
      <c r="K127" s="79">
        <f>IF(I127="","",IF(I127="Active",0,IF(I127="Expires soon",1,3)))</f>
        <v/>
      </c>
      <c r="L127" s="112">
        <f>IF(G127="","",IF(G127&lt;AsOf,"",G127))</f>
        <v/>
      </c>
      <c r="M127" s="79">
        <f>IF(L127="","",IF(L127&lt;=AsOf+AlertDays,2,IF(L127&lt;=AsOf+90,3,"")))</f>
        <v/>
      </c>
      <c r="N127" s="79">
        <f>IF(M127="","","Warranty expires in "&amp;H127&amp;" days: "&amp;B127&amp;IF(C127="",""," ("&amp;C127&amp;")")&amp;" — check for defects")</f>
        <v/>
      </c>
      <c r="P127" s="72" t="n"/>
      <c r="Q127" s="72" t="n"/>
      <c r="R127" s="89" t="n"/>
      <c r="S127" s="109" t="n"/>
      <c r="T127" s="126">
        <f>IF(OR(R127="",S127=""),"",DATE(YEAR(S127),MONTH(S127)+R127,DAY(S127)))</f>
        <v/>
      </c>
      <c r="U127" s="144">
        <f>IF(T127="","",T127-AsOf)</f>
        <v/>
      </c>
      <c r="V127" s="107">
        <f>IF(T127="",IF(P127="","","Enter last-done date"),IF(U127&lt;0,"Overdue",IF(U127&lt;=30,"Due soon","OK")))</f>
        <v/>
      </c>
      <c r="W127" s="79">
        <f>IF(T127="","",IF(U127&lt;0,2,IF(U127&lt;=30,1,0)))</f>
        <v/>
      </c>
      <c r="X127" s="112">
        <f>IF(T127="","",T127)</f>
        <v/>
      </c>
      <c r="Y127" s="79">
        <f>IF(X127="","",IF(X127&lt;=AsOf+AlertDays,2,IF(X127&lt;=AsOf+30,3,"")))</f>
        <v/>
      </c>
      <c r="Z127" s="79">
        <f>IF(Y127="","",IF(U127&lt;0,"Maintenance overdue: ","Maintenance due: ")&amp;P127)</f>
        <v/>
      </c>
    </row>
    <row r="128" ht="20" customHeight="1">
      <c r="B128" s="72" t="n"/>
      <c r="C128" s="72" t="n"/>
      <c r="D128" s="72" t="n"/>
      <c r="E128" s="109" t="n"/>
      <c r="F128" s="74" t="n"/>
      <c r="G128" s="126">
        <f>IF(OR(E128="",F128=""),"",DATE(YEAR(E128),MONTH(E128)+ROUND(F128*12,0),DAY(E128)))</f>
        <v/>
      </c>
      <c r="H128" s="144">
        <f>IF(G128="","",G128-AsOf)</f>
        <v/>
      </c>
      <c r="I128" s="107">
        <f>IF(G128="","",IF(H128&lt;0,"Expired",IF(H128&lt;=90,"Expires soon","Active")))</f>
        <v/>
      </c>
      <c r="J128" s="72" t="n"/>
      <c r="K128" s="79">
        <f>IF(I128="","",IF(I128="Active",0,IF(I128="Expires soon",1,3)))</f>
        <v/>
      </c>
      <c r="L128" s="112">
        <f>IF(G128="","",IF(G128&lt;AsOf,"",G128))</f>
        <v/>
      </c>
      <c r="M128" s="79">
        <f>IF(L128="","",IF(L128&lt;=AsOf+AlertDays,2,IF(L128&lt;=AsOf+90,3,"")))</f>
        <v/>
      </c>
      <c r="N128" s="79">
        <f>IF(M128="","","Warranty expires in "&amp;H128&amp;" days: "&amp;B128&amp;IF(C128="",""," ("&amp;C128&amp;")")&amp;" — check for defects")</f>
        <v/>
      </c>
      <c r="P128" s="72" t="n"/>
      <c r="Q128" s="72" t="n"/>
      <c r="R128" s="89" t="n"/>
      <c r="S128" s="109" t="n"/>
      <c r="T128" s="126">
        <f>IF(OR(R128="",S128=""),"",DATE(YEAR(S128),MONTH(S128)+R128,DAY(S128)))</f>
        <v/>
      </c>
      <c r="U128" s="144">
        <f>IF(T128="","",T128-AsOf)</f>
        <v/>
      </c>
      <c r="V128" s="107">
        <f>IF(T128="",IF(P128="","","Enter last-done date"),IF(U128&lt;0,"Overdue",IF(U128&lt;=30,"Due soon","OK")))</f>
        <v/>
      </c>
      <c r="W128" s="79">
        <f>IF(T128="","",IF(U128&lt;0,2,IF(U128&lt;=30,1,0)))</f>
        <v/>
      </c>
      <c r="X128" s="112">
        <f>IF(T128="","",T128)</f>
        <v/>
      </c>
      <c r="Y128" s="79">
        <f>IF(X128="","",IF(X128&lt;=AsOf+AlertDays,2,IF(X128&lt;=AsOf+30,3,"")))</f>
        <v/>
      </c>
      <c r="Z128" s="79">
        <f>IF(Y128="","",IF(U128&lt;0,"Maintenance overdue: ","Maintenance due: ")&amp;P128)</f>
        <v/>
      </c>
    </row>
    <row r="129" ht="20" customHeight="1">
      <c r="B129" s="72" t="n"/>
      <c r="C129" s="72" t="n"/>
      <c r="D129" s="72" t="n"/>
      <c r="E129" s="109" t="n"/>
      <c r="F129" s="74" t="n"/>
      <c r="G129" s="126">
        <f>IF(OR(E129="",F129=""),"",DATE(YEAR(E129),MONTH(E129)+ROUND(F129*12,0),DAY(E129)))</f>
        <v/>
      </c>
      <c r="H129" s="144">
        <f>IF(G129="","",G129-AsOf)</f>
        <v/>
      </c>
      <c r="I129" s="107">
        <f>IF(G129="","",IF(H129&lt;0,"Expired",IF(H129&lt;=90,"Expires soon","Active")))</f>
        <v/>
      </c>
      <c r="J129" s="72" t="n"/>
      <c r="K129" s="79">
        <f>IF(I129="","",IF(I129="Active",0,IF(I129="Expires soon",1,3)))</f>
        <v/>
      </c>
      <c r="L129" s="112">
        <f>IF(G129="","",IF(G129&lt;AsOf,"",G129))</f>
        <v/>
      </c>
      <c r="M129" s="79">
        <f>IF(L129="","",IF(L129&lt;=AsOf+AlertDays,2,IF(L129&lt;=AsOf+90,3,"")))</f>
        <v/>
      </c>
      <c r="N129" s="79">
        <f>IF(M129="","","Warranty expires in "&amp;H129&amp;" days: "&amp;B129&amp;IF(C129="",""," ("&amp;C129&amp;")")&amp;" — check for defects")</f>
        <v/>
      </c>
      <c r="P129" s="72" t="n"/>
      <c r="Q129" s="72" t="n"/>
      <c r="R129" s="89" t="n"/>
      <c r="S129" s="109" t="n"/>
      <c r="T129" s="126">
        <f>IF(OR(R129="",S129=""),"",DATE(YEAR(S129),MONTH(S129)+R129,DAY(S129)))</f>
        <v/>
      </c>
      <c r="U129" s="144">
        <f>IF(T129="","",T129-AsOf)</f>
        <v/>
      </c>
      <c r="V129" s="107">
        <f>IF(T129="",IF(P129="","","Enter last-done date"),IF(U129&lt;0,"Overdue",IF(U129&lt;=30,"Due soon","OK")))</f>
        <v/>
      </c>
      <c r="W129" s="79">
        <f>IF(T129="","",IF(U129&lt;0,2,IF(U129&lt;=30,1,0)))</f>
        <v/>
      </c>
      <c r="X129" s="112">
        <f>IF(T129="","",T129)</f>
        <v/>
      </c>
      <c r="Y129" s="79">
        <f>IF(X129="","",IF(X129&lt;=AsOf+AlertDays,2,IF(X129&lt;=AsOf+30,3,"")))</f>
        <v/>
      </c>
      <c r="Z129" s="79">
        <f>IF(Y129="","",IF(U129&lt;0,"Maintenance overdue: ","Maintenance due: ")&amp;P129)</f>
        <v/>
      </c>
    </row>
    <row r="130" ht="20" customHeight="1">
      <c r="B130" s="72" t="n"/>
      <c r="C130" s="72" t="n"/>
      <c r="D130" s="72" t="n"/>
      <c r="E130" s="109" t="n"/>
      <c r="F130" s="74" t="n"/>
      <c r="G130" s="126">
        <f>IF(OR(E130="",F130=""),"",DATE(YEAR(E130),MONTH(E130)+ROUND(F130*12,0),DAY(E130)))</f>
        <v/>
      </c>
      <c r="H130" s="144">
        <f>IF(G130="","",G130-AsOf)</f>
        <v/>
      </c>
      <c r="I130" s="107">
        <f>IF(G130="","",IF(H130&lt;0,"Expired",IF(H130&lt;=90,"Expires soon","Active")))</f>
        <v/>
      </c>
      <c r="J130" s="72" t="n"/>
      <c r="K130" s="79">
        <f>IF(I130="","",IF(I130="Active",0,IF(I130="Expires soon",1,3)))</f>
        <v/>
      </c>
      <c r="L130" s="112">
        <f>IF(G130="","",IF(G130&lt;AsOf,"",G130))</f>
        <v/>
      </c>
      <c r="M130" s="79">
        <f>IF(L130="","",IF(L130&lt;=AsOf+AlertDays,2,IF(L130&lt;=AsOf+90,3,"")))</f>
        <v/>
      </c>
      <c r="N130" s="79">
        <f>IF(M130="","","Warranty expires in "&amp;H130&amp;" days: "&amp;B130&amp;IF(C130="",""," ("&amp;C130&amp;")")&amp;" — check for defects")</f>
        <v/>
      </c>
      <c r="P130" s="72" t="n"/>
      <c r="Q130" s="72" t="n"/>
      <c r="R130" s="89" t="n"/>
      <c r="S130" s="109" t="n"/>
      <c r="T130" s="126">
        <f>IF(OR(R130="",S130=""),"",DATE(YEAR(S130),MONTH(S130)+R130,DAY(S130)))</f>
        <v/>
      </c>
      <c r="U130" s="144">
        <f>IF(T130="","",T130-AsOf)</f>
        <v/>
      </c>
      <c r="V130" s="107">
        <f>IF(T130="",IF(P130="","","Enter last-done date"),IF(U130&lt;0,"Overdue",IF(U130&lt;=30,"Due soon","OK")))</f>
        <v/>
      </c>
      <c r="W130" s="79">
        <f>IF(T130="","",IF(U130&lt;0,2,IF(U130&lt;=30,1,0)))</f>
        <v/>
      </c>
      <c r="X130" s="112">
        <f>IF(T130="","",T130)</f>
        <v/>
      </c>
      <c r="Y130" s="79">
        <f>IF(X130="","",IF(X130&lt;=AsOf+AlertDays,2,IF(X130&lt;=AsOf+30,3,"")))</f>
        <v/>
      </c>
      <c r="Z130" s="79">
        <f>IF(Y130="","",IF(U130&lt;0,"Maintenance overdue: ","Maintenance due: ")&amp;P130)</f>
        <v/>
      </c>
    </row>
    <row r="131" ht="20" customHeight="1">
      <c r="B131" s="72" t="n"/>
      <c r="C131" s="72" t="n"/>
      <c r="D131" s="72" t="n"/>
      <c r="E131" s="109" t="n"/>
      <c r="F131" s="74" t="n"/>
      <c r="G131" s="126">
        <f>IF(OR(E131="",F131=""),"",DATE(YEAR(E131),MONTH(E131)+ROUND(F131*12,0),DAY(E131)))</f>
        <v/>
      </c>
      <c r="H131" s="144">
        <f>IF(G131="","",G131-AsOf)</f>
        <v/>
      </c>
      <c r="I131" s="107">
        <f>IF(G131="","",IF(H131&lt;0,"Expired",IF(H131&lt;=90,"Expires soon","Active")))</f>
        <v/>
      </c>
      <c r="J131" s="72" t="n"/>
      <c r="K131" s="79">
        <f>IF(I131="","",IF(I131="Active",0,IF(I131="Expires soon",1,3)))</f>
        <v/>
      </c>
      <c r="L131" s="112">
        <f>IF(G131="","",IF(G131&lt;AsOf,"",G131))</f>
        <v/>
      </c>
      <c r="M131" s="79">
        <f>IF(L131="","",IF(L131&lt;=AsOf+AlertDays,2,IF(L131&lt;=AsOf+90,3,"")))</f>
        <v/>
      </c>
      <c r="N131" s="79">
        <f>IF(M131="","","Warranty expires in "&amp;H131&amp;" days: "&amp;B131&amp;IF(C131="",""," ("&amp;C131&amp;")")&amp;" — check for defects")</f>
        <v/>
      </c>
      <c r="P131" s="72" t="n"/>
      <c r="Q131" s="72" t="n"/>
      <c r="R131" s="89" t="n"/>
      <c r="S131" s="109" t="n"/>
      <c r="T131" s="126">
        <f>IF(OR(R131="",S131=""),"",DATE(YEAR(S131),MONTH(S131)+R131,DAY(S131)))</f>
        <v/>
      </c>
      <c r="U131" s="144">
        <f>IF(T131="","",T131-AsOf)</f>
        <v/>
      </c>
      <c r="V131" s="107">
        <f>IF(T131="",IF(P131="","","Enter last-done date"),IF(U131&lt;0,"Overdue",IF(U131&lt;=30,"Due soon","OK")))</f>
        <v/>
      </c>
      <c r="W131" s="79">
        <f>IF(T131="","",IF(U131&lt;0,2,IF(U131&lt;=30,1,0)))</f>
        <v/>
      </c>
      <c r="X131" s="112">
        <f>IF(T131="","",T131)</f>
        <v/>
      </c>
      <c r="Y131" s="79">
        <f>IF(X131="","",IF(X131&lt;=AsOf+AlertDays,2,IF(X131&lt;=AsOf+30,3,"")))</f>
        <v/>
      </c>
      <c r="Z131" s="79">
        <f>IF(Y131="","",IF(U131&lt;0,"Maintenance overdue: ","Maintenance due: ")&amp;P131)</f>
        <v/>
      </c>
    </row>
    <row r="132" ht="20" customHeight="1">
      <c r="B132" s="72" t="n"/>
      <c r="C132" s="72" t="n"/>
      <c r="D132" s="72" t="n"/>
      <c r="E132" s="109" t="n"/>
      <c r="F132" s="74" t="n"/>
      <c r="G132" s="126">
        <f>IF(OR(E132="",F132=""),"",DATE(YEAR(E132),MONTH(E132)+ROUND(F132*12,0),DAY(E132)))</f>
        <v/>
      </c>
      <c r="H132" s="144">
        <f>IF(G132="","",G132-AsOf)</f>
        <v/>
      </c>
      <c r="I132" s="107">
        <f>IF(G132="","",IF(H132&lt;0,"Expired",IF(H132&lt;=90,"Expires soon","Active")))</f>
        <v/>
      </c>
      <c r="J132" s="72" t="n"/>
      <c r="K132" s="79">
        <f>IF(I132="","",IF(I132="Active",0,IF(I132="Expires soon",1,3)))</f>
        <v/>
      </c>
      <c r="L132" s="112">
        <f>IF(G132="","",IF(G132&lt;AsOf,"",G132))</f>
        <v/>
      </c>
      <c r="M132" s="79">
        <f>IF(L132="","",IF(L132&lt;=AsOf+AlertDays,2,IF(L132&lt;=AsOf+90,3,"")))</f>
        <v/>
      </c>
      <c r="N132" s="79">
        <f>IF(M132="","","Warranty expires in "&amp;H132&amp;" days: "&amp;B132&amp;IF(C132="",""," ("&amp;C132&amp;")")&amp;" — check for defects")</f>
        <v/>
      </c>
      <c r="P132" s="72" t="n"/>
      <c r="Q132" s="72" t="n"/>
      <c r="R132" s="89" t="n"/>
      <c r="S132" s="109" t="n"/>
      <c r="T132" s="126">
        <f>IF(OR(R132="",S132=""),"",DATE(YEAR(S132),MONTH(S132)+R132,DAY(S132)))</f>
        <v/>
      </c>
      <c r="U132" s="144">
        <f>IF(T132="","",T132-AsOf)</f>
        <v/>
      </c>
      <c r="V132" s="107">
        <f>IF(T132="",IF(P132="","","Enter last-done date"),IF(U132&lt;0,"Overdue",IF(U132&lt;=30,"Due soon","OK")))</f>
        <v/>
      </c>
      <c r="W132" s="79">
        <f>IF(T132="","",IF(U132&lt;0,2,IF(U132&lt;=30,1,0)))</f>
        <v/>
      </c>
      <c r="X132" s="112">
        <f>IF(T132="","",T132)</f>
        <v/>
      </c>
      <c r="Y132" s="79">
        <f>IF(X132="","",IF(X132&lt;=AsOf+AlertDays,2,IF(X132&lt;=AsOf+30,3,"")))</f>
        <v/>
      </c>
      <c r="Z132" s="79">
        <f>IF(Y132="","",IF(U132&lt;0,"Maintenance overdue: ","Maintenance due: ")&amp;P132)</f>
        <v/>
      </c>
    </row>
    <row r="133" ht="20" customHeight="1">
      <c r="B133" s="72" t="n"/>
      <c r="C133" s="72" t="n"/>
      <c r="D133" s="72" t="n"/>
      <c r="E133" s="109" t="n"/>
      <c r="F133" s="74" t="n"/>
      <c r="G133" s="126">
        <f>IF(OR(E133="",F133=""),"",DATE(YEAR(E133),MONTH(E133)+ROUND(F133*12,0),DAY(E133)))</f>
        <v/>
      </c>
      <c r="H133" s="144">
        <f>IF(G133="","",G133-AsOf)</f>
        <v/>
      </c>
      <c r="I133" s="107">
        <f>IF(G133="","",IF(H133&lt;0,"Expired",IF(H133&lt;=90,"Expires soon","Active")))</f>
        <v/>
      </c>
      <c r="J133" s="72" t="n"/>
      <c r="K133" s="79">
        <f>IF(I133="","",IF(I133="Active",0,IF(I133="Expires soon",1,3)))</f>
        <v/>
      </c>
      <c r="L133" s="112">
        <f>IF(G133="","",IF(G133&lt;AsOf,"",G133))</f>
        <v/>
      </c>
      <c r="M133" s="79">
        <f>IF(L133="","",IF(L133&lt;=AsOf+AlertDays,2,IF(L133&lt;=AsOf+90,3,"")))</f>
        <v/>
      </c>
      <c r="N133" s="79">
        <f>IF(M133="","","Warranty expires in "&amp;H133&amp;" days: "&amp;B133&amp;IF(C133="",""," ("&amp;C133&amp;")")&amp;" — check for defects")</f>
        <v/>
      </c>
      <c r="P133" s="72" t="n"/>
      <c r="Q133" s="72" t="n"/>
      <c r="R133" s="89" t="n"/>
      <c r="S133" s="109" t="n"/>
      <c r="T133" s="126">
        <f>IF(OR(R133="",S133=""),"",DATE(YEAR(S133),MONTH(S133)+R133,DAY(S133)))</f>
        <v/>
      </c>
      <c r="U133" s="144">
        <f>IF(T133="","",T133-AsOf)</f>
        <v/>
      </c>
      <c r="V133" s="107">
        <f>IF(T133="",IF(P133="","","Enter last-done date"),IF(U133&lt;0,"Overdue",IF(U133&lt;=30,"Due soon","OK")))</f>
        <v/>
      </c>
      <c r="W133" s="79">
        <f>IF(T133="","",IF(U133&lt;0,2,IF(U133&lt;=30,1,0)))</f>
        <v/>
      </c>
      <c r="X133" s="112">
        <f>IF(T133="","",T133)</f>
        <v/>
      </c>
      <c r="Y133" s="79">
        <f>IF(X133="","",IF(X133&lt;=AsOf+AlertDays,2,IF(X133&lt;=AsOf+30,3,"")))</f>
        <v/>
      </c>
      <c r="Z133" s="79">
        <f>IF(Y133="","",IF(U133&lt;0,"Maintenance overdue: ","Maintenance due: ")&amp;P133)</f>
        <v/>
      </c>
    </row>
    <row r="134" ht="20" customHeight="1">
      <c r="B134" s="72" t="n"/>
      <c r="C134" s="72" t="n"/>
      <c r="D134" s="72" t="n"/>
      <c r="E134" s="109" t="n"/>
      <c r="F134" s="74" t="n"/>
      <c r="G134" s="126">
        <f>IF(OR(E134="",F134=""),"",DATE(YEAR(E134),MONTH(E134)+ROUND(F134*12,0),DAY(E134)))</f>
        <v/>
      </c>
      <c r="H134" s="144">
        <f>IF(G134="","",G134-AsOf)</f>
        <v/>
      </c>
      <c r="I134" s="107">
        <f>IF(G134="","",IF(H134&lt;0,"Expired",IF(H134&lt;=90,"Expires soon","Active")))</f>
        <v/>
      </c>
      <c r="J134" s="72" t="n"/>
      <c r="K134" s="79">
        <f>IF(I134="","",IF(I134="Active",0,IF(I134="Expires soon",1,3)))</f>
        <v/>
      </c>
      <c r="L134" s="112">
        <f>IF(G134="","",IF(G134&lt;AsOf,"",G134))</f>
        <v/>
      </c>
      <c r="M134" s="79">
        <f>IF(L134="","",IF(L134&lt;=AsOf+AlertDays,2,IF(L134&lt;=AsOf+90,3,"")))</f>
        <v/>
      </c>
      <c r="N134" s="79">
        <f>IF(M134="","","Warranty expires in "&amp;H134&amp;" days: "&amp;B134&amp;IF(C134="",""," ("&amp;C134&amp;")")&amp;" — check for defects")</f>
        <v/>
      </c>
      <c r="P134" s="72" t="n"/>
      <c r="Q134" s="72" t="n"/>
      <c r="R134" s="89" t="n"/>
      <c r="S134" s="109" t="n"/>
      <c r="T134" s="126">
        <f>IF(OR(R134="",S134=""),"",DATE(YEAR(S134),MONTH(S134)+R134,DAY(S134)))</f>
        <v/>
      </c>
      <c r="U134" s="144">
        <f>IF(T134="","",T134-AsOf)</f>
        <v/>
      </c>
      <c r="V134" s="107">
        <f>IF(T134="",IF(P134="","","Enter last-done date"),IF(U134&lt;0,"Overdue",IF(U134&lt;=30,"Due soon","OK")))</f>
        <v/>
      </c>
      <c r="W134" s="79">
        <f>IF(T134="","",IF(U134&lt;0,2,IF(U134&lt;=30,1,0)))</f>
        <v/>
      </c>
      <c r="X134" s="112">
        <f>IF(T134="","",T134)</f>
        <v/>
      </c>
      <c r="Y134" s="79">
        <f>IF(X134="","",IF(X134&lt;=AsOf+AlertDays,2,IF(X134&lt;=AsOf+30,3,"")))</f>
        <v/>
      </c>
      <c r="Z134" s="79">
        <f>IF(Y134="","",IF(U134&lt;0,"Maintenance overdue: ","Maintenance due: ")&amp;P134)</f>
        <v/>
      </c>
    </row>
    <row r="135" ht="20" customHeight="1">
      <c r="B135" s="72" t="n"/>
      <c r="C135" s="72" t="n"/>
      <c r="D135" s="72" t="n"/>
      <c r="E135" s="109" t="n"/>
      <c r="F135" s="74" t="n"/>
      <c r="G135" s="126">
        <f>IF(OR(E135="",F135=""),"",DATE(YEAR(E135),MONTH(E135)+ROUND(F135*12,0),DAY(E135)))</f>
        <v/>
      </c>
      <c r="H135" s="144">
        <f>IF(G135="","",G135-AsOf)</f>
        <v/>
      </c>
      <c r="I135" s="107">
        <f>IF(G135="","",IF(H135&lt;0,"Expired",IF(H135&lt;=90,"Expires soon","Active")))</f>
        <v/>
      </c>
      <c r="J135" s="72" t="n"/>
      <c r="K135" s="79">
        <f>IF(I135="","",IF(I135="Active",0,IF(I135="Expires soon",1,3)))</f>
        <v/>
      </c>
      <c r="L135" s="112">
        <f>IF(G135="","",IF(G135&lt;AsOf,"",G135))</f>
        <v/>
      </c>
      <c r="M135" s="79">
        <f>IF(L135="","",IF(L135&lt;=AsOf+AlertDays,2,IF(L135&lt;=AsOf+90,3,"")))</f>
        <v/>
      </c>
      <c r="N135" s="79">
        <f>IF(M135="","","Warranty expires in "&amp;H135&amp;" days: "&amp;B135&amp;IF(C135="",""," ("&amp;C135&amp;")")&amp;" — check for defects")</f>
        <v/>
      </c>
      <c r="P135" s="72" t="n"/>
      <c r="Q135" s="72" t="n"/>
      <c r="R135" s="89" t="n"/>
      <c r="S135" s="109" t="n"/>
      <c r="T135" s="126">
        <f>IF(OR(R135="",S135=""),"",DATE(YEAR(S135),MONTH(S135)+R135,DAY(S135)))</f>
        <v/>
      </c>
      <c r="U135" s="144">
        <f>IF(T135="","",T135-AsOf)</f>
        <v/>
      </c>
      <c r="V135" s="107">
        <f>IF(T135="",IF(P135="","","Enter last-done date"),IF(U135&lt;0,"Overdue",IF(U135&lt;=30,"Due soon","OK")))</f>
        <v/>
      </c>
      <c r="W135" s="79">
        <f>IF(T135="","",IF(U135&lt;0,2,IF(U135&lt;=30,1,0)))</f>
        <v/>
      </c>
      <c r="X135" s="112">
        <f>IF(T135="","",T135)</f>
        <v/>
      </c>
      <c r="Y135" s="79">
        <f>IF(X135="","",IF(X135&lt;=AsOf+AlertDays,2,IF(X135&lt;=AsOf+30,3,"")))</f>
        <v/>
      </c>
      <c r="Z135" s="79">
        <f>IF(Y135="","",IF(U135&lt;0,"Maintenance overdue: ","Maintenance due: ")&amp;P135)</f>
        <v/>
      </c>
    </row>
    <row r="136" ht="20" customHeight="1">
      <c r="B136" s="72" t="n"/>
      <c r="C136" s="72" t="n"/>
      <c r="D136" s="72" t="n"/>
      <c r="E136" s="109" t="n"/>
      <c r="F136" s="74" t="n"/>
      <c r="G136" s="126">
        <f>IF(OR(E136="",F136=""),"",DATE(YEAR(E136),MONTH(E136)+ROUND(F136*12,0),DAY(E136)))</f>
        <v/>
      </c>
      <c r="H136" s="144">
        <f>IF(G136="","",G136-AsOf)</f>
        <v/>
      </c>
      <c r="I136" s="107">
        <f>IF(G136="","",IF(H136&lt;0,"Expired",IF(H136&lt;=90,"Expires soon","Active")))</f>
        <v/>
      </c>
      <c r="J136" s="72" t="n"/>
      <c r="K136" s="79">
        <f>IF(I136="","",IF(I136="Active",0,IF(I136="Expires soon",1,3)))</f>
        <v/>
      </c>
      <c r="L136" s="112">
        <f>IF(G136="","",IF(G136&lt;AsOf,"",G136))</f>
        <v/>
      </c>
      <c r="M136" s="79">
        <f>IF(L136="","",IF(L136&lt;=AsOf+AlertDays,2,IF(L136&lt;=AsOf+90,3,"")))</f>
        <v/>
      </c>
      <c r="N136" s="79">
        <f>IF(M136="","","Warranty expires in "&amp;H136&amp;" days: "&amp;B136&amp;IF(C136="",""," ("&amp;C136&amp;")")&amp;" — check for defects")</f>
        <v/>
      </c>
      <c r="P136" s="72" t="n"/>
      <c r="Q136" s="72" t="n"/>
      <c r="R136" s="89" t="n"/>
      <c r="S136" s="109" t="n"/>
      <c r="T136" s="126">
        <f>IF(OR(R136="",S136=""),"",DATE(YEAR(S136),MONTH(S136)+R136,DAY(S136)))</f>
        <v/>
      </c>
      <c r="U136" s="144">
        <f>IF(T136="","",T136-AsOf)</f>
        <v/>
      </c>
      <c r="V136" s="107">
        <f>IF(T136="",IF(P136="","","Enter last-done date"),IF(U136&lt;0,"Overdue",IF(U136&lt;=30,"Due soon","OK")))</f>
        <v/>
      </c>
      <c r="W136" s="79">
        <f>IF(T136="","",IF(U136&lt;0,2,IF(U136&lt;=30,1,0)))</f>
        <v/>
      </c>
      <c r="X136" s="112">
        <f>IF(T136="","",T136)</f>
        <v/>
      </c>
      <c r="Y136" s="79">
        <f>IF(X136="","",IF(X136&lt;=AsOf+AlertDays,2,IF(X136&lt;=AsOf+30,3,"")))</f>
        <v/>
      </c>
      <c r="Z136" s="79">
        <f>IF(Y136="","",IF(U136&lt;0,"Maintenance overdue: ","Maintenance due: ")&amp;P136)</f>
        <v/>
      </c>
    </row>
    <row r="137" ht="20" customHeight="1">
      <c r="B137" s="72" t="n"/>
      <c r="C137" s="72" t="n"/>
      <c r="D137" s="72" t="n"/>
      <c r="E137" s="109" t="n"/>
      <c r="F137" s="74" t="n"/>
      <c r="G137" s="126">
        <f>IF(OR(E137="",F137=""),"",DATE(YEAR(E137),MONTH(E137)+ROUND(F137*12,0),DAY(E137)))</f>
        <v/>
      </c>
      <c r="H137" s="144">
        <f>IF(G137="","",G137-AsOf)</f>
        <v/>
      </c>
      <c r="I137" s="107">
        <f>IF(G137="","",IF(H137&lt;0,"Expired",IF(H137&lt;=90,"Expires soon","Active")))</f>
        <v/>
      </c>
      <c r="J137" s="72" t="n"/>
      <c r="K137" s="79">
        <f>IF(I137="","",IF(I137="Active",0,IF(I137="Expires soon",1,3)))</f>
        <v/>
      </c>
      <c r="L137" s="112">
        <f>IF(G137="","",IF(G137&lt;AsOf,"",G137))</f>
        <v/>
      </c>
      <c r="M137" s="79">
        <f>IF(L137="","",IF(L137&lt;=AsOf+AlertDays,2,IF(L137&lt;=AsOf+90,3,"")))</f>
        <v/>
      </c>
      <c r="N137" s="79">
        <f>IF(M137="","","Warranty expires in "&amp;H137&amp;" days: "&amp;B137&amp;IF(C137="",""," ("&amp;C137&amp;")")&amp;" — check for defects")</f>
        <v/>
      </c>
      <c r="P137" s="72" t="n"/>
      <c r="Q137" s="72" t="n"/>
      <c r="R137" s="89" t="n"/>
      <c r="S137" s="109" t="n"/>
      <c r="T137" s="126">
        <f>IF(OR(R137="",S137=""),"",DATE(YEAR(S137),MONTH(S137)+R137,DAY(S137)))</f>
        <v/>
      </c>
      <c r="U137" s="144">
        <f>IF(T137="","",T137-AsOf)</f>
        <v/>
      </c>
      <c r="V137" s="107">
        <f>IF(T137="",IF(P137="","","Enter last-done date"),IF(U137&lt;0,"Overdue",IF(U137&lt;=30,"Due soon","OK")))</f>
        <v/>
      </c>
      <c r="W137" s="79">
        <f>IF(T137="","",IF(U137&lt;0,2,IF(U137&lt;=30,1,0)))</f>
        <v/>
      </c>
      <c r="X137" s="112">
        <f>IF(T137="","",T137)</f>
        <v/>
      </c>
      <c r="Y137" s="79">
        <f>IF(X137="","",IF(X137&lt;=AsOf+AlertDays,2,IF(X137&lt;=AsOf+30,3,"")))</f>
        <v/>
      </c>
      <c r="Z137" s="79">
        <f>IF(Y137="","",IF(U137&lt;0,"Maintenance overdue: ","Maintenance due: ")&amp;P137)</f>
        <v/>
      </c>
    </row>
    <row r="138" ht="20" customHeight="1">
      <c r="B138" s="72" t="n"/>
      <c r="C138" s="72" t="n"/>
      <c r="D138" s="72" t="n"/>
      <c r="E138" s="109" t="n"/>
      <c r="F138" s="74" t="n"/>
      <c r="G138" s="126">
        <f>IF(OR(E138="",F138=""),"",DATE(YEAR(E138),MONTH(E138)+ROUND(F138*12,0),DAY(E138)))</f>
        <v/>
      </c>
      <c r="H138" s="144">
        <f>IF(G138="","",G138-AsOf)</f>
        <v/>
      </c>
      <c r="I138" s="107">
        <f>IF(G138="","",IF(H138&lt;0,"Expired",IF(H138&lt;=90,"Expires soon","Active")))</f>
        <v/>
      </c>
      <c r="J138" s="72" t="n"/>
      <c r="K138" s="79">
        <f>IF(I138="","",IF(I138="Active",0,IF(I138="Expires soon",1,3)))</f>
        <v/>
      </c>
      <c r="L138" s="112">
        <f>IF(G138="","",IF(G138&lt;AsOf,"",G138))</f>
        <v/>
      </c>
      <c r="M138" s="79">
        <f>IF(L138="","",IF(L138&lt;=AsOf+AlertDays,2,IF(L138&lt;=AsOf+90,3,"")))</f>
        <v/>
      </c>
      <c r="N138" s="79">
        <f>IF(M138="","","Warranty expires in "&amp;H138&amp;" days: "&amp;B138&amp;IF(C138="",""," ("&amp;C138&amp;")")&amp;" — check for defects")</f>
        <v/>
      </c>
      <c r="P138" s="72" t="n"/>
      <c r="Q138" s="72" t="n"/>
      <c r="R138" s="89" t="n"/>
      <c r="S138" s="109" t="n"/>
      <c r="T138" s="126">
        <f>IF(OR(R138="",S138=""),"",DATE(YEAR(S138),MONTH(S138)+R138,DAY(S138)))</f>
        <v/>
      </c>
      <c r="U138" s="144">
        <f>IF(T138="","",T138-AsOf)</f>
        <v/>
      </c>
      <c r="V138" s="107">
        <f>IF(T138="",IF(P138="","","Enter last-done date"),IF(U138&lt;0,"Overdue",IF(U138&lt;=30,"Due soon","OK")))</f>
        <v/>
      </c>
      <c r="W138" s="79">
        <f>IF(T138="","",IF(U138&lt;0,2,IF(U138&lt;=30,1,0)))</f>
        <v/>
      </c>
      <c r="X138" s="112">
        <f>IF(T138="","",T138)</f>
        <v/>
      </c>
      <c r="Y138" s="79">
        <f>IF(X138="","",IF(X138&lt;=AsOf+AlertDays,2,IF(X138&lt;=AsOf+30,3,"")))</f>
        <v/>
      </c>
      <c r="Z138" s="79">
        <f>IF(Y138="","",IF(U138&lt;0,"Maintenance overdue: ","Maintenance due: ")&amp;P138)</f>
        <v/>
      </c>
    </row>
    <row r="139" ht="20" customHeight="1">
      <c r="B139" s="72" t="n"/>
      <c r="C139" s="72" t="n"/>
      <c r="D139" s="72" t="n"/>
      <c r="E139" s="109" t="n"/>
      <c r="F139" s="74" t="n"/>
      <c r="G139" s="126">
        <f>IF(OR(E139="",F139=""),"",DATE(YEAR(E139),MONTH(E139)+ROUND(F139*12,0),DAY(E139)))</f>
        <v/>
      </c>
      <c r="H139" s="144">
        <f>IF(G139="","",G139-AsOf)</f>
        <v/>
      </c>
      <c r="I139" s="107">
        <f>IF(G139="","",IF(H139&lt;0,"Expired",IF(H139&lt;=90,"Expires soon","Active")))</f>
        <v/>
      </c>
      <c r="J139" s="72" t="n"/>
      <c r="K139" s="79">
        <f>IF(I139="","",IF(I139="Active",0,IF(I139="Expires soon",1,3)))</f>
        <v/>
      </c>
      <c r="L139" s="112">
        <f>IF(G139="","",IF(G139&lt;AsOf,"",G139))</f>
        <v/>
      </c>
      <c r="M139" s="79">
        <f>IF(L139="","",IF(L139&lt;=AsOf+AlertDays,2,IF(L139&lt;=AsOf+90,3,"")))</f>
        <v/>
      </c>
      <c r="N139" s="79">
        <f>IF(M139="","","Warranty expires in "&amp;H139&amp;" days: "&amp;B139&amp;IF(C139="",""," ("&amp;C139&amp;")")&amp;" — check for defects")</f>
        <v/>
      </c>
      <c r="P139" s="72" t="n"/>
      <c r="Q139" s="72" t="n"/>
      <c r="R139" s="89" t="n"/>
      <c r="S139" s="109" t="n"/>
      <c r="T139" s="126">
        <f>IF(OR(R139="",S139=""),"",DATE(YEAR(S139),MONTH(S139)+R139,DAY(S139)))</f>
        <v/>
      </c>
      <c r="U139" s="144">
        <f>IF(T139="","",T139-AsOf)</f>
        <v/>
      </c>
      <c r="V139" s="107">
        <f>IF(T139="",IF(P139="","","Enter last-done date"),IF(U139&lt;0,"Overdue",IF(U139&lt;=30,"Due soon","OK")))</f>
        <v/>
      </c>
      <c r="W139" s="79">
        <f>IF(T139="","",IF(U139&lt;0,2,IF(U139&lt;=30,1,0)))</f>
        <v/>
      </c>
      <c r="X139" s="112">
        <f>IF(T139="","",T139)</f>
        <v/>
      </c>
      <c r="Y139" s="79">
        <f>IF(X139="","",IF(X139&lt;=AsOf+AlertDays,2,IF(X139&lt;=AsOf+30,3,"")))</f>
        <v/>
      </c>
      <c r="Z139" s="79">
        <f>IF(Y139="","",IF(U139&lt;0,"Maintenance overdue: ","Maintenance due: ")&amp;P139)</f>
        <v/>
      </c>
    </row>
    <row r="140" ht="20" customHeight="1">
      <c r="B140" s="72" t="n"/>
      <c r="C140" s="72" t="n"/>
      <c r="D140" s="72" t="n"/>
      <c r="E140" s="109" t="n"/>
      <c r="F140" s="74" t="n"/>
      <c r="G140" s="126">
        <f>IF(OR(E140="",F140=""),"",DATE(YEAR(E140),MONTH(E140)+ROUND(F140*12,0),DAY(E140)))</f>
        <v/>
      </c>
      <c r="H140" s="144">
        <f>IF(G140="","",G140-AsOf)</f>
        <v/>
      </c>
      <c r="I140" s="107">
        <f>IF(G140="","",IF(H140&lt;0,"Expired",IF(H140&lt;=90,"Expires soon","Active")))</f>
        <v/>
      </c>
      <c r="J140" s="72" t="n"/>
      <c r="K140" s="79">
        <f>IF(I140="","",IF(I140="Active",0,IF(I140="Expires soon",1,3)))</f>
        <v/>
      </c>
      <c r="L140" s="112">
        <f>IF(G140="","",IF(G140&lt;AsOf,"",G140))</f>
        <v/>
      </c>
      <c r="M140" s="79">
        <f>IF(L140="","",IF(L140&lt;=AsOf+AlertDays,2,IF(L140&lt;=AsOf+90,3,"")))</f>
        <v/>
      </c>
      <c r="N140" s="79">
        <f>IF(M140="","","Warranty expires in "&amp;H140&amp;" days: "&amp;B140&amp;IF(C140="",""," ("&amp;C140&amp;")")&amp;" — check for defects")</f>
        <v/>
      </c>
      <c r="P140" s="72" t="n"/>
      <c r="Q140" s="72" t="n"/>
      <c r="R140" s="89" t="n"/>
      <c r="S140" s="109" t="n"/>
      <c r="T140" s="126">
        <f>IF(OR(R140="",S140=""),"",DATE(YEAR(S140),MONTH(S140)+R140,DAY(S140)))</f>
        <v/>
      </c>
      <c r="U140" s="144">
        <f>IF(T140="","",T140-AsOf)</f>
        <v/>
      </c>
      <c r="V140" s="107">
        <f>IF(T140="",IF(P140="","","Enter last-done date"),IF(U140&lt;0,"Overdue",IF(U140&lt;=30,"Due soon","OK")))</f>
        <v/>
      </c>
      <c r="W140" s="79">
        <f>IF(T140="","",IF(U140&lt;0,2,IF(U140&lt;=30,1,0)))</f>
        <v/>
      </c>
      <c r="X140" s="112">
        <f>IF(T140="","",T140)</f>
        <v/>
      </c>
      <c r="Y140" s="79">
        <f>IF(X140="","",IF(X140&lt;=AsOf+AlertDays,2,IF(X140&lt;=AsOf+30,3,"")))</f>
        <v/>
      </c>
      <c r="Z140" s="79">
        <f>IF(Y140="","",IF(U140&lt;0,"Maintenance overdue: ","Maintenance due: ")&amp;P140)</f>
        <v/>
      </c>
    </row>
    <row r="141" ht="20" customHeight="1">
      <c r="B141" s="72" t="n"/>
      <c r="C141" s="72" t="n"/>
      <c r="D141" s="72" t="n"/>
      <c r="E141" s="109" t="n"/>
      <c r="F141" s="74" t="n"/>
      <c r="G141" s="126">
        <f>IF(OR(E141="",F141=""),"",DATE(YEAR(E141),MONTH(E141)+ROUND(F141*12,0),DAY(E141)))</f>
        <v/>
      </c>
      <c r="H141" s="144">
        <f>IF(G141="","",G141-AsOf)</f>
        <v/>
      </c>
      <c r="I141" s="107">
        <f>IF(G141="","",IF(H141&lt;0,"Expired",IF(H141&lt;=90,"Expires soon","Active")))</f>
        <v/>
      </c>
      <c r="J141" s="72" t="n"/>
      <c r="K141" s="79">
        <f>IF(I141="","",IF(I141="Active",0,IF(I141="Expires soon",1,3)))</f>
        <v/>
      </c>
      <c r="L141" s="112">
        <f>IF(G141="","",IF(G141&lt;AsOf,"",G141))</f>
        <v/>
      </c>
      <c r="M141" s="79">
        <f>IF(L141="","",IF(L141&lt;=AsOf+AlertDays,2,IF(L141&lt;=AsOf+90,3,"")))</f>
        <v/>
      </c>
      <c r="N141" s="79">
        <f>IF(M141="","","Warranty expires in "&amp;H141&amp;" days: "&amp;B141&amp;IF(C141="",""," ("&amp;C141&amp;")")&amp;" — check for defects")</f>
        <v/>
      </c>
      <c r="P141" s="72" t="n"/>
      <c r="Q141" s="72" t="n"/>
      <c r="R141" s="89" t="n"/>
      <c r="S141" s="109" t="n"/>
      <c r="T141" s="126">
        <f>IF(OR(R141="",S141=""),"",DATE(YEAR(S141),MONTH(S141)+R141,DAY(S141)))</f>
        <v/>
      </c>
      <c r="U141" s="144">
        <f>IF(T141="","",T141-AsOf)</f>
        <v/>
      </c>
      <c r="V141" s="107">
        <f>IF(T141="",IF(P141="","","Enter last-done date"),IF(U141&lt;0,"Overdue",IF(U141&lt;=30,"Due soon","OK")))</f>
        <v/>
      </c>
      <c r="W141" s="79">
        <f>IF(T141="","",IF(U141&lt;0,2,IF(U141&lt;=30,1,0)))</f>
        <v/>
      </c>
      <c r="X141" s="112">
        <f>IF(T141="","",T141)</f>
        <v/>
      </c>
      <c r="Y141" s="79">
        <f>IF(X141="","",IF(X141&lt;=AsOf+AlertDays,2,IF(X141&lt;=AsOf+30,3,"")))</f>
        <v/>
      </c>
      <c r="Z141" s="79">
        <f>IF(Y141="","",IF(U141&lt;0,"Maintenance overdue: ","Maintenance due: ")&amp;P141)</f>
        <v/>
      </c>
    </row>
    <row r="142" ht="20" customHeight="1">
      <c r="B142" s="72" t="n"/>
      <c r="C142" s="72" t="n"/>
      <c r="D142" s="72" t="n"/>
      <c r="E142" s="109" t="n"/>
      <c r="F142" s="74" t="n"/>
      <c r="G142" s="126">
        <f>IF(OR(E142="",F142=""),"",DATE(YEAR(E142),MONTH(E142)+ROUND(F142*12,0),DAY(E142)))</f>
        <v/>
      </c>
      <c r="H142" s="144">
        <f>IF(G142="","",G142-AsOf)</f>
        <v/>
      </c>
      <c r="I142" s="107">
        <f>IF(G142="","",IF(H142&lt;0,"Expired",IF(H142&lt;=90,"Expires soon","Active")))</f>
        <v/>
      </c>
      <c r="J142" s="72" t="n"/>
      <c r="K142" s="79">
        <f>IF(I142="","",IF(I142="Active",0,IF(I142="Expires soon",1,3)))</f>
        <v/>
      </c>
      <c r="L142" s="112">
        <f>IF(G142="","",IF(G142&lt;AsOf,"",G142))</f>
        <v/>
      </c>
      <c r="M142" s="79">
        <f>IF(L142="","",IF(L142&lt;=AsOf+AlertDays,2,IF(L142&lt;=AsOf+90,3,"")))</f>
        <v/>
      </c>
      <c r="N142" s="79">
        <f>IF(M142="","","Warranty expires in "&amp;H142&amp;" days: "&amp;B142&amp;IF(C142="",""," ("&amp;C142&amp;")")&amp;" — check for defects")</f>
        <v/>
      </c>
      <c r="P142" s="72" t="n"/>
      <c r="Q142" s="72" t="n"/>
      <c r="R142" s="89" t="n"/>
      <c r="S142" s="109" t="n"/>
      <c r="T142" s="126">
        <f>IF(OR(R142="",S142=""),"",DATE(YEAR(S142),MONTH(S142)+R142,DAY(S142)))</f>
        <v/>
      </c>
      <c r="U142" s="144">
        <f>IF(T142="","",T142-AsOf)</f>
        <v/>
      </c>
      <c r="V142" s="107">
        <f>IF(T142="",IF(P142="","","Enter last-done date"),IF(U142&lt;0,"Overdue",IF(U142&lt;=30,"Due soon","OK")))</f>
        <v/>
      </c>
      <c r="W142" s="79">
        <f>IF(T142="","",IF(U142&lt;0,2,IF(U142&lt;=30,1,0)))</f>
        <v/>
      </c>
      <c r="X142" s="112">
        <f>IF(T142="","",T142)</f>
        <v/>
      </c>
      <c r="Y142" s="79">
        <f>IF(X142="","",IF(X142&lt;=AsOf+AlertDays,2,IF(X142&lt;=AsOf+30,3,"")))</f>
        <v/>
      </c>
      <c r="Z142" s="79">
        <f>IF(Y142="","",IF(U142&lt;0,"Maintenance overdue: ","Maintenance due: ")&amp;P142)</f>
        <v/>
      </c>
    </row>
    <row r="143" ht="20" customHeight="1">
      <c r="B143" s="72" t="n"/>
      <c r="C143" s="72" t="n"/>
      <c r="D143" s="72" t="n"/>
      <c r="E143" s="109" t="n"/>
      <c r="F143" s="74" t="n"/>
      <c r="G143" s="126">
        <f>IF(OR(E143="",F143=""),"",DATE(YEAR(E143),MONTH(E143)+ROUND(F143*12,0),DAY(E143)))</f>
        <v/>
      </c>
      <c r="H143" s="144">
        <f>IF(G143="","",G143-AsOf)</f>
        <v/>
      </c>
      <c r="I143" s="107">
        <f>IF(G143="","",IF(H143&lt;0,"Expired",IF(H143&lt;=90,"Expires soon","Active")))</f>
        <v/>
      </c>
      <c r="J143" s="72" t="n"/>
      <c r="K143" s="79">
        <f>IF(I143="","",IF(I143="Active",0,IF(I143="Expires soon",1,3)))</f>
        <v/>
      </c>
      <c r="L143" s="112">
        <f>IF(G143="","",IF(G143&lt;AsOf,"",G143))</f>
        <v/>
      </c>
      <c r="M143" s="79">
        <f>IF(L143="","",IF(L143&lt;=AsOf+AlertDays,2,IF(L143&lt;=AsOf+90,3,"")))</f>
        <v/>
      </c>
      <c r="N143" s="79">
        <f>IF(M143="","","Warranty expires in "&amp;H143&amp;" days: "&amp;B143&amp;IF(C143="",""," ("&amp;C143&amp;")")&amp;" — check for defects")</f>
        <v/>
      </c>
      <c r="P143" s="72" t="n"/>
      <c r="Q143" s="72" t="n"/>
      <c r="R143" s="89" t="n"/>
      <c r="S143" s="109" t="n"/>
      <c r="T143" s="126">
        <f>IF(OR(R143="",S143=""),"",DATE(YEAR(S143),MONTH(S143)+R143,DAY(S143)))</f>
        <v/>
      </c>
      <c r="U143" s="144">
        <f>IF(T143="","",T143-AsOf)</f>
        <v/>
      </c>
      <c r="V143" s="107">
        <f>IF(T143="",IF(P143="","","Enter last-done date"),IF(U143&lt;0,"Overdue",IF(U143&lt;=30,"Due soon","OK")))</f>
        <v/>
      </c>
      <c r="W143" s="79">
        <f>IF(T143="","",IF(U143&lt;0,2,IF(U143&lt;=30,1,0)))</f>
        <v/>
      </c>
      <c r="X143" s="112">
        <f>IF(T143="","",T143)</f>
        <v/>
      </c>
      <c r="Y143" s="79">
        <f>IF(X143="","",IF(X143&lt;=AsOf+AlertDays,2,IF(X143&lt;=AsOf+30,3,"")))</f>
        <v/>
      </c>
      <c r="Z143" s="79">
        <f>IF(Y143="","",IF(U143&lt;0,"Maintenance overdue: ","Maintenance due: ")&amp;P143)</f>
        <v/>
      </c>
    </row>
    <row r="144" ht="20" customHeight="1">
      <c r="B144" s="72" t="n"/>
      <c r="C144" s="72" t="n"/>
      <c r="D144" s="72" t="n"/>
      <c r="E144" s="109" t="n"/>
      <c r="F144" s="74" t="n"/>
      <c r="G144" s="126">
        <f>IF(OR(E144="",F144=""),"",DATE(YEAR(E144),MONTH(E144)+ROUND(F144*12,0),DAY(E144)))</f>
        <v/>
      </c>
      <c r="H144" s="144">
        <f>IF(G144="","",G144-AsOf)</f>
        <v/>
      </c>
      <c r="I144" s="107">
        <f>IF(G144="","",IF(H144&lt;0,"Expired",IF(H144&lt;=90,"Expires soon","Active")))</f>
        <v/>
      </c>
      <c r="J144" s="72" t="n"/>
      <c r="K144" s="79">
        <f>IF(I144="","",IF(I144="Active",0,IF(I144="Expires soon",1,3)))</f>
        <v/>
      </c>
      <c r="L144" s="112">
        <f>IF(G144="","",IF(G144&lt;AsOf,"",G144))</f>
        <v/>
      </c>
      <c r="M144" s="79">
        <f>IF(L144="","",IF(L144&lt;=AsOf+AlertDays,2,IF(L144&lt;=AsOf+90,3,"")))</f>
        <v/>
      </c>
      <c r="N144" s="79">
        <f>IF(M144="","","Warranty expires in "&amp;H144&amp;" days: "&amp;B144&amp;IF(C144="",""," ("&amp;C144&amp;")")&amp;" — check for defects")</f>
        <v/>
      </c>
      <c r="P144" s="72" t="n"/>
      <c r="Q144" s="72" t="n"/>
      <c r="R144" s="89" t="n"/>
      <c r="S144" s="109" t="n"/>
      <c r="T144" s="126">
        <f>IF(OR(R144="",S144=""),"",DATE(YEAR(S144),MONTH(S144)+R144,DAY(S144)))</f>
        <v/>
      </c>
      <c r="U144" s="144">
        <f>IF(T144="","",T144-AsOf)</f>
        <v/>
      </c>
      <c r="V144" s="107">
        <f>IF(T144="",IF(P144="","","Enter last-done date"),IF(U144&lt;0,"Overdue",IF(U144&lt;=30,"Due soon","OK")))</f>
        <v/>
      </c>
      <c r="W144" s="79">
        <f>IF(T144="","",IF(U144&lt;0,2,IF(U144&lt;=30,1,0)))</f>
        <v/>
      </c>
      <c r="X144" s="112">
        <f>IF(T144="","",T144)</f>
        <v/>
      </c>
      <c r="Y144" s="79">
        <f>IF(X144="","",IF(X144&lt;=AsOf+AlertDays,2,IF(X144&lt;=AsOf+30,3,"")))</f>
        <v/>
      </c>
      <c r="Z144" s="79">
        <f>IF(Y144="","",IF(U144&lt;0,"Maintenance overdue: ","Maintenance due: ")&amp;P144)</f>
        <v/>
      </c>
    </row>
    <row r="145" ht="20" customHeight="1">
      <c r="B145" s="72" t="n"/>
      <c r="C145" s="72" t="n"/>
      <c r="D145" s="72" t="n"/>
      <c r="E145" s="109" t="n"/>
      <c r="F145" s="74" t="n"/>
      <c r="G145" s="126">
        <f>IF(OR(E145="",F145=""),"",DATE(YEAR(E145),MONTH(E145)+ROUND(F145*12,0),DAY(E145)))</f>
        <v/>
      </c>
      <c r="H145" s="144">
        <f>IF(G145="","",G145-AsOf)</f>
        <v/>
      </c>
      <c r="I145" s="107">
        <f>IF(G145="","",IF(H145&lt;0,"Expired",IF(H145&lt;=90,"Expires soon","Active")))</f>
        <v/>
      </c>
      <c r="J145" s="72" t="n"/>
      <c r="K145" s="79">
        <f>IF(I145="","",IF(I145="Active",0,IF(I145="Expires soon",1,3)))</f>
        <v/>
      </c>
      <c r="L145" s="112">
        <f>IF(G145="","",IF(G145&lt;AsOf,"",G145))</f>
        <v/>
      </c>
      <c r="M145" s="79">
        <f>IF(L145="","",IF(L145&lt;=AsOf+AlertDays,2,IF(L145&lt;=AsOf+90,3,"")))</f>
        <v/>
      </c>
      <c r="N145" s="79">
        <f>IF(M145="","","Warranty expires in "&amp;H145&amp;" days: "&amp;B145&amp;IF(C145="",""," ("&amp;C145&amp;")")&amp;" — check for defects")</f>
        <v/>
      </c>
      <c r="P145" s="72" t="n"/>
      <c r="Q145" s="72" t="n"/>
      <c r="R145" s="89" t="n"/>
      <c r="S145" s="109" t="n"/>
      <c r="T145" s="126">
        <f>IF(OR(R145="",S145=""),"",DATE(YEAR(S145),MONTH(S145)+R145,DAY(S145)))</f>
        <v/>
      </c>
      <c r="U145" s="144">
        <f>IF(T145="","",T145-AsOf)</f>
        <v/>
      </c>
      <c r="V145" s="107">
        <f>IF(T145="",IF(P145="","","Enter last-done date"),IF(U145&lt;0,"Overdue",IF(U145&lt;=30,"Due soon","OK")))</f>
        <v/>
      </c>
      <c r="W145" s="79">
        <f>IF(T145="","",IF(U145&lt;0,2,IF(U145&lt;=30,1,0)))</f>
        <v/>
      </c>
      <c r="X145" s="112">
        <f>IF(T145="","",T145)</f>
        <v/>
      </c>
      <c r="Y145" s="79">
        <f>IF(X145="","",IF(X145&lt;=AsOf+AlertDays,2,IF(X145&lt;=AsOf+30,3,"")))</f>
        <v/>
      </c>
      <c r="Z145" s="79">
        <f>IF(Y145="","",IF(U145&lt;0,"Maintenance overdue: ","Maintenance due: ")&amp;P145)</f>
        <v/>
      </c>
    </row>
    <row r="146" ht="20" customHeight="1">
      <c r="B146" s="72" t="n"/>
      <c r="C146" s="72" t="n"/>
      <c r="D146" s="72" t="n"/>
      <c r="E146" s="109" t="n"/>
      <c r="F146" s="74" t="n"/>
      <c r="G146" s="126">
        <f>IF(OR(E146="",F146=""),"",DATE(YEAR(E146),MONTH(E146)+ROUND(F146*12,0),DAY(E146)))</f>
        <v/>
      </c>
      <c r="H146" s="144">
        <f>IF(G146="","",G146-AsOf)</f>
        <v/>
      </c>
      <c r="I146" s="107">
        <f>IF(G146="","",IF(H146&lt;0,"Expired",IF(H146&lt;=90,"Expires soon","Active")))</f>
        <v/>
      </c>
      <c r="J146" s="72" t="n"/>
      <c r="K146" s="79">
        <f>IF(I146="","",IF(I146="Active",0,IF(I146="Expires soon",1,3)))</f>
        <v/>
      </c>
      <c r="L146" s="112">
        <f>IF(G146="","",IF(G146&lt;AsOf,"",G146))</f>
        <v/>
      </c>
      <c r="M146" s="79">
        <f>IF(L146="","",IF(L146&lt;=AsOf+AlertDays,2,IF(L146&lt;=AsOf+90,3,"")))</f>
        <v/>
      </c>
      <c r="N146" s="79">
        <f>IF(M146="","","Warranty expires in "&amp;H146&amp;" days: "&amp;B146&amp;IF(C146="",""," ("&amp;C146&amp;")")&amp;" — check for defects")</f>
        <v/>
      </c>
      <c r="P146" s="72" t="n"/>
      <c r="Q146" s="72" t="n"/>
      <c r="R146" s="89" t="n"/>
      <c r="S146" s="109" t="n"/>
      <c r="T146" s="126">
        <f>IF(OR(R146="",S146=""),"",DATE(YEAR(S146),MONTH(S146)+R146,DAY(S146)))</f>
        <v/>
      </c>
      <c r="U146" s="144">
        <f>IF(T146="","",T146-AsOf)</f>
        <v/>
      </c>
      <c r="V146" s="107">
        <f>IF(T146="",IF(P146="","","Enter last-done date"),IF(U146&lt;0,"Overdue",IF(U146&lt;=30,"Due soon","OK")))</f>
        <v/>
      </c>
      <c r="W146" s="79">
        <f>IF(T146="","",IF(U146&lt;0,2,IF(U146&lt;=30,1,0)))</f>
        <v/>
      </c>
      <c r="X146" s="112">
        <f>IF(T146="","",T146)</f>
        <v/>
      </c>
      <c r="Y146" s="79">
        <f>IF(X146="","",IF(X146&lt;=AsOf+AlertDays,2,IF(X146&lt;=AsOf+30,3,"")))</f>
        <v/>
      </c>
      <c r="Z146" s="79">
        <f>IF(Y146="","",IF(U146&lt;0,"Maintenance overdue: ","Maintenance due: ")&amp;P146)</f>
        <v/>
      </c>
    </row>
    <row r="147" ht="20" customHeight="1">
      <c r="B147" s="72" t="n"/>
      <c r="C147" s="72" t="n"/>
      <c r="D147" s="72" t="n"/>
      <c r="E147" s="109" t="n"/>
      <c r="F147" s="74" t="n"/>
      <c r="G147" s="126">
        <f>IF(OR(E147="",F147=""),"",DATE(YEAR(E147),MONTH(E147)+ROUND(F147*12,0),DAY(E147)))</f>
        <v/>
      </c>
      <c r="H147" s="144">
        <f>IF(G147="","",G147-AsOf)</f>
        <v/>
      </c>
      <c r="I147" s="107">
        <f>IF(G147="","",IF(H147&lt;0,"Expired",IF(H147&lt;=90,"Expires soon","Active")))</f>
        <v/>
      </c>
      <c r="J147" s="72" t="n"/>
      <c r="K147" s="79">
        <f>IF(I147="","",IF(I147="Active",0,IF(I147="Expires soon",1,3)))</f>
        <v/>
      </c>
      <c r="L147" s="112">
        <f>IF(G147="","",IF(G147&lt;AsOf,"",G147))</f>
        <v/>
      </c>
      <c r="M147" s="79">
        <f>IF(L147="","",IF(L147&lt;=AsOf+AlertDays,2,IF(L147&lt;=AsOf+90,3,"")))</f>
        <v/>
      </c>
      <c r="N147" s="79">
        <f>IF(M147="","","Warranty expires in "&amp;H147&amp;" days: "&amp;B147&amp;IF(C147="",""," ("&amp;C147&amp;")")&amp;" — check for defects")</f>
        <v/>
      </c>
      <c r="P147" s="72" t="n"/>
      <c r="Q147" s="72" t="n"/>
      <c r="R147" s="89" t="n"/>
      <c r="S147" s="109" t="n"/>
      <c r="T147" s="126">
        <f>IF(OR(R147="",S147=""),"",DATE(YEAR(S147),MONTH(S147)+R147,DAY(S147)))</f>
        <v/>
      </c>
      <c r="U147" s="144">
        <f>IF(T147="","",T147-AsOf)</f>
        <v/>
      </c>
      <c r="V147" s="107">
        <f>IF(T147="",IF(P147="","","Enter last-done date"),IF(U147&lt;0,"Overdue",IF(U147&lt;=30,"Due soon","OK")))</f>
        <v/>
      </c>
      <c r="W147" s="79">
        <f>IF(T147="","",IF(U147&lt;0,2,IF(U147&lt;=30,1,0)))</f>
        <v/>
      </c>
      <c r="X147" s="112">
        <f>IF(T147="","",T147)</f>
        <v/>
      </c>
      <c r="Y147" s="79">
        <f>IF(X147="","",IF(X147&lt;=AsOf+AlertDays,2,IF(X147&lt;=AsOf+30,3,"")))</f>
        <v/>
      </c>
      <c r="Z147" s="79">
        <f>IF(Y147="","",IF(U147&lt;0,"Maintenance overdue: ","Maintenance due: ")&amp;P147)</f>
        <v/>
      </c>
    </row>
    <row r="148" ht="20" customHeight="1">
      <c r="B148" s="72" t="n"/>
      <c r="C148" s="72" t="n"/>
      <c r="D148" s="72" t="n"/>
      <c r="E148" s="109" t="n"/>
      <c r="F148" s="74" t="n"/>
      <c r="G148" s="126">
        <f>IF(OR(E148="",F148=""),"",DATE(YEAR(E148),MONTH(E148)+ROUND(F148*12,0),DAY(E148)))</f>
        <v/>
      </c>
      <c r="H148" s="144">
        <f>IF(G148="","",G148-AsOf)</f>
        <v/>
      </c>
      <c r="I148" s="107">
        <f>IF(G148="","",IF(H148&lt;0,"Expired",IF(H148&lt;=90,"Expires soon","Active")))</f>
        <v/>
      </c>
      <c r="J148" s="72" t="n"/>
      <c r="K148" s="79">
        <f>IF(I148="","",IF(I148="Active",0,IF(I148="Expires soon",1,3)))</f>
        <v/>
      </c>
      <c r="L148" s="112">
        <f>IF(G148="","",IF(G148&lt;AsOf,"",G148))</f>
        <v/>
      </c>
      <c r="M148" s="79">
        <f>IF(L148="","",IF(L148&lt;=AsOf+AlertDays,2,IF(L148&lt;=AsOf+90,3,"")))</f>
        <v/>
      </c>
      <c r="N148" s="79">
        <f>IF(M148="","","Warranty expires in "&amp;H148&amp;" days: "&amp;B148&amp;IF(C148="",""," ("&amp;C148&amp;")")&amp;" — check for defects")</f>
        <v/>
      </c>
      <c r="P148" s="72" t="n"/>
      <c r="Q148" s="72" t="n"/>
      <c r="R148" s="89" t="n"/>
      <c r="S148" s="109" t="n"/>
      <c r="T148" s="126">
        <f>IF(OR(R148="",S148=""),"",DATE(YEAR(S148),MONTH(S148)+R148,DAY(S148)))</f>
        <v/>
      </c>
      <c r="U148" s="144">
        <f>IF(T148="","",T148-AsOf)</f>
        <v/>
      </c>
      <c r="V148" s="107">
        <f>IF(T148="",IF(P148="","","Enter last-done date"),IF(U148&lt;0,"Overdue",IF(U148&lt;=30,"Due soon","OK")))</f>
        <v/>
      </c>
      <c r="W148" s="79">
        <f>IF(T148="","",IF(U148&lt;0,2,IF(U148&lt;=30,1,0)))</f>
        <v/>
      </c>
      <c r="X148" s="112">
        <f>IF(T148="","",T148)</f>
        <v/>
      </c>
      <c r="Y148" s="79">
        <f>IF(X148="","",IF(X148&lt;=AsOf+AlertDays,2,IF(X148&lt;=AsOf+30,3,"")))</f>
        <v/>
      </c>
      <c r="Z148" s="79">
        <f>IF(Y148="","",IF(U148&lt;0,"Maintenance overdue: ","Maintenance due: ")&amp;P148)</f>
        <v/>
      </c>
    </row>
    <row r="149" ht="20" customHeight="1">
      <c r="B149" s="72" t="n"/>
      <c r="C149" s="72" t="n"/>
      <c r="D149" s="72" t="n"/>
      <c r="E149" s="109" t="n"/>
      <c r="F149" s="74" t="n"/>
      <c r="G149" s="126">
        <f>IF(OR(E149="",F149=""),"",DATE(YEAR(E149),MONTH(E149)+ROUND(F149*12,0),DAY(E149)))</f>
        <v/>
      </c>
      <c r="H149" s="144">
        <f>IF(G149="","",G149-AsOf)</f>
        <v/>
      </c>
      <c r="I149" s="107">
        <f>IF(G149="","",IF(H149&lt;0,"Expired",IF(H149&lt;=90,"Expires soon","Active")))</f>
        <v/>
      </c>
      <c r="J149" s="72" t="n"/>
      <c r="K149" s="79">
        <f>IF(I149="","",IF(I149="Active",0,IF(I149="Expires soon",1,3)))</f>
        <v/>
      </c>
      <c r="L149" s="112">
        <f>IF(G149="","",IF(G149&lt;AsOf,"",G149))</f>
        <v/>
      </c>
      <c r="M149" s="79">
        <f>IF(L149="","",IF(L149&lt;=AsOf+AlertDays,2,IF(L149&lt;=AsOf+90,3,"")))</f>
        <v/>
      </c>
      <c r="N149" s="79">
        <f>IF(M149="","","Warranty expires in "&amp;H149&amp;" days: "&amp;B149&amp;IF(C149="",""," ("&amp;C149&amp;")")&amp;" — check for defects")</f>
        <v/>
      </c>
      <c r="P149" s="72" t="n"/>
      <c r="Q149" s="72" t="n"/>
      <c r="R149" s="89" t="n"/>
      <c r="S149" s="109" t="n"/>
      <c r="T149" s="126">
        <f>IF(OR(R149="",S149=""),"",DATE(YEAR(S149),MONTH(S149)+R149,DAY(S149)))</f>
        <v/>
      </c>
      <c r="U149" s="144">
        <f>IF(T149="","",T149-AsOf)</f>
        <v/>
      </c>
      <c r="V149" s="107">
        <f>IF(T149="",IF(P149="","","Enter last-done date"),IF(U149&lt;0,"Overdue",IF(U149&lt;=30,"Due soon","OK")))</f>
        <v/>
      </c>
      <c r="W149" s="79">
        <f>IF(T149="","",IF(U149&lt;0,2,IF(U149&lt;=30,1,0)))</f>
        <v/>
      </c>
      <c r="X149" s="112">
        <f>IF(T149="","",T149)</f>
        <v/>
      </c>
      <c r="Y149" s="79">
        <f>IF(X149="","",IF(X149&lt;=AsOf+AlertDays,2,IF(X149&lt;=AsOf+30,3,"")))</f>
        <v/>
      </c>
      <c r="Z149" s="79">
        <f>IF(Y149="","",IF(U149&lt;0,"Maintenance overdue: ","Maintenance due: ")&amp;P149)</f>
        <v/>
      </c>
    </row>
    <row r="150" ht="20" customHeight="1">
      <c r="B150" s="72" t="n"/>
      <c r="C150" s="72" t="n"/>
      <c r="D150" s="72" t="n"/>
      <c r="E150" s="109" t="n"/>
      <c r="F150" s="74" t="n"/>
      <c r="G150" s="126">
        <f>IF(OR(E150="",F150=""),"",DATE(YEAR(E150),MONTH(E150)+ROUND(F150*12,0),DAY(E150)))</f>
        <v/>
      </c>
      <c r="H150" s="144">
        <f>IF(G150="","",G150-AsOf)</f>
        <v/>
      </c>
      <c r="I150" s="107">
        <f>IF(G150="","",IF(H150&lt;0,"Expired",IF(H150&lt;=90,"Expires soon","Active")))</f>
        <v/>
      </c>
      <c r="J150" s="72" t="n"/>
      <c r="K150" s="79">
        <f>IF(I150="","",IF(I150="Active",0,IF(I150="Expires soon",1,3)))</f>
        <v/>
      </c>
      <c r="L150" s="112">
        <f>IF(G150="","",IF(G150&lt;AsOf,"",G150))</f>
        <v/>
      </c>
      <c r="M150" s="79">
        <f>IF(L150="","",IF(L150&lt;=AsOf+AlertDays,2,IF(L150&lt;=AsOf+90,3,"")))</f>
        <v/>
      </c>
      <c r="N150" s="79">
        <f>IF(M150="","","Warranty expires in "&amp;H150&amp;" days: "&amp;B150&amp;IF(C150="",""," ("&amp;C150&amp;")")&amp;" — check for defects")</f>
        <v/>
      </c>
      <c r="P150" s="72" t="n"/>
      <c r="Q150" s="72" t="n"/>
      <c r="R150" s="89" t="n"/>
      <c r="S150" s="109" t="n"/>
      <c r="T150" s="126">
        <f>IF(OR(R150="",S150=""),"",DATE(YEAR(S150),MONTH(S150)+R150,DAY(S150)))</f>
        <v/>
      </c>
      <c r="U150" s="144">
        <f>IF(T150="","",T150-AsOf)</f>
        <v/>
      </c>
      <c r="V150" s="107">
        <f>IF(T150="",IF(P150="","","Enter last-done date"),IF(U150&lt;0,"Overdue",IF(U150&lt;=30,"Due soon","OK")))</f>
        <v/>
      </c>
      <c r="W150" s="79">
        <f>IF(T150="","",IF(U150&lt;0,2,IF(U150&lt;=30,1,0)))</f>
        <v/>
      </c>
      <c r="X150" s="112">
        <f>IF(T150="","",T150)</f>
        <v/>
      </c>
      <c r="Y150" s="79">
        <f>IF(X150="","",IF(X150&lt;=AsOf+AlertDays,2,IF(X150&lt;=AsOf+30,3,"")))</f>
        <v/>
      </c>
      <c r="Z150" s="79">
        <f>IF(Y150="","",IF(U150&lt;0,"Maintenance overdue: ","Maintenance due: ")&amp;P150)</f>
        <v/>
      </c>
    </row>
    <row r="151" ht="20" customHeight="1">
      <c r="B151" s="72" t="n"/>
      <c r="C151" s="72" t="n"/>
      <c r="D151" s="72" t="n"/>
      <c r="E151" s="109" t="n"/>
      <c r="F151" s="74" t="n"/>
      <c r="G151" s="126">
        <f>IF(OR(E151="",F151=""),"",DATE(YEAR(E151),MONTH(E151)+ROUND(F151*12,0),DAY(E151)))</f>
        <v/>
      </c>
      <c r="H151" s="144">
        <f>IF(G151="","",G151-AsOf)</f>
        <v/>
      </c>
      <c r="I151" s="107">
        <f>IF(G151="","",IF(H151&lt;0,"Expired",IF(H151&lt;=90,"Expires soon","Active")))</f>
        <v/>
      </c>
      <c r="J151" s="72" t="n"/>
      <c r="K151" s="79">
        <f>IF(I151="","",IF(I151="Active",0,IF(I151="Expires soon",1,3)))</f>
        <v/>
      </c>
      <c r="L151" s="112">
        <f>IF(G151="","",IF(G151&lt;AsOf,"",G151))</f>
        <v/>
      </c>
      <c r="M151" s="79">
        <f>IF(L151="","",IF(L151&lt;=AsOf+AlertDays,2,IF(L151&lt;=AsOf+90,3,"")))</f>
        <v/>
      </c>
      <c r="N151" s="79">
        <f>IF(M151="","","Warranty expires in "&amp;H151&amp;" days: "&amp;B151&amp;IF(C151="",""," ("&amp;C151&amp;")")&amp;" — check for defects")</f>
        <v/>
      </c>
      <c r="P151" s="72" t="n"/>
      <c r="Q151" s="72" t="n"/>
      <c r="R151" s="89" t="n"/>
      <c r="S151" s="109" t="n"/>
      <c r="T151" s="126">
        <f>IF(OR(R151="",S151=""),"",DATE(YEAR(S151),MONTH(S151)+R151,DAY(S151)))</f>
        <v/>
      </c>
      <c r="U151" s="144">
        <f>IF(T151="","",T151-AsOf)</f>
        <v/>
      </c>
      <c r="V151" s="107">
        <f>IF(T151="",IF(P151="","","Enter last-done date"),IF(U151&lt;0,"Overdue",IF(U151&lt;=30,"Due soon","OK")))</f>
        <v/>
      </c>
      <c r="W151" s="79">
        <f>IF(T151="","",IF(U151&lt;0,2,IF(U151&lt;=30,1,0)))</f>
        <v/>
      </c>
      <c r="X151" s="112">
        <f>IF(T151="","",T151)</f>
        <v/>
      </c>
      <c r="Y151" s="79">
        <f>IF(X151="","",IF(X151&lt;=AsOf+AlertDays,2,IF(X151&lt;=AsOf+30,3,"")))</f>
        <v/>
      </c>
      <c r="Z151" s="79">
        <f>IF(Y151="","",IF(U151&lt;0,"Maintenance overdue: ","Maintenance due: ")&amp;P151)</f>
        <v/>
      </c>
    </row>
    <row r="152" ht="20" customHeight="1">
      <c r="B152" s="72" t="n"/>
      <c r="C152" s="72" t="n"/>
      <c r="D152" s="72" t="n"/>
      <c r="E152" s="109" t="n"/>
      <c r="F152" s="74" t="n"/>
      <c r="G152" s="126">
        <f>IF(OR(E152="",F152=""),"",DATE(YEAR(E152),MONTH(E152)+ROUND(F152*12,0),DAY(E152)))</f>
        <v/>
      </c>
      <c r="H152" s="144">
        <f>IF(G152="","",G152-AsOf)</f>
        <v/>
      </c>
      <c r="I152" s="107">
        <f>IF(G152="","",IF(H152&lt;0,"Expired",IF(H152&lt;=90,"Expires soon","Active")))</f>
        <v/>
      </c>
      <c r="J152" s="72" t="n"/>
      <c r="K152" s="79">
        <f>IF(I152="","",IF(I152="Active",0,IF(I152="Expires soon",1,3)))</f>
        <v/>
      </c>
      <c r="L152" s="112">
        <f>IF(G152="","",IF(G152&lt;AsOf,"",G152))</f>
        <v/>
      </c>
      <c r="M152" s="79">
        <f>IF(L152="","",IF(L152&lt;=AsOf+AlertDays,2,IF(L152&lt;=AsOf+90,3,"")))</f>
        <v/>
      </c>
      <c r="N152" s="79">
        <f>IF(M152="","","Warranty expires in "&amp;H152&amp;" days: "&amp;B152&amp;IF(C152="",""," ("&amp;C152&amp;")")&amp;" — check for defects")</f>
        <v/>
      </c>
      <c r="P152" s="72" t="n"/>
      <c r="Q152" s="72" t="n"/>
      <c r="R152" s="89" t="n"/>
      <c r="S152" s="109" t="n"/>
      <c r="T152" s="126">
        <f>IF(OR(R152="",S152=""),"",DATE(YEAR(S152),MONTH(S152)+R152,DAY(S152)))</f>
        <v/>
      </c>
      <c r="U152" s="144">
        <f>IF(T152="","",T152-AsOf)</f>
        <v/>
      </c>
      <c r="V152" s="107">
        <f>IF(T152="",IF(P152="","","Enter last-done date"),IF(U152&lt;0,"Overdue",IF(U152&lt;=30,"Due soon","OK")))</f>
        <v/>
      </c>
      <c r="W152" s="79">
        <f>IF(T152="","",IF(U152&lt;0,2,IF(U152&lt;=30,1,0)))</f>
        <v/>
      </c>
      <c r="X152" s="112">
        <f>IF(T152="","",T152)</f>
        <v/>
      </c>
      <c r="Y152" s="79">
        <f>IF(X152="","",IF(X152&lt;=AsOf+AlertDays,2,IF(X152&lt;=AsOf+30,3,"")))</f>
        <v/>
      </c>
      <c r="Z152" s="79">
        <f>IF(Y152="","",IF(U152&lt;0,"Maintenance overdue: ","Maintenance due: ")&amp;P152)</f>
        <v/>
      </c>
    </row>
    <row r="153" ht="20" customHeight="1">
      <c r="B153" s="72" t="n"/>
      <c r="C153" s="72" t="n"/>
      <c r="D153" s="72" t="n"/>
      <c r="E153" s="109" t="n"/>
      <c r="F153" s="74" t="n"/>
      <c r="G153" s="126">
        <f>IF(OR(E153="",F153=""),"",DATE(YEAR(E153),MONTH(E153)+ROUND(F153*12,0),DAY(E153)))</f>
        <v/>
      </c>
      <c r="H153" s="144">
        <f>IF(G153="","",G153-AsOf)</f>
        <v/>
      </c>
      <c r="I153" s="107">
        <f>IF(G153="","",IF(H153&lt;0,"Expired",IF(H153&lt;=90,"Expires soon","Active")))</f>
        <v/>
      </c>
      <c r="J153" s="72" t="n"/>
      <c r="K153" s="79">
        <f>IF(I153="","",IF(I153="Active",0,IF(I153="Expires soon",1,3)))</f>
        <v/>
      </c>
      <c r="L153" s="112">
        <f>IF(G153="","",IF(G153&lt;AsOf,"",G153))</f>
        <v/>
      </c>
      <c r="M153" s="79">
        <f>IF(L153="","",IF(L153&lt;=AsOf+AlertDays,2,IF(L153&lt;=AsOf+90,3,"")))</f>
        <v/>
      </c>
      <c r="N153" s="79">
        <f>IF(M153="","","Warranty expires in "&amp;H153&amp;" days: "&amp;B153&amp;IF(C153="",""," ("&amp;C153&amp;")")&amp;" — check for defects")</f>
        <v/>
      </c>
      <c r="P153" s="72" t="n"/>
      <c r="Q153" s="72" t="n"/>
      <c r="R153" s="89" t="n"/>
      <c r="S153" s="109" t="n"/>
      <c r="T153" s="126">
        <f>IF(OR(R153="",S153=""),"",DATE(YEAR(S153),MONTH(S153)+R153,DAY(S153)))</f>
        <v/>
      </c>
      <c r="U153" s="144">
        <f>IF(T153="","",T153-AsOf)</f>
        <v/>
      </c>
      <c r="V153" s="107">
        <f>IF(T153="",IF(P153="","","Enter last-done date"),IF(U153&lt;0,"Overdue",IF(U153&lt;=30,"Due soon","OK")))</f>
        <v/>
      </c>
      <c r="W153" s="79">
        <f>IF(T153="","",IF(U153&lt;0,2,IF(U153&lt;=30,1,0)))</f>
        <v/>
      </c>
      <c r="X153" s="112">
        <f>IF(T153="","",T153)</f>
        <v/>
      </c>
      <c r="Y153" s="79">
        <f>IF(X153="","",IF(X153&lt;=AsOf+AlertDays,2,IF(X153&lt;=AsOf+30,3,"")))</f>
        <v/>
      </c>
      <c r="Z153" s="79">
        <f>IF(Y153="","",IF(U153&lt;0,"Maintenance overdue: ","Maintenance due: ")&amp;P153)</f>
        <v/>
      </c>
    </row>
    <row r="154" ht="20" customHeight="1">
      <c r="B154" s="72" t="n"/>
      <c r="C154" s="72" t="n"/>
      <c r="D154" s="72" t="n"/>
      <c r="E154" s="109" t="n"/>
      <c r="F154" s="74" t="n"/>
      <c r="G154" s="126">
        <f>IF(OR(E154="",F154=""),"",DATE(YEAR(E154),MONTH(E154)+ROUND(F154*12,0),DAY(E154)))</f>
        <v/>
      </c>
      <c r="H154" s="144">
        <f>IF(G154="","",G154-AsOf)</f>
        <v/>
      </c>
      <c r="I154" s="107">
        <f>IF(G154="","",IF(H154&lt;0,"Expired",IF(H154&lt;=90,"Expires soon","Active")))</f>
        <v/>
      </c>
      <c r="J154" s="72" t="n"/>
      <c r="K154" s="79">
        <f>IF(I154="","",IF(I154="Active",0,IF(I154="Expires soon",1,3)))</f>
        <v/>
      </c>
      <c r="L154" s="112">
        <f>IF(G154="","",IF(G154&lt;AsOf,"",G154))</f>
        <v/>
      </c>
      <c r="M154" s="79">
        <f>IF(L154="","",IF(L154&lt;=AsOf+AlertDays,2,IF(L154&lt;=AsOf+90,3,"")))</f>
        <v/>
      </c>
      <c r="N154" s="79">
        <f>IF(M154="","","Warranty expires in "&amp;H154&amp;" days: "&amp;B154&amp;IF(C154="",""," ("&amp;C154&amp;")")&amp;" — check for defects")</f>
        <v/>
      </c>
      <c r="P154" s="72" t="n"/>
      <c r="Q154" s="72" t="n"/>
      <c r="R154" s="89" t="n"/>
      <c r="S154" s="109" t="n"/>
      <c r="T154" s="126">
        <f>IF(OR(R154="",S154=""),"",DATE(YEAR(S154),MONTH(S154)+R154,DAY(S154)))</f>
        <v/>
      </c>
      <c r="U154" s="144">
        <f>IF(T154="","",T154-AsOf)</f>
        <v/>
      </c>
      <c r="V154" s="107">
        <f>IF(T154="",IF(P154="","","Enter last-done date"),IF(U154&lt;0,"Overdue",IF(U154&lt;=30,"Due soon","OK")))</f>
        <v/>
      </c>
      <c r="W154" s="79">
        <f>IF(T154="","",IF(U154&lt;0,2,IF(U154&lt;=30,1,0)))</f>
        <v/>
      </c>
      <c r="X154" s="112">
        <f>IF(T154="","",T154)</f>
        <v/>
      </c>
      <c r="Y154" s="79">
        <f>IF(X154="","",IF(X154&lt;=AsOf+AlertDays,2,IF(X154&lt;=AsOf+30,3,"")))</f>
        <v/>
      </c>
      <c r="Z154" s="79">
        <f>IF(Y154="","",IF(U154&lt;0,"Maintenance overdue: ","Maintenance due: ")&amp;P154)</f>
        <v/>
      </c>
    </row>
    <row r="155" ht="20" customHeight="1">
      <c r="B155" s="72" t="n"/>
      <c r="C155" s="72" t="n"/>
      <c r="D155" s="72" t="n"/>
      <c r="E155" s="109" t="n"/>
      <c r="F155" s="74" t="n"/>
      <c r="G155" s="126">
        <f>IF(OR(E155="",F155=""),"",DATE(YEAR(E155),MONTH(E155)+ROUND(F155*12,0),DAY(E155)))</f>
        <v/>
      </c>
      <c r="H155" s="144">
        <f>IF(G155="","",G155-AsOf)</f>
        <v/>
      </c>
      <c r="I155" s="107">
        <f>IF(G155="","",IF(H155&lt;0,"Expired",IF(H155&lt;=90,"Expires soon","Active")))</f>
        <v/>
      </c>
      <c r="J155" s="72" t="n"/>
      <c r="K155" s="79">
        <f>IF(I155="","",IF(I155="Active",0,IF(I155="Expires soon",1,3)))</f>
        <v/>
      </c>
      <c r="L155" s="112">
        <f>IF(G155="","",IF(G155&lt;AsOf,"",G155))</f>
        <v/>
      </c>
      <c r="M155" s="79">
        <f>IF(L155="","",IF(L155&lt;=AsOf+AlertDays,2,IF(L155&lt;=AsOf+90,3,"")))</f>
        <v/>
      </c>
      <c r="N155" s="79">
        <f>IF(M155="","","Warranty expires in "&amp;H155&amp;" days: "&amp;B155&amp;IF(C155="",""," ("&amp;C155&amp;")")&amp;" — check for defects")</f>
        <v/>
      </c>
      <c r="P155" s="72" t="n"/>
      <c r="Q155" s="72" t="n"/>
      <c r="R155" s="89" t="n"/>
      <c r="S155" s="109" t="n"/>
      <c r="T155" s="126">
        <f>IF(OR(R155="",S155=""),"",DATE(YEAR(S155),MONTH(S155)+R155,DAY(S155)))</f>
        <v/>
      </c>
      <c r="U155" s="144">
        <f>IF(T155="","",T155-AsOf)</f>
        <v/>
      </c>
      <c r="V155" s="107">
        <f>IF(T155="",IF(P155="","","Enter last-done date"),IF(U155&lt;0,"Overdue",IF(U155&lt;=30,"Due soon","OK")))</f>
        <v/>
      </c>
      <c r="W155" s="79">
        <f>IF(T155="","",IF(U155&lt;0,2,IF(U155&lt;=30,1,0)))</f>
        <v/>
      </c>
      <c r="X155" s="112">
        <f>IF(T155="","",T155)</f>
        <v/>
      </c>
      <c r="Y155" s="79">
        <f>IF(X155="","",IF(X155&lt;=AsOf+AlertDays,2,IF(X155&lt;=AsOf+30,3,"")))</f>
        <v/>
      </c>
      <c r="Z155" s="79">
        <f>IF(Y155="","",IF(U155&lt;0,"Maintenance overdue: ","Maintenance due: ")&amp;P155)</f>
        <v/>
      </c>
    </row>
    <row r="156" ht="20" customHeight="1">
      <c r="B156" s="72" t="n"/>
      <c r="C156" s="72" t="n"/>
      <c r="D156" s="72" t="n"/>
      <c r="E156" s="109" t="n"/>
      <c r="F156" s="74" t="n"/>
      <c r="G156" s="126">
        <f>IF(OR(E156="",F156=""),"",DATE(YEAR(E156),MONTH(E156)+ROUND(F156*12,0),DAY(E156)))</f>
        <v/>
      </c>
      <c r="H156" s="144">
        <f>IF(G156="","",G156-AsOf)</f>
        <v/>
      </c>
      <c r="I156" s="107">
        <f>IF(G156="","",IF(H156&lt;0,"Expired",IF(H156&lt;=90,"Expires soon","Active")))</f>
        <v/>
      </c>
      <c r="J156" s="72" t="n"/>
      <c r="K156" s="79">
        <f>IF(I156="","",IF(I156="Active",0,IF(I156="Expires soon",1,3)))</f>
        <v/>
      </c>
      <c r="L156" s="112">
        <f>IF(G156="","",IF(G156&lt;AsOf,"",G156))</f>
        <v/>
      </c>
      <c r="M156" s="79">
        <f>IF(L156="","",IF(L156&lt;=AsOf+AlertDays,2,IF(L156&lt;=AsOf+90,3,"")))</f>
        <v/>
      </c>
      <c r="N156" s="79">
        <f>IF(M156="","","Warranty expires in "&amp;H156&amp;" days: "&amp;B156&amp;IF(C156="",""," ("&amp;C156&amp;")")&amp;" — check for defects")</f>
        <v/>
      </c>
      <c r="P156" s="72" t="n"/>
      <c r="Q156" s="72" t="n"/>
      <c r="R156" s="89" t="n"/>
      <c r="S156" s="109" t="n"/>
      <c r="T156" s="126">
        <f>IF(OR(R156="",S156=""),"",DATE(YEAR(S156),MONTH(S156)+R156,DAY(S156)))</f>
        <v/>
      </c>
      <c r="U156" s="144">
        <f>IF(T156="","",T156-AsOf)</f>
        <v/>
      </c>
      <c r="V156" s="107">
        <f>IF(T156="",IF(P156="","","Enter last-done date"),IF(U156&lt;0,"Overdue",IF(U156&lt;=30,"Due soon","OK")))</f>
        <v/>
      </c>
      <c r="W156" s="79">
        <f>IF(T156="","",IF(U156&lt;0,2,IF(U156&lt;=30,1,0)))</f>
        <v/>
      </c>
      <c r="X156" s="112">
        <f>IF(T156="","",T156)</f>
        <v/>
      </c>
      <c r="Y156" s="79">
        <f>IF(X156="","",IF(X156&lt;=AsOf+AlertDays,2,IF(X156&lt;=AsOf+30,3,"")))</f>
        <v/>
      </c>
      <c r="Z156" s="79">
        <f>IF(Y156="","",IF(U156&lt;0,"Maintenance overdue: ","Maintenance due: ")&amp;P156)</f>
        <v/>
      </c>
    </row>
    <row r="157" ht="20" customHeight="1">
      <c r="B157" s="72" t="n"/>
      <c r="C157" s="72" t="n"/>
      <c r="D157" s="72" t="n"/>
      <c r="E157" s="109" t="n"/>
      <c r="F157" s="74" t="n"/>
      <c r="G157" s="126">
        <f>IF(OR(E157="",F157=""),"",DATE(YEAR(E157),MONTH(E157)+ROUND(F157*12,0),DAY(E157)))</f>
        <v/>
      </c>
      <c r="H157" s="144">
        <f>IF(G157="","",G157-AsOf)</f>
        <v/>
      </c>
      <c r="I157" s="107">
        <f>IF(G157="","",IF(H157&lt;0,"Expired",IF(H157&lt;=90,"Expires soon","Active")))</f>
        <v/>
      </c>
      <c r="J157" s="72" t="n"/>
      <c r="K157" s="79">
        <f>IF(I157="","",IF(I157="Active",0,IF(I157="Expires soon",1,3)))</f>
        <v/>
      </c>
      <c r="L157" s="112">
        <f>IF(G157="","",IF(G157&lt;AsOf,"",G157))</f>
        <v/>
      </c>
      <c r="M157" s="79">
        <f>IF(L157="","",IF(L157&lt;=AsOf+AlertDays,2,IF(L157&lt;=AsOf+90,3,"")))</f>
        <v/>
      </c>
      <c r="N157" s="79">
        <f>IF(M157="","","Warranty expires in "&amp;H157&amp;" days: "&amp;B157&amp;IF(C157="",""," ("&amp;C157&amp;")")&amp;" — check for defects")</f>
        <v/>
      </c>
      <c r="P157" s="72" t="n"/>
      <c r="Q157" s="72" t="n"/>
      <c r="R157" s="89" t="n"/>
      <c r="S157" s="109" t="n"/>
      <c r="T157" s="126">
        <f>IF(OR(R157="",S157=""),"",DATE(YEAR(S157),MONTH(S157)+R157,DAY(S157)))</f>
        <v/>
      </c>
      <c r="U157" s="144">
        <f>IF(T157="","",T157-AsOf)</f>
        <v/>
      </c>
      <c r="V157" s="107">
        <f>IF(T157="",IF(P157="","","Enter last-done date"),IF(U157&lt;0,"Overdue",IF(U157&lt;=30,"Due soon","OK")))</f>
        <v/>
      </c>
      <c r="W157" s="79">
        <f>IF(T157="","",IF(U157&lt;0,2,IF(U157&lt;=30,1,0)))</f>
        <v/>
      </c>
      <c r="X157" s="112">
        <f>IF(T157="","",T157)</f>
        <v/>
      </c>
      <c r="Y157" s="79">
        <f>IF(X157="","",IF(X157&lt;=AsOf+AlertDays,2,IF(X157&lt;=AsOf+30,3,"")))</f>
        <v/>
      </c>
      <c r="Z157" s="79">
        <f>IF(Y157="","",IF(U157&lt;0,"Maintenance overdue: ","Maintenance due: ")&amp;P157)</f>
        <v/>
      </c>
    </row>
    <row r="158" ht="20" customHeight="1">
      <c r="B158" s="72" t="n"/>
      <c r="C158" s="72" t="n"/>
      <c r="D158" s="72" t="n"/>
      <c r="E158" s="109" t="n"/>
      <c r="F158" s="74" t="n"/>
      <c r="G158" s="126">
        <f>IF(OR(E158="",F158=""),"",DATE(YEAR(E158),MONTH(E158)+ROUND(F158*12,0),DAY(E158)))</f>
        <v/>
      </c>
      <c r="H158" s="144">
        <f>IF(G158="","",G158-AsOf)</f>
        <v/>
      </c>
      <c r="I158" s="107">
        <f>IF(G158="","",IF(H158&lt;0,"Expired",IF(H158&lt;=90,"Expires soon","Active")))</f>
        <v/>
      </c>
      <c r="J158" s="72" t="n"/>
      <c r="K158" s="79">
        <f>IF(I158="","",IF(I158="Active",0,IF(I158="Expires soon",1,3)))</f>
        <v/>
      </c>
      <c r="L158" s="112">
        <f>IF(G158="","",IF(G158&lt;AsOf,"",G158))</f>
        <v/>
      </c>
      <c r="M158" s="79">
        <f>IF(L158="","",IF(L158&lt;=AsOf+AlertDays,2,IF(L158&lt;=AsOf+90,3,"")))</f>
        <v/>
      </c>
      <c r="N158" s="79">
        <f>IF(M158="","","Warranty expires in "&amp;H158&amp;" days: "&amp;B158&amp;IF(C158="",""," ("&amp;C158&amp;")")&amp;" — check for defects")</f>
        <v/>
      </c>
      <c r="P158" s="72" t="n"/>
      <c r="Q158" s="72" t="n"/>
      <c r="R158" s="89" t="n"/>
      <c r="S158" s="109" t="n"/>
      <c r="T158" s="126">
        <f>IF(OR(R158="",S158=""),"",DATE(YEAR(S158),MONTH(S158)+R158,DAY(S158)))</f>
        <v/>
      </c>
      <c r="U158" s="144">
        <f>IF(T158="","",T158-AsOf)</f>
        <v/>
      </c>
      <c r="V158" s="107">
        <f>IF(T158="",IF(P158="","","Enter last-done date"),IF(U158&lt;0,"Overdue",IF(U158&lt;=30,"Due soon","OK")))</f>
        <v/>
      </c>
      <c r="W158" s="79">
        <f>IF(T158="","",IF(U158&lt;0,2,IF(U158&lt;=30,1,0)))</f>
        <v/>
      </c>
      <c r="X158" s="112">
        <f>IF(T158="","",T158)</f>
        <v/>
      </c>
      <c r="Y158" s="79">
        <f>IF(X158="","",IF(X158&lt;=AsOf+AlertDays,2,IF(X158&lt;=AsOf+30,3,"")))</f>
        <v/>
      </c>
      <c r="Z158" s="79">
        <f>IF(Y158="","",IF(U158&lt;0,"Maintenance overdue: ","Maintenance due: ")&amp;P158)</f>
        <v/>
      </c>
    </row>
    <row r="159" ht="20" customHeight="1">
      <c r="B159" s="72" t="n"/>
      <c r="C159" s="72" t="n"/>
      <c r="D159" s="72" t="n"/>
      <c r="E159" s="109" t="n"/>
      <c r="F159" s="74" t="n"/>
      <c r="G159" s="126">
        <f>IF(OR(E159="",F159=""),"",DATE(YEAR(E159),MONTH(E159)+ROUND(F159*12,0),DAY(E159)))</f>
        <v/>
      </c>
      <c r="H159" s="144">
        <f>IF(G159="","",G159-AsOf)</f>
        <v/>
      </c>
      <c r="I159" s="107">
        <f>IF(G159="","",IF(H159&lt;0,"Expired",IF(H159&lt;=90,"Expires soon","Active")))</f>
        <v/>
      </c>
      <c r="J159" s="72" t="n"/>
      <c r="K159" s="79">
        <f>IF(I159="","",IF(I159="Active",0,IF(I159="Expires soon",1,3)))</f>
        <v/>
      </c>
      <c r="L159" s="112">
        <f>IF(G159="","",IF(G159&lt;AsOf,"",G159))</f>
        <v/>
      </c>
      <c r="M159" s="79">
        <f>IF(L159="","",IF(L159&lt;=AsOf+AlertDays,2,IF(L159&lt;=AsOf+90,3,"")))</f>
        <v/>
      </c>
      <c r="N159" s="79">
        <f>IF(M159="","","Warranty expires in "&amp;H159&amp;" days: "&amp;B159&amp;IF(C159="",""," ("&amp;C159&amp;")")&amp;" — check for defects")</f>
        <v/>
      </c>
      <c r="P159" s="72" t="n"/>
      <c r="Q159" s="72" t="n"/>
      <c r="R159" s="89" t="n"/>
      <c r="S159" s="109" t="n"/>
      <c r="T159" s="126">
        <f>IF(OR(R159="",S159=""),"",DATE(YEAR(S159),MONTH(S159)+R159,DAY(S159)))</f>
        <v/>
      </c>
      <c r="U159" s="144">
        <f>IF(T159="","",T159-AsOf)</f>
        <v/>
      </c>
      <c r="V159" s="107">
        <f>IF(T159="",IF(P159="","","Enter last-done date"),IF(U159&lt;0,"Overdue",IF(U159&lt;=30,"Due soon","OK")))</f>
        <v/>
      </c>
      <c r="W159" s="79">
        <f>IF(T159="","",IF(U159&lt;0,2,IF(U159&lt;=30,1,0)))</f>
        <v/>
      </c>
      <c r="X159" s="112">
        <f>IF(T159="","",T159)</f>
        <v/>
      </c>
      <c r="Y159" s="79">
        <f>IF(X159="","",IF(X159&lt;=AsOf+AlertDays,2,IF(X159&lt;=AsOf+30,3,"")))</f>
        <v/>
      </c>
      <c r="Z159" s="79">
        <f>IF(Y159="","",IF(U159&lt;0,"Maintenance overdue: ","Maintenance due: ")&amp;P159)</f>
        <v/>
      </c>
    </row>
    <row r="160" ht="20" customHeight="1">
      <c r="B160" s="72" t="n"/>
      <c r="C160" s="72" t="n"/>
      <c r="D160" s="72" t="n"/>
      <c r="E160" s="109" t="n"/>
      <c r="F160" s="74" t="n"/>
      <c r="G160" s="126">
        <f>IF(OR(E160="",F160=""),"",DATE(YEAR(E160),MONTH(E160)+ROUND(F160*12,0),DAY(E160)))</f>
        <v/>
      </c>
      <c r="H160" s="144">
        <f>IF(G160="","",G160-AsOf)</f>
        <v/>
      </c>
      <c r="I160" s="107">
        <f>IF(G160="","",IF(H160&lt;0,"Expired",IF(H160&lt;=90,"Expires soon","Active")))</f>
        <v/>
      </c>
      <c r="J160" s="72" t="n"/>
      <c r="K160" s="79">
        <f>IF(I160="","",IF(I160="Active",0,IF(I160="Expires soon",1,3)))</f>
        <v/>
      </c>
      <c r="L160" s="112">
        <f>IF(G160="","",IF(G160&lt;AsOf,"",G160))</f>
        <v/>
      </c>
      <c r="M160" s="79">
        <f>IF(L160="","",IF(L160&lt;=AsOf+AlertDays,2,IF(L160&lt;=AsOf+90,3,"")))</f>
        <v/>
      </c>
      <c r="N160" s="79">
        <f>IF(M160="","","Warranty expires in "&amp;H160&amp;" days: "&amp;B160&amp;IF(C160="",""," ("&amp;C160&amp;")")&amp;" — check for defects")</f>
        <v/>
      </c>
      <c r="P160" s="72" t="n"/>
      <c r="Q160" s="72" t="n"/>
      <c r="R160" s="89" t="n"/>
      <c r="S160" s="109" t="n"/>
      <c r="T160" s="126">
        <f>IF(OR(R160="",S160=""),"",DATE(YEAR(S160),MONTH(S160)+R160,DAY(S160)))</f>
        <v/>
      </c>
      <c r="U160" s="144">
        <f>IF(T160="","",T160-AsOf)</f>
        <v/>
      </c>
      <c r="V160" s="107">
        <f>IF(T160="",IF(P160="","","Enter last-done date"),IF(U160&lt;0,"Overdue",IF(U160&lt;=30,"Due soon","OK")))</f>
        <v/>
      </c>
      <c r="W160" s="79">
        <f>IF(T160="","",IF(U160&lt;0,2,IF(U160&lt;=30,1,0)))</f>
        <v/>
      </c>
      <c r="X160" s="112">
        <f>IF(T160="","",T160)</f>
        <v/>
      </c>
      <c r="Y160" s="79">
        <f>IF(X160="","",IF(X160&lt;=AsOf+AlertDays,2,IF(X160&lt;=AsOf+30,3,"")))</f>
        <v/>
      </c>
      <c r="Z160" s="79">
        <f>IF(Y160="","",IF(U160&lt;0,"Maintenance overdue: ","Maintenance due: ")&amp;P160)</f>
        <v/>
      </c>
    </row>
    <row r="161" ht="20" customHeight="1">
      <c r="B161" s="72" t="n"/>
      <c r="C161" s="72" t="n"/>
      <c r="D161" s="72" t="n"/>
      <c r="E161" s="109" t="n"/>
      <c r="F161" s="74" t="n"/>
      <c r="G161" s="126">
        <f>IF(OR(E161="",F161=""),"",DATE(YEAR(E161),MONTH(E161)+ROUND(F161*12,0),DAY(E161)))</f>
        <v/>
      </c>
      <c r="H161" s="144">
        <f>IF(G161="","",G161-AsOf)</f>
        <v/>
      </c>
      <c r="I161" s="107">
        <f>IF(G161="","",IF(H161&lt;0,"Expired",IF(H161&lt;=90,"Expires soon","Active")))</f>
        <v/>
      </c>
      <c r="J161" s="72" t="n"/>
      <c r="K161" s="79">
        <f>IF(I161="","",IF(I161="Active",0,IF(I161="Expires soon",1,3)))</f>
        <v/>
      </c>
      <c r="L161" s="112">
        <f>IF(G161="","",IF(G161&lt;AsOf,"",G161))</f>
        <v/>
      </c>
      <c r="M161" s="79">
        <f>IF(L161="","",IF(L161&lt;=AsOf+AlertDays,2,IF(L161&lt;=AsOf+90,3,"")))</f>
        <v/>
      </c>
      <c r="N161" s="79">
        <f>IF(M161="","","Warranty expires in "&amp;H161&amp;" days: "&amp;B161&amp;IF(C161="",""," ("&amp;C161&amp;")")&amp;" — check for defects")</f>
        <v/>
      </c>
      <c r="P161" s="72" t="n"/>
      <c r="Q161" s="72" t="n"/>
      <c r="R161" s="89" t="n"/>
      <c r="S161" s="109" t="n"/>
      <c r="T161" s="126">
        <f>IF(OR(R161="",S161=""),"",DATE(YEAR(S161),MONTH(S161)+R161,DAY(S161)))</f>
        <v/>
      </c>
      <c r="U161" s="144">
        <f>IF(T161="","",T161-AsOf)</f>
        <v/>
      </c>
      <c r="V161" s="107">
        <f>IF(T161="",IF(P161="","","Enter last-done date"),IF(U161&lt;0,"Overdue",IF(U161&lt;=30,"Due soon","OK")))</f>
        <v/>
      </c>
      <c r="W161" s="79">
        <f>IF(T161="","",IF(U161&lt;0,2,IF(U161&lt;=30,1,0)))</f>
        <v/>
      </c>
      <c r="X161" s="112">
        <f>IF(T161="","",T161)</f>
        <v/>
      </c>
      <c r="Y161" s="79">
        <f>IF(X161="","",IF(X161&lt;=AsOf+AlertDays,2,IF(X161&lt;=AsOf+30,3,"")))</f>
        <v/>
      </c>
      <c r="Z161" s="79">
        <f>IF(Y161="","",IF(U161&lt;0,"Maintenance overdue: ","Maintenance due: ")&amp;P161)</f>
        <v/>
      </c>
    </row>
    <row r="162" ht="20" customHeight="1">
      <c r="B162" s="72" t="n"/>
      <c r="C162" s="72" t="n"/>
      <c r="D162" s="72" t="n"/>
      <c r="E162" s="109" t="n"/>
      <c r="F162" s="74" t="n"/>
      <c r="G162" s="126">
        <f>IF(OR(E162="",F162=""),"",DATE(YEAR(E162),MONTH(E162)+ROUND(F162*12,0),DAY(E162)))</f>
        <v/>
      </c>
      <c r="H162" s="144">
        <f>IF(G162="","",G162-AsOf)</f>
        <v/>
      </c>
      <c r="I162" s="107">
        <f>IF(G162="","",IF(H162&lt;0,"Expired",IF(H162&lt;=90,"Expires soon","Active")))</f>
        <v/>
      </c>
      <c r="J162" s="72" t="n"/>
      <c r="K162" s="79">
        <f>IF(I162="","",IF(I162="Active",0,IF(I162="Expires soon",1,3)))</f>
        <v/>
      </c>
      <c r="L162" s="112">
        <f>IF(G162="","",IF(G162&lt;AsOf,"",G162))</f>
        <v/>
      </c>
      <c r="M162" s="79">
        <f>IF(L162="","",IF(L162&lt;=AsOf+AlertDays,2,IF(L162&lt;=AsOf+90,3,"")))</f>
        <v/>
      </c>
      <c r="N162" s="79">
        <f>IF(M162="","","Warranty expires in "&amp;H162&amp;" days: "&amp;B162&amp;IF(C162="",""," ("&amp;C162&amp;")")&amp;" — check for defects")</f>
        <v/>
      </c>
      <c r="P162" s="72" t="n"/>
      <c r="Q162" s="72" t="n"/>
      <c r="R162" s="89" t="n"/>
      <c r="S162" s="109" t="n"/>
      <c r="T162" s="126">
        <f>IF(OR(R162="",S162=""),"",DATE(YEAR(S162),MONTH(S162)+R162,DAY(S162)))</f>
        <v/>
      </c>
      <c r="U162" s="144">
        <f>IF(T162="","",T162-AsOf)</f>
        <v/>
      </c>
      <c r="V162" s="107">
        <f>IF(T162="",IF(P162="","","Enter last-done date"),IF(U162&lt;0,"Overdue",IF(U162&lt;=30,"Due soon","OK")))</f>
        <v/>
      </c>
      <c r="W162" s="79">
        <f>IF(T162="","",IF(U162&lt;0,2,IF(U162&lt;=30,1,0)))</f>
        <v/>
      </c>
      <c r="X162" s="112">
        <f>IF(T162="","",T162)</f>
        <v/>
      </c>
      <c r="Y162" s="79">
        <f>IF(X162="","",IF(X162&lt;=AsOf+AlertDays,2,IF(X162&lt;=AsOf+30,3,"")))</f>
        <v/>
      </c>
      <c r="Z162" s="79">
        <f>IF(Y162="","",IF(U162&lt;0,"Maintenance overdue: ","Maintenance due: ")&amp;P162)</f>
        <v/>
      </c>
    </row>
    <row r="163" ht="20" customHeight="1">
      <c r="B163" s="72" t="n"/>
      <c r="C163" s="72" t="n"/>
      <c r="D163" s="72" t="n"/>
      <c r="E163" s="109" t="n"/>
      <c r="F163" s="74" t="n"/>
      <c r="G163" s="126">
        <f>IF(OR(E163="",F163=""),"",DATE(YEAR(E163),MONTH(E163)+ROUND(F163*12,0),DAY(E163)))</f>
        <v/>
      </c>
      <c r="H163" s="144">
        <f>IF(G163="","",G163-AsOf)</f>
        <v/>
      </c>
      <c r="I163" s="107">
        <f>IF(G163="","",IF(H163&lt;0,"Expired",IF(H163&lt;=90,"Expires soon","Active")))</f>
        <v/>
      </c>
      <c r="J163" s="72" t="n"/>
      <c r="K163" s="79">
        <f>IF(I163="","",IF(I163="Active",0,IF(I163="Expires soon",1,3)))</f>
        <v/>
      </c>
      <c r="L163" s="112">
        <f>IF(G163="","",IF(G163&lt;AsOf,"",G163))</f>
        <v/>
      </c>
      <c r="M163" s="79">
        <f>IF(L163="","",IF(L163&lt;=AsOf+AlertDays,2,IF(L163&lt;=AsOf+90,3,"")))</f>
        <v/>
      </c>
      <c r="N163" s="79">
        <f>IF(M163="","","Warranty expires in "&amp;H163&amp;" days: "&amp;B163&amp;IF(C163="",""," ("&amp;C163&amp;")")&amp;" — check for defects")</f>
        <v/>
      </c>
      <c r="P163" s="72" t="n"/>
      <c r="Q163" s="72" t="n"/>
      <c r="R163" s="89" t="n"/>
      <c r="S163" s="109" t="n"/>
      <c r="T163" s="126">
        <f>IF(OR(R163="",S163=""),"",DATE(YEAR(S163),MONTH(S163)+R163,DAY(S163)))</f>
        <v/>
      </c>
      <c r="U163" s="144">
        <f>IF(T163="","",T163-AsOf)</f>
        <v/>
      </c>
      <c r="V163" s="107">
        <f>IF(T163="",IF(P163="","","Enter last-done date"),IF(U163&lt;0,"Overdue",IF(U163&lt;=30,"Due soon","OK")))</f>
        <v/>
      </c>
      <c r="W163" s="79">
        <f>IF(T163="","",IF(U163&lt;0,2,IF(U163&lt;=30,1,0)))</f>
        <v/>
      </c>
      <c r="X163" s="112">
        <f>IF(T163="","",T163)</f>
        <v/>
      </c>
      <c r="Y163" s="79">
        <f>IF(X163="","",IF(X163&lt;=AsOf+AlertDays,2,IF(X163&lt;=AsOf+30,3,"")))</f>
        <v/>
      </c>
      <c r="Z163" s="79">
        <f>IF(Y163="","",IF(U163&lt;0,"Maintenance overdue: ","Maintenance due: ")&amp;P163)</f>
        <v/>
      </c>
    </row>
    <row r="164" ht="20" customHeight="1">
      <c r="B164" s="72" t="n"/>
      <c r="C164" s="72" t="n"/>
      <c r="D164" s="72" t="n"/>
      <c r="E164" s="109" t="n"/>
      <c r="F164" s="74" t="n"/>
      <c r="G164" s="126">
        <f>IF(OR(E164="",F164=""),"",DATE(YEAR(E164),MONTH(E164)+ROUND(F164*12,0),DAY(E164)))</f>
        <v/>
      </c>
      <c r="H164" s="144">
        <f>IF(G164="","",G164-AsOf)</f>
        <v/>
      </c>
      <c r="I164" s="107">
        <f>IF(G164="","",IF(H164&lt;0,"Expired",IF(H164&lt;=90,"Expires soon","Active")))</f>
        <v/>
      </c>
      <c r="J164" s="72" t="n"/>
      <c r="K164" s="79">
        <f>IF(I164="","",IF(I164="Active",0,IF(I164="Expires soon",1,3)))</f>
        <v/>
      </c>
      <c r="L164" s="112">
        <f>IF(G164="","",IF(G164&lt;AsOf,"",G164))</f>
        <v/>
      </c>
      <c r="M164" s="79">
        <f>IF(L164="","",IF(L164&lt;=AsOf+AlertDays,2,IF(L164&lt;=AsOf+90,3,"")))</f>
        <v/>
      </c>
      <c r="N164" s="79">
        <f>IF(M164="","","Warranty expires in "&amp;H164&amp;" days: "&amp;B164&amp;IF(C164="",""," ("&amp;C164&amp;")")&amp;" — check for defects")</f>
        <v/>
      </c>
      <c r="P164" s="72" t="n"/>
      <c r="Q164" s="72" t="n"/>
      <c r="R164" s="89" t="n"/>
      <c r="S164" s="109" t="n"/>
      <c r="T164" s="126">
        <f>IF(OR(R164="",S164=""),"",DATE(YEAR(S164),MONTH(S164)+R164,DAY(S164)))</f>
        <v/>
      </c>
      <c r="U164" s="144">
        <f>IF(T164="","",T164-AsOf)</f>
        <v/>
      </c>
      <c r="V164" s="107">
        <f>IF(T164="",IF(P164="","","Enter last-done date"),IF(U164&lt;0,"Overdue",IF(U164&lt;=30,"Due soon","OK")))</f>
        <v/>
      </c>
      <c r="W164" s="79">
        <f>IF(T164="","",IF(U164&lt;0,2,IF(U164&lt;=30,1,0)))</f>
        <v/>
      </c>
      <c r="X164" s="112">
        <f>IF(T164="","",T164)</f>
        <v/>
      </c>
      <c r="Y164" s="79">
        <f>IF(X164="","",IF(X164&lt;=AsOf+AlertDays,2,IF(X164&lt;=AsOf+30,3,"")))</f>
        <v/>
      </c>
      <c r="Z164" s="79">
        <f>IF(Y164="","",IF(U164&lt;0,"Maintenance overdue: ","Maintenance due: ")&amp;P164)</f>
        <v/>
      </c>
    </row>
    <row r="165" ht="20" customHeight="1">
      <c r="B165" s="72" t="n"/>
      <c r="C165" s="72" t="n"/>
      <c r="D165" s="72" t="n"/>
      <c r="E165" s="109" t="n"/>
      <c r="F165" s="74" t="n"/>
      <c r="G165" s="126">
        <f>IF(OR(E165="",F165=""),"",DATE(YEAR(E165),MONTH(E165)+ROUND(F165*12,0),DAY(E165)))</f>
        <v/>
      </c>
      <c r="H165" s="144">
        <f>IF(G165="","",G165-AsOf)</f>
        <v/>
      </c>
      <c r="I165" s="107">
        <f>IF(G165="","",IF(H165&lt;0,"Expired",IF(H165&lt;=90,"Expires soon","Active")))</f>
        <v/>
      </c>
      <c r="J165" s="72" t="n"/>
      <c r="K165" s="79">
        <f>IF(I165="","",IF(I165="Active",0,IF(I165="Expires soon",1,3)))</f>
        <v/>
      </c>
      <c r="L165" s="112">
        <f>IF(G165="","",IF(G165&lt;AsOf,"",G165))</f>
        <v/>
      </c>
      <c r="M165" s="79">
        <f>IF(L165="","",IF(L165&lt;=AsOf+AlertDays,2,IF(L165&lt;=AsOf+90,3,"")))</f>
        <v/>
      </c>
      <c r="N165" s="79">
        <f>IF(M165="","","Warranty expires in "&amp;H165&amp;" days: "&amp;B165&amp;IF(C165="",""," ("&amp;C165&amp;")")&amp;" — check for defects")</f>
        <v/>
      </c>
      <c r="P165" s="72" t="n"/>
      <c r="Q165" s="72" t="n"/>
      <c r="R165" s="89" t="n"/>
      <c r="S165" s="109" t="n"/>
      <c r="T165" s="126">
        <f>IF(OR(R165="",S165=""),"",DATE(YEAR(S165),MONTH(S165)+R165,DAY(S165)))</f>
        <v/>
      </c>
      <c r="U165" s="144">
        <f>IF(T165="","",T165-AsOf)</f>
        <v/>
      </c>
      <c r="V165" s="107">
        <f>IF(T165="",IF(P165="","","Enter last-done date"),IF(U165&lt;0,"Overdue",IF(U165&lt;=30,"Due soon","OK")))</f>
        <v/>
      </c>
      <c r="W165" s="79">
        <f>IF(T165="","",IF(U165&lt;0,2,IF(U165&lt;=30,1,0)))</f>
        <v/>
      </c>
      <c r="X165" s="112">
        <f>IF(T165="","",T165)</f>
        <v/>
      </c>
      <c r="Y165" s="79">
        <f>IF(X165="","",IF(X165&lt;=AsOf+AlertDays,2,IF(X165&lt;=AsOf+30,3,"")))</f>
        <v/>
      </c>
      <c r="Z165" s="79">
        <f>IF(Y165="","",IF(U165&lt;0,"Maintenance overdue: ","Maintenance due: ")&amp;P165)</f>
        <v/>
      </c>
    </row>
    <row r="166" ht="20" customHeight="1">
      <c r="B166" s="72" t="n"/>
      <c r="C166" s="72" t="n"/>
      <c r="D166" s="72" t="n"/>
      <c r="E166" s="109" t="n"/>
      <c r="F166" s="74" t="n"/>
      <c r="G166" s="126">
        <f>IF(OR(E166="",F166=""),"",DATE(YEAR(E166),MONTH(E166)+ROUND(F166*12,0),DAY(E166)))</f>
        <v/>
      </c>
      <c r="H166" s="144">
        <f>IF(G166="","",G166-AsOf)</f>
        <v/>
      </c>
      <c r="I166" s="107">
        <f>IF(G166="","",IF(H166&lt;0,"Expired",IF(H166&lt;=90,"Expires soon","Active")))</f>
        <v/>
      </c>
      <c r="J166" s="72" t="n"/>
      <c r="K166" s="79">
        <f>IF(I166="","",IF(I166="Active",0,IF(I166="Expires soon",1,3)))</f>
        <v/>
      </c>
      <c r="L166" s="112">
        <f>IF(G166="","",IF(G166&lt;AsOf,"",G166))</f>
        <v/>
      </c>
      <c r="M166" s="79">
        <f>IF(L166="","",IF(L166&lt;=AsOf+AlertDays,2,IF(L166&lt;=AsOf+90,3,"")))</f>
        <v/>
      </c>
      <c r="N166" s="79">
        <f>IF(M166="","","Warranty expires in "&amp;H166&amp;" days: "&amp;B166&amp;IF(C166="",""," ("&amp;C166&amp;")")&amp;" — check for defects")</f>
        <v/>
      </c>
      <c r="P166" s="72" t="n"/>
      <c r="Q166" s="72" t="n"/>
      <c r="R166" s="89" t="n"/>
      <c r="S166" s="109" t="n"/>
      <c r="T166" s="126">
        <f>IF(OR(R166="",S166=""),"",DATE(YEAR(S166),MONTH(S166)+R166,DAY(S166)))</f>
        <v/>
      </c>
      <c r="U166" s="144">
        <f>IF(T166="","",T166-AsOf)</f>
        <v/>
      </c>
      <c r="V166" s="107">
        <f>IF(T166="",IF(P166="","","Enter last-done date"),IF(U166&lt;0,"Overdue",IF(U166&lt;=30,"Due soon","OK")))</f>
        <v/>
      </c>
      <c r="W166" s="79">
        <f>IF(T166="","",IF(U166&lt;0,2,IF(U166&lt;=30,1,0)))</f>
        <v/>
      </c>
      <c r="X166" s="112">
        <f>IF(T166="","",T166)</f>
        <v/>
      </c>
      <c r="Y166" s="79">
        <f>IF(X166="","",IF(X166&lt;=AsOf+AlertDays,2,IF(X166&lt;=AsOf+30,3,"")))</f>
        <v/>
      </c>
      <c r="Z166" s="79">
        <f>IF(Y166="","",IF(U166&lt;0,"Maintenance overdue: ","Maintenance due: ")&amp;P166)</f>
        <v/>
      </c>
    </row>
    <row r="167" ht="20" customHeight="1">
      <c r="B167" s="72" t="n"/>
      <c r="C167" s="72" t="n"/>
      <c r="D167" s="72" t="n"/>
      <c r="E167" s="109" t="n"/>
      <c r="F167" s="74" t="n"/>
      <c r="G167" s="126">
        <f>IF(OR(E167="",F167=""),"",DATE(YEAR(E167),MONTH(E167)+ROUND(F167*12,0),DAY(E167)))</f>
        <v/>
      </c>
      <c r="H167" s="144">
        <f>IF(G167="","",G167-AsOf)</f>
        <v/>
      </c>
      <c r="I167" s="107">
        <f>IF(G167="","",IF(H167&lt;0,"Expired",IF(H167&lt;=90,"Expires soon","Active")))</f>
        <v/>
      </c>
      <c r="J167" s="72" t="n"/>
      <c r="K167" s="79">
        <f>IF(I167="","",IF(I167="Active",0,IF(I167="Expires soon",1,3)))</f>
        <v/>
      </c>
      <c r="L167" s="112">
        <f>IF(G167="","",IF(G167&lt;AsOf,"",G167))</f>
        <v/>
      </c>
      <c r="M167" s="79">
        <f>IF(L167="","",IF(L167&lt;=AsOf+AlertDays,2,IF(L167&lt;=AsOf+90,3,"")))</f>
        <v/>
      </c>
      <c r="N167" s="79">
        <f>IF(M167="","","Warranty expires in "&amp;H167&amp;" days: "&amp;B167&amp;IF(C167="",""," ("&amp;C167&amp;")")&amp;" — check for defects")</f>
        <v/>
      </c>
      <c r="P167" s="72" t="n"/>
      <c r="Q167" s="72" t="n"/>
      <c r="R167" s="89" t="n"/>
      <c r="S167" s="109" t="n"/>
      <c r="T167" s="126">
        <f>IF(OR(R167="",S167=""),"",DATE(YEAR(S167),MONTH(S167)+R167,DAY(S167)))</f>
        <v/>
      </c>
      <c r="U167" s="144">
        <f>IF(T167="","",T167-AsOf)</f>
        <v/>
      </c>
      <c r="V167" s="107">
        <f>IF(T167="",IF(P167="","","Enter last-done date"),IF(U167&lt;0,"Overdue",IF(U167&lt;=30,"Due soon","OK")))</f>
        <v/>
      </c>
      <c r="W167" s="79">
        <f>IF(T167="","",IF(U167&lt;0,2,IF(U167&lt;=30,1,0)))</f>
        <v/>
      </c>
      <c r="X167" s="112">
        <f>IF(T167="","",T167)</f>
        <v/>
      </c>
      <c r="Y167" s="79">
        <f>IF(X167="","",IF(X167&lt;=AsOf+AlertDays,2,IF(X167&lt;=AsOf+30,3,"")))</f>
        <v/>
      </c>
      <c r="Z167" s="79">
        <f>IF(Y167="","",IF(U167&lt;0,"Maintenance overdue: ","Maintenance due: ")&amp;P167)</f>
        <v/>
      </c>
    </row>
    <row r="168" ht="20" customHeight="1">
      <c r="B168" s="72" t="n"/>
      <c r="C168" s="72" t="n"/>
      <c r="D168" s="72" t="n"/>
      <c r="E168" s="109" t="n"/>
      <c r="F168" s="74" t="n"/>
      <c r="G168" s="126">
        <f>IF(OR(E168="",F168=""),"",DATE(YEAR(E168),MONTH(E168)+ROUND(F168*12,0),DAY(E168)))</f>
        <v/>
      </c>
      <c r="H168" s="144">
        <f>IF(G168="","",G168-AsOf)</f>
        <v/>
      </c>
      <c r="I168" s="107">
        <f>IF(G168="","",IF(H168&lt;0,"Expired",IF(H168&lt;=90,"Expires soon","Active")))</f>
        <v/>
      </c>
      <c r="J168" s="72" t="n"/>
      <c r="K168" s="79">
        <f>IF(I168="","",IF(I168="Active",0,IF(I168="Expires soon",1,3)))</f>
        <v/>
      </c>
      <c r="L168" s="112">
        <f>IF(G168="","",IF(G168&lt;AsOf,"",G168))</f>
        <v/>
      </c>
      <c r="M168" s="79">
        <f>IF(L168="","",IF(L168&lt;=AsOf+AlertDays,2,IF(L168&lt;=AsOf+90,3,"")))</f>
        <v/>
      </c>
      <c r="N168" s="79">
        <f>IF(M168="","","Warranty expires in "&amp;H168&amp;" days: "&amp;B168&amp;IF(C168="",""," ("&amp;C168&amp;")")&amp;" — check for defects")</f>
        <v/>
      </c>
      <c r="P168" s="72" t="n"/>
      <c r="Q168" s="72" t="n"/>
      <c r="R168" s="89" t="n"/>
      <c r="S168" s="109" t="n"/>
      <c r="T168" s="126">
        <f>IF(OR(R168="",S168=""),"",DATE(YEAR(S168),MONTH(S168)+R168,DAY(S168)))</f>
        <v/>
      </c>
      <c r="U168" s="144">
        <f>IF(T168="","",T168-AsOf)</f>
        <v/>
      </c>
      <c r="V168" s="107">
        <f>IF(T168="",IF(P168="","","Enter last-done date"),IF(U168&lt;0,"Overdue",IF(U168&lt;=30,"Due soon","OK")))</f>
        <v/>
      </c>
      <c r="W168" s="79">
        <f>IF(T168="","",IF(U168&lt;0,2,IF(U168&lt;=30,1,0)))</f>
        <v/>
      </c>
      <c r="X168" s="112">
        <f>IF(T168="","",T168)</f>
        <v/>
      </c>
      <c r="Y168" s="79">
        <f>IF(X168="","",IF(X168&lt;=AsOf+AlertDays,2,IF(X168&lt;=AsOf+30,3,"")))</f>
        <v/>
      </c>
      <c r="Z168" s="79">
        <f>IF(Y168="","",IF(U168&lt;0,"Maintenance overdue: ","Maintenance due: ")&amp;P168)</f>
        <v/>
      </c>
    </row>
    <row r="169" ht="20" customHeight="1">
      <c r="B169" s="72" t="n"/>
      <c r="C169" s="72" t="n"/>
      <c r="D169" s="72" t="n"/>
      <c r="E169" s="109" t="n"/>
      <c r="F169" s="74" t="n"/>
      <c r="G169" s="126">
        <f>IF(OR(E169="",F169=""),"",DATE(YEAR(E169),MONTH(E169)+ROUND(F169*12,0),DAY(E169)))</f>
        <v/>
      </c>
      <c r="H169" s="144">
        <f>IF(G169="","",G169-AsOf)</f>
        <v/>
      </c>
      <c r="I169" s="107">
        <f>IF(G169="","",IF(H169&lt;0,"Expired",IF(H169&lt;=90,"Expires soon","Active")))</f>
        <v/>
      </c>
      <c r="J169" s="72" t="n"/>
      <c r="K169" s="79">
        <f>IF(I169="","",IF(I169="Active",0,IF(I169="Expires soon",1,3)))</f>
        <v/>
      </c>
      <c r="L169" s="112">
        <f>IF(G169="","",IF(G169&lt;AsOf,"",G169))</f>
        <v/>
      </c>
      <c r="M169" s="79">
        <f>IF(L169="","",IF(L169&lt;=AsOf+AlertDays,2,IF(L169&lt;=AsOf+90,3,"")))</f>
        <v/>
      </c>
      <c r="N169" s="79">
        <f>IF(M169="","","Warranty expires in "&amp;H169&amp;" days: "&amp;B169&amp;IF(C169="",""," ("&amp;C169&amp;")")&amp;" — check for defects")</f>
        <v/>
      </c>
      <c r="P169" s="72" t="n"/>
      <c r="Q169" s="72" t="n"/>
      <c r="R169" s="89" t="n"/>
      <c r="S169" s="109" t="n"/>
      <c r="T169" s="126">
        <f>IF(OR(R169="",S169=""),"",DATE(YEAR(S169),MONTH(S169)+R169,DAY(S169)))</f>
        <v/>
      </c>
      <c r="U169" s="144">
        <f>IF(T169="","",T169-AsOf)</f>
        <v/>
      </c>
      <c r="V169" s="107">
        <f>IF(T169="",IF(P169="","","Enter last-done date"),IF(U169&lt;0,"Overdue",IF(U169&lt;=30,"Due soon","OK")))</f>
        <v/>
      </c>
      <c r="W169" s="79">
        <f>IF(T169="","",IF(U169&lt;0,2,IF(U169&lt;=30,1,0)))</f>
        <v/>
      </c>
      <c r="X169" s="112">
        <f>IF(T169="","",T169)</f>
        <v/>
      </c>
      <c r="Y169" s="79">
        <f>IF(X169="","",IF(X169&lt;=AsOf+AlertDays,2,IF(X169&lt;=AsOf+30,3,"")))</f>
        <v/>
      </c>
      <c r="Z169" s="79">
        <f>IF(Y169="","",IF(U169&lt;0,"Maintenance overdue: ","Maintenance due: ")&amp;P169)</f>
        <v/>
      </c>
    </row>
    <row r="170" ht="20" customHeight="1">
      <c r="B170" s="72" t="n"/>
      <c r="C170" s="72" t="n"/>
      <c r="D170" s="72" t="n"/>
      <c r="E170" s="109" t="n"/>
      <c r="F170" s="74" t="n"/>
      <c r="G170" s="126">
        <f>IF(OR(E170="",F170=""),"",DATE(YEAR(E170),MONTH(E170)+ROUND(F170*12,0),DAY(E170)))</f>
        <v/>
      </c>
      <c r="H170" s="144">
        <f>IF(G170="","",G170-AsOf)</f>
        <v/>
      </c>
      <c r="I170" s="107">
        <f>IF(G170="","",IF(H170&lt;0,"Expired",IF(H170&lt;=90,"Expires soon","Active")))</f>
        <v/>
      </c>
      <c r="J170" s="72" t="n"/>
      <c r="K170" s="79">
        <f>IF(I170="","",IF(I170="Active",0,IF(I170="Expires soon",1,3)))</f>
        <v/>
      </c>
      <c r="L170" s="112">
        <f>IF(G170="","",IF(G170&lt;AsOf,"",G170))</f>
        <v/>
      </c>
      <c r="M170" s="79">
        <f>IF(L170="","",IF(L170&lt;=AsOf+AlertDays,2,IF(L170&lt;=AsOf+90,3,"")))</f>
        <v/>
      </c>
      <c r="N170" s="79">
        <f>IF(M170="","","Warranty expires in "&amp;H170&amp;" days: "&amp;B170&amp;IF(C170="",""," ("&amp;C170&amp;")")&amp;" — check for defects")</f>
        <v/>
      </c>
      <c r="P170" s="72" t="n"/>
      <c r="Q170" s="72" t="n"/>
      <c r="R170" s="89" t="n"/>
      <c r="S170" s="109" t="n"/>
      <c r="T170" s="126">
        <f>IF(OR(R170="",S170=""),"",DATE(YEAR(S170),MONTH(S170)+R170,DAY(S170)))</f>
        <v/>
      </c>
      <c r="U170" s="144">
        <f>IF(T170="","",T170-AsOf)</f>
        <v/>
      </c>
      <c r="V170" s="107">
        <f>IF(T170="",IF(P170="","","Enter last-done date"),IF(U170&lt;0,"Overdue",IF(U170&lt;=30,"Due soon","OK")))</f>
        <v/>
      </c>
      <c r="W170" s="79">
        <f>IF(T170="","",IF(U170&lt;0,2,IF(U170&lt;=30,1,0)))</f>
        <v/>
      </c>
      <c r="X170" s="112">
        <f>IF(T170="","",T170)</f>
        <v/>
      </c>
      <c r="Y170" s="79">
        <f>IF(X170="","",IF(X170&lt;=AsOf+AlertDays,2,IF(X170&lt;=AsOf+30,3,"")))</f>
        <v/>
      </c>
      <c r="Z170" s="79">
        <f>IF(Y170="","",IF(U170&lt;0,"Maintenance overdue: ","Maintenance due: ")&amp;P170)</f>
        <v/>
      </c>
    </row>
    <row r="171" ht="20" customHeight="1">
      <c r="B171" s="72" t="n"/>
      <c r="C171" s="72" t="n"/>
      <c r="D171" s="72" t="n"/>
      <c r="E171" s="109" t="n"/>
      <c r="F171" s="74" t="n"/>
      <c r="G171" s="126">
        <f>IF(OR(E171="",F171=""),"",DATE(YEAR(E171),MONTH(E171)+ROUND(F171*12,0),DAY(E171)))</f>
        <v/>
      </c>
      <c r="H171" s="144">
        <f>IF(G171="","",G171-AsOf)</f>
        <v/>
      </c>
      <c r="I171" s="107">
        <f>IF(G171="","",IF(H171&lt;0,"Expired",IF(H171&lt;=90,"Expires soon","Active")))</f>
        <v/>
      </c>
      <c r="J171" s="72" t="n"/>
      <c r="K171" s="79">
        <f>IF(I171="","",IF(I171="Active",0,IF(I171="Expires soon",1,3)))</f>
        <v/>
      </c>
      <c r="L171" s="112">
        <f>IF(G171="","",IF(G171&lt;AsOf,"",G171))</f>
        <v/>
      </c>
      <c r="M171" s="79">
        <f>IF(L171="","",IF(L171&lt;=AsOf+AlertDays,2,IF(L171&lt;=AsOf+90,3,"")))</f>
        <v/>
      </c>
      <c r="N171" s="79">
        <f>IF(M171="","","Warranty expires in "&amp;H171&amp;" days: "&amp;B171&amp;IF(C171="",""," ("&amp;C171&amp;")")&amp;" — check for defects")</f>
        <v/>
      </c>
      <c r="P171" s="72" t="n"/>
      <c r="Q171" s="72" t="n"/>
      <c r="R171" s="89" t="n"/>
      <c r="S171" s="109" t="n"/>
      <c r="T171" s="126">
        <f>IF(OR(R171="",S171=""),"",DATE(YEAR(S171),MONTH(S171)+R171,DAY(S171)))</f>
        <v/>
      </c>
      <c r="U171" s="144">
        <f>IF(T171="","",T171-AsOf)</f>
        <v/>
      </c>
      <c r="V171" s="107">
        <f>IF(T171="",IF(P171="","","Enter last-done date"),IF(U171&lt;0,"Overdue",IF(U171&lt;=30,"Due soon","OK")))</f>
        <v/>
      </c>
      <c r="W171" s="79">
        <f>IF(T171="","",IF(U171&lt;0,2,IF(U171&lt;=30,1,0)))</f>
        <v/>
      </c>
      <c r="X171" s="112">
        <f>IF(T171="","",T171)</f>
        <v/>
      </c>
      <c r="Y171" s="79">
        <f>IF(X171="","",IF(X171&lt;=AsOf+AlertDays,2,IF(X171&lt;=AsOf+30,3,"")))</f>
        <v/>
      </c>
      <c r="Z171" s="79">
        <f>IF(Y171="","",IF(U171&lt;0,"Maintenance overdue: ","Maintenance due: ")&amp;P171)</f>
        <v/>
      </c>
    </row>
    <row r="172" ht="20" customHeight="1">
      <c r="B172" s="72" t="n"/>
      <c r="C172" s="72" t="n"/>
      <c r="D172" s="72" t="n"/>
      <c r="E172" s="109" t="n"/>
      <c r="F172" s="74" t="n"/>
      <c r="G172" s="126">
        <f>IF(OR(E172="",F172=""),"",DATE(YEAR(E172),MONTH(E172)+ROUND(F172*12,0),DAY(E172)))</f>
        <v/>
      </c>
      <c r="H172" s="144">
        <f>IF(G172="","",G172-AsOf)</f>
        <v/>
      </c>
      <c r="I172" s="107">
        <f>IF(G172="","",IF(H172&lt;0,"Expired",IF(H172&lt;=90,"Expires soon","Active")))</f>
        <v/>
      </c>
      <c r="J172" s="72" t="n"/>
      <c r="K172" s="79">
        <f>IF(I172="","",IF(I172="Active",0,IF(I172="Expires soon",1,3)))</f>
        <v/>
      </c>
      <c r="L172" s="112">
        <f>IF(G172="","",IF(G172&lt;AsOf,"",G172))</f>
        <v/>
      </c>
      <c r="M172" s="79">
        <f>IF(L172="","",IF(L172&lt;=AsOf+AlertDays,2,IF(L172&lt;=AsOf+90,3,"")))</f>
        <v/>
      </c>
      <c r="N172" s="79">
        <f>IF(M172="","","Warranty expires in "&amp;H172&amp;" days: "&amp;B172&amp;IF(C172="",""," ("&amp;C172&amp;")")&amp;" — check for defects")</f>
        <v/>
      </c>
      <c r="P172" s="72" t="n"/>
      <c r="Q172" s="72" t="n"/>
      <c r="R172" s="89" t="n"/>
      <c r="S172" s="109" t="n"/>
      <c r="T172" s="126">
        <f>IF(OR(R172="",S172=""),"",DATE(YEAR(S172),MONTH(S172)+R172,DAY(S172)))</f>
        <v/>
      </c>
      <c r="U172" s="144">
        <f>IF(T172="","",T172-AsOf)</f>
        <v/>
      </c>
      <c r="V172" s="107">
        <f>IF(T172="",IF(P172="","","Enter last-done date"),IF(U172&lt;0,"Overdue",IF(U172&lt;=30,"Due soon","OK")))</f>
        <v/>
      </c>
      <c r="W172" s="79">
        <f>IF(T172="","",IF(U172&lt;0,2,IF(U172&lt;=30,1,0)))</f>
        <v/>
      </c>
      <c r="X172" s="112">
        <f>IF(T172="","",T172)</f>
        <v/>
      </c>
      <c r="Y172" s="79">
        <f>IF(X172="","",IF(X172&lt;=AsOf+AlertDays,2,IF(X172&lt;=AsOf+30,3,"")))</f>
        <v/>
      </c>
      <c r="Z172" s="79">
        <f>IF(Y172="","",IF(U172&lt;0,"Maintenance overdue: ","Maintenance due: ")&amp;P172)</f>
        <v/>
      </c>
    </row>
    <row r="173" ht="20" customHeight="1">
      <c r="B173" s="72" t="n"/>
      <c r="C173" s="72" t="n"/>
      <c r="D173" s="72" t="n"/>
      <c r="E173" s="109" t="n"/>
      <c r="F173" s="74" t="n"/>
      <c r="G173" s="126">
        <f>IF(OR(E173="",F173=""),"",DATE(YEAR(E173),MONTH(E173)+ROUND(F173*12,0),DAY(E173)))</f>
        <v/>
      </c>
      <c r="H173" s="144">
        <f>IF(G173="","",G173-AsOf)</f>
        <v/>
      </c>
      <c r="I173" s="107">
        <f>IF(G173="","",IF(H173&lt;0,"Expired",IF(H173&lt;=90,"Expires soon","Active")))</f>
        <v/>
      </c>
      <c r="J173" s="72" t="n"/>
      <c r="K173" s="79">
        <f>IF(I173="","",IF(I173="Active",0,IF(I173="Expires soon",1,3)))</f>
        <v/>
      </c>
      <c r="L173" s="112">
        <f>IF(G173="","",IF(G173&lt;AsOf,"",G173))</f>
        <v/>
      </c>
      <c r="M173" s="79">
        <f>IF(L173="","",IF(L173&lt;=AsOf+AlertDays,2,IF(L173&lt;=AsOf+90,3,"")))</f>
        <v/>
      </c>
      <c r="N173" s="79">
        <f>IF(M173="","","Warranty expires in "&amp;H173&amp;" days: "&amp;B173&amp;IF(C173="",""," ("&amp;C173&amp;")")&amp;" — check for defects")</f>
        <v/>
      </c>
      <c r="P173" s="72" t="n"/>
      <c r="Q173" s="72" t="n"/>
      <c r="R173" s="89" t="n"/>
      <c r="S173" s="109" t="n"/>
      <c r="T173" s="126">
        <f>IF(OR(R173="",S173=""),"",DATE(YEAR(S173),MONTH(S173)+R173,DAY(S173)))</f>
        <v/>
      </c>
      <c r="U173" s="144">
        <f>IF(T173="","",T173-AsOf)</f>
        <v/>
      </c>
      <c r="V173" s="107">
        <f>IF(T173="",IF(P173="","","Enter last-done date"),IF(U173&lt;0,"Overdue",IF(U173&lt;=30,"Due soon","OK")))</f>
        <v/>
      </c>
      <c r="W173" s="79">
        <f>IF(T173="","",IF(U173&lt;0,2,IF(U173&lt;=30,1,0)))</f>
        <v/>
      </c>
      <c r="X173" s="112">
        <f>IF(T173="","",T173)</f>
        <v/>
      </c>
      <c r="Y173" s="79">
        <f>IF(X173="","",IF(X173&lt;=AsOf+AlertDays,2,IF(X173&lt;=AsOf+30,3,"")))</f>
        <v/>
      </c>
      <c r="Z173" s="79">
        <f>IF(Y173="","",IF(U173&lt;0,"Maintenance overdue: ","Maintenance due: ")&amp;P173)</f>
        <v/>
      </c>
    </row>
    <row r="174" ht="20" customHeight="1">
      <c r="B174" s="72" t="n"/>
      <c r="C174" s="72" t="n"/>
      <c r="D174" s="72" t="n"/>
      <c r="E174" s="109" t="n"/>
      <c r="F174" s="74" t="n"/>
      <c r="G174" s="126">
        <f>IF(OR(E174="",F174=""),"",DATE(YEAR(E174),MONTH(E174)+ROUND(F174*12,0),DAY(E174)))</f>
        <v/>
      </c>
      <c r="H174" s="144">
        <f>IF(G174="","",G174-AsOf)</f>
        <v/>
      </c>
      <c r="I174" s="107">
        <f>IF(G174="","",IF(H174&lt;0,"Expired",IF(H174&lt;=90,"Expires soon","Active")))</f>
        <v/>
      </c>
      <c r="J174" s="72" t="n"/>
      <c r="K174" s="79">
        <f>IF(I174="","",IF(I174="Active",0,IF(I174="Expires soon",1,3)))</f>
        <v/>
      </c>
      <c r="L174" s="112">
        <f>IF(G174="","",IF(G174&lt;AsOf,"",G174))</f>
        <v/>
      </c>
      <c r="M174" s="79">
        <f>IF(L174="","",IF(L174&lt;=AsOf+AlertDays,2,IF(L174&lt;=AsOf+90,3,"")))</f>
        <v/>
      </c>
      <c r="N174" s="79">
        <f>IF(M174="","","Warranty expires in "&amp;H174&amp;" days: "&amp;B174&amp;IF(C174="",""," ("&amp;C174&amp;")")&amp;" — check for defects")</f>
        <v/>
      </c>
      <c r="P174" s="72" t="n"/>
      <c r="Q174" s="72" t="n"/>
      <c r="R174" s="89" t="n"/>
      <c r="S174" s="109" t="n"/>
      <c r="T174" s="126">
        <f>IF(OR(R174="",S174=""),"",DATE(YEAR(S174),MONTH(S174)+R174,DAY(S174)))</f>
        <v/>
      </c>
      <c r="U174" s="144">
        <f>IF(T174="","",T174-AsOf)</f>
        <v/>
      </c>
      <c r="V174" s="107">
        <f>IF(T174="",IF(P174="","","Enter last-done date"),IF(U174&lt;0,"Overdue",IF(U174&lt;=30,"Due soon","OK")))</f>
        <v/>
      </c>
      <c r="W174" s="79">
        <f>IF(T174="","",IF(U174&lt;0,2,IF(U174&lt;=30,1,0)))</f>
        <v/>
      </c>
      <c r="X174" s="112">
        <f>IF(T174="","",T174)</f>
        <v/>
      </c>
      <c r="Y174" s="79">
        <f>IF(X174="","",IF(X174&lt;=AsOf+AlertDays,2,IF(X174&lt;=AsOf+30,3,"")))</f>
        <v/>
      </c>
      <c r="Z174" s="79">
        <f>IF(Y174="","",IF(U174&lt;0,"Maintenance overdue: ","Maintenance due: ")&amp;P174)</f>
        <v/>
      </c>
    </row>
    <row r="175" ht="20" customHeight="1">
      <c r="B175" s="72" t="n"/>
      <c r="C175" s="72" t="n"/>
      <c r="D175" s="72" t="n"/>
      <c r="E175" s="109" t="n"/>
      <c r="F175" s="74" t="n"/>
      <c r="G175" s="126">
        <f>IF(OR(E175="",F175=""),"",DATE(YEAR(E175),MONTH(E175)+ROUND(F175*12,0),DAY(E175)))</f>
        <v/>
      </c>
      <c r="H175" s="144">
        <f>IF(G175="","",G175-AsOf)</f>
        <v/>
      </c>
      <c r="I175" s="107">
        <f>IF(G175="","",IF(H175&lt;0,"Expired",IF(H175&lt;=90,"Expires soon","Active")))</f>
        <v/>
      </c>
      <c r="J175" s="72" t="n"/>
      <c r="K175" s="79">
        <f>IF(I175="","",IF(I175="Active",0,IF(I175="Expires soon",1,3)))</f>
        <v/>
      </c>
      <c r="L175" s="112">
        <f>IF(G175="","",IF(G175&lt;AsOf,"",G175))</f>
        <v/>
      </c>
      <c r="M175" s="79">
        <f>IF(L175="","",IF(L175&lt;=AsOf+AlertDays,2,IF(L175&lt;=AsOf+90,3,"")))</f>
        <v/>
      </c>
      <c r="N175" s="79">
        <f>IF(M175="","","Warranty expires in "&amp;H175&amp;" days: "&amp;B175&amp;IF(C175="",""," ("&amp;C175&amp;")")&amp;" — check for defects")</f>
        <v/>
      </c>
      <c r="P175" s="72" t="n"/>
      <c r="Q175" s="72" t="n"/>
      <c r="R175" s="89" t="n"/>
      <c r="S175" s="109" t="n"/>
      <c r="T175" s="126">
        <f>IF(OR(R175="",S175=""),"",DATE(YEAR(S175),MONTH(S175)+R175,DAY(S175)))</f>
        <v/>
      </c>
      <c r="U175" s="144">
        <f>IF(T175="","",T175-AsOf)</f>
        <v/>
      </c>
      <c r="V175" s="107">
        <f>IF(T175="",IF(P175="","","Enter last-done date"),IF(U175&lt;0,"Overdue",IF(U175&lt;=30,"Due soon","OK")))</f>
        <v/>
      </c>
      <c r="W175" s="79">
        <f>IF(T175="","",IF(U175&lt;0,2,IF(U175&lt;=30,1,0)))</f>
        <v/>
      </c>
      <c r="X175" s="112">
        <f>IF(T175="","",T175)</f>
        <v/>
      </c>
      <c r="Y175" s="79">
        <f>IF(X175="","",IF(X175&lt;=AsOf+AlertDays,2,IF(X175&lt;=AsOf+30,3,"")))</f>
        <v/>
      </c>
      <c r="Z175" s="79">
        <f>IF(Y175="","",IF(U175&lt;0,"Maintenance overdue: ","Maintenance due: ")&amp;P175)</f>
        <v/>
      </c>
    </row>
    <row r="176" ht="20" customHeight="1">
      <c r="B176" s="72" t="n"/>
      <c r="C176" s="72" t="n"/>
      <c r="D176" s="72" t="n"/>
      <c r="E176" s="109" t="n"/>
      <c r="F176" s="74" t="n"/>
      <c r="G176" s="126">
        <f>IF(OR(E176="",F176=""),"",DATE(YEAR(E176),MONTH(E176)+ROUND(F176*12,0),DAY(E176)))</f>
        <v/>
      </c>
      <c r="H176" s="144">
        <f>IF(G176="","",G176-AsOf)</f>
        <v/>
      </c>
      <c r="I176" s="107">
        <f>IF(G176="","",IF(H176&lt;0,"Expired",IF(H176&lt;=90,"Expires soon","Active")))</f>
        <v/>
      </c>
      <c r="J176" s="72" t="n"/>
      <c r="K176" s="79">
        <f>IF(I176="","",IF(I176="Active",0,IF(I176="Expires soon",1,3)))</f>
        <v/>
      </c>
      <c r="L176" s="112">
        <f>IF(G176="","",IF(G176&lt;AsOf,"",G176))</f>
        <v/>
      </c>
      <c r="M176" s="79">
        <f>IF(L176="","",IF(L176&lt;=AsOf+AlertDays,2,IF(L176&lt;=AsOf+90,3,"")))</f>
        <v/>
      </c>
      <c r="N176" s="79">
        <f>IF(M176="","","Warranty expires in "&amp;H176&amp;" days: "&amp;B176&amp;IF(C176="",""," ("&amp;C176&amp;")")&amp;" — check for defects")</f>
        <v/>
      </c>
      <c r="P176" s="72" t="n"/>
      <c r="Q176" s="72" t="n"/>
      <c r="R176" s="89" t="n"/>
      <c r="S176" s="109" t="n"/>
      <c r="T176" s="126">
        <f>IF(OR(R176="",S176=""),"",DATE(YEAR(S176),MONTH(S176)+R176,DAY(S176)))</f>
        <v/>
      </c>
      <c r="U176" s="144">
        <f>IF(T176="","",T176-AsOf)</f>
        <v/>
      </c>
      <c r="V176" s="107">
        <f>IF(T176="",IF(P176="","","Enter last-done date"),IF(U176&lt;0,"Overdue",IF(U176&lt;=30,"Due soon","OK")))</f>
        <v/>
      </c>
      <c r="W176" s="79">
        <f>IF(T176="","",IF(U176&lt;0,2,IF(U176&lt;=30,1,0)))</f>
        <v/>
      </c>
      <c r="X176" s="112">
        <f>IF(T176="","",T176)</f>
        <v/>
      </c>
      <c r="Y176" s="79">
        <f>IF(X176="","",IF(X176&lt;=AsOf+AlertDays,2,IF(X176&lt;=AsOf+30,3,"")))</f>
        <v/>
      </c>
      <c r="Z176" s="79">
        <f>IF(Y176="","",IF(U176&lt;0,"Maintenance overdue: ","Maintenance due: ")&amp;P176)</f>
        <v/>
      </c>
    </row>
    <row r="177" ht="20" customHeight="1">
      <c r="B177" s="72" t="n"/>
      <c r="C177" s="72" t="n"/>
      <c r="D177" s="72" t="n"/>
      <c r="E177" s="109" t="n"/>
      <c r="F177" s="74" t="n"/>
      <c r="G177" s="126">
        <f>IF(OR(E177="",F177=""),"",DATE(YEAR(E177),MONTH(E177)+ROUND(F177*12,0),DAY(E177)))</f>
        <v/>
      </c>
      <c r="H177" s="144">
        <f>IF(G177="","",G177-AsOf)</f>
        <v/>
      </c>
      <c r="I177" s="107">
        <f>IF(G177="","",IF(H177&lt;0,"Expired",IF(H177&lt;=90,"Expires soon","Active")))</f>
        <v/>
      </c>
      <c r="J177" s="72" t="n"/>
      <c r="K177" s="79">
        <f>IF(I177="","",IF(I177="Active",0,IF(I177="Expires soon",1,3)))</f>
        <v/>
      </c>
      <c r="L177" s="112">
        <f>IF(G177="","",IF(G177&lt;AsOf,"",G177))</f>
        <v/>
      </c>
      <c r="M177" s="79">
        <f>IF(L177="","",IF(L177&lt;=AsOf+AlertDays,2,IF(L177&lt;=AsOf+90,3,"")))</f>
        <v/>
      </c>
      <c r="N177" s="79">
        <f>IF(M177="","","Warranty expires in "&amp;H177&amp;" days: "&amp;B177&amp;IF(C177="",""," ("&amp;C177&amp;")")&amp;" — check for defects")</f>
        <v/>
      </c>
      <c r="P177" s="72" t="n"/>
      <c r="Q177" s="72" t="n"/>
      <c r="R177" s="89" t="n"/>
      <c r="S177" s="109" t="n"/>
      <c r="T177" s="126">
        <f>IF(OR(R177="",S177=""),"",DATE(YEAR(S177),MONTH(S177)+R177,DAY(S177)))</f>
        <v/>
      </c>
      <c r="U177" s="144">
        <f>IF(T177="","",T177-AsOf)</f>
        <v/>
      </c>
      <c r="V177" s="107">
        <f>IF(T177="",IF(P177="","","Enter last-done date"),IF(U177&lt;0,"Overdue",IF(U177&lt;=30,"Due soon","OK")))</f>
        <v/>
      </c>
      <c r="W177" s="79">
        <f>IF(T177="","",IF(U177&lt;0,2,IF(U177&lt;=30,1,0)))</f>
        <v/>
      </c>
      <c r="X177" s="112">
        <f>IF(T177="","",T177)</f>
        <v/>
      </c>
      <c r="Y177" s="79">
        <f>IF(X177="","",IF(X177&lt;=AsOf+AlertDays,2,IF(X177&lt;=AsOf+30,3,"")))</f>
        <v/>
      </c>
      <c r="Z177" s="79">
        <f>IF(Y177="","",IF(U177&lt;0,"Maintenance overdue: ","Maintenance due: ")&amp;P177)</f>
        <v/>
      </c>
    </row>
    <row r="178" ht="20" customHeight="1">
      <c r="B178" s="72" t="n"/>
      <c r="C178" s="72" t="n"/>
      <c r="D178" s="72" t="n"/>
      <c r="E178" s="109" t="n"/>
      <c r="F178" s="74" t="n"/>
      <c r="G178" s="126">
        <f>IF(OR(E178="",F178=""),"",DATE(YEAR(E178),MONTH(E178)+ROUND(F178*12,0),DAY(E178)))</f>
        <v/>
      </c>
      <c r="H178" s="144">
        <f>IF(G178="","",G178-AsOf)</f>
        <v/>
      </c>
      <c r="I178" s="107">
        <f>IF(G178="","",IF(H178&lt;0,"Expired",IF(H178&lt;=90,"Expires soon","Active")))</f>
        <v/>
      </c>
      <c r="J178" s="72" t="n"/>
      <c r="K178" s="79">
        <f>IF(I178="","",IF(I178="Active",0,IF(I178="Expires soon",1,3)))</f>
        <v/>
      </c>
      <c r="L178" s="112">
        <f>IF(G178="","",IF(G178&lt;AsOf,"",G178))</f>
        <v/>
      </c>
      <c r="M178" s="79">
        <f>IF(L178="","",IF(L178&lt;=AsOf+AlertDays,2,IF(L178&lt;=AsOf+90,3,"")))</f>
        <v/>
      </c>
      <c r="N178" s="79">
        <f>IF(M178="","","Warranty expires in "&amp;H178&amp;" days: "&amp;B178&amp;IF(C178="",""," ("&amp;C178&amp;")")&amp;" — check for defects")</f>
        <v/>
      </c>
      <c r="P178" s="72" t="n"/>
      <c r="Q178" s="72" t="n"/>
      <c r="R178" s="89" t="n"/>
      <c r="S178" s="109" t="n"/>
      <c r="T178" s="126">
        <f>IF(OR(R178="",S178=""),"",DATE(YEAR(S178),MONTH(S178)+R178,DAY(S178)))</f>
        <v/>
      </c>
      <c r="U178" s="144">
        <f>IF(T178="","",T178-AsOf)</f>
        <v/>
      </c>
      <c r="V178" s="107">
        <f>IF(T178="",IF(P178="","","Enter last-done date"),IF(U178&lt;0,"Overdue",IF(U178&lt;=30,"Due soon","OK")))</f>
        <v/>
      </c>
      <c r="W178" s="79">
        <f>IF(T178="","",IF(U178&lt;0,2,IF(U178&lt;=30,1,0)))</f>
        <v/>
      </c>
      <c r="X178" s="112">
        <f>IF(T178="","",T178)</f>
        <v/>
      </c>
      <c r="Y178" s="79">
        <f>IF(X178="","",IF(X178&lt;=AsOf+AlertDays,2,IF(X178&lt;=AsOf+30,3,"")))</f>
        <v/>
      </c>
      <c r="Z178" s="79">
        <f>IF(Y178="","",IF(U178&lt;0,"Maintenance overdue: ","Maintenance due: ")&amp;P178)</f>
        <v/>
      </c>
    </row>
    <row r="179" ht="20" customHeight="1">
      <c r="B179" s="72" t="n"/>
      <c r="C179" s="72" t="n"/>
      <c r="D179" s="72" t="n"/>
      <c r="E179" s="109" t="n"/>
      <c r="F179" s="74" t="n"/>
      <c r="G179" s="126">
        <f>IF(OR(E179="",F179=""),"",DATE(YEAR(E179),MONTH(E179)+ROUND(F179*12,0),DAY(E179)))</f>
        <v/>
      </c>
      <c r="H179" s="144">
        <f>IF(G179="","",G179-AsOf)</f>
        <v/>
      </c>
      <c r="I179" s="107">
        <f>IF(G179="","",IF(H179&lt;0,"Expired",IF(H179&lt;=90,"Expires soon","Active")))</f>
        <v/>
      </c>
      <c r="J179" s="72" t="n"/>
      <c r="K179" s="79">
        <f>IF(I179="","",IF(I179="Active",0,IF(I179="Expires soon",1,3)))</f>
        <v/>
      </c>
      <c r="L179" s="112">
        <f>IF(G179="","",IF(G179&lt;AsOf,"",G179))</f>
        <v/>
      </c>
      <c r="M179" s="79">
        <f>IF(L179="","",IF(L179&lt;=AsOf+AlertDays,2,IF(L179&lt;=AsOf+90,3,"")))</f>
        <v/>
      </c>
      <c r="N179" s="79">
        <f>IF(M179="","","Warranty expires in "&amp;H179&amp;" days: "&amp;B179&amp;IF(C179="",""," ("&amp;C179&amp;")")&amp;" — check for defects")</f>
        <v/>
      </c>
      <c r="P179" s="72" t="n"/>
      <c r="Q179" s="72" t="n"/>
      <c r="R179" s="89" t="n"/>
      <c r="S179" s="109" t="n"/>
      <c r="T179" s="126">
        <f>IF(OR(R179="",S179=""),"",DATE(YEAR(S179),MONTH(S179)+R179,DAY(S179)))</f>
        <v/>
      </c>
      <c r="U179" s="144">
        <f>IF(T179="","",T179-AsOf)</f>
        <v/>
      </c>
      <c r="V179" s="107">
        <f>IF(T179="",IF(P179="","","Enter last-done date"),IF(U179&lt;0,"Overdue",IF(U179&lt;=30,"Due soon","OK")))</f>
        <v/>
      </c>
      <c r="W179" s="79">
        <f>IF(T179="","",IF(U179&lt;0,2,IF(U179&lt;=30,1,0)))</f>
        <v/>
      </c>
      <c r="X179" s="112">
        <f>IF(T179="","",T179)</f>
        <v/>
      </c>
      <c r="Y179" s="79">
        <f>IF(X179="","",IF(X179&lt;=AsOf+AlertDays,2,IF(X179&lt;=AsOf+30,3,"")))</f>
        <v/>
      </c>
      <c r="Z179" s="79">
        <f>IF(Y179="","",IF(U179&lt;0,"Maintenance overdue: ","Maintenance due: ")&amp;P179)</f>
        <v/>
      </c>
    </row>
    <row r="180" ht="20" customHeight="1">
      <c r="B180" s="72" t="n"/>
      <c r="C180" s="72" t="n"/>
      <c r="D180" s="72" t="n"/>
      <c r="E180" s="109" t="n"/>
      <c r="F180" s="74" t="n"/>
      <c r="G180" s="126">
        <f>IF(OR(E180="",F180=""),"",DATE(YEAR(E180),MONTH(E180)+ROUND(F180*12,0),DAY(E180)))</f>
        <v/>
      </c>
      <c r="H180" s="144">
        <f>IF(G180="","",G180-AsOf)</f>
        <v/>
      </c>
      <c r="I180" s="107">
        <f>IF(G180="","",IF(H180&lt;0,"Expired",IF(H180&lt;=90,"Expires soon","Active")))</f>
        <v/>
      </c>
      <c r="J180" s="72" t="n"/>
      <c r="K180" s="79">
        <f>IF(I180="","",IF(I180="Active",0,IF(I180="Expires soon",1,3)))</f>
        <v/>
      </c>
      <c r="L180" s="112">
        <f>IF(G180="","",IF(G180&lt;AsOf,"",G180))</f>
        <v/>
      </c>
      <c r="M180" s="79">
        <f>IF(L180="","",IF(L180&lt;=AsOf+AlertDays,2,IF(L180&lt;=AsOf+90,3,"")))</f>
        <v/>
      </c>
      <c r="N180" s="79">
        <f>IF(M180="","","Warranty expires in "&amp;H180&amp;" days: "&amp;B180&amp;IF(C180="",""," ("&amp;C180&amp;")")&amp;" — check for defects")</f>
        <v/>
      </c>
      <c r="P180" s="72" t="n"/>
      <c r="Q180" s="72" t="n"/>
      <c r="R180" s="89" t="n"/>
      <c r="S180" s="109" t="n"/>
      <c r="T180" s="126">
        <f>IF(OR(R180="",S180=""),"",DATE(YEAR(S180),MONTH(S180)+R180,DAY(S180)))</f>
        <v/>
      </c>
      <c r="U180" s="144">
        <f>IF(T180="","",T180-AsOf)</f>
        <v/>
      </c>
      <c r="V180" s="107">
        <f>IF(T180="",IF(P180="","","Enter last-done date"),IF(U180&lt;0,"Overdue",IF(U180&lt;=30,"Due soon","OK")))</f>
        <v/>
      </c>
      <c r="W180" s="79">
        <f>IF(T180="","",IF(U180&lt;0,2,IF(U180&lt;=30,1,0)))</f>
        <v/>
      </c>
      <c r="X180" s="112">
        <f>IF(T180="","",T180)</f>
        <v/>
      </c>
      <c r="Y180" s="79">
        <f>IF(X180="","",IF(X180&lt;=AsOf+AlertDays,2,IF(X180&lt;=AsOf+30,3,"")))</f>
        <v/>
      </c>
      <c r="Z180" s="79">
        <f>IF(Y180="","",IF(U180&lt;0,"Maintenance overdue: ","Maintenance due: ")&amp;P180)</f>
        <v/>
      </c>
    </row>
    <row r="181" ht="20" customHeight="1">
      <c r="B181" s="72" t="n"/>
      <c r="C181" s="72" t="n"/>
      <c r="D181" s="72" t="n"/>
      <c r="E181" s="109" t="n"/>
      <c r="F181" s="74" t="n"/>
      <c r="G181" s="126">
        <f>IF(OR(E181="",F181=""),"",DATE(YEAR(E181),MONTH(E181)+ROUND(F181*12,0),DAY(E181)))</f>
        <v/>
      </c>
      <c r="H181" s="144">
        <f>IF(G181="","",G181-AsOf)</f>
        <v/>
      </c>
      <c r="I181" s="107">
        <f>IF(G181="","",IF(H181&lt;0,"Expired",IF(H181&lt;=90,"Expires soon","Active")))</f>
        <v/>
      </c>
      <c r="J181" s="72" t="n"/>
      <c r="K181" s="79">
        <f>IF(I181="","",IF(I181="Active",0,IF(I181="Expires soon",1,3)))</f>
        <v/>
      </c>
      <c r="L181" s="112">
        <f>IF(G181="","",IF(G181&lt;AsOf,"",G181))</f>
        <v/>
      </c>
      <c r="M181" s="79">
        <f>IF(L181="","",IF(L181&lt;=AsOf+AlertDays,2,IF(L181&lt;=AsOf+90,3,"")))</f>
        <v/>
      </c>
      <c r="N181" s="79">
        <f>IF(M181="","","Warranty expires in "&amp;H181&amp;" days: "&amp;B181&amp;IF(C181="",""," ("&amp;C181&amp;")")&amp;" — check for defects")</f>
        <v/>
      </c>
      <c r="P181" s="72" t="n"/>
      <c r="Q181" s="72" t="n"/>
      <c r="R181" s="89" t="n"/>
      <c r="S181" s="109" t="n"/>
      <c r="T181" s="126">
        <f>IF(OR(R181="",S181=""),"",DATE(YEAR(S181),MONTH(S181)+R181,DAY(S181)))</f>
        <v/>
      </c>
      <c r="U181" s="144">
        <f>IF(T181="","",T181-AsOf)</f>
        <v/>
      </c>
      <c r="V181" s="107">
        <f>IF(T181="",IF(P181="","","Enter last-done date"),IF(U181&lt;0,"Overdue",IF(U181&lt;=30,"Due soon","OK")))</f>
        <v/>
      </c>
      <c r="W181" s="79">
        <f>IF(T181="","",IF(U181&lt;0,2,IF(U181&lt;=30,1,0)))</f>
        <v/>
      </c>
      <c r="X181" s="112">
        <f>IF(T181="","",T181)</f>
        <v/>
      </c>
      <c r="Y181" s="79">
        <f>IF(X181="","",IF(X181&lt;=AsOf+AlertDays,2,IF(X181&lt;=AsOf+30,3,"")))</f>
        <v/>
      </c>
      <c r="Z181" s="79">
        <f>IF(Y181="","",IF(U181&lt;0,"Maintenance overdue: ","Maintenance due: ")&amp;P181)</f>
        <v/>
      </c>
    </row>
    <row r="182" ht="20" customHeight="1">
      <c r="B182" s="72" t="n"/>
      <c r="C182" s="72" t="n"/>
      <c r="D182" s="72" t="n"/>
      <c r="E182" s="109" t="n"/>
      <c r="F182" s="74" t="n"/>
      <c r="G182" s="126">
        <f>IF(OR(E182="",F182=""),"",DATE(YEAR(E182),MONTH(E182)+ROUND(F182*12,0),DAY(E182)))</f>
        <v/>
      </c>
      <c r="H182" s="144">
        <f>IF(G182="","",G182-AsOf)</f>
        <v/>
      </c>
      <c r="I182" s="107">
        <f>IF(G182="","",IF(H182&lt;0,"Expired",IF(H182&lt;=90,"Expires soon","Active")))</f>
        <v/>
      </c>
      <c r="J182" s="72" t="n"/>
      <c r="K182" s="79">
        <f>IF(I182="","",IF(I182="Active",0,IF(I182="Expires soon",1,3)))</f>
        <v/>
      </c>
      <c r="L182" s="112">
        <f>IF(G182="","",IF(G182&lt;AsOf,"",G182))</f>
        <v/>
      </c>
      <c r="M182" s="79">
        <f>IF(L182="","",IF(L182&lt;=AsOf+AlertDays,2,IF(L182&lt;=AsOf+90,3,"")))</f>
        <v/>
      </c>
      <c r="N182" s="79">
        <f>IF(M182="","","Warranty expires in "&amp;H182&amp;" days: "&amp;B182&amp;IF(C182="",""," ("&amp;C182&amp;")")&amp;" — check for defects")</f>
        <v/>
      </c>
      <c r="P182" s="72" t="n"/>
      <c r="Q182" s="72" t="n"/>
      <c r="R182" s="89" t="n"/>
      <c r="S182" s="109" t="n"/>
      <c r="T182" s="126">
        <f>IF(OR(R182="",S182=""),"",DATE(YEAR(S182),MONTH(S182)+R182,DAY(S182)))</f>
        <v/>
      </c>
      <c r="U182" s="144">
        <f>IF(T182="","",T182-AsOf)</f>
        <v/>
      </c>
      <c r="V182" s="107">
        <f>IF(T182="",IF(P182="","","Enter last-done date"),IF(U182&lt;0,"Overdue",IF(U182&lt;=30,"Due soon","OK")))</f>
        <v/>
      </c>
      <c r="W182" s="79">
        <f>IF(T182="","",IF(U182&lt;0,2,IF(U182&lt;=30,1,0)))</f>
        <v/>
      </c>
      <c r="X182" s="112">
        <f>IF(T182="","",T182)</f>
        <v/>
      </c>
      <c r="Y182" s="79">
        <f>IF(X182="","",IF(X182&lt;=AsOf+AlertDays,2,IF(X182&lt;=AsOf+30,3,"")))</f>
        <v/>
      </c>
      <c r="Z182" s="79">
        <f>IF(Y182="","",IF(U182&lt;0,"Maintenance overdue: ","Maintenance due: ")&amp;P182)</f>
        <v/>
      </c>
    </row>
    <row r="183" ht="20" customHeight="1">
      <c r="B183" s="72" t="n"/>
      <c r="C183" s="72" t="n"/>
      <c r="D183" s="72" t="n"/>
      <c r="E183" s="109" t="n"/>
      <c r="F183" s="74" t="n"/>
      <c r="G183" s="126">
        <f>IF(OR(E183="",F183=""),"",DATE(YEAR(E183),MONTH(E183)+ROUND(F183*12,0),DAY(E183)))</f>
        <v/>
      </c>
      <c r="H183" s="144">
        <f>IF(G183="","",G183-AsOf)</f>
        <v/>
      </c>
      <c r="I183" s="107">
        <f>IF(G183="","",IF(H183&lt;0,"Expired",IF(H183&lt;=90,"Expires soon","Active")))</f>
        <v/>
      </c>
      <c r="J183" s="72" t="n"/>
      <c r="K183" s="79">
        <f>IF(I183="","",IF(I183="Active",0,IF(I183="Expires soon",1,3)))</f>
        <v/>
      </c>
      <c r="L183" s="112">
        <f>IF(G183="","",IF(G183&lt;AsOf,"",G183))</f>
        <v/>
      </c>
      <c r="M183" s="79">
        <f>IF(L183="","",IF(L183&lt;=AsOf+AlertDays,2,IF(L183&lt;=AsOf+90,3,"")))</f>
        <v/>
      </c>
      <c r="N183" s="79">
        <f>IF(M183="","","Warranty expires in "&amp;H183&amp;" days: "&amp;B183&amp;IF(C183="",""," ("&amp;C183&amp;")")&amp;" — check for defects")</f>
        <v/>
      </c>
      <c r="P183" s="72" t="n"/>
      <c r="Q183" s="72" t="n"/>
      <c r="R183" s="89" t="n"/>
      <c r="S183" s="109" t="n"/>
      <c r="T183" s="126">
        <f>IF(OR(R183="",S183=""),"",DATE(YEAR(S183),MONTH(S183)+R183,DAY(S183)))</f>
        <v/>
      </c>
      <c r="U183" s="144">
        <f>IF(T183="","",T183-AsOf)</f>
        <v/>
      </c>
      <c r="V183" s="107">
        <f>IF(T183="",IF(P183="","","Enter last-done date"),IF(U183&lt;0,"Overdue",IF(U183&lt;=30,"Due soon","OK")))</f>
        <v/>
      </c>
      <c r="W183" s="79">
        <f>IF(T183="","",IF(U183&lt;0,2,IF(U183&lt;=30,1,0)))</f>
        <v/>
      </c>
      <c r="X183" s="112">
        <f>IF(T183="","",T183)</f>
        <v/>
      </c>
      <c r="Y183" s="79">
        <f>IF(X183="","",IF(X183&lt;=AsOf+AlertDays,2,IF(X183&lt;=AsOf+30,3,"")))</f>
        <v/>
      </c>
      <c r="Z183" s="79">
        <f>IF(Y183="","",IF(U183&lt;0,"Maintenance overdue: ","Maintenance due: ")&amp;P183)</f>
        <v/>
      </c>
    </row>
    <row r="184" ht="20" customHeight="1">
      <c r="B184" s="72" t="n"/>
      <c r="C184" s="72" t="n"/>
      <c r="D184" s="72" t="n"/>
      <c r="E184" s="109" t="n"/>
      <c r="F184" s="74" t="n"/>
      <c r="G184" s="126">
        <f>IF(OR(E184="",F184=""),"",DATE(YEAR(E184),MONTH(E184)+ROUND(F184*12,0),DAY(E184)))</f>
        <v/>
      </c>
      <c r="H184" s="144">
        <f>IF(G184="","",G184-AsOf)</f>
        <v/>
      </c>
      <c r="I184" s="107">
        <f>IF(G184="","",IF(H184&lt;0,"Expired",IF(H184&lt;=90,"Expires soon","Active")))</f>
        <v/>
      </c>
      <c r="J184" s="72" t="n"/>
      <c r="K184" s="79">
        <f>IF(I184="","",IF(I184="Active",0,IF(I184="Expires soon",1,3)))</f>
        <v/>
      </c>
      <c r="L184" s="112">
        <f>IF(G184="","",IF(G184&lt;AsOf,"",G184))</f>
        <v/>
      </c>
      <c r="M184" s="79">
        <f>IF(L184="","",IF(L184&lt;=AsOf+AlertDays,2,IF(L184&lt;=AsOf+90,3,"")))</f>
        <v/>
      </c>
      <c r="N184" s="79">
        <f>IF(M184="","","Warranty expires in "&amp;H184&amp;" days: "&amp;B184&amp;IF(C184="",""," ("&amp;C184&amp;")")&amp;" — check for defects")</f>
        <v/>
      </c>
      <c r="P184" s="72" t="n"/>
      <c r="Q184" s="72" t="n"/>
      <c r="R184" s="89" t="n"/>
      <c r="S184" s="109" t="n"/>
      <c r="T184" s="126">
        <f>IF(OR(R184="",S184=""),"",DATE(YEAR(S184),MONTH(S184)+R184,DAY(S184)))</f>
        <v/>
      </c>
      <c r="U184" s="144">
        <f>IF(T184="","",T184-AsOf)</f>
        <v/>
      </c>
      <c r="V184" s="107">
        <f>IF(T184="",IF(P184="","","Enter last-done date"),IF(U184&lt;0,"Overdue",IF(U184&lt;=30,"Due soon","OK")))</f>
        <v/>
      </c>
      <c r="W184" s="79">
        <f>IF(T184="","",IF(U184&lt;0,2,IF(U184&lt;=30,1,0)))</f>
        <v/>
      </c>
      <c r="X184" s="112">
        <f>IF(T184="","",T184)</f>
        <v/>
      </c>
      <c r="Y184" s="79">
        <f>IF(X184="","",IF(X184&lt;=AsOf+AlertDays,2,IF(X184&lt;=AsOf+30,3,"")))</f>
        <v/>
      </c>
      <c r="Z184" s="79">
        <f>IF(Y184="","",IF(U184&lt;0,"Maintenance overdue: ","Maintenance due: ")&amp;P184)</f>
        <v/>
      </c>
    </row>
    <row r="185" ht="20" customHeight="1">
      <c r="B185" s="72" t="n"/>
      <c r="C185" s="72" t="n"/>
      <c r="D185" s="72" t="n"/>
      <c r="E185" s="109" t="n"/>
      <c r="F185" s="74" t="n"/>
      <c r="G185" s="126">
        <f>IF(OR(E185="",F185=""),"",DATE(YEAR(E185),MONTH(E185)+ROUND(F185*12,0),DAY(E185)))</f>
        <v/>
      </c>
      <c r="H185" s="144">
        <f>IF(G185="","",G185-AsOf)</f>
        <v/>
      </c>
      <c r="I185" s="107">
        <f>IF(G185="","",IF(H185&lt;0,"Expired",IF(H185&lt;=90,"Expires soon","Active")))</f>
        <v/>
      </c>
      <c r="J185" s="72" t="n"/>
      <c r="K185" s="79">
        <f>IF(I185="","",IF(I185="Active",0,IF(I185="Expires soon",1,3)))</f>
        <v/>
      </c>
      <c r="L185" s="112">
        <f>IF(G185="","",IF(G185&lt;AsOf,"",G185))</f>
        <v/>
      </c>
      <c r="M185" s="79">
        <f>IF(L185="","",IF(L185&lt;=AsOf+AlertDays,2,IF(L185&lt;=AsOf+90,3,"")))</f>
        <v/>
      </c>
      <c r="N185" s="79">
        <f>IF(M185="","","Warranty expires in "&amp;H185&amp;" days: "&amp;B185&amp;IF(C185="",""," ("&amp;C185&amp;")")&amp;" — check for defects")</f>
        <v/>
      </c>
      <c r="P185" s="72" t="n"/>
      <c r="Q185" s="72" t="n"/>
      <c r="R185" s="89" t="n"/>
      <c r="S185" s="109" t="n"/>
      <c r="T185" s="126">
        <f>IF(OR(R185="",S185=""),"",DATE(YEAR(S185),MONTH(S185)+R185,DAY(S185)))</f>
        <v/>
      </c>
      <c r="U185" s="144">
        <f>IF(T185="","",T185-AsOf)</f>
        <v/>
      </c>
      <c r="V185" s="107">
        <f>IF(T185="",IF(P185="","","Enter last-done date"),IF(U185&lt;0,"Overdue",IF(U185&lt;=30,"Due soon","OK")))</f>
        <v/>
      </c>
      <c r="W185" s="79">
        <f>IF(T185="","",IF(U185&lt;0,2,IF(U185&lt;=30,1,0)))</f>
        <v/>
      </c>
      <c r="X185" s="112">
        <f>IF(T185="","",T185)</f>
        <v/>
      </c>
      <c r="Y185" s="79">
        <f>IF(X185="","",IF(X185&lt;=AsOf+AlertDays,2,IF(X185&lt;=AsOf+30,3,"")))</f>
        <v/>
      </c>
      <c r="Z185" s="79">
        <f>IF(Y185="","",IF(U185&lt;0,"Maintenance overdue: ","Maintenance due: ")&amp;P185)</f>
        <v/>
      </c>
    </row>
    <row r="186" ht="20" customHeight="1">
      <c r="B186" s="72" t="n"/>
      <c r="C186" s="72" t="n"/>
      <c r="D186" s="72" t="n"/>
      <c r="E186" s="109" t="n"/>
      <c r="F186" s="74" t="n"/>
      <c r="G186" s="126">
        <f>IF(OR(E186="",F186=""),"",DATE(YEAR(E186),MONTH(E186)+ROUND(F186*12,0),DAY(E186)))</f>
        <v/>
      </c>
      <c r="H186" s="144">
        <f>IF(G186="","",G186-AsOf)</f>
        <v/>
      </c>
      <c r="I186" s="107">
        <f>IF(G186="","",IF(H186&lt;0,"Expired",IF(H186&lt;=90,"Expires soon","Active")))</f>
        <v/>
      </c>
      <c r="J186" s="72" t="n"/>
      <c r="K186" s="79">
        <f>IF(I186="","",IF(I186="Active",0,IF(I186="Expires soon",1,3)))</f>
        <v/>
      </c>
      <c r="L186" s="112">
        <f>IF(G186="","",IF(G186&lt;AsOf,"",G186))</f>
        <v/>
      </c>
      <c r="M186" s="79">
        <f>IF(L186="","",IF(L186&lt;=AsOf+AlertDays,2,IF(L186&lt;=AsOf+90,3,"")))</f>
        <v/>
      </c>
      <c r="N186" s="79">
        <f>IF(M186="","","Warranty expires in "&amp;H186&amp;" days: "&amp;B186&amp;IF(C186="",""," ("&amp;C186&amp;")")&amp;" — check for defects")</f>
        <v/>
      </c>
      <c r="P186" s="72" t="n"/>
      <c r="Q186" s="72" t="n"/>
      <c r="R186" s="89" t="n"/>
      <c r="S186" s="109" t="n"/>
      <c r="T186" s="126">
        <f>IF(OR(R186="",S186=""),"",DATE(YEAR(S186),MONTH(S186)+R186,DAY(S186)))</f>
        <v/>
      </c>
      <c r="U186" s="144">
        <f>IF(T186="","",T186-AsOf)</f>
        <v/>
      </c>
      <c r="V186" s="107">
        <f>IF(T186="",IF(P186="","","Enter last-done date"),IF(U186&lt;0,"Overdue",IF(U186&lt;=30,"Due soon","OK")))</f>
        <v/>
      </c>
      <c r="W186" s="79">
        <f>IF(T186="","",IF(U186&lt;0,2,IF(U186&lt;=30,1,0)))</f>
        <v/>
      </c>
      <c r="X186" s="112">
        <f>IF(T186="","",T186)</f>
        <v/>
      </c>
      <c r="Y186" s="79">
        <f>IF(X186="","",IF(X186&lt;=AsOf+AlertDays,2,IF(X186&lt;=AsOf+30,3,"")))</f>
        <v/>
      </c>
      <c r="Z186" s="79">
        <f>IF(Y186="","",IF(U186&lt;0,"Maintenance overdue: ","Maintenance due: ")&amp;P186)</f>
        <v/>
      </c>
    </row>
    <row r="187" ht="20" customHeight="1">
      <c r="B187" s="72" t="n"/>
      <c r="C187" s="72" t="n"/>
      <c r="D187" s="72" t="n"/>
      <c r="E187" s="109" t="n"/>
      <c r="F187" s="74" t="n"/>
      <c r="G187" s="126">
        <f>IF(OR(E187="",F187=""),"",DATE(YEAR(E187),MONTH(E187)+ROUND(F187*12,0),DAY(E187)))</f>
        <v/>
      </c>
      <c r="H187" s="144">
        <f>IF(G187="","",G187-AsOf)</f>
        <v/>
      </c>
      <c r="I187" s="107">
        <f>IF(G187="","",IF(H187&lt;0,"Expired",IF(H187&lt;=90,"Expires soon","Active")))</f>
        <v/>
      </c>
      <c r="J187" s="72" t="n"/>
      <c r="K187" s="79">
        <f>IF(I187="","",IF(I187="Active",0,IF(I187="Expires soon",1,3)))</f>
        <v/>
      </c>
      <c r="L187" s="112">
        <f>IF(G187="","",IF(G187&lt;AsOf,"",G187))</f>
        <v/>
      </c>
      <c r="M187" s="79">
        <f>IF(L187="","",IF(L187&lt;=AsOf+AlertDays,2,IF(L187&lt;=AsOf+90,3,"")))</f>
        <v/>
      </c>
      <c r="N187" s="79">
        <f>IF(M187="","","Warranty expires in "&amp;H187&amp;" days: "&amp;B187&amp;IF(C187="",""," ("&amp;C187&amp;")")&amp;" — check for defects")</f>
        <v/>
      </c>
      <c r="P187" s="72" t="n"/>
      <c r="Q187" s="72" t="n"/>
      <c r="R187" s="89" t="n"/>
      <c r="S187" s="109" t="n"/>
      <c r="T187" s="126">
        <f>IF(OR(R187="",S187=""),"",DATE(YEAR(S187),MONTH(S187)+R187,DAY(S187)))</f>
        <v/>
      </c>
      <c r="U187" s="144">
        <f>IF(T187="","",T187-AsOf)</f>
        <v/>
      </c>
      <c r="V187" s="107">
        <f>IF(T187="",IF(P187="","","Enter last-done date"),IF(U187&lt;0,"Overdue",IF(U187&lt;=30,"Due soon","OK")))</f>
        <v/>
      </c>
      <c r="W187" s="79">
        <f>IF(T187="","",IF(U187&lt;0,2,IF(U187&lt;=30,1,0)))</f>
        <v/>
      </c>
      <c r="X187" s="112">
        <f>IF(T187="","",T187)</f>
        <v/>
      </c>
      <c r="Y187" s="79">
        <f>IF(X187="","",IF(X187&lt;=AsOf+AlertDays,2,IF(X187&lt;=AsOf+30,3,"")))</f>
        <v/>
      </c>
      <c r="Z187" s="79">
        <f>IF(Y187="","",IF(U187&lt;0,"Maintenance overdue: ","Maintenance due: ")&amp;P187)</f>
        <v/>
      </c>
    </row>
    <row r="188" ht="20" customHeight="1">
      <c r="B188" s="72" t="n"/>
      <c r="C188" s="72" t="n"/>
      <c r="D188" s="72" t="n"/>
      <c r="E188" s="109" t="n"/>
      <c r="F188" s="74" t="n"/>
      <c r="G188" s="126">
        <f>IF(OR(E188="",F188=""),"",DATE(YEAR(E188),MONTH(E188)+ROUND(F188*12,0),DAY(E188)))</f>
        <v/>
      </c>
      <c r="H188" s="144">
        <f>IF(G188="","",G188-AsOf)</f>
        <v/>
      </c>
      <c r="I188" s="107">
        <f>IF(G188="","",IF(H188&lt;0,"Expired",IF(H188&lt;=90,"Expires soon","Active")))</f>
        <v/>
      </c>
      <c r="J188" s="72" t="n"/>
      <c r="K188" s="79">
        <f>IF(I188="","",IF(I188="Active",0,IF(I188="Expires soon",1,3)))</f>
        <v/>
      </c>
      <c r="L188" s="112">
        <f>IF(G188="","",IF(G188&lt;AsOf,"",G188))</f>
        <v/>
      </c>
      <c r="M188" s="79">
        <f>IF(L188="","",IF(L188&lt;=AsOf+AlertDays,2,IF(L188&lt;=AsOf+90,3,"")))</f>
        <v/>
      </c>
      <c r="N188" s="79">
        <f>IF(M188="","","Warranty expires in "&amp;H188&amp;" days: "&amp;B188&amp;IF(C188="",""," ("&amp;C188&amp;")")&amp;" — check for defects")</f>
        <v/>
      </c>
      <c r="P188" s="72" t="n"/>
      <c r="Q188" s="72" t="n"/>
      <c r="R188" s="89" t="n"/>
      <c r="S188" s="109" t="n"/>
      <c r="T188" s="126">
        <f>IF(OR(R188="",S188=""),"",DATE(YEAR(S188),MONTH(S188)+R188,DAY(S188)))</f>
        <v/>
      </c>
      <c r="U188" s="144">
        <f>IF(T188="","",T188-AsOf)</f>
        <v/>
      </c>
      <c r="V188" s="107">
        <f>IF(T188="",IF(P188="","","Enter last-done date"),IF(U188&lt;0,"Overdue",IF(U188&lt;=30,"Due soon","OK")))</f>
        <v/>
      </c>
      <c r="W188" s="79">
        <f>IF(T188="","",IF(U188&lt;0,2,IF(U188&lt;=30,1,0)))</f>
        <v/>
      </c>
      <c r="X188" s="112">
        <f>IF(T188="","",T188)</f>
        <v/>
      </c>
      <c r="Y188" s="79">
        <f>IF(X188="","",IF(X188&lt;=AsOf+AlertDays,2,IF(X188&lt;=AsOf+30,3,"")))</f>
        <v/>
      </c>
      <c r="Z188" s="79">
        <f>IF(Y188="","",IF(U188&lt;0,"Maintenance overdue: ","Maintenance due: ")&amp;P188)</f>
        <v/>
      </c>
    </row>
    <row r="189" ht="20" customHeight="1">
      <c r="B189" s="72" t="n"/>
      <c r="C189" s="72" t="n"/>
      <c r="D189" s="72" t="n"/>
      <c r="E189" s="109" t="n"/>
      <c r="F189" s="74" t="n"/>
      <c r="G189" s="126">
        <f>IF(OR(E189="",F189=""),"",DATE(YEAR(E189),MONTH(E189)+ROUND(F189*12,0),DAY(E189)))</f>
        <v/>
      </c>
      <c r="H189" s="144">
        <f>IF(G189="","",G189-AsOf)</f>
        <v/>
      </c>
      <c r="I189" s="107">
        <f>IF(G189="","",IF(H189&lt;0,"Expired",IF(H189&lt;=90,"Expires soon","Active")))</f>
        <v/>
      </c>
      <c r="J189" s="72" t="n"/>
      <c r="K189" s="79">
        <f>IF(I189="","",IF(I189="Active",0,IF(I189="Expires soon",1,3)))</f>
        <v/>
      </c>
      <c r="L189" s="112">
        <f>IF(G189="","",IF(G189&lt;AsOf,"",G189))</f>
        <v/>
      </c>
      <c r="M189" s="79">
        <f>IF(L189="","",IF(L189&lt;=AsOf+AlertDays,2,IF(L189&lt;=AsOf+90,3,"")))</f>
        <v/>
      </c>
      <c r="N189" s="79">
        <f>IF(M189="","","Warranty expires in "&amp;H189&amp;" days: "&amp;B189&amp;IF(C189="",""," ("&amp;C189&amp;")")&amp;" — check for defects")</f>
        <v/>
      </c>
      <c r="P189" s="72" t="n"/>
      <c r="Q189" s="72" t="n"/>
      <c r="R189" s="89" t="n"/>
      <c r="S189" s="109" t="n"/>
      <c r="T189" s="126">
        <f>IF(OR(R189="",S189=""),"",DATE(YEAR(S189),MONTH(S189)+R189,DAY(S189)))</f>
        <v/>
      </c>
      <c r="U189" s="144">
        <f>IF(T189="","",T189-AsOf)</f>
        <v/>
      </c>
      <c r="V189" s="107">
        <f>IF(T189="",IF(P189="","","Enter last-done date"),IF(U189&lt;0,"Overdue",IF(U189&lt;=30,"Due soon","OK")))</f>
        <v/>
      </c>
      <c r="W189" s="79">
        <f>IF(T189="","",IF(U189&lt;0,2,IF(U189&lt;=30,1,0)))</f>
        <v/>
      </c>
      <c r="X189" s="112">
        <f>IF(T189="","",T189)</f>
        <v/>
      </c>
      <c r="Y189" s="79">
        <f>IF(X189="","",IF(X189&lt;=AsOf+AlertDays,2,IF(X189&lt;=AsOf+30,3,"")))</f>
        <v/>
      </c>
      <c r="Z189" s="79">
        <f>IF(Y189="","",IF(U189&lt;0,"Maintenance overdue: ","Maintenance due: ")&amp;P189)</f>
        <v/>
      </c>
    </row>
    <row r="190" ht="20" customHeight="1">
      <c r="B190" s="72" t="n"/>
      <c r="C190" s="72" t="n"/>
      <c r="D190" s="72" t="n"/>
      <c r="E190" s="109" t="n"/>
      <c r="F190" s="74" t="n"/>
      <c r="G190" s="126">
        <f>IF(OR(E190="",F190=""),"",DATE(YEAR(E190),MONTH(E190)+ROUND(F190*12,0),DAY(E190)))</f>
        <v/>
      </c>
      <c r="H190" s="144">
        <f>IF(G190="","",G190-AsOf)</f>
        <v/>
      </c>
      <c r="I190" s="107">
        <f>IF(G190="","",IF(H190&lt;0,"Expired",IF(H190&lt;=90,"Expires soon","Active")))</f>
        <v/>
      </c>
      <c r="J190" s="72" t="n"/>
      <c r="K190" s="79">
        <f>IF(I190="","",IF(I190="Active",0,IF(I190="Expires soon",1,3)))</f>
        <v/>
      </c>
      <c r="L190" s="112">
        <f>IF(G190="","",IF(G190&lt;AsOf,"",G190))</f>
        <v/>
      </c>
      <c r="M190" s="79">
        <f>IF(L190="","",IF(L190&lt;=AsOf+AlertDays,2,IF(L190&lt;=AsOf+90,3,"")))</f>
        <v/>
      </c>
      <c r="N190" s="79">
        <f>IF(M190="","","Warranty expires in "&amp;H190&amp;" days: "&amp;B190&amp;IF(C190="",""," ("&amp;C190&amp;")")&amp;" — check for defects")</f>
        <v/>
      </c>
      <c r="P190" s="72" t="n"/>
      <c r="Q190" s="72" t="n"/>
      <c r="R190" s="89" t="n"/>
      <c r="S190" s="109" t="n"/>
      <c r="T190" s="126">
        <f>IF(OR(R190="",S190=""),"",DATE(YEAR(S190),MONTH(S190)+R190,DAY(S190)))</f>
        <v/>
      </c>
      <c r="U190" s="144">
        <f>IF(T190="","",T190-AsOf)</f>
        <v/>
      </c>
      <c r="V190" s="107">
        <f>IF(T190="",IF(P190="","","Enter last-done date"),IF(U190&lt;0,"Overdue",IF(U190&lt;=30,"Due soon","OK")))</f>
        <v/>
      </c>
      <c r="W190" s="79">
        <f>IF(T190="","",IF(U190&lt;0,2,IF(U190&lt;=30,1,0)))</f>
        <v/>
      </c>
      <c r="X190" s="112">
        <f>IF(T190="","",T190)</f>
        <v/>
      </c>
      <c r="Y190" s="79">
        <f>IF(X190="","",IF(X190&lt;=AsOf+AlertDays,2,IF(X190&lt;=AsOf+30,3,"")))</f>
        <v/>
      </c>
      <c r="Z190" s="79">
        <f>IF(Y190="","",IF(U190&lt;0,"Maintenance overdue: ","Maintenance due: ")&amp;P190)</f>
        <v/>
      </c>
    </row>
    <row r="191" ht="20" customHeight="1">
      <c r="B191" s="72" t="n"/>
      <c r="C191" s="72" t="n"/>
      <c r="D191" s="72" t="n"/>
      <c r="E191" s="109" t="n"/>
      <c r="F191" s="74" t="n"/>
      <c r="G191" s="126">
        <f>IF(OR(E191="",F191=""),"",DATE(YEAR(E191),MONTH(E191)+ROUND(F191*12,0),DAY(E191)))</f>
        <v/>
      </c>
      <c r="H191" s="144">
        <f>IF(G191="","",G191-AsOf)</f>
        <v/>
      </c>
      <c r="I191" s="107">
        <f>IF(G191="","",IF(H191&lt;0,"Expired",IF(H191&lt;=90,"Expires soon","Active")))</f>
        <v/>
      </c>
      <c r="J191" s="72" t="n"/>
      <c r="K191" s="79">
        <f>IF(I191="","",IF(I191="Active",0,IF(I191="Expires soon",1,3)))</f>
        <v/>
      </c>
      <c r="L191" s="112">
        <f>IF(G191="","",IF(G191&lt;AsOf,"",G191))</f>
        <v/>
      </c>
      <c r="M191" s="79">
        <f>IF(L191="","",IF(L191&lt;=AsOf+AlertDays,2,IF(L191&lt;=AsOf+90,3,"")))</f>
        <v/>
      </c>
      <c r="N191" s="79">
        <f>IF(M191="","","Warranty expires in "&amp;H191&amp;" days: "&amp;B191&amp;IF(C191="",""," ("&amp;C191&amp;")")&amp;" — check for defects")</f>
        <v/>
      </c>
      <c r="P191" s="72" t="n"/>
      <c r="Q191" s="72" t="n"/>
      <c r="R191" s="89" t="n"/>
      <c r="S191" s="109" t="n"/>
      <c r="T191" s="126">
        <f>IF(OR(R191="",S191=""),"",DATE(YEAR(S191),MONTH(S191)+R191,DAY(S191)))</f>
        <v/>
      </c>
      <c r="U191" s="144">
        <f>IF(T191="","",T191-AsOf)</f>
        <v/>
      </c>
      <c r="V191" s="107">
        <f>IF(T191="",IF(P191="","","Enter last-done date"),IF(U191&lt;0,"Overdue",IF(U191&lt;=30,"Due soon","OK")))</f>
        <v/>
      </c>
      <c r="W191" s="79">
        <f>IF(T191="","",IF(U191&lt;0,2,IF(U191&lt;=30,1,0)))</f>
        <v/>
      </c>
      <c r="X191" s="112">
        <f>IF(T191="","",T191)</f>
        <v/>
      </c>
      <c r="Y191" s="79">
        <f>IF(X191="","",IF(X191&lt;=AsOf+AlertDays,2,IF(X191&lt;=AsOf+30,3,"")))</f>
        <v/>
      </c>
      <c r="Z191" s="79">
        <f>IF(Y191="","",IF(U191&lt;0,"Maintenance overdue: ","Maintenance due: ")&amp;P191)</f>
        <v/>
      </c>
    </row>
    <row r="192" ht="20" customHeight="1">
      <c r="B192" s="72" t="n"/>
      <c r="C192" s="72" t="n"/>
      <c r="D192" s="72" t="n"/>
      <c r="E192" s="109" t="n"/>
      <c r="F192" s="74" t="n"/>
      <c r="G192" s="126">
        <f>IF(OR(E192="",F192=""),"",DATE(YEAR(E192),MONTH(E192)+ROUND(F192*12,0),DAY(E192)))</f>
        <v/>
      </c>
      <c r="H192" s="144">
        <f>IF(G192="","",G192-AsOf)</f>
        <v/>
      </c>
      <c r="I192" s="107">
        <f>IF(G192="","",IF(H192&lt;0,"Expired",IF(H192&lt;=90,"Expires soon","Active")))</f>
        <v/>
      </c>
      <c r="J192" s="72" t="n"/>
      <c r="K192" s="79">
        <f>IF(I192="","",IF(I192="Active",0,IF(I192="Expires soon",1,3)))</f>
        <v/>
      </c>
      <c r="L192" s="112">
        <f>IF(G192="","",IF(G192&lt;AsOf,"",G192))</f>
        <v/>
      </c>
      <c r="M192" s="79">
        <f>IF(L192="","",IF(L192&lt;=AsOf+AlertDays,2,IF(L192&lt;=AsOf+90,3,"")))</f>
        <v/>
      </c>
      <c r="N192" s="79">
        <f>IF(M192="","","Warranty expires in "&amp;H192&amp;" days: "&amp;B192&amp;IF(C192="",""," ("&amp;C192&amp;")")&amp;" — check for defects")</f>
        <v/>
      </c>
      <c r="P192" s="72" t="n"/>
      <c r="Q192" s="72" t="n"/>
      <c r="R192" s="89" t="n"/>
      <c r="S192" s="109" t="n"/>
      <c r="T192" s="126">
        <f>IF(OR(R192="",S192=""),"",DATE(YEAR(S192),MONTH(S192)+R192,DAY(S192)))</f>
        <v/>
      </c>
      <c r="U192" s="144">
        <f>IF(T192="","",T192-AsOf)</f>
        <v/>
      </c>
      <c r="V192" s="107">
        <f>IF(T192="",IF(P192="","","Enter last-done date"),IF(U192&lt;0,"Overdue",IF(U192&lt;=30,"Due soon","OK")))</f>
        <v/>
      </c>
      <c r="W192" s="79">
        <f>IF(T192="","",IF(U192&lt;0,2,IF(U192&lt;=30,1,0)))</f>
        <v/>
      </c>
      <c r="X192" s="112">
        <f>IF(T192="","",T192)</f>
        <v/>
      </c>
      <c r="Y192" s="79">
        <f>IF(X192="","",IF(X192&lt;=AsOf+AlertDays,2,IF(X192&lt;=AsOf+30,3,"")))</f>
        <v/>
      </c>
      <c r="Z192" s="79">
        <f>IF(Y192="","",IF(U192&lt;0,"Maintenance overdue: ","Maintenance due: ")&amp;P192)</f>
        <v/>
      </c>
    </row>
    <row r="193" ht="20" customHeight="1">
      <c r="B193" s="72" t="n"/>
      <c r="C193" s="72" t="n"/>
      <c r="D193" s="72" t="n"/>
      <c r="E193" s="109" t="n"/>
      <c r="F193" s="74" t="n"/>
      <c r="G193" s="126">
        <f>IF(OR(E193="",F193=""),"",DATE(YEAR(E193),MONTH(E193)+ROUND(F193*12,0),DAY(E193)))</f>
        <v/>
      </c>
      <c r="H193" s="144">
        <f>IF(G193="","",G193-AsOf)</f>
        <v/>
      </c>
      <c r="I193" s="107">
        <f>IF(G193="","",IF(H193&lt;0,"Expired",IF(H193&lt;=90,"Expires soon","Active")))</f>
        <v/>
      </c>
      <c r="J193" s="72" t="n"/>
      <c r="K193" s="79">
        <f>IF(I193="","",IF(I193="Active",0,IF(I193="Expires soon",1,3)))</f>
        <v/>
      </c>
      <c r="L193" s="112">
        <f>IF(G193="","",IF(G193&lt;AsOf,"",G193))</f>
        <v/>
      </c>
      <c r="M193" s="79">
        <f>IF(L193="","",IF(L193&lt;=AsOf+AlertDays,2,IF(L193&lt;=AsOf+90,3,"")))</f>
        <v/>
      </c>
      <c r="N193" s="79">
        <f>IF(M193="","","Warranty expires in "&amp;H193&amp;" days: "&amp;B193&amp;IF(C193="",""," ("&amp;C193&amp;")")&amp;" — check for defects")</f>
        <v/>
      </c>
      <c r="P193" s="72" t="n"/>
      <c r="Q193" s="72" t="n"/>
      <c r="R193" s="89" t="n"/>
      <c r="S193" s="109" t="n"/>
      <c r="T193" s="126">
        <f>IF(OR(R193="",S193=""),"",DATE(YEAR(S193),MONTH(S193)+R193,DAY(S193)))</f>
        <v/>
      </c>
      <c r="U193" s="144">
        <f>IF(T193="","",T193-AsOf)</f>
        <v/>
      </c>
      <c r="V193" s="107">
        <f>IF(T193="",IF(P193="","","Enter last-done date"),IF(U193&lt;0,"Overdue",IF(U193&lt;=30,"Due soon","OK")))</f>
        <v/>
      </c>
      <c r="W193" s="79">
        <f>IF(T193="","",IF(U193&lt;0,2,IF(U193&lt;=30,1,0)))</f>
        <v/>
      </c>
      <c r="X193" s="112">
        <f>IF(T193="","",T193)</f>
        <v/>
      </c>
      <c r="Y193" s="79">
        <f>IF(X193="","",IF(X193&lt;=AsOf+AlertDays,2,IF(X193&lt;=AsOf+30,3,"")))</f>
        <v/>
      </c>
      <c r="Z193" s="79">
        <f>IF(Y193="","",IF(U193&lt;0,"Maintenance overdue: ","Maintenance due: ")&amp;P193)</f>
        <v/>
      </c>
    </row>
    <row r="194" ht="20" customHeight="1">
      <c r="B194" s="72" t="n"/>
      <c r="C194" s="72" t="n"/>
      <c r="D194" s="72" t="n"/>
      <c r="E194" s="109" t="n"/>
      <c r="F194" s="74" t="n"/>
      <c r="G194" s="126">
        <f>IF(OR(E194="",F194=""),"",DATE(YEAR(E194),MONTH(E194)+ROUND(F194*12,0),DAY(E194)))</f>
        <v/>
      </c>
      <c r="H194" s="144">
        <f>IF(G194="","",G194-AsOf)</f>
        <v/>
      </c>
      <c r="I194" s="107">
        <f>IF(G194="","",IF(H194&lt;0,"Expired",IF(H194&lt;=90,"Expires soon","Active")))</f>
        <v/>
      </c>
      <c r="J194" s="72" t="n"/>
      <c r="K194" s="79">
        <f>IF(I194="","",IF(I194="Active",0,IF(I194="Expires soon",1,3)))</f>
        <v/>
      </c>
      <c r="L194" s="112">
        <f>IF(G194="","",IF(G194&lt;AsOf,"",G194))</f>
        <v/>
      </c>
      <c r="M194" s="79">
        <f>IF(L194="","",IF(L194&lt;=AsOf+AlertDays,2,IF(L194&lt;=AsOf+90,3,"")))</f>
        <v/>
      </c>
      <c r="N194" s="79">
        <f>IF(M194="","","Warranty expires in "&amp;H194&amp;" days: "&amp;B194&amp;IF(C194="",""," ("&amp;C194&amp;")")&amp;" — check for defects")</f>
        <v/>
      </c>
      <c r="P194" s="72" t="n"/>
      <c r="Q194" s="72" t="n"/>
      <c r="R194" s="89" t="n"/>
      <c r="S194" s="109" t="n"/>
      <c r="T194" s="126">
        <f>IF(OR(R194="",S194=""),"",DATE(YEAR(S194),MONTH(S194)+R194,DAY(S194)))</f>
        <v/>
      </c>
      <c r="U194" s="144">
        <f>IF(T194="","",T194-AsOf)</f>
        <v/>
      </c>
      <c r="V194" s="107">
        <f>IF(T194="",IF(P194="","","Enter last-done date"),IF(U194&lt;0,"Overdue",IF(U194&lt;=30,"Due soon","OK")))</f>
        <v/>
      </c>
      <c r="W194" s="79">
        <f>IF(T194="","",IF(U194&lt;0,2,IF(U194&lt;=30,1,0)))</f>
        <v/>
      </c>
      <c r="X194" s="112">
        <f>IF(T194="","",T194)</f>
        <v/>
      </c>
      <c r="Y194" s="79">
        <f>IF(X194="","",IF(X194&lt;=AsOf+AlertDays,2,IF(X194&lt;=AsOf+30,3,"")))</f>
        <v/>
      </c>
      <c r="Z194" s="79">
        <f>IF(Y194="","",IF(U194&lt;0,"Maintenance overdue: ","Maintenance due: ")&amp;P194)</f>
        <v/>
      </c>
    </row>
    <row r="195" ht="20" customHeight="1">
      <c r="B195" s="72" t="n"/>
      <c r="C195" s="72" t="n"/>
      <c r="D195" s="72" t="n"/>
      <c r="E195" s="109" t="n"/>
      <c r="F195" s="74" t="n"/>
      <c r="G195" s="126">
        <f>IF(OR(E195="",F195=""),"",DATE(YEAR(E195),MONTH(E195)+ROUND(F195*12,0),DAY(E195)))</f>
        <v/>
      </c>
      <c r="H195" s="144">
        <f>IF(G195="","",G195-AsOf)</f>
        <v/>
      </c>
      <c r="I195" s="107">
        <f>IF(G195="","",IF(H195&lt;0,"Expired",IF(H195&lt;=90,"Expires soon","Active")))</f>
        <v/>
      </c>
      <c r="J195" s="72" t="n"/>
      <c r="K195" s="79">
        <f>IF(I195="","",IF(I195="Active",0,IF(I195="Expires soon",1,3)))</f>
        <v/>
      </c>
      <c r="L195" s="112">
        <f>IF(G195="","",IF(G195&lt;AsOf,"",G195))</f>
        <v/>
      </c>
      <c r="M195" s="79">
        <f>IF(L195="","",IF(L195&lt;=AsOf+AlertDays,2,IF(L195&lt;=AsOf+90,3,"")))</f>
        <v/>
      </c>
      <c r="N195" s="79">
        <f>IF(M195="","","Warranty expires in "&amp;H195&amp;" days: "&amp;B195&amp;IF(C195="",""," ("&amp;C195&amp;")")&amp;" — check for defects")</f>
        <v/>
      </c>
      <c r="P195" s="72" t="n"/>
      <c r="Q195" s="72" t="n"/>
      <c r="R195" s="89" t="n"/>
      <c r="S195" s="109" t="n"/>
      <c r="T195" s="126">
        <f>IF(OR(R195="",S195=""),"",DATE(YEAR(S195),MONTH(S195)+R195,DAY(S195)))</f>
        <v/>
      </c>
      <c r="U195" s="144">
        <f>IF(T195="","",T195-AsOf)</f>
        <v/>
      </c>
      <c r="V195" s="107">
        <f>IF(T195="",IF(P195="","","Enter last-done date"),IF(U195&lt;0,"Overdue",IF(U195&lt;=30,"Due soon","OK")))</f>
        <v/>
      </c>
      <c r="W195" s="79">
        <f>IF(T195="","",IF(U195&lt;0,2,IF(U195&lt;=30,1,0)))</f>
        <v/>
      </c>
      <c r="X195" s="112">
        <f>IF(T195="","",T195)</f>
        <v/>
      </c>
      <c r="Y195" s="79">
        <f>IF(X195="","",IF(X195&lt;=AsOf+AlertDays,2,IF(X195&lt;=AsOf+30,3,"")))</f>
        <v/>
      </c>
      <c r="Z195" s="79">
        <f>IF(Y195="","",IF(U195&lt;0,"Maintenance overdue: ","Maintenance due: ")&amp;P195)</f>
        <v/>
      </c>
    </row>
    <row r="196" ht="20" customHeight="1">
      <c r="B196" s="72" t="n"/>
      <c r="C196" s="72" t="n"/>
      <c r="D196" s="72" t="n"/>
      <c r="E196" s="109" t="n"/>
      <c r="F196" s="74" t="n"/>
      <c r="G196" s="126">
        <f>IF(OR(E196="",F196=""),"",DATE(YEAR(E196),MONTH(E196)+ROUND(F196*12,0),DAY(E196)))</f>
        <v/>
      </c>
      <c r="H196" s="144">
        <f>IF(G196="","",G196-AsOf)</f>
        <v/>
      </c>
      <c r="I196" s="107">
        <f>IF(G196="","",IF(H196&lt;0,"Expired",IF(H196&lt;=90,"Expires soon","Active")))</f>
        <v/>
      </c>
      <c r="J196" s="72" t="n"/>
      <c r="K196" s="79">
        <f>IF(I196="","",IF(I196="Active",0,IF(I196="Expires soon",1,3)))</f>
        <v/>
      </c>
      <c r="L196" s="112">
        <f>IF(G196="","",IF(G196&lt;AsOf,"",G196))</f>
        <v/>
      </c>
      <c r="M196" s="79">
        <f>IF(L196="","",IF(L196&lt;=AsOf+AlertDays,2,IF(L196&lt;=AsOf+90,3,"")))</f>
        <v/>
      </c>
      <c r="N196" s="79">
        <f>IF(M196="","","Warranty expires in "&amp;H196&amp;" days: "&amp;B196&amp;IF(C196="",""," ("&amp;C196&amp;")")&amp;" — check for defects")</f>
        <v/>
      </c>
      <c r="P196" s="72" t="n"/>
      <c r="Q196" s="72" t="n"/>
      <c r="R196" s="89" t="n"/>
      <c r="S196" s="109" t="n"/>
      <c r="T196" s="126">
        <f>IF(OR(R196="",S196=""),"",DATE(YEAR(S196),MONTH(S196)+R196,DAY(S196)))</f>
        <v/>
      </c>
      <c r="U196" s="144">
        <f>IF(T196="","",T196-AsOf)</f>
        <v/>
      </c>
      <c r="V196" s="107">
        <f>IF(T196="",IF(P196="","","Enter last-done date"),IF(U196&lt;0,"Overdue",IF(U196&lt;=30,"Due soon","OK")))</f>
        <v/>
      </c>
      <c r="W196" s="79">
        <f>IF(T196="","",IF(U196&lt;0,2,IF(U196&lt;=30,1,0)))</f>
        <v/>
      </c>
      <c r="X196" s="112">
        <f>IF(T196="","",T196)</f>
        <v/>
      </c>
      <c r="Y196" s="79">
        <f>IF(X196="","",IF(X196&lt;=AsOf+AlertDays,2,IF(X196&lt;=AsOf+30,3,"")))</f>
        <v/>
      </c>
      <c r="Z196" s="79">
        <f>IF(Y196="","",IF(U196&lt;0,"Maintenance overdue: ","Maintenance due: ")&amp;P196)</f>
        <v/>
      </c>
    </row>
    <row r="197" ht="20" customHeight="1">
      <c r="B197" s="72" t="n"/>
      <c r="C197" s="72" t="n"/>
      <c r="D197" s="72" t="n"/>
      <c r="E197" s="109" t="n"/>
      <c r="F197" s="74" t="n"/>
      <c r="G197" s="126">
        <f>IF(OR(E197="",F197=""),"",DATE(YEAR(E197),MONTH(E197)+ROUND(F197*12,0),DAY(E197)))</f>
        <v/>
      </c>
      <c r="H197" s="144">
        <f>IF(G197="","",G197-AsOf)</f>
        <v/>
      </c>
      <c r="I197" s="107">
        <f>IF(G197="","",IF(H197&lt;0,"Expired",IF(H197&lt;=90,"Expires soon","Active")))</f>
        <v/>
      </c>
      <c r="J197" s="72" t="n"/>
      <c r="K197" s="79">
        <f>IF(I197="","",IF(I197="Active",0,IF(I197="Expires soon",1,3)))</f>
        <v/>
      </c>
      <c r="L197" s="112">
        <f>IF(G197="","",IF(G197&lt;AsOf,"",G197))</f>
        <v/>
      </c>
      <c r="M197" s="79">
        <f>IF(L197="","",IF(L197&lt;=AsOf+AlertDays,2,IF(L197&lt;=AsOf+90,3,"")))</f>
        <v/>
      </c>
      <c r="N197" s="79">
        <f>IF(M197="","","Warranty expires in "&amp;H197&amp;" days: "&amp;B197&amp;IF(C197="",""," ("&amp;C197&amp;")")&amp;" — check for defects")</f>
        <v/>
      </c>
      <c r="P197" s="72" t="n"/>
      <c r="Q197" s="72" t="n"/>
      <c r="R197" s="89" t="n"/>
      <c r="S197" s="109" t="n"/>
      <c r="T197" s="126">
        <f>IF(OR(R197="",S197=""),"",DATE(YEAR(S197),MONTH(S197)+R197,DAY(S197)))</f>
        <v/>
      </c>
      <c r="U197" s="144">
        <f>IF(T197="","",T197-AsOf)</f>
        <v/>
      </c>
      <c r="V197" s="107">
        <f>IF(T197="",IF(P197="","","Enter last-done date"),IF(U197&lt;0,"Overdue",IF(U197&lt;=30,"Due soon","OK")))</f>
        <v/>
      </c>
      <c r="W197" s="79">
        <f>IF(T197="","",IF(U197&lt;0,2,IF(U197&lt;=30,1,0)))</f>
        <v/>
      </c>
      <c r="X197" s="112">
        <f>IF(T197="","",T197)</f>
        <v/>
      </c>
      <c r="Y197" s="79">
        <f>IF(X197="","",IF(X197&lt;=AsOf+AlertDays,2,IF(X197&lt;=AsOf+30,3,"")))</f>
        <v/>
      </c>
      <c r="Z197" s="79">
        <f>IF(Y197="","",IF(U197&lt;0,"Maintenance overdue: ","Maintenance due: ")&amp;P197)</f>
        <v/>
      </c>
    </row>
    <row r="198" ht="20" customHeight="1">
      <c r="B198" s="72" t="n"/>
      <c r="C198" s="72" t="n"/>
      <c r="D198" s="72" t="n"/>
      <c r="E198" s="109" t="n"/>
      <c r="F198" s="74" t="n"/>
      <c r="G198" s="126">
        <f>IF(OR(E198="",F198=""),"",DATE(YEAR(E198),MONTH(E198)+ROUND(F198*12,0),DAY(E198)))</f>
        <v/>
      </c>
      <c r="H198" s="144">
        <f>IF(G198="","",G198-AsOf)</f>
        <v/>
      </c>
      <c r="I198" s="107">
        <f>IF(G198="","",IF(H198&lt;0,"Expired",IF(H198&lt;=90,"Expires soon","Active")))</f>
        <v/>
      </c>
      <c r="J198" s="72" t="n"/>
      <c r="K198" s="79">
        <f>IF(I198="","",IF(I198="Active",0,IF(I198="Expires soon",1,3)))</f>
        <v/>
      </c>
      <c r="L198" s="112">
        <f>IF(G198="","",IF(G198&lt;AsOf,"",G198))</f>
        <v/>
      </c>
      <c r="M198" s="79">
        <f>IF(L198="","",IF(L198&lt;=AsOf+AlertDays,2,IF(L198&lt;=AsOf+90,3,"")))</f>
        <v/>
      </c>
      <c r="N198" s="79">
        <f>IF(M198="","","Warranty expires in "&amp;H198&amp;" days: "&amp;B198&amp;IF(C198="",""," ("&amp;C198&amp;")")&amp;" — check for defects")</f>
        <v/>
      </c>
      <c r="P198" s="72" t="n"/>
      <c r="Q198" s="72" t="n"/>
      <c r="R198" s="89" t="n"/>
      <c r="S198" s="109" t="n"/>
      <c r="T198" s="126">
        <f>IF(OR(R198="",S198=""),"",DATE(YEAR(S198),MONTH(S198)+R198,DAY(S198)))</f>
        <v/>
      </c>
      <c r="U198" s="144">
        <f>IF(T198="","",T198-AsOf)</f>
        <v/>
      </c>
      <c r="V198" s="107">
        <f>IF(T198="",IF(P198="","","Enter last-done date"),IF(U198&lt;0,"Overdue",IF(U198&lt;=30,"Due soon","OK")))</f>
        <v/>
      </c>
      <c r="W198" s="79">
        <f>IF(T198="","",IF(U198&lt;0,2,IF(U198&lt;=30,1,0)))</f>
        <v/>
      </c>
      <c r="X198" s="112">
        <f>IF(T198="","",T198)</f>
        <v/>
      </c>
      <c r="Y198" s="79">
        <f>IF(X198="","",IF(X198&lt;=AsOf+AlertDays,2,IF(X198&lt;=AsOf+30,3,"")))</f>
        <v/>
      </c>
      <c r="Z198" s="79">
        <f>IF(Y198="","",IF(U198&lt;0,"Maintenance overdue: ","Maintenance due: ")&amp;P198)</f>
        <v/>
      </c>
    </row>
    <row r="199" ht="20" customHeight="1">
      <c r="B199" s="72" t="n"/>
      <c r="C199" s="72" t="n"/>
      <c r="D199" s="72" t="n"/>
      <c r="E199" s="109" t="n"/>
      <c r="F199" s="74" t="n"/>
      <c r="G199" s="126">
        <f>IF(OR(E199="",F199=""),"",DATE(YEAR(E199),MONTH(E199)+ROUND(F199*12,0),DAY(E199)))</f>
        <v/>
      </c>
      <c r="H199" s="144">
        <f>IF(G199="","",G199-AsOf)</f>
        <v/>
      </c>
      <c r="I199" s="107">
        <f>IF(G199="","",IF(H199&lt;0,"Expired",IF(H199&lt;=90,"Expires soon","Active")))</f>
        <v/>
      </c>
      <c r="J199" s="72" t="n"/>
      <c r="K199" s="79">
        <f>IF(I199="","",IF(I199="Active",0,IF(I199="Expires soon",1,3)))</f>
        <v/>
      </c>
      <c r="L199" s="112">
        <f>IF(G199="","",IF(G199&lt;AsOf,"",G199))</f>
        <v/>
      </c>
      <c r="M199" s="79">
        <f>IF(L199="","",IF(L199&lt;=AsOf+AlertDays,2,IF(L199&lt;=AsOf+90,3,"")))</f>
        <v/>
      </c>
      <c r="N199" s="79">
        <f>IF(M199="","","Warranty expires in "&amp;H199&amp;" days: "&amp;B199&amp;IF(C199="",""," ("&amp;C199&amp;")")&amp;" — check for defects")</f>
        <v/>
      </c>
      <c r="P199" s="72" t="n"/>
      <c r="Q199" s="72" t="n"/>
      <c r="R199" s="89" t="n"/>
      <c r="S199" s="109" t="n"/>
      <c r="T199" s="126">
        <f>IF(OR(R199="",S199=""),"",DATE(YEAR(S199),MONTH(S199)+R199,DAY(S199)))</f>
        <v/>
      </c>
      <c r="U199" s="144">
        <f>IF(T199="","",T199-AsOf)</f>
        <v/>
      </c>
      <c r="V199" s="107">
        <f>IF(T199="",IF(P199="","","Enter last-done date"),IF(U199&lt;0,"Overdue",IF(U199&lt;=30,"Due soon","OK")))</f>
        <v/>
      </c>
      <c r="W199" s="79">
        <f>IF(T199="","",IF(U199&lt;0,2,IF(U199&lt;=30,1,0)))</f>
        <v/>
      </c>
      <c r="X199" s="112">
        <f>IF(T199="","",T199)</f>
        <v/>
      </c>
      <c r="Y199" s="79">
        <f>IF(X199="","",IF(X199&lt;=AsOf+AlertDays,2,IF(X199&lt;=AsOf+30,3,"")))</f>
        <v/>
      </c>
      <c r="Z199" s="79">
        <f>IF(Y199="","",IF(U199&lt;0,"Maintenance overdue: ","Maintenance due: ")&amp;P199)</f>
        <v/>
      </c>
    </row>
    <row r="200" ht="20" customHeight="1">
      <c r="B200" s="72" t="n"/>
      <c r="C200" s="72" t="n"/>
      <c r="D200" s="72" t="n"/>
      <c r="E200" s="109" t="n"/>
      <c r="F200" s="74" t="n"/>
      <c r="G200" s="126">
        <f>IF(OR(E200="",F200=""),"",DATE(YEAR(E200),MONTH(E200)+ROUND(F200*12,0),DAY(E200)))</f>
        <v/>
      </c>
      <c r="H200" s="144">
        <f>IF(G200="","",G200-AsOf)</f>
        <v/>
      </c>
      <c r="I200" s="107">
        <f>IF(G200="","",IF(H200&lt;0,"Expired",IF(H200&lt;=90,"Expires soon","Active")))</f>
        <v/>
      </c>
      <c r="J200" s="72" t="n"/>
      <c r="K200" s="79">
        <f>IF(I200="","",IF(I200="Active",0,IF(I200="Expires soon",1,3)))</f>
        <v/>
      </c>
      <c r="L200" s="112">
        <f>IF(G200="","",IF(G200&lt;AsOf,"",G200))</f>
        <v/>
      </c>
      <c r="M200" s="79">
        <f>IF(L200="","",IF(L200&lt;=AsOf+AlertDays,2,IF(L200&lt;=AsOf+90,3,"")))</f>
        <v/>
      </c>
      <c r="N200" s="79">
        <f>IF(M200="","","Warranty expires in "&amp;H200&amp;" days: "&amp;B200&amp;IF(C200="",""," ("&amp;C200&amp;")")&amp;" — check for defects")</f>
        <v/>
      </c>
      <c r="P200" s="72" t="n"/>
      <c r="Q200" s="72" t="n"/>
      <c r="R200" s="89" t="n"/>
      <c r="S200" s="109" t="n"/>
      <c r="T200" s="126">
        <f>IF(OR(R200="",S200=""),"",DATE(YEAR(S200),MONTH(S200)+R200,DAY(S200)))</f>
        <v/>
      </c>
      <c r="U200" s="144">
        <f>IF(T200="","",T200-AsOf)</f>
        <v/>
      </c>
      <c r="V200" s="107">
        <f>IF(T200="",IF(P200="","","Enter last-done date"),IF(U200&lt;0,"Overdue",IF(U200&lt;=30,"Due soon","OK")))</f>
        <v/>
      </c>
      <c r="W200" s="79">
        <f>IF(T200="","",IF(U200&lt;0,2,IF(U200&lt;=30,1,0)))</f>
        <v/>
      </c>
      <c r="X200" s="112">
        <f>IF(T200="","",T200)</f>
        <v/>
      </c>
      <c r="Y200" s="79">
        <f>IF(X200="","",IF(X200&lt;=AsOf+AlertDays,2,IF(X200&lt;=AsOf+30,3,"")))</f>
        <v/>
      </c>
      <c r="Z200" s="79">
        <f>IF(Y200="","",IF(U200&lt;0,"Maintenance overdue: ","Maintenance due: ")&amp;P200)</f>
        <v/>
      </c>
    </row>
    <row r="201" ht="20" customHeight="1">
      <c r="B201" s="72" t="n"/>
      <c r="C201" s="72" t="n"/>
      <c r="D201" s="72" t="n"/>
      <c r="E201" s="109" t="n"/>
      <c r="F201" s="74" t="n"/>
      <c r="G201" s="126">
        <f>IF(OR(E201="",F201=""),"",DATE(YEAR(E201),MONTH(E201)+ROUND(F201*12,0),DAY(E201)))</f>
        <v/>
      </c>
      <c r="H201" s="144">
        <f>IF(G201="","",G201-AsOf)</f>
        <v/>
      </c>
      <c r="I201" s="107">
        <f>IF(G201="","",IF(H201&lt;0,"Expired",IF(H201&lt;=90,"Expires soon","Active")))</f>
        <v/>
      </c>
      <c r="J201" s="72" t="n"/>
      <c r="K201" s="79">
        <f>IF(I201="","",IF(I201="Active",0,IF(I201="Expires soon",1,3)))</f>
        <v/>
      </c>
      <c r="L201" s="112">
        <f>IF(G201="","",IF(G201&lt;AsOf,"",G201))</f>
        <v/>
      </c>
      <c r="M201" s="79">
        <f>IF(L201="","",IF(L201&lt;=AsOf+AlertDays,2,IF(L201&lt;=AsOf+90,3,"")))</f>
        <v/>
      </c>
      <c r="N201" s="79">
        <f>IF(M201="","","Warranty expires in "&amp;H201&amp;" days: "&amp;B201&amp;IF(C201="",""," ("&amp;C201&amp;")")&amp;" — check for defects")</f>
        <v/>
      </c>
      <c r="P201" s="72" t="n"/>
      <c r="Q201" s="72" t="n"/>
      <c r="R201" s="89" t="n"/>
      <c r="S201" s="109" t="n"/>
      <c r="T201" s="126">
        <f>IF(OR(R201="",S201=""),"",DATE(YEAR(S201),MONTH(S201)+R201,DAY(S201)))</f>
        <v/>
      </c>
      <c r="U201" s="144">
        <f>IF(T201="","",T201-AsOf)</f>
        <v/>
      </c>
      <c r="V201" s="107">
        <f>IF(T201="",IF(P201="","","Enter last-done date"),IF(U201&lt;0,"Overdue",IF(U201&lt;=30,"Due soon","OK")))</f>
        <v/>
      </c>
      <c r="W201" s="79">
        <f>IF(T201="","",IF(U201&lt;0,2,IF(U201&lt;=30,1,0)))</f>
        <v/>
      </c>
      <c r="X201" s="112">
        <f>IF(T201="","",T201)</f>
        <v/>
      </c>
      <c r="Y201" s="79">
        <f>IF(X201="","",IF(X201&lt;=AsOf+AlertDays,2,IF(X201&lt;=AsOf+30,3,"")))</f>
        <v/>
      </c>
      <c r="Z201" s="79">
        <f>IF(Y201="","",IF(U201&lt;0,"Maintenance overdue: ","Maintenance due: ")&amp;P201)</f>
        <v/>
      </c>
    </row>
    <row r="202" ht="20" customHeight="1">
      <c r="B202" s="72" t="n"/>
      <c r="C202" s="72" t="n"/>
      <c r="D202" s="72" t="n"/>
      <c r="E202" s="109" t="n"/>
      <c r="F202" s="74" t="n"/>
      <c r="G202" s="126">
        <f>IF(OR(E202="",F202=""),"",DATE(YEAR(E202),MONTH(E202)+ROUND(F202*12,0),DAY(E202)))</f>
        <v/>
      </c>
      <c r="H202" s="144">
        <f>IF(G202="","",G202-AsOf)</f>
        <v/>
      </c>
      <c r="I202" s="107">
        <f>IF(G202="","",IF(H202&lt;0,"Expired",IF(H202&lt;=90,"Expires soon","Active")))</f>
        <v/>
      </c>
      <c r="J202" s="72" t="n"/>
      <c r="K202" s="79">
        <f>IF(I202="","",IF(I202="Active",0,IF(I202="Expires soon",1,3)))</f>
        <v/>
      </c>
      <c r="L202" s="112">
        <f>IF(G202="","",IF(G202&lt;AsOf,"",G202))</f>
        <v/>
      </c>
      <c r="M202" s="79">
        <f>IF(L202="","",IF(L202&lt;=AsOf+AlertDays,2,IF(L202&lt;=AsOf+90,3,"")))</f>
        <v/>
      </c>
      <c r="N202" s="79">
        <f>IF(M202="","","Warranty expires in "&amp;H202&amp;" days: "&amp;B202&amp;IF(C202="",""," ("&amp;C202&amp;")")&amp;" — check for defects")</f>
        <v/>
      </c>
      <c r="P202" s="72" t="n"/>
      <c r="Q202" s="72" t="n"/>
      <c r="R202" s="89" t="n"/>
      <c r="S202" s="109" t="n"/>
      <c r="T202" s="126">
        <f>IF(OR(R202="",S202=""),"",DATE(YEAR(S202),MONTH(S202)+R202,DAY(S202)))</f>
        <v/>
      </c>
      <c r="U202" s="144">
        <f>IF(T202="","",T202-AsOf)</f>
        <v/>
      </c>
      <c r="V202" s="107">
        <f>IF(T202="",IF(P202="","","Enter last-done date"),IF(U202&lt;0,"Overdue",IF(U202&lt;=30,"Due soon","OK")))</f>
        <v/>
      </c>
      <c r="W202" s="79">
        <f>IF(T202="","",IF(U202&lt;0,2,IF(U202&lt;=30,1,0)))</f>
        <v/>
      </c>
      <c r="X202" s="112">
        <f>IF(T202="","",T202)</f>
        <v/>
      </c>
      <c r="Y202" s="79">
        <f>IF(X202="","",IF(X202&lt;=AsOf+AlertDays,2,IF(X202&lt;=AsOf+30,3,"")))</f>
        <v/>
      </c>
      <c r="Z202" s="79">
        <f>IF(Y202="","",IF(U202&lt;0,"Maintenance overdue: ","Maintenance due: ")&amp;P202)</f>
        <v/>
      </c>
    </row>
    <row r="203" ht="20" customHeight="1">
      <c r="B203" s="72" t="n"/>
      <c r="C203" s="72" t="n"/>
      <c r="D203" s="72" t="n"/>
      <c r="E203" s="109" t="n"/>
      <c r="F203" s="74" t="n"/>
      <c r="G203" s="126">
        <f>IF(OR(E203="",F203=""),"",DATE(YEAR(E203),MONTH(E203)+ROUND(F203*12,0),DAY(E203)))</f>
        <v/>
      </c>
      <c r="H203" s="144">
        <f>IF(G203="","",G203-AsOf)</f>
        <v/>
      </c>
      <c r="I203" s="107">
        <f>IF(G203="","",IF(H203&lt;0,"Expired",IF(H203&lt;=90,"Expires soon","Active")))</f>
        <v/>
      </c>
      <c r="J203" s="72" t="n"/>
      <c r="K203" s="79">
        <f>IF(I203="","",IF(I203="Active",0,IF(I203="Expires soon",1,3)))</f>
        <v/>
      </c>
      <c r="L203" s="112">
        <f>IF(G203="","",IF(G203&lt;AsOf,"",G203))</f>
        <v/>
      </c>
      <c r="M203" s="79">
        <f>IF(L203="","",IF(L203&lt;=AsOf+AlertDays,2,IF(L203&lt;=AsOf+90,3,"")))</f>
        <v/>
      </c>
      <c r="N203" s="79">
        <f>IF(M203="","","Warranty expires in "&amp;H203&amp;" days: "&amp;B203&amp;IF(C203="",""," ("&amp;C203&amp;")")&amp;" — check for defects")</f>
        <v/>
      </c>
      <c r="P203" s="72" t="n"/>
      <c r="Q203" s="72" t="n"/>
      <c r="R203" s="89" t="n"/>
      <c r="S203" s="109" t="n"/>
      <c r="T203" s="126">
        <f>IF(OR(R203="",S203=""),"",DATE(YEAR(S203),MONTH(S203)+R203,DAY(S203)))</f>
        <v/>
      </c>
      <c r="U203" s="144">
        <f>IF(T203="","",T203-AsOf)</f>
        <v/>
      </c>
      <c r="V203" s="107">
        <f>IF(T203="",IF(P203="","","Enter last-done date"),IF(U203&lt;0,"Overdue",IF(U203&lt;=30,"Due soon","OK")))</f>
        <v/>
      </c>
      <c r="W203" s="79">
        <f>IF(T203="","",IF(U203&lt;0,2,IF(U203&lt;=30,1,0)))</f>
        <v/>
      </c>
      <c r="X203" s="112">
        <f>IF(T203="","",T203)</f>
        <v/>
      </c>
      <c r="Y203" s="79">
        <f>IF(X203="","",IF(X203&lt;=AsOf+AlertDays,2,IF(X203&lt;=AsOf+30,3,"")))</f>
        <v/>
      </c>
      <c r="Z203" s="79">
        <f>IF(Y203="","",IF(U203&lt;0,"Maintenance overdue: ","Maintenance due: ")&amp;P203)</f>
        <v/>
      </c>
    </row>
    <row r="204" ht="20" customHeight="1">
      <c r="B204" s="72" t="n"/>
      <c r="C204" s="72" t="n"/>
      <c r="D204" s="72" t="n"/>
      <c r="E204" s="109" t="n"/>
      <c r="F204" s="74" t="n"/>
      <c r="G204" s="126">
        <f>IF(OR(E204="",F204=""),"",DATE(YEAR(E204),MONTH(E204)+ROUND(F204*12,0),DAY(E204)))</f>
        <v/>
      </c>
      <c r="H204" s="144">
        <f>IF(G204="","",G204-AsOf)</f>
        <v/>
      </c>
      <c r="I204" s="107">
        <f>IF(G204="","",IF(H204&lt;0,"Expired",IF(H204&lt;=90,"Expires soon","Active")))</f>
        <v/>
      </c>
      <c r="J204" s="72" t="n"/>
      <c r="K204" s="79">
        <f>IF(I204="","",IF(I204="Active",0,IF(I204="Expires soon",1,3)))</f>
        <v/>
      </c>
      <c r="L204" s="112">
        <f>IF(G204="","",IF(G204&lt;AsOf,"",G204))</f>
        <v/>
      </c>
      <c r="M204" s="79">
        <f>IF(L204="","",IF(L204&lt;=AsOf+AlertDays,2,IF(L204&lt;=AsOf+90,3,"")))</f>
        <v/>
      </c>
      <c r="N204" s="79">
        <f>IF(M204="","","Warranty expires in "&amp;H204&amp;" days: "&amp;B204&amp;IF(C204="",""," ("&amp;C204&amp;")")&amp;" — check for defects")</f>
        <v/>
      </c>
      <c r="P204" s="72" t="n"/>
      <c r="Q204" s="72" t="n"/>
      <c r="R204" s="89" t="n"/>
      <c r="S204" s="109" t="n"/>
      <c r="T204" s="126">
        <f>IF(OR(R204="",S204=""),"",DATE(YEAR(S204),MONTH(S204)+R204,DAY(S204)))</f>
        <v/>
      </c>
      <c r="U204" s="144">
        <f>IF(T204="","",T204-AsOf)</f>
        <v/>
      </c>
      <c r="V204" s="107">
        <f>IF(T204="",IF(P204="","","Enter last-done date"),IF(U204&lt;0,"Overdue",IF(U204&lt;=30,"Due soon","OK")))</f>
        <v/>
      </c>
      <c r="W204" s="79">
        <f>IF(T204="","",IF(U204&lt;0,2,IF(U204&lt;=30,1,0)))</f>
        <v/>
      </c>
      <c r="X204" s="112">
        <f>IF(T204="","",T204)</f>
        <v/>
      </c>
      <c r="Y204" s="79">
        <f>IF(X204="","",IF(X204&lt;=AsOf+AlertDays,2,IF(X204&lt;=AsOf+30,3,"")))</f>
        <v/>
      </c>
      <c r="Z204" s="79">
        <f>IF(Y204="","",IF(U204&lt;0,"Maintenance overdue: ","Maintenance due: ")&amp;P204)</f>
        <v/>
      </c>
    </row>
    <row r="205" ht="20" customHeight="1">
      <c r="B205" s="72" t="n"/>
      <c r="C205" s="72" t="n"/>
      <c r="D205" s="72" t="n"/>
      <c r="E205" s="109" t="n"/>
      <c r="F205" s="74" t="n"/>
      <c r="G205" s="126">
        <f>IF(OR(E205="",F205=""),"",DATE(YEAR(E205),MONTH(E205)+ROUND(F205*12,0),DAY(E205)))</f>
        <v/>
      </c>
      <c r="H205" s="144">
        <f>IF(G205="","",G205-AsOf)</f>
        <v/>
      </c>
      <c r="I205" s="107">
        <f>IF(G205="","",IF(H205&lt;0,"Expired",IF(H205&lt;=90,"Expires soon","Active")))</f>
        <v/>
      </c>
      <c r="J205" s="72" t="n"/>
      <c r="K205" s="79">
        <f>IF(I205="","",IF(I205="Active",0,IF(I205="Expires soon",1,3)))</f>
        <v/>
      </c>
      <c r="L205" s="112">
        <f>IF(G205="","",IF(G205&lt;AsOf,"",G205))</f>
        <v/>
      </c>
      <c r="M205" s="79">
        <f>IF(L205="","",IF(L205&lt;=AsOf+AlertDays,2,IF(L205&lt;=AsOf+90,3,"")))</f>
        <v/>
      </c>
      <c r="N205" s="79">
        <f>IF(M205="","","Warranty expires in "&amp;H205&amp;" days: "&amp;B205&amp;IF(C205="",""," ("&amp;C205&amp;")")&amp;" — check for defects")</f>
        <v/>
      </c>
      <c r="P205" s="72" t="n"/>
      <c r="Q205" s="72" t="n"/>
      <c r="R205" s="89" t="n"/>
      <c r="S205" s="109" t="n"/>
      <c r="T205" s="126">
        <f>IF(OR(R205="",S205=""),"",DATE(YEAR(S205),MONTH(S205)+R205,DAY(S205)))</f>
        <v/>
      </c>
      <c r="U205" s="144">
        <f>IF(T205="","",T205-AsOf)</f>
        <v/>
      </c>
      <c r="V205" s="107">
        <f>IF(T205="",IF(P205="","","Enter last-done date"),IF(U205&lt;0,"Overdue",IF(U205&lt;=30,"Due soon","OK")))</f>
        <v/>
      </c>
      <c r="W205" s="79">
        <f>IF(T205="","",IF(U205&lt;0,2,IF(U205&lt;=30,1,0)))</f>
        <v/>
      </c>
      <c r="X205" s="112">
        <f>IF(T205="","",T205)</f>
        <v/>
      </c>
      <c r="Y205" s="79">
        <f>IF(X205="","",IF(X205&lt;=AsOf+AlertDays,2,IF(X205&lt;=AsOf+30,3,"")))</f>
        <v/>
      </c>
      <c r="Z205" s="79">
        <f>IF(Y205="","",IF(U205&lt;0,"Maintenance overdue: ","Maintenance due: ")&amp;P205)</f>
        <v/>
      </c>
    </row>
    <row r="206" ht="20" customHeight="1">
      <c r="B206" s="72" t="n"/>
      <c r="C206" s="72" t="n"/>
      <c r="D206" s="72" t="n"/>
      <c r="E206" s="109" t="n"/>
      <c r="F206" s="74" t="n"/>
      <c r="G206" s="126">
        <f>IF(OR(E206="",F206=""),"",DATE(YEAR(E206),MONTH(E206)+ROUND(F206*12,0),DAY(E206)))</f>
        <v/>
      </c>
      <c r="H206" s="144">
        <f>IF(G206="","",G206-AsOf)</f>
        <v/>
      </c>
      <c r="I206" s="107">
        <f>IF(G206="","",IF(H206&lt;0,"Expired",IF(H206&lt;=90,"Expires soon","Active")))</f>
        <v/>
      </c>
      <c r="J206" s="72" t="n"/>
      <c r="K206" s="79">
        <f>IF(I206="","",IF(I206="Active",0,IF(I206="Expires soon",1,3)))</f>
        <v/>
      </c>
      <c r="L206" s="112">
        <f>IF(G206="","",IF(G206&lt;AsOf,"",G206))</f>
        <v/>
      </c>
      <c r="M206" s="79">
        <f>IF(L206="","",IF(L206&lt;=AsOf+AlertDays,2,IF(L206&lt;=AsOf+90,3,"")))</f>
        <v/>
      </c>
      <c r="N206" s="79">
        <f>IF(M206="","","Warranty expires in "&amp;H206&amp;" days: "&amp;B206&amp;IF(C206="",""," ("&amp;C206&amp;")")&amp;" — check for defects")</f>
        <v/>
      </c>
      <c r="P206" s="72" t="n"/>
      <c r="Q206" s="72" t="n"/>
      <c r="R206" s="89" t="n"/>
      <c r="S206" s="109" t="n"/>
      <c r="T206" s="126">
        <f>IF(OR(R206="",S206=""),"",DATE(YEAR(S206),MONTH(S206)+R206,DAY(S206)))</f>
        <v/>
      </c>
      <c r="U206" s="144">
        <f>IF(T206="","",T206-AsOf)</f>
        <v/>
      </c>
      <c r="V206" s="107">
        <f>IF(T206="",IF(P206="","","Enter last-done date"),IF(U206&lt;0,"Overdue",IF(U206&lt;=30,"Due soon","OK")))</f>
        <v/>
      </c>
      <c r="W206" s="79">
        <f>IF(T206="","",IF(U206&lt;0,2,IF(U206&lt;=30,1,0)))</f>
        <v/>
      </c>
      <c r="X206" s="112">
        <f>IF(T206="","",T206)</f>
        <v/>
      </c>
      <c r="Y206" s="79">
        <f>IF(X206="","",IF(X206&lt;=AsOf+AlertDays,2,IF(X206&lt;=AsOf+30,3,"")))</f>
        <v/>
      </c>
      <c r="Z206" s="79">
        <f>IF(Y206="","",IF(U206&lt;0,"Maintenance overdue: ","Maintenance due: ")&amp;P206)</f>
        <v/>
      </c>
    </row>
    <row r="207" ht="20" customHeight="1">
      <c r="B207" s="72" t="n"/>
      <c r="C207" s="72" t="n"/>
      <c r="D207" s="72" t="n"/>
      <c r="E207" s="109" t="n"/>
      <c r="F207" s="74" t="n"/>
      <c r="G207" s="126">
        <f>IF(OR(E207="",F207=""),"",DATE(YEAR(E207),MONTH(E207)+ROUND(F207*12,0),DAY(E207)))</f>
        <v/>
      </c>
      <c r="H207" s="144">
        <f>IF(G207="","",G207-AsOf)</f>
        <v/>
      </c>
      <c r="I207" s="107">
        <f>IF(G207="","",IF(H207&lt;0,"Expired",IF(H207&lt;=90,"Expires soon","Active")))</f>
        <v/>
      </c>
      <c r="J207" s="72" t="n"/>
      <c r="K207" s="79">
        <f>IF(I207="","",IF(I207="Active",0,IF(I207="Expires soon",1,3)))</f>
        <v/>
      </c>
      <c r="L207" s="112">
        <f>IF(G207="","",IF(G207&lt;AsOf,"",G207))</f>
        <v/>
      </c>
      <c r="M207" s="79">
        <f>IF(L207="","",IF(L207&lt;=AsOf+AlertDays,2,IF(L207&lt;=AsOf+90,3,"")))</f>
        <v/>
      </c>
      <c r="N207" s="79">
        <f>IF(M207="","","Warranty expires in "&amp;H207&amp;" days: "&amp;B207&amp;IF(C207="",""," ("&amp;C207&amp;")")&amp;" — check for defects")</f>
        <v/>
      </c>
      <c r="P207" s="72" t="n"/>
      <c r="Q207" s="72" t="n"/>
      <c r="R207" s="89" t="n"/>
      <c r="S207" s="109" t="n"/>
      <c r="T207" s="126">
        <f>IF(OR(R207="",S207=""),"",DATE(YEAR(S207),MONTH(S207)+R207,DAY(S207)))</f>
        <v/>
      </c>
      <c r="U207" s="144">
        <f>IF(T207="","",T207-AsOf)</f>
        <v/>
      </c>
      <c r="V207" s="107">
        <f>IF(T207="",IF(P207="","","Enter last-done date"),IF(U207&lt;0,"Overdue",IF(U207&lt;=30,"Due soon","OK")))</f>
        <v/>
      </c>
      <c r="W207" s="79">
        <f>IF(T207="","",IF(U207&lt;0,2,IF(U207&lt;=30,1,0)))</f>
        <v/>
      </c>
      <c r="X207" s="112">
        <f>IF(T207="","",T207)</f>
        <v/>
      </c>
      <c r="Y207" s="79">
        <f>IF(X207="","",IF(X207&lt;=AsOf+AlertDays,2,IF(X207&lt;=AsOf+30,3,"")))</f>
        <v/>
      </c>
      <c r="Z207" s="79">
        <f>IF(Y207="","",IF(U207&lt;0,"Maintenance overdue: ","Maintenance due: ")&amp;P207)</f>
        <v/>
      </c>
    </row>
    <row r="208" ht="20" customHeight="1">
      <c r="B208" s="72" t="n"/>
      <c r="C208" s="72" t="n"/>
      <c r="D208" s="72" t="n"/>
      <c r="E208" s="109" t="n"/>
      <c r="F208" s="74" t="n"/>
      <c r="G208" s="126">
        <f>IF(OR(E208="",F208=""),"",DATE(YEAR(E208),MONTH(E208)+ROUND(F208*12,0),DAY(E208)))</f>
        <v/>
      </c>
      <c r="H208" s="144">
        <f>IF(G208="","",G208-AsOf)</f>
        <v/>
      </c>
      <c r="I208" s="107">
        <f>IF(G208="","",IF(H208&lt;0,"Expired",IF(H208&lt;=90,"Expires soon","Active")))</f>
        <v/>
      </c>
      <c r="J208" s="72" t="n"/>
      <c r="K208" s="79">
        <f>IF(I208="","",IF(I208="Active",0,IF(I208="Expires soon",1,3)))</f>
        <v/>
      </c>
      <c r="L208" s="112">
        <f>IF(G208="","",IF(G208&lt;AsOf,"",G208))</f>
        <v/>
      </c>
      <c r="M208" s="79">
        <f>IF(L208="","",IF(L208&lt;=AsOf+AlertDays,2,IF(L208&lt;=AsOf+90,3,"")))</f>
        <v/>
      </c>
      <c r="N208" s="79">
        <f>IF(M208="","","Warranty expires in "&amp;H208&amp;" days: "&amp;B208&amp;IF(C208="",""," ("&amp;C208&amp;")")&amp;" — check for defects")</f>
        <v/>
      </c>
      <c r="P208" s="72" t="n"/>
      <c r="Q208" s="72" t="n"/>
      <c r="R208" s="89" t="n"/>
      <c r="S208" s="109" t="n"/>
      <c r="T208" s="126">
        <f>IF(OR(R208="",S208=""),"",DATE(YEAR(S208),MONTH(S208)+R208,DAY(S208)))</f>
        <v/>
      </c>
      <c r="U208" s="144">
        <f>IF(T208="","",T208-AsOf)</f>
        <v/>
      </c>
      <c r="V208" s="107">
        <f>IF(T208="",IF(P208="","","Enter last-done date"),IF(U208&lt;0,"Overdue",IF(U208&lt;=30,"Due soon","OK")))</f>
        <v/>
      </c>
      <c r="W208" s="79">
        <f>IF(T208="","",IF(U208&lt;0,2,IF(U208&lt;=30,1,0)))</f>
        <v/>
      </c>
      <c r="X208" s="112">
        <f>IF(T208="","",T208)</f>
        <v/>
      </c>
      <c r="Y208" s="79">
        <f>IF(X208="","",IF(X208&lt;=AsOf+AlertDays,2,IF(X208&lt;=AsOf+30,3,"")))</f>
        <v/>
      </c>
      <c r="Z208" s="79">
        <f>IF(Y208="","",IF(U208&lt;0,"Maintenance overdue: ","Maintenance due: ")&amp;P208)</f>
        <v/>
      </c>
    </row>
    <row r="209" ht="20" customHeight="1">
      <c r="B209" s="72" t="n"/>
      <c r="C209" s="72" t="n"/>
      <c r="D209" s="72" t="n"/>
      <c r="E209" s="109" t="n"/>
      <c r="F209" s="74" t="n"/>
      <c r="G209" s="126">
        <f>IF(OR(E209="",F209=""),"",DATE(YEAR(E209),MONTH(E209)+ROUND(F209*12,0),DAY(E209)))</f>
        <v/>
      </c>
      <c r="H209" s="144">
        <f>IF(G209="","",G209-AsOf)</f>
        <v/>
      </c>
      <c r="I209" s="107">
        <f>IF(G209="","",IF(H209&lt;0,"Expired",IF(H209&lt;=90,"Expires soon","Active")))</f>
        <v/>
      </c>
      <c r="J209" s="72" t="n"/>
      <c r="K209" s="79">
        <f>IF(I209="","",IF(I209="Active",0,IF(I209="Expires soon",1,3)))</f>
        <v/>
      </c>
      <c r="L209" s="112">
        <f>IF(G209="","",IF(G209&lt;AsOf,"",G209))</f>
        <v/>
      </c>
      <c r="M209" s="79">
        <f>IF(L209="","",IF(L209&lt;=AsOf+AlertDays,2,IF(L209&lt;=AsOf+90,3,"")))</f>
        <v/>
      </c>
      <c r="N209" s="79">
        <f>IF(M209="","","Warranty expires in "&amp;H209&amp;" days: "&amp;B209&amp;IF(C209="",""," ("&amp;C209&amp;")")&amp;" — check for defects")</f>
        <v/>
      </c>
      <c r="P209" s="72" t="n"/>
      <c r="Q209" s="72" t="n"/>
      <c r="R209" s="89" t="n"/>
      <c r="S209" s="109" t="n"/>
      <c r="T209" s="126">
        <f>IF(OR(R209="",S209=""),"",DATE(YEAR(S209),MONTH(S209)+R209,DAY(S209)))</f>
        <v/>
      </c>
      <c r="U209" s="144">
        <f>IF(T209="","",T209-AsOf)</f>
        <v/>
      </c>
      <c r="V209" s="107">
        <f>IF(T209="",IF(P209="","","Enter last-done date"),IF(U209&lt;0,"Overdue",IF(U209&lt;=30,"Due soon","OK")))</f>
        <v/>
      </c>
      <c r="W209" s="79">
        <f>IF(T209="","",IF(U209&lt;0,2,IF(U209&lt;=30,1,0)))</f>
        <v/>
      </c>
      <c r="X209" s="112">
        <f>IF(T209="","",T209)</f>
        <v/>
      </c>
      <c r="Y209" s="79">
        <f>IF(X209="","",IF(X209&lt;=AsOf+AlertDays,2,IF(X209&lt;=AsOf+30,3,"")))</f>
        <v/>
      </c>
      <c r="Z209" s="79">
        <f>IF(Y209="","",IF(U209&lt;0,"Maintenance overdue: ","Maintenance due: ")&amp;P209)</f>
        <v/>
      </c>
    </row>
    <row r="210" ht="20" customHeight="1">
      <c r="B210" s="72" t="n"/>
      <c r="C210" s="72" t="n"/>
      <c r="D210" s="72" t="n"/>
      <c r="E210" s="109" t="n"/>
      <c r="F210" s="74" t="n"/>
      <c r="G210" s="126">
        <f>IF(OR(E210="",F210=""),"",DATE(YEAR(E210),MONTH(E210)+ROUND(F210*12,0),DAY(E210)))</f>
        <v/>
      </c>
      <c r="H210" s="144">
        <f>IF(G210="","",G210-AsOf)</f>
        <v/>
      </c>
      <c r="I210" s="107">
        <f>IF(G210="","",IF(H210&lt;0,"Expired",IF(H210&lt;=90,"Expires soon","Active")))</f>
        <v/>
      </c>
      <c r="J210" s="72" t="n"/>
      <c r="K210" s="79">
        <f>IF(I210="","",IF(I210="Active",0,IF(I210="Expires soon",1,3)))</f>
        <v/>
      </c>
      <c r="L210" s="112">
        <f>IF(G210="","",IF(G210&lt;AsOf,"",G210))</f>
        <v/>
      </c>
      <c r="M210" s="79">
        <f>IF(L210="","",IF(L210&lt;=AsOf+AlertDays,2,IF(L210&lt;=AsOf+90,3,"")))</f>
        <v/>
      </c>
      <c r="N210" s="79">
        <f>IF(M210="","","Warranty expires in "&amp;H210&amp;" days: "&amp;B210&amp;IF(C210="",""," ("&amp;C210&amp;")")&amp;" — check for defects")</f>
        <v/>
      </c>
      <c r="P210" s="72" t="n"/>
      <c r="Q210" s="72" t="n"/>
      <c r="R210" s="89" t="n"/>
      <c r="S210" s="109" t="n"/>
      <c r="T210" s="126">
        <f>IF(OR(R210="",S210=""),"",DATE(YEAR(S210),MONTH(S210)+R210,DAY(S210)))</f>
        <v/>
      </c>
      <c r="U210" s="144">
        <f>IF(T210="","",T210-AsOf)</f>
        <v/>
      </c>
      <c r="V210" s="107">
        <f>IF(T210="",IF(P210="","","Enter last-done date"),IF(U210&lt;0,"Overdue",IF(U210&lt;=30,"Due soon","OK")))</f>
        <v/>
      </c>
      <c r="W210" s="79">
        <f>IF(T210="","",IF(U210&lt;0,2,IF(U210&lt;=30,1,0)))</f>
        <v/>
      </c>
      <c r="X210" s="112">
        <f>IF(T210="","",T210)</f>
        <v/>
      </c>
      <c r="Y210" s="79">
        <f>IF(X210="","",IF(X210&lt;=AsOf+AlertDays,2,IF(X210&lt;=AsOf+30,3,"")))</f>
        <v/>
      </c>
      <c r="Z210" s="79">
        <f>IF(Y210="","",IF(U210&lt;0,"Maintenance overdue: ","Maintenance due: ")&amp;P210)</f>
        <v/>
      </c>
    </row>
    <row r="211" ht="20" customHeight="1">
      <c r="B211" s="72" t="n"/>
      <c r="C211" s="72" t="n"/>
      <c r="D211" s="72" t="n"/>
      <c r="E211" s="109" t="n"/>
      <c r="F211" s="74" t="n"/>
      <c r="G211" s="126">
        <f>IF(OR(E211="",F211=""),"",DATE(YEAR(E211),MONTH(E211)+ROUND(F211*12,0),DAY(E211)))</f>
        <v/>
      </c>
      <c r="H211" s="144">
        <f>IF(G211="","",G211-AsOf)</f>
        <v/>
      </c>
      <c r="I211" s="107">
        <f>IF(G211="","",IF(H211&lt;0,"Expired",IF(H211&lt;=90,"Expires soon","Active")))</f>
        <v/>
      </c>
      <c r="J211" s="72" t="n"/>
      <c r="K211" s="79">
        <f>IF(I211="","",IF(I211="Active",0,IF(I211="Expires soon",1,3)))</f>
        <v/>
      </c>
      <c r="L211" s="112">
        <f>IF(G211="","",IF(G211&lt;AsOf,"",G211))</f>
        <v/>
      </c>
      <c r="M211" s="79">
        <f>IF(L211="","",IF(L211&lt;=AsOf+AlertDays,2,IF(L211&lt;=AsOf+90,3,"")))</f>
        <v/>
      </c>
      <c r="N211" s="79">
        <f>IF(M211="","","Warranty expires in "&amp;H211&amp;" days: "&amp;B211&amp;IF(C211="",""," ("&amp;C211&amp;")")&amp;" — check for defects")</f>
        <v/>
      </c>
      <c r="P211" s="72" t="n"/>
      <c r="Q211" s="72" t="n"/>
      <c r="R211" s="89" t="n"/>
      <c r="S211" s="109" t="n"/>
      <c r="T211" s="126">
        <f>IF(OR(R211="",S211=""),"",DATE(YEAR(S211),MONTH(S211)+R211,DAY(S211)))</f>
        <v/>
      </c>
      <c r="U211" s="144">
        <f>IF(T211="","",T211-AsOf)</f>
        <v/>
      </c>
      <c r="V211" s="107">
        <f>IF(T211="",IF(P211="","","Enter last-done date"),IF(U211&lt;0,"Overdue",IF(U211&lt;=30,"Due soon","OK")))</f>
        <v/>
      </c>
      <c r="W211" s="79">
        <f>IF(T211="","",IF(U211&lt;0,2,IF(U211&lt;=30,1,0)))</f>
        <v/>
      </c>
      <c r="X211" s="112">
        <f>IF(T211="","",T211)</f>
        <v/>
      </c>
      <c r="Y211" s="79">
        <f>IF(X211="","",IF(X211&lt;=AsOf+AlertDays,2,IF(X211&lt;=AsOf+30,3,"")))</f>
        <v/>
      </c>
      <c r="Z211" s="79">
        <f>IF(Y211="","",IF(U211&lt;0,"Maintenance overdue: ","Maintenance due: ")&amp;P211)</f>
        <v/>
      </c>
    </row>
    <row r="212" ht="20" customHeight="1">
      <c r="B212" s="72" t="n"/>
      <c r="C212" s="72" t="n"/>
      <c r="D212" s="72" t="n"/>
      <c r="E212" s="109" t="n"/>
      <c r="F212" s="74" t="n"/>
      <c r="G212" s="126">
        <f>IF(OR(E212="",F212=""),"",DATE(YEAR(E212),MONTH(E212)+ROUND(F212*12,0),DAY(E212)))</f>
        <v/>
      </c>
      <c r="H212" s="144">
        <f>IF(G212="","",G212-AsOf)</f>
        <v/>
      </c>
      <c r="I212" s="107">
        <f>IF(G212="","",IF(H212&lt;0,"Expired",IF(H212&lt;=90,"Expires soon","Active")))</f>
        <v/>
      </c>
      <c r="J212" s="72" t="n"/>
      <c r="K212" s="79">
        <f>IF(I212="","",IF(I212="Active",0,IF(I212="Expires soon",1,3)))</f>
        <v/>
      </c>
      <c r="L212" s="112">
        <f>IF(G212="","",IF(G212&lt;AsOf,"",G212))</f>
        <v/>
      </c>
      <c r="M212" s="79">
        <f>IF(L212="","",IF(L212&lt;=AsOf+AlertDays,2,IF(L212&lt;=AsOf+90,3,"")))</f>
        <v/>
      </c>
      <c r="N212" s="79">
        <f>IF(M212="","","Warranty expires in "&amp;H212&amp;" days: "&amp;B212&amp;IF(C212="",""," ("&amp;C212&amp;")")&amp;" — check for defects")</f>
        <v/>
      </c>
      <c r="P212" s="72" t="n"/>
      <c r="Q212" s="72" t="n"/>
      <c r="R212" s="89" t="n"/>
      <c r="S212" s="109" t="n"/>
      <c r="T212" s="126">
        <f>IF(OR(R212="",S212=""),"",DATE(YEAR(S212),MONTH(S212)+R212,DAY(S212)))</f>
        <v/>
      </c>
      <c r="U212" s="144">
        <f>IF(T212="","",T212-AsOf)</f>
        <v/>
      </c>
      <c r="V212" s="107">
        <f>IF(T212="",IF(P212="","","Enter last-done date"),IF(U212&lt;0,"Overdue",IF(U212&lt;=30,"Due soon","OK")))</f>
        <v/>
      </c>
      <c r="W212" s="79">
        <f>IF(T212="","",IF(U212&lt;0,2,IF(U212&lt;=30,1,0)))</f>
        <v/>
      </c>
      <c r="X212" s="112">
        <f>IF(T212="","",T212)</f>
        <v/>
      </c>
      <c r="Y212" s="79">
        <f>IF(X212="","",IF(X212&lt;=AsOf+AlertDays,2,IF(X212&lt;=AsOf+30,3,"")))</f>
        <v/>
      </c>
      <c r="Z212" s="79">
        <f>IF(Y212="","",IF(U212&lt;0,"Maintenance overdue: ","Maintenance due: ")&amp;P212)</f>
        <v/>
      </c>
    </row>
    <row r="213" ht="20" customHeight="1">
      <c r="B213" s="72" t="n"/>
      <c r="C213" s="72" t="n"/>
      <c r="D213" s="72" t="n"/>
      <c r="E213" s="109" t="n"/>
      <c r="F213" s="74" t="n"/>
      <c r="G213" s="126">
        <f>IF(OR(E213="",F213=""),"",DATE(YEAR(E213),MONTH(E213)+ROUND(F213*12,0),DAY(E213)))</f>
        <v/>
      </c>
      <c r="H213" s="144">
        <f>IF(G213="","",G213-AsOf)</f>
        <v/>
      </c>
      <c r="I213" s="107">
        <f>IF(G213="","",IF(H213&lt;0,"Expired",IF(H213&lt;=90,"Expires soon","Active")))</f>
        <v/>
      </c>
      <c r="J213" s="72" t="n"/>
      <c r="K213" s="79">
        <f>IF(I213="","",IF(I213="Active",0,IF(I213="Expires soon",1,3)))</f>
        <v/>
      </c>
      <c r="L213" s="112">
        <f>IF(G213="","",IF(G213&lt;AsOf,"",G213))</f>
        <v/>
      </c>
      <c r="M213" s="79">
        <f>IF(L213="","",IF(L213&lt;=AsOf+AlertDays,2,IF(L213&lt;=AsOf+90,3,"")))</f>
        <v/>
      </c>
      <c r="N213" s="79">
        <f>IF(M213="","","Warranty expires in "&amp;H213&amp;" days: "&amp;B213&amp;IF(C213="",""," ("&amp;C213&amp;")")&amp;" — check for defects")</f>
        <v/>
      </c>
      <c r="P213" s="72" t="n"/>
      <c r="Q213" s="72" t="n"/>
      <c r="R213" s="89" t="n"/>
      <c r="S213" s="109" t="n"/>
      <c r="T213" s="126">
        <f>IF(OR(R213="",S213=""),"",DATE(YEAR(S213),MONTH(S213)+R213,DAY(S213)))</f>
        <v/>
      </c>
      <c r="U213" s="144">
        <f>IF(T213="","",T213-AsOf)</f>
        <v/>
      </c>
      <c r="V213" s="107">
        <f>IF(T213="",IF(P213="","","Enter last-done date"),IF(U213&lt;0,"Overdue",IF(U213&lt;=30,"Due soon","OK")))</f>
        <v/>
      </c>
      <c r="W213" s="79">
        <f>IF(T213="","",IF(U213&lt;0,2,IF(U213&lt;=30,1,0)))</f>
        <v/>
      </c>
      <c r="X213" s="112">
        <f>IF(T213="","",T213)</f>
        <v/>
      </c>
      <c r="Y213" s="79">
        <f>IF(X213="","",IF(X213&lt;=AsOf+AlertDays,2,IF(X213&lt;=AsOf+30,3,"")))</f>
        <v/>
      </c>
      <c r="Z213" s="79">
        <f>IF(Y213="","",IF(U213&lt;0,"Maintenance overdue: ","Maintenance due: ")&amp;P213)</f>
        <v/>
      </c>
    </row>
    <row r="214" ht="20" customHeight="1">
      <c r="B214" s="72" t="n"/>
      <c r="C214" s="72" t="n"/>
      <c r="D214" s="72" t="n"/>
      <c r="E214" s="109" t="n"/>
      <c r="F214" s="74" t="n"/>
      <c r="G214" s="126">
        <f>IF(OR(E214="",F214=""),"",DATE(YEAR(E214),MONTH(E214)+ROUND(F214*12,0),DAY(E214)))</f>
        <v/>
      </c>
      <c r="H214" s="144">
        <f>IF(G214="","",G214-AsOf)</f>
        <v/>
      </c>
      <c r="I214" s="107">
        <f>IF(G214="","",IF(H214&lt;0,"Expired",IF(H214&lt;=90,"Expires soon","Active")))</f>
        <v/>
      </c>
      <c r="J214" s="72" t="n"/>
      <c r="K214" s="79">
        <f>IF(I214="","",IF(I214="Active",0,IF(I214="Expires soon",1,3)))</f>
        <v/>
      </c>
      <c r="L214" s="112">
        <f>IF(G214="","",IF(G214&lt;AsOf,"",G214))</f>
        <v/>
      </c>
      <c r="M214" s="79">
        <f>IF(L214="","",IF(L214&lt;=AsOf+AlertDays,2,IF(L214&lt;=AsOf+90,3,"")))</f>
        <v/>
      </c>
      <c r="N214" s="79">
        <f>IF(M214="","","Warranty expires in "&amp;H214&amp;" days: "&amp;B214&amp;IF(C214="",""," ("&amp;C214&amp;")")&amp;" — check for defects")</f>
        <v/>
      </c>
      <c r="P214" s="72" t="n"/>
      <c r="Q214" s="72" t="n"/>
      <c r="R214" s="89" t="n"/>
      <c r="S214" s="109" t="n"/>
      <c r="T214" s="126">
        <f>IF(OR(R214="",S214=""),"",DATE(YEAR(S214),MONTH(S214)+R214,DAY(S214)))</f>
        <v/>
      </c>
      <c r="U214" s="144">
        <f>IF(T214="","",T214-AsOf)</f>
        <v/>
      </c>
      <c r="V214" s="107">
        <f>IF(T214="",IF(P214="","","Enter last-done date"),IF(U214&lt;0,"Overdue",IF(U214&lt;=30,"Due soon","OK")))</f>
        <v/>
      </c>
      <c r="W214" s="79">
        <f>IF(T214="","",IF(U214&lt;0,2,IF(U214&lt;=30,1,0)))</f>
        <v/>
      </c>
      <c r="X214" s="112">
        <f>IF(T214="","",T214)</f>
        <v/>
      </c>
      <c r="Y214" s="79">
        <f>IF(X214="","",IF(X214&lt;=AsOf+AlertDays,2,IF(X214&lt;=AsOf+30,3,"")))</f>
        <v/>
      </c>
      <c r="Z214" s="79">
        <f>IF(Y214="","",IF(U214&lt;0,"Maintenance overdue: ","Maintenance due: ")&amp;P214)</f>
        <v/>
      </c>
    </row>
    <row r="215" ht="20" customHeight="1">
      <c r="B215" s="72" t="n"/>
      <c r="C215" s="72" t="n"/>
      <c r="D215" s="72" t="n"/>
      <c r="E215" s="109" t="n"/>
      <c r="F215" s="74" t="n"/>
      <c r="G215" s="126">
        <f>IF(OR(E215="",F215=""),"",DATE(YEAR(E215),MONTH(E215)+ROUND(F215*12,0),DAY(E215)))</f>
        <v/>
      </c>
      <c r="H215" s="144">
        <f>IF(G215="","",G215-AsOf)</f>
        <v/>
      </c>
      <c r="I215" s="107">
        <f>IF(G215="","",IF(H215&lt;0,"Expired",IF(H215&lt;=90,"Expires soon","Active")))</f>
        <v/>
      </c>
      <c r="J215" s="72" t="n"/>
      <c r="K215" s="79">
        <f>IF(I215="","",IF(I215="Active",0,IF(I215="Expires soon",1,3)))</f>
        <v/>
      </c>
      <c r="L215" s="112">
        <f>IF(G215="","",IF(G215&lt;AsOf,"",G215))</f>
        <v/>
      </c>
      <c r="M215" s="79">
        <f>IF(L215="","",IF(L215&lt;=AsOf+AlertDays,2,IF(L215&lt;=AsOf+90,3,"")))</f>
        <v/>
      </c>
      <c r="N215" s="79">
        <f>IF(M215="","","Warranty expires in "&amp;H215&amp;" days: "&amp;B215&amp;IF(C215="",""," ("&amp;C215&amp;")")&amp;" — check for defects")</f>
        <v/>
      </c>
      <c r="P215" s="72" t="n"/>
      <c r="Q215" s="72" t="n"/>
      <c r="R215" s="89" t="n"/>
      <c r="S215" s="109" t="n"/>
      <c r="T215" s="126">
        <f>IF(OR(R215="",S215=""),"",DATE(YEAR(S215),MONTH(S215)+R215,DAY(S215)))</f>
        <v/>
      </c>
      <c r="U215" s="144">
        <f>IF(T215="","",T215-AsOf)</f>
        <v/>
      </c>
      <c r="V215" s="107">
        <f>IF(T215="",IF(P215="","","Enter last-done date"),IF(U215&lt;0,"Overdue",IF(U215&lt;=30,"Due soon","OK")))</f>
        <v/>
      </c>
      <c r="W215" s="79">
        <f>IF(T215="","",IF(U215&lt;0,2,IF(U215&lt;=30,1,0)))</f>
        <v/>
      </c>
      <c r="X215" s="112">
        <f>IF(T215="","",T215)</f>
        <v/>
      </c>
      <c r="Y215" s="79">
        <f>IF(X215="","",IF(X215&lt;=AsOf+AlertDays,2,IF(X215&lt;=AsOf+30,3,"")))</f>
        <v/>
      </c>
      <c r="Z215" s="79">
        <f>IF(Y215="","",IF(U215&lt;0,"Maintenance overdue: ","Maintenance due: ")&amp;P215)</f>
        <v/>
      </c>
    </row>
    <row r="216" ht="20" customHeight="1">
      <c r="B216" s="72" t="n"/>
      <c r="C216" s="72" t="n"/>
      <c r="D216" s="72" t="n"/>
      <c r="E216" s="109" t="n"/>
      <c r="F216" s="74" t="n"/>
      <c r="G216" s="126">
        <f>IF(OR(E216="",F216=""),"",DATE(YEAR(E216),MONTH(E216)+ROUND(F216*12,0),DAY(E216)))</f>
        <v/>
      </c>
      <c r="H216" s="144">
        <f>IF(G216="","",G216-AsOf)</f>
        <v/>
      </c>
      <c r="I216" s="107">
        <f>IF(G216="","",IF(H216&lt;0,"Expired",IF(H216&lt;=90,"Expires soon","Active")))</f>
        <v/>
      </c>
      <c r="J216" s="72" t="n"/>
      <c r="K216" s="79">
        <f>IF(I216="","",IF(I216="Active",0,IF(I216="Expires soon",1,3)))</f>
        <v/>
      </c>
      <c r="L216" s="112">
        <f>IF(G216="","",IF(G216&lt;AsOf,"",G216))</f>
        <v/>
      </c>
      <c r="M216" s="79">
        <f>IF(L216="","",IF(L216&lt;=AsOf+AlertDays,2,IF(L216&lt;=AsOf+90,3,"")))</f>
        <v/>
      </c>
      <c r="N216" s="79">
        <f>IF(M216="","","Warranty expires in "&amp;H216&amp;" days: "&amp;B216&amp;IF(C216="",""," ("&amp;C216&amp;")")&amp;" — check for defects")</f>
        <v/>
      </c>
      <c r="P216" s="72" t="n"/>
      <c r="Q216" s="72" t="n"/>
      <c r="R216" s="89" t="n"/>
      <c r="S216" s="109" t="n"/>
      <c r="T216" s="126">
        <f>IF(OR(R216="",S216=""),"",DATE(YEAR(S216),MONTH(S216)+R216,DAY(S216)))</f>
        <v/>
      </c>
      <c r="U216" s="144">
        <f>IF(T216="","",T216-AsOf)</f>
        <v/>
      </c>
      <c r="V216" s="107">
        <f>IF(T216="",IF(P216="","","Enter last-done date"),IF(U216&lt;0,"Overdue",IF(U216&lt;=30,"Due soon","OK")))</f>
        <v/>
      </c>
      <c r="W216" s="79">
        <f>IF(T216="","",IF(U216&lt;0,2,IF(U216&lt;=30,1,0)))</f>
        <v/>
      </c>
      <c r="X216" s="112">
        <f>IF(T216="","",T216)</f>
        <v/>
      </c>
      <c r="Y216" s="79">
        <f>IF(X216="","",IF(X216&lt;=AsOf+AlertDays,2,IF(X216&lt;=AsOf+30,3,"")))</f>
        <v/>
      </c>
      <c r="Z216" s="79">
        <f>IF(Y216="","",IF(U216&lt;0,"Maintenance overdue: ","Maintenance due: ")&amp;P216)</f>
        <v/>
      </c>
    </row>
    <row r="217" ht="20" customHeight="1">
      <c r="B217" s="72" t="n"/>
      <c r="C217" s="72" t="n"/>
      <c r="D217" s="72" t="n"/>
      <c r="E217" s="109" t="n"/>
      <c r="F217" s="74" t="n"/>
      <c r="G217" s="126">
        <f>IF(OR(E217="",F217=""),"",DATE(YEAR(E217),MONTH(E217)+ROUND(F217*12,0),DAY(E217)))</f>
        <v/>
      </c>
      <c r="H217" s="144">
        <f>IF(G217="","",G217-AsOf)</f>
        <v/>
      </c>
      <c r="I217" s="107">
        <f>IF(G217="","",IF(H217&lt;0,"Expired",IF(H217&lt;=90,"Expires soon","Active")))</f>
        <v/>
      </c>
      <c r="J217" s="72" t="n"/>
      <c r="K217" s="79">
        <f>IF(I217="","",IF(I217="Active",0,IF(I217="Expires soon",1,3)))</f>
        <v/>
      </c>
      <c r="L217" s="112">
        <f>IF(G217="","",IF(G217&lt;AsOf,"",G217))</f>
        <v/>
      </c>
      <c r="M217" s="79">
        <f>IF(L217="","",IF(L217&lt;=AsOf+AlertDays,2,IF(L217&lt;=AsOf+90,3,"")))</f>
        <v/>
      </c>
      <c r="N217" s="79">
        <f>IF(M217="","","Warranty expires in "&amp;H217&amp;" days: "&amp;B217&amp;IF(C217="",""," ("&amp;C217&amp;")")&amp;" — check for defects")</f>
        <v/>
      </c>
      <c r="P217" s="72" t="n"/>
      <c r="Q217" s="72" t="n"/>
      <c r="R217" s="89" t="n"/>
      <c r="S217" s="109" t="n"/>
      <c r="T217" s="126">
        <f>IF(OR(R217="",S217=""),"",DATE(YEAR(S217),MONTH(S217)+R217,DAY(S217)))</f>
        <v/>
      </c>
      <c r="U217" s="144">
        <f>IF(T217="","",T217-AsOf)</f>
        <v/>
      </c>
      <c r="V217" s="107">
        <f>IF(T217="",IF(P217="","","Enter last-done date"),IF(U217&lt;0,"Overdue",IF(U217&lt;=30,"Due soon","OK")))</f>
        <v/>
      </c>
      <c r="W217" s="79">
        <f>IF(T217="","",IF(U217&lt;0,2,IF(U217&lt;=30,1,0)))</f>
        <v/>
      </c>
      <c r="X217" s="112">
        <f>IF(T217="","",T217)</f>
        <v/>
      </c>
      <c r="Y217" s="79">
        <f>IF(X217="","",IF(X217&lt;=AsOf+AlertDays,2,IF(X217&lt;=AsOf+30,3,"")))</f>
        <v/>
      </c>
      <c r="Z217" s="79">
        <f>IF(Y217="","",IF(U217&lt;0,"Maintenance overdue: ","Maintenance due: ")&amp;P217)</f>
        <v/>
      </c>
    </row>
    <row r="218" ht="20" customHeight="1">
      <c r="B218" s="72" t="n"/>
      <c r="C218" s="72" t="n"/>
      <c r="D218" s="72" t="n"/>
      <c r="E218" s="109" t="n"/>
      <c r="F218" s="74" t="n"/>
      <c r="G218" s="126">
        <f>IF(OR(E218="",F218=""),"",DATE(YEAR(E218),MONTH(E218)+ROUND(F218*12,0),DAY(E218)))</f>
        <v/>
      </c>
      <c r="H218" s="144">
        <f>IF(G218="","",G218-AsOf)</f>
        <v/>
      </c>
      <c r="I218" s="107">
        <f>IF(G218="","",IF(H218&lt;0,"Expired",IF(H218&lt;=90,"Expires soon","Active")))</f>
        <v/>
      </c>
      <c r="J218" s="72" t="n"/>
      <c r="K218" s="79">
        <f>IF(I218="","",IF(I218="Active",0,IF(I218="Expires soon",1,3)))</f>
        <v/>
      </c>
      <c r="L218" s="112">
        <f>IF(G218="","",IF(G218&lt;AsOf,"",G218))</f>
        <v/>
      </c>
      <c r="M218" s="79">
        <f>IF(L218="","",IF(L218&lt;=AsOf+AlertDays,2,IF(L218&lt;=AsOf+90,3,"")))</f>
        <v/>
      </c>
      <c r="N218" s="79">
        <f>IF(M218="","","Warranty expires in "&amp;H218&amp;" days: "&amp;B218&amp;IF(C218="",""," ("&amp;C218&amp;")")&amp;" — check for defects")</f>
        <v/>
      </c>
      <c r="P218" s="72" t="n"/>
      <c r="Q218" s="72" t="n"/>
      <c r="R218" s="89" t="n"/>
      <c r="S218" s="109" t="n"/>
      <c r="T218" s="126">
        <f>IF(OR(R218="",S218=""),"",DATE(YEAR(S218),MONTH(S218)+R218,DAY(S218)))</f>
        <v/>
      </c>
      <c r="U218" s="144">
        <f>IF(T218="","",T218-AsOf)</f>
        <v/>
      </c>
      <c r="V218" s="107">
        <f>IF(T218="",IF(P218="","","Enter last-done date"),IF(U218&lt;0,"Overdue",IF(U218&lt;=30,"Due soon","OK")))</f>
        <v/>
      </c>
      <c r="W218" s="79">
        <f>IF(T218="","",IF(U218&lt;0,2,IF(U218&lt;=30,1,0)))</f>
        <v/>
      </c>
      <c r="X218" s="112">
        <f>IF(T218="","",T218)</f>
        <v/>
      </c>
      <c r="Y218" s="79">
        <f>IF(X218="","",IF(X218&lt;=AsOf+AlertDays,2,IF(X218&lt;=AsOf+30,3,"")))</f>
        <v/>
      </c>
      <c r="Z218" s="79">
        <f>IF(Y218="","",IF(U218&lt;0,"Maintenance overdue: ","Maintenance due: ")&amp;P218)</f>
        <v/>
      </c>
    </row>
    <row r="219" ht="20" customHeight="1">
      <c r="B219" s="72" t="n"/>
      <c r="C219" s="72" t="n"/>
      <c r="D219" s="72" t="n"/>
      <c r="E219" s="109" t="n"/>
      <c r="F219" s="74" t="n"/>
      <c r="G219" s="126">
        <f>IF(OR(E219="",F219=""),"",DATE(YEAR(E219),MONTH(E219)+ROUND(F219*12,0),DAY(E219)))</f>
        <v/>
      </c>
      <c r="H219" s="144">
        <f>IF(G219="","",G219-AsOf)</f>
        <v/>
      </c>
      <c r="I219" s="107">
        <f>IF(G219="","",IF(H219&lt;0,"Expired",IF(H219&lt;=90,"Expires soon","Active")))</f>
        <v/>
      </c>
      <c r="J219" s="72" t="n"/>
      <c r="K219" s="79">
        <f>IF(I219="","",IF(I219="Active",0,IF(I219="Expires soon",1,3)))</f>
        <v/>
      </c>
      <c r="L219" s="112">
        <f>IF(G219="","",IF(G219&lt;AsOf,"",G219))</f>
        <v/>
      </c>
      <c r="M219" s="79">
        <f>IF(L219="","",IF(L219&lt;=AsOf+AlertDays,2,IF(L219&lt;=AsOf+90,3,"")))</f>
        <v/>
      </c>
      <c r="N219" s="79">
        <f>IF(M219="","","Warranty expires in "&amp;H219&amp;" days: "&amp;B219&amp;IF(C219="",""," ("&amp;C219&amp;")")&amp;" — check for defects")</f>
        <v/>
      </c>
      <c r="P219" s="72" t="n"/>
      <c r="Q219" s="72" t="n"/>
      <c r="R219" s="89" t="n"/>
      <c r="S219" s="109" t="n"/>
      <c r="T219" s="126">
        <f>IF(OR(R219="",S219=""),"",DATE(YEAR(S219),MONTH(S219)+R219,DAY(S219)))</f>
        <v/>
      </c>
      <c r="U219" s="144">
        <f>IF(T219="","",T219-AsOf)</f>
        <v/>
      </c>
      <c r="V219" s="107">
        <f>IF(T219="",IF(P219="","","Enter last-done date"),IF(U219&lt;0,"Overdue",IF(U219&lt;=30,"Due soon","OK")))</f>
        <v/>
      </c>
      <c r="W219" s="79">
        <f>IF(T219="","",IF(U219&lt;0,2,IF(U219&lt;=30,1,0)))</f>
        <v/>
      </c>
      <c r="X219" s="112">
        <f>IF(T219="","",T219)</f>
        <v/>
      </c>
      <c r="Y219" s="79">
        <f>IF(X219="","",IF(X219&lt;=AsOf+AlertDays,2,IF(X219&lt;=AsOf+30,3,"")))</f>
        <v/>
      </c>
      <c r="Z219" s="79">
        <f>IF(Y219="","",IF(U219&lt;0,"Maintenance overdue: ","Maintenance due: ")&amp;P219)</f>
        <v/>
      </c>
    </row>
    <row r="220" ht="20" customHeight="1">
      <c r="B220" s="72" t="n"/>
      <c r="C220" s="72" t="n"/>
      <c r="D220" s="72" t="n"/>
      <c r="E220" s="109" t="n"/>
      <c r="F220" s="74" t="n"/>
      <c r="G220" s="126">
        <f>IF(OR(E220="",F220=""),"",DATE(YEAR(E220),MONTH(E220)+ROUND(F220*12,0),DAY(E220)))</f>
        <v/>
      </c>
      <c r="H220" s="144">
        <f>IF(G220="","",G220-AsOf)</f>
        <v/>
      </c>
      <c r="I220" s="107">
        <f>IF(G220="","",IF(H220&lt;0,"Expired",IF(H220&lt;=90,"Expires soon","Active")))</f>
        <v/>
      </c>
      <c r="J220" s="72" t="n"/>
      <c r="K220" s="79">
        <f>IF(I220="","",IF(I220="Active",0,IF(I220="Expires soon",1,3)))</f>
        <v/>
      </c>
      <c r="L220" s="112">
        <f>IF(G220="","",IF(G220&lt;AsOf,"",G220))</f>
        <v/>
      </c>
      <c r="M220" s="79">
        <f>IF(L220="","",IF(L220&lt;=AsOf+AlertDays,2,IF(L220&lt;=AsOf+90,3,"")))</f>
        <v/>
      </c>
      <c r="N220" s="79">
        <f>IF(M220="","","Warranty expires in "&amp;H220&amp;" days: "&amp;B220&amp;IF(C220="",""," ("&amp;C220&amp;")")&amp;" — check for defects")</f>
        <v/>
      </c>
      <c r="P220" s="72" t="n"/>
      <c r="Q220" s="72" t="n"/>
      <c r="R220" s="89" t="n"/>
      <c r="S220" s="109" t="n"/>
      <c r="T220" s="126">
        <f>IF(OR(R220="",S220=""),"",DATE(YEAR(S220),MONTH(S220)+R220,DAY(S220)))</f>
        <v/>
      </c>
      <c r="U220" s="144">
        <f>IF(T220="","",T220-AsOf)</f>
        <v/>
      </c>
      <c r="V220" s="107">
        <f>IF(T220="",IF(P220="","","Enter last-done date"),IF(U220&lt;0,"Overdue",IF(U220&lt;=30,"Due soon","OK")))</f>
        <v/>
      </c>
      <c r="W220" s="79">
        <f>IF(T220="","",IF(U220&lt;0,2,IF(U220&lt;=30,1,0)))</f>
        <v/>
      </c>
      <c r="X220" s="112">
        <f>IF(T220="","",T220)</f>
        <v/>
      </c>
      <c r="Y220" s="79">
        <f>IF(X220="","",IF(X220&lt;=AsOf+AlertDays,2,IF(X220&lt;=AsOf+30,3,"")))</f>
        <v/>
      </c>
      <c r="Z220" s="79">
        <f>IF(Y220="","",IF(U220&lt;0,"Maintenance overdue: ","Maintenance due: ")&amp;P220)</f>
        <v/>
      </c>
    </row>
    <row r="221" ht="20" customHeight="1">
      <c r="B221" s="72" t="n"/>
      <c r="C221" s="72" t="n"/>
      <c r="D221" s="72" t="n"/>
      <c r="E221" s="109" t="n"/>
      <c r="F221" s="74" t="n"/>
      <c r="G221" s="126">
        <f>IF(OR(E221="",F221=""),"",DATE(YEAR(E221),MONTH(E221)+ROUND(F221*12,0),DAY(E221)))</f>
        <v/>
      </c>
      <c r="H221" s="144">
        <f>IF(G221="","",G221-AsOf)</f>
        <v/>
      </c>
      <c r="I221" s="107">
        <f>IF(G221="","",IF(H221&lt;0,"Expired",IF(H221&lt;=90,"Expires soon","Active")))</f>
        <v/>
      </c>
      <c r="J221" s="72" t="n"/>
      <c r="K221" s="79">
        <f>IF(I221="","",IF(I221="Active",0,IF(I221="Expires soon",1,3)))</f>
        <v/>
      </c>
      <c r="L221" s="112">
        <f>IF(G221="","",IF(G221&lt;AsOf,"",G221))</f>
        <v/>
      </c>
      <c r="M221" s="79">
        <f>IF(L221="","",IF(L221&lt;=AsOf+AlertDays,2,IF(L221&lt;=AsOf+90,3,"")))</f>
        <v/>
      </c>
      <c r="N221" s="79">
        <f>IF(M221="","","Warranty expires in "&amp;H221&amp;" days: "&amp;B221&amp;IF(C221="",""," ("&amp;C221&amp;")")&amp;" — check for defects")</f>
        <v/>
      </c>
      <c r="P221" s="72" t="n"/>
      <c r="Q221" s="72" t="n"/>
      <c r="R221" s="89" t="n"/>
      <c r="S221" s="109" t="n"/>
      <c r="T221" s="126">
        <f>IF(OR(R221="",S221=""),"",DATE(YEAR(S221),MONTH(S221)+R221,DAY(S221)))</f>
        <v/>
      </c>
      <c r="U221" s="144">
        <f>IF(T221="","",T221-AsOf)</f>
        <v/>
      </c>
      <c r="V221" s="107">
        <f>IF(T221="",IF(P221="","","Enter last-done date"),IF(U221&lt;0,"Overdue",IF(U221&lt;=30,"Due soon","OK")))</f>
        <v/>
      </c>
      <c r="W221" s="79">
        <f>IF(T221="","",IF(U221&lt;0,2,IF(U221&lt;=30,1,0)))</f>
        <v/>
      </c>
      <c r="X221" s="112">
        <f>IF(T221="","",T221)</f>
        <v/>
      </c>
      <c r="Y221" s="79">
        <f>IF(X221="","",IF(X221&lt;=AsOf+AlertDays,2,IF(X221&lt;=AsOf+30,3,"")))</f>
        <v/>
      </c>
      <c r="Z221" s="79">
        <f>IF(Y221="","",IF(U221&lt;0,"Maintenance overdue: ","Maintenance due: ")&amp;P221)</f>
        <v/>
      </c>
    </row>
    <row r="222" ht="20" customHeight="1">
      <c r="B222" s="72" t="n"/>
      <c r="C222" s="72" t="n"/>
      <c r="D222" s="72" t="n"/>
      <c r="E222" s="109" t="n"/>
      <c r="F222" s="74" t="n"/>
      <c r="G222" s="126">
        <f>IF(OR(E222="",F222=""),"",DATE(YEAR(E222),MONTH(E222)+ROUND(F222*12,0),DAY(E222)))</f>
        <v/>
      </c>
      <c r="H222" s="144">
        <f>IF(G222="","",G222-AsOf)</f>
        <v/>
      </c>
      <c r="I222" s="107">
        <f>IF(G222="","",IF(H222&lt;0,"Expired",IF(H222&lt;=90,"Expires soon","Active")))</f>
        <v/>
      </c>
      <c r="J222" s="72" t="n"/>
      <c r="K222" s="79">
        <f>IF(I222="","",IF(I222="Active",0,IF(I222="Expires soon",1,3)))</f>
        <v/>
      </c>
      <c r="L222" s="112">
        <f>IF(G222="","",IF(G222&lt;AsOf,"",G222))</f>
        <v/>
      </c>
      <c r="M222" s="79">
        <f>IF(L222="","",IF(L222&lt;=AsOf+AlertDays,2,IF(L222&lt;=AsOf+90,3,"")))</f>
        <v/>
      </c>
      <c r="N222" s="79">
        <f>IF(M222="","","Warranty expires in "&amp;H222&amp;" days: "&amp;B222&amp;IF(C222="",""," ("&amp;C222&amp;")")&amp;" — check for defects")</f>
        <v/>
      </c>
      <c r="P222" s="72" t="n"/>
      <c r="Q222" s="72" t="n"/>
      <c r="R222" s="89" t="n"/>
      <c r="S222" s="109" t="n"/>
      <c r="T222" s="126">
        <f>IF(OR(R222="",S222=""),"",DATE(YEAR(S222),MONTH(S222)+R222,DAY(S222)))</f>
        <v/>
      </c>
      <c r="U222" s="144">
        <f>IF(T222="","",T222-AsOf)</f>
        <v/>
      </c>
      <c r="V222" s="107">
        <f>IF(T222="",IF(P222="","","Enter last-done date"),IF(U222&lt;0,"Overdue",IF(U222&lt;=30,"Due soon","OK")))</f>
        <v/>
      </c>
      <c r="W222" s="79">
        <f>IF(T222="","",IF(U222&lt;0,2,IF(U222&lt;=30,1,0)))</f>
        <v/>
      </c>
      <c r="X222" s="112">
        <f>IF(T222="","",T222)</f>
        <v/>
      </c>
      <c r="Y222" s="79">
        <f>IF(X222="","",IF(X222&lt;=AsOf+AlertDays,2,IF(X222&lt;=AsOf+30,3,"")))</f>
        <v/>
      </c>
      <c r="Z222" s="79">
        <f>IF(Y222="","",IF(U222&lt;0,"Maintenance overdue: ","Maintenance due: ")&amp;P222)</f>
        <v/>
      </c>
    </row>
    <row r="223" ht="20" customHeight="1">
      <c r="B223" s="72" t="n"/>
      <c r="C223" s="72" t="n"/>
      <c r="D223" s="72" t="n"/>
      <c r="E223" s="109" t="n"/>
      <c r="F223" s="74" t="n"/>
      <c r="G223" s="126">
        <f>IF(OR(E223="",F223=""),"",DATE(YEAR(E223),MONTH(E223)+ROUND(F223*12,0),DAY(E223)))</f>
        <v/>
      </c>
      <c r="H223" s="144">
        <f>IF(G223="","",G223-AsOf)</f>
        <v/>
      </c>
      <c r="I223" s="107">
        <f>IF(G223="","",IF(H223&lt;0,"Expired",IF(H223&lt;=90,"Expires soon","Active")))</f>
        <v/>
      </c>
      <c r="J223" s="72" t="n"/>
      <c r="K223" s="79">
        <f>IF(I223="","",IF(I223="Active",0,IF(I223="Expires soon",1,3)))</f>
        <v/>
      </c>
      <c r="L223" s="112">
        <f>IF(G223="","",IF(G223&lt;AsOf,"",G223))</f>
        <v/>
      </c>
      <c r="M223" s="79">
        <f>IF(L223="","",IF(L223&lt;=AsOf+AlertDays,2,IF(L223&lt;=AsOf+90,3,"")))</f>
        <v/>
      </c>
      <c r="N223" s="79">
        <f>IF(M223="","","Warranty expires in "&amp;H223&amp;" days: "&amp;B223&amp;IF(C223="",""," ("&amp;C223&amp;")")&amp;" — check for defects")</f>
        <v/>
      </c>
      <c r="P223" s="72" t="n"/>
      <c r="Q223" s="72" t="n"/>
      <c r="R223" s="89" t="n"/>
      <c r="S223" s="109" t="n"/>
      <c r="T223" s="126">
        <f>IF(OR(R223="",S223=""),"",DATE(YEAR(S223),MONTH(S223)+R223,DAY(S223)))</f>
        <v/>
      </c>
      <c r="U223" s="144">
        <f>IF(T223="","",T223-AsOf)</f>
        <v/>
      </c>
      <c r="V223" s="107">
        <f>IF(T223="",IF(P223="","","Enter last-done date"),IF(U223&lt;0,"Overdue",IF(U223&lt;=30,"Due soon","OK")))</f>
        <v/>
      </c>
      <c r="W223" s="79">
        <f>IF(T223="","",IF(U223&lt;0,2,IF(U223&lt;=30,1,0)))</f>
        <v/>
      </c>
      <c r="X223" s="112">
        <f>IF(T223="","",T223)</f>
        <v/>
      </c>
      <c r="Y223" s="79">
        <f>IF(X223="","",IF(X223&lt;=AsOf+AlertDays,2,IF(X223&lt;=AsOf+30,3,"")))</f>
        <v/>
      </c>
      <c r="Z223" s="79">
        <f>IF(Y223="","",IF(U223&lt;0,"Maintenance overdue: ","Maintenance due: ")&amp;P223)</f>
        <v/>
      </c>
    </row>
    <row r="224" ht="20" customHeight="1">
      <c r="B224" s="72" t="n"/>
      <c r="C224" s="72" t="n"/>
      <c r="D224" s="72" t="n"/>
      <c r="E224" s="109" t="n"/>
      <c r="F224" s="74" t="n"/>
      <c r="G224" s="126">
        <f>IF(OR(E224="",F224=""),"",DATE(YEAR(E224),MONTH(E224)+ROUND(F224*12,0),DAY(E224)))</f>
        <v/>
      </c>
      <c r="H224" s="144">
        <f>IF(G224="","",G224-AsOf)</f>
        <v/>
      </c>
      <c r="I224" s="107">
        <f>IF(G224="","",IF(H224&lt;0,"Expired",IF(H224&lt;=90,"Expires soon","Active")))</f>
        <v/>
      </c>
      <c r="J224" s="72" t="n"/>
      <c r="K224" s="79">
        <f>IF(I224="","",IF(I224="Active",0,IF(I224="Expires soon",1,3)))</f>
        <v/>
      </c>
      <c r="L224" s="112">
        <f>IF(G224="","",IF(G224&lt;AsOf,"",G224))</f>
        <v/>
      </c>
      <c r="M224" s="79">
        <f>IF(L224="","",IF(L224&lt;=AsOf+AlertDays,2,IF(L224&lt;=AsOf+90,3,"")))</f>
        <v/>
      </c>
      <c r="N224" s="79">
        <f>IF(M224="","","Warranty expires in "&amp;H224&amp;" days: "&amp;B224&amp;IF(C224="",""," ("&amp;C224&amp;")")&amp;" — check for defects")</f>
        <v/>
      </c>
      <c r="P224" s="72" t="n"/>
      <c r="Q224" s="72" t="n"/>
      <c r="R224" s="89" t="n"/>
      <c r="S224" s="109" t="n"/>
      <c r="T224" s="126">
        <f>IF(OR(R224="",S224=""),"",DATE(YEAR(S224),MONTH(S224)+R224,DAY(S224)))</f>
        <v/>
      </c>
      <c r="U224" s="144">
        <f>IF(T224="","",T224-AsOf)</f>
        <v/>
      </c>
      <c r="V224" s="107">
        <f>IF(T224="",IF(P224="","","Enter last-done date"),IF(U224&lt;0,"Overdue",IF(U224&lt;=30,"Due soon","OK")))</f>
        <v/>
      </c>
      <c r="W224" s="79">
        <f>IF(T224="","",IF(U224&lt;0,2,IF(U224&lt;=30,1,0)))</f>
        <v/>
      </c>
      <c r="X224" s="112">
        <f>IF(T224="","",T224)</f>
        <v/>
      </c>
      <c r="Y224" s="79">
        <f>IF(X224="","",IF(X224&lt;=AsOf+AlertDays,2,IF(X224&lt;=AsOf+30,3,"")))</f>
        <v/>
      </c>
      <c r="Z224" s="79">
        <f>IF(Y224="","",IF(U224&lt;0,"Maintenance overdue: ","Maintenance due: ")&amp;P224)</f>
        <v/>
      </c>
    </row>
    <row r="225" ht="20" customHeight="1">
      <c r="B225" s="72" t="n"/>
      <c r="C225" s="72" t="n"/>
      <c r="D225" s="72" t="n"/>
      <c r="E225" s="109" t="n"/>
      <c r="F225" s="74" t="n"/>
      <c r="G225" s="126">
        <f>IF(OR(E225="",F225=""),"",DATE(YEAR(E225),MONTH(E225)+ROUND(F225*12,0),DAY(E225)))</f>
        <v/>
      </c>
      <c r="H225" s="144">
        <f>IF(G225="","",G225-AsOf)</f>
        <v/>
      </c>
      <c r="I225" s="107">
        <f>IF(G225="","",IF(H225&lt;0,"Expired",IF(H225&lt;=90,"Expires soon","Active")))</f>
        <v/>
      </c>
      <c r="J225" s="72" t="n"/>
      <c r="K225" s="79">
        <f>IF(I225="","",IF(I225="Active",0,IF(I225="Expires soon",1,3)))</f>
        <v/>
      </c>
      <c r="L225" s="112">
        <f>IF(G225="","",IF(G225&lt;AsOf,"",G225))</f>
        <v/>
      </c>
      <c r="M225" s="79">
        <f>IF(L225="","",IF(L225&lt;=AsOf+AlertDays,2,IF(L225&lt;=AsOf+90,3,"")))</f>
        <v/>
      </c>
      <c r="N225" s="79">
        <f>IF(M225="","","Warranty expires in "&amp;H225&amp;" days: "&amp;B225&amp;IF(C225="",""," ("&amp;C225&amp;")")&amp;" — check for defects")</f>
        <v/>
      </c>
      <c r="P225" s="72" t="n"/>
      <c r="Q225" s="72" t="n"/>
      <c r="R225" s="89" t="n"/>
      <c r="S225" s="109" t="n"/>
      <c r="T225" s="126">
        <f>IF(OR(R225="",S225=""),"",DATE(YEAR(S225),MONTH(S225)+R225,DAY(S225)))</f>
        <v/>
      </c>
      <c r="U225" s="144">
        <f>IF(T225="","",T225-AsOf)</f>
        <v/>
      </c>
      <c r="V225" s="107">
        <f>IF(T225="",IF(P225="","","Enter last-done date"),IF(U225&lt;0,"Overdue",IF(U225&lt;=30,"Due soon","OK")))</f>
        <v/>
      </c>
      <c r="W225" s="79">
        <f>IF(T225="","",IF(U225&lt;0,2,IF(U225&lt;=30,1,0)))</f>
        <v/>
      </c>
      <c r="X225" s="112">
        <f>IF(T225="","",T225)</f>
        <v/>
      </c>
      <c r="Y225" s="79">
        <f>IF(X225="","",IF(X225&lt;=AsOf+AlertDays,2,IF(X225&lt;=AsOf+30,3,"")))</f>
        <v/>
      </c>
      <c r="Z225" s="79">
        <f>IF(Y225="","",IF(U225&lt;0,"Maintenance overdue: ","Maintenance due: ")&amp;P225)</f>
        <v/>
      </c>
    </row>
    <row r="226" ht="20" customHeight="1">
      <c r="B226" s="72" t="n"/>
      <c r="C226" s="72" t="n"/>
      <c r="D226" s="72" t="n"/>
      <c r="E226" s="109" t="n"/>
      <c r="F226" s="74" t="n"/>
      <c r="G226" s="126">
        <f>IF(OR(E226="",F226=""),"",DATE(YEAR(E226),MONTH(E226)+ROUND(F226*12,0),DAY(E226)))</f>
        <v/>
      </c>
      <c r="H226" s="144">
        <f>IF(G226="","",G226-AsOf)</f>
        <v/>
      </c>
      <c r="I226" s="107">
        <f>IF(G226="","",IF(H226&lt;0,"Expired",IF(H226&lt;=90,"Expires soon","Active")))</f>
        <v/>
      </c>
      <c r="J226" s="72" t="n"/>
      <c r="K226" s="79">
        <f>IF(I226="","",IF(I226="Active",0,IF(I226="Expires soon",1,3)))</f>
        <v/>
      </c>
      <c r="L226" s="112">
        <f>IF(G226="","",IF(G226&lt;AsOf,"",G226))</f>
        <v/>
      </c>
      <c r="M226" s="79">
        <f>IF(L226="","",IF(L226&lt;=AsOf+AlertDays,2,IF(L226&lt;=AsOf+90,3,"")))</f>
        <v/>
      </c>
      <c r="N226" s="79">
        <f>IF(M226="","","Warranty expires in "&amp;H226&amp;" days: "&amp;B226&amp;IF(C226="",""," ("&amp;C226&amp;")")&amp;" — check for defects")</f>
        <v/>
      </c>
      <c r="P226" s="72" t="n"/>
      <c r="Q226" s="72" t="n"/>
      <c r="R226" s="89" t="n"/>
      <c r="S226" s="109" t="n"/>
      <c r="T226" s="126">
        <f>IF(OR(R226="",S226=""),"",DATE(YEAR(S226),MONTH(S226)+R226,DAY(S226)))</f>
        <v/>
      </c>
      <c r="U226" s="144">
        <f>IF(T226="","",T226-AsOf)</f>
        <v/>
      </c>
      <c r="V226" s="107">
        <f>IF(T226="",IF(P226="","","Enter last-done date"),IF(U226&lt;0,"Overdue",IF(U226&lt;=30,"Due soon","OK")))</f>
        <v/>
      </c>
      <c r="W226" s="79">
        <f>IF(T226="","",IF(U226&lt;0,2,IF(U226&lt;=30,1,0)))</f>
        <v/>
      </c>
      <c r="X226" s="112">
        <f>IF(T226="","",T226)</f>
        <v/>
      </c>
      <c r="Y226" s="79">
        <f>IF(X226="","",IF(X226&lt;=AsOf+AlertDays,2,IF(X226&lt;=AsOf+30,3,"")))</f>
        <v/>
      </c>
      <c r="Z226" s="79">
        <f>IF(Y226="","",IF(U226&lt;0,"Maintenance overdue: ","Maintenance due: ")&amp;P226)</f>
        <v/>
      </c>
    </row>
    <row r="227" ht="20" customHeight="1">
      <c r="B227" s="72" t="n"/>
      <c r="C227" s="72" t="n"/>
      <c r="D227" s="72" t="n"/>
      <c r="E227" s="109" t="n"/>
      <c r="F227" s="74" t="n"/>
      <c r="G227" s="126">
        <f>IF(OR(E227="",F227=""),"",DATE(YEAR(E227),MONTH(E227)+ROUND(F227*12,0),DAY(E227)))</f>
        <v/>
      </c>
      <c r="H227" s="144">
        <f>IF(G227="","",G227-AsOf)</f>
        <v/>
      </c>
      <c r="I227" s="107">
        <f>IF(G227="","",IF(H227&lt;0,"Expired",IF(H227&lt;=90,"Expires soon","Active")))</f>
        <v/>
      </c>
      <c r="J227" s="72" t="n"/>
      <c r="K227" s="79">
        <f>IF(I227="","",IF(I227="Active",0,IF(I227="Expires soon",1,3)))</f>
        <v/>
      </c>
      <c r="L227" s="112">
        <f>IF(G227="","",IF(G227&lt;AsOf,"",G227))</f>
        <v/>
      </c>
      <c r="M227" s="79">
        <f>IF(L227="","",IF(L227&lt;=AsOf+AlertDays,2,IF(L227&lt;=AsOf+90,3,"")))</f>
        <v/>
      </c>
      <c r="N227" s="79">
        <f>IF(M227="","","Warranty expires in "&amp;H227&amp;" days: "&amp;B227&amp;IF(C227="",""," ("&amp;C227&amp;")")&amp;" — check for defects")</f>
        <v/>
      </c>
      <c r="P227" s="72" t="n"/>
      <c r="Q227" s="72" t="n"/>
      <c r="R227" s="89" t="n"/>
      <c r="S227" s="109" t="n"/>
      <c r="T227" s="126">
        <f>IF(OR(R227="",S227=""),"",DATE(YEAR(S227),MONTH(S227)+R227,DAY(S227)))</f>
        <v/>
      </c>
      <c r="U227" s="144">
        <f>IF(T227="","",T227-AsOf)</f>
        <v/>
      </c>
      <c r="V227" s="107">
        <f>IF(T227="",IF(P227="","","Enter last-done date"),IF(U227&lt;0,"Overdue",IF(U227&lt;=30,"Due soon","OK")))</f>
        <v/>
      </c>
      <c r="W227" s="79">
        <f>IF(T227="","",IF(U227&lt;0,2,IF(U227&lt;=30,1,0)))</f>
        <v/>
      </c>
      <c r="X227" s="112">
        <f>IF(T227="","",T227)</f>
        <v/>
      </c>
      <c r="Y227" s="79">
        <f>IF(X227="","",IF(X227&lt;=AsOf+AlertDays,2,IF(X227&lt;=AsOf+30,3,"")))</f>
        <v/>
      </c>
      <c r="Z227" s="79">
        <f>IF(Y227="","",IF(U227&lt;0,"Maintenance overdue: ","Maintenance due: ")&amp;P227)</f>
        <v/>
      </c>
    </row>
    <row r="228" ht="20" customHeight="1">
      <c r="B228" s="72" t="n"/>
      <c r="C228" s="72" t="n"/>
      <c r="D228" s="72" t="n"/>
      <c r="E228" s="109" t="n"/>
      <c r="F228" s="74" t="n"/>
      <c r="G228" s="126">
        <f>IF(OR(E228="",F228=""),"",DATE(YEAR(E228),MONTH(E228)+ROUND(F228*12,0),DAY(E228)))</f>
        <v/>
      </c>
      <c r="H228" s="144">
        <f>IF(G228="","",G228-AsOf)</f>
        <v/>
      </c>
      <c r="I228" s="107">
        <f>IF(G228="","",IF(H228&lt;0,"Expired",IF(H228&lt;=90,"Expires soon","Active")))</f>
        <v/>
      </c>
      <c r="J228" s="72" t="n"/>
      <c r="K228" s="79">
        <f>IF(I228="","",IF(I228="Active",0,IF(I228="Expires soon",1,3)))</f>
        <v/>
      </c>
      <c r="L228" s="112">
        <f>IF(G228="","",IF(G228&lt;AsOf,"",G228))</f>
        <v/>
      </c>
      <c r="M228" s="79">
        <f>IF(L228="","",IF(L228&lt;=AsOf+AlertDays,2,IF(L228&lt;=AsOf+90,3,"")))</f>
        <v/>
      </c>
      <c r="N228" s="79">
        <f>IF(M228="","","Warranty expires in "&amp;H228&amp;" days: "&amp;B228&amp;IF(C228="",""," ("&amp;C228&amp;")")&amp;" — check for defects")</f>
        <v/>
      </c>
      <c r="P228" s="72" t="n"/>
      <c r="Q228" s="72" t="n"/>
      <c r="R228" s="89" t="n"/>
      <c r="S228" s="109" t="n"/>
      <c r="T228" s="126">
        <f>IF(OR(R228="",S228=""),"",DATE(YEAR(S228),MONTH(S228)+R228,DAY(S228)))</f>
        <v/>
      </c>
      <c r="U228" s="144">
        <f>IF(T228="","",T228-AsOf)</f>
        <v/>
      </c>
      <c r="V228" s="107">
        <f>IF(T228="",IF(P228="","","Enter last-done date"),IF(U228&lt;0,"Overdue",IF(U228&lt;=30,"Due soon","OK")))</f>
        <v/>
      </c>
      <c r="W228" s="79">
        <f>IF(T228="","",IF(U228&lt;0,2,IF(U228&lt;=30,1,0)))</f>
        <v/>
      </c>
      <c r="X228" s="112">
        <f>IF(T228="","",T228)</f>
        <v/>
      </c>
      <c r="Y228" s="79">
        <f>IF(X228="","",IF(X228&lt;=AsOf+AlertDays,2,IF(X228&lt;=AsOf+30,3,"")))</f>
        <v/>
      </c>
      <c r="Z228" s="79">
        <f>IF(Y228="","",IF(U228&lt;0,"Maintenance overdue: ","Maintenance due: ")&amp;P228)</f>
        <v/>
      </c>
    </row>
    <row r="229" ht="20" customHeight="1">
      <c r="B229" s="72" t="n"/>
      <c r="C229" s="72" t="n"/>
      <c r="D229" s="72" t="n"/>
      <c r="E229" s="109" t="n"/>
      <c r="F229" s="74" t="n"/>
      <c r="G229" s="126">
        <f>IF(OR(E229="",F229=""),"",DATE(YEAR(E229),MONTH(E229)+ROUND(F229*12,0),DAY(E229)))</f>
        <v/>
      </c>
      <c r="H229" s="144">
        <f>IF(G229="","",G229-AsOf)</f>
        <v/>
      </c>
      <c r="I229" s="107">
        <f>IF(G229="","",IF(H229&lt;0,"Expired",IF(H229&lt;=90,"Expires soon","Active")))</f>
        <v/>
      </c>
      <c r="J229" s="72" t="n"/>
      <c r="K229" s="79">
        <f>IF(I229="","",IF(I229="Active",0,IF(I229="Expires soon",1,3)))</f>
        <v/>
      </c>
      <c r="L229" s="112">
        <f>IF(G229="","",IF(G229&lt;AsOf,"",G229))</f>
        <v/>
      </c>
      <c r="M229" s="79">
        <f>IF(L229="","",IF(L229&lt;=AsOf+AlertDays,2,IF(L229&lt;=AsOf+90,3,"")))</f>
        <v/>
      </c>
      <c r="N229" s="79">
        <f>IF(M229="","","Warranty expires in "&amp;H229&amp;" days: "&amp;B229&amp;IF(C229="",""," ("&amp;C229&amp;")")&amp;" — check for defects")</f>
        <v/>
      </c>
      <c r="P229" s="72" t="n"/>
      <c r="Q229" s="72" t="n"/>
      <c r="R229" s="89" t="n"/>
      <c r="S229" s="109" t="n"/>
      <c r="T229" s="126">
        <f>IF(OR(R229="",S229=""),"",DATE(YEAR(S229),MONTH(S229)+R229,DAY(S229)))</f>
        <v/>
      </c>
      <c r="U229" s="144">
        <f>IF(T229="","",T229-AsOf)</f>
        <v/>
      </c>
      <c r="V229" s="107">
        <f>IF(T229="",IF(P229="","","Enter last-done date"),IF(U229&lt;0,"Overdue",IF(U229&lt;=30,"Due soon","OK")))</f>
        <v/>
      </c>
      <c r="W229" s="79">
        <f>IF(T229="","",IF(U229&lt;0,2,IF(U229&lt;=30,1,0)))</f>
        <v/>
      </c>
      <c r="X229" s="112">
        <f>IF(T229="","",T229)</f>
        <v/>
      </c>
      <c r="Y229" s="79">
        <f>IF(X229="","",IF(X229&lt;=AsOf+AlertDays,2,IF(X229&lt;=AsOf+30,3,"")))</f>
        <v/>
      </c>
      <c r="Z229" s="79">
        <f>IF(Y229="","",IF(U229&lt;0,"Maintenance overdue: ","Maintenance due: ")&amp;P229)</f>
        <v/>
      </c>
    </row>
    <row r="230" ht="20" customHeight="1">
      <c r="B230" s="72" t="n"/>
      <c r="C230" s="72" t="n"/>
      <c r="D230" s="72" t="n"/>
      <c r="E230" s="109" t="n"/>
      <c r="F230" s="74" t="n"/>
      <c r="G230" s="126">
        <f>IF(OR(E230="",F230=""),"",DATE(YEAR(E230),MONTH(E230)+ROUND(F230*12,0),DAY(E230)))</f>
        <v/>
      </c>
      <c r="H230" s="144">
        <f>IF(G230="","",G230-AsOf)</f>
        <v/>
      </c>
      <c r="I230" s="107">
        <f>IF(G230="","",IF(H230&lt;0,"Expired",IF(H230&lt;=90,"Expires soon","Active")))</f>
        <v/>
      </c>
      <c r="J230" s="72" t="n"/>
      <c r="K230" s="79">
        <f>IF(I230="","",IF(I230="Active",0,IF(I230="Expires soon",1,3)))</f>
        <v/>
      </c>
      <c r="L230" s="112">
        <f>IF(G230="","",IF(G230&lt;AsOf,"",G230))</f>
        <v/>
      </c>
      <c r="M230" s="79">
        <f>IF(L230="","",IF(L230&lt;=AsOf+AlertDays,2,IF(L230&lt;=AsOf+90,3,"")))</f>
        <v/>
      </c>
      <c r="N230" s="79">
        <f>IF(M230="","","Warranty expires in "&amp;H230&amp;" days: "&amp;B230&amp;IF(C230="",""," ("&amp;C230&amp;")")&amp;" — check for defects")</f>
        <v/>
      </c>
      <c r="P230" s="72" t="n"/>
      <c r="Q230" s="72" t="n"/>
      <c r="R230" s="89" t="n"/>
      <c r="S230" s="109" t="n"/>
      <c r="T230" s="126">
        <f>IF(OR(R230="",S230=""),"",DATE(YEAR(S230),MONTH(S230)+R230,DAY(S230)))</f>
        <v/>
      </c>
      <c r="U230" s="144">
        <f>IF(T230="","",T230-AsOf)</f>
        <v/>
      </c>
      <c r="V230" s="107">
        <f>IF(T230="",IF(P230="","","Enter last-done date"),IF(U230&lt;0,"Overdue",IF(U230&lt;=30,"Due soon","OK")))</f>
        <v/>
      </c>
      <c r="W230" s="79">
        <f>IF(T230="","",IF(U230&lt;0,2,IF(U230&lt;=30,1,0)))</f>
        <v/>
      </c>
      <c r="X230" s="112">
        <f>IF(T230="","",T230)</f>
        <v/>
      </c>
      <c r="Y230" s="79">
        <f>IF(X230="","",IF(X230&lt;=AsOf+AlertDays,2,IF(X230&lt;=AsOf+30,3,"")))</f>
        <v/>
      </c>
      <c r="Z230" s="79">
        <f>IF(Y230="","",IF(U230&lt;0,"Maintenance overdue: ","Maintenance due: ")&amp;P230)</f>
        <v/>
      </c>
    </row>
    <row r="231" ht="20" customHeight="1">
      <c r="B231" s="72" t="n"/>
      <c r="C231" s="72" t="n"/>
      <c r="D231" s="72" t="n"/>
      <c r="E231" s="109" t="n"/>
      <c r="F231" s="74" t="n"/>
      <c r="G231" s="126">
        <f>IF(OR(E231="",F231=""),"",DATE(YEAR(E231),MONTH(E231)+ROUND(F231*12,0),DAY(E231)))</f>
        <v/>
      </c>
      <c r="H231" s="144">
        <f>IF(G231="","",G231-AsOf)</f>
        <v/>
      </c>
      <c r="I231" s="107">
        <f>IF(G231="","",IF(H231&lt;0,"Expired",IF(H231&lt;=90,"Expires soon","Active")))</f>
        <v/>
      </c>
      <c r="J231" s="72" t="n"/>
      <c r="K231" s="79">
        <f>IF(I231="","",IF(I231="Active",0,IF(I231="Expires soon",1,3)))</f>
        <v/>
      </c>
      <c r="L231" s="112">
        <f>IF(G231="","",IF(G231&lt;AsOf,"",G231))</f>
        <v/>
      </c>
      <c r="M231" s="79">
        <f>IF(L231="","",IF(L231&lt;=AsOf+AlertDays,2,IF(L231&lt;=AsOf+90,3,"")))</f>
        <v/>
      </c>
      <c r="N231" s="79">
        <f>IF(M231="","","Warranty expires in "&amp;H231&amp;" days: "&amp;B231&amp;IF(C231="",""," ("&amp;C231&amp;")")&amp;" — check for defects")</f>
        <v/>
      </c>
      <c r="P231" s="72" t="n"/>
      <c r="Q231" s="72" t="n"/>
      <c r="R231" s="89" t="n"/>
      <c r="S231" s="109" t="n"/>
      <c r="T231" s="126">
        <f>IF(OR(R231="",S231=""),"",DATE(YEAR(S231),MONTH(S231)+R231,DAY(S231)))</f>
        <v/>
      </c>
      <c r="U231" s="144">
        <f>IF(T231="","",T231-AsOf)</f>
        <v/>
      </c>
      <c r="V231" s="107">
        <f>IF(T231="",IF(P231="","","Enter last-done date"),IF(U231&lt;0,"Overdue",IF(U231&lt;=30,"Due soon","OK")))</f>
        <v/>
      </c>
      <c r="W231" s="79">
        <f>IF(T231="","",IF(U231&lt;0,2,IF(U231&lt;=30,1,0)))</f>
        <v/>
      </c>
      <c r="X231" s="112">
        <f>IF(T231="","",T231)</f>
        <v/>
      </c>
      <c r="Y231" s="79">
        <f>IF(X231="","",IF(X231&lt;=AsOf+AlertDays,2,IF(X231&lt;=AsOf+30,3,"")))</f>
        <v/>
      </c>
      <c r="Z231" s="79">
        <f>IF(Y231="","",IF(U231&lt;0,"Maintenance overdue: ","Maintenance due: ")&amp;P231)</f>
        <v/>
      </c>
    </row>
    <row r="232" ht="20" customHeight="1">
      <c r="B232" s="72" t="n"/>
      <c r="C232" s="72" t="n"/>
      <c r="D232" s="72" t="n"/>
      <c r="E232" s="109" t="n"/>
      <c r="F232" s="74" t="n"/>
      <c r="G232" s="126">
        <f>IF(OR(E232="",F232=""),"",DATE(YEAR(E232),MONTH(E232)+ROUND(F232*12,0),DAY(E232)))</f>
        <v/>
      </c>
      <c r="H232" s="144">
        <f>IF(G232="","",G232-AsOf)</f>
        <v/>
      </c>
      <c r="I232" s="107">
        <f>IF(G232="","",IF(H232&lt;0,"Expired",IF(H232&lt;=90,"Expires soon","Active")))</f>
        <v/>
      </c>
      <c r="J232" s="72" t="n"/>
      <c r="K232" s="79">
        <f>IF(I232="","",IF(I232="Active",0,IF(I232="Expires soon",1,3)))</f>
        <v/>
      </c>
      <c r="L232" s="112">
        <f>IF(G232="","",IF(G232&lt;AsOf,"",G232))</f>
        <v/>
      </c>
      <c r="M232" s="79">
        <f>IF(L232="","",IF(L232&lt;=AsOf+AlertDays,2,IF(L232&lt;=AsOf+90,3,"")))</f>
        <v/>
      </c>
      <c r="N232" s="79">
        <f>IF(M232="","","Warranty expires in "&amp;H232&amp;" days: "&amp;B232&amp;IF(C232="",""," ("&amp;C232&amp;")")&amp;" — check for defects")</f>
        <v/>
      </c>
      <c r="P232" s="72" t="n"/>
      <c r="Q232" s="72" t="n"/>
      <c r="R232" s="89" t="n"/>
      <c r="S232" s="109" t="n"/>
      <c r="T232" s="126">
        <f>IF(OR(R232="",S232=""),"",DATE(YEAR(S232),MONTH(S232)+R232,DAY(S232)))</f>
        <v/>
      </c>
      <c r="U232" s="144">
        <f>IF(T232="","",T232-AsOf)</f>
        <v/>
      </c>
      <c r="V232" s="107">
        <f>IF(T232="",IF(P232="","","Enter last-done date"),IF(U232&lt;0,"Overdue",IF(U232&lt;=30,"Due soon","OK")))</f>
        <v/>
      </c>
      <c r="W232" s="79">
        <f>IF(T232="","",IF(U232&lt;0,2,IF(U232&lt;=30,1,0)))</f>
        <v/>
      </c>
      <c r="X232" s="112">
        <f>IF(T232="","",T232)</f>
        <v/>
      </c>
      <c r="Y232" s="79">
        <f>IF(X232="","",IF(X232&lt;=AsOf+AlertDays,2,IF(X232&lt;=AsOf+30,3,"")))</f>
        <v/>
      </c>
      <c r="Z232" s="79">
        <f>IF(Y232="","",IF(U232&lt;0,"Maintenance overdue: ","Maintenance due: ")&amp;P232)</f>
        <v/>
      </c>
    </row>
    <row r="233" ht="20" customHeight="1">
      <c r="B233" s="72" t="n"/>
      <c r="C233" s="72" t="n"/>
      <c r="D233" s="72" t="n"/>
      <c r="E233" s="109" t="n"/>
      <c r="F233" s="74" t="n"/>
      <c r="G233" s="126">
        <f>IF(OR(E233="",F233=""),"",DATE(YEAR(E233),MONTH(E233)+ROUND(F233*12,0),DAY(E233)))</f>
        <v/>
      </c>
      <c r="H233" s="144">
        <f>IF(G233="","",G233-AsOf)</f>
        <v/>
      </c>
      <c r="I233" s="107">
        <f>IF(G233="","",IF(H233&lt;0,"Expired",IF(H233&lt;=90,"Expires soon","Active")))</f>
        <v/>
      </c>
      <c r="J233" s="72" t="n"/>
      <c r="K233" s="79">
        <f>IF(I233="","",IF(I233="Active",0,IF(I233="Expires soon",1,3)))</f>
        <v/>
      </c>
      <c r="L233" s="112">
        <f>IF(G233="","",IF(G233&lt;AsOf,"",G233))</f>
        <v/>
      </c>
      <c r="M233" s="79">
        <f>IF(L233="","",IF(L233&lt;=AsOf+AlertDays,2,IF(L233&lt;=AsOf+90,3,"")))</f>
        <v/>
      </c>
      <c r="N233" s="79">
        <f>IF(M233="","","Warranty expires in "&amp;H233&amp;" days: "&amp;B233&amp;IF(C233="",""," ("&amp;C233&amp;")")&amp;" — check for defects")</f>
        <v/>
      </c>
      <c r="P233" s="72" t="n"/>
      <c r="Q233" s="72" t="n"/>
      <c r="R233" s="89" t="n"/>
      <c r="S233" s="109" t="n"/>
      <c r="T233" s="126">
        <f>IF(OR(R233="",S233=""),"",DATE(YEAR(S233),MONTH(S233)+R233,DAY(S233)))</f>
        <v/>
      </c>
      <c r="U233" s="144">
        <f>IF(T233="","",T233-AsOf)</f>
        <v/>
      </c>
      <c r="V233" s="107">
        <f>IF(T233="",IF(P233="","","Enter last-done date"),IF(U233&lt;0,"Overdue",IF(U233&lt;=30,"Due soon","OK")))</f>
        <v/>
      </c>
      <c r="W233" s="79">
        <f>IF(T233="","",IF(U233&lt;0,2,IF(U233&lt;=30,1,0)))</f>
        <v/>
      </c>
      <c r="X233" s="112">
        <f>IF(T233="","",T233)</f>
        <v/>
      </c>
      <c r="Y233" s="79">
        <f>IF(X233="","",IF(X233&lt;=AsOf+AlertDays,2,IF(X233&lt;=AsOf+30,3,"")))</f>
        <v/>
      </c>
      <c r="Z233" s="79">
        <f>IF(Y233="","",IF(U233&lt;0,"Maintenance overdue: ","Maintenance due: ")&amp;P233)</f>
        <v/>
      </c>
    </row>
    <row r="234" ht="20" customHeight="1">
      <c r="B234" s="72" t="n"/>
      <c r="C234" s="72" t="n"/>
      <c r="D234" s="72" t="n"/>
      <c r="E234" s="109" t="n"/>
      <c r="F234" s="74" t="n"/>
      <c r="G234" s="126">
        <f>IF(OR(E234="",F234=""),"",DATE(YEAR(E234),MONTH(E234)+ROUND(F234*12,0),DAY(E234)))</f>
        <v/>
      </c>
      <c r="H234" s="144">
        <f>IF(G234="","",G234-AsOf)</f>
        <v/>
      </c>
      <c r="I234" s="107">
        <f>IF(G234="","",IF(H234&lt;0,"Expired",IF(H234&lt;=90,"Expires soon","Active")))</f>
        <v/>
      </c>
      <c r="J234" s="72" t="n"/>
      <c r="K234" s="79">
        <f>IF(I234="","",IF(I234="Active",0,IF(I234="Expires soon",1,3)))</f>
        <v/>
      </c>
      <c r="L234" s="112">
        <f>IF(G234="","",IF(G234&lt;AsOf,"",G234))</f>
        <v/>
      </c>
      <c r="M234" s="79">
        <f>IF(L234="","",IF(L234&lt;=AsOf+AlertDays,2,IF(L234&lt;=AsOf+90,3,"")))</f>
        <v/>
      </c>
      <c r="N234" s="79">
        <f>IF(M234="","","Warranty expires in "&amp;H234&amp;" days: "&amp;B234&amp;IF(C234="",""," ("&amp;C234&amp;")")&amp;" — check for defects")</f>
        <v/>
      </c>
      <c r="P234" s="72" t="n"/>
      <c r="Q234" s="72" t="n"/>
      <c r="R234" s="89" t="n"/>
      <c r="S234" s="109" t="n"/>
      <c r="T234" s="126">
        <f>IF(OR(R234="",S234=""),"",DATE(YEAR(S234),MONTH(S234)+R234,DAY(S234)))</f>
        <v/>
      </c>
      <c r="U234" s="144">
        <f>IF(T234="","",T234-AsOf)</f>
        <v/>
      </c>
      <c r="V234" s="107">
        <f>IF(T234="",IF(P234="","","Enter last-done date"),IF(U234&lt;0,"Overdue",IF(U234&lt;=30,"Due soon","OK")))</f>
        <v/>
      </c>
      <c r="W234" s="79">
        <f>IF(T234="","",IF(U234&lt;0,2,IF(U234&lt;=30,1,0)))</f>
        <v/>
      </c>
      <c r="X234" s="112">
        <f>IF(T234="","",T234)</f>
        <v/>
      </c>
      <c r="Y234" s="79">
        <f>IF(X234="","",IF(X234&lt;=AsOf+AlertDays,2,IF(X234&lt;=AsOf+30,3,"")))</f>
        <v/>
      </c>
      <c r="Z234" s="79">
        <f>IF(Y234="","",IF(U234&lt;0,"Maintenance overdue: ","Maintenance due: ")&amp;P234)</f>
        <v/>
      </c>
    </row>
    <row r="235" ht="20" customHeight="1">
      <c r="B235" s="72" t="n"/>
      <c r="C235" s="72" t="n"/>
      <c r="D235" s="72" t="n"/>
      <c r="E235" s="109" t="n"/>
      <c r="F235" s="74" t="n"/>
      <c r="G235" s="126">
        <f>IF(OR(E235="",F235=""),"",DATE(YEAR(E235),MONTH(E235)+ROUND(F235*12,0),DAY(E235)))</f>
        <v/>
      </c>
      <c r="H235" s="144">
        <f>IF(G235="","",G235-AsOf)</f>
        <v/>
      </c>
      <c r="I235" s="107">
        <f>IF(G235="","",IF(H235&lt;0,"Expired",IF(H235&lt;=90,"Expires soon","Active")))</f>
        <v/>
      </c>
      <c r="J235" s="72" t="n"/>
      <c r="K235" s="79">
        <f>IF(I235="","",IF(I235="Active",0,IF(I235="Expires soon",1,3)))</f>
        <v/>
      </c>
      <c r="L235" s="112">
        <f>IF(G235="","",IF(G235&lt;AsOf,"",G235))</f>
        <v/>
      </c>
      <c r="M235" s="79">
        <f>IF(L235="","",IF(L235&lt;=AsOf+AlertDays,2,IF(L235&lt;=AsOf+90,3,"")))</f>
        <v/>
      </c>
      <c r="N235" s="79">
        <f>IF(M235="","","Warranty expires in "&amp;H235&amp;" days: "&amp;B235&amp;IF(C235="",""," ("&amp;C235&amp;")")&amp;" — check for defects")</f>
        <v/>
      </c>
      <c r="P235" s="72" t="n"/>
      <c r="Q235" s="72" t="n"/>
      <c r="R235" s="89" t="n"/>
      <c r="S235" s="109" t="n"/>
      <c r="T235" s="126">
        <f>IF(OR(R235="",S235=""),"",DATE(YEAR(S235),MONTH(S235)+R235,DAY(S235)))</f>
        <v/>
      </c>
      <c r="U235" s="144">
        <f>IF(T235="","",T235-AsOf)</f>
        <v/>
      </c>
      <c r="V235" s="107">
        <f>IF(T235="",IF(P235="","","Enter last-done date"),IF(U235&lt;0,"Overdue",IF(U235&lt;=30,"Due soon","OK")))</f>
        <v/>
      </c>
      <c r="W235" s="79">
        <f>IF(T235="","",IF(U235&lt;0,2,IF(U235&lt;=30,1,0)))</f>
        <v/>
      </c>
      <c r="X235" s="112">
        <f>IF(T235="","",T235)</f>
        <v/>
      </c>
      <c r="Y235" s="79">
        <f>IF(X235="","",IF(X235&lt;=AsOf+AlertDays,2,IF(X235&lt;=AsOf+30,3,"")))</f>
        <v/>
      </c>
      <c r="Z235" s="79">
        <f>IF(Y235="","",IF(U235&lt;0,"Maintenance overdue: ","Maintenance due: ")&amp;P235)</f>
        <v/>
      </c>
    </row>
    <row r="236" ht="20" customHeight="1">
      <c r="B236" s="72" t="n"/>
      <c r="C236" s="72" t="n"/>
      <c r="D236" s="72" t="n"/>
      <c r="E236" s="109" t="n"/>
      <c r="F236" s="74" t="n"/>
      <c r="G236" s="126">
        <f>IF(OR(E236="",F236=""),"",DATE(YEAR(E236),MONTH(E236)+ROUND(F236*12,0),DAY(E236)))</f>
        <v/>
      </c>
      <c r="H236" s="144">
        <f>IF(G236="","",G236-AsOf)</f>
        <v/>
      </c>
      <c r="I236" s="107">
        <f>IF(G236="","",IF(H236&lt;0,"Expired",IF(H236&lt;=90,"Expires soon","Active")))</f>
        <v/>
      </c>
      <c r="J236" s="72" t="n"/>
      <c r="K236" s="79">
        <f>IF(I236="","",IF(I236="Active",0,IF(I236="Expires soon",1,3)))</f>
        <v/>
      </c>
      <c r="L236" s="112">
        <f>IF(G236="","",IF(G236&lt;AsOf,"",G236))</f>
        <v/>
      </c>
      <c r="M236" s="79">
        <f>IF(L236="","",IF(L236&lt;=AsOf+AlertDays,2,IF(L236&lt;=AsOf+90,3,"")))</f>
        <v/>
      </c>
      <c r="N236" s="79">
        <f>IF(M236="","","Warranty expires in "&amp;H236&amp;" days: "&amp;B236&amp;IF(C236="",""," ("&amp;C236&amp;")")&amp;" — check for defects")</f>
        <v/>
      </c>
      <c r="P236" s="72" t="n"/>
      <c r="Q236" s="72" t="n"/>
      <c r="R236" s="89" t="n"/>
      <c r="S236" s="109" t="n"/>
      <c r="T236" s="126">
        <f>IF(OR(R236="",S236=""),"",DATE(YEAR(S236),MONTH(S236)+R236,DAY(S236)))</f>
        <v/>
      </c>
      <c r="U236" s="144">
        <f>IF(T236="","",T236-AsOf)</f>
        <v/>
      </c>
      <c r="V236" s="107">
        <f>IF(T236="",IF(P236="","","Enter last-done date"),IF(U236&lt;0,"Overdue",IF(U236&lt;=30,"Due soon","OK")))</f>
        <v/>
      </c>
      <c r="W236" s="79">
        <f>IF(T236="","",IF(U236&lt;0,2,IF(U236&lt;=30,1,0)))</f>
        <v/>
      </c>
      <c r="X236" s="112">
        <f>IF(T236="","",T236)</f>
        <v/>
      </c>
      <c r="Y236" s="79">
        <f>IF(X236="","",IF(X236&lt;=AsOf+AlertDays,2,IF(X236&lt;=AsOf+30,3,"")))</f>
        <v/>
      </c>
      <c r="Z236" s="79">
        <f>IF(Y236="","",IF(U236&lt;0,"Maintenance overdue: ","Maintenance due: ")&amp;P236)</f>
        <v/>
      </c>
    </row>
    <row r="237" ht="20" customHeight="1">
      <c r="B237" s="72" t="n"/>
      <c r="C237" s="72" t="n"/>
      <c r="D237" s="72" t="n"/>
      <c r="E237" s="109" t="n"/>
      <c r="F237" s="74" t="n"/>
      <c r="G237" s="126">
        <f>IF(OR(E237="",F237=""),"",DATE(YEAR(E237),MONTH(E237)+ROUND(F237*12,0),DAY(E237)))</f>
        <v/>
      </c>
      <c r="H237" s="144">
        <f>IF(G237="","",G237-AsOf)</f>
        <v/>
      </c>
      <c r="I237" s="107">
        <f>IF(G237="","",IF(H237&lt;0,"Expired",IF(H237&lt;=90,"Expires soon","Active")))</f>
        <v/>
      </c>
      <c r="J237" s="72" t="n"/>
      <c r="K237" s="79">
        <f>IF(I237="","",IF(I237="Active",0,IF(I237="Expires soon",1,3)))</f>
        <v/>
      </c>
      <c r="L237" s="112">
        <f>IF(G237="","",IF(G237&lt;AsOf,"",G237))</f>
        <v/>
      </c>
      <c r="M237" s="79">
        <f>IF(L237="","",IF(L237&lt;=AsOf+AlertDays,2,IF(L237&lt;=AsOf+90,3,"")))</f>
        <v/>
      </c>
      <c r="N237" s="79">
        <f>IF(M237="","","Warranty expires in "&amp;H237&amp;" days: "&amp;B237&amp;IF(C237="",""," ("&amp;C237&amp;")")&amp;" — check for defects")</f>
        <v/>
      </c>
      <c r="P237" s="72" t="n"/>
      <c r="Q237" s="72" t="n"/>
      <c r="R237" s="89" t="n"/>
      <c r="S237" s="109" t="n"/>
      <c r="T237" s="126">
        <f>IF(OR(R237="",S237=""),"",DATE(YEAR(S237),MONTH(S237)+R237,DAY(S237)))</f>
        <v/>
      </c>
      <c r="U237" s="144">
        <f>IF(T237="","",T237-AsOf)</f>
        <v/>
      </c>
      <c r="V237" s="107">
        <f>IF(T237="",IF(P237="","","Enter last-done date"),IF(U237&lt;0,"Overdue",IF(U237&lt;=30,"Due soon","OK")))</f>
        <v/>
      </c>
      <c r="W237" s="79">
        <f>IF(T237="","",IF(U237&lt;0,2,IF(U237&lt;=30,1,0)))</f>
        <v/>
      </c>
      <c r="X237" s="112">
        <f>IF(T237="","",T237)</f>
        <v/>
      </c>
      <c r="Y237" s="79">
        <f>IF(X237="","",IF(X237&lt;=AsOf+AlertDays,2,IF(X237&lt;=AsOf+30,3,"")))</f>
        <v/>
      </c>
      <c r="Z237" s="79">
        <f>IF(Y237="","",IF(U237&lt;0,"Maintenance overdue: ","Maintenance due: ")&amp;P237)</f>
        <v/>
      </c>
    </row>
    <row r="238" ht="20" customHeight="1">
      <c r="B238" s="72" t="n"/>
      <c r="C238" s="72" t="n"/>
      <c r="D238" s="72" t="n"/>
      <c r="E238" s="109" t="n"/>
      <c r="F238" s="74" t="n"/>
      <c r="G238" s="126">
        <f>IF(OR(E238="",F238=""),"",DATE(YEAR(E238),MONTH(E238)+ROUND(F238*12,0),DAY(E238)))</f>
        <v/>
      </c>
      <c r="H238" s="144">
        <f>IF(G238="","",G238-AsOf)</f>
        <v/>
      </c>
      <c r="I238" s="107">
        <f>IF(G238="","",IF(H238&lt;0,"Expired",IF(H238&lt;=90,"Expires soon","Active")))</f>
        <v/>
      </c>
      <c r="J238" s="72" t="n"/>
      <c r="K238" s="79">
        <f>IF(I238="","",IF(I238="Active",0,IF(I238="Expires soon",1,3)))</f>
        <v/>
      </c>
      <c r="L238" s="112">
        <f>IF(G238="","",IF(G238&lt;AsOf,"",G238))</f>
        <v/>
      </c>
      <c r="M238" s="79">
        <f>IF(L238="","",IF(L238&lt;=AsOf+AlertDays,2,IF(L238&lt;=AsOf+90,3,"")))</f>
        <v/>
      </c>
      <c r="N238" s="79">
        <f>IF(M238="","","Warranty expires in "&amp;H238&amp;" days: "&amp;B238&amp;IF(C238="",""," ("&amp;C238&amp;")")&amp;" — check for defects")</f>
        <v/>
      </c>
      <c r="P238" s="72" t="n"/>
      <c r="Q238" s="72" t="n"/>
      <c r="R238" s="89" t="n"/>
      <c r="S238" s="109" t="n"/>
      <c r="T238" s="126">
        <f>IF(OR(R238="",S238=""),"",DATE(YEAR(S238),MONTH(S238)+R238,DAY(S238)))</f>
        <v/>
      </c>
      <c r="U238" s="144">
        <f>IF(T238="","",T238-AsOf)</f>
        <v/>
      </c>
      <c r="V238" s="107">
        <f>IF(T238="",IF(P238="","","Enter last-done date"),IF(U238&lt;0,"Overdue",IF(U238&lt;=30,"Due soon","OK")))</f>
        <v/>
      </c>
      <c r="W238" s="79">
        <f>IF(T238="","",IF(U238&lt;0,2,IF(U238&lt;=30,1,0)))</f>
        <v/>
      </c>
      <c r="X238" s="112">
        <f>IF(T238="","",T238)</f>
        <v/>
      </c>
      <c r="Y238" s="79">
        <f>IF(X238="","",IF(X238&lt;=AsOf+AlertDays,2,IF(X238&lt;=AsOf+30,3,"")))</f>
        <v/>
      </c>
      <c r="Z238" s="79">
        <f>IF(Y238="","",IF(U238&lt;0,"Maintenance overdue: ","Maintenance due: ")&amp;P238)</f>
        <v/>
      </c>
    </row>
    <row r="239" ht="20" customHeight="1">
      <c r="B239" s="72" t="n"/>
      <c r="C239" s="72" t="n"/>
      <c r="D239" s="72" t="n"/>
      <c r="E239" s="109" t="n"/>
      <c r="F239" s="74" t="n"/>
      <c r="G239" s="126">
        <f>IF(OR(E239="",F239=""),"",DATE(YEAR(E239),MONTH(E239)+ROUND(F239*12,0),DAY(E239)))</f>
        <v/>
      </c>
      <c r="H239" s="144">
        <f>IF(G239="","",G239-AsOf)</f>
        <v/>
      </c>
      <c r="I239" s="107">
        <f>IF(G239="","",IF(H239&lt;0,"Expired",IF(H239&lt;=90,"Expires soon","Active")))</f>
        <v/>
      </c>
      <c r="J239" s="72" t="n"/>
      <c r="K239" s="79">
        <f>IF(I239="","",IF(I239="Active",0,IF(I239="Expires soon",1,3)))</f>
        <v/>
      </c>
      <c r="L239" s="112">
        <f>IF(G239="","",IF(G239&lt;AsOf,"",G239))</f>
        <v/>
      </c>
      <c r="M239" s="79">
        <f>IF(L239="","",IF(L239&lt;=AsOf+AlertDays,2,IF(L239&lt;=AsOf+90,3,"")))</f>
        <v/>
      </c>
      <c r="N239" s="79">
        <f>IF(M239="","","Warranty expires in "&amp;H239&amp;" days: "&amp;B239&amp;IF(C239="",""," ("&amp;C239&amp;")")&amp;" — check for defects")</f>
        <v/>
      </c>
      <c r="P239" s="72" t="n"/>
      <c r="Q239" s="72" t="n"/>
      <c r="R239" s="89" t="n"/>
      <c r="S239" s="109" t="n"/>
      <c r="T239" s="126">
        <f>IF(OR(R239="",S239=""),"",DATE(YEAR(S239),MONTH(S239)+R239,DAY(S239)))</f>
        <v/>
      </c>
      <c r="U239" s="144">
        <f>IF(T239="","",T239-AsOf)</f>
        <v/>
      </c>
      <c r="V239" s="107">
        <f>IF(T239="",IF(P239="","","Enter last-done date"),IF(U239&lt;0,"Overdue",IF(U239&lt;=30,"Due soon","OK")))</f>
        <v/>
      </c>
      <c r="W239" s="79">
        <f>IF(T239="","",IF(U239&lt;0,2,IF(U239&lt;=30,1,0)))</f>
        <v/>
      </c>
      <c r="X239" s="112">
        <f>IF(T239="","",T239)</f>
        <v/>
      </c>
      <c r="Y239" s="79">
        <f>IF(X239="","",IF(X239&lt;=AsOf+AlertDays,2,IF(X239&lt;=AsOf+30,3,"")))</f>
        <v/>
      </c>
      <c r="Z239" s="79">
        <f>IF(Y239="","",IF(U239&lt;0,"Maintenance overdue: ","Maintenance due: ")&amp;P239)</f>
        <v/>
      </c>
    </row>
    <row r="240" ht="20" customHeight="1">
      <c r="B240" s="72" t="n"/>
      <c r="C240" s="72" t="n"/>
      <c r="D240" s="72" t="n"/>
      <c r="E240" s="109" t="n"/>
      <c r="F240" s="74" t="n"/>
      <c r="G240" s="126">
        <f>IF(OR(E240="",F240=""),"",DATE(YEAR(E240),MONTH(E240)+ROUND(F240*12,0),DAY(E240)))</f>
        <v/>
      </c>
      <c r="H240" s="144">
        <f>IF(G240="","",G240-AsOf)</f>
        <v/>
      </c>
      <c r="I240" s="107">
        <f>IF(G240="","",IF(H240&lt;0,"Expired",IF(H240&lt;=90,"Expires soon","Active")))</f>
        <v/>
      </c>
      <c r="J240" s="72" t="n"/>
      <c r="K240" s="79">
        <f>IF(I240="","",IF(I240="Active",0,IF(I240="Expires soon",1,3)))</f>
        <v/>
      </c>
      <c r="L240" s="112">
        <f>IF(G240="","",IF(G240&lt;AsOf,"",G240))</f>
        <v/>
      </c>
      <c r="M240" s="79">
        <f>IF(L240="","",IF(L240&lt;=AsOf+AlertDays,2,IF(L240&lt;=AsOf+90,3,"")))</f>
        <v/>
      </c>
      <c r="N240" s="79">
        <f>IF(M240="","","Warranty expires in "&amp;H240&amp;" days: "&amp;B240&amp;IF(C240="",""," ("&amp;C240&amp;")")&amp;" — check for defects")</f>
        <v/>
      </c>
      <c r="P240" s="72" t="n"/>
      <c r="Q240" s="72" t="n"/>
      <c r="R240" s="89" t="n"/>
      <c r="S240" s="109" t="n"/>
      <c r="T240" s="126">
        <f>IF(OR(R240="",S240=""),"",DATE(YEAR(S240),MONTH(S240)+R240,DAY(S240)))</f>
        <v/>
      </c>
      <c r="U240" s="144">
        <f>IF(T240="","",T240-AsOf)</f>
        <v/>
      </c>
      <c r="V240" s="107">
        <f>IF(T240="",IF(P240="","","Enter last-done date"),IF(U240&lt;0,"Overdue",IF(U240&lt;=30,"Due soon","OK")))</f>
        <v/>
      </c>
      <c r="W240" s="79">
        <f>IF(T240="","",IF(U240&lt;0,2,IF(U240&lt;=30,1,0)))</f>
        <v/>
      </c>
      <c r="X240" s="112">
        <f>IF(T240="","",T240)</f>
        <v/>
      </c>
      <c r="Y240" s="79">
        <f>IF(X240="","",IF(X240&lt;=AsOf+AlertDays,2,IF(X240&lt;=AsOf+30,3,"")))</f>
        <v/>
      </c>
      <c r="Z240" s="79">
        <f>IF(Y240="","",IF(U240&lt;0,"Maintenance overdue: ","Maintenance due: ")&amp;P240)</f>
        <v/>
      </c>
    </row>
    <row r="241" ht="20" customHeight="1">
      <c r="B241" s="72" t="n"/>
      <c r="C241" s="72" t="n"/>
      <c r="D241" s="72" t="n"/>
      <c r="E241" s="109" t="n"/>
      <c r="F241" s="74" t="n"/>
      <c r="G241" s="126">
        <f>IF(OR(E241="",F241=""),"",DATE(YEAR(E241),MONTH(E241)+ROUND(F241*12,0),DAY(E241)))</f>
        <v/>
      </c>
      <c r="H241" s="144">
        <f>IF(G241="","",G241-AsOf)</f>
        <v/>
      </c>
      <c r="I241" s="107">
        <f>IF(G241="","",IF(H241&lt;0,"Expired",IF(H241&lt;=90,"Expires soon","Active")))</f>
        <v/>
      </c>
      <c r="J241" s="72" t="n"/>
      <c r="K241" s="79">
        <f>IF(I241="","",IF(I241="Active",0,IF(I241="Expires soon",1,3)))</f>
        <v/>
      </c>
      <c r="L241" s="112">
        <f>IF(G241="","",IF(G241&lt;AsOf,"",G241))</f>
        <v/>
      </c>
      <c r="M241" s="79">
        <f>IF(L241="","",IF(L241&lt;=AsOf+AlertDays,2,IF(L241&lt;=AsOf+90,3,"")))</f>
        <v/>
      </c>
      <c r="N241" s="79">
        <f>IF(M241="","","Warranty expires in "&amp;H241&amp;" days: "&amp;B241&amp;IF(C241="",""," ("&amp;C241&amp;")")&amp;" — check for defects")</f>
        <v/>
      </c>
      <c r="P241" s="72" t="n"/>
      <c r="Q241" s="72" t="n"/>
      <c r="R241" s="89" t="n"/>
      <c r="S241" s="109" t="n"/>
      <c r="T241" s="126">
        <f>IF(OR(R241="",S241=""),"",DATE(YEAR(S241),MONTH(S241)+R241,DAY(S241)))</f>
        <v/>
      </c>
      <c r="U241" s="144">
        <f>IF(T241="","",T241-AsOf)</f>
        <v/>
      </c>
      <c r="V241" s="107">
        <f>IF(T241="",IF(P241="","","Enter last-done date"),IF(U241&lt;0,"Overdue",IF(U241&lt;=30,"Due soon","OK")))</f>
        <v/>
      </c>
      <c r="W241" s="79">
        <f>IF(T241="","",IF(U241&lt;0,2,IF(U241&lt;=30,1,0)))</f>
        <v/>
      </c>
      <c r="X241" s="112">
        <f>IF(T241="","",T241)</f>
        <v/>
      </c>
      <c r="Y241" s="79">
        <f>IF(X241="","",IF(X241&lt;=AsOf+AlertDays,2,IF(X241&lt;=AsOf+30,3,"")))</f>
        <v/>
      </c>
      <c r="Z241" s="79">
        <f>IF(Y241="","",IF(U241&lt;0,"Maintenance overdue: ","Maintenance due: ")&amp;P241)</f>
        <v/>
      </c>
    </row>
    <row r="242" ht="20" customHeight="1">
      <c r="B242" s="72" t="n"/>
      <c r="C242" s="72" t="n"/>
      <c r="D242" s="72" t="n"/>
      <c r="E242" s="109" t="n"/>
      <c r="F242" s="74" t="n"/>
      <c r="G242" s="126">
        <f>IF(OR(E242="",F242=""),"",DATE(YEAR(E242),MONTH(E242)+ROUND(F242*12,0),DAY(E242)))</f>
        <v/>
      </c>
      <c r="H242" s="144">
        <f>IF(G242="","",G242-AsOf)</f>
        <v/>
      </c>
      <c r="I242" s="107">
        <f>IF(G242="","",IF(H242&lt;0,"Expired",IF(H242&lt;=90,"Expires soon","Active")))</f>
        <v/>
      </c>
      <c r="J242" s="72" t="n"/>
      <c r="K242" s="79">
        <f>IF(I242="","",IF(I242="Active",0,IF(I242="Expires soon",1,3)))</f>
        <v/>
      </c>
      <c r="L242" s="112">
        <f>IF(G242="","",IF(G242&lt;AsOf,"",G242))</f>
        <v/>
      </c>
      <c r="M242" s="79">
        <f>IF(L242="","",IF(L242&lt;=AsOf+AlertDays,2,IF(L242&lt;=AsOf+90,3,"")))</f>
        <v/>
      </c>
      <c r="N242" s="79">
        <f>IF(M242="","","Warranty expires in "&amp;H242&amp;" days: "&amp;B242&amp;IF(C242="",""," ("&amp;C242&amp;")")&amp;" — check for defects")</f>
        <v/>
      </c>
      <c r="P242" s="72" t="n"/>
      <c r="Q242" s="72" t="n"/>
      <c r="R242" s="89" t="n"/>
      <c r="S242" s="109" t="n"/>
      <c r="T242" s="126">
        <f>IF(OR(R242="",S242=""),"",DATE(YEAR(S242),MONTH(S242)+R242,DAY(S242)))</f>
        <v/>
      </c>
      <c r="U242" s="144">
        <f>IF(T242="","",T242-AsOf)</f>
        <v/>
      </c>
      <c r="V242" s="107">
        <f>IF(T242="",IF(P242="","","Enter last-done date"),IF(U242&lt;0,"Overdue",IF(U242&lt;=30,"Due soon","OK")))</f>
        <v/>
      </c>
      <c r="W242" s="79">
        <f>IF(T242="","",IF(U242&lt;0,2,IF(U242&lt;=30,1,0)))</f>
        <v/>
      </c>
      <c r="X242" s="112">
        <f>IF(T242="","",T242)</f>
        <v/>
      </c>
      <c r="Y242" s="79">
        <f>IF(X242="","",IF(X242&lt;=AsOf+AlertDays,2,IF(X242&lt;=AsOf+30,3,"")))</f>
        <v/>
      </c>
      <c r="Z242" s="79">
        <f>IF(Y242="","",IF(U242&lt;0,"Maintenance overdue: ","Maintenance due: ")&amp;P242)</f>
        <v/>
      </c>
    </row>
    <row r="243" ht="20" customHeight="1">
      <c r="B243" s="72" t="n"/>
      <c r="C243" s="72" t="n"/>
      <c r="D243" s="72" t="n"/>
      <c r="E243" s="109" t="n"/>
      <c r="F243" s="74" t="n"/>
      <c r="G243" s="126">
        <f>IF(OR(E243="",F243=""),"",DATE(YEAR(E243),MONTH(E243)+ROUND(F243*12,0),DAY(E243)))</f>
        <v/>
      </c>
      <c r="H243" s="144">
        <f>IF(G243="","",G243-AsOf)</f>
        <v/>
      </c>
      <c r="I243" s="107">
        <f>IF(G243="","",IF(H243&lt;0,"Expired",IF(H243&lt;=90,"Expires soon","Active")))</f>
        <v/>
      </c>
      <c r="J243" s="72" t="n"/>
      <c r="K243" s="79">
        <f>IF(I243="","",IF(I243="Active",0,IF(I243="Expires soon",1,3)))</f>
        <v/>
      </c>
      <c r="L243" s="112">
        <f>IF(G243="","",IF(G243&lt;AsOf,"",G243))</f>
        <v/>
      </c>
      <c r="M243" s="79">
        <f>IF(L243="","",IF(L243&lt;=AsOf+AlertDays,2,IF(L243&lt;=AsOf+90,3,"")))</f>
        <v/>
      </c>
      <c r="N243" s="79">
        <f>IF(M243="","","Warranty expires in "&amp;H243&amp;" days: "&amp;B243&amp;IF(C243="",""," ("&amp;C243&amp;")")&amp;" — check for defects")</f>
        <v/>
      </c>
      <c r="P243" s="72" t="n"/>
      <c r="Q243" s="72" t="n"/>
      <c r="R243" s="89" t="n"/>
      <c r="S243" s="109" t="n"/>
      <c r="T243" s="126">
        <f>IF(OR(R243="",S243=""),"",DATE(YEAR(S243),MONTH(S243)+R243,DAY(S243)))</f>
        <v/>
      </c>
      <c r="U243" s="144">
        <f>IF(T243="","",T243-AsOf)</f>
        <v/>
      </c>
      <c r="V243" s="107">
        <f>IF(T243="",IF(P243="","","Enter last-done date"),IF(U243&lt;0,"Overdue",IF(U243&lt;=30,"Due soon","OK")))</f>
        <v/>
      </c>
      <c r="W243" s="79">
        <f>IF(T243="","",IF(U243&lt;0,2,IF(U243&lt;=30,1,0)))</f>
        <v/>
      </c>
      <c r="X243" s="112">
        <f>IF(T243="","",T243)</f>
        <v/>
      </c>
      <c r="Y243" s="79">
        <f>IF(X243="","",IF(X243&lt;=AsOf+AlertDays,2,IF(X243&lt;=AsOf+30,3,"")))</f>
        <v/>
      </c>
      <c r="Z243" s="79">
        <f>IF(Y243="","",IF(U243&lt;0,"Maintenance overdue: ","Maintenance due: ")&amp;P243)</f>
        <v/>
      </c>
    </row>
    <row r="244" ht="20" customHeight="1">
      <c r="B244" s="72" t="n"/>
      <c r="C244" s="72" t="n"/>
      <c r="D244" s="72" t="n"/>
      <c r="E244" s="109" t="n"/>
      <c r="F244" s="74" t="n"/>
      <c r="G244" s="126">
        <f>IF(OR(E244="",F244=""),"",DATE(YEAR(E244),MONTH(E244)+ROUND(F244*12,0),DAY(E244)))</f>
        <v/>
      </c>
      <c r="H244" s="144">
        <f>IF(G244="","",G244-AsOf)</f>
        <v/>
      </c>
      <c r="I244" s="107">
        <f>IF(G244="","",IF(H244&lt;0,"Expired",IF(H244&lt;=90,"Expires soon","Active")))</f>
        <v/>
      </c>
      <c r="J244" s="72" t="n"/>
      <c r="K244" s="79">
        <f>IF(I244="","",IF(I244="Active",0,IF(I244="Expires soon",1,3)))</f>
        <v/>
      </c>
      <c r="L244" s="112">
        <f>IF(G244="","",IF(G244&lt;AsOf,"",G244))</f>
        <v/>
      </c>
      <c r="M244" s="79">
        <f>IF(L244="","",IF(L244&lt;=AsOf+AlertDays,2,IF(L244&lt;=AsOf+90,3,"")))</f>
        <v/>
      </c>
      <c r="N244" s="79">
        <f>IF(M244="","","Warranty expires in "&amp;H244&amp;" days: "&amp;B244&amp;IF(C244="",""," ("&amp;C244&amp;")")&amp;" — check for defects")</f>
        <v/>
      </c>
      <c r="P244" s="72" t="n"/>
      <c r="Q244" s="72" t="n"/>
      <c r="R244" s="89" t="n"/>
      <c r="S244" s="109" t="n"/>
      <c r="T244" s="126">
        <f>IF(OR(R244="",S244=""),"",DATE(YEAR(S244),MONTH(S244)+R244,DAY(S244)))</f>
        <v/>
      </c>
      <c r="U244" s="144">
        <f>IF(T244="","",T244-AsOf)</f>
        <v/>
      </c>
      <c r="V244" s="107">
        <f>IF(T244="",IF(P244="","","Enter last-done date"),IF(U244&lt;0,"Overdue",IF(U244&lt;=30,"Due soon","OK")))</f>
        <v/>
      </c>
      <c r="W244" s="79">
        <f>IF(T244="","",IF(U244&lt;0,2,IF(U244&lt;=30,1,0)))</f>
        <v/>
      </c>
      <c r="X244" s="112">
        <f>IF(T244="","",T244)</f>
        <v/>
      </c>
      <c r="Y244" s="79">
        <f>IF(X244="","",IF(X244&lt;=AsOf+AlertDays,2,IF(X244&lt;=AsOf+30,3,"")))</f>
        <v/>
      </c>
      <c r="Z244" s="79">
        <f>IF(Y244="","",IF(U244&lt;0,"Maintenance overdue: ","Maintenance due: ")&amp;P244)</f>
        <v/>
      </c>
    </row>
    <row r="245" ht="20" customHeight="1">
      <c r="B245" s="72" t="n"/>
      <c r="C245" s="72" t="n"/>
      <c r="D245" s="72" t="n"/>
      <c r="E245" s="109" t="n"/>
      <c r="F245" s="74" t="n"/>
      <c r="G245" s="126">
        <f>IF(OR(E245="",F245=""),"",DATE(YEAR(E245),MONTH(E245)+ROUND(F245*12,0),DAY(E245)))</f>
        <v/>
      </c>
      <c r="H245" s="144">
        <f>IF(G245="","",G245-AsOf)</f>
        <v/>
      </c>
      <c r="I245" s="107">
        <f>IF(G245="","",IF(H245&lt;0,"Expired",IF(H245&lt;=90,"Expires soon","Active")))</f>
        <v/>
      </c>
      <c r="J245" s="72" t="n"/>
      <c r="K245" s="79">
        <f>IF(I245="","",IF(I245="Active",0,IF(I245="Expires soon",1,3)))</f>
        <v/>
      </c>
      <c r="L245" s="112">
        <f>IF(G245="","",IF(G245&lt;AsOf,"",G245))</f>
        <v/>
      </c>
      <c r="M245" s="79">
        <f>IF(L245="","",IF(L245&lt;=AsOf+AlertDays,2,IF(L245&lt;=AsOf+90,3,"")))</f>
        <v/>
      </c>
      <c r="N245" s="79">
        <f>IF(M245="","","Warranty expires in "&amp;H245&amp;" days: "&amp;B245&amp;IF(C245="",""," ("&amp;C245&amp;")")&amp;" — check for defects")</f>
        <v/>
      </c>
      <c r="P245" s="72" t="n"/>
      <c r="Q245" s="72" t="n"/>
      <c r="R245" s="89" t="n"/>
      <c r="S245" s="109" t="n"/>
      <c r="T245" s="126">
        <f>IF(OR(R245="",S245=""),"",DATE(YEAR(S245),MONTH(S245)+R245,DAY(S245)))</f>
        <v/>
      </c>
      <c r="U245" s="144">
        <f>IF(T245="","",T245-AsOf)</f>
        <v/>
      </c>
      <c r="V245" s="107">
        <f>IF(T245="",IF(P245="","","Enter last-done date"),IF(U245&lt;0,"Overdue",IF(U245&lt;=30,"Due soon","OK")))</f>
        <v/>
      </c>
      <c r="W245" s="79">
        <f>IF(T245="","",IF(U245&lt;0,2,IF(U245&lt;=30,1,0)))</f>
        <v/>
      </c>
      <c r="X245" s="112">
        <f>IF(T245="","",T245)</f>
        <v/>
      </c>
      <c r="Y245" s="79">
        <f>IF(X245="","",IF(X245&lt;=AsOf+AlertDays,2,IF(X245&lt;=AsOf+30,3,"")))</f>
        <v/>
      </c>
      <c r="Z245" s="79">
        <f>IF(Y245="","",IF(U245&lt;0,"Maintenance overdue: ","Maintenance due: ")&amp;P245)</f>
        <v/>
      </c>
    </row>
    <row r="246" ht="20" customHeight="1">
      <c r="B246" s="72" t="n"/>
      <c r="C246" s="72" t="n"/>
      <c r="D246" s="72" t="n"/>
      <c r="E246" s="109" t="n"/>
      <c r="F246" s="74" t="n"/>
      <c r="G246" s="126">
        <f>IF(OR(E246="",F246=""),"",DATE(YEAR(E246),MONTH(E246)+ROUND(F246*12,0),DAY(E246)))</f>
        <v/>
      </c>
      <c r="H246" s="144">
        <f>IF(G246="","",G246-AsOf)</f>
        <v/>
      </c>
      <c r="I246" s="107">
        <f>IF(G246="","",IF(H246&lt;0,"Expired",IF(H246&lt;=90,"Expires soon","Active")))</f>
        <v/>
      </c>
      <c r="J246" s="72" t="n"/>
      <c r="K246" s="79">
        <f>IF(I246="","",IF(I246="Active",0,IF(I246="Expires soon",1,3)))</f>
        <v/>
      </c>
      <c r="L246" s="112">
        <f>IF(G246="","",IF(G246&lt;AsOf,"",G246))</f>
        <v/>
      </c>
      <c r="M246" s="79">
        <f>IF(L246="","",IF(L246&lt;=AsOf+AlertDays,2,IF(L246&lt;=AsOf+90,3,"")))</f>
        <v/>
      </c>
      <c r="N246" s="79">
        <f>IF(M246="","","Warranty expires in "&amp;H246&amp;" days: "&amp;B246&amp;IF(C246="",""," ("&amp;C246&amp;")")&amp;" — check for defects")</f>
        <v/>
      </c>
      <c r="P246" s="72" t="n"/>
      <c r="Q246" s="72" t="n"/>
      <c r="R246" s="89" t="n"/>
      <c r="S246" s="109" t="n"/>
      <c r="T246" s="126">
        <f>IF(OR(R246="",S246=""),"",DATE(YEAR(S246),MONTH(S246)+R246,DAY(S246)))</f>
        <v/>
      </c>
      <c r="U246" s="144">
        <f>IF(T246="","",T246-AsOf)</f>
        <v/>
      </c>
      <c r="V246" s="107">
        <f>IF(T246="",IF(P246="","","Enter last-done date"),IF(U246&lt;0,"Overdue",IF(U246&lt;=30,"Due soon","OK")))</f>
        <v/>
      </c>
      <c r="W246" s="79">
        <f>IF(T246="","",IF(U246&lt;0,2,IF(U246&lt;=30,1,0)))</f>
        <v/>
      </c>
      <c r="X246" s="112">
        <f>IF(T246="","",T246)</f>
        <v/>
      </c>
      <c r="Y246" s="79">
        <f>IF(X246="","",IF(X246&lt;=AsOf+AlertDays,2,IF(X246&lt;=AsOf+30,3,"")))</f>
        <v/>
      </c>
      <c r="Z246" s="79">
        <f>IF(Y246="","",IF(U246&lt;0,"Maintenance overdue: ","Maintenance due: ")&amp;P246)</f>
        <v/>
      </c>
    </row>
    <row r="247" ht="20" customHeight="1">
      <c r="B247" s="72" t="n"/>
      <c r="C247" s="72" t="n"/>
      <c r="D247" s="72" t="n"/>
      <c r="E247" s="109" t="n"/>
      <c r="F247" s="74" t="n"/>
      <c r="G247" s="126">
        <f>IF(OR(E247="",F247=""),"",DATE(YEAR(E247),MONTH(E247)+ROUND(F247*12,0),DAY(E247)))</f>
        <v/>
      </c>
      <c r="H247" s="144">
        <f>IF(G247="","",G247-AsOf)</f>
        <v/>
      </c>
      <c r="I247" s="107">
        <f>IF(G247="","",IF(H247&lt;0,"Expired",IF(H247&lt;=90,"Expires soon","Active")))</f>
        <v/>
      </c>
      <c r="J247" s="72" t="n"/>
      <c r="K247" s="79">
        <f>IF(I247="","",IF(I247="Active",0,IF(I247="Expires soon",1,3)))</f>
        <v/>
      </c>
      <c r="L247" s="112">
        <f>IF(G247="","",IF(G247&lt;AsOf,"",G247))</f>
        <v/>
      </c>
      <c r="M247" s="79">
        <f>IF(L247="","",IF(L247&lt;=AsOf+AlertDays,2,IF(L247&lt;=AsOf+90,3,"")))</f>
        <v/>
      </c>
      <c r="N247" s="79">
        <f>IF(M247="","","Warranty expires in "&amp;H247&amp;" days: "&amp;B247&amp;IF(C247="",""," ("&amp;C247&amp;")")&amp;" — check for defects")</f>
        <v/>
      </c>
      <c r="P247" s="72" t="n"/>
      <c r="Q247" s="72" t="n"/>
      <c r="R247" s="89" t="n"/>
      <c r="S247" s="109" t="n"/>
      <c r="T247" s="126">
        <f>IF(OR(R247="",S247=""),"",DATE(YEAR(S247),MONTH(S247)+R247,DAY(S247)))</f>
        <v/>
      </c>
      <c r="U247" s="144">
        <f>IF(T247="","",T247-AsOf)</f>
        <v/>
      </c>
      <c r="V247" s="107">
        <f>IF(T247="",IF(P247="","","Enter last-done date"),IF(U247&lt;0,"Overdue",IF(U247&lt;=30,"Due soon","OK")))</f>
        <v/>
      </c>
      <c r="W247" s="79">
        <f>IF(T247="","",IF(U247&lt;0,2,IF(U247&lt;=30,1,0)))</f>
        <v/>
      </c>
      <c r="X247" s="112">
        <f>IF(T247="","",T247)</f>
        <v/>
      </c>
      <c r="Y247" s="79">
        <f>IF(X247="","",IF(X247&lt;=AsOf+AlertDays,2,IF(X247&lt;=AsOf+30,3,"")))</f>
        <v/>
      </c>
      <c r="Z247" s="79">
        <f>IF(Y247="","",IF(U247&lt;0,"Maintenance overdue: ","Maintenance due: ")&amp;P247)</f>
        <v/>
      </c>
    </row>
    <row r="248" ht="20" customHeight="1">
      <c r="B248" s="72" t="n"/>
      <c r="C248" s="72" t="n"/>
      <c r="D248" s="72" t="n"/>
      <c r="E248" s="109" t="n"/>
      <c r="F248" s="74" t="n"/>
      <c r="G248" s="126">
        <f>IF(OR(E248="",F248=""),"",DATE(YEAR(E248),MONTH(E248)+ROUND(F248*12,0),DAY(E248)))</f>
        <v/>
      </c>
      <c r="H248" s="144">
        <f>IF(G248="","",G248-AsOf)</f>
        <v/>
      </c>
      <c r="I248" s="107">
        <f>IF(G248="","",IF(H248&lt;0,"Expired",IF(H248&lt;=90,"Expires soon","Active")))</f>
        <v/>
      </c>
      <c r="J248" s="72" t="n"/>
      <c r="K248" s="79">
        <f>IF(I248="","",IF(I248="Active",0,IF(I248="Expires soon",1,3)))</f>
        <v/>
      </c>
      <c r="L248" s="112">
        <f>IF(G248="","",IF(G248&lt;AsOf,"",G248))</f>
        <v/>
      </c>
      <c r="M248" s="79">
        <f>IF(L248="","",IF(L248&lt;=AsOf+AlertDays,2,IF(L248&lt;=AsOf+90,3,"")))</f>
        <v/>
      </c>
      <c r="N248" s="79">
        <f>IF(M248="","","Warranty expires in "&amp;H248&amp;" days: "&amp;B248&amp;IF(C248="",""," ("&amp;C248&amp;")")&amp;" — check for defects")</f>
        <v/>
      </c>
      <c r="P248" s="72" t="n"/>
      <c r="Q248" s="72" t="n"/>
      <c r="R248" s="89" t="n"/>
      <c r="S248" s="109" t="n"/>
      <c r="T248" s="126">
        <f>IF(OR(R248="",S248=""),"",DATE(YEAR(S248),MONTH(S248)+R248,DAY(S248)))</f>
        <v/>
      </c>
      <c r="U248" s="144">
        <f>IF(T248="","",T248-AsOf)</f>
        <v/>
      </c>
      <c r="V248" s="107">
        <f>IF(T248="",IF(P248="","","Enter last-done date"),IF(U248&lt;0,"Overdue",IF(U248&lt;=30,"Due soon","OK")))</f>
        <v/>
      </c>
      <c r="W248" s="79">
        <f>IF(T248="","",IF(U248&lt;0,2,IF(U248&lt;=30,1,0)))</f>
        <v/>
      </c>
      <c r="X248" s="112">
        <f>IF(T248="","",T248)</f>
        <v/>
      </c>
      <c r="Y248" s="79">
        <f>IF(X248="","",IF(X248&lt;=AsOf+AlertDays,2,IF(X248&lt;=AsOf+30,3,"")))</f>
        <v/>
      </c>
      <c r="Z248" s="79">
        <f>IF(Y248="","",IF(U248&lt;0,"Maintenance overdue: ","Maintenance due: ")&amp;P248)</f>
        <v/>
      </c>
    </row>
    <row r="249" ht="20" customHeight="1">
      <c r="B249" s="72" t="n"/>
      <c r="C249" s="72" t="n"/>
      <c r="D249" s="72" t="n"/>
      <c r="E249" s="109" t="n"/>
      <c r="F249" s="74" t="n"/>
      <c r="G249" s="126">
        <f>IF(OR(E249="",F249=""),"",DATE(YEAR(E249),MONTH(E249)+ROUND(F249*12,0),DAY(E249)))</f>
        <v/>
      </c>
      <c r="H249" s="144">
        <f>IF(G249="","",G249-AsOf)</f>
        <v/>
      </c>
      <c r="I249" s="107">
        <f>IF(G249="","",IF(H249&lt;0,"Expired",IF(H249&lt;=90,"Expires soon","Active")))</f>
        <v/>
      </c>
      <c r="J249" s="72" t="n"/>
      <c r="K249" s="79">
        <f>IF(I249="","",IF(I249="Active",0,IF(I249="Expires soon",1,3)))</f>
        <v/>
      </c>
      <c r="L249" s="112">
        <f>IF(G249="","",IF(G249&lt;AsOf,"",G249))</f>
        <v/>
      </c>
      <c r="M249" s="79">
        <f>IF(L249="","",IF(L249&lt;=AsOf+AlertDays,2,IF(L249&lt;=AsOf+90,3,"")))</f>
        <v/>
      </c>
      <c r="N249" s="79">
        <f>IF(M249="","","Warranty expires in "&amp;H249&amp;" days: "&amp;B249&amp;IF(C249="",""," ("&amp;C249&amp;")")&amp;" — check for defects")</f>
        <v/>
      </c>
      <c r="P249" s="72" t="n"/>
      <c r="Q249" s="72" t="n"/>
      <c r="R249" s="89" t="n"/>
      <c r="S249" s="109" t="n"/>
      <c r="T249" s="126">
        <f>IF(OR(R249="",S249=""),"",DATE(YEAR(S249),MONTH(S249)+R249,DAY(S249)))</f>
        <v/>
      </c>
      <c r="U249" s="144">
        <f>IF(T249="","",T249-AsOf)</f>
        <v/>
      </c>
      <c r="V249" s="107">
        <f>IF(T249="",IF(P249="","","Enter last-done date"),IF(U249&lt;0,"Overdue",IF(U249&lt;=30,"Due soon","OK")))</f>
        <v/>
      </c>
      <c r="W249" s="79">
        <f>IF(T249="","",IF(U249&lt;0,2,IF(U249&lt;=30,1,0)))</f>
        <v/>
      </c>
      <c r="X249" s="112">
        <f>IF(T249="","",T249)</f>
        <v/>
      </c>
      <c r="Y249" s="79">
        <f>IF(X249="","",IF(X249&lt;=AsOf+AlertDays,2,IF(X249&lt;=AsOf+30,3,"")))</f>
        <v/>
      </c>
      <c r="Z249" s="79">
        <f>IF(Y249="","",IF(U249&lt;0,"Maintenance overdue: ","Maintenance due: ")&amp;P249)</f>
        <v/>
      </c>
    </row>
    <row r="250" ht="20" customHeight="1">
      <c r="B250" s="72" t="n"/>
      <c r="C250" s="72" t="n"/>
      <c r="D250" s="72" t="n"/>
      <c r="E250" s="109" t="n"/>
      <c r="F250" s="74" t="n"/>
      <c r="G250" s="126">
        <f>IF(OR(E250="",F250=""),"",DATE(YEAR(E250),MONTH(E250)+ROUND(F250*12,0),DAY(E250)))</f>
        <v/>
      </c>
      <c r="H250" s="144">
        <f>IF(G250="","",G250-AsOf)</f>
        <v/>
      </c>
      <c r="I250" s="107">
        <f>IF(G250="","",IF(H250&lt;0,"Expired",IF(H250&lt;=90,"Expires soon","Active")))</f>
        <v/>
      </c>
      <c r="J250" s="72" t="n"/>
      <c r="K250" s="79">
        <f>IF(I250="","",IF(I250="Active",0,IF(I250="Expires soon",1,3)))</f>
        <v/>
      </c>
      <c r="L250" s="112">
        <f>IF(G250="","",IF(G250&lt;AsOf,"",G250))</f>
        <v/>
      </c>
      <c r="M250" s="79">
        <f>IF(L250="","",IF(L250&lt;=AsOf+AlertDays,2,IF(L250&lt;=AsOf+90,3,"")))</f>
        <v/>
      </c>
      <c r="N250" s="79">
        <f>IF(M250="","","Warranty expires in "&amp;H250&amp;" days: "&amp;B250&amp;IF(C250="",""," ("&amp;C250&amp;")")&amp;" — check for defects")</f>
        <v/>
      </c>
      <c r="P250" s="72" t="n"/>
      <c r="Q250" s="72" t="n"/>
      <c r="R250" s="89" t="n"/>
      <c r="S250" s="109" t="n"/>
      <c r="T250" s="126">
        <f>IF(OR(R250="",S250=""),"",DATE(YEAR(S250),MONTH(S250)+R250,DAY(S250)))</f>
        <v/>
      </c>
      <c r="U250" s="144">
        <f>IF(T250="","",T250-AsOf)</f>
        <v/>
      </c>
      <c r="V250" s="107">
        <f>IF(T250="",IF(P250="","","Enter last-done date"),IF(U250&lt;0,"Overdue",IF(U250&lt;=30,"Due soon","OK")))</f>
        <v/>
      </c>
      <c r="W250" s="79">
        <f>IF(T250="","",IF(U250&lt;0,2,IF(U250&lt;=30,1,0)))</f>
        <v/>
      </c>
      <c r="X250" s="112">
        <f>IF(T250="","",T250)</f>
        <v/>
      </c>
      <c r="Y250" s="79">
        <f>IF(X250="","",IF(X250&lt;=AsOf+AlertDays,2,IF(X250&lt;=AsOf+30,3,"")))</f>
        <v/>
      </c>
      <c r="Z250" s="79">
        <f>IF(Y250="","",IF(U250&lt;0,"Maintenance overdue: ","Maintenance due: ")&amp;P250)</f>
        <v/>
      </c>
    </row>
    <row r="251" ht="20" customHeight="1">
      <c r="B251" s="72" t="n"/>
      <c r="C251" s="72" t="n"/>
      <c r="D251" s="72" t="n"/>
      <c r="E251" s="109" t="n"/>
      <c r="F251" s="74" t="n"/>
      <c r="G251" s="126">
        <f>IF(OR(E251="",F251=""),"",DATE(YEAR(E251),MONTH(E251)+ROUND(F251*12,0),DAY(E251)))</f>
        <v/>
      </c>
      <c r="H251" s="144">
        <f>IF(G251="","",G251-AsOf)</f>
        <v/>
      </c>
      <c r="I251" s="107">
        <f>IF(G251="","",IF(H251&lt;0,"Expired",IF(H251&lt;=90,"Expires soon","Active")))</f>
        <v/>
      </c>
      <c r="J251" s="72" t="n"/>
      <c r="K251" s="79">
        <f>IF(I251="","",IF(I251="Active",0,IF(I251="Expires soon",1,3)))</f>
        <v/>
      </c>
      <c r="L251" s="112">
        <f>IF(G251="","",IF(G251&lt;AsOf,"",G251))</f>
        <v/>
      </c>
      <c r="M251" s="79">
        <f>IF(L251="","",IF(L251&lt;=AsOf+AlertDays,2,IF(L251&lt;=AsOf+90,3,"")))</f>
        <v/>
      </c>
      <c r="N251" s="79">
        <f>IF(M251="","","Warranty expires in "&amp;H251&amp;" days: "&amp;B251&amp;IF(C251="",""," ("&amp;C251&amp;")")&amp;" — check for defects")</f>
        <v/>
      </c>
      <c r="P251" s="72" t="n"/>
      <c r="Q251" s="72" t="n"/>
      <c r="R251" s="89" t="n"/>
      <c r="S251" s="109" t="n"/>
      <c r="T251" s="126">
        <f>IF(OR(R251="",S251=""),"",DATE(YEAR(S251),MONTH(S251)+R251,DAY(S251)))</f>
        <v/>
      </c>
      <c r="U251" s="144">
        <f>IF(T251="","",T251-AsOf)</f>
        <v/>
      </c>
      <c r="V251" s="107">
        <f>IF(T251="",IF(P251="","","Enter last-done date"),IF(U251&lt;0,"Overdue",IF(U251&lt;=30,"Due soon","OK")))</f>
        <v/>
      </c>
      <c r="W251" s="79">
        <f>IF(T251="","",IF(U251&lt;0,2,IF(U251&lt;=30,1,0)))</f>
        <v/>
      </c>
      <c r="X251" s="112">
        <f>IF(T251="","",T251)</f>
        <v/>
      </c>
      <c r="Y251" s="79">
        <f>IF(X251="","",IF(X251&lt;=AsOf+AlertDays,2,IF(X251&lt;=AsOf+30,3,"")))</f>
        <v/>
      </c>
      <c r="Z251" s="79">
        <f>IF(Y251="","",IF(U251&lt;0,"Maintenance overdue: ","Maintenance due: ")&amp;P251)</f>
        <v/>
      </c>
    </row>
    <row r="252" ht="20" customHeight="1">
      <c r="B252" s="72" t="n"/>
      <c r="C252" s="72" t="n"/>
      <c r="D252" s="72" t="n"/>
      <c r="E252" s="109" t="n"/>
      <c r="F252" s="74" t="n"/>
      <c r="G252" s="126">
        <f>IF(OR(E252="",F252=""),"",DATE(YEAR(E252),MONTH(E252)+ROUND(F252*12,0),DAY(E252)))</f>
        <v/>
      </c>
      <c r="H252" s="144">
        <f>IF(G252="","",G252-AsOf)</f>
        <v/>
      </c>
      <c r="I252" s="107">
        <f>IF(G252="","",IF(H252&lt;0,"Expired",IF(H252&lt;=90,"Expires soon","Active")))</f>
        <v/>
      </c>
      <c r="J252" s="72" t="n"/>
      <c r="K252" s="79">
        <f>IF(I252="","",IF(I252="Active",0,IF(I252="Expires soon",1,3)))</f>
        <v/>
      </c>
      <c r="L252" s="112">
        <f>IF(G252="","",IF(G252&lt;AsOf,"",G252))</f>
        <v/>
      </c>
      <c r="M252" s="79">
        <f>IF(L252="","",IF(L252&lt;=AsOf+AlertDays,2,IF(L252&lt;=AsOf+90,3,"")))</f>
        <v/>
      </c>
      <c r="N252" s="79">
        <f>IF(M252="","","Warranty expires in "&amp;H252&amp;" days: "&amp;B252&amp;IF(C252="",""," ("&amp;C252&amp;")")&amp;" — check for defects")</f>
        <v/>
      </c>
      <c r="P252" s="72" t="n"/>
      <c r="Q252" s="72" t="n"/>
      <c r="R252" s="89" t="n"/>
      <c r="S252" s="109" t="n"/>
      <c r="T252" s="126">
        <f>IF(OR(R252="",S252=""),"",DATE(YEAR(S252),MONTH(S252)+R252,DAY(S252)))</f>
        <v/>
      </c>
      <c r="U252" s="144">
        <f>IF(T252="","",T252-AsOf)</f>
        <v/>
      </c>
      <c r="V252" s="107">
        <f>IF(T252="",IF(P252="","","Enter last-done date"),IF(U252&lt;0,"Overdue",IF(U252&lt;=30,"Due soon","OK")))</f>
        <v/>
      </c>
      <c r="W252" s="79">
        <f>IF(T252="","",IF(U252&lt;0,2,IF(U252&lt;=30,1,0)))</f>
        <v/>
      </c>
      <c r="X252" s="112">
        <f>IF(T252="","",T252)</f>
        <v/>
      </c>
      <c r="Y252" s="79">
        <f>IF(X252="","",IF(X252&lt;=AsOf+AlertDays,2,IF(X252&lt;=AsOf+30,3,"")))</f>
        <v/>
      </c>
      <c r="Z252" s="79">
        <f>IF(Y252="","",IF(U252&lt;0,"Maintenance overdue: ","Maintenance due: ")&amp;P252)</f>
        <v/>
      </c>
    </row>
    <row r="253" ht="20" customHeight="1">
      <c r="B253" s="72" t="n"/>
      <c r="C253" s="72" t="n"/>
      <c r="D253" s="72" t="n"/>
      <c r="E253" s="109" t="n"/>
      <c r="F253" s="74" t="n"/>
      <c r="G253" s="126">
        <f>IF(OR(E253="",F253=""),"",DATE(YEAR(E253),MONTH(E253)+ROUND(F253*12,0),DAY(E253)))</f>
        <v/>
      </c>
      <c r="H253" s="144">
        <f>IF(G253="","",G253-AsOf)</f>
        <v/>
      </c>
      <c r="I253" s="107">
        <f>IF(G253="","",IF(H253&lt;0,"Expired",IF(H253&lt;=90,"Expires soon","Active")))</f>
        <v/>
      </c>
      <c r="J253" s="72" t="n"/>
      <c r="K253" s="79">
        <f>IF(I253="","",IF(I253="Active",0,IF(I253="Expires soon",1,3)))</f>
        <v/>
      </c>
      <c r="L253" s="112">
        <f>IF(G253="","",IF(G253&lt;AsOf,"",G253))</f>
        <v/>
      </c>
      <c r="M253" s="79">
        <f>IF(L253="","",IF(L253&lt;=AsOf+AlertDays,2,IF(L253&lt;=AsOf+90,3,"")))</f>
        <v/>
      </c>
      <c r="N253" s="79">
        <f>IF(M253="","","Warranty expires in "&amp;H253&amp;" days: "&amp;B253&amp;IF(C253="",""," ("&amp;C253&amp;")")&amp;" — check for defects")</f>
        <v/>
      </c>
      <c r="P253" s="72" t="n"/>
      <c r="Q253" s="72" t="n"/>
      <c r="R253" s="89" t="n"/>
      <c r="S253" s="109" t="n"/>
      <c r="T253" s="126">
        <f>IF(OR(R253="",S253=""),"",DATE(YEAR(S253),MONTH(S253)+R253,DAY(S253)))</f>
        <v/>
      </c>
      <c r="U253" s="144">
        <f>IF(T253="","",T253-AsOf)</f>
        <v/>
      </c>
      <c r="V253" s="107">
        <f>IF(T253="",IF(P253="","","Enter last-done date"),IF(U253&lt;0,"Overdue",IF(U253&lt;=30,"Due soon","OK")))</f>
        <v/>
      </c>
      <c r="W253" s="79">
        <f>IF(T253="","",IF(U253&lt;0,2,IF(U253&lt;=30,1,0)))</f>
        <v/>
      </c>
      <c r="X253" s="112">
        <f>IF(T253="","",T253)</f>
        <v/>
      </c>
      <c r="Y253" s="79">
        <f>IF(X253="","",IF(X253&lt;=AsOf+AlertDays,2,IF(X253&lt;=AsOf+30,3,"")))</f>
        <v/>
      </c>
      <c r="Z253" s="79">
        <f>IF(Y253="","",IF(U253&lt;0,"Maintenance overdue: ","Maintenance due: ")&amp;P253)</f>
        <v/>
      </c>
    </row>
    <row r="254" ht="20" customHeight="1">
      <c r="B254" s="72" t="n"/>
      <c r="C254" s="72" t="n"/>
      <c r="D254" s="72" t="n"/>
      <c r="E254" s="109" t="n"/>
      <c r="F254" s="74" t="n"/>
      <c r="G254" s="126">
        <f>IF(OR(E254="",F254=""),"",DATE(YEAR(E254),MONTH(E254)+ROUND(F254*12,0),DAY(E254)))</f>
        <v/>
      </c>
      <c r="H254" s="144">
        <f>IF(G254="","",G254-AsOf)</f>
        <v/>
      </c>
      <c r="I254" s="107">
        <f>IF(G254="","",IF(H254&lt;0,"Expired",IF(H254&lt;=90,"Expires soon","Active")))</f>
        <v/>
      </c>
      <c r="J254" s="72" t="n"/>
      <c r="K254" s="79">
        <f>IF(I254="","",IF(I254="Active",0,IF(I254="Expires soon",1,3)))</f>
        <v/>
      </c>
      <c r="L254" s="112">
        <f>IF(G254="","",IF(G254&lt;AsOf,"",G254))</f>
        <v/>
      </c>
      <c r="M254" s="79">
        <f>IF(L254="","",IF(L254&lt;=AsOf+AlertDays,2,IF(L254&lt;=AsOf+90,3,"")))</f>
        <v/>
      </c>
      <c r="N254" s="79">
        <f>IF(M254="","","Warranty expires in "&amp;H254&amp;" days: "&amp;B254&amp;IF(C254="",""," ("&amp;C254&amp;")")&amp;" — check for defects")</f>
        <v/>
      </c>
      <c r="P254" s="72" t="n"/>
      <c r="Q254" s="72" t="n"/>
      <c r="R254" s="89" t="n"/>
      <c r="S254" s="109" t="n"/>
      <c r="T254" s="126">
        <f>IF(OR(R254="",S254=""),"",DATE(YEAR(S254),MONTH(S254)+R254,DAY(S254)))</f>
        <v/>
      </c>
      <c r="U254" s="144">
        <f>IF(T254="","",T254-AsOf)</f>
        <v/>
      </c>
      <c r="V254" s="107">
        <f>IF(T254="",IF(P254="","","Enter last-done date"),IF(U254&lt;0,"Overdue",IF(U254&lt;=30,"Due soon","OK")))</f>
        <v/>
      </c>
      <c r="W254" s="79">
        <f>IF(T254="","",IF(U254&lt;0,2,IF(U254&lt;=30,1,0)))</f>
        <v/>
      </c>
      <c r="X254" s="112">
        <f>IF(T254="","",T254)</f>
        <v/>
      </c>
      <c r="Y254" s="79">
        <f>IF(X254="","",IF(X254&lt;=AsOf+AlertDays,2,IF(X254&lt;=AsOf+30,3,"")))</f>
        <v/>
      </c>
      <c r="Z254" s="79">
        <f>IF(Y254="","",IF(U254&lt;0,"Maintenance overdue: ","Maintenance due: ")&amp;P254)</f>
        <v/>
      </c>
    </row>
    <row r="255" ht="20" customHeight="1">
      <c r="B255" s="72" t="n"/>
      <c r="C255" s="72" t="n"/>
      <c r="D255" s="72" t="n"/>
      <c r="E255" s="109" t="n"/>
      <c r="F255" s="74" t="n"/>
      <c r="G255" s="126">
        <f>IF(OR(E255="",F255=""),"",DATE(YEAR(E255),MONTH(E255)+ROUND(F255*12,0),DAY(E255)))</f>
        <v/>
      </c>
      <c r="H255" s="144">
        <f>IF(G255="","",G255-AsOf)</f>
        <v/>
      </c>
      <c r="I255" s="107">
        <f>IF(G255="","",IF(H255&lt;0,"Expired",IF(H255&lt;=90,"Expires soon","Active")))</f>
        <v/>
      </c>
      <c r="J255" s="72" t="n"/>
      <c r="K255" s="79">
        <f>IF(I255="","",IF(I255="Active",0,IF(I255="Expires soon",1,3)))</f>
        <v/>
      </c>
      <c r="L255" s="112">
        <f>IF(G255="","",IF(G255&lt;AsOf,"",G255))</f>
        <v/>
      </c>
      <c r="M255" s="79">
        <f>IF(L255="","",IF(L255&lt;=AsOf+AlertDays,2,IF(L255&lt;=AsOf+90,3,"")))</f>
        <v/>
      </c>
      <c r="N255" s="79">
        <f>IF(M255="","","Warranty expires in "&amp;H255&amp;" days: "&amp;B255&amp;IF(C255="",""," ("&amp;C255&amp;")")&amp;" — check for defects")</f>
        <v/>
      </c>
      <c r="P255" s="72" t="n"/>
      <c r="Q255" s="72" t="n"/>
      <c r="R255" s="89" t="n"/>
      <c r="S255" s="109" t="n"/>
      <c r="T255" s="126">
        <f>IF(OR(R255="",S255=""),"",DATE(YEAR(S255),MONTH(S255)+R255,DAY(S255)))</f>
        <v/>
      </c>
      <c r="U255" s="144">
        <f>IF(T255="","",T255-AsOf)</f>
        <v/>
      </c>
      <c r="V255" s="107">
        <f>IF(T255="",IF(P255="","","Enter last-done date"),IF(U255&lt;0,"Overdue",IF(U255&lt;=30,"Due soon","OK")))</f>
        <v/>
      </c>
      <c r="W255" s="79">
        <f>IF(T255="","",IF(U255&lt;0,2,IF(U255&lt;=30,1,0)))</f>
        <v/>
      </c>
      <c r="X255" s="112">
        <f>IF(T255="","",T255)</f>
        <v/>
      </c>
      <c r="Y255" s="79">
        <f>IF(X255="","",IF(X255&lt;=AsOf+AlertDays,2,IF(X255&lt;=AsOf+30,3,"")))</f>
        <v/>
      </c>
      <c r="Z255" s="79">
        <f>IF(Y255="","",IF(U255&lt;0,"Maintenance overdue: ","Maintenance due: ")&amp;P255)</f>
        <v/>
      </c>
    </row>
    <row r="256" ht="20" customHeight="1">
      <c r="B256" s="72" t="n"/>
      <c r="C256" s="72" t="n"/>
      <c r="D256" s="72" t="n"/>
      <c r="E256" s="109" t="n"/>
      <c r="F256" s="74" t="n"/>
      <c r="G256" s="126">
        <f>IF(OR(E256="",F256=""),"",DATE(YEAR(E256),MONTH(E256)+ROUND(F256*12,0),DAY(E256)))</f>
        <v/>
      </c>
      <c r="H256" s="144">
        <f>IF(G256="","",G256-AsOf)</f>
        <v/>
      </c>
      <c r="I256" s="107">
        <f>IF(G256="","",IF(H256&lt;0,"Expired",IF(H256&lt;=90,"Expires soon","Active")))</f>
        <v/>
      </c>
      <c r="J256" s="72" t="n"/>
      <c r="K256" s="79">
        <f>IF(I256="","",IF(I256="Active",0,IF(I256="Expires soon",1,3)))</f>
        <v/>
      </c>
      <c r="L256" s="112">
        <f>IF(G256="","",IF(G256&lt;AsOf,"",G256))</f>
        <v/>
      </c>
      <c r="M256" s="79">
        <f>IF(L256="","",IF(L256&lt;=AsOf+AlertDays,2,IF(L256&lt;=AsOf+90,3,"")))</f>
        <v/>
      </c>
      <c r="N256" s="79">
        <f>IF(M256="","","Warranty expires in "&amp;H256&amp;" days: "&amp;B256&amp;IF(C256="",""," ("&amp;C256&amp;")")&amp;" — check for defects")</f>
        <v/>
      </c>
      <c r="P256" s="72" t="n"/>
      <c r="Q256" s="72" t="n"/>
      <c r="R256" s="89" t="n"/>
      <c r="S256" s="109" t="n"/>
      <c r="T256" s="126">
        <f>IF(OR(R256="",S256=""),"",DATE(YEAR(S256),MONTH(S256)+R256,DAY(S256)))</f>
        <v/>
      </c>
      <c r="U256" s="144">
        <f>IF(T256="","",T256-AsOf)</f>
        <v/>
      </c>
      <c r="V256" s="107">
        <f>IF(T256="",IF(P256="","","Enter last-done date"),IF(U256&lt;0,"Overdue",IF(U256&lt;=30,"Due soon","OK")))</f>
        <v/>
      </c>
      <c r="W256" s="79">
        <f>IF(T256="","",IF(U256&lt;0,2,IF(U256&lt;=30,1,0)))</f>
        <v/>
      </c>
      <c r="X256" s="112">
        <f>IF(T256="","",T256)</f>
        <v/>
      </c>
      <c r="Y256" s="79">
        <f>IF(X256="","",IF(X256&lt;=AsOf+AlertDays,2,IF(X256&lt;=AsOf+30,3,"")))</f>
        <v/>
      </c>
      <c r="Z256" s="79">
        <f>IF(Y256="","",IF(U256&lt;0,"Maintenance overdue: ","Maintenance due: ")&amp;P256)</f>
        <v/>
      </c>
    </row>
    <row r="257" ht="20" customHeight="1">
      <c r="B257" s="72" t="n"/>
      <c r="C257" s="72" t="n"/>
      <c r="D257" s="72" t="n"/>
      <c r="E257" s="109" t="n"/>
      <c r="F257" s="74" t="n"/>
      <c r="G257" s="126">
        <f>IF(OR(E257="",F257=""),"",DATE(YEAR(E257),MONTH(E257)+ROUND(F257*12,0),DAY(E257)))</f>
        <v/>
      </c>
      <c r="H257" s="144">
        <f>IF(G257="","",G257-AsOf)</f>
        <v/>
      </c>
      <c r="I257" s="107">
        <f>IF(G257="","",IF(H257&lt;0,"Expired",IF(H257&lt;=90,"Expires soon","Active")))</f>
        <v/>
      </c>
      <c r="J257" s="72" t="n"/>
      <c r="K257" s="79">
        <f>IF(I257="","",IF(I257="Active",0,IF(I257="Expires soon",1,3)))</f>
        <v/>
      </c>
      <c r="L257" s="112">
        <f>IF(G257="","",IF(G257&lt;AsOf,"",G257))</f>
        <v/>
      </c>
      <c r="M257" s="79">
        <f>IF(L257="","",IF(L257&lt;=AsOf+AlertDays,2,IF(L257&lt;=AsOf+90,3,"")))</f>
        <v/>
      </c>
      <c r="N257" s="79">
        <f>IF(M257="","","Warranty expires in "&amp;H257&amp;" days: "&amp;B257&amp;IF(C257="",""," ("&amp;C257&amp;")")&amp;" — check for defects")</f>
        <v/>
      </c>
      <c r="P257" s="72" t="n"/>
      <c r="Q257" s="72" t="n"/>
      <c r="R257" s="89" t="n"/>
      <c r="S257" s="109" t="n"/>
      <c r="T257" s="126">
        <f>IF(OR(R257="",S257=""),"",DATE(YEAR(S257),MONTH(S257)+R257,DAY(S257)))</f>
        <v/>
      </c>
      <c r="U257" s="144">
        <f>IF(T257="","",T257-AsOf)</f>
        <v/>
      </c>
      <c r="V257" s="107">
        <f>IF(T257="",IF(P257="","","Enter last-done date"),IF(U257&lt;0,"Overdue",IF(U257&lt;=30,"Due soon","OK")))</f>
        <v/>
      </c>
      <c r="W257" s="79">
        <f>IF(T257="","",IF(U257&lt;0,2,IF(U257&lt;=30,1,0)))</f>
        <v/>
      </c>
      <c r="X257" s="112">
        <f>IF(T257="","",T257)</f>
        <v/>
      </c>
      <c r="Y257" s="79">
        <f>IF(X257="","",IF(X257&lt;=AsOf+AlertDays,2,IF(X257&lt;=AsOf+30,3,"")))</f>
        <v/>
      </c>
      <c r="Z257" s="79">
        <f>IF(Y257="","",IF(U257&lt;0,"Maintenance overdue: ","Maintenance due: ")&amp;P257)</f>
        <v/>
      </c>
    </row>
    <row r="258" ht="20" customHeight="1">
      <c r="B258" s="72" t="n"/>
      <c r="C258" s="72" t="n"/>
      <c r="D258" s="72" t="n"/>
      <c r="E258" s="109" t="n"/>
      <c r="F258" s="74" t="n"/>
      <c r="G258" s="126">
        <f>IF(OR(E258="",F258=""),"",DATE(YEAR(E258),MONTH(E258)+ROUND(F258*12,0),DAY(E258)))</f>
        <v/>
      </c>
      <c r="H258" s="144">
        <f>IF(G258="","",G258-AsOf)</f>
        <v/>
      </c>
      <c r="I258" s="107">
        <f>IF(G258="","",IF(H258&lt;0,"Expired",IF(H258&lt;=90,"Expires soon","Active")))</f>
        <v/>
      </c>
      <c r="J258" s="72" t="n"/>
      <c r="K258" s="79">
        <f>IF(I258="","",IF(I258="Active",0,IF(I258="Expires soon",1,3)))</f>
        <v/>
      </c>
      <c r="L258" s="112">
        <f>IF(G258="","",IF(G258&lt;AsOf,"",G258))</f>
        <v/>
      </c>
      <c r="M258" s="79">
        <f>IF(L258="","",IF(L258&lt;=AsOf+AlertDays,2,IF(L258&lt;=AsOf+90,3,"")))</f>
        <v/>
      </c>
      <c r="N258" s="79">
        <f>IF(M258="","","Warranty expires in "&amp;H258&amp;" days: "&amp;B258&amp;IF(C258="",""," ("&amp;C258&amp;")")&amp;" — check for defects")</f>
        <v/>
      </c>
      <c r="P258" s="72" t="n"/>
      <c r="Q258" s="72" t="n"/>
      <c r="R258" s="89" t="n"/>
      <c r="S258" s="109" t="n"/>
      <c r="T258" s="126">
        <f>IF(OR(R258="",S258=""),"",DATE(YEAR(S258),MONTH(S258)+R258,DAY(S258)))</f>
        <v/>
      </c>
      <c r="U258" s="144">
        <f>IF(T258="","",T258-AsOf)</f>
        <v/>
      </c>
      <c r="V258" s="107">
        <f>IF(T258="",IF(P258="","","Enter last-done date"),IF(U258&lt;0,"Overdue",IF(U258&lt;=30,"Due soon","OK")))</f>
        <v/>
      </c>
      <c r="W258" s="79">
        <f>IF(T258="","",IF(U258&lt;0,2,IF(U258&lt;=30,1,0)))</f>
        <v/>
      </c>
      <c r="X258" s="112">
        <f>IF(T258="","",T258)</f>
        <v/>
      </c>
      <c r="Y258" s="79">
        <f>IF(X258="","",IF(X258&lt;=AsOf+AlertDays,2,IF(X258&lt;=AsOf+30,3,"")))</f>
        <v/>
      </c>
      <c r="Z258" s="79">
        <f>IF(Y258="","",IF(U258&lt;0,"Maintenance overdue: ","Maintenance due: ")&amp;P258)</f>
        <v/>
      </c>
    </row>
    <row r="259" ht="20" customHeight="1">
      <c r="B259" s="72" t="n"/>
      <c r="C259" s="72" t="n"/>
      <c r="D259" s="72" t="n"/>
      <c r="E259" s="109" t="n"/>
      <c r="F259" s="74" t="n"/>
      <c r="G259" s="126">
        <f>IF(OR(E259="",F259=""),"",DATE(YEAR(E259),MONTH(E259)+ROUND(F259*12,0),DAY(E259)))</f>
        <v/>
      </c>
      <c r="H259" s="144">
        <f>IF(G259="","",G259-AsOf)</f>
        <v/>
      </c>
      <c r="I259" s="107">
        <f>IF(G259="","",IF(H259&lt;0,"Expired",IF(H259&lt;=90,"Expires soon","Active")))</f>
        <v/>
      </c>
      <c r="J259" s="72" t="n"/>
      <c r="K259" s="79">
        <f>IF(I259="","",IF(I259="Active",0,IF(I259="Expires soon",1,3)))</f>
        <v/>
      </c>
      <c r="L259" s="112">
        <f>IF(G259="","",IF(G259&lt;AsOf,"",G259))</f>
        <v/>
      </c>
      <c r="M259" s="79">
        <f>IF(L259="","",IF(L259&lt;=AsOf+AlertDays,2,IF(L259&lt;=AsOf+90,3,"")))</f>
        <v/>
      </c>
      <c r="N259" s="79">
        <f>IF(M259="","","Warranty expires in "&amp;H259&amp;" days: "&amp;B259&amp;IF(C259="",""," ("&amp;C259&amp;")")&amp;" — check for defects")</f>
        <v/>
      </c>
      <c r="P259" s="72" t="n"/>
      <c r="Q259" s="72" t="n"/>
      <c r="R259" s="89" t="n"/>
      <c r="S259" s="109" t="n"/>
      <c r="T259" s="126">
        <f>IF(OR(R259="",S259=""),"",DATE(YEAR(S259),MONTH(S259)+R259,DAY(S259)))</f>
        <v/>
      </c>
      <c r="U259" s="144">
        <f>IF(T259="","",T259-AsOf)</f>
        <v/>
      </c>
      <c r="V259" s="107">
        <f>IF(T259="",IF(P259="","","Enter last-done date"),IF(U259&lt;0,"Overdue",IF(U259&lt;=30,"Due soon","OK")))</f>
        <v/>
      </c>
      <c r="W259" s="79">
        <f>IF(T259="","",IF(U259&lt;0,2,IF(U259&lt;=30,1,0)))</f>
        <v/>
      </c>
      <c r="X259" s="112">
        <f>IF(T259="","",T259)</f>
        <v/>
      </c>
      <c r="Y259" s="79">
        <f>IF(X259="","",IF(X259&lt;=AsOf+AlertDays,2,IF(X259&lt;=AsOf+30,3,"")))</f>
        <v/>
      </c>
      <c r="Z259" s="79">
        <f>IF(Y259="","",IF(U259&lt;0,"Maintenance overdue: ","Maintenance due: ")&amp;P259)</f>
        <v/>
      </c>
    </row>
    <row r="260" ht="20" customHeight="1">
      <c r="B260" s="72" t="n"/>
      <c r="C260" s="72" t="n"/>
      <c r="D260" s="72" t="n"/>
      <c r="E260" s="109" t="n"/>
      <c r="F260" s="74" t="n"/>
      <c r="G260" s="126">
        <f>IF(OR(E260="",F260=""),"",DATE(YEAR(E260),MONTH(E260)+ROUND(F260*12,0),DAY(E260)))</f>
        <v/>
      </c>
      <c r="H260" s="144">
        <f>IF(G260="","",G260-AsOf)</f>
        <v/>
      </c>
      <c r="I260" s="107">
        <f>IF(G260="","",IF(H260&lt;0,"Expired",IF(H260&lt;=90,"Expires soon","Active")))</f>
        <v/>
      </c>
      <c r="J260" s="72" t="n"/>
      <c r="K260" s="79">
        <f>IF(I260="","",IF(I260="Active",0,IF(I260="Expires soon",1,3)))</f>
        <v/>
      </c>
      <c r="L260" s="112">
        <f>IF(G260="","",IF(G260&lt;AsOf,"",G260))</f>
        <v/>
      </c>
      <c r="M260" s="79">
        <f>IF(L260="","",IF(L260&lt;=AsOf+AlertDays,2,IF(L260&lt;=AsOf+90,3,"")))</f>
        <v/>
      </c>
      <c r="N260" s="79">
        <f>IF(M260="","","Warranty expires in "&amp;H260&amp;" days: "&amp;B260&amp;IF(C260="",""," ("&amp;C260&amp;")")&amp;" — check for defects")</f>
        <v/>
      </c>
      <c r="P260" s="72" t="n"/>
      <c r="Q260" s="72" t="n"/>
      <c r="R260" s="89" t="n"/>
      <c r="S260" s="109" t="n"/>
      <c r="T260" s="126">
        <f>IF(OR(R260="",S260=""),"",DATE(YEAR(S260),MONTH(S260)+R260,DAY(S260)))</f>
        <v/>
      </c>
      <c r="U260" s="144">
        <f>IF(T260="","",T260-AsOf)</f>
        <v/>
      </c>
      <c r="V260" s="107">
        <f>IF(T260="",IF(P260="","","Enter last-done date"),IF(U260&lt;0,"Overdue",IF(U260&lt;=30,"Due soon","OK")))</f>
        <v/>
      </c>
      <c r="W260" s="79">
        <f>IF(T260="","",IF(U260&lt;0,2,IF(U260&lt;=30,1,0)))</f>
        <v/>
      </c>
      <c r="X260" s="112">
        <f>IF(T260="","",T260)</f>
        <v/>
      </c>
      <c r="Y260" s="79">
        <f>IF(X260="","",IF(X260&lt;=AsOf+AlertDays,2,IF(X260&lt;=AsOf+30,3,"")))</f>
        <v/>
      </c>
      <c r="Z260" s="79">
        <f>IF(Y260="","",IF(U260&lt;0,"Maintenance overdue: ","Maintenance due: ")&amp;P260)</f>
        <v/>
      </c>
    </row>
    <row r="261" ht="20" customHeight="1">
      <c r="B261" s="72" t="n"/>
      <c r="C261" s="72" t="n"/>
      <c r="D261" s="72" t="n"/>
      <c r="E261" s="109" t="n"/>
      <c r="F261" s="74" t="n"/>
      <c r="G261" s="126">
        <f>IF(OR(E261="",F261=""),"",DATE(YEAR(E261),MONTH(E261)+ROUND(F261*12,0),DAY(E261)))</f>
        <v/>
      </c>
      <c r="H261" s="144">
        <f>IF(G261="","",G261-AsOf)</f>
        <v/>
      </c>
      <c r="I261" s="107">
        <f>IF(G261="","",IF(H261&lt;0,"Expired",IF(H261&lt;=90,"Expires soon","Active")))</f>
        <v/>
      </c>
      <c r="J261" s="72" t="n"/>
      <c r="K261" s="79">
        <f>IF(I261="","",IF(I261="Active",0,IF(I261="Expires soon",1,3)))</f>
        <v/>
      </c>
      <c r="L261" s="112">
        <f>IF(G261="","",IF(G261&lt;AsOf,"",G261))</f>
        <v/>
      </c>
      <c r="M261" s="79">
        <f>IF(L261="","",IF(L261&lt;=AsOf+AlertDays,2,IF(L261&lt;=AsOf+90,3,"")))</f>
        <v/>
      </c>
      <c r="N261" s="79">
        <f>IF(M261="","","Warranty expires in "&amp;H261&amp;" days: "&amp;B261&amp;IF(C261="",""," ("&amp;C261&amp;")")&amp;" — check for defects")</f>
        <v/>
      </c>
      <c r="P261" s="72" t="n"/>
      <c r="Q261" s="72" t="n"/>
      <c r="R261" s="89" t="n"/>
      <c r="S261" s="109" t="n"/>
      <c r="T261" s="126">
        <f>IF(OR(R261="",S261=""),"",DATE(YEAR(S261),MONTH(S261)+R261,DAY(S261)))</f>
        <v/>
      </c>
      <c r="U261" s="144">
        <f>IF(T261="","",T261-AsOf)</f>
        <v/>
      </c>
      <c r="V261" s="107">
        <f>IF(T261="",IF(P261="","","Enter last-done date"),IF(U261&lt;0,"Overdue",IF(U261&lt;=30,"Due soon","OK")))</f>
        <v/>
      </c>
      <c r="W261" s="79">
        <f>IF(T261="","",IF(U261&lt;0,2,IF(U261&lt;=30,1,0)))</f>
        <v/>
      </c>
      <c r="X261" s="112">
        <f>IF(T261="","",T261)</f>
        <v/>
      </c>
      <c r="Y261" s="79">
        <f>IF(X261="","",IF(X261&lt;=AsOf+AlertDays,2,IF(X261&lt;=AsOf+30,3,"")))</f>
        <v/>
      </c>
      <c r="Z261" s="79">
        <f>IF(Y261="","",IF(U261&lt;0,"Maintenance overdue: ","Maintenance due: ")&amp;P261)</f>
        <v/>
      </c>
    </row>
    <row r="262" ht="20" customHeight="1">
      <c r="B262" s="72" t="n"/>
      <c r="C262" s="72" t="n"/>
      <c r="D262" s="72" t="n"/>
      <c r="E262" s="109" t="n"/>
      <c r="F262" s="74" t="n"/>
      <c r="G262" s="126">
        <f>IF(OR(E262="",F262=""),"",DATE(YEAR(E262),MONTH(E262)+ROUND(F262*12,0),DAY(E262)))</f>
        <v/>
      </c>
      <c r="H262" s="144">
        <f>IF(G262="","",G262-AsOf)</f>
        <v/>
      </c>
      <c r="I262" s="107">
        <f>IF(G262="","",IF(H262&lt;0,"Expired",IF(H262&lt;=90,"Expires soon","Active")))</f>
        <v/>
      </c>
      <c r="J262" s="72" t="n"/>
      <c r="K262" s="79">
        <f>IF(I262="","",IF(I262="Active",0,IF(I262="Expires soon",1,3)))</f>
        <v/>
      </c>
      <c r="L262" s="112">
        <f>IF(G262="","",IF(G262&lt;AsOf,"",G262))</f>
        <v/>
      </c>
      <c r="M262" s="79">
        <f>IF(L262="","",IF(L262&lt;=AsOf+AlertDays,2,IF(L262&lt;=AsOf+90,3,"")))</f>
        <v/>
      </c>
      <c r="N262" s="79">
        <f>IF(M262="","","Warranty expires in "&amp;H262&amp;" days: "&amp;B262&amp;IF(C262="",""," ("&amp;C262&amp;")")&amp;" — check for defects")</f>
        <v/>
      </c>
      <c r="P262" s="72" t="n"/>
      <c r="Q262" s="72" t="n"/>
      <c r="R262" s="89" t="n"/>
      <c r="S262" s="109" t="n"/>
      <c r="T262" s="126">
        <f>IF(OR(R262="",S262=""),"",DATE(YEAR(S262),MONTH(S262)+R262,DAY(S262)))</f>
        <v/>
      </c>
      <c r="U262" s="144">
        <f>IF(T262="","",T262-AsOf)</f>
        <v/>
      </c>
      <c r="V262" s="107">
        <f>IF(T262="",IF(P262="","","Enter last-done date"),IF(U262&lt;0,"Overdue",IF(U262&lt;=30,"Due soon","OK")))</f>
        <v/>
      </c>
      <c r="W262" s="79">
        <f>IF(T262="","",IF(U262&lt;0,2,IF(U262&lt;=30,1,0)))</f>
        <v/>
      </c>
      <c r="X262" s="112">
        <f>IF(T262="","",T262)</f>
        <v/>
      </c>
      <c r="Y262" s="79">
        <f>IF(X262="","",IF(X262&lt;=AsOf+AlertDays,2,IF(X262&lt;=AsOf+30,3,"")))</f>
        <v/>
      </c>
      <c r="Z262" s="79">
        <f>IF(Y262="","",IF(U262&lt;0,"Maintenance overdue: ","Maintenance due: ")&amp;P262)</f>
        <v/>
      </c>
    </row>
    <row r="263" ht="20" customHeight="1">
      <c r="B263" s="72" t="n"/>
      <c r="C263" s="72" t="n"/>
      <c r="D263" s="72" t="n"/>
      <c r="E263" s="109" t="n"/>
      <c r="F263" s="74" t="n"/>
      <c r="G263" s="126">
        <f>IF(OR(E263="",F263=""),"",DATE(YEAR(E263),MONTH(E263)+ROUND(F263*12,0),DAY(E263)))</f>
        <v/>
      </c>
      <c r="H263" s="144">
        <f>IF(G263="","",G263-AsOf)</f>
        <v/>
      </c>
      <c r="I263" s="107">
        <f>IF(G263="","",IF(H263&lt;0,"Expired",IF(H263&lt;=90,"Expires soon","Active")))</f>
        <v/>
      </c>
      <c r="J263" s="72" t="n"/>
      <c r="K263" s="79">
        <f>IF(I263="","",IF(I263="Active",0,IF(I263="Expires soon",1,3)))</f>
        <v/>
      </c>
      <c r="L263" s="112">
        <f>IF(G263="","",IF(G263&lt;AsOf,"",G263))</f>
        <v/>
      </c>
      <c r="M263" s="79">
        <f>IF(L263="","",IF(L263&lt;=AsOf+AlertDays,2,IF(L263&lt;=AsOf+90,3,"")))</f>
        <v/>
      </c>
      <c r="N263" s="79">
        <f>IF(M263="","","Warranty expires in "&amp;H263&amp;" days: "&amp;B263&amp;IF(C263="",""," ("&amp;C263&amp;")")&amp;" — check for defects")</f>
        <v/>
      </c>
      <c r="P263" s="72" t="n"/>
      <c r="Q263" s="72" t="n"/>
      <c r="R263" s="89" t="n"/>
      <c r="S263" s="109" t="n"/>
      <c r="T263" s="126">
        <f>IF(OR(R263="",S263=""),"",DATE(YEAR(S263),MONTH(S263)+R263,DAY(S263)))</f>
        <v/>
      </c>
      <c r="U263" s="144">
        <f>IF(T263="","",T263-AsOf)</f>
        <v/>
      </c>
      <c r="V263" s="107">
        <f>IF(T263="",IF(P263="","","Enter last-done date"),IF(U263&lt;0,"Overdue",IF(U263&lt;=30,"Due soon","OK")))</f>
        <v/>
      </c>
      <c r="W263" s="79">
        <f>IF(T263="","",IF(U263&lt;0,2,IF(U263&lt;=30,1,0)))</f>
        <v/>
      </c>
      <c r="X263" s="112">
        <f>IF(T263="","",T263)</f>
        <v/>
      </c>
      <c r="Y263" s="79">
        <f>IF(X263="","",IF(X263&lt;=AsOf+AlertDays,2,IF(X263&lt;=AsOf+30,3,"")))</f>
        <v/>
      </c>
      <c r="Z263" s="79">
        <f>IF(Y263="","",IF(U263&lt;0,"Maintenance overdue: ","Maintenance due: ")&amp;P263)</f>
        <v/>
      </c>
    </row>
    <row r="264" ht="20" customHeight="1">
      <c r="B264" s="72" t="n"/>
      <c r="C264" s="72" t="n"/>
      <c r="D264" s="72" t="n"/>
      <c r="E264" s="109" t="n"/>
      <c r="F264" s="74" t="n"/>
      <c r="G264" s="126">
        <f>IF(OR(E264="",F264=""),"",DATE(YEAR(E264),MONTH(E264)+ROUND(F264*12,0),DAY(E264)))</f>
        <v/>
      </c>
      <c r="H264" s="144">
        <f>IF(G264="","",G264-AsOf)</f>
        <v/>
      </c>
      <c r="I264" s="107">
        <f>IF(G264="","",IF(H264&lt;0,"Expired",IF(H264&lt;=90,"Expires soon","Active")))</f>
        <v/>
      </c>
      <c r="J264" s="72" t="n"/>
      <c r="K264" s="79">
        <f>IF(I264="","",IF(I264="Active",0,IF(I264="Expires soon",1,3)))</f>
        <v/>
      </c>
      <c r="L264" s="112">
        <f>IF(G264="","",IF(G264&lt;AsOf,"",G264))</f>
        <v/>
      </c>
      <c r="M264" s="79">
        <f>IF(L264="","",IF(L264&lt;=AsOf+AlertDays,2,IF(L264&lt;=AsOf+90,3,"")))</f>
        <v/>
      </c>
      <c r="N264" s="79">
        <f>IF(M264="","","Warranty expires in "&amp;H264&amp;" days: "&amp;B264&amp;IF(C264="",""," ("&amp;C264&amp;")")&amp;" — check for defects")</f>
        <v/>
      </c>
      <c r="P264" s="72" t="n"/>
      <c r="Q264" s="72" t="n"/>
      <c r="R264" s="89" t="n"/>
      <c r="S264" s="109" t="n"/>
      <c r="T264" s="126">
        <f>IF(OR(R264="",S264=""),"",DATE(YEAR(S264),MONTH(S264)+R264,DAY(S264)))</f>
        <v/>
      </c>
      <c r="U264" s="144">
        <f>IF(T264="","",T264-AsOf)</f>
        <v/>
      </c>
      <c r="V264" s="107">
        <f>IF(T264="",IF(P264="","","Enter last-done date"),IF(U264&lt;0,"Overdue",IF(U264&lt;=30,"Due soon","OK")))</f>
        <v/>
      </c>
      <c r="W264" s="79">
        <f>IF(T264="","",IF(U264&lt;0,2,IF(U264&lt;=30,1,0)))</f>
        <v/>
      </c>
      <c r="X264" s="112">
        <f>IF(T264="","",T264)</f>
        <v/>
      </c>
      <c r="Y264" s="79">
        <f>IF(X264="","",IF(X264&lt;=AsOf+AlertDays,2,IF(X264&lt;=AsOf+30,3,"")))</f>
        <v/>
      </c>
      <c r="Z264" s="79">
        <f>IF(Y264="","",IF(U264&lt;0,"Maintenance overdue: ","Maintenance due: ")&amp;P264)</f>
        <v/>
      </c>
    </row>
    <row r="265" ht="20" customHeight="1">
      <c r="B265" s="72" t="n"/>
      <c r="C265" s="72" t="n"/>
      <c r="D265" s="72" t="n"/>
      <c r="E265" s="109" t="n"/>
      <c r="F265" s="74" t="n"/>
      <c r="G265" s="126">
        <f>IF(OR(E265="",F265=""),"",DATE(YEAR(E265),MONTH(E265)+ROUND(F265*12,0),DAY(E265)))</f>
        <v/>
      </c>
      <c r="H265" s="144">
        <f>IF(G265="","",G265-AsOf)</f>
        <v/>
      </c>
      <c r="I265" s="107">
        <f>IF(G265="","",IF(H265&lt;0,"Expired",IF(H265&lt;=90,"Expires soon","Active")))</f>
        <v/>
      </c>
      <c r="J265" s="72" t="n"/>
      <c r="K265" s="79">
        <f>IF(I265="","",IF(I265="Active",0,IF(I265="Expires soon",1,3)))</f>
        <v/>
      </c>
      <c r="L265" s="112">
        <f>IF(G265="","",IF(G265&lt;AsOf,"",G265))</f>
        <v/>
      </c>
      <c r="M265" s="79">
        <f>IF(L265="","",IF(L265&lt;=AsOf+AlertDays,2,IF(L265&lt;=AsOf+90,3,"")))</f>
        <v/>
      </c>
      <c r="N265" s="79">
        <f>IF(M265="","","Warranty expires in "&amp;H265&amp;" days: "&amp;B265&amp;IF(C265="",""," ("&amp;C265&amp;")")&amp;" — check for defects")</f>
        <v/>
      </c>
      <c r="P265" s="72" t="n"/>
      <c r="Q265" s="72" t="n"/>
      <c r="R265" s="89" t="n"/>
      <c r="S265" s="109" t="n"/>
      <c r="T265" s="126">
        <f>IF(OR(R265="",S265=""),"",DATE(YEAR(S265),MONTH(S265)+R265,DAY(S265)))</f>
        <v/>
      </c>
      <c r="U265" s="144">
        <f>IF(T265="","",T265-AsOf)</f>
        <v/>
      </c>
      <c r="V265" s="107">
        <f>IF(T265="",IF(P265="","","Enter last-done date"),IF(U265&lt;0,"Overdue",IF(U265&lt;=30,"Due soon","OK")))</f>
        <v/>
      </c>
      <c r="W265" s="79">
        <f>IF(T265="","",IF(U265&lt;0,2,IF(U265&lt;=30,1,0)))</f>
        <v/>
      </c>
      <c r="X265" s="112">
        <f>IF(T265="","",T265)</f>
        <v/>
      </c>
      <c r="Y265" s="79">
        <f>IF(X265="","",IF(X265&lt;=AsOf+AlertDays,2,IF(X265&lt;=AsOf+30,3,"")))</f>
        <v/>
      </c>
      <c r="Z265" s="79">
        <f>IF(Y265="","",IF(U265&lt;0,"Maintenance overdue: ","Maintenance due: ")&amp;P265)</f>
        <v/>
      </c>
    </row>
    <row r="266" ht="20" customHeight="1">
      <c r="B266" s="72" t="n"/>
      <c r="C266" s="72" t="n"/>
      <c r="D266" s="72" t="n"/>
      <c r="E266" s="109" t="n"/>
      <c r="F266" s="74" t="n"/>
      <c r="G266" s="126">
        <f>IF(OR(E266="",F266=""),"",DATE(YEAR(E266),MONTH(E266)+ROUND(F266*12,0),DAY(E266)))</f>
        <v/>
      </c>
      <c r="H266" s="144">
        <f>IF(G266="","",G266-AsOf)</f>
        <v/>
      </c>
      <c r="I266" s="107">
        <f>IF(G266="","",IF(H266&lt;0,"Expired",IF(H266&lt;=90,"Expires soon","Active")))</f>
        <v/>
      </c>
      <c r="J266" s="72" t="n"/>
      <c r="K266" s="79">
        <f>IF(I266="","",IF(I266="Active",0,IF(I266="Expires soon",1,3)))</f>
        <v/>
      </c>
      <c r="L266" s="112">
        <f>IF(G266="","",IF(G266&lt;AsOf,"",G266))</f>
        <v/>
      </c>
      <c r="M266" s="79">
        <f>IF(L266="","",IF(L266&lt;=AsOf+AlertDays,2,IF(L266&lt;=AsOf+90,3,"")))</f>
        <v/>
      </c>
      <c r="N266" s="79">
        <f>IF(M266="","","Warranty expires in "&amp;H266&amp;" days: "&amp;B266&amp;IF(C266="",""," ("&amp;C266&amp;")")&amp;" — check for defects")</f>
        <v/>
      </c>
      <c r="P266" s="72" t="n"/>
      <c r="Q266" s="72" t="n"/>
      <c r="R266" s="89" t="n"/>
      <c r="S266" s="109" t="n"/>
      <c r="T266" s="126">
        <f>IF(OR(R266="",S266=""),"",DATE(YEAR(S266),MONTH(S266)+R266,DAY(S266)))</f>
        <v/>
      </c>
      <c r="U266" s="144">
        <f>IF(T266="","",T266-AsOf)</f>
        <v/>
      </c>
      <c r="V266" s="107">
        <f>IF(T266="",IF(P266="","","Enter last-done date"),IF(U266&lt;0,"Overdue",IF(U266&lt;=30,"Due soon","OK")))</f>
        <v/>
      </c>
      <c r="W266" s="79">
        <f>IF(T266="","",IF(U266&lt;0,2,IF(U266&lt;=30,1,0)))</f>
        <v/>
      </c>
      <c r="X266" s="112">
        <f>IF(T266="","",T266)</f>
        <v/>
      </c>
      <c r="Y266" s="79">
        <f>IF(X266="","",IF(X266&lt;=AsOf+AlertDays,2,IF(X266&lt;=AsOf+30,3,"")))</f>
        <v/>
      </c>
      <c r="Z266" s="79">
        <f>IF(Y266="","",IF(U266&lt;0,"Maintenance overdue: ","Maintenance due: ")&amp;P266)</f>
        <v/>
      </c>
    </row>
    <row r="267" ht="20" customHeight="1">
      <c r="B267" s="72" t="n"/>
      <c r="C267" s="72" t="n"/>
      <c r="D267" s="72" t="n"/>
      <c r="E267" s="109" t="n"/>
      <c r="F267" s="74" t="n"/>
      <c r="G267" s="126">
        <f>IF(OR(E267="",F267=""),"",DATE(YEAR(E267),MONTH(E267)+ROUND(F267*12,0),DAY(E267)))</f>
        <v/>
      </c>
      <c r="H267" s="144">
        <f>IF(G267="","",G267-AsOf)</f>
        <v/>
      </c>
      <c r="I267" s="107">
        <f>IF(G267="","",IF(H267&lt;0,"Expired",IF(H267&lt;=90,"Expires soon","Active")))</f>
        <v/>
      </c>
      <c r="J267" s="72" t="n"/>
      <c r="K267" s="79">
        <f>IF(I267="","",IF(I267="Active",0,IF(I267="Expires soon",1,3)))</f>
        <v/>
      </c>
      <c r="L267" s="112">
        <f>IF(G267="","",IF(G267&lt;AsOf,"",G267))</f>
        <v/>
      </c>
      <c r="M267" s="79">
        <f>IF(L267="","",IF(L267&lt;=AsOf+AlertDays,2,IF(L267&lt;=AsOf+90,3,"")))</f>
        <v/>
      </c>
      <c r="N267" s="79">
        <f>IF(M267="","","Warranty expires in "&amp;H267&amp;" days: "&amp;B267&amp;IF(C267="",""," ("&amp;C267&amp;")")&amp;" — check for defects")</f>
        <v/>
      </c>
      <c r="P267" s="72" t="n"/>
      <c r="Q267" s="72" t="n"/>
      <c r="R267" s="89" t="n"/>
      <c r="S267" s="109" t="n"/>
      <c r="T267" s="126">
        <f>IF(OR(R267="",S267=""),"",DATE(YEAR(S267),MONTH(S267)+R267,DAY(S267)))</f>
        <v/>
      </c>
      <c r="U267" s="144">
        <f>IF(T267="","",T267-AsOf)</f>
        <v/>
      </c>
      <c r="V267" s="107">
        <f>IF(T267="",IF(P267="","","Enter last-done date"),IF(U267&lt;0,"Overdue",IF(U267&lt;=30,"Due soon","OK")))</f>
        <v/>
      </c>
      <c r="W267" s="79">
        <f>IF(T267="","",IF(U267&lt;0,2,IF(U267&lt;=30,1,0)))</f>
        <v/>
      </c>
      <c r="X267" s="112">
        <f>IF(T267="","",T267)</f>
        <v/>
      </c>
      <c r="Y267" s="79">
        <f>IF(X267="","",IF(X267&lt;=AsOf+AlertDays,2,IF(X267&lt;=AsOf+30,3,"")))</f>
        <v/>
      </c>
      <c r="Z267" s="79">
        <f>IF(Y267="","",IF(U267&lt;0,"Maintenance overdue: ","Maintenance due: ")&amp;P267)</f>
        <v/>
      </c>
    </row>
    <row r="268" ht="20" customHeight="1">
      <c r="B268" s="72" t="n"/>
      <c r="C268" s="72" t="n"/>
      <c r="D268" s="72" t="n"/>
      <c r="E268" s="109" t="n"/>
      <c r="F268" s="74" t="n"/>
      <c r="G268" s="126">
        <f>IF(OR(E268="",F268=""),"",DATE(YEAR(E268),MONTH(E268)+ROUND(F268*12,0),DAY(E268)))</f>
        <v/>
      </c>
      <c r="H268" s="144">
        <f>IF(G268="","",G268-AsOf)</f>
        <v/>
      </c>
      <c r="I268" s="107">
        <f>IF(G268="","",IF(H268&lt;0,"Expired",IF(H268&lt;=90,"Expires soon","Active")))</f>
        <v/>
      </c>
      <c r="J268" s="72" t="n"/>
      <c r="K268" s="79">
        <f>IF(I268="","",IF(I268="Active",0,IF(I268="Expires soon",1,3)))</f>
        <v/>
      </c>
      <c r="L268" s="112">
        <f>IF(G268="","",IF(G268&lt;AsOf,"",G268))</f>
        <v/>
      </c>
      <c r="M268" s="79">
        <f>IF(L268="","",IF(L268&lt;=AsOf+AlertDays,2,IF(L268&lt;=AsOf+90,3,"")))</f>
        <v/>
      </c>
      <c r="N268" s="79">
        <f>IF(M268="","","Warranty expires in "&amp;H268&amp;" days: "&amp;B268&amp;IF(C268="",""," ("&amp;C268&amp;")")&amp;" — check for defects")</f>
        <v/>
      </c>
      <c r="P268" s="72" t="n"/>
      <c r="Q268" s="72" t="n"/>
      <c r="R268" s="89" t="n"/>
      <c r="S268" s="109" t="n"/>
      <c r="T268" s="126">
        <f>IF(OR(R268="",S268=""),"",DATE(YEAR(S268),MONTH(S268)+R268,DAY(S268)))</f>
        <v/>
      </c>
      <c r="U268" s="144">
        <f>IF(T268="","",T268-AsOf)</f>
        <v/>
      </c>
      <c r="V268" s="107">
        <f>IF(T268="",IF(P268="","","Enter last-done date"),IF(U268&lt;0,"Overdue",IF(U268&lt;=30,"Due soon","OK")))</f>
        <v/>
      </c>
      <c r="W268" s="79">
        <f>IF(T268="","",IF(U268&lt;0,2,IF(U268&lt;=30,1,0)))</f>
        <v/>
      </c>
      <c r="X268" s="112">
        <f>IF(T268="","",T268)</f>
        <v/>
      </c>
      <c r="Y268" s="79">
        <f>IF(X268="","",IF(X268&lt;=AsOf+AlertDays,2,IF(X268&lt;=AsOf+30,3,"")))</f>
        <v/>
      </c>
      <c r="Z268" s="79">
        <f>IF(Y268="","",IF(U268&lt;0,"Maintenance overdue: ","Maintenance due: ")&amp;P268)</f>
        <v/>
      </c>
    </row>
    <row r="269" ht="20" customHeight="1">
      <c r="B269" s="72" t="n"/>
      <c r="C269" s="72" t="n"/>
      <c r="D269" s="72" t="n"/>
      <c r="E269" s="109" t="n"/>
      <c r="F269" s="74" t="n"/>
      <c r="G269" s="126">
        <f>IF(OR(E269="",F269=""),"",DATE(YEAR(E269),MONTH(E269)+ROUND(F269*12,0),DAY(E269)))</f>
        <v/>
      </c>
      <c r="H269" s="144">
        <f>IF(G269="","",G269-AsOf)</f>
        <v/>
      </c>
      <c r="I269" s="107">
        <f>IF(G269="","",IF(H269&lt;0,"Expired",IF(H269&lt;=90,"Expires soon","Active")))</f>
        <v/>
      </c>
      <c r="J269" s="72" t="n"/>
      <c r="K269" s="79">
        <f>IF(I269="","",IF(I269="Active",0,IF(I269="Expires soon",1,3)))</f>
        <v/>
      </c>
      <c r="L269" s="112">
        <f>IF(G269="","",IF(G269&lt;AsOf,"",G269))</f>
        <v/>
      </c>
      <c r="M269" s="79">
        <f>IF(L269="","",IF(L269&lt;=AsOf+AlertDays,2,IF(L269&lt;=AsOf+90,3,"")))</f>
        <v/>
      </c>
      <c r="N269" s="79">
        <f>IF(M269="","","Warranty expires in "&amp;H269&amp;" days: "&amp;B269&amp;IF(C269="",""," ("&amp;C269&amp;")")&amp;" — check for defects")</f>
        <v/>
      </c>
      <c r="P269" s="72" t="n"/>
      <c r="Q269" s="72" t="n"/>
      <c r="R269" s="89" t="n"/>
      <c r="S269" s="109" t="n"/>
      <c r="T269" s="126">
        <f>IF(OR(R269="",S269=""),"",DATE(YEAR(S269),MONTH(S269)+R269,DAY(S269)))</f>
        <v/>
      </c>
      <c r="U269" s="144">
        <f>IF(T269="","",T269-AsOf)</f>
        <v/>
      </c>
      <c r="V269" s="107">
        <f>IF(T269="",IF(P269="","","Enter last-done date"),IF(U269&lt;0,"Overdue",IF(U269&lt;=30,"Due soon","OK")))</f>
        <v/>
      </c>
      <c r="W269" s="79">
        <f>IF(T269="","",IF(U269&lt;0,2,IF(U269&lt;=30,1,0)))</f>
        <v/>
      </c>
      <c r="X269" s="112">
        <f>IF(T269="","",T269)</f>
        <v/>
      </c>
      <c r="Y269" s="79">
        <f>IF(X269="","",IF(X269&lt;=AsOf+AlertDays,2,IF(X269&lt;=AsOf+30,3,"")))</f>
        <v/>
      </c>
      <c r="Z269" s="79">
        <f>IF(Y269="","",IF(U269&lt;0,"Maintenance overdue: ","Maintenance due: ")&amp;P269)</f>
        <v/>
      </c>
    </row>
    <row r="270" ht="20" customHeight="1">
      <c r="B270" s="72" t="n"/>
      <c r="C270" s="72" t="n"/>
      <c r="D270" s="72" t="n"/>
      <c r="E270" s="109" t="n"/>
      <c r="F270" s="74" t="n"/>
      <c r="G270" s="126">
        <f>IF(OR(E270="",F270=""),"",DATE(YEAR(E270),MONTH(E270)+ROUND(F270*12,0),DAY(E270)))</f>
        <v/>
      </c>
      <c r="H270" s="144">
        <f>IF(G270="","",G270-AsOf)</f>
        <v/>
      </c>
      <c r="I270" s="107">
        <f>IF(G270="","",IF(H270&lt;0,"Expired",IF(H270&lt;=90,"Expires soon","Active")))</f>
        <v/>
      </c>
      <c r="J270" s="72" t="n"/>
      <c r="K270" s="79">
        <f>IF(I270="","",IF(I270="Active",0,IF(I270="Expires soon",1,3)))</f>
        <v/>
      </c>
      <c r="L270" s="112">
        <f>IF(G270="","",IF(G270&lt;AsOf,"",G270))</f>
        <v/>
      </c>
      <c r="M270" s="79">
        <f>IF(L270="","",IF(L270&lt;=AsOf+AlertDays,2,IF(L270&lt;=AsOf+90,3,"")))</f>
        <v/>
      </c>
      <c r="N270" s="79">
        <f>IF(M270="","","Warranty expires in "&amp;H270&amp;" days: "&amp;B270&amp;IF(C270="",""," ("&amp;C270&amp;")")&amp;" — check for defects")</f>
        <v/>
      </c>
      <c r="P270" s="72" t="n"/>
      <c r="Q270" s="72" t="n"/>
      <c r="R270" s="89" t="n"/>
      <c r="S270" s="109" t="n"/>
      <c r="T270" s="126">
        <f>IF(OR(R270="",S270=""),"",DATE(YEAR(S270),MONTH(S270)+R270,DAY(S270)))</f>
        <v/>
      </c>
      <c r="U270" s="144">
        <f>IF(T270="","",T270-AsOf)</f>
        <v/>
      </c>
      <c r="V270" s="107">
        <f>IF(T270="",IF(P270="","","Enter last-done date"),IF(U270&lt;0,"Overdue",IF(U270&lt;=30,"Due soon","OK")))</f>
        <v/>
      </c>
      <c r="W270" s="79">
        <f>IF(T270="","",IF(U270&lt;0,2,IF(U270&lt;=30,1,0)))</f>
        <v/>
      </c>
      <c r="X270" s="112">
        <f>IF(T270="","",T270)</f>
        <v/>
      </c>
      <c r="Y270" s="79">
        <f>IF(X270="","",IF(X270&lt;=AsOf+AlertDays,2,IF(X270&lt;=AsOf+30,3,"")))</f>
        <v/>
      </c>
      <c r="Z270" s="79">
        <f>IF(Y270="","",IF(U270&lt;0,"Maintenance overdue: ","Maintenance due: ")&amp;P270)</f>
        <v/>
      </c>
    </row>
    <row r="271" ht="20" customHeight="1">
      <c r="B271" s="72" t="n"/>
      <c r="C271" s="72" t="n"/>
      <c r="D271" s="72" t="n"/>
      <c r="E271" s="109" t="n"/>
      <c r="F271" s="74" t="n"/>
      <c r="G271" s="126">
        <f>IF(OR(E271="",F271=""),"",DATE(YEAR(E271),MONTH(E271)+ROUND(F271*12,0),DAY(E271)))</f>
        <v/>
      </c>
      <c r="H271" s="144">
        <f>IF(G271="","",G271-AsOf)</f>
        <v/>
      </c>
      <c r="I271" s="107">
        <f>IF(G271="","",IF(H271&lt;0,"Expired",IF(H271&lt;=90,"Expires soon","Active")))</f>
        <v/>
      </c>
      <c r="J271" s="72" t="n"/>
      <c r="K271" s="79">
        <f>IF(I271="","",IF(I271="Active",0,IF(I271="Expires soon",1,3)))</f>
        <v/>
      </c>
      <c r="L271" s="112">
        <f>IF(G271="","",IF(G271&lt;AsOf,"",G271))</f>
        <v/>
      </c>
      <c r="M271" s="79">
        <f>IF(L271="","",IF(L271&lt;=AsOf+AlertDays,2,IF(L271&lt;=AsOf+90,3,"")))</f>
        <v/>
      </c>
      <c r="N271" s="79">
        <f>IF(M271="","","Warranty expires in "&amp;H271&amp;" days: "&amp;B271&amp;IF(C271="",""," ("&amp;C271&amp;")")&amp;" — check for defects")</f>
        <v/>
      </c>
      <c r="P271" s="72" t="n"/>
      <c r="Q271" s="72" t="n"/>
      <c r="R271" s="89" t="n"/>
      <c r="S271" s="109" t="n"/>
      <c r="T271" s="126">
        <f>IF(OR(R271="",S271=""),"",DATE(YEAR(S271),MONTH(S271)+R271,DAY(S271)))</f>
        <v/>
      </c>
      <c r="U271" s="144">
        <f>IF(T271="","",T271-AsOf)</f>
        <v/>
      </c>
      <c r="V271" s="107">
        <f>IF(T271="",IF(P271="","","Enter last-done date"),IF(U271&lt;0,"Overdue",IF(U271&lt;=30,"Due soon","OK")))</f>
        <v/>
      </c>
      <c r="W271" s="79">
        <f>IF(T271="","",IF(U271&lt;0,2,IF(U271&lt;=30,1,0)))</f>
        <v/>
      </c>
      <c r="X271" s="112">
        <f>IF(T271="","",T271)</f>
        <v/>
      </c>
      <c r="Y271" s="79">
        <f>IF(X271="","",IF(X271&lt;=AsOf+AlertDays,2,IF(X271&lt;=AsOf+30,3,"")))</f>
        <v/>
      </c>
      <c r="Z271" s="79">
        <f>IF(Y271="","",IF(U271&lt;0,"Maintenance overdue: ","Maintenance due: ")&amp;P271)</f>
        <v/>
      </c>
    </row>
    <row r="272" ht="20" customHeight="1">
      <c r="B272" s="72" t="n"/>
      <c r="C272" s="72" t="n"/>
      <c r="D272" s="72" t="n"/>
      <c r="E272" s="109" t="n"/>
      <c r="F272" s="74" t="n"/>
      <c r="G272" s="126">
        <f>IF(OR(E272="",F272=""),"",DATE(YEAR(E272),MONTH(E272)+ROUND(F272*12,0),DAY(E272)))</f>
        <v/>
      </c>
      <c r="H272" s="144">
        <f>IF(G272="","",G272-AsOf)</f>
        <v/>
      </c>
      <c r="I272" s="107">
        <f>IF(G272="","",IF(H272&lt;0,"Expired",IF(H272&lt;=90,"Expires soon","Active")))</f>
        <v/>
      </c>
      <c r="J272" s="72" t="n"/>
      <c r="K272" s="79">
        <f>IF(I272="","",IF(I272="Active",0,IF(I272="Expires soon",1,3)))</f>
        <v/>
      </c>
      <c r="L272" s="112">
        <f>IF(G272="","",IF(G272&lt;AsOf,"",G272))</f>
        <v/>
      </c>
      <c r="M272" s="79">
        <f>IF(L272="","",IF(L272&lt;=AsOf+AlertDays,2,IF(L272&lt;=AsOf+90,3,"")))</f>
        <v/>
      </c>
      <c r="N272" s="79">
        <f>IF(M272="","","Warranty expires in "&amp;H272&amp;" days: "&amp;B272&amp;IF(C272="",""," ("&amp;C272&amp;")")&amp;" — check for defects")</f>
        <v/>
      </c>
      <c r="P272" s="72" t="n"/>
      <c r="Q272" s="72" t="n"/>
      <c r="R272" s="89" t="n"/>
      <c r="S272" s="109" t="n"/>
      <c r="T272" s="126">
        <f>IF(OR(R272="",S272=""),"",DATE(YEAR(S272),MONTH(S272)+R272,DAY(S272)))</f>
        <v/>
      </c>
      <c r="U272" s="144">
        <f>IF(T272="","",T272-AsOf)</f>
        <v/>
      </c>
      <c r="V272" s="107">
        <f>IF(T272="",IF(P272="","","Enter last-done date"),IF(U272&lt;0,"Overdue",IF(U272&lt;=30,"Due soon","OK")))</f>
        <v/>
      </c>
      <c r="W272" s="79">
        <f>IF(T272="","",IF(U272&lt;0,2,IF(U272&lt;=30,1,0)))</f>
        <v/>
      </c>
      <c r="X272" s="112">
        <f>IF(T272="","",T272)</f>
        <v/>
      </c>
      <c r="Y272" s="79">
        <f>IF(X272="","",IF(X272&lt;=AsOf+AlertDays,2,IF(X272&lt;=AsOf+30,3,"")))</f>
        <v/>
      </c>
      <c r="Z272" s="79">
        <f>IF(Y272="","",IF(U272&lt;0,"Maintenance overdue: ","Maintenance due: ")&amp;P272)</f>
        <v/>
      </c>
    </row>
    <row r="273" ht="20" customHeight="1">
      <c r="B273" s="72" t="n"/>
      <c r="C273" s="72" t="n"/>
      <c r="D273" s="72" t="n"/>
      <c r="E273" s="109" t="n"/>
      <c r="F273" s="74" t="n"/>
      <c r="G273" s="126">
        <f>IF(OR(E273="",F273=""),"",DATE(YEAR(E273),MONTH(E273)+ROUND(F273*12,0),DAY(E273)))</f>
        <v/>
      </c>
      <c r="H273" s="144">
        <f>IF(G273="","",G273-AsOf)</f>
        <v/>
      </c>
      <c r="I273" s="107">
        <f>IF(G273="","",IF(H273&lt;0,"Expired",IF(H273&lt;=90,"Expires soon","Active")))</f>
        <v/>
      </c>
      <c r="J273" s="72" t="n"/>
      <c r="K273" s="79">
        <f>IF(I273="","",IF(I273="Active",0,IF(I273="Expires soon",1,3)))</f>
        <v/>
      </c>
      <c r="L273" s="112">
        <f>IF(G273="","",IF(G273&lt;AsOf,"",G273))</f>
        <v/>
      </c>
      <c r="M273" s="79">
        <f>IF(L273="","",IF(L273&lt;=AsOf+AlertDays,2,IF(L273&lt;=AsOf+90,3,"")))</f>
        <v/>
      </c>
      <c r="N273" s="79">
        <f>IF(M273="","","Warranty expires in "&amp;H273&amp;" days: "&amp;B273&amp;IF(C273="",""," ("&amp;C273&amp;")")&amp;" — check for defects")</f>
        <v/>
      </c>
      <c r="P273" s="72" t="n"/>
      <c r="Q273" s="72" t="n"/>
      <c r="R273" s="89" t="n"/>
      <c r="S273" s="109" t="n"/>
      <c r="T273" s="126">
        <f>IF(OR(R273="",S273=""),"",DATE(YEAR(S273),MONTH(S273)+R273,DAY(S273)))</f>
        <v/>
      </c>
      <c r="U273" s="144">
        <f>IF(T273="","",T273-AsOf)</f>
        <v/>
      </c>
      <c r="V273" s="107">
        <f>IF(T273="",IF(P273="","","Enter last-done date"),IF(U273&lt;0,"Overdue",IF(U273&lt;=30,"Due soon","OK")))</f>
        <v/>
      </c>
      <c r="W273" s="79">
        <f>IF(T273="","",IF(U273&lt;0,2,IF(U273&lt;=30,1,0)))</f>
        <v/>
      </c>
      <c r="X273" s="112">
        <f>IF(T273="","",T273)</f>
        <v/>
      </c>
      <c r="Y273" s="79">
        <f>IF(X273="","",IF(X273&lt;=AsOf+AlertDays,2,IF(X273&lt;=AsOf+30,3,"")))</f>
        <v/>
      </c>
      <c r="Z273" s="79">
        <f>IF(Y273="","",IF(U273&lt;0,"Maintenance overdue: ","Maintenance due: ")&amp;P273)</f>
        <v/>
      </c>
    </row>
    <row r="274" ht="20" customHeight="1">
      <c r="B274" s="72" t="n"/>
      <c r="C274" s="72" t="n"/>
      <c r="D274" s="72" t="n"/>
      <c r="E274" s="109" t="n"/>
      <c r="F274" s="74" t="n"/>
      <c r="G274" s="126">
        <f>IF(OR(E274="",F274=""),"",DATE(YEAR(E274),MONTH(E274)+ROUND(F274*12,0),DAY(E274)))</f>
        <v/>
      </c>
      <c r="H274" s="144">
        <f>IF(G274="","",G274-AsOf)</f>
        <v/>
      </c>
      <c r="I274" s="107">
        <f>IF(G274="","",IF(H274&lt;0,"Expired",IF(H274&lt;=90,"Expires soon","Active")))</f>
        <v/>
      </c>
      <c r="J274" s="72" t="n"/>
      <c r="K274" s="79">
        <f>IF(I274="","",IF(I274="Active",0,IF(I274="Expires soon",1,3)))</f>
        <v/>
      </c>
      <c r="L274" s="112">
        <f>IF(G274="","",IF(G274&lt;AsOf,"",G274))</f>
        <v/>
      </c>
      <c r="M274" s="79">
        <f>IF(L274="","",IF(L274&lt;=AsOf+AlertDays,2,IF(L274&lt;=AsOf+90,3,"")))</f>
        <v/>
      </c>
      <c r="N274" s="79">
        <f>IF(M274="","","Warranty expires in "&amp;H274&amp;" days: "&amp;B274&amp;IF(C274="",""," ("&amp;C274&amp;")")&amp;" — check for defects")</f>
        <v/>
      </c>
      <c r="P274" s="72" t="n"/>
      <c r="Q274" s="72" t="n"/>
      <c r="R274" s="89" t="n"/>
      <c r="S274" s="109" t="n"/>
      <c r="T274" s="126">
        <f>IF(OR(R274="",S274=""),"",DATE(YEAR(S274),MONTH(S274)+R274,DAY(S274)))</f>
        <v/>
      </c>
      <c r="U274" s="144">
        <f>IF(T274="","",T274-AsOf)</f>
        <v/>
      </c>
      <c r="V274" s="107">
        <f>IF(T274="",IF(P274="","","Enter last-done date"),IF(U274&lt;0,"Overdue",IF(U274&lt;=30,"Due soon","OK")))</f>
        <v/>
      </c>
      <c r="W274" s="79">
        <f>IF(T274="","",IF(U274&lt;0,2,IF(U274&lt;=30,1,0)))</f>
        <v/>
      </c>
      <c r="X274" s="112">
        <f>IF(T274="","",T274)</f>
        <v/>
      </c>
      <c r="Y274" s="79">
        <f>IF(X274="","",IF(X274&lt;=AsOf+AlertDays,2,IF(X274&lt;=AsOf+30,3,"")))</f>
        <v/>
      </c>
      <c r="Z274" s="79">
        <f>IF(Y274="","",IF(U274&lt;0,"Maintenance overdue: ","Maintenance due: ")&amp;P274)</f>
        <v/>
      </c>
    </row>
    <row r="275" ht="20" customHeight="1">
      <c r="B275" s="72" t="n"/>
      <c r="C275" s="72" t="n"/>
      <c r="D275" s="72" t="n"/>
      <c r="E275" s="109" t="n"/>
      <c r="F275" s="74" t="n"/>
      <c r="G275" s="126">
        <f>IF(OR(E275="",F275=""),"",DATE(YEAR(E275),MONTH(E275)+ROUND(F275*12,0),DAY(E275)))</f>
        <v/>
      </c>
      <c r="H275" s="144">
        <f>IF(G275="","",G275-AsOf)</f>
        <v/>
      </c>
      <c r="I275" s="107">
        <f>IF(G275="","",IF(H275&lt;0,"Expired",IF(H275&lt;=90,"Expires soon","Active")))</f>
        <v/>
      </c>
      <c r="J275" s="72" t="n"/>
      <c r="K275" s="79">
        <f>IF(I275="","",IF(I275="Active",0,IF(I275="Expires soon",1,3)))</f>
        <v/>
      </c>
      <c r="L275" s="112">
        <f>IF(G275="","",IF(G275&lt;AsOf,"",G275))</f>
        <v/>
      </c>
      <c r="M275" s="79">
        <f>IF(L275="","",IF(L275&lt;=AsOf+AlertDays,2,IF(L275&lt;=AsOf+90,3,"")))</f>
        <v/>
      </c>
      <c r="N275" s="79">
        <f>IF(M275="","","Warranty expires in "&amp;H275&amp;" days: "&amp;B275&amp;IF(C275="",""," ("&amp;C275&amp;")")&amp;" — check for defects")</f>
        <v/>
      </c>
      <c r="P275" s="72" t="n"/>
      <c r="Q275" s="72" t="n"/>
      <c r="R275" s="89" t="n"/>
      <c r="S275" s="109" t="n"/>
      <c r="T275" s="126">
        <f>IF(OR(R275="",S275=""),"",DATE(YEAR(S275),MONTH(S275)+R275,DAY(S275)))</f>
        <v/>
      </c>
      <c r="U275" s="144">
        <f>IF(T275="","",T275-AsOf)</f>
        <v/>
      </c>
      <c r="V275" s="107">
        <f>IF(T275="",IF(P275="","","Enter last-done date"),IF(U275&lt;0,"Overdue",IF(U275&lt;=30,"Due soon","OK")))</f>
        <v/>
      </c>
      <c r="W275" s="79">
        <f>IF(T275="","",IF(U275&lt;0,2,IF(U275&lt;=30,1,0)))</f>
        <v/>
      </c>
      <c r="X275" s="112">
        <f>IF(T275="","",T275)</f>
        <v/>
      </c>
      <c r="Y275" s="79">
        <f>IF(X275="","",IF(X275&lt;=AsOf+AlertDays,2,IF(X275&lt;=AsOf+30,3,"")))</f>
        <v/>
      </c>
      <c r="Z275" s="79">
        <f>IF(Y275="","",IF(U275&lt;0,"Maintenance overdue: ","Maintenance due: ")&amp;P275)</f>
        <v/>
      </c>
    </row>
    <row r="276" ht="20" customHeight="1">
      <c r="B276" s="72" t="n"/>
      <c r="C276" s="72" t="n"/>
      <c r="D276" s="72" t="n"/>
      <c r="E276" s="109" t="n"/>
      <c r="F276" s="74" t="n"/>
      <c r="G276" s="126">
        <f>IF(OR(E276="",F276=""),"",DATE(YEAR(E276),MONTH(E276)+ROUND(F276*12,0),DAY(E276)))</f>
        <v/>
      </c>
      <c r="H276" s="144">
        <f>IF(G276="","",G276-AsOf)</f>
        <v/>
      </c>
      <c r="I276" s="107">
        <f>IF(G276="","",IF(H276&lt;0,"Expired",IF(H276&lt;=90,"Expires soon","Active")))</f>
        <v/>
      </c>
      <c r="J276" s="72" t="n"/>
      <c r="K276" s="79">
        <f>IF(I276="","",IF(I276="Active",0,IF(I276="Expires soon",1,3)))</f>
        <v/>
      </c>
      <c r="L276" s="112">
        <f>IF(G276="","",IF(G276&lt;AsOf,"",G276))</f>
        <v/>
      </c>
      <c r="M276" s="79">
        <f>IF(L276="","",IF(L276&lt;=AsOf+AlertDays,2,IF(L276&lt;=AsOf+90,3,"")))</f>
        <v/>
      </c>
      <c r="N276" s="79">
        <f>IF(M276="","","Warranty expires in "&amp;H276&amp;" days: "&amp;B276&amp;IF(C276="",""," ("&amp;C276&amp;")")&amp;" — check for defects")</f>
        <v/>
      </c>
      <c r="P276" s="72" t="n"/>
      <c r="Q276" s="72" t="n"/>
      <c r="R276" s="89" t="n"/>
      <c r="S276" s="109" t="n"/>
      <c r="T276" s="126">
        <f>IF(OR(R276="",S276=""),"",DATE(YEAR(S276),MONTH(S276)+R276,DAY(S276)))</f>
        <v/>
      </c>
      <c r="U276" s="144">
        <f>IF(T276="","",T276-AsOf)</f>
        <v/>
      </c>
      <c r="V276" s="107">
        <f>IF(T276="",IF(P276="","","Enter last-done date"),IF(U276&lt;0,"Overdue",IF(U276&lt;=30,"Due soon","OK")))</f>
        <v/>
      </c>
      <c r="W276" s="79">
        <f>IF(T276="","",IF(U276&lt;0,2,IF(U276&lt;=30,1,0)))</f>
        <v/>
      </c>
      <c r="X276" s="112">
        <f>IF(T276="","",T276)</f>
        <v/>
      </c>
      <c r="Y276" s="79">
        <f>IF(X276="","",IF(X276&lt;=AsOf+AlertDays,2,IF(X276&lt;=AsOf+30,3,"")))</f>
        <v/>
      </c>
      <c r="Z276" s="79">
        <f>IF(Y276="","",IF(U276&lt;0,"Maintenance overdue: ","Maintenance due: ")&amp;P276)</f>
        <v/>
      </c>
    </row>
    <row r="277" ht="20" customHeight="1">
      <c r="B277" s="72" t="n"/>
      <c r="C277" s="72" t="n"/>
      <c r="D277" s="72" t="n"/>
      <c r="E277" s="109" t="n"/>
      <c r="F277" s="74" t="n"/>
      <c r="G277" s="126">
        <f>IF(OR(E277="",F277=""),"",DATE(YEAR(E277),MONTH(E277)+ROUND(F277*12,0),DAY(E277)))</f>
        <v/>
      </c>
      <c r="H277" s="144">
        <f>IF(G277="","",G277-AsOf)</f>
        <v/>
      </c>
      <c r="I277" s="107">
        <f>IF(G277="","",IF(H277&lt;0,"Expired",IF(H277&lt;=90,"Expires soon","Active")))</f>
        <v/>
      </c>
      <c r="J277" s="72" t="n"/>
      <c r="K277" s="79">
        <f>IF(I277="","",IF(I277="Active",0,IF(I277="Expires soon",1,3)))</f>
        <v/>
      </c>
      <c r="L277" s="112">
        <f>IF(G277="","",IF(G277&lt;AsOf,"",G277))</f>
        <v/>
      </c>
      <c r="M277" s="79">
        <f>IF(L277="","",IF(L277&lt;=AsOf+AlertDays,2,IF(L277&lt;=AsOf+90,3,"")))</f>
        <v/>
      </c>
      <c r="N277" s="79">
        <f>IF(M277="","","Warranty expires in "&amp;H277&amp;" days: "&amp;B277&amp;IF(C277="",""," ("&amp;C277&amp;")")&amp;" — check for defects")</f>
        <v/>
      </c>
      <c r="P277" s="72" t="n"/>
      <c r="Q277" s="72" t="n"/>
      <c r="R277" s="89" t="n"/>
      <c r="S277" s="109" t="n"/>
      <c r="T277" s="126">
        <f>IF(OR(R277="",S277=""),"",DATE(YEAR(S277),MONTH(S277)+R277,DAY(S277)))</f>
        <v/>
      </c>
      <c r="U277" s="144">
        <f>IF(T277="","",T277-AsOf)</f>
        <v/>
      </c>
      <c r="V277" s="107">
        <f>IF(T277="",IF(P277="","","Enter last-done date"),IF(U277&lt;0,"Overdue",IF(U277&lt;=30,"Due soon","OK")))</f>
        <v/>
      </c>
      <c r="W277" s="79">
        <f>IF(T277="","",IF(U277&lt;0,2,IF(U277&lt;=30,1,0)))</f>
        <v/>
      </c>
      <c r="X277" s="112">
        <f>IF(T277="","",T277)</f>
        <v/>
      </c>
      <c r="Y277" s="79">
        <f>IF(X277="","",IF(X277&lt;=AsOf+AlertDays,2,IF(X277&lt;=AsOf+30,3,"")))</f>
        <v/>
      </c>
      <c r="Z277" s="79">
        <f>IF(Y277="","",IF(U277&lt;0,"Maintenance overdue: ","Maintenance due: ")&amp;P277)</f>
        <v/>
      </c>
    </row>
    <row r="278" ht="20" customHeight="1">
      <c r="B278" s="72" t="n"/>
      <c r="C278" s="72" t="n"/>
      <c r="D278" s="72" t="n"/>
      <c r="E278" s="109" t="n"/>
      <c r="F278" s="74" t="n"/>
      <c r="G278" s="126">
        <f>IF(OR(E278="",F278=""),"",DATE(YEAR(E278),MONTH(E278)+ROUND(F278*12,0),DAY(E278)))</f>
        <v/>
      </c>
      <c r="H278" s="144">
        <f>IF(G278="","",G278-AsOf)</f>
        <v/>
      </c>
      <c r="I278" s="107">
        <f>IF(G278="","",IF(H278&lt;0,"Expired",IF(H278&lt;=90,"Expires soon","Active")))</f>
        <v/>
      </c>
      <c r="J278" s="72" t="n"/>
      <c r="K278" s="79">
        <f>IF(I278="","",IF(I278="Active",0,IF(I278="Expires soon",1,3)))</f>
        <v/>
      </c>
      <c r="L278" s="112">
        <f>IF(G278="","",IF(G278&lt;AsOf,"",G278))</f>
        <v/>
      </c>
      <c r="M278" s="79">
        <f>IF(L278="","",IF(L278&lt;=AsOf+AlertDays,2,IF(L278&lt;=AsOf+90,3,"")))</f>
        <v/>
      </c>
      <c r="N278" s="79">
        <f>IF(M278="","","Warranty expires in "&amp;H278&amp;" days: "&amp;B278&amp;IF(C278="",""," ("&amp;C278&amp;")")&amp;" — check for defects")</f>
        <v/>
      </c>
      <c r="P278" s="72" t="n"/>
      <c r="Q278" s="72" t="n"/>
      <c r="R278" s="89" t="n"/>
      <c r="S278" s="109" t="n"/>
      <c r="T278" s="126">
        <f>IF(OR(R278="",S278=""),"",DATE(YEAR(S278),MONTH(S278)+R278,DAY(S278)))</f>
        <v/>
      </c>
      <c r="U278" s="144">
        <f>IF(T278="","",T278-AsOf)</f>
        <v/>
      </c>
      <c r="V278" s="107">
        <f>IF(T278="",IF(P278="","","Enter last-done date"),IF(U278&lt;0,"Overdue",IF(U278&lt;=30,"Due soon","OK")))</f>
        <v/>
      </c>
      <c r="W278" s="79">
        <f>IF(T278="","",IF(U278&lt;0,2,IF(U278&lt;=30,1,0)))</f>
        <v/>
      </c>
      <c r="X278" s="112">
        <f>IF(T278="","",T278)</f>
        <v/>
      </c>
      <c r="Y278" s="79">
        <f>IF(X278="","",IF(X278&lt;=AsOf+AlertDays,2,IF(X278&lt;=AsOf+30,3,"")))</f>
        <v/>
      </c>
      <c r="Z278" s="79">
        <f>IF(Y278="","",IF(U278&lt;0,"Maintenance overdue: ","Maintenance due: ")&amp;P278)</f>
        <v/>
      </c>
    </row>
    <row r="279" ht="20" customHeight="1">
      <c r="B279" s="72" t="n"/>
      <c r="C279" s="72" t="n"/>
      <c r="D279" s="72" t="n"/>
      <c r="E279" s="109" t="n"/>
      <c r="F279" s="74" t="n"/>
      <c r="G279" s="126">
        <f>IF(OR(E279="",F279=""),"",DATE(YEAR(E279),MONTH(E279)+ROUND(F279*12,0),DAY(E279)))</f>
        <v/>
      </c>
      <c r="H279" s="144">
        <f>IF(G279="","",G279-AsOf)</f>
        <v/>
      </c>
      <c r="I279" s="107">
        <f>IF(G279="","",IF(H279&lt;0,"Expired",IF(H279&lt;=90,"Expires soon","Active")))</f>
        <v/>
      </c>
      <c r="J279" s="72" t="n"/>
      <c r="K279" s="79">
        <f>IF(I279="","",IF(I279="Active",0,IF(I279="Expires soon",1,3)))</f>
        <v/>
      </c>
      <c r="L279" s="112">
        <f>IF(G279="","",IF(G279&lt;AsOf,"",G279))</f>
        <v/>
      </c>
      <c r="M279" s="79">
        <f>IF(L279="","",IF(L279&lt;=AsOf+AlertDays,2,IF(L279&lt;=AsOf+90,3,"")))</f>
        <v/>
      </c>
      <c r="N279" s="79">
        <f>IF(M279="","","Warranty expires in "&amp;H279&amp;" days: "&amp;B279&amp;IF(C279="",""," ("&amp;C279&amp;")")&amp;" — check for defects")</f>
        <v/>
      </c>
      <c r="P279" s="72" t="n"/>
      <c r="Q279" s="72" t="n"/>
      <c r="R279" s="89" t="n"/>
      <c r="S279" s="109" t="n"/>
      <c r="T279" s="126">
        <f>IF(OR(R279="",S279=""),"",DATE(YEAR(S279),MONTH(S279)+R279,DAY(S279)))</f>
        <v/>
      </c>
      <c r="U279" s="144">
        <f>IF(T279="","",T279-AsOf)</f>
        <v/>
      </c>
      <c r="V279" s="107">
        <f>IF(T279="",IF(P279="","","Enter last-done date"),IF(U279&lt;0,"Overdue",IF(U279&lt;=30,"Due soon","OK")))</f>
        <v/>
      </c>
      <c r="W279" s="79">
        <f>IF(T279="","",IF(U279&lt;0,2,IF(U279&lt;=30,1,0)))</f>
        <v/>
      </c>
      <c r="X279" s="112">
        <f>IF(T279="","",T279)</f>
        <v/>
      </c>
      <c r="Y279" s="79">
        <f>IF(X279="","",IF(X279&lt;=AsOf+AlertDays,2,IF(X279&lt;=AsOf+30,3,"")))</f>
        <v/>
      </c>
      <c r="Z279" s="79">
        <f>IF(Y279="","",IF(U279&lt;0,"Maintenance overdue: ","Maintenance due: ")&amp;P279)</f>
        <v/>
      </c>
    </row>
    <row r="280" ht="20" customHeight="1">
      <c r="B280" s="72" t="n"/>
      <c r="C280" s="72" t="n"/>
      <c r="D280" s="72" t="n"/>
      <c r="E280" s="109" t="n"/>
      <c r="F280" s="74" t="n"/>
      <c r="G280" s="126">
        <f>IF(OR(E280="",F280=""),"",DATE(YEAR(E280),MONTH(E280)+ROUND(F280*12,0),DAY(E280)))</f>
        <v/>
      </c>
      <c r="H280" s="144">
        <f>IF(G280="","",G280-AsOf)</f>
        <v/>
      </c>
      <c r="I280" s="107">
        <f>IF(G280="","",IF(H280&lt;0,"Expired",IF(H280&lt;=90,"Expires soon","Active")))</f>
        <v/>
      </c>
      <c r="J280" s="72" t="n"/>
      <c r="K280" s="79">
        <f>IF(I280="","",IF(I280="Active",0,IF(I280="Expires soon",1,3)))</f>
        <v/>
      </c>
      <c r="L280" s="112">
        <f>IF(G280="","",IF(G280&lt;AsOf,"",G280))</f>
        <v/>
      </c>
      <c r="M280" s="79">
        <f>IF(L280="","",IF(L280&lt;=AsOf+AlertDays,2,IF(L280&lt;=AsOf+90,3,"")))</f>
        <v/>
      </c>
      <c r="N280" s="79">
        <f>IF(M280="","","Warranty expires in "&amp;H280&amp;" days: "&amp;B280&amp;IF(C280="",""," ("&amp;C280&amp;")")&amp;" — check for defects")</f>
        <v/>
      </c>
      <c r="P280" s="72" t="n"/>
      <c r="Q280" s="72" t="n"/>
      <c r="R280" s="89" t="n"/>
      <c r="S280" s="109" t="n"/>
      <c r="T280" s="126">
        <f>IF(OR(R280="",S280=""),"",DATE(YEAR(S280),MONTH(S280)+R280,DAY(S280)))</f>
        <v/>
      </c>
      <c r="U280" s="144">
        <f>IF(T280="","",T280-AsOf)</f>
        <v/>
      </c>
      <c r="V280" s="107">
        <f>IF(T280="",IF(P280="","","Enter last-done date"),IF(U280&lt;0,"Overdue",IF(U280&lt;=30,"Due soon","OK")))</f>
        <v/>
      </c>
      <c r="W280" s="79">
        <f>IF(T280="","",IF(U280&lt;0,2,IF(U280&lt;=30,1,0)))</f>
        <v/>
      </c>
      <c r="X280" s="112">
        <f>IF(T280="","",T280)</f>
        <v/>
      </c>
      <c r="Y280" s="79">
        <f>IF(X280="","",IF(X280&lt;=AsOf+AlertDays,2,IF(X280&lt;=AsOf+30,3,"")))</f>
        <v/>
      </c>
      <c r="Z280" s="79">
        <f>IF(Y280="","",IF(U280&lt;0,"Maintenance overdue: ","Maintenance due: ")&amp;P280)</f>
        <v/>
      </c>
    </row>
    <row r="281" ht="20" customHeight="1">
      <c r="B281" s="72" t="n"/>
      <c r="C281" s="72" t="n"/>
      <c r="D281" s="72" t="n"/>
      <c r="E281" s="109" t="n"/>
      <c r="F281" s="74" t="n"/>
      <c r="G281" s="126">
        <f>IF(OR(E281="",F281=""),"",DATE(YEAR(E281),MONTH(E281)+ROUND(F281*12,0),DAY(E281)))</f>
        <v/>
      </c>
      <c r="H281" s="144">
        <f>IF(G281="","",G281-AsOf)</f>
        <v/>
      </c>
      <c r="I281" s="107">
        <f>IF(G281="","",IF(H281&lt;0,"Expired",IF(H281&lt;=90,"Expires soon","Active")))</f>
        <v/>
      </c>
      <c r="J281" s="72" t="n"/>
      <c r="K281" s="79">
        <f>IF(I281="","",IF(I281="Active",0,IF(I281="Expires soon",1,3)))</f>
        <v/>
      </c>
      <c r="L281" s="112">
        <f>IF(G281="","",IF(G281&lt;AsOf,"",G281))</f>
        <v/>
      </c>
      <c r="M281" s="79">
        <f>IF(L281="","",IF(L281&lt;=AsOf+AlertDays,2,IF(L281&lt;=AsOf+90,3,"")))</f>
        <v/>
      </c>
      <c r="N281" s="79">
        <f>IF(M281="","","Warranty expires in "&amp;H281&amp;" days: "&amp;B281&amp;IF(C281="",""," ("&amp;C281&amp;")")&amp;" — check for defects")</f>
        <v/>
      </c>
      <c r="P281" s="72" t="n"/>
      <c r="Q281" s="72" t="n"/>
      <c r="R281" s="89" t="n"/>
      <c r="S281" s="109" t="n"/>
      <c r="T281" s="126">
        <f>IF(OR(R281="",S281=""),"",DATE(YEAR(S281),MONTH(S281)+R281,DAY(S281)))</f>
        <v/>
      </c>
      <c r="U281" s="144">
        <f>IF(T281="","",T281-AsOf)</f>
        <v/>
      </c>
      <c r="V281" s="107">
        <f>IF(T281="",IF(P281="","","Enter last-done date"),IF(U281&lt;0,"Overdue",IF(U281&lt;=30,"Due soon","OK")))</f>
        <v/>
      </c>
      <c r="W281" s="79">
        <f>IF(T281="","",IF(U281&lt;0,2,IF(U281&lt;=30,1,0)))</f>
        <v/>
      </c>
      <c r="X281" s="112">
        <f>IF(T281="","",T281)</f>
        <v/>
      </c>
      <c r="Y281" s="79">
        <f>IF(X281="","",IF(X281&lt;=AsOf+AlertDays,2,IF(X281&lt;=AsOf+30,3,"")))</f>
        <v/>
      </c>
      <c r="Z281" s="79">
        <f>IF(Y281="","",IF(U281&lt;0,"Maintenance overdue: ","Maintenance due: ")&amp;P281)</f>
        <v/>
      </c>
    </row>
    <row r="282" ht="20" customHeight="1">
      <c r="B282" s="72" t="n"/>
      <c r="C282" s="72" t="n"/>
      <c r="D282" s="72" t="n"/>
      <c r="E282" s="109" t="n"/>
      <c r="F282" s="74" t="n"/>
      <c r="G282" s="126">
        <f>IF(OR(E282="",F282=""),"",DATE(YEAR(E282),MONTH(E282)+ROUND(F282*12,0),DAY(E282)))</f>
        <v/>
      </c>
      <c r="H282" s="144">
        <f>IF(G282="","",G282-AsOf)</f>
        <v/>
      </c>
      <c r="I282" s="107">
        <f>IF(G282="","",IF(H282&lt;0,"Expired",IF(H282&lt;=90,"Expires soon","Active")))</f>
        <v/>
      </c>
      <c r="J282" s="72" t="n"/>
      <c r="K282" s="79">
        <f>IF(I282="","",IF(I282="Active",0,IF(I282="Expires soon",1,3)))</f>
        <v/>
      </c>
      <c r="L282" s="112">
        <f>IF(G282="","",IF(G282&lt;AsOf,"",G282))</f>
        <v/>
      </c>
      <c r="M282" s="79">
        <f>IF(L282="","",IF(L282&lt;=AsOf+AlertDays,2,IF(L282&lt;=AsOf+90,3,"")))</f>
        <v/>
      </c>
      <c r="N282" s="79">
        <f>IF(M282="","","Warranty expires in "&amp;H282&amp;" days: "&amp;B282&amp;IF(C282="",""," ("&amp;C282&amp;")")&amp;" — check for defects")</f>
        <v/>
      </c>
      <c r="P282" s="72" t="n"/>
      <c r="Q282" s="72" t="n"/>
      <c r="R282" s="89" t="n"/>
      <c r="S282" s="109" t="n"/>
      <c r="T282" s="126">
        <f>IF(OR(R282="",S282=""),"",DATE(YEAR(S282),MONTH(S282)+R282,DAY(S282)))</f>
        <v/>
      </c>
      <c r="U282" s="144">
        <f>IF(T282="","",T282-AsOf)</f>
        <v/>
      </c>
      <c r="V282" s="107">
        <f>IF(T282="",IF(P282="","","Enter last-done date"),IF(U282&lt;0,"Overdue",IF(U282&lt;=30,"Due soon","OK")))</f>
        <v/>
      </c>
      <c r="W282" s="79">
        <f>IF(T282="","",IF(U282&lt;0,2,IF(U282&lt;=30,1,0)))</f>
        <v/>
      </c>
      <c r="X282" s="112">
        <f>IF(T282="","",T282)</f>
        <v/>
      </c>
      <c r="Y282" s="79">
        <f>IF(X282="","",IF(X282&lt;=AsOf+AlertDays,2,IF(X282&lt;=AsOf+30,3,"")))</f>
        <v/>
      </c>
      <c r="Z282" s="79">
        <f>IF(Y282="","",IF(U282&lt;0,"Maintenance overdue: ","Maintenance due: ")&amp;P282)</f>
        <v/>
      </c>
    </row>
    <row r="283" ht="20" customHeight="1">
      <c r="B283" s="72" t="n"/>
      <c r="C283" s="72" t="n"/>
      <c r="D283" s="72" t="n"/>
      <c r="E283" s="109" t="n"/>
      <c r="F283" s="74" t="n"/>
      <c r="G283" s="126">
        <f>IF(OR(E283="",F283=""),"",DATE(YEAR(E283),MONTH(E283)+ROUND(F283*12,0),DAY(E283)))</f>
        <v/>
      </c>
      <c r="H283" s="144">
        <f>IF(G283="","",G283-AsOf)</f>
        <v/>
      </c>
      <c r="I283" s="107">
        <f>IF(G283="","",IF(H283&lt;0,"Expired",IF(H283&lt;=90,"Expires soon","Active")))</f>
        <v/>
      </c>
      <c r="J283" s="72" t="n"/>
      <c r="K283" s="79">
        <f>IF(I283="","",IF(I283="Active",0,IF(I283="Expires soon",1,3)))</f>
        <v/>
      </c>
      <c r="L283" s="112">
        <f>IF(G283="","",IF(G283&lt;AsOf,"",G283))</f>
        <v/>
      </c>
      <c r="M283" s="79">
        <f>IF(L283="","",IF(L283&lt;=AsOf+AlertDays,2,IF(L283&lt;=AsOf+90,3,"")))</f>
        <v/>
      </c>
      <c r="N283" s="79">
        <f>IF(M283="","","Warranty expires in "&amp;H283&amp;" days: "&amp;B283&amp;IF(C283="",""," ("&amp;C283&amp;")")&amp;" — check for defects")</f>
        <v/>
      </c>
      <c r="P283" s="72" t="n"/>
      <c r="Q283" s="72" t="n"/>
      <c r="R283" s="89" t="n"/>
      <c r="S283" s="109" t="n"/>
      <c r="T283" s="126">
        <f>IF(OR(R283="",S283=""),"",DATE(YEAR(S283),MONTH(S283)+R283,DAY(S283)))</f>
        <v/>
      </c>
      <c r="U283" s="144">
        <f>IF(T283="","",T283-AsOf)</f>
        <v/>
      </c>
      <c r="V283" s="107">
        <f>IF(T283="",IF(P283="","","Enter last-done date"),IF(U283&lt;0,"Overdue",IF(U283&lt;=30,"Due soon","OK")))</f>
        <v/>
      </c>
      <c r="W283" s="79">
        <f>IF(T283="","",IF(U283&lt;0,2,IF(U283&lt;=30,1,0)))</f>
        <v/>
      </c>
      <c r="X283" s="112">
        <f>IF(T283="","",T283)</f>
        <v/>
      </c>
      <c r="Y283" s="79">
        <f>IF(X283="","",IF(X283&lt;=AsOf+AlertDays,2,IF(X283&lt;=AsOf+30,3,"")))</f>
        <v/>
      </c>
      <c r="Z283" s="79">
        <f>IF(Y283="","",IF(U283&lt;0,"Maintenance overdue: ","Maintenance due: ")&amp;P283)</f>
        <v/>
      </c>
    </row>
    <row r="284" ht="20" customHeight="1">
      <c r="B284" s="72" t="n"/>
      <c r="C284" s="72" t="n"/>
      <c r="D284" s="72" t="n"/>
      <c r="E284" s="109" t="n"/>
      <c r="F284" s="74" t="n"/>
      <c r="G284" s="126">
        <f>IF(OR(E284="",F284=""),"",DATE(YEAR(E284),MONTH(E284)+ROUND(F284*12,0),DAY(E284)))</f>
        <v/>
      </c>
      <c r="H284" s="144">
        <f>IF(G284="","",G284-AsOf)</f>
        <v/>
      </c>
      <c r="I284" s="107">
        <f>IF(G284="","",IF(H284&lt;0,"Expired",IF(H284&lt;=90,"Expires soon","Active")))</f>
        <v/>
      </c>
      <c r="J284" s="72" t="n"/>
      <c r="K284" s="79">
        <f>IF(I284="","",IF(I284="Active",0,IF(I284="Expires soon",1,3)))</f>
        <v/>
      </c>
      <c r="L284" s="112">
        <f>IF(G284="","",IF(G284&lt;AsOf,"",G284))</f>
        <v/>
      </c>
      <c r="M284" s="79">
        <f>IF(L284="","",IF(L284&lt;=AsOf+AlertDays,2,IF(L284&lt;=AsOf+90,3,"")))</f>
        <v/>
      </c>
      <c r="N284" s="79">
        <f>IF(M284="","","Warranty expires in "&amp;H284&amp;" days: "&amp;B284&amp;IF(C284="",""," ("&amp;C284&amp;")")&amp;" — check for defects")</f>
        <v/>
      </c>
      <c r="P284" s="72" t="n"/>
      <c r="Q284" s="72" t="n"/>
      <c r="R284" s="89" t="n"/>
      <c r="S284" s="109" t="n"/>
      <c r="T284" s="126">
        <f>IF(OR(R284="",S284=""),"",DATE(YEAR(S284),MONTH(S284)+R284,DAY(S284)))</f>
        <v/>
      </c>
      <c r="U284" s="144">
        <f>IF(T284="","",T284-AsOf)</f>
        <v/>
      </c>
      <c r="V284" s="107">
        <f>IF(T284="",IF(P284="","","Enter last-done date"),IF(U284&lt;0,"Overdue",IF(U284&lt;=30,"Due soon","OK")))</f>
        <v/>
      </c>
      <c r="W284" s="79">
        <f>IF(T284="","",IF(U284&lt;0,2,IF(U284&lt;=30,1,0)))</f>
        <v/>
      </c>
      <c r="X284" s="112">
        <f>IF(T284="","",T284)</f>
        <v/>
      </c>
      <c r="Y284" s="79">
        <f>IF(X284="","",IF(X284&lt;=AsOf+AlertDays,2,IF(X284&lt;=AsOf+30,3,"")))</f>
        <v/>
      </c>
      <c r="Z284" s="79">
        <f>IF(Y284="","",IF(U284&lt;0,"Maintenance overdue: ","Maintenance due: ")&amp;P284)</f>
        <v/>
      </c>
    </row>
    <row r="285" ht="20" customHeight="1">
      <c r="B285" s="72" t="n"/>
      <c r="C285" s="72" t="n"/>
      <c r="D285" s="72" t="n"/>
      <c r="E285" s="109" t="n"/>
      <c r="F285" s="74" t="n"/>
      <c r="G285" s="126">
        <f>IF(OR(E285="",F285=""),"",DATE(YEAR(E285),MONTH(E285)+ROUND(F285*12,0),DAY(E285)))</f>
        <v/>
      </c>
      <c r="H285" s="144">
        <f>IF(G285="","",G285-AsOf)</f>
        <v/>
      </c>
      <c r="I285" s="107">
        <f>IF(G285="","",IF(H285&lt;0,"Expired",IF(H285&lt;=90,"Expires soon","Active")))</f>
        <v/>
      </c>
      <c r="J285" s="72" t="n"/>
      <c r="K285" s="79">
        <f>IF(I285="","",IF(I285="Active",0,IF(I285="Expires soon",1,3)))</f>
        <v/>
      </c>
      <c r="L285" s="112">
        <f>IF(G285="","",IF(G285&lt;AsOf,"",G285))</f>
        <v/>
      </c>
      <c r="M285" s="79">
        <f>IF(L285="","",IF(L285&lt;=AsOf+AlertDays,2,IF(L285&lt;=AsOf+90,3,"")))</f>
        <v/>
      </c>
      <c r="N285" s="79">
        <f>IF(M285="","","Warranty expires in "&amp;H285&amp;" days: "&amp;B285&amp;IF(C285="",""," ("&amp;C285&amp;")")&amp;" — check for defects")</f>
        <v/>
      </c>
      <c r="P285" s="72" t="n"/>
      <c r="Q285" s="72" t="n"/>
      <c r="R285" s="89" t="n"/>
      <c r="S285" s="109" t="n"/>
      <c r="T285" s="126">
        <f>IF(OR(R285="",S285=""),"",DATE(YEAR(S285),MONTH(S285)+R285,DAY(S285)))</f>
        <v/>
      </c>
      <c r="U285" s="144">
        <f>IF(T285="","",T285-AsOf)</f>
        <v/>
      </c>
      <c r="V285" s="107">
        <f>IF(T285="",IF(P285="","","Enter last-done date"),IF(U285&lt;0,"Overdue",IF(U285&lt;=30,"Due soon","OK")))</f>
        <v/>
      </c>
      <c r="W285" s="79">
        <f>IF(T285="","",IF(U285&lt;0,2,IF(U285&lt;=30,1,0)))</f>
        <v/>
      </c>
      <c r="X285" s="112">
        <f>IF(T285="","",T285)</f>
        <v/>
      </c>
      <c r="Y285" s="79">
        <f>IF(X285="","",IF(X285&lt;=AsOf+AlertDays,2,IF(X285&lt;=AsOf+30,3,"")))</f>
        <v/>
      </c>
      <c r="Z285" s="79">
        <f>IF(Y285="","",IF(U285&lt;0,"Maintenance overdue: ","Maintenance due: ")&amp;P285)</f>
        <v/>
      </c>
    </row>
    <row r="286" ht="20" customHeight="1">
      <c r="B286" s="72" t="n"/>
      <c r="C286" s="72" t="n"/>
      <c r="D286" s="72" t="n"/>
      <c r="E286" s="109" t="n"/>
      <c r="F286" s="74" t="n"/>
      <c r="G286" s="126">
        <f>IF(OR(E286="",F286=""),"",DATE(YEAR(E286),MONTH(E286)+ROUND(F286*12,0),DAY(E286)))</f>
        <v/>
      </c>
      <c r="H286" s="144">
        <f>IF(G286="","",G286-AsOf)</f>
        <v/>
      </c>
      <c r="I286" s="107">
        <f>IF(G286="","",IF(H286&lt;0,"Expired",IF(H286&lt;=90,"Expires soon","Active")))</f>
        <v/>
      </c>
      <c r="J286" s="72" t="n"/>
      <c r="K286" s="79">
        <f>IF(I286="","",IF(I286="Active",0,IF(I286="Expires soon",1,3)))</f>
        <v/>
      </c>
      <c r="L286" s="112">
        <f>IF(G286="","",IF(G286&lt;AsOf,"",G286))</f>
        <v/>
      </c>
      <c r="M286" s="79">
        <f>IF(L286="","",IF(L286&lt;=AsOf+AlertDays,2,IF(L286&lt;=AsOf+90,3,"")))</f>
        <v/>
      </c>
      <c r="N286" s="79">
        <f>IF(M286="","","Warranty expires in "&amp;H286&amp;" days: "&amp;B286&amp;IF(C286="",""," ("&amp;C286&amp;")")&amp;" — check for defects")</f>
        <v/>
      </c>
      <c r="P286" s="72" t="n"/>
      <c r="Q286" s="72" t="n"/>
      <c r="R286" s="89" t="n"/>
      <c r="S286" s="109" t="n"/>
      <c r="T286" s="126">
        <f>IF(OR(R286="",S286=""),"",DATE(YEAR(S286),MONTH(S286)+R286,DAY(S286)))</f>
        <v/>
      </c>
      <c r="U286" s="144">
        <f>IF(T286="","",T286-AsOf)</f>
        <v/>
      </c>
      <c r="V286" s="107">
        <f>IF(T286="",IF(P286="","","Enter last-done date"),IF(U286&lt;0,"Overdue",IF(U286&lt;=30,"Due soon","OK")))</f>
        <v/>
      </c>
      <c r="W286" s="79">
        <f>IF(T286="","",IF(U286&lt;0,2,IF(U286&lt;=30,1,0)))</f>
        <v/>
      </c>
      <c r="X286" s="112">
        <f>IF(T286="","",T286)</f>
        <v/>
      </c>
      <c r="Y286" s="79">
        <f>IF(X286="","",IF(X286&lt;=AsOf+AlertDays,2,IF(X286&lt;=AsOf+30,3,"")))</f>
        <v/>
      </c>
      <c r="Z286" s="79">
        <f>IF(Y286="","",IF(U286&lt;0,"Maintenance overdue: ","Maintenance due: ")&amp;P286)</f>
        <v/>
      </c>
    </row>
    <row r="287" ht="20" customHeight="1">
      <c r="B287" s="72" t="n"/>
      <c r="C287" s="72" t="n"/>
      <c r="D287" s="72" t="n"/>
      <c r="E287" s="109" t="n"/>
      <c r="F287" s="74" t="n"/>
      <c r="G287" s="126">
        <f>IF(OR(E287="",F287=""),"",DATE(YEAR(E287),MONTH(E287)+ROUND(F287*12,0),DAY(E287)))</f>
        <v/>
      </c>
      <c r="H287" s="144">
        <f>IF(G287="","",G287-AsOf)</f>
        <v/>
      </c>
      <c r="I287" s="107">
        <f>IF(G287="","",IF(H287&lt;0,"Expired",IF(H287&lt;=90,"Expires soon","Active")))</f>
        <v/>
      </c>
      <c r="J287" s="72" t="n"/>
      <c r="K287" s="79">
        <f>IF(I287="","",IF(I287="Active",0,IF(I287="Expires soon",1,3)))</f>
        <v/>
      </c>
      <c r="L287" s="112">
        <f>IF(G287="","",IF(G287&lt;AsOf,"",G287))</f>
        <v/>
      </c>
      <c r="M287" s="79">
        <f>IF(L287="","",IF(L287&lt;=AsOf+AlertDays,2,IF(L287&lt;=AsOf+90,3,"")))</f>
        <v/>
      </c>
      <c r="N287" s="79">
        <f>IF(M287="","","Warranty expires in "&amp;H287&amp;" days: "&amp;B287&amp;IF(C287="",""," ("&amp;C287&amp;")")&amp;" — check for defects")</f>
        <v/>
      </c>
      <c r="P287" s="72" t="n"/>
      <c r="Q287" s="72" t="n"/>
      <c r="R287" s="89" t="n"/>
      <c r="S287" s="109" t="n"/>
      <c r="T287" s="126">
        <f>IF(OR(R287="",S287=""),"",DATE(YEAR(S287),MONTH(S287)+R287,DAY(S287)))</f>
        <v/>
      </c>
      <c r="U287" s="144">
        <f>IF(T287="","",T287-AsOf)</f>
        <v/>
      </c>
      <c r="V287" s="107">
        <f>IF(T287="",IF(P287="","","Enter last-done date"),IF(U287&lt;0,"Overdue",IF(U287&lt;=30,"Due soon","OK")))</f>
        <v/>
      </c>
      <c r="W287" s="79">
        <f>IF(T287="","",IF(U287&lt;0,2,IF(U287&lt;=30,1,0)))</f>
        <v/>
      </c>
      <c r="X287" s="112">
        <f>IF(T287="","",T287)</f>
        <v/>
      </c>
      <c r="Y287" s="79">
        <f>IF(X287="","",IF(X287&lt;=AsOf+AlertDays,2,IF(X287&lt;=AsOf+30,3,"")))</f>
        <v/>
      </c>
      <c r="Z287" s="79">
        <f>IF(Y287="","",IF(U287&lt;0,"Maintenance overdue: ","Maintenance due: ")&amp;P287)</f>
        <v/>
      </c>
    </row>
    <row r="288" ht="20" customHeight="1">
      <c r="B288" s="72" t="n"/>
      <c r="C288" s="72" t="n"/>
      <c r="D288" s="72" t="n"/>
      <c r="E288" s="109" t="n"/>
      <c r="F288" s="74" t="n"/>
      <c r="G288" s="126">
        <f>IF(OR(E288="",F288=""),"",DATE(YEAR(E288),MONTH(E288)+ROUND(F288*12,0),DAY(E288)))</f>
        <v/>
      </c>
      <c r="H288" s="144">
        <f>IF(G288="","",G288-AsOf)</f>
        <v/>
      </c>
      <c r="I288" s="107">
        <f>IF(G288="","",IF(H288&lt;0,"Expired",IF(H288&lt;=90,"Expires soon","Active")))</f>
        <v/>
      </c>
      <c r="J288" s="72" t="n"/>
      <c r="K288" s="79">
        <f>IF(I288="","",IF(I288="Active",0,IF(I288="Expires soon",1,3)))</f>
        <v/>
      </c>
      <c r="L288" s="112">
        <f>IF(G288="","",IF(G288&lt;AsOf,"",G288))</f>
        <v/>
      </c>
      <c r="M288" s="79">
        <f>IF(L288="","",IF(L288&lt;=AsOf+AlertDays,2,IF(L288&lt;=AsOf+90,3,"")))</f>
        <v/>
      </c>
      <c r="N288" s="79">
        <f>IF(M288="","","Warranty expires in "&amp;H288&amp;" days: "&amp;B288&amp;IF(C288="",""," ("&amp;C288&amp;")")&amp;" — check for defects")</f>
        <v/>
      </c>
      <c r="P288" s="72" t="n"/>
      <c r="Q288" s="72" t="n"/>
      <c r="R288" s="89" t="n"/>
      <c r="S288" s="109" t="n"/>
      <c r="T288" s="126">
        <f>IF(OR(R288="",S288=""),"",DATE(YEAR(S288),MONTH(S288)+R288,DAY(S288)))</f>
        <v/>
      </c>
      <c r="U288" s="144">
        <f>IF(T288="","",T288-AsOf)</f>
        <v/>
      </c>
      <c r="V288" s="107">
        <f>IF(T288="",IF(P288="","","Enter last-done date"),IF(U288&lt;0,"Overdue",IF(U288&lt;=30,"Due soon","OK")))</f>
        <v/>
      </c>
      <c r="W288" s="79">
        <f>IF(T288="","",IF(U288&lt;0,2,IF(U288&lt;=30,1,0)))</f>
        <v/>
      </c>
      <c r="X288" s="112">
        <f>IF(T288="","",T288)</f>
        <v/>
      </c>
      <c r="Y288" s="79">
        <f>IF(X288="","",IF(X288&lt;=AsOf+AlertDays,2,IF(X288&lt;=AsOf+30,3,"")))</f>
        <v/>
      </c>
      <c r="Z288" s="79">
        <f>IF(Y288="","",IF(U288&lt;0,"Maintenance overdue: ","Maintenance due: ")&amp;P288)</f>
        <v/>
      </c>
    </row>
    <row r="289" ht="20" customHeight="1">
      <c r="B289" s="72" t="n"/>
      <c r="C289" s="72" t="n"/>
      <c r="D289" s="72" t="n"/>
      <c r="E289" s="109" t="n"/>
      <c r="F289" s="74" t="n"/>
      <c r="G289" s="126">
        <f>IF(OR(E289="",F289=""),"",DATE(YEAR(E289),MONTH(E289)+ROUND(F289*12,0),DAY(E289)))</f>
        <v/>
      </c>
      <c r="H289" s="144">
        <f>IF(G289="","",G289-AsOf)</f>
        <v/>
      </c>
      <c r="I289" s="107">
        <f>IF(G289="","",IF(H289&lt;0,"Expired",IF(H289&lt;=90,"Expires soon","Active")))</f>
        <v/>
      </c>
      <c r="J289" s="72" t="n"/>
      <c r="K289" s="79">
        <f>IF(I289="","",IF(I289="Active",0,IF(I289="Expires soon",1,3)))</f>
        <v/>
      </c>
      <c r="L289" s="112">
        <f>IF(G289="","",IF(G289&lt;AsOf,"",G289))</f>
        <v/>
      </c>
      <c r="M289" s="79">
        <f>IF(L289="","",IF(L289&lt;=AsOf+AlertDays,2,IF(L289&lt;=AsOf+90,3,"")))</f>
        <v/>
      </c>
      <c r="N289" s="79">
        <f>IF(M289="","","Warranty expires in "&amp;H289&amp;" days: "&amp;B289&amp;IF(C289="",""," ("&amp;C289&amp;")")&amp;" — check for defects")</f>
        <v/>
      </c>
      <c r="P289" s="72" t="n"/>
      <c r="Q289" s="72" t="n"/>
      <c r="R289" s="89" t="n"/>
      <c r="S289" s="109" t="n"/>
      <c r="T289" s="126">
        <f>IF(OR(R289="",S289=""),"",DATE(YEAR(S289),MONTH(S289)+R289,DAY(S289)))</f>
        <v/>
      </c>
      <c r="U289" s="144">
        <f>IF(T289="","",T289-AsOf)</f>
        <v/>
      </c>
      <c r="V289" s="107">
        <f>IF(T289="",IF(P289="","","Enter last-done date"),IF(U289&lt;0,"Overdue",IF(U289&lt;=30,"Due soon","OK")))</f>
        <v/>
      </c>
      <c r="W289" s="79">
        <f>IF(T289="","",IF(U289&lt;0,2,IF(U289&lt;=30,1,0)))</f>
        <v/>
      </c>
      <c r="X289" s="112">
        <f>IF(T289="","",T289)</f>
        <v/>
      </c>
      <c r="Y289" s="79">
        <f>IF(X289="","",IF(X289&lt;=AsOf+AlertDays,2,IF(X289&lt;=AsOf+30,3,"")))</f>
        <v/>
      </c>
      <c r="Z289" s="79">
        <f>IF(Y289="","",IF(U289&lt;0,"Maintenance overdue: ","Maintenance due: ")&amp;P289)</f>
        <v/>
      </c>
    </row>
    <row r="290" ht="20" customHeight="1">
      <c r="B290" s="72" t="n"/>
      <c r="C290" s="72" t="n"/>
      <c r="D290" s="72" t="n"/>
      <c r="E290" s="109" t="n"/>
      <c r="F290" s="74" t="n"/>
      <c r="G290" s="126">
        <f>IF(OR(E290="",F290=""),"",DATE(YEAR(E290),MONTH(E290)+ROUND(F290*12,0),DAY(E290)))</f>
        <v/>
      </c>
      <c r="H290" s="144">
        <f>IF(G290="","",G290-AsOf)</f>
        <v/>
      </c>
      <c r="I290" s="107">
        <f>IF(G290="","",IF(H290&lt;0,"Expired",IF(H290&lt;=90,"Expires soon","Active")))</f>
        <v/>
      </c>
      <c r="J290" s="72" t="n"/>
      <c r="K290" s="79">
        <f>IF(I290="","",IF(I290="Active",0,IF(I290="Expires soon",1,3)))</f>
        <v/>
      </c>
      <c r="L290" s="112">
        <f>IF(G290="","",IF(G290&lt;AsOf,"",G290))</f>
        <v/>
      </c>
      <c r="M290" s="79">
        <f>IF(L290="","",IF(L290&lt;=AsOf+AlertDays,2,IF(L290&lt;=AsOf+90,3,"")))</f>
        <v/>
      </c>
      <c r="N290" s="79">
        <f>IF(M290="","","Warranty expires in "&amp;H290&amp;" days: "&amp;B290&amp;IF(C290="",""," ("&amp;C290&amp;")")&amp;" — check for defects")</f>
        <v/>
      </c>
      <c r="P290" s="72" t="n"/>
      <c r="Q290" s="72" t="n"/>
      <c r="R290" s="89" t="n"/>
      <c r="S290" s="109" t="n"/>
      <c r="T290" s="126">
        <f>IF(OR(R290="",S290=""),"",DATE(YEAR(S290),MONTH(S290)+R290,DAY(S290)))</f>
        <v/>
      </c>
      <c r="U290" s="144">
        <f>IF(T290="","",T290-AsOf)</f>
        <v/>
      </c>
      <c r="V290" s="107">
        <f>IF(T290="",IF(P290="","","Enter last-done date"),IF(U290&lt;0,"Overdue",IF(U290&lt;=30,"Due soon","OK")))</f>
        <v/>
      </c>
      <c r="W290" s="79">
        <f>IF(T290="","",IF(U290&lt;0,2,IF(U290&lt;=30,1,0)))</f>
        <v/>
      </c>
      <c r="X290" s="112">
        <f>IF(T290="","",T290)</f>
        <v/>
      </c>
      <c r="Y290" s="79">
        <f>IF(X290="","",IF(X290&lt;=AsOf+AlertDays,2,IF(X290&lt;=AsOf+30,3,"")))</f>
        <v/>
      </c>
      <c r="Z290" s="79">
        <f>IF(Y290="","",IF(U290&lt;0,"Maintenance overdue: ","Maintenance due: ")&amp;P290)</f>
        <v/>
      </c>
    </row>
    <row r="291" ht="20" customHeight="1">
      <c r="B291" s="72" t="n"/>
      <c r="C291" s="72" t="n"/>
      <c r="D291" s="72" t="n"/>
      <c r="E291" s="109" t="n"/>
      <c r="F291" s="74" t="n"/>
      <c r="G291" s="126">
        <f>IF(OR(E291="",F291=""),"",DATE(YEAR(E291),MONTH(E291)+ROUND(F291*12,0),DAY(E291)))</f>
        <v/>
      </c>
      <c r="H291" s="144">
        <f>IF(G291="","",G291-AsOf)</f>
        <v/>
      </c>
      <c r="I291" s="107">
        <f>IF(G291="","",IF(H291&lt;0,"Expired",IF(H291&lt;=90,"Expires soon","Active")))</f>
        <v/>
      </c>
      <c r="J291" s="72" t="n"/>
      <c r="K291" s="79">
        <f>IF(I291="","",IF(I291="Active",0,IF(I291="Expires soon",1,3)))</f>
        <v/>
      </c>
      <c r="L291" s="112">
        <f>IF(G291="","",IF(G291&lt;AsOf,"",G291))</f>
        <v/>
      </c>
      <c r="M291" s="79">
        <f>IF(L291="","",IF(L291&lt;=AsOf+AlertDays,2,IF(L291&lt;=AsOf+90,3,"")))</f>
        <v/>
      </c>
      <c r="N291" s="79">
        <f>IF(M291="","","Warranty expires in "&amp;H291&amp;" days: "&amp;B291&amp;IF(C291="",""," ("&amp;C291&amp;")")&amp;" — check for defects")</f>
        <v/>
      </c>
      <c r="P291" s="72" t="n"/>
      <c r="Q291" s="72" t="n"/>
      <c r="R291" s="89" t="n"/>
      <c r="S291" s="109" t="n"/>
      <c r="T291" s="126">
        <f>IF(OR(R291="",S291=""),"",DATE(YEAR(S291),MONTH(S291)+R291,DAY(S291)))</f>
        <v/>
      </c>
      <c r="U291" s="144">
        <f>IF(T291="","",T291-AsOf)</f>
        <v/>
      </c>
      <c r="V291" s="107">
        <f>IF(T291="",IF(P291="","","Enter last-done date"),IF(U291&lt;0,"Overdue",IF(U291&lt;=30,"Due soon","OK")))</f>
        <v/>
      </c>
      <c r="W291" s="79">
        <f>IF(T291="","",IF(U291&lt;0,2,IF(U291&lt;=30,1,0)))</f>
        <v/>
      </c>
      <c r="X291" s="112">
        <f>IF(T291="","",T291)</f>
        <v/>
      </c>
      <c r="Y291" s="79">
        <f>IF(X291="","",IF(X291&lt;=AsOf+AlertDays,2,IF(X291&lt;=AsOf+30,3,"")))</f>
        <v/>
      </c>
      <c r="Z291" s="79">
        <f>IF(Y291="","",IF(U291&lt;0,"Maintenance overdue: ","Maintenance due: ")&amp;P291)</f>
        <v/>
      </c>
    </row>
    <row r="292" ht="20" customHeight="1">
      <c r="B292" s="72" t="n"/>
      <c r="C292" s="72" t="n"/>
      <c r="D292" s="72" t="n"/>
      <c r="E292" s="109" t="n"/>
      <c r="F292" s="74" t="n"/>
      <c r="G292" s="126">
        <f>IF(OR(E292="",F292=""),"",DATE(YEAR(E292),MONTH(E292)+ROUND(F292*12,0),DAY(E292)))</f>
        <v/>
      </c>
      <c r="H292" s="144">
        <f>IF(G292="","",G292-AsOf)</f>
        <v/>
      </c>
      <c r="I292" s="107">
        <f>IF(G292="","",IF(H292&lt;0,"Expired",IF(H292&lt;=90,"Expires soon","Active")))</f>
        <v/>
      </c>
      <c r="J292" s="72" t="n"/>
      <c r="K292" s="79">
        <f>IF(I292="","",IF(I292="Active",0,IF(I292="Expires soon",1,3)))</f>
        <v/>
      </c>
      <c r="L292" s="112">
        <f>IF(G292="","",IF(G292&lt;AsOf,"",G292))</f>
        <v/>
      </c>
      <c r="M292" s="79">
        <f>IF(L292="","",IF(L292&lt;=AsOf+AlertDays,2,IF(L292&lt;=AsOf+90,3,"")))</f>
        <v/>
      </c>
      <c r="N292" s="79">
        <f>IF(M292="","","Warranty expires in "&amp;H292&amp;" days: "&amp;B292&amp;IF(C292="",""," ("&amp;C292&amp;")")&amp;" — check for defects")</f>
        <v/>
      </c>
      <c r="P292" s="72" t="n"/>
      <c r="Q292" s="72" t="n"/>
      <c r="R292" s="89" t="n"/>
      <c r="S292" s="109" t="n"/>
      <c r="T292" s="126">
        <f>IF(OR(R292="",S292=""),"",DATE(YEAR(S292),MONTH(S292)+R292,DAY(S292)))</f>
        <v/>
      </c>
      <c r="U292" s="144">
        <f>IF(T292="","",T292-AsOf)</f>
        <v/>
      </c>
      <c r="V292" s="107">
        <f>IF(T292="",IF(P292="","","Enter last-done date"),IF(U292&lt;0,"Overdue",IF(U292&lt;=30,"Due soon","OK")))</f>
        <v/>
      </c>
      <c r="W292" s="79">
        <f>IF(T292="","",IF(U292&lt;0,2,IF(U292&lt;=30,1,0)))</f>
        <v/>
      </c>
      <c r="X292" s="112">
        <f>IF(T292="","",T292)</f>
        <v/>
      </c>
      <c r="Y292" s="79">
        <f>IF(X292="","",IF(X292&lt;=AsOf+AlertDays,2,IF(X292&lt;=AsOf+30,3,"")))</f>
        <v/>
      </c>
      <c r="Z292" s="79">
        <f>IF(Y292="","",IF(U292&lt;0,"Maintenance overdue: ","Maintenance due: ")&amp;P292)</f>
        <v/>
      </c>
    </row>
    <row r="293" ht="20" customHeight="1">
      <c r="B293" s="72" t="n"/>
      <c r="C293" s="72" t="n"/>
      <c r="D293" s="72" t="n"/>
      <c r="E293" s="109" t="n"/>
      <c r="F293" s="74" t="n"/>
      <c r="G293" s="126">
        <f>IF(OR(E293="",F293=""),"",DATE(YEAR(E293),MONTH(E293)+ROUND(F293*12,0),DAY(E293)))</f>
        <v/>
      </c>
      <c r="H293" s="144">
        <f>IF(G293="","",G293-AsOf)</f>
        <v/>
      </c>
      <c r="I293" s="107">
        <f>IF(G293="","",IF(H293&lt;0,"Expired",IF(H293&lt;=90,"Expires soon","Active")))</f>
        <v/>
      </c>
      <c r="J293" s="72" t="n"/>
      <c r="K293" s="79">
        <f>IF(I293="","",IF(I293="Active",0,IF(I293="Expires soon",1,3)))</f>
        <v/>
      </c>
      <c r="L293" s="112">
        <f>IF(G293="","",IF(G293&lt;AsOf,"",G293))</f>
        <v/>
      </c>
      <c r="M293" s="79">
        <f>IF(L293="","",IF(L293&lt;=AsOf+AlertDays,2,IF(L293&lt;=AsOf+90,3,"")))</f>
        <v/>
      </c>
      <c r="N293" s="79">
        <f>IF(M293="","","Warranty expires in "&amp;H293&amp;" days: "&amp;B293&amp;IF(C293="",""," ("&amp;C293&amp;")")&amp;" — check for defects")</f>
        <v/>
      </c>
      <c r="P293" s="72" t="n"/>
      <c r="Q293" s="72" t="n"/>
      <c r="R293" s="89" t="n"/>
      <c r="S293" s="109" t="n"/>
      <c r="T293" s="126">
        <f>IF(OR(R293="",S293=""),"",DATE(YEAR(S293),MONTH(S293)+R293,DAY(S293)))</f>
        <v/>
      </c>
      <c r="U293" s="144">
        <f>IF(T293="","",T293-AsOf)</f>
        <v/>
      </c>
      <c r="V293" s="107">
        <f>IF(T293="",IF(P293="","","Enter last-done date"),IF(U293&lt;0,"Overdue",IF(U293&lt;=30,"Due soon","OK")))</f>
        <v/>
      </c>
      <c r="W293" s="79">
        <f>IF(T293="","",IF(U293&lt;0,2,IF(U293&lt;=30,1,0)))</f>
        <v/>
      </c>
      <c r="X293" s="112">
        <f>IF(T293="","",T293)</f>
        <v/>
      </c>
      <c r="Y293" s="79">
        <f>IF(X293="","",IF(X293&lt;=AsOf+AlertDays,2,IF(X293&lt;=AsOf+30,3,"")))</f>
        <v/>
      </c>
      <c r="Z293" s="79">
        <f>IF(Y293="","",IF(U293&lt;0,"Maintenance overdue: ","Maintenance due: ")&amp;P293)</f>
        <v/>
      </c>
    </row>
    <row r="294" ht="20" customHeight="1">
      <c r="B294" s="72" t="n"/>
      <c r="C294" s="72" t="n"/>
      <c r="D294" s="72" t="n"/>
      <c r="E294" s="109" t="n"/>
      <c r="F294" s="74" t="n"/>
      <c r="G294" s="126">
        <f>IF(OR(E294="",F294=""),"",DATE(YEAR(E294),MONTH(E294)+ROUND(F294*12,0),DAY(E294)))</f>
        <v/>
      </c>
      <c r="H294" s="144">
        <f>IF(G294="","",G294-AsOf)</f>
        <v/>
      </c>
      <c r="I294" s="107">
        <f>IF(G294="","",IF(H294&lt;0,"Expired",IF(H294&lt;=90,"Expires soon","Active")))</f>
        <v/>
      </c>
      <c r="J294" s="72" t="n"/>
      <c r="K294" s="79">
        <f>IF(I294="","",IF(I294="Active",0,IF(I294="Expires soon",1,3)))</f>
        <v/>
      </c>
      <c r="L294" s="112">
        <f>IF(G294="","",IF(G294&lt;AsOf,"",G294))</f>
        <v/>
      </c>
      <c r="M294" s="79">
        <f>IF(L294="","",IF(L294&lt;=AsOf+AlertDays,2,IF(L294&lt;=AsOf+90,3,"")))</f>
        <v/>
      </c>
      <c r="N294" s="79">
        <f>IF(M294="","","Warranty expires in "&amp;H294&amp;" days: "&amp;B294&amp;IF(C294="",""," ("&amp;C294&amp;")")&amp;" — check for defects")</f>
        <v/>
      </c>
      <c r="P294" s="72" t="n"/>
      <c r="Q294" s="72" t="n"/>
      <c r="R294" s="89" t="n"/>
      <c r="S294" s="109" t="n"/>
      <c r="T294" s="126">
        <f>IF(OR(R294="",S294=""),"",DATE(YEAR(S294),MONTH(S294)+R294,DAY(S294)))</f>
        <v/>
      </c>
      <c r="U294" s="144">
        <f>IF(T294="","",T294-AsOf)</f>
        <v/>
      </c>
      <c r="V294" s="107">
        <f>IF(T294="",IF(P294="","","Enter last-done date"),IF(U294&lt;0,"Overdue",IF(U294&lt;=30,"Due soon","OK")))</f>
        <v/>
      </c>
      <c r="W294" s="79">
        <f>IF(T294="","",IF(U294&lt;0,2,IF(U294&lt;=30,1,0)))</f>
        <v/>
      </c>
      <c r="X294" s="112">
        <f>IF(T294="","",T294)</f>
        <v/>
      </c>
      <c r="Y294" s="79">
        <f>IF(X294="","",IF(X294&lt;=AsOf+AlertDays,2,IF(X294&lt;=AsOf+30,3,"")))</f>
        <v/>
      </c>
      <c r="Z294" s="79">
        <f>IF(Y294="","",IF(U294&lt;0,"Maintenance overdue: ","Maintenance due: ")&amp;P294)</f>
        <v/>
      </c>
    </row>
    <row r="295" ht="20" customHeight="1">
      <c r="B295" s="72" t="n"/>
      <c r="C295" s="72" t="n"/>
      <c r="D295" s="72" t="n"/>
      <c r="E295" s="109" t="n"/>
      <c r="F295" s="74" t="n"/>
      <c r="G295" s="126">
        <f>IF(OR(E295="",F295=""),"",DATE(YEAR(E295),MONTH(E295)+ROUND(F295*12,0),DAY(E295)))</f>
        <v/>
      </c>
      <c r="H295" s="144">
        <f>IF(G295="","",G295-AsOf)</f>
        <v/>
      </c>
      <c r="I295" s="107">
        <f>IF(G295="","",IF(H295&lt;0,"Expired",IF(H295&lt;=90,"Expires soon","Active")))</f>
        <v/>
      </c>
      <c r="J295" s="72" t="n"/>
      <c r="K295" s="79">
        <f>IF(I295="","",IF(I295="Active",0,IF(I295="Expires soon",1,3)))</f>
        <v/>
      </c>
      <c r="L295" s="112">
        <f>IF(G295="","",IF(G295&lt;AsOf,"",G295))</f>
        <v/>
      </c>
      <c r="M295" s="79">
        <f>IF(L295="","",IF(L295&lt;=AsOf+AlertDays,2,IF(L295&lt;=AsOf+90,3,"")))</f>
        <v/>
      </c>
      <c r="N295" s="79">
        <f>IF(M295="","","Warranty expires in "&amp;H295&amp;" days: "&amp;B295&amp;IF(C295="",""," ("&amp;C295&amp;")")&amp;" — check for defects")</f>
        <v/>
      </c>
      <c r="P295" s="72" t="n"/>
      <c r="Q295" s="72" t="n"/>
      <c r="R295" s="89" t="n"/>
      <c r="S295" s="109" t="n"/>
      <c r="T295" s="126">
        <f>IF(OR(R295="",S295=""),"",DATE(YEAR(S295),MONTH(S295)+R295,DAY(S295)))</f>
        <v/>
      </c>
      <c r="U295" s="144">
        <f>IF(T295="","",T295-AsOf)</f>
        <v/>
      </c>
      <c r="V295" s="107">
        <f>IF(T295="",IF(P295="","","Enter last-done date"),IF(U295&lt;0,"Overdue",IF(U295&lt;=30,"Due soon","OK")))</f>
        <v/>
      </c>
      <c r="W295" s="79">
        <f>IF(T295="","",IF(U295&lt;0,2,IF(U295&lt;=30,1,0)))</f>
        <v/>
      </c>
      <c r="X295" s="112">
        <f>IF(T295="","",T295)</f>
        <v/>
      </c>
      <c r="Y295" s="79">
        <f>IF(X295="","",IF(X295&lt;=AsOf+AlertDays,2,IF(X295&lt;=AsOf+30,3,"")))</f>
        <v/>
      </c>
      <c r="Z295" s="79">
        <f>IF(Y295="","",IF(U295&lt;0,"Maintenance overdue: ","Maintenance due: ")&amp;P295)</f>
        <v/>
      </c>
    </row>
    <row r="296" ht="20" customHeight="1">
      <c r="B296" s="72" t="n"/>
      <c r="C296" s="72" t="n"/>
      <c r="D296" s="72" t="n"/>
      <c r="E296" s="109" t="n"/>
      <c r="F296" s="74" t="n"/>
      <c r="G296" s="126">
        <f>IF(OR(E296="",F296=""),"",DATE(YEAR(E296),MONTH(E296)+ROUND(F296*12,0),DAY(E296)))</f>
        <v/>
      </c>
      <c r="H296" s="144">
        <f>IF(G296="","",G296-AsOf)</f>
        <v/>
      </c>
      <c r="I296" s="107">
        <f>IF(G296="","",IF(H296&lt;0,"Expired",IF(H296&lt;=90,"Expires soon","Active")))</f>
        <v/>
      </c>
      <c r="J296" s="72" t="n"/>
      <c r="K296" s="79">
        <f>IF(I296="","",IF(I296="Active",0,IF(I296="Expires soon",1,3)))</f>
        <v/>
      </c>
      <c r="L296" s="112">
        <f>IF(G296="","",IF(G296&lt;AsOf,"",G296))</f>
        <v/>
      </c>
      <c r="M296" s="79">
        <f>IF(L296="","",IF(L296&lt;=AsOf+AlertDays,2,IF(L296&lt;=AsOf+90,3,"")))</f>
        <v/>
      </c>
      <c r="N296" s="79">
        <f>IF(M296="","","Warranty expires in "&amp;H296&amp;" days: "&amp;B296&amp;IF(C296="",""," ("&amp;C296&amp;")")&amp;" — check for defects")</f>
        <v/>
      </c>
      <c r="P296" s="72" t="n"/>
      <c r="Q296" s="72" t="n"/>
      <c r="R296" s="89" t="n"/>
      <c r="S296" s="109" t="n"/>
      <c r="T296" s="126">
        <f>IF(OR(R296="",S296=""),"",DATE(YEAR(S296),MONTH(S296)+R296,DAY(S296)))</f>
        <v/>
      </c>
      <c r="U296" s="144">
        <f>IF(T296="","",T296-AsOf)</f>
        <v/>
      </c>
      <c r="V296" s="107">
        <f>IF(T296="",IF(P296="","","Enter last-done date"),IF(U296&lt;0,"Overdue",IF(U296&lt;=30,"Due soon","OK")))</f>
        <v/>
      </c>
      <c r="W296" s="79">
        <f>IF(T296="","",IF(U296&lt;0,2,IF(U296&lt;=30,1,0)))</f>
        <v/>
      </c>
      <c r="X296" s="112">
        <f>IF(T296="","",T296)</f>
        <v/>
      </c>
      <c r="Y296" s="79">
        <f>IF(X296="","",IF(X296&lt;=AsOf+AlertDays,2,IF(X296&lt;=AsOf+30,3,"")))</f>
        <v/>
      </c>
      <c r="Z296" s="79">
        <f>IF(Y296="","",IF(U296&lt;0,"Maintenance overdue: ","Maintenance due: ")&amp;P296)</f>
        <v/>
      </c>
    </row>
    <row r="297" ht="20" customHeight="1">
      <c r="B297" s="72" t="n"/>
      <c r="C297" s="72" t="n"/>
      <c r="D297" s="72" t="n"/>
      <c r="E297" s="109" t="n"/>
      <c r="F297" s="74" t="n"/>
      <c r="G297" s="126">
        <f>IF(OR(E297="",F297=""),"",DATE(YEAR(E297),MONTH(E297)+ROUND(F297*12,0),DAY(E297)))</f>
        <v/>
      </c>
      <c r="H297" s="144">
        <f>IF(G297="","",G297-AsOf)</f>
        <v/>
      </c>
      <c r="I297" s="107">
        <f>IF(G297="","",IF(H297&lt;0,"Expired",IF(H297&lt;=90,"Expires soon","Active")))</f>
        <v/>
      </c>
      <c r="J297" s="72" t="n"/>
      <c r="K297" s="79">
        <f>IF(I297="","",IF(I297="Active",0,IF(I297="Expires soon",1,3)))</f>
        <v/>
      </c>
      <c r="L297" s="112">
        <f>IF(G297="","",IF(G297&lt;AsOf,"",G297))</f>
        <v/>
      </c>
      <c r="M297" s="79">
        <f>IF(L297="","",IF(L297&lt;=AsOf+AlertDays,2,IF(L297&lt;=AsOf+90,3,"")))</f>
        <v/>
      </c>
      <c r="N297" s="79">
        <f>IF(M297="","","Warranty expires in "&amp;H297&amp;" days: "&amp;B297&amp;IF(C297="",""," ("&amp;C297&amp;")")&amp;" — check for defects")</f>
        <v/>
      </c>
      <c r="P297" s="72" t="n"/>
      <c r="Q297" s="72" t="n"/>
      <c r="R297" s="89" t="n"/>
      <c r="S297" s="109" t="n"/>
      <c r="T297" s="126">
        <f>IF(OR(R297="",S297=""),"",DATE(YEAR(S297),MONTH(S297)+R297,DAY(S297)))</f>
        <v/>
      </c>
      <c r="U297" s="144">
        <f>IF(T297="","",T297-AsOf)</f>
        <v/>
      </c>
      <c r="V297" s="107">
        <f>IF(T297="",IF(P297="","","Enter last-done date"),IF(U297&lt;0,"Overdue",IF(U297&lt;=30,"Due soon","OK")))</f>
        <v/>
      </c>
      <c r="W297" s="79">
        <f>IF(T297="","",IF(U297&lt;0,2,IF(U297&lt;=30,1,0)))</f>
        <v/>
      </c>
      <c r="X297" s="112">
        <f>IF(T297="","",T297)</f>
        <v/>
      </c>
      <c r="Y297" s="79">
        <f>IF(X297="","",IF(X297&lt;=AsOf+AlertDays,2,IF(X297&lt;=AsOf+30,3,"")))</f>
        <v/>
      </c>
      <c r="Z297" s="79">
        <f>IF(Y297="","",IF(U297&lt;0,"Maintenance overdue: ","Maintenance due: ")&amp;P297)</f>
        <v/>
      </c>
    </row>
    <row r="298" ht="20" customHeight="1">
      <c r="B298" s="72" t="n"/>
      <c r="C298" s="72" t="n"/>
      <c r="D298" s="72" t="n"/>
      <c r="E298" s="109" t="n"/>
      <c r="F298" s="74" t="n"/>
      <c r="G298" s="126">
        <f>IF(OR(E298="",F298=""),"",DATE(YEAR(E298),MONTH(E298)+ROUND(F298*12,0),DAY(E298)))</f>
        <v/>
      </c>
      <c r="H298" s="144">
        <f>IF(G298="","",G298-AsOf)</f>
        <v/>
      </c>
      <c r="I298" s="107">
        <f>IF(G298="","",IF(H298&lt;0,"Expired",IF(H298&lt;=90,"Expires soon","Active")))</f>
        <v/>
      </c>
      <c r="J298" s="72" t="n"/>
      <c r="K298" s="79">
        <f>IF(I298="","",IF(I298="Active",0,IF(I298="Expires soon",1,3)))</f>
        <v/>
      </c>
      <c r="L298" s="112">
        <f>IF(G298="","",IF(G298&lt;AsOf,"",G298))</f>
        <v/>
      </c>
      <c r="M298" s="79">
        <f>IF(L298="","",IF(L298&lt;=AsOf+AlertDays,2,IF(L298&lt;=AsOf+90,3,"")))</f>
        <v/>
      </c>
      <c r="N298" s="79">
        <f>IF(M298="","","Warranty expires in "&amp;H298&amp;" days: "&amp;B298&amp;IF(C298="",""," ("&amp;C298&amp;")")&amp;" — check for defects")</f>
        <v/>
      </c>
      <c r="P298" s="72" t="n"/>
      <c r="Q298" s="72" t="n"/>
      <c r="R298" s="89" t="n"/>
      <c r="S298" s="109" t="n"/>
      <c r="T298" s="126">
        <f>IF(OR(R298="",S298=""),"",DATE(YEAR(S298),MONTH(S298)+R298,DAY(S298)))</f>
        <v/>
      </c>
      <c r="U298" s="144">
        <f>IF(T298="","",T298-AsOf)</f>
        <v/>
      </c>
      <c r="V298" s="107">
        <f>IF(T298="",IF(P298="","","Enter last-done date"),IF(U298&lt;0,"Overdue",IF(U298&lt;=30,"Due soon","OK")))</f>
        <v/>
      </c>
      <c r="W298" s="79">
        <f>IF(T298="","",IF(U298&lt;0,2,IF(U298&lt;=30,1,0)))</f>
        <v/>
      </c>
      <c r="X298" s="112">
        <f>IF(T298="","",T298)</f>
        <v/>
      </c>
      <c r="Y298" s="79">
        <f>IF(X298="","",IF(X298&lt;=AsOf+AlertDays,2,IF(X298&lt;=AsOf+30,3,"")))</f>
        <v/>
      </c>
      <c r="Z298" s="79">
        <f>IF(Y298="","",IF(U298&lt;0,"Maintenance overdue: ","Maintenance due: ")&amp;P298)</f>
        <v/>
      </c>
    </row>
    <row r="299" ht="20" customHeight="1">
      <c r="B299" s="72" t="n"/>
      <c r="C299" s="72" t="n"/>
      <c r="D299" s="72" t="n"/>
      <c r="E299" s="109" t="n"/>
      <c r="F299" s="74" t="n"/>
      <c r="G299" s="126">
        <f>IF(OR(E299="",F299=""),"",DATE(YEAR(E299),MONTH(E299)+ROUND(F299*12,0),DAY(E299)))</f>
        <v/>
      </c>
      <c r="H299" s="144">
        <f>IF(G299="","",G299-AsOf)</f>
        <v/>
      </c>
      <c r="I299" s="107">
        <f>IF(G299="","",IF(H299&lt;0,"Expired",IF(H299&lt;=90,"Expires soon","Active")))</f>
        <v/>
      </c>
      <c r="J299" s="72" t="n"/>
      <c r="K299" s="79">
        <f>IF(I299="","",IF(I299="Active",0,IF(I299="Expires soon",1,3)))</f>
        <v/>
      </c>
      <c r="L299" s="112">
        <f>IF(G299="","",IF(G299&lt;AsOf,"",G299))</f>
        <v/>
      </c>
      <c r="M299" s="79">
        <f>IF(L299="","",IF(L299&lt;=AsOf+AlertDays,2,IF(L299&lt;=AsOf+90,3,"")))</f>
        <v/>
      </c>
      <c r="N299" s="79">
        <f>IF(M299="","","Warranty expires in "&amp;H299&amp;" days: "&amp;B299&amp;IF(C299="",""," ("&amp;C299&amp;")")&amp;" — check for defects")</f>
        <v/>
      </c>
      <c r="P299" s="72" t="n"/>
      <c r="Q299" s="72" t="n"/>
      <c r="R299" s="89" t="n"/>
      <c r="S299" s="109" t="n"/>
      <c r="T299" s="126">
        <f>IF(OR(R299="",S299=""),"",DATE(YEAR(S299),MONTH(S299)+R299,DAY(S299)))</f>
        <v/>
      </c>
      <c r="U299" s="144">
        <f>IF(T299="","",T299-AsOf)</f>
        <v/>
      </c>
      <c r="V299" s="107">
        <f>IF(T299="",IF(P299="","","Enter last-done date"),IF(U299&lt;0,"Overdue",IF(U299&lt;=30,"Due soon","OK")))</f>
        <v/>
      </c>
      <c r="W299" s="79">
        <f>IF(T299="","",IF(U299&lt;0,2,IF(U299&lt;=30,1,0)))</f>
        <v/>
      </c>
      <c r="X299" s="112">
        <f>IF(T299="","",T299)</f>
        <v/>
      </c>
      <c r="Y299" s="79">
        <f>IF(X299="","",IF(X299&lt;=AsOf+AlertDays,2,IF(X299&lt;=AsOf+30,3,"")))</f>
        <v/>
      </c>
      <c r="Z299" s="79">
        <f>IF(Y299="","",IF(U299&lt;0,"Maintenance overdue: ","Maintenance due: ")&amp;P299)</f>
        <v/>
      </c>
    </row>
    <row r="300" ht="20" customHeight="1">
      <c r="B300" s="72" t="n"/>
      <c r="C300" s="72" t="n"/>
      <c r="D300" s="72" t="n"/>
      <c r="E300" s="109" t="n"/>
      <c r="F300" s="74" t="n"/>
      <c r="G300" s="126">
        <f>IF(OR(E300="",F300=""),"",DATE(YEAR(E300),MONTH(E300)+ROUND(F300*12,0),DAY(E300)))</f>
        <v/>
      </c>
      <c r="H300" s="144">
        <f>IF(G300="","",G300-AsOf)</f>
        <v/>
      </c>
      <c r="I300" s="107">
        <f>IF(G300="","",IF(H300&lt;0,"Expired",IF(H300&lt;=90,"Expires soon","Active")))</f>
        <v/>
      </c>
      <c r="J300" s="72" t="n"/>
      <c r="K300" s="79">
        <f>IF(I300="","",IF(I300="Active",0,IF(I300="Expires soon",1,3)))</f>
        <v/>
      </c>
      <c r="L300" s="112">
        <f>IF(G300="","",IF(G300&lt;AsOf,"",G300))</f>
        <v/>
      </c>
      <c r="M300" s="79">
        <f>IF(L300="","",IF(L300&lt;=AsOf+AlertDays,2,IF(L300&lt;=AsOf+90,3,"")))</f>
        <v/>
      </c>
      <c r="N300" s="79">
        <f>IF(M300="","","Warranty expires in "&amp;H300&amp;" days: "&amp;B300&amp;IF(C300="",""," ("&amp;C300&amp;")")&amp;" — check for defects")</f>
        <v/>
      </c>
      <c r="P300" s="72" t="n"/>
      <c r="Q300" s="72" t="n"/>
      <c r="R300" s="89" t="n"/>
      <c r="S300" s="109" t="n"/>
      <c r="T300" s="126">
        <f>IF(OR(R300="",S300=""),"",DATE(YEAR(S300),MONTH(S300)+R300,DAY(S300)))</f>
        <v/>
      </c>
      <c r="U300" s="144">
        <f>IF(T300="","",T300-AsOf)</f>
        <v/>
      </c>
      <c r="V300" s="107">
        <f>IF(T300="",IF(P300="","","Enter last-done date"),IF(U300&lt;0,"Overdue",IF(U300&lt;=30,"Due soon","OK")))</f>
        <v/>
      </c>
      <c r="W300" s="79">
        <f>IF(T300="","",IF(U300&lt;0,2,IF(U300&lt;=30,1,0)))</f>
        <v/>
      </c>
      <c r="X300" s="112">
        <f>IF(T300="","",T300)</f>
        <v/>
      </c>
      <c r="Y300" s="79">
        <f>IF(X300="","",IF(X300&lt;=AsOf+AlertDays,2,IF(X300&lt;=AsOf+30,3,"")))</f>
        <v/>
      </c>
      <c r="Z300" s="79">
        <f>IF(Y300="","",IF(U300&lt;0,"Maintenance overdue: ","Maintenance due: ")&amp;P300)</f>
        <v/>
      </c>
    </row>
    <row r="301" ht="20" customHeight="1">
      <c r="B301" s="72" t="n"/>
      <c r="C301" s="72" t="n"/>
      <c r="D301" s="72" t="n"/>
      <c r="E301" s="109" t="n"/>
      <c r="F301" s="74" t="n"/>
      <c r="G301" s="126">
        <f>IF(OR(E301="",F301=""),"",DATE(YEAR(E301),MONTH(E301)+ROUND(F301*12,0),DAY(E301)))</f>
        <v/>
      </c>
      <c r="H301" s="144">
        <f>IF(G301="","",G301-AsOf)</f>
        <v/>
      </c>
      <c r="I301" s="107">
        <f>IF(G301="","",IF(H301&lt;0,"Expired",IF(H301&lt;=90,"Expires soon","Active")))</f>
        <v/>
      </c>
      <c r="J301" s="72" t="n"/>
      <c r="K301" s="79">
        <f>IF(I301="","",IF(I301="Active",0,IF(I301="Expires soon",1,3)))</f>
        <v/>
      </c>
      <c r="L301" s="112">
        <f>IF(G301="","",IF(G301&lt;AsOf,"",G301))</f>
        <v/>
      </c>
      <c r="M301" s="79">
        <f>IF(L301="","",IF(L301&lt;=AsOf+AlertDays,2,IF(L301&lt;=AsOf+90,3,"")))</f>
        <v/>
      </c>
      <c r="N301" s="79">
        <f>IF(M301="","","Warranty expires in "&amp;H301&amp;" days: "&amp;B301&amp;IF(C301="",""," ("&amp;C301&amp;")")&amp;" — check for defects")</f>
        <v/>
      </c>
      <c r="P301" s="72" t="n"/>
      <c r="Q301" s="72" t="n"/>
      <c r="R301" s="89" t="n"/>
      <c r="S301" s="109" t="n"/>
      <c r="T301" s="126">
        <f>IF(OR(R301="",S301=""),"",DATE(YEAR(S301),MONTH(S301)+R301,DAY(S301)))</f>
        <v/>
      </c>
      <c r="U301" s="144">
        <f>IF(T301="","",T301-AsOf)</f>
        <v/>
      </c>
      <c r="V301" s="107">
        <f>IF(T301="",IF(P301="","","Enter last-done date"),IF(U301&lt;0,"Overdue",IF(U301&lt;=30,"Due soon","OK")))</f>
        <v/>
      </c>
      <c r="W301" s="79">
        <f>IF(T301="","",IF(U301&lt;0,2,IF(U301&lt;=30,1,0)))</f>
        <v/>
      </c>
      <c r="X301" s="112">
        <f>IF(T301="","",T301)</f>
        <v/>
      </c>
      <c r="Y301" s="79">
        <f>IF(X301="","",IF(X301&lt;=AsOf+AlertDays,2,IF(X301&lt;=AsOf+30,3,"")))</f>
        <v/>
      </c>
      <c r="Z301" s="79">
        <f>IF(Y301="","",IF(U301&lt;0,"Maintenance overdue: ","Maintenance due: ")&amp;P301)</f>
        <v/>
      </c>
    </row>
    <row r="302" ht="20" customHeight="1">
      <c r="B302" s="72" t="n"/>
      <c r="C302" s="72" t="n"/>
      <c r="D302" s="72" t="n"/>
      <c r="E302" s="109" t="n"/>
      <c r="F302" s="74" t="n"/>
      <c r="G302" s="126">
        <f>IF(OR(E302="",F302=""),"",DATE(YEAR(E302),MONTH(E302)+ROUND(F302*12,0),DAY(E302)))</f>
        <v/>
      </c>
      <c r="H302" s="144">
        <f>IF(G302="","",G302-AsOf)</f>
        <v/>
      </c>
      <c r="I302" s="107">
        <f>IF(G302="","",IF(H302&lt;0,"Expired",IF(H302&lt;=90,"Expires soon","Active")))</f>
        <v/>
      </c>
      <c r="J302" s="72" t="n"/>
      <c r="K302" s="79">
        <f>IF(I302="","",IF(I302="Active",0,IF(I302="Expires soon",1,3)))</f>
        <v/>
      </c>
      <c r="L302" s="112">
        <f>IF(G302="","",IF(G302&lt;AsOf,"",G302))</f>
        <v/>
      </c>
      <c r="M302" s="79">
        <f>IF(L302="","",IF(L302&lt;=AsOf+AlertDays,2,IF(L302&lt;=AsOf+90,3,"")))</f>
        <v/>
      </c>
      <c r="N302" s="79">
        <f>IF(M302="","","Warranty expires in "&amp;H302&amp;" days: "&amp;B302&amp;IF(C302="",""," ("&amp;C302&amp;")")&amp;" — check for defects")</f>
        <v/>
      </c>
      <c r="P302" s="72" t="n"/>
      <c r="Q302" s="72" t="n"/>
      <c r="R302" s="89" t="n"/>
      <c r="S302" s="109" t="n"/>
      <c r="T302" s="126">
        <f>IF(OR(R302="",S302=""),"",DATE(YEAR(S302),MONTH(S302)+R302,DAY(S302)))</f>
        <v/>
      </c>
      <c r="U302" s="144">
        <f>IF(T302="","",T302-AsOf)</f>
        <v/>
      </c>
      <c r="V302" s="107">
        <f>IF(T302="",IF(P302="","","Enter last-done date"),IF(U302&lt;0,"Overdue",IF(U302&lt;=30,"Due soon","OK")))</f>
        <v/>
      </c>
      <c r="W302" s="79">
        <f>IF(T302="","",IF(U302&lt;0,2,IF(U302&lt;=30,1,0)))</f>
        <v/>
      </c>
      <c r="X302" s="112">
        <f>IF(T302="","",T302)</f>
        <v/>
      </c>
      <c r="Y302" s="79">
        <f>IF(X302="","",IF(X302&lt;=AsOf+AlertDays,2,IF(X302&lt;=AsOf+30,3,"")))</f>
        <v/>
      </c>
      <c r="Z302" s="79">
        <f>IF(Y302="","",IF(U302&lt;0,"Maintenance overdue: ","Maintenance due: ")&amp;P302)</f>
        <v/>
      </c>
    </row>
    <row r="303" ht="20" customHeight="1">
      <c r="B303" s="72" t="n"/>
      <c r="C303" s="72" t="n"/>
      <c r="D303" s="72" t="n"/>
      <c r="E303" s="109" t="n"/>
      <c r="F303" s="74" t="n"/>
      <c r="G303" s="126">
        <f>IF(OR(E303="",F303=""),"",DATE(YEAR(E303),MONTH(E303)+ROUND(F303*12,0),DAY(E303)))</f>
        <v/>
      </c>
      <c r="H303" s="144">
        <f>IF(G303="","",G303-AsOf)</f>
        <v/>
      </c>
      <c r="I303" s="107">
        <f>IF(G303="","",IF(H303&lt;0,"Expired",IF(H303&lt;=90,"Expires soon","Active")))</f>
        <v/>
      </c>
      <c r="J303" s="72" t="n"/>
      <c r="K303" s="79">
        <f>IF(I303="","",IF(I303="Active",0,IF(I303="Expires soon",1,3)))</f>
        <v/>
      </c>
      <c r="L303" s="112">
        <f>IF(G303="","",IF(G303&lt;AsOf,"",G303))</f>
        <v/>
      </c>
      <c r="M303" s="79">
        <f>IF(L303="","",IF(L303&lt;=AsOf+AlertDays,2,IF(L303&lt;=AsOf+90,3,"")))</f>
        <v/>
      </c>
      <c r="N303" s="79">
        <f>IF(M303="","","Warranty expires in "&amp;H303&amp;" days: "&amp;B303&amp;IF(C303="",""," ("&amp;C303&amp;")")&amp;" — check for defects")</f>
        <v/>
      </c>
      <c r="P303" s="72" t="n"/>
      <c r="Q303" s="72" t="n"/>
      <c r="R303" s="89" t="n"/>
      <c r="S303" s="109" t="n"/>
      <c r="T303" s="126">
        <f>IF(OR(R303="",S303=""),"",DATE(YEAR(S303),MONTH(S303)+R303,DAY(S303)))</f>
        <v/>
      </c>
      <c r="U303" s="144">
        <f>IF(T303="","",T303-AsOf)</f>
        <v/>
      </c>
      <c r="V303" s="107">
        <f>IF(T303="",IF(P303="","","Enter last-done date"),IF(U303&lt;0,"Overdue",IF(U303&lt;=30,"Due soon","OK")))</f>
        <v/>
      </c>
      <c r="W303" s="79">
        <f>IF(T303="","",IF(U303&lt;0,2,IF(U303&lt;=30,1,0)))</f>
        <v/>
      </c>
      <c r="X303" s="112">
        <f>IF(T303="","",T303)</f>
        <v/>
      </c>
      <c r="Y303" s="79">
        <f>IF(X303="","",IF(X303&lt;=AsOf+AlertDays,2,IF(X303&lt;=AsOf+30,3,"")))</f>
        <v/>
      </c>
      <c r="Z303" s="79">
        <f>IF(Y303="","",IF(U303&lt;0,"Maintenance overdue: ","Maintenance due: ")&amp;P303)</f>
        <v/>
      </c>
    </row>
    <row r="304" ht="20" customHeight="1">
      <c r="B304" s="72" t="n"/>
      <c r="C304" s="72" t="n"/>
      <c r="D304" s="72" t="n"/>
      <c r="E304" s="109" t="n"/>
      <c r="F304" s="74" t="n"/>
      <c r="G304" s="126">
        <f>IF(OR(E304="",F304=""),"",DATE(YEAR(E304),MONTH(E304)+ROUND(F304*12,0),DAY(E304)))</f>
        <v/>
      </c>
      <c r="H304" s="144">
        <f>IF(G304="","",G304-AsOf)</f>
        <v/>
      </c>
      <c r="I304" s="107">
        <f>IF(G304="","",IF(H304&lt;0,"Expired",IF(H304&lt;=90,"Expires soon","Active")))</f>
        <v/>
      </c>
      <c r="J304" s="72" t="n"/>
      <c r="K304" s="79">
        <f>IF(I304="","",IF(I304="Active",0,IF(I304="Expires soon",1,3)))</f>
        <v/>
      </c>
      <c r="L304" s="112">
        <f>IF(G304="","",IF(G304&lt;AsOf,"",G304))</f>
        <v/>
      </c>
      <c r="M304" s="79">
        <f>IF(L304="","",IF(L304&lt;=AsOf+AlertDays,2,IF(L304&lt;=AsOf+90,3,"")))</f>
        <v/>
      </c>
      <c r="N304" s="79">
        <f>IF(M304="","","Warranty expires in "&amp;H304&amp;" days: "&amp;B304&amp;IF(C304="",""," ("&amp;C304&amp;")")&amp;" — check for defects")</f>
        <v/>
      </c>
      <c r="P304" s="72" t="n"/>
      <c r="Q304" s="72" t="n"/>
      <c r="R304" s="89" t="n"/>
      <c r="S304" s="109" t="n"/>
      <c r="T304" s="126">
        <f>IF(OR(R304="",S304=""),"",DATE(YEAR(S304),MONTH(S304)+R304,DAY(S304)))</f>
        <v/>
      </c>
      <c r="U304" s="144">
        <f>IF(T304="","",T304-AsOf)</f>
        <v/>
      </c>
      <c r="V304" s="107">
        <f>IF(T304="",IF(P304="","","Enter last-done date"),IF(U304&lt;0,"Overdue",IF(U304&lt;=30,"Due soon","OK")))</f>
        <v/>
      </c>
      <c r="W304" s="79">
        <f>IF(T304="","",IF(U304&lt;0,2,IF(U304&lt;=30,1,0)))</f>
        <v/>
      </c>
      <c r="X304" s="112">
        <f>IF(T304="","",T304)</f>
        <v/>
      </c>
      <c r="Y304" s="79">
        <f>IF(X304="","",IF(X304&lt;=AsOf+AlertDays,2,IF(X304&lt;=AsOf+30,3,"")))</f>
        <v/>
      </c>
      <c r="Z304" s="79">
        <f>IF(Y304="","",IF(U304&lt;0,"Maintenance overdue: ","Maintenance due: ")&amp;P304)</f>
        <v/>
      </c>
    </row>
    <row r="305" ht="20" customHeight="1">
      <c r="B305" s="72" t="n"/>
      <c r="C305" s="72" t="n"/>
      <c r="D305" s="72" t="n"/>
      <c r="E305" s="109" t="n"/>
      <c r="F305" s="74" t="n"/>
      <c r="G305" s="126">
        <f>IF(OR(E305="",F305=""),"",DATE(YEAR(E305),MONTH(E305)+ROUND(F305*12,0),DAY(E305)))</f>
        <v/>
      </c>
      <c r="H305" s="144">
        <f>IF(G305="","",G305-AsOf)</f>
        <v/>
      </c>
      <c r="I305" s="107">
        <f>IF(G305="","",IF(H305&lt;0,"Expired",IF(H305&lt;=90,"Expires soon","Active")))</f>
        <v/>
      </c>
      <c r="J305" s="72" t="n"/>
      <c r="K305" s="79">
        <f>IF(I305="","",IF(I305="Active",0,IF(I305="Expires soon",1,3)))</f>
        <v/>
      </c>
      <c r="L305" s="112">
        <f>IF(G305="","",IF(G305&lt;AsOf,"",G305))</f>
        <v/>
      </c>
      <c r="M305" s="79">
        <f>IF(L305="","",IF(L305&lt;=AsOf+AlertDays,2,IF(L305&lt;=AsOf+90,3,"")))</f>
        <v/>
      </c>
      <c r="N305" s="79">
        <f>IF(M305="","","Warranty expires in "&amp;H305&amp;" days: "&amp;B305&amp;IF(C305="",""," ("&amp;C305&amp;")")&amp;" — check for defects")</f>
        <v/>
      </c>
      <c r="P305" s="72" t="n"/>
      <c r="Q305" s="72" t="n"/>
      <c r="R305" s="89" t="n"/>
      <c r="S305" s="109" t="n"/>
      <c r="T305" s="126">
        <f>IF(OR(R305="",S305=""),"",DATE(YEAR(S305),MONTH(S305)+R305,DAY(S305)))</f>
        <v/>
      </c>
      <c r="U305" s="144">
        <f>IF(T305="","",T305-AsOf)</f>
        <v/>
      </c>
      <c r="V305" s="107">
        <f>IF(T305="",IF(P305="","","Enter last-done date"),IF(U305&lt;0,"Overdue",IF(U305&lt;=30,"Due soon","OK")))</f>
        <v/>
      </c>
      <c r="W305" s="79">
        <f>IF(T305="","",IF(U305&lt;0,2,IF(U305&lt;=30,1,0)))</f>
        <v/>
      </c>
      <c r="X305" s="112">
        <f>IF(T305="","",T305)</f>
        <v/>
      </c>
      <c r="Y305" s="79">
        <f>IF(X305="","",IF(X305&lt;=AsOf+AlertDays,2,IF(X305&lt;=AsOf+30,3,"")))</f>
        <v/>
      </c>
      <c r="Z305" s="79">
        <f>IF(Y305="","",IF(U305&lt;0,"Maintenance overdue: ","Maintenance due: ")&amp;P305)</f>
        <v/>
      </c>
    </row>
    <row r="306" ht="20" customHeight="1">
      <c r="B306" s="72" t="n"/>
      <c r="C306" s="72" t="n"/>
      <c r="D306" s="72" t="n"/>
      <c r="E306" s="109" t="n"/>
      <c r="F306" s="74" t="n"/>
      <c r="G306" s="126">
        <f>IF(OR(E306="",F306=""),"",DATE(YEAR(E306),MONTH(E306)+ROUND(F306*12,0),DAY(E306)))</f>
        <v/>
      </c>
      <c r="H306" s="144">
        <f>IF(G306="","",G306-AsOf)</f>
        <v/>
      </c>
      <c r="I306" s="107">
        <f>IF(G306="","",IF(H306&lt;0,"Expired",IF(H306&lt;=90,"Expires soon","Active")))</f>
        <v/>
      </c>
      <c r="J306" s="72" t="n"/>
      <c r="K306" s="79">
        <f>IF(I306="","",IF(I306="Active",0,IF(I306="Expires soon",1,3)))</f>
        <v/>
      </c>
      <c r="L306" s="112">
        <f>IF(G306="","",IF(G306&lt;AsOf,"",G306))</f>
        <v/>
      </c>
      <c r="M306" s="79">
        <f>IF(L306="","",IF(L306&lt;=AsOf+AlertDays,2,IF(L306&lt;=AsOf+90,3,"")))</f>
        <v/>
      </c>
      <c r="N306" s="79">
        <f>IF(M306="","","Warranty expires in "&amp;H306&amp;" days: "&amp;B306&amp;IF(C306="",""," ("&amp;C306&amp;")")&amp;" — check for defects")</f>
        <v/>
      </c>
      <c r="P306" s="72" t="n"/>
      <c r="Q306" s="72" t="n"/>
      <c r="R306" s="89" t="n"/>
      <c r="S306" s="109" t="n"/>
      <c r="T306" s="126">
        <f>IF(OR(R306="",S306=""),"",DATE(YEAR(S306),MONTH(S306)+R306,DAY(S306)))</f>
        <v/>
      </c>
      <c r="U306" s="144">
        <f>IF(T306="","",T306-AsOf)</f>
        <v/>
      </c>
      <c r="V306" s="107">
        <f>IF(T306="",IF(P306="","","Enter last-done date"),IF(U306&lt;0,"Overdue",IF(U306&lt;=30,"Due soon","OK")))</f>
        <v/>
      </c>
      <c r="W306" s="79">
        <f>IF(T306="","",IF(U306&lt;0,2,IF(U306&lt;=30,1,0)))</f>
        <v/>
      </c>
      <c r="X306" s="112">
        <f>IF(T306="","",T306)</f>
        <v/>
      </c>
      <c r="Y306" s="79">
        <f>IF(X306="","",IF(X306&lt;=AsOf+AlertDays,2,IF(X306&lt;=AsOf+30,3,"")))</f>
        <v/>
      </c>
      <c r="Z306" s="79">
        <f>IF(Y306="","",IF(U306&lt;0,"Maintenance overdue: ","Maintenance due: ")&amp;P306)</f>
        <v/>
      </c>
    </row>
    <row r="307" ht="20" customHeight="1">
      <c r="B307" s="72" t="n"/>
      <c r="C307" s="72" t="n"/>
      <c r="D307" s="72" t="n"/>
      <c r="E307" s="109" t="n"/>
      <c r="F307" s="74" t="n"/>
      <c r="G307" s="126">
        <f>IF(OR(E307="",F307=""),"",DATE(YEAR(E307),MONTH(E307)+ROUND(F307*12,0),DAY(E307)))</f>
        <v/>
      </c>
      <c r="H307" s="144">
        <f>IF(G307="","",G307-AsOf)</f>
        <v/>
      </c>
      <c r="I307" s="107">
        <f>IF(G307="","",IF(H307&lt;0,"Expired",IF(H307&lt;=90,"Expires soon","Active")))</f>
        <v/>
      </c>
      <c r="J307" s="72" t="n"/>
      <c r="K307" s="79">
        <f>IF(I307="","",IF(I307="Active",0,IF(I307="Expires soon",1,3)))</f>
        <v/>
      </c>
      <c r="L307" s="112">
        <f>IF(G307="","",IF(G307&lt;AsOf,"",G307))</f>
        <v/>
      </c>
      <c r="M307" s="79">
        <f>IF(L307="","",IF(L307&lt;=AsOf+AlertDays,2,IF(L307&lt;=AsOf+90,3,"")))</f>
        <v/>
      </c>
      <c r="N307" s="79">
        <f>IF(M307="","","Warranty expires in "&amp;H307&amp;" days: "&amp;B307&amp;IF(C307="",""," ("&amp;C307&amp;")")&amp;" — check for defects")</f>
        <v/>
      </c>
      <c r="P307" s="72" t="n"/>
      <c r="Q307" s="72" t="n"/>
      <c r="R307" s="89" t="n"/>
      <c r="S307" s="109" t="n"/>
      <c r="T307" s="126">
        <f>IF(OR(R307="",S307=""),"",DATE(YEAR(S307),MONTH(S307)+R307,DAY(S307)))</f>
        <v/>
      </c>
      <c r="U307" s="144">
        <f>IF(T307="","",T307-AsOf)</f>
        <v/>
      </c>
      <c r="V307" s="107">
        <f>IF(T307="",IF(P307="","","Enter last-done date"),IF(U307&lt;0,"Overdue",IF(U307&lt;=30,"Due soon","OK")))</f>
        <v/>
      </c>
      <c r="W307" s="79">
        <f>IF(T307="","",IF(U307&lt;0,2,IF(U307&lt;=30,1,0)))</f>
        <v/>
      </c>
      <c r="X307" s="112">
        <f>IF(T307="","",T307)</f>
        <v/>
      </c>
      <c r="Y307" s="79">
        <f>IF(X307="","",IF(X307&lt;=AsOf+AlertDays,2,IF(X307&lt;=AsOf+30,3,"")))</f>
        <v/>
      </c>
      <c r="Z307" s="79">
        <f>IF(Y307="","",IF(U307&lt;0,"Maintenance overdue: ","Maintenance due: ")&amp;P307)</f>
        <v/>
      </c>
    </row>
    <row r="308" ht="20" customHeight="1">
      <c r="B308" s="72" t="n"/>
      <c r="C308" s="72" t="n"/>
      <c r="D308" s="72" t="n"/>
      <c r="E308" s="109" t="n"/>
      <c r="F308" s="74" t="n"/>
      <c r="G308" s="126">
        <f>IF(OR(E308="",F308=""),"",DATE(YEAR(E308),MONTH(E308)+ROUND(F308*12,0),DAY(E308)))</f>
        <v/>
      </c>
      <c r="H308" s="144">
        <f>IF(G308="","",G308-AsOf)</f>
        <v/>
      </c>
      <c r="I308" s="107">
        <f>IF(G308="","",IF(H308&lt;0,"Expired",IF(H308&lt;=90,"Expires soon","Active")))</f>
        <v/>
      </c>
      <c r="J308" s="72" t="n"/>
      <c r="K308" s="79">
        <f>IF(I308="","",IF(I308="Active",0,IF(I308="Expires soon",1,3)))</f>
        <v/>
      </c>
      <c r="L308" s="112">
        <f>IF(G308="","",IF(G308&lt;AsOf,"",G308))</f>
        <v/>
      </c>
      <c r="M308" s="79">
        <f>IF(L308="","",IF(L308&lt;=AsOf+AlertDays,2,IF(L308&lt;=AsOf+90,3,"")))</f>
        <v/>
      </c>
      <c r="N308" s="79">
        <f>IF(M308="","","Warranty expires in "&amp;H308&amp;" days: "&amp;B308&amp;IF(C308="",""," ("&amp;C308&amp;")")&amp;" — check for defects")</f>
        <v/>
      </c>
      <c r="P308" s="72" t="n"/>
      <c r="Q308" s="72" t="n"/>
      <c r="R308" s="89" t="n"/>
      <c r="S308" s="109" t="n"/>
      <c r="T308" s="126">
        <f>IF(OR(R308="",S308=""),"",DATE(YEAR(S308),MONTH(S308)+R308,DAY(S308)))</f>
        <v/>
      </c>
      <c r="U308" s="144">
        <f>IF(T308="","",T308-AsOf)</f>
        <v/>
      </c>
      <c r="V308" s="107">
        <f>IF(T308="",IF(P308="","","Enter last-done date"),IF(U308&lt;0,"Overdue",IF(U308&lt;=30,"Due soon","OK")))</f>
        <v/>
      </c>
      <c r="W308" s="79">
        <f>IF(T308="","",IF(U308&lt;0,2,IF(U308&lt;=30,1,0)))</f>
        <v/>
      </c>
      <c r="X308" s="112">
        <f>IF(T308="","",T308)</f>
        <v/>
      </c>
      <c r="Y308" s="79">
        <f>IF(X308="","",IF(X308&lt;=AsOf+AlertDays,2,IF(X308&lt;=AsOf+30,3,"")))</f>
        <v/>
      </c>
      <c r="Z308" s="79">
        <f>IF(Y308="","",IF(U308&lt;0,"Maintenance overdue: ","Maintenance due: ")&amp;P308)</f>
        <v/>
      </c>
    </row>
    <row r="309" ht="20" customHeight="1">
      <c r="B309" s="72" t="n"/>
      <c r="C309" s="72" t="n"/>
      <c r="D309" s="72" t="n"/>
      <c r="E309" s="109" t="n"/>
      <c r="F309" s="74" t="n"/>
      <c r="G309" s="126">
        <f>IF(OR(E309="",F309=""),"",DATE(YEAR(E309),MONTH(E309)+ROUND(F309*12,0),DAY(E309)))</f>
        <v/>
      </c>
      <c r="H309" s="144">
        <f>IF(G309="","",G309-AsOf)</f>
        <v/>
      </c>
      <c r="I309" s="107">
        <f>IF(G309="","",IF(H309&lt;0,"Expired",IF(H309&lt;=90,"Expires soon","Active")))</f>
        <v/>
      </c>
      <c r="J309" s="72" t="n"/>
      <c r="K309" s="79">
        <f>IF(I309="","",IF(I309="Active",0,IF(I309="Expires soon",1,3)))</f>
        <v/>
      </c>
      <c r="L309" s="112">
        <f>IF(G309="","",IF(G309&lt;AsOf,"",G309))</f>
        <v/>
      </c>
      <c r="M309" s="79">
        <f>IF(L309="","",IF(L309&lt;=AsOf+AlertDays,2,IF(L309&lt;=AsOf+90,3,"")))</f>
        <v/>
      </c>
      <c r="N309" s="79">
        <f>IF(M309="","","Warranty expires in "&amp;H309&amp;" days: "&amp;B309&amp;IF(C309="",""," ("&amp;C309&amp;")")&amp;" — check for defects")</f>
        <v/>
      </c>
      <c r="P309" s="72" t="n"/>
      <c r="Q309" s="72" t="n"/>
      <c r="R309" s="89" t="n"/>
      <c r="S309" s="109" t="n"/>
      <c r="T309" s="126">
        <f>IF(OR(R309="",S309=""),"",DATE(YEAR(S309),MONTH(S309)+R309,DAY(S309)))</f>
        <v/>
      </c>
      <c r="U309" s="144">
        <f>IF(T309="","",T309-AsOf)</f>
        <v/>
      </c>
      <c r="V309" s="107">
        <f>IF(T309="",IF(P309="","","Enter last-done date"),IF(U309&lt;0,"Overdue",IF(U309&lt;=30,"Due soon","OK")))</f>
        <v/>
      </c>
      <c r="W309" s="79">
        <f>IF(T309="","",IF(U309&lt;0,2,IF(U309&lt;=30,1,0)))</f>
        <v/>
      </c>
      <c r="X309" s="112">
        <f>IF(T309="","",T309)</f>
        <v/>
      </c>
      <c r="Y309" s="79">
        <f>IF(X309="","",IF(X309&lt;=AsOf+AlertDays,2,IF(X309&lt;=AsOf+30,3,"")))</f>
        <v/>
      </c>
      <c r="Z309" s="79">
        <f>IF(Y309="","",IF(U309&lt;0,"Maintenance overdue: ","Maintenance due: ")&amp;P309)</f>
        <v/>
      </c>
    </row>
    <row r="310" ht="20" customHeight="1">
      <c r="B310" s="72" t="n"/>
      <c r="C310" s="72" t="n"/>
      <c r="D310" s="72" t="n"/>
      <c r="E310" s="109" t="n"/>
      <c r="F310" s="74" t="n"/>
      <c r="G310" s="126">
        <f>IF(OR(E310="",F310=""),"",DATE(YEAR(E310),MONTH(E310)+ROUND(F310*12,0),DAY(E310)))</f>
        <v/>
      </c>
      <c r="H310" s="144">
        <f>IF(G310="","",G310-AsOf)</f>
        <v/>
      </c>
      <c r="I310" s="107">
        <f>IF(G310="","",IF(H310&lt;0,"Expired",IF(H310&lt;=90,"Expires soon","Active")))</f>
        <v/>
      </c>
      <c r="J310" s="72" t="n"/>
      <c r="K310" s="79">
        <f>IF(I310="","",IF(I310="Active",0,IF(I310="Expires soon",1,3)))</f>
        <v/>
      </c>
      <c r="L310" s="112">
        <f>IF(G310="","",IF(G310&lt;AsOf,"",G310))</f>
        <v/>
      </c>
      <c r="M310" s="79">
        <f>IF(L310="","",IF(L310&lt;=AsOf+AlertDays,2,IF(L310&lt;=AsOf+90,3,"")))</f>
        <v/>
      </c>
      <c r="N310" s="79">
        <f>IF(M310="","","Warranty expires in "&amp;H310&amp;" days: "&amp;B310&amp;IF(C310="",""," ("&amp;C310&amp;")")&amp;" — check for defects")</f>
        <v/>
      </c>
      <c r="P310" s="72" t="n"/>
      <c r="Q310" s="72" t="n"/>
      <c r="R310" s="89" t="n"/>
      <c r="S310" s="109" t="n"/>
      <c r="T310" s="126">
        <f>IF(OR(R310="",S310=""),"",DATE(YEAR(S310),MONTH(S310)+R310,DAY(S310)))</f>
        <v/>
      </c>
      <c r="U310" s="144">
        <f>IF(T310="","",T310-AsOf)</f>
        <v/>
      </c>
      <c r="V310" s="107">
        <f>IF(T310="",IF(P310="","","Enter last-done date"),IF(U310&lt;0,"Overdue",IF(U310&lt;=30,"Due soon","OK")))</f>
        <v/>
      </c>
      <c r="W310" s="79">
        <f>IF(T310="","",IF(U310&lt;0,2,IF(U310&lt;=30,1,0)))</f>
        <v/>
      </c>
      <c r="X310" s="112">
        <f>IF(T310="","",T310)</f>
        <v/>
      </c>
      <c r="Y310" s="79">
        <f>IF(X310="","",IF(X310&lt;=AsOf+AlertDays,2,IF(X310&lt;=AsOf+30,3,"")))</f>
        <v/>
      </c>
      <c r="Z310" s="79">
        <f>IF(Y310="","",IF(U310&lt;0,"Maintenance overdue: ","Maintenance due: ")&amp;P310)</f>
        <v/>
      </c>
    </row>
    <row r="311" ht="20" customHeight="1">
      <c r="B311" s="72" t="n"/>
      <c r="C311" s="72" t="n"/>
      <c r="D311" s="72" t="n"/>
      <c r="E311" s="109" t="n"/>
      <c r="F311" s="74" t="n"/>
      <c r="G311" s="126">
        <f>IF(OR(E311="",F311=""),"",DATE(YEAR(E311),MONTH(E311)+ROUND(F311*12,0),DAY(E311)))</f>
        <v/>
      </c>
      <c r="H311" s="144">
        <f>IF(G311="","",G311-AsOf)</f>
        <v/>
      </c>
      <c r="I311" s="107">
        <f>IF(G311="","",IF(H311&lt;0,"Expired",IF(H311&lt;=90,"Expires soon","Active")))</f>
        <v/>
      </c>
      <c r="J311" s="72" t="n"/>
      <c r="K311" s="79">
        <f>IF(I311="","",IF(I311="Active",0,IF(I311="Expires soon",1,3)))</f>
        <v/>
      </c>
      <c r="L311" s="112">
        <f>IF(G311="","",IF(G311&lt;AsOf,"",G311))</f>
        <v/>
      </c>
      <c r="M311" s="79">
        <f>IF(L311="","",IF(L311&lt;=AsOf+AlertDays,2,IF(L311&lt;=AsOf+90,3,"")))</f>
        <v/>
      </c>
      <c r="N311" s="79">
        <f>IF(M311="","","Warranty expires in "&amp;H311&amp;" days: "&amp;B311&amp;IF(C311="",""," ("&amp;C311&amp;")")&amp;" — check for defects")</f>
        <v/>
      </c>
      <c r="P311" s="72" t="n"/>
      <c r="Q311" s="72" t="n"/>
      <c r="R311" s="89" t="n"/>
      <c r="S311" s="109" t="n"/>
      <c r="T311" s="126">
        <f>IF(OR(R311="",S311=""),"",DATE(YEAR(S311),MONTH(S311)+R311,DAY(S311)))</f>
        <v/>
      </c>
      <c r="U311" s="144">
        <f>IF(T311="","",T311-AsOf)</f>
        <v/>
      </c>
      <c r="V311" s="107">
        <f>IF(T311="",IF(P311="","","Enter last-done date"),IF(U311&lt;0,"Overdue",IF(U311&lt;=30,"Due soon","OK")))</f>
        <v/>
      </c>
      <c r="W311" s="79">
        <f>IF(T311="","",IF(U311&lt;0,2,IF(U311&lt;=30,1,0)))</f>
        <v/>
      </c>
      <c r="X311" s="112">
        <f>IF(T311="","",T311)</f>
        <v/>
      </c>
      <c r="Y311" s="79">
        <f>IF(X311="","",IF(X311&lt;=AsOf+AlertDays,2,IF(X311&lt;=AsOf+30,3,"")))</f>
        <v/>
      </c>
      <c r="Z311" s="79">
        <f>IF(Y311="","",IF(U311&lt;0,"Maintenance overdue: ","Maintenance due: ")&amp;P311)</f>
        <v/>
      </c>
    </row>
    <row r="312" ht="20" customHeight="1">
      <c r="B312" s="72" t="n"/>
      <c r="C312" s="72" t="n"/>
      <c r="D312" s="72" t="n"/>
      <c r="E312" s="109" t="n"/>
      <c r="F312" s="74" t="n"/>
      <c r="G312" s="126">
        <f>IF(OR(E312="",F312=""),"",DATE(YEAR(E312),MONTH(E312)+ROUND(F312*12,0),DAY(E312)))</f>
        <v/>
      </c>
      <c r="H312" s="144">
        <f>IF(G312="","",G312-AsOf)</f>
        <v/>
      </c>
      <c r="I312" s="107">
        <f>IF(G312="","",IF(H312&lt;0,"Expired",IF(H312&lt;=90,"Expires soon","Active")))</f>
        <v/>
      </c>
      <c r="J312" s="72" t="n"/>
      <c r="K312" s="79">
        <f>IF(I312="","",IF(I312="Active",0,IF(I312="Expires soon",1,3)))</f>
        <v/>
      </c>
      <c r="L312" s="112">
        <f>IF(G312="","",IF(G312&lt;AsOf,"",G312))</f>
        <v/>
      </c>
      <c r="M312" s="79">
        <f>IF(L312="","",IF(L312&lt;=AsOf+AlertDays,2,IF(L312&lt;=AsOf+90,3,"")))</f>
        <v/>
      </c>
      <c r="N312" s="79">
        <f>IF(M312="","","Warranty expires in "&amp;H312&amp;" days: "&amp;B312&amp;IF(C312="",""," ("&amp;C312&amp;")")&amp;" — check for defects")</f>
        <v/>
      </c>
      <c r="P312" s="72" t="n"/>
      <c r="Q312" s="72" t="n"/>
      <c r="R312" s="89" t="n"/>
      <c r="S312" s="109" t="n"/>
      <c r="T312" s="126">
        <f>IF(OR(R312="",S312=""),"",DATE(YEAR(S312),MONTH(S312)+R312,DAY(S312)))</f>
        <v/>
      </c>
      <c r="U312" s="144">
        <f>IF(T312="","",T312-AsOf)</f>
        <v/>
      </c>
      <c r="V312" s="107">
        <f>IF(T312="",IF(P312="","","Enter last-done date"),IF(U312&lt;0,"Overdue",IF(U312&lt;=30,"Due soon","OK")))</f>
        <v/>
      </c>
      <c r="W312" s="79">
        <f>IF(T312="","",IF(U312&lt;0,2,IF(U312&lt;=30,1,0)))</f>
        <v/>
      </c>
      <c r="X312" s="112">
        <f>IF(T312="","",T312)</f>
        <v/>
      </c>
      <c r="Y312" s="79">
        <f>IF(X312="","",IF(X312&lt;=AsOf+AlertDays,2,IF(X312&lt;=AsOf+30,3,"")))</f>
        <v/>
      </c>
      <c r="Z312" s="79">
        <f>IF(Y312="","",IF(U312&lt;0,"Maintenance overdue: ","Maintenance due: ")&amp;P312)</f>
        <v/>
      </c>
    </row>
    <row r="313" ht="20" customHeight="1">
      <c r="B313" s="72" t="n"/>
      <c r="C313" s="72" t="n"/>
      <c r="D313" s="72" t="n"/>
      <c r="E313" s="109" t="n"/>
      <c r="F313" s="74" t="n"/>
      <c r="G313" s="126">
        <f>IF(OR(E313="",F313=""),"",DATE(YEAR(E313),MONTH(E313)+ROUND(F313*12,0),DAY(E313)))</f>
        <v/>
      </c>
      <c r="H313" s="144">
        <f>IF(G313="","",G313-AsOf)</f>
        <v/>
      </c>
      <c r="I313" s="107">
        <f>IF(G313="","",IF(H313&lt;0,"Expired",IF(H313&lt;=90,"Expires soon","Active")))</f>
        <v/>
      </c>
      <c r="J313" s="72" t="n"/>
      <c r="K313" s="79">
        <f>IF(I313="","",IF(I313="Active",0,IF(I313="Expires soon",1,3)))</f>
        <v/>
      </c>
      <c r="L313" s="112">
        <f>IF(G313="","",IF(G313&lt;AsOf,"",G313))</f>
        <v/>
      </c>
      <c r="M313" s="79">
        <f>IF(L313="","",IF(L313&lt;=AsOf+AlertDays,2,IF(L313&lt;=AsOf+90,3,"")))</f>
        <v/>
      </c>
      <c r="N313" s="79">
        <f>IF(M313="","","Warranty expires in "&amp;H313&amp;" days: "&amp;B313&amp;IF(C313="",""," ("&amp;C313&amp;")")&amp;" — check for defects")</f>
        <v/>
      </c>
      <c r="P313" s="72" t="n"/>
      <c r="Q313" s="72" t="n"/>
      <c r="R313" s="89" t="n"/>
      <c r="S313" s="109" t="n"/>
      <c r="T313" s="126">
        <f>IF(OR(R313="",S313=""),"",DATE(YEAR(S313),MONTH(S313)+R313,DAY(S313)))</f>
        <v/>
      </c>
      <c r="U313" s="144">
        <f>IF(T313="","",T313-AsOf)</f>
        <v/>
      </c>
      <c r="V313" s="107">
        <f>IF(T313="",IF(P313="","","Enter last-done date"),IF(U313&lt;0,"Overdue",IF(U313&lt;=30,"Due soon","OK")))</f>
        <v/>
      </c>
      <c r="W313" s="79">
        <f>IF(T313="","",IF(U313&lt;0,2,IF(U313&lt;=30,1,0)))</f>
        <v/>
      </c>
      <c r="X313" s="112">
        <f>IF(T313="","",T313)</f>
        <v/>
      </c>
      <c r="Y313" s="79">
        <f>IF(X313="","",IF(X313&lt;=AsOf+AlertDays,2,IF(X313&lt;=AsOf+30,3,"")))</f>
        <v/>
      </c>
      <c r="Z313" s="79">
        <f>IF(Y313="","",IF(U313&lt;0,"Maintenance overdue: ","Maintenance due: ")&amp;P313)</f>
        <v/>
      </c>
    </row>
    <row r="314" ht="20" customHeight="1">
      <c r="B314" s="72" t="n"/>
      <c r="C314" s="72" t="n"/>
      <c r="D314" s="72" t="n"/>
      <c r="E314" s="109" t="n"/>
      <c r="F314" s="74" t="n"/>
      <c r="G314" s="126">
        <f>IF(OR(E314="",F314=""),"",DATE(YEAR(E314),MONTH(E314)+ROUND(F314*12,0),DAY(E314)))</f>
        <v/>
      </c>
      <c r="H314" s="144">
        <f>IF(G314="","",G314-AsOf)</f>
        <v/>
      </c>
      <c r="I314" s="107">
        <f>IF(G314="","",IF(H314&lt;0,"Expired",IF(H314&lt;=90,"Expires soon","Active")))</f>
        <v/>
      </c>
      <c r="J314" s="72" t="n"/>
      <c r="K314" s="79">
        <f>IF(I314="","",IF(I314="Active",0,IF(I314="Expires soon",1,3)))</f>
        <v/>
      </c>
      <c r="L314" s="112">
        <f>IF(G314="","",IF(G314&lt;AsOf,"",G314))</f>
        <v/>
      </c>
      <c r="M314" s="79">
        <f>IF(L314="","",IF(L314&lt;=AsOf+AlertDays,2,IF(L314&lt;=AsOf+90,3,"")))</f>
        <v/>
      </c>
      <c r="N314" s="79">
        <f>IF(M314="","","Warranty expires in "&amp;H314&amp;" days: "&amp;B314&amp;IF(C314="",""," ("&amp;C314&amp;")")&amp;" — check for defects")</f>
        <v/>
      </c>
      <c r="P314" s="72" t="n"/>
      <c r="Q314" s="72" t="n"/>
      <c r="R314" s="89" t="n"/>
      <c r="S314" s="109" t="n"/>
      <c r="T314" s="126">
        <f>IF(OR(R314="",S314=""),"",DATE(YEAR(S314),MONTH(S314)+R314,DAY(S314)))</f>
        <v/>
      </c>
      <c r="U314" s="144">
        <f>IF(T314="","",T314-AsOf)</f>
        <v/>
      </c>
      <c r="V314" s="107">
        <f>IF(T314="",IF(P314="","","Enter last-done date"),IF(U314&lt;0,"Overdue",IF(U314&lt;=30,"Due soon","OK")))</f>
        <v/>
      </c>
      <c r="W314" s="79">
        <f>IF(T314="","",IF(U314&lt;0,2,IF(U314&lt;=30,1,0)))</f>
        <v/>
      </c>
      <c r="X314" s="112">
        <f>IF(T314="","",T314)</f>
        <v/>
      </c>
      <c r="Y314" s="79">
        <f>IF(X314="","",IF(X314&lt;=AsOf+AlertDays,2,IF(X314&lt;=AsOf+30,3,"")))</f>
        <v/>
      </c>
      <c r="Z314" s="79">
        <f>IF(Y314="","",IF(U314&lt;0,"Maintenance overdue: ","Maintenance due: ")&amp;P314)</f>
        <v/>
      </c>
    </row>
    <row r="315" ht="20" customHeight="1">
      <c r="B315" s="72" t="n"/>
      <c r="C315" s="72" t="n"/>
      <c r="D315" s="72" t="n"/>
      <c r="E315" s="109" t="n"/>
      <c r="F315" s="74" t="n"/>
      <c r="G315" s="126">
        <f>IF(OR(E315="",F315=""),"",DATE(YEAR(E315),MONTH(E315)+ROUND(F315*12,0),DAY(E315)))</f>
        <v/>
      </c>
      <c r="H315" s="144">
        <f>IF(G315="","",G315-AsOf)</f>
        <v/>
      </c>
      <c r="I315" s="107">
        <f>IF(G315="","",IF(H315&lt;0,"Expired",IF(H315&lt;=90,"Expires soon","Active")))</f>
        <v/>
      </c>
      <c r="J315" s="72" t="n"/>
      <c r="K315" s="79">
        <f>IF(I315="","",IF(I315="Active",0,IF(I315="Expires soon",1,3)))</f>
        <v/>
      </c>
      <c r="L315" s="112">
        <f>IF(G315="","",IF(G315&lt;AsOf,"",G315))</f>
        <v/>
      </c>
      <c r="M315" s="79">
        <f>IF(L315="","",IF(L315&lt;=AsOf+AlertDays,2,IF(L315&lt;=AsOf+90,3,"")))</f>
        <v/>
      </c>
      <c r="N315" s="79">
        <f>IF(M315="","","Warranty expires in "&amp;H315&amp;" days: "&amp;B315&amp;IF(C315="",""," ("&amp;C315&amp;")")&amp;" — check for defects")</f>
        <v/>
      </c>
      <c r="P315" s="72" t="n"/>
      <c r="Q315" s="72" t="n"/>
      <c r="R315" s="89" t="n"/>
      <c r="S315" s="109" t="n"/>
      <c r="T315" s="126">
        <f>IF(OR(R315="",S315=""),"",DATE(YEAR(S315),MONTH(S315)+R315,DAY(S315)))</f>
        <v/>
      </c>
      <c r="U315" s="144">
        <f>IF(T315="","",T315-AsOf)</f>
        <v/>
      </c>
      <c r="V315" s="107">
        <f>IF(T315="",IF(P315="","","Enter last-done date"),IF(U315&lt;0,"Overdue",IF(U315&lt;=30,"Due soon","OK")))</f>
        <v/>
      </c>
      <c r="W315" s="79">
        <f>IF(T315="","",IF(U315&lt;0,2,IF(U315&lt;=30,1,0)))</f>
        <v/>
      </c>
      <c r="X315" s="112">
        <f>IF(T315="","",T315)</f>
        <v/>
      </c>
      <c r="Y315" s="79">
        <f>IF(X315="","",IF(X315&lt;=AsOf+AlertDays,2,IF(X315&lt;=AsOf+30,3,"")))</f>
        <v/>
      </c>
      <c r="Z315" s="79">
        <f>IF(Y315="","",IF(U315&lt;0,"Maintenance overdue: ","Maintenance due: ")&amp;P315)</f>
        <v/>
      </c>
    </row>
    <row r="316" ht="20" customHeight="1">
      <c r="B316" s="72" t="n"/>
      <c r="C316" s="72" t="n"/>
      <c r="D316" s="72" t="n"/>
      <c r="E316" s="109" t="n"/>
      <c r="F316" s="74" t="n"/>
      <c r="G316" s="126">
        <f>IF(OR(E316="",F316=""),"",DATE(YEAR(E316),MONTH(E316)+ROUND(F316*12,0),DAY(E316)))</f>
        <v/>
      </c>
      <c r="H316" s="144">
        <f>IF(G316="","",G316-AsOf)</f>
        <v/>
      </c>
      <c r="I316" s="107">
        <f>IF(G316="","",IF(H316&lt;0,"Expired",IF(H316&lt;=90,"Expires soon","Active")))</f>
        <v/>
      </c>
      <c r="J316" s="72" t="n"/>
      <c r="K316" s="79">
        <f>IF(I316="","",IF(I316="Active",0,IF(I316="Expires soon",1,3)))</f>
        <v/>
      </c>
      <c r="L316" s="112">
        <f>IF(G316="","",IF(G316&lt;AsOf,"",G316))</f>
        <v/>
      </c>
      <c r="M316" s="79">
        <f>IF(L316="","",IF(L316&lt;=AsOf+AlertDays,2,IF(L316&lt;=AsOf+90,3,"")))</f>
        <v/>
      </c>
      <c r="N316" s="79">
        <f>IF(M316="","","Warranty expires in "&amp;H316&amp;" days: "&amp;B316&amp;IF(C316="",""," ("&amp;C316&amp;")")&amp;" — check for defects")</f>
        <v/>
      </c>
      <c r="P316" s="72" t="n"/>
      <c r="Q316" s="72" t="n"/>
      <c r="R316" s="89" t="n"/>
      <c r="S316" s="109" t="n"/>
      <c r="T316" s="126">
        <f>IF(OR(R316="",S316=""),"",DATE(YEAR(S316),MONTH(S316)+R316,DAY(S316)))</f>
        <v/>
      </c>
      <c r="U316" s="144">
        <f>IF(T316="","",T316-AsOf)</f>
        <v/>
      </c>
      <c r="V316" s="107">
        <f>IF(T316="",IF(P316="","","Enter last-done date"),IF(U316&lt;0,"Overdue",IF(U316&lt;=30,"Due soon","OK")))</f>
        <v/>
      </c>
      <c r="W316" s="79">
        <f>IF(T316="","",IF(U316&lt;0,2,IF(U316&lt;=30,1,0)))</f>
        <v/>
      </c>
      <c r="X316" s="112">
        <f>IF(T316="","",T316)</f>
        <v/>
      </c>
      <c r="Y316" s="79">
        <f>IF(X316="","",IF(X316&lt;=AsOf+AlertDays,2,IF(X316&lt;=AsOf+30,3,"")))</f>
        <v/>
      </c>
      <c r="Z316" s="79">
        <f>IF(Y316="","",IF(U316&lt;0,"Maintenance overdue: ","Maintenance due: ")&amp;P316)</f>
        <v/>
      </c>
    </row>
    <row r="317" ht="20" customHeight="1">
      <c r="B317" s="72" t="n"/>
      <c r="C317" s="72" t="n"/>
      <c r="D317" s="72" t="n"/>
      <c r="E317" s="109" t="n"/>
      <c r="F317" s="74" t="n"/>
      <c r="G317" s="126">
        <f>IF(OR(E317="",F317=""),"",DATE(YEAR(E317),MONTH(E317)+ROUND(F317*12,0),DAY(E317)))</f>
        <v/>
      </c>
      <c r="H317" s="144">
        <f>IF(G317="","",G317-AsOf)</f>
        <v/>
      </c>
      <c r="I317" s="107">
        <f>IF(G317="","",IF(H317&lt;0,"Expired",IF(H317&lt;=90,"Expires soon","Active")))</f>
        <v/>
      </c>
      <c r="J317" s="72" t="n"/>
      <c r="K317" s="79">
        <f>IF(I317="","",IF(I317="Active",0,IF(I317="Expires soon",1,3)))</f>
        <v/>
      </c>
      <c r="L317" s="112">
        <f>IF(G317="","",IF(G317&lt;AsOf,"",G317))</f>
        <v/>
      </c>
      <c r="M317" s="79">
        <f>IF(L317="","",IF(L317&lt;=AsOf+AlertDays,2,IF(L317&lt;=AsOf+90,3,"")))</f>
        <v/>
      </c>
      <c r="N317" s="79">
        <f>IF(M317="","","Warranty expires in "&amp;H317&amp;" days: "&amp;B317&amp;IF(C317="",""," ("&amp;C317&amp;")")&amp;" — check for defects")</f>
        <v/>
      </c>
      <c r="P317" s="72" t="n"/>
      <c r="Q317" s="72" t="n"/>
      <c r="R317" s="89" t="n"/>
      <c r="S317" s="109" t="n"/>
      <c r="T317" s="126">
        <f>IF(OR(R317="",S317=""),"",DATE(YEAR(S317),MONTH(S317)+R317,DAY(S317)))</f>
        <v/>
      </c>
      <c r="U317" s="144">
        <f>IF(T317="","",T317-AsOf)</f>
        <v/>
      </c>
      <c r="V317" s="107">
        <f>IF(T317="",IF(P317="","","Enter last-done date"),IF(U317&lt;0,"Overdue",IF(U317&lt;=30,"Due soon","OK")))</f>
        <v/>
      </c>
      <c r="W317" s="79">
        <f>IF(T317="","",IF(U317&lt;0,2,IF(U317&lt;=30,1,0)))</f>
        <v/>
      </c>
      <c r="X317" s="112">
        <f>IF(T317="","",T317)</f>
        <v/>
      </c>
      <c r="Y317" s="79">
        <f>IF(X317="","",IF(X317&lt;=AsOf+AlertDays,2,IF(X317&lt;=AsOf+30,3,"")))</f>
        <v/>
      </c>
      <c r="Z317" s="79">
        <f>IF(Y317="","",IF(U317&lt;0,"Maintenance overdue: ","Maintenance due: ")&amp;P317)</f>
        <v/>
      </c>
    </row>
    <row r="318" ht="20" customHeight="1">
      <c r="B318" s="72" t="n"/>
      <c r="C318" s="72" t="n"/>
      <c r="D318" s="72" t="n"/>
      <c r="E318" s="109" t="n"/>
      <c r="F318" s="74" t="n"/>
      <c r="G318" s="126">
        <f>IF(OR(E318="",F318=""),"",DATE(YEAR(E318),MONTH(E318)+ROUND(F318*12,0),DAY(E318)))</f>
        <v/>
      </c>
      <c r="H318" s="144">
        <f>IF(G318="","",G318-AsOf)</f>
        <v/>
      </c>
      <c r="I318" s="107">
        <f>IF(G318="","",IF(H318&lt;0,"Expired",IF(H318&lt;=90,"Expires soon","Active")))</f>
        <v/>
      </c>
      <c r="J318" s="72" t="n"/>
      <c r="K318" s="79">
        <f>IF(I318="","",IF(I318="Active",0,IF(I318="Expires soon",1,3)))</f>
        <v/>
      </c>
      <c r="L318" s="112">
        <f>IF(G318="","",IF(G318&lt;AsOf,"",G318))</f>
        <v/>
      </c>
      <c r="M318" s="79">
        <f>IF(L318="","",IF(L318&lt;=AsOf+AlertDays,2,IF(L318&lt;=AsOf+90,3,"")))</f>
        <v/>
      </c>
      <c r="N318" s="79">
        <f>IF(M318="","","Warranty expires in "&amp;H318&amp;" days: "&amp;B318&amp;IF(C318="",""," ("&amp;C318&amp;")")&amp;" — check for defects")</f>
        <v/>
      </c>
      <c r="P318" s="72" t="n"/>
      <c r="Q318" s="72" t="n"/>
      <c r="R318" s="89" t="n"/>
      <c r="S318" s="109" t="n"/>
      <c r="T318" s="126">
        <f>IF(OR(R318="",S318=""),"",DATE(YEAR(S318),MONTH(S318)+R318,DAY(S318)))</f>
        <v/>
      </c>
      <c r="U318" s="144">
        <f>IF(T318="","",T318-AsOf)</f>
        <v/>
      </c>
      <c r="V318" s="107">
        <f>IF(T318="",IF(P318="","","Enter last-done date"),IF(U318&lt;0,"Overdue",IF(U318&lt;=30,"Due soon","OK")))</f>
        <v/>
      </c>
      <c r="W318" s="79">
        <f>IF(T318="","",IF(U318&lt;0,2,IF(U318&lt;=30,1,0)))</f>
        <v/>
      </c>
      <c r="X318" s="112">
        <f>IF(T318="","",T318)</f>
        <v/>
      </c>
      <c r="Y318" s="79">
        <f>IF(X318="","",IF(X318&lt;=AsOf+AlertDays,2,IF(X318&lt;=AsOf+30,3,"")))</f>
        <v/>
      </c>
      <c r="Z318" s="79">
        <f>IF(Y318="","",IF(U318&lt;0,"Maintenance overdue: ","Maintenance due: ")&amp;P318)</f>
        <v/>
      </c>
    </row>
    <row r="319" ht="20" customHeight="1">
      <c r="B319" s="72" t="n"/>
      <c r="C319" s="72" t="n"/>
      <c r="D319" s="72" t="n"/>
      <c r="E319" s="109" t="n"/>
      <c r="F319" s="74" t="n"/>
      <c r="G319" s="126">
        <f>IF(OR(E319="",F319=""),"",DATE(YEAR(E319),MONTH(E319)+ROUND(F319*12,0),DAY(E319)))</f>
        <v/>
      </c>
      <c r="H319" s="144">
        <f>IF(G319="","",G319-AsOf)</f>
        <v/>
      </c>
      <c r="I319" s="107">
        <f>IF(G319="","",IF(H319&lt;0,"Expired",IF(H319&lt;=90,"Expires soon","Active")))</f>
        <v/>
      </c>
      <c r="J319" s="72" t="n"/>
      <c r="K319" s="79">
        <f>IF(I319="","",IF(I319="Active",0,IF(I319="Expires soon",1,3)))</f>
        <v/>
      </c>
      <c r="L319" s="112">
        <f>IF(G319="","",IF(G319&lt;AsOf,"",G319))</f>
        <v/>
      </c>
      <c r="M319" s="79">
        <f>IF(L319="","",IF(L319&lt;=AsOf+AlertDays,2,IF(L319&lt;=AsOf+90,3,"")))</f>
        <v/>
      </c>
      <c r="N319" s="79">
        <f>IF(M319="","","Warranty expires in "&amp;H319&amp;" days: "&amp;B319&amp;IF(C319="",""," ("&amp;C319&amp;")")&amp;" — check for defects")</f>
        <v/>
      </c>
      <c r="P319" s="72" t="n"/>
      <c r="Q319" s="72" t="n"/>
      <c r="R319" s="89" t="n"/>
      <c r="S319" s="109" t="n"/>
      <c r="T319" s="126">
        <f>IF(OR(R319="",S319=""),"",DATE(YEAR(S319),MONTH(S319)+R319,DAY(S319)))</f>
        <v/>
      </c>
      <c r="U319" s="144">
        <f>IF(T319="","",T319-AsOf)</f>
        <v/>
      </c>
      <c r="V319" s="107">
        <f>IF(T319="",IF(P319="","","Enter last-done date"),IF(U319&lt;0,"Overdue",IF(U319&lt;=30,"Due soon","OK")))</f>
        <v/>
      </c>
      <c r="W319" s="79">
        <f>IF(T319="","",IF(U319&lt;0,2,IF(U319&lt;=30,1,0)))</f>
        <v/>
      </c>
      <c r="X319" s="112">
        <f>IF(T319="","",T319)</f>
        <v/>
      </c>
      <c r="Y319" s="79">
        <f>IF(X319="","",IF(X319&lt;=AsOf+AlertDays,2,IF(X319&lt;=AsOf+30,3,"")))</f>
        <v/>
      </c>
      <c r="Z319" s="79">
        <f>IF(Y319="","",IF(U319&lt;0,"Maintenance overdue: ","Maintenance due: ")&amp;P319)</f>
        <v/>
      </c>
    </row>
    <row r="320" ht="20" customHeight="1">
      <c r="B320" s="72" t="n"/>
      <c r="C320" s="72" t="n"/>
      <c r="D320" s="72" t="n"/>
      <c r="E320" s="109" t="n"/>
      <c r="F320" s="74" t="n"/>
      <c r="G320" s="126">
        <f>IF(OR(E320="",F320=""),"",DATE(YEAR(E320),MONTH(E320)+ROUND(F320*12,0),DAY(E320)))</f>
        <v/>
      </c>
      <c r="H320" s="144">
        <f>IF(G320="","",G320-AsOf)</f>
        <v/>
      </c>
      <c r="I320" s="107">
        <f>IF(G320="","",IF(H320&lt;0,"Expired",IF(H320&lt;=90,"Expires soon","Active")))</f>
        <v/>
      </c>
      <c r="J320" s="72" t="n"/>
      <c r="K320" s="79">
        <f>IF(I320="","",IF(I320="Active",0,IF(I320="Expires soon",1,3)))</f>
        <v/>
      </c>
      <c r="L320" s="112">
        <f>IF(G320="","",IF(G320&lt;AsOf,"",G320))</f>
        <v/>
      </c>
      <c r="M320" s="79">
        <f>IF(L320="","",IF(L320&lt;=AsOf+AlertDays,2,IF(L320&lt;=AsOf+90,3,"")))</f>
        <v/>
      </c>
      <c r="N320" s="79">
        <f>IF(M320="","","Warranty expires in "&amp;H320&amp;" days: "&amp;B320&amp;IF(C320="",""," ("&amp;C320&amp;")")&amp;" — check for defects")</f>
        <v/>
      </c>
      <c r="P320" s="72" t="n"/>
      <c r="Q320" s="72" t="n"/>
      <c r="R320" s="89" t="n"/>
      <c r="S320" s="109" t="n"/>
      <c r="T320" s="126">
        <f>IF(OR(R320="",S320=""),"",DATE(YEAR(S320),MONTH(S320)+R320,DAY(S320)))</f>
        <v/>
      </c>
      <c r="U320" s="144">
        <f>IF(T320="","",T320-AsOf)</f>
        <v/>
      </c>
      <c r="V320" s="107">
        <f>IF(T320="",IF(P320="","","Enter last-done date"),IF(U320&lt;0,"Overdue",IF(U320&lt;=30,"Due soon","OK")))</f>
        <v/>
      </c>
      <c r="W320" s="79">
        <f>IF(T320="","",IF(U320&lt;0,2,IF(U320&lt;=30,1,0)))</f>
        <v/>
      </c>
      <c r="X320" s="112">
        <f>IF(T320="","",T320)</f>
        <v/>
      </c>
      <c r="Y320" s="79">
        <f>IF(X320="","",IF(X320&lt;=AsOf+AlertDays,2,IF(X320&lt;=AsOf+30,3,"")))</f>
        <v/>
      </c>
      <c r="Z320" s="79">
        <f>IF(Y320="","",IF(U320&lt;0,"Maintenance overdue: ","Maintenance due: ")&amp;P320)</f>
        <v/>
      </c>
    </row>
    <row r="321" ht="20" customHeight="1">
      <c r="B321" s="72" t="n"/>
      <c r="C321" s="72" t="n"/>
      <c r="D321" s="72" t="n"/>
      <c r="E321" s="109" t="n"/>
      <c r="F321" s="74" t="n"/>
      <c r="G321" s="126">
        <f>IF(OR(E321="",F321=""),"",DATE(YEAR(E321),MONTH(E321)+ROUND(F321*12,0),DAY(E321)))</f>
        <v/>
      </c>
      <c r="H321" s="144">
        <f>IF(G321="","",G321-AsOf)</f>
        <v/>
      </c>
      <c r="I321" s="107">
        <f>IF(G321="","",IF(H321&lt;0,"Expired",IF(H321&lt;=90,"Expires soon","Active")))</f>
        <v/>
      </c>
      <c r="J321" s="72" t="n"/>
      <c r="K321" s="79">
        <f>IF(I321="","",IF(I321="Active",0,IF(I321="Expires soon",1,3)))</f>
        <v/>
      </c>
      <c r="L321" s="112">
        <f>IF(G321="","",IF(G321&lt;AsOf,"",G321))</f>
        <v/>
      </c>
      <c r="M321" s="79">
        <f>IF(L321="","",IF(L321&lt;=AsOf+AlertDays,2,IF(L321&lt;=AsOf+90,3,"")))</f>
        <v/>
      </c>
      <c r="N321" s="79">
        <f>IF(M321="","","Warranty expires in "&amp;H321&amp;" days: "&amp;B321&amp;IF(C321="",""," ("&amp;C321&amp;")")&amp;" — check for defects")</f>
        <v/>
      </c>
      <c r="P321" s="72" t="n"/>
      <c r="Q321" s="72" t="n"/>
      <c r="R321" s="89" t="n"/>
      <c r="S321" s="109" t="n"/>
      <c r="T321" s="126">
        <f>IF(OR(R321="",S321=""),"",DATE(YEAR(S321),MONTH(S321)+R321,DAY(S321)))</f>
        <v/>
      </c>
      <c r="U321" s="144">
        <f>IF(T321="","",T321-AsOf)</f>
        <v/>
      </c>
      <c r="V321" s="107">
        <f>IF(T321="",IF(P321="","","Enter last-done date"),IF(U321&lt;0,"Overdue",IF(U321&lt;=30,"Due soon","OK")))</f>
        <v/>
      </c>
      <c r="W321" s="79">
        <f>IF(T321="","",IF(U321&lt;0,2,IF(U321&lt;=30,1,0)))</f>
        <v/>
      </c>
      <c r="X321" s="112">
        <f>IF(T321="","",T321)</f>
        <v/>
      </c>
      <c r="Y321" s="79">
        <f>IF(X321="","",IF(X321&lt;=AsOf+AlertDays,2,IF(X321&lt;=AsOf+30,3,"")))</f>
        <v/>
      </c>
      <c r="Z321" s="79">
        <f>IF(Y321="","",IF(U321&lt;0,"Maintenance overdue: ","Maintenance due: ")&amp;P321)</f>
        <v/>
      </c>
    </row>
    <row r="322" ht="20" customHeight="1">
      <c r="B322" s="72" t="n"/>
      <c r="C322" s="72" t="n"/>
      <c r="D322" s="72" t="n"/>
      <c r="E322" s="109" t="n"/>
      <c r="F322" s="74" t="n"/>
      <c r="G322" s="126">
        <f>IF(OR(E322="",F322=""),"",DATE(YEAR(E322),MONTH(E322)+ROUND(F322*12,0),DAY(E322)))</f>
        <v/>
      </c>
      <c r="H322" s="144">
        <f>IF(G322="","",G322-AsOf)</f>
        <v/>
      </c>
      <c r="I322" s="107">
        <f>IF(G322="","",IF(H322&lt;0,"Expired",IF(H322&lt;=90,"Expires soon","Active")))</f>
        <v/>
      </c>
      <c r="J322" s="72" t="n"/>
      <c r="K322" s="79">
        <f>IF(I322="","",IF(I322="Active",0,IF(I322="Expires soon",1,3)))</f>
        <v/>
      </c>
      <c r="L322" s="112">
        <f>IF(G322="","",IF(G322&lt;AsOf,"",G322))</f>
        <v/>
      </c>
      <c r="M322" s="79">
        <f>IF(L322="","",IF(L322&lt;=AsOf+AlertDays,2,IF(L322&lt;=AsOf+90,3,"")))</f>
        <v/>
      </c>
      <c r="N322" s="79">
        <f>IF(M322="","","Warranty expires in "&amp;H322&amp;" days: "&amp;B322&amp;IF(C322="",""," ("&amp;C322&amp;")")&amp;" — check for defects")</f>
        <v/>
      </c>
      <c r="P322" s="72" t="n"/>
      <c r="Q322" s="72" t="n"/>
      <c r="R322" s="89" t="n"/>
      <c r="S322" s="109" t="n"/>
      <c r="T322" s="126">
        <f>IF(OR(R322="",S322=""),"",DATE(YEAR(S322),MONTH(S322)+R322,DAY(S322)))</f>
        <v/>
      </c>
      <c r="U322" s="144">
        <f>IF(T322="","",T322-AsOf)</f>
        <v/>
      </c>
      <c r="V322" s="107">
        <f>IF(T322="",IF(P322="","","Enter last-done date"),IF(U322&lt;0,"Overdue",IF(U322&lt;=30,"Due soon","OK")))</f>
        <v/>
      </c>
      <c r="W322" s="79">
        <f>IF(T322="","",IF(U322&lt;0,2,IF(U322&lt;=30,1,0)))</f>
        <v/>
      </c>
      <c r="X322" s="112">
        <f>IF(T322="","",T322)</f>
        <v/>
      </c>
      <c r="Y322" s="79">
        <f>IF(X322="","",IF(X322&lt;=AsOf+AlertDays,2,IF(X322&lt;=AsOf+30,3,"")))</f>
        <v/>
      </c>
      <c r="Z322" s="79">
        <f>IF(Y322="","",IF(U322&lt;0,"Maintenance overdue: ","Maintenance due: ")&amp;P322)</f>
        <v/>
      </c>
    </row>
    <row r="323" ht="20" customHeight="1">
      <c r="B323" s="72" t="n"/>
      <c r="C323" s="72" t="n"/>
      <c r="D323" s="72" t="n"/>
      <c r="E323" s="109" t="n"/>
      <c r="F323" s="74" t="n"/>
      <c r="G323" s="126">
        <f>IF(OR(E323="",F323=""),"",DATE(YEAR(E323),MONTH(E323)+ROUND(F323*12,0),DAY(E323)))</f>
        <v/>
      </c>
      <c r="H323" s="144">
        <f>IF(G323="","",G323-AsOf)</f>
        <v/>
      </c>
      <c r="I323" s="107">
        <f>IF(G323="","",IF(H323&lt;0,"Expired",IF(H323&lt;=90,"Expires soon","Active")))</f>
        <v/>
      </c>
      <c r="J323" s="72" t="n"/>
      <c r="K323" s="79">
        <f>IF(I323="","",IF(I323="Active",0,IF(I323="Expires soon",1,3)))</f>
        <v/>
      </c>
      <c r="L323" s="112">
        <f>IF(G323="","",IF(G323&lt;AsOf,"",G323))</f>
        <v/>
      </c>
      <c r="M323" s="79">
        <f>IF(L323="","",IF(L323&lt;=AsOf+AlertDays,2,IF(L323&lt;=AsOf+90,3,"")))</f>
        <v/>
      </c>
      <c r="N323" s="79">
        <f>IF(M323="","","Warranty expires in "&amp;H323&amp;" days: "&amp;B323&amp;IF(C323="",""," ("&amp;C323&amp;")")&amp;" — check for defects")</f>
        <v/>
      </c>
      <c r="P323" s="72" t="n"/>
      <c r="Q323" s="72" t="n"/>
      <c r="R323" s="89" t="n"/>
      <c r="S323" s="109" t="n"/>
      <c r="T323" s="126">
        <f>IF(OR(R323="",S323=""),"",DATE(YEAR(S323),MONTH(S323)+R323,DAY(S323)))</f>
        <v/>
      </c>
      <c r="U323" s="144">
        <f>IF(T323="","",T323-AsOf)</f>
        <v/>
      </c>
      <c r="V323" s="107">
        <f>IF(T323="",IF(P323="","","Enter last-done date"),IF(U323&lt;0,"Overdue",IF(U323&lt;=30,"Due soon","OK")))</f>
        <v/>
      </c>
      <c r="W323" s="79">
        <f>IF(T323="","",IF(U323&lt;0,2,IF(U323&lt;=30,1,0)))</f>
        <v/>
      </c>
      <c r="X323" s="112">
        <f>IF(T323="","",T323)</f>
        <v/>
      </c>
      <c r="Y323" s="79">
        <f>IF(X323="","",IF(X323&lt;=AsOf+AlertDays,2,IF(X323&lt;=AsOf+30,3,"")))</f>
        <v/>
      </c>
      <c r="Z323" s="79">
        <f>IF(Y323="","",IF(U323&lt;0,"Maintenance overdue: ","Maintenance due: ")&amp;P323)</f>
        <v/>
      </c>
    </row>
    <row r="324" ht="20" customHeight="1">
      <c r="B324" s="72" t="n"/>
      <c r="C324" s="72" t="n"/>
      <c r="D324" s="72" t="n"/>
      <c r="E324" s="109" t="n"/>
      <c r="F324" s="74" t="n"/>
      <c r="G324" s="126">
        <f>IF(OR(E324="",F324=""),"",DATE(YEAR(E324),MONTH(E324)+ROUND(F324*12,0),DAY(E324)))</f>
        <v/>
      </c>
      <c r="H324" s="144">
        <f>IF(G324="","",G324-AsOf)</f>
        <v/>
      </c>
      <c r="I324" s="107">
        <f>IF(G324="","",IF(H324&lt;0,"Expired",IF(H324&lt;=90,"Expires soon","Active")))</f>
        <v/>
      </c>
      <c r="J324" s="72" t="n"/>
      <c r="K324" s="79">
        <f>IF(I324="","",IF(I324="Active",0,IF(I324="Expires soon",1,3)))</f>
        <v/>
      </c>
      <c r="L324" s="112">
        <f>IF(G324="","",IF(G324&lt;AsOf,"",G324))</f>
        <v/>
      </c>
      <c r="M324" s="79">
        <f>IF(L324="","",IF(L324&lt;=AsOf+AlertDays,2,IF(L324&lt;=AsOf+90,3,"")))</f>
        <v/>
      </c>
      <c r="N324" s="79">
        <f>IF(M324="","","Warranty expires in "&amp;H324&amp;" days: "&amp;B324&amp;IF(C324="",""," ("&amp;C324&amp;")")&amp;" — check for defects")</f>
        <v/>
      </c>
      <c r="P324" s="72" t="n"/>
      <c r="Q324" s="72" t="n"/>
      <c r="R324" s="89" t="n"/>
      <c r="S324" s="109" t="n"/>
      <c r="T324" s="126">
        <f>IF(OR(R324="",S324=""),"",DATE(YEAR(S324),MONTH(S324)+R324,DAY(S324)))</f>
        <v/>
      </c>
      <c r="U324" s="144">
        <f>IF(T324="","",T324-AsOf)</f>
        <v/>
      </c>
      <c r="V324" s="107">
        <f>IF(T324="",IF(P324="","","Enter last-done date"),IF(U324&lt;0,"Overdue",IF(U324&lt;=30,"Due soon","OK")))</f>
        <v/>
      </c>
      <c r="W324" s="79">
        <f>IF(T324="","",IF(U324&lt;0,2,IF(U324&lt;=30,1,0)))</f>
        <v/>
      </c>
      <c r="X324" s="112">
        <f>IF(T324="","",T324)</f>
        <v/>
      </c>
      <c r="Y324" s="79">
        <f>IF(X324="","",IF(X324&lt;=AsOf+AlertDays,2,IF(X324&lt;=AsOf+30,3,"")))</f>
        <v/>
      </c>
      <c r="Z324" s="79">
        <f>IF(Y324="","",IF(U324&lt;0,"Maintenance overdue: ","Maintenance due: ")&amp;P324)</f>
        <v/>
      </c>
    </row>
    <row r="325" ht="20" customHeight="1">
      <c r="B325" s="72" t="n"/>
      <c r="C325" s="72" t="n"/>
      <c r="D325" s="72" t="n"/>
      <c r="E325" s="109" t="n"/>
      <c r="F325" s="74" t="n"/>
      <c r="G325" s="126">
        <f>IF(OR(E325="",F325=""),"",DATE(YEAR(E325),MONTH(E325)+ROUND(F325*12,0),DAY(E325)))</f>
        <v/>
      </c>
      <c r="H325" s="144">
        <f>IF(G325="","",G325-AsOf)</f>
        <v/>
      </c>
      <c r="I325" s="107">
        <f>IF(G325="","",IF(H325&lt;0,"Expired",IF(H325&lt;=90,"Expires soon","Active")))</f>
        <v/>
      </c>
      <c r="J325" s="72" t="n"/>
      <c r="K325" s="79">
        <f>IF(I325="","",IF(I325="Active",0,IF(I325="Expires soon",1,3)))</f>
        <v/>
      </c>
      <c r="L325" s="112">
        <f>IF(G325="","",IF(G325&lt;AsOf,"",G325))</f>
        <v/>
      </c>
      <c r="M325" s="79">
        <f>IF(L325="","",IF(L325&lt;=AsOf+AlertDays,2,IF(L325&lt;=AsOf+90,3,"")))</f>
        <v/>
      </c>
      <c r="N325" s="79">
        <f>IF(M325="","","Warranty expires in "&amp;H325&amp;" days: "&amp;B325&amp;IF(C325="",""," ("&amp;C325&amp;")")&amp;" — check for defects")</f>
        <v/>
      </c>
      <c r="P325" s="72" t="n"/>
      <c r="Q325" s="72" t="n"/>
      <c r="R325" s="89" t="n"/>
      <c r="S325" s="109" t="n"/>
      <c r="T325" s="126">
        <f>IF(OR(R325="",S325=""),"",DATE(YEAR(S325),MONTH(S325)+R325,DAY(S325)))</f>
        <v/>
      </c>
      <c r="U325" s="144">
        <f>IF(T325="","",T325-AsOf)</f>
        <v/>
      </c>
      <c r="V325" s="107">
        <f>IF(T325="",IF(P325="","","Enter last-done date"),IF(U325&lt;0,"Overdue",IF(U325&lt;=30,"Due soon","OK")))</f>
        <v/>
      </c>
      <c r="W325" s="79">
        <f>IF(T325="","",IF(U325&lt;0,2,IF(U325&lt;=30,1,0)))</f>
        <v/>
      </c>
      <c r="X325" s="112">
        <f>IF(T325="","",T325)</f>
        <v/>
      </c>
      <c r="Y325" s="79">
        <f>IF(X325="","",IF(X325&lt;=AsOf+AlertDays,2,IF(X325&lt;=AsOf+30,3,"")))</f>
        <v/>
      </c>
      <c r="Z325" s="79">
        <f>IF(Y325="","",IF(U325&lt;0,"Maintenance overdue: ","Maintenance due: ")&amp;P325)</f>
        <v/>
      </c>
    </row>
    <row r="326" ht="20" customHeight="1">
      <c r="B326" s="72" t="n"/>
      <c r="C326" s="72" t="n"/>
      <c r="D326" s="72" t="n"/>
      <c r="E326" s="109" t="n"/>
      <c r="F326" s="74" t="n"/>
      <c r="G326" s="126">
        <f>IF(OR(E326="",F326=""),"",DATE(YEAR(E326),MONTH(E326)+ROUND(F326*12,0),DAY(E326)))</f>
        <v/>
      </c>
      <c r="H326" s="144">
        <f>IF(G326="","",G326-AsOf)</f>
        <v/>
      </c>
      <c r="I326" s="107">
        <f>IF(G326="","",IF(H326&lt;0,"Expired",IF(H326&lt;=90,"Expires soon","Active")))</f>
        <v/>
      </c>
      <c r="J326" s="72" t="n"/>
      <c r="K326" s="79">
        <f>IF(I326="","",IF(I326="Active",0,IF(I326="Expires soon",1,3)))</f>
        <v/>
      </c>
      <c r="L326" s="112">
        <f>IF(G326="","",IF(G326&lt;AsOf,"",G326))</f>
        <v/>
      </c>
      <c r="M326" s="79">
        <f>IF(L326="","",IF(L326&lt;=AsOf+AlertDays,2,IF(L326&lt;=AsOf+90,3,"")))</f>
        <v/>
      </c>
      <c r="N326" s="79">
        <f>IF(M326="","","Warranty expires in "&amp;H326&amp;" days: "&amp;B326&amp;IF(C326="",""," ("&amp;C326&amp;")")&amp;" — check for defects")</f>
        <v/>
      </c>
      <c r="P326" s="72" t="n"/>
      <c r="Q326" s="72" t="n"/>
      <c r="R326" s="89" t="n"/>
      <c r="S326" s="109" t="n"/>
      <c r="T326" s="126">
        <f>IF(OR(R326="",S326=""),"",DATE(YEAR(S326),MONTH(S326)+R326,DAY(S326)))</f>
        <v/>
      </c>
      <c r="U326" s="144">
        <f>IF(T326="","",T326-AsOf)</f>
        <v/>
      </c>
      <c r="V326" s="107">
        <f>IF(T326="",IF(P326="","","Enter last-done date"),IF(U326&lt;0,"Overdue",IF(U326&lt;=30,"Due soon","OK")))</f>
        <v/>
      </c>
      <c r="W326" s="79">
        <f>IF(T326="","",IF(U326&lt;0,2,IF(U326&lt;=30,1,0)))</f>
        <v/>
      </c>
      <c r="X326" s="112">
        <f>IF(T326="","",T326)</f>
        <v/>
      </c>
      <c r="Y326" s="79">
        <f>IF(X326="","",IF(X326&lt;=AsOf+AlertDays,2,IF(X326&lt;=AsOf+30,3,"")))</f>
        <v/>
      </c>
      <c r="Z326" s="79">
        <f>IF(Y326="","",IF(U326&lt;0,"Maintenance overdue: ","Maintenance due: ")&amp;P326)</f>
        <v/>
      </c>
    </row>
    <row r="327" ht="20" customHeight="1">
      <c r="B327" s="72" t="n"/>
      <c r="C327" s="72" t="n"/>
      <c r="D327" s="72" t="n"/>
      <c r="E327" s="109" t="n"/>
      <c r="F327" s="74" t="n"/>
      <c r="G327" s="126">
        <f>IF(OR(E327="",F327=""),"",DATE(YEAR(E327),MONTH(E327)+ROUND(F327*12,0),DAY(E327)))</f>
        <v/>
      </c>
      <c r="H327" s="144">
        <f>IF(G327="","",G327-AsOf)</f>
        <v/>
      </c>
      <c r="I327" s="107">
        <f>IF(G327="","",IF(H327&lt;0,"Expired",IF(H327&lt;=90,"Expires soon","Active")))</f>
        <v/>
      </c>
      <c r="J327" s="72" t="n"/>
      <c r="K327" s="79">
        <f>IF(I327="","",IF(I327="Active",0,IF(I327="Expires soon",1,3)))</f>
        <v/>
      </c>
      <c r="L327" s="112">
        <f>IF(G327="","",IF(G327&lt;AsOf,"",G327))</f>
        <v/>
      </c>
      <c r="M327" s="79">
        <f>IF(L327="","",IF(L327&lt;=AsOf+AlertDays,2,IF(L327&lt;=AsOf+90,3,"")))</f>
        <v/>
      </c>
      <c r="N327" s="79">
        <f>IF(M327="","","Warranty expires in "&amp;H327&amp;" days: "&amp;B327&amp;IF(C327="",""," ("&amp;C327&amp;")")&amp;" — check for defects")</f>
        <v/>
      </c>
      <c r="P327" s="72" t="n"/>
      <c r="Q327" s="72" t="n"/>
      <c r="R327" s="89" t="n"/>
      <c r="S327" s="109" t="n"/>
      <c r="T327" s="126">
        <f>IF(OR(R327="",S327=""),"",DATE(YEAR(S327),MONTH(S327)+R327,DAY(S327)))</f>
        <v/>
      </c>
      <c r="U327" s="144">
        <f>IF(T327="","",T327-AsOf)</f>
        <v/>
      </c>
      <c r="V327" s="107">
        <f>IF(T327="",IF(P327="","","Enter last-done date"),IF(U327&lt;0,"Overdue",IF(U327&lt;=30,"Due soon","OK")))</f>
        <v/>
      </c>
      <c r="W327" s="79">
        <f>IF(T327="","",IF(U327&lt;0,2,IF(U327&lt;=30,1,0)))</f>
        <v/>
      </c>
      <c r="X327" s="112">
        <f>IF(T327="","",T327)</f>
        <v/>
      </c>
      <c r="Y327" s="79">
        <f>IF(X327="","",IF(X327&lt;=AsOf+AlertDays,2,IF(X327&lt;=AsOf+30,3,"")))</f>
        <v/>
      </c>
      <c r="Z327" s="79">
        <f>IF(Y327="","",IF(U327&lt;0,"Maintenance overdue: ","Maintenance due: ")&amp;P327)</f>
        <v/>
      </c>
    </row>
    <row r="328" ht="20" customHeight="1">
      <c r="B328" s="72" t="n"/>
      <c r="C328" s="72" t="n"/>
      <c r="D328" s="72" t="n"/>
      <c r="E328" s="109" t="n"/>
      <c r="F328" s="74" t="n"/>
      <c r="G328" s="126">
        <f>IF(OR(E328="",F328=""),"",DATE(YEAR(E328),MONTH(E328)+ROUND(F328*12,0),DAY(E328)))</f>
        <v/>
      </c>
      <c r="H328" s="144">
        <f>IF(G328="","",G328-AsOf)</f>
        <v/>
      </c>
      <c r="I328" s="107">
        <f>IF(G328="","",IF(H328&lt;0,"Expired",IF(H328&lt;=90,"Expires soon","Active")))</f>
        <v/>
      </c>
      <c r="J328" s="72" t="n"/>
      <c r="K328" s="79">
        <f>IF(I328="","",IF(I328="Active",0,IF(I328="Expires soon",1,3)))</f>
        <v/>
      </c>
      <c r="L328" s="112">
        <f>IF(G328="","",IF(G328&lt;AsOf,"",G328))</f>
        <v/>
      </c>
      <c r="M328" s="79">
        <f>IF(L328="","",IF(L328&lt;=AsOf+AlertDays,2,IF(L328&lt;=AsOf+90,3,"")))</f>
        <v/>
      </c>
      <c r="N328" s="79">
        <f>IF(M328="","","Warranty expires in "&amp;H328&amp;" days: "&amp;B328&amp;IF(C328="",""," ("&amp;C328&amp;")")&amp;" — check for defects")</f>
        <v/>
      </c>
      <c r="P328" s="72" t="n"/>
      <c r="Q328" s="72" t="n"/>
      <c r="R328" s="89" t="n"/>
      <c r="S328" s="109" t="n"/>
      <c r="T328" s="126">
        <f>IF(OR(R328="",S328=""),"",DATE(YEAR(S328),MONTH(S328)+R328,DAY(S328)))</f>
        <v/>
      </c>
      <c r="U328" s="144">
        <f>IF(T328="","",T328-AsOf)</f>
        <v/>
      </c>
      <c r="V328" s="107">
        <f>IF(T328="",IF(P328="","","Enter last-done date"),IF(U328&lt;0,"Overdue",IF(U328&lt;=30,"Due soon","OK")))</f>
        <v/>
      </c>
      <c r="W328" s="79">
        <f>IF(T328="","",IF(U328&lt;0,2,IF(U328&lt;=30,1,0)))</f>
        <v/>
      </c>
      <c r="X328" s="112">
        <f>IF(T328="","",T328)</f>
        <v/>
      </c>
      <c r="Y328" s="79">
        <f>IF(X328="","",IF(X328&lt;=AsOf+AlertDays,2,IF(X328&lt;=AsOf+30,3,"")))</f>
        <v/>
      </c>
      <c r="Z328" s="79">
        <f>IF(Y328="","",IF(U328&lt;0,"Maintenance overdue: ","Maintenance due: ")&amp;P328)</f>
        <v/>
      </c>
    </row>
    <row r="329" ht="20" customHeight="1">
      <c r="B329" s="72" t="n"/>
      <c r="C329" s="72" t="n"/>
      <c r="D329" s="72" t="n"/>
      <c r="E329" s="109" t="n"/>
      <c r="F329" s="74" t="n"/>
      <c r="G329" s="126">
        <f>IF(OR(E329="",F329=""),"",DATE(YEAR(E329),MONTH(E329)+ROUND(F329*12,0),DAY(E329)))</f>
        <v/>
      </c>
      <c r="H329" s="144">
        <f>IF(G329="","",G329-AsOf)</f>
        <v/>
      </c>
      <c r="I329" s="107">
        <f>IF(G329="","",IF(H329&lt;0,"Expired",IF(H329&lt;=90,"Expires soon","Active")))</f>
        <v/>
      </c>
      <c r="J329" s="72" t="n"/>
      <c r="K329" s="79">
        <f>IF(I329="","",IF(I329="Active",0,IF(I329="Expires soon",1,3)))</f>
        <v/>
      </c>
      <c r="L329" s="112">
        <f>IF(G329="","",IF(G329&lt;AsOf,"",G329))</f>
        <v/>
      </c>
      <c r="M329" s="79">
        <f>IF(L329="","",IF(L329&lt;=AsOf+AlertDays,2,IF(L329&lt;=AsOf+90,3,"")))</f>
        <v/>
      </c>
      <c r="N329" s="79">
        <f>IF(M329="","","Warranty expires in "&amp;H329&amp;" days: "&amp;B329&amp;IF(C329="",""," ("&amp;C329&amp;")")&amp;" — check for defects")</f>
        <v/>
      </c>
      <c r="P329" s="72" t="n"/>
      <c r="Q329" s="72" t="n"/>
      <c r="R329" s="89" t="n"/>
      <c r="S329" s="109" t="n"/>
      <c r="T329" s="126">
        <f>IF(OR(R329="",S329=""),"",DATE(YEAR(S329),MONTH(S329)+R329,DAY(S329)))</f>
        <v/>
      </c>
      <c r="U329" s="144">
        <f>IF(T329="","",T329-AsOf)</f>
        <v/>
      </c>
      <c r="V329" s="107">
        <f>IF(T329="",IF(P329="","","Enter last-done date"),IF(U329&lt;0,"Overdue",IF(U329&lt;=30,"Due soon","OK")))</f>
        <v/>
      </c>
      <c r="W329" s="79">
        <f>IF(T329="","",IF(U329&lt;0,2,IF(U329&lt;=30,1,0)))</f>
        <v/>
      </c>
      <c r="X329" s="112">
        <f>IF(T329="","",T329)</f>
        <v/>
      </c>
      <c r="Y329" s="79">
        <f>IF(X329="","",IF(X329&lt;=AsOf+AlertDays,2,IF(X329&lt;=AsOf+30,3,"")))</f>
        <v/>
      </c>
      <c r="Z329" s="79">
        <f>IF(Y329="","",IF(U329&lt;0,"Maintenance overdue: ","Maintenance due: ")&amp;P329)</f>
        <v/>
      </c>
    </row>
    <row r="330" ht="20" customHeight="1">
      <c r="B330" s="72" t="n"/>
      <c r="C330" s="72" t="n"/>
      <c r="D330" s="72" t="n"/>
      <c r="E330" s="109" t="n"/>
      <c r="F330" s="74" t="n"/>
      <c r="G330" s="126">
        <f>IF(OR(E330="",F330=""),"",DATE(YEAR(E330),MONTH(E330)+ROUND(F330*12,0),DAY(E330)))</f>
        <v/>
      </c>
      <c r="H330" s="144">
        <f>IF(G330="","",G330-AsOf)</f>
        <v/>
      </c>
      <c r="I330" s="107">
        <f>IF(G330="","",IF(H330&lt;0,"Expired",IF(H330&lt;=90,"Expires soon","Active")))</f>
        <v/>
      </c>
      <c r="J330" s="72" t="n"/>
      <c r="K330" s="79">
        <f>IF(I330="","",IF(I330="Active",0,IF(I330="Expires soon",1,3)))</f>
        <v/>
      </c>
      <c r="L330" s="112">
        <f>IF(G330="","",IF(G330&lt;AsOf,"",G330))</f>
        <v/>
      </c>
      <c r="M330" s="79">
        <f>IF(L330="","",IF(L330&lt;=AsOf+AlertDays,2,IF(L330&lt;=AsOf+90,3,"")))</f>
        <v/>
      </c>
      <c r="N330" s="79">
        <f>IF(M330="","","Warranty expires in "&amp;H330&amp;" days: "&amp;B330&amp;IF(C330="",""," ("&amp;C330&amp;")")&amp;" — check for defects")</f>
        <v/>
      </c>
      <c r="P330" s="72" t="n"/>
      <c r="Q330" s="72" t="n"/>
      <c r="R330" s="89" t="n"/>
      <c r="S330" s="109" t="n"/>
      <c r="T330" s="126">
        <f>IF(OR(R330="",S330=""),"",DATE(YEAR(S330),MONTH(S330)+R330,DAY(S330)))</f>
        <v/>
      </c>
      <c r="U330" s="144">
        <f>IF(T330="","",T330-AsOf)</f>
        <v/>
      </c>
      <c r="V330" s="107">
        <f>IF(T330="",IF(P330="","","Enter last-done date"),IF(U330&lt;0,"Overdue",IF(U330&lt;=30,"Due soon","OK")))</f>
        <v/>
      </c>
      <c r="W330" s="79">
        <f>IF(T330="","",IF(U330&lt;0,2,IF(U330&lt;=30,1,0)))</f>
        <v/>
      </c>
      <c r="X330" s="112">
        <f>IF(T330="","",T330)</f>
        <v/>
      </c>
      <c r="Y330" s="79">
        <f>IF(X330="","",IF(X330&lt;=AsOf+AlertDays,2,IF(X330&lt;=AsOf+30,3,"")))</f>
        <v/>
      </c>
      <c r="Z330" s="79">
        <f>IF(Y330="","",IF(U330&lt;0,"Maintenance overdue: ","Maintenance due: ")&amp;P330)</f>
        <v/>
      </c>
    </row>
    <row r="331" ht="20" customHeight="1">
      <c r="B331" s="72" t="n"/>
      <c r="C331" s="72" t="n"/>
      <c r="D331" s="72" t="n"/>
      <c r="E331" s="109" t="n"/>
      <c r="F331" s="74" t="n"/>
      <c r="G331" s="126">
        <f>IF(OR(E331="",F331=""),"",DATE(YEAR(E331),MONTH(E331)+ROUND(F331*12,0),DAY(E331)))</f>
        <v/>
      </c>
      <c r="H331" s="144">
        <f>IF(G331="","",G331-AsOf)</f>
        <v/>
      </c>
      <c r="I331" s="107">
        <f>IF(G331="","",IF(H331&lt;0,"Expired",IF(H331&lt;=90,"Expires soon","Active")))</f>
        <v/>
      </c>
      <c r="J331" s="72" t="n"/>
      <c r="K331" s="79">
        <f>IF(I331="","",IF(I331="Active",0,IF(I331="Expires soon",1,3)))</f>
        <v/>
      </c>
      <c r="L331" s="112">
        <f>IF(G331="","",IF(G331&lt;AsOf,"",G331))</f>
        <v/>
      </c>
      <c r="M331" s="79">
        <f>IF(L331="","",IF(L331&lt;=AsOf+AlertDays,2,IF(L331&lt;=AsOf+90,3,"")))</f>
        <v/>
      </c>
      <c r="N331" s="79">
        <f>IF(M331="","","Warranty expires in "&amp;H331&amp;" days: "&amp;B331&amp;IF(C331="",""," ("&amp;C331&amp;")")&amp;" — check for defects")</f>
        <v/>
      </c>
      <c r="P331" s="72" t="n"/>
      <c r="Q331" s="72" t="n"/>
      <c r="R331" s="89" t="n"/>
      <c r="S331" s="109" t="n"/>
      <c r="T331" s="126">
        <f>IF(OR(R331="",S331=""),"",DATE(YEAR(S331),MONTH(S331)+R331,DAY(S331)))</f>
        <v/>
      </c>
      <c r="U331" s="144">
        <f>IF(T331="","",T331-AsOf)</f>
        <v/>
      </c>
      <c r="V331" s="107">
        <f>IF(T331="",IF(P331="","","Enter last-done date"),IF(U331&lt;0,"Overdue",IF(U331&lt;=30,"Due soon","OK")))</f>
        <v/>
      </c>
      <c r="W331" s="79">
        <f>IF(T331="","",IF(U331&lt;0,2,IF(U331&lt;=30,1,0)))</f>
        <v/>
      </c>
      <c r="X331" s="112">
        <f>IF(T331="","",T331)</f>
        <v/>
      </c>
      <c r="Y331" s="79">
        <f>IF(X331="","",IF(X331&lt;=AsOf+AlertDays,2,IF(X331&lt;=AsOf+30,3,"")))</f>
        <v/>
      </c>
      <c r="Z331" s="79">
        <f>IF(Y331="","",IF(U331&lt;0,"Maintenance overdue: ","Maintenance due: ")&amp;P331)</f>
        <v/>
      </c>
    </row>
    <row r="332" ht="20" customHeight="1">
      <c r="B332" s="72" t="n"/>
      <c r="C332" s="72" t="n"/>
      <c r="D332" s="72" t="n"/>
      <c r="E332" s="109" t="n"/>
      <c r="F332" s="74" t="n"/>
      <c r="G332" s="126">
        <f>IF(OR(E332="",F332=""),"",DATE(YEAR(E332),MONTH(E332)+ROUND(F332*12,0),DAY(E332)))</f>
        <v/>
      </c>
      <c r="H332" s="144">
        <f>IF(G332="","",G332-AsOf)</f>
        <v/>
      </c>
      <c r="I332" s="107">
        <f>IF(G332="","",IF(H332&lt;0,"Expired",IF(H332&lt;=90,"Expires soon","Active")))</f>
        <v/>
      </c>
      <c r="J332" s="72" t="n"/>
      <c r="K332" s="79">
        <f>IF(I332="","",IF(I332="Active",0,IF(I332="Expires soon",1,3)))</f>
        <v/>
      </c>
      <c r="L332" s="112">
        <f>IF(G332="","",IF(G332&lt;AsOf,"",G332))</f>
        <v/>
      </c>
      <c r="M332" s="79">
        <f>IF(L332="","",IF(L332&lt;=AsOf+AlertDays,2,IF(L332&lt;=AsOf+90,3,"")))</f>
        <v/>
      </c>
      <c r="N332" s="79">
        <f>IF(M332="","","Warranty expires in "&amp;H332&amp;" days: "&amp;B332&amp;IF(C332="",""," ("&amp;C332&amp;")")&amp;" — check for defects")</f>
        <v/>
      </c>
      <c r="P332" s="72" t="n"/>
      <c r="Q332" s="72" t="n"/>
      <c r="R332" s="89" t="n"/>
      <c r="S332" s="109" t="n"/>
      <c r="T332" s="126">
        <f>IF(OR(R332="",S332=""),"",DATE(YEAR(S332),MONTH(S332)+R332,DAY(S332)))</f>
        <v/>
      </c>
      <c r="U332" s="144">
        <f>IF(T332="","",T332-AsOf)</f>
        <v/>
      </c>
      <c r="V332" s="107">
        <f>IF(T332="",IF(P332="","","Enter last-done date"),IF(U332&lt;0,"Overdue",IF(U332&lt;=30,"Due soon","OK")))</f>
        <v/>
      </c>
      <c r="W332" s="79">
        <f>IF(T332="","",IF(U332&lt;0,2,IF(U332&lt;=30,1,0)))</f>
        <v/>
      </c>
      <c r="X332" s="112">
        <f>IF(T332="","",T332)</f>
        <v/>
      </c>
      <c r="Y332" s="79">
        <f>IF(X332="","",IF(X332&lt;=AsOf+AlertDays,2,IF(X332&lt;=AsOf+30,3,"")))</f>
        <v/>
      </c>
      <c r="Z332" s="79">
        <f>IF(Y332="","",IF(U332&lt;0,"Maintenance overdue: ","Maintenance due: ")&amp;P332)</f>
        <v/>
      </c>
    </row>
    <row r="333" ht="20" customHeight="1">
      <c r="B333" s="72" t="n"/>
      <c r="C333" s="72" t="n"/>
      <c r="D333" s="72" t="n"/>
      <c r="E333" s="109" t="n"/>
      <c r="F333" s="74" t="n"/>
      <c r="G333" s="126">
        <f>IF(OR(E333="",F333=""),"",DATE(YEAR(E333),MONTH(E333)+ROUND(F333*12,0),DAY(E333)))</f>
        <v/>
      </c>
      <c r="H333" s="144">
        <f>IF(G333="","",G333-AsOf)</f>
        <v/>
      </c>
      <c r="I333" s="107">
        <f>IF(G333="","",IF(H333&lt;0,"Expired",IF(H333&lt;=90,"Expires soon","Active")))</f>
        <v/>
      </c>
      <c r="J333" s="72" t="n"/>
      <c r="K333" s="79">
        <f>IF(I333="","",IF(I333="Active",0,IF(I333="Expires soon",1,3)))</f>
        <v/>
      </c>
      <c r="L333" s="112">
        <f>IF(G333="","",IF(G333&lt;AsOf,"",G333))</f>
        <v/>
      </c>
      <c r="M333" s="79">
        <f>IF(L333="","",IF(L333&lt;=AsOf+AlertDays,2,IF(L333&lt;=AsOf+90,3,"")))</f>
        <v/>
      </c>
      <c r="N333" s="79">
        <f>IF(M333="","","Warranty expires in "&amp;H333&amp;" days: "&amp;B333&amp;IF(C333="",""," ("&amp;C333&amp;")")&amp;" — check for defects")</f>
        <v/>
      </c>
      <c r="P333" s="72" t="n"/>
      <c r="Q333" s="72" t="n"/>
      <c r="R333" s="89" t="n"/>
      <c r="S333" s="109" t="n"/>
      <c r="T333" s="126">
        <f>IF(OR(R333="",S333=""),"",DATE(YEAR(S333),MONTH(S333)+R333,DAY(S333)))</f>
        <v/>
      </c>
      <c r="U333" s="144">
        <f>IF(T333="","",T333-AsOf)</f>
        <v/>
      </c>
      <c r="V333" s="107">
        <f>IF(T333="",IF(P333="","","Enter last-done date"),IF(U333&lt;0,"Overdue",IF(U333&lt;=30,"Due soon","OK")))</f>
        <v/>
      </c>
      <c r="W333" s="79">
        <f>IF(T333="","",IF(U333&lt;0,2,IF(U333&lt;=30,1,0)))</f>
        <v/>
      </c>
      <c r="X333" s="112">
        <f>IF(T333="","",T333)</f>
        <v/>
      </c>
      <c r="Y333" s="79">
        <f>IF(X333="","",IF(X333&lt;=AsOf+AlertDays,2,IF(X333&lt;=AsOf+30,3,"")))</f>
        <v/>
      </c>
      <c r="Z333" s="79">
        <f>IF(Y333="","",IF(U333&lt;0,"Maintenance overdue: ","Maintenance due: ")&amp;P333)</f>
        <v/>
      </c>
    </row>
    <row r="334" ht="20" customHeight="1">
      <c r="B334" s="72" t="n"/>
      <c r="C334" s="72" t="n"/>
      <c r="D334" s="72" t="n"/>
      <c r="E334" s="109" t="n"/>
      <c r="F334" s="74" t="n"/>
      <c r="G334" s="126">
        <f>IF(OR(E334="",F334=""),"",DATE(YEAR(E334),MONTH(E334)+ROUND(F334*12,0),DAY(E334)))</f>
        <v/>
      </c>
      <c r="H334" s="144">
        <f>IF(G334="","",G334-AsOf)</f>
        <v/>
      </c>
      <c r="I334" s="107">
        <f>IF(G334="","",IF(H334&lt;0,"Expired",IF(H334&lt;=90,"Expires soon","Active")))</f>
        <v/>
      </c>
      <c r="J334" s="72" t="n"/>
      <c r="K334" s="79">
        <f>IF(I334="","",IF(I334="Active",0,IF(I334="Expires soon",1,3)))</f>
        <v/>
      </c>
      <c r="L334" s="112">
        <f>IF(G334="","",IF(G334&lt;AsOf,"",G334))</f>
        <v/>
      </c>
      <c r="M334" s="79">
        <f>IF(L334="","",IF(L334&lt;=AsOf+AlertDays,2,IF(L334&lt;=AsOf+90,3,"")))</f>
        <v/>
      </c>
      <c r="N334" s="79">
        <f>IF(M334="","","Warranty expires in "&amp;H334&amp;" days: "&amp;B334&amp;IF(C334="",""," ("&amp;C334&amp;")")&amp;" — check for defects")</f>
        <v/>
      </c>
      <c r="P334" s="72" t="n"/>
      <c r="Q334" s="72" t="n"/>
      <c r="R334" s="89" t="n"/>
      <c r="S334" s="109" t="n"/>
      <c r="T334" s="126">
        <f>IF(OR(R334="",S334=""),"",DATE(YEAR(S334),MONTH(S334)+R334,DAY(S334)))</f>
        <v/>
      </c>
      <c r="U334" s="144">
        <f>IF(T334="","",T334-AsOf)</f>
        <v/>
      </c>
      <c r="V334" s="107">
        <f>IF(T334="",IF(P334="","","Enter last-done date"),IF(U334&lt;0,"Overdue",IF(U334&lt;=30,"Due soon","OK")))</f>
        <v/>
      </c>
      <c r="W334" s="79">
        <f>IF(T334="","",IF(U334&lt;0,2,IF(U334&lt;=30,1,0)))</f>
        <v/>
      </c>
      <c r="X334" s="112">
        <f>IF(T334="","",T334)</f>
        <v/>
      </c>
      <c r="Y334" s="79">
        <f>IF(X334="","",IF(X334&lt;=AsOf+AlertDays,2,IF(X334&lt;=AsOf+30,3,"")))</f>
        <v/>
      </c>
      <c r="Z334" s="79">
        <f>IF(Y334="","",IF(U334&lt;0,"Maintenance overdue: ","Maintenance due: ")&amp;P334)</f>
        <v/>
      </c>
    </row>
    <row r="335" ht="20" customHeight="1">
      <c r="B335" s="72" t="n"/>
      <c r="C335" s="72" t="n"/>
      <c r="D335" s="72" t="n"/>
      <c r="E335" s="109" t="n"/>
      <c r="F335" s="74" t="n"/>
      <c r="G335" s="126">
        <f>IF(OR(E335="",F335=""),"",DATE(YEAR(E335),MONTH(E335)+ROUND(F335*12,0),DAY(E335)))</f>
        <v/>
      </c>
      <c r="H335" s="144">
        <f>IF(G335="","",G335-AsOf)</f>
        <v/>
      </c>
      <c r="I335" s="107">
        <f>IF(G335="","",IF(H335&lt;0,"Expired",IF(H335&lt;=90,"Expires soon","Active")))</f>
        <v/>
      </c>
      <c r="J335" s="72" t="n"/>
      <c r="K335" s="79">
        <f>IF(I335="","",IF(I335="Active",0,IF(I335="Expires soon",1,3)))</f>
        <v/>
      </c>
      <c r="L335" s="112">
        <f>IF(G335="","",IF(G335&lt;AsOf,"",G335))</f>
        <v/>
      </c>
      <c r="M335" s="79">
        <f>IF(L335="","",IF(L335&lt;=AsOf+AlertDays,2,IF(L335&lt;=AsOf+90,3,"")))</f>
        <v/>
      </c>
      <c r="N335" s="79">
        <f>IF(M335="","","Warranty expires in "&amp;H335&amp;" days: "&amp;B335&amp;IF(C335="",""," ("&amp;C335&amp;")")&amp;" — check for defects")</f>
        <v/>
      </c>
      <c r="P335" s="72" t="n"/>
      <c r="Q335" s="72" t="n"/>
      <c r="R335" s="89" t="n"/>
      <c r="S335" s="109" t="n"/>
      <c r="T335" s="126">
        <f>IF(OR(R335="",S335=""),"",DATE(YEAR(S335),MONTH(S335)+R335,DAY(S335)))</f>
        <v/>
      </c>
      <c r="U335" s="144">
        <f>IF(T335="","",T335-AsOf)</f>
        <v/>
      </c>
      <c r="V335" s="107">
        <f>IF(T335="",IF(P335="","","Enter last-done date"),IF(U335&lt;0,"Overdue",IF(U335&lt;=30,"Due soon","OK")))</f>
        <v/>
      </c>
      <c r="W335" s="79">
        <f>IF(T335="","",IF(U335&lt;0,2,IF(U335&lt;=30,1,0)))</f>
        <v/>
      </c>
      <c r="X335" s="112">
        <f>IF(T335="","",T335)</f>
        <v/>
      </c>
      <c r="Y335" s="79">
        <f>IF(X335="","",IF(X335&lt;=AsOf+AlertDays,2,IF(X335&lt;=AsOf+30,3,"")))</f>
        <v/>
      </c>
      <c r="Z335" s="79">
        <f>IF(Y335="","",IF(U335&lt;0,"Maintenance overdue: ","Maintenance due: ")&amp;P335)</f>
        <v/>
      </c>
    </row>
    <row r="336" ht="20" customHeight="1">
      <c r="B336" s="72" t="n"/>
      <c r="C336" s="72" t="n"/>
      <c r="D336" s="72" t="n"/>
      <c r="E336" s="109" t="n"/>
      <c r="F336" s="74" t="n"/>
      <c r="G336" s="126">
        <f>IF(OR(E336="",F336=""),"",DATE(YEAR(E336),MONTH(E336)+ROUND(F336*12,0),DAY(E336)))</f>
        <v/>
      </c>
      <c r="H336" s="144">
        <f>IF(G336="","",G336-AsOf)</f>
        <v/>
      </c>
      <c r="I336" s="107">
        <f>IF(G336="","",IF(H336&lt;0,"Expired",IF(H336&lt;=90,"Expires soon","Active")))</f>
        <v/>
      </c>
      <c r="J336" s="72" t="n"/>
      <c r="K336" s="79">
        <f>IF(I336="","",IF(I336="Active",0,IF(I336="Expires soon",1,3)))</f>
        <v/>
      </c>
      <c r="L336" s="112">
        <f>IF(G336="","",IF(G336&lt;AsOf,"",G336))</f>
        <v/>
      </c>
      <c r="M336" s="79">
        <f>IF(L336="","",IF(L336&lt;=AsOf+AlertDays,2,IF(L336&lt;=AsOf+90,3,"")))</f>
        <v/>
      </c>
      <c r="N336" s="79">
        <f>IF(M336="","","Warranty expires in "&amp;H336&amp;" days: "&amp;B336&amp;IF(C336="",""," ("&amp;C336&amp;")")&amp;" — check for defects")</f>
        <v/>
      </c>
      <c r="P336" s="72" t="n"/>
      <c r="Q336" s="72" t="n"/>
      <c r="R336" s="89" t="n"/>
      <c r="S336" s="109" t="n"/>
      <c r="T336" s="126">
        <f>IF(OR(R336="",S336=""),"",DATE(YEAR(S336),MONTH(S336)+R336,DAY(S336)))</f>
        <v/>
      </c>
      <c r="U336" s="144">
        <f>IF(T336="","",T336-AsOf)</f>
        <v/>
      </c>
      <c r="V336" s="107">
        <f>IF(T336="",IF(P336="","","Enter last-done date"),IF(U336&lt;0,"Overdue",IF(U336&lt;=30,"Due soon","OK")))</f>
        <v/>
      </c>
      <c r="W336" s="79">
        <f>IF(T336="","",IF(U336&lt;0,2,IF(U336&lt;=30,1,0)))</f>
        <v/>
      </c>
      <c r="X336" s="112">
        <f>IF(T336="","",T336)</f>
        <v/>
      </c>
      <c r="Y336" s="79">
        <f>IF(X336="","",IF(X336&lt;=AsOf+AlertDays,2,IF(X336&lt;=AsOf+30,3,"")))</f>
        <v/>
      </c>
      <c r="Z336" s="79">
        <f>IF(Y336="","",IF(U336&lt;0,"Maintenance overdue: ","Maintenance due: ")&amp;P336)</f>
        <v/>
      </c>
    </row>
    <row r="337" ht="20" customHeight="1">
      <c r="B337" s="72" t="n"/>
      <c r="C337" s="72" t="n"/>
      <c r="D337" s="72" t="n"/>
      <c r="E337" s="109" t="n"/>
      <c r="F337" s="74" t="n"/>
      <c r="G337" s="126">
        <f>IF(OR(E337="",F337=""),"",DATE(YEAR(E337),MONTH(E337)+ROUND(F337*12,0),DAY(E337)))</f>
        <v/>
      </c>
      <c r="H337" s="144">
        <f>IF(G337="","",G337-AsOf)</f>
        <v/>
      </c>
      <c r="I337" s="107">
        <f>IF(G337="","",IF(H337&lt;0,"Expired",IF(H337&lt;=90,"Expires soon","Active")))</f>
        <v/>
      </c>
      <c r="J337" s="72" t="n"/>
      <c r="K337" s="79">
        <f>IF(I337="","",IF(I337="Active",0,IF(I337="Expires soon",1,3)))</f>
        <v/>
      </c>
      <c r="L337" s="112">
        <f>IF(G337="","",IF(G337&lt;AsOf,"",G337))</f>
        <v/>
      </c>
      <c r="M337" s="79">
        <f>IF(L337="","",IF(L337&lt;=AsOf+AlertDays,2,IF(L337&lt;=AsOf+90,3,"")))</f>
        <v/>
      </c>
      <c r="N337" s="79">
        <f>IF(M337="","","Warranty expires in "&amp;H337&amp;" days: "&amp;B337&amp;IF(C337="",""," ("&amp;C337&amp;")")&amp;" — check for defects")</f>
        <v/>
      </c>
      <c r="P337" s="72" t="n"/>
      <c r="Q337" s="72" t="n"/>
      <c r="R337" s="89" t="n"/>
      <c r="S337" s="109" t="n"/>
      <c r="T337" s="126">
        <f>IF(OR(R337="",S337=""),"",DATE(YEAR(S337),MONTH(S337)+R337,DAY(S337)))</f>
        <v/>
      </c>
      <c r="U337" s="144">
        <f>IF(T337="","",T337-AsOf)</f>
        <v/>
      </c>
      <c r="V337" s="107">
        <f>IF(T337="",IF(P337="","","Enter last-done date"),IF(U337&lt;0,"Overdue",IF(U337&lt;=30,"Due soon","OK")))</f>
        <v/>
      </c>
      <c r="W337" s="79">
        <f>IF(T337="","",IF(U337&lt;0,2,IF(U337&lt;=30,1,0)))</f>
        <v/>
      </c>
      <c r="X337" s="112">
        <f>IF(T337="","",T337)</f>
        <v/>
      </c>
      <c r="Y337" s="79">
        <f>IF(X337="","",IF(X337&lt;=AsOf+AlertDays,2,IF(X337&lt;=AsOf+30,3,"")))</f>
        <v/>
      </c>
      <c r="Z337" s="79">
        <f>IF(Y337="","",IF(U337&lt;0,"Maintenance overdue: ","Maintenance due: ")&amp;P337)</f>
        <v/>
      </c>
    </row>
    <row r="338" ht="20" customHeight="1">
      <c r="B338" s="72" t="n"/>
      <c r="C338" s="72" t="n"/>
      <c r="D338" s="72" t="n"/>
      <c r="E338" s="109" t="n"/>
      <c r="F338" s="74" t="n"/>
      <c r="G338" s="126">
        <f>IF(OR(E338="",F338=""),"",DATE(YEAR(E338),MONTH(E338)+ROUND(F338*12,0),DAY(E338)))</f>
        <v/>
      </c>
      <c r="H338" s="144">
        <f>IF(G338="","",G338-AsOf)</f>
        <v/>
      </c>
      <c r="I338" s="107">
        <f>IF(G338="","",IF(H338&lt;0,"Expired",IF(H338&lt;=90,"Expires soon","Active")))</f>
        <v/>
      </c>
      <c r="J338" s="72" t="n"/>
      <c r="K338" s="79">
        <f>IF(I338="","",IF(I338="Active",0,IF(I338="Expires soon",1,3)))</f>
        <v/>
      </c>
      <c r="L338" s="112">
        <f>IF(G338="","",IF(G338&lt;AsOf,"",G338))</f>
        <v/>
      </c>
      <c r="M338" s="79">
        <f>IF(L338="","",IF(L338&lt;=AsOf+AlertDays,2,IF(L338&lt;=AsOf+90,3,"")))</f>
        <v/>
      </c>
      <c r="N338" s="79">
        <f>IF(M338="","","Warranty expires in "&amp;H338&amp;" days: "&amp;B338&amp;IF(C338="",""," ("&amp;C338&amp;")")&amp;" — check for defects")</f>
        <v/>
      </c>
      <c r="P338" s="72" t="n"/>
      <c r="Q338" s="72" t="n"/>
      <c r="R338" s="89" t="n"/>
      <c r="S338" s="109" t="n"/>
      <c r="T338" s="126">
        <f>IF(OR(R338="",S338=""),"",DATE(YEAR(S338),MONTH(S338)+R338,DAY(S338)))</f>
        <v/>
      </c>
      <c r="U338" s="144">
        <f>IF(T338="","",T338-AsOf)</f>
        <v/>
      </c>
      <c r="V338" s="107">
        <f>IF(T338="",IF(P338="","","Enter last-done date"),IF(U338&lt;0,"Overdue",IF(U338&lt;=30,"Due soon","OK")))</f>
        <v/>
      </c>
      <c r="W338" s="79">
        <f>IF(T338="","",IF(U338&lt;0,2,IF(U338&lt;=30,1,0)))</f>
        <v/>
      </c>
      <c r="X338" s="112">
        <f>IF(T338="","",T338)</f>
        <v/>
      </c>
      <c r="Y338" s="79">
        <f>IF(X338="","",IF(X338&lt;=AsOf+AlertDays,2,IF(X338&lt;=AsOf+30,3,"")))</f>
        <v/>
      </c>
      <c r="Z338" s="79">
        <f>IF(Y338="","",IF(U338&lt;0,"Maintenance overdue: ","Maintenance due: ")&amp;P338)</f>
        <v/>
      </c>
    </row>
    <row r="339" ht="20" customHeight="1">
      <c r="B339" s="72" t="n"/>
      <c r="C339" s="72" t="n"/>
      <c r="D339" s="72" t="n"/>
      <c r="E339" s="109" t="n"/>
      <c r="F339" s="74" t="n"/>
      <c r="G339" s="126">
        <f>IF(OR(E339="",F339=""),"",DATE(YEAR(E339),MONTH(E339)+ROUND(F339*12,0),DAY(E339)))</f>
        <v/>
      </c>
      <c r="H339" s="144">
        <f>IF(G339="","",G339-AsOf)</f>
        <v/>
      </c>
      <c r="I339" s="107">
        <f>IF(G339="","",IF(H339&lt;0,"Expired",IF(H339&lt;=90,"Expires soon","Active")))</f>
        <v/>
      </c>
      <c r="J339" s="72" t="n"/>
      <c r="K339" s="79">
        <f>IF(I339="","",IF(I339="Active",0,IF(I339="Expires soon",1,3)))</f>
        <v/>
      </c>
      <c r="L339" s="112">
        <f>IF(G339="","",IF(G339&lt;AsOf,"",G339))</f>
        <v/>
      </c>
      <c r="M339" s="79">
        <f>IF(L339="","",IF(L339&lt;=AsOf+AlertDays,2,IF(L339&lt;=AsOf+90,3,"")))</f>
        <v/>
      </c>
      <c r="N339" s="79">
        <f>IF(M339="","","Warranty expires in "&amp;H339&amp;" days: "&amp;B339&amp;IF(C339="",""," ("&amp;C339&amp;")")&amp;" — check for defects")</f>
        <v/>
      </c>
      <c r="P339" s="72" t="n"/>
      <c r="Q339" s="72" t="n"/>
      <c r="R339" s="89" t="n"/>
      <c r="S339" s="109" t="n"/>
      <c r="T339" s="126">
        <f>IF(OR(R339="",S339=""),"",DATE(YEAR(S339),MONTH(S339)+R339,DAY(S339)))</f>
        <v/>
      </c>
      <c r="U339" s="144">
        <f>IF(T339="","",T339-AsOf)</f>
        <v/>
      </c>
      <c r="V339" s="107">
        <f>IF(T339="",IF(P339="","","Enter last-done date"),IF(U339&lt;0,"Overdue",IF(U339&lt;=30,"Due soon","OK")))</f>
        <v/>
      </c>
      <c r="W339" s="79">
        <f>IF(T339="","",IF(U339&lt;0,2,IF(U339&lt;=30,1,0)))</f>
        <v/>
      </c>
      <c r="X339" s="112">
        <f>IF(T339="","",T339)</f>
        <v/>
      </c>
      <c r="Y339" s="79">
        <f>IF(X339="","",IF(X339&lt;=AsOf+AlertDays,2,IF(X339&lt;=AsOf+30,3,"")))</f>
        <v/>
      </c>
      <c r="Z339" s="79">
        <f>IF(Y339="","",IF(U339&lt;0,"Maintenance overdue: ","Maintenance due: ")&amp;P339)</f>
        <v/>
      </c>
    </row>
    <row r="340" ht="20" customHeight="1">
      <c r="B340" s="72" t="n"/>
      <c r="C340" s="72" t="n"/>
      <c r="D340" s="72" t="n"/>
      <c r="E340" s="109" t="n"/>
      <c r="F340" s="74" t="n"/>
      <c r="G340" s="126">
        <f>IF(OR(E340="",F340=""),"",DATE(YEAR(E340),MONTH(E340)+ROUND(F340*12,0),DAY(E340)))</f>
        <v/>
      </c>
      <c r="H340" s="144">
        <f>IF(G340="","",G340-AsOf)</f>
        <v/>
      </c>
      <c r="I340" s="107">
        <f>IF(G340="","",IF(H340&lt;0,"Expired",IF(H340&lt;=90,"Expires soon","Active")))</f>
        <v/>
      </c>
      <c r="J340" s="72" t="n"/>
      <c r="K340" s="79">
        <f>IF(I340="","",IF(I340="Active",0,IF(I340="Expires soon",1,3)))</f>
        <v/>
      </c>
      <c r="L340" s="112">
        <f>IF(G340="","",IF(G340&lt;AsOf,"",G340))</f>
        <v/>
      </c>
      <c r="M340" s="79">
        <f>IF(L340="","",IF(L340&lt;=AsOf+AlertDays,2,IF(L340&lt;=AsOf+90,3,"")))</f>
        <v/>
      </c>
      <c r="N340" s="79">
        <f>IF(M340="","","Warranty expires in "&amp;H340&amp;" days: "&amp;B340&amp;IF(C340="",""," ("&amp;C340&amp;")")&amp;" — check for defects")</f>
        <v/>
      </c>
      <c r="P340" s="72" t="n"/>
      <c r="Q340" s="72" t="n"/>
      <c r="R340" s="89" t="n"/>
      <c r="S340" s="109" t="n"/>
      <c r="T340" s="126">
        <f>IF(OR(R340="",S340=""),"",DATE(YEAR(S340),MONTH(S340)+R340,DAY(S340)))</f>
        <v/>
      </c>
      <c r="U340" s="144">
        <f>IF(T340="","",T340-AsOf)</f>
        <v/>
      </c>
      <c r="V340" s="107">
        <f>IF(T340="",IF(P340="","","Enter last-done date"),IF(U340&lt;0,"Overdue",IF(U340&lt;=30,"Due soon","OK")))</f>
        <v/>
      </c>
      <c r="W340" s="79">
        <f>IF(T340="","",IF(U340&lt;0,2,IF(U340&lt;=30,1,0)))</f>
        <v/>
      </c>
      <c r="X340" s="112">
        <f>IF(T340="","",T340)</f>
        <v/>
      </c>
      <c r="Y340" s="79">
        <f>IF(X340="","",IF(X340&lt;=AsOf+AlertDays,2,IF(X340&lt;=AsOf+30,3,"")))</f>
        <v/>
      </c>
      <c r="Z340" s="79">
        <f>IF(Y340="","",IF(U340&lt;0,"Maintenance overdue: ","Maintenance due: ")&amp;P340)</f>
        <v/>
      </c>
    </row>
    <row r="341" ht="20" customHeight="1">
      <c r="B341" s="72" t="n"/>
      <c r="C341" s="72" t="n"/>
      <c r="D341" s="72" t="n"/>
      <c r="E341" s="109" t="n"/>
      <c r="F341" s="74" t="n"/>
      <c r="G341" s="126">
        <f>IF(OR(E341="",F341=""),"",DATE(YEAR(E341),MONTH(E341)+ROUND(F341*12,0),DAY(E341)))</f>
        <v/>
      </c>
      <c r="H341" s="144">
        <f>IF(G341="","",G341-AsOf)</f>
        <v/>
      </c>
      <c r="I341" s="107">
        <f>IF(G341="","",IF(H341&lt;0,"Expired",IF(H341&lt;=90,"Expires soon","Active")))</f>
        <v/>
      </c>
      <c r="J341" s="72" t="n"/>
      <c r="K341" s="79">
        <f>IF(I341="","",IF(I341="Active",0,IF(I341="Expires soon",1,3)))</f>
        <v/>
      </c>
      <c r="L341" s="112">
        <f>IF(G341="","",IF(G341&lt;AsOf,"",G341))</f>
        <v/>
      </c>
      <c r="M341" s="79">
        <f>IF(L341="","",IF(L341&lt;=AsOf+AlertDays,2,IF(L341&lt;=AsOf+90,3,"")))</f>
        <v/>
      </c>
      <c r="N341" s="79">
        <f>IF(M341="","","Warranty expires in "&amp;H341&amp;" days: "&amp;B341&amp;IF(C341="",""," ("&amp;C341&amp;")")&amp;" — check for defects")</f>
        <v/>
      </c>
      <c r="P341" s="72" t="n"/>
      <c r="Q341" s="72" t="n"/>
      <c r="R341" s="89" t="n"/>
      <c r="S341" s="109" t="n"/>
      <c r="T341" s="126">
        <f>IF(OR(R341="",S341=""),"",DATE(YEAR(S341),MONTH(S341)+R341,DAY(S341)))</f>
        <v/>
      </c>
      <c r="U341" s="144">
        <f>IF(T341="","",T341-AsOf)</f>
        <v/>
      </c>
      <c r="V341" s="107">
        <f>IF(T341="",IF(P341="","","Enter last-done date"),IF(U341&lt;0,"Overdue",IF(U341&lt;=30,"Due soon","OK")))</f>
        <v/>
      </c>
      <c r="W341" s="79">
        <f>IF(T341="","",IF(U341&lt;0,2,IF(U341&lt;=30,1,0)))</f>
        <v/>
      </c>
      <c r="X341" s="112">
        <f>IF(T341="","",T341)</f>
        <v/>
      </c>
      <c r="Y341" s="79">
        <f>IF(X341="","",IF(X341&lt;=AsOf+AlertDays,2,IF(X341&lt;=AsOf+30,3,"")))</f>
        <v/>
      </c>
      <c r="Z341" s="79">
        <f>IF(Y341="","",IF(U341&lt;0,"Maintenance overdue: ","Maintenance due: ")&amp;P341)</f>
        <v/>
      </c>
    </row>
    <row r="342" ht="20" customHeight="1">
      <c r="B342" s="72" t="n"/>
      <c r="C342" s="72" t="n"/>
      <c r="D342" s="72" t="n"/>
      <c r="E342" s="109" t="n"/>
      <c r="F342" s="74" t="n"/>
      <c r="G342" s="126">
        <f>IF(OR(E342="",F342=""),"",DATE(YEAR(E342),MONTH(E342)+ROUND(F342*12,0),DAY(E342)))</f>
        <v/>
      </c>
      <c r="H342" s="144">
        <f>IF(G342="","",G342-AsOf)</f>
        <v/>
      </c>
      <c r="I342" s="107">
        <f>IF(G342="","",IF(H342&lt;0,"Expired",IF(H342&lt;=90,"Expires soon","Active")))</f>
        <v/>
      </c>
      <c r="J342" s="72" t="n"/>
      <c r="K342" s="79">
        <f>IF(I342="","",IF(I342="Active",0,IF(I342="Expires soon",1,3)))</f>
        <v/>
      </c>
      <c r="L342" s="112">
        <f>IF(G342="","",IF(G342&lt;AsOf,"",G342))</f>
        <v/>
      </c>
      <c r="M342" s="79">
        <f>IF(L342="","",IF(L342&lt;=AsOf+AlertDays,2,IF(L342&lt;=AsOf+90,3,"")))</f>
        <v/>
      </c>
      <c r="N342" s="79">
        <f>IF(M342="","","Warranty expires in "&amp;H342&amp;" days: "&amp;B342&amp;IF(C342="",""," ("&amp;C342&amp;")")&amp;" — check for defects")</f>
        <v/>
      </c>
      <c r="P342" s="72" t="n"/>
      <c r="Q342" s="72" t="n"/>
      <c r="R342" s="89" t="n"/>
      <c r="S342" s="109" t="n"/>
      <c r="T342" s="126">
        <f>IF(OR(R342="",S342=""),"",DATE(YEAR(S342),MONTH(S342)+R342,DAY(S342)))</f>
        <v/>
      </c>
      <c r="U342" s="144">
        <f>IF(T342="","",T342-AsOf)</f>
        <v/>
      </c>
      <c r="V342" s="107">
        <f>IF(T342="",IF(P342="","","Enter last-done date"),IF(U342&lt;0,"Overdue",IF(U342&lt;=30,"Due soon","OK")))</f>
        <v/>
      </c>
      <c r="W342" s="79">
        <f>IF(T342="","",IF(U342&lt;0,2,IF(U342&lt;=30,1,0)))</f>
        <v/>
      </c>
      <c r="X342" s="112">
        <f>IF(T342="","",T342)</f>
        <v/>
      </c>
      <c r="Y342" s="79">
        <f>IF(X342="","",IF(X342&lt;=AsOf+AlertDays,2,IF(X342&lt;=AsOf+30,3,"")))</f>
        <v/>
      </c>
      <c r="Z342" s="79">
        <f>IF(Y342="","",IF(U342&lt;0,"Maintenance overdue: ","Maintenance due: ")&amp;P342)</f>
        <v/>
      </c>
    </row>
    <row r="343" ht="20" customHeight="1">
      <c r="B343" s="72" t="n"/>
      <c r="C343" s="72" t="n"/>
      <c r="D343" s="72" t="n"/>
      <c r="E343" s="109" t="n"/>
      <c r="F343" s="74" t="n"/>
      <c r="G343" s="126">
        <f>IF(OR(E343="",F343=""),"",DATE(YEAR(E343),MONTH(E343)+ROUND(F343*12,0),DAY(E343)))</f>
        <v/>
      </c>
      <c r="H343" s="144">
        <f>IF(G343="","",G343-AsOf)</f>
        <v/>
      </c>
      <c r="I343" s="107">
        <f>IF(G343="","",IF(H343&lt;0,"Expired",IF(H343&lt;=90,"Expires soon","Active")))</f>
        <v/>
      </c>
      <c r="J343" s="72" t="n"/>
      <c r="K343" s="79">
        <f>IF(I343="","",IF(I343="Active",0,IF(I343="Expires soon",1,3)))</f>
        <v/>
      </c>
      <c r="L343" s="112">
        <f>IF(G343="","",IF(G343&lt;AsOf,"",G343))</f>
        <v/>
      </c>
      <c r="M343" s="79">
        <f>IF(L343="","",IF(L343&lt;=AsOf+AlertDays,2,IF(L343&lt;=AsOf+90,3,"")))</f>
        <v/>
      </c>
      <c r="N343" s="79">
        <f>IF(M343="","","Warranty expires in "&amp;H343&amp;" days: "&amp;B343&amp;IF(C343="",""," ("&amp;C343&amp;")")&amp;" — check for defects")</f>
        <v/>
      </c>
      <c r="P343" s="72" t="n"/>
      <c r="Q343" s="72" t="n"/>
      <c r="R343" s="89" t="n"/>
      <c r="S343" s="109" t="n"/>
      <c r="T343" s="126">
        <f>IF(OR(R343="",S343=""),"",DATE(YEAR(S343),MONTH(S343)+R343,DAY(S343)))</f>
        <v/>
      </c>
      <c r="U343" s="144">
        <f>IF(T343="","",T343-AsOf)</f>
        <v/>
      </c>
      <c r="V343" s="107">
        <f>IF(T343="",IF(P343="","","Enter last-done date"),IF(U343&lt;0,"Overdue",IF(U343&lt;=30,"Due soon","OK")))</f>
        <v/>
      </c>
      <c r="W343" s="79">
        <f>IF(T343="","",IF(U343&lt;0,2,IF(U343&lt;=30,1,0)))</f>
        <v/>
      </c>
      <c r="X343" s="112">
        <f>IF(T343="","",T343)</f>
        <v/>
      </c>
      <c r="Y343" s="79">
        <f>IF(X343="","",IF(X343&lt;=AsOf+AlertDays,2,IF(X343&lt;=AsOf+30,3,"")))</f>
        <v/>
      </c>
      <c r="Z343" s="79">
        <f>IF(Y343="","",IF(U343&lt;0,"Maintenance overdue: ","Maintenance due: ")&amp;P343)</f>
        <v/>
      </c>
    </row>
    <row r="344" ht="20" customHeight="1">
      <c r="B344" s="72" t="n"/>
      <c r="C344" s="72" t="n"/>
      <c r="D344" s="72" t="n"/>
      <c r="E344" s="109" t="n"/>
      <c r="F344" s="74" t="n"/>
      <c r="G344" s="126">
        <f>IF(OR(E344="",F344=""),"",DATE(YEAR(E344),MONTH(E344)+ROUND(F344*12,0),DAY(E344)))</f>
        <v/>
      </c>
      <c r="H344" s="144">
        <f>IF(G344="","",G344-AsOf)</f>
        <v/>
      </c>
      <c r="I344" s="107">
        <f>IF(G344="","",IF(H344&lt;0,"Expired",IF(H344&lt;=90,"Expires soon","Active")))</f>
        <v/>
      </c>
      <c r="J344" s="72" t="n"/>
      <c r="K344" s="79">
        <f>IF(I344="","",IF(I344="Active",0,IF(I344="Expires soon",1,3)))</f>
        <v/>
      </c>
      <c r="L344" s="112">
        <f>IF(G344="","",IF(G344&lt;AsOf,"",G344))</f>
        <v/>
      </c>
      <c r="M344" s="79">
        <f>IF(L344="","",IF(L344&lt;=AsOf+AlertDays,2,IF(L344&lt;=AsOf+90,3,"")))</f>
        <v/>
      </c>
      <c r="N344" s="79">
        <f>IF(M344="","","Warranty expires in "&amp;H344&amp;" days: "&amp;B344&amp;IF(C344="",""," ("&amp;C344&amp;")")&amp;" — check for defects")</f>
        <v/>
      </c>
      <c r="P344" s="72" t="n"/>
      <c r="Q344" s="72" t="n"/>
      <c r="R344" s="89" t="n"/>
      <c r="S344" s="109" t="n"/>
      <c r="T344" s="126">
        <f>IF(OR(R344="",S344=""),"",DATE(YEAR(S344),MONTH(S344)+R344,DAY(S344)))</f>
        <v/>
      </c>
      <c r="U344" s="144">
        <f>IF(T344="","",T344-AsOf)</f>
        <v/>
      </c>
      <c r="V344" s="107">
        <f>IF(T344="",IF(P344="","","Enter last-done date"),IF(U344&lt;0,"Overdue",IF(U344&lt;=30,"Due soon","OK")))</f>
        <v/>
      </c>
      <c r="W344" s="79">
        <f>IF(T344="","",IF(U344&lt;0,2,IF(U344&lt;=30,1,0)))</f>
        <v/>
      </c>
      <c r="X344" s="112">
        <f>IF(T344="","",T344)</f>
        <v/>
      </c>
      <c r="Y344" s="79">
        <f>IF(X344="","",IF(X344&lt;=AsOf+AlertDays,2,IF(X344&lt;=AsOf+30,3,"")))</f>
        <v/>
      </c>
      <c r="Z344" s="79">
        <f>IF(Y344="","",IF(U344&lt;0,"Maintenance overdue: ","Maintenance due: ")&amp;P344)</f>
        <v/>
      </c>
    </row>
    <row r="345" ht="20" customHeight="1">
      <c r="B345" s="72" t="n"/>
      <c r="C345" s="72" t="n"/>
      <c r="D345" s="72" t="n"/>
      <c r="E345" s="109" t="n"/>
      <c r="F345" s="74" t="n"/>
      <c r="G345" s="126">
        <f>IF(OR(E345="",F345=""),"",DATE(YEAR(E345),MONTH(E345)+ROUND(F345*12,0),DAY(E345)))</f>
        <v/>
      </c>
      <c r="H345" s="144">
        <f>IF(G345="","",G345-AsOf)</f>
        <v/>
      </c>
      <c r="I345" s="107">
        <f>IF(G345="","",IF(H345&lt;0,"Expired",IF(H345&lt;=90,"Expires soon","Active")))</f>
        <v/>
      </c>
      <c r="J345" s="72" t="n"/>
      <c r="K345" s="79">
        <f>IF(I345="","",IF(I345="Active",0,IF(I345="Expires soon",1,3)))</f>
        <v/>
      </c>
      <c r="L345" s="112">
        <f>IF(G345="","",IF(G345&lt;AsOf,"",G345))</f>
        <v/>
      </c>
      <c r="M345" s="79">
        <f>IF(L345="","",IF(L345&lt;=AsOf+AlertDays,2,IF(L345&lt;=AsOf+90,3,"")))</f>
        <v/>
      </c>
      <c r="N345" s="79">
        <f>IF(M345="","","Warranty expires in "&amp;H345&amp;" days: "&amp;B345&amp;IF(C345="",""," ("&amp;C345&amp;")")&amp;" — check for defects")</f>
        <v/>
      </c>
      <c r="P345" s="72" t="n"/>
      <c r="Q345" s="72" t="n"/>
      <c r="R345" s="89" t="n"/>
      <c r="S345" s="109" t="n"/>
      <c r="T345" s="126">
        <f>IF(OR(R345="",S345=""),"",DATE(YEAR(S345),MONTH(S345)+R345,DAY(S345)))</f>
        <v/>
      </c>
      <c r="U345" s="144">
        <f>IF(T345="","",T345-AsOf)</f>
        <v/>
      </c>
      <c r="V345" s="107">
        <f>IF(T345="",IF(P345="","","Enter last-done date"),IF(U345&lt;0,"Overdue",IF(U345&lt;=30,"Due soon","OK")))</f>
        <v/>
      </c>
      <c r="W345" s="79">
        <f>IF(T345="","",IF(U345&lt;0,2,IF(U345&lt;=30,1,0)))</f>
        <v/>
      </c>
      <c r="X345" s="112">
        <f>IF(T345="","",T345)</f>
        <v/>
      </c>
      <c r="Y345" s="79">
        <f>IF(X345="","",IF(X345&lt;=AsOf+AlertDays,2,IF(X345&lt;=AsOf+30,3,"")))</f>
        <v/>
      </c>
      <c r="Z345" s="79">
        <f>IF(Y345="","",IF(U345&lt;0,"Maintenance overdue: ","Maintenance due: ")&amp;P345)</f>
        <v/>
      </c>
    </row>
    <row r="346" ht="20" customHeight="1">
      <c r="B346" s="72" t="n"/>
      <c r="C346" s="72" t="n"/>
      <c r="D346" s="72" t="n"/>
      <c r="E346" s="109" t="n"/>
      <c r="F346" s="74" t="n"/>
      <c r="G346" s="126">
        <f>IF(OR(E346="",F346=""),"",DATE(YEAR(E346),MONTH(E346)+ROUND(F346*12,0),DAY(E346)))</f>
        <v/>
      </c>
      <c r="H346" s="144">
        <f>IF(G346="","",G346-AsOf)</f>
        <v/>
      </c>
      <c r="I346" s="107">
        <f>IF(G346="","",IF(H346&lt;0,"Expired",IF(H346&lt;=90,"Expires soon","Active")))</f>
        <v/>
      </c>
      <c r="J346" s="72" t="n"/>
      <c r="K346" s="79">
        <f>IF(I346="","",IF(I346="Active",0,IF(I346="Expires soon",1,3)))</f>
        <v/>
      </c>
      <c r="L346" s="112">
        <f>IF(G346="","",IF(G346&lt;AsOf,"",G346))</f>
        <v/>
      </c>
      <c r="M346" s="79">
        <f>IF(L346="","",IF(L346&lt;=AsOf+AlertDays,2,IF(L346&lt;=AsOf+90,3,"")))</f>
        <v/>
      </c>
      <c r="N346" s="79">
        <f>IF(M346="","","Warranty expires in "&amp;H346&amp;" days: "&amp;B346&amp;IF(C346="",""," ("&amp;C346&amp;")")&amp;" — check for defects")</f>
        <v/>
      </c>
      <c r="P346" s="72" t="n"/>
      <c r="Q346" s="72" t="n"/>
      <c r="R346" s="89" t="n"/>
      <c r="S346" s="109" t="n"/>
      <c r="T346" s="126">
        <f>IF(OR(R346="",S346=""),"",DATE(YEAR(S346),MONTH(S346)+R346,DAY(S346)))</f>
        <v/>
      </c>
      <c r="U346" s="144">
        <f>IF(T346="","",T346-AsOf)</f>
        <v/>
      </c>
      <c r="V346" s="107">
        <f>IF(T346="",IF(P346="","","Enter last-done date"),IF(U346&lt;0,"Overdue",IF(U346&lt;=30,"Due soon","OK")))</f>
        <v/>
      </c>
      <c r="W346" s="79">
        <f>IF(T346="","",IF(U346&lt;0,2,IF(U346&lt;=30,1,0)))</f>
        <v/>
      </c>
      <c r="X346" s="112">
        <f>IF(T346="","",T346)</f>
        <v/>
      </c>
      <c r="Y346" s="79">
        <f>IF(X346="","",IF(X346&lt;=AsOf+AlertDays,2,IF(X346&lt;=AsOf+30,3,"")))</f>
        <v/>
      </c>
      <c r="Z346" s="79">
        <f>IF(Y346="","",IF(U346&lt;0,"Maintenance overdue: ","Maintenance due: ")&amp;P346)</f>
        <v/>
      </c>
    </row>
    <row r="347" ht="20" customHeight="1">
      <c r="B347" s="72" t="n"/>
      <c r="C347" s="72" t="n"/>
      <c r="D347" s="72" t="n"/>
      <c r="E347" s="109" t="n"/>
      <c r="F347" s="74" t="n"/>
      <c r="G347" s="126">
        <f>IF(OR(E347="",F347=""),"",DATE(YEAR(E347),MONTH(E347)+ROUND(F347*12,0),DAY(E347)))</f>
        <v/>
      </c>
      <c r="H347" s="144">
        <f>IF(G347="","",G347-AsOf)</f>
        <v/>
      </c>
      <c r="I347" s="107">
        <f>IF(G347="","",IF(H347&lt;0,"Expired",IF(H347&lt;=90,"Expires soon","Active")))</f>
        <v/>
      </c>
      <c r="J347" s="72" t="n"/>
      <c r="K347" s="79">
        <f>IF(I347="","",IF(I347="Active",0,IF(I347="Expires soon",1,3)))</f>
        <v/>
      </c>
      <c r="L347" s="112">
        <f>IF(G347="","",IF(G347&lt;AsOf,"",G347))</f>
        <v/>
      </c>
      <c r="M347" s="79">
        <f>IF(L347="","",IF(L347&lt;=AsOf+AlertDays,2,IF(L347&lt;=AsOf+90,3,"")))</f>
        <v/>
      </c>
      <c r="N347" s="79">
        <f>IF(M347="","","Warranty expires in "&amp;H347&amp;" days: "&amp;B347&amp;IF(C347="",""," ("&amp;C347&amp;")")&amp;" — check for defects")</f>
        <v/>
      </c>
      <c r="P347" s="72" t="n"/>
      <c r="Q347" s="72" t="n"/>
      <c r="R347" s="89" t="n"/>
      <c r="S347" s="109" t="n"/>
      <c r="T347" s="126">
        <f>IF(OR(R347="",S347=""),"",DATE(YEAR(S347),MONTH(S347)+R347,DAY(S347)))</f>
        <v/>
      </c>
      <c r="U347" s="144">
        <f>IF(T347="","",T347-AsOf)</f>
        <v/>
      </c>
      <c r="V347" s="107">
        <f>IF(T347="",IF(P347="","","Enter last-done date"),IF(U347&lt;0,"Overdue",IF(U347&lt;=30,"Due soon","OK")))</f>
        <v/>
      </c>
      <c r="W347" s="79">
        <f>IF(T347="","",IF(U347&lt;0,2,IF(U347&lt;=30,1,0)))</f>
        <v/>
      </c>
      <c r="X347" s="112">
        <f>IF(T347="","",T347)</f>
        <v/>
      </c>
      <c r="Y347" s="79">
        <f>IF(X347="","",IF(X347&lt;=AsOf+AlertDays,2,IF(X347&lt;=AsOf+30,3,"")))</f>
        <v/>
      </c>
      <c r="Z347" s="79">
        <f>IF(Y347="","",IF(U347&lt;0,"Maintenance overdue: ","Maintenance due: ")&amp;P347)</f>
        <v/>
      </c>
    </row>
    <row r="348" ht="20" customHeight="1">
      <c r="B348" s="72" t="n"/>
      <c r="C348" s="72" t="n"/>
      <c r="D348" s="72" t="n"/>
      <c r="E348" s="109" t="n"/>
      <c r="F348" s="74" t="n"/>
      <c r="G348" s="126">
        <f>IF(OR(E348="",F348=""),"",DATE(YEAR(E348),MONTH(E348)+ROUND(F348*12,0),DAY(E348)))</f>
        <v/>
      </c>
      <c r="H348" s="144">
        <f>IF(G348="","",G348-AsOf)</f>
        <v/>
      </c>
      <c r="I348" s="107">
        <f>IF(G348="","",IF(H348&lt;0,"Expired",IF(H348&lt;=90,"Expires soon","Active")))</f>
        <v/>
      </c>
      <c r="J348" s="72" t="n"/>
      <c r="K348" s="79">
        <f>IF(I348="","",IF(I348="Active",0,IF(I348="Expires soon",1,3)))</f>
        <v/>
      </c>
      <c r="L348" s="112">
        <f>IF(G348="","",IF(G348&lt;AsOf,"",G348))</f>
        <v/>
      </c>
      <c r="M348" s="79">
        <f>IF(L348="","",IF(L348&lt;=AsOf+AlertDays,2,IF(L348&lt;=AsOf+90,3,"")))</f>
        <v/>
      </c>
      <c r="N348" s="79">
        <f>IF(M348="","","Warranty expires in "&amp;H348&amp;" days: "&amp;B348&amp;IF(C348="",""," ("&amp;C348&amp;")")&amp;" — check for defects")</f>
        <v/>
      </c>
      <c r="P348" s="72" t="n"/>
      <c r="Q348" s="72" t="n"/>
      <c r="R348" s="89" t="n"/>
      <c r="S348" s="109" t="n"/>
      <c r="T348" s="126">
        <f>IF(OR(R348="",S348=""),"",DATE(YEAR(S348),MONTH(S348)+R348,DAY(S348)))</f>
        <v/>
      </c>
      <c r="U348" s="144">
        <f>IF(T348="","",T348-AsOf)</f>
        <v/>
      </c>
      <c r="V348" s="107">
        <f>IF(T348="",IF(P348="","","Enter last-done date"),IF(U348&lt;0,"Overdue",IF(U348&lt;=30,"Due soon","OK")))</f>
        <v/>
      </c>
      <c r="W348" s="79">
        <f>IF(T348="","",IF(U348&lt;0,2,IF(U348&lt;=30,1,0)))</f>
        <v/>
      </c>
      <c r="X348" s="112">
        <f>IF(T348="","",T348)</f>
        <v/>
      </c>
      <c r="Y348" s="79">
        <f>IF(X348="","",IF(X348&lt;=AsOf+AlertDays,2,IF(X348&lt;=AsOf+30,3,"")))</f>
        <v/>
      </c>
      <c r="Z348" s="79">
        <f>IF(Y348="","",IF(U348&lt;0,"Maintenance overdue: ","Maintenance due: ")&amp;P348)</f>
        <v/>
      </c>
    </row>
    <row r="349" ht="20" customHeight="1">
      <c r="B349" s="72" t="n"/>
      <c r="C349" s="72" t="n"/>
      <c r="D349" s="72" t="n"/>
      <c r="E349" s="109" t="n"/>
      <c r="F349" s="74" t="n"/>
      <c r="G349" s="126">
        <f>IF(OR(E349="",F349=""),"",DATE(YEAR(E349),MONTH(E349)+ROUND(F349*12,0),DAY(E349)))</f>
        <v/>
      </c>
      <c r="H349" s="144">
        <f>IF(G349="","",G349-AsOf)</f>
        <v/>
      </c>
      <c r="I349" s="107">
        <f>IF(G349="","",IF(H349&lt;0,"Expired",IF(H349&lt;=90,"Expires soon","Active")))</f>
        <v/>
      </c>
      <c r="J349" s="72" t="n"/>
      <c r="K349" s="79">
        <f>IF(I349="","",IF(I349="Active",0,IF(I349="Expires soon",1,3)))</f>
        <v/>
      </c>
      <c r="L349" s="112">
        <f>IF(G349="","",IF(G349&lt;AsOf,"",G349))</f>
        <v/>
      </c>
      <c r="M349" s="79">
        <f>IF(L349="","",IF(L349&lt;=AsOf+AlertDays,2,IF(L349&lt;=AsOf+90,3,"")))</f>
        <v/>
      </c>
      <c r="N349" s="79">
        <f>IF(M349="","","Warranty expires in "&amp;H349&amp;" days: "&amp;B349&amp;IF(C349="",""," ("&amp;C349&amp;")")&amp;" — check for defects")</f>
        <v/>
      </c>
      <c r="P349" s="72" t="n"/>
      <c r="Q349" s="72" t="n"/>
      <c r="R349" s="89" t="n"/>
      <c r="S349" s="109" t="n"/>
      <c r="T349" s="126">
        <f>IF(OR(R349="",S349=""),"",DATE(YEAR(S349),MONTH(S349)+R349,DAY(S349)))</f>
        <v/>
      </c>
      <c r="U349" s="144">
        <f>IF(T349="","",T349-AsOf)</f>
        <v/>
      </c>
      <c r="V349" s="107">
        <f>IF(T349="",IF(P349="","","Enter last-done date"),IF(U349&lt;0,"Overdue",IF(U349&lt;=30,"Due soon","OK")))</f>
        <v/>
      </c>
      <c r="W349" s="79">
        <f>IF(T349="","",IF(U349&lt;0,2,IF(U349&lt;=30,1,0)))</f>
        <v/>
      </c>
      <c r="X349" s="112">
        <f>IF(T349="","",T349)</f>
        <v/>
      </c>
      <c r="Y349" s="79">
        <f>IF(X349="","",IF(X349&lt;=AsOf+AlertDays,2,IF(X349&lt;=AsOf+30,3,"")))</f>
        <v/>
      </c>
      <c r="Z349" s="79">
        <f>IF(Y349="","",IF(U349&lt;0,"Maintenance overdue: ","Maintenance due: ")&amp;P349)</f>
        <v/>
      </c>
    </row>
    <row r="350" ht="20" customHeight="1">
      <c r="B350" s="72" t="n"/>
      <c r="C350" s="72" t="n"/>
      <c r="D350" s="72" t="n"/>
      <c r="E350" s="109" t="n"/>
      <c r="F350" s="74" t="n"/>
      <c r="G350" s="126">
        <f>IF(OR(E350="",F350=""),"",DATE(YEAR(E350),MONTH(E350)+ROUND(F350*12,0),DAY(E350)))</f>
        <v/>
      </c>
      <c r="H350" s="144">
        <f>IF(G350="","",G350-AsOf)</f>
        <v/>
      </c>
      <c r="I350" s="107">
        <f>IF(G350="","",IF(H350&lt;0,"Expired",IF(H350&lt;=90,"Expires soon","Active")))</f>
        <v/>
      </c>
      <c r="J350" s="72" t="n"/>
      <c r="K350" s="79">
        <f>IF(I350="","",IF(I350="Active",0,IF(I350="Expires soon",1,3)))</f>
        <v/>
      </c>
      <c r="L350" s="112">
        <f>IF(G350="","",IF(G350&lt;AsOf,"",G350))</f>
        <v/>
      </c>
      <c r="M350" s="79">
        <f>IF(L350="","",IF(L350&lt;=AsOf+AlertDays,2,IF(L350&lt;=AsOf+90,3,"")))</f>
        <v/>
      </c>
      <c r="N350" s="79">
        <f>IF(M350="","","Warranty expires in "&amp;H350&amp;" days: "&amp;B350&amp;IF(C350="",""," ("&amp;C350&amp;")")&amp;" — check for defects")</f>
        <v/>
      </c>
      <c r="P350" s="72" t="n"/>
      <c r="Q350" s="72" t="n"/>
      <c r="R350" s="89" t="n"/>
      <c r="S350" s="109" t="n"/>
      <c r="T350" s="126">
        <f>IF(OR(R350="",S350=""),"",DATE(YEAR(S350),MONTH(S350)+R350,DAY(S350)))</f>
        <v/>
      </c>
      <c r="U350" s="144">
        <f>IF(T350="","",T350-AsOf)</f>
        <v/>
      </c>
      <c r="V350" s="107">
        <f>IF(T350="",IF(P350="","","Enter last-done date"),IF(U350&lt;0,"Overdue",IF(U350&lt;=30,"Due soon","OK")))</f>
        <v/>
      </c>
      <c r="W350" s="79">
        <f>IF(T350="","",IF(U350&lt;0,2,IF(U350&lt;=30,1,0)))</f>
        <v/>
      </c>
      <c r="X350" s="112">
        <f>IF(T350="","",T350)</f>
        <v/>
      </c>
      <c r="Y350" s="79">
        <f>IF(X350="","",IF(X350&lt;=AsOf+AlertDays,2,IF(X350&lt;=AsOf+30,3,"")))</f>
        <v/>
      </c>
      <c r="Z350" s="79">
        <f>IF(Y350="","",IF(U350&lt;0,"Maintenance overdue: ","Maintenance due: ")&amp;P350)</f>
        <v/>
      </c>
    </row>
    <row r="351" ht="20" customHeight="1">
      <c r="B351" s="72" t="n"/>
      <c r="C351" s="72" t="n"/>
      <c r="D351" s="72" t="n"/>
      <c r="E351" s="109" t="n"/>
      <c r="F351" s="74" t="n"/>
      <c r="G351" s="126">
        <f>IF(OR(E351="",F351=""),"",DATE(YEAR(E351),MONTH(E351)+ROUND(F351*12,0),DAY(E351)))</f>
        <v/>
      </c>
      <c r="H351" s="144">
        <f>IF(G351="","",G351-AsOf)</f>
        <v/>
      </c>
      <c r="I351" s="107">
        <f>IF(G351="","",IF(H351&lt;0,"Expired",IF(H351&lt;=90,"Expires soon","Active")))</f>
        <v/>
      </c>
      <c r="J351" s="72" t="n"/>
      <c r="K351" s="79">
        <f>IF(I351="","",IF(I351="Active",0,IF(I351="Expires soon",1,3)))</f>
        <v/>
      </c>
      <c r="L351" s="112">
        <f>IF(G351="","",IF(G351&lt;AsOf,"",G351))</f>
        <v/>
      </c>
      <c r="M351" s="79">
        <f>IF(L351="","",IF(L351&lt;=AsOf+AlertDays,2,IF(L351&lt;=AsOf+90,3,"")))</f>
        <v/>
      </c>
      <c r="N351" s="79">
        <f>IF(M351="","","Warranty expires in "&amp;H351&amp;" days: "&amp;B351&amp;IF(C351="",""," ("&amp;C351&amp;")")&amp;" — check for defects")</f>
        <v/>
      </c>
      <c r="P351" s="72" t="n"/>
      <c r="Q351" s="72" t="n"/>
      <c r="R351" s="89" t="n"/>
      <c r="S351" s="109" t="n"/>
      <c r="T351" s="126">
        <f>IF(OR(R351="",S351=""),"",DATE(YEAR(S351),MONTH(S351)+R351,DAY(S351)))</f>
        <v/>
      </c>
      <c r="U351" s="144">
        <f>IF(T351="","",T351-AsOf)</f>
        <v/>
      </c>
      <c r="V351" s="107">
        <f>IF(T351="",IF(P351="","","Enter last-done date"),IF(U351&lt;0,"Overdue",IF(U351&lt;=30,"Due soon","OK")))</f>
        <v/>
      </c>
      <c r="W351" s="79">
        <f>IF(T351="","",IF(U351&lt;0,2,IF(U351&lt;=30,1,0)))</f>
        <v/>
      </c>
      <c r="X351" s="112">
        <f>IF(T351="","",T351)</f>
        <v/>
      </c>
      <c r="Y351" s="79">
        <f>IF(X351="","",IF(X351&lt;=AsOf+AlertDays,2,IF(X351&lt;=AsOf+30,3,"")))</f>
        <v/>
      </c>
      <c r="Z351" s="79">
        <f>IF(Y351="","",IF(U351&lt;0,"Maintenance overdue: ","Maintenance due: ")&amp;P351)</f>
        <v/>
      </c>
    </row>
    <row r="352" ht="20" customHeight="1">
      <c r="B352" s="72" t="n"/>
      <c r="C352" s="72" t="n"/>
      <c r="D352" s="72" t="n"/>
      <c r="E352" s="109" t="n"/>
      <c r="F352" s="74" t="n"/>
      <c r="G352" s="126">
        <f>IF(OR(E352="",F352=""),"",DATE(YEAR(E352),MONTH(E352)+ROUND(F352*12,0),DAY(E352)))</f>
        <v/>
      </c>
      <c r="H352" s="144">
        <f>IF(G352="","",G352-AsOf)</f>
        <v/>
      </c>
      <c r="I352" s="107">
        <f>IF(G352="","",IF(H352&lt;0,"Expired",IF(H352&lt;=90,"Expires soon","Active")))</f>
        <v/>
      </c>
      <c r="J352" s="72" t="n"/>
      <c r="K352" s="79">
        <f>IF(I352="","",IF(I352="Active",0,IF(I352="Expires soon",1,3)))</f>
        <v/>
      </c>
      <c r="L352" s="112">
        <f>IF(G352="","",IF(G352&lt;AsOf,"",G352))</f>
        <v/>
      </c>
      <c r="M352" s="79">
        <f>IF(L352="","",IF(L352&lt;=AsOf+AlertDays,2,IF(L352&lt;=AsOf+90,3,"")))</f>
        <v/>
      </c>
      <c r="N352" s="79">
        <f>IF(M352="","","Warranty expires in "&amp;H352&amp;" days: "&amp;B352&amp;IF(C352="",""," ("&amp;C352&amp;")")&amp;" — check for defects")</f>
        <v/>
      </c>
      <c r="P352" s="72" t="n"/>
      <c r="Q352" s="72" t="n"/>
      <c r="R352" s="89" t="n"/>
      <c r="S352" s="109" t="n"/>
      <c r="T352" s="126">
        <f>IF(OR(R352="",S352=""),"",DATE(YEAR(S352),MONTH(S352)+R352,DAY(S352)))</f>
        <v/>
      </c>
      <c r="U352" s="144">
        <f>IF(T352="","",T352-AsOf)</f>
        <v/>
      </c>
      <c r="V352" s="107">
        <f>IF(T352="",IF(P352="","","Enter last-done date"),IF(U352&lt;0,"Overdue",IF(U352&lt;=30,"Due soon","OK")))</f>
        <v/>
      </c>
      <c r="W352" s="79">
        <f>IF(T352="","",IF(U352&lt;0,2,IF(U352&lt;=30,1,0)))</f>
        <v/>
      </c>
      <c r="X352" s="112">
        <f>IF(T352="","",T352)</f>
        <v/>
      </c>
      <c r="Y352" s="79">
        <f>IF(X352="","",IF(X352&lt;=AsOf+AlertDays,2,IF(X352&lt;=AsOf+30,3,"")))</f>
        <v/>
      </c>
      <c r="Z352" s="79">
        <f>IF(Y352="","",IF(U352&lt;0,"Maintenance overdue: ","Maintenance due: ")&amp;P352)</f>
        <v/>
      </c>
    </row>
    <row r="353" ht="20" customHeight="1">
      <c r="B353" s="72" t="n"/>
      <c r="C353" s="72" t="n"/>
      <c r="D353" s="72" t="n"/>
      <c r="E353" s="109" t="n"/>
      <c r="F353" s="74" t="n"/>
      <c r="G353" s="126">
        <f>IF(OR(E353="",F353=""),"",DATE(YEAR(E353),MONTH(E353)+ROUND(F353*12,0),DAY(E353)))</f>
        <v/>
      </c>
      <c r="H353" s="144">
        <f>IF(G353="","",G353-AsOf)</f>
        <v/>
      </c>
      <c r="I353" s="107">
        <f>IF(G353="","",IF(H353&lt;0,"Expired",IF(H353&lt;=90,"Expires soon","Active")))</f>
        <v/>
      </c>
      <c r="J353" s="72" t="n"/>
      <c r="K353" s="79">
        <f>IF(I353="","",IF(I353="Active",0,IF(I353="Expires soon",1,3)))</f>
        <v/>
      </c>
      <c r="L353" s="112">
        <f>IF(G353="","",IF(G353&lt;AsOf,"",G353))</f>
        <v/>
      </c>
      <c r="M353" s="79">
        <f>IF(L353="","",IF(L353&lt;=AsOf+AlertDays,2,IF(L353&lt;=AsOf+90,3,"")))</f>
        <v/>
      </c>
      <c r="N353" s="79">
        <f>IF(M353="","","Warranty expires in "&amp;H353&amp;" days: "&amp;B353&amp;IF(C353="",""," ("&amp;C353&amp;")")&amp;" — check for defects")</f>
        <v/>
      </c>
      <c r="P353" s="72" t="n"/>
      <c r="Q353" s="72" t="n"/>
      <c r="R353" s="89" t="n"/>
      <c r="S353" s="109" t="n"/>
      <c r="T353" s="126">
        <f>IF(OR(R353="",S353=""),"",DATE(YEAR(S353),MONTH(S353)+R353,DAY(S353)))</f>
        <v/>
      </c>
      <c r="U353" s="144">
        <f>IF(T353="","",T353-AsOf)</f>
        <v/>
      </c>
      <c r="V353" s="107">
        <f>IF(T353="",IF(P353="","","Enter last-done date"),IF(U353&lt;0,"Overdue",IF(U353&lt;=30,"Due soon","OK")))</f>
        <v/>
      </c>
      <c r="W353" s="79">
        <f>IF(T353="","",IF(U353&lt;0,2,IF(U353&lt;=30,1,0)))</f>
        <v/>
      </c>
      <c r="X353" s="112">
        <f>IF(T353="","",T353)</f>
        <v/>
      </c>
      <c r="Y353" s="79">
        <f>IF(X353="","",IF(X353&lt;=AsOf+AlertDays,2,IF(X353&lt;=AsOf+30,3,"")))</f>
        <v/>
      </c>
      <c r="Z353" s="79">
        <f>IF(Y353="","",IF(U353&lt;0,"Maintenance overdue: ","Maintenance due: ")&amp;P353)</f>
        <v/>
      </c>
    </row>
    <row r="354" ht="20" customHeight="1">
      <c r="B354" s="72" t="n"/>
      <c r="C354" s="72" t="n"/>
      <c r="D354" s="72" t="n"/>
      <c r="E354" s="109" t="n"/>
      <c r="F354" s="74" t="n"/>
      <c r="G354" s="126">
        <f>IF(OR(E354="",F354=""),"",DATE(YEAR(E354),MONTH(E354)+ROUND(F354*12,0),DAY(E354)))</f>
        <v/>
      </c>
      <c r="H354" s="144">
        <f>IF(G354="","",G354-AsOf)</f>
        <v/>
      </c>
      <c r="I354" s="107">
        <f>IF(G354="","",IF(H354&lt;0,"Expired",IF(H354&lt;=90,"Expires soon","Active")))</f>
        <v/>
      </c>
      <c r="J354" s="72" t="n"/>
      <c r="K354" s="79">
        <f>IF(I354="","",IF(I354="Active",0,IF(I354="Expires soon",1,3)))</f>
        <v/>
      </c>
      <c r="L354" s="112">
        <f>IF(G354="","",IF(G354&lt;AsOf,"",G354))</f>
        <v/>
      </c>
      <c r="M354" s="79">
        <f>IF(L354="","",IF(L354&lt;=AsOf+AlertDays,2,IF(L354&lt;=AsOf+90,3,"")))</f>
        <v/>
      </c>
      <c r="N354" s="79">
        <f>IF(M354="","","Warranty expires in "&amp;H354&amp;" days: "&amp;B354&amp;IF(C354="",""," ("&amp;C354&amp;")")&amp;" — check for defects")</f>
        <v/>
      </c>
      <c r="P354" s="72" t="n"/>
      <c r="Q354" s="72" t="n"/>
      <c r="R354" s="89" t="n"/>
      <c r="S354" s="109" t="n"/>
      <c r="T354" s="126">
        <f>IF(OR(R354="",S354=""),"",DATE(YEAR(S354),MONTH(S354)+R354,DAY(S354)))</f>
        <v/>
      </c>
      <c r="U354" s="144">
        <f>IF(T354="","",T354-AsOf)</f>
        <v/>
      </c>
      <c r="V354" s="107">
        <f>IF(T354="",IF(P354="","","Enter last-done date"),IF(U354&lt;0,"Overdue",IF(U354&lt;=30,"Due soon","OK")))</f>
        <v/>
      </c>
      <c r="W354" s="79">
        <f>IF(T354="","",IF(U354&lt;0,2,IF(U354&lt;=30,1,0)))</f>
        <v/>
      </c>
      <c r="X354" s="112">
        <f>IF(T354="","",T354)</f>
        <v/>
      </c>
      <c r="Y354" s="79">
        <f>IF(X354="","",IF(X354&lt;=AsOf+AlertDays,2,IF(X354&lt;=AsOf+30,3,"")))</f>
        <v/>
      </c>
      <c r="Z354" s="79">
        <f>IF(Y354="","",IF(U354&lt;0,"Maintenance overdue: ","Maintenance due: ")&amp;P354)</f>
        <v/>
      </c>
    </row>
    <row r="355" ht="20" customHeight="1">
      <c r="B355" s="72" t="n"/>
      <c r="C355" s="72" t="n"/>
      <c r="D355" s="72" t="n"/>
      <c r="E355" s="109" t="n"/>
      <c r="F355" s="74" t="n"/>
      <c r="G355" s="126">
        <f>IF(OR(E355="",F355=""),"",DATE(YEAR(E355),MONTH(E355)+ROUND(F355*12,0),DAY(E355)))</f>
        <v/>
      </c>
      <c r="H355" s="144">
        <f>IF(G355="","",G355-AsOf)</f>
        <v/>
      </c>
      <c r="I355" s="107">
        <f>IF(G355="","",IF(H355&lt;0,"Expired",IF(H355&lt;=90,"Expires soon","Active")))</f>
        <v/>
      </c>
      <c r="J355" s="72" t="n"/>
      <c r="K355" s="79">
        <f>IF(I355="","",IF(I355="Active",0,IF(I355="Expires soon",1,3)))</f>
        <v/>
      </c>
      <c r="L355" s="112">
        <f>IF(G355="","",IF(G355&lt;AsOf,"",G355))</f>
        <v/>
      </c>
      <c r="M355" s="79">
        <f>IF(L355="","",IF(L355&lt;=AsOf+AlertDays,2,IF(L355&lt;=AsOf+90,3,"")))</f>
        <v/>
      </c>
      <c r="N355" s="79">
        <f>IF(M355="","","Warranty expires in "&amp;H355&amp;" days: "&amp;B355&amp;IF(C355="",""," ("&amp;C355&amp;")")&amp;" — check for defects")</f>
        <v/>
      </c>
      <c r="P355" s="72" t="n"/>
      <c r="Q355" s="72" t="n"/>
      <c r="R355" s="89" t="n"/>
      <c r="S355" s="109" t="n"/>
      <c r="T355" s="126">
        <f>IF(OR(R355="",S355=""),"",DATE(YEAR(S355),MONTH(S355)+R355,DAY(S355)))</f>
        <v/>
      </c>
      <c r="U355" s="144">
        <f>IF(T355="","",T355-AsOf)</f>
        <v/>
      </c>
      <c r="V355" s="107">
        <f>IF(T355="",IF(P355="","","Enter last-done date"),IF(U355&lt;0,"Overdue",IF(U355&lt;=30,"Due soon","OK")))</f>
        <v/>
      </c>
      <c r="W355" s="79">
        <f>IF(T355="","",IF(U355&lt;0,2,IF(U355&lt;=30,1,0)))</f>
        <v/>
      </c>
      <c r="X355" s="112">
        <f>IF(T355="","",T355)</f>
        <v/>
      </c>
      <c r="Y355" s="79">
        <f>IF(X355="","",IF(X355&lt;=AsOf+AlertDays,2,IF(X355&lt;=AsOf+30,3,"")))</f>
        <v/>
      </c>
      <c r="Z355" s="79">
        <f>IF(Y355="","",IF(U355&lt;0,"Maintenance overdue: ","Maintenance due: ")&amp;P355)</f>
        <v/>
      </c>
    </row>
    <row r="356" ht="20" customHeight="1">
      <c r="B356" s="72" t="n"/>
      <c r="C356" s="72" t="n"/>
      <c r="D356" s="72" t="n"/>
      <c r="E356" s="109" t="n"/>
      <c r="F356" s="74" t="n"/>
      <c r="G356" s="126">
        <f>IF(OR(E356="",F356=""),"",DATE(YEAR(E356),MONTH(E356)+ROUND(F356*12,0),DAY(E356)))</f>
        <v/>
      </c>
      <c r="H356" s="144">
        <f>IF(G356="","",G356-AsOf)</f>
        <v/>
      </c>
      <c r="I356" s="107">
        <f>IF(G356="","",IF(H356&lt;0,"Expired",IF(H356&lt;=90,"Expires soon","Active")))</f>
        <v/>
      </c>
      <c r="J356" s="72" t="n"/>
      <c r="K356" s="79">
        <f>IF(I356="","",IF(I356="Active",0,IF(I356="Expires soon",1,3)))</f>
        <v/>
      </c>
      <c r="L356" s="112">
        <f>IF(G356="","",IF(G356&lt;AsOf,"",G356))</f>
        <v/>
      </c>
      <c r="M356" s="79">
        <f>IF(L356="","",IF(L356&lt;=AsOf+AlertDays,2,IF(L356&lt;=AsOf+90,3,"")))</f>
        <v/>
      </c>
      <c r="N356" s="79">
        <f>IF(M356="","","Warranty expires in "&amp;H356&amp;" days: "&amp;B356&amp;IF(C356="",""," ("&amp;C356&amp;")")&amp;" — check for defects")</f>
        <v/>
      </c>
      <c r="P356" s="72" t="n"/>
      <c r="Q356" s="72" t="n"/>
      <c r="R356" s="89" t="n"/>
      <c r="S356" s="109" t="n"/>
      <c r="T356" s="126">
        <f>IF(OR(R356="",S356=""),"",DATE(YEAR(S356),MONTH(S356)+R356,DAY(S356)))</f>
        <v/>
      </c>
      <c r="U356" s="144">
        <f>IF(T356="","",T356-AsOf)</f>
        <v/>
      </c>
      <c r="V356" s="107">
        <f>IF(T356="",IF(P356="","","Enter last-done date"),IF(U356&lt;0,"Overdue",IF(U356&lt;=30,"Due soon","OK")))</f>
        <v/>
      </c>
      <c r="W356" s="79">
        <f>IF(T356="","",IF(U356&lt;0,2,IF(U356&lt;=30,1,0)))</f>
        <v/>
      </c>
      <c r="X356" s="112">
        <f>IF(T356="","",T356)</f>
        <v/>
      </c>
      <c r="Y356" s="79">
        <f>IF(X356="","",IF(X356&lt;=AsOf+AlertDays,2,IF(X356&lt;=AsOf+30,3,"")))</f>
        <v/>
      </c>
      <c r="Z356" s="79">
        <f>IF(Y356="","",IF(U356&lt;0,"Maintenance overdue: ","Maintenance due: ")&amp;P356)</f>
        <v/>
      </c>
    </row>
    <row r="357" ht="20" customHeight="1">
      <c r="B357" s="72" t="n"/>
      <c r="C357" s="72" t="n"/>
      <c r="D357" s="72" t="n"/>
      <c r="E357" s="109" t="n"/>
      <c r="F357" s="74" t="n"/>
      <c r="G357" s="126">
        <f>IF(OR(E357="",F357=""),"",DATE(YEAR(E357),MONTH(E357)+ROUND(F357*12,0),DAY(E357)))</f>
        <v/>
      </c>
      <c r="H357" s="144">
        <f>IF(G357="","",G357-AsOf)</f>
        <v/>
      </c>
      <c r="I357" s="107">
        <f>IF(G357="","",IF(H357&lt;0,"Expired",IF(H357&lt;=90,"Expires soon","Active")))</f>
        <v/>
      </c>
      <c r="J357" s="72" t="n"/>
      <c r="K357" s="79">
        <f>IF(I357="","",IF(I357="Active",0,IF(I357="Expires soon",1,3)))</f>
        <v/>
      </c>
      <c r="L357" s="112">
        <f>IF(G357="","",IF(G357&lt;AsOf,"",G357))</f>
        <v/>
      </c>
      <c r="M357" s="79">
        <f>IF(L357="","",IF(L357&lt;=AsOf+AlertDays,2,IF(L357&lt;=AsOf+90,3,"")))</f>
        <v/>
      </c>
      <c r="N357" s="79">
        <f>IF(M357="","","Warranty expires in "&amp;H357&amp;" days: "&amp;B357&amp;IF(C357="",""," ("&amp;C357&amp;")")&amp;" — check for defects")</f>
        <v/>
      </c>
      <c r="P357" s="72" t="n"/>
      <c r="Q357" s="72" t="n"/>
      <c r="R357" s="89" t="n"/>
      <c r="S357" s="109" t="n"/>
      <c r="T357" s="126">
        <f>IF(OR(R357="",S357=""),"",DATE(YEAR(S357),MONTH(S357)+R357,DAY(S357)))</f>
        <v/>
      </c>
      <c r="U357" s="144">
        <f>IF(T357="","",T357-AsOf)</f>
        <v/>
      </c>
      <c r="V357" s="107">
        <f>IF(T357="",IF(P357="","","Enter last-done date"),IF(U357&lt;0,"Overdue",IF(U357&lt;=30,"Due soon","OK")))</f>
        <v/>
      </c>
      <c r="W357" s="79">
        <f>IF(T357="","",IF(U357&lt;0,2,IF(U357&lt;=30,1,0)))</f>
        <v/>
      </c>
      <c r="X357" s="112">
        <f>IF(T357="","",T357)</f>
        <v/>
      </c>
      <c r="Y357" s="79">
        <f>IF(X357="","",IF(X357&lt;=AsOf+AlertDays,2,IF(X357&lt;=AsOf+30,3,"")))</f>
        <v/>
      </c>
      <c r="Z357" s="79">
        <f>IF(Y357="","",IF(U357&lt;0,"Maintenance overdue: ","Maintenance due: ")&amp;P357)</f>
        <v/>
      </c>
    </row>
    <row r="358" ht="20" customHeight="1">
      <c r="B358" s="72" t="n"/>
      <c r="C358" s="72" t="n"/>
      <c r="D358" s="72" t="n"/>
      <c r="E358" s="109" t="n"/>
      <c r="F358" s="74" t="n"/>
      <c r="G358" s="126">
        <f>IF(OR(E358="",F358=""),"",DATE(YEAR(E358),MONTH(E358)+ROUND(F358*12,0),DAY(E358)))</f>
        <v/>
      </c>
      <c r="H358" s="144">
        <f>IF(G358="","",G358-AsOf)</f>
        <v/>
      </c>
      <c r="I358" s="107">
        <f>IF(G358="","",IF(H358&lt;0,"Expired",IF(H358&lt;=90,"Expires soon","Active")))</f>
        <v/>
      </c>
      <c r="J358" s="72" t="n"/>
      <c r="K358" s="79">
        <f>IF(I358="","",IF(I358="Active",0,IF(I358="Expires soon",1,3)))</f>
        <v/>
      </c>
      <c r="L358" s="112">
        <f>IF(G358="","",IF(G358&lt;AsOf,"",G358))</f>
        <v/>
      </c>
      <c r="M358" s="79">
        <f>IF(L358="","",IF(L358&lt;=AsOf+AlertDays,2,IF(L358&lt;=AsOf+90,3,"")))</f>
        <v/>
      </c>
      <c r="N358" s="79">
        <f>IF(M358="","","Warranty expires in "&amp;H358&amp;" days: "&amp;B358&amp;IF(C358="",""," ("&amp;C358&amp;")")&amp;" — check for defects")</f>
        <v/>
      </c>
      <c r="P358" s="72" t="n"/>
      <c r="Q358" s="72" t="n"/>
      <c r="R358" s="89" t="n"/>
      <c r="S358" s="109" t="n"/>
      <c r="T358" s="126">
        <f>IF(OR(R358="",S358=""),"",DATE(YEAR(S358),MONTH(S358)+R358,DAY(S358)))</f>
        <v/>
      </c>
      <c r="U358" s="144">
        <f>IF(T358="","",T358-AsOf)</f>
        <v/>
      </c>
      <c r="V358" s="107">
        <f>IF(T358="",IF(P358="","","Enter last-done date"),IF(U358&lt;0,"Overdue",IF(U358&lt;=30,"Due soon","OK")))</f>
        <v/>
      </c>
      <c r="W358" s="79">
        <f>IF(T358="","",IF(U358&lt;0,2,IF(U358&lt;=30,1,0)))</f>
        <v/>
      </c>
      <c r="X358" s="112">
        <f>IF(T358="","",T358)</f>
        <v/>
      </c>
      <c r="Y358" s="79">
        <f>IF(X358="","",IF(X358&lt;=AsOf+AlertDays,2,IF(X358&lt;=AsOf+30,3,"")))</f>
        <v/>
      </c>
      <c r="Z358" s="79">
        <f>IF(Y358="","",IF(U358&lt;0,"Maintenance overdue: ","Maintenance due: ")&amp;P358)</f>
        <v/>
      </c>
    </row>
    <row r="359" ht="20" customHeight="1">
      <c r="B359" s="72" t="n"/>
      <c r="C359" s="72" t="n"/>
      <c r="D359" s="72" t="n"/>
      <c r="E359" s="109" t="n"/>
      <c r="F359" s="74" t="n"/>
      <c r="G359" s="126">
        <f>IF(OR(E359="",F359=""),"",DATE(YEAR(E359),MONTH(E359)+ROUND(F359*12,0),DAY(E359)))</f>
        <v/>
      </c>
      <c r="H359" s="144">
        <f>IF(G359="","",G359-AsOf)</f>
        <v/>
      </c>
      <c r="I359" s="107">
        <f>IF(G359="","",IF(H359&lt;0,"Expired",IF(H359&lt;=90,"Expires soon","Active")))</f>
        <v/>
      </c>
      <c r="J359" s="72" t="n"/>
      <c r="K359" s="79">
        <f>IF(I359="","",IF(I359="Active",0,IF(I359="Expires soon",1,3)))</f>
        <v/>
      </c>
      <c r="L359" s="112">
        <f>IF(G359="","",IF(G359&lt;AsOf,"",G359))</f>
        <v/>
      </c>
      <c r="M359" s="79">
        <f>IF(L359="","",IF(L359&lt;=AsOf+AlertDays,2,IF(L359&lt;=AsOf+90,3,"")))</f>
        <v/>
      </c>
      <c r="N359" s="79">
        <f>IF(M359="","","Warranty expires in "&amp;H359&amp;" days: "&amp;B359&amp;IF(C359="",""," ("&amp;C359&amp;")")&amp;" — check for defects")</f>
        <v/>
      </c>
      <c r="P359" s="72" t="n"/>
      <c r="Q359" s="72" t="n"/>
      <c r="R359" s="89" t="n"/>
      <c r="S359" s="109" t="n"/>
      <c r="T359" s="126">
        <f>IF(OR(R359="",S359=""),"",DATE(YEAR(S359),MONTH(S359)+R359,DAY(S359)))</f>
        <v/>
      </c>
      <c r="U359" s="144">
        <f>IF(T359="","",T359-AsOf)</f>
        <v/>
      </c>
      <c r="V359" s="107">
        <f>IF(T359="",IF(P359="","","Enter last-done date"),IF(U359&lt;0,"Overdue",IF(U359&lt;=30,"Due soon","OK")))</f>
        <v/>
      </c>
      <c r="W359" s="79">
        <f>IF(T359="","",IF(U359&lt;0,2,IF(U359&lt;=30,1,0)))</f>
        <v/>
      </c>
      <c r="X359" s="112">
        <f>IF(T359="","",T359)</f>
        <v/>
      </c>
      <c r="Y359" s="79">
        <f>IF(X359="","",IF(X359&lt;=AsOf+AlertDays,2,IF(X359&lt;=AsOf+30,3,"")))</f>
        <v/>
      </c>
      <c r="Z359" s="79">
        <f>IF(Y359="","",IF(U359&lt;0,"Maintenance overdue: ","Maintenance due: ")&amp;P359)</f>
        <v/>
      </c>
    </row>
    <row r="360" ht="20" customHeight="1">
      <c r="B360" s="72" t="n"/>
      <c r="C360" s="72" t="n"/>
      <c r="D360" s="72" t="n"/>
      <c r="E360" s="109" t="n"/>
      <c r="F360" s="74" t="n"/>
      <c r="G360" s="126">
        <f>IF(OR(E360="",F360=""),"",DATE(YEAR(E360),MONTH(E360)+ROUND(F360*12,0),DAY(E360)))</f>
        <v/>
      </c>
      <c r="H360" s="144">
        <f>IF(G360="","",G360-AsOf)</f>
        <v/>
      </c>
      <c r="I360" s="107">
        <f>IF(G360="","",IF(H360&lt;0,"Expired",IF(H360&lt;=90,"Expires soon","Active")))</f>
        <v/>
      </c>
      <c r="J360" s="72" t="n"/>
      <c r="K360" s="79">
        <f>IF(I360="","",IF(I360="Active",0,IF(I360="Expires soon",1,3)))</f>
        <v/>
      </c>
      <c r="L360" s="112">
        <f>IF(G360="","",IF(G360&lt;AsOf,"",G360))</f>
        <v/>
      </c>
      <c r="M360" s="79">
        <f>IF(L360="","",IF(L360&lt;=AsOf+AlertDays,2,IF(L360&lt;=AsOf+90,3,"")))</f>
        <v/>
      </c>
      <c r="N360" s="79">
        <f>IF(M360="","","Warranty expires in "&amp;H360&amp;" days: "&amp;B360&amp;IF(C360="",""," ("&amp;C360&amp;")")&amp;" — check for defects")</f>
        <v/>
      </c>
      <c r="P360" s="72" t="n"/>
      <c r="Q360" s="72" t="n"/>
      <c r="R360" s="89" t="n"/>
      <c r="S360" s="109" t="n"/>
      <c r="T360" s="126">
        <f>IF(OR(R360="",S360=""),"",DATE(YEAR(S360),MONTH(S360)+R360,DAY(S360)))</f>
        <v/>
      </c>
      <c r="U360" s="144">
        <f>IF(T360="","",T360-AsOf)</f>
        <v/>
      </c>
      <c r="V360" s="107">
        <f>IF(T360="",IF(P360="","","Enter last-done date"),IF(U360&lt;0,"Overdue",IF(U360&lt;=30,"Due soon","OK")))</f>
        <v/>
      </c>
      <c r="W360" s="79">
        <f>IF(T360="","",IF(U360&lt;0,2,IF(U360&lt;=30,1,0)))</f>
        <v/>
      </c>
      <c r="X360" s="112">
        <f>IF(T360="","",T360)</f>
        <v/>
      </c>
      <c r="Y360" s="79">
        <f>IF(X360="","",IF(X360&lt;=AsOf+AlertDays,2,IF(X360&lt;=AsOf+30,3,"")))</f>
        <v/>
      </c>
      <c r="Z360" s="79">
        <f>IF(Y360="","",IF(U360&lt;0,"Maintenance overdue: ","Maintenance due: ")&amp;P360)</f>
        <v/>
      </c>
    </row>
    <row r="361" ht="20" customHeight="1">
      <c r="B361" s="72" t="n"/>
      <c r="C361" s="72" t="n"/>
      <c r="D361" s="72" t="n"/>
      <c r="E361" s="109" t="n"/>
      <c r="F361" s="74" t="n"/>
      <c r="G361" s="126">
        <f>IF(OR(E361="",F361=""),"",DATE(YEAR(E361),MONTH(E361)+ROUND(F361*12,0),DAY(E361)))</f>
        <v/>
      </c>
      <c r="H361" s="144">
        <f>IF(G361="","",G361-AsOf)</f>
        <v/>
      </c>
      <c r="I361" s="107">
        <f>IF(G361="","",IF(H361&lt;0,"Expired",IF(H361&lt;=90,"Expires soon","Active")))</f>
        <v/>
      </c>
      <c r="J361" s="72" t="n"/>
      <c r="K361" s="79">
        <f>IF(I361="","",IF(I361="Active",0,IF(I361="Expires soon",1,3)))</f>
        <v/>
      </c>
      <c r="L361" s="112">
        <f>IF(G361="","",IF(G361&lt;AsOf,"",G361))</f>
        <v/>
      </c>
      <c r="M361" s="79">
        <f>IF(L361="","",IF(L361&lt;=AsOf+AlertDays,2,IF(L361&lt;=AsOf+90,3,"")))</f>
        <v/>
      </c>
      <c r="N361" s="79">
        <f>IF(M361="","","Warranty expires in "&amp;H361&amp;" days: "&amp;B361&amp;IF(C361="",""," ("&amp;C361&amp;")")&amp;" — check for defects")</f>
        <v/>
      </c>
      <c r="P361" s="72" t="n"/>
      <c r="Q361" s="72" t="n"/>
      <c r="R361" s="89" t="n"/>
      <c r="S361" s="109" t="n"/>
      <c r="T361" s="126">
        <f>IF(OR(R361="",S361=""),"",DATE(YEAR(S361),MONTH(S361)+R361,DAY(S361)))</f>
        <v/>
      </c>
      <c r="U361" s="144">
        <f>IF(T361="","",T361-AsOf)</f>
        <v/>
      </c>
      <c r="V361" s="107">
        <f>IF(T361="",IF(P361="","","Enter last-done date"),IF(U361&lt;0,"Overdue",IF(U361&lt;=30,"Due soon","OK")))</f>
        <v/>
      </c>
      <c r="W361" s="79">
        <f>IF(T361="","",IF(U361&lt;0,2,IF(U361&lt;=30,1,0)))</f>
        <v/>
      </c>
      <c r="X361" s="112">
        <f>IF(T361="","",T361)</f>
        <v/>
      </c>
      <c r="Y361" s="79">
        <f>IF(X361="","",IF(X361&lt;=AsOf+AlertDays,2,IF(X361&lt;=AsOf+30,3,"")))</f>
        <v/>
      </c>
      <c r="Z361" s="79">
        <f>IF(Y361="","",IF(U361&lt;0,"Maintenance overdue: ","Maintenance due: ")&amp;P361)</f>
        <v/>
      </c>
    </row>
    <row r="362" ht="20" customHeight="1">
      <c r="B362" s="72" t="n"/>
      <c r="C362" s="72" t="n"/>
      <c r="D362" s="72" t="n"/>
      <c r="E362" s="109" t="n"/>
      <c r="F362" s="74" t="n"/>
      <c r="G362" s="126">
        <f>IF(OR(E362="",F362=""),"",DATE(YEAR(E362),MONTH(E362)+ROUND(F362*12,0),DAY(E362)))</f>
        <v/>
      </c>
      <c r="H362" s="144">
        <f>IF(G362="","",G362-AsOf)</f>
        <v/>
      </c>
      <c r="I362" s="107">
        <f>IF(G362="","",IF(H362&lt;0,"Expired",IF(H362&lt;=90,"Expires soon","Active")))</f>
        <v/>
      </c>
      <c r="J362" s="72" t="n"/>
      <c r="K362" s="79">
        <f>IF(I362="","",IF(I362="Active",0,IF(I362="Expires soon",1,3)))</f>
        <v/>
      </c>
      <c r="L362" s="112">
        <f>IF(G362="","",IF(G362&lt;AsOf,"",G362))</f>
        <v/>
      </c>
      <c r="M362" s="79">
        <f>IF(L362="","",IF(L362&lt;=AsOf+AlertDays,2,IF(L362&lt;=AsOf+90,3,"")))</f>
        <v/>
      </c>
      <c r="N362" s="79">
        <f>IF(M362="","","Warranty expires in "&amp;H362&amp;" days: "&amp;B362&amp;IF(C362="",""," ("&amp;C362&amp;")")&amp;" — check for defects")</f>
        <v/>
      </c>
      <c r="P362" s="72" t="n"/>
      <c r="Q362" s="72" t="n"/>
      <c r="R362" s="89" t="n"/>
      <c r="S362" s="109" t="n"/>
      <c r="T362" s="126">
        <f>IF(OR(R362="",S362=""),"",DATE(YEAR(S362),MONTH(S362)+R362,DAY(S362)))</f>
        <v/>
      </c>
      <c r="U362" s="144">
        <f>IF(T362="","",T362-AsOf)</f>
        <v/>
      </c>
      <c r="V362" s="107">
        <f>IF(T362="",IF(P362="","","Enter last-done date"),IF(U362&lt;0,"Overdue",IF(U362&lt;=30,"Due soon","OK")))</f>
        <v/>
      </c>
      <c r="W362" s="79">
        <f>IF(T362="","",IF(U362&lt;0,2,IF(U362&lt;=30,1,0)))</f>
        <v/>
      </c>
      <c r="X362" s="112">
        <f>IF(T362="","",T362)</f>
        <v/>
      </c>
      <c r="Y362" s="79">
        <f>IF(X362="","",IF(X362&lt;=AsOf+AlertDays,2,IF(X362&lt;=AsOf+30,3,"")))</f>
        <v/>
      </c>
      <c r="Z362" s="79">
        <f>IF(Y362="","",IF(U362&lt;0,"Maintenance overdue: ","Maintenance due: ")&amp;P362)</f>
        <v/>
      </c>
    </row>
    <row r="363" ht="20" customHeight="1">
      <c r="B363" s="72" t="n"/>
      <c r="C363" s="72" t="n"/>
      <c r="D363" s="72" t="n"/>
      <c r="E363" s="109" t="n"/>
      <c r="F363" s="74" t="n"/>
      <c r="G363" s="126">
        <f>IF(OR(E363="",F363=""),"",DATE(YEAR(E363),MONTH(E363)+ROUND(F363*12,0),DAY(E363)))</f>
        <v/>
      </c>
      <c r="H363" s="144">
        <f>IF(G363="","",G363-AsOf)</f>
        <v/>
      </c>
      <c r="I363" s="107">
        <f>IF(G363="","",IF(H363&lt;0,"Expired",IF(H363&lt;=90,"Expires soon","Active")))</f>
        <v/>
      </c>
      <c r="J363" s="72" t="n"/>
      <c r="K363" s="79">
        <f>IF(I363="","",IF(I363="Active",0,IF(I363="Expires soon",1,3)))</f>
        <v/>
      </c>
      <c r="L363" s="112">
        <f>IF(G363="","",IF(G363&lt;AsOf,"",G363))</f>
        <v/>
      </c>
      <c r="M363" s="79">
        <f>IF(L363="","",IF(L363&lt;=AsOf+AlertDays,2,IF(L363&lt;=AsOf+90,3,"")))</f>
        <v/>
      </c>
      <c r="N363" s="79">
        <f>IF(M363="","","Warranty expires in "&amp;H363&amp;" days: "&amp;B363&amp;IF(C363="",""," ("&amp;C363&amp;")")&amp;" — check for defects")</f>
        <v/>
      </c>
      <c r="P363" s="72" t="n"/>
      <c r="Q363" s="72" t="n"/>
      <c r="R363" s="89" t="n"/>
      <c r="S363" s="109" t="n"/>
      <c r="T363" s="126">
        <f>IF(OR(R363="",S363=""),"",DATE(YEAR(S363),MONTH(S363)+R363,DAY(S363)))</f>
        <v/>
      </c>
      <c r="U363" s="144">
        <f>IF(T363="","",T363-AsOf)</f>
        <v/>
      </c>
      <c r="V363" s="107">
        <f>IF(T363="",IF(P363="","","Enter last-done date"),IF(U363&lt;0,"Overdue",IF(U363&lt;=30,"Due soon","OK")))</f>
        <v/>
      </c>
      <c r="W363" s="79">
        <f>IF(T363="","",IF(U363&lt;0,2,IF(U363&lt;=30,1,0)))</f>
        <v/>
      </c>
      <c r="X363" s="112">
        <f>IF(T363="","",T363)</f>
        <v/>
      </c>
      <c r="Y363" s="79">
        <f>IF(X363="","",IF(X363&lt;=AsOf+AlertDays,2,IF(X363&lt;=AsOf+30,3,"")))</f>
        <v/>
      </c>
      <c r="Z363" s="79">
        <f>IF(Y363="","",IF(U363&lt;0,"Maintenance overdue: ","Maintenance due: ")&amp;P363)</f>
        <v/>
      </c>
    </row>
    <row r="364" ht="20" customHeight="1">
      <c r="B364" s="72" t="n"/>
      <c r="C364" s="72" t="n"/>
      <c r="D364" s="72" t="n"/>
      <c r="E364" s="109" t="n"/>
      <c r="F364" s="74" t="n"/>
      <c r="G364" s="126">
        <f>IF(OR(E364="",F364=""),"",DATE(YEAR(E364),MONTH(E364)+ROUND(F364*12,0),DAY(E364)))</f>
        <v/>
      </c>
      <c r="H364" s="144">
        <f>IF(G364="","",G364-AsOf)</f>
        <v/>
      </c>
      <c r="I364" s="107">
        <f>IF(G364="","",IF(H364&lt;0,"Expired",IF(H364&lt;=90,"Expires soon","Active")))</f>
        <v/>
      </c>
      <c r="J364" s="72" t="n"/>
      <c r="K364" s="79">
        <f>IF(I364="","",IF(I364="Active",0,IF(I364="Expires soon",1,3)))</f>
        <v/>
      </c>
      <c r="L364" s="112">
        <f>IF(G364="","",IF(G364&lt;AsOf,"",G364))</f>
        <v/>
      </c>
      <c r="M364" s="79">
        <f>IF(L364="","",IF(L364&lt;=AsOf+AlertDays,2,IF(L364&lt;=AsOf+90,3,"")))</f>
        <v/>
      </c>
      <c r="N364" s="79">
        <f>IF(M364="","","Warranty expires in "&amp;H364&amp;" days: "&amp;B364&amp;IF(C364="",""," ("&amp;C364&amp;")")&amp;" — check for defects")</f>
        <v/>
      </c>
      <c r="P364" s="72" t="n"/>
      <c r="Q364" s="72" t="n"/>
      <c r="R364" s="89" t="n"/>
      <c r="S364" s="109" t="n"/>
      <c r="T364" s="126">
        <f>IF(OR(R364="",S364=""),"",DATE(YEAR(S364),MONTH(S364)+R364,DAY(S364)))</f>
        <v/>
      </c>
      <c r="U364" s="144">
        <f>IF(T364="","",T364-AsOf)</f>
        <v/>
      </c>
      <c r="V364" s="107">
        <f>IF(T364="",IF(P364="","","Enter last-done date"),IF(U364&lt;0,"Overdue",IF(U364&lt;=30,"Due soon","OK")))</f>
        <v/>
      </c>
      <c r="W364" s="79">
        <f>IF(T364="","",IF(U364&lt;0,2,IF(U364&lt;=30,1,0)))</f>
        <v/>
      </c>
      <c r="X364" s="112">
        <f>IF(T364="","",T364)</f>
        <v/>
      </c>
      <c r="Y364" s="79">
        <f>IF(X364="","",IF(X364&lt;=AsOf+AlertDays,2,IF(X364&lt;=AsOf+30,3,"")))</f>
        <v/>
      </c>
      <c r="Z364" s="79">
        <f>IF(Y364="","",IF(U364&lt;0,"Maintenance overdue: ","Maintenance due: ")&amp;P364)</f>
        <v/>
      </c>
    </row>
    <row r="365" ht="20" customHeight="1">
      <c r="B365" s="72" t="n"/>
      <c r="C365" s="72" t="n"/>
      <c r="D365" s="72" t="n"/>
      <c r="E365" s="109" t="n"/>
      <c r="F365" s="74" t="n"/>
      <c r="G365" s="126">
        <f>IF(OR(E365="",F365=""),"",DATE(YEAR(E365),MONTH(E365)+ROUND(F365*12,0),DAY(E365)))</f>
        <v/>
      </c>
      <c r="H365" s="144">
        <f>IF(G365="","",G365-AsOf)</f>
        <v/>
      </c>
      <c r="I365" s="107">
        <f>IF(G365="","",IF(H365&lt;0,"Expired",IF(H365&lt;=90,"Expires soon","Active")))</f>
        <v/>
      </c>
      <c r="J365" s="72" t="n"/>
      <c r="K365" s="79">
        <f>IF(I365="","",IF(I365="Active",0,IF(I365="Expires soon",1,3)))</f>
        <v/>
      </c>
      <c r="L365" s="112">
        <f>IF(G365="","",IF(G365&lt;AsOf,"",G365))</f>
        <v/>
      </c>
      <c r="M365" s="79">
        <f>IF(L365="","",IF(L365&lt;=AsOf+AlertDays,2,IF(L365&lt;=AsOf+90,3,"")))</f>
        <v/>
      </c>
      <c r="N365" s="79">
        <f>IF(M365="","","Warranty expires in "&amp;H365&amp;" days: "&amp;B365&amp;IF(C365="",""," ("&amp;C365&amp;")")&amp;" — check for defects")</f>
        <v/>
      </c>
      <c r="P365" s="72" t="n"/>
      <c r="Q365" s="72" t="n"/>
      <c r="R365" s="89" t="n"/>
      <c r="S365" s="109" t="n"/>
      <c r="T365" s="126">
        <f>IF(OR(R365="",S365=""),"",DATE(YEAR(S365),MONTH(S365)+R365,DAY(S365)))</f>
        <v/>
      </c>
      <c r="U365" s="144">
        <f>IF(T365="","",T365-AsOf)</f>
        <v/>
      </c>
      <c r="V365" s="107">
        <f>IF(T365="",IF(P365="","","Enter last-done date"),IF(U365&lt;0,"Overdue",IF(U365&lt;=30,"Due soon","OK")))</f>
        <v/>
      </c>
      <c r="W365" s="79">
        <f>IF(T365="","",IF(U365&lt;0,2,IF(U365&lt;=30,1,0)))</f>
        <v/>
      </c>
      <c r="X365" s="112">
        <f>IF(T365="","",T365)</f>
        <v/>
      </c>
      <c r="Y365" s="79">
        <f>IF(X365="","",IF(X365&lt;=AsOf+AlertDays,2,IF(X365&lt;=AsOf+30,3,"")))</f>
        <v/>
      </c>
      <c r="Z365" s="79">
        <f>IF(Y365="","",IF(U365&lt;0,"Maintenance overdue: ","Maintenance due: ")&amp;P365)</f>
        <v/>
      </c>
    </row>
    <row r="366" ht="20" customHeight="1">
      <c r="B366" s="72" t="n"/>
      <c r="C366" s="72" t="n"/>
      <c r="D366" s="72" t="n"/>
      <c r="E366" s="109" t="n"/>
      <c r="F366" s="74" t="n"/>
      <c r="G366" s="126">
        <f>IF(OR(E366="",F366=""),"",DATE(YEAR(E366),MONTH(E366)+ROUND(F366*12,0),DAY(E366)))</f>
        <v/>
      </c>
      <c r="H366" s="144">
        <f>IF(G366="","",G366-AsOf)</f>
        <v/>
      </c>
      <c r="I366" s="107">
        <f>IF(G366="","",IF(H366&lt;0,"Expired",IF(H366&lt;=90,"Expires soon","Active")))</f>
        <v/>
      </c>
      <c r="J366" s="72" t="n"/>
      <c r="K366" s="79">
        <f>IF(I366="","",IF(I366="Active",0,IF(I366="Expires soon",1,3)))</f>
        <v/>
      </c>
      <c r="L366" s="112">
        <f>IF(G366="","",IF(G366&lt;AsOf,"",G366))</f>
        <v/>
      </c>
      <c r="M366" s="79">
        <f>IF(L366="","",IF(L366&lt;=AsOf+AlertDays,2,IF(L366&lt;=AsOf+90,3,"")))</f>
        <v/>
      </c>
      <c r="N366" s="79">
        <f>IF(M366="","","Warranty expires in "&amp;H366&amp;" days: "&amp;B366&amp;IF(C366="",""," ("&amp;C366&amp;")")&amp;" — check for defects")</f>
        <v/>
      </c>
      <c r="P366" s="72" t="n"/>
      <c r="Q366" s="72" t="n"/>
      <c r="R366" s="89" t="n"/>
      <c r="S366" s="109" t="n"/>
      <c r="T366" s="126">
        <f>IF(OR(R366="",S366=""),"",DATE(YEAR(S366),MONTH(S366)+R366,DAY(S366)))</f>
        <v/>
      </c>
      <c r="U366" s="144">
        <f>IF(T366="","",T366-AsOf)</f>
        <v/>
      </c>
      <c r="V366" s="107">
        <f>IF(T366="",IF(P366="","","Enter last-done date"),IF(U366&lt;0,"Overdue",IF(U366&lt;=30,"Due soon","OK")))</f>
        <v/>
      </c>
      <c r="W366" s="79">
        <f>IF(T366="","",IF(U366&lt;0,2,IF(U366&lt;=30,1,0)))</f>
        <v/>
      </c>
      <c r="X366" s="112">
        <f>IF(T366="","",T366)</f>
        <v/>
      </c>
      <c r="Y366" s="79">
        <f>IF(X366="","",IF(X366&lt;=AsOf+AlertDays,2,IF(X366&lt;=AsOf+30,3,"")))</f>
        <v/>
      </c>
      <c r="Z366" s="79">
        <f>IF(Y366="","",IF(U366&lt;0,"Maintenance overdue: ","Maintenance due: ")&amp;P366)</f>
        <v/>
      </c>
    </row>
    <row r="367" ht="20" customHeight="1">
      <c r="B367" s="72" t="n"/>
      <c r="C367" s="72" t="n"/>
      <c r="D367" s="72" t="n"/>
      <c r="E367" s="109" t="n"/>
      <c r="F367" s="74" t="n"/>
      <c r="G367" s="126">
        <f>IF(OR(E367="",F367=""),"",DATE(YEAR(E367),MONTH(E367)+ROUND(F367*12,0),DAY(E367)))</f>
        <v/>
      </c>
      <c r="H367" s="144">
        <f>IF(G367="","",G367-AsOf)</f>
        <v/>
      </c>
      <c r="I367" s="107">
        <f>IF(G367="","",IF(H367&lt;0,"Expired",IF(H367&lt;=90,"Expires soon","Active")))</f>
        <v/>
      </c>
      <c r="J367" s="72" t="n"/>
      <c r="K367" s="79">
        <f>IF(I367="","",IF(I367="Active",0,IF(I367="Expires soon",1,3)))</f>
        <v/>
      </c>
      <c r="L367" s="112">
        <f>IF(G367="","",IF(G367&lt;AsOf,"",G367))</f>
        <v/>
      </c>
      <c r="M367" s="79">
        <f>IF(L367="","",IF(L367&lt;=AsOf+AlertDays,2,IF(L367&lt;=AsOf+90,3,"")))</f>
        <v/>
      </c>
      <c r="N367" s="79">
        <f>IF(M367="","","Warranty expires in "&amp;H367&amp;" days: "&amp;B367&amp;IF(C367="",""," ("&amp;C367&amp;")")&amp;" — check for defects")</f>
        <v/>
      </c>
      <c r="P367" s="72" t="n"/>
      <c r="Q367" s="72" t="n"/>
      <c r="R367" s="89" t="n"/>
      <c r="S367" s="109" t="n"/>
      <c r="T367" s="126">
        <f>IF(OR(R367="",S367=""),"",DATE(YEAR(S367),MONTH(S367)+R367,DAY(S367)))</f>
        <v/>
      </c>
      <c r="U367" s="144">
        <f>IF(T367="","",T367-AsOf)</f>
        <v/>
      </c>
      <c r="V367" s="107">
        <f>IF(T367="",IF(P367="","","Enter last-done date"),IF(U367&lt;0,"Overdue",IF(U367&lt;=30,"Due soon","OK")))</f>
        <v/>
      </c>
      <c r="W367" s="79">
        <f>IF(T367="","",IF(U367&lt;0,2,IF(U367&lt;=30,1,0)))</f>
        <v/>
      </c>
      <c r="X367" s="112">
        <f>IF(T367="","",T367)</f>
        <v/>
      </c>
      <c r="Y367" s="79">
        <f>IF(X367="","",IF(X367&lt;=AsOf+AlertDays,2,IF(X367&lt;=AsOf+30,3,"")))</f>
        <v/>
      </c>
      <c r="Z367" s="79">
        <f>IF(Y367="","",IF(U367&lt;0,"Maintenance overdue: ","Maintenance due: ")&amp;P367)</f>
        <v/>
      </c>
    </row>
    <row r="368" ht="20" customHeight="1">
      <c r="B368" s="72" t="n"/>
      <c r="C368" s="72" t="n"/>
      <c r="D368" s="72" t="n"/>
      <c r="E368" s="109" t="n"/>
      <c r="F368" s="74" t="n"/>
      <c r="G368" s="126">
        <f>IF(OR(E368="",F368=""),"",DATE(YEAR(E368),MONTH(E368)+ROUND(F368*12,0),DAY(E368)))</f>
        <v/>
      </c>
      <c r="H368" s="144">
        <f>IF(G368="","",G368-AsOf)</f>
        <v/>
      </c>
      <c r="I368" s="107">
        <f>IF(G368="","",IF(H368&lt;0,"Expired",IF(H368&lt;=90,"Expires soon","Active")))</f>
        <v/>
      </c>
      <c r="J368" s="72" t="n"/>
      <c r="K368" s="79">
        <f>IF(I368="","",IF(I368="Active",0,IF(I368="Expires soon",1,3)))</f>
        <v/>
      </c>
      <c r="L368" s="112">
        <f>IF(G368="","",IF(G368&lt;AsOf,"",G368))</f>
        <v/>
      </c>
      <c r="M368" s="79">
        <f>IF(L368="","",IF(L368&lt;=AsOf+AlertDays,2,IF(L368&lt;=AsOf+90,3,"")))</f>
        <v/>
      </c>
      <c r="N368" s="79">
        <f>IF(M368="","","Warranty expires in "&amp;H368&amp;" days: "&amp;B368&amp;IF(C368="",""," ("&amp;C368&amp;")")&amp;" — check for defects")</f>
        <v/>
      </c>
      <c r="P368" s="72" t="n"/>
      <c r="Q368" s="72" t="n"/>
      <c r="R368" s="89" t="n"/>
      <c r="S368" s="109" t="n"/>
      <c r="T368" s="126">
        <f>IF(OR(R368="",S368=""),"",DATE(YEAR(S368),MONTH(S368)+R368,DAY(S368)))</f>
        <v/>
      </c>
      <c r="U368" s="144">
        <f>IF(T368="","",T368-AsOf)</f>
        <v/>
      </c>
      <c r="V368" s="107">
        <f>IF(T368="",IF(P368="","","Enter last-done date"),IF(U368&lt;0,"Overdue",IF(U368&lt;=30,"Due soon","OK")))</f>
        <v/>
      </c>
      <c r="W368" s="79">
        <f>IF(T368="","",IF(U368&lt;0,2,IF(U368&lt;=30,1,0)))</f>
        <v/>
      </c>
      <c r="X368" s="112">
        <f>IF(T368="","",T368)</f>
        <v/>
      </c>
      <c r="Y368" s="79">
        <f>IF(X368="","",IF(X368&lt;=AsOf+AlertDays,2,IF(X368&lt;=AsOf+30,3,"")))</f>
        <v/>
      </c>
      <c r="Z368" s="79">
        <f>IF(Y368="","",IF(U368&lt;0,"Maintenance overdue: ","Maintenance due: ")&amp;P368)</f>
        <v/>
      </c>
    </row>
    <row r="369" ht="20" customHeight="1">
      <c r="B369" s="72" t="n"/>
      <c r="C369" s="72" t="n"/>
      <c r="D369" s="72" t="n"/>
      <c r="E369" s="109" t="n"/>
      <c r="F369" s="74" t="n"/>
      <c r="G369" s="126">
        <f>IF(OR(E369="",F369=""),"",DATE(YEAR(E369),MONTH(E369)+ROUND(F369*12,0),DAY(E369)))</f>
        <v/>
      </c>
      <c r="H369" s="144">
        <f>IF(G369="","",G369-AsOf)</f>
        <v/>
      </c>
      <c r="I369" s="107">
        <f>IF(G369="","",IF(H369&lt;0,"Expired",IF(H369&lt;=90,"Expires soon","Active")))</f>
        <v/>
      </c>
      <c r="J369" s="72" t="n"/>
      <c r="K369" s="79">
        <f>IF(I369="","",IF(I369="Active",0,IF(I369="Expires soon",1,3)))</f>
        <v/>
      </c>
      <c r="L369" s="112">
        <f>IF(G369="","",IF(G369&lt;AsOf,"",G369))</f>
        <v/>
      </c>
      <c r="M369" s="79">
        <f>IF(L369="","",IF(L369&lt;=AsOf+AlertDays,2,IF(L369&lt;=AsOf+90,3,"")))</f>
        <v/>
      </c>
      <c r="N369" s="79">
        <f>IF(M369="","","Warranty expires in "&amp;H369&amp;" days: "&amp;B369&amp;IF(C369="",""," ("&amp;C369&amp;")")&amp;" — check for defects")</f>
        <v/>
      </c>
      <c r="P369" s="72" t="n"/>
      <c r="Q369" s="72" t="n"/>
      <c r="R369" s="89" t="n"/>
      <c r="S369" s="109" t="n"/>
      <c r="T369" s="126">
        <f>IF(OR(R369="",S369=""),"",DATE(YEAR(S369),MONTH(S369)+R369,DAY(S369)))</f>
        <v/>
      </c>
      <c r="U369" s="144">
        <f>IF(T369="","",T369-AsOf)</f>
        <v/>
      </c>
      <c r="V369" s="107">
        <f>IF(T369="",IF(P369="","","Enter last-done date"),IF(U369&lt;0,"Overdue",IF(U369&lt;=30,"Due soon","OK")))</f>
        <v/>
      </c>
      <c r="W369" s="79">
        <f>IF(T369="","",IF(U369&lt;0,2,IF(U369&lt;=30,1,0)))</f>
        <v/>
      </c>
      <c r="X369" s="112">
        <f>IF(T369="","",T369)</f>
        <v/>
      </c>
      <c r="Y369" s="79">
        <f>IF(X369="","",IF(X369&lt;=AsOf+AlertDays,2,IF(X369&lt;=AsOf+30,3,"")))</f>
        <v/>
      </c>
      <c r="Z369" s="79">
        <f>IF(Y369="","",IF(U369&lt;0,"Maintenance overdue: ","Maintenance due: ")&amp;P369)</f>
        <v/>
      </c>
    </row>
    <row r="370" ht="20" customHeight="1">
      <c r="B370" s="72" t="n"/>
      <c r="C370" s="72" t="n"/>
      <c r="D370" s="72" t="n"/>
      <c r="E370" s="109" t="n"/>
      <c r="F370" s="74" t="n"/>
      <c r="G370" s="126">
        <f>IF(OR(E370="",F370=""),"",DATE(YEAR(E370),MONTH(E370)+ROUND(F370*12,0),DAY(E370)))</f>
        <v/>
      </c>
      <c r="H370" s="144">
        <f>IF(G370="","",G370-AsOf)</f>
        <v/>
      </c>
      <c r="I370" s="107">
        <f>IF(G370="","",IF(H370&lt;0,"Expired",IF(H370&lt;=90,"Expires soon","Active")))</f>
        <v/>
      </c>
      <c r="J370" s="72" t="n"/>
      <c r="K370" s="79">
        <f>IF(I370="","",IF(I370="Active",0,IF(I370="Expires soon",1,3)))</f>
        <v/>
      </c>
      <c r="L370" s="112">
        <f>IF(G370="","",IF(G370&lt;AsOf,"",G370))</f>
        <v/>
      </c>
      <c r="M370" s="79">
        <f>IF(L370="","",IF(L370&lt;=AsOf+AlertDays,2,IF(L370&lt;=AsOf+90,3,"")))</f>
        <v/>
      </c>
      <c r="N370" s="79">
        <f>IF(M370="","","Warranty expires in "&amp;H370&amp;" days: "&amp;B370&amp;IF(C370="",""," ("&amp;C370&amp;")")&amp;" — check for defects")</f>
        <v/>
      </c>
      <c r="P370" s="72" t="n"/>
      <c r="Q370" s="72" t="n"/>
      <c r="R370" s="89" t="n"/>
      <c r="S370" s="109" t="n"/>
      <c r="T370" s="126">
        <f>IF(OR(R370="",S370=""),"",DATE(YEAR(S370),MONTH(S370)+R370,DAY(S370)))</f>
        <v/>
      </c>
      <c r="U370" s="144">
        <f>IF(T370="","",T370-AsOf)</f>
        <v/>
      </c>
      <c r="V370" s="107">
        <f>IF(T370="",IF(P370="","","Enter last-done date"),IF(U370&lt;0,"Overdue",IF(U370&lt;=30,"Due soon","OK")))</f>
        <v/>
      </c>
      <c r="W370" s="79">
        <f>IF(T370="","",IF(U370&lt;0,2,IF(U370&lt;=30,1,0)))</f>
        <v/>
      </c>
      <c r="X370" s="112">
        <f>IF(T370="","",T370)</f>
        <v/>
      </c>
      <c r="Y370" s="79">
        <f>IF(X370="","",IF(X370&lt;=AsOf+AlertDays,2,IF(X370&lt;=AsOf+30,3,"")))</f>
        <v/>
      </c>
      <c r="Z370" s="79">
        <f>IF(Y370="","",IF(U370&lt;0,"Maintenance overdue: ","Maintenance due: ")&amp;P370)</f>
        <v/>
      </c>
    </row>
    <row r="371" ht="20" customHeight="1">
      <c r="B371" s="72" t="n"/>
      <c r="C371" s="72" t="n"/>
      <c r="D371" s="72" t="n"/>
      <c r="E371" s="109" t="n"/>
      <c r="F371" s="74" t="n"/>
      <c r="G371" s="126">
        <f>IF(OR(E371="",F371=""),"",DATE(YEAR(E371),MONTH(E371)+ROUND(F371*12,0),DAY(E371)))</f>
        <v/>
      </c>
      <c r="H371" s="144">
        <f>IF(G371="","",G371-AsOf)</f>
        <v/>
      </c>
      <c r="I371" s="107">
        <f>IF(G371="","",IF(H371&lt;0,"Expired",IF(H371&lt;=90,"Expires soon","Active")))</f>
        <v/>
      </c>
      <c r="J371" s="72" t="n"/>
      <c r="K371" s="79">
        <f>IF(I371="","",IF(I371="Active",0,IF(I371="Expires soon",1,3)))</f>
        <v/>
      </c>
      <c r="L371" s="112">
        <f>IF(G371="","",IF(G371&lt;AsOf,"",G371))</f>
        <v/>
      </c>
      <c r="M371" s="79">
        <f>IF(L371="","",IF(L371&lt;=AsOf+AlertDays,2,IF(L371&lt;=AsOf+90,3,"")))</f>
        <v/>
      </c>
      <c r="N371" s="79">
        <f>IF(M371="","","Warranty expires in "&amp;H371&amp;" days: "&amp;B371&amp;IF(C371="",""," ("&amp;C371&amp;")")&amp;" — check for defects")</f>
        <v/>
      </c>
      <c r="P371" s="72" t="n"/>
      <c r="Q371" s="72" t="n"/>
      <c r="R371" s="89" t="n"/>
      <c r="S371" s="109" t="n"/>
      <c r="T371" s="126">
        <f>IF(OR(R371="",S371=""),"",DATE(YEAR(S371),MONTH(S371)+R371,DAY(S371)))</f>
        <v/>
      </c>
      <c r="U371" s="144">
        <f>IF(T371="","",T371-AsOf)</f>
        <v/>
      </c>
      <c r="V371" s="107">
        <f>IF(T371="",IF(P371="","","Enter last-done date"),IF(U371&lt;0,"Overdue",IF(U371&lt;=30,"Due soon","OK")))</f>
        <v/>
      </c>
      <c r="W371" s="79">
        <f>IF(T371="","",IF(U371&lt;0,2,IF(U371&lt;=30,1,0)))</f>
        <v/>
      </c>
      <c r="X371" s="112">
        <f>IF(T371="","",T371)</f>
        <v/>
      </c>
      <c r="Y371" s="79">
        <f>IF(X371="","",IF(X371&lt;=AsOf+AlertDays,2,IF(X371&lt;=AsOf+30,3,"")))</f>
        <v/>
      </c>
      <c r="Z371" s="79">
        <f>IF(Y371="","",IF(U371&lt;0,"Maintenance overdue: ","Maintenance due: ")&amp;P371)</f>
        <v/>
      </c>
    </row>
    <row r="372" ht="20" customHeight="1">
      <c r="B372" s="72" t="n"/>
      <c r="C372" s="72" t="n"/>
      <c r="D372" s="72" t="n"/>
      <c r="E372" s="109" t="n"/>
      <c r="F372" s="74" t="n"/>
      <c r="G372" s="126">
        <f>IF(OR(E372="",F372=""),"",DATE(YEAR(E372),MONTH(E372)+ROUND(F372*12,0),DAY(E372)))</f>
        <v/>
      </c>
      <c r="H372" s="144">
        <f>IF(G372="","",G372-AsOf)</f>
        <v/>
      </c>
      <c r="I372" s="107">
        <f>IF(G372="","",IF(H372&lt;0,"Expired",IF(H372&lt;=90,"Expires soon","Active")))</f>
        <v/>
      </c>
      <c r="J372" s="72" t="n"/>
      <c r="K372" s="79">
        <f>IF(I372="","",IF(I372="Active",0,IF(I372="Expires soon",1,3)))</f>
        <v/>
      </c>
      <c r="L372" s="112">
        <f>IF(G372="","",IF(G372&lt;AsOf,"",G372))</f>
        <v/>
      </c>
      <c r="M372" s="79">
        <f>IF(L372="","",IF(L372&lt;=AsOf+AlertDays,2,IF(L372&lt;=AsOf+90,3,"")))</f>
        <v/>
      </c>
      <c r="N372" s="79">
        <f>IF(M372="","","Warranty expires in "&amp;H372&amp;" days: "&amp;B372&amp;IF(C372="",""," ("&amp;C372&amp;")")&amp;" — check for defects")</f>
        <v/>
      </c>
      <c r="P372" s="72" t="n"/>
      <c r="Q372" s="72" t="n"/>
      <c r="R372" s="89" t="n"/>
      <c r="S372" s="109" t="n"/>
      <c r="T372" s="126">
        <f>IF(OR(R372="",S372=""),"",DATE(YEAR(S372),MONTH(S372)+R372,DAY(S372)))</f>
        <v/>
      </c>
      <c r="U372" s="144">
        <f>IF(T372="","",T372-AsOf)</f>
        <v/>
      </c>
      <c r="V372" s="107">
        <f>IF(T372="",IF(P372="","","Enter last-done date"),IF(U372&lt;0,"Overdue",IF(U372&lt;=30,"Due soon","OK")))</f>
        <v/>
      </c>
      <c r="W372" s="79">
        <f>IF(T372="","",IF(U372&lt;0,2,IF(U372&lt;=30,1,0)))</f>
        <v/>
      </c>
      <c r="X372" s="112">
        <f>IF(T372="","",T372)</f>
        <v/>
      </c>
      <c r="Y372" s="79">
        <f>IF(X372="","",IF(X372&lt;=AsOf+AlertDays,2,IF(X372&lt;=AsOf+30,3,"")))</f>
        <v/>
      </c>
      <c r="Z372" s="79">
        <f>IF(Y372="","",IF(U372&lt;0,"Maintenance overdue: ","Maintenance due: ")&amp;P372)</f>
        <v/>
      </c>
    </row>
    <row r="373" ht="20" customHeight="1">
      <c r="B373" s="72" t="n"/>
      <c r="C373" s="72" t="n"/>
      <c r="D373" s="72" t="n"/>
      <c r="E373" s="109" t="n"/>
      <c r="F373" s="74" t="n"/>
      <c r="G373" s="126">
        <f>IF(OR(E373="",F373=""),"",DATE(YEAR(E373),MONTH(E373)+ROUND(F373*12,0),DAY(E373)))</f>
        <v/>
      </c>
      <c r="H373" s="144">
        <f>IF(G373="","",G373-AsOf)</f>
        <v/>
      </c>
      <c r="I373" s="107">
        <f>IF(G373="","",IF(H373&lt;0,"Expired",IF(H373&lt;=90,"Expires soon","Active")))</f>
        <v/>
      </c>
      <c r="J373" s="72" t="n"/>
      <c r="K373" s="79">
        <f>IF(I373="","",IF(I373="Active",0,IF(I373="Expires soon",1,3)))</f>
        <v/>
      </c>
      <c r="L373" s="112">
        <f>IF(G373="","",IF(G373&lt;AsOf,"",G373))</f>
        <v/>
      </c>
      <c r="M373" s="79">
        <f>IF(L373="","",IF(L373&lt;=AsOf+AlertDays,2,IF(L373&lt;=AsOf+90,3,"")))</f>
        <v/>
      </c>
      <c r="N373" s="79">
        <f>IF(M373="","","Warranty expires in "&amp;H373&amp;" days: "&amp;B373&amp;IF(C373="",""," ("&amp;C373&amp;")")&amp;" — check for defects")</f>
        <v/>
      </c>
      <c r="P373" s="72" t="n"/>
      <c r="Q373" s="72" t="n"/>
      <c r="R373" s="89" t="n"/>
      <c r="S373" s="109" t="n"/>
      <c r="T373" s="126">
        <f>IF(OR(R373="",S373=""),"",DATE(YEAR(S373),MONTH(S373)+R373,DAY(S373)))</f>
        <v/>
      </c>
      <c r="U373" s="144">
        <f>IF(T373="","",T373-AsOf)</f>
        <v/>
      </c>
      <c r="V373" s="107">
        <f>IF(T373="",IF(P373="","","Enter last-done date"),IF(U373&lt;0,"Overdue",IF(U373&lt;=30,"Due soon","OK")))</f>
        <v/>
      </c>
      <c r="W373" s="79">
        <f>IF(T373="","",IF(U373&lt;0,2,IF(U373&lt;=30,1,0)))</f>
        <v/>
      </c>
      <c r="X373" s="112">
        <f>IF(T373="","",T373)</f>
        <v/>
      </c>
      <c r="Y373" s="79">
        <f>IF(X373="","",IF(X373&lt;=AsOf+AlertDays,2,IF(X373&lt;=AsOf+30,3,"")))</f>
        <v/>
      </c>
      <c r="Z373" s="79">
        <f>IF(Y373="","",IF(U373&lt;0,"Maintenance overdue: ","Maintenance due: ")&amp;P373)</f>
        <v/>
      </c>
    </row>
    <row r="374" ht="20" customHeight="1">
      <c r="B374" s="72" t="n"/>
      <c r="C374" s="72" t="n"/>
      <c r="D374" s="72" t="n"/>
      <c r="E374" s="109" t="n"/>
      <c r="F374" s="74" t="n"/>
      <c r="G374" s="126">
        <f>IF(OR(E374="",F374=""),"",DATE(YEAR(E374),MONTH(E374)+ROUND(F374*12,0),DAY(E374)))</f>
        <v/>
      </c>
      <c r="H374" s="144">
        <f>IF(G374="","",G374-AsOf)</f>
        <v/>
      </c>
      <c r="I374" s="107">
        <f>IF(G374="","",IF(H374&lt;0,"Expired",IF(H374&lt;=90,"Expires soon","Active")))</f>
        <v/>
      </c>
      <c r="J374" s="72" t="n"/>
      <c r="K374" s="79">
        <f>IF(I374="","",IF(I374="Active",0,IF(I374="Expires soon",1,3)))</f>
        <v/>
      </c>
      <c r="L374" s="112">
        <f>IF(G374="","",IF(G374&lt;AsOf,"",G374))</f>
        <v/>
      </c>
      <c r="M374" s="79">
        <f>IF(L374="","",IF(L374&lt;=AsOf+AlertDays,2,IF(L374&lt;=AsOf+90,3,"")))</f>
        <v/>
      </c>
      <c r="N374" s="79">
        <f>IF(M374="","","Warranty expires in "&amp;H374&amp;" days: "&amp;B374&amp;IF(C374="",""," ("&amp;C374&amp;")")&amp;" — check for defects")</f>
        <v/>
      </c>
      <c r="P374" s="72" t="n"/>
      <c r="Q374" s="72" t="n"/>
      <c r="R374" s="89" t="n"/>
      <c r="S374" s="109" t="n"/>
      <c r="T374" s="126">
        <f>IF(OR(R374="",S374=""),"",DATE(YEAR(S374),MONTH(S374)+R374,DAY(S374)))</f>
        <v/>
      </c>
      <c r="U374" s="144">
        <f>IF(T374="","",T374-AsOf)</f>
        <v/>
      </c>
      <c r="V374" s="107">
        <f>IF(T374="",IF(P374="","","Enter last-done date"),IF(U374&lt;0,"Overdue",IF(U374&lt;=30,"Due soon","OK")))</f>
        <v/>
      </c>
      <c r="W374" s="79">
        <f>IF(T374="","",IF(U374&lt;0,2,IF(U374&lt;=30,1,0)))</f>
        <v/>
      </c>
      <c r="X374" s="112">
        <f>IF(T374="","",T374)</f>
        <v/>
      </c>
      <c r="Y374" s="79">
        <f>IF(X374="","",IF(X374&lt;=AsOf+AlertDays,2,IF(X374&lt;=AsOf+30,3,"")))</f>
        <v/>
      </c>
      <c r="Z374" s="79">
        <f>IF(Y374="","",IF(U374&lt;0,"Maintenance overdue: ","Maintenance due: ")&amp;P374)</f>
        <v/>
      </c>
    </row>
    <row r="375" ht="20" customHeight="1">
      <c r="B375" s="72" t="n"/>
      <c r="C375" s="72" t="n"/>
      <c r="D375" s="72" t="n"/>
      <c r="E375" s="109" t="n"/>
      <c r="F375" s="74" t="n"/>
      <c r="G375" s="126">
        <f>IF(OR(E375="",F375=""),"",DATE(YEAR(E375),MONTH(E375)+ROUND(F375*12,0),DAY(E375)))</f>
        <v/>
      </c>
      <c r="H375" s="144">
        <f>IF(G375="","",G375-AsOf)</f>
        <v/>
      </c>
      <c r="I375" s="107">
        <f>IF(G375="","",IF(H375&lt;0,"Expired",IF(H375&lt;=90,"Expires soon","Active")))</f>
        <v/>
      </c>
      <c r="J375" s="72" t="n"/>
      <c r="K375" s="79">
        <f>IF(I375="","",IF(I375="Active",0,IF(I375="Expires soon",1,3)))</f>
        <v/>
      </c>
      <c r="L375" s="112">
        <f>IF(G375="","",IF(G375&lt;AsOf,"",G375))</f>
        <v/>
      </c>
      <c r="M375" s="79">
        <f>IF(L375="","",IF(L375&lt;=AsOf+AlertDays,2,IF(L375&lt;=AsOf+90,3,"")))</f>
        <v/>
      </c>
      <c r="N375" s="79">
        <f>IF(M375="","","Warranty expires in "&amp;H375&amp;" days: "&amp;B375&amp;IF(C375="",""," ("&amp;C375&amp;")")&amp;" — check for defects")</f>
        <v/>
      </c>
      <c r="P375" s="72" t="n"/>
      <c r="Q375" s="72" t="n"/>
      <c r="R375" s="89" t="n"/>
      <c r="S375" s="109" t="n"/>
      <c r="T375" s="126">
        <f>IF(OR(R375="",S375=""),"",DATE(YEAR(S375),MONTH(S375)+R375,DAY(S375)))</f>
        <v/>
      </c>
      <c r="U375" s="144">
        <f>IF(T375="","",T375-AsOf)</f>
        <v/>
      </c>
      <c r="V375" s="107">
        <f>IF(T375="",IF(P375="","","Enter last-done date"),IF(U375&lt;0,"Overdue",IF(U375&lt;=30,"Due soon","OK")))</f>
        <v/>
      </c>
      <c r="W375" s="79">
        <f>IF(T375="","",IF(U375&lt;0,2,IF(U375&lt;=30,1,0)))</f>
        <v/>
      </c>
      <c r="X375" s="112">
        <f>IF(T375="","",T375)</f>
        <v/>
      </c>
      <c r="Y375" s="79">
        <f>IF(X375="","",IF(X375&lt;=AsOf+AlertDays,2,IF(X375&lt;=AsOf+30,3,"")))</f>
        <v/>
      </c>
      <c r="Z375" s="79">
        <f>IF(Y375="","",IF(U375&lt;0,"Maintenance overdue: ","Maintenance due: ")&amp;P375)</f>
        <v/>
      </c>
    </row>
    <row r="376" ht="20" customHeight="1">
      <c r="B376" s="72" t="n"/>
      <c r="C376" s="72" t="n"/>
      <c r="D376" s="72" t="n"/>
      <c r="E376" s="109" t="n"/>
      <c r="F376" s="74" t="n"/>
      <c r="G376" s="126">
        <f>IF(OR(E376="",F376=""),"",DATE(YEAR(E376),MONTH(E376)+ROUND(F376*12,0),DAY(E376)))</f>
        <v/>
      </c>
      <c r="H376" s="144">
        <f>IF(G376="","",G376-AsOf)</f>
        <v/>
      </c>
      <c r="I376" s="107">
        <f>IF(G376="","",IF(H376&lt;0,"Expired",IF(H376&lt;=90,"Expires soon","Active")))</f>
        <v/>
      </c>
      <c r="J376" s="72" t="n"/>
      <c r="K376" s="79">
        <f>IF(I376="","",IF(I376="Active",0,IF(I376="Expires soon",1,3)))</f>
        <v/>
      </c>
      <c r="L376" s="112">
        <f>IF(G376="","",IF(G376&lt;AsOf,"",G376))</f>
        <v/>
      </c>
      <c r="M376" s="79">
        <f>IF(L376="","",IF(L376&lt;=AsOf+AlertDays,2,IF(L376&lt;=AsOf+90,3,"")))</f>
        <v/>
      </c>
      <c r="N376" s="79">
        <f>IF(M376="","","Warranty expires in "&amp;H376&amp;" days: "&amp;B376&amp;IF(C376="",""," ("&amp;C376&amp;")")&amp;" — check for defects")</f>
        <v/>
      </c>
      <c r="P376" s="72" t="n"/>
      <c r="Q376" s="72" t="n"/>
      <c r="R376" s="89" t="n"/>
      <c r="S376" s="109" t="n"/>
      <c r="T376" s="126">
        <f>IF(OR(R376="",S376=""),"",DATE(YEAR(S376),MONTH(S376)+R376,DAY(S376)))</f>
        <v/>
      </c>
      <c r="U376" s="144">
        <f>IF(T376="","",T376-AsOf)</f>
        <v/>
      </c>
      <c r="V376" s="107">
        <f>IF(T376="",IF(P376="","","Enter last-done date"),IF(U376&lt;0,"Overdue",IF(U376&lt;=30,"Due soon","OK")))</f>
        <v/>
      </c>
      <c r="W376" s="79">
        <f>IF(T376="","",IF(U376&lt;0,2,IF(U376&lt;=30,1,0)))</f>
        <v/>
      </c>
      <c r="X376" s="112">
        <f>IF(T376="","",T376)</f>
        <v/>
      </c>
      <c r="Y376" s="79">
        <f>IF(X376="","",IF(X376&lt;=AsOf+AlertDays,2,IF(X376&lt;=AsOf+30,3,"")))</f>
        <v/>
      </c>
      <c r="Z376" s="79">
        <f>IF(Y376="","",IF(U376&lt;0,"Maintenance overdue: ","Maintenance due: ")&amp;P376)</f>
        <v/>
      </c>
    </row>
    <row r="377" ht="20" customHeight="1">
      <c r="B377" s="72" t="n"/>
      <c r="C377" s="72" t="n"/>
      <c r="D377" s="72" t="n"/>
      <c r="E377" s="109" t="n"/>
      <c r="F377" s="74" t="n"/>
      <c r="G377" s="126">
        <f>IF(OR(E377="",F377=""),"",DATE(YEAR(E377),MONTH(E377)+ROUND(F377*12,0),DAY(E377)))</f>
        <v/>
      </c>
      <c r="H377" s="144">
        <f>IF(G377="","",G377-AsOf)</f>
        <v/>
      </c>
      <c r="I377" s="107">
        <f>IF(G377="","",IF(H377&lt;0,"Expired",IF(H377&lt;=90,"Expires soon","Active")))</f>
        <v/>
      </c>
      <c r="J377" s="72" t="n"/>
      <c r="K377" s="79">
        <f>IF(I377="","",IF(I377="Active",0,IF(I377="Expires soon",1,3)))</f>
        <v/>
      </c>
      <c r="L377" s="112">
        <f>IF(G377="","",IF(G377&lt;AsOf,"",G377))</f>
        <v/>
      </c>
      <c r="M377" s="79">
        <f>IF(L377="","",IF(L377&lt;=AsOf+AlertDays,2,IF(L377&lt;=AsOf+90,3,"")))</f>
        <v/>
      </c>
      <c r="N377" s="79">
        <f>IF(M377="","","Warranty expires in "&amp;H377&amp;" days: "&amp;B377&amp;IF(C377="",""," ("&amp;C377&amp;")")&amp;" — check for defects")</f>
        <v/>
      </c>
      <c r="P377" s="72" t="n"/>
      <c r="Q377" s="72" t="n"/>
      <c r="R377" s="89" t="n"/>
      <c r="S377" s="109" t="n"/>
      <c r="T377" s="126">
        <f>IF(OR(R377="",S377=""),"",DATE(YEAR(S377),MONTH(S377)+R377,DAY(S377)))</f>
        <v/>
      </c>
      <c r="U377" s="144">
        <f>IF(T377="","",T377-AsOf)</f>
        <v/>
      </c>
      <c r="V377" s="107">
        <f>IF(T377="",IF(P377="","","Enter last-done date"),IF(U377&lt;0,"Overdue",IF(U377&lt;=30,"Due soon","OK")))</f>
        <v/>
      </c>
      <c r="W377" s="79">
        <f>IF(T377="","",IF(U377&lt;0,2,IF(U377&lt;=30,1,0)))</f>
        <v/>
      </c>
      <c r="X377" s="112">
        <f>IF(T377="","",T377)</f>
        <v/>
      </c>
      <c r="Y377" s="79">
        <f>IF(X377="","",IF(X377&lt;=AsOf+AlertDays,2,IF(X377&lt;=AsOf+30,3,"")))</f>
        <v/>
      </c>
      <c r="Z377" s="79">
        <f>IF(Y377="","",IF(U377&lt;0,"Maintenance overdue: ","Maintenance due: ")&amp;P377)</f>
        <v/>
      </c>
    </row>
    <row r="378" ht="20" customHeight="1">
      <c r="B378" s="72" t="n"/>
      <c r="C378" s="72" t="n"/>
      <c r="D378" s="72" t="n"/>
      <c r="E378" s="109" t="n"/>
      <c r="F378" s="74" t="n"/>
      <c r="G378" s="126">
        <f>IF(OR(E378="",F378=""),"",DATE(YEAR(E378),MONTH(E378)+ROUND(F378*12,0),DAY(E378)))</f>
        <v/>
      </c>
      <c r="H378" s="144">
        <f>IF(G378="","",G378-AsOf)</f>
        <v/>
      </c>
      <c r="I378" s="107">
        <f>IF(G378="","",IF(H378&lt;0,"Expired",IF(H378&lt;=90,"Expires soon","Active")))</f>
        <v/>
      </c>
      <c r="J378" s="72" t="n"/>
      <c r="K378" s="79">
        <f>IF(I378="","",IF(I378="Active",0,IF(I378="Expires soon",1,3)))</f>
        <v/>
      </c>
      <c r="L378" s="112">
        <f>IF(G378="","",IF(G378&lt;AsOf,"",G378))</f>
        <v/>
      </c>
      <c r="M378" s="79">
        <f>IF(L378="","",IF(L378&lt;=AsOf+AlertDays,2,IF(L378&lt;=AsOf+90,3,"")))</f>
        <v/>
      </c>
      <c r="N378" s="79">
        <f>IF(M378="","","Warranty expires in "&amp;H378&amp;" days: "&amp;B378&amp;IF(C378="",""," ("&amp;C378&amp;")")&amp;" — check for defects")</f>
        <v/>
      </c>
      <c r="P378" s="72" t="n"/>
      <c r="Q378" s="72" t="n"/>
      <c r="R378" s="89" t="n"/>
      <c r="S378" s="109" t="n"/>
      <c r="T378" s="126">
        <f>IF(OR(R378="",S378=""),"",DATE(YEAR(S378),MONTH(S378)+R378,DAY(S378)))</f>
        <v/>
      </c>
      <c r="U378" s="144">
        <f>IF(T378="","",T378-AsOf)</f>
        <v/>
      </c>
      <c r="V378" s="107">
        <f>IF(T378="",IF(P378="","","Enter last-done date"),IF(U378&lt;0,"Overdue",IF(U378&lt;=30,"Due soon","OK")))</f>
        <v/>
      </c>
      <c r="W378" s="79">
        <f>IF(T378="","",IF(U378&lt;0,2,IF(U378&lt;=30,1,0)))</f>
        <v/>
      </c>
      <c r="X378" s="112">
        <f>IF(T378="","",T378)</f>
        <v/>
      </c>
      <c r="Y378" s="79">
        <f>IF(X378="","",IF(X378&lt;=AsOf+AlertDays,2,IF(X378&lt;=AsOf+30,3,"")))</f>
        <v/>
      </c>
      <c r="Z378" s="79">
        <f>IF(Y378="","",IF(U378&lt;0,"Maintenance overdue: ","Maintenance due: ")&amp;P378)</f>
        <v/>
      </c>
    </row>
    <row r="379" ht="20" customHeight="1">
      <c r="B379" s="72" t="n"/>
      <c r="C379" s="72" t="n"/>
      <c r="D379" s="72" t="n"/>
      <c r="E379" s="109" t="n"/>
      <c r="F379" s="74" t="n"/>
      <c r="G379" s="126">
        <f>IF(OR(E379="",F379=""),"",DATE(YEAR(E379),MONTH(E379)+ROUND(F379*12,0),DAY(E379)))</f>
        <v/>
      </c>
      <c r="H379" s="144">
        <f>IF(G379="","",G379-AsOf)</f>
        <v/>
      </c>
      <c r="I379" s="107">
        <f>IF(G379="","",IF(H379&lt;0,"Expired",IF(H379&lt;=90,"Expires soon","Active")))</f>
        <v/>
      </c>
      <c r="J379" s="72" t="n"/>
      <c r="K379" s="79">
        <f>IF(I379="","",IF(I379="Active",0,IF(I379="Expires soon",1,3)))</f>
        <v/>
      </c>
      <c r="L379" s="112">
        <f>IF(G379="","",IF(G379&lt;AsOf,"",G379))</f>
        <v/>
      </c>
      <c r="M379" s="79">
        <f>IF(L379="","",IF(L379&lt;=AsOf+AlertDays,2,IF(L379&lt;=AsOf+90,3,"")))</f>
        <v/>
      </c>
      <c r="N379" s="79">
        <f>IF(M379="","","Warranty expires in "&amp;H379&amp;" days: "&amp;B379&amp;IF(C379="",""," ("&amp;C379&amp;")")&amp;" — check for defects")</f>
        <v/>
      </c>
      <c r="P379" s="72" t="n"/>
      <c r="Q379" s="72" t="n"/>
      <c r="R379" s="89" t="n"/>
      <c r="S379" s="109" t="n"/>
      <c r="T379" s="126">
        <f>IF(OR(R379="",S379=""),"",DATE(YEAR(S379),MONTH(S379)+R379,DAY(S379)))</f>
        <v/>
      </c>
      <c r="U379" s="144">
        <f>IF(T379="","",T379-AsOf)</f>
        <v/>
      </c>
      <c r="V379" s="107">
        <f>IF(T379="",IF(P379="","","Enter last-done date"),IF(U379&lt;0,"Overdue",IF(U379&lt;=30,"Due soon","OK")))</f>
        <v/>
      </c>
      <c r="W379" s="79">
        <f>IF(T379="","",IF(U379&lt;0,2,IF(U379&lt;=30,1,0)))</f>
        <v/>
      </c>
      <c r="X379" s="112">
        <f>IF(T379="","",T379)</f>
        <v/>
      </c>
      <c r="Y379" s="79">
        <f>IF(X379="","",IF(X379&lt;=AsOf+AlertDays,2,IF(X379&lt;=AsOf+30,3,"")))</f>
        <v/>
      </c>
      <c r="Z379" s="79">
        <f>IF(Y379="","",IF(U379&lt;0,"Maintenance overdue: ","Maintenance due: ")&amp;P379)</f>
        <v/>
      </c>
    </row>
    <row r="380" ht="20" customHeight="1">
      <c r="B380" s="72" t="n"/>
      <c r="C380" s="72" t="n"/>
      <c r="D380" s="72" t="n"/>
      <c r="E380" s="109" t="n"/>
      <c r="F380" s="74" t="n"/>
      <c r="G380" s="126">
        <f>IF(OR(E380="",F380=""),"",DATE(YEAR(E380),MONTH(E380)+ROUND(F380*12,0),DAY(E380)))</f>
        <v/>
      </c>
      <c r="H380" s="144">
        <f>IF(G380="","",G380-AsOf)</f>
        <v/>
      </c>
      <c r="I380" s="107">
        <f>IF(G380="","",IF(H380&lt;0,"Expired",IF(H380&lt;=90,"Expires soon","Active")))</f>
        <v/>
      </c>
      <c r="J380" s="72" t="n"/>
      <c r="K380" s="79">
        <f>IF(I380="","",IF(I380="Active",0,IF(I380="Expires soon",1,3)))</f>
        <v/>
      </c>
      <c r="L380" s="112">
        <f>IF(G380="","",IF(G380&lt;AsOf,"",G380))</f>
        <v/>
      </c>
      <c r="M380" s="79">
        <f>IF(L380="","",IF(L380&lt;=AsOf+AlertDays,2,IF(L380&lt;=AsOf+90,3,"")))</f>
        <v/>
      </c>
      <c r="N380" s="79">
        <f>IF(M380="","","Warranty expires in "&amp;H380&amp;" days: "&amp;B380&amp;IF(C380="",""," ("&amp;C380&amp;")")&amp;" — check for defects")</f>
        <v/>
      </c>
      <c r="P380" s="72" t="n"/>
      <c r="Q380" s="72" t="n"/>
      <c r="R380" s="89" t="n"/>
      <c r="S380" s="109" t="n"/>
      <c r="T380" s="126">
        <f>IF(OR(R380="",S380=""),"",DATE(YEAR(S380),MONTH(S380)+R380,DAY(S380)))</f>
        <v/>
      </c>
      <c r="U380" s="144">
        <f>IF(T380="","",T380-AsOf)</f>
        <v/>
      </c>
      <c r="V380" s="107">
        <f>IF(T380="",IF(P380="","","Enter last-done date"),IF(U380&lt;0,"Overdue",IF(U380&lt;=30,"Due soon","OK")))</f>
        <v/>
      </c>
      <c r="W380" s="79">
        <f>IF(T380="","",IF(U380&lt;0,2,IF(U380&lt;=30,1,0)))</f>
        <v/>
      </c>
      <c r="X380" s="112">
        <f>IF(T380="","",T380)</f>
        <v/>
      </c>
      <c r="Y380" s="79">
        <f>IF(X380="","",IF(X380&lt;=AsOf+AlertDays,2,IF(X380&lt;=AsOf+30,3,"")))</f>
        <v/>
      </c>
      <c r="Z380" s="79">
        <f>IF(Y380="","",IF(U380&lt;0,"Maintenance overdue: ","Maintenance due: ")&amp;P380)</f>
        <v/>
      </c>
    </row>
    <row r="381" ht="20" customHeight="1">
      <c r="B381" s="72" t="n"/>
      <c r="C381" s="72" t="n"/>
      <c r="D381" s="72" t="n"/>
      <c r="E381" s="109" t="n"/>
      <c r="F381" s="74" t="n"/>
      <c r="G381" s="126">
        <f>IF(OR(E381="",F381=""),"",DATE(YEAR(E381),MONTH(E381)+ROUND(F381*12,0),DAY(E381)))</f>
        <v/>
      </c>
      <c r="H381" s="144">
        <f>IF(G381="","",G381-AsOf)</f>
        <v/>
      </c>
      <c r="I381" s="107">
        <f>IF(G381="","",IF(H381&lt;0,"Expired",IF(H381&lt;=90,"Expires soon","Active")))</f>
        <v/>
      </c>
      <c r="J381" s="72" t="n"/>
      <c r="K381" s="79">
        <f>IF(I381="","",IF(I381="Active",0,IF(I381="Expires soon",1,3)))</f>
        <v/>
      </c>
      <c r="L381" s="112">
        <f>IF(G381="","",IF(G381&lt;AsOf,"",G381))</f>
        <v/>
      </c>
      <c r="M381" s="79">
        <f>IF(L381="","",IF(L381&lt;=AsOf+AlertDays,2,IF(L381&lt;=AsOf+90,3,"")))</f>
        <v/>
      </c>
      <c r="N381" s="79">
        <f>IF(M381="","","Warranty expires in "&amp;H381&amp;" days: "&amp;B381&amp;IF(C381="",""," ("&amp;C381&amp;")")&amp;" — check for defects")</f>
        <v/>
      </c>
      <c r="P381" s="72" t="n"/>
      <c r="Q381" s="72" t="n"/>
      <c r="R381" s="89" t="n"/>
      <c r="S381" s="109" t="n"/>
      <c r="T381" s="126">
        <f>IF(OR(R381="",S381=""),"",DATE(YEAR(S381),MONTH(S381)+R381,DAY(S381)))</f>
        <v/>
      </c>
      <c r="U381" s="144">
        <f>IF(T381="","",T381-AsOf)</f>
        <v/>
      </c>
      <c r="V381" s="107">
        <f>IF(T381="",IF(P381="","","Enter last-done date"),IF(U381&lt;0,"Overdue",IF(U381&lt;=30,"Due soon","OK")))</f>
        <v/>
      </c>
      <c r="W381" s="79">
        <f>IF(T381="","",IF(U381&lt;0,2,IF(U381&lt;=30,1,0)))</f>
        <v/>
      </c>
      <c r="X381" s="112">
        <f>IF(T381="","",T381)</f>
        <v/>
      </c>
      <c r="Y381" s="79">
        <f>IF(X381="","",IF(X381&lt;=AsOf+AlertDays,2,IF(X381&lt;=AsOf+30,3,"")))</f>
        <v/>
      </c>
      <c r="Z381" s="79">
        <f>IF(Y381="","",IF(U381&lt;0,"Maintenance overdue: ","Maintenance due: ")&amp;P381)</f>
        <v/>
      </c>
    </row>
    <row r="382" ht="20" customHeight="1">
      <c r="B382" s="72" t="n"/>
      <c r="C382" s="72" t="n"/>
      <c r="D382" s="72" t="n"/>
      <c r="E382" s="109" t="n"/>
      <c r="F382" s="74" t="n"/>
      <c r="G382" s="126">
        <f>IF(OR(E382="",F382=""),"",DATE(YEAR(E382),MONTH(E382)+ROUND(F382*12,0),DAY(E382)))</f>
        <v/>
      </c>
      <c r="H382" s="144">
        <f>IF(G382="","",G382-AsOf)</f>
        <v/>
      </c>
      <c r="I382" s="107">
        <f>IF(G382="","",IF(H382&lt;0,"Expired",IF(H382&lt;=90,"Expires soon","Active")))</f>
        <v/>
      </c>
      <c r="J382" s="72" t="n"/>
      <c r="K382" s="79">
        <f>IF(I382="","",IF(I382="Active",0,IF(I382="Expires soon",1,3)))</f>
        <v/>
      </c>
      <c r="L382" s="112">
        <f>IF(G382="","",IF(G382&lt;AsOf,"",G382))</f>
        <v/>
      </c>
      <c r="M382" s="79">
        <f>IF(L382="","",IF(L382&lt;=AsOf+AlertDays,2,IF(L382&lt;=AsOf+90,3,"")))</f>
        <v/>
      </c>
      <c r="N382" s="79">
        <f>IF(M382="","","Warranty expires in "&amp;H382&amp;" days: "&amp;B382&amp;IF(C382="",""," ("&amp;C382&amp;")")&amp;" — check for defects")</f>
        <v/>
      </c>
      <c r="P382" s="72" t="n"/>
      <c r="Q382" s="72" t="n"/>
      <c r="R382" s="89" t="n"/>
      <c r="S382" s="109" t="n"/>
      <c r="T382" s="126">
        <f>IF(OR(R382="",S382=""),"",DATE(YEAR(S382),MONTH(S382)+R382,DAY(S382)))</f>
        <v/>
      </c>
      <c r="U382" s="144">
        <f>IF(T382="","",T382-AsOf)</f>
        <v/>
      </c>
      <c r="V382" s="107">
        <f>IF(T382="",IF(P382="","","Enter last-done date"),IF(U382&lt;0,"Overdue",IF(U382&lt;=30,"Due soon","OK")))</f>
        <v/>
      </c>
      <c r="W382" s="79">
        <f>IF(T382="","",IF(U382&lt;0,2,IF(U382&lt;=30,1,0)))</f>
        <v/>
      </c>
      <c r="X382" s="112">
        <f>IF(T382="","",T382)</f>
        <v/>
      </c>
      <c r="Y382" s="79">
        <f>IF(X382="","",IF(X382&lt;=AsOf+AlertDays,2,IF(X382&lt;=AsOf+30,3,"")))</f>
        <v/>
      </c>
      <c r="Z382" s="79">
        <f>IF(Y382="","",IF(U382&lt;0,"Maintenance overdue: ","Maintenance due: ")&amp;P382)</f>
        <v/>
      </c>
    </row>
    <row r="383" ht="20" customHeight="1">
      <c r="B383" s="72" t="n"/>
      <c r="C383" s="72" t="n"/>
      <c r="D383" s="72" t="n"/>
      <c r="E383" s="109" t="n"/>
      <c r="F383" s="74" t="n"/>
      <c r="G383" s="126">
        <f>IF(OR(E383="",F383=""),"",DATE(YEAR(E383),MONTH(E383)+ROUND(F383*12,0),DAY(E383)))</f>
        <v/>
      </c>
      <c r="H383" s="144">
        <f>IF(G383="","",G383-AsOf)</f>
        <v/>
      </c>
      <c r="I383" s="107">
        <f>IF(G383="","",IF(H383&lt;0,"Expired",IF(H383&lt;=90,"Expires soon","Active")))</f>
        <v/>
      </c>
      <c r="J383" s="72" t="n"/>
      <c r="K383" s="79">
        <f>IF(I383="","",IF(I383="Active",0,IF(I383="Expires soon",1,3)))</f>
        <v/>
      </c>
      <c r="L383" s="112">
        <f>IF(G383="","",IF(G383&lt;AsOf,"",G383))</f>
        <v/>
      </c>
      <c r="M383" s="79">
        <f>IF(L383="","",IF(L383&lt;=AsOf+AlertDays,2,IF(L383&lt;=AsOf+90,3,"")))</f>
        <v/>
      </c>
      <c r="N383" s="79">
        <f>IF(M383="","","Warranty expires in "&amp;H383&amp;" days: "&amp;B383&amp;IF(C383="",""," ("&amp;C383&amp;")")&amp;" — check for defects")</f>
        <v/>
      </c>
      <c r="P383" s="72" t="n"/>
      <c r="Q383" s="72" t="n"/>
      <c r="R383" s="89" t="n"/>
      <c r="S383" s="109" t="n"/>
      <c r="T383" s="126">
        <f>IF(OR(R383="",S383=""),"",DATE(YEAR(S383),MONTH(S383)+R383,DAY(S383)))</f>
        <v/>
      </c>
      <c r="U383" s="144">
        <f>IF(T383="","",T383-AsOf)</f>
        <v/>
      </c>
      <c r="V383" s="107">
        <f>IF(T383="",IF(P383="","","Enter last-done date"),IF(U383&lt;0,"Overdue",IF(U383&lt;=30,"Due soon","OK")))</f>
        <v/>
      </c>
      <c r="W383" s="79">
        <f>IF(T383="","",IF(U383&lt;0,2,IF(U383&lt;=30,1,0)))</f>
        <v/>
      </c>
      <c r="X383" s="112">
        <f>IF(T383="","",T383)</f>
        <v/>
      </c>
      <c r="Y383" s="79">
        <f>IF(X383="","",IF(X383&lt;=AsOf+AlertDays,2,IF(X383&lt;=AsOf+30,3,"")))</f>
        <v/>
      </c>
      <c r="Z383" s="79">
        <f>IF(Y383="","",IF(U383&lt;0,"Maintenance overdue: ","Maintenance due: ")&amp;P383)</f>
        <v/>
      </c>
    </row>
    <row r="384" ht="20" customHeight="1">
      <c r="B384" s="72" t="n"/>
      <c r="C384" s="72" t="n"/>
      <c r="D384" s="72" t="n"/>
      <c r="E384" s="109" t="n"/>
      <c r="F384" s="74" t="n"/>
      <c r="G384" s="126">
        <f>IF(OR(E384="",F384=""),"",DATE(YEAR(E384),MONTH(E384)+ROUND(F384*12,0),DAY(E384)))</f>
        <v/>
      </c>
      <c r="H384" s="144">
        <f>IF(G384="","",G384-AsOf)</f>
        <v/>
      </c>
      <c r="I384" s="107">
        <f>IF(G384="","",IF(H384&lt;0,"Expired",IF(H384&lt;=90,"Expires soon","Active")))</f>
        <v/>
      </c>
      <c r="J384" s="72" t="n"/>
      <c r="K384" s="79">
        <f>IF(I384="","",IF(I384="Active",0,IF(I384="Expires soon",1,3)))</f>
        <v/>
      </c>
      <c r="L384" s="112">
        <f>IF(G384="","",IF(G384&lt;AsOf,"",G384))</f>
        <v/>
      </c>
      <c r="M384" s="79">
        <f>IF(L384="","",IF(L384&lt;=AsOf+AlertDays,2,IF(L384&lt;=AsOf+90,3,"")))</f>
        <v/>
      </c>
      <c r="N384" s="79">
        <f>IF(M384="","","Warranty expires in "&amp;H384&amp;" days: "&amp;B384&amp;IF(C384="",""," ("&amp;C384&amp;")")&amp;" — check for defects")</f>
        <v/>
      </c>
      <c r="P384" s="72" t="n"/>
      <c r="Q384" s="72" t="n"/>
      <c r="R384" s="89" t="n"/>
      <c r="S384" s="109" t="n"/>
      <c r="T384" s="126">
        <f>IF(OR(R384="",S384=""),"",DATE(YEAR(S384),MONTH(S384)+R384,DAY(S384)))</f>
        <v/>
      </c>
      <c r="U384" s="144">
        <f>IF(T384="","",T384-AsOf)</f>
        <v/>
      </c>
      <c r="V384" s="107">
        <f>IF(T384="",IF(P384="","","Enter last-done date"),IF(U384&lt;0,"Overdue",IF(U384&lt;=30,"Due soon","OK")))</f>
        <v/>
      </c>
      <c r="W384" s="79">
        <f>IF(T384="","",IF(U384&lt;0,2,IF(U384&lt;=30,1,0)))</f>
        <v/>
      </c>
      <c r="X384" s="112">
        <f>IF(T384="","",T384)</f>
        <v/>
      </c>
      <c r="Y384" s="79">
        <f>IF(X384="","",IF(X384&lt;=AsOf+AlertDays,2,IF(X384&lt;=AsOf+30,3,"")))</f>
        <v/>
      </c>
      <c r="Z384" s="79">
        <f>IF(Y384="","",IF(U384&lt;0,"Maintenance overdue: ","Maintenance due: ")&amp;P384)</f>
        <v/>
      </c>
    </row>
    <row r="385" ht="20" customHeight="1">
      <c r="B385" s="72" t="n"/>
      <c r="C385" s="72" t="n"/>
      <c r="D385" s="72" t="n"/>
      <c r="E385" s="109" t="n"/>
      <c r="F385" s="74" t="n"/>
      <c r="G385" s="126">
        <f>IF(OR(E385="",F385=""),"",DATE(YEAR(E385),MONTH(E385)+ROUND(F385*12,0),DAY(E385)))</f>
        <v/>
      </c>
      <c r="H385" s="144">
        <f>IF(G385="","",G385-AsOf)</f>
        <v/>
      </c>
      <c r="I385" s="107">
        <f>IF(G385="","",IF(H385&lt;0,"Expired",IF(H385&lt;=90,"Expires soon","Active")))</f>
        <v/>
      </c>
      <c r="J385" s="72" t="n"/>
      <c r="K385" s="79">
        <f>IF(I385="","",IF(I385="Active",0,IF(I385="Expires soon",1,3)))</f>
        <v/>
      </c>
      <c r="L385" s="112">
        <f>IF(G385="","",IF(G385&lt;AsOf,"",G385))</f>
        <v/>
      </c>
      <c r="M385" s="79">
        <f>IF(L385="","",IF(L385&lt;=AsOf+AlertDays,2,IF(L385&lt;=AsOf+90,3,"")))</f>
        <v/>
      </c>
      <c r="N385" s="79">
        <f>IF(M385="","","Warranty expires in "&amp;H385&amp;" days: "&amp;B385&amp;IF(C385="",""," ("&amp;C385&amp;")")&amp;" — check for defects")</f>
        <v/>
      </c>
      <c r="P385" s="72" t="n"/>
      <c r="Q385" s="72" t="n"/>
      <c r="R385" s="89" t="n"/>
      <c r="S385" s="109" t="n"/>
      <c r="T385" s="126">
        <f>IF(OR(R385="",S385=""),"",DATE(YEAR(S385),MONTH(S385)+R385,DAY(S385)))</f>
        <v/>
      </c>
      <c r="U385" s="144">
        <f>IF(T385="","",T385-AsOf)</f>
        <v/>
      </c>
      <c r="V385" s="107">
        <f>IF(T385="",IF(P385="","","Enter last-done date"),IF(U385&lt;0,"Overdue",IF(U385&lt;=30,"Due soon","OK")))</f>
        <v/>
      </c>
      <c r="W385" s="79">
        <f>IF(T385="","",IF(U385&lt;0,2,IF(U385&lt;=30,1,0)))</f>
        <v/>
      </c>
      <c r="X385" s="112">
        <f>IF(T385="","",T385)</f>
        <v/>
      </c>
      <c r="Y385" s="79">
        <f>IF(X385="","",IF(X385&lt;=AsOf+AlertDays,2,IF(X385&lt;=AsOf+30,3,"")))</f>
        <v/>
      </c>
      <c r="Z385" s="79">
        <f>IF(Y385="","",IF(U385&lt;0,"Maintenance overdue: ","Maintenance due: ")&amp;P385)</f>
        <v/>
      </c>
    </row>
    <row r="386" ht="20" customHeight="1">
      <c r="B386" s="72" t="n"/>
      <c r="C386" s="72" t="n"/>
      <c r="D386" s="72" t="n"/>
      <c r="E386" s="109" t="n"/>
      <c r="F386" s="74" t="n"/>
      <c r="G386" s="126">
        <f>IF(OR(E386="",F386=""),"",DATE(YEAR(E386),MONTH(E386)+ROUND(F386*12,0),DAY(E386)))</f>
        <v/>
      </c>
      <c r="H386" s="144">
        <f>IF(G386="","",G386-AsOf)</f>
        <v/>
      </c>
      <c r="I386" s="107">
        <f>IF(G386="","",IF(H386&lt;0,"Expired",IF(H386&lt;=90,"Expires soon","Active")))</f>
        <v/>
      </c>
      <c r="J386" s="72" t="n"/>
      <c r="K386" s="79">
        <f>IF(I386="","",IF(I386="Active",0,IF(I386="Expires soon",1,3)))</f>
        <v/>
      </c>
      <c r="L386" s="112">
        <f>IF(G386="","",IF(G386&lt;AsOf,"",G386))</f>
        <v/>
      </c>
      <c r="M386" s="79">
        <f>IF(L386="","",IF(L386&lt;=AsOf+AlertDays,2,IF(L386&lt;=AsOf+90,3,"")))</f>
        <v/>
      </c>
      <c r="N386" s="79">
        <f>IF(M386="","","Warranty expires in "&amp;H386&amp;" days: "&amp;B386&amp;IF(C386="",""," ("&amp;C386&amp;")")&amp;" — check for defects")</f>
        <v/>
      </c>
      <c r="P386" s="72" t="n"/>
      <c r="Q386" s="72" t="n"/>
      <c r="R386" s="89" t="n"/>
      <c r="S386" s="109" t="n"/>
      <c r="T386" s="126">
        <f>IF(OR(R386="",S386=""),"",DATE(YEAR(S386),MONTH(S386)+R386,DAY(S386)))</f>
        <v/>
      </c>
      <c r="U386" s="144">
        <f>IF(T386="","",T386-AsOf)</f>
        <v/>
      </c>
      <c r="V386" s="107">
        <f>IF(T386="",IF(P386="","","Enter last-done date"),IF(U386&lt;0,"Overdue",IF(U386&lt;=30,"Due soon","OK")))</f>
        <v/>
      </c>
      <c r="W386" s="79">
        <f>IF(T386="","",IF(U386&lt;0,2,IF(U386&lt;=30,1,0)))</f>
        <v/>
      </c>
      <c r="X386" s="112">
        <f>IF(T386="","",T386)</f>
        <v/>
      </c>
      <c r="Y386" s="79">
        <f>IF(X386="","",IF(X386&lt;=AsOf+AlertDays,2,IF(X386&lt;=AsOf+30,3,"")))</f>
        <v/>
      </c>
      <c r="Z386" s="79">
        <f>IF(Y386="","",IF(U386&lt;0,"Maintenance overdue: ","Maintenance due: ")&amp;P386)</f>
        <v/>
      </c>
    </row>
    <row r="387" ht="20" customHeight="1">
      <c r="B387" s="72" t="n"/>
      <c r="C387" s="72" t="n"/>
      <c r="D387" s="72" t="n"/>
      <c r="E387" s="109" t="n"/>
      <c r="F387" s="74" t="n"/>
      <c r="G387" s="126">
        <f>IF(OR(E387="",F387=""),"",DATE(YEAR(E387),MONTH(E387)+ROUND(F387*12,0),DAY(E387)))</f>
        <v/>
      </c>
      <c r="H387" s="144">
        <f>IF(G387="","",G387-AsOf)</f>
        <v/>
      </c>
      <c r="I387" s="107">
        <f>IF(G387="","",IF(H387&lt;0,"Expired",IF(H387&lt;=90,"Expires soon","Active")))</f>
        <v/>
      </c>
      <c r="J387" s="72" t="n"/>
      <c r="K387" s="79">
        <f>IF(I387="","",IF(I387="Active",0,IF(I387="Expires soon",1,3)))</f>
        <v/>
      </c>
      <c r="L387" s="112">
        <f>IF(G387="","",IF(G387&lt;AsOf,"",G387))</f>
        <v/>
      </c>
      <c r="M387" s="79">
        <f>IF(L387="","",IF(L387&lt;=AsOf+AlertDays,2,IF(L387&lt;=AsOf+90,3,"")))</f>
        <v/>
      </c>
      <c r="N387" s="79">
        <f>IF(M387="","","Warranty expires in "&amp;H387&amp;" days: "&amp;B387&amp;IF(C387="",""," ("&amp;C387&amp;")")&amp;" — check for defects")</f>
        <v/>
      </c>
      <c r="P387" s="72" t="n"/>
      <c r="Q387" s="72" t="n"/>
      <c r="R387" s="89" t="n"/>
      <c r="S387" s="109" t="n"/>
      <c r="T387" s="126">
        <f>IF(OR(R387="",S387=""),"",DATE(YEAR(S387),MONTH(S387)+R387,DAY(S387)))</f>
        <v/>
      </c>
      <c r="U387" s="144">
        <f>IF(T387="","",T387-AsOf)</f>
        <v/>
      </c>
      <c r="V387" s="107">
        <f>IF(T387="",IF(P387="","","Enter last-done date"),IF(U387&lt;0,"Overdue",IF(U387&lt;=30,"Due soon","OK")))</f>
        <v/>
      </c>
      <c r="W387" s="79">
        <f>IF(T387="","",IF(U387&lt;0,2,IF(U387&lt;=30,1,0)))</f>
        <v/>
      </c>
      <c r="X387" s="112">
        <f>IF(T387="","",T387)</f>
        <v/>
      </c>
      <c r="Y387" s="79">
        <f>IF(X387="","",IF(X387&lt;=AsOf+AlertDays,2,IF(X387&lt;=AsOf+30,3,"")))</f>
        <v/>
      </c>
      <c r="Z387" s="79">
        <f>IF(Y387="","",IF(U387&lt;0,"Maintenance overdue: ","Maintenance due: ")&amp;P387)</f>
        <v/>
      </c>
    </row>
    <row r="388" ht="20" customHeight="1">
      <c r="B388" s="72" t="n"/>
      <c r="C388" s="72" t="n"/>
      <c r="D388" s="72" t="n"/>
      <c r="E388" s="109" t="n"/>
      <c r="F388" s="74" t="n"/>
      <c r="G388" s="126">
        <f>IF(OR(E388="",F388=""),"",DATE(YEAR(E388),MONTH(E388)+ROUND(F388*12,0),DAY(E388)))</f>
        <v/>
      </c>
      <c r="H388" s="144">
        <f>IF(G388="","",G388-AsOf)</f>
        <v/>
      </c>
      <c r="I388" s="107">
        <f>IF(G388="","",IF(H388&lt;0,"Expired",IF(H388&lt;=90,"Expires soon","Active")))</f>
        <v/>
      </c>
      <c r="J388" s="72" t="n"/>
      <c r="K388" s="79">
        <f>IF(I388="","",IF(I388="Active",0,IF(I388="Expires soon",1,3)))</f>
        <v/>
      </c>
      <c r="L388" s="112">
        <f>IF(G388="","",IF(G388&lt;AsOf,"",G388))</f>
        <v/>
      </c>
      <c r="M388" s="79">
        <f>IF(L388="","",IF(L388&lt;=AsOf+AlertDays,2,IF(L388&lt;=AsOf+90,3,"")))</f>
        <v/>
      </c>
      <c r="N388" s="79">
        <f>IF(M388="","","Warranty expires in "&amp;H388&amp;" days: "&amp;B388&amp;IF(C388="",""," ("&amp;C388&amp;")")&amp;" — check for defects")</f>
        <v/>
      </c>
      <c r="P388" s="72" t="n"/>
      <c r="Q388" s="72" t="n"/>
      <c r="R388" s="89" t="n"/>
      <c r="S388" s="109" t="n"/>
      <c r="T388" s="126">
        <f>IF(OR(R388="",S388=""),"",DATE(YEAR(S388),MONTH(S388)+R388,DAY(S388)))</f>
        <v/>
      </c>
      <c r="U388" s="144">
        <f>IF(T388="","",T388-AsOf)</f>
        <v/>
      </c>
      <c r="V388" s="107">
        <f>IF(T388="",IF(P388="","","Enter last-done date"),IF(U388&lt;0,"Overdue",IF(U388&lt;=30,"Due soon","OK")))</f>
        <v/>
      </c>
      <c r="W388" s="79">
        <f>IF(T388="","",IF(U388&lt;0,2,IF(U388&lt;=30,1,0)))</f>
        <v/>
      </c>
      <c r="X388" s="112">
        <f>IF(T388="","",T388)</f>
        <v/>
      </c>
      <c r="Y388" s="79">
        <f>IF(X388="","",IF(X388&lt;=AsOf+AlertDays,2,IF(X388&lt;=AsOf+30,3,"")))</f>
        <v/>
      </c>
      <c r="Z388" s="79">
        <f>IF(Y388="","",IF(U388&lt;0,"Maintenance overdue: ","Maintenance due: ")&amp;P388)</f>
        <v/>
      </c>
    </row>
    <row r="389" ht="20" customHeight="1">
      <c r="B389" s="72" t="n"/>
      <c r="C389" s="72" t="n"/>
      <c r="D389" s="72" t="n"/>
      <c r="E389" s="109" t="n"/>
      <c r="F389" s="74" t="n"/>
      <c r="G389" s="126">
        <f>IF(OR(E389="",F389=""),"",DATE(YEAR(E389),MONTH(E389)+ROUND(F389*12,0),DAY(E389)))</f>
        <v/>
      </c>
      <c r="H389" s="144">
        <f>IF(G389="","",G389-AsOf)</f>
        <v/>
      </c>
      <c r="I389" s="107">
        <f>IF(G389="","",IF(H389&lt;0,"Expired",IF(H389&lt;=90,"Expires soon","Active")))</f>
        <v/>
      </c>
      <c r="J389" s="72" t="n"/>
      <c r="K389" s="79">
        <f>IF(I389="","",IF(I389="Active",0,IF(I389="Expires soon",1,3)))</f>
        <v/>
      </c>
      <c r="L389" s="112">
        <f>IF(G389="","",IF(G389&lt;AsOf,"",G389))</f>
        <v/>
      </c>
      <c r="M389" s="79">
        <f>IF(L389="","",IF(L389&lt;=AsOf+AlertDays,2,IF(L389&lt;=AsOf+90,3,"")))</f>
        <v/>
      </c>
      <c r="N389" s="79">
        <f>IF(M389="","","Warranty expires in "&amp;H389&amp;" days: "&amp;B389&amp;IF(C389="",""," ("&amp;C389&amp;")")&amp;" — check for defects")</f>
        <v/>
      </c>
      <c r="P389" s="72" t="n"/>
      <c r="Q389" s="72" t="n"/>
      <c r="R389" s="89" t="n"/>
      <c r="S389" s="109" t="n"/>
      <c r="T389" s="126">
        <f>IF(OR(R389="",S389=""),"",DATE(YEAR(S389),MONTH(S389)+R389,DAY(S389)))</f>
        <v/>
      </c>
      <c r="U389" s="144">
        <f>IF(T389="","",T389-AsOf)</f>
        <v/>
      </c>
      <c r="V389" s="107">
        <f>IF(T389="",IF(P389="","","Enter last-done date"),IF(U389&lt;0,"Overdue",IF(U389&lt;=30,"Due soon","OK")))</f>
        <v/>
      </c>
      <c r="W389" s="79">
        <f>IF(T389="","",IF(U389&lt;0,2,IF(U389&lt;=30,1,0)))</f>
        <v/>
      </c>
      <c r="X389" s="112">
        <f>IF(T389="","",T389)</f>
        <v/>
      </c>
      <c r="Y389" s="79">
        <f>IF(X389="","",IF(X389&lt;=AsOf+AlertDays,2,IF(X389&lt;=AsOf+30,3,"")))</f>
        <v/>
      </c>
      <c r="Z389" s="79">
        <f>IF(Y389="","",IF(U389&lt;0,"Maintenance overdue: ","Maintenance due: ")&amp;P389)</f>
        <v/>
      </c>
    </row>
    <row r="390" ht="20" customHeight="1">
      <c r="B390" s="72" t="n"/>
      <c r="C390" s="72" t="n"/>
      <c r="D390" s="72" t="n"/>
      <c r="E390" s="109" t="n"/>
      <c r="F390" s="74" t="n"/>
      <c r="G390" s="126">
        <f>IF(OR(E390="",F390=""),"",DATE(YEAR(E390),MONTH(E390)+ROUND(F390*12,0),DAY(E390)))</f>
        <v/>
      </c>
      <c r="H390" s="144">
        <f>IF(G390="","",G390-AsOf)</f>
        <v/>
      </c>
      <c r="I390" s="107">
        <f>IF(G390="","",IF(H390&lt;0,"Expired",IF(H390&lt;=90,"Expires soon","Active")))</f>
        <v/>
      </c>
      <c r="J390" s="72" t="n"/>
      <c r="K390" s="79">
        <f>IF(I390="","",IF(I390="Active",0,IF(I390="Expires soon",1,3)))</f>
        <v/>
      </c>
      <c r="L390" s="112">
        <f>IF(G390="","",IF(G390&lt;AsOf,"",G390))</f>
        <v/>
      </c>
      <c r="M390" s="79">
        <f>IF(L390="","",IF(L390&lt;=AsOf+AlertDays,2,IF(L390&lt;=AsOf+90,3,"")))</f>
        <v/>
      </c>
      <c r="N390" s="79">
        <f>IF(M390="","","Warranty expires in "&amp;H390&amp;" days: "&amp;B390&amp;IF(C390="",""," ("&amp;C390&amp;")")&amp;" — check for defects")</f>
        <v/>
      </c>
      <c r="P390" s="72" t="n"/>
      <c r="Q390" s="72" t="n"/>
      <c r="R390" s="89" t="n"/>
      <c r="S390" s="109" t="n"/>
      <c r="T390" s="126">
        <f>IF(OR(R390="",S390=""),"",DATE(YEAR(S390),MONTH(S390)+R390,DAY(S390)))</f>
        <v/>
      </c>
      <c r="U390" s="144">
        <f>IF(T390="","",T390-AsOf)</f>
        <v/>
      </c>
      <c r="V390" s="107">
        <f>IF(T390="",IF(P390="","","Enter last-done date"),IF(U390&lt;0,"Overdue",IF(U390&lt;=30,"Due soon","OK")))</f>
        <v/>
      </c>
      <c r="W390" s="79">
        <f>IF(T390="","",IF(U390&lt;0,2,IF(U390&lt;=30,1,0)))</f>
        <v/>
      </c>
      <c r="X390" s="112">
        <f>IF(T390="","",T390)</f>
        <v/>
      </c>
      <c r="Y390" s="79">
        <f>IF(X390="","",IF(X390&lt;=AsOf+AlertDays,2,IF(X390&lt;=AsOf+30,3,"")))</f>
        <v/>
      </c>
      <c r="Z390" s="79">
        <f>IF(Y390="","",IF(U390&lt;0,"Maintenance overdue: ","Maintenance due: ")&amp;P390)</f>
        <v/>
      </c>
    </row>
    <row r="391" ht="20" customHeight="1">
      <c r="B391" s="72" t="n"/>
      <c r="C391" s="72" t="n"/>
      <c r="D391" s="72" t="n"/>
      <c r="E391" s="109" t="n"/>
      <c r="F391" s="74" t="n"/>
      <c r="G391" s="126">
        <f>IF(OR(E391="",F391=""),"",DATE(YEAR(E391),MONTH(E391)+ROUND(F391*12,0),DAY(E391)))</f>
        <v/>
      </c>
      <c r="H391" s="144">
        <f>IF(G391="","",G391-AsOf)</f>
        <v/>
      </c>
      <c r="I391" s="107">
        <f>IF(G391="","",IF(H391&lt;0,"Expired",IF(H391&lt;=90,"Expires soon","Active")))</f>
        <v/>
      </c>
      <c r="J391" s="72" t="n"/>
      <c r="K391" s="79">
        <f>IF(I391="","",IF(I391="Active",0,IF(I391="Expires soon",1,3)))</f>
        <v/>
      </c>
      <c r="L391" s="112">
        <f>IF(G391="","",IF(G391&lt;AsOf,"",G391))</f>
        <v/>
      </c>
      <c r="M391" s="79">
        <f>IF(L391="","",IF(L391&lt;=AsOf+AlertDays,2,IF(L391&lt;=AsOf+90,3,"")))</f>
        <v/>
      </c>
      <c r="N391" s="79">
        <f>IF(M391="","","Warranty expires in "&amp;H391&amp;" days: "&amp;B391&amp;IF(C391="",""," ("&amp;C391&amp;")")&amp;" — check for defects")</f>
        <v/>
      </c>
      <c r="P391" s="72" t="n"/>
      <c r="Q391" s="72" t="n"/>
      <c r="R391" s="89" t="n"/>
      <c r="S391" s="109" t="n"/>
      <c r="T391" s="126">
        <f>IF(OR(R391="",S391=""),"",DATE(YEAR(S391),MONTH(S391)+R391,DAY(S391)))</f>
        <v/>
      </c>
      <c r="U391" s="144">
        <f>IF(T391="","",T391-AsOf)</f>
        <v/>
      </c>
      <c r="V391" s="107">
        <f>IF(T391="",IF(P391="","","Enter last-done date"),IF(U391&lt;0,"Overdue",IF(U391&lt;=30,"Due soon","OK")))</f>
        <v/>
      </c>
      <c r="W391" s="79">
        <f>IF(T391="","",IF(U391&lt;0,2,IF(U391&lt;=30,1,0)))</f>
        <v/>
      </c>
      <c r="X391" s="112">
        <f>IF(T391="","",T391)</f>
        <v/>
      </c>
      <c r="Y391" s="79">
        <f>IF(X391="","",IF(X391&lt;=AsOf+AlertDays,2,IF(X391&lt;=AsOf+30,3,"")))</f>
        <v/>
      </c>
      <c r="Z391" s="79">
        <f>IF(Y391="","",IF(U391&lt;0,"Maintenance overdue: ","Maintenance due: ")&amp;P391)</f>
        <v/>
      </c>
    </row>
    <row r="392" ht="20" customHeight="1">
      <c r="B392" s="72" t="n"/>
      <c r="C392" s="72" t="n"/>
      <c r="D392" s="72" t="n"/>
      <c r="E392" s="109" t="n"/>
      <c r="F392" s="74" t="n"/>
      <c r="G392" s="126">
        <f>IF(OR(E392="",F392=""),"",DATE(YEAR(E392),MONTH(E392)+ROUND(F392*12,0),DAY(E392)))</f>
        <v/>
      </c>
      <c r="H392" s="144">
        <f>IF(G392="","",G392-AsOf)</f>
        <v/>
      </c>
      <c r="I392" s="107">
        <f>IF(G392="","",IF(H392&lt;0,"Expired",IF(H392&lt;=90,"Expires soon","Active")))</f>
        <v/>
      </c>
      <c r="J392" s="72" t="n"/>
      <c r="K392" s="79">
        <f>IF(I392="","",IF(I392="Active",0,IF(I392="Expires soon",1,3)))</f>
        <v/>
      </c>
      <c r="L392" s="112">
        <f>IF(G392="","",IF(G392&lt;AsOf,"",G392))</f>
        <v/>
      </c>
      <c r="M392" s="79">
        <f>IF(L392="","",IF(L392&lt;=AsOf+AlertDays,2,IF(L392&lt;=AsOf+90,3,"")))</f>
        <v/>
      </c>
      <c r="N392" s="79">
        <f>IF(M392="","","Warranty expires in "&amp;H392&amp;" days: "&amp;B392&amp;IF(C392="",""," ("&amp;C392&amp;")")&amp;" — check for defects")</f>
        <v/>
      </c>
      <c r="P392" s="72" t="n"/>
      <c r="Q392" s="72" t="n"/>
      <c r="R392" s="89" t="n"/>
      <c r="S392" s="109" t="n"/>
      <c r="T392" s="126">
        <f>IF(OR(R392="",S392=""),"",DATE(YEAR(S392),MONTH(S392)+R392,DAY(S392)))</f>
        <v/>
      </c>
      <c r="U392" s="144">
        <f>IF(T392="","",T392-AsOf)</f>
        <v/>
      </c>
      <c r="V392" s="107">
        <f>IF(T392="",IF(P392="","","Enter last-done date"),IF(U392&lt;0,"Overdue",IF(U392&lt;=30,"Due soon","OK")))</f>
        <v/>
      </c>
      <c r="W392" s="79">
        <f>IF(T392="","",IF(U392&lt;0,2,IF(U392&lt;=30,1,0)))</f>
        <v/>
      </c>
      <c r="X392" s="112">
        <f>IF(T392="","",T392)</f>
        <v/>
      </c>
      <c r="Y392" s="79">
        <f>IF(X392="","",IF(X392&lt;=AsOf+AlertDays,2,IF(X392&lt;=AsOf+30,3,"")))</f>
        <v/>
      </c>
      <c r="Z392" s="79">
        <f>IF(Y392="","",IF(U392&lt;0,"Maintenance overdue: ","Maintenance due: ")&amp;P392)</f>
        <v/>
      </c>
    </row>
    <row r="393" ht="20" customHeight="1">
      <c r="B393" s="72" t="n"/>
      <c r="C393" s="72" t="n"/>
      <c r="D393" s="72" t="n"/>
      <c r="E393" s="109" t="n"/>
      <c r="F393" s="74" t="n"/>
      <c r="G393" s="126">
        <f>IF(OR(E393="",F393=""),"",DATE(YEAR(E393),MONTH(E393)+ROUND(F393*12,0),DAY(E393)))</f>
        <v/>
      </c>
      <c r="H393" s="144">
        <f>IF(G393="","",G393-AsOf)</f>
        <v/>
      </c>
      <c r="I393" s="107">
        <f>IF(G393="","",IF(H393&lt;0,"Expired",IF(H393&lt;=90,"Expires soon","Active")))</f>
        <v/>
      </c>
      <c r="J393" s="72" t="n"/>
      <c r="K393" s="79">
        <f>IF(I393="","",IF(I393="Active",0,IF(I393="Expires soon",1,3)))</f>
        <v/>
      </c>
      <c r="L393" s="112">
        <f>IF(G393="","",IF(G393&lt;AsOf,"",G393))</f>
        <v/>
      </c>
      <c r="M393" s="79">
        <f>IF(L393="","",IF(L393&lt;=AsOf+AlertDays,2,IF(L393&lt;=AsOf+90,3,"")))</f>
        <v/>
      </c>
      <c r="N393" s="79">
        <f>IF(M393="","","Warranty expires in "&amp;H393&amp;" days: "&amp;B393&amp;IF(C393="",""," ("&amp;C393&amp;")")&amp;" — check for defects")</f>
        <v/>
      </c>
      <c r="P393" s="72" t="n"/>
      <c r="Q393" s="72" t="n"/>
      <c r="R393" s="89" t="n"/>
      <c r="S393" s="109" t="n"/>
      <c r="T393" s="126">
        <f>IF(OR(R393="",S393=""),"",DATE(YEAR(S393),MONTH(S393)+R393,DAY(S393)))</f>
        <v/>
      </c>
      <c r="U393" s="144">
        <f>IF(T393="","",T393-AsOf)</f>
        <v/>
      </c>
      <c r="V393" s="107">
        <f>IF(T393="",IF(P393="","","Enter last-done date"),IF(U393&lt;0,"Overdue",IF(U393&lt;=30,"Due soon","OK")))</f>
        <v/>
      </c>
      <c r="W393" s="79">
        <f>IF(T393="","",IF(U393&lt;0,2,IF(U393&lt;=30,1,0)))</f>
        <v/>
      </c>
      <c r="X393" s="112">
        <f>IF(T393="","",T393)</f>
        <v/>
      </c>
      <c r="Y393" s="79">
        <f>IF(X393="","",IF(X393&lt;=AsOf+AlertDays,2,IF(X393&lt;=AsOf+30,3,"")))</f>
        <v/>
      </c>
      <c r="Z393" s="79">
        <f>IF(Y393="","",IF(U393&lt;0,"Maintenance overdue: ","Maintenance due: ")&amp;P393)</f>
        <v/>
      </c>
    </row>
    <row r="394" ht="20" customHeight="1">
      <c r="B394" s="72" t="n"/>
      <c r="C394" s="72" t="n"/>
      <c r="D394" s="72" t="n"/>
      <c r="E394" s="109" t="n"/>
      <c r="F394" s="74" t="n"/>
      <c r="G394" s="126">
        <f>IF(OR(E394="",F394=""),"",DATE(YEAR(E394),MONTH(E394)+ROUND(F394*12,0),DAY(E394)))</f>
        <v/>
      </c>
      <c r="H394" s="144">
        <f>IF(G394="","",G394-AsOf)</f>
        <v/>
      </c>
      <c r="I394" s="107">
        <f>IF(G394="","",IF(H394&lt;0,"Expired",IF(H394&lt;=90,"Expires soon","Active")))</f>
        <v/>
      </c>
      <c r="J394" s="72" t="n"/>
      <c r="K394" s="79">
        <f>IF(I394="","",IF(I394="Active",0,IF(I394="Expires soon",1,3)))</f>
        <v/>
      </c>
      <c r="L394" s="112">
        <f>IF(G394="","",IF(G394&lt;AsOf,"",G394))</f>
        <v/>
      </c>
      <c r="M394" s="79">
        <f>IF(L394="","",IF(L394&lt;=AsOf+AlertDays,2,IF(L394&lt;=AsOf+90,3,"")))</f>
        <v/>
      </c>
      <c r="N394" s="79">
        <f>IF(M394="","","Warranty expires in "&amp;H394&amp;" days: "&amp;B394&amp;IF(C394="",""," ("&amp;C394&amp;")")&amp;" — check for defects")</f>
        <v/>
      </c>
      <c r="P394" s="72" t="n"/>
      <c r="Q394" s="72" t="n"/>
      <c r="R394" s="89" t="n"/>
      <c r="S394" s="109" t="n"/>
      <c r="T394" s="126">
        <f>IF(OR(R394="",S394=""),"",DATE(YEAR(S394),MONTH(S394)+R394,DAY(S394)))</f>
        <v/>
      </c>
      <c r="U394" s="144">
        <f>IF(T394="","",T394-AsOf)</f>
        <v/>
      </c>
      <c r="V394" s="107">
        <f>IF(T394="",IF(P394="","","Enter last-done date"),IF(U394&lt;0,"Overdue",IF(U394&lt;=30,"Due soon","OK")))</f>
        <v/>
      </c>
      <c r="W394" s="79">
        <f>IF(T394="","",IF(U394&lt;0,2,IF(U394&lt;=30,1,0)))</f>
        <v/>
      </c>
      <c r="X394" s="112">
        <f>IF(T394="","",T394)</f>
        <v/>
      </c>
      <c r="Y394" s="79">
        <f>IF(X394="","",IF(X394&lt;=AsOf+AlertDays,2,IF(X394&lt;=AsOf+30,3,"")))</f>
        <v/>
      </c>
      <c r="Z394" s="79">
        <f>IF(Y394="","",IF(U394&lt;0,"Maintenance overdue: ","Maintenance due: ")&amp;P394)</f>
        <v/>
      </c>
    </row>
    <row r="395" ht="20" customHeight="1">
      <c r="B395" s="72" t="n"/>
      <c r="C395" s="72" t="n"/>
      <c r="D395" s="72" t="n"/>
      <c r="E395" s="109" t="n"/>
      <c r="F395" s="74" t="n"/>
      <c r="G395" s="126">
        <f>IF(OR(E395="",F395=""),"",DATE(YEAR(E395),MONTH(E395)+ROUND(F395*12,0),DAY(E395)))</f>
        <v/>
      </c>
      <c r="H395" s="144">
        <f>IF(G395="","",G395-AsOf)</f>
        <v/>
      </c>
      <c r="I395" s="107">
        <f>IF(G395="","",IF(H395&lt;0,"Expired",IF(H395&lt;=90,"Expires soon","Active")))</f>
        <v/>
      </c>
      <c r="J395" s="72" t="n"/>
      <c r="K395" s="79">
        <f>IF(I395="","",IF(I395="Active",0,IF(I395="Expires soon",1,3)))</f>
        <v/>
      </c>
      <c r="L395" s="112">
        <f>IF(G395="","",IF(G395&lt;AsOf,"",G395))</f>
        <v/>
      </c>
      <c r="M395" s="79">
        <f>IF(L395="","",IF(L395&lt;=AsOf+AlertDays,2,IF(L395&lt;=AsOf+90,3,"")))</f>
        <v/>
      </c>
      <c r="N395" s="79">
        <f>IF(M395="","","Warranty expires in "&amp;H395&amp;" days: "&amp;B395&amp;IF(C395="",""," ("&amp;C395&amp;")")&amp;" — check for defects")</f>
        <v/>
      </c>
      <c r="P395" s="72" t="n"/>
      <c r="Q395" s="72" t="n"/>
      <c r="R395" s="89" t="n"/>
      <c r="S395" s="109" t="n"/>
      <c r="T395" s="126">
        <f>IF(OR(R395="",S395=""),"",DATE(YEAR(S395),MONTH(S395)+R395,DAY(S395)))</f>
        <v/>
      </c>
      <c r="U395" s="144">
        <f>IF(T395="","",T395-AsOf)</f>
        <v/>
      </c>
      <c r="V395" s="107">
        <f>IF(T395="",IF(P395="","","Enter last-done date"),IF(U395&lt;0,"Overdue",IF(U395&lt;=30,"Due soon","OK")))</f>
        <v/>
      </c>
      <c r="W395" s="79">
        <f>IF(T395="","",IF(U395&lt;0,2,IF(U395&lt;=30,1,0)))</f>
        <v/>
      </c>
      <c r="X395" s="112">
        <f>IF(T395="","",T395)</f>
        <v/>
      </c>
      <c r="Y395" s="79">
        <f>IF(X395="","",IF(X395&lt;=AsOf+AlertDays,2,IF(X395&lt;=AsOf+30,3,"")))</f>
        <v/>
      </c>
      <c r="Z395" s="79">
        <f>IF(Y395="","",IF(U395&lt;0,"Maintenance overdue: ","Maintenance due: ")&amp;P395)</f>
        <v/>
      </c>
    </row>
    <row r="396" ht="20" customHeight="1">
      <c r="B396" s="72" t="n"/>
      <c r="C396" s="72" t="n"/>
      <c r="D396" s="72" t="n"/>
      <c r="E396" s="109" t="n"/>
      <c r="F396" s="74" t="n"/>
      <c r="G396" s="126">
        <f>IF(OR(E396="",F396=""),"",DATE(YEAR(E396),MONTH(E396)+ROUND(F396*12,0),DAY(E396)))</f>
        <v/>
      </c>
      <c r="H396" s="144">
        <f>IF(G396="","",G396-AsOf)</f>
        <v/>
      </c>
      <c r="I396" s="107">
        <f>IF(G396="","",IF(H396&lt;0,"Expired",IF(H396&lt;=90,"Expires soon","Active")))</f>
        <v/>
      </c>
      <c r="J396" s="72" t="n"/>
      <c r="K396" s="79">
        <f>IF(I396="","",IF(I396="Active",0,IF(I396="Expires soon",1,3)))</f>
        <v/>
      </c>
      <c r="L396" s="112">
        <f>IF(G396="","",IF(G396&lt;AsOf,"",G396))</f>
        <v/>
      </c>
      <c r="M396" s="79">
        <f>IF(L396="","",IF(L396&lt;=AsOf+AlertDays,2,IF(L396&lt;=AsOf+90,3,"")))</f>
        <v/>
      </c>
      <c r="N396" s="79">
        <f>IF(M396="","","Warranty expires in "&amp;H396&amp;" days: "&amp;B396&amp;IF(C396="",""," ("&amp;C396&amp;")")&amp;" — check for defects")</f>
        <v/>
      </c>
      <c r="P396" s="72" t="n"/>
      <c r="Q396" s="72" t="n"/>
      <c r="R396" s="89" t="n"/>
      <c r="S396" s="109" t="n"/>
      <c r="T396" s="126">
        <f>IF(OR(R396="",S396=""),"",DATE(YEAR(S396),MONTH(S396)+R396,DAY(S396)))</f>
        <v/>
      </c>
      <c r="U396" s="144">
        <f>IF(T396="","",T396-AsOf)</f>
        <v/>
      </c>
      <c r="V396" s="107">
        <f>IF(T396="",IF(P396="","","Enter last-done date"),IF(U396&lt;0,"Overdue",IF(U396&lt;=30,"Due soon","OK")))</f>
        <v/>
      </c>
      <c r="W396" s="79">
        <f>IF(T396="","",IF(U396&lt;0,2,IF(U396&lt;=30,1,0)))</f>
        <v/>
      </c>
      <c r="X396" s="112">
        <f>IF(T396="","",T396)</f>
        <v/>
      </c>
      <c r="Y396" s="79">
        <f>IF(X396="","",IF(X396&lt;=AsOf+AlertDays,2,IF(X396&lt;=AsOf+30,3,"")))</f>
        <v/>
      </c>
      <c r="Z396" s="79">
        <f>IF(Y396="","",IF(U396&lt;0,"Maintenance overdue: ","Maintenance due: ")&amp;P396)</f>
        <v/>
      </c>
    </row>
    <row r="397" ht="20" customHeight="1">
      <c r="B397" s="72" t="n"/>
      <c r="C397" s="72" t="n"/>
      <c r="D397" s="72" t="n"/>
      <c r="E397" s="109" t="n"/>
      <c r="F397" s="74" t="n"/>
      <c r="G397" s="126">
        <f>IF(OR(E397="",F397=""),"",DATE(YEAR(E397),MONTH(E397)+ROUND(F397*12,0),DAY(E397)))</f>
        <v/>
      </c>
      <c r="H397" s="144">
        <f>IF(G397="","",G397-AsOf)</f>
        <v/>
      </c>
      <c r="I397" s="107">
        <f>IF(G397="","",IF(H397&lt;0,"Expired",IF(H397&lt;=90,"Expires soon","Active")))</f>
        <v/>
      </c>
      <c r="J397" s="72" t="n"/>
      <c r="K397" s="79">
        <f>IF(I397="","",IF(I397="Active",0,IF(I397="Expires soon",1,3)))</f>
        <v/>
      </c>
      <c r="L397" s="112">
        <f>IF(G397="","",IF(G397&lt;AsOf,"",G397))</f>
        <v/>
      </c>
      <c r="M397" s="79">
        <f>IF(L397="","",IF(L397&lt;=AsOf+AlertDays,2,IF(L397&lt;=AsOf+90,3,"")))</f>
        <v/>
      </c>
      <c r="N397" s="79">
        <f>IF(M397="","","Warranty expires in "&amp;H397&amp;" days: "&amp;B397&amp;IF(C397="",""," ("&amp;C397&amp;")")&amp;" — check for defects")</f>
        <v/>
      </c>
      <c r="P397" s="72" t="n"/>
      <c r="Q397" s="72" t="n"/>
      <c r="R397" s="89" t="n"/>
      <c r="S397" s="109" t="n"/>
      <c r="T397" s="126">
        <f>IF(OR(R397="",S397=""),"",DATE(YEAR(S397),MONTH(S397)+R397,DAY(S397)))</f>
        <v/>
      </c>
      <c r="U397" s="144">
        <f>IF(T397="","",T397-AsOf)</f>
        <v/>
      </c>
      <c r="V397" s="107">
        <f>IF(T397="",IF(P397="","","Enter last-done date"),IF(U397&lt;0,"Overdue",IF(U397&lt;=30,"Due soon","OK")))</f>
        <v/>
      </c>
      <c r="W397" s="79">
        <f>IF(T397="","",IF(U397&lt;0,2,IF(U397&lt;=30,1,0)))</f>
        <v/>
      </c>
      <c r="X397" s="112">
        <f>IF(T397="","",T397)</f>
        <v/>
      </c>
      <c r="Y397" s="79">
        <f>IF(X397="","",IF(X397&lt;=AsOf+AlertDays,2,IF(X397&lt;=AsOf+30,3,"")))</f>
        <v/>
      </c>
      <c r="Z397" s="79">
        <f>IF(Y397="","",IF(U397&lt;0,"Maintenance overdue: ","Maintenance due: ")&amp;P397)</f>
        <v/>
      </c>
    </row>
    <row r="398" ht="20" customHeight="1">
      <c r="B398" s="72" t="n"/>
      <c r="C398" s="72" t="n"/>
      <c r="D398" s="72" t="n"/>
      <c r="E398" s="109" t="n"/>
      <c r="F398" s="74" t="n"/>
      <c r="G398" s="126">
        <f>IF(OR(E398="",F398=""),"",DATE(YEAR(E398),MONTH(E398)+ROUND(F398*12,0),DAY(E398)))</f>
        <v/>
      </c>
      <c r="H398" s="144">
        <f>IF(G398="","",G398-AsOf)</f>
        <v/>
      </c>
      <c r="I398" s="107">
        <f>IF(G398="","",IF(H398&lt;0,"Expired",IF(H398&lt;=90,"Expires soon","Active")))</f>
        <v/>
      </c>
      <c r="J398" s="72" t="n"/>
      <c r="K398" s="79">
        <f>IF(I398="","",IF(I398="Active",0,IF(I398="Expires soon",1,3)))</f>
        <v/>
      </c>
      <c r="L398" s="112">
        <f>IF(G398="","",IF(G398&lt;AsOf,"",G398))</f>
        <v/>
      </c>
      <c r="M398" s="79">
        <f>IF(L398="","",IF(L398&lt;=AsOf+AlertDays,2,IF(L398&lt;=AsOf+90,3,"")))</f>
        <v/>
      </c>
      <c r="N398" s="79">
        <f>IF(M398="","","Warranty expires in "&amp;H398&amp;" days: "&amp;B398&amp;IF(C398="",""," ("&amp;C398&amp;")")&amp;" — check for defects")</f>
        <v/>
      </c>
      <c r="P398" s="72" t="n"/>
      <c r="Q398" s="72" t="n"/>
      <c r="R398" s="89" t="n"/>
      <c r="S398" s="109" t="n"/>
      <c r="T398" s="126">
        <f>IF(OR(R398="",S398=""),"",DATE(YEAR(S398),MONTH(S398)+R398,DAY(S398)))</f>
        <v/>
      </c>
      <c r="U398" s="144">
        <f>IF(T398="","",T398-AsOf)</f>
        <v/>
      </c>
      <c r="V398" s="107">
        <f>IF(T398="",IF(P398="","","Enter last-done date"),IF(U398&lt;0,"Overdue",IF(U398&lt;=30,"Due soon","OK")))</f>
        <v/>
      </c>
      <c r="W398" s="79">
        <f>IF(T398="","",IF(U398&lt;0,2,IF(U398&lt;=30,1,0)))</f>
        <v/>
      </c>
      <c r="X398" s="112">
        <f>IF(T398="","",T398)</f>
        <v/>
      </c>
      <c r="Y398" s="79">
        <f>IF(X398="","",IF(X398&lt;=AsOf+AlertDays,2,IF(X398&lt;=AsOf+30,3,"")))</f>
        <v/>
      </c>
      <c r="Z398" s="79">
        <f>IF(Y398="","",IF(U398&lt;0,"Maintenance overdue: ","Maintenance due: ")&amp;P398)</f>
        <v/>
      </c>
    </row>
    <row r="399" ht="20" customHeight="1">
      <c r="B399" s="72" t="n"/>
      <c r="C399" s="72" t="n"/>
      <c r="D399" s="72" t="n"/>
      <c r="E399" s="109" t="n"/>
      <c r="F399" s="74" t="n"/>
      <c r="G399" s="126">
        <f>IF(OR(E399="",F399=""),"",DATE(YEAR(E399),MONTH(E399)+ROUND(F399*12,0),DAY(E399)))</f>
        <v/>
      </c>
      <c r="H399" s="144">
        <f>IF(G399="","",G399-AsOf)</f>
        <v/>
      </c>
      <c r="I399" s="107">
        <f>IF(G399="","",IF(H399&lt;0,"Expired",IF(H399&lt;=90,"Expires soon","Active")))</f>
        <v/>
      </c>
      <c r="J399" s="72" t="n"/>
      <c r="K399" s="79">
        <f>IF(I399="","",IF(I399="Active",0,IF(I399="Expires soon",1,3)))</f>
        <v/>
      </c>
      <c r="L399" s="112">
        <f>IF(G399="","",IF(G399&lt;AsOf,"",G399))</f>
        <v/>
      </c>
      <c r="M399" s="79">
        <f>IF(L399="","",IF(L399&lt;=AsOf+AlertDays,2,IF(L399&lt;=AsOf+90,3,"")))</f>
        <v/>
      </c>
      <c r="N399" s="79">
        <f>IF(M399="","","Warranty expires in "&amp;H399&amp;" days: "&amp;B399&amp;IF(C399="",""," ("&amp;C399&amp;")")&amp;" — check for defects")</f>
        <v/>
      </c>
      <c r="P399" s="72" t="n"/>
      <c r="Q399" s="72" t="n"/>
      <c r="R399" s="89" t="n"/>
      <c r="S399" s="109" t="n"/>
      <c r="T399" s="126">
        <f>IF(OR(R399="",S399=""),"",DATE(YEAR(S399),MONTH(S399)+R399,DAY(S399)))</f>
        <v/>
      </c>
      <c r="U399" s="144">
        <f>IF(T399="","",T399-AsOf)</f>
        <v/>
      </c>
      <c r="V399" s="107">
        <f>IF(T399="",IF(P399="","","Enter last-done date"),IF(U399&lt;0,"Overdue",IF(U399&lt;=30,"Due soon","OK")))</f>
        <v/>
      </c>
      <c r="W399" s="79">
        <f>IF(T399="","",IF(U399&lt;0,2,IF(U399&lt;=30,1,0)))</f>
        <v/>
      </c>
      <c r="X399" s="112">
        <f>IF(T399="","",T399)</f>
        <v/>
      </c>
      <c r="Y399" s="79">
        <f>IF(X399="","",IF(X399&lt;=AsOf+AlertDays,2,IF(X399&lt;=AsOf+30,3,"")))</f>
        <v/>
      </c>
      <c r="Z399" s="79">
        <f>IF(Y399="","",IF(U399&lt;0,"Maintenance overdue: ","Maintenance due: ")&amp;P399)</f>
        <v/>
      </c>
    </row>
    <row r="400" ht="20" customHeight="1">
      <c r="B400" s="72" t="n"/>
      <c r="C400" s="72" t="n"/>
      <c r="D400" s="72" t="n"/>
      <c r="E400" s="109" t="n"/>
      <c r="F400" s="74" t="n"/>
      <c r="G400" s="126">
        <f>IF(OR(E400="",F400=""),"",DATE(YEAR(E400),MONTH(E400)+ROUND(F400*12,0),DAY(E400)))</f>
        <v/>
      </c>
      <c r="H400" s="144">
        <f>IF(G400="","",G400-AsOf)</f>
        <v/>
      </c>
      <c r="I400" s="107">
        <f>IF(G400="","",IF(H400&lt;0,"Expired",IF(H400&lt;=90,"Expires soon","Active")))</f>
        <v/>
      </c>
      <c r="J400" s="72" t="n"/>
      <c r="K400" s="79">
        <f>IF(I400="","",IF(I400="Active",0,IF(I400="Expires soon",1,3)))</f>
        <v/>
      </c>
      <c r="L400" s="112">
        <f>IF(G400="","",IF(G400&lt;AsOf,"",G400))</f>
        <v/>
      </c>
      <c r="M400" s="79">
        <f>IF(L400="","",IF(L400&lt;=AsOf+AlertDays,2,IF(L400&lt;=AsOf+90,3,"")))</f>
        <v/>
      </c>
      <c r="N400" s="79">
        <f>IF(M400="","","Warranty expires in "&amp;H400&amp;" days: "&amp;B400&amp;IF(C400="",""," ("&amp;C400&amp;")")&amp;" — check for defects")</f>
        <v/>
      </c>
      <c r="P400" s="72" t="n"/>
      <c r="Q400" s="72" t="n"/>
      <c r="R400" s="89" t="n"/>
      <c r="S400" s="109" t="n"/>
      <c r="T400" s="126">
        <f>IF(OR(R400="",S400=""),"",DATE(YEAR(S400),MONTH(S400)+R400,DAY(S400)))</f>
        <v/>
      </c>
      <c r="U400" s="144">
        <f>IF(T400="","",T400-AsOf)</f>
        <v/>
      </c>
      <c r="V400" s="107">
        <f>IF(T400="",IF(P400="","","Enter last-done date"),IF(U400&lt;0,"Overdue",IF(U400&lt;=30,"Due soon","OK")))</f>
        <v/>
      </c>
      <c r="W400" s="79">
        <f>IF(T400="","",IF(U400&lt;0,2,IF(U400&lt;=30,1,0)))</f>
        <v/>
      </c>
      <c r="X400" s="112">
        <f>IF(T400="","",T400)</f>
        <v/>
      </c>
      <c r="Y400" s="79">
        <f>IF(X400="","",IF(X400&lt;=AsOf+AlertDays,2,IF(X400&lt;=AsOf+30,3,"")))</f>
        <v/>
      </c>
      <c r="Z400" s="79">
        <f>IF(Y400="","",IF(U400&lt;0,"Maintenance overdue: ","Maintenance due: ")&amp;P400)</f>
        <v/>
      </c>
    </row>
    <row r="401" ht="20" customHeight="1">
      <c r="B401" s="72" t="n"/>
      <c r="C401" s="72" t="n"/>
      <c r="D401" s="72" t="n"/>
      <c r="E401" s="109" t="n"/>
      <c r="F401" s="74" t="n"/>
      <c r="G401" s="126">
        <f>IF(OR(E401="",F401=""),"",DATE(YEAR(E401),MONTH(E401)+ROUND(F401*12,0),DAY(E401)))</f>
        <v/>
      </c>
      <c r="H401" s="144">
        <f>IF(G401="","",G401-AsOf)</f>
        <v/>
      </c>
      <c r="I401" s="107">
        <f>IF(G401="","",IF(H401&lt;0,"Expired",IF(H401&lt;=90,"Expires soon","Active")))</f>
        <v/>
      </c>
      <c r="J401" s="72" t="n"/>
      <c r="K401" s="79">
        <f>IF(I401="","",IF(I401="Active",0,IF(I401="Expires soon",1,3)))</f>
        <v/>
      </c>
      <c r="L401" s="112">
        <f>IF(G401="","",IF(G401&lt;AsOf,"",G401))</f>
        <v/>
      </c>
      <c r="M401" s="79">
        <f>IF(L401="","",IF(L401&lt;=AsOf+AlertDays,2,IF(L401&lt;=AsOf+90,3,"")))</f>
        <v/>
      </c>
      <c r="N401" s="79">
        <f>IF(M401="","","Warranty expires in "&amp;H401&amp;" days: "&amp;B401&amp;IF(C401="",""," ("&amp;C401&amp;")")&amp;" — check for defects")</f>
        <v/>
      </c>
      <c r="P401" s="72" t="n"/>
      <c r="Q401" s="72" t="n"/>
      <c r="R401" s="89" t="n"/>
      <c r="S401" s="109" t="n"/>
      <c r="T401" s="126">
        <f>IF(OR(R401="",S401=""),"",DATE(YEAR(S401),MONTH(S401)+R401,DAY(S401)))</f>
        <v/>
      </c>
      <c r="U401" s="144">
        <f>IF(T401="","",T401-AsOf)</f>
        <v/>
      </c>
      <c r="V401" s="107">
        <f>IF(T401="",IF(P401="","","Enter last-done date"),IF(U401&lt;0,"Overdue",IF(U401&lt;=30,"Due soon","OK")))</f>
        <v/>
      </c>
      <c r="W401" s="79">
        <f>IF(T401="","",IF(U401&lt;0,2,IF(U401&lt;=30,1,0)))</f>
        <v/>
      </c>
      <c r="X401" s="112">
        <f>IF(T401="","",T401)</f>
        <v/>
      </c>
      <c r="Y401" s="79">
        <f>IF(X401="","",IF(X401&lt;=AsOf+AlertDays,2,IF(X401&lt;=AsOf+30,3,"")))</f>
        <v/>
      </c>
      <c r="Z401" s="79">
        <f>IF(Y401="","",IF(U401&lt;0,"Maintenance overdue: ","Maintenance due: ")&amp;P401)</f>
        <v/>
      </c>
    </row>
    <row r="402" ht="20" customHeight="1">
      <c r="B402" s="72" t="n"/>
      <c r="C402" s="72" t="n"/>
      <c r="D402" s="72" t="n"/>
      <c r="E402" s="109" t="n"/>
      <c r="F402" s="74" t="n"/>
      <c r="G402" s="126">
        <f>IF(OR(E402="",F402=""),"",DATE(YEAR(E402),MONTH(E402)+ROUND(F402*12,0),DAY(E402)))</f>
        <v/>
      </c>
      <c r="H402" s="144">
        <f>IF(G402="","",G402-AsOf)</f>
        <v/>
      </c>
      <c r="I402" s="107">
        <f>IF(G402="","",IF(H402&lt;0,"Expired",IF(H402&lt;=90,"Expires soon","Active")))</f>
        <v/>
      </c>
      <c r="J402" s="72" t="n"/>
      <c r="K402" s="79">
        <f>IF(I402="","",IF(I402="Active",0,IF(I402="Expires soon",1,3)))</f>
        <v/>
      </c>
      <c r="L402" s="112">
        <f>IF(G402="","",IF(G402&lt;AsOf,"",G402))</f>
        <v/>
      </c>
      <c r="M402" s="79">
        <f>IF(L402="","",IF(L402&lt;=AsOf+AlertDays,2,IF(L402&lt;=AsOf+90,3,"")))</f>
        <v/>
      </c>
      <c r="N402" s="79">
        <f>IF(M402="","","Warranty expires in "&amp;H402&amp;" days: "&amp;B402&amp;IF(C402="",""," ("&amp;C402&amp;")")&amp;" — check for defects")</f>
        <v/>
      </c>
      <c r="P402" s="72" t="n"/>
      <c r="Q402" s="72" t="n"/>
      <c r="R402" s="89" t="n"/>
      <c r="S402" s="109" t="n"/>
      <c r="T402" s="126">
        <f>IF(OR(R402="",S402=""),"",DATE(YEAR(S402),MONTH(S402)+R402,DAY(S402)))</f>
        <v/>
      </c>
      <c r="U402" s="144">
        <f>IF(T402="","",T402-AsOf)</f>
        <v/>
      </c>
      <c r="V402" s="107">
        <f>IF(T402="",IF(P402="","","Enter last-done date"),IF(U402&lt;0,"Overdue",IF(U402&lt;=30,"Due soon","OK")))</f>
        <v/>
      </c>
      <c r="W402" s="79">
        <f>IF(T402="","",IF(U402&lt;0,2,IF(U402&lt;=30,1,0)))</f>
        <v/>
      </c>
      <c r="X402" s="112">
        <f>IF(T402="","",T402)</f>
        <v/>
      </c>
      <c r="Y402" s="79">
        <f>IF(X402="","",IF(X402&lt;=AsOf+AlertDays,2,IF(X402&lt;=AsOf+30,3,"")))</f>
        <v/>
      </c>
      <c r="Z402" s="79">
        <f>IF(Y402="","",IF(U402&lt;0,"Maintenance overdue: ","Maintenance due: ")&amp;P402)</f>
        <v/>
      </c>
    </row>
    <row r="403" ht="20" customHeight="1">
      <c r="B403" s="72" t="n"/>
      <c r="C403" s="72" t="n"/>
      <c r="D403" s="72" t="n"/>
      <c r="E403" s="109" t="n"/>
      <c r="F403" s="74" t="n"/>
      <c r="G403" s="126">
        <f>IF(OR(E403="",F403=""),"",DATE(YEAR(E403),MONTH(E403)+ROUND(F403*12,0),DAY(E403)))</f>
        <v/>
      </c>
      <c r="H403" s="144">
        <f>IF(G403="","",G403-AsOf)</f>
        <v/>
      </c>
      <c r="I403" s="107">
        <f>IF(G403="","",IF(H403&lt;0,"Expired",IF(H403&lt;=90,"Expires soon","Active")))</f>
        <v/>
      </c>
      <c r="J403" s="72" t="n"/>
      <c r="K403" s="79">
        <f>IF(I403="","",IF(I403="Active",0,IF(I403="Expires soon",1,3)))</f>
        <v/>
      </c>
      <c r="L403" s="112">
        <f>IF(G403="","",IF(G403&lt;AsOf,"",G403))</f>
        <v/>
      </c>
      <c r="M403" s="79">
        <f>IF(L403="","",IF(L403&lt;=AsOf+AlertDays,2,IF(L403&lt;=AsOf+90,3,"")))</f>
        <v/>
      </c>
      <c r="N403" s="79">
        <f>IF(M403="","","Warranty expires in "&amp;H403&amp;" days: "&amp;B403&amp;IF(C403="",""," ("&amp;C403&amp;")")&amp;" — check for defects")</f>
        <v/>
      </c>
      <c r="P403" s="72" t="n"/>
      <c r="Q403" s="72" t="n"/>
      <c r="R403" s="89" t="n"/>
      <c r="S403" s="109" t="n"/>
      <c r="T403" s="126">
        <f>IF(OR(R403="",S403=""),"",DATE(YEAR(S403),MONTH(S403)+R403,DAY(S403)))</f>
        <v/>
      </c>
      <c r="U403" s="144">
        <f>IF(T403="","",T403-AsOf)</f>
        <v/>
      </c>
      <c r="V403" s="107">
        <f>IF(T403="",IF(P403="","","Enter last-done date"),IF(U403&lt;0,"Overdue",IF(U403&lt;=30,"Due soon","OK")))</f>
        <v/>
      </c>
      <c r="W403" s="79">
        <f>IF(T403="","",IF(U403&lt;0,2,IF(U403&lt;=30,1,0)))</f>
        <v/>
      </c>
      <c r="X403" s="112">
        <f>IF(T403="","",T403)</f>
        <v/>
      </c>
      <c r="Y403" s="79">
        <f>IF(X403="","",IF(X403&lt;=AsOf+AlertDays,2,IF(X403&lt;=AsOf+30,3,"")))</f>
        <v/>
      </c>
      <c r="Z403" s="79">
        <f>IF(Y403="","",IF(U403&lt;0,"Maintenance overdue: ","Maintenance due: ")&amp;P403)</f>
        <v/>
      </c>
    </row>
    <row r="404" ht="20" customHeight="1">
      <c r="B404" s="72" t="n"/>
      <c r="C404" s="72" t="n"/>
      <c r="D404" s="72" t="n"/>
      <c r="E404" s="109" t="n"/>
      <c r="F404" s="74" t="n"/>
      <c r="G404" s="126">
        <f>IF(OR(E404="",F404=""),"",DATE(YEAR(E404),MONTH(E404)+ROUND(F404*12,0),DAY(E404)))</f>
        <v/>
      </c>
      <c r="H404" s="144">
        <f>IF(G404="","",G404-AsOf)</f>
        <v/>
      </c>
      <c r="I404" s="107">
        <f>IF(G404="","",IF(H404&lt;0,"Expired",IF(H404&lt;=90,"Expires soon","Active")))</f>
        <v/>
      </c>
      <c r="J404" s="72" t="n"/>
      <c r="K404" s="79">
        <f>IF(I404="","",IF(I404="Active",0,IF(I404="Expires soon",1,3)))</f>
        <v/>
      </c>
      <c r="L404" s="112">
        <f>IF(G404="","",IF(G404&lt;AsOf,"",G404))</f>
        <v/>
      </c>
      <c r="M404" s="79">
        <f>IF(L404="","",IF(L404&lt;=AsOf+AlertDays,2,IF(L404&lt;=AsOf+90,3,"")))</f>
        <v/>
      </c>
      <c r="N404" s="79">
        <f>IF(M404="","","Warranty expires in "&amp;H404&amp;" days: "&amp;B404&amp;IF(C404="",""," ("&amp;C404&amp;")")&amp;" — check for defects")</f>
        <v/>
      </c>
      <c r="P404" s="72" t="n"/>
      <c r="Q404" s="72" t="n"/>
      <c r="R404" s="89" t="n"/>
      <c r="S404" s="109" t="n"/>
      <c r="T404" s="126">
        <f>IF(OR(R404="",S404=""),"",DATE(YEAR(S404),MONTH(S404)+R404,DAY(S404)))</f>
        <v/>
      </c>
      <c r="U404" s="144">
        <f>IF(T404="","",T404-AsOf)</f>
        <v/>
      </c>
      <c r="V404" s="107">
        <f>IF(T404="",IF(P404="","","Enter last-done date"),IF(U404&lt;0,"Overdue",IF(U404&lt;=30,"Due soon","OK")))</f>
        <v/>
      </c>
      <c r="W404" s="79">
        <f>IF(T404="","",IF(U404&lt;0,2,IF(U404&lt;=30,1,0)))</f>
        <v/>
      </c>
      <c r="X404" s="112">
        <f>IF(T404="","",T404)</f>
        <v/>
      </c>
      <c r="Y404" s="79">
        <f>IF(X404="","",IF(X404&lt;=AsOf+AlertDays,2,IF(X404&lt;=AsOf+30,3,"")))</f>
        <v/>
      </c>
      <c r="Z404" s="79">
        <f>IF(Y404="","",IF(U404&lt;0,"Maintenance overdue: ","Maintenance due: ")&amp;P404)</f>
        <v/>
      </c>
    </row>
    <row r="405" ht="20" customHeight="1">
      <c r="B405" s="72" t="n"/>
      <c r="C405" s="72" t="n"/>
      <c r="D405" s="72" t="n"/>
      <c r="E405" s="109" t="n"/>
      <c r="F405" s="74" t="n"/>
      <c r="G405" s="126">
        <f>IF(OR(E405="",F405=""),"",DATE(YEAR(E405),MONTH(E405)+ROUND(F405*12,0),DAY(E405)))</f>
        <v/>
      </c>
      <c r="H405" s="144">
        <f>IF(G405="","",G405-AsOf)</f>
        <v/>
      </c>
      <c r="I405" s="107">
        <f>IF(G405="","",IF(H405&lt;0,"Expired",IF(H405&lt;=90,"Expires soon","Active")))</f>
        <v/>
      </c>
      <c r="J405" s="72" t="n"/>
      <c r="K405" s="79">
        <f>IF(I405="","",IF(I405="Active",0,IF(I405="Expires soon",1,3)))</f>
        <v/>
      </c>
      <c r="L405" s="112">
        <f>IF(G405="","",IF(G405&lt;AsOf,"",G405))</f>
        <v/>
      </c>
      <c r="M405" s="79">
        <f>IF(L405="","",IF(L405&lt;=AsOf+AlertDays,2,IF(L405&lt;=AsOf+90,3,"")))</f>
        <v/>
      </c>
      <c r="N405" s="79">
        <f>IF(M405="","","Warranty expires in "&amp;H405&amp;" days: "&amp;B405&amp;IF(C405="",""," ("&amp;C405&amp;")")&amp;" — check for defects")</f>
        <v/>
      </c>
      <c r="P405" s="72" t="n"/>
      <c r="Q405" s="72" t="n"/>
      <c r="R405" s="89" t="n"/>
      <c r="S405" s="109" t="n"/>
      <c r="T405" s="126">
        <f>IF(OR(R405="",S405=""),"",DATE(YEAR(S405),MONTH(S405)+R405,DAY(S405)))</f>
        <v/>
      </c>
      <c r="U405" s="144">
        <f>IF(T405="","",T405-AsOf)</f>
        <v/>
      </c>
      <c r="V405" s="107">
        <f>IF(T405="",IF(P405="","","Enter last-done date"),IF(U405&lt;0,"Overdue",IF(U405&lt;=30,"Due soon","OK")))</f>
        <v/>
      </c>
      <c r="W405" s="79">
        <f>IF(T405="","",IF(U405&lt;0,2,IF(U405&lt;=30,1,0)))</f>
        <v/>
      </c>
      <c r="X405" s="112">
        <f>IF(T405="","",T405)</f>
        <v/>
      </c>
      <c r="Y405" s="79">
        <f>IF(X405="","",IF(X405&lt;=AsOf+AlertDays,2,IF(X405&lt;=AsOf+30,3,"")))</f>
        <v/>
      </c>
      <c r="Z405" s="79">
        <f>IF(Y405="","",IF(U405&lt;0,"Maintenance overdue: ","Maintenance due: ")&amp;P405)</f>
        <v/>
      </c>
    </row>
    <row r="406" ht="20" customHeight="1">
      <c r="B406" s="72" t="n"/>
      <c r="C406" s="72" t="n"/>
      <c r="D406" s="72" t="n"/>
      <c r="E406" s="109" t="n"/>
      <c r="F406" s="74" t="n"/>
      <c r="G406" s="126">
        <f>IF(OR(E406="",F406=""),"",DATE(YEAR(E406),MONTH(E406)+ROUND(F406*12,0),DAY(E406)))</f>
        <v/>
      </c>
      <c r="H406" s="144">
        <f>IF(G406="","",G406-AsOf)</f>
        <v/>
      </c>
      <c r="I406" s="107">
        <f>IF(G406="","",IF(H406&lt;0,"Expired",IF(H406&lt;=90,"Expires soon","Active")))</f>
        <v/>
      </c>
      <c r="J406" s="72" t="n"/>
      <c r="K406" s="79">
        <f>IF(I406="","",IF(I406="Active",0,IF(I406="Expires soon",1,3)))</f>
        <v/>
      </c>
      <c r="L406" s="112">
        <f>IF(G406="","",IF(G406&lt;AsOf,"",G406))</f>
        <v/>
      </c>
      <c r="M406" s="79">
        <f>IF(L406="","",IF(L406&lt;=AsOf+AlertDays,2,IF(L406&lt;=AsOf+90,3,"")))</f>
        <v/>
      </c>
      <c r="N406" s="79">
        <f>IF(M406="","","Warranty expires in "&amp;H406&amp;" days: "&amp;B406&amp;IF(C406="",""," ("&amp;C406&amp;")")&amp;" — check for defects")</f>
        <v/>
      </c>
      <c r="P406" s="72" t="n"/>
      <c r="Q406" s="72" t="n"/>
      <c r="R406" s="89" t="n"/>
      <c r="S406" s="109" t="n"/>
      <c r="T406" s="126">
        <f>IF(OR(R406="",S406=""),"",DATE(YEAR(S406),MONTH(S406)+R406,DAY(S406)))</f>
        <v/>
      </c>
      <c r="U406" s="144">
        <f>IF(T406="","",T406-AsOf)</f>
        <v/>
      </c>
      <c r="V406" s="107">
        <f>IF(T406="",IF(P406="","","Enter last-done date"),IF(U406&lt;0,"Overdue",IF(U406&lt;=30,"Due soon","OK")))</f>
        <v/>
      </c>
      <c r="W406" s="79">
        <f>IF(T406="","",IF(U406&lt;0,2,IF(U406&lt;=30,1,0)))</f>
        <v/>
      </c>
      <c r="X406" s="112">
        <f>IF(T406="","",T406)</f>
        <v/>
      </c>
      <c r="Y406" s="79">
        <f>IF(X406="","",IF(X406&lt;=AsOf+AlertDays,2,IF(X406&lt;=AsOf+30,3,"")))</f>
        <v/>
      </c>
      <c r="Z406" s="79">
        <f>IF(Y406="","",IF(U406&lt;0,"Maintenance overdue: ","Maintenance due: ")&amp;P406)</f>
        <v/>
      </c>
    </row>
    <row r="407" ht="20" customHeight="1">
      <c r="B407" s="72" t="n"/>
      <c r="C407" s="72" t="n"/>
      <c r="D407" s="72" t="n"/>
      <c r="E407" s="109" t="n"/>
      <c r="F407" s="74" t="n"/>
      <c r="G407" s="126">
        <f>IF(OR(E407="",F407=""),"",DATE(YEAR(E407),MONTH(E407)+ROUND(F407*12,0),DAY(E407)))</f>
        <v/>
      </c>
      <c r="H407" s="144">
        <f>IF(G407="","",G407-AsOf)</f>
        <v/>
      </c>
      <c r="I407" s="107">
        <f>IF(G407="","",IF(H407&lt;0,"Expired",IF(H407&lt;=90,"Expires soon","Active")))</f>
        <v/>
      </c>
      <c r="J407" s="72" t="n"/>
      <c r="K407" s="79">
        <f>IF(I407="","",IF(I407="Active",0,IF(I407="Expires soon",1,3)))</f>
        <v/>
      </c>
      <c r="L407" s="112">
        <f>IF(G407="","",IF(G407&lt;AsOf,"",G407))</f>
        <v/>
      </c>
      <c r="M407" s="79">
        <f>IF(L407="","",IF(L407&lt;=AsOf+AlertDays,2,IF(L407&lt;=AsOf+90,3,"")))</f>
        <v/>
      </c>
      <c r="N407" s="79">
        <f>IF(M407="","","Warranty expires in "&amp;H407&amp;" days: "&amp;B407&amp;IF(C407="",""," ("&amp;C407&amp;")")&amp;" — check for defects")</f>
        <v/>
      </c>
      <c r="P407" s="72" t="n"/>
      <c r="Q407" s="72" t="n"/>
      <c r="R407" s="89" t="n"/>
      <c r="S407" s="109" t="n"/>
      <c r="T407" s="126">
        <f>IF(OR(R407="",S407=""),"",DATE(YEAR(S407),MONTH(S407)+R407,DAY(S407)))</f>
        <v/>
      </c>
      <c r="U407" s="144">
        <f>IF(T407="","",T407-AsOf)</f>
        <v/>
      </c>
      <c r="V407" s="107">
        <f>IF(T407="",IF(P407="","","Enter last-done date"),IF(U407&lt;0,"Overdue",IF(U407&lt;=30,"Due soon","OK")))</f>
        <v/>
      </c>
      <c r="W407" s="79">
        <f>IF(T407="","",IF(U407&lt;0,2,IF(U407&lt;=30,1,0)))</f>
        <v/>
      </c>
      <c r="X407" s="112">
        <f>IF(T407="","",T407)</f>
        <v/>
      </c>
      <c r="Y407" s="79">
        <f>IF(X407="","",IF(X407&lt;=AsOf+AlertDays,2,IF(X407&lt;=AsOf+30,3,"")))</f>
        <v/>
      </c>
      <c r="Z407" s="79">
        <f>IF(Y407="","",IF(U407&lt;0,"Maintenance overdue: ","Maintenance due: ")&amp;P407)</f>
        <v/>
      </c>
    </row>
    <row r="408" ht="20" customHeight="1">
      <c r="B408" s="72" t="n"/>
      <c r="C408" s="72" t="n"/>
      <c r="D408" s="72" t="n"/>
      <c r="E408" s="109" t="n"/>
      <c r="F408" s="74" t="n"/>
      <c r="G408" s="126">
        <f>IF(OR(E408="",F408=""),"",DATE(YEAR(E408),MONTH(E408)+ROUND(F408*12,0),DAY(E408)))</f>
        <v/>
      </c>
      <c r="H408" s="144">
        <f>IF(G408="","",G408-AsOf)</f>
        <v/>
      </c>
      <c r="I408" s="107">
        <f>IF(G408="","",IF(H408&lt;0,"Expired",IF(H408&lt;=90,"Expires soon","Active")))</f>
        <v/>
      </c>
      <c r="J408" s="72" t="n"/>
      <c r="K408" s="79">
        <f>IF(I408="","",IF(I408="Active",0,IF(I408="Expires soon",1,3)))</f>
        <v/>
      </c>
      <c r="L408" s="112">
        <f>IF(G408="","",IF(G408&lt;AsOf,"",G408))</f>
        <v/>
      </c>
      <c r="M408" s="79">
        <f>IF(L408="","",IF(L408&lt;=AsOf+AlertDays,2,IF(L408&lt;=AsOf+90,3,"")))</f>
        <v/>
      </c>
      <c r="N408" s="79">
        <f>IF(M408="","","Warranty expires in "&amp;H408&amp;" days: "&amp;B408&amp;IF(C408="",""," ("&amp;C408&amp;")")&amp;" — check for defects")</f>
        <v/>
      </c>
      <c r="P408" s="72" t="n"/>
      <c r="Q408" s="72" t="n"/>
      <c r="R408" s="89" t="n"/>
      <c r="S408" s="109" t="n"/>
      <c r="T408" s="126">
        <f>IF(OR(R408="",S408=""),"",DATE(YEAR(S408),MONTH(S408)+R408,DAY(S408)))</f>
        <v/>
      </c>
      <c r="U408" s="144">
        <f>IF(T408="","",T408-AsOf)</f>
        <v/>
      </c>
      <c r="V408" s="107">
        <f>IF(T408="",IF(P408="","","Enter last-done date"),IF(U408&lt;0,"Overdue",IF(U408&lt;=30,"Due soon","OK")))</f>
        <v/>
      </c>
      <c r="W408" s="79">
        <f>IF(T408="","",IF(U408&lt;0,2,IF(U408&lt;=30,1,0)))</f>
        <v/>
      </c>
      <c r="X408" s="112">
        <f>IF(T408="","",T408)</f>
        <v/>
      </c>
      <c r="Y408" s="79">
        <f>IF(X408="","",IF(X408&lt;=AsOf+AlertDays,2,IF(X408&lt;=AsOf+30,3,"")))</f>
        <v/>
      </c>
      <c r="Z408" s="79">
        <f>IF(Y408="","",IF(U408&lt;0,"Maintenance overdue: ","Maintenance due: ")&amp;P408)</f>
        <v/>
      </c>
    </row>
    <row r="409" ht="20" customHeight="1">
      <c r="B409" s="72" t="n"/>
      <c r="C409" s="72" t="n"/>
      <c r="D409" s="72" t="n"/>
      <c r="E409" s="109" t="n"/>
      <c r="F409" s="74" t="n"/>
      <c r="G409" s="126">
        <f>IF(OR(E409="",F409=""),"",DATE(YEAR(E409),MONTH(E409)+ROUND(F409*12,0),DAY(E409)))</f>
        <v/>
      </c>
      <c r="H409" s="144">
        <f>IF(G409="","",G409-AsOf)</f>
        <v/>
      </c>
      <c r="I409" s="107">
        <f>IF(G409="","",IF(H409&lt;0,"Expired",IF(H409&lt;=90,"Expires soon","Active")))</f>
        <v/>
      </c>
      <c r="J409" s="72" t="n"/>
      <c r="K409" s="79">
        <f>IF(I409="","",IF(I409="Active",0,IF(I409="Expires soon",1,3)))</f>
        <v/>
      </c>
      <c r="L409" s="112">
        <f>IF(G409="","",IF(G409&lt;AsOf,"",G409))</f>
        <v/>
      </c>
      <c r="M409" s="79">
        <f>IF(L409="","",IF(L409&lt;=AsOf+AlertDays,2,IF(L409&lt;=AsOf+90,3,"")))</f>
        <v/>
      </c>
      <c r="N409" s="79">
        <f>IF(M409="","","Warranty expires in "&amp;H409&amp;" days: "&amp;B409&amp;IF(C409="",""," ("&amp;C409&amp;")")&amp;" — check for defects")</f>
        <v/>
      </c>
      <c r="P409" s="72" t="n"/>
      <c r="Q409" s="72" t="n"/>
      <c r="R409" s="89" t="n"/>
      <c r="S409" s="109" t="n"/>
      <c r="T409" s="126">
        <f>IF(OR(R409="",S409=""),"",DATE(YEAR(S409),MONTH(S409)+R409,DAY(S409)))</f>
        <v/>
      </c>
      <c r="U409" s="144">
        <f>IF(T409="","",T409-AsOf)</f>
        <v/>
      </c>
      <c r="V409" s="107">
        <f>IF(T409="",IF(P409="","","Enter last-done date"),IF(U409&lt;0,"Overdue",IF(U409&lt;=30,"Due soon","OK")))</f>
        <v/>
      </c>
      <c r="W409" s="79">
        <f>IF(T409="","",IF(U409&lt;0,2,IF(U409&lt;=30,1,0)))</f>
        <v/>
      </c>
      <c r="X409" s="112">
        <f>IF(T409="","",T409)</f>
        <v/>
      </c>
      <c r="Y409" s="79">
        <f>IF(X409="","",IF(X409&lt;=AsOf+AlertDays,2,IF(X409&lt;=AsOf+30,3,"")))</f>
        <v/>
      </c>
      <c r="Z409" s="79">
        <f>IF(Y409="","",IF(U409&lt;0,"Maintenance overdue: ","Maintenance due: ")&amp;P409)</f>
        <v/>
      </c>
    </row>
    <row r="410" ht="20" customHeight="1">
      <c r="B410" s="72" t="n"/>
      <c r="C410" s="72" t="n"/>
      <c r="D410" s="72" t="n"/>
      <c r="E410" s="109" t="n"/>
      <c r="F410" s="74" t="n"/>
      <c r="G410" s="126">
        <f>IF(OR(E410="",F410=""),"",DATE(YEAR(E410),MONTH(E410)+ROUND(F410*12,0),DAY(E410)))</f>
        <v/>
      </c>
      <c r="H410" s="144">
        <f>IF(G410="","",G410-AsOf)</f>
        <v/>
      </c>
      <c r="I410" s="107">
        <f>IF(G410="","",IF(H410&lt;0,"Expired",IF(H410&lt;=90,"Expires soon","Active")))</f>
        <v/>
      </c>
      <c r="J410" s="72" t="n"/>
      <c r="K410" s="79">
        <f>IF(I410="","",IF(I410="Active",0,IF(I410="Expires soon",1,3)))</f>
        <v/>
      </c>
      <c r="L410" s="112">
        <f>IF(G410="","",IF(G410&lt;AsOf,"",G410))</f>
        <v/>
      </c>
      <c r="M410" s="79">
        <f>IF(L410="","",IF(L410&lt;=AsOf+AlertDays,2,IF(L410&lt;=AsOf+90,3,"")))</f>
        <v/>
      </c>
      <c r="N410" s="79">
        <f>IF(M410="","","Warranty expires in "&amp;H410&amp;" days: "&amp;B410&amp;IF(C410="",""," ("&amp;C410&amp;")")&amp;" — check for defects")</f>
        <v/>
      </c>
      <c r="P410" s="72" t="n"/>
      <c r="Q410" s="72" t="n"/>
      <c r="R410" s="89" t="n"/>
      <c r="S410" s="109" t="n"/>
      <c r="T410" s="126">
        <f>IF(OR(R410="",S410=""),"",DATE(YEAR(S410),MONTH(S410)+R410,DAY(S410)))</f>
        <v/>
      </c>
      <c r="U410" s="144">
        <f>IF(T410="","",T410-AsOf)</f>
        <v/>
      </c>
      <c r="V410" s="107">
        <f>IF(T410="",IF(P410="","","Enter last-done date"),IF(U410&lt;0,"Overdue",IF(U410&lt;=30,"Due soon","OK")))</f>
        <v/>
      </c>
      <c r="W410" s="79">
        <f>IF(T410="","",IF(U410&lt;0,2,IF(U410&lt;=30,1,0)))</f>
        <v/>
      </c>
      <c r="X410" s="112">
        <f>IF(T410="","",T410)</f>
        <v/>
      </c>
      <c r="Y410" s="79">
        <f>IF(X410="","",IF(X410&lt;=AsOf+AlertDays,2,IF(X410&lt;=AsOf+30,3,"")))</f>
        <v/>
      </c>
      <c r="Z410" s="79">
        <f>IF(Y410="","",IF(U410&lt;0,"Maintenance overdue: ","Maintenance due: ")&amp;P410)</f>
        <v/>
      </c>
    </row>
    <row r="411" ht="20" customHeight="1">
      <c r="B411" s="72" t="n"/>
      <c r="C411" s="72" t="n"/>
      <c r="D411" s="72" t="n"/>
      <c r="E411" s="109" t="n"/>
      <c r="F411" s="74" t="n"/>
      <c r="G411" s="126">
        <f>IF(OR(E411="",F411=""),"",DATE(YEAR(E411),MONTH(E411)+ROUND(F411*12,0),DAY(E411)))</f>
        <v/>
      </c>
      <c r="H411" s="144">
        <f>IF(G411="","",G411-AsOf)</f>
        <v/>
      </c>
      <c r="I411" s="107">
        <f>IF(G411="","",IF(H411&lt;0,"Expired",IF(H411&lt;=90,"Expires soon","Active")))</f>
        <v/>
      </c>
      <c r="J411" s="72" t="n"/>
      <c r="K411" s="79">
        <f>IF(I411="","",IF(I411="Active",0,IF(I411="Expires soon",1,3)))</f>
        <v/>
      </c>
      <c r="L411" s="112">
        <f>IF(G411="","",IF(G411&lt;AsOf,"",G411))</f>
        <v/>
      </c>
      <c r="M411" s="79">
        <f>IF(L411="","",IF(L411&lt;=AsOf+AlertDays,2,IF(L411&lt;=AsOf+90,3,"")))</f>
        <v/>
      </c>
      <c r="N411" s="79">
        <f>IF(M411="","","Warranty expires in "&amp;H411&amp;" days: "&amp;B411&amp;IF(C411="",""," ("&amp;C411&amp;")")&amp;" — check for defects")</f>
        <v/>
      </c>
      <c r="P411" s="72" t="n"/>
      <c r="Q411" s="72" t="n"/>
      <c r="R411" s="89" t="n"/>
      <c r="S411" s="109" t="n"/>
      <c r="T411" s="126">
        <f>IF(OR(R411="",S411=""),"",DATE(YEAR(S411),MONTH(S411)+R411,DAY(S411)))</f>
        <v/>
      </c>
      <c r="U411" s="144">
        <f>IF(T411="","",T411-AsOf)</f>
        <v/>
      </c>
      <c r="V411" s="107">
        <f>IF(T411="",IF(P411="","","Enter last-done date"),IF(U411&lt;0,"Overdue",IF(U411&lt;=30,"Due soon","OK")))</f>
        <v/>
      </c>
      <c r="W411" s="79">
        <f>IF(T411="","",IF(U411&lt;0,2,IF(U411&lt;=30,1,0)))</f>
        <v/>
      </c>
      <c r="X411" s="112">
        <f>IF(T411="","",T411)</f>
        <v/>
      </c>
      <c r="Y411" s="79">
        <f>IF(X411="","",IF(X411&lt;=AsOf+AlertDays,2,IF(X411&lt;=AsOf+30,3,"")))</f>
        <v/>
      </c>
      <c r="Z411" s="79">
        <f>IF(Y411="","",IF(U411&lt;0,"Maintenance overdue: ","Maintenance due: ")&amp;P411)</f>
        <v/>
      </c>
    </row>
    <row r="412" ht="20" customHeight="1">
      <c r="B412" s="72" t="n"/>
      <c r="C412" s="72" t="n"/>
      <c r="D412" s="72" t="n"/>
      <c r="E412" s="109" t="n"/>
      <c r="F412" s="74" t="n"/>
      <c r="G412" s="126">
        <f>IF(OR(E412="",F412=""),"",DATE(YEAR(E412),MONTH(E412)+ROUND(F412*12,0),DAY(E412)))</f>
        <v/>
      </c>
      <c r="H412" s="144">
        <f>IF(G412="","",G412-AsOf)</f>
        <v/>
      </c>
      <c r="I412" s="107">
        <f>IF(G412="","",IF(H412&lt;0,"Expired",IF(H412&lt;=90,"Expires soon","Active")))</f>
        <v/>
      </c>
      <c r="J412" s="72" t="n"/>
      <c r="K412" s="79">
        <f>IF(I412="","",IF(I412="Active",0,IF(I412="Expires soon",1,3)))</f>
        <v/>
      </c>
      <c r="L412" s="112">
        <f>IF(G412="","",IF(G412&lt;AsOf,"",G412))</f>
        <v/>
      </c>
      <c r="M412" s="79">
        <f>IF(L412="","",IF(L412&lt;=AsOf+AlertDays,2,IF(L412&lt;=AsOf+90,3,"")))</f>
        <v/>
      </c>
      <c r="N412" s="79">
        <f>IF(M412="","","Warranty expires in "&amp;H412&amp;" days: "&amp;B412&amp;IF(C412="",""," ("&amp;C412&amp;")")&amp;" — check for defects")</f>
        <v/>
      </c>
      <c r="P412" s="72" t="n"/>
      <c r="Q412" s="72" t="n"/>
      <c r="R412" s="89" t="n"/>
      <c r="S412" s="109" t="n"/>
      <c r="T412" s="126">
        <f>IF(OR(R412="",S412=""),"",DATE(YEAR(S412),MONTH(S412)+R412,DAY(S412)))</f>
        <v/>
      </c>
      <c r="U412" s="144">
        <f>IF(T412="","",T412-AsOf)</f>
        <v/>
      </c>
      <c r="V412" s="107">
        <f>IF(T412="",IF(P412="","","Enter last-done date"),IF(U412&lt;0,"Overdue",IF(U412&lt;=30,"Due soon","OK")))</f>
        <v/>
      </c>
      <c r="W412" s="79">
        <f>IF(T412="","",IF(U412&lt;0,2,IF(U412&lt;=30,1,0)))</f>
        <v/>
      </c>
      <c r="X412" s="112">
        <f>IF(T412="","",T412)</f>
        <v/>
      </c>
      <c r="Y412" s="79">
        <f>IF(X412="","",IF(X412&lt;=AsOf+AlertDays,2,IF(X412&lt;=AsOf+30,3,"")))</f>
        <v/>
      </c>
      <c r="Z412" s="79">
        <f>IF(Y412="","",IF(U412&lt;0,"Maintenance overdue: ","Maintenance due: ")&amp;P412)</f>
        <v/>
      </c>
    </row>
    <row r="413" ht="20" customHeight="1">
      <c r="B413" s="72" t="n"/>
      <c r="C413" s="72" t="n"/>
      <c r="D413" s="72" t="n"/>
      <c r="E413" s="109" t="n"/>
      <c r="F413" s="74" t="n"/>
      <c r="G413" s="126">
        <f>IF(OR(E413="",F413=""),"",DATE(YEAR(E413),MONTH(E413)+ROUND(F413*12,0),DAY(E413)))</f>
        <v/>
      </c>
      <c r="H413" s="144">
        <f>IF(G413="","",G413-AsOf)</f>
        <v/>
      </c>
      <c r="I413" s="107">
        <f>IF(G413="","",IF(H413&lt;0,"Expired",IF(H413&lt;=90,"Expires soon","Active")))</f>
        <v/>
      </c>
      <c r="J413" s="72" t="n"/>
      <c r="K413" s="79">
        <f>IF(I413="","",IF(I413="Active",0,IF(I413="Expires soon",1,3)))</f>
        <v/>
      </c>
      <c r="L413" s="112">
        <f>IF(G413="","",IF(G413&lt;AsOf,"",G413))</f>
        <v/>
      </c>
      <c r="M413" s="79">
        <f>IF(L413="","",IF(L413&lt;=AsOf+AlertDays,2,IF(L413&lt;=AsOf+90,3,"")))</f>
        <v/>
      </c>
      <c r="N413" s="79">
        <f>IF(M413="","","Warranty expires in "&amp;H413&amp;" days: "&amp;B413&amp;IF(C413="",""," ("&amp;C413&amp;")")&amp;" — check for defects")</f>
        <v/>
      </c>
      <c r="P413" s="72" t="n"/>
      <c r="Q413" s="72" t="n"/>
      <c r="R413" s="89" t="n"/>
      <c r="S413" s="109" t="n"/>
      <c r="T413" s="126">
        <f>IF(OR(R413="",S413=""),"",DATE(YEAR(S413),MONTH(S413)+R413,DAY(S413)))</f>
        <v/>
      </c>
      <c r="U413" s="144">
        <f>IF(T413="","",T413-AsOf)</f>
        <v/>
      </c>
      <c r="V413" s="107">
        <f>IF(T413="",IF(P413="","","Enter last-done date"),IF(U413&lt;0,"Overdue",IF(U413&lt;=30,"Due soon","OK")))</f>
        <v/>
      </c>
      <c r="W413" s="79">
        <f>IF(T413="","",IF(U413&lt;0,2,IF(U413&lt;=30,1,0)))</f>
        <v/>
      </c>
      <c r="X413" s="112">
        <f>IF(T413="","",T413)</f>
        <v/>
      </c>
      <c r="Y413" s="79">
        <f>IF(X413="","",IF(X413&lt;=AsOf+AlertDays,2,IF(X413&lt;=AsOf+30,3,"")))</f>
        <v/>
      </c>
      <c r="Z413" s="79">
        <f>IF(Y413="","",IF(U413&lt;0,"Maintenance overdue: ","Maintenance due: ")&amp;P413)</f>
        <v/>
      </c>
    </row>
    <row r="414" ht="20" customHeight="1">
      <c r="B414" s="72" t="n"/>
      <c r="C414" s="72" t="n"/>
      <c r="D414" s="72" t="n"/>
      <c r="E414" s="109" t="n"/>
      <c r="F414" s="74" t="n"/>
      <c r="G414" s="126">
        <f>IF(OR(E414="",F414=""),"",DATE(YEAR(E414),MONTH(E414)+ROUND(F414*12,0),DAY(E414)))</f>
        <v/>
      </c>
      <c r="H414" s="144">
        <f>IF(G414="","",G414-AsOf)</f>
        <v/>
      </c>
      <c r="I414" s="107">
        <f>IF(G414="","",IF(H414&lt;0,"Expired",IF(H414&lt;=90,"Expires soon","Active")))</f>
        <v/>
      </c>
      <c r="J414" s="72" t="n"/>
      <c r="K414" s="79">
        <f>IF(I414="","",IF(I414="Active",0,IF(I414="Expires soon",1,3)))</f>
        <v/>
      </c>
      <c r="L414" s="112">
        <f>IF(G414="","",IF(G414&lt;AsOf,"",G414))</f>
        <v/>
      </c>
      <c r="M414" s="79">
        <f>IF(L414="","",IF(L414&lt;=AsOf+AlertDays,2,IF(L414&lt;=AsOf+90,3,"")))</f>
        <v/>
      </c>
      <c r="N414" s="79">
        <f>IF(M414="","","Warranty expires in "&amp;H414&amp;" days: "&amp;B414&amp;IF(C414="",""," ("&amp;C414&amp;")")&amp;" — check for defects")</f>
        <v/>
      </c>
      <c r="P414" s="72" t="n"/>
      <c r="Q414" s="72" t="n"/>
      <c r="R414" s="89" t="n"/>
      <c r="S414" s="109" t="n"/>
      <c r="T414" s="126">
        <f>IF(OR(R414="",S414=""),"",DATE(YEAR(S414),MONTH(S414)+R414,DAY(S414)))</f>
        <v/>
      </c>
      <c r="U414" s="144">
        <f>IF(T414="","",T414-AsOf)</f>
        <v/>
      </c>
      <c r="V414" s="107">
        <f>IF(T414="",IF(P414="","","Enter last-done date"),IF(U414&lt;0,"Overdue",IF(U414&lt;=30,"Due soon","OK")))</f>
        <v/>
      </c>
      <c r="W414" s="79">
        <f>IF(T414="","",IF(U414&lt;0,2,IF(U414&lt;=30,1,0)))</f>
        <v/>
      </c>
      <c r="X414" s="112">
        <f>IF(T414="","",T414)</f>
        <v/>
      </c>
      <c r="Y414" s="79">
        <f>IF(X414="","",IF(X414&lt;=AsOf+AlertDays,2,IF(X414&lt;=AsOf+30,3,"")))</f>
        <v/>
      </c>
      <c r="Z414" s="79">
        <f>IF(Y414="","",IF(U414&lt;0,"Maintenance overdue: ","Maintenance due: ")&amp;P414)</f>
        <v/>
      </c>
    </row>
    <row r="415" ht="20" customHeight="1">
      <c r="B415" s="72" t="n"/>
      <c r="C415" s="72" t="n"/>
      <c r="D415" s="72" t="n"/>
      <c r="E415" s="109" t="n"/>
      <c r="F415" s="74" t="n"/>
      <c r="G415" s="126">
        <f>IF(OR(E415="",F415=""),"",DATE(YEAR(E415),MONTH(E415)+ROUND(F415*12,0),DAY(E415)))</f>
        <v/>
      </c>
      <c r="H415" s="144">
        <f>IF(G415="","",G415-AsOf)</f>
        <v/>
      </c>
      <c r="I415" s="107">
        <f>IF(G415="","",IF(H415&lt;0,"Expired",IF(H415&lt;=90,"Expires soon","Active")))</f>
        <v/>
      </c>
      <c r="J415" s="72" t="n"/>
      <c r="K415" s="79">
        <f>IF(I415="","",IF(I415="Active",0,IF(I415="Expires soon",1,3)))</f>
        <v/>
      </c>
      <c r="L415" s="112">
        <f>IF(G415="","",IF(G415&lt;AsOf,"",G415))</f>
        <v/>
      </c>
      <c r="M415" s="79">
        <f>IF(L415="","",IF(L415&lt;=AsOf+AlertDays,2,IF(L415&lt;=AsOf+90,3,"")))</f>
        <v/>
      </c>
      <c r="N415" s="79">
        <f>IF(M415="","","Warranty expires in "&amp;H415&amp;" days: "&amp;B415&amp;IF(C415="",""," ("&amp;C415&amp;")")&amp;" — check for defects")</f>
        <v/>
      </c>
      <c r="P415" s="72" t="n"/>
      <c r="Q415" s="72" t="n"/>
      <c r="R415" s="89" t="n"/>
      <c r="S415" s="109" t="n"/>
      <c r="T415" s="126">
        <f>IF(OR(R415="",S415=""),"",DATE(YEAR(S415),MONTH(S415)+R415,DAY(S415)))</f>
        <v/>
      </c>
      <c r="U415" s="144">
        <f>IF(T415="","",T415-AsOf)</f>
        <v/>
      </c>
      <c r="V415" s="107">
        <f>IF(T415="",IF(P415="","","Enter last-done date"),IF(U415&lt;0,"Overdue",IF(U415&lt;=30,"Due soon","OK")))</f>
        <v/>
      </c>
      <c r="W415" s="79">
        <f>IF(T415="","",IF(U415&lt;0,2,IF(U415&lt;=30,1,0)))</f>
        <v/>
      </c>
      <c r="X415" s="112">
        <f>IF(T415="","",T415)</f>
        <v/>
      </c>
      <c r="Y415" s="79">
        <f>IF(X415="","",IF(X415&lt;=AsOf+AlertDays,2,IF(X415&lt;=AsOf+30,3,"")))</f>
        <v/>
      </c>
      <c r="Z415" s="79">
        <f>IF(Y415="","",IF(U415&lt;0,"Maintenance overdue: ","Maintenance due: ")&amp;P415)</f>
        <v/>
      </c>
    </row>
    <row r="416" ht="20" customHeight="1">
      <c r="B416" s="72" t="n"/>
      <c r="C416" s="72" t="n"/>
      <c r="D416" s="72" t="n"/>
      <c r="E416" s="109" t="n"/>
      <c r="F416" s="74" t="n"/>
      <c r="G416" s="126">
        <f>IF(OR(E416="",F416=""),"",DATE(YEAR(E416),MONTH(E416)+ROUND(F416*12,0),DAY(E416)))</f>
        <v/>
      </c>
      <c r="H416" s="144">
        <f>IF(G416="","",G416-AsOf)</f>
        <v/>
      </c>
      <c r="I416" s="107">
        <f>IF(G416="","",IF(H416&lt;0,"Expired",IF(H416&lt;=90,"Expires soon","Active")))</f>
        <v/>
      </c>
      <c r="J416" s="72" t="n"/>
      <c r="K416" s="79">
        <f>IF(I416="","",IF(I416="Active",0,IF(I416="Expires soon",1,3)))</f>
        <v/>
      </c>
      <c r="L416" s="112">
        <f>IF(G416="","",IF(G416&lt;AsOf,"",G416))</f>
        <v/>
      </c>
      <c r="M416" s="79">
        <f>IF(L416="","",IF(L416&lt;=AsOf+AlertDays,2,IF(L416&lt;=AsOf+90,3,"")))</f>
        <v/>
      </c>
      <c r="N416" s="79">
        <f>IF(M416="","","Warranty expires in "&amp;H416&amp;" days: "&amp;B416&amp;IF(C416="",""," ("&amp;C416&amp;")")&amp;" — check for defects")</f>
        <v/>
      </c>
      <c r="P416" s="72" t="n"/>
      <c r="Q416" s="72" t="n"/>
      <c r="R416" s="89" t="n"/>
      <c r="S416" s="109" t="n"/>
      <c r="T416" s="126">
        <f>IF(OR(R416="",S416=""),"",DATE(YEAR(S416),MONTH(S416)+R416,DAY(S416)))</f>
        <v/>
      </c>
      <c r="U416" s="144">
        <f>IF(T416="","",T416-AsOf)</f>
        <v/>
      </c>
      <c r="V416" s="107">
        <f>IF(T416="",IF(P416="","","Enter last-done date"),IF(U416&lt;0,"Overdue",IF(U416&lt;=30,"Due soon","OK")))</f>
        <v/>
      </c>
      <c r="W416" s="79">
        <f>IF(T416="","",IF(U416&lt;0,2,IF(U416&lt;=30,1,0)))</f>
        <v/>
      </c>
      <c r="X416" s="112">
        <f>IF(T416="","",T416)</f>
        <v/>
      </c>
      <c r="Y416" s="79">
        <f>IF(X416="","",IF(X416&lt;=AsOf+AlertDays,2,IF(X416&lt;=AsOf+30,3,"")))</f>
        <v/>
      </c>
      <c r="Z416" s="79">
        <f>IF(Y416="","",IF(U416&lt;0,"Maintenance overdue: ","Maintenance due: ")&amp;P416)</f>
        <v/>
      </c>
    </row>
    <row r="417" ht="20" customHeight="1">
      <c r="B417" s="72" t="n"/>
      <c r="C417" s="72" t="n"/>
      <c r="D417" s="72" t="n"/>
      <c r="E417" s="109" t="n"/>
      <c r="F417" s="74" t="n"/>
      <c r="G417" s="126">
        <f>IF(OR(E417="",F417=""),"",DATE(YEAR(E417),MONTH(E417)+ROUND(F417*12,0),DAY(E417)))</f>
        <v/>
      </c>
      <c r="H417" s="144">
        <f>IF(G417="","",G417-AsOf)</f>
        <v/>
      </c>
      <c r="I417" s="107">
        <f>IF(G417="","",IF(H417&lt;0,"Expired",IF(H417&lt;=90,"Expires soon","Active")))</f>
        <v/>
      </c>
      <c r="J417" s="72" t="n"/>
      <c r="K417" s="79">
        <f>IF(I417="","",IF(I417="Active",0,IF(I417="Expires soon",1,3)))</f>
        <v/>
      </c>
      <c r="L417" s="112">
        <f>IF(G417="","",IF(G417&lt;AsOf,"",G417))</f>
        <v/>
      </c>
      <c r="M417" s="79">
        <f>IF(L417="","",IF(L417&lt;=AsOf+AlertDays,2,IF(L417&lt;=AsOf+90,3,"")))</f>
        <v/>
      </c>
      <c r="N417" s="79">
        <f>IF(M417="","","Warranty expires in "&amp;H417&amp;" days: "&amp;B417&amp;IF(C417="",""," ("&amp;C417&amp;")")&amp;" — check for defects")</f>
        <v/>
      </c>
      <c r="P417" s="72" t="n"/>
      <c r="Q417" s="72" t="n"/>
      <c r="R417" s="89" t="n"/>
      <c r="S417" s="109" t="n"/>
      <c r="T417" s="126">
        <f>IF(OR(R417="",S417=""),"",DATE(YEAR(S417),MONTH(S417)+R417,DAY(S417)))</f>
        <v/>
      </c>
      <c r="U417" s="144">
        <f>IF(T417="","",T417-AsOf)</f>
        <v/>
      </c>
      <c r="V417" s="107">
        <f>IF(T417="",IF(P417="","","Enter last-done date"),IF(U417&lt;0,"Overdue",IF(U417&lt;=30,"Due soon","OK")))</f>
        <v/>
      </c>
      <c r="W417" s="79">
        <f>IF(T417="","",IF(U417&lt;0,2,IF(U417&lt;=30,1,0)))</f>
        <v/>
      </c>
      <c r="X417" s="112">
        <f>IF(T417="","",T417)</f>
        <v/>
      </c>
      <c r="Y417" s="79">
        <f>IF(X417="","",IF(X417&lt;=AsOf+AlertDays,2,IF(X417&lt;=AsOf+30,3,"")))</f>
        <v/>
      </c>
      <c r="Z417" s="79">
        <f>IF(Y417="","",IF(U417&lt;0,"Maintenance overdue: ","Maintenance due: ")&amp;P417)</f>
        <v/>
      </c>
    </row>
    <row r="418" ht="20" customHeight="1">
      <c r="B418" s="72" t="n"/>
      <c r="C418" s="72" t="n"/>
      <c r="D418" s="72" t="n"/>
      <c r="E418" s="109" t="n"/>
      <c r="F418" s="74" t="n"/>
      <c r="G418" s="126">
        <f>IF(OR(E418="",F418=""),"",DATE(YEAR(E418),MONTH(E418)+ROUND(F418*12,0),DAY(E418)))</f>
        <v/>
      </c>
      <c r="H418" s="144">
        <f>IF(G418="","",G418-AsOf)</f>
        <v/>
      </c>
      <c r="I418" s="107">
        <f>IF(G418="","",IF(H418&lt;0,"Expired",IF(H418&lt;=90,"Expires soon","Active")))</f>
        <v/>
      </c>
      <c r="J418" s="72" t="n"/>
      <c r="K418" s="79">
        <f>IF(I418="","",IF(I418="Active",0,IF(I418="Expires soon",1,3)))</f>
        <v/>
      </c>
      <c r="L418" s="112">
        <f>IF(G418="","",IF(G418&lt;AsOf,"",G418))</f>
        <v/>
      </c>
      <c r="M418" s="79">
        <f>IF(L418="","",IF(L418&lt;=AsOf+AlertDays,2,IF(L418&lt;=AsOf+90,3,"")))</f>
        <v/>
      </c>
      <c r="N418" s="79">
        <f>IF(M418="","","Warranty expires in "&amp;H418&amp;" days: "&amp;B418&amp;IF(C418="",""," ("&amp;C418&amp;")")&amp;" — check for defects")</f>
        <v/>
      </c>
      <c r="P418" s="72" t="n"/>
      <c r="Q418" s="72" t="n"/>
      <c r="R418" s="89" t="n"/>
      <c r="S418" s="109" t="n"/>
      <c r="T418" s="126">
        <f>IF(OR(R418="",S418=""),"",DATE(YEAR(S418),MONTH(S418)+R418,DAY(S418)))</f>
        <v/>
      </c>
      <c r="U418" s="144">
        <f>IF(T418="","",T418-AsOf)</f>
        <v/>
      </c>
      <c r="V418" s="107">
        <f>IF(T418="",IF(P418="","","Enter last-done date"),IF(U418&lt;0,"Overdue",IF(U418&lt;=30,"Due soon","OK")))</f>
        <v/>
      </c>
      <c r="W418" s="79">
        <f>IF(T418="","",IF(U418&lt;0,2,IF(U418&lt;=30,1,0)))</f>
        <v/>
      </c>
      <c r="X418" s="112">
        <f>IF(T418="","",T418)</f>
        <v/>
      </c>
      <c r="Y418" s="79">
        <f>IF(X418="","",IF(X418&lt;=AsOf+AlertDays,2,IF(X418&lt;=AsOf+30,3,"")))</f>
        <v/>
      </c>
      <c r="Z418" s="79">
        <f>IF(Y418="","",IF(U418&lt;0,"Maintenance overdue: ","Maintenance due: ")&amp;P418)</f>
        <v/>
      </c>
    </row>
    <row r="419" ht="20" customHeight="1">
      <c r="B419" s="72" t="n"/>
      <c r="C419" s="72" t="n"/>
      <c r="D419" s="72" t="n"/>
      <c r="E419" s="109" t="n"/>
      <c r="F419" s="74" t="n"/>
      <c r="G419" s="126">
        <f>IF(OR(E419="",F419=""),"",DATE(YEAR(E419),MONTH(E419)+ROUND(F419*12,0),DAY(E419)))</f>
        <v/>
      </c>
      <c r="H419" s="144">
        <f>IF(G419="","",G419-AsOf)</f>
        <v/>
      </c>
      <c r="I419" s="107">
        <f>IF(G419="","",IF(H419&lt;0,"Expired",IF(H419&lt;=90,"Expires soon","Active")))</f>
        <v/>
      </c>
      <c r="J419" s="72" t="n"/>
      <c r="K419" s="79">
        <f>IF(I419="","",IF(I419="Active",0,IF(I419="Expires soon",1,3)))</f>
        <v/>
      </c>
      <c r="L419" s="112">
        <f>IF(G419="","",IF(G419&lt;AsOf,"",G419))</f>
        <v/>
      </c>
      <c r="M419" s="79">
        <f>IF(L419="","",IF(L419&lt;=AsOf+AlertDays,2,IF(L419&lt;=AsOf+90,3,"")))</f>
        <v/>
      </c>
      <c r="N419" s="79">
        <f>IF(M419="","","Warranty expires in "&amp;H419&amp;" days: "&amp;B419&amp;IF(C419="",""," ("&amp;C419&amp;")")&amp;" — check for defects")</f>
        <v/>
      </c>
      <c r="P419" s="72" t="n"/>
      <c r="Q419" s="72" t="n"/>
      <c r="R419" s="89" t="n"/>
      <c r="S419" s="109" t="n"/>
      <c r="T419" s="126">
        <f>IF(OR(R419="",S419=""),"",DATE(YEAR(S419),MONTH(S419)+R419,DAY(S419)))</f>
        <v/>
      </c>
      <c r="U419" s="144">
        <f>IF(T419="","",T419-AsOf)</f>
        <v/>
      </c>
      <c r="V419" s="107">
        <f>IF(T419="",IF(P419="","","Enter last-done date"),IF(U419&lt;0,"Overdue",IF(U419&lt;=30,"Due soon","OK")))</f>
        <v/>
      </c>
      <c r="W419" s="79">
        <f>IF(T419="","",IF(U419&lt;0,2,IF(U419&lt;=30,1,0)))</f>
        <v/>
      </c>
      <c r="X419" s="112">
        <f>IF(T419="","",T419)</f>
        <v/>
      </c>
      <c r="Y419" s="79">
        <f>IF(X419="","",IF(X419&lt;=AsOf+AlertDays,2,IF(X419&lt;=AsOf+30,3,"")))</f>
        <v/>
      </c>
      <c r="Z419" s="79">
        <f>IF(Y419="","",IF(U419&lt;0,"Maintenance overdue: ","Maintenance due: ")&amp;P419)</f>
        <v/>
      </c>
    </row>
    <row r="420" ht="20" customHeight="1">
      <c r="B420" s="72" t="n"/>
      <c r="C420" s="72" t="n"/>
      <c r="D420" s="72" t="n"/>
      <c r="E420" s="109" t="n"/>
      <c r="F420" s="74" t="n"/>
      <c r="G420" s="126">
        <f>IF(OR(E420="",F420=""),"",DATE(YEAR(E420),MONTH(E420)+ROUND(F420*12,0),DAY(E420)))</f>
        <v/>
      </c>
      <c r="H420" s="144">
        <f>IF(G420="","",G420-AsOf)</f>
        <v/>
      </c>
      <c r="I420" s="107">
        <f>IF(G420="","",IF(H420&lt;0,"Expired",IF(H420&lt;=90,"Expires soon","Active")))</f>
        <v/>
      </c>
      <c r="J420" s="72" t="n"/>
      <c r="K420" s="79">
        <f>IF(I420="","",IF(I420="Active",0,IF(I420="Expires soon",1,3)))</f>
        <v/>
      </c>
      <c r="L420" s="112">
        <f>IF(G420="","",IF(G420&lt;AsOf,"",G420))</f>
        <v/>
      </c>
      <c r="M420" s="79">
        <f>IF(L420="","",IF(L420&lt;=AsOf+AlertDays,2,IF(L420&lt;=AsOf+90,3,"")))</f>
        <v/>
      </c>
      <c r="N420" s="79">
        <f>IF(M420="","","Warranty expires in "&amp;H420&amp;" days: "&amp;B420&amp;IF(C420="",""," ("&amp;C420&amp;")")&amp;" — check for defects")</f>
        <v/>
      </c>
      <c r="P420" s="72" t="n"/>
      <c r="Q420" s="72" t="n"/>
      <c r="R420" s="89" t="n"/>
      <c r="S420" s="109" t="n"/>
      <c r="T420" s="126">
        <f>IF(OR(R420="",S420=""),"",DATE(YEAR(S420),MONTH(S420)+R420,DAY(S420)))</f>
        <v/>
      </c>
      <c r="U420" s="144">
        <f>IF(T420="","",T420-AsOf)</f>
        <v/>
      </c>
      <c r="V420" s="107">
        <f>IF(T420="",IF(P420="","","Enter last-done date"),IF(U420&lt;0,"Overdue",IF(U420&lt;=30,"Due soon","OK")))</f>
        <v/>
      </c>
      <c r="W420" s="79">
        <f>IF(T420="","",IF(U420&lt;0,2,IF(U420&lt;=30,1,0)))</f>
        <v/>
      </c>
      <c r="X420" s="112">
        <f>IF(T420="","",T420)</f>
        <v/>
      </c>
      <c r="Y420" s="79">
        <f>IF(X420="","",IF(X420&lt;=AsOf+AlertDays,2,IF(X420&lt;=AsOf+30,3,"")))</f>
        <v/>
      </c>
      <c r="Z420" s="79">
        <f>IF(Y420="","",IF(U420&lt;0,"Maintenance overdue: ","Maintenance due: ")&amp;P420)</f>
        <v/>
      </c>
    </row>
    <row r="421" ht="20" customHeight="1">
      <c r="B421" s="72" t="n"/>
      <c r="C421" s="72" t="n"/>
      <c r="D421" s="72" t="n"/>
      <c r="E421" s="109" t="n"/>
      <c r="F421" s="74" t="n"/>
      <c r="G421" s="126">
        <f>IF(OR(E421="",F421=""),"",DATE(YEAR(E421),MONTH(E421)+ROUND(F421*12,0),DAY(E421)))</f>
        <v/>
      </c>
      <c r="H421" s="144">
        <f>IF(G421="","",G421-AsOf)</f>
        <v/>
      </c>
      <c r="I421" s="107">
        <f>IF(G421="","",IF(H421&lt;0,"Expired",IF(H421&lt;=90,"Expires soon","Active")))</f>
        <v/>
      </c>
      <c r="J421" s="72" t="n"/>
      <c r="K421" s="79">
        <f>IF(I421="","",IF(I421="Active",0,IF(I421="Expires soon",1,3)))</f>
        <v/>
      </c>
      <c r="L421" s="112">
        <f>IF(G421="","",IF(G421&lt;AsOf,"",G421))</f>
        <v/>
      </c>
      <c r="M421" s="79">
        <f>IF(L421="","",IF(L421&lt;=AsOf+AlertDays,2,IF(L421&lt;=AsOf+90,3,"")))</f>
        <v/>
      </c>
      <c r="N421" s="79">
        <f>IF(M421="","","Warranty expires in "&amp;H421&amp;" days: "&amp;B421&amp;IF(C421="",""," ("&amp;C421&amp;")")&amp;" — check for defects")</f>
        <v/>
      </c>
      <c r="P421" s="72" t="n"/>
      <c r="Q421" s="72" t="n"/>
      <c r="R421" s="89" t="n"/>
      <c r="S421" s="109" t="n"/>
      <c r="T421" s="126">
        <f>IF(OR(R421="",S421=""),"",DATE(YEAR(S421),MONTH(S421)+R421,DAY(S421)))</f>
        <v/>
      </c>
      <c r="U421" s="144">
        <f>IF(T421="","",T421-AsOf)</f>
        <v/>
      </c>
      <c r="V421" s="107">
        <f>IF(T421="",IF(P421="","","Enter last-done date"),IF(U421&lt;0,"Overdue",IF(U421&lt;=30,"Due soon","OK")))</f>
        <v/>
      </c>
      <c r="W421" s="79">
        <f>IF(T421="","",IF(U421&lt;0,2,IF(U421&lt;=30,1,0)))</f>
        <v/>
      </c>
      <c r="X421" s="112">
        <f>IF(T421="","",T421)</f>
        <v/>
      </c>
      <c r="Y421" s="79">
        <f>IF(X421="","",IF(X421&lt;=AsOf+AlertDays,2,IF(X421&lt;=AsOf+30,3,"")))</f>
        <v/>
      </c>
      <c r="Z421" s="79">
        <f>IF(Y421="","",IF(U421&lt;0,"Maintenance overdue: ","Maintenance due: ")&amp;P421)</f>
        <v/>
      </c>
    </row>
    <row r="422" ht="20" customHeight="1">
      <c r="B422" s="72" t="n"/>
      <c r="C422" s="72" t="n"/>
      <c r="D422" s="72" t="n"/>
      <c r="E422" s="109" t="n"/>
      <c r="F422" s="74" t="n"/>
      <c r="G422" s="126">
        <f>IF(OR(E422="",F422=""),"",DATE(YEAR(E422),MONTH(E422)+ROUND(F422*12,0),DAY(E422)))</f>
        <v/>
      </c>
      <c r="H422" s="144">
        <f>IF(G422="","",G422-AsOf)</f>
        <v/>
      </c>
      <c r="I422" s="107">
        <f>IF(G422="","",IF(H422&lt;0,"Expired",IF(H422&lt;=90,"Expires soon","Active")))</f>
        <v/>
      </c>
      <c r="J422" s="72" t="n"/>
      <c r="K422" s="79">
        <f>IF(I422="","",IF(I422="Active",0,IF(I422="Expires soon",1,3)))</f>
        <v/>
      </c>
      <c r="L422" s="112">
        <f>IF(G422="","",IF(G422&lt;AsOf,"",G422))</f>
        <v/>
      </c>
      <c r="M422" s="79">
        <f>IF(L422="","",IF(L422&lt;=AsOf+AlertDays,2,IF(L422&lt;=AsOf+90,3,"")))</f>
        <v/>
      </c>
      <c r="N422" s="79">
        <f>IF(M422="","","Warranty expires in "&amp;H422&amp;" days: "&amp;B422&amp;IF(C422="",""," ("&amp;C422&amp;")")&amp;" — check for defects")</f>
        <v/>
      </c>
      <c r="P422" s="72" t="n"/>
      <c r="Q422" s="72" t="n"/>
      <c r="R422" s="89" t="n"/>
      <c r="S422" s="109" t="n"/>
      <c r="T422" s="126">
        <f>IF(OR(R422="",S422=""),"",DATE(YEAR(S422),MONTH(S422)+R422,DAY(S422)))</f>
        <v/>
      </c>
      <c r="U422" s="144">
        <f>IF(T422="","",T422-AsOf)</f>
        <v/>
      </c>
      <c r="V422" s="107">
        <f>IF(T422="",IF(P422="","","Enter last-done date"),IF(U422&lt;0,"Overdue",IF(U422&lt;=30,"Due soon","OK")))</f>
        <v/>
      </c>
      <c r="W422" s="79">
        <f>IF(T422="","",IF(U422&lt;0,2,IF(U422&lt;=30,1,0)))</f>
        <v/>
      </c>
      <c r="X422" s="112">
        <f>IF(T422="","",T422)</f>
        <v/>
      </c>
      <c r="Y422" s="79">
        <f>IF(X422="","",IF(X422&lt;=AsOf+AlertDays,2,IF(X422&lt;=AsOf+30,3,"")))</f>
        <v/>
      </c>
      <c r="Z422" s="79">
        <f>IF(Y422="","",IF(U422&lt;0,"Maintenance overdue: ","Maintenance due: ")&amp;P422)</f>
        <v/>
      </c>
    </row>
    <row r="423" ht="20" customHeight="1">
      <c r="B423" s="72" t="n"/>
      <c r="C423" s="72" t="n"/>
      <c r="D423" s="72" t="n"/>
      <c r="E423" s="109" t="n"/>
      <c r="F423" s="74" t="n"/>
      <c r="G423" s="126">
        <f>IF(OR(E423="",F423=""),"",DATE(YEAR(E423),MONTH(E423)+ROUND(F423*12,0),DAY(E423)))</f>
        <v/>
      </c>
      <c r="H423" s="144">
        <f>IF(G423="","",G423-AsOf)</f>
        <v/>
      </c>
      <c r="I423" s="107">
        <f>IF(G423="","",IF(H423&lt;0,"Expired",IF(H423&lt;=90,"Expires soon","Active")))</f>
        <v/>
      </c>
      <c r="J423" s="72" t="n"/>
      <c r="K423" s="79">
        <f>IF(I423="","",IF(I423="Active",0,IF(I423="Expires soon",1,3)))</f>
        <v/>
      </c>
      <c r="L423" s="112">
        <f>IF(G423="","",IF(G423&lt;AsOf,"",G423))</f>
        <v/>
      </c>
      <c r="M423" s="79">
        <f>IF(L423="","",IF(L423&lt;=AsOf+AlertDays,2,IF(L423&lt;=AsOf+90,3,"")))</f>
        <v/>
      </c>
      <c r="N423" s="79">
        <f>IF(M423="","","Warranty expires in "&amp;H423&amp;" days: "&amp;B423&amp;IF(C423="",""," ("&amp;C423&amp;")")&amp;" — check for defects")</f>
        <v/>
      </c>
      <c r="P423" s="72" t="n"/>
      <c r="Q423" s="72" t="n"/>
      <c r="R423" s="89" t="n"/>
      <c r="S423" s="109" t="n"/>
      <c r="T423" s="126">
        <f>IF(OR(R423="",S423=""),"",DATE(YEAR(S423),MONTH(S423)+R423,DAY(S423)))</f>
        <v/>
      </c>
      <c r="U423" s="144">
        <f>IF(T423="","",T423-AsOf)</f>
        <v/>
      </c>
      <c r="V423" s="107">
        <f>IF(T423="",IF(P423="","","Enter last-done date"),IF(U423&lt;0,"Overdue",IF(U423&lt;=30,"Due soon","OK")))</f>
        <v/>
      </c>
      <c r="W423" s="79">
        <f>IF(T423="","",IF(U423&lt;0,2,IF(U423&lt;=30,1,0)))</f>
        <v/>
      </c>
      <c r="X423" s="112">
        <f>IF(T423="","",T423)</f>
        <v/>
      </c>
      <c r="Y423" s="79">
        <f>IF(X423="","",IF(X423&lt;=AsOf+AlertDays,2,IF(X423&lt;=AsOf+30,3,"")))</f>
        <v/>
      </c>
      <c r="Z423" s="79">
        <f>IF(Y423="","",IF(U423&lt;0,"Maintenance overdue: ","Maintenance due: ")&amp;P423)</f>
        <v/>
      </c>
    </row>
    <row r="424" ht="20" customHeight="1">
      <c r="B424" s="72" t="n"/>
      <c r="C424" s="72" t="n"/>
      <c r="D424" s="72" t="n"/>
      <c r="E424" s="109" t="n"/>
      <c r="F424" s="74" t="n"/>
      <c r="G424" s="126">
        <f>IF(OR(E424="",F424=""),"",DATE(YEAR(E424),MONTH(E424)+ROUND(F424*12,0),DAY(E424)))</f>
        <v/>
      </c>
      <c r="H424" s="144">
        <f>IF(G424="","",G424-AsOf)</f>
        <v/>
      </c>
      <c r="I424" s="107">
        <f>IF(G424="","",IF(H424&lt;0,"Expired",IF(H424&lt;=90,"Expires soon","Active")))</f>
        <v/>
      </c>
      <c r="J424" s="72" t="n"/>
      <c r="K424" s="79">
        <f>IF(I424="","",IF(I424="Active",0,IF(I424="Expires soon",1,3)))</f>
        <v/>
      </c>
      <c r="L424" s="112">
        <f>IF(G424="","",IF(G424&lt;AsOf,"",G424))</f>
        <v/>
      </c>
      <c r="M424" s="79">
        <f>IF(L424="","",IF(L424&lt;=AsOf+AlertDays,2,IF(L424&lt;=AsOf+90,3,"")))</f>
        <v/>
      </c>
      <c r="N424" s="79">
        <f>IF(M424="","","Warranty expires in "&amp;H424&amp;" days: "&amp;B424&amp;IF(C424="",""," ("&amp;C424&amp;")")&amp;" — check for defects")</f>
        <v/>
      </c>
      <c r="P424" s="72" t="n"/>
      <c r="Q424" s="72" t="n"/>
      <c r="R424" s="89" t="n"/>
      <c r="S424" s="109" t="n"/>
      <c r="T424" s="126">
        <f>IF(OR(R424="",S424=""),"",DATE(YEAR(S424),MONTH(S424)+R424,DAY(S424)))</f>
        <v/>
      </c>
      <c r="U424" s="144">
        <f>IF(T424="","",T424-AsOf)</f>
        <v/>
      </c>
      <c r="V424" s="107">
        <f>IF(T424="",IF(P424="","","Enter last-done date"),IF(U424&lt;0,"Overdue",IF(U424&lt;=30,"Due soon","OK")))</f>
        <v/>
      </c>
      <c r="W424" s="79">
        <f>IF(T424="","",IF(U424&lt;0,2,IF(U424&lt;=30,1,0)))</f>
        <v/>
      </c>
      <c r="X424" s="112">
        <f>IF(T424="","",T424)</f>
        <v/>
      </c>
      <c r="Y424" s="79">
        <f>IF(X424="","",IF(X424&lt;=AsOf+AlertDays,2,IF(X424&lt;=AsOf+30,3,"")))</f>
        <v/>
      </c>
      <c r="Z424" s="79">
        <f>IF(Y424="","",IF(U424&lt;0,"Maintenance overdue: ","Maintenance due: ")&amp;P424)</f>
        <v/>
      </c>
    </row>
    <row r="425" ht="20" customHeight="1">
      <c r="B425" s="72" t="n"/>
      <c r="C425" s="72" t="n"/>
      <c r="D425" s="72" t="n"/>
      <c r="E425" s="109" t="n"/>
      <c r="F425" s="74" t="n"/>
      <c r="G425" s="126">
        <f>IF(OR(E425="",F425=""),"",DATE(YEAR(E425),MONTH(E425)+ROUND(F425*12,0),DAY(E425)))</f>
        <v/>
      </c>
      <c r="H425" s="144">
        <f>IF(G425="","",G425-AsOf)</f>
        <v/>
      </c>
      <c r="I425" s="107">
        <f>IF(G425="","",IF(H425&lt;0,"Expired",IF(H425&lt;=90,"Expires soon","Active")))</f>
        <v/>
      </c>
      <c r="J425" s="72" t="n"/>
      <c r="K425" s="79">
        <f>IF(I425="","",IF(I425="Active",0,IF(I425="Expires soon",1,3)))</f>
        <v/>
      </c>
      <c r="L425" s="112">
        <f>IF(G425="","",IF(G425&lt;AsOf,"",G425))</f>
        <v/>
      </c>
      <c r="M425" s="79">
        <f>IF(L425="","",IF(L425&lt;=AsOf+AlertDays,2,IF(L425&lt;=AsOf+90,3,"")))</f>
        <v/>
      </c>
      <c r="N425" s="79">
        <f>IF(M425="","","Warranty expires in "&amp;H425&amp;" days: "&amp;B425&amp;IF(C425="",""," ("&amp;C425&amp;")")&amp;" — check for defects")</f>
        <v/>
      </c>
      <c r="P425" s="72" t="n"/>
      <c r="Q425" s="72" t="n"/>
      <c r="R425" s="89" t="n"/>
      <c r="S425" s="109" t="n"/>
      <c r="T425" s="126">
        <f>IF(OR(R425="",S425=""),"",DATE(YEAR(S425),MONTH(S425)+R425,DAY(S425)))</f>
        <v/>
      </c>
      <c r="U425" s="144">
        <f>IF(T425="","",T425-AsOf)</f>
        <v/>
      </c>
      <c r="V425" s="107">
        <f>IF(T425="",IF(P425="","","Enter last-done date"),IF(U425&lt;0,"Overdue",IF(U425&lt;=30,"Due soon","OK")))</f>
        <v/>
      </c>
      <c r="W425" s="79">
        <f>IF(T425="","",IF(U425&lt;0,2,IF(U425&lt;=30,1,0)))</f>
        <v/>
      </c>
      <c r="X425" s="112">
        <f>IF(T425="","",T425)</f>
        <v/>
      </c>
      <c r="Y425" s="79">
        <f>IF(X425="","",IF(X425&lt;=AsOf+AlertDays,2,IF(X425&lt;=AsOf+30,3,"")))</f>
        <v/>
      </c>
      <c r="Z425" s="79">
        <f>IF(Y425="","",IF(U425&lt;0,"Maintenance overdue: ","Maintenance due: ")&amp;P425)</f>
        <v/>
      </c>
    </row>
    <row r="426" ht="20" customHeight="1">
      <c r="B426" s="72" t="n"/>
      <c r="C426" s="72" t="n"/>
      <c r="D426" s="72" t="n"/>
      <c r="E426" s="109" t="n"/>
      <c r="F426" s="74" t="n"/>
      <c r="G426" s="126">
        <f>IF(OR(E426="",F426=""),"",DATE(YEAR(E426),MONTH(E426)+ROUND(F426*12,0),DAY(E426)))</f>
        <v/>
      </c>
      <c r="H426" s="144">
        <f>IF(G426="","",G426-AsOf)</f>
        <v/>
      </c>
      <c r="I426" s="107">
        <f>IF(G426="","",IF(H426&lt;0,"Expired",IF(H426&lt;=90,"Expires soon","Active")))</f>
        <v/>
      </c>
      <c r="J426" s="72" t="n"/>
      <c r="K426" s="79">
        <f>IF(I426="","",IF(I426="Active",0,IF(I426="Expires soon",1,3)))</f>
        <v/>
      </c>
      <c r="L426" s="112">
        <f>IF(G426="","",IF(G426&lt;AsOf,"",G426))</f>
        <v/>
      </c>
      <c r="M426" s="79">
        <f>IF(L426="","",IF(L426&lt;=AsOf+AlertDays,2,IF(L426&lt;=AsOf+90,3,"")))</f>
        <v/>
      </c>
      <c r="N426" s="79">
        <f>IF(M426="","","Warranty expires in "&amp;H426&amp;" days: "&amp;B426&amp;IF(C426="",""," ("&amp;C426&amp;")")&amp;" — check for defects")</f>
        <v/>
      </c>
      <c r="P426" s="72" t="n"/>
      <c r="Q426" s="72" t="n"/>
      <c r="R426" s="89" t="n"/>
      <c r="S426" s="109" t="n"/>
      <c r="T426" s="126">
        <f>IF(OR(R426="",S426=""),"",DATE(YEAR(S426),MONTH(S426)+R426,DAY(S426)))</f>
        <v/>
      </c>
      <c r="U426" s="144">
        <f>IF(T426="","",T426-AsOf)</f>
        <v/>
      </c>
      <c r="V426" s="107">
        <f>IF(T426="",IF(P426="","","Enter last-done date"),IF(U426&lt;0,"Overdue",IF(U426&lt;=30,"Due soon","OK")))</f>
        <v/>
      </c>
      <c r="W426" s="79">
        <f>IF(T426="","",IF(U426&lt;0,2,IF(U426&lt;=30,1,0)))</f>
        <v/>
      </c>
      <c r="X426" s="112">
        <f>IF(T426="","",T426)</f>
        <v/>
      </c>
      <c r="Y426" s="79">
        <f>IF(X426="","",IF(X426&lt;=AsOf+AlertDays,2,IF(X426&lt;=AsOf+30,3,"")))</f>
        <v/>
      </c>
      <c r="Z426" s="79">
        <f>IF(Y426="","",IF(U426&lt;0,"Maintenance overdue: ","Maintenance due: ")&amp;P426)</f>
        <v/>
      </c>
    </row>
    <row r="427" ht="20" customHeight="1">
      <c r="B427" s="72" t="n"/>
      <c r="C427" s="72" t="n"/>
      <c r="D427" s="72" t="n"/>
      <c r="E427" s="109" t="n"/>
      <c r="F427" s="74" t="n"/>
      <c r="G427" s="126">
        <f>IF(OR(E427="",F427=""),"",DATE(YEAR(E427),MONTH(E427)+ROUND(F427*12,0),DAY(E427)))</f>
        <v/>
      </c>
      <c r="H427" s="144">
        <f>IF(G427="","",G427-AsOf)</f>
        <v/>
      </c>
      <c r="I427" s="107">
        <f>IF(G427="","",IF(H427&lt;0,"Expired",IF(H427&lt;=90,"Expires soon","Active")))</f>
        <v/>
      </c>
      <c r="J427" s="72" t="n"/>
      <c r="K427" s="79">
        <f>IF(I427="","",IF(I427="Active",0,IF(I427="Expires soon",1,3)))</f>
        <v/>
      </c>
      <c r="L427" s="112">
        <f>IF(G427="","",IF(G427&lt;AsOf,"",G427))</f>
        <v/>
      </c>
      <c r="M427" s="79">
        <f>IF(L427="","",IF(L427&lt;=AsOf+AlertDays,2,IF(L427&lt;=AsOf+90,3,"")))</f>
        <v/>
      </c>
      <c r="N427" s="79">
        <f>IF(M427="","","Warranty expires in "&amp;H427&amp;" days: "&amp;B427&amp;IF(C427="",""," ("&amp;C427&amp;")")&amp;" — check for defects")</f>
        <v/>
      </c>
      <c r="P427" s="72" t="n"/>
      <c r="Q427" s="72" t="n"/>
      <c r="R427" s="89" t="n"/>
      <c r="S427" s="109" t="n"/>
      <c r="T427" s="126">
        <f>IF(OR(R427="",S427=""),"",DATE(YEAR(S427),MONTH(S427)+R427,DAY(S427)))</f>
        <v/>
      </c>
      <c r="U427" s="144">
        <f>IF(T427="","",T427-AsOf)</f>
        <v/>
      </c>
      <c r="V427" s="107">
        <f>IF(T427="",IF(P427="","","Enter last-done date"),IF(U427&lt;0,"Overdue",IF(U427&lt;=30,"Due soon","OK")))</f>
        <v/>
      </c>
      <c r="W427" s="79">
        <f>IF(T427="","",IF(U427&lt;0,2,IF(U427&lt;=30,1,0)))</f>
        <v/>
      </c>
      <c r="X427" s="112">
        <f>IF(T427="","",T427)</f>
        <v/>
      </c>
      <c r="Y427" s="79">
        <f>IF(X427="","",IF(X427&lt;=AsOf+AlertDays,2,IF(X427&lt;=AsOf+30,3,"")))</f>
        <v/>
      </c>
      <c r="Z427" s="79">
        <f>IF(Y427="","",IF(U427&lt;0,"Maintenance overdue: ","Maintenance due: ")&amp;P427)</f>
        <v/>
      </c>
    </row>
    <row r="428" ht="20" customHeight="1">
      <c r="B428" s="72" t="n"/>
      <c r="C428" s="72" t="n"/>
      <c r="D428" s="72" t="n"/>
      <c r="E428" s="109" t="n"/>
      <c r="F428" s="74" t="n"/>
      <c r="G428" s="126">
        <f>IF(OR(E428="",F428=""),"",DATE(YEAR(E428),MONTH(E428)+ROUND(F428*12,0),DAY(E428)))</f>
        <v/>
      </c>
      <c r="H428" s="144">
        <f>IF(G428="","",G428-AsOf)</f>
        <v/>
      </c>
      <c r="I428" s="107">
        <f>IF(G428="","",IF(H428&lt;0,"Expired",IF(H428&lt;=90,"Expires soon","Active")))</f>
        <v/>
      </c>
      <c r="J428" s="72" t="n"/>
      <c r="K428" s="79">
        <f>IF(I428="","",IF(I428="Active",0,IF(I428="Expires soon",1,3)))</f>
        <v/>
      </c>
      <c r="L428" s="112">
        <f>IF(G428="","",IF(G428&lt;AsOf,"",G428))</f>
        <v/>
      </c>
      <c r="M428" s="79">
        <f>IF(L428="","",IF(L428&lt;=AsOf+AlertDays,2,IF(L428&lt;=AsOf+90,3,"")))</f>
        <v/>
      </c>
      <c r="N428" s="79">
        <f>IF(M428="","","Warranty expires in "&amp;H428&amp;" days: "&amp;B428&amp;IF(C428="",""," ("&amp;C428&amp;")")&amp;" — check for defects")</f>
        <v/>
      </c>
      <c r="P428" s="72" t="n"/>
      <c r="Q428" s="72" t="n"/>
      <c r="R428" s="89" t="n"/>
      <c r="S428" s="109" t="n"/>
      <c r="T428" s="126">
        <f>IF(OR(R428="",S428=""),"",DATE(YEAR(S428),MONTH(S428)+R428,DAY(S428)))</f>
        <v/>
      </c>
      <c r="U428" s="144">
        <f>IF(T428="","",T428-AsOf)</f>
        <v/>
      </c>
      <c r="V428" s="107">
        <f>IF(T428="",IF(P428="","","Enter last-done date"),IF(U428&lt;0,"Overdue",IF(U428&lt;=30,"Due soon","OK")))</f>
        <v/>
      </c>
      <c r="W428" s="79">
        <f>IF(T428="","",IF(U428&lt;0,2,IF(U428&lt;=30,1,0)))</f>
        <v/>
      </c>
      <c r="X428" s="112">
        <f>IF(T428="","",T428)</f>
        <v/>
      </c>
      <c r="Y428" s="79">
        <f>IF(X428="","",IF(X428&lt;=AsOf+AlertDays,2,IF(X428&lt;=AsOf+30,3,"")))</f>
        <v/>
      </c>
      <c r="Z428" s="79">
        <f>IF(Y428="","",IF(U428&lt;0,"Maintenance overdue: ","Maintenance due: ")&amp;P428)</f>
        <v/>
      </c>
    </row>
    <row r="429" ht="20" customHeight="1">
      <c r="B429" s="72" t="n"/>
      <c r="C429" s="72" t="n"/>
      <c r="D429" s="72" t="n"/>
      <c r="E429" s="109" t="n"/>
      <c r="F429" s="74" t="n"/>
      <c r="G429" s="126">
        <f>IF(OR(E429="",F429=""),"",DATE(YEAR(E429),MONTH(E429)+ROUND(F429*12,0),DAY(E429)))</f>
        <v/>
      </c>
      <c r="H429" s="144">
        <f>IF(G429="","",G429-AsOf)</f>
        <v/>
      </c>
      <c r="I429" s="107">
        <f>IF(G429="","",IF(H429&lt;0,"Expired",IF(H429&lt;=90,"Expires soon","Active")))</f>
        <v/>
      </c>
      <c r="J429" s="72" t="n"/>
      <c r="K429" s="79">
        <f>IF(I429="","",IF(I429="Active",0,IF(I429="Expires soon",1,3)))</f>
        <v/>
      </c>
      <c r="L429" s="112">
        <f>IF(G429="","",IF(G429&lt;AsOf,"",G429))</f>
        <v/>
      </c>
      <c r="M429" s="79">
        <f>IF(L429="","",IF(L429&lt;=AsOf+AlertDays,2,IF(L429&lt;=AsOf+90,3,"")))</f>
        <v/>
      </c>
      <c r="N429" s="79">
        <f>IF(M429="","","Warranty expires in "&amp;H429&amp;" days: "&amp;B429&amp;IF(C429="",""," ("&amp;C429&amp;")")&amp;" — check for defects")</f>
        <v/>
      </c>
      <c r="P429" s="72" t="n"/>
      <c r="Q429" s="72" t="n"/>
      <c r="R429" s="89" t="n"/>
      <c r="S429" s="109" t="n"/>
      <c r="T429" s="126">
        <f>IF(OR(R429="",S429=""),"",DATE(YEAR(S429),MONTH(S429)+R429,DAY(S429)))</f>
        <v/>
      </c>
      <c r="U429" s="144">
        <f>IF(T429="","",T429-AsOf)</f>
        <v/>
      </c>
      <c r="V429" s="107">
        <f>IF(T429="",IF(P429="","","Enter last-done date"),IF(U429&lt;0,"Overdue",IF(U429&lt;=30,"Due soon","OK")))</f>
        <v/>
      </c>
      <c r="W429" s="79">
        <f>IF(T429="","",IF(U429&lt;0,2,IF(U429&lt;=30,1,0)))</f>
        <v/>
      </c>
      <c r="X429" s="112">
        <f>IF(T429="","",T429)</f>
        <v/>
      </c>
      <c r="Y429" s="79">
        <f>IF(X429="","",IF(X429&lt;=AsOf+AlertDays,2,IF(X429&lt;=AsOf+30,3,"")))</f>
        <v/>
      </c>
      <c r="Z429" s="79">
        <f>IF(Y429="","",IF(U429&lt;0,"Maintenance overdue: ","Maintenance due: ")&amp;P429)</f>
        <v/>
      </c>
    </row>
    <row r="430" ht="20" customHeight="1">
      <c r="B430" s="72" t="n"/>
      <c r="C430" s="72" t="n"/>
      <c r="D430" s="72" t="n"/>
      <c r="E430" s="109" t="n"/>
      <c r="F430" s="74" t="n"/>
      <c r="G430" s="126">
        <f>IF(OR(E430="",F430=""),"",DATE(YEAR(E430),MONTH(E430)+ROUND(F430*12,0),DAY(E430)))</f>
        <v/>
      </c>
      <c r="H430" s="144">
        <f>IF(G430="","",G430-AsOf)</f>
        <v/>
      </c>
      <c r="I430" s="107">
        <f>IF(G430="","",IF(H430&lt;0,"Expired",IF(H430&lt;=90,"Expires soon","Active")))</f>
        <v/>
      </c>
      <c r="J430" s="72" t="n"/>
      <c r="K430" s="79">
        <f>IF(I430="","",IF(I430="Active",0,IF(I430="Expires soon",1,3)))</f>
        <v/>
      </c>
      <c r="L430" s="112">
        <f>IF(G430="","",IF(G430&lt;AsOf,"",G430))</f>
        <v/>
      </c>
      <c r="M430" s="79">
        <f>IF(L430="","",IF(L430&lt;=AsOf+AlertDays,2,IF(L430&lt;=AsOf+90,3,"")))</f>
        <v/>
      </c>
      <c r="N430" s="79">
        <f>IF(M430="","","Warranty expires in "&amp;H430&amp;" days: "&amp;B430&amp;IF(C430="",""," ("&amp;C430&amp;")")&amp;" — check for defects")</f>
        <v/>
      </c>
      <c r="P430" s="72" t="n"/>
      <c r="Q430" s="72" t="n"/>
      <c r="R430" s="89" t="n"/>
      <c r="S430" s="109" t="n"/>
      <c r="T430" s="126">
        <f>IF(OR(R430="",S430=""),"",DATE(YEAR(S430),MONTH(S430)+R430,DAY(S430)))</f>
        <v/>
      </c>
      <c r="U430" s="144">
        <f>IF(T430="","",T430-AsOf)</f>
        <v/>
      </c>
      <c r="V430" s="107">
        <f>IF(T430="",IF(P430="","","Enter last-done date"),IF(U430&lt;0,"Overdue",IF(U430&lt;=30,"Due soon","OK")))</f>
        <v/>
      </c>
      <c r="W430" s="79">
        <f>IF(T430="","",IF(U430&lt;0,2,IF(U430&lt;=30,1,0)))</f>
        <v/>
      </c>
      <c r="X430" s="112">
        <f>IF(T430="","",T430)</f>
        <v/>
      </c>
      <c r="Y430" s="79">
        <f>IF(X430="","",IF(X430&lt;=AsOf+AlertDays,2,IF(X430&lt;=AsOf+30,3,"")))</f>
        <v/>
      </c>
      <c r="Z430" s="79">
        <f>IF(Y430="","",IF(U430&lt;0,"Maintenance overdue: ","Maintenance due: ")&amp;P430)</f>
        <v/>
      </c>
    </row>
    <row r="431" ht="20" customHeight="1">
      <c r="B431" s="72" t="n"/>
      <c r="C431" s="72" t="n"/>
      <c r="D431" s="72" t="n"/>
      <c r="E431" s="109" t="n"/>
      <c r="F431" s="74" t="n"/>
      <c r="G431" s="126">
        <f>IF(OR(E431="",F431=""),"",DATE(YEAR(E431),MONTH(E431)+ROUND(F431*12,0),DAY(E431)))</f>
        <v/>
      </c>
      <c r="H431" s="144">
        <f>IF(G431="","",G431-AsOf)</f>
        <v/>
      </c>
      <c r="I431" s="107">
        <f>IF(G431="","",IF(H431&lt;0,"Expired",IF(H431&lt;=90,"Expires soon","Active")))</f>
        <v/>
      </c>
      <c r="J431" s="72" t="n"/>
      <c r="K431" s="79">
        <f>IF(I431="","",IF(I431="Active",0,IF(I431="Expires soon",1,3)))</f>
        <v/>
      </c>
      <c r="L431" s="112">
        <f>IF(G431="","",IF(G431&lt;AsOf,"",G431))</f>
        <v/>
      </c>
      <c r="M431" s="79">
        <f>IF(L431="","",IF(L431&lt;=AsOf+AlertDays,2,IF(L431&lt;=AsOf+90,3,"")))</f>
        <v/>
      </c>
      <c r="N431" s="79">
        <f>IF(M431="","","Warranty expires in "&amp;H431&amp;" days: "&amp;B431&amp;IF(C431="",""," ("&amp;C431&amp;")")&amp;" — check for defects")</f>
        <v/>
      </c>
      <c r="P431" s="72" t="n"/>
      <c r="Q431" s="72" t="n"/>
      <c r="R431" s="89" t="n"/>
      <c r="S431" s="109" t="n"/>
      <c r="T431" s="126">
        <f>IF(OR(R431="",S431=""),"",DATE(YEAR(S431),MONTH(S431)+R431,DAY(S431)))</f>
        <v/>
      </c>
      <c r="U431" s="144">
        <f>IF(T431="","",T431-AsOf)</f>
        <v/>
      </c>
      <c r="V431" s="107">
        <f>IF(T431="",IF(P431="","","Enter last-done date"),IF(U431&lt;0,"Overdue",IF(U431&lt;=30,"Due soon","OK")))</f>
        <v/>
      </c>
      <c r="W431" s="79">
        <f>IF(T431="","",IF(U431&lt;0,2,IF(U431&lt;=30,1,0)))</f>
        <v/>
      </c>
      <c r="X431" s="112">
        <f>IF(T431="","",T431)</f>
        <v/>
      </c>
      <c r="Y431" s="79">
        <f>IF(X431="","",IF(X431&lt;=AsOf+AlertDays,2,IF(X431&lt;=AsOf+30,3,"")))</f>
        <v/>
      </c>
      <c r="Z431" s="79">
        <f>IF(Y431="","",IF(U431&lt;0,"Maintenance overdue: ","Maintenance due: ")&amp;P431)</f>
        <v/>
      </c>
    </row>
    <row r="432" ht="20" customHeight="1">
      <c r="B432" s="72" t="n"/>
      <c r="C432" s="72" t="n"/>
      <c r="D432" s="72" t="n"/>
      <c r="E432" s="109" t="n"/>
      <c r="F432" s="74" t="n"/>
      <c r="G432" s="126">
        <f>IF(OR(E432="",F432=""),"",DATE(YEAR(E432),MONTH(E432)+ROUND(F432*12,0),DAY(E432)))</f>
        <v/>
      </c>
      <c r="H432" s="144">
        <f>IF(G432="","",G432-AsOf)</f>
        <v/>
      </c>
      <c r="I432" s="107">
        <f>IF(G432="","",IF(H432&lt;0,"Expired",IF(H432&lt;=90,"Expires soon","Active")))</f>
        <v/>
      </c>
      <c r="J432" s="72" t="n"/>
      <c r="K432" s="79">
        <f>IF(I432="","",IF(I432="Active",0,IF(I432="Expires soon",1,3)))</f>
        <v/>
      </c>
      <c r="L432" s="112">
        <f>IF(G432="","",IF(G432&lt;AsOf,"",G432))</f>
        <v/>
      </c>
      <c r="M432" s="79">
        <f>IF(L432="","",IF(L432&lt;=AsOf+AlertDays,2,IF(L432&lt;=AsOf+90,3,"")))</f>
        <v/>
      </c>
      <c r="N432" s="79">
        <f>IF(M432="","","Warranty expires in "&amp;H432&amp;" days: "&amp;B432&amp;IF(C432="",""," ("&amp;C432&amp;")")&amp;" — check for defects")</f>
        <v/>
      </c>
      <c r="P432" s="72" t="n"/>
      <c r="Q432" s="72" t="n"/>
      <c r="R432" s="89" t="n"/>
      <c r="S432" s="109" t="n"/>
      <c r="T432" s="126">
        <f>IF(OR(R432="",S432=""),"",DATE(YEAR(S432),MONTH(S432)+R432,DAY(S432)))</f>
        <v/>
      </c>
      <c r="U432" s="144">
        <f>IF(T432="","",T432-AsOf)</f>
        <v/>
      </c>
      <c r="V432" s="107">
        <f>IF(T432="",IF(P432="","","Enter last-done date"),IF(U432&lt;0,"Overdue",IF(U432&lt;=30,"Due soon","OK")))</f>
        <v/>
      </c>
      <c r="W432" s="79">
        <f>IF(T432="","",IF(U432&lt;0,2,IF(U432&lt;=30,1,0)))</f>
        <v/>
      </c>
      <c r="X432" s="112">
        <f>IF(T432="","",T432)</f>
        <v/>
      </c>
      <c r="Y432" s="79">
        <f>IF(X432="","",IF(X432&lt;=AsOf+AlertDays,2,IF(X432&lt;=AsOf+30,3,"")))</f>
        <v/>
      </c>
      <c r="Z432" s="79">
        <f>IF(Y432="","",IF(U432&lt;0,"Maintenance overdue: ","Maintenance due: ")&amp;P432)</f>
        <v/>
      </c>
    </row>
    <row r="433" ht="20" customHeight="1">
      <c r="B433" s="72" t="n"/>
      <c r="C433" s="72" t="n"/>
      <c r="D433" s="72" t="n"/>
      <c r="E433" s="109" t="n"/>
      <c r="F433" s="74" t="n"/>
      <c r="G433" s="126">
        <f>IF(OR(E433="",F433=""),"",DATE(YEAR(E433),MONTH(E433)+ROUND(F433*12,0),DAY(E433)))</f>
        <v/>
      </c>
      <c r="H433" s="144">
        <f>IF(G433="","",G433-AsOf)</f>
        <v/>
      </c>
      <c r="I433" s="107">
        <f>IF(G433="","",IF(H433&lt;0,"Expired",IF(H433&lt;=90,"Expires soon","Active")))</f>
        <v/>
      </c>
      <c r="J433" s="72" t="n"/>
      <c r="K433" s="79">
        <f>IF(I433="","",IF(I433="Active",0,IF(I433="Expires soon",1,3)))</f>
        <v/>
      </c>
      <c r="L433" s="112">
        <f>IF(G433="","",IF(G433&lt;AsOf,"",G433))</f>
        <v/>
      </c>
      <c r="M433" s="79">
        <f>IF(L433="","",IF(L433&lt;=AsOf+AlertDays,2,IF(L433&lt;=AsOf+90,3,"")))</f>
        <v/>
      </c>
      <c r="N433" s="79">
        <f>IF(M433="","","Warranty expires in "&amp;H433&amp;" days: "&amp;B433&amp;IF(C433="",""," ("&amp;C433&amp;")")&amp;" — check for defects")</f>
        <v/>
      </c>
      <c r="P433" s="72" t="n"/>
      <c r="Q433" s="72" t="n"/>
      <c r="R433" s="89" t="n"/>
      <c r="S433" s="109" t="n"/>
      <c r="T433" s="126">
        <f>IF(OR(R433="",S433=""),"",DATE(YEAR(S433),MONTH(S433)+R433,DAY(S433)))</f>
        <v/>
      </c>
      <c r="U433" s="144">
        <f>IF(T433="","",T433-AsOf)</f>
        <v/>
      </c>
      <c r="V433" s="107">
        <f>IF(T433="",IF(P433="","","Enter last-done date"),IF(U433&lt;0,"Overdue",IF(U433&lt;=30,"Due soon","OK")))</f>
        <v/>
      </c>
      <c r="W433" s="79">
        <f>IF(T433="","",IF(U433&lt;0,2,IF(U433&lt;=30,1,0)))</f>
        <v/>
      </c>
      <c r="X433" s="112">
        <f>IF(T433="","",T433)</f>
        <v/>
      </c>
      <c r="Y433" s="79">
        <f>IF(X433="","",IF(X433&lt;=AsOf+AlertDays,2,IF(X433&lt;=AsOf+30,3,"")))</f>
        <v/>
      </c>
      <c r="Z433" s="79">
        <f>IF(Y433="","",IF(U433&lt;0,"Maintenance overdue: ","Maintenance due: ")&amp;P433)</f>
        <v/>
      </c>
    </row>
    <row r="434" ht="20" customHeight="1">
      <c r="B434" s="72" t="n"/>
      <c r="C434" s="72" t="n"/>
      <c r="D434" s="72" t="n"/>
      <c r="E434" s="109" t="n"/>
      <c r="F434" s="74" t="n"/>
      <c r="G434" s="126">
        <f>IF(OR(E434="",F434=""),"",DATE(YEAR(E434),MONTH(E434)+ROUND(F434*12,0),DAY(E434)))</f>
        <v/>
      </c>
      <c r="H434" s="144">
        <f>IF(G434="","",G434-AsOf)</f>
        <v/>
      </c>
      <c r="I434" s="107">
        <f>IF(G434="","",IF(H434&lt;0,"Expired",IF(H434&lt;=90,"Expires soon","Active")))</f>
        <v/>
      </c>
      <c r="J434" s="72" t="n"/>
      <c r="K434" s="79">
        <f>IF(I434="","",IF(I434="Active",0,IF(I434="Expires soon",1,3)))</f>
        <v/>
      </c>
      <c r="L434" s="112">
        <f>IF(G434="","",IF(G434&lt;AsOf,"",G434))</f>
        <v/>
      </c>
      <c r="M434" s="79">
        <f>IF(L434="","",IF(L434&lt;=AsOf+AlertDays,2,IF(L434&lt;=AsOf+90,3,"")))</f>
        <v/>
      </c>
      <c r="N434" s="79">
        <f>IF(M434="","","Warranty expires in "&amp;H434&amp;" days: "&amp;B434&amp;IF(C434="",""," ("&amp;C434&amp;")")&amp;" — check for defects")</f>
        <v/>
      </c>
      <c r="P434" s="72" t="n"/>
      <c r="Q434" s="72" t="n"/>
      <c r="R434" s="89" t="n"/>
      <c r="S434" s="109" t="n"/>
      <c r="T434" s="126">
        <f>IF(OR(R434="",S434=""),"",DATE(YEAR(S434),MONTH(S434)+R434,DAY(S434)))</f>
        <v/>
      </c>
      <c r="U434" s="144">
        <f>IF(T434="","",T434-AsOf)</f>
        <v/>
      </c>
      <c r="V434" s="107">
        <f>IF(T434="",IF(P434="","","Enter last-done date"),IF(U434&lt;0,"Overdue",IF(U434&lt;=30,"Due soon","OK")))</f>
        <v/>
      </c>
      <c r="W434" s="79">
        <f>IF(T434="","",IF(U434&lt;0,2,IF(U434&lt;=30,1,0)))</f>
        <v/>
      </c>
      <c r="X434" s="112">
        <f>IF(T434="","",T434)</f>
        <v/>
      </c>
      <c r="Y434" s="79">
        <f>IF(X434="","",IF(X434&lt;=AsOf+AlertDays,2,IF(X434&lt;=AsOf+30,3,"")))</f>
        <v/>
      </c>
      <c r="Z434" s="79">
        <f>IF(Y434="","",IF(U434&lt;0,"Maintenance overdue: ","Maintenance due: ")&amp;P434)</f>
        <v/>
      </c>
    </row>
    <row r="435" ht="20" customHeight="1">
      <c r="B435" s="72" t="n"/>
      <c r="C435" s="72" t="n"/>
      <c r="D435" s="72" t="n"/>
      <c r="E435" s="109" t="n"/>
      <c r="F435" s="74" t="n"/>
      <c r="G435" s="126">
        <f>IF(OR(E435="",F435=""),"",DATE(YEAR(E435),MONTH(E435)+ROUND(F435*12,0),DAY(E435)))</f>
        <v/>
      </c>
      <c r="H435" s="144">
        <f>IF(G435="","",G435-AsOf)</f>
        <v/>
      </c>
      <c r="I435" s="107">
        <f>IF(G435="","",IF(H435&lt;0,"Expired",IF(H435&lt;=90,"Expires soon","Active")))</f>
        <v/>
      </c>
      <c r="J435" s="72" t="n"/>
      <c r="K435" s="79">
        <f>IF(I435="","",IF(I435="Active",0,IF(I435="Expires soon",1,3)))</f>
        <v/>
      </c>
      <c r="L435" s="112">
        <f>IF(G435="","",IF(G435&lt;AsOf,"",G435))</f>
        <v/>
      </c>
      <c r="M435" s="79">
        <f>IF(L435="","",IF(L435&lt;=AsOf+AlertDays,2,IF(L435&lt;=AsOf+90,3,"")))</f>
        <v/>
      </c>
      <c r="N435" s="79">
        <f>IF(M435="","","Warranty expires in "&amp;H435&amp;" days: "&amp;B435&amp;IF(C435="",""," ("&amp;C435&amp;")")&amp;" — check for defects")</f>
        <v/>
      </c>
      <c r="P435" s="72" t="n"/>
      <c r="Q435" s="72" t="n"/>
      <c r="R435" s="89" t="n"/>
      <c r="S435" s="109" t="n"/>
      <c r="T435" s="126">
        <f>IF(OR(R435="",S435=""),"",DATE(YEAR(S435),MONTH(S435)+R435,DAY(S435)))</f>
        <v/>
      </c>
      <c r="U435" s="144">
        <f>IF(T435="","",T435-AsOf)</f>
        <v/>
      </c>
      <c r="V435" s="107">
        <f>IF(T435="",IF(P435="","","Enter last-done date"),IF(U435&lt;0,"Overdue",IF(U435&lt;=30,"Due soon","OK")))</f>
        <v/>
      </c>
      <c r="W435" s="79">
        <f>IF(T435="","",IF(U435&lt;0,2,IF(U435&lt;=30,1,0)))</f>
        <v/>
      </c>
      <c r="X435" s="112">
        <f>IF(T435="","",T435)</f>
        <v/>
      </c>
      <c r="Y435" s="79">
        <f>IF(X435="","",IF(X435&lt;=AsOf+AlertDays,2,IF(X435&lt;=AsOf+30,3,"")))</f>
        <v/>
      </c>
      <c r="Z435" s="79">
        <f>IF(Y435="","",IF(U435&lt;0,"Maintenance overdue: ","Maintenance due: ")&amp;P435)</f>
        <v/>
      </c>
    </row>
    <row r="436" ht="20" customHeight="1">
      <c r="B436" s="72" t="n"/>
      <c r="C436" s="72" t="n"/>
      <c r="D436" s="72" t="n"/>
      <c r="E436" s="109" t="n"/>
      <c r="F436" s="74" t="n"/>
      <c r="G436" s="126">
        <f>IF(OR(E436="",F436=""),"",DATE(YEAR(E436),MONTH(E436)+ROUND(F436*12,0),DAY(E436)))</f>
        <v/>
      </c>
      <c r="H436" s="144">
        <f>IF(G436="","",G436-AsOf)</f>
        <v/>
      </c>
      <c r="I436" s="107">
        <f>IF(G436="","",IF(H436&lt;0,"Expired",IF(H436&lt;=90,"Expires soon","Active")))</f>
        <v/>
      </c>
      <c r="J436" s="72" t="n"/>
      <c r="K436" s="79">
        <f>IF(I436="","",IF(I436="Active",0,IF(I436="Expires soon",1,3)))</f>
        <v/>
      </c>
      <c r="L436" s="112">
        <f>IF(G436="","",IF(G436&lt;AsOf,"",G436))</f>
        <v/>
      </c>
      <c r="M436" s="79">
        <f>IF(L436="","",IF(L436&lt;=AsOf+AlertDays,2,IF(L436&lt;=AsOf+90,3,"")))</f>
        <v/>
      </c>
      <c r="N436" s="79">
        <f>IF(M436="","","Warranty expires in "&amp;H436&amp;" days: "&amp;B436&amp;IF(C436="",""," ("&amp;C436&amp;")")&amp;" — check for defects")</f>
        <v/>
      </c>
      <c r="P436" s="72" t="n"/>
      <c r="Q436" s="72" t="n"/>
      <c r="R436" s="89" t="n"/>
      <c r="S436" s="109" t="n"/>
      <c r="T436" s="126">
        <f>IF(OR(R436="",S436=""),"",DATE(YEAR(S436),MONTH(S436)+R436,DAY(S436)))</f>
        <v/>
      </c>
      <c r="U436" s="144">
        <f>IF(T436="","",T436-AsOf)</f>
        <v/>
      </c>
      <c r="V436" s="107">
        <f>IF(T436="",IF(P436="","","Enter last-done date"),IF(U436&lt;0,"Overdue",IF(U436&lt;=30,"Due soon","OK")))</f>
        <v/>
      </c>
      <c r="W436" s="79">
        <f>IF(T436="","",IF(U436&lt;0,2,IF(U436&lt;=30,1,0)))</f>
        <v/>
      </c>
      <c r="X436" s="112">
        <f>IF(T436="","",T436)</f>
        <v/>
      </c>
      <c r="Y436" s="79">
        <f>IF(X436="","",IF(X436&lt;=AsOf+AlertDays,2,IF(X436&lt;=AsOf+30,3,"")))</f>
        <v/>
      </c>
      <c r="Z436" s="79">
        <f>IF(Y436="","",IF(U436&lt;0,"Maintenance overdue: ","Maintenance due: ")&amp;P436)</f>
        <v/>
      </c>
    </row>
    <row r="437" ht="20" customHeight="1">
      <c r="B437" s="72" t="n"/>
      <c r="C437" s="72" t="n"/>
      <c r="D437" s="72" t="n"/>
      <c r="E437" s="109" t="n"/>
      <c r="F437" s="74" t="n"/>
      <c r="G437" s="126">
        <f>IF(OR(E437="",F437=""),"",DATE(YEAR(E437),MONTH(E437)+ROUND(F437*12,0),DAY(E437)))</f>
        <v/>
      </c>
      <c r="H437" s="144">
        <f>IF(G437="","",G437-AsOf)</f>
        <v/>
      </c>
      <c r="I437" s="107">
        <f>IF(G437="","",IF(H437&lt;0,"Expired",IF(H437&lt;=90,"Expires soon","Active")))</f>
        <v/>
      </c>
      <c r="J437" s="72" t="n"/>
      <c r="K437" s="79">
        <f>IF(I437="","",IF(I437="Active",0,IF(I437="Expires soon",1,3)))</f>
        <v/>
      </c>
      <c r="L437" s="112">
        <f>IF(G437="","",IF(G437&lt;AsOf,"",G437))</f>
        <v/>
      </c>
      <c r="M437" s="79">
        <f>IF(L437="","",IF(L437&lt;=AsOf+AlertDays,2,IF(L437&lt;=AsOf+90,3,"")))</f>
        <v/>
      </c>
      <c r="N437" s="79">
        <f>IF(M437="","","Warranty expires in "&amp;H437&amp;" days: "&amp;B437&amp;IF(C437="",""," ("&amp;C437&amp;")")&amp;" — check for defects")</f>
        <v/>
      </c>
      <c r="P437" s="72" t="n"/>
      <c r="Q437" s="72" t="n"/>
      <c r="R437" s="89" t="n"/>
      <c r="S437" s="109" t="n"/>
      <c r="T437" s="126">
        <f>IF(OR(R437="",S437=""),"",DATE(YEAR(S437),MONTH(S437)+R437,DAY(S437)))</f>
        <v/>
      </c>
      <c r="U437" s="144">
        <f>IF(T437="","",T437-AsOf)</f>
        <v/>
      </c>
      <c r="V437" s="107">
        <f>IF(T437="",IF(P437="","","Enter last-done date"),IF(U437&lt;0,"Overdue",IF(U437&lt;=30,"Due soon","OK")))</f>
        <v/>
      </c>
      <c r="W437" s="79">
        <f>IF(T437="","",IF(U437&lt;0,2,IF(U437&lt;=30,1,0)))</f>
        <v/>
      </c>
      <c r="X437" s="112">
        <f>IF(T437="","",T437)</f>
        <v/>
      </c>
      <c r="Y437" s="79">
        <f>IF(X437="","",IF(X437&lt;=AsOf+AlertDays,2,IF(X437&lt;=AsOf+30,3,"")))</f>
        <v/>
      </c>
      <c r="Z437" s="79">
        <f>IF(Y437="","",IF(U437&lt;0,"Maintenance overdue: ","Maintenance due: ")&amp;P437)</f>
        <v/>
      </c>
    </row>
    <row r="438" ht="20" customHeight="1">
      <c r="B438" s="72" t="n"/>
      <c r="C438" s="72" t="n"/>
      <c r="D438" s="72" t="n"/>
      <c r="E438" s="109" t="n"/>
      <c r="F438" s="74" t="n"/>
      <c r="G438" s="126">
        <f>IF(OR(E438="",F438=""),"",DATE(YEAR(E438),MONTH(E438)+ROUND(F438*12,0),DAY(E438)))</f>
        <v/>
      </c>
      <c r="H438" s="144">
        <f>IF(G438="","",G438-AsOf)</f>
        <v/>
      </c>
      <c r="I438" s="107">
        <f>IF(G438="","",IF(H438&lt;0,"Expired",IF(H438&lt;=90,"Expires soon","Active")))</f>
        <v/>
      </c>
      <c r="J438" s="72" t="n"/>
      <c r="K438" s="79">
        <f>IF(I438="","",IF(I438="Active",0,IF(I438="Expires soon",1,3)))</f>
        <v/>
      </c>
      <c r="L438" s="112">
        <f>IF(G438="","",IF(G438&lt;AsOf,"",G438))</f>
        <v/>
      </c>
      <c r="M438" s="79">
        <f>IF(L438="","",IF(L438&lt;=AsOf+AlertDays,2,IF(L438&lt;=AsOf+90,3,"")))</f>
        <v/>
      </c>
      <c r="N438" s="79">
        <f>IF(M438="","","Warranty expires in "&amp;H438&amp;" days: "&amp;B438&amp;IF(C438="",""," ("&amp;C438&amp;")")&amp;" — check for defects")</f>
        <v/>
      </c>
      <c r="P438" s="72" t="n"/>
      <c r="Q438" s="72" t="n"/>
      <c r="R438" s="89" t="n"/>
      <c r="S438" s="109" t="n"/>
      <c r="T438" s="126">
        <f>IF(OR(R438="",S438=""),"",DATE(YEAR(S438),MONTH(S438)+R438,DAY(S438)))</f>
        <v/>
      </c>
      <c r="U438" s="144">
        <f>IF(T438="","",T438-AsOf)</f>
        <v/>
      </c>
      <c r="V438" s="107">
        <f>IF(T438="",IF(P438="","","Enter last-done date"),IF(U438&lt;0,"Overdue",IF(U438&lt;=30,"Due soon","OK")))</f>
        <v/>
      </c>
      <c r="W438" s="79">
        <f>IF(T438="","",IF(U438&lt;0,2,IF(U438&lt;=30,1,0)))</f>
        <v/>
      </c>
      <c r="X438" s="112">
        <f>IF(T438="","",T438)</f>
        <v/>
      </c>
      <c r="Y438" s="79">
        <f>IF(X438="","",IF(X438&lt;=AsOf+AlertDays,2,IF(X438&lt;=AsOf+30,3,"")))</f>
        <v/>
      </c>
      <c r="Z438" s="79">
        <f>IF(Y438="","",IF(U438&lt;0,"Maintenance overdue: ","Maintenance due: ")&amp;P438)</f>
        <v/>
      </c>
    </row>
    <row r="439" ht="20" customHeight="1">
      <c r="B439" s="72" t="n"/>
      <c r="C439" s="72" t="n"/>
      <c r="D439" s="72" t="n"/>
      <c r="E439" s="109" t="n"/>
      <c r="F439" s="74" t="n"/>
      <c r="G439" s="126">
        <f>IF(OR(E439="",F439=""),"",DATE(YEAR(E439),MONTH(E439)+ROUND(F439*12,0),DAY(E439)))</f>
        <v/>
      </c>
      <c r="H439" s="144">
        <f>IF(G439="","",G439-AsOf)</f>
        <v/>
      </c>
      <c r="I439" s="107">
        <f>IF(G439="","",IF(H439&lt;0,"Expired",IF(H439&lt;=90,"Expires soon","Active")))</f>
        <v/>
      </c>
      <c r="J439" s="72" t="n"/>
      <c r="K439" s="79">
        <f>IF(I439="","",IF(I439="Active",0,IF(I439="Expires soon",1,3)))</f>
        <v/>
      </c>
      <c r="L439" s="112">
        <f>IF(G439="","",IF(G439&lt;AsOf,"",G439))</f>
        <v/>
      </c>
      <c r="M439" s="79">
        <f>IF(L439="","",IF(L439&lt;=AsOf+AlertDays,2,IF(L439&lt;=AsOf+90,3,"")))</f>
        <v/>
      </c>
      <c r="N439" s="79">
        <f>IF(M439="","","Warranty expires in "&amp;H439&amp;" days: "&amp;B439&amp;IF(C439="",""," ("&amp;C439&amp;")")&amp;" — check for defects")</f>
        <v/>
      </c>
      <c r="P439" s="72" t="n"/>
      <c r="Q439" s="72" t="n"/>
      <c r="R439" s="89" t="n"/>
      <c r="S439" s="109" t="n"/>
      <c r="T439" s="126">
        <f>IF(OR(R439="",S439=""),"",DATE(YEAR(S439),MONTH(S439)+R439,DAY(S439)))</f>
        <v/>
      </c>
      <c r="U439" s="144">
        <f>IF(T439="","",T439-AsOf)</f>
        <v/>
      </c>
      <c r="V439" s="107">
        <f>IF(T439="",IF(P439="","","Enter last-done date"),IF(U439&lt;0,"Overdue",IF(U439&lt;=30,"Due soon","OK")))</f>
        <v/>
      </c>
      <c r="W439" s="79">
        <f>IF(T439="","",IF(U439&lt;0,2,IF(U439&lt;=30,1,0)))</f>
        <v/>
      </c>
      <c r="X439" s="112">
        <f>IF(T439="","",T439)</f>
        <v/>
      </c>
      <c r="Y439" s="79">
        <f>IF(X439="","",IF(X439&lt;=AsOf+AlertDays,2,IF(X439&lt;=AsOf+30,3,"")))</f>
        <v/>
      </c>
      <c r="Z439" s="79">
        <f>IF(Y439="","",IF(U439&lt;0,"Maintenance overdue: ","Maintenance due: ")&amp;P439)</f>
        <v/>
      </c>
    </row>
    <row r="440" ht="20" customHeight="1">
      <c r="B440" s="72" t="n"/>
      <c r="C440" s="72" t="n"/>
      <c r="D440" s="72" t="n"/>
      <c r="E440" s="109" t="n"/>
      <c r="F440" s="74" t="n"/>
      <c r="G440" s="126">
        <f>IF(OR(E440="",F440=""),"",DATE(YEAR(E440),MONTH(E440)+ROUND(F440*12,0),DAY(E440)))</f>
        <v/>
      </c>
      <c r="H440" s="144">
        <f>IF(G440="","",G440-AsOf)</f>
        <v/>
      </c>
      <c r="I440" s="107">
        <f>IF(G440="","",IF(H440&lt;0,"Expired",IF(H440&lt;=90,"Expires soon","Active")))</f>
        <v/>
      </c>
      <c r="J440" s="72" t="n"/>
      <c r="K440" s="79">
        <f>IF(I440="","",IF(I440="Active",0,IF(I440="Expires soon",1,3)))</f>
        <v/>
      </c>
      <c r="L440" s="112">
        <f>IF(G440="","",IF(G440&lt;AsOf,"",G440))</f>
        <v/>
      </c>
      <c r="M440" s="79">
        <f>IF(L440="","",IF(L440&lt;=AsOf+AlertDays,2,IF(L440&lt;=AsOf+90,3,"")))</f>
        <v/>
      </c>
      <c r="N440" s="79">
        <f>IF(M440="","","Warranty expires in "&amp;H440&amp;" days: "&amp;B440&amp;IF(C440="",""," ("&amp;C440&amp;")")&amp;" — check for defects")</f>
        <v/>
      </c>
      <c r="P440" s="72" t="n"/>
      <c r="Q440" s="72" t="n"/>
      <c r="R440" s="89" t="n"/>
      <c r="S440" s="109" t="n"/>
      <c r="T440" s="126">
        <f>IF(OR(R440="",S440=""),"",DATE(YEAR(S440),MONTH(S440)+R440,DAY(S440)))</f>
        <v/>
      </c>
      <c r="U440" s="144">
        <f>IF(T440="","",T440-AsOf)</f>
        <v/>
      </c>
      <c r="V440" s="107">
        <f>IF(T440="",IF(P440="","","Enter last-done date"),IF(U440&lt;0,"Overdue",IF(U440&lt;=30,"Due soon","OK")))</f>
        <v/>
      </c>
      <c r="W440" s="79">
        <f>IF(T440="","",IF(U440&lt;0,2,IF(U440&lt;=30,1,0)))</f>
        <v/>
      </c>
      <c r="X440" s="112">
        <f>IF(T440="","",T440)</f>
        <v/>
      </c>
      <c r="Y440" s="79">
        <f>IF(X440="","",IF(X440&lt;=AsOf+AlertDays,2,IF(X440&lt;=AsOf+30,3,"")))</f>
        <v/>
      </c>
      <c r="Z440" s="79">
        <f>IF(Y440="","",IF(U440&lt;0,"Maintenance overdue: ","Maintenance due: ")&amp;P440)</f>
        <v/>
      </c>
    </row>
    <row r="441" ht="20" customHeight="1">
      <c r="B441" s="72" t="n"/>
      <c r="C441" s="72" t="n"/>
      <c r="D441" s="72" t="n"/>
      <c r="E441" s="109" t="n"/>
      <c r="F441" s="74" t="n"/>
      <c r="G441" s="126">
        <f>IF(OR(E441="",F441=""),"",DATE(YEAR(E441),MONTH(E441)+ROUND(F441*12,0),DAY(E441)))</f>
        <v/>
      </c>
      <c r="H441" s="144">
        <f>IF(G441="","",G441-AsOf)</f>
        <v/>
      </c>
      <c r="I441" s="107">
        <f>IF(G441="","",IF(H441&lt;0,"Expired",IF(H441&lt;=90,"Expires soon","Active")))</f>
        <v/>
      </c>
      <c r="J441" s="72" t="n"/>
      <c r="K441" s="79">
        <f>IF(I441="","",IF(I441="Active",0,IF(I441="Expires soon",1,3)))</f>
        <v/>
      </c>
      <c r="L441" s="112">
        <f>IF(G441="","",IF(G441&lt;AsOf,"",G441))</f>
        <v/>
      </c>
      <c r="M441" s="79">
        <f>IF(L441="","",IF(L441&lt;=AsOf+AlertDays,2,IF(L441&lt;=AsOf+90,3,"")))</f>
        <v/>
      </c>
      <c r="N441" s="79">
        <f>IF(M441="","","Warranty expires in "&amp;H441&amp;" days: "&amp;B441&amp;IF(C441="",""," ("&amp;C441&amp;")")&amp;" — check for defects")</f>
        <v/>
      </c>
      <c r="P441" s="72" t="n"/>
      <c r="Q441" s="72" t="n"/>
      <c r="R441" s="89" t="n"/>
      <c r="S441" s="109" t="n"/>
      <c r="T441" s="126">
        <f>IF(OR(R441="",S441=""),"",DATE(YEAR(S441),MONTH(S441)+R441,DAY(S441)))</f>
        <v/>
      </c>
      <c r="U441" s="144">
        <f>IF(T441="","",T441-AsOf)</f>
        <v/>
      </c>
      <c r="V441" s="107">
        <f>IF(T441="",IF(P441="","","Enter last-done date"),IF(U441&lt;0,"Overdue",IF(U441&lt;=30,"Due soon","OK")))</f>
        <v/>
      </c>
      <c r="W441" s="79">
        <f>IF(T441="","",IF(U441&lt;0,2,IF(U441&lt;=30,1,0)))</f>
        <v/>
      </c>
      <c r="X441" s="112">
        <f>IF(T441="","",T441)</f>
        <v/>
      </c>
      <c r="Y441" s="79">
        <f>IF(X441="","",IF(X441&lt;=AsOf+AlertDays,2,IF(X441&lt;=AsOf+30,3,"")))</f>
        <v/>
      </c>
      <c r="Z441" s="79">
        <f>IF(Y441="","",IF(U441&lt;0,"Maintenance overdue: ","Maintenance due: ")&amp;P441)</f>
        <v/>
      </c>
    </row>
    <row r="442" ht="20" customHeight="1">
      <c r="B442" s="72" t="n"/>
      <c r="C442" s="72" t="n"/>
      <c r="D442" s="72" t="n"/>
      <c r="E442" s="109" t="n"/>
      <c r="F442" s="74" t="n"/>
      <c r="G442" s="126">
        <f>IF(OR(E442="",F442=""),"",DATE(YEAR(E442),MONTH(E442)+ROUND(F442*12,0),DAY(E442)))</f>
        <v/>
      </c>
      <c r="H442" s="144">
        <f>IF(G442="","",G442-AsOf)</f>
        <v/>
      </c>
      <c r="I442" s="107">
        <f>IF(G442="","",IF(H442&lt;0,"Expired",IF(H442&lt;=90,"Expires soon","Active")))</f>
        <v/>
      </c>
      <c r="J442" s="72" t="n"/>
      <c r="K442" s="79">
        <f>IF(I442="","",IF(I442="Active",0,IF(I442="Expires soon",1,3)))</f>
        <v/>
      </c>
      <c r="L442" s="112">
        <f>IF(G442="","",IF(G442&lt;AsOf,"",G442))</f>
        <v/>
      </c>
      <c r="M442" s="79">
        <f>IF(L442="","",IF(L442&lt;=AsOf+AlertDays,2,IF(L442&lt;=AsOf+90,3,"")))</f>
        <v/>
      </c>
      <c r="N442" s="79">
        <f>IF(M442="","","Warranty expires in "&amp;H442&amp;" days: "&amp;B442&amp;IF(C442="",""," ("&amp;C442&amp;")")&amp;" — check for defects")</f>
        <v/>
      </c>
      <c r="P442" s="72" t="n"/>
      <c r="Q442" s="72" t="n"/>
      <c r="R442" s="89" t="n"/>
      <c r="S442" s="109" t="n"/>
      <c r="T442" s="126">
        <f>IF(OR(R442="",S442=""),"",DATE(YEAR(S442),MONTH(S442)+R442,DAY(S442)))</f>
        <v/>
      </c>
      <c r="U442" s="144">
        <f>IF(T442="","",T442-AsOf)</f>
        <v/>
      </c>
      <c r="V442" s="107">
        <f>IF(T442="",IF(P442="","","Enter last-done date"),IF(U442&lt;0,"Overdue",IF(U442&lt;=30,"Due soon","OK")))</f>
        <v/>
      </c>
      <c r="W442" s="79">
        <f>IF(T442="","",IF(U442&lt;0,2,IF(U442&lt;=30,1,0)))</f>
        <v/>
      </c>
      <c r="X442" s="112">
        <f>IF(T442="","",T442)</f>
        <v/>
      </c>
      <c r="Y442" s="79">
        <f>IF(X442="","",IF(X442&lt;=AsOf+AlertDays,2,IF(X442&lt;=AsOf+30,3,"")))</f>
        <v/>
      </c>
      <c r="Z442" s="79">
        <f>IF(Y442="","",IF(U442&lt;0,"Maintenance overdue: ","Maintenance due: ")&amp;P442)</f>
        <v/>
      </c>
    </row>
    <row r="443" ht="20" customHeight="1">
      <c r="B443" s="72" t="n"/>
      <c r="C443" s="72" t="n"/>
      <c r="D443" s="72" t="n"/>
      <c r="E443" s="109" t="n"/>
      <c r="F443" s="74" t="n"/>
      <c r="G443" s="126">
        <f>IF(OR(E443="",F443=""),"",DATE(YEAR(E443),MONTH(E443)+ROUND(F443*12,0),DAY(E443)))</f>
        <v/>
      </c>
      <c r="H443" s="144">
        <f>IF(G443="","",G443-AsOf)</f>
        <v/>
      </c>
      <c r="I443" s="107">
        <f>IF(G443="","",IF(H443&lt;0,"Expired",IF(H443&lt;=90,"Expires soon","Active")))</f>
        <v/>
      </c>
      <c r="J443" s="72" t="n"/>
      <c r="K443" s="79">
        <f>IF(I443="","",IF(I443="Active",0,IF(I443="Expires soon",1,3)))</f>
        <v/>
      </c>
      <c r="L443" s="112">
        <f>IF(G443="","",IF(G443&lt;AsOf,"",G443))</f>
        <v/>
      </c>
      <c r="M443" s="79">
        <f>IF(L443="","",IF(L443&lt;=AsOf+AlertDays,2,IF(L443&lt;=AsOf+90,3,"")))</f>
        <v/>
      </c>
      <c r="N443" s="79">
        <f>IF(M443="","","Warranty expires in "&amp;H443&amp;" days: "&amp;B443&amp;IF(C443="",""," ("&amp;C443&amp;")")&amp;" — check for defects")</f>
        <v/>
      </c>
      <c r="P443" s="72" t="n"/>
      <c r="Q443" s="72" t="n"/>
      <c r="R443" s="89" t="n"/>
      <c r="S443" s="109" t="n"/>
      <c r="T443" s="126">
        <f>IF(OR(R443="",S443=""),"",DATE(YEAR(S443),MONTH(S443)+R443,DAY(S443)))</f>
        <v/>
      </c>
      <c r="U443" s="144">
        <f>IF(T443="","",T443-AsOf)</f>
        <v/>
      </c>
      <c r="V443" s="107">
        <f>IF(T443="",IF(P443="","","Enter last-done date"),IF(U443&lt;0,"Overdue",IF(U443&lt;=30,"Due soon","OK")))</f>
        <v/>
      </c>
      <c r="W443" s="79">
        <f>IF(T443="","",IF(U443&lt;0,2,IF(U443&lt;=30,1,0)))</f>
        <v/>
      </c>
      <c r="X443" s="112">
        <f>IF(T443="","",T443)</f>
        <v/>
      </c>
      <c r="Y443" s="79">
        <f>IF(X443="","",IF(X443&lt;=AsOf+AlertDays,2,IF(X443&lt;=AsOf+30,3,"")))</f>
        <v/>
      </c>
      <c r="Z443" s="79">
        <f>IF(Y443="","",IF(U443&lt;0,"Maintenance overdue: ","Maintenance due: ")&amp;P443)</f>
        <v/>
      </c>
    </row>
    <row r="444" ht="20" customHeight="1">
      <c r="B444" s="72" t="n"/>
      <c r="C444" s="72" t="n"/>
      <c r="D444" s="72" t="n"/>
      <c r="E444" s="109" t="n"/>
      <c r="F444" s="74" t="n"/>
      <c r="G444" s="126">
        <f>IF(OR(E444="",F444=""),"",DATE(YEAR(E444),MONTH(E444)+ROUND(F444*12,0),DAY(E444)))</f>
        <v/>
      </c>
      <c r="H444" s="144">
        <f>IF(G444="","",G444-AsOf)</f>
        <v/>
      </c>
      <c r="I444" s="107">
        <f>IF(G444="","",IF(H444&lt;0,"Expired",IF(H444&lt;=90,"Expires soon","Active")))</f>
        <v/>
      </c>
      <c r="J444" s="72" t="n"/>
      <c r="K444" s="79">
        <f>IF(I444="","",IF(I444="Active",0,IF(I444="Expires soon",1,3)))</f>
        <v/>
      </c>
      <c r="L444" s="112">
        <f>IF(G444="","",IF(G444&lt;AsOf,"",G444))</f>
        <v/>
      </c>
      <c r="M444" s="79">
        <f>IF(L444="","",IF(L444&lt;=AsOf+AlertDays,2,IF(L444&lt;=AsOf+90,3,"")))</f>
        <v/>
      </c>
      <c r="N444" s="79">
        <f>IF(M444="","","Warranty expires in "&amp;H444&amp;" days: "&amp;B444&amp;IF(C444="",""," ("&amp;C444&amp;")")&amp;" — check for defects")</f>
        <v/>
      </c>
      <c r="P444" s="72" t="n"/>
      <c r="Q444" s="72" t="n"/>
      <c r="R444" s="89" t="n"/>
      <c r="S444" s="109" t="n"/>
      <c r="T444" s="126">
        <f>IF(OR(R444="",S444=""),"",DATE(YEAR(S444),MONTH(S444)+R444,DAY(S444)))</f>
        <v/>
      </c>
      <c r="U444" s="144">
        <f>IF(T444="","",T444-AsOf)</f>
        <v/>
      </c>
      <c r="V444" s="107">
        <f>IF(T444="",IF(P444="","","Enter last-done date"),IF(U444&lt;0,"Overdue",IF(U444&lt;=30,"Due soon","OK")))</f>
        <v/>
      </c>
      <c r="W444" s="79">
        <f>IF(T444="","",IF(U444&lt;0,2,IF(U444&lt;=30,1,0)))</f>
        <v/>
      </c>
      <c r="X444" s="112">
        <f>IF(T444="","",T444)</f>
        <v/>
      </c>
      <c r="Y444" s="79">
        <f>IF(X444="","",IF(X444&lt;=AsOf+AlertDays,2,IF(X444&lt;=AsOf+30,3,"")))</f>
        <v/>
      </c>
      <c r="Z444" s="79">
        <f>IF(Y444="","",IF(U444&lt;0,"Maintenance overdue: ","Maintenance due: ")&amp;P444)</f>
        <v/>
      </c>
    </row>
    <row r="445" ht="20" customHeight="1">
      <c r="B445" s="72" t="n"/>
      <c r="C445" s="72" t="n"/>
      <c r="D445" s="72" t="n"/>
      <c r="E445" s="109" t="n"/>
      <c r="F445" s="74" t="n"/>
      <c r="G445" s="126">
        <f>IF(OR(E445="",F445=""),"",DATE(YEAR(E445),MONTH(E445)+ROUND(F445*12,0),DAY(E445)))</f>
        <v/>
      </c>
      <c r="H445" s="144">
        <f>IF(G445="","",G445-AsOf)</f>
        <v/>
      </c>
      <c r="I445" s="107">
        <f>IF(G445="","",IF(H445&lt;0,"Expired",IF(H445&lt;=90,"Expires soon","Active")))</f>
        <v/>
      </c>
      <c r="J445" s="72" t="n"/>
      <c r="K445" s="79">
        <f>IF(I445="","",IF(I445="Active",0,IF(I445="Expires soon",1,3)))</f>
        <v/>
      </c>
      <c r="L445" s="112">
        <f>IF(G445="","",IF(G445&lt;AsOf,"",G445))</f>
        <v/>
      </c>
      <c r="M445" s="79">
        <f>IF(L445="","",IF(L445&lt;=AsOf+AlertDays,2,IF(L445&lt;=AsOf+90,3,"")))</f>
        <v/>
      </c>
      <c r="N445" s="79">
        <f>IF(M445="","","Warranty expires in "&amp;H445&amp;" days: "&amp;B445&amp;IF(C445="",""," ("&amp;C445&amp;")")&amp;" — check for defects")</f>
        <v/>
      </c>
      <c r="P445" s="72" t="n"/>
      <c r="Q445" s="72" t="n"/>
      <c r="R445" s="89" t="n"/>
      <c r="S445" s="109" t="n"/>
      <c r="T445" s="126">
        <f>IF(OR(R445="",S445=""),"",DATE(YEAR(S445),MONTH(S445)+R445,DAY(S445)))</f>
        <v/>
      </c>
      <c r="U445" s="144">
        <f>IF(T445="","",T445-AsOf)</f>
        <v/>
      </c>
      <c r="V445" s="107">
        <f>IF(T445="",IF(P445="","","Enter last-done date"),IF(U445&lt;0,"Overdue",IF(U445&lt;=30,"Due soon","OK")))</f>
        <v/>
      </c>
      <c r="W445" s="79">
        <f>IF(T445="","",IF(U445&lt;0,2,IF(U445&lt;=30,1,0)))</f>
        <v/>
      </c>
      <c r="X445" s="112">
        <f>IF(T445="","",T445)</f>
        <v/>
      </c>
      <c r="Y445" s="79">
        <f>IF(X445="","",IF(X445&lt;=AsOf+AlertDays,2,IF(X445&lt;=AsOf+30,3,"")))</f>
        <v/>
      </c>
      <c r="Z445" s="79">
        <f>IF(Y445="","",IF(U445&lt;0,"Maintenance overdue: ","Maintenance due: ")&amp;P445)</f>
        <v/>
      </c>
    </row>
    <row r="446" ht="20" customHeight="1">
      <c r="B446" s="72" t="n"/>
      <c r="C446" s="72" t="n"/>
      <c r="D446" s="72" t="n"/>
      <c r="E446" s="109" t="n"/>
      <c r="F446" s="74" t="n"/>
      <c r="G446" s="126">
        <f>IF(OR(E446="",F446=""),"",DATE(YEAR(E446),MONTH(E446)+ROUND(F446*12,0),DAY(E446)))</f>
        <v/>
      </c>
      <c r="H446" s="144">
        <f>IF(G446="","",G446-AsOf)</f>
        <v/>
      </c>
      <c r="I446" s="107">
        <f>IF(G446="","",IF(H446&lt;0,"Expired",IF(H446&lt;=90,"Expires soon","Active")))</f>
        <v/>
      </c>
      <c r="J446" s="72" t="n"/>
      <c r="K446" s="79">
        <f>IF(I446="","",IF(I446="Active",0,IF(I446="Expires soon",1,3)))</f>
        <v/>
      </c>
      <c r="L446" s="112">
        <f>IF(G446="","",IF(G446&lt;AsOf,"",G446))</f>
        <v/>
      </c>
      <c r="M446" s="79">
        <f>IF(L446="","",IF(L446&lt;=AsOf+AlertDays,2,IF(L446&lt;=AsOf+90,3,"")))</f>
        <v/>
      </c>
      <c r="N446" s="79">
        <f>IF(M446="","","Warranty expires in "&amp;H446&amp;" days: "&amp;B446&amp;IF(C446="",""," ("&amp;C446&amp;")")&amp;" — check for defects")</f>
        <v/>
      </c>
      <c r="P446" s="72" t="n"/>
      <c r="Q446" s="72" t="n"/>
      <c r="R446" s="89" t="n"/>
      <c r="S446" s="109" t="n"/>
      <c r="T446" s="126">
        <f>IF(OR(R446="",S446=""),"",DATE(YEAR(S446),MONTH(S446)+R446,DAY(S446)))</f>
        <v/>
      </c>
      <c r="U446" s="144">
        <f>IF(T446="","",T446-AsOf)</f>
        <v/>
      </c>
      <c r="V446" s="107">
        <f>IF(T446="",IF(P446="","","Enter last-done date"),IF(U446&lt;0,"Overdue",IF(U446&lt;=30,"Due soon","OK")))</f>
        <v/>
      </c>
      <c r="W446" s="79">
        <f>IF(T446="","",IF(U446&lt;0,2,IF(U446&lt;=30,1,0)))</f>
        <v/>
      </c>
      <c r="X446" s="112">
        <f>IF(T446="","",T446)</f>
        <v/>
      </c>
      <c r="Y446" s="79">
        <f>IF(X446="","",IF(X446&lt;=AsOf+AlertDays,2,IF(X446&lt;=AsOf+30,3,"")))</f>
        <v/>
      </c>
      <c r="Z446" s="79">
        <f>IF(Y446="","",IF(U446&lt;0,"Maintenance overdue: ","Maintenance due: ")&amp;P446)</f>
        <v/>
      </c>
    </row>
    <row r="447" ht="20" customHeight="1">
      <c r="B447" s="72" t="n"/>
      <c r="C447" s="72" t="n"/>
      <c r="D447" s="72" t="n"/>
      <c r="E447" s="109" t="n"/>
      <c r="F447" s="74" t="n"/>
      <c r="G447" s="126">
        <f>IF(OR(E447="",F447=""),"",DATE(YEAR(E447),MONTH(E447)+ROUND(F447*12,0),DAY(E447)))</f>
        <v/>
      </c>
      <c r="H447" s="144">
        <f>IF(G447="","",G447-AsOf)</f>
        <v/>
      </c>
      <c r="I447" s="107">
        <f>IF(G447="","",IF(H447&lt;0,"Expired",IF(H447&lt;=90,"Expires soon","Active")))</f>
        <v/>
      </c>
      <c r="J447" s="72" t="n"/>
      <c r="K447" s="79">
        <f>IF(I447="","",IF(I447="Active",0,IF(I447="Expires soon",1,3)))</f>
        <v/>
      </c>
      <c r="L447" s="112">
        <f>IF(G447="","",IF(G447&lt;AsOf,"",G447))</f>
        <v/>
      </c>
      <c r="M447" s="79">
        <f>IF(L447="","",IF(L447&lt;=AsOf+AlertDays,2,IF(L447&lt;=AsOf+90,3,"")))</f>
        <v/>
      </c>
      <c r="N447" s="79">
        <f>IF(M447="","","Warranty expires in "&amp;H447&amp;" days: "&amp;B447&amp;IF(C447="",""," ("&amp;C447&amp;")")&amp;" — check for defects")</f>
        <v/>
      </c>
      <c r="P447" s="72" t="n"/>
      <c r="Q447" s="72" t="n"/>
      <c r="R447" s="89" t="n"/>
      <c r="S447" s="109" t="n"/>
      <c r="T447" s="126">
        <f>IF(OR(R447="",S447=""),"",DATE(YEAR(S447),MONTH(S447)+R447,DAY(S447)))</f>
        <v/>
      </c>
      <c r="U447" s="144">
        <f>IF(T447="","",T447-AsOf)</f>
        <v/>
      </c>
      <c r="V447" s="107">
        <f>IF(T447="",IF(P447="","","Enter last-done date"),IF(U447&lt;0,"Overdue",IF(U447&lt;=30,"Due soon","OK")))</f>
        <v/>
      </c>
      <c r="W447" s="79">
        <f>IF(T447="","",IF(U447&lt;0,2,IF(U447&lt;=30,1,0)))</f>
        <v/>
      </c>
      <c r="X447" s="112">
        <f>IF(T447="","",T447)</f>
        <v/>
      </c>
      <c r="Y447" s="79">
        <f>IF(X447="","",IF(X447&lt;=AsOf+AlertDays,2,IF(X447&lt;=AsOf+30,3,"")))</f>
        <v/>
      </c>
      <c r="Z447" s="79">
        <f>IF(Y447="","",IF(U447&lt;0,"Maintenance overdue: ","Maintenance due: ")&amp;P447)</f>
        <v/>
      </c>
    </row>
    <row r="448" ht="20" customHeight="1">
      <c r="B448" s="72" t="n"/>
      <c r="C448" s="72" t="n"/>
      <c r="D448" s="72" t="n"/>
      <c r="E448" s="109" t="n"/>
      <c r="F448" s="74" t="n"/>
      <c r="G448" s="126">
        <f>IF(OR(E448="",F448=""),"",DATE(YEAR(E448),MONTH(E448)+ROUND(F448*12,0),DAY(E448)))</f>
        <v/>
      </c>
      <c r="H448" s="144">
        <f>IF(G448="","",G448-AsOf)</f>
        <v/>
      </c>
      <c r="I448" s="107">
        <f>IF(G448="","",IF(H448&lt;0,"Expired",IF(H448&lt;=90,"Expires soon","Active")))</f>
        <v/>
      </c>
      <c r="J448" s="72" t="n"/>
      <c r="K448" s="79">
        <f>IF(I448="","",IF(I448="Active",0,IF(I448="Expires soon",1,3)))</f>
        <v/>
      </c>
      <c r="L448" s="112">
        <f>IF(G448="","",IF(G448&lt;AsOf,"",G448))</f>
        <v/>
      </c>
      <c r="M448" s="79">
        <f>IF(L448="","",IF(L448&lt;=AsOf+AlertDays,2,IF(L448&lt;=AsOf+90,3,"")))</f>
        <v/>
      </c>
      <c r="N448" s="79">
        <f>IF(M448="","","Warranty expires in "&amp;H448&amp;" days: "&amp;B448&amp;IF(C448="",""," ("&amp;C448&amp;")")&amp;" — check for defects")</f>
        <v/>
      </c>
      <c r="P448" s="72" t="n"/>
      <c r="Q448" s="72" t="n"/>
      <c r="R448" s="89" t="n"/>
      <c r="S448" s="109" t="n"/>
      <c r="T448" s="126">
        <f>IF(OR(R448="",S448=""),"",DATE(YEAR(S448),MONTH(S448)+R448,DAY(S448)))</f>
        <v/>
      </c>
      <c r="U448" s="144">
        <f>IF(T448="","",T448-AsOf)</f>
        <v/>
      </c>
      <c r="V448" s="107">
        <f>IF(T448="",IF(P448="","","Enter last-done date"),IF(U448&lt;0,"Overdue",IF(U448&lt;=30,"Due soon","OK")))</f>
        <v/>
      </c>
      <c r="W448" s="79">
        <f>IF(T448="","",IF(U448&lt;0,2,IF(U448&lt;=30,1,0)))</f>
        <v/>
      </c>
      <c r="X448" s="112">
        <f>IF(T448="","",T448)</f>
        <v/>
      </c>
      <c r="Y448" s="79">
        <f>IF(X448="","",IF(X448&lt;=AsOf+AlertDays,2,IF(X448&lt;=AsOf+30,3,"")))</f>
        <v/>
      </c>
      <c r="Z448" s="79">
        <f>IF(Y448="","",IF(U448&lt;0,"Maintenance overdue: ","Maintenance due: ")&amp;P448)</f>
        <v/>
      </c>
    </row>
    <row r="449" ht="20" customHeight="1">
      <c r="B449" s="72" t="n"/>
      <c r="C449" s="72" t="n"/>
      <c r="D449" s="72" t="n"/>
      <c r="E449" s="109" t="n"/>
      <c r="F449" s="74" t="n"/>
      <c r="G449" s="126">
        <f>IF(OR(E449="",F449=""),"",DATE(YEAR(E449),MONTH(E449)+ROUND(F449*12,0),DAY(E449)))</f>
        <v/>
      </c>
      <c r="H449" s="144">
        <f>IF(G449="","",G449-AsOf)</f>
        <v/>
      </c>
      <c r="I449" s="107">
        <f>IF(G449="","",IF(H449&lt;0,"Expired",IF(H449&lt;=90,"Expires soon","Active")))</f>
        <v/>
      </c>
      <c r="J449" s="72" t="n"/>
      <c r="K449" s="79">
        <f>IF(I449="","",IF(I449="Active",0,IF(I449="Expires soon",1,3)))</f>
        <v/>
      </c>
      <c r="L449" s="112">
        <f>IF(G449="","",IF(G449&lt;AsOf,"",G449))</f>
        <v/>
      </c>
      <c r="M449" s="79">
        <f>IF(L449="","",IF(L449&lt;=AsOf+AlertDays,2,IF(L449&lt;=AsOf+90,3,"")))</f>
        <v/>
      </c>
      <c r="N449" s="79">
        <f>IF(M449="","","Warranty expires in "&amp;H449&amp;" days: "&amp;B449&amp;IF(C449="",""," ("&amp;C449&amp;")")&amp;" — check for defects")</f>
        <v/>
      </c>
      <c r="P449" s="72" t="n"/>
      <c r="Q449" s="72" t="n"/>
      <c r="R449" s="89" t="n"/>
      <c r="S449" s="109" t="n"/>
      <c r="T449" s="126">
        <f>IF(OR(R449="",S449=""),"",DATE(YEAR(S449),MONTH(S449)+R449,DAY(S449)))</f>
        <v/>
      </c>
      <c r="U449" s="144">
        <f>IF(T449="","",T449-AsOf)</f>
        <v/>
      </c>
      <c r="V449" s="107">
        <f>IF(T449="",IF(P449="","","Enter last-done date"),IF(U449&lt;0,"Overdue",IF(U449&lt;=30,"Due soon","OK")))</f>
        <v/>
      </c>
      <c r="W449" s="79">
        <f>IF(T449="","",IF(U449&lt;0,2,IF(U449&lt;=30,1,0)))</f>
        <v/>
      </c>
      <c r="X449" s="112">
        <f>IF(T449="","",T449)</f>
        <v/>
      </c>
      <c r="Y449" s="79">
        <f>IF(X449="","",IF(X449&lt;=AsOf+AlertDays,2,IF(X449&lt;=AsOf+30,3,"")))</f>
        <v/>
      </c>
      <c r="Z449" s="79">
        <f>IF(Y449="","",IF(U449&lt;0,"Maintenance overdue: ","Maintenance due: ")&amp;P449)</f>
        <v/>
      </c>
    </row>
    <row r="450" ht="20" customHeight="1">
      <c r="B450" s="72" t="n"/>
      <c r="C450" s="72" t="n"/>
      <c r="D450" s="72" t="n"/>
      <c r="E450" s="109" t="n"/>
      <c r="F450" s="74" t="n"/>
      <c r="G450" s="126">
        <f>IF(OR(E450="",F450=""),"",DATE(YEAR(E450),MONTH(E450)+ROUND(F450*12,0),DAY(E450)))</f>
        <v/>
      </c>
      <c r="H450" s="144">
        <f>IF(G450="","",G450-AsOf)</f>
        <v/>
      </c>
      <c r="I450" s="107">
        <f>IF(G450="","",IF(H450&lt;0,"Expired",IF(H450&lt;=90,"Expires soon","Active")))</f>
        <v/>
      </c>
      <c r="J450" s="72" t="n"/>
      <c r="K450" s="79">
        <f>IF(I450="","",IF(I450="Active",0,IF(I450="Expires soon",1,3)))</f>
        <v/>
      </c>
      <c r="L450" s="112">
        <f>IF(G450="","",IF(G450&lt;AsOf,"",G450))</f>
        <v/>
      </c>
      <c r="M450" s="79">
        <f>IF(L450="","",IF(L450&lt;=AsOf+AlertDays,2,IF(L450&lt;=AsOf+90,3,"")))</f>
        <v/>
      </c>
      <c r="N450" s="79">
        <f>IF(M450="","","Warranty expires in "&amp;H450&amp;" days: "&amp;B450&amp;IF(C450="",""," ("&amp;C450&amp;")")&amp;" — check for defects")</f>
        <v/>
      </c>
      <c r="P450" s="72" t="n"/>
      <c r="Q450" s="72" t="n"/>
      <c r="R450" s="89" t="n"/>
      <c r="S450" s="109" t="n"/>
      <c r="T450" s="126">
        <f>IF(OR(R450="",S450=""),"",DATE(YEAR(S450),MONTH(S450)+R450,DAY(S450)))</f>
        <v/>
      </c>
      <c r="U450" s="144">
        <f>IF(T450="","",T450-AsOf)</f>
        <v/>
      </c>
      <c r="V450" s="107">
        <f>IF(T450="",IF(P450="","","Enter last-done date"),IF(U450&lt;0,"Overdue",IF(U450&lt;=30,"Due soon","OK")))</f>
        <v/>
      </c>
      <c r="W450" s="79">
        <f>IF(T450="","",IF(U450&lt;0,2,IF(U450&lt;=30,1,0)))</f>
        <v/>
      </c>
      <c r="X450" s="112">
        <f>IF(T450="","",T450)</f>
        <v/>
      </c>
      <c r="Y450" s="79">
        <f>IF(X450="","",IF(X450&lt;=AsOf+AlertDays,2,IF(X450&lt;=AsOf+30,3,"")))</f>
        <v/>
      </c>
      <c r="Z450" s="79">
        <f>IF(Y450="","",IF(U450&lt;0,"Maintenance overdue: ","Maintenance due: ")&amp;P450)</f>
        <v/>
      </c>
    </row>
    <row r="451" ht="20" customHeight="1">
      <c r="B451" s="72" t="n"/>
      <c r="C451" s="72" t="n"/>
      <c r="D451" s="72" t="n"/>
      <c r="E451" s="109" t="n"/>
      <c r="F451" s="74" t="n"/>
      <c r="G451" s="126">
        <f>IF(OR(E451="",F451=""),"",DATE(YEAR(E451),MONTH(E451)+ROUND(F451*12,0),DAY(E451)))</f>
        <v/>
      </c>
      <c r="H451" s="144">
        <f>IF(G451="","",G451-AsOf)</f>
        <v/>
      </c>
      <c r="I451" s="107">
        <f>IF(G451="","",IF(H451&lt;0,"Expired",IF(H451&lt;=90,"Expires soon","Active")))</f>
        <v/>
      </c>
      <c r="J451" s="72" t="n"/>
      <c r="K451" s="79">
        <f>IF(I451="","",IF(I451="Active",0,IF(I451="Expires soon",1,3)))</f>
        <v/>
      </c>
      <c r="L451" s="112">
        <f>IF(G451="","",IF(G451&lt;AsOf,"",G451))</f>
        <v/>
      </c>
      <c r="M451" s="79">
        <f>IF(L451="","",IF(L451&lt;=AsOf+AlertDays,2,IF(L451&lt;=AsOf+90,3,"")))</f>
        <v/>
      </c>
      <c r="N451" s="79">
        <f>IF(M451="","","Warranty expires in "&amp;H451&amp;" days: "&amp;B451&amp;IF(C451="",""," ("&amp;C451&amp;")")&amp;" — check for defects")</f>
        <v/>
      </c>
      <c r="P451" s="72" t="n"/>
      <c r="Q451" s="72" t="n"/>
      <c r="R451" s="89" t="n"/>
      <c r="S451" s="109" t="n"/>
      <c r="T451" s="126">
        <f>IF(OR(R451="",S451=""),"",DATE(YEAR(S451),MONTH(S451)+R451,DAY(S451)))</f>
        <v/>
      </c>
      <c r="U451" s="144">
        <f>IF(T451="","",T451-AsOf)</f>
        <v/>
      </c>
      <c r="V451" s="107">
        <f>IF(T451="",IF(P451="","","Enter last-done date"),IF(U451&lt;0,"Overdue",IF(U451&lt;=30,"Due soon","OK")))</f>
        <v/>
      </c>
      <c r="W451" s="79">
        <f>IF(T451="","",IF(U451&lt;0,2,IF(U451&lt;=30,1,0)))</f>
        <v/>
      </c>
      <c r="X451" s="112">
        <f>IF(T451="","",T451)</f>
        <v/>
      </c>
      <c r="Y451" s="79">
        <f>IF(X451="","",IF(X451&lt;=AsOf+AlertDays,2,IF(X451&lt;=AsOf+30,3,"")))</f>
        <v/>
      </c>
      <c r="Z451" s="79">
        <f>IF(Y451="","",IF(U451&lt;0,"Maintenance overdue: ","Maintenance due: ")&amp;P451)</f>
        <v/>
      </c>
    </row>
    <row r="452" ht="20" customHeight="1">
      <c r="B452" s="72" t="n"/>
      <c r="C452" s="72" t="n"/>
      <c r="D452" s="72" t="n"/>
      <c r="E452" s="109" t="n"/>
      <c r="F452" s="74" t="n"/>
      <c r="G452" s="126">
        <f>IF(OR(E452="",F452=""),"",DATE(YEAR(E452),MONTH(E452)+ROUND(F452*12,0),DAY(E452)))</f>
        <v/>
      </c>
      <c r="H452" s="144">
        <f>IF(G452="","",G452-AsOf)</f>
        <v/>
      </c>
      <c r="I452" s="107">
        <f>IF(G452="","",IF(H452&lt;0,"Expired",IF(H452&lt;=90,"Expires soon","Active")))</f>
        <v/>
      </c>
      <c r="J452" s="72" t="n"/>
      <c r="K452" s="79">
        <f>IF(I452="","",IF(I452="Active",0,IF(I452="Expires soon",1,3)))</f>
        <v/>
      </c>
      <c r="L452" s="112">
        <f>IF(G452="","",IF(G452&lt;AsOf,"",G452))</f>
        <v/>
      </c>
      <c r="M452" s="79">
        <f>IF(L452="","",IF(L452&lt;=AsOf+AlertDays,2,IF(L452&lt;=AsOf+90,3,"")))</f>
        <v/>
      </c>
      <c r="N452" s="79">
        <f>IF(M452="","","Warranty expires in "&amp;H452&amp;" days: "&amp;B452&amp;IF(C452="",""," ("&amp;C452&amp;")")&amp;" — check for defects")</f>
        <v/>
      </c>
      <c r="P452" s="72" t="n"/>
      <c r="Q452" s="72" t="n"/>
      <c r="R452" s="89" t="n"/>
      <c r="S452" s="109" t="n"/>
      <c r="T452" s="126">
        <f>IF(OR(R452="",S452=""),"",DATE(YEAR(S452),MONTH(S452)+R452,DAY(S452)))</f>
        <v/>
      </c>
      <c r="U452" s="144">
        <f>IF(T452="","",T452-AsOf)</f>
        <v/>
      </c>
      <c r="V452" s="107">
        <f>IF(T452="",IF(P452="","","Enter last-done date"),IF(U452&lt;0,"Overdue",IF(U452&lt;=30,"Due soon","OK")))</f>
        <v/>
      </c>
      <c r="W452" s="79">
        <f>IF(T452="","",IF(U452&lt;0,2,IF(U452&lt;=30,1,0)))</f>
        <v/>
      </c>
      <c r="X452" s="112">
        <f>IF(T452="","",T452)</f>
        <v/>
      </c>
      <c r="Y452" s="79">
        <f>IF(X452="","",IF(X452&lt;=AsOf+AlertDays,2,IF(X452&lt;=AsOf+30,3,"")))</f>
        <v/>
      </c>
      <c r="Z452" s="79">
        <f>IF(Y452="","",IF(U452&lt;0,"Maintenance overdue: ","Maintenance due: ")&amp;P452)</f>
        <v/>
      </c>
    </row>
    <row r="453" ht="20" customHeight="1">
      <c r="B453" s="72" t="n"/>
      <c r="C453" s="72" t="n"/>
      <c r="D453" s="72" t="n"/>
      <c r="E453" s="109" t="n"/>
      <c r="F453" s="74" t="n"/>
      <c r="G453" s="126">
        <f>IF(OR(E453="",F453=""),"",DATE(YEAR(E453),MONTH(E453)+ROUND(F453*12,0),DAY(E453)))</f>
        <v/>
      </c>
      <c r="H453" s="144">
        <f>IF(G453="","",G453-AsOf)</f>
        <v/>
      </c>
      <c r="I453" s="107">
        <f>IF(G453="","",IF(H453&lt;0,"Expired",IF(H453&lt;=90,"Expires soon","Active")))</f>
        <v/>
      </c>
      <c r="J453" s="72" t="n"/>
      <c r="K453" s="79">
        <f>IF(I453="","",IF(I453="Active",0,IF(I453="Expires soon",1,3)))</f>
        <v/>
      </c>
      <c r="L453" s="112">
        <f>IF(G453="","",IF(G453&lt;AsOf,"",G453))</f>
        <v/>
      </c>
      <c r="M453" s="79">
        <f>IF(L453="","",IF(L453&lt;=AsOf+AlertDays,2,IF(L453&lt;=AsOf+90,3,"")))</f>
        <v/>
      </c>
      <c r="N453" s="79">
        <f>IF(M453="","","Warranty expires in "&amp;H453&amp;" days: "&amp;B453&amp;IF(C453="",""," ("&amp;C453&amp;")")&amp;" — check for defects")</f>
        <v/>
      </c>
      <c r="P453" s="72" t="n"/>
      <c r="Q453" s="72" t="n"/>
      <c r="R453" s="89" t="n"/>
      <c r="S453" s="109" t="n"/>
      <c r="T453" s="126">
        <f>IF(OR(R453="",S453=""),"",DATE(YEAR(S453),MONTH(S453)+R453,DAY(S453)))</f>
        <v/>
      </c>
      <c r="U453" s="144">
        <f>IF(T453="","",T453-AsOf)</f>
        <v/>
      </c>
      <c r="V453" s="107">
        <f>IF(T453="",IF(P453="","","Enter last-done date"),IF(U453&lt;0,"Overdue",IF(U453&lt;=30,"Due soon","OK")))</f>
        <v/>
      </c>
      <c r="W453" s="79">
        <f>IF(T453="","",IF(U453&lt;0,2,IF(U453&lt;=30,1,0)))</f>
        <v/>
      </c>
      <c r="X453" s="112">
        <f>IF(T453="","",T453)</f>
        <v/>
      </c>
      <c r="Y453" s="79">
        <f>IF(X453="","",IF(X453&lt;=AsOf+AlertDays,2,IF(X453&lt;=AsOf+30,3,"")))</f>
        <v/>
      </c>
      <c r="Z453" s="79">
        <f>IF(Y453="","",IF(U453&lt;0,"Maintenance overdue: ","Maintenance due: ")&amp;P453)</f>
        <v/>
      </c>
    </row>
    <row r="454" ht="20" customHeight="1">
      <c r="B454" s="72" t="n"/>
      <c r="C454" s="72" t="n"/>
      <c r="D454" s="72" t="n"/>
      <c r="E454" s="109" t="n"/>
      <c r="F454" s="74" t="n"/>
      <c r="G454" s="126">
        <f>IF(OR(E454="",F454=""),"",DATE(YEAR(E454),MONTH(E454)+ROUND(F454*12,0),DAY(E454)))</f>
        <v/>
      </c>
      <c r="H454" s="144">
        <f>IF(G454="","",G454-AsOf)</f>
        <v/>
      </c>
      <c r="I454" s="107">
        <f>IF(G454="","",IF(H454&lt;0,"Expired",IF(H454&lt;=90,"Expires soon","Active")))</f>
        <v/>
      </c>
      <c r="J454" s="72" t="n"/>
      <c r="K454" s="79">
        <f>IF(I454="","",IF(I454="Active",0,IF(I454="Expires soon",1,3)))</f>
        <v/>
      </c>
      <c r="L454" s="112">
        <f>IF(G454="","",IF(G454&lt;AsOf,"",G454))</f>
        <v/>
      </c>
      <c r="M454" s="79">
        <f>IF(L454="","",IF(L454&lt;=AsOf+AlertDays,2,IF(L454&lt;=AsOf+90,3,"")))</f>
        <v/>
      </c>
      <c r="N454" s="79">
        <f>IF(M454="","","Warranty expires in "&amp;H454&amp;" days: "&amp;B454&amp;IF(C454="",""," ("&amp;C454&amp;")")&amp;" — check for defects")</f>
        <v/>
      </c>
      <c r="P454" s="72" t="n"/>
      <c r="Q454" s="72" t="n"/>
      <c r="R454" s="89" t="n"/>
      <c r="S454" s="109" t="n"/>
      <c r="T454" s="126">
        <f>IF(OR(R454="",S454=""),"",DATE(YEAR(S454),MONTH(S454)+R454,DAY(S454)))</f>
        <v/>
      </c>
      <c r="U454" s="144">
        <f>IF(T454="","",T454-AsOf)</f>
        <v/>
      </c>
      <c r="V454" s="107">
        <f>IF(T454="",IF(P454="","","Enter last-done date"),IF(U454&lt;0,"Overdue",IF(U454&lt;=30,"Due soon","OK")))</f>
        <v/>
      </c>
      <c r="W454" s="79">
        <f>IF(T454="","",IF(U454&lt;0,2,IF(U454&lt;=30,1,0)))</f>
        <v/>
      </c>
      <c r="X454" s="112">
        <f>IF(T454="","",T454)</f>
        <v/>
      </c>
      <c r="Y454" s="79">
        <f>IF(X454="","",IF(X454&lt;=AsOf+AlertDays,2,IF(X454&lt;=AsOf+30,3,"")))</f>
        <v/>
      </c>
      <c r="Z454" s="79">
        <f>IF(Y454="","",IF(U454&lt;0,"Maintenance overdue: ","Maintenance due: ")&amp;P454)</f>
        <v/>
      </c>
    </row>
    <row r="455" ht="20" customHeight="1">
      <c r="B455" s="72" t="n"/>
      <c r="C455" s="72" t="n"/>
      <c r="D455" s="72" t="n"/>
      <c r="E455" s="109" t="n"/>
      <c r="F455" s="74" t="n"/>
      <c r="G455" s="126">
        <f>IF(OR(E455="",F455=""),"",DATE(YEAR(E455),MONTH(E455)+ROUND(F455*12,0),DAY(E455)))</f>
        <v/>
      </c>
      <c r="H455" s="144">
        <f>IF(G455="","",G455-AsOf)</f>
        <v/>
      </c>
      <c r="I455" s="107">
        <f>IF(G455="","",IF(H455&lt;0,"Expired",IF(H455&lt;=90,"Expires soon","Active")))</f>
        <v/>
      </c>
      <c r="J455" s="72" t="n"/>
      <c r="K455" s="79">
        <f>IF(I455="","",IF(I455="Active",0,IF(I455="Expires soon",1,3)))</f>
        <v/>
      </c>
      <c r="L455" s="112">
        <f>IF(G455="","",IF(G455&lt;AsOf,"",G455))</f>
        <v/>
      </c>
      <c r="M455" s="79">
        <f>IF(L455="","",IF(L455&lt;=AsOf+AlertDays,2,IF(L455&lt;=AsOf+90,3,"")))</f>
        <v/>
      </c>
      <c r="N455" s="79">
        <f>IF(M455="","","Warranty expires in "&amp;H455&amp;" days: "&amp;B455&amp;IF(C455="",""," ("&amp;C455&amp;")")&amp;" — check for defects")</f>
        <v/>
      </c>
      <c r="P455" s="72" t="n"/>
      <c r="Q455" s="72" t="n"/>
      <c r="R455" s="89" t="n"/>
      <c r="S455" s="109" t="n"/>
      <c r="T455" s="126">
        <f>IF(OR(R455="",S455=""),"",DATE(YEAR(S455),MONTH(S455)+R455,DAY(S455)))</f>
        <v/>
      </c>
      <c r="U455" s="144">
        <f>IF(T455="","",T455-AsOf)</f>
        <v/>
      </c>
      <c r="V455" s="107">
        <f>IF(T455="",IF(P455="","","Enter last-done date"),IF(U455&lt;0,"Overdue",IF(U455&lt;=30,"Due soon","OK")))</f>
        <v/>
      </c>
      <c r="W455" s="79">
        <f>IF(T455="","",IF(U455&lt;0,2,IF(U455&lt;=30,1,0)))</f>
        <v/>
      </c>
      <c r="X455" s="112">
        <f>IF(T455="","",T455)</f>
        <v/>
      </c>
      <c r="Y455" s="79">
        <f>IF(X455="","",IF(X455&lt;=AsOf+AlertDays,2,IF(X455&lt;=AsOf+30,3,"")))</f>
        <v/>
      </c>
      <c r="Z455" s="79">
        <f>IF(Y455="","",IF(U455&lt;0,"Maintenance overdue: ","Maintenance due: ")&amp;P455)</f>
        <v/>
      </c>
    </row>
    <row r="456" ht="20" customHeight="1">
      <c r="B456" s="72" t="n"/>
      <c r="C456" s="72" t="n"/>
      <c r="D456" s="72" t="n"/>
      <c r="E456" s="109" t="n"/>
      <c r="F456" s="74" t="n"/>
      <c r="G456" s="126">
        <f>IF(OR(E456="",F456=""),"",DATE(YEAR(E456),MONTH(E456)+ROUND(F456*12,0),DAY(E456)))</f>
        <v/>
      </c>
      <c r="H456" s="144">
        <f>IF(G456="","",G456-AsOf)</f>
        <v/>
      </c>
      <c r="I456" s="107">
        <f>IF(G456="","",IF(H456&lt;0,"Expired",IF(H456&lt;=90,"Expires soon","Active")))</f>
        <v/>
      </c>
      <c r="J456" s="72" t="n"/>
      <c r="K456" s="79">
        <f>IF(I456="","",IF(I456="Active",0,IF(I456="Expires soon",1,3)))</f>
        <v/>
      </c>
      <c r="L456" s="112">
        <f>IF(G456="","",IF(G456&lt;AsOf,"",G456))</f>
        <v/>
      </c>
      <c r="M456" s="79">
        <f>IF(L456="","",IF(L456&lt;=AsOf+AlertDays,2,IF(L456&lt;=AsOf+90,3,"")))</f>
        <v/>
      </c>
      <c r="N456" s="79">
        <f>IF(M456="","","Warranty expires in "&amp;H456&amp;" days: "&amp;B456&amp;IF(C456="",""," ("&amp;C456&amp;")")&amp;" — check for defects")</f>
        <v/>
      </c>
      <c r="P456" s="72" t="n"/>
      <c r="Q456" s="72" t="n"/>
      <c r="R456" s="89" t="n"/>
      <c r="S456" s="109" t="n"/>
      <c r="T456" s="126">
        <f>IF(OR(R456="",S456=""),"",DATE(YEAR(S456),MONTH(S456)+R456,DAY(S456)))</f>
        <v/>
      </c>
      <c r="U456" s="144">
        <f>IF(T456="","",T456-AsOf)</f>
        <v/>
      </c>
      <c r="V456" s="107">
        <f>IF(T456="",IF(P456="","","Enter last-done date"),IF(U456&lt;0,"Overdue",IF(U456&lt;=30,"Due soon","OK")))</f>
        <v/>
      </c>
      <c r="W456" s="79">
        <f>IF(T456="","",IF(U456&lt;0,2,IF(U456&lt;=30,1,0)))</f>
        <v/>
      </c>
      <c r="X456" s="112">
        <f>IF(T456="","",T456)</f>
        <v/>
      </c>
      <c r="Y456" s="79">
        <f>IF(X456="","",IF(X456&lt;=AsOf+AlertDays,2,IF(X456&lt;=AsOf+30,3,"")))</f>
        <v/>
      </c>
      <c r="Z456" s="79">
        <f>IF(Y456="","",IF(U456&lt;0,"Maintenance overdue: ","Maintenance due: ")&amp;P456)</f>
        <v/>
      </c>
    </row>
    <row r="457" ht="20" customHeight="1">
      <c r="B457" s="72" t="n"/>
      <c r="C457" s="72" t="n"/>
      <c r="D457" s="72" t="n"/>
      <c r="E457" s="109" t="n"/>
      <c r="F457" s="74" t="n"/>
      <c r="G457" s="126">
        <f>IF(OR(E457="",F457=""),"",DATE(YEAR(E457),MONTH(E457)+ROUND(F457*12,0),DAY(E457)))</f>
        <v/>
      </c>
      <c r="H457" s="144">
        <f>IF(G457="","",G457-AsOf)</f>
        <v/>
      </c>
      <c r="I457" s="107">
        <f>IF(G457="","",IF(H457&lt;0,"Expired",IF(H457&lt;=90,"Expires soon","Active")))</f>
        <v/>
      </c>
      <c r="J457" s="72" t="n"/>
      <c r="K457" s="79">
        <f>IF(I457="","",IF(I457="Active",0,IF(I457="Expires soon",1,3)))</f>
        <v/>
      </c>
      <c r="L457" s="112">
        <f>IF(G457="","",IF(G457&lt;AsOf,"",G457))</f>
        <v/>
      </c>
      <c r="M457" s="79">
        <f>IF(L457="","",IF(L457&lt;=AsOf+AlertDays,2,IF(L457&lt;=AsOf+90,3,"")))</f>
        <v/>
      </c>
      <c r="N457" s="79">
        <f>IF(M457="","","Warranty expires in "&amp;H457&amp;" days: "&amp;B457&amp;IF(C457="",""," ("&amp;C457&amp;")")&amp;" — check for defects")</f>
        <v/>
      </c>
      <c r="P457" s="72" t="n"/>
      <c r="Q457" s="72" t="n"/>
      <c r="R457" s="89" t="n"/>
      <c r="S457" s="109" t="n"/>
      <c r="T457" s="126">
        <f>IF(OR(R457="",S457=""),"",DATE(YEAR(S457),MONTH(S457)+R457,DAY(S457)))</f>
        <v/>
      </c>
      <c r="U457" s="144">
        <f>IF(T457="","",T457-AsOf)</f>
        <v/>
      </c>
      <c r="V457" s="107">
        <f>IF(T457="",IF(P457="","","Enter last-done date"),IF(U457&lt;0,"Overdue",IF(U457&lt;=30,"Due soon","OK")))</f>
        <v/>
      </c>
      <c r="W457" s="79">
        <f>IF(T457="","",IF(U457&lt;0,2,IF(U457&lt;=30,1,0)))</f>
        <v/>
      </c>
      <c r="X457" s="112">
        <f>IF(T457="","",T457)</f>
        <v/>
      </c>
      <c r="Y457" s="79">
        <f>IF(X457="","",IF(X457&lt;=AsOf+AlertDays,2,IF(X457&lt;=AsOf+30,3,"")))</f>
        <v/>
      </c>
      <c r="Z457" s="79">
        <f>IF(Y457="","",IF(U457&lt;0,"Maintenance overdue: ","Maintenance due: ")&amp;P457)</f>
        <v/>
      </c>
    </row>
    <row r="458" ht="20" customHeight="1">
      <c r="B458" s="72" t="n"/>
      <c r="C458" s="72" t="n"/>
      <c r="D458" s="72" t="n"/>
      <c r="E458" s="109" t="n"/>
      <c r="F458" s="74" t="n"/>
      <c r="G458" s="126">
        <f>IF(OR(E458="",F458=""),"",DATE(YEAR(E458),MONTH(E458)+ROUND(F458*12,0),DAY(E458)))</f>
        <v/>
      </c>
      <c r="H458" s="144">
        <f>IF(G458="","",G458-AsOf)</f>
        <v/>
      </c>
      <c r="I458" s="107">
        <f>IF(G458="","",IF(H458&lt;0,"Expired",IF(H458&lt;=90,"Expires soon","Active")))</f>
        <v/>
      </c>
      <c r="J458" s="72" t="n"/>
      <c r="K458" s="79">
        <f>IF(I458="","",IF(I458="Active",0,IF(I458="Expires soon",1,3)))</f>
        <v/>
      </c>
      <c r="L458" s="112">
        <f>IF(G458="","",IF(G458&lt;AsOf,"",G458))</f>
        <v/>
      </c>
      <c r="M458" s="79">
        <f>IF(L458="","",IF(L458&lt;=AsOf+AlertDays,2,IF(L458&lt;=AsOf+90,3,"")))</f>
        <v/>
      </c>
      <c r="N458" s="79">
        <f>IF(M458="","","Warranty expires in "&amp;H458&amp;" days: "&amp;B458&amp;IF(C458="",""," ("&amp;C458&amp;")")&amp;" — check for defects")</f>
        <v/>
      </c>
      <c r="P458" s="72" t="n"/>
      <c r="Q458" s="72" t="n"/>
      <c r="R458" s="89" t="n"/>
      <c r="S458" s="109" t="n"/>
      <c r="T458" s="126">
        <f>IF(OR(R458="",S458=""),"",DATE(YEAR(S458),MONTH(S458)+R458,DAY(S458)))</f>
        <v/>
      </c>
      <c r="U458" s="144">
        <f>IF(T458="","",T458-AsOf)</f>
        <v/>
      </c>
      <c r="V458" s="107">
        <f>IF(T458="",IF(P458="","","Enter last-done date"),IF(U458&lt;0,"Overdue",IF(U458&lt;=30,"Due soon","OK")))</f>
        <v/>
      </c>
      <c r="W458" s="79">
        <f>IF(T458="","",IF(U458&lt;0,2,IF(U458&lt;=30,1,0)))</f>
        <v/>
      </c>
      <c r="X458" s="112">
        <f>IF(T458="","",T458)</f>
        <v/>
      </c>
      <c r="Y458" s="79">
        <f>IF(X458="","",IF(X458&lt;=AsOf+AlertDays,2,IF(X458&lt;=AsOf+30,3,"")))</f>
        <v/>
      </c>
      <c r="Z458" s="79">
        <f>IF(Y458="","",IF(U458&lt;0,"Maintenance overdue: ","Maintenance due: ")&amp;P458)</f>
        <v/>
      </c>
    </row>
    <row r="459" ht="20" customHeight="1">
      <c r="B459" s="72" t="n"/>
      <c r="C459" s="72" t="n"/>
      <c r="D459" s="72" t="n"/>
      <c r="E459" s="109" t="n"/>
      <c r="F459" s="74" t="n"/>
      <c r="G459" s="126">
        <f>IF(OR(E459="",F459=""),"",DATE(YEAR(E459),MONTH(E459)+ROUND(F459*12,0),DAY(E459)))</f>
        <v/>
      </c>
      <c r="H459" s="144">
        <f>IF(G459="","",G459-AsOf)</f>
        <v/>
      </c>
      <c r="I459" s="107">
        <f>IF(G459="","",IF(H459&lt;0,"Expired",IF(H459&lt;=90,"Expires soon","Active")))</f>
        <v/>
      </c>
      <c r="J459" s="72" t="n"/>
      <c r="K459" s="79">
        <f>IF(I459="","",IF(I459="Active",0,IF(I459="Expires soon",1,3)))</f>
        <v/>
      </c>
      <c r="L459" s="112">
        <f>IF(G459="","",IF(G459&lt;AsOf,"",G459))</f>
        <v/>
      </c>
      <c r="M459" s="79">
        <f>IF(L459="","",IF(L459&lt;=AsOf+AlertDays,2,IF(L459&lt;=AsOf+90,3,"")))</f>
        <v/>
      </c>
      <c r="N459" s="79">
        <f>IF(M459="","","Warranty expires in "&amp;H459&amp;" days: "&amp;B459&amp;IF(C459="",""," ("&amp;C459&amp;")")&amp;" — check for defects")</f>
        <v/>
      </c>
      <c r="P459" s="72" t="n"/>
      <c r="Q459" s="72" t="n"/>
      <c r="R459" s="89" t="n"/>
      <c r="S459" s="109" t="n"/>
      <c r="T459" s="126">
        <f>IF(OR(R459="",S459=""),"",DATE(YEAR(S459),MONTH(S459)+R459,DAY(S459)))</f>
        <v/>
      </c>
      <c r="U459" s="144">
        <f>IF(T459="","",T459-AsOf)</f>
        <v/>
      </c>
      <c r="V459" s="107">
        <f>IF(T459="",IF(P459="","","Enter last-done date"),IF(U459&lt;0,"Overdue",IF(U459&lt;=30,"Due soon","OK")))</f>
        <v/>
      </c>
      <c r="W459" s="79">
        <f>IF(T459="","",IF(U459&lt;0,2,IF(U459&lt;=30,1,0)))</f>
        <v/>
      </c>
      <c r="X459" s="112">
        <f>IF(T459="","",T459)</f>
        <v/>
      </c>
      <c r="Y459" s="79">
        <f>IF(X459="","",IF(X459&lt;=AsOf+AlertDays,2,IF(X459&lt;=AsOf+30,3,"")))</f>
        <v/>
      </c>
      <c r="Z459" s="79">
        <f>IF(Y459="","",IF(U459&lt;0,"Maintenance overdue: ","Maintenance due: ")&amp;P459)</f>
        <v/>
      </c>
    </row>
    <row r="460" ht="20" customHeight="1">
      <c r="B460" s="72" t="n"/>
      <c r="C460" s="72" t="n"/>
      <c r="D460" s="72" t="n"/>
      <c r="E460" s="109" t="n"/>
      <c r="F460" s="74" t="n"/>
      <c r="G460" s="126">
        <f>IF(OR(E460="",F460=""),"",DATE(YEAR(E460),MONTH(E460)+ROUND(F460*12,0),DAY(E460)))</f>
        <v/>
      </c>
      <c r="H460" s="144">
        <f>IF(G460="","",G460-AsOf)</f>
        <v/>
      </c>
      <c r="I460" s="107">
        <f>IF(G460="","",IF(H460&lt;0,"Expired",IF(H460&lt;=90,"Expires soon","Active")))</f>
        <v/>
      </c>
      <c r="J460" s="72" t="n"/>
      <c r="K460" s="79">
        <f>IF(I460="","",IF(I460="Active",0,IF(I460="Expires soon",1,3)))</f>
        <v/>
      </c>
      <c r="L460" s="112">
        <f>IF(G460="","",IF(G460&lt;AsOf,"",G460))</f>
        <v/>
      </c>
      <c r="M460" s="79">
        <f>IF(L460="","",IF(L460&lt;=AsOf+AlertDays,2,IF(L460&lt;=AsOf+90,3,"")))</f>
        <v/>
      </c>
      <c r="N460" s="79">
        <f>IF(M460="","","Warranty expires in "&amp;H460&amp;" days: "&amp;B460&amp;IF(C460="",""," ("&amp;C460&amp;")")&amp;" — check for defects")</f>
        <v/>
      </c>
      <c r="P460" s="72" t="n"/>
      <c r="Q460" s="72" t="n"/>
      <c r="R460" s="89" t="n"/>
      <c r="S460" s="109" t="n"/>
      <c r="T460" s="126">
        <f>IF(OR(R460="",S460=""),"",DATE(YEAR(S460),MONTH(S460)+R460,DAY(S460)))</f>
        <v/>
      </c>
      <c r="U460" s="144">
        <f>IF(T460="","",T460-AsOf)</f>
        <v/>
      </c>
      <c r="V460" s="107">
        <f>IF(T460="",IF(P460="","","Enter last-done date"),IF(U460&lt;0,"Overdue",IF(U460&lt;=30,"Due soon","OK")))</f>
        <v/>
      </c>
      <c r="W460" s="79">
        <f>IF(T460="","",IF(U460&lt;0,2,IF(U460&lt;=30,1,0)))</f>
        <v/>
      </c>
      <c r="X460" s="112">
        <f>IF(T460="","",T460)</f>
        <v/>
      </c>
      <c r="Y460" s="79">
        <f>IF(X460="","",IF(X460&lt;=AsOf+AlertDays,2,IF(X460&lt;=AsOf+30,3,"")))</f>
        <v/>
      </c>
      <c r="Z460" s="79">
        <f>IF(Y460="","",IF(U460&lt;0,"Maintenance overdue: ","Maintenance due: ")&amp;P460)</f>
        <v/>
      </c>
    </row>
    <row r="461" ht="20" customHeight="1">
      <c r="B461" s="72" t="n"/>
      <c r="C461" s="72" t="n"/>
      <c r="D461" s="72" t="n"/>
      <c r="E461" s="109" t="n"/>
      <c r="F461" s="74" t="n"/>
      <c r="G461" s="126">
        <f>IF(OR(E461="",F461=""),"",DATE(YEAR(E461),MONTH(E461)+ROUND(F461*12,0),DAY(E461)))</f>
        <v/>
      </c>
      <c r="H461" s="144">
        <f>IF(G461="","",G461-AsOf)</f>
        <v/>
      </c>
      <c r="I461" s="107">
        <f>IF(G461="","",IF(H461&lt;0,"Expired",IF(H461&lt;=90,"Expires soon","Active")))</f>
        <v/>
      </c>
      <c r="J461" s="72" t="n"/>
      <c r="K461" s="79">
        <f>IF(I461="","",IF(I461="Active",0,IF(I461="Expires soon",1,3)))</f>
        <v/>
      </c>
      <c r="L461" s="112">
        <f>IF(G461="","",IF(G461&lt;AsOf,"",G461))</f>
        <v/>
      </c>
      <c r="M461" s="79">
        <f>IF(L461="","",IF(L461&lt;=AsOf+AlertDays,2,IF(L461&lt;=AsOf+90,3,"")))</f>
        <v/>
      </c>
      <c r="N461" s="79">
        <f>IF(M461="","","Warranty expires in "&amp;H461&amp;" days: "&amp;B461&amp;IF(C461="",""," ("&amp;C461&amp;")")&amp;" — check for defects")</f>
        <v/>
      </c>
      <c r="P461" s="72" t="n"/>
      <c r="Q461" s="72" t="n"/>
      <c r="R461" s="89" t="n"/>
      <c r="S461" s="109" t="n"/>
      <c r="T461" s="126">
        <f>IF(OR(R461="",S461=""),"",DATE(YEAR(S461),MONTH(S461)+R461,DAY(S461)))</f>
        <v/>
      </c>
      <c r="U461" s="144">
        <f>IF(T461="","",T461-AsOf)</f>
        <v/>
      </c>
      <c r="V461" s="107">
        <f>IF(T461="",IF(P461="","","Enter last-done date"),IF(U461&lt;0,"Overdue",IF(U461&lt;=30,"Due soon","OK")))</f>
        <v/>
      </c>
      <c r="W461" s="79">
        <f>IF(T461="","",IF(U461&lt;0,2,IF(U461&lt;=30,1,0)))</f>
        <v/>
      </c>
      <c r="X461" s="112">
        <f>IF(T461="","",T461)</f>
        <v/>
      </c>
      <c r="Y461" s="79">
        <f>IF(X461="","",IF(X461&lt;=AsOf+AlertDays,2,IF(X461&lt;=AsOf+30,3,"")))</f>
        <v/>
      </c>
      <c r="Z461" s="79">
        <f>IF(Y461="","",IF(U461&lt;0,"Maintenance overdue: ","Maintenance due: ")&amp;P461)</f>
        <v/>
      </c>
    </row>
    <row r="462" ht="20" customHeight="1">
      <c r="B462" s="72" t="n"/>
      <c r="C462" s="72" t="n"/>
      <c r="D462" s="72" t="n"/>
      <c r="E462" s="109" t="n"/>
      <c r="F462" s="74" t="n"/>
      <c r="G462" s="126">
        <f>IF(OR(E462="",F462=""),"",DATE(YEAR(E462),MONTH(E462)+ROUND(F462*12,0),DAY(E462)))</f>
        <v/>
      </c>
      <c r="H462" s="144">
        <f>IF(G462="","",G462-AsOf)</f>
        <v/>
      </c>
      <c r="I462" s="107">
        <f>IF(G462="","",IF(H462&lt;0,"Expired",IF(H462&lt;=90,"Expires soon","Active")))</f>
        <v/>
      </c>
      <c r="J462" s="72" t="n"/>
      <c r="K462" s="79">
        <f>IF(I462="","",IF(I462="Active",0,IF(I462="Expires soon",1,3)))</f>
        <v/>
      </c>
      <c r="L462" s="112">
        <f>IF(G462="","",IF(G462&lt;AsOf,"",G462))</f>
        <v/>
      </c>
      <c r="M462" s="79">
        <f>IF(L462="","",IF(L462&lt;=AsOf+AlertDays,2,IF(L462&lt;=AsOf+90,3,"")))</f>
        <v/>
      </c>
      <c r="N462" s="79">
        <f>IF(M462="","","Warranty expires in "&amp;H462&amp;" days: "&amp;B462&amp;IF(C462="",""," ("&amp;C462&amp;")")&amp;" — check for defects")</f>
        <v/>
      </c>
      <c r="P462" s="72" t="n"/>
      <c r="Q462" s="72" t="n"/>
      <c r="R462" s="89" t="n"/>
      <c r="S462" s="109" t="n"/>
      <c r="T462" s="126">
        <f>IF(OR(R462="",S462=""),"",DATE(YEAR(S462),MONTH(S462)+R462,DAY(S462)))</f>
        <v/>
      </c>
      <c r="U462" s="144">
        <f>IF(T462="","",T462-AsOf)</f>
        <v/>
      </c>
      <c r="V462" s="107">
        <f>IF(T462="",IF(P462="","","Enter last-done date"),IF(U462&lt;0,"Overdue",IF(U462&lt;=30,"Due soon","OK")))</f>
        <v/>
      </c>
      <c r="W462" s="79">
        <f>IF(T462="","",IF(U462&lt;0,2,IF(U462&lt;=30,1,0)))</f>
        <v/>
      </c>
      <c r="X462" s="112">
        <f>IF(T462="","",T462)</f>
        <v/>
      </c>
      <c r="Y462" s="79">
        <f>IF(X462="","",IF(X462&lt;=AsOf+AlertDays,2,IF(X462&lt;=AsOf+30,3,"")))</f>
        <v/>
      </c>
      <c r="Z462" s="79">
        <f>IF(Y462="","",IF(U462&lt;0,"Maintenance overdue: ","Maintenance due: ")&amp;P462)</f>
        <v/>
      </c>
    </row>
    <row r="463" ht="20" customHeight="1">
      <c r="B463" s="72" t="n"/>
      <c r="C463" s="72" t="n"/>
      <c r="D463" s="72" t="n"/>
      <c r="E463" s="109" t="n"/>
      <c r="F463" s="74" t="n"/>
      <c r="G463" s="126">
        <f>IF(OR(E463="",F463=""),"",DATE(YEAR(E463),MONTH(E463)+ROUND(F463*12,0),DAY(E463)))</f>
        <v/>
      </c>
      <c r="H463" s="144">
        <f>IF(G463="","",G463-AsOf)</f>
        <v/>
      </c>
      <c r="I463" s="107">
        <f>IF(G463="","",IF(H463&lt;0,"Expired",IF(H463&lt;=90,"Expires soon","Active")))</f>
        <v/>
      </c>
      <c r="J463" s="72" t="n"/>
      <c r="K463" s="79">
        <f>IF(I463="","",IF(I463="Active",0,IF(I463="Expires soon",1,3)))</f>
        <v/>
      </c>
      <c r="L463" s="112">
        <f>IF(G463="","",IF(G463&lt;AsOf,"",G463))</f>
        <v/>
      </c>
      <c r="M463" s="79">
        <f>IF(L463="","",IF(L463&lt;=AsOf+AlertDays,2,IF(L463&lt;=AsOf+90,3,"")))</f>
        <v/>
      </c>
      <c r="N463" s="79">
        <f>IF(M463="","","Warranty expires in "&amp;H463&amp;" days: "&amp;B463&amp;IF(C463="",""," ("&amp;C463&amp;")")&amp;" — check for defects")</f>
        <v/>
      </c>
      <c r="P463" s="72" t="n"/>
      <c r="Q463" s="72" t="n"/>
      <c r="R463" s="89" t="n"/>
      <c r="S463" s="109" t="n"/>
      <c r="T463" s="126">
        <f>IF(OR(R463="",S463=""),"",DATE(YEAR(S463),MONTH(S463)+R463,DAY(S463)))</f>
        <v/>
      </c>
      <c r="U463" s="144">
        <f>IF(T463="","",T463-AsOf)</f>
        <v/>
      </c>
      <c r="V463" s="107">
        <f>IF(T463="",IF(P463="","","Enter last-done date"),IF(U463&lt;0,"Overdue",IF(U463&lt;=30,"Due soon","OK")))</f>
        <v/>
      </c>
      <c r="W463" s="79">
        <f>IF(T463="","",IF(U463&lt;0,2,IF(U463&lt;=30,1,0)))</f>
        <v/>
      </c>
      <c r="X463" s="112">
        <f>IF(T463="","",T463)</f>
        <v/>
      </c>
      <c r="Y463" s="79">
        <f>IF(X463="","",IF(X463&lt;=AsOf+AlertDays,2,IF(X463&lt;=AsOf+30,3,"")))</f>
        <v/>
      </c>
      <c r="Z463" s="79">
        <f>IF(Y463="","",IF(U463&lt;0,"Maintenance overdue: ","Maintenance due: ")&amp;P463)</f>
        <v/>
      </c>
    </row>
    <row r="464" ht="20" customHeight="1">
      <c r="B464" s="72" t="n"/>
      <c r="C464" s="72" t="n"/>
      <c r="D464" s="72" t="n"/>
      <c r="E464" s="109" t="n"/>
      <c r="F464" s="74" t="n"/>
      <c r="G464" s="126">
        <f>IF(OR(E464="",F464=""),"",DATE(YEAR(E464),MONTH(E464)+ROUND(F464*12,0),DAY(E464)))</f>
        <v/>
      </c>
      <c r="H464" s="144">
        <f>IF(G464="","",G464-AsOf)</f>
        <v/>
      </c>
      <c r="I464" s="107">
        <f>IF(G464="","",IF(H464&lt;0,"Expired",IF(H464&lt;=90,"Expires soon","Active")))</f>
        <v/>
      </c>
      <c r="J464" s="72" t="n"/>
      <c r="K464" s="79">
        <f>IF(I464="","",IF(I464="Active",0,IF(I464="Expires soon",1,3)))</f>
        <v/>
      </c>
      <c r="L464" s="112">
        <f>IF(G464="","",IF(G464&lt;AsOf,"",G464))</f>
        <v/>
      </c>
      <c r="M464" s="79">
        <f>IF(L464="","",IF(L464&lt;=AsOf+AlertDays,2,IF(L464&lt;=AsOf+90,3,"")))</f>
        <v/>
      </c>
      <c r="N464" s="79">
        <f>IF(M464="","","Warranty expires in "&amp;H464&amp;" days: "&amp;B464&amp;IF(C464="",""," ("&amp;C464&amp;")")&amp;" — check for defects")</f>
        <v/>
      </c>
      <c r="P464" s="72" t="n"/>
      <c r="Q464" s="72" t="n"/>
      <c r="R464" s="89" t="n"/>
      <c r="S464" s="109" t="n"/>
      <c r="T464" s="126">
        <f>IF(OR(R464="",S464=""),"",DATE(YEAR(S464),MONTH(S464)+R464,DAY(S464)))</f>
        <v/>
      </c>
      <c r="U464" s="144">
        <f>IF(T464="","",T464-AsOf)</f>
        <v/>
      </c>
      <c r="V464" s="107">
        <f>IF(T464="",IF(P464="","","Enter last-done date"),IF(U464&lt;0,"Overdue",IF(U464&lt;=30,"Due soon","OK")))</f>
        <v/>
      </c>
      <c r="W464" s="79">
        <f>IF(T464="","",IF(U464&lt;0,2,IF(U464&lt;=30,1,0)))</f>
        <v/>
      </c>
      <c r="X464" s="112">
        <f>IF(T464="","",T464)</f>
        <v/>
      </c>
      <c r="Y464" s="79">
        <f>IF(X464="","",IF(X464&lt;=AsOf+AlertDays,2,IF(X464&lt;=AsOf+30,3,"")))</f>
        <v/>
      </c>
      <c r="Z464" s="79">
        <f>IF(Y464="","",IF(U464&lt;0,"Maintenance overdue: ","Maintenance due: ")&amp;P464)</f>
        <v/>
      </c>
    </row>
    <row r="465" ht="20" customHeight="1">
      <c r="B465" s="72" t="n"/>
      <c r="C465" s="72" t="n"/>
      <c r="D465" s="72" t="n"/>
      <c r="E465" s="109" t="n"/>
      <c r="F465" s="74" t="n"/>
      <c r="G465" s="126">
        <f>IF(OR(E465="",F465=""),"",DATE(YEAR(E465),MONTH(E465)+ROUND(F465*12,0),DAY(E465)))</f>
        <v/>
      </c>
      <c r="H465" s="144">
        <f>IF(G465="","",G465-AsOf)</f>
        <v/>
      </c>
      <c r="I465" s="107">
        <f>IF(G465="","",IF(H465&lt;0,"Expired",IF(H465&lt;=90,"Expires soon","Active")))</f>
        <v/>
      </c>
      <c r="J465" s="72" t="n"/>
      <c r="K465" s="79">
        <f>IF(I465="","",IF(I465="Active",0,IF(I465="Expires soon",1,3)))</f>
        <v/>
      </c>
      <c r="L465" s="112">
        <f>IF(G465="","",IF(G465&lt;AsOf,"",G465))</f>
        <v/>
      </c>
      <c r="M465" s="79">
        <f>IF(L465="","",IF(L465&lt;=AsOf+AlertDays,2,IF(L465&lt;=AsOf+90,3,"")))</f>
        <v/>
      </c>
      <c r="N465" s="79">
        <f>IF(M465="","","Warranty expires in "&amp;H465&amp;" days: "&amp;B465&amp;IF(C465="",""," ("&amp;C465&amp;")")&amp;" — check for defects")</f>
        <v/>
      </c>
      <c r="P465" s="72" t="n"/>
      <c r="Q465" s="72" t="n"/>
      <c r="R465" s="89" t="n"/>
      <c r="S465" s="109" t="n"/>
      <c r="T465" s="126">
        <f>IF(OR(R465="",S465=""),"",DATE(YEAR(S465),MONTH(S465)+R465,DAY(S465)))</f>
        <v/>
      </c>
      <c r="U465" s="144">
        <f>IF(T465="","",T465-AsOf)</f>
        <v/>
      </c>
      <c r="V465" s="107">
        <f>IF(T465="",IF(P465="","","Enter last-done date"),IF(U465&lt;0,"Overdue",IF(U465&lt;=30,"Due soon","OK")))</f>
        <v/>
      </c>
      <c r="W465" s="79">
        <f>IF(T465="","",IF(U465&lt;0,2,IF(U465&lt;=30,1,0)))</f>
        <v/>
      </c>
      <c r="X465" s="112">
        <f>IF(T465="","",T465)</f>
        <v/>
      </c>
      <c r="Y465" s="79">
        <f>IF(X465="","",IF(X465&lt;=AsOf+AlertDays,2,IF(X465&lt;=AsOf+30,3,"")))</f>
        <v/>
      </c>
      <c r="Z465" s="79">
        <f>IF(Y465="","",IF(U465&lt;0,"Maintenance overdue: ","Maintenance due: ")&amp;P465)</f>
        <v/>
      </c>
    </row>
    <row r="466" ht="20" customHeight="1">
      <c r="B466" s="72" t="n"/>
      <c r="C466" s="72" t="n"/>
      <c r="D466" s="72" t="n"/>
      <c r="E466" s="109" t="n"/>
      <c r="F466" s="74" t="n"/>
      <c r="G466" s="126">
        <f>IF(OR(E466="",F466=""),"",DATE(YEAR(E466),MONTH(E466)+ROUND(F466*12,0),DAY(E466)))</f>
        <v/>
      </c>
      <c r="H466" s="144">
        <f>IF(G466="","",G466-AsOf)</f>
        <v/>
      </c>
      <c r="I466" s="107">
        <f>IF(G466="","",IF(H466&lt;0,"Expired",IF(H466&lt;=90,"Expires soon","Active")))</f>
        <v/>
      </c>
      <c r="J466" s="72" t="n"/>
      <c r="K466" s="79">
        <f>IF(I466="","",IF(I466="Active",0,IF(I466="Expires soon",1,3)))</f>
        <v/>
      </c>
      <c r="L466" s="112">
        <f>IF(G466="","",IF(G466&lt;AsOf,"",G466))</f>
        <v/>
      </c>
      <c r="M466" s="79">
        <f>IF(L466="","",IF(L466&lt;=AsOf+AlertDays,2,IF(L466&lt;=AsOf+90,3,"")))</f>
        <v/>
      </c>
      <c r="N466" s="79">
        <f>IF(M466="","","Warranty expires in "&amp;H466&amp;" days: "&amp;B466&amp;IF(C466="",""," ("&amp;C466&amp;")")&amp;" — check for defects")</f>
        <v/>
      </c>
      <c r="P466" s="72" t="n"/>
      <c r="Q466" s="72" t="n"/>
      <c r="R466" s="89" t="n"/>
      <c r="S466" s="109" t="n"/>
      <c r="T466" s="126">
        <f>IF(OR(R466="",S466=""),"",DATE(YEAR(S466),MONTH(S466)+R466,DAY(S466)))</f>
        <v/>
      </c>
      <c r="U466" s="144">
        <f>IF(T466="","",T466-AsOf)</f>
        <v/>
      </c>
      <c r="V466" s="107">
        <f>IF(T466="",IF(P466="","","Enter last-done date"),IF(U466&lt;0,"Overdue",IF(U466&lt;=30,"Due soon","OK")))</f>
        <v/>
      </c>
      <c r="W466" s="79">
        <f>IF(T466="","",IF(U466&lt;0,2,IF(U466&lt;=30,1,0)))</f>
        <v/>
      </c>
      <c r="X466" s="112">
        <f>IF(T466="","",T466)</f>
        <v/>
      </c>
      <c r="Y466" s="79">
        <f>IF(X466="","",IF(X466&lt;=AsOf+AlertDays,2,IF(X466&lt;=AsOf+30,3,"")))</f>
        <v/>
      </c>
      <c r="Z466" s="79">
        <f>IF(Y466="","",IF(U466&lt;0,"Maintenance overdue: ","Maintenance due: ")&amp;P466)</f>
        <v/>
      </c>
    </row>
    <row r="467" ht="20" customHeight="1">
      <c r="B467" s="72" t="n"/>
      <c r="C467" s="72" t="n"/>
      <c r="D467" s="72" t="n"/>
      <c r="E467" s="109" t="n"/>
      <c r="F467" s="74" t="n"/>
      <c r="G467" s="126">
        <f>IF(OR(E467="",F467=""),"",DATE(YEAR(E467),MONTH(E467)+ROUND(F467*12,0),DAY(E467)))</f>
        <v/>
      </c>
      <c r="H467" s="144">
        <f>IF(G467="","",G467-AsOf)</f>
        <v/>
      </c>
      <c r="I467" s="107">
        <f>IF(G467="","",IF(H467&lt;0,"Expired",IF(H467&lt;=90,"Expires soon","Active")))</f>
        <v/>
      </c>
      <c r="J467" s="72" t="n"/>
      <c r="K467" s="79">
        <f>IF(I467="","",IF(I467="Active",0,IF(I467="Expires soon",1,3)))</f>
        <v/>
      </c>
      <c r="L467" s="112">
        <f>IF(G467="","",IF(G467&lt;AsOf,"",G467))</f>
        <v/>
      </c>
      <c r="M467" s="79">
        <f>IF(L467="","",IF(L467&lt;=AsOf+AlertDays,2,IF(L467&lt;=AsOf+90,3,"")))</f>
        <v/>
      </c>
      <c r="N467" s="79">
        <f>IF(M467="","","Warranty expires in "&amp;H467&amp;" days: "&amp;B467&amp;IF(C467="",""," ("&amp;C467&amp;")")&amp;" — check for defects")</f>
        <v/>
      </c>
      <c r="P467" s="72" t="n"/>
      <c r="Q467" s="72" t="n"/>
      <c r="R467" s="89" t="n"/>
      <c r="S467" s="109" t="n"/>
      <c r="T467" s="126">
        <f>IF(OR(R467="",S467=""),"",DATE(YEAR(S467),MONTH(S467)+R467,DAY(S467)))</f>
        <v/>
      </c>
      <c r="U467" s="144">
        <f>IF(T467="","",T467-AsOf)</f>
        <v/>
      </c>
      <c r="V467" s="107">
        <f>IF(T467="",IF(P467="","","Enter last-done date"),IF(U467&lt;0,"Overdue",IF(U467&lt;=30,"Due soon","OK")))</f>
        <v/>
      </c>
      <c r="W467" s="79">
        <f>IF(T467="","",IF(U467&lt;0,2,IF(U467&lt;=30,1,0)))</f>
        <v/>
      </c>
      <c r="X467" s="112">
        <f>IF(T467="","",T467)</f>
        <v/>
      </c>
      <c r="Y467" s="79">
        <f>IF(X467="","",IF(X467&lt;=AsOf+AlertDays,2,IF(X467&lt;=AsOf+30,3,"")))</f>
        <v/>
      </c>
      <c r="Z467" s="79">
        <f>IF(Y467="","",IF(U467&lt;0,"Maintenance overdue: ","Maintenance due: ")&amp;P467)</f>
        <v/>
      </c>
    </row>
    <row r="468" ht="20" customHeight="1">
      <c r="B468" s="72" t="n"/>
      <c r="C468" s="72" t="n"/>
      <c r="D468" s="72" t="n"/>
      <c r="E468" s="109" t="n"/>
      <c r="F468" s="74" t="n"/>
      <c r="G468" s="126">
        <f>IF(OR(E468="",F468=""),"",DATE(YEAR(E468),MONTH(E468)+ROUND(F468*12,0),DAY(E468)))</f>
        <v/>
      </c>
      <c r="H468" s="144">
        <f>IF(G468="","",G468-AsOf)</f>
        <v/>
      </c>
      <c r="I468" s="107">
        <f>IF(G468="","",IF(H468&lt;0,"Expired",IF(H468&lt;=90,"Expires soon","Active")))</f>
        <v/>
      </c>
      <c r="J468" s="72" t="n"/>
      <c r="K468" s="79">
        <f>IF(I468="","",IF(I468="Active",0,IF(I468="Expires soon",1,3)))</f>
        <v/>
      </c>
      <c r="L468" s="112">
        <f>IF(G468="","",IF(G468&lt;AsOf,"",G468))</f>
        <v/>
      </c>
      <c r="M468" s="79">
        <f>IF(L468="","",IF(L468&lt;=AsOf+AlertDays,2,IF(L468&lt;=AsOf+90,3,"")))</f>
        <v/>
      </c>
      <c r="N468" s="79">
        <f>IF(M468="","","Warranty expires in "&amp;H468&amp;" days: "&amp;B468&amp;IF(C468="",""," ("&amp;C468&amp;")")&amp;" — check for defects")</f>
        <v/>
      </c>
      <c r="P468" s="72" t="n"/>
      <c r="Q468" s="72" t="n"/>
      <c r="R468" s="89" t="n"/>
      <c r="S468" s="109" t="n"/>
      <c r="T468" s="126">
        <f>IF(OR(R468="",S468=""),"",DATE(YEAR(S468),MONTH(S468)+R468,DAY(S468)))</f>
        <v/>
      </c>
      <c r="U468" s="144">
        <f>IF(T468="","",T468-AsOf)</f>
        <v/>
      </c>
      <c r="V468" s="107">
        <f>IF(T468="",IF(P468="","","Enter last-done date"),IF(U468&lt;0,"Overdue",IF(U468&lt;=30,"Due soon","OK")))</f>
        <v/>
      </c>
      <c r="W468" s="79">
        <f>IF(T468="","",IF(U468&lt;0,2,IF(U468&lt;=30,1,0)))</f>
        <v/>
      </c>
      <c r="X468" s="112">
        <f>IF(T468="","",T468)</f>
        <v/>
      </c>
      <c r="Y468" s="79">
        <f>IF(X468="","",IF(X468&lt;=AsOf+AlertDays,2,IF(X468&lt;=AsOf+30,3,"")))</f>
        <v/>
      </c>
      <c r="Z468" s="79">
        <f>IF(Y468="","",IF(U468&lt;0,"Maintenance overdue: ","Maintenance due: ")&amp;P468)</f>
        <v/>
      </c>
    </row>
    <row r="469" ht="20" customHeight="1">
      <c r="B469" s="72" t="n"/>
      <c r="C469" s="72" t="n"/>
      <c r="D469" s="72" t="n"/>
      <c r="E469" s="109" t="n"/>
      <c r="F469" s="74" t="n"/>
      <c r="G469" s="126">
        <f>IF(OR(E469="",F469=""),"",DATE(YEAR(E469),MONTH(E469)+ROUND(F469*12,0),DAY(E469)))</f>
        <v/>
      </c>
      <c r="H469" s="144">
        <f>IF(G469="","",G469-AsOf)</f>
        <v/>
      </c>
      <c r="I469" s="107">
        <f>IF(G469="","",IF(H469&lt;0,"Expired",IF(H469&lt;=90,"Expires soon","Active")))</f>
        <v/>
      </c>
      <c r="J469" s="72" t="n"/>
      <c r="K469" s="79">
        <f>IF(I469="","",IF(I469="Active",0,IF(I469="Expires soon",1,3)))</f>
        <v/>
      </c>
      <c r="L469" s="112">
        <f>IF(G469="","",IF(G469&lt;AsOf,"",G469))</f>
        <v/>
      </c>
      <c r="M469" s="79">
        <f>IF(L469="","",IF(L469&lt;=AsOf+AlertDays,2,IF(L469&lt;=AsOf+90,3,"")))</f>
        <v/>
      </c>
      <c r="N469" s="79">
        <f>IF(M469="","","Warranty expires in "&amp;H469&amp;" days: "&amp;B469&amp;IF(C469="",""," ("&amp;C469&amp;")")&amp;" — check for defects")</f>
        <v/>
      </c>
      <c r="P469" s="72" t="n"/>
      <c r="Q469" s="72" t="n"/>
      <c r="R469" s="89" t="n"/>
      <c r="S469" s="109" t="n"/>
      <c r="T469" s="126">
        <f>IF(OR(R469="",S469=""),"",DATE(YEAR(S469),MONTH(S469)+R469,DAY(S469)))</f>
        <v/>
      </c>
      <c r="U469" s="144">
        <f>IF(T469="","",T469-AsOf)</f>
        <v/>
      </c>
      <c r="V469" s="107">
        <f>IF(T469="",IF(P469="","","Enter last-done date"),IF(U469&lt;0,"Overdue",IF(U469&lt;=30,"Due soon","OK")))</f>
        <v/>
      </c>
      <c r="W469" s="79">
        <f>IF(T469="","",IF(U469&lt;0,2,IF(U469&lt;=30,1,0)))</f>
        <v/>
      </c>
      <c r="X469" s="112">
        <f>IF(T469="","",T469)</f>
        <v/>
      </c>
      <c r="Y469" s="79">
        <f>IF(X469="","",IF(X469&lt;=AsOf+AlertDays,2,IF(X469&lt;=AsOf+30,3,"")))</f>
        <v/>
      </c>
      <c r="Z469" s="79">
        <f>IF(Y469="","",IF(U469&lt;0,"Maintenance overdue: ","Maintenance due: ")&amp;P469)</f>
        <v/>
      </c>
    </row>
    <row r="470" ht="20" customHeight="1">
      <c r="B470" s="72" t="n"/>
      <c r="C470" s="72" t="n"/>
      <c r="D470" s="72" t="n"/>
      <c r="E470" s="109" t="n"/>
      <c r="F470" s="74" t="n"/>
      <c r="G470" s="126">
        <f>IF(OR(E470="",F470=""),"",DATE(YEAR(E470),MONTH(E470)+ROUND(F470*12,0),DAY(E470)))</f>
        <v/>
      </c>
      <c r="H470" s="144">
        <f>IF(G470="","",G470-AsOf)</f>
        <v/>
      </c>
      <c r="I470" s="107">
        <f>IF(G470="","",IF(H470&lt;0,"Expired",IF(H470&lt;=90,"Expires soon","Active")))</f>
        <v/>
      </c>
      <c r="J470" s="72" t="n"/>
      <c r="K470" s="79">
        <f>IF(I470="","",IF(I470="Active",0,IF(I470="Expires soon",1,3)))</f>
        <v/>
      </c>
      <c r="L470" s="112">
        <f>IF(G470="","",IF(G470&lt;AsOf,"",G470))</f>
        <v/>
      </c>
      <c r="M470" s="79">
        <f>IF(L470="","",IF(L470&lt;=AsOf+AlertDays,2,IF(L470&lt;=AsOf+90,3,"")))</f>
        <v/>
      </c>
      <c r="N470" s="79">
        <f>IF(M470="","","Warranty expires in "&amp;H470&amp;" days: "&amp;B470&amp;IF(C470="",""," ("&amp;C470&amp;")")&amp;" — check for defects")</f>
        <v/>
      </c>
      <c r="P470" s="72" t="n"/>
      <c r="Q470" s="72" t="n"/>
      <c r="R470" s="89" t="n"/>
      <c r="S470" s="109" t="n"/>
      <c r="T470" s="126">
        <f>IF(OR(R470="",S470=""),"",DATE(YEAR(S470),MONTH(S470)+R470,DAY(S470)))</f>
        <v/>
      </c>
      <c r="U470" s="144">
        <f>IF(T470="","",T470-AsOf)</f>
        <v/>
      </c>
      <c r="V470" s="107">
        <f>IF(T470="",IF(P470="","","Enter last-done date"),IF(U470&lt;0,"Overdue",IF(U470&lt;=30,"Due soon","OK")))</f>
        <v/>
      </c>
      <c r="W470" s="79">
        <f>IF(T470="","",IF(U470&lt;0,2,IF(U470&lt;=30,1,0)))</f>
        <v/>
      </c>
      <c r="X470" s="112">
        <f>IF(T470="","",T470)</f>
        <v/>
      </c>
      <c r="Y470" s="79">
        <f>IF(X470="","",IF(X470&lt;=AsOf+AlertDays,2,IF(X470&lt;=AsOf+30,3,"")))</f>
        <v/>
      </c>
      <c r="Z470" s="79">
        <f>IF(Y470="","",IF(U470&lt;0,"Maintenance overdue: ","Maintenance due: ")&amp;P470)</f>
        <v/>
      </c>
    </row>
    <row r="471" ht="20" customHeight="1">
      <c r="B471" s="72" t="n"/>
      <c r="C471" s="72" t="n"/>
      <c r="D471" s="72" t="n"/>
      <c r="E471" s="109" t="n"/>
      <c r="F471" s="74" t="n"/>
      <c r="G471" s="126">
        <f>IF(OR(E471="",F471=""),"",DATE(YEAR(E471),MONTH(E471)+ROUND(F471*12,0),DAY(E471)))</f>
        <v/>
      </c>
      <c r="H471" s="144">
        <f>IF(G471="","",G471-AsOf)</f>
        <v/>
      </c>
      <c r="I471" s="107">
        <f>IF(G471="","",IF(H471&lt;0,"Expired",IF(H471&lt;=90,"Expires soon","Active")))</f>
        <v/>
      </c>
      <c r="J471" s="72" t="n"/>
      <c r="K471" s="79">
        <f>IF(I471="","",IF(I471="Active",0,IF(I471="Expires soon",1,3)))</f>
        <v/>
      </c>
      <c r="L471" s="112">
        <f>IF(G471="","",IF(G471&lt;AsOf,"",G471))</f>
        <v/>
      </c>
      <c r="M471" s="79">
        <f>IF(L471="","",IF(L471&lt;=AsOf+AlertDays,2,IF(L471&lt;=AsOf+90,3,"")))</f>
        <v/>
      </c>
      <c r="N471" s="79">
        <f>IF(M471="","","Warranty expires in "&amp;H471&amp;" days: "&amp;B471&amp;IF(C471="",""," ("&amp;C471&amp;")")&amp;" — check for defects")</f>
        <v/>
      </c>
      <c r="P471" s="72" t="n"/>
      <c r="Q471" s="72" t="n"/>
      <c r="R471" s="89" t="n"/>
      <c r="S471" s="109" t="n"/>
      <c r="T471" s="126">
        <f>IF(OR(R471="",S471=""),"",DATE(YEAR(S471),MONTH(S471)+R471,DAY(S471)))</f>
        <v/>
      </c>
      <c r="U471" s="144">
        <f>IF(T471="","",T471-AsOf)</f>
        <v/>
      </c>
      <c r="V471" s="107">
        <f>IF(T471="",IF(P471="","","Enter last-done date"),IF(U471&lt;0,"Overdue",IF(U471&lt;=30,"Due soon","OK")))</f>
        <v/>
      </c>
      <c r="W471" s="79">
        <f>IF(T471="","",IF(U471&lt;0,2,IF(U471&lt;=30,1,0)))</f>
        <v/>
      </c>
      <c r="X471" s="112">
        <f>IF(T471="","",T471)</f>
        <v/>
      </c>
      <c r="Y471" s="79">
        <f>IF(X471="","",IF(X471&lt;=AsOf+AlertDays,2,IF(X471&lt;=AsOf+30,3,"")))</f>
        <v/>
      </c>
      <c r="Z471" s="79">
        <f>IF(Y471="","",IF(U471&lt;0,"Maintenance overdue: ","Maintenance due: ")&amp;P471)</f>
        <v/>
      </c>
    </row>
    <row r="472" ht="20" customHeight="1">
      <c r="B472" s="72" t="n"/>
      <c r="C472" s="72" t="n"/>
      <c r="D472" s="72" t="n"/>
      <c r="E472" s="109" t="n"/>
      <c r="F472" s="74" t="n"/>
      <c r="G472" s="126">
        <f>IF(OR(E472="",F472=""),"",DATE(YEAR(E472),MONTH(E472)+ROUND(F472*12,0),DAY(E472)))</f>
        <v/>
      </c>
      <c r="H472" s="144">
        <f>IF(G472="","",G472-AsOf)</f>
        <v/>
      </c>
      <c r="I472" s="107">
        <f>IF(G472="","",IF(H472&lt;0,"Expired",IF(H472&lt;=90,"Expires soon","Active")))</f>
        <v/>
      </c>
      <c r="J472" s="72" t="n"/>
      <c r="K472" s="79">
        <f>IF(I472="","",IF(I472="Active",0,IF(I472="Expires soon",1,3)))</f>
        <v/>
      </c>
      <c r="L472" s="112">
        <f>IF(G472="","",IF(G472&lt;AsOf,"",G472))</f>
        <v/>
      </c>
      <c r="M472" s="79">
        <f>IF(L472="","",IF(L472&lt;=AsOf+AlertDays,2,IF(L472&lt;=AsOf+90,3,"")))</f>
        <v/>
      </c>
      <c r="N472" s="79">
        <f>IF(M472="","","Warranty expires in "&amp;H472&amp;" days: "&amp;B472&amp;IF(C472="",""," ("&amp;C472&amp;")")&amp;" — check for defects")</f>
        <v/>
      </c>
      <c r="P472" s="72" t="n"/>
      <c r="Q472" s="72" t="n"/>
      <c r="R472" s="89" t="n"/>
      <c r="S472" s="109" t="n"/>
      <c r="T472" s="126">
        <f>IF(OR(R472="",S472=""),"",DATE(YEAR(S472),MONTH(S472)+R472,DAY(S472)))</f>
        <v/>
      </c>
      <c r="U472" s="144">
        <f>IF(T472="","",T472-AsOf)</f>
        <v/>
      </c>
      <c r="V472" s="107">
        <f>IF(T472="",IF(P472="","","Enter last-done date"),IF(U472&lt;0,"Overdue",IF(U472&lt;=30,"Due soon","OK")))</f>
        <v/>
      </c>
      <c r="W472" s="79">
        <f>IF(T472="","",IF(U472&lt;0,2,IF(U472&lt;=30,1,0)))</f>
        <v/>
      </c>
      <c r="X472" s="112">
        <f>IF(T472="","",T472)</f>
        <v/>
      </c>
      <c r="Y472" s="79">
        <f>IF(X472="","",IF(X472&lt;=AsOf+AlertDays,2,IF(X472&lt;=AsOf+30,3,"")))</f>
        <v/>
      </c>
      <c r="Z472" s="79">
        <f>IF(Y472="","",IF(U472&lt;0,"Maintenance overdue: ","Maintenance due: ")&amp;P472)</f>
        <v/>
      </c>
    </row>
    <row r="473" ht="20" customHeight="1">
      <c r="B473" s="72" t="n"/>
      <c r="C473" s="72" t="n"/>
      <c r="D473" s="72" t="n"/>
      <c r="E473" s="109" t="n"/>
      <c r="F473" s="74" t="n"/>
      <c r="G473" s="126">
        <f>IF(OR(E473="",F473=""),"",DATE(YEAR(E473),MONTH(E473)+ROUND(F473*12,0),DAY(E473)))</f>
        <v/>
      </c>
      <c r="H473" s="144">
        <f>IF(G473="","",G473-AsOf)</f>
        <v/>
      </c>
      <c r="I473" s="107">
        <f>IF(G473="","",IF(H473&lt;0,"Expired",IF(H473&lt;=90,"Expires soon","Active")))</f>
        <v/>
      </c>
      <c r="J473" s="72" t="n"/>
      <c r="K473" s="79">
        <f>IF(I473="","",IF(I473="Active",0,IF(I473="Expires soon",1,3)))</f>
        <v/>
      </c>
      <c r="L473" s="112">
        <f>IF(G473="","",IF(G473&lt;AsOf,"",G473))</f>
        <v/>
      </c>
      <c r="M473" s="79">
        <f>IF(L473="","",IF(L473&lt;=AsOf+AlertDays,2,IF(L473&lt;=AsOf+90,3,"")))</f>
        <v/>
      </c>
      <c r="N473" s="79">
        <f>IF(M473="","","Warranty expires in "&amp;H473&amp;" days: "&amp;B473&amp;IF(C473="",""," ("&amp;C473&amp;")")&amp;" — check for defects")</f>
        <v/>
      </c>
      <c r="P473" s="72" t="n"/>
      <c r="Q473" s="72" t="n"/>
      <c r="R473" s="89" t="n"/>
      <c r="S473" s="109" t="n"/>
      <c r="T473" s="126">
        <f>IF(OR(R473="",S473=""),"",DATE(YEAR(S473),MONTH(S473)+R473,DAY(S473)))</f>
        <v/>
      </c>
      <c r="U473" s="144">
        <f>IF(T473="","",T473-AsOf)</f>
        <v/>
      </c>
      <c r="V473" s="107">
        <f>IF(T473="",IF(P473="","","Enter last-done date"),IF(U473&lt;0,"Overdue",IF(U473&lt;=30,"Due soon","OK")))</f>
        <v/>
      </c>
      <c r="W473" s="79">
        <f>IF(T473="","",IF(U473&lt;0,2,IF(U473&lt;=30,1,0)))</f>
        <v/>
      </c>
      <c r="X473" s="112">
        <f>IF(T473="","",T473)</f>
        <v/>
      </c>
      <c r="Y473" s="79">
        <f>IF(X473="","",IF(X473&lt;=AsOf+AlertDays,2,IF(X473&lt;=AsOf+30,3,"")))</f>
        <v/>
      </c>
      <c r="Z473" s="79">
        <f>IF(Y473="","",IF(U473&lt;0,"Maintenance overdue: ","Maintenance due: ")&amp;P473)</f>
        <v/>
      </c>
    </row>
    <row r="474" ht="20" customHeight="1">
      <c r="B474" s="72" t="n"/>
      <c r="C474" s="72" t="n"/>
      <c r="D474" s="72" t="n"/>
      <c r="E474" s="109" t="n"/>
      <c r="F474" s="74" t="n"/>
      <c r="G474" s="126">
        <f>IF(OR(E474="",F474=""),"",DATE(YEAR(E474),MONTH(E474)+ROUND(F474*12,0),DAY(E474)))</f>
        <v/>
      </c>
      <c r="H474" s="144">
        <f>IF(G474="","",G474-AsOf)</f>
        <v/>
      </c>
      <c r="I474" s="107">
        <f>IF(G474="","",IF(H474&lt;0,"Expired",IF(H474&lt;=90,"Expires soon","Active")))</f>
        <v/>
      </c>
      <c r="J474" s="72" t="n"/>
      <c r="K474" s="79">
        <f>IF(I474="","",IF(I474="Active",0,IF(I474="Expires soon",1,3)))</f>
        <v/>
      </c>
      <c r="L474" s="112">
        <f>IF(G474="","",IF(G474&lt;AsOf,"",G474))</f>
        <v/>
      </c>
      <c r="M474" s="79">
        <f>IF(L474="","",IF(L474&lt;=AsOf+AlertDays,2,IF(L474&lt;=AsOf+90,3,"")))</f>
        <v/>
      </c>
      <c r="N474" s="79">
        <f>IF(M474="","","Warranty expires in "&amp;H474&amp;" days: "&amp;B474&amp;IF(C474="",""," ("&amp;C474&amp;")")&amp;" — check for defects")</f>
        <v/>
      </c>
      <c r="P474" s="72" t="n"/>
      <c r="Q474" s="72" t="n"/>
      <c r="R474" s="89" t="n"/>
      <c r="S474" s="109" t="n"/>
      <c r="T474" s="126">
        <f>IF(OR(R474="",S474=""),"",DATE(YEAR(S474),MONTH(S474)+R474,DAY(S474)))</f>
        <v/>
      </c>
      <c r="U474" s="144">
        <f>IF(T474="","",T474-AsOf)</f>
        <v/>
      </c>
      <c r="V474" s="107">
        <f>IF(T474="",IF(P474="","","Enter last-done date"),IF(U474&lt;0,"Overdue",IF(U474&lt;=30,"Due soon","OK")))</f>
        <v/>
      </c>
      <c r="W474" s="79">
        <f>IF(T474="","",IF(U474&lt;0,2,IF(U474&lt;=30,1,0)))</f>
        <v/>
      </c>
      <c r="X474" s="112">
        <f>IF(T474="","",T474)</f>
        <v/>
      </c>
      <c r="Y474" s="79">
        <f>IF(X474="","",IF(X474&lt;=AsOf+AlertDays,2,IF(X474&lt;=AsOf+30,3,"")))</f>
        <v/>
      </c>
      <c r="Z474" s="79">
        <f>IF(Y474="","",IF(U474&lt;0,"Maintenance overdue: ","Maintenance due: ")&amp;P474)</f>
        <v/>
      </c>
    </row>
    <row r="475" ht="20" customHeight="1">
      <c r="B475" s="72" t="n"/>
      <c r="C475" s="72" t="n"/>
      <c r="D475" s="72" t="n"/>
      <c r="E475" s="109" t="n"/>
      <c r="F475" s="74" t="n"/>
      <c r="G475" s="126">
        <f>IF(OR(E475="",F475=""),"",DATE(YEAR(E475),MONTH(E475)+ROUND(F475*12,0),DAY(E475)))</f>
        <v/>
      </c>
      <c r="H475" s="144">
        <f>IF(G475="","",G475-AsOf)</f>
        <v/>
      </c>
      <c r="I475" s="107">
        <f>IF(G475="","",IF(H475&lt;0,"Expired",IF(H475&lt;=90,"Expires soon","Active")))</f>
        <v/>
      </c>
      <c r="J475" s="72" t="n"/>
      <c r="K475" s="79">
        <f>IF(I475="","",IF(I475="Active",0,IF(I475="Expires soon",1,3)))</f>
        <v/>
      </c>
      <c r="L475" s="112">
        <f>IF(G475="","",IF(G475&lt;AsOf,"",G475))</f>
        <v/>
      </c>
      <c r="M475" s="79">
        <f>IF(L475="","",IF(L475&lt;=AsOf+AlertDays,2,IF(L475&lt;=AsOf+90,3,"")))</f>
        <v/>
      </c>
      <c r="N475" s="79">
        <f>IF(M475="","","Warranty expires in "&amp;H475&amp;" days: "&amp;B475&amp;IF(C475="",""," ("&amp;C475&amp;")")&amp;" — check for defects")</f>
        <v/>
      </c>
      <c r="P475" s="72" t="n"/>
      <c r="Q475" s="72" t="n"/>
      <c r="R475" s="89" t="n"/>
      <c r="S475" s="109" t="n"/>
      <c r="T475" s="126">
        <f>IF(OR(R475="",S475=""),"",DATE(YEAR(S475),MONTH(S475)+R475,DAY(S475)))</f>
        <v/>
      </c>
      <c r="U475" s="144">
        <f>IF(T475="","",T475-AsOf)</f>
        <v/>
      </c>
      <c r="V475" s="107">
        <f>IF(T475="",IF(P475="","","Enter last-done date"),IF(U475&lt;0,"Overdue",IF(U475&lt;=30,"Due soon","OK")))</f>
        <v/>
      </c>
      <c r="W475" s="79">
        <f>IF(T475="","",IF(U475&lt;0,2,IF(U475&lt;=30,1,0)))</f>
        <v/>
      </c>
      <c r="X475" s="112">
        <f>IF(T475="","",T475)</f>
        <v/>
      </c>
      <c r="Y475" s="79">
        <f>IF(X475="","",IF(X475&lt;=AsOf+AlertDays,2,IF(X475&lt;=AsOf+30,3,"")))</f>
        <v/>
      </c>
      <c r="Z475" s="79">
        <f>IF(Y475="","",IF(U475&lt;0,"Maintenance overdue: ","Maintenance due: ")&amp;P475)</f>
        <v/>
      </c>
    </row>
    <row r="476" ht="20" customHeight="1">
      <c r="B476" s="72" t="n"/>
      <c r="C476" s="72" t="n"/>
      <c r="D476" s="72" t="n"/>
      <c r="E476" s="109" t="n"/>
      <c r="F476" s="74" t="n"/>
      <c r="G476" s="126">
        <f>IF(OR(E476="",F476=""),"",DATE(YEAR(E476),MONTH(E476)+ROUND(F476*12,0),DAY(E476)))</f>
        <v/>
      </c>
      <c r="H476" s="144">
        <f>IF(G476="","",G476-AsOf)</f>
        <v/>
      </c>
      <c r="I476" s="107">
        <f>IF(G476="","",IF(H476&lt;0,"Expired",IF(H476&lt;=90,"Expires soon","Active")))</f>
        <v/>
      </c>
      <c r="J476" s="72" t="n"/>
      <c r="K476" s="79">
        <f>IF(I476="","",IF(I476="Active",0,IF(I476="Expires soon",1,3)))</f>
        <v/>
      </c>
      <c r="L476" s="112">
        <f>IF(G476="","",IF(G476&lt;AsOf,"",G476))</f>
        <v/>
      </c>
      <c r="M476" s="79">
        <f>IF(L476="","",IF(L476&lt;=AsOf+AlertDays,2,IF(L476&lt;=AsOf+90,3,"")))</f>
        <v/>
      </c>
      <c r="N476" s="79">
        <f>IF(M476="","","Warranty expires in "&amp;H476&amp;" days: "&amp;B476&amp;IF(C476="",""," ("&amp;C476&amp;")")&amp;" — check for defects")</f>
        <v/>
      </c>
      <c r="P476" s="72" t="n"/>
      <c r="Q476" s="72" t="n"/>
      <c r="R476" s="89" t="n"/>
      <c r="S476" s="109" t="n"/>
      <c r="T476" s="126">
        <f>IF(OR(R476="",S476=""),"",DATE(YEAR(S476),MONTH(S476)+R476,DAY(S476)))</f>
        <v/>
      </c>
      <c r="U476" s="144">
        <f>IF(T476="","",T476-AsOf)</f>
        <v/>
      </c>
      <c r="V476" s="107">
        <f>IF(T476="",IF(P476="","","Enter last-done date"),IF(U476&lt;0,"Overdue",IF(U476&lt;=30,"Due soon","OK")))</f>
        <v/>
      </c>
      <c r="W476" s="79">
        <f>IF(T476="","",IF(U476&lt;0,2,IF(U476&lt;=30,1,0)))</f>
        <v/>
      </c>
      <c r="X476" s="112">
        <f>IF(T476="","",T476)</f>
        <v/>
      </c>
      <c r="Y476" s="79">
        <f>IF(X476="","",IF(X476&lt;=AsOf+AlertDays,2,IF(X476&lt;=AsOf+30,3,"")))</f>
        <v/>
      </c>
      <c r="Z476" s="79">
        <f>IF(Y476="","",IF(U476&lt;0,"Maintenance overdue: ","Maintenance due: ")&amp;P476)</f>
        <v/>
      </c>
    </row>
    <row r="477" ht="20" customHeight="1">
      <c r="B477" s="72" t="n"/>
      <c r="C477" s="72" t="n"/>
      <c r="D477" s="72" t="n"/>
      <c r="E477" s="109" t="n"/>
      <c r="F477" s="74" t="n"/>
      <c r="G477" s="126">
        <f>IF(OR(E477="",F477=""),"",DATE(YEAR(E477),MONTH(E477)+ROUND(F477*12,0),DAY(E477)))</f>
        <v/>
      </c>
      <c r="H477" s="144">
        <f>IF(G477="","",G477-AsOf)</f>
        <v/>
      </c>
      <c r="I477" s="107">
        <f>IF(G477="","",IF(H477&lt;0,"Expired",IF(H477&lt;=90,"Expires soon","Active")))</f>
        <v/>
      </c>
      <c r="J477" s="72" t="n"/>
      <c r="K477" s="79">
        <f>IF(I477="","",IF(I477="Active",0,IF(I477="Expires soon",1,3)))</f>
        <v/>
      </c>
      <c r="L477" s="112">
        <f>IF(G477="","",IF(G477&lt;AsOf,"",G477))</f>
        <v/>
      </c>
      <c r="M477" s="79">
        <f>IF(L477="","",IF(L477&lt;=AsOf+AlertDays,2,IF(L477&lt;=AsOf+90,3,"")))</f>
        <v/>
      </c>
      <c r="N477" s="79">
        <f>IF(M477="","","Warranty expires in "&amp;H477&amp;" days: "&amp;B477&amp;IF(C477="",""," ("&amp;C477&amp;")")&amp;" — check for defects")</f>
        <v/>
      </c>
      <c r="P477" s="72" t="n"/>
      <c r="Q477" s="72" t="n"/>
      <c r="R477" s="89" t="n"/>
      <c r="S477" s="109" t="n"/>
      <c r="T477" s="126">
        <f>IF(OR(R477="",S477=""),"",DATE(YEAR(S477),MONTH(S477)+R477,DAY(S477)))</f>
        <v/>
      </c>
      <c r="U477" s="144">
        <f>IF(T477="","",T477-AsOf)</f>
        <v/>
      </c>
      <c r="V477" s="107">
        <f>IF(T477="",IF(P477="","","Enter last-done date"),IF(U477&lt;0,"Overdue",IF(U477&lt;=30,"Due soon","OK")))</f>
        <v/>
      </c>
      <c r="W477" s="79">
        <f>IF(T477="","",IF(U477&lt;0,2,IF(U477&lt;=30,1,0)))</f>
        <v/>
      </c>
      <c r="X477" s="112">
        <f>IF(T477="","",T477)</f>
        <v/>
      </c>
      <c r="Y477" s="79">
        <f>IF(X477="","",IF(X477&lt;=AsOf+AlertDays,2,IF(X477&lt;=AsOf+30,3,"")))</f>
        <v/>
      </c>
      <c r="Z477" s="79">
        <f>IF(Y477="","",IF(U477&lt;0,"Maintenance overdue: ","Maintenance due: ")&amp;P477)</f>
        <v/>
      </c>
    </row>
    <row r="478" ht="20" customHeight="1">
      <c r="B478" s="72" t="n"/>
      <c r="C478" s="72" t="n"/>
      <c r="D478" s="72" t="n"/>
      <c r="E478" s="109" t="n"/>
      <c r="F478" s="74" t="n"/>
      <c r="G478" s="126">
        <f>IF(OR(E478="",F478=""),"",DATE(YEAR(E478),MONTH(E478)+ROUND(F478*12,0),DAY(E478)))</f>
        <v/>
      </c>
      <c r="H478" s="144">
        <f>IF(G478="","",G478-AsOf)</f>
        <v/>
      </c>
      <c r="I478" s="107">
        <f>IF(G478="","",IF(H478&lt;0,"Expired",IF(H478&lt;=90,"Expires soon","Active")))</f>
        <v/>
      </c>
      <c r="J478" s="72" t="n"/>
      <c r="K478" s="79">
        <f>IF(I478="","",IF(I478="Active",0,IF(I478="Expires soon",1,3)))</f>
        <v/>
      </c>
      <c r="L478" s="112">
        <f>IF(G478="","",IF(G478&lt;AsOf,"",G478))</f>
        <v/>
      </c>
      <c r="M478" s="79">
        <f>IF(L478="","",IF(L478&lt;=AsOf+AlertDays,2,IF(L478&lt;=AsOf+90,3,"")))</f>
        <v/>
      </c>
      <c r="N478" s="79">
        <f>IF(M478="","","Warranty expires in "&amp;H478&amp;" days: "&amp;B478&amp;IF(C478="",""," ("&amp;C478&amp;")")&amp;" — check for defects")</f>
        <v/>
      </c>
      <c r="P478" s="72" t="n"/>
      <c r="Q478" s="72" t="n"/>
      <c r="R478" s="89" t="n"/>
      <c r="S478" s="109" t="n"/>
      <c r="T478" s="126">
        <f>IF(OR(R478="",S478=""),"",DATE(YEAR(S478),MONTH(S478)+R478,DAY(S478)))</f>
        <v/>
      </c>
      <c r="U478" s="144">
        <f>IF(T478="","",T478-AsOf)</f>
        <v/>
      </c>
      <c r="V478" s="107">
        <f>IF(T478="",IF(P478="","","Enter last-done date"),IF(U478&lt;0,"Overdue",IF(U478&lt;=30,"Due soon","OK")))</f>
        <v/>
      </c>
      <c r="W478" s="79">
        <f>IF(T478="","",IF(U478&lt;0,2,IF(U478&lt;=30,1,0)))</f>
        <v/>
      </c>
      <c r="X478" s="112">
        <f>IF(T478="","",T478)</f>
        <v/>
      </c>
      <c r="Y478" s="79">
        <f>IF(X478="","",IF(X478&lt;=AsOf+AlertDays,2,IF(X478&lt;=AsOf+30,3,"")))</f>
        <v/>
      </c>
      <c r="Z478" s="79">
        <f>IF(Y478="","",IF(U478&lt;0,"Maintenance overdue: ","Maintenance due: ")&amp;P478)</f>
        <v/>
      </c>
    </row>
    <row r="479" ht="20" customHeight="1">
      <c r="B479" s="72" t="n"/>
      <c r="C479" s="72" t="n"/>
      <c r="D479" s="72" t="n"/>
      <c r="E479" s="109" t="n"/>
      <c r="F479" s="74" t="n"/>
      <c r="G479" s="126">
        <f>IF(OR(E479="",F479=""),"",DATE(YEAR(E479),MONTH(E479)+ROUND(F479*12,0),DAY(E479)))</f>
        <v/>
      </c>
      <c r="H479" s="144">
        <f>IF(G479="","",G479-AsOf)</f>
        <v/>
      </c>
      <c r="I479" s="107">
        <f>IF(G479="","",IF(H479&lt;0,"Expired",IF(H479&lt;=90,"Expires soon","Active")))</f>
        <v/>
      </c>
      <c r="J479" s="72" t="n"/>
      <c r="K479" s="79">
        <f>IF(I479="","",IF(I479="Active",0,IF(I479="Expires soon",1,3)))</f>
        <v/>
      </c>
      <c r="L479" s="112">
        <f>IF(G479="","",IF(G479&lt;AsOf,"",G479))</f>
        <v/>
      </c>
      <c r="M479" s="79">
        <f>IF(L479="","",IF(L479&lt;=AsOf+AlertDays,2,IF(L479&lt;=AsOf+90,3,"")))</f>
        <v/>
      </c>
      <c r="N479" s="79">
        <f>IF(M479="","","Warranty expires in "&amp;H479&amp;" days: "&amp;B479&amp;IF(C479="",""," ("&amp;C479&amp;")")&amp;" — check for defects")</f>
        <v/>
      </c>
      <c r="P479" s="72" t="n"/>
      <c r="Q479" s="72" t="n"/>
      <c r="R479" s="89" t="n"/>
      <c r="S479" s="109" t="n"/>
      <c r="T479" s="126">
        <f>IF(OR(R479="",S479=""),"",DATE(YEAR(S479),MONTH(S479)+R479,DAY(S479)))</f>
        <v/>
      </c>
      <c r="U479" s="144">
        <f>IF(T479="","",T479-AsOf)</f>
        <v/>
      </c>
      <c r="V479" s="107">
        <f>IF(T479="",IF(P479="","","Enter last-done date"),IF(U479&lt;0,"Overdue",IF(U479&lt;=30,"Due soon","OK")))</f>
        <v/>
      </c>
      <c r="W479" s="79">
        <f>IF(T479="","",IF(U479&lt;0,2,IF(U479&lt;=30,1,0)))</f>
        <v/>
      </c>
      <c r="X479" s="112">
        <f>IF(T479="","",T479)</f>
        <v/>
      </c>
      <c r="Y479" s="79">
        <f>IF(X479="","",IF(X479&lt;=AsOf+AlertDays,2,IF(X479&lt;=AsOf+30,3,"")))</f>
        <v/>
      </c>
      <c r="Z479" s="79">
        <f>IF(Y479="","",IF(U479&lt;0,"Maintenance overdue: ","Maintenance due: ")&amp;P479)</f>
        <v/>
      </c>
    </row>
    <row r="480" ht="20" customHeight="1">
      <c r="B480" s="72" t="n"/>
      <c r="C480" s="72" t="n"/>
      <c r="D480" s="72" t="n"/>
      <c r="E480" s="109" t="n"/>
      <c r="F480" s="74" t="n"/>
      <c r="G480" s="126">
        <f>IF(OR(E480="",F480=""),"",DATE(YEAR(E480),MONTH(E480)+ROUND(F480*12,0),DAY(E480)))</f>
        <v/>
      </c>
      <c r="H480" s="144">
        <f>IF(G480="","",G480-AsOf)</f>
        <v/>
      </c>
      <c r="I480" s="107">
        <f>IF(G480="","",IF(H480&lt;0,"Expired",IF(H480&lt;=90,"Expires soon","Active")))</f>
        <v/>
      </c>
      <c r="J480" s="72" t="n"/>
      <c r="K480" s="79">
        <f>IF(I480="","",IF(I480="Active",0,IF(I480="Expires soon",1,3)))</f>
        <v/>
      </c>
      <c r="L480" s="112">
        <f>IF(G480="","",IF(G480&lt;AsOf,"",G480))</f>
        <v/>
      </c>
      <c r="M480" s="79">
        <f>IF(L480="","",IF(L480&lt;=AsOf+AlertDays,2,IF(L480&lt;=AsOf+90,3,"")))</f>
        <v/>
      </c>
      <c r="N480" s="79">
        <f>IF(M480="","","Warranty expires in "&amp;H480&amp;" days: "&amp;B480&amp;IF(C480="",""," ("&amp;C480&amp;")")&amp;" — check for defects")</f>
        <v/>
      </c>
      <c r="P480" s="72" t="n"/>
      <c r="Q480" s="72" t="n"/>
      <c r="R480" s="89" t="n"/>
      <c r="S480" s="109" t="n"/>
      <c r="T480" s="126">
        <f>IF(OR(R480="",S480=""),"",DATE(YEAR(S480),MONTH(S480)+R480,DAY(S480)))</f>
        <v/>
      </c>
      <c r="U480" s="144">
        <f>IF(T480="","",T480-AsOf)</f>
        <v/>
      </c>
      <c r="V480" s="107">
        <f>IF(T480="",IF(P480="","","Enter last-done date"),IF(U480&lt;0,"Overdue",IF(U480&lt;=30,"Due soon","OK")))</f>
        <v/>
      </c>
      <c r="W480" s="79">
        <f>IF(T480="","",IF(U480&lt;0,2,IF(U480&lt;=30,1,0)))</f>
        <v/>
      </c>
      <c r="X480" s="112">
        <f>IF(T480="","",T480)</f>
        <v/>
      </c>
      <c r="Y480" s="79">
        <f>IF(X480="","",IF(X480&lt;=AsOf+AlertDays,2,IF(X480&lt;=AsOf+30,3,"")))</f>
        <v/>
      </c>
      <c r="Z480" s="79">
        <f>IF(Y480="","",IF(U480&lt;0,"Maintenance overdue: ","Maintenance due: ")&amp;P480)</f>
        <v/>
      </c>
    </row>
    <row r="481" ht="20" customHeight="1">
      <c r="B481" s="72" t="n"/>
      <c r="C481" s="72" t="n"/>
      <c r="D481" s="72" t="n"/>
      <c r="E481" s="109" t="n"/>
      <c r="F481" s="74" t="n"/>
      <c r="G481" s="126">
        <f>IF(OR(E481="",F481=""),"",DATE(YEAR(E481),MONTH(E481)+ROUND(F481*12,0),DAY(E481)))</f>
        <v/>
      </c>
      <c r="H481" s="144">
        <f>IF(G481="","",G481-AsOf)</f>
        <v/>
      </c>
      <c r="I481" s="107">
        <f>IF(G481="","",IF(H481&lt;0,"Expired",IF(H481&lt;=90,"Expires soon","Active")))</f>
        <v/>
      </c>
      <c r="J481" s="72" t="n"/>
      <c r="K481" s="79">
        <f>IF(I481="","",IF(I481="Active",0,IF(I481="Expires soon",1,3)))</f>
        <v/>
      </c>
      <c r="L481" s="112">
        <f>IF(G481="","",IF(G481&lt;AsOf,"",G481))</f>
        <v/>
      </c>
      <c r="M481" s="79">
        <f>IF(L481="","",IF(L481&lt;=AsOf+AlertDays,2,IF(L481&lt;=AsOf+90,3,"")))</f>
        <v/>
      </c>
      <c r="N481" s="79">
        <f>IF(M481="","","Warranty expires in "&amp;H481&amp;" days: "&amp;B481&amp;IF(C481="",""," ("&amp;C481&amp;")")&amp;" — check for defects")</f>
        <v/>
      </c>
      <c r="P481" s="72" t="n"/>
      <c r="Q481" s="72" t="n"/>
      <c r="R481" s="89" t="n"/>
      <c r="S481" s="109" t="n"/>
      <c r="T481" s="126">
        <f>IF(OR(R481="",S481=""),"",DATE(YEAR(S481),MONTH(S481)+R481,DAY(S481)))</f>
        <v/>
      </c>
      <c r="U481" s="144">
        <f>IF(T481="","",T481-AsOf)</f>
        <v/>
      </c>
      <c r="V481" s="107">
        <f>IF(T481="",IF(P481="","","Enter last-done date"),IF(U481&lt;0,"Overdue",IF(U481&lt;=30,"Due soon","OK")))</f>
        <v/>
      </c>
      <c r="W481" s="79">
        <f>IF(T481="","",IF(U481&lt;0,2,IF(U481&lt;=30,1,0)))</f>
        <v/>
      </c>
      <c r="X481" s="112">
        <f>IF(T481="","",T481)</f>
        <v/>
      </c>
      <c r="Y481" s="79">
        <f>IF(X481="","",IF(X481&lt;=AsOf+AlertDays,2,IF(X481&lt;=AsOf+30,3,"")))</f>
        <v/>
      </c>
      <c r="Z481" s="79">
        <f>IF(Y481="","",IF(U481&lt;0,"Maintenance overdue: ","Maintenance due: ")&amp;P481)</f>
        <v/>
      </c>
    </row>
    <row r="482" ht="20" customHeight="1">
      <c r="B482" s="72" t="n"/>
      <c r="C482" s="72" t="n"/>
      <c r="D482" s="72" t="n"/>
      <c r="E482" s="109" t="n"/>
      <c r="F482" s="74" t="n"/>
      <c r="G482" s="126">
        <f>IF(OR(E482="",F482=""),"",DATE(YEAR(E482),MONTH(E482)+ROUND(F482*12,0),DAY(E482)))</f>
        <v/>
      </c>
      <c r="H482" s="144">
        <f>IF(G482="","",G482-AsOf)</f>
        <v/>
      </c>
      <c r="I482" s="107">
        <f>IF(G482="","",IF(H482&lt;0,"Expired",IF(H482&lt;=90,"Expires soon","Active")))</f>
        <v/>
      </c>
      <c r="J482" s="72" t="n"/>
      <c r="K482" s="79">
        <f>IF(I482="","",IF(I482="Active",0,IF(I482="Expires soon",1,3)))</f>
        <v/>
      </c>
      <c r="L482" s="112">
        <f>IF(G482="","",IF(G482&lt;AsOf,"",G482))</f>
        <v/>
      </c>
      <c r="M482" s="79">
        <f>IF(L482="","",IF(L482&lt;=AsOf+AlertDays,2,IF(L482&lt;=AsOf+90,3,"")))</f>
        <v/>
      </c>
      <c r="N482" s="79">
        <f>IF(M482="","","Warranty expires in "&amp;H482&amp;" days: "&amp;B482&amp;IF(C482="",""," ("&amp;C482&amp;")")&amp;" — check for defects")</f>
        <v/>
      </c>
      <c r="P482" s="72" t="n"/>
      <c r="Q482" s="72" t="n"/>
      <c r="R482" s="89" t="n"/>
      <c r="S482" s="109" t="n"/>
      <c r="T482" s="126">
        <f>IF(OR(R482="",S482=""),"",DATE(YEAR(S482),MONTH(S482)+R482,DAY(S482)))</f>
        <v/>
      </c>
      <c r="U482" s="144">
        <f>IF(T482="","",T482-AsOf)</f>
        <v/>
      </c>
      <c r="V482" s="107">
        <f>IF(T482="",IF(P482="","","Enter last-done date"),IF(U482&lt;0,"Overdue",IF(U482&lt;=30,"Due soon","OK")))</f>
        <v/>
      </c>
      <c r="W482" s="79">
        <f>IF(T482="","",IF(U482&lt;0,2,IF(U482&lt;=30,1,0)))</f>
        <v/>
      </c>
      <c r="X482" s="112">
        <f>IF(T482="","",T482)</f>
        <v/>
      </c>
      <c r="Y482" s="79">
        <f>IF(X482="","",IF(X482&lt;=AsOf+AlertDays,2,IF(X482&lt;=AsOf+30,3,"")))</f>
        <v/>
      </c>
      <c r="Z482" s="79">
        <f>IF(Y482="","",IF(U482&lt;0,"Maintenance overdue: ","Maintenance due: ")&amp;P482)</f>
        <v/>
      </c>
    </row>
    <row r="483" ht="20" customHeight="1">
      <c r="B483" s="72" t="n"/>
      <c r="C483" s="72" t="n"/>
      <c r="D483" s="72" t="n"/>
      <c r="E483" s="109" t="n"/>
      <c r="F483" s="74" t="n"/>
      <c r="G483" s="126">
        <f>IF(OR(E483="",F483=""),"",DATE(YEAR(E483),MONTH(E483)+ROUND(F483*12,0),DAY(E483)))</f>
        <v/>
      </c>
      <c r="H483" s="144">
        <f>IF(G483="","",G483-AsOf)</f>
        <v/>
      </c>
      <c r="I483" s="107">
        <f>IF(G483="","",IF(H483&lt;0,"Expired",IF(H483&lt;=90,"Expires soon","Active")))</f>
        <v/>
      </c>
      <c r="J483" s="72" t="n"/>
      <c r="K483" s="79">
        <f>IF(I483="","",IF(I483="Active",0,IF(I483="Expires soon",1,3)))</f>
        <v/>
      </c>
      <c r="L483" s="112">
        <f>IF(G483="","",IF(G483&lt;AsOf,"",G483))</f>
        <v/>
      </c>
      <c r="M483" s="79">
        <f>IF(L483="","",IF(L483&lt;=AsOf+AlertDays,2,IF(L483&lt;=AsOf+90,3,"")))</f>
        <v/>
      </c>
      <c r="N483" s="79">
        <f>IF(M483="","","Warranty expires in "&amp;H483&amp;" days: "&amp;B483&amp;IF(C483="",""," ("&amp;C483&amp;")")&amp;" — check for defects")</f>
        <v/>
      </c>
      <c r="P483" s="72" t="n"/>
      <c r="Q483" s="72" t="n"/>
      <c r="R483" s="89" t="n"/>
      <c r="S483" s="109" t="n"/>
      <c r="T483" s="126">
        <f>IF(OR(R483="",S483=""),"",DATE(YEAR(S483),MONTH(S483)+R483,DAY(S483)))</f>
        <v/>
      </c>
      <c r="U483" s="144">
        <f>IF(T483="","",T483-AsOf)</f>
        <v/>
      </c>
      <c r="V483" s="107">
        <f>IF(T483="",IF(P483="","","Enter last-done date"),IF(U483&lt;0,"Overdue",IF(U483&lt;=30,"Due soon","OK")))</f>
        <v/>
      </c>
      <c r="W483" s="79">
        <f>IF(T483="","",IF(U483&lt;0,2,IF(U483&lt;=30,1,0)))</f>
        <v/>
      </c>
      <c r="X483" s="112">
        <f>IF(T483="","",T483)</f>
        <v/>
      </c>
      <c r="Y483" s="79">
        <f>IF(X483="","",IF(X483&lt;=AsOf+AlertDays,2,IF(X483&lt;=AsOf+30,3,"")))</f>
        <v/>
      </c>
      <c r="Z483" s="79">
        <f>IF(Y483="","",IF(U483&lt;0,"Maintenance overdue: ","Maintenance due: ")&amp;P483)</f>
        <v/>
      </c>
    </row>
    <row r="484" ht="20" customHeight="1">
      <c r="B484" s="72" t="n"/>
      <c r="C484" s="72" t="n"/>
      <c r="D484" s="72" t="n"/>
      <c r="E484" s="109" t="n"/>
      <c r="F484" s="74" t="n"/>
      <c r="G484" s="126">
        <f>IF(OR(E484="",F484=""),"",DATE(YEAR(E484),MONTH(E484)+ROUND(F484*12,0),DAY(E484)))</f>
        <v/>
      </c>
      <c r="H484" s="144">
        <f>IF(G484="","",G484-AsOf)</f>
        <v/>
      </c>
      <c r="I484" s="107">
        <f>IF(G484="","",IF(H484&lt;0,"Expired",IF(H484&lt;=90,"Expires soon","Active")))</f>
        <v/>
      </c>
      <c r="J484" s="72" t="n"/>
      <c r="K484" s="79">
        <f>IF(I484="","",IF(I484="Active",0,IF(I484="Expires soon",1,3)))</f>
        <v/>
      </c>
      <c r="L484" s="112">
        <f>IF(G484="","",IF(G484&lt;AsOf,"",G484))</f>
        <v/>
      </c>
      <c r="M484" s="79">
        <f>IF(L484="","",IF(L484&lt;=AsOf+AlertDays,2,IF(L484&lt;=AsOf+90,3,"")))</f>
        <v/>
      </c>
      <c r="N484" s="79">
        <f>IF(M484="","","Warranty expires in "&amp;H484&amp;" days: "&amp;B484&amp;IF(C484="",""," ("&amp;C484&amp;")")&amp;" — check for defects")</f>
        <v/>
      </c>
      <c r="P484" s="72" t="n"/>
      <c r="Q484" s="72" t="n"/>
      <c r="R484" s="89" t="n"/>
      <c r="S484" s="109" t="n"/>
      <c r="T484" s="126">
        <f>IF(OR(R484="",S484=""),"",DATE(YEAR(S484),MONTH(S484)+R484,DAY(S484)))</f>
        <v/>
      </c>
      <c r="U484" s="144">
        <f>IF(T484="","",T484-AsOf)</f>
        <v/>
      </c>
      <c r="V484" s="107">
        <f>IF(T484="",IF(P484="","","Enter last-done date"),IF(U484&lt;0,"Overdue",IF(U484&lt;=30,"Due soon","OK")))</f>
        <v/>
      </c>
      <c r="W484" s="79">
        <f>IF(T484="","",IF(U484&lt;0,2,IF(U484&lt;=30,1,0)))</f>
        <v/>
      </c>
      <c r="X484" s="112">
        <f>IF(T484="","",T484)</f>
        <v/>
      </c>
      <c r="Y484" s="79">
        <f>IF(X484="","",IF(X484&lt;=AsOf+AlertDays,2,IF(X484&lt;=AsOf+30,3,"")))</f>
        <v/>
      </c>
      <c r="Z484" s="79">
        <f>IF(Y484="","",IF(U484&lt;0,"Maintenance overdue: ","Maintenance due: ")&amp;P484)</f>
        <v/>
      </c>
    </row>
    <row r="485" ht="20" customHeight="1">
      <c r="B485" s="72" t="n"/>
      <c r="C485" s="72" t="n"/>
      <c r="D485" s="72" t="n"/>
      <c r="E485" s="109" t="n"/>
      <c r="F485" s="74" t="n"/>
      <c r="G485" s="126">
        <f>IF(OR(E485="",F485=""),"",DATE(YEAR(E485),MONTH(E485)+ROUND(F485*12,0),DAY(E485)))</f>
        <v/>
      </c>
      <c r="H485" s="144">
        <f>IF(G485="","",G485-AsOf)</f>
        <v/>
      </c>
      <c r="I485" s="107">
        <f>IF(G485="","",IF(H485&lt;0,"Expired",IF(H485&lt;=90,"Expires soon","Active")))</f>
        <v/>
      </c>
      <c r="J485" s="72" t="n"/>
      <c r="K485" s="79">
        <f>IF(I485="","",IF(I485="Active",0,IF(I485="Expires soon",1,3)))</f>
        <v/>
      </c>
      <c r="L485" s="112">
        <f>IF(G485="","",IF(G485&lt;AsOf,"",G485))</f>
        <v/>
      </c>
      <c r="M485" s="79">
        <f>IF(L485="","",IF(L485&lt;=AsOf+AlertDays,2,IF(L485&lt;=AsOf+90,3,"")))</f>
        <v/>
      </c>
      <c r="N485" s="79">
        <f>IF(M485="","","Warranty expires in "&amp;H485&amp;" days: "&amp;B485&amp;IF(C485="",""," ("&amp;C485&amp;")")&amp;" — check for defects")</f>
        <v/>
      </c>
      <c r="P485" s="72" t="n"/>
      <c r="Q485" s="72" t="n"/>
      <c r="R485" s="89" t="n"/>
      <c r="S485" s="109" t="n"/>
      <c r="T485" s="126">
        <f>IF(OR(R485="",S485=""),"",DATE(YEAR(S485),MONTH(S485)+R485,DAY(S485)))</f>
        <v/>
      </c>
      <c r="U485" s="144">
        <f>IF(T485="","",T485-AsOf)</f>
        <v/>
      </c>
      <c r="V485" s="107">
        <f>IF(T485="",IF(P485="","","Enter last-done date"),IF(U485&lt;0,"Overdue",IF(U485&lt;=30,"Due soon","OK")))</f>
        <v/>
      </c>
      <c r="W485" s="79">
        <f>IF(T485="","",IF(U485&lt;0,2,IF(U485&lt;=30,1,0)))</f>
        <v/>
      </c>
      <c r="X485" s="112">
        <f>IF(T485="","",T485)</f>
        <v/>
      </c>
      <c r="Y485" s="79">
        <f>IF(X485="","",IF(X485&lt;=AsOf+AlertDays,2,IF(X485&lt;=AsOf+30,3,"")))</f>
        <v/>
      </c>
      <c r="Z485" s="79">
        <f>IF(Y485="","",IF(U485&lt;0,"Maintenance overdue: ","Maintenance due: ")&amp;P485)</f>
        <v/>
      </c>
    </row>
    <row r="486" ht="20" customHeight="1">
      <c r="B486" s="72" t="n"/>
      <c r="C486" s="72" t="n"/>
      <c r="D486" s="72" t="n"/>
      <c r="E486" s="109" t="n"/>
      <c r="F486" s="74" t="n"/>
      <c r="G486" s="126">
        <f>IF(OR(E486="",F486=""),"",DATE(YEAR(E486),MONTH(E486)+ROUND(F486*12,0),DAY(E486)))</f>
        <v/>
      </c>
      <c r="H486" s="144">
        <f>IF(G486="","",G486-AsOf)</f>
        <v/>
      </c>
      <c r="I486" s="107">
        <f>IF(G486="","",IF(H486&lt;0,"Expired",IF(H486&lt;=90,"Expires soon","Active")))</f>
        <v/>
      </c>
      <c r="J486" s="72" t="n"/>
      <c r="K486" s="79">
        <f>IF(I486="","",IF(I486="Active",0,IF(I486="Expires soon",1,3)))</f>
        <v/>
      </c>
      <c r="L486" s="112">
        <f>IF(G486="","",IF(G486&lt;AsOf,"",G486))</f>
        <v/>
      </c>
      <c r="M486" s="79">
        <f>IF(L486="","",IF(L486&lt;=AsOf+AlertDays,2,IF(L486&lt;=AsOf+90,3,"")))</f>
        <v/>
      </c>
      <c r="N486" s="79">
        <f>IF(M486="","","Warranty expires in "&amp;H486&amp;" days: "&amp;B486&amp;IF(C486="",""," ("&amp;C486&amp;")")&amp;" — check for defects")</f>
        <v/>
      </c>
      <c r="P486" s="72" t="n"/>
      <c r="Q486" s="72" t="n"/>
      <c r="R486" s="89" t="n"/>
      <c r="S486" s="109" t="n"/>
      <c r="T486" s="126">
        <f>IF(OR(R486="",S486=""),"",DATE(YEAR(S486),MONTH(S486)+R486,DAY(S486)))</f>
        <v/>
      </c>
      <c r="U486" s="144">
        <f>IF(T486="","",T486-AsOf)</f>
        <v/>
      </c>
      <c r="V486" s="107">
        <f>IF(T486="",IF(P486="","","Enter last-done date"),IF(U486&lt;0,"Overdue",IF(U486&lt;=30,"Due soon","OK")))</f>
        <v/>
      </c>
      <c r="W486" s="79">
        <f>IF(T486="","",IF(U486&lt;0,2,IF(U486&lt;=30,1,0)))</f>
        <v/>
      </c>
      <c r="X486" s="112">
        <f>IF(T486="","",T486)</f>
        <v/>
      </c>
      <c r="Y486" s="79">
        <f>IF(X486="","",IF(X486&lt;=AsOf+AlertDays,2,IF(X486&lt;=AsOf+30,3,"")))</f>
        <v/>
      </c>
      <c r="Z486" s="79">
        <f>IF(Y486="","",IF(U486&lt;0,"Maintenance overdue: ","Maintenance due: ")&amp;P486)</f>
        <v/>
      </c>
    </row>
    <row r="487" ht="20" customHeight="1">
      <c r="B487" s="72" t="n"/>
      <c r="C487" s="72" t="n"/>
      <c r="D487" s="72" t="n"/>
      <c r="E487" s="109" t="n"/>
      <c r="F487" s="74" t="n"/>
      <c r="G487" s="126">
        <f>IF(OR(E487="",F487=""),"",DATE(YEAR(E487),MONTH(E487)+ROUND(F487*12,0),DAY(E487)))</f>
        <v/>
      </c>
      <c r="H487" s="144">
        <f>IF(G487="","",G487-AsOf)</f>
        <v/>
      </c>
      <c r="I487" s="107">
        <f>IF(G487="","",IF(H487&lt;0,"Expired",IF(H487&lt;=90,"Expires soon","Active")))</f>
        <v/>
      </c>
      <c r="J487" s="72" t="n"/>
      <c r="K487" s="79">
        <f>IF(I487="","",IF(I487="Active",0,IF(I487="Expires soon",1,3)))</f>
        <v/>
      </c>
      <c r="L487" s="112">
        <f>IF(G487="","",IF(G487&lt;AsOf,"",G487))</f>
        <v/>
      </c>
      <c r="M487" s="79">
        <f>IF(L487="","",IF(L487&lt;=AsOf+AlertDays,2,IF(L487&lt;=AsOf+90,3,"")))</f>
        <v/>
      </c>
      <c r="N487" s="79">
        <f>IF(M487="","","Warranty expires in "&amp;H487&amp;" days: "&amp;B487&amp;IF(C487="",""," ("&amp;C487&amp;")")&amp;" — check for defects")</f>
        <v/>
      </c>
      <c r="P487" s="72" t="n"/>
      <c r="Q487" s="72" t="n"/>
      <c r="R487" s="89" t="n"/>
      <c r="S487" s="109" t="n"/>
      <c r="T487" s="126">
        <f>IF(OR(R487="",S487=""),"",DATE(YEAR(S487),MONTH(S487)+R487,DAY(S487)))</f>
        <v/>
      </c>
      <c r="U487" s="144">
        <f>IF(T487="","",T487-AsOf)</f>
        <v/>
      </c>
      <c r="V487" s="107">
        <f>IF(T487="",IF(P487="","","Enter last-done date"),IF(U487&lt;0,"Overdue",IF(U487&lt;=30,"Due soon","OK")))</f>
        <v/>
      </c>
      <c r="W487" s="79">
        <f>IF(T487="","",IF(U487&lt;0,2,IF(U487&lt;=30,1,0)))</f>
        <v/>
      </c>
      <c r="X487" s="112">
        <f>IF(T487="","",T487)</f>
        <v/>
      </c>
      <c r="Y487" s="79">
        <f>IF(X487="","",IF(X487&lt;=AsOf+AlertDays,2,IF(X487&lt;=AsOf+30,3,"")))</f>
        <v/>
      </c>
      <c r="Z487" s="79">
        <f>IF(Y487="","",IF(U487&lt;0,"Maintenance overdue: ","Maintenance due: ")&amp;P487)</f>
        <v/>
      </c>
    </row>
    <row r="488" ht="20" customHeight="1">
      <c r="B488" s="72" t="n"/>
      <c r="C488" s="72" t="n"/>
      <c r="D488" s="72" t="n"/>
      <c r="E488" s="109" t="n"/>
      <c r="F488" s="74" t="n"/>
      <c r="G488" s="126">
        <f>IF(OR(E488="",F488=""),"",DATE(YEAR(E488),MONTH(E488)+ROUND(F488*12,0),DAY(E488)))</f>
        <v/>
      </c>
      <c r="H488" s="144">
        <f>IF(G488="","",G488-AsOf)</f>
        <v/>
      </c>
      <c r="I488" s="107">
        <f>IF(G488="","",IF(H488&lt;0,"Expired",IF(H488&lt;=90,"Expires soon","Active")))</f>
        <v/>
      </c>
      <c r="J488" s="72" t="n"/>
      <c r="K488" s="79">
        <f>IF(I488="","",IF(I488="Active",0,IF(I488="Expires soon",1,3)))</f>
        <v/>
      </c>
      <c r="L488" s="112">
        <f>IF(G488="","",IF(G488&lt;AsOf,"",G488))</f>
        <v/>
      </c>
      <c r="M488" s="79">
        <f>IF(L488="","",IF(L488&lt;=AsOf+AlertDays,2,IF(L488&lt;=AsOf+90,3,"")))</f>
        <v/>
      </c>
      <c r="N488" s="79">
        <f>IF(M488="","","Warranty expires in "&amp;H488&amp;" days: "&amp;B488&amp;IF(C488="",""," ("&amp;C488&amp;")")&amp;" — check for defects")</f>
        <v/>
      </c>
      <c r="P488" s="72" t="n"/>
      <c r="Q488" s="72" t="n"/>
      <c r="R488" s="89" t="n"/>
      <c r="S488" s="109" t="n"/>
      <c r="T488" s="126">
        <f>IF(OR(R488="",S488=""),"",DATE(YEAR(S488),MONTH(S488)+R488,DAY(S488)))</f>
        <v/>
      </c>
      <c r="U488" s="144">
        <f>IF(T488="","",T488-AsOf)</f>
        <v/>
      </c>
      <c r="V488" s="107">
        <f>IF(T488="",IF(P488="","","Enter last-done date"),IF(U488&lt;0,"Overdue",IF(U488&lt;=30,"Due soon","OK")))</f>
        <v/>
      </c>
      <c r="W488" s="79">
        <f>IF(T488="","",IF(U488&lt;0,2,IF(U488&lt;=30,1,0)))</f>
        <v/>
      </c>
      <c r="X488" s="112">
        <f>IF(T488="","",T488)</f>
        <v/>
      </c>
      <c r="Y488" s="79">
        <f>IF(X488="","",IF(X488&lt;=AsOf+AlertDays,2,IF(X488&lt;=AsOf+30,3,"")))</f>
        <v/>
      </c>
      <c r="Z488" s="79">
        <f>IF(Y488="","",IF(U488&lt;0,"Maintenance overdue: ","Maintenance due: ")&amp;P488)</f>
        <v/>
      </c>
    </row>
    <row r="489" ht="20" customHeight="1">
      <c r="B489" s="72" t="n"/>
      <c r="C489" s="72" t="n"/>
      <c r="D489" s="72" t="n"/>
      <c r="E489" s="109" t="n"/>
      <c r="F489" s="74" t="n"/>
      <c r="G489" s="126">
        <f>IF(OR(E489="",F489=""),"",DATE(YEAR(E489),MONTH(E489)+ROUND(F489*12,0),DAY(E489)))</f>
        <v/>
      </c>
      <c r="H489" s="144">
        <f>IF(G489="","",G489-AsOf)</f>
        <v/>
      </c>
      <c r="I489" s="107">
        <f>IF(G489="","",IF(H489&lt;0,"Expired",IF(H489&lt;=90,"Expires soon","Active")))</f>
        <v/>
      </c>
      <c r="J489" s="72" t="n"/>
      <c r="K489" s="79">
        <f>IF(I489="","",IF(I489="Active",0,IF(I489="Expires soon",1,3)))</f>
        <v/>
      </c>
      <c r="L489" s="112">
        <f>IF(G489="","",IF(G489&lt;AsOf,"",G489))</f>
        <v/>
      </c>
      <c r="M489" s="79">
        <f>IF(L489="","",IF(L489&lt;=AsOf+AlertDays,2,IF(L489&lt;=AsOf+90,3,"")))</f>
        <v/>
      </c>
      <c r="N489" s="79">
        <f>IF(M489="","","Warranty expires in "&amp;H489&amp;" days: "&amp;B489&amp;IF(C489="",""," ("&amp;C489&amp;")")&amp;" — check for defects")</f>
        <v/>
      </c>
      <c r="P489" s="72" t="n"/>
      <c r="Q489" s="72" t="n"/>
      <c r="R489" s="89" t="n"/>
      <c r="S489" s="109" t="n"/>
      <c r="T489" s="126">
        <f>IF(OR(R489="",S489=""),"",DATE(YEAR(S489),MONTH(S489)+R489,DAY(S489)))</f>
        <v/>
      </c>
      <c r="U489" s="144">
        <f>IF(T489="","",T489-AsOf)</f>
        <v/>
      </c>
      <c r="V489" s="107">
        <f>IF(T489="",IF(P489="","","Enter last-done date"),IF(U489&lt;0,"Overdue",IF(U489&lt;=30,"Due soon","OK")))</f>
        <v/>
      </c>
      <c r="W489" s="79">
        <f>IF(T489="","",IF(U489&lt;0,2,IF(U489&lt;=30,1,0)))</f>
        <v/>
      </c>
      <c r="X489" s="112">
        <f>IF(T489="","",T489)</f>
        <v/>
      </c>
      <c r="Y489" s="79">
        <f>IF(X489="","",IF(X489&lt;=AsOf+AlertDays,2,IF(X489&lt;=AsOf+30,3,"")))</f>
        <v/>
      </c>
      <c r="Z489" s="79">
        <f>IF(Y489="","",IF(U489&lt;0,"Maintenance overdue: ","Maintenance due: ")&amp;P489)</f>
        <v/>
      </c>
    </row>
    <row r="490" ht="20" customHeight="1">
      <c r="B490" s="72" t="n"/>
      <c r="C490" s="72" t="n"/>
      <c r="D490" s="72" t="n"/>
      <c r="E490" s="109" t="n"/>
      <c r="F490" s="74" t="n"/>
      <c r="G490" s="126">
        <f>IF(OR(E490="",F490=""),"",DATE(YEAR(E490),MONTH(E490)+ROUND(F490*12,0),DAY(E490)))</f>
        <v/>
      </c>
      <c r="H490" s="144">
        <f>IF(G490="","",G490-AsOf)</f>
        <v/>
      </c>
      <c r="I490" s="107">
        <f>IF(G490="","",IF(H490&lt;0,"Expired",IF(H490&lt;=90,"Expires soon","Active")))</f>
        <v/>
      </c>
      <c r="J490" s="72" t="n"/>
      <c r="K490" s="79">
        <f>IF(I490="","",IF(I490="Active",0,IF(I490="Expires soon",1,3)))</f>
        <v/>
      </c>
      <c r="L490" s="112">
        <f>IF(G490="","",IF(G490&lt;AsOf,"",G490))</f>
        <v/>
      </c>
      <c r="M490" s="79">
        <f>IF(L490="","",IF(L490&lt;=AsOf+AlertDays,2,IF(L490&lt;=AsOf+90,3,"")))</f>
        <v/>
      </c>
      <c r="N490" s="79">
        <f>IF(M490="","","Warranty expires in "&amp;H490&amp;" days: "&amp;B490&amp;IF(C490="",""," ("&amp;C490&amp;")")&amp;" — check for defects")</f>
        <v/>
      </c>
      <c r="P490" s="72" t="n"/>
      <c r="Q490" s="72" t="n"/>
      <c r="R490" s="89" t="n"/>
      <c r="S490" s="109" t="n"/>
      <c r="T490" s="126">
        <f>IF(OR(R490="",S490=""),"",DATE(YEAR(S490),MONTH(S490)+R490,DAY(S490)))</f>
        <v/>
      </c>
      <c r="U490" s="144">
        <f>IF(T490="","",T490-AsOf)</f>
        <v/>
      </c>
      <c r="V490" s="107">
        <f>IF(T490="",IF(P490="","","Enter last-done date"),IF(U490&lt;0,"Overdue",IF(U490&lt;=30,"Due soon","OK")))</f>
        <v/>
      </c>
      <c r="W490" s="79">
        <f>IF(T490="","",IF(U490&lt;0,2,IF(U490&lt;=30,1,0)))</f>
        <v/>
      </c>
      <c r="X490" s="112">
        <f>IF(T490="","",T490)</f>
        <v/>
      </c>
      <c r="Y490" s="79">
        <f>IF(X490="","",IF(X490&lt;=AsOf+AlertDays,2,IF(X490&lt;=AsOf+30,3,"")))</f>
        <v/>
      </c>
      <c r="Z490" s="79">
        <f>IF(Y490="","",IF(U490&lt;0,"Maintenance overdue: ","Maintenance due: ")&amp;P490)</f>
        <v/>
      </c>
    </row>
    <row r="491" ht="20" customHeight="1">
      <c r="B491" s="72" t="n"/>
      <c r="C491" s="72" t="n"/>
      <c r="D491" s="72" t="n"/>
      <c r="E491" s="109" t="n"/>
      <c r="F491" s="74" t="n"/>
      <c r="G491" s="126">
        <f>IF(OR(E491="",F491=""),"",DATE(YEAR(E491),MONTH(E491)+ROUND(F491*12,0),DAY(E491)))</f>
        <v/>
      </c>
      <c r="H491" s="144">
        <f>IF(G491="","",G491-AsOf)</f>
        <v/>
      </c>
      <c r="I491" s="107">
        <f>IF(G491="","",IF(H491&lt;0,"Expired",IF(H491&lt;=90,"Expires soon","Active")))</f>
        <v/>
      </c>
      <c r="J491" s="72" t="n"/>
      <c r="K491" s="79">
        <f>IF(I491="","",IF(I491="Active",0,IF(I491="Expires soon",1,3)))</f>
        <v/>
      </c>
      <c r="L491" s="112">
        <f>IF(G491="","",IF(G491&lt;AsOf,"",G491))</f>
        <v/>
      </c>
      <c r="M491" s="79">
        <f>IF(L491="","",IF(L491&lt;=AsOf+AlertDays,2,IF(L491&lt;=AsOf+90,3,"")))</f>
        <v/>
      </c>
      <c r="N491" s="79">
        <f>IF(M491="","","Warranty expires in "&amp;H491&amp;" days: "&amp;B491&amp;IF(C491="",""," ("&amp;C491&amp;")")&amp;" — check for defects")</f>
        <v/>
      </c>
      <c r="P491" s="72" t="n"/>
      <c r="Q491" s="72" t="n"/>
      <c r="R491" s="89" t="n"/>
      <c r="S491" s="109" t="n"/>
      <c r="T491" s="126">
        <f>IF(OR(R491="",S491=""),"",DATE(YEAR(S491),MONTH(S491)+R491,DAY(S491)))</f>
        <v/>
      </c>
      <c r="U491" s="144">
        <f>IF(T491="","",T491-AsOf)</f>
        <v/>
      </c>
      <c r="V491" s="107">
        <f>IF(T491="",IF(P491="","","Enter last-done date"),IF(U491&lt;0,"Overdue",IF(U491&lt;=30,"Due soon","OK")))</f>
        <v/>
      </c>
      <c r="W491" s="79">
        <f>IF(T491="","",IF(U491&lt;0,2,IF(U491&lt;=30,1,0)))</f>
        <v/>
      </c>
      <c r="X491" s="112">
        <f>IF(T491="","",T491)</f>
        <v/>
      </c>
      <c r="Y491" s="79">
        <f>IF(X491="","",IF(X491&lt;=AsOf+AlertDays,2,IF(X491&lt;=AsOf+30,3,"")))</f>
        <v/>
      </c>
      <c r="Z491" s="79">
        <f>IF(Y491="","",IF(U491&lt;0,"Maintenance overdue: ","Maintenance due: ")&amp;P491)</f>
        <v/>
      </c>
    </row>
    <row r="492" ht="20" customHeight="1">
      <c r="B492" s="72" t="n"/>
      <c r="C492" s="72" t="n"/>
      <c r="D492" s="72" t="n"/>
      <c r="E492" s="109" t="n"/>
      <c r="F492" s="74" t="n"/>
      <c r="G492" s="126">
        <f>IF(OR(E492="",F492=""),"",DATE(YEAR(E492),MONTH(E492)+ROUND(F492*12,0),DAY(E492)))</f>
        <v/>
      </c>
      <c r="H492" s="144">
        <f>IF(G492="","",G492-AsOf)</f>
        <v/>
      </c>
      <c r="I492" s="107">
        <f>IF(G492="","",IF(H492&lt;0,"Expired",IF(H492&lt;=90,"Expires soon","Active")))</f>
        <v/>
      </c>
      <c r="J492" s="72" t="n"/>
      <c r="K492" s="79">
        <f>IF(I492="","",IF(I492="Active",0,IF(I492="Expires soon",1,3)))</f>
        <v/>
      </c>
      <c r="L492" s="112">
        <f>IF(G492="","",IF(G492&lt;AsOf,"",G492))</f>
        <v/>
      </c>
      <c r="M492" s="79">
        <f>IF(L492="","",IF(L492&lt;=AsOf+AlertDays,2,IF(L492&lt;=AsOf+90,3,"")))</f>
        <v/>
      </c>
      <c r="N492" s="79">
        <f>IF(M492="","","Warranty expires in "&amp;H492&amp;" days: "&amp;B492&amp;IF(C492="",""," ("&amp;C492&amp;")")&amp;" — check for defects")</f>
        <v/>
      </c>
      <c r="P492" s="72" t="n"/>
      <c r="Q492" s="72" t="n"/>
      <c r="R492" s="89" t="n"/>
      <c r="S492" s="109" t="n"/>
      <c r="T492" s="126">
        <f>IF(OR(R492="",S492=""),"",DATE(YEAR(S492),MONTH(S492)+R492,DAY(S492)))</f>
        <v/>
      </c>
      <c r="U492" s="144">
        <f>IF(T492="","",T492-AsOf)</f>
        <v/>
      </c>
      <c r="V492" s="107">
        <f>IF(T492="",IF(P492="","","Enter last-done date"),IF(U492&lt;0,"Overdue",IF(U492&lt;=30,"Due soon","OK")))</f>
        <v/>
      </c>
      <c r="W492" s="79">
        <f>IF(T492="","",IF(U492&lt;0,2,IF(U492&lt;=30,1,0)))</f>
        <v/>
      </c>
      <c r="X492" s="112">
        <f>IF(T492="","",T492)</f>
        <v/>
      </c>
      <c r="Y492" s="79">
        <f>IF(X492="","",IF(X492&lt;=AsOf+AlertDays,2,IF(X492&lt;=AsOf+30,3,"")))</f>
        <v/>
      </c>
      <c r="Z492" s="79">
        <f>IF(Y492="","",IF(U492&lt;0,"Maintenance overdue: ","Maintenance due: ")&amp;P492)</f>
        <v/>
      </c>
    </row>
    <row r="493" ht="20" customHeight="1">
      <c r="B493" s="72" t="n"/>
      <c r="C493" s="72" t="n"/>
      <c r="D493" s="72" t="n"/>
      <c r="E493" s="109" t="n"/>
      <c r="F493" s="74" t="n"/>
      <c r="G493" s="126">
        <f>IF(OR(E493="",F493=""),"",DATE(YEAR(E493),MONTH(E493)+ROUND(F493*12,0),DAY(E493)))</f>
        <v/>
      </c>
      <c r="H493" s="144">
        <f>IF(G493="","",G493-AsOf)</f>
        <v/>
      </c>
      <c r="I493" s="107">
        <f>IF(G493="","",IF(H493&lt;0,"Expired",IF(H493&lt;=90,"Expires soon","Active")))</f>
        <v/>
      </c>
      <c r="J493" s="72" t="n"/>
      <c r="K493" s="79">
        <f>IF(I493="","",IF(I493="Active",0,IF(I493="Expires soon",1,3)))</f>
        <v/>
      </c>
      <c r="L493" s="112">
        <f>IF(G493="","",IF(G493&lt;AsOf,"",G493))</f>
        <v/>
      </c>
      <c r="M493" s="79">
        <f>IF(L493="","",IF(L493&lt;=AsOf+AlertDays,2,IF(L493&lt;=AsOf+90,3,"")))</f>
        <v/>
      </c>
      <c r="N493" s="79">
        <f>IF(M493="","","Warranty expires in "&amp;H493&amp;" days: "&amp;B493&amp;IF(C493="",""," ("&amp;C493&amp;")")&amp;" — check for defects")</f>
        <v/>
      </c>
      <c r="P493" s="72" t="n"/>
      <c r="Q493" s="72" t="n"/>
      <c r="R493" s="89" t="n"/>
      <c r="S493" s="109" t="n"/>
      <c r="T493" s="126">
        <f>IF(OR(R493="",S493=""),"",DATE(YEAR(S493),MONTH(S493)+R493,DAY(S493)))</f>
        <v/>
      </c>
      <c r="U493" s="144">
        <f>IF(T493="","",T493-AsOf)</f>
        <v/>
      </c>
      <c r="V493" s="107">
        <f>IF(T493="",IF(P493="","","Enter last-done date"),IF(U493&lt;0,"Overdue",IF(U493&lt;=30,"Due soon","OK")))</f>
        <v/>
      </c>
      <c r="W493" s="79">
        <f>IF(T493="","",IF(U493&lt;0,2,IF(U493&lt;=30,1,0)))</f>
        <v/>
      </c>
      <c r="X493" s="112">
        <f>IF(T493="","",T493)</f>
        <v/>
      </c>
      <c r="Y493" s="79">
        <f>IF(X493="","",IF(X493&lt;=AsOf+AlertDays,2,IF(X493&lt;=AsOf+30,3,"")))</f>
        <v/>
      </c>
      <c r="Z493" s="79">
        <f>IF(Y493="","",IF(U493&lt;0,"Maintenance overdue: ","Maintenance due: ")&amp;P493)</f>
        <v/>
      </c>
    </row>
    <row r="494" ht="20" customHeight="1">
      <c r="B494" s="72" t="n"/>
      <c r="C494" s="72" t="n"/>
      <c r="D494" s="72" t="n"/>
      <c r="E494" s="109" t="n"/>
      <c r="F494" s="74" t="n"/>
      <c r="G494" s="126">
        <f>IF(OR(E494="",F494=""),"",DATE(YEAR(E494),MONTH(E494)+ROUND(F494*12,0),DAY(E494)))</f>
        <v/>
      </c>
      <c r="H494" s="144">
        <f>IF(G494="","",G494-AsOf)</f>
        <v/>
      </c>
      <c r="I494" s="107">
        <f>IF(G494="","",IF(H494&lt;0,"Expired",IF(H494&lt;=90,"Expires soon","Active")))</f>
        <v/>
      </c>
      <c r="J494" s="72" t="n"/>
      <c r="K494" s="79">
        <f>IF(I494="","",IF(I494="Active",0,IF(I494="Expires soon",1,3)))</f>
        <v/>
      </c>
      <c r="L494" s="112">
        <f>IF(G494="","",IF(G494&lt;AsOf,"",G494))</f>
        <v/>
      </c>
      <c r="M494" s="79">
        <f>IF(L494="","",IF(L494&lt;=AsOf+AlertDays,2,IF(L494&lt;=AsOf+90,3,"")))</f>
        <v/>
      </c>
      <c r="N494" s="79">
        <f>IF(M494="","","Warranty expires in "&amp;H494&amp;" days: "&amp;B494&amp;IF(C494="",""," ("&amp;C494&amp;")")&amp;" — check for defects")</f>
        <v/>
      </c>
      <c r="P494" s="72" t="n"/>
      <c r="Q494" s="72" t="n"/>
      <c r="R494" s="89" t="n"/>
      <c r="S494" s="109" t="n"/>
      <c r="T494" s="126">
        <f>IF(OR(R494="",S494=""),"",DATE(YEAR(S494),MONTH(S494)+R494,DAY(S494)))</f>
        <v/>
      </c>
      <c r="U494" s="144">
        <f>IF(T494="","",T494-AsOf)</f>
        <v/>
      </c>
      <c r="V494" s="107">
        <f>IF(T494="",IF(P494="","","Enter last-done date"),IF(U494&lt;0,"Overdue",IF(U494&lt;=30,"Due soon","OK")))</f>
        <v/>
      </c>
      <c r="W494" s="79">
        <f>IF(T494="","",IF(U494&lt;0,2,IF(U494&lt;=30,1,0)))</f>
        <v/>
      </c>
      <c r="X494" s="112">
        <f>IF(T494="","",T494)</f>
        <v/>
      </c>
      <c r="Y494" s="79">
        <f>IF(X494="","",IF(X494&lt;=AsOf+AlertDays,2,IF(X494&lt;=AsOf+30,3,"")))</f>
        <v/>
      </c>
      <c r="Z494" s="79">
        <f>IF(Y494="","",IF(U494&lt;0,"Maintenance overdue: ","Maintenance due: ")&amp;P494)</f>
        <v/>
      </c>
    </row>
    <row r="495" ht="20" customHeight="1">
      <c r="B495" s="72" t="n"/>
      <c r="C495" s="72" t="n"/>
      <c r="D495" s="72" t="n"/>
      <c r="E495" s="109" t="n"/>
      <c r="F495" s="74" t="n"/>
      <c r="G495" s="126">
        <f>IF(OR(E495="",F495=""),"",DATE(YEAR(E495),MONTH(E495)+ROUND(F495*12,0),DAY(E495)))</f>
        <v/>
      </c>
      <c r="H495" s="144">
        <f>IF(G495="","",G495-AsOf)</f>
        <v/>
      </c>
      <c r="I495" s="107">
        <f>IF(G495="","",IF(H495&lt;0,"Expired",IF(H495&lt;=90,"Expires soon","Active")))</f>
        <v/>
      </c>
      <c r="J495" s="72" t="n"/>
      <c r="K495" s="79">
        <f>IF(I495="","",IF(I495="Active",0,IF(I495="Expires soon",1,3)))</f>
        <v/>
      </c>
      <c r="L495" s="112">
        <f>IF(G495="","",IF(G495&lt;AsOf,"",G495))</f>
        <v/>
      </c>
      <c r="M495" s="79">
        <f>IF(L495="","",IF(L495&lt;=AsOf+AlertDays,2,IF(L495&lt;=AsOf+90,3,"")))</f>
        <v/>
      </c>
      <c r="N495" s="79">
        <f>IF(M495="","","Warranty expires in "&amp;H495&amp;" days: "&amp;B495&amp;IF(C495="",""," ("&amp;C495&amp;")")&amp;" — check for defects")</f>
        <v/>
      </c>
      <c r="P495" s="72" t="n"/>
      <c r="Q495" s="72" t="n"/>
      <c r="R495" s="89" t="n"/>
      <c r="S495" s="109" t="n"/>
      <c r="T495" s="126">
        <f>IF(OR(R495="",S495=""),"",DATE(YEAR(S495),MONTH(S495)+R495,DAY(S495)))</f>
        <v/>
      </c>
      <c r="U495" s="144">
        <f>IF(T495="","",T495-AsOf)</f>
        <v/>
      </c>
      <c r="V495" s="107">
        <f>IF(T495="",IF(P495="","","Enter last-done date"),IF(U495&lt;0,"Overdue",IF(U495&lt;=30,"Due soon","OK")))</f>
        <v/>
      </c>
      <c r="W495" s="79">
        <f>IF(T495="","",IF(U495&lt;0,2,IF(U495&lt;=30,1,0)))</f>
        <v/>
      </c>
      <c r="X495" s="112">
        <f>IF(T495="","",T495)</f>
        <v/>
      </c>
      <c r="Y495" s="79">
        <f>IF(X495="","",IF(X495&lt;=AsOf+AlertDays,2,IF(X495&lt;=AsOf+30,3,"")))</f>
        <v/>
      </c>
      <c r="Z495" s="79">
        <f>IF(Y495="","",IF(U495&lt;0,"Maintenance overdue: ","Maintenance due: ")&amp;P495)</f>
        <v/>
      </c>
    </row>
    <row r="496" ht="20" customHeight="1">
      <c r="B496" s="72" t="n"/>
      <c r="C496" s="72" t="n"/>
      <c r="D496" s="72" t="n"/>
      <c r="E496" s="109" t="n"/>
      <c r="F496" s="74" t="n"/>
      <c r="G496" s="126">
        <f>IF(OR(E496="",F496=""),"",DATE(YEAR(E496),MONTH(E496)+ROUND(F496*12,0),DAY(E496)))</f>
        <v/>
      </c>
      <c r="H496" s="144">
        <f>IF(G496="","",G496-AsOf)</f>
        <v/>
      </c>
      <c r="I496" s="107">
        <f>IF(G496="","",IF(H496&lt;0,"Expired",IF(H496&lt;=90,"Expires soon","Active")))</f>
        <v/>
      </c>
      <c r="J496" s="72" t="n"/>
      <c r="K496" s="79">
        <f>IF(I496="","",IF(I496="Active",0,IF(I496="Expires soon",1,3)))</f>
        <v/>
      </c>
      <c r="L496" s="112">
        <f>IF(G496="","",IF(G496&lt;AsOf,"",G496))</f>
        <v/>
      </c>
      <c r="M496" s="79">
        <f>IF(L496="","",IF(L496&lt;=AsOf+AlertDays,2,IF(L496&lt;=AsOf+90,3,"")))</f>
        <v/>
      </c>
      <c r="N496" s="79">
        <f>IF(M496="","","Warranty expires in "&amp;H496&amp;" days: "&amp;B496&amp;IF(C496="",""," ("&amp;C496&amp;")")&amp;" — check for defects")</f>
        <v/>
      </c>
      <c r="P496" s="72" t="n"/>
      <c r="Q496" s="72" t="n"/>
      <c r="R496" s="89" t="n"/>
      <c r="S496" s="109" t="n"/>
      <c r="T496" s="126">
        <f>IF(OR(R496="",S496=""),"",DATE(YEAR(S496),MONTH(S496)+R496,DAY(S496)))</f>
        <v/>
      </c>
      <c r="U496" s="144">
        <f>IF(T496="","",T496-AsOf)</f>
        <v/>
      </c>
      <c r="V496" s="107">
        <f>IF(T496="",IF(P496="","","Enter last-done date"),IF(U496&lt;0,"Overdue",IF(U496&lt;=30,"Due soon","OK")))</f>
        <v/>
      </c>
      <c r="W496" s="79">
        <f>IF(T496="","",IF(U496&lt;0,2,IF(U496&lt;=30,1,0)))</f>
        <v/>
      </c>
      <c r="X496" s="112">
        <f>IF(T496="","",T496)</f>
        <v/>
      </c>
      <c r="Y496" s="79">
        <f>IF(X496="","",IF(X496&lt;=AsOf+AlertDays,2,IF(X496&lt;=AsOf+30,3,"")))</f>
        <v/>
      </c>
      <c r="Z496" s="79">
        <f>IF(Y496="","",IF(U496&lt;0,"Maintenance overdue: ","Maintenance due: ")&amp;P496)</f>
        <v/>
      </c>
    </row>
    <row r="497" ht="20" customHeight="1">
      <c r="B497" s="72" t="n"/>
      <c r="C497" s="72" t="n"/>
      <c r="D497" s="72" t="n"/>
      <c r="E497" s="109" t="n"/>
      <c r="F497" s="74" t="n"/>
      <c r="G497" s="126">
        <f>IF(OR(E497="",F497=""),"",DATE(YEAR(E497),MONTH(E497)+ROUND(F497*12,0),DAY(E497)))</f>
        <v/>
      </c>
      <c r="H497" s="144">
        <f>IF(G497="","",G497-AsOf)</f>
        <v/>
      </c>
      <c r="I497" s="107">
        <f>IF(G497="","",IF(H497&lt;0,"Expired",IF(H497&lt;=90,"Expires soon","Active")))</f>
        <v/>
      </c>
      <c r="J497" s="72" t="n"/>
      <c r="K497" s="79">
        <f>IF(I497="","",IF(I497="Active",0,IF(I497="Expires soon",1,3)))</f>
        <v/>
      </c>
      <c r="L497" s="112">
        <f>IF(G497="","",IF(G497&lt;AsOf,"",G497))</f>
        <v/>
      </c>
      <c r="M497" s="79">
        <f>IF(L497="","",IF(L497&lt;=AsOf+AlertDays,2,IF(L497&lt;=AsOf+90,3,"")))</f>
        <v/>
      </c>
      <c r="N497" s="79">
        <f>IF(M497="","","Warranty expires in "&amp;H497&amp;" days: "&amp;B497&amp;IF(C497="",""," ("&amp;C497&amp;")")&amp;" — check for defects")</f>
        <v/>
      </c>
      <c r="P497" s="72" t="n"/>
      <c r="Q497" s="72" t="n"/>
      <c r="R497" s="89" t="n"/>
      <c r="S497" s="109" t="n"/>
      <c r="T497" s="126">
        <f>IF(OR(R497="",S497=""),"",DATE(YEAR(S497),MONTH(S497)+R497,DAY(S497)))</f>
        <v/>
      </c>
      <c r="U497" s="144">
        <f>IF(T497="","",T497-AsOf)</f>
        <v/>
      </c>
      <c r="V497" s="107">
        <f>IF(T497="",IF(P497="","","Enter last-done date"),IF(U497&lt;0,"Overdue",IF(U497&lt;=30,"Due soon","OK")))</f>
        <v/>
      </c>
      <c r="W497" s="79">
        <f>IF(T497="","",IF(U497&lt;0,2,IF(U497&lt;=30,1,0)))</f>
        <v/>
      </c>
      <c r="X497" s="112">
        <f>IF(T497="","",T497)</f>
        <v/>
      </c>
      <c r="Y497" s="79">
        <f>IF(X497="","",IF(X497&lt;=AsOf+AlertDays,2,IF(X497&lt;=AsOf+30,3,"")))</f>
        <v/>
      </c>
      <c r="Z497" s="79">
        <f>IF(Y497="","",IF(U497&lt;0,"Maintenance overdue: ","Maintenance due: ")&amp;P497)</f>
        <v/>
      </c>
    </row>
    <row r="498" ht="20" customHeight="1">
      <c r="B498" s="72" t="n"/>
      <c r="C498" s="72" t="n"/>
      <c r="D498" s="72" t="n"/>
      <c r="E498" s="109" t="n"/>
      <c r="F498" s="74" t="n"/>
      <c r="G498" s="126">
        <f>IF(OR(E498="",F498=""),"",DATE(YEAR(E498),MONTH(E498)+ROUND(F498*12,0),DAY(E498)))</f>
        <v/>
      </c>
      <c r="H498" s="144">
        <f>IF(G498="","",G498-AsOf)</f>
        <v/>
      </c>
      <c r="I498" s="107">
        <f>IF(G498="","",IF(H498&lt;0,"Expired",IF(H498&lt;=90,"Expires soon","Active")))</f>
        <v/>
      </c>
      <c r="J498" s="72" t="n"/>
      <c r="K498" s="79">
        <f>IF(I498="","",IF(I498="Active",0,IF(I498="Expires soon",1,3)))</f>
        <v/>
      </c>
      <c r="L498" s="112">
        <f>IF(G498="","",IF(G498&lt;AsOf,"",G498))</f>
        <v/>
      </c>
      <c r="M498" s="79">
        <f>IF(L498="","",IF(L498&lt;=AsOf+AlertDays,2,IF(L498&lt;=AsOf+90,3,"")))</f>
        <v/>
      </c>
      <c r="N498" s="79">
        <f>IF(M498="","","Warranty expires in "&amp;H498&amp;" days: "&amp;B498&amp;IF(C498="",""," ("&amp;C498&amp;")")&amp;" — check for defects")</f>
        <v/>
      </c>
      <c r="P498" s="72" t="n"/>
      <c r="Q498" s="72" t="n"/>
      <c r="R498" s="89" t="n"/>
      <c r="S498" s="109" t="n"/>
      <c r="T498" s="126">
        <f>IF(OR(R498="",S498=""),"",DATE(YEAR(S498),MONTH(S498)+R498,DAY(S498)))</f>
        <v/>
      </c>
      <c r="U498" s="144">
        <f>IF(T498="","",T498-AsOf)</f>
        <v/>
      </c>
      <c r="V498" s="107">
        <f>IF(T498="",IF(P498="","","Enter last-done date"),IF(U498&lt;0,"Overdue",IF(U498&lt;=30,"Due soon","OK")))</f>
        <v/>
      </c>
      <c r="W498" s="79">
        <f>IF(T498="","",IF(U498&lt;0,2,IF(U498&lt;=30,1,0)))</f>
        <v/>
      </c>
      <c r="X498" s="112">
        <f>IF(T498="","",T498)</f>
        <v/>
      </c>
      <c r="Y498" s="79">
        <f>IF(X498="","",IF(X498&lt;=AsOf+AlertDays,2,IF(X498&lt;=AsOf+30,3,"")))</f>
        <v/>
      </c>
      <c r="Z498" s="79">
        <f>IF(Y498="","",IF(U498&lt;0,"Maintenance overdue: ","Maintenance due: ")&amp;P498)</f>
        <v/>
      </c>
    </row>
    <row r="499" ht="20" customHeight="1">
      <c r="B499" s="72" t="n"/>
      <c r="C499" s="72" t="n"/>
      <c r="D499" s="72" t="n"/>
      <c r="E499" s="109" t="n"/>
      <c r="F499" s="74" t="n"/>
      <c r="G499" s="126">
        <f>IF(OR(E499="",F499=""),"",DATE(YEAR(E499),MONTH(E499)+ROUND(F499*12,0),DAY(E499)))</f>
        <v/>
      </c>
      <c r="H499" s="144">
        <f>IF(G499="","",G499-AsOf)</f>
        <v/>
      </c>
      <c r="I499" s="107">
        <f>IF(G499="","",IF(H499&lt;0,"Expired",IF(H499&lt;=90,"Expires soon","Active")))</f>
        <v/>
      </c>
      <c r="J499" s="72" t="n"/>
      <c r="K499" s="79">
        <f>IF(I499="","",IF(I499="Active",0,IF(I499="Expires soon",1,3)))</f>
        <v/>
      </c>
      <c r="L499" s="112">
        <f>IF(G499="","",IF(G499&lt;AsOf,"",G499))</f>
        <v/>
      </c>
      <c r="M499" s="79">
        <f>IF(L499="","",IF(L499&lt;=AsOf+AlertDays,2,IF(L499&lt;=AsOf+90,3,"")))</f>
        <v/>
      </c>
      <c r="N499" s="79">
        <f>IF(M499="","","Warranty expires in "&amp;H499&amp;" days: "&amp;B499&amp;IF(C499="",""," ("&amp;C499&amp;")")&amp;" — check for defects")</f>
        <v/>
      </c>
      <c r="P499" s="72" t="n"/>
      <c r="Q499" s="72" t="n"/>
      <c r="R499" s="89" t="n"/>
      <c r="S499" s="109" t="n"/>
      <c r="T499" s="126">
        <f>IF(OR(R499="",S499=""),"",DATE(YEAR(S499),MONTH(S499)+R499,DAY(S499)))</f>
        <v/>
      </c>
      <c r="U499" s="144">
        <f>IF(T499="","",T499-AsOf)</f>
        <v/>
      </c>
      <c r="V499" s="107">
        <f>IF(T499="",IF(P499="","","Enter last-done date"),IF(U499&lt;0,"Overdue",IF(U499&lt;=30,"Due soon","OK")))</f>
        <v/>
      </c>
      <c r="W499" s="79">
        <f>IF(T499="","",IF(U499&lt;0,2,IF(U499&lt;=30,1,0)))</f>
        <v/>
      </c>
      <c r="X499" s="112">
        <f>IF(T499="","",T499)</f>
        <v/>
      </c>
      <c r="Y499" s="79">
        <f>IF(X499="","",IF(X499&lt;=AsOf+AlertDays,2,IF(X499&lt;=AsOf+30,3,"")))</f>
        <v/>
      </c>
      <c r="Z499" s="79">
        <f>IF(Y499="","",IF(U499&lt;0,"Maintenance overdue: ","Maintenance due: ")&amp;P499)</f>
        <v/>
      </c>
    </row>
    <row r="500" ht="20" customHeight="1">
      <c r="B500" s="72" t="n"/>
      <c r="C500" s="72" t="n"/>
      <c r="D500" s="72" t="n"/>
      <c r="E500" s="109" t="n"/>
      <c r="F500" s="74" t="n"/>
      <c r="G500" s="126">
        <f>IF(OR(E500="",F500=""),"",DATE(YEAR(E500),MONTH(E500)+ROUND(F500*12,0),DAY(E500)))</f>
        <v/>
      </c>
      <c r="H500" s="144">
        <f>IF(G500="","",G500-AsOf)</f>
        <v/>
      </c>
      <c r="I500" s="107">
        <f>IF(G500="","",IF(H500&lt;0,"Expired",IF(H500&lt;=90,"Expires soon","Active")))</f>
        <v/>
      </c>
      <c r="J500" s="72" t="n"/>
      <c r="K500" s="79">
        <f>IF(I500="","",IF(I500="Active",0,IF(I500="Expires soon",1,3)))</f>
        <v/>
      </c>
      <c r="L500" s="112">
        <f>IF(G500="","",IF(G500&lt;AsOf,"",G500))</f>
        <v/>
      </c>
      <c r="M500" s="79">
        <f>IF(L500="","",IF(L500&lt;=AsOf+AlertDays,2,IF(L500&lt;=AsOf+90,3,"")))</f>
        <v/>
      </c>
      <c r="N500" s="79">
        <f>IF(M500="","","Warranty expires in "&amp;H500&amp;" days: "&amp;B500&amp;IF(C500="",""," ("&amp;C500&amp;")")&amp;" — check for defects")</f>
        <v/>
      </c>
      <c r="P500" s="72" t="n"/>
      <c r="Q500" s="72" t="n"/>
      <c r="R500" s="89" t="n"/>
      <c r="S500" s="109" t="n"/>
      <c r="T500" s="126">
        <f>IF(OR(R500="",S500=""),"",DATE(YEAR(S500),MONTH(S500)+R500,DAY(S500)))</f>
        <v/>
      </c>
      <c r="U500" s="144">
        <f>IF(T500="","",T500-AsOf)</f>
        <v/>
      </c>
      <c r="V500" s="107">
        <f>IF(T500="",IF(P500="","","Enter last-done date"),IF(U500&lt;0,"Overdue",IF(U500&lt;=30,"Due soon","OK")))</f>
        <v/>
      </c>
      <c r="W500" s="79">
        <f>IF(T500="","",IF(U500&lt;0,2,IF(U500&lt;=30,1,0)))</f>
        <v/>
      </c>
      <c r="X500" s="112">
        <f>IF(T500="","",T500)</f>
        <v/>
      </c>
      <c r="Y500" s="79">
        <f>IF(X500="","",IF(X500&lt;=AsOf+AlertDays,2,IF(X500&lt;=AsOf+30,3,"")))</f>
        <v/>
      </c>
      <c r="Z500" s="79">
        <f>IF(Y500="","",IF(U500&lt;0,"Maintenance overdue: ","Maintenance due: ")&amp;P500)</f>
        <v/>
      </c>
    </row>
    <row r="501" ht="20" customHeight="1">
      <c r="B501" s="72" t="n"/>
      <c r="C501" s="72" t="n"/>
      <c r="D501" s="72" t="n"/>
      <c r="E501" s="109" t="n"/>
      <c r="F501" s="74" t="n"/>
      <c r="G501" s="126">
        <f>IF(OR(E501="",F501=""),"",DATE(YEAR(E501),MONTH(E501)+ROUND(F501*12,0),DAY(E501)))</f>
        <v/>
      </c>
      <c r="H501" s="144">
        <f>IF(G501="","",G501-AsOf)</f>
        <v/>
      </c>
      <c r="I501" s="107">
        <f>IF(G501="","",IF(H501&lt;0,"Expired",IF(H501&lt;=90,"Expires soon","Active")))</f>
        <v/>
      </c>
      <c r="J501" s="72" t="n"/>
      <c r="K501" s="79">
        <f>IF(I501="","",IF(I501="Active",0,IF(I501="Expires soon",1,3)))</f>
        <v/>
      </c>
      <c r="L501" s="112">
        <f>IF(G501="","",IF(G501&lt;AsOf,"",G501))</f>
        <v/>
      </c>
      <c r="M501" s="79">
        <f>IF(L501="","",IF(L501&lt;=AsOf+AlertDays,2,IF(L501&lt;=AsOf+90,3,"")))</f>
        <v/>
      </c>
      <c r="N501" s="79">
        <f>IF(M501="","","Warranty expires in "&amp;H501&amp;" days: "&amp;B501&amp;IF(C501="",""," ("&amp;C501&amp;")")&amp;" — check for defects")</f>
        <v/>
      </c>
      <c r="P501" s="72" t="n"/>
      <c r="Q501" s="72" t="n"/>
      <c r="R501" s="89" t="n"/>
      <c r="S501" s="109" t="n"/>
      <c r="T501" s="126">
        <f>IF(OR(R501="",S501=""),"",DATE(YEAR(S501),MONTH(S501)+R501,DAY(S501)))</f>
        <v/>
      </c>
      <c r="U501" s="144">
        <f>IF(T501="","",T501-AsOf)</f>
        <v/>
      </c>
      <c r="V501" s="107">
        <f>IF(T501="",IF(P501="","","Enter last-done date"),IF(U501&lt;0,"Overdue",IF(U501&lt;=30,"Due soon","OK")))</f>
        <v/>
      </c>
      <c r="W501" s="79">
        <f>IF(T501="","",IF(U501&lt;0,2,IF(U501&lt;=30,1,0)))</f>
        <v/>
      </c>
      <c r="X501" s="112">
        <f>IF(T501="","",T501)</f>
        <v/>
      </c>
      <c r="Y501" s="79">
        <f>IF(X501="","",IF(X501&lt;=AsOf+AlertDays,2,IF(X501&lt;=AsOf+30,3,"")))</f>
        <v/>
      </c>
      <c r="Z501" s="79">
        <f>IF(Y501="","",IF(U501&lt;0,"Maintenance overdue: ","Maintenance due: ")&amp;P501)</f>
        <v/>
      </c>
    </row>
    <row r="502" ht="20" customHeight="1">
      <c r="B502" s="72" t="n"/>
      <c r="C502" s="72" t="n"/>
      <c r="D502" s="72" t="n"/>
      <c r="E502" s="109" t="n"/>
      <c r="F502" s="74" t="n"/>
      <c r="G502" s="126">
        <f>IF(OR(E502="",F502=""),"",DATE(YEAR(E502),MONTH(E502)+ROUND(F502*12,0),DAY(E502)))</f>
        <v/>
      </c>
      <c r="H502" s="144">
        <f>IF(G502="","",G502-AsOf)</f>
        <v/>
      </c>
      <c r="I502" s="107">
        <f>IF(G502="","",IF(H502&lt;0,"Expired",IF(H502&lt;=90,"Expires soon","Active")))</f>
        <v/>
      </c>
      <c r="J502" s="72" t="n"/>
      <c r="K502" s="79">
        <f>IF(I502="","",IF(I502="Active",0,IF(I502="Expires soon",1,3)))</f>
        <v/>
      </c>
      <c r="L502" s="112">
        <f>IF(G502="","",IF(G502&lt;AsOf,"",G502))</f>
        <v/>
      </c>
      <c r="M502" s="79">
        <f>IF(L502="","",IF(L502&lt;=AsOf+AlertDays,2,IF(L502&lt;=AsOf+90,3,"")))</f>
        <v/>
      </c>
      <c r="N502" s="79">
        <f>IF(M502="","","Warranty expires in "&amp;H502&amp;" days: "&amp;B502&amp;IF(C502="",""," ("&amp;C502&amp;")")&amp;" — check for defects")</f>
        <v/>
      </c>
      <c r="P502" s="72" t="n"/>
      <c r="Q502" s="72" t="n"/>
      <c r="R502" s="89" t="n"/>
      <c r="S502" s="109" t="n"/>
      <c r="T502" s="126">
        <f>IF(OR(R502="",S502=""),"",DATE(YEAR(S502),MONTH(S502)+R502,DAY(S502)))</f>
        <v/>
      </c>
      <c r="U502" s="144">
        <f>IF(T502="","",T502-AsOf)</f>
        <v/>
      </c>
      <c r="V502" s="107">
        <f>IF(T502="",IF(P502="","","Enter last-done date"),IF(U502&lt;0,"Overdue",IF(U502&lt;=30,"Due soon","OK")))</f>
        <v/>
      </c>
      <c r="W502" s="79">
        <f>IF(T502="","",IF(U502&lt;0,2,IF(U502&lt;=30,1,0)))</f>
        <v/>
      </c>
      <c r="X502" s="112">
        <f>IF(T502="","",T502)</f>
        <v/>
      </c>
      <c r="Y502" s="79">
        <f>IF(X502="","",IF(X502&lt;=AsOf+AlertDays,2,IF(X502&lt;=AsOf+30,3,"")))</f>
        <v/>
      </c>
      <c r="Z502" s="79">
        <f>IF(Y502="","",IF(U502&lt;0,"Maintenance overdue: ","Maintenance due: ")&amp;P502)</f>
        <v/>
      </c>
    </row>
    <row r="503" ht="20" customHeight="1">
      <c r="B503" s="72" t="n"/>
      <c r="C503" s="72" t="n"/>
      <c r="D503" s="72" t="n"/>
      <c r="E503" s="109" t="n"/>
      <c r="F503" s="74" t="n"/>
      <c r="G503" s="126">
        <f>IF(OR(E503="",F503=""),"",DATE(YEAR(E503),MONTH(E503)+ROUND(F503*12,0),DAY(E503)))</f>
        <v/>
      </c>
      <c r="H503" s="144">
        <f>IF(G503="","",G503-AsOf)</f>
        <v/>
      </c>
      <c r="I503" s="107">
        <f>IF(G503="","",IF(H503&lt;0,"Expired",IF(H503&lt;=90,"Expires soon","Active")))</f>
        <v/>
      </c>
      <c r="J503" s="72" t="n"/>
      <c r="K503" s="79">
        <f>IF(I503="","",IF(I503="Active",0,IF(I503="Expires soon",1,3)))</f>
        <v/>
      </c>
      <c r="L503" s="112">
        <f>IF(G503="","",IF(G503&lt;AsOf,"",G503))</f>
        <v/>
      </c>
      <c r="M503" s="79">
        <f>IF(L503="","",IF(L503&lt;=AsOf+AlertDays,2,IF(L503&lt;=AsOf+90,3,"")))</f>
        <v/>
      </c>
      <c r="N503" s="79">
        <f>IF(M503="","","Warranty expires in "&amp;H503&amp;" days: "&amp;B503&amp;IF(C503="",""," ("&amp;C503&amp;")")&amp;" — check for defects")</f>
        <v/>
      </c>
      <c r="P503" s="72" t="n"/>
      <c r="Q503" s="72" t="n"/>
      <c r="R503" s="89" t="n"/>
      <c r="S503" s="109" t="n"/>
      <c r="T503" s="126">
        <f>IF(OR(R503="",S503=""),"",DATE(YEAR(S503),MONTH(S503)+R503,DAY(S503)))</f>
        <v/>
      </c>
      <c r="U503" s="144">
        <f>IF(T503="","",T503-AsOf)</f>
        <v/>
      </c>
      <c r="V503" s="107">
        <f>IF(T503="",IF(P503="","","Enter last-done date"),IF(U503&lt;0,"Overdue",IF(U503&lt;=30,"Due soon","OK")))</f>
        <v/>
      </c>
      <c r="W503" s="79">
        <f>IF(T503="","",IF(U503&lt;0,2,IF(U503&lt;=30,1,0)))</f>
        <v/>
      </c>
      <c r="X503" s="112">
        <f>IF(T503="","",T503)</f>
        <v/>
      </c>
      <c r="Y503" s="79">
        <f>IF(X503="","",IF(X503&lt;=AsOf+AlertDays,2,IF(X503&lt;=AsOf+30,3,"")))</f>
        <v/>
      </c>
      <c r="Z503" s="79">
        <f>IF(Y503="","",IF(U503&lt;0,"Maintenance overdue: ","Maintenance due: ")&amp;P503)</f>
        <v/>
      </c>
    </row>
    <row r="504" ht="20" customHeight="1">
      <c r="B504" s="72" t="n"/>
      <c r="C504" s="72" t="n"/>
      <c r="D504" s="72" t="n"/>
      <c r="E504" s="109" t="n"/>
      <c r="F504" s="74" t="n"/>
      <c r="G504" s="126">
        <f>IF(OR(E504="",F504=""),"",DATE(YEAR(E504),MONTH(E504)+ROUND(F504*12,0),DAY(E504)))</f>
        <v/>
      </c>
      <c r="H504" s="144">
        <f>IF(G504="","",G504-AsOf)</f>
        <v/>
      </c>
      <c r="I504" s="107">
        <f>IF(G504="","",IF(H504&lt;0,"Expired",IF(H504&lt;=90,"Expires soon","Active")))</f>
        <v/>
      </c>
      <c r="J504" s="72" t="n"/>
      <c r="K504" s="79">
        <f>IF(I504="","",IF(I504="Active",0,IF(I504="Expires soon",1,3)))</f>
        <v/>
      </c>
      <c r="L504" s="112">
        <f>IF(G504="","",IF(G504&lt;AsOf,"",G504))</f>
        <v/>
      </c>
      <c r="M504" s="79">
        <f>IF(L504="","",IF(L504&lt;=AsOf+AlertDays,2,IF(L504&lt;=AsOf+90,3,"")))</f>
        <v/>
      </c>
      <c r="N504" s="79">
        <f>IF(M504="","","Warranty expires in "&amp;H504&amp;" days: "&amp;B504&amp;IF(C504="",""," ("&amp;C504&amp;")")&amp;" — check for defects")</f>
        <v/>
      </c>
      <c r="P504" s="72" t="n"/>
      <c r="Q504" s="72" t="n"/>
      <c r="R504" s="89" t="n"/>
      <c r="S504" s="109" t="n"/>
      <c r="T504" s="126">
        <f>IF(OR(R504="",S504=""),"",DATE(YEAR(S504),MONTH(S504)+R504,DAY(S504)))</f>
        <v/>
      </c>
      <c r="U504" s="144">
        <f>IF(T504="","",T504-AsOf)</f>
        <v/>
      </c>
      <c r="V504" s="107">
        <f>IF(T504="",IF(P504="","","Enter last-done date"),IF(U504&lt;0,"Overdue",IF(U504&lt;=30,"Due soon","OK")))</f>
        <v/>
      </c>
      <c r="W504" s="79">
        <f>IF(T504="","",IF(U504&lt;0,2,IF(U504&lt;=30,1,0)))</f>
        <v/>
      </c>
      <c r="X504" s="112">
        <f>IF(T504="","",T504)</f>
        <v/>
      </c>
      <c r="Y504" s="79">
        <f>IF(X504="","",IF(X504&lt;=AsOf+AlertDays,2,IF(X504&lt;=AsOf+30,3,"")))</f>
        <v/>
      </c>
      <c r="Z504" s="79">
        <f>IF(Y504="","",IF(U504&lt;0,"Maintenance overdue: ","Maintenance due: ")&amp;P504)</f>
        <v/>
      </c>
    </row>
    <row r="505" ht="20" customHeight="1">
      <c r="B505" s="72" t="n"/>
      <c r="C505" s="72" t="n"/>
      <c r="D505" s="72" t="n"/>
      <c r="E505" s="109" t="n"/>
      <c r="F505" s="74" t="n"/>
      <c r="G505" s="126">
        <f>IF(OR(E505="",F505=""),"",DATE(YEAR(E505),MONTH(E505)+ROUND(F505*12,0),DAY(E505)))</f>
        <v/>
      </c>
      <c r="H505" s="144">
        <f>IF(G505="","",G505-AsOf)</f>
        <v/>
      </c>
      <c r="I505" s="107">
        <f>IF(G505="","",IF(H505&lt;0,"Expired",IF(H505&lt;=90,"Expires soon","Active")))</f>
        <v/>
      </c>
      <c r="J505" s="72" t="n"/>
      <c r="K505" s="79">
        <f>IF(I505="","",IF(I505="Active",0,IF(I505="Expires soon",1,3)))</f>
        <v/>
      </c>
      <c r="L505" s="112">
        <f>IF(G505="","",IF(G505&lt;AsOf,"",G505))</f>
        <v/>
      </c>
      <c r="M505" s="79">
        <f>IF(L505="","",IF(L505&lt;=AsOf+AlertDays,2,IF(L505&lt;=AsOf+90,3,"")))</f>
        <v/>
      </c>
      <c r="N505" s="79">
        <f>IF(M505="","","Warranty expires in "&amp;H505&amp;" days: "&amp;B505&amp;IF(C505="",""," ("&amp;C505&amp;")")&amp;" — check for defects")</f>
        <v/>
      </c>
      <c r="P505" s="72" t="n"/>
      <c r="Q505" s="72" t="n"/>
      <c r="R505" s="89" t="n"/>
      <c r="S505" s="109" t="n"/>
      <c r="T505" s="126">
        <f>IF(OR(R505="",S505=""),"",DATE(YEAR(S505),MONTH(S505)+R505,DAY(S505)))</f>
        <v/>
      </c>
      <c r="U505" s="144">
        <f>IF(T505="","",T505-AsOf)</f>
        <v/>
      </c>
      <c r="V505" s="107">
        <f>IF(T505="",IF(P505="","","Enter last-done date"),IF(U505&lt;0,"Overdue",IF(U505&lt;=30,"Due soon","OK")))</f>
        <v/>
      </c>
      <c r="W505" s="79">
        <f>IF(T505="","",IF(U505&lt;0,2,IF(U505&lt;=30,1,0)))</f>
        <v/>
      </c>
      <c r="X505" s="112">
        <f>IF(T505="","",T505)</f>
        <v/>
      </c>
      <c r="Y505" s="79">
        <f>IF(X505="","",IF(X505&lt;=AsOf+AlertDays,2,IF(X505&lt;=AsOf+30,3,"")))</f>
        <v/>
      </c>
      <c r="Z505" s="79">
        <f>IF(Y505="","",IF(U505&lt;0,"Maintenance overdue: ","Maintenance due: ")&amp;P505)</f>
        <v/>
      </c>
    </row>
    <row r="506" ht="20" customHeight="1">
      <c r="B506" s="72" t="n"/>
      <c r="C506" s="72" t="n"/>
      <c r="D506" s="72" t="n"/>
      <c r="E506" s="109" t="n"/>
      <c r="F506" s="74" t="n"/>
      <c r="G506" s="126">
        <f>IF(OR(E506="",F506=""),"",DATE(YEAR(E506),MONTH(E506)+ROUND(F506*12,0),DAY(E506)))</f>
        <v/>
      </c>
      <c r="H506" s="144">
        <f>IF(G506="","",G506-AsOf)</f>
        <v/>
      </c>
      <c r="I506" s="107">
        <f>IF(G506="","",IF(H506&lt;0,"Expired",IF(H506&lt;=90,"Expires soon","Active")))</f>
        <v/>
      </c>
      <c r="J506" s="72" t="n"/>
      <c r="K506" s="79">
        <f>IF(I506="","",IF(I506="Active",0,IF(I506="Expires soon",1,3)))</f>
        <v/>
      </c>
      <c r="L506" s="112">
        <f>IF(G506="","",IF(G506&lt;AsOf,"",G506))</f>
        <v/>
      </c>
      <c r="M506" s="79">
        <f>IF(L506="","",IF(L506&lt;=AsOf+AlertDays,2,IF(L506&lt;=AsOf+90,3,"")))</f>
        <v/>
      </c>
      <c r="N506" s="79">
        <f>IF(M506="","","Warranty expires in "&amp;H506&amp;" days: "&amp;B506&amp;IF(C506="",""," ("&amp;C506&amp;")")&amp;" — check for defects")</f>
        <v/>
      </c>
      <c r="P506" s="72" t="n"/>
      <c r="Q506" s="72" t="n"/>
      <c r="R506" s="89" t="n"/>
      <c r="S506" s="109" t="n"/>
      <c r="T506" s="126">
        <f>IF(OR(R506="",S506=""),"",DATE(YEAR(S506),MONTH(S506)+R506,DAY(S506)))</f>
        <v/>
      </c>
      <c r="U506" s="144">
        <f>IF(T506="","",T506-AsOf)</f>
        <v/>
      </c>
      <c r="V506" s="107">
        <f>IF(T506="",IF(P506="","","Enter last-done date"),IF(U506&lt;0,"Overdue",IF(U506&lt;=30,"Due soon","OK")))</f>
        <v/>
      </c>
      <c r="W506" s="79">
        <f>IF(T506="","",IF(U506&lt;0,2,IF(U506&lt;=30,1,0)))</f>
        <v/>
      </c>
      <c r="X506" s="112">
        <f>IF(T506="","",T506)</f>
        <v/>
      </c>
      <c r="Y506" s="79">
        <f>IF(X506="","",IF(X506&lt;=AsOf+AlertDays,2,IF(X506&lt;=AsOf+30,3,"")))</f>
        <v/>
      </c>
      <c r="Z506" s="79">
        <f>IF(Y506="","",IF(U506&lt;0,"Maintenance overdue: ","Maintenance due: ")&amp;P506)</f>
        <v/>
      </c>
    </row>
    <row r="507" ht="20" customHeight="1">
      <c r="B507" s="72" t="n"/>
      <c r="C507" s="72" t="n"/>
      <c r="D507" s="72" t="n"/>
      <c r="E507" s="109" t="n"/>
      <c r="F507" s="74" t="n"/>
      <c r="G507" s="126">
        <f>IF(OR(E507="",F507=""),"",DATE(YEAR(E507),MONTH(E507)+ROUND(F507*12,0),DAY(E507)))</f>
        <v/>
      </c>
      <c r="H507" s="144">
        <f>IF(G507="","",G507-AsOf)</f>
        <v/>
      </c>
      <c r="I507" s="107">
        <f>IF(G507="","",IF(H507&lt;0,"Expired",IF(H507&lt;=90,"Expires soon","Active")))</f>
        <v/>
      </c>
      <c r="J507" s="72" t="n"/>
      <c r="K507" s="79">
        <f>IF(I507="","",IF(I507="Active",0,IF(I507="Expires soon",1,3)))</f>
        <v/>
      </c>
      <c r="L507" s="112">
        <f>IF(G507="","",IF(G507&lt;AsOf,"",G507))</f>
        <v/>
      </c>
      <c r="M507" s="79">
        <f>IF(L507="","",IF(L507&lt;=AsOf+AlertDays,2,IF(L507&lt;=AsOf+90,3,"")))</f>
        <v/>
      </c>
      <c r="N507" s="79">
        <f>IF(M507="","","Warranty expires in "&amp;H507&amp;" days: "&amp;B507&amp;IF(C507="",""," ("&amp;C507&amp;")")&amp;" — check for defects")</f>
        <v/>
      </c>
      <c r="P507" s="72" t="n"/>
      <c r="Q507" s="72" t="n"/>
      <c r="R507" s="89" t="n"/>
      <c r="S507" s="109" t="n"/>
      <c r="T507" s="126">
        <f>IF(OR(R507="",S507=""),"",DATE(YEAR(S507),MONTH(S507)+R507,DAY(S507)))</f>
        <v/>
      </c>
      <c r="U507" s="144">
        <f>IF(T507="","",T507-AsOf)</f>
        <v/>
      </c>
      <c r="V507" s="107">
        <f>IF(T507="",IF(P507="","","Enter last-done date"),IF(U507&lt;0,"Overdue",IF(U507&lt;=30,"Due soon","OK")))</f>
        <v/>
      </c>
      <c r="W507" s="79">
        <f>IF(T507="","",IF(U507&lt;0,2,IF(U507&lt;=30,1,0)))</f>
        <v/>
      </c>
      <c r="X507" s="112">
        <f>IF(T507="","",T507)</f>
        <v/>
      </c>
      <c r="Y507" s="79">
        <f>IF(X507="","",IF(X507&lt;=AsOf+AlertDays,2,IF(X507&lt;=AsOf+30,3,"")))</f>
        <v/>
      </c>
      <c r="Z507" s="79">
        <f>IF(Y507="","",IF(U507&lt;0,"Maintenance overdue: ","Maintenance due: ")&amp;P507)</f>
        <v/>
      </c>
    </row>
    <row r="508" ht="20" customHeight="1">
      <c r="B508" s="72" t="n"/>
      <c r="C508" s="72" t="n"/>
      <c r="D508" s="72" t="n"/>
      <c r="E508" s="109" t="n"/>
      <c r="F508" s="74" t="n"/>
      <c r="G508" s="126">
        <f>IF(OR(E508="",F508=""),"",DATE(YEAR(E508),MONTH(E508)+ROUND(F508*12,0),DAY(E508)))</f>
        <v/>
      </c>
      <c r="H508" s="144">
        <f>IF(G508="","",G508-AsOf)</f>
        <v/>
      </c>
      <c r="I508" s="107">
        <f>IF(G508="","",IF(H508&lt;0,"Expired",IF(H508&lt;=90,"Expires soon","Active")))</f>
        <v/>
      </c>
      <c r="J508" s="72" t="n"/>
      <c r="K508" s="79">
        <f>IF(I508="","",IF(I508="Active",0,IF(I508="Expires soon",1,3)))</f>
        <v/>
      </c>
      <c r="L508" s="112">
        <f>IF(G508="","",IF(G508&lt;AsOf,"",G508))</f>
        <v/>
      </c>
      <c r="M508" s="79">
        <f>IF(L508="","",IF(L508&lt;=AsOf+AlertDays,2,IF(L508&lt;=AsOf+90,3,"")))</f>
        <v/>
      </c>
      <c r="N508" s="79">
        <f>IF(M508="","","Warranty expires in "&amp;H508&amp;" days: "&amp;B508&amp;IF(C508="",""," ("&amp;C508&amp;")")&amp;" — check for defects")</f>
        <v/>
      </c>
      <c r="P508" s="72" t="n"/>
      <c r="Q508" s="72" t="n"/>
      <c r="R508" s="89" t="n"/>
      <c r="S508" s="109" t="n"/>
      <c r="T508" s="126">
        <f>IF(OR(R508="",S508=""),"",DATE(YEAR(S508),MONTH(S508)+R508,DAY(S508)))</f>
        <v/>
      </c>
      <c r="U508" s="144">
        <f>IF(T508="","",T508-AsOf)</f>
        <v/>
      </c>
      <c r="V508" s="107">
        <f>IF(T508="",IF(P508="","","Enter last-done date"),IF(U508&lt;0,"Overdue",IF(U508&lt;=30,"Due soon","OK")))</f>
        <v/>
      </c>
      <c r="W508" s="79">
        <f>IF(T508="","",IF(U508&lt;0,2,IF(U508&lt;=30,1,0)))</f>
        <v/>
      </c>
      <c r="X508" s="112">
        <f>IF(T508="","",T508)</f>
        <v/>
      </c>
      <c r="Y508" s="79">
        <f>IF(X508="","",IF(X508&lt;=AsOf+AlertDays,2,IF(X508&lt;=AsOf+30,3,"")))</f>
        <v/>
      </c>
      <c r="Z508" s="79">
        <f>IF(Y508="","",IF(U508&lt;0,"Maintenance overdue: ","Maintenance due: ")&amp;P508)</f>
        <v/>
      </c>
    </row>
    <row r="509" ht="20" customHeight="1">
      <c r="B509" s="72" t="n"/>
      <c r="C509" s="72" t="n"/>
      <c r="D509" s="72" t="n"/>
      <c r="E509" s="109" t="n"/>
      <c r="F509" s="74" t="n"/>
      <c r="G509" s="126">
        <f>IF(OR(E509="",F509=""),"",DATE(YEAR(E509),MONTH(E509)+ROUND(F509*12,0),DAY(E509)))</f>
        <v/>
      </c>
      <c r="H509" s="144">
        <f>IF(G509="","",G509-AsOf)</f>
        <v/>
      </c>
      <c r="I509" s="107">
        <f>IF(G509="","",IF(H509&lt;0,"Expired",IF(H509&lt;=90,"Expires soon","Active")))</f>
        <v/>
      </c>
      <c r="J509" s="72" t="n"/>
      <c r="K509" s="79">
        <f>IF(I509="","",IF(I509="Active",0,IF(I509="Expires soon",1,3)))</f>
        <v/>
      </c>
      <c r="L509" s="112">
        <f>IF(G509="","",IF(G509&lt;AsOf,"",G509))</f>
        <v/>
      </c>
      <c r="M509" s="79">
        <f>IF(L509="","",IF(L509&lt;=AsOf+AlertDays,2,IF(L509&lt;=AsOf+90,3,"")))</f>
        <v/>
      </c>
      <c r="N509" s="79">
        <f>IF(M509="","","Warranty expires in "&amp;H509&amp;" days: "&amp;B509&amp;IF(C509="",""," ("&amp;C509&amp;")")&amp;" — check for defects")</f>
        <v/>
      </c>
      <c r="P509" s="72" t="n"/>
      <c r="Q509" s="72" t="n"/>
      <c r="R509" s="89" t="n"/>
      <c r="S509" s="109" t="n"/>
      <c r="T509" s="126">
        <f>IF(OR(R509="",S509=""),"",DATE(YEAR(S509),MONTH(S509)+R509,DAY(S509)))</f>
        <v/>
      </c>
      <c r="U509" s="144">
        <f>IF(T509="","",T509-AsOf)</f>
        <v/>
      </c>
      <c r="V509" s="107">
        <f>IF(T509="",IF(P509="","","Enter last-done date"),IF(U509&lt;0,"Overdue",IF(U509&lt;=30,"Due soon","OK")))</f>
        <v/>
      </c>
      <c r="W509" s="79">
        <f>IF(T509="","",IF(U509&lt;0,2,IF(U509&lt;=30,1,0)))</f>
        <v/>
      </c>
      <c r="X509" s="112">
        <f>IF(T509="","",T509)</f>
        <v/>
      </c>
      <c r="Y509" s="79">
        <f>IF(X509="","",IF(X509&lt;=AsOf+AlertDays,2,IF(X509&lt;=AsOf+30,3,"")))</f>
        <v/>
      </c>
      <c r="Z509" s="79">
        <f>IF(Y509="","",IF(U509&lt;0,"Maintenance overdue: ","Maintenance due: ")&amp;P509)</f>
        <v/>
      </c>
    </row>
    <row r="510" ht="20" customHeight="1">
      <c r="B510" s="72" t="n"/>
      <c r="C510" s="72" t="n"/>
      <c r="D510" s="72" t="n"/>
      <c r="E510" s="109" t="n"/>
      <c r="F510" s="74" t="n"/>
      <c r="G510" s="126">
        <f>IF(OR(E510="",F510=""),"",DATE(YEAR(E510),MONTH(E510)+ROUND(F510*12,0),DAY(E510)))</f>
        <v/>
      </c>
      <c r="H510" s="144">
        <f>IF(G510="","",G510-AsOf)</f>
        <v/>
      </c>
      <c r="I510" s="107">
        <f>IF(G510="","",IF(H510&lt;0,"Expired",IF(H510&lt;=90,"Expires soon","Active")))</f>
        <v/>
      </c>
      <c r="J510" s="72" t="n"/>
      <c r="K510" s="79">
        <f>IF(I510="","",IF(I510="Active",0,IF(I510="Expires soon",1,3)))</f>
        <v/>
      </c>
      <c r="L510" s="112">
        <f>IF(G510="","",IF(G510&lt;AsOf,"",G510))</f>
        <v/>
      </c>
      <c r="M510" s="79">
        <f>IF(L510="","",IF(L510&lt;=AsOf+AlertDays,2,IF(L510&lt;=AsOf+90,3,"")))</f>
        <v/>
      </c>
      <c r="N510" s="79">
        <f>IF(M510="","","Warranty expires in "&amp;H510&amp;" days: "&amp;B510&amp;IF(C510="",""," ("&amp;C510&amp;")")&amp;" — check for defects")</f>
        <v/>
      </c>
      <c r="P510" s="72" t="n"/>
      <c r="Q510" s="72" t="n"/>
      <c r="R510" s="89" t="n"/>
      <c r="S510" s="109" t="n"/>
      <c r="T510" s="126">
        <f>IF(OR(R510="",S510=""),"",DATE(YEAR(S510),MONTH(S510)+R510,DAY(S510)))</f>
        <v/>
      </c>
      <c r="U510" s="144">
        <f>IF(T510="","",T510-AsOf)</f>
        <v/>
      </c>
      <c r="V510" s="107">
        <f>IF(T510="",IF(P510="","","Enter last-done date"),IF(U510&lt;0,"Overdue",IF(U510&lt;=30,"Due soon","OK")))</f>
        <v/>
      </c>
      <c r="W510" s="79">
        <f>IF(T510="","",IF(U510&lt;0,2,IF(U510&lt;=30,1,0)))</f>
        <v/>
      </c>
      <c r="X510" s="112">
        <f>IF(T510="","",T510)</f>
        <v/>
      </c>
      <c r="Y510" s="79">
        <f>IF(X510="","",IF(X510&lt;=AsOf+AlertDays,2,IF(X510&lt;=AsOf+30,3,"")))</f>
        <v/>
      </c>
      <c r="Z510" s="79">
        <f>IF(Y510="","",IF(U510&lt;0,"Maintenance overdue: ","Maintenance due: ")&amp;P510)</f>
        <v/>
      </c>
    </row>
    <row r="511" ht="20" customHeight="1">
      <c r="B511" s="72" t="n"/>
      <c r="C511" s="72" t="n"/>
      <c r="D511" s="72" t="n"/>
      <c r="E511" s="109" t="n"/>
      <c r="F511" s="74" t="n"/>
      <c r="G511" s="126">
        <f>IF(OR(E511="",F511=""),"",DATE(YEAR(E511),MONTH(E511)+ROUND(F511*12,0),DAY(E511)))</f>
        <v/>
      </c>
      <c r="H511" s="144">
        <f>IF(G511="","",G511-AsOf)</f>
        <v/>
      </c>
      <c r="I511" s="107">
        <f>IF(G511="","",IF(H511&lt;0,"Expired",IF(H511&lt;=90,"Expires soon","Active")))</f>
        <v/>
      </c>
      <c r="J511" s="72" t="n"/>
      <c r="K511" s="79">
        <f>IF(I511="","",IF(I511="Active",0,IF(I511="Expires soon",1,3)))</f>
        <v/>
      </c>
      <c r="L511" s="112">
        <f>IF(G511="","",IF(G511&lt;AsOf,"",G511))</f>
        <v/>
      </c>
      <c r="M511" s="79">
        <f>IF(L511="","",IF(L511&lt;=AsOf+AlertDays,2,IF(L511&lt;=AsOf+90,3,"")))</f>
        <v/>
      </c>
      <c r="N511" s="79">
        <f>IF(M511="","","Warranty expires in "&amp;H511&amp;" days: "&amp;B511&amp;IF(C511="",""," ("&amp;C511&amp;")")&amp;" — check for defects")</f>
        <v/>
      </c>
      <c r="P511" s="72" t="n"/>
      <c r="Q511" s="72" t="n"/>
      <c r="R511" s="89" t="n"/>
      <c r="S511" s="109" t="n"/>
      <c r="T511" s="126">
        <f>IF(OR(R511="",S511=""),"",DATE(YEAR(S511),MONTH(S511)+R511,DAY(S511)))</f>
        <v/>
      </c>
      <c r="U511" s="144">
        <f>IF(T511="","",T511-AsOf)</f>
        <v/>
      </c>
      <c r="V511" s="107">
        <f>IF(T511="",IF(P511="","","Enter last-done date"),IF(U511&lt;0,"Overdue",IF(U511&lt;=30,"Due soon","OK")))</f>
        <v/>
      </c>
      <c r="W511" s="79">
        <f>IF(T511="","",IF(U511&lt;0,2,IF(U511&lt;=30,1,0)))</f>
        <v/>
      </c>
      <c r="X511" s="112">
        <f>IF(T511="","",T511)</f>
        <v/>
      </c>
      <c r="Y511" s="79">
        <f>IF(X511="","",IF(X511&lt;=AsOf+AlertDays,2,IF(X511&lt;=AsOf+30,3,"")))</f>
        <v/>
      </c>
      <c r="Z511" s="79">
        <f>IF(Y511="","",IF(U511&lt;0,"Maintenance overdue: ","Maintenance due: ")&amp;P511)</f>
        <v/>
      </c>
    </row>
    <row r="512" ht="20" customHeight="1">
      <c r="B512" s="72" t="n"/>
      <c r="C512" s="72" t="n"/>
      <c r="D512" s="72" t="n"/>
      <c r="E512" s="109" t="n"/>
      <c r="F512" s="74" t="n"/>
      <c r="G512" s="126">
        <f>IF(OR(E512="",F512=""),"",DATE(YEAR(E512),MONTH(E512)+ROUND(F512*12,0),DAY(E512)))</f>
        <v/>
      </c>
      <c r="H512" s="144">
        <f>IF(G512="","",G512-AsOf)</f>
        <v/>
      </c>
      <c r="I512" s="107">
        <f>IF(G512="","",IF(H512&lt;0,"Expired",IF(H512&lt;=90,"Expires soon","Active")))</f>
        <v/>
      </c>
      <c r="J512" s="72" t="n"/>
      <c r="K512" s="79">
        <f>IF(I512="","",IF(I512="Active",0,IF(I512="Expires soon",1,3)))</f>
        <v/>
      </c>
      <c r="L512" s="112">
        <f>IF(G512="","",IF(G512&lt;AsOf,"",G512))</f>
        <v/>
      </c>
      <c r="M512" s="79">
        <f>IF(L512="","",IF(L512&lt;=AsOf+AlertDays,2,IF(L512&lt;=AsOf+90,3,"")))</f>
        <v/>
      </c>
      <c r="N512" s="79">
        <f>IF(M512="","","Warranty expires in "&amp;H512&amp;" days: "&amp;B512&amp;IF(C512="",""," ("&amp;C512&amp;")")&amp;" — check for defects")</f>
        <v/>
      </c>
      <c r="P512" s="72" t="n"/>
      <c r="Q512" s="72" t="n"/>
      <c r="R512" s="89" t="n"/>
      <c r="S512" s="109" t="n"/>
      <c r="T512" s="126">
        <f>IF(OR(R512="",S512=""),"",DATE(YEAR(S512),MONTH(S512)+R512,DAY(S512)))</f>
        <v/>
      </c>
      <c r="U512" s="144">
        <f>IF(T512="","",T512-AsOf)</f>
        <v/>
      </c>
      <c r="V512" s="107">
        <f>IF(T512="",IF(P512="","","Enter last-done date"),IF(U512&lt;0,"Overdue",IF(U512&lt;=30,"Due soon","OK")))</f>
        <v/>
      </c>
      <c r="W512" s="79">
        <f>IF(T512="","",IF(U512&lt;0,2,IF(U512&lt;=30,1,0)))</f>
        <v/>
      </c>
      <c r="X512" s="112">
        <f>IF(T512="","",T512)</f>
        <v/>
      </c>
      <c r="Y512" s="79">
        <f>IF(X512="","",IF(X512&lt;=AsOf+AlertDays,2,IF(X512&lt;=AsOf+30,3,"")))</f>
        <v/>
      </c>
      <c r="Z512" s="79">
        <f>IF(Y512="","",IF(U512&lt;0,"Maintenance overdue: ","Maintenance due: ")&amp;P512)</f>
        <v/>
      </c>
    </row>
    <row r="513" ht="20" customHeight="1">
      <c r="B513" s="72" t="n"/>
      <c r="C513" s="72" t="n"/>
      <c r="D513" s="72" t="n"/>
      <c r="E513" s="109" t="n"/>
      <c r="F513" s="74" t="n"/>
      <c r="G513" s="126">
        <f>IF(OR(E513="",F513=""),"",DATE(YEAR(E513),MONTH(E513)+ROUND(F513*12,0),DAY(E513)))</f>
        <v/>
      </c>
      <c r="H513" s="144">
        <f>IF(G513="","",G513-AsOf)</f>
        <v/>
      </c>
      <c r="I513" s="107">
        <f>IF(G513="","",IF(H513&lt;0,"Expired",IF(H513&lt;=90,"Expires soon","Active")))</f>
        <v/>
      </c>
      <c r="J513" s="72" t="n"/>
      <c r="K513" s="79">
        <f>IF(I513="","",IF(I513="Active",0,IF(I513="Expires soon",1,3)))</f>
        <v/>
      </c>
      <c r="L513" s="112">
        <f>IF(G513="","",IF(G513&lt;AsOf,"",G513))</f>
        <v/>
      </c>
      <c r="M513" s="79">
        <f>IF(L513="","",IF(L513&lt;=AsOf+AlertDays,2,IF(L513&lt;=AsOf+90,3,"")))</f>
        <v/>
      </c>
      <c r="N513" s="79">
        <f>IF(M513="","","Warranty expires in "&amp;H513&amp;" days: "&amp;B513&amp;IF(C513="",""," ("&amp;C513&amp;")")&amp;" — check for defects")</f>
        <v/>
      </c>
      <c r="P513" s="72" t="n"/>
      <c r="Q513" s="72" t="n"/>
      <c r="R513" s="89" t="n"/>
      <c r="S513" s="109" t="n"/>
      <c r="T513" s="126">
        <f>IF(OR(R513="",S513=""),"",DATE(YEAR(S513),MONTH(S513)+R513,DAY(S513)))</f>
        <v/>
      </c>
      <c r="U513" s="144">
        <f>IF(T513="","",T513-AsOf)</f>
        <v/>
      </c>
      <c r="V513" s="107">
        <f>IF(T513="",IF(P513="","","Enter last-done date"),IF(U513&lt;0,"Overdue",IF(U513&lt;=30,"Due soon","OK")))</f>
        <v/>
      </c>
      <c r="W513" s="79">
        <f>IF(T513="","",IF(U513&lt;0,2,IF(U513&lt;=30,1,0)))</f>
        <v/>
      </c>
      <c r="X513" s="112">
        <f>IF(T513="","",T513)</f>
        <v/>
      </c>
      <c r="Y513" s="79">
        <f>IF(X513="","",IF(X513&lt;=AsOf+AlertDays,2,IF(X513&lt;=AsOf+30,3,"")))</f>
        <v/>
      </c>
      <c r="Z513" s="79">
        <f>IF(Y513="","",IF(U513&lt;0,"Maintenance overdue: ","Maintenance due: ")&amp;P513)</f>
        <v/>
      </c>
    </row>
    <row r="514" ht="20" customHeight="1">
      <c r="B514" s="72" t="n"/>
      <c r="C514" s="72" t="n"/>
      <c r="D514" s="72" t="n"/>
      <c r="E514" s="109" t="n"/>
      <c r="F514" s="74" t="n"/>
      <c r="G514" s="126">
        <f>IF(OR(E514="",F514=""),"",DATE(YEAR(E514),MONTH(E514)+ROUND(F514*12,0),DAY(E514)))</f>
        <v/>
      </c>
      <c r="H514" s="144">
        <f>IF(G514="","",G514-AsOf)</f>
        <v/>
      </c>
      <c r="I514" s="107">
        <f>IF(G514="","",IF(H514&lt;0,"Expired",IF(H514&lt;=90,"Expires soon","Active")))</f>
        <v/>
      </c>
      <c r="J514" s="72" t="n"/>
      <c r="K514" s="79">
        <f>IF(I514="","",IF(I514="Active",0,IF(I514="Expires soon",1,3)))</f>
        <v/>
      </c>
      <c r="L514" s="112">
        <f>IF(G514="","",IF(G514&lt;AsOf,"",G514))</f>
        <v/>
      </c>
      <c r="M514" s="79">
        <f>IF(L514="","",IF(L514&lt;=AsOf+AlertDays,2,IF(L514&lt;=AsOf+90,3,"")))</f>
        <v/>
      </c>
      <c r="N514" s="79">
        <f>IF(M514="","","Warranty expires in "&amp;H514&amp;" days: "&amp;B514&amp;IF(C514="",""," ("&amp;C514&amp;")")&amp;" — check for defects")</f>
        <v/>
      </c>
      <c r="P514" s="72" t="n"/>
      <c r="Q514" s="72" t="n"/>
      <c r="R514" s="89" t="n"/>
      <c r="S514" s="109" t="n"/>
      <c r="T514" s="126">
        <f>IF(OR(R514="",S514=""),"",DATE(YEAR(S514),MONTH(S514)+R514,DAY(S514)))</f>
        <v/>
      </c>
      <c r="U514" s="144">
        <f>IF(T514="","",T514-AsOf)</f>
        <v/>
      </c>
      <c r="V514" s="107">
        <f>IF(T514="",IF(P514="","","Enter last-done date"),IF(U514&lt;0,"Overdue",IF(U514&lt;=30,"Due soon","OK")))</f>
        <v/>
      </c>
      <c r="W514" s="79">
        <f>IF(T514="","",IF(U514&lt;0,2,IF(U514&lt;=30,1,0)))</f>
        <v/>
      </c>
      <c r="X514" s="112">
        <f>IF(T514="","",T514)</f>
        <v/>
      </c>
      <c r="Y514" s="79">
        <f>IF(X514="","",IF(X514&lt;=AsOf+AlertDays,2,IF(X514&lt;=AsOf+30,3,"")))</f>
        <v/>
      </c>
      <c r="Z514" s="79">
        <f>IF(Y514="","",IF(U514&lt;0,"Maintenance overdue: ","Maintenance due: ")&amp;P514)</f>
        <v/>
      </c>
    </row>
    <row r="515" ht="20" customHeight="1">
      <c r="B515" s="72" t="n"/>
      <c r="C515" s="72" t="n"/>
      <c r="D515" s="72" t="n"/>
      <c r="E515" s="109" t="n"/>
      <c r="F515" s="74" t="n"/>
      <c r="G515" s="126">
        <f>IF(OR(E515="",F515=""),"",DATE(YEAR(E515),MONTH(E515)+ROUND(F515*12,0),DAY(E515)))</f>
        <v/>
      </c>
      <c r="H515" s="144">
        <f>IF(G515="","",G515-AsOf)</f>
        <v/>
      </c>
      <c r="I515" s="107">
        <f>IF(G515="","",IF(H515&lt;0,"Expired",IF(H515&lt;=90,"Expires soon","Active")))</f>
        <v/>
      </c>
      <c r="J515" s="72" t="n"/>
      <c r="K515" s="79">
        <f>IF(I515="","",IF(I515="Active",0,IF(I515="Expires soon",1,3)))</f>
        <v/>
      </c>
      <c r="L515" s="112">
        <f>IF(G515="","",IF(G515&lt;AsOf,"",G515))</f>
        <v/>
      </c>
      <c r="M515" s="79">
        <f>IF(L515="","",IF(L515&lt;=AsOf+AlertDays,2,IF(L515&lt;=AsOf+90,3,"")))</f>
        <v/>
      </c>
      <c r="N515" s="79">
        <f>IF(M515="","","Warranty expires in "&amp;H515&amp;" days: "&amp;B515&amp;IF(C515="",""," ("&amp;C515&amp;")")&amp;" — check for defects")</f>
        <v/>
      </c>
      <c r="P515" s="72" t="n"/>
      <c r="Q515" s="72" t="n"/>
      <c r="R515" s="89" t="n"/>
      <c r="S515" s="109" t="n"/>
      <c r="T515" s="126">
        <f>IF(OR(R515="",S515=""),"",DATE(YEAR(S515),MONTH(S515)+R515,DAY(S515)))</f>
        <v/>
      </c>
      <c r="U515" s="144">
        <f>IF(T515="","",T515-AsOf)</f>
        <v/>
      </c>
      <c r="V515" s="107">
        <f>IF(T515="",IF(P515="","","Enter last-done date"),IF(U515&lt;0,"Overdue",IF(U515&lt;=30,"Due soon","OK")))</f>
        <v/>
      </c>
      <c r="W515" s="79">
        <f>IF(T515="","",IF(U515&lt;0,2,IF(U515&lt;=30,1,0)))</f>
        <v/>
      </c>
      <c r="X515" s="112">
        <f>IF(T515="","",T515)</f>
        <v/>
      </c>
      <c r="Y515" s="79">
        <f>IF(X515="","",IF(X515&lt;=AsOf+AlertDays,2,IF(X515&lt;=AsOf+30,3,"")))</f>
        <v/>
      </c>
      <c r="Z515" s="79">
        <f>IF(Y515="","",IF(U515&lt;0,"Maintenance overdue: ","Maintenance due: ")&amp;P515)</f>
        <v/>
      </c>
    </row>
    <row r="516" ht="20" customHeight="1">
      <c r="B516" s="72" t="n"/>
      <c r="C516" s="72" t="n"/>
      <c r="D516" s="72" t="n"/>
      <c r="E516" s="109" t="n"/>
      <c r="F516" s="74" t="n"/>
      <c r="G516" s="126">
        <f>IF(OR(E516="",F516=""),"",DATE(YEAR(E516),MONTH(E516)+ROUND(F516*12,0),DAY(E516)))</f>
        <v/>
      </c>
      <c r="H516" s="144">
        <f>IF(G516="","",G516-AsOf)</f>
        <v/>
      </c>
      <c r="I516" s="107">
        <f>IF(G516="","",IF(H516&lt;0,"Expired",IF(H516&lt;=90,"Expires soon","Active")))</f>
        <v/>
      </c>
      <c r="J516" s="72" t="n"/>
      <c r="K516" s="79">
        <f>IF(I516="","",IF(I516="Active",0,IF(I516="Expires soon",1,3)))</f>
        <v/>
      </c>
      <c r="L516" s="112">
        <f>IF(G516="","",IF(G516&lt;AsOf,"",G516))</f>
        <v/>
      </c>
      <c r="M516" s="79">
        <f>IF(L516="","",IF(L516&lt;=AsOf+AlertDays,2,IF(L516&lt;=AsOf+90,3,"")))</f>
        <v/>
      </c>
      <c r="N516" s="79">
        <f>IF(M516="","","Warranty expires in "&amp;H516&amp;" days: "&amp;B516&amp;IF(C516="",""," ("&amp;C516&amp;")")&amp;" — check for defects")</f>
        <v/>
      </c>
      <c r="P516" s="72" t="n"/>
      <c r="Q516" s="72" t="n"/>
      <c r="R516" s="89" t="n"/>
      <c r="S516" s="109" t="n"/>
      <c r="T516" s="126">
        <f>IF(OR(R516="",S516=""),"",DATE(YEAR(S516),MONTH(S516)+R516,DAY(S516)))</f>
        <v/>
      </c>
      <c r="U516" s="144">
        <f>IF(T516="","",T516-AsOf)</f>
        <v/>
      </c>
      <c r="V516" s="107">
        <f>IF(T516="",IF(P516="","","Enter last-done date"),IF(U516&lt;0,"Overdue",IF(U516&lt;=30,"Due soon","OK")))</f>
        <v/>
      </c>
      <c r="W516" s="79">
        <f>IF(T516="","",IF(U516&lt;0,2,IF(U516&lt;=30,1,0)))</f>
        <v/>
      </c>
      <c r="X516" s="112">
        <f>IF(T516="","",T516)</f>
        <v/>
      </c>
      <c r="Y516" s="79">
        <f>IF(X516="","",IF(X516&lt;=AsOf+AlertDays,2,IF(X516&lt;=AsOf+30,3,"")))</f>
        <v/>
      </c>
      <c r="Z516" s="79">
        <f>IF(Y516="","",IF(U516&lt;0,"Maintenance overdue: ","Maintenance due: ")&amp;P516)</f>
        <v/>
      </c>
    </row>
    <row r="517" ht="20" customHeight="1">
      <c r="B517" s="72" t="n"/>
      <c r="C517" s="72" t="n"/>
      <c r="D517" s="72" t="n"/>
      <c r="E517" s="109" t="n"/>
      <c r="F517" s="74" t="n"/>
      <c r="G517" s="126">
        <f>IF(OR(E517="",F517=""),"",DATE(YEAR(E517),MONTH(E517)+ROUND(F517*12,0),DAY(E517)))</f>
        <v/>
      </c>
      <c r="H517" s="144">
        <f>IF(G517="","",G517-AsOf)</f>
        <v/>
      </c>
      <c r="I517" s="107">
        <f>IF(G517="","",IF(H517&lt;0,"Expired",IF(H517&lt;=90,"Expires soon","Active")))</f>
        <v/>
      </c>
      <c r="J517" s="72" t="n"/>
      <c r="K517" s="79">
        <f>IF(I517="","",IF(I517="Active",0,IF(I517="Expires soon",1,3)))</f>
        <v/>
      </c>
      <c r="L517" s="112">
        <f>IF(G517="","",IF(G517&lt;AsOf,"",G517))</f>
        <v/>
      </c>
      <c r="M517" s="79">
        <f>IF(L517="","",IF(L517&lt;=AsOf+AlertDays,2,IF(L517&lt;=AsOf+90,3,"")))</f>
        <v/>
      </c>
      <c r="N517" s="79">
        <f>IF(M517="","","Warranty expires in "&amp;H517&amp;" days: "&amp;B517&amp;IF(C517="",""," ("&amp;C517&amp;")")&amp;" — check for defects")</f>
        <v/>
      </c>
      <c r="P517" s="72" t="n"/>
      <c r="Q517" s="72" t="n"/>
      <c r="R517" s="89" t="n"/>
      <c r="S517" s="109" t="n"/>
      <c r="T517" s="126">
        <f>IF(OR(R517="",S517=""),"",DATE(YEAR(S517),MONTH(S517)+R517,DAY(S517)))</f>
        <v/>
      </c>
      <c r="U517" s="144">
        <f>IF(T517="","",T517-AsOf)</f>
        <v/>
      </c>
      <c r="V517" s="107">
        <f>IF(T517="",IF(P517="","","Enter last-done date"),IF(U517&lt;0,"Overdue",IF(U517&lt;=30,"Due soon","OK")))</f>
        <v/>
      </c>
      <c r="W517" s="79">
        <f>IF(T517="","",IF(U517&lt;0,2,IF(U517&lt;=30,1,0)))</f>
        <v/>
      </c>
      <c r="X517" s="112">
        <f>IF(T517="","",T517)</f>
        <v/>
      </c>
      <c r="Y517" s="79">
        <f>IF(X517="","",IF(X517&lt;=AsOf+AlertDays,2,IF(X517&lt;=AsOf+30,3,"")))</f>
        <v/>
      </c>
      <c r="Z517" s="79">
        <f>IF(Y517="","",IF(U517&lt;0,"Maintenance overdue: ","Maintenance due: ")&amp;P517)</f>
        <v/>
      </c>
    </row>
    <row r="518" ht="20" customHeight="1">
      <c r="B518" s="72" t="n"/>
      <c r="C518" s="72" t="n"/>
      <c r="D518" s="72" t="n"/>
      <c r="E518" s="109" t="n"/>
      <c r="F518" s="74" t="n"/>
      <c r="G518" s="126">
        <f>IF(OR(E518="",F518=""),"",DATE(YEAR(E518),MONTH(E518)+ROUND(F518*12,0),DAY(E518)))</f>
        <v/>
      </c>
      <c r="H518" s="144">
        <f>IF(G518="","",G518-AsOf)</f>
        <v/>
      </c>
      <c r="I518" s="107">
        <f>IF(G518="","",IF(H518&lt;0,"Expired",IF(H518&lt;=90,"Expires soon","Active")))</f>
        <v/>
      </c>
      <c r="J518" s="72" t="n"/>
      <c r="K518" s="79">
        <f>IF(I518="","",IF(I518="Active",0,IF(I518="Expires soon",1,3)))</f>
        <v/>
      </c>
      <c r="L518" s="112">
        <f>IF(G518="","",IF(G518&lt;AsOf,"",G518))</f>
        <v/>
      </c>
      <c r="M518" s="79">
        <f>IF(L518="","",IF(L518&lt;=AsOf+AlertDays,2,IF(L518&lt;=AsOf+90,3,"")))</f>
        <v/>
      </c>
      <c r="N518" s="79">
        <f>IF(M518="","","Warranty expires in "&amp;H518&amp;" days: "&amp;B518&amp;IF(C518="",""," ("&amp;C518&amp;")")&amp;" — check for defects")</f>
        <v/>
      </c>
      <c r="P518" s="72" t="n"/>
      <c r="Q518" s="72" t="n"/>
      <c r="R518" s="89" t="n"/>
      <c r="S518" s="109" t="n"/>
      <c r="T518" s="126">
        <f>IF(OR(R518="",S518=""),"",DATE(YEAR(S518),MONTH(S518)+R518,DAY(S518)))</f>
        <v/>
      </c>
      <c r="U518" s="144">
        <f>IF(T518="","",T518-AsOf)</f>
        <v/>
      </c>
      <c r="V518" s="107">
        <f>IF(T518="",IF(P518="","","Enter last-done date"),IF(U518&lt;0,"Overdue",IF(U518&lt;=30,"Due soon","OK")))</f>
        <v/>
      </c>
      <c r="W518" s="79">
        <f>IF(T518="","",IF(U518&lt;0,2,IF(U518&lt;=30,1,0)))</f>
        <v/>
      </c>
      <c r="X518" s="112">
        <f>IF(T518="","",T518)</f>
        <v/>
      </c>
      <c r="Y518" s="79">
        <f>IF(X518="","",IF(X518&lt;=AsOf+AlertDays,2,IF(X518&lt;=AsOf+30,3,"")))</f>
        <v/>
      </c>
      <c r="Z518" s="79">
        <f>IF(Y518="","",IF(U518&lt;0,"Maintenance overdue: ","Maintenance due: ")&amp;P518)</f>
        <v/>
      </c>
    </row>
    <row r="519" ht="20" customHeight="1">
      <c r="B519" s="72" t="n"/>
      <c r="C519" s="72" t="n"/>
      <c r="D519" s="72" t="n"/>
      <c r="E519" s="109" t="n"/>
      <c r="F519" s="74" t="n"/>
      <c r="G519" s="126">
        <f>IF(OR(E519="",F519=""),"",DATE(YEAR(E519),MONTH(E519)+ROUND(F519*12,0),DAY(E519)))</f>
        <v/>
      </c>
      <c r="H519" s="144">
        <f>IF(G519="","",G519-AsOf)</f>
        <v/>
      </c>
      <c r="I519" s="107">
        <f>IF(G519="","",IF(H519&lt;0,"Expired",IF(H519&lt;=90,"Expires soon","Active")))</f>
        <v/>
      </c>
      <c r="J519" s="72" t="n"/>
      <c r="K519" s="79">
        <f>IF(I519="","",IF(I519="Active",0,IF(I519="Expires soon",1,3)))</f>
        <v/>
      </c>
      <c r="L519" s="112">
        <f>IF(G519="","",IF(G519&lt;AsOf,"",G519))</f>
        <v/>
      </c>
      <c r="M519" s="79">
        <f>IF(L519="","",IF(L519&lt;=AsOf+AlertDays,2,IF(L519&lt;=AsOf+90,3,"")))</f>
        <v/>
      </c>
      <c r="N519" s="79">
        <f>IF(M519="","","Warranty expires in "&amp;H519&amp;" days: "&amp;B519&amp;IF(C519="",""," ("&amp;C519&amp;")")&amp;" — check for defects")</f>
        <v/>
      </c>
      <c r="P519" s="72" t="n"/>
      <c r="Q519" s="72" t="n"/>
      <c r="R519" s="89" t="n"/>
      <c r="S519" s="109" t="n"/>
      <c r="T519" s="126">
        <f>IF(OR(R519="",S519=""),"",DATE(YEAR(S519),MONTH(S519)+R519,DAY(S519)))</f>
        <v/>
      </c>
      <c r="U519" s="144">
        <f>IF(T519="","",T519-AsOf)</f>
        <v/>
      </c>
      <c r="V519" s="107">
        <f>IF(T519="",IF(P519="","","Enter last-done date"),IF(U519&lt;0,"Overdue",IF(U519&lt;=30,"Due soon","OK")))</f>
        <v/>
      </c>
      <c r="W519" s="79">
        <f>IF(T519="","",IF(U519&lt;0,2,IF(U519&lt;=30,1,0)))</f>
        <v/>
      </c>
      <c r="X519" s="112">
        <f>IF(T519="","",T519)</f>
        <v/>
      </c>
      <c r="Y519" s="79">
        <f>IF(X519="","",IF(X519&lt;=AsOf+AlertDays,2,IF(X519&lt;=AsOf+30,3,"")))</f>
        <v/>
      </c>
      <c r="Z519" s="79">
        <f>IF(Y519="","",IF(U519&lt;0,"Maintenance overdue: ","Maintenance due: ")&amp;P519)</f>
        <v/>
      </c>
    </row>
    <row r="520" ht="20" customHeight="1">
      <c r="B520" s="72" t="n"/>
      <c r="C520" s="72" t="n"/>
      <c r="D520" s="72" t="n"/>
      <c r="E520" s="109" t="n"/>
      <c r="F520" s="74" t="n"/>
      <c r="G520" s="126">
        <f>IF(OR(E520="",F520=""),"",DATE(YEAR(E520),MONTH(E520)+ROUND(F520*12,0),DAY(E520)))</f>
        <v/>
      </c>
      <c r="H520" s="144">
        <f>IF(G520="","",G520-AsOf)</f>
        <v/>
      </c>
      <c r="I520" s="107">
        <f>IF(G520="","",IF(H520&lt;0,"Expired",IF(H520&lt;=90,"Expires soon","Active")))</f>
        <v/>
      </c>
      <c r="J520" s="72" t="n"/>
      <c r="K520" s="79">
        <f>IF(I520="","",IF(I520="Active",0,IF(I520="Expires soon",1,3)))</f>
        <v/>
      </c>
      <c r="L520" s="112">
        <f>IF(G520="","",IF(G520&lt;AsOf,"",G520))</f>
        <v/>
      </c>
      <c r="M520" s="79">
        <f>IF(L520="","",IF(L520&lt;=AsOf+AlertDays,2,IF(L520&lt;=AsOf+90,3,"")))</f>
        <v/>
      </c>
      <c r="N520" s="79">
        <f>IF(M520="","","Warranty expires in "&amp;H520&amp;" days: "&amp;B520&amp;IF(C520="",""," ("&amp;C520&amp;")")&amp;" — check for defects")</f>
        <v/>
      </c>
      <c r="P520" s="72" t="n"/>
      <c r="Q520" s="72" t="n"/>
      <c r="R520" s="89" t="n"/>
      <c r="S520" s="109" t="n"/>
      <c r="T520" s="126">
        <f>IF(OR(R520="",S520=""),"",DATE(YEAR(S520),MONTH(S520)+R520,DAY(S520)))</f>
        <v/>
      </c>
      <c r="U520" s="144">
        <f>IF(T520="","",T520-AsOf)</f>
        <v/>
      </c>
      <c r="V520" s="107">
        <f>IF(T520="",IF(P520="","","Enter last-done date"),IF(U520&lt;0,"Overdue",IF(U520&lt;=30,"Due soon","OK")))</f>
        <v/>
      </c>
      <c r="W520" s="79">
        <f>IF(T520="","",IF(U520&lt;0,2,IF(U520&lt;=30,1,0)))</f>
        <v/>
      </c>
      <c r="X520" s="112">
        <f>IF(T520="","",T520)</f>
        <v/>
      </c>
      <c r="Y520" s="79">
        <f>IF(X520="","",IF(X520&lt;=AsOf+AlertDays,2,IF(X520&lt;=AsOf+30,3,"")))</f>
        <v/>
      </c>
      <c r="Z520" s="79">
        <f>IF(Y520="","",IF(U520&lt;0,"Maintenance overdue: ","Maintenance due: ")&amp;P520)</f>
        <v/>
      </c>
    </row>
    <row r="521" ht="20" customHeight="1">
      <c r="B521" s="72" t="n"/>
      <c r="C521" s="72" t="n"/>
      <c r="D521" s="72" t="n"/>
      <c r="E521" s="109" t="n"/>
      <c r="F521" s="74" t="n"/>
      <c r="G521" s="126">
        <f>IF(OR(E521="",F521=""),"",DATE(YEAR(E521),MONTH(E521)+ROUND(F521*12,0),DAY(E521)))</f>
        <v/>
      </c>
      <c r="H521" s="144">
        <f>IF(G521="","",G521-AsOf)</f>
        <v/>
      </c>
      <c r="I521" s="107">
        <f>IF(G521="","",IF(H521&lt;0,"Expired",IF(H521&lt;=90,"Expires soon","Active")))</f>
        <v/>
      </c>
      <c r="J521" s="72" t="n"/>
      <c r="K521" s="79">
        <f>IF(I521="","",IF(I521="Active",0,IF(I521="Expires soon",1,3)))</f>
        <v/>
      </c>
      <c r="L521" s="112">
        <f>IF(G521="","",IF(G521&lt;AsOf,"",G521))</f>
        <v/>
      </c>
      <c r="M521" s="79">
        <f>IF(L521="","",IF(L521&lt;=AsOf+AlertDays,2,IF(L521&lt;=AsOf+90,3,"")))</f>
        <v/>
      </c>
      <c r="N521" s="79">
        <f>IF(M521="","","Warranty expires in "&amp;H521&amp;" days: "&amp;B521&amp;IF(C521="",""," ("&amp;C521&amp;")")&amp;" — check for defects")</f>
        <v/>
      </c>
      <c r="P521" s="72" t="n"/>
      <c r="Q521" s="72" t="n"/>
      <c r="R521" s="89" t="n"/>
      <c r="S521" s="109" t="n"/>
      <c r="T521" s="126">
        <f>IF(OR(R521="",S521=""),"",DATE(YEAR(S521),MONTH(S521)+R521,DAY(S521)))</f>
        <v/>
      </c>
      <c r="U521" s="144">
        <f>IF(T521="","",T521-AsOf)</f>
        <v/>
      </c>
      <c r="V521" s="107">
        <f>IF(T521="",IF(P521="","","Enter last-done date"),IF(U521&lt;0,"Overdue",IF(U521&lt;=30,"Due soon","OK")))</f>
        <v/>
      </c>
      <c r="W521" s="79">
        <f>IF(T521="","",IF(U521&lt;0,2,IF(U521&lt;=30,1,0)))</f>
        <v/>
      </c>
      <c r="X521" s="112">
        <f>IF(T521="","",T521)</f>
        <v/>
      </c>
      <c r="Y521" s="79">
        <f>IF(X521="","",IF(X521&lt;=AsOf+AlertDays,2,IF(X521&lt;=AsOf+30,3,"")))</f>
        <v/>
      </c>
      <c r="Z521" s="79">
        <f>IF(Y521="","",IF(U521&lt;0,"Maintenance overdue: ","Maintenance due: ")&amp;P521)</f>
        <v/>
      </c>
    </row>
    <row r="522" ht="20" customHeight="1">
      <c r="B522" s="72" t="n"/>
      <c r="C522" s="72" t="n"/>
      <c r="D522" s="72" t="n"/>
      <c r="E522" s="109" t="n"/>
      <c r="F522" s="74" t="n"/>
      <c r="G522" s="126">
        <f>IF(OR(E522="",F522=""),"",DATE(YEAR(E522),MONTH(E522)+ROUND(F522*12,0),DAY(E522)))</f>
        <v/>
      </c>
      <c r="H522" s="144">
        <f>IF(G522="","",G522-AsOf)</f>
        <v/>
      </c>
      <c r="I522" s="107">
        <f>IF(G522="","",IF(H522&lt;0,"Expired",IF(H522&lt;=90,"Expires soon","Active")))</f>
        <v/>
      </c>
      <c r="J522" s="72" t="n"/>
      <c r="K522" s="79">
        <f>IF(I522="","",IF(I522="Active",0,IF(I522="Expires soon",1,3)))</f>
        <v/>
      </c>
      <c r="L522" s="112">
        <f>IF(G522="","",IF(G522&lt;AsOf,"",G522))</f>
        <v/>
      </c>
      <c r="M522" s="79">
        <f>IF(L522="","",IF(L522&lt;=AsOf+AlertDays,2,IF(L522&lt;=AsOf+90,3,"")))</f>
        <v/>
      </c>
      <c r="N522" s="79">
        <f>IF(M522="","","Warranty expires in "&amp;H522&amp;" days: "&amp;B522&amp;IF(C522="",""," ("&amp;C522&amp;")")&amp;" — check for defects")</f>
        <v/>
      </c>
      <c r="P522" s="72" t="n"/>
      <c r="Q522" s="72" t="n"/>
      <c r="R522" s="89" t="n"/>
      <c r="S522" s="109" t="n"/>
      <c r="T522" s="126">
        <f>IF(OR(R522="",S522=""),"",DATE(YEAR(S522),MONTH(S522)+R522,DAY(S522)))</f>
        <v/>
      </c>
      <c r="U522" s="144">
        <f>IF(T522="","",T522-AsOf)</f>
        <v/>
      </c>
      <c r="V522" s="107">
        <f>IF(T522="",IF(P522="","","Enter last-done date"),IF(U522&lt;0,"Overdue",IF(U522&lt;=30,"Due soon","OK")))</f>
        <v/>
      </c>
      <c r="W522" s="79">
        <f>IF(T522="","",IF(U522&lt;0,2,IF(U522&lt;=30,1,0)))</f>
        <v/>
      </c>
      <c r="X522" s="112">
        <f>IF(T522="","",T522)</f>
        <v/>
      </c>
      <c r="Y522" s="79">
        <f>IF(X522="","",IF(X522&lt;=AsOf+AlertDays,2,IF(X522&lt;=AsOf+30,3,"")))</f>
        <v/>
      </c>
      <c r="Z522" s="79">
        <f>IF(Y522="","",IF(U522&lt;0,"Maintenance overdue: ","Maintenance due: ")&amp;P522)</f>
        <v/>
      </c>
    </row>
    <row r="523" ht="20" customHeight="1">
      <c r="B523" s="72" t="n"/>
      <c r="C523" s="72" t="n"/>
      <c r="D523" s="72" t="n"/>
      <c r="E523" s="109" t="n"/>
      <c r="F523" s="74" t="n"/>
      <c r="G523" s="126">
        <f>IF(OR(E523="",F523=""),"",DATE(YEAR(E523),MONTH(E523)+ROUND(F523*12,0),DAY(E523)))</f>
        <v/>
      </c>
      <c r="H523" s="144">
        <f>IF(G523="","",G523-AsOf)</f>
        <v/>
      </c>
      <c r="I523" s="107">
        <f>IF(G523="","",IF(H523&lt;0,"Expired",IF(H523&lt;=90,"Expires soon","Active")))</f>
        <v/>
      </c>
      <c r="J523" s="72" t="n"/>
      <c r="K523" s="79">
        <f>IF(I523="","",IF(I523="Active",0,IF(I523="Expires soon",1,3)))</f>
        <v/>
      </c>
      <c r="L523" s="112">
        <f>IF(G523="","",IF(G523&lt;AsOf,"",G523))</f>
        <v/>
      </c>
      <c r="M523" s="79">
        <f>IF(L523="","",IF(L523&lt;=AsOf+AlertDays,2,IF(L523&lt;=AsOf+90,3,"")))</f>
        <v/>
      </c>
      <c r="N523" s="79">
        <f>IF(M523="","","Warranty expires in "&amp;H523&amp;" days: "&amp;B523&amp;IF(C523="",""," ("&amp;C523&amp;")")&amp;" — check for defects")</f>
        <v/>
      </c>
      <c r="P523" s="72" t="n"/>
      <c r="Q523" s="72" t="n"/>
      <c r="R523" s="89" t="n"/>
      <c r="S523" s="109" t="n"/>
      <c r="T523" s="126">
        <f>IF(OR(R523="",S523=""),"",DATE(YEAR(S523),MONTH(S523)+R523,DAY(S523)))</f>
        <v/>
      </c>
      <c r="U523" s="144">
        <f>IF(T523="","",T523-AsOf)</f>
        <v/>
      </c>
      <c r="V523" s="107">
        <f>IF(T523="",IF(P523="","","Enter last-done date"),IF(U523&lt;0,"Overdue",IF(U523&lt;=30,"Due soon","OK")))</f>
        <v/>
      </c>
      <c r="W523" s="79">
        <f>IF(T523="","",IF(U523&lt;0,2,IF(U523&lt;=30,1,0)))</f>
        <v/>
      </c>
      <c r="X523" s="112">
        <f>IF(T523="","",T523)</f>
        <v/>
      </c>
      <c r="Y523" s="79">
        <f>IF(X523="","",IF(X523&lt;=AsOf+AlertDays,2,IF(X523&lt;=AsOf+30,3,"")))</f>
        <v/>
      </c>
      <c r="Z523" s="79">
        <f>IF(Y523="","",IF(U523&lt;0,"Maintenance overdue: ","Maintenance due: ")&amp;P523)</f>
        <v/>
      </c>
    </row>
    <row r="524" ht="20" customHeight="1">
      <c r="B524" s="72" t="n"/>
      <c r="C524" s="72" t="n"/>
      <c r="D524" s="72" t="n"/>
      <c r="E524" s="109" t="n"/>
      <c r="F524" s="74" t="n"/>
      <c r="G524" s="126">
        <f>IF(OR(E524="",F524=""),"",DATE(YEAR(E524),MONTH(E524)+ROUND(F524*12,0),DAY(E524)))</f>
        <v/>
      </c>
      <c r="H524" s="144">
        <f>IF(G524="","",G524-AsOf)</f>
        <v/>
      </c>
      <c r="I524" s="107">
        <f>IF(G524="","",IF(H524&lt;0,"Expired",IF(H524&lt;=90,"Expires soon","Active")))</f>
        <v/>
      </c>
      <c r="J524" s="72" t="n"/>
      <c r="K524" s="79">
        <f>IF(I524="","",IF(I524="Active",0,IF(I524="Expires soon",1,3)))</f>
        <v/>
      </c>
      <c r="L524" s="112">
        <f>IF(G524="","",IF(G524&lt;AsOf,"",G524))</f>
        <v/>
      </c>
      <c r="M524" s="79">
        <f>IF(L524="","",IF(L524&lt;=AsOf+AlertDays,2,IF(L524&lt;=AsOf+90,3,"")))</f>
        <v/>
      </c>
      <c r="N524" s="79">
        <f>IF(M524="","","Warranty expires in "&amp;H524&amp;" days: "&amp;B524&amp;IF(C524="",""," ("&amp;C524&amp;")")&amp;" — check for defects")</f>
        <v/>
      </c>
      <c r="P524" s="72" t="n"/>
      <c r="Q524" s="72" t="n"/>
      <c r="R524" s="89" t="n"/>
      <c r="S524" s="109" t="n"/>
      <c r="T524" s="126">
        <f>IF(OR(R524="",S524=""),"",DATE(YEAR(S524),MONTH(S524)+R524,DAY(S524)))</f>
        <v/>
      </c>
      <c r="U524" s="144">
        <f>IF(T524="","",T524-AsOf)</f>
        <v/>
      </c>
      <c r="V524" s="107">
        <f>IF(T524="",IF(P524="","","Enter last-done date"),IF(U524&lt;0,"Overdue",IF(U524&lt;=30,"Due soon","OK")))</f>
        <v/>
      </c>
      <c r="W524" s="79">
        <f>IF(T524="","",IF(U524&lt;0,2,IF(U524&lt;=30,1,0)))</f>
        <v/>
      </c>
      <c r="X524" s="112">
        <f>IF(T524="","",T524)</f>
        <v/>
      </c>
      <c r="Y524" s="79">
        <f>IF(X524="","",IF(X524&lt;=AsOf+AlertDays,2,IF(X524&lt;=AsOf+30,3,"")))</f>
        <v/>
      </c>
      <c r="Z524" s="79">
        <f>IF(Y524="","",IF(U524&lt;0,"Maintenance overdue: ","Maintenance due: ")&amp;P524)</f>
        <v/>
      </c>
    </row>
    <row r="525" ht="20" customHeight="1">
      <c r="B525" s="72" t="n"/>
      <c r="C525" s="72" t="n"/>
      <c r="D525" s="72" t="n"/>
      <c r="E525" s="109" t="n"/>
      <c r="F525" s="74" t="n"/>
      <c r="G525" s="126">
        <f>IF(OR(E525="",F525=""),"",DATE(YEAR(E525),MONTH(E525)+ROUND(F525*12,0),DAY(E525)))</f>
        <v/>
      </c>
      <c r="H525" s="144">
        <f>IF(G525="","",G525-AsOf)</f>
        <v/>
      </c>
      <c r="I525" s="107">
        <f>IF(G525="","",IF(H525&lt;0,"Expired",IF(H525&lt;=90,"Expires soon","Active")))</f>
        <v/>
      </c>
      <c r="J525" s="72" t="n"/>
      <c r="K525" s="79">
        <f>IF(I525="","",IF(I525="Active",0,IF(I525="Expires soon",1,3)))</f>
        <v/>
      </c>
      <c r="L525" s="112">
        <f>IF(G525="","",IF(G525&lt;AsOf,"",G525))</f>
        <v/>
      </c>
      <c r="M525" s="79">
        <f>IF(L525="","",IF(L525&lt;=AsOf+AlertDays,2,IF(L525&lt;=AsOf+90,3,"")))</f>
        <v/>
      </c>
      <c r="N525" s="79">
        <f>IF(M525="","","Warranty expires in "&amp;H525&amp;" days: "&amp;B525&amp;IF(C525="",""," ("&amp;C525&amp;")")&amp;" — check for defects")</f>
        <v/>
      </c>
      <c r="P525" s="72" t="n"/>
      <c r="Q525" s="72" t="n"/>
      <c r="R525" s="89" t="n"/>
      <c r="S525" s="109" t="n"/>
      <c r="T525" s="126">
        <f>IF(OR(R525="",S525=""),"",DATE(YEAR(S525),MONTH(S525)+R525,DAY(S525)))</f>
        <v/>
      </c>
      <c r="U525" s="144">
        <f>IF(T525="","",T525-AsOf)</f>
        <v/>
      </c>
      <c r="V525" s="107">
        <f>IF(T525="",IF(P525="","","Enter last-done date"),IF(U525&lt;0,"Overdue",IF(U525&lt;=30,"Due soon","OK")))</f>
        <v/>
      </c>
      <c r="W525" s="79">
        <f>IF(T525="","",IF(U525&lt;0,2,IF(U525&lt;=30,1,0)))</f>
        <v/>
      </c>
      <c r="X525" s="112">
        <f>IF(T525="","",T525)</f>
        <v/>
      </c>
      <c r="Y525" s="79">
        <f>IF(X525="","",IF(X525&lt;=AsOf+AlertDays,2,IF(X525&lt;=AsOf+30,3,"")))</f>
        <v/>
      </c>
      <c r="Z525" s="79">
        <f>IF(Y525="","",IF(U525&lt;0,"Maintenance overdue: ","Maintenance due: ")&amp;P525)</f>
        <v/>
      </c>
    </row>
    <row r="526" ht="20" customHeight="1">
      <c r="B526" s="72" t="n"/>
      <c r="C526" s="72" t="n"/>
      <c r="D526" s="72" t="n"/>
      <c r="E526" s="109" t="n"/>
      <c r="F526" s="74" t="n"/>
      <c r="G526" s="126">
        <f>IF(OR(E526="",F526=""),"",DATE(YEAR(E526),MONTH(E526)+ROUND(F526*12,0),DAY(E526)))</f>
        <v/>
      </c>
      <c r="H526" s="144">
        <f>IF(G526="","",G526-AsOf)</f>
        <v/>
      </c>
      <c r="I526" s="107">
        <f>IF(G526="","",IF(H526&lt;0,"Expired",IF(H526&lt;=90,"Expires soon","Active")))</f>
        <v/>
      </c>
      <c r="J526" s="72" t="n"/>
      <c r="K526" s="79">
        <f>IF(I526="","",IF(I526="Active",0,IF(I526="Expires soon",1,3)))</f>
        <v/>
      </c>
      <c r="L526" s="112">
        <f>IF(G526="","",IF(G526&lt;AsOf,"",G526))</f>
        <v/>
      </c>
      <c r="M526" s="79">
        <f>IF(L526="","",IF(L526&lt;=AsOf+AlertDays,2,IF(L526&lt;=AsOf+90,3,"")))</f>
        <v/>
      </c>
      <c r="N526" s="79">
        <f>IF(M526="","","Warranty expires in "&amp;H526&amp;" days: "&amp;B526&amp;IF(C526="",""," ("&amp;C526&amp;")")&amp;" — check for defects")</f>
        <v/>
      </c>
      <c r="P526" s="72" t="n"/>
      <c r="Q526" s="72" t="n"/>
      <c r="R526" s="89" t="n"/>
      <c r="S526" s="109" t="n"/>
      <c r="T526" s="126">
        <f>IF(OR(R526="",S526=""),"",DATE(YEAR(S526),MONTH(S526)+R526,DAY(S526)))</f>
        <v/>
      </c>
      <c r="U526" s="144">
        <f>IF(T526="","",T526-AsOf)</f>
        <v/>
      </c>
      <c r="V526" s="107">
        <f>IF(T526="",IF(P526="","","Enter last-done date"),IF(U526&lt;0,"Overdue",IF(U526&lt;=30,"Due soon","OK")))</f>
        <v/>
      </c>
      <c r="W526" s="79">
        <f>IF(T526="","",IF(U526&lt;0,2,IF(U526&lt;=30,1,0)))</f>
        <v/>
      </c>
      <c r="X526" s="112">
        <f>IF(T526="","",T526)</f>
        <v/>
      </c>
      <c r="Y526" s="79">
        <f>IF(X526="","",IF(X526&lt;=AsOf+AlertDays,2,IF(X526&lt;=AsOf+30,3,"")))</f>
        <v/>
      </c>
      <c r="Z526" s="79">
        <f>IF(Y526="","",IF(U526&lt;0,"Maintenance overdue: ","Maintenance due: ")&amp;P526)</f>
        <v/>
      </c>
    </row>
    <row r="527" ht="20" customHeight="1">
      <c r="B527" s="72" t="n"/>
      <c r="C527" s="72" t="n"/>
      <c r="D527" s="72" t="n"/>
      <c r="E527" s="109" t="n"/>
      <c r="F527" s="74" t="n"/>
      <c r="G527" s="126">
        <f>IF(OR(E527="",F527=""),"",DATE(YEAR(E527),MONTH(E527)+ROUND(F527*12,0),DAY(E527)))</f>
        <v/>
      </c>
      <c r="H527" s="144">
        <f>IF(G527="","",G527-AsOf)</f>
        <v/>
      </c>
      <c r="I527" s="107">
        <f>IF(G527="","",IF(H527&lt;0,"Expired",IF(H527&lt;=90,"Expires soon","Active")))</f>
        <v/>
      </c>
      <c r="J527" s="72" t="n"/>
      <c r="K527" s="79">
        <f>IF(I527="","",IF(I527="Active",0,IF(I527="Expires soon",1,3)))</f>
        <v/>
      </c>
      <c r="L527" s="112">
        <f>IF(G527="","",IF(G527&lt;AsOf,"",G527))</f>
        <v/>
      </c>
      <c r="M527" s="79">
        <f>IF(L527="","",IF(L527&lt;=AsOf+AlertDays,2,IF(L527&lt;=AsOf+90,3,"")))</f>
        <v/>
      </c>
      <c r="N527" s="79">
        <f>IF(M527="","","Warranty expires in "&amp;H527&amp;" days: "&amp;B527&amp;IF(C527="",""," ("&amp;C527&amp;")")&amp;" — check for defects")</f>
        <v/>
      </c>
      <c r="P527" s="72" t="n"/>
      <c r="Q527" s="72" t="n"/>
      <c r="R527" s="89" t="n"/>
      <c r="S527" s="109" t="n"/>
      <c r="T527" s="126">
        <f>IF(OR(R527="",S527=""),"",DATE(YEAR(S527),MONTH(S527)+R527,DAY(S527)))</f>
        <v/>
      </c>
      <c r="U527" s="144">
        <f>IF(T527="","",T527-AsOf)</f>
        <v/>
      </c>
      <c r="V527" s="107">
        <f>IF(T527="",IF(P527="","","Enter last-done date"),IF(U527&lt;0,"Overdue",IF(U527&lt;=30,"Due soon","OK")))</f>
        <v/>
      </c>
      <c r="W527" s="79">
        <f>IF(T527="","",IF(U527&lt;0,2,IF(U527&lt;=30,1,0)))</f>
        <v/>
      </c>
      <c r="X527" s="112">
        <f>IF(T527="","",T527)</f>
        <v/>
      </c>
      <c r="Y527" s="79">
        <f>IF(X527="","",IF(X527&lt;=AsOf+AlertDays,2,IF(X527&lt;=AsOf+30,3,"")))</f>
        <v/>
      </c>
      <c r="Z527" s="79">
        <f>IF(Y527="","",IF(U527&lt;0,"Maintenance overdue: ","Maintenance due: ")&amp;P527)</f>
        <v/>
      </c>
    </row>
    <row r="528" ht="20" customHeight="1">
      <c r="B528" s="72" t="n"/>
      <c r="C528" s="72" t="n"/>
      <c r="D528" s="72" t="n"/>
      <c r="E528" s="109" t="n"/>
      <c r="F528" s="74" t="n"/>
      <c r="G528" s="126">
        <f>IF(OR(E528="",F528=""),"",DATE(YEAR(E528),MONTH(E528)+ROUND(F528*12,0),DAY(E528)))</f>
        <v/>
      </c>
      <c r="H528" s="144">
        <f>IF(G528="","",G528-AsOf)</f>
        <v/>
      </c>
      <c r="I528" s="107">
        <f>IF(G528="","",IF(H528&lt;0,"Expired",IF(H528&lt;=90,"Expires soon","Active")))</f>
        <v/>
      </c>
      <c r="J528" s="72" t="n"/>
      <c r="K528" s="79">
        <f>IF(I528="","",IF(I528="Active",0,IF(I528="Expires soon",1,3)))</f>
        <v/>
      </c>
      <c r="L528" s="112">
        <f>IF(G528="","",IF(G528&lt;AsOf,"",G528))</f>
        <v/>
      </c>
      <c r="M528" s="79">
        <f>IF(L528="","",IF(L528&lt;=AsOf+AlertDays,2,IF(L528&lt;=AsOf+90,3,"")))</f>
        <v/>
      </c>
      <c r="N528" s="79">
        <f>IF(M528="","","Warranty expires in "&amp;H528&amp;" days: "&amp;B528&amp;IF(C528="",""," ("&amp;C528&amp;")")&amp;" — check for defects")</f>
        <v/>
      </c>
      <c r="P528" s="72" t="n"/>
      <c r="Q528" s="72" t="n"/>
      <c r="R528" s="89" t="n"/>
      <c r="S528" s="109" t="n"/>
      <c r="T528" s="126">
        <f>IF(OR(R528="",S528=""),"",DATE(YEAR(S528),MONTH(S528)+R528,DAY(S528)))</f>
        <v/>
      </c>
      <c r="U528" s="144">
        <f>IF(T528="","",T528-AsOf)</f>
        <v/>
      </c>
      <c r="V528" s="107">
        <f>IF(T528="",IF(P528="","","Enter last-done date"),IF(U528&lt;0,"Overdue",IF(U528&lt;=30,"Due soon","OK")))</f>
        <v/>
      </c>
      <c r="W528" s="79">
        <f>IF(T528="","",IF(U528&lt;0,2,IF(U528&lt;=30,1,0)))</f>
        <v/>
      </c>
      <c r="X528" s="112">
        <f>IF(T528="","",T528)</f>
        <v/>
      </c>
      <c r="Y528" s="79">
        <f>IF(X528="","",IF(X528&lt;=AsOf+AlertDays,2,IF(X528&lt;=AsOf+30,3,"")))</f>
        <v/>
      </c>
      <c r="Z528" s="79">
        <f>IF(Y528="","",IF(U528&lt;0,"Maintenance overdue: ","Maintenance due: ")&amp;P528)</f>
        <v/>
      </c>
    </row>
    <row r="529" ht="20" customHeight="1">
      <c r="B529" s="72" t="n"/>
      <c r="C529" s="72" t="n"/>
      <c r="D529" s="72" t="n"/>
      <c r="E529" s="109" t="n"/>
      <c r="F529" s="74" t="n"/>
      <c r="G529" s="126">
        <f>IF(OR(E529="",F529=""),"",DATE(YEAR(E529),MONTH(E529)+ROUND(F529*12,0),DAY(E529)))</f>
        <v/>
      </c>
      <c r="H529" s="144">
        <f>IF(G529="","",G529-AsOf)</f>
        <v/>
      </c>
      <c r="I529" s="107">
        <f>IF(G529="","",IF(H529&lt;0,"Expired",IF(H529&lt;=90,"Expires soon","Active")))</f>
        <v/>
      </c>
      <c r="J529" s="72" t="n"/>
      <c r="K529" s="79">
        <f>IF(I529="","",IF(I529="Active",0,IF(I529="Expires soon",1,3)))</f>
        <v/>
      </c>
      <c r="L529" s="112">
        <f>IF(G529="","",IF(G529&lt;AsOf,"",G529))</f>
        <v/>
      </c>
      <c r="M529" s="79">
        <f>IF(L529="","",IF(L529&lt;=AsOf+AlertDays,2,IF(L529&lt;=AsOf+90,3,"")))</f>
        <v/>
      </c>
      <c r="N529" s="79">
        <f>IF(M529="","","Warranty expires in "&amp;H529&amp;" days: "&amp;B529&amp;IF(C529="",""," ("&amp;C529&amp;")")&amp;" — check for defects")</f>
        <v/>
      </c>
      <c r="P529" s="72" t="n"/>
      <c r="Q529" s="72" t="n"/>
      <c r="R529" s="89" t="n"/>
      <c r="S529" s="109" t="n"/>
      <c r="T529" s="126">
        <f>IF(OR(R529="",S529=""),"",DATE(YEAR(S529),MONTH(S529)+R529,DAY(S529)))</f>
        <v/>
      </c>
      <c r="U529" s="144">
        <f>IF(T529="","",T529-AsOf)</f>
        <v/>
      </c>
      <c r="V529" s="107">
        <f>IF(T529="",IF(P529="","","Enter last-done date"),IF(U529&lt;0,"Overdue",IF(U529&lt;=30,"Due soon","OK")))</f>
        <v/>
      </c>
      <c r="W529" s="79">
        <f>IF(T529="","",IF(U529&lt;0,2,IF(U529&lt;=30,1,0)))</f>
        <v/>
      </c>
      <c r="X529" s="112">
        <f>IF(T529="","",T529)</f>
        <v/>
      </c>
      <c r="Y529" s="79">
        <f>IF(X529="","",IF(X529&lt;=AsOf+AlertDays,2,IF(X529&lt;=AsOf+30,3,"")))</f>
        <v/>
      </c>
      <c r="Z529" s="79">
        <f>IF(Y529="","",IF(U529&lt;0,"Maintenance overdue: ","Maintenance due: ")&amp;P529)</f>
        <v/>
      </c>
    </row>
    <row r="530" ht="20" customHeight="1">
      <c r="B530" s="72" t="n"/>
      <c r="C530" s="72" t="n"/>
      <c r="D530" s="72" t="n"/>
      <c r="E530" s="109" t="n"/>
      <c r="F530" s="74" t="n"/>
      <c r="G530" s="126">
        <f>IF(OR(E530="",F530=""),"",DATE(YEAR(E530),MONTH(E530)+ROUND(F530*12,0),DAY(E530)))</f>
        <v/>
      </c>
      <c r="H530" s="144">
        <f>IF(G530="","",G530-AsOf)</f>
        <v/>
      </c>
      <c r="I530" s="107">
        <f>IF(G530="","",IF(H530&lt;0,"Expired",IF(H530&lt;=90,"Expires soon","Active")))</f>
        <v/>
      </c>
      <c r="J530" s="72" t="n"/>
      <c r="K530" s="79">
        <f>IF(I530="","",IF(I530="Active",0,IF(I530="Expires soon",1,3)))</f>
        <v/>
      </c>
      <c r="L530" s="112">
        <f>IF(G530="","",IF(G530&lt;AsOf,"",G530))</f>
        <v/>
      </c>
      <c r="M530" s="79">
        <f>IF(L530="","",IF(L530&lt;=AsOf+AlertDays,2,IF(L530&lt;=AsOf+90,3,"")))</f>
        <v/>
      </c>
      <c r="N530" s="79">
        <f>IF(M530="","","Warranty expires in "&amp;H530&amp;" days: "&amp;B530&amp;IF(C530="",""," ("&amp;C530&amp;")")&amp;" — check for defects")</f>
        <v/>
      </c>
      <c r="P530" s="72" t="n"/>
      <c r="Q530" s="72" t="n"/>
      <c r="R530" s="89" t="n"/>
      <c r="S530" s="109" t="n"/>
      <c r="T530" s="126">
        <f>IF(OR(R530="",S530=""),"",DATE(YEAR(S530),MONTH(S530)+R530,DAY(S530)))</f>
        <v/>
      </c>
      <c r="U530" s="144">
        <f>IF(T530="","",T530-AsOf)</f>
        <v/>
      </c>
      <c r="V530" s="107">
        <f>IF(T530="",IF(P530="","","Enter last-done date"),IF(U530&lt;0,"Overdue",IF(U530&lt;=30,"Due soon","OK")))</f>
        <v/>
      </c>
      <c r="W530" s="79">
        <f>IF(T530="","",IF(U530&lt;0,2,IF(U530&lt;=30,1,0)))</f>
        <v/>
      </c>
      <c r="X530" s="112">
        <f>IF(T530="","",T530)</f>
        <v/>
      </c>
      <c r="Y530" s="79">
        <f>IF(X530="","",IF(X530&lt;=AsOf+AlertDays,2,IF(X530&lt;=AsOf+30,3,"")))</f>
        <v/>
      </c>
      <c r="Z530" s="79">
        <f>IF(Y530="","",IF(U530&lt;0,"Maintenance overdue: ","Maintenance due: ")&amp;P530)</f>
        <v/>
      </c>
    </row>
    <row r="531" ht="20" customHeight="1">
      <c r="B531" s="72" t="n"/>
      <c r="C531" s="72" t="n"/>
      <c r="D531" s="72" t="n"/>
      <c r="E531" s="109" t="n"/>
      <c r="F531" s="74" t="n"/>
      <c r="G531" s="126">
        <f>IF(OR(E531="",F531=""),"",DATE(YEAR(E531),MONTH(E531)+ROUND(F531*12,0),DAY(E531)))</f>
        <v/>
      </c>
      <c r="H531" s="144">
        <f>IF(G531="","",G531-AsOf)</f>
        <v/>
      </c>
      <c r="I531" s="107">
        <f>IF(G531="","",IF(H531&lt;0,"Expired",IF(H531&lt;=90,"Expires soon","Active")))</f>
        <v/>
      </c>
      <c r="J531" s="72" t="n"/>
      <c r="K531" s="79">
        <f>IF(I531="","",IF(I531="Active",0,IF(I531="Expires soon",1,3)))</f>
        <v/>
      </c>
      <c r="L531" s="112">
        <f>IF(G531="","",IF(G531&lt;AsOf,"",G531))</f>
        <v/>
      </c>
      <c r="M531" s="79">
        <f>IF(L531="","",IF(L531&lt;=AsOf+AlertDays,2,IF(L531&lt;=AsOf+90,3,"")))</f>
        <v/>
      </c>
      <c r="N531" s="79">
        <f>IF(M531="","","Warranty expires in "&amp;H531&amp;" days: "&amp;B531&amp;IF(C531="",""," ("&amp;C531&amp;")")&amp;" — check for defects")</f>
        <v/>
      </c>
      <c r="P531" s="72" t="n"/>
      <c r="Q531" s="72" t="n"/>
      <c r="R531" s="89" t="n"/>
      <c r="S531" s="109" t="n"/>
      <c r="T531" s="126">
        <f>IF(OR(R531="",S531=""),"",DATE(YEAR(S531),MONTH(S531)+R531,DAY(S531)))</f>
        <v/>
      </c>
      <c r="U531" s="144">
        <f>IF(T531="","",T531-AsOf)</f>
        <v/>
      </c>
      <c r="V531" s="107">
        <f>IF(T531="",IF(P531="","","Enter last-done date"),IF(U531&lt;0,"Overdue",IF(U531&lt;=30,"Due soon","OK")))</f>
        <v/>
      </c>
      <c r="W531" s="79">
        <f>IF(T531="","",IF(U531&lt;0,2,IF(U531&lt;=30,1,0)))</f>
        <v/>
      </c>
      <c r="X531" s="112">
        <f>IF(T531="","",T531)</f>
        <v/>
      </c>
      <c r="Y531" s="79">
        <f>IF(X531="","",IF(X531&lt;=AsOf+AlertDays,2,IF(X531&lt;=AsOf+30,3,"")))</f>
        <v/>
      </c>
      <c r="Z531" s="79">
        <f>IF(Y531="","",IF(U531&lt;0,"Maintenance overdue: ","Maintenance due: ")&amp;P531)</f>
        <v/>
      </c>
    </row>
    <row r="532" ht="20" customHeight="1">
      <c r="B532" s="72" t="n"/>
      <c r="C532" s="72" t="n"/>
      <c r="D532" s="72" t="n"/>
      <c r="E532" s="109" t="n"/>
      <c r="F532" s="74" t="n"/>
      <c r="G532" s="126">
        <f>IF(OR(E532="",F532=""),"",DATE(YEAR(E532),MONTH(E532)+ROUND(F532*12,0),DAY(E532)))</f>
        <v/>
      </c>
      <c r="H532" s="144">
        <f>IF(G532="","",G532-AsOf)</f>
        <v/>
      </c>
      <c r="I532" s="107">
        <f>IF(G532="","",IF(H532&lt;0,"Expired",IF(H532&lt;=90,"Expires soon","Active")))</f>
        <v/>
      </c>
      <c r="J532" s="72" t="n"/>
      <c r="K532" s="79">
        <f>IF(I532="","",IF(I532="Active",0,IF(I532="Expires soon",1,3)))</f>
        <v/>
      </c>
      <c r="L532" s="112">
        <f>IF(G532="","",IF(G532&lt;AsOf,"",G532))</f>
        <v/>
      </c>
      <c r="M532" s="79">
        <f>IF(L532="","",IF(L532&lt;=AsOf+AlertDays,2,IF(L532&lt;=AsOf+90,3,"")))</f>
        <v/>
      </c>
      <c r="N532" s="79">
        <f>IF(M532="","","Warranty expires in "&amp;H532&amp;" days: "&amp;B532&amp;IF(C532="",""," ("&amp;C532&amp;")")&amp;" — check for defects")</f>
        <v/>
      </c>
      <c r="P532" s="72" t="n"/>
      <c r="Q532" s="72" t="n"/>
      <c r="R532" s="89" t="n"/>
      <c r="S532" s="109" t="n"/>
      <c r="T532" s="126">
        <f>IF(OR(R532="",S532=""),"",DATE(YEAR(S532),MONTH(S532)+R532,DAY(S532)))</f>
        <v/>
      </c>
      <c r="U532" s="144">
        <f>IF(T532="","",T532-AsOf)</f>
        <v/>
      </c>
      <c r="V532" s="107">
        <f>IF(T532="",IF(P532="","","Enter last-done date"),IF(U532&lt;0,"Overdue",IF(U532&lt;=30,"Due soon","OK")))</f>
        <v/>
      </c>
      <c r="W532" s="79">
        <f>IF(T532="","",IF(U532&lt;0,2,IF(U532&lt;=30,1,0)))</f>
        <v/>
      </c>
      <c r="X532" s="112">
        <f>IF(T532="","",T532)</f>
        <v/>
      </c>
      <c r="Y532" s="79">
        <f>IF(X532="","",IF(X532&lt;=AsOf+AlertDays,2,IF(X532&lt;=AsOf+30,3,"")))</f>
        <v/>
      </c>
      <c r="Z532" s="79">
        <f>IF(Y532="","",IF(U532&lt;0,"Maintenance overdue: ","Maintenance due: ")&amp;P532)</f>
        <v/>
      </c>
    </row>
    <row r="533" ht="20" customHeight="1">
      <c r="B533" s="72" t="n"/>
      <c r="C533" s="72" t="n"/>
      <c r="D533" s="72" t="n"/>
      <c r="E533" s="109" t="n"/>
      <c r="F533" s="74" t="n"/>
      <c r="G533" s="126">
        <f>IF(OR(E533="",F533=""),"",DATE(YEAR(E533),MONTH(E533)+ROUND(F533*12,0),DAY(E533)))</f>
        <v/>
      </c>
      <c r="H533" s="144">
        <f>IF(G533="","",G533-AsOf)</f>
        <v/>
      </c>
      <c r="I533" s="107">
        <f>IF(G533="","",IF(H533&lt;0,"Expired",IF(H533&lt;=90,"Expires soon","Active")))</f>
        <v/>
      </c>
      <c r="J533" s="72" t="n"/>
      <c r="K533" s="79">
        <f>IF(I533="","",IF(I533="Active",0,IF(I533="Expires soon",1,3)))</f>
        <v/>
      </c>
      <c r="L533" s="112">
        <f>IF(G533="","",IF(G533&lt;AsOf,"",G533))</f>
        <v/>
      </c>
      <c r="M533" s="79">
        <f>IF(L533="","",IF(L533&lt;=AsOf+AlertDays,2,IF(L533&lt;=AsOf+90,3,"")))</f>
        <v/>
      </c>
      <c r="N533" s="79">
        <f>IF(M533="","","Warranty expires in "&amp;H533&amp;" days: "&amp;B533&amp;IF(C533="",""," ("&amp;C533&amp;")")&amp;" — check for defects")</f>
        <v/>
      </c>
      <c r="P533" s="72" t="n"/>
      <c r="Q533" s="72" t="n"/>
      <c r="R533" s="89" t="n"/>
      <c r="S533" s="109" t="n"/>
      <c r="T533" s="126">
        <f>IF(OR(R533="",S533=""),"",DATE(YEAR(S533),MONTH(S533)+R533,DAY(S533)))</f>
        <v/>
      </c>
      <c r="U533" s="144">
        <f>IF(T533="","",T533-AsOf)</f>
        <v/>
      </c>
      <c r="V533" s="107">
        <f>IF(T533="",IF(P533="","","Enter last-done date"),IF(U533&lt;0,"Overdue",IF(U533&lt;=30,"Due soon","OK")))</f>
        <v/>
      </c>
      <c r="W533" s="79">
        <f>IF(T533="","",IF(U533&lt;0,2,IF(U533&lt;=30,1,0)))</f>
        <v/>
      </c>
      <c r="X533" s="112">
        <f>IF(T533="","",T533)</f>
        <v/>
      </c>
      <c r="Y533" s="79">
        <f>IF(X533="","",IF(X533&lt;=AsOf+AlertDays,2,IF(X533&lt;=AsOf+30,3,"")))</f>
        <v/>
      </c>
      <c r="Z533" s="79">
        <f>IF(Y533="","",IF(U533&lt;0,"Maintenance overdue: ","Maintenance due: ")&amp;P533)</f>
        <v/>
      </c>
    </row>
    <row r="534" ht="20" customHeight="1">
      <c r="B534" s="72" t="n"/>
      <c r="C534" s="72" t="n"/>
      <c r="D534" s="72" t="n"/>
      <c r="E534" s="109" t="n"/>
      <c r="F534" s="74" t="n"/>
      <c r="G534" s="126">
        <f>IF(OR(E534="",F534=""),"",DATE(YEAR(E534),MONTH(E534)+ROUND(F534*12,0),DAY(E534)))</f>
        <v/>
      </c>
      <c r="H534" s="144">
        <f>IF(G534="","",G534-AsOf)</f>
        <v/>
      </c>
      <c r="I534" s="107">
        <f>IF(G534="","",IF(H534&lt;0,"Expired",IF(H534&lt;=90,"Expires soon","Active")))</f>
        <v/>
      </c>
      <c r="J534" s="72" t="n"/>
      <c r="K534" s="79">
        <f>IF(I534="","",IF(I534="Active",0,IF(I534="Expires soon",1,3)))</f>
        <v/>
      </c>
      <c r="L534" s="112">
        <f>IF(G534="","",IF(G534&lt;AsOf,"",G534))</f>
        <v/>
      </c>
      <c r="M534" s="79">
        <f>IF(L534="","",IF(L534&lt;=AsOf+AlertDays,2,IF(L534&lt;=AsOf+90,3,"")))</f>
        <v/>
      </c>
      <c r="N534" s="79">
        <f>IF(M534="","","Warranty expires in "&amp;H534&amp;" days: "&amp;B534&amp;IF(C534="",""," ("&amp;C534&amp;")")&amp;" — check for defects")</f>
        <v/>
      </c>
      <c r="P534" s="72" t="n"/>
      <c r="Q534" s="72" t="n"/>
      <c r="R534" s="89" t="n"/>
      <c r="S534" s="109" t="n"/>
      <c r="T534" s="126">
        <f>IF(OR(R534="",S534=""),"",DATE(YEAR(S534),MONTH(S534)+R534,DAY(S534)))</f>
        <v/>
      </c>
      <c r="U534" s="144">
        <f>IF(T534="","",T534-AsOf)</f>
        <v/>
      </c>
      <c r="V534" s="107">
        <f>IF(T534="",IF(P534="","","Enter last-done date"),IF(U534&lt;0,"Overdue",IF(U534&lt;=30,"Due soon","OK")))</f>
        <v/>
      </c>
      <c r="W534" s="79">
        <f>IF(T534="","",IF(U534&lt;0,2,IF(U534&lt;=30,1,0)))</f>
        <v/>
      </c>
      <c r="X534" s="112">
        <f>IF(T534="","",T534)</f>
        <v/>
      </c>
      <c r="Y534" s="79">
        <f>IF(X534="","",IF(X534&lt;=AsOf+AlertDays,2,IF(X534&lt;=AsOf+30,3,"")))</f>
        <v/>
      </c>
      <c r="Z534" s="79">
        <f>IF(Y534="","",IF(U534&lt;0,"Maintenance overdue: ","Maintenance due: ")&amp;P534)</f>
        <v/>
      </c>
    </row>
    <row r="535" ht="20" customHeight="1">
      <c r="B535" s="72" t="n"/>
      <c r="C535" s="72" t="n"/>
      <c r="D535" s="72" t="n"/>
      <c r="E535" s="109" t="n"/>
      <c r="F535" s="74" t="n"/>
      <c r="G535" s="126">
        <f>IF(OR(E535="",F535=""),"",DATE(YEAR(E535),MONTH(E535)+ROUND(F535*12,0),DAY(E535)))</f>
        <v/>
      </c>
      <c r="H535" s="144">
        <f>IF(G535="","",G535-AsOf)</f>
        <v/>
      </c>
      <c r="I535" s="107">
        <f>IF(G535="","",IF(H535&lt;0,"Expired",IF(H535&lt;=90,"Expires soon","Active")))</f>
        <v/>
      </c>
      <c r="J535" s="72" t="n"/>
      <c r="K535" s="79">
        <f>IF(I535="","",IF(I535="Active",0,IF(I535="Expires soon",1,3)))</f>
        <v/>
      </c>
      <c r="L535" s="112">
        <f>IF(G535="","",IF(G535&lt;AsOf,"",G535))</f>
        <v/>
      </c>
      <c r="M535" s="79">
        <f>IF(L535="","",IF(L535&lt;=AsOf+AlertDays,2,IF(L535&lt;=AsOf+90,3,"")))</f>
        <v/>
      </c>
      <c r="N535" s="79">
        <f>IF(M535="","","Warranty expires in "&amp;H535&amp;" days: "&amp;B535&amp;IF(C535="",""," ("&amp;C535&amp;")")&amp;" — check for defects")</f>
        <v/>
      </c>
      <c r="P535" s="72" t="n"/>
      <c r="Q535" s="72" t="n"/>
      <c r="R535" s="89" t="n"/>
      <c r="S535" s="109" t="n"/>
      <c r="T535" s="126">
        <f>IF(OR(R535="",S535=""),"",DATE(YEAR(S535),MONTH(S535)+R535,DAY(S535)))</f>
        <v/>
      </c>
      <c r="U535" s="144">
        <f>IF(T535="","",T535-AsOf)</f>
        <v/>
      </c>
      <c r="V535" s="107">
        <f>IF(T535="",IF(P535="","","Enter last-done date"),IF(U535&lt;0,"Overdue",IF(U535&lt;=30,"Due soon","OK")))</f>
        <v/>
      </c>
      <c r="W535" s="79">
        <f>IF(T535="","",IF(U535&lt;0,2,IF(U535&lt;=30,1,0)))</f>
        <v/>
      </c>
      <c r="X535" s="112">
        <f>IF(T535="","",T535)</f>
        <v/>
      </c>
      <c r="Y535" s="79">
        <f>IF(X535="","",IF(X535&lt;=AsOf+AlertDays,2,IF(X535&lt;=AsOf+30,3,"")))</f>
        <v/>
      </c>
      <c r="Z535" s="79">
        <f>IF(Y535="","",IF(U535&lt;0,"Maintenance overdue: ","Maintenance due: ")&amp;P535)</f>
        <v/>
      </c>
    </row>
    <row r="536" ht="20" customHeight="1">
      <c r="B536" s="72" t="n"/>
      <c r="C536" s="72" t="n"/>
      <c r="D536" s="72" t="n"/>
      <c r="E536" s="109" t="n"/>
      <c r="F536" s="74" t="n"/>
      <c r="G536" s="126">
        <f>IF(OR(E536="",F536=""),"",DATE(YEAR(E536),MONTH(E536)+ROUND(F536*12,0),DAY(E536)))</f>
        <v/>
      </c>
      <c r="H536" s="144">
        <f>IF(G536="","",G536-AsOf)</f>
        <v/>
      </c>
      <c r="I536" s="107">
        <f>IF(G536="","",IF(H536&lt;0,"Expired",IF(H536&lt;=90,"Expires soon","Active")))</f>
        <v/>
      </c>
      <c r="J536" s="72" t="n"/>
      <c r="K536" s="79">
        <f>IF(I536="","",IF(I536="Active",0,IF(I536="Expires soon",1,3)))</f>
        <v/>
      </c>
      <c r="L536" s="112">
        <f>IF(G536="","",IF(G536&lt;AsOf,"",G536))</f>
        <v/>
      </c>
      <c r="M536" s="79">
        <f>IF(L536="","",IF(L536&lt;=AsOf+AlertDays,2,IF(L536&lt;=AsOf+90,3,"")))</f>
        <v/>
      </c>
      <c r="N536" s="79">
        <f>IF(M536="","","Warranty expires in "&amp;H536&amp;" days: "&amp;B536&amp;IF(C536="",""," ("&amp;C536&amp;")")&amp;" — check for defects")</f>
        <v/>
      </c>
      <c r="P536" s="72" t="n"/>
      <c r="Q536" s="72" t="n"/>
      <c r="R536" s="89" t="n"/>
      <c r="S536" s="109" t="n"/>
      <c r="T536" s="126">
        <f>IF(OR(R536="",S536=""),"",DATE(YEAR(S536),MONTH(S536)+R536,DAY(S536)))</f>
        <v/>
      </c>
      <c r="U536" s="144">
        <f>IF(T536="","",T536-AsOf)</f>
        <v/>
      </c>
      <c r="V536" s="107">
        <f>IF(T536="",IF(P536="","","Enter last-done date"),IF(U536&lt;0,"Overdue",IF(U536&lt;=30,"Due soon","OK")))</f>
        <v/>
      </c>
      <c r="W536" s="79">
        <f>IF(T536="","",IF(U536&lt;0,2,IF(U536&lt;=30,1,0)))</f>
        <v/>
      </c>
      <c r="X536" s="112">
        <f>IF(T536="","",T536)</f>
        <v/>
      </c>
      <c r="Y536" s="79">
        <f>IF(X536="","",IF(X536&lt;=AsOf+AlertDays,2,IF(X536&lt;=AsOf+30,3,"")))</f>
        <v/>
      </c>
      <c r="Z536" s="79">
        <f>IF(Y536="","",IF(U536&lt;0,"Maintenance overdue: ","Maintenance due: ")&amp;P536)</f>
        <v/>
      </c>
    </row>
    <row r="537" ht="20" customHeight="1">
      <c r="B537" s="72" t="n"/>
      <c r="C537" s="72" t="n"/>
      <c r="D537" s="72" t="n"/>
      <c r="E537" s="109" t="n"/>
      <c r="F537" s="74" t="n"/>
      <c r="G537" s="126">
        <f>IF(OR(E537="",F537=""),"",DATE(YEAR(E537),MONTH(E537)+ROUND(F537*12,0),DAY(E537)))</f>
        <v/>
      </c>
      <c r="H537" s="144">
        <f>IF(G537="","",G537-AsOf)</f>
        <v/>
      </c>
      <c r="I537" s="107">
        <f>IF(G537="","",IF(H537&lt;0,"Expired",IF(H537&lt;=90,"Expires soon","Active")))</f>
        <v/>
      </c>
      <c r="J537" s="72" t="n"/>
      <c r="K537" s="79">
        <f>IF(I537="","",IF(I537="Active",0,IF(I537="Expires soon",1,3)))</f>
        <v/>
      </c>
      <c r="L537" s="112">
        <f>IF(G537="","",IF(G537&lt;AsOf,"",G537))</f>
        <v/>
      </c>
      <c r="M537" s="79">
        <f>IF(L537="","",IF(L537&lt;=AsOf+AlertDays,2,IF(L537&lt;=AsOf+90,3,"")))</f>
        <v/>
      </c>
      <c r="N537" s="79">
        <f>IF(M537="","","Warranty expires in "&amp;H537&amp;" days: "&amp;B537&amp;IF(C537="",""," ("&amp;C537&amp;")")&amp;" — check for defects")</f>
        <v/>
      </c>
      <c r="P537" s="72" t="n"/>
      <c r="Q537" s="72" t="n"/>
      <c r="R537" s="89" t="n"/>
      <c r="S537" s="109" t="n"/>
      <c r="T537" s="126">
        <f>IF(OR(R537="",S537=""),"",DATE(YEAR(S537),MONTH(S537)+R537,DAY(S537)))</f>
        <v/>
      </c>
      <c r="U537" s="144">
        <f>IF(T537="","",T537-AsOf)</f>
        <v/>
      </c>
      <c r="V537" s="107">
        <f>IF(T537="",IF(P537="","","Enter last-done date"),IF(U537&lt;0,"Overdue",IF(U537&lt;=30,"Due soon","OK")))</f>
        <v/>
      </c>
      <c r="W537" s="79">
        <f>IF(T537="","",IF(U537&lt;0,2,IF(U537&lt;=30,1,0)))</f>
        <v/>
      </c>
      <c r="X537" s="112">
        <f>IF(T537="","",T537)</f>
        <v/>
      </c>
      <c r="Y537" s="79">
        <f>IF(X537="","",IF(X537&lt;=AsOf+AlertDays,2,IF(X537&lt;=AsOf+30,3,"")))</f>
        <v/>
      </c>
      <c r="Z537" s="79">
        <f>IF(Y537="","",IF(U537&lt;0,"Maintenance overdue: ","Maintenance due: ")&amp;P537)</f>
        <v/>
      </c>
    </row>
    <row r="538" ht="20" customHeight="1">
      <c r="B538" s="72" t="n"/>
      <c r="C538" s="72" t="n"/>
      <c r="D538" s="72" t="n"/>
      <c r="E538" s="109" t="n"/>
      <c r="F538" s="74" t="n"/>
      <c r="G538" s="126">
        <f>IF(OR(E538="",F538=""),"",DATE(YEAR(E538),MONTH(E538)+ROUND(F538*12,0),DAY(E538)))</f>
        <v/>
      </c>
      <c r="H538" s="144">
        <f>IF(G538="","",G538-AsOf)</f>
        <v/>
      </c>
      <c r="I538" s="107">
        <f>IF(G538="","",IF(H538&lt;0,"Expired",IF(H538&lt;=90,"Expires soon","Active")))</f>
        <v/>
      </c>
      <c r="J538" s="72" t="n"/>
      <c r="K538" s="79">
        <f>IF(I538="","",IF(I538="Active",0,IF(I538="Expires soon",1,3)))</f>
        <v/>
      </c>
      <c r="L538" s="112">
        <f>IF(G538="","",IF(G538&lt;AsOf,"",G538))</f>
        <v/>
      </c>
      <c r="M538" s="79">
        <f>IF(L538="","",IF(L538&lt;=AsOf+AlertDays,2,IF(L538&lt;=AsOf+90,3,"")))</f>
        <v/>
      </c>
      <c r="N538" s="79">
        <f>IF(M538="","","Warranty expires in "&amp;H538&amp;" days: "&amp;B538&amp;IF(C538="",""," ("&amp;C538&amp;")")&amp;" — check for defects")</f>
        <v/>
      </c>
      <c r="P538" s="72" t="n"/>
      <c r="Q538" s="72" t="n"/>
      <c r="R538" s="89" t="n"/>
      <c r="S538" s="109" t="n"/>
      <c r="T538" s="126">
        <f>IF(OR(R538="",S538=""),"",DATE(YEAR(S538),MONTH(S538)+R538,DAY(S538)))</f>
        <v/>
      </c>
      <c r="U538" s="144">
        <f>IF(T538="","",T538-AsOf)</f>
        <v/>
      </c>
      <c r="V538" s="107">
        <f>IF(T538="",IF(P538="","","Enter last-done date"),IF(U538&lt;0,"Overdue",IF(U538&lt;=30,"Due soon","OK")))</f>
        <v/>
      </c>
      <c r="W538" s="79">
        <f>IF(T538="","",IF(U538&lt;0,2,IF(U538&lt;=30,1,0)))</f>
        <v/>
      </c>
      <c r="X538" s="112">
        <f>IF(T538="","",T538)</f>
        <v/>
      </c>
      <c r="Y538" s="79">
        <f>IF(X538="","",IF(X538&lt;=AsOf+AlertDays,2,IF(X538&lt;=AsOf+30,3,"")))</f>
        <v/>
      </c>
      <c r="Z538" s="79">
        <f>IF(Y538="","",IF(U538&lt;0,"Maintenance overdue: ","Maintenance due: ")&amp;P538)</f>
        <v/>
      </c>
    </row>
    <row r="539" ht="20" customHeight="1">
      <c r="B539" s="72" t="n"/>
      <c r="C539" s="72" t="n"/>
      <c r="D539" s="72" t="n"/>
      <c r="E539" s="109" t="n"/>
      <c r="F539" s="74" t="n"/>
      <c r="G539" s="126">
        <f>IF(OR(E539="",F539=""),"",DATE(YEAR(E539),MONTH(E539)+ROUND(F539*12,0),DAY(E539)))</f>
        <v/>
      </c>
      <c r="H539" s="144">
        <f>IF(G539="","",G539-AsOf)</f>
        <v/>
      </c>
      <c r="I539" s="107">
        <f>IF(G539="","",IF(H539&lt;0,"Expired",IF(H539&lt;=90,"Expires soon","Active")))</f>
        <v/>
      </c>
      <c r="J539" s="72" t="n"/>
      <c r="K539" s="79">
        <f>IF(I539="","",IF(I539="Active",0,IF(I539="Expires soon",1,3)))</f>
        <v/>
      </c>
      <c r="L539" s="112">
        <f>IF(G539="","",IF(G539&lt;AsOf,"",G539))</f>
        <v/>
      </c>
      <c r="M539" s="79">
        <f>IF(L539="","",IF(L539&lt;=AsOf+AlertDays,2,IF(L539&lt;=AsOf+90,3,"")))</f>
        <v/>
      </c>
      <c r="N539" s="79">
        <f>IF(M539="","","Warranty expires in "&amp;H539&amp;" days: "&amp;B539&amp;IF(C539="",""," ("&amp;C539&amp;")")&amp;" — check for defects")</f>
        <v/>
      </c>
      <c r="P539" s="72" t="n"/>
      <c r="Q539" s="72" t="n"/>
      <c r="R539" s="89" t="n"/>
      <c r="S539" s="109" t="n"/>
      <c r="T539" s="126">
        <f>IF(OR(R539="",S539=""),"",DATE(YEAR(S539),MONTH(S539)+R539,DAY(S539)))</f>
        <v/>
      </c>
      <c r="U539" s="144">
        <f>IF(T539="","",T539-AsOf)</f>
        <v/>
      </c>
      <c r="V539" s="107">
        <f>IF(T539="",IF(P539="","","Enter last-done date"),IF(U539&lt;0,"Overdue",IF(U539&lt;=30,"Due soon","OK")))</f>
        <v/>
      </c>
      <c r="W539" s="79">
        <f>IF(T539="","",IF(U539&lt;0,2,IF(U539&lt;=30,1,0)))</f>
        <v/>
      </c>
      <c r="X539" s="112">
        <f>IF(T539="","",T539)</f>
        <v/>
      </c>
      <c r="Y539" s="79">
        <f>IF(X539="","",IF(X539&lt;=AsOf+AlertDays,2,IF(X539&lt;=AsOf+30,3,"")))</f>
        <v/>
      </c>
      <c r="Z539" s="79">
        <f>IF(Y539="","",IF(U539&lt;0,"Maintenance overdue: ","Maintenance due: ")&amp;P539)</f>
        <v/>
      </c>
    </row>
    <row r="540" ht="20" customHeight="1">
      <c r="B540" s="72" t="n"/>
      <c r="C540" s="72" t="n"/>
      <c r="D540" s="72" t="n"/>
      <c r="E540" s="109" t="n"/>
      <c r="F540" s="74" t="n"/>
      <c r="G540" s="126">
        <f>IF(OR(E540="",F540=""),"",DATE(YEAR(E540),MONTH(E540)+ROUND(F540*12,0),DAY(E540)))</f>
        <v/>
      </c>
      <c r="H540" s="144">
        <f>IF(G540="","",G540-AsOf)</f>
        <v/>
      </c>
      <c r="I540" s="107">
        <f>IF(G540="","",IF(H540&lt;0,"Expired",IF(H540&lt;=90,"Expires soon","Active")))</f>
        <v/>
      </c>
      <c r="J540" s="72" t="n"/>
      <c r="K540" s="79">
        <f>IF(I540="","",IF(I540="Active",0,IF(I540="Expires soon",1,3)))</f>
        <v/>
      </c>
      <c r="L540" s="112">
        <f>IF(G540="","",IF(G540&lt;AsOf,"",G540))</f>
        <v/>
      </c>
      <c r="M540" s="79">
        <f>IF(L540="","",IF(L540&lt;=AsOf+AlertDays,2,IF(L540&lt;=AsOf+90,3,"")))</f>
        <v/>
      </c>
      <c r="N540" s="79">
        <f>IF(M540="","","Warranty expires in "&amp;H540&amp;" days: "&amp;B540&amp;IF(C540="",""," ("&amp;C540&amp;")")&amp;" — check for defects")</f>
        <v/>
      </c>
      <c r="P540" s="72" t="n"/>
      <c r="Q540" s="72" t="n"/>
      <c r="R540" s="89" t="n"/>
      <c r="S540" s="109" t="n"/>
      <c r="T540" s="126">
        <f>IF(OR(R540="",S540=""),"",DATE(YEAR(S540),MONTH(S540)+R540,DAY(S540)))</f>
        <v/>
      </c>
      <c r="U540" s="144">
        <f>IF(T540="","",T540-AsOf)</f>
        <v/>
      </c>
      <c r="V540" s="107">
        <f>IF(T540="",IF(P540="","","Enter last-done date"),IF(U540&lt;0,"Overdue",IF(U540&lt;=30,"Due soon","OK")))</f>
        <v/>
      </c>
      <c r="W540" s="79">
        <f>IF(T540="","",IF(U540&lt;0,2,IF(U540&lt;=30,1,0)))</f>
        <v/>
      </c>
      <c r="X540" s="112">
        <f>IF(T540="","",T540)</f>
        <v/>
      </c>
      <c r="Y540" s="79">
        <f>IF(X540="","",IF(X540&lt;=AsOf+AlertDays,2,IF(X540&lt;=AsOf+30,3,"")))</f>
        <v/>
      </c>
      <c r="Z540" s="79">
        <f>IF(Y540="","",IF(U540&lt;0,"Maintenance overdue: ","Maintenance due: ")&amp;P540)</f>
        <v/>
      </c>
    </row>
    <row r="541" ht="20" customHeight="1">
      <c r="B541" s="72" t="n"/>
      <c r="C541" s="72" t="n"/>
      <c r="D541" s="72" t="n"/>
      <c r="E541" s="109" t="n"/>
      <c r="F541" s="74" t="n"/>
      <c r="G541" s="126">
        <f>IF(OR(E541="",F541=""),"",DATE(YEAR(E541),MONTH(E541)+ROUND(F541*12,0),DAY(E541)))</f>
        <v/>
      </c>
      <c r="H541" s="144">
        <f>IF(G541="","",G541-AsOf)</f>
        <v/>
      </c>
      <c r="I541" s="107">
        <f>IF(G541="","",IF(H541&lt;0,"Expired",IF(H541&lt;=90,"Expires soon","Active")))</f>
        <v/>
      </c>
      <c r="J541" s="72" t="n"/>
      <c r="K541" s="79">
        <f>IF(I541="","",IF(I541="Active",0,IF(I541="Expires soon",1,3)))</f>
        <v/>
      </c>
      <c r="L541" s="112">
        <f>IF(G541="","",IF(G541&lt;AsOf,"",G541))</f>
        <v/>
      </c>
      <c r="M541" s="79">
        <f>IF(L541="","",IF(L541&lt;=AsOf+AlertDays,2,IF(L541&lt;=AsOf+90,3,"")))</f>
        <v/>
      </c>
      <c r="N541" s="79">
        <f>IF(M541="","","Warranty expires in "&amp;H541&amp;" days: "&amp;B541&amp;IF(C541="",""," ("&amp;C541&amp;")")&amp;" — check for defects")</f>
        <v/>
      </c>
      <c r="P541" s="72" t="n"/>
      <c r="Q541" s="72" t="n"/>
      <c r="R541" s="89" t="n"/>
      <c r="S541" s="109" t="n"/>
      <c r="T541" s="126">
        <f>IF(OR(R541="",S541=""),"",DATE(YEAR(S541),MONTH(S541)+R541,DAY(S541)))</f>
        <v/>
      </c>
      <c r="U541" s="144">
        <f>IF(T541="","",T541-AsOf)</f>
        <v/>
      </c>
      <c r="V541" s="107">
        <f>IF(T541="",IF(P541="","","Enter last-done date"),IF(U541&lt;0,"Overdue",IF(U541&lt;=30,"Due soon","OK")))</f>
        <v/>
      </c>
      <c r="W541" s="79">
        <f>IF(T541="","",IF(U541&lt;0,2,IF(U541&lt;=30,1,0)))</f>
        <v/>
      </c>
      <c r="X541" s="112">
        <f>IF(T541="","",T541)</f>
        <v/>
      </c>
      <c r="Y541" s="79">
        <f>IF(X541="","",IF(X541&lt;=AsOf+AlertDays,2,IF(X541&lt;=AsOf+30,3,"")))</f>
        <v/>
      </c>
      <c r="Z541" s="79">
        <f>IF(Y541="","",IF(U541&lt;0,"Maintenance overdue: ","Maintenance due: ")&amp;P541)</f>
        <v/>
      </c>
    </row>
    <row r="542" ht="20" customHeight="1">
      <c r="B542" s="72" t="n"/>
      <c r="C542" s="72" t="n"/>
      <c r="D542" s="72" t="n"/>
      <c r="E542" s="109" t="n"/>
      <c r="F542" s="74" t="n"/>
      <c r="G542" s="126">
        <f>IF(OR(E542="",F542=""),"",DATE(YEAR(E542),MONTH(E542)+ROUND(F542*12,0),DAY(E542)))</f>
        <v/>
      </c>
      <c r="H542" s="144">
        <f>IF(G542="","",G542-AsOf)</f>
        <v/>
      </c>
      <c r="I542" s="107">
        <f>IF(G542="","",IF(H542&lt;0,"Expired",IF(H542&lt;=90,"Expires soon","Active")))</f>
        <v/>
      </c>
      <c r="J542" s="72" t="n"/>
      <c r="K542" s="79">
        <f>IF(I542="","",IF(I542="Active",0,IF(I542="Expires soon",1,3)))</f>
        <v/>
      </c>
      <c r="L542" s="112">
        <f>IF(G542="","",IF(G542&lt;AsOf,"",G542))</f>
        <v/>
      </c>
      <c r="M542" s="79">
        <f>IF(L542="","",IF(L542&lt;=AsOf+AlertDays,2,IF(L542&lt;=AsOf+90,3,"")))</f>
        <v/>
      </c>
      <c r="N542" s="79">
        <f>IF(M542="","","Warranty expires in "&amp;H542&amp;" days: "&amp;B542&amp;IF(C542="",""," ("&amp;C542&amp;")")&amp;" — check for defects")</f>
        <v/>
      </c>
      <c r="P542" s="72" t="n"/>
      <c r="Q542" s="72" t="n"/>
      <c r="R542" s="89" t="n"/>
      <c r="S542" s="109" t="n"/>
      <c r="T542" s="126">
        <f>IF(OR(R542="",S542=""),"",DATE(YEAR(S542),MONTH(S542)+R542,DAY(S542)))</f>
        <v/>
      </c>
      <c r="U542" s="144">
        <f>IF(T542="","",T542-AsOf)</f>
        <v/>
      </c>
      <c r="V542" s="107">
        <f>IF(T542="",IF(P542="","","Enter last-done date"),IF(U542&lt;0,"Overdue",IF(U542&lt;=30,"Due soon","OK")))</f>
        <v/>
      </c>
      <c r="W542" s="79">
        <f>IF(T542="","",IF(U542&lt;0,2,IF(U542&lt;=30,1,0)))</f>
        <v/>
      </c>
      <c r="X542" s="112">
        <f>IF(T542="","",T542)</f>
        <v/>
      </c>
      <c r="Y542" s="79">
        <f>IF(X542="","",IF(X542&lt;=AsOf+AlertDays,2,IF(X542&lt;=AsOf+30,3,"")))</f>
        <v/>
      </c>
      <c r="Z542" s="79">
        <f>IF(Y542="","",IF(U542&lt;0,"Maintenance overdue: ","Maintenance due: ")&amp;P542)</f>
        <v/>
      </c>
    </row>
    <row r="543" ht="20" customHeight="1">
      <c r="B543" s="72" t="n"/>
      <c r="C543" s="72" t="n"/>
      <c r="D543" s="72" t="n"/>
      <c r="E543" s="109" t="n"/>
      <c r="F543" s="74" t="n"/>
      <c r="G543" s="126">
        <f>IF(OR(E543="",F543=""),"",DATE(YEAR(E543),MONTH(E543)+ROUND(F543*12,0),DAY(E543)))</f>
        <v/>
      </c>
      <c r="H543" s="144">
        <f>IF(G543="","",G543-AsOf)</f>
        <v/>
      </c>
      <c r="I543" s="107">
        <f>IF(G543="","",IF(H543&lt;0,"Expired",IF(H543&lt;=90,"Expires soon","Active")))</f>
        <v/>
      </c>
      <c r="J543" s="72" t="n"/>
      <c r="K543" s="79">
        <f>IF(I543="","",IF(I543="Active",0,IF(I543="Expires soon",1,3)))</f>
        <v/>
      </c>
      <c r="L543" s="112">
        <f>IF(G543="","",IF(G543&lt;AsOf,"",G543))</f>
        <v/>
      </c>
      <c r="M543" s="79">
        <f>IF(L543="","",IF(L543&lt;=AsOf+AlertDays,2,IF(L543&lt;=AsOf+90,3,"")))</f>
        <v/>
      </c>
      <c r="N543" s="79">
        <f>IF(M543="","","Warranty expires in "&amp;H543&amp;" days: "&amp;B543&amp;IF(C543="",""," ("&amp;C543&amp;")")&amp;" — check for defects")</f>
        <v/>
      </c>
      <c r="P543" s="72" t="n"/>
      <c r="Q543" s="72" t="n"/>
      <c r="R543" s="89" t="n"/>
      <c r="S543" s="109" t="n"/>
      <c r="T543" s="126">
        <f>IF(OR(R543="",S543=""),"",DATE(YEAR(S543),MONTH(S543)+R543,DAY(S543)))</f>
        <v/>
      </c>
      <c r="U543" s="144">
        <f>IF(T543="","",T543-AsOf)</f>
        <v/>
      </c>
      <c r="V543" s="107">
        <f>IF(T543="",IF(P543="","","Enter last-done date"),IF(U543&lt;0,"Overdue",IF(U543&lt;=30,"Due soon","OK")))</f>
        <v/>
      </c>
      <c r="W543" s="79">
        <f>IF(T543="","",IF(U543&lt;0,2,IF(U543&lt;=30,1,0)))</f>
        <v/>
      </c>
      <c r="X543" s="112">
        <f>IF(T543="","",T543)</f>
        <v/>
      </c>
      <c r="Y543" s="79">
        <f>IF(X543="","",IF(X543&lt;=AsOf+AlertDays,2,IF(X543&lt;=AsOf+30,3,"")))</f>
        <v/>
      </c>
      <c r="Z543" s="79">
        <f>IF(Y543="","",IF(U543&lt;0,"Maintenance overdue: ","Maintenance due: ")&amp;P543)</f>
        <v/>
      </c>
    </row>
    <row r="544" ht="20" customHeight="1">
      <c r="B544" s="72" t="n"/>
      <c r="C544" s="72" t="n"/>
      <c r="D544" s="72" t="n"/>
      <c r="E544" s="109" t="n"/>
      <c r="F544" s="74" t="n"/>
      <c r="G544" s="126">
        <f>IF(OR(E544="",F544=""),"",DATE(YEAR(E544),MONTH(E544)+ROUND(F544*12,0),DAY(E544)))</f>
        <v/>
      </c>
      <c r="H544" s="144">
        <f>IF(G544="","",G544-AsOf)</f>
        <v/>
      </c>
      <c r="I544" s="107">
        <f>IF(G544="","",IF(H544&lt;0,"Expired",IF(H544&lt;=90,"Expires soon","Active")))</f>
        <v/>
      </c>
      <c r="J544" s="72" t="n"/>
      <c r="K544" s="79">
        <f>IF(I544="","",IF(I544="Active",0,IF(I544="Expires soon",1,3)))</f>
        <v/>
      </c>
      <c r="L544" s="112">
        <f>IF(G544="","",IF(G544&lt;AsOf,"",G544))</f>
        <v/>
      </c>
      <c r="M544" s="79">
        <f>IF(L544="","",IF(L544&lt;=AsOf+AlertDays,2,IF(L544&lt;=AsOf+90,3,"")))</f>
        <v/>
      </c>
      <c r="N544" s="79">
        <f>IF(M544="","","Warranty expires in "&amp;H544&amp;" days: "&amp;B544&amp;IF(C544="",""," ("&amp;C544&amp;")")&amp;" — check for defects")</f>
        <v/>
      </c>
      <c r="P544" s="72" t="n"/>
      <c r="Q544" s="72" t="n"/>
      <c r="R544" s="89" t="n"/>
      <c r="S544" s="109" t="n"/>
      <c r="T544" s="126">
        <f>IF(OR(R544="",S544=""),"",DATE(YEAR(S544),MONTH(S544)+R544,DAY(S544)))</f>
        <v/>
      </c>
      <c r="U544" s="144">
        <f>IF(T544="","",T544-AsOf)</f>
        <v/>
      </c>
      <c r="V544" s="107">
        <f>IF(T544="",IF(P544="","","Enter last-done date"),IF(U544&lt;0,"Overdue",IF(U544&lt;=30,"Due soon","OK")))</f>
        <v/>
      </c>
      <c r="W544" s="79">
        <f>IF(T544="","",IF(U544&lt;0,2,IF(U544&lt;=30,1,0)))</f>
        <v/>
      </c>
      <c r="X544" s="112">
        <f>IF(T544="","",T544)</f>
        <v/>
      </c>
      <c r="Y544" s="79">
        <f>IF(X544="","",IF(X544&lt;=AsOf+AlertDays,2,IF(X544&lt;=AsOf+30,3,"")))</f>
        <v/>
      </c>
      <c r="Z544" s="79">
        <f>IF(Y544="","",IF(U544&lt;0,"Maintenance overdue: ","Maintenance due: ")&amp;P544)</f>
        <v/>
      </c>
    </row>
    <row r="545" ht="20" customHeight="1">
      <c r="B545" s="72" t="n"/>
      <c r="C545" s="72" t="n"/>
      <c r="D545" s="72" t="n"/>
      <c r="E545" s="109" t="n"/>
      <c r="F545" s="74" t="n"/>
      <c r="G545" s="126">
        <f>IF(OR(E545="",F545=""),"",DATE(YEAR(E545),MONTH(E545)+ROUND(F545*12,0),DAY(E545)))</f>
        <v/>
      </c>
      <c r="H545" s="144">
        <f>IF(G545="","",G545-AsOf)</f>
        <v/>
      </c>
      <c r="I545" s="107">
        <f>IF(G545="","",IF(H545&lt;0,"Expired",IF(H545&lt;=90,"Expires soon","Active")))</f>
        <v/>
      </c>
      <c r="J545" s="72" t="n"/>
      <c r="K545" s="79">
        <f>IF(I545="","",IF(I545="Active",0,IF(I545="Expires soon",1,3)))</f>
        <v/>
      </c>
      <c r="L545" s="112">
        <f>IF(G545="","",IF(G545&lt;AsOf,"",G545))</f>
        <v/>
      </c>
      <c r="M545" s="79">
        <f>IF(L545="","",IF(L545&lt;=AsOf+AlertDays,2,IF(L545&lt;=AsOf+90,3,"")))</f>
        <v/>
      </c>
      <c r="N545" s="79">
        <f>IF(M545="","","Warranty expires in "&amp;H545&amp;" days: "&amp;B545&amp;IF(C545="",""," ("&amp;C545&amp;")")&amp;" — check for defects")</f>
        <v/>
      </c>
      <c r="P545" s="72" t="n"/>
      <c r="Q545" s="72" t="n"/>
      <c r="R545" s="89" t="n"/>
      <c r="S545" s="109" t="n"/>
      <c r="T545" s="126">
        <f>IF(OR(R545="",S545=""),"",DATE(YEAR(S545),MONTH(S545)+R545,DAY(S545)))</f>
        <v/>
      </c>
      <c r="U545" s="144">
        <f>IF(T545="","",T545-AsOf)</f>
        <v/>
      </c>
      <c r="V545" s="107">
        <f>IF(T545="",IF(P545="","","Enter last-done date"),IF(U545&lt;0,"Overdue",IF(U545&lt;=30,"Due soon","OK")))</f>
        <v/>
      </c>
      <c r="W545" s="79">
        <f>IF(T545="","",IF(U545&lt;0,2,IF(U545&lt;=30,1,0)))</f>
        <v/>
      </c>
      <c r="X545" s="112">
        <f>IF(T545="","",T545)</f>
        <v/>
      </c>
      <c r="Y545" s="79">
        <f>IF(X545="","",IF(X545&lt;=AsOf+AlertDays,2,IF(X545&lt;=AsOf+30,3,"")))</f>
        <v/>
      </c>
      <c r="Z545" s="79">
        <f>IF(Y545="","",IF(U545&lt;0,"Maintenance overdue: ","Maintenance due: ")&amp;P545)</f>
        <v/>
      </c>
    </row>
    <row r="546" ht="20" customHeight="1">
      <c r="B546" s="72" t="n"/>
      <c r="C546" s="72" t="n"/>
      <c r="D546" s="72" t="n"/>
      <c r="E546" s="109" t="n"/>
      <c r="F546" s="74" t="n"/>
      <c r="G546" s="126">
        <f>IF(OR(E546="",F546=""),"",DATE(YEAR(E546),MONTH(E546)+ROUND(F546*12,0),DAY(E546)))</f>
        <v/>
      </c>
      <c r="H546" s="144">
        <f>IF(G546="","",G546-AsOf)</f>
        <v/>
      </c>
      <c r="I546" s="107">
        <f>IF(G546="","",IF(H546&lt;0,"Expired",IF(H546&lt;=90,"Expires soon","Active")))</f>
        <v/>
      </c>
      <c r="J546" s="72" t="n"/>
      <c r="K546" s="79">
        <f>IF(I546="","",IF(I546="Active",0,IF(I546="Expires soon",1,3)))</f>
        <v/>
      </c>
      <c r="L546" s="112">
        <f>IF(G546="","",IF(G546&lt;AsOf,"",G546))</f>
        <v/>
      </c>
      <c r="M546" s="79">
        <f>IF(L546="","",IF(L546&lt;=AsOf+AlertDays,2,IF(L546&lt;=AsOf+90,3,"")))</f>
        <v/>
      </c>
      <c r="N546" s="79">
        <f>IF(M546="","","Warranty expires in "&amp;H546&amp;" days: "&amp;B546&amp;IF(C546="",""," ("&amp;C546&amp;")")&amp;" — check for defects")</f>
        <v/>
      </c>
      <c r="P546" s="72" t="n"/>
      <c r="Q546" s="72" t="n"/>
      <c r="R546" s="89" t="n"/>
      <c r="S546" s="109" t="n"/>
      <c r="T546" s="126">
        <f>IF(OR(R546="",S546=""),"",DATE(YEAR(S546),MONTH(S546)+R546,DAY(S546)))</f>
        <v/>
      </c>
      <c r="U546" s="144">
        <f>IF(T546="","",T546-AsOf)</f>
        <v/>
      </c>
      <c r="V546" s="107">
        <f>IF(T546="",IF(P546="","","Enter last-done date"),IF(U546&lt;0,"Overdue",IF(U546&lt;=30,"Due soon","OK")))</f>
        <v/>
      </c>
      <c r="W546" s="79">
        <f>IF(T546="","",IF(U546&lt;0,2,IF(U546&lt;=30,1,0)))</f>
        <v/>
      </c>
      <c r="X546" s="112">
        <f>IF(T546="","",T546)</f>
        <v/>
      </c>
      <c r="Y546" s="79">
        <f>IF(X546="","",IF(X546&lt;=AsOf+AlertDays,2,IF(X546&lt;=AsOf+30,3,"")))</f>
        <v/>
      </c>
      <c r="Z546" s="79">
        <f>IF(Y546="","",IF(U546&lt;0,"Maintenance overdue: ","Maintenance due: ")&amp;P546)</f>
        <v/>
      </c>
    </row>
    <row r="547" ht="20" customHeight="1">
      <c r="B547" s="72" t="n"/>
      <c r="C547" s="72" t="n"/>
      <c r="D547" s="72" t="n"/>
      <c r="E547" s="109" t="n"/>
      <c r="F547" s="74" t="n"/>
      <c r="G547" s="126">
        <f>IF(OR(E547="",F547=""),"",DATE(YEAR(E547),MONTH(E547)+ROUND(F547*12,0),DAY(E547)))</f>
        <v/>
      </c>
      <c r="H547" s="144">
        <f>IF(G547="","",G547-AsOf)</f>
        <v/>
      </c>
      <c r="I547" s="107">
        <f>IF(G547="","",IF(H547&lt;0,"Expired",IF(H547&lt;=90,"Expires soon","Active")))</f>
        <v/>
      </c>
      <c r="J547" s="72" t="n"/>
      <c r="K547" s="79">
        <f>IF(I547="","",IF(I547="Active",0,IF(I547="Expires soon",1,3)))</f>
        <v/>
      </c>
      <c r="L547" s="112">
        <f>IF(G547="","",IF(G547&lt;AsOf,"",G547))</f>
        <v/>
      </c>
      <c r="M547" s="79">
        <f>IF(L547="","",IF(L547&lt;=AsOf+AlertDays,2,IF(L547&lt;=AsOf+90,3,"")))</f>
        <v/>
      </c>
      <c r="N547" s="79">
        <f>IF(M547="","","Warranty expires in "&amp;H547&amp;" days: "&amp;B547&amp;IF(C547="",""," ("&amp;C547&amp;")")&amp;" — check for defects")</f>
        <v/>
      </c>
      <c r="P547" s="72" t="n"/>
      <c r="Q547" s="72" t="n"/>
      <c r="R547" s="89" t="n"/>
      <c r="S547" s="109" t="n"/>
      <c r="T547" s="126">
        <f>IF(OR(R547="",S547=""),"",DATE(YEAR(S547),MONTH(S547)+R547,DAY(S547)))</f>
        <v/>
      </c>
      <c r="U547" s="144">
        <f>IF(T547="","",T547-AsOf)</f>
        <v/>
      </c>
      <c r="V547" s="107">
        <f>IF(T547="",IF(P547="","","Enter last-done date"),IF(U547&lt;0,"Overdue",IF(U547&lt;=30,"Due soon","OK")))</f>
        <v/>
      </c>
      <c r="W547" s="79">
        <f>IF(T547="","",IF(U547&lt;0,2,IF(U547&lt;=30,1,0)))</f>
        <v/>
      </c>
      <c r="X547" s="112">
        <f>IF(T547="","",T547)</f>
        <v/>
      </c>
      <c r="Y547" s="79">
        <f>IF(X547="","",IF(X547&lt;=AsOf+AlertDays,2,IF(X547&lt;=AsOf+30,3,"")))</f>
        <v/>
      </c>
      <c r="Z547" s="79">
        <f>IF(Y547="","",IF(U547&lt;0,"Maintenance overdue: ","Maintenance due: ")&amp;P547)</f>
        <v/>
      </c>
    </row>
    <row r="548" ht="20" customHeight="1">
      <c r="B548" s="72" t="n"/>
      <c r="C548" s="72" t="n"/>
      <c r="D548" s="72" t="n"/>
      <c r="E548" s="109" t="n"/>
      <c r="F548" s="74" t="n"/>
      <c r="G548" s="126">
        <f>IF(OR(E548="",F548=""),"",DATE(YEAR(E548),MONTH(E548)+ROUND(F548*12,0),DAY(E548)))</f>
        <v/>
      </c>
      <c r="H548" s="144">
        <f>IF(G548="","",G548-AsOf)</f>
        <v/>
      </c>
      <c r="I548" s="107">
        <f>IF(G548="","",IF(H548&lt;0,"Expired",IF(H548&lt;=90,"Expires soon","Active")))</f>
        <v/>
      </c>
      <c r="J548" s="72" t="n"/>
      <c r="K548" s="79">
        <f>IF(I548="","",IF(I548="Active",0,IF(I548="Expires soon",1,3)))</f>
        <v/>
      </c>
      <c r="L548" s="112">
        <f>IF(G548="","",IF(G548&lt;AsOf,"",G548))</f>
        <v/>
      </c>
      <c r="M548" s="79">
        <f>IF(L548="","",IF(L548&lt;=AsOf+AlertDays,2,IF(L548&lt;=AsOf+90,3,"")))</f>
        <v/>
      </c>
      <c r="N548" s="79">
        <f>IF(M548="","","Warranty expires in "&amp;H548&amp;" days: "&amp;B548&amp;IF(C548="",""," ("&amp;C548&amp;")")&amp;" — check for defects")</f>
        <v/>
      </c>
      <c r="P548" s="72" t="n"/>
      <c r="Q548" s="72" t="n"/>
      <c r="R548" s="89" t="n"/>
      <c r="S548" s="109" t="n"/>
      <c r="T548" s="126">
        <f>IF(OR(R548="",S548=""),"",DATE(YEAR(S548),MONTH(S548)+R548,DAY(S548)))</f>
        <v/>
      </c>
      <c r="U548" s="144">
        <f>IF(T548="","",T548-AsOf)</f>
        <v/>
      </c>
      <c r="V548" s="107">
        <f>IF(T548="",IF(P548="","","Enter last-done date"),IF(U548&lt;0,"Overdue",IF(U548&lt;=30,"Due soon","OK")))</f>
        <v/>
      </c>
      <c r="W548" s="79">
        <f>IF(T548="","",IF(U548&lt;0,2,IF(U548&lt;=30,1,0)))</f>
        <v/>
      </c>
      <c r="X548" s="112">
        <f>IF(T548="","",T548)</f>
        <v/>
      </c>
      <c r="Y548" s="79">
        <f>IF(X548="","",IF(X548&lt;=AsOf+AlertDays,2,IF(X548&lt;=AsOf+30,3,"")))</f>
        <v/>
      </c>
      <c r="Z548" s="79">
        <f>IF(Y548="","",IF(U548&lt;0,"Maintenance overdue: ","Maintenance due: ")&amp;P548)</f>
        <v/>
      </c>
    </row>
    <row r="549" ht="20" customHeight="1">
      <c r="B549" s="72" t="n"/>
      <c r="C549" s="72" t="n"/>
      <c r="D549" s="72" t="n"/>
      <c r="E549" s="109" t="n"/>
      <c r="F549" s="74" t="n"/>
      <c r="G549" s="126">
        <f>IF(OR(E549="",F549=""),"",DATE(YEAR(E549),MONTH(E549)+ROUND(F549*12,0),DAY(E549)))</f>
        <v/>
      </c>
      <c r="H549" s="144">
        <f>IF(G549="","",G549-AsOf)</f>
        <v/>
      </c>
      <c r="I549" s="107">
        <f>IF(G549="","",IF(H549&lt;0,"Expired",IF(H549&lt;=90,"Expires soon","Active")))</f>
        <v/>
      </c>
      <c r="J549" s="72" t="n"/>
      <c r="K549" s="79">
        <f>IF(I549="","",IF(I549="Active",0,IF(I549="Expires soon",1,3)))</f>
        <v/>
      </c>
      <c r="L549" s="112">
        <f>IF(G549="","",IF(G549&lt;AsOf,"",G549))</f>
        <v/>
      </c>
      <c r="M549" s="79">
        <f>IF(L549="","",IF(L549&lt;=AsOf+AlertDays,2,IF(L549&lt;=AsOf+90,3,"")))</f>
        <v/>
      </c>
      <c r="N549" s="79">
        <f>IF(M549="","","Warranty expires in "&amp;H549&amp;" days: "&amp;B549&amp;IF(C549="",""," ("&amp;C549&amp;")")&amp;" — check for defects")</f>
        <v/>
      </c>
      <c r="P549" s="72" t="n"/>
      <c r="Q549" s="72" t="n"/>
      <c r="R549" s="89" t="n"/>
      <c r="S549" s="109" t="n"/>
      <c r="T549" s="126">
        <f>IF(OR(R549="",S549=""),"",DATE(YEAR(S549),MONTH(S549)+R549,DAY(S549)))</f>
        <v/>
      </c>
      <c r="U549" s="144">
        <f>IF(T549="","",T549-AsOf)</f>
        <v/>
      </c>
      <c r="V549" s="107">
        <f>IF(T549="",IF(P549="","","Enter last-done date"),IF(U549&lt;0,"Overdue",IF(U549&lt;=30,"Due soon","OK")))</f>
        <v/>
      </c>
      <c r="W549" s="79">
        <f>IF(T549="","",IF(U549&lt;0,2,IF(U549&lt;=30,1,0)))</f>
        <v/>
      </c>
      <c r="X549" s="112">
        <f>IF(T549="","",T549)</f>
        <v/>
      </c>
      <c r="Y549" s="79">
        <f>IF(X549="","",IF(X549&lt;=AsOf+AlertDays,2,IF(X549&lt;=AsOf+30,3,"")))</f>
        <v/>
      </c>
      <c r="Z549" s="79">
        <f>IF(Y549="","",IF(U549&lt;0,"Maintenance overdue: ","Maintenance due: ")&amp;P549)</f>
        <v/>
      </c>
    </row>
    <row r="550" ht="20" customHeight="1">
      <c r="B550" s="72" t="n"/>
      <c r="C550" s="72" t="n"/>
      <c r="D550" s="72" t="n"/>
      <c r="E550" s="109" t="n"/>
      <c r="F550" s="74" t="n"/>
      <c r="G550" s="126">
        <f>IF(OR(E550="",F550=""),"",DATE(YEAR(E550),MONTH(E550)+ROUND(F550*12,0),DAY(E550)))</f>
        <v/>
      </c>
      <c r="H550" s="144">
        <f>IF(G550="","",G550-AsOf)</f>
        <v/>
      </c>
      <c r="I550" s="107">
        <f>IF(G550="","",IF(H550&lt;0,"Expired",IF(H550&lt;=90,"Expires soon","Active")))</f>
        <v/>
      </c>
      <c r="J550" s="72" t="n"/>
      <c r="K550" s="79">
        <f>IF(I550="","",IF(I550="Active",0,IF(I550="Expires soon",1,3)))</f>
        <v/>
      </c>
      <c r="L550" s="112">
        <f>IF(G550="","",IF(G550&lt;AsOf,"",G550))</f>
        <v/>
      </c>
      <c r="M550" s="79">
        <f>IF(L550="","",IF(L550&lt;=AsOf+AlertDays,2,IF(L550&lt;=AsOf+90,3,"")))</f>
        <v/>
      </c>
      <c r="N550" s="79">
        <f>IF(M550="","","Warranty expires in "&amp;H550&amp;" days: "&amp;B550&amp;IF(C550="",""," ("&amp;C550&amp;")")&amp;" — check for defects")</f>
        <v/>
      </c>
      <c r="P550" s="72" t="n"/>
      <c r="Q550" s="72" t="n"/>
      <c r="R550" s="89" t="n"/>
      <c r="S550" s="109" t="n"/>
      <c r="T550" s="126">
        <f>IF(OR(R550="",S550=""),"",DATE(YEAR(S550),MONTH(S550)+R550,DAY(S550)))</f>
        <v/>
      </c>
      <c r="U550" s="144">
        <f>IF(T550="","",T550-AsOf)</f>
        <v/>
      </c>
      <c r="V550" s="107">
        <f>IF(T550="",IF(P550="","","Enter last-done date"),IF(U550&lt;0,"Overdue",IF(U550&lt;=30,"Due soon","OK")))</f>
        <v/>
      </c>
      <c r="W550" s="79">
        <f>IF(T550="","",IF(U550&lt;0,2,IF(U550&lt;=30,1,0)))</f>
        <v/>
      </c>
      <c r="X550" s="112">
        <f>IF(T550="","",T550)</f>
        <v/>
      </c>
      <c r="Y550" s="79">
        <f>IF(X550="","",IF(X550&lt;=AsOf+AlertDays,2,IF(X550&lt;=AsOf+30,3,"")))</f>
        <v/>
      </c>
      <c r="Z550" s="79">
        <f>IF(Y550="","",IF(U550&lt;0,"Maintenance overdue: ","Maintenance due: ")&amp;P550)</f>
        <v/>
      </c>
    </row>
    <row r="551" ht="20" customHeight="1">
      <c r="B551" s="72" t="n"/>
      <c r="C551" s="72" t="n"/>
      <c r="D551" s="72" t="n"/>
      <c r="E551" s="109" t="n"/>
      <c r="F551" s="74" t="n"/>
      <c r="G551" s="126">
        <f>IF(OR(E551="",F551=""),"",DATE(YEAR(E551),MONTH(E551)+ROUND(F551*12,0),DAY(E551)))</f>
        <v/>
      </c>
      <c r="H551" s="144">
        <f>IF(G551="","",G551-AsOf)</f>
        <v/>
      </c>
      <c r="I551" s="107">
        <f>IF(G551="","",IF(H551&lt;0,"Expired",IF(H551&lt;=90,"Expires soon","Active")))</f>
        <v/>
      </c>
      <c r="J551" s="72" t="n"/>
      <c r="K551" s="79">
        <f>IF(I551="","",IF(I551="Active",0,IF(I551="Expires soon",1,3)))</f>
        <v/>
      </c>
      <c r="L551" s="112">
        <f>IF(G551="","",IF(G551&lt;AsOf,"",G551))</f>
        <v/>
      </c>
      <c r="M551" s="79">
        <f>IF(L551="","",IF(L551&lt;=AsOf+AlertDays,2,IF(L551&lt;=AsOf+90,3,"")))</f>
        <v/>
      </c>
      <c r="N551" s="79">
        <f>IF(M551="","","Warranty expires in "&amp;H551&amp;" days: "&amp;B551&amp;IF(C551="",""," ("&amp;C551&amp;")")&amp;" — check for defects")</f>
        <v/>
      </c>
      <c r="P551" s="72" t="n"/>
      <c r="Q551" s="72" t="n"/>
      <c r="R551" s="89" t="n"/>
      <c r="S551" s="109" t="n"/>
      <c r="T551" s="126">
        <f>IF(OR(R551="",S551=""),"",DATE(YEAR(S551),MONTH(S551)+R551,DAY(S551)))</f>
        <v/>
      </c>
      <c r="U551" s="144">
        <f>IF(T551="","",T551-AsOf)</f>
        <v/>
      </c>
      <c r="V551" s="107">
        <f>IF(T551="",IF(P551="","","Enter last-done date"),IF(U551&lt;0,"Overdue",IF(U551&lt;=30,"Due soon","OK")))</f>
        <v/>
      </c>
      <c r="W551" s="79">
        <f>IF(T551="","",IF(U551&lt;0,2,IF(U551&lt;=30,1,0)))</f>
        <v/>
      </c>
      <c r="X551" s="112">
        <f>IF(T551="","",T551)</f>
        <v/>
      </c>
      <c r="Y551" s="79">
        <f>IF(X551="","",IF(X551&lt;=AsOf+AlertDays,2,IF(X551&lt;=AsOf+30,3,"")))</f>
        <v/>
      </c>
      <c r="Z551" s="79">
        <f>IF(Y551="","",IF(U551&lt;0,"Maintenance overdue: ","Maintenance due: ")&amp;P551)</f>
        <v/>
      </c>
    </row>
    <row r="552" ht="20" customHeight="1">
      <c r="B552" s="72" t="n"/>
      <c r="C552" s="72" t="n"/>
      <c r="D552" s="72" t="n"/>
      <c r="E552" s="109" t="n"/>
      <c r="F552" s="74" t="n"/>
      <c r="G552" s="126">
        <f>IF(OR(E552="",F552=""),"",DATE(YEAR(E552),MONTH(E552)+ROUND(F552*12,0),DAY(E552)))</f>
        <v/>
      </c>
      <c r="H552" s="144">
        <f>IF(G552="","",G552-AsOf)</f>
        <v/>
      </c>
      <c r="I552" s="107">
        <f>IF(G552="","",IF(H552&lt;0,"Expired",IF(H552&lt;=90,"Expires soon","Active")))</f>
        <v/>
      </c>
      <c r="J552" s="72" t="n"/>
      <c r="K552" s="79">
        <f>IF(I552="","",IF(I552="Active",0,IF(I552="Expires soon",1,3)))</f>
        <v/>
      </c>
      <c r="L552" s="112">
        <f>IF(G552="","",IF(G552&lt;AsOf,"",G552))</f>
        <v/>
      </c>
      <c r="M552" s="79">
        <f>IF(L552="","",IF(L552&lt;=AsOf+AlertDays,2,IF(L552&lt;=AsOf+90,3,"")))</f>
        <v/>
      </c>
      <c r="N552" s="79">
        <f>IF(M552="","","Warranty expires in "&amp;H552&amp;" days: "&amp;B552&amp;IF(C552="",""," ("&amp;C552&amp;")")&amp;" — check for defects")</f>
        <v/>
      </c>
      <c r="P552" s="72" t="n"/>
      <c r="Q552" s="72" t="n"/>
      <c r="R552" s="89" t="n"/>
      <c r="S552" s="109" t="n"/>
      <c r="T552" s="126">
        <f>IF(OR(R552="",S552=""),"",DATE(YEAR(S552),MONTH(S552)+R552,DAY(S552)))</f>
        <v/>
      </c>
      <c r="U552" s="144">
        <f>IF(T552="","",T552-AsOf)</f>
        <v/>
      </c>
      <c r="V552" s="107">
        <f>IF(T552="",IF(P552="","","Enter last-done date"),IF(U552&lt;0,"Overdue",IF(U552&lt;=30,"Due soon","OK")))</f>
        <v/>
      </c>
      <c r="W552" s="79">
        <f>IF(T552="","",IF(U552&lt;0,2,IF(U552&lt;=30,1,0)))</f>
        <v/>
      </c>
      <c r="X552" s="112">
        <f>IF(T552="","",T552)</f>
        <v/>
      </c>
      <c r="Y552" s="79">
        <f>IF(X552="","",IF(X552&lt;=AsOf+AlertDays,2,IF(X552&lt;=AsOf+30,3,"")))</f>
        <v/>
      </c>
      <c r="Z552" s="79">
        <f>IF(Y552="","",IF(U552&lt;0,"Maintenance overdue: ","Maintenance due: ")&amp;P552)</f>
        <v/>
      </c>
    </row>
    <row r="553" ht="20" customHeight="1">
      <c r="B553" s="72" t="n"/>
      <c r="C553" s="72" t="n"/>
      <c r="D553" s="72" t="n"/>
      <c r="E553" s="109" t="n"/>
      <c r="F553" s="74" t="n"/>
      <c r="G553" s="126">
        <f>IF(OR(E553="",F553=""),"",DATE(YEAR(E553),MONTH(E553)+ROUND(F553*12,0),DAY(E553)))</f>
        <v/>
      </c>
      <c r="H553" s="144">
        <f>IF(G553="","",G553-AsOf)</f>
        <v/>
      </c>
      <c r="I553" s="107">
        <f>IF(G553="","",IF(H553&lt;0,"Expired",IF(H553&lt;=90,"Expires soon","Active")))</f>
        <v/>
      </c>
      <c r="J553" s="72" t="n"/>
      <c r="K553" s="79">
        <f>IF(I553="","",IF(I553="Active",0,IF(I553="Expires soon",1,3)))</f>
        <v/>
      </c>
      <c r="L553" s="112">
        <f>IF(G553="","",IF(G553&lt;AsOf,"",G553))</f>
        <v/>
      </c>
      <c r="M553" s="79">
        <f>IF(L553="","",IF(L553&lt;=AsOf+AlertDays,2,IF(L553&lt;=AsOf+90,3,"")))</f>
        <v/>
      </c>
      <c r="N553" s="79">
        <f>IF(M553="","","Warranty expires in "&amp;H553&amp;" days: "&amp;B553&amp;IF(C553="",""," ("&amp;C553&amp;")")&amp;" — check for defects")</f>
        <v/>
      </c>
      <c r="P553" s="72" t="n"/>
      <c r="Q553" s="72" t="n"/>
      <c r="R553" s="89" t="n"/>
      <c r="S553" s="109" t="n"/>
      <c r="T553" s="126">
        <f>IF(OR(R553="",S553=""),"",DATE(YEAR(S553),MONTH(S553)+R553,DAY(S553)))</f>
        <v/>
      </c>
      <c r="U553" s="144">
        <f>IF(T553="","",T553-AsOf)</f>
        <v/>
      </c>
      <c r="V553" s="107">
        <f>IF(T553="",IF(P553="","","Enter last-done date"),IF(U553&lt;0,"Overdue",IF(U553&lt;=30,"Due soon","OK")))</f>
        <v/>
      </c>
      <c r="W553" s="79">
        <f>IF(T553="","",IF(U553&lt;0,2,IF(U553&lt;=30,1,0)))</f>
        <v/>
      </c>
      <c r="X553" s="112">
        <f>IF(T553="","",T553)</f>
        <v/>
      </c>
      <c r="Y553" s="79">
        <f>IF(X553="","",IF(X553&lt;=AsOf+AlertDays,2,IF(X553&lt;=AsOf+30,3,"")))</f>
        <v/>
      </c>
      <c r="Z553" s="79">
        <f>IF(Y553="","",IF(U553&lt;0,"Maintenance overdue: ","Maintenance due: ")&amp;P553)</f>
        <v/>
      </c>
    </row>
    <row r="554" ht="20" customHeight="1">
      <c r="B554" s="72" t="n"/>
      <c r="C554" s="72" t="n"/>
      <c r="D554" s="72" t="n"/>
      <c r="E554" s="109" t="n"/>
      <c r="F554" s="74" t="n"/>
      <c r="G554" s="126">
        <f>IF(OR(E554="",F554=""),"",DATE(YEAR(E554),MONTH(E554)+ROUND(F554*12,0),DAY(E554)))</f>
        <v/>
      </c>
      <c r="H554" s="144">
        <f>IF(G554="","",G554-AsOf)</f>
        <v/>
      </c>
      <c r="I554" s="107">
        <f>IF(G554="","",IF(H554&lt;0,"Expired",IF(H554&lt;=90,"Expires soon","Active")))</f>
        <v/>
      </c>
      <c r="J554" s="72" t="n"/>
      <c r="K554" s="79">
        <f>IF(I554="","",IF(I554="Active",0,IF(I554="Expires soon",1,3)))</f>
        <v/>
      </c>
      <c r="L554" s="112">
        <f>IF(G554="","",IF(G554&lt;AsOf,"",G554))</f>
        <v/>
      </c>
      <c r="M554" s="79">
        <f>IF(L554="","",IF(L554&lt;=AsOf+AlertDays,2,IF(L554&lt;=AsOf+90,3,"")))</f>
        <v/>
      </c>
      <c r="N554" s="79">
        <f>IF(M554="","","Warranty expires in "&amp;H554&amp;" days: "&amp;B554&amp;IF(C554="",""," ("&amp;C554&amp;")")&amp;" — check for defects")</f>
        <v/>
      </c>
      <c r="P554" s="72" t="n"/>
      <c r="Q554" s="72" t="n"/>
      <c r="R554" s="89" t="n"/>
      <c r="S554" s="109" t="n"/>
      <c r="T554" s="126">
        <f>IF(OR(R554="",S554=""),"",DATE(YEAR(S554),MONTH(S554)+R554,DAY(S554)))</f>
        <v/>
      </c>
      <c r="U554" s="144">
        <f>IF(T554="","",T554-AsOf)</f>
        <v/>
      </c>
      <c r="V554" s="107">
        <f>IF(T554="",IF(P554="","","Enter last-done date"),IF(U554&lt;0,"Overdue",IF(U554&lt;=30,"Due soon","OK")))</f>
        <v/>
      </c>
      <c r="W554" s="79">
        <f>IF(T554="","",IF(U554&lt;0,2,IF(U554&lt;=30,1,0)))</f>
        <v/>
      </c>
      <c r="X554" s="112">
        <f>IF(T554="","",T554)</f>
        <v/>
      </c>
      <c r="Y554" s="79">
        <f>IF(X554="","",IF(X554&lt;=AsOf+AlertDays,2,IF(X554&lt;=AsOf+30,3,"")))</f>
        <v/>
      </c>
      <c r="Z554" s="79">
        <f>IF(Y554="","",IF(U554&lt;0,"Maintenance overdue: ","Maintenance due: ")&amp;P554)</f>
        <v/>
      </c>
    </row>
    <row r="555" ht="20" customHeight="1">
      <c r="B555" s="72" t="n"/>
      <c r="C555" s="72" t="n"/>
      <c r="D555" s="72" t="n"/>
      <c r="E555" s="109" t="n"/>
      <c r="F555" s="74" t="n"/>
      <c r="G555" s="126">
        <f>IF(OR(E555="",F555=""),"",DATE(YEAR(E555),MONTH(E555)+ROUND(F555*12,0),DAY(E555)))</f>
        <v/>
      </c>
      <c r="H555" s="144">
        <f>IF(G555="","",G555-AsOf)</f>
        <v/>
      </c>
      <c r="I555" s="107">
        <f>IF(G555="","",IF(H555&lt;0,"Expired",IF(H555&lt;=90,"Expires soon","Active")))</f>
        <v/>
      </c>
      <c r="J555" s="72" t="n"/>
      <c r="K555" s="79">
        <f>IF(I555="","",IF(I555="Active",0,IF(I555="Expires soon",1,3)))</f>
        <v/>
      </c>
      <c r="L555" s="112">
        <f>IF(G555="","",IF(G555&lt;AsOf,"",G555))</f>
        <v/>
      </c>
      <c r="M555" s="79">
        <f>IF(L555="","",IF(L555&lt;=AsOf+AlertDays,2,IF(L555&lt;=AsOf+90,3,"")))</f>
        <v/>
      </c>
      <c r="N555" s="79">
        <f>IF(M555="","","Warranty expires in "&amp;H555&amp;" days: "&amp;B555&amp;IF(C555="",""," ("&amp;C555&amp;")")&amp;" — check for defects")</f>
        <v/>
      </c>
      <c r="P555" s="72" t="n"/>
      <c r="Q555" s="72" t="n"/>
      <c r="R555" s="89" t="n"/>
      <c r="S555" s="109" t="n"/>
      <c r="T555" s="126">
        <f>IF(OR(R555="",S555=""),"",DATE(YEAR(S555),MONTH(S555)+R555,DAY(S555)))</f>
        <v/>
      </c>
      <c r="U555" s="144">
        <f>IF(T555="","",T555-AsOf)</f>
        <v/>
      </c>
      <c r="V555" s="107">
        <f>IF(T555="",IF(P555="","","Enter last-done date"),IF(U555&lt;0,"Overdue",IF(U555&lt;=30,"Due soon","OK")))</f>
        <v/>
      </c>
      <c r="W555" s="79">
        <f>IF(T555="","",IF(U555&lt;0,2,IF(U555&lt;=30,1,0)))</f>
        <v/>
      </c>
      <c r="X555" s="112">
        <f>IF(T555="","",T555)</f>
        <v/>
      </c>
      <c r="Y555" s="79">
        <f>IF(X555="","",IF(X555&lt;=AsOf+AlertDays,2,IF(X555&lt;=AsOf+30,3,"")))</f>
        <v/>
      </c>
      <c r="Z555" s="79">
        <f>IF(Y555="","",IF(U555&lt;0,"Maintenance overdue: ","Maintenance due: ")&amp;P555)</f>
        <v/>
      </c>
    </row>
    <row r="556" ht="20" customHeight="1">
      <c r="B556" s="72" t="n"/>
      <c r="C556" s="72" t="n"/>
      <c r="D556" s="72" t="n"/>
      <c r="E556" s="109" t="n"/>
      <c r="F556" s="74" t="n"/>
      <c r="G556" s="126">
        <f>IF(OR(E556="",F556=""),"",DATE(YEAR(E556),MONTH(E556)+ROUND(F556*12,0),DAY(E556)))</f>
        <v/>
      </c>
      <c r="H556" s="144">
        <f>IF(G556="","",G556-AsOf)</f>
        <v/>
      </c>
      <c r="I556" s="107">
        <f>IF(G556="","",IF(H556&lt;0,"Expired",IF(H556&lt;=90,"Expires soon","Active")))</f>
        <v/>
      </c>
      <c r="J556" s="72" t="n"/>
      <c r="K556" s="79">
        <f>IF(I556="","",IF(I556="Active",0,IF(I556="Expires soon",1,3)))</f>
        <v/>
      </c>
      <c r="L556" s="112">
        <f>IF(G556="","",IF(G556&lt;AsOf,"",G556))</f>
        <v/>
      </c>
      <c r="M556" s="79">
        <f>IF(L556="","",IF(L556&lt;=AsOf+AlertDays,2,IF(L556&lt;=AsOf+90,3,"")))</f>
        <v/>
      </c>
      <c r="N556" s="79">
        <f>IF(M556="","","Warranty expires in "&amp;H556&amp;" days: "&amp;B556&amp;IF(C556="",""," ("&amp;C556&amp;")")&amp;" — check for defects")</f>
        <v/>
      </c>
      <c r="P556" s="72" t="n"/>
      <c r="Q556" s="72" t="n"/>
      <c r="R556" s="89" t="n"/>
      <c r="S556" s="109" t="n"/>
      <c r="T556" s="126">
        <f>IF(OR(R556="",S556=""),"",DATE(YEAR(S556),MONTH(S556)+R556,DAY(S556)))</f>
        <v/>
      </c>
      <c r="U556" s="144">
        <f>IF(T556="","",T556-AsOf)</f>
        <v/>
      </c>
      <c r="V556" s="107">
        <f>IF(T556="",IF(P556="","","Enter last-done date"),IF(U556&lt;0,"Overdue",IF(U556&lt;=30,"Due soon","OK")))</f>
        <v/>
      </c>
      <c r="W556" s="79">
        <f>IF(T556="","",IF(U556&lt;0,2,IF(U556&lt;=30,1,0)))</f>
        <v/>
      </c>
      <c r="X556" s="112">
        <f>IF(T556="","",T556)</f>
        <v/>
      </c>
      <c r="Y556" s="79">
        <f>IF(X556="","",IF(X556&lt;=AsOf+AlertDays,2,IF(X556&lt;=AsOf+30,3,"")))</f>
        <v/>
      </c>
      <c r="Z556" s="79">
        <f>IF(Y556="","",IF(U556&lt;0,"Maintenance overdue: ","Maintenance due: ")&amp;P556)</f>
        <v/>
      </c>
    </row>
    <row r="557" ht="20" customHeight="1">
      <c r="B557" s="72" t="n"/>
      <c r="C557" s="72" t="n"/>
      <c r="D557" s="72" t="n"/>
      <c r="E557" s="109" t="n"/>
      <c r="F557" s="74" t="n"/>
      <c r="G557" s="126">
        <f>IF(OR(E557="",F557=""),"",DATE(YEAR(E557),MONTH(E557)+ROUND(F557*12,0),DAY(E557)))</f>
        <v/>
      </c>
      <c r="H557" s="144">
        <f>IF(G557="","",G557-AsOf)</f>
        <v/>
      </c>
      <c r="I557" s="107">
        <f>IF(G557="","",IF(H557&lt;0,"Expired",IF(H557&lt;=90,"Expires soon","Active")))</f>
        <v/>
      </c>
      <c r="J557" s="72" t="n"/>
      <c r="K557" s="79">
        <f>IF(I557="","",IF(I557="Active",0,IF(I557="Expires soon",1,3)))</f>
        <v/>
      </c>
      <c r="L557" s="112">
        <f>IF(G557="","",IF(G557&lt;AsOf,"",G557))</f>
        <v/>
      </c>
      <c r="M557" s="79">
        <f>IF(L557="","",IF(L557&lt;=AsOf+AlertDays,2,IF(L557&lt;=AsOf+90,3,"")))</f>
        <v/>
      </c>
      <c r="N557" s="79">
        <f>IF(M557="","","Warranty expires in "&amp;H557&amp;" days: "&amp;B557&amp;IF(C557="",""," ("&amp;C557&amp;")")&amp;" — check for defects")</f>
        <v/>
      </c>
      <c r="P557" s="72" t="n"/>
      <c r="Q557" s="72" t="n"/>
      <c r="R557" s="89" t="n"/>
      <c r="S557" s="109" t="n"/>
      <c r="T557" s="126">
        <f>IF(OR(R557="",S557=""),"",DATE(YEAR(S557),MONTH(S557)+R557,DAY(S557)))</f>
        <v/>
      </c>
      <c r="U557" s="144">
        <f>IF(T557="","",T557-AsOf)</f>
        <v/>
      </c>
      <c r="V557" s="107">
        <f>IF(T557="",IF(P557="","","Enter last-done date"),IF(U557&lt;0,"Overdue",IF(U557&lt;=30,"Due soon","OK")))</f>
        <v/>
      </c>
      <c r="W557" s="79">
        <f>IF(T557="","",IF(U557&lt;0,2,IF(U557&lt;=30,1,0)))</f>
        <v/>
      </c>
      <c r="X557" s="112">
        <f>IF(T557="","",T557)</f>
        <v/>
      </c>
      <c r="Y557" s="79">
        <f>IF(X557="","",IF(X557&lt;=AsOf+AlertDays,2,IF(X557&lt;=AsOf+30,3,"")))</f>
        <v/>
      </c>
      <c r="Z557" s="79">
        <f>IF(Y557="","",IF(U557&lt;0,"Maintenance overdue: ","Maintenance due: ")&amp;P557)</f>
        <v/>
      </c>
    </row>
    <row r="558" ht="20" customHeight="1">
      <c r="B558" s="72" t="n"/>
      <c r="C558" s="72" t="n"/>
      <c r="D558" s="72" t="n"/>
      <c r="E558" s="109" t="n"/>
      <c r="F558" s="74" t="n"/>
      <c r="G558" s="126">
        <f>IF(OR(E558="",F558=""),"",DATE(YEAR(E558),MONTH(E558)+ROUND(F558*12,0),DAY(E558)))</f>
        <v/>
      </c>
      <c r="H558" s="144">
        <f>IF(G558="","",G558-AsOf)</f>
        <v/>
      </c>
      <c r="I558" s="107">
        <f>IF(G558="","",IF(H558&lt;0,"Expired",IF(H558&lt;=90,"Expires soon","Active")))</f>
        <v/>
      </c>
      <c r="J558" s="72" t="n"/>
      <c r="K558" s="79">
        <f>IF(I558="","",IF(I558="Active",0,IF(I558="Expires soon",1,3)))</f>
        <v/>
      </c>
      <c r="L558" s="112">
        <f>IF(G558="","",IF(G558&lt;AsOf,"",G558))</f>
        <v/>
      </c>
      <c r="M558" s="79">
        <f>IF(L558="","",IF(L558&lt;=AsOf+AlertDays,2,IF(L558&lt;=AsOf+90,3,"")))</f>
        <v/>
      </c>
      <c r="N558" s="79">
        <f>IF(M558="","","Warranty expires in "&amp;H558&amp;" days: "&amp;B558&amp;IF(C558="",""," ("&amp;C558&amp;")")&amp;" — check for defects")</f>
        <v/>
      </c>
      <c r="P558" s="72" t="n"/>
      <c r="Q558" s="72" t="n"/>
      <c r="R558" s="89" t="n"/>
      <c r="S558" s="109" t="n"/>
      <c r="T558" s="126">
        <f>IF(OR(R558="",S558=""),"",DATE(YEAR(S558),MONTH(S558)+R558,DAY(S558)))</f>
        <v/>
      </c>
      <c r="U558" s="144">
        <f>IF(T558="","",T558-AsOf)</f>
        <v/>
      </c>
      <c r="V558" s="107">
        <f>IF(T558="",IF(P558="","","Enter last-done date"),IF(U558&lt;0,"Overdue",IF(U558&lt;=30,"Due soon","OK")))</f>
        <v/>
      </c>
      <c r="W558" s="79">
        <f>IF(T558="","",IF(U558&lt;0,2,IF(U558&lt;=30,1,0)))</f>
        <v/>
      </c>
      <c r="X558" s="112">
        <f>IF(T558="","",T558)</f>
        <v/>
      </c>
      <c r="Y558" s="79">
        <f>IF(X558="","",IF(X558&lt;=AsOf+AlertDays,2,IF(X558&lt;=AsOf+30,3,"")))</f>
        <v/>
      </c>
      <c r="Z558" s="79">
        <f>IF(Y558="","",IF(U558&lt;0,"Maintenance overdue: ","Maintenance due: ")&amp;P558)</f>
        <v/>
      </c>
    </row>
    <row r="559" ht="20" customHeight="1">
      <c r="B559" s="72" t="n"/>
      <c r="C559" s="72" t="n"/>
      <c r="D559" s="72" t="n"/>
      <c r="E559" s="109" t="n"/>
      <c r="F559" s="74" t="n"/>
      <c r="G559" s="126">
        <f>IF(OR(E559="",F559=""),"",DATE(YEAR(E559),MONTH(E559)+ROUND(F559*12,0),DAY(E559)))</f>
        <v/>
      </c>
      <c r="H559" s="144">
        <f>IF(G559="","",G559-AsOf)</f>
        <v/>
      </c>
      <c r="I559" s="107">
        <f>IF(G559="","",IF(H559&lt;0,"Expired",IF(H559&lt;=90,"Expires soon","Active")))</f>
        <v/>
      </c>
      <c r="J559" s="72" t="n"/>
      <c r="K559" s="79">
        <f>IF(I559="","",IF(I559="Active",0,IF(I559="Expires soon",1,3)))</f>
        <v/>
      </c>
      <c r="L559" s="112">
        <f>IF(G559="","",IF(G559&lt;AsOf,"",G559))</f>
        <v/>
      </c>
      <c r="M559" s="79">
        <f>IF(L559="","",IF(L559&lt;=AsOf+AlertDays,2,IF(L559&lt;=AsOf+90,3,"")))</f>
        <v/>
      </c>
      <c r="N559" s="79">
        <f>IF(M559="","","Warranty expires in "&amp;H559&amp;" days: "&amp;B559&amp;IF(C559="",""," ("&amp;C559&amp;")")&amp;" — check for defects")</f>
        <v/>
      </c>
      <c r="P559" s="72" t="n"/>
      <c r="Q559" s="72" t="n"/>
      <c r="R559" s="89" t="n"/>
      <c r="S559" s="109" t="n"/>
      <c r="T559" s="126">
        <f>IF(OR(R559="",S559=""),"",DATE(YEAR(S559),MONTH(S559)+R559,DAY(S559)))</f>
        <v/>
      </c>
      <c r="U559" s="144">
        <f>IF(T559="","",T559-AsOf)</f>
        <v/>
      </c>
      <c r="V559" s="107">
        <f>IF(T559="",IF(P559="","","Enter last-done date"),IF(U559&lt;0,"Overdue",IF(U559&lt;=30,"Due soon","OK")))</f>
        <v/>
      </c>
      <c r="W559" s="79">
        <f>IF(T559="","",IF(U559&lt;0,2,IF(U559&lt;=30,1,0)))</f>
        <v/>
      </c>
      <c r="X559" s="112">
        <f>IF(T559="","",T559)</f>
        <v/>
      </c>
      <c r="Y559" s="79">
        <f>IF(X559="","",IF(X559&lt;=AsOf+AlertDays,2,IF(X559&lt;=AsOf+30,3,"")))</f>
        <v/>
      </c>
      <c r="Z559" s="79">
        <f>IF(Y559="","",IF(U559&lt;0,"Maintenance overdue: ","Maintenance due: ")&amp;P559)</f>
        <v/>
      </c>
    </row>
    <row r="560" ht="20" customHeight="1">
      <c r="B560" s="72" t="n"/>
      <c r="C560" s="72" t="n"/>
      <c r="D560" s="72" t="n"/>
      <c r="E560" s="109" t="n"/>
      <c r="F560" s="74" t="n"/>
      <c r="G560" s="126">
        <f>IF(OR(E560="",F560=""),"",DATE(YEAR(E560),MONTH(E560)+ROUND(F560*12,0),DAY(E560)))</f>
        <v/>
      </c>
      <c r="H560" s="144">
        <f>IF(G560="","",G560-AsOf)</f>
        <v/>
      </c>
      <c r="I560" s="107">
        <f>IF(G560="","",IF(H560&lt;0,"Expired",IF(H560&lt;=90,"Expires soon","Active")))</f>
        <v/>
      </c>
      <c r="J560" s="72" t="n"/>
      <c r="K560" s="79">
        <f>IF(I560="","",IF(I560="Active",0,IF(I560="Expires soon",1,3)))</f>
        <v/>
      </c>
      <c r="L560" s="112">
        <f>IF(G560="","",IF(G560&lt;AsOf,"",G560))</f>
        <v/>
      </c>
      <c r="M560" s="79">
        <f>IF(L560="","",IF(L560&lt;=AsOf+AlertDays,2,IF(L560&lt;=AsOf+90,3,"")))</f>
        <v/>
      </c>
      <c r="N560" s="79">
        <f>IF(M560="","","Warranty expires in "&amp;H560&amp;" days: "&amp;B560&amp;IF(C560="",""," ("&amp;C560&amp;")")&amp;" — check for defects")</f>
        <v/>
      </c>
      <c r="P560" s="72" t="n"/>
      <c r="Q560" s="72" t="n"/>
      <c r="R560" s="89" t="n"/>
      <c r="S560" s="109" t="n"/>
      <c r="T560" s="126">
        <f>IF(OR(R560="",S560=""),"",DATE(YEAR(S560),MONTH(S560)+R560,DAY(S560)))</f>
        <v/>
      </c>
      <c r="U560" s="144">
        <f>IF(T560="","",T560-AsOf)</f>
        <v/>
      </c>
      <c r="V560" s="107">
        <f>IF(T560="",IF(P560="","","Enter last-done date"),IF(U560&lt;0,"Overdue",IF(U560&lt;=30,"Due soon","OK")))</f>
        <v/>
      </c>
      <c r="W560" s="79">
        <f>IF(T560="","",IF(U560&lt;0,2,IF(U560&lt;=30,1,0)))</f>
        <v/>
      </c>
      <c r="X560" s="112">
        <f>IF(T560="","",T560)</f>
        <v/>
      </c>
      <c r="Y560" s="79">
        <f>IF(X560="","",IF(X560&lt;=AsOf+AlertDays,2,IF(X560&lt;=AsOf+30,3,"")))</f>
        <v/>
      </c>
      <c r="Z560" s="79">
        <f>IF(Y560="","",IF(U560&lt;0,"Maintenance overdue: ","Maintenance due: ")&amp;P560)</f>
        <v/>
      </c>
    </row>
    <row r="561" ht="20" customHeight="1">
      <c r="B561" s="72" t="n"/>
      <c r="C561" s="72" t="n"/>
      <c r="D561" s="72" t="n"/>
      <c r="E561" s="109" t="n"/>
      <c r="F561" s="74" t="n"/>
      <c r="G561" s="126">
        <f>IF(OR(E561="",F561=""),"",DATE(YEAR(E561),MONTH(E561)+ROUND(F561*12,0),DAY(E561)))</f>
        <v/>
      </c>
      <c r="H561" s="144">
        <f>IF(G561="","",G561-AsOf)</f>
        <v/>
      </c>
      <c r="I561" s="107">
        <f>IF(G561="","",IF(H561&lt;0,"Expired",IF(H561&lt;=90,"Expires soon","Active")))</f>
        <v/>
      </c>
      <c r="J561" s="72" t="n"/>
      <c r="K561" s="79">
        <f>IF(I561="","",IF(I561="Active",0,IF(I561="Expires soon",1,3)))</f>
        <v/>
      </c>
      <c r="L561" s="112">
        <f>IF(G561="","",IF(G561&lt;AsOf,"",G561))</f>
        <v/>
      </c>
      <c r="M561" s="79">
        <f>IF(L561="","",IF(L561&lt;=AsOf+AlertDays,2,IF(L561&lt;=AsOf+90,3,"")))</f>
        <v/>
      </c>
      <c r="N561" s="79">
        <f>IF(M561="","","Warranty expires in "&amp;H561&amp;" days: "&amp;B561&amp;IF(C561="",""," ("&amp;C561&amp;")")&amp;" — check for defects")</f>
        <v/>
      </c>
      <c r="P561" s="72" t="n"/>
      <c r="Q561" s="72" t="n"/>
      <c r="R561" s="89" t="n"/>
      <c r="S561" s="109" t="n"/>
      <c r="T561" s="126">
        <f>IF(OR(R561="",S561=""),"",DATE(YEAR(S561),MONTH(S561)+R561,DAY(S561)))</f>
        <v/>
      </c>
      <c r="U561" s="144">
        <f>IF(T561="","",T561-AsOf)</f>
        <v/>
      </c>
      <c r="V561" s="107">
        <f>IF(T561="",IF(P561="","","Enter last-done date"),IF(U561&lt;0,"Overdue",IF(U561&lt;=30,"Due soon","OK")))</f>
        <v/>
      </c>
      <c r="W561" s="79">
        <f>IF(T561="","",IF(U561&lt;0,2,IF(U561&lt;=30,1,0)))</f>
        <v/>
      </c>
      <c r="X561" s="112">
        <f>IF(T561="","",T561)</f>
        <v/>
      </c>
      <c r="Y561" s="79">
        <f>IF(X561="","",IF(X561&lt;=AsOf+AlertDays,2,IF(X561&lt;=AsOf+30,3,"")))</f>
        <v/>
      </c>
      <c r="Z561" s="79">
        <f>IF(Y561="","",IF(U561&lt;0,"Maintenance overdue: ","Maintenance due: ")&amp;P561)</f>
        <v/>
      </c>
    </row>
    <row r="562" ht="20" customHeight="1">
      <c r="B562" s="72" t="n"/>
      <c r="C562" s="72" t="n"/>
      <c r="D562" s="72" t="n"/>
      <c r="E562" s="109" t="n"/>
      <c r="F562" s="74" t="n"/>
      <c r="G562" s="126">
        <f>IF(OR(E562="",F562=""),"",DATE(YEAR(E562),MONTH(E562)+ROUND(F562*12,0),DAY(E562)))</f>
        <v/>
      </c>
      <c r="H562" s="144">
        <f>IF(G562="","",G562-AsOf)</f>
        <v/>
      </c>
      <c r="I562" s="107">
        <f>IF(G562="","",IF(H562&lt;0,"Expired",IF(H562&lt;=90,"Expires soon","Active")))</f>
        <v/>
      </c>
      <c r="J562" s="72" t="n"/>
      <c r="K562" s="79">
        <f>IF(I562="","",IF(I562="Active",0,IF(I562="Expires soon",1,3)))</f>
        <v/>
      </c>
      <c r="L562" s="112">
        <f>IF(G562="","",IF(G562&lt;AsOf,"",G562))</f>
        <v/>
      </c>
      <c r="M562" s="79">
        <f>IF(L562="","",IF(L562&lt;=AsOf+AlertDays,2,IF(L562&lt;=AsOf+90,3,"")))</f>
        <v/>
      </c>
      <c r="N562" s="79">
        <f>IF(M562="","","Warranty expires in "&amp;H562&amp;" days: "&amp;B562&amp;IF(C562="",""," ("&amp;C562&amp;")")&amp;" — check for defects")</f>
        <v/>
      </c>
      <c r="P562" s="72" t="n"/>
      <c r="Q562" s="72" t="n"/>
      <c r="R562" s="89" t="n"/>
      <c r="S562" s="109" t="n"/>
      <c r="T562" s="126">
        <f>IF(OR(R562="",S562=""),"",DATE(YEAR(S562),MONTH(S562)+R562,DAY(S562)))</f>
        <v/>
      </c>
      <c r="U562" s="144">
        <f>IF(T562="","",T562-AsOf)</f>
        <v/>
      </c>
      <c r="V562" s="107">
        <f>IF(T562="",IF(P562="","","Enter last-done date"),IF(U562&lt;0,"Overdue",IF(U562&lt;=30,"Due soon","OK")))</f>
        <v/>
      </c>
      <c r="W562" s="79">
        <f>IF(T562="","",IF(U562&lt;0,2,IF(U562&lt;=30,1,0)))</f>
        <v/>
      </c>
      <c r="X562" s="112">
        <f>IF(T562="","",T562)</f>
        <v/>
      </c>
      <c r="Y562" s="79">
        <f>IF(X562="","",IF(X562&lt;=AsOf+AlertDays,2,IF(X562&lt;=AsOf+30,3,"")))</f>
        <v/>
      </c>
      <c r="Z562" s="79">
        <f>IF(Y562="","",IF(U562&lt;0,"Maintenance overdue: ","Maintenance due: ")&amp;P562)</f>
        <v/>
      </c>
    </row>
    <row r="563" ht="20" customHeight="1">
      <c r="B563" s="72" t="n"/>
      <c r="C563" s="72" t="n"/>
      <c r="D563" s="72" t="n"/>
      <c r="E563" s="109" t="n"/>
      <c r="F563" s="74" t="n"/>
      <c r="G563" s="126">
        <f>IF(OR(E563="",F563=""),"",DATE(YEAR(E563),MONTH(E563)+ROUND(F563*12,0),DAY(E563)))</f>
        <v/>
      </c>
      <c r="H563" s="144">
        <f>IF(G563="","",G563-AsOf)</f>
        <v/>
      </c>
      <c r="I563" s="107">
        <f>IF(G563="","",IF(H563&lt;0,"Expired",IF(H563&lt;=90,"Expires soon","Active")))</f>
        <v/>
      </c>
      <c r="J563" s="72" t="n"/>
      <c r="K563" s="79">
        <f>IF(I563="","",IF(I563="Active",0,IF(I563="Expires soon",1,3)))</f>
        <v/>
      </c>
      <c r="L563" s="112">
        <f>IF(G563="","",IF(G563&lt;AsOf,"",G563))</f>
        <v/>
      </c>
      <c r="M563" s="79">
        <f>IF(L563="","",IF(L563&lt;=AsOf+AlertDays,2,IF(L563&lt;=AsOf+90,3,"")))</f>
        <v/>
      </c>
      <c r="N563" s="79">
        <f>IF(M563="","","Warranty expires in "&amp;H563&amp;" days: "&amp;B563&amp;IF(C563="",""," ("&amp;C563&amp;")")&amp;" — check for defects")</f>
        <v/>
      </c>
      <c r="P563" s="72" t="n"/>
      <c r="Q563" s="72" t="n"/>
      <c r="R563" s="89" t="n"/>
      <c r="S563" s="109" t="n"/>
      <c r="T563" s="126">
        <f>IF(OR(R563="",S563=""),"",DATE(YEAR(S563),MONTH(S563)+R563,DAY(S563)))</f>
        <v/>
      </c>
      <c r="U563" s="144">
        <f>IF(T563="","",T563-AsOf)</f>
        <v/>
      </c>
      <c r="V563" s="107">
        <f>IF(T563="",IF(P563="","","Enter last-done date"),IF(U563&lt;0,"Overdue",IF(U563&lt;=30,"Due soon","OK")))</f>
        <v/>
      </c>
      <c r="W563" s="79">
        <f>IF(T563="","",IF(U563&lt;0,2,IF(U563&lt;=30,1,0)))</f>
        <v/>
      </c>
      <c r="X563" s="112">
        <f>IF(T563="","",T563)</f>
        <v/>
      </c>
      <c r="Y563" s="79">
        <f>IF(X563="","",IF(X563&lt;=AsOf+AlertDays,2,IF(X563&lt;=AsOf+30,3,"")))</f>
        <v/>
      </c>
      <c r="Z563" s="79">
        <f>IF(Y563="","",IF(U563&lt;0,"Maintenance overdue: ","Maintenance due: ")&amp;P563)</f>
        <v/>
      </c>
    </row>
    <row r="564" ht="20" customHeight="1">
      <c r="B564" s="72" t="n"/>
      <c r="C564" s="72" t="n"/>
      <c r="D564" s="72" t="n"/>
      <c r="E564" s="109" t="n"/>
      <c r="F564" s="74" t="n"/>
      <c r="G564" s="126">
        <f>IF(OR(E564="",F564=""),"",DATE(YEAR(E564),MONTH(E564)+ROUND(F564*12,0),DAY(E564)))</f>
        <v/>
      </c>
      <c r="H564" s="144">
        <f>IF(G564="","",G564-AsOf)</f>
        <v/>
      </c>
      <c r="I564" s="107">
        <f>IF(G564="","",IF(H564&lt;0,"Expired",IF(H564&lt;=90,"Expires soon","Active")))</f>
        <v/>
      </c>
      <c r="J564" s="72" t="n"/>
      <c r="K564" s="79">
        <f>IF(I564="","",IF(I564="Active",0,IF(I564="Expires soon",1,3)))</f>
        <v/>
      </c>
      <c r="L564" s="112">
        <f>IF(G564="","",IF(G564&lt;AsOf,"",G564))</f>
        <v/>
      </c>
      <c r="M564" s="79">
        <f>IF(L564="","",IF(L564&lt;=AsOf+AlertDays,2,IF(L564&lt;=AsOf+90,3,"")))</f>
        <v/>
      </c>
      <c r="N564" s="79">
        <f>IF(M564="","","Warranty expires in "&amp;H564&amp;" days: "&amp;B564&amp;IF(C564="",""," ("&amp;C564&amp;")")&amp;" — check for defects")</f>
        <v/>
      </c>
      <c r="P564" s="72" t="n"/>
      <c r="Q564" s="72" t="n"/>
      <c r="R564" s="89" t="n"/>
      <c r="S564" s="109" t="n"/>
      <c r="T564" s="126">
        <f>IF(OR(R564="",S564=""),"",DATE(YEAR(S564),MONTH(S564)+R564,DAY(S564)))</f>
        <v/>
      </c>
      <c r="U564" s="144">
        <f>IF(T564="","",T564-AsOf)</f>
        <v/>
      </c>
      <c r="V564" s="107">
        <f>IF(T564="",IF(P564="","","Enter last-done date"),IF(U564&lt;0,"Overdue",IF(U564&lt;=30,"Due soon","OK")))</f>
        <v/>
      </c>
      <c r="W564" s="79">
        <f>IF(T564="","",IF(U564&lt;0,2,IF(U564&lt;=30,1,0)))</f>
        <v/>
      </c>
      <c r="X564" s="112">
        <f>IF(T564="","",T564)</f>
        <v/>
      </c>
      <c r="Y564" s="79">
        <f>IF(X564="","",IF(X564&lt;=AsOf+AlertDays,2,IF(X564&lt;=AsOf+30,3,"")))</f>
        <v/>
      </c>
      <c r="Z564" s="79">
        <f>IF(Y564="","",IF(U564&lt;0,"Maintenance overdue: ","Maintenance due: ")&amp;P564)</f>
        <v/>
      </c>
    </row>
    <row r="565" ht="20" customHeight="1">
      <c r="B565" s="72" t="n"/>
      <c r="C565" s="72" t="n"/>
      <c r="D565" s="72" t="n"/>
      <c r="E565" s="109" t="n"/>
      <c r="F565" s="74" t="n"/>
      <c r="G565" s="126">
        <f>IF(OR(E565="",F565=""),"",DATE(YEAR(E565),MONTH(E565)+ROUND(F565*12,0),DAY(E565)))</f>
        <v/>
      </c>
      <c r="H565" s="144">
        <f>IF(G565="","",G565-AsOf)</f>
        <v/>
      </c>
      <c r="I565" s="107">
        <f>IF(G565="","",IF(H565&lt;0,"Expired",IF(H565&lt;=90,"Expires soon","Active")))</f>
        <v/>
      </c>
      <c r="J565" s="72" t="n"/>
      <c r="K565" s="79">
        <f>IF(I565="","",IF(I565="Active",0,IF(I565="Expires soon",1,3)))</f>
        <v/>
      </c>
      <c r="L565" s="112">
        <f>IF(G565="","",IF(G565&lt;AsOf,"",G565))</f>
        <v/>
      </c>
      <c r="M565" s="79">
        <f>IF(L565="","",IF(L565&lt;=AsOf+AlertDays,2,IF(L565&lt;=AsOf+90,3,"")))</f>
        <v/>
      </c>
      <c r="N565" s="79">
        <f>IF(M565="","","Warranty expires in "&amp;H565&amp;" days: "&amp;B565&amp;IF(C565="",""," ("&amp;C565&amp;")")&amp;" — check for defects")</f>
        <v/>
      </c>
      <c r="P565" s="72" t="n"/>
      <c r="Q565" s="72" t="n"/>
      <c r="R565" s="89" t="n"/>
      <c r="S565" s="109" t="n"/>
      <c r="T565" s="126">
        <f>IF(OR(R565="",S565=""),"",DATE(YEAR(S565),MONTH(S565)+R565,DAY(S565)))</f>
        <v/>
      </c>
      <c r="U565" s="144">
        <f>IF(T565="","",T565-AsOf)</f>
        <v/>
      </c>
      <c r="V565" s="107">
        <f>IF(T565="",IF(P565="","","Enter last-done date"),IF(U565&lt;0,"Overdue",IF(U565&lt;=30,"Due soon","OK")))</f>
        <v/>
      </c>
      <c r="W565" s="79">
        <f>IF(T565="","",IF(U565&lt;0,2,IF(U565&lt;=30,1,0)))</f>
        <v/>
      </c>
      <c r="X565" s="112">
        <f>IF(T565="","",T565)</f>
        <v/>
      </c>
      <c r="Y565" s="79">
        <f>IF(X565="","",IF(X565&lt;=AsOf+AlertDays,2,IF(X565&lt;=AsOf+30,3,"")))</f>
        <v/>
      </c>
      <c r="Z565" s="79">
        <f>IF(Y565="","",IF(U565&lt;0,"Maintenance overdue: ","Maintenance due: ")&amp;P565)</f>
        <v/>
      </c>
    </row>
    <row r="566" ht="20" customHeight="1">
      <c r="B566" s="72" t="n"/>
      <c r="C566" s="72" t="n"/>
      <c r="D566" s="72" t="n"/>
      <c r="E566" s="109" t="n"/>
      <c r="F566" s="74" t="n"/>
      <c r="G566" s="126">
        <f>IF(OR(E566="",F566=""),"",DATE(YEAR(E566),MONTH(E566)+ROUND(F566*12,0),DAY(E566)))</f>
        <v/>
      </c>
      <c r="H566" s="144">
        <f>IF(G566="","",G566-AsOf)</f>
        <v/>
      </c>
      <c r="I566" s="107">
        <f>IF(G566="","",IF(H566&lt;0,"Expired",IF(H566&lt;=90,"Expires soon","Active")))</f>
        <v/>
      </c>
      <c r="J566" s="72" t="n"/>
      <c r="K566" s="79">
        <f>IF(I566="","",IF(I566="Active",0,IF(I566="Expires soon",1,3)))</f>
        <v/>
      </c>
      <c r="L566" s="112">
        <f>IF(G566="","",IF(G566&lt;AsOf,"",G566))</f>
        <v/>
      </c>
      <c r="M566" s="79">
        <f>IF(L566="","",IF(L566&lt;=AsOf+AlertDays,2,IF(L566&lt;=AsOf+90,3,"")))</f>
        <v/>
      </c>
      <c r="N566" s="79">
        <f>IF(M566="","","Warranty expires in "&amp;H566&amp;" days: "&amp;B566&amp;IF(C566="",""," ("&amp;C566&amp;")")&amp;" — check for defects")</f>
        <v/>
      </c>
      <c r="P566" s="72" t="n"/>
      <c r="Q566" s="72" t="n"/>
      <c r="R566" s="89" t="n"/>
      <c r="S566" s="109" t="n"/>
      <c r="T566" s="126">
        <f>IF(OR(R566="",S566=""),"",DATE(YEAR(S566),MONTH(S566)+R566,DAY(S566)))</f>
        <v/>
      </c>
      <c r="U566" s="144">
        <f>IF(T566="","",T566-AsOf)</f>
        <v/>
      </c>
      <c r="V566" s="107">
        <f>IF(T566="",IF(P566="","","Enter last-done date"),IF(U566&lt;0,"Overdue",IF(U566&lt;=30,"Due soon","OK")))</f>
        <v/>
      </c>
      <c r="W566" s="79">
        <f>IF(T566="","",IF(U566&lt;0,2,IF(U566&lt;=30,1,0)))</f>
        <v/>
      </c>
      <c r="X566" s="112">
        <f>IF(T566="","",T566)</f>
        <v/>
      </c>
      <c r="Y566" s="79">
        <f>IF(X566="","",IF(X566&lt;=AsOf+AlertDays,2,IF(X566&lt;=AsOf+30,3,"")))</f>
        <v/>
      </c>
      <c r="Z566" s="79">
        <f>IF(Y566="","",IF(U566&lt;0,"Maintenance overdue: ","Maintenance due: ")&amp;P566)</f>
        <v/>
      </c>
    </row>
    <row r="567" ht="20" customHeight="1">
      <c r="B567" s="72" t="n"/>
      <c r="C567" s="72" t="n"/>
      <c r="D567" s="72" t="n"/>
      <c r="E567" s="109" t="n"/>
      <c r="F567" s="74" t="n"/>
      <c r="G567" s="126">
        <f>IF(OR(E567="",F567=""),"",DATE(YEAR(E567),MONTH(E567)+ROUND(F567*12,0),DAY(E567)))</f>
        <v/>
      </c>
      <c r="H567" s="144">
        <f>IF(G567="","",G567-AsOf)</f>
        <v/>
      </c>
      <c r="I567" s="107">
        <f>IF(G567="","",IF(H567&lt;0,"Expired",IF(H567&lt;=90,"Expires soon","Active")))</f>
        <v/>
      </c>
      <c r="J567" s="72" t="n"/>
      <c r="K567" s="79">
        <f>IF(I567="","",IF(I567="Active",0,IF(I567="Expires soon",1,3)))</f>
        <v/>
      </c>
      <c r="L567" s="112">
        <f>IF(G567="","",IF(G567&lt;AsOf,"",G567))</f>
        <v/>
      </c>
      <c r="M567" s="79">
        <f>IF(L567="","",IF(L567&lt;=AsOf+AlertDays,2,IF(L567&lt;=AsOf+90,3,"")))</f>
        <v/>
      </c>
      <c r="N567" s="79">
        <f>IF(M567="","","Warranty expires in "&amp;H567&amp;" days: "&amp;B567&amp;IF(C567="",""," ("&amp;C567&amp;")")&amp;" — check for defects")</f>
        <v/>
      </c>
      <c r="P567" s="72" t="n"/>
      <c r="Q567" s="72" t="n"/>
      <c r="R567" s="89" t="n"/>
      <c r="S567" s="109" t="n"/>
      <c r="T567" s="126">
        <f>IF(OR(R567="",S567=""),"",DATE(YEAR(S567),MONTH(S567)+R567,DAY(S567)))</f>
        <v/>
      </c>
      <c r="U567" s="144">
        <f>IF(T567="","",T567-AsOf)</f>
        <v/>
      </c>
      <c r="V567" s="107">
        <f>IF(T567="",IF(P567="","","Enter last-done date"),IF(U567&lt;0,"Overdue",IF(U567&lt;=30,"Due soon","OK")))</f>
        <v/>
      </c>
      <c r="W567" s="79">
        <f>IF(T567="","",IF(U567&lt;0,2,IF(U567&lt;=30,1,0)))</f>
        <v/>
      </c>
      <c r="X567" s="112">
        <f>IF(T567="","",T567)</f>
        <v/>
      </c>
      <c r="Y567" s="79">
        <f>IF(X567="","",IF(X567&lt;=AsOf+AlertDays,2,IF(X567&lt;=AsOf+30,3,"")))</f>
        <v/>
      </c>
      <c r="Z567" s="79">
        <f>IF(Y567="","",IF(U567&lt;0,"Maintenance overdue: ","Maintenance due: ")&amp;P567)</f>
        <v/>
      </c>
    </row>
    <row r="568" ht="20" customHeight="1">
      <c r="B568" s="72" t="n"/>
      <c r="C568" s="72" t="n"/>
      <c r="D568" s="72" t="n"/>
      <c r="E568" s="109" t="n"/>
      <c r="F568" s="74" t="n"/>
      <c r="G568" s="126">
        <f>IF(OR(E568="",F568=""),"",DATE(YEAR(E568),MONTH(E568)+ROUND(F568*12,0),DAY(E568)))</f>
        <v/>
      </c>
      <c r="H568" s="144">
        <f>IF(G568="","",G568-AsOf)</f>
        <v/>
      </c>
      <c r="I568" s="107">
        <f>IF(G568="","",IF(H568&lt;0,"Expired",IF(H568&lt;=90,"Expires soon","Active")))</f>
        <v/>
      </c>
      <c r="J568" s="72" t="n"/>
      <c r="K568" s="79">
        <f>IF(I568="","",IF(I568="Active",0,IF(I568="Expires soon",1,3)))</f>
        <v/>
      </c>
      <c r="L568" s="112">
        <f>IF(G568="","",IF(G568&lt;AsOf,"",G568))</f>
        <v/>
      </c>
      <c r="M568" s="79">
        <f>IF(L568="","",IF(L568&lt;=AsOf+AlertDays,2,IF(L568&lt;=AsOf+90,3,"")))</f>
        <v/>
      </c>
      <c r="N568" s="79">
        <f>IF(M568="","","Warranty expires in "&amp;H568&amp;" days: "&amp;B568&amp;IF(C568="",""," ("&amp;C568&amp;")")&amp;" — check for defects")</f>
        <v/>
      </c>
      <c r="P568" s="72" t="n"/>
      <c r="Q568" s="72" t="n"/>
      <c r="R568" s="89" t="n"/>
      <c r="S568" s="109" t="n"/>
      <c r="T568" s="126">
        <f>IF(OR(R568="",S568=""),"",DATE(YEAR(S568),MONTH(S568)+R568,DAY(S568)))</f>
        <v/>
      </c>
      <c r="U568" s="144">
        <f>IF(T568="","",T568-AsOf)</f>
        <v/>
      </c>
      <c r="V568" s="107">
        <f>IF(T568="",IF(P568="","","Enter last-done date"),IF(U568&lt;0,"Overdue",IF(U568&lt;=30,"Due soon","OK")))</f>
        <v/>
      </c>
      <c r="W568" s="79">
        <f>IF(T568="","",IF(U568&lt;0,2,IF(U568&lt;=30,1,0)))</f>
        <v/>
      </c>
      <c r="X568" s="112">
        <f>IF(T568="","",T568)</f>
        <v/>
      </c>
      <c r="Y568" s="79">
        <f>IF(X568="","",IF(X568&lt;=AsOf+AlertDays,2,IF(X568&lt;=AsOf+30,3,"")))</f>
        <v/>
      </c>
      <c r="Z568" s="79">
        <f>IF(Y568="","",IF(U568&lt;0,"Maintenance overdue: ","Maintenance due: ")&amp;P568)</f>
        <v/>
      </c>
    </row>
    <row r="569" ht="20" customHeight="1">
      <c r="B569" s="72" t="n"/>
      <c r="C569" s="72" t="n"/>
      <c r="D569" s="72" t="n"/>
      <c r="E569" s="109" t="n"/>
      <c r="F569" s="74" t="n"/>
      <c r="G569" s="126">
        <f>IF(OR(E569="",F569=""),"",DATE(YEAR(E569),MONTH(E569)+ROUND(F569*12,0),DAY(E569)))</f>
        <v/>
      </c>
      <c r="H569" s="144">
        <f>IF(G569="","",G569-AsOf)</f>
        <v/>
      </c>
      <c r="I569" s="107">
        <f>IF(G569="","",IF(H569&lt;0,"Expired",IF(H569&lt;=90,"Expires soon","Active")))</f>
        <v/>
      </c>
      <c r="J569" s="72" t="n"/>
      <c r="K569" s="79">
        <f>IF(I569="","",IF(I569="Active",0,IF(I569="Expires soon",1,3)))</f>
        <v/>
      </c>
      <c r="L569" s="112">
        <f>IF(G569="","",IF(G569&lt;AsOf,"",G569))</f>
        <v/>
      </c>
      <c r="M569" s="79">
        <f>IF(L569="","",IF(L569&lt;=AsOf+AlertDays,2,IF(L569&lt;=AsOf+90,3,"")))</f>
        <v/>
      </c>
      <c r="N569" s="79">
        <f>IF(M569="","","Warranty expires in "&amp;H569&amp;" days: "&amp;B569&amp;IF(C569="",""," ("&amp;C569&amp;")")&amp;" — check for defects")</f>
        <v/>
      </c>
      <c r="P569" s="72" t="n"/>
      <c r="Q569" s="72" t="n"/>
      <c r="R569" s="89" t="n"/>
      <c r="S569" s="109" t="n"/>
      <c r="T569" s="126">
        <f>IF(OR(R569="",S569=""),"",DATE(YEAR(S569),MONTH(S569)+R569,DAY(S569)))</f>
        <v/>
      </c>
      <c r="U569" s="144">
        <f>IF(T569="","",T569-AsOf)</f>
        <v/>
      </c>
      <c r="V569" s="107">
        <f>IF(T569="",IF(P569="","","Enter last-done date"),IF(U569&lt;0,"Overdue",IF(U569&lt;=30,"Due soon","OK")))</f>
        <v/>
      </c>
      <c r="W569" s="79">
        <f>IF(T569="","",IF(U569&lt;0,2,IF(U569&lt;=30,1,0)))</f>
        <v/>
      </c>
      <c r="X569" s="112">
        <f>IF(T569="","",T569)</f>
        <v/>
      </c>
      <c r="Y569" s="79">
        <f>IF(X569="","",IF(X569&lt;=AsOf+AlertDays,2,IF(X569&lt;=AsOf+30,3,"")))</f>
        <v/>
      </c>
      <c r="Z569" s="79">
        <f>IF(Y569="","",IF(U569&lt;0,"Maintenance overdue: ","Maintenance due: ")&amp;P569)</f>
        <v/>
      </c>
    </row>
    <row r="570" ht="20" customHeight="1">
      <c r="B570" s="72" t="n"/>
      <c r="C570" s="72" t="n"/>
      <c r="D570" s="72" t="n"/>
      <c r="E570" s="109" t="n"/>
      <c r="F570" s="74" t="n"/>
      <c r="G570" s="126">
        <f>IF(OR(E570="",F570=""),"",DATE(YEAR(E570),MONTH(E570)+ROUND(F570*12,0),DAY(E570)))</f>
        <v/>
      </c>
      <c r="H570" s="144">
        <f>IF(G570="","",G570-AsOf)</f>
        <v/>
      </c>
      <c r="I570" s="107">
        <f>IF(G570="","",IF(H570&lt;0,"Expired",IF(H570&lt;=90,"Expires soon","Active")))</f>
        <v/>
      </c>
      <c r="J570" s="72" t="n"/>
      <c r="K570" s="79">
        <f>IF(I570="","",IF(I570="Active",0,IF(I570="Expires soon",1,3)))</f>
        <v/>
      </c>
      <c r="L570" s="112">
        <f>IF(G570="","",IF(G570&lt;AsOf,"",G570))</f>
        <v/>
      </c>
      <c r="M570" s="79">
        <f>IF(L570="","",IF(L570&lt;=AsOf+AlertDays,2,IF(L570&lt;=AsOf+90,3,"")))</f>
        <v/>
      </c>
      <c r="N570" s="79">
        <f>IF(M570="","","Warranty expires in "&amp;H570&amp;" days: "&amp;B570&amp;IF(C570="",""," ("&amp;C570&amp;")")&amp;" — check for defects")</f>
        <v/>
      </c>
      <c r="P570" s="72" t="n"/>
      <c r="Q570" s="72" t="n"/>
      <c r="R570" s="89" t="n"/>
      <c r="S570" s="109" t="n"/>
      <c r="T570" s="126">
        <f>IF(OR(R570="",S570=""),"",DATE(YEAR(S570),MONTH(S570)+R570,DAY(S570)))</f>
        <v/>
      </c>
      <c r="U570" s="144">
        <f>IF(T570="","",T570-AsOf)</f>
        <v/>
      </c>
      <c r="V570" s="107">
        <f>IF(T570="",IF(P570="","","Enter last-done date"),IF(U570&lt;0,"Overdue",IF(U570&lt;=30,"Due soon","OK")))</f>
        <v/>
      </c>
      <c r="W570" s="79">
        <f>IF(T570="","",IF(U570&lt;0,2,IF(U570&lt;=30,1,0)))</f>
        <v/>
      </c>
      <c r="X570" s="112">
        <f>IF(T570="","",T570)</f>
        <v/>
      </c>
      <c r="Y570" s="79">
        <f>IF(X570="","",IF(X570&lt;=AsOf+AlertDays,2,IF(X570&lt;=AsOf+30,3,"")))</f>
        <v/>
      </c>
      <c r="Z570" s="79">
        <f>IF(Y570="","",IF(U570&lt;0,"Maintenance overdue: ","Maintenance due: ")&amp;P570)</f>
        <v/>
      </c>
    </row>
    <row r="571" ht="20" customHeight="1">
      <c r="B571" s="72" t="n"/>
      <c r="C571" s="72" t="n"/>
      <c r="D571" s="72" t="n"/>
      <c r="E571" s="109" t="n"/>
      <c r="F571" s="74" t="n"/>
      <c r="G571" s="126">
        <f>IF(OR(E571="",F571=""),"",DATE(YEAR(E571),MONTH(E571)+ROUND(F571*12,0),DAY(E571)))</f>
        <v/>
      </c>
      <c r="H571" s="144">
        <f>IF(G571="","",G571-AsOf)</f>
        <v/>
      </c>
      <c r="I571" s="107">
        <f>IF(G571="","",IF(H571&lt;0,"Expired",IF(H571&lt;=90,"Expires soon","Active")))</f>
        <v/>
      </c>
      <c r="J571" s="72" t="n"/>
      <c r="K571" s="79">
        <f>IF(I571="","",IF(I571="Active",0,IF(I571="Expires soon",1,3)))</f>
        <v/>
      </c>
      <c r="L571" s="112">
        <f>IF(G571="","",IF(G571&lt;AsOf,"",G571))</f>
        <v/>
      </c>
      <c r="M571" s="79">
        <f>IF(L571="","",IF(L571&lt;=AsOf+AlertDays,2,IF(L571&lt;=AsOf+90,3,"")))</f>
        <v/>
      </c>
      <c r="N571" s="79">
        <f>IF(M571="","","Warranty expires in "&amp;H571&amp;" days: "&amp;B571&amp;IF(C571="",""," ("&amp;C571&amp;")")&amp;" — check for defects")</f>
        <v/>
      </c>
      <c r="P571" s="72" t="n"/>
      <c r="Q571" s="72" t="n"/>
      <c r="R571" s="89" t="n"/>
      <c r="S571" s="109" t="n"/>
      <c r="T571" s="126">
        <f>IF(OR(R571="",S571=""),"",DATE(YEAR(S571),MONTH(S571)+R571,DAY(S571)))</f>
        <v/>
      </c>
      <c r="U571" s="144">
        <f>IF(T571="","",T571-AsOf)</f>
        <v/>
      </c>
      <c r="V571" s="107">
        <f>IF(T571="",IF(P571="","","Enter last-done date"),IF(U571&lt;0,"Overdue",IF(U571&lt;=30,"Due soon","OK")))</f>
        <v/>
      </c>
      <c r="W571" s="79">
        <f>IF(T571="","",IF(U571&lt;0,2,IF(U571&lt;=30,1,0)))</f>
        <v/>
      </c>
      <c r="X571" s="112">
        <f>IF(T571="","",T571)</f>
        <v/>
      </c>
      <c r="Y571" s="79">
        <f>IF(X571="","",IF(X571&lt;=AsOf+AlertDays,2,IF(X571&lt;=AsOf+30,3,"")))</f>
        <v/>
      </c>
      <c r="Z571" s="79">
        <f>IF(Y571="","",IF(U571&lt;0,"Maintenance overdue: ","Maintenance due: ")&amp;P571)</f>
        <v/>
      </c>
    </row>
    <row r="572" ht="20" customHeight="1">
      <c r="B572" s="72" t="n"/>
      <c r="C572" s="72" t="n"/>
      <c r="D572" s="72" t="n"/>
      <c r="E572" s="109" t="n"/>
      <c r="F572" s="74" t="n"/>
      <c r="G572" s="126">
        <f>IF(OR(E572="",F572=""),"",DATE(YEAR(E572),MONTH(E572)+ROUND(F572*12,0),DAY(E572)))</f>
        <v/>
      </c>
      <c r="H572" s="144">
        <f>IF(G572="","",G572-AsOf)</f>
        <v/>
      </c>
      <c r="I572" s="107">
        <f>IF(G572="","",IF(H572&lt;0,"Expired",IF(H572&lt;=90,"Expires soon","Active")))</f>
        <v/>
      </c>
      <c r="J572" s="72" t="n"/>
      <c r="K572" s="79">
        <f>IF(I572="","",IF(I572="Active",0,IF(I572="Expires soon",1,3)))</f>
        <v/>
      </c>
      <c r="L572" s="112">
        <f>IF(G572="","",IF(G572&lt;AsOf,"",G572))</f>
        <v/>
      </c>
      <c r="M572" s="79">
        <f>IF(L572="","",IF(L572&lt;=AsOf+AlertDays,2,IF(L572&lt;=AsOf+90,3,"")))</f>
        <v/>
      </c>
      <c r="N572" s="79">
        <f>IF(M572="","","Warranty expires in "&amp;H572&amp;" days: "&amp;B572&amp;IF(C572="",""," ("&amp;C572&amp;")")&amp;" — check for defects")</f>
        <v/>
      </c>
      <c r="P572" s="72" t="n"/>
      <c r="Q572" s="72" t="n"/>
      <c r="R572" s="89" t="n"/>
      <c r="S572" s="109" t="n"/>
      <c r="T572" s="126">
        <f>IF(OR(R572="",S572=""),"",DATE(YEAR(S572),MONTH(S572)+R572,DAY(S572)))</f>
        <v/>
      </c>
      <c r="U572" s="144">
        <f>IF(T572="","",T572-AsOf)</f>
        <v/>
      </c>
      <c r="V572" s="107">
        <f>IF(T572="",IF(P572="","","Enter last-done date"),IF(U572&lt;0,"Overdue",IF(U572&lt;=30,"Due soon","OK")))</f>
        <v/>
      </c>
      <c r="W572" s="79">
        <f>IF(T572="","",IF(U572&lt;0,2,IF(U572&lt;=30,1,0)))</f>
        <v/>
      </c>
      <c r="X572" s="112">
        <f>IF(T572="","",T572)</f>
        <v/>
      </c>
      <c r="Y572" s="79">
        <f>IF(X572="","",IF(X572&lt;=AsOf+AlertDays,2,IF(X572&lt;=AsOf+30,3,"")))</f>
        <v/>
      </c>
      <c r="Z572" s="79">
        <f>IF(Y572="","",IF(U572&lt;0,"Maintenance overdue: ","Maintenance due: ")&amp;P572)</f>
        <v/>
      </c>
    </row>
    <row r="573" ht="20" customHeight="1">
      <c r="B573" s="72" t="n"/>
      <c r="C573" s="72" t="n"/>
      <c r="D573" s="72" t="n"/>
      <c r="E573" s="109" t="n"/>
      <c r="F573" s="74" t="n"/>
      <c r="G573" s="126">
        <f>IF(OR(E573="",F573=""),"",DATE(YEAR(E573),MONTH(E573)+ROUND(F573*12,0),DAY(E573)))</f>
        <v/>
      </c>
      <c r="H573" s="144">
        <f>IF(G573="","",G573-AsOf)</f>
        <v/>
      </c>
      <c r="I573" s="107">
        <f>IF(G573="","",IF(H573&lt;0,"Expired",IF(H573&lt;=90,"Expires soon","Active")))</f>
        <v/>
      </c>
      <c r="J573" s="72" t="n"/>
      <c r="K573" s="79">
        <f>IF(I573="","",IF(I573="Active",0,IF(I573="Expires soon",1,3)))</f>
        <v/>
      </c>
      <c r="L573" s="112">
        <f>IF(G573="","",IF(G573&lt;AsOf,"",G573))</f>
        <v/>
      </c>
      <c r="M573" s="79">
        <f>IF(L573="","",IF(L573&lt;=AsOf+AlertDays,2,IF(L573&lt;=AsOf+90,3,"")))</f>
        <v/>
      </c>
      <c r="N573" s="79">
        <f>IF(M573="","","Warranty expires in "&amp;H573&amp;" days: "&amp;B573&amp;IF(C573="",""," ("&amp;C573&amp;")")&amp;" — check for defects")</f>
        <v/>
      </c>
      <c r="P573" s="72" t="n"/>
      <c r="Q573" s="72" t="n"/>
      <c r="R573" s="89" t="n"/>
      <c r="S573" s="109" t="n"/>
      <c r="T573" s="126">
        <f>IF(OR(R573="",S573=""),"",DATE(YEAR(S573),MONTH(S573)+R573,DAY(S573)))</f>
        <v/>
      </c>
      <c r="U573" s="144">
        <f>IF(T573="","",T573-AsOf)</f>
        <v/>
      </c>
      <c r="V573" s="107">
        <f>IF(T573="",IF(P573="","","Enter last-done date"),IF(U573&lt;0,"Overdue",IF(U573&lt;=30,"Due soon","OK")))</f>
        <v/>
      </c>
      <c r="W573" s="79">
        <f>IF(T573="","",IF(U573&lt;0,2,IF(U573&lt;=30,1,0)))</f>
        <v/>
      </c>
      <c r="X573" s="112">
        <f>IF(T573="","",T573)</f>
        <v/>
      </c>
      <c r="Y573" s="79">
        <f>IF(X573="","",IF(X573&lt;=AsOf+AlertDays,2,IF(X573&lt;=AsOf+30,3,"")))</f>
        <v/>
      </c>
      <c r="Z573" s="79">
        <f>IF(Y573="","",IF(U573&lt;0,"Maintenance overdue: ","Maintenance due: ")&amp;P573)</f>
        <v/>
      </c>
    </row>
    <row r="574" ht="20" customHeight="1">
      <c r="B574" s="72" t="n"/>
      <c r="C574" s="72" t="n"/>
      <c r="D574" s="72" t="n"/>
      <c r="E574" s="109" t="n"/>
      <c r="F574" s="74" t="n"/>
      <c r="G574" s="126">
        <f>IF(OR(E574="",F574=""),"",DATE(YEAR(E574),MONTH(E574)+ROUND(F574*12,0),DAY(E574)))</f>
        <v/>
      </c>
      <c r="H574" s="144">
        <f>IF(G574="","",G574-AsOf)</f>
        <v/>
      </c>
      <c r="I574" s="107">
        <f>IF(G574="","",IF(H574&lt;0,"Expired",IF(H574&lt;=90,"Expires soon","Active")))</f>
        <v/>
      </c>
      <c r="J574" s="72" t="n"/>
      <c r="K574" s="79">
        <f>IF(I574="","",IF(I574="Active",0,IF(I574="Expires soon",1,3)))</f>
        <v/>
      </c>
      <c r="L574" s="112">
        <f>IF(G574="","",IF(G574&lt;AsOf,"",G574))</f>
        <v/>
      </c>
      <c r="M574" s="79">
        <f>IF(L574="","",IF(L574&lt;=AsOf+AlertDays,2,IF(L574&lt;=AsOf+90,3,"")))</f>
        <v/>
      </c>
      <c r="N574" s="79">
        <f>IF(M574="","","Warranty expires in "&amp;H574&amp;" days: "&amp;B574&amp;IF(C574="",""," ("&amp;C574&amp;")")&amp;" — check for defects")</f>
        <v/>
      </c>
      <c r="P574" s="72" t="n"/>
      <c r="Q574" s="72" t="n"/>
      <c r="R574" s="89" t="n"/>
      <c r="S574" s="109" t="n"/>
      <c r="T574" s="126">
        <f>IF(OR(R574="",S574=""),"",DATE(YEAR(S574),MONTH(S574)+R574,DAY(S574)))</f>
        <v/>
      </c>
      <c r="U574" s="144">
        <f>IF(T574="","",T574-AsOf)</f>
        <v/>
      </c>
      <c r="V574" s="107">
        <f>IF(T574="",IF(P574="","","Enter last-done date"),IF(U574&lt;0,"Overdue",IF(U574&lt;=30,"Due soon","OK")))</f>
        <v/>
      </c>
      <c r="W574" s="79">
        <f>IF(T574="","",IF(U574&lt;0,2,IF(U574&lt;=30,1,0)))</f>
        <v/>
      </c>
      <c r="X574" s="112">
        <f>IF(T574="","",T574)</f>
        <v/>
      </c>
      <c r="Y574" s="79">
        <f>IF(X574="","",IF(X574&lt;=AsOf+AlertDays,2,IF(X574&lt;=AsOf+30,3,"")))</f>
        <v/>
      </c>
      <c r="Z574" s="79">
        <f>IF(Y574="","",IF(U574&lt;0,"Maintenance overdue: ","Maintenance due: ")&amp;P574)</f>
        <v/>
      </c>
    </row>
    <row r="575" ht="20" customHeight="1">
      <c r="B575" s="72" t="n"/>
      <c r="C575" s="72" t="n"/>
      <c r="D575" s="72" t="n"/>
      <c r="E575" s="109" t="n"/>
      <c r="F575" s="74" t="n"/>
      <c r="G575" s="126">
        <f>IF(OR(E575="",F575=""),"",DATE(YEAR(E575),MONTH(E575)+ROUND(F575*12,0),DAY(E575)))</f>
        <v/>
      </c>
      <c r="H575" s="144">
        <f>IF(G575="","",G575-AsOf)</f>
        <v/>
      </c>
      <c r="I575" s="107">
        <f>IF(G575="","",IF(H575&lt;0,"Expired",IF(H575&lt;=90,"Expires soon","Active")))</f>
        <v/>
      </c>
      <c r="J575" s="72" t="n"/>
      <c r="K575" s="79">
        <f>IF(I575="","",IF(I575="Active",0,IF(I575="Expires soon",1,3)))</f>
        <v/>
      </c>
      <c r="L575" s="112">
        <f>IF(G575="","",IF(G575&lt;AsOf,"",G575))</f>
        <v/>
      </c>
      <c r="M575" s="79">
        <f>IF(L575="","",IF(L575&lt;=AsOf+AlertDays,2,IF(L575&lt;=AsOf+90,3,"")))</f>
        <v/>
      </c>
      <c r="N575" s="79">
        <f>IF(M575="","","Warranty expires in "&amp;H575&amp;" days: "&amp;B575&amp;IF(C575="",""," ("&amp;C575&amp;")")&amp;" — check for defects")</f>
        <v/>
      </c>
      <c r="P575" s="72" t="n"/>
      <c r="Q575" s="72" t="n"/>
      <c r="R575" s="89" t="n"/>
      <c r="S575" s="109" t="n"/>
      <c r="T575" s="126">
        <f>IF(OR(R575="",S575=""),"",DATE(YEAR(S575),MONTH(S575)+R575,DAY(S575)))</f>
        <v/>
      </c>
      <c r="U575" s="144">
        <f>IF(T575="","",T575-AsOf)</f>
        <v/>
      </c>
      <c r="V575" s="107">
        <f>IF(T575="",IF(P575="","","Enter last-done date"),IF(U575&lt;0,"Overdue",IF(U575&lt;=30,"Due soon","OK")))</f>
        <v/>
      </c>
      <c r="W575" s="79">
        <f>IF(T575="","",IF(U575&lt;0,2,IF(U575&lt;=30,1,0)))</f>
        <v/>
      </c>
      <c r="X575" s="112">
        <f>IF(T575="","",T575)</f>
        <v/>
      </c>
      <c r="Y575" s="79">
        <f>IF(X575="","",IF(X575&lt;=AsOf+AlertDays,2,IF(X575&lt;=AsOf+30,3,"")))</f>
        <v/>
      </c>
      <c r="Z575" s="79">
        <f>IF(Y575="","",IF(U575&lt;0,"Maintenance overdue: ","Maintenance due: ")&amp;P575)</f>
        <v/>
      </c>
    </row>
    <row r="576" ht="20" customHeight="1">
      <c r="B576" s="72" t="n"/>
      <c r="C576" s="72" t="n"/>
      <c r="D576" s="72" t="n"/>
      <c r="E576" s="109" t="n"/>
      <c r="F576" s="74" t="n"/>
      <c r="G576" s="126">
        <f>IF(OR(E576="",F576=""),"",DATE(YEAR(E576),MONTH(E576)+ROUND(F576*12,0),DAY(E576)))</f>
        <v/>
      </c>
      <c r="H576" s="144">
        <f>IF(G576="","",G576-AsOf)</f>
        <v/>
      </c>
      <c r="I576" s="107">
        <f>IF(G576="","",IF(H576&lt;0,"Expired",IF(H576&lt;=90,"Expires soon","Active")))</f>
        <v/>
      </c>
      <c r="J576" s="72" t="n"/>
      <c r="K576" s="79">
        <f>IF(I576="","",IF(I576="Active",0,IF(I576="Expires soon",1,3)))</f>
        <v/>
      </c>
      <c r="L576" s="112">
        <f>IF(G576="","",IF(G576&lt;AsOf,"",G576))</f>
        <v/>
      </c>
      <c r="M576" s="79">
        <f>IF(L576="","",IF(L576&lt;=AsOf+AlertDays,2,IF(L576&lt;=AsOf+90,3,"")))</f>
        <v/>
      </c>
      <c r="N576" s="79">
        <f>IF(M576="","","Warranty expires in "&amp;H576&amp;" days: "&amp;B576&amp;IF(C576="",""," ("&amp;C576&amp;")")&amp;" — check for defects")</f>
        <v/>
      </c>
      <c r="P576" s="72" t="n"/>
      <c r="Q576" s="72" t="n"/>
      <c r="R576" s="89" t="n"/>
      <c r="S576" s="109" t="n"/>
      <c r="T576" s="126">
        <f>IF(OR(R576="",S576=""),"",DATE(YEAR(S576),MONTH(S576)+R576,DAY(S576)))</f>
        <v/>
      </c>
      <c r="U576" s="144">
        <f>IF(T576="","",T576-AsOf)</f>
        <v/>
      </c>
      <c r="V576" s="107">
        <f>IF(T576="",IF(P576="","","Enter last-done date"),IF(U576&lt;0,"Overdue",IF(U576&lt;=30,"Due soon","OK")))</f>
        <v/>
      </c>
      <c r="W576" s="79">
        <f>IF(T576="","",IF(U576&lt;0,2,IF(U576&lt;=30,1,0)))</f>
        <v/>
      </c>
      <c r="X576" s="112">
        <f>IF(T576="","",T576)</f>
        <v/>
      </c>
      <c r="Y576" s="79">
        <f>IF(X576="","",IF(X576&lt;=AsOf+AlertDays,2,IF(X576&lt;=AsOf+30,3,"")))</f>
        <v/>
      </c>
      <c r="Z576" s="79">
        <f>IF(Y576="","",IF(U576&lt;0,"Maintenance overdue: ","Maintenance due: ")&amp;P576)</f>
        <v/>
      </c>
    </row>
    <row r="577" ht="20" customHeight="1">
      <c r="B577" s="72" t="n"/>
      <c r="C577" s="72" t="n"/>
      <c r="D577" s="72" t="n"/>
      <c r="E577" s="109" t="n"/>
      <c r="F577" s="74" t="n"/>
      <c r="G577" s="126">
        <f>IF(OR(E577="",F577=""),"",DATE(YEAR(E577),MONTH(E577)+ROUND(F577*12,0),DAY(E577)))</f>
        <v/>
      </c>
      <c r="H577" s="144">
        <f>IF(G577="","",G577-AsOf)</f>
        <v/>
      </c>
      <c r="I577" s="107">
        <f>IF(G577="","",IF(H577&lt;0,"Expired",IF(H577&lt;=90,"Expires soon","Active")))</f>
        <v/>
      </c>
      <c r="J577" s="72" t="n"/>
      <c r="K577" s="79">
        <f>IF(I577="","",IF(I577="Active",0,IF(I577="Expires soon",1,3)))</f>
        <v/>
      </c>
      <c r="L577" s="112">
        <f>IF(G577="","",IF(G577&lt;AsOf,"",G577))</f>
        <v/>
      </c>
      <c r="M577" s="79">
        <f>IF(L577="","",IF(L577&lt;=AsOf+AlertDays,2,IF(L577&lt;=AsOf+90,3,"")))</f>
        <v/>
      </c>
      <c r="N577" s="79">
        <f>IF(M577="","","Warranty expires in "&amp;H577&amp;" days: "&amp;B577&amp;IF(C577="",""," ("&amp;C577&amp;")")&amp;" — check for defects")</f>
        <v/>
      </c>
      <c r="P577" s="72" t="n"/>
      <c r="Q577" s="72" t="n"/>
      <c r="R577" s="89" t="n"/>
      <c r="S577" s="109" t="n"/>
      <c r="T577" s="126">
        <f>IF(OR(R577="",S577=""),"",DATE(YEAR(S577),MONTH(S577)+R577,DAY(S577)))</f>
        <v/>
      </c>
      <c r="U577" s="144">
        <f>IF(T577="","",T577-AsOf)</f>
        <v/>
      </c>
      <c r="V577" s="107">
        <f>IF(T577="",IF(P577="","","Enter last-done date"),IF(U577&lt;0,"Overdue",IF(U577&lt;=30,"Due soon","OK")))</f>
        <v/>
      </c>
      <c r="W577" s="79">
        <f>IF(T577="","",IF(U577&lt;0,2,IF(U577&lt;=30,1,0)))</f>
        <v/>
      </c>
      <c r="X577" s="112">
        <f>IF(T577="","",T577)</f>
        <v/>
      </c>
      <c r="Y577" s="79">
        <f>IF(X577="","",IF(X577&lt;=AsOf+AlertDays,2,IF(X577&lt;=AsOf+30,3,"")))</f>
        <v/>
      </c>
      <c r="Z577" s="79">
        <f>IF(Y577="","",IF(U577&lt;0,"Maintenance overdue: ","Maintenance due: ")&amp;P577)</f>
        <v/>
      </c>
    </row>
    <row r="578" ht="20" customHeight="1">
      <c r="B578" s="72" t="n"/>
      <c r="C578" s="72" t="n"/>
      <c r="D578" s="72" t="n"/>
      <c r="E578" s="109" t="n"/>
      <c r="F578" s="74" t="n"/>
      <c r="G578" s="126">
        <f>IF(OR(E578="",F578=""),"",DATE(YEAR(E578),MONTH(E578)+ROUND(F578*12,0),DAY(E578)))</f>
        <v/>
      </c>
      <c r="H578" s="144">
        <f>IF(G578="","",G578-AsOf)</f>
        <v/>
      </c>
      <c r="I578" s="107">
        <f>IF(G578="","",IF(H578&lt;0,"Expired",IF(H578&lt;=90,"Expires soon","Active")))</f>
        <v/>
      </c>
      <c r="J578" s="72" t="n"/>
      <c r="K578" s="79">
        <f>IF(I578="","",IF(I578="Active",0,IF(I578="Expires soon",1,3)))</f>
        <v/>
      </c>
      <c r="L578" s="112">
        <f>IF(G578="","",IF(G578&lt;AsOf,"",G578))</f>
        <v/>
      </c>
      <c r="M578" s="79">
        <f>IF(L578="","",IF(L578&lt;=AsOf+AlertDays,2,IF(L578&lt;=AsOf+90,3,"")))</f>
        <v/>
      </c>
      <c r="N578" s="79">
        <f>IF(M578="","","Warranty expires in "&amp;H578&amp;" days: "&amp;B578&amp;IF(C578="",""," ("&amp;C578&amp;")")&amp;" — check for defects")</f>
        <v/>
      </c>
      <c r="P578" s="72" t="n"/>
      <c r="Q578" s="72" t="n"/>
      <c r="R578" s="89" t="n"/>
      <c r="S578" s="109" t="n"/>
      <c r="T578" s="126">
        <f>IF(OR(R578="",S578=""),"",DATE(YEAR(S578),MONTH(S578)+R578,DAY(S578)))</f>
        <v/>
      </c>
      <c r="U578" s="144">
        <f>IF(T578="","",T578-AsOf)</f>
        <v/>
      </c>
      <c r="V578" s="107">
        <f>IF(T578="",IF(P578="","","Enter last-done date"),IF(U578&lt;0,"Overdue",IF(U578&lt;=30,"Due soon","OK")))</f>
        <v/>
      </c>
      <c r="W578" s="79">
        <f>IF(T578="","",IF(U578&lt;0,2,IF(U578&lt;=30,1,0)))</f>
        <v/>
      </c>
      <c r="X578" s="112">
        <f>IF(T578="","",T578)</f>
        <v/>
      </c>
      <c r="Y578" s="79">
        <f>IF(X578="","",IF(X578&lt;=AsOf+AlertDays,2,IF(X578&lt;=AsOf+30,3,"")))</f>
        <v/>
      </c>
      <c r="Z578" s="79">
        <f>IF(Y578="","",IF(U578&lt;0,"Maintenance overdue: ","Maintenance due: ")&amp;P578)</f>
        <v/>
      </c>
    </row>
    <row r="579" ht="20" customHeight="1">
      <c r="B579" s="72" t="n"/>
      <c r="C579" s="72" t="n"/>
      <c r="D579" s="72" t="n"/>
      <c r="E579" s="109" t="n"/>
      <c r="F579" s="74" t="n"/>
      <c r="G579" s="126">
        <f>IF(OR(E579="",F579=""),"",DATE(YEAR(E579),MONTH(E579)+ROUND(F579*12,0),DAY(E579)))</f>
        <v/>
      </c>
      <c r="H579" s="144">
        <f>IF(G579="","",G579-AsOf)</f>
        <v/>
      </c>
      <c r="I579" s="107">
        <f>IF(G579="","",IF(H579&lt;0,"Expired",IF(H579&lt;=90,"Expires soon","Active")))</f>
        <v/>
      </c>
      <c r="J579" s="72" t="n"/>
      <c r="K579" s="79">
        <f>IF(I579="","",IF(I579="Active",0,IF(I579="Expires soon",1,3)))</f>
        <v/>
      </c>
      <c r="L579" s="112">
        <f>IF(G579="","",IF(G579&lt;AsOf,"",G579))</f>
        <v/>
      </c>
      <c r="M579" s="79">
        <f>IF(L579="","",IF(L579&lt;=AsOf+AlertDays,2,IF(L579&lt;=AsOf+90,3,"")))</f>
        <v/>
      </c>
      <c r="N579" s="79">
        <f>IF(M579="","","Warranty expires in "&amp;H579&amp;" days: "&amp;B579&amp;IF(C579="",""," ("&amp;C579&amp;")")&amp;" — check for defects")</f>
        <v/>
      </c>
      <c r="P579" s="72" t="n"/>
      <c r="Q579" s="72" t="n"/>
      <c r="R579" s="89" t="n"/>
      <c r="S579" s="109" t="n"/>
      <c r="T579" s="126">
        <f>IF(OR(R579="",S579=""),"",DATE(YEAR(S579),MONTH(S579)+R579,DAY(S579)))</f>
        <v/>
      </c>
      <c r="U579" s="144">
        <f>IF(T579="","",T579-AsOf)</f>
        <v/>
      </c>
      <c r="V579" s="107">
        <f>IF(T579="",IF(P579="","","Enter last-done date"),IF(U579&lt;0,"Overdue",IF(U579&lt;=30,"Due soon","OK")))</f>
        <v/>
      </c>
      <c r="W579" s="79">
        <f>IF(T579="","",IF(U579&lt;0,2,IF(U579&lt;=30,1,0)))</f>
        <v/>
      </c>
      <c r="X579" s="112">
        <f>IF(T579="","",T579)</f>
        <v/>
      </c>
      <c r="Y579" s="79">
        <f>IF(X579="","",IF(X579&lt;=AsOf+AlertDays,2,IF(X579&lt;=AsOf+30,3,"")))</f>
        <v/>
      </c>
      <c r="Z579" s="79">
        <f>IF(Y579="","",IF(U579&lt;0,"Maintenance overdue: ","Maintenance due: ")&amp;P579)</f>
        <v/>
      </c>
    </row>
    <row r="580" ht="20" customHeight="1">
      <c r="B580" s="72" t="n"/>
      <c r="C580" s="72" t="n"/>
      <c r="D580" s="72" t="n"/>
      <c r="E580" s="109" t="n"/>
      <c r="F580" s="74" t="n"/>
      <c r="G580" s="126">
        <f>IF(OR(E580="",F580=""),"",DATE(YEAR(E580),MONTH(E580)+ROUND(F580*12,0),DAY(E580)))</f>
        <v/>
      </c>
      <c r="H580" s="144">
        <f>IF(G580="","",G580-AsOf)</f>
        <v/>
      </c>
      <c r="I580" s="107">
        <f>IF(G580="","",IF(H580&lt;0,"Expired",IF(H580&lt;=90,"Expires soon","Active")))</f>
        <v/>
      </c>
      <c r="J580" s="72" t="n"/>
      <c r="K580" s="79">
        <f>IF(I580="","",IF(I580="Active",0,IF(I580="Expires soon",1,3)))</f>
        <v/>
      </c>
      <c r="L580" s="112">
        <f>IF(G580="","",IF(G580&lt;AsOf,"",G580))</f>
        <v/>
      </c>
      <c r="M580" s="79">
        <f>IF(L580="","",IF(L580&lt;=AsOf+AlertDays,2,IF(L580&lt;=AsOf+90,3,"")))</f>
        <v/>
      </c>
      <c r="N580" s="79">
        <f>IF(M580="","","Warranty expires in "&amp;H580&amp;" days: "&amp;B580&amp;IF(C580="",""," ("&amp;C580&amp;")")&amp;" — check for defects")</f>
        <v/>
      </c>
      <c r="P580" s="72" t="n"/>
      <c r="Q580" s="72" t="n"/>
      <c r="R580" s="89" t="n"/>
      <c r="S580" s="109" t="n"/>
      <c r="T580" s="126">
        <f>IF(OR(R580="",S580=""),"",DATE(YEAR(S580),MONTH(S580)+R580,DAY(S580)))</f>
        <v/>
      </c>
      <c r="U580" s="144">
        <f>IF(T580="","",T580-AsOf)</f>
        <v/>
      </c>
      <c r="V580" s="107">
        <f>IF(T580="",IF(P580="","","Enter last-done date"),IF(U580&lt;0,"Overdue",IF(U580&lt;=30,"Due soon","OK")))</f>
        <v/>
      </c>
      <c r="W580" s="79">
        <f>IF(T580="","",IF(U580&lt;0,2,IF(U580&lt;=30,1,0)))</f>
        <v/>
      </c>
      <c r="X580" s="112">
        <f>IF(T580="","",T580)</f>
        <v/>
      </c>
      <c r="Y580" s="79">
        <f>IF(X580="","",IF(X580&lt;=AsOf+AlertDays,2,IF(X580&lt;=AsOf+30,3,"")))</f>
        <v/>
      </c>
      <c r="Z580" s="79">
        <f>IF(Y580="","",IF(U580&lt;0,"Maintenance overdue: ","Maintenance due: ")&amp;P580)</f>
        <v/>
      </c>
    </row>
    <row r="581" ht="20" customHeight="1">
      <c r="B581" s="72" t="n"/>
      <c r="C581" s="72" t="n"/>
      <c r="D581" s="72" t="n"/>
      <c r="E581" s="109" t="n"/>
      <c r="F581" s="74" t="n"/>
      <c r="G581" s="126">
        <f>IF(OR(E581="",F581=""),"",DATE(YEAR(E581),MONTH(E581)+ROUND(F581*12,0),DAY(E581)))</f>
        <v/>
      </c>
      <c r="H581" s="144">
        <f>IF(G581="","",G581-AsOf)</f>
        <v/>
      </c>
      <c r="I581" s="107">
        <f>IF(G581="","",IF(H581&lt;0,"Expired",IF(H581&lt;=90,"Expires soon","Active")))</f>
        <v/>
      </c>
      <c r="J581" s="72" t="n"/>
      <c r="K581" s="79">
        <f>IF(I581="","",IF(I581="Active",0,IF(I581="Expires soon",1,3)))</f>
        <v/>
      </c>
      <c r="L581" s="112">
        <f>IF(G581="","",IF(G581&lt;AsOf,"",G581))</f>
        <v/>
      </c>
      <c r="M581" s="79">
        <f>IF(L581="","",IF(L581&lt;=AsOf+AlertDays,2,IF(L581&lt;=AsOf+90,3,"")))</f>
        <v/>
      </c>
      <c r="N581" s="79">
        <f>IF(M581="","","Warranty expires in "&amp;H581&amp;" days: "&amp;B581&amp;IF(C581="",""," ("&amp;C581&amp;")")&amp;" — check for defects")</f>
        <v/>
      </c>
      <c r="P581" s="72" t="n"/>
      <c r="Q581" s="72" t="n"/>
      <c r="R581" s="89" t="n"/>
      <c r="S581" s="109" t="n"/>
      <c r="T581" s="126">
        <f>IF(OR(R581="",S581=""),"",DATE(YEAR(S581),MONTH(S581)+R581,DAY(S581)))</f>
        <v/>
      </c>
      <c r="U581" s="144">
        <f>IF(T581="","",T581-AsOf)</f>
        <v/>
      </c>
      <c r="V581" s="107">
        <f>IF(T581="",IF(P581="","","Enter last-done date"),IF(U581&lt;0,"Overdue",IF(U581&lt;=30,"Due soon","OK")))</f>
        <v/>
      </c>
      <c r="W581" s="79">
        <f>IF(T581="","",IF(U581&lt;0,2,IF(U581&lt;=30,1,0)))</f>
        <v/>
      </c>
      <c r="X581" s="112">
        <f>IF(T581="","",T581)</f>
        <v/>
      </c>
      <c r="Y581" s="79">
        <f>IF(X581="","",IF(X581&lt;=AsOf+AlertDays,2,IF(X581&lt;=AsOf+30,3,"")))</f>
        <v/>
      </c>
      <c r="Z581" s="79">
        <f>IF(Y581="","",IF(U581&lt;0,"Maintenance overdue: ","Maintenance due: ")&amp;P581)</f>
        <v/>
      </c>
    </row>
    <row r="582" ht="20" customHeight="1">
      <c r="B582" s="72" t="n"/>
      <c r="C582" s="72" t="n"/>
      <c r="D582" s="72" t="n"/>
      <c r="E582" s="109" t="n"/>
      <c r="F582" s="74" t="n"/>
      <c r="G582" s="126">
        <f>IF(OR(E582="",F582=""),"",DATE(YEAR(E582),MONTH(E582)+ROUND(F582*12,0),DAY(E582)))</f>
        <v/>
      </c>
      <c r="H582" s="144">
        <f>IF(G582="","",G582-AsOf)</f>
        <v/>
      </c>
      <c r="I582" s="107">
        <f>IF(G582="","",IF(H582&lt;0,"Expired",IF(H582&lt;=90,"Expires soon","Active")))</f>
        <v/>
      </c>
      <c r="J582" s="72" t="n"/>
      <c r="K582" s="79">
        <f>IF(I582="","",IF(I582="Active",0,IF(I582="Expires soon",1,3)))</f>
        <v/>
      </c>
      <c r="L582" s="112">
        <f>IF(G582="","",IF(G582&lt;AsOf,"",G582))</f>
        <v/>
      </c>
      <c r="M582" s="79">
        <f>IF(L582="","",IF(L582&lt;=AsOf+AlertDays,2,IF(L582&lt;=AsOf+90,3,"")))</f>
        <v/>
      </c>
      <c r="N582" s="79">
        <f>IF(M582="","","Warranty expires in "&amp;H582&amp;" days: "&amp;B582&amp;IF(C582="",""," ("&amp;C582&amp;")")&amp;" — check for defects")</f>
        <v/>
      </c>
      <c r="P582" s="72" t="n"/>
      <c r="Q582" s="72" t="n"/>
      <c r="R582" s="89" t="n"/>
      <c r="S582" s="109" t="n"/>
      <c r="T582" s="126">
        <f>IF(OR(R582="",S582=""),"",DATE(YEAR(S582),MONTH(S582)+R582,DAY(S582)))</f>
        <v/>
      </c>
      <c r="U582" s="144">
        <f>IF(T582="","",T582-AsOf)</f>
        <v/>
      </c>
      <c r="V582" s="107">
        <f>IF(T582="",IF(P582="","","Enter last-done date"),IF(U582&lt;0,"Overdue",IF(U582&lt;=30,"Due soon","OK")))</f>
        <v/>
      </c>
      <c r="W582" s="79">
        <f>IF(T582="","",IF(U582&lt;0,2,IF(U582&lt;=30,1,0)))</f>
        <v/>
      </c>
      <c r="X582" s="112">
        <f>IF(T582="","",T582)</f>
        <v/>
      </c>
      <c r="Y582" s="79">
        <f>IF(X582="","",IF(X582&lt;=AsOf+AlertDays,2,IF(X582&lt;=AsOf+30,3,"")))</f>
        <v/>
      </c>
      <c r="Z582" s="79">
        <f>IF(Y582="","",IF(U582&lt;0,"Maintenance overdue: ","Maintenance due: ")&amp;P582)</f>
        <v/>
      </c>
    </row>
    <row r="583" ht="20" customHeight="1">
      <c r="B583" s="72" t="n"/>
      <c r="C583" s="72" t="n"/>
      <c r="D583" s="72" t="n"/>
      <c r="E583" s="109" t="n"/>
      <c r="F583" s="74" t="n"/>
      <c r="G583" s="126">
        <f>IF(OR(E583="",F583=""),"",DATE(YEAR(E583),MONTH(E583)+ROUND(F583*12,0),DAY(E583)))</f>
        <v/>
      </c>
      <c r="H583" s="144">
        <f>IF(G583="","",G583-AsOf)</f>
        <v/>
      </c>
      <c r="I583" s="107">
        <f>IF(G583="","",IF(H583&lt;0,"Expired",IF(H583&lt;=90,"Expires soon","Active")))</f>
        <v/>
      </c>
      <c r="J583" s="72" t="n"/>
      <c r="K583" s="79">
        <f>IF(I583="","",IF(I583="Active",0,IF(I583="Expires soon",1,3)))</f>
        <v/>
      </c>
      <c r="L583" s="112">
        <f>IF(G583="","",IF(G583&lt;AsOf,"",G583))</f>
        <v/>
      </c>
      <c r="M583" s="79">
        <f>IF(L583="","",IF(L583&lt;=AsOf+AlertDays,2,IF(L583&lt;=AsOf+90,3,"")))</f>
        <v/>
      </c>
      <c r="N583" s="79">
        <f>IF(M583="","","Warranty expires in "&amp;H583&amp;" days: "&amp;B583&amp;IF(C583="",""," ("&amp;C583&amp;")")&amp;" — check for defects")</f>
        <v/>
      </c>
      <c r="P583" s="72" t="n"/>
      <c r="Q583" s="72" t="n"/>
      <c r="R583" s="89" t="n"/>
      <c r="S583" s="109" t="n"/>
      <c r="T583" s="126">
        <f>IF(OR(R583="",S583=""),"",DATE(YEAR(S583),MONTH(S583)+R583,DAY(S583)))</f>
        <v/>
      </c>
      <c r="U583" s="144">
        <f>IF(T583="","",T583-AsOf)</f>
        <v/>
      </c>
      <c r="V583" s="107">
        <f>IF(T583="",IF(P583="","","Enter last-done date"),IF(U583&lt;0,"Overdue",IF(U583&lt;=30,"Due soon","OK")))</f>
        <v/>
      </c>
      <c r="W583" s="79">
        <f>IF(T583="","",IF(U583&lt;0,2,IF(U583&lt;=30,1,0)))</f>
        <v/>
      </c>
      <c r="X583" s="112">
        <f>IF(T583="","",T583)</f>
        <v/>
      </c>
      <c r="Y583" s="79">
        <f>IF(X583="","",IF(X583&lt;=AsOf+AlertDays,2,IF(X583&lt;=AsOf+30,3,"")))</f>
        <v/>
      </c>
      <c r="Z583" s="79">
        <f>IF(Y583="","",IF(U583&lt;0,"Maintenance overdue: ","Maintenance due: ")&amp;P583)</f>
        <v/>
      </c>
    </row>
    <row r="584" ht="20" customHeight="1">
      <c r="B584" s="72" t="n"/>
      <c r="C584" s="72" t="n"/>
      <c r="D584" s="72" t="n"/>
      <c r="E584" s="109" t="n"/>
      <c r="F584" s="74" t="n"/>
      <c r="G584" s="126">
        <f>IF(OR(E584="",F584=""),"",DATE(YEAR(E584),MONTH(E584)+ROUND(F584*12,0),DAY(E584)))</f>
        <v/>
      </c>
      <c r="H584" s="144">
        <f>IF(G584="","",G584-AsOf)</f>
        <v/>
      </c>
      <c r="I584" s="107">
        <f>IF(G584="","",IF(H584&lt;0,"Expired",IF(H584&lt;=90,"Expires soon","Active")))</f>
        <v/>
      </c>
      <c r="J584" s="72" t="n"/>
      <c r="K584" s="79">
        <f>IF(I584="","",IF(I584="Active",0,IF(I584="Expires soon",1,3)))</f>
        <v/>
      </c>
      <c r="L584" s="112">
        <f>IF(G584="","",IF(G584&lt;AsOf,"",G584))</f>
        <v/>
      </c>
      <c r="M584" s="79">
        <f>IF(L584="","",IF(L584&lt;=AsOf+AlertDays,2,IF(L584&lt;=AsOf+90,3,"")))</f>
        <v/>
      </c>
      <c r="N584" s="79">
        <f>IF(M584="","","Warranty expires in "&amp;H584&amp;" days: "&amp;B584&amp;IF(C584="",""," ("&amp;C584&amp;")")&amp;" — check for defects")</f>
        <v/>
      </c>
      <c r="P584" s="72" t="n"/>
      <c r="Q584" s="72" t="n"/>
      <c r="R584" s="89" t="n"/>
      <c r="S584" s="109" t="n"/>
      <c r="T584" s="126">
        <f>IF(OR(R584="",S584=""),"",DATE(YEAR(S584),MONTH(S584)+R584,DAY(S584)))</f>
        <v/>
      </c>
      <c r="U584" s="144">
        <f>IF(T584="","",T584-AsOf)</f>
        <v/>
      </c>
      <c r="V584" s="107">
        <f>IF(T584="",IF(P584="","","Enter last-done date"),IF(U584&lt;0,"Overdue",IF(U584&lt;=30,"Due soon","OK")))</f>
        <v/>
      </c>
      <c r="W584" s="79">
        <f>IF(T584="","",IF(U584&lt;0,2,IF(U584&lt;=30,1,0)))</f>
        <v/>
      </c>
      <c r="X584" s="112">
        <f>IF(T584="","",T584)</f>
        <v/>
      </c>
      <c r="Y584" s="79">
        <f>IF(X584="","",IF(X584&lt;=AsOf+AlertDays,2,IF(X584&lt;=AsOf+30,3,"")))</f>
        <v/>
      </c>
      <c r="Z584" s="79">
        <f>IF(Y584="","",IF(U584&lt;0,"Maintenance overdue: ","Maintenance due: ")&amp;P584)</f>
        <v/>
      </c>
    </row>
    <row r="585" ht="20" customHeight="1">
      <c r="B585" s="72" t="n"/>
      <c r="C585" s="72" t="n"/>
      <c r="D585" s="72" t="n"/>
      <c r="E585" s="109" t="n"/>
      <c r="F585" s="74" t="n"/>
      <c r="G585" s="126">
        <f>IF(OR(E585="",F585=""),"",DATE(YEAR(E585),MONTH(E585)+ROUND(F585*12,0),DAY(E585)))</f>
        <v/>
      </c>
      <c r="H585" s="144">
        <f>IF(G585="","",G585-AsOf)</f>
        <v/>
      </c>
      <c r="I585" s="107">
        <f>IF(G585="","",IF(H585&lt;0,"Expired",IF(H585&lt;=90,"Expires soon","Active")))</f>
        <v/>
      </c>
      <c r="J585" s="72" t="n"/>
      <c r="K585" s="79">
        <f>IF(I585="","",IF(I585="Active",0,IF(I585="Expires soon",1,3)))</f>
        <v/>
      </c>
      <c r="L585" s="112">
        <f>IF(G585="","",IF(G585&lt;AsOf,"",G585))</f>
        <v/>
      </c>
      <c r="M585" s="79">
        <f>IF(L585="","",IF(L585&lt;=AsOf+AlertDays,2,IF(L585&lt;=AsOf+90,3,"")))</f>
        <v/>
      </c>
      <c r="N585" s="79">
        <f>IF(M585="","","Warranty expires in "&amp;H585&amp;" days: "&amp;B585&amp;IF(C585="",""," ("&amp;C585&amp;")")&amp;" — check for defects")</f>
        <v/>
      </c>
      <c r="P585" s="72" t="n"/>
      <c r="Q585" s="72" t="n"/>
      <c r="R585" s="89" t="n"/>
      <c r="S585" s="109" t="n"/>
      <c r="T585" s="126">
        <f>IF(OR(R585="",S585=""),"",DATE(YEAR(S585),MONTH(S585)+R585,DAY(S585)))</f>
        <v/>
      </c>
      <c r="U585" s="144">
        <f>IF(T585="","",T585-AsOf)</f>
        <v/>
      </c>
      <c r="V585" s="107">
        <f>IF(T585="",IF(P585="","","Enter last-done date"),IF(U585&lt;0,"Overdue",IF(U585&lt;=30,"Due soon","OK")))</f>
        <v/>
      </c>
      <c r="W585" s="79">
        <f>IF(T585="","",IF(U585&lt;0,2,IF(U585&lt;=30,1,0)))</f>
        <v/>
      </c>
      <c r="X585" s="112">
        <f>IF(T585="","",T585)</f>
        <v/>
      </c>
      <c r="Y585" s="79">
        <f>IF(X585="","",IF(X585&lt;=AsOf+AlertDays,2,IF(X585&lt;=AsOf+30,3,"")))</f>
        <v/>
      </c>
      <c r="Z585" s="79">
        <f>IF(Y585="","",IF(U585&lt;0,"Maintenance overdue: ","Maintenance due: ")&amp;P585)</f>
        <v/>
      </c>
    </row>
    <row r="586" ht="20" customHeight="1">
      <c r="B586" s="72" t="n"/>
      <c r="C586" s="72" t="n"/>
      <c r="D586" s="72" t="n"/>
      <c r="E586" s="109" t="n"/>
      <c r="F586" s="74" t="n"/>
      <c r="G586" s="126">
        <f>IF(OR(E586="",F586=""),"",DATE(YEAR(E586),MONTH(E586)+ROUND(F586*12,0),DAY(E586)))</f>
        <v/>
      </c>
      <c r="H586" s="144">
        <f>IF(G586="","",G586-AsOf)</f>
        <v/>
      </c>
      <c r="I586" s="107">
        <f>IF(G586="","",IF(H586&lt;0,"Expired",IF(H586&lt;=90,"Expires soon","Active")))</f>
        <v/>
      </c>
      <c r="J586" s="72" t="n"/>
      <c r="K586" s="79">
        <f>IF(I586="","",IF(I586="Active",0,IF(I586="Expires soon",1,3)))</f>
        <v/>
      </c>
      <c r="L586" s="112">
        <f>IF(G586="","",IF(G586&lt;AsOf,"",G586))</f>
        <v/>
      </c>
      <c r="M586" s="79">
        <f>IF(L586="","",IF(L586&lt;=AsOf+AlertDays,2,IF(L586&lt;=AsOf+90,3,"")))</f>
        <v/>
      </c>
      <c r="N586" s="79">
        <f>IF(M586="","","Warranty expires in "&amp;H586&amp;" days: "&amp;B586&amp;IF(C586="",""," ("&amp;C586&amp;")")&amp;" — check for defects")</f>
        <v/>
      </c>
      <c r="P586" s="72" t="n"/>
      <c r="Q586" s="72" t="n"/>
      <c r="R586" s="89" t="n"/>
      <c r="S586" s="109" t="n"/>
      <c r="T586" s="126">
        <f>IF(OR(R586="",S586=""),"",DATE(YEAR(S586),MONTH(S586)+R586,DAY(S586)))</f>
        <v/>
      </c>
      <c r="U586" s="144">
        <f>IF(T586="","",T586-AsOf)</f>
        <v/>
      </c>
      <c r="V586" s="107">
        <f>IF(T586="",IF(P586="","","Enter last-done date"),IF(U586&lt;0,"Overdue",IF(U586&lt;=30,"Due soon","OK")))</f>
        <v/>
      </c>
      <c r="W586" s="79">
        <f>IF(T586="","",IF(U586&lt;0,2,IF(U586&lt;=30,1,0)))</f>
        <v/>
      </c>
      <c r="X586" s="112">
        <f>IF(T586="","",T586)</f>
        <v/>
      </c>
      <c r="Y586" s="79">
        <f>IF(X586="","",IF(X586&lt;=AsOf+AlertDays,2,IF(X586&lt;=AsOf+30,3,"")))</f>
        <v/>
      </c>
      <c r="Z586" s="79">
        <f>IF(Y586="","",IF(U586&lt;0,"Maintenance overdue: ","Maintenance due: ")&amp;P586)</f>
        <v/>
      </c>
    </row>
    <row r="587" ht="20" customHeight="1">
      <c r="B587" s="72" t="n"/>
      <c r="C587" s="72" t="n"/>
      <c r="D587" s="72" t="n"/>
      <c r="E587" s="109" t="n"/>
      <c r="F587" s="74" t="n"/>
      <c r="G587" s="126">
        <f>IF(OR(E587="",F587=""),"",DATE(YEAR(E587),MONTH(E587)+ROUND(F587*12,0),DAY(E587)))</f>
        <v/>
      </c>
      <c r="H587" s="144">
        <f>IF(G587="","",G587-AsOf)</f>
        <v/>
      </c>
      <c r="I587" s="107">
        <f>IF(G587="","",IF(H587&lt;0,"Expired",IF(H587&lt;=90,"Expires soon","Active")))</f>
        <v/>
      </c>
      <c r="J587" s="72" t="n"/>
      <c r="K587" s="79">
        <f>IF(I587="","",IF(I587="Active",0,IF(I587="Expires soon",1,3)))</f>
        <v/>
      </c>
      <c r="L587" s="112">
        <f>IF(G587="","",IF(G587&lt;AsOf,"",G587))</f>
        <v/>
      </c>
      <c r="M587" s="79">
        <f>IF(L587="","",IF(L587&lt;=AsOf+AlertDays,2,IF(L587&lt;=AsOf+90,3,"")))</f>
        <v/>
      </c>
      <c r="N587" s="79">
        <f>IF(M587="","","Warranty expires in "&amp;H587&amp;" days: "&amp;B587&amp;IF(C587="",""," ("&amp;C587&amp;")")&amp;" — check for defects")</f>
        <v/>
      </c>
      <c r="P587" s="72" t="n"/>
      <c r="Q587" s="72" t="n"/>
      <c r="R587" s="89" t="n"/>
      <c r="S587" s="109" t="n"/>
      <c r="T587" s="126">
        <f>IF(OR(R587="",S587=""),"",DATE(YEAR(S587),MONTH(S587)+R587,DAY(S587)))</f>
        <v/>
      </c>
      <c r="U587" s="144">
        <f>IF(T587="","",T587-AsOf)</f>
        <v/>
      </c>
      <c r="V587" s="107">
        <f>IF(T587="",IF(P587="","","Enter last-done date"),IF(U587&lt;0,"Overdue",IF(U587&lt;=30,"Due soon","OK")))</f>
        <v/>
      </c>
      <c r="W587" s="79">
        <f>IF(T587="","",IF(U587&lt;0,2,IF(U587&lt;=30,1,0)))</f>
        <v/>
      </c>
      <c r="X587" s="112">
        <f>IF(T587="","",T587)</f>
        <v/>
      </c>
      <c r="Y587" s="79">
        <f>IF(X587="","",IF(X587&lt;=AsOf+AlertDays,2,IF(X587&lt;=AsOf+30,3,"")))</f>
        <v/>
      </c>
      <c r="Z587" s="79">
        <f>IF(Y587="","",IF(U587&lt;0,"Maintenance overdue: ","Maintenance due: ")&amp;P587)</f>
        <v/>
      </c>
    </row>
    <row r="588" ht="20" customHeight="1">
      <c r="B588" s="72" t="n"/>
      <c r="C588" s="72" t="n"/>
      <c r="D588" s="72" t="n"/>
      <c r="E588" s="109" t="n"/>
      <c r="F588" s="74" t="n"/>
      <c r="G588" s="126">
        <f>IF(OR(E588="",F588=""),"",DATE(YEAR(E588),MONTH(E588)+ROUND(F588*12,0),DAY(E588)))</f>
        <v/>
      </c>
      <c r="H588" s="144">
        <f>IF(G588="","",G588-AsOf)</f>
        <v/>
      </c>
      <c r="I588" s="107">
        <f>IF(G588="","",IF(H588&lt;0,"Expired",IF(H588&lt;=90,"Expires soon","Active")))</f>
        <v/>
      </c>
      <c r="J588" s="72" t="n"/>
      <c r="K588" s="79">
        <f>IF(I588="","",IF(I588="Active",0,IF(I588="Expires soon",1,3)))</f>
        <v/>
      </c>
      <c r="L588" s="112">
        <f>IF(G588="","",IF(G588&lt;AsOf,"",G588))</f>
        <v/>
      </c>
      <c r="M588" s="79">
        <f>IF(L588="","",IF(L588&lt;=AsOf+AlertDays,2,IF(L588&lt;=AsOf+90,3,"")))</f>
        <v/>
      </c>
      <c r="N588" s="79">
        <f>IF(M588="","","Warranty expires in "&amp;H588&amp;" days: "&amp;B588&amp;IF(C588="",""," ("&amp;C588&amp;")")&amp;" — check for defects")</f>
        <v/>
      </c>
      <c r="P588" s="72" t="n"/>
      <c r="Q588" s="72" t="n"/>
      <c r="R588" s="89" t="n"/>
      <c r="S588" s="109" t="n"/>
      <c r="T588" s="126">
        <f>IF(OR(R588="",S588=""),"",DATE(YEAR(S588),MONTH(S588)+R588,DAY(S588)))</f>
        <v/>
      </c>
      <c r="U588" s="144">
        <f>IF(T588="","",T588-AsOf)</f>
        <v/>
      </c>
      <c r="V588" s="107">
        <f>IF(T588="",IF(P588="","","Enter last-done date"),IF(U588&lt;0,"Overdue",IF(U588&lt;=30,"Due soon","OK")))</f>
        <v/>
      </c>
      <c r="W588" s="79">
        <f>IF(T588="","",IF(U588&lt;0,2,IF(U588&lt;=30,1,0)))</f>
        <v/>
      </c>
      <c r="X588" s="112">
        <f>IF(T588="","",T588)</f>
        <v/>
      </c>
      <c r="Y588" s="79">
        <f>IF(X588="","",IF(X588&lt;=AsOf+AlertDays,2,IF(X588&lt;=AsOf+30,3,"")))</f>
        <v/>
      </c>
      <c r="Z588" s="79">
        <f>IF(Y588="","",IF(U588&lt;0,"Maintenance overdue: ","Maintenance due: ")&amp;P588)</f>
        <v/>
      </c>
    </row>
    <row r="589" ht="20" customHeight="1">
      <c r="B589" s="72" t="n"/>
      <c r="C589" s="72" t="n"/>
      <c r="D589" s="72" t="n"/>
      <c r="E589" s="109" t="n"/>
      <c r="F589" s="74" t="n"/>
      <c r="G589" s="126">
        <f>IF(OR(E589="",F589=""),"",DATE(YEAR(E589),MONTH(E589)+ROUND(F589*12,0),DAY(E589)))</f>
        <v/>
      </c>
      <c r="H589" s="144">
        <f>IF(G589="","",G589-AsOf)</f>
        <v/>
      </c>
      <c r="I589" s="107">
        <f>IF(G589="","",IF(H589&lt;0,"Expired",IF(H589&lt;=90,"Expires soon","Active")))</f>
        <v/>
      </c>
      <c r="J589" s="72" t="n"/>
      <c r="K589" s="79">
        <f>IF(I589="","",IF(I589="Active",0,IF(I589="Expires soon",1,3)))</f>
        <v/>
      </c>
      <c r="L589" s="112">
        <f>IF(G589="","",IF(G589&lt;AsOf,"",G589))</f>
        <v/>
      </c>
      <c r="M589" s="79">
        <f>IF(L589="","",IF(L589&lt;=AsOf+AlertDays,2,IF(L589&lt;=AsOf+90,3,"")))</f>
        <v/>
      </c>
      <c r="N589" s="79">
        <f>IF(M589="","","Warranty expires in "&amp;H589&amp;" days: "&amp;B589&amp;IF(C589="",""," ("&amp;C589&amp;")")&amp;" — check for defects")</f>
        <v/>
      </c>
      <c r="P589" s="72" t="n"/>
      <c r="Q589" s="72" t="n"/>
      <c r="R589" s="89" t="n"/>
      <c r="S589" s="109" t="n"/>
      <c r="T589" s="126">
        <f>IF(OR(R589="",S589=""),"",DATE(YEAR(S589),MONTH(S589)+R589,DAY(S589)))</f>
        <v/>
      </c>
      <c r="U589" s="144">
        <f>IF(T589="","",T589-AsOf)</f>
        <v/>
      </c>
      <c r="V589" s="107">
        <f>IF(T589="",IF(P589="","","Enter last-done date"),IF(U589&lt;0,"Overdue",IF(U589&lt;=30,"Due soon","OK")))</f>
        <v/>
      </c>
      <c r="W589" s="79">
        <f>IF(T589="","",IF(U589&lt;0,2,IF(U589&lt;=30,1,0)))</f>
        <v/>
      </c>
      <c r="X589" s="112">
        <f>IF(T589="","",T589)</f>
        <v/>
      </c>
      <c r="Y589" s="79">
        <f>IF(X589="","",IF(X589&lt;=AsOf+AlertDays,2,IF(X589&lt;=AsOf+30,3,"")))</f>
        <v/>
      </c>
      <c r="Z589" s="79">
        <f>IF(Y589="","",IF(U589&lt;0,"Maintenance overdue: ","Maintenance due: ")&amp;P589)</f>
        <v/>
      </c>
    </row>
    <row r="590" ht="20" customHeight="1">
      <c r="B590" s="72" t="n"/>
      <c r="C590" s="72" t="n"/>
      <c r="D590" s="72" t="n"/>
      <c r="E590" s="109" t="n"/>
      <c r="F590" s="74" t="n"/>
      <c r="G590" s="126">
        <f>IF(OR(E590="",F590=""),"",DATE(YEAR(E590),MONTH(E590)+ROUND(F590*12,0),DAY(E590)))</f>
        <v/>
      </c>
      <c r="H590" s="144">
        <f>IF(G590="","",G590-AsOf)</f>
        <v/>
      </c>
      <c r="I590" s="107">
        <f>IF(G590="","",IF(H590&lt;0,"Expired",IF(H590&lt;=90,"Expires soon","Active")))</f>
        <v/>
      </c>
      <c r="J590" s="72" t="n"/>
      <c r="K590" s="79">
        <f>IF(I590="","",IF(I590="Active",0,IF(I590="Expires soon",1,3)))</f>
        <v/>
      </c>
      <c r="L590" s="112">
        <f>IF(G590="","",IF(G590&lt;AsOf,"",G590))</f>
        <v/>
      </c>
      <c r="M590" s="79">
        <f>IF(L590="","",IF(L590&lt;=AsOf+AlertDays,2,IF(L590&lt;=AsOf+90,3,"")))</f>
        <v/>
      </c>
      <c r="N590" s="79">
        <f>IF(M590="","","Warranty expires in "&amp;H590&amp;" days: "&amp;B590&amp;IF(C590="",""," ("&amp;C590&amp;")")&amp;" — check for defects")</f>
        <v/>
      </c>
      <c r="P590" s="72" t="n"/>
      <c r="Q590" s="72" t="n"/>
      <c r="R590" s="89" t="n"/>
      <c r="S590" s="109" t="n"/>
      <c r="T590" s="126">
        <f>IF(OR(R590="",S590=""),"",DATE(YEAR(S590),MONTH(S590)+R590,DAY(S590)))</f>
        <v/>
      </c>
      <c r="U590" s="144">
        <f>IF(T590="","",T590-AsOf)</f>
        <v/>
      </c>
      <c r="V590" s="107">
        <f>IF(T590="",IF(P590="","","Enter last-done date"),IF(U590&lt;0,"Overdue",IF(U590&lt;=30,"Due soon","OK")))</f>
        <v/>
      </c>
      <c r="W590" s="79">
        <f>IF(T590="","",IF(U590&lt;0,2,IF(U590&lt;=30,1,0)))</f>
        <v/>
      </c>
      <c r="X590" s="112">
        <f>IF(T590="","",T590)</f>
        <v/>
      </c>
      <c r="Y590" s="79">
        <f>IF(X590="","",IF(X590&lt;=AsOf+AlertDays,2,IF(X590&lt;=AsOf+30,3,"")))</f>
        <v/>
      </c>
      <c r="Z590" s="79">
        <f>IF(Y590="","",IF(U590&lt;0,"Maintenance overdue: ","Maintenance due: ")&amp;P590)</f>
        <v/>
      </c>
    </row>
    <row r="591" ht="20" customHeight="1">
      <c r="B591" s="72" t="n"/>
      <c r="C591" s="72" t="n"/>
      <c r="D591" s="72" t="n"/>
      <c r="E591" s="109" t="n"/>
      <c r="F591" s="74" t="n"/>
      <c r="G591" s="126">
        <f>IF(OR(E591="",F591=""),"",DATE(YEAR(E591),MONTH(E591)+ROUND(F591*12,0),DAY(E591)))</f>
        <v/>
      </c>
      <c r="H591" s="144">
        <f>IF(G591="","",G591-AsOf)</f>
        <v/>
      </c>
      <c r="I591" s="107">
        <f>IF(G591="","",IF(H591&lt;0,"Expired",IF(H591&lt;=90,"Expires soon","Active")))</f>
        <v/>
      </c>
      <c r="J591" s="72" t="n"/>
      <c r="K591" s="79">
        <f>IF(I591="","",IF(I591="Active",0,IF(I591="Expires soon",1,3)))</f>
        <v/>
      </c>
      <c r="L591" s="112">
        <f>IF(G591="","",IF(G591&lt;AsOf,"",G591))</f>
        <v/>
      </c>
      <c r="M591" s="79">
        <f>IF(L591="","",IF(L591&lt;=AsOf+AlertDays,2,IF(L591&lt;=AsOf+90,3,"")))</f>
        <v/>
      </c>
      <c r="N591" s="79">
        <f>IF(M591="","","Warranty expires in "&amp;H591&amp;" days: "&amp;B591&amp;IF(C591="",""," ("&amp;C591&amp;")")&amp;" — check for defects")</f>
        <v/>
      </c>
      <c r="P591" s="72" t="n"/>
      <c r="Q591" s="72" t="n"/>
      <c r="R591" s="89" t="n"/>
      <c r="S591" s="109" t="n"/>
      <c r="T591" s="126">
        <f>IF(OR(R591="",S591=""),"",DATE(YEAR(S591),MONTH(S591)+R591,DAY(S591)))</f>
        <v/>
      </c>
      <c r="U591" s="144">
        <f>IF(T591="","",T591-AsOf)</f>
        <v/>
      </c>
      <c r="V591" s="107">
        <f>IF(T591="",IF(P591="","","Enter last-done date"),IF(U591&lt;0,"Overdue",IF(U591&lt;=30,"Due soon","OK")))</f>
        <v/>
      </c>
      <c r="W591" s="79">
        <f>IF(T591="","",IF(U591&lt;0,2,IF(U591&lt;=30,1,0)))</f>
        <v/>
      </c>
      <c r="X591" s="112">
        <f>IF(T591="","",T591)</f>
        <v/>
      </c>
      <c r="Y591" s="79">
        <f>IF(X591="","",IF(X591&lt;=AsOf+AlertDays,2,IF(X591&lt;=AsOf+30,3,"")))</f>
        <v/>
      </c>
      <c r="Z591" s="79">
        <f>IF(Y591="","",IF(U591&lt;0,"Maintenance overdue: ","Maintenance due: ")&amp;P591)</f>
        <v/>
      </c>
    </row>
    <row r="592" ht="20" customHeight="1">
      <c r="B592" s="72" t="n"/>
      <c r="C592" s="72" t="n"/>
      <c r="D592" s="72" t="n"/>
      <c r="E592" s="109" t="n"/>
      <c r="F592" s="74" t="n"/>
      <c r="G592" s="126">
        <f>IF(OR(E592="",F592=""),"",DATE(YEAR(E592),MONTH(E592)+ROUND(F592*12,0),DAY(E592)))</f>
        <v/>
      </c>
      <c r="H592" s="144">
        <f>IF(G592="","",G592-AsOf)</f>
        <v/>
      </c>
      <c r="I592" s="107">
        <f>IF(G592="","",IF(H592&lt;0,"Expired",IF(H592&lt;=90,"Expires soon","Active")))</f>
        <v/>
      </c>
      <c r="J592" s="72" t="n"/>
      <c r="K592" s="79">
        <f>IF(I592="","",IF(I592="Active",0,IF(I592="Expires soon",1,3)))</f>
        <v/>
      </c>
      <c r="L592" s="112">
        <f>IF(G592="","",IF(G592&lt;AsOf,"",G592))</f>
        <v/>
      </c>
      <c r="M592" s="79">
        <f>IF(L592="","",IF(L592&lt;=AsOf+AlertDays,2,IF(L592&lt;=AsOf+90,3,"")))</f>
        <v/>
      </c>
      <c r="N592" s="79">
        <f>IF(M592="","","Warranty expires in "&amp;H592&amp;" days: "&amp;B592&amp;IF(C592="",""," ("&amp;C592&amp;")")&amp;" — check for defects")</f>
        <v/>
      </c>
      <c r="P592" s="72" t="n"/>
      <c r="Q592" s="72" t="n"/>
      <c r="R592" s="89" t="n"/>
      <c r="S592" s="109" t="n"/>
      <c r="T592" s="126">
        <f>IF(OR(R592="",S592=""),"",DATE(YEAR(S592),MONTH(S592)+R592,DAY(S592)))</f>
        <v/>
      </c>
      <c r="U592" s="144">
        <f>IF(T592="","",T592-AsOf)</f>
        <v/>
      </c>
      <c r="V592" s="107">
        <f>IF(T592="",IF(P592="","","Enter last-done date"),IF(U592&lt;0,"Overdue",IF(U592&lt;=30,"Due soon","OK")))</f>
        <v/>
      </c>
      <c r="W592" s="79">
        <f>IF(T592="","",IF(U592&lt;0,2,IF(U592&lt;=30,1,0)))</f>
        <v/>
      </c>
      <c r="X592" s="112">
        <f>IF(T592="","",T592)</f>
        <v/>
      </c>
      <c r="Y592" s="79">
        <f>IF(X592="","",IF(X592&lt;=AsOf+AlertDays,2,IF(X592&lt;=AsOf+30,3,"")))</f>
        <v/>
      </c>
      <c r="Z592" s="79">
        <f>IF(Y592="","",IF(U592&lt;0,"Maintenance overdue: ","Maintenance due: ")&amp;P592)</f>
        <v/>
      </c>
    </row>
    <row r="593" ht="20" customHeight="1">
      <c r="B593" s="72" t="n"/>
      <c r="C593" s="72" t="n"/>
      <c r="D593" s="72" t="n"/>
      <c r="E593" s="109" t="n"/>
      <c r="F593" s="74" t="n"/>
      <c r="G593" s="126">
        <f>IF(OR(E593="",F593=""),"",DATE(YEAR(E593),MONTH(E593)+ROUND(F593*12,0),DAY(E593)))</f>
        <v/>
      </c>
      <c r="H593" s="144">
        <f>IF(G593="","",G593-AsOf)</f>
        <v/>
      </c>
      <c r="I593" s="107">
        <f>IF(G593="","",IF(H593&lt;0,"Expired",IF(H593&lt;=90,"Expires soon","Active")))</f>
        <v/>
      </c>
      <c r="J593" s="72" t="n"/>
      <c r="K593" s="79">
        <f>IF(I593="","",IF(I593="Active",0,IF(I593="Expires soon",1,3)))</f>
        <v/>
      </c>
      <c r="L593" s="112">
        <f>IF(G593="","",IF(G593&lt;AsOf,"",G593))</f>
        <v/>
      </c>
      <c r="M593" s="79">
        <f>IF(L593="","",IF(L593&lt;=AsOf+AlertDays,2,IF(L593&lt;=AsOf+90,3,"")))</f>
        <v/>
      </c>
      <c r="N593" s="79">
        <f>IF(M593="","","Warranty expires in "&amp;H593&amp;" days: "&amp;B593&amp;IF(C593="",""," ("&amp;C593&amp;")")&amp;" — check for defects")</f>
        <v/>
      </c>
      <c r="P593" s="72" t="n"/>
      <c r="Q593" s="72" t="n"/>
      <c r="R593" s="89" t="n"/>
      <c r="S593" s="109" t="n"/>
      <c r="T593" s="126">
        <f>IF(OR(R593="",S593=""),"",DATE(YEAR(S593),MONTH(S593)+R593,DAY(S593)))</f>
        <v/>
      </c>
      <c r="U593" s="144">
        <f>IF(T593="","",T593-AsOf)</f>
        <v/>
      </c>
      <c r="V593" s="107">
        <f>IF(T593="",IF(P593="","","Enter last-done date"),IF(U593&lt;0,"Overdue",IF(U593&lt;=30,"Due soon","OK")))</f>
        <v/>
      </c>
      <c r="W593" s="79">
        <f>IF(T593="","",IF(U593&lt;0,2,IF(U593&lt;=30,1,0)))</f>
        <v/>
      </c>
      <c r="X593" s="112">
        <f>IF(T593="","",T593)</f>
        <v/>
      </c>
      <c r="Y593" s="79">
        <f>IF(X593="","",IF(X593&lt;=AsOf+AlertDays,2,IF(X593&lt;=AsOf+30,3,"")))</f>
        <v/>
      </c>
      <c r="Z593" s="79">
        <f>IF(Y593="","",IF(U593&lt;0,"Maintenance overdue: ","Maintenance due: ")&amp;P593)</f>
        <v/>
      </c>
    </row>
    <row r="594" ht="20" customHeight="1">
      <c r="B594" s="72" t="n"/>
      <c r="C594" s="72" t="n"/>
      <c r="D594" s="72" t="n"/>
      <c r="E594" s="109" t="n"/>
      <c r="F594" s="74" t="n"/>
      <c r="G594" s="126">
        <f>IF(OR(E594="",F594=""),"",DATE(YEAR(E594),MONTH(E594)+ROUND(F594*12,0),DAY(E594)))</f>
        <v/>
      </c>
      <c r="H594" s="144">
        <f>IF(G594="","",G594-AsOf)</f>
        <v/>
      </c>
      <c r="I594" s="107">
        <f>IF(G594="","",IF(H594&lt;0,"Expired",IF(H594&lt;=90,"Expires soon","Active")))</f>
        <v/>
      </c>
      <c r="J594" s="72" t="n"/>
      <c r="K594" s="79">
        <f>IF(I594="","",IF(I594="Active",0,IF(I594="Expires soon",1,3)))</f>
        <v/>
      </c>
      <c r="L594" s="112">
        <f>IF(G594="","",IF(G594&lt;AsOf,"",G594))</f>
        <v/>
      </c>
      <c r="M594" s="79">
        <f>IF(L594="","",IF(L594&lt;=AsOf+AlertDays,2,IF(L594&lt;=AsOf+90,3,"")))</f>
        <v/>
      </c>
      <c r="N594" s="79">
        <f>IF(M594="","","Warranty expires in "&amp;H594&amp;" days: "&amp;B594&amp;IF(C594="",""," ("&amp;C594&amp;")")&amp;" — check for defects")</f>
        <v/>
      </c>
      <c r="P594" s="72" t="n"/>
      <c r="Q594" s="72" t="n"/>
      <c r="R594" s="89" t="n"/>
      <c r="S594" s="109" t="n"/>
      <c r="T594" s="126">
        <f>IF(OR(R594="",S594=""),"",DATE(YEAR(S594),MONTH(S594)+R594,DAY(S594)))</f>
        <v/>
      </c>
      <c r="U594" s="144">
        <f>IF(T594="","",T594-AsOf)</f>
        <v/>
      </c>
      <c r="V594" s="107">
        <f>IF(T594="",IF(P594="","","Enter last-done date"),IF(U594&lt;0,"Overdue",IF(U594&lt;=30,"Due soon","OK")))</f>
        <v/>
      </c>
      <c r="W594" s="79">
        <f>IF(T594="","",IF(U594&lt;0,2,IF(U594&lt;=30,1,0)))</f>
        <v/>
      </c>
      <c r="X594" s="112">
        <f>IF(T594="","",T594)</f>
        <v/>
      </c>
      <c r="Y594" s="79">
        <f>IF(X594="","",IF(X594&lt;=AsOf+AlertDays,2,IF(X594&lt;=AsOf+30,3,"")))</f>
        <v/>
      </c>
      <c r="Z594" s="79">
        <f>IF(Y594="","",IF(U594&lt;0,"Maintenance overdue: ","Maintenance due: ")&amp;P594)</f>
        <v/>
      </c>
    </row>
    <row r="595" ht="20" customHeight="1">
      <c r="B595" s="72" t="n"/>
      <c r="C595" s="72" t="n"/>
      <c r="D595" s="72" t="n"/>
      <c r="E595" s="109" t="n"/>
      <c r="F595" s="74" t="n"/>
      <c r="G595" s="126">
        <f>IF(OR(E595="",F595=""),"",DATE(YEAR(E595),MONTH(E595)+ROUND(F595*12,0),DAY(E595)))</f>
        <v/>
      </c>
      <c r="H595" s="144">
        <f>IF(G595="","",G595-AsOf)</f>
        <v/>
      </c>
      <c r="I595" s="107">
        <f>IF(G595="","",IF(H595&lt;0,"Expired",IF(H595&lt;=90,"Expires soon","Active")))</f>
        <v/>
      </c>
      <c r="J595" s="72" t="n"/>
      <c r="K595" s="79">
        <f>IF(I595="","",IF(I595="Active",0,IF(I595="Expires soon",1,3)))</f>
        <v/>
      </c>
      <c r="L595" s="112">
        <f>IF(G595="","",IF(G595&lt;AsOf,"",G595))</f>
        <v/>
      </c>
      <c r="M595" s="79">
        <f>IF(L595="","",IF(L595&lt;=AsOf+AlertDays,2,IF(L595&lt;=AsOf+90,3,"")))</f>
        <v/>
      </c>
      <c r="N595" s="79">
        <f>IF(M595="","","Warranty expires in "&amp;H595&amp;" days: "&amp;B595&amp;IF(C595="",""," ("&amp;C595&amp;")")&amp;" — check for defects")</f>
        <v/>
      </c>
      <c r="P595" s="72" t="n"/>
      <c r="Q595" s="72" t="n"/>
      <c r="R595" s="89" t="n"/>
      <c r="S595" s="109" t="n"/>
      <c r="T595" s="126">
        <f>IF(OR(R595="",S595=""),"",DATE(YEAR(S595),MONTH(S595)+R595,DAY(S595)))</f>
        <v/>
      </c>
      <c r="U595" s="144">
        <f>IF(T595="","",T595-AsOf)</f>
        <v/>
      </c>
      <c r="V595" s="107">
        <f>IF(T595="",IF(P595="","","Enter last-done date"),IF(U595&lt;0,"Overdue",IF(U595&lt;=30,"Due soon","OK")))</f>
        <v/>
      </c>
      <c r="W595" s="79">
        <f>IF(T595="","",IF(U595&lt;0,2,IF(U595&lt;=30,1,0)))</f>
        <v/>
      </c>
      <c r="X595" s="112">
        <f>IF(T595="","",T595)</f>
        <v/>
      </c>
      <c r="Y595" s="79">
        <f>IF(X595="","",IF(X595&lt;=AsOf+AlertDays,2,IF(X595&lt;=AsOf+30,3,"")))</f>
        <v/>
      </c>
      <c r="Z595" s="79">
        <f>IF(Y595="","",IF(U595&lt;0,"Maintenance overdue: ","Maintenance due: ")&amp;P595)</f>
        <v/>
      </c>
    </row>
    <row r="596" ht="20" customHeight="1">
      <c r="B596" s="72" t="n"/>
      <c r="C596" s="72" t="n"/>
      <c r="D596" s="72" t="n"/>
      <c r="E596" s="109" t="n"/>
      <c r="F596" s="74" t="n"/>
      <c r="G596" s="126">
        <f>IF(OR(E596="",F596=""),"",DATE(YEAR(E596),MONTH(E596)+ROUND(F596*12,0),DAY(E596)))</f>
        <v/>
      </c>
      <c r="H596" s="144">
        <f>IF(G596="","",G596-AsOf)</f>
        <v/>
      </c>
      <c r="I596" s="107">
        <f>IF(G596="","",IF(H596&lt;0,"Expired",IF(H596&lt;=90,"Expires soon","Active")))</f>
        <v/>
      </c>
      <c r="J596" s="72" t="n"/>
      <c r="K596" s="79">
        <f>IF(I596="","",IF(I596="Active",0,IF(I596="Expires soon",1,3)))</f>
        <v/>
      </c>
      <c r="L596" s="112">
        <f>IF(G596="","",IF(G596&lt;AsOf,"",G596))</f>
        <v/>
      </c>
      <c r="M596" s="79">
        <f>IF(L596="","",IF(L596&lt;=AsOf+AlertDays,2,IF(L596&lt;=AsOf+90,3,"")))</f>
        <v/>
      </c>
      <c r="N596" s="79">
        <f>IF(M596="","","Warranty expires in "&amp;H596&amp;" days: "&amp;B596&amp;IF(C596="",""," ("&amp;C596&amp;")")&amp;" — check for defects")</f>
        <v/>
      </c>
      <c r="P596" s="72" t="n"/>
      <c r="Q596" s="72" t="n"/>
      <c r="R596" s="89" t="n"/>
      <c r="S596" s="109" t="n"/>
      <c r="T596" s="126">
        <f>IF(OR(R596="",S596=""),"",DATE(YEAR(S596),MONTH(S596)+R596,DAY(S596)))</f>
        <v/>
      </c>
      <c r="U596" s="144">
        <f>IF(T596="","",T596-AsOf)</f>
        <v/>
      </c>
      <c r="V596" s="107">
        <f>IF(T596="",IF(P596="","","Enter last-done date"),IF(U596&lt;0,"Overdue",IF(U596&lt;=30,"Due soon","OK")))</f>
        <v/>
      </c>
      <c r="W596" s="79">
        <f>IF(T596="","",IF(U596&lt;0,2,IF(U596&lt;=30,1,0)))</f>
        <v/>
      </c>
      <c r="X596" s="112">
        <f>IF(T596="","",T596)</f>
        <v/>
      </c>
      <c r="Y596" s="79">
        <f>IF(X596="","",IF(X596&lt;=AsOf+AlertDays,2,IF(X596&lt;=AsOf+30,3,"")))</f>
        <v/>
      </c>
      <c r="Z596" s="79">
        <f>IF(Y596="","",IF(U596&lt;0,"Maintenance overdue: ","Maintenance due: ")&amp;P596)</f>
        <v/>
      </c>
    </row>
    <row r="597" ht="20" customHeight="1">
      <c r="B597" s="72" t="n"/>
      <c r="C597" s="72" t="n"/>
      <c r="D597" s="72" t="n"/>
      <c r="E597" s="109" t="n"/>
      <c r="F597" s="74" t="n"/>
      <c r="G597" s="126">
        <f>IF(OR(E597="",F597=""),"",DATE(YEAR(E597),MONTH(E597)+ROUND(F597*12,0),DAY(E597)))</f>
        <v/>
      </c>
      <c r="H597" s="144">
        <f>IF(G597="","",G597-AsOf)</f>
        <v/>
      </c>
      <c r="I597" s="107">
        <f>IF(G597="","",IF(H597&lt;0,"Expired",IF(H597&lt;=90,"Expires soon","Active")))</f>
        <v/>
      </c>
      <c r="J597" s="72" t="n"/>
      <c r="K597" s="79">
        <f>IF(I597="","",IF(I597="Active",0,IF(I597="Expires soon",1,3)))</f>
        <v/>
      </c>
      <c r="L597" s="112">
        <f>IF(G597="","",IF(G597&lt;AsOf,"",G597))</f>
        <v/>
      </c>
      <c r="M597" s="79">
        <f>IF(L597="","",IF(L597&lt;=AsOf+AlertDays,2,IF(L597&lt;=AsOf+90,3,"")))</f>
        <v/>
      </c>
      <c r="N597" s="79">
        <f>IF(M597="","","Warranty expires in "&amp;H597&amp;" days: "&amp;B597&amp;IF(C597="",""," ("&amp;C597&amp;")")&amp;" — check for defects")</f>
        <v/>
      </c>
      <c r="P597" s="72" t="n"/>
      <c r="Q597" s="72" t="n"/>
      <c r="R597" s="89" t="n"/>
      <c r="S597" s="109" t="n"/>
      <c r="T597" s="126">
        <f>IF(OR(R597="",S597=""),"",DATE(YEAR(S597),MONTH(S597)+R597,DAY(S597)))</f>
        <v/>
      </c>
      <c r="U597" s="144">
        <f>IF(T597="","",T597-AsOf)</f>
        <v/>
      </c>
      <c r="V597" s="107">
        <f>IF(T597="",IF(P597="","","Enter last-done date"),IF(U597&lt;0,"Overdue",IF(U597&lt;=30,"Due soon","OK")))</f>
        <v/>
      </c>
      <c r="W597" s="79">
        <f>IF(T597="","",IF(U597&lt;0,2,IF(U597&lt;=30,1,0)))</f>
        <v/>
      </c>
      <c r="X597" s="112">
        <f>IF(T597="","",T597)</f>
        <v/>
      </c>
      <c r="Y597" s="79">
        <f>IF(X597="","",IF(X597&lt;=AsOf+AlertDays,2,IF(X597&lt;=AsOf+30,3,"")))</f>
        <v/>
      </c>
      <c r="Z597" s="79">
        <f>IF(Y597="","",IF(U597&lt;0,"Maintenance overdue: ","Maintenance due: ")&amp;P597)</f>
        <v/>
      </c>
    </row>
    <row r="598" ht="20" customHeight="1">
      <c r="B598" s="72" t="n"/>
      <c r="C598" s="72" t="n"/>
      <c r="D598" s="72" t="n"/>
      <c r="E598" s="109" t="n"/>
      <c r="F598" s="74" t="n"/>
      <c r="G598" s="126">
        <f>IF(OR(E598="",F598=""),"",DATE(YEAR(E598),MONTH(E598)+ROUND(F598*12,0),DAY(E598)))</f>
        <v/>
      </c>
      <c r="H598" s="144">
        <f>IF(G598="","",G598-AsOf)</f>
        <v/>
      </c>
      <c r="I598" s="107">
        <f>IF(G598="","",IF(H598&lt;0,"Expired",IF(H598&lt;=90,"Expires soon","Active")))</f>
        <v/>
      </c>
      <c r="J598" s="72" t="n"/>
      <c r="K598" s="79">
        <f>IF(I598="","",IF(I598="Active",0,IF(I598="Expires soon",1,3)))</f>
        <v/>
      </c>
      <c r="L598" s="112">
        <f>IF(G598="","",IF(G598&lt;AsOf,"",G598))</f>
        <v/>
      </c>
      <c r="M598" s="79">
        <f>IF(L598="","",IF(L598&lt;=AsOf+AlertDays,2,IF(L598&lt;=AsOf+90,3,"")))</f>
        <v/>
      </c>
      <c r="N598" s="79">
        <f>IF(M598="","","Warranty expires in "&amp;H598&amp;" days: "&amp;B598&amp;IF(C598="",""," ("&amp;C598&amp;")")&amp;" — check for defects")</f>
        <v/>
      </c>
      <c r="P598" s="72" t="n"/>
      <c r="Q598" s="72" t="n"/>
      <c r="R598" s="89" t="n"/>
      <c r="S598" s="109" t="n"/>
      <c r="T598" s="126">
        <f>IF(OR(R598="",S598=""),"",DATE(YEAR(S598),MONTH(S598)+R598,DAY(S598)))</f>
        <v/>
      </c>
      <c r="U598" s="144">
        <f>IF(T598="","",T598-AsOf)</f>
        <v/>
      </c>
      <c r="V598" s="107">
        <f>IF(T598="",IF(P598="","","Enter last-done date"),IF(U598&lt;0,"Overdue",IF(U598&lt;=30,"Due soon","OK")))</f>
        <v/>
      </c>
      <c r="W598" s="79">
        <f>IF(T598="","",IF(U598&lt;0,2,IF(U598&lt;=30,1,0)))</f>
        <v/>
      </c>
      <c r="X598" s="112">
        <f>IF(T598="","",T598)</f>
        <v/>
      </c>
      <c r="Y598" s="79">
        <f>IF(X598="","",IF(X598&lt;=AsOf+AlertDays,2,IF(X598&lt;=AsOf+30,3,"")))</f>
        <v/>
      </c>
      <c r="Z598" s="79">
        <f>IF(Y598="","",IF(U598&lt;0,"Maintenance overdue: ","Maintenance due: ")&amp;P598)</f>
        <v/>
      </c>
    </row>
    <row r="599" ht="20" customHeight="1">
      <c r="B599" s="72" t="n"/>
      <c r="C599" s="72" t="n"/>
      <c r="D599" s="72" t="n"/>
      <c r="E599" s="109" t="n"/>
      <c r="F599" s="74" t="n"/>
      <c r="G599" s="126">
        <f>IF(OR(E599="",F599=""),"",DATE(YEAR(E599),MONTH(E599)+ROUND(F599*12,0),DAY(E599)))</f>
        <v/>
      </c>
      <c r="H599" s="144">
        <f>IF(G599="","",G599-AsOf)</f>
        <v/>
      </c>
      <c r="I599" s="107">
        <f>IF(G599="","",IF(H599&lt;0,"Expired",IF(H599&lt;=90,"Expires soon","Active")))</f>
        <v/>
      </c>
      <c r="J599" s="72" t="n"/>
      <c r="K599" s="79">
        <f>IF(I599="","",IF(I599="Active",0,IF(I599="Expires soon",1,3)))</f>
        <v/>
      </c>
      <c r="L599" s="112">
        <f>IF(G599="","",IF(G599&lt;AsOf,"",G599))</f>
        <v/>
      </c>
      <c r="M599" s="79">
        <f>IF(L599="","",IF(L599&lt;=AsOf+AlertDays,2,IF(L599&lt;=AsOf+90,3,"")))</f>
        <v/>
      </c>
      <c r="N599" s="79">
        <f>IF(M599="","","Warranty expires in "&amp;H599&amp;" days: "&amp;B599&amp;IF(C599="",""," ("&amp;C599&amp;")")&amp;" — check for defects")</f>
        <v/>
      </c>
      <c r="P599" s="72" t="n"/>
      <c r="Q599" s="72" t="n"/>
      <c r="R599" s="89" t="n"/>
      <c r="S599" s="109" t="n"/>
      <c r="T599" s="126">
        <f>IF(OR(R599="",S599=""),"",DATE(YEAR(S599),MONTH(S599)+R599,DAY(S599)))</f>
        <v/>
      </c>
      <c r="U599" s="144">
        <f>IF(T599="","",T599-AsOf)</f>
        <v/>
      </c>
      <c r="V599" s="107">
        <f>IF(T599="",IF(P599="","","Enter last-done date"),IF(U599&lt;0,"Overdue",IF(U599&lt;=30,"Due soon","OK")))</f>
        <v/>
      </c>
      <c r="W599" s="79">
        <f>IF(T599="","",IF(U599&lt;0,2,IF(U599&lt;=30,1,0)))</f>
        <v/>
      </c>
      <c r="X599" s="112">
        <f>IF(T599="","",T599)</f>
        <v/>
      </c>
      <c r="Y599" s="79">
        <f>IF(X599="","",IF(X599&lt;=AsOf+AlertDays,2,IF(X599&lt;=AsOf+30,3,"")))</f>
        <v/>
      </c>
      <c r="Z599" s="79">
        <f>IF(Y599="","",IF(U599&lt;0,"Maintenance overdue: ","Maintenance due: ")&amp;P599)</f>
        <v/>
      </c>
    </row>
    <row r="600" ht="20" customHeight="1">
      <c r="B600" s="72" t="n"/>
      <c r="C600" s="72" t="n"/>
      <c r="D600" s="72" t="n"/>
      <c r="E600" s="109" t="n"/>
      <c r="F600" s="74" t="n"/>
      <c r="G600" s="126">
        <f>IF(OR(E600="",F600=""),"",DATE(YEAR(E600),MONTH(E600)+ROUND(F600*12,0),DAY(E600)))</f>
        <v/>
      </c>
      <c r="H600" s="144">
        <f>IF(G600="","",G600-AsOf)</f>
        <v/>
      </c>
      <c r="I600" s="107">
        <f>IF(G600="","",IF(H600&lt;0,"Expired",IF(H600&lt;=90,"Expires soon","Active")))</f>
        <v/>
      </c>
      <c r="J600" s="72" t="n"/>
      <c r="K600" s="79">
        <f>IF(I600="","",IF(I600="Active",0,IF(I600="Expires soon",1,3)))</f>
        <v/>
      </c>
      <c r="L600" s="112">
        <f>IF(G600="","",IF(G600&lt;AsOf,"",G600))</f>
        <v/>
      </c>
      <c r="M600" s="79">
        <f>IF(L600="","",IF(L600&lt;=AsOf+AlertDays,2,IF(L600&lt;=AsOf+90,3,"")))</f>
        <v/>
      </c>
      <c r="N600" s="79">
        <f>IF(M600="","","Warranty expires in "&amp;H600&amp;" days: "&amp;B600&amp;IF(C600="",""," ("&amp;C600&amp;")")&amp;" — check for defects")</f>
        <v/>
      </c>
      <c r="P600" s="72" t="n"/>
      <c r="Q600" s="72" t="n"/>
      <c r="R600" s="89" t="n"/>
      <c r="S600" s="109" t="n"/>
      <c r="T600" s="126">
        <f>IF(OR(R600="",S600=""),"",DATE(YEAR(S600),MONTH(S600)+R600,DAY(S600)))</f>
        <v/>
      </c>
      <c r="U600" s="144">
        <f>IF(T600="","",T600-AsOf)</f>
        <v/>
      </c>
      <c r="V600" s="107">
        <f>IF(T600="",IF(P600="","","Enter last-done date"),IF(U600&lt;0,"Overdue",IF(U600&lt;=30,"Due soon","OK")))</f>
        <v/>
      </c>
      <c r="W600" s="79">
        <f>IF(T600="","",IF(U600&lt;0,2,IF(U600&lt;=30,1,0)))</f>
        <v/>
      </c>
      <c r="X600" s="112">
        <f>IF(T600="","",T600)</f>
        <v/>
      </c>
      <c r="Y600" s="79">
        <f>IF(X600="","",IF(X600&lt;=AsOf+AlertDays,2,IF(X600&lt;=AsOf+30,3,"")))</f>
        <v/>
      </c>
      <c r="Z600" s="79">
        <f>IF(Y600="","",IF(U600&lt;0,"Maintenance overdue: ","Maintenance due: ")&amp;P600)</f>
        <v/>
      </c>
    </row>
    <row r="601" ht="20" customHeight="1">
      <c r="B601" s="72" t="n"/>
      <c r="C601" s="72" t="n"/>
      <c r="D601" s="72" t="n"/>
      <c r="E601" s="109" t="n"/>
      <c r="F601" s="74" t="n"/>
      <c r="G601" s="126">
        <f>IF(OR(E601="",F601=""),"",DATE(YEAR(E601),MONTH(E601)+ROUND(F601*12,0),DAY(E601)))</f>
        <v/>
      </c>
      <c r="H601" s="144">
        <f>IF(G601="","",G601-AsOf)</f>
        <v/>
      </c>
      <c r="I601" s="107">
        <f>IF(G601="","",IF(H601&lt;0,"Expired",IF(H601&lt;=90,"Expires soon","Active")))</f>
        <v/>
      </c>
      <c r="J601" s="72" t="n"/>
      <c r="K601" s="79">
        <f>IF(I601="","",IF(I601="Active",0,IF(I601="Expires soon",1,3)))</f>
        <v/>
      </c>
      <c r="L601" s="112">
        <f>IF(G601="","",IF(G601&lt;AsOf,"",G601))</f>
        <v/>
      </c>
      <c r="M601" s="79">
        <f>IF(L601="","",IF(L601&lt;=AsOf+AlertDays,2,IF(L601&lt;=AsOf+90,3,"")))</f>
        <v/>
      </c>
      <c r="N601" s="79">
        <f>IF(M601="","","Warranty expires in "&amp;H601&amp;" days: "&amp;B601&amp;IF(C601="",""," ("&amp;C601&amp;")")&amp;" — check for defects")</f>
        <v/>
      </c>
      <c r="P601" s="72" t="n"/>
      <c r="Q601" s="72" t="n"/>
      <c r="R601" s="89" t="n"/>
      <c r="S601" s="109" t="n"/>
      <c r="T601" s="126">
        <f>IF(OR(R601="",S601=""),"",DATE(YEAR(S601),MONTH(S601)+R601,DAY(S601)))</f>
        <v/>
      </c>
      <c r="U601" s="144">
        <f>IF(T601="","",T601-AsOf)</f>
        <v/>
      </c>
      <c r="V601" s="107">
        <f>IF(T601="",IF(P601="","","Enter last-done date"),IF(U601&lt;0,"Overdue",IF(U601&lt;=30,"Due soon","OK")))</f>
        <v/>
      </c>
      <c r="W601" s="79">
        <f>IF(T601="","",IF(U601&lt;0,2,IF(U601&lt;=30,1,0)))</f>
        <v/>
      </c>
      <c r="X601" s="112">
        <f>IF(T601="","",T601)</f>
        <v/>
      </c>
      <c r="Y601" s="79">
        <f>IF(X601="","",IF(X601&lt;=AsOf+AlertDays,2,IF(X601&lt;=AsOf+30,3,"")))</f>
        <v/>
      </c>
      <c r="Z601" s="79">
        <f>IF(Y601="","",IF(U601&lt;0,"Maintenance overdue: ","Maintenance due: ")&amp;P601)</f>
        <v/>
      </c>
    </row>
    <row r="602" ht="20" customHeight="1">
      <c r="B602" s="72" t="n"/>
      <c r="C602" s="72" t="n"/>
      <c r="D602" s="72" t="n"/>
      <c r="E602" s="109" t="n"/>
      <c r="F602" s="74" t="n"/>
      <c r="G602" s="126">
        <f>IF(OR(E602="",F602=""),"",DATE(YEAR(E602),MONTH(E602)+ROUND(F602*12,0),DAY(E602)))</f>
        <v/>
      </c>
      <c r="H602" s="144">
        <f>IF(G602="","",G602-AsOf)</f>
        <v/>
      </c>
      <c r="I602" s="107">
        <f>IF(G602="","",IF(H602&lt;0,"Expired",IF(H602&lt;=90,"Expires soon","Active")))</f>
        <v/>
      </c>
      <c r="J602" s="72" t="n"/>
      <c r="K602" s="79">
        <f>IF(I602="","",IF(I602="Active",0,IF(I602="Expires soon",1,3)))</f>
        <v/>
      </c>
      <c r="L602" s="112">
        <f>IF(G602="","",IF(G602&lt;AsOf,"",G602))</f>
        <v/>
      </c>
      <c r="M602" s="79">
        <f>IF(L602="","",IF(L602&lt;=AsOf+AlertDays,2,IF(L602&lt;=AsOf+90,3,"")))</f>
        <v/>
      </c>
      <c r="N602" s="79">
        <f>IF(M602="","","Warranty expires in "&amp;H602&amp;" days: "&amp;B602&amp;IF(C602="",""," ("&amp;C602&amp;")")&amp;" — check for defects")</f>
        <v/>
      </c>
      <c r="P602" s="72" t="n"/>
      <c r="Q602" s="72" t="n"/>
      <c r="R602" s="89" t="n"/>
      <c r="S602" s="109" t="n"/>
      <c r="T602" s="126">
        <f>IF(OR(R602="",S602=""),"",DATE(YEAR(S602),MONTH(S602)+R602,DAY(S602)))</f>
        <v/>
      </c>
      <c r="U602" s="144">
        <f>IF(T602="","",T602-AsOf)</f>
        <v/>
      </c>
      <c r="V602" s="107">
        <f>IF(T602="",IF(P602="","","Enter last-done date"),IF(U602&lt;0,"Overdue",IF(U602&lt;=30,"Due soon","OK")))</f>
        <v/>
      </c>
      <c r="W602" s="79">
        <f>IF(T602="","",IF(U602&lt;0,2,IF(U602&lt;=30,1,0)))</f>
        <v/>
      </c>
      <c r="X602" s="112">
        <f>IF(T602="","",T602)</f>
        <v/>
      </c>
      <c r="Y602" s="79">
        <f>IF(X602="","",IF(X602&lt;=AsOf+AlertDays,2,IF(X602&lt;=AsOf+30,3,"")))</f>
        <v/>
      </c>
      <c r="Z602" s="79">
        <f>IF(Y602="","",IF(U602&lt;0,"Maintenance overdue: ","Maintenance due: ")&amp;P602)</f>
        <v/>
      </c>
    </row>
    <row r="603" ht="20" customHeight="1">
      <c r="B603" s="72" t="n"/>
      <c r="C603" s="72" t="n"/>
      <c r="D603" s="72" t="n"/>
      <c r="E603" s="109" t="n"/>
      <c r="F603" s="74" t="n"/>
      <c r="G603" s="126">
        <f>IF(OR(E603="",F603=""),"",DATE(YEAR(E603),MONTH(E603)+ROUND(F603*12,0),DAY(E603)))</f>
        <v/>
      </c>
      <c r="H603" s="144">
        <f>IF(G603="","",G603-AsOf)</f>
        <v/>
      </c>
      <c r="I603" s="107">
        <f>IF(G603="","",IF(H603&lt;0,"Expired",IF(H603&lt;=90,"Expires soon","Active")))</f>
        <v/>
      </c>
      <c r="J603" s="72" t="n"/>
      <c r="K603" s="79">
        <f>IF(I603="","",IF(I603="Active",0,IF(I603="Expires soon",1,3)))</f>
        <v/>
      </c>
      <c r="L603" s="112">
        <f>IF(G603="","",IF(G603&lt;AsOf,"",G603))</f>
        <v/>
      </c>
      <c r="M603" s="79">
        <f>IF(L603="","",IF(L603&lt;=AsOf+AlertDays,2,IF(L603&lt;=AsOf+90,3,"")))</f>
        <v/>
      </c>
      <c r="N603" s="79">
        <f>IF(M603="","","Warranty expires in "&amp;H603&amp;" days: "&amp;B603&amp;IF(C603="",""," ("&amp;C603&amp;")")&amp;" — check for defects")</f>
        <v/>
      </c>
      <c r="P603" s="72" t="n"/>
      <c r="Q603" s="72" t="n"/>
      <c r="R603" s="89" t="n"/>
      <c r="S603" s="109" t="n"/>
      <c r="T603" s="126">
        <f>IF(OR(R603="",S603=""),"",DATE(YEAR(S603),MONTH(S603)+R603,DAY(S603)))</f>
        <v/>
      </c>
      <c r="U603" s="144">
        <f>IF(T603="","",T603-AsOf)</f>
        <v/>
      </c>
      <c r="V603" s="107">
        <f>IF(T603="",IF(P603="","","Enter last-done date"),IF(U603&lt;0,"Overdue",IF(U603&lt;=30,"Due soon","OK")))</f>
        <v/>
      </c>
      <c r="W603" s="79">
        <f>IF(T603="","",IF(U603&lt;0,2,IF(U603&lt;=30,1,0)))</f>
        <v/>
      </c>
      <c r="X603" s="112">
        <f>IF(T603="","",T603)</f>
        <v/>
      </c>
      <c r="Y603" s="79">
        <f>IF(X603="","",IF(X603&lt;=AsOf+AlertDays,2,IF(X603&lt;=AsOf+30,3,"")))</f>
        <v/>
      </c>
      <c r="Z603" s="79">
        <f>IF(Y603="","",IF(U603&lt;0,"Maintenance overdue: ","Maintenance due: ")&amp;P603)</f>
        <v/>
      </c>
    </row>
    <row r="604" ht="20" customHeight="1">
      <c r="B604" s="72" t="n"/>
      <c r="C604" s="72" t="n"/>
      <c r="D604" s="72" t="n"/>
      <c r="E604" s="109" t="n"/>
      <c r="F604" s="74" t="n"/>
      <c r="G604" s="126">
        <f>IF(OR(E604="",F604=""),"",DATE(YEAR(E604),MONTH(E604)+ROUND(F604*12,0),DAY(E604)))</f>
        <v/>
      </c>
      <c r="H604" s="144">
        <f>IF(G604="","",G604-AsOf)</f>
        <v/>
      </c>
      <c r="I604" s="107">
        <f>IF(G604="","",IF(H604&lt;0,"Expired",IF(H604&lt;=90,"Expires soon","Active")))</f>
        <v/>
      </c>
      <c r="J604" s="72" t="n"/>
      <c r="K604" s="79">
        <f>IF(I604="","",IF(I604="Active",0,IF(I604="Expires soon",1,3)))</f>
        <v/>
      </c>
      <c r="L604" s="112">
        <f>IF(G604="","",IF(G604&lt;AsOf,"",G604))</f>
        <v/>
      </c>
      <c r="M604" s="79">
        <f>IF(L604="","",IF(L604&lt;=AsOf+AlertDays,2,IF(L604&lt;=AsOf+90,3,"")))</f>
        <v/>
      </c>
      <c r="N604" s="79">
        <f>IF(M604="","","Warranty expires in "&amp;H604&amp;" days: "&amp;B604&amp;IF(C604="",""," ("&amp;C604&amp;")")&amp;" — check for defects")</f>
        <v/>
      </c>
      <c r="P604" s="72" t="n"/>
      <c r="Q604" s="72" t="n"/>
      <c r="R604" s="89" t="n"/>
      <c r="S604" s="109" t="n"/>
      <c r="T604" s="126">
        <f>IF(OR(R604="",S604=""),"",DATE(YEAR(S604),MONTH(S604)+R604,DAY(S604)))</f>
        <v/>
      </c>
      <c r="U604" s="144">
        <f>IF(T604="","",T604-AsOf)</f>
        <v/>
      </c>
      <c r="V604" s="107">
        <f>IF(T604="",IF(P604="","","Enter last-done date"),IF(U604&lt;0,"Overdue",IF(U604&lt;=30,"Due soon","OK")))</f>
        <v/>
      </c>
      <c r="W604" s="79">
        <f>IF(T604="","",IF(U604&lt;0,2,IF(U604&lt;=30,1,0)))</f>
        <v/>
      </c>
      <c r="X604" s="112">
        <f>IF(T604="","",T604)</f>
        <v/>
      </c>
      <c r="Y604" s="79">
        <f>IF(X604="","",IF(X604&lt;=AsOf+AlertDays,2,IF(X604&lt;=AsOf+30,3,"")))</f>
        <v/>
      </c>
      <c r="Z604" s="79">
        <f>IF(Y604="","",IF(U604&lt;0,"Maintenance overdue: ","Maintenance due: ")&amp;P604)</f>
        <v/>
      </c>
    </row>
    <row r="605" ht="20" customHeight="1">
      <c r="B605" s="72" t="n"/>
      <c r="C605" s="72" t="n"/>
      <c r="D605" s="72" t="n"/>
      <c r="E605" s="109" t="n"/>
      <c r="F605" s="74" t="n"/>
      <c r="G605" s="126">
        <f>IF(OR(E605="",F605=""),"",DATE(YEAR(E605),MONTH(E605)+ROUND(F605*12,0),DAY(E605)))</f>
        <v/>
      </c>
      <c r="H605" s="144">
        <f>IF(G605="","",G605-AsOf)</f>
        <v/>
      </c>
      <c r="I605" s="107">
        <f>IF(G605="","",IF(H605&lt;0,"Expired",IF(H605&lt;=90,"Expires soon","Active")))</f>
        <v/>
      </c>
      <c r="J605" s="72" t="n"/>
      <c r="K605" s="79">
        <f>IF(I605="","",IF(I605="Active",0,IF(I605="Expires soon",1,3)))</f>
        <v/>
      </c>
      <c r="L605" s="112">
        <f>IF(G605="","",IF(G605&lt;AsOf,"",G605))</f>
        <v/>
      </c>
      <c r="M605" s="79">
        <f>IF(L605="","",IF(L605&lt;=AsOf+AlertDays,2,IF(L605&lt;=AsOf+90,3,"")))</f>
        <v/>
      </c>
      <c r="N605" s="79">
        <f>IF(M605="","","Warranty expires in "&amp;H605&amp;" days: "&amp;B605&amp;IF(C605="",""," ("&amp;C605&amp;")")&amp;" — check for defects")</f>
        <v/>
      </c>
      <c r="P605" s="72" t="n"/>
      <c r="Q605" s="72" t="n"/>
      <c r="R605" s="89" t="n"/>
      <c r="S605" s="109" t="n"/>
      <c r="T605" s="126">
        <f>IF(OR(R605="",S605=""),"",DATE(YEAR(S605),MONTH(S605)+R605,DAY(S605)))</f>
        <v/>
      </c>
      <c r="U605" s="144">
        <f>IF(T605="","",T605-AsOf)</f>
        <v/>
      </c>
      <c r="V605" s="107">
        <f>IF(T605="",IF(P605="","","Enter last-done date"),IF(U605&lt;0,"Overdue",IF(U605&lt;=30,"Due soon","OK")))</f>
        <v/>
      </c>
      <c r="W605" s="79">
        <f>IF(T605="","",IF(U605&lt;0,2,IF(U605&lt;=30,1,0)))</f>
        <v/>
      </c>
      <c r="X605" s="112">
        <f>IF(T605="","",T605)</f>
        <v/>
      </c>
      <c r="Y605" s="79">
        <f>IF(X605="","",IF(X605&lt;=AsOf+AlertDays,2,IF(X605&lt;=AsOf+30,3,"")))</f>
        <v/>
      </c>
      <c r="Z605" s="79">
        <f>IF(Y605="","",IF(U605&lt;0,"Maintenance overdue: ","Maintenance due: ")&amp;P605)</f>
        <v/>
      </c>
    </row>
    <row r="606" ht="20" customHeight="1">
      <c r="B606" s="72" t="n"/>
      <c r="C606" s="72" t="n"/>
      <c r="D606" s="72" t="n"/>
      <c r="E606" s="109" t="n"/>
      <c r="F606" s="74" t="n"/>
      <c r="G606" s="126">
        <f>IF(OR(E606="",F606=""),"",DATE(YEAR(E606),MONTH(E606)+ROUND(F606*12,0),DAY(E606)))</f>
        <v/>
      </c>
      <c r="H606" s="144">
        <f>IF(G606="","",G606-AsOf)</f>
        <v/>
      </c>
      <c r="I606" s="107">
        <f>IF(G606="","",IF(H606&lt;0,"Expired",IF(H606&lt;=90,"Expires soon","Active")))</f>
        <v/>
      </c>
      <c r="J606" s="72" t="n"/>
      <c r="K606" s="79">
        <f>IF(I606="","",IF(I606="Active",0,IF(I606="Expires soon",1,3)))</f>
        <v/>
      </c>
      <c r="L606" s="112">
        <f>IF(G606="","",IF(G606&lt;AsOf,"",G606))</f>
        <v/>
      </c>
      <c r="M606" s="79">
        <f>IF(L606="","",IF(L606&lt;=AsOf+AlertDays,2,IF(L606&lt;=AsOf+90,3,"")))</f>
        <v/>
      </c>
      <c r="N606" s="79">
        <f>IF(M606="","","Warranty expires in "&amp;H606&amp;" days: "&amp;B606&amp;IF(C606="",""," ("&amp;C606&amp;")")&amp;" — check for defects")</f>
        <v/>
      </c>
      <c r="P606" s="72" t="n"/>
      <c r="Q606" s="72" t="n"/>
      <c r="R606" s="89" t="n"/>
      <c r="S606" s="109" t="n"/>
      <c r="T606" s="126">
        <f>IF(OR(R606="",S606=""),"",DATE(YEAR(S606),MONTH(S606)+R606,DAY(S606)))</f>
        <v/>
      </c>
      <c r="U606" s="144">
        <f>IF(T606="","",T606-AsOf)</f>
        <v/>
      </c>
      <c r="V606" s="107">
        <f>IF(T606="",IF(P606="","","Enter last-done date"),IF(U606&lt;0,"Overdue",IF(U606&lt;=30,"Due soon","OK")))</f>
        <v/>
      </c>
      <c r="W606" s="79">
        <f>IF(T606="","",IF(U606&lt;0,2,IF(U606&lt;=30,1,0)))</f>
        <v/>
      </c>
      <c r="X606" s="112">
        <f>IF(T606="","",T606)</f>
        <v/>
      </c>
      <c r="Y606" s="79">
        <f>IF(X606="","",IF(X606&lt;=AsOf+AlertDays,2,IF(X606&lt;=AsOf+30,3,"")))</f>
        <v/>
      </c>
      <c r="Z606" s="79">
        <f>IF(Y606="","",IF(U606&lt;0,"Maintenance overdue: ","Maintenance due: ")&amp;P606)</f>
        <v/>
      </c>
    </row>
    <row r="607" ht="20" customHeight="1">
      <c r="B607" s="72" t="n"/>
      <c r="C607" s="72" t="n"/>
      <c r="D607" s="72" t="n"/>
      <c r="E607" s="109" t="n"/>
      <c r="F607" s="74" t="n"/>
      <c r="G607" s="126">
        <f>IF(OR(E607="",F607=""),"",DATE(YEAR(E607),MONTH(E607)+ROUND(F607*12,0),DAY(E607)))</f>
        <v/>
      </c>
      <c r="H607" s="144">
        <f>IF(G607="","",G607-AsOf)</f>
        <v/>
      </c>
      <c r="I607" s="107">
        <f>IF(G607="","",IF(H607&lt;0,"Expired",IF(H607&lt;=90,"Expires soon","Active")))</f>
        <v/>
      </c>
      <c r="J607" s="72" t="n"/>
      <c r="K607" s="79">
        <f>IF(I607="","",IF(I607="Active",0,IF(I607="Expires soon",1,3)))</f>
        <v/>
      </c>
      <c r="L607" s="112">
        <f>IF(G607="","",IF(G607&lt;AsOf,"",G607))</f>
        <v/>
      </c>
      <c r="M607" s="79">
        <f>IF(L607="","",IF(L607&lt;=AsOf+AlertDays,2,IF(L607&lt;=AsOf+90,3,"")))</f>
        <v/>
      </c>
      <c r="N607" s="79">
        <f>IF(M607="","","Warranty expires in "&amp;H607&amp;" days: "&amp;B607&amp;IF(C607="",""," ("&amp;C607&amp;")")&amp;" — check for defects")</f>
        <v/>
      </c>
      <c r="P607" s="72" t="n"/>
      <c r="Q607" s="72" t="n"/>
      <c r="R607" s="89" t="n"/>
      <c r="S607" s="109" t="n"/>
      <c r="T607" s="126">
        <f>IF(OR(R607="",S607=""),"",DATE(YEAR(S607),MONTH(S607)+R607,DAY(S607)))</f>
        <v/>
      </c>
      <c r="U607" s="144">
        <f>IF(T607="","",T607-AsOf)</f>
        <v/>
      </c>
      <c r="V607" s="107">
        <f>IF(T607="",IF(P607="","","Enter last-done date"),IF(U607&lt;0,"Overdue",IF(U607&lt;=30,"Due soon","OK")))</f>
        <v/>
      </c>
      <c r="W607" s="79">
        <f>IF(T607="","",IF(U607&lt;0,2,IF(U607&lt;=30,1,0)))</f>
        <v/>
      </c>
      <c r="X607" s="112">
        <f>IF(T607="","",T607)</f>
        <v/>
      </c>
      <c r="Y607" s="79">
        <f>IF(X607="","",IF(X607&lt;=AsOf+AlertDays,2,IF(X607&lt;=AsOf+30,3,"")))</f>
        <v/>
      </c>
      <c r="Z607" s="79">
        <f>IF(Y607="","",IF(U607&lt;0,"Maintenance overdue: ","Maintenance due: ")&amp;P607)</f>
        <v/>
      </c>
    </row>
    <row r="608" ht="20" customHeight="1">
      <c r="B608" s="72" t="n"/>
      <c r="C608" s="72" t="n"/>
      <c r="D608" s="72" t="n"/>
      <c r="E608" s="109" t="n"/>
      <c r="F608" s="74" t="n"/>
      <c r="G608" s="126">
        <f>IF(OR(E608="",F608=""),"",DATE(YEAR(E608),MONTH(E608)+ROUND(F608*12,0),DAY(E608)))</f>
        <v/>
      </c>
      <c r="H608" s="144">
        <f>IF(G608="","",G608-AsOf)</f>
        <v/>
      </c>
      <c r="I608" s="107">
        <f>IF(G608="","",IF(H608&lt;0,"Expired",IF(H608&lt;=90,"Expires soon","Active")))</f>
        <v/>
      </c>
      <c r="J608" s="72" t="n"/>
      <c r="K608" s="79">
        <f>IF(I608="","",IF(I608="Active",0,IF(I608="Expires soon",1,3)))</f>
        <v/>
      </c>
      <c r="L608" s="112">
        <f>IF(G608="","",IF(G608&lt;AsOf,"",G608))</f>
        <v/>
      </c>
      <c r="M608" s="79">
        <f>IF(L608="","",IF(L608&lt;=AsOf+AlertDays,2,IF(L608&lt;=AsOf+90,3,"")))</f>
        <v/>
      </c>
      <c r="N608" s="79">
        <f>IF(M608="","","Warranty expires in "&amp;H608&amp;" days: "&amp;B608&amp;IF(C608="",""," ("&amp;C608&amp;")")&amp;" — check for defects")</f>
        <v/>
      </c>
      <c r="P608" s="72" t="n"/>
      <c r="Q608" s="72" t="n"/>
      <c r="R608" s="89" t="n"/>
      <c r="S608" s="109" t="n"/>
      <c r="T608" s="126">
        <f>IF(OR(R608="",S608=""),"",DATE(YEAR(S608),MONTH(S608)+R608,DAY(S608)))</f>
        <v/>
      </c>
      <c r="U608" s="144">
        <f>IF(T608="","",T608-AsOf)</f>
        <v/>
      </c>
      <c r="V608" s="107">
        <f>IF(T608="",IF(P608="","","Enter last-done date"),IF(U608&lt;0,"Overdue",IF(U608&lt;=30,"Due soon","OK")))</f>
        <v/>
      </c>
      <c r="W608" s="79">
        <f>IF(T608="","",IF(U608&lt;0,2,IF(U608&lt;=30,1,0)))</f>
        <v/>
      </c>
      <c r="X608" s="112">
        <f>IF(T608="","",T608)</f>
        <v/>
      </c>
      <c r="Y608" s="79">
        <f>IF(X608="","",IF(X608&lt;=AsOf+AlertDays,2,IF(X608&lt;=AsOf+30,3,"")))</f>
        <v/>
      </c>
      <c r="Z608" s="79">
        <f>IF(Y608="","",IF(U608&lt;0,"Maintenance overdue: ","Maintenance due: ")&amp;P608)</f>
        <v/>
      </c>
    </row>
    <row r="609" ht="20" customHeight="1">
      <c r="B609" s="72" t="n"/>
      <c r="C609" s="72" t="n"/>
      <c r="D609" s="72" t="n"/>
      <c r="E609" s="109" t="n"/>
      <c r="F609" s="74" t="n"/>
      <c r="G609" s="126">
        <f>IF(OR(E609="",F609=""),"",DATE(YEAR(E609),MONTH(E609)+ROUND(F609*12,0),DAY(E609)))</f>
        <v/>
      </c>
      <c r="H609" s="144">
        <f>IF(G609="","",G609-AsOf)</f>
        <v/>
      </c>
      <c r="I609" s="107">
        <f>IF(G609="","",IF(H609&lt;0,"Expired",IF(H609&lt;=90,"Expires soon","Active")))</f>
        <v/>
      </c>
      <c r="J609" s="72" t="n"/>
      <c r="K609" s="79">
        <f>IF(I609="","",IF(I609="Active",0,IF(I609="Expires soon",1,3)))</f>
        <v/>
      </c>
      <c r="L609" s="112">
        <f>IF(G609="","",IF(G609&lt;AsOf,"",G609))</f>
        <v/>
      </c>
      <c r="M609" s="79">
        <f>IF(L609="","",IF(L609&lt;=AsOf+AlertDays,2,IF(L609&lt;=AsOf+90,3,"")))</f>
        <v/>
      </c>
      <c r="N609" s="79">
        <f>IF(M609="","","Warranty expires in "&amp;H609&amp;" days: "&amp;B609&amp;IF(C609="",""," ("&amp;C609&amp;")")&amp;" — check for defects")</f>
        <v/>
      </c>
      <c r="P609" s="72" t="n"/>
      <c r="Q609" s="72" t="n"/>
      <c r="R609" s="89" t="n"/>
      <c r="S609" s="109" t="n"/>
      <c r="T609" s="126">
        <f>IF(OR(R609="",S609=""),"",DATE(YEAR(S609),MONTH(S609)+R609,DAY(S609)))</f>
        <v/>
      </c>
      <c r="U609" s="144">
        <f>IF(T609="","",T609-AsOf)</f>
        <v/>
      </c>
      <c r="V609" s="107">
        <f>IF(T609="",IF(P609="","","Enter last-done date"),IF(U609&lt;0,"Overdue",IF(U609&lt;=30,"Due soon","OK")))</f>
        <v/>
      </c>
      <c r="W609" s="79">
        <f>IF(T609="","",IF(U609&lt;0,2,IF(U609&lt;=30,1,0)))</f>
        <v/>
      </c>
      <c r="X609" s="112">
        <f>IF(T609="","",T609)</f>
        <v/>
      </c>
      <c r="Y609" s="79">
        <f>IF(X609="","",IF(X609&lt;=AsOf+AlertDays,2,IF(X609&lt;=AsOf+30,3,"")))</f>
        <v/>
      </c>
      <c r="Z609" s="79">
        <f>IF(Y609="","",IF(U609&lt;0,"Maintenance overdue: ","Maintenance due: ")&amp;P609)</f>
        <v/>
      </c>
    </row>
    <row r="610" ht="20" customHeight="1">
      <c r="B610" s="72" t="n"/>
      <c r="C610" s="72" t="n"/>
      <c r="D610" s="72" t="n"/>
      <c r="E610" s="109" t="n"/>
      <c r="F610" s="74" t="n"/>
      <c r="G610" s="126">
        <f>IF(OR(E610="",F610=""),"",DATE(YEAR(E610),MONTH(E610)+ROUND(F610*12,0),DAY(E610)))</f>
        <v/>
      </c>
      <c r="H610" s="144">
        <f>IF(G610="","",G610-AsOf)</f>
        <v/>
      </c>
      <c r="I610" s="107">
        <f>IF(G610="","",IF(H610&lt;0,"Expired",IF(H610&lt;=90,"Expires soon","Active")))</f>
        <v/>
      </c>
      <c r="J610" s="72" t="n"/>
      <c r="K610" s="79">
        <f>IF(I610="","",IF(I610="Active",0,IF(I610="Expires soon",1,3)))</f>
        <v/>
      </c>
      <c r="L610" s="112">
        <f>IF(G610="","",IF(G610&lt;AsOf,"",G610))</f>
        <v/>
      </c>
      <c r="M610" s="79">
        <f>IF(L610="","",IF(L610&lt;=AsOf+AlertDays,2,IF(L610&lt;=AsOf+90,3,"")))</f>
        <v/>
      </c>
      <c r="N610" s="79">
        <f>IF(M610="","","Warranty expires in "&amp;H610&amp;" days: "&amp;B610&amp;IF(C610="",""," ("&amp;C610&amp;")")&amp;" — check for defects")</f>
        <v/>
      </c>
      <c r="P610" s="72" t="n"/>
      <c r="Q610" s="72" t="n"/>
      <c r="R610" s="89" t="n"/>
      <c r="S610" s="109" t="n"/>
      <c r="T610" s="126">
        <f>IF(OR(R610="",S610=""),"",DATE(YEAR(S610),MONTH(S610)+R610,DAY(S610)))</f>
        <v/>
      </c>
      <c r="U610" s="144">
        <f>IF(T610="","",T610-AsOf)</f>
        <v/>
      </c>
      <c r="V610" s="107">
        <f>IF(T610="",IF(P610="","","Enter last-done date"),IF(U610&lt;0,"Overdue",IF(U610&lt;=30,"Due soon","OK")))</f>
        <v/>
      </c>
      <c r="W610" s="79">
        <f>IF(T610="","",IF(U610&lt;0,2,IF(U610&lt;=30,1,0)))</f>
        <v/>
      </c>
      <c r="X610" s="112">
        <f>IF(T610="","",T610)</f>
        <v/>
      </c>
      <c r="Y610" s="79">
        <f>IF(X610="","",IF(X610&lt;=AsOf+AlertDays,2,IF(X610&lt;=AsOf+30,3,"")))</f>
        <v/>
      </c>
      <c r="Z610" s="79">
        <f>IF(Y610="","",IF(U610&lt;0,"Maintenance overdue: ","Maintenance due: ")&amp;P610)</f>
        <v/>
      </c>
    </row>
    <row r="611" ht="20" customHeight="1">
      <c r="B611" s="72" t="n"/>
      <c r="C611" s="72" t="n"/>
      <c r="D611" s="72" t="n"/>
      <c r="E611" s="109" t="n"/>
      <c r="F611" s="74" t="n"/>
      <c r="G611" s="126">
        <f>IF(OR(E611="",F611=""),"",DATE(YEAR(E611),MONTH(E611)+ROUND(F611*12,0),DAY(E611)))</f>
        <v/>
      </c>
      <c r="H611" s="144">
        <f>IF(G611="","",G611-AsOf)</f>
        <v/>
      </c>
      <c r="I611" s="107">
        <f>IF(G611="","",IF(H611&lt;0,"Expired",IF(H611&lt;=90,"Expires soon","Active")))</f>
        <v/>
      </c>
      <c r="J611" s="72" t="n"/>
      <c r="K611" s="79">
        <f>IF(I611="","",IF(I611="Active",0,IF(I611="Expires soon",1,3)))</f>
        <v/>
      </c>
      <c r="L611" s="112">
        <f>IF(G611="","",IF(G611&lt;AsOf,"",G611))</f>
        <v/>
      </c>
      <c r="M611" s="79">
        <f>IF(L611="","",IF(L611&lt;=AsOf+AlertDays,2,IF(L611&lt;=AsOf+90,3,"")))</f>
        <v/>
      </c>
      <c r="N611" s="79">
        <f>IF(M611="","","Warranty expires in "&amp;H611&amp;" days: "&amp;B611&amp;IF(C611="",""," ("&amp;C611&amp;")")&amp;" — check for defects")</f>
        <v/>
      </c>
      <c r="P611" s="72" t="n"/>
      <c r="Q611" s="72" t="n"/>
      <c r="R611" s="89" t="n"/>
      <c r="S611" s="109" t="n"/>
      <c r="T611" s="126">
        <f>IF(OR(R611="",S611=""),"",DATE(YEAR(S611),MONTH(S611)+R611,DAY(S611)))</f>
        <v/>
      </c>
      <c r="U611" s="144">
        <f>IF(T611="","",T611-AsOf)</f>
        <v/>
      </c>
      <c r="V611" s="107">
        <f>IF(T611="",IF(P611="","","Enter last-done date"),IF(U611&lt;0,"Overdue",IF(U611&lt;=30,"Due soon","OK")))</f>
        <v/>
      </c>
      <c r="W611" s="79">
        <f>IF(T611="","",IF(U611&lt;0,2,IF(U611&lt;=30,1,0)))</f>
        <v/>
      </c>
      <c r="X611" s="112">
        <f>IF(T611="","",T611)</f>
        <v/>
      </c>
      <c r="Y611" s="79">
        <f>IF(X611="","",IF(X611&lt;=AsOf+AlertDays,2,IF(X611&lt;=AsOf+30,3,"")))</f>
        <v/>
      </c>
      <c r="Z611" s="79">
        <f>IF(Y611="","",IF(U611&lt;0,"Maintenance overdue: ","Maintenance due: ")&amp;P611)</f>
        <v/>
      </c>
    </row>
    <row r="612" ht="20" customHeight="1">
      <c r="B612" s="72" t="n"/>
      <c r="C612" s="72" t="n"/>
      <c r="D612" s="72" t="n"/>
      <c r="E612" s="109" t="n"/>
      <c r="F612" s="74" t="n"/>
      <c r="G612" s="126">
        <f>IF(OR(E612="",F612=""),"",DATE(YEAR(E612),MONTH(E612)+ROUND(F612*12,0),DAY(E612)))</f>
        <v/>
      </c>
      <c r="H612" s="144">
        <f>IF(G612="","",G612-AsOf)</f>
        <v/>
      </c>
      <c r="I612" s="107">
        <f>IF(G612="","",IF(H612&lt;0,"Expired",IF(H612&lt;=90,"Expires soon","Active")))</f>
        <v/>
      </c>
      <c r="J612" s="72" t="n"/>
      <c r="K612" s="79">
        <f>IF(I612="","",IF(I612="Active",0,IF(I612="Expires soon",1,3)))</f>
        <v/>
      </c>
      <c r="L612" s="112">
        <f>IF(G612="","",IF(G612&lt;AsOf,"",G612))</f>
        <v/>
      </c>
      <c r="M612" s="79">
        <f>IF(L612="","",IF(L612&lt;=AsOf+AlertDays,2,IF(L612&lt;=AsOf+90,3,"")))</f>
        <v/>
      </c>
      <c r="N612" s="79">
        <f>IF(M612="","","Warranty expires in "&amp;H612&amp;" days: "&amp;B612&amp;IF(C612="",""," ("&amp;C612&amp;")")&amp;" — check for defects")</f>
        <v/>
      </c>
      <c r="P612" s="72" t="n"/>
      <c r="Q612" s="72" t="n"/>
      <c r="R612" s="89" t="n"/>
      <c r="S612" s="109" t="n"/>
      <c r="T612" s="126">
        <f>IF(OR(R612="",S612=""),"",DATE(YEAR(S612),MONTH(S612)+R612,DAY(S612)))</f>
        <v/>
      </c>
      <c r="U612" s="144">
        <f>IF(T612="","",T612-AsOf)</f>
        <v/>
      </c>
      <c r="V612" s="107">
        <f>IF(T612="",IF(P612="","","Enter last-done date"),IF(U612&lt;0,"Overdue",IF(U612&lt;=30,"Due soon","OK")))</f>
        <v/>
      </c>
      <c r="W612" s="79">
        <f>IF(T612="","",IF(U612&lt;0,2,IF(U612&lt;=30,1,0)))</f>
        <v/>
      </c>
      <c r="X612" s="112">
        <f>IF(T612="","",T612)</f>
        <v/>
      </c>
      <c r="Y612" s="79">
        <f>IF(X612="","",IF(X612&lt;=AsOf+AlertDays,2,IF(X612&lt;=AsOf+30,3,"")))</f>
        <v/>
      </c>
      <c r="Z612" s="79">
        <f>IF(Y612="","",IF(U612&lt;0,"Maintenance overdue: ","Maintenance due: ")&amp;P612)</f>
        <v/>
      </c>
    </row>
    <row r="613" ht="20" customHeight="1">
      <c r="B613" s="72" t="n"/>
      <c r="C613" s="72" t="n"/>
      <c r="D613" s="72" t="n"/>
      <c r="E613" s="109" t="n"/>
      <c r="F613" s="74" t="n"/>
      <c r="G613" s="126">
        <f>IF(OR(E613="",F613=""),"",DATE(YEAR(E613),MONTH(E613)+ROUND(F613*12,0),DAY(E613)))</f>
        <v/>
      </c>
      <c r="H613" s="144">
        <f>IF(G613="","",G613-AsOf)</f>
        <v/>
      </c>
      <c r="I613" s="107">
        <f>IF(G613="","",IF(H613&lt;0,"Expired",IF(H613&lt;=90,"Expires soon","Active")))</f>
        <v/>
      </c>
      <c r="J613" s="72" t="n"/>
      <c r="K613" s="79">
        <f>IF(I613="","",IF(I613="Active",0,IF(I613="Expires soon",1,3)))</f>
        <v/>
      </c>
      <c r="L613" s="112">
        <f>IF(G613="","",IF(G613&lt;AsOf,"",G613))</f>
        <v/>
      </c>
      <c r="M613" s="79">
        <f>IF(L613="","",IF(L613&lt;=AsOf+AlertDays,2,IF(L613&lt;=AsOf+90,3,"")))</f>
        <v/>
      </c>
      <c r="N613" s="79">
        <f>IF(M613="","","Warranty expires in "&amp;H613&amp;" days: "&amp;B613&amp;IF(C613="",""," ("&amp;C613&amp;")")&amp;" — check for defects")</f>
        <v/>
      </c>
      <c r="P613" s="72" t="n"/>
      <c r="Q613" s="72" t="n"/>
      <c r="R613" s="89" t="n"/>
      <c r="S613" s="109" t="n"/>
      <c r="T613" s="126">
        <f>IF(OR(R613="",S613=""),"",DATE(YEAR(S613),MONTH(S613)+R613,DAY(S613)))</f>
        <v/>
      </c>
      <c r="U613" s="144">
        <f>IF(T613="","",T613-AsOf)</f>
        <v/>
      </c>
      <c r="V613" s="107">
        <f>IF(T613="",IF(P613="","","Enter last-done date"),IF(U613&lt;0,"Overdue",IF(U613&lt;=30,"Due soon","OK")))</f>
        <v/>
      </c>
      <c r="W613" s="79">
        <f>IF(T613="","",IF(U613&lt;0,2,IF(U613&lt;=30,1,0)))</f>
        <v/>
      </c>
      <c r="X613" s="112">
        <f>IF(T613="","",T613)</f>
        <v/>
      </c>
      <c r="Y613" s="79">
        <f>IF(X613="","",IF(X613&lt;=AsOf+AlertDays,2,IF(X613&lt;=AsOf+30,3,"")))</f>
        <v/>
      </c>
      <c r="Z613" s="79">
        <f>IF(Y613="","",IF(U613&lt;0,"Maintenance overdue: ","Maintenance due: ")&amp;P613)</f>
        <v/>
      </c>
    </row>
    <row r="614" ht="20" customHeight="1">
      <c r="B614" s="72" t="n"/>
      <c r="C614" s="72" t="n"/>
      <c r="D614" s="72" t="n"/>
      <c r="E614" s="109" t="n"/>
      <c r="F614" s="74" t="n"/>
      <c r="G614" s="126">
        <f>IF(OR(E614="",F614=""),"",DATE(YEAR(E614),MONTH(E614)+ROUND(F614*12,0),DAY(E614)))</f>
        <v/>
      </c>
      <c r="H614" s="144">
        <f>IF(G614="","",G614-AsOf)</f>
        <v/>
      </c>
      <c r="I614" s="107">
        <f>IF(G614="","",IF(H614&lt;0,"Expired",IF(H614&lt;=90,"Expires soon","Active")))</f>
        <v/>
      </c>
      <c r="J614" s="72" t="n"/>
      <c r="K614" s="79">
        <f>IF(I614="","",IF(I614="Active",0,IF(I614="Expires soon",1,3)))</f>
        <v/>
      </c>
      <c r="L614" s="112">
        <f>IF(G614="","",IF(G614&lt;AsOf,"",G614))</f>
        <v/>
      </c>
      <c r="M614" s="79">
        <f>IF(L614="","",IF(L614&lt;=AsOf+AlertDays,2,IF(L614&lt;=AsOf+90,3,"")))</f>
        <v/>
      </c>
      <c r="N614" s="79">
        <f>IF(M614="","","Warranty expires in "&amp;H614&amp;" days: "&amp;B614&amp;IF(C614="",""," ("&amp;C614&amp;")")&amp;" — check for defects")</f>
        <v/>
      </c>
      <c r="P614" s="72" t="n"/>
      <c r="Q614" s="72" t="n"/>
      <c r="R614" s="89" t="n"/>
      <c r="S614" s="109" t="n"/>
      <c r="T614" s="126">
        <f>IF(OR(R614="",S614=""),"",DATE(YEAR(S614),MONTH(S614)+R614,DAY(S614)))</f>
        <v/>
      </c>
      <c r="U614" s="144">
        <f>IF(T614="","",T614-AsOf)</f>
        <v/>
      </c>
      <c r="V614" s="107">
        <f>IF(T614="",IF(P614="","","Enter last-done date"),IF(U614&lt;0,"Overdue",IF(U614&lt;=30,"Due soon","OK")))</f>
        <v/>
      </c>
      <c r="W614" s="79">
        <f>IF(T614="","",IF(U614&lt;0,2,IF(U614&lt;=30,1,0)))</f>
        <v/>
      </c>
      <c r="X614" s="112">
        <f>IF(T614="","",T614)</f>
        <v/>
      </c>
      <c r="Y614" s="79">
        <f>IF(X614="","",IF(X614&lt;=AsOf+AlertDays,2,IF(X614&lt;=AsOf+30,3,"")))</f>
        <v/>
      </c>
      <c r="Z614" s="79">
        <f>IF(Y614="","",IF(U614&lt;0,"Maintenance overdue: ","Maintenance due: ")&amp;P614)</f>
        <v/>
      </c>
    </row>
    <row r="615" ht="20" customHeight="1">
      <c r="B615" s="72" t="n"/>
      <c r="C615" s="72" t="n"/>
      <c r="D615" s="72" t="n"/>
      <c r="E615" s="109" t="n"/>
      <c r="F615" s="74" t="n"/>
      <c r="G615" s="126">
        <f>IF(OR(E615="",F615=""),"",DATE(YEAR(E615),MONTH(E615)+ROUND(F615*12,0),DAY(E615)))</f>
        <v/>
      </c>
      <c r="H615" s="144">
        <f>IF(G615="","",G615-AsOf)</f>
        <v/>
      </c>
      <c r="I615" s="107">
        <f>IF(G615="","",IF(H615&lt;0,"Expired",IF(H615&lt;=90,"Expires soon","Active")))</f>
        <v/>
      </c>
      <c r="J615" s="72" t="n"/>
      <c r="K615" s="79">
        <f>IF(I615="","",IF(I615="Active",0,IF(I615="Expires soon",1,3)))</f>
        <v/>
      </c>
      <c r="L615" s="112">
        <f>IF(G615="","",IF(G615&lt;AsOf,"",G615))</f>
        <v/>
      </c>
      <c r="M615" s="79">
        <f>IF(L615="","",IF(L615&lt;=AsOf+AlertDays,2,IF(L615&lt;=AsOf+90,3,"")))</f>
        <v/>
      </c>
      <c r="N615" s="79">
        <f>IF(M615="","","Warranty expires in "&amp;H615&amp;" days: "&amp;B615&amp;IF(C615="",""," ("&amp;C615&amp;")")&amp;" — check for defects")</f>
        <v/>
      </c>
      <c r="P615" s="72" t="n"/>
      <c r="Q615" s="72" t="n"/>
      <c r="R615" s="89" t="n"/>
      <c r="S615" s="109" t="n"/>
      <c r="T615" s="126">
        <f>IF(OR(R615="",S615=""),"",DATE(YEAR(S615),MONTH(S615)+R615,DAY(S615)))</f>
        <v/>
      </c>
      <c r="U615" s="144">
        <f>IF(T615="","",T615-AsOf)</f>
        <v/>
      </c>
      <c r="V615" s="107">
        <f>IF(T615="",IF(P615="","","Enter last-done date"),IF(U615&lt;0,"Overdue",IF(U615&lt;=30,"Due soon","OK")))</f>
        <v/>
      </c>
      <c r="W615" s="79">
        <f>IF(T615="","",IF(U615&lt;0,2,IF(U615&lt;=30,1,0)))</f>
        <v/>
      </c>
      <c r="X615" s="112">
        <f>IF(T615="","",T615)</f>
        <v/>
      </c>
      <c r="Y615" s="79">
        <f>IF(X615="","",IF(X615&lt;=AsOf+AlertDays,2,IF(X615&lt;=AsOf+30,3,"")))</f>
        <v/>
      </c>
      <c r="Z615" s="79">
        <f>IF(Y615="","",IF(U615&lt;0,"Maintenance overdue: ","Maintenance due: ")&amp;P615)</f>
        <v/>
      </c>
    </row>
    <row r="616" ht="20" customHeight="1">
      <c r="B616" s="72" t="n"/>
      <c r="C616" s="72" t="n"/>
      <c r="D616" s="72" t="n"/>
      <c r="E616" s="109" t="n"/>
      <c r="F616" s="74" t="n"/>
      <c r="G616" s="126">
        <f>IF(OR(E616="",F616=""),"",DATE(YEAR(E616),MONTH(E616)+ROUND(F616*12,0),DAY(E616)))</f>
        <v/>
      </c>
      <c r="H616" s="144">
        <f>IF(G616="","",G616-AsOf)</f>
        <v/>
      </c>
      <c r="I616" s="107">
        <f>IF(G616="","",IF(H616&lt;0,"Expired",IF(H616&lt;=90,"Expires soon","Active")))</f>
        <v/>
      </c>
      <c r="J616" s="72" t="n"/>
      <c r="K616" s="79">
        <f>IF(I616="","",IF(I616="Active",0,IF(I616="Expires soon",1,3)))</f>
        <v/>
      </c>
      <c r="L616" s="112">
        <f>IF(G616="","",IF(G616&lt;AsOf,"",G616))</f>
        <v/>
      </c>
      <c r="M616" s="79">
        <f>IF(L616="","",IF(L616&lt;=AsOf+AlertDays,2,IF(L616&lt;=AsOf+90,3,"")))</f>
        <v/>
      </c>
      <c r="N616" s="79">
        <f>IF(M616="","","Warranty expires in "&amp;H616&amp;" days: "&amp;B616&amp;IF(C616="",""," ("&amp;C616&amp;")")&amp;" — check for defects")</f>
        <v/>
      </c>
      <c r="P616" s="72" t="n"/>
      <c r="Q616" s="72" t="n"/>
      <c r="R616" s="89" t="n"/>
      <c r="S616" s="109" t="n"/>
      <c r="T616" s="126">
        <f>IF(OR(R616="",S616=""),"",DATE(YEAR(S616),MONTH(S616)+R616,DAY(S616)))</f>
        <v/>
      </c>
      <c r="U616" s="144">
        <f>IF(T616="","",T616-AsOf)</f>
        <v/>
      </c>
      <c r="V616" s="107">
        <f>IF(T616="",IF(P616="","","Enter last-done date"),IF(U616&lt;0,"Overdue",IF(U616&lt;=30,"Due soon","OK")))</f>
        <v/>
      </c>
      <c r="W616" s="79">
        <f>IF(T616="","",IF(U616&lt;0,2,IF(U616&lt;=30,1,0)))</f>
        <v/>
      </c>
      <c r="X616" s="112">
        <f>IF(T616="","",T616)</f>
        <v/>
      </c>
      <c r="Y616" s="79">
        <f>IF(X616="","",IF(X616&lt;=AsOf+AlertDays,2,IF(X616&lt;=AsOf+30,3,"")))</f>
        <v/>
      </c>
      <c r="Z616" s="79">
        <f>IF(Y616="","",IF(U616&lt;0,"Maintenance overdue: ","Maintenance due: ")&amp;P616)</f>
        <v/>
      </c>
    </row>
    <row r="617" ht="20" customHeight="1">
      <c r="B617" s="72" t="n"/>
      <c r="C617" s="72" t="n"/>
      <c r="D617" s="72" t="n"/>
      <c r="E617" s="109" t="n"/>
      <c r="F617" s="74" t="n"/>
      <c r="G617" s="126">
        <f>IF(OR(E617="",F617=""),"",DATE(YEAR(E617),MONTH(E617)+ROUND(F617*12,0),DAY(E617)))</f>
        <v/>
      </c>
      <c r="H617" s="144">
        <f>IF(G617="","",G617-AsOf)</f>
        <v/>
      </c>
      <c r="I617" s="107">
        <f>IF(G617="","",IF(H617&lt;0,"Expired",IF(H617&lt;=90,"Expires soon","Active")))</f>
        <v/>
      </c>
      <c r="J617" s="72" t="n"/>
      <c r="K617" s="79">
        <f>IF(I617="","",IF(I617="Active",0,IF(I617="Expires soon",1,3)))</f>
        <v/>
      </c>
      <c r="L617" s="112">
        <f>IF(G617="","",IF(G617&lt;AsOf,"",G617))</f>
        <v/>
      </c>
      <c r="M617" s="79">
        <f>IF(L617="","",IF(L617&lt;=AsOf+AlertDays,2,IF(L617&lt;=AsOf+90,3,"")))</f>
        <v/>
      </c>
      <c r="N617" s="79">
        <f>IF(M617="","","Warranty expires in "&amp;H617&amp;" days: "&amp;B617&amp;IF(C617="",""," ("&amp;C617&amp;")")&amp;" — check for defects")</f>
        <v/>
      </c>
      <c r="P617" s="72" t="n"/>
      <c r="Q617" s="72" t="n"/>
      <c r="R617" s="89" t="n"/>
      <c r="S617" s="109" t="n"/>
      <c r="T617" s="126">
        <f>IF(OR(R617="",S617=""),"",DATE(YEAR(S617),MONTH(S617)+R617,DAY(S617)))</f>
        <v/>
      </c>
      <c r="U617" s="144">
        <f>IF(T617="","",T617-AsOf)</f>
        <v/>
      </c>
      <c r="V617" s="107">
        <f>IF(T617="",IF(P617="","","Enter last-done date"),IF(U617&lt;0,"Overdue",IF(U617&lt;=30,"Due soon","OK")))</f>
        <v/>
      </c>
      <c r="W617" s="79">
        <f>IF(T617="","",IF(U617&lt;0,2,IF(U617&lt;=30,1,0)))</f>
        <v/>
      </c>
      <c r="X617" s="112">
        <f>IF(T617="","",T617)</f>
        <v/>
      </c>
      <c r="Y617" s="79">
        <f>IF(X617="","",IF(X617&lt;=AsOf+AlertDays,2,IF(X617&lt;=AsOf+30,3,"")))</f>
        <v/>
      </c>
      <c r="Z617" s="79">
        <f>IF(Y617="","",IF(U617&lt;0,"Maintenance overdue: ","Maintenance due: ")&amp;P617)</f>
        <v/>
      </c>
    </row>
    <row r="618" ht="20" customHeight="1">
      <c r="B618" s="72" t="n"/>
      <c r="C618" s="72" t="n"/>
      <c r="D618" s="72" t="n"/>
      <c r="E618" s="109" t="n"/>
      <c r="F618" s="74" t="n"/>
      <c r="G618" s="126">
        <f>IF(OR(E618="",F618=""),"",DATE(YEAR(E618),MONTH(E618)+ROUND(F618*12,0),DAY(E618)))</f>
        <v/>
      </c>
      <c r="H618" s="144">
        <f>IF(G618="","",G618-AsOf)</f>
        <v/>
      </c>
      <c r="I618" s="107">
        <f>IF(G618="","",IF(H618&lt;0,"Expired",IF(H618&lt;=90,"Expires soon","Active")))</f>
        <v/>
      </c>
      <c r="J618" s="72" t="n"/>
      <c r="K618" s="79">
        <f>IF(I618="","",IF(I618="Active",0,IF(I618="Expires soon",1,3)))</f>
        <v/>
      </c>
      <c r="L618" s="112">
        <f>IF(G618="","",IF(G618&lt;AsOf,"",G618))</f>
        <v/>
      </c>
      <c r="M618" s="79">
        <f>IF(L618="","",IF(L618&lt;=AsOf+AlertDays,2,IF(L618&lt;=AsOf+90,3,"")))</f>
        <v/>
      </c>
      <c r="N618" s="79">
        <f>IF(M618="","","Warranty expires in "&amp;H618&amp;" days: "&amp;B618&amp;IF(C618="",""," ("&amp;C618&amp;")")&amp;" — check for defects")</f>
        <v/>
      </c>
      <c r="P618" s="72" t="n"/>
      <c r="Q618" s="72" t="n"/>
      <c r="R618" s="89" t="n"/>
      <c r="S618" s="109" t="n"/>
      <c r="T618" s="126">
        <f>IF(OR(R618="",S618=""),"",DATE(YEAR(S618),MONTH(S618)+R618,DAY(S618)))</f>
        <v/>
      </c>
      <c r="U618" s="144">
        <f>IF(T618="","",T618-AsOf)</f>
        <v/>
      </c>
      <c r="V618" s="107">
        <f>IF(T618="",IF(P618="","","Enter last-done date"),IF(U618&lt;0,"Overdue",IF(U618&lt;=30,"Due soon","OK")))</f>
        <v/>
      </c>
      <c r="W618" s="79">
        <f>IF(T618="","",IF(U618&lt;0,2,IF(U618&lt;=30,1,0)))</f>
        <v/>
      </c>
      <c r="X618" s="112">
        <f>IF(T618="","",T618)</f>
        <v/>
      </c>
      <c r="Y618" s="79">
        <f>IF(X618="","",IF(X618&lt;=AsOf+AlertDays,2,IF(X618&lt;=AsOf+30,3,"")))</f>
        <v/>
      </c>
      <c r="Z618" s="79">
        <f>IF(Y618="","",IF(U618&lt;0,"Maintenance overdue: ","Maintenance due: ")&amp;P618)</f>
        <v/>
      </c>
    </row>
    <row r="619" ht="20" customHeight="1">
      <c r="B619" s="72" t="n"/>
      <c r="C619" s="72" t="n"/>
      <c r="D619" s="72" t="n"/>
      <c r="E619" s="109" t="n"/>
      <c r="F619" s="74" t="n"/>
      <c r="G619" s="126">
        <f>IF(OR(E619="",F619=""),"",DATE(YEAR(E619),MONTH(E619)+ROUND(F619*12,0),DAY(E619)))</f>
        <v/>
      </c>
      <c r="H619" s="144">
        <f>IF(G619="","",G619-AsOf)</f>
        <v/>
      </c>
      <c r="I619" s="107">
        <f>IF(G619="","",IF(H619&lt;0,"Expired",IF(H619&lt;=90,"Expires soon","Active")))</f>
        <v/>
      </c>
      <c r="J619" s="72" t="n"/>
      <c r="K619" s="79">
        <f>IF(I619="","",IF(I619="Active",0,IF(I619="Expires soon",1,3)))</f>
        <v/>
      </c>
      <c r="L619" s="112">
        <f>IF(G619="","",IF(G619&lt;AsOf,"",G619))</f>
        <v/>
      </c>
      <c r="M619" s="79">
        <f>IF(L619="","",IF(L619&lt;=AsOf+AlertDays,2,IF(L619&lt;=AsOf+90,3,"")))</f>
        <v/>
      </c>
      <c r="N619" s="79">
        <f>IF(M619="","","Warranty expires in "&amp;H619&amp;" days: "&amp;B619&amp;IF(C619="",""," ("&amp;C619&amp;")")&amp;" — check for defects")</f>
        <v/>
      </c>
      <c r="P619" s="72" t="n"/>
      <c r="Q619" s="72" t="n"/>
      <c r="R619" s="89" t="n"/>
      <c r="S619" s="109" t="n"/>
      <c r="T619" s="126">
        <f>IF(OR(R619="",S619=""),"",DATE(YEAR(S619),MONTH(S619)+R619,DAY(S619)))</f>
        <v/>
      </c>
      <c r="U619" s="144">
        <f>IF(T619="","",T619-AsOf)</f>
        <v/>
      </c>
      <c r="V619" s="107">
        <f>IF(T619="",IF(P619="","","Enter last-done date"),IF(U619&lt;0,"Overdue",IF(U619&lt;=30,"Due soon","OK")))</f>
        <v/>
      </c>
      <c r="W619" s="79">
        <f>IF(T619="","",IF(U619&lt;0,2,IF(U619&lt;=30,1,0)))</f>
        <v/>
      </c>
      <c r="X619" s="112">
        <f>IF(T619="","",T619)</f>
        <v/>
      </c>
      <c r="Y619" s="79">
        <f>IF(X619="","",IF(X619&lt;=AsOf+AlertDays,2,IF(X619&lt;=AsOf+30,3,"")))</f>
        <v/>
      </c>
      <c r="Z619" s="79">
        <f>IF(Y619="","",IF(U619&lt;0,"Maintenance overdue: ","Maintenance due: ")&amp;P619)</f>
        <v/>
      </c>
    </row>
    <row r="620" ht="20" customHeight="1">
      <c r="B620" s="72" t="n"/>
      <c r="C620" s="72" t="n"/>
      <c r="D620" s="72" t="n"/>
      <c r="E620" s="109" t="n"/>
      <c r="F620" s="74" t="n"/>
      <c r="G620" s="126">
        <f>IF(OR(E620="",F620=""),"",DATE(YEAR(E620),MONTH(E620)+ROUND(F620*12,0),DAY(E620)))</f>
        <v/>
      </c>
      <c r="H620" s="144">
        <f>IF(G620="","",G620-AsOf)</f>
        <v/>
      </c>
      <c r="I620" s="107">
        <f>IF(G620="","",IF(H620&lt;0,"Expired",IF(H620&lt;=90,"Expires soon","Active")))</f>
        <v/>
      </c>
      <c r="J620" s="72" t="n"/>
      <c r="K620" s="79">
        <f>IF(I620="","",IF(I620="Active",0,IF(I620="Expires soon",1,3)))</f>
        <v/>
      </c>
      <c r="L620" s="112">
        <f>IF(G620="","",IF(G620&lt;AsOf,"",G620))</f>
        <v/>
      </c>
      <c r="M620" s="79">
        <f>IF(L620="","",IF(L620&lt;=AsOf+AlertDays,2,IF(L620&lt;=AsOf+90,3,"")))</f>
        <v/>
      </c>
      <c r="N620" s="79">
        <f>IF(M620="","","Warranty expires in "&amp;H620&amp;" days: "&amp;B620&amp;IF(C620="",""," ("&amp;C620&amp;")")&amp;" — check for defects")</f>
        <v/>
      </c>
      <c r="P620" s="72" t="n"/>
      <c r="Q620" s="72" t="n"/>
      <c r="R620" s="89" t="n"/>
      <c r="S620" s="109" t="n"/>
      <c r="T620" s="126">
        <f>IF(OR(R620="",S620=""),"",DATE(YEAR(S620),MONTH(S620)+R620,DAY(S620)))</f>
        <v/>
      </c>
      <c r="U620" s="144">
        <f>IF(T620="","",T620-AsOf)</f>
        <v/>
      </c>
      <c r="V620" s="107">
        <f>IF(T620="",IF(P620="","","Enter last-done date"),IF(U620&lt;0,"Overdue",IF(U620&lt;=30,"Due soon","OK")))</f>
        <v/>
      </c>
      <c r="W620" s="79">
        <f>IF(T620="","",IF(U620&lt;0,2,IF(U620&lt;=30,1,0)))</f>
        <v/>
      </c>
      <c r="X620" s="112">
        <f>IF(T620="","",T620)</f>
        <v/>
      </c>
      <c r="Y620" s="79">
        <f>IF(X620="","",IF(X620&lt;=AsOf+AlertDays,2,IF(X620&lt;=AsOf+30,3,"")))</f>
        <v/>
      </c>
      <c r="Z620" s="79">
        <f>IF(Y620="","",IF(U620&lt;0,"Maintenance overdue: ","Maintenance due: ")&amp;P620)</f>
        <v/>
      </c>
    </row>
    <row r="621" ht="20" customHeight="1">
      <c r="B621" s="72" t="n"/>
      <c r="C621" s="72" t="n"/>
      <c r="D621" s="72" t="n"/>
      <c r="E621" s="109" t="n"/>
      <c r="F621" s="74" t="n"/>
      <c r="G621" s="126">
        <f>IF(OR(E621="",F621=""),"",DATE(YEAR(E621),MONTH(E621)+ROUND(F621*12,0),DAY(E621)))</f>
        <v/>
      </c>
      <c r="H621" s="144">
        <f>IF(G621="","",G621-AsOf)</f>
        <v/>
      </c>
      <c r="I621" s="107">
        <f>IF(G621="","",IF(H621&lt;0,"Expired",IF(H621&lt;=90,"Expires soon","Active")))</f>
        <v/>
      </c>
      <c r="J621" s="72" t="n"/>
      <c r="K621" s="79">
        <f>IF(I621="","",IF(I621="Active",0,IF(I621="Expires soon",1,3)))</f>
        <v/>
      </c>
      <c r="L621" s="112">
        <f>IF(G621="","",IF(G621&lt;AsOf,"",G621))</f>
        <v/>
      </c>
      <c r="M621" s="79">
        <f>IF(L621="","",IF(L621&lt;=AsOf+AlertDays,2,IF(L621&lt;=AsOf+90,3,"")))</f>
        <v/>
      </c>
      <c r="N621" s="79">
        <f>IF(M621="","","Warranty expires in "&amp;H621&amp;" days: "&amp;B621&amp;IF(C621="",""," ("&amp;C621&amp;")")&amp;" — check for defects")</f>
        <v/>
      </c>
      <c r="P621" s="72" t="n"/>
      <c r="Q621" s="72" t="n"/>
      <c r="R621" s="89" t="n"/>
      <c r="S621" s="109" t="n"/>
      <c r="T621" s="126">
        <f>IF(OR(R621="",S621=""),"",DATE(YEAR(S621),MONTH(S621)+R621,DAY(S621)))</f>
        <v/>
      </c>
      <c r="U621" s="144">
        <f>IF(T621="","",T621-AsOf)</f>
        <v/>
      </c>
      <c r="V621" s="107">
        <f>IF(T621="",IF(P621="","","Enter last-done date"),IF(U621&lt;0,"Overdue",IF(U621&lt;=30,"Due soon","OK")))</f>
        <v/>
      </c>
      <c r="W621" s="79">
        <f>IF(T621="","",IF(U621&lt;0,2,IF(U621&lt;=30,1,0)))</f>
        <v/>
      </c>
      <c r="X621" s="112">
        <f>IF(T621="","",T621)</f>
        <v/>
      </c>
      <c r="Y621" s="79">
        <f>IF(X621="","",IF(X621&lt;=AsOf+AlertDays,2,IF(X621&lt;=AsOf+30,3,"")))</f>
        <v/>
      </c>
      <c r="Z621" s="79">
        <f>IF(Y621="","",IF(U621&lt;0,"Maintenance overdue: ","Maintenance due: ")&amp;P621)</f>
        <v/>
      </c>
    </row>
    <row r="622" ht="20" customHeight="1">
      <c r="B622" s="72" t="n"/>
      <c r="C622" s="72" t="n"/>
      <c r="D622" s="72" t="n"/>
      <c r="E622" s="109" t="n"/>
      <c r="F622" s="74" t="n"/>
      <c r="G622" s="126">
        <f>IF(OR(E622="",F622=""),"",DATE(YEAR(E622),MONTH(E622)+ROUND(F622*12,0),DAY(E622)))</f>
        <v/>
      </c>
      <c r="H622" s="144">
        <f>IF(G622="","",G622-AsOf)</f>
        <v/>
      </c>
      <c r="I622" s="107">
        <f>IF(G622="","",IF(H622&lt;0,"Expired",IF(H622&lt;=90,"Expires soon","Active")))</f>
        <v/>
      </c>
      <c r="J622" s="72" t="n"/>
      <c r="K622" s="79">
        <f>IF(I622="","",IF(I622="Active",0,IF(I622="Expires soon",1,3)))</f>
        <v/>
      </c>
      <c r="L622" s="112">
        <f>IF(G622="","",IF(G622&lt;AsOf,"",G622))</f>
        <v/>
      </c>
      <c r="M622" s="79">
        <f>IF(L622="","",IF(L622&lt;=AsOf+AlertDays,2,IF(L622&lt;=AsOf+90,3,"")))</f>
        <v/>
      </c>
      <c r="N622" s="79">
        <f>IF(M622="","","Warranty expires in "&amp;H622&amp;" days: "&amp;B622&amp;IF(C622="",""," ("&amp;C622&amp;")")&amp;" — check for defects")</f>
        <v/>
      </c>
      <c r="P622" s="72" t="n"/>
      <c r="Q622" s="72" t="n"/>
      <c r="R622" s="89" t="n"/>
      <c r="S622" s="109" t="n"/>
      <c r="T622" s="126">
        <f>IF(OR(R622="",S622=""),"",DATE(YEAR(S622),MONTH(S622)+R622,DAY(S622)))</f>
        <v/>
      </c>
      <c r="U622" s="144">
        <f>IF(T622="","",T622-AsOf)</f>
        <v/>
      </c>
      <c r="V622" s="107">
        <f>IF(T622="",IF(P622="","","Enter last-done date"),IF(U622&lt;0,"Overdue",IF(U622&lt;=30,"Due soon","OK")))</f>
        <v/>
      </c>
      <c r="W622" s="79">
        <f>IF(T622="","",IF(U622&lt;0,2,IF(U622&lt;=30,1,0)))</f>
        <v/>
      </c>
      <c r="X622" s="112">
        <f>IF(T622="","",T622)</f>
        <v/>
      </c>
      <c r="Y622" s="79">
        <f>IF(X622="","",IF(X622&lt;=AsOf+AlertDays,2,IF(X622&lt;=AsOf+30,3,"")))</f>
        <v/>
      </c>
      <c r="Z622" s="79">
        <f>IF(Y622="","",IF(U622&lt;0,"Maintenance overdue: ","Maintenance due: ")&amp;P622)</f>
        <v/>
      </c>
    </row>
    <row r="623" ht="20" customHeight="1">
      <c r="B623" s="72" t="n"/>
      <c r="C623" s="72" t="n"/>
      <c r="D623" s="72" t="n"/>
      <c r="E623" s="109" t="n"/>
      <c r="F623" s="74" t="n"/>
      <c r="G623" s="126">
        <f>IF(OR(E623="",F623=""),"",DATE(YEAR(E623),MONTH(E623)+ROUND(F623*12,0),DAY(E623)))</f>
        <v/>
      </c>
      <c r="H623" s="144">
        <f>IF(G623="","",G623-AsOf)</f>
        <v/>
      </c>
      <c r="I623" s="107">
        <f>IF(G623="","",IF(H623&lt;0,"Expired",IF(H623&lt;=90,"Expires soon","Active")))</f>
        <v/>
      </c>
      <c r="J623" s="72" t="n"/>
      <c r="K623" s="79">
        <f>IF(I623="","",IF(I623="Active",0,IF(I623="Expires soon",1,3)))</f>
        <v/>
      </c>
      <c r="L623" s="112">
        <f>IF(G623="","",IF(G623&lt;AsOf,"",G623))</f>
        <v/>
      </c>
      <c r="M623" s="79">
        <f>IF(L623="","",IF(L623&lt;=AsOf+AlertDays,2,IF(L623&lt;=AsOf+90,3,"")))</f>
        <v/>
      </c>
      <c r="N623" s="79">
        <f>IF(M623="","","Warranty expires in "&amp;H623&amp;" days: "&amp;B623&amp;IF(C623="",""," ("&amp;C623&amp;")")&amp;" — check for defects")</f>
        <v/>
      </c>
      <c r="P623" s="72" t="n"/>
      <c r="Q623" s="72" t="n"/>
      <c r="R623" s="89" t="n"/>
      <c r="S623" s="109" t="n"/>
      <c r="T623" s="126">
        <f>IF(OR(R623="",S623=""),"",DATE(YEAR(S623),MONTH(S623)+R623,DAY(S623)))</f>
        <v/>
      </c>
      <c r="U623" s="144">
        <f>IF(T623="","",T623-AsOf)</f>
        <v/>
      </c>
      <c r="V623" s="107">
        <f>IF(T623="",IF(P623="","","Enter last-done date"),IF(U623&lt;0,"Overdue",IF(U623&lt;=30,"Due soon","OK")))</f>
        <v/>
      </c>
      <c r="W623" s="79">
        <f>IF(T623="","",IF(U623&lt;0,2,IF(U623&lt;=30,1,0)))</f>
        <v/>
      </c>
      <c r="X623" s="112">
        <f>IF(T623="","",T623)</f>
        <v/>
      </c>
      <c r="Y623" s="79">
        <f>IF(X623="","",IF(X623&lt;=AsOf+AlertDays,2,IF(X623&lt;=AsOf+30,3,"")))</f>
        <v/>
      </c>
      <c r="Z623" s="79">
        <f>IF(Y623="","",IF(U623&lt;0,"Maintenance overdue: ","Maintenance due: ")&amp;P623)</f>
        <v/>
      </c>
    </row>
    <row r="624" ht="20" customHeight="1">
      <c r="B624" s="72" t="n"/>
      <c r="C624" s="72" t="n"/>
      <c r="D624" s="72" t="n"/>
      <c r="E624" s="109" t="n"/>
      <c r="F624" s="74" t="n"/>
      <c r="G624" s="126">
        <f>IF(OR(E624="",F624=""),"",DATE(YEAR(E624),MONTH(E624)+ROUND(F624*12,0),DAY(E624)))</f>
        <v/>
      </c>
      <c r="H624" s="144">
        <f>IF(G624="","",G624-AsOf)</f>
        <v/>
      </c>
      <c r="I624" s="107">
        <f>IF(G624="","",IF(H624&lt;0,"Expired",IF(H624&lt;=90,"Expires soon","Active")))</f>
        <v/>
      </c>
      <c r="J624" s="72" t="n"/>
      <c r="K624" s="79">
        <f>IF(I624="","",IF(I624="Active",0,IF(I624="Expires soon",1,3)))</f>
        <v/>
      </c>
      <c r="L624" s="112">
        <f>IF(G624="","",IF(G624&lt;AsOf,"",G624))</f>
        <v/>
      </c>
      <c r="M624" s="79">
        <f>IF(L624="","",IF(L624&lt;=AsOf+AlertDays,2,IF(L624&lt;=AsOf+90,3,"")))</f>
        <v/>
      </c>
      <c r="N624" s="79">
        <f>IF(M624="","","Warranty expires in "&amp;H624&amp;" days: "&amp;B624&amp;IF(C624="",""," ("&amp;C624&amp;")")&amp;" — check for defects")</f>
        <v/>
      </c>
      <c r="P624" s="72" t="n"/>
      <c r="Q624" s="72" t="n"/>
      <c r="R624" s="89" t="n"/>
      <c r="S624" s="109" t="n"/>
      <c r="T624" s="126">
        <f>IF(OR(R624="",S624=""),"",DATE(YEAR(S624),MONTH(S624)+R624,DAY(S624)))</f>
        <v/>
      </c>
      <c r="U624" s="144">
        <f>IF(T624="","",T624-AsOf)</f>
        <v/>
      </c>
      <c r="V624" s="107">
        <f>IF(T624="",IF(P624="","","Enter last-done date"),IF(U624&lt;0,"Overdue",IF(U624&lt;=30,"Due soon","OK")))</f>
        <v/>
      </c>
      <c r="W624" s="79">
        <f>IF(T624="","",IF(U624&lt;0,2,IF(U624&lt;=30,1,0)))</f>
        <v/>
      </c>
      <c r="X624" s="112">
        <f>IF(T624="","",T624)</f>
        <v/>
      </c>
      <c r="Y624" s="79">
        <f>IF(X624="","",IF(X624&lt;=AsOf+AlertDays,2,IF(X624&lt;=AsOf+30,3,"")))</f>
        <v/>
      </c>
      <c r="Z624" s="79">
        <f>IF(Y624="","",IF(U624&lt;0,"Maintenance overdue: ","Maintenance due: ")&amp;P624)</f>
        <v/>
      </c>
    </row>
    <row r="625" ht="20" customHeight="1">
      <c r="B625" s="72" t="n"/>
      <c r="C625" s="72" t="n"/>
      <c r="D625" s="72" t="n"/>
      <c r="E625" s="109" t="n"/>
      <c r="F625" s="74" t="n"/>
      <c r="G625" s="126">
        <f>IF(OR(E625="",F625=""),"",DATE(YEAR(E625),MONTH(E625)+ROUND(F625*12,0),DAY(E625)))</f>
        <v/>
      </c>
      <c r="H625" s="144">
        <f>IF(G625="","",G625-AsOf)</f>
        <v/>
      </c>
      <c r="I625" s="107">
        <f>IF(G625="","",IF(H625&lt;0,"Expired",IF(H625&lt;=90,"Expires soon","Active")))</f>
        <v/>
      </c>
      <c r="J625" s="72" t="n"/>
      <c r="K625" s="79">
        <f>IF(I625="","",IF(I625="Active",0,IF(I625="Expires soon",1,3)))</f>
        <v/>
      </c>
      <c r="L625" s="112">
        <f>IF(G625="","",IF(G625&lt;AsOf,"",G625))</f>
        <v/>
      </c>
      <c r="M625" s="79">
        <f>IF(L625="","",IF(L625&lt;=AsOf+AlertDays,2,IF(L625&lt;=AsOf+90,3,"")))</f>
        <v/>
      </c>
      <c r="N625" s="79">
        <f>IF(M625="","","Warranty expires in "&amp;H625&amp;" days: "&amp;B625&amp;IF(C625="",""," ("&amp;C625&amp;")")&amp;" — check for defects")</f>
        <v/>
      </c>
      <c r="P625" s="72" t="n"/>
      <c r="Q625" s="72" t="n"/>
      <c r="R625" s="89" t="n"/>
      <c r="S625" s="109" t="n"/>
      <c r="T625" s="126">
        <f>IF(OR(R625="",S625=""),"",DATE(YEAR(S625),MONTH(S625)+R625,DAY(S625)))</f>
        <v/>
      </c>
      <c r="U625" s="144">
        <f>IF(T625="","",T625-AsOf)</f>
        <v/>
      </c>
      <c r="V625" s="107">
        <f>IF(T625="",IF(P625="","","Enter last-done date"),IF(U625&lt;0,"Overdue",IF(U625&lt;=30,"Due soon","OK")))</f>
        <v/>
      </c>
      <c r="W625" s="79">
        <f>IF(T625="","",IF(U625&lt;0,2,IF(U625&lt;=30,1,0)))</f>
        <v/>
      </c>
      <c r="X625" s="112">
        <f>IF(T625="","",T625)</f>
        <v/>
      </c>
      <c r="Y625" s="79">
        <f>IF(X625="","",IF(X625&lt;=AsOf+AlertDays,2,IF(X625&lt;=AsOf+30,3,"")))</f>
        <v/>
      </c>
      <c r="Z625" s="79">
        <f>IF(Y625="","",IF(U625&lt;0,"Maintenance overdue: ","Maintenance due: ")&amp;P625)</f>
        <v/>
      </c>
    </row>
    <row r="626" ht="20" customHeight="1">
      <c r="B626" s="72" t="n"/>
      <c r="C626" s="72" t="n"/>
      <c r="D626" s="72" t="n"/>
      <c r="E626" s="109" t="n"/>
      <c r="F626" s="74" t="n"/>
      <c r="G626" s="126">
        <f>IF(OR(E626="",F626=""),"",DATE(YEAR(E626),MONTH(E626)+ROUND(F626*12,0),DAY(E626)))</f>
        <v/>
      </c>
      <c r="H626" s="144">
        <f>IF(G626="","",G626-AsOf)</f>
        <v/>
      </c>
      <c r="I626" s="107">
        <f>IF(G626="","",IF(H626&lt;0,"Expired",IF(H626&lt;=90,"Expires soon","Active")))</f>
        <v/>
      </c>
      <c r="J626" s="72" t="n"/>
      <c r="K626" s="79">
        <f>IF(I626="","",IF(I626="Active",0,IF(I626="Expires soon",1,3)))</f>
        <v/>
      </c>
      <c r="L626" s="112">
        <f>IF(G626="","",IF(G626&lt;AsOf,"",G626))</f>
        <v/>
      </c>
      <c r="M626" s="79">
        <f>IF(L626="","",IF(L626&lt;=AsOf+AlertDays,2,IF(L626&lt;=AsOf+90,3,"")))</f>
        <v/>
      </c>
      <c r="N626" s="79">
        <f>IF(M626="","","Warranty expires in "&amp;H626&amp;" days: "&amp;B626&amp;IF(C626="",""," ("&amp;C626&amp;")")&amp;" — check for defects")</f>
        <v/>
      </c>
      <c r="P626" s="72" t="n"/>
      <c r="Q626" s="72" t="n"/>
      <c r="R626" s="89" t="n"/>
      <c r="S626" s="109" t="n"/>
      <c r="T626" s="126">
        <f>IF(OR(R626="",S626=""),"",DATE(YEAR(S626),MONTH(S626)+R626,DAY(S626)))</f>
        <v/>
      </c>
      <c r="U626" s="144">
        <f>IF(T626="","",T626-AsOf)</f>
        <v/>
      </c>
      <c r="V626" s="107">
        <f>IF(T626="",IF(P626="","","Enter last-done date"),IF(U626&lt;0,"Overdue",IF(U626&lt;=30,"Due soon","OK")))</f>
        <v/>
      </c>
      <c r="W626" s="79">
        <f>IF(T626="","",IF(U626&lt;0,2,IF(U626&lt;=30,1,0)))</f>
        <v/>
      </c>
      <c r="X626" s="112">
        <f>IF(T626="","",T626)</f>
        <v/>
      </c>
      <c r="Y626" s="79">
        <f>IF(X626="","",IF(X626&lt;=AsOf+AlertDays,2,IF(X626&lt;=AsOf+30,3,"")))</f>
        <v/>
      </c>
      <c r="Z626" s="79">
        <f>IF(Y626="","",IF(U626&lt;0,"Maintenance overdue: ","Maintenance due: ")&amp;P626)</f>
        <v/>
      </c>
    </row>
    <row r="627" ht="20" customHeight="1">
      <c r="B627" s="72" t="n"/>
      <c r="C627" s="72" t="n"/>
      <c r="D627" s="72" t="n"/>
      <c r="E627" s="109" t="n"/>
      <c r="F627" s="74" t="n"/>
      <c r="G627" s="126">
        <f>IF(OR(E627="",F627=""),"",DATE(YEAR(E627),MONTH(E627)+ROUND(F627*12,0),DAY(E627)))</f>
        <v/>
      </c>
      <c r="H627" s="144">
        <f>IF(G627="","",G627-AsOf)</f>
        <v/>
      </c>
      <c r="I627" s="107">
        <f>IF(G627="","",IF(H627&lt;0,"Expired",IF(H627&lt;=90,"Expires soon","Active")))</f>
        <v/>
      </c>
      <c r="J627" s="72" t="n"/>
      <c r="K627" s="79">
        <f>IF(I627="","",IF(I627="Active",0,IF(I627="Expires soon",1,3)))</f>
        <v/>
      </c>
      <c r="L627" s="112">
        <f>IF(G627="","",IF(G627&lt;AsOf,"",G627))</f>
        <v/>
      </c>
      <c r="M627" s="79">
        <f>IF(L627="","",IF(L627&lt;=AsOf+AlertDays,2,IF(L627&lt;=AsOf+90,3,"")))</f>
        <v/>
      </c>
      <c r="N627" s="79">
        <f>IF(M627="","","Warranty expires in "&amp;H627&amp;" days: "&amp;B627&amp;IF(C627="",""," ("&amp;C627&amp;")")&amp;" — check for defects")</f>
        <v/>
      </c>
      <c r="P627" s="72" t="n"/>
      <c r="Q627" s="72" t="n"/>
      <c r="R627" s="89" t="n"/>
      <c r="S627" s="109" t="n"/>
      <c r="T627" s="126">
        <f>IF(OR(R627="",S627=""),"",DATE(YEAR(S627),MONTH(S627)+R627,DAY(S627)))</f>
        <v/>
      </c>
      <c r="U627" s="144">
        <f>IF(T627="","",T627-AsOf)</f>
        <v/>
      </c>
      <c r="V627" s="107">
        <f>IF(T627="",IF(P627="","","Enter last-done date"),IF(U627&lt;0,"Overdue",IF(U627&lt;=30,"Due soon","OK")))</f>
        <v/>
      </c>
      <c r="W627" s="79">
        <f>IF(T627="","",IF(U627&lt;0,2,IF(U627&lt;=30,1,0)))</f>
        <v/>
      </c>
      <c r="X627" s="112">
        <f>IF(T627="","",T627)</f>
        <v/>
      </c>
      <c r="Y627" s="79">
        <f>IF(X627="","",IF(X627&lt;=AsOf+AlertDays,2,IF(X627&lt;=AsOf+30,3,"")))</f>
        <v/>
      </c>
      <c r="Z627" s="79">
        <f>IF(Y627="","",IF(U627&lt;0,"Maintenance overdue: ","Maintenance due: ")&amp;P627)</f>
        <v/>
      </c>
    </row>
    <row r="628" ht="20" customHeight="1">
      <c r="B628" s="72" t="n"/>
      <c r="C628" s="72" t="n"/>
      <c r="D628" s="72" t="n"/>
      <c r="E628" s="109" t="n"/>
      <c r="F628" s="74" t="n"/>
      <c r="G628" s="126">
        <f>IF(OR(E628="",F628=""),"",DATE(YEAR(E628),MONTH(E628)+ROUND(F628*12,0),DAY(E628)))</f>
        <v/>
      </c>
      <c r="H628" s="144">
        <f>IF(G628="","",G628-AsOf)</f>
        <v/>
      </c>
      <c r="I628" s="107">
        <f>IF(G628="","",IF(H628&lt;0,"Expired",IF(H628&lt;=90,"Expires soon","Active")))</f>
        <v/>
      </c>
      <c r="J628" s="72" t="n"/>
      <c r="K628" s="79">
        <f>IF(I628="","",IF(I628="Active",0,IF(I628="Expires soon",1,3)))</f>
        <v/>
      </c>
      <c r="L628" s="112">
        <f>IF(G628="","",IF(G628&lt;AsOf,"",G628))</f>
        <v/>
      </c>
      <c r="M628" s="79">
        <f>IF(L628="","",IF(L628&lt;=AsOf+AlertDays,2,IF(L628&lt;=AsOf+90,3,"")))</f>
        <v/>
      </c>
      <c r="N628" s="79">
        <f>IF(M628="","","Warranty expires in "&amp;H628&amp;" days: "&amp;B628&amp;IF(C628="",""," ("&amp;C628&amp;")")&amp;" — check for defects")</f>
        <v/>
      </c>
      <c r="P628" s="72" t="n"/>
      <c r="Q628" s="72" t="n"/>
      <c r="R628" s="89" t="n"/>
      <c r="S628" s="109" t="n"/>
      <c r="T628" s="126">
        <f>IF(OR(R628="",S628=""),"",DATE(YEAR(S628),MONTH(S628)+R628,DAY(S628)))</f>
        <v/>
      </c>
      <c r="U628" s="144">
        <f>IF(T628="","",T628-AsOf)</f>
        <v/>
      </c>
      <c r="V628" s="107">
        <f>IF(T628="",IF(P628="","","Enter last-done date"),IF(U628&lt;0,"Overdue",IF(U628&lt;=30,"Due soon","OK")))</f>
        <v/>
      </c>
      <c r="W628" s="79">
        <f>IF(T628="","",IF(U628&lt;0,2,IF(U628&lt;=30,1,0)))</f>
        <v/>
      </c>
      <c r="X628" s="112">
        <f>IF(T628="","",T628)</f>
        <v/>
      </c>
      <c r="Y628" s="79">
        <f>IF(X628="","",IF(X628&lt;=AsOf+AlertDays,2,IF(X628&lt;=AsOf+30,3,"")))</f>
        <v/>
      </c>
      <c r="Z628" s="79">
        <f>IF(Y628="","",IF(U628&lt;0,"Maintenance overdue: ","Maintenance due: ")&amp;P628)</f>
        <v/>
      </c>
    </row>
    <row r="629" ht="20" customHeight="1">
      <c r="B629" s="72" t="n"/>
      <c r="C629" s="72" t="n"/>
      <c r="D629" s="72" t="n"/>
      <c r="E629" s="109" t="n"/>
      <c r="F629" s="74" t="n"/>
      <c r="G629" s="126">
        <f>IF(OR(E629="",F629=""),"",DATE(YEAR(E629),MONTH(E629)+ROUND(F629*12,0),DAY(E629)))</f>
        <v/>
      </c>
      <c r="H629" s="144">
        <f>IF(G629="","",G629-AsOf)</f>
        <v/>
      </c>
      <c r="I629" s="107">
        <f>IF(G629="","",IF(H629&lt;0,"Expired",IF(H629&lt;=90,"Expires soon","Active")))</f>
        <v/>
      </c>
      <c r="J629" s="72" t="n"/>
      <c r="K629" s="79">
        <f>IF(I629="","",IF(I629="Active",0,IF(I629="Expires soon",1,3)))</f>
        <v/>
      </c>
      <c r="L629" s="112">
        <f>IF(G629="","",IF(G629&lt;AsOf,"",G629))</f>
        <v/>
      </c>
      <c r="M629" s="79">
        <f>IF(L629="","",IF(L629&lt;=AsOf+AlertDays,2,IF(L629&lt;=AsOf+90,3,"")))</f>
        <v/>
      </c>
      <c r="N629" s="79">
        <f>IF(M629="","","Warranty expires in "&amp;H629&amp;" days: "&amp;B629&amp;IF(C629="",""," ("&amp;C629&amp;")")&amp;" — check for defects")</f>
        <v/>
      </c>
      <c r="P629" s="72" t="n"/>
      <c r="Q629" s="72" t="n"/>
      <c r="R629" s="89" t="n"/>
      <c r="S629" s="109" t="n"/>
      <c r="T629" s="126">
        <f>IF(OR(R629="",S629=""),"",DATE(YEAR(S629),MONTH(S629)+R629,DAY(S629)))</f>
        <v/>
      </c>
      <c r="U629" s="144">
        <f>IF(T629="","",T629-AsOf)</f>
        <v/>
      </c>
      <c r="V629" s="107">
        <f>IF(T629="",IF(P629="","","Enter last-done date"),IF(U629&lt;0,"Overdue",IF(U629&lt;=30,"Due soon","OK")))</f>
        <v/>
      </c>
      <c r="W629" s="79">
        <f>IF(T629="","",IF(U629&lt;0,2,IF(U629&lt;=30,1,0)))</f>
        <v/>
      </c>
      <c r="X629" s="112">
        <f>IF(T629="","",T629)</f>
        <v/>
      </c>
      <c r="Y629" s="79">
        <f>IF(X629="","",IF(X629&lt;=AsOf+AlertDays,2,IF(X629&lt;=AsOf+30,3,"")))</f>
        <v/>
      </c>
      <c r="Z629" s="79">
        <f>IF(Y629="","",IF(U629&lt;0,"Maintenance overdue: ","Maintenance due: ")&amp;P629)</f>
        <v/>
      </c>
    </row>
    <row r="630" ht="20" customHeight="1">
      <c r="B630" s="72" t="n"/>
      <c r="C630" s="72" t="n"/>
      <c r="D630" s="72" t="n"/>
      <c r="E630" s="109" t="n"/>
      <c r="F630" s="74" t="n"/>
      <c r="G630" s="126">
        <f>IF(OR(E630="",F630=""),"",DATE(YEAR(E630),MONTH(E630)+ROUND(F630*12,0),DAY(E630)))</f>
        <v/>
      </c>
      <c r="H630" s="144">
        <f>IF(G630="","",G630-AsOf)</f>
        <v/>
      </c>
      <c r="I630" s="107">
        <f>IF(G630="","",IF(H630&lt;0,"Expired",IF(H630&lt;=90,"Expires soon","Active")))</f>
        <v/>
      </c>
      <c r="J630" s="72" t="n"/>
      <c r="K630" s="79">
        <f>IF(I630="","",IF(I630="Active",0,IF(I630="Expires soon",1,3)))</f>
        <v/>
      </c>
      <c r="L630" s="112">
        <f>IF(G630="","",IF(G630&lt;AsOf,"",G630))</f>
        <v/>
      </c>
      <c r="M630" s="79">
        <f>IF(L630="","",IF(L630&lt;=AsOf+AlertDays,2,IF(L630&lt;=AsOf+90,3,"")))</f>
        <v/>
      </c>
      <c r="N630" s="79">
        <f>IF(M630="","","Warranty expires in "&amp;H630&amp;" days: "&amp;B630&amp;IF(C630="",""," ("&amp;C630&amp;")")&amp;" — check for defects")</f>
        <v/>
      </c>
      <c r="P630" s="72" t="n"/>
      <c r="Q630" s="72" t="n"/>
      <c r="R630" s="89" t="n"/>
      <c r="S630" s="109" t="n"/>
      <c r="T630" s="126">
        <f>IF(OR(R630="",S630=""),"",DATE(YEAR(S630),MONTH(S630)+R630,DAY(S630)))</f>
        <v/>
      </c>
      <c r="U630" s="144">
        <f>IF(T630="","",T630-AsOf)</f>
        <v/>
      </c>
      <c r="V630" s="107">
        <f>IF(T630="",IF(P630="","","Enter last-done date"),IF(U630&lt;0,"Overdue",IF(U630&lt;=30,"Due soon","OK")))</f>
        <v/>
      </c>
      <c r="W630" s="79">
        <f>IF(T630="","",IF(U630&lt;0,2,IF(U630&lt;=30,1,0)))</f>
        <v/>
      </c>
      <c r="X630" s="112">
        <f>IF(T630="","",T630)</f>
        <v/>
      </c>
      <c r="Y630" s="79">
        <f>IF(X630="","",IF(X630&lt;=AsOf+AlertDays,2,IF(X630&lt;=AsOf+30,3,"")))</f>
        <v/>
      </c>
      <c r="Z630" s="79">
        <f>IF(Y630="","",IF(U630&lt;0,"Maintenance overdue: ","Maintenance due: ")&amp;P630)</f>
        <v/>
      </c>
    </row>
    <row r="631" ht="20" customHeight="1">
      <c r="B631" s="72" t="n"/>
      <c r="C631" s="72" t="n"/>
      <c r="D631" s="72" t="n"/>
      <c r="E631" s="109" t="n"/>
      <c r="F631" s="74" t="n"/>
      <c r="G631" s="126">
        <f>IF(OR(E631="",F631=""),"",DATE(YEAR(E631),MONTH(E631)+ROUND(F631*12,0),DAY(E631)))</f>
        <v/>
      </c>
      <c r="H631" s="144">
        <f>IF(G631="","",G631-AsOf)</f>
        <v/>
      </c>
      <c r="I631" s="107">
        <f>IF(G631="","",IF(H631&lt;0,"Expired",IF(H631&lt;=90,"Expires soon","Active")))</f>
        <v/>
      </c>
      <c r="J631" s="72" t="n"/>
      <c r="K631" s="79">
        <f>IF(I631="","",IF(I631="Active",0,IF(I631="Expires soon",1,3)))</f>
        <v/>
      </c>
      <c r="L631" s="112">
        <f>IF(G631="","",IF(G631&lt;AsOf,"",G631))</f>
        <v/>
      </c>
      <c r="M631" s="79">
        <f>IF(L631="","",IF(L631&lt;=AsOf+AlertDays,2,IF(L631&lt;=AsOf+90,3,"")))</f>
        <v/>
      </c>
      <c r="N631" s="79">
        <f>IF(M631="","","Warranty expires in "&amp;H631&amp;" days: "&amp;B631&amp;IF(C631="",""," ("&amp;C631&amp;")")&amp;" — check for defects")</f>
        <v/>
      </c>
      <c r="P631" s="72" t="n"/>
      <c r="Q631" s="72" t="n"/>
      <c r="R631" s="89" t="n"/>
      <c r="S631" s="109" t="n"/>
      <c r="T631" s="126">
        <f>IF(OR(R631="",S631=""),"",DATE(YEAR(S631),MONTH(S631)+R631,DAY(S631)))</f>
        <v/>
      </c>
      <c r="U631" s="144">
        <f>IF(T631="","",T631-AsOf)</f>
        <v/>
      </c>
      <c r="V631" s="107">
        <f>IF(T631="",IF(P631="","","Enter last-done date"),IF(U631&lt;0,"Overdue",IF(U631&lt;=30,"Due soon","OK")))</f>
        <v/>
      </c>
      <c r="W631" s="79">
        <f>IF(T631="","",IF(U631&lt;0,2,IF(U631&lt;=30,1,0)))</f>
        <v/>
      </c>
      <c r="X631" s="112">
        <f>IF(T631="","",T631)</f>
        <v/>
      </c>
      <c r="Y631" s="79">
        <f>IF(X631="","",IF(X631&lt;=AsOf+AlertDays,2,IF(X631&lt;=AsOf+30,3,"")))</f>
        <v/>
      </c>
      <c r="Z631" s="79">
        <f>IF(Y631="","",IF(U631&lt;0,"Maintenance overdue: ","Maintenance due: ")&amp;P631)</f>
        <v/>
      </c>
    </row>
    <row r="632" ht="20" customHeight="1">
      <c r="B632" s="72" t="n"/>
      <c r="C632" s="72" t="n"/>
      <c r="D632" s="72" t="n"/>
      <c r="E632" s="109" t="n"/>
      <c r="F632" s="74" t="n"/>
      <c r="G632" s="126">
        <f>IF(OR(E632="",F632=""),"",DATE(YEAR(E632),MONTH(E632)+ROUND(F632*12,0),DAY(E632)))</f>
        <v/>
      </c>
      <c r="H632" s="144">
        <f>IF(G632="","",G632-AsOf)</f>
        <v/>
      </c>
      <c r="I632" s="107">
        <f>IF(G632="","",IF(H632&lt;0,"Expired",IF(H632&lt;=90,"Expires soon","Active")))</f>
        <v/>
      </c>
      <c r="J632" s="72" t="n"/>
      <c r="K632" s="79">
        <f>IF(I632="","",IF(I632="Active",0,IF(I632="Expires soon",1,3)))</f>
        <v/>
      </c>
      <c r="L632" s="112">
        <f>IF(G632="","",IF(G632&lt;AsOf,"",G632))</f>
        <v/>
      </c>
      <c r="M632" s="79">
        <f>IF(L632="","",IF(L632&lt;=AsOf+AlertDays,2,IF(L632&lt;=AsOf+90,3,"")))</f>
        <v/>
      </c>
      <c r="N632" s="79">
        <f>IF(M632="","","Warranty expires in "&amp;H632&amp;" days: "&amp;B632&amp;IF(C632="",""," ("&amp;C632&amp;")")&amp;" — check for defects")</f>
        <v/>
      </c>
      <c r="P632" s="72" t="n"/>
      <c r="Q632" s="72" t="n"/>
      <c r="R632" s="89" t="n"/>
      <c r="S632" s="109" t="n"/>
      <c r="T632" s="126">
        <f>IF(OR(R632="",S632=""),"",DATE(YEAR(S632),MONTH(S632)+R632,DAY(S632)))</f>
        <v/>
      </c>
      <c r="U632" s="144">
        <f>IF(T632="","",T632-AsOf)</f>
        <v/>
      </c>
      <c r="V632" s="107">
        <f>IF(T632="",IF(P632="","","Enter last-done date"),IF(U632&lt;0,"Overdue",IF(U632&lt;=30,"Due soon","OK")))</f>
        <v/>
      </c>
      <c r="W632" s="79">
        <f>IF(T632="","",IF(U632&lt;0,2,IF(U632&lt;=30,1,0)))</f>
        <v/>
      </c>
      <c r="X632" s="112">
        <f>IF(T632="","",T632)</f>
        <v/>
      </c>
      <c r="Y632" s="79">
        <f>IF(X632="","",IF(X632&lt;=AsOf+AlertDays,2,IF(X632&lt;=AsOf+30,3,"")))</f>
        <v/>
      </c>
      <c r="Z632" s="79">
        <f>IF(Y632="","",IF(U632&lt;0,"Maintenance overdue: ","Maintenance due: ")&amp;P632)</f>
        <v/>
      </c>
    </row>
    <row r="633" ht="20" customHeight="1">
      <c r="B633" s="72" t="n"/>
      <c r="C633" s="72" t="n"/>
      <c r="D633" s="72" t="n"/>
      <c r="E633" s="109" t="n"/>
      <c r="F633" s="74" t="n"/>
      <c r="G633" s="126">
        <f>IF(OR(E633="",F633=""),"",DATE(YEAR(E633),MONTH(E633)+ROUND(F633*12,0),DAY(E633)))</f>
        <v/>
      </c>
      <c r="H633" s="144">
        <f>IF(G633="","",G633-AsOf)</f>
        <v/>
      </c>
      <c r="I633" s="107">
        <f>IF(G633="","",IF(H633&lt;0,"Expired",IF(H633&lt;=90,"Expires soon","Active")))</f>
        <v/>
      </c>
      <c r="J633" s="72" t="n"/>
      <c r="K633" s="79">
        <f>IF(I633="","",IF(I633="Active",0,IF(I633="Expires soon",1,3)))</f>
        <v/>
      </c>
      <c r="L633" s="112">
        <f>IF(G633="","",IF(G633&lt;AsOf,"",G633))</f>
        <v/>
      </c>
      <c r="M633" s="79">
        <f>IF(L633="","",IF(L633&lt;=AsOf+AlertDays,2,IF(L633&lt;=AsOf+90,3,"")))</f>
        <v/>
      </c>
      <c r="N633" s="79">
        <f>IF(M633="","","Warranty expires in "&amp;H633&amp;" days: "&amp;B633&amp;IF(C633="",""," ("&amp;C633&amp;")")&amp;" — check for defects")</f>
        <v/>
      </c>
      <c r="P633" s="72" t="n"/>
      <c r="Q633" s="72" t="n"/>
      <c r="R633" s="89" t="n"/>
      <c r="S633" s="109" t="n"/>
      <c r="T633" s="126">
        <f>IF(OR(R633="",S633=""),"",DATE(YEAR(S633),MONTH(S633)+R633,DAY(S633)))</f>
        <v/>
      </c>
      <c r="U633" s="144">
        <f>IF(T633="","",T633-AsOf)</f>
        <v/>
      </c>
      <c r="V633" s="107">
        <f>IF(T633="",IF(P633="","","Enter last-done date"),IF(U633&lt;0,"Overdue",IF(U633&lt;=30,"Due soon","OK")))</f>
        <v/>
      </c>
      <c r="W633" s="79">
        <f>IF(T633="","",IF(U633&lt;0,2,IF(U633&lt;=30,1,0)))</f>
        <v/>
      </c>
      <c r="X633" s="112">
        <f>IF(T633="","",T633)</f>
        <v/>
      </c>
      <c r="Y633" s="79">
        <f>IF(X633="","",IF(X633&lt;=AsOf+AlertDays,2,IF(X633&lt;=AsOf+30,3,"")))</f>
        <v/>
      </c>
      <c r="Z633" s="79">
        <f>IF(Y633="","",IF(U633&lt;0,"Maintenance overdue: ","Maintenance due: ")&amp;P633)</f>
        <v/>
      </c>
    </row>
    <row r="634" ht="20" customHeight="1">
      <c r="B634" s="72" t="n"/>
      <c r="C634" s="72" t="n"/>
      <c r="D634" s="72" t="n"/>
      <c r="E634" s="109" t="n"/>
      <c r="F634" s="74" t="n"/>
      <c r="G634" s="126">
        <f>IF(OR(E634="",F634=""),"",DATE(YEAR(E634),MONTH(E634)+ROUND(F634*12,0),DAY(E634)))</f>
        <v/>
      </c>
      <c r="H634" s="144">
        <f>IF(G634="","",G634-AsOf)</f>
        <v/>
      </c>
      <c r="I634" s="107">
        <f>IF(G634="","",IF(H634&lt;0,"Expired",IF(H634&lt;=90,"Expires soon","Active")))</f>
        <v/>
      </c>
      <c r="J634" s="72" t="n"/>
      <c r="K634" s="79">
        <f>IF(I634="","",IF(I634="Active",0,IF(I634="Expires soon",1,3)))</f>
        <v/>
      </c>
      <c r="L634" s="112">
        <f>IF(G634="","",IF(G634&lt;AsOf,"",G634))</f>
        <v/>
      </c>
      <c r="M634" s="79">
        <f>IF(L634="","",IF(L634&lt;=AsOf+AlertDays,2,IF(L634&lt;=AsOf+90,3,"")))</f>
        <v/>
      </c>
      <c r="N634" s="79">
        <f>IF(M634="","","Warranty expires in "&amp;H634&amp;" days: "&amp;B634&amp;IF(C634="",""," ("&amp;C634&amp;")")&amp;" — check for defects")</f>
        <v/>
      </c>
      <c r="P634" s="72" t="n"/>
      <c r="Q634" s="72" t="n"/>
      <c r="R634" s="89" t="n"/>
      <c r="S634" s="109" t="n"/>
      <c r="T634" s="126">
        <f>IF(OR(R634="",S634=""),"",DATE(YEAR(S634),MONTH(S634)+R634,DAY(S634)))</f>
        <v/>
      </c>
      <c r="U634" s="144">
        <f>IF(T634="","",T634-AsOf)</f>
        <v/>
      </c>
      <c r="V634" s="107">
        <f>IF(T634="",IF(P634="","","Enter last-done date"),IF(U634&lt;0,"Overdue",IF(U634&lt;=30,"Due soon","OK")))</f>
        <v/>
      </c>
      <c r="W634" s="79">
        <f>IF(T634="","",IF(U634&lt;0,2,IF(U634&lt;=30,1,0)))</f>
        <v/>
      </c>
      <c r="X634" s="112">
        <f>IF(T634="","",T634)</f>
        <v/>
      </c>
      <c r="Y634" s="79">
        <f>IF(X634="","",IF(X634&lt;=AsOf+AlertDays,2,IF(X634&lt;=AsOf+30,3,"")))</f>
        <v/>
      </c>
      <c r="Z634" s="79">
        <f>IF(Y634="","",IF(U634&lt;0,"Maintenance overdue: ","Maintenance due: ")&amp;P634)</f>
        <v/>
      </c>
    </row>
    <row r="635" ht="20" customHeight="1">
      <c r="B635" s="72" t="n"/>
      <c r="C635" s="72" t="n"/>
      <c r="D635" s="72" t="n"/>
      <c r="E635" s="109" t="n"/>
      <c r="F635" s="74" t="n"/>
      <c r="G635" s="126">
        <f>IF(OR(E635="",F635=""),"",DATE(YEAR(E635),MONTH(E635)+ROUND(F635*12,0),DAY(E635)))</f>
        <v/>
      </c>
      <c r="H635" s="144">
        <f>IF(G635="","",G635-AsOf)</f>
        <v/>
      </c>
      <c r="I635" s="107">
        <f>IF(G635="","",IF(H635&lt;0,"Expired",IF(H635&lt;=90,"Expires soon","Active")))</f>
        <v/>
      </c>
      <c r="J635" s="72" t="n"/>
      <c r="K635" s="79">
        <f>IF(I635="","",IF(I635="Active",0,IF(I635="Expires soon",1,3)))</f>
        <v/>
      </c>
      <c r="L635" s="112">
        <f>IF(G635="","",IF(G635&lt;AsOf,"",G635))</f>
        <v/>
      </c>
      <c r="M635" s="79">
        <f>IF(L635="","",IF(L635&lt;=AsOf+AlertDays,2,IF(L635&lt;=AsOf+90,3,"")))</f>
        <v/>
      </c>
      <c r="N635" s="79">
        <f>IF(M635="","","Warranty expires in "&amp;H635&amp;" days: "&amp;B635&amp;IF(C635="",""," ("&amp;C635&amp;")")&amp;" — check for defects")</f>
        <v/>
      </c>
      <c r="P635" s="72" t="n"/>
      <c r="Q635" s="72" t="n"/>
      <c r="R635" s="89" t="n"/>
      <c r="S635" s="109" t="n"/>
      <c r="T635" s="126">
        <f>IF(OR(R635="",S635=""),"",DATE(YEAR(S635),MONTH(S635)+R635,DAY(S635)))</f>
        <v/>
      </c>
      <c r="U635" s="144">
        <f>IF(T635="","",T635-AsOf)</f>
        <v/>
      </c>
      <c r="V635" s="107">
        <f>IF(T635="",IF(P635="","","Enter last-done date"),IF(U635&lt;0,"Overdue",IF(U635&lt;=30,"Due soon","OK")))</f>
        <v/>
      </c>
      <c r="W635" s="79">
        <f>IF(T635="","",IF(U635&lt;0,2,IF(U635&lt;=30,1,0)))</f>
        <v/>
      </c>
      <c r="X635" s="112">
        <f>IF(T635="","",T635)</f>
        <v/>
      </c>
      <c r="Y635" s="79">
        <f>IF(X635="","",IF(X635&lt;=AsOf+AlertDays,2,IF(X635&lt;=AsOf+30,3,"")))</f>
        <v/>
      </c>
      <c r="Z635" s="79">
        <f>IF(Y635="","",IF(U635&lt;0,"Maintenance overdue: ","Maintenance due: ")&amp;P635)</f>
        <v/>
      </c>
    </row>
    <row r="636" ht="20" customHeight="1">
      <c r="B636" s="72" t="n"/>
      <c r="C636" s="72" t="n"/>
      <c r="D636" s="72" t="n"/>
      <c r="E636" s="109" t="n"/>
      <c r="F636" s="74" t="n"/>
      <c r="G636" s="126">
        <f>IF(OR(E636="",F636=""),"",DATE(YEAR(E636),MONTH(E636)+ROUND(F636*12,0),DAY(E636)))</f>
        <v/>
      </c>
      <c r="H636" s="144">
        <f>IF(G636="","",G636-AsOf)</f>
        <v/>
      </c>
      <c r="I636" s="107">
        <f>IF(G636="","",IF(H636&lt;0,"Expired",IF(H636&lt;=90,"Expires soon","Active")))</f>
        <v/>
      </c>
      <c r="J636" s="72" t="n"/>
      <c r="K636" s="79">
        <f>IF(I636="","",IF(I636="Active",0,IF(I636="Expires soon",1,3)))</f>
        <v/>
      </c>
      <c r="L636" s="112">
        <f>IF(G636="","",IF(G636&lt;AsOf,"",G636))</f>
        <v/>
      </c>
      <c r="M636" s="79">
        <f>IF(L636="","",IF(L636&lt;=AsOf+AlertDays,2,IF(L636&lt;=AsOf+90,3,"")))</f>
        <v/>
      </c>
      <c r="N636" s="79">
        <f>IF(M636="","","Warranty expires in "&amp;H636&amp;" days: "&amp;B636&amp;IF(C636="",""," ("&amp;C636&amp;")")&amp;" — check for defects")</f>
        <v/>
      </c>
      <c r="P636" s="72" t="n"/>
      <c r="Q636" s="72" t="n"/>
      <c r="R636" s="89" t="n"/>
      <c r="S636" s="109" t="n"/>
      <c r="T636" s="126">
        <f>IF(OR(R636="",S636=""),"",DATE(YEAR(S636),MONTH(S636)+R636,DAY(S636)))</f>
        <v/>
      </c>
      <c r="U636" s="144">
        <f>IF(T636="","",T636-AsOf)</f>
        <v/>
      </c>
      <c r="V636" s="107">
        <f>IF(T636="",IF(P636="","","Enter last-done date"),IF(U636&lt;0,"Overdue",IF(U636&lt;=30,"Due soon","OK")))</f>
        <v/>
      </c>
      <c r="W636" s="79">
        <f>IF(T636="","",IF(U636&lt;0,2,IF(U636&lt;=30,1,0)))</f>
        <v/>
      </c>
      <c r="X636" s="112">
        <f>IF(T636="","",T636)</f>
        <v/>
      </c>
      <c r="Y636" s="79">
        <f>IF(X636="","",IF(X636&lt;=AsOf+AlertDays,2,IF(X636&lt;=AsOf+30,3,"")))</f>
        <v/>
      </c>
      <c r="Z636" s="79">
        <f>IF(Y636="","",IF(U636&lt;0,"Maintenance overdue: ","Maintenance due: ")&amp;P636)</f>
        <v/>
      </c>
    </row>
    <row r="637" ht="20" customHeight="1">
      <c r="B637" s="72" t="n"/>
      <c r="C637" s="72" t="n"/>
      <c r="D637" s="72" t="n"/>
      <c r="E637" s="109" t="n"/>
      <c r="F637" s="74" t="n"/>
      <c r="G637" s="126">
        <f>IF(OR(E637="",F637=""),"",DATE(YEAR(E637),MONTH(E637)+ROUND(F637*12,0),DAY(E637)))</f>
        <v/>
      </c>
      <c r="H637" s="144">
        <f>IF(G637="","",G637-AsOf)</f>
        <v/>
      </c>
      <c r="I637" s="107">
        <f>IF(G637="","",IF(H637&lt;0,"Expired",IF(H637&lt;=90,"Expires soon","Active")))</f>
        <v/>
      </c>
      <c r="J637" s="72" t="n"/>
      <c r="K637" s="79">
        <f>IF(I637="","",IF(I637="Active",0,IF(I637="Expires soon",1,3)))</f>
        <v/>
      </c>
      <c r="L637" s="112">
        <f>IF(G637="","",IF(G637&lt;AsOf,"",G637))</f>
        <v/>
      </c>
      <c r="M637" s="79">
        <f>IF(L637="","",IF(L637&lt;=AsOf+AlertDays,2,IF(L637&lt;=AsOf+90,3,"")))</f>
        <v/>
      </c>
      <c r="N637" s="79">
        <f>IF(M637="","","Warranty expires in "&amp;H637&amp;" days: "&amp;B637&amp;IF(C637="",""," ("&amp;C637&amp;")")&amp;" — check for defects")</f>
        <v/>
      </c>
      <c r="P637" s="72" t="n"/>
      <c r="Q637" s="72" t="n"/>
      <c r="R637" s="89" t="n"/>
      <c r="S637" s="109" t="n"/>
      <c r="T637" s="126">
        <f>IF(OR(R637="",S637=""),"",DATE(YEAR(S637),MONTH(S637)+R637,DAY(S637)))</f>
        <v/>
      </c>
      <c r="U637" s="144">
        <f>IF(T637="","",T637-AsOf)</f>
        <v/>
      </c>
      <c r="V637" s="107">
        <f>IF(T637="",IF(P637="","","Enter last-done date"),IF(U637&lt;0,"Overdue",IF(U637&lt;=30,"Due soon","OK")))</f>
        <v/>
      </c>
      <c r="W637" s="79">
        <f>IF(T637="","",IF(U637&lt;0,2,IF(U637&lt;=30,1,0)))</f>
        <v/>
      </c>
      <c r="X637" s="112">
        <f>IF(T637="","",T637)</f>
        <v/>
      </c>
      <c r="Y637" s="79">
        <f>IF(X637="","",IF(X637&lt;=AsOf+AlertDays,2,IF(X637&lt;=AsOf+30,3,"")))</f>
        <v/>
      </c>
      <c r="Z637" s="79">
        <f>IF(Y637="","",IF(U637&lt;0,"Maintenance overdue: ","Maintenance due: ")&amp;P637)</f>
        <v/>
      </c>
    </row>
    <row r="638" ht="20" customHeight="1">
      <c r="B638" s="72" t="n"/>
      <c r="C638" s="72" t="n"/>
      <c r="D638" s="72" t="n"/>
      <c r="E638" s="109" t="n"/>
      <c r="F638" s="74" t="n"/>
      <c r="G638" s="126">
        <f>IF(OR(E638="",F638=""),"",DATE(YEAR(E638),MONTH(E638)+ROUND(F638*12,0),DAY(E638)))</f>
        <v/>
      </c>
      <c r="H638" s="144">
        <f>IF(G638="","",G638-AsOf)</f>
        <v/>
      </c>
      <c r="I638" s="107">
        <f>IF(G638="","",IF(H638&lt;0,"Expired",IF(H638&lt;=90,"Expires soon","Active")))</f>
        <v/>
      </c>
      <c r="J638" s="72" t="n"/>
      <c r="K638" s="79">
        <f>IF(I638="","",IF(I638="Active",0,IF(I638="Expires soon",1,3)))</f>
        <v/>
      </c>
      <c r="L638" s="112">
        <f>IF(G638="","",IF(G638&lt;AsOf,"",G638))</f>
        <v/>
      </c>
      <c r="M638" s="79">
        <f>IF(L638="","",IF(L638&lt;=AsOf+AlertDays,2,IF(L638&lt;=AsOf+90,3,"")))</f>
        <v/>
      </c>
      <c r="N638" s="79">
        <f>IF(M638="","","Warranty expires in "&amp;H638&amp;" days: "&amp;B638&amp;IF(C638="",""," ("&amp;C638&amp;")")&amp;" — check for defects")</f>
        <v/>
      </c>
      <c r="P638" s="72" t="n"/>
      <c r="Q638" s="72" t="n"/>
      <c r="R638" s="89" t="n"/>
      <c r="S638" s="109" t="n"/>
      <c r="T638" s="126">
        <f>IF(OR(R638="",S638=""),"",DATE(YEAR(S638),MONTH(S638)+R638,DAY(S638)))</f>
        <v/>
      </c>
      <c r="U638" s="144">
        <f>IF(T638="","",T638-AsOf)</f>
        <v/>
      </c>
      <c r="V638" s="107">
        <f>IF(T638="",IF(P638="","","Enter last-done date"),IF(U638&lt;0,"Overdue",IF(U638&lt;=30,"Due soon","OK")))</f>
        <v/>
      </c>
      <c r="W638" s="79">
        <f>IF(T638="","",IF(U638&lt;0,2,IF(U638&lt;=30,1,0)))</f>
        <v/>
      </c>
      <c r="X638" s="112">
        <f>IF(T638="","",T638)</f>
        <v/>
      </c>
      <c r="Y638" s="79">
        <f>IF(X638="","",IF(X638&lt;=AsOf+AlertDays,2,IF(X638&lt;=AsOf+30,3,"")))</f>
        <v/>
      </c>
      <c r="Z638" s="79">
        <f>IF(Y638="","",IF(U638&lt;0,"Maintenance overdue: ","Maintenance due: ")&amp;P638)</f>
        <v/>
      </c>
    </row>
    <row r="639" ht="20" customHeight="1">
      <c r="B639" s="72" t="n"/>
      <c r="C639" s="72" t="n"/>
      <c r="D639" s="72" t="n"/>
      <c r="E639" s="109" t="n"/>
      <c r="F639" s="74" t="n"/>
      <c r="G639" s="126">
        <f>IF(OR(E639="",F639=""),"",DATE(YEAR(E639),MONTH(E639)+ROUND(F639*12,0),DAY(E639)))</f>
        <v/>
      </c>
      <c r="H639" s="144">
        <f>IF(G639="","",G639-AsOf)</f>
        <v/>
      </c>
      <c r="I639" s="107">
        <f>IF(G639="","",IF(H639&lt;0,"Expired",IF(H639&lt;=90,"Expires soon","Active")))</f>
        <v/>
      </c>
      <c r="J639" s="72" t="n"/>
      <c r="K639" s="79">
        <f>IF(I639="","",IF(I639="Active",0,IF(I639="Expires soon",1,3)))</f>
        <v/>
      </c>
      <c r="L639" s="112">
        <f>IF(G639="","",IF(G639&lt;AsOf,"",G639))</f>
        <v/>
      </c>
      <c r="M639" s="79">
        <f>IF(L639="","",IF(L639&lt;=AsOf+AlertDays,2,IF(L639&lt;=AsOf+90,3,"")))</f>
        <v/>
      </c>
      <c r="N639" s="79">
        <f>IF(M639="","","Warranty expires in "&amp;H639&amp;" days: "&amp;B639&amp;IF(C639="",""," ("&amp;C639&amp;")")&amp;" — check for defects")</f>
        <v/>
      </c>
      <c r="P639" s="72" t="n"/>
      <c r="Q639" s="72" t="n"/>
      <c r="R639" s="89" t="n"/>
      <c r="S639" s="109" t="n"/>
      <c r="T639" s="126">
        <f>IF(OR(R639="",S639=""),"",DATE(YEAR(S639),MONTH(S639)+R639,DAY(S639)))</f>
        <v/>
      </c>
      <c r="U639" s="144">
        <f>IF(T639="","",T639-AsOf)</f>
        <v/>
      </c>
      <c r="V639" s="107">
        <f>IF(T639="",IF(P639="","","Enter last-done date"),IF(U639&lt;0,"Overdue",IF(U639&lt;=30,"Due soon","OK")))</f>
        <v/>
      </c>
      <c r="W639" s="79">
        <f>IF(T639="","",IF(U639&lt;0,2,IF(U639&lt;=30,1,0)))</f>
        <v/>
      </c>
      <c r="X639" s="112">
        <f>IF(T639="","",T639)</f>
        <v/>
      </c>
      <c r="Y639" s="79">
        <f>IF(X639="","",IF(X639&lt;=AsOf+AlertDays,2,IF(X639&lt;=AsOf+30,3,"")))</f>
        <v/>
      </c>
      <c r="Z639" s="79">
        <f>IF(Y639="","",IF(U639&lt;0,"Maintenance overdue: ","Maintenance due: ")&amp;P639)</f>
        <v/>
      </c>
    </row>
    <row r="640" ht="20" customHeight="1">
      <c r="B640" s="72" t="n"/>
      <c r="C640" s="72" t="n"/>
      <c r="D640" s="72" t="n"/>
      <c r="E640" s="109" t="n"/>
      <c r="F640" s="74" t="n"/>
      <c r="G640" s="126">
        <f>IF(OR(E640="",F640=""),"",DATE(YEAR(E640),MONTH(E640)+ROUND(F640*12,0),DAY(E640)))</f>
        <v/>
      </c>
      <c r="H640" s="144">
        <f>IF(G640="","",G640-AsOf)</f>
        <v/>
      </c>
      <c r="I640" s="107">
        <f>IF(G640="","",IF(H640&lt;0,"Expired",IF(H640&lt;=90,"Expires soon","Active")))</f>
        <v/>
      </c>
      <c r="J640" s="72" t="n"/>
      <c r="K640" s="79">
        <f>IF(I640="","",IF(I640="Active",0,IF(I640="Expires soon",1,3)))</f>
        <v/>
      </c>
      <c r="L640" s="112">
        <f>IF(G640="","",IF(G640&lt;AsOf,"",G640))</f>
        <v/>
      </c>
      <c r="M640" s="79">
        <f>IF(L640="","",IF(L640&lt;=AsOf+AlertDays,2,IF(L640&lt;=AsOf+90,3,"")))</f>
        <v/>
      </c>
      <c r="N640" s="79">
        <f>IF(M640="","","Warranty expires in "&amp;H640&amp;" days: "&amp;B640&amp;IF(C640="",""," ("&amp;C640&amp;")")&amp;" — check for defects")</f>
        <v/>
      </c>
      <c r="P640" s="72" t="n"/>
      <c r="Q640" s="72" t="n"/>
      <c r="R640" s="89" t="n"/>
      <c r="S640" s="109" t="n"/>
      <c r="T640" s="126">
        <f>IF(OR(R640="",S640=""),"",DATE(YEAR(S640),MONTH(S640)+R640,DAY(S640)))</f>
        <v/>
      </c>
      <c r="U640" s="144">
        <f>IF(T640="","",T640-AsOf)</f>
        <v/>
      </c>
      <c r="V640" s="107">
        <f>IF(T640="",IF(P640="","","Enter last-done date"),IF(U640&lt;0,"Overdue",IF(U640&lt;=30,"Due soon","OK")))</f>
        <v/>
      </c>
      <c r="W640" s="79">
        <f>IF(T640="","",IF(U640&lt;0,2,IF(U640&lt;=30,1,0)))</f>
        <v/>
      </c>
      <c r="X640" s="112">
        <f>IF(T640="","",T640)</f>
        <v/>
      </c>
      <c r="Y640" s="79">
        <f>IF(X640="","",IF(X640&lt;=AsOf+AlertDays,2,IF(X640&lt;=AsOf+30,3,"")))</f>
        <v/>
      </c>
      <c r="Z640" s="79">
        <f>IF(Y640="","",IF(U640&lt;0,"Maintenance overdue: ","Maintenance due: ")&amp;P640)</f>
        <v/>
      </c>
    </row>
    <row r="641" ht="20" customHeight="1">
      <c r="B641" s="72" t="n"/>
      <c r="C641" s="72" t="n"/>
      <c r="D641" s="72" t="n"/>
      <c r="E641" s="109" t="n"/>
      <c r="F641" s="74" t="n"/>
      <c r="G641" s="126">
        <f>IF(OR(E641="",F641=""),"",DATE(YEAR(E641),MONTH(E641)+ROUND(F641*12,0),DAY(E641)))</f>
        <v/>
      </c>
      <c r="H641" s="144">
        <f>IF(G641="","",G641-AsOf)</f>
        <v/>
      </c>
      <c r="I641" s="107">
        <f>IF(G641="","",IF(H641&lt;0,"Expired",IF(H641&lt;=90,"Expires soon","Active")))</f>
        <v/>
      </c>
      <c r="J641" s="72" t="n"/>
      <c r="K641" s="79">
        <f>IF(I641="","",IF(I641="Active",0,IF(I641="Expires soon",1,3)))</f>
        <v/>
      </c>
      <c r="L641" s="112">
        <f>IF(G641="","",IF(G641&lt;AsOf,"",G641))</f>
        <v/>
      </c>
      <c r="M641" s="79">
        <f>IF(L641="","",IF(L641&lt;=AsOf+AlertDays,2,IF(L641&lt;=AsOf+90,3,"")))</f>
        <v/>
      </c>
      <c r="N641" s="79">
        <f>IF(M641="","","Warranty expires in "&amp;H641&amp;" days: "&amp;B641&amp;IF(C641="",""," ("&amp;C641&amp;")")&amp;" — check for defects")</f>
        <v/>
      </c>
      <c r="P641" s="72" t="n"/>
      <c r="Q641" s="72" t="n"/>
      <c r="R641" s="89" t="n"/>
      <c r="S641" s="109" t="n"/>
      <c r="T641" s="126">
        <f>IF(OR(R641="",S641=""),"",DATE(YEAR(S641),MONTH(S641)+R641,DAY(S641)))</f>
        <v/>
      </c>
      <c r="U641" s="144">
        <f>IF(T641="","",T641-AsOf)</f>
        <v/>
      </c>
      <c r="V641" s="107">
        <f>IF(T641="",IF(P641="","","Enter last-done date"),IF(U641&lt;0,"Overdue",IF(U641&lt;=30,"Due soon","OK")))</f>
        <v/>
      </c>
      <c r="W641" s="79">
        <f>IF(T641="","",IF(U641&lt;0,2,IF(U641&lt;=30,1,0)))</f>
        <v/>
      </c>
      <c r="X641" s="112">
        <f>IF(T641="","",T641)</f>
        <v/>
      </c>
      <c r="Y641" s="79">
        <f>IF(X641="","",IF(X641&lt;=AsOf+AlertDays,2,IF(X641&lt;=AsOf+30,3,"")))</f>
        <v/>
      </c>
      <c r="Z641" s="79">
        <f>IF(Y641="","",IF(U641&lt;0,"Maintenance overdue: ","Maintenance due: ")&amp;P641)</f>
        <v/>
      </c>
    </row>
    <row r="642" ht="20" customHeight="1">
      <c r="B642" s="72" t="n"/>
      <c r="C642" s="72" t="n"/>
      <c r="D642" s="72" t="n"/>
      <c r="E642" s="109" t="n"/>
      <c r="F642" s="74" t="n"/>
      <c r="G642" s="126">
        <f>IF(OR(E642="",F642=""),"",DATE(YEAR(E642),MONTH(E642)+ROUND(F642*12,0),DAY(E642)))</f>
        <v/>
      </c>
      <c r="H642" s="144">
        <f>IF(G642="","",G642-AsOf)</f>
        <v/>
      </c>
      <c r="I642" s="107">
        <f>IF(G642="","",IF(H642&lt;0,"Expired",IF(H642&lt;=90,"Expires soon","Active")))</f>
        <v/>
      </c>
      <c r="J642" s="72" t="n"/>
      <c r="K642" s="79">
        <f>IF(I642="","",IF(I642="Active",0,IF(I642="Expires soon",1,3)))</f>
        <v/>
      </c>
      <c r="L642" s="112">
        <f>IF(G642="","",IF(G642&lt;AsOf,"",G642))</f>
        <v/>
      </c>
      <c r="M642" s="79">
        <f>IF(L642="","",IF(L642&lt;=AsOf+AlertDays,2,IF(L642&lt;=AsOf+90,3,"")))</f>
        <v/>
      </c>
      <c r="N642" s="79">
        <f>IF(M642="","","Warranty expires in "&amp;H642&amp;" days: "&amp;B642&amp;IF(C642="",""," ("&amp;C642&amp;")")&amp;" — check for defects")</f>
        <v/>
      </c>
      <c r="P642" s="72" t="n"/>
      <c r="Q642" s="72" t="n"/>
      <c r="R642" s="89" t="n"/>
      <c r="S642" s="109" t="n"/>
      <c r="T642" s="126">
        <f>IF(OR(R642="",S642=""),"",DATE(YEAR(S642),MONTH(S642)+R642,DAY(S642)))</f>
        <v/>
      </c>
      <c r="U642" s="144">
        <f>IF(T642="","",T642-AsOf)</f>
        <v/>
      </c>
      <c r="V642" s="107">
        <f>IF(T642="",IF(P642="","","Enter last-done date"),IF(U642&lt;0,"Overdue",IF(U642&lt;=30,"Due soon","OK")))</f>
        <v/>
      </c>
      <c r="W642" s="79">
        <f>IF(T642="","",IF(U642&lt;0,2,IF(U642&lt;=30,1,0)))</f>
        <v/>
      </c>
      <c r="X642" s="112">
        <f>IF(T642="","",T642)</f>
        <v/>
      </c>
      <c r="Y642" s="79">
        <f>IF(X642="","",IF(X642&lt;=AsOf+AlertDays,2,IF(X642&lt;=AsOf+30,3,"")))</f>
        <v/>
      </c>
      <c r="Z642" s="79">
        <f>IF(Y642="","",IF(U642&lt;0,"Maintenance overdue: ","Maintenance due: ")&amp;P642)</f>
        <v/>
      </c>
    </row>
    <row r="643" ht="20" customHeight="1">
      <c r="B643" s="72" t="n"/>
      <c r="C643" s="72" t="n"/>
      <c r="D643" s="72" t="n"/>
      <c r="E643" s="109" t="n"/>
      <c r="F643" s="74" t="n"/>
      <c r="G643" s="126">
        <f>IF(OR(E643="",F643=""),"",DATE(YEAR(E643),MONTH(E643)+ROUND(F643*12,0),DAY(E643)))</f>
        <v/>
      </c>
      <c r="H643" s="144">
        <f>IF(G643="","",G643-AsOf)</f>
        <v/>
      </c>
      <c r="I643" s="107">
        <f>IF(G643="","",IF(H643&lt;0,"Expired",IF(H643&lt;=90,"Expires soon","Active")))</f>
        <v/>
      </c>
      <c r="J643" s="72" t="n"/>
      <c r="K643" s="79">
        <f>IF(I643="","",IF(I643="Active",0,IF(I643="Expires soon",1,3)))</f>
        <v/>
      </c>
      <c r="L643" s="112">
        <f>IF(G643="","",IF(G643&lt;AsOf,"",G643))</f>
        <v/>
      </c>
      <c r="M643" s="79">
        <f>IF(L643="","",IF(L643&lt;=AsOf+AlertDays,2,IF(L643&lt;=AsOf+90,3,"")))</f>
        <v/>
      </c>
      <c r="N643" s="79">
        <f>IF(M643="","","Warranty expires in "&amp;H643&amp;" days: "&amp;B643&amp;IF(C643="",""," ("&amp;C643&amp;")")&amp;" — check for defects")</f>
        <v/>
      </c>
      <c r="P643" s="72" t="n"/>
      <c r="Q643" s="72" t="n"/>
      <c r="R643" s="89" t="n"/>
      <c r="S643" s="109" t="n"/>
      <c r="T643" s="126">
        <f>IF(OR(R643="",S643=""),"",DATE(YEAR(S643),MONTH(S643)+R643,DAY(S643)))</f>
        <v/>
      </c>
      <c r="U643" s="144">
        <f>IF(T643="","",T643-AsOf)</f>
        <v/>
      </c>
      <c r="V643" s="107">
        <f>IF(T643="",IF(P643="","","Enter last-done date"),IF(U643&lt;0,"Overdue",IF(U643&lt;=30,"Due soon","OK")))</f>
        <v/>
      </c>
      <c r="W643" s="79">
        <f>IF(T643="","",IF(U643&lt;0,2,IF(U643&lt;=30,1,0)))</f>
        <v/>
      </c>
      <c r="X643" s="112">
        <f>IF(T643="","",T643)</f>
        <v/>
      </c>
      <c r="Y643" s="79">
        <f>IF(X643="","",IF(X643&lt;=AsOf+AlertDays,2,IF(X643&lt;=AsOf+30,3,"")))</f>
        <v/>
      </c>
      <c r="Z643" s="79">
        <f>IF(Y643="","",IF(U643&lt;0,"Maintenance overdue: ","Maintenance due: ")&amp;P643)</f>
        <v/>
      </c>
    </row>
    <row r="644" ht="20" customHeight="1">
      <c r="B644" s="72" t="n"/>
      <c r="C644" s="72" t="n"/>
      <c r="D644" s="72" t="n"/>
      <c r="E644" s="109" t="n"/>
      <c r="F644" s="74" t="n"/>
      <c r="G644" s="126">
        <f>IF(OR(E644="",F644=""),"",DATE(YEAR(E644),MONTH(E644)+ROUND(F644*12,0),DAY(E644)))</f>
        <v/>
      </c>
      <c r="H644" s="144">
        <f>IF(G644="","",G644-AsOf)</f>
        <v/>
      </c>
      <c r="I644" s="107">
        <f>IF(G644="","",IF(H644&lt;0,"Expired",IF(H644&lt;=90,"Expires soon","Active")))</f>
        <v/>
      </c>
      <c r="J644" s="72" t="n"/>
      <c r="K644" s="79">
        <f>IF(I644="","",IF(I644="Active",0,IF(I644="Expires soon",1,3)))</f>
        <v/>
      </c>
      <c r="L644" s="112">
        <f>IF(G644="","",IF(G644&lt;AsOf,"",G644))</f>
        <v/>
      </c>
      <c r="M644" s="79">
        <f>IF(L644="","",IF(L644&lt;=AsOf+AlertDays,2,IF(L644&lt;=AsOf+90,3,"")))</f>
        <v/>
      </c>
      <c r="N644" s="79">
        <f>IF(M644="","","Warranty expires in "&amp;H644&amp;" days: "&amp;B644&amp;IF(C644="",""," ("&amp;C644&amp;")")&amp;" — check for defects")</f>
        <v/>
      </c>
      <c r="P644" s="72" t="n"/>
      <c r="Q644" s="72" t="n"/>
      <c r="R644" s="89" t="n"/>
      <c r="S644" s="109" t="n"/>
      <c r="T644" s="126">
        <f>IF(OR(R644="",S644=""),"",DATE(YEAR(S644),MONTH(S644)+R644,DAY(S644)))</f>
        <v/>
      </c>
      <c r="U644" s="144">
        <f>IF(T644="","",T644-AsOf)</f>
        <v/>
      </c>
      <c r="V644" s="107">
        <f>IF(T644="",IF(P644="","","Enter last-done date"),IF(U644&lt;0,"Overdue",IF(U644&lt;=30,"Due soon","OK")))</f>
        <v/>
      </c>
      <c r="W644" s="79">
        <f>IF(T644="","",IF(U644&lt;0,2,IF(U644&lt;=30,1,0)))</f>
        <v/>
      </c>
      <c r="X644" s="112">
        <f>IF(T644="","",T644)</f>
        <v/>
      </c>
      <c r="Y644" s="79">
        <f>IF(X644="","",IF(X644&lt;=AsOf+AlertDays,2,IF(X644&lt;=AsOf+30,3,"")))</f>
        <v/>
      </c>
      <c r="Z644" s="79">
        <f>IF(Y644="","",IF(U644&lt;0,"Maintenance overdue: ","Maintenance due: ")&amp;P644)</f>
        <v/>
      </c>
    </row>
    <row r="645" ht="20" customHeight="1">
      <c r="B645" s="72" t="n"/>
      <c r="C645" s="72" t="n"/>
      <c r="D645" s="72" t="n"/>
      <c r="E645" s="109" t="n"/>
      <c r="F645" s="74" t="n"/>
      <c r="G645" s="126">
        <f>IF(OR(E645="",F645=""),"",DATE(YEAR(E645),MONTH(E645)+ROUND(F645*12,0),DAY(E645)))</f>
        <v/>
      </c>
      <c r="H645" s="144">
        <f>IF(G645="","",G645-AsOf)</f>
        <v/>
      </c>
      <c r="I645" s="107">
        <f>IF(G645="","",IF(H645&lt;0,"Expired",IF(H645&lt;=90,"Expires soon","Active")))</f>
        <v/>
      </c>
      <c r="J645" s="72" t="n"/>
      <c r="K645" s="79">
        <f>IF(I645="","",IF(I645="Active",0,IF(I645="Expires soon",1,3)))</f>
        <v/>
      </c>
      <c r="L645" s="112">
        <f>IF(G645="","",IF(G645&lt;AsOf,"",G645))</f>
        <v/>
      </c>
      <c r="M645" s="79">
        <f>IF(L645="","",IF(L645&lt;=AsOf+AlertDays,2,IF(L645&lt;=AsOf+90,3,"")))</f>
        <v/>
      </c>
      <c r="N645" s="79">
        <f>IF(M645="","","Warranty expires in "&amp;H645&amp;" days: "&amp;B645&amp;IF(C645="",""," ("&amp;C645&amp;")")&amp;" — check for defects")</f>
        <v/>
      </c>
      <c r="P645" s="72" t="n"/>
      <c r="Q645" s="72" t="n"/>
      <c r="R645" s="89" t="n"/>
      <c r="S645" s="109" t="n"/>
      <c r="T645" s="126">
        <f>IF(OR(R645="",S645=""),"",DATE(YEAR(S645),MONTH(S645)+R645,DAY(S645)))</f>
        <v/>
      </c>
      <c r="U645" s="144">
        <f>IF(T645="","",T645-AsOf)</f>
        <v/>
      </c>
      <c r="V645" s="107">
        <f>IF(T645="",IF(P645="","","Enter last-done date"),IF(U645&lt;0,"Overdue",IF(U645&lt;=30,"Due soon","OK")))</f>
        <v/>
      </c>
      <c r="W645" s="79">
        <f>IF(T645="","",IF(U645&lt;0,2,IF(U645&lt;=30,1,0)))</f>
        <v/>
      </c>
      <c r="X645" s="112">
        <f>IF(T645="","",T645)</f>
        <v/>
      </c>
      <c r="Y645" s="79">
        <f>IF(X645="","",IF(X645&lt;=AsOf+AlertDays,2,IF(X645&lt;=AsOf+30,3,"")))</f>
        <v/>
      </c>
      <c r="Z645" s="79">
        <f>IF(Y645="","",IF(U645&lt;0,"Maintenance overdue: ","Maintenance due: ")&amp;P645)</f>
        <v/>
      </c>
    </row>
    <row r="646" ht="20" customHeight="1">
      <c r="B646" s="72" t="n"/>
      <c r="C646" s="72" t="n"/>
      <c r="D646" s="72" t="n"/>
      <c r="E646" s="109" t="n"/>
      <c r="F646" s="74" t="n"/>
      <c r="G646" s="126">
        <f>IF(OR(E646="",F646=""),"",DATE(YEAR(E646),MONTH(E646)+ROUND(F646*12,0),DAY(E646)))</f>
        <v/>
      </c>
      <c r="H646" s="144">
        <f>IF(G646="","",G646-AsOf)</f>
        <v/>
      </c>
      <c r="I646" s="107">
        <f>IF(G646="","",IF(H646&lt;0,"Expired",IF(H646&lt;=90,"Expires soon","Active")))</f>
        <v/>
      </c>
      <c r="J646" s="72" t="n"/>
      <c r="K646" s="79">
        <f>IF(I646="","",IF(I646="Active",0,IF(I646="Expires soon",1,3)))</f>
        <v/>
      </c>
      <c r="L646" s="112">
        <f>IF(G646="","",IF(G646&lt;AsOf,"",G646))</f>
        <v/>
      </c>
      <c r="M646" s="79">
        <f>IF(L646="","",IF(L646&lt;=AsOf+AlertDays,2,IF(L646&lt;=AsOf+90,3,"")))</f>
        <v/>
      </c>
      <c r="N646" s="79">
        <f>IF(M646="","","Warranty expires in "&amp;H646&amp;" days: "&amp;B646&amp;IF(C646="",""," ("&amp;C646&amp;")")&amp;" — check for defects")</f>
        <v/>
      </c>
      <c r="P646" s="72" t="n"/>
      <c r="Q646" s="72" t="n"/>
      <c r="R646" s="89" t="n"/>
      <c r="S646" s="109" t="n"/>
      <c r="T646" s="126">
        <f>IF(OR(R646="",S646=""),"",DATE(YEAR(S646),MONTH(S646)+R646,DAY(S646)))</f>
        <v/>
      </c>
      <c r="U646" s="144">
        <f>IF(T646="","",T646-AsOf)</f>
        <v/>
      </c>
      <c r="V646" s="107">
        <f>IF(T646="",IF(P646="","","Enter last-done date"),IF(U646&lt;0,"Overdue",IF(U646&lt;=30,"Due soon","OK")))</f>
        <v/>
      </c>
      <c r="W646" s="79">
        <f>IF(T646="","",IF(U646&lt;0,2,IF(U646&lt;=30,1,0)))</f>
        <v/>
      </c>
      <c r="X646" s="112">
        <f>IF(T646="","",T646)</f>
        <v/>
      </c>
      <c r="Y646" s="79">
        <f>IF(X646="","",IF(X646&lt;=AsOf+AlertDays,2,IF(X646&lt;=AsOf+30,3,"")))</f>
        <v/>
      </c>
      <c r="Z646" s="79">
        <f>IF(Y646="","",IF(U646&lt;0,"Maintenance overdue: ","Maintenance due: ")&amp;P646)</f>
        <v/>
      </c>
    </row>
    <row r="647" ht="20" customHeight="1">
      <c r="B647" s="72" t="n"/>
      <c r="C647" s="72" t="n"/>
      <c r="D647" s="72" t="n"/>
      <c r="E647" s="109" t="n"/>
      <c r="F647" s="74" t="n"/>
      <c r="G647" s="126">
        <f>IF(OR(E647="",F647=""),"",DATE(YEAR(E647),MONTH(E647)+ROUND(F647*12,0),DAY(E647)))</f>
        <v/>
      </c>
      <c r="H647" s="144">
        <f>IF(G647="","",G647-AsOf)</f>
        <v/>
      </c>
      <c r="I647" s="107">
        <f>IF(G647="","",IF(H647&lt;0,"Expired",IF(H647&lt;=90,"Expires soon","Active")))</f>
        <v/>
      </c>
      <c r="J647" s="72" t="n"/>
      <c r="K647" s="79">
        <f>IF(I647="","",IF(I647="Active",0,IF(I647="Expires soon",1,3)))</f>
        <v/>
      </c>
      <c r="L647" s="112">
        <f>IF(G647="","",IF(G647&lt;AsOf,"",G647))</f>
        <v/>
      </c>
      <c r="M647" s="79">
        <f>IF(L647="","",IF(L647&lt;=AsOf+AlertDays,2,IF(L647&lt;=AsOf+90,3,"")))</f>
        <v/>
      </c>
      <c r="N647" s="79">
        <f>IF(M647="","","Warranty expires in "&amp;H647&amp;" days: "&amp;B647&amp;IF(C647="",""," ("&amp;C647&amp;")")&amp;" — check for defects")</f>
        <v/>
      </c>
      <c r="P647" s="72" t="n"/>
      <c r="Q647" s="72" t="n"/>
      <c r="R647" s="89" t="n"/>
      <c r="S647" s="109" t="n"/>
      <c r="T647" s="126">
        <f>IF(OR(R647="",S647=""),"",DATE(YEAR(S647),MONTH(S647)+R647,DAY(S647)))</f>
        <v/>
      </c>
      <c r="U647" s="144">
        <f>IF(T647="","",T647-AsOf)</f>
        <v/>
      </c>
      <c r="V647" s="107">
        <f>IF(T647="",IF(P647="","","Enter last-done date"),IF(U647&lt;0,"Overdue",IF(U647&lt;=30,"Due soon","OK")))</f>
        <v/>
      </c>
      <c r="W647" s="79">
        <f>IF(T647="","",IF(U647&lt;0,2,IF(U647&lt;=30,1,0)))</f>
        <v/>
      </c>
      <c r="X647" s="112">
        <f>IF(T647="","",T647)</f>
        <v/>
      </c>
      <c r="Y647" s="79">
        <f>IF(X647="","",IF(X647&lt;=AsOf+AlertDays,2,IF(X647&lt;=AsOf+30,3,"")))</f>
        <v/>
      </c>
      <c r="Z647" s="79">
        <f>IF(Y647="","",IF(U647&lt;0,"Maintenance overdue: ","Maintenance due: ")&amp;P647)</f>
        <v/>
      </c>
    </row>
    <row r="648" ht="20" customHeight="1">
      <c r="B648" s="72" t="n"/>
      <c r="C648" s="72" t="n"/>
      <c r="D648" s="72" t="n"/>
      <c r="E648" s="109" t="n"/>
      <c r="F648" s="74" t="n"/>
      <c r="G648" s="126">
        <f>IF(OR(E648="",F648=""),"",DATE(YEAR(E648),MONTH(E648)+ROUND(F648*12,0),DAY(E648)))</f>
        <v/>
      </c>
      <c r="H648" s="144">
        <f>IF(G648="","",G648-AsOf)</f>
        <v/>
      </c>
      <c r="I648" s="107">
        <f>IF(G648="","",IF(H648&lt;0,"Expired",IF(H648&lt;=90,"Expires soon","Active")))</f>
        <v/>
      </c>
      <c r="J648" s="72" t="n"/>
      <c r="K648" s="79">
        <f>IF(I648="","",IF(I648="Active",0,IF(I648="Expires soon",1,3)))</f>
        <v/>
      </c>
      <c r="L648" s="112">
        <f>IF(G648="","",IF(G648&lt;AsOf,"",G648))</f>
        <v/>
      </c>
      <c r="M648" s="79">
        <f>IF(L648="","",IF(L648&lt;=AsOf+AlertDays,2,IF(L648&lt;=AsOf+90,3,"")))</f>
        <v/>
      </c>
      <c r="N648" s="79">
        <f>IF(M648="","","Warranty expires in "&amp;H648&amp;" days: "&amp;B648&amp;IF(C648="",""," ("&amp;C648&amp;")")&amp;" — check for defects")</f>
        <v/>
      </c>
      <c r="P648" s="72" t="n"/>
      <c r="Q648" s="72" t="n"/>
      <c r="R648" s="89" t="n"/>
      <c r="S648" s="109" t="n"/>
      <c r="T648" s="126">
        <f>IF(OR(R648="",S648=""),"",DATE(YEAR(S648),MONTH(S648)+R648,DAY(S648)))</f>
        <v/>
      </c>
      <c r="U648" s="144">
        <f>IF(T648="","",T648-AsOf)</f>
        <v/>
      </c>
      <c r="V648" s="107">
        <f>IF(T648="",IF(P648="","","Enter last-done date"),IF(U648&lt;0,"Overdue",IF(U648&lt;=30,"Due soon","OK")))</f>
        <v/>
      </c>
      <c r="W648" s="79">
        <f>IF(T648="","",IF(U648&lt;0,2,IF(U648&lt;=30,1,0)))</f>
        <v/>
      </c>
      <c r="X648" s="112">
        <f>IF(T648="","",T648)</f>
        <v/>
      </c>
      <c r="Y648" s="79">
        <f>IF(X648="","",IF(X648&lt;=AsOf+AlertDays,2,IF(X648&lt;=AsOf+30,3,"")))</f>
        <v/>
      </c>
      <c r="Z648" s="79">
        <f>IF(Y648="","",IF(U648&lt;0,"Maintenance overdue: ","Maintenance due: ")&amp;P648)</f>
        <v/>
      </c>
    </row>
    <row r="649" ht="20" customHeight="1">
      <c r="B649" s="72" t="n"/>
      <c r="C649" s="72" t="n"/>
      <c r="D649" s="72" t="n"/>
      <c r="E649" s="109" t="n"/>
      <c r="F649" s="74" t="n"/>
      <c r="G649" s="126">
        <f>IF(OR(E649="",F649=""),"",DATE(YEAR(E649),MONTH(E649)+ROUND(F649*12,0),DAY(E649)))</f>
        <v/>
      </c>
      <c r="H649" s="144">
        <f>IF(G649="","",G649-AsOf)</f>
        <v/>
      </c>
      <c r="I649" s="107">
        <f>IF(G649="","",IF(H649&lt;0,"Expired",IF(H649&lt;=90,"Expires soon","Active")))</f>
        <v/>
      </c>
      <c r="J649" s="72" t="n"/>
      <c r="K649" s="79">
        <f>IF(I649="","",IF(I649="Active",0,IF(I649="Expires soon",1,3)))</f>
        <v/>
      </c>
      <c r="L649" s="112">
        <f>IF(G649="","",IF(G649&lt;AsOf,"",G649))</f>
        <v/>
      </c>
      <c r="M649" s="79">
        <f>IF(L649="","",IF(L649&lt;=AsOf+AlertDays,2,IF(L649&lt;=AsOf+90,3,"")))</f>
        <v/>
      </c>
      <c r="N649" s="79">
        <f>IF(M649="","","Warranty expires in "&amp;H649&amp;" days: "&amp;B649&amp;IF(C649="",""," ("&amp;C649&amp;")")&amp;" — check for defects")</f>
        <v/>
      </c>
      <c r="P649" s="72" t="n"/>
      <c r="Q649" s="72" t="n"/>
      <c r="R649" s="89" t="n"/>
      <c r="S649" s="109" t="n"/>
      <c r="T649" s="126">
        <f>IF(OR(R649="",S649=""),"",DATE(YEAR(S649),MONTH(S649)+R649,DAY(S649)))</f>
        <v/>
      </c>
      <c r="U649" s="144">
        <f>IF(T649="","",T649-AsOf)</f>
        <v/>
      </c>
      <c r="V649" s="107">
        <f>IF(T649="",IF(P649="","","Enter last-done date"),IF(U649&lt;0,"Overdue",IF(U649&lt;=30,"Due soon","OK")))</f>
        <v/>
      </c>
      <c r="W649" s="79">
        <f>IF(T649="","",IF(U649&lt;0,2,IF(U649&lt;=30,1,0)))</f>
        <v/>
      </c>
      <c r="X649" s="112">
        <f>IF(T649="","",T649)</f>
        <v/>
      </c>
      <c r="Y649" s="79">
        <f>IF(X649="","",IF(X649&lt;=AsOf+AlertDays,2,IF(X649&lt;=AsOf+30,3,"")))</f>
        <v/>
      </c>
      <c r="Z649" s="79">
        <f>IF(Y649="","",IF(U649&lt;0,"Maintenance overdue: ","Maintenance due: ")&amp;P649)</f>
        <v/>
      </c>
    </row>
    <row r="650" ht="20" customHeight="1">
      <c r="B650" s="72" t="n"/>
      <c r="C650" s="72" t="n"/>
      <c r="D650" s="72" t="n"/>
      <c r="E650" s="109" t="n"/>
      <c r="F650" s="74" t="n"/>
      <c r="G650" s="126">
        <f>IF(OR(E650="",F650=""),"",DATE(YEAR(E650),MONTH(E650)+ROUND(F650*12,0),DAY(E650)))</f>
        <v/>
      </c>
      <c r="H650" s="144">
        <f>IF(G650="","",G650-AsOf)</f>
        <v/>
      </c>
      <c r="I650" s="107">
        <f>IF(G650="","",IF(H650&lt;0,"Expired",IF(H650&lt;=90,"Expires soon","Active")))</f>
        <v/>
      </c>
      <c r="J650" s="72" t="n"/>
      <c r="K650" s="79">
        <f>IF(I650="","",IF(I650="Active",0,IF(I650="Expires soon",1,3)))</f>
        <v/>
      </c>
      <c r="L650" s="112">
        <f>IF(G650="","",IF(G650&lt;AsOf,"",G650))</f>
        <v/>
      </c>
      <c r="M650" s="79">
        <f>IF(L650="","",IF(L650&lt;=AsOf+AlertDays,2,IF(L650&lt;=AsOf+90,3,"")))</f>
        <v/>
      </c>
      <c r="N650" s="79">
        <f>IF(M650="","","Warranty expires in "&amp;H650&amp;" days: "&amp;B650&amp;IF(C650="",""," ("&amp;C650&amp;")")&amp;" — check for defects")</f>
        <v/>
      </c>
      <c r="P650" s="72" t="n"/>
      <c r="Q650" s="72" t="n"/>
      <c r="R650" s="89" t="n"/>
      <c r="S650" s="109" t="n"/>
      <c r="T650" s="126">
        <f>IF(OR(R650="",S650=""),"",DATE(YEAR(S650),MONTH(S650)+R650,DAY(S650)))</f>
        <v/>
      </c>
      <c r="U650" s="144">
        <f>IF(T650="","",T650-AsOf)</f>
        <v/>
      </c>
      <c r="V650" s="107">
        <f>IF(T650="",IF(P650="","","Enter last-done date"),IF(U650&lt;0,"Overdue",IF(U650&lt;=30,"Due soon","OK")))</f>
        <v/>
      </c>
      <c r="W650" s="79">
        <f>IF(T650="","",IF(U650&lt;0,2,IF(U650&lt;=30,1,0)))</f>
        <v/>
      </c>
      <c r="X650" s="112">
        <f>IF(T650="","",T650)</f>
        <v/>
      </c>
      <c r="Y650" s="79">
        <f>IF(X650="","",IF(X650&lt;=AsOf+AlertDays,2,IF(X650&lt;=AsOf+30,3,"")))</f>
        <v/>
      </c>
      <c r="Z650" s="79">
        <f>IF(Y650="","",IF(U650&lt;0,"Maintenance overdue: ","Maintenance due: ")&amp;P650)</f>
        <v/>
      </c>
    </row>
    <row r="651" ht="20" customHeight="1">
      <c r="B651" s="72" t="n"/>
      <c r="C651" s="72" t="n"/>
      <c r="D651" s="72" t="n"/>
      <c r="E651" s="109" t="n"/>
      <c r="F651" s="74" t="n"/>
      <c r="G651" s="126">
        <f>IF(OR(E651="",F651=""),"",DATE(YEAR(E651),MONTH(E651)+ROUND(F651*12,0),DAY(E651)))</f>
        <v/>
      </c>
      <c r="H651" s="144">
        <f>IF(G651="","",G651-AsOf)</f>
        <v/>
      </c>
      <c r="I651" s="107">
        <f>IF(G651="","",IF(H651&lt;0,"Expired",IF(H651&lt;=90,"Expires soon","Active")))</f>
        <v/>
      </c>
      <c r="J651" s="72" t="n"/>
      <c r="K651" s="79">
        <f>IF(I651="","",IF(I651="Active",0,IF(I651="Expires soon",1,3)))</f>
        <v/>
      </c>
      <c r="L651" s="112">
        <f>IF(G651="","",IF(G651&lt;AsOf,"",G651))</f>
        <v/>
      </c>
      <c r="M651" s="79">
        <f>IF(L651="","",IF(L651&lt;=AsOf+AlertDays,2,IF(L651&lt;=AsOf+90,3,"")))</f>
        <v/>
      </c>
      <c r="N651" s="79">
        <f>IF(M651="","","Warranty expires in "&amp;H651&amp;" days: "&amp;B651&amp;IF(C651="",""," ("&amp;C651&amp;")")&amp;" — check for defects")</f>
        <v/>
      </c>
      <c r="P651" s="72" t="n"/>
      <c r="Q651" s="72" t="n"/>
      <c r="R651" s="89" t="n"/>
      <c r="S651" s="109" t="n"/>
      <c r="T651" s="126">
        <f>IF(OR(R651="",S651=""),"",DATE(YEAR(S651),MONTH(S651)+R651,DAY(S651)))</f>
        <v/>
      </c>
      <c r="U651" s="144">
        <f>IF(T651="","",T651-AsOf)</f>
        <v/>
      </c>
      <c r="V651" s="107">
        <f>IF(T651="",IF(P651="","","Enter last-done date"),IF(U651&lt;0,"Overdue",IF(U651&lt;=30,"Due soon","OK")))</f>
        <v/>
      </c>
      <c r="W651" s="79">
        <f>IF(T651="","",IF(U651&lt;0,2,IF(U651&lt;=30,1,0)))</f>
        <v/>
      </c>
      <c r="X651" s="112">
        <f>IF(T651="","",T651)</f>
        <v/>
      </c>
      <c r="Y651" s="79">
        <f>IF(X651="","",IF(X651&lt;=AsOf+AlertDays,2,IF(X651&lt;=AsOf+30,3,"")))</f>
        <v/>
      </c>
      <c r="Z651" s="79">
        <f>IF(Y651="","",IF(U651&lt;0,"Maintenance overdue: ","Maintenance due: ")&amp;P651)</f>
        <v/>
      </c>
    </row>
    <row r="652" ht="20" customHeight="1">
      <c r="B652" s="72" t="n"/>
      <c r="C652" s="72" t="n"/>
      <c r="D652" s="72" t="n"/>
      <c r="E652" s="109" t="n"/>
      <c r="F652" s="74" t="n"/>
      <c r="G652" s="126">
        <f>IF(OR(E652="",F652=""),"",DATE(YEAR(E652),MONTH(E652)+ROUND(F652*12,0),DAY(E652)))</f>
        <v/>
      </c>
      <c r="H652" s="144">
        <f>IF(G652="","",G652-AsOf)</f>
        <v/>
      </c>
      <c r="I652" s="107">
        <f>IF(G652="","",IF(H652&lt;0,"Expired",IF(H652&lt;=90,"Expires soon","Active")))</f>
        <v/>
      </c>
      <c r="J652" s="72" t="n"/>
      <c r="K652" s="79">
        <f>IF(I652="","",IF(I652="Active",0,IF(I652="Expires soon",1,3)))</f>
        <v/>
      </c>
      <c r="L652" s="112">
        <f>IF(G652="","",IF(G652&lt;AsOf,"",G652))</f>
        <v/>
      </c>
      <c r="M652" s="79">
        <f>IF(L652="","",IF(L652&lt;=AsOf+AlertDays,2,IF(L652&lt;=AsOf+90,3,"")))</f>
        <v/>
      </c>
      <c r="N652" s="79">
        <f>IF(M652="","","Warranty expires in "&amp;H652&amp;" days: "&amp;B652&amp;IF(C652="",""," ("&amp;C652&amp;")")&amp;" — check for defects")</f>
        <v/>
      </c>
      <c r="P652" s="72" t="n"/>
      <c r="Q652" s="72" t="n"/>
      <c r="R652" s="89" t="n"/>
      <c r="S652" s="109" t="n"/>
      <c r="T652" s="126">
        <f>IF(OR(R652="",S652=""),"",DATE(YEAR(S652),MONTH(S652)+R652,DAY(S652)))</f>
        <v/>
      </c>
      <c r="U652" s="144">
        <f>IF(T652="","",T652-AsOf)</f>
        <v/>
      </c>
      <c r="V652" s="107">
        <f>IF(T652="",IF(P652="","","Enter last-done date"),IF(U652&lt;0,"Overdue",IF(U652&lt;=30,"Due soon","OK")))</f>
        <v/>
      </c>
      <c r="W652" s="79">
        <f>IF(T652="","",IF(U652&lt;0,2,IF(U652&lt;=30,1,0)))</f>
        <v/>
      </c>
      <c r="X652" s="112">
        <f>IF(T652="","",T652)</f>
        <v/>
      </c>
      <c r="Y652" s="79">
        <f>IF(X652="","",IF(X652&lt;=AsOf+AlertDays,2,IF(X652&lt;=AsOf+30,3,"")))</f>
        <v/>
      </c>
      <c r="Z652" s="79">
        <f>IF(Y652="","",IF(U652&lt;0,"Maintenance overdue: ","Maintenance due: ")&amp;P652)</f>
        <v/>
      </c>
    </row>
    <row r="653" ht="20" customHeight="1">
      <c r="B653" s="72" t="n"/>
      <c r="C653" s="72" t="n"/>
      <c r="D653" s="72" t="n"/>
      <c r="E653" s="109" t="n"/>
      <c r="F653" s="74" t="n"/>
      <c r="G653" s="126">
        <f>IF(OR(E653="",F653=""),"",DATE(YEAR(E653),MONTH(E653)+ROUND(F653*12,0),DAY(E653)))</f>
        <v/>
      </c>
      <c r="H653" s="144">
        <f>IF(G653="","",G653-AsOf)</f>
        <v/>
      </c>
      <c r="I653" s="107">
        <f>IF(G653="","",IF(H653&lt;0,"Expired",IF(H653&lt;=90,"Expires soon","Active")))</f>
        <v/>
      </c>
      <c r="J653" s="72" t="n"/>
      <c r="K653" s="79">
        <f>IF(I653="","",IF(I653="Active",0,IF(I653="Expires soon",1,3)))</f>
        <v/>
      </c>
      <c r="L653" s="112">
        <f>IF(G653="","",IF(G653&lt;AsOf,"",G653))</f>
        <v/>
      </c>
      <c r="M653" s="79">
        <f>IF(L653="","",IF(L653&lt;=AsOf+AlertDays,2,IF(L653&lt;=AsOf+90,3,"")))</f>
        <v/>
      </c>
      <c r="N653" s="79">
        <f>IF(M653="","","Warranty expires in "&amp;H653&amp;" days: "&amp;B653&amp;IF(C653="",""," ("&amp;C653&amp;")")&amp;" — check for defects")</f>
        <v/>
      </c>
      <c r="P653" s="72" t="n"/>
      <c r="Q653" s="72" t="n"/>
      <c r="R653" s="89" t="n"/>
      <c r="S653" s="109" t="n"/>
      <c r="T653" s="126">
        <f>IF(OR(R653="",S653=""),"",DATE(YEAR(S653),MONTH(S653)+R653,DAY(S653)))</f>
        <v/>
      </c>
      <c r="U653" s="144">
        <f>IF(T653="","",T653-AsOf)</f>
        <v/>
      </c>
      <c r="V653" s="107">
        <f>IF(T653="",IF(P653="","","Enter last-done date"),IF(U653&lt;0,"Overdue",IF(U653&lt;=30,"Due soon","OK")))</f>
        <v/>
      </c>
      <c r="W653" s="79">
        <f>IF(T653="","",IF(U653&lt;0,2,IF(U653&lt;=30,1,0)))</f>
        <v/>
      </c>
      <c r="X653" s="112">
        <f>IF(T653="","",T653)</f>
        <v/>
      </c>
      <c r="Y653" s="79">
        <f>IF(X653="","",IF(X653&lt;=AsOf+AlertDays,2,IF(X653&lt;=AsOf+30,3,"")))</f>
        <v/>
      </c>
      <c r="Z653" s="79">
        <f>IF(Y653="","",IF(U653&lt;0,"Maintenance overdue: ","Maintenance due: ")&amp;P653)</f>
        <v/>
      </c>
    </row>
    <row r="654" ht="20" customHeight="1">
      <c r="B654" s="72" t="n"/>
      <c r="C654" s="72" t="n"/>
      <c r="D654" s="72" t="n"/>
      <c r="E654" s="109" t="n"/>
      <c r="F654" s="74" t="n"/>
      <c r="G654" s="126">
        <f>IF(OR(E654="",F654=""),"",DATE(YEAR(E654),MONTH(E654)+ROUND(F654*12,0),DAY(E654)))</f>
        <v/>
      </c>
      <c r="H654" s="144">
        <f>IF(G654="","",G654-AsOf)</f>
        <v/>
      </c>
      <c r="I654" s="107">
        <f>IF(G654="","",IF(H654&lt;0,"Expired",IF(H654&lt;=90,"Expires soon","Active")))</f>
        <v/>
      </c>
      <c r="J654" s="72" t="n"/>
      <c r="K654" s="79">
        <f>IF(I654="","",IF(I654="Active",0,IF(I654="Expires soon",1,3)))</f>
        <v/>
      </c>
      <c r="L654" s="112">
        <f>IF(G654="","",IF(G654&lt;AsOf,"",G654))</f>
        <v/>
      </c>
      <c r="M654" s="79">
        <f>IF(L654="","",IF(L654&lt;=AsOf+AlertDays,2,IF(L654&lt;=AsOf+90,3,"")))</f>
        <v/>
      </c>
      <c r="N654" s="79">
        <f>IF(M654="","","Warranty expires in "&amp;H654&amp;" days: "&amp;B654&amp;IF(C654="",""," ("&amp;C654&amp;")")&amp;" — check for defects")</f>
        <v/>
      </c>
      <c r="P654" s="72" t="n"/>
      <c r="Q654" s="72" t="n"/>
      <c r="R654" s="89" t="n"/>
      <c r="S654" s="109" t="n"/>
      <c r="T654" s="126">
        <f>IF(OR(R654="",S654=""),"",DATE(YEAR(S654),MONTH(S654)+R654,DAY(S654)))</f>
        <v/>
      </c>
      <c r="U654" s="144">
        <f>IF(T654="","",T654-AsOf)</f>
        <v/>
      </c>
      <c r="V654" s="107">
        <f>IF(T654="",IF(P654="","","Enter last-done date"),IF(U654&lt;0,"Overdue",IF(U654&lt;=30,"Due soon","OK")))</f>
        <v/>
      </c>
      <c r="W654" s="79">
        <f>IF(T654="","",IF(U654&lt;0,2,IF(U654&lt;=30,1,0)))</f>
        <v/>
      </c>
      <c r="X654" s="112">
        <f>IF(T654="","",T654)</f>
        <v/>
      </c>
      <c r="Y654" s="79">
        <f>IF(X654="","",IF(X654&lt;=AsOf+AlertDays,2,IF(X654&lt;=AsOf+30,3,"")))</f>
        <v/>
      </c>
      <c r="Z654" s="79">
        <f>IF(Y654="","",IF(U654&lt;0,"Maintenance overdue: ","Maintenance due: ")&amp;P654)</f>
        <v/>
      </c>
    </row>
    <row r="655" ht="20" customHeight="1">
      <c r="B655" s="72" t="n"/>
      <c r="C655" s="72" t="n"/>
      <c r="D655" s="72" t="n"/>
      <c r="E655" s="109" t="n"/>
      <c r="F655" s="74" t="n"/>
      <c r="G655" s="126">
        <f>IF(OR(E655="",F655=""),"",DATE(YEAR(E655),MONTH(E655)+ROUND(F655*12,0),DAY(E655)))</f>
        <v/>
      </c>
      <c r="H655" s="144">
        <f>IF(G655="","",G655-AsOf)</f>
        <v/>
      </c>
      <c r="I655" s="107">
        <f>IF(G655="","",IF(H655&lt;0,"Expired",IF(H655&lt;=90,"Expires soon","Active")))</f>
        <v/>
      </c>
      <c r="J655" s="72" t="n"/>
      <c r="K655" s="79">
        <f>IF(I655="","",IF(I655="Active",0,IF(I655="Expires soon",1,3)))</f>
        <v/>
      </c>
      <c r="L655" s="112">
        <f>IF(G655="","",IF(G655&lt;AsOf,"",G655))</f>
        <v/>
      </c>
      <c r="M655" s="79">
        <f>IF(L655="","",IF(L655&lt;=AsOf+AlertDays,2,IF(L655&lt;=AsOf+90,3,"")))</f>
        <v/>
      </c>
      <c r="N655" s="79">
        <f>IF(M655="","","Warranty expires in "&amp;H655&amp;" days: "&amp;B655&amp;IF(C655="",""," ("&amp;C655&amp;")")&amp;" — check for defects")</f>
        <v/>
      </c>
      <c r="P655" s="72" t="n"/>
      <c r="Q655" s="72" t="n"/>
      <c r="R655" s="89" t="n"/>
      <c r="S655" s="109" t="n"/>
      <c r="T655" s="126">
        <f>IF(OR(R655="",S655=""),"",DATE(YEAR(S655),MONTH(S655)+R655,DAY(S655)))</f>
        <v/>
      </c>
      <c r="U655" s="144">
        <f>IF(T655="","",T655-AsOf)</f>
        <v/>
      </c>
      <c r="V655" s="107">
        <f>IF(T655="",IF(P655="","","Enter last-done date"),IF(U655&lt;0,"Overdue",IF(U655&lt;=30,"Due soon","OK")))</f>
        <v/>
      </c>
      <c r="W655" s="79">
        <f>IF(T655="","",IF(U655&lt;0,2,IF(U655&lt;=30,1,0)))</f>
        <v/>
      </c>
      <c r="X655" s="112">
        <f>IF(T655="","",T655)</f>
        <v/>
      </c>
      <c r="Y655" s="79">
        <f>IF(X655="","",IF(X655&lt;=AsOf+AlertDays,2,IF(X655&lt;=AsOf+30,3,"")))</f>
        <v/>
      </c>
      <c r="Z655" s="79">
        <f>IF(Y655="","",IF(U655&lt;0,"Maintenance overdue: ","Maintenance due: ")&amp;P655)</f>
        <v/>
      </c>
    </row>
    <row r="656" ht="20" customHeight="1">
      <c r="B656" s="72" t="n"/>
      <c r="C656" s="72" t="n"/>
      <c r="D656" s="72" t="n"/>
      <c r="E656" s="109" t="n"/>
      <c r="F656" s="74" t="n"/>
      <c r="G656" s="126">
        <f>IF(OR(E656="",F656=""),"",DATE(YEAR(E656),MONTH(E656)+ROUND(F656*12,0),DAY(E656)))</f>
        <v/>
      </c>
      <c r="H656" s="144">
        <f>IF(G656="","",G656-AsOf)</f>
        <v/>
      </c>
      <c r="I656" s="107">
        <f>IF(G656="","",IF(H656&lt;0,"Expired",IF(H656&lt;=90,"Expires soon","Active")))</f>
        <v/>
      </c>
      <c r="J656" s="72" t="n"/>
      <c r="K656" s="79">
        <f>IF(I656="","",IF(I656="Active",0,IF(I656="Expires soon",1,3)))</f>
        <v/>
      </c>
      <c r="L656" s="112">
        <f>IF(G656="","",IF(G656&lt;AsOf,"",G656))</f>
        <v/>
      </c>
      <c r="M656" s="79">
        <f>IF(L656="","",IF(L656&lt;=AsOf+AlertDays,2,IF(L656&lt;=AsOf+90,3,"")))</f>
        <v/>
      </c>
      <c r="N656" s="79">
        <f>IF(M656="","","Warranty expires in "&amp;H656&amp;" days: "&amp;B656&amp;IF(C656="",""," ("&amp;C656&amp;")")&amp;" — check for defects")</f>
        <v/>
      </c>
      <c r="P656" s="72" t="n"/>
      <c r="Q656" s="72" t="n"/>
      <c r="R656" s="89" t="n"/>
      <c r="S656" s="109" t="n"/>
      <c r="T656" s="126">
        <f>IF(OR(R656="",S656=""),"",DATE(YEAR(S656),MONTH(S656)+R656,DAY(S656)))</f>
        <v/>
      </c>
      <c r="U656" s="144">
        <f>IF(T656="","",T656-AsOf)</f>
        <v/>
      </c>
      <c r="V656" s="107">
        <f>IF(T656="",IF(P656="","","Enter last-done date"),IF(U656&lt;0,"Overdue",IF(U656&lt;=30,"Due soon","OK")))</f>
        <v/>
      </c>
      <c r="W656" s="79">
        <f>IF(T656="","",IF(U656&lt;0,2,IF(U656&lt;=30,1,0)))</f>
        <v/>
      </c>
      <c r="X656" s="112">
        <f>IF(T656="","",T656)</f>
        <v/>
      </c>
      <c r="Y656" s="79">
        <f>IF(X656="","",IF(X656&lt;=AsOf+AlertDays,2,IF(X656&lt;=AsOf+30,3,"")))</f>
        <v/>
      </c>
      <c r="Z656" s="79">
        <f>IF(Y656="","",IF(U656&lt;0,"Maintenance overdue: ","Maintenance due: ")&amp;P656)</f>
        <v/>
      </c>
    </row>
    <row r="657" ht="20" customHeight="1">
      <c r="B657" s="72" t="n"/>
      <c r="C657" s="72" t="n"/>
      <c r="D657" s="72" t="n"/>
      <c r="E657" s="109" t="n"/>
      <c r="F657" s="74" t="n"/>
      <c r="G657" s="126">
        <f>IF(OR(E657="",F657=""),"",DATE(YEAR(E657),MONTH(E657)+ROUND(F657*12,0),DAY(E657)))</f>
        <v/>
      </c>
      <c r="H657" s="144">
        <f>IF(G657="","",G657-AsOf)</f>
        <v/>
      </c>
      <c r="I657" s="107">
        <f>IF(G657="","",IF(H657&lt;0,"Expired",IF(H657&lt;=90,"Expires soon","Active")))</f>
        <v/>
      </c>
      <c r="J657" s="72" t="n"/>
      <c r="K657" s="79">
        <f>IF(I657="","",IF(I657="Active",0,IF(I657="Expires soon",1,3)))</f>
        <v/>
      </c>
      <c r="L657" s="112">
        <f>IF(G657="","",IF(G657&lt;AsOf,"",G657))</f>
        <v/>
      </c>
      <c r="M657" s="79">
        <f>IF(L657="","",IF(L657&lt;=AsOf+AlertDays,2,IF(L657&lt;=AsOf+90,3,"")))</f>
        <v/>
      </c>
      <c r="N657" s="79">
        <f>IF(M657="","","Warranty expires in "&amp;H657&amp;" days: "&amp;B657&amp;IF(C657="",""," ("&amp;C657&amp;")")&amp;" — check for defects")</f>
        <v/>
      </c>
      <c r="P657" s="72" t="n"/>
      <c r="Q657" s="72" t="n"/>
      <c r="R657" s="89" t="n"/>
      <c r="S657" s="109" t="n"/>
      <c r="T657" s="126">
        <f>IF(OR(R657="",S657=""),"",DATE(YEAR(S657),MONTH(S657)+R657,DAY(S657)))</f>
        <v/>
      </c>
      <c r="U657" s="144">
        <f>IF(T657="","",T657-AsOf)</f>
        <v/>
      </c>
      <c r="V657" s="107">
        <f>IF(T657="",IF(P657="","","Enter last-done date"),IF(U657&lt;0,"Overdue",IF(U657&lt;=30,"Due soon","OK")))</f>
        <v/>
      </c>
      <c r="W657" s="79">
        <f>IF(T657="","",IF(U657&lt;0,2,IF(U657&lt;=30,1,0)))</f>
        <v/>
      </c>
      <c r="X657" s="112">
        <f>IF(T657="","",T657)</f>
        <v/>
      </c>
      <c r="Y657" s="79">
        <f>IF(X657="","",IF(X657&lt;=AsOf+AlertDays,2,IF(X657&lt;=AsOf+30,3,"")))</f>
        <v/>
      </c>
      <c r="Z657" s="79">
        <f>IF(Y657="","",IF(U657&lt;0,"Maintenance overdue: ","Maintenance due: ")&amp;P657)</f>
        <v/>
      </c>
    </row>
    <row r="658" ht="20" customHeight="1">
      <c r="B658" s="72" t="n"/>
      <c r="C658" s="72" t="n"/>
      <c r="D658" s="72" t="n"/>
      <c r="E658" s="109" t="n"/>
      <c r="F658" s="74" t="n"/>
      <c r="G658" s="126">
        <f>IF(OR(E658="",F658=""),"",DATE(YEAR(E658),MONTH(E658)+ROUND(F658*12,0),DAY(E658)))</f>
        <v/>
      </c>
      <c r="H658" s="144">
        <f>IF(G658="","",G658-AsOf)</f>
        <v/>
      </c>
      <c r="I658" s="107">
        <f>IF(G658="","",IF(H658&lt;0,"Expired",IF(H658&lt;=90,"Expires soon","Active")))</f>
        <v/>
      </c>
      <c r="J658" s="72" t="n"/>
      <c r="K658" s="79">
        <f>IF(I658="","",IF(I658="Active",0,IF(I658="Expires soon",1,3)))</f>
        <v/>
      </c>
      <c r="L658" s="112">
        <f>IF(G658="","",IF(G658&lt;AsOf,"",G658))</f>
        <v/>
      </c>
      <c r="M658" s="79">
        <f>IF(L658="","",IF(L658&lt;=AsOf+AlertDays,2,IF(L658&lt;=AsOf+90,3,"")))</f>
        <v/>
      </c>
      <c r="N658" s="79">
        <f>IF(M658="","","Warranty expires in "&amp;H658&amp;" days: "&amp;B658&amp;IF(C658="",""," ("&amp;C658&amp;")")&amp;" — check for defects")</f>
        <v/>
      </c>
      <c r="P658" s="72" t="n"/>
      <c r="Q658" s="72" t="n"/>
      <c r="R658" s="89" t="n"/>
      <c r="S658" s="109" t="n"/>
      <c r="T658" s="126">
        <f>IF(OR(R658="",S658=""),"",DATE(YEAR(S658),MONTH(S658)+R658,DAY(S658)))</f>
        <v/>
      </c>
      <c r="U658" s="144">
        <f>IF(T658="","",T658-AsOf)</f>
        <v/>
      </c>
      <c r="V658" s="107">
        <f>IF(T658="",IF(P658="","","Enter last-done date"),IF(U658&lt;0,"Overdue",IF(U658&lt;=30,"Due soon","OK")))</f>
        <v/>
      </c>
      <c r="W658" s="79">
        <f>IF(T658="","",IF(U658&lt;0,2,IF(U658&lt;=30,1,0)))</f>
        <v/>
      </c>
      <c r="X658" s="112">
        <f>IF(T658="","",T658)</f>
        <v/>
      </c>
      <c r="Y658" s="79">
        <f>IF(X658="","",IF(X658&lt;=AsOf+AlertDays,2,IF(X658&lt;=AsOf+30,3,"")))</f>
        <v/>
      </c>
      <c r="Z658" s="79">
        <f>IF(Y658="","",IF(U658&lt;0,"Maintenance overdue: ","Maintenance due: ")&amp;P658)</f>
        <v/>
      </c>
    </row>
    <row r="659" ht="20" customHeight="1">
      <c r="B659" s="72" t="n"/>
      <c r="C659" s="72" t="n"/>
      <c r="D659" s="72" t="n"/>
      <c r="E659" s="109" t="n"/>
      <c r="F659" s="74" t="n"/>
      <c r="G659" s="126">
        <f>IF(OR(E659="",F659=""),"",DATE(YEAR(E659),MONTH(E659)+ROUND(F659*12,0),DAY(E659)))</f>
        <v/>
      </c>
      <c r="H659" s="144">
        <f>IF(G659="","",G659-AsOf)</f>
        <v/>
      </c>
      <c r="I659" s="107">
        <f>IF(G659="","",IF(H659&lt;0,"Expired",IF(H659&lt;=90,"Expires soon","Active")))</f>
        <v/>
      </c>
      <c r="J659" s="72" t="n"/>
      <c r="K659" s="79">
        <f>IF(I659="","",IF(I659="Active",0,IF(I659="Expires soon",1,3)))</f>
        <v/>
      </c>
      <c r="L659" s="112">
        <f>IF(G659="","",IF(G659&lt;AsOf,"",G659))</f>
        <v/>
      </c>
      <c r="M659" s="79">
        <f>IF(L659="","",IF(L659&lt;=AsOf+AlertDays,2,IF(L659&lt;=AsOf+90,3,"")))</f>
        <v/>
      </c>
      <c r="N659" s="79">
        <f>IF(M659="","","Warranty expires in "&amp;H659&amp;" days: "&amp;B659&amp;IF(C659="",""," ("&amp;C659&amp;")")&amp;" — check for defects")</f>
        <v/>
      </c>
      <c r="P659" s="72" t="n"/>
      <c r="Q659" s="72" t="n"/>
      <c r="R659" s="89" t="n"/>
      <c r="S659" s="109" t="n"/>
      <c r="T659" s="126">
        <f>IF(OR(R659="",S659=""),"",DATE(YEAR(S659),MONTH(S659)+R659,DAY(S659)))</f>
        <v/>
      </c>
      <c r="U659" s="144">
        <f>IF(T659="","",T659-AsOf)</f>
        <v/>
      </c>
      <c r="V659" s="107">
        <f>IF(T659="",IF(P659="","","Enter last-done date"),IF(U659&lt;0,"Overdue",IF(U659&lt;=30,"Due soon","OK")))</f>
        <v/>
      </c>
      <c r="W659" s="79">
        <f>IF(T659="","",IF(U659&lt;0,2,IF(U659&lt;=30,1,0)))</f>
        <v/>
      </c>
      <c r="X659" s="112">
        <f>IF(T659="","",T659)</f>
        <v/>
      </c>
      <c r="Y659" s="79">
        <f>IF(X659="","",IF(X659&lt;=AsOf+AlertDays,2,IF(X659&lt;=AsOf+30,3,"")))</f>
        <v/>
      </c>
      <c r="Z659" s="79">
        <f>IF(Y659="","",IF(U659&lt;0,"Maintenance overdue: ","Maintenance due: ")&amp;P659)</f>
        <v/>
      </c>
    </row>
    <row r="660" ht="20" customHeight="1">
      <c r="B660" s="72" t="n"/>
      <c r="C660" s="72" t="n"/>
      <c r="D660" s="72" t="n"/>
      <c r="E660" s="109" t="n"/>
      <c r="F660" s="74" t="n"/>
      <c r="G660" s="126">
        <f>IF(OR(E660="",F660=""),"",DATE(YEAR(E660),MONTH(E660)+ROUND(F660*12,0),DAY(E660)))</f>
        <v/>
      </c>
      <c r="H660" s="144">
        <f>IF(G660="","",G660-AsOf)</f>
        <v/>
      </c>
      <c r="I660" s="107">
        <f>IF(G660="","",IF(H660&lt;0,"Expired",IF(H660&lt;=90,"Expires soon","Active")))</f>
        <v/>
      </c>
      <c r="J660" s="72" t="n"/>
      <c r="K660" s="79">
        <f>IF(I660="","",IF(I660="Active",0,IF(I660="Expires soon",1,3)))</f>
        <v/>
      </c>
      <c r="L660" s="112">
        <f>IF(G660="","",IF(G660&lt;AsOf,"",G660))</f>
        <v/>
      </c>
      <c r="M660" s="79">
        <f>IF(L660="","",IF(L660&lt;=AsOf+AlertDays,2,IF(L660&lt;=AsOf+90,3,"")))</f>
        <v/>
      </c>
      <c r="N660" s="79">
        <f>IF(M660="","","Warranty expires in "&amp;H660&amp;" days: "&amp;B660&amp;IF(C660="",""," ("&amp;C660&amp;")")&amp;" — check for defects")</f>
        <v/>
      </c>
      <c r="P660" s="72" t="n"/>
      <c r="Q660" s="72" t="n"/>
      <c r="R660" s="89" t="n"/>
      <c r="S660" s="109" t="n"/>
      <c r="T660" s="126">
        <f>IF(OR(R660="",S660=""),"",DATE(YEAR(S660),MONTH(S660)+R660,DAY(S660)))</f>
        <v/>
      </c>
      <c r="U660" s="144">
        <f>IF(T660="","",T660-AsOf)</f>
        <v/>
      </c>
      <c r="V660" s="107">
        <f>IF(T660="",IF(P660="","","Enter last-done date"),IF(U660&lt;0,"Overdue",IF(U660&lt;=30,"Due soon","OK")))</f>
        <v/>
      </c>
      <c r="W660" s="79">
        <f>IF(T660="","",IF(U660&lt;0,2,IF(U660&lt;=30,1,0)))</f>
        <v/>
      </c>
      <c r="X660" s="112">
        <f>IF(T660="","",T660)</f>
        <v/>
      </c>
      <c r="Y660" s="79">
        <f>IF(X660="","",IF(X660&lt;=AsOf+AlertDays,2,IF(X660&lt;=AsOf+30,3,"")))</f>
        <v/>
      </c>
      <c r="Z660" s="79">
        <f>IF(Y660="","",IF(U660&lt;0,"Maintenance overdue: ","Maintenance due: ")&amp;P660)</f>
        <v/>
      </c>
    </row>
    <row r="661" ht="20" customHeight="1">
      <c r="B661" s="72" t="n"/>
      <c r="C661" s="72" t="n"/>
      <c r="D661" s="72" t="n"/>
      <c r="E661" s="109" t="n"/>
      <c r="F661" s="74" t="n"/>
      <c r="G661" s="126">
        <f>IF(OR(E661="",F661=""),"",DATE(YEAR(E661),MONTH(E661)+ROUND(F661*12,0),DAY(E661)))</f>
        <v/>
      </c>
      <c r="H661" s="144">
        <f>IF(G661="","",G661-AsOf)</f>
        <v/>
      </c>
      <c r="I661" s="107">
        <f>IF(G661="","",IF(H661&lt;0,"Expired",IF(H661&lt;=90,"Expires soon","Active")))</f>
        <v/>
      </c>
      <c r="J661" s="72" t="n"/>
      <c r="K661" s="79">
        <f>IF(I661="","",IF(I661="Active",0,IF(I661="Expires soon",1,3)))</f>
        <v/>
      </c>
      <c r="L661" s="112">
        <f>IF(G661="","",IF(G661&lt;AsOf,"",G661))</f>
        <v/>
      </c>
      <c r="M661" s="79">
        <f>IF(L661="","",IF(L661&lt;=AsOf+AlertDays,2,IF(L661&lt;=AsOf+90,3,"")))</f>
        <v/>
      </c>
      <c r="N661" s="79">
        <f>IF(M661="","","Warranty expires in "&amp;H661&amp;" days: "&amp;B661&amp;IF(C661="",""," ("&amp;C661&amp;")")&amp;" — check for defects")</f>
        <v/>
      </c>
      <c r="P661" s="72" t="n"/>
      <c r="Q661" s="72" t="n"/>
      <c r="R661" s="89" t="n"/>
      <c r="S661" s="109" t="n"/>
      <c r="T661" s="126">
        <f>IF(OR(R661="",S661=""),"",DATE(YEAR(S661),MONTH(S661)+R661,DAY(S661)))</f>
        <v/>
      </c>
      <c r="U661" s="144">
        <f>IF(T661="","",T661-AsOf)</f>
        <v/>
      </c>
      <c r="V661" s="107">
        <f>IF(T661="",IF(P661="","","Enter last-done date"),IF(U661&lt;0,"Overdue",IF(U661&lt;=30,"Due soon","OK")))</f>
        <v/>
      </c>
      <c r="W661" s="79">
        <f>IF(T661="","",IF(U661&lt;0,2,IF(U661&lt;=30,1,0)))</f>
        <v/>
      </c>
      <c r="X661" s="112">
        <f>IF(T661="","",T661)</f>
        <v/>
      </c>
      <c r="Y661" s="79">
        <f>IF(X661="","",IF(X661&lt;=AsOf+AlertDays,2,IF(X661&lt;=AsOf+30,3,"")))</f>
        <v/>
      </c>
      <c r="Z661" s="79">
        <f>IF(Y661="","",IF(U661&lt;0,"Maintenance overdue: ","Maintenance due: ")&amp;P661)</f>
        <v/>
      </c>
    </row>
    <row r="662" ht="20" customHeight="1">
      <c r="B662" s="72" t="n"/>
      <c r="C662" s="72" t="n"/>
      <c r="D662" s="72" t="n"/>
      <c r="E662" s="109" t="n"/>
      <c r="F662" s="74" t="n"/>
      <c r="G662" s="126">
        <f>IF(OR(E662="",F662=""),"",DATE(YEAR(E662),MONTH(E662)+ROUND(F662*12,0),DAY(E662)))</f>
        <v/>
      </c>
      <c r="H662" s="144">
        <f>IF(G662="","",G662-AsOf)</f>
        <v/>
      </c>
      <c r="I662" s="107">
        <f>IF(G662="","",IF(H662&lt;0,"Expired",IF(H662&lt;=90,"Expires soon","Active")))</f>
        <v/>
      </c>
      <c r="J662" s="72" t="n"/>
      <c r="K662" s="79">
        <f>IF(I662="","",IF(I662="Active",0,IF(I662="Expires soon",1,3)))</f>
        <v/>
      </c>
      <c r="L662" s="112">
        <f>IF(G662="","",IF(G662&lt;AsOf,"",G662))</f>
        <v/>
      </c>
      <c r="M662" s="79">
        <f>IF(L662="","",IF(L662&lt;=AsOf+AlertDays,2,IF(L662&lt;=AsOf+90,3,"")))</f>
        <v/>
      </c>
      <c r="N662" s="79">
        <f>IF(M662="","","Warranty expires in "&amp;H662&amp;" days: "&amp;B662&amp;IF(C662="",""," ("&amp;C662&amp;")")&amp;" — check for defects")</f>
        <v/>
      </c>
      <c r="P662" s="72" t="n"/>
      <c r="Q662" s="72" t="n"/>
      <c r="R662" s="89" t="n"/>
      <c r="S662" s="109" t="n"/>
      <c r="T662" s="126">
        <f>IF(OR(R662="",S662=""),"",DATE(YEAR(S662),MONTH(S662)+R662,DAY(S662)))</f>
        <v/>
      </c>
      <c r="U662" s="144">
        <f>IF(T662="","",T662-AsOf)</f>
        <v/>
      </c>
      <c r="V662" s="107">
        <f>IF(T662="",IF(P662="","","Enter last-done date"),IF(U662&lt;0,"Overdue",IF(U662&lt;=30,"Due soon","OK")))</f>
        <v/>
      </c>
      <c r="W662" s="79">
        <f>IF(T662="","",IF(U662&lt;0,2,IF(U662&lt;=30,1,0)))</f>
        <v/>
      </c>
      <c r="X662" s="112">
        <f>IF(T662="","",T662)</f>
        <v/>
      </c>
      <c r="Y662" s="79">
        <f>IF(X662="","",IF(X662&lt;=AsOf+AlertDays,2,IF(X662&lt;=AsOf+30,3,"")))</f>
        <v/>
      </c>
      <c r="Z662" s="79">
        <f>IF(Y662="","",IF(U662&lt;0,"Maintenance overdue: ","Maintenance due: ")&amp;P662)</f>
        <v/>
      </c>
    </row>
    <row r="663" ht="20" customHeight="1">
      <c r="B663" s="72" t="n"/>
      <c r="C663" s="72" t="n"/>
      <c r="D663" s="72" t="n"/>
      <c r="E663" s="109" t="n"/>
      <c r="F663" s="74" t="n"/>
      <c r="G663" s="126">
        <f>IF(OR(E663="",F663=""),"",DATE(YEAR(E663),MONTH(E663)+ROUND(F663*12,0),DAY(E663)))</f>
        <v/>
      </c>
      <c r="H663" s="144">
        <f>IF(G663="","",G663-AsOf)</f>
        <v/>
      </c>
      <c r="I663" s="107">
        <f>IF(G663="","",IF(H663&lt;0,"Expired",IF(H663&lt;=90,"Expires soon","Active")))</f>
        <v/>
      </c>
      <c r="J663" s="72" t="n"/>
      <c r="K663" s="79">
        <f>IF(I663="","",IF(I663="Active",0,IF(I663="Expires soon",1,3)))</f>
        <v/>
      </c>
      <c r="L663" s="112">
        <f>IF(G663="","",IF(G663&lt;AsOf,"",G663))</f>
        <v/>
      </c>
      <c r="M663" s="79">
        <f>IF(L663="","",IF(L663&lt;=AsOf+AlertDays,2,IF(L663&lt;=AsOf+90,3,"")))</f>
        <v/>
      </c>
      <c r="N663" s="79">
        <f>IF(M663="","","Warranty expires in "&amp;H663&amp;" days: "&amp;B663&amp;IF(C663="",""," ("&amp;C663&amp;")")&amp;" — check for defects")</f>
        <v/>
      </c>
      <c r="P663" s="72" t="n"/>
      <c r="Q663" s="72" t="n"/>
      <c r="R663" s="89" t="n"/>
      <c r="S663" s="109" t="n"/>
      <c r="T663" s="126">
        <f>IF(OR(R663="",S663=""),"",DATE(YEAR(S663),MONTH(S663)+R663,DAY(S663)))</f>
        <v/>
      </c>
      <c r="U663" s="144">
        <f>IF(T663="","",T663-AsOf)</f>
        <v/>
      </c>
      <c r="V663" s="107">
        <f>IF(T663="",IF(P663="","","Enter last-done date"),IF(U663&lt;0,"Overdue",IF(U663&lt;=30,"Due soon","OK")))</f>
        <v/>
      </c>
      <c r="W663" s="79">
        <f>IF(T663="","",IF(U663&lt;0,2,IF(U663&lt;=30,1,0)))</f>
        <v/>
      </c>
      <c r="X663" s="112">
        <f>IF(T663="","",T663)</f>
        <v/>
      </c>
      <c r="Y663" s="79">
        <f>IF(X663="","",IF(X663&lt;=AsOf+AlertDays,2,IF(X663&lt;=AsOf+30,3,"")))</f>
        <v/>
      </c>
      <c r="Z663" s="79">
        <f>IF(Y663="","",IF(U663&lt;0,"Maintenance overdue: ","Maintenance due: ")&amp;P663)</f>
        <v/>
      </c>
    </row>
    <row r="664" ht="20" customHeight="1">
      <c r="B664" s="72" t="n"/>
      <c r="C664" s="72" t="n"/>
      <c r="D664" s="72" t="n"/>
      <c r="E664" s="109" t="n"/>
      <c r="F664" s="74" t="n"/>
      <c r="G664" s="126">
        <f>IF(OR(E664="",F664=""),"",DATE(YEAR(E664),MONTH(E664)+ROUND(F664*12,0),DAY(E664)))</f>
        <v/>
      </c>
      <c r="H664" s="144">
        <f>IF(G664="","",G664-AsOf)</f>
        <v/>
      </c>
      <c r="I664" s="107">
        <f>IF(G664="","",IF(H664&lt;0,"Expired",IF(H664&lt;=90,"Expires soon","Active")))</f>
        <v/>
      </c>
      <c r="J664" s="72" t="n"/>
      <c r="K664" s="79">
        <f>IF(I664="","",IF(I664="Active",0,IF(I664="Expires soon",1,3)))</f>
        <v/>
      </c>
      <c r="L664" s="112">
        <f>IF(G664="","",IF(G664&lt;AsOf,"",G664))</f>
        <v/>
      </c>
      <c r="M664" s="79">
        <f>IF(L664="","",IF(L664&lt;=AsOf+AlertDays,2,IF(L664&lt;=AsOf+90,3,"")))</f>
        <v/>
      </c>
      <c r="N664" s="79">
        <f>IF(M664="","","Warranty expires in "&amp;H664&amp;" days: "&amp;B664&amp;IF(C664="",""," ("&amp;C664&amp;")")&amp;" — check for defects")</f>
        <v/>
      </c>
      <c r="P664" s="72" t="n"/>
      <c r="Q664" s="72" t="n"/>
      <c r="R664" s="89" t="n"/>
      <c r="S664" s="109" t="n"/>
      <c r="T664" s="126">
        <f>IF(OR(R664="",S664=""),"",DATE(YEAR(S664),MONTH(S664)+R664,DAY(S664)))</f>
        <v/>
      </c>
      <c r="U664" s="144">
        <f>IF(T664="","",T664-AsOf)</f>
        <v/>
      </c>
      <c r="V664" s="107">
        <f>IF(T664="",IF(P664="","","Enter last-done date"),IF(U664&lt;0,"Overdue",IF(U664&lt;=30,"Due soon","OK")))</f>
        <v/>
      </c>
      <c r="W664" s="79">
        <f>IF(T664="","",IF(U664&lt;0,2,IF(U664&lt;=30,1,0)))</f>
        <v/>
      </c>
      <c r="X664" s="112">
        <f>IF(T664="","",T664)</f>
        <v/>
      </c>
      <c r="Y664" s="79">
        <f>IF(X664="","",IF(X664&lt;=AsOf+AlertDays,2,IF(X664&lt;=AsOf+30,3,"")))</f>
        <v/>
      </c>
      <c r="Z664" s="79">
        <f>IF(Y664="","",IF(U664&lt;0,"Maintenance overdue: ","Maintenance due: ")&amp;P664)</f>
        <v/>
      </c>
    </row>
    <row r="665" ht="20" customHeight="1">
      <c r="B665" s="72" t="n"/>
      <c r="C665" s="72" t="n"/>
      <c r="D665" s="72" t="n"/>
      <c r="E665" s="109" t="n"/>
      <c r="F665" s="74" t="n"/>
      <c r="G665" s="126">
        <f>IF(OR(E665="",F665=""),"",DATE(YEAR(E665),MONTH(E665)+ROUND(F665*12,0),DAY(E665)))</f>
        <v/>
      </c>
      <c r="H665" s="144">
        <f>IF(G665="","",G665-AsOf)</f>
        <v/>
      </c>
      <c r="I665" s="107">
        <f>IF(G665="","",IF(H665&lt;0,"Expired",IF(H665&lt;=90,"Expires soon","Active")))</f>
        <v/>
      </c>
      <c r="J665" s="72" t="n"/>
      <c r="K665" s="79">
        <f>IF(I665="","",IF(I665="Active",0,IF(I665="Expires soon",1,3)))</f>
        <v/>
      </c>
      <c r="L665" s="112">
        <f>IF(G665="","",IF(G665&lt;AsOf,"",G665))</f>
        <v/>
      </c>
      <c r="M665" s="79">
        <f>IF(L665="","",IF(L665&lt;=AsOf+AlertDays,2,IF(L665&lt;=AsOf+90,3,"")))</f>
        <v/>
      </c>
      <c r="N665" s="79">
        <f>IF(M665="","","Warranty expires in "&amp;H665&amp;" days: "&amp;B665&amp;IF(C665="",""," ("&amp;C665&amp;")")&amp;" — check for defects")</f>
        <v/>
      </c>
      <c r="P665" s="72" t="n"/>
      <c r="Q665" s="72" t="n"/>
      <c r="R665" s="89" t="n"/>
      <c r="S665" s="109" t="n"/>
      <c r="T665" s="126">
        <f>IF(OR(R665="",S665=""),"",DATE(YEAR(S665),MONTH(S665)+R665,DAY(S665)))</f>
        <v/>
      </c>
      <c r="U665" s="144">
        <f>IF(T665="","",T665-AsOf)</f>
        <v/>
      </c>
      <c r="V665" s="107">
        <f>IF(T665="",IF(P665="","","Enter last-done date"),IF(U665&lt;0,"Overdue",IF(U665&lt;=30,"Due soon","OK")))</f>
        <v/>
      </c>
      <c r="W665" s="79">
        <f>IF(T665="","",IF(U665&lt;0,2,IF(U665&lt;=30,1,0)))</f>
        <v/>
      </c>
      <c r="X665" s="112">
        <f>IF(T665="","",T665)</f>
        <v/>
      </c>
      <c r="Y665" s="79">
        <f>IF(X665="","",IF(X665&lt;=AsOf+AlertDays,2,IF(X665&lt;=AsOf+30,3,"")))</f>
        <v/>
      </c>
      <c r="Z665" s="79">
        <f>IF(Y665="","",IF(U665&lt;0,"Maintenance overdue: ","Maintenance due: ")&amp;P665)</f>
        <v/>
      </c>
    </row>
    <row r="666" ht="20" customHeight="1">
      <c r="B666" s="72" t="n"/>
      <c r="C666" s="72" t="n"/>
      <c r="D666" s="72" t="n"/>
      <c r="E666" s="109" t="n"/>
      <c r="F666" s="74" t="n"/>
      <c r="G666" s="126">
        <f>IF(OR(E666="",F666=""),"",DATE(YEAR(E666),MONTH(E666)+ROUND(F666*12,0),DAY(E666)))</f>
        <v/>
      </c>
      <c r="H666" s="144">
        <f>IF(G666="","",G666-AsOf)</f>
        <v/>
      </c>
      <c r="I666" s="107">
        <f>IF(G666="","",IF(H666&lt;0,"Expired",IF(H666&lt;=90,"Expires soon","Active")))</f>
        <v/>
      </c>
      <c r="J666" s="72" t="n"/>
      <c r="K666" s="79">
        <f>IF(I666="","",IF(I666="Active",0,IF(I666="Expires soon",1,3)))</f>
        <v/>
      </c>
      <c r="L666" s="112">
        <f>IF(G666="","",IF(G666&lt;AsOf,"",G666))</f>
        <v/>
      </c>
      <c r="M666" s="79">
        <f>IF(L666="","",IF(L666&lt;=AsOf+AlertDays,2,IF(L666&lt;=AsOf+90,3,"")))</f>
        <v/>
      </c>
      <c r="N666" s="79">
        <f>IF(M666="","","Warranty expires in "&amp;H666&amp;" days: "&amp;B666&amp;IF(C666="",""," ("&amp;C666&amp;")")&amp;" — check for defects")</f>
        <v/>
      </c>
      <c r="P666" s="72" t="n"/>
      <c r="Q666" s="72" t="n"/>
      <c r="R666" s="89" t="n"/>
      <c r="S666" s="109" t="n"/>
      <c r="T666" s="126">
        <f>IF(OR(R666="",S666=""),"",DATE(YEAR(S666),MONTH(S666)+R666,DAY(S666)))</f>
        <v/>
      </c>
      <c r="U666" s="144">
        <f>IF(T666="","",T666-AsOf)</f>
        <v/>
      </c>
      <c r="V666" s="107">
        <f>IF(T666="",IF(P666="","","Enter last-done date"),IF(U666&lt;0,"Overdue",IF(U666&lt;=30,"Due soon","OK")))</f>
        <v/>
      </c>
      <c r="W666" s="79">
        <f>IF(T666="","",IF(U666&lt;0,2,IF(U666&lt;=30,1,0)))</f>
        <v/>
      </c>
      <c r="X666" s="112">
        <f>IF(T666="","",T666)</f>
        <v/>
      </c>
      <c r="Y666" s="79">
        <f>IF(X666="","",IF(X666&lt;=AsOf+AlertDays,2,IF(X666&lt;=AsOf+30,3,"")))</f>
        <v/>
      </c>
      <c r="Z666" s="79">
        <f>IF(Y666="","",IF(U666&lt;0,"Maintenance overdue: ","Maintenance due: ")&amp;P666)</f>
        <v/>
      </c>
    </row>
    <row r="667" ht="20" customHeight="1">
      <c r="B667" s="72" t="n"/>
      <c r="C667" s="72" t="n"/>
      <c r="D667" s="72" t="n"/>
      <c r="E667" s="109" t="n"/>
      <c r="F667" s="74" t="n"/>
      <c r="G667" s="126">
        <f>IF(OR(E667="",F667=""),"",DATE(YEAR(E667),MONTH(E667)+ROUND(F667*12,0),DAY(E667)))</f>
        <v/>
      </c>
      <c r="H667" s="144">
        <f>IF(G667="","",G667-AsOf)</f>
        <v/>
      </c>
      <c r="I667" s="107">
        <f>IF(G667="","",IF(H667&lt;0,"Expired",IF(H667&lt;=90,"Expires soon","Active")))</f>
        <v/>
      </c>
      <c r="J667" s="72" t="n"/>
      <c r="K667" s="79">
        <f>IF(I667="","",IF(I667="Active",0,IF(I667="Expires soon",1,3)))</f>
        <v/>
      </c>
      <c r="L667" s="112">
        <f>IF(G667="","",IF(G667&lt;AsOf,"",G667))</f>
        <v/>
      </c>
      <c r="M667" s="79">
        <f>IF(L667="","",IF(L667&lt;=AsOf+AlertDays,2,IF(L667&lt;=AsOf+90,3,"")))</f>
        <v/>
      </c>
      <c r="N667" s="79">
        <f>IF(M667="","","Warranty expires in "&amp;H667&amp;" days: "&amp;B667&amp;IF(C667="",""," ("&amp;C667&amp;")")&amp;" — check for defects")</f>
        <v/>
      </c>
      <c r="P667" s="72" t="n"/>
      <c r="Q667" s="72" t="n"/>
      <c r="R667" s="89" t="n"/>
      <c r="S667" s="109" t="n"/>
      <c r="T667" s="126">
        <f>IF(OR(R667="",S667=""),"",DATE(YEAR(S667),MONTH(S667)+R667,DAY(S667)))</f>
        <v/>
      </c>
      <c r="U667" s="144">
        <f>IF(T667="","",T667-AsOf)</f>
        <v/>
      </c>
      <c r="V667" s="107">
        <f>IF(T667="",IF(P667="","","Enter last-done date"),IF(U667&lt;0,"Overdue",IF(U667&lt;=30,"Due soon","OK")))</f>
        <v/>
      </c>
      <c r="W667" s="79">
        <f>IF(T667="","",IF(U667&lt;0,2,IF(U667&lt;=30,1,0)))</f>
        <v/>
      </c>
      <c r="X667" s="112">
        <f>IF(T667="","",T667)</f>
        <v/>
      </c>
      <c r="Y667" s="79">
        <f>IF(X667="","",IF(X667&lt;=AsOf+AlertDays,2,IF(X667&lt;=AsOf+30,3,"")))</f>
        <v/>
      </c>
      <c r="Z667" s="79">
        <f>IF(Y667="","",IF(U667&lt;0,"Maintenance overdue: ","Maintenance due: ")&amp;P667)</f>
        <v/>
      </c>
    </row>
    <row r="668" ht="20" customHeight="1">
      <c r="B668" s="72" t="n"/>
      <c r="C668" s="72" t="n"/>
      <c r="D668" s="72" t="n"/>
      <c r="E668" s="109" t="n"/>
      <c r="F668" s="74" t="n"/>
      <c r="G668" s="126">
        <f>IF(OR(E668="",F668=""),"",DATE(YEAR(E668),MONTH(E668)+ROUND(F668*12,0),DAY(E668)))</f>
        <v/>
      </c>
      <c r="H668" s="144">
        <f>IF(G668="","",G668-AsOf)</f>
        <v/>
      </c>
      <c r="I668" s="107">
        <f>IF(G668="","",IF(H668&lt;0,"Expired",IF(H668&lt;=90,"Expires soon","Active")))</f>
        <v/>
      </c>
      <c r="J668" s="72" t="n"/>
      <c r="K668" s="79">
        <f>IF(I668="","",IF(I668="Active",0,IF(I668="Expires soon",1,3)))</f>
        <v/>
      </c>
      <c r="L668" s="112">
        <f>IF(G668="","",IF(G668&lt;AsOf,"",G668))</f>
        <v/>
      </c>
      <c r="M668" s="79">
        <f>IF(L668="","",IF(L668&lt;=AsOf+AlertDays,2,IF(L668&lt;=AsOf+90,3,"")))</f>
        <v/>
      </c>
      <c r="N668" s="79">
        <f>IF(M668="","","Warranty expires in "&amp;H668&amp;" days: "&amp;B668&amp;IF(C668="",""," ("&amp;C668&amp;")")&amp;" — check for defects")</f>
        <v/>
      </c>
      <c r="P668" s="72" t="n"/>
      <c r="Q668" s="72" t="n"/>
      <c r="R668" s="89" t="n"/>
      <c r="S668" s="109" t="n"/>
      <c r="T668" s="126">
        <f>IF(OR(R668="",S668=""),"",DATE(YEAR(S668),MONTH(S668)+R668,DAY(S668)))</f>
        <v/>
      </c>
      <c r="U668" s="144">
        <f>IF(T668="","",T668-AsOf)</f>
        <v/>
      </c>
      <c r="V668" s="107">
        <f>IF(T668="",IF(P668="","","Enter last-done date"),IF(U668&lt;0,"Overdue",IF(U668&lt;=30,"Due soon","OK")))</f>
        <v/>
      </c>
      <c r="W668" s="79">
        <f>IF(T668="","",IF(U668&lt;0,2,IF(U668&lt;=30,1,0)))</f>
        <v/>
      </c>
      <c r="X668" s="112">
        <f>IF(T668="","",T668)</f>
        <v/>
      </c>
      <c r="Y668" s="79">
        <f>IF(X668="","",IF(X668&lt;=AsOf+AlertDays,2,IF(X668&lt;=AsOf+30,3,"")))</f>
        <v/>
      </c>
      <c r="Z668" s="79">
        <f>IF(Y668="","",IF(U668&lt;0,"Maintenance overdue: ","Maintenance due: ")&amp;P668)</f>
        <v/>
      </c>
    </row>
    <row r="669" ht="20" customHeight="1">
      <c r="B669" s="72" t="n"/>
      <c r="C669" s="72" t="n"/>
      <c r="D669" s="72" t="n"/>
      <c r="E669" s="109" t="n"/>
      <c r="F669" s="74" t="n"/>
      <c r="G669" s="126">
        <f>IF(OR(E669="",F669=""),"",DATE(YEAR(E669),MONTH(E669)+ROUND(F669*12,0),DAY(E669)))</f>
        <v/>
      </c>
      <c r="H669" s="144">
        <f>IF(G669="","",G669-AsOf)</f>
        <v/>
      </c>
      <c r="I669" s="107">
        <f>IF(G669="","",IF(H669&lt;0,"Expired",IF(H669&lt;=90,"Expires soon","Active")))</f>
        <v/>
      </c>
      <c r="J669" s="72" t="n"/>
      <c r="K669" s="79">
        <f>IF(I669="","",IF(I669="Active",0,IF(I669="Expires soon",1,3)))</f>
        <v/>
      </c>
      <c r="L669" s="112">
        <f>IF(G669="","",IF(G669&lt;AsOf,"",G669))</f>
        <v/>
      </c>
      <c r="M669" s="79">
        <f>IF(L669="","",IF(L669&lt;=AsOf+AlertDays,2,IF(L669&lt;=AsOf+90,3,"")))</f>
        <v/>
      </c>
      <c r="N669" s="79">
        <f>IF(M669="","","Warranty expires in "&amp;H669&amp;" days: "&amp;B669&amp;IF(C669="",""," ("&amp;C669&amp;")")&amp;" — check for defects")</f>
        <v/>
      </c>
      <c r="P669" s="72" t="n"/>
      <c r="Q669" s="72" t="n"/>
      <c r="R669" s="89" t="n"/>
      <c r="S669" s="109" t="n"/>
      <c r="T669" s="126">
        <f>IF(OR(R669="",S669=""),"",DATE(YEAR(S669),MONTH(S669)+R669,DAY(S669)))</f>
        <v/>
      </c>
      <c r="U669" s="144">
        <f>IF(T669="","",T669-AsOf)</f>
        <v/>
      </c>
      <c r="V669" s="107">
        <f>IF(T669="",IF(P669="","","Enter last-done date"),IF(U669&lt;0,"Overdue",IF(U669&lt;=30,"Due soon","OK")))</f>
        <v/>
      </c>
      <c r="W669" s="79">
        <f>IF(T669="","",IF(U669&lt;0,2,IF(U669&lt;=30,1,0)))</f>
        <v/>
      </c>
      <c r="X669" s="112">
        <f>IF(T669="","",T669)</f>
        <v/>
      </c>
      <c r="Y669" s="79">
        <f>IF(X669="","",IF(X669&lt;=AsOf+AlertDays,2,IF(X669&lt;=AsOf+30,3,"")))</f>
        <v/>
      </c>
      <c r="Z669" s="79">
        <f>IF(Y669="","",IF(U669&lt;0,"Maintenance overdue: ","Maintenance due: ")&amp;P669)</f>
        <v/>
      </c>
    </row>
    <row r="670" ht="20" customHeight="1">
      <c r="B670" s="72" t="n"/>
      <c r="C670" s="72" t="n"/>
      <c r="D670" s="72" t="n"/>
      <c r="E670" s="109" t="n"/>
      <c r="F670" s="74" t="n"/>
      <c r="G670" s="126">
        <f>IF(OR(E670="",F670=""),"",DATE(YEAR(E670),MONTH(E670)+ROUND(F670*12,0),DAY(E670)))</f>
        <v/>
      </c>
      <c r="H670" s="144">
        <f>IF(G670="","",G670-AsOf)</f>
        <v/>
      </c>
      <c r="I670" s="107">
        <f>IF(G670="","",IF(H670&lt;0,"Expired",IF(H670&lt;=90,"Expires soon","Active")))</f>
        <v/>
      </c>
      <c r="J670" s="72" t="n"/>
      <c r="K670" s="79">
        <f>IF(I670="","",IF(I670="Active",0,IF(I670="Expires soon",1,3)))</f>
        <v/>
      </c>
      <c r="L670" s="112">
        <f>IF(G670="","",IF(G670&lt;AsOf,"",G670))</f>
        <v/>
      </c>
      <c r="M670" s="79">
        <f>IF(L670="","",IF(L670&lt;=AsOf+AlertDays,2,IF(L670&lt;=AsOf+90,3,"")))</f>
        <v/>
      </c>
      <c r="N670" s="79">
        <f>IF(M670="","","Warranty expires in "&amp;H670&amp;" days: "&amp;B670&amp;IF(C670="",""," ("&amp;C670&amp;")")&amp;" — check for defects")</f>
        <v/>
      </c>
      <c r="P670" s="72" t="n"/>
      <c r="Q670" s="72" t="n"/>
      <c r="R670" s="89" t="n"/>
      <c r="S670" s="109" t="n"/>
      <c r="T670" s="126">
        <f>IF(OR(R670="",S670=""),"",DATE(YEAR(S670),MONTH(S670)+R670,DAY(S670)))</f>
        <v/>
      </c>
      <c r="U670" s="144">
        <f>IF(T670="","",T670-AsOf)</f>
        <v/>
      </c>
      <c r="V670" s="107">
        <f>IF(T670="",IF(P670="","","Enter last-done date"),IF(U670&lt;0,"Overdue",IF(U670&lt;=30,"Due soon","OK")))</f>
        <v/>
      </c>
      <c r="W670" s="79">
        <f>IF(T670="","",IF(U670&lt;0,2,IF(U670&lt;=30,1,0)))</f>
        <v/>
      </c>
      <c r="X670" s="112">
        <f>IF(T670="","",T670)</f>
        <v/>
      </c>
      <c r="Y670" s="79">
        <f>IF(X670="","",IF(X670&lt;=AsOf+AlertDays,2,IF(X670&lt;=AsOf+30,3,"")))</f>
        <v/>
      </c>
      <c r="Z670" s="79">
        <f>IF(Y670="","",IF(U670&lt;0,"Maintenance overdue: ","Maintenance due: ")&amp;P670)</f>
        <v/>
      </c>
    </row>
    <row r="671" ht="20" customHeight="1">
      <c r="B671" s="72" t="n"/>
      <c r="C671" s="72" t="n"/>
      <c r="D671" s="72" t="n"/>
      <c r="E671" s="109" t="n"/>
      <c r="F671" s="74" t="n"/>
      <c r="G671" s="126">
        <f>IF(OR(E671="",F671=""),"",DATE(YEAR(E671),MONTH(E671)+ROUND(F671*12,0),DAY(E671)))</f>
        <v/>
      </c>
      <c r="H671" s="144">
        <f>IF(G671="","",G671-AsOf)</f>
        <v/>
      </c>
      <c r="I671" s="107">
        <f>IF(G671="","",IF(H671&lt;0,"Expired",IF(H671&lt;=90,"Expires soon","Active")))</f>
        <v/>
      </c>
      <c r="J671" s="72" t="n"/>
      <c r="K671" s="79">
        <f>IF(I671="","",IF(I671="Active",0,IF(I671="Expires soon",1,3)))</f>
        <v/>
      </c>
      <c r="L671" s="112">
        <f>IF(G671="","",IF(G671&lt;AsOf,"",G671))</f>
        <v/>
      </c>
      <c r="M671" s="79">
        <f>IF(L671="","",IF(L671&lt;=AsOf+AlertDays,2,IF(L671&lt;=AsOf+90,3,"")))</f>
        <v/>
      </c>
      <c r="N671" s="79">
        <f>IF(M671="","","Warranty expires in "&amp;H671&amp;" days: "&amp;B671&amp;IF(C671="",""," ("&amp;C671&amp;")")&amp;" — check for defects")</f>
        <v/>
      </c>
      <c r="P671" s="72" t="n"/>
      <c r="Q671" s="72" t="n"/>
      <c r="R671" s="89" t="n"/>
      <c r="S671" s="109" t="n"/>
      <c r="T671" s="126">
        <f>IF(OR(R671="",S671=""),"",DATE(YEAR(S671),MONTH(S671)+R671,DAY(S671)))</f>
        <v/>
      </c>
      <c r="U671" s="144">
        <f>IF(T671="","",T671-AsOf)</f>
        <v/>
      </c>
      <c r="V671" s="107">
        <f>IF(T671="",IF(P671="","","Enter last-done date"),IF(U671&lt;0,"Overdue",IF(U671&lt;=30,"Due soon","OK")))</f>
        <v/>
      </c>
      <c r="W671" s="79">
        <f>IF(T671="","",IF(U671&lt;0,2,IF(U671&lt;=30,1,0)))</f>
        <v/>
      </c>
      <c r="X671" s="112">
        <f>IF(T671="","",T671)</f>
        <v/>
      </c>
      <c r="Y671" s="79">
        <f>IF(X671="","",IF(X671&lt;=AsOf+AlertDays,2,IF(X671&lt;=AsOf+30,3,"")))</f>
        <v/>
      </c>
      <c r="Z671" s="79">
        <f>IF(Y671="","",IF(U671&lt;0,"Maintenance overdue: ","Maintenance due: ")&amp;P671)</f>
        <v/>
      </c>
    </row>
    <row r="672" ht="20" customHeight="1">
      <c r="B672" s="72" t="n"/>
      <c r="C672" s="72" t="n"/>
      <c r="D672" s="72" t="n"/>
      <c r="E672" s="109" t="n"/>
      <c r="F672" s="74" t="n"/>
      <c r="G672" s="126">
        <f>IF(OR(E672="",F672=""),"",DATE(YEAR(E672),MONTH(E672)+ROUND(F672*12,0),DAY(E672)))</f>
        <v/>
      </c>
      <c r="H672" s="144">
        <f>IF(G672="","",G672-AsOf)</f>
        <v/>
      </c>
      <c r="I672" s="107">
        <f>IF(G672="","",IF(H672&lt;0,"Expired",IF(H672&lt;=90,"Expires soon","Active")))</f>
        <v/>
      </c>
      <c r="J672" s="72" t="n"/>
      <c r="K672" s="79">
        <f>IF(I672="","",IF(I672="Active",0,IF(I672="Expires soon",1,3)))</f>
        <v/>
      </c>
      <c r="L672" s="112">
        <f>IF(G672="","",IF(G672&lt;AsOf,"",G672))</f>
        <v/>
      </c>
      <c r="M672" s="79">
        <f>IF(L672="","",IF(L672&lt;=AsOf+AlertDays,2,IF(L672&lt;=AsOf+90,3,"")))</f>
        <v/>
      </c>
      <c r="N672" s="79">
        <f>IF(M672="","","Warranty expires in "&amp;H672&amp;" days: "&amp;B672&amp;IF(C672="",""," ("&amp;C672&amp;")")&amp;" — check for defects")</f>
        <v/>
      </c>
      <c r="P672" s="72" t="n"/>
      <c r="Q672" s="72" t="n"/>
      <c r="R672" s="89" t="n"/>
      <c r="S672" s="109" t="n"/>
      <c r="T672" s="126">
        <f>IF(OR(R672="",S672=""),"",DATE(YEAR(S672),MONTH(S672)+R672,DAY(S672)))</f>
        <v/>
      </c>
      <c r="U672" s="144">
        <f>IF(T672="","",T672-AsOf)</f>
        <v/>
      </c>
      <c r="V672" s="107">
        <f>IF(T672="",IF(P672="","","Enter last-done date"),IF(U672&lt;0,"Overdue",IF(U672&lt;=30,"Due soon","OK")))</f>
        <v/>
      </c>
      <c r="W672" s="79">
        <f>IF(T672="","",IF(U672&lt;0,2,IF(U672&lt;=30,1,0)))</f>
        <v/>
      </c>
      <c r="X672" s="112">
        <f>IF(T672="","",T672)</f>
        <v/>
      </c>
      <c r="Y672" s="79">
        <f>IF(X672="","",IF(X672&lt;=AsOf+AlertDays,2,IF(X672&lt;=AsOf+30,3,"")))</f>
        <v/>
      </c>
      <c r="Z672" s="79">
        <f>IF(Y672="","",IF(U672&lt;0,"Maintenance overdue: ","Maintenance due: ")&amp;P672)</f>
        <v/>
      </c>
    </row>
    <row r="673" ht="20" customHeight="1">
      <c r="B673" s="72" t="n"/>
      <c r="C673" s="72" t="n"/>
      <c r="D673" s="72" t="n"/>
      <c r="E673" s="109" t="n"/>
      <c r="F673" s="74" t="n"/>
      <c r="G673" s="126">
        <f>IF(OR(E673="",F673=""),"",DATE(YEAR(E673),MONTH(E673)+ROUND(F673*12,0),DAY(E673)))</f>
        <v/>
      </c>
      <c r="H673" s="144">
        <f>IF(G673="","",G673-AsOf)</f>
        <v/>
      </c>
      <c r="I673" s="107">
        <f>IF(G673="","",IF(H673&lt;0,"Expired",IF(H673&lt;=90,"Expires soon","Active")))</f>
        <v/>
      </c>
      <c r="J673" s="72" t="n"/>
      <c r="K673" s="79">
        <f>IF(I673="","",IF(I673="Active",0,IF(I673="Expires soon",1,3)))</f>
        <v/>
      </c>
      <c r="L673" s="112">
        <f>IF(G673="","",IF(G673&lt;AsOf,"",G673))</f>
        <v/>
      </c>
      <c r="M673" s="79">
        <f>IF(L673="","",IF(L673&lt;=AsOf+AlertDays,2,IF(L673&lt;=AsOf+90,3,"")))</f>
        <v/>
      </c>
      <c r="N673" s="79">
        <f>IF(M673="","","Warranty expires in "&amp;H673&amp;" days: "&amp;B673&amp;IF(C673="",""," ("&amp;C673&amp;")")&amp;" — check for defects")</f>
        <v/>
      </c>
      <c r="P673" s="72" t="n"/>
      <c r="Q673" s="72" t="n"/>
      <c r="R673" s="89" t="n"/>
      <c r="S673" s="109" t="n"/>
      <c r="T673" s="126">
        <f>IF(OR(R673="",S673=""),"",DATE(YEAR(S673),MONTH(S673)+R673,DAY(S673)))</f>
        <v/>
      </c>
      <c r="U673" s="144">
        <f>IF(T673="","",T673-AsOf)</f>
        <v/>
      </c>
      <c r="V673" s="107">
        <f>IF(T673="",IF(P673="","","Enter last-done date"),IF(U673&lt;0,"Overdue",IF(U673&lt;=30,"Due soon","OK")))</f>
        <v/>
      </c>
      <c r="W673" s="79">
        <f>IF(T673="","",IF(U673&lt;0,2,IF(U673&lt;=30,1,0)))</f>
        <v/>
      </c>
      <c r="X673" s="112">
        <f>IF(T673="","",T673)</f>
        <v/>
      </c>
      <c r="Y673" s="79">
        <f>IF(X673="","",IF(X673&lt;=AsOf+AlertDays,2,IF(X673&lt;=AsOf+30,3,"")))</f>
        <v/>
      </c>
      <c r="Z673" s="79">
        <f>IF(Y673="","",IF(U673&lt;0,"Maintenance overdue: ","Maintenance due: ")&amp;P673)</f>
        <v/>
      </c>
    </row>
    <row r="674" ht="20" customHeight="1">
      <c r="B674" s="72" t="n"/>
      <c r="C674" s="72" t="n"/>
      <c r="D674" s="72" t="n"/>
      <c r="E674" s="109" t="n"/>
      <c r="F674" s="74" t="n"/>
      <c r="G674" s="126">
        <f>IF(OR(E674="",F674=""),"",DATE(YEAR(E674),MONTH(E674)+ROUND(F674*12,0),DAY(E674)))</f>
        <v/>
      </c>
      <c r="H674" s="144">
        <f>IF(G674="","",G674-AsOf)</f>
        <v/>
      </c>
      <c r="I674" s="107">
        <f>IF(G674="","",IF(H674&lt;0,"Expired",IF(H674&lt;=90,"Expires soon","Active")))</f>
        <v/>
      </c>
      <c r="J674" s="72" t="n"/>
      <c r="K674" s="79">
        <f>IF(I674="","",IF(I674="Active",0,IF(I674="Expires soon",1,3)))</f>
        <v/>
      </c>
      <c r="L674" s="112">
        <f>IF(G674="","",IF(G674&lt;AsOf,"",G674))</f>
        <v/>
      </c>
      <c r="M674" s="79">
        <f>IF(L674="","",IF(L674&lt;=AsOf+AlertDays,2,IF(L674&lt;=AsOf+90,3,"")))</f>
        <v/>
      </c>
      <c r="N674" s="79">
        <f>IF(M674="","","Warranty expires in "&amp;H674&amp;" days: "&amp;B674&amp;IF(C674="",""," ("&amp;C674&amp;")")&amp;" — check for defects")</f>
        <v/>
      </c>
      <c r="P674" s="72" t="n"/>
      <c r="Q674" s="72" t="n"/>
      <c r="R674" s="89" t="n"/>
      <c r="S674" s="109" t="n"/>
      <c r="T674" s="126">
        <f>IF(OR(R674="",S674=""),"",DATE(YEAR(S674),MONTH(S674)+R674,DAY(S674)))</f>
        <v/>
      </c>
      <c r="U674" s="144">
        <f>IF(T674="","",T674-AsOf)</f>
        <v/>
      </c>
      <c r="V674" s="107">
        <f>IF(T674="",IF(P674="","","Enter last-done date"),IF(U674&lt;0,"Overdue",IF(U674&lt;=30,"Due soon","OK")))</f>
        <v/>
      </c>
      <c r="W674" s="79">
        <f>IF(T674="","",IF(U674&lt;0,2,IF(U674&lt;=30,1,0)))</f>
        <v/>
      </c>
      <c r="X674" s="112">
        <f>IF(T674="","",T674)</f>
        <v/>
      </c>
      <c r="Y674" s="79">
        <f>IF(X674="","",IF(X674&lt;=AsOf+AlertDays,2,IF(X674&lt;=AsOf+30,3,"")))</f>
        <v/>
      </c>
      <c r="Z674" s="79">
        <f>IF(Y674="","",IF(U674&lt;0,"Maintenance overdue: ","Maintenance due: ")&amp;P674)</f>
        <v/>
      </c>
    </row>
    <row r="675" ht="20" customHeight="1">
      <c r="B675" s="72" t="n"/>
      <c r="C675" s="72" t="n"/>
      <c r="D675" s="72" t="n"/>
      <c r="E675" s="109" t="n"/>
      <c r="F675" s="74" t="n"/>
      <c r="G675" s="126">
        <f>IF(OR(E675="",F675=""),"",DATE(YEAR(E675),MONTH(E675)+ROUND(F675*12,0),DAY(E675)))</f>
        <v/>
      </c>
      <c r="H675" s="144">
        <f>IF(G675="","",G675-AsOf)</f>
        <v/>
      </c>
      <c r="I675" s="107">
        <f>IF(G675="","",IF(H675&lt;0,"Expired",IF(H675&lt;=90,"Expires soon","Active")))</f>
        <v/>
      </c>
      <c r="J675" s="72" t="n"/>
      <c r="K675" s="79">
        <f>IF(I675="","",IF(I675="Active",0,IF(I675="Expires soon",1,3)))</f>
        <v/>
      </c>
      <c r="L675" s="112">
        <f>IF(G675="","",IF(G675&lt;AsOf,"",G675))</f>
        <v/>
      </c>
      <c r="M675" s="79">
        <f>IF(L675="","",IF(L675&lt;=AsOf+AlertDays,2,IF(L675&lt;=AsOf+90,3,"")))</f>
        <v/>
      </c>
      <c r="N675" s="79">
        <f>IF(M675="","","Warranty expires in "&amp;H675&amp;" days: "&amp;B675&amp;IF(C675="",""," ("&amp;C675&amp;")")&amp;" — check for defects")</f>
        <v/>
      </c>
      <c r="P675" s="72" t="n"/>
      <c r="Q675" s="72" t="n"/>
      <c r="R675" s="89" t="n"/>
      <c r="S675" s="109" t="n"/>
      <c r="T675" s="126">
        <f>IF(OR(R675="",S675=""),"",DATE(YEAR(S675),MONTH(S675)+R675,DAY(S675)))</f>
        <v/>
      </c>
      <c r="U675" s="144">
        <f>IF(T675="","",T675-AsOf)</f>
        <v/>
      </c>
      <c r="V675" s="107">
        <f>IF(T675="",IF(P675="","","Enter last-done date"),IF(U675&lt;0,"Overdue",IF(U675&lt;=30,"Due soon","OK")))</f>
        <v/>
      </c>
      <c r="W675" s="79">
        <f>IF(T675="","",IF(U675&lt;0,2,IF(U675&lt;=30,1,0)))</f>
        <v/>
      </c>
      <c r="X675" s="112">
        <f>IF(T675="","",T675)</f>
        <v/>
      </c>
      <c r="Y675" s="79">
        <f>IF(X675="","",IF(X675&lt;=AsOf+AlertDays,2,IF(X675&lt;=AsOf+30,3,"")))</f>
        <v/>
      </c>
      <c r="Z675" s="79">
        <f>IF(Y675="","",IF(U675&lt;0,"Maintenance overdue: ","Maintenance due: ")&amp;P675)</f>
        <v/>
      </c>
    </row>
    <row r="676" ht="20" customHeight="1">
      <c r="B676" s="72" t="n"/>
      <c r="C676" s="72" t="n"/>
      <c r="D676" s="72" t="n"/>
      <c r="E676" s="109" t="n"/>
      <c r="F676" s="74" t="n"/>
      <c r="G676" s="126">
        <f>IF(OR(E676="",F676=""),"",DATE(YEAR(E676),MONTH(E676)+ROUND(F676*12,0),DAY(E676)))</f>
        <v/>
      </c>
      <c r="H676" s="144">
        <f>IF(G676="","",G676-AsOf)</f>
        <v/>
      </c>
      <c r="I676" s="107">
        <f>IF(G676="","",IF(H676&lt;0,"Expired",IF(H676&lt;=90,"Expires soon","Active")))</f>
        <v/>
      </c>
      <c r="J676" s="72" t="n"/>
      <c r="K676" s="79">
        <f>IF(I676="","",IF(I676="Active",0,IF(I676="Expires soon",1,3)))</f>
        <v/>
      </c>
      <c r="L676" s="112">
        <f>IF(G676="","",IF(G676&lt;AsOf,"",G676))</f>
        <v/>
      </c>
      <c r="M676" s="79">
        <f>IF(L676="","",IF(L676&lt;=AsOf+AlertDays,2,IF(L676&lt;=AsOf+90,3,"")))</f>
        <v/>
      </c>
      <c r="N676" s="79">
        <f>IF(M676="","","Warranty expires in "&amp;H676&amp;" days: "&amp;B676&amp;IF(C676="",""," ("&amp;C676&amp;")")&amp;" — check for defects")</f>
        <v/>
      </c>
      <c r="P676" s="72" t="n"/>
      <c r="Q676" s="72" t="n"/>
      <c r="R676" s="89" t="n"/>
      <c r="S676" s="109" t="n"/>
      <c r="T676" s="126">
        <f>IF(OR(R676="",S676=""),"",DATE(YEAR(S676),MONTH(S676)+R676,DAY(S676)))</f>
        <v/>
      </c>
      <c r="U676" s="144">
        <f>IF(T676="","",T676-AsOf)</f>
        <v/>
      </c>
      <c r="V676" s="107">
        <f>IF(T676="",IF(P676="","","Enter last-done date"),IF(U676&lt;0,"Overdue",IF(U676&lt;=30,"Due soon","OK")))</f>
        <v/>
      </c>
      <c r="W676" s="79">
        <f>IF(T676="","",IF(U676&lt;0,2,IF(U676&lt;=30,1,0)))</f>
        <v/>
      </c>
      <c r="X676" s="112">
        <f>IF(T676="","",T676)</f>
        <v/>
      </c>
      <c r="Y676" s="79">
        <f>IF(X676="","",IF(X676&lt;=AsOf+AlertDays,2,IF(X676&lt;=AsOf+30,3,"")))</f>
        <v/>
      </c>
      <c r="Z676" s="79">
        <f>IF(Y676="","",IF(U676&lt;0,"Maintenance overdue: ","Maintenance due: ")&amp;P676)</f>
        <v/>
      </c>
    </row>
    <row r="677" ht="20" customHeight="1">
      <c r="B677" s="72" t="n"/>
      <c r="C677" s="72" t="n"/>
      <c r="D677" s="72" t="n"/>
      <c r="E677" s="109" t="n"/>
      <c r="F677" s="74" t="n"/>
      <c r="G677" s="126">
        <f>IF(OR(E677="",F677=""),"",DATE(YEAR(E677),MONTH(E677)+ROUND(F677*12,0),DAY(E677)))</f>
        <v/>
      </c>
      <c r="H677" s="144">
        <f>IF(G677="","",G677-AsOf)</f>
        <v/>
      </c>
      <c r="I677" s="107">
        <f>IF(G677="","",IF(H677&lt;0,"Expired",IF(H677&lt;=90,"Expires soon","Active")))</f>
        <v/>
      </c>
      <c r="J677" s="72" t="n"/>
      <c r="K677" s="79">
        <f>IF(I677="","",IF(I677="Active",0,IF(I677="Expires soon",1,3)))</f>
        <v/>
      </c>
      <c r="L677" s="112">
        <f>IF(G677="","",IF(G677&lt;AsOf,"",G677))</f>
        <v/>
      </c>
      <c r="M677" s="79">
        <f>IF(L677="","",IF(L677&lt;=AsOf+AlertDays,2,IF(L677&lt;=AsOf+90,3,"")))</f>
        <v/>
      </c>
      <c r="N677" s="79">
        <f>IF(M677="","","Warranty expires in "&amp;H677&amp;" days: "&amp;B677&amp;IF(C677="",""," ("&amp;C677&amp;")")&amp;" — check for defects")</f>
        <v/>
      </c>
      <c r="P677" s="72" t="n"/>
      <c r="Q677" s="72" t="n"/>
      <c r="R677" s="89" t="n"/>
      <c r="S677" s="109" t="n"/>
      <c r="T677" s="126">
        <f>IF(OR(R677="",S677=""),"",DATE(YEAR(S677),MONTH(S677)+R677,DAY(S677)))</f>
        <v/>
      </c>
      <c r="U677" s="144">
        <f>IF(T677="","",T677-AsOf)</f>
        <v/>
      </c>
      <c r="V677" s="107">
        <f>IF(T677="",IF(P677="","","Enter last-done date"),IF(U677&lt;0,"Overdue",IF(U677&lt;=30,"Due soon","OK")))</f>
        <v/>
      </c>
      <c r="W677" s="79">
        <f>IF(T677="","",IF(U677&lt;0,2,IF(U677&lt;=30,1,0)))</f>
        <v/>
      </c>
      <c r="X677" s="112">
        <f>IF(T677="","",T677)</f>
        <v/>
      </c>
      <c r="Y677" s="79">
        <f>IF(X677="","",IF(X677&lt;=AsOf+AlertDays,2,IF(X677&lt;=AsOf+30,3,"")))</f>
        <v/>
      </c>
      <c r="Z677" s="79">
        <f>IF(Y677="","",IF(U677&lt;0,"Maintenance overdue: ","Maintenance due: ")&amp;P677)</f>
        <v/>
      </c>
    </row>
    <row r="678" ht="20" customHeight="1">
      <c r="B678" s="72" t="n"/>
      <c r="C678" s="72" t="n"/>
      <c r="D678" s="72" t="n"/>
      <c r="E678" s="109" t="n"/>
      <c r="F678" s="74" t="n"/>
      <c r="G678" s="126">
        <f>IF(OR(E678="",F678=""),"",DATE(YEAR(E678),MONTH(E678)+ROUND(F678*12,0),DAY(E678)))</f>
        <v/>
      </c>
      <c r="H678" s="144">
        <f>IF(G678="","",G678-AsOf)</f>
        <v/>
      </c>
      <c r="I678" s="107">
        <f>IF(G678="","",IF(H678&lt;0,"Expired",IF(H678&lt;=90,"Expires soon","Active")))</f>
        <v/>
      </c>
      <c r="J678" s="72" t="n"/>
      <c r="K678" s="79">
        <f>IF(I678="","",IF(I678="Active",0,IF(I678="Expires soon",1,3)))</f>
        <v/>
      </c>
      <c r="L678" s="112">
        <f>IF(G678="","",IF(G678&lt;AsOf,"",G678))</f>
        <v/>
      </c>
      <c r="M678" s="79">
        <f>IF(L678="","",IF(L678&lt;=AsOf+AlertDays,2,IF(L678&lt;=AsOf+90,3,"")))</f>
        <v/>
      </c>
      <c r="N678" s="79">
        <f>IF(M678="","","Warranty expires in "&amp;H678&amp;" days: "&amp;B678&amp;IF(C678="",""," ("&amp;C678&amp;")")&amp;" — check for defects")</f>
        <v/>
      </c>
      <c r="P678" s="72" t="n"/>
      <c r="Q678" s="72" t="n"/>
      <c r="R678" s="89" t="n"/>
      <c r="S678" s="109" t="n"/>
      <c r="T678" s="126">
        <f>IF(OR(R678="",S678=""),"",DATE(YEAR(S678),MONTH(S678)+R678,DAY(S678)))</f>
        <v/>
      </c>
      <c r="U678" s="144">
        <f>IF(T678="","",T678-AsOf)</f>
        <v/>
      </c>
      <c r="V678" s="107">
        <f>IF(T678="",IF(P678="","","Enter last-done date"),IF(U678&lt;0,"Overdue",IF(U678&lt;=30,"Due soon","OK")))</f>
        <v/>
      </c>
      <c r="W678" s="79">
        <f>IF(T678="","",IF(U678&lt;0,2,IF(U678&lt;=30,1,0)))</f>
        <v/>
      </c>
      <c r="X678" s="112">
        <f>IF(T678="","",T678)</f>
        <v/>
      </c>
      <c r="Y678" s="79">
        <f>IF(X678="","",IF(X678&lt;=AsOf+AlertDays,2,IF(X678&lt;=AsOf+30,3,"")))</f>
        <v/>
      </c>
      <c r="Z678" s="79">
        <f>IF(Y678="","",IF(U678&lt;0,"Maintenance overdue: ","Maintenance due: ")&amp;P678)</f>
        <v/>
      </c>
    </row>
    <row r="679" ht="20" customHeight="1">
      <c r="B679" s="72" t="n"/>
      <c r="C679" s="72" t="n"/>
      <c r="D679" s="72" t="n"/>
      <c r="E679" s="109" t="n"/>
      <c r="F679" s="74" t="n"/>
      <c r="G679" s="126">
        <f>IF(OR(E679="",F679=""),"",DATE(YEAR(E679),MONTH(E679)+ROUND(F679*12,0),DAY(E679)))</f>
        <v/>
      </c>
      <c r="H679" s="144">
        <f>IF(G679="","",G679-AsOf)</f>
        <v/>
      </c>
      <c r="I679" s="107">
        <f>IF(G679="","",IF(H679&lt;0,"Expired",IF(H679&lt;=90,"Expires soon","Active")))</f>
        <v/>
      </c>
      <c r="J679" s="72" t="n"/>
      <c r="K679" s="79">
        <f>IF(I679="","",IF(I679="Active",0,IF(I679="Expires soon",1,3)))</f>
        <v/>
      </c>
      <c r="L679" s="112">
        <f>IF(G679="","",IF(G679&lt;AsOf,"",G679))</f>
        <v/>
      </c>
      <c r="M679" s="79">
        <f>IF(L679="","",IF(L679&lt;=AsOf+AlertDays,2,IF(L679&lt;=AsOf+90,3,"")))</f>
        <v/>
      </c>
      <c r="N679" s="79">
        <f>IF(M679="","","Warranty expires in "&amp;H679&amp;" days: "&amp;B679&amp;IF(C679="",""," ("&amp;C679&amp;")")&amp;" — check for defects")</f>
        <v/>
      </c>
      <c r="P679" s="72" t="n"/>
      <c r="Q679" s="72" t="n"/>
      <c r="R679" s="89" t="n"/>
      <c r="S679" s="109" t="n"/>
      <c r="T679" s="126">
        <f>IF(OR(R679="",S679=""),"",DATE(YEAR(S679),MONTH(S679)+R679,DAY(S679)))</f>
        <v/>
      </c>
      <c r="U679" s="144">
        <f>IF(T679="","",T679-AsOf)</f>
        <v/>
      </c>
      <c r="V679" s="107">
        <f>IF(T679="",IF(P679="","","Enter last-done date"),IF(U679&lt;0,"Overdue",IF(U679&lt;=30,"Due soon","OK")))</f>
        <v/>
      </c>
      <c r="W679" s="79">
        <f>IF(T679="","",IF(U679&lt;0,2,IF(U679&lt;=30,1,0)))</f>
        <v/>
      </c>
      <c r="X679" s="112">
        <f>IF(T679="","",T679)</f>
        <v/>
      </c>
      <c r="Y679" s="79">
        <f>IF(X679="","",IF(X679&lt;=AsOf+AlertDays,2,IF(X679&lt;=AsOf+30,3,"")))</f>
        <v/>
      </c>
      <c r="Z679" s="79">
        <f>IF(Y679="","",IF(U679&lt;0,"Maintenance overdue: ","Maintenance due: ")&amp;P679)</f>
        <v/>
      </c>
    </row>
    <row r="680" ht="20" customHeight="1">
      <c r="B680" s="72" t="n"/>
      <c r="C680" s="72" t="n"/>
      <c r="D680" s="72" t="n"/>
      <c r="E680" s="109" t="n"/>
      <c r="F680" s="74" t="n"/>
      <c r="G680" s="126">
        <f>IF(OR(E680="",F680=""),"",DATE(YEAR(E680),MONTH(E680)+ROUND(F680*12,0),DAY(E680)))</f>
        <v/>
      </c>
      <c r="H680" s="144">
        <f>IF(G680="","",G680-AsOf)</f>
        <v/>
      </c>
      <c r="I680" s="107">
        <f>IF(G680="","",IF(H680&lt;0,"Expired",IF(H680&lt;=90,"Expires soon","Active")))</f>
        <v/>
      </c>
      <c r="J680" s="72" t="n"/>
      <c r="K680" s="79">
        <f>IF(I680="","",IF(I680="Active",0,IF(I680="Expires soon",1,3)))</f>
        <v/>
      </c>
      <c r="L680" s="112">
        <f>IF(G680="","",IF(G680&lt;AsOf,"",G680))</f>
        <v/>
      </c>
      <c r="M680" s="79">
        <f>IF(L680="","",IF(L680&lt;=AsOf+AlertDays,2,IF(L680&lt;=AsOf+90,3,"")))</f>
        <v/>
      </c>
      <c r="N680" s="79">
        <f>IF(M680="","","Warranty expires in "&amp;H680&amp;" days: "&amp;B680&amp;IF(C680="",""," ("&amp;C680&amp;")")&amp;" — check for defects")</f>
        <v/>
      </c>
      <c r="P680" s="72" t="n"/>
      <c r="Q680" s="72" t="n"/>
      <c r="R680" s="89" t="n"/>
      <c r="S680" s="109" t="n"/>
      <c r="T680" s="126">
        <f>IF(OR(R680="",S680=""),"",DATE(YEAR(S680),MONTH(S680)+R680,DAY(S680)))</f>
        <v/>
      </c>
      <c r="U680" s="144">
        <f>IF(T680="","",T680-AsOf)</f>
        <v/>
      </c>
      <c r="V680" s="107">
        <f>IF(T680="",IF(P680="","","Enter last-done date"),IF(U680&lt;0,"Overdue",IF(U680&lt;=30,"Due soon","OK")))</f>
        <v/>
      </c>
      <c r="W680" s="79">
        <f>IF(T680="","",IF(U680&lt;0,2,IF(U680&lt;=30,1,0)))</f>
        <v/>
      </c>
      <c r="X680" s="112">
        <f>IF(T680="","",T680)</f>
        <v/>
      </c>
      <c r="Y680" s="79">
        <f>IF(X680="","",IF(X680&lt;=AsOf+AlertDays,2,IF(X680&lt;=AsOf+30,3,"")))</f>
        <v/>
      </c>
      <c r="Z680" s="79">
        <f>IF(Y680="","",IF(U680&lt;0,"Maintenance overdue: ","Maintenance due: ")&amp;P680)</f>
        <v/>
      </c>
    </row>
    <row r="681" ht="20" customHeight="1">
      <c r="B681" s="72" t="n"/>
      <c r="C681" s="72" t="n"/>
      <c r="D681" s="72" t="n"/>
      <c r="E681" s="109" t="n"/>
      <c r="F681" s="74" t="n"/>
      <c r="G681" s="126">
        <f>IF(OR(E681="",F681=""),"",DATE(YEAR(E681),MONTH(E681)+ROUND(F681*12,0),DAY(E681)))</f>
        <v/>
      </c>
      <c r="H681" s="144">
        <f>IF(G681="","",G681-AsOf)</f>
        <v/>
      </c>
      <c r="I681" s="107">
        <f>IF(G681="","",IF(H681&lt;0,"Expired",IF(H681&lt;=90,"Expires soon","Active")))</f>
        <v/>
      </c>
      <c r="J681" s="72" t="n"/>
      <c r="K681" s="79">
        <f>IF(I681="","",IF(I681="Active",0,IF(I681="Expires soon",1,3)))</f>
        <v/>
      </c>
      <c r="L681" s="112">
        <f>IF(G681="","",IF(G681&lt;AsOf,"",G681))</f>
        <v/>
      </c>
      <c r="M681" s="79">
        <f>IF(L681="","",IF(L681&lt;=AsOf+AlertDays,2,IF(L681&lt;=AsOf+90,3,"")))</f>
        <v/>
      </c>
      <c r="N681" s="79">
        <f>IF(M681="","","Warranty expires in "&amp;H681&amp;" days: "&amp;B681&amp;IF(C681="",""," ("&amp;C681&amp;")")&amp;" — check for defects")</f>
        <v/>
      </c>
      <c r="P681" s="72" t="n"/>
      <c r="Q681" s="72" t="n"/>
      <c r="R681" s="89" t="n"/>
      <c r="S681" s="109" t="n"/>
      <c r="T681" s="126">
        <f>IF(OR(R681="",S681=""),"",DATE(YEAR(S681),MONTH(S681)+R681,DAY(S681)))</f>
        <v/>
      </c>
      <c r="U681" s="144">
        <f>IF(T681="","",T681-AsOf)</f>
        <v/>
      </c>
      <c r="V681" s="107">
        <f>IF(T681="",IF(P681="","","Enter last-done date"),IF(U681&lt;0,"Overdue",IF(U681&lt;=30,"Due soon","OK")))</f>
        <v/>
      </c>
      <c r="W681" s="79">
        <f>IF(T681="","",IF(U681&lt;0,2,IF(U681&lt;=30,1,0)))</f>
        <v/>
      </c>
      <c r="X681" s="112">
        <f>IF(T681="","",T681)</f>
        <v/>
      </c>
      <c r="Y681" s="79">
        <f>IF(X681="","",IF(X681&lt;=AsOf+AlertDays,2,IF(X681&lt;=AsOf+30,3,"")))</f>
        <v/>
      </c>
      <c r="Z681" s="79">
        <f>IF(Y681="","",IF(U681&lt;0,"Maintenance overdue: ","Maintenance due: ")&amp;P681)</f>
        <v/>
      </c>
    </row>
    <row r="682" ht="20" customHeight="1">
      <c r="B682" s="72" t="n"/>
      <c r="C682" s="72" t="n"/>
      <c r="D682" s="72" t="n"/>
      <c r="E682" s="109" t="n"/>
      <c r="F682" s="74" t="n"/>
      <c r="G682" s="126">
        <f>IF(OR(E682="",F682=""),"",DATE(YEAR(E682),MONTH(E682)+ROUND(F682*12,0),DAY(E682)))</f>
        <v/>
      </c>
      <c r="H682" s="144">
        <f>IF(G682="","",G682-AsOf)</f>
        <v/>
      </c>
      <c r="I682" s="107">
        <f>IF(G682="","",IF(H682&lt;0,"Expired",IF(H682&lt;=90,"Expires soon","Active")))</f>
        <v/>
      </c>
      <c r="J682" s="72" t="n"/>
      <c r="K682" s="79">
        <f>IF(I682="","",IF(I682="Active",0,IF(I682="Expires soon",1,3)))</f>
        <v/>
      </c>
      <c r="L682" s="112">
        <f>IF(G682="","",IF(G682&lt;AsOf,"",G682))</f>
        <v/>
      </c>
      <c r="M682" s="79">
        <f>IF(L682="","",IF(L682&lt;=AsOf+AlertDays,2,IF(L682&lt;=AsOf+90,3,"")))</f>
        <v/>
      </c>
      <c r="N682" s="79">
        <f>IF(M682="","","Warranty expires in "&amp;H682&amp;" days: "&amp;B682&amp;IF(C682="",""," ("&amp;C682&amp;")")&amp;" — check for defects")</f>
        <v/>
      </c>
      <c r="P682" s="72" t="n"/>
      <c r="Q682" s="72" t="n"/>
      <c r="R682" s="89" t="n"/>
      <c r="S682" s="109" t="n"/>
      <c r="T682" s="126">
        <f>IF(OR(R682="",S682=""),"",DATE(YEAR(S682),MONTH(S682)+R682,DAY(S682)))</f>
        <v/>
      </c>
      <c r="U682" s="144">
        <f>IF(T682="","",T682-AsOf)</f>
        <v/>
      </c>
      <c r="V682" s="107">
        <f>IF(T682="",IF(P682="","","Enter last-done date"),IF(U682&lt;0,"Overdue",IF(U682&lt;=30,"Due soon","OK")))</f>
        <v/>
      </c>
      <c r="W682" s="79">
        <f>IF(T682="","",IF(U682&lt;0,2,IF(U682&lt;=30,1,0)))</f>
        <v/>
      </c>
      <c r="X682" s="112">
        <f>IF(T682="","",T682)</f>
        <v/>
      </c>
      <c r="Y682" s="79">
        <f>IF(X682="","",IF(X682&lt;=AsOf+AlertDays,2,IF(X682&lt;=AsOf+30,3,"")))</f>
        <v/>
      </c>
      <c r="Z682" s="79">
        <f>IF(Y682="","",IF(U682&lt;0,"Maintenance overdue: ","Maintenance due: ")&amp;P682)</f>
        <v/>
      </c>
    </row>
    <row r="683" ht="20" customHeight="1">
      <c r="B683" s="72" t="n"/>
      <c r="C683" s="72" t="n"/>
      <c r="D683" s="72" t="n"/>
      <c r="E683" s="109" t="n"/>
      <c r="F683" s="74" t="n"/>
      <c r="G683" s="126">
        <f>IF(OR(E683="",F683=""),"",DATE(YEAR(E683),MONTH(E683)+ROUND(F683*12,0),DAY(E683)))</f>
        <v/>
      </c>
      <c r="H683" s="144">
        <f>IF(G683="","",G683-AsOf)</f>
        <v/>
      </c>
      <c r="I683" s="107">
        <f>IF(G683="","",IF(H683&lt;0,"Expired",IF(H683&lt;=90,"Expires soon","Active")))</f>
        <v/>
      </c>
      <c r="J683" s="72" t="n"/>
      <c r="K683" s="79">
        <f>IF(I683="","",IF(I683="Active",0,IF(I683="Expires soon",1,3)))</f>
        <v/>
      </c>
      <c r="L683" s="112">
        <f>IF(G683="","",IF(G683&lt;AsOf,"",G683))</f>
        <v/>
      </c>
      <c r="M683" s="79">
        <f>IF(L683="","",IF(L683&lt;=AsOf+AlertDays,2,IF(L683&lt;=AsOf+90,3,"")))</f>
        <v/>
      </c>
      <c r="N683" s="79">
        <f>IF(M683="","","Warranty expires in "&amp;H683&amp;" days: "&amp;B683&amp;IF(C683="",""," ("&amp;C683&amp;")")&amp;" — check for defects")</f>
        <v/>
      </c>
      <c r="P683" s="72" t="n"/>
      <c r="Q683" s="72" t="n"/>
      <c r="R683" s="89" t="n"/>
      <c r="S683" s="109" t="n"/>
      <c r="T683" s="126">
        <f>IF(OR(R683="",S683=""),"",DATE(YEAR(S683),MONTH(S683)+R683,DAY(S683)))</f>
        <v/>
      </c>
      <c r="U683" s="144">
        <f>IF(T683="","",T683-AsOf)</f>
        <v/>
      </c>
      <c r="V683" s="107">
        <f>IF(T683="",IF(P683="","","Enter last-done date"),IF(U683&lt;0,"Overdue",IF(U683&lt;=30,"Due soon","OK")))</f>
        <v/>
      </c>
      <c r="W683" s="79">
        <f>IF(T683="","",IF(U683&lt;0,2,IF(U683&lt;=30,1,0)))</f>
        <v/>
      </c>
      <c r="X683" s="112">
        <f>IF(T683="","",T683)</f>
        <v/>
      </c>
      <c r="Y683" s="79">
        <f>IF(X683="","",IF(X683&lt;=AsOf+AlertDays,2,IF(X683&lt;=AsOf+30,3,"")))</f>
        <v/>
      </c>
      <c r="Z683" s="79">
        <f>IF(Y683="","",IF(U683&lt;0,"Maintenance overdue: ","Maintenance due: ")&amp;P683)</f>
        <v/>
      </c>
    </row>
    <row r="684" ht="20" customHeight="1">
      <c r="B684" s="72" t="n"/>
      <c r="C684" s="72" t="n"/>
      <c r="D684" s="72" t="n"/>
      <c r="E684" s="109" t="n"/>
      <c r="F684" s="74" t="n"/>
      <c r="G684" s="126">
        <f>IF(OR(E684="",F684=""),"",DATE(YEAR(E684),MONTH(E684)+ROUND(F684*12,0),DAY(E684)))</f>
        <v/>
      </c>
      <c r="H684" s="144">
        <f>IF(G684="","",G684-AsOf)</f>
        <v/>
      </c>
      <c r="I684" s="107">
        <f>IF(G684="","",IF(H684&lt;0,"Expired",IF(H684&lt;=90,"Expires soon","Active")))</f>
        <v/>
      </c>
      <c r="J684" s="72" t="n"/>
      <c r="K684" s="79">
        <f>IF(I684="","",IF(I684="Active",0,IF(I684="Expires soon",1,3)))</f>
        <v/>
      </c>
      <c r="L684" s="112">
        <f>IF(G684="","",IF(G684&lt;AsOf,"",G684))</f>
        <v/>
      </c>
      <c r="M684" s="79">
        <f>IF(L684="","",IF(L684&lt;=AsOf+AlertDays,2,IF(L684&lt;=AsOf+90,3,"")))</f>
        <v/>
      </c>
      <c r="N684" s="79">
        <f>IF(M684="","","Warranty expires in "&amp;H684&amp;" days: "&amp;B684&amp;IF(C684="",""," ("&amp;C684&amp;")")&amp;" — check for defects")</f>
        <v/>
      </c>
      <c r="P684" s="72" t="n"/>
      <c r="Q684" s="72" t="n"/>
      <c r="R684" s="89" t="n"/>
      <c r="S684" s="109" t="n"/>
      <c r="T684" s="126">
        <f>IF(OR(R684="",S684=""),"",DATE(YEAR(S684),MONTH(S684)+R684,DAY(S684)))</f>
        <v/>
      </c>
      <c r="U684" s="144">
        <f>IF(T684="","",T684-AsOf)</f>
        <v/>
      </c>
      <c r="V684" s="107">
        <f>IF(T684="",IF(P684="","","Enter last-done date"),IF(U684&lt;0,"Overdue",IF(U684&lt;=30,"Due soon","OK")))</f>
        <v/>
      </c>
      <c r="W684" s="79">
        <f>IF(T684="","",IF(U684&lt;0,2,IF(U684&lt;=30,1,0)))</f>
        <v/>
      </c>
      <c r="X684" s="112">
        <f>IF(T684="","",T684)</f>
        <v/>
      </c>
      <c r="Y684" s="79">
        <f>IF(X684="","",IF(X684&lt;=AsOf+AlertDays,2,IF(X684&lt;=AsOf+30,3,"")))</f>
        <v/>
      </c>
      <c r="Z684" s="79">
        <f>IF(Y684="","",IF(U684&lt;0,"Maintenance overdue: ","Maintenance due: ")&amp;P684)</f>
        <v/>
      </c>
    </row>
    <row r="685" ht="20" customHeight="1">
      <c r="B685" s="72" t="n"/>
      <c r="C685" s="72" t="n"/>
      <c r="D685" s="72" t="n"/>
      <c r="E685" s="109" t="n"/>
      <c r="F685" s="74" t="n"/>
      <c r="G685" s="126">
        <f>IF(OR(E685="",F685=""),"",DATE(YEAR(E685),MONTH(E685)+ROUND(F685*12,0),DAY(E685)))</f>
        <v/>
      </c>
      <c r="H685" s="144">
        <f>IF(G685="","",G685-AsOf)</f>
        <v/>
      </c>
      <c r="I685" s="107">
        <f>IF(G685="","",IF(H685&lt;0,"Expired",IF(H685&lt;=90,"Expires soon","Active")))</f>
        <v/>
      </c>
      <c r="J685" s="72" t="n"/>
      <c r="K685" s="79">
        <f>IF(I685="","",IF(I685="Active",0,IF(I685="Expires soon",1,3)))</f>
        <v/>
      </c>
      <c r="L685" s="112">
        <f>IF(G685="","",IF(G685&lt;AsOf,"",G685))</f>
        <v/>
      </c>
      <c r="M685" s="79">
        <f>IF(L685="","",IF(L685&lt;=AsOf+AlertDays,2,IF(L685&lt;=AsOf+90,3,"")))</f>
        <v/>
      </c>
      <c r="N685" s="79">
        <f>IF(M685="","","Warranty expires in "&amp;H685&amp;" days: "&amp;B685&amp;IF(C685="",""," ("&amp;C685&amp;")")&amp;" — check for defects")</f>
        <v/>
      </c>
      <c r="P685" s="72" t="n"/>
      <c r="Q685" s="72" t="n"/>
      <c r="R685" s="89" t="n"/>
      <c r="S685" s="109" t="n"/>
      <c r="T685" s="126">
        <f>IF(OR(R685="",S685=""),"",DATE(YEAR(S685),MONTH(S685)+R685,DAY(S685)))</f>
        <v/>
      </c>
      <c r="U685" s="144">
        <f>IF(T685="","",T685-AsOf)</f>
        <v/>
      </c>
      <c r="V685" s="107">
        <f>IF(T685="",IF(P685="","","Enter last-done date"),IF(U685&lt;0,"Overdue",IF(U685&lt;=30,"Due soon","OK")))</f>
        <v/>
      </c>
      <c r="W685" s="79">
        <f>IF(T685="","",IF(U685&lt;0,2,IF(U685&lt;=30,1,0)))</f>
        <v/>
      </c>
      <c r="X685" s="112">
        <f>IF(T685="","",T685)</f>
        <v/>
      </c>
      <c r="Y685" s="79">
        <f>IF(X685="","",IF(X685&lt;=AsOf+AlertDays,2,IF(X685&lt;=AsOf+30,3,"")))</f>
        <v/>
      </c>
      <c r="Z685" s="79">
        <f>IF(Y685="","",IF(U685&lt;0,"Maintenance overdue: ","Maintenance due: ")&amp;P685)</f>
        <v/>
      </c>
    </row>
    <row r="686" ht="20" customHeight="1">
      <c r="B686" s="72" t="n"/>
      <c r="C686" s="72" t="n"/>
      <c r="D686" s="72" t="n"/>
      <c r="E686" s="109" t="n"/>
      <c r="F686" s="74" t="n"/>
      <c r="G686" s="126">
        <f>IF(OR(E686="",F686=""),"",DATE(YEAR(E686),MONTH(E686)+ROUND(F686*12,0),DAY(E686)))</f>
        <v/>
      </c>
      <c r="H686" s="144">
        <f>IF(G686="","",G686-AsOf)</f>
        <v/>
      </c>
      <c r="I686" s="107">
        <f>IF(G686="","",IF(H686&lt;0,"Expired",IF(H686&lt;=90,"Expires soon","Active")))</f>
        <v/>
      </c>
      <c r="J686" s="72" t="n"/>
      <c r="K686" s="79">
        <f>IF(I686="","",IF(I686="Active",0,IF(I686="Expires soon",1,3)))</f>
        <v/>
      </c>
      <c r="L686" s="112">
        <f>IF(G686="","",IF(G686&lt;AsOf,"",G686))</f>
        <v/>
      </c>
      <c r="M686" s="79">
        <f>IF(L686="","",IF(L686&lt;=AsOf+AlertDays,2,IF(L686&lt;=AsOf+90,3,"")))</f>
        <v/>
      </c>
      <c r="N686" s="79">
        <f>IF(M686="","","Warranty expires in "&amp;H686&amp;" days: "&amp;B686&amp;IF(C686="",""," ("&amp;C686&amp;")")&amp;" — check for defects")</f>
        <v/>
      </c>
      <c r="P686" s="72" t="n"/>
      <c r="Q686" s="72" t="n"/>
      <c r="R686" s="89" t="n"/>
      <c r="S686" s="109" t="n"/>
      <c r="T686" s="126">
        <f>IF(OR(R686="",S686=""),"",DATE(YEAR(S686),MONTH(S686)+R686,DAY(S686)))</f>
        <v/>
      </c>
      <c r="U686" s="144">
        <f>IF(T686="","",T686-AsOf)</f>
        <v/>
      </c>
      <c r="V686" s="107">
        <f>IF(T686="",IF(P686="","","Enter last-done date"),IF(U686&lt;0,"Overdue",IF(U686&lt;=30,"Due soon","OK")))</f>
        <v/>
      </c>
      <c r="W686" s="79">
        <f>IF(T686="","",IF(U686&lt;0,2,IF(U686&lt;=30,1,0)))</f>
        <v/>
      </c>
      <c r="X686" s="112">
        <f>IF(T686="","",T686)</f>
        <v/>
      </c>
      <c r="Y686" s="79">
        <f>IF(X686="","",IF(X686&lt;=AsOf+AlertDays,2,IF(X686&lt;=AsOf+30,3,"")))</f>
        <v/>
      </c>
      <c r="Z686" s="79">
        <f>IF(Y686="","",IF(U686&lt;0,"Maintenance overdue: ","Maintenance due: ")&amp;P686)</f>
        <v/>
      </c>
    </row>
    <row r="687" ht="20" customHeight="1">
      <c r="B687" s="72" t="n"/>
      <c r="C687" s="72" t="n"/>
      <c r="D687" s="72" t="n"/>
      <c r="E687" s="109" t="n"/>
      <c r="F687" s="74" t="n"/>
      <c r="G687" s="126">
        <f>IF(OR(E687="",F687=""),"",DATE(YEAR(E687),MONTH(E687)+ROUND(F687*12,0),DAY(E687)))</f>
        <v/>
      </c>
      <c r="H687" s="144">
        <f>IF(G687="","",G687-AsOf)</f>
        <v/>
      </c>
      <c r="I687" s="107">
        <f>IF(G687="","",IF(H687&lt;0,"Expired",IF(H687&lt;=90,"Expires soon","Active")))</f>
        <v/>
      </c>
      <c r="J687" s="72" t="n"/>
      <c r="K687" s="79">
        <f>IF(I687="","",IF(I687="Active",0,IF(I687="Expires soon",1,3)))</f>
        <v/>
      </c>
      <c r="L687" s="112">
        <f>IF(G687="","",IF(G687&lt;AsOf,"",G687))</f>
        <v/>
      </c>
      <c r="M687" s="79">
        <f>IF(L687="","",IF(L687&lt;=AsOf+AlertDays,2,IF(L687&lt;=AsOf+90,3,"")))</f>
        <v/>
      </c>
      <c r="N687" s="79">
        <f>IF(M687="","","Warranty expires in "&amp;H687&amp;" days: "&amp;B687&amp;IF(C687="",""," ("&amp;C687&amp;")")&amp;" — check for defects")</f>
        <v/>
      </c>
      <c r="P687" s="72" t="n"/>
      <c r="Q687" s="72" t="n"/>
      <c r="R687" s="89" t="n"/>
      <c r="S687" s="109" t="n"/>
      <c r="T687" s="126">
        <f>IF(OR(R687="",S687=""),"",DATE(YEAR(S687),MONTH(S687)+R687,DAY(S687)))</f>
        <v/>
      </c>
      <c r="U687" s="144">
        <f>IF(T687="","",T687-AsOf)</f>
        <v/>
      </c>
      <c r="V687" s="107">
        <f>IF(T687="",IF(P687="","","Enter last-done date"),IF(U687&lt;0,"Overdue",IF(U687&lt;=30,"Due soon","OK")))</f>
        <v/>
      </c>
      <c r="W687" s="79">
        <f>IF(T687="","",IF(U687&lt;0,2,IF(U687&lt;=30,1,0)))</f>
        <v/>
      </c>
      <c r="X687" s="112">
        <f>IF(T687="","",T687)</f>
        <v/>
      </c>
      <c r="Y687" s="79">
        <f>IF(X687="","",IF(X687&lt;=AsOf+AlertDays,2,IF(X687&lt;=AsOf+30,3,"")))</f>
        <v/>
      </c>
      <c r="Z687" s="79">
        <f>IF(Y687="","",IF(U687&lt;0,"Maintenance overdue: ","Maintenance due: ")&amp;P687)</f>
        <v/>
      </c>
    </row>
    <row r="688" ht="20" customHeight="1">
      <c r="B688" s="72" t="n"/>
      <c r="C688" s="72" t="n"/>
      <c r="D688" s="72" t="n"/>
      <c r="E688" s="109" t="n"/>
      <c r="F688" s="74" t="n"/>
      <c r="G688" s="126">
        <f>IF(OR(E688="",F688=""),"",DATE(YEAR(E688),MONTH(E688)+ROUND(F688*12,0),DAY(E688)))</f>
        <v/>
      </c>
      <c r="H688" s="144">
        <f>IF(G688="","",G688-AsOf)</f>
        <v/>
      </c>
      <c r="I688" s="107">
        <f>IF(G688="","",IF(H688&lt;0,"Expired",IF(H688&lt;=90,"Expires soon","Active")))</f>
        <v/>
      </c>
      <c r="J688" s="72" t="n"/>
      <c r="K688" s="79">
        <f>IF(I688="","",IF(I688="Active",0,IF(I688="Expires soon",1,3)))</f>
        <v/>
      </c>
      <c r="L688" s="112">
        <f>IF(G688="","",IF(G688&lt;AsOf,"",G688))</f>
        <v/>
      </c>
      <c r="M688" s="79">
        <f>IF(L688="","",IF(L688&lt;=AsOf+AlertDays,2,IF(L688&lt;=AsOf+90,3,"")))</f>
        <v/>
      </c>
      <c r="N688" s="79">
        <f>IF(M688="","","Warranty expires in "&amp;H688&amp;" days: "&amp;B688&amp;IF(C688="",""," ("&amp;C688&amp;")")&amp;" — check for defects")</f>
        <v/>
      </c>
      <c r="P688" s="72" t="n"/>
      <c r="Q688" s="72" t="n"/>
      <c r="R688" s="89" t="n"/>
      <c r="S688" s="109" t="n"/>
      <c r="T688" s="126">
        <f>IF(OR(R688="",S688=""),"",DATE(YEAR(S688),MONTH(S688)+R688,DAY(S688)))</f>
        <v/>
      </c>
      <c r="U688" s="144">
        <f>IF(T688="","",T688-AsOf)</f>
        <v/>
      </c>
      <c r="V688" s="107">
        <f>IF(T688="",IF(P688="","","Enter last-done date"),IF(U688&lt;0,"Overdue",IF(U688&lt;=30,"Due soon","OK")))</f>
        <v/>
      </c>
      <c r="W688" s="79">
        <f>IF(T688="","",IF(U688&lt;0,2,IF(U688&lt;=30,1,0)))</f>
        <v/>
      </c>
      <c r="X688" s="112">
        <f>IF(T688="","",T688)</f>
        <v/>
      </c>
      <c r="Y688" s="79">
        <f>IF(X688="","",IF(X688&lt;=AsOf+AlertDays,2,IF(X688&lt;=AsOf+30,3,"")))</f>
        <v/>
      </c>
      <c r="Z688" s="79">
        <f>IF(Y688="","",IF(U688&lt;0,"Maintenance overdue: ","Maintenance due: ")&amp;P688)</f>
        <v/>
      </c>
    </row>
    <row r="689" ht="20" customHeight="1">
      <c r="B689" s="72" t="n"/>
      <c r="C689" s="72" t="n"/>
      <c r="D689" s="72" t="n"/>
      <c r="E689" s="109" t="n"/>
      <c r="F689" s="74" t="n"/>
      <c r="G689" s="126">
        <f>IF(OR(E689="",F689=""),"",DATE(YEAR(E689),MONTH(E689)+ROUND(F689*12,0),DAY(E689)))</f>
        <v/>
      </c>
      <c r="H689" s="144">
        <f>IF(G689="","",G689-AsOf)</f>
        <v/>
      </c>
      <c r="I689" s="107">
        <f>IF(G689="","",IF(H689&lt;0,"Expired",IF(H689&lt;=90,"Expires soon","Active")))</f>
        <v/>
      </c>
      <c r="J689" s="72" t="n"/>
      <c r="K689" s="79">
        <f>IF(I689="","",IF(I689="Active",0,IF(I689="Expires soon",1,3)))</f>
        <v/>
      </c>
      <c r="L689" s="112">
        <f>IF(G689="","",IF(G689&lt;AsOf,"",G689))</f>
        <v/>
      </c>
      <c r="M689" s="79">
        <f>IF(L689="","",IF(L689&lt;=AsOf+AlertDays,2,IF(L689&lt;=AsOf+90,3,"")))</f>
        <v/>
      </c>
      <c r="N689" s="79">
        <f>IF(M689="","","Warranty expires in "&amp;H689&amp;" days: "&amp;B689&amp;IF(C689="",""," ("&amp;C689&amp;")")&amp;" — check for defects")</f>
        <v/>
      </c>
      <c r="P689" s="72" t="n"/>
      <c r="Q689" s="72" t="n"/>
      <c r="R689" s="89" t="n"/>
      <c r="S689" s="109" t="n"/>
      <c r="T689" s="126">
        <f>IF(OR(R689="",S689=""),"",DATE(YEAR(S689),MONTH(S689)+R689,DAY(S689)))</f>
        <v/>
      </c>
      <c r="U689" s="144">
        <f>IF(T689="","",T689-AsOf)</f>
        <v/>
      </c>
      <c r="V689" s="107">
        <f>IF(T689="",IF(P689="","","Enter last-done date"),IF(U689&lt;0,"Overdue",IF(U689&lt;=30,"Due soon","OK")))</f>
        <v/>
      </c>
      <c r="W689" s="79">
        <f>IF(T689="","",IF(U689&lt;0,2,IF(U689&lt;=30,1,0)))</f>
        <v/>
      </c>
      <c r="X689" s="112">
        <f>IF(T689="","",T689)</f>
        <v/>
      </c>
      <c r="Y689" s="79">
        <f>IF(X689="","",IF(X689&lt;=AsOf+AlertDays,2,IF(X689&lt;=AsOf+30,3,"")))</f>
        <v/>
      </c>
      <c r="Z689" s="79">
        <f>IF(Y689="","",IF(U689&lt;0,"Maintenance overdue: ","Maintenance due: ")&amp;P689)</f>
        <v/>
      </c>
    </row>
    <row r="690" ht="20" customHeight="1">
      <c r="B690" s="72" t="n"/>
      <c r="C690" s="72" t="n"/>
      <c r="D690" s="72" t="n"/>
      <c r="E690" s="109" t="n"/>
      <c r="F690" s="74" t="n"/>
      <c r="G690" s="126">
        <f>IF(OR(E690="",F690=""),"",DATE(YEAR(E690),MONTH(E690)+ROUND(F690*12,0),DAY(E690)))</f>
        <v/>
      </c>
      <c r="H690" s="144">
        <f>IF(G690="","",G690-AsOf)</f>
        <v/>
      </c>
      <c r="I690" s="107">
        <f>IF(G690="","",IF(H690&lt;0,"Expired",IF(H690&lt;=90,"Expires soon","Active")))</f>
        <v/>
      </c>
      <c r="J690" s="72" t="n"/>
      <c r="K690" s="79">
        <f>IF(I690="","",IF(I690="Active",0,IF(I690="Expires soon",1,3)))</f>
        <v/>
      </c>
      <c r="L690" s="112">
        <f>IF(G690="","",IF(G690&lt;AsOf,"",G690))</f>
        <v/>
      </c>
      <c r="M690" s="79">
        <f>IF(L690="","",IF(L690&lt;=AsOf+AlertDays,2,IF(L690&lt;=AsOf+90,3,"")))</f>
        <v/>
      </c>
      <c r="N690" s="79">
        <f>IF(M690="","","Warranty expires in "&amp;H690&amp;" days: "&amp;B690&amp;IF(C690="",""," ("&amp;C690&amp;")")&amp;" — check for defects")</f>
        <v/>
      </c>
      <c r="P690" s="72" t="n"/>
      <c r="Q690" s="72" t="n"/>
      <c r="R690" s="89" t="n"/>
      <c r="S690" s="109" t="n"/>
      <c r="T690" s="126">
        <f>IF(OR(R690="",S690=""),"",DATE(YEAR(S690),MONTH(S690)+R690,DAY(S690)))</f>
        <v/>
      </c>
      <c r="U690" s="144">
        <f>IF(T690="","",T690-AsOf)</f>
        <v/>
      </c>
      <c r="V690" s="107">
        <f>IF(T690="",IF(P690="","","Enter last-done date"),IF(U690&lt;0,"Overdue",IF(U690&lt;=30,"Due soon","OK")))</f>
        <v/>
      </c>
      <c r="W690" s="79">
        <f>IF(T690="","",IF(U690&lt;0,2,IF(U690&lt;=30,1,0)))</f>
        <v/>
      </c>
      <c r="X690" s="112">
        <f>IF(T690="","",T690)</f>
        <v/>
      </c>
      <c r="Y690" s="79">
        <f>IF(X690="","",IF(X690&lt;=AsOf+AlertDays,2,IF(X690&lt;=AsOf+30,3,"")))</f>
        <v/>
      </c>
      <c r="Z690" s="79">
        <f>IF(Y690="","",IF(U690&lt;0,"Maintenance overdue: ","Maintenance due: ")&amp;P690)</f>
        <v/>
      </c>
    </row>
    <row r="691" ht="20" customHeight="1">
      <c r="B691" s="72" t="n"/>
      <c r="C691" s="72" t="n"/>
      <c r="D691" s="72" t="n"/>
      <c r="E691" s="109" t="n"/>
      <c r="F691" s="74" t="n"/>
      <c r="G691" s="126">
        <f>IF(OR(E691="",F691=""),"",DATE(YEAR(E691),MONTH(E691)+ROUND(F691*12,0),DAY(E691)))</f>
        <v/>
      </c>
      <c r="H691" s="144">
        <f>IF(G691="","",G691-AsOf)</f>
        <v/>
      </c>
      <c r="I691" s="107">
        <f>IF(G691="","",IF(H691&lt;0,"Expired",IF(H691&lt;=90,"Expires soon","Active")))</f>
        <v/>
      </c>
      <c r="J691" s="72" t="n"/>
      <c r="K691" s="79">
        <f>IF(I691="","",IF(I691="Active",0,IF(I691="Expires soon",1,3)))</f>
        <v/>
      </c>
      <c r="L691" s="112">
        <f>IF(G691="","",IF(G691&lt;AsOf,"",G691))</f>
        <v/>
      </c>
      <c r="M691" s="79">
        <f>IF(L691="","",IF(L691&lt;=AsOf+AlertDays,2,IF(L691&lt;=AsOf+90,3,"")))</f>
        <v/>
      </c>
      <c r="N691" s="79">
        <f>IF(M691="","","Warranty expires in "&amp;H691&amp;" days: "&amp;B691&amp;IF(C691="",""," ("&amp;C691&amp;")")&amp;" — check for defects")</f>
        <v/>
      </c>
      <c r="P691" s="72" t="n"/>
      <c r="Q691" s="72" t="n"/>
      <c r="R691" s="89" t="n"/>
      <c r="S691" s="109" t="n"/>
      <c r="T691" s="126">
        <f>IF(OR(R691="",S691=""),"",DATE(YEAR(S691),MONTH(S691)+R691,DAY(S691)))</f>
        <v/>
      </c>
      <c r="U691" s="144">
        <f>IF(T691="","",T691-AsOf)</f>
        <v/>
      </c>
      <c r="V691" s="107">
        <f>IF(T691="",IF(P691="","","Enter last-done date"),IF(U691&lt;0,"Overdue",IF(U691&lt;=30,"Due soon","OK")))</f>
        <v/>
      </c>
      <c r="W691" s="79">
        <f>IF(T691="","",IF(U691&lt;0,2,IF(U691&lt;=30,1,0)))</f>
        <v/>
      </c>
      <c r="X691" s="112">
        <f>IF(T691="","",T691)</f>
        <v/>
      </c>
      <c r="Y691" s="79">
        <f>IF(X691="","",IF(X691&lt;=AsOf+AlertDays,2,IF(X691&lt;=AsOf+30,3,"")))</f>
        <v/>
      </c>
      <c r="Z691" s="79">
        <f>IF(Y691="","",IF(U691&lt;0,"Maintenance overdue: ","Maintenance due: ")&amp;P691)</f>
        <v/>
      </c>
    </row>
    <row r="692" ht="20" customHeight="1">
      <c r="B692" s="72" t="n"/>
      <c r="C692" s="72" t="n"/>
      <c r="D692" s="72" t="n"/>
      <c r="E692" s="109" t="n"/>
      <c r="F692" s="74" t="n"/>
      <c r="G692" s="126">
        <f>IF(OR(E692="",F692=""),"",DATE(YEAR(E692),MONTH(E692)+ROUND(F692*12,0),DAY(E692)))</f>
        <v/>
      </c>
      <c r="H692" s="144">
        <f>IF(G692="","",G692-AsOf)</f>
        <v/>
      </c>
      <c r="I692" s="107">
        <f>IF(G692="","",IF(H692&lt;0,"Expired",IF(H692&lt;=90,"Expires soon","Active")))</f>
        <v/>
      </c>
      <c r="J692" s="72" t="n"/>
      <c r="K692" s="79">
        <f>IF(I692="","",IF(I692="Active",0,IF(I692="Expires soon",1,3)))</f>
        <v/>
      </c>
      <c r="L692" s="112">
        <f>IF(G692="","",IF(G692&lt;AsOf,"",G692))</f>
        <v/>
      </c>
      <c r="M692" s="79">
        <f>IF(L692="","",IF(L692&lt;=AsOf+AlertDays,2,IF(L692&lt;=AsOf+90,3,"")))</f>
        <v/>
      </c>
      <c r="N692" s="79">
        <f>IF(M692="","","Warranty expires in "&amp;H692&amp;" days: "&amp;B692&amp;IF(C692="",""," ("&amp;C692&amp;")")&amp;" — check for defects")</f>
        <v/>
      </c>
      <c r="P692" s="72" t="n"/>
      <c r="Q692" s="72" t="n"/>
      <c r="R692" s="89" t="n"/>
      <c r="S692" s="109" t="n"/>
      <c r="T692" s="126">
        <f>IF(OR(R692="",S692=""),"",DATE(YEAR(S692),MONTH(S692)+R692,DAY(S692)))</f>
        <v/>
      </c>
      <c r="U692" s="144">
        <f>IF(T692="","",T692-AsOf)</f>
        <v/>
      </c>
      <c r="V692" s="107">
        <f>IF(T692="",IF(P692="","","Enter last-done date"),IF(U692&lt;0,"Overdue",IF(U692&lt;=30,"Due soon","OK")))</f>
        <v/>
      </c>
      <c r="W692" s="79">
        <f>IF(T692="","",IF(U692&lt;0,2,IF(U692&lt;=30,1,0)))</f>
        <v/>
      </c>
      <c r="X692" s="112">
        <f>IF(T692="","",T692)</f>
        <v/>
      </c>
      <c r="Y692" s="79">
        <f>IF(X692="","",IF(X692&lt;=AsOf+AlertDays,2,IF(X692&lt;=AsOf+30,3,"")))</f>
        <v/>
      </c>
      <c r="Z692" s="79">
        <f>IF(Y692="","",IF(U692&lt;0,"Maintenance overdue: ","Maintenance due: ")&amp;P692)</f>
        <v/>
      </c>
    </row>
    <row r="693" ht="20" customHeight="1">
      <c r="B693" s="72" t="n"/>
      <c r="C693" s="72" t="n"/>
      <c r="D693" s="72" t="n"/>
      <c r="E693" s="109" t="n"/>
      <c r="F693" s="74" t="n"/>
      <c r="G693" s="126">
        <f>IF(OR(E693="",F693=""),"",DATE(YEAR(E693),MONTH(E693)+ROUND(F693*12,0),DAY(E693)))</f>
        <v/>
      </c>
      <c r="H693" s="144">
        <f>IF(G693="","",G693-AsOf)</f>
        <v/>
      </c>
      <c r="I693" s="107">
        <f>IF(G693="","",IF(H693&lt;0,"Expired",IF(H693&lt;=90,"Expires soon","Active")))</f>
        <v/>
      </c>
      <c r="J693" s="72" t="n"/>
      <c r="K693" s="79">
        <f>IF(I693="","",IF(I693="Active",0,IF(I693="Expires soon",1,3)))</f>
        <v/>
      </c>
      <c r="L693" s="112">
        <f>IF(G693="","",IF(G693&lt;AsOf,"",G693))</f>
        <v/>
      </c>
      <c r="M693" s="79">
        <f>IF(L693="","",IF(L693&lt;=AsOf+AlertDays,2,IF(L693&lt;=AsOf+90,3,"")))</f>
        <v/>
      </c>
      <c r="N693" s="79">
        <f>IF(M693="","","Warranty expires in "&amp;H693&amp;" days: "&amp;B693&amp;IF(C693="",""," ("&amp;C693&amp;")")&amp;" — check for defects")</f>
        <v/>
      </c>
      <c r="P693" s="72" t="n"/>
      <c r="Q693" s="72" t="n"/>
      <c r="R693" s="89" t="n"/>
      <c r="S693" s="109" t="n"/>
      <c r="T693" s="126">
        <f>IF(OR(R693="",S693=""),"",DATE(YEAR(S693),MONTH(S693)+R693,DAY(S693)))</f>
        <v/>
      </c>
      <c r="U693" s="144">
        <f>IF(T693="","",T693-AsOf)</f>
        <v/>
      </c>
      <c r="V693" s="107">
        <f>IF(T693="",IF(P693="","","Enter last-done date"),IF(U693&lt;0,"Overdue",IF(U693&lt;=30,"Due soon","OK")))</f>
        <v/>
      </c>
      <c r="W693" s="79">
        <f>IF(T693="","",IF(U693&lt;0,2,IF(U693&lt;=30,1,0)))</f>
        <v/>
      </c>
      <c r="X693" s="112">
        <f>IF(T693="","",T693)</f>
        <v/>
      </c>
      <c r="Y693" s="79">
        <f>IF(X693="","",IF(X693&lt;=AsOf+AlertDays,2,IF(X693&lt;=AsOf+30,3,"")))</f>
        <v/>
      </c>
      <c r="Z693" s="79">
        <f>IF(Y693="","",IF(U693&lt;0,"Maintenance overdue: ","Maintenance due: ")&amp;P693)</f>
        <v/>
      </c>
    </row>
    <row r="694" ht="20" customHeight="1">
      <c r="B694" s="72" t="n"/>
      <c r="C694" s="72" t="n"/>
      <c r="D694" s="72" t="n"/>
      <c r="E694" s="109" t="n"/>
      <c r="F694" s="74" t="n"/>
      <c r="G694" s="126">
        <f>IF(OR(E694="",F694=""),"",DATE(YEAR(E694),MONTH(E694)+ROUND(F694*12,0),DAY(E694)))</f>
        <v/>
      </c>
      <c r="H694" s="144">
        <f>IF(G694="","",G694-AsOf)</f>
        <v/>
      </c>
      <c r="I694" s="107">
        <f>IF(G694="","",IF(H694&lt;0,"Expired",IF(H694&lt;=90,"Expires soon","Active")))</f>
        <v/>
      </c>
      <c r="J694" s="72" t="n"/>
      <c r="K694" s="79">
        <f>IF(I694="","",IF(I694="Active",0,IF(I694="Expires soon",1,3)))</f>
        <v/>
      </c>
      <c r="L694" s="112">
        <f>IF(G694="","",IF(G694&lt;AsOf,"",G694))</f>
        <v/>
      </c>
      <c r="M694" s="79">
        <f>IF(L694="","",IF(L694&lt;=AsOf+AlertDays,2,IF(L694&lt;=AsOf+90,3,"")))</f>
        <v/>
      </c>
      <c r="N694" s="79">
        <f>IF(M694="","","Warranty expires in "&amp;H694&amp;" days: "&amp;B694&amp;IF(C694="",""," ("&amp;C694&amp;")")&amp;" — check for defects")</f>
        <v/>
      </c>
      <c r="P694" s="72" t="n"/>
      <c r="Q694" s="72" t="n"/>
      <c r="R694" s="89" t="n"/>
      <c r="S694" s="109" t="n"/>
      <c r="T694" s="126">
        <f>IF(OR(R694="",S694=""),"",DATE(YEAR(S694),MONTH(S694)+R694,DAY(S694)))</f>
        <v/>
      </c>
      <c r="U694" s="144">
        <f>IF(T694="","",T694-AsOf)</f>
        <v/>
      </c>
      <c r="V694" s="107">
        <f>IF(T694="",IF(P694="","","Enter last-done date"),IF(U694&lt;0,"Overdue",IF(U694&lt;=30,"Due soon","OK")))</f>
        <v/>
      </c>
      <c r="W694" s="79">
        <f>IF(T694="","",IF(U694&lt;0,2,IF(U694&lt;=30,1,0)))</f>
        <v/>
      </c>
      <c r="X694" s="112">
        <f>IF(T694="","",T694)</f>
        <v/>
      </c>
      <c r="Y694" s="79">
        <f>IF(X694="","",IF(X694&lt;=AsOf+AlertDays,2,IF(X694&lt;=AsOf+30,3,"")))</f>
        <v/>
      </c>
      <c r="Z694" s="79">
        <f>IF(Y694="","",IF(U694&lt;0,"Maintenance overdue: ","Maintenance due: ")&amp;P694)</f>
        <v/>
      </c>
    </row>
    <row r="695" ht="20" customHeight="1">
      <c r="B695" s="72" t="n"/>
      <c r="C695" s="72" t="n"/>
      <c r="D695" s="72" t="n"/>
      <c r="E695" s="109" t="n"/>
      <c r="F695" s="74" t="n"/>
      <c r="G695" s="126">
        <f>IF(OR(E695="",F695=""),"",DATE(YEAR(E695),MONTH(E695)+ROUND(F695*12,0),DAY(E695)))</f>
        <v/>
      </c>
      <c r="H695" s="144">
        <f>IF(G695="","",G695-AsOf)</f>
        <v/>
      </c>
      <c r="I695" s="107">
        <f>IF(G695="","",IF(H695&lt;0,"Expired",IF(H695&lt;=90,"Expires soon","Active")))</f>
        <v/>
      </c>
      <c r="J695" s="72" t="n"/>
      <c r="K695" s="79">
        <f>IF(I695="","",IF(I695="Active",0,IF(I695="Expires soon",1,3)))</f>
        <v/>
      </c>
      <c r="L695" s="112">
        <f>IF(G695="","",IF(G695&lt;AsOf,"",G695))</f>
        <v/>
      </c>
      <c r="M695" s="79">
        <f>IF(L695="","",IF(L695&lt;=AsOf+AlertDays,2,IF(L695&lt;=AsOf+90,3,"")))</f>
        <v/>
      </c>
      <c r="N695" s="79">
        <f>IF(M695="","","Warranty expires in "&amp;H695&amp;" days: "&amp;B695&amp;IF(C695="",""," ("&amp;C695&amp;")")&amp;" — check for defects")</f>
        <v/>
      </c>
      <c r="P695" s="72" t="n"/>
      <c r="Q695" s="72" t="n"/>
      <c r="R695" s="89" t="n"/>
      <c r="S695" s="109" t="n"/>
      <c r="T695" s="126">
        <f>IF(OR(R695="",S695=""),"",DATE(YEAR(S695),MONTH(S695)+R695,DAY(S695)))</f>
        <v/>
      </c>
      <c r="U695" s="144">
        <f>IF(T695="","",T695-AsOf)</f>
        <v/>
      </c>
      <c r="V695" s="107">
        <f>IF(T695="",IF(P695="","","Enter last-done date"),IF(U695&lt;0,"Overdue",IF(U695&lt;=30,"Due soon","OK")))</f>
        <v/>
      </c>
      <c r="W695" s="79">
        <f>IF(T695="","",IF(U695&lt;0,2,IF(U695&lt;=30,1,0)))</f>
        <v/>
      </c>
      <c r="X695" s="112">
        <f>IF(T695="","",T695)</f>
        <v/>
      </c>
      <c r="Y695" s="79">
        <f>IF(X695="","",IF(X695&lt;=AsOf+AlertDays,2,IF(X695&lt;=AsOf+30,3,"")))</f>
        <v/>
      </c>
      <c r="Z695" s="79">
        <f>IF(Y695="","",IF(U695&lt;0,"Maintenance overdue: ","Maintenance due: ")&amp;P695)</f>
        <v/>
      </c>
    </row>
    <row r="696" ht="20" customHeight="1">
      <c r="B696" s="72" t="n"/>
      <c r="C696" s="72" t="n"/>
      <c r="D696" s="72" t="n"/>
      <c r="E696" s="109" t="n"/>
      <c r="F696" s="74" t="n"/>
      <c r="G696" s="126">
        <f>IF(OR(E696="",F696=""),"",DATE(YEAR(E696),MONTH(E696)+ROUND(F696*12,0),DAY(E696)))</f>
        <v/>
      </c>
      <c r="H696" s="144">
        <f>IF(G696="","",G696-AsOf)</f>
        <v/>
      </c>
      <c r="I696" s="107">
        <f>IF(G696="","",IF(H696&lt;0,"Expired",IF(H696&lt;=90,"Expires soon","Active")))</f>
        <v/>
      </c>
      <c r="J696" s="72" t="n"/>
      <c r="K696" s="79">
        <f>IF(I696="","",IF(I696="Active",0,IF(I696="Expires soon",1,3)))</f>
        <v/>
      </c>
      <c r="L696" s="112">
        <f>IF(G696="","",IF(G696&lt;AsOf,"",G696))</f>
        <v/>
      </c>
      <c r="M696" s="79">
        <f>IF(L696="","",IF(L696&lt;=AsOf+AlertDays,2,IF(L696&lt;=AsOf+90,3,"")))</f>
        <v/>
      </c>
      <c r="N696" s="79">
        <f>IF(M696="","","Warranty expires in "&amp;H696&amp;" days: "&amp;B696&amp;IF(C696="",""," ("&amp;C696&amp;")")&amp;" — check for defects")</f>
        <v/>
      </c>
      <c r="P696" s="72" t="n"/>
      <c r="Q696" s="72" t="n"/>
      <c r="R696" s="89" t="n"/>
      <c r="S696" s="109" t="n"/>
      <c r="T696" s="126">
        <f>IF(OR(R696="",S696=""),"",DATE(YEAR(S696),MONTH(S696)+R696,DAY(S696)))</f>
        <v/>
      </c>
      <c r="U696" s="144">
        <f>IF(T696="","",T696-AsOf)</f>
        <v/>
      </c>
      <c r="V696" s="107">
        <f>IF(T696="",IF(P696="","","Enter last-done date"),IF(U696&lt;0,"Overdue",IF(U696&lt;=30,"Due soon","OK")))</f>
        <v/>
      </c>
      <c r="W696" s="79">
        <f>IF(T696="","",IF(U696&lt;0,2,IF(U696&lt;=30,1,0)))</f>
        <v/>
      </c>
      <c r="X696" s="112">
        <f>IF(T696="","",T696)</f>
        <v/>
      </c>
      <c r="Y696" s="79">
        <f>IF(X696="","",IF(X696&lt;=AsOf+AlertDays,2,IF(X696&lt;=AsOf+30,3,"")))</f>
        <v/>
      </c>
      <c r="Z696" s="79">
        <f>IF(Y696="","",IF(U696&lt;0,"Maintenance overdue: ","Maintenance due: ")&amp;P696)</f>
        <v/>
      </c>
    </row>
    <row r="697" ht="20" customHeight="1">
      <c r="B697" s="72" t="n"/>
      <c r="C697" s="72" t="n"/>
      <c r="D697" s="72" t="n"/>
      <c r="E697" s="109" t="n"/>
      <c r="F697" s="74" t="n"/>
      <c r="G697" s="126">
        <f>IF(OR(E697="",F697=""),"",DATE(YEAR(E697),MONTH(E697)+ROUND(F697*12,0),DAY(E697)))</f>
        <v/>
      </c>
      <c r="H697" s="144">
        <f>IF(G697="","",G697-AsOf)</f>
        <v/>
      </c>
      <c r="I697" s="107">
        <f>IF(G697="","",IF(H697&lt;0,"Expired",IF(H697&lt;=90,"Expires soon","Active")))</f>
        <v/>
      </c>
      <c r="J697" s="72" t="n"/>
      <c r="K697" s="79">
        <f>IF(I697="","",IF(I697="Active",0,IF(I697="Expires soon",1,3)))</f>
        <v/>
      </c>
      <c r="L697" s="112">
        <f>IF(G697="","",IF(G697&lt;AsOf,"",G697))</f>
        <v/>
      </c>
      <c r="M697" s="79">
        <f>IF(L697="","",IF(L697&lt;=AsOf+AlertDays,2,IF(L697&lt;=AsOf+90,3,"")))</f>
        <v/>
      </c>
      <c r="N697" s="79">
        <f>IF(M697="","","Warranty expires in "&amp;H697&amp;" days: "&amp;B697&amp;IF(C697="",""," ("&amp;C697&amp;")")&amp;" — check for defects")</f>
        <v/>
      </c>
      <c r="P697" s="72" t="n"/>
      <c r="Q697" s="72" t="n"/>
      <c r="R697" s="89" t="n"/>
      <c r="S697" s="109" t="n"/>
      <c r="T697" s="126">
        <f>IF(OR(R697="",S697=""),"",DATE(YEAR(S697),MONTH(S697)+R697,DAY(S697)))</f>
        <v/>
      </c>
      <c r="U697" s="144">
        <f>IF(T697="","",T697-AsOf)</f>
        <v/>
      </c>
      <c r="V697" s="107">
        <f>IF(T697="",IF(P697="","","Enter last-done date"),IF(U697&lt;0,"Overdue",IF(U697&lt;=30,"Due soon","OK")))</f>
        <v/>
      </c>
      <c r="W697" s="79">
        <f>IF(T697="","",IF(U697&lt;0,2,IF(U697&lt;=30,1,0)))</f>
        <v/>
      </c>
      <c r="X697" s="112">
        <f>IF(T697="","",T697)</f>
        <v/>
      </c>
      <c r="Y697" s="79">
        <f>IF(X697="","",IF(X697&lt;=AsOf+AlertDays,2,IF(X697&lt;=AsOf+30,3,"")))</f>
        <v/>
      </c>
      <c r="Z697" s="79">
        <f>IF(Y697="","",IF(U697&lt;0,"Maintenance overdue: ","Maintenance due: ")&amp;P697)</f>
        <v/>
      </c>
    </row>
    <row r="698" ht="20" customHeight="1">
      <c r="B698" s="72" t="n"/>
      <c r="C698" s="72" t="n"/>
      <c r="D698" s="72" t="n"/>
      <c r="E698" s="109" t="n"/>
      <c r="F698" s="74" t="n"/>
      <c r="G698" s="126">
        <f>IF(OR(E698="",F698=""),"",DATE(YEAR(E698),MONTH(E698)+ROUND(F698*12,0),DAY(E698)))</f>
        <v/>
      </c>
      <c r="H698" s="144">
        <f>IF(G698="","",G698-AsOf)</f>
        <v/>
      </c>
      <c r="I698" s="107">
        <f>IF(G698="","",IF(H698&lt;0,"Expired",IF(H698&lt;=90,"Expires soon","Active")))</f>
        <v/>
      </c>
      <c r="J698" s="72" t="n"/>
      <c r="K698" s="79">
        <f>IF(I698="","",IF(I698="Active",0,IF(I698="Expires soon",1,3)))</f>
        <v/>
      </c>
      <c r="L698" s="112">
        <f>IF(G698="","",IF(G698&lt;AsOf,"",G698))</f>
        <v/>
      </c>
      <c r="M698" s="79">
        <f>IF(L698="","",IF(L698&lt;=AsOf+AlertDays,2,IF(L698&lt;=AsOf+90,3,"")))</f>
        <v/>
      </c>
      <c r="N698" s="79">
        <f>IF(M698="","","Warranty expires in "&amp;H698&amp;" days: "&amp;B698&amp;IF(C698="",""," ("&amp;C698&amp;")")&amp;" — check for defects")</f>
        <v/>
      </c>
      <c r="P698" s="72" t="n"/>
      <c r="Q698" s="72" t="n"/>
      <c r="R698" s="89" t="n"/>
      <c r="S698" s="109" t="n"/>
      <c r="T698" s="126">
        <f>IF(OR(R698="",S698=""),"",DATE(YEAR(S698),MONTH(S698)+R698,DAY(S698)))</f>
        <v/>
      </c>
      <c r="U698" s="144">
        <f>IF(T698="","",T698-AsOf)</f>
        <v/>
      </c>
      <c r="V698" s="107">
        <f>IF(T698="",IF(P698="","","Enter last-done date"),IF(U698&lt;0,"Overdue",IF(U698&lt;=30,"Due soon","OK")))</f>
        <v/>
      </c>
      <c r="W698" s="79">
        <f>IF(T698="","",IF(U698&lt;0,2,IF(U698&lt;=30,1,0)))</f>
        <v/>
      </c>
      <c r="X698" s="112">
        <f>IF(T698="","",T698)</f>
        <v/>
      </c>
      <c r="Y698" s="79">
        <f>IF(X698="","",IF(X698&lt;=AsOf+AlertDays,2,IF(X698&lt;=AsOf+30,3,"")))</f>
        <v/>
      </c>
      <c r="Z698" s="79">
        <f>IF(Y698="","",IF(U698&lt;0,"Maintenance overdue: ","Maintenance due: ")&amp;P698)</f>
        <v/>
      </c>
    </row>
    <row r="699" ht="20" customHeight="1">
      <c r="B699" s="72" t="n"/>
      <c r="C699" s="72" t="n"/>
      <c r="D699" s="72" t="n"/>
      <c r="E699" s="109" t="n"/>
      <c r="F699" s="74" t="n"/>
      <c r="G699" s="126">
        <f>IF(OR(E699="",F699=""),"",DATE(YEAR(E699),MONTH(E699)+ROUND(F699*12,0),DAY(E699)))</f>
        <v/>
      </c>
      <c r="H699" s="144">
        <f>IF(G699="","",G699-AsOf)</f>
        <v/>
      </c>
      <c r="I699" s="107">
        <f>IF(G699="","",IF(H699&lt;0,"Expired",IF(H699&lt;=90,"Expires soon","Active")))</f>
        <v/>
      </c>
      <c r="J699" s="72" t="n"/>
      <c r="K699" s="79">
        <f>IF(I699="","",IF(I699="Active",0,IF(I699="Expires soon",1,3)))</f>
        <v/>
      </c>
      <c r="L699" s="112">
        <f>IF(G699="","",IF(G699&lt;AsOf,"",G699))</f>
        <v/>
      </c>
      <c r="M699" s="79">
        <f>IF(L699="","",IF(L699&lt;=AsOf+AlertDays,2,IF(L699&lt;=AsOf+90,3,"")))</f>
        <v/>
      </c>
      <c r="N699" s="79">
        <f>IF(M699="","","Warranty expires in "&amp;H699&amp;" days: "&amp;B699&amp;IF(C699="",""," ("&amp;C699&amp;")")&amp;" — check for defects")</f>
        <v/>
      </c>
      <c r="P699" s="72" t="n"/>
      <c r="Q699" s="72" t="n"/>
      <c r="R699" s="89" t="n"/>
      <c r="S699" s="109" t="n"/>
      <c r="T699" s="126">
        <f>IF(OR(R699="",S699=""),"",DATE(YEAR(S699),MONTH(S699)+R699,DAY(S699)))</f>
        <v/>
      </c>
      <c r="U699" s="144">
        <f>IF(T699="","",T699-AsOf)</f>
        <v/>
      </c>
      <c r="V699" s="107">
        <f>IF(T699="",IF(P699="","","Enter last-done date"),IF(U699&lt;0,"Overdue",IF(U699&lt;=30,"Due soon","OK")))</f>
        <v/>
      </c>
      <c r="W699" s="79">
        <f>IF(T699="","",IF(U699&lt;0,2,IF(U699&lt;=30,1,0)))</f>
        <v/>
      </c>
      <c r="X699" s="112">
        <f>IF(T699="","",T699)</f>
        <v/>
      </c>
      <c r="Y699" s="79">
        <f>IF(X699="","",IF(X699&lt;=AsOf+AlertDays,2,IF(X699&lt;=AsOf+30,3,"")))</f>
        <v/>
      </c>
      <c r="Z699" s="79">
        <f>IF(Y699="","",IF(U699&lt;0,"Maintenance overdue: ","Maintenance due: ")&amp;P699)</f>
        <v/>
      </c>
    </row>
    <row r="700" ht="20" customHeight="1">
      <c r="B700" s="72" t="n"/>
      <c r="C700" s="72" t="n"/>
      <c r="D700" s="72" t="n"/>
      <c r="E700" s="109" t="n"/>
      <c r="F700" s="74" t="n"/>
      <c r="G700" s="126">
        <f>IF(OR(E700="",F700=""),"",DATE(YEAR(E700),MONTH(E700)+ROUND(F700*12,0),DAY(E700)))</f>
        <v/>
      </c>
      <c r="H700" s="144">
        <f>IF(G700="","",G700-AsOf)</f>
        <v/>
      </c>
      <c r="I700" s="107">
        <f>IF(G700="","",IF(H700&lt;0,"Expired",IF(H700&lt;=90,"Expires soon","Active")))</f>
        <v/>
      </c>
      <c r="J700" s="72" t="n"/>
      <c r="K700" s="79">
        <f>IF(I700="","",IF(I700="Active",0,IF(I700="Expires soon",1,3)))</f>
        <v/>
      </c>
      <c r="L700" s="112">
        <f>IF(G700="","",IF(G700&lt;AsOf,"",G700))</f>
        <v/>
      </c>
      <c r="M700" s="79">
        <f>IF(L700="","",IF(L700&lt;=AsOf+AlertDays,2,IF(L700&lt;=AsOf+90,3,"")))</f>
        <v/>
      </c>
      <c r="N700" s="79">
        <f>IF(M700="","","Warranty expires in "&amp;H700&amp;" days: "&amp;B700&amp;IF(C700="",""," ("&amp;C700&amp;")")&amp;" — check for defects")</f>
        <v/>
      </c>
      <c r="P700" s="72" t="n"/>
      <c r="Q700" s="72" t="n"/>
      <c r="R700" s="89" t="n"/>
      <c r="S700" s="109" t="n"/>
      <c r="T700" s="126">
        <f>IF(OR(R700="",S700=""),"",DATE(YEAR(S700),MONTH(S700)+R700,DAY(S700)))</f>
        <v/>
      </c>
      <c r="U700" s="144">
        <f>IF(T700="","",T700-AsOf)</f>
        <v/>
      </c>
      <c r="V700" s="107">
        <f>IF(T700="",IF(P700="","","Enter last-done date"),IF(U700&lt;0,"Overdue",IF(U700&lt;=30,"Due soon","OK")))</f>
        <v/>
      </c>
      <c r="W700" s="79">
        <f>IF(T700="","",IF(U700&lt;0,2,IF(U700&lt;=30,1,0)))</f>
        <v/>
      </c>
      <c r="X700" s="112">
        <f>IF(T700="","",T700)</f>
        <v/>
      </c>
      <c r="Y700" s="79">
        <f>IF(X700="","",IF(X700&lt;=AsOf+AlertDays,2,IF(X700&lt;=AsOf+30,3,"")))</f>
        <v/>
      </c>
      <c r="Z700" s="79">
        <f>IF(Y700="","",IF(U700&lt;0,"Maintenance overdue: ","Maintenance due: ")&amp;P700)</f>
        <v/>
      </c>
    </row>
    <row r="701" ht="20" customHeight="1">
      <c r="B701" s="72" t="n"/>
      <c r="C701" s="72" t="n"/>
      <c r="D701" s="72" t="n"/>
      <c r="E701" s="109" t="n"/>
      <c r="F701" s="74" t="n"/>
      <c r="G701" s="126">
        <f>IF(OR(E701="",F701=""),"",DATE(YEAR(E701),MONTH(E701)+ROUND(F701*12,0),DAY(E701)))</f>
        <v/>
      </c>
      <c r="H701" s="144">
        <f>IF(G701="","",G701-AsOf)</f>
        <v/>
      </c>
      <c r="I701" s="107">
        <f>IF(G701="","",IF(H701&lt;0,"Expired",IF(H701&lt;=90,"Expires soon","Active")))</f>
        <v/>
      </c>
      <c r="J701" s="72" t="n"/>
      <c r="K701" s="79">
        <f>IF(I701="","",IF(I701="Active",0,IF(I701="Expires soon",1,3)))</f>
        <v/>
      </c>
      <c r="L701" s="112">
        <f>IF(G701="","",IF(G701&lt;AsOf,"",G701))</f>
        <v/>
      </c>
      <c r="M701" s="79">
        <f>IF(L701="","",IF(L701&lt;=AsOf+AlertDays,2,IF(L701&lt;=AsOf+90,3,"")))</f>
        <v/>
      </c>
      <c r="N701" s="79">
        <f>IF(M701="","","Warranty expires in "&amp;H701&amp;" days: "&amp;B701&amp;IF(C701="",""," ("&amp;C701&amp;")")&amp;" — check for defects")</f>
        <v/>
      </c>
      <c r="P701" s="72" t="n"/>
      <c r="Q701" s="72" t="n"/>
      <c r="R701" s="89" t="n"/>
      <c r="S701" s="109" t="n"/>
      <c r="T701" s="126">
        <f>IF(OR(R701="",S701=""),"",DATE(YEAR(S701),MONTH(S701)+R701,DAY(S701)))</f>
        <v/>
      </c>
      <c r="U701" s="144">
        <f>IF(T701="","",T701-AsOf)</f>
        <v/>
      </c>
      <c r="V701" s="107">
        <f>IF(T701="",IF(P701="","","Enter last-done date"),IF(U701&lt;0,"Overdue",IF(U701&lt;=30,"Due soon","OK")))</f>
        <v/>
      </c>
      <c r="W701" s="79">
        <f>IF(T701="","",IF(U701&lt;0,2,IF(U701&lt;=30,1,0)))</f>
        <v/>
      </c>
      <c r="X701" s="112">
        <f>IF(T701="","",T701)</f>
        <v/>
      </c>
      <c r="Y701" s="79">
        <f>IF(X701="","",IF(X701&lt;=AsOf+AlertDays,2,IF(X701&lt;=AsOf+30,3,"")))</f>
        <v/>
      </c>
      <c r="Z701" s="79">
        <f>IF(Y701="","",IF(U701&lt;0,"Maintenance overdue: ","Maintenance due: ")&amp;P701)</f>
        <v/>
      </c>
    </row>
    <row r="702" ht="20" customHeight="1">
      <c r="B702" s="72" t="n"/>
      <c r="C702" s="72" t="n"/>
      <c r="D702" s="72" t="n"/>
      <c r="E702" s="109" t="n"/>
      <c r="F702" s="74" t="n"/>
      <c r="G702" s="126">
        <f>IF(OR(E702="",F702=""),"",DATE(YEAR(E702),MONTH(E702)+ROUND(F702*12,0),DAY(E702)))</f>
        <v/>
      </c>
      <c r="H702" s="144">
        <f>IF(G702="","",G702-AsOf)</f>
        <v/>
      </c>
      <c r="I702" s="107">
        <f>IF(G702="","",IF(H702&lt;0,"Expired",IF(H702&lt;=90,"Expires soon","Active")))</f>
        <v/>
      </c>
      <c r="J702" s="72" t="n"/>
      <c r="K702" s="79">
        <f>IF(I702="","",IF(I702="Active",0,IF(I702="Expires soon",1,3)))</f>
        <v/>
      </c>
      <c r="L702" s="112">
        <f>IF(G702="","",IF(G702&lt;AsOf,"",G702))</f>
        <v/>
      </c>
      <c r="M702" s="79">
        <f>IF(L702="","",IF(L702&lt;=AsOf+AlertDays,2,IF(L702&lt;=AsOf+90,3,"")))</f>
        <v/>
      </c>
      <c r="N702" s="79">
        <f>IF(M702="","","Warranty expires in "&amp;H702&amp;" days: "&amp;B702&amp;IF(C702="",""," ("&amp;C702&amp;")")&amp;" — check for defects")</f>
        <v/>
      </c>
      <c r="P702" s="72" t="n"/>
      <c r="Q702" s="72" t="n"/>
      <c r="R702" s="89" t="n"/>
      <c r="S702" s="109" t="n"/>
      <c r="T702" s="126">
        <f>IF(OR(R702="",S702=""),"",DATE(YEAR(S702),MONTH(S702)+R702,DAY(S702)))</f>
        <v/>
      </c>
      <c r="U702" s="144">
        <f>IF(T702="","",T702-AsOf)</f>
        <v/>
      </c>
      <c r="V702" s="107">
        <f>IF(T702="",IF(P702="","","Enter last-done date"),IF(U702&lt;0,"Overdue",IF(U702&lt;=30,"Due soon","OK")))</f>
        <v/>
      </c>
      <c r="W702" s="79">
        <f>IF(T702="","",IF(U702&lt;0,2,IF(U702&lt;=30,1,0)))</f>
        <v/>
      </c>
      <c r="X702" s="112">
        <f>IF(T702="","",T702)</f>
        <v/>
      </c>
      <c r="Y702" s="79">
        <f>IF(X702="","",IF(X702&lt;=AsOf+AlertDays,2,IF(X702&lt;=AsOf+30,3,"")))</f>
        <v/>
      </c>
      <c r="Z702" s="79">
        <f>IF(Y702="","",IF(U702&lt;0,"Maintenance overdue: ","Maintenance due: ")&amp;P702)</f>
        <v/>
      </c>
    </row>
    <row r="703" ht="20" customHeight="1">
      <c r="B703" s="72" t="n"/>
      <c r="C703" s="72" t="n"/>
      <c r="D703" s="72" t="n"/>
      <c r="E703" s="109" t="n"/>
      <c r="F703" s="74" t="n"/>
      <c r="G703" s="126">
        <f>IF(OR(E703="",F703=""),"",DATE(YEAR(E703),MONTH(E703)+ROUND(F703*12,0),DAY(E703)))</f>
        <v/>
      </c>
      <c r="H703" s="144">
        <f>IF(G703="","",G703-AsOf)</f>
        <v/>
      </c>
      <c r="I703" s="107">
        <f>IF(G703="","",IF(H703&lt;0,"Expired",IF(H703&lt;=90,"Expires soon","Active")))</f>
        <v/>
      </c>
      <c r="J703" s="72" t="n"/>
      <c r="K703" s="79">
        <f>IF(I703="","",IF(I703="Active",0,IF(I703="Expires soon",1,3)))</f>
        <v/>
      </c>
      <c r="L703" s="112">
        <f>IF(G703="","",IF(G703&lt;AsOf,"",G703))</f>
        <v/>
      </c>
      <c r="M703" s="79">
        <f>IF(L703="","",IF(L703&lt;=AsOf+AlertDays,2,IF(L703&lt;=AsOf+90,3,"")))</f>
        <v/>
      </c>
      <c r="N703" s="79">
        <f>IF(M703="","","Warranty expires in "&amp;H703&amp;" days: "&amp;B703&amp;IF(C703="",""," ("&amp;C703&amp;")")&amp;" — check for defects")</f>
        <v/>
      </c>
      <c r="P703" s="72" t="n"/>
      <c r="Q703" s="72" t="n"/>
      <c r="R703" s="89" t="n"/>
      <c r="S703" s="109" t="n"/>
      <c r="T703" s="126">
        <f>IF(OR(R703="",S703=""),"",DATE(YEAR(S703),MONTH(S703)+R703,DAY(S703)))</f>
        <v/>
      </c>
      <c r="U703" s="144">
        <f>IF(T703="","",T703-AsOf)</f>
        <v/>
      </c>
      <c r="V703" s="107">
        <f>IF(T703="",IF(P703="","","Enter last-done date"),IF(U703&lt;0,"Overdue",IF(U703&lt;=30,"Due soon","OK")))</f>
        <v/>
      </c>
      <c r="W703" s="79">
        <f>IF(T703="","",IF(U703&lt;0,2,IF(U703&lt;=30,1,0)))</f>
        <v/>
      </c>
      <c r="X703" s="112">
        <f>IF(T703="","",T703)</f>
        <v/>
      </c>
      <c r="Y703" s="79">
        <f>IF(X703="","",IF(X703&lt;=AsOf+AlertDays,2,IF(X703&lt;=AsOf+30,3,"")))</f>
        <v/>
      </c>
      <c r="Z703" s="79">
        <f>IF(Y703="","",IF(U703&lt;0,"Maintenance overdue: ","Maintenance due: ")&amp;P703)</f>
        <v/>
      </c>
    </row>
    <row r="704" ht="20" customHeight="1">
      <c r="B704" s="72" t="n"/>
      <c r="C704" s="72" t="n"/>
      <c r="D704" s="72" t="n"/>
      <c r="E704" s="109" t="n"/>
      <c r="F704" s="74" t="n"/>
      <c r="G704" s="126">
        <f>IF(OR(E704="",F704=""),"",DATE(YEAR(E704),MONTH(E704)+ROUND(F704*12,0),DAY(E704)))</f>
        <v/>
      </c>
      <c r="H704" s="144">
        <f>IF(G704="","",G704-AsOf)</f>
        <v/>
      </c>
      <c r="I704" s="107">
        <f>IF(G704="","",IF(H704&lt;0,"Expired",IF(H704&lt;=90,"Expires soon","Active")))</f>
        <v/>
      </c>
      <c r="J704" s="72" t="n"/>
      <c r="K704" s="79">
        <f>IF(I704="","",IF(I704="Active",0,IF(I704="Expires soon",1,3)))</f>
        <v/>
      </c>
      <c r="L704" s="112">
        <f>IF(G704="","",IF(G704&lt;AsOf,"",G704))</f>
        <v/>
      </c>
      <c r="M704" s="79">
        <f>IF(L704="","",IF(L704&lt;=AsOf+AlertDays,2,IF(L704&lt;=AsOf+90,3,"")))</f>
        <v/>
      </c>
      <c r="N704" s="79">
        <f>IF(M704="","","Warranty expires in "&amp;H704&amp;" days: "&amp;B704&amp;IF(C704="",""," ("&amp;C704&amp;")")&amp;" — check for defects")</f>
        <v/>
      </c>
      <c r="P704" s="72" t="n"/>
      <c r="Q704" s="72" t="n"/>
      <c r="R704" s="89" t="n"/>
      <c r="S704" s="109" t="n"/>
      <c r="T704" s="126">
        <f>IF(OR(R704="",S704=""),"",DATE(YEAR(S704),MONTH(S704)+R704,DAY(S704)))</f>
        <v/>
      </c>
      <c r="U704" s="144">
        <f>IF(T704="","",T704-AsOf)</f>
        <v/>
      </c>
      <c r="V704" s="107">
        <f>IF(T704="",IF(P704="","","Enter last-done date"),IF(U704&lt;0,"Overdue",IF(U704&lt;=30,"Due soon","OK")))</f>
        <v/>
      </c>
      <c r="W704" s="79">
        <f>IF(T704="","",IF(U704&lt;0,2,IF(U704&lt;=30,1,0)))</f>
        <v/>
      </c>
      <c r="X704" s="112">
        <f>IF(T704="","",T704)</f>
        <v/>
      </c>
      <c r="Y704" s="79">
        <f>IF(X704="","",IF(X704&lt;=AsOf+AlertDays,2,IF(X704&lt;=AsOf+30,3,"")))</f>
        <v/>
      </c>
      <c r="Z704" s="79">
        <f>IF(Y704="","",IF(U704&lt;0,"Maintenance overdue: ","Maintenance due: ")&amp;P704)</f>
        <v/>
      </c>
    </row>
    <row r="705" ht="20" customHeight="1">
      <c r="B705" s="72" t="n"/>
      <c r="C705" s="72" t="n"/>
      <c r="D705" s="72" t="n"/>
      <c r="E705" s="109" t="n"/>
      <c r="F705" s="74" t="n"/>
      <c r="G705" s="126">
        <f>IF(OR(E705="",F705=""),"",DATE(YEAR(E705),MONTH(E705)+ROUND(F705*12,0),DAY(E705)))</f>
        <v/>
      </c>
      <c r="H705" s="144">
        <f>IF(G705="","",G705-AsOf)</f>
        <v/>
      </c>
      <c r="I705" s="107">
        <f>IF(G705="","",IF(H705&lt;0,"Expired",IF(H705&lt;=90,"Expires soon","Active")))</f>
        <v/>
      </c>
      <c r="J705" s="72" t="n"/>
      <c r="K705" s="79">
        <f>IF(I705="","",IF(I705="Active",0,IF(I705="Expires soon",1,3)))</f>
        <v/>
      </c>
      <c r="L705" s="112">
        <f>IF(G705="","",IF(G705&lt;AsOf,"",G705))</f>
        <v/>
      </c>
      <c r="M705" s="79">
        <f>IF(L705="","",IF(L705&lt;=AsOf+AlertDays,2,IF(L705&lt;=AsOf+90,3,"")))</f>
        <v/>
      </c>
      <c r="N705" s="79">
        <f>IF(M705="","","Warranty expires in "&amp;H705&amp;" days: "&amp;B705&amp;IF(C705="",""," ("&amp;C705&amp;")")&amp;" — check for defects")</f>
        <v/>
      </c>
      <c r="P705" s="72" t="n"/>
      <c r="Q705" s="72" t="n"/>
      <c r="R705" s="89" t="n"/>
      <c r="S705" s="109" t="n"/>
      <c r="T705" s="126">
        <f>IF(OR(R705="",S705=""),"",DATE(YEAR(S705),MONTH(S705)+R705,DAY(S705)))</f>
        <v/>
      </c>
      <c r="U705" s="144">
        <f>IF(T705="","",T705-AsOf)</f>
        <v/>
      </c>
      <c r="V705" s="107">
        <f>IF(T705="",IF(P705="","","Enter last-done date"),IF(U705&lt;0,"Overdue",IF(U705&lt;=30,"Due soon","OK")))</f>
        <v/>
      </c>
      <c r="W705" s="79">
        <f>IF(T705="","",IF(U705&lt;0,2,IF(U705&lt;=30,1,0)))</f>
        <v/>
      </c>
      <c r="X705" s="112">
        <f>IF(T705="","",T705)</f>
        <v/>
      </c>
      <c r="Y705" s="79">
        <f>IF(X705="","",IF(X705&lt;=AsOf+AlertDays,2,IF(X705&lt;=AsOf+30,3,"")))</f>
        <v/>
      </c>
      <c r="Z705" s="79">
        <f>IF(Y705="","",IF(U705&lt;0,"Maintenance overdue: ","Maintenance due: ")&amp;P705)</f>
        <v/>
      </c>
    </row>
    <row r="706" ht="20" customHeight="1">
      <c r="B706" s="72" t="n"/>
      <c r="C706" s="72" t="n"/>
      <c r="D706" s="72" t="n"/>
      <c r="E706" s="109" t="n"/>
      <c r="F706" s="74" t="n"/>
      <c r="G706" s="126">
        <f>IF(OR(E706="",F706=""),"",DATE(YEAR(E706),MONTH(E706)+ROUND(F706*12,0),DAY(E706)))</f>
        <v/>
      </c>
      <c r="H706" s="144">
        <f>IF(G706="","",G706-AsOf)</f>
        <v/>
      </c>
      <c r="I706" s="107">
        <f>IF(G706="","",IF(H706&lt;0,"Expired",IF(H706&lt;=90,"Expires soon","Active")))</f>
        <v/>
      </c>
      <c r="J706" s="72" t="n"/>
      <c r="K706" s="79">
        <f>IF(I706="","",IF(I706="Active",0,IF(I706="Expires soon",1,3)))</f>
        <v/>
      </c>
      <c r="L706" s="112">
        <f>IF(G706="","",IF(G706&lt;AsOf,"",G706))</f>
        <v/>
      </c>
      <c r="M706" s="79">
        <f>IF(L706="","",IF(L706&lt;=AsOf+AlertDays,2,IF(L706&lt;=AsOf+90,3,"")))</f>
        <v/>
      </c>
      <c r="N706" s="79">
        <f>IF(M706="","","Warranty expires in "&amp;H706&amp;" days: "&amp;B706&amp;IF(C706="",""," ("&amp;C706&amp;")")&amp;" — check for defects")</f>
        <v/>
      </c>
      <c r="P706" s="72" t="n"/>
      <c r="Q706" s="72" t="n"/>
      <c r="R706" s="89" t="n"/>
      <c r="S706" s="109" t="n"/>
      <c r="T706" s="126">
        <f>IF(OR(R706="",S706=""),"",DATE(YEAR(S706),MONTH(S706)+R706,DAY(S706)))</f>
        <v/>
      </c>
      <c r="U706" s="144">
        <f>IF(T706="","",T706-AsOf)</f>
        <v/>
      </c>
      <c r="V706" s="107">
        <f>IF(T706="",IF(P706="","","Enter last-done date"),IF(U706&lt;0,"Overdue",IF(U706&lt;=30,"Due soon","OK")))</f>
        <v/>
      </c>
      <c r="W706" s="79">
        <f>IF(T706="","",IF(U706&lt;0,2,IF(U706&lt;=30,1,0)))</f>
        <v/>
      </c>
      <c r="X706" s="112">
        <f>IF(T706="","",T706)</f>
        <v/>
      </c>
      <c r="Y706" s="79">
        <f>IF(X706="","",IF(X706&lt;=AsOf+AlertDays,2,IF(X706&lt;=AsOf+30,3,"")))</f>
        <v/>
      </c>
      <c r="Z706" s="79">
        <f>IF(Y706="","",IF(U706&lt;0,"Maintenance overdue: ","Maintenance due: ")&amp;P706)</f>
        <v/>
      </c>
    </row>
    <row r="707" ht="20" customHeight="1">
      <c r="B707" s="72" t="n"/>
      <c r="C707" s="72" t="n"/>
      <c r="D707" s="72" t="n"/>
      <c r="E707" s="109" t="n"/>
      <c r="F707" s="74" t="n"/>
      <c r="G707" s="126">
        <f>IF(OR(E707="",F707=""),"",DATE(YEAR(E707),MONTH(E707)+ROUND(F707*12,0),DAY(E707)))</f>
        <v/>
      </c>
      <c r="H707" s="144">
        <f>IF(G707="","",G707-AsOf)</f>
        <v/>
      </c>
      <c r="I707" s="107">
        <f>IF(G707="","",IF(H707&lt;0,"Expired",IF(H707&lt;=90,"Expires soon","Active")))</f>
        <v/>
      </c>
      <c r="J707" s="72" t="n"/>
      <c r="K707" s="79">
        <f>IF(I707="","",IF(I707="Active",0,IF(I707="Expires soon",1,3)))</f>
        <v/>
      </c>
      <c r="L707" s="112">
        <f>IF(G707="","",IF(G707&lt;AsOf,"",G707))</f>
        <v/>
      </c>
      <c r="M707" s="79">
        <f>IF(L707="","",IF(L707&lt;=AsOf+AlertDays,2,IF(L707&lt;=AsOf+90,3,"")))</f>
        <v/>
      </c>
      <c r="N707" s="79">
        <f>IF(M707="","","Warranty expires in "&amp;H707&amp;" days: "&amp;B707&amp;IF(C707="",""," ("&amp;C707&amp;")")&amp;" — check for defects")</f>
        <v/>
      </c>
      <c r="P707" s="72" t="n"/>
      <c r="Q707" s="72" t="n"/>
      <c r="R707" s="89" t="n"/>
      <c r="S707" s="109" t="n"/>
      <c r="T707" s="126">
        <f>IF(OR(R707="",S707=""),"",DATE(YEAR(S707),MONTH(S707)+R707,DAY(S707)))</f>
        <v/>
      </c>
      <c r="U707" s="144">
        <f>IF(T707="","",T707-AsOf)</f>
        <v/>
      </c>
      <c r="V707" s="107">
        <f>IF(T707="",IF(P707="","","Enter last-done date"),IF(U707&lt;0,"Overdue",IF(U707&lt;=30,"Due soon","OK")))</f>
        <v/>
      </c>
      <c r="W707" s="79">
        <f>IF(T707="","",IF(U707&lt;0,2,IF(U707&lt;=30,1,0)))</f>
        <v/>
      </c>
      <c r="X707" s="112">
        <f>IF(T707="","",T707)</f>
        <v/>
      </c>
      <c r="Y707" s="79">
        <f>IF(X707="","",IF(X707&lt;=AsOf+AlertDays,2,IF(X707&lt;=AsOf+30,3,"")))</f>
        <v/>
      </c>
      <c r="Z707" s="79">
        <f>IF(Y707="","",IF(U707&lt;0,"Maintenance overdue: ","Maintenance due: ")&amp;P707)</f>
        <v/>
      </c>
    </row>
    <row r="708" ht="20" customHeight="1">
      <c r="B708" s="72" t="n"/>
      <c r="C708" s="72" t="n"/>
      <c r="D708" s="72" t="n"/>
      <c r="E708" s="109" t="n"/>
      <c r="F708" s="74" t="n"/>
      <c r="G708" s="126">
        <f>IF(OR(E708="",F708=""),"",DATE(YEAR(E708),MONTH(E708)+ROUND(F708*12,0),DAY(E708)))</f>
        <v/>
      </c>
      <c r="H708" s="144">
        <f>IF(G708="","",G708-AsOf)</f>
        <v/>
      </c>
      <c r="I708" s="107">
        <f>IF(G708="","",IF(H708&lt;0,"Expired",IF(H708&lt;=90,"Expires soon","Active")))</f>
        <v/>
      </c>
      <c r="J708" s="72" t="n"/>
      <c r="K708" s="79">
        <f>IF(I708="","",IF(I708="Active",0,IF(I708="Expires soon",1,3)))</f>
        <v/>
      </c>
      <c r="L708" s="112">
        <f>IF(G708="","",IF(G708&lt;AsOf,"",G708))</f>
        <v/>
      </c>
      <c r="M708" s="79">
        <f>IF(L708="","",IF(L708&lt;=AsOf+AlertDays,2,IF(L708&lt;=AsOf+90,3,"")))</f>
        <v/>
      </c>
      <c r="N708" s="79">
        <f>IF(M708="","","Warranty expires in "&amp;H708&amp;" days: "&amp;B708&amp;IF(C708="",""," ("&amp;C708&amp;")")&amp;" — check for defects")</f>
        <v/>
      </c>
      <c r="P708" s="72" t="n"/>
      <c r="Q708" s="72" t="n"/>
      <c r="R708" s="89" t="n"/>
      <c r="S708" s="109" t="n"/>
      <c r="T708" s="126">
        <f>IF(OR(R708="",S708=""),"",DATE(YEAR(S708),MONTH(S708)+R708,DAY(S708)))</f>
        <v/>
      </c>
      <c r="U708" s="144">
        <f>IF(T708="","",T708-AsOf)</f>
        <v/>
      </c>
      <c r="V708" s="107">
        <f>IF(T708="",IF(P708="","","Enter last-done date"),IF(U708&lt;0,"Overdue",IF(U708&lt;=30,"Due soon","OK")))</f>
        <v/>
      </c>
      <c r="W708" s="79">
        <f>IF(T708="","",IF(U708&lt;0,2,IF(U708&lt;=30,1,0)))</f>
        <v/>
      </c>
      <c r="X708" s="112">
        <f>IF(T708="","",T708)</f>
        <v/>
      </c>
      <c r="Y708" s="79">
        <f>IF(X708="","",IF(X708&lt;=AsOf+AlertDays,2,IF(X708&lt;=AsOf+30,3,"")))</f>
        <v/>
      </c>
      <c r="Z708" s="79">
        <f>IF(Y708="","",IF(U708&lt;0,"Maintenance overdue: ","Maintenance due: ")&amp;P708)</f>
        <v/>
      </c>
    </row>
    <row r="709" ht="20" customHeight="1">
      <c r="B709" s="72" t="n"/>
      <c r="C709" s="72" t="n"/>
      <c r="D709" s="72" t="n"/>
      <c r="E709" s="109" t="n"/>
      <c r="F709" s="74" t="n"/>
      <c r="G709" s="126">
        <f>IF(OR(E709="",F709=""),"",DATE(YEAR(E709),MONTH(E709)+ROUND(F709*12,0),DAY(E709)))</f>
        <v/>
      </c>
      <c r="H709" s="144">
        <f>IF(G709="","",G709-AsOf)</f>
        <v/>
      </c>
      <c r="I709" s="107">
        <f>IF(G709="","",IF(H709&lt;0,"Expired",IF(H709&lt;=90,"Expires soon","Active")))</f>
        <v/>
      </c>
      <c r="J709" s="72" t="n"/>
      <c r="K709" s="79">
        <f>IF(I709="","",IF(I709="Active",0,IF(I709="Expires soon",1,3)))</f>
        <v/>
      </c>
      <c r="L709" s="112">
        <f>IF(G709="","",IF(G709&lt;AsOf,"",G709))</f>
        <v/>
      </c>
      <c r="M709" s="79">
        <f>IF(L709="","",IF(L709&lt;=AsOf+AlertDays,2,IF(L709&lt;=AsOf+90,3,"")))</f>
        <v/>
      </c>
      <c r="N709" s="79">
        <f>IF(M709="","","Warranty expires in "&amp;H709&amp;" days: "&amp;B709&amp;IF(C709="",""," ("&amp;C709&amp;")")&amp;" — check for defects")</f>
        <v/>
      </c>
      <c r="P709" s="72" t="n"/>
      <c r="Q709" s="72" t="n"/>
      <c r="R709" s="89" t="n"/>
      <c r="S709" s="109" t="n"/>
      <c r="T709" s="126">
        <f>IF(OR(R709="",S709=""),"",DATE(YEAR(S709),MONTH(S709)+R709,DAY(S709)))</f>
        <v/>
      </c>
      <c r="U709" s="144">
        <f>IF(T709="","",T709-AsOf)</f>
        <v/>
      </c>
      <c r="V709" s="107">
        <f>IF(T709="",IF(P709="","","Enter last-done date"),IF(U709&lt;0,"Overdue",IF(U709&lt;=30,"Due soon","OK")))</f>
        <v/>
      </c>
      <c r="W709" s="79">
        <f>IF(T709="","",IF(U709&lt;0,2,IF(U709&lt;=30,1,0)))</f>
        <v/>
      </c>
      <c r="X709" s="112">
        <f>IF(T709="","",T709)</f>
        <v/>
      </c>
      <c r="Y709" s="79">
        <f>IF(X709="","",IF(X709&lt;=AsOf+AlertDays,2,IF(X709&lt;=AsOf+30,3,"")))</f>
        <v/>
      </c>
      <c r="Z709" s="79">
        <f>IF(Y709="","",IF(U709&lt;0,"Maintenance overdue: ","Maintenance due: ")&amp;P709)</f>
        <v/>
      </c>
    </row>
    <row r="710" ht="20" customHeight="1">
      <c r="B710" s="72" t="n"/>
      <c r="C710" s="72" t="n"/>
      <c r="D710" s="72" t="n"/>
      <c r="E710" s="109" t="n"/>
      <c r="F710" s="74" t="n"/>
      <c r="G710" s="126">
        <f>IF(OR(E710="",F710=""),"",DATE(YEAR(E710),MONTH(E710)+ROUND(F710*12,0),DAY(E710)))</f>
        <v/>
      </c>
      <c r="H710" s="144">
        <f>IF(G710="","",G710-AsOf)</f>
        <v/>
      </c>
      <c r="I710" s="107">
        <f>IF(G710="","",IF(H710&lt;0,"Expired",IF(H710&lt;=90,"Expires soon","Active")))</f>
        <v/>
      </c>
      <c r="J710" s="72" t="n"/>
      <c r="K710" s="79">
        <f>IF(I710="","",IF(I710="Active",0,IF(I710="Expires soon",1,3)))</f>
        <v/>
      </c>
      <c r="L710" s="112">
        <f>IF(G710="","",IF(G710&lt;AsOf,"",G710))</f>
        <v/>
      </c>
      <c r="M710" s="79">
        <f>IF(L710="","",IF(L710&lt;=AsOf+AlertDays,2,IF(L710&lt;=AsOf+90,3,"")))</f>
        <v/>
      </c>
      <c r="N710" s="79">
        <f>IF(M710="","","Warranty expires in "&amp;H710&amp;" days: "&amp;B710&amp;IF(C710="",""," ("&amp;C710&amp;")")&amp;" — check for defects")</f>
        <v/>
      </c>
      <c r="P710" s="72" t="n"/>
      <c r="Q710" s="72" t="n"/>
      <c r="R710" s="89" t="n"/>
      <c r="S710" s="109" t="n"/>
      <c r="T710" s="126">
        <f>IF(OR(R710="",S710=""),"",DATE(YEAR(S710),MONTH(S710)+R710,DAY(S710)))</f>
        <v/>
      </c>
      <c r="U710" s="144">
        <f>IF(T710="","",T710-AsOf)</f>
        <v/>
      </c>
      <c r="V710" s="107">
        <f>IF(T710="",IF(P710="","","Enter last-done date"),IF(U710&lt;0,"Overdue",IF(U710&lt;=30,"Due soon","OK")))</f>
        <v/>
      </c>
      <c r="W710" s="79">
        <f>IF(T710="","",IF(U710&lt;0,2,IF(U710&lt;=30,1,0)))</f>
        <v/>
      </c>
      <c r="X710" s="112">
        <f>IF(T710="","",T710)</f>
        <v/>
      </c>
      <c r="Y710" s="79">
        <f>IF(X710="","",IF(X710&lt;=AsOf+AlertDays,2,IF(X710&lt;=AsOf+30,3,"")))</f>
        <v/>
      </c>
      <c r="Z710" s="79">
        <f>IF(Y710="","",IF(U710&lt;0,"Maintenance overdue: ","Maintenance due: ")&amp;P710)</f>
        <v/>
      </c>
    </row>
    <row r="711" ht="20" customHeight="1">
      <c r="B711" s="72" t="n"/>
      <c r="C711" s="72" t="n"/>
      <c r="D711" s="72" t="n"/>
      <c r="E711" s="109" t="n"/>
      <c r="F711" s="74" t="n"/>
      <c r="G711" s="126">
        <f>IF(OR(E711="",F711=""),"",DATE(YEAR(E711),MONTH(E711)+ROUND(F711*12,0),DAY(E711)))</f>
        <v/>
      </c>
      <c r="H711" s="144">
        <f>IF(G711="","",G711-AsOf)</f>
        <v/>
      </c>
      <c r="I711" s="107">
        <f>IF(G711="","",IF(H711&lt;0,"Expired",IF(H711&lt;=90,"Expires soon","Active")))</f>
        <v/>
      </c>
      <c r="J711" s="72" t="n"/>
      <c r="K711" s="79">
        <f>IF(I711="","",IF(I711="Active",0,IF(I711="Expires soon",1,3)))</f>
        <v/>
      </c>
      <c r="L711" s="112">
        <f>IF(G711="","",IF(G711&lt;AsOf,"",G711))</f>
        <v/>
      </c>
      <c r="M711" s="79">
        <f>IF(L711="","",IF(L711&lt;=AsOf+AlertDays,2,IF(L711&lt;=AsOf+90,3,"")))</f>
        <v/>
      </c>
      <c r="N711" s="79">
        <f>IF(M711="","","Warranty expires in "&amp;H711&amp;" days: "&amp;B711&amp;IF(C711="",""," ("&amp;C711&amp;")")&amp;" — check for defects")</f>
        <v/>
      </c>
      <c r="P711" s="72" t="n"/>
      <c r="Q711" s="72" t="n"/>
      <c r="R711" s="89" t="n"/>
      <c r="S711" s="109" t="n"/>
      <c r="T711" s="126">
        <f>IF(OR(R711="",S711=""),"",DATE(YEAR(S711),MONTH(S711)+R711,DAY(S711)))</f>
        <v/>
      </c>
      <c r="U711" s="144">
        <f>IF(T711="","",T711-AsOf)</f>
        <v/>
      </c>
      <c r="V711" s="107">
        <f>IF(T711="",IF(P711="","","Enter last-done date"),IF(U711&lt;0,"Overdue",IF(U711&lt;=30,"Due soon","OK")))</f>
        <v/>
      </c>
      <c r="W711" s="79">
        <f>IF(T711="","",IF(U711&lt;0,2,IF(U711&lt;=30,1,0)))</f>
        <v/>
      </c>
      <c r="X711" s="112">
        <f>IF(T711="","",T711)</f>
        <v/>
      </c>
      <c r="Y711" s="79">
        <f>IF(X711="","",IF(X711&lt;=AsOf+AlertDays,2,IF(X711&lt;=AsOf+30,3,"")))</f>
        <v/>
      </c>
      <c r="Z711" s="79">
        <f>IF(Y711="","",IF(U711&lt;0,"Maintenance overdue: ","Maintenance due: ")&amp;P711)</f>
        <v/>
      </c>
    </row>
    <row r="712" ht="20" customHeight="1">
      <c r="B712" s="72" t="n"/>
      <c r="C712" s="72" t="n"/>
      <c r="D712" s="72" t="n"/>
      <c r="E712" s="109" t="n"/>
      <c r="F712" s="74" t="n"/>
      <c r="G712" s="126">
        <f>IF(OR(E712="",F712=""),"",DATE(YEAR(E712),MONTH(E712)+ROUND(F712*12,0),DAY(E712)))</f>
        <v/>
      </c>
      <c r="H712" s="144">
        <f>IF(G712="","",G712-AsOf)</f>
        <v/>
      </c>
      <c r="I712" s="107">
        <f>IF(G712="","",IF(H712&lt;0,"Expired",IF(H712&lt;=90,"Expires soon","Active")))</f>
        <v/>
      </c>
      <c r="J712" s="72" t="n"/>
      <c r="K712" s="79">
        <f>IF(I712="","",IF(I712="Active",0,IF(I712="Expires soon",1,3)))</f>
        <v/>
      </c>
      <c r="L712" s="112">
        <f>IF(G712="","",IF(G712&lt;AsOf,"",G712))</f>
        <v/>
      </c>
      <c r="M712" s="79">
        <f>IF(L712="","",IF(L712&lt;=AsOf+AlertDays,2,IF(L712&lt;=AsOf+90,3,"")))</f>
        <v/>
      </c>
      <c r="N712" s="79">
        <f>IF(M712="","","Warranty expires in "&amp;H712&amp;" days: "&amp;B712&amp;IF(C712="",""," ("&amp;C712&amp;")")&amp;" — check for defects")</f>
        <v/>
      </c>
      <c r="P712" s="72" t="n"/>
      <c r="Q712" s="72" t="n"/>
      <c r="R712" s="89" t="n"/>
      <c r="S712" s="109" t="n"/>
      <c r="T712" s="126">
        <f>IF(OR(R712="",S712=""),"",DATE(YEAR(S712),MONTH(S712)+R712,DAY(S712)))</f>
        <v/>
      </c>
      <c r="U712" s="144">
        <f>IF(T712="","",T712-AsOf)</f>
        <v/>
      </c>
      <c r="V712" s="107">
        <f>IF(T712="",IF(P712="","","Enter last-done date"),IF(U712&lt;0,"Overdue",IF(U712&lt;=30,"Due soon","OK")))</f>
        <v/>
      </c>
      <c r="W712" s="79">
        <f>IF(T712="","",IF(U712&lt;0,2,IF(U712&lt;=30,1,0)))</f>
        <v/>
      </c>
      <c r="X712" s="112">
        <f>IF(T712="","",T712)</f>
        <v/>
      </c>
      <c r="Y712" s="79">
        <f>IF(X712="","",IF(X712&lt;=AsOf+AlertDays,2,IF(X712&lt;=AsOf+30,3,"")))</f>
        <v/>
      </c>
      <c r="Z712" s="79">
        <f>IF(Y712="","",IF(U712&lt;0,"Maintenance overdue: ","Maintenance due: ")&amp;P712)</f>
        <v/>
      </c>
    </row>
    <row r="713" ht="20" customHeight="1">
      <c r="B713" s="72" t="n"/>
      <c r="C713" s="72" t="n"/>
      <c r="D713" s="72" t="n"/>
      <c r="E713" s="109" t="n"/>
      <c r="F713" s="74" t="n"/>
      <c r="G713" s="126">
        <f>IF(OR(E713="",F713=""),"",DATE(YEAR(E713),MONTH(E713)+ROUND(F713*12,0),DAY(E713)))</f>
        <v/>
      </c>
      <c r="H713" s="144">
        <f>IF(G713="","",G713-AsOf)</f>
        <v/>
      </c>
      <c r="I713" s="107">
        <f>IF(G713="","",IF(H713&lt;0,"Expired",IF(H713&lt;=90,"Expires soon","Active")))</f>
        <v/>
      </c>
      <c r="J713" s="72" t="n"/>
      <c r="K713" s="79">
        <f>IF(I713="","",IF(I713="Active",0,IF(I713="Expires soon",1,3)))</f>
        <v/>
      </c>
      <c r="L713" s="112">
        <f>IF(G713="","",IF(G713&lt;AsOf,"",G713))</f>
        <v/>
      </c>
      <c r="M713" s="79">
        <f>IF(L713="","",IF(L713&lt;=AsOf+AlertDays,2,IF(L713&lt;=AsOf+90,3,"")))</f>
        <v/>
      </c>
      <c r="N713" s="79">
        <f>IF(M713="","","Warranty expires in "&amp;H713&amp;" days: "&amp;B713&amp;IF(C713="",""," ("&amp;C713&amp;")")&amp;" — check for defects")</f>
        <v/>
      </c>
      <c r="P713" s="72" t="n"/>
      <c r="Q713" s="72" t="n"/>
      <c r="R713" s="89" t="n"/>
      <c r="S713" s="109" t="n"/>
      <c r="T713" s="126">
        <f>IF(OR(R713="",S713=""),"",DATE(YEAR(S713),MONTH(S713)+R713,DAY(S713)))</f>
        <v/>
      </c>
      <c r="U713" s="144">
        <f>IF(T713="","",T713-AsOf)</f>
        <v/>
      </c>
      <c r="V713" s="107">
        <f>IF(T713="",IF(P713="","","Enter last-done date"),IF(U713&lt;0,"Overdue",IF(U713&lt;=30,"Due soon","OK")))</f>
        <v/>
      </c>
      <c r="W713" s="79">
        <f>IF(T713="","",IF(U713&lt;0,2,IF(U713&lt;=30,1,0)))</f>
        <v/>
      </c>
      <c r="X713" s="112">
        <f>IF(T713="","",T713)</f>
        <v/>
      </c>
      <c r="Y713" s="79">
        <f>IF(X713="","",IF(X713&lt;=AsOf+AlertDays,2,IF(X713&lt;=AsOf+30,3,"")))</f>
        <v/>
      </c>
      <c r="Z713" s="79">
        <f>IF(Y713="","",IF(U713&lt;0,"Maintenance overdue: ","Maintenance due: ")&amp;P713)</f>
        <v/>
      </c>
    </row>
    <row r="714" ht="20" customHeight="1">
      <c r="B714" s="72" t="n"/>
      <c r="C714" s="72" t="n"/>
      <c r="D714" s="72" t="n"/>
      <c r="E714" s="109" t="n"/>
      <c r="F714" s="74" t="n"/>
      <c r="G714" s="126">
        <f>IF(OR(E714="",F714=""),"",DATE(YEAR(E714),MONTH(E714)+ROUND(F714*12,0),DAY(E714)))</f>
        <v/>
      </c>
      <c r="H714" s="144">
        <f>IF(G714="","",G714-AsOf)</f>
        <v/>
      </c>
      <c r="I714" s="107">
        <f>IF(G714="","",IF(H714&lt;0,"Expired",IF(H714&lt;=90,"Expires soon","Active")))</f>
        <v/>
      </c>
      <c r="J714" s="72" t="n"/>
      <c r="K714" s="79">
        <f>IF(I714="","",IF(I714="Active",0,IF(I714="Expires soon",1,3)))</f>
        <v/>
      </c>
      <c r="L714" s="112">
        <f>IF(G714="","",IF(G714&lt;AsOf,"",G714))</f>
        <v/>
      </c>
      <c r="M714" s="79">
        <f>IF(L714="","",IF(L714&lt;=AsOf+AlertDays,2,IF(L714&lt;=AsOf+90,3,"")))</f>
        <v/>
      </c>
      <c r="N714" s="79">
        <f>IF(M714="","","Warranty expires in "&amp;H714&amp;" days: "&amp;B714&amp;IF(C714="",""," ("&amp;C714&amp;")")&amp;" — check for defects")</f>
        <v/>
      </c>
      <c r="P714" s="72" t="n"/>
      <c r="Q714" s="72" t="n"/>
      <c r="R714" s="89" t="n"/>
      <c r="S714" s="109" t="n"/>
      <c r="T714" s="126">
        <f>IF(OR(R714="",S714=""),"",DATE(YEAR(S714),MONTH(S714)+R714,DAY(S714)))</f>
        <v/>
      </c>
      <c r="U714" s="144">
        <f>IF(T714="","",T714-AsOf)</f>
        <v/>
      </c>
      <c r="V714" s="107">
        <f>IF(T714="",IF(P714="","","Enter last-done date"),IF(U714&lt;0,"Overdue",IF(U714&lt;=30,"Due soon","OK")))</f>
        <v/>
      </c>
      <c r="W714" s="79">
        <f>IF(T714="","",IF(U714&lt;0,2,IF(U714&lt;=30,1,0)))</f>
        <v/>
      </c>
      <c r="X714" s="112">
        <f>IF(T714="","",T714)</f>
        <v/>
      </c>
      <c r="Y714" s="79">
        <f>IF(X714="","",IF(X714&lt;=AsOf+AlertDays,2,IF(X714&lt;=AsOf+30,3,"")))</f>
        <v/>
      </c>
      <c r="Z714" s="79">
        <f>IF(Y714="","",IF(U714&lt;0,"Maintenance overdue: ","Maintenance due: ")&amp;P714)</f>
        <v/>
      </c>
    </row>
    <row r="715" ht="20" customHeight="1">
      <c r="B715" s="72" t="n"/>
      <c r="C715" s="72" t="n"/>
      <c r="D715" s="72" t="n"/>
      <c r="E715" s="109" t="n"/>
      <c r="F715" s="74" t="n"/>
      <c r="G715" s="126">
        <f>IF(OR(E715="",F715=""),"",DATE(YEAR(E715),MONTH(E715)+ROUND(F715*12,0),DAY(E715)))</f>
        <v/>
      </c>
      <c r="H715" s="144">
        <f>IF(G715="","",G715-AsOf)</f>
        <v/>
      </c>
      <c r="I715" s="107">
        <f>IF(G715="","",IF(H715&lt;0,"Expired",IF(H715&lt;=90,"Expires soon","Active")))</f>
        <v/>
      </c>
      <c r="J715" s="72" t="n"/>
      <c r="K715" s="79">
        <f>IF(I715="","",IF(I715="Active",0,IF(I715="Expires soon",1,3)))</f>
        <v/>
      </c>
      <c r="L715" s="112">
        <f>IF(G715="","",IF(G715&lt;AsOf,"",G715))</f>
        <v/>
      </c>
      <c r="M715" s="79">
        <f>IF(L715="","",IF(L715&lt;=AsOf+AlertDays,2,IF(L715&lt;=AsOf+90,3,"")))</f>
        <v/>
      </c>
      <c r="N715" s="79">
        <f>IF(M715="","","Warranty expires in "&amp;H715&amp;" days: "&amp;B715&amp;IF(C715="",""," ("&amp;C715&amp;")")&amp;" — check for defects")</f>
        <v/>
      </c>
      <c r="P715" s="72" t="n"/>
      <c r="Q715" s="72" t="n"/>
      <c r="R715" s="89" t="n"/>
      <c r="S715" s="109" t="n"/>
      <c r="T715" s="126">
        <f>IF(OR(R715="",S715=""),"",DATE(YEAR(S715),MONTH(S715)+R715,DAY(S715)))</f>
        <v/>
      </c>
      <c r="U715" s="144">
        <f>IF(T715="","",T715-AsOf)</f>
        <v/>
      </c>
      <c r="V715" s="107">
        <f>IF(T715="",IF(P715="","","Enter last-done date"),IF(U715&lt;0,"Overdue",IF(U715&lt;=30,"Due soon","OK")))</f>
        <v/>
      </c>
      <c r="W715" s="79">
        <f>IF(T715="","",IF(U715&lt;0,2,IF(U715&lt;=30,1,0)))</f>
        <v/>
      </c>
      <c r="X715" s="112">
        <f>IF(T715="","",T715)</f>
        <v/>
      </c>
      <c r="Y715" s="79">
        <f>IF(X715="","",IF(X715&lt;=AsOf+AlertDays,2,IF(X715&lt;=AsOf+30,3,"")))</f>
        <v/>
      </c>
      <c r="Z715" s="79">
        <f>IF(Y715="","",IF(U715&lt;0,"Maintenance overdue: ","Maintenance due: ")&amp;P715)</f>
        <v/>
      </c>
    </row>
    <row r="716" ht="20" customHeight="1">
      <c r="B716" s="72" t="n"/>
      <c r="C716" s="72" t="n"/>
      <c r="D716" s="72" t="n"/>
      <c r="E716" s="109" t="n"/>
      <c r="F716" s="74" t="n"/>
      <c r="G716" s="126">
        <f>IF(OR(E716="",F716=""),"",DATE(YEAR(E716),MONTH(E716)+ROUND(F716*12,0),DAY(E716)))</f>
        <v/>
      </c>
      <c r="H716" s="144">
        <f>IF(G716="","",G716-AsOf)</f>
        <v/>
      </c>
      <c r="I716" s="107">
        <f>IF(G716="","",IF(H716&lt;0,"Expired",IF(H716&lt;=90,"Expires soon","Active")))</f>
        <v/>
      </c>
      <c r="J716" s="72" t="n"/>
      <c r="K716" s="79">
        <f>IF(I716="","",IF(I716="Active",0,IF(I716="Expires soon",1,3)))</f>
        <v/>
      </c>
      <c r="L716" s="112">
        <f>IF(G716="","",IF(G716&lt;AsOf,"",G716))</f>
        <v/>
      </c>
      <c r="M716" s="79">
        <f>IF(L716="","",IF(L716&lt;=AsOf+AlertDays,2,IF(L716&lt;=AsOf+90,3,"")))</f>
        <v/>
      </c>
      <c r="N716" s="79">
        <f>IF(M716="","","Warranty expires in "&amp;H716&amp;" days: "&amp;B716&amp;IF(C716="",""," ("&amp;C716&amp;")")&amp;" — check for defects")</f>
        <v/>
      </c>
      <c r="P716" s="72" t="n"/>
      <c r="Q716" s="72" t="n"/>
      <c r="R716" s="89" t="n"/>
      <c r="S716" s="109" t="n"/>
      <c r="T716" s="126">
        <f>IF(OR(R716="",S716=""),"",DATE(YEAR(S716),MONTH(S716)+R716,DAY(S716)))</f>
        <v/>
      </c>
      <c r="U716" s="144">
        <f>IF(T716="","",T716-AsOf)</f>
        <v/>
      </c>
      <c r="V716" s="107">
        <f>IF(T716="",IF(P716="","","Enter last-done date"),IF(U716&lt;0,"Overdue",IF(U716&lt;=30,"Due soon","OK")))</f>
        <v/>
      </c>
      <c r="W716" s="79">
        <f>IF(T716="","",IF(U716&lt;0,2,IF(U716&lt;=30,1,0)))</f>
        <v/>
      </c>
      <c r="X716" s="112">
        <f>IF(T716="","",T716)</f>
        <v/>
      </c>
      <c r="Y716" s="79">
        <f>IF(X716="","",IF(X716&lt;=AsOf+AlertDays,2,IF(X716&lt;=AsOf+30,3,"")))</f>
        <v/>
      </c>
      <c r="Z716" s="79">
        <f>IF(Y716="","",IF(U716&lt;0,"Maintenance overdue: ","Maintenance due: ")&amp;P716)</f>
        <v/>
      </c>
    </row>
    <row r="717" ht="20" customHeight="1">
      <c r="B717" s="72" t="n"/>
      <c r="C717" s="72" t="n"/>
      <c r="D717" s="72" t="n"/>
      <c r="E717" s="109" t="n"/>
      <c r="F717" s="74" t="n"/>
      <c r="G717" s="126">
        <f>IF(OR(E717="",F717=""),"",DATE(YEAR(E717),MONTH(E717)+ROUND(F717*12,0),DAY(E717)))</f>
        <v/>
      </c>
      <c r="H717" s="144">
        <f>IF(G717="","",G717-AsOf)</f>
        <v/>
      </c>
      <c r="I717" s="107">
        <f>IF(G717="","",IF(H717&lt;0,"Expired",IF(H717&lt;=90,"Expires soon","Active")))</f>
        <v/>
      </c>
      <c r="J717" s="72" t="n"/>
      <c r="K717" s="79">
        <f>IF(I717="","",IF(I717="Active",0,IF(I717="Expires soon",1,3)))</f>
        <v/>
      </c>
      <c r="L717" s="112">
        <f>IF(G717="","",IF(G717&lt;AsOf,"",G717))</f>
        <v/>
      </c>
      <c r="M717" s="79">
        <f>IF(L717="","",IF(L717&lt;=AsOf+AlertDays,2,IF(L717&lt;=AsOf+90,3,"")))</f>
        <v/>
      </c>
      <c r="N717" s="79">
        <f>IF(M717="","","Warranty expires in "&amp;H717&amp;" days: "&amp;B717&amp;IF(C717="",""," ("&amp;C717&amp;")")&amp;" — check for defects")</f>
        <v/>
      </c>
      <c r="P717" s="72" t="n"/>
      <c r="Q717" s="72" t="n"/>
      <c r="R717" s="89" t="n"/>
      <c r="S717" s="109" t="n"/>
      <c r="T717" s="126">
        <f>IF(OR(R717="",S717=""),"",DATE(YEAR(S717),MONTH(S717)+R717,DAY(S717)))</f>
        <v/>
      </c>
      <c r="U717" s="144">
        <f>IF(T717="","",T717-AsOf)</f>
        <v/>
      </c>
      <c r="V717" s="107">
        <f>IF(T717="",IF(P717="","","Enter last-done date"),IF(U717&lt;0,"Overdue",IF(U717&lt;=30,"Due soon","OK")))</f>
        <v/>
      </c>
      <c r="W717" s="79">
        <f>IF(T717="","",IF(U717&lt;0,2,IF(U717&lt;=30,1,0)))</f>
        <v/>
      </c>
      <c r="X717" s="112">
        <f>IF(T717="","",T717)</f>
        <v/>
      </c>
      <c r="Y717" s="79">
        <f>IF(X717="","",IF(X717&lt;=AsOf+AlertDays,2,IF(X717&lt;=AsOf+30,3,"")))</f>
        <v/>
      </c>
      <c r="Z717" s="79">
        <f>IF(Y717="","",IF(U717&lt;0,"Maintenance overdue: ","Maintenance due: ")&amp;P717)</f>
        <v/>
      </c>
    </row>
    <row r="718" ht="20" customHeight="1">
      <c r="B718" s="72" t="n"/>
      <c r="C718" s="72" t="n"/>
      <c r="D718" s="72" t="n"/>
      <c r="E718" s="109" t="n"/>
      <c r="F718" s="74" t="n"/>
      <c r="G718" s="126">
        <f>IF(OR(E718="",F718=""),"",DATE(YEAR(E718),MONTH(E718)+ROUND(F718*12,0),DAY(E718)))</f>
        <v/>
      </c>
      <c r="H718" s="144">
        <f>IF(G718="","",G718-AsOf)</f>
        <v/>
      </c>
      <c r="I718" s="107">
        <f>IF(G718="","",IF(H718&lt;0,"Expired",IF(H718&lt;=90,"Expires soon","Active")))</f>
        <v/>
      </c>
      <c r="J718" s="72" t="n"/>
      <c r="K718" s="79">
        <f>IF(I718="","",IF(I718="Active",0,IF(I718="Expires soon",1,3)))</f>
        <v/>
      </c>
      <c r="L718" s="112">
        <f>IF(G718="","",IF(G718&lt;AsOf,"",G718))</f>
        <v/>
      </c>
      <c r="M718" s="79">
        <f>IF(L718="","",IF(L718&lt;=AsOf+AlertDays,2,IF(L718&lt;=AsOf+90,3,"")))</f>
        <v/>
      </c>
      <c r="N718" s="79">
        <f>IF(M718="","","Warranty expires in "&amp;H718&amp;" days: "&amp;B718&amp;IF(C718="",""," ("&amp;C718&amp;")")&amp;" — check for defects")</f>
        <v/>
      </c>
      <c r="P718" s="72" t="n"/>
      <c r="Q718" s="72" t="n"/>
      <c r="R718" s="89" t="n"/>
      <c r="S718" s="109" t="n"/>
      <c r="T718" s="126">
        <f>IF(OR(R718="",S718=""),"",DATE(YEAR(S718),MONTH(S718)+R718,DAY(S718)))</f>
        <v/>
      </c>
      <c r="U718" s="144">
        <f>IF(T718="","",T718-AsOf)</f>
        <v/>
      </c>
      <c r="V718" s="107">
        <f>IF(T718="",IF(P718="","","Enter last-done date"),IF(U718&lt;0,"Overdue",IF(U718&lt;=30,"Due soon","OK")))</f>
        <v/>
      </c>
      <c r="W718" s="79">
        <f>IF(T718="","",IF(U718&lt;0,2,IF(U718&lt;=30,1,0)))</f>
        <v/>
      </c>
      <c r="X718" s="112">
        <f>IF(T718="","",T718)</f>
        <v/>
      </c>
      <c r="Y718" s="79">
        <f>IF(X718="","",IF(X718&lt;=AsOf+AlertDays,2,IF(X718&lt;=AsOf+30,3,"")))</f>
        <v/>
      </c>
      <c r="Z718" s="79">
        <f>IF(Y718="","",IF(U718&lt;0,"Maintenance overdue: ","Maintenance due: ")&amp;P718)</f>
        <v/>
      </c>
    </row>
    <row r="719" ht="20" customHeight="1">
      <c r="B719" s="72" t="n"/>
      <c r="C719" s="72" t="n"/>
      <c r="D719" s="72" t="n"/>
      <c r="E719" s="109" t="n"/>
      <c r="F719" s="74" t="n"/>
      <c r="G719" s="126">
        <f>IF(OR(E719="",F719=""),"",DATE(YEAR(E719),MONTH(E719)+ROUND(F719*12,0),DAY(E719)))</f>
        <v/>
      </c>
      <c r="H719" s="144">
        <f>IF(G719="","",G719-AsOf)</f>
        <v/>
      </c>
      <c r="I719" s="107">
        <f>IF(G719="","",IF(H719&lt;0,"Expired",IF(H719&lt;=90,"Expires soon","Active")))</f>
        <v/>
      </c>
      <c r="J719" s="72" t="n"/>
      <c r="K719" s="79">
        <f>IF(I719="","",IF(I719="Active",0,IF(I719="Expires soon",1,3)))</f>
        <v/>
      </c>
      <c r="L719" s="112">
        <f>IF(G719="","",IF(G719&lt;AsOf,"",G719))</f>
        <v/>
      </c>
      <c r="M719" s="79">
        <f>IF(L719="","",IF(L719&lt;=AsOf+AlertDays,2,IF(L719&lt;=AsOf+90,3,"")))</f>
        <v/>
      </c>
      <c r="N719" s="79">
        <f>IF(M719="","","Warranty expires in "&amp;H719&amp;" days: "&amp;B719&amp;IF(C719="",""," ("&amp;C719&amp;")")&amp;" — check for defects")</f>
        <v/>
      </c>
      <c r="P719" s="72" t="n"/>
      <c r="Q719" s="72" t="n"/>
      <c r="R719" s="89" t="n"/>
      <c r="S719" s="109" t="n"/>
      <c r="T719" s="126">
        <f>IF(OR(R719="",S719=""),"",DATE(YEAR(S719),MONTH(S719)+R719,DAY(S719)))</f>
        <v/>
      </c>
      <c r="U719" s="144">
        <f>IF(T719="","",T719-AsOf)</f>
        <v/>
      </c>
      <c r="V719" s="107">
        <f>IF(T719="",IF(P719="","","Enter last-done date"),IF(U719&lt;0,"Overdue",IF(U719&lt;=30,"Due soon","OK")))</f>
        <v/>
      </c>
      <c r="W719" s="79">
        <f>IF(T719="","",IF(U719&lt;0,2,IF(U719&lt;=30,1,0)))</f>
        <v/>
      </c>
      <c r="X719" s="112">
        <f>IF(T719="","",T719)</f>
        <v/>
      </c>
      <c r="Y719" s="79">
        <f>IF(X719="","",IF(X719&lt;=AsOf+AlertDays,2,IF(X719&lt;=AsOf+30,3,"")))</f>
        <v/>
      </c>
      <c r="Z719" s="79">
        <f>IF(Y719="","",IF(U719&lt;0,"Maintenance overdue: ","Maintenance due: ")&amp;P719)</f>
        <v/>
      </c>
    </row>
    <row r="720" ht="20" customHeight="1">
      <c r="B720" s="72" t="n"/>
      <c r="C720" s="72" t="n"/>
      <c r="D720" s="72" t="n"/>
      <c r="E720" s="109" t="n"/>
      <c r="F720" s="74" t="n"/>
      <c r="G720" s="126">
        <f>IF(OR(E720="",F720=""),"",DATE(YEAR(E720),MONTH(E720)+ROUND(F720*12,0),DAY(E720)))</f>
        <v/>
      </c>
      <c r="H720" s="144">
        <f>IF(G720="","",G720-AsOf)</f>
        <v/>
      </c>
      <c r="I720" s="107">
        <f>IF(G720="","",IF(H720&lt;0,"Expired",IF(H720&lt;=90,"Expires soon","Active")))</f>
        <v/>
      </c>
      <c r="J720" s="72" t="n"/>
      <c r="K720" s="79">
        <f>IF(I720="","",IF(I720="Active",0,IF(I720="Expires soon",1,3)))</f>
        <v/>
      </c>
      <c r="L720" s="112">
        <f>IF(G720="","",IF(G720&lt;AsOf,"",G720))</f>
        <v/>
      </c>
      <c r="M720" s="79">
        <f>IF(L720="","",IF(L720&lt;=AsOf+AlertDays,2,IF(L720&lt;=AsOf+90,3,"")))</f>
        <v/>
      </c>
      <c r="N720" s="79">
        <f>IF(M720="","","Warranty expires in "&amp;H720&amp;" days: "&amp;B720&amp;IF(C720="",""," ("&amp;C720&amp;")")&amp;" — check for defects")</f>
        <v/>
      </c>
      <c r="P720" s="72" t="n"/>
      <c r="Q720" s="72" t="n"/>
      <c r="R720" s="89" t="n"/>
      <c r="S720" s="109" t="n"/>
      <c r="T720" s="126">
        <f>IF(OR(R720="",S720=""),"",DATE(YEAR(S720),MONTH(S720)+R720,DAY(S720)))</f>
        <v/>
      </c>
      <c r="U720" s="144">
        <f>IF(T720="","",T720-AsOf)</f>
        <v/>
      </c>
      <c r="V720" s="107">
        <f>IF(T720="",IF(P720="","","Enter last-done date"),IF(U720&lt;0,"Overdue",IF(U720&lt;=30,"Due soon","OK")))</f>
        <v/>
      </c>
      <c r="W720" s="79">
        <f>IF(T720="","",IF(U720&lt;0,2,IF(U720&lt;=30,1,0)))</f>
        <v/>
      </c>
      <c r="X720" s="112">
        <f>IF(T720="","",T720)</f>
        <v/>
      </c>
      <c r="Y720" s="79">
        <f>IF(X720="","",IF(X720&lt;=AsOf+AlertDays,2,IF(X720&lt;=AsOf+30,3,"")))</f>
        <v/>
      </c>
      <c r="Z720" s="79">
        <f>IF(Y720="","",IF(U720&lt;0,"Maintenance overdue: ","Maintenance due: ")&amp;P720)</f>
        <v/>
      </c>
    </row>
    <row r="721" ht="20" customHeight="1">
      <c r="B721" s="72" t="n"/>
      <c r="C721" s="72" t="n"/>
      <c r="D721" s="72" t="n"/>
      <c r="E721" s="109" t="n"/>
      <c r="F721" s="74" t="n"/>
      <c r="G721" s="126">
        <f>IF(OR(E721="",F721=""),"",DATE(YEAR(E721),MONTH(E721)+ROUND(F721*12,0),DAY(E721)))</f>
        <v/>
      </c>
      <c r="H721" s="144">
        <f>IF(G721="","",G721-AsOf)</f>
        <v/>
      </c>
      <c r="I721" s="107">
        <f>IF(G721="","",IF(H721&lt;0,"Expired",IF(H721&lt;=90,"Expires soon","Active")))</f>
        <v/>
      </c>
      <c r="J721" s="72" t="n"/>
      <c r="K721" s="79">
        <f>IF(I721="","",IF(I721="Active",0,IF(I721="Expires soon",1,3)))</f>
        <v/>
      </c>
      <c r="L721" s="112">
        <f>IF(G721="","",IF(G721&lt;AsOf,"",G721))</f>
        <v/>
      </c>
      <c r="M721" s="79">
        <f>IF(L721="","",IF(L721&lt;=AsOf+AlertDays,2,IF(L721&lt;=AsOf+90,3,"")))</f>
        <v/>
      </c>
      <c r="N721" s="79">
        <f>IF(M721="","","Warranty expires in "&amp;H721&amp;" days: "&amp;B721&amp;IF(C721="",""," ("&amp;C721&amp;")")&amp;" — check for defects")</f>
        <v/>
      </c>
      <c r="P721" s="72" t="n"/>
      <c r="Q721" s="72" t="n"/>
      <c r="R721" s="89" t="n"/>
      <c r="S721" s="109" t="n"/>
      <c r="T721" s="126">
        <f>IF(OR(R721="",S721=""),"",DATE(YEAR(S721),MONTH(S721)+R721,DAY(S721)))</f>
        <v/>
      </c>
      <c r="U721" s="144">
        <f>IF(T721="","",T721-AsOf)</f>
        <v/>
      </c>
      <c r="V721" s="107">
        <f>IF(T721="",IF(P721="","","Enter last-done date"),IF(U721&lt;0,"Overdue",IF(U721&lt;=30,"Due soon","OK")))</f>
        <v/>
      </c>
      <c r="W721" s="79">
        <f>IF(T721="","",IF(U721&lt;0,2,IF(U721&lt;=30,1,0)))</f>
        <v/>
      </c>
      <c r="X721" s="112">
        <f>IF(T721="","",T721)</f>
        <v/>
      </c>
      <c r="Y721" s="79">
        <f>IF(X721="","",IF(X721&lt;=AsOf+AlertDays,2,IF(X721&lt;=AsOf+30,3,"")))</f>
        <v/>
      </c>
      <c r="Z721" s="79">
        <f>IF(Y721="","",IF(U721&lt;0,"Maintenance overdue: ","Maintenance due: ")&amp;P721)</f>
        <v/>
      </c>
    </row>
    <row r="722" ht="20" customHeight="1">
      <c r="B722" s="72" t="n"/>
      <c r="C722" s="72" t="n"/>
      <c r="D722" s="72" t="n"/>
      <c r="E722" s="109" t="n"/>
      <c r="F722" s="74" t="n"/>
      <c r="G722" s="126">
        <f>IF(OR(E722="",F722=""),"",DATE(YEAR(E722),MONTH(E722)+ROUND(F722*12,0),DAY(E722)))</f>
        <v/>
      </c>
      <c r="H722" s="144">
        <f>IF(G722="","",G722-AsOf)</f>
        <v/>
      </c>
      <c r="I722" s="107">
        <f>IF(G722="","",IF(H722&lt;0,"Expired",IF(H722&lt;=90,"Expires soon","Active")))</f>
        <v/>
      </c>
      <c r="J722" s="72" t="n"/>
      <c r="K722" s="79">
        <f>IF(I722="","",IF(I722="Active",0,IF(I722="Expires soon",1,3)))</f>
        <v/>
      </c>
      <c r="L722" s="112">
        <f>IF(G722="","",IF(G722&lt;AsOf,"",G722))</f>
        <v/>
      </c>
      <c r="M722" s="79">
        <f>IF(L722="","",IF(L722&lt;=AsOf+AlertDays,2,IF(L722&lt;=AsOf+90,3,"")))</f>
        <v/>
      </c>
      <c r="N722" s="79">
        <f>IF(M722="","","Warranty expires in "&amp;H722&amp;" days: "&amp;B722&amp;IF(C722="",""," ("&amp;C722&amp;")")&amp;" — check for defects")</f>
        <v/>
      </c>
      <c r="P722" s="72" t="n"/>
      <c r="Q722" s="72" t="n"/>
      <c r="R722" s="89" t="n"/>
      <c r="S722" s="109" t="n"/>
      <c r="T722" s="126">
        <f>IF(OR(R722="",S722=""),"",DATE(YEAR(S722),MONTH(S722)+R722,DAY(S722)))</f>
        <v/>
      </c>
      <c r="U722" s="144">
        <f>IF(T722="","",T722-AsOf)</f>
        <v/>
      </c>
      <c r="V722" s="107">
        <f>IF(T722="",IF(P722="","","Enter last-done date"),IF(U722&lt;0,"Overdue",IF(U722&lt;=30,"Due soon","OK")))</f>
        <v/>
      </c>
      <c r="W722" s="79">
        <f>IF(T722="","",IF(U722&lt;0,2,IF(U722&lt;=30,1,0)))</f>
        <v/>
      </c>
      <c r="X722" s="112">
        <f>IF(T722="","",T722)</f>
        <v/>
      </c>
      <c r="Y722" s="79">
        <f>IF(X722="","",IF(X722&lt;=AsOf+AlertDays,2,IF(X722&lt;=AsOf+30,3,"")))</f>
        <v/>
      </c>
      <c r="Z722" s="79">
        <f>IF(Y722="","",IF(U722&lt;0,"Maintenance overdue: ","Maintenance due: ")&amp;P722)</f>
        <v/>
      </c>
    </row>
    <row r="723" ht="20" customHeight="1">
      <c r="B723" s="72" t="n"/>
      <c r="C723" s="72" t="n"/>
      <c r="D723" s="72" t="n"/>
      <c r="E723" s="109" t="n"/>
      <c r="F723" s="74" t="n"/>
      <c r="G723" s="126">
        <f>IF(OR(E723="",F723=""),"",DATE(YEAR(E723),MONTH(E723)+ROUND(F723*12,0),DAY(E723)))</f>
        <v/>
      </c>
      <c r="H723" s="144">
        <f>IF(G723="","",G723-AsOf)</f>
        <v/>
      </c>
      <c r="I723" s="107">
        <f>IF(G723="","",IF(H723&lt;0,"Expired",IF(H723&lt;=90,"Expires soon","Active")))</f>
        <v/>
      </c>
      <c r="J723" s="72" t="n"/>
      <c r="K723" s="79">
        <f>IF(I723="","",IF(I723="Active",0,IF(I723="Expires soon",1,3)))</f>
        <v/>
      </c>
      <c r="L723" s="112">
        <f>IF(G723="","",IF(G723&lt;AsOf,"",G723))</f>
        <v/>
      </c>
      <c r="M723" s="79">
        <f>IF(L723="","",IF(L723&lt;=AsOf+AlertDays,2,IF(L723&lt;=AsOf+90,3,"")))</f>
        <v/>
      </c>
      <c r="N723" s="79">
        <f>IF(M723="","","Warranty expires in "&amp;H723&amp;" days: "&amp;B723&amp;IF(C723="",""," ("&amp;C723&amp;")")&amp;" — check for defects")</f>
        <v/>
      </c>
      <c r="P723" s="72" t="n"/>
      <c r="Q723" s="72" t="n"/>
      <c r="R723" s="89" t="n"/>
      <c r="S723" s="109" t="n"/>
      <c r="T723" s="126">
        <f>IF(OR(R723="",S723=""),"",DATE(YEAR(S723),MONTH(S723)+R723,DAY(S723)))</f>
        <v/>
      </c>
      <c r="U723" s="144">
        <f>IF(T723="","",T723-AsOf)</f>
        <v/>
      </c>
      <c r="V723" s="107">
        <f>IF(T723="",IF(P723="","","Enter last-done date"),IF(U723&lt;0,"Overdue",IF(U723&lt;=30,"Due soon","OK")))</f>
        <v/>
      </c>
      <c r="W723" s="79">
        <f>IF(T723="","",IF(U723&lt;0,2,IF(U723&lt;=30,1,0)))</f>
        <v/>
      </c>
      <c r="X723" s="112">
        <f>IF(T723="","",T723)</f>
        <v/>
      </c>
      <c r="Y723" s="79">
        <f>IF(X723="","",IF(X723&lt;=AsOf+AlertDays,2,IF(X723&lt;=AsOf+30,3,"")))</f>
        <v/>
      </c>
      <c r="Z723" s="79">
        <f>IF(Y723="","",IF(U723&lt;0,"Maintenance overdue: ","Maintenance due: ")&amp;P723)</f>
        <v/>
      </c>
    </row>
    <row r="724" ht="20" customHeight="1">
      <c r="B724" s="72" t="n"/>
      <c r="C724" s="72" t="n"/>
      <c r="D724" s="72" t="n"/>
      <c r="E724" s="109" t="n"/>
      <c r="F724" s="74" t="n"/>
      <c r="G724" s="126">
        <f>IF(OR(E724="",F724=""),"",DATE(YEAR(E724),MONTH(E724)+ROUND(F724*12,0),DAY(E724)))</f>
        <v/>
      </c>
      <c r="H724" s="144">
        <f>IF(G724="","",G724-AsOf)</f>
        <v/>
      </c>
      <c r="I724" s="107">
        <f>IF(G724="","",IF(H724&lt;0,"Expired",IF(H724&lt;=90,"Expires soon","Active")))</f>
        <v/>
      </c>
      <c r="J724" s="72" t="n"/>
      <c r="K724" s="79">
        <f>IF(I724="","",IF(I724="Active",0,IF(I724="Expires soon",1,3)))</f>
        <v/>
      </c>
      <c r="L724" s="112">
        <f>IF(G724="","",IF(G724&lt;AsOf,"",G724))</f>
        <v/>
      </c>
      <c r="M724" s="79">
        <f>IF(L724="","",IF(L724&lt;=AsOf+AlertDays,2,IF(L724&lt;=AsOf+90,3,"")))</f>
        <v/>
      </c>
      <c r="N724" s="79">
        <f>IF(M724="","","Warranty expires in "&amp;H724&amp;" days: "&amp;B724&amp;IF(C724="",""," ("&amp;C724&amp;")")&amp;" — check for defects")</f>
        <v/>
      </c>
      <c r="P724" s="72" t="n"/>
      <c r="Q724" s="72" t="n"/>
      <c r="R724" s="89" t="n"/>
      <c r="S724" s="109" t="n"/>
      <c r="T724" s="126">
        <f>IF(OR(R724="",S724=""),"",DATE(YEAR(S724),MONTH(S724)+R724,DAY(S724)))</f>
        <v/>
      </c>
      <c r="U724" s="144">
        <f>IF(T724="","",T724-AsOf)</f>
        <v/>
      </c>
      <c r="V724" s="107">
        <f>IF(T724="",IF(P724="","","Enter last-done date"),IF(U724&lt;0,"Overdue",IF(U724&lt;=30,"Due soon","OK")))</f>
        <v/>
      </c>
      <c r="W724" s="79">
        <f>IF(T724="","",IF(U724&lt;0,2,IF(U724&lt;=30,1,0)))</f>
        <v/>
      </c>
      <c r="X724" s="112">
        <f>IF(T724="","",T724)</f>
        <v/>
      </c>
      <c r="Y724" s="79">
        <f>IF(X724="","",IF(X724&lt;=AsOf+AlertDays,2,IF(X724&lt;=AsOf+30,3,"")))</f>
        <v/>
      </c>
      <c r="Z724" s="79">
        <f>IF(Y724="","",IF(U724&lt;0,"Maintenance overdue: ","Maintenance due: ")&amp;P724)</f>
        <v/>
      </c>
    </row>
    <row r="725" ht="20" customHeight="1">
      <c r="B725" s="72" t="n"/>
      <c r="C725" s="72" t="n"/>
      <c r="D725" s="72" t="n"/>
      <c r="E725" s="109" t="n"/>
      <c r="F725" s="74" t="n"/>
      <c r="G725" s="126">
        <f>IF(OR(E725="",F725=""),"",DATE(YEAR(E725),MONTH(E725)+ROUND(F725*12,0),DAY(E725)))</f>
        <v/>
      </c>
      <c r="H725" s="144">
        <f>IF(G725="","",G725-AsOf)</f>
        <v/>
      </c>
      <c r="I725" s="107">
        <f>IF(G725="","",IF(H725&lt;0,"Expired",IF(H725&lt;=90,"Expires soon","Active")))</f>
        <v/>
      </c>
      <c r="J725" s="72" t="n"/>
      <c r="K725" s="79">
        <f>IF(I725="","",IF(I725="Active",0,IF(I725="Expires soon",1,3)))</f>
        <v/>
      </c>
      <c r="L725" s="112">
        <f>IF(G725="","",IF(G725&lt;AsOf,"",G725))</f>
        <v/>
      </c>
      <c r="M725" s="79">
        <f>IF(L725="","",IF(L725&lt;=AsOf+AlertDays,2,IF(L725&lt;=AsOf+90,3,"")))</f>
        <v/>
      </c>
      <c r="N725" s="79">
        <f>IF(M725="","","Warranty expires in "&amp;H725&amp;" days: "&amp;B725&amp;IF(C725="",""," ("&amp;C725&amp;")")&amp;" — check for defects")</f>
        <v/>
      </c>
      <c r="P725" s="72" t="n"/>
      <c r="Q725" s="72" t="n"/>
      <c r="R725" s="89" t="n"/>
      <c r="S725" s="109" t="n"/>
      <c r="T725" s="126">
        <f>IF(OR(R725="",S725=""),"",DATE(YEAR(S725),MONTH(S725)+R725,DAY(S725)))</f>
        <v/>
      </c>
      <c r="U725" s="144">
        <f>IF(T725="","",T725-AsOf)</f>
        <v/>
      </c>
      <c r="V725" s="107">
        <f>IF(T725="",IF(P725="","","Enter last-done date"),IF(U725&lt;0,"Overdue",IF(U725&lt;=30,"Due soon","OK")))</f>
        <v/>
      </c>
      <c r="W725" s="79">
        <f>IF(T725="","",IF(U725&lt;0,2,IF(U725&lt;=30,1,0)))</f>
        <v/>
      </c>
      <c r="X725" s="112">
        <f>IF(T725="","",T725)</f>
        <v/>
      </c>
      <c r="Y725" s="79">
        <f>IF(X725="","",IF(X725&lt;=AsOf+AlertDays,2,IF(X725&lt;=AsOf+30,3,"")))</f>
        <v/>
      </c>
      <c r="Z725" s="79">
        <f>IF(Y725="","",IF(U725&lt;0,"Maintenance overdue: ","Maintenance due: ")&amp;P725)</f>
        <v/>
      </c>
    </row>
    <row r="726" ht="20" customHeight="1">
      <c r="B726" s="72" t="n"/>
      <c r="C726" s="72" t="n"/>
      <c r="D726" s="72" t="n"/>
      <c r="E726" s="109" t="n"/>
      <c r="F726" s="74" t="n"/>
      <c r="G726" s="126">
        <f>IF(OR(E726="",F726=""),"",DATE(YEAR(E726),MONTH(E726)+ROUND(F726*12,0),DAY(E726)))</f>
        <v/>
      </c>
      <c r="H726" s="144">
        <f>IF(G726="","",G726-AsOf)</f>
        <v/>
      </c>
      <c r="I726" s="107">
        <f>IF(G726="","",IF(H726&lt;0,"Expired",IF(H726&lt;=90,"Expires soon","Active")))</f>
        <v/>
      </c>
      <c r="J726" s="72" t="n"/>
      <c r="K726" s="79">
        <f>IF(I726="","",IF(I726="Active",0,IF(I726="Expires soon",1,3)))</f>
        <v/>
      </c>
      <c r="L726" s="112">
        <f>IF(G726="","",IF(G726&lt;AsOf,"",G726))</f>
        <v/>
      </c>
      <c r="M726" s="79">
        <f>IF(L726="","",IF(L726&lt;=AsOf+AlertDays,2,IF(L726&lt;=AsOf+90,3,"")))</f>
        <v/>
      </c>
      <c r="N726" s="79">
        <f>IF(M726="","","Warranty expires in "&amp;H726&amp;" days: "&amp;B726&amp;IF(C726="",""," ("&amp;C726&amp;")")&amp;" — check for defects")</f>
        <v/>
      </c>
      <c r="P726" s="72" t="n"/>
      <c r="Q726" s="72" t="n"/>
      <c r="R726" s="89" t="n"/>
      <c r="S726" s="109" t="n"/>
      <c r="T726" s="126">
        <f>IF(OR(R726="",S726=""),"",DATE(YEAR(S726),MONTH(S726)+R726,DAY(S726)))</f>
        <v/>
      </c>
      <c r="U726" s="144">
        <f>IF(T726="","",T726-AsOf)</f>
        <v/>
      </c>
      <c r="V726" s="107">
        <f>IF(T726="",IF(P726="","","Enter last-done date"),IF(U726&lt;0,"Overdue",IF(U726&lt;=30,"Due soon","OK")))</f>
        <v/>
      </c>
      <c r="W726" s="79">
        <f>IF(T726="","",IF(U726&lt;0,2,IF(U726&lt;=30,1,0)))</f>
        <v/>
      </c>
      <c r="X726" s="112">
        <f>IF(T726="","",T726)</f>
        <v/>
      </c>
      <c r="Y726" s="79">
        <f>IF(X726="","",IF(X726&lt;=AsOf+AlertDays,2,IF(X726&lt;=AsOf+30,3,"")))</f>
        <v/>
      </c>
      <c r="Z726" s="79">
        <f>IF(Y726="","",IF(U726&lt;0,"Maintenance overdue: ","Maintenance due: ")&amp;P726)</f>
        <v/>
      </c>
    </row>
    <row r="727" ht="20" customHeight="1">
      <c r="B727" s="72" t="n"/>
      <c r="C727" s="72" t="n"/>
      <c r="D727" s="72" t="n"/>
      <c r="E727" s="109" t="n"/>
      <c r="F727" s="74" t="n"/>
      <c r="G727" s="126">
        <f>IF(OR(E727="",F727=""),"",DATE(YEAR(E727),MONTH(E727)+ROUND(F727*12,0),DAY(E727)))</f>
        <v/>
      </c>
      <c r="H727" s="144">
        <f>IF(G727="","",G727-AsOf)</f>
        <v/>
      </c>
      <c r="I727" s="107">
        <f>IF(G727="","",IF(H727&lt;0,"Expired",IF(H727&lt;=90,"Expires soon","Active")))</f>
        <v/>
      </c>
      <c r="J727" s="72" t="n"/>
      <c r="K727" s="79">
        <f>IF(I727="","",IF(I727="Active",0,IF(I727="Expires soon",1,3)))</f>
        <v/>
      </c>
      <c r="L727" s="112">
        <f>IF(G727="","",IF(G727&lt;AsOf,"",G727))</f>
        <v/>
      </c>
      <c r="M727" s="79">
        <f>IF(L727="","",IF(L727&lt;=AsOf+AlertDays,2,IF(L727&lt;=AsOf+90,3,"")))</f>
        <v/>
      </c>
      <c r="N727" s="79">
        <f>IF(M727="","","Warranty expires in "&amp;H727&amp;" days: "&amp;B727&amp;IF(C727="",""," ("&amp;C727&amp;")")&amp;" — check for defects")</f>
        <v/>
      </c>
      <c r="P727" s="72" t="n"/>
      <c r="Q727" s="72" t="n"/>
      <c r="R727" s="89" t="n"/>
      <c r="S727" s="109" t="n"/>
      <c r="T727" s="126">
        <f>IF(OR(R727="",S727=""),"",DATE(YEAR(S727),MONTH(S727)+R727,DAY(S727)))</f>
        <v/>
      </c>
      <c r="U727" s="144">
        <f>IF(T727="","",T727-AsOf)</f>
        <v/>
      </c>
      <c r="V727" s="107">
        <f>IF(T727="",IF(P727="","","Enter last-done date"),IF(U727&lt;0,"Overdue",IF(U727&lt;=30,"Due soon","OK")))</f>
        <v/>
      </c>
      <c r="W727" s="79">
        <f>IF(T727="","",IF(U727&lt;0,2,IF(U727&lt;=30,1,0)))</f>
        <v/>
      </c>
      <c r="X727" s="112">
        <f>IF(T727="","",T727)</f>
        <v/>
      </c>
      <c r="Y727" s="79">
        <f>IF(X727="","",IF(X727&lt;=AsOf+AlertDays,2,IF(X727&lt;=AsOf+30,3,"")))</f>
        <v/>
      </c>
      <c r="Z727" s="79">
        <f>IF(Y727="","",IF(U727&lt;0,"Maintenance overdue: ","Maintenance due: ")&amp;P727)</f>
        <v/>
      </c>
    </row>
    <row r="728" ht="20" customHeight="1">
      <c r="B728" s="72" t="n"/>
      <c r="C728" s="72" t="n"/>
      <c r="D728" s="72" t="n"/>
      <c r="E728" s="109" t="n"/>
      <c r="F728" s="74" t="n"/>
      <c r="G728" s="126">
        <f>IF(OR(E728="",F728=""),"",DATE(YEAR(E728),MONTH(E728)+ROUND(F728*12,0),DAY(E728)))</f>
        <v/>
      </c>
      <c r="H728" s="144">
        <f>IF(G728="","",G728-AsOf)</f>
        <v/>
      </c>
      <c r="I728" s="107">
        <f>IF(G728="","",IF(H728&lt;0,"Expired",IF(H728&lt;=90,"Expires soon","Active")))</f>
        <v/>
      </c>
      <c r="J728" s="72" t="n"/>
      <c r="K728" s="79">
        <f>IF(I728="","",IF(I728="Active",0,IF(I728="Expires soon",1,3)))</f>
        <v/>
      </c>
      <c r="L728" s="112">
        <f>IF(G728="","",IF(G728&lt;AsOf,"",G728))</f>
        <v/>
      </c>
      <c r="M728" s="79">
        <f>IF(L728="","",IF(L728&lt;=AsOf+AlertDays,2,IF(L728&lt;=AsOf+90,3,"")))</f>
        <v/>
      </c>
      <c r="N728" s="79">
        <f>IF(M728="","","Warranty expires in "&amp;H728&amp;" days: "&amp;B728&amp;IF(C728="",""," ("&amp;C728&amp;")")&amp;" — check for defects")</f>
        <v/>
      </c>
      <c r="P728" s="72" t="n"/>
      <c r="Q728" s="72" t="n"/>
      <c r="R728" s="89" t="n"/>
      <c r="S728" s="109" t="n"/>
      <c r="T728" s="126">
        <f>IF(OR(R728="",S728=""),"",DATE(YEAR(S728),MONTH(S728)+R728,DAY(S728)))</f>
        <v/>
      </c>
      <c r="U728" s="144">
        <f>IF(T728="","",T728-AsOf)</f>
        <v/>
      </c>
      <c r="V728" s="107">
        <f>IF(T728="",IF(P728="","","Enter last-done date"),IF(U728&lt;0,"Overdue",IF(U728&lt;=30,"Due soon","OK")))</f>
        <v/>
      </c>
      <c r="W728" s="79">
        <f>IF(T728="","",IF(U728&lt;0,2,IF(U728&lt;=30,1,0)))</f>
        <v/>
      </c>
      <c r="X728" s="112">
        <f>IF(T728="","",T728)</f>
        <v/>
      </c>
      <c r="Y728" s="79">
        <f>IF(X728="","",IF(X728&lt;=AsOf+AlertDays,2,IF(X728&lt;=AsOf+30,3,"")))</f>
        <v/>
      </c>
      <c r="Z728" s="79">
        <f>IF(Y728="","",IF(U728&lt;0,"Maintenance overdue: ","Maintenance due: ")&amp;P728)</f>
        <v/>
      </c>
    </row>
    <row r="729" ht="20" customHeight="1">
      <c r="B729" s="72" t="n"/>
      <c r="C729" s="72" t="n"/>
      <c r="D729" s="72" t="n"/>
      <c r="E729" s="109" t="n"/>
      <c r="F729" s="74" t="n"/>
      <c r="G729" s="126">
        <f>IF(OR(E729="",F729=""),"",DATE(YEAR(E729),MONTH(E729)+ROUND(F729*12,0),DAY(E729)))</f>
        <v/>
      </c>
      <c r="H729" s="144">
        <f>IF(G729="","",G729-AsOf)</f>
        <v/>
      </c>
      <c r="I729" s="107">
        <f>IF(G729="","",IF(H729&lt;0,"Expired",IF(H729&lt;=90,"Expires soon","Active")))</f>
        <v/>
      </c>
      <c r="J729" s="72" t="n"/>
      <c r="K729" s="79">
        <f>IF(I729="","",IF(I729="Active",0,IF(I729="Expires soon",1,3)))</f>
        <v/>
      </c>
      <c r="L729" s="112">
        <f>IF(G729="","",IF(G729&lt;AsOf,"",G729))</f>
        <v/>
      </c>
      <c r="M729" s="79">
        <f>IF(L729="","",IF(L729&lt;=AsOf+AlertDays,2,IF(L729&lt;=AsOf+90,3,"")))</f>
        <v/>
      </c>
      <c r="N729" s="79">
        <f>IF(M729="","","Warranty expires in "&amp;H729&amp;" days: "&amp;B729&amp;IF(C729="",""," ("&amp;C729&amp;")")&amp;" — check for defects")</f>
        <v/>
      </c>
      <c r="P729" s="72" t="n"/>
      <c r="Q729" s="72" t="n"/>
      <c r="R729" s="89" t="n"/>
      <c r="S729" s="109" t="n"/>
      <c r="T729" s="126">
        <f>IF(OR(R729="",S729=""),"",DATE(YEAR(S729),MONTH(S729)+R729,DAY(S729)))</f>
        <v/>
      </c>
      <c r="U729" s="144">
        <f>IF(T729="","",T729-AsOf)</f>
        <v/>
      </c>
      <c r="V729" s="107">
        <f>IF(T729="",IF(P729="","","Enter last-done date"),IF(U729&lt;0,"Overdue",IF(U729&lt;=30,"Due soon","OK")))</f>
        <v/>
      </c>
      <c r="W729" s="79">
        <f>IF(T729="","",IF(U729&lt;0,2,IF(U729&lt;=30,1,0)))</f>
        <v/>
      </c>
      <c r="X729" s="112">
        <f>IF(T729="","",T729)</f>
        <v/>
      </c>
      <c r="Y729" s="79">
        <f>IF(X729="","",IF(X729&lt;=AsOf+AlertDays,2,IF(X729&lt;=AsOf+30,3,"")))</f>
        <v/>
      </c>
      <c r="Z729" s="79">
        <f>IF(Y729="","",IF(U729&lt;0,"Maintenance overdue: ","Maintenance due: ")&amp;P729)</f>
        <v/>
      </c>
    </row>
    <row r="730" ht="20" customHeight="1">
      <c r="B730" s="72" t="n"/>
      <c r="C730" s="72" t="n"/>
      <c r="D730" s="72" t="n"/>
      <c r="E730" s="109" t="n"/>
      <c r="F730" s="74" t="n"/>
      <c r="G730" s="126">
        <f>IF(OR(E730="",F730=""),"",DATE(YEAR(E730),MONTH(E730)+ROUND(F730*12,0),DAY(E730)))</f>
        <v/>
      </c>
      <c r="H730" s="144">
        <f>IF(G730="","",G730-AsOf)</f>
        <v/>
      </c>
      <c r="I730" s="107">
        <f>IF(G730="","",IF(H730&lt;0,"Expired",IF(H730&lt;=90,"Expires soon","Active")))</f>
        <v/>
      </c>
      <c r="J730" s="72" t="n"/>
      <c r="K730" s="79">
        <f>IF(I730="","",IF(I730="Active",0,IF(I730="Expires soon",1,3)))</f>
        <v/>
      </c>
      <c r="L730" s="112">
        <f>IF(G730="","",IF(G730&lt;AsOf,"",G730))</f>
        <v/>
      </c>
      <c r="M730" s="79">
        <f>IF(L730="","",IF(L730&lt;=AsOf+AlertDays,2,IF(L730&lt;=AsOf+90,3,"")))</f>
        <v/>
      </c>
      <c r="N730" s="79">
        <f>IF(M730="","","Warranty expires in "&amp;H730&amp;" days: "&amp;B730&amp;IF(C730="",""," ("&amp;C730&amp;")")&amp;" — check for defects")</f>
        <v/>
      </c>
      <c r="P730" s="72" t="n"/>
      <c r="Q730" s="72" t="n"/>
      <c r="R730" s="89" t="n"/>
      <c r="S730" s="109" t="n"/>
      <c r="T730" s="126">
        <f>IF(OR(R730="",S730=""),"",DATE(YEAR(S730),MONTH(S730)+R730,DAY(S730)))</f>
        <v/>
      </c>
      <c r="U730" s="144">
        <f>IF(T730="","",T730-AsOf)</f>
        <v/>
      </c>
      <c r="V730" s="107">
        <f>IF(T730="",IF(P730="","","Enter last-done date"),IF(U730&lt;0,"Overdue",IF(U730&lt;=30,"Due soon","OK")))</f>
        <v/>
      </c>
      <c r="W730" s="79">
        <f>IF(T730="","",IF(U730&lt;0,2,IF(U730&lt;=30,1,0)))</f>
        <v/>
      </c>
      <c r="X730" s="112">
        <f>IF(T730="","",T730)</f>
        <v/>
      </c>
      <c r="Y730" s="79">
        <f>IF(X730="","",IF(X730&lt;=AsOf+AlertDays,2,IF(X730&lt;=AsOf+30,3,"")))</f>
        <v/>
      </c>
      <c r="Z730" s="79">
        <f>IF(Y730="","",IF(U730&lt;0,"Maintenance overdue: ","Maintenance due: ")&amp;P730)</f>
        <v/>
      </c>
    </row>
    <row r="731" ht="20" customHeight="1">
      <c r="B731" s="72" t="n"/>
      <c r="C731" s="72" t="n"/>
      <c r="D731" s="72" t="n"/>
      <c r="E731" s="109" t="n"/>
      <c r="F731" s="74" t="n"/>
      <c r="G731" s="126">
        <f>IF(OR(E731="",F731=""),"",DATE(YEAR(E731),MONTH(E731)+ROUND(F731*12,0),DAY(E731)))</f>
        <v/>
      </c>
      <c r="H731" s="144">
        <f>IF(G731="","",G731-AsOf)</f>
        <v/>
      </c>
      <c r="I731" s="107">
        <f>IF(G731="","",IF(H731&lt;0,"Expired",IF(H731&lt;=90,"Expires soon","Active")))</f>
        <v/>
      </c>
      <c r="J731" s="72" t="n"/>
      <c r="K731" s="79">
        <f>IF(I731="","",IF(I731="Active",0,IF(I731="Expires soon",1,3)))</f>
        <v/>
      </c>
      <c r="L731" s="112">
        <f>IF(G731="","",IF(G731&lt;AsOf,"",G731))</f>
        <v/>
      </c>
      <c r="M731" s="79">
        <f>IF(L731="","",IF(L731&lt;=AsOf+AlertDays,2,IF(L731&lt;=AsOf+90,3,"")))</f>
        <v/>
      </c>
      <c r="N731" s="79">
        <f>IF(M731="","","Warranty expires in "&amp;H731&amp;" days: "&amp;B731&amp;IF(C731="",""," ("&amp;C731&amp;")")&amp;" — check for defects")</f>
        <v/>
      </c>
      <c r="P731" s="72" t="n"/>
      <c r="Q731" s="72" t="n"/>
      <c r="R731" s="89" t="n"/>
      <c r="S731" s="109" t="n"/>
      <c r="T731" s="126">
        <f>IF(OR(R731="",S731=""),"",DATE(YEAR(S731),MONTH(S731)+R731,DAY(S731)))</f>
        <v/>
      </c>
      <c r="U731" s="144">
        <f>IF(T731="","",T731-AsOf)</f>
        <v/>
      </c>
      <c r="V731" s="107">
        <f>IF(T731="",IF(P731="","","Enter last-done date"),IF(U731&lt;0,"Overdue",IF(U731&lt;=30,"Due soon","OK")))</f>
        <v/>
      </c>
      <c r="W731" s="79">
        <f>IF(T731="","",IF(U731&lt;0,2,IF(U731&lt;=30,1,0)))</f>
        <v/>
      </c>
      <c r="X731" s="112">
        <f>IF(T731="","",T731)</f>
        <v/>
      </c>
      <c r="Y731" s="79">
        <f>IF(X731="","",IF(X731&lt;=AsOf+AlertDays,2,IF(X731&lt;=AsOf+30,3,"")))</f>
        <v/>
      </c>
      <c r="Z731" s="79">
        <f>IF(Y731="","",IF(U731&lt;0,"Maintenance overdue: ","Maintenance due: ")&amp;P731)</f>
        <v/>
      </c>
    </row>
    <row r="732" ht="20" customHeight="1">
      <c r="B732" s="72" t="n"/>
      <c r="C732" s="72" t="n"/>
      <c r="D732" s="72" t="n"/>
      <c r="E732" s="109" t="n"/>
      <c r="F732" s="74" t="n"/>
      <c r="G732" s="126">
        <f>IF(OR(E732="",F732=""),"",DATE(YEAR(E732),MONTH(E732)+ROUND(F732*12,0),DAY(E732)))</f>
        <v/>
      </c>
      <c r="H732" s="144">
        <f>IF(G732="","",G732-AsOf)</f>
        <v/>
      </c>
      <c r="I732" s="107">
        <f>IF(G732="","",IF(H732&lt;0,"Expired",IF(H732&lt;=90,"Expires soon","Active")))</f>
        <v/>
      </c>
      <c r="J732" s="72" t="n"/>
      <c r="K732" s="79">
        <f>IF(I732="","",IF(I732="Active",0,IF(I732="Expires soon",1,3)))</f>
        <v/>
      </c>
      <c r="L732" s="112">
        <f>IF(G732="","",IF(G732&lt;AsOf,"",G732))</f>
        <v/>
      </c>
      <c r="M732" s="79">
        <f>IF(L732="","",IF(L732&lt;=AsOf+AlertDays,2,IF(L732&lt;=AsOf+90,3,"")))</f>
        <v/>
      </c>
      <c r="N732" s="79">
        <f>IF(M732="","","Warranty expires in "&amp;H732&amp;" days: "&amp;B732&amp;IF(C732="",""," ("&amp;C732&amp;")")&amp;" — check for defects")</f>
        <v/>
      </c>
      <c r="P732" s="72" t="n"/>
      <c r="Q732" s="72" t="n"/>
      <c r="R732" s="89" t="n"/>
      <c r="S732" s="109" t="n"/>
      <c r="T732" s="126">
        <f>IF(OR(R732="",S732=""),"",DATE(YEAR(S732),MONTH(S732)+R732,DAY(S732)))</f>
        <v/>
      </c>
      <c r="U732" s="144">
        <f>IF(T732="","",T732-AsOf)</f>
        <v/>
      </c>
      <c r="V732" s="107">
        <f>IF(T732="",IF(P732="","","Enter last-done date"),IF(U732&lt;0,"Overdue",IF(U732&lt;=30,"Due soon","OK")))</f>
        <v/>
      </c>
      <c r="W732" s="79">
        <f>IF(T732="","",IF(U732&lt;0,2,IF(U732&lt;=30,1,0)))</f>
        <v/>
      </c>
      <c r="X732" s="112">
        <f>IF(T732="","",T732)</f>
        <v/>
      </c>
      <c r="Y732" s="79">
        <f>IF(X732="","",IF(X732&lt;=AsOf+AlertDays,2,IF(X732&lt;=AsOf+30,3,"")))</f>
        <v/>
      </c>
      <c r="Z732" s="79">
        <f>IF(Y732="","",IF(U732&lt;0,"Maintenance overdue: ","Maintenance due: ")&amp;P732)</f>
        <v/>
      </c>
    </row>
    <row r="733" ht="20" customHeight="1">
      <c r="B733" s="72" t="n"/>
      <c r="C733" s="72" t="n"/>
      <c r="D733" s="72" t="n"/>
      <c r="E733" s="109" t="n"/>
      <c r="F733" s="74" t="n"/>
      <c r="G733" s="126">
        <f>IF(OR(E733="",F733=""),"",DATE(YEAR(E733),MONTH(E733)+ROUND(F733*12,0),DAY(E733)))</f>
        <v/>
      </c>
      <c r="H733" s="144">
        <f>IF(G733="","",G733-AsOf)</f>
        <v/>
      </c>
      <c r="I733" s="107">
        <f>IF(G733="","",IF(H733&lt;0,"Expired",IF(H733&lt;=90,"Expires soon","Active")))</f>
        <v/>
      </c>
      <c r="J733" s="72" t="n"/>
      <c r="K733" s="79">
        <f>IF(I733="","",IF(I733="Active",0,IF(I733="Expires soon",1,3)))</f>
        <v/>
      </c>
      <c r="L733" s="112">
        <f>IF(G733="","",IF(G733&lt;AsOf,"",G733))</f>
        <v/>
      </c>
      <c r="M733" s="79">
        <f>IF(L733="","",IF(L733&lt;=AsOf+AlertDays,2,IF(L733&lt;=AsOf+90,3,"")))</f>
        <v/>
      </c>
      <c r="N733" s="79">
        <f>IF(M733="","","Warranty expires in "&amp;H733&amp;" days: "&amp;B733&amp;IF(C733="",""," ("&amp;C733&amp;")")&amp;" — check for defects")</f>
        <v/>
      </c>
      <c r="P733" s="72" t="n"/>
      <c r="Q733" s="72" t="n"/>
      <c r="R733" s="89" t="n"/>
      <c r="S733" s="109" t="n"/>
      <c r="T733" s="126">
        <f>IF(OR(R733="",S733=""),"",DATE(YEAR(S733),MONTH(S733)+R733,DAY(S733)))</f>
        <v/>
      </c>
      <c r="U733" s="144">
        <f>IF(T733="","",T733-AsOf)</f>
        <v/>
      </c>
      <c r="V733" s="107">
        <f>IF(T733="",IF(P733="","","Enter last-done date"),IF(U733&lt;0,"Overdue",IF(U733&lt;=30,"Due soon","OK")))</f>
        <v/>
      </c>
      <c r="W733" s="79">
        <f>IF(T733="","",IF(U733&lt;0,2,IF(U733&lt;=30,1,0)))</f>
        <v/>
      </c>
      <c r="X733" s="112">
        <f>IF(T733="","",T733)</f>
        <v/>
      </c>
      <c r="Y733" s="79">
        <f>IF(X733="","",IF(X733&lt;=AsOf+AlertDays,2,IF(X733&lt;=AsOf+30,3,"")))</f>
        <v/>
      </c>
      <c r="Z733" s="79">
        <f>IF(Y733="","",IF(U733&lt;0,"Maintenance overdue: ","Maintenance due: ")&amp;P733)</f>
        <v/>
      </c>
    </row>
    <row r="734" ht="20" customHeight="1">
      <c r="B734" s="72" t="n"/>
      <c r="C734" s="72" t="n"/>
      <c r="D734" s="72" t="n"/>
      <c r="E734" s="109" t="n"/>
      <c r="F734" s="74" t="n"/>
      <c r="G734" s="126">
        <f>IF(OR(E734="",F734=""),"",DATE(YEAR(E734),MONTH(E734)+ROUND(F734*12,0),DAY(E734)))</f>
        <v/>
      </c>
      <c r="H734" s="144">
        <f>IF(G734="","",G734-AsOf)</f>
        <v/>
      </c>
      <c r="I734" s="107">
        <f>IF(G734="","",IF(H734&lt;0,"Expired",IF(H734&lt;=90,"Expires soon","Active")))</f>
        <v/>
      </c>
      <c r="J734" s="72" t="n"/>
      <c r="K734" s="79">
        <f>IF(I734="","",IF(I734="Active",0,IF(I734="Expires soon",1,3)))</f>
        <v/>
      </c>
      <c r="L734" s="112">
        <f>IF(G734="","",IF(G734&lt;AsOf,"",G734))</f>
        <v/>
      </c>
      <c r="M734" s="79">
        <f>IF(L734="","",IF(L734&lt;=AsOf+AlertDays,2,IF(L734&lt;=AsOf+90,3,"")))</f>
        <v/>
      </c>
      <c r="N734" s="79">
        <f>IF(M734="","","Warranty expires in "&amp;H734&amp;" days: "&amp;B734&amp;IF(C734="",""," ("&amp;C734&amp;")")&amp;" — check for defects")</f>
        <v/>
      </c>
      <c r="P734" s="72" t="n"/>
      <c r="Q734" s="72" t="n"/>
      <c r="R734" s="89" t="n"/>
      <c r="S734" s="109" t="n"/>
      <c r="T734" s="126">
        <f>IF(OR(R734="",S734=""),"",DATE(YEAR(S734),MONTH(S734)+R734,DAY(S734)))</f>
        <v/>
      </c>
      <c r="U734" s="144">
        <f>IF(T734="","",T734-AsOf)</f>
        <v/>
      </c>
      <c r="V734" s="107">
        <f>IF(T734="",IF(P734="","","Enter last-done date"),IF(U734&lt;0,"Overdue",IF(U734&lt;=30,"Due soon","OK")))</f>
        <v/>
      </c>
      <c r="W734" s="79">
        <f>IF(T734="","",IF(U734&lt;0,2,IF(U734&lt;=30,1,0)))</f>
        <v/>
      </c>
      <c r="X734" s="112">
        <f>IF(T734="","",T734)</f>
        <v/>
      </c>
      <c r="Y734" s="79">
        <f>IF(X734="","",IF(X734&lt;=AsOf+AlertDays,2,IF(X734&lt;=AsOf+30,3,"")))</f>
        <v/>
      </c>
      <c r="Z734" s="79">
        <f>IF(Y734="","",IF(U734&lt;0,"Maintenance overdue: ","Maintenance due: ")&amp;P734)</f>
        <v/>
      </c>
    </row>
    <row r="735" ht="20" customHeight="1">
      <c r="B735" s="72" t="n"/>
      <c r="C735" s="72" t="n"/>
      <c r="D735" s="72" t="n"/>
      <c r="E735" s="109" t="n"/>
      <c r="F735" s="74" t="n"/>
      <c r="G735" s="126">
        <f>IF(OR(E735="",F735=""),"",DATE(YEAR(E735),MONTH(E735)+ROUND(F735*12,0),DAY(E735)))</f>
        <v/>
      </c>
      <c r="H735" s="144">
        <f>IF(G735="","",G735-AsOf)</f>
        <v/>
      </c>
      <c r="I735" s="107">
        <f>IF(G735="","",IF(H735&lt;0,"Expired",IF(H735&lt;=90,"Expires soon","Active")))</f>
        <v/>
      </c>
      <c r="J735" s="72" t="n"/>
      <c r="K735" s="79">
        <f>IF(I735="","",IF(I735="Active",0,IF(I735="Expires soon",1,3)))</f>
        <v/>
      </c>
      <c r="L735" s="112">
        <f>IF(G735="","",IF(G735&lt;AsOf,"",G735))</f>
        <v/>
      </c>
      <c r="M735" s="79">
        <f>IF(L735="","",IF(L735&lt;=AsOf+AlertDays,2,IF(L735&lt;=AsOf+90,3,"")))</f>
        <v/>
      </c>
      <c r="N735" s="79">
        <f>IF(M735="","","Warranty expires in "&amp;H735&amp;" days: "&amp;B735&amp;IF(C735="",""," ("&amp;C735&amp;")")&amp;" — check for defects")</f>
        <v/>
      </c>
      <c r="P735" s="72" t="n"/>
      <c r="Q735" s="72" t="n"/>
      <c r="R735" s="89" t="n"/>
      <c r="S735" s="109" t="n"/>
      <c r="T735" s="126">
        <f>IF(OR(R735="",S735=""),"",DATE(YEAR(S735),MONTH(S735)+R735,DAY(S735)))</f>
        <v/>
      </c>
      <c r="U735" s="144">
        <f>IF(T735="","",T735-AsOf)</f>
        <v/>
      </c>
      <c r="V735" s="107">
        <f>IF(T735="",IF(P735="","","Enter last-done date"),IF(U735&lt;0,"Overdue",IF(U735&lt;=30,"Due soon","OK")))</f>
        <v/>
      </c>
      <c r="W735" s="79">
        <f>IF(T735="","",IF(U735&lt;0,2,IF(U735&lt;=30,1,0)))</f>
        <v/>
      </c>
      <c r="X735" s="112">
        <f>IF(T735="","",T735)</f>
        <v/>
      </c>
      <c r="Y735" s="79">
        <f>IF(X735="","",IF(X735&lt;=AsOf+AlertDays,2,IF(X735&lt;=AsOf+30,3,"")))</f>
        <v/>
      </c>
      <c r="Z735" s="79">
        <f>IF(Y735="","",IF(U735&lt;0,"Maintenance overdue: ","Maintenance due: ")&amp;P735)</f>
        <v/>
      </c>
    </row>
    <row r="736" ht="20" customHeight="1">
      <c r="B736" s="72" t="n"/>
      <c r="C736" s="72" t="n"/>
      <c r="D736" s="72" t="n"/>
      <c r="E736" s="109" t="n"/>
      <c r="F736" s="74" t="n"/>
      <c r="G736" s="126">
        <f>IF(OR(E736="",F736=""),"",DATE(YEAR(E736),MONTH(E736)+ROUND(F736*12,0),DAY(E736)))</f>
        <v/>
      </c>
      <c r="H736" s="144">
        <f>IF(G736="","",G736-AsOf)</f>
        <v/>
      </c>
      <c r="I736" s="107">
        <f>IF(G736="","",IF(H736&lt;0,"Expired",IF(H736&lt;=90,"Expires soon","Active")))</f>
        <v/>
      </c>
      <c r="J736" s="72" t="n"/>
      <c r="K736" s="79">
        <f>IF(I736="","",IF(I736="Active",0,IF(I736="Expires soon",1,3)))</f>
        <v/>
      </c>
      <c r="L736" s="112">
        <f>IF(G736="","",IF(G736&lt;AsOf,"",G736))</f>
        <v/>
      </c>
      <c r="M736" s="79">
        <f>IF(L736="","",IF(L736&lt;=AsOf+AlertDays,2,IF(L736&lt;=AsOf+90,3,"")))</f>
        <v/>
      </c>
      <c r="N736" s="79">
        <f>IF(M736="","","Warranty expires in "&amp;H736&amp;" days: "&amp;B736&amp;IF(C736="",""," ("&amp;C736&amp;")")&amp;" — check for defects")</f>
        <v/>
      </c>
      <c r="P736" s="72" t="n"/>
      <c r="Q736" s="72" t="n"/>
      <c r="R736" s="89" t="n"/>
      <c r="S736" s="109" t="n"/>
      <c r="T736" s="126">
        <f>IF(OR(R736="",S736=""),"",DATE(YEAR(S736),MONTH(S736)+R736,DAY(S736)))</f>
        <v/>
      </c>
      <c r="U736" s="144">
        <f>IF(T736="","",T736-AsOf)</f>
        <v/>
      </c>
      <c r="V736" s="107">
        <f>IF(T736="",IF(P736="","","Enter last-done date"),IF(U736&lt;0,"Overdue",IF(U736&lt;=30,"Due soon","OK")))</f>
        <v/>
      </c>
      <c r="W736" s="79">
        <f>IF(T736="","",IF(U736&lt;0,2,IF(U736&lt;=30,1,0)))</f>
        <v/>
      </c>
      <c r="X736" s="112">
        <f>IF(T736="","",T736)</f>
        <v/>
      </c>
      <c r="Y736" s="79">
        <f>IF(X736="","",IF(X736&lt;=AsOf+AlertDays,2,IF(X736&lt;=AsOf+30,3,"")))</f>
        <v/>
      </c>
      <c r="Z736" s="79">
        <f>IF(Y736="","",IF(U736&lt;0,"Maintenance overdue: ","Maintenance due: ")&amp;P736)</f>
        <v/>
      </c>
    </row>
    <row r="737" ht="20" customHeight="1">
      <c r="B737" s="72" t="n"/>
      <c r="C737" s="72" t="n"/>
      <c r="D737" s="72" t="n"/>
      <c r="E737" s="109" t="n"/>
      <c r="F737" s="74" t="n"/>
      <c r="G737" s="126">
        <f>IF(OR(E737="",F737=""),"",DATE(YEAR(E737),MONTH(E737)+ROUND(F737*12,0),DAY(E737)))</f>
        <v/>
      </c>
      <c r="H737" s="144">
        <f>IF(G737="","",G737-AsOf)</f>
        <v/>
      </c>
      <c r="I737" s="107">
        <f>IF(G737="","",IF(H737&lt;0,"Expired",IF(H737&lt;=90,"Expires soon","Active")))</f>
        <v/>
      </c>
      <c r="J737" s="72" t="n"/>
      <c r="K737" s="79">
        <f>IF(I737="","",IF(I737="Active",0,IF(I737="Expires soon",1,3)))</f>
        <v/>
      </c>
      <c r="L737" s="112">
        <f>IF(G737="","",IF(G737&lt;AsOf,"",G737))</f>
        <v/>
      </c>
      <c r="M737" s="79">
        <f>IF(L737="","",IF(L737&lt;=AsOf+AlertDays,2,IF(L737&lt;=AsOf+90,3,"")))</f>
        <v/>
      </c>
      <c r="N737" s="79">
        <f>IF(M737="","","Warranty expires in "&amp;H737&amp;" days: "&amp;B737&amp;IF(C737="",""," ("&amp;C737&amp;")")&amp;" — check for defects")</f>
        <v/>
      </c>
      <c r="P737" s="72" t="n"/>
      <c r="Q737" s="72" t="n"/>
      <c r="R737" s="89" t="n"/>
      <c r="S737" s="109" t="n"/>
      <c r="T737" s="126">
        <f>IF(OR(R737="",S737=""),"",DATE(YEAR(S737),MONTH(S737)+R737,DAY(S737)))</f>
        <v/>
      </c>
      <c r="U737" s="144">
        <f>IF(T737="","",T737-AsOf)</f>
        <v/>
      </c>
      <c r="V737" s="107">
        <f>IF(T737="",IF(P737="","","Enter last-done date"),IF(U737&lt;0,"Overdue",IF(U737&lt;=30,"Due soon","OK")))</f>
        <v/>
      </c>
      <c r="W737" s="79">
        <f>IF(T737="","",IF(U737&lt;0,2,IF(U737&lt;=30,1,0)))</f>
        <v/>
      </c>
      <c r="X737" s="112">
        <f>IF(T737="","",T737)</f>
        <v/>
      </c>
      <c r="Y737" s="79">
        <f>IF(X737="","",IF(X737&lt;=AsOf+AlertDays,2,IF(X737&lt;=AsOf+30,3,"")))</f>
        <v/>
      </c>
      <c r="Z737" s="79">
        <f>IF(Y737="","",IF(U737&lt;0,"Maintenance overdue: ","Maintenance due: ")&amp;P737)</f>
        <v/>
      </c>
    </row>
    <row r="738" ht="20" customHeight="1">
      <c r="B738" s="72" t="n"/>
      <c r="C738" s="72" t="n"/>
      <c r="D738" s="72" t="n"/>
      <c r="E738" s="109" t="n"/>
      <c r="F738" s="74" t="n"/>
      <c r="G738" s="126">
        <f>IF(OR(E738="",F738=""),"",DATE(YEAR(E738),MONTH(E738)+ROUND(F738*12,0),DAY(E738)))</f>
        <v/>
      </c>
      <c r="H738" s="144">
        <f>IF(G738="","",G738-AsOf)</f>
        <v/>
      </c>
      <c r="I738" s="107">
        <f>IF(G738="","",IF(H738&lt;0,"Expired",IF(H738&lt;=90,"Expires soon","Active")))</f>
        <v/>
      </c>
      <c r="J738" s="72" t="n"/>
      <c r="K738" s="79">
        <f>IF(I738="","",IF(I738="Active",0,IF(I738="Expires soon",1,3)))</f>
        <v/>
      </c>
      <c r="L738" s="112">
        <f>IF(G738="","",IF(G738&lt;AsOf,"",G738))</f>
        <v/>
      </c>
      <c r="M738" s="79">
        <f>IF(L738="","",IF(L738&lt;=AsOf+AlertDays,2,IF(L738&lt;=AsOf+90,3,"")))</f>
        <v/>
      </c>
      <c r="N738" s="79">
        <f>IF(M738="","","Warranty expires in "&amp;H738&amp;" days: "&amp;B738&amp;IF(C738="",""," ("&amp;C738&amp;")")&amp;" — check for defects")</f>
        <v/>
      </c>
      <c r="P738" s="72" t="n"/>
      <c r="Q738" s="72" t="n"/>
      <c r="R738" s="89" t="n"/>
      <c r="S738" s="109" t="n"/>
      <c r="T738" s="126">
        <f>IF(OR(R738="",S738=""),"",DATE(YEAR(S738),MONTH(S738)+R738,DAY(S738)))</f>
        <v/>
      </c>
      <c r="U738" s="144">
        <f>IF(T738="","",T738-AsOf)</f>
        <v/>
      </c>
      <c r="V738" s="107">
        <f>IF(T738="",IF(P738="","","Enter last-done date"),IF(U738&lt;0,"Overdue",IF(U738&lt;=30,"Due soon","OK")))</f>
        <v/>
      </c>
      <c r="W738" s="79">
        <f>IF(T738="","",IF(U738&lt;0,2,IF(U738&lt;=30,1,0)))</f>
        <v/>
      </c>
      <c r="X738" s="112">
        <f>IF(T738="","",T738)</f>
        <v/>
      </c>
      <c r="Y738" s="79">
        <f>IF(X738="","",IF(X738&lt;=AsOf+AlertDays,2,IF(X738&lt;=AsOf+30,3,"")))</f>
        <v/>
      </c>
      <c r="Z738" s="79">
        <f>IF(Y738="","",IF(U738&lt;0,"Maintenance overdue: ","Maintenance due: ")&amp;P738)</f>
        <v/>
      </c>
    </row>
    <row r="739" ht="20" customHeight="1">
      <c r="B739" s="72" t="n"/>
      <c r="C739" s="72" t="n"/>
      <c r="D739" s="72" t="n"/>
      <c r="E739" s="109" t="n"/>
      <c r="F739" s="74" t="n"/>
      <c r="G739" s="126">
        <f>IF(OR(E739="",F739=""),"",DATE(YEAR(E739),MONTH(E739)+ROUND(F739*12,0),DAY(E739)))</f>
        <v/>
      </c>
      <c r="H739" s="144">
        <f>IF(G739="","",G739-AsOf)</f>
        <v/>
      </c>
      <c r="I739" s="107">
        <f>IF(G739="","",IF(H739&lt;0,"Expired",IF(H739&lt;=90,"Expires soon","Active")))</f>
        <v/>
      </c>
      <c r="J739" s="72" t="n"/>
      <c r="K739" s="79">
        <f>IF(I739="","",IF(I739="Active",0,IF(I739="Expires soon",1,3)))</f>
        <v/>
      </c>
      <c r="L739" s="112">
        <f>IF(G739="","",IF(G739&lt;AsOf,"",G739))</f>
        <v/>
      </c>
      <c r="M739" s="79">
        <f>IF(L739="","",IF(L739&lt;=AsOf+AlertDays,2,IF(L739&lt;=AsOf+90,3,"")))</f>
        <v/>
      </c>
      <c r="N739" s="79">
        <f>IF(M739="","","Warranty expires in "&amp;H739&amp;" days: "&amp;B739&amp;IF(C739="",""," ("&amp;C739&amp;")")&amp;" — check for defects")</f>
        <v/>
      </c>
      <c r="P739" s="72" t="n"/>
      <c r="Q739" s="72" t="n"/>
      <c r="R739" s="89" t="n"/>
      <c r="S739" s="109" t="n"/>
      <c r="T739" s="126">
        <f>IF(OR(R739="",S739=""),"",DATE(YEAR(S739),MONTH(S739)+R739,DAY(S739)))</f>
        <v/>
      </c>
      <c r="U739" s="144">
        <f>IF(T739="","",T739-AsOf)</f>
        <v/>
      </c>
      <c r="V739" s="107">
        <f>IF(T739="",IF(P739="","","Enter last-done date"),IF(U739&lt;0,"Overdue",IF(U739&lt;=30,"Due soon","OK")))</f>
        <v/>
      </c>
      <c r="W739" s="79">
        <f>IF(T739="","",IF(U739&lt;0,2,IF(U739&lt;=30,1,0)))</f>
        <v/>
      </c>
      <c r="X739" s="112">
        <f>IF(T739="","",T739)</f>
        <v/>
      </c>
      <c r="Y739" s="79">
        <f>IF(X739="","",IF(X739&lt;=AsOf+AlertDays,2,IF(X739&lt;=AsOf+30,3,"")))</f>
        <v/>
      </c>
      <c r="Z739" s="79">
        <f>IF(Y739="","",IF(U739&lt;0,"Maintenance overdue: ","Maintenance due: ")&amp;P739)</f>
        <v/>
      </c>
    </row>
    <row r="740" ht="20" customHeight="1">
      <c r="B740" s="72" t="n"/>
      <c r="C740" s="72" t="n"/>
      <c r="D740" s="72" t="n"/>
      <c r="E740" s="109" t="n"/>
      <c r="F740" s="74" t="n"/>
      <c r="G740" s="126">
        <f>IF(OR(E740="",F740=""),"",DATE(YEAR(E740),MONTH(E740)+ROUND(F740*12,0),DAY(E740)))</f>
        <v/>
      </c>
      <c r="H740" s="144">
        <f>IF(G740="","",G740-AsOf)</f>
        <v/>
      </c>
      <c r="I740" s="107">
        <f>IF(G740="","",IF(H740&lt;0,"Expired",IF(H740&lt;=90,"Expires soon","Active")))</f>
        <v/>
      </c>
      <c r="J740" s="72" t="n"/>
      <c r="K740" s="79">
        <f>IF(I740="","",IF(I740="Active",0,IF(I740="Expires soon",1,3)))</f>
        <v/>
      </c>
      <c r="L740" s="112">
        <f>IF(G740="","",IF(G740&lt;AsOf,"",G740))</f>
        <v/>
      </c>
      <c r="M740" s="79">
        <f>IF(L740="","",IF(L740&lt;=AsOf+AlertDays,2,IF(L740&lt;=AsOf+90,3,"")))</f>
        <v/>
      </c>
      <c r="N740" s="79">
        <f>IF(M740="","","Warranty expires in "&amp;H740&amp;" days: "&amp;B740&amp;IF(C740="",""," ("&amp;C740&amp;")")&amp;" — check for defects")</f>
        <v/>
      </c>
      <c r="P740" s="72" t="n"/>
      <c r="Q740" s="72" t="n"/>
      <c r="R740" s="89" t="n"/>
      <c r="S740" s="109" t="n"/>
      <c r="T740" s="126">
        <f>IF(OR(R740="",S740=""),"",DATE(YEAR(S740),MONTH(S740)+R740,DAY(S740)))</f>
        <v/>
      </c>
      <c r="U740" s="144">
        <f>IF(T740="","",T740-AsOf)</f>
        <v/>
      </c>
      <c r="V740" s="107">
        <f>IF(T740="",IF(P740="","","Enter last-done date"),IF(U740&lt;0,"Overdue",IF(U740&lt;=30,"Due soon","OK")))</f>
        <v/>
      </c>
      <c r="W740" s="79">
        <f>IF(T740="","",IF(U740&lt;0,2,IF(U740&lt;=30,1,0)))</f>
        <v/>
      </c>
      <c r="X740" s="112">
        <f>IF(T740="","",T740)</f>
        <v/>
      </c>
      <c r="Y740" s="79">
        <f>IF(X740="","",IF(X740&lt;=AsOf+AlertDays,2,IF(X740&lt;=AsOf+30,3,"")))</f>
        <v/>
      </c>
      <c r="Z740" s="79">
        <f>IF(Y740="","",IF(U740&lt;0,"Maintenance overdue: ","Maintenance due: ")&amp;P740)</f>
        <v/>
      </c>
    </row>
    <row r="741" ht="20" customHeight="1">
      <c r="B741" s="72" t="n"/>
      <c r="C741" s="72" t="n"/>
      <c r="D741" s="72" t="n"/>
      <c r="E741" s="109" t="n"/>
      <c r="F741" s="74" t="n"/>
      <c r="G741" s="126">
        <f>IF(OR(E741="",F741=""),"",DATE(YEAR(E741),MONTH(E741)+ROUND(F741*12,0),DAY(E741)))</f>
        <v/>
      </c>
      <c r="H741" s="144">
        <f>IF(G741="","",G741-AsOf)</f>
        <v/>
      </c>
      <c r="I741" s="107">
        <f>IF(G741="","",IF(H741&lt;0,"Expired",IF(H741&lt;=90,"Expires soon","Active")))</f>
        <v/>
      </c>
      <c r="J741" s="72" t="n"/>
      <c r="K741" s="79">
        <f>IF(I741="","",IF(I741="Active",0,IF(I741="Expires soon",1,3)))</f>
        <v/>
      </c>
      <c r="L741" s="112">
        <f>IF(G741="","",IF(G741&lt;AsOf,"",G741))</f>
        <v/>
      </c>
      <c r="M741" s="79">
        <f>IF(L741="","",IF(L741&lt;=AsOf+AlertDays,2,IF(L741&lt;=AsOf+90,3,"")))</f>
        <v/>
      </c>
      <c r="N741" s="79">
        <f>IF(M741="","","Warranty expires in "&amp;H741&amp;" days: "&amp;B741&amp;IF(C741="",""," ("&amp;C741&amp;")")&amp;" — check for defects")</f>
        <v/>
      </c>
      <c r="P741" s="72" t="n"/>
      <c r="Q741" s="72" t="n"/>
      <c r="R741" s="89" t="n"/>
      <c r="S741" s="109" t="n"/>
      <c r="T741" s="126">
        <f>IF(OR(R741="",S741=""),"",DATE(YEAR(S741),MONTH(S741)+R741,DAY(S741)))</f>
        <v/>
      </c>
      <c r="U741" s="144">
        <f>IF(T741="","",T741-AsOf)</f>
        <v/>
      </c>
      <c r="V741" s="107">
        <f>IF(T741="",IF(P741="","","Enter last-done date"),IF(U741&lt;0,"Overdue",IF(U741&lt;=30,"Due soon","OK")))</f>
        <v/>
      </c>
      <c r="W741" s="79">
        <f>IF(T741="","",IF(U741&lt;0,2,IF(U741&lt;=30,1,0)))</f>
        <v/>
      </c>
      <c r="X741" s="112">
        <f>IF(T741="","",T741)</f>
        <v/>
      </c>
      <c r="Y741" s="79">
        <f>IF(X741="","",IF(X741&lt;=AsOf+AlertDays,2,IF(X741&lt;=AsOf+30,3,"")))</f>
        <v/>
      </c>
      <c r="Z741" s="79">
        <f>IF(Y741="","",IF(U741&lt;0,"Maintenance overdue: ","Maintenance due: ")&amp;P741)</f>
        <v/>
      </c>
    </row>
    <row r="742" ht="20" customHeight="1">
      <c r="B742" s="72" t="n"/>
      <c r="C742" s="72" t="n"/>
      <c r="D742" s="72" t="n"/>
      <c r="E742" s="109" t="n"/>
      <c r="F742" s="74" t="n"/>
      <c r="G742" s="126">
        <f>IF(OR(E742="",F742=""),"",DATE(YEAR(E742),MONTH(E742)+ROUND(F742*12,0),DAY(E742)))</f>
        <v/>
      </c>
      <c r="H742" s="144">
        <f>IF(G742="","",G742-AsOf)</f>
        <v/>
      </c>
      <c r="I742" s="107">
        <f>IF(G742="","",IF(H742&lt;0,"Expired",IF(H742&lt;=90,"Expires soon","Active")))</f>
        <v/>
      </c>
      <c r="J742" s="72" t="n"/>
      <c r="K742" s="79">
        <f>IF(I742="","",IF(I742="Active",0,IF(I742="Expires soon",1,3)))</f>
        <v/>
      </c>
      <c r="L742" s="112">
        <f>IF(G742="","",IF(G742&lt;AsOf,"",G742))</f>
        <v/>
      </c>
      <c r="M742" s="79">
        <f>IF(L742="","",IF(L742&lt;=AsOf+AlertDays,2,IF(L742&lt;=AsOf+90,3,"")))</f>
        <v/>
      </c>
      <c r="N742" s="79">
        <f>IF(M742="","","Warranty expires in "&amp;H742&amp;" days: "&amp;B742&amp;IF(C742="",""," ("&amp;C742&amp;")")&amp;" — check for defects")</f>
        <v/>
      </c>
      <c r="P742" s="72" t="n"/>
      <c r="Q742" s="72" t="n"/>
      <c r="R742" s="89" t="n"/>
      <c r="S742" s="109" t="n"/>
      <c r="T742" s="126">
        <f>IF(OR(R742="",S742=""),"",DATE(YEAR(S742),MONTH(S742)+R742,DAY(S742)))</f>
        <v/>
      </c>
      <c r="U742" s="144">
        <f>IF(T742="","",T742-AsOf)</f>
        <v/>
      </c>
      <c r="V742" s="107">
        <f>IF(T742="",IF(P742="","","Enter last-done date"),IF(U742&lt;0,"Overdue",IF(U742&lt;=30,"Due soon","OK")))</f>
        <v/>
      </c>
      <c r="W742" s="79">
        <f>IF(T742="","",IF(U742&lt;0,2,IF(U742&lt;=30,1,0)))</f>
        <v/>
      </c>
      <c r="X742" s="112">
        <f>IF(T742="","",T742)</f>
        <v/>
      </c>
      <c r="Y742" s="79">
        <f>IF(X742="","",IF(X742&lt;=AsOf+AlertDays,2,IF(X742&lt;=AsOf+30,3,"")))</f>
        <v/>
      </c>
      <c r="Z742" s="79">
        <f>IF(Y742="","",IF(U742&lt;0,"Maintenance overdue: ","Maintenance due: ")&amp;P742)</f>
        <v/>
      </c>
    </row>
    <row r="743" ht="20" customHeight="1">
      <c r="B743" s="72" t="n"/>
      <c r="C743" s="72" t="n"/>
      <c r="D743" s="72" t="n"/>
      <c r="E743" s="109" t="n"/>
      <c r="F743" s="74" t="n"/>
      <c r="G743" s="126">
        <f>IF(OR(E743="",F743=""),"",DATE(YEAR(E743),MONTH(E743)+ROUND(F743*12,0),DAY(E743)))</f>
        <v/>
      </c>
      <c r="H743" s="144">
        <f>IF(G743="","",G743-AsOf)</f>
        <v/>
      </c>
      <c r="I743" s="107">
        <f>IF(G743="","",IF(H743&lt;0,"Expired",IF(H743&lt;=90,"Expires soon","Active")))</f>
        <v/>
      </c>
      <c r="J743" s="72" t="n"/>
      <c r="K743" s="79">
        <f>IF(I743="","",IF(I743="Active",0,IF(I743="Expires soon",1,3)))</f>
        <v/>
      </c>
      <c r="L743" s="112">
        <f>IF(G743="","",IF(G743&lt;AsOf,"",G743))</f>
        <v/>
      </c>
      <c r="M743" s="79">
        <f>IF(L743="","",IF(L743&lt;=AsOf+AlertDays,2,IF(L743&lt;=AsOf+90,3,"")))</f>
        <v/>
      </c>
      <c r="N743" s="79">
        <f>IF(M743="","","Warranty expires in "&amp;H743&amp;" days: "&amp;B743&amp;IF(C743="",""," ("&amp;C743&amp;")")&amp;" — check for defects")</f>
        <v/>
      </c>
      <c r="P743" s="72" t="n"/>
      <c r="Q743" s="72" t="n"/>
      <c r="R743" s="89" t="n"/>
      <c r="S743" s="109" t="n"/>
      <c r="T743" s="126">
        <f>IF(OR(R743="",S743=""),"",DATE(YEAR(S743),MONTH(S743)+R743,DAY(S743)))</f>
        <v/>
      </c>
      <c r="U743" s="144">
        <f>IF(T743="","",T743-AsOf)</f>
        <v/>
      </c>
      <c r="V743" s="107">
        <f>IF(T743="",IF(P743="","","Enter last-done date"),IF(U743&lt;0,"Overdue",IF(U743&lt;=30,"Due soon","OK")))</f>
        <v/>
      </c>
      <c r="W743" s="79">
        <f>IF(T743="","",IF(U743&lt;0,2,IF(U743&lt;=30,1,0)))</f>
        <v/>
      </c>
      <c r="X743" s="112">
        <f>IF(T743="","",T743)</f>
        <v/>
      </c>
      <c r="Y743" s="79">
        <f>IF(X743="","",IF(X743&lt;=AsOf+AlertDays,2,IF(X743&lt;=AsOf+30,3,"")))</f>
        <v/>
      </c>
      <c r="Z743" s="79">
        <f>IF(Y743="","",IF(U743&lt;0,"Maintenance overdue: ","Maintenance due: ")&amp;P743)</f>
        <v/>
      </c>
    </row>
    <row r="744" ht="20" customHeight="1">
      <c r="B744" s="72" t="n"/>
      <c r="C744" s="72" t="n"/>
      <c r="D744" s="72" t="n"/>
      <c r="E744" s="109" t="n"/>
      <c r="F744" s="74" t="n"/>
      <c r="G744" s="126">
        <f>IF(OR(E744="",F744=""),"",DATE(YEAR(E744),MONTH(E744)+ROUND(F744*12,0),DAY(E744)))</f>
        <v/>
      </c>
      <c r="H744" s="144">
        <f>IF(G744="","",G744-AsOf)</f>
        <v/>
      </c>
      <c r="I744" s="107">
        <f>IF(G744="","",IF(H744&lt;0,"Expired",IF(H744&lt;=90,"Expires soon","Active")))</f>
        <v/>
      </c>
      <c r="J744" s="72" t="n"/>
      <c r="K744" s="79">
        <f>IF(I744="","",IF(I744="Active",0,IF(I744="Expires soon",1,3)))</f>
        <v/>
      </c>
      <c r="L744" s="112">
        <f>IF(G744="","",IF(G744&lt;AsOf,"",G744))</f>
        <v/>
      </c>
      <c r="M744" s="79">
        <f>IF(L744="","",IF(L744&lt;=AsOf+AlertDays,2,IF(L744&lt;=AsOf+90,3,"")))</f>
        <v/>
      </c>
      <c r="N744" s="79">
        <f>IF(M744="","","Warranty expires in "&amp;H744&amp;" days: "&amp;B744&amp;IF(C744="",""," ("&amp;C744&amp;")")&amp;" — check for defects")</f>
        <v/>
      </c>
      <c r="P744" s="72" t="n"/>
      <c r="Q744" s="72" t="n"/>
      <c r="R744" s="89" t="n"/>
      <c r="S744" s="109" t="n"/>
      <c r="T744" s="126">
        <f>IF(OR(R744="",S744=""),"",DATE(YEAR(S744),MONTH(S744)+R744,DAY(S744)))</f>
        <v/>
      </c>
      <c r="U744" s="144">
        <f>IF(T744="","",T744-AsOf)</f>
        <v/>
      </c>
      <c r="V744" s="107">
        <f>IF(T744="",IF(P744="","","Enter last-done date"),IF(U744&lt;0,"Overdue",IF(U744&lt;=30,"Due soon","OK")))</f>
        <v/>
      </c>
      <c r="W744" s="79">
        <f>IF(T744="","",IF(U744&lt;0,2,IF(U744&lt;=30,1,0)))</f>
        <v/>
      </c>
      <c r="X744" s="112">
        <f>IF(T744="","",T744)</f>
        <v/>
      </c>
      <c r="Y744" s="79">
        <f>IF(X744="","",IF(X744&lt;=AsOf+AlertDays,2,IF(X744&lt;=AsOf+30,3,"")))</f>
        <v/>
      </c>
      <c r="Z744" s="79">
        <f>IF(Y744="","",IF(U744&lt;0,"Maintenance overdue: ","Maintenance due: ")&amp;P744)</f>
        <v/>
      </c>
    </row>
    <row r="745" ht="20" customHeight="1">
      <c r="B745" s="72" t="n"/>
      <c r="C745" s="72" t="n"/>
      <c r="D745" s="72" t="n"/>
      <c r="E745" s="109" t="n"/>
      <c r="F745" s="74" t="n"/>
      <c r="G745" s="126">
        <f>IF(OR(E745="",F745=""),"",DATE(YEAR(E745),MONTH(E745)+ROUND(F745*12,0),DAY(E745)))</f>
        <v/>
      </c>
      <c r="H745" s="144">
        <f>IF(G745="","",G745-AsOf)</f>
        <v/>
      </c>
      <c r="I745" s="107">
        <f>IF(G745="","",IF(H745&lt;0,"Expired",IF(H745&lt;=90,"Expires soon","Active")))</f>
        <v/>
      </c>
      <c r="J745" s="72" t="n"/>
      <c r="K745" s="79">
        <f>IF(I745="","",IF(I745="Active",0,IF(I745="Expires soon",1,3)))</f>
        <v/>
      </c>
      <c r="L745" s="112">
        <f>IF(G745="","",IF(G745&lt;AsOf,"",G745))</f>
        <v/>
      </c>
      <c r="M745" s="79">
        <f>IF(L745="","",IF(L745&lt;=AsOf+AlertDays,2,IF(L745&lt;=AsOf+90,3,"")))</f>
        <v/>
      </c>
      <c r="N745" s="79">
        <f>IF(M745="","","Warranty expires in "&amp;H745&amp;" days: "&amp;B745&amp;IF(C745="",""," ("&amp;C745&amp;")")&amp;" — check for defects")</f>
        <v/>
      </c>
      <c r="P745" s="72" t="n"/>
      <c r="Q745" s="72" t="n"/>
      <c r="R745" s="89" t="n"/>
      <c r="S745" s="109" t="n"/>
      <c r="T745" s="126">
        <f>IF(OR(R745="",S745=""),"",DATE(YEAR(S745),MONTH(S745)+R745,DAY(S745)))</f>
        <v/>
      </c>
      <c r="U745" s="144">
        <f>IF(T745="","",T745-AsOf)</f>
        <v/>
      </c>
      <c r="V745" s="107">
        <f>IF(T745="",IF(P745="","","Enter last-done date"),IF(U745&lt;0,"Overdue",IF(U745&lt;=30,"Due soon","OK")))</f>
        <v/>
      </c>
      <c r="W745" s="79">
        <f>IF(T745="","",IF(U745&lt;0,2,IF(U745&lt;=30,1,0)))</f>
        <v/>
      </c>
      <c r="X745" s="112">
        <f>IF(T745="","",T745)</f>
        <v/>
      </c>
      <c r="Y745" s="79">
        <f>IF(X745="","",IF(X745&lt;=AsOf+AlertDays,2,IF(X745&lt;=AsOf+30,3,"")))</f>
        <v/>
      </c>
      <c r="Z745" s="79">
        <f>IF(Y745="","",IF(U745&lt;0,"Maintenance overdue: ","Maintenance due: ")&amp;P745)</f>
        <v/>
      </c>
    </row>
    <row r="746" ht="20" customHeight="1">
      <c r="B746" s="72" t="n"/>
      <c r="C746" s="72" t="n"/>
      <c r="D746" s="72" t="n"/>
      <c r="E746" s="109" t="n"/>
      <c r="F746" s="74" t="n"/>
      <c r="G746" s="126">
        <f>IF(OR(E746="",F746=""),"",DATE(YEAR(E746),MONTH(E746)+ROUND(F746*12,0),DAY(E746)))</f>
        <v/>
      </c>
      <c r="H746" s="144">
        <f>IF(G746="","",G746-AsOf)</f>
        <v/>
      </c>
      <c r="I746" s="107">
        <f>IF(G746="","",IF(H746&lt;0,"Expired",IF(H746&lt;=90,"Expires soon","Active")))</f>
        <v/>
      </c>
      <c r="J746" s="72" t="n"/>
      <c r="K746" s="79">
        <f>IF(I746="","",IF(I746="Active",0,IF(I746="Expires soon",1,3)))</f>
        <v/>
      </c>
      <c r="L746" s="112">
        <f>IF(G746="","",IF(G746&lt;AsOf,"",G746))</f>
        <v/>
      </c>
      <c r="M746" s="79">
        <f>IF(L746="","",IF(L746&lt;=AsOf+AlertDays,2,IF(L746&lt;=AsOf+90,3,"")))</f>
        <v/>
      </c>
      <c r="N746" s="79">
        <f>IF(M746="","","Warranty expires in "&amp;H746&amp;" days: "&amp;B746&amp;IF(C746="",""," ("&amp;C746&amp;")")&amp;" — check for defects")</f>
        <v/>
      </c>
      <c r="P746" s="72" t="n"/>
      <c r="Q746" s="72" t="n"/>
      <c r="R746" s="89" t="n"/>
      <c r="S746" s="109" t="n"/>
      <c r="T746" s="126">
        <f>IF(OR(R746="",S746=""),"",DATE(YEAR(S746),MONTH(S746)+R746,DAY(S746)))</f>
        <v/>
      </c>
      <c r="U746" s="144">
        <f>IF(T746="","",T746-AsOf)</f>
        <v/>
      </c>
      <c r="V746" s="107">
        <f>IF(T746="",IF(P746="","","Enter last-done date"),IF(U746&lt;0,"Overdue",IF(U746&lt;=30,"Due soon","OK")))</f>
        <v/>
      </c>
      <c r="W746" s="79">
        <f>IF(T746="","",IF(U746&lt;0,2,IF(U746&lt;=30,1,0)))</f>
        <v/>
      </c>
      <c r="X746" s="112">
        <f>IF(T746="","",T746)</f>
        <v/>
      </c>
      <c r="Y746" s="79">
        <f>IF(X746="","",IF(X746&lt;=AsOf+AlertDays,2,IF(X746&lt;=AsOf+30,3,"")))</f>
        <v/>
      </c>
      <c r="Z746" s="79">
        <f>IF(Y746="","",IF(U746&lt;0,"Maintenance overdue: ","Maintenance due: ")&amp;P746)</f>
        <v/>
      </c>
    </row>
    <row r="747" ht="20" customHeight="1">
      <c r="B747" s="72" t="n"/>
      <c r="C747" s="72" t="n"/>
      <c r="D747" s="72" t="n"/>
      <c r="E747" s="109" t="n"/>
      <c r="F747" s="74" t="n"/>
      <c r="G747" s="126">
        <f>IF(OR(E747="",F747=""),"",DATE(YEAR(E747),MONTH(E747)+ROUND(F747*12,0),DAY(E747)))</f>
        <v/>
      </c>
      <c r="H747" s="144">
        <f>IF(G747="","",G747-AsOf)</f>
        <v/>
      </c>
      <c r="I747" s="107">
        <f>IF(G747="","",IF(H747&lt;0,"Expired",IF(H747&lt;=90,"Expires soon","Active")))</f>
        <v/>
      </c>
      <c r="J747" s="72" t="n"/>
      <c r="K747" s="79">
        <f>IF(I747="","",IF(I747="Active",0,IF(I747="Expires soon",1,3)))</f>
        <v/>
      </c>
      <c r="L747" s="112">
        <f>IF(G747="","",IF(G747&lt;AsOf,"",G747))</f>
        <v/>
      </c>
      <c r="M747" s="79">
        <f>IF(L747="","",IF(L747&lt;=AsOf+AlertDays,2,IF(L747&lt;=AsOf+90,3,"")))</f>
        <v/>
      </c>
      <c r="N747" s="79">
        <f>IF(M747="","","Warranty expires in "&amp;H747&amp;" days: "&amp;B747&amp;IF(C747="",""," ("&amp;C747&amp;")")&amp;" — check for defects")</f>
        <v/>
      </c>
      <c r="P747" s="72" t="n"/>
      <c r="Q747" s="72" t="n"/>
      <c r="R747" s="89" t="n"/>
      <c r="S747" s="109" t="n"/>
      <c r="T747" s="126">
        <f>IF(OR(R747="",S747=""),"",DATE(YEAR(S747),MONTH(S747)+R747,DAY(S747)))</f>
        <v/>
      </c>
      <c r="U747" s="144">
        <f>IF(T747="","",T747-AsOf)</f>
        <v/>
      </c>
      <c r="V747" s="107">
        <f>IF(T747="",IF(P747="","","Enter last-done date"),IF(U747&lt;0,"Overdue",IF(U747&lt;=30,"Due soon","OK")))</f>
        <v/>
      </c>
      <c r="W747" s="79">
        <f>IF(T747="","",IF(U747&lt;0,2,IF(U747&lt;=30,1,0)))</f>
        <v/>
      </c>
      <c r="X747" s="112">
        <f>IF(T747="","",T747)</f>
        <v/>
      </c>
      <c r="Y747" s="79">
        <f>IF(X747="","",IF(X747&lt;=AsOf+AlertDays,2,IF(X747&lt;=AsOf+30,3,"")))</f>
        <v/>
      </c>
      <c r="Z747" s="79">
        <f>IF(Y747="","",IF(U747&lt;0,"Maintenance overdue: ","Maintenance due: ")&amp;P747)</f>
        <v/>
      </c>
    </row>
    <row r="748" ht="20" customHeight="1">
      <c r="B748" s="72" t="n"/>
      <c r="C748" s="72" t="n"/>
      <c r="D748" s="72" t="n"/>
      <c r="E748" s="109" t="n"/>
      <c r="F748" s="74" t="n"/>
      <c r="G748" s="126">
        <f>IF(OR(E748="",F748=""),"",DATE(YEAR(E748),MONTH(E748)+ROUND(F748*12,0),DAY(E748)))</f>
        <v/>
      </c>
      <c r="H748" s="144">
        <f>IF(G748="","",G748-AsOf)</f>
        <v/>
      </c>
      <c r="I748" s="107">
        <f>IF(G748="","",IF(H748&lt;0,"Expired",IF(H748&lt;=90,"Expires soon","Active")))</f>
        <v/>
      </c>
      <c r="J748" s="72" t="n"/>
      <c r="K748" s="79">
        <f>IF(I748="","",IF(I748="Active",0,IF(I748="Expires soon",1,3)))</f>
        <v/>
      </c>
      <c r="L748" s="112">
        <f>IF(G748="","",IF(G748&lt;AsOf,"",G748))</f>
        <v/>
      </c>
      <c r="M748" s="79">
        <f>IF(L748="","",IF(L748&lt;=AsOf+AlertDays,2,IF(L748&lt;=AsOf+90,3,"")))</f>
        <v/>
      </c>
      <c r="N748" s="79">
        <f>IF(M748="","","Warranty expires in "&amp;H748&amp;" days: "&amp;B748&amp;IF(C748="",""," ("&amp;C748&amp;")")&amp;" — check for defects")</f>
        <v/>
      </c>
      <c r="P748" s="72" t="n"/>
      <c r="Q748" s="72" t="n"/>
      <c r="R748" s="89" t="n"/>
      <c r="S748" s="109" t="n"/>
      <c r="T748" s="126">
        <f>IF(OR(R748="",S748=""),"",DATE(YEAR(S748),MONTH(S748)+R748,DAY(S748)))</f>
        <v/>
      </c>
      <c r="U748" s="144">
        <f>IF(T748="","",T748-AsOf)</f>
        <v/>
      </c>
      <c r="V748" s="107">
        <f>IF(T748="",IF(P748="","","Enter last-done date"),IF(U748&lt;0,"Overdue",IF(U748&lt;=30,"Due soon","OK")))</f>
        <v/>
      </c>
      <c r="W748" s="79">
        <f>IF(T748="","",IF(U748&lt;0,2,IF(U748&lt;=30,1,0)))</f>
        <v/>
      </c>
      <c r="X748" s="112">
        <f>IF(T748="","",T748)</f>
        <v/>
      </c>
      <c r="Y748" s="79">
        <f>IF(X748="","",IF(X748&lt;=AsOf+AlertDays,2,IF(X748&lt;=AsOf+30,3,"")))</f>
        <v/>
      </c>
      <c r="Z748" s="79">
        <f>IF(Y748="","",IF(U748&lt;0,"Maintenance overdue: ","Maintenance due: ")&amp;P748)</f>
        <v/>
      </c>
    </row>
    <row r="749" ht="20" customHeight="1">
      <c r="B749" s="72" t="n"/>
      <c r="C749" s="72" t="n"/>
      <c r="D749" s="72" t="n"/>
      <c r="E749" s="109" t="n"/>
      <c r="F749" s="74" t="n"/>
      <c r="G749" s="126">
        <f>IF(OR(E749="",F749=""),"",DATE(YEAR(E749),MONTH(E749)+ROUND(F749*12,0),DAY(E749)))</f>
        <v/>
      </c>
      <c r="H749" s="144">
        <f>IF(G749="","",G749-AsOf)</f>
        <v/>
      </c>
      <c r="I749" s="107">
        <f>IF(G749="","",IF(H749&lt;0,"Expired",IF(H749&lt;=90,"Expires soon","Active")))</f>
        <v/>
      </c>
      <c r="J749" s="72" t="n"/>
      <c r="K749" s="79">
        <f>IF(I749="","",IF(I749="Active",0,IF(I749="Expires soon",1,3)))</f>
        <v/>
      </c>
      <c r="L749" s="112">
        <f>IF(G749="","",IF(G749&lt;AsOf,"",G749))</f>
        <v/>
      </c>
      <c r="M749" s="79">
        <f>IF(L749="","",IF(L749&lt;=AsOf+AlertDays,2,IF(L749&lt;=AsOf+90,3,"")))</f>
        <v/>
      </c>
      <c r="N749" s="79">
        <f>IF(M749="","","Warranty expires in "&amp;H749&amp;" days: "&amp;B749&amp;IF(C749="",""," ("&amp;C749&amp;")")&amp;" — check for defects")</f>
        <v/>
      </c>
      <c r="P749" s="72" t="n"/>
      <c r="Q749" s="72" t="n"/>
      <c r="R749" s="89" t="n"/>
      <c r="S749" s="109" t="n"/>
      <c r="T749" s="126">
        <f>IF(OR(R749="",S749=""),"",DATE(YEAR(S749),MONTH(S749)+R749,DAY(S749)))</f>
        <v/>
      </c>
      <c r="U749" s="144">
        <f>IF(T749="","",T749-AsOf)</f>
        <v/>
      </c>
      <c r="V749" s="107">
        <f>IF(T749="",IF(P749="","","Enter last-done date"),IF(U749&lt;0,"Overdue",IF(U749&lt;=30,"Due soon","OK")))</f>
        <v/>
      </c>
      <c r="W749" s="79">
        <f>IF(T749="","",IF(U749&lt;0,2,IF(U749&lt;=30,1,0)))</f>
        <v/>
      </c>
      <c r="X749" s="112">
        <f>IF(T749="","",T749)</f>
        <v/>
      </c>
      <c r="Y749" s="79">
        <f>IF(X749="","",IF(X749&lt;=AsOf+AlertDays,2,IF(X749&lt;=AsOf+30,3,"")))</f>
        <v/>
      </c>
      <c r="Z749" s="79">
        <f>IF(Y749="","",IF(U749&lt;0,"Maintenance overdue: ","Maintenance due: ")&amp;P749)</f>
        <v/>
      </c>
    </row>
    <row r="750" ht="20" customHeight="1">
      <c r="B750" s="72" t="n"/>
      <c r="C750" s="72" t="n"/>
      <c r="D750" s="72" t="n"/>
      <c r="E750" s="109" t="n"/>
      <c r="F750" s="74" t="n"/>
      <c r="G750" s="126">
        <f>IF(OR(E750="",F750=""),"",DATE(YEAR(E750),MONTH(E750)+ROUND(F750*12,0),DAY(E750)))</f>
        <v/>
      </c>
      <c r="H750" s="144">
        <f>IF(G750="","",G750-AsOf)</f>
        <v/>
      </c>
      <c r="I750" s="107">
        <f>IF(G750="","",IF(H750&lt;0,"Expired",IF(H750&lt;=90,"Expires soon","Active")))</f>
        <v/>
      </c>
      <c r="J750" s="72" t="n"/>
      <c r="K750" s="79">
        <f>IF(I750="","",IF(I750="Active",0,IF(I750="Expires soon",1,3)))</f>
        <v/>
      </c>
      <c r="L750" s="112">
        <f>IF(G750="","",IF(G750&lt;AsOf,"",G750))</f>
        <v/>
      </c>
      <c r="M750" s="79">
        <f>IF(L750="","",IF(L750&lt;=AsOf+AlertDays,2,IF(L750&lt;=AsOf+90,3,"")))</f>
        <v/>
      </c>
      <c r="N750" s="79">
        <f>IF(M750="","","Warranty expires in "&amp;H750&amp;" days: "&amp;B750&amp;IF(C750="",""," ("&amp;C750&amp;")")&amp;" — check for defects")</f>
        <v/>
      </c>
      <c r="P750" s="72" t="n"/>
      <c r="Q750" s="72" t="n"/>
      <c r="R750" s="89" t="n"/>
      <c r="S750" s="109" t="n"/>
      <c r="T750" s="126">
        <f>IF(OR(R750="",S750=""),"",DATE(YEAR(S750),MONTH(S750)+R750,DAY(S750)))</f>
        <v/>
      </c>
      <c r="U750" s="144">
        <f>IF(T750="","",T750-AsOf)</f>
        <v/>
      </c>
      <c r="V750" s="107">
        <f>IF(T750="",IF(P750="","","Enter last-done date"),IF(U750&lt;0,"Overdue",IF(U750&lt;=30,"Due soon","OK")))</f>
        <v/>
      </c>
      <c r="W750" s="79">
        <f>IF(T750="","",IF(U750&lt;0,2,IF(U750&lt;=30,1,0)))</f>
        <v/>
      </c>
      <c r="X750" s="112">
        <f>IF(T750="","",T750)</f>
        <v/>
      </c>
      <c r="Y750" s="79">
        <f>IF(X750="","",IF(X750&lt;=AsOf+AlertDays,2,IF(X750&lt;=AsOf+30,3,"")))</f>
        <v/>
      </c>
      <c r="Z750" s="79">
        <f>IF(Y750="","",IF(U750&lt;0,"Maintenance overdue: ","Maintenance due: ")&amp;P750)</f>
        <v/>
      </c>
    </row>
    <row r="751" ht="20" customHeight="1">
      <c r="B751" s="72" t="n"/>
      <c r="C751" s="72" t="n"/>
      <c r="D751" s="72" t="n"/>
      <c r="E751" s="109" t="n"/>
      <c r="F751" s="74" t="n"/>
      <c r="G751" s="126">
        <f>IF(OR(E751="",F751=""),"",DATE(YEAR(E751),MONTH(E751)+ROUND(F751*12,0),DAY(E751)))</f>
        <v/>
      </c>
      <c r="H751" s="144">
        <f>IF(G751="","",G751-AsOf)</f>
        <v/>
      </c>
      <c r="I751" s="107">
        <f>IF(G751="","",IF(H751&lt;0,"Expired",IF(H751&lt;=90,"Expires soon","Active")))</f>
        <v/>
      </c>
      <c r="J751" s="72" t="n"/>
      <c r="K751" s="79">
        <f>IF(I751="","",IF(I751="Active",0,IF(I751="Expires soon",1,3)))</f>
        <v/>
      </c>
      <c r="L751" s="112">
        <f>IF(G751="","",IF(G751&lt;AsOf,"",G751))</f>
        <v/>
      </c>
      <c r="M751" s="79">
        <f>IF(L751="","",IF(L751&lt;=AsOf+AlertDays,2,IF(L751&lt;=AsOf+90,3,"")))</f>
        <v/>
      </c>
      <c r="N751" s="79">
        <f>IF(M751="","","Warranty expires in "&amp;H751&amp;" days: "&amp;B751&amp;IF(C751="",""," ("&amp;C751&amp;")")&amp;" — check for defects")</f>
        <v/>
      </c>
      <c r="P751" s="72" t="n"/>
      <c r="Q751" s="72" t="n"/>
      <c r="R751" s="89" t="n"/>
      <c r="S751" s="109" t="n"/>
      <c r="T751" s="126">
        <f>IF(OR(R751="",S751=""),"",DATE(YEAR(S751),MONTH(S751)+R751,DAY(S751)))</f>
        <v/>
      </c>
      <c r="U751" s="144">
        <f>IF(T751="","",T751-AsOf)</f>
        <v/>
      </c>
      <c r="V751" s="107">
        <f>IF(T751="",IF(P751="","","Enter last-done date"),IF(U751&lt;0,"Overdue",IF(U751&lt;=30,"Due soon","OK")))</f>
        <v/>
      </c>
      <c r="W751" s="79">
        <f>IF(T751="","",IF(U751&lt;0,2,IF(U751&lt;=30,1,0)))</f>
        <v/>
      </c>
      <c r="X751" s="112">
        <f>IF(T751="","",T751)</f>
        <v/>
      </c>
      <c r="Y751" s="79">
        <f>IF(X751="","",IF(X751&lt;=AsOf+AlertDays,2,IF(X751&lt;=AsOf+30,3,"")))</f>
        <v/>
      </c>
      <c r="Z751" s="79">
        <f>IF(Y751="","",IF(U751&lt;0,"Maintenance overdue: ","Maintenance due: ")&amp;P751)</f>
        <v/>
      </c>
    </row>
    <row r="752" ht="20" customHeight="1">
      <c r="B752" s="72" t="n"/>
      <c r="C752" s="72" t="n"/>
      <c r="D752" s="72" t="n"/>
      <c r="E752" s="109" t="n"/>
      <c r="F752" s="74" t="n"/>
      <c r="G752" s="126">
        <f>IF(OR(E752="",F752=""),"",DATE(YEAR(E752),MONTH(E752)+ROUND(F752*12,0),DAY(E752)))</f>
        <v/>
      </c>
      <c r="H752" s="144">
        <f>IF(G752="","",G752-AsOf)</f>
        <v/>
      </c>
      <c r="I752" s="107">
        <f>IF(G752="","",IF(H752&lt;0,"Expired",IF(H752&lt;=90,"Expires soon","Active")))</f>
        <v/>
      </c>
      <c r="J752" s="72" t="n"/>
      <c r="K752" s="79">
        <f>IF(I752="","",IF(I752="Active",0,IF(I752="Expires soon",1,3)))</f>
        <v/>
      </c>
      <c r="L752" s="112">
        <f>IF(G752="","",IF(G752&lt;AsOf,"",G752))</f>
        <v/>
      </c>
      <c r="M752" s="79">
        <f>IF(L752="","",IF(L752&lt;=AsOf+AlertDays,2,IF(L752&lt;=AsOf+90,3,"")))</f>
        <v/>
      </c>
      <c r="N752" s="79">
        <f>IF(M752="","","Warranty expires in "&amp;H752&amp;" days: "&amp;B752&amp;IF(C752="",""," ("&amp;C752&amp;")")&amp;" — check for defects")</f>
        <v/>
      </c>
      <c r="P752" s="72" t="n"/>
      <c r="Q752" s="72" t="n"/>
      <c r="R752" s="89" t="n"/>
      <c r="S752" s="109" t="n"/>
      <c r="T752" s="126">
        <f>IF(OR(R752="",S752=""),"",DATE(YEAR(S752),MONTH(S752)+R752,DAY(S752)))</f>
        <v/>
      </c>
      <c r="U752" s="144">
        <f>IF(T752="","",T752-AsOf)</f>
        <v/>
      </c>
      <c r="V752" s="107">
        <f>IF(T752="",IF(P752="","","Enter last-done date"),IF(U752&lt;0,"Overdue",IF(U752&lt;=30,"Due soon","OK")))</f>
        <v/>
      </c>
      <c r="W752" s="79">
        <f>IF(T752="","",IF(U752&lt;0,2,IF(U752&lt;=30,1,0)))</f>
        <v/>
      </c>
      <c r="X752" s="112">
        <f>IF(T752="","",T752)</f>
        <v/>
      </c>
      <c r="Y752" s="79">
        <f>IF(X752="","",IF(X752&lt;=AsOf+AlertDays,2,IF(X752&lt;=AsOf+30,3,"")))</f>
        <v/>
      </c>
      <c r="Z752" s="79">
        <f>IF(Y752="","",IF(U752&lt;0,"Maintenance overdue: ","Maintenance due: ")&amp;P752)</f>
        <v/>
      </c>
    </row>
    <row r="753" ht="20" customHeight="1">
      <c r="B753" s="72" t="n"/>
      <c r="C753" s="72" t="n"/>
      <c r="D753" s="72" t="n"/>
      <c r="E753" s="109" t="n"/>
      <c r="F753" s="74" t="n"/>
      <c r="G753" s="126">
        <f>IF(OR(E753="",F753=""),"",DATE(YEAR(E753),MONTH(E753)+ROUND(F753*12,0),DAY(E753)))</f>
        <v/>
      </c>
      <c r="H753" s="144">
        <f>IF(G753="","",G753-AsOf)</f>
        <v/>
      </c>
      <c r="I753" s="107">
        <f>IF(G753="","",IF(H753&lt;0,"Expired",IF(H753&lt;=90,"Expires soon","Active")))</f>
        <v/>
      </c>
      <c r="J753" s="72" t="n"/>
      <c r="K753" s="79">
        <f>IF(I753="","",IF(I753="Active",0,IF(I753="Expires soon",1,3)))</f>
        <v/>
      </c>
      <c r="L753" s="112">
        <f>IF(G753="","",IF(G753&lt;AsOf,"",G753))</f>
        <v/>
      </c>
      <c r="M753" s="79">
        <f>IF(L753="","",IF(L753&lt;=AsOf+AlertDays,2,IF(L753&lt;=AsOf+90,3,"")))</f>
        <v/>
      </c>
      <c r="N753" s="79">
        <f>IF(M753="","","Warranty expires in "&amp;H753&amp;" days: "&amp;B753&amp;IF(C753="",""," ("&amp;C753&amp;")")&amp;" — check for defects")</f>
        <v/>
      </c>
      <c r="P753" s="72" t="n"/>
      <c r="Q753" s="72" t="n"/>
      <c r="R753" s="89" t="n"/>
      <c r="S753" s="109" t="n"/>
      <c r="T753" s="126">
        <f>IF(OR(R753="",S753=""),"",DATE(YEAR(S753),MONTH(S753)+R753,DAY(S753)))</f>
        <v/>
      </c>
      <c r="U753" s="144">
        <f>IF(T753="","",T753-AsOf)</f>
        <v/>
      </c>
      <c r="V753" s="107">
        <f>IF(T753="",IF(P753="","","Enter last-done date"),IF(U753&lt;0,"Overdue",IF(U753&lt;=30,"Due soon","OK")))</f>
        <v/>
      </c>
      <c r="W753" s="79">
        <f>IF(T753="","",IF(U753&lt;0,2,IF(U753&lt;=30,1,0)))</f>
        <v/>
      </c>
      <c r="X753" s="112">
        <f>IF(T753="","",T753)</f>
        <v/>
      </c>
      <c r="Y753" s="79">
        <f>IF(X753="","",IF(X753&lt;=AsOf+AlertDays,2,IF(X753&lt;=AsOf+30,3,"")))</f>
        <v/>
      </c>
      <c r="Z753" s="79">
        <f>IF(Y753="","",IF(U753&lt;0,"Maintenance overdue: ","Maintenance due: ")&amp;P753)</f>
        <v/>
      </c>
    </row>
    <row r="754" ht="20" customHeight="1">
      <c r="B754" s="72" t="n"/>
      <c r="C754" s="72" t="n"/>
      <c r="D754" s="72" t="n"/>
      <c r="E754" s="109" t="n"/>
      <c r="F754" s="74" t="n"/>
      <c r="G754" s="126">
        <f>IF(OR(E754="",F754=""),"",DATE(YEAR(E754),MONTH(E754)+ROUND(F754*12,0),DAY(E754)))</f>
        <v/>
      </c>
      <c r="H754" s="144">
        <f>IF(G754="","",G754-AsOf)</f>
        <v/>
      </c>
      <c r="I754" s="107">
        <f>IF(G754="","",IF(H754&lt;0,"Expired",IF(H754&lt;=90,"Expires soon","Active")))</f>
        <v/>
      </c>
      <c r="J754" s="72" t="n"/>
      <c r="K754" s="79">
        <f>IF(I754="","",IF(I754="Active",0,IF(I754="Expires soon",1,3)))</f>
        <v/>
      </c>
      <c r="L754" s="112">
        <f>IF(G754="","",IF(G754&lt;AsOf,"",G754))</f>
        <v/>
      </c>
      <c r="M754" s="79">
        <f>IF(L754="","",IF(L754&lt;=AsOf+AlertDays,2,IF(L754&lt;=AsOf+90,3,"")))</f>
        <v/>
      </c>
      <c r="N754" s="79">
        <f>IF(M754="","","Warranty expires in "&amp;H754&amp;" days: "&amp;B754&amp;IF(C754="",""," ("&amp;C754&amp;")")&amp;" — check for defects")</f>
        <v/>
      </c>
      <c r="P754" s="72" t="n"/>
      <c r="Q754" s="72" t="n"/>
      <c r="R754" s="89" t="n"/>
      <c r="S754" s="109" t="n"/>
      <c r="T754" s="126">
        <f>IF(OR(R754="",S754=""),"",DATE(YEAR(S754),MONTH(S754)+R754,DAY(S754)))</f>
        <v/>
      </c>
      <c r="U754" s="144">
        <f>IF(T754="","",T754-AsOf)</f>
        <v/>
      </c>
      <c r="V754" s="107">
        <f>IF(T754="",IF(P754="","","Enter last-done date"),IF(U754&lt;0,"Overdue",IF(U754&lt;=30,"Due soon","OK")))</f>
        <v/>
      </c>
      <c r="W754" s="79">
        <f>IF(T754="","",IF(U754&lt;0,2,IF(U754&lt;=30,1,0)))</f>
        <v/>
      </c>
      <c r="X754" s="112">
        <f>IF(T754="","",T754)</f>
        <v/>
      </c>
      <c r="Y754" s="79">
        <f>IF(X754="","",IF(X754&lt;=AsOf+AlertDays,2,IF(X754&lt;=AsOf+30,3,"")))</f>
        <v/>
      </c>
      <c r="Z754" s="79">
        <f>IF(Y754="","",IF(U754&lt;0,"Maintenance overdue: ","Maintenance due: ")&amp;P754)</f>
        <v/>
      </c>
    </row>
    <row r="755" ht="20" customHeight="1">
      <c r="B755" s="72" t="n"/>
      <c r="C755" s="72" t="n"/>
      <c r="D755" s="72" t="n"/>
      <c r="E755" s="109" t="n"/>
      <c r="F755" s="74" t="n"/>
      <c r="G755" s="126">
        <f>IF(OR(E755="",F755=""),"",DATE(YEAR(E755),MONTH(E755)+ROUND(F755*12,0),DAY(E755)))</f>
        <v/>
      </c>
      <c r="H755" s="144">
        <f>IF(G755="","",G755-AsOf)</f>
        <v/>
      </c>
      <c r="I755" s="107">
        <f>IF(G755="","",IF(H755&lt;0,"Expired",IF(H755&lt;=90,"Expires soon","Active")))</f>
        <v/>
      </c>
      <c r="J755" s="72" t="n"/>
      <c r="K755" s="79">
        <f>IF(I755="","",IF(I755="Active",0,IF(I755="Expires soon",1,3)))</f>
        <v/>
      </c>
      <c r="L755" s="112">
        <f>IF(G755="","",IF(G755&lt;AsOf,"",G755))</f>
        <v/>
      </c>
      <c r="M755" s="79">
        <f>IF(L755="","",IF(L755&lt;=AsOf+AlertDays,2,IF(L755&lt;=AsOf+90,3,"")))</f>
        <v/>
      </c>
      <c r="N755" s="79">
        <f>IF(M755="","","Warranty expires in "&amp;H755&amp;" days: "&amp;B755&amp;IF(C755="",""," ("&amp;C755&amp;")")&amp;" — check for defects")</f>
        <v/>
      </c>
      <c r="P755" s="72" t="n"/>
      <c r="Q755" s="72" t="n"/>
      <c r="R755" s="89" t="n"/>
      <c r="S755" s="109" t="n"/>
      <c r="T755" s="126">
        <f>IF(OR(R755="",S755=""),"",DATE(YEAR(S755),MONTH(S755)+R755,DAY(S755)))</f>
        <v/>
      </c>
      <c r="U755" s="144">
        <f>IF(T755="","",T755-AsOf)</f>
        <v/>
      </c>
      <c r="V755" s="107">
        <f>IF(T755="",IF(P755="","","Enter last-done date"),IF(U755&lt;0,"Overdue",IF(U755&lt;=30,"Due soon","OK")))</f>
        <v/>
      </c>
      <c r="W755" s="79">
        <f>IF(T755="","",IF(U755&lt;0,2,IF(U755&lt;=30,1,0)))</f>
        <v/>
      </c>
      <c r="X755" s="112">
        <f>IF(T755="","",T755)</f>
        <v/>
      </c>
      <c r="Y755" s="79">
        <f>IF(X755="","",IF(X755&lt;=AsOf+AlertDays,2,IF(X755&lt;=AsOf+30,3,"")))</f>
        <v/>
      </c>
      <c r="Z755" s="79">
        <f>IF(Y755="","",IF(U755&lt;0,"Maintenance overdue: ","Maintenance due: ")&amp;P755)</f>
        <v/>
      </c>
    </row>
    <row r="756" ht="20" customHeight="1">
      <c r="B756" s="72" t="n"/>
      <c r="C756" s="72" t="n"/>
      <c r="D756" s="72" t="n"/>
      <c r="E756" s="109" t="n"/>
      <c r="F756" s="74" t="n"/>
      <c r="G756" s="126">
        <f>IF(OR(E756="",F756=""),"",DATE(YEAR(E756),MONTH(E756)+ROUND(F756*12,0),DAY(E756)))</f>
        <v/>
      </c>
      <c r="H756" s="144">
        <f>IF(G756="","",G756-AsOf)</f>
        <v/>
      </c>
      <c r="I756" s="107">
        <f>IF(G756="","",IF(H756&lt;0,"Expired",IF(H756&lt;=90,"Expires soon","Active")))</f>
        <v/>
      </c>
      <c r="J756" s="72" t="n"/>
      <c r="K756" s="79">
        <f>IF(I756="","",IF(I756="Active",0,IF(I756="Expires soon",1,3)))</f>
        <v/>
      </c>
      <c r="L756" s="112">
        <f>IF(G756="","",IF(G756&lt;AsOf,"",G756))</f>
        <v/>
      </c>
      <c r="M756" s="79">
        <f>IF(L756="","",IF(L756&lt;=AsOf+AlertDays,2,IF(L756&lt;=AsOf+90,3,"")))</f>
        <v/>
      </c>
      <c r="N756" s="79">
        <f>IF(M756="","","Warranty expires in "&amp;H756&amp;" days: "&amp;B756&amp;IF(C756="",""," ("&amp;C756&amp;")")&amp;" — check for defects")</f>
        <v/>
      </c>
      <c r="P756" s="72" t="n"/>
      <c r="Q756" s="72" t="n"/>
      <c r="R756" s="89" t="n"/>
      <c r="S756" s="109" t="n"/>
      <c r="T756" s="126">
        <f>IF(OR(R756="",S756=""),"",DATE(YEAR(S756),MONTH(S756)+R756,DAY(S756)))</f>
        <v/>
      </c>
      <c r="U756" s="144">
        <f>IF(T756="","",T756-AsOf)</f>
        <v/>
      </c>
      <c r="V756" s="107">
        <f>IF(T756="",IF(P756="","","Enter last-done date"),IF(U756&lt;0,"Overdue",IF(U756&lt;=30,"Due soon","OK")))</f>
        <v/>
      </c>
      <c r="W756" s="79">
        <f>IF(T756="","",IF(U756&lt;0,2,IF(U756&lt;=30,1,0)))</f>
        <v/>
      </c>
      <c r="X756" s="112">
        <f>IF(T756="","",T756)</f>
        <v/>
      </c>
      <c r="Y756" s="79">
        <f>IF(X756="","",IF(X756&lt;=AsOf+AlertDays,2,IF(X756&lt;=AsOf+30,3,"")))</f>
        <v/>
      </c>
      <c r="Z756" s="79">
        <f>IF(Y756="","",IF(U756&lt;0,"Maintenance overdue: ","Maintenance due: ")&amp;P756)</f>
        <v/>
      </c>
    </row>
    <row r="757" ht="20" customHeight="1">
      <c r="B757" s="72" t="n"/>
      <c r="C757" s="72" t="n"/>
      <c r="D757" s="72" t="n"/>
      <c r="E757" s="109" t="n"/>
      <c r="F757" s="74" t="n"/>
      <c r="G757" s="126">
        <f>IF(OR(E757="",F757=""),"",DATE(YEAR(E757),MONTH(E757)+ROUND(F757*12,0),DAY(E757)))</f>
        <v/>
      </c>
      <c r="H757" s="144">
        <f>IF(G757="","",G757-AsOf)</f>
        <v/>
      </c>
      <c r="I757" s="107">
        <f>IF(G757="","",IF(H757&lt;0,"Expired",IF(H757&lt;=90,"Expires soon","Active")))</f>
        <v/>
      </c>
      <c r="J757" s="72" t="n"/>
      <c r="K757" s="79">
        <f>IF(I757="","",IF(I757="Active",0,IF(I757="Expires soon",1,3)))</f>
        <v/>
      </c>
      <c r="L757" s="112">
        <f>IF(G757="","",IF(G757&lt;AsOf,"",G757))</f>
        <v/>
      </c>
      <c r="M757" s="79">
        <f>IF(L757="","",IF(L757&lt;=AsOf+AlertDays,2,IF(L757&lt;=AsOf+90,3,"")))</f>
        <v/>
      </c>
      <c r="N757" s="79">
        <f>IF(M757="","","Warranty expires in "&amp;H757&amp;" days: "&amp;B757&amp;IF(C757="",""," ("&amp;C757&amp;")")&amp;" — check for defects")</f>
        <v/>
      </c>
      <c r="P757" s="72" t="n"/>
      <c r="Q757" s="72" t="n"/>
      <c r="R757" s="89" t="n"/>
      <c r="S757" s="109" t="n"/>
      <c r="T757" s="126">
        <f>IF(OR(R757="",S757=""),"",DATE(YEAR(S757),MONTH(S757)+R757,DAY(S757)))</f>
        <v/>
      </c>
      <c r="U757" s="144">
        <f>IF(T757="","",T757-AsOf)</f>
        <v/>
      </c>
      <c r="V757" s="107">
        <f>IF(T757="",IF(P757="","","Enter last-done date"),IF(U757&lt;0,"Overdue",IF(U757&lt;=30,"Due soon","OK")))</f>
        <v/>
      </c>
      <c r="W757" s="79">
        <f>IF(T757="","",IF(U757&lt;0,2,IF(U757&lt;=30,1,0)))</f>
        <v/>
      </c>
      <c r="X757" s="112">
        <f>IF(T757="","",T757)</f>
        <v/>
      </c>
      <c r="Y757" s="79">
        <f>IF(X757="","",IF(X757&lt;=AsOf+AlertDays,2,IF(X757&lt;=AsOf+30,3,"")))</f>
        <v/>
      </c>
      <c r="Z757" s="79">
        <f>IF(Y757="","",IF(U757&lt;0,"Maintenance overdue: ","Maintenance due: ")&amp;P757)</f>
        <v/>
      </c>
    </row>
    <row r="758" ht="20" customHeight="1">
      <c r="B758" s="72" t="n"/>
      <c r="C758" s="72" t="n"/>
      <c r="D758" s="72" t="n"/>
      <c r="E758" s="109" t="n"/>
      <c r="F758" s="74" t="n"/>
      <c r="G758" s="126">
        <f>IF(OR(E758="",F758=""),"",DATE(YEAR(E758),MONTH(E758)+ROUND(F758*12,0),DAY(E758)))</f>
        <v/>
      </c>
      <c r="H758" s="144">
        <f>IF(G758="","",G758-AsOf)</f>
        <v/>
      </c>
      <c r="I758" s="107">
        <f>IF(G758="","",IF(H758&lt;0,"Expired",IF(H758&lt;=90,"Expires soon","Active")))</f>
        <v/>
      </c>
      <c r="J758" s="72" t="n"/>
      <c r="K758" s="79">
        <f>IF(I758="","",IF(I758="Active",0,IF(I758="Expires soon",1,3)))</f>
        <v/>
      </c>
      <c r="L758" s="112">
        <f>IF(G758="","",IF(G758&lt;AsOf,"",G758))</f>
        <v/>
      </c>
      <c r="M758" s="79">
        <f>IF(L758="","",IF(L758&lt;=AsOf+AlertDays,2,IF(L758&lt;=AsOf+90,3,"")))</f>
        <v/>
      </c>
      <c r="N758" s="79">
        <f>IF(M758="","","Warranty expires in "&amp;H758&amp;" days: "&amp;B758&amp;IF(C758="",""," ("&amp;C758&amp;")")&amp;" — check for defects")</f>
        <v/>
      </c>
      <c r="P758" s="72" t="n"/>
      <c r="Q758" s="72" t="n"/>
      <c r="R758" s="89" t="n"/>
      <c r="S758" s="109" t="n"/>
      <c r="T758" s="126">
        <f>IF(OR(R758="",S758=""),"",DATE(YEAR(S758),MONTH(S758)+R758,DAY(S758)))</f>
        <v/>
      </c>
      <c r="U758" s="144">
        <f>IF(T758="","",T758-AsOf)</f>
        <v/>
      </c>
      <c r="V758" s="107">
        <f>IF(T758="",IF(P758="","","Enter last-done date"),IF(U758&lt;0,"Overdue",IF(U758&lt;=30,"Due soon","OK")))</f>
        <v/>
      </c>
      <c r="W758" s="79">
        <f>IF(T758="","",IF(U758&lt;0,2,IF(U758&lt;=30,1,0)))</f>
        <v/>
      </c>
      <c r="X758" s="112">
        <f>IF(T758="","",T758)</f>
        <v/>
      </c>
      <c r="Y758" s="79">
        <f>IF(X758="","",IF(X758&lt;=AsOf+AlertDays,2,IF(X758&lt;=AsOf+30,3,"")))</f>
        <v/>
      </c>
      <c r="Z758" s="79">
        <f>IF(Y758="","",IF(U758&lt;0,"Maintenance overdue: ","Maintenance due: ")&amp;P758)</f>
        <v/>
      </c>
    </row>
    <row r="759" ht="20" customHeight="1">
      <c r="B759" s="72" t="n"/>
      <c r="C759" s="72" t="n"/>
      <c r="D759" s="72" t="n"/>
      <c r="E759" s="109" t="n"/>
      <c r="F759" s="74" t="n"/>
      <c r="G759" s="126">
        <f>IF(OR(E759="",F759=""),"",DATE(YEAR(E759),MONTH(E759)+ROUND(F759*12,0),DAY(E759)))</f>
        <v/>
      </c>
      <c r="H759" s="144">
        <f>IF(G759="","",G759-AsOf)</f>
        <v/>
      </c>
      <c r="I759" s="107">
        <f>IF(G759="","",IF(H759&lt;0,"Expired",IF(H759&lt;=90,"Expires soon","Active")))</f>
        <v/>
      </c>
      <c r="J759" s="72" t="n"/>
      <c r="K759" s="79">
        <f>IF(I759="","",IF(I759="Active",0,IF(I759="Expires soon",1,3)))</f>
        <v/>
      </c>
      <c r="L759" s="112">
        <f>IF(G759="","",IF(G759&lt;AsOf,"",G759))</f>
        <v/>
      </c>
      <c r="M759" s="79">
        <f>IF(L759="","",IF(L759&lt;=AsOf+AlertDays,2,IF(L759&lt;=AsOf+90,3,"")))</f>
        <v/>
      </c>
      <c r="N759" s="79">
        <f>IF(M759="","","Warranty expires in "&amp;H759&amp;" days: "&amp;B759&amp;IF(C759="",""," ("&amp;C759&amp;")")&amp;" — check for defects")</f>
        <v/>
      </c>
      <c r="P759" s="72" t="n"/>
      <c r="Q759" s="72" t="n"/>
      <c r="R759" s="89" t="n"/>
      <c r="S759" s="109" t="n"/>
      <c r="T759" s="126">
        <f>IF(OR(R759="",S759=""),"",DATE(YEAR(S759),MONTH(S759)+R759,DAY(S759)))</f>
        <v/>
      </c>
      <c r="U759" s="144">
        <f>IF(T759="","",T759-AsOf)</f>
        <v/>
      </c>
      <c r="V759" s="107">
        <f>IF(T759="",IF(P759="","","Enter last-done date"),IF(U759&lt;0,"Overdue",IF(U759&lt;=30,"Due soon","OK")))</f>
        <v/>
      </c>
      <c r="W759" s="79">
        <f>IF(T759="","",IF(U759&lt;0,2,IF(U759&lt;=30,1,0)))</f>
        <v/>
      </c>
      <c r="X759" s="112">
        <f>IF(T759="","",T759)</f>
        <v/>
      </c>
      <c r="Y759" s="79">
        <f>IF(X759="","",IF(X759&lt;=AsOf+AlertDays,2,IF(X759&lt;=AsOf+30,3,"")))</f>
        <v/>
      </c>
      <c r="Z759" s="79">
        <f>IF(Y759="","",IF(U759&lt;0,"Maintenance overdue: ","Maintenance due: ")&amp;P759)</f>
        <v/>
      </c>
    </row>
    <row r="760" ht="20" customHeight="1">
      <c r="B760" s="72" t="n"/>
      <c r="C760" s="72" t="n"/>
      <c r="D760" s="72" t="n"/>
      <c r="E760" s="109" t="n"/>
      <c r="F760" s="74" t="n"/>
      <c r="G760" s="126">
        <f>IF(OR(E760="",F760=""),"",DATE(YEAR(E760),MONTH(E760)+ROUND(F760*12,0),DAY(E760)))</f>
        <v/>
      </c>
      <c r="H760" s="144">
        <f>IF(G760="","",G760-AsOf)</f>
        <v/>
      </c>
      <c r="I760" s="107">
        <f>IF(G760="","",IF(H760&lt;0,"Expired",IF(H760&lt;=90,"Expires soon","Active")))</f>
        <v/>
      </c>
      <c r="J760" s="72" t="n"/>
      <c r="K760" s="79">
        <f>IF(I760="","",IF(I760="Active",0,IF(I760="Expires soon",1,3)))</f>
        <v/>
      </c>
      <c r="L760" s="112">
        <f>IF(G760="","",IF(G760&lt;AsOf,"",G760))</f>
        <v/>
      </c>
      <c r="M760" s="79">
        <f>IF(L760="","",IF(L760&lt;=AsOf+AlertDays,2,IF(L760&lt;=AsOf+90,3,"")))</f>
        <v/>
      </c>
      <c r="N760" s="79">
        <f>IF(M760="","","Warranty expires in "&amp;H760&amp;" days: "&amp;B760&amp;IF(C760="",""," ("&amp;C760&amp;")")&amp;" — check for defects")</f>
        <v/>
      </c>
      <c r="P760" s="72" t="n"/>
      <c r="Q760" s="72" t="n"/>
      <c r="R760" s="89" t="n"/>
      <c r="S760" s="109" t="n"/>
      <c r="T760" s="126">
        <f>IF(OR(R760="",S760=""),"",DATE(YEAR(S760),MONTH(S760)+R760,DAY(S760)))</f>
        <v/>
      </c>
      <c r="U760" s="144">
        <f>IF(T760="","",T760-AsOf)</f>
        <v/>
      </c>
      <c r="V760" s="107">
        <f>IF(T760="",IF(P760="","","Enter last-done date"),IF(U760&lt;0,"Overdue",IF(U760&lt;=30,"Due soon","OK")))</f>
        <v/>
      </c>
      <c r="W760" s="79">
        <f>IF(T760="","",IF(U760&lt;0,2,IF(U760&lt;=30,1,0)))</f>
        <v/>
      </c>
      <c r="X760" s="112">
        <f>IF(T760="","",T760)</f>
        <v/>
      </c>
      <c r="Y760" s="79">
        <f>IF(X760="","",IF(X760&lt;=AsOf+AlertDays,2,IF(X760&lt;=AsOf+30,3,"")))</f>
        <v/>
      </c>
      <c r="Z760" s="79">
        <f>IF(Y760="","",IF(U760&lt;0,"Maintenance overdue: ","Maintenance due: ")&amp;P760)</f>
        <v/>
      </c>
    </row>
    <row r="761" ht="20" customHeight="1">
      <c r="B761" s="72" t="n"/>
      <c r="C761" s="72" t="n"/>
      <c r="D761" s="72" t="n"/>
      <c r="E761" s="109" t="n"/>
      <c r="F761" s="74" t="n"/>
      <c r="G761" s="126">
        <f>IF(OR(E761="",F761=""),"",DATE(YEAR(E761),MONTH(E761)+ROUND(F761*12,0),DAY(E761)))</f>
        <v/>
      </c>
      <c r="H761" s="144">
        <f>IF(G761="","",G761-AsOf)</f>
        <v/>
      </c>
      <c r="I761" s="107">
        <f>IF(G761="","",IF(H761&lt;0,"Expired",IF(H761&lt;=90,"Expires soon","Active")))</f>
        <v/>
      </c>
      <c r="J761" s="72" t="n"/>
      <c r="K761" s="79">
        <f>IF(I761="","",IF(I761="Active",0,IF(I761="Expires soon",1,3)))</f>
        <v/>
      </c>
      <c r="L761" s="112">
        <f>IF(G761="","",IF(G761&lt;AsOf,"",G761))</f>
        <v/>
      </c>
      <c r="M761" s="79">
        <f>IF(L761="","",IF(L761&lt;=AsOf+AlertDays,2,IF(L761&lt;=AsOf+90,3,"")))</f>
        <v/>
      </c>
      <c r="N761" s="79">
        <f>IF(M761="","","Warranty expires in "&amp;H761&amp;" days: "&amp;B761&amp;IF(C761="",""," ("&amp;C761&amp;")")&amp;" — check for defects")</f>
        <v/>
      </c>
      <c r="P761" s="72" t="n"/>
      <c r="Q761" s="72" t="n"/>
      <c r="R761" s="89" t="n"/>
      <c r="S761" s="109" t="n"/>
      <c r="T761" s="126">
        <f>IF(OR(R761="",S761=""),"",DATE(YEAR(S761),MONTH(S761)+R761,DAY(S761)))</f>
        <v/>
      </c>
      <c r="U761" s="144">
        <f>IF(T761="","",T761-AsOf)</f>
        <v/>
      </c>
      <c r="V761" s="107">
        <f>IF(T761="",IF(P761="","","Enter last-done date"),IF(U761&lt;0,"Overdue",IF(U761&lt;=30,"Due soon","OK")))</f>
        <v/>
      </c>
      <c r="W761" s="79">
        <f>IF(T761="","",IF(U761&lt;0,2,IF(U761&lt;=30,1,0)))</f>
        <v/>
      </c>
      <c r="X761" s="112">
        <f>IF(T761="","",T761)</f>
        <v/>
      </c>
      <c r="Y761" s="79">
        <f>IF(X761="","",IF(X761&lt;=AsOf+AlertDays,2,IF(X761&lt;=AsOf+30,3,"")))</f>
        <v/>
      </c>
      <c r="Z761" s="79">
        <f>IF(Y761="","",IF(U761&lt;0,"Maintenance overdue: ","Maintenance due: ")&amp;P761)</f>
        <v/>
      </c>
    </row>
    <row r="762" ht="20" customHeight="1">
      <c r="B762" s="72" t="n"/>
      <c r="C762" s="72" t="n"/>
      <c r="D762" s="72" t="n"/>
      <c r="E762" s="109" t="n"/>
      <c r="F762" s="74" t="n"/>
      <c r="G762" s="126">
        <f>IF(OR(E762="",F762=""),"",DATE(YEAR(E762),MONTH(E762)+ROUND(F762*12,0),DAY(E762)))</f>
        <v/>
      </c>
      <c r="H762" s="144">
        <f>IF(G762="","",G762-AsOf)</f>
        <v/>
      </c>
      <c r="I762" s="107">
        <f>IF(G762="","",IF(H762&lt;0,"Expired",IF(H762&lt;=90,"Expires soon","Active")))</f>
        <v/>
      </c>
      <c r="J762" s="72" t="n"/>
      <c r="K762" s="79">
        <f>IF(I762="","",IF(I762="Active",0,IF(I762="Expires soon",1,3)))</f>
        <v/>
      </c>
      <c r="L762" s="112">
        <f>IF(G762="","",IF(G762&lt;AsOf,"",G762))</f>
        <v/>
      </c>
      <c r="M762" s="79">
        <f>IF(L762="","",IF(L762&lt;=AsOf+AlertDays,2,IF(L762&lt;=AsOf+90,3,"")))</f>
        <v/>
      </c>
      <c r="N762" s="79">
        <f>IF(M762="","","Warranty expires in "&amp;H762&amp;" days: "&amp;B762&amp;IF(C762="",""," ("&amp;C762&amp;")")&amp;" — check for defects")</f>
        <v/>
      </c>
      <c r="P762" s="72" t="n"/>
      <c r="Q762" s="72" t="n"/>
      <c r="R762" s="89" t="n"/>
      <c r="S762" s="109" t="n"/>
      <c r="T762" s="126">
        <f>IF(OR(R762="",S762=""),"",DATE(YEAR(S762),MONTH(S762)+R762,DAY(S762)))</f>
        <v/>
      </c>
      <c r="U762" s="144">
        <f>IF(T762="","",T762-AsOf)</f>
        <v/>
      </c>
      <c r="V762" s="107">
        <f>IF(T762="",IF(P762="","","Enter last-done date"),IF(U762&lt;0,"Overdue",IF(U762&lt;=30,"Due soon","OK")))</f>
        <v/>
      </c>
      <c r="W762" s="79">
        <f>IF(T762="","",IF(U762&lt;0,2,IF(U762&lt;=30,1,0)))</f>
        <v/>
      </c>
      <c r="X762" s="112">
        <f>IF(T762="","",T762)</f>
        <v/>
      </c>
      <c r="Y762" s="79">
        <f>IF(X762="","",IF(X762&lt;=AsOf+AlertDays,2,IF(X762&lt;=AsOf+30,3,"")))</f>
        <v/>
      </c>
      <c r="Z762" s="79">
        <f>IF(Y762="","",IF(U762&lt;0,"Maintenance overdue: ","Maintenance due: ")&amp;P762)</f>
        <v/>
      </c>
    </row>
    <row r="763" ht="20" customHeight="1">
      <c r="B763" s="72" t="n"/>
      <c r="C763" s="72" t="n"/>
      <c r="D763" s="72" t="n"/>
      <c r="E763" s="109" t="n"/>
      <c r="F763" s="74" t="n"/>
      <c r="G763" s="126">
        <f>IF(OR(E763="",F763=""),"",DATE(YEAR(E763),MONTH(E763)+ROUND(F763*12,0),DAY(E763)))</f>
        <v/>
      </c>
      <c r="H763" s="144">
        <f>IF(G763="","",G763-AsOf)</f>
        <v/>
      </c>
      <c r="I763" s="107">
        <f>IF(G763="","",IF(H763&lt;0,"Expired",IF(H763&lt;=90,"Expires soon","Active")))</f>
        <v/>
      </c>
      <c r="J763" s="72" t="n"/>
      <c r="K763" s="79">
        <f>IF(I763="","",IF(I763="Active",0,IF(I763="Expires soon",1,3)))</f>
        <v/>
      </c>
      <c r="L763" s="112">
        <f>IF(G763="","",IF(G763&lt;AsOf,"",G763))</f>
        <v/>
      </c>
      <c r="M763" s="79">
        <f>IF(L763="","",IF(L763&lt;=AsOf+AlertDays,2,IF(L763&lt;=AsOf+90,3,"")))</f>
        <v/>
      </c>
      <c r="N763" s="79">
        <f>IF(M763="","","Warranty expires in "&amp;H763&amp;" days: "&amp;B763&amp;IF(C763="",""," ("&amp;C763&amp;")")&amp;" — check for defects")</f>
        <v/>
      </c>
      <c r="P763" s="72" t="n"/>
      <c r="Q763" s="72" t="n"/>
      <c r="R763" s="89" t="n"/>
      <c r="S763" s="109" t="n"/>
      <c r="T763" s="126">
        <f>IF(OR(R763="",S763=""),"",DATE(YEAR(S763),MONTH(S763)+R763,DAY(S763)))</f>
        <v/>
      </c>
      <c r="U763" s="144">
        <f>IF(T763="","",T763-AsOf)</f>
        <v/>
      </c>
      <c r="V763" s="107">
        <f>IF(T763="",IF(P763="","","Enter last-done date"),IF(U763&lt;0,"Overdue",IF(U763&lt;=30,"Due soon","OK")))</f>
        <v/>
      </c>
      <c r="W763" s="79">
        <f>IF(T763="","",IF(U763&lt;0,2,IF(U763&lt;=30,1,0)))</f>
        <v/>
      </c>
      <c r="X763" s="112">
        <f>IF(T763="","",T763)</f>
        <v/>
      </c>
      <c r="Y763" s="79">
        <f>IF(X763="","",IF(X763&lt;=AsOf+AlertDays,2,IF(X763&lt;=AsOf+30,3,"")))</f>
        <v/>
      </c>
      <c r="Z763" s="79">
        <f>IF(Y763="","",IF(U763&lt;0,"Maintenance overdue: ","Maintenance due: ")&amp;P763)</f>
        <v/>
      </c>
    </row>
    <row r="764" ht="20" customHeight="1">
      <c r="B764" s="72" t="n"/>
      <c r="C764" s="72" t="n"/>
      <c r="D764" s="72" t="n"/>
      <c r="E764" s="109" t="n"/>
      <c r="F764" s="74" t="n"/>
      <c r="G764" s="126">
        <f>IF(OR(E764="",F764=""),"",DATE(YEAR(E764),MONTH(E764)+ROUND(F764*12,0),DAY(E764)))</f>
        <v/>
      </c>
      <c r="H764" s="144">
        <f>IF(G764="","",G764-AsOf)</f>
        <v/>
      </c>
      <c r="I764" s="107">
        <f>IF(G764="","",IF(H764&lt;0,"Expired",IF(H764&lt;=90,"Expires soon","Active")))</f>
        <v/>
      </c>
      <c r="J764" s="72" t="n"/>
      <c r="K764" s="79">
        <f>IF(I764="","",IF(I764="Active",0,IF(I764="Expires soon",1,3)))</f>
        <v/>
      </c>
      <c r="L764" s="112">
        <f>IF(G764="","",IF(G764&lt;AsOf,"",G764))</f>
        <v/>
      </c>
      <c r="M764" s="79">
        <f>IF(L764="","",IF(L764&lt;=AsOf+AlertDays,2,IF(L764&lt;=AsOf+90,3,"")))</f>
        <v/>
      </c>
      <c r="N764" s="79">
        <f>IF(M764="","","Warranty expires in "&amp;H764&amp;" days: "&amp;B764&amp;IF(C764="",""," ("&amp;C764&amp;")")&amp;" — check for defects")</f>
        <v/>
      </c>
      <c r="P764" s="72" t="n"/>
      <c r="Q764" s="72" t="n"/>
      <c r="R764" s="89" t="n"/>
      <c r="S764" s="109" t="n"/>
      <c r="T764" s="126">
        <f>IF(OR(R764="",S764=""),"",DATE(YEAR(S764),MONTH(S764)+R764,DAY(S764)))</f>
        <v/>
      </c>
      <c r="U764" s="144">
        <f>IF(T764="","",T764-AsOf)</f>
        <v/>
      </c>
      <c r="V764" s="107">
        <f>IF(T764="",IF(P764="","","Enter last-done date"),IF(U764&lt;0,"Overdue",IF(U764&lt;=30,"Due soon","OK")))</f>
        <v/>
      </c>
      <c r="W764" s="79">
        <f>IF(T764="","",IF(U764&lt;0,2,IF(U764&lt;=30,1,0)))</f>
        <v/>
      </c>
      <c r="X764" s="112">
        <f>IF(T764="","",T764)</f>
        <v/>
      </c>
      <c r="Y764" s="79">
        <f>IF(X764="","",IF(X764&lt;=AsOf+AlertDays,2,IF(X764&lt;=AsOf+30,3,"")))</f>
        <v/>
      </c>
      <c r="Z764" s="79">
        <f>IF(Y764="","",IF(U764&lt;0,"Maintenance overdue: ","Maintenance due: ")&amp;P764)</f>
        <v/>
      </c>
    </row>
    <row r="765" ht="20" customHeight="1">
      <c r="B765" s="72" t="n"/>
      <c r="C765" s="72" t="n"/>
      <c r="D765" s="72" t="n"/>
      <c r="E765" s="109" t="n"/>
      <c r="F765" s="74" t="n"/>
      <c r="G765" s="126">
        <f>IF(OR(E765="",F765=""),"",DATE(YEAR(E765),MONTH(E765)+ROUND(F765*12,0),DAY(E765)))</f>
        <v/>
      </c>
      <c r="H765" s="144">
        <f>IF(G765="","",G765-AsOf)</f>
        <v/>
      </c>
      <c r="I765" s="107">
        <f>IF(G765="","",IF(H765&lt;0,"Expired",IF(H765&lt;=90,"Expires soon","Active")))</f>
        <v/>
      </c>
      <c r="J765" s="72" t="n"/>
      <c r="K765" s="79">
        <f>IF(I765="","",IF(I765="Active",0,IF(I765="Expires soon",1,3)))</f>
        <v/>
      </c>
      <c r="L765" s="112">
        <f>IF(G765="","",IF(G765&lt;AsOf,"",G765))</f>
        <v/>
      </c>
      <c r="M765" s="79">
        <f>IF(L765="","",IF(L765&lt;=AsOf+AlertDays,2,IF(L765&lt;=AsOf+90,3,"")))</f>
        <v/>
      </c>
      <c r="N765" s="79">
        <f>IF(M765="","","Warranty expires in "&amp;H765&amp;" days: "&amp;B765&amp;IF(C765="",""," ("&amp;C765&amp;")")&amp;" — check for defects")</f>
        <v/>
      </c>
      <c r="P765" s="72" t="n"/>
      <c r="Q765" s="72" t="n"/>
      <c r="R765" s="89" t="n"/>
      <c r="S765" s="109" t="n"/>
      <c r="T765" s="126">
        <f>IF(OR(R765="",S765=""),"",DATE(YEAR(S765),MONTH(S765)+R765,DAY(S765)))</f>
        <v/>
      </c>
      <c r="U765" s="144">
        <f>IF(T765="","",T765-AsOf)</f>
        <v/>
      </c>
      <c r="V765" s="107">
        <f>IF(T765="",IF(P765="","","Enter last-done date"),IF(U765&lt;0,"Overdue",IF(U765&lt;=30,"Due soon","OK")))</f>
        <v/>
      </c>
      <c r="W765" s="79">
        <f>IF(T765="","",IF(U765&lt;0,2,IF(U765&lt;=30,1,0)))</f>
        <v/>
      </c>
      <c r="X765" s="112">
        <f>IF(T765="","",T765)</f>
        <v/>
      </c>
      <c r="Y765" s="79">
        <f>IF(X765="","",IF(X765&lt;=AsOf+AlertDays,2,IF(X765&lt;=AsOf+30,3,"")))</f>
        <v/>
      </c>
      <c r="Z765" s="79">
        <f>IF(Y765="","",IF(U765&lt;0,"Maintenance overdue: ","Maintenance due: ")&amp;P765)</f>
        <v/>
      </c>
    </row>
    <row r="766" ht="20" customHeight="1">
      <c r="B766" s="72" t="n"/>
      <c r="C766" s="72" t="n"/>
      <c r="D766" s="72" t="n"/>
      <c r="E766" s="109" t="n"/>
      <c r="F766" s="74" t="n"/>
      <c r="G766" s="126">
        <f>IF(OR(E766="",F766=""),"",DATE(YEAR(E766),MONTH(E766)+ROUND(F766*12,0),DAY(E766)))</f>
        <v/>
      </c>
      <c r="H766" s="144">
        <f>IF(G766="","",G766-AsOf)</f>
        <v/>
      </c>
      <c r="I766" s="107">
        <f>IF(G766="","",IF(H766&lt;0,"Expired",IF(H766&lt;=90,"Expires soon","Active")))</f>
        <v/>
      </c>
      <c r="J766" s="72" t="n"/>
      <c r="K766" s="79">
        <f>IF(I766="","",IF(I766="Active",0,IF(I766="Expires soon",1,3)))</f>
        <v/>
      </c>
      <c r="L766" s="112">
        <f>IF(G766="","",IF(G766&lt;AsOf,"",G766))</f>
        <v/>
      </c>
      <c r="M766" s="79">
        <f>IF(L766="","",IF(L766&lt;=AsOf+AlertDays,2,IF(L766&lt;=AsOf+90,3,"")))</f>
        <v/>
      </c>
      <c r="N766" s="79">
        <f>IF(M766="","","Warranty expires in "&amp;H766&amp;" days: "&amp;B766&amp;IF(C766="",""," ("&amp;C766&amp;")")&amp;" — check for defects")</f>
        <v/>
      </c>
      <c r="P766" s="72" t="n"/>
      <c r="Q766" s="72" t="n"/>
      <c r="R766" s="89" t="n"/>
      <c r="S766" s="109" t="n"/>
      <c r="T766" s="126">
        <f>IF(OR(R766="",S766=""),"",DATE(YEAR(S766),MONTH(S766)+R766,DAY(S766)))</f>
        <v/>
      </c>
      <c r="U766" s="144">
        <f>IF(T766="","",T766-AsOf)</f>
        <v/>
      </c>
      <c r="V766" s="107">
        <f>IF(T766="",IF(P766="","","Enter last-done date"),IF(U766&lt;0,"Overdue",IF(U766&lt;=30,"Due soon","OK")))</f>
        <v/>
      </c>
      <c r="W766" s="79">
        <f>IF(T766="","",IF(U766&lt;0,2,IF(U766&lt;=30,1,0)))</f>
        <v/>
      </c>
      <c r="X766" s="112">
        <f>IF(T766="","",T766)</f>
        <v/>
      </c>
      <c r="Y766" s="79">
        <f>IF(X766="","",IF(X766&lt;=AsOf+AlertDays,2,IF(X766&lt;=AsOf+30,3,"")))</f>
        <v/>
      </c>
      <c r="Z766" s="79">
        <f>IF(Y766="","",IF(U766&lt;0,"Maintenance overdue: ","Maintenance due: ")&amp;P766)</f>
        <v/>
      </c>
    </row>
    <row r="767" ht="20" customHeight="1">
      <c r="B767" s="72" t="n"/>
      <c r="C767" s="72" t="n"/>
      <c r="D767" s="72" t="n"/>
      <c r="E767" s="109" t="n"/>
      <c r="F767" s="74" t="n"/>
      <c r="G767" s="126">
        <f>IF(OR(E767="",F767=""),"",DATE(YEAR(E767),MONTH(E767)+ROUND(F767*12,0),DAY(E767)))</f>
        <v/>
      </c>
      <c r="H767" s="144">
        <f>IF(G767="","",G767-AsOf)</f>
        <v/>
      </c>
      <c r="I767" s="107">
        <f>IF(G767="","",IF(H767&lt;0,"Expired",IF(H767&lt;=90,"Expires soon","Active")))</f>
        <v/>
      </c>
      <c r="J767" s="72" t="n"/>
      <c r="K767" s="79">
        <f>IF(I767="","",IF(I767="Active",0,IF(I767="Expires soon",1,3)))</f>
        <v/>
      </c>
      <c r="L767" s="112">
        <f>IF(G767="","",IF(G767&lt;AsOf,"",G767))</f>
        <v/>
      </c>
      <c r="M767" s="79">
        <f>IF(L767="","",IF(L767&lt;=AsOf+AlertDays,2,IF(L767&lt;=AsOf+90,3,"")))</f>
        <v/>
      </c>
      <c r="N767" s="79">
        <f>IF(M767="","","Warranty expires in "&amp;H767&amp;" days: "&amp;B767&amp;IF(C767="",""," ("&amp;C767&amp;")")&amp;" — check for defects")</f>
        <v/>
      </c>
      <c r="P767" s="72" t="n"/>
      <c r="Q767" s="72" t="n"/>
      <c r="R767" s="89" t="n"/>
      <c r="S767" s="109" t="n"/>
      <c r="T767" s="126">
        <f>IF(OR(R767="",S767=""),"",DATE(YEAR(S767),MONTH(S767)+R767,DAY(S767)))</f>
        <v/>
      </c>
      <c r="U767" s="144">
        <f>IF(T767="","",T767-AsOf)</f>
        <v/>
      </c>
      <c r="V767" s="107">
        <f>IF(T767="",IF(P767="","","Enter last-done date"),IF(U767&lt;0,"Overdue",IF(U767&lt;=30,"Due soon","OK")))</f>
        <v/>
      </c>
      <c r="W767" s="79">
        <f>IF(T767="","",IF(U767&lt;0,2,IF(U767&lt;=30,1,0)))</f>
        <v/>
      </c>
      <c r="X767" s="112">
        <f>IF(T767="","",T767)</f>
        <v/>
      </c>
      <c r="Y767" s="79">
        <f>IF(X767="","",IF(X767&lt;=AsOf+AlertDays,2,IF(X767&lt;=AsOf+30,3,"")))</f>
        <v/>
      </c>
      <c r="Z767" s="79">
        <f>IF(Y767="","",IF(U767&lt;0,"Maintenance overdue: ","Maintenance due: ")&amp;P767)</f>
        <v/>
      </c>
    </row>
    <row r="768" ht="20" customHeight="1">
      <c r="B768" s="72" t="n"/>
      <c r="C768" s="72" t="n"/>
      <c r="D768" s="72" t="n"/>
      <c r="E768" s="109" t="n"/>
      <c r="F768" s="74" t="n"/>
      <c r="G768" s="126">
        <f>IF(OR(E768="",F768=""),"",DATE(YEAR(E768),MONTH(E768)+ROUND(F768*12,0),DAY(E768)))</f>
        <v/>
      </c>
      <c r="H768" s="144">
        <f>IF(G768="","",G768-AsOf)</f>
        <v/>
      </c>
      <c r="I768" s="107">
        <f>IF(G768="","",IF(H768&lt;0,"Expired",IF(H768&lt;=90,"Expires soon","Active")))</f>
        <v/>
      </c>
      <c r="J768" s="72" t="n"/>
      <c r="K768" s="79">
        <f>IF(I768="","",IF(I768="Active",0,IF(I768="Expires soon",1,3)))</f>
        <v/>
      </c>
      <c r="L768" s="112">
        <f>IF(G768="","",IF(G768&lt;AsOf,"",G768))</f>
        <v/>
      </c>
      <c r="M768" s="79">
        <f>IF(L768="","",IF(L768&lt;=AsOf+AlertDays,2,IF(L768&lt;=AsOf+90,3,"")))</f>
        <v/>
      </c>
      <c r="N768" s="79">
        <f>IF(M768="","","Warranty expires in "&amp;H768&amp;" days: "&amp;B768&amp;IF(C768="",""," ("&amp;C768&amp;")")&amp;" — check for defects")</f>
        <v/>
      </c>
      <c r="P768" s="72" t="n"/>
      <c r="Q768" s="72" t="n"/>
      <c r="R768" s="89" t="n"/>
      <c r="S768" s="109" t="n"/>
      <c r="T768" s="126">
        <f>IF(OR(R768="",S768=""),"",DATE(YEAR(S768),MONTH(S768)+R768,DAY(S768)))</f>
        <v/>
      </c>
      <c r="U768" s="144">
        <f>IF(T768="","",T768-AsOf)</f>
        <v/>
      </c>
      <c r="V768" s="107">
        <f>IF(T768="",IF(P768="","","Enter last-done date"),IF(U768&lt;0,"Overdue",IF(U768&lt;=30,"Due soon","OK")))</f>
        <v/>
      </c>
      <c r="W768" s="79">
        <f>IF(T768="","",IF(U768&lt;0,2,IF(U768&lt;=30,1,0)))</f>
        <v/>
      </c>
      <c r="X768" s="112">
        <f>IF(T768="","",T768)</f>
        <v/>
      </c>
      <c r="Y768" s="79">
        <f>IF(X768="","",IF(X768&lt;=AsOf+AlertDays,2,IF(X768&lt;=AsOf+30,3,"")))</f>
        <v/>
      </c>
      <c r="Z768" s="79">
        <f>IF(Y768="","",IF(U768&lt;0,"Maintenance overdue: ","Maintenance due: ")&amp;P768)</f>
        <v/>
      </c>
    </row>
    <row r="769" ht="20" customHeight="1">
      <c r="B769" s="72" t="n"/>
      <c r="C769" s="72" t="n"/>
      <c r="D769" s="72" t="n"/>
      <c r="E769" s="109" t="n"/>
      <c r="F769" s="74" t="n"/>
      <c r="G769" s="126">
        <f>IF(OR(E769="",F769=""),"",DATE(YEAR(E769),MONTH(E769)+ROUND(F769*12,0),DAY(E769)))</f>
        <v/>
      </c>
      <c r="H769" s="144">
        <f>IF(G769="","",G769-AsOf)</f>
        <v/>
      </c>
      <c r="I769" s="107">
        <f>IF(G769="","",IF(H769&lt;0,"Expired",IF(H769&lt;=90,"Expires soon","Active")))</f>
        <v/>
      </c>
      <c r="J769" s="72" t="n"/>
      <c r="K769" s="79">
        <f>IF(I769="","",IF(I769="Active",0,IF(I769="Expires soon",1,3)))</f>
        <v/>
      </c>
      <c r="L769" s="112">
        <f>IF(G769="","",IF(G769&lt;AsOf,"",G769))</f>
        <v/>
      </c>
      <c r="M769" s="79">
        <f>IF(L769="","",IF(L769&lt;=AsOf+AlertDays,2,IF(L769&lt;=AsOf+90,3,"")))</f>
        <v/>
      </c>
      <c r="N769" s="79">
        <f>IF(M769="","","Warranty expires in "&amp;H769&amp;" days: "&amp;B769&amp;IF(C769="",""," ("&amp;C769&amp;")")&amp;" — check for defects")</f>
        <v/>
      </c>
      <c r="P769" s="72" t="n"/>
      <c r="Q769" s="72" t="n"/>
      <c r="R769" s="89" t="n"/>
      <c r="S769" s="109" t="n"/>
      <c r="T769" s="126">
        <f>IF(OR(R769="",S769=""),"",DATE(YEAR(S769),MONTH(S769)+R769,DAY(S769)))</f>
        <v/>
      </c>
      <c r="U769" s="144">
        <f>IF(T769="","",T769-AsOf)</f>
        <v/>
      </c>
      <c r="V769" s="107">
        <f>IF(T769="",IF(P769="","","Enter last-done date"),IF(U769&lt;0,"Overdue",IF(U769&lt;=30,"Due soon","OK")))</f>
        <v/>
      </c>
      <c r="W769" s="79">
        <f>IF(T769="","",IF(U769&lt;0,2,IF(U769&lt;=30,1,0)))</f>
        <v/>
      </c>
      <c r="X769" s="112">
        <f>IF(T769="","",T769)</f>
        <v/>
      </c>
      <c r="Y769" s="79">
        <f>IF(X769="","",IF(X769&lt;=AsOf+AlertDays,2,IF(X769&lt;=AsOf+30,3,"")))</f>
        <v/>
      </c>
      <c r="Z769" s="79">
        <f>IF(Y769="","",IF(U769&lt;0,"Maintenance overdue: ","Maintenance due: ")&amp;P769)</f>
        <v/>
      </c>
    </row>
    <row r="770" ht="20" customHeight="1">
      <c r="B770" s="72" t="n"/>
      <c r="C770" s="72" t="n"/>
      <c r="D770" s="72" t="n"/>
      <c r="E770" s="109" t="n"/>
      <c r="F770" s="74" t="n"/>
      <c r="G770" s="126">
        <f>IF(OR(E770="",F770=""),"",DATE(YEAR(E770),MONTH(E770)+ROUND(F770*12,0),DAY(E770)))</f>
        <v/>
      </c>
      <c r="H770" s="144">
        <f>IF(G770="","",G770-AsOf)</f>
        <v/>
      </c>
      <c r="I770" s="107">
        <f>IF(G770="","",IF(H770&lt;0,"Expired",IF(H770&lt;=90,"Expires soon","Active")))</f>
        <v/>
      </c>
      <c r="J770" s="72" t="n"/>
      <c r="K770" s="79">
        <f>IF(I770="","",IF(I770="Active",0,IF(I770="Expires soon",1,3)))</f>
        <v/>
      </c>
      <c r="L770" s="112">
        <f>IF(G770="","",IF(G770&lt;AsOf,"",G770))</f>
        <v/>
      </c>
      <c r="M770" s="79">
        <f>IF(L770="","",IF(L770&lt;=AsOf+AlertDays,2,IF(L770&lt;=AsOf+90,3,"")))</f>
        <v/>
      </c>
      <c r="N770" s="79">
        <f>IF(M770="","","Warranty expires in "&amp;H770&amp;" days: "&amp;B770&amp;IF(C770="",""," ("&amp;C770&amp;")")&amp;" — check for defects")</f>
        <v/>
      </c>
      <c r="P770" s="72" t="n"/>
      <c r="Q770" s="72" t="n"/>
      <c r="R770" s="89" t="n"/>
      <c r="S770" s="109" t="n"/>
      <c r="T770" s="126">
        <f>IF(OR(R770="",S770=""),"",DATE(YEAR(S770),MONTH(S770)+R770,DAY(S770)))</f>
        <v/>
      </c>
      <c r="U770" s="144">
        <f>IF(T770="","",T770-AsOf)</f>
        <v/>
      </c>
      <c r="V770" s="107">
        <f>IF(T770="",IF(P770="","","Enter last-done date"),IF(U770&lt;0,"Overdue",IF(U770&lt;=30,"Due soon","OK")))</f>
        <v/>
      </c>
      <c r="W770" s="79">
        <f>IF(T770="","",IF(U770&lt;0,2,IF(U770&lt;=30,1,0)))</f>
        <v/>
      </c>
      <c r="X770" s="112">
        <f>IF(T770="","",T770)</f>
        <v/>
      </c>
      <c r="Y770" s="79">
        <f>IF(X770="","",IF(X770&lt;=AsOf+AlertDays,2,IF(X770&lt;=AsOf+30,3,"")))</f>
        <v/>
      </c>
      <c r="Z770" s="79">
        <f>IF(Y770="","",IF(U770&lt;0,"Maintenance overdue: ","Maintenance due: ")&amp;P770)</f>
        <v/>
      </c>
    </row>
    <row r="771" ht="20" customHeight="1">
      <c r="B771" s="72" t="n"/>
      <c r="C771" s="72" t="n"/>
      <c r="D771" s="72" t="n"/>
      <c r="E771" s="109" t="n"/>
      <c r="F771" s="74" t="n"/>
      <c r="G771" s="126">
        <f>IF(OR(E771="",F771=""),"",DATE(YEAR(E771),MONTH(E771)+ROUND(F771*12,0),DAY(E771)))</f>
        <v/>
      </c>
      <c r="H771" s="144">
        <f>IF(G771="","",G771-AsOf)</f>
        <v/>
      </c>
      <c r="I771" s="107">
        <f>IF(G771="","",IF(H771&lt;0,"Expired",IF(H771&lt;=90,"Expires soon","Active")))</f>
        <v/>
      </c>
      <c r="J771" s="72" t="n"/>
      <c r="K771" s="79">
        <f>IF(I771="","",IF(I771="Active",0,IF(I771="Expires soon",1,3)))</f>
        <v/>
      </c>
      <c r="L771" s="112">
        <f>IF(G771="","",IF(G771&lt;AsOf,"",G771))</f>
        <v/>
      </c>
      <c r="M771" s="79">
        <f>IF(L771="","",IF(L771&lt;=AsOf+AlertDays,2,IF(L771&lt;=AsOf+90,3,"")))</f>
        <v/>
      </c>
      <c r="N771" s="79">
        <f>IF(M771="","","Warranty expires in "&amp;H771&amp;" days: "&amp;B771&amp;IF(C771="",""," ("&amp;C771&amp;")")&amp;" — check for defects")</f>
        <v/>
      </c>
      <c r="P771" s="72" t="n"/>
      <c r="Q771" s="72" t="n"/>
      <c r="R771" s="89" t="n"/>
      <c r="S771" s="109" t="n"/>
      <c r="T771" s="126">
        <f>IF(OR(R771="",S771=""),"",DATE(YEAR(S771),MONTH(S771)+R771,DAY(S771)))</f>
        <v/>
      </c>
      <c r="U771" s="144">
        <f>IF(T771="","",T771-AsOf)</f>
        <v/>
      </c>
      <c r="V771" s="107">
        <f>IF(T771="",IF(P771="","","Enter last-done date"),IF(U771&lt;0,"Overdue",IF(U771&lt;=30,"Due soon","OK")))</f>
        <v/>
      </c>
      <c r="W771" s="79">
        <f>IF(T771="","",IF(U771&lt;0,2,IF(U771&lt;=30,1,0)))</f>
        <v/>
      </c>
      <c r="X771" s="112">
        <f>IF(T771="","",T771)</f>
        <v/>
      </c>
      <c r="Y771" s="79">
        <f>IF(X771="","",IF(X771&lt;=AsOf+AlertDays,2,IF(X771&lt;=AsOf+30,3,"")))</f>
        <v/>
      </c>
      <c r="Z771" s="79">
        <f>IF(Y771="","",IF(U771&lt;0,"Maintenance overdue: ","Maintenance due: ")&amp;P771)</f>
        <v/>
      </c>
    </row>
    <row r="772" ht="20" customHeight="1">
      <c r="B772" s="72" t="n"/>
      <c r="C772" s="72" t="n"/>
      <c r="D772" s="72" t="n"/>
      <c r="E772" s="109" t="n"/>
      <c r="F772" s="74" t="n"/>
      <c r="G772" s="126">
        <f>IF(OR(E772="",F772=""),"",DATE(YEAR(E772),MONTH(E772)+ROUND(F772*12,0),DAY(E772)))</f>
        <v/>
      </c>
      <c r="H772" s="144">
        <f>IF(G772="","",G772-AsOf)</f>
        <v/>
      </c>
      <c r="I772" s="107">
        <f>IF(G772="","",IF(H772&lt;0,"Expired",IF(H772&lt;=90,"Expires soon","Active")))</f>
        <v/>
      </c>
      <c r="J772" s="72" t="n"/>
      <c r="K772" s="79">
        <f>IF(I772="","",IF(I772="Active",0,IF(I772="Expires soon",1,3)))</f>
        <v/>
      </c>
      <c r="L772" s="112">
        <f>IF(G772="","",IF(G772&lt;AsOf,"",G772))</f>
        <v/>
      </c>
      <c r="M772" s="79">
        <f>IF(L772="","",IF(L772&lt;=AsOf+AlertDays,2,IF(L772&lt;=AsOf+90,3,"")))</f>
        <v/>
      </c>
      <c r="N772" s="79">
        <f>IF(M772="","","Warranty expires in "&amp;H772&amp;" days: "&amp;B772&amp;IF(C772="",""," ("&amp;C772&amp;")")&amp;" — check for defects")</f>
        <v/>
      </c>
      <c r="P772" s="72" t="n"/>
      <c r="Q772" s="72" t="n"/>
      <c r="R772" s="89" t="n"/>
      <c r="S772" s="109" t="n"/>
      <c r="T772" s="126">
        <f>IF(OR(R772="",S772=""),"",DATE(YEAR(S772),MONTH(S772)+R772,DAY(S772)))</f>
        <v/>
      </c>
      <c r="U772" s="144">
        <f>IF(T772="","",T772-AsOf)</f>
        <v/>
      </c>
      <c r="V772" s="107">
        <f>IF(T772="",IF(P772="","","Enter last-done date"),IF(U772&lt;0,"Overdue",IF(U772&lt;=30,"Due soon","OK")))</f>
        <v/>
      </c>
      <c r="W772" s="79">
        <f>IF(T772="","",IF(U772&lt;0,2,IF(U772&lt;=30,1,0)))</f>
        <v/>
      </c>
      <c r="X772" s="112">
        <f>IF(T772="","",T772)</f>
        <v/>
      </c>
      <c r="Y772" s="79">
        <f>IF(X772="","",IF(X772&lt;=AsOf+AlertDays,2,IF(X772&lt;=AsOf+30,3,"")))</f>
        <v/>
      </c>
      <c r="Z772" s="79">
        <f>IF(Y772="","",IF(U772&lt;0,"Maintenance overdue: ","Maintenance due: ")&amp;P772)</f>
        <v/>
      </c>
    </row>
    <row r="773" ht="20" customHeight="1">
      <c r="B773" s="72" t="n"/>
      <c r="C773" s="72" t="n"/>
      <c r="D773" s="72" t="n"/>
      <c r="E773" s="109" t="n"/>
      <c r="F773" s="74" t="n"/>
      <c r="G773" s="126">
        <f>IF(OR(E773="",F773=""),"",DATE(YEAR(E773),MONTH(E773)+ROUND(F773*12,0),DAY(E773)))</f>
        <v/>
      </c>
      <c r="H773" s="144">
        <f>IF(G773="","",G773-AsOf)</f>
        <v/>
      </c>
      <c r="I773" s="107">
        <f>IF(G773="","",IF(H773&lt;0,"Expired",IF(H773&lt;=90,"Expires soon","Active")))</f>
        <v/>
      </c>
      <c r="J773" s="72" t="n"/>
      <c r="K773" s="79">
        <f>IF(I773="","",IF(I773="Active",0,IF(I773="Expires soon",1,3)))</f>
        <v/>
      </c>
      <c r="L773" s="112">
        <f>IF(G773="","",IF(G773&lt;AsOf,"",G773))</f>
        <v/>
      </c>
      <c r="M773" s="79">
        <f>IF(L773="","",IF(L773&lt;=AsOf+AlertDays,2,IF(L773&lt;=AsOf+90,3,"")))</f>
        <v/>
      </c>
      <c r="N773" s="79">
        <f>IF(M773="","","Warranty expires in "&amp;H773&amp;" days: "&amp;B773&amp;IF(C773="",""," ("&amp;C773&amp;")")&amp;" — check for defects")</f>
        <v/>
      </c>
      <c r="P773" s="72" t="n"/>
      <c r="Q773" s="72" t="n"/>
      <c r="R773" s="89" t="n"/>
      <c r="S773" s="109" t="n"/>
      <c r="T773" s="126">
        <f>IF(OR(R773="",S773=""),"",DATE(YEAR(S773),MONTH(S773)+R773,DAY(S773)))</f>
        <v/>
      </c>
      <c r="U773" s="144">
        <f>IF(T773="","",T773-AsOf)</f>
        <v/>
      </c>
      <c r="V773" s="107">
        <f>IF(T773="",IF(P773="","","Enter last-done date"),IF(U773&lt;0,"Overdue",IF(U773&lt;=30,"Due soon","OK")))</f>
        <v/>
      </c>
      <c r="W773" s="79">
        <f>IF(T773="","",IF(U773&lt;0,2,IF(U773&lt;=30,1,0)))</f>
        <v/>
      </c>
      <c r="X773" s="112">
        <f>IF(T773="","",T773)</f>
        <v/>
      </c>
      <c r="Y773" s="79">
        <f>IF(X773="","",IF(X773&lt;=AsOf+AlertDays,2,IF(X773&lt;=AsOf+30,3,"")))</f>
        <v/>
      </c>
      <c r="Z773" s="79">
        <f>IF(Y773="","",IF(U773&lt;0,"Maintenance overdue: ","Maintenance due: ")&amp;P773)</f>
        <v/>
      </c>
    </row>
    <row r="774" ht="20" customHeight="1">
      <c r="B774" s="72" t="n"/>
      <c r="C774" s="72" t="n"/>
      <c r="D774" s="72" t="n"/>
      <c r="E774" s="109" t="n"/>
      <c r="F774" s="74" t="n"/>
      <c r="G774" s="126">
        <f>IF(OR(E774="",F774=""),"",DATE(YEAR(E774),MONTH(E774)+ROUND(F774*12,0),DAY(E774)))</f>
        <v/>
      </c>
      <c r="H774" s="144">
        <f>IF(G774="","",G774-AsOf)</f>
        <v/>
      </c>
      <c r="I774" s="107">
        <f>IF(G774="","",IF(H774&lt;0,"Expired",IF(H774&lt;=90,"Expires soon","Active")))</f>
        <v/>
      </c>
      <c r="J774" s="72" t="n"/>
      <c r="K774" s="79">
        <f>IF(I774="","",IF(I774="Active",0,IF(I774="Expires soon",1,3)))</f>
        <v/>
      </c>
      <c r="L774" s="112">
        <f>IF(G774="","",IF(G774&lt;AsOf,"",G774))</f>
        <v/>
      </c>
      <c r="M774" s="79">
        <f>IF(L774="","",IF(L774&lt;=AsOf+AlertDays,2,IF(L774&lt;=AsOf+90,3,"")))</f>
        <v/>
      </c>
      <c r="N774" s="79">
        <f>IF(M774="","","Warranty expires in "&amp;H774&amp;" days: "&amp;B774&amp;IF(C774="",""," ("&amp;C774&amp;")")&amp;" — check for defects")</f>
        <v/>
      </c>
      <c r="P774" s="72" t="n"/>
      <c r="Q774" s="72" t="n"/>
      <c r="R774" s="89" t="n"/>
      <c r="S774" s="109" t="n"/>
      <c r="T774" s="126">
        <f>IF(OR(R774="",S774=""),"",DATE(YEAR(S774),MONTH(S774)+R774,DAY(S774)))</f>
        <v/>
      </c>
      <c r="U774" s="144">
        <f>IF(T774="","",T774-AsOf)</f>
        <v/>
      </c>
      <c r="V774" s="107">
        <f>IF(T774="",IF(P774="","","Enter last-done date"),IF(U774&lt;0,"Overdue",IF(U774&lt;=30,"Due soon","OK")))</f>
        <v/>
      </c>
      <c r="W774" s="79">
        <f>IF(T774="","",IF(U774&lt;0,2,IF(U774&lt;=30,1,0)))</f>
        <v/>
      </c>
      <c r="X774" s="112">
        <f>IF(T774="","",T774)</f>
        <v/>
      </c>
      <c r="Y774" s="79">
        <f>IF(X774="","",IF(X774&lt;=AsOf+AlertDays,2,IF(X774&lt;=AsOf+30,3,"")))</f>
        <v/>
      </c>
      <c r="Z774" s="79">
        <f>IF(Y774="","",IF(U774&lt;0,"Maintenance overdue: ","Maintenance due: ")&amp;P774)</f>
        <v/>
      </c>
    </row>
    <row r="775" ht="20" customHeight="1">
      <c r="B775" s="72" t="n"/>
      <c r="C775" s="72" t="n"/>
      <c r="D775" s="72" t="n"/>
      <c r="E775" s="109" t="n"/>
      <c r="F775" s="74" t="n"/>
      <c r="G775" s="126">
        <f>IF(OR(E775="",F775=""),"",DATE(YEAR(E775),MONTH(E775)+ROUND(F775*12,0),DAY(E775)))</f>
        <v/>
      </c>
      <c r="H775" s="144">
        <f>IF(G775="","",G775-AsOf)</f>
        <v/>
      </c>
      <c r="I775" s="107">
        <f>IF(G775="","",IF(H775&lt;0,"Expired",IF(H775&lt;=90,"Expires soon","Active")))</f>
        <v/>
      </c>
      <c r="J775" s="72" t="n"/>
      <c r="K775" s="79">
        <f>IF(I775="","",IF(I775="Active",0,IF(I775="Expires soon",1,3)))</f>
        <v/>
      </c>
      <c r="L775" s="112">
        <f>IF(G775="","",IF(G775&lt;AsOf,"",G775))</f>
        <v/>
      </c>
      <c r="M775" s="79">
        <f>IF(L775="","",IF(L775&lt;=AsOf+AlertDays,2,IF(L775&lt;=AsOf+90,3,"")))</f>
        <v/>
      </c>
      <c r="N775" s="79">
        <f>IF(M775="","","Warranty expires in "&amp;H775&amp;" days: "&amp;B775&amp;IF(C775="",""," ("&amp;C775&amp;")")&amp;" — check for defects")</f>
        <v/>
      </c>
      <c r="P775" s="72" t="n"/>
      <c r="Q775" s="72" t="n"/>
      <c r="R775" s="89" t="n"/>
      <c r="S775" s="109" t="n"/>
      <c r="T775" s="126">
        <f>IF(OR(R775="",S775=""),"",DATE(YEAR(S775),MONTH(S775)+R775,DAY(S775)))</f>
        <v/>
      </c>
      <c r="U775" s="144">
        <f>IF(T775="","",T775-AsOf)</f>
        <v/>
      </c>
      <c r="V775" s="107">
        <f>IF(T775="",IF(P775="","","Enter last-done date"),IF(U775&lt;0,"Overdue",IF(U775&lt;=30,"Due soon","OK")))</f>
        <v/>
      </c>
      <c r="W775" s="79">
        <f>IF(T775="","",IF(U775&lt;0,2,IF(U775&lt;=30,1,0)))</f>
        <v/>
      </c>
      <c r="X775" s="112">
        <f>IF(T775="","",T775)</f>
        <v/>
      </c>
      <c r="Y775" s="79">
        <f>IF(X775="","",IF(X775&lt;=AsOf+AlertDays,2,IF(X775&lt;=AsOf+30,3,"")))</f>
        <v/>
      </c>
      <c r="Z775" s="79">
        <f>IF(Y775="","",IF(U775&lt;0,"Maintenance overdue: ","Maintenance due: ")&amp;P775)</f>
        <v/>
      </c>
    </row>
    <row r="776" ht="20" customHeight="1">
      <c r="B776" s="72" t="n"/>
      <c r="C776" s="72" t="n"/>
      <c r="D776" s="72" t="n"/>
      <c r="E776" s="109" t="n"/>
      <c r="F776" s="74" t="n"/>
      <c r="G776" s="126">
        <f>IF(OR(E776="",F776=""),"",DATE(YEAR(E776),MONTH(E776)+ROUND(F776*12,0),DAY(E776)))</f>
        <v/>
      </c>
      <c r="H776" s="144">
        <f>IF(G776="","",G776-AsOf)</f>
        <v/>
      </c>
      <c r="I776" s="107">
        <f>IF(G776="","",IF(H776&lt;0,"Expired",IF(H776&lt;=90,"Expires soon","Active")))</f>
        <v/>
      </c>
      <c r="J776" s="72" t="n"/>
      <c r="K776" s="79">
        <f>IF(I776="","",IF(I776="Active",0,IF(I776="Expires soon",1,3)))</f>
        <v/>
      </c>
      <c r="L776" s="112">
        <f>IF(G776="","",IF(G776&lt;AsOf,"",G776))</f>
        <v/>
      </c>
      <c r="M776" s="79">
        <f>IF(L776="","",IF(L776&lt;=AsOf+AlertDays,2,IF(L776&lt;=AsOf+90,3,"")))</f>
        <v/>
      </c>
      <c r="N776" s="79">
        <f>IF(M776="","","Warranty expires in "&amp;H776&amp;" days: "&amp;B776&amp;IF(C776="",""," ("&amp;C776&amp;")")&amp;" — check for defects")</f>
        <v/>
      </c>
      <c r="P776" s="72" t="n"/>
      <c r="Q776" s="72" t="n"/>
      <c r="R776" s="89" t="n"/>
      <c r="S776" s="109" t="n"/>
      <c r="T776" s="126">
        <f>IF(OR(R776="",S776=""),"",DATE(YEAR(S776),MONTH(S776)+R776,DAY(S776)))</f>
        <v/>
      </c>
      <c r="U776" s="144">
        <f>IF(T776="","",T776-AsOf)</f>
        <v/>
      </c>
      <c r="V776" s="107">
        <f>IF(T776="",IF(P776="","","Enter last-done date"),IF(U776&lt;0,"Overdue",IF(U776&lt;=30,"Due soon","OK")))</f>
        <v/>
      </c>
      <c r="W776" s="79">
        <f>IF(T776="","",IF(U776&lt;0,2,IF(U776&lt;=30,1,0)))</f>
        <v/>
      </c>
      <c r="X776" s="112">
        <f>IF(T776="","",T776)</f>
        <v/>
      </c>
      <c r="Y776" s="79">
        <f>IF(X776="","",IF(X776&lt;=AsOf+AlertDays,2,IF(X776&lt;=AsOf+30,3,"")))</f>
        <v/>
      </c>
      <c r="Z776" s="79">
        <f>IF(Y776="","",IF(U776&lt;0,"Maintenance overdue: ","Maintenance due: ")&amp;P776)</f>
        <v/>
      </c>
    </row>
    <row r="777" ht="20" customHeight="1">
      <c r="B777" s="72" t="n"/>
      <c r="C777" s="72" t="n"/>
      <c r="D777" s="72" t="n"/>
      <c r="E777" s="109" t="n"/>
      <c r="F777" s="74" t="n"/>
      <c r="G777" s="126">
        <f>IF(OR(E777="",F777=""),"",DATE(YEAR(E777),MONTH(E777)+ROUND(F777*12,0),DAY(E777)))</f>
        <v/>
      </c>
      <c r="H777" s="144">
        <f>IF(G777="","",G777-AsOf)</f>
        <v/>
      </c>
      <c r="I777" s="107">
        <f>IF(G777="","",IF(H777&lt;0,"Expired",IF(H777&lt;=90,"Expires soon","Active")))</f>
        <v/>
      </c>
      <c r="J777" s="72" t="n"/>
      <c r="K777" s="79">
        <f>IF(I777="","",IF(I777="Active",0,IF(I777="Expires soon",1,3)))</f>
        <v/>
      </c>
      <c r="L777" s="112">
        <f>IF(G777="","",IF(G777&lt;AsOf,"",G777))</f>
        <v/>
      </c>
      <c r="M777" s="79">
        <f>IF(L777="","",IF(L777&lt;=AsOf+AlertDays,2,IF(L777&lt;=AsOf+90,3,"")))</f>
        <v/>
      </c>
      <c r="N777" s="79">
        <f>IF(M777="","","Warranty expires in "&amp;H777&amp;" days: "&amp;B777&amp;IF(C777="",""," ("&amp;C777&amp;")")&amp;" — check for defects")</f>
        <v/>
      </c>
      <c r="P777" s="72" t="n"/>
      <c r="Q777" s="72" t="n"/>
      <c r="R777" s="89" t="n"/>
      <c r="S777" s="109" t="n"/>
      <c r="T777" s="126">
        <f>IF(OR(R777="",S777=""),"",DATE(YEAR(S777),MONTH(S777)+R777,DAY(S777)))</f>
        <v/>
      </c>
      <c r="U777" s="144">
        <f>IF(T777="","",T777-AsOf)</f>
        <v/>
      </c>
      <c r="V777" s="107">
        <f>IF(T777="",IF(P777="","","Enter last-done date"),IF(U777&lt;0,"Overdue",IF(U777&lt;=30,"Due soon","OK")))</f>
        <v/>
      </c>
      <c r="W777" s="79">
        <f>IF(T777="","",IF(U777&lt;0,2,IF(U777&lt;=30,1,0)))</f>
        <v/>
      </c>
      <c r="X777" s="112">
        <f>IF(T777="","",T777)</f>
        <v/>
      </c>
      <c r="Y777" s="79">
        <f>IF(X777="","",IF(X777&lt;=AsOf+AlertDays,2,IF(X777&lt;=AsOf+30,3,"")))</f>
        <v/>
      </c>
      <c r="Z777" s="79">
        <f>IF(Y777="","",IF(U777&lt;0,"Maintenance overdue: ","Maintenance due: ")&amp;P777)</f>
        <v/>
      </c>
    </row>
    <row r="778" ht="20" customHeight="1">
      <c r="B778" s="72" t="n"/>
      <c r="C778" s="72" t="n"/>
      <c r="D778" s="72" t="n"/>
      <c r="E778" s="109" t="n"/>
      <c r="F778" s="74" t="n"/>
      <c r="G778" s="126">
        <f>IF(OR(E778="",F778=""),"",DATE(YEAR(E778),MONTH(E778)+ROUND(F778*12,0),DAY(E778)))</f>
        <v/>
      </c>
      <c r="H778" s="144">
        <f>IF(G778="","",G778-AsOf)</f>
        <v/>
      </c>
      <c r="I778" s="107">
        <f>IF(G778="","",IF(H778&lt;0,"Expired",IF(H778&lt;=90,"Expires soon","Active")))</f>
        <v/>
      </c>
      <c r="J778" s="72" t="n"/>
      <c r="K778" s="79">
        <f>IF(I778="","",IF(I778="Active",0,IF(I778="Expires soon",1,3)))</f>
        <v/>
      </c>
      <c r="L778" s="112">
        <f>IF(G778="","",IF(G778&lt;AsOf,"",G778))</f>
        <v/>
      </c>
      <c r="M778" s="79">
        <f>IF(L778="","",IF(L778&lt;=AsOf+AlertDays,2,IF(L778&lt;=AsOf+90,3,"")))</f>
        <v/>
      </c>
      <c r="N778" s="79">
        <f>IF(M778="","","Warranty expires in "&amp;H778&amp;" days: "&amp;B778&amp;IF(C778="",""," ("&amp;C778&amp;")")&amp;" — check for defects")</f>
        <v/>
      </c>
      <c r="P778" s="72" t="n"/>
      <c r="Q778" s="72" t="n"/>
      <c r="R778" s="89" t="n"/>
      <c r="S778" s="109" t="n"/>
      <c r="T778" s="126">
        <f>IF(OR(R778="",S778=""),"",DATE(YEAR(S778),MONTH(S778)+R778,DAY(S778)))</f>
        <v/>
      </c>
      <c r="U778" s="144">
        <f>IF(T778="","",T778-AsOf)</f>
        <v/>
      </c>
      <c r="V778" s="107">
        <f>IF(T778="",IF(P778="","","Enter last-done date"),IF(U778&lt;0,"Overdue",IF(U778&lt;=30,"Due soon","OK")))</f>
        <v/>
      </c>
      <c r="W778" s="79">
        <f>IF(T778="","",IF(U778&lt;0,2,IF(U778&lt;=30,1,0)))</f>
        <v/>
      </c>
      <c r="X778" s="112">
        <f>IF(T778="","",T778)</f>
        <v/>
      </c>
      <c r="Y778" s="79">
        <f>IF(X778="","",IF(X778&lt;=AsOf+AlertDays,2,IF(X778&lt;=AsOf+30,3,"")))</f>
        <v/>
      </c>
      <c r="Z778" s="79">
        <f>IF(Y778="","",IF(U778&lt;0,"Maintenance overdue: ","Maintenance due: ")&amp;P778)</f>
        <v/>
      </c>
    </row>
    <row r="779" ht="20" customHeight="1">
      <c r="B779" s="72" t="n"/>
      <c r="C779" s="72" t="n"/>
      <c r="D779" s="72" t="n"/>
      <c r="E779" s="109" t="n"/>
      <c r="F779" s="74" t="n"/>
      <c r="G779" s="126">
        <f>IF(OR(E779="",F779=""),"",DATE(YEAR(E779),MONTH(E779)+ROUND(F779*12,0),DAY(E779)))</f>
        <v/>
      </c>
      <c r="H779" s="144">
        <f>IF(G779="","",G779-AsOf)</f>
        <v/>
      </c>
      <c r="I779" s="107">
        <f>IF(G779="","",IF(H779&lt;0,"Expired",IF(H779&lt;=90,"Expires soon","Active")))</f>
        <v/>
      </c>
      <c r="J779" s="72" t="n"/>
      <c r="K779" s="79">
        <f>IF(I779="","",IF(I779="Active",0,IF(I779="Expires soon",1,3)))</f>
        <v/>
      </c>
      <c r="L779" s="112">
        <f>IF(G779="","",IF(G779&lt;AsOf,"",G779))</f>
        <v/>
      </c>
      <c r="M779" s="79">
        <f>IF(L779="","",IF(L779&lt;=AsOf+AlertDays,2,IF(L779&lt;=AsOf+90,3,"")))</f>
        <v/>
      </c>
      <c r="N779" s="79">
        <f>IF(M779="","","Warranty expires in "&amp;H779&amp;" days: "&amp;B779&amp;IF(C779="",""," ("&amp;C779&amp;")")&amp;" — check for defects")</f>
        <v/>
      </c>
      <c r="P779" s="72" t="n"/>
      <c r="Q779" s="72" t="n"/>
      <c r="R779" s="89" t="n"/>
      <c r="S779" s="109" t="n"/>
      <c r="T779" s="126">
        <f>IF(OR(R779="",S779=""),"",DATE(YEAR(S779),MONTH(S779)+R779,DAY(S779)))</f>
        <v/>
      </c>
      <c r="U779" s="144">
        <f>IF(T779="","",T779-AsOf)</f>
        <v/>
      </c>
      <c r="V779" s="107">
        <f>IF(T779="",IF(P779="","","Enter last-done date"),IF(U779&lt;0,"Overdue",IF(U779&lt;=30,"Due soon","OK")))</f>
        <v/>
      </c>
      <c r="W779" s="79">
        <f>IF(T779="","",IF(U779&lt;0,2,IF(U779&lt;=30,1,0)))</f>
        <v/>
      </c>
      <c r="X779" s="112">
        <f>IF(T779="","",T779)</f>
        <v/>
      </c>
      <c r="Y779" s="79">
        <f>IF(X779="","",IF(X779&lt;=AsOf+AlertDays,2,IF(X779&lt;=AsOf+30,3,"")))</f>
        <v/>
      </c>
      <c r="Z779" s="79">
        <f>IF(Y779="","",IF(U779&lt;0,"Maintenance overdue: ","Maintenance due: ")&amp;P779)</f>
        <v/>
      </c>
    </row>
    <row r="780" ht="20" customHeight="1">
      <c r="B780" s="72" t="n"/>
      <c r="C780" s="72" t="n"/>
      <c r="D780" s="72" t="n"/>
      <c r="E780" s="109" t="n"/>
      <c r="F780" s="74" t="n"/>
      <c r="G780" s="126">
        <f>IF(OR(E780="",F780=""),"",DATE(YEAR(E780),MONTH(E780)+ROUND(F780*12,0),DAY(E780)))</f>
        <v/>
      </c>
      <c r="H780" s="144">
        <f>IF(G780="","",G780-AsOf)</f>
        <v/>
      </c>
      <c r="I780" s="107">
        <f>IF(G780="","",IF(H780&lt;0,"Expired",IF(H780&lt;=90,"Expires soon","Active")))</f>
        <v/>
      </c>
      <c r="J780" s="72" t="n"/>
      <c r="K780" s="79">
        <f>IF(I780="","",IF(I780="Active",0,IF(I780="Expires soon",1,3)))</f>
        <v/>
      </c>
      <c r="L780" s="112">
        <f>IF(G780="","",IF(G780&lt;AsOf,"",G780))</f>
        <v/>
      </c>
      <c r="M780" s="79">
        <f>IF(L780="","",IF(L780&lt;=AsOf+AlertDays,2,IF(L780&lt;=AsOf+90,3,"")))</f>
        <v/>
      </c>
      <c r="N780" s="79">
        <f>IF(M780="","","Warranty expires in "&amp;H780&amp;" days: "&amp;B780&amp;IF(C780="",""," ("&amp;C780&amp;")")&amp;" — check for defects")</f>
        <v/>
      </c>
      <c r="P780" s="72" t="n"/>
      <c r="Q780" s="72" t="n"/>
      <c r="R780" s="89" t="n"/>
      <c r="S780" s="109" t="n"/>
      <c r="T780" s="126">
        <f>IF(OR(R780="",S780=""),"",DATE(YEAR(S780),MONTH(S780)+R780,DAY(S780)))</f>
        <v/>
      </c>
      <c r="U780" s="144">
        <f>IF(T780="","",T780-AsOf)</f>
        <v/>
      </c>
      <c r="V780" s="107">
        <f>IF(T780="",IF(P780="","","Enter last-done date"),IF(U780&lt;0,"Overdue",IF(U780&lt;=30,"Due soon","OK")))</f>
        <v/>
      </c>
      <c r="W780" s="79">
        <f>IF(T780="","",IF(U780&lt;0,2,IF(U780&lt;=30,1,0)))</f>
        <v/>
      </c>
      <c r="X780" s="112">
        <f>IF(T780="","",T780)</f>
        <v/>
      </c>
      <c r="Y780" s="79">
        <f>IF(X780="","",IF(X780&lt;=AsOf+AlertDays,2,IF(X780&lt;=AsOf+30,3,"")))</f>
        <v/>
      </c>
      <c r="Z780" s="79">
        <f>IF(Y780="","",IF(U780&lt;0,"Maintenance overdue: ","Maintenance due: ")&amp;P780)</f>
        <v/>
      </c>
    </row>
    <row r="781" ht="20" customHeight="1">
      <c r="B781" s="72" t="n"/>
      <c r="C781" s="72" t="n"/>
      <c r="D781" s="72" t="n"/>
      <c r="E781" s="109" t="n"/>
      <c r="F781" s="74" t="n"/>
      <c r="G781" s="126">
        <f>IF(OR(E781="",F781=""),"",DATE(YEAR(E781),MONTH(E781)+ROUND(F781*12,0),DAY(E781)))</f>
        <v/>
      </c>
      <c r="H781" s="144">
        <f>IF(G781="","",G781-AsOf)</f>
        <v/>
      </c>
      <c r="I781" s="107">
        <f>IF(G781="","",IF(H781&lt;0,"Expired",IF(H781&lt;=90,"Expires soon","Active")))</f>
        <v/>
      </c>
      <c r="J781" s="72" t="n"/>
      <c r="K781" s="79">
        <f>IF(I781="","",IF(I781="Active",0,IF(I781="Expires soon",1,3)))</f>
        <v/>
      </c>
      <c r="L781" s="112">
        <f>IF(G781="","",IF(G781&lt;AsOf,"",G781))</f>
        <v/>
      </c>
      <c r="M781" s="79">
        <f>IF(L781="","",IF(L781&lt;=AsOf+AlertDays,2,IF(L781&lt;=AsOf+90,3,"")))</f>
        <v/>
      </c>
      <c r="N781" s="79">
        <f>IF(M781="","","Warranty expires in "&amp;H781&amp;" days: "&amp;B781&amp;IF(C781="",""," ("&amp;C781&amp;")")&amp;" — check for defects")</f>
        <v/>
      </c>
      <c r="P781" s="72" t="n"/>
      <c r="Q781" s="72" t="n"/>
      <c r="R781" s="89" t="n"/>
      <c r="S781" s="109" t="n"/>
      <c r="T781" s="126">
        <f>IF(OR(R781="",S781=""),"",DATE(YEAR(S781),MONTH(S781)+R781,DAY(S781)))</f>
        <v/>
      </c>
      <c r="U781" s="144">
        <f>IF(T781="","",T781-AsOf)</f>
        <v/>
      </c>
      <c r="V781" s="107">
        <f>IF(T781="",IF(P781="","","Enter last-done date"),IF(U781&lt;0,"Overdue",IF(U781&lt;=30,"Due soon","OK")))</f>
        <v/>
      </c>
      <c r="W781" s="79">
        <f>IF(T781="","",IF(U781&lt;0,2,IF(U781&lt;=30,1,0)))</f>
        <v/>
      </c>
      <c r="X781" s="112">
        <f>IF(T781="","",T781)</f>
        <v/>
      </c>
      <c r="Y781" s="79">
        <f>IF(X781="","",IF(X781&lt;=AsOf+AlertDays,2,IF(X781&lt;=AsOf+30,3,"")))</f>
        <v/>
      </c>
      <c r="Z781" s="79">
        <f>IF(Y781="","",IF(U781&lt;0,"Maintenance overdue: ","Maintenance due: ")&amp;P781)</f>
        <v/>
      </c>
    </row>
    <row r="782" ht="20" customHeight="1">
      <c r="B782" s="72" t="n"/>
      <c r="C782" s="72" t="n"/>
      <c r="D782" s="72" t="n"/>
      <c r="E782" s="109" t="n"/>
      <c r="F782" s="74" t="n"/>
      <c r="G782" s="126">
        <f>IF(OR(E782="",F782=""),"",DATE(YEAR(E782),MONTH(E782)+ROUND(F782*12,0),DAY(E782)))</f>
        <v/>
      </c>
      <c r="H782" s="144">
        <f>IF(G782="","",G782-AsOf)</f>
        <v/>
      </c>
      <c r="I782" s="107">
        <f>IF(G782="","",IF(H782&lt;0,"Expired",IF(H782&lt;=90,"Expires soon","Active")))</f>
        <v/>
      </c>
      <c r="J782" s="72" t="n"/>
      <c r="K782" s="79">
        <f>IF(I782="","",IF(I782="Active",0,IF(I782="Expires soon",1,3)))</f>
        <v/>
      </c>
      <c r="L782" s="112">
        <f>IF(G782="","",IF(G782&lt;AsOf,"",G782))</f>
        <v/>
      </c>
      <c r="M782" s="79">
        <f>IF(L782="","",IF(L782&lt;=AsOf+AlertDays,2,IF(L782&lt;=AsOf+90,3,"")))</f>
        <v/>
      </c>
      <c r="N782" s="79">
        <f>IF(M782="","","Warranty expires in "&amp;H782&amp;" days: "&amp;B782&amp;IF(C782="",""," ("&amp;C782&amp;")")&amp;" — check for defects")</f>
        <v/>
      </c>
      <c r="P782" s="72" t="n"/>
      <c r="Q782" s="72" t="n"/>
      <c r="R782" s="89" t="n"/>
      <c r="S782" s="109" t="n"/>
      <c r="T782" s="126">
        <f>IF(OR(R782="",S782=""),"",DATE(YEAR(S782),MONTH(S782)+R782,DAY(S782)))</f>
        <v/>
      </c>
      <c r="U782" s="144">
        <f>IF(T782="","",T782-AsOf)</f>
        <v/>
      </c>
      <c r="V782" s="107">
        <f>IF(T782="",IF(P782="","","Enter last-done date"),IF(U782&lt;0,"Overdue",IF(U782&lt;=30,"Due soon","OK")))</f>
        <v/>
      </c>
      <c r="W782" s="79">
        <f>IF(T782="","",IF(U782&lt;0,2,IF(U782&lt;=30,1,0)))</f>
        <v/>
      </c>
      <c r="X782" s="112">
        <f>IF(T782="","",T782)</f>
        <v/>
      </c>
      <c r="Y782" s="79">
        <f>IF(X782="","",IF(X782&lt;=AsOf+AlertDays,2,IF(X782&lt;=AsOf+30,3,"")))</f>
        <v/>
      </c>
      <c r="Z782" s="79">
        <f>IF(Y782="","",IF(U782&lt;0,"Maintenance overdue: ","Maintenance due: ")&amp;P782)</f>
        <v/>
      </c>
    </row>
    <row r="783" ht="20" customHeight="1">
      <c r="B783" s="72" t="n"/>
      <c r="C783" s="72" t="n"/>
      <c r="D783" s="72" t="n"/>
      <c r="E783" s="109" t="n"/>
      <c r="F783" s="74" t="n"/>
      <c r="G783" s="126">
        <f>IF(OR(E783="",F783=""),"",DATE(YEAR(E783),MONTH(E783)+ROUND(F783*12,0),DAY(E783)))</f>
        <v/>
      </c>
      <c r="H783" s="144">
        <f>IF(G783="","",G783-AsOf)</f>
        <v/>
      </c>
      <c r="I783" s="107">
        <f>IF(G783="","",IF(H783&lt;0,"Expired",IF(H783&lt;=90,"Expires soon","Active")))</f>
        <v/>
      </c>
      <c r="J783" s="72" t="n"/>
      <c r="K783" s="79">
        <f>IF(I783="","",IF(I783="Active",0,IF(I783="Expires soon",1,3)))</f>
        <v/>
      </c>
      <c r="L783" s="112">
        <f>IF(G783="","",IF(G783&lt;AsOf,"",G783))</f>
        <v/>
      </c>
      <c r="M783" s="79">
        <f>IF(L783="","",IF(L783&lt;=AsOf+AlertDays,2,IF(L783&lt;=AsOf+90,3,"")))</f>
        <v/>
      </c>
      <c r="N783" s="79">
        <f>IF(M783="","","Warranty expires in "&amp;H783&amp;" days: "&amp;B783&amp;IF(C783="",""," ("&amp;C783&amp;")")&amp;" — check for defects")</f>
        <v/>
      </c>
      <c r="P783" s="72" t="n"/>
      <c r="Q783" s="72" t="n"/>
      <c r="R783" s="89" t="n"/>
      <c r="S783" s="109" t="n"/>
      <c r="T783" s="126">
        <f>IF(OR(R783="",S783=""),"",DATE(YEAR(S783),MONTH(S783)+R783,DAY(S783)))</f>
        <v/>
      </c>
      <c r="U783" s="144">
        <f>IF(T783="","",T783-AsOf)</f>
        <v/>
      </c>
      <c r="V783" s="107">
        <f>IF(T783="",IF(P783="","","Enter last-done date"),IF(U783&lt;0,"Overdue",IF(U783&lt;=30,"Due soon","OK")))</f>
        <v/>
      </c>
      <c r="W783" s="79">
        <f>IF(T783="","",IF(U783&lt;0,2,IF(U783&lt;=30,1,0)))</f>
        <v/>
      </c>
      <c r="X783" s="112">
        <f>IF(T783="","",T783)</f>
        <v/>
      </c>
      <c r="Y783" s="79">
        <f>IF(X783="","",IF(X783&lt;=AsOf+AlertDays,2,IF(X783&lt;=AsOf+30,3,"")))</f>
        <v/>
      </c>
      <c r="Z783" s="79">
        <f>IF(Y783="","",IF(U783&lt;0,"Maintenance overdue: ","Maintenance due: ")&amp;P783)</f>
        <v/>
      </c>
    </row>
    <row r="784" ht="20" customHeight="1">
      <c r="B784" s="72" t="n"/>
      <c r="C784" s="72" t="n"/>
      <c r="D784" s="72" t="n"/>
      <c r="E784" s="109" t="n"/>
      <c r="F784" s="74" t="n"/>
      <c r="G784" s="126">
        <f>IF(OR(E784="",F784=""),"",DATE(YEAR(E784),MONTH(E784)+ROUND(F784*12,0),DAY(E784)))</f>
        <v/>
      </c>
      <c r="H784" s="144">
        <f>IF(G784="","",G784-AsOf)</f>
        <v/>
      </c>
      <c r="I784" s="107">
        <f>IF(G784="","",IF(H784&lt;0,"Expired",IF(H784&lt;=90,"Expires soon","Active")))</f>
        <v/>
      </c>
      <c r="J784" s="72" t="n"/>
      <c r="K784" s="79">
        <f>IF(I784="","",IF(I784="Active",0,IF(I784="Expires soon",1,3)))</f>
        <v/>
      </c>
      <c r="L784" s="112">
        <f>IF(G784="","",IF(G784&lt;AsOf,"",G784))</f>
        <v/>
      </c>
      <c r="M784" s="79">
        <f>IF(L784="","",IF(L784&lt;=AsOf+AlertDays,2,IF(L784&lt;=AsOf+90,3,"")))</f>
        <v/>
      </c>
      <c r="N784" s="79">
        <f>IF(M784="","","Warranty expires in "&amp;H784&amp;" days: "&amp;B784&amp;IF(C784="",""," ("&amp;C784&amp;")")&amp;" — check for defects")</f>
        <v/>
      </c>
      <c r="P784" s="72" t="n"/>
      <c r="Q784" s="72" t="n"/>
      <c r="R784" s="89" t="n"/>
      <c r="S784" s="109" t="n"/>
      <c r="T784" s="126">
        <f>IF(OR(R784="",S784=""),"",DATE(YEAR(S784),MONTH(S784)+R784,DAY(S784)))</f>
        <v/>
      </c>
      <c r="U784" s="144">
        <f>IF(T784="","",T784-AsOf)</f>
        <v/>
      </c>
      <c r="V784" s="107">
        <f>IF(T784="",IF(P784="","","Enter last-done date"),IF(U784&lt;0,"Overdue",IF(U784&lt;=30,"Due soon","OK")))</f>
        <v/>
      </c>
      <c r="W784" s="79">
        <f>IF(T784="","",IF(U784&lt;0,2,IF(U784&lt;=30,1,0)))</f>
        <v/>
      </c>
      <c r="X784" s="112">
        <f>IF(T784="","",T784)</f>
        <v/>
      </c>
      <c r="Y784" s="79">
        <f>IF(X784="","",IF(X784&lt;=AsOf+AlertDays,2,IF(X784&lt;=AsOf+30,3,"")))</f>
        <v/>
      </c>
      <c r="Z784" s="79">
        <f>IF(Y784="","",IF(U784&lt;0,"Maintenance overdue: ","Maintenance due: ")&amp;P784)</f>
        <v/>
      </c>
    </row>
    <row r="785" ht="20" customHeight="1">
      <c r="B785" s="72" t="n"/>
      <c r="C785" s="72" t="n"/>
      <c r="D785" s="72" t="n"/>
      <c r="E785" s="109" t="n"/>
      <c r="F785" s="74" t="n"/>
      <c r="G785" s="126">
        <f>IF(OR(E785="",F785=""),"",DATE(YEAR(E785),MONTH(E785)+ROUND(F785*12,0),DAY(E785)))</f>
        <v/>
      </c>
      <c r="H785" s="144">
        <f>IF(G785="","",G785-AsOf)</f>
        <v/>
      </c>
      <c r="I785" s="107">
        <f>IF(G785="","",IF(H785&lt;0,"Expired",IF(H785&lt;=90,"Expires soon","Active")))</f>
        <v/>
      </c>
      <c r="J785" s="72" t="n"/>
      <c r="K785" s="79">
        <f>IF(I785="","",IF(I785="Active",0,IF(I785="Expires soon",1,3)))</f>
        <v/>
      </c>
      <c r="L785" s="112">
        <f>IF(G785="","",IF(G785&lt;AsOf,"",G785))</f>
        <v/>
      </c>
      <c r="M785" s="79">
        <f>IF(L785="","",IF(L785&lt;=AsOf+AlertDays,2,IF(L785&lt;=AsOf+90,3,"")))</f>
        <v/>
      </c>
      <c r="N785" s="79">
        <f>IF(M785="","","Warranty expires in "&amp;H785&amp;" days: "&amp;B785&amp;IF(C785="",""," ("&amp;C785&amp;")")&amp;" — check for defects")</f>
        <v/>
      </c>
      <c r="P785" s="72" t="n"/>
      <c r="Q785" s="72" t="n"/>
      <c r="R785" s="89" t="n"/>
      <c r="S785" s="109" t="n"/>
      <c r="T785" s="126">
        <f>IF(OR(R785="",S785=""),"",DATE(YEAR(S785),MONTH(S785)+R785,DAY(S785)))</f>
        <v/>
      </c>
      <c r="U785" s="144">
        <f>IF(T785="","",T785-AsOf)</f>
        <v/>
      </c>
      <c r="V785" s="107">
        <f>IF(T785="",IF(P785="","","Enter last-done date"),IF(U785&lt;0,"Overdue",IF(U785&lt;=30,"Due soon","OK")))</f>
        <v/>
      </c>
      <c r="W785" s="79">
        <f>IF(T785="","",IF(U785&lt;0,2,IF(U785&lt;=30,1,0)))</f>
        <v/>
      </c>
      <c r="X785" s="112">
        <f>IF(T785="","",T785)</f>
        <v/>
      </c>
      <c r="Y785" s="79">
        <f>IF(X785="","",IF(X785&lt;=AsOf+AlertDays,2,IF(X785&lt;=AsOf+30,3,"")))</f>
        <v/>
      </c>
      <c r="Z785" s="79">
        <f>IF(Y785="","",IF(U785&lt;0,"Maintenance overdue: ","Maintenance due: ")&amp;P785)</f>
        <v/>
      </c>
    </row>
    <row r="786" ht="20" customHeight="1">
      <c r="B786" s="72" t="n"/>
      <c r="C786" s="72" t="n"/>
      <c r="D786" s="72" t="n"/>
      <c r="E786" s="109" t="n"/>
      <c r="F786" s="74" t="n"/>
      <c r="G786" s="126">
        <f>IF(OR(E786="",F786=""),"",DATE(YEAR(E786),MONTH(E786)+ROUND(F786*12,0),DAY(E786)))</f>
        <v/>
      </c>
      <c r="H786" s="144">
        <f>IF(G786="","",G786-AsOf)</f>
        <v/>
      </c>
      <c r="I786" s="107">
        <f>IF(G786="","",IF(H786&lt;0,"Expired",IF(H786&lt;=90,"Expires soon","Active")))</f>
        <v/>
      </c>
      <c r="J786" s="72" t="n"/>
      <c r="K786" s="79">
        <f>IF(I786="","",IF(I786="Active",0,IF(I786="Expires soon",1,3)))</f>
        <v/>
      </c>
      <c r="L786" s="112">
        <f>IF(G786="","",IF(G786&lt;AsOf,"",G786))</f>
        <v/>
      </c>
      <c r="M786" s="79">
        <f>IF(L786="","",IF(L786&lt;=AsOf+AlertDays,2,IF(L786&lt;=AsOf+90,3,"")))</f>
        <v/>
      </c>
      <c r="N786" s="79">
        <f>IF(M786="","","Warranty expires in "&amp;H786&amp;" days: "&amp;B786&amp;IF(C786="",""," ("&amp;C786&amp;")")&amp;" — check for defects")</f>
        <v/>
      </c>
      <c r="P786" s="72" t="n"/>
      <c r="Q786" s="72" t="n"/>
      <c r="R786" s="89" t="n"/>
      <c r="S786" s="109" t="n"/>
      <c r="T786" s="126">
        <f>IF(OR(R786="",S786=""),"",DATE(YEAR(S786),MONTH(S786)+R786,DAY(S786)))</f>
        <v/>
      </c>
      <c r="U786" s="144">
        <f>IF(T786="","",T786-AsOf)</f>
        <v/>
      </c>
      <c r="V786" s="107">
        <f>IF(T786="",IF(P786="","","Enter last-done date"),IF(U786&lt;0,"Overdue",IF(U786&lt;=30,"Due soon","OK")))</f>
        <v/>
      </c>
      <c r="W786" s="79">
        <f>IF(T786="","",IF(U786&lt;0,2,IF(U786&lt;=30,1,0)))</f>
        <v/>
      </c>
      <c r="X786" s="112">
        <f>IF(T786="","",T786)</f>
        <v/>
      </c>
      <c r="Y786" s="79">
        <f>IF(X786="","",IF(X786&lt;=AsOf+AlertDays,2,IF(X786&lt;=AsOf+30,3,"")))</f>
        <v/>
      </c>
      <c r="Z786" s="79">
        <f>IF(Y786="","",IF(U786&lt;0,"Maintenance overdue: ","Maintenance due: ")&amp;P786)</f>
        <v/>
      </c>
    </row>
    <row r="787" ht="20" customHeight="1">
      <c r="B787" s="72" t="n"/>
      <c r="C787" s="72" t="n"/>
      <c r="D787" s="72" t="n"/>
      <c r="E787" s="109" t="n"/>
      <c r="F787" s="74" t="n"/>
      <c r="G787" s="126">
        <f>IF(OR(E787="",F787=""),"",DATE(YEAR(E787),MONTH(E787)+ROUND(F787*12,0),DAY(E787)))</f>
        <v/>
      </c>
      <c r="H787" s="144">
        <f>IF(G787="","",G787-AsOf)</f>
        <v/>
      </c>
      <c r="I787" s="107">
        <f>IF(G787="","",IF(H787&lt;0,"Expired",IF(H787&lt;=90,"Expires soon","Active")))</f>
        <v/>
      </c>
      <c r="J787" s="72" t="n"/>
      <c r="K787" s="79">
        <f>IF(I787="","",IF(I787="Active",0,IF(I787="Expires soon",1,3)))</f>
        <v/>
      </c>
      <c r="L787" s="112">
        <f>IF(G787="","",IF(G787&lt;AsOf,"",G787))</f>
        <v/>
      </c>
      <c r="M787" s="79">
        <f>IF(L787="","",IF(L787&lt;=AsOf+AlertDays,2,IF(L787&lt;=AsOf+90,3,"")))</f>
        <v/>
      </c>
      <c r="N787" s="79">
        <f>IF(M787="","","Warranty expires in "&amp;H787&amp;" days: "&amp;B787&amp;IF(C787="",""," ("&amp;C787&amp;")")&amp;" — check for defects")</f>
        <v/>
      </c>
      <c r="P787" s="72" t="n"/>
      <c r="Q787" s="72" t="n"/>
      <c r="R787" s="89" t="n"/>
      <c r="S787" s="109" t="n"/>
      <c r="T787" s="126">
        <f>IF(OR(R787="",S787=""),"",DATE(YEAR(S787),MONTH(S787)+R787,DAY(S787)))</f>
        <v/>
      </c>
      <c r="U787" s="144">
        <f>IF(T787="","",T787-AsOf)</f>
        <v/>
      </c>
      <c r="V787" s="107">
        <f>IF(T787="",IF(P787="","","Enter last-done date"),IF(U787&lt;0,"Overdue",IF(U787&lt;=30,"Due soon","OK")))</f>
        <v/>
      </c>
      <c r="W787" s="79">
        <f>IF(T787="","",IF(U787&lt;0,2,IF(U787&lt;=30,1,0)))</f>
        <v/>
      </c>
      <c r="X787" s="112">
        <f>IF(T787="","",T787)</f>
        <v/>
      </c>
      <c r="Y787" s="79">
        <f>IF(X787="","",IF(X787&lt;=AsOf+AlertDays,2,IF(X787&lt;=AsOf+30,3,"")))</f>
        <v/>
      </c>
      <c r="Z787" s="79">
        <f>IF(Y787="","",IF(U787&lt;0,"Maintenance overdue: ","Maintenance due: ")&amp;P787)</f>
        <v/>
      </c>
    </row>
    <row r="788" ht="20" customHeight="1">
      <c r="B788" s="72" t="n"/>
      <c r="C788" s="72" t="n"/>
      <c r="D788" s="72" t="n"/>
      <c r="E788" s="109" t="n"/>
      <c r="F788" s="74" t="n"/>
      <c r="G788" s="126">
        <f>IF(OR(E788="",F788=""),"",DATE(YEAR(E788),MONTH(E788)+ROUND(F788*12,0),DAY(E788)))</f>
        <v/>
      </c>
      <c r="H788" s="144">
        <f>IF(G788="","",G788-AsOf)</f>
        <v/>
      </c>
      <c r="I788" s="107">
        <f>IF(G788="","",IF(H788&lt;0,"Expired",IF(H788&lt;=90,"Expires soon","Active")))</f>
        <v/>
      </c>
      <c r="J788" s="72" t="n"/>
      <c r="K788" s="79">
        <f>IF(I788="","",IF(I788="Active",0,IF(I788="Expires soon",1,3)))</f>
        <v/>
      </c>
      <c r="L788" s="112">
        <f>IF(G788="","",IF(G788&lt;AsOf,"",G788))</f>
        <v/>
      </c>
      <c r="M788" s="79">
        <f>IF(L788="","",IF(L788&lt;=AsOf+AlertDays,2,IF(L788&lt;=AsOf+90,3,"")))</f>
        <v/>
      </c>
      <c r="N788" s="79">
        <f>IF(M788="","","Warranty expires in "&amp;H788&amp;" days: "&amp;B788&amp;IF(C788="",""," ("&amp;C788&amp;")")&amp;" — check for defects")</f>
        <v/>
      </c>
      <c r="P788" s="72" t="n"/>
      <c r="Q788" s="72" t="n"/>
      <c r="R788" s="89" t="n"/>
      <c r="S788" s="109" t="n"/>
      <c r="T788" s="126">
        <f>IF(OR(R788="",S788=""),"",DATE(YEAR(S788),MONTH(S788)+R788,DAY(S788)))</f>
        <v/>
      </c>
      <c r="U788" s="144">
        <f>IF(T788="","",T788-AsOf)</f>
        <v/>
      </c>
      <c r="V788" s="107">
        <f>IF(T788="",IF(P788="","","Enter last-done date"),IF(U788&lt;0,"Overdue",IF(U788&lt;=30,"Due soon","OK")))</f>
        <v/>
      </c>
      <c r="W788" s="79">
        <f>IF(T788="","",IF(U788&lt;0,2,IF(U788&lt;=30,1,0)))</f>
        <v/>
      </c>
      <c r="X788" s="112">
        <f>IF(T788="","",T788)</f>
        <v/>
      </c>
      <c r="Y788" s="79">
        <f>IF(X788="","",IF(X788&lt;=AsOf+AlertDays,2,IF(X788&lt;=AsOf+30,3,"")))</f>
        <v/>
      </c>
      <c r="Z788" s="79">
        <f>IF(Y788="","",IF(U788&lt;0,"Maintenance overdue: ","Maintenance due: ")&amp;P788)</f>
        <v/>
      </c>
    </row>
    <row r="789" ht="20" customHeight="1">
      <c r="B789" s="72" t="n"/>
      <c r="C789" s="72" t="n"/>
      <c r="D789" s="72" t="n"/>
      <c r="E789" s="109" t="n"/>
      <c r="F789" s="74" t="n"/>
      <c r="G789" s="126">
        <f>IF(OR(E789="",F789=""),"",DATE(YEAR(E789),MONTH(E789)+ROUND(F789*12,0),DAY(E789)))</f>
        <v/>
      </c>
      <c r="H789" s="144">
        <f>IF(G789="","",G789-AsOf)</f>
        <v/>
      </c>
      <c r="I789" s="107">
        <f>IF(G789="","",IF(H789&lt;0,"Expired",IF(H789&lt;=90,"Expires soon","Active")))</f>
        <v/>
      </c>
      <c r="J789" s="72" t="n"/>
      <c r="K789" s="79">
        <f>IF(I789="","",IF(I789="Active",0,IF(I789="Expires soon",1,3)))</f>
        <v/>
      </c>
      <c r="L789" s="112">
        <f>IF(G789="","",IF(G789&lt;AsOf,"",G789))</f>
        <v/>
      </c>
      <c r="M789" s="79">
        <f>IF(L789="","",IF(L789&lt;=AsOf+AlertDays,2,IF(L789&lt;=AsOf+90,3,"")))</f>
        <v/>
      </c>
      <c r="N789" s="79">
        <f>IF(M789="","","Warranty expires in "&amp;H789&amp;" days: "&amp;B789&amp;IF(C789="",""," ("&amp;C789&amp;")")&amp;" — check for defects")</f>
        <v/>
      </c>
      <c r="P789" s="72" t="n"/>
      <c r="Q789" s="72" t="n"/>
      <c r="R789" s="89" t="n"/>
      <c r="S789" s="109" t="n"/>
      <c r="T789" s="126">
        <f>IF(OR(R789="",S789=""),"",DATE(YEAR(S789),MONTH(S789)+R789,DAY(S789)))</f>
        <v/>
      </c>
      <c r="U789" s="144">
        <f>IF(T789="","",T789-AsOf)</f>
        <v/>
      </c>
      <c r="V789" s="107">
        <f>IF(T789="",IF(P789="","","Enter last-done date"),IF(U789&lt;0,"Overdue",IF(U789&lt;=30,"Due soon","OK")))</f>
        <v/>
      </c>
      <c r="W789" s="79">
        <f>IF(T789="","",IF(U789&lt;0,2,IF(U789&lt;=30,1,0)))</f>
        <v/>
      </c>
      <c r="X789" s="112">
        <f>IF(T789="","",T789)</f>
        <v/>
      </c>
      <c r="Y789" s="79">
        <f>IF(X789="","",IF(X789&lt;=AsOf+AlertDays,2,IF(X789&lt;=AsOf+30,3,"")))</f>
        <v/>
      </c>
      <c r="Z789" s="79">
        <f>IF(Y789="","",IF(U789&lt;0,"Maintenance overdue: ","Maintenance due: ")&amp;P789)</f>
        <v/>
      </c>
    </row>
    <row r="790" ht="20" customHeight="1">
      <c r="B790" s="72" t="n"/>
      <c r="C790" s="72" t="n"/>
      <c r="D790" s="72" t="n"/>
      <c r="E790" s="109" t="n"/>
      <c r="F790" s="74" t="n"/>
      <c r="G790" s="126">
        <f>IF(OR(E790="",F790=""),"",DATE(YEAR(E790),MONTH(E790)+ROUND(F790*12,0),DAY(E790)))</f>
        <v/>
      </c>
      <c r="H790" s="144">
        <f>IF(G790="","",G790-AsOf)</f>
        <v/>
      </c>
      <c r="I790" s="107">
        <f>IF(G790="","",IF(H790&lt;0,"Expired",IF(H790&lt;=90,"Expires soon","Active")))</f>
        <v/>
      </c>
      <c r="J790" s="72" t="n"/>
      <c r="K790" s="79">
        <f>IF(I790="","",IF(I790="Active",0,IF(I790="Expires soon",1,3)))</f>
        <v/>
      </c>
      <c r="L790" s="112">
        <f>IF(G790="","",IF(G790&lt;AsOf,"",G790))</f>
        <v/>
      </c>
      <c r="M790" s="79">
        <f>IF(L790="","",IF(L790&lt;=AsOf+AlertDays,2,IF(L790&lt;=AsOf+90,3,"")))</f>
        <v/>
      </c>
      <c r="N790" s="79">
        <f>IF(M790="","","Warranty expires in "&amp;H790&amp;" days: "&amp;B790&amp;IF(C790="",""," ("&amp;C790&amp;")")&amp;" — check for defects")</f>
        <v/>
      </c>
      <c r="P790" s="72" t="n"/>
      <c r="Q790" s="72" t="n"/>
      <c r="R790" s="89" t="n"/>
      <c r="S790" s="109" t="n"/>
      <c r="T790" s="126">
        <f>IF(OR(R790="",S790=""),"",DATE(YEAR(S790),MONTH(S790)+R790,DAY(S790)))</f>
        <v/>
      </c>
      <c r="U790" s="144">
        <f>IF(T790="","",T790-AsOf)</f>
        <v/>
      </c>
      <c r="V790" s="107">
        <f>IF(T790="",IF(P790="","","Enter last-done date"),IF(U790&lt;0,"Overdue",IF(U790&lt;=30,"Due soon","OK")))</f>
        <v/>
      </c>
      <c r="W790" s="79">
        <f>IF(T790="","",IF(U790&lt;0,2,IF(U790&lt;=30,1,0)))</f>
        <v/>
      </c>
      <c r="X790" s="112">
        <f>IF(T790="","",T790)</f>
        <v/>
      </c>
      <c r="Y790" s="79">
        <f>IF(X790="","",IF(X790&lt;=AsOf+AlertDays,2,IF(X790&lt;=AsOf+30,3,"")))</f>
        <v/>
      </c>
      <c r="Z790" s="79">
        <f>IF(Y790="","",IF(U790&lt;0,"Maintenance overdue: ","Maintenance due: ")&amp;P790)</f>
        <v/>
      </c>
    </row>
    <row r="791" ht="20" customHeight="1">
      <c r="B791" s="72" t="n"/>
      <c r="C791" s="72" t="n"/>
      <c r="D791" s="72" t="n"/>
      <c r="E791" s="109" t="n"/>
      <c r="F791" s="74" t="n"/>
      <c r="G791" s="126">
        <f>IF(OR(E791="",F791=""),"",DATE(YEAR(E791),MONTH(E791)+ROUND(F791*12,0),DAY(E791)))</f>
        <v/>
      </c>
      <c r="H791" s="144">
        <f>IF(G791="","",G791-AsOf)</f>
        <v/>
      </c>
      <c r="I791" s="107">
        <f>IF(G791="","",IF(H791&lt;0,"Expired",IF(H791&lt;=90,"Expires soon","Active")))</f>
        <v/>
      </c>
      <c r="J791" s="72" t="n"/>
      <c r="K791" s="79">
        <f>IF(I791="","",IF(I791="Active",0,IF(I791="Expires soon",1,3)))</f>
        <v/>
      </c>
      <c r="L791" s="112">
        <f>IF(G791="","",IF(G791&lt;AsOf,"",G791))</f>
        <v/>
      </c>
      <c r="M791" s="79">
        <f>IF(L791="","",IF(L791&lt;=AsOf+AlertDays,2,IF(L791&lt;=AsOf+90,3,"")))</f>
        <v/>
      </c>
      <c r="N791" s="79">
        <f>IF(M791="","","Warranty expires in "&amp;H791&amp;" days: "&amp;B791&amp;IF(C791="",""," ("&amp;C791&amp;")")&amp;" — check for defects")</f>
        <v/>
      </c>
      <c r="P791" s="72" t="n"/>
      <c r="Q791" s="72" t="n"/>
      <c r="R791" s="89" t="n"/>
      <c r="S791" s="109" t="n"/>
      <c r="T791" s="126">
        <f>IF(OR(R791="",S791=""),"",DATE(YEAR(S791),MONTH(S791)+R791,DAY(S791)))</f>
        <v/>
      </c>
      <c r="U791" s="144">
        <f>IF(T791="","",T791-AsOf)</f>
        <v/>
      </c>
      <c r="V791" s="107">
        <f>IF(T791="",IF(P791="","","Enter last-done date"),IF(U791&lt;0,"Overdue",IF(U791&lt;=30,"Due soon","OK")))</f>
        <v/>
      </c>
      <c r="W791" s="79">
        <f>IF(T791="","",IF(U791&lt;0,2,IF(U791&lt;=30,1,0)))</f>
        <v/>
      </c>
      <c r="X791" s="112">
        <f>IF(T791="","",T791)</f>
        <v/>
      </c>
      <c r="Y791" s="79">
        <f>IF(X791="","",IF(X791&lt;=AsOf+AlertDays,2,IF(X791&lt;=AsOf+30,3,"")))</f>
        <v/>
      </c>
      <c r="Z791" s="79">
        <f>IF(Y791="","",IF(U791&lt;0,"Maintenance overdue: ","Maintenance due: ")&amp;P791)</f>
        <v/>
      </c>
    </row>
    <row r="792" ht="20" customHeight="1">
      <c r="B792" s="72" t="n"/>
      <c r="C792" s="72" t="n"/>
      <c r="D792" s="72" t="n"/>
      <c r="E792" s="109" t="n"/>
      <c r="F792" s="74" t="n"/>
      <c r="G792" s="126">
        <f>IF(OR(E792="",F792=""),"",DATE(YEAR(E792),MONTH(E792)+ROUND(F792*12,0),DAY(E792)))</f>
        <v/>
      </c>
      <c r="H792" s="144">
        <f>IF(G792="","",G792-AsOf)</f>
        <v/>
      </c>
      <c r="I792" s="107">
        <f>IF(G792="","",IF(H792&lt;0,"Expired",IF(H792&lt;=90,"Expires soon","Active")))</f>
        <v/>
      </c>
      <c r="J792" s="72" t="n"/>
      <c r="K792" s="79">
        <f>IF(I792="","",IF(I792="Active",0,IF(I792="Expires soon",1,3)))</f>
        <v/>
      </c>
      <c r="L792" s="112">
        <f>IF(G792="","",IF(G792&lt;AsOf,"",G792))</f>
        <v/>
      </c>
      <c r="M792" s="79">
        <f>IF(L792="","",IF(L792&lt;=AsOf+AlertDays,2,IF(L792&lt;=AsOf+90,3,"")))</f>
        <v/>
      </c>
      <c r="N792" s="79">
        <f>IF(M792="","","Warranty expires in "&amp;H792&amp;" days: "&amp;B792&amp;IF(C792="",""," ("&amp;C792&amp;")")&amp;" — check for defects")</f>
        <v/>
      </c>
      <c r="P792" s="72" t="n"/>
      <c r="Q792" s="72" t="n"/>
      <c r="R792" s="89" t="n"/>
      <c r="S792" s="109" t="n"/>
      <c r="T792" s="126">
        <f>IF(OR(R792="",S792=""),"",DATE(YEAR(S792),MONTH(S792)+R792,DAY(S792)))</f>
        <v/>
      </c>
      <c r="U792" s="144">
        <f>IF(T792="","",T792-AsOf)</f>
        <v/>
      </c>
      <c r="V792" s="107">
        <f>IF(T792="",IF(P792="","","Enter last-done date"),IF(U792&lt;0,"Overdue",IF(U792&lt;=30,"Due soon","OK")))</f>
        <v/>
      </c>
      <c r="W792" s="79">
        <f>IF(T792="","",IF(U792&lt;0,2,IF(U792&lt;=30,1,0)))</f>
        <v/>
      </c>
      <c r="X792" s="112">
        <f>IF(T792="","",T792)</f>
        <v/>
      </c>
      <c r="Y792" s="79">
        <f>IF(X792="","",IF(X792&lt;=AsOf+AlertDays,2,IF(X792&lt;=AsOf+30,3,"")))</f>
        <v/>
      </c>
      <c r="Z792" s="79">
        <f>IF(Y792="","",IF(U792&lt;0,"Maintenance overdue: ","Maintenance due: ")&amp;P792)</f>
        <v/>
      </c>
    </row>
    <row r="793" ht="20" customHeight="1">
      <c r="B793" s="72" t="n"/>
      <c r="C793" s="72" t="n"/>
      <c r="D793" s="72" t="n"/>
      <c r="E793" s="109" t="n"/>
      <c r="F793" s="74" t="n"/>
      <c r="G793" s="126">
        <f>IF(OR(E793="",F793=""),"",DATE(YEAR(E793),MONTH(E793)+ROUND(F793*12,0),DAY(E793)))</f>
        <v/>
      </c>
      <c r="H793" s="144">
        <f>IF(G793="","",G793-AsOf)</f>
        <v/>
      </c>
      <c r="I793" s="107">
        <f>IF(G793="","",IF(H793&lt;0,"Expired",IF(H793&lt;=90,"Expires soon","Active")))</f>
        <v/>
      </c>
      <c r="J793" s="72" t="n"/>
      <c r="K793" s="79">
        <f>IF(I793="","",IF(I793="Active",0,IF(I793="Expires soon",1,3)))</f>
        <v/>
      </c>
      <c r="L793" s="112">
        <f>IF(G793="","",IF(G793&lt;AsOf,"",G793))</f>
        <v/>
      </c>
      <c r="M793" s="79">
        <f>IF(L793="","",IF(L793&lt;=AsOf+AlertDays,2,IF(L793&lt;=AsOf+90,3,"")))</f>
        <v/>
      </c>
      <c r="N793" s="79">
        <f>IF(M793="","","Warranty expires in "&amp;H793&amp;" days: "&amp;B793&amp;IF(C793="",""," ("&amp;C793&amp;")")&amp;" — check for defects")</f>
        <v/>
      </c>
      <c r="P793" s="72" t="n"/>
      <c r="Q793" s="72" t="n"/>
      <c r="R793" s="89" t="n"/>
      <c r="S793" s="109" t="n"/>
      <c r="T793" s="126">
        <f>IF(OR(R793="",S793=""),"",DATE(YEAR(S793),MONTH(S793)+R793,DAY(S793)))</f>
        <v/>
      </c>
      <c r="U793" s="144">
        <f>IF(T793="","",T793-AsOf)</f>
        <v/>
      </c>
      <c r="V793" s="107">
        <f>IF(T793="",IF(P793="","","Enter last-done date"),IF(U793&lt;0,"Overdue",IF(U793&lt;=30,"Due soon","OK")))</f>
        <v/>
      </c>
      <c r="W793" s="79">
        <f>IF(T793="","",IF(U793&lt;0,2,IF(U793&lt;=30,1,0)))</f>
        <v/>
      </c>
      <c r="X793" s="112">
        <f>IF(T793="","",T793)</f>
        <v/>
      </c>
      <c r="Y793" s="79">
        <f>IF(X793="","",IF(X793&lt;=AsOf+AlertDays,2,IF(X793&lt;=AsOf+30,3,"")))</f>
        <v/>
      </c>
      <c r="Z793" s="79">
        <f>IF(Y793="","",IF(U793&lt;0,"Maintenance overdue: ","Maintenance due: ")&amp;P793)</f>
        <v/>
      </c>
    </row>
    <row r="794" ht="20" customHeight="1">
      <c r="B794" s="72" t="n"/>
      <c r="C794" s="72" t="n"/>
      <c r="D794" s="72" t="n"/>
      <c r="E794" s="109" t="n"/>
      <c r="F794" s="74" t="n"/>
      <c r="G794" s="126">
        <f>IF(OR(E794="",F794=""),"",DATE(YEAR(E794),MONTH(E794)+ROUND(F794*12,0),DAY(E794)))</f>
        <v/>
      </c>
      <c r="H794" s="144">
        <f>IF(G794="","",G794-AsOf)</f>
        <v/>
      </c>
      <c r="I794" s="107">
        <f>IF(G794="","",IF(H794&lt;0,"Expired",IF(H794&lt;=90,"Expires soon","Active")))</f>
        <v/>
      </c>
      <c r="J794" s="72" t="n"/>
      <c r="K794" s="79">
        <f>IF(I794="","",IF(I794="Active",0,IF(I794="Expires soon",1,3)))</f>
        <v/>
      </c>
      <c r="L794" s="112">
        <f>IF(G794="","",IF(G794&lt;AsOf,"",G794))</f>
        <v/>
      </c>
      <c r="M794" s="79">
        <f>IF(L794="","",IF(L794&lt;=AsOf+AlertDays,2,IF(L794&lt;=AsOf+90,3,"")))</f>
        <v/>
      </c>
      <c r="N794" s="79">
        <f>IF(M794="","","Warranty expires in "&amp;H794&amp;" days: "&amp;B794&amp;IF(C794="",""," ("&amp;C794&amp;")")&amp;" — check for defects")</f>
        <v/>
      </c>
      <c r="P794" s="72" t="n"/>
      <c r="Q794" s="72" t="n"/>
      <c r="R794" s="89" t="n"/>
      <c r="S794" s="109" t="n"/>
      <c r="T794" s="126">
        <f>IF(OR(R794="",S794=""),"",DATE(YEAR(S794),MONTH(S794)+R794,DAY(S794)))</f>
        <v/>
      </c>
      <c r="U794" s="144">
        <f>IF(T794="","",T794-AsOf)</f>
        <v/>
      </c>
      <c r="V794" s="107">
        <f>IF(T794="",IF(P794="","","Enter last-done date"),IF(U794&lt;0,"Overdue",IF(U794&lt;=30,"Due soon","OK")))</f>
        <v/>
      </c>
      <c r="W794" s="79">
        <f>IF(T794="","",IF(U794&lt;0,2,IF(U794&lt;=30,1,0)))</f>
        <v/>
      </c>
      <c r="X794" s="112">
        <f>IF(T794="","",T794)</f>
        <v/>
      </c>
      <c r="Y794" s="79">
        <f>IF(X794="","",IF(X794&lt;=AsOf+AlertDays,2,IF(X794&lt;=AsOf+30,3,"")))</f>
        <v/>
      </c>
      <c r="Z794" s="79">
        <f>IF(Y794="","",IF(U794&lt;0,"Maintenance overdue: ","Maintenance due: ")&amp;P794)</f>
        <v/>
      </c>
    </row>
    <row r="795" ht="20" customHeight="1">
      <c r="B795" s="72" t="n"/>
      <c r="C795" s="72" t="n"/>
      <c r="D795" s="72" t="n"/>
      <c r="E795" s="109" t="n"/>
      <c r="F795" s="74" t="n"/>
      <c r="G795" s="126">
        <f>IF(OR(E795="",F795=""),"",DATE(YEAR(E795),MONTH(E795)+ROUND(F795*12,0),DAY(E795)))</f>
        <v/>
      </c>
      <c r="H795" s="144">
        <f>IF(G795="","",G795-AsOf)</f>
        <v/>
      </c>
      <c r="I795" s="107">
        <f>IF(G795="","",IF(H795&lt;0,"Expired",IF(H795&lt;=90,"Expires soon","Active")))</f>
        <v/>
      </c>
      <c r="J795" s="72" t="n"/>
      <c r="K795" s="79">
        <f>IF(I795="","",IF(I795="Active",0,IF(I795="Expires soon",1,3)))</f>
        <v/>
      </c>
      <c r="L795" s="112">
        <f>IF(G795="","",IF(G795&lt;AsOf,"",G795))</f>
        <v/>
      </c>
      <c r="M795" s="79">
        <f>IF(L795="","",IF(L795&lt;=AsOf+AlertDays,2,IF(L795&lt;=AsOf+90,3,"")))</f>
        <v/>
      </c>
      <c r="N795" s="79">
        <f>IF(M795="","","Warranty expires in "&amp;H795&amp;" days: "&amp;B795&amp;IF(C795="",""," ("&amp;C795&amp;")")&amp;" — check for defects")</f>
        <v/>
      </c>
      <c r="P795" s="72" t="n"/>
      <c r="Q795" s="72" t="n"/>
      <c r="R795" s="89" t="n"/>
      <c r="S795" s="109" t="n"/>
      <c r="T795" s="126">
        <f>IF(OR(R795="",S795=""),"",DATE(YEAR(S795),MONTH(S795)+R795,DAY(S795)))</f>
        <v/>
      </c>
      <c r="U795" s="144">
        <f>IF(T795="","",T795-AsOf)</f>
        <v/>
      </c>
      <c r="V795" s="107">
        <f>IF(T795="",IF(P795="","","Enter last-done date"),IF(U795&lt;0,"Overdue",IF(U795&lt;=30,"Due soon","OK")))</f>
        <v/>
      </c>
      <c r="W795" s="79">
        <f>IF(T795="","",IF(U795&lt;0,2,IF(U795&lt;=30,1,0)))</f>
        <v/>
      </c>
      <c r="X795" s="112">
        <f>IF(T795="","",T795)</f>
        <v/>
      </c>
      <c r="Y795" s="79">
        <f>IF(X795="","",IF(X795&lt;=AsOf+AlertDays,2,IF(X795&lt;=AsOf+30,3,"")))</f>
        <v/>
      </c>
      <c r="Z795" s="79">
        <f>IF(Y795="","",IF(U795&lt;0,"Maintenance overdue: ","Maintenance due: ")&amp;P795)</f>
        <v/>
      </c>
    </row>
    <row r="796" ht="20" customHeight="1">
      <c r="B796" s="72" t="n"/>
      <c r="C796" s="72" t="n"/>
      <c r="D796" s="72" t="n"/>
      <c r="E796" s="109" t="n"/>
      <c r="F796" s="74" t="n"/>
      <c r="G796" s="126">
        <f>IF(OR(E796="",F796=""),"",DATE(YEAR(E796),MONTH(E796)+ROUND(F796*12,0),DAY(E796)))</f>
        <v/>
      </c>
      <c r="H796" s="144">
        <f>IF(G796="","",G796-AsOf)</f>
        <v/>
      </c>
      <c r="I796" s="107">
        <f>IF(G796="","",IF(H796&lt;0,"Expired",IF(H796&lt;=90,"Expires soon","Active")))</f>
        <v/>
      </c>
      <c r="J796" s="72" t="n"/>
      <c r="K796" s="79">
        <f>IF(I796="","",IF(I796="Active",0,IF(I796="Expires soon",1,3)))</f>
        <v/>
      </c>
      <c r="L796" s="112">
        <f>IF(G796="","",IF(G796&lt;AsOf,"",G796))</f>
        <v/>
      </c>
      <c r="M796" s="79">
        <f>IF(L796="","",IF(L796&lt;=AsOf+AlertDays,2,IF(L796&lt;=AsOf+90,3,"")))</f>
        <v/>
      </c>
      <c r="N796" s="79">
        <f>IF(M796="","","Warranty expires in "&amp;H796&amp;" days: "&amp;B796&amp;IF(C796="",""," ("&amp;C796&amp;")")&amp;" — check for defects")</f>
        <v/>
      </c>
      <c r="P796" s="72" t="n"/>
      <c r="Q796" s="72" t="n"/>
      <c r="R796" s="89" t="n"/>
      <c r="S796" s="109" t="n"/>
      <c r="T796" s="126">
        <f>IF(OR(R796="",S796=""),"",DATE(YEAR(S796),MONTH(S796)+R796,DAY(S796)))</f>
        <v/>
      </c>
      <c r="U796" s="144">
        <f>IF(T796="","",T796-AsOf)</f>
        <v/>
      </c>
      <c r="V796" s="107">
        <f>IF(T796="",IF(P796="","","Enter last-done date"),IF(U796&lt;0,"Overdue",IF(U796&lt;=30,"Due soon","OK")))</f>
        <v/>
      </c>
      <c r="W796" s="79">
        <f>IF(T796="","",IF(U796&lt;0,2,IF(U796&lt;=30,1,0)))</f>
        <v/>
      </c>
      <c r="X796" s="112">
        <f>IF(T796="","",T796)</f>
        <v/>
      </c>
      <c r="Y796" s="79">
        <f>IF(X796="","",IF(X796&lt;=AsOf+AlertDays,2,IF(X796&lt;=AsOf+30,3,"")))</f>
        <v/>
      </c>
      <c r="Z796" s="79">
        <f>IF(Y796="","",IF(U796&lt;0,"Maintenance overdue: ","Maintenance due: ")&amp;P796)</f>
        <v/>
      </c>
    </row>
    <row r="797" ht="20" customHeight="1">
      <c r="B797" s="72" t="n"/>
      <c r="C797" s="72" t="n"/>
      <c r="D797" s="72" t="n"/>
      <c r="E797" s="109" t="n"/>
      <c r="F797" s="74" t="n"/>
      <c r="G797" s="126">
        <f>IF(OR(E797="",F797=""),"",DATE(YEAR(E797),MONTH(E797)+ROUND(F797*12,0),DAY(E797)))</f>
        <v/>
      </c>
      <c r="H797" s="144">
        <f>IF(G797="","",G797-AsOf)</f>
        <v/>
      </c>
      <c r="I797" s="107">
        <f>IF(G797="","",IF(H797&lt;0,"Expired",IF(H797&lt;=90,"Expires soon","Active")))</f>
        <v/>
      </c>
      <c r="J797" s="72" t="n"/>
      <c r="K797" s="79">
        <f>IF(I797="","",IF(I797="Active",0,IF(I797="Expires soon",1,3)))</f>
        <v/>
      </c>
      <c r="L797" s="112">
        <f>IF(G797="","",IF(G797&lt;AsOf,"",G797))</f>
        <v/>
      </c>
      <c r="M797" s="79">
        <f>IF(L797="","",IF(L797&lt;=AsOf+AlertDays,2,IF(L797&lt;=AsOf+90,3,"")))</f>
        <v/>
      </c>
      <c r="N797" s="79">
        <f>IF(M797="","","Warranty expires in "&amp;H797&amp;" days: "&amp;B797&amp;IF(C797="",""," ("&amp;C797&amp;")")&amp;" — check for defects")</f>
        <v/>
      </c>
      <c r="P797" s="72" t="n"/>
      <c r="Q797" s="72" t="n"/>
      <c r="R797" s="89" t="n"/>
      <c r="S797" s="109" t="n"/>
      <c r="T797" s="126">
        <f>IF(OR(R797="",S797=""),"",DATE(YEAR(S797),MONTH(S797)+R797,DAY(S797)))</f>
        <v/>
      </c>
      <c r="U797" s="144">
        <f>IF(T797="","",T797-AsOf)</f>
        <v/>
      </c>
      <c r="V797" s="107">
        <f>IF(T797="",IF(P797="","","Enter last-done date"),IF(U797&lt;0,"Overdue",IF(U797&lt;=30,"Due soon","OK")))</f>
        <v/>
      </c>
      <c r="W797" s="79">
        <f>IF(T797="","",IF(U797&lt;0,2,IF(U797&lt;=30,1,0)))</f>
        <v/>
      </c>
      <c r="X797" s="112">
        <f>IF(T797="","",T797)</f>
        <v/>
      </c>
      <c r="Y797" s="79">
        <f>IF(X797="","",IF(X797&lt;=AsOf+AlertDays,2,IF(X797&lt;=AsOf+30,3,"")))</f>
        <v/>
      </c>
      <c r="Z797" s="79">
        <f>IF(Y797="","",IF(U797&lt;0,"Maintenance overdue: ","Maintenance due: ")&amp;P797)</f>
        <v/>
      </c>
    </row>
    <row r="798" ht="20" customHeight="1">
      <c r="B798" s="72" t="n"/>
      <c r="C798" s="72" t="n"/>
      <c r="D798" s="72" t="n"/>
      <c r="E798" s="109" t="n"/>
      <c r="F798" s="74" t="n"/>
      <c r="G798" s="126">
        <f>IF(OR(E798="",F798=""),"",DATE(YEAR(E798),MONTH(E798)+ROUND(F798*12,0),DAY(E798)))</f>
        <v/>
      </c>
      <c r="H798" s="144">
        <f>IF(G798="","",G798-AsOf)</f>
        <v/>
      </c>
      <c r="I798" s="107">
        <f>IF(G798="","",IF(H798&lt;0,"Expired",IF(H798&lt;=90,"Expires soon","Active")))</f>
        <v/>
      </c>
      <c r="J798" s="72" t="n"/>
      <c r="K798" s="79">
        <f>IF(I798="","",IF(I798="Active",0,IF(I798="Expires soon",1,3)))</f>
        <v/>
      </c>
      <c r="L798" s="112">
        <f>IF(G798="","",IF(G798&lt;AsOf,"",G798))</f>
        <v/>
      </c>
      <c r="M798" s="79">
        <f>IF(L798="","",IF(L798&lt;=AsOf+AlertDays,2,IF(L798&lt;=AsOf+90,3,"")))</f>
        <v/>
      </c>
      <c r="N798" s="79">
        <f>IF(M798="","","Warranty expires in "&amp;H798&amp;" days: "&amp;B798&amp;IF(C798="",""," ("&amp;C798&amp;")")&amp;" — check for defects")</f>
        <v/>
      </c>
      <c r="P798" s="72" t="n"/>
      <c r="Q798" s="72" t="n"/>
      <c r="R798" s="89" t="n"/>
      <c r="S798" s="109" t="n"/>
      <c r="T798" s="126">
        <f>IF(OR(R798="",S798=""),"",DATE(YEAR(S798),MONTH(S798)+R798,DAY(S798)))</f>
        <v/>
      </c>
      <c r="U798" s="144">
        <f>IF(T798="","",T798-AsOf)</f>
        <v/>
      </c>
      <c r="V798" s="107">
        <f>IF(T798="",IF(P798="","","Enter last-done date"),IF(U798&lt;0,"Overdue",IF(U798&lt;=30,"Due soon","OK")))</f>
        <v/>
      </c>
      <c r="W798" s="79">
        <f>IF(T798="","",IF(U798&lt;0,2,IF(U798&lt;=30,1,0)))</f>
        <v/>
      </c>
      <c r="X798" s="112">
        <f>IF(T798="","",T798)</f>
        <v/>
      </c>
      <c r="Y798" s="79">
        <f>IF(X798="","",IF(X798&lt;=AsOf+AlertDays,2,IF(X798&lt;=AsOf+30,3,"")))</f>
        <v/>
      </c>
      <c r="Z798" s="79">
        <f>IF(Y798="","",IF(U798&lt;0,"Maintenance overdue: ","Maintenance due: ")&amp;P798)</f>
        <v/>
      </c>
    </row>
    <row r="799" ht="20" customHeight="1">
      <c r="B799" s="72" t="n"/>
      <c r="C799" s="72" t="n"/>
      <c r="D799" s="72" t="n"/>
      <c r="E799" s="109" t="n"/>
      <c r="F799" s="74" t="n"/>
      <c r="G799" s="126">
        <f>IF(OR(E799="",F799=""),"",DATE(YEAR(E799),MONTH(E799)+ROUND(F799*12,0),DAY(E799)))</f>
        <v/>
      </c>
      <c r="H799" s="144">
        <f>IF(G799="","",G799-AsOf)</f>
        <v/>
      </c>
      <c r="I799" s="107">
        <f>IF(G799="","",IF(H799&lt;0,"Expired",IF(H799&lt;=90,"Expires soon","Active")))</f>
        <v/>
      </c>
      <c r="J799" s="72" t="n"/>
      <c r="K799" s="79">
        <f>IF(I799="","",IF(I799="Active",0,IF(I799="Expires soon",1,3)))</f>
        <v/>
      </c>
      <c r="L799" s="112">
        <f>IF(G799="","",IF(G799&lt;AsOf,"",G799))</f>
        <v/>
      </c>
      <c r="M799" s="79">
        <f>IF(L799="","",IF(L799&lt;=AsOf+AlertDays,2,IF(L799&lt;=AsOf+90,3,"")))</f>
        <v/>
      </c>
      <c r="N799" s="79">
        <f>IF(M799="","","Warranty expires in "&amp;H799&amp;" days: "&amp;B799&amp;IF(C799="",""," ("&amp;C799&amp;")")&amp;" — check for defects")</f>
        <v/>
      </c>
      <c r="P799" s="72" t="n"/>
      <c r="Q799" s="72" t="n"/>
      <c r="R799" s="89" t="n"/>
      <c r="S799" s="109" t="n"/>
      <c r="T799" s="126">
        <f>IF(OR(R799="",S799=""),"",DATE(YEAR(S799),MONTH(S799)+R799,DAY(S799)))</f>
        <v/>
      </c>
      <c r="U799" s="144">
        <f>IF(T799="","",T799-AsOf)</f>
        <v/>
      </c>
      <c r="V799" s="107">
        <f>IF(T799="",IF(P799="","","Enter last-done date"),IF(U799&lt;0,"Overdue",IF(U799&lt;=30,"Due soon","OK")))</f>
        <v/>
      </c>
      <c r="W799" s="79">
        <f>IF(T799="","",IF(U799&lt;0,2,IF(U799&lt;=30,1,0)))</f>
        <v/>
      </c>
      <c r="X799" s="112">
        <f>IF(T799="","",T799)</f>
        <v/>
      </c>
      <c r="Y799" s="79">
        <f>IF(X799="","",IF(X799&lt;=AsOf+AlertDays,2,IF(X799&lt;=AsOf+30,3,"")))</f>
        <v/>
      </c>
      <c r="Z799" s="79">
        <f>IF(Y799="","",IF(U799&lt;0,"Maintenance overdue: ","Maintenance due: ")&amp;P799)</f>
        <v/>
      </c>
    </row>
    <row r="800" ht="20" customHeight="1">
      <c r="B800" s="72" t="n"/>
      <c r="C800" s="72" t="n"/>
      <c r="D800" s="72" t="n"/>
      <c r="E800" s="109" t="n"/>
      <c r="F800" s="74" t="n"/>
      <c r="G800" s="126">
        <f>IF(OR(E800="",F800=""),"",DATE(YEAR(E800),MONTH(E800)+ROUND(F800*12,0),DAY(E800)))</f>
        <v/>
      </c>
      <c r="H800" s="144">
        <f>IF(G800="","",G800-AsOf)</f>
        <v/>
      </c>
      <c r="I800" s="107">
        <f>IF(G800="","",IF(H800&lt;0,"Expired",IF(H800&lt;=90,"Expires soon","Active")))</f>
        <v/>
      </c>
      <c r="J800" s="72" t="n"/>
      <c r="K800" s="79">
        <f>IF(I800="","",IF(I800="Active",0,IF(I800="Expires soon",1,3)))</f>
        <v/>
      </c>
      <c r="L800" s="112">
        <f>IF(G800="","",IF(G800&lt;AsOf,"",G800))</f>
        <v/>
      </c>
      <c r="M800" s="79">
        <f>IF(L800="","",IF(L800&lt;=AsOf+AlertDays,2,IF(L800&lt;=AsOf+90,3,"")))</f>
        <v/>
      </c>
      <c r="N800" s="79">
        <f>IF(M800="","","Warranty expires in "&amp;H800&amp;" days: "&amp;B800&amp;IF(C800="",""," ("&amp;C800&amp;")")&amp;" — check for defects")</f>
        <v/>
      </c>
      <c r="P800" s="72" t="n"/>
      <c r="Q800" s="72" t="n"/>
      <c r="R800" s="89" t="n"/>
      <c r="S800" s="109" t="n"/>
      <c r="T800" s="126">
        <f>IF(OR(R800="",S800=""),"",DATE(YEAR(S800),MONTH(S800)+R800,DAY(S800)))</f>
        <v/>
      </c>
      <c r="U800" s="144">
        <f>IF(T800="","",T800-AsOf)</f>
        <v/>
      </c>
      <c r="V800" s="107">
        <f>IF(T800="",IF(P800="","","Enter last-done date"),IF(U800&lt;0,"Overdue",IF(U800&lt;=30,"Due soon","OK")))</f>
        <v/>
      </c>
      <c r="W800" s="79">
        <f>IF(T800="","",IF(U800&lt;0,2,IF(U800&lt;=30,1,0)))</f>
        <v/>
      </c>
      <c r="X800" s="112">
        <f>IF(T800="","",T800)</f>
        <v/>
      </c>
      <c r="Y800" s="79">
        <f>IF(X800="","",IF(X800&lt;=AsOf+AlertDays,2,IF(X800&lt;=AsOf+30,3,"")))</f>
        <v/>
      </c>
      <c r="Z800" s="79">
        <f>IF(Y800="","",IF(U800&lt;0,"Maintenance overdue: ","Maintenance due: ")&amp;P800)</f>
        <v/>
      </c>
    </row>
    <row r="801" ht="20" customHeight="1">
      <c r="B801" s="72" t="n"/>
      <c r="C801" s="72" t="n"/>
      <c r="D801" s="72" t="n"/>
      <c r="E801" s="109" t="n"/>
      <c r="F801" s="74" t="n"/>
      <c r="G801" s="126">
        <f>IF(OR(E801="",F801=""),"",DATE(YEAR(E801),MONTH(E801)+ROUND(F801*12,0),DAY(E801)))</f>
        <v/>
      </c>
      <c r="H801" s="144">
        <f>IF(G801="","",G801-AsOf)</f>
        <v/>
      </c>
      <c r="I801" s="107">
        <f>IF(G801="","",IF(H801&lt;0,"Expired",IF(H801&lt;=90,"Expires soon","Active")))</f>
        <v/>
      </c>
      <c r="J801" s="72" t="n"/>
      <c r="K801" s="79">
        <f>IF(I801="","",IF(I801="Active",0,IF(I801="Expires soon",1,3)))</f>
        <v/>
      </c>
      <c r="L801" s="112">
        <f>IF(G801="","",IF(G801&lt;AsOf,"",G801))</f>
        <v/>
      </c>
      <c r="M801" s="79">
        <f>IF(L801="","",IF(L801&lt;=AsOf+AlertDays,2,IF(L801&lt;=AsOf+90,3,"")))</f>
        <v/>
      </c>
      <c r="N801" s="79">
        <f>IF(M801="","","Warranty expires in "&amp;H801&amp;" days: "&amp;B801&amp;IF(C801="",""," ("&amp;C801&amp;")")&amp;" — check for defects")</f>
        <v/>
      </c>
      <c r="P801" s="72" t="n"/>
      <c r="Q801" s="72" t="n"/>
      <c r="R801" s="89" t="n"/>
      <c r="S801" s="109" t="n"/>
      <c r="T801" s="126">
        <f>IF(OR(R801="",S801=""),"",DATE(YEAR(S801),MONTH(S801)+R801,DAY(S801)))</f>
        <v/>
      </c>
      <c r="U801" s="144">
        <f>IF(T801="","",T801-AsOf)</f>
        <v/>
      </c>
      <c r="V801" s="107">
        <f>IF(T801="",IF(P801="","","Enter last-done date"),IF(U801&lt;0,"Overdue",IF(U801&lt;=30,"Due soon","OK")))</f>
        <v/>
      </c>
      <c r="W801" s="79">
        <f>IF(T801="","",IF(U801&lt;0,2,IF(U801&lt;=30,1,0)))</f>
        <v/>
      </c>
      <c r="X801" s="112">
        <f>IF(T801="","",T801)</f>
        <v/>
      </c>
      <c r="Y801" s="79">
        <f>IF(X801="","",IF(X801&lt;=AsOf+AlertDays,2,IF(X801&lt;=AsOf+30,3,"")))</f>
        <v/>
      </c>
      <c r="Z801" s="79">
        <f>IF(Y801="","",IF(U801&lt;0,"Maintenance overdue: ","Maintenance due: ")&amp;P801)</f>
        <v/>
      </c>
    </row>
    <row r="802" ht="20" customHeight="1">
      <c r="B802" s="72" t="n"/>
      <c r="C802" s="72" t="n"/>
      <c r="D802" s="72" t="n"/>
      <c r="E802" s="109" t="n"/>
      <c r="F802" s="74" t="n"/>
      <c r="G802" s="126">
        <f>IF(OR(E802="",F802=""),"",DATE(YEAR(E802),MONTH(E802)+ROUND(F802*12,0),DAY(E802)))</f>
        <v/>
      </c>
      <c r="H802" s="144">
        <f>IF(G802="","",G802-AsOf)</f>
        <v/>
      </c>
      <c r="I802" s="107">
        <f>IF(G802="","",IF(H802&lt;0,"Expired",IF(H802&lt;=90,"Expires soon","Active")))</f>
        <v/>
      </c>
      <c r="J802" s="72" t="n"/>
      <c r="K802" s="79">
        <f>IF(I802="","",IF(I802="Active",0,IF(I802="Expires soon",1,3)))</f>
        <v/>
      </c>
      <c r="L802" s="112">
        <f>IF(G802="","",IF(G802&lt;AsOf,"",G802))</f>
        <v/>
      </c>
      <c r="M802" s="79">
        <f>IF(L802="","",IF(L802&lt;=AsOf+AlertDays,2,IF(L802&lt;=AsOf+90,3,"")))</f>
        <v/>
      </c>
      <c r="N802" s="79">
        <f>IF(M802="","","Warranty expires in "&amp;H802&amp;" days: "&amp;B802&amp;IF(C802="",""," ("&amp;C802&amp;")")&amp;" — check for defects")</f>
        <v/>
      </c>
      <c r="P802" s="72" t="n"/>
      <c r="Q802" s="72" t="n"/>
      <c r="R802" s="89" t="n"/>
      <c r="S802" s="109" t="n"/>
      <c r="T802" s="126">
        <f>IF(OR(R802="",S802=""),"",DATE(YEAR(S802),MONTH(S802)+R802,DAY(S802)))</f>
        <v/>
      </c>
      <c r="U802" s="144">
        <f>IF(T802="","",T802-AsOf)</f>
        <v/>
      </c>
      <c r="V802" s="107">
        <f>IF(T802="",IF(P802="","","Enter last-done date"),IF(U802&lt;0,"Overdue",IF(U802&lt;=30,"Due soon","OK")))</f>
        <v/>
      </c>
      <c r="W802" s="79">
        <f>IF(T802="","",IF(U802&lt;0,2,IF(U802&lt;=30,1,0)))</f>
        <v/>
      </c>
      <c r="X802" s="112">
        <f>IF(T802="","",T802)</f>
        <v/>
      </c>
      <c r="Y802" s="79">
        <f>IF(X802="","",IF(X802&lt;=AsOf+AlertDays,2,IF(X802&lt;=AsOf+30,3,"")))</f>
        <v/>
      </c>
      <c r="Z802" s="79">
        <f>IF(Y802="","",IF(U802&lt;0,"Maintenance overdue: ","Maintenance due: ")&amp;P802)</f>
        <v/>
      </c>
    </row>
    <row r="803" ht="20" customHeight="1">
      <c r="B803" s="72" t="n"/>
      <c r="C803" s="72" t="n"/>
      <c r="D803" s="72" t="n"/>
      <c r="E803" s="109" t="n"/>
      <c r="F803" s="74" t="n"/>
      <c r="G803" s="126">
        <f>IF(OR(E803="",F803=""),"",DATE(YEAR(E803),MONTH(E803)+ROUND(F803*12,0),DAY(E803)))</f>
        <v/>
      </c>
      <c r="H803" s="144">
        <f>IF(G803="","",G803-AsOf)</f>
        <v/>
      </c>
      <c r="I803" s="107">
        <f>IF(G803="","",IF(H803&lt;0,"Expired",IF(H803&lt;=90,"Expires soon","Active")))</f>
        <v/>
      </c>
      <c r="J803" s="72" t="n"/>
      <c r="K803" s="79">
        <f>IF(I803="","",IF(I803="Active",0,IF(I803="Expires soon",1,3)))</f>
        <v/>
      </c>
      <c r="L803" s="112">
        <f>IF(G803="","",IF(G803&lt;AsOf,"",G803))</f>
        <v/>
      </c>
      <c r="M803" s="79">
        <f>IF(L803="","",IF(L803&lt;=AsOf+AlertDays,2,IF(L803&lt;=AsOf+90,3,"")))</f>
        <v/>
      </c>
      <c r="N803" s="79">
        <f>IF(M803="","","Warranty expires in "&amp;H803&amp;" days: "&amp;B803&amp;IF(C803="",""," ("&amp;C803&amp;")")&amp;" — check for defects")</f>
        <v/>
      </c>
      <c r="P803" s="72" t="n"/>
      <c r="Q803" s="72" t="n"/>
      <c r="R803" s="89" t="n"/>
      <c r="S803" s="109" t="n"/>
      <c r="T803" s="126">
        <f>IF(OR(R803="",S803=""),"",DATE(YEAR(S803),MONTH(S803)+R803,DAY(S803)))</f>
        <v/>
      </c>
      <c r="U803" s="144">
        <f>IF(T803="","",T803-AsOf)</f>
        <v/>
      </c>
      <c r="V803" s="107">
        <f>IF(T803="",IF(P803="","","Enter last-done date"),IF(U803&lt;0,"Overdue",IF(U803&lt;=30,"Due soon","OK")))</f>
        <v/>
      </c>
      <c r="W803" s="79">
        <f>IF(T803="","",IF(U803&lt;0,2,IF(U803&lt;=30,1,0)))</f>
        <v/>
      </c>
      <c r="X803" s="112">
        <f>IF(T803="","",T803)</f>
        <v/>
      </c>
      <c r="Y803" s="79">
        <f>IF(X803="","",IF(X803&lt;=AsOf+AlertDays,2,IF(X803&lt;=AsOf+30,3,"")))</f>
        <v/>
      </c>
      <c r="Z803" s="79">
        <f>IF(Y803="","",IF(U803&lt;0,"Maintenance overdue: ","Maintenance due: ")&amp;P803)</f>
        <v/>
      </c>
    </row>
    <row r="804" ht="20" customHeight="1">
      <c r="B804" s="72" t="n"/>
      <c r="C804" s="72" t="n"/>
      <c r="D804" s="72" t="n"/>
      <c r="E804" s="109" t="n"/>
      <c r="F804" s="74" t="n"/>
      <c r="G804" s="126">
        <f>IF(OR(E804="",F804=""),"",DATE(YEAR(E804),MONTH(E804)+ROUND(F804*12,0),DAY(E804)))</f>
        <v/>
      </c>
      <c r="H804" s="144">
        <f>IF(G804="","",G804-AsOf)</f>
        <v/>
      </c>
      <c r="I804" s="107">
        <f>IF(G804="","",IF(H804&lt;0,"Expired",IF(H804&lt;=90,"Expires soon","Active")))</f>
        <v/>
      </c>
      <c r="J804" s="72" t="n"/>
      <c r="K804" s="79">
        <f>IF(I804="","",IF(I804="Active",0,IF(I804="Expires soon",1,3)))</f>
        <v/>
      </c>
      <c r="L804" s="112">
        <f>IF(G804="","",IF(G804&lt;AsOf,"",G804))</f>
        <v/>
      </c>
      <c r="M804" s="79">
        <f>IF(L804="","",IF(L804&lt;=AsOf+AlertDays,2,IF(L804&lt;=AsOf+90,3,"")))</f>
        <v/>
      </c>
      <c r="N804" s="79">
        <f>IF(M804="","","Warranty expires in "&amp;H804&amp;" days: "&amp;B804&amp;IF(C804="",""," ("&amp;C804&amp;")")&amp;" — check for defects")</f>
        <v/>
      </c>
      <c r="P804" s="72" t="n"/>
      <c r="Q804" s="72" t="n"/>
      <c r="R804" s="89" t="n"/>
      <c r="S804" s="109" t="n"/>
      <c r="T804" s="126">
        <f>IF(OR(R804="",S804=""),"",DATE(YEAR(S804),MONTH(S804)+R804,DAY(S804)))</f>
        <v/>
      </c>
      <c r="U804" s="144">
        <f>IF(T804="","",T804-AsOf)</f>
        <v/>
      </c>
      <c r="V804" s="107">
        <f>IF(T804="",IF(P804="","","Enter last-done date"),IF(U804&lt;0,"Overdue",IF(U804&lt;=30,"Due soon","OK")))</f>
        <v/>
      </c>
      <c r="W804" s="79">
        <f>IF(T804="","",IF(U804&lt;0,2,IF(U804&lt;=30,1,0)))</f>
        <v/>
      </c>
      <c r="X804" s="112">
        <f>IF(T804="","",T804)</f>
        <v/>
      </c>
      <c r="Y804" s="79">
        <f>IF(X804="","",IF(X804&lt;=AsOf+AlertDays,2,IF(X804&lt;=AsOf+30,3,"")))</f>
        <v/>
      </c>
      <c r="Z804" s="79">
        <f>IF(Y804="","",IF(U804&lt;0,"Maintenance overdue: ","Maintenance due: ")&amp;P804)</f>
        <v/>
      </c>
    </row>
    <row r="805" ht="20" customHeight="1">
      <c r="B805" s="72" t="n"/>
      <c r="C805" s="72" t="n"/>
      <c r="D805" s="72" t="n"/>
      <c r="E805" s="109" t="n"/>
      <c r="F805" s="74" t="n"/>
      <c r="G805" s="126">
        <f>IF(OR(E805="",F805=""),"",DATE(YEAR(E805),MONTH(E805)+ROUND(F805*12,0),DAY(E805)))</f>
        <v/>
      </c>
      <c r="H805" s="144">
        <f>IF(G805="","",G805-AsOf)</f>
        <v/>
      </c>
      <c r="I805" s="107">
        <f>IF(G805="","",IF(H805&lt;0,"Expired",IF(H805&lt;=90,"Expires soon","Active")))</f>
        <v/>
      </c>
      <c r="J805" s="72" t="n"/>
      <c r="K805" s="79">
        <f>IF(I805="","",IF(I805="Active",0,IF(I805="Expires soon",1,3)))</f>
        <v/>
      </c>
      <c r="L805" s="112">
        <f>IF(G805="","",IF(G805&lt;AsOf,"",G805))</f>
        <v/>
      </c>
      <c r="M805" s="79">
        <f>IF(L805="","",IF(L805&lt;=AsOf+AlertDays,2,IF(L805&lt;=AsOf+90,3,"")))</f>
        <v/>
      </c>
      <c r="N805" s="79">
        <f>IF(M805="","","Warranty expires in "&amp;H805&amp;" days: "&amp;B805&amp;IF(C805="",""," ("&amp;C805&amp;")")&amp;" — check for defects")</f>
        <v/>
      </c>
      <c r="P805" s="72" t="n"/>
      <c r="Q805" s="72" t="n"/>
      <c r="R805" s="89" t="n"/>
      <c r="S805" s="109" t="n"/>
      <c r="T805" s="126">
        <f>IF(OR(R805="",S805=""),"",DATE(YEAR(S805),MONTH(S805)+R805,DAY(S805)))</f>
        <v/>
      </c>
      <c r="U805" s="144">
        <f>IF(T805="","",T805-AsOf)</f>
        <v/>
      </c>
      <c r="V805" s="107">
        <f>IF(T805="",IF(P805="","","Enter last-done date"),IF(U805&lt;0,"Overdue",IF(U805&lt;=30,"Due soon","OK")))</f>
        <v/>
      </c>
      <c r="W805" s="79">
        <f>IF(T805="","",IF(U805&lt;0,2,IF(U805&lt;=30,1,0)))</f>
        <v/>
      </c>
      <c r="X805" s="112">
        <f>IF(T805="","",T805)</f>
        <v/>
      </c>
      <c r="Y805" s="79">
        <f>IF(X805="","",IF(X805&lt;=AsOf+AlertDays,2,IF(X805&lt;=AsOf+30,3,"")))</f>
        <v/>
      </c>
      <c r="Z805" s="79">
        <f>IF(Y805="","",IF(U805&lt;0,"Maintenance overdue: ","Maintenance due: ")&amp;P805)</f>
        <v/>
      </c>
    </row>
    <row r="806" ht="20" customHeight="1">
      <c r="B806" s="72" t="n"/>
      <c r="C806" s="72" t="n"/>
      <c r="D806" s="72" t="n"/>
      <c r="E806" s="109" t="n"/>
      <c r="F806" s="74" t="n"/>
      <c r="G806" s="126">
        <f>IF(OR(E806="",F806=""),"",DATE(YEAR(E806),MONTH(E806)+ROUND(F806*12,0),DAY(E806)))</f>
        <v/>
      </c>
      <c r="H806" s="144">
        <f>IF(G806="","",G806-AsOf)</f>
        <v/>
      </c>
      <c r="I806" s="107">
        <f>IF(G806="","",IF(H806&lt;0,"Expired",IF(H806&lt;=90,"Expires soon","Active")))</f>
        <v/>
      </c>
      <c r="J806" s="72" t="n"/>
      <c r="K806" s="79">
        <f>IF(I806="","",IF(I806="Active",0,IF(I806="Expires soon",1,3)))</f>
        <v/>
      </c>
      <c r="L806" s="112">
        <f>IF(G806="","",IF(G806&lt;AsOf,"",G806))</f>
        <v/>
      </c>
      <c r="M806" s="79">
        <f>IF(L806="","",IF(L806&lt;=AsOf+AlertDays,2,IF(L806&lt;=AsOf+90,3,"")))</f>
        <v/>
      </c>
      <c r="N806" s="79">
        <f>IF(M806="","","Warranty expires in "&amp;H806&amp;" days: "&amp;B806&amp;IF(C806="",""," ("&amp;C806&amp;")")&amp;" — check for defects")</f>
        <v/>
      </c>
      <c r="P806" s="72" t="n"/>
      <c r="Q806" s="72" t="n"/>
      <c r="R806" s="89" t="n"/>
      <c r="S806" s="109" t="n"/>
      <c r="T806" s="126">
        <f>IF(OR(R806="",S806=""),"",DATE(YEAR(S806),MONTH(S806)+R806,DAY(S806)))</f>
        <v/>
      </c>
      <c r="U806" s="144">
        <f>IF(T806="","",T806-AsOf)</f>
        <v/>
      </c>
      <c r="V806" s="107">
        <f>IF(T806="",IF(P806="","","Enter last-done date"),IF(U806&lt;0,"Overdue",IF(U806&lt;=30,"Due soon","OK")))</f>
        <v/>
      </c>
      <c r="W806" s="79">
        <f>IF(T806="","",IF(U806&lt;0,2,IF(U806&lt;=30,1,0)))</f>
        <v/>
      </c>
      <c r="X806" s="112">
        <f>IF(T806="","",T806)</f>
        <v/>
      </c>
      <c r="Y806" s="79">
        <f>IF(X806="","",IF(X806&lt;=AsOf+AlertDays,2,IF(X806&lt;=AsOf+30,3,"")))</f>
        <v/>
      </c>
      <c r="Z806" s="79">
        <f>IF(Y806="","",IF(U806&lt;0,"Maintenance overdue: ","Maintenance due: ")&amp;P806)</f>
        <v/>
      </c>
    </row>
    <row r="807" ht="20" customHeight="1">
      <c r="B807" s="72" t="n"/>
      <c r="C807" s="72" t="n"/>
      <c r="D807" s="72" t="n"/>
      <c r="E807" s="109" t="n"/>
      <c r="F807" s="74" t="n"/>
      <c r="G807" s="126">
        <f>IF(OR(E807="",F807=""),"",DATE(YEAR(E807),MONTH(E807)+ROUND(F807*12,0),DAY(E807)))</f>
        <v/>
      </c>
      <c r="H807" s="144">
        <f>IF(G807="","",G807-AsOf)</f>
        <v/>
      </c>
      <c r="I807" s="107">
        <f>IF(G807="","",IF(H807&lt;0,"Expired",IF(H807&lt;=90,"Expires soon","Active")))</f>
        <v/>
      </c>
      <c r="J807" s="72" t="n"/>
      <c r="K807" s="79">
        <f>IF(I807="","",IF(I807="Active",0,IF(I807="Expires soon",1,3)))</f>
        <v/>
      </c>
      <c r="L807" s="112">
        <f>IF(G807="","",IF(G807&lt;AsOf,"",G807))</f>
        <v/>
      </c>
      <c r="M807" s="79">
        <f>IF(L807="","",IF(L807&lt;=AsOf+AlertDays,2,IF(L807&lt;=AsOf+90,3,"")))</f>
        <v/>
      </c>
      <c r="N807" s="79">
        <f>IF(M807="","","Warranty expires in "&amp;H807&amp;" days: "&amp;B807&amp;IF(C807="",""," ("&amp;C807&amp;")")&amp;" — check for defects")</f>
        <v/>
      </c>
      <c r="P807" s="72" t="n"/>
      <c r="Q807" s="72" t="n"/>
      <c r="R807" s="89" t="n"/>
      <c r="S807" s="109" t="n"/>
      <c r="T807" s="126">
        <f>IF(OR(R807="",S807=""),"",DATE(YEAR(S807),MONTH(S807)+R807,DAY(S807)))</f>
        <v/>
      </c>
      <c r="U807" s="144">
        <f>IF(T807="","",T807-AsOf)</f>
        <v/>
      </c>
      <c r="V807" s="107">
        <f>IF(T807="",IF(P807="","","Enter last-done date"),IF(U807&lt;0,"Overdue",IF(U807&lt;=30,"Due soon","OK")))</f>
        <v/>
      </c>
      <c r="W807" s="79">
        <f>IF(T807="","",IF(U807&lt;0,2,IF(U807&lt;=30,1,0)))</f>
        <v/>
      </c>
      <c r="X807" s="112">
        <f>IF(T807="","",T807)</f>
        <v/>
      </c>
      <c r="Y807" s="79">
        <f>IF(X807="","",IF(X807&lt;=AsOf+AlertDays,2,IF(X807&lt;=AsOf+30,3,"")))</f>
        <v/>
      </c>
      <c r="Z807" s="79">
        <f>IF(Y807="","",IF(U807&lt;0,"Maintenance overdue: ","Maintenance due: ")&amp;P807)</f>
        <v/>
      </c>
    </row>
    <row r="808" ht="20" customHeight="1">
      <c r="B808" s="72" t="n"/>
      <c r="C808" s="72" t="n"/>
      <c r="D808" s="72" t="n"/>
      <c r="E808" s="109" t="n"/>
      <c r="F808" s="74" t="n"/>
      <c r="G808" s="126">
        <f>IF(OR(E808="",F808=""),"",DATE(YEAR(E808),MONTH(E808)+ROUND(F808*12,0),DAY(E808)))</f>
        <v/>
      </c>
      <c r="H808" s="144">
        <f>IF(G808="","",G808-AsOf)</f>
        <v/>
      </c>
      <c r="I808" s="107">
        <f>IF(G808="","",IF(H808&lt;0,"Expired",IF(H808&lt;=90,"Expires soon","Active")))</f>
        <v/>
      </c>
      <c r="J808" s="72" t="n"/>
      <c r="K808" s="79">
        <f>IF(I808="","",IF(I808="Active",0,IF(I808="Expires soon",1,3)))</f>
        <v/>
      </c>
      <c r="L808" s="112">
        <f>IF(G808="","",IF(G808&lt;AsOf,"",G808))</f>
        <v/>
      </c>
      <c r="M808" s="79">
        <f>IF(L808="","",IF(L808&lt;=AsOf+AlertDays,2,IF(L808&lt;=AsOf+90,3,"")))</f>
        <v/>
      </c>
      <c r="N808" s="79">
        <f>IF(M808="","","Warranty expires in "&amp;H808&amp;" days: "&amp;B808&amp;IF(C808="",""," ("&amp;C808&amp;")")&amp;" — check for defects")</f>
        <v/>
      </c>
      <c r="P808" s="72" t="n"/>
      <c r="Q808" s="72" t="n"/>
      <c r="R808" s="89" t="n"/>
      <c r="S808" s="109" t="n"/>
      <c r="T808" s="126">
        <f>IF(OR(R808="",S808=""),"",DATE(YEAR(S808),MONTH(S808)+R808,DAY(S808)))</f>
        <v/>
      </c>
      <c r="U808" s="144">
        <f>IF(T808="","",T808-AsOf)</f>
        <v/>
      </c>
      <c r="V808" s="107">
        <f>IF(T808="",IF(P808="","","Enter last-done date"),IF(U808&lt;0,"Overdue",IF(U808&lt;=30,"Due soon","OK")))</f>
        <v/>
      </c>
      <c r="W808" s="79">
        <f>IF(T808="","",IF(U808&lt;0,2,IF(U808&lt;=30,1,0)))</f>
        <v/>
      </c>
      <c r="X808" s="112">
        <f>IF(T808="","",T808)</f>
        <v/>
      </c>
      <c r="Y808" s="79">
        <f>IF(X808="","",IF(X808&lt;=AsOf+AlertDays,2,IF(X808&lt;=AsOf+30,3,"")))</f>
        <v/>
      </c>
      <c r="Z808" s="79">
        <f>IF(Y808="","",IF(U808&lt;0,"Maintenance overdue: ","Maintenance due: ")&amp;P808)</f>
        <v/>
      </c>
    </row>
    <row r="809" ht="20" customHeight="1">
      <c r="B809" s="72" t="n"/>
      <c r="C809" s="72" t="n"/>
      <c r="D809" s="72" t="n"/>
      <c r="E809" s="109" t="n"/>
      <c r="F809" s="74" t="n"/>
      <c r="G809" s="126">
        <f>IF(OR(E809="",F809=""),"",DATE(YEAR(E809),MONTH(E809)+ROUND(F809*12,0),DAY(E809)))</f>
        <v/>
      </c>
      <c r="H809" s="144">
        <f>IF(G809="","",G809-AsOf)</f>
        <v/>
      </c>
      <c r="I809" s="107">
        <f>IF(G809="","",IF(H809&lt;0,"Expired",IF(H809&lt;=90,"Expires soon","Active")))</f>
        <v/>
      </c>
      <c r="J809" s="72" t="n"/>
      <c r="K809" s="79">
        <f>IF(I809="","",IF(I809="Active",0,IF(I809="Expires soon",1,3)))</f>
        <v/>
      </c>
      <c r="L809" s="112">
        <f>IF(G809="","",IF(G809&lt;AsOf,"",G809))</f>
        <v/>
      </c>
      <c r="M809" s="79">
        <f>IF(L809="","",IF(L809&lt;=AsOf+AlertDays,2,IF(L809&lt;=AsOf+90,3,"")))</f>
        <v/>
      </c>
      <c r="N809" s="79">
        <f>IF(M809="","","Warranty expires in "&amp;H809&amp;" days: "&amp;B809&amp;IF(C809="",""," ("&amp;C809&amp;")")&amp;" — check for defects")</f>
        <v/>
      </c>
      <c r="P809" s="72" t="n"/>
      <c r="Q809" s="72" t="n"/>
      <c r="R809" s="89" t="n"/>
      <c r="S809" s="109" t="n"/>
      <c r="T809" s="126">
        <f>IF(OR(R809="",S809=""),"",DATE(YEAR(S809),MONTH(S809)+R809,DAY(S809)))</f>
        <v/>
      </c>
      <c r="U809" s="144">
        <f>IF(T809="","",T809-AsOf)</f>
        <v/>
      </c>
      <c r="V809" s="107">
        <f>IF(T809="",IF(P809="","","Enter last-done date"),IF(U809&lt;0,"Overdue",IF(U809&lt;=30,"Due soon","OK")))</f>
        <v/>
      </c>
      <c r="W809" s="79">
        <f>IF(T809="","",IF(U809&lt;0,2,IF(U809&lt;=30,1,0)))</f>
        <v/>
      </c>
      <c r="X809" s="112">
        <f>IF(T809="","",T809)</f>
        <v/>
      </c>
      <c r="Y809" s="79">
        <f>IF(X809="","",IF(X809&lt;=AsOf+AlertDays,2,IF(X809&lt;=AsOf+30,3,"")))</f>
        <v/>
      </c>
      <c r="Z809" s="79">
        <f>IF(Y809="","",IF(U809&lt;0,"Maintenance overdue: ","Maintenance due: ")&amp;P809)</f>
        <v/>
      </c>
    </row>
    <row r="810" ht="20" customHeight="1">
      <c r="B810" s="72" t="n"/>
      <c r="C810" s="72" t="n"/>
      <c r="D810" s="72" t="n"/>
      <c r="E810" s="109" t="n"/>
      <c r="F810" s="74" t="n"/>
      <c r="G810" s="126">
        <f>IF(OR(E810="",F810=""),"",DATE(YEAR(E810),MONTH(E810)+ROUND(F810*12,0),DAY(E810)))</f>
        <v/>
      </c>
      <c r="H810" s="144">
        <f>IF(G810="","",G810-AsOf)</f>
        <v/>
      </c>
      <c r="I810" s="107">
        <f>IF(G810="","",IF(H810&lt;0,"Expired",IF(H810&lt;=90,"Expires soon","Active")))</f>
        <v/>
      </c>
      <c r="J810" s="72" t="n"/>
      <c r="K810" s="79">
        <f>IF(I810="","",IF(I810="Active",0,IF(I810="Expires soon",1,3)))</f>
        <v/>
      </c>
      <c r="L810" s="112">
        <f>IF(G810="","",IF(G810&lt;AsOf,"",G810))</f>
        <v/>
      </c>
      <c r="M810" s="79">
        <f>IF(L810="","",IF(L810&lt;=AsOf+AlertDays,2,IF(L810&lt;=AsOf+90,3,"")))</f>
        <v/>
      </c>
      <c r="N810" s="79">
        <f>IF(M810="","","Warranty expires in "&amp;H810&amp;" days: "&amp;B810&amp;IF(C810="",""," ("&amp;C810&amp;")")&amp;" — check for defects")</f>
        <v/>
      </c>
      <c r="P810" s="72" t="n"/>
      <c r="Q810" s="72" t="n"/>
      <c r="R810" s="89" t="n"/>
      <c r="S810" s="109" t="n"/>
      <c r="T810" s="126">
        <f>IF(OR(R810="",S810=""),"",DATE(YEAR(S810),MONTH(S810)+R810,DAY(S810)))</f>
        <v/>
      </c>
      <c r="U810" s="144">
        <f>IF(T810="","",T810-AsOf)</f>
        <v/>
      </c>
      <c r="V810" s="107">
        <f>IF(T810="",IF(P810="","","Enter last-done date"),IF(U810&lt;0,"Overdue",IF(U810&lt;=30,"Due soon","OK")))</f>
        <v/>
      </c>
      <c r="W810" s="79">
        <f>IF(T810="","",IF(U810&lt;0,2,IF(U810&lt;=30,1,0)))</f>
        <v/>
      </c>
      <c r="X810" s="112">
        <f>IF(T810="","",T810)</f>
        <v/>
      </c>
      <c r="Y810" s="79">
        <f>IF(X810="","",IF(X810&lt;=AsOf+AlertDays,2,IF(X810&lt;=AsOf+30,3,"")))</f>
        <v/>
      </c>
      <c r="Z810" s="79">
        <f>IF(Y810="","",IF(U810&lt;0,"Maintenance overdue: ","Maintenance due: ")&amp;P810)</f>
        <v/>
      </c>
    </row>
    <row r="811" ht="20" customHeight="1">
      <c r="B811" s="72" t="n"/>
      <c r="C811" s="72" t="n"/>
      <c r="D811" s="72" t="n"/>
      <c r="E811" s="109" t="n"/>
      <c r="F811" s="74" t="n"/>
      <c r="G811" s="126">
        <f>IF(OR(E811="",F811=""),"",DATE(YEAR(E811),MONTH(E811)+ROUND(F811*12,0),DAY(E811)))</f>
        <v/>
      </c>
      <c r="H811" s="144">
        <f>IF(G811="","",G811-AsOf)</f>
        <v/>
      </c>
      <c r="I811" s="107">
        <f>IF(G811="","",IF(H811&lt;0,"Expired",IF(H811&lt;=90,"Expires soon","Active")))</f>
        <v/>
      </c>
      <c r="J811" s="72" t="n"/>
      <c r="K811" s="79">
        <f>IF(I811="","",IF(I811="Active",0,IF(I811="Expires soon",1,3)))</f>
        <v/>
      </c>
      <c r="L811" s="112">
        <f>IF(G811="","",IF(G811&lt;AsOf,"",G811))</f>
        <v/>
      </c>
      <c r="M811" s="79">
        <f>IF(L811="","",IF(L811&lt;=AsOf+AlertDays,2,IF(L811&lt;=AsOf+90,3,"")))</f>
        <v/>
      </c>
      <c r="N811" s="79">
        <f>IF(M811="","","Warranty expires in "&amp;H811&amp;" days: "&amp;B811&amp;IF(C811="",""," ("&amp;C811&amp;")")&amp;" — check for defects")</f>
        <v/>
      </c>
      <c r="P811" s="72" t="n"/>
      <c r="Q811" s="72" t="n"/>
      <c r="R811" s="89" t="n"/>
      <c r="S811" s="109" t="n"/>
      <c r="T811" s="126">
        <f>IF(OR(R811="",S811=""),"",DATE(YEAR(S811),MONTH(S811)+R811,DAY(S811)))</f>
        <v/>
      </c>
      <c r="U811" s="144">
        <f>IF(T811="","",T811-AsOf)</f>
        <v/>
      </c>
      <c r="V811" s="107">
        <f>IF(T811="",IF(P811="","","Enter last-done date"),IF(U811&lt;0,"Overdue",IF(U811&lt;=30,"Due soon","OK")))</f>
        <v/>
      </c>
      <c r="W811" s="79">
        <f>IF(T811="","",IF(U811&lt;0,2,IF(U811&lt;=30,1,0)))</f>
        <v/>
      </c>
      <c r="X811" s="112">
        <f>IF(T811="","",T811)</f>
        <v/>
      </c>
      <c r="Y811" s="79">
        <f>IF(X811="","",IF(X811&lt;=AsOf+AlertDays,2,IF(X811&lt;=AsOf+30,3,"")))</f>
        <v/>
      </c>
      <c r="Z811" s="79">
        <f>IF(Y811="","",IF(U811&lt;0,"Maintenance overdue: ","Maintenance due: ")&amp;P811)</f>
        <v/>
      </c>
    </row>
    <row r="812" ht="20" customHeight="1">
      <c r="B812" s="72" t="n"/>
      <c r="C812" s="72" t="n"/>
      <c r="D812" s="72" t="n"/>
      <c r="E812" s="109" t="n"/>
      <c r="F812" s="74" t="n"/>
      <c r="G812" s="126">
        <f>IF(OR(E812="",F812=""),"",DATE(YEAR(E812),MONTH(E812)+ROUND(F812*12,0),DAY(E812)))</f>
        <v/>
      </c>
      <c r="H812" s="144">
        <f>IF(G812="","",G812-AsOf)</f>
        <v/>
      </c>
      <c r="I812" s="107">
        <f>IF(G812="","",IF(H812&lt;0,"Expired",IF(H812&lt;=90,"Expires soon","Active")))</f>
        <v/>
      </c>
      <c r="J812" s="72" t="n"/>
      <c r="K812" s="79">
        <f>IF(I812="","",IF(I812="Active",0,IF(I812="Expires soon",1,3)))</f>
        <v/>
      </c>
      <c r="L812" s="112">
        <f>IF(G812="","",IF(G812&lt;AsOf,"",G812))</f>
        <v/>
      </c>
      <c r="M812" s="79">
        <f>IF(L812="","",IF(L812&lt;=AsOf+AlertDays,2,IF(L812&lt;=AsOf+90,3,"")))</f>
        <v/>
      </c>
      <c r="N812" s="79">
        <f>IF(M812="","","Warranty expires in "&amp;H812&amp;" days: "&amp;B812&amp;IF(C812="",""," ("&amp;C812&amp;")")&amp;" — check for defects")</f>
        <v/>
      </c>
      <c r="P812" s="72" t="n"/>
      <c r="Q812" s="72" t="n"/>
      <c r="R812" s="89" t="n"/>
      <c r="S812" s="109" t="n"/>
      <c r="T812" s="126">
        <f>IF(OR(R812="",S812=""),"",DATE(YEAR(S812),MONTH(S812)+R812,DAY(S812)))</f>
        <v/>
      </c>
      <c r="U812" s="144">
        <f>IF(T812="","",T812-AsOf)</f>
        <v/>
      </c>
      <c r="V812" s="107">
        <f>IF(T812="",IF(P812="","","Enter last-done date"),IF(U812&lt;0,"Overdue",IF(U812&lt;=30,"Due soon","OK")))</f>
        <v/>
      </c>
      <c r="W812" s="79">
        <f>IF(T812="","",IF(U812&lt;0,2,IF(U812&lt;=30,1,0)))</f>
        <v/>
      </c>
      <c r="X812" s="112">
        <f>IF(T812="","",T812)</f>
        <v/>
      </c>
      <c r="Y812" s="79">
        <f>IF(X812="","",IF(X812&lt;=AsOf+AlertDays,2,IF(X812&lt;=AsOf+30,3,"")))</f>
        <v/>
      </c>
      <c r="Z812" s="79">
        <f>IF(Y812="","",IF(U812&lt;0,"Maintenance overdue: ","Maintenance due: ")&amp;P812)</f>
        <v/>
      </c>
    </row>
    <row r="813" ht="20" customHeight="1">
      <c r="B813" s="72" t="n"/>
      <c r="C813" s="72" t="n"/>
      <c r="D813" s="72" t="n"/>
      <c r="E813" s="109" t="n"/>
      <c r="F813" s="74" t="n"/>
      <c r="G813" s="126">
        <f>IF(OR(E813="",F813=""),"",DATE(YEAR(E813),MONTH(E813)+ROUND(F813*12,0),DAY(E813)))</f>
        <v/>
      </c>
      <c r="H813" s="144">
        <f>IF(G813="","",G813-AsOf)</f>
        <v/>
      </c>
      <c r="I813" s="107">
        <f>IF(G813="","",IF(H813&lt;0,"Expired",IF(H813&lt;=90,"Expires soon","Active")))</f>
        <v/>
      </c>
      <c r="J813" s="72" t="n"/>
      <c r="K813" s="79">
        <f>IF(I813="","",IF(I813="Active",0,IF(I813="Expires soon",1,3)))</f>
        <v/>
      </c>
      <c r="L813" s="112">
        <f>IF(G813="","",IF(G813&lt;AsOf,"",G813))</f>
        <v/>
      </c>
      <c r="M813" s="79">
        <f>IF(L813="","",IF(L813&lt;=AsOf+AlertDays,2,IF(L813&lt;=AsOf+90,3,"")))</f>
        <v/>
      </c>
      <c r="N813" s="79">
        <f>IF(M813="","","Warranty expires in "&amp;H813&amp;" days: "&amp;B813&amp;IF(C813="",""," ("&amp;C813&amp;")")&amp;" — check for defects")</f>
        <v/>
      </c>
      <c r="P813" s="72" t="n"/>
      <c r="Q813" s="72" t="n"/>
      <c r="R813" s="89" t="n"/>
      <c r="S813" s="109" t="n"/>
      <c r="T813" s="126">
        <f>IF(OR(R813="",S813=""),"",DATE(YEAR(S813),MONTH(S813)+R813,DAY(S813)))</f>
        <v/>
      </c>
      <c r="U813" s="144">
        <f>IF(T813="","",T813-AsOf)</f>
        <v/>
      </c>
      <c r="V813" s="107">
        <f>IF(T813="",IF(P813="","","Enter last-done date"),IF(U813&lt;0,"Overdue",IF(U813&lt;=30,"Due soon","OK")))</f>
        <v/>
      </c>
      <c r="W813" s="79">
        <f>IF(T813="","",IF(U813&lt;0,2,IF(U813&lt;=30,1,0)))</f>
        <v/>
      </c>
      <c r="X813" s="112">
        <f>IF(T813="","",T813)</f>
        <v/>
      </c>
      <c r="Y813" s="79">
        <f>IF(X813="","",IF(X813&lt;=AsOf+AlertDays,2,IF(X813&lt;=AsOf+30,3,"")))</f>
        <v/>
      </c>
      <c r="Z813" s="79">
        <f>IF(Y813="","",IF(U813&lt;0,"Maintenance overdue: ","Maintenance due: ")&amp;P813)</f>
        <v/>
      </c>
    </row>
    <row r="814" ht="20" customHeight="1">
      <c r="B814" s="72" t="n"/>
      <c r="C814" s="72" t="n"/>
      <c r="D814" s="72" t="n"/>
      <c r="E814" s="109" t="n"/>
      <c r="F814" s="74" t="n"/>
      <c r="G814" s="126">
        <f>IF(OR(E814="",F814=""),"",DATE(YEAR(E814),MONTH(E814)+ROUND(F814*12,0),DAY(E814)))</f>
        <v/>
      </c>
      <c r="H814" s="144">
        <f>IF(G814="","",G814-AsOf)</f>
        <v/>
      </c>
      <c r="I814" s="107">
        <f>IF(G814="","",IF(H814&lt;0,"Expired",IF(H814&lt;=90,"Expires soon","Active")))</f>
        <v/>
      </c>
      <c r="J814" s="72" t="n"/>
      <c r="K814" s="79">
        <f>IF(I814="","",IF(I814="Active",0,IF(I814="Expires soon",1,3)))</f>
        <v/>
      </c>
      <c r="L814" s="112">
        <f>IF(G814="","",IF(G814&lt;AsOf,"",G814))</f>
        <v/>
      </c>
      <c r="M814" s="79">
        <f>IF(L814="","",IF(L814&lt;=AsOf+AlertDays,2,IF(L814&lt;=AsOf+90,3,"")))</f>
        <v/>
      </c>
      <c r="N814" s="79">
        <f>IF(M814="","","Warranty expires in "&amp;H814&amp;" days: "&amp;B814&amp;IF(C814="",""," ("&amp;C814&amp;")")&amp;" — check for defects")</f>
        <v/>
      </c>
      <c r="P814" s="72" t="n"/>
      <c r="Q814" s="72" t="n"/>
      <c r="R814" s="89" t="n"/>
      <c r="S814" s="109" t="n"/>
      <c r="T814" s="126">
        <f>IF(OR(R814="",S814=""),"",DATE(YEAR(S814),MONTH(S814)+R814,DAY(S814)))</f>
        <v/>
      </c>
      <c r="U814" s="144">
        <f>IF(T814="","",T814-AsOf)</f>
        <v/>
      </c>
      <c r="V814" s="107">
        <f>IF(T814="",IF(P814="","","Enter last-done date"),IF(U814&lt;0,"Overdue",IF(U814&lt;=30,"Due soon","OK")))</f>
        <v/>
      </c>
      <c r="W814" s="79">
        <f>IF(T814="","",IF(U814&lt;0,2,IF(U814&lt;=30,1,0)))</f>
        <v/>
      </c>
      <c r="X814" s="112">
        <f>IF(T814="","",T814)</f>
        <v/>
      </c>
      <c r="Y814" s="79">
        <f>IF(X814="","",IF(X814&lt;=AsOf+AlertDays,2,IF(X814&lt;=AsOf+30,3,"")))</f>
        <v/>
      </c>
      <c r="Z814" s="79">
        <f>IF(Y814="","",IF(U814&lt;0,"Maintenance overdue: ","Maintenance due: ")&amp;P814)</f>
        <v/>
      </c>
    </row>
    <row r="815" ht="20" customHeight="1">
      <c r="B815" s="72" t="n"/>
      <c r="C815" s="72" t="n"/>
      <c r="D815" s="72" t="n"/>
      <c r="E815" s="109" t="n"/>
      <c r="F815" s="74" t="n"/>
      <c r="G815" s="126">
        <f>IF(OR(E815="",F815=""),"",DATE(YEAR(E815),MONTH(E815)+ROUND(F815*12,0),DAY(E815)))</f>
        <v/>
      </c>
      <c r="H815" s="144">
        <f>IF(G815="","",G815-AsOf)</f>
        <v/>
      </c>
      <c r="I815" s="107">
        <f>IF(G815="","",IF(H815&lt;0,"Expired",IF(H815&lt;=90,"Expires soon","Active")))</f>
        <v/>
      </c>
      <c r="J815" s="72" t="n"/>
      <c r="K815" s="79">
        <f>IF(I815="","",IF(I815="Active",0,IF(I815="Expires soon",1,3)))</f>
        <v/>
      </c>
      <c r="L815" s="112">
        <f>IF(G815="","",IF(G815&lt;AsOf,"",G815))</f>
        <v/>
      </c>
      <c r="M815" s="79">
        <f>IF(L815="","",IF(L815&lt;=AsOf+AlertDays,2,IF(L815&lt;=AsOf+90,3,"")))</f>
        <v/>
      </c>
      <c r="N815" s="79">
        <f>IF(M815="","","Warranty expires in "&amp;H815&amp;" days: "&amp;B815&amp;IF(C815="",""," ("&amp;C815&amp;")")&amp;" — check for defects")</f>
        <v/>
      </c>
      <c r="P815" s="72" t="n"/>
      <c r="Q815" s="72" t="n"/>
      <c r="R815" s="89" t="n"/>
      <c r="S815" s="109" t="n"/>
      <c r="T815" s="126">
        <f>IF(OR(R815="",S815=""),"",DATE(YEAR(S815),MONTH(S815)+R815,DAY(S815)))</f>
        <v/>
      </c>
      <c r="U815" s="144">
        <f>IF(T815="","",T815-AsOf)</f>
        <v/>
      </c>
      <c r="V815" s="107">
        <f>IF(T815="",IF(P815="","","Enter last-done date"),IF(U815&lt;0,"Overdue",IF(U815&lt;=30,"Due soon","OK")))</f>
        <v/>
      </c>
      <c r="W815" s="79">
        <f>IF(T815="","",IF(U815&lt;0,2,IF(U815&lt;=30,1,0)))</f>
        <v/>
      </c>
      <c r="X815" s="112">
        <f>IF(T815="","",T815)</f>
        <v/>
      </c>
      <c r="Y815" s="79">
        <f>IF(X815="","",IF(X815&lt;=AsOf+AlertDays,2,IF(X815&lt;=AsOf+30,3,"")))</f>
        <v/>
      </c>
      <c r="Z815" s="79">
        <f>IF(Y815="","",IF(U815&lt;0,"Maintenance overdue: ","Maintenance due: ")&amp;P815)</f>
        <v/>
      </c>
    </row>
    <row r="816" ht="20" customHeight="1">
      <c r="B816" s="72" t="n"/>
      <c r="C816" s="72" t="n"/>
      <c r="D816" s="72" t="n"/>
      <c r="E816" s="109" t="n"/>
      <c r="F816" s="74" t="n"/>
      <c r="G816" s="126">
        <f>IF(OR(E816="",F816=""),"",DATE(YEAR(E816),MONTH(E816)+ROUND(F816*12,0),DAY(E816)))</f>
        <v/>
      </c>
      <c r="H816" s="144">
        <f>IF(G816="","",G816-AsOf)</f>
        <v/>
      </c>
      <c r="I816" s="107">
        <f>IF(G816="","",IF(H816&lt;0,"Expired",IF(H816&lt;=90,"Expires soon","Active")))</f>
        <v/>
      </c>
      <c r="J816" s="72" t="n"/>
      <c r="K816" s="79">
        <f>IF(I816="","",IF(I816="Active",0,IF(I816="Expires soon",1,3)))</f>
        <v/>
      </c>
      <c r="L816" s="112">
        <f>IF(G816="","",IF(G816&lt;AsOf,"",G816))</f>
        <v/>
      </c>
      <c r="M816" s="79">
        <f>IF(L816="","",IF(L816&lt;=AsOf+AlertDays,2,IF(L816&lt;=AsOf+90,3,"")))</f>
        <v/>
      </c>
      <c r="N816" s="79">
        <f>IF(M816="","","Warranty expires in "&amp;H816&amp;" days: "&amp;B816&amp;IF(C816="",""," ("&amp;C816&amp;")")&amp;" — check for defects")</f>
        <v/>
      </c>
      <c r="P816" s="72" t="n"/>
      <c r="Q816" s="72" t="n"/>
      <c r="R816" s="89" t="n"/>
      <c r="S816" s="109" t="n"/>
      <c r="T816" s="126">
        <f>IF(OR(R816="",S816=""),"",DATE(YEAR(S816),MONTH(S816)+R816,DAY(S816)))</f>
        <v/>
      </c>
      <c r="U816" s="144">
        <f>IF(T816="","",T816-AsOf)</f>
        <v/>
      </c>
      <c r="V816" s="107">
        <f>IF(T816="",IF(P816="","","Enter last-done date"),IF(U816&lt;0,"Overdue",IF(U816&lt;=30,"Due soon","OK")))</f>
        <v/>
      </c>
      <c r="W816" s="79">
        <f>IF(T816="","",IF(U816&lt;0,2,IF(U816&lt;=30,1,0)))</f>
        <v/>
      </c>
      <c r="X816" s="112">
        <f>IF(T816="","",T816)</f>
        <v/>
      </c>
      <c r="Y816" s="79">
        <f>IF(X816="","",IF(X816&lt;=AsOf+AlertDays,2,IF(X816&lt;=AsOf+30,3,"")))</f>
        <v/>
      </c>
      <c r="Z816" s="79">
        <f>IF(Y816="","",IF(U816&lt;0,"Maintenance overdue: ","Maintenance due: ")&amp;P816)</f>
        <v/>
      </c>
    </row>
    <row r="817" ht="20" customHeight="1">
      <c r="B817" s="72" t="n"/>
      <c r="C817" s="72" t="n"/>
      <c r="D817" s="72" t="n"/>
      <c r="E817" s="109" t="n"/>
      <c r="F817" s="74" t="n"/>
      <c r="G817" s="126">
        <f>IF(OR(E817="",F817=""),"",DATE(YEAR(E817),MONTH(E817)+ROUND(F817*12,0),DAY(E817)))</f>
        <v/>
      </c>
      <c r="H817" s="144">
        <f>IF(G817="","",G817-AsOf)</f>
        <v/>
      </c>
      <c r="I817" s="107">
        <f>IF(G817="","",IF(H817&lt;0,"Expired",IF(H817&lt;=90,"Expires soon","Active")))</f>
        <v/>
      </c>
      <c r="J817" s="72" t="n"/>
      <c r="K817" s="79">
        <f>IF(I817="","",IF(I817="Active",0,IF(I817="Expires soon",1,3)))</f>
        <v/>
      </c>
      <c r="L817" s="112">
        <f>IF(G817="","",IF(G817&lt;AsOf,"",G817))</f>
        <v/>
      </c>
      <c r="M817" s="79">
        <f>IF(L817="","",IF(L817&lt;=AsOf+AlertDays,2,IF(L817&lt;=AsOf+90,3,"")))</f>
        <v/>
      </c>
      <c r="N817" s="79">
        <f>IF(M817="","","Warranty expires in "&amp;H817&amp;" days: "&amp;B817&amp;IF(C817="",""," ("&amp;C817&amp;")")&amp;" — check for defects")</f>
        <v/>
      </c>
      <c r="P817" s="72" t="n"/>
      <c r="Q817" s="72" t="n"/>
      <c r="R817" s="89" t="n"/>
      <c r="S817" s="109" t="n"/>
      <c r="T817" s="126">
        <f>IF(OR(R817="",S817=""),"",DATE(YEAR(S817),MONTH(S817)+R817,DAY(S817)))</f>
        <v/>
      </c>
      <c r="U817" s="144">
        <f>IF(T817="","",T817-AsOf)</f>
        <v/>
      </c>
      <c r="V817" s="107">
        <f>IF(T817="",IF(P817="","","Enter last-done date"),IF(U817&lt;0,"Overdue",IF(U817&lt;=30,"Due soon","OK")))</f>
        <v/>
      </c>
      <c r="W817" s="79">
        <f>IF(T817="","",IF(U817&lt;0,2,IF(U817&lt;=30,1,0)))</f>
        <v/>
      </c>
      <c r="X817" s="112">
        <f>IF(T817="","",T817)</f>
        <v/>
      </c>
      <c r="Y817" s="79">
        <f>IF(X817="","",IF(X817&lt;=AsOf+AlertDays,2,IF(X817&lt;=AsOf+30,3,"")))</f>
        <v/>
      </c>
      <c r="Z817" s="79">
        <f>IF(Y817="","",IF(U817&lt;0,"Maintenance overdue: ","Maintenance due: ")&amp;P817)</f>
        <v/>
      </c>
    </row>
    <row r="818" ht="20" customHeight="1">
      <c r="B818" s="72" t="n"/>
      <c r="C818" s="72" t="n"/>
      <c r="D818" s="72" t="n"/>
      <c r="E818" s="109" t="n"/>
      <c r="F818" s="74" t="n"/>
      <c r="G818" s="126">
        <f>IF(OR(E818="",F818=""),"",DATE(YEAR(E818),MONTH(E818)+ROUND(F818*12,0),DAY(E818)))</f>
        <v/>
      </c>
      <c r="H818" s="144">
        <f>IF(G818="","",G818-AsOf)</f>
        <v/>
      </c>
      <c r="I818" s="107">
        <f>IF(G818="","",IF(H818&lt;0,"Expired",IF(H818&lt;=90,"Expires soon","Active")))</f>
        <v/>
      </c>
      <c r="J818" s="72" t="n"/>
      <c r="K818" s="79">
        <f>IF(I818="","",IF(I818="Active",0,IF(I818="Expires soon",1,3)))</f>
        <v/>
      </c>
      <c r="L818" s="112">
        <f>IF(G818="","",IF(G818&lt;AsOf,"",G818))</f>
        <v/>
      </c>
      <c r="M818" s="79">
        <f>IF(L818="","",IF(L818&lt;=AsOf+AlertDays,2,IF(L818&lt;=AsOf+90,3,"")))</f>
        <v/>
      </c>
      <c r="N818" s="79">
        <f>IF(M818="","","Warranty expires in "&amp;H818&amp;" days: "&amp;B818&amp;IF(C818="",""," ("&amp;C818&amp;")")&amp;" — check for defects")</f>
        <v/>
      </c>
      <c r="P818" s="72" t="n"/>
      <c r="Q818" s="72" t="n"/>
      <c r="R818" s="89" t="n"/>
      <c r="S818" s="109" t="n"/>
      <c r="T818" s="126">
        <f>IF(OR(R818="",S818=""),"",DATE(YEAR(S818),MONTH(S818)+R818,DAY(S818)))</f>
        <v/>
      </c>
      <c r="U818" s="144">
        <f>IF(T818="","",T818-AsOf)</f>
        <v/>
      </c>
      <c r="V818" s="107">
        <f>IF(T818="",IF(P818="","","Enter last-done date"),IF(U818&lt;0,"Overdue",IF(U818&lt;=30,"Due soon","OK")))</f>
        <v/>
      </c>
      <c r="W818" s="79">
        <f>IF(T818="","",IF(U818&lt;0,2,IF(U818&lt;=30,1,0)))</f>
        <v/>
      </c>
      <c r="X818" s="112">
        <f>IF(T818="","",T818)</f>
        <v/>
      </c>
      <c r="Y818" s="79">
        <f>IF(X818="","",IF(X818&lt;=AsOf+AlertDays,2,IF(X818&lt;=AsOf+30,3,"")))</f>
        <v/>
      </c>
      <c r="Z818" s="79">
        <f>IF(Y818="","",IF(U818&lt;0,"Maintenance overdue: ","Maintenance due: ")&amp;P818)</f>
        <v/>
      </c>
    </row>
    <row r="819" ht="20" customHeight="1">
      <c r="B819" s="72" t="n"/>
      <c r="C819" s="72" t="n"/>
      <c r="D819" s="72" t="n"/>
      <c r="E819" s="109" t="n"/>
      <c r="F819" s="74" t="n"/>
      <c r="G819" s="126">
        <f>IF(OR(E819="",F819=""),"",DATE(YEAR(E819),MONTH(E819)+ROUND(F819*12,0),DAY(E819)))</f>
        <v/>
      </c>
      <c r="H819" s="144">
        <f>IF(G819="","",G819-AsOf)</f>
        <v/>
      </c>
      <c r="I819" s="107">
        <f>IF(G819="","",IF(H819&lt;0,"Expired",IF(H819&lt;=90,"Expires soon","Active")))</f>
        <v/>
      </c>
      <c r="J819" s="72" t="n"/>
      <c r="K819" s="79">
        <f>IF(I819="","",IF(I819="Active",0,IF(I819="Expires soon",1,3)))</f>
        <v/>
      </c>
      <c r="L819" s="112">
        <f>IF(G819="","",IF(G819&lt;AsOf,"",G819))</f>
        <v/>
      </c>
      <c r="M819" s="79">
        <f>IF(L819="","",IF(L819&lt;=AsOf+AlertDays,2,IF(L819&lt;=AsOf+90,3,"")))</f>
        <v/>
      </c>
      <c r="N819" s="79">
        <f>IF(M819="","","Warranty expires in "&amp;H819&amp;" days: "&amp;B819&amp;IF(C819="",""," ("&amp;C819&amp;")")&amp;" — check for defects")</f>
        <v/>
      </c>
      <c r="P819" s="72" t="n"/>
      <c r="Q819" s="72" t="n"/>
      <c r="R819" s="89" t="n"/>
      <c r="S819" s="109" t="n"/>
      <c r="T819" s="126">
        <f>IF(OR(R819="",S819=""),"",DATE(YEAR(S819),MONTH(S819)+R819,DAY(S819)))</f>
        <v/>
      </c>
      <c r="U819" s="144">
        <f>IF(T819="","",T819-AsOf)</f>
        <v/>
      </c>
      <c r="V819" s="107">
        <f>IF(T819="",IF(P819="","","Enter last-done date"),IF(U819&lt;0,"Overdue",IF(U819&lt;=30,"Due soon","OK")))</f>
        <v/>
      </c>
      <c r="W819" s="79">
        <f>IF(T819="","",IF(U819&lt;0,2,IF(U819&lt;=30,1,0)))</f>
        <v/>
      </c>
      <c r="X819" s="112">
        <f>IF(T819="","",T819)</f>
        <v/>
      </c>
      <c r="Y819" s="79">
        <f>IF(X819="","",IF(X819&lt;=AsOf+AlertDays,2,IF(X819&lt;=AsOf+30,3,"")))</f>
        <v/>
      </c>
      <c r="Z819" s="79">
        <f>IF(Y819="","",IF(U819&lt;0,"Maintenance overdue: ","Maintenance due: ")&amp;P819)</f>
        <v/>
      </c>
    </row>
    <row r="820" ht="20" customHeight="1">
      <c r="B820" s="72" t="n"/>
      <c r="C820" s="72" t="n"/>
      <c r="D820" s="72" t="n"/>
      <c r="E820" s="109" t="n"/>
      <c r="F820" s="74" t="n"/>
      <c r="G820" s="126">
        <f>IF(OR(E820="",F820=""),"",DATE(YEAR(E820),MONTH(E820)+ROUND(F820*12,0),DAY(E820)))</f>
        <v/>
      </c>
      <c r="H820" s="144">
        <f>IF(G820="","",G820-AsOf)</f>
        <v/>
      </c>
      <c r="I820" s="107">
        <f>IF(G820="","",IF(H820&lt;0,"Expired",IF(H820&lt;=90,"Expires soon","Active")))</f>
        <v/>
      </c>
      <c r="J820" s="72" t="n"/>
      <c r="K820" s="79">
        <f>IF(I820="","",IF(I820="Active",0,IF(I820="Expires soon",1,3)))</f>
        <v/>
      </c>
      <c r="L820" s="112">
        <f>IF(G820="","",IF(G820&lt;AsOf,"",G820))</f>
        <v/>
      </c>
      <c r="M820" s="79">
        <f>IF(L820="","",IF(L820&lt;=AsOf+AlertDays,2,IF(L820&lt;=AsOf+90,3,"")))</f>
        <v/>
      </c>
      <c r="N820" s="79">
        <f>IF(M820="","","Warranty expires in "&amp;H820&amp;" days: "&amp;B820&amp;IF(C820="",""," ("&amp;C820&amp;")")&amp;" — check for defects")</f>
        <v/>
      </c>
      <c r="P820" s="72" t="n"/>
      <c r="Q820" s="72" t="n"/>
      <c r="R820" s="89" t="n"/>
      <c r="S820" s="109" t="n"/>
      <c r="T820" s="126">
        <f>IF(OR(R820="",S820=""),"",DATE(YEAR(S820),MONTH(S820)+R820,DAY(S820)))</f>
        <v/>
      </c>
      <c r="U820" s="144">
        <f>IF(T820="","",T820-AsOf)</f>
        <v/>
      </c>
      <c r="V820" s="107">
        <f>IF(T820="",IF(P820="","","Enter last-done date"),IF(U820&lt;0,"Overdue",IF(U820&lt;=30,"Due soon","OK")))</f>
        <v/>
      </c>
      <c r="W820" s="79">
        <f>IF(T820="","",IF(U820&lt;0,2,IF(U820&lt;=30,1,0)))</f>
        <v/>
      </c>
      <c r="X820" s="112">
        <f>IF(T820="","",T820)</f>
        <v/>
      </c>
      <c r="Y820" s="79">
        <f>IF(X820="","",IF(X820&lt;=AsOf+AlertDays,2,IF(X820&lt;=AsOf+30,3,"")))</f>
        <v/>
      </c>
      <c r="Z820" s="79">
        <f>IF(Y820="","",IF(U820&lt;0,"Maintenance overdue: ","Maintenance due: ")&amp;P820)</f>
        <v/>
      </c>
    </row>
    <row r="821" ht="20" customHeight="1">
      <c r="B821" s="72" t="n"/>
      <c r="C821" s="72" t="n"/>
      <c r="D821" s="72" t="n"/>
      <c r="E821" s="109" t="n"/>
      <c r="F821" s="74" t="n"/>
      <c r="G821" s="126">
        <f>IF(OR(E821="",F821=""),"",DATE(YEAR(E821),MONTH(E821)+ROUND(F821*12,0),DAY(E821)))</f>
        <v/>
      </c>
      <c r="H821" s="144">
        <f>IF(G821="","",G821-AsOf)</f>
        <v/>
      </c>
      <c r="I821" s="107">
        <f>IF(G821="","",IF(H821&lt;0,"Expired",IF(H821&lt;=90,"Expires soon","Active")))</f>
        <v/>
      </c>
      <c r="J821" s="72" t="n"/>
      <c r="K821" s="79">
        <f>IF(I821="","",IF(I821="Active",0,IF(I821="Expires soon",1,3)))</f>
        <v/>
      </c>
      <c r="L821" s="112">
        <f>IF(G821="","",IF(G821&lt;AsOf,"",G821))</f>
        <v/>
      </c>
      <c r="M821" s="79">
        <f>IF(L821="","",IF(L821&lt;=AsOf+AlertDays,2,IF(L821&lt;=AsOf+90,3,"")))</f>
        <v/>
      </c>
      <c r="N821" s="79">
        <f>IF(M821="","","Warranty expires in "&amp;H821&amp;" days: "&amp;B821&amp;IF(C821="",""," ("&amp;C821&amp;")")&amp;" — check for defects")</f>
        <v/>
      </c>
      <c r="P821" s="72" t="n"/>
      <c r="Q821" s="72" t="n"/>
      <c r="R821" s="89" t="n"/>
      <c r="S821" s="109" t="n"/>
      <c r="T821" s="126">
        <f>IF(OR(R821="",S821=""),"",DATE(YEAR(S821),MONTH(S821)+R821,DAY(S821)))</f>
        <v/>
      </c>
      <c r="U821" s="144">
        <f>IF(T821="","",T821-AsOf)</f>
        <v/>
      </c>
      <c r="V821" s="107">
        <f>IF(T821="",IF(P821="","","Enter last-done date"),IF(U821&lt;0,"Overdue",IF(U821&lt;=30,"Due soon","OK")))</f>
        <v/>
      </c>
      <c r="W821" s="79">
        <f>IF(T821="","",IF(U821&lt;0,2,IF(U821&lt;=30,1,0)))</f>
        <v/>
      </c>
      <c r="X821" s="112">
        <f>IF(T821="","",T821)</f>
        <v/>
      </c>
      <c r="Y821" s="79">
        <f>IF(X821="","",IF(X821&lt;=AsOf+AlertDays,2,IF(X821&lt;=AsOf+30,3,"")))</f>
        <v/>
      </c>
      <c r="Z821" s="79">
        <f>IF(Y821="","",IF(U821&lt;0,"Maintenance overdue: ","Maintenance due: ")&amp;P821)</f>
        <v/>
      </c>
    </row>
    <row r="822" ht="20" customHeight="1">
      <c r="B822" s="72" t="n"/>
      <c r="C822" s="72" t="n"/>
      <c r="D822" s="72" t="n"/>
      <c r="E822" s="109" t="n"/>
      <c r="F822" s="74" t="n"/>
      <c r="G822" s="126">
        <f>IF(OR(E822="",F822=""),"",DATE(YEAR(E822),MONTH(E822)+ROUND(F822*12,0),DAY(E822)))</f>
        <v/>
      </c>
      <c r="H822" s="144">
        <f>IF(G822="","",G822-AsOf)</f>
        <v/>
      </c>
      <c r="I822" s="107">
        <f>IF(G822="","",IF(H822&lt;0,"Expired",IF(H822&lt;=90,"Expires soon","Active")))</f>
        <v/>
      </c>
      <c r="J822" s="72" t="n"/>
      <c r="K822" s="79">
        <f>IF(I822="","",IF(I822="Active",0,IF(I822="Expires soon",1,3)))</f>
        <v/>
      </c>
      <c r="L822" s="112">
        <f>IF(G822="","",IF(G822&lt;AsOf,"",G822))</f>
        <v/>
      </c>
      <c r="M822" s="79">
        <f>IF(L822="","",IF(L822&lt;=AsOf+AlertDays,2,IF(L822&lt;=AsOf+90,3,"")))</f>
        <v/>
      </c>
      <c r="N822" s="79">
        <f>IF(M822="","","Warranty expires in "&amp;H822&amp;" days: "&amp;B822&amp;IF(C822="",""," ("&amp;C822&amp;")")&amp;" — check for defects")</f>
        <v/>
      </c>
      <c r="P822" s="72" t="n"/>
      <c r="Q822" s="72" t="n"/>
      <c r="R822" s="89" t="n"/>
      <c r="S822" s="109" t="n"/>
      <c r="T822" s="126">
        <f>IF(OR(R822="",S822=""),"",DATE(YEAR(S822),MONTH(S822)+R822,DAY(S822)))</f>
        <v/>
      </c>
      <c r="U822" s="144">
        <f>IF(T822="","",T822-AsOf)</f>
        <v/>
      </c>
      <c r="V822" s="107">
        <f>IF(T822="",IF(P822="","","Enter last-done date"),IF(U822&lt;0,"Overdue",IF(U822&lt;=30,"Due soon","OK")))</f>
        <v/>
      </c>
      <c r="W822" s="79">
        <f>IF(T822="","",IF(U822&lt;0,2,IF(U822&lt;=30,1,0)))</f>
        <v/>
      </c>
      <c r="X822" s="112">
        <f>IF(T822="","",T822)</f>
        <v/>
      </c>
      <c r="Y822" s="79">
        <f>IF(X822="","",IF(X822&lt;=AsOf+AlertDays,2,IF(X822&lt;=AsOf+30,3,"")))</f>
        <v/>
      </c>
      <c r="Z822" s="79">
        <f>IF(Y822="","",IF(U822&lt;0,"Maintenance overdue: ","Maintenance due: ")&amp;P822)</f>
        <v/>
      </c>
    </row>
    <row r="823" ht="20" customHeight="1">
      <c r="B823" s="72" t="n"/>
      <c r="C823" s="72" t="n"/>
      <c r="D823" s="72" t="n"/>
      <c r="E823" s="109" t="n"/>
      <c r="F823" s="74" t="n"/>
      <c r="G823" s="126">
        <f>IF(OR(E823="",F823=""),"",DATE(YEAR(E823),MONTH(E823)+ROUND(F823*12,0),DAY(E823)))</f>
        <v/>
      </c>
      <c r="H823" s="144">
        <f>IF(G823="","",G823-AsOf)</f>
        <v/>
      </c>
      <c r="I823" s="107">
        <f>IF(G823="","",IF(H823&lt;0,"Expired",IF(H823&lt;=90,"Expires soon","Active")))</f>
        <v/>
      </c>
      <c r="J823" s="72" t="n"/>
      <c r="K823" s="79">
        <f>IF(I823="","",IF(I823="Active",0,IF(I823="Expires soon",1,3)))</f>
        <v/>
      </c>
      <c r="L823" s="112">
        <f>IF(G823="","",IF(G823&lt;AsOf,"",G823))</f>
        <v/>
      </c>
      <c r="M823" s="79">
        <f>IF(L823="","",IF(L823&lt;=AsOf+AlertDays,2,IF(L823&lt;=AsOf+90,3,"")))</f>
        <v/>
      </c>
      <c r="N823" s="79">
        <f>IF(M823="","","Warranty expires in "&amp;H823&amp;" days: "&amp;B823&amp;IF(C823="",""," ("&amp;C823&amp;")")&amp;" — check for defects")</f>
        <v/>
      </c>
      <c r="P823" s="72" t="n"/>
      <c r="Q823" s="72" t="n"/>
      <c r="R823" s="89" t="n"/>
      <c r="S823" s="109" t="n"/>
      <c r="T823" s="126">
        <f>IF(OR(R823="",S823=""),"",DATE(YEAR(S823),MONTH(S823)+R823,DAY(S823)))</f>
        <v/>
      </c>
      <c r="U823" s="144">
        <f>IF(T823="","",T823-AsOf)</f>
        <v/>
      </c>
      <c r="V823" s="107">
        <f>IF(T823="",IF(P823="","","Enter last-done date"),IF(U823&lt;0,"Overdue",IF(U823&lt;=30,"Due soon","OK")))</f>
        <v/>
      </c>
      <c r="W823" s="79">
        <f>IF(T823="","",IF(U823&lt;0,2,IF(U823&lt;=30,1,0)))</f>
        <v/>
      </c>
      <c r="X823" s="112">
        <f>IF(T823="","",T823)</f>
        <v/>
      </c>
      <c r="Y823" s="79">
        <f>IF(X823="","",IF(X823&lt;=AsOf+AlertDays,2,IF(X823&lt;=AsOf+30,3,"")))</f>
        <v/>
      </c>
      <c r="Z823" s="79">
        <f>IF(Y823="","",IF(U823&lt;0,"Maintenance overdue: ","Maintenance due: ")&amp;P823)</f>
        <v/>
      </c>
    </row>
    <row r="824" ht="20" customHeight="1">
      <c r="B824" s="72" t="n"/>
      <c r="C824" s="72" t="n"/>
      <c r="D824" s="72" t="n"/>
      <c r="E824" s="109" t="n"/>
      <c r="F824" s="74" t="n"/>
      <c r="G824" s="126">
        <f>IF(OR(E824="",F824=""),"",DATE(YEAR(E824),MONTH(E824)+ROUND(F824*12,0),DAY(E824)))</f>
        <v/>
      </c>
      <c r="H824" s="144">
        <f>IF(G824="","",G824-AsOf)</f>
        <v/>
      </c>
      <c r="I824" s="107">
        <f>IF(G824="","",IF(H824&lt;0,"Expired",IF(H824&lt;=90,"Expires soon","Active")))</f>
        <v/>
      </c>
      <c r="J824" s="72" t="n"/>
      <c r="K824" s="79">
        <f>IF(I824="","",IF(I824="Active",0,IF(I824="Expires soon",1,3)))</f>
        <v/>
      </c>
      <c r="L824" s="112">
        <f>IF(G824="","",IF(G824&lt;AsOf,"",G824))</f>
        <v/>
      </c>
      <c r="M824" s="79">
        <f>IF(L824="","",IF(L824&lt;=AsOf+AlertDays,2,IF(L824&lt;=AsOf+90,3,"")))</f>
        <v/>
      </c>
      <c r="N824" s="79">
        <f>IF(M824="","","Warranty expires in "&amp;H824&amp;" days: "&amp;B824&amp;IF(C824="",""," ("&amp;C824&amp;")")&amp;" — check for defects")</f>
        <v/>
      </c>
      <c r="P824" s="72" t="n"/>
      <c r="Q824" s="72" t="n"/>
      <c r="R824" s="89" t="n"/>
      <c r="S824" s="109" t="n"/>
      <c r="T824" s="126">
        <f>IF(OR(R824="",S824=""),"",DATE(YEAR(S824),MONTH(S824)+R824,DAY(S824)))</f>
        <v/>
      </c>
      <c r="U824" s="144">
        <f>IF(T824="","",T824-AsOf)</f>
        <v/>
      </c>
      <c r="V824" s="107">
        <f>IF(T824="",IF(P824="","","Enter last-done date"),IF(U824&lt;0,"Overdue",IF(U824&lt;=30,"Due soon","OK")))</f>
        <v/>
      </c>
      <c r="W824" s="79">
        <f>IF(T824="","",IF(U824&lt;0,2,IF(U824&lt;=30,1,0)))</f>
        <v/>
      </c>
      <c r="X824" s="112">
        <f>IF(T824="","",T824)</f>
        <v/>
      </c>
      <c r="Y824" s="79">
        <f>IF(X824="","",IF(X824&lt;=AsOf+AlertDays,2,IF(X824&lt;=AsOf+30,3,"")))</f>
        <v/>
      </c>
      <c r="Z824" s="79">
        <f>IF(Y824="","",IF(U824&lt;0,"Maintenance overdue: ","Maintenance due: ")&amp;P824)</f>
        <v/>
      </c>
    </row>
    <row r="825" ht="20" customHeight="1">
      <c r="B825" s="72" t="n"/>
      <c r="C825" s="72" t="n"/>
      <c r="D825" s="72" t="n"/>
      <c r="E825" s="109" t="n"/>
      <c r="F825" s="74" t="n"/>
      <c r="G825" s="126">
        <f>IF(OR(E825="",F825=""),"",DATE(YEAR(E825),MONTH(E825)+ROUND(F825*12,0),DAY(E825)))</f>
        <v/>
      </c>
      <c r="H825" s="144">
        <f>IF(G825="","",G825-AsOf)</f>
        <v/>
      </c>
      <c r="I825" s="107">
        <f>IF(G825="","",IF(H825&lt;0,"Expired",IF(H825&lt;=90,"Expires soon","Active")))</f>
        <v/>
      </c>
      <c r="J825" s="72" t="n"/>
      <c r="K825" s="79">
        <f>IF(I825="","",IF(I825="Active",0,IF(I825="Expires soon",1,3)))</f>
        <v/>
      </c>
      <c r="L825" s="112">
        <f>IF(G825="","",IF(G825&lt;AsOf,"",G825))</f>
        <v/>
      </c>
      <c r="M825" s="79">
        <f>IF(L825="","",IF(L825&lt;=AsOf+AlertDays,2,IF(L825&lt;=AsOf+90,3,"")))</f>
        <v/>
      </c>
      <c r="N825" s="79">
        <f>IF(M825="","","Warranty expires in "&amp;H825&amp;" days: "&amp;B825&amp;IF(C825="",""," ("&amp;C825&amp;")")&amp;" — check for defects")</f>
        <v/>
      </c>
      <c r="P825" s="72" t="n"/>
      <c r="Q825" s="72" t="n"/>
      <c r="R825" s="89" t="n"/>
      <c r="S825" s="109" t="n"/>
      <c r="T825" s="126">
        <f>IF(OR(R825="",S825=""),"",DATE(YEAR(S825),MONTH(S825)+R825,DAY(S825)))</f>
        <v/>
      </c>
      <c r="U825" s="144">
        <f>IF(T825="","",T825-AsOf)</f>
        <v/>
      </c>
      <c r="V825" s="107">
        <f>IF(T825="",IF(P825="","","Enter last-done date"),IF(U825&lt;0,"Overdue",IF(U825&lt;=30,"Due soon","OK")))</f>
        <v/>
      </c>
      <c r="W825" s="79">
        <f>IF(T825="","",IF(U825&lt;0,2,IF(U825&lt;=30,1,0)))</f>
        <v/>
      </c>
      <c r="X825" s="112">
        <f>IF(T825="","",T825)</f>
        <v/>
      </c>
      <c r="Y825" s="79">
        <f>IF(X825="","",IF(X825&lt;=AsOf+AlertDays,2,IF(X825&lt;=AsOf+30,3,"")))</f>
        <v/>
      </c>
      <c r="Z825" s="79">
        <f>IF(Y825="","",IF(U825&lt;0,"Maintenance overdue: ","Maintenance due: ")&amp;P825)</f>
        <v/>
      </c>
    </row>
    <row r="826" ht="20" customHeight="1">
      <c r="B826" s="72" t="n"/>
      <c r="C826" s="72" t="n"/>
      <c r="D826" s="72" t="n"/>
      <c r="E826" s="109" t="n"/>
      <c r="F826" s="74" t="n"/>
      <c r="G826" s="126">
        <f>IF(OR(E826="",F826=""),"",DATE(YEAR(E826),MONTH(E826)+ROUND(F826*12,0),DAY(E826)))</f>
        <v/>
      </c>
      <c r="H826" s="144">
        <f>IF(G826="","",G826-AsOf)</f>
        <v/>
      </c>
      <c r="I826" s="107">
        <f>IF(G826="","",IF(H826&lt;0,"Expired",IF(H826&lt;=90,"Expires soon","Active")))</f>
        <v/>
      </c>
      <c r="J826" s="72" t="n"/>
      <c r="K826" s="79">
        <f>IF(I826="","",IF(I826="Active",0,IF(I826="Expires soon",1,3)))</f>
        <v/>
      </c>
      <c r="L826" s="112">
        <f>IF(G826="","",IF(G826&lt;AsOf,"",G826))</f>
        <v/>
      </c>
      <c r="M826" s="79">
        <f>IF(L826="","",IF(L826&lt;=AsOf+AlertDays,2,IF(L826&lt;=AsOf+90,3,"")))</f>
        <v/>
      </c>
      <c r="N826" s="79">
        <f>IF(M826="","","Warranty expires in "&amp;H826&amp;" days: "&amp;B826&amp;IF(C826="",""," ("&amp;C826&amp;")")&amp;" — check for defects")</f>
        <v/>
      </c>
      <c r="P826" s="72" t="n"/>
      <c r="Q826" s="72" t="n"/>
      <c r="R826" s="89" t="n"/>
      <c r="S826" s="109" t="n"/>
      <c r="T826" s="126">
        <f>IF(OR(R826="",S826=""),"",DATE(YEAR(S826),MONTH(S826)+R826,DAY(S826)))</f>
        <v/>
      </c>
      <c r="U826" s="144">
        <f>IF(T826="","",T826-AsOf)</f>
        <v/>
      </c>
      <c r="V826" s="107">
        <f>IF(T826="",IF(P826="","","Enter last-done date"),IF(U826&lt;0,"Overdue",IF(U826&lt;=30,"Due soon","OK")))</f>
        <v/>
      </c>
      <c r="W826" s="79">
        <f>IF(T826="","",IF(U826&lt;0,2,IF(U826&lt;=30,1,0)))</f>
        <v/>
      </c>
      <c r="X826" s="112">
        <f>IF(T826="","",T826)</f>
        <v/>
      </c>
      <c r="Y826" s="79">
        <f>IF(X826="","",IF(X826&lt;=AsOf+AlertDays,2,IF(X826&lt;=AsOf+30,3,"")))</f>
        <v/>
      </c>
      <c r="Z826" s="79">
        <f>IF(Y826="","",IF(U826&lt;0,"Maintenance overdue: ","Maintenance due: ")&amp;P826)</f>
        <v/>
      </c>
    </row>
    <row r="827" ht="20" customHeight="1">
      <c r="B827" s="72" t="n"/>
      <c r="C827" s="72" t="n"/>
      <c r="D827" s="72" t="n"/>
      <c r="E827" s="109" t="n"/>
      <c r="F827" s="74" t="n"/>
      <c r="G827" s="126">
        <f>IF(OR(E827="",F827=""),"",DATE(YEAR(E827),MONTH(E827)+ROUND(F827*12,0),DAY(E827)))</f>
        <v/>
      </c>
      <c r="H827" s="144">
        <f>IF(G827="","",G827-AsOf)</f>
        <v/>
      </c>
      <c r="I827" s="107">
        <f>IF(G827="","",IF(H827&lt;0,"Expired",IF(H827&lt;=90,"Expires soon","Active")))</f>
        <v/>
      </c>
      <c r="J827" s="72" t="n"/>
      <c r="K827" s="79">
        <f>IF(I827="","",IF(I827="Active",0,IF(I827="Expires soon",1,3)))</f>
        <v/>
      </c>
      <c r="L827" s="112">
        <f>IF(G827="","",IF(G827&lt;AsOf,"",G827))</f>
        <v/>
      </c>
      <c r="M827" s="79">
        <f>IF(L827="","",IF(L827&lt;=AsOf+AlertDays,2,IF(L827&lt;=AsOf+90,3,"")))</f>
        <v/>
      </c>
      <c r="N827" s="79">
        <f>IF(M827="","","Warranty expires in "&amp;H827&amp;" days: "&amp;B827&amp;IF(C827="",""," ("&amp;C827&amp;")")&amp;" — check for defects")</f>
        <v/>
      </c>
      <c r="P827" s="72" t="n"/>
      <c r="Q827" s="72" t="n"/>
      <c r="R827" s="89" t="n"/>
      <c r="S827" s="109" t="n"/>
      <c r="T827" s="126">
        <f>IF(OR(R827="",S827=""),"",DATE(YEAR(S827),MONTH(S827)+R827,DAY(S827)))</f>
        <v/>
      </c>
      <c r="U827" s="144">
        <f>IF(T827="","",T827-AsOf)</f>
        <v/>
      </c>
      <c r="V827" s="107">
        <f>IF(T827="",IF(P827="","","Enter last-done date"),IF(U827&lt;0,"Overdue",IF(U827&lt;=30,"Due soon","OK")))</f>
        <v/>
      </c>
      <c r="W827" s="79">
        <f>IF(T827="","",IF(U827&lt;0,2,IF(U827&lt;=30,1,0)))</f>
        <v/>
      </c>
      <c r="X827" s="112">
        <f>IF(T827="","",T827)</f>
        <v/>
      </c>
      <c r="Y827" s="79">
        <f>IF(X827="","",IF(X827&lt;=AsOf+AlertDays,2,IF(X827&lt;=AsOf+30,3,"")))</f>
        <v/>
      </c>
      <c r="Z827" s="79">
        <f>IF(Y827="","",IF(U827&lt;0,"Maintenance overdue: ","Maintenance due: ")&amp;P827)</f>
        <v/>
      </c>
    </row>
    <row r="828" ht="20" customHeight="1">
      <c r="B828" s="72" t="n"/>
      <c r="C828" s="72" t="n"/>
      <c r="D828" s="72" t="n"/>
      <c r="E828" s="109" t="n"/>
      <c r="F828" s="74" t="n"/>
      <c r="G828" s="126">
        <f>IF(OR(E828="",F828=""),"",DATE(YEAR(E828),MONTH(E828)+ROUND(F828*12,0),DAY(E828)))</f>
        <v/>
      </c>
      <c r="H828" s="144">
        <f>IF(G828="","",G828-AsOf)</f>
        <v/>
      </c>
      <c r="I828" s="107">
        <f>IF(G828="","",IF(H828&lt;0,"Expired",IF(H828&lt;=90,"Expires soon","Active")))</f>
        <v/>
      </c>
      <c r="J828" s="72" t="n"/>
      <c r="K828" s="79">
        <f>IF(I828="","",IF(I828="Active",0,IF(I828="Expires soon",1,3)))</f>
        <v/>
      </c>
      <c r="L828" s="112">
        <f>IF(G828="","",IF(G828&lt;AsOf,"",G828))</f>
        <v/>
      </c>
      <c r="M828" s="79">
        <f>IF(L828="","",IF(L828&lt;=AsOf+AlertDays,2,IF(L828&lt;=AsOf+90,3,"")))</f>
        <v/>
      </c>
      <c r="N828" s="79">
        <f>IF(M828="","","Warranty expires in "&amp;H828&amp;" days: "&amp;B828&amp;IF(C828="",""," ("&amp;C828&amp;")")&amp;" — check for defects")</f>
        <v/>
      </c>
      <c r="P828" s="72" t="n"/>
      <c r="Q828" s="72" t="n"/>
      <c r="R828" s="89" t="n"/>
      <c r="S828" s="109" t="n"/>
      <c r="T828" s="126">
        <f>IF(OR(R828="",S828=""),"",DATE(YEAR(S828),MONTH(S828)+R828,DAY(S828)))</f>
        <v/>
      </c>
      <c r="U828" s="144">
        <f>IF(T828="","",T828-AsOf)</f>
        <v/>
      </c>
      <c r="V828" s="107">
        <f>IF(T828="",IF(P828="","","Enter last-done date"),IF(U828&lt;0,"Overdue",IF(U828&lt;=30,"Due soon","OK")))</f>
        <v/>
      </c>
      <c r="W828" s="79">
        <f>IF(T828="","",IF(U828&lt;0,2,IF(U828&lt;=30,1,0)))</f>
        <v/>
      </c>
      <c r="X828" s="112">
        <f>IF(T828="","",T828)</f>
        <v/>
      </c>
      <c r="Y828" s="79">
        <f>IF(X828="","",IF(X828&lt;=AsOf+AlertDays,2,IF(X828&lt;=AsOf+30,3,"")))</f>
        <v/>
      </c>
      <c r="Z828" s="79">
        <f>IF(Y828="","",IF(U828&lt;0,"Maintenance overdue: ","Maintenance due: ")&amp;P828)</f>
        <v/>
      </c>
    </row>
    <row r="829" ht="20" customHeight="1">
      <c r="B829" s="72" t="n"/>
      <c r="C829" s="72" t="n"/>
      <c r="D829" s="72" t="n"/>
      <c r="E829" s="109" t="n"/>
      <c r="F829" s="74" t="n"/>
      <c r="G829" s="126">
        <f>IF(OR(E829="",F829=""),"",DATE(YEAR(E829),MONTH(E829)+ROUND(F829*12,0),DAY(E829)))</f>
        <v/>
      </c>
      <c r="H829" s="144">
        <f>IF(G829="","",G829-AsOf)</f>
        <v/>
      </c>
      <c r="I829" s="107">
        <f>IF(G829="","",IF(H829&lt;0,"Expired",IF(H829&lt;=90,"Expires soon","Active")))</f>
        <v/>
      </c>
      <c r="J829" s="72" t="n"/>
      <c r="K829" s="79">
        <f>IF(I829="","",IF(I829="Active",0,IF(I829="Expires soon",1,3)))</f>
        <v/>
      </c>
      <c r="L829" s="112">
        <f>IF(G829="","",IF(G829&lt;AsOf,"",G829))</f>
        <v/>
      </c>
      <c r="M829" s="79">
        <f>IF(L829="","",IF(L829&lt;=AsOf+AlertDays,2,IF(L829&lt;=AsOf+90,3,"")))</f>
        <v/>
      </c>
      <c r="N829" s="79">
        <f>IF(M829="","","Warranty expires in "&amp;H829&amp;" days: "&amp;B829&amp;IF(C829="",""," ("&amp;C829&amp;")")&amp;" — check for defects")</f>
        <v/>
      </c>
      <c r="P829" s="72" t="n"/>
      <c r="Q829" s="72" t="n"/>
      <c r="R829" s="89" t="n"/>
      <c r="S829" s="109" t="n"/>
      <c r="T829" s="126">
        <f>IF(OR(R829="",S829=""),"",DATE(YEAR(S829),MONTH(S829)+R829,DAY(S829)))</f>
        <v/>
      </c>
      <c r="U829" s="144">
        <f>IF(T829="","",T829-AsOf)</f>
        <v/>
      </c>
      <c r="V829" s="107">
        <f>IF(T829="",IF(P829="","","Enter last-done date"),IF(U829&lt;0,"Overdue",IF(U829&lt;=30,"Due soon","OK")))</f>
        <v/>
      </c>
      <c r="W829" s="79">
        <f>IF(T829="","",IF(U829&lt;0,2,IF(U829&lt;=30,1,0)))</f>
        <v/>
      </c>
      <c r="X829" s="112">
        <f>IF(T829="","",T829)</f>
        <v/>
      </c>
      <c r="Y829" s="79">
        <f>IF(X829="","",IF(X829&lt;=AsOf+AlertDays,2,IF(X829&lt;=AsOf+30,3,"")))</f>
        <v/>
      </c>
      <c r="Z829" s="79">
        <f>IF(Y829="","",IF(U829&lt;0,"Maintenance overdue: ","Maintenance due: ")&amp;P829)</f>
        <v/>
      </c>
    </row>
    <row r="830" ht="20" customHeight="1">
      <c r="B830" s="72" t="n"/>
      <c r="C830" s="72" t="n"/>
      <c r="D830" s="72" t="n"/>
      <c r="E830" s="109" t="n"/>
      <c r="F830" s="74" t="n"/>
      <c r="G830" s="126">
        <f>IF(OR(E830="",F830=""),"",DATE(YEAR(E830),MONTH(E830)+ROUND(F830*12,0),DAY(E830)))</f>
        <v/>
      </c>
      <c r="H830" s="144">
        <f>IF(G830="","",G830-AsOf)</f>
        <v/>
      </c>
      <c r="I830" s="107">
        <f>IF(G830="","",IF(H830&lt;0,"Expired",IF(H830&lt;=90,"Expires soon","Active")))</f>
        <v/>
      </c>
      <c r="J830" s="72" t="n"/>
      <c r="K830" s="79">
        <f>IF(I830="","",IF(I830="Active",0,IF(I830="Expires soon",1,3)))</f>
        <v/>
      </c>
      <c r="L830" s="112">
        <f>IF(G830="","",IF(G830&lt;AsOf,"",G830))</f>
        <v/>
      </c>
      <c r="M830" s="79">
        <f>IF(L830="","",IF(L830&lt;=AsOf+AlertDays,2,IF(L830&lt;=AsOf+90,3,"")))</f>
        <v/>
      </c>
      <c r="N830" s="79">
        <f>IF(M830="","","Warranty expires in "&amp;H830&amp;" days: "&amp;B830&amp;IF(C830="",""," ("&amp;C830&amp;")")&amp;" — check for defects")</f>
        <v/>
      </c>
      <c r="P830" s="72" t="n"/>
      <c r="Q830" s="72" t="n"/>
      <c r="R830" s="89" t="n"/>
      <c r="S830" s="109" t="n"/>
      <c r="T830" s="126">
        <f>IF(OR(R830="",S830=""),"",DATE(YEAR(S830),MONTH(S830)+R830,DAY(S830)))</f>
        <v/>
      </c>
      <c r="U830" s="144">
        <f>IF(T830="","",T830-AsOf)</f>
        <v/>
      </c>
      <c r="V830" s="107">
        <f>IF(T830="",IF(P830="","","Enter last-done date"),IF(U830&lt;0,"Overdue",IF(U830&lt;=30,"Due soon","OK")))</f>
        <v/>
      </c>
      <c r="W830" s="79">
        <f>IF(T830="","",IF(U830&lt;0,2,IF(U830&lt;=30,1,0)))</f>
        <v/>
      </c>
      <c r="X830" s="112">
        <f>IF(T830="","",T830)</f>
        <v/>
      </c>
      <c r="Y830" s="79">
        <f>IF(X830="","",IF(X830&lt;=AsOf+AlertDays,2,IF(X830&lt;=AsOf+30,3,"")))</f>
        <v/>
      </c>
      <c r="Z830" s="79">
        <f>IF(Y830="","",IF(U830&lt;0,"Maintenance overdue: ","Maintenance due: ")&amp;P830)</f>
        <v/>
      </c>
    </row>
    <row r="831" ht="20" customHeight="1">
      <c r="B831" s="72" t="n"/>
      <c r="C831" s="72" t="n"/>
      <c r="D831" s="72" t="n"/>
      <c r="E831" s="109" t="n"/>
      <c r="F831" s="74" t="n"/>
      <c r="G831" s="126">
        <f>IF(OR(E831="",F831=""),"",DATE(YEAR(E831),MONTH(E831)+ROUND(F831*12,0),DAY(E831)))</f>
        <v/>
      </c>
      <c r="H831" s="144">
        <f>IF(G831="","",G831-AsOf)</f>
        <v/>
      </c>
      <c r="I831" s="107">
        <f>IF(G831="","",IF(H831&lt;0,"Expired",IF(H831&lt;=90,"Expires soon","Active")))</f>
        <v/>
      </c>
      <c r="J831" s="72" t="n"/>
      <c r="K831" s="79">
        <f>IF(I831="","",IF(I831="Active",0,IF(I831="Expires soon",1,3)))</f>
        <v/>
      </c>
      <c r="L831" s="112">
        <f>IF(G831="","",IF(G831&lt;AsOf,"",G831))</f>
        <v/>
      </c>
      <c r="M831" s="79">
        <f>IF(L831="","",IF(L831&lt;=AsOf+AlertDays,2,IF(L831&lt;=AsOf+90,3,"")))</f>
        <v/>
      </c>
      <c r="N831" s="79">
        <f>IF(M831="","","Warranty expires in "&amp;H831&amp;" days: "&amp;B831&amp;IF(C831="",""," ("&amp;C831&amp;")")&amp;" — check for defects")</f>
        <v/>
      </c>
      <c r="P831" s="72" t="n"/>
      <c r="Q831" s="72" t="n"/>
      <c r="R831" s="89" t="n"/>
      <c r="S831" s="109" t="n"/>
      <c r="T831" s="126">
        <f>IF(OR(R831="",S831=""),"",DATE(YEAR(S831),MONTH(S831)+R831,DAY(S831)))</f>
        <v/>
      </c>
      <c r="U831" s="144">
        <f>IF(T831="","",T831-AsOf)</f>
        <v/>
      </c>
      <c r="V831" s="107">
        <f>IF(T831="",IF(P831="","","Enter last-done date"),IF(U831&lt;0,"Overdue",IF(U831&lt;=30,"Due soon","OK")))</f>
        <v/>
      </c>
      <c r="W831" s="79">
        <f>IF(T831="","",IF(U831&lt;0,2,IF(U831&lt;=30,1,0)))</f>
        <v/>
      </c>
      <c r="X831" s="112">
        <f>IF(T831="","",T831)</f>
        <v/>
      </c>
      <c r="Y831" s="79">
        <f>IF(X831="","",IF(X831&lt;=AsOf+AlertDays,2,IF(X831&lt;=AsOf+30,3,"")))</f>
        <v/>
      </c>
      <c r="Z831" s="79">
        <f>IF(Y831="","",IF(U831&lt;0,"Maintenance overdue: ","Maintenance due: ")&amp;P831)</f>
        <v/>
      </c>
    </row>
    <row r="832" ht="20" customHeight="1">
      <c r="B832" s="72" t="n"/>
      <c r="C832" s="72" t="n"/>
      <c r="D832" s="72" t="n"/>
      <c r="E832" s="109" t="n"/>
      <c r="F832" s="74" t="n"/>
      <c r="G832" s="126">
        <f>IF(OR(E832="",F832=""),"",DATE(YEAR(E832),MONTH(E832)+ROUND(F832*12,0),DAY(E832)))</f>
        <v/>
      </c>
      <c r="H832" s="144">
        <f>IF(G832="","",G832-AsOf)</f>
        <v/>
      </c>
      <c r="I832" s="107">
        <f>IF(G832="","",IF(H832&lt;0,"Expired",IF(H832&lt;=90,"Expires soon","Active")))</f>
        <v/>
      </c>
      <c r="J832" s="72" t="n"/>
      <c r="K832" s="79">
        <f>IF(I832="","",IF(I832="Active",0,IF(I832="Expires soon",1,3)))</f>
        <v/>
      </c>
      <c r="L832" s="112">
        <f>IF(G832="","",IF(G832&lt;AsOf,"",G832))</f>
        <v/>
      </c>
      <c r="M832" s="79">
        <f>IF(L832="","",IF(L832&lt;=AsOf+AlertDays,2,IF(L832&lt;=AsOf+90,3,"")))</f>
        <v/>
      </c>
      <c r="N832" s="79">
        <f>IF(M832="","","Warranty expires in "&amp;H832&amp;" days: "&amp;B832&amp;IF(C832="",""," ("&amp;C832&amp;")")&amp;" — check for defects")</f>
        <v/>
      </c>
      <c r="P832" s="72" t="n"/>
      <c r="Q832" s="72" t="n"/>
      <c r="R832" s="89" t="n"/>
      <c r="S832" s="109" t="n"/>
      <c r="T832" s="126">
        <f>IF(OR(R832="",S832=""),"",DATE(YEAR(S832),MONTH(S832)+R832,DAY(S832)))</f>
        <v/>
      </c>
      <c r="U832" s="144">
        <f>IF(T832="","",T832-AsOf)</f>
        <v/>
      </c>
      <c r="V832" s="107">
        <f>IF(T832="",IF(P832="","","Enter last-done date"),IF(U832&lt;0,"Overdue",IF(U832&lt;=30,"Due soon","OK")))</f>
        <v/>
      </c>
      <c r="W832" s="79">
        <f>IF(T832="","",IF(U832&lt;0,2,IF(U832&lt;=30,1,0)))</f>
        <v/>
      </c>
      <c r="X832" s="112">
        <f>IF(T832="","",T832)</f>
        <v/>
      </c>
      <c r="Y832" s="79">
        <f>IF(X832="","",IF(X832&lt;=AsOf+AlertDays,2,IF(X832&lt;=AsOf+30,3,"")))</f>
        <v/>
      </c>
      <c r="Z832" s="79">
        <f>IF(Y832="","",IF(U832&lt;0,"Maintenance overdue: ","Maintenance due: ")&amp;P832)</f>
        <v/>
      </c>
    </row>
    <row r="833" ht="20" customHeight="1">
      <c r="B833" s="72" t="n"/>
      <c r="C833" s="72" t="n"/>
      <c r="D833" s="72" t="n"/>
      <c r="E833" s="109" t="n"/>
      <c r="F833" s="74" t="n"/>
      <c r="G833" s="126">
        <f>IF(OR(E833="",F833=""),"",DATE(YEAR(E833),MONTH(E833)+ROUND(F833*12,0),DAY(E833)))</f>
        <v/>
      </c>
      <c r="H833" s="144">
        <f>IF(G833="","",G833-AsOf)</f>
        <v/>
      </c>
      <c r="I833" s="107">
        <f>IF(G833="","",IF(H833&lt;0,"Expired",IF(H833&lt;=90,"Expires soon","Active")))</f>
        <v/>
      </c>
      <c r="J833" s="72" t="n"/>
      <c r="K833" s="79">
        <f>IF(I833="","",IF(I833="Active",0,IF(I833="Expires soon",1,3)))</f>
        <v/>
      </c>
      <c r="L833" s="112">
        <f>IF(G833="","",IF(G833&lt;AsOf,"",G833))</f>
        <v/>
      </c>
      <c r="M833" s="79">
        <f>IF(L833="","",IF(L833&lt;=AsOf+AlertDays,2,IF(L833&lt;=AsOf+90,3,"")))</f>
        <v/>
      </c>
      <c r="N833" s="79">
        <f>IF(M833="","","Warranty expires in "&amp;H833&amp;" days: "&amp;B833&amp;IF(C833="",""," ("&amp;C833&amp;")")&amp;" — check for defects")</f>
        <v/>
      </c>
      <c r="P833" s="72" t="n"/>
      <c r="Q833" s="72" t="n"/>
      <c r="R833" s="89" t="n"/>
      <c r="S833" s="109" t="n"/>
      <c r="T833" s="126">
        <f>IF(OR(R833="",S833=""),"",DATE(YEAR(S833),MONTH(S833)+R833,DAY(S833)))</f>
        <v/>
      </c>
      <c r="U833" s="144">
        <f>IF(T833="","",T833-AsOf)</f>
        <v/>
      </c>
      <c r="V833" s="107">
        <f>IF(T833="",IF(P833="","","Enter last-done date"),IF(U833&lt;0,"Overdue",IF(U833&lt;=30,"Due soon","OK")))</f>
        <v/>
      </c>
      <c r="W833" s="79">
        <f>IF(T833="","",IF(U833&lt;0,2,IF(U833&lt;=30,1,0)))</f>
        <v/>
      </c>
      <c r="X833" s="112">
        <f>IF(T833="","",T833)</f>
        <v/>
      </c>
      <c r="Y833" s="79">
        <f>IF(X833="","",IF(X833&lt;=AsOf+AlertDays,2,IF(X833&lt;=AsOf+30,3,"")))</f>
        <v/>
      </c>
      <c r="Z833" s="79">
        <f>IF(Y833="","",IF(U833&lt;0,"Maintenance overdue: ","Maintenance due: ")&amp;P833)</f>
        <v/>
      </c>
    </row>
    <row r="834" ht="20" customHeight="1">
      <c r="B834" s="72" t="n"/>
      <c r="C834" s="72" t="n"/>
      <c r="D834" s="72" t="n"/>
      <c r="E834" s="109" t="n"/>
      <c r="F834" s="74" t="n"/>
      <c r="G834" s="126">
        <f>IF(OR(E834="",F834=""),"",DATE(YEAR(E834),MONTH(E834)+ROUND(F834*12,0),DAY(E834)))</f>
        <v/>
      </c>
      <c r="H834" s="144">
        <f>IF(G834="","",G834-AsOf)</f>
        <v/>
      </c>
      <c r="I834" s="107">
        <f>IF(G834="","",IF(H834&lt;0,"Expired",IF(H834&lt;=90,"Expires soon","Active")))</f>
        <v/>
      </c>
      <c r="J834" s="72" t="n"/>
      <c r="K834" s="79">
        <f>IF(I834="","",IF(I834="Active",0,IF(I834="Expires soon",1,3)))</f>
        <v/>
      </c>
      <c r="L834" s="112">
        <f>IF(G834="","",IF(G834&lt;AsOf,"",G834))</f>
        <v/>
      </c>
      <c r="M834" s="79">
        <f>IF(L834="","",IF(L834&lt;=AsOf+AlertDays,2,IF(L834&lt;=AsOf+90,3,"")))</f>
        <v/>
      </c>
      <c r="N834" s="79">
        <f>IF(M834="","","Warranty expires in "&amp;H834&amp;" days: "&amp;B834&amp;IF(C834="",""," ("&amp;C834&amp;")")&amp;" — check for defects")</f>
        <v/>
      </c>
      <c r="P834" s="72" t="n"/>
      <c r="Q834" s="72" t="n"/>
      <c r="R834" s="89" t="n"/>
      <c r="S834" s="109" t="n"/>
      <c r="T834" s="126">
        <f>IF(OR(R834="",S834=""),"",DATE(YEAR(S834),MONTH(S834)+R834,DAY(S834)))</f>
        <v/>
      </c>
      <c r="U834" s="144">
        <f>IF(T834="","",T834-AsOf)</f>
        <v/>
      </c>
      <c r="V834" s="107">
        <f>IF(T834="",IF(P834="","","Enter last-done date"),IF(U834&lt;0,"Overdue",IF(U834&lt;=30,"Due soon","OK")))</f>
        <v/>
      </c>
      <c r="W834" s="79">
        <f>IF(T834="","",IF(U834&lt;0,2,IF(U834&lt;=30,1,0)))</f>
        <v/>
      </c>
      <c r="X834" s="112">
        <f>IF(T834="","",T834)</f>
        <v/>
      </c>
      <c r="Y834" s="79">
        <f>IF(X834="","",IF(X834&lt;=AsOf+AlertDays,2,IF(X834&lt;=AsOf+30,3,"")))</f>
        <v/>
      </c>
      <c r="Z834" s="79">
        <f>IF(Y834="","",IF(U834&lt;0,"Maintenance overdue: ","Maintenance due: ")&amp;P834)</f>
        <v/>
      </c>
    </row>
    <row r="835" ht="20" customHeight="1">
      <c r="B835" s="72" t="n"/>
      <c r="C835" s="72" t="n"/>
      <c r="D835" s="72" t="n"/>
      <c r="E835" s="109" t="n"/>
      <c r="F835" s="74" t="n"/>
      <c r="G835" s="126">
        <f>IF(OR(E835="",F835=""),"",DATE(YEAR(E835),MONTH(E835)+ROUND(F835*12,0),DAY(E835)))</f>
        <v/>
      </c>
      <c r="H835" s="144">
        <f>IF(G835="","",G835-AsOf)</f>
        <v/>
      </c>
      <c r="I835" s="107">
        <f>IF(G835="","",IF(H835&lt;0,"Expired",IF(H835&lt;=90,"Expires soon","Active")))</f>
        <v/>
      </c>
      <c r="J835" s="72" t="n"/>
      <c r="K835" s="79">
        <f>IF(I835="","",IF(I835="Active",0,IF(I835="Expires soon",1,3)))</f>
        <v/>
      </c>
      <c r="L835" s="112">
        <f>IF(G835="","",IF(G835&lt;AsOf,"",G835))</f>
        <v/>
      </c>
      <c r="M835" s="79">
        <f>IF(L835="","",IF(L835&lt;=AsOf+AlertDays,2,IF(L835&lt;=AsOf+90,3,"")))</f>
        <v/>
      </c>
      <c r="N835" s="79">
        <f>IF(M835="","","Warranty expires in "&amp;H835&amp;" days: "&amp;B835&amp;IF(C835="",""," ("&amp;C835&amp;")")&amp;" — check for defects")</f>
        <v/>
      </c>
      <c r="P835" s="72" t="n"/>
      <c r="Q835" s="72" t="n"/>
      <c r="R835" s="89" t="n"/>
      <c r="S835" s="109" t="n"/>
      <c r="T835" s="126">
        <f>IF(OR(R835="",S835=""),"",DATE(YEAR(S835),MONTH(S835)+R835,DAY(S835)))</f>
        <v/>
      </c>
      <c r="U835" s="144">
        <f>IF(T835="","",T835-AsOf)</f>
        <v/>
      </c>
      <c r="V835" s="107">
        <f>IF(T835="",IF(P835="","","Enter last-done date"),IF(U835&lt;0,"Overdue",IF(U835&lt;=30,"Due soon","OK")))</f>
        <v/>
      </c>
      <c r="W835" s="79">
        <f>IF(T835="","",IF(U835&lt;0,2,IF(U835&lt;=30,1,0)))</f>
        <v/>
      </c>
      <c r="X835" s="112">
        <f>IF(T835="","",T835)</f>
        <v/>
      </c>
      <c r="Y835" s="79">
        <f>IF(X835="","",IF(X835&lt;=AsOf+AlertDays,2,IF(X835&lt;=AsOf+30,3,"")))</f>
        <v/>
      </c>
      <c r="Z835" s="79">
        <f>IF(Y835="","",IF(U835&lt;0,"Maintenance overdue: ","Maintenance due: ")&amp;P835)</f>
        <v/>
      </c>
    </row>
    <row r="836" ht="20" customHeight="1">
      <c r="B836" s="72" t="n"/>
      <c r="C836" s="72" t="n"/>
      <c r="D836" s="72" t="n"/>
      <c r="E836" s="109" t="n"/>
      <c r="F836" s="74" t="n"/>
      <c r="G836" s="126">
        <f>IF(OR(E836="",F836=""),"",DATE(YEAR(E836),MONTH(E836)+ROUND(F836*12,0),DAY(E836)))</f>
        <v/>
      </c>
      <c r="H836" s="144">
        <f>IF(G836="","",G836-AsOf)</f>
        <v/>
      </c>
      <c r="I836" s="107">
        <f>IF(G836="","",IF(H836&lt;0,"Expired",IF(H836&lt;=90,"Expires soon","Active")))</f>
        <v/>
      </c>
      <c r="J836" s="72" t="n"/>
      <c r="K836" s="79">
        <f>IF(I836="","",IF(I836="Active",0,IF(I836="Expires soon",1,3)))</f>
        <v/>
      </c>
      <c r="L836" s="112">
        <f>IF(G836="","",IF(G836&lt;AsOf,"",G836))</f>
        <v/>
      </c>
      <c r="M836" s="79">
        <f>IF(L836="","",IF(L836&lt;=AsOf+AlertDays,2,IF(L836&lt;=AsOf+90,3,"")))</f>
        <v/>
      </c>
      <c r="N836" s="79">
        <f>IF(M836="","","Warranty expires in "&amp;H836&amp;" days: "&amp;B836&amp;IF(C836="",""," ("&amp;C836&amp;")")&amp;" — check for defects")</f>
        <v/>
      </c>
      <c r="P836" s="72" t="n"/>
      <c r="Q836" s="72" t="n"/>
      <c r="R836" s="89" t="n"/>
      <c r="S836" s="109" t="n"/>
      <c r="T836" s="126">
        <f>IF(OR(R836="",S836=""),"",DATE(YEAR(S836),MONTH(S836)+R836,DAY(S836)))</f>
        <v/>
      </c>
      <c r="U836" s="144">
        <f>IF(T836="","",T836-AsOf)</f>
        <v/>
      </c>
      <c r="V836" s="107">
        <f>IF(T836="",IF(P836="","","Enter last-done date"),IF(U836&lt;0,"Overdue",IF(U836&lt;=30,"Due soon","OK")))</f>
        <v/>
      </c>
      <c r="W836" s="79">
        <f>IF(T836="","",IF(U836&lt;0,2,IF(U836&lt;=30,1,0)))</f>
        <v/>
      </c>
      <c r="X836" s="112">
        <f>IF(T836="","",T836)</f>
        <v/>
      </c>
      <c r="Y836" s="79">
        <f>IF(X836="","",IF(X836&lt;=AsOf+AlertDays,2,IF(X836&lt;=AsOf+30,3,"")))</f>
        <v/>
      </c>
      <c r="Z836" s="79">
        <f>IF(Y836="","",IF(U836&lt;0,"Maintenance overdue: ","Maintenance due: ")&amp;P836)</f>
        <v/>
      </c>
    </row>
    <row r="837" ht="20" customHeight="1">
      <c r="B837" s="72" t="n"/>
      <c r="C837" s="72" t="n"/>
      <c r="D837" s="72" t="n"/>
      <c r="E837" s="109" t="n"/>
      <c r="F837" s="74" t="n"/>
      <c r="G837" s="126">
        <f>IF(OR(E837="",F837=""),"",DATE(YEAR(E837),MONTH(E837)+ROUND(F837*12,0),DAY(E837)))</f>
        <v/>
      </c>
      <c r="H837" s="144">
        <f>IF(G837="","",G837-AsOf)</f>
        <v/>
      </c>
      <c r="I837" s="107">
        <f>IF(G837="","",IF(H837&lt;0,"Expired",IF(H837&lt;=90,"Expires soon","Active")))</f>
        <v/>
      </c>
      <c r="J837" s="72" t="n"/>
      <c r="K837" s="79">
        <f>IF(I837="","",IF(I837="Active",0,IF(I837="Expires soon",1,3)))</f>
        <v/>
      </c>
      <c r="L837" s="112">
        <f>IF(G837="","",IF(G837&lt;AsOf,"",G837))</f>
        <v/>
      </c>
      <c r="M837" s="79">
        <f>IF(L837="","",IF(L837&lt;=AsOf+AlertDays,2,IF(L837&lt;=AsOf+90,3,"")))</f>
        <v/>
      </c>
      <c r="N837" s="79">
        <f>IF(M837="","","Warranty expires in "&amp;H837&amp;" days: "&amp;B837&amp;IF(C837="",""," ("&amp;C837&amp;")")&amp;" — check for defects")</f>
        <v/>
      </c>
      <c r="P837" s="72" t="n"/>
      <c r="Q837" s="72" t="n"/>
      <c r="R837" s="89" t="n"/>
      <c r="S837" s="109" t="n"/>
      <c r="T837" s="126">
        <f>IF(OR(R837="",S837=""),"",DATE(YEAR(S837),MONTH(S837)+R837,DAY(S837)))</f>
        <v/>
      </c>
      <c r="U837" s="144">
        <f>IF(T837="","",T837-AsOf)</f>
        <v/>
      </c>
      <c r="V837" s="107">
        <f>IF(T837="",IF(P837="","","Enter last-done date"),IF(U837&lt;0,"Overdue",IF(U837&lt;=30,"Due soon","OK")))</f>
        <v/>
      </c>
      <c r="W837" s="79">
        <f>IF(T837="","",IF(U837&lt;0,2,IF(U837&lt;=30,1,0)))</f>
        <v/>
      </c>
      <c r="X837" s="112">
        <f>IF(T837="","",T837)</f>
        <v/>
      </c>
      <c r="Y837" s="79">
        <f>IF(X837="","",IF(X837&lt;=AsOf+AlertDays,2,IF(X837&lt;=AsOf+30,3,"")))</f>
        <v/>
      </c>
      <c r="Z837" s="79">
        <f>IF(Y837="","",IF(U837&lt;0,"Maintenance overdue: ","Maintenance due: ")&amp;P837)</f>
        <v/>
      </c>
    </row>
    <row r="838" ht="20" customHeight="1">
      <c r="B838" s="72" t="n"/>
      <c r="C838" s="72" t="n"/>
      <c r="D838" s="72" t="n"/>
      <c r="E838" s="109" t="n"/>
      <c r="F838" s="74" t="n"/>
      <c r="G838" s="126">
        <f>IF(OR(E838="",F838=""),"",DATE(YEAR(E838),MONTH(E838)+ROUND(F838*12,0),DAY(E838)))</f>
        <v/>
      </c>
      <c r="H838" s="144">
        <f>IF(G838="","",G838-AsOf)</f>
        <v/>
      </c>
      <c r="I838" s="107">
        <f>IF(G838="","",IF(H838&lt;0,"Expired",IF(H838&lt;=90,"Expires soon","Active")))</f>
        <v/>
      </c>
      <c r="J838" s="72" t="n"/>
      <c r="K838" s="79">
        <f>IF(I838="","",IF(I838="Active",0,IF(I838="Expires soon",1,3)))</f>
        <v/>
      </c>
      <c r="L838" s="112">
        <f>IF(G838="","",IF(G838&lt;AsOf,"",G838))</f>
        <v/>
      </c>
      <c r="M838" s="79">
        <f>IF(L838="","",IF(L838&lt;=AsOf+AlertDays,2,IF(L838&lt;=AsOf+90,3,"")))</f>
        <v/>
      </c>
      <c r="N838" s="79">
        <f>IF(M838="","","Warranty expires in "&amp;H838&amp;" days: "&amp;B838&amp;IF(C838="",""," ("&amp;C838&amp;")")&amp;" — check for defects")</f>
        <v/>
      </c>
      <c r="P838" s="72" t="n"/>
      <c r="Q838" s="72" t="n"/>
      <c r="R838" s="89" t="n"/>
      <c r="S838" s="109" t="n"/>
      <c r="T838" s="126">
        <f>IF(OR(R838="",S838=""),"",DATE(YEAR(S838),MONTH(S838)+R838,DAY(S838)))</f>
        <v/>
      </c>
      <c r="U838" s="144">
        <f>IF(T838="","",T838-AsOf)</f>
        <v/>
      </c>
      <c r="V838" s="107">
        <f>IF(T838="",IF(P838="","","Enter last-done date"),IF(U838&lt;0,"Overdue",IF(U838&lt;=30,"Due soon","OK")))</f>
        <v/>
      </c>
      <c r="W838" s="79">
        <f>IF(T838="","",IF(U838&lt;0,2,IF(U838&lt;=30,1,0)))</f>
        <v/>
      </c>
      <c r="X838" s="112">
        <f>IF(T838="","",T838)</f>
        <v/>
      </c>
      <c r="Y838" s="79">
        <f>IF(X838="","",IF(X838&lt;=AsOf+AlertDays,2,IF(X838&lt;=AsOf+30,3,"")))</f>
        <v/>
      </c>
      <c r="Z838" s="79">
        <f>IF(Y838="","",IF(U838&lt;0,"Maintenance overdue: ","Maintenance due: ")&amp;P838)</f>
        <v/>
      </c>
    </row>
    <row r="839" ht="20" customHeight="1">
      <c r="B839" s="72" t="n"/>
      <c r="C839" s="72" t="n"/>
      <c r="D839" s="72" t="n"/>
      <c r="E839" s="109" t="n"/>
      <c r="F839" s="74" t="n"/>
      <c r="G839" s="126">
        <f>IF(OR(E839="",F839=""),"",DATE(YEAR(E839),MONTH(E839)+ROUND(F839*12,0),DAY(E839)))</f>
        <v/>
      </c>
      <c r="H839" s="144">
        <f>IF(G839="","",G839-AsOf)</f>
        <v/>
      </c>
      <c r="I839" s="107">
        <f>IF(G839="","",IF(H839&lt;0,"Expired",IF(H839&lt;=90,"Expires soon","Active")))</f>
        <v/>
      </c>
      <c r="J839" s="72" t="n"/>
      <c r="K839" s="79">
        <f>IF(I839="","",IF(I839="Active",0,IF(I839="Expires soon",1,3)))</f>
        <v/>
      </c>
      <c r="L839" s="112">
        <f>IF(G839="","",IF(G839&lt;AsOf,"",G839))</f>
        <v/>
      </c>
      <c r="M839" s="79">
        <f>IF(L839="","",IF(L839&lt;=AsOf+AlertDays,2,IF(L839&lt;=AsOf+90,3,"")))</f>
        <v/>
      </c>
      <c r="N839" s="79">
        <f>IF(M839="","","Warranty expires in "&amp;H839&amp;" days: "&amp;B839&amp;IF(C839="",""," ("&amp;C839&amp;")")&amp;" — check for defects")</f>
        <v/>
      </c>
      <c r="P839" s="72" t="n"/>
      <c r="Q839" s="72" t="n"/>
      <c r="R839" s="89" t="n"/>
      <c r="S839" s="109" t="n"/>
      <c r="T839" s="126">
        <f>IF(OR(R839="",S839=""),"",DATE(YEAR(S839),MONTH(S839)+R839,DAY(S839)))</f>
        <v/>
      </c>
      <c r="U839" s="144">
        <f>IF(T839="","",T839-AsOf)</f>
        <v/>
      </c>
      <c r="V839" s="107">
        <f>IF(T839="",IF(P839="","","Enter last-done date"),IF(U839&lt;0,"Overdue",IF(U839&lt;=30,"Due soon","OK")))</f>
        <v/>
      </c>
      <c r="W839" s="79">
        <f>IF(T839="","",IF(U839&lt;0,2,IF(U839&lt;=30,1,0)))</f>
        <v/>
      </c>
      <c r="X839" s="112">
        <f>IF(T839="","",T839)</f>
        <v/>
      </c>
      <c r="Y839" s="79">
        <f>IF(X839="","",IF(X839&lt;=AsOf+AlertDays,2,IF(X839&lt;=AsOf+30,3,"")))</f>
        <v/>
      </c>
      <c r="Z839" s="79">
        <f>IF(Y839="","",IF(U839&lt;0,"Maintenance overdue: ","Maintenance due: ")&amp;P839)</f>
        <v/>
      </c>
    </row>
    <row r="840" ht="20" customHeight="1">
      <c r="B840" s="72" t="n"/>
      <c r="C840" s="72" t="n"/>
      <c r="D840" s="72" t="n"/>
      <c r="E840" s="109" t="n"/>
      <c r="F840" s="74" t="n"/>
      <c r="G840" s="126">
        <f>IF(OR(E840="",F840=""),"",DATE(YEAR(E840),MONTH(E840)+ROUND(F840*12,0),DAY(E840)))</f>
        <v/>
      </c>
      <c r="H840" s="144">
        <f>IF(G840="","",G840-AsOf)</f>
        <v/>
      </c>
      <c r="I840" s="107">
        <f>IF(G840="","",IF(H840&lt;0,"Expired",IF(H840&lt;=90,"Expires soon","Active")))</f>
        <v/>
      </c>
      <c r="J840" s="72" t="n"/>
      <c r="K840" s="79">
        <f>IF(I840="","",IF(I840="Active",0,IF(I840="Expires soon",1,3)))</f>
        <v/>
      </c>
      <c r="L840" s="112">
        <f>IF(G840="","",IF(G840&lt;AsOf,"",G840))</f>
        <v/>
      </c>
      <c r="M840" s="79">
        <f>IF(L840="","",IF(L840&lt;=AsOf+AlertDays,2,IF(L840&lt;=AsOf+90,3,"")))</f>
        <v/>
      </c>
      <c r="N840" s="79">
        <f>IF(M840="","","Warranty expires in "&amp;H840&amp;" days: "&amp;B840&amp;IF(C840="",""," ("&amp;C840&amp;")")&amp;" — check for defects")</f>
        <v/>
      </c>
      <c r="P840" s="72" t="n"/>
      <c r="Q840" s="72" t="n"/>
      <c r="R840" s="89" t="n"/>
      <c r="S840" s="109" t="n"/>
      <c r="T840" s="126">
        <f>IF(OR(R840="",S840=""),"",DATE(YEAR(S840),MONTH(S840)+R840,DAY(S840)))</f>
        <v/>
      </c>
      <c r="U840" s="144">
        <f>IF(T840="","",T840-AsOf)</f>
        <v/>
      </c>
      <c r="V840" s="107">
        <f>IF(T840="",IF(P840="","","Enter last-done date"),IF(U840&lt;0,"Overdue",IF(U840&lt;=30,"Due soon","OK")))</f>
        <v/>
      </c>
      <c r="W840" s="79">
        <f>IF(T840="","",IF(U840&lt;0,2,IF(U840&lt;=30,1,0)))</f>
        <v/>
      </c>
      <c r="X840" s="112">
        <f>IF(T840="","",T840)</f>
        <v/>
      </c>
      <c r="Y840" s="79">
        <f>IF(X840="","",IF(X840&lt;=AsOf+AlertDays,2,IF(X840&lt;=AsOf+30,3,"")))</f>
        <v/>
      </c>
      <c r="Z840" s="79">
        <f>IF(Y840="","",IF(U840&lt;0,"Maintenance overdue: ","Maintenance due: ")&amp;P840)</f>
        <v/>
      </c>
    </row>
    <row r="841" ht="20" customHeight="1">
      <c r="B841" s="72" t="n"/>
      <c r="C841" s="72" t="n"/>
      <c r="D841" s="72" t="n"/>
      <c r="E841" s="109" t="n"/>
      <c r="F841" s="74" t="n"/>
      <c r="G841" s="126">
        <f>IF(OR(E841="",F841=""),"",DATE(YEAR(E841),MONTH(E841)+ROUND(F841*12,0),DAY(E841)))</f>
        <v/>
      </c>
      <c r="H841" s="144">
        <f>IF(G841="","",G841-AsOf)</f>
        <v/>
      </c>
      <c r="I841" s="107">
        <f>IF(G841="","",IF(H841&lt;0,"Expired",IF(H841&lt;=90,"Expires soon","Active")))</f>
        <v/>
      </c>
      <c r="J841" s="72" t="n"/>
      <c r="K841" s="79">
        <f>IF(I841="","",IF(I841="Active",0,IF(I841="Expires soon",1,3)))</f>
        <v/>
      </c>
      <c r="L841" s="112">
        <f>IF(G841="","",IF(G841&lt;AsOf,"",G841))</f>
        <v/>
      </c>
      <c r="M841" s="79">
        <f>IF(L841="","",IF(L841&lt;=AsOf+AlertDays,2,IF(L841&lt;=AsOf+90,3,"")))</f>
        <v/>
      </c>
      <c r="N841" s="79">
        <f>IF(M841="","","Warranty expires in "&amp;H841&amp;" days: "&amp;B841&amp;IF(C841="",""," ("&amp;C841&amp;")")&amp;" — check for defects")</f>
        <v/>
      </c>
      <c r="P841" s="72" t="n"/>
      <c r="Q841" s="72" t="n"/>
      <c r="R841" s="89" t="n"/>
      <c r="S841" s="109" t="n"/>
      <c r="T841" s="126">
        <f>IF(OR(R841="",S841=""),"",DATE(YEAR(S841),MONTH(S841)+R841,DAY(S841)))</f>
        <v/>
      </c>
      <c r="U841" s="144">
        <f>IF(T841="","",T841-AsOf)</f>
        <v/>
      </c>
      <c r="V841" s="107">
        <f>IF(T841="",IF(P841="","","Enter last-done date"),IF(U841&lt;0,"Overdue",IF(U841&lt;=30,"Due soon","OK")))</f>
        <v/>
      </c>
      <c r="W841" s="79">
        <f>IF(T841="","",IF(U841&lt;0,2,IF(U841&lt;=30,1,0)))</f>
        <v/>
      </c>
      <c r="X841" s="112">
        <f>IF(T841="","",T841)</f>
        <v/>
      </c>
      <c r="Y841" s="79">
        <f>IF(X841="","",IF(X841&lt;=AsOf+AlertDays,2,IF(X841&lt;=AsOf+30,3,"")))</f>
        <v/>
      </c>
      <c r="Z841" s="79">
        <f>IF(Y841="","",IF(U841&lt;0,"Maintenance overdue: ","Maintenance due: ")&amp;P841)</f>
        <v/>
      </c>
    </row>
    <row r="842" ht="20" customHeight="1">
      <c r="B842" s="72" t="n"/>
      <c r="C842" s="72" t="n"/>
      <c r="D842" s="72" t="n"/>
      <c r="E842" s="109" t="n"/>
      <c r="F842" s="74" t="n"/>
      <c r="G842" s="126">
        <f>IF(OR(E842="",F842=""),"",DATE(YEAR(E842),MONTH(E842)+ROUND(F842*12,0),DAY(E842)))</f>
        <v/>
      </c>
      <c r="H842" s="144">
        <f>IF(G842="","",G842-AsOf)</f>
        <v/>
      </c>
      <c r="I842" s="107">
        <f>IF(G842="","",IF(H842&lt;0,"Expired",IF(H842&lt;=90,"Expires soon","Active")))</f>
        <v/>
      </c>
      <c r="J842" s="72" t="n"/>
      <c r="K842" s="79">
        <f>IF(I842="","",IF(I842="Active",0,IF(I842="Expires soon",1,3)))</f>
        <v/>
      </c>
      <c r="L842" s="112">
        <f>IF(G842="","",IF(G842&lt;AsOf,"",G842))</f>
        <v/>
      </c>
      <c r="M842" s="79">
        <f>IF(L842="","",IF(L842&lt;=AsOf+AlertDays,2,IF(L842&lt;=AsOf+90,3,"")))</f>
        <v/>
      </c>
      <c r="N842" s="79">
        <f>IF(M842="","","Warranty expires in "&amp;H842&amp;" days: "&amp;B842&amp;IF(C842="",""," ("&amp;C842&amp;")")&amp;" — check for defects")</f>
        <v/>
      </c>
      <c r="P842" s="72" t="n"/>
      <c r="Q842" s="72" t="n"/>
      <c r="R842" s="89" t="n"/>
      <c r="S842" s="109" t="n"/>
      <c r="T842" s="126">
        <f>IF(OR(R842="",S842=""),"",DATE(YEAR(S842),MONTH(S842)+R842,DAY(S842)))</f>
        <v/>
      </c>
      <c r="U842" s="144">
        <f>IF(T842="","",T842-AsOf)</f>
        <v/>
      </c>
      <c r="V842" s="107">
        <f>IF(T842="",IF(P842="","","Enter last-done date"),IF(U842&lt;0,"Overdue",IF(U842&lt;=30,"Due soon","OK")))</f>
        <v/>
      </c>
      <c r="W842" s="79">
        <f>IF(T842="","",IF(U842&lt;0,2,IF(U842&lt;=30,1,0)))</f>
        <v/>
      </c>
      <c r="X842" s="112">
        <f>IF(T842="","",T842)</f>
        <v/>
      </c>
      <c r="Y842" s="79">
        <f>IF(X842="","",IF(X842&lt;=AsOf+AlertDays,2,IF(X842&lt;=AsOf+30,3,"")))</f>
        <v/>
      </c>
      <c r="Z842" s="79">
        <f>IF(Y842="","",IF(U842&lt;0,"Maintenance overdue: ","Maintenance due: ")&amp;P842)</f>
        <v/>
      </c>
    </row>
    <row r="843" ht="20" customHeight="1">
      <c r="B843" s="72" t="n"/>
      <c r="C843" s="72" t="n"/>
      <c r="D843" s="72" t="n"/>
      <c r="E843" s="109" t="n"/>
      <c r="F843" s="74" t="n"/>
      <c r="G843" s="126">
        <f>IF(OR(E843="",F843=""),"",DATE(YEAR(E843),MONTH(E843)+ROUND(F843*12,0),DAY(E843)))</f>
        <v/>
      </c>
      <c r="H843" s="144">
        <f>IF(G843="","",G843-AsOf)</f>
        <v/>
      </c>
      <c r="I843" s="107">
        <f>IF(G843="","",IF(H843&lt;0,"Expired",IF(H843&lt;=90,"Expires soon","Active")))</f>
        <v/>
      </c>
      <c r="J843" s="72" t="n"/>
      <c r="K843" s="79">
        <f>IF(I843="","",IF(I843="Active",0,IF(I843="Expires soon",1,3)))</f>
        <v/>
      </c>
      <c r="L843" s="112">
        <f>IF(G843="","",IF(G843&lt;AsOf,"",G843))</f>
        <v/>
      </c>
      <c r="M843" s="79">
        <f>IF(L843="","",IF(L843&lt;=AsOf+AlertDays,2,IF(L843&lt;=AsOf+90,3,"")))</f>
        <v/>
      </c>
      <c r="N843" s="79">
        <f>IF(M843="","","Warranty expires in "&amp;H843&amp;" days: "&amp;B843&amp;IF(C843="",""," ("&amp;C843&amp;")")&amp;" — check for defects")</f>
        <v/>
      </c>
      <c r="P843" s="72" t="n"/>
      <c r="Q843" s="72" t="n"/>
      <c r="R843" s="89" t="n"/>
      <c r="S843" s="109" t="n"/>
      <c r="T843" s="126">
        <f>IF(OR(R843="",S843=""),"",DATE(YEAR(S843),MONTH(S843)+R843,DAY(S843)))</f>
        <v/>
      </c>
      <c r="U843" s="144">
        <f>IF(T843="","",T843-AsOf)</f>
        <v/>
      </c>
      <c r="V843" s="107">
        <f>IF(T843="",IF(P843="","","Enter last-done date"),IF(U843&lt;0,"Overdue",IF(U843&lt;=30,"Due soon","OK")))</f>
        <v/>
      </c>
      <c r="W843" s="79">
        <f>IF(T843="","",IF(U843&lt;0,2,IF(U843&lt;=30,1,0)))</f>
        <v/>
      </c>
      <c r="X843" s="112">
        <f>IF(T843="","",T843)</f>
        <v/>
      </c>
      <c r="Y843" s="79">
        <f>IF(X843="","",IF(X843&lt;=AsOf+AlertDays,2,IF(X843&lt;=AsOf+30,3,"")))</f>
        <v/>
      </c>
      <c r="Z843" s="79">
        <f>IF(Y843="","",IF(U843&lt;0,"Maintenance overdue: ","Maintenance due: ")&amp;P843)</f>
        <v/>
      </c>
    </row>
    <row r="844" ht="20" customHeight="1">
      <c r="B844" s="72" t="n"/>
      <c r="C844" s="72" t="n"/>
      <c r="D844" s="72" t="n"/>
      <c r="E844" s="109" t="n"/>
      <c r="F844" s="74" t="n"/>
      <c r="G844" s="126">
        <f>IF(OR(E844="",F844=""),"",DATE(YEAR(E844),MONTH(E844)+ROUND(F844*12,0),DAY(E844)))</f>
        <v/>
      </c>
      <c r="H844" s="144">
        <f>IF(G844="","",G844-AsOf)</f>
        <v/>
      </c>
      <c r="I844" s="107">
        <f>IF(G844="","",IF(H844&lt;0,"Expired",IF(H844&lt;=90,"Expires soon","Active")))</f>
        <v/>
      </c>
      <c r="J844" s="72" t="n"/>
      <c r="K844" s="79">
        <f>IF(I844="","",IF(I844="Active",0,IF(I844="Expires soon",1,3)))</f>
        <v/>
      </c>
      <c r="L844" s="112">
        <f>IF(G844="","",IF(G844&lt;AsOf,"",G844))</f>
        <v/>
      </c>
      <c r="M844" s="79">
        <f>IF(L844="","",IF(L844&lt;=AsOf+AlertDays,2,IF(L844&lt;=AsOf+90,3,"")))</f>
        <v/>
      </c>
      <c r="N844" s="79">
        <f>IF(M844="","","Warranty expires in "&amp;H844&amp;" days: "&amp;B844&amp;IF(C844="",""," ("&amp;C844&amp;")")&amp;" — check for defects")</f>
        <v/>
      </c>
      <c r="P844" s="72" t="n"/>
      <c r="Q844" s="72" t="n"/>
      <c r="R844" s="89" t="n"/>
      <c r="S844" s="109" t="n"/>
      <c r="T844" s="126">
        <f>IF(OR(R844="",S844=""),"",DATE(YEAR(S844),MONTH(S844)+R844,DAY(S844)))</f>
        <v/>
      </c>
      <c r="U844" s="144">
        <f>IF(T844="","",T844-AsOf)</f>
        <v/>
      </c>
      <c r="V844" s="107">
        <f>IF(T844="",IF(P844="","","Enter last-done date"),IF(U844&lt;0,"Overdue",IF(U844&lt;=30,"Due soon","OK")))</f>
        <v/>
      </c>
      <c r="W844" s="79">
        <f>IF(T844="","",IF(U844&lt;0,2,IF(U844&lt;=30,1,0)))</f>
        <v/>
      </c>
      <c r="X844" s="112">
        <f>IF(T844="","",T844)</f>
        <v/>
      </c>
      <c r="Y844" s="79">
        <f>IF(X844="","",IF(X844&lt;=AsOf+AlertDays,2,IF(X844&lt;=AsOf+30,3,"")))</f>
        <v/>
      </c>
      <c r="Z844" s="79">
        <f>IF(Y844="","",IF(U844&lt;0,"Maintenance overdue: ","Maintenance due: ")&amp;P844)</f>
        <v/>
      </c>
    </row>
    <row r="845" ht="20" customHeight="1">
      <c r="B845" s="72" t="n"/>
      <c r="C845" s="72" t="n"/>
      <c r="D845" s="72" t="n"/>
      <c r="E845" s="109" t="n"/>
      <c r="F845" s="74" t="n"/>
      <c r="G845" s="126">
        <f>IF(OR(E845="",F845=""),"",DATE(YEAR(E845),MONTH(E845)+ROUND(F845*12,0),DAY(E845)))</f>
        <v/>
      </c>
      <c r="H845" s="144">
        <f>IF(G845="","",G845-AsOf)</f>
        <v/>
      </c>
      <c r="I845" s="107">
        <f>IF(G845="","",IF(H845&lt;0,"Expired",IF(H845&lt;=90,"Expires soon","Active")))</f>
        <v/>
      </c>
      <c r="J845" s="72" t="n"/>
      <c r="K845" s="79">
        <f>IF(I845="","",IF(I845="Active",0,IF(I845="Expires soon",1,3)))</f>
        <v/>
      </c>
      <c r="L845" s="112">
        <f>IF(G845="","",IF(G845&lt;AsOf,"",G845))</f>
        <v/>
      </c>
      <c r="M845" s="79">
        <f>IF(L845="","",IF(L845&lt;=AsOf+AlertDays,2,IF(L845&lt;=AsOf+90,3,"")))</f>
        <v/>
      </c>
      <c r="N845" s="79">
        <f>IF(M845="","","Warranty expires in "&amp;H845&amp;" days: "&amp;B845&amp;IF(C845="",""," ("&amp;C845&amp;")")&amp;" — check for defects")</f>
        <v/>
      </c>
      <c r="P845" s="72" t="n"/>
      <c r="Q845" s="72" t="n"/>
      <c r="R845" s="89" t="n"/>
      <c r="S845" s="109" t="n"/>
      <c r="T845" s="126">
        <f>IF(OR(R845="",S845=""),"",DATE(YEAR(S845),MONTH(S845)+R845,DAY(S845)))</f>
        <v/>
      </c>
      <c r="U845" s="144">
        <f>IF(T845="","",T845-AsOf)</f>
        <v/>
      </c>
      <c r="V845" s="107">
        <f>IF(T845="",IF(P845="","","Enter last-done date"),IF(U845&lt;0,"Overdue",IF(U845&lt;=30,"Due soon","OK")))</f>
        <v/>
      </c>
      <c r="W845" s="79">
        <f>IF(T845="","",IF(U845&lt;0,2,IF(U845&lt;=30,1,0)))</f>
        <v/>
      </c>
      <c r="X845" s="112">
        <f>IF(T845="","",T845)</f>
        <v/>
      </c>
      <c r="Y845" s="79">
        <f>IF(X845="","",IF(X845&lt;=AsOf+AlertDays,2,IF(X845&lt;=AsOf+30,3,"")))</f>
        <v/>
      </c>
      <c r="Z845" s="79">
        <f>IF(Y845="","",IF(U845&lt;0,"Maintenance overdue: ","Maintenance due: ")&amp;P845)</f>
        <v/>
      </c>
    </row>
    <row r="846" ht="20" customHeight="1">
      <c r="B846" s="72" t="n"/>
      <c r="C846" s="72" t="n"/>
      <c r="D846" s="72" t="n"/>
      <c r="E846" s="109" t="n"/>
      <c r="F846" s="74" t="n"/>
      <c r="G846" s="126">
        <f>IF(OR(E846="",F846=""),"",DATE(YEAR(E846),MONTH(E846)+ROUND(F846*12,0),DAY(E846)))</f>
        <v/>
      </c>
      <c r="H846" s="144">
        <f>IF(G846="","",G846-AsOf)</f>
        <v/>
      </c>
      <c r="I846" s="107">
        <f>IF(G846="","",IF(H846&lt;0,"Expired",IF(H846&lt;=90,"Expires soon","Active")))</f>
        <v/>
      </c>
      <c r="J846" s="72" t="n"/>
      <c r="K846" s="79">
        <f>IF(I846="","",IF(I846="Active",0,IF(I846="Expires soon",1,3)))</f>
        <v/>
      </c>
      <c r="L846" s="112">
        <f>IF(G846="","",IF(G846&lt;AsOf,"",G846))</f>
        <v/>
      </c>
      <c r="M846" s="79">
        <f>IF(L846="","",IF(L846&lt;=AsOf+AlertDays,2,IF(L846&lt;=AsOf+90,3,"")))</f>
        <v/>
      </c>
      <c r="N846" s="79">
        <f>IF(M846="","","Warranty expires in "&amp;H846&amp;" days: "&amp;B846&amp;IF(C846="",""," ("&amp;C846&amp;")")&amp;" — check for defects")</f>
        <v/>
      </c>
      <c r="P846" s="72" t="n"/>
      <c r="Q846" s="72" t="n"/>
      <c r="R846" s="89" t="n"/>
      <c r="S846" s="109" t="n"/>
      <c r="T846" s="126">
        <f>IF(OR(R846="",S846=""),"",DATE(YEAR(S846),MONTH(S846)+R846,DAY(S846)))</f>
        <v/>
      </c>
      <c r="U846" s="144">
        <f>IF(T846="","",T846-AsOf)</f>
        <v/>
      </c>
      <c r="V846" s="107">
        <f>IF(T846="",IF(P846="","","Enter last-done date"),IF(U846&lt;0,"Overdue",IF(U846&lt;=30,"Due soon","OK")))</f>
        <v/>
      </c>
      <c r="W846" s="79">
        <f>IF(T846="","",IF(U846&lt;0,2,IF(U846&lt;=30,1,0)))</f>
        <v/>
      </c>
      <c r="X846" s="112">
        <f>IF(T846="","",T846)</f>
        <v/>
      </c>
      <c r="Y846" s="79">
        <f>IF(X846="","",IF(X846&lt;=AsOf+AlertDays,2,IF(X846&lt;=AsOf+30,3,"")))</f>
        <v/>
      </c>
      <c r="Z846" s="79">
        <f>IF(Y846="","",IF(U846&lt;0,"Maintenance overdue: ","Maintenance due: ")&amp;P846)</f>
        <v/>
      </c>
    </row>
    <row r="847" ht="20" customHeight="1">
      <c r="B847" s="72" t="n"/>
      <c r="C847" s="72" t="n"/>
      <c r="D847" s="72" t="n"/>
      <c r="E847" s="109" t="n"/>
      <c r="F847" s="74" t="n"/>
      <c r="G847" s="126">
        <f>IF(OR(E847="",F847=""),"",DATE(YEAR(E847),MONTH(E847)+ROUND(F847*12,0),DAY(E847)))</f>
        <v/>
      </c>
      <c r="H847" s="144">
        <f>IF(G847="","",G847-AsOf)</f>
        <v/>
      </c>
      <c r="I847" s="107">
        <f>IF(G847="","",IF(H847&lt;0,"Expired",IF(H847&lt;=90,"Expires soon","Active")))</f>
        <v/>
      </c>
      <c r="J847" s="72" t="n"/>
      <c r="K847" s="79">
        <f>IF(I847="","",IF(I847="Active",0,IF(I847="Expires soon",1,3)))</f>
        <v/>
      </c>
      <c r="L847" s="112">
        <f>IF(G847="","",IF(G847&lt;AsOf,"",G847))</f>
        <v/>
      </c>
      <c r="M847" s="79">
        <f>IF(L847="","",IF(L847&lt;=AsOf+AlertDays,2,IF(L847&lt;=AsOf+90,3,"")))</f>
        <v/>
      </c>
      <c r="N847" s="79">
        <f>IF(M847="","","Warranty expires in "&amp;H847&amp;" days: "&amp;B847&amp;IF(C847="",""," ("&amp;C847&amp;")")&amp;" — check for defects")</f>
        <v/>
      </c>
      <c r="P847" s="72" t="n"/>
      <c r="Q847" s="72" t="n"/>
      <c r="R847" s="89" t="n"/>
      <c r="S847" s="109" t="n"/>
      <c r="T847" s="126">
        <f>IF(OR(R847="",S847=""),"",DATE(YEAR(S847),MONTH(S847)+R847,DAY(S847)))</f>
        <v/>
      </c>
      <c r="U847" s="144">
        <f>IF(T847="","",T847-AsOf)</f>
        <v/>
      </c>
      <c r="V847" s="107">
        <f>IF(T847="",IF(P847="","","Enter last-done date"),IF(U847&lt;0,"Overdue",IF(U847&lt;=30,"Due soon","OK")))</f>
        <v/>
      </c>
      <c r="W847" s="79">
        <f>IF(T847="","",IF(U847&lt;0,2,IF(U847&lt;=30,1,0)))</f>
        <v/>
      </c>
      <c r="X847" s="112">
        <f>IF(T847="","",T847)</f>
        <v/>
      </c>
      <c r="Y847" s="79">
        <f>IF(X847="","",IF(X847&lt;=AsOf+AlertDays,2,IF(X847&lt;=AsOf+30,3,"")))</f>
        <v/>
      </c>
      <c r="Z847" s="79">
        <f>IF(Y847="","",IF(U847&lt;0,"Maintenance overdue: ","Maintenance due: ")&amp;P847)</f>
        <v/>
      </c>
    </row>
    <row r="848" ht="20" customHeight="1">
      <c r="B848" s="72" t="n"/>
      <c r="C848" s="72" t="n"/>
      <c r="D848" s="72" t="n"/>
      <c r="E848" s="109" t="n"/>
      <c r="F848" s="74" t="n"/>
      <c r="G848" s="126">
        <f>IF(OR(E848="",F848=""),"",DATE(YEAR(E848),MONTH(E848)+ROUND(F848*12,0),DAY(E848)))</f>
        <v/>
      </c>
      <c r="H848" s="144">
        <f>IF(G848="","",G848-AsOf)</f>
        <v/>
      </c>
      <c r="I848" s="107">
        <f>IF(G848="","",IF(H848&lt;0,"Expired",IF(H848&lt;=90,"Expires soon","Active")))</f>
        <v/>
      </c>
      <c r="J848" s="72" t="n"/>
      <c r="K848" s="79">
        <f>IF(I848="","",IF(I848="Active",0,IF(I848="Expires soon",1,3)))</f>
        <v/>
      </c>
      <c r="L848" s="112">
        <f>IF(G848="","",IF(G848&lt;AsOf,"",G848))</f>
        <v/>
      </c>
      <c r="M848" s="79">
        <f>IF(L848="","",IF(L848&lt;=AsOf+AlertDays,2,IF(L848&lt;=AsOf+90,3,"")))</f>
        <v/>
      </c>
      <c r="N848" s="79">
        <f>IF(M848="","","Warranty expires in "&amp;H848&amp;" days: "&amp;B848&amp;IF(C848="",""," ("&amp;C848&amp;")")&amp;" — check for defects")</f>
        <v/>
      </c>
      <c r="P848" s="72" t="n"/>
      <c r="Q848" s="72" t="n"/>
      <c r="R848" s="89" t="n"/>
      <c r="S848" s="109" t="n"/>
      <c r="T848" s="126">
        <f>IF(OR(R848="",S848=""),"",DATE(YEAR(S848),MONTH(S848)+R848,DAY(S848)))</f>
        <v/>
      </c>
      <c r="U848" s="144">
        <f>IF(T848="","",T848-AsOf)</f>
        <v/>
      </c>
      <c r="V848" s="107">
        <f>IF(T848="",IF(P848="","","Enter last-done date"),IF(U848&lt;0,"Overdue",IF(U848&lt;=30,"Due soon","OK")))</f>
        <v/>
      </c>
      <c r="W848" s="79">
        <f>IF(T848="","",IF(U848&lt;0,2,IF(U848&lt;=30,1,0)))</f>
        <v/>
      </c>
      <c r="X848" s="112">
        <f>IF(T848="","",T848)</f>
        <v/>
      </c>
      <c r="Y848" s="79">
        <f>IF(X848="","",IF(X848&lt;=AsOf+AlertDays,2,IF(X848&lt;=AsOf+30,3,"")))</f>
        <v/>
      </c>
      <c r="Z848" s="79">
        <f>IF(Y848="","",IF(U848&lt;0,"Maintenance overdue: ","Maintenance due: ")&amp;P848)</f>
        <v/>
      </c>
    </row>
    <row r="849" ht="20" customHeight="1">
      <c r="B849" s="72" t="n"/>
      <c r="C849" s="72" t="n"/>
      <c r="D849" s="72" t="n"/>
      <c r="E849" s="109" t="n"/>
      <c r="F849" s="74" t="n"/>
      <c r="G849" s="126">
        <f>IF(OR(E849="",F849=""),"",DATE(YEAR(E849),MONTH(E849)+ROUND(F849*12,0),DAY(E849)))</f>
        <v/>
      </c>
      <c r="H849" s="144">
        <f>IF(G849="","",G849-AsOf)</f>
        <v/>
      </c>
      <c r="I849" s="107">
        <f>IF(G849="","",IF(H849&lt;0,"Expired",IF(H849&lt;=90,"Expires soon","Active")))</f>
        <v/>
      </c>
      <c r="J849" s="72" t="n"/>
      <c r="K849" s="79">
        <f>IF(I849="","",IF(I849="Active",0,IF(I849="Expires soon",1,3)))</f>
        <v/>
      </c>
      <c r="L849" s="112">
        <f>IF(G849="","",IF(G849&lt;AsOf,"",G849))</f>
        <v/>
      </c>
      <c r="M849" s="79">
        <f>IF(L849="","",IF(L849&lt;=AsOf+AlertDays,2,IF(L849&lt;=AsOf+90,3,"")))</f>
        <v/>
      </c>
      <c r="N849" s="79">
        <f>IF(M849="","","Warranty expires in "&amp;H849&amp;" days: "&amp;B849&amp;IF(C849="",""," ("&amp;C849&amp;")")&amp;" — check for defects")</f>
        <v/>
      </c>
      <c r="P849" s="72" t="n"/>
      <c r="Q849" s="72" t="n"/>
      <c r="R849" s="89" t="n"/>
      <c r="S849" s="109" t="n"/>
      <c r="T849" s="126">
        <f>IF(OR(R849="",S849=""),"",DATE(YEAR(S849),MONTH(S849)+R849,DAY(S849)))</f>
        <v/>
      </c>
      <c r="U849" s="144">
        <f>IF(T849="","",T849-AsOf)</f>
        <v/>
      </c>
      <c r="V849" s="107">
        <f>IF(T849="",IF(P849="","","Enter last-done date"),IF(U849&lt;0,"Overdue",IF(U849&lt;=30,"Due soon","OK")))</f>
        <v/>
      </c>
      <c r="W849" s="79">
        <f>IF(T849="","",IF(U849&lt;0,2,IF(U849&lt;=30,1,0)))</f>
        <v/>
      </c>
      <c r="X849" s="112">
        <f>IF(T849="","",T849)</f>
        <v/>
      </c>
      <c r="Y849" s="79">
        <f>IF(X849="","",IF(X849&lt;=AsOf+AlertDays,2,IF(X849&lt;=AsOf+30,3,"")))</f>
        <v/>
      </c>
      <c r="Z849" s="79">
        <f>IF(Y849="","",IF(U849&lt;0,"Maintenance overdue: ","Maintenance due: ")&amp;P849)</f>
        <v/>
      </c>
    </row>
    <row r="850" ht="20" customHeight="1">
      <c r="B850" s="72" t="n"/>
      <c r="C850" s="72" t="n"/>
      <c r="D850" s="72" t="n"/>
      <c r="E850" s="109" t="n"/>
      <c r="F850" s="74" t="n"/>
      <c r="G850" s="126">
        <f>IF(OR(E850="",F850=""),"",DATE(YEAR(E850),MONTH(E850)+ROUND(F850*12,0),DAY(E850)))</f>
        <v/>
      </c>
      <c r="H850" s="144">
        <f>IF(G850="","",G850-AsOf)</f>
        <v/>
      </c>
      <c r="I850" s="107">
        <f>IF(G850="","",IF(H850&lt;0,"Expired",IF(H850&lt;=90,"Expires soon","Active")))</f>
        <v/>
      </c>
      <c r="J850" s="72" t="n"/>
      <c r="K850" s="79">
        <f>IF(I850="","",IF(I850="Active",0,IF(I850="Expires soon",1,3)))</f>
        <v/>
      </c>
      <c r="L850" s="112">
        <f>IF(G850="","",IF(G850&lt;AsOf,"",G850))</f>
        <v/>
      </c>
      <c r="M850" s="79">
        <f>IF(L850="","",IF(L850&lt;=AsOf+AlertDays,2,IF(L850&lt;=AsOf+90,3,"")))</f>
        <v/>
      </c>
      <c r="N850" s="79">
        <f>IF(M850="","","Warranty expires in "&amp;H850&amp;" days: "&amp;B850&amp;IF(C850="",""," ("&amp;C850&amp;")")&amp;" — check for defects")</f>
        <v/>
      </c>
      <c r="P850" s="72" t="n"/>
      <c r="Q850" s="72" t="n"/>
      <c r="R850" s="89" t="n"/>
      <c r="S850" s="109" t="n"/>
      <c r="T850" s="126">
        <f>IF(OR(R850="",S850=""),"",DATE(YEAR(S850),MONTH(S850)+R850,DAY(S850)))</f>
        <v/>
      </c>
      <c r="U850" s="144">
        <f>IF(T850="","",T850-AsOf)</f>
        <v/>
      </c>
      <c r="V850" s="107">
        <f>IF(T850="",IF(P850="","","Enter last-done date"),IF(U850&lt;0,"Overdue",IF(U850&lt;=30,"Due soon","OK")))</f>
        <v/>
      </c>
      <c r="W850" s="79">
        <f>IF(T850="","",IF(U850&lt;0,2,IF(U850&lt;=30,1,0)))</f>
        <v/>
      </c>
      <c r="X850" s="112">
        <f>IF(T850="","",T850)</f>
        <v/>
      </c>
      <c r="Y850" s="79">
        <f>IF(X850="","",IF(X850&lt;=AsOf+AlertDays,2,IF(X850&lt;=AsOf+30,3,"")))</f>
        <v/>
      </c>
      <c r="Z850" s="79">
        <f>IF(Y850="","",IF(U850&lt;0,"Maintenance overdue: ","Maintenance due: ")&amp;P850)</f>
        <v/>
      </c>
    </row>
    <row r="851" ht="20" customHeight="1">
      <c r="B851" s="72" t="n"/>
      <c r="C851" s="72" t="n"/>
      <c r="D851" s="72" t="n"/>
      <c r="E851" s="109" t="n"/>
      <c r="F851" s="74" t="n"/>
      <c r="G851" s="126">
        <f>IF(OR(E851="",F851=""),"",DATE(YEAR(E851),MONTH(E851)+ROUND(F851*12,0),DAY(E851)))</f>
        <v/>
      </c>
      <c r="H851" s="144">
        <f>IF(G851="","",G851-AsOf)</f>
        <v/>
      </c>
      <c r="I851" s="107">
        <f>IF(G851="","",IF(H851&lt;0,"Expired",IF(H851&lt;=90,"Expires soon","Active")))</f>
        <v/>
      </c>
      <c r="J851" s="72" t="n"/>
      <c r="K851" s="79">
        <f>IF(I851="","",IF(I851="Active",0,IF(I851="Expires soon",1,3)))</f>
        <v/>
      </c>
      <c r="L851" s="112">
        <f>IF(G851="","",IF(G851&lt;AsOf,"",G851))</f>
        <v/>
      </c>
      <c r="M851" s="79">
        <f>IF(L851="","",IF(L851&lt;=AsOf+AlertDays,2,IF(L851&lt;=AsOf+90,3,"")))</f>
        <v/>
      </c>
      <c r="N851" s="79">
        <f>IF(M851="","","Warranty expires in "&amp;H851&amp;" days: "&amp;B851&amp;IF(C851="",""," ("&amp;C851&amp;")")&amp;" — check for defects")</f>
        <v/>
      </c>
      <c r="P851" s="72" t="n"/>
      <c r="Q851" s="72" t="n"/>
      <c r="R851" s="89" t="n"/>
      <c r="S851" s="109" t="n"/>
      <c r="T851" s="126">
        <f>IF(OR(R851="",S851=""),"",DATE(YEAR(S851),MONTH(S851)+R851,DAY(S851)))</f>
        <v/>
      </c>
      <c r="U851" s="144">
        <f>IF(T851="","",T851-AsOf)</f>
        <v/>
      </c>
      <c r="V851" s="107">
        <f>IF(T851="",IF(P851="","","Enter last-done date"),IF(U851&lt;0,"Overdue",IF(U851&lt;=30,"Due soon","OK")))</f>
        <v/>
      </c>
      <c r="W851" s="79">
        <f>IF(T851="","",IF(U851&lt;0,2,IF(U851&lt;=30,1,0)))</f>
        <v/>
      </c>
      <c r="X851" s="112">
        <f>IF(T851="","",T851)</f>
        <v/>
      </c>
      <c r="Y851" s="79">
        <f>IF(X851="","",IF(X851&lt;=AsOf+AlertDays,2,IF(X851&lt;=AsOf+30,3,"")))</f>
        <v/>
      </c>
      <c r="Z851" s="79">
        <f>IF(Y851="","",IF(U851&lt;0,"Maintenance overdue: ","Maintenance due: ")&amp;P851)</f>
        <v/>
      </c>
    </row>
    <row r="852" ht="20" customHeight="1">
      <c r="B852" s="72" t="n"/>
      <c r="C852" s="72" t="n"/>
      <c r="D852" s="72" t="n"/>
      <c r="E852" s="109" t="n"/>
      <c r="F852" s="74" t="n"/>
      <c r="G852" s="126">
        <f>IF(OR(E852="",F852=""),"",DATE(YEAR(E852),MONTH(E852)+ROUND(F852*12,0),DAY(E852)))</f>
        <v/>
      </c>
      <c r="H852" s="144">
        <f>IF(G852="","",G852-AsOf)</f>
        <v/>
      </c>
      <c r="I852" s="107">
        <f>IF(G852="","",IF(H852&lt;0,"Expired",IF(H852&lt;=90,"Expires soon","Active")))</f>
        <v/>
      </c>
      <c r="J852" s="72" t="n"/>
      <c r="K852" s="79">
        <f>IF(I852="","",IF(I852="Active",0,IF(I852="Expires soon",1,3)))</f>
        <v/>
      </c>
      <c r="L852" s="112">
        <f>IF(G852="","",IF(G852&lt;AsOf,"",G852))</f>
        <v/>
      </c>
      <c r="M852" s="79">
        <f>IF(L852="","",IF(L852&lt;=AsOf+AlertDays,2,IF(L852&lt;=AsOf+90,3,"")))</f>
        <v/>
      </c>
      <c r="N852" s="79">
        <f>IF(M852="","","Warranty expires in "&amp;H852&amp;" days: "&amp;B852&amp;IF(C852="",""," ("&amp;C852&amp;")")&amp;" — check for defects")</f>
        <v/>
      </c>
      <c r="P852" s="72" t="n"/>
      <c r="Q852" s="72" t="n"/>
      <c r="R852" s="89" t="n"/>
      <c r="S852" s="109" t="n"/>
      <c r="T852" s="126">
        <f>IF(OR(R852="",S852=""),"",DATE(YEAR(S852),MONTH(S852)+R852,DAY(S852)))</f>
        <v/>
      </c>
      <c r="U852" s="144">
        <f>IF(T852="","",T852-AsOf)</f>
        <v/>
      </c>
      <c r="V852" s="107">
        <f>IF(T852="",IF(P852="","","Enter last-done date"),IF(U852&lt;0,"Overdue",IF(U852&lt;=30,"Due soon","OK")))</f>
        <v/>
      </c>
      <c r="W852" s="79">
        <f>IF(T852="","",IF(U852&lt;0,2,IF(U852&lt;=30,1,0)))</f>
        <v/>
      </c>
      <c r="X852" s="112">
        <f>IF(T852="","",T852)</f>
        <v/>
      </c>
      <c r="Y852" s="79">
        <f>IF(X852="","",IF(X852&lt;=AsOf+AlertDays,2,IF(X852&lt;=AsOf+30,3,"")))</f>
        <v/>
      </c>
      <c r="Z852" s="79">
        <f>IF(Y852="","",IF(U852&lt;0,"Maintenance overdue: ","Maintenance due: ")&amp;P852)</f>
        <v/>
      </c>
    </row>
    <row r="853" ht="20" customHeight="1">
      <c r="B853" s="72" t="n"/>
      <c r="C853" s="72" t="n"/>
      <c r="D853" s="72" t="n"/>
      <c r="E853" s="109" t="n"/>
      <c r="F853" s="74" t="n"/>
      <c r="G853" s="126">
        <f>IF(OR(E853="",F853=""),"",DATE(YEAR(E853),MONTH(E853)+ROUND(F853*12,0),DAY(E853)))</f>
        <v/>
      </c>
      <c r="H853" s="144">
        <f>IF(G853="","",G853-AsOf)</f>
        <v/>
      </c>
      <c r="I853" s="107">
        <f>IF(G853="","",IF(H853&lt;0,"Expired",IF(H853&lt;=90,"Expires soon","Active")))</f>
        <v/>
      </c>
      <c r="J853" s="72" t="n"/>
      <c r="K853" s="79">
        <f>IF(I853="","",IF(I853="Active",0,IF(I853="Expires soon",1,3)))</f>
        <v/>
      </c>
      <c r="L853" s="112">
        <f>IF(G853="","",IF(G853&lt;AsOf,"",G853))</f>
        <v/>
      </c>
      <c r="M853" s="79">
        <f>IF(L853="","",IF(L853&lt;=AsOf+AlertDays,2,IF(L853&lt;=AsOf+90,3,"")))</f>
        <v/>
      </c>
      <c r="N853" s="79">
        <f>IF(M853="","","Warranty expires in "&amp;H853&amp;" days: "&amp;B853&amp;IF(C853="",""," ("&amp;C853&amp;")")&amp;" — check for defects")</f>
        <v/>
      </c>
      <c r="P853" s="72" t="n"/>
      <c r="Q853" s="72" t="n"/>
      <c r="R853" s="89" t="n"/>
      <c r="S853" s="109" t="n"/>
      <c r="T853" s="126">
        <f>IF(OR(R853="",S853=""),"",DATE(YEAR(S853),MONTH(S853)+R853,DAY(S853)))</f>
        <v/>
      </c>
      <c r="U853" s="144">
        <f>IF(T853="","",T853-AsOf)</f>
        <v/>
      </c>
      <c r="V853" s="107">
        <f>IF(T853="",IF(P853="","","Enter last-done date"),IF(U853&lt;0,"Overdue",IF(U853&lt;=30,"Due soon","OK")))</f>
        <v/>
      </c>
      <c r="W853" s="79">
        <f>IF(T853="","",IF(U853&lt;0,2,IF(U853&lt;=30,1,0)))</f>
        <v/>
      </c>
      <c r="X853" s="112">
        <f>IF(T853="","",T853)</f>
        <v/>
      </c>
      <c r="Y853" s="79">
        <f>IF(X853="","",IF(X853&lt;=AsOf+AlertDays,2,IF(X853&lt;=AsOf+30,3,"")))</f>
        <v/>
      </c>
      <c r="Z853" s="79">
        <f>IF(Y853="","",IF(U853&lt;0,"Maintenance overdue: ","Maintenance due: ")&amp;P853)</f>
        <v/>
      </c>
    </row>
    <row r="854" ht="20" customHeight="1">
      <c r="B854" s="72" t="n"/>
      <c r="C854" s="72" t="n"/>
      <c r="D854" s="72" t="n"/>
      <c r="E854" s="109" t="n"/>
      <c r="F854" s="74" t="n"/>
      <c r="G854" s="126">
        <f>IF(OR(E854="",F854=""),"",DATE(YEAR(E854),MONTH(E854)+ROUND(F854*12,0),DAY(E854)))</f>
        <v/>
      </c>
      <c r="H854" s="144">
        <f>IF(G854="","",G854-AsOf)</f>
        <v/>
      </c>
      <c r="I854" s="107">
        <f>IF(G854="","",IF(H854&lt;0,"Expired",IF(H854&lt;=90,"Expires soon","Active")))</f>
        <v/>
      </c>
      <c r="J854" s="72" t="n"/>
      <c r="K854" s="79">
        <f>IF(I854="","",IF(I854="Active",0,IF(I854="Expires soon",1,3)))</f>
        <v/>
      </c>
      <c r="L854" s="112">
        <f>IF(G854="","",IF(G854&lt;AsOf,"",G854))</f>
        <v/>
      </c>
      <c r="M854" s="79">
        <f>IF(L854="","",IF(L854&lt;=AsOf+AlertDays,2,IF(L854&lt;=AsOf+90,3,"")))</f>
        <v/>
      </c>
      <c r="N854" s="79">
        <f>IF(M854="","","Warranty expires in "&amp;H854&amp;" days: "&amp;B854&amp;IF(C854="",""," ("&amp;C854&amp;")")&amp;" — check for defects")</f>
        <v/>
      </c>
      <c r="P854" s="72" t="n"/>
      <c r="Q854" s="72" t="n"/>
      <c r="R854" s="89" t="n"/>
      <c r="S854" s="109" t="n"/>
      <c r="T854" s="126">
        <f>IF(OR(R854="",S854=""),"",DATE(YEAR(S854),MONTH(S854)+R854,DAY(S854)))</f>
        <v/>
      </c>
      <c r="U854" s="144">
        <f>IF(T854="","",T854-AsOf)</f>
        <v/>
      </c>
      <c r="V854" s="107">
        <f>IF(T854="",IF(P854="","","Enter last-done date"),IF(U854&lt;0,"Overdue",IF(U854&lt;=30,"Due soon","OK")))</f>
        <v/>
      </c>
      <c r="W854" s="79">
        <f>IF(T854="","",IF(U854&lt;0,2,IF(U854&lt;=30,1,0)))</f>
        <v/>
      </c>
      <c r="X854" s="112">
        <f>IF(T854="","",T854)</f>
        <v/>
      </c>
      <c r="Y854" s="79">
        <f>IF(X854="","",IF(X854&lt;=AsOf+AlertDays,2,IF(X854&lt;=AsOf+30,3,"")))</f>
        <v/>
      </c>
      <c r="Z854" s="79">
        <f>IF(Y854="","",IF(U854&lt;0,"Maintenance overdue: ","Maintenance due: ")&amp;P854)</f>
        <v/>
      </c>
    </row>
    <row r="855" ht="20" customHeight="1">
      <c r="B855" s="72" t="n"/>
      <c r="C855" s="72" t="n"/>
      <c r="D855" s="72" t="n"/>
      <c r="E855" s="109" t="n"/>
      <c r="F855" s="74" t="n"/>
      <c r="G855" s="126">
        <f>IF(OR(E855="",F855=""),"",DATE(YEAR(E855),MONTH(E855)+ROUND(F855*12,0),DAY(E855)))</f>
        <v/>
      </c>
      <c r="H855" s="144">
        <f>IF(G855="","",G855-AsOf)</f>
        <v/>
      </c>
      <c r="I855" s="107">
        <f>IF(G855="","",IF(H855&lt;0,"Expired",IF(H855&lt;=90,"Expires soon","Active")))</f>
        <v/>
      </c>
      <c r="J855" s="72" t="n"/>
      <c r="K855" s="79">
        <f>IF(I855="","",IF(I855="Active",0,IF(I855="Expires soon",1,3)))</f>
        <v/>
      </c>
      <c r="L855" s="112">
        <f>IF(G855="","",IF(G855&lt;AsOf,"",G855))</f>
        <v/>
      </c>
      <c r="M855" s="79">
        <f>IF(L855="","",IF(L855&lt;=AsOf+AlertDays,2,IF(L855&lt;=AsOf+90,3,"")))</f>
        <v/>
      </c>
      <c r="N855" s="79">
        <f>IF(M855="","","Warranty expires in "&amp;H855&amp;" days: "&amp;B855&amp;IF(C855="",""," ("&amp;C855&amp;")")&amp;" — check for defects")</f>
        <v/>
      </c>
      <c r="P855" s="72" t="n"/>
      <c r="Q855" s="72" t="n"/>
      <c r="R855" s="89" t="n"/>
      <c r="S855" s="109" t="n"/>
      <c r="T855" s="126">
        <f>IF(OR(R855="",S855=""),"",DATE(YEAR(S855),MONTH(S855)+R855,DAY(S855)))</f>
        <v/>
      </c>
      <c r="U855" s="144">
        <f>IF(T855="","",T855-AsOf)</f>
        <v/>
      </c>
      <c r="V855" s="107">
        <f>IF(T855="",IF(P855="","","Enter last-done date"),IF(U855&lt;0,"Overdue",IF(U855&lt;=30,"Due soon","OK")))</f>
        <v/>
      </c>
      <c r="W855" s="79">
        <f>IF(T855="","",IF(U855&lt;0,2,IF(U855&lt;=30,1,0)))</f>
        <v/>
      </c>
      <c r="X855" s="112">
        <f>IF(T855="","",T855)</f>
        <v/>
      </c>
      <c r="Y855" s="79">
        <f>IF(X855="","",IF(X855&lt;=AsOf+AlertDays,2,IF(X855&lt;=AsOf+30,3,"")))</f>
        <v/>
      </c>
      <c r="Z855" s="79">
        <f>IF(Y855="","",IF(U855&lt;0,"Maintenance overdue: ","Maintenance due: ")&amp;P855)</f>
        <v/>
      </c>
    </row>
    <row r="856" ht="20" customHeight="1">
      <c r="B856" s="72" t="n"/>
      <c r="C856" s="72" t="n"/>
      <c r="D856" s="72" t="n"/>
      <c r="E856" s="109" t="n"/>
      <c r="F856" s="74" t="n"/>
      <c r="G856" s="126">
        <f>IF(OR(E856="",F856=""),"",DATE(YEAR(E856),MONTH(E856)+ROUND(F856*12,0),DAY(E856)))</f>
        <v/>
      </c>
      <c r="H856" s="144">
        <f>IF(G856="","",G856-AsOf)</f>
        <v/>
      </c>
      <c r="I856" s="107">
        <f>IF(G856="","",IF(H856&lt;0,"Expired",IF(H856&lt;=90,"Expires soon","Active")))</f>
        <v/>
      </c>
      <c r="J856" s="72" t="n"/>
      <c r="K856" s="79">
        <f>IF(I856="","",IF(I856="Active",0,IF(I856="Expires soon",1,3)))</f>
        <v/>
      </c>
      <c r="L856" s="112">
        <f>IF(G856="","",IF(G856&lt;AsOf,"",G856))</f>
        <v/>
      </c>
      <c r="M856" s="79">
        <f>IF(L856="","",IF(L856&lt;=AsOf+AlertDays,2,IF(L856&lt;=AsOf+90,3,"")))</f>
        <v/>
      </c>
      <c r="N856" s="79">
        <f>IF(M856="","","Warranty expires in "&amp;H856&amp;" days: "&amp;B856&amp;IF(C856="",""," ("&amp;C856&amp;")")&amp;" — check for defects")</f>
        <v/>
      </c>
      <c r="P856" s="72" t="n"/>
      <c r="Q856" s="72" t="n"/>
      <c r="R856" s="89" t="n"/>
      <c r="S856" s="109" t="n"/>
      <c r="T856" s="126">
        <f>IF(OR(R856="",S856=""),"",DATE(YEAR(S856),MONTH(S856)+R856,DAY(S856)))</f>
        <v/>
      </c>
      <c r="U856" s="144">
        <f>IF(T856="","",T856-AsOf)</f>
        <v/>
      </c>
      <c r="V856" s="107">
        <f>IF(T856="",IF(P856="","","Enter last-done date"),IF(U856&lt;0,"Overdue",IF(U856&lt;=30,"Due soon","OK")))</f>
        <v/>
      </c>
      <c r="W856" s="79">
        <f>IF(T856="","",IF(U856&lt;0,2,IF(U856&lt;=30,1,0)))</f>
        <v/>
      </c>
      <c r="X856" s="112">
        <f>IF(T856="","",T856)</f>
        <v/>
      </c>
      <c r="Y856" s="79">
        <f>IF(X856="","",IF(X856&lt;=AsOf+AlertDays,2,IF(X856&lt;=AsOf+30,3,"")))</f>
        <v/>
      </c>
      <c r="Z856" s="79">
        <f>IF(Y856="","",IF(U856&lt;0,"Maintenance overdue: ","Maintenance due: ")&amp;P856)</f>
        <v/>
      </c>
    </row>
    <row r="857" ht="20" customHeight="1">
      <c r="B857" s="72" t="n"/>
      <c r="C857" s="72" t="n"/>
      <c r="D857" s="72" t="n"/>
      <c r="E857" s="109" t="n"/>
      <c r="F857" s="74" t="n"/>
      <c r="G857" s="126">
        <f>IF(OR(E857="",F857=""),"",DATE(YEAR(E857),MONTH(E857)+ROUND(F857*12,0),DAY(E857)))</f>
        <v/>
      </c>
      <c r="H857" s="144">
        <f>IF(G857="","",G857-AsOf)</f>
        <v/>
      </c>
      <c r="I857" s="107">
        <f>IF(G857="","",IF(H857&lt;0,"Expired",IF(H857&lt;=90,"Expires soon","Active")))</f>
        <v/>
      </c>
      <c r="J857" s="72" t="n"/>
      <c r="K857" s="79">
        <f>IF(I857="","",IF(I857="Active",0,IF(I857="Expires soon",1,3)))</f>
        <v/>
      </c>
      <c r="L857" s="112">
        <f>IF(G857="","",IF(G857&lt;AsOf,"",G857))</f>
        <v/>
      </c>
      <c r="M857" s="79">
        <f>IF(L857="","",IF(L857&lt;=AsOf+AlertDays,2,IF(L857&lt;=AsOf+90,3,"")))</f>
        <v/>
      </c>
      <c r="N857" s="79">
        <f>IF(M857="","","Warranty expires in "&amp;H857&amp;" days: "&amp;B857&amp;IF(C857="",""," ("&amp;C857&amp;")")&amp;" — check for defects")</f>
        <v/>
      </c>
      <c r="P857" s="72" t="n"/>
      <c r="Q857" s="72" t="n"/>
      <c r="R857" s="89" t="n"/>
      <c r="S857" s="109" t="n"/>
      <c r="T857" s="126">
        <f>IF(OR(R857="",S857=""),"",DATE(YEAR(S857),MONTH(S857)+R857,DAY(S857)))</f>
        <v/>
      </c>
      <c r="U857" s="144">
        <f>IF(T857="","",T857-AsOf)</f>
        <v/>
      </c>
      <c r="V857" s="107">
        <f>IF(T857="",IF(P857="","","Enter last-done date"),IF(U857&lt;0,"Overdue",IF(U857&lt;=30,"Due soon","OK")))</f>
        <v/>
      </c>
      <c r="W857" s="79">
        <f>IF(T857="","",IF(U857&lt;0,2,IF(U857&lt;=30,1,0)))</f>
        <v/>
      </c>
      <c r="X857" s="112">
        <f>IF(T857="","",T857)</f>
        <v/>
      </c>
      <c r="Y857" s="79">
        <f>IF(X857="","",IF(X857&lt;=AsOf+AlertDays,2,IF(X857&lt;=AsOf+30,3,"")))</f>
        <v/>
      </c>
      <c r="Z857" s="79">
        <f>IF(Y857="","",IF(U857&lt;0,"Maintenance overdue: ","Maintenance due: ")&amp;P857)</f>
        <v/>
      </c>
    </row>
    <row r="858" ht="20" customHeight="1">
      <c r="B858" s="72" t="n"/>
      <c r="C858" s="72" t="n"/>
      <c r="D858" s="72" t="n"/>
      <c r="E858" s="109" t="n"/>
      <c r="F858" s="74" t="n"/>
      <c r="G858" s="126">
        <f>IF(OR(E858="",F858=""),"",DATE(YEAR(E858),MONTH(E858)+ROUND(F858*12,0),DAY(E858)))</f>
        <v/>
      </c>
      <c r="H858" s="144">
        <f>IF(G858="","",G858-AsOf)</f>
        <v/>
      </c>
      <c r="I858" s="107">
        <f>IF(G858="","",IF(H858&lt;0,"Expired",IF(H858&lt;=90,"Expires soon","Active")))</f>
        <v/>
      </c>
      <c r="J858" s="72" t="n"/>
      <c r="K858" s="79">
        <f>IF(I858="","",IF(I858="Active",0,IF(I858="Expires soon",1,3)))</f>
        <v/>
      </c>
      <c r="L858" s="112">
        <f>IF(G858="","",IF(G858&lt;AsOf,"",G858))</f>
        <v/>
      </c>
      <c r="M858" s="79">
        <f>IF(L858="","",IF(L858&lt;=AsOf+AlertDays,2,IF(L858&lt;=AsOf+90,3,"")))</f>
        <v/>
      </c>
      <c r="N858" s="79">
        <f>IF(M858="","","Warranty expires in "&amp;H858&amp;" days: "&amp;B858&amp;IF(C858="",""," ("&amp;C858&amp;")")&amp;" — check for defects")</f>
        <v/>
      </c>
      <c r="P858" s="72" t="n"/>
      <c r="Q858" s="72" t="n"/>
      <c r="R858" s="89" t="n"/>
      <c r="S858" s="109" t="n"/>
      <c r="T858" s="126">
        <f>IF(OR(R858="",S858=""),"",DATE(YEAR(S858),MONTH(S858)+R858,DAY(S858)))</f>
        <v/>
      </c>
      <c r="U858" s="144">
        <f>IF(T858="","",T858-AsOf)</f>
        <v/>
      </c>
      <c r="V858" s="107">
        <f>IF(T858="",IF(P858="","","Enter last-done date"),IF(U858&lt;0,"Overdue",IF(U858&lt;=30,"Due soon","OK")))</f>
        <v/>
      </c>
      <c r="W858" s="79">
        <f>IF(T858="","",IF(U858&lt;0,2,IF(U858&lt;=30,1,0)))</f>
        <v/>
      </c>
      <c r="X858" s="112">
        <f>IF(T858="","",T858)</f>
        <v/>
      </c>
      <c r="Y858" s="79">
        <f>IF(X858="","",IF(X858&lt;=AsOf+AlertDays,2,IF(X858&lt;=AsOf+30,3,"")))</f>
        <v/>
      </c>
      <c r="Z858" s="79">
        <f>IF(Y858="","",IF(U858&lt;0,"Maintenance overdue: ","Maintenance due: ")&amp;P858)</f>
        <v/>
      </c>
    </row>
    <row r="859" ht="20" customHeight="1">
      <c r="B859" s="72" t="n"/>
      <c r="C859" s="72" t="n"/>
      <c r="D859" s="72" t="n"/>
      <c r="E859" s="109" t="n"/>
      <c r="F859" s="74" t="n"/>
      <c r="G859" s="126">
        <f>IF(OR(E859="",F859=""),"",DATE(YEAR(E859),MONTH(E859)+ROUND(F859*12,0),DAY(E859)))</f>
        <v/>
      </c>
      <c r="H859" s="144">
        <f>IF(G859="","",G859-AsOf)</f>
        <v/>
      </c>
      <c r="I859" s="107">
        <f>IF(G859="","",IF(H859&lt;0,"Expired",IF(H859&lt;=90,"Expires soon","Active")))</f>
        <v/>
      </c>
      <c r="J859" s="72" t="n"/>
      <c r="K859" s="79">
        <f>IF(I859="","",IF(I859="Active",0,IF(I859="Expires soon",1,3)))</f>
        <v/>
      </c>
      <c r="L859" s="112">
        <f>IF(G859="","",IF(G859&lt;AsOf,"",G859))</f>
        <v/>
      </c>
      <c r="M859" s="79">
        <f>IF(L859="","",IF(L859&lt;=AsOf+AlertDays,2,IF(L859&lt;=AsOf+90,3,"")))</f>
        <v/>
      </c>
      <c r="N859" s="79">
        <f>IF(M859="","","Warranty expires in "&amp;H859&amp;" days: "&amp;B859&amp;IF(C859="",""," ("&amp;C859&amp;")")&amp;" — check for defects")</f>
        <v/>
      </c>
      <c r="P859" s="72" t="n"/>
      <c r="Q859" s="72" t="n"/>
      <c r="R859" s="89" t="n"/>
      <c r="S859" s="109" t="n"/>
      <c r="T859" s="126">
        <f>IF(OR(R859="",S859=""),"",DATE(YEAR(S859),MONTH(S859)+R859,DAY(S859)))</f>
        <v/>
      </c>
      <c r="U859" s="144">
        <f>IF(T859="","",T859-AsOf)</f>
        <v/>
      </c>
      <c r="V859" s="107">
        <f>IF(T859="",IF(P859="","","Enter last-done date"),IF(U859&lt;0,"Overdue",IF(U859&lt;=30,"Due soon","OK")))</f>
        <v/>
      </c>
      <c r="W859" s="79">
        <f>IF(T859="","",IF(U859&lt;0,2,IF(U859&lt;=30,1,0)))</f>
        <v/>
      </c>
      <c r="X859" s="112">
        <f>IF(T859="","",T859)</f>
        <v/>
      </c>
      <c r="Y859" s="79">
        <f>IF(X859="","",IF(X859&lt;=AsOf+AlertDays,2,IF(X859&lt;=AsOf+30,3,"")))</f>
        <v/>
      </c>
      <c r="Z859" s="79">
        <f>IF(Y859="","",IF(U859&lt;0,"Maintenance overdue: ","Maintenance due: ")&amp;P859)</f>
        <v/>
      </c>
    </row>
    <row r="860" ht="20" customHeight="1">
      <c r="B860" s="72" t="n"/>
      <c r="C860" s="72" t="n"/>
      <c r="D860" s="72" t="n"/>
      <c r="E860" s="109" t="n"/>
      <c r="F860" s="74" t="n"/>
      <c r="G860" s="126">
        <f>IF(OR(E860="",F860=""),"",DATE(YEAR(E860),MONTH(E860)+ROUND(F860*12,0),DAY(E860)))</f>
        <v/>
      </c>
      <c r="H860" s="144">
        <f>IF(G860="","",G860-AsOf)</f>
        <v/>
      </c>
      <c r="I860" s="107">
        <f>IF(G860="","",IF(H860&lt;0,"Expired",IF(H860&lt;=90,"Expires soon","Active")))</f>
        <v/>
      </c>
      <c r="J860" s="72" t="n"/>
      <c r="K860" s="79">
        <f>IF(I860="","",IF(I860="Active",0,IF(I860="Expires soon",1,3)))</f>
        <v/>
      </c>
      <c r="L860" s="112">
        <f>IF(G860="","",IF(G860&lt;AsOf,"",G860))</f>
        <v/>
      </c>
      <c r="M860" s="79">
        <f>IF(L860="","",IF(L860&lt;=AsOf+AlertDays,2,IF(L860&lt;=AsOf+90,3,"")))</f>
        <v/>
      </c>
      <c r="N860" s="79">
        <f>IF(M860="","","Warranty expires in "&amp;H860&amp;" days: "&amp;B860&amp;IF(C860="",""," ("&amp;C860&amp;")")&amp;" — check for defects")</f>
        <v/>
      </c>
      <c r="P860" s="72" t="n"/>
      <c r="Q860" s="72" t="n"/>
      <c r="R860" s="89" t="n"/>
      <c r="S860" s="109" t="n"/>
      <c r="T860" s="126">
        <f>IF(OR(R860="",S860=""),"",DATE(YEAR(S860),MONTH(S860)+R860,DAY(S860)))</f>
        <v/>
      </c>
      <c r="U860" s="144">
        <f>IF(T860="","",T860-AsOf)</f>
        <v/>
      </c>
      <c r="V860" s="107">
        <f>IF(T860="",IF(P860="","","Enter last-done date"),IF(U860&lt;0,"Overdue",IF(U860&lt;=30,"Due soon","OK")))</f>
        <v/>
      </c>
      <c r="W860" s="79">
        <f>IF(T860="","",IF(U860&lt;0,2,IF(U860&lt;=30,1,0)))</f>
        <v/>
      </c>
      <c r="X860" s="112">
        <f>IF(T860="","",T860)</f>
        <v/>
      </c>
      <c r="Y860" s="79">
        <f>IF(X860="","",IF(X860&lt;=AsOf+AlertDays,2,IF(X860&lt;=AsOf+30,3,"")))</f>
        <v/>
      </c>
      <c r="Z860" s="79">
        <f>IF(Y860="","",IF(U860&lt;0,"Maintenance overdue: ","Maintenance due: ")&amp;P860)</f>
        <v/>
      </c>
    </row>
    <row r="861" ht="20" customHeight="1">
      <c r="B861" s="72" t="n"/>
      <c r="C861" s="72" t="n"/>
      <c r="D861" s="72" t="n"/>
      <c r="E861" s="109" t="n"/>
      <c r="F861" s="74" t="n"/>
      <c r="G861" s="126">
        <f>IF(OR(E861="",F861=""),"",DATE(YEAR(E861),MONTH(E861)+ROUND(F861*12,0),DAY(E861)))</f>
        <v/>
      </c>
      <c r="H861" s="144">
        <f>IF(G861="","",G861-AsOf)</f>
        <v/>
      </c>
      <c r="I861" s="107">
        <f>IF(G861="","",IF(H861&lt;0,"Expired",IF(H861&lt;=90,"Expires soon","Active")))</f>
        <v/>
      </c>
      <c r="J861" s="72" t="n"/>
      <c r="K861" s="79">
        <f>IF(I861="","",IF(I861="Active",0,IF(I861="Expires soon",1,3)))</f>
        <v/>
      </c>
      <c r="L861" s="112">
        <f>IF(G861="","",IF(G861&lt;AsOf,"",G861))</f>
        <v/>
      </c>
      <c r="M861" s="79">
        <f>IF(L861="","",IF(L861&lt;=AsOf+AlertDays,2,IF(L861&lt;=AsOf+90,3,"")))</f>
        <v/>
      </c>
      <c r="N861" s="79">
        <f>IF(M861="","","Warranty expires in "&amp;H861&amp;" days: "&amp;B861&amp;IF(C861="",""," ("&amp;C861&amp;")")&amp;" — check for defects")</f>
        <v/>
      </c>
      <c r="P861" s="72" t="n"/>
      <c r="Q861" s="72" t="n"/>
      <c r="R861" s="89" t="n"/>
      <c r="S861" s="109" t="n"/>
      <c r="T861" s="126">
        <f>IF(OR(R861="",S861=""),"",DATE(YEAR(S861),MONTH(S861)+R861,DAY(S861)))</f>
        <v/>
      </c>
      <c r="U861" s="144">
        <f>IF(T861="","",T861-AsOf)</f>
        <v/>
      </c>
      <c r="V861" s="107">
        <f>IF(T861="",IF(P861="","","Enter last-done date"),IF(U861&lt;0,"Overdue",IF(U861&lt;=30,"Due soon","OK")))</f>
        <v/>
      </c>
      <c r="W861" s="79">
        <f>IF(T861="","",IF(U861&lt;0,2,IF(U861&lt;=30,1,0)))</f>
        <v/>
      </c>
      <c r="X861" s="112">
        <f>IF(T861="","",T861)</f>
        <v/>
      </c>
      <c r="Y861" s="79">
        <f>IF(X861="","",IF(X861&lt;=AsOf+AlertDays,2,IF(X861&lt;=AsOf+30,3,"")))</f>
        <v/>
      </c>
      <c r="Z861" s="79">
        <f>IF(Y861="","",IF(U861&lt;0,"Maintenance overdue: ","Maintenance due: ")&amp;P861)</f>
        <v/>
      </c>
    </row>
    <row r="862" ht="20" customHeight="1">
      <c r="B862" s="72" t="n"/>
      <c r="C862" s="72" t="n"/>
      <c r="D862" s="72" t="n"/>
      <c r="E862" s="109" t="n"/>
      <c r="F862" s="74" t="n"/>
      <c r="G862" s="126">
        <f>IF(OR(E862="",F862=""),"",DATE(YEAR(E862),MONTH(E862)+ROUND(F862*12,0),DAY(E862)))</f>
        <v/>
      </c>
      <c r="H862" s="144">
        <f>IF(G862="","",G862-AsOf)</f>
        <v/>
      </c>
      <c r="I862" s="107">
        <f>IF(G862="","",IF(H862&lt;0,"Expired",IF(H862&lt;=90,"Expires soon","Active")))</f>
        <v/>
      </c>
      <c r="J862" s="72" t="n"/>
      <c r="K862" s="79">
        <f>IF(I862="","",IF(I862="Active",0,IF(I862="Expires soon",1,3)))</f>
        <v/>
      </c>
      <c r="L862" s="112">
        <f>IF(G862="","",IF(G862&lt;AsOf,"",G862))</f>
        <v/>
      </c>
      <c r="M862" s="79">
        <f>IF(L862="","",IF(L862&lt;=AsOf+AlertDays,2,IF(L862&lt;=AsOf+90,3,"")))</f>
        <v/>
      </c>
      <c r="N862" s="79">
        <f>IF(M862="","","Warranty expires in "&amp;H862&amp;" days: "&amp;B862&amp;IF(C862="",""," ("&amp;C862&amp;")")&amp;" — check for defects")</f>
        <v/>
      </c>
      <c r="P862" s="72" t="n"/>
      <c r="Q862" s="72" t="n"/>
      <c r="R862" s="89" t="n"/>
      <c r="S862" s="109" t="n"/>
      <c r="T862" s="126">
        <f>IF(OR(R862="",S862=""),"",DATE(YEAR(S862),MONTH(S862)+R862,DAY(S862)))</f>
        <v/>
      </c>
      <c r="U862" s="144">
        <f>IF(T862="","",T862-AsOf)</f>
        <v/>
      </c>
      <c r="V862" s="107">
        <f>IF(T862="",IF(P862="","","Enter last-done date"),IF(U862&lt;0,"Overdue",IF(U862&lt;=30,"Due soon","OK")))</f>
        <v/>
      </c>
      <c r="W862" s="79">
        <f>IF(T862="","",IF(U862&lt;0,2,IF(U862&lt;=30,1,0)))</f>
        <v/>
      </c>
      <c r="X862" s="112">
        <f>IF(T862="","",T862)</f>
        <v/>
      </c>
      <c r="Y862" s="79">
        <f>IF(X862="","",IF(X862&lt;=AsOf+AlertDays,2,IF(X862&lt;=AsOf+30,3,"")))</f>
        <v/>
      </c>
      <c r="Z862" s="79">
        <f>IF(Y862="","",IF(U862&lt;0,"Maintenance overdue: ","Maintenance due: ")&amp;P862)</f>
        <v/>
      </c>
    </row>
    <row r="863" ht="20" customHeight="1">
      <c r="B863" s="72" t="n"/>
      <c r="C863" s="72" t="n"/>
      <c r="D863" s="72" t="n"/>
      <c r="E863" s="109" t="n"/>
      <c r="F863" s="74" t="n"/>
      <c r="G863" s="126">
        <f>IF(OR(E863="",F863=""),"",DATE(YEAR(E863),MONTH(E863)+ROUND(F863*12,0),DAY(E863)))</f>
        <v/>
      </c>
      <c r="H863" s="144">
        <f>IF(G863="","",G863-AsOf)</f>
        <v/>
      </c>
      <c r="I863" s="107">
        <f>IF(G863="","",IF(H863&lt;0,"Expired",IF(H863&lt;=90,"Expires soon","Active")))</f>
        <v/>
      </c>
      <c r="J863" s="72" t="n"/>
      <c r="K863" s="79">
        <f>IF(I863="","",IF(I863="Active",0,IF(I863="Expires soon",1,3)))</f>
        <v/>
      </c>
      <c r="L863" s="112">
        <f>IF(G863="","",IF(G863&lt;AsOf,"",G863))</f>
        <v/>
      </c>
      <c r="M863" s="79">
        <f>IF(L863="","",IF(L863&lt;=AsOf+AlertDays,2,IF(L863&lt;=AsOf+90,3,"")))</f>
        <v/>
      </c>
      <c r="N863" s="79">
        <f>IF(M863="","","Warranty expires in "&amp;H863&amp;" days: "&amp;B863&amp;IF(C863="",""," ("&amp;C863&amp;")")&amp;" — check for defects")</f>
        <v/>
      </c>
      <c r="P863" s="72" t="n"/>
      <c r="Q863" s="72" t="n"/>
      <c r="R863" s="89" t="n"/>
      <c r="S863" s="109" t="n"/>
      <c r="T863" s="126">
        <f>IF(OR(R863="",S863=""),"",DATE(YEAR(S863),MONTH(S863)+R863,DAY(S863)))</f>
        <v/>
      </c>
      <c r="U863" s="144">
        <f>IF(T863="","",T863-AsOf)</f>
        <v/>
      </c>
      <c r="V863" s="107">
        <f>IF(T863="",IF(P863="","","Enter last-done date"),IF(U863&lt;0,"Overdue",IF(U863&lt;=30,"Due soon","OK")))</f>
        <v/>
      </c>
      <c r="W863" s="79">
        <f>IF(T863="","",IF(U863&lt;0,2,IF(U863&lt;=30,1,0)))</f>
        <v/>
      </c>
      <c r="X863" s="112">
        <f>IF(T863="","",T863)</f>
        <v/>
      </c>
      <c r="Y863" s="79">
        <f>IF(X863="","",IF(X863&lt;=AsOf+AlertDays,2,IF(X863&lt;=AsOf+30,3,"")))</f>
        <v/>
      </c>
      <c r="Z863" s="79">
        <f>IF(Y863="","",IF(U863&lt;0,"Maintenance overdue: ","Maintenance due: ")&amp;P863)</f>
        <v/>
      </c>
    </row>
    <row r="864" ht="20" customHeight="1">
      <c r="B864" s="72" t="n"/>
      <c r="C864" s="72" t="n"/>
      <c r="D864" s="72" t="n"/>
      <c r="E864" s="109" t="n"/>
      <c r="F864" s="74" t="n"/>
      <c r="G864" s="126">
        <f>IF(OR(E864="",F864=""),"",DATE(YEAR(E864),MONTH(E864)+ROUND(F864*12,0),DAY(E864)))</f>
        <v/>
      </c>
      <c r="H864" s="144">
        <f>IF(G864="","",G864-AsOf)</f>
        <v/>
      </c>
      <c r="I864" s="107">
        <f>IF(G864="","",IF(H864&lt;0,"Expired",IF(H864&lt;=90,"Expires soon","Active")))</f>
        <v/>
      </c>
      <c r="J864" s="72" t="n"/>
      <c r="K864" s="79">
        <f>IF(I864="","",IF(I864="Active",0,IF(I864="Expires soon",1,3)))</f>
        <v/>
      </c>
      <c r="L864" s="112">
        <f>IF(G864="","",IF(G864&lt;AsOf,"",G864))</f>
        <v/>
      </c>
      <c r="M864" s="79">
        <f>IF(L864="","",IF(L864&lt;=AsOf+AlertDays,2,IF(L864&lt;=AsOf+90,3,"")))</f>
        <v/>
      </c>
      <c r="N864" s="79">
        <f>IF(M864="","","Warranty expires in "&amp;H864&amp;" days: "&amp;B864&amp;IF(C864="",""," ("&amp;C864&amp;")")&amp;" — check for defects")</f>
        <v/>
      </c>
      <c r="P864" s="72" t="n"/>
      <c r="Q864" s="72" t="n"/>
      <c r="R864" s="89" t="n"/>
      <c r="S864" s="109" t="n"/>
      <c r="T864" s="126">
        <f>IF(OR(R864="",S864=""),"",DATE(YEAR(S864),MONTH(S864)+R864,DAY(S864)))</f>
        <v/>
      </c>
      <c r="U864" s="144">
        <f>IF(T864="","",T864-AsOf)</f>
        <v/>
      </c>
      <c r="V864" s="107">
        <f>IF(T864="",IF(P864="","","Enter last-done date"),IF(U864&lt;0,"Overdue",IF(U864&lt;=30,"Due soon","OK")))</f>
        <v/>
      </c>
      <c r="W864" s="79">
        <f>IF(T864="","",IF(U864&lt;0,2,IF(U864&lt;=30,1,0)))</f>
        <v/>
      </c>
      <c r="X864" s="112">
        <f>IF(T864="","",T864)</f>
        <v/>
      </c>
      <c r="Y864" s="79">
        <f>IF(X864="","",IF(X864&lt;=AsOf+AlertDays,2,IF(X864&lt;=AsOf+30,3,"")))</f>
        <v/>
      </c>
      <c r="Z864" s="79">
        <f>IF(Y864="","",IF(U864&lt;0,"Maintenance overdue: ","Maintenance due: ")&amp;P864)</f>
        <v/>
      </c>
    </row>
    <row r="865" ht="20" customHeight="1">
      <c r="B865" s="72" t="n"/>
      <c r="C865" s="72" t="n"/>
      <c r="D865" s="72" t="n"/>
      <c r="E865" s="109" t="n"/>
      <c r="F865" s="74" t="n"/>
      <c r="G865" s="126">
        <f>IF(OR(E865="",F865=""),"",DATE(YEAR(E865),MONTH(E865)+ROUND(F865*12,0),DAY(E865)))</f>
        <v/>
      </c>
      <c r="H865" s="144">
        <f>IF(G865="","",G865-AsOf)</f>
        <v/>
      </c>
      <c r="I865" s="107">
        <f>IF(G865="","",IF(H865&lt;0,"Expired",IF(H865&lt;=90,"Expires soon","Active")))</f>
        <v/>
      </c>
      <c r="J865" s="72" t="n"/>
      <c r="K865" s="79">
        <f>IF(I865="","",IF(I865="Active",0,IF(I865="Expires soon",1,3)))</f>
        <v/>
      </c>
      <c r="L865" s="112">
        <f>IF(G865="","",IF(G865&lt;AsOf,"",G865))</f>
        <v/>
      </c>
      <c r="M865" s="79">
        <f>IF(L865="","",IF(L865&lt;=AsOf+AlertDays,2,IF(L865&lt;=AsOf+90,3,"")))</f>
        <v/>
      </c>
      <c r="N865" s="79">
        <f>IF(M865="","","Warranty expires in "&amp;H865&amp;" days: "&amp;B865&amp;IF(C865="",""," ("&amp;C865&amp;")")&amp;" — check for defects")</f>
        <v/>
      </c>
      <c r="P865" s="72" t="n"/>
      <c r="Q865" s="72" t="n"/>
      <c r="R865" s="89" t="n"/>
      <c r="S865" s="109" t="n"/>
      <c r="T865" s="126">
        <f>IF(OR(R865="",S865=""),"",DATE(YEAR(S865),MONTH(S865)+R865,DAY(S865)))</f>
        <v/>
      </c>
      <c r="U865" s="144">
        <f>IF(T865="","",T865-AsOf)</f>
        <v/>
      </c>
      <c r="V865" s="107">
        <f>IF(T865="",IF(P865="","","Enter last-done date"),IF(U865&lt;0,"Overdue",IF(U865&lt;=30,"Due soon","OK")))</f>
        <v/>
      </c>
      <c r="W865" s="79">
        <f>IF(T865="","",IF(U865&lt;0,2,IF(U865&lt;=30,1,0)))</f>
        <v/>
      </c>
      <c r="X865" s="112">
        <f>IF(T865="","",T865)</f>
        <v/>
      </c>
      <c r="Y865" s="79">
        <f>IF(X865="","",IF(X865&lt;=AsOf+AlertDays,2,IF(X865&lt;=AsOf+30,3,"")))</f>
        <v/>
      </c>
      <c r="Z865" s="79">
        <f>IF(Y865="","",IF(U865&lt;0,"Maintenance overdue: ","Maintenance due: ")&amp;P865)</f>
        <v/>
      </c>
    </row>
    <row r="866" ht="20" customHeight="1">
      <c r="B866" s="72" t="n"/>
      <c r="C866" s="72" t="n"/>
      <c r="D866" s="72" t="n"/>
      <c r="E866" s="109" t="n"/>
      <c r="F866" s="74" t="n"/>
      <c r="G866" s="126">
        <f>IF(OR(E866="",F866=""),"",DATE(YEAR(E866),MONTH(E866)+ROUND(F866*12,0),DAY(E866)))</f>
        <v/>
      </c>
      <c r="H866" s="144">
        <f>IF(G866="","",G866-AsOf)</f>
        <v/>
      </c>
      <c r="I866" s="107">
        <f>IF(G866="","",IF(H866&lt;0,"Expired",IF(H866&lt;=90,"Expires soon","Active")))</f>
        <v/>
      </c>
      <c r="J866" s="72" t="n"/>
      <c r="K866" s="79">
        <f>IF(I866="","",IF(I866="Active",0,IF(I866="Expires soon",1,3)))</f>
        <v/>
      </c>
      <c r="L866" s="112">
        <f>IF(G866="","",IF(G866&lt;AsOf,"",G866))</f>
        <v/>
      </c>
      <c r="M866" s="79">
        <f>IF(L866="","",IF(L866&lt;=AsOf+AlertDays,2,IF(L866&lt;=AsOf+90,3,"")))</f>
        <v/>
      </c>
      <c r="N866" s="79">
        <f>IF(M866="","","Warranty expires in "&amp;H866&amp;" days: "&amp;B866&amp;IF(C866="",""," ("&amp;C866&amp;")")&amp;" — check for defects")</f>
        <v/>
      </c>
      <c r="P866" s="72" t="n"/>
      <c r="Q866" s="72" t="n"/>
      <c r="R866" s="89" t="n"/>
      <c r="S866" s="109" t="n"/>
      <c r="T866" s="126">
        <f>IF(OR(R866="",S866=""),"",DATE(YEAR(S866),MONTH(S866)+R866,DAY(S866)))</f>
        <v/>
      </c>
      <c r="U866" s="144">
        <f>IF(T866="","",T866-AsOf)</f>
        <v/>
      </c>
      <c r="V866" s="107">
        <f>IF(T866="",IF(P866="","","Enter last-done date"),IF(U866&lt;0,"Overdue",IF(U866&lt;=30,"Due soon","OK")))</f>
        <v/>
      </c>
      <c r="W866" s="79">
        <f>IF(T866="","",IF(U866&lt;0,2,IF(U866&lt;=30,1,0)))</f>
        <v/>
      </c>
      <c r="X866" s="112">
        <f>IF(T866="","",T866)</f>
        <v/>
      </c>
      <c r="Y866" s="79">
        <f>IF(X866="","",IF(X866&lt;=AsOf+AlertDays,2,IF(X866&lt;=AsOf+30,3,"")))</f>
        <v/>
      </c>
      <c r="Z866" s="79">
        <f>IF(Y866="","",IF(U866&lt;0,"Maintenance overdue: ","Maintenance due: ")&amp;P866)</f>
        <v/>
      </c>
    </row>
    <row r="867" ht="20" customHeight="1">
      <c r="B867" s="72" t="n"/>
      <c r="C867" s="72" t="n"/>
      <c r="D867" s="72" t="n"/>
      <c r="E867" s="109" t="n"/>
      <c r="F867" s="74" t="n"/>
      <c r="G867" s="126">
        <f>IF(OR(E867="",F867=""),"",DATE(YEAR(E867),MONTH(E867)+ROUND(F867*12,0),DAY(E867)))</f>
        <v/>
      </c>
      <c r="H867" s="144">
        <f>IF(G867="","",G867-AsOf)</f>
        <v/>
      </c>
      <c r="I867" s="107">
        <f>IF(G867="","",IF(H867&lt;0,"Expired",IF(H867&lt;=90,"Expires soon","Active")))</f>
        <v/>
      </c>
      <c r="J867" s="72" t="n"/>
      <c r="K867" s="79">
        <f>IF(I867="","",IF(I867="Active",0,IF(I867="Expires soon",1,3)))</f>
        <v/>
      </c>
      <c r="L867" s="112">
        <f>IF(G867="","",IF(G867&lt;AsOf,"",G867))</f>
        <v/>
      </c>
      <c r="M867" s="79">
        <f>IF(L867="","",IF(L867&lt;=AsOf+AlertDays,2,IF(L867&lt;=AsOf+90,3,"")))</f>
        <v/>
      </c>
      <c r="N867" s="79">
        <f>IF(M867="","","Warranty expires in "&amp;H867&amp;" days: "&amp;B867&amp;IF(C867="",""," ("&amp;C867&amp;")")&amp;" — check for defects")</f>
        <v/>
      </c>
      <c r="P867" s="72" t="n"/>
      <c r="Q867" s="72" t="n"/>
      <c r="R867" s="89" t="n"/>
      <c r="S867" s="109" t="n"/>
      <c r="T867" s="126">
        <f>IF(OR(R867="",S867=""),"",DATE(YEAR(S867),MONTH(S867)+R867,DAY(S867)))</f>
        <v/>
      </c>
      <c r="U867" s="144">
        <f>IF(T867="","",T867-AsOf)</f>
        <v/>
      </c>
      <c r="V867" s="107">
        <f>IF(T867="",IF(P867="","","Enter last-done date"),IF(U867&lt;0,"Overdue",IF(U867&lt;=30,"Due soon","OK")))</f>
        <v/>
      </c>
      <c r="W867" s="79">
        <f>IF(T867="","",IF(U867&lt;0,2,IF(U867&lt;=30,1,0)))</f>
        <v/>
      </c>
      <c r="X867" s="112">
        <f>IF(T867="","",T867)</f>
        <v/>
      </c>
      <c r="Y867" s="79">
        <f>IF(X867="","",IF(X867&lt;=AsOf+AlertDays,2,IF(X867&lt;=AsOf+30,3,"")))</f>
        <v/>
      </c>
      <c r="Z867" s="79">
        <f>IF(Y867="","",IF(U867&lt;0,"Maintenance overdue: ","Maintenance due: ")&amp;P867)</f>
        <v/>
      </c>
    </row>
    <row r="868" ht="20" customHeight="1">
      <c r="B868" s="72" t="n"/>
      <c r="C868" s="72" t="n"/>
      <c r="D868" s="72" t="n"/>
      <c r="E868" s="109" t="n"/>
      <c r="F868" s="74" t="n"/>
      <c r="G868" s="126">
        <f>IF(OR(E868="",F868=""),"",DATE(YEAR(E868),MONTH(E868)+ROUND(F868*12,0),DAY(E868)))</f>
        <v/>
      </c>
      <c r="H868" s="144">
        <f>IF(G868="","",G868-AsOf)</f>
        <v/>
      </c>
      <c r="I868" s="107">
        <f>IF(G868="","",IF(H868&lt;0,"Expired",IF(H868&lt;=90,"Expires soon","Active")))</f>
        <v/>
      </c>
      <c r="J868" s="72" t="n"/>
      <c r="K868" s="79">
        <f>IF(I868="","",IF(I868="Active",0,IF(I868="Expires soon",1,3)))</f>
        <v/>
      </c>
      <c r="L868" s="112">
        <f>IF(G868="","",IF(G868&lt;AsOf,"",G868))</f>
        <v/>
      </c>
      <c r="M868" s="79">
        <f>IF(L868="","",IF(L868&lt;=AsOf+AlertDays,2,IF(L868&lt;=AsOf+90,3,"")))</f>
        <v/>
      </c>
      <c r="N868" s="79">
        <f>IF(M868="","","Warranty expires in "&amp;H868&amp;" days: "&amp;B868&amp;IF(C868="",""," ("&amp;C868&amp;")")&amp;" — check for defects")</f>
        <v/>
      </c>
      <c r="P868" s="72" t="n"/>
      <c r="Q868" s="72" t="n"/>
      <c r="R868" s="89" t="n"/>
      <c r="S868" s="109" t="n"/>
      <c r="T868" s="126">
        <f>IF(OR(R868="",S868=""),"",DATE(YEAR(S868),MONTH(S868)+R868,DAY(S868)))</f>
        <v/>
      </c>
      <c r="U868" s="144">
        <f>IF(T868="","",T868-AsOf)</f>
        <v/>
      </c>
      <c r="V868" s="107">
        <f>IF(T868="",IF(P868="","","Enter last-done date"),IF(U868&lt;0,"Overdue",IF(U868&lt;=30,"Due soon","OK")))</f>
        <v/>
      </c>
      <c r="W868" s="79">
        <f>IF(T868="","",IF(U868&lt;0,2,IF(U868&lt;=30,1,0)))</f>
        <v/>
      </c>
      <c r="X868" s="112">
        <f>IF(T868="","",T868)</f>
        <v/>
      </c>
      <c r="Y868" s="79">
        <f>IF(X868="","",IF(X868&lt;=AsOf+AlertDays,2,IF(X868&lt;=AsOf+30,3,"")))</f>
        <v/>
      </c>
      <c r="Z868" s="79">
        <f>IF(Y868="","",IF(U868&lt;0,"Maintenance overdue: ","Maintenance due: ")&amp;P868)</f>
        <v/>
      </c>
    </row>
    <row r="869" ht="20" customHeight="1">
      <c r="B869" s="72" t="n"/>
      <c r="C869" s="72" t="n"/>
      <c r="D869" s="72" t="n"/>
      <c r="E869" s="109" t="n"/>
      <c r="F869" s="74" t="n"/>
      <c r="G869" s="126">
        <f>IF(OR(E869="",F869=""),"",DATE(YEAR(E869),MONTH(E869)+ROUND(F869*12,0),DAY(E869)))</f>
        <v/>
      </c>
      <c r="H869" s="144">
        <f>IF(G869="","",G869-AsOf)</f>
        <v/>
      </c>
      <c r="I869" s="107">
        <f>IF(G869="","",IF(H869&lt;0,"Expired",IF(H869&lt;=90,"Expires soon","Active")))</f>
        <v/>
      </c>
      <c r="J869" s="72" t="n"/>
      <c r="K869" s="79">
        <f>IF(I869="","",IF(I869="Active",0,IF(I869="Expires soon",1,3)))</f>
        <v/>
      </c>
      <c r="L869" s="112">
        <f>IF(G869="","",IF(G869&lt;AsOf,"",G869))</f>
        <v/>
      </c>
      <c r="M869" s="79">
        <f>IF(L869="","",IF(L869&lt;=AsOf+AlertDays,2,IF(L869&lt;=AsOf+90,3,"")))</f>
        <v/>
      </c>
      <c r="N869" s="79">
        <f>IF(M869="","","Warranty expires in "&amp;H869&amp;" days: "&amp;B869&amp;IF(C869="",""," ("&amp;C869&amp;")")&amp;" — check for defects")</f>
        <v/>
      </c>
      <c r="P869" s="72" t="n"/>
      <c r="Q869" s="72" t="n"/>
      <c r="R869" s="89" t="n"/>
      <c r="S869" s="109" t="n"/>
      <c r="T869" s="126">
        <f>IF(OR(R869="",S869=""),"",DATE(YEAR(S869),MONTH(S869)+R869,DAY(S869)))</f>
        <v/>
      </c>
      <c r="U869" s="144">
        <f>IF(T869="","",T869-AsOf)</f>
        <v/>
      </c>
      <c r="V869" s="107">
        <f>IF(T869="",IF(P869="","","Enter last-done date"),IF(U869&lt;0,"Overdue",IF(U869&lt;=30,"Due soon","OK")))</f>
        <v/>
      </c>
      <c r="W869" s="79">
        <f>IF(T869="","",IF(U869&lt;0,2,IF(U869&lt;=30,1,0)))</f>
        <v/>
      </c>
      <c r="X869" s="112">
        <f>IF(T869="","",T869)</f>
        <v/>
      </c>
      <c r="Y869" s="79">
        <f>IF(X869="","",IF(X869&lt;=AsOf+AlertDays,2,IF(X869&lt;=AsOf+30,3,"")))</f>
        <v/>
      </c>
      <c r="Z869" s="79">
        <f>IF(Y869="","",IF(U869&lt;0,"Maintenance overdue: ","Maintenance due: ")&amp;P869)</f>
        <v/>
      </c>
    </row>
    <row r="870" ht="20" customHeight="1">
      <c r="B870" s="72" t="n"/>
      <c r="C870" s="72" t="n"/>
      <c r="D870" s="72" t="n"/>
      <c r="E870" s="109" t="n"/>
      <c r="F870" s="74" t="n"/>
      <c r="G870" s="126">
        <f>IF(OR(E870="",F870=""),"",DATE(YEAR(E870),MONTH(E870)+ROUND(F870*12,0),DAY(E870)))</f>
        <v/>
      </c>
      <c r="H870" s="144">
        <f>IF(G870="","",G870-AsOf)</f>
        <v/>
      </c>
      <c r="I870" s="107">
        <f>IF(G870="","",IF(H870&lt;0,"Expired",IF(H870&lt;=90,"Expires soon","Active")))</f>
        <v/>
      </c>
      <c r="J870" s="72" t="n"/>
      <c r="K870" s="79">
        <f>IF(I870="","",IF(I870="Active",0,IF(I870="Expires soon",1,3)))</f>
        <v/>
      </c>
      <c r="L870" s="112">
        <f>IF(G870="","",IF(G870&lt;AsOf,"",G870))</f>
        <v/>
      </c>
      <c r="M870" s="79">
        <f>IF(L870="","",IF(L870&lt;=AsOf+AlertDays,2,IF(L870&lt;=AsOf+90,3,"")))</f>
        <v/>
      </c>
      <c r="N870" s="79">
        <f>IF(M870="","","Warranty expires in "&amp;H870&amp;" days: "&amp;B870&amp;IF(C870="",""," ("&amp;C870&amp;")")&amp;" — check for defects")</f>
        <v/>
      </c>
      <c r="P870" s="72" t="n"/>
      <c r="Q870" s="72" t="n"/>
      <c r="R870" s="89" t="n"/>
      <c r="S870" s="109" t="n"/>
      <c r="T870" s="126">
        <f>IF(OR(R870="",S870=""),"",DATE(YEAR(S870),MONTH(S870)+R870,DAY(S870)))</f>
        <v/>
      </c>
      <c r="U870" s="144">
        <f>IF(T870="","",T870-AsOf)</f>
        <v/>
      </c>
      <c r="V870" s="107">
        <f>IF(T870="",IF(P870="","","Enter last-done date"),IF(U870&lt;0,"Overdue",IF(U870&lt;=30,"Due soon","OK")))</f>
        <v/>
      </c>
      <c r="W870" s="79">
        <f>IF(T870="","",IF(U870&lt;0,2,IF(U870&lt;=30,1,0)))</f>
        <v/>
      </c>
      <c r="X870" s="112">
        <f>IF(T870="","",T870)</f>
        <v/>
      </c>
      <c r="Y870" s="79">
        <f>IF(X870="","",IF(X870&lt;=AsOf+AlertDays,2,IF(X870&lt;=AsOf+30,3,"")))</f>
        <v/>
      </c>
      <c r="Z870" s="79">
        <f>IF(Y870="","",IF(U870&lt;0,"Maintenance overdue: ","Maintenance due: ")&amp;P870)</f>
        <v/>
      </c>
    </row>
    <row r="871" ht="20" customHeight="1">
      <c r="B871" s="72" t="n"/>
      <c r="C871" s="72" t="n"/>
      <c r="D871" s="72" t="n"/>
      <c r="E871" s="109" t="n"/>
      <c r="F871" s="74" t="n"/>
      <c r="G871" s="126">
        <f>IF(OR(E871="",F871=""),"",DATE(YEAR(E871),MONTH(E871)+ROUND(F871*12,0),DAY(E871)))</f>
        <v/>
      </c>
      <c r="H871" s="144">
        <f>IF(G871="","",G871-AsOf)</f>
        <v/>
      </c>
      <c r="I871" s="107">
        <f>IF(G871="","",IF(H871&lt;0,"Expired",IF(H871&lt;=90,"Expires soon","Active")))</f>
        <v/>
      </c>
      <c r="J871" s="72" t="n"/>
      <c r="K871" s="79">
        <f>IF(I871="","",IF(I871="Active",0,IF(I871="Expires soon",1,3)))</f>
        <v/>
      </c>
      <c r="L871" s="112">
        <f>IF(G871="","",IF(G871&lt;AsOf,"",G871))</f>
        <v/>
      </c>
      <c r="M871" s="79">
        <f>IF(L871="","",IF(L871&lt;=AsOf+AlertDays,2,IF(L871&lt;=AsOf+90,3,"")))</f>
        <v/>
      </c>
      <c r="N871" s="79">
        <f>IF(M871="","","Warranty expires in "&amp;H871&amp;" days: "&amp;B871&amp;IF(C871="",""," ("&amp;C871&amp;")")&amp;" — check for defects")</f>
        <v/>
      </c>
      <c r="P871" s="72" t="n"/>
      <c r="Q871" s="72" t="n"/>
      <c r="R871" s="89" t="n"/>
      <c r="S871" s="109" t="n"/>
      <c r="T871" s="126">
        <f>IF(OR(R871="",S871=""),"",DATE(YEAR(S871),MONTH(S871)+R871,DAY(S871)))</f>
        <v/>
      </c>
      <c r="U871" s="144">
        <f>IF(T871="","",T871-AsOf)</f>
        <v/>
      </c>
      <c r="V871" s="107">
        <f>IF(T871="",IF(P871="","","Enter last-done date"),IF(U871&lt;0,"Overdue",IF(U871&lt;=30,"Due soon","OK")))</f>
        <v/>
      </c>
      <c r="W871" s="79">
        <f>IF(T871="","",IF(U871&lt;0,2,IF(U871&lt;=30,1,0)))</f>
        <v/>
      </c>
      <c r="X871" s="112">
        <f>IF(T871="","",T871)</f>
        <v/>
      </c>
      <c r="Y871" s="79">
        <f>IF(X871="","",IF(X871&lt;=AsOf+AlertDays,2,IF(X871&lt;=AsOf+30,3,"")))</f>
        <v/>
      </c>
      <c r="Z871" s="79">
        <f>IF(Y871="","",IF(U871&lt;0,"Maintenance overdue: ","Maintenance due: ")&amp;P871)</f>
        <v/>
      </c>
    </row>
    <row r="872" ht="20" customHeight="1">
      <c r="B872" s="72" t="n"/>
      <c r="C872" s="72" t="n"/>
      <c r="D872" s="72" t="n"/>
      <c r="E872" s="109" t="n"/>
      <c r="F872" s="74" t="n"/>
      <c r="G872" s="126">
        <f>IF(OR(E872="",F872=""),"",DATE(YEAR(E872),MONTH(E872)+ROUND(F872*12,0),DAY(E872)))</f>
        <v/>
      </c>
      <c r="H872" s="144">
        <f>IF(G872="","",G872-AsOf)</f>
        <v/>
      </c>
      <c r="I872" s="107">
        <f>IF(G872="","",IF(H872&lt;0,"Expired",IF(H872&lt;=90,"Expires soon","Active")))</f>
        <v/>
      </c>
      <c r="J872" s="72" t="n"/>
      <c r="K872" s="79">
        <f>IF(I872="","",IF(I872="Active",0,IF(I872="Expires soon",1,3)))</f>
        <v/>
      </c>
      <c r="L872" s="112">
        <f>IF(G872="","",IF(G872&lt;AsOf,"",G872))</f>
        <v/>
      </c>
      <c r="M872" s="79">
        <f>IF(L872="","",IF(L872&lt;=AsOf+AlertDays,2,IF(L872&lt;=AsOf+90,3,"")))</f>
        <v/>
      </c>
      <c r="N872" s="79">
        <f>IF(M872="","","Warranty expires in "&amp;H872&amp;" days: "&amp;B872&amp;IF(C872="",""," ("&amp;C872&amp;")")&amp;" — check for defects")</f>
        <v/>
      </c>
      <c r="P872" s="72" t="n"/>
      <c r="Q872" s="72" t="n"/>
      <c r="R872" s="89" t="n"/>
      <c r="S872" s="109" t="n"/>
      <c r="T872" s="126">
        <f>IF(OR(R872="",S872=""),"",DATE(YEAR(S872),MONTH(S872)+R872,DAY(S872)))</f>
        <v/>
      </c>
      <c r="U872" s="144">
        <f>IF(T872="","",T872-AsOf)</f>
        <v/>
      </c>
      <c r="V872" s="107">
        <f>IF(T872="",IF(P872="","","Enter last-done date"),IF(U872&lt;0,"Overdue",IF(U872&lt;=30,"Due soon","OK")))</f>
        <v/>
      </c>
      <c r="W872" s="79">
        <f>IF(T872="","",IF(U872&lt;0,2,IF(U872&lt;=30,1,0)))</f>
        <v/>
      </c>
      <c r="X872" s="112">
        <f>IF(T872="","",T872)</f>
        <v/>
      </c>
      <c r="Y872" s="79">
        <f>IF(X872="","",IF(X872&lt;=AsOf+AlertDays,2,IF(X872&lt;=AsOf+30,3,"")))</f>
        <v/>
      </c>
      <c r="Z872" s="79">
        <f>IF(Y872="","",IF(U872&lt;0,"Maintenance overdue: ","Maintenance due: ")&amp;P872)</f>
        <v/>
      </c>
    </row>
    <row r="873" ht="20" customHeight="1">
      <c r="B873" s="72" t="n"/>
      <c r="C873" s="72" t="n"/>
      <c r="D873" s="72" t="n"/>
      <c r="E873" s="109" t="n"/>
      <c r="F873" s="74" t="n"/>
      <c r="G873" s="126">
        <f>IF(OR(E873="",F873=""),"",DATE(YEAR(E873),MONTH(E873)+ROUND(F873*12,0),DAY(E873)))</f>
        <v/>
      </c>
      <c r="H873" s="144">
        <f>IF(G873="","",G873-AsOf)</f>
        <v/>
      </c>
      <c r="I873" s="107">
        <f>IF(G873="","",IF(H873&lt;0,"Expired",IF(H873&lt;=90,"Expires soon","Active")))</f>
        <v/>
      </c>
      <c r="J873" s="72" t="n"/>
      <c r="K873" s="79">
        <f>IF(I873="","",IF(I873="Active",0,IF(I873="Expires soon",1,3)))</f>
        <v/>
      </c>
      <c r="L873" s="112">
        <f>IF(G873="","",IF(G873&lt;AsOf,"",G873))</f>
        <v/>
      </c>
      <c r="M873" s="79">
        <f>IF(L873="","",IF(L873&lt;=AsOf+AlertDays,2,IF(L873&lt;=AsOf+90,3,"")))</f>
        <v/>
      </c>
      <c r="N873" s="79">
        <f>IF(M873="","","Warranty expires in "&amp;H873&amp;" days: "&amp;B873&amp;IF(C873="",""," ("&amp;C873&amp;")")&amp;" — check for defects")</f>
        <v/>
      </c>
      <c r="P873" s="72" t="n"/>
      <c r="Q873" s="72" t="n"/>
      <c r="R873" s="89" t="n"/>
      <c r="S873" s="109" t="n"/>
      <c r="T873" s="126">
        <f>IF(OR(R873="",S873=""),"",DATE(YEAR(S873),MONTH(S873)+R873,DAY(S873)))</f>
        <v/>
      </c>
      <c r="U873" s="144">
        <f>IF(T873="","",T873-AsOf)</f>
        <v/>
      </c>
      <c r="V873" s="107">
        <f>IF(T873="",IF(P873="","","Enter last-done date"),IF(U873&lt;0,"Overdue",IF(U873&lt;=30,"Due soon","OK")))</f>
        <v/>
      </c>
      <c r="W873" s="79">
        <f>IF(T873="","",IF(U873&lt;0,2,IF(U873&lt;=30,1,0)))</f>
        <v/>
      </c>
      <c r="X873" s="112">
        <f>IF(T873="","",T873)</f>
        <v/>
      </c>
      <c r="Y873" s="79">
        <f>IF(X873="","",IF(X873&lt;=AsOf+AlertDays,2,IF(X873&lt;=AsOf+30,3,"")))</f>
        <v/>
      </c>
      <c r="Z873" s="79">
        <f>IF(Y873="","",IF(U873&lt;0,"Maintenance overdue: ","Maintenance due: ")&amp;P873)</f>
        <v/>
      </c>
    </row>
    <row r="874" ht="20" customHeight="1">
      <c r="B874" s="72" t="n"/>
      <c r="C874" s="72" t="n"/>
      <c r="D874" s="72" t="n"/>
      <c r="E874" s="109" t="n"/>
      <c r="F874" s="74" t="n"/>
      <c r="G874" s="126">
        <f>IF(OR(E874="",F874=""),"",DATE(YEAR(E874),MONTH(E874)+ROUND(F874*12,0),DAY(E874)))</f>
        <v/>
      </c>
      <c r="H874" s="144">
        <f>IF(G874="","",G874-AsOf)</f>
        <v/>
      </c>
      <c r="I874" s="107">
        <f>IF(G874="","",IF(H874&lt;0,"Expired",IF(H874&lt;=90,"Expires soon","Active")))</f>
        <v/>
      </c>
      <c r="J874" s="72" t="n"/>
      <c r="K874" s="79">
        <f>IF(I874="","",IF(I874="Active",0,IF(I874="Expires soon",1,3)))</f>
        <v/>
      </c>
      <c r="L874" s="112">
        <f>IF(G874="","",IF(G874&lt;AsOf,"",G874))</f>
        <v/>
      </c>
      <c r="M874" s="79">
        <f>IF(L874="","",IF(L874&lt;=AsOf+AlertDays,2,IF(L874&lt;=AsOf+90,3,"")))</f>
        <v/>
      </c>
      <c r="N874" s="79">
        <f>IF(M874="","","Warranty expires in "&amp;H874&amp;" days: "&amp;B874&amp;IF(C874="",""," ("&amp;C874&amp;")")&amp;" — check for defects")</f>
        <v/>
      </c>
      <c r="P874" s="72" t="n"/>
      <c r="Q874" s="72" t="n"/>
      <c r="R874" s="89" t="n"/>
      <c r="S874" s="109" t="n"/>
      <c r="T874" s="126">
        <f>IF(OR(R874="",S874=""),"",DATE(YEAR(S874),MONTH(S874)+R874,DAY(S874)))</f>
        <v/>
      </c>
      <c r="U874" s="144">
        <f>IF(T874="","",T874-AsOf)</f>
        <v/>
      </c>
      <c r="V874" s="107">
        <f>IF(T874="",IF(P874="","","Enter last-done date"),IF(U874&lt;0,"Overdue",IF(U874&lt;=30,"Due soon","OK")))</f>
        <v/>
      </c>
      <c r="W874" s="79">
        <f>IF(T874="","",IF(U874&lt;0,2,IF(U874&lt;=30,1,0)))</f>
        <v/>
      </c>
      <c r="X874" s="112">
        <f>IF(T874="","",T874)</f>
        <v/>
      </c>
      <c r="Y874" s="79">
        <f>IF(X874="","",IF(X874&lt;=AsOf+AlertDays,2,IF(X874&lt;=AsOf+30,3,"")))</f>
        <v/>
      </c>
      <c r="Z874" s="79">
        <f>IF(Y874="","",IF(U874&lt;0,"Maintenance overdue: ","Maintenance due: ")&amp;P874)</f>
        <v/>
      </c>
    </row>
    <row r="875" ht="20" customHeight="1">
      <c r="B875" s="72" t="n"/>
      <c r="C875" s="72" t="n"/>
      <c r="D875" s="72" t="n"/>
      <c r="E875" s="109" t="n"/>
      <c r="F875" s="74" t="n"/>
      <c r="G875" s="126">
        <f>IF(OR(E875="",F875=""),"",DATE(YEAR(E875),MONTH(E875)+ROUND(F875*12,0),DAY(E875)))</f>
        <v/>
      </c>
      <c r="H875" s="144">
        <f>IF(G875="","",G875-AsOf)</f>
        <v/>
      </c>
      <c r="I875" s="107">
        <f>IF(G875="","",IF(H875&lt;0,"Expired",IF(H875&lt;=90,"Expires soon","Active")))</f>
        <v/>
      </c>
      <c r="J875" s="72" t="n"/>
      <c r="K875" s="79">
        <f>IF(I875="","",IF(I875="Active",0,IF(I875="Expires soon",1,3)))</f>
        <v/>
      </c>
      <c r="L875" s="112">
        <f>IF(G875="","",IF(G875&lt;AsOf,"",G875))</f>
        <v/>
      </c>
      <c r="M875" s="79">
        <f>IF(L875="","",IF(L875&lt;=AsOf+AlertDays,2,IF(L875&lt;=AsOf+90,3,"")))</f>
        <v/>
      </c>
      <c r="N875" s="79">
        <f>IF(M875="","","Warranty expires in "&amp;H875&amp;" days: "&amp;B875&amp;IF(C875="",""," ("&amp;C875&amp;")")&amp;" — check for defects")</f>
        <v/>
      </c>
      <c r="P875" s="72" t="n"/>
      <c r="Q875" s="72" t="n"/>
      <c r="R875" s="89" t="n"/>
      <c r="S875" s="109" t="n"/>
      <c r="T875" s="126">
        <f>IF(OR(R875="",S875=""),"",DATE(YEAR(S875),MONTH(S875)+R875,DAY(S875)))</f>
        <v/>
      </c>
      <c r="U875" s="144">
        <f>IF(T875="","",T875-AsOf)</f>
        <v/>
      </c>
      <c r="V875" s="107">
        <f>IF(T875="",IF(P875="","","Enter last-done date"),IF(U875&lt;0,"Overdue",IF(U875&lt;=30,"Due soon","OK")))</f>
        <v/>
      </c>
      <c r="W875" s="79">
        <f>IF(T875="","",IF(U875&lt;0,2,IF(U875&lt;=30,1,0)))</f>
        <v/>
      </c>
      <c r="X875" s="112">
        <f>IF(T875="","",T875)</f>
        <v/>
      </c>
      <c r="Y875" s="79">
        <f>IF(X875="","",IF(X875&lt;=AsOf+AlertDays,2,IF(X875&lt;=AsOf+30,3,"")))</f>
        <v/>
      </c>
      <c r="Z875" s="79">
        <f>IF(Y875="","",IF(U875&lt;0,"Maintenance overdue: ","Maintenance due: ")&amp;P875)</f>
        <v/>
      </c>
    </row>
    <row r="876" ht="20" customHeight="1">
      <c r="B876" s="72" t="n"/>
      <c r="C876" s="72" t="n"/>
      <c r="D876" s="72" t="n"/>
      <c r="E876" s="109" t="n"/>
      <c r="F876" s="74" t="n"/>
      <c r="G876" s="126">
        <f>IF(OR(E876="",F876=""),"",DATE(YEAR(E876),MONTH(E876)+ROUND(F876*12,0),DAY(E876)))</f>
        <v/>
      </c>
      <c r="H876" s="144">
        <f>IF(G876="","",G876-AsOf)</f>
        <v/>
      </c>
      <c r="I876" s="107">
        <f>IF(G876="","",IF(H876&lt;0,"Expired",IF(H876&lt;=90,"Expires soon","Active")))</f>
        <v/>
      </c>
      <c r="J876" s="72" t="n"/>
      <c r="K876" s="79">
        <f>IF(I876="","",IF(I876="Active",0,IF(I876="Expires soon",1,3)))</f>
        <v/>
      </c>
      <c r="L876" s="112">
        <f>IF(G876="","",IF(G876&lt;AsOf,"",G876))</f>
        <v/>
      </c>
      <c r="M876" s="79">
        <f>IF(L876="","",IF(L876&lt;=AsOf+AlertDays,2,IF(L876&lt;=AsOf+90,3,"")))</f>
        <v/>
      </c>
      <c r="N876" s="79">
        <f>IF(M876="","","Warranty expires in "&amp;H876&amp;" days: "&amp;B876&amp;IF(C876="",""," ("&amp;C876&amp;")")&amp;" — check for defects")</f>
        <v/>
      </c>
      <c r="P876" s="72" t="n"/>
      <c r="Q876" s="72" t="n"/>
      <c r="R876" s="89" t="n"/>
      <c r="S876" s="109" t="n"/>
      <c r="T876" s="126">
        <f>IF(OR(R876="",S876=""),"",DATE(YEAR(S876),MONTH(S876)+R876,DAY(S876)))</f>
        <v/>
      </c>
      <c r="U876" s="144">
        <f>IF(T876="","",T876-AsOf)</f>
        <v/>
      </c>
      <c r="V876" s="107">
        <f>IF(T876="",IF(P876="","","Enter last-done date"),IF(U876&lt;0,"Overdue",IF(U876&lt;=30,"Due soon","OK")))</f>
        <v/>
      </c>
      <c r="W876" s="79">
        <f>IF(T876="","",IF(U876&lt;0,2,IF(U876&lt;=30,1,0)))</f>
        <v/>
      </c>
      <c r="X876" s="112">
        <f>IF(T876="","",T876)</f>
        <v/>
      </c>
      <c r="Y876" s="79">
        <f>IF(X876="","",IF(X876&lt;=AsOf+AlertDays,2,IF(X876&lt;=AsOf+30,3,"")))</f>
        <v/>
      </c>
      <c r="Z876" s="79">
        <f>IF(Y876="","",IF(U876&lt;0,"Maintenance overdue: ","Maintenance due: ")&amp;P876)</f>
        <v/>
      </c>
    </row>
    <row r="877" ht="20" customHeight="1">
      <c r="B877" s="72" t="n"/>
      <c r="C877" s="72" t="n"/>
      <c r="D877" s="72" t="n"/>
      <c r="E877" s="109" t="n"/>
      <c r="F877" s="74" t="n"/>
      <c r="G877" s="126">
        <f>IF(OR(E877="",F877=""),"",DATE(YEAR(E877),MONTH(E877)+ROUND(F877*12,0),DAY(E877)))</f>
        <v/>
      </c>
      <c r="H877" s="144">
        <f>IF(G877="","",G877-AsOf)</f>
        <v/>
      </c>
      <c r="I877" s="107">
        <f>IF(G877="","",IF(H877&lt;0,"Expired",IF(H877&lt;=90,"Expires soon","Active")))</f>
        <v/>
      </c>
      <c r="J877" s="72" t="n"/>
      <c r="K877" s="79">
        <f>IF(I877="","",IF(I877="Active",0,IF(I877="Expires soon",1,3)))</f>
        <v/>
      </c>
      <c r="L877" s="112">
        <f>IF(G877="","",IF(G877&lt;AsOf,"",G877))</f>
        <v/>
      </c>
      <c r="M877" s="79">
        <f>IF(L877="","",IF(L877&lt;=AsOf+AlertDays,2,IF(L877&lt;=AsOf+90,3,"")))</f>
        <v/>
      </c>
      <c r="N877" s="79">
        <f>IF(M877="","","Warranty expires in "&amp;H877&amp;" days: "&amp;B877&amp;IF(C877="",""," ("&amp;C877&amp;")")&amp;" — check for defects")</f>
        <v/>
      </c>
      <c r="P877" s="72" t="n"/>
      <c r="Q877" s="72" t="n"/>
      <c r="R877" s="89" t="n"/>
      <c r="S877" s="109" t="n"/>
      <c r="T877" s="126">
        <f>IF(OR(R877="",S877=""),"",DATE(YEAR(S877),MONTH(S877)+R877,DAY(S877)))</f>
        <v/>
      </c>
      <c r="U877" s="144">
        <f>IF(T877="","",T877-AsOf)</f>
        <v/>
      </c>
      <c r="V877" s="107">
        <f>IF(T877="",IF(P877="","","Enter last-done date"),IF(U877&lt;0,"Overdue",IF(U877&lt;=30,"Due soon","OK")))</f>
        <v/>
      </c>
      <c r="W877" s="79">
        <f>IF(T877="","",IF(U877&lt;0,2,IF(U877&lt;=30,1,0)))</f>
        <v/>
      </c>
      <c r="X877" s="112">
        <f>IF(T877="","",T877)</f>
        <v/>
      </c>
      <c r="Y877" s="79">
        <f>IF(X877="","",IF(X877&lt;=AsOf+AlertDays,2,IF(X877&lt;=AsOf+30,3,"")))</f>
        <v/>
      </c>
      <c r="Z877" s="79">
        <f>IF(Y877="","",IF(U877&lt;0,"Maintenance overdue: ","Maintenance due: ")&amp;P877)</f>
        <v/>
      </c>
    </row>
    <row r="878" ht="20" customHeight="1">
      <c r="B878" s="72" t="n"/>
      <c r="C878" s="72" t="n"/>
      <c r="D878" s="72" t="n"/>
      <c r="E878" s="109" t="n"/>
      <c r="F878" s="74" t="n"/>
      <c r="G878" s="126">
        <f>IF(OR(E878="",F878=""),"",DATE(YEAR(E878),MONTH(E878)+ROUND(F878*12,0),DAY(E878)))</f>
        <v/>
      </c>
      <c r="H878" s="144">
        <f>IF(G878="","",G878-AsOf)</f>
        <v/>
      </c>
      <c r="I878" s="107">
        <f>IF(G878="","",IF(H878&lt;0,"Expired",IF(H878&lt;=90,"Expires soon","Active")))</f>
        <v/>
      </c>
      <c r="J878" s="72" t="n"/>
      <c r="K878" s="79">
        <f>IF(I878="","",IF(I878="Active",0,IF(I878="Expires soon",1,3)))</f>
        <v/>
      </c>
      <c r="L878" s="112">
        <f>IF(G878="","",IF(G878&lt;AsOf,"",G878))</f>
        <v/>
      </c>
      <c r="M878" s="79">
        <f>IF(L878="","",IF(L878&lt;=AsOf+AlertDays,2,IF(L878&lt;=AsOf+90,3,"")))</f>
        <v/>
      </c>
      <c r="N878" s="79">
        <f>IF(M878="","","Warranty expires in "&amp;H878&amp;" days: "&amp;B878&amp;IF(C878="",""," ("&amp;C878&amp;")")&amp;" — check for defects")</f>
        <v/>
      </c>
      <c r="P878" s="72" t="n"/>
      <c r="Q878" s="72" t="n"/>
      <c r="R878" s="89" t="n"/>
      <c r="S878" s="109" t="n"/>
      <c r="T878" s="126">
        <f>IF(OR(R878="",S878=""),"",DATE(YEAR(S878),MONTH(S878)+R878,DAY(S878)))</f>
        <v/>
      </c>
      <c r="U878" s="144">
        <f>IF(T878="","",T878-AsOf)</f>
        <v/>
      </c>
      <c r="V878" s="107">
        <f>IF(T878="",IF(P878="","","Enter last-done date"),IF(U878&lt;0,"Overdue",IF(U878&lt;=30,"Due soon","OK")))</f>
        <v/>
      </c>
      <c r="W878" s="79">
        <f>IF(T878="","",IF(U878&lt;0,2,IF(U878&lt;=30,1,0)))</f>
        <v/>
      </c>
      <c r="X878" s="112">
        <f>IF(T878="","",T878)</f>
        <v/>
      </c>
      <c r="Y878" s="79">
        <f>IF(X878="","",IF(X878&lt;=AsOf+AlertDays,2,IF(X878&lt;=AsOf+30,3,"")))</f>
        <v/>
      </c>
      <c r="Z878" s="79">
        <f>IF(Y878="","",IF(U878&lt;0,"Maintenance overdue: ","Maintenance due: ")&amp;P878)</f>
        <v/>
      </c>
    </row>
    <row r="879" ht="20" customHeight="1">
      <c r="B879" s="72" t="n"/>
      <c r="C879" s="72" t="n"/>
      <c r="D879" s="72" t="n"/>
      <c r="E879" s="109" t="n"/>
      <c r="F879" s="74" t="n"/>
      <c r="G879" s="126">
        <f>IF(OR(E879="",F879=""),"",DATE(YEAR(E879),MONTH(E879)+ROUND(F879*12,0),DAY(E879)))</f>
        <v/>
      </c>
      <c r="H879" s="144">
        <f>IF(G879="","",G879-AsOf)</f>
        <v/>
      </c>
      <c r="I879" s="107">
        <f>IF(G879="","",IF(H879&lt;0,"Expired",IF(H879&lt;=90,"Expires soon","Active")))</f>
        <v/>
      </c>
      <c r="J879" s="72" t="n"/>
      <c r="K879" s="79">
        <f>IF(I879="","",IF(I879="Active",0,IF(I879="Expires soon",1,3)))</f>
        <v/>
      </c>
      <c r="L879" s="112">
        <f>IF(G879="","",IF(G879&lt;AsOf,"",G879))</f>
        <v/>
      </c>
      <c r="M879" s="79">
        <f>IF(L879="","",IF(L879&lt;=AsOf+AlertDays,2,IF(L879&lt;=AsOf+90,3,"")))</f>
        <v/>
      </c>
      <c r="N879" s="79">
        <f>IF(M879="","","Warranty expires in "&amp;H879&amp;" days: "&amp;B879&amp;IF(C879="",""," ("&amp;C879&amp;")")&amp;" — check for defects")</f>
        <v/>
      </c>
      <c r="P879" s="72" t="n"/>
      <c r="Q879" s="72" t="n"/>
      <c r="R879" s="89" t="n"/>
      <c r="S879" s="109" t="n"/>
      <c r="T879" s="126">
        <f>IF(OR(R879="",S879=""),"",DATE(YEAR(S879),MONTH(S879)+R879,DAY(S879)))</f>
        <v/>
      </c>
      <c r="U879" s="144">
        <f>IF(T879="","",T879-AsOf)</f>
        <v/>
      </c>
      <c r="V879" s="107">
        <f>IF(T879="",IF(P879="","","Enter last-done date"),IF(U879&lt;0,"Overdue",IF(U879&lt;=30,"Due soon","OK")))</f>
        <v/>
      </c>
      <c r="W879" s="79">
        <f>IF(T879="","",IF(U879&lt;0,2,IF(U879&lt;=30,1,0)))</f>
        <v/>
      </c>
      <c r="X879" s="112">
        <f>IF(T879="","",T879)</f>
        <v/>
      </c>
      <c r="Y879" s="79">
        <f>IF(X879="","",IF(X879&lt;=AsOf+AlertDays,2,IF(X879&lt;=AsOf+30,3,"")))</f>
        <v/>
      </c>
      <c r="Z879" s="79">
        <f>IF(Y879="","",IF(U879&lt;0,"Maintenance overdue: ","Maintenance due: ")&amp;P879)</f>
        <v/>
      </c>
    </row>
    <row r="880" ht="20" customHeight="1">
      <c r="B880" s="72" t="n"/>
      <c r="C880" s="72" t="n"/>
      <c r="D880" s="72" t="n"/>
      <c r="E880" s="109" t="n"/>
      <c r="F880" s="74" t="n"/>
      <c r="G880" s="126">
        <f>IF(OR(E880="",F880=""),"",DATE(YEAR(E880),MONTH(E880)+ROUND(F880*12,0),DAY(E880)))</f>
        <v/>
      </c>
      <c r="H880" s="144">
        <f>IF(G880="","",G880-AsOf)</f>
        <v/>
      </c>
      <c r="I880" s="107">
        <f>IF(G880="","",IF(H880&lt;0,"Expired",IF(H880&lt;=90,"Expires soon","Active")))</f>
        <v/>
      </c>
      <c r="J880" s="72" t="n"/>
      <c r="K880" s="79">
        <f>IF(I880="","",IF(I880="Active",0,IF(I880="Expires soon",1,3)))</f>
        <v/>
      </c>
      <c r="L880" s="112">
        <f>IF(G880="","",IF(G880&lt;AsOf,"",G880))</f>
        <v/>
      </c>
      <c r="M880" s="79">
        <f>IF(L880="","",IF(L880&lt;=AsOf+AlertDays,2,IF(L880&lt;=AsOf+90,3,"")))</f>
        <v/>
      </c>
      <c r="N880" s="79">
        <f>IF(M880="","","Warranty expires in "&amp;H880&amp;" days: "&amp;B880&amp;IF(C880="",""," ("&amp;C880&amp;")")&amp;" — check for defects")</f>
        <v/>
      </c>
      <c r="P880" s="72" t="n"/>
      <c r="Q880" s="72" t="n"/>
      <c r="R880" s="89" t="n"/>
      <c r="S880" s="109" t="n"/>
      <c r="T880" s="126">
        <f>IF(OR(R880="",S880=""),"",DATE(YEAR(S880),MONTH(S880)+R880,DAY(S880)))</f>
        <v/>
      </c>
      <c r="U880" s="144">
        <f>IF(T880="","",T880-AsOf)</f>
        <v/>
      </c>
      <c r="V880" s="107">
        <f>IF(T880="",IF(P880="","","Enter last-done date"),IF(U880&lt;0,"Overdue",IF(U880&lt;=30,"Due soon","OK")))</f>
        <v/>
      </c>
      <c r="W880" s="79">
        <f>IF(T880="","",IF(U880&lt;0,2,IF(U880&lt;=30,1,0)))</f>
        <v/>
      </c>
      <c r="X880" s="112">
        <f>IF(T880="","",T880)</f>
        <v/>
      </c>
      <c r="Y880" s="79">
        <f>IF(X880="","",IF(X880&lt;=AsOf+AlertDays,2,IF(X880&lt;=AsOf+30,3,"")))</f>
        <v/>
      </c>
      <c r="Z880" s="79">
        <f>IF(Y880="","",IF(U880&lt;0,"Maintenance overdue: ","Maintenance due: ")&amp;P880)</f>
        <v/>
      </c>
    </row>
    <row r="881" ht="20" customHeight="1">
      <c r="B881" s="72" t="n"/>
      <c r="C881" s="72" t="n"/>
      <c r="D881" s="72" t="n"/>
      <c r="E881" s="109" t="n"/>
      <c r="F881" s="74" t="n"/>
      <c r="G881" s="126">
        <f>IF(OR(E881="",F881=""),"",DATE(YEAR(E881),MONTH(E881)+ROUND(F881*12,0),DAY(E881)))</f>
        <v/>
      </c>
      <c r="H881" s="144">
        <f>IF(G881="","",G881-AsOf)</f>
        <v/>
      </c>
      <c r="I881" s="107">
        <f>IF(G881="","",IF(H881&lt;0,"Expired",IF(H881&lt;=90,"Expires soon","Active")))</f>
        <v/>
      </c>
      <c r="J881" s="72" t="n"/>
      <c r="K881" s="79">
        <f>IF(I881="","",IF(I881="Active",0,IF(I881="Expires soon",1,3)))</f>
        <v/>
      </c>
      <c r="L881" s="112">
        <f>IF(G881="","",IF(G881&lt;AsOf,"",G881))</f>
        <v/>
      </c>
      <c r="M881" s="79">
        <f>IF(L881="","",IF(L881&lt;=AsOf+AlertDays,2,IF(L881&lt;=AsOf+90,3,"")))</f>
        <v/>
      </c>
      <c r="N881" s="79">
        <f>IF(M881="","","Warranty expires in "&amp;H881&amp;" days: "&amp;B881&amp;IF(C881="",""," ("&amp;C881&amp;")")&amp;" — check for defects")</f>
        <v/>
      </c>
      <c r="P881" s="72" t="n"/>
      <c r="Q881" s="72" t="n"/>
      <c r="R881" s="89" t="n"/>
      <c r="S881" s="109" t="n"/>
      <c r="T881" s="126">
        <f>IF(OR(R881="",S881=""),"",DATE(YEAR(S881),MONTH(S881)+R881,DAY(S881)))</f>
        <v/>
      </c>
      <c r="U881" s="144">
        <f>IF(T881="","",T881-AsOf)</f>
        <v/>
      </c>
      <c r="V881" s="107">
        <f>IF(T881="",IF(P881="","","Enter last-done date"),IF(U881&lt;0,"Overdue",IF(U881&lt;=30,"Due soon","OK")))</f>
        <v/>
      </c>
      <c r="W881" s="79">
        <f>IF(T881="","",IF(U881&lt;0,2,IF(U881&lt;=30,1,0)))</f>
        <v/>
      </c>
      <c r="X881" s="112">
        <f>IF(T881="","",T881)</f>
        <v/>
      </c>
      <c r="Y881" s="79">
        <f>IF(X881="","",IF(X881&lt;=AsOf+AlertDays,2,IF(X881&lt;=AsOf+30,3,"")))</f>
        <v/>
      </c>
      <c r="Z881" s="79">
        <f>IF(Y881="","",IF(U881&lt;0,"Maintenance overdue: ","Maintenance due: ")&amp;P881)</f>
        <v/>
      </c>
    </row>
    <row r="882" ht="20" customHeight="1">
      <c r="B882" s="72" t="n"/>
      <c r="C882" s="72" t="n"/>
      <c r="D882" s="72" t="n"/>
      <c r="E882" s="109" t="n"/>
      <c r="F882" s="74" t="n"/>
      <c r="G882" s="126">
        <f>IF(OR(E882="",F882=""),"",DATE(YEAR(E882),MONTH(E882)+ROUND(F882*12,0),DAY(E882)))</f>
        <v/>
      </c>
      <c r="H882" s="144">
        <f>IF(G882="","",G882-AsOf)</f>
        <v/>
      </c>
      <c r="I882" s="107">
        <f>IF(G882="","",IF(H882&lt;0,"Expired",IF(H882&lt;=90,"Expires soon","Active")))</f>
        <v/>
      </c>
      <c r="J882" s="72" t="n"/>
      <c r="K882" s="79">
        <f>IF(I882="","",IF(I882="Active",0,IF(I882="Expires soon",1,3)))</f>
        <v/>
      </c>
      <c r="L882" s="112">
        <f>IF(G882="","",IF(G882&lt;AsOf,"",G882))</f>
        <v/>
      </c>
      <c r="M882" s="79">
        <f>IF(L882="","",IF(L882&lt;=AsOf+AlertDays,2,IF(L882&lt;=AsOf+90,3,"")))</f>
        <v/>
      </c>
      <c r="N882" s="79">
        <f>IF(M882="","","Warranty expires in "&amp;H882&amp;" days: "&amp;B882&amp;IF(C882="",""," ("&amp;C882&amp;")")&amp;" — check for defects")</f>
        <v/>
      </c>
      <c r="P882" s="72" t="n"/>
      <c r="Q882" s="72" t="n"/>
      <c r="R882" s="89" t="n"/>
      <c r="S882" s="109" t="n"/>
      <c r="T882" s="126">
        <f>IF(OR(R882="",S882=""),"",DATE(YEAR(S882),MONTH(S882)+R882,DAY(S882)))</f>
        <v/>
      </c>
      <c r="U882" s="144">
        <f>IF(T882="","",T882-AsOf)</f>
        <v/>
      </c>
      <c r="V882" s="107">
        <f>IF(T882="",IF(P882="","","Enter last-done date"),IF(U882&lt;0,"Overdue",IF(U882&lt;=30,"Due soon","OK")))</f>
        <v/>
      </c>
      <c r="W882" s="79">
        <f>IF(T882="","",IF(U882&lt;0,2,IF(U882&lt;=30,1,0)))</f>
        <v/>
      </c>
      <c r="X882" s="112">
        <f>IF(T882="","",T882)</f>
        <v/>
      </c>
      <c r="Y882" s="79">
        <f>IF(X882="","",IF(X882&lt;=AsOf+AlertDays,2,IF(X882&lt;=AsOf+30,3,"")))</f>
        <v/>
      </c>
      <c r="Z882" s="79">
        <f>IF(Y882="","",IF(U882&lt;0,"Maintenance overdue: ","Maintenance due: ")&amp;P882)</f>
        <v/>
      </c>
    </row>
    <row r="883" ht="20" customHeight="1">
      <c r="B883" s="72" t="n"/>
      <c r="C883" s="72" t="n"/>
      <c r="D883" s="72" t="n"/>
      <c r="E883" s="109" t="n"/>
      <c r="F883" s="74" t="n"/>
      <c r="G883" s="126">
        <f>IF(OR(E883="",F883=""),"",DATE(YEAR(E883),MONTH(E883)+ROUND(F883*12,0),DAY(E883)))</f>
        <v/>
      </c>
      <c r="H883" s="144">
        <f>IF(G883="","",G883-AsOf)</f>
        <v/>
      </c>
      <c r="I883" s="107">
        <f>IF(G883="","",IF(H883&lt;0,"Expired",IF(H883&lt;=90,"Expires soon","Active")))</f>
        <v/>
      </c>
      <c r="J883" s="72" t="n"/>
      <c r="K883" s="79">
        <f>IF(I883="","",IF(I883="Active",0,IF(I883="Expires soon",1,3)))</f>
        <v/>
      </c>
      <c r="L883" s="112">
        <f>IF(G883="","",IF(G883&lt;AsOf,"",G883))</f>
        <v/>
      </c>
      <c r="M883" s="79">
        <f>IF(L883="","",IF(L883&lt;=AsOf+AlertDays,2,IF(L883&lt;=AsOf+90,3,"")))</f>
        <v/>
      </c>
      <c r="N883" s="79">
        <f>IF(M883="","","Warranty expires in "&amp;H883&amp;" days: "&amp;B883&amp;IF(C883="",""," ("&amp;C883&amp;")")&amp;" — check for defects")</f>
        <v/>
      </c>
      <c r="P883" s="72" t="n"/>
      <c r="Q883" s="72" t="n"/>
      <c r="R883" s="89" t="n"/>
      <c r="S883" s="109" t="n"/>
      <c r="T883" s="126">
        <f>IF(OR(R883="",S883=""),"",DATE(YEAR(S883),MONTH(S883)+R883,DAY(S883)))</f>
        <v/>
      </c>
      <c r="U883" s="144">
        <f>IF(T883="","",T883-AsOf)</f>
        <v/>
      </c>
      <c r="V883" s="107">
        <f>IF(T883="",IF(P883="","","Enter last-done date"),IF(U883&lt;0,"Overdue",IF(U883&lt;=30,"Due soon","OK")))</f>
        <v/>
      </c>
      <c r="W883" s="79">
        <f>IF(T883="","",IF(U883&lt;0,2,IF(U883&lt;=30,1,0)))</f>
        <v/>
      </c>
      <c r="X883" s="112">
        <f>IF(T883="","",T883)</f>
        <v/>
      </c>
      <c r="Y883" s="79">
        <f>IF(X883="","",IF(X883&lt;=AsOf+AlertDays,2,IF(X883&lt;=AsOf+30,3,"")))</f>
        <v/>
      </c>
      <c r="Z883" s="79">
        <f>IF(Y883="","",IF(U883&lt;0,"Maintenance overdue: ","Maintenance due: ")&amp;P883)</f>
        <v/>
      </c>
    </row>
    <row r="884" ht="20" customHeight="1">
      <c r="B884" s="72" t="n"/>
      <c r="C884" s="72" t="n"/>
      <c r="D884" s="72" t="n"/>
      <c r="E884" s="109" t="n"/>
      <c r="F884" s="74" t="n"/>
      <c r="G884" s="126">
        <f>IF(OR(E884="",F884=""),"",DATE(YEAR(E884),MONTH(E884)+ROUND(F884*12,0),DAY(E884)))</f>
        <v/>
      </c>
      <c r="H884" s="144">
        <f>IF(G884="","",G884-AsOf)</f>
        <v/>
      </c>
      <c r="I884" s="107">
        <f>IF(G884="","",IF(H884&lt;0,"Expired",IF(H884&lt;=90,"Expires soon","Active")))</f>
        <v/>
      </c>
      <c r="J884" s="72" t="n"/>
      <c r="K884" s="79">
        <f>IF(I884="","",IF(I884="Active",0,IF(I884="Expires soon",1,3)))</f>
        <v/>
      </c>
      <c r="L884" s="112">
        <f>IF(G884="","",IF(G884&lt;AsOf,"",G884))</f>
        <v/>
      </c>
      <c r="M884" s="79">
        <f>IF(L884="","",IF(L884&lt;=AsOf+AlertDays,2,IF(L884&lt;=AsOf+90,3,"")))</f>
        <v/>
      </c>
      <c r="N884" s="79">
        <f>IF(M884="","","Warranty expires in "&amp;H884&amp;" days: "&amp;B884&amp;IF(C884="",""," ("&amp;C884&amp;")")&amp;" — check for defects")</f>
        <v/>
      </c>
      <c r="P884" s="72" t="n"/>
      <c r="Q884" s="72" t="n"/>
      <c r="R884" s="89" t="n"/>
      <c r="S884" s="109" t="n"/>
      <c r="T884" s="126">
        <f>IF(OR(R884="",S884=""),"",DATE(YEAR(S884),MONTH(S884)+R884,DAY(S884)))</f>
        <v/>
      </c>
      <c r="U884" s="144">
        <f>IF(T884="","",T884-AsOf)</f>
        <v/>
      </c>
      <c r="V884" s="107">
        <f>IF(T884="",IF(P884="","","Enter last-done date"),IF(U884&lt;0,"Overdue",IF(U884&lt;=30,"Due soon","OK")))</f>
        <v/>
      </c>
      <c r="W884" s="79">
        <f>IF(T884="","",IF(U884&lt;0,2,IF(U884&lt;=30,1,0)))</f>
        <v/>
      </c>
      <c r="X884" s="112">
        <f>IF(T884="","",T884)</f>
        <v/>
      </c>
      <c r="Y884" s="79">
        <f>IF(X884="","",IF(X884&lt;=AsOf+AlertDays,2,IF(X884&lt;=AsOf+30,3,"")))</f>
        <v/>
      </c>
      <c r="Z884" s="79">
        <f>IF(Y884="","",IF(U884&lt;0,"Maintenance overdue: ","Maintenance due: ")&amp;P884)</f>
        <v/>
      </c>
    </row>
    <row r="885" ht="20" customHeight="1">
      <c r="B885" s="72" t="n"/>
      <c r="C885" s="72" t="n"/>
      <c r="D885" s="72" t="n"/>
      <c r="E885" s="109" t="n"/>
      <c r="F885" s="74" t="n"/>
      <c r="G885" s="126">
        <f>IF(OR(E885="",F885=""),"",DATE(YEAR(E885),MONTH(E885)+ROUND(F885*12,0),DAY(E885)))</f>
        <v/>
      </c>
      <c r="H885" s="144">
        <f>IF(G885="","",G885-AsOf)</f>
        <v/>
      </c>
      <c r="I885" s="107">
        <f>IF(G885="","",IF(H885&lt;0,"Expired",IF(H885&lt;=90,"Expires soon","Active")))</f>
        <v/>
      </c>
      <c r="J885" s="72" t="n"/>
      <c r="K885" s="79">
        <f>IF(I885="","",IF(I885="Active",0,IF(I885="Expires soon",1,3)))</f>
        <v/>
      </c>
      <c r="L885" s="112">
        <f>IF(G885="","",IF(G885&lt;AsOf,"",G885))</f>
        <v/>
      </c>
      <c r="M885" s="79">
        <f>IF(L885="","",IF(L885&lt;=AsOf+AlertDays,2,IF(L885&lt;=AsOf+90,3,"")))</f>
        <v/>
      </c>
      <c r="N885" s="79">
        <f>IF(M885="","","Warranty expires in "&amp;H885&amp;" days: "&amp;B885&amp;IF(C885="",""," ("&amp;C885&amp;")")&amp;" — check for defects")</f>
        <v/>
      </c>
      <c r="P885" s="72" t="n"/>
      <c r="Q885" s="72" t="n"/>
      <c r="R885" s="89" t="n"/>
      <c r="S885" s="109" t="n"/>
      <c r="T885" s="126">
        <f>IF(OR(R885="",S885=""),"",DATE(YEAR(S885),MONTH(S885)+R885,DAY(S885)))</f>
        <v/>
      </c>
      <c r="U885" s="144">
        <f>IF(T885="","",T885-AsOf)</f>
        <v/>
      </c>
      <c r="V885" s="107">
        <f>IF(T885="",IF(P885="","","Enter last-done date"),IF(U885&lt;0,"Overdue",IF(U885&lt;=30,"Due soon","OK")))</f>
        <v/>
      </c>
      <c r="W885" s="79">
        <f>IF(T885="","",IF(U885&lt;0,2,IF(U885&lt;=30,1,0)))</f>
        <v/>
      </c>
      <c r="X885" s="112">
        <f>IF(T885="","",T885)</f>
        <v/>
      </c>
      <c r="Y885" s="79">
        <f>IF(X885="","",IF(X885&lt;=AsOf+AlertDays,2,IF(X885&lt;=AsOf+30,3,"")))</f>
        <v/>
      </c>
      <c r="Z885" s="79">
        <f>IF(Y885="","",IF(U885&lt;0,"Maintenance overdue: ","Maintenance due: ")&amp;P885)</f>
        <v/>
      </c>
    </row>
    <row r="886" ht="20" customHeight="1">
      <c r="B886" s="72" t="n"/>
      <c r="C886" s="72" t="n"/>
      <c r="D886" s="72" t="n"/>
      <c r="E886" s="109" t="n"/>
      <c r="F886" s="74" t="n"/>
      <c r="G886" s="126">
        <f>IF(OR(E886="",F886=""),"",DATE(YEAR(E886),MONTH(E886)+ROUND(F886*12,0),DAY(E886)))</f>
        <v/>
      </c>
      <c r="H886" s="144">
        <f>IF(G886="","",G886-AsOf)</f>
        <v/>
      </c>
      <c r="I886" s="107">
        <f>IF(G886="","",IF(H886&lt;0,"Expired",IF(H886&lt;=90,"Expires soon","Active")))</f>
        <v/>
      </c>
      <c r="J886" s="72" t="n"/>
      <c r="K886" s="79">
        <f>IF(I886="","",IF(I886="Active",0,IF(I886="Expires soon",1,3)))</f>
        <v/>
      </c>
      <c r="L886" s="112">
        <f>IF(G886="","",IF(G886&lt;AsOf,"",G886))</f>
        <v/>
      </c>
      <c r="M886" s="79">
        <f>IF(L886="","",IF(L886&lt;=AsOf+AlertDays,2,IF(L886&lt;=AsOf+90,3,"")))</f>
        <v/>
      </c>
      <c r="N886" s="79">
        <f>IF(M886="","","Warranty expires in "&amp;H886&amp;" days: "&amp;B886&amp;IF(C886="",""," ("&amp;C886&amp;")")&amp;" — check for defects")</f>
        <v/>
      </c>
      <c r="P886" s="72" t="n"/>
      <c r="Q886" s="72" t="n"/>
      <c r="R886" s="89" t="n"/>
      <c r="S886" s="109" t="n"/>
      <c r="T886" s="126">
        <f>IF(OR(R886="",S886=""),"",DATE(YEAR(S886),MONTH(S886)+R886,DAY(S886)))</f>
        <v/>
      </c>
      <c r="U886" s="144">
        <f>IF(T886="","",T886-AsOf)</f>
        <v/>
      </c>
      <c r="V886" s="107">
        <f>IF(T886="",IF(P886="","","Enter last-done date"),IF(U886&lt;0,"Overdue",IF(U886&lt;=30,"Due soon","OK")))</f>
        <v/>
      </c>
      <c r="W886" s="79">
        <f>IF(T886="","",IF(U886&lt;0,2,IF(U886&lt;=30,1,0)))</f>
        <v/>
      </c>
      <c r="X886" s="112">
        <f>IF(T886="","",T886)</f>
        <v/>
      </c>
      <c r="Y886" s="79">
        <f>IF(X886="","",IF(X886&lt;=AsOf+AlertDays,2,IF(X886&lt;=AsOf+30,3,"")))</f>
        <v/>
      </c>
      <c r="Z886" s="79">
        <f>IF(Y886="","",IF(U886&lt;0,"Maintenance overdue: ","Maintenance due: ")&amp;P886)</f>
        <v/>
      </c>
    </row>
    <row r="887" ht="20" customHeight="1">
      <c r="B887" s="72" t="n"/>
      <c r="C887" s="72" t="n"/>
      <c r="D887" s="72" t="n"/>
      <c r="E887" s="109" t="n"/>
      <c r="F887" s="74" t="n"/>
      <c r="G887" s="126">
        <f>IF(OR(E887="",F887=""),"",DATE(YEAR(E887),MONTH(E887)+ROUND(F887*12,0),DAY(E887)))</f>
        <v/>
      </c>
      <c r="H887" s="144">
        <f>IF(G887="","",G887-AsOf)</f>
        <v/>
      </c>
      <c r="I887" s="107">
        <f>IF(G887="","",IF(H887&lt;0,"Expired",IF(H887&lt;=90,"Expires soon","Active")))</f>
        <v/>
      </c>
      <c r="J887" s="72" t="n"/>
      <c r="K887" s="79">
        <f>IF(I887="","",IF(I887="Active",0,IF(I887="Expires soon",1,3)))</f>
        <v/>
      </c>
      <c r="L887" s="112">
        <f>IF(G887="","",IF(G887&lt;AsOf,"",G887))</f>
        <v/>
      </c>
      <c r="M887" s="79">
        <f>IF(L887="","",IF(L887&lt;=AsOf+AlertDays,2,IF(L887&lt;=AsOf+90,3,"")))</f>
        <v/>
      </c>
      <c r="N887" s="79">
        <f>IF(M887="","","Warranty expires in "&amp;H887&amp;" days: "&amp;B887&amp;IF(C887="",""," ("&amp;C887&amp;")")&amp;" — check for defects")</f>
        <v/>
      </c>
      <c r="P887" s="72" t="n"/>
      <c r="Q887" s="72" t="n"/>
      <c r="R887" s="89" t="n"/>
      <c r="S887" s="109" t="n"/>
      <c r="T887" s="126">
        <f>IF(OR(R887="",S887=""),"",DATE(YEAR(S887),MONTH(S887)+R887,DAY(S887)))</f>
        <v/>
      </c>
      <c r="U887" s="144">
        <f>IF(T887="","",T887-AsOf)</f>
        <v/>
      </c>
      <c r="V887" s="107">
        <f>IF(T887="",IF(P887="","","Enter last-done date"),IF(U887&lt;0,"Overdue",IF(U887&lt;=30,"Due soon","OK")))</f>
        <v/>
      </c>
      <c r="W887" s="79">
        <f>IF(T887="","",IF(U887&lt;0,2,IF(U887&lt;=30,1,0)))</f>
        <v/>
      </c>
      <c r="X887" s="112">
        <f>IF(T887="","",T887)</f>
        <v/>
      </c>
      <c r="Y887" s="79">
        <f>IF(X887="","",IF(X887&lt;=AsOf+AlertDays,2,IF(X887&lt;=AsOf+30,3,"")))</f>
        <v/>
      </c>
      <c r="Z887" s="79">
        <f>IF(Y887="","",IF(U887&lt;0,"Maintenance overdue: ","Maintenance due: ")&amp;P887)</f>
        <v/>
      </c>
    </row>
    <row r="888" ht="20" customHeight="1">
      <c r="B888" s="72" t="n"/>
      <c r="C888" s="72" t="n"/>
      <c r="D888" s="72" t="n"/>
      <c r="E888" s="109" t="n"/>
      <c r="F888" s="74" t="n"/>
      <c r="G888" s="126">
        <f>IF(OR(E888="",F888=""),"",DATE(YEAR(E888),MONTH(E888)+ROUND(F888*12,0),DAY(E888)))</f>
        <v/>
      </c>
      <c r="H888" s="144">
        <f>IF(G888="","",G888-AsOf)</f>
        <v/>
      </c>
      <c r="I888" s="107">
        <f>IF(G888="","",IF(H888&lt;0,"Expired",IF(H888&lt;=90,"Expires soon","Active")))</f>
        <v/>
      </c>
      <c r="J888" s="72" t="n"/>
      <c r="K888" s="79">
        <f>IF(I888="","",IF(I888="Active",0,IF(I888="Expires soon",1,3)))</f>
        <v/>
      </c>
      <c r="L888" s="112">
        <f>IF(G888="","",IF(G888&lt;AsOf,"",G888))</f>
        <v/>
      </c>
      <c r="M888" s="79">
        <f>IF(L888="","",IF(L888&lt;=AsOf+AlertDays,2,IF(L888&lt;=AsOf+90,3,"")))</f>
        <v/>
      </c>
      <c r="N888" s="79">
        <f>IF(M888="","","Warranty expires in "&amp;H888&amp;" days: "&amp;B888&amp;IF(C888="",""," ("&amp;C888&amp;")")&amp;" — check for defects")</f>
        <v/>
      </c>
      <c r="P888" s="72" t="n"/>
      <c r="Q888" s="72" t="n"/>
      <c r="R888" s="89" t="n"/>
      <c r="S888" s="109" t="n"/>
      <c r="T888" s="126">
        <f>IF(OR(R888="",S888=""),"",DATE(YEAR(S888),MONTH(S888)+R888,DAY(S888)))</f>
        <v/>
      </c>
      <c r="U888" s="144">
        <f>IF(T888="","",T888-AsOf)</f>
        <v/>
      </c>
      <c r="V888" s="107">
        <f>IF(T888="",IF(P888="","","Enter last-done date"),IF(U888&lt;0,"Overdue",IF(U888&lt;=30,"Due soon","OK")))</f>
        <v/>
      </c>
      <c r="W888" s="79">
        <f>IF(T888="","",IF(U888&lt;0,2,IF(U888&lt;=30,1,0)))</f>
        <v/>
      </c>
      <c r="X888" s="112">
        <f>IF(T888="","",T888)</f>
        <v/>
      </c>
      <c r="Y888" s="79">
        <f>IF(X888="","",IF(X888&lt;=AsOf+AlertDays,2,IF(X888&lt;=AsOf+30,3,"")))</f>
        <v/>
      </c>
      <c r="Z888" s="79">
        <f>IF(Y888="","",IF(U888&lt;0,"Maintenance overdue: ","Maintenance due: ")&amp;P888)</f>
        <v/>
      </c>
    </row>
    <row r="889" ht="20" customHeight="1">
      <c r="B889" s="72" t="n"/>
      <c r="C889" s="72" t="n"/>
      <c r="D889" s="72" t="n"/>
      <c r="E889" s="109" t="n"/>
      <c r="F889" s="74" t="n"/>
      <c r="G889" s="126">
        <f>IF(OR(E889="",F889=""),"",DATE(YEAR(E889),MONTH(E889)+ROUND(F889*12,0),DAY(E889)))</f>
        <v/>
      </c>
      <c r="H889" s="144">
        <f>IF(G889="","",G889-AsOf)</f>
        <v/>
      </c>
      <c r="I889" s="107">
        <f>IF(G889="","",IF(H889&lt;0,"Expired",IF(H889&lt;=90,"Expires soon","Active")))</f>
        <v/>
      </c>
      <c r="J889" s="72" t="n"/>
      <c r="K889" s="79">
        <f>IF(I889="","",IF(I889="Active",0,IF(I889="Expires soon",1,3)))</f>
        <v/>
      </c>
      <c r="L889" s="112">
        <f>IF(G889="","",IF(G889&lt;AsOf,"",G889))</f>
        <v/>
      </c>
      <c r="M889" s="79">
        <f>IF(L889="","",IF(L889&lt;=AsOf+AlertDays,2,IF(L889&lt;=AsOf+90,3,"")))</f>
        <v/>
      </c>
      <c r="N889" s="79">
        <f>IF(M889="","","Warranty expires in "&amp;H889&amp;" days: "&amp;B889&amp;IF(C889="",""," ("&amp;C889&amp;")")&amp;" — check for defects")</f>
        <v/>
      </c>
      <c r="P889" s="72" t="n"/>
      <c r="Q889" s="72" t="n"/>
      <c r="R889" s="89" t="n"/>
      <c r="S889" s="109" t="n"/>
      <c r="T889" s="126">
        <f>IF(OR(R889="",S889=""),"",DATE(YEAR(S889),MONTH(S889)+R889,DAY(S889)))</f>
        <v/>
      </c>
      <c r="U889" s="144">
        <f>IF(T889="","",T889-AsOf)</f>
        <v/>
      </c>
      <c r="V889" s="107">
        <f>IF(T889="",IF(P889="","","Enter last-done date"),IF(U889&lt;0,"Overdue",IF(U889&lt;=30,"Due soon","OK")))</f>
        <v/>
      </c>
      <c r="W889" s="79">
        <f>IF(T889="","",IF(U889&lt;0,2,IF(U889&lt;=30,1,0)))</f>
        <v/>
      </c>
      <c r="X889" s="112">
        <f>IF(T889="","",T889)</f>
        <v/>
      </c>
      <c r="Y889" s="79">
        <f>IF(X889="","",IF(X889&lt;=AsOf+AlertDays,2,IF(X889&lt;=AsOf+30,3,"")))</f>
        <v/>
      </c>
      <c r="Z889" s="79">
        <f>IF(Y889="","",IF(U889&lt;0,"Maintenance overdue: ","Maintenance due: ")&amp;P889)</f>
        <v/>
      </c>
    </row>
    <row r="890" ht="20" customHeight="1">
      <c r="B890" s="72" t="n"/>
      <c r="C890" s="72" t="n"/>
      <c r="D890" s="72" t="n"/>
      <c r="E890" s="109" t="n"/>
      <c r="F890" s="74" t="n"/>
      <c r="G890" s="126">
        <f>IF(OR(E890="",F890=""),"",DATE(YEAR(E890),MONTH(E890)+ROUND(F890*12,0),DAY(E890)))</f>
        <v/>
      </c>
      <c r="H890" s="144">
        <f>IF(G890="","",G890-AsOf)</f>
        <v/>
      </c>
      <c r="I890" s="107">
        <f>IF(G890="","",IF(H890&lt;0,"Expired",IF(H890&lt;=90,"Expires soon","Active")))</f>
        <v/>
      </c>
      <c r="J890" s="72" t="n"/>
      <c r="K890" s="79">
        <f>IF(I890="","",IF(I890="Active",0,IF(I890="Expires soon",1,3)))</f>
        <v/>
      </c>
      <c r="L890" s="112">
        <f>IF(G890="","",IF(G890&lt;AsOf,"",G890))</f>
        <v/>
      </c>
      <c r="M890" s="79">
        <f>IF(L890="","",IF(L890&lt;=AsOf+AlertDays,2,IF(L890&lt;=AsOf+90,3,"")))</f>
        <v/>
      </c>
      <c r="N890" s="79">
        <f>IF(M890="","","Warranty expires in "&amp;H890&amp;" days: "&amp;B890&amp;IF(C890="",""," ("&amp;C890&amp;")")&amp;" — check for defects")</f>
        <v/>
      </c>
      <c r="P890" s="72" t="n"/>
      <c r="Q890" s="72" t="n"/>
      <c r="R890" s="89" t="n"/>
      <c r="S890" s="109" t="n"/>
      <c r="T890" s="126">
        <f>IF(OR(R890="",S890=""),"",DATE(YEAR(S890),MONTH(S890)+R890,DAY(S890)))</f>
        <v/>
      </c>
      <c r="U890" s="144">
        <f>IF(T890="","",T890-AsOf)</f>
        <v/>
      </c>
      <c r="V890" s="107">
        <f>IF(T890="",IF(P890="","","Enter last-done date"),IF(U890&lt;0,"Overdue",IF(U890&lt;=30,"Due soon","OK")))</f>
        <v/>
      </c>
      <c r="W890" s="79">
        <f>IF(T890="","",IF(U890&lt;0,2,IF(U890&lt;=30,1,0)))</f>
        <v/>
      </c>
      <c r="X890" s="112">
        <f>IF(T890="","",T890)</f>
        <v/>
      </c>
      <c r="Y890" s="79">
        <f>IF(X890="","",IF(X890&lt;=AsOf+AlertDays,2,IF(X890&lt;=AsOf+30,3,"")))</f>
        <v/>
      </c>
      <c r="Z890" s="79">
        <f>IF(Y890="","",IF(U890&lt;0,"Maintenance overdue: ","Maintenance due: ")&amp;P890)</f>
        <v/>
      </c>
    </row>
    <row r="891" ht="20" customHeight="1">
      <c r="B891" s="72" t="n"/>
      <c r="C891" s="72" t="n"/>
      <c r="D891" s="72" t="n"/>
      <c r="E891" s="109" t="n"/>
      <c r="F891" s="74" t="n"/>
      <c r="G891" s="126">
        <f>IF(OR(E891="",F891=""),"",DATE(YEAR(E891),MONTH(E891)+ROUND(F891*12,0),DAY(E891)))</f>
        <v/>
      </c>
      <c r="H891" s="144">
        <f>IF(G891="","",G891-AsOf)</f>
        <v/>
      </c>
      <c r="I891" s="107">
        <f>IF(G891="","",IF(H891&lt;0,"Expired",IF(H891&lt;=90,"Expires soon","Active")))</f>
        <v/>
      </c>
      <c r="J891" s="72" t="n"/>
      <c r="K891" s="79">
        <f>IF(I891="","",IF(I891="Active",0,IF(I891="Expires soon",1,3)))</f>
        <v/>
      </c>
      <c r="L891" s="112">
        <f>IF(G891="","",IF(G891&lt;AsOf,"",G891))</f>
        <v/>
      </c>
      <c r="M891" s="79">
        <f>IF(L891="","",IF(L891&lt;=AsOf+AlertDays,2,IF(L891&lt;=AsOf+90,3,"")))</f>
        <v/>
      </c>
      <c r="N891" s="79">
        <f>IF(M891="","","Warranty expires in "&amp;H891&amp;" days: "&amp;B891&amp;IF(C891="",""," ("&amp;C891&amp;")")&amp;" — check for defects")</f>
        <v/>
      </c>
      <c r="P891" s="72" t="n"/>
      <c r="Q891" s="72" t="n"/>
      <c r="R891" s="89" t="n"/>
      <c r="S891" s="109" t="n"/>
      <c r="T891" s="126">
        <f>IF(OR(R891="",S891=""),"",DATE(YEAR(S891),MONTH(S891)+R891,DAY(S891)))</f>
        <v/>
      </c>
      <c r="U891" s="144">
        <f>IF(T891="","",T891-AsOf)</f>
        <v/>
      </c>
      <c r="V891" s="107">
        <f>IF(T891="",IF(P891="","","Enter last-done date"),IF(U891&lt;0,"Overdue",IF(U891&lt;=30,"Due soon","OK")))</f>
        <v/>
      </c>
      <c r="W891" s="79">
        <f>IF(T891="","",IF(U891&lt;0,2,IF(U891&lt;=30,1,0)))</f>
        <v/>
      </c>
      <c r="X891" s="112">
        <f>IF(T891="","",T891)</f>
        <v/>
      </c>
      <c r="Y891" s="79">
        <f>IF(X891="","",IF(X891&lt;=AsOf+AlertDays,2,IF(X891&lt;=AsOf+30,3,"")))</f>
        <v/>
      </c>
      <c r="Z891" s="79">
        <f>IF(Y891="","",IF(U891&lt;0,"Maintenance overdue: ","Maintenance due: ")&amp;P891)</f>
        <v/>
      </c>
    </row>
    <row r="892" ht="20" customHeight="1">
      <c r="B892" s="72" t="n"/>
      <c r="C892" s="72" t="n"/>
      <c r="D892" s="72" t="n"/>
      <c r="E892" s="109" t="n"/>
      <c r="F892" s="74" t="n"/>
      <c r="G892" s="126">
        <f>IF(OR(E892="",F892=""),"",DATE(YEAR(E892),MONTH(E892)+ROUND(F892*12,0),DAY(E892)))</f>
        <v/>
      </c>
      <c r="H892" s="144">
        <f>IF(G892="","",G892-AsOf)</f>
        <v/>
      </c>
      <c r="I892" s="107">
        <f>IF(G892="","",IF(H892&lt;0,"Expired",IF(H892&lt;=90,"Expires soon","Active")))</f>
        <v/>
      </c>
      <c r="J892" s="72" t="n"/>
      <c r="K892" s="79">
        <f>IF(I892="","",IF(I892="Active",0,IF(I892="Expires soon",1,3)))</f>
        <v/>
      </c>
      <c r="L892" s="112">
        <f>IF(G892="","",IF(G892&lt;AsOf,"",G892))</f>
        <v/>
      </c>
      <c r="M892" s="79">
        <f>IF(L892="","",IF(L892&lt;=AsOf+AlertDays,2,IF(L892&lt;=AsOf+90,3,"")))</f>
        <v/>
      </c>
      <c r="N892" s="79">
        <f>IF(M892="","","Warranty expires in "&amp;H892&amp;" days: "&amp;B892&amp;IF(C892="",""," ("&amp;C892&amp;")")&amp;" — check for defects")</f>
        <v/>
      </c>
      <c r="P892" s="72" t="n"/>
      <c r="Q892" s="72" t="n"/>
      <c r="R892" s="89" t="n"/>
      <c r="S892" s="109" t="n"/>
      <c r="T892" s="126">
        <f>IF(OR(R892="",S892=""),"",DATE(YEAR(S892),MONTH(S892)+R892,DAY(S892)))</f>
        <v/>
      </c>
      <c r="U892" s="144">
        <f>IF(T892="","",T892-AsOf)</f>
        <v/>
      </c>
      <c r="V892" s="107">
        <f>IF(T892="",IF(P892="","","Enter last-done date"),IF(U892&lt;0,"Overdue",IF(U892&lt;=30,"Due soon","OK")))</f>
        <v/>
      </c>
      <c r="W892" s="79">
        <f>IF(T892="","",IF(U892&lt;0,2,IF(U892&lt;=30,1,0)))</f>
        <v/>
      </c>
      <c r="X892" s="112">
        <f>IF(T892="","",T892)</f>
        <v/>
      </c>
      <c r="Y892" s="79">
        <f>IF(X892="","",IF(X892&lt;=AsOf+AlertDays,2,IF(X892&lt;=AsOf+30,3,"")))</f>
        <v/>
      </c>
      <c r="Z892" s="79">
        <f>IF(Y892="","",IF(U892&lt;0,"Maintenance overdue: ","Maintenance due: ")&amp;P892)</f>
        <v/>
      </c>
    </row>
    <row r="893" ht="20" customHeight="1">
      <c r="B893" s="72" t="n"/>
      <c r="C893" s="72" t="n"/>
      <c r="D893" s="72" t="n"/>
      <c r="E893" s="109" t="n"/>
      <c r="F893" s="74" t="n"/>
      <c r="G893" s="126">
        <f>IF(OR(E893="",F893=""),"",DATE(YEAR(E893),MONTH(E893)+ROUND(F893*12,0),DAY(E893)))</f>
        <v/>
      </c>
      <c r="H893" s="144">
        <f>IF(G893="","",G893-AsOf)</f>
        <v/>
      </c>
      <c r="I893" s="107">
        <f>IF(G893="","",IF(H893&lt;0,"Expired",IF(H893&lt;=90,"Expires soon","Active")))</f>
        <v/>
      </c>
      <c r="J893" s="72" t="n"/>
      <c r="K893" s="79">
        <f>IF(I893="","",IF(I893="Active",0,IF(I893="Expires soon",1,3)))</f>
        <v/>
      </c>
      <c r="L893" s="112">
        <f>IF(G893="","",IF(G893&lt;AsOf,"",G893))</f>
        <v/>
      </c>
      <c r="M893" s="79">
        <f>IF(L893="","",IF(L893&lt;=AsOf+AlertDays,2,IF(L893&lt;=AsOf+90,3,"")))</f>
        <v/>
      </c>
      <c r="N893" s="79">
        <f>IF(M893="","","Warranty expires in "&amp;H893&amp;" days: "&amp;B893&amp;IF(C893="",""," ("&amp;C893&amp;")")&amp;" — check for defects")</f>
        <v/>
      </c>
      <c r="P893" s="72" t="n"/>
      <c r="Q893" s="72" t="n"/>
      <c r="R893" s="89" t="n"/>
      <c r="S893" s="109" t="n"/>
      <c r="T893" s="126">
        <f>IF(OR(R893="",S893=""),"",DATE(YEAR(S893),MONTH(S893)+R893,DAY(S893)))</f>
        <v/>
      </c>
      <c r="U893" s="144">
        <f>IF(T893="","",T893-AsOf)</f>
        <v/>
      </c>
      <c r="V893" s="107">
        <f>IF(T893="",IF(P893="","","Enter last-done date"),IF(U893&lt;0,"Overdue",IF(U893&lt;=30,"Due soon","OK")))</f>
        <v/>
      </c>
      <c r="W893" s="79">
        <f>IF(T893="","",IF(U893&lt;0,2,IF(U893&lt;=30,1,0)))</f>
        <v/>
      </c>
      <c r="X893" s="112">
        <f>IF(T893="","",T893)</f>
        <v/>
      </c>
      <c r="Y893" s="79">
        <f>IF(X893="","",IF(X893&lt;=AsOf+AlertDays,2,IF(X893&lt;=AsOf+30,3,"")))</f>
        <v/>
      </c>
      <c r="Z893" s="79">
        <f>IF(Y893="","",IF(U893&lt;0,"Maintenance overdue: ","Maintenance due: ")&amp;P893)</f>
        <v/>
      </c>
    </row>
    <row r="894" ht="20" customHeight="1">
      <c r="B894" s="72" t="n"/>
      <c r="C894" s="72" t="n"/>
      <c r="D894" s="72" t="n"/>
      <c r="E894" s="109" t="n"/>
      <c r="F894" s="74" t="n"/>
      <c r="G894" s="126">
        <f>IF(OR(E894="",F894=""),"",DATE(YEAR(E894),MONTH(E894)+ROUND(F894*12,0),DAY(E894)))</f>
        <v/>
      </c>
      <c r="H894" s="144">
        <f>IF(G894="","",G894-AsOf)</f>
        <v/>
      </c>
      <c r="I894" s="107">
        <f>IF(G894="","",IF(H894&lt;0,"Expired",IF(H894&lt;=90,"Expires soon","Active")))</f>
        <v/>
      </c>
      <c r="J894" s="72" t="n"/>
      <c r="K894" s="79">
        <f>IF(I894="","",IF(I894="Active",0,IF(I894="Expires soon",1,3)))</f>
        <v/>
      </c>
      <c r="L894" s="112">
        <f>IF(G894="","",IF(G894&lt;AsOf,"",G894))</f>
        <v/>
      </c>
      <c r="M894" s="79">
        <f>IF(L894="","",IF(L894&lt;=AsOf+AlertDays,2,IF(L894&lt;=AsOf+90,3,"")))</f>
        <v/>
      </c>
      <c r="N894" s="79">
        <f>IF(M894="","","Warranty expires in "&amp;H894&amp;" days: "&amp;B894&amp;IF(C894="",""," ("&amp;C894&amp;")")&amp;" — check for defects")</f>
        <v/>
      </c>
      <c r="P894" s="72" t="n"/>
      <c r="Q894" s="72" t="n"/>
      <c r="R894" s="89" t="n"/>
      <c r="S894" s="109" t="n"/>
      <c r="T894" s="126">
        <f>IF(OR(R894="",S894=""),"",DATE(YEAR(S894),MONTH(S894)+R894,DAY(S894)))</f>
        <v/>
      </c>
      <c r="U894" s="144">
        <f>IF(T894="","",T894-AsOf)</f>
        <v/>
      </c>
      <c r="V894" s="107">
        <f>IF(T894="",IF(P894="","","Enter last-done date"),IF(U894&lt;0,"Overdue",IF(U894&lt;=30,"Due soon","OK")))</f>
        <v/>
      </c>
      <c r="W894" s="79">
        <f>IF(T894="","",IF(U894&lt;0,2,IF(U894&lt;=30,1,0)))</f>
        <v/>
      </c>
      <c r="X894" s="112">
        <f>IF(T894="","",T894)</f>
        <v/>
      </c>
      <c r="Y894" s="79">
        <f>IF(X894="","",IF(X894&lt;=AsOf+AlertDays,2,IF(X894&lt;=AsOf+30,3,"")))</f>
        <v/>
      </c>
      <c r="Z894" s="79">
        <f>IF(Y894="","",IF(U894&lt;0,"Maintenance overdue: ","Maintenance due: ")&amp;P894)</f>
        <v/>
      </c>
    </row>
    <row r="895" ht="20" customHeight="1">
      <c r="B895" s="72" t="n"/>
      <c r="C895" s="72" t="n"/>
      <c r="D895" s="72" t="n"/>
      <c r="E895" s="109" t="n"/>
      <c r="F895" s="74" t="n"/>
      <c r="G895" s="126">
        <f>IF(OR(E895="",F895=""),"",DATE(YEAR(E895),MONTH(E895)+ROUND(F895*12,0),DAY(E895)))</f>
        <v/>
      </c>
      <c r="H895" s="144">
        <f>IF(G895="","",G895-AsOf)</f>
        <v/>
      </c>
      <c r="I895" s="107">
        <f>IF(G895="","",IF(H895&lt;0,"Expired",IF(H895&lt;=90,"Expires soon","Active")))</f>
        <v/>
      </c>
      <c r="J895" s="72" t="n"/>
      <c r="K895" s="79">
        <f>IF(I895="","",IF(I895="Active",0,IF(I895="Expires soon",1,3)))</f>
        <v/>
      </c>
      <c r="L895" s="112">
        <f>IF(G895="","",IF(G895&lt;AsOf,"",G895))</f>
        <v/>
      </c>
      <c r="M895" s="79">
        <f>IF(L895="","",IF(L895&lt;=AsOf+AlertDays,2,IF(L895&lt;=AsOf+90,3,"")))</f>
        <v/>
      </c>
      <c r="N895" s="79">
        <f>IF(M895="","","Warranty expires in "&amp;H895&amp;" days: "&amp;B895&amp;IF(C895="",""," ("&amp;C895&amp;")")&amp;" — check for defects")</f>
        <v/>
      </c>
      <c r="P895" s="72" t="n"/>
      <c r="Q895" s="72" t="n"/>
      <c r="R895" s="89" t="n"/>
      <c r="S895" s="109" t="n"/>
      <c r="T895" s="126">
        <f>IF(OR(R895="",S895=""),"",DATE(YEAR(S895),MONTH(S895)+R895,DAY(S895)))</f>
        <v/>
      </c>
      <c r="U895" s="144">
        <f>IF(T895="","",T895-AsOf)</f>
        <v/>
      </c>
      <c r="V895" s="107">
        <f>IF(T895="",IF(P895="","","Enter last-done date"),IF(U895&lt;0,"Overdue",IF(U895&lt;=30,"Due soon","OK")))</f>
        <v/>
      </c>
      <c r="W895" s="79">
        <f>IF(T895="","",IF(U895&lt;0,2,IF(U895&lt;=30,1,0)))</f>
        <v/>
      </c>
      <c r="X895" s="112">
        <f>IF(T895="","",T895)</f>
        <v/>
      </c>
      <c r="Y895" s="79">
        <f>IF(X895="","",IF(X895&lt;=AsOf+AlertDays,2,IF(X895&lt;=AsOf+30,3,"")))</f>
        <v/>
      </c>
      <c r="Z895" s="79">
        <f>IF(Y895="","",IF(U895&lt;0,"Maintenance overdue: ","Maintenance due: ")&amp;P895)</f>
        <v/>
      </c>
    </row>
    <row r="896" ht="20" customHeight="1">
      <c r="B896" s="72" t="n"/>
      <c r="C896" s="72" t="n"/>
      <c r="D896" s="72" t="n"/>
      <c r="E896" s="109" t="n"/>
      <c r="F896" s="74" t="n"/>
      <c r="G896" s="126">
        <f>IF(OR(E896="",F896=""),"",DATE(YEAR(E896),MONTH(E896)+ROUND(F896*12,0),DAY(E896)))</f>
        <v/>
      </c>
      <c r="H896" s="144">
        <f>IF(G896="","",G896-AsOf)</f>
        <v/>
      </c>
      <c r="I896" s="107">
        <f>IF(G896="","",IF(H896&lt;0,"Expired",IF(H896&lt;=90,"Expires soon","Active")))</f>
        <v/>
      </c>
      <c r="J896" s="72" t="n"/>
      <c r="K896" s="79">
        <f>IF(I896="","",IF(I896="Active",0,IF(I896="Expires soon",1,3)))</f>
        <v/>
      </c>
      <c r="L896" s="112">
        <f>IF(G896="","",IF(G896&lt;AsOf,"",G896))</f>
        <v/>
      </c>
      <c r="M896" s="79">
        <f>IF(L896="","",IF(L896&lt;=AsOf+AlertDays,2,IF(L896&lt;=AsOf+90,3,"")))</f>
        <v/>
      </c>
      <c r="N896" s="79">
        <f>IF(M896="","","Warranty expires in "&amp;H896&amp;" days: "&amp;B896&amp;IF(C896="",""," ("&amp;C896&amp;")")&amp;" — check for defects")</f>
        <v/>
      </c>
      <c r="P896" s="72" t="n"/>
      <c r="Q896" s="72" t="n"/>
      <c r="R896" s="89" t="n"/>
      <c r="S896" s="109" t="n"/>
      <c r="T896" s="126">
        <f>IF(OR(R896="",S896=""),"",DATE(YEAR(S896),MONTH(S896)+R896,DAY(S896)))</f>
        <v/>
      </c>
      <c r="U896" s="144">
        <f>IF(T896="","",T896-AsOf)</f>
        <v/>
      </c>
      <c r="V896" s="107">
        <f>IF(T896="",IF(P896="","","Enter last-done date"),IF(U896&lt;0,"Overdue",IF(U896&lt;=30,"Due soon","OK")))</f>
        <v/>
      </c>
      <c r="W896" s="79">
        <f>IF(T896="","",IF(U896&lt;0,2,IF(U896&lt;=30,1,0)))</f>
        <v/>
      </c>
      <c r="X896" s="112">
        <f>IF(T896="","",T896)</f>
        <v/>
      </c>
      <c r="Y896" s="79">
        <f>IF(X896="","",IF(X896&lt;=AsOf+AlertDays,2,IF(X896&lt;=AsOf+30,3,"")))</f>
        <v/>
      </c>
      <c r="Z896" s="79">
        <f>IF(Y896="","",IF(U896&lt;0,"Maintenance overdue: ","Maintenance due: ")&amp;P896)</f>
        <v/>
      </c>
    </row>
    <row r="897" ht="20" customHeight="1">
      <c r="B897" s="72" t="n"/>
      <c r="C897" s="72" t="n"/>
      <c r="D897" s="72" t="n"/>
      <c r="E897" s="109" t="n"/>
      <c r="F897" s="74" t="n"/>
      <c r="G897" s="126">
        <f>IF(OR(E897="",F897=""),"",DATE(YEAR(E897),MONTH(E897)+ROUND(F897*12,0),DAY(E897)))</f>
        <v/>
      </c>
      <c r="H897" s="144">
        <f>IF(G897="","",G897-AsOf)</f>
        <v/>
      </c>
      <c r="I897" s="107">
        <f>IF(G897="","",IF(H897&lt;0,"Expired",IF(H897&lt;=90,"Expires soon","Active")))</f>
        <v/>
      </c>
      <c r="J897" s="72" t="n"/>
      <c r="K897" s="79">
        <f>IF(I897="","",IF(I897="Active",0,IF(I897="Expires soon",1,3)))</f>
        <v/>
      </c>
      <c r="L897" s="112">
        <f>IF(G897="","",IF(G897&lt;AsOf,"",G897))</f>
        <v/>
      </c>
      <c r="M897" s="79">
        <f>IF(L897="","",IF(L897&lt;=AsOf+AlertDays,2,IF(L897&lt;=AsOf+90,3,"")))</f>
        <v/>
      </c>
      <c r="N897" s="79">
        <f>IF(M897="","","Warranty expires in "&amp;H897&amp;" days: "&amp;B897&amp;IF(C897="",""," ("&amp;C897&amp;")")&amp;" — check for defects")</f>
        <v/>
      </c>
      <c r="P897" s="72" t="n"/>
      <c r="Q897" s="72" t="n"/>
      <c r="R897" s="89" t="n"/>
      <c r="S897" s="109" t="n"/>
      <c r="T897" s="126">
        <f>IF(OR(R897="",S897=""),"",DATE(YEAR(S897),MONTH(S897)+R897,DAY(S897)))</f>
        <v/>
      </c>
      <c r="U897" s="144">
        <f>IF(T897="","",T897-AsOf)</f>
        <v/>
      </c>
      <c r="V897" s="107">
        <f>IF(T897="",IF(P897="","","Enter last-done date"),IF(U897&lt;0,"Overdue",IF(U897&lt;=30,"Due soon","OK")))</f>
        <v/>
      </c>
      <c r="W897" s="79">
        <f>IF(T897="","",IF(U897&lt;0,2,IF(U897&lt;=30,1,0)))</f>
        <v/>
      </c>
      <c r="X897" s="112">
        <f>IF(T897="","",T897)</f>
        <v/>
      </c>
      <c r="Y897" s="79">
        <f>IF(X897="","",IF(X897&lt;=AsOf+AlertDays,2,IF(X897&lt;=AsOf+30,3,"")))</f>
        <v/>
      </c>
      <c r="Z897" s="79">
        <f>IF(Y897="","",IF(U897&lt;0,"Maintenance overdue: ","Maintenance due: ")&amp;P897)</f>
        <v/>
      </c>
    </row>
    <row r="898" ht="20" customHeight="1">
      <c r="B898" s="72" t="n"/>
      <c r="C898" s="72" t="n"/>
      <c r="D898" s="72" t="n"/>
      <c r="E898" s="109" t="n"/>
      <c r="F898" s="74" t="n"/>
      <c r="G898" s="126">
        <f>IF(OR(E898="",F898=""),"",DATE(YEAR(E898),MONTH(E898)+ROUND(F898*12,0),DAY(E898)))</f>
        <v/>
      </c>
      <c r="H898" s="144">
        <f>IF(G898="","",G898-AsOf)</f>
        <v/>
      </c>
      <c r="I898" s="107">
        <f>IF(G898="","",IF(H898&lt;0,"Expired",IF(H898&lt;=90,"Expires soon","Active")))</f>
        <v/>
      </c>
      <c r="J898" s="72" t="n"/>
      <c r="K898" s="79">
        <f>IF(I898="","",IF(I898="Active",0,IF(I898="Expires soon",1,3)))</f>
        <v/>
      </c>
      <c r="L898" s="112">
        <f>IF(G898="","",IF(G898&lt;AsOf,"",G898))</f>
        <v/>
      </c>
      <c r="M898" s="79">
        <f>IF(L898="","",IF(L898&lt;=AsOf+AlertDays,2,IF(L898&lt;=AsOf+90,3,"")))</f>
        <v/>
      </c>
      <c r="N898" s="79">
        <f>IF(M898="","","Warranty expires in "&amp;H898&amp;" days: "&amp;B898&amp;IF(C898="",""," ("&amp;C898&amp;")")&amp;" — check for defects")</f>
        <v/>
      </c>
      <c r="P898" s="72" t="n"/>
      <c r="Q898" s="72" t="n"/>
      <c r="R898" s="89" t="n"/>
      <c r="S898" s="109" t="n"/>
      <c r="T898" s="126">
        <f>IF(OR(R898="",S898=""),"",DATE(YEAR(S898),MONTH(S898)+R898,DAY(S898)))</f>
        <v/>
      </c>
      <c r="U898" s="144">
        <f>IF(T898="","",T898-AsOf)</f>
        <v/>
      </c>
      <c r="V898" s="107">
        <f>IF(T898="",IF(P898="","","Enter last-done date"),IF(U898&lt;0,"Overdue",IF(U898&lt;=30,"Due soon","OK")))</f>
        <v/>
      </c>
      <c r="W898" s="79">
        <f>IF(T898="","",IF(U898&lt;0,2,IF(U898&lt;=30,1,0)))</f>
        <v/>
      </c>
      <c r="X898" s="112">
        <f>IF(T898="","",T898)</f>
        <v/>
      </c>
      <c r="Y898" s="79">
        <f>IF(X898="","",IF(X898&lt;=AsOf+AlertDays,2,IF(X898&lt;=AsOf+30,3,"")))</f>
        <v/>
      </c>
      <c r="Z898" s="79">
        <f>IF(Y898="","",IF(U898&lt;0,"Maintenance overdue: ","Maintenance due: ")&amp;P898)</f>
        <v/>
      </c>
    </row>
    <row r="899" ht="20" customHeight="1">
      <c r="B899" s="72" t="n"/>
      <c r="C899" s="72" t="n"/>
      <c r="D899" s="72" t="n"/>
      <c r="E899" s="109" t="n"/>
      <c r="F899" s="74" t="n"/>
      <c r="G899" s="126">
        <f>IF(OR(E899="",F899=""),"",DATE(YEAR(E899),MONTH(E899)+ROUND(F899*12,0),DAY(E899)))</f>
        <v/>
      </c>
      <c r="H899" s="144">
        <f>IF(G899="","",G899-AsOf)</f>
        <v/>
      </c>
      <c r="I899" s="107">
        <f>IF(G899="","",IF(H899&lt;0,"Expired",IF(H899&lt;=90,"Expires soon","Active")))</f>
        <v/>
      </c>
      <c r="J899" s="72" t="n"/>
      <c r="K899" s="79">
        <f>IF(I899="","",IF(I899="Active",0,IF(I899="Expires soon",1,3)))</f>
        <v/>
      </c>
      <c r="L899" s="112">
        <f>IF(G899="","",IF(G899&lt;AsOf,"",G899))</f>
        <v/>
      </c>
      <c r="M899" s="79">
        <f>IF(L899="","",IF(L899&lt;=AsOf+AlertDays,2,IF(L899&lt;=AsOf+90,3,"")))</f>
        <v/>
      </c>
      <c r="N899" s="79">
        <f>IF(M899="","","Warranty expires in "&amp;H899&amp;" days: "&amp;B899&amp;IF(C899="",""," ("&amp;C899&amp;")")&amp;" — check for defects")</f>
        <v/>
      </c>
      <c r="P899" s="72" t="n"/>
      <c r="Q899" s="72" t="n"/>
      <c r="R899" s="89" t="n"/>
      <c r="S899" s="109" t="n"/>
      <c r="T899" s="126">
        <f>IF(OR(R899="",S899=""),"",DATE(YEAR(S899),MONTH(S899)+R899,DAY(S899)))</f>
        <v/>
      </c>
      <c r="U899" s="144">
        <f>IF(T899="","",T899-AsOf)</f>
        <v/>
      </c>
      <c r="V899" s="107">
        <f>IF(T899="",IF(P899="","","Enter last-done date"),IF(U899&lt;0,"Overdue",IF(U899&lt;=30,"Due soon","OK")))</f>
        <v/>
      </c>
      <c r="W899" s="79">
        <f>IF(T899="","",IF(U899&lt;0,2,IF(U899&lt;=30,1,0)))</f>
        <v/>
      </c>
      <c r="X899" s="112">
        <f>IF(T899="","",T899)</f>
        <v/>
      </c>
      <c r="Y899" s="79">
        <f>IF(X899="","",IF(X899&lt;=AsOf+AlertDays,2,IF(X899&lt;=AsOf+30,3,"")))</f>
        <v/>
      </c>
      <c r="Z899" s="79">
        <f>IF(Y899="","",IF(U899&lt;0,"Maintenance overdue: ","Maintenance due: ")&amp;P899)</f>
        <v/>
      </c>
    </row>
    <row r="900" ht="20" customHeight="1">
      <c r="B900" s="72" t="n"/>
      <c r="C900" s="72" t="n"/>
      <c r="D900" s="72" t="n"/>
      <c r="E900" s="109" t="n"/>
      <c r="F900" s="74" t="n"/>
      <c r="G900" s="126">
        <f>IF(OR(E900="",F900=""),"",DATE(YEAR(E900),MONTH(E900)+ROUND(F900*12,0),DAY(E900)))</f>
        <v/>
      </c>
      <c r="H900" s="144">
        <f>IF(G900="","",G900-AsOf)</f>
        <v/>
      </c>
      <c r="I900" s="107">
        <f>IF(G900="","",IF(H900&lt;0,"Expired",IF(H900&lt;=90,"Expires soon","Active")))</f>
        <v/>
      </c>
      <c r="J900" s="72" t="n"/>
      <c r="K900" s="79">
        <f>IF(I900="","",IF(I900="Active",0,IF(I900="Expires soon",1,3)))</f>
        <v/>
      </c>
      <c r="L900" s="112">
        <f>IF(G900="","",IF(G900&lt;AsOf,"",G900))</f>
        <v/>
      </c>
      <c r="M900" s="79">
        <f>IF(L900="","",IF(L900&lt;=AsOf+AlertDays,2,IF(L900&lt;=AsOf+90,3,"")))</f>
        <v/>
      </c>
      <c r="N900" s="79">
        <f>IF(M900="","","Warranty expires in "&amp;H900&amp;" days: "&amp;B900&amp;IF(C900="",""," ("&amp;C900&amp;")")&amp;" — check for defects")</f>
        <v/>
      </c>
      <c r="P900" s="72" t="n"/>
      <c r="Q900" s="72" t="n"/>
      <c r="R900" s="89" t="n"/>
      <c r="S900" s="109" t="n"/>
      <c r="T900" s="126">
        <f>IF(OR(R900="",S900=""),"",DATE(YEAR(S900),MONTH(S900)+R900,DAY(S900)))</f>
        <v/>
      </c>
      <c r="U900" s="144">
        <f>IF(T900="","",T900-AsOf)</f>
        <v/>
      </c>
      <c r="V900" s="107">
        <f>IF(T900="",IF(P900="","","Enter last-done date"),IF(U900&lt;0,"Overdue",IF(U900&lt;=30,"Due soon","OK")))</f>
        <v/>
      </c>
      <c r="W900" s="79">
        <f>IF(T900="","",IF(U900&lt;0,2,IF(U900&lt;=30,1,0)))</f>
        <v/>
      </c>
      <c r="X900" s="112">
        <f>IF(T900="","",T900)</f>
        <v/>
      </c>
      <c r="Y900" s="79">
        <f>IF(X900="","",IF(X900&lt;=AsOf+AlertDays,2,IF(X900&lt;=AsOf+30,3,"")))</f>
        <v/>
      </c>
      <c r="Z900" s="79">
        <f>IF(Y900="","",IF(U900&lt;0,"Maintenance overdue: ","Maintenance due: ")&amp;P900)</f>
        <v/>
      </c>
    </row>
    <row r="901" ht="20" customHeight="1">
      <c r="B901" s="72" t="n"/>
      <c r="C901" s="72" t="n"/>
      <c r="D901" s="72" t="n"/>
      <c r="E901" s="109" t="n"/>
      <c r="F901" s="74" t="n"/>
      <c r="G901" s="126">
        <f>IF(OR(E901="",F901=""),"",DATE(YEAR(E901),MONTH(E901)+ROUND(F901*12,0),DAY(E901)))</f>
        <v/>
      </c>
      <c r="H901" s="144">
        <f>IF(G901="","",G901-AsOf)</f>
        <v/>
      </c>
      <c r="I901" s="107">
        <f>IF(G901="","",IF(H901&lt;0,"Expired",IF(H901&lt;=90,"Expires soon","Active")))</f>
        <v/>
      </c>
      <c r="J901" s="72" t="n"/>
      <c r="K901" s="79">
        <f>IF(I901="","",IF(I901="Active",0,IF(I901="Expires soon",1,3)))</f>
        <v/>
      </c>
      <c r="L901" s="112">
        <f>IF(G901="","",IF(G901&lt;AsOf,"",G901))</f>
        <v/>
      </c>
      <c r="M901" s="79">
        <f>IF(L901="","",IF(L901&lt;=AsOf+AlertDays,2,IF(L901&lt;=AsOf+90,3,"")))</f>
        <v/>
      </c>
      <c r="N901" s="79">
        <f>IF(M901="","","Warranty expires in "&amp;H901&amp;" days: "&amp;B901&amp;IF(C901="",""," ("&amp;C901&amp;")")&amp;" — check for defects")</f>
        <v/>
      </c>
      <c r="P901" s="72" t="n"/>
      <c r="Q901" s="72" t="n"/>
      <c r="R901" s="89" t="n"/>
      <c r="S901" s="109" t="n"/>
      <c r="T901" s="126">
        <f>IF(OR(R901="",S901=""),"",DATE(YEAR(S901),MONTH(S901)+R901,DAY(S901)))</f>
        <v/>
      </c>
      <c r="U901" s="144">
        <f>IF(T901="","",T901-AsOf)</f>
        <v/>
      </c>
      <c r="V901" s="107">
        <f>IF(T901="",IF(P901="","","Enter last-done date"),IF(U901&lt;0,"Overdue",IF(U901&lt;=30,"Due soon","OK")))</f>
        <v/>
      </c>
      <c r="W901" s="79">
        <f>IF(T901="","",IF(U901&lt;0,2,IF(U901&lt;=30,1,0)))</f>
        <v/>
      </c>
      <c r="X901" s="112">
        <f>IF(T901="","",T901)</f>
        <v/>
      </c>
      <c r="Y901" s="79">
        <f>IF(X901="","",IF(X901&lt;=AsOf+AlertDays,2,IF(X901&lt;=AsOf+30,3,"")))</f>
        <v/>
      </c>
      <c r="Z901" s="79">
        <f>IF(Y901="","",IF(U901&lt;0,"Maintenance overdue: ","Maintenance due: ")&amp;P901)</f>
        <v/>
      </c>
    </row>
    <row r="902" ht="20" customHeight="1">
      <c r="B902" s="72" t="n"/>
      <c r="C902" s="72" t="n"/>
      <c r="D902" s="72" t="n"/>
      <c r="E902" s="109" t="n"/>
      <c r="F902" s="74" t="n"/>
      <c r="G902" s="126">
        <f>IF(OR(E902="",F902=""),"",DATE(YEAR(E902),MONTH(E902)+ROUND(F902*12,0),DAY(E902)))</f>
        <v/>
      </c>
      <c r="H902" s="144">
        <f>IF(G902="","",G902-AsOf)</f>
        <v/>
      </c>
      <c r="I902" s="107">
        <f>IF(G902="","",IF(H902&lt;0,"Expired",IF(H902&lt;=90,"Expires soon","Active")))</f>
        <v/>
      </c>
      <c r="J902" s="72" t="n"/>
      <c r="K902" s="79">
        <f>IF(I902="","",IF(I902="Active",0,IF(I902="Expires soon",1,3)))</f>
        <v/>
      </c>
      <c r="L902" s="112">
        <f>IF(G902="","",IF(G902&lt;AsOf,"",G902))</f>
        <v/>
      </c>
      <c r="M902" s="79">
        <f>IF(L902="","",IF(L902&lt;=AsOf+AlertDays,2,IF(L902&lt;=AsOf+90,3,"")))</f>
        <v/>
      </c>
      <c r="N902" s="79">
        <f>IF(M902="","","Warranty expires in "&amp;H902&amp;" days: "&amp;B902&amp;IF(C902="",""," ("&amp;C902&amp;")")&amp;" — check for defects")</f>
        <v/>
      </c>
      <c r="P902" s="72" t="n"/>
      <c r="Q902" s="72" t="n"/>
      <c r="R902" s="89" t="n"/>
      <c r="S902" s="109" t="n"/>
      <c r="T902" s="126">
        <f>IF(OR(R902="",S902=""),"",DATE(YEAR(S902),MONTH(S902)+R902,DAY(S902)))</f>
        <v/>
      </c>
      <c r="U902" s="144">
        <f>IF(T902="","",T902-AsOf)</f>
        <v/>
      </c>
      <c r="V902" s="107">
        <f>IF(T902="",IF(P902="","","Enter last-done date"),IF(U902&lt;0,"Overdue",IF(U902&lt;=30,"Due soon","OK")))</f>
        <v/>
      </c>
      <c r="W902" s="79">
        <f>IF(T902="","",IF(U902&lt;0,2,IF(U902&lt;=30,1,0)))</f>
        <v/>
      </c>
      <c r="X902" s="112">
        <f>IF(T902="","",T902)</f>
        <v/>
      </c>
      <c r="Y902" s="79">
        <f>IF(X902="","",IF(X902&lt;=AsOf+AlertDays,2,IF(X902&lt;=AsOf+30,3,"")))</f>
        <v/>
      </c>
      <c r="Z902" s="79">
        <f>IF(Y902="","",IF(U902&lt;0,"Maintenance overdue: ","Maintenance due: ")&amp;P902)</f>
        <v/>
      </c>
    </row>
    <row r="903" ht="20" customHeight="1">
      <c r="B903" s="72" t="n"/>
      <c r="C903" s="72" t="n"/>
      <c r="D903" s="72" t="n"/>
      <c r="E903" s="109" t="n"/>
      <c r="F903" s="74" t="n"/>
      <c r="G903" s="126">
        <f>IF(OR(E903="",F903=""),"",DATE(YEAR(E903),MONTH(E903)+ROUND(F903*12,0),DAY(E903)))</f>
        <v/>
      </c>
      <c r="H903" s="144">
        <f>IF(G903="","",G903-AsOf)</f>
        <v/>
      </c>
      <c r="I903" s="107">
        <f>IF(G903="","",IF(H903&lt;0,"Expired",IF(H903&lt;=90,"Expires soon","Active")))</f>
        <v/>
      </c>
      <c r="J903" s="72" t="n"/>
      <c r="K903" s="79">
        <f>IF(I903="","",IF(I903="Active",0,IF(I903="Expires soon",1,3)))</f>
        <v/>
      </c>
      <c r="L903" s="112">
        <f>IF(G903="","",IF(G903&lt;AsOf,"",G903))</f>
        <v/>
      </c>
      <c r="M903" s="79">
        <f>IF(L903="","",IF(L903&lt;=AsOf+AlertDays,2,IF(L903&lt;=AsOf+90,3,"")))</f>
        <v/>
      </c>
      <c r="N903" s="79">
        <f>IF(M903="","","Warranty expires in "&amp;H903&amp;" days: "&amp;B903&amp;IF(C903="",""," ("&amp;C903&amp;")")&amp;" — check for defects")</f>
        <v/>
      </c>
      <c r="P903" s="72" t="n"/>
      <c r="Q903" s="72" t="n"/>
      <c r="R903" s="89" t="n"/>
      <c r="S903" s="109" t="n"/>
      <c r="T903" s="126">
        <f>IF(OR(R903="",S903=""),"",DATE(YEAR(S903),MONTH(S903)+R903,DAY(S903)))</f>
        <v/>
      </c>
      <c r="U903" s="144">
        <f>IF(T903="","",T903-AsOf)</f>
        <v/>
      </c>
      <c r="V903" s="107">
        <f>IF(T903="",IF(P903="","","Enter last-done date"),IF(U903&lt;0,"Overdue",IF(U903&lt;=30,"Due soon","OK")))</f>
        <v/>
      </c>
      <c r="W903" s="79">
        <f>IF(T903="","",IF(U903&lt;0,2,IF(U903&lt;=30,1,0)))</f>
        <v/>
      </c>
      <c r="X903" s="112">
        <f>IF(T903="","",T903)</f>
        <v/>
      </c>
      <c r="Y903" s="79">
        <f>IF(X903="","",IF(X903&lt;=AsOf+AlertDays,2,IF(X903&lt;=AsOf+30,3,"")))</f>
        <v/>
      </c>
      <c r="Z903" s="79">
        <f>IF(Y903="","",IF(U903&lt;0,"Maintenance overdue: ","Maintenance due: ")&amp;P903)</f>
        <v/>
      </c>
    </row>
    <row r="904" ht="20" customHeight="1">
      <c r="B904" s="72" t="n"/>
      <c r="C904" s="72" t="n"/>
      <c r="D904" s="72" t="n"/>
      <c r="E904" s="109" t="n"/>
      <c r="F904" s="74" t="n"/>
      <c r="G904" s="126">
        <f>IF(OR(E904="",F904=""),"",DATE(YEAR(E904),MONTH(E904)+ROUND(F904*12,0),DAY(E904)))</f>
        <v/>
      </c>
      <c r="H904" s="144">
        <f>IF(G904="","",G904-AsOf)</f>
        <v/>
      </c>
      <c r="I904" s="107">
        <f>IF(G904="","",IF(H904&lt;0,"Expired",IF(H904&lt;=90,"Expires soon","Active")))</f>
        <v/>
      </c>
      <c r="J904" s="72" t="n"/>
      <c r="K904" s="79">
        <f>IF(I904="","",IF(I904="Active",0,IF(I904="Expires soon",1,3)))</f>
        <v/>
      </c>
      <c r="L904" s="112">
        <f>IF(G904="","",IF(G904&lt;AsOf,"",G904))</f>
        <v/>
      </c>
      <c r="M904" s="79">
        <f>IF(L904="","",IF(L904&lt;=AsOf+AlertDays,2,IF(L904&lt;=AsOf+90,3,"")))</f>
        <v/>
      </c>
      <c r="N904" s="79">
        <f>IF(M904="","","Warranty expires in "&amp;H904&amp;" days: "&amp;B904&amp;IF(C904="",""," ("&amp;C904&amp;")")&amp;" — check for defects")</f>
        <v/>
      </c>
      <c r="P904" s="72" t="n"/>
      <c r="Q904" s="72" t="n"/>
      <c r="R904" s="89" t="n"/>
      <c r="S904" s="109" t="n"/>
      <c r="T904" s="126">
        <f>IF(OR(R904="",S904=""),"",DATE(YEAR(S904),MONTH(S904)+R904,DAY(S904)))</f>
        <v/>
      </c>
      <c r="U904" s="144">
        <f>IF(T904="","",T904-AsOf)</f>
        <v/>
      </c>
      <c r="V904" s="107">
        <f>IF(T904="",IF(P904="","","Enter last-done date"),IF(U904&lt;0,"Overdue",IF(U904&lt;=30,"Due soon","OK")))</f>
        <v/>
      </c>
      <c r="W904" s="79">
        <f>IF(T904="","",IF(U904&lt;0,2,IF(U904&lt;=30,1,0)))</f>
        <v/>
      </c>
      <c r="X904" s="112">
        <f>IF(T904="","",T904)</f>
        <v/>
      </c>
      <c r="Y904" s="79">
        <f>IF(X904="","",IF(X904&lt;=AsOf+AlertDays,2,IF(X904&lt;=AsOf+30,3,"")))</f>
        <v/>
      </c>
      <c r="Z904" s="79">
        <f>IF(Y904="","",IF(U904&lt;0,"Maintenance overdue: ","Maintenance due: ")&amp;P904)</f>
        <v/>
      </c>
    </row>
    <row r="905" ht="20" customHeight="1">
      <c r="B905" s="72" t="n"/>
      <c r="C905" s="72" t="n"/>
      <c r="D905" s="72" t="n"/>
      <c r="E905" s="109" t="n"/>
      <c r="F905" s="74" t="n"/>
      <c r="G905" s="126">
        <f>IF(OR(E905="",F905=""),"",DATE(YEAR(E905),MONTH(E905)+ROUND(F905*12,0),DAY(E905)))</f>
        <v/>
      </c>
      <c r="H905" s="144">
        <f>IF(G905="","",G905-AsOf)</f>
        <v/>
      </c>
      <c r="I905" s="107">
        <f>IF(G905="","",IF(H905&lt;0,"Expired",IF(H905&lt;=90,"Expires soon","Active")))</f>
        <v/>
      </c>
      <c r="J905" s="72" t="n"/>
      <c r="K905" s="79">
        <f>IF(I905="","",IF(I905="Active",0,IF(I905="Expires soon",1,3)))</f>
        <v/>
      </c>
      <c r="L905" s="112">
        <f>IF(G905="","",IF(G905&lt;AsOf,"",G905))</f>
        <v/>
      </c>
      <c r="M905" s="79">
        <f>IF(L905="","",IF(L905&lt;=AsOf+AlertDays,2,IF(L905&lt;=AsOf+90,3,"")))</f>
        <v/>
      </c>
      <c r="N905" s="79">
        <f>IF(M905="","","Warranty expires in "&amp;H905&amp;" days: "&amp;B905&amp;IF(C905="",""," ("&amp;C905&amp;")")&amp;" — check for defects")</f>
        <v/>
      </c>
      <c r="P905" s="72" t="n"/>
      <c r="Q905" s="72" t="n"/>
      <c r="R905" s="89" t="n"/>
      <c r="S905" s="109" t="n"/>
      <c r="T905" s="126">
        <f>IF(OR(R905="",S905=""),"",DATE(YEAR(S905),MONTH(S905)+R905,DAY(S905)))</f>
        <v/>
      </c>
      <c r="U905" s="144">
        <f>IF(T905="","",T905-AsOf)</f>
        <v/>
      </c>
      <c r="V905" s="107">
        <f>IF(T905="",IF(P905="","","Enter last-done date"),IF(U905&lt;0,"Overdue",IF(U905&lt;=30,"Due soon","OK")))</f>
        <v/>
      </c>
      <c r="W905" s="79">
        <f>IF(T905="","",IF(U905&lt;0,2,IF(U905&lt;=30,1,0)))</f>
        <v/>
      </c>
      <c r="X905" s="112">
        <f>IF(T905="","",T905)</f>
        <v/>
      </c>
      <c r="Y905" s="79">
        <f>IF(X905="","",IF(X905&lt;=AsOf+AlertDays,2,IF(X905&lt;=AsOf+30,3,"")))</f>
        <v/>
      </c>
      <c r="Z905" s="79">
        <f>IF(Y905="","",IF(U905&lt;0,"Maintenance overdue: ","Maintenance due: ")&amp;P905)</f>
        <v/>
      </c>
    </row>
    <row r="906" ht="20" customHeight="1">
      <c r="B906" s="72" t="n"/>
      <c r="C906" s="72" t="n"/>
      <c r="D906" s="72" t="n"/>
      <c r="E906" s="109" t="n"/>
      <c r="F906" s="74" t="n"/>
      <c r="G906" s="126">
        <f>IF(OR(E906="",F906=""),"",DATE(YEAR(E906),MONTH(E906)+ROUND(F906*12,0),DAY(E906)))</f>
        <v/>
      </c>
      <c r="H906" s="144">
        <f>IF(G906="","",G906-AsOf)</f>
        <v/>
      </c>
      <c r="I906" s="107">
        <f>IF(G906="","",IF(H906&lt;0,"Expired",IF(H906&lt;=90,"Expires soon","Active")))</f>
        <v/>
      </c>
      <c r="J906" s="72" t="n"/>
      <c r="K906" s="79">
        <f>IF(I906="","",IF(I906="Active",0,IF(I906="Expires soon",1,3)))</f>
        <v/>
      </c>
      <c r="L906" s="112">
        <f>IF(G906="","",IF(G906&lt;AsOf,"",G906))</f>
        <v/>
      </c>
      <c r="M906" s="79">
        <f>IF(L906="","",IF(L906&lt;=AsOf+AlertDays,2,IF(L906&lt;=AsOf+90,3,"")))</f>
        <v/>
      </c>
      <c r="N906" s="79">
        <f>IF(M906="","","Warranty expires in "&amp;H906&amp;" days: "&amp;B906&amp;IF(C906="",""," ("&amp;C906&amp;")")&amp;" — check for defects")</f>
        <v/>
      </c>
      <c r="P906" s="72" t="n"/>
      <c r="Q906" s="72" t="n"/>
      <c r="R906" s="89" t="n"/>
      <c r="S906" s="109" t="n"/>
      <c r="T906" s="126">
        <f>IF(OR(R906="",S906=""),"",DATE(YEAR(S906),MONTH(S906)+R906,DAY(S906)))</f>
        <v/>
      </c>
      <c r="U906" s="144">
        <f>IF(T906="","",T906-AsOf)</f>
        <v/>
      </c>
      <c r="V906" s="107">
        <f>IF(T906="",IF(P906="","","Enter last-done date"),IF(U906&lt;0,"Overdue",IF(U906&lt;=30,"Due soon","OK")))</f>
        <v/>
      </c>
      <c r="W906" s="79">
        <f>IF(T906="","",IF(U906&lt;0,2,IF(U906&lt;=30,1,0)))</f>
        <v/>
      </c>
      <c r="X906" s="112">
        <f>IF(T906="","",T906)</f>
        <v/>
      </c>
      <c r="Y906" s="79">
        <f>IF(X906="","",IF(X906&lt;=AsOf+AlertDays,2,IF(X906&lt;=AsOf+30,3,"")))</f>
        <v/>
      </c>
      <c r="Z906" s="79">
        <f>IF(Y906="","",IF(U906&lt;0,"Maintenance overdue: ","Maintenance due: ")&amp;P906)</f>
        <v/>
      </c>
    </row>
    <row r="907" ht="20" customHeight="1">
      <c r="B907" s="72" t="n"/>
      <c r="C907" s="72" t="n"/>
      <c r="D907" s="72" t="n"/>
      <c r="E907" s="109" t="n"/>
      <c r="F907" s="74" t="n"/>
      <c r="G907" s="126">
        <f>IF(OR(E907="",F907=""),"",DATE(YEAR(E907),MONTH(E907)+ROUND(F907*12,0),DAY(E907)))</f>
        <v/>
      </c>
      <c r="H907" s="144">
        <f>IF(G907="","",G907-AsOf)</f>
        <v/>
      </c>
      <c r="I907" s="107">
        <f>IF(G907="","",IF(H907&lt;0,"Expired",IF(H907&lt;=90,"Expires soon","Active")))</f>
        <v/>
      </c>
      <c r="J907" s="72" t="n"/>
      <c r="K907" s="79">
        <f>IF(I907="","",IF(I907="Active",0,IF(I907="Expires soon",1,3)))</f>
        <v/>
      </c>
      <c r="L907" s="112">
        <f>IF(G907="","",IF(G907&lt;AsOf,"",G907))</f>
        <v/>
      </c>
      <c r="M907" s="79">
        <f>IF(L907="","",IF(L907&lt;=AsOf+AlertDays,2,IF(L907&lt;=AsOf+90,3,"")))</f>
        <v/>
      </c>
      <c r="N907" s="79">
        <f>IF(M907="","","Warranty expires in "&amp;H907&amp;" days: "&amp;B907&amp;IF(C907="",""," ("&amp;C907&amp;")")&amp;" — check for defects")</f>
        <v/>
      </c>
      <c r="P907" s="72" t="n"/>
      <c r="Q907" s="72" t="n"/>
      <c r="R907" s="89" t="n"/>
      <c r="S907" s="109" t="n"/>
      <c r="T907" s="126">
        <f>IF(OR(R907="",S907=""),"",DATE(YEAR(S907),MONTH(S907)+R907,DAY(S907)))</f>
        <v/>
      </c>
      <c r="U907" s="144">
        <f>IF(T907="","",T907-AsOf)</f>
        <v/>
      </c>
      <c r="V907" s="107">
        <f>IF(T907="",IF(P907="","","Enter last-done date"),IF(U907&lt;0,"Overdue",IF(U907&lt;=30,"Due soon","OK")))</f>
        <v/>
      </c>
      <c r="W907" s="79">
        <f>IF(T907="","",IF(U907&lt;0,2,IF(U907&lt;=30,1,0)))</f>
        <v/>
      </c>
      <c r="X907" s="112">
        <f>IF(T907="","",T907)</f>
        <v/>
      </c>
      <c r="Y907" s="79">
        <f>IF(X907="","",IF(X907&lt;=AsOf+AlertDays,2,IF(X907&lt;=AsOf+30,3,"")))</f>
        <v/>
      </c>
      <c r="Z907" s="79">
        <f>IF(Y907="","",IF(U907&lt;0,"Maintenance overdue: ","Maintenance due: ")&amp;P907)</f>
        <v/>
      </c>
    </row>
    <row r="908" ht="20" customHeight="1">
      <c r="B908" s="72" t="n"/>
      <c r="C908" s="72" t="n"/>
      <c r="D908" s="72" t="n"/>
      <c r="E908" s="109" t="n"/>
      <c r="F908" s="74" t="n"/>
      <c r="G908" s="126">
        <f>IF(OR(E908="",F908=""),"",DATE(YEAR(E908),MONTH(E908)+ROUND(F908*12,0),DAY(E908)))</f>
        <v/>
      </c>
      <c r="H908" s="144">
        <f>IF(G908="","",G908-AsOf)</f>
        <v/>
      </c>
      <c r="I908" s="107">
        <f>IF(G908="","",IF(H908&lt;0,"Expired",IF(H908&lt;=90,"Expires soon","Active")))</f>
        <v/>
      </c>
      <c r="J908" s="72" t="n"/>
      <c r="K908" s="79">
        <f>IF(I908="","",IF(I908="Active",0,IF(I908="Expires soon",1,3)))</f>
        <v/>
      </c>
      <c r="L908" s="112">
        <f>IF(G908="","",IF(G908&lt;AsOf,"",G908))</f>
        <v/>
      </c>
      <c r="M908" s="79">
        <f>IF(L908="","",IF(L908&lt;=AsOf+AlertDays,2,IF(L908&lt;=AsOf+90,3,"")))</f>
        <v/>
      </c>
      <c r="N908" s="79">
        <f>IF(M908="","","Warranty expires in "&amp;H908&amp;" days: "&amp;B908&amp;IF(C908="",""," ("&amp;C908&amp;")")&amp;" — check for defects")</f>
        <v/>
      </c>
      <c r="P908" s="72" t="n"/>
      <c r="Q908" s="72" t="n"/>
      <c r="R908" s="89" t="n"/>
      <c r="S908" s="109" t="n"/>
      <c r="T908" s="126">
        <f>IF(OR(R908="",S908=""),"",DATE(YEAR(S908),MONTH(S908)+R908,DAY(S908)))</f>
        <v/>
      </c>
      <c r="U908" s="144">
        <f>IF(T908="","",T908-AsOf)</f>
        <v/>
      </c>
      <c r="V908" s="107">
        <f>IF(T908="",IF(P908="","","Enter last-done date"),IF(U908&lt;0,"Overdue",IF(U908&lt;=30,"Due soon","OK")))</f>
        <v/>
      </c>
      <c r="W908" s="79">
        <f>IF(T908="","",IF(U908&lt;0,2,IF(U908&lt;=30,1,0)))</f>
        <v/>
      </c>
      <c r="X908" s="112">
        <f>IF(T908="","",T908)</f>
        <v/>
      </c>
      <c r="Y908" s="79">
        <f>IF(X908="","",IF(X908&lt;=AsOf+AlertDays,2,IF(X908&lt;=AsOf+30,3,"")))</f>
        <v/>
      </c>
      <c r="Z908" s="79">
        <f>IF(Y908="","",IF(U908&lt;0,"Maintenance overdue: ","Maintenance due: ")&amp;P908)</f>
        <v/>
      </c>
    </row>
    <row r="909" ht="20" customHeight="1">
      <c r="B909" s="72" t="n"/>
      <c r="C909" s="72" t="n"/>
      <c r="D909" s="72" t="n"/>
      <c r="E909" s="109" t="n"/>
      <c r="F909" s="74" t="n"/>
      <c r="G909" s="126">
        <f>IF(OR(E909="",F909=""),"",DATE(YEAR(E909),MONTH(E909)+ROUND(F909*12,0),DAY(E909)))</f>
        <v/>
      </c>
      <c r="H909" s="144">
        <f>IF(G909="","",G909-AsOf)</f>
        <v/>
      </c>
      <c r="I909" s="107">
        <f>IF(G909="","",IF(H909&lt;0,"Expired",IF(H909&lt;=90,"Expires soon","Active")))</f>
        <v/>
      </c>
      <c r="J909" s="72" t="n"/>
      <c r="K909" s="79">
        <f>IF(I909="","",IF(I909="Active",0,IF(I909="Expires soon",1,3)))</f>
        <v/>
      </c>
      <c r="L909" s="112">
        <f>IF(G909="","",IF(G909&lt;AsOf,"",G909))</f>
        <v/>
      </c>
      <c r="M909" s="79">
        <f>IF(L909="","",IF(L909&lt;=AsOf+AlertDays,2,IF(L909&lt;=AsOf+90,3,"")))</f>
        <v/>
      </c>
      <c r="N909" s="79">
        <f>IF(M909="","","Warranty expires in "&amp;H909&amp;" days: "&amp;B909&amp;IF(C909="",""," ("&amp;C909&amp;")")&amp;" — check for defects")</f>
        <v/>
      </c>
      <c r="P909" s="72" t="n"/>
      <c r="Q909" s="72" t="n"/>
      <c r="R909" s="89" t="n"/>
      <c r="S909" s="109" t="n"/>
      <c r="T909" s="126">
        <f>IF(OR(R909="",S909=""),"",DATE(YEAR(S909),MONTH(S909)+R909,DAY(S909)))</f>
        <v/>
      </c>
      <c r="U909" s="144">
        <f>IF(T909="","",T909-AsOf)</f>
        <v/>
      </c>
      <c r="V909" s="107">
        <f>IF(T909="",IF(P909="","","Enter last-done date"),IF(U909&lt;0,"Overdue",IF(U909&lt;=30,"Due soon","OK")))</f>
        <v/>
      </c>
      <c r="W909" s="79">
        <f>IF(T909="","",IF(U909&lt;0,2,IF(U909&lt;=30,1,0)))</f>
        <v/>
      </c>
      <c r="X909" s="112">
        <f>IF(T909="","",T909)</f>
        <v/>
      </c>
      <c r="Y909" s="79">
        <f>IF(X909="","",IF(X909&lt;=AsOf+AlertDays,2,IF(X909&lt;=AsOf+30,3,"")))</f>
        <v/>
      </c>
      <c r="Z909" s="79">
        <f>IF(Y909="","",IF(U909&lt;0,"Maintenance overdue: ","Maintenance due: ")&amp;P909)</f>
        <v/>
      </c>
    </row>
    <row r="910" ht="20" customHeight="1">
      <c r="B910" s="72" t="n"/>
      <c r="C910" s="72" t="n"/>
      <c r="D910" s="72" t="n"/>
      <c r="E910" s="109" t="n"/>
      <c r="F910" s="74" t="n"/>
      <c r="G910" s="126">
        <f>IF(OR(E910="",F910=""),"",DATE(YEAR(E910),MONTH(E910)+ROUND(F910*12,0),DAY(E910)))</f>
        <v/>
      </c>
      <c r="H910" s="144">
        <f>IF(G910="","",G910-AsOf)</f>
        <v/>
      </c>
      <c r="I910" s="107">
        <f>IF(G910="","",IF(H910&lt;0,"Expired",IF(H910&lt;=90,"Expires soon","Active")))</f>
        <v/>
      </c>
      <c r="J910" s="72" t="n"/>
      <c r="K910" s="79">
        <f>IF(I910="","",IF(I910="Active",0,IF(I910="Expires soon",1,3)))</f>
        <v/>
      </c>
      <c r="L910" s="112">
        <f>IF(G910="","",IF(G910&lt;AsOf,"",G910))</f>
        <v/>
      </c>
      <c r="M910" s="79">
        <f>IF(L910="","",IF(L910&lt;=AsOf+AlertDays,2,IF(L910&lt;=AsOf+90,3,"")))</f>
        <v/>
      </c>
      <c r="N910" s="79">
        <f>IF(M910="","","Warranty expires in "&amp;H910&amp;" days: "&amp;B910&amp;IF(C910="",""," ("&amp;C910&amp;")")&amp;" — check for defects")</f>
        <v/>
      </c>
      <c r="P910" s="72" t="n"/>
      <c r="Q910" s="72" t="n"/>
      <c r="R910" s="89" t="n"/>
      <c r="S910" s="109" t="n"/>
      <c r="T910" s="126">
        <f>IF(OR(R910="",S910=""),"",DATE(YEAR(S910),MONTH(S910)+R910,DAY(S910)))</f>
        <v/>
      </c>
      <c r="U910" s="144">
        <f>IF(T910="","",T910-AsOf)</f>
        <v/>
      </c>
      <c r="V910" s="107">
        <f>IF(T910="",IF(P910="","","Enter last-done date"),IF(U910&lt;0,"Overdue",IF(U910&lt;=30,"Due soon","OK")))</f>
        <v/>
      </c>
      <c r="W910" s="79">
        <f>IF(T910="","",IF(U910&lt;0,2,IF(U910&lt;=30,1,0)))</f>
        <v/>
      </c>
      <c r="X910" s="112">
        <f>IF(T910="","",T910)</f>
        <v/>
      </c>
      <c r="Y910" s="79">
        <f>IF(X910="","",IF(X910&lt;=AsOf+AlertDays,2,IF(X910&lt;=AsOf+30,3,"")))</f>
        <v/>
      </c>
      <c r="Z910" s="79">
        <f>IF(Y910="","",IF(U910&lt;0,"Maintenance overdue: ","Maintenance due: ")&amp;P910)</f>
        <v/>
      </c>
    </row>
    <row r="911" ht="20" customHeight="1">
      <c r="B911" s="72" t="n"/>
      <c r="C911" s="72" t="n"/>
      <c r="D911" s="72" t="n"/>
      <c r="E911" s="109" t="n"/>
      <c r="F911" s="74" t="n"/>
      <c r="G911" s="126">
        <f>IF(OR(E911="",F911=""),"",DATE(YEAR(E911),MONTH(E911)+ROUND(F911*12,0),DAY(E911)))</f>
        <v/>
      </c>
      <c r="H911" s="144">
        <f>IF(G911="","",G911-AsOf)</f>
        <v/>
      </c>
      <c r="I911" s="107">
        <f>IF(G911="","",IF(H911&lt;0,"Expired",IF(H911&lt;=90,"Expires soon","Active")))</f>
        <v/>
      </c>
      <c r="J911" s="72" t="n"/>
      <c r="K911" s="79">
        <f>IF(I911="","",IF(I911="Active",0,IF(I911="Expires soon",1,3)))</f>
        <v/>
      </c>
      <c r="L911" s="112">
        <f>IF(G911="","",IF(G911&lt;AsOf,"",G911))</f>
        <v/>
      </c>
      <c r="M911" s="79">
        <f>IF(L911="","",IF(L911&lt;=AsOf+AlertDays,2,IF(L911&lt;=AsOf+90,3,"")))</f>
        <v/>
      </c>
      <c r="N911" s="79">
        <f>IF(M911="","","Warranty expires in "&amp;H911&amp;" days: "&amp;B911&amp;IF(C911="",""," ("&amp;C911&amp;")")&amp;" — check for defects")</f>
        <v/>
      </c>
      <c r="P911" s="72" t="n"/>
      <c r="Q911" s="72" t="n"/>
      <c r="R911" s="89" t="n"/>
      <c r="S911" s="109" t="n"/>
      <c r="T911" s="126">
        <f>IF(OR(R911="",S911=""),"",DATE(YEAR(S911),MONTH(S911)+R911,DAY(S911)))</f>
        <v/>
      </c>
      <c r="U911" s="144">
        <f>IF(T911="","",T911-AsOf)</f>
        <v/>
      </c>
      <c r="V911" s="107">
        <f>IF(T911="",IF(P911="","","Enter last-done date"),IF(U911&lt;0,"Overdue",IF(U911&lt;=30,"Due soon","OK")))</f>
        <v/>
      </c>
      <c r="W911" s="79">
        <f>IF(T911="","",IF(U911&lt;0,2,IF(U911&lt;=30,1,0)))</f>
        <v/>
      </c>
      <c r="X911" s="112">
        <f>IF(T911="","",T911)</f>
        <v/>
      </c>
      <c r="Y911" s="79">
        <f>IF(X911="","",IF(X911&lt;=AsOf+AlertDays,2,IF(X911&lt;=AsOf+30,3,"")))</f>
        <v/>
      </c>
      <c r="Z911" s="79">
        <f>IF(Y911="","",IF(U911&lt;0,"Maintenance overdue: ","Maintenance due: ")&amp;P911)</f>
        <v/>
      </c>
    </row>
    <row r="912" ht="20" customHeight="1">
      <c r="B912" s="72" t="n"/>
      <c r="C912" s="72" t="n"/>
      <c r="D912" s="72" t="n"/>
      <c r="E912" s="109" t="n"/>
      <c r="F912" s="74" t="n"/>
      <c r="G912" s="126">
        <f>IF(OR(E912="",F912=""),"",DATE(YEAR(E912),MONTH(E912)+ROUND(F912*12,0),DAY(E912)))</f>
        <v/>
      </c>
      <c r="H912" s="144">
        <f>IF(G912="","",G912-AsOf)</f>
        <v/>
      </c>
      <c r="I912" s="107">
        <f>IF(G912="","",IF(H912&lt;0,"Expired",IF(H912&lt;=90,"Expires soon","Active")))</f>
        <v/>
      </c>
      <c r="J912" s="72" t="n"/>
      <c r="K912" s="79">
        <f>IF(I912="","",IF(I912="Active",0,IF(I912="Expires soon",1,3)))</f>
        <v/>
      </c>
      <c r="L912" s="112">
        <f>IF(G912="","",IF(G912&lt;AsOf,"",G912))</f>
        <v/>
      </c>
      <c r="M912" s="79">
        <f>IF(L912="","",IF(L912&lt;=AsOf+AlertDays,2,IF(L912&lt;=AsOf+90,3,"")))</f>
        <v/>
      </c>
      <c r="N912" s="79">
        <f>IF(M912="","","Warranty expires in "&amp;H912&amp;" days: "&amp;B912&amp;IF(C912="",""," ("&amp;C912&amp;")")&amp;" — check for defects")</f>
        <v/>
      </c>
      <c r="P912" s="72" t="n"/>
      <c r="Q912" s="72" t="n"/>
      <c r="R912" s="89" t="n"/>
      <c r="S912" s="109" t="n"/>
      <c r="T912" s="126">
        <f>IF(OR(R912="",S912=""),"",DATE(YEAR(S912),MONTH(S912)+R912,DAY(S912)))</f>
        <v/>
      </c>
      <c r="U912" s="144">
        <f>IF(T912="","",T912-AsOf)</f>
        <v/>
      </c>
      <c r="V912" s="107">
        <f>IF(T912="",IF(P912="","","Enter last-done date"),IF(U912&lt;0,"Overdue",IF(U912&lt;=30,"Due soon","OK")))</f>
        <v/>
      </c>
      <c r="W912" s="79">
        <f>IF(T912="","",IF(U912&lt;0,2,IF(U912&lt;=30,1,0)))</f>
        <v/>
      </c>
      <c r="X912" s="112">
        <f>IF(T912="","",T912)</f>
        <v/>
      </c>
      <c r="Y912" s="79">
        <f>IF(X912="","",IF(X912&lt;=AsOf+AlertDays,2,IF(X912&lt;=AsOf+30,3,"")))</f>
        <v/>
      </c>
      <c r="Z912" s="79">
        <f>IF(Y912="","",IF(U912&lt;0,"Maintenance overdue: ","Maintenance due: ")&amp;P912)</f>
        <v/>
      </c>
    </row>
    <row r="913" ht="20" customHeight="1">
      <c r="B913" s="72" t="n"/>
      <c r="C913" s="72" t="n"/>
      <c r="D913" s="72" t="n"/>
      <c r="E913" s="109" t="n"/>
      <c r="F913" s="74" t="n"/>
      <c r="G913" s="126">
        <f>IF(OR(E913="",F913=""),"",DATE(YEAR(E913),MONTH(E913)+ROUND(F913*12,0),DAY(E913)))</f>
        <v/>
      </c>
      <c r="H913" s="144">
        <f>IF(G913="","",G913-AsOf)</f>
        <v/>
      </c>
      <c r="I913" s="107">
        <f>IF(G913="","",IF(H913&lt;0,"Expired",IF(H913&lt;=90,"Expires soon","Active")))</f>
        <v/>
      </c>
      <c r="J913" s="72" t="n"/>
      <c r="K913" s="79">
        <f>IF(I913="","",IF(I913="Active",0,IF(I913="Expires soon",1,3)))</f>
        <v/>
      </c>
      <c r="L913" s="112">
        <f>IF(G913="","",IF(G913&lt;AsOf,"",G913))</f>
        <v/>
      </c>
      <c r="M913" s="79">
        <f>IF(L913="","",IF(L913&lt;=AsOf+AlertDays,2,IF(L913&lt;=AsOf+90,3,"")))</f>
        <v/>
      </c>
      <c r="N913" s="79">
        <f>IF(M913="","","Warranty expires in "&amp;H913&amp;" days: "&amp;B913&amp;IF(C913="",""," ("&amp;C913&amp;")")&amp;" — check for defects")</f>
        <v/>
      </c>
      <c r="P913" s="72" t="n"/>
      <c r="Q913" s="72" t="n"/>
      <c r="R913" s="89" t="n"/>
      <c r="S913" s="109" t="n"/>
      <c r="T913" s="126">
        <f>IF(OR(R913="",S913=""),"",DATE(YEAR(S913),MONTH(S913)+R913,DAY(S913)))</f>
        <v/>
      </c>
      <c r="U913" s="144">
        <f>IF(T913="","",T913-AsOf)</f>
        <v/>
      </c>
      <c r="V913" s="107">
        <f>IF(T913="",IF(P913="","","Enter last-done date"),IF(U913&lt;0,"Overdue",IF(U913&lt;=30,"Due soon","OK")))</f>
        <v/>
      </c>
      <c r="W913" s="79">
        <f>IF(T913="","",IF(U913&lt;0,2,IF(U913&lt;=30,1,0)))</f>
        <v/>
      </c>
      <c r="X913" s="112">
        <f>IF(T913="","",T913)</f>
        <v/>
      </c>
      <c r="Y913" s="79">
        <f>IF(X913="","",IF(X913&lt;=AsOf+AlertDays,2,IF(X913&lt;=AsOf+30,3,"")))</f>
        <v/>
      </c>
      <c r="Z913" s="79">
        <f>IF(Y913="","",IF(U913&lt;0,"Maintenance overdue: ","Maintenance due: ")&amp;P913)</f>
        <v/>
      </c>
    </row>
    <row r="914" ht="20" customHeight="1">
      <c r="B914" s="72" t="n"/>
      <c r="C914" s="72" t="n"/>
      <c r="D914" s="72" t="n"/>
      <c r="E914" s="109" t="n"/>
      <c r="F914" s="74" t="n"/>
      <c r="G914" s="126">
        <f>IF(OR(E914="",F914=""),"",DATE(YEAR(E914),MONTH(E914)+ROUND(F914*12,0),DAY(E914)))</f>
        <v/>
      </c>
      <c r="H914" s="144">
        <f>IF(G914="","",G914-AsOf)</f>
        <v/>
      </c>
      <c r="I914" s="107">
        <f>IF(G914="","",IF(H914&lt;0,"Expired",IF(H914&lt;=90,"Expires soon","Active")))</f>
        <v/>
      </c>
      <c r="J914" s="72" t="n"/>
      <c r="K914" s="79">
        <f>IF(I914="","",IF(I914="Active",0,IF(I914="Expires soon",1,3)))</f>
        <v/>
      </c>
      <c r="L914" s="112">
        <f>IF(G914="","",IF(G914&lt;AsOf,"",G914))</f>
        <v/>
      </c>
      <c r="M914" s="79">
        <f>IF(L914="","",IF(L914&lt;=AsOf+AlertDays,2,IF(L914&lt;=AsOf+90,3,"")))</f>
        <v/>
      </c>
      <c r="N914" s="79">
        <f>IF(M914="","","Warranty expires in "&amp;H914&amp;" days: "&amp;B914&amp;IF(C914="",""," ("&amp;C914&amp;")")&amp;" — check for defects")</f>
        <v/>
      </c>
      <c r="P914" s="72" t="n"/>
      <c r="Q914" s="72" t="n"/>
      <c r="R914" s="89" t="n"/>
      <c r="S914" s="109" t="n"/>
      <c r="T914" s="126">
        <f>IF(OR(R914="",S914=""),"",DATE(YEAR(S914),MONTH(S914)+R914,DAY(S914)))</f>
        <v/>
      </c>
      <c r="U914" s="144">
        <f>IF(T914="","",T914-AsOf)</f>
        <v/>
      </c>
      <c r="V914" s="107">
        <f>IF(T914="",IF(P914="","","Enter last-done date"),IF(U914&lt;0,"Overdue",IF(U914&lt;=30,"Due soon","OK")))</f>
        <v/>
      </c>
      <c r="W914" s="79">
        <f>IF(T914="","",IF(U914&lt;0,2,IF(U914&lt;=30,1,0)))</f>
        <v/>
      </c>
      <c r="X914" s="112">
        <f>IF(T914="","",T914)</f>
        <v/>
      </c>
      <c r="Y914" s="79">
        <f>IF(X914="","",IF(X914&lt;=AsOf+AlertDays,2,IF(X914&lt;=AsOf+30,3,"")))</f>
        <v/>
      </c>
      <c r="Z914" s="79">
        <f>IF(Y914="","",IF(U914&lt;0,"Maintenance overdue: ","Maintenance due: ")&amp;P914)</f>
        <v/>
      </c>
    </row>
    <row r="915" ht="20" customHeight="1">
      <c r="B915" s="72" t="n"/>
      <c r="C915" s="72" t="n"/>
      <c r="D915" s="72" t="n"/>
      <c r="E915" s="109" t="n"/>
      <c r="F915" s="74" t="n"/>
      <c r="G915" s="126">
        <f>IF(OR(E915="",F915=""),"",DATE(YEAR(E915),MONTH(E915)+ROUND(F915*12,0),DAY(E915)))</f>
        <v/>
      </c>
      <c r="H915" s="144">
        <f>IF(G915="","",G915-AsOf)</f>
        <v/>
      </c>
      <c r="I915" s="107">
        <f>IF(G915="","",IF(H915&lt;0,"Expired",IF(H915&lt;=90,"Expires soon","Active")))</f>
        <v/>
      </c>
      <c r="J915" s="72" t="n"/>
      <c r="K915" s="79">
        <f>IF(I915="","",IF(I915="Active",0,IF(I915="Expires soon",1,3)))</f>
        <v/>
      </c>
      <c r="L915" s="112">
        <f>IF(G915="","",IF(G915&lt;AsOf,"",G915))</f>
        <v/>
      </c>
      <c r="M915" s="79">
        <f>IF(L915="","",IF(L915&lt;=AsOf+AlertDays,2,IF(L915&lt;=AsOf+90,3,"")))</f>
        <v/>
      </c>
      <c r="N915" s="79">
        <f>IF(M915="","","Warranty expires in "&amp;H915&amp;" days: "&amp;B915&amp;IF(C915="",""," ("&amp;C915&amp;")")&amp;" — check for defects")</f>
        <v/>
      </c>
      <c r="P915" s="72" t="n"/>
      <c r="Q915" s="72" t="n"/>
      <c r="R915" s="89" t="n"/>
      <c r="S915" s="109" t="n"/>
      <c r="T915" s="126">
        <f>IF(OR(R915="",S915=""),"",DATE(YEAR(S915),MONTH(S915)+R915,DAY(S915)))</f>
        <v/>
      </c>
      <c r="U915" s="144">
        <f>IF(T915="","",T915-AsOf)</f>
        <v/>
      </c>
      <c r="V915" s="107">
        <f>IF(T915="",IF(P915="","","Enter last-done date"),IF(U915&lt;0,"Overdue",IF(U915&lt;=30,"Due soon","OK")))</f>
        <v/>
      </c>
      <c r="W915" s="79">
        <f>IF(T915="","",IF(U915&lt;0,2,IF(U915&lt;=30,1,0)))</f>
        <v/>
      </c>
      <c r="X915" s="112">
        <f>IF(T915="","",T915)</f>
        <v/>
      </c>
      <c r="Y915" s="79">
        <f>IF(X915="","",IF(X915&lt;=AsOf+AlertDays,2,IF(X915&lt;=AsOf+30,3,"")))</f>
        <v/>
      </c>
      <c r="Z915" s="79">
        <f>IF(Y915="","",IF(U915&lt;0,"Maintenance overdue: ","Maintenance due: ")&amp;P915)</f>
        <v/>
      </c>
    </row>
    <row r="916" ht="20" customHeight="1">
      <c r="B916" s="72" t="n"/>
      <c r="C916" s="72" t="n"/>
      <c r="D916" s="72" t="n"/>
      <c r="E916" s="109" t="n"/>
      <c r="F916" s="74" t="n"/>
      <c r="G916" s="126">
        <f>IF(OR(E916="",F916=""),"",DATE(YEAR(E916),MONTH(E916)+ROUND(F916*12,0),DAY(E916)))</f>
        <v/>
      </c>
      <c r="H916" s="144">
        <f>IF(G916="","",G916-AsOf)</f>
        <v/>
      </c>
      <c r="I916" s="107">
        <f>IF(G916="","",IF(H916&lt;0,"Expired",IF(H916&lt;=90,"Expires soon","Active")))</f>
        <v/>
      </c>
      <c r="J916" s="72" t="n"/>
      <c r="K916" s="79">
        <f>IF(I916="","",IF(I916="Active",0,IF(I916="Expires soon",1,3)))</f>
        <v/>
      </c>
      <c r="L916" s="112">
        <f>IF(G916="","",IF(G916&lt;AsOf,"",G916))</f>
        <v/>
      </c>
      <c r="M916" s="79">
        <f>IF(L916="","",IF(L916&lt;=AsOf+AlertDays,2,IF(L916&lt;=AsOf+90,3,"")))</f>
        <v/>
      </c>
      <c r="N916" s="79">
        <f>IF(M916="","","Warranty expires in "&amp;H916&amp;" days: "&amp;B916&amp;IF(C916="",""," ("&amp;C916&amp;")")&amp;" — check for defects")</f>
        <v/>
      </c>
      <c r="P916" s="72" t="n"/>
      <c r="Q916" s="72" t="n"/>
      <c r="R916" s="89" t="n"/>
      <c r="S916" s="109" t="n"/>
      <c r="T916" s="126">
        <f>IF(OR(R916="",S916=""),"",DATE(YEAR(S916),MONTH(S916)+R916,DAY(S916)))</f>
        <v/>
      </c>
      <c r="U916" s="144">
        <f>IF(T916="","",T916-AsOf)</f>
        <v/>
      </c>
      <c r="V916" s="107">
        <f>IF(T916="",IF(P916="","","Enter last-done date"),IF(U916&lt;0,"Overdue",IF(U916&lt;=30,"Due soon","OK")))</f>
        <v/>
      </c>
      <c r="W916" s="79">
        <f>IF(T916="","",IF(U916&lt;0,2,IF(U916&lt;=30,1,0)))</f>
        <v/>
      </c>
      <c r="X916" s="112">
        <f>IF(T916="","",T916)</f>
        <v/>
      </c>
      <c r="Y916" s="79">
        <f>IF(X916="","",IF(X916&lt;=AsOf+AlertDays,2,IF(X916&lt;=AsOf+30,3,"")))</f>
        <v/>
      </c>
      <c r="Z916" s="79">
        <f>IF(Y916="","",IF(U916&lt;0,"Maintenance overdue: ","Maintenance due: ")&amp;P916)</f>
        <v/>
      </c>
    </row>
    <row r="917" ht="20" customHeight="1">
      <c r="B917" s="72" t="n"/>
      <c r="C917" s="72" t="n"/>
      <c r="D917" s="72" t="n"/>
      <c r="E917" s="109" t="n"/>
      <c r="F917" s="74" t="n"/>
      <c r="G917" s="126">
        <f>IF(OR(E917="",F917=""),"",DATE(YEAR(E917),MONTH(E917)+ROUND(F917*12,0),DAY(E917)))</f>
        <v/>
      </c>
      <c r="H917" s="144">
        <f>IF(G917="","",G917-AsOf)</f>
        <v/>
      </c>
      <c r="I917" s="107">
        <f>IF(G917="","",IF(H917&lt;0,"Expired",IF(H917&lt;=90,"Expires soon","Active")))</f>
        <v/>
      </c>
      <c r="J917" s="72" t="n"/>
      <c r="K917" s="79">
        <f>IF(I917="","",IF(I917="Active",0,IF(I917="Expires soon",1,3)))</f>
        <v/>
      </c>
      <c r="L917" s="112">
        <f>IF(G917="","",IF(G917&lt;AsOf,"",G917))</f>
        <v/>
      </c>
      <c r="M917" s="79">
        <f>IF(L917="","",IF(L917&lt;=AsOf+AlertDays,2,IF(L917&lt;=AsOf+90,3,"")))</f>
        <v/>
      </c>
      <c r="N917" s="79">
        <f>IF(M917="","","Warranty expires in "&amp;H917&amp;" days: "&amp;B917&amp;IF(C917="",""," ("&amp;C917&amp;")")&amp;" — check for defects")</f>
        <v/>
      </c>
      <c r="P917" s="72" t="n"/>
      <c r="Q917" s="72" t="n"/>
      <c r="R917" s="89" t="n"/>
      <c r="S917" s="109" t="n"/>
      <c r="T917" s="126">
        <f>IF(OR(R917="",S917=""),"",DATE(YEAR(S917),MONTH(S917)+R917,DAY(S917)))</f>
        <v/>
      </c>
      <c r="U917" s="144">
        <f>IF(T917="","",T917-AsOf)</f>
        <v/>
      </c>
      <c r="V917" s="107">
        <f>IF(T917="",IF(P917="","","Enter last-done date"),IF(U917&lt;0,"Overdue",IF(U917&lt;=30,"Due soon","OK")))</f>
        <v/>
      </c>
      <c r="W917" s="79">
        <f>IF(T917="","",IF(U917&lt;0,2,IF(U917&lt;=30,1,0)))</f>
        <v/>
      </c>
      <c r="X917" s="112">
        <f>IF(T917="","",T917)</f>
        <v/>
      </c>
      <c r="Y917" s="79">
        <f>IF(X917="","",IF(X917&lt;=AsOf+AlertDays,2,IF(X917&lt;=AsOf+30,3,"")))</f>
        <v/>
      </c>
      <c r="Z917" s="79">
        <f>IF(Y917="","",IF(U917&lt;0,"Maintenance overdue: ","Maintenance due: ")&amp;P917)</f>
        <v/>
      </c>
    </row>
    <row r="918" ht="20" customHeight="1">
      <c r="B918" s="72" t="n"/>
      <c r="C918" s="72" t="n"/>
      <c r="D918" s="72" t="n"/>
      <c r="E918" s="109" t="n"/>
      <c r="F918" s="74" t="n"/>
      <c r="G918" s="126">
        <f>IF(OR(E918="",F918=""),"",DATE(YEAR(E918),MONTH(E918)+ROUND(F918*12,0),DAY(E918)))</f>
        <v/>
      </c>
      <c r="H918" s="144">
        <f>IF(G918="","",G918-AsOf)</f>
        <v/>
      </c>
      <c r="I918" s="107">
        <f>IF(G918="","",IF(H918&lt;0,"Expired",IF(H918&lt;=90,"Expires soon","Active")))</f>
        <v/>
      </c>
      <c r="J918" s="72" t="n"/>
      <c r="K918" s="79">
        <f>IF(I918="","",IF(I918="Active",0,IF(I918="Expires soon",1,3)))</f>
        <v/>
      </c>
      <c r="L918" s="112">
        <f>IF(G918="","",IF(G918&lt;AsOf,"",G918))</f>
        <v/>
      </c>
      <c r="M918" s="79">
        <f>IF(L918="","",IF(L918&lt;=AsOf+AlertDays,2,IF(L918&lt;=AsOf+90,3,"")))</f>
        <v/>
      </c>
      <c r="N918" s="79">
        <f>IF(M918="","","Warranty expires in "&amp;H918&amp;" days: "&amp;B918&amp;IF(C918="",""," ("&amp;C918&amp;")")&amp;" — check for defects")</f>
        <v/>
      </c>
      <c r="P918" s="72" t="n"/>
      <c r="Q918" s="72" t="n"/>
      <c r="R918" s="89" t="n"/>
      <c r="S918" s="109" t="n"/>
      <c r="T918" s="126">
        <f>IF(OR(R918="",S918=""),"",DATE(YEAR(S918),MONTH(S918)+R918,DAY(S918)))</f>
        <v/>
      </c>
      <c r="U918" s="144">
        <f>IF(T918="","",T918-AsOf)</f>
        <v/>
      </c>
      <c r="V918" s="107">
        <f>IF(T918="",IF(P918="","","Enter last-done date"),IF(U918&lt;0,"Overdue",IF(U918&lt;=30,"Due soon","OK")))</f>
        <v/>
      </c>
      <c r="W918" s="79">
        <f>IF(T918="","",IF(U918&lt;0,2,IF(U918&lt;=30,1,0)))</f>
        <v/>
      </c>
      <c r="X918" s="112">
        <f>IF(T918="","",T918)</f>
        <v/>
      </c>
      <c r="Y918" s="79">
        <f>IF(X918="","",IF(X918&lt;=AsOf+AlertDays,2,IF(X918&lt;=AsOf+30,3,"")))</f>
        <v/>
      </c>
      <c r="Z918" s="79">
        <f>IF(Y918="","",IF(U918&lt;0,"Maintenance overdue: ","Maintenance due: ")&amp;P918)</f>
        <v/>
      </c>
    </row>
    <row r="919" ht="20" customHeight="1">
      <c r="B919" s="72" t="n"/>
      <c r="C919" s="72" t="n"/>
      <c r="D919" s="72" t="n"/>
      <c r="E919" s="109" t="n"/>
      <c r="F919" s="74" t="n"/>
      <c r="G919" s="126">
        <f>IF(OR(E919="",F919=""),"",DATE(YEAR(E919),MONTH(E919)+ROUND(F919*12,0),DAY(E919)))</f>
        <v/>
      </c>
      <c r="H919" s="144">
        <f>IF(G919="","",G919-AsOf)</f>
        <v/>
      </c>
      <c r="I919" s="107">
        <f>IF(G919="","",IF(H919&lt;0,"Expired",IF(H919&lt;=90,"Expires soon","Active")))</f>
        <v/>
      </c>
      <c r="J919" s="72" t="n"/>
      <c r="K919" s="79">
        <f>IF(I919="","",IF(I919="Active",0,IF(I919="Expires soon",1,3)))</f>
        <v/>
      </c>
      <c r="L919" s="112">
        <f>IF(G919="","",IF(G919&lt;AsOf,"",G919))</f>
        <v/>
      </c>
      <c r="M919" s="79">
        <f>IF(L919="","",IF(L919&lt;=AsOf+AlertDays,2,IF(L919&lt;=AsOf+90,3,"")))</f>
        <v/>
      </c>
      <c r="N919" s="79">
        <f>IF(M919="","","Warranty expires in "&amp;H919&amp;" days: "&amp;B919&amp;IF(C919="",""," ("&amp;C919&amp;")")&amp;" — check for defects")</f>
        <v/>
      </c>
      <c r="P919" s="72" t="n"/>
      <c r="Q919" s="72" t="n"/>
      <c r="R919" s="89" t="n"/>
      <c r="S919" s="109" t="n"/>
      <c r="T919" s="126">
        <f>IF(OR(R919="",S919=""),"",DATE(YEAR(S919),MONTH(S919)+R919,DAY(S919)))</f>
        <v/>
      </c>
      <c r="U919" s="144">
        <f>IF(T919="","",T919-AsOf)</f>
        <v/>
      </c>
      <c r="V919" s="107">
        <f>IF(T919="",IF(P919="","","Enter last-done date"),IF(U919&lt;0,"Overdue",IF(U919&lt;=30,"Due soon","OK")))</f>
        <v/>
      </c>
      <c r="W919" s="79">
        <f>IF(T919="","",IF(U919&lt;0,2,IF(U919&lt;=30,1,0)))</f>
        <v/>
      </c>
      <c r="X919" s="112">
        <f>IF(T919="","",T919)</f>
        <v/>
      </c>
      <c r="Y919" s="79">
        <f>IF(X919="","",IF(X919&lt;=AsOf+AlertDays,2,IF(X919&lt;=AsOf+30,3,"")))</f>
        <v/>
      </c>
      <c r="Z919" s="79">
        <f>IF(Y919="","",IF(U919&lt;0,"Maintenance overdue: ","Maintenance due: ")&amp;P919)</f>
        <v/>
      </c>
    </row>
    <row r="920" ht="20" customHeight="1">
      <c r="B920" s="72" t="n"/>
      <c r="C920" s="72" t="n"/>
      <c r="D920" s="72" t="n"/>
      <c r="E920" s="109" t="n"/>
      <c r="F920" s="74" t="n"/>
      <c r="G920" s="126">
        <f>IF(OR(E920="",F920=""),"",DATE(YEAR(E920),MONTH(E920)+ROUND(F920*12,0),DAY(E920)))</f>
        <v/>
      </c>
      <c r="H920" s="144">
        <f>IF(G920="","",G920-AsOf)</f>
        <v/>
      </c>
      <c r="I920" s="107">
        <f>IF(G920="","",IF(H920&lt;0,"Expired",IF(H920&lt;=90,"Expires soon","Active")))</f>
        <v/>
      </c>
      <c r="J920" s="72" t="n"/>
      <c r="K920" s="79">
        <f>IF(I920="","",IF(I920="Active",0,IF(I920="Expires soon",1,3)))</f>
        <v/>
      </c>
      <c r="L920" s="112">
        <f>IF(G920="","",IF(G920&lt;AsOf,"",G920))</f>
        <v/>
      </c>
      <c r="M920" s="79">
        <f>IF(L920="","",IF(L920&lt;=AsOf+AlertDays,2,IF(L920&lt;=AsOf+90,3,"")))</f>
        <v/>
      </c>
      <c r="N920" s="79">
        <f>IF(M920="","","Warranty expires in "&amp;H920&amp;" days: "&amp;B920&amp;IF(C920="",""," ("&amp;C920&amp;")")&amp;" — check for defects")</f>
        <v/>
      </c>
      <c r="P920" s="72" t="n"/>
      <c r="Q920" s="72" t="n"/>
      <c r="R920" s="89" t="n"/>
      <c r="S920" s="109" t="n"/>
      <c r="T920" s="126">
        <f>IF(OR(R920="",S920=""),"",DATE(YEAR(S920),MONTH(S920)+R920,DAY(S920)))</f>
        <v/>
      </c>
      <c r="U920" s="144">
        <f>IF(T920="","",T920-AsOf)</f>
        <v/>
      </c>
      <c r="V920" s="107">
        <f>IF(T920="",IF(P920="","","Enter last-done date"),IF(U920&lt;0,"Overdue",IF(U920&lt;=30,"Due soon","OK")))</f>
        <v/>
      </c>
      <c r="W920" s="79">
        <f>IF(T920="","",IF(U920&lt;0,2,IF(U920&lt;=30,1,0)))</f>
        <v/>
      </c>
      <c r="X920" s="112">
        <f>IF(T920="","",T920)</f>
        <v/>
      </c>
      <c r="Y920" s="79">
        <f>IF(X920="","",IF(X920&lt;=AsOf+AlertDays,2,IF(X920&lt;=AsOf+30,3,"")))</f>
        <v/>
      </c>
      <c r="Z920" s="79">
        <f>IF(Y920="","",IF(U920&lt;0,"Maintenance overdue: ","Maintenance due: ")&amp;P920)</f>
        <v/>
      </c>
    </row>
    <row r="921" ht="20" customHeight="1">
      <c r="B921" s="72" t="n"/>
      <c r="C921" s="72" t="n"/>
      <c r="D921" s="72" t="n"/>
      <c r="E921" s="109" t="n"/>
      <c r="F921" s="74" t="n"/>
      <c r="G921" s="126">
        <f>IF(OR(E921="",F921=""),"",DATE(YEAR(E921),MONTH(E921)+ROUND(F921*12,0),DAY(E921)))</f>
        <v/>
      </c>
      <c r="H921" s="144">
        <f>IF(G921="","",G921-AsOf)</f>
        <v/>
      </c>
      <c r="I921" s="107">
        <f>IF(G921="","",IF(H921&lt;0,"Expired",IF(H921&lt;=90,"Expires soon","Active")))</f>
        <v/>
      </c>
      <c r="J921" s="72" t="n"/>
      <c r="K921" s="79">
        <f>IF(I921="","",IF(I921="Active",0,IF(I921="Expires soon",1,3)))</f>
        <v/>
      </c>
      <c r="L921" s="112">
        <f>IF(G921="","",IF(G921&lt;AsOf,"",G921))</f>
        <v/>
      </c>
      <c r="M921" s="79">
        <f>IF(L921="","",IF(L921&lt;=AsOf+AlertDays,2,IF(L921&lt;=AsOf+90,3,"")))</f>
        <v/>
      </c>
      <c r="N921" s="79">
        <f>IF(M921="","","Warranty expires in "&amp;H921&amp;" days: "&amp;B921&amp;IF(C921="",""," ("&amp;C921&amp;")")&amp;" — check for defects")</f>
        <v/>
      </c>
      <c r="P921" s="72" t="n"/>
      <c r="Q921" s="72" t="n"/>
      <c r="R921" s="89" t="n"/>
      <c r="S921" s="109" t="n"/>
      <c r="T921" s="126">
        <f>IF(OR(R921="",S921=""),"",DATE(YEAR(S921),MONTH(S921)+R921,DAY(S921)))</f>
        <v/>
      </c>
      <c r="U921" s="144">
        <f>IF(T921="","",T921-AsOf)</f>
        <v/>
      </c>
      <c r="V921" s="107">
        <f>IF(T921="",IF(P921="","","Enter last-done date"),IF(U921&lt;0,"Overdue",IF(U921&lt;=30,"Due soon","OK")))</f>
        <v/>
      </c>
      <c r="W921" s="79">
        <f>IF(T921="","",IF(U921&lt;0,2,IF(U921&lt;=30,1,0)))</f>
        <v/>
      </c>
      <c r="X921" s="112">
        <f>IF(T921="","",T921)</f>
        <v/>
      </c>
      <c r="Y921" s="79">
        <f>IF(X921="","",IF(X921&lt;=AsOf+AlertDays,2,IF(X921&lt;=AsOf+30,3,"")))</f>
        <v/>
      </c>
      <c r="Z921" s="79">
        <f>IF(Y921="","",IF(U921&lt;0,"Maintenance overdue: ","Maintenance due: ")&amp;P921)</f>
        <v/>
      </c>
    </row>
    <row r="922" ht="20" customHeight="1">
      <c r="B922" s="72" t="n"/>
      <c r="C922" s="72" t="n"/>
      <c r="D922" s="72" t="n"/>
      <c r="E922" s="109" t="n"/>
      <c r="F922" s="74" t="n"/>
      <c r="G922" s="126">
        <f>IF(OR(E922="",F922=""),"",DATE(YEAR(E922),MONTH(E922)+ROUND(F922*12,0),DAY(E922)))</f>
        <v/>
      </c>
      <c r="H922" s="144">
        <f>IF(G922="","",G922-AsOf)</f>
        <v/>
      </c>
      <c r="I922" s="107">
        <f>IF(G922="","",IF(H922&lt;0,"Expired",IF(H922&lt;=90,"Expires soon","Active")))</f>
        <v/>
      </c>
      <c r="J922" s="72" t="n"/>
      <c r="K922" s="79">
        <f>IF(I922="","",IF(I922="Active",0,IF(I922="Expires soon",1,3)))</f>
        <v/>
      </c>
      <c r="L922" s="112">
        <f>IF(G922="","",IF(G922&lt;AsOf,"",G922))</f>
        <v/>
      </c>
      <c r="M922" s="79">
        <f>IF(L922="","",IF(L922&lt;=AsOf+AlertDays,2,IF(L922&lt;=AsOf+90,3,"")))</f>
        <v/>
      </c>
      <c r="N922" s="79">
        <f>IF(M922="","","Warranty expires in "&amp;H922&amp;" days: "&amp;B922&amp;IF(C922="",""," ("&amp;C922&amp;")")&amp;" — check for defects")</f>
        <v/>
      </c>
      <c r="P922" s="72" t="n"/>
      <c r="Q922" s="72" t="n"/>
      <c r="R922" s="89" t="n"/>
      <c r="S922" s="109" t="n"/>
      <c r="T922" s="126">
        <f>IF(OR(R922="",S922=""),"",DATE(YEAR(S922),MONTH(S922)+R922,DAY(S922)))</f>
        <v/>
      </c>
      <c r="U922" s="144">
        <f>IF(T922="","",T922-AsOf)</f>
        <v/>
      </c>
      <c r="V922" s="107">
        <f>IF(T922="",IF(P922="","","Enter last-done date"),IF(U922&lt;0,"Overdue",IF(U922&lt;=30,"Due soon","OK")))</f>
        <v/>
      </c>
      <c r="W922" s="79">
        <f>IF(T922="","",IF(U922&lt;0,2,IF(U922&lt;=30,1,0)))</f>
        <v/>
      </c>
      <c r="X922" s="112">
        <f>IF(T922="","",T922)</f>
        <v/>
      </c>
      <c r="Y922" s="79">
        <f>IF(X922="","",IF(X922&lt;=AsOf+AlertDays,2,IF(X922&lt;=AsOf+30,3,"")))</f>
        <v/>
      </c>
      <c r="Z922" s="79">
        <f>IF(Y922="","",IF(U922&lt;0,"Maintenance overdue: ","Maintenance due: ")&amp;P922)</f>
        <v/>
      </c>
    </row>
    <row r="923" ht="20" customHeight="1">
      <c r="B923" s="72" t="n"/>
      <c r="C923" s="72" t="n"/>
      <c r="D923" s="72" t="n"/>
      <c r="E923" s="109" t="n"/>
      <c r="F923" s="74" t="n"/>
      <c r="G923" s="126">
        <f>IF(OR(E923="",F923=""),"",DATE(YEAR(E923),MONTH(E923)+ROUND(F923*12,0),DAY(E923)))</f>
        <v/>
      </c>
      <c r="H923" s="144">
        <f>IF(G923="","",G923-AsOf)</f>
        <v/>
      </c>
      <c r="I923" s="107">
        <f>IF(G923="","",IF(H923&lt;0,"Expired",IF(H923&lt;=90,"Expires soon","Active")))</f>
        <v/>
      </c>
      <c r="J923" s="72" t="n"/>
      <c r="K923" s="79">
        <f>IF(I923="","",IF(I923="Active",0,IF(I923="Expires soon",1,3)))</f>
        <v/>
      </c>
      <c r="L923" s="112">
        <f>IF(G923="","",IF(G923&lt;AsOf,"",G923))</f>
        <v/>
      </c>
      <c r="M923" s="79">
        <f>IF(L923="","",IF(L923&lt;=AsOf+AlertDays,2,IF(L923&lt;=AsOf+90,3,"")))</f>
        <v/>
      </c>
      <c r="N923" s="79">
        <f>IF(M923="","","Warranty expires in "&amp;H923&amp;" days: "&amp;B923&amp;IF(C923="",""," ("&amp;C923&amp;")")&amp;" — check for defects")</f>
        <v/>
      </c>
      <c r="P923" s="72" t="n"/>
      <c r="Q923" s="72" t="n"/>
      <c r="R923" s="89" t="n"/>
      <c r="S923" s="109" t="n"/>
      <c r="T923" s="126">
        <f>IF(OR(R923="",S923=""),"",DATE(YEAR(S923),MONTH(S923)+R923,DAY(S923)))</f>
        <v/>
      </c>
      <c r="U923" s="144">
        <f>IF(T923="","",T923-AsOf)</f>
        <v/>
      </c>
      <c r="V923" s="107">
        <f>IF(T923="",IF(P923="","","Enter last-done date"),IF(U923&lt;0,"Overdue",IF(U923&lt;=30,"Due soon","OK")))</f>
        <v/>
      </c>
      <c r="W923" s="79">
        <f>IF(T923="","",IF(U923&lt;0,2,IF(U923&lt;=30,1,0)))</f>
        <v/>
      </c>
      <c r="X923" s="112">
        <f>IF(T923="","",T923)</f>
        <v/>
      </c>
      <c r="Y923" s="79">
        <f>IF(X923="","",IF(X923&lt;=AsOf+AlertDays,2,IF(X923&lt;=AsOf+30,3,"")))</f>
        <v/>
      </c>
      <c r="Z923" s="79">
        <f>IF(Y923="","",IF(U923&lt;0,"Maintenance overdue: ","Maintenance due: ")&amp;P923)</f>
        <v/>
      </c>
    </row>
    <row r="924" ht="20" customHeight="1">
      <c r="B924" s="72" t="n"/>
      <c r="C924" s="72" t="n"/>
      <c r="D924" s="72" t="n"/>
      <c r="E924" s="109" t="n"/>
      <c r="F924" s="74" t="n"/>
      <c r="G924" s="126">
        <f>IF(OR(E924="",F924=""),"",DATE(YEAR(E924),MONTH(E924)+ROUND(F924*12,0),DAY(E924)))</f>
        <v/>
      </c>
      <c r="H924" s="144">
        <f>IF(G924="","",G924-AsOf)</f>
        <v/>
      </c>
      <c r="I924" s="107">
        <f>IF(G924="","",IF(H924&lt;0,"Expired",IF(H924&lt;=90,"Expires soon","Active")))</f>
        <v/>
      </c>
      <c r="J924" s="72" t="n"/>
      <c r="K924" s="79">
        <f>IF(I924="","",IF(I924="Active",0,IF(I924="Expires soon",1,3)))</f>
        <v/>
      </c>
      <c r="L924" s="112">
        <f>IF(G924="","",IF(G924&lt;AsOf,"",G924))</f>
        <v/>
      </c>
      <c r="M924" s="79">
        <f>IF(L924="","",IF(L924&lt;=AsOf+AlertDays,2,IF(L924&lt;=AsOf+90,3,"")))</f>
        <v/>
      </c>
      <c r="N924" s="79">
        <f>IF(M924="","","Warranty expires in "&amp;H924&amp;" days: "&amp;B924&amp;IF(C924="",""," ("&amp;C924&amp;")")&amp;" — check for defects")</f>
        <v/>
      </c>
      <c r="P924" s="72" t="n"/>
      <c r="Q924" s="72" t="n"/>
      <c r="R924" s="89" t="n"/>
      <c r="S924" s="109" t="n"/>
      <c r="T924" s="126">
        <f>IF(OR(R924="",S924=""),"",DATE(YEAR(S924),MONTH(S924)+R924,DAY(S924)))</f>
        <v/>
      </c>
      <c r="U924" s="144">
        <f>IF(T924="","",T924-AsOf)</f>
        <v/>
      </c>
      <c r="V924" s="107">
        <f>IF(T924="",IF(P924="","","Enter last-done date"),IF(U924&lt;0,"Overdue",IF(U924&lt;=30,"Due soon","OK")))</f>
        <v/>
      </c>
      <c r="W924" s="79">
        <f>IF(T924="","",IF(U924&lt;0,2,IF(U924&lt;=30,1,0)))</f>
        <v/>
      </c>
      <c r="X924" s="112">
        <f>IF(T924="","",T924)</f>
        <v/>
      </c>
      <c r="Y924" s="79">
        <f>IF(X924="","",IF(X924&lt;=AsOf+AlertDays,2,IF(X924&lt;=AsOf+30,3,"")))</f>
        <v/>
      </c>
      <c r="Z924" s="79">
        <f>IF(Y924="","",IF(U924&lt;0,"Maintenance overdue: ","Maintenance due: ")&amp;P924)</f>
        <v/>
      </c>
    </row>
    <row r="925" ht="20" customHeight="1">
      <c r="B925" s="72" t="n"/>
      <c r="C925" s="72" t="n"/>
      <c r="D925" s="72" t="n"/>
      <c r="E925" s="109" t="n"/>
      <c r="F925" s="74" t="n"/>
      <c r="G925" s="126">
        <f>IF(OR(E925="",F925=""),"",DATE(YEAR(E925),MONTH(E925)+ROUND(F925*12,0),DAY(E925)))</f>
        <v/>
      </c>
      <c r="H925" s="144">
        <f>IF(G925="","",G925-AsOf)</f>
        <v/>
      </c>
      <c r="I925" s="107">
        <f>IF(G925="","",IF(H925&lt;0,"Expired",IF(H925&lt;=90,"Expires soon","Active")))</f>
        <v/>
      </c>
      <c r="J925" s="72" t="n"/>
      <c r="K925" s="79">
        <f>IF(I925="","",IF(I925="Active",0,IF(I925="Expires soon",1,3)))</f>
        <v/>
      </c>
      <c r="L925" s="112">
        <f>IF(G925="","",IF(G925&lt;AsOf,"",G925))</f>
        <v/>
      </c>
      <c r="M925" s="79">
        <f>IF(L925="","",IF(L925&lt;=AsOf+AlertDays,2,IF(L925&lt;=AsOf+90,3,"")))</f>
        <v/>
      </c>
      <c r="N925" s="79">
        <f>IF(M925="","","Warranty expires in "&amp;H925&amp;" days: "&amp;B925&amp;IF(C925="",""," ("&amp;C925&amp;")")&amp;" — check for defects")</f>
        <v/>
      </c>
      <c r="P925" s="72" t="n"/>
      <c r="Q925" s="72" t="n"/>
      <c r="R925" s="89" t="n"/>
      <c r="S925" s="109" t="n"/>
      <c r="T925" s="126">
        <f>IF(OR(R925="",S925=""),"",DATE(YEAR(S925),MONTH(S925)+R925,DAY(S925)))</f>
        <v/>
      </c>
      <c r="U925" s="144">
        <f>IF(T925="","",T925-AsOf)</f>
        <v/>
      </c>
      <c r="V925" s="107">
        <f>IF(T925="",IF(P925="","","Enter last-done date"),IF(U925&lt;0,"Overdue",IF(U925&lt;=30,"Due soon","OK")))</f>
        <v/>
      </c>
      <c r="W925" s="79">
        <f>IF(T925="","",IF(U925&lt;0,2,IF(U925&lt;=30,1,0)))</f>
        <v/>
      </c>
      <c r="X925" s="112">
        <f>IF(T925="","",T925)</f>
        <v/>
      </c>
      <c r="Y925" s="79">
        <f>IF(X925="","",IF(X925&lt;=AsOf+AlertDays,2,IF(X925&lt;=AsOf+30,3,"")))</f>
        <v/>
      </c>
      <c r="Z925" s="79">
        <f>IF(Y925="","",IF(U925&lt;0,"Maintenance overdue: ","Maintenance due: ")&amp;P925)</f>
        <v/>
      </c>
    </row>
    <row r="926" ht="20" customHeight="1">
      <c r="B926" s="72" t="n"/>
      <c r="C926" s="72" t="n"/>
      <c r="D926" s="72" t="n"/>
      <c r="E926" s="109" t="n"/>
      <c r="F926" s="74" t="n"/>
      <c r="G926" s="126">
        <f>IF(OR(E926="",F926=""),"",DATE(YEAR(E926),MONTH(E926)+ROUND(F926*12,0),DAY(E926)))</f>
        <v/>
      </c>
      <c r="H926" s="144">
        <f>IF(G926="","",G926-AsOf)</f>
        <v/>
      </c>
      <c r="I926" s="107">
        <f>IF(G926="","",IF(H926&lt;0,"Expired",IF(H926&lt;=90,"Expires soon","Active")))</f>
        <v/>
      </c>
      <c r="J926" s="72" t="n"/>
      <c r="K926" s="79">
        <f>IF(I926="","",IF(I926="Active",0,IF(I926="Expires soon",1,3)))</f>
        <v/>
      </c>
      <c r="L926" s="112">
        <f>IF(G926="","",IF(G926&lt;AsOf,"",G926))</f>
        <v/>
      </c>
      <c r="M926" s="79">
        <f>IF(L926="","",IF(L926&lt;=AsOf+AlertDays,2,IF(L926&lt;=AsOf+90,3,"")))</f>
        <v/>
      </c>
      <c r="N926" s="79">
        <f>IF(M926="","","Warranty expires in "&amp;H926&amp;" days: "&amp;B926&amp;IF(C926="",""," ("&amp;C926&amp;")")&amp;" — check for defects")</f>
        <v/>
      </c>
      <c r="P926" s="72" t="n"/>
      <c r="Q926" s="72" t="n"/>
      <c r="R926" s="89" t="n"/>
      <c r="S926" s="109" t="n"/>
      <c r="T926" s="126">
        <f>IF(OR(R926="",S926=""),"",DATE(YEAR(S926),MONTH(S926)+R926,DAY(S926)))</f>
        <v/>
      </c>
      <c r="U926" s="144">
        <f>IF(T926="","",T926-AsOf)</f>
        <v/>
      </c>
      <c r="V926" s="107">
        <f>IF(T926="",IF(P926="","","Enter last-done date"),IF(U926&lt;0,"Overdue",IF(U926&lt;=30,"Due soon","OK")))</f>
        <v/>
      </c>
      <c r="W926" s="79">
        <f>IF(T926="","",IF(U926&lt;0,2,IF(U926&lt;=30,1,0)))</f>
        <v/>
      </c>
      <c r="X926" s="112">
        <f>IF(T926="","",T926)</f>
        <v/>
      </c>
      <c r="Y926" s="79">
        <f>IF(X926="","",IF(X926&lt;=AsOf+AlertDays,2,IF(X926&lt;=AsOf+30,3,"")))</f>
        <v/>
      </c>
      <c r="Z926" s="79">
        <f>IF(Y926="","",IF(U926&lt;0,"Maintenance overdue: ","Maintenance due: ")&amp;P926)</f>
        <v/>
      </c>
    </row>
    <row r="927" ht="20" customHeight="1">
      <c r="B927" s="72" t="n"/>
      <c r="C927" s="72" t="n"/>
      <c r="D927" s="72" t="n"/>
      <c r="E927" s="109" t="n"/>
      <c r="F927" s="74" t="n"/>
      <c r="G927" s="126">
        <f>IF(OR(E927="",F927=""),"",DATE(YEAR(E927),MONTH(E927)+ROUND(F927*12,0),DAY(E927)))</f>
        <v/>
      </c>
      <c r="H927" s="144">
        <f>IF(G927="","",G927-AsOf)</f>
        <v/>
      </c>
      <c r="I927" s="107">
        <f>IF(G927="","",IF(H927&lt;0,"Expired",IF(H927&lt;=90,"Expires soon","Active")))</f>
        <v/>
      </c>
      <c r="J927" s="72" t="n"/>
      <c r="K927" s="79">
        <f>IF(I927="","",IF(I927="Active",0,IF(I927="Expires soon",1,3)))</f>
        <v/>
      </c>
      <c r="L927" s="112">
        <f>IF(G927="","",IF(G927&lt;AsOf,"",G927))</f>
        <v/>
      </c>
      <c r="M927" s="79">
        <f>IF(L927="","",IF(L927&lt;=AsOf+AlertDays,2,IF(L927&lt;=AsOf+90,3,"")))</f>
        <v/>
      </c>
      <c r="N927" s="79">
        <f>IF(M927="","","Warranty expires in "&amp;H927&amp;" days: "&amp;B927&amp;IF(C927="",""," ("&amp;C927&amp;")")&amp;" — check for defects")</f>
        <v/>
      </c>
      <c r="P927" s="72" t="n"/>
      <c r="Q927" s="72" t="n"/>
      <c r="R927" s="89" t="n"/>
      <c r="S927" s="109" t="n"/>
      <c r="T927" s="126">
        <f>IF(OR(R927="",S927=""),"",DATE(YEAR(S927),MONTH(S927)+R927,DAY(S927)))</f>
        <v/>
      </c>
      <c r="U927" s="144">
        <f>IF(T927="","",T927-AsOf)</f>
        <v/>
      </c>
      <c r="V927" s="107">
        <f>IF(T927="",IF(P927="","","Enter last-done date"),IF(U927&lt;0,"Overdue",IF(U927&lt;=30,"Due soon","OK")))</f>
        <v/>
      </c>
      <c r="W927" s="79">
        <f>IF(T927="","",IF(U927&lt;0,2,IF(U927&lt;=30,1,0)))</f>
        <v/>
      </c>
      <c r="X927" s="112">
        <f>IF(T927="","",T927)</f>
        <v/>
      </c>
      <c r="Y927" s="79">
        <f>IF(X927="","",IF(X927&lt;=AsOf+AlertDays,2,IF(X927&lt;=AsOf+30,3,"")))</f>
        <v/>
      </c>
      <c r="Z927" s="79">
        <f>IF(Y927="","",IF(U927&lt;0,"Maintenance overdue: ","Maintenance due: ")&amp;P927)</f>
        <v/>
      </c>
    </row>
    <row r="928" ht="20" customHeight="1">
      <c r="B928" s="72" t="n"/>
      <c r="C928" s="72" t="n"/>
      <c r="D928" s="72" t="n"/>
      <c r="E928" s="109" t="n"/>
      <c r="F928" s="74" t="n"/>
      <c r="G928" s="126">
        <f>IF(OR(E928="",F928=""),"",DATE(YEAR(E928),MONTH(E928)+ROUND(F928*12,0),DAY(E928)))</f>
        <v/>
      </c>
      <c r="H928" s="144">
        <f>IF(G928="","",G928-AsOf)</f>
        <v/>
      </c>
      <c r="I928" s="107">
        <f>IF(G928="","",IF(H928&lt;0,"Expired",IF(H928&lt;=90,"Expires soon","Active")))</f>
        <v/>
      </c>
      <c r="J928" s="72" t="n"/>
      <c r="K928" s="79">
        <f>IF(I928="","",IF(I928="Active",0,IF(I928="Expires soon",1,3)))</f>
        <v/>
      </c>
      <c r="L928" s="112">
        <f>IF(G928="","",IF(G928&lt;AsOf,"",G928))</f>
        <v/>
      </c>
      <c r="M928" s="79">
        <f>IF(L928="","",IF(L928&lt;=AsOf+AlertDays,2,IF(L928&lt;=AsOf+90,3,"")))</f>
        <v/>
      </c>
      <c r="N928" s="79">
        <f>IF(M928="","","Warranty expires in "&amp;H928&amp;" days: "&amp;B928&amp;IF(C928="",""," ("&amp;C928&amp;")")&amp;" — check for defects")</f>
        <v/>
      </c>
      <c r="P928" s="72" t="n"/>
      <c r="Q928" s="72" t="n"/>
      <c r="R928" s="89" t="n"/>
      <c r="S928" s="109" t="n"/>
      <c r="T928" s="126">
        <f>IF(OR(R928="",S928=""),"",DATE(YEAR(S928),MONTH(S928)+R928,DAY(S928)))</f>
        <v/>
      </c>
      <c r="U928" s="144">
        <f>IF(T928="","",T928-AsOf)</f>
        <v/>
      </c>
      <c r="V928" s="107">
        <f>IF(T928="",IF(P928="","","Enter last-done date"),IF(U928&lt;0,"Overdue",IF(U928&lt;=30,"Due soon","OK")))</f>
        <v/>
      </c>
      <c r="W928" s="79">
        <f>IF(T928="","",IF(U928&lt;0,2,IF(U928&lt;=30,1,0)))</f>
        <v/>
      </c>
      <c r="X928" s="112">
        <f>IF(T928="","",T928)</f>
        <v/>
      </c>
      <c r="Y928" s="79">
        <f>IF(X928="","",IF(X928&lt;=AsOf+AlertDays,2,IF(X928&lt;=AsOf+30,3,"")))</f>
        <v/>
      </c>
      <c r="Z928" s="79">
        <f>IF(Y928="","",IF(U928&lt;0,"Maintenance overdue: ","Maintenance due: ")&amp;P928)</f>
        <v/>
      </c>
    </row>
    <row r="929" ht="20" customHeight="1">
      <c r="B929" s="72" t="n"/>
      <c r="C929" s="72" t="n"/>
      <c r="D929" s="72" t="n"/>
      <c r="E929" s="109" t="n"/>
      <c r="F929" s="74" t="n"/>
      <c r="G929" s="126">
        <f>IF(OR(E929="",F929=""),"",DATE(YEAR(E929),MONTH(E929)+ROUND(F929*12,0),DAY(E929)))</f>
        <v/>
      </c>
      <c r="H929" s="144">
        <f>IF(G929="","",G929-AsOf)</f>
        <v/>
      </c>
      <c r="I929" s="107">
        <f>IF(G929="","",IF(H929&lt;0,"Expired",IF(H929&lt;=90,"Expires soon","Active")))</f>
        <v/>
      </c>
      <c r="J929" s="72" t="n"/>
      <c r="K929" s="79">
        <f>IF(I929="","",IF(I929="Active",0,IF(I929="Expires soon",1,3)))</f>
        <v/>
      </c>
      <c r="L929" s="112">
        <f>IF(G929="","",IF(G929&lt;AsOf,"",G929))</f>
        <v/>
      </c>
      <c r="M929" s="79">
        <f>IF(L929="","",IF(L929&lt;=AsOf+AlertDays,2,IF(L929&lt;=AsOf+90,3,"")))</f>
        <v/>
      </c>
      <c r="N929" s="79">
        <f>IF(M929="","","Warranty expires in "&amp;H929&amp;" days: "&amp;B929&amp;IF(C929="",""," ("&amp;C929&amp;")")&amp;" — check for defects")</f>
        <v/>
      </c>
      <c r="P929" s="72" t="n"/>
      <c r="Q929" s="72" t="n"/>
      <c r="R929" s="89" t="n"/>
      <c r="S929" s="109" t="n"/>
      <c r="T929" s="126">
        <f>IF(OR(R929="",S929=""),"",DATE(YEAR(S929),MONTH(S929)+R929,DAY(S929)))</f>
        <v/>
      </c>
      <c r="U929" s="144">
        <f>IF(T929="","",T929-AsOf)</f>
        <v/>
      </c>
      <c r="V929" s="107">
        <f>IF(T929="",IF(P929="","","Enter last-done date"),IF(U929&lt;0,"Overdue",IF(U929&lt;=30,"Due soon","OK")))</f>
        <v/>
      </c>
      <c r="W929" s="79">
        <f>IF(T929="","",IF(U929&lt;0,2,IF(U929&lt;=30,1,0)))</f>
        <v/>
      </c>
      <c r="X929" s="112">
        <f>IF(T929="","",T929)</f>
        <v/>
      </c>
      <c r="Y929" s="79">
        <f>IF(X929="","",IF(X929&lt;=AsOf+AlertDays,2,IF(X929&lt;=AsOf+30,3,"")))</f>
        <v/>
      </c>
      <c r="Z929" s="79">
        <f>IF(Y929="","",IF(U929&lt;0,"Maintenance overdue: ","Maintenance due: ")&amp;P929)</f>
        <v/>
      </c>
    </row>
    <row r="930" ht="20" customHeight="1">
      <c r="B930" s="72" t="n"/>
      <c r="C930" s="72" t="n"/>
      <c r="D930" s="72" t="n"/>
      <c r="E930" s="109" t="n"/>
      <c r="F930" s="74" t="n"/>
      <c r="G930" s="126">
        <f>IF(OR(E930="",F930=""),"",DATE(YEAR(E930),MONTH(E930)+ROUND(F930*12,0),DAY(E930)))</f>
        <v/>
      </c>
      <c r="H930" s="144">
        <f>IF(G930="","",G930-AsOf)</f>
        <v/>
      </c>
      <c r="I930" s="107">
        <f>IF(G930="","",IF(H930&lt;0,"Expired",IF(H930&lt;=90,"Expires soon","Active")))</f>
        <v/>
      </c>
      <c r="J930" s="72" t="n"/>
      <c r="K930" s="79">
        <f>IF(I930="","",IF(I930="Active",0,IF(I930="Expires soon",1,3)))</f>
        <v/>
      </c>
      <c r="L930" s="112">
        <f>IF(G930="","",IF(G930&lt;AsOf,"",G930))</f>
        <v/>
      </c>
      <c r="M930" s="79">
        <f>IF(L930="","",IF(L930&lt;=AsOf+AlertDays,2,IF(L930&lt;=AsOf+90,3,"")))</f>
        <v/>
      </c>
      <c r="N930" s="79">
        <f>IF(M930="","","Warranty expires in "&amp;H930&amp;" days: "&amp;B930&amp;IF(C930="",""," ("&amp;C930&amp;")")&amp;" — check for defects")</f>
        <v/>
      </c>
      <c r="P930" s="72" t="n"/>
      <c r="Q930" s="72" t="n"/>
      <c r="R930" s="89" t="n"/>
      <c r="S930" s="109" t="n"/>
      <c r="T930" s="126">
        <f>IF(OR(R930="",S930=""),"",DATE(YEAR(S930),MONTH(S930)+R930,DAY(S930)))</f>
        <v/>
      </c>
      <c r="U930" s="144">
        <f>IF(T930="","",T930-AsOf)</f>
        <v/>
      </c>
      <c r="V930" s="107">
        <f>IF(T930="",IF(P930="","","Enter last-done date"),IF(U930&lt;0,"Overdue",IF(U930&lt;=30,"Due soon","OK")))</f>
        <v/>
      </c>
      <c r="W930" s="79">
        <f>IF(T930="","",IF(U930&lt;0,2,IF(U930&lt;=30,1,0)))</f>
        <v/>
      </c>
      <c r="X930" s="112">
        <f>IF(T930="","",T930)</f>
        <v/>
      </c>
      <c r="Y930" s="79">
        <f>IF(X930="","",IF(X930&lt;=AsOf+AlertDays,2,IF(X930&lt;=AsOf+30,3,"")))</f>
        <v/>
      </c>
      <c r="Z930" s="79">
        <f>IF(Y930="","",IF(U930&lt;0,"Maintenance overdue: ","Maintenance due: ")&amp;P930)</f>
        <v/>
      </c>
    </row>
    <row r="931" ht="20" customHeight="1">
      <c r="B931" s="72" t="n"/>
      <c r="C931" s="72" t="n"/>
      <c r="D931" s="72" t="n"/>
      <c r="E931" s="109" t="n"/>
      <c r="F931" s="74" t="n"/>
      <c r="G931" s="126">
        <f>IF(OR(E931="",F931=""),"",DATE(YEAR(E931),MONTH(E931)+ROUND(F931*12,0),DAY(E931)))</f>
        <v/>
      </c>
      <c r="H931" s="144">
        <f>IF(G931="","",G931-AsOf)</f>
        <v/>
      </c>
      <c r="I931" s="107">
        <f>IF(G931="","",IF(H931&lt;0,"Expired",IF(H931&lt;=90,"Expires soon","Active")))</f>
        <v/>
      </c>
      <c r="J931" s="72" t="n"/>
      <c r="K931" s="79">
        <f>IF(I931="","",IF(I931="Active",0,IF(I931="Expires soon",1,3)))</f>
        <v/>
      </c>
      <c r="L931" s="112">
        <f>IF(G931="","",IF(G931&lt;AsOf,"",G931))</f>
        <v/>
      </c>
      <c r="M931" s="79">
        <f>IF(L931="","",IF(L931&lt;=AsOf+AlertDays,2,IF(L931&lt;=AsOf+90,3,"")))</f>
        <v/>
      </c>
      <c r="N931" s="79">
        <f>IF(M931="","","Warranty expires in "&amp;H931&amp;" days: "&amp;B931&amp;IF(C931="",""," ("&amp;C931&amp;")")&amp;" — check for defects")</f>
        <v/>
      </c>
      <c r="P931" s="72" t="n"/>
      <c r="Q931" s="72" t="n"/>
      <c r="R931" s="89" t="n"/>
      <c r="S931" s="109" t="n"/>
      <c r="T931" s="126">
        <f>IF(OR(R931="",S931=""),"",DATE(YEAR(S931),MONTH(S931)+R931,DAY(S931)))</f>
        <v/>
      </c>
      <c r="U931" s="144">
        <f>IF(T931="","",T931-AsOf)</f>
        <v/>
      </c>
      <c r="V931" s="107">
        <f>IF(T931="",IF(P931="","","Enter last-done date"),IF(U931&lt;0,"Overdue",IF(U931&lt;=30,"Due soon","OK")))</f>
        <v/>
      </c>
      <c r="W931" s="79">
        <f>IF(T931="","",IF(U931&lt;0,2,IF(U931&lt;=30,1,0)))</f>
        <v/>
      </c>
      <c r="X931" s="112">
        <f>IF(T931="","",T931)</f>
        <v/>
      </c>
      <c r="Y931" s="79">
        <f>IF(X931="","",IF(X931&lt;=AsOf+AlertDays,2,IF(X931&lt;=AsOf+30,3,"")))</f>
        <v/>
      </c>
      <c r="Z931" s="79">
        <f>IF(Y931="","",IF(U931&lt;0,"Maintenance overdue: ","Maintenance due: ")&amp;P931)</f>
        <v/>
      </c>
    </row>
    <row r="932" ht="20" customHeight="1">
      <c r="B932" s="72" t="n"/>
      <c r="C932" s="72" t="n"/>
      <c r="D932" s="72" t="n"/>
      <c r="E932" s="109" t="n"/>
      <c r="F932" s="74" t="n"/>
      <c r="G932" s="126">
        <f>IF(OR(E932="",F932=""),"",DATE(YEAR(E932),MONTH(E932)+ROUND(F932*12,0),DAY(E932)))</f>
        <v/>
      </c>
      <c r="H932" s="144">
        <f>IF(G932="","",G932-AsOf)</f>
        <v/>
      </c>
      <c r="I932" s="107">
        <f>IF(G932="","",IF(H932&lt;0,"Expired",IF(H932&lt;=90,"Expires soon","Active")))</f>
        <v/>
      </c>
      <c r="J932" s="72" t="n"/>
      <c r="K932" s="79">
        <f>IF(I932="","",IF(I932="Active",0,IF(I932="Expires soon",1,3)))</f>
        <v/>
      </c>
      <c r="L932" s="112">
        <f>IF(G932="","",IF(G932&lt;AsOf,"",G932))</f>
        <v/>
      </c>
      <c r="M932" s="79">
        <f>IF(L932="","",IF(L932&lt;=AsOf+AlertDays,2,IF(L932&lt;=AsOf+90,3,"")))</f>
        <v/>
      </c>
      <c r="N932" s="79">
        <f>IF(M932="","","Warranty expires in "&amp;H932&amp;" days: "&amp;B932&amp;IF(C932="",""," ("&amp;C932&amp;")")&amp;" — check for defects")</f>
        <v/>
      </c>
      <c r="P932" s="72" t="n"/>
      <c r="Q932" s="72" t="n"/>
      <c r="R932" s="89" t="n"/>
      <c r="S932" s="109" t="n"/>
      <c r="T932" s="126">
        <f>IF(OR(R932="",S932=""),"",DATE(YEAR(S932),MONTH(S932)+R932,DAY(S932)))</f>
        <v/>
      </c>
      <c r="U932" s="144">
        <f>IF(T932="","",T932-AsOf)</f>
        <v/>
      </c>
      <c r="V932" s="107">
        <f>IF(T932="",IF(P932="","","Enter last-done date"),IF(U932&lt;0,"Overdue",IF(U932&lt;=30,"Due soon","OK")))</f>
        <v/>
      </c>
      <c r="W932" s="79">
        <f>IF(T932="","",IF(U932&lt;0,2,IF(U932&lt;=30,1,0)))</f>
        <v/>
      </c>
      <c r="X932" s="112">
        <f>IF(T932="","",T932)</f>
        <v/>
      </c>
      <c r="Y932" s="79">
        <f>IF(X932="","",IF(X932&lt;=AsOf+AlertDays,2,IF(X932&lt;=AsOf+30,3,"")))</f>
        <v/>
      </c>
      <c r="Z932" s="79">
        <f>IF(Y932="","",IF(U932&lt;0,"Maintenance overdue: ","Maintenance due: ")&amp;P932)</f>
        <v/>
      </c>
    </row>
    <row r="933" ht="20" customHeight="1">
      <c r="B933" s="72" t="n"/>
      <c r="C933" s="72" t="n"/>
      <c r="D933" s="72" t="n"/>
      <c r="E933" s="109" t="n"/>
      <c r="F933" s="74" t="n"/>
      <c r="G933" s="126">
        <f>IF(OR(E933="",F933=""),"",DATE(YEAR(E933),MONTH(E933)+ROUND(F933*12,0),DAY(E933)))</f>
        <v/>
      </c>
      <c r="H933" s="144">
        <f>IF(G933="","",G933-AsOf)</f>
        <v/>
      </c>
      <c r="I933" s="107">
        <f>IF(G933="","",IF(H933&lt;0,"Expired",IF(H933&lt;=90,"Expires soon","Active")))</f>
        <v/>
      </c>
      <c r="J933" s="72" t="n"/>
      <c r="K933" s="79">
        <f>IF(I933="","",IF(I933="Active",0,IF(I933="Expires soon",1,3)))</f>
        <v/>
      </c>
      <c r="L933" s="112">
        <f>IF(G933="","",IF(G933&lt;AsOf,"",G933))</f>
        <v/>
      </c>
      <c r="M933" s="79">
        <f>IF(L933="","",IF(L933&lt;=AsOf+AlertDays,2,IF(L933&lt;=AsOf+90,3,"")))</f>
        <v/>
      </c>
      <c r="N933" s="79">
        <f>IF(M933="","","Warranty expires in "&amp;H933&amp;" days: "&amp;B933&amp;IF(C933="",""," ("&amp;C933&amp;")")&amp;" — check for defects")</f>
        <v/>
      </c>
      <c r="P933" s="72" t="n"/>
      <c r="Q933" s="72" t="n"/>
      <c r="R933" s="89" t="n"/>
      <c r="S933" s="109" t="n"/>
      <c r="T933" s="126">
        <f>IF(OR(R933="",S933=""),"",DATE(YEAR(S933),MONTH(S933)+R933,DAY(S933)))</f>
        <v/>
      </c>
      <c r="U933" s="144">
        <f>IF(T933="","",T933-AsOf)</f>
        <v/>
      </c>
      <c r="V933" s="107">
        <f>IF(T933="",IF(P933="","","Enter last-done date"),IF(U933&lt;0,"Overdue",IF(U933&lt;=30,"Due soon","OK")))</f>
        <v/>
      </c>
      <c r="W933" s="79">
        <f>IF(T933="","",IF(U933&lt;0,2,IF(U933&lt;=30,1,0)))</f>
        <v/>
      </c>
      <c r="X933" s="112">
        <f>IF(T933="","",T933)</f>
        <v/>
      </c>
      <c r="Y933" s="79">
        <f>IF(X933="","",IF(X933&lt;=AsOf+AlertDays,2,IF(X933&lt;=AsOf+30,3,"")))</f>
        <v/>
      </c>
      <c r="Z933" s="79">
        <f>IF(Y933="","",IF(U933&lt;0,"Maintenance overdue: ","Maintenance due: ")&amp;P933)</f>
        <v/>
      </c>
    </row>
    <row r="934" ht="20" customHeight="1">
      <c r="B934" s="72" t="n"/>
      <c r="C934" s="72" t="n"/>
      <c r="D934" s="72" t="n"/>
      <c r="E934" s="109" t="n"/>
      <c r="F934" s="74" t="n"/>
      <c r="G934" s="126">
        <f>IF(OR(E934="",F934=""),"",DATE(YEAR(E934),MONTH(E934)+ROUND(F934*12,0),DAY(E934)))</f>
        <v/>
      </c>
      <c r="H934" s="144">
        <f>IF(G934="","",G934-AsOf)</f>
        <v/>
      </c>
      <c r="I934" s="107">
        <f>IF(G934="","",IF(H934&lt;0,"Expired",IF(H934&lt;=90,"Expires soon","Active")))</f>
        <v/>
      </c>
      <c r="J934" s="72" t="n"/>
      <c r="K934" s="79">
        <f>IF(I934="","",IF(I934="Active",0,IF(I934="Expires soon",1,3)))</f>
        <v/>
      </c>
      <c r="L934" s="112">
        <f>IF(G934="","",IF(G934&lt;AsOf,"",G934))</f>
        <v/>
      </c>
      <c r="M934" s="79">
        <f>IF(L934="","",IF(L934&lt;=AsOf+AlertDays,2,IF(L934&lt;=AsOf+90,3,"")))</f>
        <v/>
      </c>
      <c r="N934" s="79">
        <f>IF(M934="","","Warranty expires in "&amp;H934&amp;" days: "&amp;B934&amp;IF(C934="",""," ("&amp;C934&amp;")")&amp;" — check for defects")</f>
        <v/>
      </c>
      <c r="P934" s="72" t="n"/>
      <c r="Q934" s="72" t="n"/>
      <c r="R934" s="89" t="n"/>
      <c r="S934" s="109" t="n"/>
      <c r="T934" s="126">
        <f>IF(OR(R934="",S934=""),"",DATE(YEAR(S934),MONTH(S934)+R934,DAY(S934)))</f>
        <v/>
      </c>
      <c r="U934" s="144">
        <f>IF(T934="","",T934-AsOf)</f>
        <v/>
      </c>
      <c r="V934" s="107">
        <f>IF(T934="",IF(P934="","","Enter last-done date"),IF(U934&lt;0,"Overdue",IF(U934&lt;=30,"Due soon","OK")))</f>
        <v/>
      </c>
      <c r="W934" s="79">
        <f>IF(T934="","",IF(U934&lt;0,2,IF(U934&lt;=30,1,0)))</f>
        <v/>
      </c>
      <c r="X934" s="112">
        <f>IF(T934="","",T934)</f>
        <v/>
      </c>
      <c r="Y934" s="79">
        <f>IF(X934="","",IF(X934&lt;=AsOf+AlertDays,2,IF(X934&lt;=AsOf+30,3,"")))</f>
        <v/>
      </c>
      <c r="Z934" s="79">
        <f>IF(Y934="","",IF(U934&lt;0,"Maintenance overdue: ","Maintenance due: ")&amp;P934)</f>
        <v/>
      </c>
    </row>
    <row r="935" ht="20" customHeight="1">
      <c r="B935" s="72" t="n"/>
      <c r="C935" s="72" t="n"/>
      <c r="D935" s="72" t="n"/>
      <c r="E935" s="109" t="n"/>
      <c r="F935" s="74" t="n"/>
      <c r="G935" s="126">
        <f>IF(OR(E935="",F935=""),"",DATE(YEAR(E935),MONTH(E935)+ROUND(F935*12,0),DAY(E935)))</f>
        <v/>
      </c>
      <c r="H935" s="144">
        <f>IF(G935="","",G935-AsOf)</f>
        <v/>
      </c>
      <c r="I935" s="107">
        <f>IF(G935="","",IF(H935&lt;0,"Expired",IF(H935&lt;=90,"Expires soon","Active")))</f>
        <v/>
      </c>
      <c r="J935" s="72" t="n"/>
      <c r="K935" s="79">
        <f>IF(I935="","",IF(I935="Active",0,IF(I935="Expires soon",1,3)))</f>
        <v/>
      </c>
      <c r="L935" s="112">
        <f>IF(G935="","",IF(G935&lt;AsOf,"",G935))</f>
        <v/>
      </c>
      <c r="M935" s="79">
        <f>IF(L935="","",IF(L935&lt;=AsOf+AlertDays,2,IF(L935&lt;=AsOf+90,3,"")))</f>
        <v/>
      </c>
      <c r="N935" s="79">
        <f>IF(M935="","","Warranty expires in "&amp;H935&amp;" days: "&amp;B935&amp;IF(C935="",""," ("&amp;C935&amp;")")&amp;" — check for defects")</f>
        <v/>
      </c>
      <c r="P935" s="72" t="n"/>
      <c r="Q935" s="72" t="n"/>
      <c r="R935" s="89" t="n"/>
      <c r="S935" s="109" t="n"/>
      <c r="T935" s="126">
        <f>IF(OR(R935="",S935=""),"",DATE(YEAR(S935),MONTH(S935)+R935,DAY(S935)))</f>
        <v/>
      </c>
      <c r="U935" s="144">
        <f>IF(T935="","",T935-AsOf)</f>
        <v/>
      </c>
      <c r="V935" s="107">
        <f>IF(T935="",IF(P935="","","Enter last-done date"),IF(U935&lt;0,"Overdue",IF(U935&lt;=30,"Due soon","OK")))</f>
        <v/>
      </c>
      <c r="W935" s="79">
        <f>IF(T935="","",IF(U935&lt;0,2,IF(U935&lt;=30,1,0)))</f>
        <v/>
      </c>
      <c r="X935" s="112">
        <f>IF(T935="","",T935)</f>
        <v/>
      </c>
      <c r="Y935" s="79">
        <f>IF(X935="","",IF(X935&lt;=AsOf+AlertDays,2,IF(X935&lt;=AsOf+30,3,"")))</f>
        <v/>
      </c>
      <c r="Z935" s="79">
        <f>IF(Y935="","",IF(U935&lt;0,"Maintenance overdue: ","Maintenance due: ")&amp;P935)</f>
        <v/>
      </c>
    </row>
    <row r="936" ht="20" customHeight="1">
      <c r="B936" s="72" t="n"/>
      <c r="C936" s="72" t="n"/>
      <c r="D936" s="72" t="n"/>
      <c r="E936" s="109" t="n"/>
      <c r="F936" s="74" t="n"/>
      <c r="G936" s="126">
        <f>IF(OR(E936="",F936=""),"",DATE(YEAR(E936),MONTH(E936)+ROUND(F936*12,0),DAY(E936)))</f>
        <v/>
      </c>
      <c r="H936" s="144">
        <f>IF(G936="","",G936-AsOf)</f>
        <v/>
      </c>
      <c r="I936" s="107">
        <f>IF(G936="","",IF(H936&lt;0,"Expired",IF(H936&lt;=90,"Expires soon","Active")))</f>
        <v/>
      </c>
      <c r="J936" s="72" t="n"/>
      <c r="K936" s="79">
        <f>IF(I936="","",IF(I936="Active",0,IF(I936="Expires soon",1,3)))</f>
        <v/>
      </c>
      <c r="L936" s="112">
        <f>IF(G936="","",IF(G936&lt;AsOf,"",G936))</f>
        <v/>
      </c>
      <c r="M936" s="79">
        <f>IF(L936="","",IF(L936&lt;=AsOf+AlertDays,2,IF(L936&lt;=AsOf+90,3,"")))</f>
        <v/>
      </c>
      <c r="N936" s="79">
        <f>IF(M936="","","Warranty expires in "&amp;H936&amp;" days: "&amp;B936&amp;IF(C936="",""," ("&amp;C936&amp;")")&amp;" — check for defects")</f>
        <v/>
      </c>
      <c r="P936" s="72" t="n"/>
      <c r="Q936" s="72" t="n"/>
      <c r="R936" s="89" t="n"/>
      <c r="S936" s="109" t="n"/>
      <c r="T936" s="126">
        <f>IF(OR(R936="",S936=""),"",DATE(YEAR(S936),MONTH(S936)+R936,DAY(S936)))</f>
        <v/>
      </c>
      <c r="U936" s="144">
        <f>IF(T936="","",T936-AsOf)</f>
        <v/>
      </c>
      <c r="V936" s="107">
        <f>IF(T936="",IF(P936="","","Enter last-done date"),IF(U936&lt;0,"Overdue",IF(U936&lt;=30,"Due soon","OK")))</f>
        <v/>
      </c>
      <c r="W936" s="79">
        <f>IF(T936="","",IF(U936&lt;0,2,IF(U936&lt;=30,1,0)))</f>
        <v/>
      </c>
      <c r="X936" s="112">
        <f>IF(T936="","",T936)</f>
        <v/>
      </c>
      <c r="Y936" s="79">
        <f>IF(X936="","",IF(X936&lt;=AsOf+AlertDays,2,IF(X936&lt;=AsOf+30,3,"")))</f>
        <v/>
      </c>
      <c r="Z936" s="79">
        <f>IF(Y936="","",IF(U936&lt;0,"Maintenance overdue: ","Maintenance due: ")&amp;P936)</f>
        <v/>
      </c>
    </row>
    <row r="937" ht="20" customHeight="1">
      <c r="B937" s="72" t="n"/>
      <c r="C937" s="72" t="n"/>
      <c r="D937" s="72" t="n"/>
      <c r="E937" s="109" t="n"/>
      <c r="F937" s="74" t="n"/>
      <c r="G937" s="126">
        <f>IF(OR(E937="",F937=""),"",DATE(YEAR(E937),MONTH(E937)+ROUND(F937*12,0),DAY(E937)))</f>
        <v/>
      </c>
      <c r="H937" s="144">
        <f>IF(G937="","",G937-AsOf)</f>
        <v/>
      </c>
      <c r="I937" s="107">
        <f>IF(G937="","",IF(H937&lt;0,"Expired",IF(H937&lt;=90,"Expires soon","Active")))</f>
        <v/>
      </c>
      <c r="J937" s="72" t="n"/>
      <c r="K937" s="79">
        <f>IF(I937="","",IF(I937="Active",0,IF(I937="Expires soon",1,3)))</f>
        <v/>
      </c>
      <c r="L937" s="112">
        <f>IF(G937="","",IF(G937&lt;AsOf,"",G937))</f>
        <v/>
      </c>
      <c r="M937" s="79">
        <f>IF(L937="","",IF(L937&lt;=AsOf+AlertDays,2,IF(L937&lt;=AsOf+90,3,"")))</f>
        <v/>
      </c>
      <c r="N937" s="79">
        <f>IF(M937="","","Warranty expires in "&amp;H937&amp;" days: "&amp;B937&amp;IF(C937="",""," ("&amp;C937&amp;")")&amp;" — check for defects")</f>
        <v/>
      </c>
      <c r="P937" s="72" t="n"/>
      <c r="Q937" s="72" t="n"/>
      <c r="R937" s="89" t="n"/>
      <c r="S937" s="109" t="n"/>
      <c r="T937" s="126">
        <f>IF(OR(R937="",S937=""),"",DATE(YEAR(S937),MONTH(S937)+R937,DAY(S937)))</f>
        <v/>
      </c>
      <c r="U937" s="144">
        <f>IF(T937="","",T937-AsOf)</f>
        <v/>
      </c>
      <c r="V937" s="107">
        <f>IF(T937="",IF(P937="","","Enter last-done date"),IF(U937&lt;0,"Overdue",IF(U937&lt;=30,"Due soon","OK")))</f>
        <v/>
      </c>
      <c r="W937" s="79">
        <f>IF(T937="","",IF(U937&lt;0,2,IF(U937&lt;=30,1,0)))</f>
        <v/>
      </c>
      <c r="X937" s="112">
        <f>IF(T937="","",T937)</f>
        <v/>
      </c>
      <c r="Y937" s="79">
        <f>IF(X937="","",IF(X937&lt;=AsOf+AlertDays,2,IF(X937&lt;=AsOf+30,3,"")))</f>
        <v/>
      </c>
      <c r="Z937" s="79">
        <f>IF(Y937="","",IF(U937&lt;0,"Maintenance overdue: ","Maintenance due: ")&amp;P937)</f>
        <v/>
      </c>
    </row>
    <row r="938" ht="20" customHeight="1">
      <c r="B938" s="72" t="n"/>
      <c r="C938" s="72" t="n"/>
      <c r="D938" s="72" t="n"/>
      <c r="E938" s="109" t="n"/>
      <c r="F938" s="74" t="n"/>
      <c r="G938" s="126">
        <f>IF(OR(E938="",F938=""),"",DATE(YEAR(E938),MONTH(E938)+ROUND(F938*12,0),DAY(E938)))</f>
        <v/>
      </c>
      <c r="H938" s="144">
        <f>IF(G938="","",G938-AsOf)</f>
        <v/>
      </c>
      <c r="I938" s="107">
        <f>IF(G938="","",IF(H938&lt;0,"Expired",IF(H938&lt;=90,"Expires soon","Active")))</f>
        <v/>
      </c>
      <c r="J938" s="72" t="n"/>
      <c r="K938" s="79">
        <f>IF(I938="","",IF(I938="Active",0,IF(I938="Expires soon",1,3)))</f>
        <v/>
      </c>
      <c r="L938" s="112">
        <f>IF(G938="","",IF(G938&lt;AsOf,"",G938))</f>
        <v/>
      </c>
      <c r="M938" s="79">
        <f>IF(L938="","",IF(L938&lt;=AsOf+AlertDays,2,IF(L938&lt;=AsOf+90,3,"")))</f>
        <v/>
      </c>
      <c r="N938" s="79">
        <f>IF(M938="","","Warranty expires in "&amp;H938&amp;" days: "&amp;B938&amp;IF(C938="",""," ("&amp;C938&amp;")")&amp;" — check for defects")</f>
        <v/>
      </c>
      <c r="P938" s="72" t="n"/>
      <c r="Q938" s="72" t="n"/>
      <c r="R938" s="89" t="n"/>
      <c r="S938" s="109" t="n"/>
      <c r="T938" s="126">
        <f>IF(OR(R938="",S938=""),"",DATE(YEAR(S938),MONTH(S938)+R938,DAY(S938)))</f>
        <v/>
      </c>
      <c r="U938" s="144">
        <f>IF(T938="","",T938-AsOf)</f>
        <v/>
      </c>
      <c r="V938" s="107">
        <f>IF(T938="",IF(P938="","","Enter last-done date"),IF(U938&lt;0,"Overdue",IF(U938&lt;=30,"Due soon","OK")))</f>
        <v/>
      </c>
      <c r="W938" s="79">
        <f>IF(T938="","",IF(U938&lt;0,2,IF(U938&lt;=30,1,0)))</f>
        <v/>
      </c>
      <c r="X938" s="112">
        <f>IF(T938="","",T938)</f>
        <v/>
      </c>
      <c r="Y938" s="79">
        <f>IF(X938="","",IF(X938&lt;=AsOf+AlertDays,2,IF(X938&lt;=AsOf+30,3,"")))</f>
        <v/>
      </c>
      <c r="Z938" s="79">
        <f>IF(Y938="","",IF(U938&lt;0,"Maintenance overdue: ","Maintenance due: ")&amp;P938)</f>
        <v/>
      </c>
    </row>
    <row r="939" ht="20" customHeight="1">
      <c r="B939" s="72" t="n"/>
      <c r="C939" s="72" t="n"/>
      <c r="D939" s="72" t="n"/>
      <c r="E939" s="109" t="n"/>
      <c r="F939" s="74" t="n"/>
      <c r="G939" s="126">
        <f>IF(OR(E939="",F939=""),"",DATE(YEAR(E939),MONTH(E939)+ROUND(F939*12,0),DAY(E939)))</f>
        <v/>
      </c>
      <c r="H939" s="144">
        <f>IF(G939="","",G939-AsOf)</f>
        <v/>
      </c>
      <c r="I939" s="107">
        <f>IF(G939="","",IF(H939&lt;0,"Expired",IF(H939&lt;=90,"Expires soon","Active")))</f>
        <v/>
      </c>
      <c r="J939" s="72" t="n"/>
      <c r="K939" s="79">
        <f>IF(I939="","",IF(I939="Active",0,IF(I939="Expires soon",1,3)))</f>
        <v/>
      </c>
      <c r="L939" s="112">
        <f>IF(G939="","",IF(G939&lt;AsOf,"",G939))</f>
        <v/>
      </c>
      <c r="M939" s="79">
        <f>IF(L939="","",IF(L939&lt;=AsOf+AlertDays,2,IF(L939&lt;=AsOf+90,3,"")))</f>
        <v/>
      </c>
      <c r="N939" s="79">
        <f>IF(M939="","","Warranty expires in "&amp;H939&amp;" days: "&amp;B939&amp;IF(C939="",""," ("&amp;C939&amp;")")&amp;" — check for defects")</f>
        <v/>
      </c>
      <c r="P939" s="72" t="n"/>
      <c r="Q939" s="72" t="n"/>
      <c r="R939" s="89" t="n"/>
      <c r="S939" s="109" t="n"/>
      <c r="T939" s="126">
        <f>IF(OR(R939="",S939=""),"",DATE(YEAR(S939),MONTH(S939)+R939,DAY(S939)))</f>
        <v/>
      </c>
      <c r="U939" s="144">
        <f>IF(T939="","",T939-AsOf)</f>
        <v/>
      </c>
      <c r="V939" s="107">
        <f>IF(T939="",IF(P939="","","Enter last-done date"),IF(U939&lt;0,"Overdue",IF(U939&lt;=30,"Due soon","OK")))</f>
        <v/>
      </c>
      <c r="W939" s="79">
        <f>IF(T939="","",IF(U939&lt;0,2,IF(U939&lt;=30,1,0)))</f>
        <v/>
      </c>
      <c r="X939" s="112">
        <f>IF(T939="","",T939)</f>
        <v/>
      </c>
      <c r="Y939" s="79">
        <f>IF(X939="","",IF(X939&lt;=AsOf+AlertDays,2,IF(X939&lt;=AsOf+30,3,"")))</f>
        <v/>
      </c>
      <c r="Z939" s="79">
        <f>IF(Y939="","",IF(U939&lt;0,"Maintenance overdue: ","Maintenance due: ")&amp;P939)</f>
        <v/>
      </c>
    </row>
    <row r="940" ht="20" customHeight="1">
      <c r="B940" s="72" t="n"/>
      <c r="C940" s="72" t="n"/>
      <c r="D940" s="72" t="n"/>
      <c r="E940" s="109" t="n"/>
      <c r="F940" s="74" t="n"/>
      <c r="G940" s="126">
        <f>IF(OR(E940="",F940=""),"",DATE(YEAR(E940),MONTH(E940)+ROUND(F940*12,0),DAY(E940)))</f>
        <v/>
      </c>
      <c r="H940" s="144">
        <f>IF(G940="","",G940-AsOf)</f>
        <v/>
      </c>
      <c r="I940" s="107">
        <f>IF(G940="","",IF(H940&lt;0,"Expired",IF(H940&lt;=90,"Expires soon","Active")))</f>
        <v/>
      </c>
      <c r="J940" s="72" t="n"/>
      <c r="K940" s="79">
        <f>IF(I940="","",IF(I940="Active",0,IF(I940="Expires soon",1,3)))</f>
        <v/>
      </c>
      <c r="L940" s="112">
        <f>IF(G940="","",IF(G940&lt;AsOf,"",G940))</f>
        <v/>
      </c>
      <c r="M940" s="79">
        <f>IF(L940="","",IF(L940&lt;=AsOf+AlertDays,2,IF(L940&lt;=AsOf+90,3,"")))</f>
        <v/>
      </c>
      <c r="N940" s="79">
        <f>IF(M940="","","Warranty expires in "&amp;H940&amp;" days: "&amp;B940&amp;IF(C940="",""," ("&amp;C940&amp;")")&amp;" — check for defects")</f>
        <v/>
      </c>
      <c r="P940" s="72" t="n"/>
      <c r="Q940" s="72" t="n"/>
      <c r="R940" s="89" t="n"/>
      <c r="S940" s="109" t="n"/>
      <c r="T940" s="126">
        <f>IF(OR(R940="",S940=""),"",DATE(YEAR(S940),MONTH(S940)+R940,DAY(S940)))</f>
        <v/>
      </c>
      <c r="U940" s="144">
        <f>IF(T940="","",T940-AsOf)</f>
        <v/>
      </c>
      <c r="V940" s="107">
        <f>IF(T940="",IF(P940="","","Enter last-done date"),IF(U940&lt;0,"Overdue",IF(U940&lt;=30,"Due soon","OK")))</f>
        <v/>
      </c>
      <c r="W940" s="79">
        <f>IF(T940="","",IF(U940&lt;0,2,IF(U940&lt;=30,1,0)))</f>
        <v/>
      </c>
      <c r="X940" s="112">
        <f>IF(T940="","",T940)</f>
        <v/>
      </c>
      <c r="Y940" s="79">
        <f>IF(X940="","",IF(X940&lt;=AsOf+AlertDays,2,IF(X940&lt;=AsOf+30,3,"")))</f>
        <v/>
      </c>
      <c r="Z940" s="79">
        <f>IF(Y940="","",IF(U940&lt;0,"Maintenance overdue: ","Maintenance due: ")&amp;P940)</f>
        <v/>
      </c>
    </row>
    <row r="941" ht="20" customHeight="1">
      <c r="B941" s="72" t="n"/>
      <c r="C941" s="72" t="n"/>
      <c r="D941" s="72" t="n"/>
      <c r="E941" s="109" t="n"/>
      <c r="F941" s="74" t="n"/>
      <c r="G941" s="126">
        <f>IF(OR(E941="",F941=""),"",DATE(YEAR(E941),MONTH(E941)+ROUND(F941*12,0),DAY(E941)))</f>
        <v/>
      </c>
      <c r="H941" s="144">
        <f>IF(G941="","",G941-AsOf)</f>
        <v/>
      </c>
      <c r="I941" s="107">
        <f>IF(G941="","",IF(H941&lt;0,"Expired",IF(H941&lt;=90,"Expires soon","Active")))</f>
        <v/>
      </c>
      <c r="J941" s="72" t="n"/>
      <c r="K941" s="79">
        <f>IF(I941="","",IF(I941="Active",0,IF(I941="Expires soon",1,3)))</f>
        <v/>
      </c>
      <c r="L941" s="112">
        <f>IF(G941="","",IF(G941&lt;AsOf,"",G941))</f>
        <v/>
      </c>
      <c r="M941" s="79">
        <f>IF(L941="","",IF(L941&lt;=AsOf+AlertDays,2,IF(L941&lt;=AsOf+90,3,"")))</f>
        <v/>
      </c>
      <c r="N941" s="79">
        <f>IF(M941="","","Warranty expires in "&amp;H941&amp;" days: "&amp;B941&amp;IF(C941="",""," ("&amp;C941&amp;")")&amp;" — check for defects")</f>
        <v/>
      </c>
      <c r="P941" s="72" t="n"/>
      <c r="Q941" s="72" t="n"/>
      <c r="R941" s="89" t="n"/>
      <c r="S941" s="109" t="n"/>
      <c r="T941" s="126">
        <f>IF(OR(R941="",S941=""),"",DATE(YEAR(S941),MONTH(S941)+R941,DAY(S941)))</f>
        <v/>
      </c>
      <c r="U941" s="144">
        <f>IF(T941="","",T941-AsOf)</f>
        <v/>
      </c>
      <c r="V941" s="107">
        <f>IF(T941="",IF(P941="","","Enter last-done date"),IF(U941&lt;0,"Overdue",IF(U941&lt;=30,"Due soon","OK")))</f>
        <v/>
      </c>
      <c r="W941" s="79">
        <f>IF(T941="","",IF(U941&lt;0,2,IF(U941&lt;=30,1,0)))</f>
        <v/>
      </c>
      <c r="X941" s="112">
        <f>IF(T941="","",T941)</f>
        <v/>
      </c>
      <c r="Y941" s="79">
        <f>IF(X941="","",IF(X941&lt;=AsOf+AlertDays,2,IF(X941&lt;=AsOf+30,3,"")))</f>
        <v/>
      </c>
      <c r="Z941" s="79">
        <f>IF(Y941="","",IF(U941&lt;0,"Maintenance overdue: ","Maintenance due: ")&amp;P941)</f>
        <v/>
      </c>
    </row>
    <row r="942" ht="20" customHeight="1">
      <c r="B942" s="72" t="n"/>
      <c r="C942" s="72" t="n"/>
      <c r="D942" s="72" t="n"/>
      <c r="E942" s="109" t="n"/>
      <c r="F942" s="74" t="n"/>
      <c r="G942" s="126">
        <f>IF(OR(E942="",F942=""),"",DATE(YEAR(E942),MONTH(E942)+ROUND(F942*12,0),DAY(E942)))</f>
        <v/>
      </c>
      <c r="H942" s="144">
        <f>IF(G942="","",G942-AsOf)</f>
        <v/>
      </c>
      <c r="I942" s="107">
        <f>IF(G942="","",IF(H942&lt;0,"Expired",IF(H942&lt;=90,"Expires soon","Active")))</f>
        <v/>
      </c>
      <c r="J942" s="72" t="n"/>
      <c r="K942" s="79">
        <f>IF(I942="","",IF(I942="Active",0,IF(I942="Expires soon",1,3)))</f>
        <v/>
      </c>
      <c r="L942" s="112">
        <f>IF(G942="","",IF(G942&lt;AsOf,"",G942))</f>
        <v/>
      </c>
      <c r="M942" s="79">
        <f>IF(L942="","",IF(L942&lt;=AsOf+AlertDays,2,IF(L942&lt;=AsOf+90,3,"")))</f>
        <v/>
      </c>
      <c r="N942" s="79">
        <f>IF(M942="","","Warranty expires in "&amp;H942&amp;" days: "&amp;B942&amp;IF(C942="",""," ("&amp;C942&amp;")")&amp;" — check for defects")</f>
        <v/>
      </c>
      <c r="P942" s="72" t="n"/>
      <c r="Q942" s="72" t="n"/>
      <c r="R942" s="89" t="n"/>
      <c r="S942" s="109" t="n"/>
      <c r="T942" s="126">
        <f>IF(OR(R942="",S942=""),"",DATE(YEAR(S942),MONTH(S942)+R942,DAY(S942)))</f>
        <v/>
      </c>
      <c r="U942" s="144">
        <f>IF(T942="","",T942-AsOf)</f>
        <v/>
      </c>
      <c r="V942" s="107">
        <f>IF(T942="",IF(P942="","","Enter last-done date"),IF(U942&lt;0,"Overdue",IF(U942&lt;=30,"Due soon","OK")))</f>
        <v/>
      </c>
      <c r="W942" s="79">
        <f>IF(T942="","",IF(U942&lt;0,2,IF(U942&lt;=30,1,0)))</f>
        <v/>
      </c>
      <c r="X942" s="112">
        <f>IF(T942="","",T942)</f>
        <v/>
      </c>
      <c r="Y942" s="79">
        <f>IF(X942="","",IF(X942&lt;=AsOf+AlertDays,2,IF(X942&lt;=AsOf+30,3,"")))</f>
        <v/>
      </c>
      <c r="Z942" s="79">
        <f>IF(Y942="","",IF(U942&lt;0,"Maintenance overdue: ","Maintenance due: ")&amp;P942)</f>
        <v/>
      </c>
    </row>
    <row r="943" ht="20" customHeight="1">
      <c r="B943" s="72" t="n"/>
      <c r="C943" s="72" t="n"/>
      <c r="D943" s="72" t="n"/>
      <c r="E943" s="109" t="n"/>
      <c r="F943" s="74" t="n"/>
      <c r="G943" s="126">
        <f>IF(OR(E943="",F943=""),"",DATE(YEAR(E943),MONTH(E943)+ROUND(F943*12,0),DAY(E943)))</f>
        <v/>
      </c>
      <c r="H943" s="144">
        <f>IF(G943="","",G943-AsOf)</f>
        <v/>
      </c>
      <c r="I943" s="107">
        <f>IF(G943="","",IF(H943&lt;0,"Expired",IF(H943&lt;=90,"Expires soon","Active")))</f>
        <v/>
      </c>
      <c r="J943" s="72" t="n"/>
      <c r="K943" s="79">
        <f>IF(I943="","",IF(I943="Active",0,IF(I943="Expires soon",1,3)))</f>
        <v/>
      </c>
      <c r="L943" s="112">
        <f>IF(G943="","",IF(G943&lt;AsOf,"",G943))</f>
        <v/>
      </c>
      <c r="M943" s="79">
        <f>IF(L943="","",IF(L943&lt;=AsOf+AlertDays,2,IF(L943&lt;=AsOf+90,3,"")))</f>
        <v/>
      </c>
      <c r="N943" s="79">
        <f>IF(M943="","","Warranty expires in "&amp;H943&amp;" days: "&amp;B943&amp;IF(C943="",""," ("&amp;C943&amp;")")&amp;" — check for defects")</f>
        <v/>
      </c>
      <c r="P943" s="72" t="n"/>
      <c r="Q943" s="72" t="n"/>
      <c r="R943" s="89" t="n"/>
      <c r="S943" s="109" t="n"/>
      <c r="T943" s="126">
        <f>IF(OR(R943="",S943=""),"",DATE(YEAR(S943),MONTH(S943)+R943,DAY(S943)))</f>
        <v/>
      </c>
      <c r="U943" s="144">
        <f>IF(T943="","",T943-AsOf)</f>
        <v/>
      </c>
      <c r="V943" s="107">
        <f>IF(T943="",IF(P943="","","Enter last-done date"),IF(U943&lt;0,"Overdue",IF(U943&lt;=30,"Due soon","OK")))</f>
        <v/>
      </c>
      <c r="W943" s="79">
        <f>IF(T943="","",IF(U943&lt;0,2,IF(U943&lt;=30,1,0)))</f>
        <v/>
      </c>
      <c r="X943" s="112">
        <f>IF(T943="","",T943)</f>
        <v/>
      </c>
      <c r="Y943" s="79">
        <f>IF(X943="","",IF(X943&lt;=AsOf+AlertDays,2,IF(X943&lt;=AsOf+30,3,"")))</f>
        <v/>
      </c>
      <c r="Z943" s="79">
        <f>IF(Y943="","",IF(U943&lt;0,"Maintenance overdue: ","Maintenance due: ")&amp;P943)</f>
        <v/>
      </c>
    </row>
    <row r="944" ht="20" customHeight="1">
      <c r="B944" s="72" t="n"/>
      <c r="C944" s="72" t="n"/>
      <c r="D944" s="72" t="n"/>
      <c r="E944" s="109" t="n"/>
      <c r="F944" s="74" t="n"/>
      <c r="G944" s="126">
        <f>IF(OR(E944="",F944=""),"",DATE(YEAR(E944),MONTH(E944)+ROUND(F944*12,0),DAY(E944)))</f>
        <v/>
      </c>
      <c r="H944" s="144">
        <f>IF(G944="","",G944-AsOf)</f>
        <v/>
      </c>
      <c r="I944" s="107">
        <f>IF(G944="","",IF(H944&lt;0,"Expired",IF(H944&lt;=90,"Expires soon","Active")))</f>
        <v/>
      </c>
      <c r="J944" s="72" t="n"/>
      <c r="K944" s="79">
        <f>IF(I944="","",IF(I944="Active",0,IF(I944="Expires soon",1,3)))</f>
        <v/>
      </c>
      <c r="L944" s="112">
        <f>IF(G944="","",IF(G944&lt;AsOf,"",G944))</f>
        <v/>
      </c>
      <c r="M944" s="79">
        <f>IF(L944="","",IF(L944&lt;=AsOf+AlertDays,2,IF(L944&lt;=AsOf+90,3,"")))</f>
        <v/>
      </c>
      <c r="N944" s="79">
        <f>IF(M944="","","Warranty expires in "&amp;H944&amp;" days: "&amp;B944&amp;IF(C944="",""," ("&amp;C944&amp;")")&amp;" — check for defects")</f>
        <v/>
      </c>
      <c r="P944" s="72" t="n"/>
      <c r="Q944" s="72" t="n"/>
      <c r="R944" s="89" t="n"/>
      <c r="S944" s="109" t="n"/>
      <c r="T944" s="126">
        <f>IF(OR(R944="",S944=""),"",DATE(YEAR(S944),MONTH(S944)+R944,DAY(S944)))</f>
        <v/>
      </c>
      <c r="U944" s="144">
        <f>IF(T944="","",T944-AsOf)</f>
        <v/>
      </c>
      <c r="V944" s="107">
        <f>IF(T944="",IF(P944="","","Enter last-done date"),IF(U944&lt;0,"Overdue",IF(U944&lt;=30,"Due soon","OK")))</f>
        <v/>
      </c>
      <c r="W944" s="79">
        <f>IF(T944="","",IF(U944&lt;0,2,IF(U944&lt;=30,1,0)))</f>
        <v/>
      </c>
      <c r="X944" s="112">
        <f>IF(T944="","",T944)</f>
        <v/>
      </c>
      <c r="Y944" s="79">
        <f>IF(X944="","",IF(X944&lt;=AsOf+AlertDays,2,IF(X944&lt;=AsOf+30,3,"")))</f>
        <v/>
      </c>
      <c r="Z944" s="79">
        <f>IF(Y944="","",IF(U944&lt;0,"Maintenance overdue: ","Maintenance due: ")&amp;P944)</f>
        <v/>
      </c>
    </row>
    <row r="945" ht="20" customHeight="1">
      <c r="B945" s="72" t="n"/>
      <c r="C945" s="72" t="n"/>
      <c r="D945" s="72" t="n"/>
      <c r="E945" s="109" t="n"/>
      <c r="F945" s="74" t="n"/>
      <c r="G945" s="126">
        <f>IF(OR(E945="",F945=""),"",DATE(YEAR(E945),MONTH(E945)+ROUND(F945*12,0),DAY(E945)))</f>
        <v/>
      </c>
      <c r="H945" s="144">
        <f>IF(G945="","",G945-AsOf)</f>
        <v/>
      </c>
      <c r="I945" s="107">
        <f>IF(G945="","",IF(H945&lt;0,"Expired",IF(H945&lt;=90,"Expires soon","Active")))</f>
        <v/>
      </c>
      <c r="J945" s="72" t="n"/>
      <c r="K945" s="79">
        <f>IF(I945="","",IF(I945="Active",0,IF(I945="Expires soon",1,3)))</f>
        <v/>
      </c>
      <c r="L945" s="112">
        <f>IF(G945="","",IF(G945&lt;AsOf,"",G945))</f>
        <v/>
      </c>
      <c r="M945" s="79">
        <f>IF(L945="","",IF(L945&lt;=AsOf+AlertDays,2,IF(L945&lt;=AsOf+90,3,"")))</f>
        <v/>
      </c>
      <c r="N945" s="79">
        <f>IF(M945="","","Warranty expires in "&amp;H945&amp;" days: "&amp;B945&amp;IF(C945="",""," ("&amp;C945&amp;")")&amp;" — check for defects")</f>
        <v/>
      </c>
      <c r="P945" s="72" t="n"/>
      <c r="Q945" s="72" t="n"/>
      <c r="R945" s="89" t="n"/>
      <c r="S945" s="109" t="n"/>
      <c r="T945" s="126">
        <f>IF(OR(R945="",S945=""),"",DATE(YEAR(S945),MONTH(S945)+R945,DAY(S945)))</f>
        <v/>
      </c>
      <c r="U945" s="144">
        <f>IF(T945="","",T945-AsOf)</f>
        <v/>
      </c>
      <c r="V945" s="107">
        <f>IF(T945="",IF(P945="","","Enter last-done date"),IF(U945&lt;0,"Overdue",IF(U945&lt;=30,"Due soon","OK")))</f>
        <v/>
      </c>
      <c r="W945" s="79">
        <f>IF(T945="","",IF(U945&lt;0,2,IF(U945&lt;=30,1,0)))</f>
        <v/>
      </c>
      <c r="X945" s="112">
        <f>IF(T945="","",T945)</f>
        <v/>
      </c>
      <c r="Y945" s="79">
        <f>IF(X945="","",IF(X945&lt;=AsOf+AlertDays,2,IF(X945&lt;=AsOf+30,3,"")))</f>
        <v/>
      </c>
      <c r="Z945" s="79">
        <f>IF(Y945="","",IF(U945&lt;0,"Maintenance overdue: ","Maintenance due: ")&amp;P945)</f>
        <v/>
      </c>
    </row>
    <row r="946" ht="20" customHeight="1">
      <c r="B946" s="72" t="n"/>
      <c r="C946" s="72" t="n"/>
      <c r="D946" s="72" t="n"/>
      <c r="E946" s="109" t="n"/>
      <c r="F946" s="74" t="n"/>
      <c r="G946" s="126">
        <f>IF(OR(E946="",F946=""),"",DATE(YEAR(E946),MONTH(E946)+ROUND(F946*12,0),DAY(E946)))</f>
        <v/>
      </c>
      <c r="H946" s="144">
        <f>IF(G946="","",G946-AsOf)</f>
        <v/>
      </c>
      <c r="I946" s="107">
        <f>IF(G946="","",IF(H946&lt;0,"Expired",IF(H946&lt;=90,"Expires soon","Active")))</f>
        <v/>
      </c>
      <c r="J946" s="72" t="n"/>
      <c r="K946" s="79">
        <f>IF(I946="","",IF(I946="Active",0,IF(I946="Expires soon",1,3)))</f>
        <v/>
      </c>
      <c r="L946" s="112">
        <f>IF(G946="","",IF(G946&lt;AsOf,"",G946))</f>
        <v/>
      </c>
      <c r="M946" s="79">
        <f>IF(L946="","",IF(L946&lt;=AsOf+AlertDays,2,IF(L946&lt;=AsOf+90,3,"")))</f>
        <v/>
      </c>
      <c r="N946" s="79">
        <f>IF(M946="","","Warranty expires in "&amp;H946&amp;" days: "&amp;B946&amp;IF(C946="",""," ("&amp;C946&amp;")")&amp;" — check for defects")</f>
        <v/>
      </c>
      <c r="P946" s="72" t="n"/>
      <c r="Q946" s="72" t="n"/>
      <c r="R946" s="89" t="n"/>
      <c r="S946" s="109" t="n"/>
      <c r="T946" s="126">
        <f>IF(OR(R946="",S946=""),"",DATE(YEAR(S946),MONTH(S946)+R946,DAY(S946)))</f>
        <v/>
      </c>
      <c r="U946" s="144">
        <f>IF(T946="","",T946-AsOf)</f>
        <v/>
      </c>
      <c r="V946" s="107">
        <f>IF(T946="",IF(P946="","","Enter last-done date"),IF(U946&lt;0,"Overdue",IF(U946&lt;=30,"Due soon","OK")))</f>
        <v/>
      </c>
      <c r="W946" s="79">
        <f>IF(T946="","",IF(U946&lt;0,2,IF(U946&lt;=30,1,0)))</f>
        <v/>
      </c>
      <c r="X946" s="112">
        <f>IF(T946="","",T946)</f>
        <v/>
      </c>
      <c r="Y946" s="79">
        <f>IF(X946="","",IF(X946&lt;=AsOf+AlertDays,2,IF(X946&lt;=AsOf+30,3,"")))</f>
        <v/>
      </c>
      <c r="Z946" s="79">
        <f>IF(Y946="","",IF(U946&lt;0,"Maintenance overdue: ","Maintenance due: ")&amp;P946)</f>
        <v/>
      </c>
    </row>
    <row r="947" ht="20" customHeight="1">
      <c r="B947" s="72" t="n"/>
      <c r="C947" s="72" t="n"/>
      <c r="D947" s="72" t="n"/>
      <c r="E947" s="109" t="n"/>
      <c r="F947" s="74" t="n"/>
      <c r="G947" s="126">
        <f>IF(OR(E947="",F947=""),"",DATE(YEAR(E947),MONTH(E947)+ROUND(F947*12,0),DAY(E947)))</f>
        <v/>
      </c>
      <c r="H947" s="144">
        <f>IF(G947="","",G947-AsOf)</f>
        <v/>
      </c>
      <c r="I947" s="107">
        <f>IF(G947="","",IF(H947&lt;0,"Expired",IF(H947&lt;=90,"Expires soon","Active")))</f>
        <v/>
      </c>
      <c r="J947" s="72" t="n"/>
      <c r="K947" s="79">
        <f>IF(I947="","",IF(I947="Active",0,IF(I947="Expires soon",1,3)))</f>
        <v/>
      </c>
      <c r="L947" s="112">
        <f>IF(G947="","",IF(G947&lt;AsOf,"",G947))</f>
        <v/>
      </c>
      <c r="M947" s="79">
        <f>IF(L947="","",IF(L947&lt;=AsOf+AlertDays,2,IF(L947&lt;=AsOf+90,3,"")))</f>
        <v/>
      </c>
      <c r="N947" s="79">
        <f>IF(M947="","","Warranty expires in "&amp;H947&amp;" days: "&amp;B947&amp;IF(C947="",""," ("&amp;C947&amp;")")&amp;" — check for defects")</f>
        <v/>
      </c>
      <c r="P947" s="72" t="n"/>
      <c r="Q947" s="72" t="n"/>
      <c r="R947" s="89" t="n"/>
      <c r="S947" s="109" t="n"/>
      <c r="T947" s="126">
        <f>IF(OR(R947="",S947=""),"",DATE(YEAR(S947),MONTH(S947)+R947,DAY(S947)))</f>
        <v/>
      </c>
      <c r="U947" s="144">
        <f>IF(T947="","",T947-AsOf)</f>
        <v/>
      </c>
      <c r="V947" s="107">
        <f>IF(T947="",IF(P947="","","Enter last-done date"),IF(U947&lt;0,"Overdue",IF(U947&lt;=30,"Due soon","OK")))</f>
        <v/>
      </c>
      <c r="W947" s="79">
        <f>IF(T947="","",IF(U947&lt;0,2,IF(U947&lt;=30,1,0)))</f>
        <v/>
      </c>
      <c r="X947" s="112">
        <f>IF(T947="","",T947)</f>
        <v/>
      </c>
      <c r="Y947" s="79">
        <f>IF(X947="","",IF(X947&lt;=AsOf+AlertDays,2,IF(X947&lt;=AsOf+30,3,"")))</f>
        <v/>
      </c>
      <c r="Z947" s="79">
        <f>IF(Y947="","",IF(U947&lt;0,"Maintenance overdue: ","Maintenance due: ")&amp;P947)</f>
        <v/>
      </c>
    </row>
    <row r="948" ht="20" customHeight="1">
      <c r="B948" s="72" t="n"/>
      <c r="C948" s="72" t="n"/>
      <c r="D948" s="72" t="n"/>
      <c r="E948" s="109" t="n"/>
      <c r="F948" s="74" t="n"/>
      <c r="G948" s="126">
        <f>IF(OR(E948="",F948=""),"",DATE(YEAR(E948),MONTH(E948)+ROUND(F948*12,0),DAY(E948)))</f>
        <v/>
      </c>
      <c r="H948" s="144">
        <f>IF(G948="","",G948-AsOf)</f>
        <v/>
      </c>
      <c r="I948" s="107">
        <f>IF(G948="","",IF(H948&lt;0,"Expired",IF(H948&lt;=90,"Expires soon","Active")))</f>
        <v/>
      </c>
      <c r="J948" s="72" t="n"/>
      <c r="K948" s="79">
        <f>IF(I948="","",IF(I948="Active",0,IF(I948="Expires soon",1,3)))</f>
        <v/>
      </c>
      <c r="L948" s="112">
        <f>IF(G948="","",IF(G948&lt;AsOf,"",G948))</f>
        <v/>
      </c>
      <c r="M948" s="79">
        <f>IF(L948="","",IF(L948&lt;=AsOf+AlertDays,2,IF(L948&lt;=AsOf+90,3,"")))</f>
        <v/>
      </c>
      <c r="N948" s="79">
        <f>IF(M948="","","Warranty expires in "&amp;H948&amp;" days: "&amp;B948&amp;IF(C948="",""," ("&amp;C948&amp;")")&amp;" — check for defects")</f>
        <v/>
      </c>
      <c r="P948" s="72" t="n"/>
      <c r="Q948" s="72" t="n"/>
      <c r="R948" s="89" t="n"/>
      <c r="S948" s="109" t="n"/>
      <c r="T948" s="126">
        <f>IF(OR(R948="",S948=""),"",DATE(YEAR(S948),MONTH(S948)+R948,DAY(S948)))</f>
        <v/>
      </c>
      <c r="U948" s="144">
        <f>IF(T948="","",T948-AsOf)</f>
        <v/>
      </c>
      <c r="V948" s="107">
        <f>IF(T948="",IF(P948="","","Enter last-done date"),IF(U948&lt;0,"Overdue",IF(U948&lt;=30,"Due soon","OK")))</f>
        <v/>
      </c>
      <c r="W948" s="79">
        <f>IF(T948="","",IF(U948&lt;0,2,IF(U948&lt;=30,1,0)))</f>
        <v/>
      </c>
      <c r="X948" s="112">
        <f>IF(T948="","",T948)</f>
        <v/>
      </c>
      <c r="Y948" s="79">
        <f>IF(X948="","",IF(X948&lt;=AsOf+AlertDays,2,IF(X948&lt;=AsOf+30,3,"")))</f>
        <v/>
      </c>
      <c r="Z948" s="79">
        <f>IF(Y948="","",IF(U948&lt;0,"Maintenance overdue: ","Maintenance due: ")&amp;P948)</f>
        <v/>
      </c>
    </row>
    <row r="949" ht="20" customHeight="1">
      <c r="B949" s="72" t="n"/>
      <c r="C949" s="72" t="n"/>
      <c r="D949" s="72" t="n"/>
      <c r="E949" s="109" t="n"/>
      <c r="F949" s="74" t="n"/>
      <c r="G949" s="126">
        <f>IF(OR(E949="",F949=""),"",DATE(YEAR(E949),MONTH(E949)+ROUND(F949*12,0),DAY(E949)))</f>
        <v/>
      </c>
      <c r="H949" s="144">
        <f>IF(G949="","",G949-AsOf)</f>
        <v/>
      </c>
      <c r="I949" s="107">
        <f>IF(G949="","",IF(H949&lt;0,"Expired",IF(H949&lt;=90,"Expires soon","Active")))</f>
        <v/>
      </c>
      <c r="J949" s="72" t="n"/>
      <c r="K949" s="79">
        <f>IF(I949="","",IF(I949="Active",0,IF(I949="Expires soon",1,3)))</f>
        <v/>
      </c>
      <c r="L949" s="112">
        <f>IF(G949="","",IF(G949&lt;AsOf,"",G949))</f>
        <v/>
      </c>
      <c r="M949" s="79">
        <f>IF(L949="","",IF(L949&lt;=AsOf+AlertDays,2,IF(L949&lt;=AsOf+90,3,"")))</f>
        <v/>
      </c>
      <c r="N949" s="79">
        <f>IF(M949="","","Warranty expires in "&amp;H949&amp;" days: "&amp;B949&amp;IF(C949="",""," ("&amp;C949&amp;")")&amp;" — check for defects")</f>
        <v/>
      </c>
      <c r="P949" s="72" t="n"/>
      <c r="Q949" s="72" t="n"/>
      <c r="R949" s="89" t="n"/>
      <c r="S949" s="109" t="n"/>
      <c r="T949" s="126">
        <f>IF(OR(R949="",S949=""),"",DATE(YEAR(S949),MONTH(S949)+R949,DAY(S949)))</f>
        <v/>
      </c>
      <c r="U949" s="144">
        <f>IF(T949="","",T949-AsOf)</f>
        <v/>
      </c>
      <c r="V949" s="107">
        <f>IF(T949="",IF(P949="","","Enter last-done date"),IF(U949&lt;0,"Overdue",IF(U949&lt;=30,"Due soon","OK")))</f>
        <v/>
      </c>
      <c r="W949" s="79">
        <f>IF(T949="","",IF(U949&lt;0,2,IF(U949&lt;=30,1,0)))</f>
        <v/>
      </c>
      <c r="X949" s="112">
        <f>IF(T949="","",T949)</f>
        <v/>
      </c>
      <c r="Y949" s="79">
        <f>IF(X949="","",IF(X949&lt;=AsOf+AlertDays,2,IF(X949&lt;=AsOf+30,3,"")))</f>
        <v/>
      </c>
      <c r="Z949" s="79">
        <f>IF(Y949="","",IF(U949&lt;0,"Maintenance overdue: ","Maintenance due: ")&amp;P949)</f>
        <v/>
      </c>
    </row>
    <row r="950" ht="20" customHeight="1">
      <c r="B950" s="72" t="n"/>
      <c r="C950" s="72" t="n"/>
      <c r="D950" s="72" t="n"/>
      <c r="E950" s="109" t="n"/>
      <c r="F950" s="74" t="n"/>
      <c r="G950" s="126">
        <f>IF(OR(E950="",F950=""),"",DATE(YEAR(E950),MONTH(E950)+ROUND(F950*12,0),DAY(E950)))</f>
        <v/>
      </c>
      <c r="H950" s="144">
        <f>IF(G950="","",G950-AsOf)</f>
        <v/>
      </c>
      <c r="I950" s="107">
        <f>IF(G950="","",IF(H950&lt;0,"Expired",IF(H950&lt;=90,"Expires soon","Active")))</f>
        <v/>
      </c>
      <c r="J950" s="72" t="n"/>
      <c r="K950" s="79">
        <f>IF(I950="","",IF(I950="Active",0,IF(I950="Expires soon",1,3)))</f>
        <v/>
      </c>
      <c r="L950" s="112">
        <f>IF(G950="","",IF(G950&lt;AsOf,"",G950))</f>
        <v/>
      </c>
      <c r="M950" s="79">
        <f>IF(L950="","",IF(L950&lt;=AsOf+AlertDays,2,IF(L950&lt;=AsOf+90,3,"")))</f>
        <v/>
      </c>
      <c r="N950" s="79">
        <f>IF(M950="","","Warranty expires in "&amp;H950&amp;" days: "&amp;B950&amp;IF(C950="",""," ("&amp;C950&amp;")")&amp;" — check for defects")</f>
        <v/>
      </c>
      <c r="P950" s="72" t="n"/>
      <c r="Q950" s="72" t="n"/>
      <c r="R950" s="89" t="n"/>
      <c r="S950" s="109" t="n"/>
      <c r="T950" s="126">
        <f>IF(OR(R950="",S950=""),"",DATE(YEAR(S950),MONTH(S950)+R950,DAY(S950)))</f>
        <v/>
      </c>
      <c r="U950" s="144">
        <f>IF(T950="","",T950-AsOf)</f>
        <v/>
      </c>
      <c r="V950" s="107">
        <f>IF(T950="",IF(P950="","","Enter last-done date"),IF(U950&lt;0,"Overdue",IF(U950&lt;=30,"Due soon","OK")))</f>
        <v/>
      </c>
      <c r="W950" s="79">
        <f>IF(T950="","",IF(U950&lt;0,2,IF(U950&lt;=30,1,0)))</f>
        <v/>
      </c>
      <c r="X950" s="112">
        <f>IF(T950="","",T950)</f>
        <v/>
      </c>
      <c r="Y950" s="79">
        <f>IF(X950="","",IF(X950&lt;=AsOf+AlertDays,2,IF(X950&lt;=AsOf+30,3,"")))</f>
        <v/>
      </c>
      <c r="Z950" s="79">
        <f>IF(Y950="","",IF(U950&lt;0,"Maintenance overdue: ","Maintenance due: ")&amp;P950)</f>
        <v/>
      </c>
    </row>
    <row r="951" ht="20" customHeight="1">
      <c r="B951" s="72" t="n"/>
      <c r="C951" s="72" t="n"/>
      <c r="D951" s="72" t="n"/>
      <c r="E951" s="109" t="n"/>
      <c r="F951" s="74" t="n"/>
      <c r="G951" s="126">
        <f>IF(OR(E951="",F951=""),"",DATE(YEAR(E951),MONTH(E951)+ROUND(F951*12,0),DAY(E951)))</f>
        <v/>
      </c>
      <c r="H951" s="144">
        <f>IF(G951="","",G951-AsOf)</f>
        <v/>
      </c>
      <c r="I951" s="107">
        <f>IF(G951="","",IF(H951&lt;0,"Expired",IF(H951&lt;=90,"Expires soon","Active")))</f>
        <v/>
      </c>
      <c r="J951" s="72" t="n"/>
      <c r="K951" s="79">
        <f>IF(I951="","",IF(I951="Active",0,IF(I951="Expires soon",1,3)))</f>
        <v/>
      </c>
      <c r="L951" s="112">
        <f>IF(G951="","",IF(G951&lt;AsOf,"",G951))</f>
        <v/>
      </c>
      <c r="M951" s="79">
        <f>IF(L951="","",IF(L951&lt;=AsOf+AlertDays,2,IF(L951&lt;=AsOf+90,3,"")))</f>
        <v/>
      </c>
      <c r="N951" s="79">
        <f>IF(M951="","","Warranty expires in "&amp;H951&amp;" days: "&amp;B951&amp;IF(C951="",""," ("&amp;C951&amp;")")&amp;" — check for defects")</f>
        <v/>
      </c>
      <c r="P951" s="72" t="n"/>
      <c r="Q951" s="72" t="n"/>
      <c r="R951" s="89" t="n"/>
      <c r="S951" s="109" t="n"/>
      <c r="T951" s="126">
        <f>IF(OR(R951="",S951=""),"",DATE(YEAR(S951),MONTH(S951)+R951,DAY(S951)))</f>
        <v/>
      </c>
      <c r="U951" s="144">
        <f>IF(T951="","",T951-AsOf)</f>
        <v/>
      </c>
      <c r="V951" s="107">
        <f>IF(T951="",IF(P951="","","Enter last-done date"),IF(U951&lt;0,"Overdue",IF(U951&lt;=30,"Due soon","OK")))</f>
        <v/>
      </c>
      <c r="W951" s="79">
        <f>IF(T951="","",IF(U951&lt;0,2,IF(U951&lt;=30,1,0)))</f>
        <v/>
      </c>
      <c r="X951" s="112">
        <f>IF(T951="","",T951)</f>
        <v/>
      </c>
      <c r="Y951" s="79">
        <f>IF(X951="","",IF(X951&lt;=AsOf+AlertDays,2,IF(X951&lt;=AsOf+30,3,"")))</f>
        <v/>
      </c>
      <c r="Z951" s="79">
        <f>IF(Y951="","",IF(U951&lt;0,"Maintenance overdue: ","Maintenance due: ")&amp;P951)</f>
        <v/>
      </c>
    </row>
    <row r="952" ht="20" customHeight="1">
      <c r="B952" s="72" t="n"/>
      <c r="C952" s="72" t="n"/>
      <c r="D952" s="72" t="n"/>
      <c r="E952" s="109" t="n"/>
      <c r="F952" s="74" t="n"/>
      <c r="G952" s="126">
        <f>IF(OR(E952="",F952=""),"",DATE(YEAR(E952),MONTH(E952)+ROUND(F952*12,0),DAY(E952)))</f>
        <v/>
      </c>
      <c r="H952" s="144">
        <f>IF(G952="","",G952-AsOf)</f>
        <v/>
      </c>
      <c r="I952" s="107">
        <f>IF(G952="","",IF(H952&lt;0,"Expired",IF(H952&lt;=90,"Expires soon","Active")))</f>
        <v/>
      </c>
      <c r="J952" s="72" t="n"/>
      <c r="K952" s="79">
        <f>IF(I952="","",IF(I952="Active",0,IF(I952="Expires soon",1,3)))</f>
        <v/>
      </c>
      <c r="L952" s="112">
        <f>IF(G952="","",IF(G952&lt;AsOf,"",G952))</f>
        <v/>
      </c>
      <c r="M952" s="79">
        <f>IF(L952="","",IF(L952&lt;=AsOf+AlertDays,2,IF(L952&lt;=AsOf+90,3,"")))</f>
        <v/>
      </c>
      <c r="N952" s="79">
        <f>IF(M952="","","Warranty expires in "&amp;H952&amp;" days: "&amp;B952&amp;IF(C952="",""," ("&amp;C952&amp;")")&amp;" — check for defects")</f>
        <v/>
      </c>
      <c r="P952" s="72" t="n"/>
      <c r="Q952" s="72" t="n"/>
      <c r="R952" s="89" t="n"/>
      <c r="S952" s="109" t="n"/>
      <c r="T952" s="126">
        <f>IF(OR(R952="",S952=""),"",DATE(YEAR(S952),MONTH(S952)+R952,DAY(S952)))</f>
        <v/>
      </c>
      <c r="U952" s="144">
        <f>IF(T952="","",T952-AsOf)</f>
        <v/>
      </c>
      <c r="V952" s="107">
        <f>IF(T952="",IF(P952="","","Enter last-done date"),IF(U952&lt;0,"Overdue",IF(U952&lt;=30,"Due soon","OK")))</f>
        <v/>
      </c>
      <c r="W952" s="79">
        <f>IF(T952="","",IF(U952&lt;0,2,IF(U952&lt;=30,1,0)))</f>
        <v/>
      </c>
      <c r="X952" s="112">
        <f>IF(T952="","",T952)</f>
        <v/>
      </c>
      <c r="Y952" s="79">
        <f>IF(X952="","",IF(X952&lt;=AsOf+AlertDays,2,IF(X952&lt;=AsOf+30,3,"")))</f>
        <v/>
      </c>
      <c r="Z952" s="79">
        <f>IF(Y952="","",IF(U952&lt;0,"Maintenance overdue: ","Maintenance due: ")&amp;P952)</f>
        <v/>
      </c>
    </row>
    <row r="953" ht="20" customHeight="1">
      <c r="B953" s="72" t="n"/>
      <c r="C953" s="72" t="n"/>
      <c r="D953" s="72" t="n"/>
      <c r="E953" s="109" t="n"/>
      <c r="F953" s="74" t="n"/>
      <c r="G953" s="126">
        <f>IF(OR(E953="",F953=""),"",DATE(YEAR(E953),MONTH(E953)+ROUND(F953*12,0),DAY(E953)))</f>
        <v/>
      </c>
      <c r="H953" s="144">
        <f>IF(G953="","",G953-AsOf)</f>
        <v/>
      </c>
      <c r="I953" s="107">
        <f>IF(G953="","",IF(H953&lt;0,"Expired",IF(H953&lt;=90,"Expires soon","Active")))</f>
        <v/>
      </c>
      <c r="J953" s="72" t="n"/>
      <c r="K953" s="79">
        <f>IF(I953="","",IF(I953="Active",0,IF(I953="Expires soon",1,3)))</f>
        <v/>
      </c>
      <c r="L953" s="112">
        <f>IF(G953="","",IF(G953&lt;AsOf,"",G953))</f>
        <v/>
      </c>
      <c r="M953" s="79">
        <f>IF(L953="","",IF(L953&lt;=AsOf+AlertDays,2,IF(L953&lt;=AsOf+90,3,"")))</f>
        <v/>
      </c>
      <c r="N953" s="79">
        <f>IF(M953="","","Warranty expires in "&amp;H953&amp;" days: "&amp;B953&amp;IF(C953="",""," ("&amp;C953&amp;")")&amp;" — check for defects")</f>
        <v/>
      </c>
      <c r="P953" s="72" t="n"/>
      <c r="Q953" s="72" t="n"/>
      <c r="R953" s="89" t="n"/>
      <c r="S953" s="109" t="n"/>
      <c r="T953" s="126">
        <f>IF(OR(R953="",S953=""),"",DATE(YEAR(S953),MONTH(S953)+R953,DAY(S953)))</f>
        <v/>
      </c>
      <c r="U953" s="144">
        <f>IF(T953="","",T953-AsOf)</f>
        <v/>
      </c>
      <c r="V953" s="107">
        <f>IF(T953="",IF(P953="","","Enter last-done date"),IF(U953&lt;0,"Overdue",IF(U953&lt;=30,"Due soon","OK")))</f>
        <v/>
      </c>
      <c r="W953" s="79">
        <f>IF(T953="","",IF(U953&lt;0,2,IF(U953&lt;=30,1,0)))</f>
        <v/>
      </c>
      <c r="X953" s="112">
        <f>IF(T953="","",T953)</f>
        <v/>
      </c>
      <c r="Y953" s="79">
        <f>IF(X953="","",IF(X953&lt;=AsOf+AlertDays,2,IF(X953&lt;=AsOf+30,3,"")))</f>
        <v/>
      </c>
      <c r="Z953" s="79">
        <f>IF(Y953="","",IF(U953&lt;0,"Maintenance overdue: ","Maintenance due: ")&amp;P953)</f>
        <v/>
      </c>
    </row>
    <row r="954" ht="20" customHeight="1">
      <c r="B954" s="72" t="n"/>
      <c r="C954" s="72" t="n"/>
      <c r="D954" s="72" t="n"/>
      <c r="E954" s="109" t="n"/>
      <c r="F954" s="74" t="n"/>
      <c r="G954" s="126">
        <f>IF(OR(E954="",F954=""),"",DATE(YEAR(E954),MONTH(E954)+ROUND(F954*12,0),DAY(E954)))</f>
        <v/>
      </c>
      <c r="H954" s="144">
        <f>IF(G954="","",G954-AsOf)</f>
        <v/>
      </c>
      <c r="I954" s="107">
        <f>IF(G954="","",IF(H954&lt;0,"Expired",IF(H954&lt;=90,"Expires soon","Active")))</f>
        <v/>
      </c>
      <c r="J954" s="72" t="n"/>
      <c r="K954" s="79">
        <f>IF(I954="","",IF(I954="Active",0,IF(I954="Expires soon",1,3)))</f>
        <v/>
      </c>
      <c r="L954" s="112">
        <f>IF(G954="","",IF(G954&lt;AsOf,"",G954))</f>
        <v/>
      </c>
      <c r="M954" s="79">
        <f>IF(L954="","",IF(L954&lt;=AsOf+AlertDays,2,IF(L954&lt;=AsOf+90,3,"")))</f>
        <v/>
      </c>
      <c r="N954" s="79">
        <f>IF(M954="","","Warranty expires in "&amp;H954&amp;" days: "&amp;B954&amp;IF(C954="",""," ("&amp;C954&amp;")")&amp;" — check for defects")</f>
        <v/>
      </c>
      <c r="P954" s="72" t="n"/>
      <c r="Q954" s="72" t="n"/>
      <c r="R954" s="89" t="n"/>
      <c r="S954" s="109" t="n"/>
      <c r="T954" s="126">
        <f>IF(OR(R954="",S954=""),"",DATE(YEAR(S954),MONTH(S954)+R954,DAY(S954)))</f>
        <v/>
      </c>
      <c r="U954" s="144">
        <f>IF(T954="","",T954-AsOf)</f>
        <v/>
      </c>
      <c r="V954" s="107">
        <f>IF(T954="",IF(P954="","","Enter last-done date"),IF(U954&lt;0,"Overdue",IF(U954&lt;=30,"Due soon","OK")))</f>
        <v/>
      </c>
      <c r="W954" s="79">
        <f>IF(T954="","",IF(U954&lt;0,2,IF(U954&lt;=30,1,0)))</f>
        <v/>
      </c>
      <c r="X954" s="112">
        <f>IF(T954="","",T954)</f>
        <v/>
      </c>
      <c r="Y954" s="79">
        <f>IF(X954="","",IF(X954&lt;=AsOf+AlertDays,2,IF(X954&lt;=AsOf+30,3,"")))</f>
        <v/>
      </c>
      <c r="Z954" s="79">
        <f>IF(Y954="","",IF(U954&lt;0,"Maintenance overdue: ","Maintenance due: ")&amp;P954)</f>
        <v/>
      </c>
    </row>
    <row r="955" ht="20" customHeight="1">
      <c r="B955" s="72" t="n"/>
      <c r="C955" s="72" t="n"/>
      <c r="D955" s="72" t="n"/>
      <c r="E955" s="109" t="n"/>
      <c r="F955" s="74" t="n"/>
      <c r="G955" s="126">
        <f>IF(OR(E955="",F955=""),"",DATE(YEAR(E955),MONTH(E955)+ROUND(F955*12,0),DAY(E955)))</f>
        <v/>
      </c>
      <c r="H955" s="144">
        <f>IF(G955="","",G955-AsOf)</f>
        <v/>
      </c>
      <c r="I955" s="107">
        <f>IF(G955="","",IF(H955&lt;0,"Expired",IF(H955&lt;=90,"Expires soon","Active")))</f>
        <v/>
      </c>
      <c r="J955" s="72" t="n"/>
      <c r="K955" s="79">
        <f>IF(I955="","",IF(I955="Active",0,IF(I955="Expires soon",1,3)))</f>
        <v/>
      </c>
      <c r="L955" s="112">
        <f>IF(G955="","",IF(G955&lt;AsOf,"",G955))</f>
        <v/>
      </c>
      <c r="M955" s="79">
        <f>IF(L955="","",IF(L955&lt;=AsOf+AlertDays,2,IF(L955&lt;=AsOf+90,3,"")))</f>
        <v/>
      </c>
      <c r="N955" s="79">
        <f>IF(M955="","","Warranty expires in "&amp;H955&amp;" days: "&amp;B955&amp;IF(C955="",""," ("&amp;C955&amp;")")&amp;" — check for defects")</f>
        <v/>
      </c>
      <c r="P955" s="72" t="n"/>
      <c r="Q955" s="72" t="n"/>
      <c r="R955" s="89" t="n"/>
      <c r="S955" s="109" t="n"/>
      <c r="T955" s="126">
        <f>IF(OR(R955="",S955=""),"",DATE(YEAR(S955),MONTH(S955)+R955,DAY(S955)))</f>
        <v/>
      </c>
      <c r="U955" s="144">
        <f>IF(T955="","",T955-AsOf)</f>
        <v/>
      </c>
      <c r="V955" s="107">
        <f>IF(T955="",IF(P955="","","Enter last-done date"),IF(U955&lt;0,"Overdue",IF(U955&lt;=30,"Due soon","OK")))</f>
        <v/>
      </c>
      <c r="W955" s="79">
        <f>IF(T955="","",IF(U955&lt;0,2,IF(U955&lt;=30,1,0)))</f>
        <v/>
      </c>
      <c r="X955" s="112">
        <f>IF(T955="","",T955)</f>
        <v/>
      </c>
      <c r="Y955" s="79">
        <f>IF(X955="","",IF(X955&lt;=AsOf+AlertDays,2,IF(X955&lt;=AsOf+30,3,"")))</f>
        <v/>
      </c>
      <c r="Z955" s="79">
        <f>IF(Y955="","",IF(U955&lt;0,"Maintenance overdue: ","Maintenance due: ")&amp;P955)</f>
        <v/>
      </c>
    </row>
    <row r="956" ht="20" customHeight="1">
      <c r="B956" s="72" t="n"/>
      <c r="C956" s="72" t="n"/>
      <c r="D956" s="72" t="n"/>
      <c r="E956" s="109" t="n"/>
      <c r="F956" s="74" t="n"/>
      <c r="G956" s="126">
        <f>IF(OR(E956="",F956=""),"",DATE(YEAR(E956),MONTH(E956)+ROUND(F956*12,0),DAY(E956)))</f>
        <v/>
      </c>
      <c r="H956" s="144">
        <f>IF(G956="","",G956-AsOf)</f>
        <v/>
      </c>
      <c r="I956" s="107">
        <f>IF(G956="","",IF(H956&lt;0,"Expired",IF(H956&lt;=90,"Expires soon","Active")))</f>
        <v/>
      </c>
      <c r="J956" s="72" t="n"/>
      <c r="K956" s="79">
        <f>IF(I956="","",IF(I956="Active",0,IF(I956="Expires soon",1,3)))</f>
        <v/>
      </c>
      <c r="L956" s="112">
        <f>IF(G956="","",IF(G956&lt;AsOf,"",G956))</f>
        <v/>
      </c>
      <c r="M956" s="79">
        <f>IF(L956="","",IF(L956&lt;=AsOf+AlertDays,2,IF(L956&lt;=AsOf+90,3,"")))</f>
        <v/>
      </c>
      <c r="N956" s="79">
        <f>IF(M956="","","Warranty expires in "&amp;H956&amp;" days: "&amp;B956&amp;IF(C956="",""," ("&amp;C956&amp;")")&amp;" — check for defects")</f>
        <v/>
      </c>
      <c r="P956" s="72" t="n"/>
      <c r="Q956" s="72" t="n"/>
      <c r="R956" s="89" t="n"/>
      <c r="S956" s="109" t="n"/>
      <c r="T956" s="126">
        <f>IF(OR(R956="",S956=""),"",DATE(YEAR(S956),MONTH(S956)+R956,DAY(S956)))</f>
        <v/>
      </c>
      <c r="U956" s="144">
        <f>IF(T956="","",T956-AsOf)</f>
        <v/>
      </c>
      <c r="V956" s="107">
        <f>IF(T956="",IF(P956="","","Enter last-done date"),IF(U956&lt;0,"Overdue",IF(U956&lt;=30,"Due soon","OK")))</f>
        <v/>
      </c>
      <c r="W956" s="79">
        <f>IF(T956="","",IF(U956&lt;0,2,IF(U956&lt;=30,1,0)))</f>
        <v/>
      </c>
      <c r="X956" s="112">
        <f>IF(T956="","",T956)</f>
        <v/>
      </c>
      <c r="Y956" s="79">
        <f>IF(X956="","",IF(X956&lt;=AsOf+AlertDays,2,IF(X956&lt;=AsOf+30,3,"")))</f>
        <v/>
      </c>
      <c r="Z956" s="79">
        <f>IF(Y956="","",IF(U956&lt;0,"Maintenance overdue: ","Maintenance due: ")&amp;P956)</f>
        <v/>
      </c>
    </row>
    <row r="957" ht="20" customHeight="1">
      <c r="B957" s="72" t="n"/>
      <c r="C957" s="72" t="n"/>
      <c r="D957" s="72" t="n"/>
      <c r="E957" s="109" t="n"/>
      <c r="F957" s="74" t="n"/>
      <c r="G957" s="126">
        <f>IF(OR(E957="",F957=""),"",DATE(YEAR(E957),MONTH(E957)+ROUND(F957*12,0),DAY(E957)))</f>
        <v/>
      </c>
      <c r="H957" s="144">
        <f>IF(G957="","",G957-AsOf)</f>
        <v/>
      </c>
      <c r="I957" s="107">
        <f>IF(G957="","",IF(H957&lt;0,"Expired",IF(H957&lt;=90,"Expires soon","Active")))</f>
        <v/>
      </c>
      <c r="J957" s="72" t="n"/>
      <c r="K957" s="79">
        <f>IF(I957="","",IF(I957="Active",0,IF(I957="Expires soon",1,3)))</f>
        <v/>
      </c>
      <c r="L957" s="112">
        <f>IF(G957="","",IF(G957&lt;AsOf,"",G957))</f>
        <v/>
      </c>
      <c r="M957" s="79">
        <f>IF(L957="","",IF(L957&lt;=AsOf+AlertDays,2,IF(L957&lt;=AsOf+90,3,"")))</f>
        <v/>
      </c>
      <c r="N957" s="79">
        <f>IF(M957="","","Warranty expires in "&amp;H957&amp;" days: "&amp;B957&amp;IF(C957="",""," ("&amp;C957&amp;")")&amp;" — check for defects")</f>
        <v/>
      </c>
      <c r="P957" s="72" t="n"/>
      <c r="Q957" s="72" t="n"/>
      <c r="R957" s="89" t="n"/>
      <c r="S957" s="109" t="n"/>
      <c r="T957" s="126">
        <f>IF(OR(R957="",S957=""),"",DATE(YEAR(S957),MONTH(S957)+R957,DAY(S957)))</f>
        <v/>
      </c>
      <c r="U957" s="144">
        <f>IF(T957="","",T957-AsOf)</f>
        <v/>
      </c>
      <c r="V957" s="107">
        <f>IF(T957="",IF(P957="","","Enter last-done date"),IF(U957&lt;0,"Overdue",IF(U957&lt;=30,"Due soon","OK")))</f>
        <v/>
      </c>
      <c r="W957" s="79">
        <f>IF(T957="","",IF(U957&lt;0,2,IF(U957&lt;=30,1,0)))</f>
        <v/>
      </c>
      <c r="X957" s="112">
        <f>IF(T957="","",T957)</f>
        <v/>
      </c>
      <c r="Y957" s="79">
        <f>IF(X957="","",IF(X957&lt;=AsOf+AlertDays,2,IF(X957&lt;=AsOf+30,3,"")))</f>
        <v/>
      </c>
      <c r="Z957" s="79">
        <f>IF(Y957="","",IF(U957&lt;0,"Maintenance overdue: ","Maintenance due: ")&amp;P957)</f>
        <v/>
      </c>
    </row>
    <row r="958" ht="20" customHeight="1">
      <c r="B958" s="72" t="n"/>
      <c r="C958" s="72" t="n"/>
      <c r="D958" s="72" t="n"/>
      <c r="E958" s="109" t="n"/>
      <c r="F958" s="74" t="n"/>
      <c r="G958" s="126">
        <f>IF(OR(E958="",F958=""),"",DATE(YEAR(E958),MONTH(E958)+ROUND(F958*12,0),DAY(E958)))</f>
        <v/>
      </c>
      <c r="H958" s="144">
        <f>IF(G958="","",G958-AsOf)</f>
        <v/>
      </c>
      <c r="I958" s="107">
        <f>IF(G958="","",IF(H958&lt;0,"Expired",IF(H958&lt;=90,"Expires soon","Active")))</f>
        <v/>
      </c>
      <c r="J958" s="72" t="n"/>
      <c r="K958" s="79">
        <f>IF(I958="","",IF(I958="Active",0,IF(I958="Expires soon",1,3)))</f>
        <v/>
      </c>
      <c r="L958" s="112">
        <f>IF(G958="","",IF(G958&lt;AsOf,"",G958))</f>
        <v/>
      </c>
      <c r="M958" s="79">
        <f>IF(L958="","",IF(L958&lt;=AsOf+AlertDays,2,IF(L958&lt;=AsOf+90,3,"")))</f>
        <v/>
      </c>
      <c r="N958" s="79">
        <f>IF(M958="","","Warranty expires in "&amp;H958&amp;" days: "&amp;B958&amp;IF(C958="",""," ("&amp;C958&amp;")")&amp;" — check for defects")</f>
        <v/>
      </c>
      <c r="P958" s="72" t="n"/>
      <c r="Q958" s="72" t="n"/>
      <c r="R958" s="89" t="n"/>
      <c r="S958" s="109" t="n"/>
      <c r="T958" s="126">
        <f>IF(OR(R958="",S958=""),"",DATE(YEAR(S958),MONTH(S958)+R958,DAY(S958)))</f>
        <v/>
      </c>
      <c r="U958" s="144">
        <f>IF(T958="","",T958-AsOf)</f>
        <v/>
      </c>
      <c r="V958" s="107">
        <f>IF(T958="",IF(P958="","","Enter last-done date"),IF(U958&lt;0,"Overdue",IF(U958&lt;=30,"Due soon","OK")))</f>
        <v/>
      </c>
      <c r="W958" s="79">
        <f>IF(T958="","",IF(U958&lt;0,2,IF(U958&lt;=30,1,0)))</f>
        <v/>
      </c>
      <c r="X958" s="112">
        <f>IF(T958="","",T958)</f>
        <v/>
      </c>
      <c r="Y958" s="79">
        <f>IF(X958="","",IF(X958&lt;=AsOf+AlertDays,2,IF(X958&lt;=AsOf+30,3,"")))</f>
        <v/>
      </c>
      <c r="Z958" s="79">
        <f>IF(Y958="","",IF(U958&lt;0,"Maintenance overdue: ","Maintenance due: ")&amp;P958)</f>
        <v/>
      </c>
    </row>
    <row r="959" ht="20" customHeight="1">
      <c r="B959" s="72" t="n"/>
      <c r="C959" s="72" t="n"/>
      <c r="D959" s="72" t="n"/>
      <c r="E959" s="109" t="n"/>
      <c r="F959" s="74" t="n"/>
      <c r="G959" s="126">
        <f>IF(OR(E959="",F959=""),"",DATE(YEAR(E959),MONTH(E959)+ROUND(F959*12,0),DAY(E959)))</f>
        <v/>
      </c>
      <c r="H959" s="144">
        <f>IF(G959="","",G959-AsOf)</f>
        <v/>
      </c>
      <c r="I959" s="107">
        <f>IF(G959="","",IF(H959&lt;0,"Expired",IF(H959&lt;=90,"Expires soon","Active")))</f>
        <v/>
      </c>
      <c r="J959" s="72" t="n"/>
      <c r="K959" s="79">
        <f>IF(I959="","",IF(I959="Active",0,IF(I959="Expires soon",1,3)))</f>
        <v/>
      </c>
      <c r="L959" s="112">
        <f>IF(G959="","",IF(G959&lt;AsOf,"",G959))</f>
        <v/>
      </c>
      <c r="M959" s="79">
        <f>IF(L959="","",IF(L959&lt;=AsOf+AlertDays,2,IF(L959&lt;=AsOf+90,3,"")))</f>
        <v/>
      </c>
      <c r="N959" s="79">
        <f>IF(M959="","","Warranty expires in "&amp;H959&amp;" days: "&amp;B959&amp;IF(C959="",""," ("&amp;C959&amp;")")&amp;" — check for defects")</f>
        <v/>
      </c>
      <c r="P959" s="72" t="n"/>
      <c r="Q959" s="72" t="n"/>
      <c r="R959" s="89" t="n"/>
      <c r="S959" s="109" t="n"/>
      <c r="T959" s="126">
        <f>IF(OR(R959="",S959=""),"",DATE(YEAR(S959),MONTH(S959)+R959,DAY(S959)))</f>
        <v/>
      </c>
      <c r="U959" s="144">
        <f>IF(T959="","",T959-AsOf)</f>
        <v/>
      </c>
      <c r="V959" s="107">
        <f>IF(T959="",IF(P959="","","Enter last-done date"),IF(U959&lt;0,"Overdue",IF(U959&lt;=30,"Due soon","OK")))</f>
        <v/>
      </c>
      <c r="W959" s="79">
        <f>IF(T959="","",IF(U959&lt;0,2,IF(U959&lt;=30,1,0)))</f>
        <v/>
      </c>
      <c r="X959" s="112">
        <f>IF(T959="","",T959)</f>
        <v/>
      </c>
      <c r="Y959" s="79">
        <f>IF(X959="","",IF(X959&lt;=AsOf+AlertDays,2,IF(X959&lt;=AsOf+30,3,"")))</f>
        <v/>
      </c>
      <c r="Z959" s="79">
        <f>IF(Y959="","",IF(U959&lt;0,"Maintenance overdue: ","Maintenance due: ")&amp;P959)</f>
        <v/>
      </c>
    </row>
    <row r="960" ht="20" customHeight="1">
      <c r="B960" s="72" t="n"/>
      <c r="C960" s="72" t="n"/>
      <c r="D960" s="72" t="n"/>
      <c r="E960" s="109" t="n"/>
      <c r="F960" s="74" t="n"/>
      <c r="G960" s="126">
        <f>IF(OR(E960="",F960=""),"",DATE(YEAR(E960),MONTH(E960)+ROUND(F960*12,0),DAY(E960)))</f>
        <v/>
      </c>
      <c r="H960" s="144">
        <f>IF(G960="","",G960-AsOf)</f>
        <v/>
      </c>
      <c r="I960" s="107">
        <f>IF(G960="","",IF(H960&lt;0,"Expired",IF(H960&lt;=90,"Expires soon","Active")))</f>
        <v/>
      </c>
      <c r="J960" s="72" t="n"/>
      <c r="K960" s="79">
        <f>IF(I960="","",IF(I960="Active",0,IF(I960="Expires soon",1,3)))</f>
        <v/>
      </c>
      <c r="L960" s="112">
        <f>IF(G960="","",IF(G960&lt;AsOf,"",G960))</f>
        <v/>
      </c>
      <c r="M960" s="79">
        <f>IF(L960="","",IF(L960&lt;=AsOf+AlertDays,2,IF(L960&lt;=AsOf+90,3,"")))</f>
        <v/>
      </c>
      <c r="N960" s="79">
        <f>IF(M960="","","Warranty expires in "&amp;H960&amp;" days: "&amp;B960&amp;IF(C960="",""," ("&amp;C960&amp;")")&amp;" — check for defects")</f>
        <v/>
      </c>
      <c r="P960" s="72" t="n"/>
      <c r="Q960" s="72" t="n"/>
      <c r="R960" s="89" t="n"/>
      <c r="S960" s="109" t="n"/>
      <c r="T960" s="126">
        <f>IF(OR(R960="",S960=""),"",DATE(YEAR(S960),MONTH(S960)+R960,DAY(S960)))</f>
        <v/>
      </c>
      <c r="U960" s="144">
        <f>IF(T960="","",T960-AsOf)</f>
        <v/>
      </c>
      <c r="V960" s="107">
        <f>IF(T960="",IF(P960="","","Enter last-done date"),IF(U960&lt;0,"Overdue",IF(U960&lt;=30,"Due soon","OK")))</f>
        <v/>
      </c>
      <c r="W960" s="79">
        <f>IF(T960="","",IF(U960&lt;0,2,IF(U960&lt;=30,1,0)))</f>
        <v/>
      </c>
      <c r="X960" s="112">
        <f>IF(T960="","",T960)</f>
        <v/>
      </c>
      <c r="Y960" s="79">
        <f>IF(X960="","",IF(X960&lt;=AsOf+AlertDays,2,IF(X960&lt;=AsOf+30,3,"")))</f>
        <v/>
      </c>
      <c r="Z960" s="79">
        <f>IF(Y960="","",IF(U960&lt;0,"Maintenance overdue: ","Maintenance due: ")&amp;P960)</f>
        <v/>
      </c>
    </row>
    <row r="961" ht="20" customHeight="1">
      <c r="B961" s="72" t="n"/>
      <c r="C961" s="72" t="n"/>
      <c r="D961" s="72" t="n"/>
      <c r="E961" s="109" t="n"/>
      <c r="F961" s="74" t="n"/>
      <c r="G961" s="126">
        <f>IF(OR(E961="",F961=""),"",DATE(YEAR(E961),MONTH(E961)+ROUND(F961*12,0),DAY(E961)))</f>
        <v/>
      </c>
      <c r="H961" s="144">
        <f>IF(G961="","",G961-AsOf)</f>
        <v/>
      </c>
      <c r="I961" s="107">
        <f>IF(G961="","",IF(H961&lt;0,"Expired",IF(H961&lt;=90,"Expires soon","Active")))</f>
        <v/>
      </c>
      <c r="J961" s="72" t="n"/>
      <c r="K961" s="79">
        <f>IF(I961="","",IF(I961="Active",0,IF(I961="Expires soon",1,3)))</f>
        <v/>
      </c>
      <c r="L961" s="112">
        <f>IF(G961="","",IF(G961&lt;AsOf,"",G961))</f>
        <v/>
      </c>
      <c r="M961" s="79">
        <f>IF(L961="","",IF(L961&lt;=AsOf+AlertDays,2,IF(L961&lt;=AsOf+90,3,"")))</f>
        <v/>
      </c>
      <c r="N961" s="79">
        <f>IF(M961="","","Warranty expires in "&amp;H961&amp;" days: "&amp;B961&amp;IF(C961="",""," ("&amp;C961&amp;")")&amp;" — check for defects")</f>
        <v/>
      </c>
      <c r="P961" s="72" t="n"/>
      <c r="Q961" s="72" t="n"/>
      <c r="R961" s="89" t="n"/>
      <c r="S961" s="109" t="n"/>
      <c r="T961" s="126">
        <f>IF(OR(R961="",S961=""),"",DATE(YEAR(S961),MONTH(S961)+R961,DAY(S961)))</f>
        <v/>
      </c>
      <c r="U961" s="144">
        <f>IF(T961="","",T961-AsOf)</f>
        <v/>
      </c>
      <c r="V961" s="107">
        <f>IF(T961="",IF(P961="","","Enter last-done date"),IF(U961&lt;0,"Overdue",IF(U961&lt;=30,"Due soon","OK")))</f>
        <v/>
      </c>
      <c r="W961" s="79">
        <f>IF(T961="","",IF(U961&lt;0,2,IF(U961&lt;=30,1,0)))</f>
        <v/>
      </c>
      <c r="X961" s="112">
        <f>IF(T961="","",T961)</f>
        <v/>
      </c>
      <c r="Y961" s="79">
        <f>IF(X961="","",IF(X961&lt;=AsOf+AlertDays,2,IF(X961&lt;=AsOf+30,3,"")))</f>
        <v/>
      </c>
      <c r="Z961" s="79">
        <f>IF(Y961="","",IF(U961&lt;0,"Maintenance overdue: ","Maintenance due: ")&amp;P961)</f>
        <v/>
      </c>
    </row>
    <row r="962" ht="20" customHeight="1">
      <c r="B962" s="72" t="n"/>
      <c r="C962" s="72" t="n"/>
      <c r="D962" s="72" t="n"/>
      <c r="E962" s="109" t="n"/>
      <c r="F962" s="74" t="n"/>
      <c r="G962" s="126">
        <f>IF(OR(E962="",F962=""),"",DATE(YEAR(E962),MONTH(E962)+ROUND(F962*12,0),DAY(E962)))</f>
        <v/>
      </c>
      <c r="H962" s="144">
        <f>IF(G962="","",G962-AsOf)</f>
        <v/>
      </c>
      <c r="I962" s="107">
        <f>IF(G962="","",IF(H962&lt;0,"Expired",IF(H962&lt;=90,"Expires soon","Active")))</f>
        <v/>
      </c>
      <c r="J962" s="72" t="n"/>
      <c r="K962" s="79">
        <f>IF(I962="","",IF(I962="Active",0,IF(I962="Expires soon",1,3)))</f>
        <v/>
      </c>
      <c r="L962" s="112">
        <f>IF(G962="","",IF(G962&lt;AsOf,"",G962))</f>
        <v/>
      </c>
      <c r="M962" s="79">
        <f>IF(L962="","",IF(L962&lt;=AsOf+AlertDays,2,IF(L962&lt;=AsOf+90,3,"")))</f>
        <v/>
      </c>
      <c r="N962" s="79">
        <f>IF(M962="","","Warranty expires in "&amp;H962&amp;" days: "&amp;B962&amp;IF(C962="",""," ("&amp;C962&amp;")")&amp;" — check for defects")</f>
        <v/>
      </c>
      <c r="P962" s="72" t="n"/>
      <c r="Q962" s="72" t="n"/>
      <c r="R962" s="89" t="n"/>
      <c r="S962" s="109" t="n"/>
      <c r="T962" s="126">
        <f>IF(OR(R962="",S962=""),"",DATE(YEAR(S962),MONTH(S962)+R962,DAY(S962)))</f>
        <v/>
      </c>
      <c r="U962" s="144">
        <f>IF(T962="","",T962-AsOf)</f>
        <v/>
      </c>
      <c r="V962" s="107">
        <f>IF(T962="",IF(P962="","","Enter last-done date"),IF(U962&lt;0,"Overdue",IF(U962&lt;=30,"Due soon","OK")))</f>
        <v/>
      </c>
      <c r="W962" s="79">
        <f>IF(T962="","",IF(U962&lt;0,2,IF(U962&lt;=30,1,0)))</f>
        <v/>
      </c>
      <c r="X962" s="112">
        <f>IF(T962="","",T962)</f>
        <v/>
      </c>
      <c r="Y962" s="79">
        <f>IF(X962="","",IF(X962&lt;=AsOf+AlertDays,2,IF(X962&lt;=AsOf+30,3,"")))</f>
        <v/>
      </c>
      <c r="Z962" s="79">
        <f>IF(Y962="","",IF(U962&lt;0,"Maintenance overdue: ","Maintenance due: ")&amp;P962)</f>
        <v/>
      </c>
    </row>
    <row r="963" ht="20" customHeight="1">
      <c r="B963" s="72" t="n"/>
      <c r="C963" s="72" t="n"/>
      <c r="D963" s="72" t="n"/>
      <c r="E963" s="109" t="n"/>
      <c r="F963" s="74" t="n"/>
      <c r="G963" s="126">
        <f>IF(OR(E963="",F963=""),"",DATE(YEAR(E963),MONTH(E963)+ROUND(F963*12,0),DAY(E963)))</f>
        <v/>
      </c>
      <c r="H963" s="144">
        <f>IF(G963="","",G963-AsOf)</f>
        <v/>
      </c>
      <c r="I963" s="107">
        <f>IF(G963="","",IF(H963&lt;0,"Expired",IF(H963&lt;=90,"Expires soon","Active")))</f>
        <v/>
      </c>
      <c r="J963" s="72" t="n"/>
      <c r="K963" s="79">
        <f>IF(I963="","",IF(I963="Active",0,IF(I963="Expires soon",1,3)))</f>
        <v/>
      </c>
      <c r="L963" s="112">
        <f>IF(G963="","",IF(G963&lt;AsOf,"",G963))</f>
        <v/>
      </c>
      <c r="M963" s="79">
        <f>IF(L963="","",IF(L963&lt;=AsOf+AlertDays,2,IF(L963&lt;=AsOf+90,3,"")))</f>
        <v/>
      </c>
      <c r="N963" s="79">
        <f>IF(M963="","","Warranty expires in "&amp;H963&amp;" days: "&amp;B963&amp;IF(C963="",""," ("&amp;C963&amp;")")&amp;" — check for defects")</f>
        <v/>
      </c>
      <c r="P963" s="72" t="n"/>
      <c r="Q963" s="72" t="n"/>
      <c r="R963" s="89" t="n"/>
      <c r="S963" s="109" t="n"/>
      <c r="T963" s="126">
        <f>IF(OR(R963="",S963=""),"",DATE(YEAR(S963),MONTH(S963)+R963,DAY(S963)))</f>
        <v/>
      </c>
      <c r="U963" s="144">
        <f>IF(T963="","",T963-AsOf)</f>
        <v/>
      </c>
      <c r="V963" s="107">
        <f>IF(T963="",IF(P963="","","Enter last-done date"),IF(U963&lt;0,"Overdue",IF(U963&lt;=30,"Due soon","OK")))</f>
        <v/>
      </c>
      <c r="W963" s="79">
        <f>IF(T963="","",IF(U963&lt;0,2,IF(U963&lt;=30,1,0)))</f>
        <v/>
      </c>
      <c r="X963" s="112">
        <f>IF(T963="","",T963)</f>
        <v/>
      </c>
      <c r="Y963" s="79">
        <f>IF(X963="","",IF(X963&lt;=AsOf+AlertDays,2,IF(X963&lt;=AsOf+30,3,"")))</f>
        <v/>
      </c>
      <c r="Z963" s="79">
        <f>IF(Y963="","",IF(U963&lt;0,"Maintenance overdue: ","Maintenance due: ")&amp;P963)</f>
        <v/>
      </c>
    </row>
    <row r="964" ht="20" customHeight="1">
      <c r="B964" s="72" t="n"/>
      <c r="C964" s="72" t="n"/>
      <c r="D964" s="72" t="n"/>
      <c r="E964" s="109" t="n"/>
      <c r="F964" s="74" t="n"/>
      <c r="G964" s="126">
        <f>IF(OR(E964="",F964=""),"",DATE(YEAR(E964),MONTH(E964)+ROUND(F964*12,0),DAY(E964)))</f>
        <v/>
      </c>
      <c r="H964" s="144">
        <f>IF(G964="","",G964-AsOf)</f>
        <v/>
      </c>
      <c r="I964" s="107">
        <f>IF(G964="","",IF(H964&lt;0,"Expired",IF(H964&lt;=90,"Expires soon","Active")))</f>
        <v/>
      </c>
      <c r="J964" s="72" t="n"/>
      <c r="K964" s="79">
        <f>IF(I964="","",IF(I964="Active",0,IF(I964="Expires soon",1,3)))</f>
        <v/>
      </c>
      <c r="L964" s="112">
        <f>IF(G964="","",IF(G964&lt;AsOf,"",G964))</f>
        <v/>
      </c>
      <c r="M964" s="79">
        <f>IF(L964="","",IF(L964&lt;=AsOf+AlertDays,2,IF(L964&lt;=AsOf+90,3,"")))</f>
        <v/>
      </c>
      <c r="N964" s="79">
        <f>IF(M964="","","Warranty expires in "&amp;H964&amp;" days: "&amp;B964&amp;IF(C964="",""," ("&amp;C964&amp;")")&amp;" — check for defects")</f>
        <v/>
      </c>
      <c r="P964" s="72" t="n"/>
      <c r="Q964" s="72" t="n"/>
      <c r="R964" s="89" t="n"/>
      <c r="S964" s="109" t="n"/>
      <c r="T964" s="126">
        <f>IF(OR(R964="",S964=""),"",DATE(YEAR(S964),MONTH(S964)+R964,DAY(S964)))</f>
        <v/>
      </c>
      <c r="U964" s="144">
        <f>IF(T964="","",T964-AsOf)</f>
        <v/>
      </c>
      <c r="V964" s="107">
        <f>IF(T964="",IF(P964="","","Enter last-done date"),IF(U964&lt;0,"Overdue",IF(U964&lt;=30,"Due soon","OK")))</f>
        <v/>
      </c>
      <c r="W964" s="79">
        <f>IF(T964="","",IF(U964&lt;0,2,IF(U964&lt;=30,1,0)))</f>
        <v/>
      </c>
      <c r="X964" s="112">
        <f>IF(T964="","",T964)</f>
        <v/>
      </c>
      <c r="Y964" s="79">
        <f>IF(X964="","",IF(X964&lt;=AsOf+AlertDays,2,IF(X964&lt;=AsOf+30,3,"")))</f>
        <v/>
      </c>
      <c r="Z964" s="79">
        <f>IF(Y964="","",IF(U964&lt;0,"Maintenance overdue: ","Maintenance due: ")&amp;P964)</f>
        <v/>
      </c>
    </row>
    <row r="965" ht="20" customHeight="1">
      <c r="B965" s="72" t="n"/>
      <c r="C965" s="72" t="n"/>
      <c r="D965" s="72" t="n"/>
      <c r="E965" s="109" t="n"/>
      <c r="F965" s="74" t="n"/>
      <c r="G965" s="126">
        <f>IF(OR(E965="",F965=""),"",DATE(YEAR(E965),MONTH(E965)+ROUND(F965*12,0),DAY(E965)))</f>
        <v/>
      </c>
      <c r="H965" s="144">
        <f>IF(G965="","",G965-AsOf)</f>
        <v/>
      </c>
      <c r="I965" s="107">
        <f>IF(G965="","",IF(H965&lt;0,"Expired",IF(H965&lt;=90,"Expires soon","Active")))</f>
        <v/>
      </c>
      <c r="J965" s="72" t="n"/>
      <c r="K965" s="79">
        <f>IF(I965="","",IF(I965="Active",0,IF(I965="Expires soon",1,3)))</f>
        <v/>
      </c>
      <c r="L965" s="112">
        <f>IF(G965="","",IF(G965&lt;AsOf,"",G965))</f>
        <v/>
      </c>
      <c r="M965" s="79">
        <f>IF(L965="","",IF(L965&lt;=AsOf+AlertDays,2,IF(L965&lt;=AsOf+90,3,"")))</f>
        <v/>
      </c>
      <c r="N965" s="79">
        <f>IF(M965="","","Warranty expires in "&amp;H965&amp;" days: "&amp;B965&amp;IF(C965="",""," ("&amp;C965&amp;")")&amp;" — check for defects")</f>
        <v/>
      </c>
      <c r="P965" s="72" t="n"/>
      <c r="Q965" s="72" t="n"/>
      <c r="R965" s="89" t="n"/>
      <c r="S965" s="109" t="n"/>
      <c r="T965" s="126">
        <f>IF(OR(R965="",S965=""),"",DATE(YEAR(S965),MONTH(S965)+R965,DAY(S965)))</f>
        <v/>
      </c>
      <c r="U965" s="144">
        <f>IF(T965="","",T965-AsOf)</f>
        <v/>
      </c>
      <c r="V965" s="107">
        <f>IF(T965="",IF(P965="","","Enter last-done date"),IF(U965&lt;0,"Overdue",IF(U965&lt;=30,"Due soon","OK")))</f>
        <v/>
      </c>
      <c r="W965" s="79">
        <f>IF(T965="","",IF(U965&lt;0,2,IF(U965&lt;=30,1,0)))</f>
        <v/>
      </c>
      <c r="X965" s="112">
        <f>IF(T965="","",T965)</f>
        <v/>
      </c>
      <c r="Y965" s="79">
        <f>IF(X965="","",IF(X965&lt;=AsOf+AlertDays,2,IF(X965&lt;=AsOf+30,3,"")))</f>
        <v/>
      </c>
      <c r="Z965" s="79">
        <f>IF(Y965="","",IF(U965&lt;0,"Maintenance overdue: ","Maintenance due: ")&amp;P965)</f>
        <v/>
      </c>
    </row>
    <row r="966" ht="20" customHeight="1">
      <c r="B966" s="72" t="n"/>
      <c r="C966" s="72" t="n"/>
      <c r="D966" s="72" t="n"/>
      <c r="E966" s="109" t="n"/>
      <c r="F966" s="74" t="n"/>
      <c r="G966" s="126">
        <f>IF(OR(E966="",F966=""),"",DATE(YEAR(E966),MONTH(E966)+ROUND(F966*12,0),DAY(E966)))</f>
        <v/>
      </c>
      <c r="H966" s="144">
        <f>IF(G966="","",G966-AsOf)</f>
        <v/>
      </c>
      <c r="I966" s="107">
        <f>IF(G966="","",IF(H966&lt;0,"Expired",IF(H966&lt;=90,"Expires soon","Active")))</f>
        <v/>
      </c>
      <c r="J966" s="72" t="n"/>
      <c r="K966" s="79">
        <f>IF(I966="","",IF(I966="Active",0,IF(I966="Expires soon",1,3)))</f>
        <v/>
      </c>
      <c r="L966" s="112">
        <f>IF(G966="","",IF(G966&lt;AsOf,"",G966))</f>
        <v/>
      </c>
      <c r="M966" s="79">
        <f>IF(L966="","",IF(L966&lt;=AsOf+AlertDays,2,IF(L966&lt;=AsOf+90,3,"")))</f>
        <v/>
      </c>
      <c r="N966" s="79">
        <f>IF(M966="","","Warranty expires in "&amp;H966&amp;" days: "&amp;B966&amp;IF(C966="",""," ("&amp;C966&amp;")")&amp;" — check for defects")</f>
        <v/>
      </c>
      <c r="P966" s="72" t="n"/>
      <c r="Q966" s="72" t="n"/>
      <c r="R966" s="89" t="n"/>
      <c r="S966" s="109" t="n"/>
      <c r="T966" s="126">
        <f>IF(OR(R966="",S966=""),"",DATE(YEAR(S966),MONTH(S966)+R966,DAY(S966)))</f>
        <v/>
      </c>
      <c r="U966" s="144">
        <f>IF(T966="","",T966-AsOf)</f>
        <v/>
      </c>
      <c r="V966" s="107">
        <f>IF(T966="",IF(P966="","","Enter last-done date"),IF(U966&lt;0,"Overdue",IF(U966&lt;=30,"Due soon","OK")))</f>
        <v/>
      </c>
      <c r="W966" s="79">
        <f>IF(T966="","",IF(U966&lt;0,2,IF(U966&lt;=30,1,0)))</f>
        <v/>
      </c>
      <c r="X966" s="112">
        <f>IF(T966="","",T966)</f>
        <v/>
      </c>
      <c r="Y966" s="79">
        <f>IF(X966="","",IF(X966&lt;=AsOf+AlertDays,2,IF(X966&lt;=AsOf+30,3,"")))</f>
        <v/>
      </c>
      <c r="Z966" s="79">
        <f>IF(Y966="","",IF(U966&lt;0,"Maintenance overdue: ","Maintenance due: ")&amp;P966)</f>
        <v/>
      </c>
    </row>
    <row r="967" ht="20" customHeight="1">
      <c r="B967" s="72" t="n"/>
      <c r="C967" s="72" t="n"/>
      <c r="D967" s="72" t="n"/>
      <c r="E967" s="109" t="n"/>
      <c r="F967" s="74" t="n"/>
      <c r="G967" s="126">
        <f>IF(OR(E967="",F967=""),"",DATE(YEAR(E967),MONTH(E967)+ROUND(F967*12,0),DAY(E967)))</f>
        <v/>
      </c>
      <c r="H967" s="144">
        <f>IF(G967="","",G967-AsOf)</f>
        <v/>
      </c>
      <c r="I967" s="107">
        <f>IF(G967="","",IF(H967&lt;0,"Expired",IF(H967&lt;=90,"Expires soon","Active")))</f>
        <v/>
      </c>
      <c r="J967" s="72" t="n"/>
      <c r="K967" s="79">
        <f>IF(I967="","",IF(I967="Active",0,IF(I967="Expires soon",1,3)))</f>
        <v/>
      </c>
      <c r="L967" s="112">
        <f>IF(G967="","",IF(G967&lt;AsOf,"",G967))</f>
        <v/>
      </c>
      <c r="M967" s="79">
        <f>IF(L967="","",IF(L967&lt;=AsOf+AlertDays,2,IF(L967&lt;=AsOf+90,3,"")))</f>
        <v/>
      </c>
      <c r="N967" s="79">
        <f>IF(M967="","","Warranty expires in "&amp;H967&amp;" days: "&amp;B967&amp;IF(C967="",""," ("&amp;C967&amp;")")&amp;" — check for defects")</f>
        <v/>
      </c>
      <c r="P967" s="72" t="n"/>
      <c r="Q967" s="72" t="n"/>
      <c r="R967" s="89" t="n"/>
      <c r="S967" s="109" t="n"/>
      <c r="T967" s="126">
        <f>IF(OR(R967="",S967=""),"",DATE(YEAR(S967),MONTH(S967)+R967,DAY(S967)))</f>
        <v/>
      </c>
      <c r="U967" s="144">
        <f>IF(T967="","",T967-AsOf)</f>
        <v/>
      </c>
      <c r="V967" s="107">
        <f>IF(T967="",IF(P967="","","Enter last-done date"),IF(U967&lt;0,"Overdue",IF(U967&lt;=30,"Due soon","OK")))</f>
        <v/>
      </c>
      <c r="W967" s="79">
        <f>IF(T967="","",IF(U967&lt;0,2,IF(U967&lt;=30,1,0)))</f>
        <v/>
      </c>
      <c r="X967" s="112">
        <f>IF(T967="","",T967)</f>
        <v/>
      </c>
      <c r="Y967" s="79">
        <f>IF(X967="","",IF(X967&lt;=AsOf+AlertDays,2,IF(X967&lt;=AsOf+30,3,"")))</f>
        <v/>
      </c>
      <c r="Z967" s="79">
        <f>IF(Y967="","",IF(U967&lt;0,"Maintenance overdue: ","Maintenance due: ")&amp;P967)</f>
        <v/>
      </c>
    </row>
    <row r="968" ht="20" customHeight="1">
      <c r="B968" s="72" t="n"/>
      <c r="C968" s="72" t="n"/>
      <c r="D968" s="72" t="n"/>
      <c r="E968" s="109" t="n"/>
      <c r="F968" s="74" t="n"/>
      <c r="G968" s="126">
        <f>IF(OR(E968="",F968=""),"",DATE(YEAR(E968),MONTH(E968)+ROUND(F968*12,0),DAY(E968)))</f>
        <v/>
      </c>
      <c r="H968" s="144">
        <f>IF(G968="","",G968-AsOf)</f>
        <v/>
      </c>
      <c r="I968" s="107">
        <f>IF(G968="","",IF(H968&lt;0,"Expired",IF(H968&lt;=90,"Expires soon","Active")))</f>
        <v/>
      </c>
      <c r="J968" s="72" t="n"/>
      <c r="K968" s="79">
        <f>IF(I968="","",IF(I968="Active",0,IF(I968="Expires soon",1,3)))</f>
        <v/>
      </c>
      <c r="L968" s="112">
        <f>IF(G968="","",IF(G968&lt;AsOf,"",G968))</f>
        <v/>
      </c>
      <c r="M968" s="79">
        <f>IF(L968="","",IF(L968&lt;=AsOf+AlertDays,2,IF(L968&lt;=AsOf+90,3,"")))</f>
        <v/>
      </c>
      <c r="N968" s="79">
        <f>IF(M968="","","Warranty expires in "&amp;H968&amp;" days: "&amp;B968&amp;IF(C968="",""," ("&amp;C968&amp;")")&amp;" — check for defects")</f>
        <v/>
      </c>
      <c r="P968" s="72" t="n"/>
      <c r="Q968" s="72" t="n"/>
      <c r="R968" s="89" t="n"/>
      <c r="S968" s="109" t="n"/>
      <c r="T968" s="126">
        <f>IF(OR(R968="",S968=""),"",DATE(YEAR(S968),MONTH(S968)+R968,DAY(S968)))</f>
        <v/>
      </c>
      <c r="U968" s="144">
        <f>IF(T968="","",T968-AsOf)</f>
        <v/>
      </c>
      <c r="V968" s="107">
        <f>IF(T968="",IF(P968="","","Enter last-done date"),IF(U968&lt;0,"Overdue",IF(U968&lt;=30,"Due soon","OK")))</f>
        <v/>
      </c>
      <c r="W968" s="79">
        <f>IF(T968="","",IF(U968&lt;0,2,IF(U968&lt;=30,1,0)))</f>
        <v/>
      </c>
      <c r="X968" s="112">
        <f>IF(T968="","",T968)</f>
        <v/>
      </c>
      <c r="Y968" s="79">
        <f>IF(X968="","",IF(X968&lt;=AsOf+AlertDays,2,IF(X968&lt;=AsOf+30,3,"")))</f>
        <v/>
      </c>
      <c r="Z968" s="79">
        <f>IF(Y968="","",IF(U968&lt;0,"Maintenance overdue: ","Maintenance due: ")&amp;P968)</f>
        <v/>
      </c>
    </row>
    <row r="969" ht="20" customHeight="1">
      <c r="B969" s="72" t="n"/>
      <c r="C969" s="72" t="n"/>
      <c r="D969" s="72" t="n"/>
      <c r="E969" s="109" t="n"/>
      <c r="F969" s="74" t="n"/>
      <c r="G969" s="126">
        <f>IF(OR(E969="",F969=""),"",DATE(YEAR(E969),MONTH(E969)+ROUND(F969*12,0),DAY(E969)))</f>
        <v/>
      </c>
      <c r="H969" s="144">
        <f>IF(G969="","",G969-AsOf)</f>
        <v/>
      </c>
      <c r="I969" s="107">
        <f>IF(G969="","",IF(H969&lt;0,"Expired",IF(H969&lt;=90,"Expires soon","Active")))</f>
        <v/>
      </c>
      <c r="J969" s="72" t="n"/>
      <c r="K969" s="79">
        <f>IF(I969="","",IF(I969="Active",0,IF(I969="Expires soon",1,3)))</f>
        <v/>
      </c>
      <c r="L969" s="112">
        <f>IF(G969="","",IF(G969&lt;AsOf,"",G969))</f>
        <v/>
      </c>
      <c r="M969" s="79">
        <f>IF(L969="","",IF(L969&lt;=AsOf+AlertDays,2,IF(L969&lt;=AsOf+90,3,"")))</f>
        <v/>
      </c>
      <c r="N969" s="79">
        <f>IF(M969="","","Warranty expires in "&amp;H969&amp;" days: "&amp;B969&amp;IF(C969="",""," ("&amp;C969&amp;")")&amp;" — check for defects")</f>
        <v/>
      </c>
      <c r="P969" s="72" t="n"/>
      <c r="Q969" s="72" t="n"/>
      <c r="R969" s="89" t="n"/>
      <c r="S969" s="109" t="n"/>
      <c r="T969" s="126">
        <f>IF(OR(R969="",S969=""),"",DATE(YEAR(S969),MONTH(S969)+R969,DAY(S969)))</f>
        <v/>
      </c>
      <c r="U969" s="144">
        <f>IF(T969="","",T969-AsOf)</f>
        <v/>
      </c>
      <c r="V969" s="107">
        <f>IF(T969="",IF(P969="","","Enter last-done date"),IF(U969&lt;0,"Overdue",IF(U969&lt;=30,"Due soon","OK")))</f>
        <v/>
      </c>
      <c r="W969" s="79">
        <f>IF(T969="","",IF(U969&lt;0,2,IF(U969&lt;=30,1,0)))</f>
        <v/>
      </c>
      <c r="X969" s="112">
        <f>IF(T969="","",T969)</f>
        <v/>
      </c>
      <c r="Y969" s="79">
        <f>IF(X969="","",IF(X969&lt;=AsOf+AlertDays,2,IF(X969&lt;=AsOf+30,3,"")))</f>
        <v/>
      </c>
      <c r="Z969" s="79">
        <f>IF(Y969="","",IF(U969&lt;0,"Maintenance overdue: ","Maintenance due: ")&amp;P969)</f>
        <v/>
      </c>
    </row>
    <row r="970" ht="20" customHeight="1">
      <c r="B970" s="72" t="n"/>
      <c r="C970" s="72" t="n"/>
      <c r="D970" s="72" t="n"/>
      <c r="E970" s="109" t="n"/>
      <c r="F970" s="74" t="n"/>
      <c r="G970" s="126">
        <f>IF(OR(E970="",F970=""),"",DATE(YEAR(E970),MONTH(E970)+ROUND(F970*12,0),DAY(E970)))</f>
        <v/>
      </c>
      <c r="H970" s="144">
        <f>IF(G970="","",G970-AsOf)</f>
        <v/>
      </c>
      <c r="I970" s="107">
        <f>IF(G970="","",IF(H970&lt;0,"Expired",IF(H970&lt;=90,"Expires soon","Active")))</f>
        <v/>
      </c>
      <c r="J970" s="72" t="n"/>
      <c r="K970" s="79">
        <f>IF(I970="","",IF(I970="Active",0,IF(I970="Expires soon",1,3)))</f>
        <v/>
      </c>
      <c r="L970" s="112">
        <f>IF(G970="","",IF(G970&lt;AsOf,"",G970))</f>
        <v/>
      </c>
      <c r="M970" s="79">
        <f>IF(L970="","",IF(L970&lt;=AsOf+AlertDays,2,IF(L970&lt;=AsOf+90,3,"")))</f>
        <v/>
      </c>
      <c r="N970" s="79">
        <f>IF(M970="","","Warranty expires in "&amp;H970&amp;" days: "&amp;B970&amp;IF(C970="",""," ("&amp;C970&amp;")")&amp;" — check for defects")</f>
        <v/>
      </c>
      <c r="P970" s="72" t="n"/>
      <c r="Q970" s="72" t="n"/>
      <c r="R970" s="89" t="n"/>
      <c r="S970" s="109" t="n"/>
      <c r="T970" s="126">
        <f>IF(OR(R970="",S970=""),"",DATE(YEAR(S970),MONTH(S970)+R970,DAY(S970)))</f>
        <v/>
      </c>
      <c r="U970" s="144">
        <f>IF(T970="","",T970-AsOf)</f>
        <v/>
      </c>
      <c r="V970" s="107">
        <f>IF(T970="",IF(P970="","","Enter last-done date"),IF(U970&lt;0,"Overdue",IF(U970&lt;=30,"Due soon","OK")))</f>
        <v/>
      </c>
      <c r="W970" s="79">
        <f>IF(T970="","",IF(U970&lt;0,2,IF(U970&lt;=30,1,0)))</f>
        <v/>
      </c>
      <c r="X970" s="112">
        <f>IF(T970="","",T970)</f>
        <v/>
      </c>
      <c r="Y970" s="79">
        <f>IF(X970="","",IF(X970&lt;=AsOf+AlertDays,2,IF(X970&lt;=AsOf+30,3,"")))</f>
        <v/>
      </c>
      <c r="Z970" s="79">
        <f>IF(Y970="","",IF(U970&lt;0,"Maintenance overdue: ","Maintenance due: ")&amp;P970)</f>
        <v/>
      </c>
    </row>
    <row r="971" ht="20" customHeight="1">
      <c r="B971" s="72" t="n"/>
      <c r="C971" s="72" t="n"/>
      <c r="D971" s="72" t="n"/>
      <c r="E971" s="109" t="n"/>
      <c r="F971" s="74" t="n"/>
      <c r="G971" s="126">
        <f>IF(OR(E971="",F971=""),"",DATE(YEAR(E971),MONTH(E971)+ROUND(F971*12,0),DAY(E971)))</f>
        <v/>
      </c>
      <c r="H971" s="144">
        <f>IF(G971="","",G971-AsOf)</f>
        <v/>
      </c>
      <c r="I971" s="107">
        <f>IF(G971="","",IF(H971&lt;0,"Expired",IF(H971&lt;=90,"Expires soon","Active")))</f>
        <v/>
      </c>
      <c r="J971" s="72" t="n"/>
      <c r="K971" s="79">
        <f>IF(I971="","",IF(I971="Active",0,IF(I971="Expires soon",1,3)))</f>
        <v/>
      </c>
      <c r="L971" s="112">
        <f>IF(G971="","",IF(G971&lt;AsOf,"",G971))</f>
        <v/>
      </c>
      <c r="M971" s="79">
        <f>IF(L971="","",IF(L971&lt;=AsOf+AlertDays,2,IF(L971&lt;=AsOf+90,3,"")))</f>
        <v/>
      </c>
      <c r="N971" s="79">
        <f>IF(M971="","","Warranty expires in "&amp;H971&amp;" days: "&amp;B971&amp;IF(C971="",""," ("&amp;C971&amp;")")&amp;" — check for defects")</f>
        <v/>
      </c>
      <c r="P971" s="72" t="n"/>
      <c r="Q971" s="72" t="n"/>
      <c r="R971" s="89" t="n"/>
      <c r="S971" s="109" t="n"/>
      <c r="T971" s="126">
        <f>IF(OR(R971="",S971=""),"",DATE(YEAR(S971),MONTH(S971)+R971,DAY(S971)))</f>
        <v/>
      </c>
      <c r="U971" s="144">
        <f>IF(T971="","",T971-AsOf)</f>
        <v/>
      </c>
      <c r="V971" s="107">
        <f>IF(T971="",IF(P971="","","Enter last-done date"),IF(U971&lt;0,"Overdue",IF(U971&lt;=30,"Due soon","OK")))</f>
        <v/>
      </c>
      <c r="W971" s="79">
        <f>IF(T971="","",IF(U971&lt;0,2,IF(U971&lt;=30,1,0)))</f>
        <v/>
      </c>
      <c r="X971" s="112">
        <f>IF(T971="","",T971)</f>
        <v/>
      </c>
      <c r="Y971" s="79">
        <f>IF(X971="","",IF(X971&lt;=AsOf+AlertDays,2,IF(X971&lt;=AsOf+30,3,"")))</f>
        <v/>
      </c>
      <c r="Z971" s="79">
        <f>IF(Y971="","",IF(U971&lt;0,"Maintenance overdue: ","Maintenance due: ")&amp;P971)</f>
        <v/>
      </c>
    </row>
    <row r="972" ht="20" customHeight="1">
      <c r="B972" s="72" t="n"/>
      <c r="C972" s="72" t="n"/>
      <c r="D972" s="72" t="n"/>
      <c r="E972" s="109" t="n"/>
      <c r="F972" s="74" t="n"/>
      <c r="G972" s="126">
        <f>IF(OR(E972="",F972=""),"",DATE(YEAR(E972),MONTH(E972)+ROUND(F972*12,0),DAY(E972)))</f>
        <v/>
      </c>
      <c r="H972" s="144">
        <f>IF(G972="","",G972-AsOf)</f>
        <v/>
      </c>
      <c r="I972" s="107">
        <f>IF(G972="","",IF(H972&lt;0,"Expired",IF(H972&lt;=90,"Expires soon","Active")))</f>
        <v/>
      </c>
      <c r="J972" s="72" t="n"/>
      <c r="K972" s="79">
        <f>IF(I972="","",IF(I972="Active",0,IF(I972="Expires soon",1,3)))</f>
        <v/>
      </c>
      <c r="L972" s="112">
        <f>IF(G972="","",IF(G972&lt;AsOf,"",G972))</f>
        <v/>
      </c>
      <c r="M972" s="79">
        <f>IF(L972="","",IF(L972&lt;=AsOf+AlertDays,2,IF(L972&lt;=AsOf+90,3,"")))</f>
        <v/>
      </c>
      <c r="N972" s="79">
        <f>IF(M972="","","Warranty expires in "&amp;H972&amp;" days: "&amp;B972&amp;IF(C972="",""," ("&amp;C972&amp;")")&amp;" — check for defects")</f>
        <v/>
      </c>
      <c r="P972" s="72" t="n"/>
      <c r="Q972" s="72" t="n"/>
      <c r="R972" s="89" t="n"/>
      <c r="S972" s="109" t="n"/>
      <c r="T972" s="126">
        <f>IF(OR(R972="",S972=""),"",DATE(YEAR(S972),MONTH(S972)+R972,DAY(S972)))</f>
        <v/>
      </c>
      <c r="U972" s="144">
        <f>IF(T972="","",T972-AsOf)</f>
        <v/>
      </c>
      <c r="V972" s="107">
        <f>IF(T972="",IF(P972="","","Enter last-done date"),IF(U972&lt;0,"Overdue",IF(U972&lt;=30,"Due soon","OK")))</f>
        <v/>
      </c>
      <c r="W972" s="79">
        <f>IF(T972="","",IF(U972&lt;0,2,IF(U972&lt;=30,1,0)))</f>
        <v/>
      </c>
      <c r="X972" s="112">
        <f>IF(T972="","",T972)</f>
        <v/>
      </c>
      <c r="Y972" s="79">
        <f>IF(X972="","",IF(X972&lt;=AsOf+AlertDays,2,IF(X972&lt;=AsOf+30,3,"")))</f>
        <v/>
      </c>
      <c r="Z972" s="79">
        <f>IF(Y972="","",IF(U972&lt;0,"Maintenance overdue: ","Maintenance due: ")&amp;P972)</f>
        <v/>
      </c>
    </row>
    <row r="973" ht="20" customHeight="1">
      <c r="B973" s="72" t="n"/>
      <c r="C973" s="72" t="n"/>
      <c r="D973" s="72" t="n"/>
      <c r="E973" s="109" t="n"/>
      <c r="F973" s="74" t="n"/>
      <c r="G973" s="126">
        <f>IF(OR(E973="",F973=""),"",DATE(YEAR(E973),MONTH(E973)+ROUND(F973*12,0),DAY(E973)))</f>
        <v/>
      </c>
      <c r="H973" s="144">
        <f>IF(G973="","",G973-AsOf)</f>
        <v/>
      </c>
      <c r="I973" s="107">
        <f>IF(G973="","",IF(H973&lt;0,"Expired",IF(H973&lt;=90,"Expires soon","Active")))</f>
        <v/>
      </c>
      <c r="J973" s="72" t="n"/>
      <c r="K973" s="79">
        <f>IF(I973="","",IF(I973="Active",0,IF(I973="Expires soon",1,3)))</f>
        <v/>
      </c>
      <c r="L973" s="112">
        <f>IF(G973="","",IF(G973&lt;AsOf,"",G973))</f>
        <v/>
      </c>
      <c r="M973" s="79">
        <f>IF(L973="","",IF(L973&lt;=AsOf+AlertDays,2,IF(L973&lt;=AsOf+90,3,"")))</f>
        <v/>
      </c>
      <c r="N973" s="79">
        <f>IF(M973="","","Warranty expires in "&amp;H973&amp;" days: "&amp;B973&amp;IF(C973="",""," ("&amp;C973&amp;")")&amp;" — check for defects")</f>
        <v/>
      </c>
      <c r="P973" s="72" t="n"/>
      <c r="Q973" s="72" t="n"/>
      <c r="R973" s="89" t="n"/>
      <c r="S973" s="109" t="n"/>
      <c r="T973" s="126">
        <f>IF(OR(R973="",S973=""),"",DATE(YEAR(S973),MONTH(S973)+R973,DAY(S973)))</f>
        <v/>
      </c>
      <c r="U973" s="144">
        <f>IF(T973="","",T973-AsOf)</f>
        <v/>
      </c>
      <c r="V973" s="107">
        <f>IF(T973="",IF(P973="","","Enter last-done date"),IF(U973&lt;0,"Overdue",IF(U973&lt;=30,"Due soon","OK")))</f>
        <v/>
      </c>
      <c r="W973" s="79">
        <f>IF(T973="","",IF(U973&lt;0,2,IF(U973&lt;=30,1,0)))</f>
        <v/>
      </c>
      <c r="X973" s="112">
        <f>IF(T973="","",T973)</f>
        <v/>
      </c>
      <c r="Y973" s="79">
        <f>IF(X973="","",IF(X973&lt;=AsOf+AlertDays,2,IF(X973&lt;=AsOf+30,3,"")))</f>
        <v/>
      </c>
      <c r="Z973" s="79">
        <f>IF(Y973="","",IF(U973&lt;0,"Maintenance overdue: ","Maintenance due: ")&amp;P973)</f>
        <v/>
      </c>
    </row>
    <row r="974" ht="20" customHeight="1">
      <c r="B974" s="72" t="n"/>
      <c r="C974" s="72" t="n"/>
      <c r="D974" s="72" t="n"/>
      <c r="E974" s="109" t="n"/>
      <c r="F974" s="74" t="n"/>
      <c r="G974" s="126">
        <f>IF(OR(E974="",F974=""),"",DATE(YEAR(E974),MONTH(E974)+ROUND(F974*12,0),DAY(E974)))</f>
        <v/>
      </c>
      <c r="H974" s="144">
        <f>IF(G974="","",G974-AsOf)</f>
        <v/>
      </c>
      <c r="I974" s="107">
        <f>IF(G974="","",IF(H974&lt;0,"Expired",IF(H974&lt;=90,"Expires soon","Active")))</f>
        <v/>
      </c>
      <c r="J974" s="72" t="n"/>
      <c r="K974" s="79">
        <f>IF(I974="","",IF(I974="Active",0,IF(I974="Expires soon",1,3)))</f>
        <v/>
      </c>
      <c r="L974" s="112">
        <f>IF(G974="","",IF(G974&lt;AsOf,"",G974))</f>
        <v/>
      </c>
      <c r="M974" s="79">
        <f>IF(L974="","",IF(L974&lt;=AsOf+AlertDays,2,IF(L974&lt;=AsOf+90,3,"")))</f>
        <v/>
      </c>
      <c r="N974" s="79">
        <f>IF(M974="","","Warranty expires in "&amp;H974&amp;" days: "&amp;B974&amp;IF(C974="",""," ("&amp;C974&amp;")")&amp;" — check for defects")</f>
        <v/>
      </c>
      <c r="P974" s="72" t="n"/>
      <c r="Q974" s="72" t="n"/>
      <c r="R974" s="89" t="n"/>
      <c r="S974" s="109" t="n"/>
      <c r="T974" s="126">
        <f>IF(OR(R974="",S974=""),"",DATE(YEAR(S974),MONTH(S974)+R974,DAY(S974)))</f>
        <v/>
      </c>
      <c r="U974" s="144">
        <f>IF(T974="","",T974-AsOf)</f>
        <v/>
      </c>
      <c r="V974" s="107">
        <f>IF(T974="",IF(P974="","","Enter last-done date"),IF(U974&lt;0,"Overdue",IF(U974&lt;=30,"Due soon","OK")))</f>
        <v/>
      </c>
      <c r="W974" s="79">
        <f>IF(T974="","",IF(U974&lt;0,2,IF(U974&lt;=30,1,0)))</f>
        <v/>
      </c>
      <c r="X974" s="112">
        <f>IF(T974="","",T974)</f>
        <v/>
      </c>
      <c r="Y974" s="79">
        <f>IF(X974="","",IF(X974&lt;=AsOf+AlertDays,2,IF(X974&lt;=AsOf+30,3,"")))</f>
        <v/>
      </c>
      <c r="Z974" s="79">
        <f>IF(Y974="","",IF(U974&lt;0,"Maintenance overdue: ","Maintenance due: ")&amp;P974)</f>
        <v/>
      </c>
    </row>
    <row r="975" ht="20" customHeight="1">
      <c r="B975" s="72" t="n"/>
      <c r="C975" s="72" t="n"/>
      <c r="D975" s="72" t="n"/>
      <c r="E975" s="109" t="n"/>
      <c r="F975" s="74" t="n"/>
      <c r="G975" s="126">
        <f>IF(OR(E975="",F975=""),"",DATE(YEAR(E975),MONTH(E975)+ROUND(F975*12,0),DAY(E975)))</f>
        <v/>
      </c>
      <c r="H975" s="144">
        <f>IF(G975="","",G975-AsOf)</f>
        <v/>
      </c>
      <c r="I975" s="107">
        <f>IF(G975="","",IF(H975&lt;0,"Expired",IF(H975&lt;=90,"Expires soon","Active")))</f>
        <v/>
      </c>
      <c r="J975" s="72" t="n"/>
      <c r="K975" s="79">
        <f>IF(I975="","",IF(I975="Active",0,IF(I975="Expires soon",1,3)))</f>
        <v/>
      </c>
      <c r="L975" s="112">
        <f>IF(G975="","",IF(G975&lt;AsOf,"",G975))</f>
        <v/>
      </c>
      <c r="M975" s="79">
        <f>IF(L975="","",IF(L975&lt;=AsOf+AlertDays,2,IF(L975&lt;=AsOf+90,3,"")))</f>
        <v/>
      </c>
      <c r="N975" s="79">
        <f>IF(M975="","","Warranty expires in "&amp;H975&amp;" days: "&amp;B975&amp;IF(C975="",""," ("&amp;C975&amp;")")&amp;" — check for defects")</f>
        <v/>
      </c>
      <c r="P975" s="72" t="n"/>
      <c r="Q975" s="72" t="n"/>
      <c r="R975" s="89" t="n"/>
      <c r="S975" s="109" t="n"/>
      <c r="T975" s="126">
        <f>IF(OR(R975="",S975=""),"",DATE(YEAR(S975),MONTH(S975)+R975,DAY(S975)))</f>
        <v/>
      </c>
      <c r="U975" s="144">
        <f>IF(T975="","",T975-AsOf)</f>
        <v/>
      </c>
      <c r="V975" s="107">
        <f>IF(T975="",IF(P975="","","Enter last-done date"),IF(U975&lt;0,"Overdue",IF(U975&lt;=30,"Due soon","OK")))</f>
        <v/>
      </c>
      <c r="W975" s="79">
        <f>IF(T975="","",IF(U975&lt;0,2,IF(U975&lt;=30,1,0)))</f>
        <v/>
      </c>
      <c r="X975" s="112">
        <f>IF(T975="","",T975)</f>
        <v/>
      </c>
      <c r="Y975" s="79">
        <f>IF(X975="","",IF(X975&lt;=AsOf+AlertDays,2,IF(X975&lt;=AsOf+30,3,"")))</f>
        <v/>
      </c>
      <c r="Z975" s="79">
        <f>IF(Y975="","",IF(U975&lt;0,"Maintenance overdue: ","Maintenance due: ")&amp;P975)</f>
        <v/>
      </c>
    </row>
    <row r="976" ht="20" customHeight="1">
      <c r="B976" s="72" t="n"/>
      <c r="C976" s="72" t="n"/>
      <c r="D976" s="72" t="n"/>
      <c r="E976" s="109" t="n"/>
      <c r="F976" s="74" t="n"/>
      <c r="G976" s="126">
        <f>IF(OR(E976="",F976=""),"",DATE(YEAR(E976),MONTH(E976)+ROUND(F976*12,0),DAY(E976)))</f>
        <v/>
      </c>
      <c r="H976" s="144">
        <f>IF(G976="","",G976-AsOf)</f>
        <v/>
      </c>
      <c r="I976" s="107">
        <f>IF(G976="","",IF(H976&lt;0,"Expired",IF(H976&lt;=90,"Expires soon","Active")))</f>
        <v/>
      </c>
      <c r="J976" s="72" t="n"/>
      <c r="K976" s="79">
        <f>IF(I976="","",IF(I976="Active",0,IF(I976="Expires soon",1,3)))</f>
        <v/>
      </c>
      <c r="L976" s="112">
        <f>IF(G976="","",IF(G976&lt;AsOf,"",G976))</f>
        <v/>
      </c>
      <c r="M976" s="79">
        <f>IF(L976="","",IF(L976&lt;=AsOf+AlertDays,2,IF(L976&lt;=AsOf+90,3,"")))</f>
        <v/>
      </c>
      <c r="N976" s="79">
        <f>IF(M976="","","Warranty expires in "&amp;H976&amp;" days: "&amp;B976&amp;IF(C976="",""," ("&amp;C976&amp;")")&amp;" — check for defects")</f>
        <v/>
      </c>
      <c r="P976" s="72" t="n"/>
      <c r="Q976" s="72" t="n"/>
      <c r="R976" s="89" t="n"/>
      <c r="S976" s="109" t="n"/>
      <c r="T976" s="126">
        <f>IF(OR(R976="",S976=""),"",DATE(YEAR(S976),MONTH(S976)+R976,DAY(S976)))</f>
        <v/>
      </c>
      <c r="U976" s="144">
        <f>IF(T976="","",T976-AsOf)</f>
        <v/>
      </c>
      <c r="V976" s="107">
        <f>IF(T976="",IF(P976="","","Enter last-done date"),IF(U976&lt;0,"Overdue",IF(U976&lt;=30,"Due soon","OK")))</f>
        <v/>
      </c>
      <c r="W976" s="79">
        <f>IF(T976="","",IF(U976&lt;0,2,IF(U976&lt;=30,1,0)))</f>
        <v/>
      </c>
      <c r="X976" s="112">
        <f>IF(T976="","",T976)</f>
        <v/>
      </c>
      <c r="Y976" s="79">
        <f>IF(X976="","",IF(X976&lt;=AsOf+AlertDays,2,IF(X976&lt;=AsOf+30,3,"")))</f>
        <v/>
      </c>
      <c r="Z976" s="79">
        <f>IF(Y976="","",IF(U976&lt;0,"Maintenance overdue: ","Maintenance due: ")&amp;P976)</f>
        <v/>
      </c>
    </row>
    <row r="977" ht="20" customHeight="1">
      <c r="B977" s="72" t="n"/>
      <c r="C977" s="72" t="n"/>
      <c r="D977" s="72" t="n"/>
      <c r="E977" s="109" t="n"/>
      <c r="F977" s="74" t="n"/>
      <c r="G977" s="126">
        <f>IF(OR(E977="",F977=""),"",DATE(YEAR(E977),MONTH(E977)+ROUND(F977*12,0),DAY(E977)))</f>
        <v/>
      </c>
      <c r="H977" s="144">
        <f>IF(G977="","",G977-AsOf)</f>
        <v/>
      </c>
      <c r="I977" s="107">
        <f>IF(G977="","",IF(H977&lt;0,"Expired",IF(H977&lt;=90,"Expires soon","Active")))</f>
        <v/>
      </c>
      <c r="J977" s="72" t="n"/>
      <c r="K977" s="79">
        <f>IF(I977="","",IF(I977="Active",0,IF(I977="Expires soon",1,3)))</f>
        <v/>
      </c>
      <c r="L977" s="112">
        <f>IF(G977="","",IF(G977&lt;AsOf,"",G977))</f>
        <v/>
      </c>
      <c r="M977" s="79">
        <f>IF(L977="","",IF(L977&lt;=AsOf+AlertDays,2,IF(L977&lt;=AsOf+90,3,"")))</f>
        <v/>
      </c>
      <c r="N977" s="79">
        <f>IF(M977="","","Warranty expires in "&amp;H977&amp;" days: "&amp;B977&amp;IF(C977="",""," ("&amp;C977&amp;")")&amp;" — check for defects")</f>
        <v/>
      </c>
      <c r="P977" s="72" t="n"/>
      <c r="Q977" s="72" t="n"/>
      <c r="R977" s="89" t="n"/>
      <c r="S977" s="109" t="n"/>
      <c r="T977" s="126">
        <f>IF(OR(R977="",S977=""),"",DATE(YEAR(S977),MONTH(S977)+R977,DAY(S977)))</f>
        <v/>
      </c>
      <c r="U977" s="144">
        <f>IF(T977="","",T977-AsOf)</f>
        <v/>
      </c>
      <c r="V977" s="107">
        <f>IF(T977="",IF(P977="","","Enter last-done date"),IF(U977&lt;0,"Overdue",IF(U977&lt;=30,"Due soon","OK")))</f>
        <v/>
      </c>
      <c r="W977" s="79">
        <f>IF(T977="","",IF(U977&lt;0,2,IF(U977&lt;=30,1,0)))</f>
        <v/>
      </c>
      <c r="X977" s="112">
        <f>IF(T977="","",T977)</f>
        <v/>
      </c>
      <c r="Y977" s="79">
        <f>IF(X977="","",IF(X977&lt;=AsOf+AlertDays,2,IF(X977&lt;=AsOf+30,3,"")))</f>
        <v/>
      </c>
      <c r="Z977" s="79">
        <f>IF(Y977="","",IF(U977&lt;0,"Maintenance overdue: ","Maintenance due: ")&amp;P977)</f>
        <v/>
      </c>
    </row>
    <row r="978" ht="20" customHeight="1">
      <c r="B978" s="72" t="n"/>
      <c r="C978" s="72" t="n"/>
      <c r="D978" s="72" t="n"/>
      <c r="E978" s="109" t="n"/>
      <c r="F978" s="74" t="n"/>
      <c r="G978" s="126">
        <f>IF(OR(E978="",F978=""),"",DATE(YEAR(E978),MONTH(E978)+ROUND(F978*12,0),DAY(E978)))</f>
        <v/>
      </c>
      <c r="H978" s="144">
        <f>IF(G978="","",G978-AsOf)</f>
        <v/>
      </c>
      <c r="I978" s="107">
        <f>IF(G978="","",IF(H978&lt;0,"Expired",IF(H978&lt;=90,"Expires soon","Active")))</f>
        <v/>
      </c>
      <c r="J978" s="72" t="n"/>
      <c r="K978" s="79">
        <f>IF(I978="","",IF(I978="Active",0,IF(I978="Expires soon",1,3)))</f>
        <v/>
      </c>
      <c r="L978" s="112">
        <f>IF(G978="","",IF(G978&lt;AsOf,"",G978))</f>
        <v/>
      </c>
      <c r="M978" s="79">
        <f>IF(L978="","",IF(L978&lt;=AsOf+AlertDays,2,IF(L978&lt;=AsOf+90,3,"")))</f>
        <v/>
      </c>
      <c r="N978" s="79">
        <f>IF(M978="","","Warranty expires in "&amp;H978&amp;" days: "&amp;B978&amp;IF(C978="",""," ("&amp;C978&amp;")")&amp;" — check for defects")</f>
        <v/>
      </c>
      <c r="P978" s="72" t="n"/>
      <c r="Q978" s="72" t="n"/>
      <c r="R978" s="89" t="n"/>
      <c r="S978" s="109" t="n"/>
      <c r="T978" s="126">
        <f>IF(OR(R978="",S978=""),"",DATE(YEAR(S978),MONTH(S978)+R978,DAY(S978)))</f>
        <v/>
      </c>
      <c r="U978" s="144">
        <f>IF(T978="","",T978-AsOf)</f>
        <v/>
      </c>
      <c r="V978" s="107">
        <f>IF(T978="",IF(P978="","","Enter last-done date"),IF(U978&lt;0,"Overdue",IF(U978&lt;=30,"Due soon","OK")))</f>
        <v/>
      </c>
      <c r="W978" s="79">
        <f>IF(T978="","",IF(U978&lt;0,2,IF(U978&lt;=30,1,0)))</f>
        <v/>
      </c>
      <c r="X978" s="112">
        <f>IF(T978="","",T978)</f>
        <v/>
      </c>
      <c r="Y978" s="79">
        <f>IF(X978="","",IF(X978&lt;=AsOf+AlertDays,2,IF(X978&lt;=AsOf+30,3,"")))</f>
        <v/>
      </c>
      <c r="Z978" s="79">
        <f>IF(Y978="","",IF(U978&lt;0,"Maintenance overdue: ","Maintenance due: ")&amp;P978)</f>
        <v/>
      </c>
    </row>
    <row r="979" ht="20" customHeight="1">
      <c r="B979" s="72" t="n"/>
      <c r="C979" s="72" t="n"/>
      <c r="D979" s="72" t="n"/>
      <c r="E979" s="109" t="n"/>
      <c r="F979" s="74" t="n"/>
      <c r="G979" s="126">
        <f>IF(OR(E979="",F979=""),"",DATE(YEAR(E979),MONTH(E979)+ROUND(F979*12,0),DAY(E979)))</f>
        <v/>
      </c>
      <c r="H979" s="144">
        <f>IF(G979="","",G979-AsOf)</f>
        <v/>
      </c>
      <c r="I979" s="107">
        <f>IF(G979="","",IF(H979&lt;0,"Expired",IF(H979&lt;=90,"Expires soon","Active")))</f>
        <v/>
      </c>
      <c r="J979" s="72" t="n"/>
      <c r="K979" s="79">
        <f>IF(I979="","",IF(I979="Active",0,IF(I979="Expires soon",1,3)))</f>
        <v/>
      </c>
      <c r="L979" s="112">
        <f>IF(G979="","",IF(G979&lt;AsOf,"",G979))</f>
        <v/>
      </c>
      <c r="M979" s="79">
        <f>IF(L979="","",IF(L979&lt;=AsOf+AlertDays,2,IF(L979&lt;=AsOf+90,3,"")))</f>
        <v/>
      </c>
      <c r="N979" s="79">
        <f>IF(M979="","","Warranty expires in "&amp;H979&amp;" days: "&amp;B979&amp;IF(C979="",""," ("&amp;C979&amp;")")&amp;" — check for defects")</f>
        <v/>
      </c>
      <c r="P979" s="72" t="n"/>
      <c r="Q979" s="72" t="n"/>
      <c r="R979" s="89" t="n"/>
      <c r="S979" s="109" t="n"/>
      <c r="T979" s="126">
        <f>IF(OR(R979="",S979=""),"",DATE(YEAR(S979),MONTH(S979)+R979,DAY(S979)))</f>
        <v/>
      </c>
      <c r="U979" s="144">
        <f>IF(T979="","",T979-AsOf)</f>
        <v/>
      </c>
      <c r="V979" s="107">
        <f>IF(T979="",IF(P979="","","Enter last-done date"),IF(U979&lt;0,"Overdue",IF(U979&lt;=30,"Due soon","OK")))</f>
        <v/>
      </c>
      <c r="W979" s="79">
        <f>IF(T979="","",IF(U979&lt;0,2,IF(U979&lt;=30,1,0)))</f>
        <v/>
      </c>
      <c r="X979" s="112">
        <f>IF(T979="","",T979)</f>
        <v/>
      </c>
      <c r="Y979" s="79">
        <f>IF(X979="","",IF(X979&lt;=AsOf+AlertDays,2,IF(X979&lt;=AsOf+30,3,"")))</f>
        <v/>
      </c>
      <c r="Z979" s="79">
        <f>IF(Y979="","",IF(U979&lt;0,"Maintenance overdue: ","Maintenance due: ")&amp;P979)</f>
        <v/>
      </c>
    </row>
    <row r="980" ht="20" customHeight="1">
      <c r="B980" s="72" t="n"/>
      <c r="C980" s="72" t="n"/>
      <c r="D980" s="72" t="n"/>
      <c r="E980" s="109" t="n"/>
      <c r="F980" s="74" t="n"/>
      <c r="G980" s="126">
        <f>IF(OR(E980="",F980=""),"",DATE(YEAR(E980),MONTH(E980)+ROUND(F980*12,0),DAY(E980)))</f>
        <v/>
      </c>
      <c r="H980" s="144">
        <f>IF(G980="","",G980-AsOf)</f>
        <v/>
      </c>
      <c r="I980" s="107">
        <f>IF(G980="","",IF(H980&lt;0,"Expired",IF(H980&lt;=90,"Expires soon","Active")))</f>
        <v/>
      </c>
      <c r="J980" s="72" t="n"/>
      <c r="K980" s="79">
        <f>IF(I980="","",IF(I980="Active",0,IF(I980="Expires soon",1,3)))</f>
        <v/>
      </c>
      <c r="L980" s="112">
        <f>IF(G980="","",IF(G980&lt;AsOf,"",G980))</f>
        <v/>
      </c>
      <c r="M980" s="79">
        <f>IF(L980="","",IF(L980&lt;=AsOf+AlertDays,2,IF(L980&lt;=AsOf+90,3,"")))</f>
        <v/>
      </c>
      <c r="N980" s="79">
        <f>IF(M980="","","Warranty expires in "&amp;H980&amp;" days: "&amp;B980&amp;IF(C980="",""," ("&amp;C980&amp;")")&amp;" — check for defects")</f>
        <v/>
      </c>
      <c r="P980" s="72" t="n"/>
      <c r="Q980" s="72" t="n"/>
      <c r="R980" s="89" t="n"/>
      <c r="S980" s="109" t="n"/>
      <c r="T980" s="126">
        <f>IF(OR(R980="",S980=""),"",DATE(YEAR(S980),MONTH(S980)+R980,DAY(S980)))</f>
        <v/>
      </c>
      <c r="U980" s="144">
        <f>IF(T980="","",T980-AsOf)</f>
        <v/>
      </c>
      <c r="V980" s="107">
        <f>IF(T980="",IF(P980="","","Enter last-done date"),IF(U980&lt;0,"Overdue",IF(U980&lt;=30,"Due soon","OK")))</f>
        <v/>
      </c>
      <c r="W980" s="79">
        <f>IF(T980="","",IF(U980&lt;0,2,IF(U980&lt;=30,1,0)))</f>
        <v/>
      </c>
      <c r="X980" s="112">
        <f>IF(T980="","",T980)</f>
        <v/>
      </c>
      <c r="Y980" s="79">
        <f>IF(X980="","",IF(X980&lt;=AsOf+AlertDays,2,IF(X980&lt;=AsOf+30,3,"")))</f>
        <v/>
      </c>
      <c r="Z980" s="79">
        <f>IF(Y980="","",IF(U980&lt;0,"Maintenance overdue: ","Maintenance due: ")&amp;P980)</f>
        <v/>
      </c>
    </row>
    <row r="981" ht="20" customHeight="1">
      <c r="B981" s="72" t="n"/>
      <c r="C981" s="72" t="n"/>
      <c r="D981" s="72" t="n"/>
      <c r="E981" s="109" t="n"/>
      <c r="F981" s="74" t="n"/>
      <c r="G981" s="126">
        <f>IF(OR(E981="",F981=""),"",DATE(YEAR(E981),MONTH(E981)+ROUND(F981*12,0),DAY(E981)))</f>
        <v/>
      </c>
      <c r="H981" s="144">
        <f>IF(G981="","",G981-AsOf)</f>
        <v/>
      </c>
      <c r="I981" s="107">
        <f>IF(G981="","",IF(H981&lt;0,"Expired",IF(H981&lt;=90,"Expires soon","Active")))</f>
        <v/>
      </c>
      <c r="J981" s="72" t="n"/>
      <c r="K981" s="79">
        <f>IF(I981="","",IF(I981="Active",0,IF(I981="Expires soon",1,3)))</f>
        <v/>
      </c>
      <c r="L981" s="112">
        <f>IF(G981="","",IF(G981&lt;AsOf,"",G981))</f>
        <v/>
      </c>
      <c r="M981" s="79">
        <f>IF(L981="","",IF(L981&lt;=AsOf+AlertDays,2,IF(L981&lt;=AsOf+90,3,"")))</f>
        <v/>
      </c>
      <c r="N981" s="79">
        <f>IF(M981="","","Warranty expires in "&amp;H981&amp;" days: "&amp;B981&amp;IF(C981="",""," ("&amp;C981&amp;")")&amp;" — check for defects")</f>
        <v/>
      </c>
      <c r="P981" s="72" t="n"/>
      <c r="Q981" s="72" t="n"/>
      <c r="R981" s="89" t="n"/>
      <c r="S981" s="109" t="n"/>
      <c r="T981" s="126">
        <f>IF(OR(R981="",S981=""),"",DATE(YEAR(S981),MONTH(S981)+R981,DAY(S981)))</f>
        <v/>
      </c>
      <c r="U981" s="144">
        <f>IF(T981="","",T981-AsOf)</f>
        <v/>
      </c>
      <c r="V981" s="107">
        <f>IF(T981="",IF(P981="","","Enter last-done date"),IF(U981&lt;0,"Overdue",IF(U981&lt;=30,"Due soon","OK")))</f>
        <v/>
      </c>
      <c r="W981" s="79">
        <f>IF(T981="","",IF(U981&lt;0,2,IF(U981&lt;=30,1,0)))</f>
        <v/>
      </c>
      <c r="X981" s="112">
        <f>IF(T981="","",T981)</f>
        <v/>
      </c>
      <c r="Y981" s="79">
        <f>IF(X981="","",IF(X981&lt;=AsOf+AlertDays,2,IF(X981&lt;=AsOf+30,3,"")))</f>
        <v/>
      </c>
      <c r="Z981" s="79">
        <f>IF(Y981="","",IF(U981&lt;0,"Maintenance overdue: ","Maintenance due: ")&amp;P981)</f>
        <v/>
      </c>
    </row>
    <row r="982" ht="20" customHeight="1">
      <c r="B982" s="72" t="n"/>
      <c r="C982" s="72" t="n"/>
      <c r="D982" s="72" t="n"/>
      <c r="E982" s="109" t="n"/>
      <c r="F982" s="74" t="n"/>
      <c r="G982" s="126">
        <f>IF(OR(E982="",F982=""),"",DATE(YEAR(E982),MONTH(E982)+ROUND(F982*12,0),DAY(E982)))</f>
        <v/>
      </c>
      <c r="H982" s="144">
        <f>IF(G982="","",G982-AsOf)</f>
        <v/>
      </c>
      <c r="I982" s="107">
        <f>IF(G982="","",IF(H982&lt;0,"Expired",IF(H982&lt;=90,"Expires soon","Active")))</f>
        <v/>
      </c>
      <c r="J982" s="72" t="n"/>
      <c r="K982" s="79">
        <f>IF(I982="","",IF(I982="Active",0,IF(I982="Expires soon",1,3)))</f>
        <v/>
      </c>
      <c r="L982" s="112">
        <f>IF(G982="","",IF(G982&lt;AsOf,"",G982))</f>
        <v/>
      </c>
      <c r="M982" s="79">
        <f>IF(L982="","",IF(L982&lt;=AsOf+AlertDays,2,IF(L982&lt;=AsOf+90,3,"")))</f>
        <v/>
      </c>
      <c r="N982" s="79">
        <f>IF(M982="","","Warranty expires in "&amp;H982&amp;" days: "&amp;B982&amp;IF(C982="",""," ("&amp;C982&amp;")")&amp;" — check for defects")</f>
        <v/>
      </c>
      <c r="P982" s="72" t="n"/>
      <c r="Q982" s="72" t="n"/>
      <c r="R982" s="89" t="n"/>
      <c r="S982" s="109" t="n"/>
      <c r="T982" s="126">
        <f>IF(OR(R982="",S982=""),"",DATE(YEAR(S982),MONTH(S982)+R982,DAY(S982)))</f>
        <v/>
      </c>
      <c r="U982" s="144">
        <f>IF(T982="","",T982-AsOf)</f>
        <v/>
      </c>
      <c r="V982" s="107">
        <f>IF(T982="",IF(P982="","","Enter last-done date"),IF(U982&lt;0,"Overdue",IF(U982&lt;=30,"Due soon","OK")))</f>
        <v/>
      </c>
      <c r="W982" s="79">
        <f>IF(T982="","",IF(U982&lt;0,2,IF(U982&lt;=30,1,0)))</f>
        <v/>
      </c>
      <c r="X982" s="112">
        <f>IF(T982="","",T982)</f>
        <v/>
      </c>
      <c r="Y982" s="79">
        <f>IF(X982="","",IF(X982&lt;=AsOf+AlertDays,2,IF(X982&lt;=AsOf+30,3,"")))</f>
        <v/>
      </c>
      <c r="Z982" s="79">
        <f>IF(Y982="","",IF(U982&lt;0,"Maintenance overdue: ","Maintenance due: ")&amp;P982)</f>
        <v/>
      </c>
    </row>
    <row r="983" ht="20" customHeight="1">
      <c r="B983" s="72" t="n"/>
      <c r="C983" s="72" t="n"/>
      <c r="D983" s="72" t="n"/>
      <c r="E983" s="109" t="n"/>
      <c r="F983" s="74" t="n"/>
      <c r="G983" s="126">
        <f>IF(OR(E983="",F983=""),"",DATE(YEAR(E983),MONTH(E983)+ROUND(F983*12,0),DAY(E983)))</f>
        <v/>
      </c>
      <c r="H983" s="144">
        <f>IF(G983="","",G983-AsOf)</f>
        <v/>
      </c>
      <c r="I983" s="107">
        <f>IF(G983="","",IF(H983&lt;0,"Expired",IF(H983&lt;=90,"Expires soon","Active")))</f>
        <v/>
      </c>
      <c r="J983" s="72" t="n"/>
      <c r="K983" s="79">
        <f>IF(I983="","",IF(I983="Active",0,IF(I983="Expires soon",1,3)))</f>
        <v/>
      </c>
      <c r="L983" s="112">
        <f>IF(G983="","",IF(G983&lt;AsOf,"",G983))</f>
        <v/>
      </c>
      <c r="M983" s="79">
        <f>IF(L983="","",IF(L983&lt;=AsOf+AlertDays,2,IF(L983&lt;=AsOf+90,3,"")))</f>
        <v/>
      </c>
      <c r="N983" s="79">
        <f>IF(M983="","","Warranty expires in "&amp;H983&amp;" days: "&amp;B983&amp;IF(C983="",""," ("&amp;C983&amp;")")&amp;" — check for defects")</f>
        <v/>
      </c>
      <c r="P983" s="72" t="n"/>
      <c r="Q983" s="72" t="n"/>
      <c r="R983" s="89" t="n"/>
      <c r="S983" s="109" t="n"/>
      <c r="T983" s="126">
        <f>IF(OR(R983="",S983=""),"",DATE(YEAR(S983),MONTH(S983)+R983,DAY(S983)))</f>
        <v/>
      </c>
      <c r="U983" s="144">
        <f>IF(T983="","",T983-AsOf)</f>
        <v/>
      </c>
      <c r="V983" s="107">
        <f>IF(T983="",IF(P983="","","Enter last-done date"),IF(U983&lt;0,"Overdue",IF(U983&lt;=30,"Due soon","OK")))</f>
        <v/>
      </c>
      <c r="W983" s="79">
        <f>IF(T983="","",IF(U983&lt;0,2,IF(U983&lt;=30,1,0)))</f>
        <v/>
      </c>
      <c r="X983" s="112">
        <f>IF(T983="","",T983)</f>
        <v/>
      </c>
      <c r="Y983" s="79">
        <f>IF(X983="","",IF(X983&lt;=AsOf+AlertDays,2,IF(X983&lt;=AsOf+30,3,"")))</f>
        <v/>
      </c>
      <c r="Z983" s="79">
        <f>IF(Y983="","",IF(U983&lt;0,"Maintenance overdue: ","Maintenance due: ")&amp;P983)</f>
        <v/>
      </c>
    </row>
    <row r="984" ht="20" customHeight="1">
      <c r="B984" s="72" t="n"/>
      <c r="C984" s="72" t="n"/>
      <c r="D984" s="72" t="n"/>
      <c r="E984" s="109" t="n"/>
      <c r="F984" s="74" t="n"/>
      <c r="G984" s="126">
        <f>IF(OR(E984="",F984=""),"",DATE(YEAR(E984),MONTH(E984)+ROUND(F984*12,0),DAY(E984)))</f>
        <v/>
      </c>
      <c r="H984" s="144">
        <f>IF(G984="","",G984-AsOf)</f>
        <v/>
      </c>
      <c r="I984" s="107">
        <f>IF(G984="","",IF(H984&lt;0,"Expired",IF(H984&lt;=90,"Expires soon","Active")))</f>
        <v/>
      </c>
      <c r="J984" s="72" t="n"/>
      <c r="K984" s="79">
        <f>IF(I984="","",IF(I984="Active",0,IF(I984="Expires soon",1,3)))</f>
        <v/>
      </c>
      <c r="L984" s="112">
        <f>IF(G984="","",IF(G984&lt;AsOf,"",G984))</f>
        <v/>
      </c>
      <c r="M984" s="79">
        <f>IF(L984="","",IF(L984&lt;=AsOf+AlertDays,2,IF(L984&lt;=AsOf+90,3,"")))</f>
        <v/>
      </c>
      <c r="N984" s="79">
        <f>IF(M984="","","Warranty expires in "&amp;H984&amp;" days: "&amp;B984&amp;IF(C984="",""," ("&amp;C984&amp;")")&amp;" — check for defects")</f>
        <v/>
      </c>
      <c r="P984" s="72" t="n"/>
      <c r="Q984" s="72" t="n"/>
      <c r="R984" s="89" t="n"/>
      <c r="S984" s="109" t="n"/>
      <c r="T984" s="126">
        <f>IF(OR(R984="",S984=""),"",DATE(YEAR(S984),MONTH(S984)+R984,DAY(S984)))</f>
        <v/>
      </c>
      <c r="U984" s="144">
        <f>IF(T984="","",T984-AsOf)</f>
        <v/>
      </c>
      <c r="V984" s="107">
        <f>IF(T984="",IF(P984="","","Enter last-done date"),IF(U984&lt;0,"Overdue",IF(U984&lt;=30,"Due soon","OK")))</f>
        <v/>
      </c>
      <c r="W984" s="79">
        <f>IF(T984="","",IF(U984&lt;0,2,IF(U984&lt;=30,1,0)))</f>
        <v/>
      </c>
      <c r="X984" s="112">
        <f>IF(T984="","",T984)</f>
        <v/>
      </c>
      <c r="Y984" s="79">
        <f>IF(X984="","",IF(X984&lt;=AsOf+AlertDays,2,IF(X984&lt;=AsOf+30,3,"")))</f>
        <v/>
      </c>
      <c r="Z984" s="79">
        <f>IF(Y984="","",IF(U984&lt;0,"Maintenance overdue: ","Maintenance due: ")&amp;P984)</f>
        <v/>
      </c>
    </row>
    <row r="985" ht="20" customHeight="1">
      <c r="B985" s="72" t="n"/>
      <c r="C985" s="72" t="n"/>
      <c r="D985" s="72" t="n"/>
      <c r="E985" s="109" t="n"/>
      <c r="F985" s="74" t="n"/>
      <c r="G985" s="126">
        <f>IF(OR(E985="",F985=""),"",DATE(YEAR(E985),MONTH(E985)+ROUND(F985*12,0),DAY(E985)))</f>
        <v/>
      </c>
      <c r="H985" s="144">
        <f>IF(G985="","",G985-AsOf)</f>
        <v/>
      </c>
      <c r="I985" s="107">
        <f>IF(G985="","",IF(H985&lt;0,"Expired",IF(H985&lt;=90,"Expires soon","Active")))</f>
        <v/>
      </c>
      <c r="J985" s="72" t="n"/>
      <c r="K985" s="79">
        <f>IF(I985="","",IF(I985="Active",0,IF(I985="Expires soon",1,3)))</f>
        <v/>
      </c>
      <c r="L985" s="112">
        <f>IF(G985="","",IF(G985&lt;AsOf,"",G985))</f>
        <v/>
      </c>
      <c r="M985" s="79">
        <f>IF(L985="","",IF(L985&lt;=AsOf+AlertDays,2,IF(L985&lt;=AsOf+90,3,"")))</f>
        <v/>
      </c>
      <c r="N985" s="79">
        <f>IF(M985="","","Warranty expires in "&amp;H985&amp;" days: "&amp;B985&amp;IF(C985="",""," ("&amp;C985&amp;")")&amp;" — check for defects")</f>
        <v/>
      </c>
      <c r="P985" s="72" t="n"/>
      <c r="Q985" s="72" t="n"/>
      <c r="R985" s="89" t="n"/>
      <c r="S985" s="109" t="n"/>
      <c r="T985" s="126">
        <f>IF(OR(R985="",S985=""),"",DATE(YEAR(S985),MONTH(S985)+R985,DAY(S985)))</f>
        <v/>
      </c>
      <c r="U985" s="144">
        <f>IF(T985="","",T985-AsOf)</f>
        <v/>
      </c>
      <c r="V985" s="107">
        <f>IF(T985="",IF(P985="","","Enter last-done date"),IF(U985&lt;0,"Overdue",IF(U985&lt;=30,"Due soon","OK")))</f>
        <v/>
      </c>
      <c r="W985" s="79">
        <f>IF(T985="","",IF(U985&lt;0,2,IF(U985&lt;=30,1,0)))</f>
        <v/>
      </c>
      <c r="X985" s="112">
        <f>IF(T985="","",T985)</f>
        <v/>
      </c>
      <c r="Y985" s="79">
        <f>IF(X985="","",IF(X985&lt;=AsOf+AlertDays,2,IF(X985&lt;=AsOf+30,3,"")))</f>
        <v/>
      </c>
      <c r="Z985" s="79">
        <f>IF(Y985="","",IF(U985&lt;0,"Maintenance overdue: ","Maintenance due: ")&amp;P985)</f>
        <v/>
      </c>
    </row>
    <row r="986" ht="20" customHeight="1">
      <c r="B986" s="72" t="n"/>
      <c r="C986" s="72" t="n"/>
      <c r="D986" s="72" t="n"/>
      <c r="E986" s="109" t="n"/>
      <c r="F986" s="74" t="n"/>
      <c r="G986" s="126">
        <f>IF(OR(E986="",F986=""),"",DATE(YEAR(E986),MONTH(E986)+ROUND(F986*12,0),DAY(E986)))</f>
        <v/>
      </c>
      <c r="H986" s="144">
        <f>IF(G986="","",G986-AsOf)</f>
        <v/>
      </c>
      <c r="I986" s="107">
        <f>IF(G986="","",IF(H986&lt;0,"Expired",IF(H986&lt;=90,"Expires soon","Active")))</f>
        <v/>
      </c>
      <c r="J986" s="72" t="n"/>
      <c r="K986" s="79">
        <f>IF(I986="","",IF(I986="Active",0,IF(I986="Expires soon",1,3)))</f>
        <v/>
      </c>
      <c r="L986" s="112">
        <f>IF(G986="","",IF(G986&lt;AsOf,"",G986))</f>
        <v/>
      </c>
      <c r="M986" s="79">
        <f>IF(L986="","",IF(L986&lt;=AsOf+AlertDays,2,IF(L986&lt;=AsOf+90,3,"")))</f>
        <v/>
      </c>
      <c r="N986" s="79">
        <f>IF(M986="","","Warranty expires in "&amp;H986&amp;" days: "&amp;B986&amp;IF(C986="",""," ("&amp;C986&amp;")")&amp;" — check for defects")</f>
        <v/>
      </c>
      <c r="P986" s="72" t="n"/>
      <c r="Q986" s="72" t="n"/>
      <c r="R986" s="89" t="n"/>
      <c r="S986" s="109" t="n"/>
      <c r="T986" s="126">
        <f>IF(OR(R986="",S986=""),"",DATE(YEAR(S986),MONTH(S986)+R986,DAY(S986)))</f>
        <v/>
      </c>
      <c r="U986" s="144">
        <f>IF(T986="","",T986-AsOf)</f>
        <v/>
      </c>
      <c r="V986" s="107">
        <f>IF(T986="",IF(P986="","","Enter last-done date"),IF(U986&lt;0,"Overdue",IF(U986&lt;=30,"Due soon","OK")))</f>
        <v/>
      </c>
      <c r="W986" s="79">
        <f>IF(T986="","",IF(U986&lt;0,2,IF(U986&lt;=30,1,0)))</f>
        <v/>
      </c>
      <c r="X986" s="112">
        <f>IF(T986="","",T986)</f>
        <v/>
      </c>
      <c r="Y986" s="79">
        <f>IF(X986="","",IF(X986&lt;=AsOf+AlertDays,2,IF(X986&lt;=AsOf+30,3,"")))</f>
        <v/>
      </c>
      <c r="Z986" s="79">
        <f>IF(Y986="","",IF(U986&lt;0,"Maintenance overdue: ","Maintenance due: ")&amp;P986)</f>
        <v/>
      </c>
    </row>
    <row r="987" ht="20" customHeight="1">
      <c r="B987" s="72" t="n"/>
      <c r="C987" s="72" t="n"/>
      <c r="D987" s="72" t="n"/>
      <c r="E987" s="109" t="n"/>
      <c r="F987" s="74" t="n"/>
      <c r="G987" s="126">
        <f>IF(OR(E987="",F987=""),"",DATE(YEAR(E987),MONTH(E987)+ROUND(F987*12,0),DAY(E987)))</f>
        <v/>
      </c>
      <c r="H987" s="144">
        <f>IF(G987="","",G987-AsOf)</f>
        <v/>
      </c>
      <c r="I987" s="107">
        <f>IF(G987="","",IF(H987&lt;0,"Expired",IF(H987&lt;=90,"Expires soon","Active")))</f>
        <v/>
      </c>
      <c r="J987" s="72" t="n"/>
      <c r="K987" s="79">
        <f>IF(I987="","",IF(I987="Active",0,IF(I987="Expires soon",1,3)))</f>
        <v/>
      </c>
      <c r="L987" s="112">
        <f>IF(G987="","",IF(G987&lt;AsOf,"",G987))</f>
        <v/>
      </c>
      <c r="M987" s="79">
        <f>IF(L987="","",IF(L987&lt;=AsOf+AlertDays,2,IF(L987&lt;=AsOf+90,3,"")))</f>
        <v/>
      </c>
      <c r="N987" s="79">
        <f>IF(M987="","","Warranty expires in "&amp;H987&amp;" days: "&amp;B987&amp;IF(C987="",""," ("&amp;C987&amp;")")&amp;" — check for defects")</f>
        <v/>
      </c>
      <c r="P987" s="72" t="n"/>
      <c r="Q987" s="72" t="n"/>
      <c r="R987" s="89" t="n"/>
      <c r="S987" s="109" t="n"/>
      <c r="T987" s="126">
        <f>IF(OR(R987="",S987=""),"",DATE(YEAR(S987),MONTH(S987)+R987,DAY(S987)))</f>
        <v/>
      </c>
      <c r="U987" s="144">
        <f>IF(T987="","",T987-AsOf)</f>
        <v/>
      </c>
      <c r="V987" s="107">
        <f>IF(T987="",IF(P987="","","Enter last-done date"),IF(U987&lt;0,"Overdue",IF(U987&lt;=30,"Due soon","OK")))</f>
        <v/>
      </c>
      <c r="W987" s="79">
        <f>IF(T987="","",IF(U987&lt;0,2,IF(U987&lt;=30,1,0)))</f>
        <v/>
      </c>
      <c r="X987" s="112">
        <f>IF(T987="","",T987)</f>
        <v/>
      </c>
      <c r="Y987" s="79">
        <f>IF(X987="","",IF(X987&lt;=AsOf+AlertDays,2,IF(X987&lt;=AsOf+30,3,"")))</f>
        <v/>
      </c>
      <c r="Z987" s="79">
        <f>IF(Y987="","",IF(U987&lt;0,"Maintenance overdue: ","Maintenance due: ")&amp;P987)</f>
        <v/>
      </c>
    </row>
    <row r="988" ht="20" customHeight="1">
      <c r="B988" s="72" t="n"/>
      <c r="C988" s="72" t="n"/>
      <c r="D988" s="72" t="n"/>
      <c r="E988" s="109" t="n"/>
      <c r="F988" s="74" t="n"/>
      <c r="G988" s="126">
        <f>IF(OR(E988="",F988=""),"",DATE(YEAR(E988),MONTH(E988)+ROUND(F988*12,0),DAY(E988)))</f>
        <v/>
      </c>
      <c r="H988" s="144">
        <f>IF(G988="","",G988-AsOf)</f>
        <v/>
      </c>
      <c r="I988" s="107">
        <f>IF(G988="","",IF(H988&lt;0,"Expired",IF(H988&lt;=90,"Expires soon","Active")))</f>
        <v/>
      </c>
      <c r="J988" s="72" t="n"/>
      <c r="K988" s="79">
        <f>IF(I988="","",IF(I988="Active",0,IF(I988="Expires soon",1,3)))</f>
        <v/>
      </c>
      <c r="L988" s="112">
        <f>IF(G988="","",IF(G988&lt;AsOf,"",G988))</f>
        <v/>
      </c>
      <c r="M988" s="79">
        <f>IF(L988="","",IF(L988&lt;=AsOf+AlertDays,2,IF(L988&lt;=AsOf+90,3,"")))</f>
        <v/>
      </c>
      <c r="N988" s="79">
        <f>IF(M988="","","Warranty expires in "&amp;H988&amp;" days: "&amp;B988&amp;IF(C988="",""," ("&amp;C988&amp;")")&amp;" — check for defects")</f>
        <v/>
      </c>
      <c r="P988" s="72" t="n"/>
      <c r="Q988" s="72" t="n"/>
      <c r="R988" s="89" t="n"/>
      <c r="S988" s="109" t="n"/>
      <c r="T988" s="126">
        <f>IF(OR(R988="",S988=""),"",DATE(YEAR(S988),MONTH(S988)+R988,DAY(S988)))</f>
        <v/>
      </c>
      <c r="U988" s="144">
        <f>IF(T988="","",T988-AsOf)</f>
        <v/>
      </c>
      <c r="V988" s="107">
        <f>IF(T988="",IF(P988="","","Enter last-done date"),IF(U988&lt;0,"Overdue",IF(U988&lt;=30,"Due soon","OK")))</f>
        <v/>
      </c>
      <c r="W988" s="79">
        <f>IF(T988="","",IF(U988&lt;0,2,IF(U988&lt;=30,1,0)))</f>
        <v/>
      </c>
      <c r="X988" s="112">
        <f>IF(T988="","",T988)</f>
        <v/>
      </c>
      <c r="Y988" s="79">
        <f>IF(X988="","",IF(X988&lt;=AsOf+AlertDays,2,IF(X988&lt;=AsOf+30,3,"")))</f>
        <v/>
      </c>
      <c r="Z988" s="79">
        <f>IF(Y988="","",IF(U988&lt;0,"Maintenance overdue: ","Maintenance due: ")&amp;P988)</f>
        <v/>
      </c>
    </row>
    <row r="989" ht="20" customHeight="1">
      <c r="B989" s="72" t="n"/>
      <c r="C989" s="72" t="n"/>
      <c r="D989" s="72" t="n"/>
      <c r="E989" s="109" t="n"/>
      <c r="F989" s="74" t="n"/>
      <c r="G989" s="126">
        <f>IF(OR(E989="",F989=""),"",DATE(YEAR(E989),MONTH(E989)+ROUND(F989*12,0),DAY(E989)))</f>
        <v/>
      </c>
      <c r="H989" s="144">
        <f>IF(G989="","",G989-AsOf)</f>
        <v/>
      </c>
      <c r="I989" s="107">
        <f>IF(G989="","",IF(H989&lt;0,"Expired",IF(H989&lt;=90,"Expires soon","Active")))</f>
        <v/>
      </c>
      <c r="J989" s="72" t="n"/>
      <c r="K989" s="79">
        <f>IF(I989="","",IF(I989="Active",0,IF(I989="Expires soon",1,3)))</f>
        <v/>
      </c>
      <c r="L989" s="112">
        <f>IF(G989="","",IF(G989&lt;AsOf,"",G989))</f>
        <v/>
      </c>
      <c r="M989" s="79">
        <f>IF(L989="","",IF(L989&lt;=AsOf+AlertDays,2,IF(L989&lt;=AsOf+90,3,"")))</f>
        <v/>
      </c>
      <c r="N989" s="79">
        <f>IF(M989="","","Warranty expires in "&amp;H989&amp;" days: "&amp;B989&amp;IF(C989="",""," ("&amp;C989&amp;")")&amp;" — check for defects")</f>
        <v/>
      </c>
      <c r="P989" s="72" t="n"/>
      <c r="Q989" s="72" t="n"/>
      <c r="R989" s="89" t="n"/>
      <c r="S989" s="109" t="n"/>
      <c r="T989" s="126">
        <f>IF(OR(R989="",S989=""),"",DATE(YEAR(S989),MONTH(S989)+R989,DAY(S989)))</f>
        <v/>
      </c>
      <c r="U989" s="144">
        <f>IF(T989="","",T989-AsOf)</f>
        <v/>
      </c>
      <c r="V989" s="107">
        <f>IF(T989="",IF(P989="","","Enter last-done date"),IF(U989&lt;0,"Overdue",IF(U989&lt;=30,"Due soon","OK")))</f>
        <v/>
      </c>
      <c r="W989" s="79">
        <f>IF(T989="","",IF(U989&lt;0,2,IF(U989&lt;=30,1,0)))</f>
        <v/>
      </c>
      <c r="X989" s="112">
        <f>IF(T989="","",T989)</f>
        <v/>
      </c>
      <c r="Y989" s="79">
        <f>IF(X989="","",IF(X989&lt;=AsOf+AlertDays,2,IF(X989&lt;=AsOf+30,3,"")))</f>
        <v/>
      </c>
      <c r="Z989" s="79">
        <f>IF(Y989="","",IF(U989&lt;0,"Maintenance overdue: ","Maintenance due: ")&amp;P989)</f>
        <v/>
      </c>
    </row>
    <row r="990" ht="20" customHeight="1">
      <c r="B990" s="72" t="n"/>
      <c r="C990" s="72" t="n"/>
      <c r="D990" s="72" t="n"/>
      <c r="E990" s="109" t="n"/>
      <c r="F990" s="74" t="n"/>
      <c r="G990" s="126">
        <f>IF(OR(E990="",F990=""),"",DATE(YEAR(E990),MONTH(E990)+ROUND(F990*12,0),DAY(E990)))</f>
        <v/>
      </c>
      <c r="H990" s="144">
        <f>IF(G990="","",G990-AsOf)</f>
        <v/>
      </c>
      <c r="I990" s="107">
        <f>IF(G990="","",IF(H990&lt;0,"Expired",IF(H990&lt;=90,"Expires soon","Active")))</f>
        <v/>
      </c>
      <c r="J990" s="72" t="n"/>
      <c r="K990" s="79">
        <f>IF(I990="","",IF(I990="Active",0,IF(I990="Expires soon",1,3)))</f>
        <v/>
      </c>
      <c r="L990" s="112">
        <f>IF(G990="","",IF(G990&lt;AsOf,"",G990))</f>
        <v/>
      </c>
      <c r="M990" s="79">
        <f>IF(L990="","",IF(L990&lt;=AsOf+AlertDays,2,IF(L990&lt;=AsOf+90,3,"")))</f>
        <v/>
      </c>
      <c r="N990" s="79">
        <f>IF(M990="","","Warranty expires in "&amp;H990&amp;" days: "&amp;B990&amp;IF(C990="",""," ("&amp;C990&amp;")")&amp;" — check for defects")</f>
        <v/>
      </c>
      <c r="P990" s="72" t="n"/>
      <c r="Q990" s="72" t="n"/>
      <c r="R990" s="89" t="n"/>
      <c r="S990" s="109" t="n"/>
      <c r="T990" s="126">
        <f>IF(OR(R990="",S990=""),"",DATE(YEAR(S990),MONTH(S990)+R990,DAY(S990)))</f>
        <v/>
      </c>
      <c r="U990" s="144">
        <f>IF(T990="","",T990-AsOf)</f>
        <v/>
      </c>
      <c r="V990" s="107">
        <f>IF(T990="",IF(P990="","","Enter last-done date"),IF(U990&lt;0,"Overdue",IF(U990&lt;=30,"Due soon","OK")))</f>
        <v/>
      </c>
      <c r="W990" s="79">
        <f>IF(T990="","",IF(U990&lt;0,2,IF(U990&lt;=30,1,0)))</f>
        <v/>
      </c>
      <c r="X990" s="112">
        <f>IF(T990="","",T990)</f>
        <v/>
      </c>
      <c r="Y990" s="79">
        <f>IF(X990="","",IF(X990&lt;=AsOf+AlertDays,2,IF(X990&lt;=AsOf+30,3,"")))</f>
        <v/>
      </c>
      <c r="Z990" s="79">
        <f>IF(Y990="","",IF(U990&lt;0,"Maintenance overdue: ","Maintenance due: ")&amp;P990)</f>
        <v/>
      </c>
    </row>
    <row r="991" ht="20" customHeight="1">
      <c r="B991" s="72" t="n"/>
      <c r="C991" s="72" t="n"/>
      <c r="D991" s="72" t="n"/>
      <c r="E991" s="109" t="n"/>
      <c r="F991" s="74" t="n"/>
      <c r="G991" s="126">
        <f>IF(OR(E991="",F991=""),"",DATE(YEAR(E991),MONTH(E991)+ROUND(F991*12,0),DAY(E991)))</f>
        <v/>
      </c>
      <c r="H991" s="144">
        <f>IF(G991="","",G991-AsOf)</f>
        <v/>
      </c>
      <c r="I991" s="107">
        <f>IF(G991="","",IF(H991&lt;0,"Expired",IF(H991&lt;=90,"Expires soon","Active")))</f>
        <v/>
      </c>
      <c r="J991" s="72" t="n"/>
      <c r="K991" s="79">
        <f>IF(I991="","",IF(I991="Active",0,IF(I991="Expires soon",1,3)))</f>
        <v/>
      </c>
      <c r="L991" s="112">
        <f>IF(G991="","",IF(G991&lt;AsOf,"",G991))</f>
        <v/>
      </c>
      <c r="M991" s="79">
        <f>IF(L991="","",IF(L991&lt;=AsOf+AlertDays,2,IF(L991&lt;=AsOf+90,3,"")))</f>
        <v/>
      </c>
      <c r="N991" s="79">
        <f>IF(M991="","","Warranty expires in "&amp;H991&amp;" days: "&amp;B991&amp;IF(C991="",""," ("&amp;C991&amp;")")&amp;" — check for defects")</f>
        <v/>
      </c>
      <c r="P991" s="72" t="n"/>
      <c r="Q991" s="72" t="n"/>
      <c r="R991" s="89" t="n"/>
      <c r="S991" s="109" t="n"/>
      <c r="T991" s="126">
        <f>IF(OR(R991="",S991=""),"",DATE(YEAR(S991),MONTH(S991)+R991,DAY(S991)))</f>
        <v/>
      </c>
      <c r="U991" s="144">
        <f>IF(T991="","",T991-AsOf)</f>
        <v/>
      </c>
      <c r="V991" s="107">
        <f>IF(T991="",IF(P991="","","Enter last-done date"),IF(U991&lt;0,"Overdue",IF(U991&lt;=30,"Due soon","OK")))</f>
        <v/>
      </c>
      <c r="W991" s="79">
        <f>IF(T991="","",IF(U991&lt;0,2,IF(U991&lt;=30,1,0)))</f>
        <v/>
      </c>
      <c r="X991" s="112">
        <f>IF(T991="","",T991)</f>
        <v/>
      </c>
      <c r="Y991" s="79">
        <f>IF(X991="","",IF(X991&lt;=AsOf+AlertDays,2,IF(X991&lt;=AsOf+30,3,"")))</f>
        <v/>
      </c>
      <c r="Z991" s="79">
        <f>IF(Y991="","",IF(U991&lt;0,"Maintenance overdue: ","Maintenance due: ")&amp;P991)</f>
        <v/>
      </c>
    </row>
    <row r="992" ht="20" customHeight="1">
      <c r="B992" s="72" t="n"/>
      <c r="C992" s="72" t="n"/>
      <c r="D992" s="72" t="n"/>
      <c r="E992" s="109" t="n"/>
      <c r="F992" s="74" t="n"/>
      <c r="G992" s="126">
        <f>IF(OR(E992="",F992=""),"",DATE(YEAR(E992),MONTH(E992)+ROUND(F992*12,0),DAY(E992)))</f>
        <v/>
      </c>
      <c r="H992" s="144">
        <f>IF(G992="","",G992-AsOf)</f>
        <v/>
      </c>
      <c r="I992" s="107">
        <f>IF(G992="","",IF(H992&lt;0,"Expired",IF(H992&lt;=90,"Expires soon","Active")))</f>
        <v/>
      </c>
      <c r="J992" s="72" t="n"/>
      <c r="K992" s="79">
        <f>IF(I992="","",IF(I992="Active",0,IF(I992="Expires soon",1,3)))</f>
        <v/>
      </c>
      <c r="L992" s="112">
        <f>IF(G992="","",IF(G992&lt;AsOf,"",G992))</f>
        <v/>
      </c>
      <c r="M992" s="79">
        <f>IF(L992="","",IF(L992&lt;=AsOf+AlertDays,2,IF(L992&lt;=AsOf+90,3,"")))</f>
        <v/>
      </c>
      <c r="N992" s="79">
        <f>IF(M992="","","Warranty expires in "&amp;H992&amp;" days: "&amp;B992&amp;IF(C992="",""," ("&amp;C992&amp;")")&amp;" — check for defects")</f>
        <v/>
      </c>
      <c r="P992" s="72" t="n"/>
      <c r="Q992" s="72" t="n"/>
      <c r="R992" s="89" t="n"/>
      <c r="S992" s="109" t="n"/>
      <c r="T992" s="126">
        <f>IF(OR(R992="",S992=""),"",DATE(YEAR(S992),MONTH(S992)+R992,DAY(S992)))</f>
        <v/>
      </c>
      <c r="U992" s="144">
        <f>IF(T992="","",T992-AsOf)</f>
        <v/>
      </c>
      <c r="V992" s="107">
        <f>IF(T992="",IF(P992="","","Enter last-done date"),IF(U992&lt;0,"Overdue",IF(U992&lt;=30,"Due soon","OK")))</f>
        <v/>
      </c>
      <c r="W992" s="79">
        <f>IF(T992="","",IF(U992&lt;0,2,IF(U992&lt;=30,1,0)))</f>
        <v/>
      </c>
      <c r="X992" s="112">
        <f>IF(T992="","",T992)</f>
        <v/>
      </c>
      <c r="Y992" s="79">
        <f>IF(X992="","",IF(X992&lt;=AsOf+AlertDays,2,IF(X992&lt;=AsOf+30,3,"")))</f>
        <v/>
      </c>
      <c r="Z992" s="79">
        <f>IF(Y992="","",IF(U992&lt;0,"Maintenance overdue: ","Maintenance due: ")&amp;P992)</f>
        <v/>
      </c>
    </row>
    <row r="993" ht="20" customHeight="1">
      <c r="B993" s="72" t="n"/>
      <c r="C993" s="72" t="n"/>
      <c r="D993" s="72" t="n"/>
      <c r="E993" s="109" t="n"/>
      <c r="F993" s="74" t="n"/>
      <c r="G993" s="126">
        <f>IF(OR(E993="",F993=""),"",DATE(YEAR(E993),MONTH(E993)+ROUND(F993*12,0),DAY(E993)))</f>
        <v/>
      </c>
      <c r="H993" s="144">
        <f>IF(G993="","",G993-AsOf)</f>
        <v/>
      </c>
      <c r="I993" s="107">
        <f>IF(G993="","",IF(H993&lt;0,"Expired",IF(H993&lt;=90,"Expires soon","Active")))</f>
        <v/>
      </c>
      <c r="J993" s="72" t="n"/>
      <c r="K993" s="79">
        <f>IF(I993="","",IF(I993="Active",0,IF(I993="Expires soon",1,3)))</f>
        <v/>
      </c>
      <c r="L993" s="112">
        <f>IF(G993="","",IF(G993&lt;AsOf,"",G993))</f>
        <v/>
      </c>
      <c r="M993" s="79">
        <f>IF(L993="","",IF(L993&lt;=AsOf+AlertDays,2,IF(L993&lt;=AsOf+90,3,"")))</f>
        <v/>
      </c>
      <c r="N993" s="79">
        <f>IF(M993="","","Warranty expires in "&amp;H993&amp;" days: "&amp;B993&amp;IF(C993="",""," ("&amp;C993&amp;")")&amp;" — check for defects")</f>
        <v/>
      </c>
      <c r="P993" s="72" t="n"/>
      <c r="Q993" s="72" t="n"/>
      <c r="R993" s="89" t="n"/>
      <c r="S993" s="109" t="n"/>
      <c r="T993" s="126">
        <f>IF(OR(R993="",S993=""),"",DATE(YEAR(S993),MONTH(S993)+R993,DAY(S993)))</f>
        <v/>
      </c>
      <c r="U993" s="144">
        <f>IF(T993="","",T993-AsOf)</f>
        <v/>
      </c>
      <c r="V993" s="107">
        <f>IF(T993="",IF(P993="","","Enter last-done date"),IF(U993&lt;0,"Overdue",IF(U993&lt;=30,"Due soon","OK")))</f>
        <v/>
      </c>
      <c r="W993" s="79">
        <f>IF(T993="","",IF(U993&lt;0,2,IF(U993&lt;=30,1,0)))</f>
        <v/>
      </c>
      <c r="X993" s="112">
        <f>IF(T993="","",T993)</f>
        <v/>
      </c>
      <c r="Y993" s="79">
        <f>IF(X993="","",IF(X993&lt;=AsOf+AlertDays,2,IF(X993&lt;=AsOf+30,3,"")))</f>
        <v/>
      </c>
      <c r="Z993" s="79">
        <f>IF(Y993="","",IF(U993&lt;0,"Maintenance overdue: ","Maintenance due: ")&amp;P993)</f>
        <v/>
      </c>
    </row>
    <row r="994" ht="20" customHeight="1">
      <c r="B994" s="72" t="n"/>
      <c r="C994" s="72" t="n"/>
      <c r="D994" s="72" t="n"/>
      <c r="E994" s="109" t="n"/>
      <c r="F994" s="74" t="n"/>
      <c r="G994" s="126">
        <f>IF(OR(E994="",F994=""),"",DATE(YEAR(E994),MONTH(E994)+ROUND(F994*12,0),DAY(E994)))</f>
        <v/>
      </c>
      <c r="H994" s="144">
        <f>IF(G994="","",G994-AsOf)</f>
        <v/>
      </c>
      <c r="I994" s="107">
        <f>IF(G994="","",IF(H994&lt;0,"Expired",IF(H994&lt;=90,"Expires soon","Active")))</f>
        <v/>
      </c>
      <c r="J994" s="72" t="n"/>
      <c r="K994" s="79">
        <f>IF(I994="","",IF(I994="Active",0,IF(I994="Expires soon",1,3)))</f>
        <v/>
      </c>
      <c r="L994" s="112">
        <f>IF(G994="","",IF(G994&lt;AsOf,"",G994))</f>
        <v/>
      </c>
      <c r="M994" s="79">
        <f>IF(L994="","",IF(L994&lt;=AsOf+AlertDays,2,IF(L994&lt;=AsOf+90,3,"")))</f>
        <v/>
      </c>
      <c r="N994" s="79">
        <f>IF(M994="","","Warranty expires in "&amp;H994&amp;" days: "&amp;B994&amp;IF(C994="",""," ("&amp;C994&amp;")")&amp;" — check for defects")</f>
        <v/>
      </c>
      <c r="P994" s="72" t="n"/>
      <c r="Q994" s="72" t="n"/>
      <c r="R994" s="89" t="n"/>
      <c r="S994" s="109" t="n"/>
      <c r="T994" s="126">
        <f>IF(OR(R994="",S994=""),"",DATE(YEAR(S994),MONTH(S994)+R994,DAY(S994)))</f>
        <v/>
      </c>
      <c r="U994" s="144">
        <f>IF(T994="","",T994-AsOf)</f>
        <v/>
      </c>
      <c r="V994" s="107">
        <f>IF(T994="",IF(P994="","","Enter last-done date"),IF(U994&lt;0,"Overdue",IF(U994&lt;=30,"Due soon","OK")))</f>
        <v/>
      </c>
      <c r="W994" s="79">
        <f>IF(T994="","",IF(U994&lt;0,2,IF(U994&lt;=30,1,0)))</f>
        <v/>
      </c>
      <c r="X994" s="112">
        <f>IF(T994="","",T994)</f>
        <v/>
      </c>
      <c r="Y994" s="79">
        <f>IF(X994="","",IF(X994&lt;=AsOf+AlertDays,2,IF(X994&lt;=AsOf+30,3,"")))</f>
        <v/>
      </c>
      <c r="Z994" s="79">
        <f>IF(Y994="","",IF(U994&lt;0,"Maintenance overdue: ","Maintenance due: ")&amp;P994)</f>
        <v/>
      </c>
    </row>
    <row r="995" ht="20" customHeight="1">
      <c r="B995" s="72" t="n"/>
      <c r="C995" s="72" t="n"/>
      <c r="D995" s="72" t="n"/>
      <c r="E995" s="109" t="n"/>
      <c r="F995" s="74" t="n"/>
      <c r="G995" s="126">
        <f>IF(OR(E995="",F995=""),"",DATE(YEAR(E995),MONTH(E995)+ROUND(F995*12,0),DAY(E995)))</f>
        <v/>
      </c>
      <c r="H995" s="144">
        <f>IF(G995="","",G995-AsOf)</f>
        <v/>
      </c>
      <c r="I995" s="107">
        <f>IF(G995="","",IF(H995&lt;0,"Expired",IF(H995&lt;=90,"Expires soon","Active")))</f>
        <v/>
      </c>
      <c r="J995" s="72" t="n"/>
      <c r="K995" s="79">
        <f>IF(I995="","",IF(I995="Active",0,IF(I995="Expires soon",1,3)))</f>
        <v/>
      </c>
      <c r="L995" s="112">
        <f>IF(G995="","",IF(G995&lt;AsOf,"",G995))</f>
        <v/>
      </c>
      <c r="M995" s="79">
        <f>IF(L995="","",IF(L995&lt;=AsOf+AlertDays,2,IF(L995&lt;=AsOf+90,3,"")))</f>
        <v/>
      </c>
      <c r="N995" s="79">
        <f>IF(M995="","","Warranty expires in "&amp;H995&amp;" days: "&amp;B995&amp;IF(C995="",""," ("&amp;C995&amp;")")&amp;" — check for defects")</f>
        <v/>
      </c>
      <c r="P995" s="72" t="n"/>
      <c r="Q995" s="72" t="n"/>
      <c r="R995" s="89" t="n"/>
      <c r="S995" s="109" t="n"/>
      <c r="T995" s="126">
        <f>IF(OR(R995="",S995=""),"",DATE(YEAR(S995),MONTH(S995)+R995,DAY(S995)))</f>
        <v/>
      </c>
      <c r="U995" s="144">
        <f>IF(T995="","",T995-AsOf)</f>
        <v/>
      </c>
      <c r="V995" s="107">
        <f>IF(T995="",IF(P995="","","Enter last-done date"),IF(U995&lt;0,"Overdue",IF(U995&lt;=30,"Due soon","OK")))</f>
        <v/>
      </c>
      <c r="W995" s="79">
        <f>IF(T995="","",IF(U995&lt;0,2,IF(U995&lt;=30,1,0)))</f>
        <v/>
      </c>
      <c r="X995" s="112">
        <f>IF(T995="","",T995)</f>
        <v/>
      </c>
      <c r="Y995" s="79">
        <f>IF(X995="","",IF(X995&lt;=AsOf+AlertDays,2,IF(X995&lt;=AsOf+30,3,"")))</f>
        <v/>
      </c>
      <c r="Z995" s="79">
        <f>IF(Y995="","",IF(U995&lt;0,"Maintenance overdue: ","Maintenance due: ")&amp;P995)</f>
        <v/>
      </c>
    </row>
    <row r="996" ht="20" customHeight="1">
      <c r="B996" s="72" t="n"/>
      <c r="C996" s="72" t="n"/>
      <c r="D996" s="72" t="n"/>
      <c r="E996" s="109" t="n"/>
      <c r="F996" s="74" t="n"/>
      <c r="G996" s="126">
        <f>IF(OR(E996="",F996=""),"",DATE(YEAR(E996),MONTH(E996)+ROUND(F996*12,0),DAY(E996)))</f>
        <v/>
      </c>
      <c r="H996" s="144">
        <f>IF(G996="","",G996-AsOf)</f>
        <v/>
      </c>
      <c r="I996" s="107">
        <f>IF(G996="","",IF(H996&lt;0,"Expired",IF(H996&lt;=90,"Expires soon","Active")))</f>
        <v/>
      </c>
      <c r="J996" s="72" t="n"/>
      <c r="K996" s="79">
        <f>IF(I996="","",IF(I996="Active",0,IF(I996="Expires soon",1,3)))</f>
        <v/>
      </c>
      <c r="L996" s="112">
        <f>IF(G996="","",IF(G996&lt;AsOf,"",G996))</f>
        <v/>
      </c>
      <c r="M996" s="79">
        <f>IF(L996="","",IF(L996&lt;=AsOf+AlertDays,2,IF(L996&lt;=AsOf+90,3,"")))</f>
        <v/>
      </c>
      <c r="N996" s="79">
        <f>IF(M996="","","Warranty expires in "&amp;H996&amp;" days: "&amp;B996&amp;IF(C996="",""," ("&amp;C996&amp;")")&amp;" — check for defects")</f>
        <v/>
      </c>
      <c r="P996" s="72" t="n"/>
      <c r="Q996" s="72" t="n"/>
      <c r="R996" s="89" t="n"/>
      <c r="S996" s="109" t="n"/>
      <c r="T996" s="126">
        <f>IF(OR(R996="",S996=""),"",DATE(YEAR(S996),MONTH(S996)+R996,DAY(S996)))</f>
        <v/>
      </c>
      <c r="U996" s="144">
        <f>IF(T996="","",T996-AsOf)</f>
        <v/>
      </c>
      <c r="V996" s="107">
        <f>IF(T996="",IF(P996="","","Enter last-done date"),IF(U996&lt;0,"Overdue",IF(U996&lt;=30,"Due soon","OK")))</f>
        <v/>
      </c>
      <c r="W996" s="79">
        <f>IF(T996="","",IF(U996&lt;0,2,IF(U996&lt;=30,1,0)))</f>
        <v/>
      </c>
      <c r="X996" s="112">
        <f>IF(T996="","",T996)</f>
        <v/>
      </c>
      <c r="Y996" s="79">
        <f>IF(X996="","",IF(X996&lt;=AsOf+AlertDays,2,IF(X996&lt;=AsOf+30,3,"")))</f>
        <v/>
      </c>
      <c r="Z996" s="79">
        <f>IF(Y996="","",IF(U996&lt;0,"Maintenance overdue: ","Maintenance due: ")&amp;P996)</f>
        <v/>
      </c>
    </row>
    <row r="997" ht="20" customHeight="1">
      <c r="B997" s="72" t="n"/>
      <c r="C997" s="72" t="n"/>
      <c r="D997" s="72" t="n"/>
      <c r="E997" s="109" t="n"/>
      <c r="F997" s="74" t="n"/>
      <c r="G997" s="126">
        <f>IF(OR(E997="",F997=""),"",DATE(YEAR(E997),MONTH(E997)+ROUND(F997*12,0),DAY(E997)))</f>
        <v/>
      </c>
      <c r="H997" s="144">
        <f>IF(G997="","",G997-AsOf)</f>
        <v/>
      </c>
      <c r="I997" s="107">
        <f>IF(G997="","",IF(H997&lt;0,"Expired",IF(H997&lt;=90,"Expires soon","Active")))</f>
        <v/>
      </c>
      <c r="J997" s="72" t="n"/>
      <c r="K997" s="79">
        <f>IF(I997="","",IF(I997="Active",0,IF(I997="Expires soon",1,3)))</f>
        <v/>
      </c>
      <c r="L997" s="112">
        <f>IF(G997="","",IF(G997&lt;AsOf,"",G997))</f>
        <v/>
      </c>
      <c r="M997" s="79">
        <f>IF(L997="","",IF(L997&lt;=AsOf+AlertDays,2,IF(L997&lt;=AsOf+90,3,"")))</f>
        <v/>
      </c>
      <c r="N997" s="79">
        <f>IF(M997="","","Warranty expires in "&amp;H997&amp;" days: "&amp;B997&amp;IF(C997="",""," ("&amp;C997&amp;")")&amp;" — check for defects")</f>
        <v/>
      </c>
      <c r="P997" s="72" t="n"/>
      <c r="Q997" s="72" t="n"/>
      <c r="R997" s="89" t="n"/>
      <c r="S997" s="109" t="n"/>
      <c r="T997" s="126">
        <f>IF(OR(R997="",S997=""),"",DATE(YEAR(S997),MONTH(S997)+R997,DAY(S997)))</f>
        <v/>
      </c>
      <c r="U997" s="144">
        <f>IF(T997="","",T997-AsOf)</f>
        <v/>
      </c>
      <c r="V997" s="107">
        <f>IF(T997="",IF(P997="","","Enter last-done date"),IF(U997&lt;0,"Overdue",IF(U997&lt;=30,"Due soon","OK")))</f>
        <v/>
      </c>
      <c r="W997" s="79">
        <f>IF(T997="","",IF(U997&lt;0,2,IF(U997&lt;=30,1,0)))</f>
        <v/>
      </c>
      <c r="X997" s="112">
        <f>IF(T997="","",T997)</f>
        <v/>
      </c>
      <c r="Y997" s="79">
        <f>IF(X997="","",IF(X997&lt;=AsOf+AlertDays,2,IF(X997&lt;=AsOf+30,3,"")))</f>
        <v/>
      </c>
      <c r="Z997" s="79">
        <f>IF(Y997="","",IF(U997&lt;0,"Maintenance overdue: ","Maintenance due: ")&amp;P997)</f>
        <v/>
      </c>
    </row>
    <row r="998" ht="20" customHeight="1">
      <c r="B998" s="72" t="n"/>
      <c r="C998" s="72" t="n"/>
      <c r="D998" s="72" t="n"/>
      <c r="E998" s="109" t="n"/>
      <c r="F998" s="74" t="n"/>
      <c r="G998" s="126">
        <f>IF(OR(E998="",F998=""),"",DATE(YEAR(E998),MONTH(E998)+ROUND(F998*12,0),DAY(E998)))</f>
        <v/>
      </c>
      <c r="H998" s="144">
        <f>IF(G998="","",G998-AsOf)</f>
        <v/>
      </c>
      <c r="I998" s="107">
        <f>IF(G998="","",IF(H998&lt;0,"Expired",IF(H998&lt;=90,"Expires soon","Active")))</f>
        <v/>
      </c>
      <c r="J998" s="72" t="n"/>
      <c r="K998" s="79">
        <f>IF(I998="","",IF(I998="Active",0,IF(I998="Expires soon",1,3)))</f>
        <v/>
      </c>
      <c r="L998" s="112">
        <f>IF(G998="","",IF(G998&lt;AsOf,"",G998))</f>
        <v/>
      </c>
      <c r="M998" s="79">
        <f>IF(L998="","",IF(L998&lt;=AsOf+AlertDays,2,IF(L998&lt;=AsOf+90,3,"")))</f>
        <v/>
      </c>
      <c r="N998" s="79">
        <f>IF(M998="","","Warranty expires in "&amp;H998&amp;" days: "&amp;B998&amp;IF(C998="",""," ("&amp;C998&amp;")")&amp;" — check for defects")</f>
        <v/>
      </c>
      <c r="P998" s="72" t="n"/>
      <c r="Q998" s="72" t="n"/>
      <c r="R998" s="89" t="n"/>
      <c r="S998" s="109" t="n"/>
      <c r="T998" s="126">
        <f>IF(OR(R998="",S998=""),"",DATE(YEAR(S998),MONTH(S998)+R998,DAY(S998)))</f>
        <v/>
      </c>
      <c r="U998" s="144">
        <f>IF(T998="","",T998-AsOf)</f>
        <v/>
      </c>
      <c r="V998" s="107">
        <f>IF(T998="",IF(P998="","","Enter last-done date"),IF(U998&lt;0,"Overdue",IF(U998&lt;=30,"Due soon","OK")))</f>
        <v/>
      </c>
      <c r="W998" s="79">
        <f>IF(T998="","",IF(U998&lt;0,2,IF(U998&lt;=30,1,0)))</f>
        <v/>
      </c>
      <c r="X998" s="112">
        <f>IF(T998="","",T998)</f>
        <v/>
      </c>
      <c r="Y998" s="79">
        <f>IF(X998="","",IF(X998&lt;=AsOf+AlertDays,2,IF(X998&lt;=AsOf+30,3,"")))</f>
        <v/>
      </c>
      <c r="Z998" s="79">
        <f>IF(Y998="","",IF(U998&lt;0,"Maintenance overdue: ","Maintenance due: ")&amp;P998)</f>
        <v/>
      </c>
    </row>
    <row r="999" ht="20" customHeight="1">
      <c r="B999" s="72" t="n"/>
      <c r="C999" s="72" t="n"/>
      <c r="D999" s="72" t="n"/>
      <c r="E999" s="109" t="n"/>
      <c r="F999" s="74" t="n"/>
      <c r="G999" s="126">
        <f>IF(OR(E999="",F999=""),"",DATE(YEAR(E999),MONTH(E999)+ROUND(F999*12,0),DAY(E999)))</f>
        <v/>
      </c>
      <c r="H999" s="144">
        <f>IF(G999="","",G999-AsOf)</f>
        <v/>
      </c>
      <c r="I999" s="107">
        <f>IF(G999="","",IF(H999&lt;0,"Expired",IF(H999&lt;=90,"Expires soon","Active")))</f>
        <v/>
      </c>
      <c r="J999" s="72" t="n"/>
      <c r="K999" s="79">
        <f>IF(I999="","",IF(I999="Active",0,IF(I999="Expires soon",1,3)))</f>
        <v/>
      </c>
      <c r="L999" s="112">
        <f>IF(G999="","",IF(G999&lt;AsOf,"",G999))</f>
        <v/>
      </c>
      <c r="M999" s="79">
        <f>IF(L999="","",IF(L999&lt;=AsOf+AlertDays,2,IF(L999&lt;=AsOf+90,3,"")))</f>
        <v/>
      </c>
      <c r="N999" s="79">
        <f>IF(M999="","","Warranty expires in "&amp;H999&amp;" days: "&amp;B999&amp;IF(C999="",""," ("&amp;C999&amp;")")&amp;" — check for defects")</f>
        <v/>
      </c>
      <c r="P999" s="72" t="n"/>
      <c r="Q999" s="72" t="n"/>
      <c r="R999" s="89" t="n"/>
      <c r="S999" s="109" t="n"/>
      <c r="T999" s="126">
        <f>IF(OR(R999="",S999=""),"",DATE(YEAR(S999),MONTH(S999)+R999,DAY(S999)))</f>
        <v/>
      </c>
      <c r="U999" s="144">
        <f>IF(T999="","",T999-AsOf)</f>
        <v/>
      </c>
      <c r="V999" s="107">
        <f>IF(T999="",IF(P999="","","Enter last-done date"),IF(U999&lt;0,"Overdue",IF(U999&lt;=30,"Due soon","OK")))</f>
        <v/>
      </c>
      <c r="W999" s="79">
        <f>IF(T999="","",IF(U999&lt;0,2,IF(U999&lt;=30,1,0)))</f>
        <v/>
      </c>
      <c r="X999" s="112">
        <f>IF(T999="","",T999)</f>
        <v/>
      </c>
      <c r="Y999" s="79">
        <f>IF(X999="","",IF(X999&lt;=AsOf+AlertDays,2,IF(X999&lt;=AsOf+30,3,"")))</f>
        <v/>
      </c>
      <c r="Z999" s="79">
        <f>IF(Y999="","",IF(U999&lt;0,"Maintenance overdue: ","Maintenance due: ")&amp;P999)</f>
        <v/>
      </c>
    </row>
    <row r="1000" ht="20" customHeight="1">
      <c r="B1000" s="72" t="n"/>
      <c r="C1000" s="72" t="n"/>
      <c r="D1000" s="72" t="n"/>
      <c r="E1000" s="109" t="n"/>
      <c r="F1000" s="74" t="n"/>
      <c r="G1000" s="126">
        <f>IF(OR(E1000="",F1000=""),"",DATE(YEAR(E1000),MONTH(E1000)+ROUND(F1000*12,0),DAY(E1000)))</f>
        <v/>
      </c>
      <c r="H1000" s="144">
        <f>IF(G1000="","",G1000-AsOf)</f>
        <v/>
      </c>
      <c r="I1000" s="107">
        <f>IF(G1000="","",IF(H1000&lt;0,"Expired",IF(H1000&lt;=90,"Expires soon","Active")))</f>
        <v/>
      </c>
      <c r="J1000" s="72" t="n"/>
      <c r="K1000" s="79">
        <f>IF(I1000="","",IF(I1000="Active",0,IF(I1000="Expires soon",1,3)))</f>
        <v/>
      </c>
      <c r="L1000" s="112">
        <f>IF(G1000="","",IF(G1000&lt;AsOf,"",G1000))</f>
        <v/>
      </c>
      <c r="M1000" s="79">
        <f>IF(L1000="","",IF(L1000&lt;=AsOf+AlertDays,2,IF(L1000&lt;=AsOf+90,3,"")))</f>
        <v/>
      </c>
      <c r="N1000" s="79">
        <f>IF(M1000="","","Warranty expires in "&amp;H1000&amp;" days: "&amp;B1000&amp;IF(C1000="",""," ("&amp;C1000&amp;")")&amp;" — check for defects")</f>
        <v/>
      </c>
      <c r="P1000" s="72" t="n"/>
      <c r="Q1000" s="72" t="n"/>
      <c r="R1000" s="89" t="n"/>
      <c r="S1000" s="109" t="n"/>
      <c r="T1000" s="126">
        <f>IF(OR(R1000="",S1000=""),"",DATE(YEAR(S1000),MONTH(S1000)+R1000,DAY(S1000)))</f>
        <v/>
      </c>
      <c r="U1000" s="144">
        <f>IF(T1000="","",T1000-AsOf)</f>
        <v/>
      </c>
      <c r="V1000" s="107">
        <f>IF(T1000="",IF(P1000="","","Enter last-done date"),IF(U1000&lt;0,"Overdue",IF(U1000&lt;=30,"Due soon","OK")))</f>
        <v/>
      </c>
      <c r="W1000" s="79">
        <f>IF(T1000="","",IF(U1000&lt;0,2,IF(U1000&lt;=30,1,0)))</f>
        <v/>
      </c>
      <c r="X1000" s="112">
        <f>IF(T1000="","",T1000)</f>
        <v/>
      </c>
      <c r="Y1000" s="79">
        <f>IF(X1000="","",IF(X1000&lt;=AsOf+AlertDays,2,IF(X1000&lt;=AsOf+30,3,"")))</f>
        <v/>
      </c>
      <c r="Z1000" s="79">
        <f>IF(Y1000="","",IF(U1000&lt;0,"Maintenance overdue: ","Maintenance due: ")&amp;P1000)</f>
        <v/>
      </c>
    </row>
    <row r="1001" ht="20" customHeight="1">
      <c r="B1001" s="72" t="n"/>
      <c r="C1001" s="72" t="n"/>
      <c r="D1001" s="72" t="n"/>
      <c r="E1001" s="109" t="n"/>
      <c r="F1001" s="74" t="n"/>
      <c r="G1001" s="126">
        <f>IF(OR(E1001="",F1001=""),"",DATE(YEAR(E1001),MONTH(E1001)+ROUND(F1001*12,0),DAY(E1001)))</f>
        <v/>
      </c>
      <c r="H1001" s="144">
        <f>IF(G1001="","",G1001-AsOf)</f>
        <v/>
      </c>
      <c r="I1001" s="107">
        <f>IF(G1001="","",IF(H1001&lt;0,"Expired",IF(H1001&lt;=90,"Expires soon","Active")))</f>
        <v/>
      </c>
      <c r="J1001" s="72" t="n"/>
      <c r="K1001" s="79">
        <f>IF(I1001="","",IF(I1001="Active",0,IF(I1001="Expires soon",1,3)))</f>
        <v/>
      </c>
      <c r="L1001" s="112">
        <f>IF(G1001="","",IF(G1001&lt;AsOf,"",G1001))</f>
        <v/>
      </c>
      <c r="M1001" s="79">
        <f>IF(L1001="","",IF(L1001&lt;=AsOf+AlertDays,2,IF(L1001&lt;=AsOf+90,3,"")))</f>
        <v/>
      </c>
      <c r="N1001" s="79">
        <f>IF(M1001="","","Warranty expires in "&amp;H1001&amp;" days: "&amp;B1001&amp;IF(C1001="",""," ("&amp;C1001&amp;")")&amp;" — check for defects")</f>
        <v/>
      </c>
      <c r="P1001" s="72" t="n"/>
      <c r="Q1001" s="72" t="n"/>
      <c r="R1001" s="89" t="n"/>
      <c r="S1001" s="109" t="n"/>
      <c r="T1001" s="126">
        <f>IF(OR(R1001="",S1001=""),"",DATE(YEAR(S1001),MONTH(S1001)+R1001,DAY(S1001)))</f>
        <v/>
      </c>
      <c r="U1001" s="144">
        <f>IF(T1001="","",T1001-AsOf)</f>
        <v/>
      </c>
      <c r="V1001" s="107">
        <f>IF(T1001="",IF(P1001="","","Enter last-done date"),IF(U1001&lt;0,"Overdue",IF(U1001&lt;=30,"Due soon","OK")))</f>
        <v/>
      </c>
      <c r="W1001" s="79">
        <f>IF(T1001="","",IF(U1001&lt;0,2,IF(U1001&lt;=30,1,0)))</f>
        <v/>
      </c>
      <c r="X1001" s="112">
        <f>IF(T1001="","",T1001)</f>
        <v/>
      </c>
      <c r="Y1001" s="79">
        <f>IF(X1001="","",IF(X1001&lt;=AsOf+AlertDays,2,IF(X1001&lt;=AsOf+30,3,"")))</f>
        <v/>
      </c>
      <c r="Z1001" s="79">
        <f>IF(Y1001="","",IF(U1001&lt;0,"Maintenance overdue: ","Maintenance due: ")&amp;P1001)</f>
        <v/>
      </c>
    </row>
    <row r="1002" ht="20" customHeight="1">
      <c r="B1002" s="72" t="n"/>
      <c r="C1002" s="72" t="n"/>
      <c r="D1002" s="72" t="n"/>
      <c r="E1002" s="109" t="n"/>
      <c r="F1002" s="74" t="n"/>
      <c r="G1002" s="126">
        <f>IF(OR(E1002="",F1002=""),"",DATE(YEAR(E1002),MONTH(E1002)+ROUND(F1002*12,0),DAY(E1002)))</f>
        <v/>
      </c>
      <c r="H1002" s="144">
        <f>IF(G1002="","",G1002-AsOf)</f>
        <v/>
      </c>
      <c r="I1002" s="107">
        <f>IF(G1002="","",IF(H1002&lt;0,"Expired",IF(H1002&lt;=90,"Expires soon","Active")))</f>
        <v/>
      </c>
      <c r="J1002" s="72" t="n"/>
      <c r="K1002" s="79">
        <f>IF(I1002="","",IF(I1002="Active",0,IF(I1002="Expires soon",1,3)))</f>
        <v/>
      </c>
      <c r="L1002" s="112">
        <f>IF(G1002="","",IF(G1002&lt;AsOf,"",G1002))</f>
        <v/>
      </c>
      <c r="M1002" s="79">
        <f>IF(L1002="","",IF(L1002&lt;=AsOf+AlertDays,2,IF(L1002&lt;=AsOf+90,3,"")))</f>
        <v/>
      </c>
      <c r="N1002" s="79">
        <f>IF(M1002="","","Warranty expires in "&amp;H1002&amp;" days: "&amp;B1002&amp;IF(C1002="",""," ("&amp;C1002&amp;")")&amp;" — check for defects")</f>
        <v/>
      </c>
      <c r="P1002" s="72" t="n"/>
      <c r="Q1002" s="72" t="n"/>
      <c r="R1002" s="89" t="n"/>
      <c r="S1002" s="109" t="n"/>
      <c r="T1002" s="126">
        <f>IF(OR(R1002="",S1002=""),"",DATE(YEAR(S1002),MONTH(S1002)+R1002,DAY(S1002)))</f>
        <v/>
      </c>
      <c r="U1002" s="144">
        <f>IF(T1002="","",T1002-AsOf)</f>
        <v/>
      </c>
      <c r="V1002" s="107">
        <f>IF(T1002="",IF(P1002="","","Enter last-done date"),IF(U1002&lt;0,"Overdue",IF(U1002&lt;=30,"Due soon","OK")))</f>
        <v/>
      </c>
      <c r="W1002" s="79">
        <f>IF(T1002="","",IF(U1002&lt;0,2,IF(U1002&lt;=30,1,0)))</f>
        <v/>
      </c>
      <c r="X1002" s="112">
        <f>IF(T1002="","",T1002)</f>
        <v/>
      </c>
      <c r="Y1002" s="79">
        <f>IF(X1002="","",IF(X1002&lt;=AsOf+AlertDays,2,IF(X1002&lt;=AsOf+30,3,"")))</f>
        <v/>
      </c>
      <c r="Z1002" s="79">
        <f>IF(Y1002="","",IF(U1002&lt;0,"Maintenance overdue: ","Maintenance due: ")&amp;P1002)</f>
        <v/>
      </c>
    </row>
    <row r="1003" ht="20" customHeight="1">
      <c r="B1003" s="72" t="n"/>
      <c r="C1003" s="72" t="n"/>
      <c r="D1003" s="72" t="n"/>
      <c r="E1003" s="109" t="n"/>
      <c r="F1003" s="74" t="n"/>
      <c r="G1003" s="126">
        <f>IF(OR(E1003="",F1003=""),"",DATE(YEAR(E1003),MONTH(E1003)+ROUND(F1003*12,0),DAY(E1003)))</f>
        <v/>
      </c>
      <c r="H1003" s="144">
        <f>IF(G1003="","",G1003-AsOf)</f>
        <v/>
      </c>
      <c r="I1003" s="107">
        <f>IF(G1003="","",IF(H1003&lt;0,"Expired",IF(H1003&lt;=90,"Expires soon","Active")))</f>
        <v/>
      </c>
      <c r="J1003" s="72" t="n"/>
      <c r="K1003" s="79">
        <f>IF(I1003="","",IF(I1003="Active",0,IF(I1003="Expires soon",1,3)))</f>
        <v/>
      </c>
      <c r="L1003" s="112">
        <f>IF(G1003="","",IF(G1003&lt;AsOf,"",G1003))</f>
        <v/>
      </c>
      <c r="M1003" s="79">
        <f>IF(L1003="","",IF(L1003&lt;=AsOf+AlertDays,2,IF(L1003&lt;=AsOf+90,3,"")))</f>
        <v/>
      </c>
      <c r="N1003" s="79">
        <f>IF(M1003="","","Warranty expires in "&amp;H1003&amp;" days: "&amp;B1003&amp;IF(C1003="",""," ("&amp;C1003&amp;")")&amp;" — check for defects")</f>
        <v/>
      </c>
      <c r="P1003" s="72" t="n"/>
      <c r="Q1003" s="72" t="n"/>
      <c r="R1003" s="89" t="n"/>
      <c r="S1003" s="109" t="n"/>
      <c r="T1003" s="126">
        <f>IF(OR(R1003="",S1003=""),"",DATE(YEAR(S1003),MONTH(S1003)+R1003,DAY(S1003)))</f>
        <v/>
      </c>
      <c r="U1003" s="144">
        <f>IF(T1003="","",T1003-AsOf)</f>
        <v/>
      </c>
      <c r="V1003" s="107">
        <f>IF(T1003="",IF(P1003="","","Enter last-done date"),IF(U1003&lt;0,"Overdue",IF(U1003&lt;=30,"Due soon","OK")))</f>
        <v/>
      </c>
      <c r="W1003" s="79">
        <f>IF(T1003="","",IF(U1003&lt;0,2,IF(U1003&lt;=30,1,0)))</f>
        <v/>
      </c>
      <c r="X1003" s="112">
        <f>IF(T1003="","",T1003)</f>
        <v/>
      </c>
      <c r="Y1003" s="79">
        <f>IF(X1003="","",IF(X1003&lt;=AsOf+AlertDays,2,IF(X1003&lt;=AsOf+30,3,"")))</f>
        <v/>
      </c>
      <c r="Z1003" s="79">
        <f>IF(Y1003="","",IF(U1003&lt;0,"Maintenance overdue: ","Maintenance due: ")&amp;P1003)</f>
        <v/>
      </c>
    </row>
    <row r="1004" ht="20" customHeight="1">
      <c r="B1004" s="72" t="n"/>
      <c r="C1004" s="72" t="n"/>
      <c r="D1004" s="72" t="n"/>
      <c r="E1004" s="109" t="n"/>
      <c r="F1004" s="74" t="n"/>
      <c r="G1004" s="126">
        <f>IF(OR(E1004="",F1004=""),"",DATE(YEAR(E1004),MONTH(E1004)+ROUND(F1004*12,0),DAY(E1004)))</f>
        <v/>
      </c>
      <c r="H1004" s="144">
        <f>IF(G1004="","",G1004-AsOf)</f>
        <v/>
      </c>
      <c r="I1004" s="107">
        <f>IF(G1004="","",IF(H1004&lt;0,"Expired",IF(H1004&lt;=90,"Expires soon","Active")))</f>
        <v/>
      </c>
      <c r="J1004" s="72" t="n"/>
      <c r="K1004" s="79">
        <f>IF(I1004="","",IF(I1004="Active",0,IF(I1004="Expires soon",1,3)))</f>
        <v/>
      </c>
      <c r="L1004" s="112">
        <f>IF(G1004="","",IF(G1004&lt;AsOf,"",G1004))</f>
        <v/>
      </c>
      <c r="M1004" s="79">
        <f>IF(L1004="","",IF(L1004&lt;=AsOf+AlertDays,2,IF(L1004&lt;=AsOf+90,3,"")))</f>
        <v/>
      </c>
      <c r="N1004" s="79">
        <f>IF(M1004="","","Warranty expires in "&amp;H1004&amp;" days: "&amp;B1004&amp;IF(C1004="",""," ("&amp;C1004&amp;")")&amp;" — check for defects")</f>
        <v/>
      </c>
      <c r="P1004" s="72" t="n"/>
      <c r="Q1004" s="72" t="n"/>
      <c r="R1004" s="89" t="n"/>
      <c r="S1004" s="109" t="n"/>
      <c r="T1004" s="126">
        <f>IF(OR(R1004="",S1004=""),"",DATE(YEAR(S1004),MONTH(S1004)+R1004,DAY(S1004)))</f>
        <v/>
      </c>
      <c r="U1004" s="144">
        <f>IF(T1004="","",T1004-AsOf)</f>
        <v/>
      </c>
      <c r="V1004" s="107">
        <f>IF(T1004="",IF(P1004="","","Enter last-done date"),IF(U1004&lt;0,"Overdue",IF(U1004&lt;=30,"Due soon","OK")))</f>
        <v/>
      </c>
      <c r="W1004" s="79">
        <f>IF(T1004="","",IF(U1004&lt;0,2,IF(U1004&lt;=30,1,0)))</f>
        <v/>
      </c>
      <c r="X1004" s="112">
        <f>IF(T1004="","",T1004)</f>
        <v/>
      </c>
      <c r="Y1004" s="79">
        <f>IF(X1004="","",IF(X1004&lt;=AsOf+AlertDays,2,IF(X1004&lt;=AsOf+30,3,"")))</f>
        <v/>
      </c>
      <c r="Z1004" s="79">
        <f>IF(Y1004="","",IF(U1004&lt;0,"Maintenance overdue: ","Maintenance due: ")&amp;P1004)</f>
        <v/>
      </c>
    </row>
    <row r="1005" ht="20" customHeight="1">
      <c r="B1005" s="72" t="n"/>
      <c r="C1005" s="72" t="n"/>
      <c r="D1005" s="72" t="n"/>
      <c r="E1005" s="109" t="n"/>
      <c r="F1005" s="74" t="n"/>
      <c r="G1005" s="126">
        <f>IF(OR(E1005="",F1005=""),"",DATE(YEAR(E1005),MONTH(E1005)+ROUND(F1005*12,0),DAY(E1005)))</f>
        <v/>
      </c>
      <c r="H1005" s="144">
        <f>IF(G1005="","",G1005-AsOf)</f>
        <v/>
      </c>
      <c r="I1005" s="107">
        <f>IF(G1005="","",IF(H1005&lt;0,"Expired",IF(H1005&lt;=90,"Expires soon","Active")))</f>
        <v/>
      </c>
      <c r="J1005" s="72" t="n"/>
      <c r="K1005" s="79">
        <f>IF(I1005="","",IF(I1005="Active",0,IF(I1005="Expires soon",1,3)))</f>
        <v/>
      </c>
      <c r="L1005" s="112">
        <f>IF(G1005="","",IF(G1005&lt;AsOf,"",G1005))</f>
        <v/>
      </c>
      <c r="M1005" s="79">
        <f>IF(L1005="","",IF(L1005&lt;=AsOf+AlertDays,2,IF(L1005&lt;=AsOf+90,3,"")))</f>
        <v/>
      </c>
      <c r="N1005" s="79">
        <f>IF(M1005="","","Warranty expires in "&amp;H1005&amp;" days: "&amp;B1005&amp;IF(C1005="",""," ("&amp;C1005&amp;")")&amp;" — check for defects")</f>
        <v/>
      </c>
      <c r="P1005" s="72" t="n"/>
      <c r="Q1005" s="72" t="n"/>
      <c r="R1005" s="89" t="n"/>
      <c r="S1005" s="109" t="n"/>
      <c r="T1005" s="126">
        <f>IF(OR(R1005="",S1005=""),"",DATE(YEAR(S1005),MONTH(S1005)+R1005,DAY(S1005)))</f>
        <v/>
      </c>
      <c r="U1005" s="144">
        <f>IF(T1005="","",T1005-AsOf)</f>
        <v/>
      </c>
      <c r="V1005" s="107">
        <f>IF(T1005="",IF(P1005="","","Enter last-done date"),IF(U1005&lt;0,"Overdue",IF(U1005&lt;=30,"Due soon","OK")))</f>
        <v/>
      </c>
      <c r="W1005" s="79">
        <f>IF(T1005="","",IF(U1005&lt;0,2,IF(U1005&lt;=30,1,0)))</f>
        <v/>
      </c>
      <c r="X1005" s="112">
        <f>IF(T1005="","",T1005)</f>
        <v/>
      </c>
      <c r="Y1005" s="79">
        <f>IF(X1005="","",IF(X1005&lt;=AsOf+AlertDays,2,IF(X1005&lt;=AsOf+30,3,"")))</f>
        <v/>
      </c>
      <c r="Z1005" s="79">
        <f>IF(Y1005="","",IF(U1005&lt;0,"Maintenance overdue: ","Maintenance due: ")&amp;P1005)</f>
        <v/>
      </c>
    </row>
    <row r="1006" ht="20" customHeight="1">
      <c r="B1006" s="72" t="n"/>
      <c r="C1006" s="72" t="n"/>
      <c r="D1006" s="72" t="n"/>
      <c r="E1006" s="109" t="n"/>
      <c r="F1006" s="74" t="n"/>
      <c r="G1006" s="126">
        <f>IF(OR(E1006="",F1006=""),"",DATE(YEAR(E1006),MONTH(E1006)+ROUND(F1006*12,0),DAY(E1006)))</f>
        <v/>
      </c>
      <c r="H1006" s="144">
        <f>IF(G1006="","",G1006-AsOf)</f>
        <v/>
      </c>
      <c r="I1006" s="107">
        <f>IF(G1006="","",IF(H1006&lt;0,"Expired",IF(H1006&lt;=90,"Expires soon","Active")))</f>
        <v/>
      </c>
      <c r="J1006" s="72" t="n"/>
      <c r="K1006" s="79">
        <f>IF(I1006="","",IF(I1006="Active",0,IF(I1006="Expires soon",1,3)))</f>
        <v/>
      </c>
      <c r="L1006" s="112">
        <f>IF(G1006="","",IF(G1006&lt;AsOf,"",G1006))</f>
        <v/>
      </c>
      <c r="M1006" s="79">
        <f>IF(L1006="","",IF(L1006&lt;=AsOf+AlertDays,2,IF(L1006&lt;=AsOf+90,3,"")))</f>
        <v/>
      </c>
      <c r="N1006" s="79">
        <f>IF(M1006="","","Warranty expires in "&amp;H1006&amp;" days: "&amp;B1006&amp;IF(C1006="",""," ("&amp;C1006&amp;")")&amp;" — check for defects")</f>
        <v/>
      </c>
      <c r="P1006" s="72" t="n"/>
      <c r="Q1006" s="72" t="n"/>
      <c r="R1006" s="89" t="n"/>
      <c r="S1006" s="109" t="n"/>
      <c r="T1006" s="126">
        <f>IF(OR(R1006="",S1006=""),"",DATE(YEAR(S1006),MONTH(S1006)+R1006,DAY(S1006)))</f>
        <v/>
      </c>
      <c r="U1006" s="144">
        <f>IF(T1006="","",T1006-AsOf)</f>
        <v/>
      </c>
      <c r="V1006" s="107">
        <f>IF(T1006="",IF(P1006="","","Enter last-done date"),IF(U1006&lt;0,"Overdue",IF(U1006&lt;=30,"Due soon","OK")))</f>
        <v/>
      </c>
      <c r="W1006" s="79">
        <f>IF(T1006="","",IF(U1006&lt;0,2,IF(U1006&lt;=30,1,0)))</f>
        <v/>
      </c>
      <c r="X1006" s="112">
        <f>IF(T1006="","",T1006)</f>
        <v/>
      </c>
      <c r="Y1006" s="79">
        <f>IF(X1006="","",IF(X1006&lt;=AsOf+AlertDays,2,IF(X1006&lt;=AsOf+30,3,"")))</f>
        <v/>
      </c>
      <c r="Z1006" s="79">
        <f>IF(Y1006="","",IF(U1006&lt;0,"Maintenance overdue: ","Maintenance due: ")&amp;P1006)</f>
        <v/>
      </c>
    </row>
  </sheetData>
  <sheetProtection selectLockedCells="1" selectUnlockedCells="0" sheet="1" objects="0" insertRows="1" insertHyperlinks="1" autoFilter="1" scenarios="0" formatColumns="0" deleteColumns="1" insertColumns="1" pivotTables="1" deleteRows="1" formatCells="1" formatRows="0" sort="1" password="CD61"/>
  <conditionalFormatting sqref="I7:I1006">
    <cfRule type="expression" priority="1" dxfId="0" stopIfTrue="0">
      <formula>$K7=2</formula>
    </cfRule>
    <cfRule type="expression" priority="2" dxfId="2" stopIfTrue="0">
      <formula>$K7=1</formula>
    </cfRule>
    <cfRule type="expression" priority="3" dxfId="3" stopIfTrue="0">
      <formula>$K7=0</formula>
    </cfRule>
    <cfRule type="expression" priority="4" dxfId="7" stopIfTrue="0">
      <formula>$K7=3</formula>
    </cfRule>
  </conditionalFormatting>
  <conditionalFormatting sqref="V7:V1006">
    <cfRule type="expression" priority="5" dxfId="0" stopIfTrue="0">
      <formula>$W7=2</formula>
    </cfRule>
    <cfRule type="expression" priority="6" dxfId="2" stopIfTrue="0">
      <formula>$W7=1</formula>
    </cfRule>
    <cfRule type="expression" priority="7" dxfId="3" stopIfTrue="0">
      <formula>$W7=0</formula>
    </cfRule>
  </conditionalFormatting>
  <dataValidations count="2">
    <dataValidation sqref="C7:C1006" showDropDown="0" showInputMessage="0" showErrorMessage="1" allowBlank="1" errorTitle="Renovation OS" error="This name is not in the list. Keep it anyway?" type="list" errorStyle="warning">
      <formula1>='Lists'!$X$2:$X$1001</formula1>
    </dataValidation>
    <dataValidation sqref="D7:D1006 Q7:Q1006" showDropDown="0" showInputMessage="0" showErrorMessage="1" allowBlank="1" errorTitle="Renovation OS" error="Please pick a value from the dropdown list." type="list">
      <formula1>='Lists'!$W$2:$W$12</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tabColor rgb="009CA3AF"/>
    <outlinePr summaryBelow="1" summaryRight="1"/>
    <pageSetUpPr/>
  </sheetPr>
  <dimension ref="A1:AD9043"/>
  <sheetViews>
    <sheetView workbookViewId="0">
      <selection activeCell="A1" sqref="A1"/>
    </sheetView>
  </sheetViews>
  <sheetFormatPr baseColWidth="8" defaultRowHeight="15"/>
  <sheetData>
    <row r="1">
      <c r="A1" s="145" t="inlineStr">
        <is>
          <t>Source tab</t>
        </is>
      </c>
      <c r="B1" s="145" t="inlineStr">
        <is>
          <t>Alert</t>
        </is>
      </c>
      <c r="C1" s="145" t="inlineStr">
        <is>
          <t>Due</t>
        </is>
      </c>
      <c r="D1" s="145" t="inlineStr">
        <is>
          <t>Priority</t>
        </is>
      </c>
      <c r="E1" s="145" t="inlineStr">
        <is>
          <t>Sort key</t>
        </is>
      </c>
      <c r="F1" s="145" t="inlineStr">
        <is>
          <t>Week key</t>
        </is>
      </c>
      <c r="H1" s="145" t="inlineStr">
        <is>
          <t>Rank</t>
        </is>
      </c>
      <c r="I1" s="145" t="inlineStr">
        <is>
          <t>Key</t>
        </is>
      </c>
      <c r="J1" s="145" t="inlineStr">
        <is>
          <t>Row</t>
        </is>
      </c>
      <c r="K1" s="145" t="inlineStr">
        <is>
          <t>Tab</t>
        </is>
      </c>
      <c r="L1" s="145" t="inlineStr">
        <is>
          <t>Alert</t>
        </is>
      </c>
      <c r="M1" s="145" t="inlineStr">
        <is>
          <t>Due</t>
        </is>
      </c>
      <c r="N1" s="145" t="inlineStr">
        <is>
          <t>Priority</t>
        </is>
      </c>
      <c r="P1" s="145" t="inlineStr">
        <is>
          <t>Rank</t>
        </is>
      </c>
      <c r="Q1" s="145" t="inlineStr">
        <is>
          <t>Key</t>
        </is>
      </c>
      <c r="R1" s="145" t="inlineStr">
        <is>
          <t>Row</t>
        </is>
      </c>
      <c r="S1" s="145" t="inlineStr">
        <is>
          <t>Tab</t>
        </is>
      </c>
      <c r="T1" s="145" t="inlineStr">
        <is>
          <t>Alert</t>
        </is>
      </c>
      <c r="U1" s="145" t="inlineStr">
        <is>
          <t>Due</t>
        </is>
      </c>
      <c r="V1" s="145" t="inlineStr">
        <is>
          <t>Priority</t>
        </is>
      </c>
      <c r="AA1" t="inlineStr">
        <is>
          <t>Rank</t>
        </is>
      </c>
      <c r="AB1" t="inlineStr">
        <is>
          <t>Category</t>
        </is>
      </c>
      <c r="AC1" t="inlineStr">
        <is>
          <t>Budget</t>
        </is>
      </c>
      <c r="AD1" t="inlineStr">
        <is>
          <t>Forecast</t>
        </is>
      </c>
    </row>
    <row r="2">
      <c r="A2" t="inlineStr">
        <is>
          <t>Selections &amp; Orders</t>
        </is>
      </c>
      <c r="B2" s="46">
        <f>'Selections &amp; Orders'!AC8</f>
        <v/>
      </c>
      <c r="C2" s="84">
        <f>'Selections &amp; Orders'!AA8</f>
        <v/>
      </c>
      <c r="D2" s="46">
        <f>'Selections &amp; Orders'!AB8</f>
        <v/>
      </c>
      <c r="E2" s="46">
        <f>IF(OR(B2="",C2="",D2=""),"",D2*100000+(C2-DATE(2000,1,1))+ROW()/100000)</f>
        <v/>
      </c>
      <c r="F2" s="46">
        <f>IF(E2="","",IF(C2&gt;WeekEndDate,"",E2))</f>
        <v/>
      </c>
      <c r="H2" t="n">
        <v>1</v>
      </c>
      <c r="I2" s="46">
        <f>IFERROR(SMALL($E$2:$E$9043,H2),"")</f>
        <v/>
      </c>
      <c r="J2" s="46">
        <f>IF(I2="","",MATCH(I2,$E$2:$E$9043,0))</f>
        <v/>
      </c>
      <c r="K2" s="46">
        <f>IF(J2="","",INDEX($A$2:$A$9043,J2))</f>
        <v/>
      </c>
      <c r="L2" s="46">
        <f>IF(J2="","",INDEX($B$2:$B$9043,J2))</f>
        <v/>
      </c>
      <c r="M2" s="84">
        <f>IF(J2="","",INDEX($C$2:$C$9043,J2))</f>
        <v/>
      </c>
      <c r="N2" s="46">
        <f>IF(J2="","",INDEX($D$2:$D$9043,J2))</f>
        <v/>
      </c>
      <c r="P2" t="n">
        <v>1</v>
      </c>
      <c r="Q2" s="46">
        <f>IFERROR(SMALL($F$2:$F$9043,P2),"")</f>
        <v/>
      </c>
      <c r="R2" s="46">
        <f>IF(Q2="","",MATCH(Q2,$F$2:$F$9043,0))</f>
        <v/>
      </c>
      <c r="S2" s="46">
        <f>IF(R2="","",INDEX($A$2:$A$9043,R2))</f>
        <v/>
      </c>
      <c r="T2" s="46">
        <f>IF(R2="","",INDEX($B$2:$B$9043,R2))</f>
        <v/>
      </c>
      <c r="U2" s="84">
        <f>IF(R2="","",INDEX($C$2:$C$9043,R2))</f>
        <v/>
      </c>
      <c r="V2" s="46">
        <f>IF(R2="","",INDEX($D$2:$D$9043,R2))</f>
        <v/>
      </c>
      <c r="X2" t="inlineStr">
        <is>
          <t>AlertCount</t>
        </is>
      </c>
      <c r="Y2" s="46">
        <f>COUNT($E$2:$E$9043)</f>
        <v/>
      </c>
      <c r="AA2" t="n">
        <v>1</v>
      </c>
      <c r="AB2" s="46">
        <f>IFERROR(INDEX('Budget'!$B$8:$B$57,MATCH(LARGE('Budget'!$P$8:$P$57,AA2),'Budget'!$P$8:$P$57,0)),"")</f>
        <v/>
      </c>
      <c r="AC2" s="46">
        <f>IF(AB2="","",SUMIFS('Budget'!$C$8:$C$57,'Budget'!$B$8:$B$57,AB2))</f>
        <v/>
      </c>
      <c r="AD2" s="46">
        <f>IF(AB2="","",SUMIFS('Budget'!$L$8:$L$57,'Budget'!$B$8:$B$57,AB2))</f>
        <v/>
      </c>
    </row>
    <row r="3">
      <c r="A3" t="inlineStr">
        <is>
          <t>Selections &amp; Orders</t>
        </is>
      </c>
      <c r="B3" s="46">
        <f>'Selections &amp; Orders'!AC9</f>
        <v/>
      </c>
      <c r="C3" s="84">
        <f>'Selections &amp; Orders'!AA9</f>
        <v/>
      </c>
      <c r="D3" s="46">
        <f>'Selections &amp; Orders'!AB9</f>
        <v/>
      </c>
      <c r="E3" s="46">
        <f>IF(OR(B3="",C3="",D3=""),"",D3*100000+(C3-DATE(2000,1,1))+ROW()/100000)</f>
        <v/>
      </c>
      <c r="F3" s="46">
        <f>IF(E3="","",IF(C3&gt;WeekEndDate,"",E3))</f>
        <v/>
      </c>
      <c r="H3" t="n">
        <v>2</v>
      </c>
      <c r="I3" s="46">
        <f>IFERROR(SMALL($E$2:$E$9043,H3),"")</f>
        <v/>
      </c>
      <c r="J3" s="46">
        <f>IF(I3="","",MATCH(I3,$E$2:$E$9043,0))</f>
        <v/>
      </c>
      <c r="K3" s="46">
        <f>IF(J3="","",INDEX($A$2:$A$9043,J3))</f>
        <v/>
      </c>
      <c r="L3" s="46">
        <f>IF(J3="","",INDEX($B$2:$B$9043,J3))</f>
        <v/>
      </c>
      <c r="M3" s="84">
        <f>IF(J3="","",INDEX($C$2:$C$9043,J3))</f>
        <v/>
      </c>
      <c r="N3" s="46">
        <f>IF(J3="","",INDEX($D$2:$D$9043,J3))</f>
        <v/>
      </c>
      <c r="P3" t="n">
        <v>2</v>
      </c>
      <c r="Q3" s="46">
        <f>IFERROR(SMALL($F$2:$F$9043,P3),"")</f>
        <v/>
      </c>
      <c r="R3" s="46">
        <f>IF(Q3="","",MATCH(Q3,$F$2:$F$9043,0))</f>
        <v/>
      </c>
      <c r="S3" s="46">
        <f>IF(R3="","",INDEX($A$2:$A$9043,R3))</f>
        <v/>
      </c>
      <c r="T3" s="46">
        <f>IF(R3="","",INDEX($B$2:$B$9043,R3))</f>
        <v/>
      </c>
      <c r="U3" s="84">
        <f>IF(R3="","",INDEX($C$2:$C$9043,R3))</f>
        <v/>
      </c>
      <c r="V3" s="46">
        <f>IF(R3="","",INDEX($D$2:$D$9043,R3))</f>
        <v/>
      </c>
      <c r="X3" t="inlineStr">
        <is>
          <t>OverdueCount</t>
        </is>
      </c>
      <c r="Y3" s="46">
        <f>COUNTIFS($C$2:$C$9043,"&lt;"&amp;AsOf,$D$2:$D$9043,"&gt;=1")</f>
        <v/>
      </c>
      <c r="AA3" t="n">
        <v>2</v>
      </c>
      <c r="AB3" s="46">
        <f>IFERROR(INDEX('Budget'!$B$8:$B$57,MATCH(LARGE('Budget'!$P$8:$P$57,AA3),'Budget'!$P$8:$P$57,0)),"")</f>
        <v/>
      </c>
      <c r="AC3" s="46">
        <f>IF(AB3="","",SUMIFS('Budget'!$C$8:$C$57,'Budget'!$B$8:$B$57,AB3))</f>
        <v/>
      </c>
      <c r="AD3" s="46">
        <f>IF(AB3="","",SUMIFS('Budget'!$L$8:$L$57,'Budget'!$B$8:$B$57,AB3))</f>
        <v/>
      </c>
    </row>
    <row r="4">
      <c r="A4" t="inlineStr">
        <is>
          <t>Selections &amp; Orders</t>
        </is>
      </c>
      <c r="B4" s="46">
        <f>'Selections &amp; Orders'!AC10</f>
        <v/>
      </c>
      <c r="C4" s="84">
        <f>'Selections &amp; Orders'!AA10</f>
        <v/>
      </c>
      <c r="D4" s="46">
        <f>'Selections &amp; Orders'!AB10</f>
        <v/>
      </c>
      <c r="E4" s="46">
        <f>IF(OR(B4="",C4="",D4=""),"",D4*100000+(C4-DATE(2000,1,1))+ROW()/100000)</f>
        <v/>
      </c>
      <c r="F4" s="46">
        <f>IF(E4="","",IF(C4&gt;WeekEndDate,"",E4))</f>
        <v/>
      </c>
      <c r="H4" t="n">
        <v>3</v>
      </c>
      <c r="I4" s="46">
        <f>IFERROR(SMALL($E$2:$E$9043,H4),"")</f>
        <v/>
      </c>
      <c r="J4" s="46">
        <f>IF(I4="","",MATCH(I4,$E$2:$E$9043,0))</f>
        <v/>
      </c>
      <c r="K4" s="46">
        <f>IF(J4="","",INDEX($A$2:$A$9043,J4))</f>
        <v/>
      </c>
      <c r="L4" s="46">
        <f>IF(J4="","",INDEX($B$2:$B$9043,J4))</f>
        <v/>
      </c>
      <c r="M4" s="84">
        <f>IF(J4="","",INDEX($C$2:$C$9043,J4))</f>
        <v/>
      </c>
      <c r="N4" s="46">
        <f>IF(J4="","",INDEX($D$2:$D$9043,J4))</f>
        <v/>
      </c>
      <c r="P4" t="n">
        <v>3</v>
      </c>
      <c r="Q4" s="46">
        <f>IFERROR(SMALL($F$2:$F$9043,P4),"")</f>
        <v/>
      </c>
      <c r="R4" s="46">
        <f>IF(Q4="","",MATCH(Q4,$F$2:$F$9043,0))</f>
        <v/>
      </c>
      <c r="S4" s="46">
        <f>IF(R4="","",INDEX($A$2:$A$9043,R4))</f>
        <v/>
      </c>
      <c r="T4" s="46">
        <f>IF(R4="","",INDEX($B$2:$B$9043,R4))</f>
        <v/>
      </c>
      <c r="U4" s="84">
        <f>IF(R4="","",INDEX($C$2:$C$9043,R4))</f>
        <v/>
      </c>
      <c r="V4" s="46">
        <f>IF(R4="","",INDEX($D$2:$D$9043,R4))</f>
        <v/>
      </c>
      <c r="X4" t="inlineStr">
        <is>
          <t>UrgentCount</t>
        </is>
      </c>
      <c r="Y4" s="46">
        <f>COUNTIF($D$2:$D$9043,1)</f>
        <v/>
      </c>
      <c r="AA4" t="n">
        <v>3</v>
      </c>
      <c r="AB4" s="46">
        <f>IFERROR(INDEX('Budget'!$B$8:$B$57,MATCH(LARGE('Budget'!$P$8:$P$57,AA4),'Budget'!$P$8:$P$57,0)),"")</f>
        <v/>
      </c>
      <c r="AC4" s="46">
        <f>IF(AB4="","",SUMIFS('Budget'!$C$8:$C$57,'Budget'!$B$8:$B$57,AB4))</f>
        <v/>
      </c>
      <c r="AD4" s="46">
        <f>IF(AB4="","",SUMIFS('Budget'!$L$8:$L$57,'Budget'!$B$8:$B$57,AB4))</f>
        <v/>
      </c>
    </row>
    <row r="5">
      <c r="A5" t="inlineStr">
        <is>
          <t>Selections &amp; Orders</t>
        </is>
      </c>
      <c r="B5" s="46">
        <f>'Selections &amp; Orders'!AC11</f>
        <v/>
      </c>
      <c r="C5" s="84">
        <f>'Selections &amp; Orders'!AA11</f>
        <v/>
      </c>
      <c r="D5" s="46">
        <f>'Selections &amp; Orders'!AB11</f>
        <v/>
      </c>
      <c r="E5" s="46">
        <f>IF(OR(B5="",C5="",D5=""),"",D5*100000+(C5-DATE(2000,1,1))+ROW()/100000)</f>
        <v/>
      </c>
      <c r="F5" s="46">
        <f>IF(E5="","",IF(C5&gt;WeekEndDate,"",E5))</f>
        <v/>
      </c>
      <c r="H5" t="n">
        <v>4</v>
      </c>
      <c r="I5" s="46">
        <f>IFERROR(SMALL($E$2:$E$9043,H5),"")</f>
        <v/>
      </c>
      <c r="J5" s="46">
        <f>IF(I5="","",MATCH(I5,$E$2:$E$9043,0))</f>
        <v/>
      </c>
      <c r="K5" s="46">
        <f>IF(J5="","",INDEX($A$2:$A$9043,J5))</f>
        <v/>
      </c>
      <c r="L5" s="46">
        <f>IF(J5="","",INDEX($B$2:$B$9043,J5))</f>
        <v/>
      </c>
      <c r="M5" s="84">
        <f>IF(J5="","",INDEX($C$2:$C$9043,J5))</f>
        <v/>
      </c>
      <c r="N5" s="46">
        <f>IF(J5="","",INDEX($D$2:$D$9043,J5))</f>
        <v/>
      </c>
      <c r="P5" t="n">
        <v>4</v>
      </c>
      <c r="Q5" s="46">
        <f>IFERROR(SMALL($F$2:$F$9043,P5),"")</f>
        <v/>
      </c>
      <c r="R5" s="46">
        <f>IF(Q5="","",MATCH(Q5,$F$2:$F$9043,0))</f>
        <v/>
      </c>
      <c r="S5" s="46">
        <f>IF(R5="","",INDEX($A$2:$A$9043,R5))</f>
        <v/>
      </c>
      <c r="T5" s="46">
        <f>IF(R5="","",INDEX($B$2:$B$9043,R5))</f>
        <v/>
      </c>
      <c r="U5" s="84">
        <f>IF(R5="","",INDEX($C$2:$C$9043,R5))</f>
        <v/>
      </c>
      <c r="V5" s="46">
        <f>IF(R5="","",INDEX($D$2:$D$9043,R5))</f>
        <v/>
      </c>
      <c r="X5" t="inlineStr">
        <is>
          <t>WeekAlertCount</t>
        </is>
      </c>
      <c r="Y5" s="46">
        <f>COUNT($F$2:$F$9043)</f>
        <v/>
      </c>
      <c r="AA5" t="n">
        <v>4</v>
      </c>
      <c r="AB5" s="46">
        <f>IFERROR(INDEX('Budget'!$B$8:$B$57,MATCH(LARGE('Budget'!$P$8:$P$57,AA5),'Budget'!$P$8:$P$57,0)),"")</f>
        <v/>
      </c>
      <c r="AC5" s="46">
        <f>IF(AB5="","",SUMIFS('Budget'!$C$8:$C$57,'Budget'!$B$8:$B$57,AB5))</f>
        <v/>
      </c>
      <c r="AD5" s="46">
        <f>IF(AB5="","",SUMIFS('Budget'!$L$8:$L$57,'Budget'!$B$8:$B$57,AB5))</f>
        <v/>
      </c>
    </row>
    <row r="6">
      <c r="A6" t="inlineStr">
        <is>
          <t>Selections &amp; Orders</t>
        </is>
      </c>
      <c r="B6" s="46">
        <f>'Selections &amp; Orders'!AC12</f>
        <v/>
      </c>
      <c r="C6" s="84">
        <f>'Selections &amp; Orders'!AA12</f>
        <v/>
      </c>
      <c r="D6" s="46">
        <f>'Selections &amp; Orders'!AB12</f>
        <v/>
      </c>
      <c r="E6" s="46">
        <f>IF(OR(B6="",C6="",D6=""),"",D6*100000+(C6-DATE(2000,1,1))+ROW()/100000)</f>
        <v/>
      </c>
      <c r="F6" s="46">
        <f>IF(E6="","",IF(C6&gt;WeekEndDate,"",E6))</f>
        <v/>
      </c>
      <c r="H6" t="n">
        <v>5</v>
      </c>
      <c r="I6" s="46">
        <f>IFERROR(SMALL($E$2:$E$9043,H6),"")</f>
        <v/>
      </c>
      <c r="J6" s="46">
        <f>IF(I6="","",MATCH(I6,$E$2:$E$9043,0))</f>
        <v/>
      </c>
      <c r="K6" s="46">
        <f>IF(J6="","",INDEX($A$2:$A$9043,J6))</f>
        <v/>
      </c>
      <c r="L6" s="46">
        <f>IF(J6="","",INDEX($B$2:$B$9043,J6))</f>
        <v/>
      </c>
      <c r="M6" s="84">
        <f>IF(J6="","",INDEX($C$2:$C$9043,J6))</f>
        <v/>
      </c>
      <c r="N6" s="46">
        <f>IF(J6="","",INDEX($D$2:$D$9043,J6))</f>
        <v/>
      </c>
      <c r="P6" t="n">
        <v>5</v>
      </c>
      <c r="Q6" s="46">
        <f>IFERROR(SMALL($F$2:$F$9043,P6),"")</f>
        <v/>
      </c>
      <c r="R6" s="46">
        <f>IF(Q6="","",MATCH(Q6,$F$2:$F$9043,0))</f>
        <v/>
      </c>
      <c r="S6" s="46">
        <f>IF(R6="","",INDEX($A$2:$A$9043,R6))</f>
        <v/>
      </c>
      <c r="T6" s="46">
        <f>IF(R6="","",INDEX($B$2:$B$9043,R6))</f>
        <v/>
      </c>
      <c r="U6" s="84">
        <f>IF(R6="","",INDEX($C$2:$C$9043,R6))</f>
        <v/>
      </c>
      <c r="V6" s="46">
        <f>IF(R6="","",INDEX($D$2:$D$9043,R6))</f>
        <v/>
      </c>
      <c r="AA6" t="n">
        <v>5</v>
      </c>
      <c r="AB6" s="46">
        <f>IFERROR(INDEX('Budget'!$B$8:$B$57,MATCH(LARGE('Budget'!$P$8:$P$57,AA6),'Budget'!$P$8:$P$57,0)),"")</f>
        <v/>
      </c>
      <c r="AC6" s="46">
        <f>IF(AB6="","",SUMIFS('Budget'!$C$8:$C$57,'Budget'!$B$8:$B$57,AB6))</f>
        <v/>
      </c>
      <c r="AD6" s="46">
        <f>IF(AB6="","",SUMIFS('Budget'!$L$8:$L$57,'Budget'!$B$8:$B$57,AB6))</f>
        <v/>
      </c>
    </row>
    <row r="7">
      <c r="A7" t="inlineStr">
        <is>
          <t>Selections &amp; Orders</t>
        </is>
      </c>
      <c r="B7" s="46">
        <f>'Selections &amp; Orders'!AC13</f>
        <v/>
      </c>
      <c r="C7" s="84">
        <f>'Selections &amp; Orders'!AA13</f>
        <v/>
      </c>
      <c r="D7" s="46">
        <f>'Selections &amp; Orders'!AB13</f>
        <v/>
      </c>
      <c r="E7" s="46">
        <f>IF(OR(B7="",C7="",D7=""),"",D7*100000+(C7-DATE(2000,1,1))+ROW()/100000)</f>
        <v/>
      </c>
      <c r="F7" s="46">
        <f>IF(E7="","",IF(C7&gt;WeekEndDate,"",E7))</f>
        <v/>
      </c>
      <c r="H7" t="n">
        <v>6</v>
      </c>
      <c r="I7" s="46">
        <f>IFERROR(SMALL($E$2:$E$9043,H7),"")</f>
        <v/>
      </c>
      <c r="J7" s="46">
        <f>IF(I7="","",MATCH(I7,$E$2:$E$9043,0))</f>
        <v/>
      </c>
      <c r="K7" s="46">
        <f>IF(J7="","",INDEX($A$2:$A$9043,J7))</f>
        <v/>
      </c>
      <c r="L7" s="46">
        <f>IF(J7="","",INDEX($B$2:$B$9043,J7))</f>
        <v/>
      </c>
      <c r="M7" s="84">
        <f>IF(J7="","",INDEX($C$2:$C$9043,J7))</f>
        <v/>
      </c>
      <c r="N7" s="46">
        <f>IF(J7="","",INDEX($D$2:$D$9043,J7))</f>
        <v/>
      </c>
      <c r="P7" t="n">
        <v>6</v>
      </c>
      <c r="Q7" s="46">
        <f>IFERROR(SMALL($F$2:$F$9043,P7),"")</f>
        <v/>
      </c>
      <c r="R7" s="46">
        <f>IF(Q7="","",MATCH(Q7,$F$2:$F$9043,0))</f>
        <v/>
      </c>
      <c r="S7" s="46">
        <f>IF(R7="","",INDEX($A$2:$A$9043,R7))</f>
        <v/>
      </c>
      <c r="T7" s="46">
        <f>IF(R7="","",INDEX($B$2:$B$9043,R7))</f>
        <v/>
      </c>
      <c r="U7" s="84">
        <f>IF(R7="","",INDEX($C$2:$C$9043,R7))</f>
        <v/>
      </c>
      <c r="V7" s="46">
        <f>IF(R7="","",INDEX($D$2:$D$9043,R7))</f>
        <v/>
      </c>
      <c r="AA7" t="n">
        <v>6</v>
      </c>
      <c r="AB7" s="46">
        <f>IFERROR(INDEX('Budget'!$B$8:$B$57,MATCH(LARGE('Budget'!$P$8:$P$57,AA7),'Budget'!$P$8:$P$57,0)),"")</f>
        <v/>
      </c>
      <c r="AC7" s="46">
        <f>IF(AB7="","",SUMIFS('Budget'!$C$8:$C$57,'Budget'!$B$8:$B$57,AB7))</f>
        <v/>
      </c>
      <c r="AD7" s="46">
        <f>IF(AB7="","",SUMIFS('Budget'!$L$8:$L$57,'Budget'!$B$8:$B$57,AB7))</f>
        <v/>
      </c>
    </row>
    <row r="8">
      <c r="A8" t="inlineStr">
        <is>
          <t>Selections &amp; Orders</t>
        </is>
      </c>
      <c r="B8" s="46">
        <f>'Selections &amp; Orders'!AC14</f>
        <v/>
      </c>
      <c r="C8" s="84">
        <f>'Selections &amp; Orders'!AA14</f>
        <v/>
      </c>
      <c r="D8" s="46">
        <f>'Selections &amp; Orders'!AB14</f>
        <v/>
      </c>
      <c r="E8" s="46">
        <f>IF(OR(B8="",C8="",D8=""),"",D8*100000+(C8-DATE(2000,1,1))+ROW()/100000)</f>
        <v/>
      </c>
      <c r="F8" s="46">
        <f>IF(E8="","",IF(C8&gt;WeekEndDate,"",E8))</f>
        <v/>
      </c>
      <c r="H8" t="n">
        <v>7</v>
      </c>
      <c r="I8" s="46">
        <f>IFERROR(SMALL($E$2:$E$9043,H8),"")</f>
        <v/>
      </c>
      <c r="J8" s="46">
        <f>IF(I8="","",MATCH(I8,$E$2:$E$9043,0))</f>
        <v/>
      </c>
      <c r="K8" s="46">
        <f>IF(J8="","",INDEX($A$2:$A$9043,J8))</f>
        <v/>
      </c>
      <c r="L8" s="46">
        <f>IF(J8="","",INDEX($B$2:$B$9043,J8))</f>
        <v/>
      </c>
      <c r="M8" s="84">
        <f>IF(J8="","",INDEX($C$2:$C$9043,J8))</f>
        <v/>
      </c>
      <c r="N8" s="46">
        <f>IF(J8="","",INDEX($D$2:$D$9043,J8))</f>
        <v/>
      </c>
      <c r="P8" t="n">
        <v>7</v>
      </c>
      <c r="Q8" s="46">
        <f>IFERROR(SMALL($F$2:$F$9043,P8),"")</f>
        <v/>
      </c>
      <c r="R8" s="46">
        <f>IF(Q8="","",MATCH(Q8,$F$2:$F$9043,0))</f>
        <v/>
      </c>
      <c r="S8" s="46">
        <f>IF(R8="","",INDEX($A$2:$A$9043,R8))</f>
        <v/>
      </c>
      <c r="T8" s="46">
        <f>IF(R8="","",INDEX($B$2:$B$9043,R8))</f>
        <v/>
      </c>
      <c r="U8" s="84">
        <f>IF(R8="","",INDEX($C$2:$C$9043,R8))</f>
        <v/>
      </c>
      <c r="V8" s="46">
        <f>IF(R8="","",INDEX($D$2:$D$9043,R8))</f>
        <v/>
      </c>
      <c r="AA8" t="n">
        <v>7</v>
      </c>
      <c r="AB8" s="46">
        <f>IFERROR(INDEX('Budget'!$B$8:$B$57,MATCH(LARGE('Budget'!$P$8:$P$57,AA8),'Budget'!$P$8:$P$57,0)),"")</f>
        <v/>
      </c>
      <c r="AC8" s="46">
        <f>IF(AB8="","",SUMIFS('Budget'!$C$8:$C$57,'Budget'!$B$8:$B$57,AB8))</f>
        <v/>
      </c>
      <c r="AD8" s="46">
        <f>IF(AB8="","",SUMIFS('Budget'!$L$8:$L$57,'Budget'!$B$8:$B$57,AB8))</f>
        <v/>
      </c>
    </row>
    <row r="9">
      <c r="A9" t="inlineStr">
        <is>
          <t>Selections &amp; Orders</t>
        </is>
      </c>
      <c r="B9" s="46">
        <f>'Selections &amp; Orders'!AC15</f>
        <v/>
      </c>
      <c r="C9" s="84">
        <f>'Selections &amp; Orders'!AA15</f>
        <v/>
      </c>
      <c r="D9" s="46">
        <f>'Selections &amp; Orders'!AB15</f>
        <v/>
      </c>
      <c r="E9" s="46">
        <f>IF(OR(B9="",C9="",D9=""),"",D9*100000+(C9-DATE(2000,1,1))+ROW()/100000)</f>
        <v/>
      </c>
      <c r="F9" s="46">
        <f>IF(E9="","",IF(C9&gt;WeekEndDate,"",E9))</f>
        <v/>
      </c>
      <c r="H9" t="n">
        <v>8</v>
      </c>
      <c r="I9" s="46">
        <f>IFERROR(SMALL($E$2:$E$9043,H9),"")</f>
        <v/>
      </c>
      <c r="J9" s="46">
        <f>IF(I9="","",MATCH(I9,$E$2:$E$9043,0))</f>
        <v/>
      </c>
      <c r="K9" s="46">
        <f>IF(J9="","",INDEX($A$2:$A$9043,J9))</f>
        <v/>
      </c>
      <c r="L9" s="46">
        <f>IF(J9="","",INDEX($B$2:$B$9043,J9))</f>
        <v/>
      </c>
      <c r="M9" s="84">
        <f>IF(J9="","",INDEX($C$2:$C$9043,J9))</f>
        <v/>
      </c>
      <c r="N9" s="46">
        <f>IF(J9="","",INDEX($D$2:$D$9043,J9))</f>
        <v/>
      </c>
      <c r="P9" t="n">
        <v>8</v>
      </c>
      <c r="Q9" s="46">
        <f>IFERROR(SMALL($F$2:$F$9043,P9),"")</f>
        <v/>
      </c>
      <c r="R9" s="46">
        <f>IF(Q9="","",MATCH(Q9,$F$2:$F$9043,0))</f>
        <v/>
      </c>
      <c r="S9" s="46">
        <f>IF(R9="","",INDEX($A$2:$A$9043,R9))</f>
        <v/>
      </c>
      <c r="T9" s="46">
        <f>IF(R9="","",INDEX($B$2:$B$9043,R9))</f>
        <v/>
      </c>
      <c r="U9" s="84">
        <f>IF(R9="","",INDEX($C$2:$C$9043,R9))</f>
        <v/>
      </c>
      <c r="V9" s="46">
        <f>IF(R9="","",INDEX($D$2:$D$9043,R9))</f>
        <v/>
      </c>
      <c r="AA9" t="n">
        <v>8</v>
      </c>
      <c r="AB9" s="46">
        <f>IFERROR(INDEX('Budget'!$B$8:$B$57,MATCH(LARGE('Budget'!$P$8:$P$57,AA9),'Budget'!$P$8:$P$57,0)),"")</f>
        <v/>
      </c>
      <c r="AC9" s="46">
        <f>IF(AB9="","",SUMIFS('Budget'!$C$8:$C$57,'Budget'!$B$8:$B$57,AB9))</f>
        <v/>
      </c>
      <c r="AD9" s="46">
        <f>IF(AB9="","",SUMIFS('Budget'!$L$8:$L$57,'Budget'!$B$8:$B$57,AB9))</f>
        <v/>
      </c>
    </row>
    <row r="10">
      <c r="A10" t="inlineStr">
        <is>
          <t>Selections &amp; Orders</t>
        </is>
      </c>
      <c r="B10" s="46">
        <f>'Selections &amp; Orders'!AC16</f>
        <v/>
      </c>
      <c r="C10" s="84">
        <f>'Selections &amp; Orders'!AA16</f>
        <v/>
      </c>
      <c r="D10" s="46">
        <f>'Selections &amp; Orders'!AB16</f>
        <v/>
      </c>
      <c r="E10" s="46">
        <f>IF(OR(B10="",C10="",D10=""),"",D10*100000+(C10-DATE(2000,1,1))+ROW()/100000)</f>
        <v/>
      </c>
      <c r="F10" s="46">
        <f>IF(E10="","",IF(C10&gt;WeekEndDate,"",E10))</f>
        <v/>
      </c>
      <c r="H10" t="n">
        <v>9</v>
      </c>
      <c r="I10" s="46">
        <f>IFERROR(SMALL($E$2:$E$9043,H10),"")</f>
        <v/>
      </c>
      <c r="J10" s="46">
        <f>IF(I10="","",MATCH(I10,$E$2:$E$9043,0))</f>
        <v/>
      </c>
      <c r="K10" s="46">
        <f>IF(J10="","",INDEX($A$2:$A$9043,J10))</f>
        <v/>
      </c>
      <c r="L10" s="46">
        <f>IF(J10="","",INDEX($B$2:$B$9043,J10))</f>
        <v/>
      </c>
      <c r="M10" s="84">
        <f>IF(J10="","",INDEX($C$2:$C$9043,J10))</f>
        <v/>
      </c>
      <c r="N10" s="46">
        <f>IF(J10="","",INDEX($D$2:$D$9043,J10))</f>
        <v/>
      </c>
      <c r="P10" t="n">
        <v>9</v>
      </c>
      <c r="Q10" s="46">
        <f>IFERROR(SMALL($F$2:$F$9043,P10),"")</f>
        <v/>
      </c>
      <c r="R10" s="46">
        <f>IF(Q10="","",MATCH(Q10,$F$2:$F$9043,0))</f>
        <v/>
      </c>
      <c r="S10" s="46">
        <f>IF(R10="","",INDEX($A$2:$A$9043,R10))</f>
        <v/>
      </c>
      <c r="T10" s="46">
        <f>IF(R10="","",INDEX($B$2:$B$9043,R10))</f>
        <v/>
      </c>
      <c r="U10" s="84">
        <f>IF(R10="","",INDEX($C$2:$C$9043,R10))</f>
        <v/>
      </c>
      <c r="V10" s="46">
        <f>IF(R10="","",INDEX($D$2:$D$9043,R10))</f>
        <v/>
      </c>
      <c r="AA10" t="n">
        <v>9</v>
      </c>
      <c r="AB10" s="46">
        <f>IFERROR(INDEX('Budget'!$B$8:$B$57,MATCH(LARGE('Budget'!$P$8:$P$57,AA10),'Budget'!$P$8:$P$57,0)),"")</f>
        <v/>
      </c>
      <c r="AC10" s="46">
        <f>IF(AB10="","",SUMIFS('Budget'!$C$8:$C$57,'Budget'!$B$8:$B$57,AB10))</f>
        <v/>
      </c>
      <c r="AD10" s="46">
        <f>IF(AB10="","",SUMIFS('Budget'!$L$8:$L$57,'Budget'!$B$8:$B$57,AB10))</f>
        <v/>
      </c>
    </row>
    <row r="11">
      <c r="A11" t="inlineStr">
        <is>
          <t>Selections &amp; Orders</t>
        </is>
      </c>
      <c r="B11" s="46">
        <f>'Selections &amp; Orders'!AC17</f>
        <v/>
      </c>
      <c r="C11" s="84">
        <f>'Selections &amp; Orders'!AA17</f>
        <v/>
      </c>
      <c r="D11" s="46">
        <f>'Selections &amp; Orders'!AB17</f>
        <v/>
      </c>
      <c r="E11" s="46">
        <f>IF(OR(B11="",C11="",D11=""),"",D11*100000+(C11-DATE(2000,1,1))+ROW()/100000)</f>
        <v/>
      </c>
      <c r="F11" s="46">
        <f>IF(E11="","",IF(C11&gt;WeekEndDate,"",E11))</f>
        <v/>
      </c>
      <c r="H11" t="n">
        <v>10</v>
      </c>
      <c r="I11" s="46">
        <f>IFERROR(SMALL($E$2:$E$9043,H11),"")</f>
        <v/>
      </c>
      <c r="J11" s="46">
        <f>IF(I11="","",MATCH(I11,$E$2:$E$9043,0))</f>
        <v/>
      </c>
      <c r="K11" s="46">
        <f>IF(J11="","",INDEX($A$2:$A$9043,J11))</f>
        <v/>
      </c>
      <c r="L11" s="46">
        <f>IF(J11="","",INDEX($B$2:$B$9043,J11))</f>
        <v/>
      </c>
      <c r="M11" s="84">
        <f>IF(J11="","",INDEX($C$2:$C$9043,J11))</f>
        <v/>
      </c>
      <c r="N11" s="46">
        <f>IF(J11="","",INDEX($D$2:$D$9043,J11))</f>
        <v/>
      </c>
      <c r="P11" t="n">
        <v>10</v>
      </c>
      <c r="Q11" s="46">
        <f>IFERROR(SMALL($F$2:$F$9043,P11),"")</f>
        <v/>
      </c>
      <c r="R11" s="46">
        <f>IF(Q11="","",MATCH(Q11,$F$2:$F$9043,0))</f>
        <v/>
      </c>
      <c r="S11" s="46">
        <f>IF(R11="","",INDEX($A$2:$A$9043,R11))</f>
        <v/>
      </c>
      <c r="T11" s="46">
        <f>IF(R11="","",INDEX($B$2:$B$9043,R11))</f>
        <v/>
      </c>
      <c r="U11" s="84">
        <f>IF(R11="","",INDEX($C$2:$C$9043,R11))</f>
        <v/>
      </c>
      <c r="V11" s="46">
        <f>IF(R11="","",INDEX($D$2:$D$9043,R11))</f>
        <v/>
      </c>
      <c r="AA11" t="n">
        <v>10</v>
      </c>
      <c r="AB11" s="46">
        <f>IFERROR(INDEX('Budget'!$B$8:$B$57,MATCH(LARGE('Budget'!$P$8:$P$57,AA11),'Budget'!$P$8:$P$57,0)),"")</f>
        <v/>
      </c>
      <c r="AC11" s="46">
        <f>IF(AB11="","",SUMIFS('Budget'!$C$8:$C$57,'Budget'!$B$8:$B$57,AB11))</f>
        <v/>
      </c>
      <c r="AD11" s="46">
        <f>IF(AB11="","",SUMIFS('Budget'!$L$8:$L$57,'Budget'!$B$8:$B$57,AB11))</f>
        <v/>
      </c>
    </row>
    <row r="12">
      <c r="A12" t="inlineStr">
        <is>
          <t>Selections &amp; Orders</t>
        </is>
      </c>
      <c r="B12" s="46">
        <f>'Selections &amp; Orders'!AC18</f>
        <v/>
      </c>
      <c r="C12" s="84">
        <f>'Selections &amp; Orders'!AA18</f>
        <v/>
      </c>
      <c r="D12" s="46">
        <f>'Selections &amp; Orders'!AB18</f>
        <v/>
      </c>
      <c r="E12" s="46">
        <f>IF(OR(B12="",C12="",D12=""),"",D12*100000+(C12-DATE(2000,1,1))+ROW()/100000)</f>
        <v/>
      </c>
      <c r="F12" s="46">
        <f>IF(E12="","",IF(C12&gt;WeekEndDate,"",E12))</f>
        <v/>
      </c>
      <c r="H12" t="n">
        <v>11</v>
      </c>
      <c r="I12" s="46">
        <f>IFERROR(SMALL($E$2:$E$9043,H12),"")</f>
        <v/>
      </c>
      <c r="J12" s="46">
        <f>IF(I12="","",MATCH(I12,$E$2:$E$9043,0))</f>
        <v/>
      </c>
      <c r="K12" s="46">
        <f>IF(J12="","",INDEX($A$2:$A$9043,J12))</f>
        <v/>
      </c>
      <c r="L12" s="46">
        <f>IF(J12="","",INDEX($B$2:$B$9043,J12))</f>
        <v/>
      </c>
      <c r="M12" s="84">
        <f>IF(J12="","",INDEX($C$2:$C$9043,J12))</f>
        <v/>
      </c>
      <c r="N12" s="46">
        <f>IF(J12="","",INDEX($D$2:$D$9043,J12))</f>
        <v/>
      </c>
      <c r="P12" t="n">
        <v>11</v>
      </c>
      <c r="Q12" s="46">
        <f>IFERROR(SMALL($F$2:$F$9043,P12),"")</f>
        <v/>
      </c>
      <c r="R12" s="46">
        <f>IF(Q12="","",MATCH(Q12,$F$2:$F$9043,0))</f>
        <v/>
      </c>
      <c r="S12" s="46">
        <f>IF(R12="","",INDEX($A$2:$A$9043,R12))</f>
        <v/>
      </c>
      <c r="T12" s="46">
        <f>IF(R12="","",INDEX($B$2:$B$9043,R12))</f>
        <v/>
      </c>
      <c r="U12" s="84">
        <f>IF(R12="","",INDEX($C$2:$C$9043,R12))</f>
        <v/>
      </c>
      <c r="V12" s="46">
        <f>IF(R12="","",INDEX($D$2:$D$9043,R12))</f>
        <v/>
      </c>
      <c r="AA12" t="n">
        <v>11</v>
      </c>
      <c r="AB12" s="46">
        <f>IFERROR(INDEX('Budget'!$B$8:$B$57,MATCH(LARGE('Budget'!$P$8:$P$57,AA12),'Budget'!$P$8:$P$57,0)),"")</f>
        <v/>
      </c>
      <c r="AC12" s="46">
        <f>IF(AB12="","",SUMIFS('Budget'!$C$8:$C$57,'Budget'!$B$8:$B$57,AB12))</f>
        <v/>
      </c>
      <c r="AD12" s="46">
        <f>IF(AB12="","",SUMIFS('Budget'!$L$8:$L$57,'Budget'!$B$8:$B$57,AB12))</f>
        <v/>
      </c>
    </row>
    <row r="13">
      <c r="A13" t="inlineStr">
        <is>
          <t>Selections &amp; Orders</t>
        </is>
      </c>
      <c r="B13" s="46">
        <f>'Selections &amp; Orders'!AC19</f>
        <v/>
      </c>
      <c r="C13" s="84">
        <f>'Selections &amp; Orders'!AA19</f>
        <v/>
      </c>
      <c r="D13" s="46">
        <f>'Selections &amp; Orders'!AB19</f>
        <v/>
      </c>
      <c r="E13" s="46">
        <f>IF(OR(B13="",C13="",D13=""),"",D13*100000+(C13-DATE(2000,1,1))+ROW()/100000)</f>
        <v/>
      </c>
      <c r="F13" s="46">
        <f>IF(E13="","",IF(C13&gt;WeekEndDate,"",E13))</f>
        <v/>
      </c>
      <c r="H13" t="n">
        <v>12</v>
      </c>
      <c r="I13" s="46">
        <f>IFERROR(SMALL($E$2:$E$9043,H13),"")</f>
        <v/>
      </c>
      <c r="J13" s="46">
        <f>IF(I13="","",MATCH(I13,$E$2:$E$9043,0))</f>
        <v/>
      </c>
      <c r="K13" s="46">
        <f>IF(J13="","",INDEX($A$2:$A$9043,J13))</f>
        <v/>
      </c>
      <c r="L13" s="46">
        <f>IF(J13="","",INDEX($B$2:$B$9043,J13))</f>
        <v/>
      </c>
      <c r="M13" s="84">
        <f>IF(J13="","",INDEX($C$2:$C$9043,J13))</f>
        <v/>
      </c>
      <c r="N13" s="46">
        <f>IF(J13="","",INDEX($D$2:$D$9043,J13))</f>
        <v/>
      </c>
      <c r="P13" t="n">
        <v>12</v>
      </c>
      <c r="Q13" s="46">
        <f>IFERROR(SMALL($F$2:$F$9043,P13),"")</f>
        <v/>
      </c>
      <c r="R13" s="46">
        <f>IF(Q13="","",MATCH(Q13,$F$2:$F$9043,0))</f>
        <v/>
      </c>
      <c r="S13" s="46">
        <f>IF(R13="","",INDEX($A$2:$A$9043,R13))</f>
        <v/>
      </c>
      <c r="T13" s="46">
        <f>IF(R13="","",INDEX($B$2:$B$9043,R13))</f>
        <v/>
      </c>
      <c r="U13" s="84">
        <f>IF(R13="","",INDEX($C$2:$C$9043,R13))</f>
        <v/>
      </c>
      <c r="V13" s="46">
        <f>IF(R13="","",INDEX($D$2:$D$9043,R13))</f>
        <v/>
      </c>
      <c r="AA13" t="n">
        <v>12</v>
      </c>
      <c r="AB13" s="46">
        <f>IFERROR(INDEX('Budget'!$B$8:$B$57,MATCH(LARGE('Budget'!$P$8:$P$57,AA13),'Budget'!$P$8:$P$57,0)),"")</f>
        <v/>
      </c>
      <c r="AC13" s="46">
        <f>IF(AB13="","",SUMIFS('Budget'!$C$8:$C$57,'Budget'!$B$8:$B$57,AB13))</f>
        <v/>
      </c>
      <c r="AD13" s="46">
        <f>IF(AB13="","",SUMIFS('Budget'!$L$8:$L$57,'Budget'!$B$8:$B$57,AB13))</f>
        <v/>
      </c>
    </row>
    <row r="14">
      <c r="A14" t="inlineStr">
        <is>
          <t>Selections &amp; Orders</t>
        </is>
      </c>
      <c r="B14" s="46">
        <f>'Selections &amp; Orders'!AC20</f>
        <v/>
      </c>
      <c r="C14" s="84">
        <f>'Selections &amp; Orders'!AA20</f>
        <v/>
      </c>
      <c r="D14" s="46">
        <f>'Selections &amp; Orders'!AB20</f>
        <v/>
      </c>
      <c r="E14" s="46">
        <f>IF(OR(B14="",C14="",D14=""),"",D14*100000+(C14-DATE(2000,1,1))+ROW()/100000)</f>
        <v/>
      </c>
      <c r="F14" s="46">
        <f>IF(E14="","",IF(C14&gt;WeekEndDate,"",E14))</f>
        <v/>
      </c>
      <c r="H14" t="n">
        <v>13</v>
      </c>
      <c r="I14" s="46">
        <f>IFERROR(SMALL($E$2:$E$9043,H14),"")</f>
        <v/>
      </c>
      <c r="J14" s="46">
        <f>IF(I14="","",MATCH(I14,$E$2:$E$9043,0))</f>
        <v/>
      </c>
      <c r="K14" s="46">
        <f>IF(J14="","",INDEX($A$2:$A$9043,J14))</f>
        <v/>
      </c>
      <c r="L14" s="46">
        <f>IF(J14="","",INDEX($B$2:$B$9043,J14))</f>
        <v/>
      </c>
      <c r="M14" s="84">
        <f>IF(J14="","",INDEX($C$2:$C$9043,J14))</f>
        <v/>
      </c>
      <c r="N14" s="46">
        <f>IF(J14="","",INDEX($D$2:$D$9043,J14))</f>
        <v/>
      </c>
      <c r="P14" t="n">
        <v>13</v>
      </c>
      <c r="Q14" s="46">
        <f>IFERROR(SMALL($F$2:$F$9043,P14),"")</f>
        <v/>
      </c>
      <c r="R14" s="46">
        <f>IF(Q14="","",MATCH(Q14,$F$2:$F$9043,0))</f>
        <v/>
      </c>
      <c r="S14" s="46">
        <f>IF(R14="","",INDEX($A$2:$A$9043,R14))</f>
        <v/>
      </c>
      <c r="T14" s="46">
        <f>IF(R14="","",INDEX($B$2:$B$9043,R14))</f>
        <v/>
      </c>
      <c r="U14" s="84">
        <f>IF(R14="","",INDEX($C$2:$C$9043,R14))</f>
        <v/>
      </c>
      <c r="V14" s="46">
        <f>IF(R14="","",INDEX($D$2:$D$9043,R14))</f>
        <v/>
      </c>
    </row>
    <row r="15">
      <c r="A15" t="inlineStr">
        <is>
          <t>Selections &amp; Orders</t>
        </is>
      </c>
      <c r="B15" s="46">
        <f>'Selections &amp; Orders'!AC21</f>
        <v/>
      </c>
      <c r="C15" s="84">
        <f>'Selections &amp; Orders'!AA21</f>
        <v/>
      </c>
      <c r="D15" s="46">
        <f>'Selections &amp; Orders'!AB21</f>
        <v/>
      </c>
      <c r="E15" s="46">
        <f>IF(OR(B15="",C15="",D15=""),"",D15*100000+(C15-DATE(2000,1,1))+ROW()/100000)</f>
        <v/>
      </c>
      <c r="F15" s="46">
        <f>IF(E15="","",IF(C15&gt;WeekEndDate,"",E15))</f>
        <v/>
      </c>
      <c r="H15" t="n">
        <v>14</v>
      </c>
      <c r="I15" s="46">
        <f>IFERROR(SMALL($E$2:$E$9043,H15),"")</f>
        <v/>
      </c>
      <c r="J15" s="46">
        <f>IF(I15="","",MATCH(I15,$E$2:$E$9043,0))</f>
        <v/>
      </c>
      <c r="K15" s="46">
        <f>IF(J15="","",INDEX($A$2:$A$9043,J15))</f>
        <v/>
      </c>
      <c r="L15" s="46">
        <f>IF(J15="","",INDEX($B$2:$B$9043,J15))</f>
        <v/>
      </c>
      <c r="M15" s="84">
        <f>IF(J15="","",INDEX($C$2:$C$9043,J15))</f>
        <v/>
      </c>
      <c r="N15" s="46">
        <f>IF(J15="","",INDEX($D$2:$D$9043,J15))</f>
        <v/>
      </c>
      <c r="P15" t="n">
        <v>14</v>
      </c>
      <c r="Q15" s="46">
        <f>IFERROR(SMALL($F$2:$F$9043,P15),"")</f>
        <v/>
      </c>
      <c r="R15" s="46">
        <f>IF(Q15="","",MATCH(Q15,$F$2:$F$9043,0))</f>
        <v/>
      </c>
      <c r="S15" s="46">
        <f>IF(R15="","",INDEX($A$2:$A$9043,R15))</f>
        <v/>
      </c>
      <c r="T15" s="46">
        <f>IF(R15="","",INDEX($B$2:$B$9043,R15))</f>
        <v/>
      </c>
      <c r="U15" s="84">
        <f>IF(R15="","",INDEX($C$2:$C$9043,R15))</f>
        <v/>
      </c>
      <c r="V15" s="46">
        <f>IF(R15="","",INDEX($D$2:$D$9043,R15))</f>
        <v/>
      </c>
    </row>
    <row r="16">
      <c r="A16" t="inlineStr">
        <is>
          <t>Selections &amp; Orders</t>
        </is>
      </c>
      <c r="B16" s="46">
        <f>'Selections &amp; Orders'!AC22</f>
        <v/>
      </c>
      <c r="C16" s="84">
        <f>'Selections &amp; Orders'!AA22</f>
        <v/>
      </c>
      <c r="D16" s="46">
        <f>'Selections &amp; Orders'!AB22</f>
        <v/>
      </c>
      <c r="E16" s="46">
        <f>IF(OR(B16="",C16="",D16=""),"",D16*100000+(C16-DATE(2000,1,1))+ROW()/100000)</f>
        <v/>
      </c>
      <c r="F16" s="46">
        <f>IF(E16="","",IF(C16&gt;WeekEndDate,"",E16))</f>
        <v/>
      </c>
      <c r="H16" t="n">
        <v>15</v>
      </c>
      <c r="I16" s="46">
        <f>IFERROR(SMALL($E$2:$E$9043,H16),"")</f>
        <v/>
      </c>
      <c r="J16" s="46">
        <f>IF(I16="","",MATCH(I16,$E$2:$E$9043,0))</f>
        <v/>
      </c>
      <c r="K16" s="46">
        <f>IF(J16="","",INDEX($A$2:$A$9043,J16))</f>
        <v/>
      </c>
      <c r="L16" s="46">
        <f>IF(J16="","",INDEX($B$2:$B$9043,J16))</f>
        <v/>
      </c>
      <c r="M16" s="84">
        <f>IF(J16="","",INDEX($C$2:$C$9043,J16))</f>
        <v/>
      </c>
      <c r="N16" s="46">
        <f>IF(J16="","",INDEX($D$2:$D$9043,J16))</f>
        <v/>
      </c>
      <c r="P16" t="n">
        <v>15</v>
      </c>
      <c r="Q16" s="46">
        <f>IFERROR(SMALL($F$2:$F$9043,P16),"")</f>
        <v/>
      </c>
      <c r="R16" s="46">
        <f>IF(Q16="","",MATCH(Q16,$F$2:$F$9043,0))</f>
        <v/>
      </c>
      <c r="S16" s="46">
        <f>IF(R16="","",INDEX($A$2:$A$9043,R16))</f>
        <v/>
      </c>
      <c r="T16" s="46">
        <f>IF(R16="","",INDEX($B$2:$B$9043,R16))</f>
        <v/>
      </c>
      <c r="U16" s="84">
        <f>IF(R16="","",INDEX($C$2:$C$9043,R16))</f>
        <v/>
      </c>
      <c r="V16" s="46">
        <f>IF(R16="","",INDEX($D$2:$D$9043,R16))</f>
        <v/>
      </c>
    </row>
    <row r="17">
      <c r="A17" t="inlineStr">
        <is>
          <t>Selections &amp; Orders</t>
        </is>
      </c>
      <c r="B17" s="46">
        <f>'Selections &amp; Orders'!AC23</f>
        <v/>
      </c>
      <c r="C17" s="84">
        <f>'Selections &amp; Orders'!AA23</f>
        <v/>
      </c>
      <c r="D17" s="46">
        <f>'Selections &amp; Orders'!AB23</f>
        <v/>
      </c>
      <c r="E17" s="46">
        <f>IF(OR(B17="",C17="",D17=""),"",D17*100000+(C17-DATE(2000,1,1))+ROW()/100000)</f>
        <v/>
      </c>
      <c r="F17" s="46">
        <f>IF(E17="","",IF(C17&gt;WeekEndDate,"",E17))</f>
        <v/>
      </c>
      <c r="H17" t="n">
        <v>16</v>
      </c>
      <c r="I17" s="46">
        <f>IFERROR(SMALL($E$2:$E$9043,H17),"")</f>
        <v/>
      </c>
      <c r="J17" s="46">
        <f>IF(I17="","",MATCH(I17,$E$2:$E$9043,0))</f>
        <v/>
      </c>
      <c r="K17" s="46">
        <f>IF(J17="","",INDEX($A$2:$A$9043,J17))</f>
        <v/>
      </c>
      <c r="L17" s="46">
        <f>IF(J17="","",INDEX($B$2:$B$9043,J17))</f>
        <v/>
      </c>
      <c r="M17" s="84">
        <f>IF(J17="","",INDEX($C$2:$C$9043,J17))</f>
        <v/>
      </c>
      <c r="N17" s="46">
        <f>IF(J17="","",INDEX($D$2:$D$9043,J17))</f>
        <v/>
      </c>
      <c r="P17" t="n">
        <v>16</v>
      </c>
      <c r="Q17" s="46">
        <f>IFERROR(SMALL($F$2:$F$9043,P17),"")</f>
        <v/>
      </c>
      <c r="R17" s="46">
        <f>IF(Q17="","",MATCH(Q17,$F$2:$F$9043,0))</f>
        <v/>
      </c>
      <c r="S17" s="46">
        <f>IF(R17="","",INDEX($A$2:$A$9043,R17))</f>
        <v/>
      </c>
      <c r="T17" s="46">
        <f>IF(R17="","",INDEX($B$2:$B$9043,R17))</f>
        <v/>
      </c>
      <c r="U17" s="84">
        <f>IF(R17="","",INDEX($C$2:$C$9043,R17))</f>
        <v/>
      </c>
      <c r="V17" s="46">
        <f>IF(R17="","",INDEX($D$2:$D$9043,R17))</f>
        <v/>
      </c>
    </row>
    <row r="18">
      <c r="A18" t="inlineStr">
        <is>
          <t>Selections &amp; Orders</t>
        </is>
      </c>
      <c r="B18" s="46">
        <f>'Selections &amp; Orders'!AC24</f>
        <v/>
      </c>
      <c r="C18" s="84">
        <f>'Selections &amp; Orders'!AA24</f>
        <v/>
      </c>
      <c r="D18" s="46">
        <f>'Selections &amp; Orders'!AB24</f>
        <v/>
      </c>
      <c r="E18" s="46">
        <f>IF(OR(B18="",C18="",D18=""),"",D18*100000+(C18-DATE(2000,1,1))+ROW()/100000)</f>
        <v/>
      </c>
      <c r="F18" s="46">
        <f>IF(E18="","",IF(C18&gt;WeekEndDate,"",E18))</f>
        <v/>
      </c>
      <c r="H18" t="n">
        <v>17</v>
      </c>
      <c r="I18" s="46">
        <f>IFERROR(SMALL($E$2:$E$9043,H18),"")</f>
        <v/>
      </c>
      <c r="J18" s="46">
        <f>IF(I18="","",MATCH(I18,$E$2:$E$9043,0))</f>
        <v/>
      </c>
      <c r="K18" s="46">
        <f>IF(J18="","",INDEX($A$2:$A$9043,J18))</f>
        <v/>
      </c>
      <c r="L18" s="46">
        <f>IF(J18="","",INDEX($B$2:$B$9043,J18))</f>
        <v/>
      </c>
      <c r="M18" s="84">
        <f>IF(J18="","",INDEX($C$2:$C$9043,J18))</f>
        <v/>
      </c>
      <c r="N18" s="46">
        <f>IF(J18="","",INDEX($D$2:$D$9043,J18))</f>
        <v/>
      </c>
      <c r="P18" t="n">
        <v>17</v>
      </c>
      <c r="Q18" s="46">
        <f>IFERROR(SMALL($F$2:$F$9043,P18),"")</f>
        <v/>
      </c>
      <c r="R18" s="46">
        <f>IF(Q18="","",MATCH(Q18,$F$2:$F$9043,0))</f>
        <v/>
      </c>
      <c r="S18" s="46">
        <f>IF(R18="","",INDEX($A$2:$A$9043,R18))</f>
        <v/>
      </c>
      <c r="T18" s="46">
        <f>IF(R18="","",INDEX($B$2:$B$9043,R18))</f>
        <v/>
      </c>
      <c r="U18" s="84">
        <f>IF(R18="","",INDEX($C$2:$C$9043,R18))</f>
        <v/>
      </c>
      <c r="V18" s="46">
        <f>IF(R18="","",INDEX($D$2:$D$9043,R18))</f>
        <v/>
      </c>
    </row>
    <row r="19">
      <c r="A19" t="inlineStr">
        <is>
          <t>Selections &amp; Orders</t>
        </is>
      </c>
      <c r="B19" s="46">
        <f>'Selections &amp; Orders'!AC25</f>
        <v/>
      </c>
      <c r="C19" s="84">
        <f>'Selections &amp; Orders'!AA25</f>
        <v/>
      </c>
      <c r="D19" s="46">
        <f>'Selections &amp; Orders'!AB25</f>
        <v/>
      </c>
      <c r="E19" s="46">
        <f>IF(OR(B19="",C19="",D19=""),"",D19*100000+(C19-DATE(2000,1,1))+ROW()/100000)</f>
        <v/>
      </c>
      <c r="F19" s="46">
        <f>IF(E19="","",IF(C19&gt;WeekEndDate,"",E19))</f>
        <v/>
      </c>
      <c r="H19" t="n">
        <v>18</v>
      </c>
      <c r="I19" s="46">
        <f>IFERROR(SMALL($E$2:$E$9043,H19),"")</f>
        <v/>
      </c>
      <c r="J19" s="46">
        <f>IF(I19="","",MATCH(I19,$E$2:$E$9043,0))</f>
        <v/>
      </c>
      <c r="K19" s="46">
        <f>IF(J19="","",INDEX($A$2:$A$9043,J19))</f>
        <v/>
      </c>
      <c r="L19" s="46">
        <f>IF(J19="","",INDEX($B$2:$B$9043,J19))</f>
        <v/>
      </c>
      <c r="M19" s="84">
        <f>IF(J19="","",INDEX($C$2:$C$9043,J19))</f>
        <v/>
      </c>
      <c r="N19" s="46">
        <f>IF(J19="","",INDEX($D$2:$D$9043,J19))</f>
        <v/>
      </c>
      <c r="P19" t="n">
        <v>18</v>
      </c>
      <c r="Q19" s="46">
        <f>IFERROR(SMALL($F$2:$F$9043,P19),"")</f>
        <v/>
      </c>
      <c r="R19" s="46">
        <f>IF(Q19="","",MATCH(Q19,$F$2:$F$9043,0))</f>
        <v/>
      </c>
      <c r="S19" s="46">
        <f>IF(R19="","",INDEX($A$2:$A$9043,R19))</f>
        <v/>
      </c>
      <c r="T19" s="46">
        <f>IF(R19="","",INDEX($B$2:$B$9043,R19))</f>
        <v/>
      </c>
      <c r="U19" s="84">
        <f>IF(R19="","",INDEX($C$2:$C$9043,R19))</f>
        <v/>
      </c>
      <c r="V19" s="46">
        <f>IF(R19="","",INDEX($D$2:$D$9043,R19))</f>
        <v/>
      </c>
    </row>
    <row r="20">
      <c r="A20" t="inlineStr">
        <is>
          <t>Selections &amp; Orders</t>
        </is>
      </c>
      <c r="B20" s="46">
        <f>'Selections &amp; Orders'!AC26</f>
        <v/>
      </c>
      <c r="C20" s="84">
        <f>'Selections &amp; Orders'!AA26</f>
        <v/>
      </c>
      <c r="D20" s="46">
        <f>'Selections &amp; Orders'!AB26</f>
        <v/>
      </c>
      <c r="E20" s="46">
        <f>IF(OR(B20="",C20="",D20=""),"",D20*100000+(C20-DATE(2000,1,1))+ROW()/100000)</f>
        <v/>
      </c>
      <c r="F20" s="46">
        <f>IF(E20="","",IF(C20&gt;WeekEndDate,"",E20))</f>
        <v/>
      </c>
      <c r="H20" t="n">
        <v>19</v>
      </c>
      <c r="I20" s="46">
        <f>IFERROR(SMALL($E$2:$E$9043,H20),"")</f>
        <v/>
      </c>
      <c r="J20" s="46">
        <f>IF(I20="","",MATCH(I20,$E$2:$E$9043,0))</f>
        <v/>
      </c>
      <c r="K20" s="46">
        <f>IF(J20="","",INDEX($A$2:$A$9043,J20))</f>
        <v/>
      </c>
      <c r="L20" s="46">
        <f>IF(J20="","",INDEX($B$2:$B$9043,J20))</f>
        <v/>
      </c>
      <c r="M20" s="84">
        <f>IF(J20="","",INDEX($C$2:$C$9043,J20))</f>
        <v/>
      </c>
      <c r="N20" s="46">
        <f>IF(J20="","",INDEX($D$2:$D$9043,J20))</f>
        <v/>
      </c>
      <c r="P20" t="n">
        <v>19</v>
      </c>
      <c r="Q20" s="46">
        <f>IFERROR(SMALL($F$2:$F$9043,P20),"")</f>
        <v/>
      </c>
      <c r="R20" s="46">
        <f>IF(Q20="","",MATCH(Q20,$F$2:$F$9043,0))</f>
        <v/>
      </c>
      <c r="S20" s="46">
        <f>IF(R20="","",INDEX($A$2:$A$9043,R20))</f>
        <v/>
      </c>
      <c r="T20" s="46">
        <f>IF(R20="","",INDEX($B$2:$B$9043,R20))</f>
        <v/>
      </c>
      <c r="U20" s="84">
        <f>IF(R20="","",INDEX($C$2:$C$9043,R20))</f>
        <v/>
      </c>
      <c r="V20" s="46">
        <f>IF(R20="","",INDEX($D$2:$D$9043,R20))</f>
        <v/>
      </c>
    </row>
    <row r="21">
      <c r="A21" t="inlineStr">
        <is>
          <t>Selections &amp; Orders</t>
        </is>
      </c>
      <c r="B21" s="46">
        <f>'Selections &amp; Orders'!AC27</f>
        <v/>
      </c>
      <c r="C21" s="84">
        <f>'Selections &amp; Orders'!AA27</f>
        <v/>
      </c>
      <c r="D21" s="46">
        <f>'Selections &amp; Orders'!AB27</f>
        <v/>
      </c>
      <c r="E21" s="46">
        <f>IF(OR(B21="",C21="",D21=""),"",D21*100000+(C21-DATE(2000,1,1))+ROW()/100000)</f>
        <v/>
      </c>
      <c r="F21" s="46">
        <f>IF(E21="","",IF(C21&gt;WeekEndDate,"",E21))</f>
        <v/>
      </c>
      <c r="H21" t="n">
        <v>20</v>
      </c>
      <c r="I21" s="46">
        <f>IFERROR(SMALL($E$2:$E$9043,H21),"")</f>
        <v/>
      </c>
      <c r="J21" s="46">
        <f>IF(I21="","",MATCH(I21,$E$2:$E$9043,0))</f>
        <v/>
      </c>
      <c r="K21" s="46">
        <f>IF(J21="","",INDEX($A$2:$A$9043,J21))</f>
        <v/>
      </c>
      <c r="L21" s="46">
        <f>IF(J21="","",INDEX($B$2:$B$9043,J21))</f>
        <v/>
      </c>
      <c r="M21" s="84">
        <f>IF(J21="","",INDEX($C$2:$C$9043,J21))</f>
        <v/>
      </c>
      <c r="N21" s="46">
        <f>IF(J21="","",INDEX($D$2:$D$9043,J21))</f>
        <v/>
      </c>
      <c r="P21" t="n">
        <v>20</v>
      </c>
      <c r="Q21" s="46">
        <f>IFERROR(SMALL($F$2:$F$9043,P21),"")</f>
        <v/>
      </c>
      <c r="R21" s="46">
        <f>IF(Q21="","",MATCH(Q21,$F$2:$F$9043,0))</f>
        <v/>
      </c>
      <c r="S21" s="46">
        <f>IF(R21="","",INDEX($A$2:$A$9043,R21))</f>
        <v/>
      </c>
      <c r="T21" s="46">
        <f>IF(R21="","",INDEX($B$2:$B$9043,R21))</f>
        <v/>
      </c>
      <c r="U21" s="84">
        <f>IF(R21="","",INDEX($C$2:$C$9043,R21))</f>
        <v/>
      </c>
      <c r="V21" s="46">
        <f>IF(R21="","",INDEX($D$2:$D$9043,R21))</f>
        <v/>
      </c>
    </row>
    <row r="22">
      <c r="A22" t="inlineStr">
        <is>
          <t>Selections &amp; Orders</t>
        </is>
      </c>
      <c r="B22" s="46">
        <f>'Selections &amp; Orders'!AC28</f>
        <v/>
      </c>
      <c r="C22" s="84">
        <f>'Selections &amp; Orders'!AA28</f>
        <v/>
      </c>
      <c r="D22" s="46">
        <f>'Selections &amp; Orders'!AB28</f>
        <v/>
      </c>
      <c r="E22" s="46">
        <f>IF(OR(B22="",C22="",D22=""),"",D22*100000+(C22-DATE(2000,1,1))+ROW()/100000)</f>
        <v/>
      </c>
      <c r="F22" s="46">
        <f>IF(E22="","",IF(C22&gt;WeekEndDate,"",E22))</f>
        <v/>
      </c>
      <c r="H22" t="n">
        <v>21</v>
      </c>
      <c r="I22" s="46">
        <f>IFERROR(SMALL($E$2:$E$9043,H22),"")</f>
        <v/>
      </c>
      <c r="J22" s="46">
        <f>IF(I22="","",MATCH(I22,$E$2:$E$9043,0))</f>
        <v/>
      </c>
      <c r="K22" s="46">
        <f>IF(J22="","",INDEX($A$2:$A$9043,J22))</f>
        <v/>
      </c>
      <c r="L22" s="46">
        <f>IF(J22="","",INDEX($B$2:$B$9043,J22))</f>
        <v/>
      </c>
      <c r="M22" s="84">
        <f>IF(J22="","",INDEX($C$2:$C$9043,J22))</f>
        <v/>
      </c>
      <c r="N22" s="46">
        <f>IF(J22="","",INDEX($D$2:$D$9043,J22))</f>
        <v/>
      </c>
      <c r="P22" t="n">
        <v>21</v>
      </c>
      <c r="Q22" s="46">
        <f>IFERROR(SMALL($F$2:$F$9043,P22),"")</f>
        <v/>
      </c>
      <c r="R22" s="46">
        <f>IF(Q22="","",MATCH(Q22,$F$2:$F$9043,0))</f>
        <v/>
      </c>
      <c r="S22" s="46">
        <f>IF(R22="","",INDEX($A$2:$A$9043,R22))</f>
        <v/>
      </c>
      <c r="T22" s="46">
        <f>IF(R22="","",INDEX($B$2:$B$9043,R22))</f>
        <v/>
      </c>
      <c r="U22" s="84">
        <f>IF(R22="","",INDEX($C$2:$C$9043,R22))</f>
        <v/>
      </c>
      <c r="V22" s="46">
        <f>IF(R22="","",INDEX($D$2:$D$9043,R22))</f>
        <v/>
      </c>
    </row>
    <row r="23">
      <c r="A23" t="inlineStr">
        <is>
          <t>Selections &amp; Orders</t>
        </is>
      </c>
      <c r="B23" s="46">
        <f>'Selections &amp; Orders'!AC29</f>
        <v/>
      </c>
      <c r="C23" s="84">
        <f>'Selections &amp; Orders'!AA29</f>
        <v/>
      </c>
      <c r="D23" s="46">
        <f>'Selections &amp; Orders'!AB29</f>
        <v/>
      </c>
      <c r="E23" s="46">
        <f>IF(OR(B23="",C23="",D23=""),"",D23*100000+(C23-DATE(2000,1,1))+ROW()/100000)</f>
        <v/>
      </c>
      <c r="F23" s="46">
        <f>IF(E23="","",IF(C23&gt;WeekEndDate,"",E23))</f>
        <v/>
      </c>
      <c r="H23" t="n">
        <v>22</v>
      </c>
      <c r="I23" s="46">
        <f>IFERROR(SMALL($E$2:$E$9043,H23),"")</f>
        <v/>
      </c>
      <c r="J23" s="46">
        <f>IF(I23="","",MATCH(I23,$E$2:$E$9043,0))</f>
        <v/>
      </c>
      <c r="K23" s="46">
        <f>IF(J23="","",INDEX($A$2:$A$9043,J23))</f>
        <v/>
      </c>
      <c r="L23" s="46">
        <f>IF(J23="","",INDEX($B$2:$B$9043,J23))</f>
        <v/>
      </c>
      <c r="M23" s="84">
        <f>IF(J23="","",INDEX($C$2:$C$9043,J23))</f>
        <v/>
      </c>
      <c r="N23" s="46">
        <f>IF(J23="","",INDEX($D$2:$D$9043,J23))</f>
        <v/>
      </c>
      <c r="P23" t="n">
        <v>22</v>
      </c>
      <c r="Q23" s="46">
        <f>IFERROR(SMALL($F$2:$F$9043,P23),"")</f>
        <v/>
      </c>
      <c r="R23" s="46">
        <f>IF(Q23="","",MATCH(Q23,$F$2:$F$9043,0))</f>
        <v/>
      </c>
      <c r="S23" s="46">
        <f>IF(R23="","",INDEX($A$2:$A$9043,R23))</f>
        <v/>
      </c>
      <c r="T23" s="46">
        <f>IF(R23="","",INDEX($B$2:$B$9043,R23))</f>
        <v/>
      </c>
      <c r="U23" s="84">
        <f>IF(R23="","",INDEX($C$2:$C$9043,R23))</f>
        <v/>
      </c>
      <c r="V23" s="46">
        <f>IF(R23="","",INDEX($D$2:$D$9043,R23))</f>
        <v/>
      </c>
    </row>
    <row r="24">
      <c r="A24" t="inlineStr">
        <is>
          <t>Selections &amp; Orders</t>
        </is>
      </c>
      <c r="B24" s="46">
        <f>'Selections &amp; Orders'!AC30</f>
        <v/>
      </c>
      <c r="C24" s="84">
        <f>'Selections &amp; Orders'!AA30</f>
        <v/>
      </c>
      <c r="D24" s="46">
        <f>'Selections &amp; Orders'!AB30</f>
        <v/>
      </c>
      <c r="E24" s="46">
        <f>IF(OR(B24="",C24="",D24=""),"",D24*100000+(C24-DATE(2000,1,1))+ROW()/100000)</f>
        <v/>
      </c>
      <c r="F24" s="46">
        <f>IF(E24="","",IF(C24&gt;WeekEndDate,"",E24))</f>
        <v/>
      </c>
      <c r="H24" t="n">
        <v>23</v>
      </c>
      <c r="I24" s="46">
        <f>IFERROR(SMALL($E$2:$E$9043,H24),"")</f>
        <v/>
      </c>
      <c r="J24" s="46">
        <f>IF(I24="","",MATCH(I24,$E$2:$E$9043,0))</f>
        <v/>
      </c>
      <c r="K24" s="46">
        <f>IF(J24="","",INDEX($A$2:$A$9043,J24))</f>
        <v/>
      </c>
      <c r="L24" s="46">
        <f>IF(J24="","",INDEX($B$2:$B$9043,J24))</f>
        <v/>
      </c>
      <c r="M24" s="84">
        <f>IF(J24="","",INDEX($C$2:$C$9043,J24))</f>
        <v/>
      </c>
      <c r="N24" s="46">
        <f>IF(J24="","",INDEX($D$2:$D$9043,J24))</f>
        <v/>
      </c>
      <c r="P24" t="n">
        <v>23</v>
      </c>
      <c r="Q24" s="46">
        <f>IFERROR(SMALL($F$2:$F$9043,P24),"")</f>
        <v/>
      </c>
      <c r="R24" s="46">
        <f>IF(Q24="","",MATCH(Q24,$F$2:$F$9043,0))</f>
        <v/>
      </c>
      <c r="S24" s="46">
        <f>IF(R24="","",INDEX($A$2:$A$9043,R24))</f>
        <v/>
      </c>
      <c r="T24" s="46">
        <f>IF(R24="","",INDEX($B$2:$B$9043,R24))</f>
        <v/>
      </c>
      <c r="U24" s="84">
        <f>IF(R24="","",INDEX($C$2:$C$9043,R24))</f>
        <v/>
      </c>
      <c r="V24" s="46">
        <f>IF(R24="","",INDEX($D$2:$D$9043,R24))</f>
        <v/>
      </c>
    </row>
    <row r="25">
      <c r="A25" t="inlineStr">
        <is>
          <t>Selections &amp; Orders</t>
        </is>
      </c>
      <c r="B25" s="46">
        <f>'Selections &amp; Orders'!AC31</f>
        <v/>
      </c>
      <c r="C25" s="84">
        <f>'Selections &amp; Orders'!AA31</f>
        <v/>
      </c>
      <c r="D25" s="46">
        <f>'Selections &amp; Orders'!AB31</f>
        <v/>
      </c>
      <c r="E25" s="46">
        <f>IF(OR(B25="",C25="",D25=""),"",D25*100000+(C25-DATE(2000,1,1))+ROW()/100000)</f>
        <v/>
      </c>
      <c r="F25" s="46">
        <f>IF(E25="","",IF(C25&gt;WeekEndDate,"",E25))</f>
        <v/>
      </c>
      <c r="H25" t="n">
        <v>24</v>
      </c>
      <c r="I25" s="46">
        <f>IFERROR(SMALL($E$2:$E$9043,H25),"")</f>
        <v/>
      </c>
      <c r="J25" s="46">
        <f>IF(I25="","",MATCH(I25,$E$2:$E$9043,0))</f>
        <v/>
      </c>
      <c r="K25" s="46">
        <f>IF(J25="","",INDEX($A$2:$A$9043,J25))</f>
        <v/>
      </c>
      <c r="L25" s="46">
        <f>IF(J25="","",INDEX($B$2:$B$9043,J25))</f>
        <v/>
      </c>
      <c r="M25" s="84">
        <f>IF(J25="","",INDEX($C$2:$C$9043,J25))</f>
        <v/>
      </c>
      <c r="N25" s="46">
        <f>IF(J25="","",INDEX($D$2:$D$9043,J25))</f>
        <v/>
      </c>
      <c r="P25" t="n">
        <v>24</v>
      </c>
      <c r="Q25" s="46">
        <f>IFERROR(SMALL($F$2:$F$9043,P25),"")</f>
        <v/>
      </c>
      <c r="R25" s="46">
        <f>IF(Q25="","",MATCH(Q25,$F$2:$F$9043,0))</f>
        <v/>
      </c>
      <c r="S25" s="46">
        <f>IF(R25="","",INDEX($A$2:$A$9043,R25))</f>
        <v/>
      </c>
      <c r="T25" s="46">
        <f>IF(R25="","",INDEX($B$2:$B$9043,R25))</f>
        <v/>
      </c>
      <c r="U25" s="84">
        <f>IF(R25="","",INDEX($C$2:$C$9043,R25))</f>
        <v/>
      </c>
      <c r="V25" s="46">
        <f>IF(R25="","",INDEX($D$2:$D$9043,R25))</f>
        <v/>
      </c>
    </row>
    <row r="26">
      <c r="A26" t="inlineStr">
        <is>
          <t>Selections &amp; Orders</t>
        </is>
      </c>
      <c r="B26" s="46">
        <f>'Selections &amp; Orders'!AC32</f>
        <v/>
      </c>
      <c r="C26" s="84">
        <f>'Selections &amp; Orders'!AA32</f>
        <v/>
      </c>
      <c r="D26" s="46">
        <f>'Selections &amp; Orders'!AB32</f>
        <v/>
      </c>
      <c r="E26" s="46">
        <f>IF(OR(B26="",C26="",D26=""),"",D26*100000+(C26-DATE(2000,1,1))+ROW()/100000)</f>
        <v/>
      </c>
      <c r="F26" s="46">
        <f>IF(E26="","",IF(C26&gt;WeekEndDate,"",E26))</f>
        <v/>
      </c>
      <c r="H26" t="n">
        <v>25</v>
      </c>
      <c r="I26" s="46">
        <f>IFERROR(SMALL($E$2:$E$9043,H26),"")</f>
        <v/>
      </c>
      <c r="J26" s="46">
        <f>IF(I26="","",MATCH(I26,$E$2:$E$9043,0))</f>
        <v/>
      </c>
      <c r="K26" s="46">
        <f>IF(J26="","",INDEX($A$2:$A$9043,J26))</f>
        <v/>
      </c>
      <c r="L26" s="46">
        <f>IF(J26="","",INDEX($B$2:$B$9043,J26))</f>
        <v/>
      </c>
      <c r="M26" s="84">
        <f>IF(J26="","",INDEX($C$2:$C$9043,J26))</f>
        <v/>
      </c>
      <c r="N26" s="46">
        <f>IF(J26="","",INDEX($D$2:$D$9043,J26))</f>
        <v/>
      </c>
      <c r="P26" t="n">
        <v>25</v>
      </c>
      <c r="Q26" s="46">
        <f>IFERROR(SMALL($F$2:$F$9043,P26),"")</f>
        <v/>
      </c>
      <c r="R26" s="46">
        <f>IF(Q26="","",MATCH(Q26,$F$2:$F$9043,0))</f>
        <v/>
      </c>
      <c r="S26" s="46">
        <f>IF(R26="","",INDEX($A$2:$A$9043,R26))</f>
        <v/>
      </c>
      <c r="T26" s="46">
        <f>IF(R26="","",INDEX($B$2:$B$9043,R26))</f>
        <v/>
      </c>
      <c r="U26" s="84">
        <f>IF(R26="","",INDEX($C$2:$C$9043,R26))</f>
        <v/>
      </c>
      <c r="V26" s="46">
        <f>IF(R26="","",INDEX($D$2:$D$9043,R26))</f>
        <v/>
      </c>
    </row>
    <row r="27">
      <c r="A27" t="inlineStr">
        <is>
          <t>Selections &amp; Orders</t>
        </is>
      </c>
      <c r="B27" s="46">
        <f>'Selections &amp; Orders'!AC33</f>
        <v/>
      </c>
      <c r="C27" s="84">
        <f>'Selections &amp; Orders'!AA33</f>
        <v/>
      </c>
      <c r="D27" s="46">
        <f>'Selections &amp; Orders'!AB33</f>
        <v/>
      </c>
      <c r="E27" s="46">
        <f>IF(OR(B27="",C27="",D27=""),"",D27*100000+(C27-DATE(2000,1,1))+ROW()/100000)</f>
        <v/>
      </c>
      <c r="F27" s="46">
        <f>IF(E27="","",IF(C27&gt;WeekEndDate,"",E27))</f>
        <v/>
      </c>
    </row>
    <row r="28">
      <c r="A28" t="inlineStr">
        <is>
          <t>Selections &amp; Orders</t>
        </is>
      </c>
      <c r="B28" s="46">
        <f>'Selections &amp; Orders'!AC34</f>
        <v/>
      </c>
      <c r="C28" s="84">
        <f>'Selections &amp; Orders'!AA34</f>
        <v/>
      </c>
      <c r="D28" s="46">
        <f>'Selections &amp; Orders'!AB34</f>
        <v/>
      </c>
      <c r="E28" s="46">
        <f>IF(OR(B28="",C28="",D28=""),"",D28*100000+(C28-DATE(2000,1,1))+ROW()/100000)</f>
        <v/>
      </c>
      <c r="F28" s="46">
        <f>IF(E28="","",IF(C28&gt;WeekEndDate,"",E28))</f>
        <v/>
      </c>
      <c r="H28" t="inlineStr">
        <is>
          <t>TOP 25 (all)</t>
        </is>
      </c>
      <c r="P28" t="inlineStr">
        <is>
          <t>TOP 25 (due by week end)</t>
        </is>
      </c>
    </row>
    <row r="29">
      <c r="A29" t="inlineStr">
        <is>
          <t>Selections &amp; Orders</t>
        </is>
      </c>
      <c r="B29" s="46">
        <f>'Selections &amp; Orders'!AC35</f>
        <v/>
      </c>
      <c r="C29" s="84">
        <f>'Selections &amp; Orders'!AA35</f>
        <v/>
      </c>
      <c r="D29" s="46">
        <f>'Selections &amp; Orders'!AB35</f>
        <v/>
      </c>
      <c r="E29" s="46">
        <f>IF(OR(B29="",C29="",D29=""),"",D29*100000+(C29-DATE(2000,1,1))+ROW()/100000)</f>
        <v/>
      </c>
      <c r="F29" s="46">
        <f>IF(E29="","",IF(C29&gt;WeekEndDate,"",E29))</f>
        <v/>
      </c>
    </row>
    <row r="30">
      <c r="A30" t="inlineStr">
        <is>
          <t>Selections &amp; Orders</t>
        </is>
      </c>
      <c r="B30" s="46">
        <f>'Selections &amp; Orders'!AC36</f>
        <v/>
      </c>
      <c r="C30" s="84">
        <f>'Selections &amp; Orders'!AA36</f>
        <v/>
      </c>
      <c r="D30" s="46">
        <f>'Selections &amp; Orders'!AB36</f>
        <v/>
      </c>
      <c r="E30" s="46">
        <f>IF(OR(B30="",C30="",D30=""),"",D30*100000+(C30-DATE(2000,1,1))+ROW()/100000)</f>
        <v/>
      </c>
      <c r="F30" s="46">
        <f>IF(E30="","",IF(C30&gt;WeekEndDate,"",E30))</f>
        <v/>
      </c>
    </row>
    <row r="31">
      <c r="A31" t="inlineStr">
        <is>
          <t>Selections &amp; Orders</t>
        </is>
      </c>
      <c r="B31" s="46">
        <f>'Selections &amp; Orders'!AC37</f>
        <v/>
      </c>
      <c r="C31" s="84">
        <f>'Selections &amp; Orders'!AA37</f>
        <v/>
      </c>
      <c r="D31" s="46">
        <f>'Selections &amp; Orders'!AB37</f>
        <v/>
      </c>
      <c r="E31" s="46">
        <f>IF(OR(B31="",C31="",D31=""),"",D31*100000+(C31-DATE(2000,1,1))+ROW()/100000)</f>
        <v/>
      </c>
      <c r="F31" s="46">
        <f>IF(E31="","",IF(C31&gt;WeekEndDate,"",E31))</f>
        <v/>
      </c>
    </row>
    <row r="32">
      <c r="A32" t="inlineStr">
        <is>
          <t>Selections &amp; Orders</t>
        </is>
      </c>
      <c r="B32" s="46">
        <f>'Selections &amp; Orders'!AC38</f>
        <v/>
      </c>
      <c r="C32" s="84">
        <f>'Selections &amp; Orders'!AA38</f>
        <v/>
      </c>
      <c r="D32" s="46">
        <f>'Selections &amp; Orders'!AB38</f>
        <v/>
      </c>
      <c r="E32" s="46">
        <f>IF(OR(B32="",C32="",D32=""),"",D32*100000+(C32-DATE(2000,1,1))+ROW()/100000)</f>
        <v/>
      </c>
      <c r="F32" s="46">
        <f>IF(E32="","",IF(C32&gt;WeekEndDate,"",E32))</f>
        <v/>
      </c>
    </row>
    <row r="33">
      <c r="A33" t="inlineStr">
        <is>
          <t>Selections &amp; Orders</t>
        </is>
      </c>
      <c r="B33" s="46">
        <f>'Selections &amp; Orders'!AC39</f>
        <v/>
      </c>
      <c r="C33" s="84">
        <f>'Selections &amp; Orders'!AA39</f>
        <v/>
      </c>
      <c r="D33" s="46">
        <f>'Selections &amp; Orders'!AB39</f>
        <v/>
      </c>
      <c r="E33" s="46">
        <f>IF(OR(B33="",C33="",D33=""),"",D33*100000+(C33-DATE(2000,1,1))+ROW()/100000)</f>
        <v/>
      </c>
      <c r="F33" s="46">
        <f>IF(E33="","",IF(C33&gt;WeekEndDate,"",E33))</f>
        <v/>
      </c>
    </row>
    <row r="34">
      <c r="A34" t="inlineStr">
        <is>
          <t>Selections &amp; Orders</t>
        </is>
      </c>
      <c r="B34" s="46">
        <f>'Selections &amp; Orders'!AC40</f>
        <v/>
      </c>
      <c r="C34" s="84">
        <f>'Selections &amp; Orders'!AA40</f>
        <v/>
      </c>
      <c r="D34" s="46">
        <f>'Selections &amp; Orders'!AB40</f>
        <v/>
      </c>
      <c r="E34" s="46">
        <f>IF(OR(B34="",C34="",D34=""),"",D34*100000+(C34-DATE(2000,1,1))+ROW()/100000)</f>
        <v/>
      </c>
      <c r="F34" s="46">
        <f>IF(E34="","",IF(C34&gt;WeekEndDate,"",E34))</f>
        <v/>
      </c>
    </row>
    <row r="35">
      <c r="A35" t="inlineStr">
        <is>
          <t>Selections &amp; Orders</t>
        </is>
      </c>
      <c r="B35" s="46">
        <f>'Selections &amp; Orders'!AC41</f>
        <v/>
      </c>
      <c r="C35" s="84">
        <f>'Selections &amp; Orders'!AA41</f>
        <v/>
      </c>
      <c r="D35" s="46">
        <f>'Selections &amp; Orders'!AB41</f>
        <v/>
      </c>
      <c r="E35" s="46">
        <f>IF(OR(B35="",C35="",D35=""),"",D35*100000+(C35-DATE(2000,1,1))+ROW()/100000)</f>
        <v/>
      </c>
      <c r="F35" s="46">
        <f>IF(E35="","",IF(C35&gt;WeekEndDate,"",E35))</f>
        <v/>
      </c>
    </row>
    <row r="36">
      <c r="A36" t="inlineStr">
        <is>
          <t>Selections &amp; Orders</t>
        </is>
      </c>
      <c r="B36" s="46">
        <f>'Selections &amp; Orders'!AC42</f>
        <v/>
      </c>
      <c r="C36" s="84">
        <f>'Selections &amp; Orders'!AA42</f>
        <v/>
      </c>
      <c r="D36" s="46">
        <f>'Selections &amp; Orders'!AB42</f>
        <v/>
      </c>
      <c r="E36" s="46">
        <f>IF(OR(B36="",C36="",D36=""),"",D36*100000+(C36-DATE(2000,1,1))+ROW()/100000)</f>
        <v/>
      </c>
      <c r="F36" s="46">
        <f>IF(E36="","",IF(C36&gt;WeekEndDate,"",E36))</f>
        <v/>
      </c>
    </row>
    <row r="37">
      <c r="A37" t="inlineStr">
        <is>
          <t>Selections &amp; Orders</t>
        </is>
      </c>
      <c r="B37" s="46">
        <f>'Selections &amp; Orders'!AC43</f>
        <v/>
      </c>
      <c r="C37" s="84">
        <f>'Selections &amp; Orders'!AA43</f>
        <v/>
      </c>
      <c r="D37" s="46">
        <f>'Selections &amp; Orders'!AB43</f>
        <v/>
      </c>
      <c r="E37" s="46">
        <f>IF(OR(B37="",C37="",D37=""),"",D37*100000+(C37-DATE(2000,1,1))+ROW()/100000)</f>
        <v/>
      </c>
      <c r="F37" s="46">
        <f>IF(E37="","",IF(C37&gt;WeekEndDate,"",E37))</f>
        <v/>
      </c>
    </row>
    <row r="38">
      <c r="A38" t="inlineStr">
        <is>
          <t>Selections &amp; Orders</t>
        </is>
      </c>
      <c r="B38" s="46">
        <f>'Selections &amp; Orders'!AC44</f>
        <v/>
      </c>
      <c r="C38" s="84">
        <f>'Selections &amp; Orders'!AA44</f>
        <v/>
      </c>
      <c r="D38" s="46">
        <f>'Selections &amp; Orders'!AB44</f>
        <v/>
      </c>
      <c r="E38" s="46">
        <f>IF(OR(B38="",C38="",D38=""),"",D38*100000+(C38-DATE(2000,1,1))+ROW()/100000)</f>
        <v/>
      </c>
      <c r="F38" s="46">
        <f>IF(E38="","",IF(C38&gt;WeekEndDate,"",E38))</f>
        <v/>
      </c>
    </row>
    <row r="39">
      <c r="A39" t="inlineStr">
        <is>
          <t>Selections &amp; Orders</t>
        </is>
      </c>
      <c r="B39" s="46">
        <f>'Selections &amp; Orders'!AC45</f>
        <v/>
      </c>
      <c r="C39" s="84">
        <f>'Selections &amp; Orders'!AA45</f>
        <v/>
      </c>
      <c r="D39" s="46">
        <f>'Selections &amp; Orders'!AB45</f>
        <v/>
      </c>
      <c r="E39" s="46">
        <f>IF(OR(B39="",C39="",D39=""),"",D39*100000+(C39-DATE(2000,1,1))+ROW()/100000)</f>
        <v/>
      </c>
      <c r="F39" s="46">
        <f>IF(E39="","",IF(C39&gt;WeekEndDate,"",E39))</f>
        <v/>
      </c>
    </row>
    <row r="40">
      <c r="A40" t="inlineStr">
        <is>
          <t>Selections &amp; Orders</t>
        </is>
      </c>
      <c r="B40" s="46">
        <f>'Selections &amp; Orders'!AC46</f>
        <v/>
      </c>
      <c r="C40" s="84">
        <f>'Selections &amp; Orders'!AA46</f>
        <v/>
      </c>
      <c r="D40" s="46">
        <f>'Selections &amp; Orders'!AB46</f>
        <v/>
      </c>
      <c r="E40" s="46">
        <f>IF(OR(B40="",C40="",D40=""),"",D40*100000+(C40-DATE(2000,1,1))+ROW()/100000)</f>
        <v/>
      </c>
      <c r="F40" s="46">
        <f>IF(E40="","",IF(C40&gt;WeekEndDate,"",E40))</f>
        <v/>
      </c>
    </row>
    <row r="41">
      <c r="A41" t="inlineStr">
        <is>
          <t>Selections &amp; Orders</t>
        </is>
      </c>
      <c r="B41" s="46">
        <f>'Selections &amp; Orders'!AC47</f>
        <v/>
      </c>
      <c r="C41" s="84">
        <f>'Selections &amp; Orders'!AA47</f>
        <v/>
      </c>
      <c r="D41" s="46">
        <f>'Selections &amp; Orders'!AB47</f>
        <v/>
      </c>
      <c r="E41" s="46">
        <f>IF(OR(B41="",C41="",D41=""),"",D41*100000+(C41-DATE(2000,1,1))+ROW()/100000)</f>
        <v/>
      </c>
      <c r="F41" s="46">
        <f>IF(E41="","",IF(C41&gt;WeekEndDate,"",E41))</f>
        <v/>
      </c>
    </row>
    <row r="42">
      <c r="A42" t="inlineStr">
        <is>
          <t>Selections &amp; Orders</t>
        </is>
      </c>
      <c r="B42" s="46">
        <f>'Selections &amp; Orders'!AC48</f>
        <v/>
      </c>
      <c r="C42" s="84">
        <f>'Selections &amp; Orders'!AA48</f>
        <v/>
      </c>
      <c r="D42" s="46">
        <f>'Selections &amp; Orders'!AB48</f>
        <v/>
      </c>
      <c r="E42" s="46">
        <f>IF(OR(B42="",C42="",D42=""),"",D42*100000+(C42-DATE(2000,1,1))+ROW()/100000)</f>
        <v/>
      </c>
      <c r="F42" s="46">
        <f>IF(E42="","",IF(C42&gt;WeekEndDate,"",E42))</f>
        <v/>
      </c>
    </row>
    <row r="43">
      <c r="A43" t="inlineStr">
        <is>
          <t>Selections &amp; Orders</t>
        </is>
      </c>
      <c r="B43" s="46">
        <f>'Selections &amp; Orders'!AC49</f>
        <v/>
      </c>
      <c r="C43" s="84">
        <f>'Selections &amp; Orders'!AA49</f>
        <v/>
      </c>
      <c r="D43" s="46">
        <f>'Selections &amp; Orders'!AB49</f>
        <v/>
      </c>
      <c r="E43" s="46">
        <f>IF(OR(B43="",C43="",D43=""),"",D43*100000+(C43-DATE(2000,1,1))+ROW()/100000)</f>
        <v/>
      </c>
      <c r="F43" s="46">
        <f>IF(E43="","",IF(C43&gt;WeekEndDate,"",E43))</f>
        <v/>
      </c>
    </row>
    <row r="44">
      <c r="A44" t="inlineStr">
        <is>
          <t>Selections &amp; Orders</t>
        </is>
      </c>
      <c r="B44" s="46">
        <f>'Selections &amp; Orders'!AC50</f>
        <v/>
      </c>
      <c r="C44" s="84">
        <f>'Selections &amp; Orders'!AA50</f>
        <v/>
      </c>
      <c r="D44" s="46">
        <f>'Selections &amp; Orders'!AB50</f>
        <v/>
      </c>
      <c r="E44" s="46">
        <f>IF(OR(B44="",C44="",D44=""),"",D44*100000+(C44-DATE(2000,1,1))+ROW()/100000)</f>
        <v/>
      </c>
      <c r="F44" s="46">
        <f>IF(E44="","",IF(C44&gt;WeekEndDate,"",E44))</f>
        <v/>
      </c>
    </row>
    <row r="45">
      <c r="A45" t="inlineStr">
        <is>
          <t>Selections &amp; Orders</t>
        </is>
      </c>
      <c r="B45" s="46">
        <f>'Selections &amp; Orders'!AC51</f>
        <v/>
      </c>
      <c r="C45" s="84">
        <f>'Selections &amp; Orders'!AA51</f>
        <v/>
      </c>
      <c r="D45" s="46">
        <f>'Selections &amp; Orders'!AB51</f>
        <v/>
      </c>
      <c r="E45" s="46">
        <f>IF(OR(B45="",C45="",D45=""),"",D45*100000+(C45-DATE(2000,1,1))+ROW()/100000)</f>
        <v/>
      </c>
      <c r="F45" s="46">
        <f>IF(E45="","",IF(C45&gt;WeekEndDate,"",E45))</f>
        <v/>
      </c>
    </row>
    <row r="46">
      <c r="A46" t="inlineStr">
        <is>
          <t>Selections &amp; Orders</t>
        </is>
      </c>
      <c r="B46" s="46">
        <f>'Selections &amp; Orders'!AC52</f>
        <v/>
      </c>
      <c r="C46" s="84">
        <f>'Selections &amp; Orders'!AA52</f>
        <v/>
      </c>
      <c r="D46" s="46">
        <f>'Selections &amp; Orders'!AB52</f>
        <v/>
      </c>
      <c r="E46" s="46">
        <f>IF(OR(B46="",C46="",D46=""),"",D46*100000+(C46-DATE(2000,1,1))+ROW()/100000)</f>
        <v/>
      </c>
      <c r="F46" s="46">
        <f>IF(E46="","",IF(C46&gt;WeekEndDate,"",E46))</f>
        <v/>
      </c>
    </row>
    <row r="47">
      <c r="A47" t="inlineStr">
        <is>
          <t>Selections &amp; Orders</t>
        </is>
      </c>
      <c r="B47" s="46">
        <f>'Selections &amp; Orders'!AC53</f>
        <v/>
      </c>
      <c r="C47" s="84">
        <f>'Selections &amp; Orders'!AA53</f>
        <v/>
      </c>
      <c r="D47" s="46">
        <f>'Selections &amp; Orders'!AB53</f>
        <v/>
      </c>
      <c r="E47" s="46">
        <f>IF(OR(B47="",C47="",D47=""),"",D47*100000+(C47-DATE(2000,1,1))+ROW()/100000)</f>
        <v/>
      </c>
      <c r="F47" s="46">
        <f>IF(E47="","",IF(C47&gt;WeekEndDate,"",E47))</f>
        <v/>
      </c>
    </row>
    <row r="48">
      <c r="A48" t="inlineStr">
        <is>
          <t>Selections &amp; Orders</t>
        </is>
      </c>
      <c r="B48" s="46">
        <f>'Selections &amp; Orders'!AC54</f>
        <v/>
      </c>
      <c r="C48" s="84">
        <f>'Selections &amp; Orders'!AA54</f>
        <v/>
      </c>
      <c r="D48" s="46">
        <f>'Selections &amp; Orders'!AB54</f>
        <v/>
      </c>
      <c r="E48" s="46">
        <f>IF(OR(B48="",C48="",D48=""),"",D48*100000+(C48-DATE(2000,1,1))+ROW()/100000)</f>
        <v/>
      </c>
      <c r="F48" s="46">
        <f>IF(E48="","",IF(C48&gt;WeekEndDate,"",E48))</f>
        <v/>
      </c>
    </row>
    <row r="49">
      <c r="A49" t="inlineStr">
        <is>
          <t>Selections &amp; Orders</t>
        </is>
      </c>
      <c r="B49" s="46">
        <f>'Selections &amp; Orders'!AC55</f>
        <v/>
      </c>
      <c r="C49" s="84">
        <f>'Selections &amp; Orders'!AA55</f>
        <v/>
      </c>
      <c r="D49" s="46">
        <f>'Selections &amp; Orders'!AB55</f>
        <v/>
      </c>
      <c r="E49" s="46">
        <f>IF(OR(B49="",C49="",D49=""),"",D49*100000+(C49-DATE(2000,1,1))+ROW()/100000)</f>
        <v/>
      </c>
      <c r="F49" s="46">
        <f>IF(E49="","",IF(C49&gt;WeekEndDate,"",E49))</f>
        <v/>
      </c>
    </row>
    <row r="50">
      <c r="A50" t="inlineStr">
        <is>
          <t>Selections &amp; Orders</t>
        </is>
      </c>
      <c r="B50" s="46">
        <f>'Selections &amp; Orders'!AC56</f>
        <v/>
      </c>
      <c r="C50" s="84">
        <f>'Selections &amp; Orders'!AA56</f>
        <v/>
      </c>
      <c r="D50" s="46">
        <f>'Selections &amp; Orders'!AB56</f>
        <v/>
      </c>
      <c r="E50" s="46">
        <f>IF(OR(B50="",C50="",D50=""),"",D50*100000+(C50-DATE(2000,1,1))+ROW()/100000)</f>
        <v/>
      </c>
      <c r="F50" s="46">
        <f>IF(E50="","",IF(C50&gt;WeekEndDate,"",E50))</f>
        <v/>
      </c>
    </row>
    <row r="51">
      <c r="A51" t="inlineStr">
        <is>
          <t>Selections &amp; Orders</t>
        </is>
      </c>
      <c r="B51" s="46">
        <f>'Selections &amp; Orders'!AC57</f>
        <v/>
      </c>
      <c r="C51" s="84">
        <f>'Selections &amp; Orders'!AA57</f>
        <v/>
      </c>
      <c r="D51" s="46">
        <f>'Selections &amp; Orders'!AB57</f>
        <v/>
      </c>
      <c r="E51" s="46">
        <f>IF(OR(B51="",C51="",D51=""),"",D51*100000+(C51-DATE(2000,1,1))+ROW()/100000)</f>
        <v/>
      </c>
      <c r="F51" s="46">
        <f>IF(E51="","",IF(C51&gt;WeekEndDate,"",E51))</f>
        <v/>
      </c>
    </row>
    <row r="52">
      <c r="A52" t="inlineStr">
        <is>
          <t>Selections &amp; Orders</t>
        </is>
      </c>
      <c r="B52" s="46">
        <f>'Selections &amp; Orders'!AC58</f>
        <v/>
      </c>
      <c r="C52" s="84">
        <f>'Selections &amp; Orders'!AA58</f>
        <v/>
      </c>
      <c r="D52" s="46">
        <f>'Selections &amp; Orders'!AB58</f>
        <v/>
      </c>
      <c r="E52" s="46">
        <f>IF(OR(B52="",C52="",D52=""),"",D52*100000+(C52-DATE(2000,1,1))+ROW()/100000)</f>
        <v/>
      </c>
      <c r="F52" s="46">
        <f>IF(E52="","",IF(C52&gt;WeekEndDate,"",E52))</f>
        <v/>
      </c>
    </row>
    <row r="53">
      <c r="A53" t="inlineStr">
        <is>
          <t>Selections &amp; Orders</t>
        </is>
      </c>
      <c r="B53" s="46">
        <f>'Selections &amp; Orders'!AC59</f>
        <v/>
      </c>
      <c r="C53" s="84">
        <f>'Selections &amp; Orders'!AA59</f>
        <v/>
      </c>
      <c r="D53" s="46">
        <f>'Selections &amp; Orders'!AB59</f>
        <v/>
      </c>
      <c r="E53" s="46">
        <f>IF(OR(B53="",C53="",D53=""),"",D53*100000+(C53-DATE(2000,1,1))+ROW()/100000)</f>
        <v/>
      </c>
      <c r="F53" s="46">
        <f>IF(E53="","",IF(C53&gt;WeekEndDate,"",E53))</f>
        <v/>
      </c>
    </row>
    <row r="54">
      <c r="A54" t="inlineStr">
        <is>
          <t>Selections &amp; Orders</t>
        </is>
      </c>
      <c r="B54" s="46">
        <f>'Selections &amp; Orders'!AC60</f>
        <v/>
      </c>
      <c r="C54" s="84">
        <f>'Selections &amp; Orders'!AA60</f>
        <v/>
      </c>
      <c r="D54" s="46">
        <f>'Selections &amp; Orders'!AB60</f>
        <v/>
      </c>
      <c r="E54" s="46">
        <f>IF(OR(B54="",C54="",D54=""),"",D54*100000+(C54-DATE(2000,1,1))+ROW()/100000)</f>
        <v/>
      </c>
      <c r="F54" s="46">
        <f>IF(E54="","",IF(C54&gt;WeekEndDate,"",E54))</f>
        <v/>
      </c>
    </row>
    <row r="55">
      <c r="A55" t="inlineStr">
        <is>
          <t>Selections &amp; Orders</t>
        </is>
      </c>
      <c r="B55" s="46">
        <f>'Selections &amp; Orders'!AC61</f>
        <v/>
      </c>
      <c r="C55" s="84">
        <f>'Selections &amp; Orders'!AA61</f>
        <v/>
      </c>
      <c r="D55" s="46">
        <f>'Selections &amp; Orders'!AB61</f>
        <v/>
      </c>
      <c r="E55" s="46">
        <f>IF(OR(B55="",C55="",D55=""),"",D55*100000+(C55-DATE(2000,1,1))+ROW()/100000)</f>
        <v/>
      </c>
      <c r="F55" s="46">
        <f>IF(E55="","",IF(C55&gt;WeekEndDate,"",E55))</f>
        <v/>
      </c>
    </row>
    <row r="56">
      <c r="A56" t="inlineStr">
        <is>
          <t>Selections &amp; Orders</t>
        </is>
      </c>
      <c r="B56" s="46">
        <f>'Selections &amp; Orders'!AC62</f>
        <v/>
      </c>
      <c r="C56" s="84">
        <f>'Selections &amp; Orders'!AA62</f>
        <v/>
      </c>
      <c r="D56" s="46">
        <f>'Selections &amp; Orders'!AB62</f>
        <v/>
      </c>
      <c r="E56" s="46">
        <f>IF(OR(B56="",C56="",D56=""),"",D56*100000+(C56-DATE(2000,1,1))+ROW()/100000)</f>
        <v/>
      </c>
      <c r="F56" s="46">
        <f>IF(E56="","",IF(C56&gt;WeekEndDate,"",E56))</f>
        <v/>
      </c>
    </row>
    <row r="57">
      <c r="A57" t="inlineStr">
        <is>
          <t>Selections &amp; Orders</t>
        </is>
      </c>
      <c r="B57" s="46">
        <f>'Selections &amp; Orders'!AC63</f>
        <v/>
      </c>
      <c r="C57" s="84">
        <f>'Selections &amp; Orders'!AA63</f>
        <v/>
      </c>
      <c r="D57" s="46">
        <f>'Selections &amp; Orders'!AB63</f>
        <v/>
      </c>
      <c r="E57" s="46">
        <f>IF(OR(B57="",C57="",D57=""),"",D57*100000+(C57-DATE(2000,1,1))+ROW()/100000)</f>
        <v/>
      </c>
      <c r="F57" s="46">
        <f>IF(E57="","",IF(C57&gt;WeekEndDate,"",E57))</f>
        <v/>
      </c>
    </row>
    <row r="58">
      <c r="A58" t="inlineStr">
        <is>
          <t>Selections &amp; Orders</t>
        </is>
      </c>
      <c r="B58" s="46">
        <f>'Selections &amp; Orders'!AC64</f>
        <v/>
      </c>
      <c r="C58" s="84">
        <f>'Selections &amp; Orders'!AA64</f>
        <v/>
      </c>
      <c r="D58" s="46">
        <f>'Selections &amp; Orders'!AB64</f>
        <v/>
      </c>
      <c r="E58" s="46">
        <f>IF(OR(B58="",C58="",D58=""),"",D58*100000+(C58-DATE(2000,1,1))+ROW()/100000)</f>
        <v/>
      </c>
      <c r="F58" s="46">
        <f>IF(E58="","",IF(C58&gt;WeekEndDate,"",E58))</f>
        <v/>
      </c>
    </row>
    <row r="59">
      <c r="A59" t="inlineStr">
        <is>
          <t>Selections &amp; Orders</t>
        </is>
      </c>
      <c r="B59" s="46">
        <f>'Selections &amp; Orders'!AC65</f>
        <v/>
      </c>
      <c r="C59" s="84">
        <f>'Selections &amp; Orders'!AA65</f>
        <v/>
      </c>
      <c r="D59" s="46">
        <f>'Selections &amp; Orders'!AB65</f>
        <v/>
      </c>
      <c r="E59" s="46">
        <f>IF(OR(B59="",C59="",D59=""),"",D59*100000+(C59-DATE(2000,1,1))+ROW()/100000)</f>
        <v/>
      </c>
      <c r="F59" s="46">
        <f>IF(E59="","",IF(C59&gt;WeekEndDate,"",E59))</f>
        <v/>
      </c>
    </row>
    <row r="60">
      <c r="A60" t="inlineStr">
        <is>
          <t>Selections &amp; Orders</t>
        </is>
      </c>
      <c r="B60" s="46">
        <f>'Selections &amp; Orders'!AC66</f>
        <v/>
      </c>
      <c r="C60" s="84">
        <f>'Selections &amp; Orders'!AA66</f>
        <v/>
      </c>
      <c r="D60" s="46">
        <f>'Selections &amp; Orders'!AB66</f>
        <v/>
      </c>
      <c r="E60" s="46">
        <f>IF(OR(B60="",C60="",D60=""),"",D60*100000+(C60-DATE(2000,1,1))+ROW()/100000)</f>
        <v/>
      </c>
      <c r="F60" s="46">
        <f>IF(E60="","",IF(C60&gt;WeekEndDate,"",E60))</f>
        <v/>
      </c>
    </row>
    <row r="61">
      <c r="A61" t="inlineStr">
        <is>
          <t>Selections &amp; Orders</t>
        </is>
      </c>
      <c r="B61" s="46">
        <f>'Selections &amp; Orders'!AC67</f>
        <v/>
      </c>
      <c r="C61" s="84">
        <f>'Selections &amp; Orders'!AA67</f>
        <v/>
      </c>
      <c r="D61" s="46">
        <f>'Selections &amp; Orders'!AB67</f>
        <v/>
      </c>
      <c r="E61" s="46">
        <f>IF(OR(B61="",C61="",D61=""),"",D61*100000+(C61-DATE(2000,1,1))+ROW()/100000)</f>
        <v/>
      </c>
      <c r="F61" s="46">
        <f>IF(E61="","",IF(C61&gt;WeekEndDate,"",E61))</f>
        <v/>
      </c>
    </row>
    <row r="62">
      <c r="A62" t="inlineStr">
        <is>
          <t>Selections &amp; Orders</t>
        </is>
      </c>
      <c r="B62" s="46">
        <f>'Selections &amp; Orders'!AC68</f>
        <v/>
      </c>
      <c r="C62" s="84">
        <f>'Selections &amp; Orders'!AA68</f>
        <v/>
      </c>
      <c r="D62" s="46">
        <f>'Selections &amp; Orders'!AB68</f>
        <v/>
      </c>
      <c r="E62" s="46">
        <f>IF(OR(B62="",C62="",D62=""),"",D62*100000+(C62-DATE(2000,1,1))+ROW()/100000)</f>
        <v/>
      </c>
      <c r="F62" s="46">
        <f>IF(E62="","",IF(C62&gt;WeekEndDate,"",E62))</f>
        <v/>
      </c>
    </row>
    <row r="63">
      <c r="A63" t="inlineStr">
        <is>
          <t>Selections &amp; Orders</t>
        </is>
      </c>
      <c r="B63" s="46">
        <f>'Selections &amp; Orders'!AC69</f>
        <v/>
      </c>
      <c r="C63" s="84">
        <f>'Selections &amp; Orders'!AA69</f>
        <v/>
      </c>
      <c r="D63" s="46">
        <f>'Selections &amp; Orders'!AB69</f>
        <v/>
      </c>
      <c r="E63" s="46">
        <f>IF(OR(B63="",C63="",D63=""),"",D63*100000+(C63-DATE(2000,1,1))+ROW()/100000)</f>
        <v/>
      </c>
      <c r="F63" s="46">
        <f>IF(E63="","",IF(C63&gt;WeekEndDate,"",E63))</f>
        <v/>
      </c>
    </row>
    <row r="64">
      <c r="A64" t="inlineStr">
        <is>
          <t>Selections &amp; Orders</t>
        </is>
      </c>
      <c r="B64" s="46">
        <f>'Selections &amp; Orders'!AC70</f>
        <v/>
      </c>
      <c r="C64" s="84">
        <f>'Selections &amp; Orders'!AA70</f>
        <v/>
      </c>
      <c r="D64" s="46">
        <f>'Selections &amp; Orders'!AB70</f>
        <v/>
      </c>
      <c r="E64" s="46">
        <f>IF(OR(B64="",C64="",D64=""),"",D64*100000+(C64-DATE(2000,1,1))+ROW()/100000)</f>
        <v/>
      </c>
      <c r="F64" s="46">
        <f>IF(E64="","",IF(C64&gt;WeekEndDate,"",E64))</f>
        <v/>
      </c>
    </row>
    <row r="65">
      <c r="A65" t="inlineStr">
        <is>
          <t>Selections &amp; Orders</t>
        </is>
      </c>
      <c r="B65" s="46">
        <f>'Selections &amp; Orders'!AC71</f>
        <v/>
      </c>
      <c r="C65" s="84">
        <f>'Selections &amp; Orders'!AA71</f>
        <v/>
      </c>
      <c r="D65" s="46">
        <f>'Selections &amp; Orders'!AB71</f>
        <v/>
      </c>
      <c r="E65" s="46">
        <f>IF(OR(B65="",C65="",D65=""),"",D65*100000+(C65-DATE(2000,1,1))+ROW()/100000)</f>
        <v/>
      </c>
      <c r="F65" s="46">
        <f>IF(E65="","",IF(C65&gt;WeekEndDate,"",E65))</f>
        <v/>
      </c>
    </row>
    <row r="66">
      <c r="A66" t="inlineStr">
        <is>
          <t>Selections &amp; Orders</t>
        </is>
      </c>
      <c r="B66" s="46">
        <f>'Selections &amp; Orders'!AC72</f>
        <v/>
      </c>
      <c r="C66" s="84">
        <f>'Selections &amp; Orders'!AA72</f>
        <v/>
      </c>
      <c r="D66" s="46">
        <f>'Selections &amp; Orders'!AB72</f>
        <v/>
      </c>
      <c r="E66" s="46">
        <f>IF(OR(B66="",C66="",D66=""),"",D66*100000+(C66-DATE(2000,1,1))+ROW()/100000)</f>
        <v/>
      </c>
      <c r="F66" s="46">
        <f>IF(E66="","",IF(C66&gt;WeekEndDate,"",E66))</f>
        <v/>
      </c>
    </row>
    <row r="67">
      <c r="A67" t="inlineStr">
        <is>
          <t>Selections &amp; Orders</t>
        </is>
      </c>
      <c r="B67" s="46">
        <f>'Selections &amp; Orders'!AC73</f>
        <v/>
      </c>
      <c r="C67" s="84">
        <f>'Selections &amp; Orders'!AA73</f>
        <v/>
      </c>
      <c r="D67" s="46">
        <f>'Selections &amp; Orders'!AB73</f>
        <v/>
      </c>
      <c r="E67" s="46">
        <f>IF(OR(B67="",C67="",D67=""),"",D67*100000+(C67-DATE(2000,1,1))+ROW()/100000)</f>
        <v/>
      </c>
      <c r="F67" s="46">
        <f>IF(E67="","",IF(C67&gt;WeekEndDate,"",E67))</f>
        <v/>
      </c>
    </row>
    <row r="68">
      <c r="A68" t="inlineStr">
        <is>
          <t>Selections &amp; Orders</t>
        </is>
      </c>
      <c r="B68" s="46">
        <f>'Selections &amp; Orders'!AC74</f>
        <v/>
      </c>
      <c r="C68" s="84">
        <f>'Selections &amp; Orders'!AA74</f>
        <v/>
      </c>
      <c r="D68" s="46">
        <f>'Selections &amp; Orders'!AB74</f>
        <v/>
      </c>
      <c r="E68" s="46">
        <f>IF(OR(B68="",C68="",D68=""),"",D68*100000+(C68-DATE(2000,1,1))+ROW()/100000)</f>
        <v/>
      </c>
      <c r="F68" s="46">
        <f>IF(E68="","",IF(C68&gt;WeekEndDate,"",E68))</f>
        <v/>
      </c>
    </row>
    <row r="69">
      <c r="A69" t="inlineStr">
        <is>
          <t>Selections &amp; Orders</t>
        </is>
      </c>
      <c r="B69" s="46">
        <f>'Selections &amp; Orders'!AC75</f>
        <v/>
      </c>
      <c r="C69" s="84">
        <f>'Selections &amp; Orders'!AA75</f>
        <v/>
      </c>
      <c r="D69" s="46">
        <f>'Selections &amp; Orders'!AB75</f>
        <v/>
      </c>
      <c r="E69" s="46">
        <f>IF(OR(B69="",C69="",D69=""),"",D69*100000+(C69-DATE(2000,1,1))+ROW()/100000)</f>
        <v/>
      </c>
      <c r="F69" s="46">
        <f>IF(E69="","",IF(C69&gt;WeekEndDate,"",E69))</f>
        <v/>
      </c>
    </row>
    <row r="70">
      <c r="A70" t="inlineStr">
        <is>
          <t>Selections &amp; Orders</t>
        </is>
      </c>
      <c r="B70" s="46">
        <f>'Selections &amp; Orders'!AC76</f>
        <v/>
      </c>
      <c r="C70" s="84">
        <f>'Selections &amp; Orders'!AA76</f>
        <v/>
      </c>
      <c r="D70" s="46">
        <f>'Selections &amp; Orders'!AB76</f>
        <v/>
      </c>
      <c r="E70" s="46">
        <f>IF(OR(B70="",C70="",D70=""),"",D70*100000+(C70-DATE(2000,1,1))+ROW()/100000)</f>
        <v/>
      </c>
      <c r="F70" s="46">
        <f>IF(E70="","",IF(C70&gt;WeekEndDate,"",E70))</f>
        <v/>
      </c>
    </row>
    <row r="71">
      <c r="A71" t="inlineStr">
        <is>
          <t>Selections &amp; Orders</t>
        </is>
      </c>
      <c r="B71" s="46">
        <f>'Selections &amp; Orders'!AC77</f>
        <v/>
      </c>
      <c r="C71" s="84">
        <f>'Selections &amp; Orders'!AA77</f>
        <v/>
      </c>
      <c r="D71" s="46">
        <f>'Selections &amp; Orders'!AB77</f>
        <v/>
      </c>
      <c r="E71" s="46">
        <f>IF(OR(B71="",C71="",D71=""),"",D71*100000+(C71-DATE(2000,1,1))+ROW()/100000)</f>
        <v/>
      </c>
      <c r="F71" s="46">
        <f>IF(E71="","",IF(C71&gt;WeekEndDate,"",E71))</f>
        <v/>
      </c>
    </row>
    <row r="72">
      <c r="A72" t="inlineStr">
        <is>
          <t>Selections &amp; Orders</t>
        </is>
      </c>
      <c r="B72" s="46">
        <f>'Selections &amp; Orders'!AC78</f>
        <v/>
      </c>
      <c r="C72" s="84">
        <f>'Selections &amp; Orders'!AA78</f>
        <v/>
      </c>
      <c r="D72" s="46">
        <f>'Selections &amp; Orders'!AB78</f>
        <v/>
      </c>
      <c r="E72" s="46">
        <f>IF(OR(B72="",C72="",D72=""),"",D72*100000+(C72-DATE(2000,1,1))+ROW()/100000)</f>
        <v/>
      </c>
      <c r="F72" s="46">
        <f>IF(E72="","",IF(C72&gt;WeekEndDate,"",E72))</f>
        <v/>
      </c>
    </row>
    <row r="73">
      <c r="A73" t="inlineStr">
        <is>
          <t>Selections &amp; Orders</t>
        </is>
      </c>
      <c r="B73" s="46">
        <f>'Selections &amp; Orders'!AC79</f>
        <v/>
      </c>
      <c r="C73" s="84">
        <f>'Selections &amp; Orders'!AA79</f>
        <v/>
      </c>
      <c r="D73" s="46">
        <f>'Selections &amp; Orders'!AB79</f>
        <v/>
      </c>
      <c r="E73" s="46">
        <f>IF(OR(B73="",C73="",D73=""),"",D73*100000+(C73-DATE(2000,1,1))+ROW()/100000)</f>
        <v/>
      </c>
      <c r="F73" s="46">
        <f>IF(E73="","",IF(C73&gt;WeekEndDate,"",E73))</f>
        <v/>
      </c>
    </row>
    <row r="74">
      <c r="A74" t="inlineStr">
        <is>
          <t>Selections &amp; Orders</t>
        </is>
      </c>
      <c r="B74" s="46">
        <f>'Selections &amp; Orders'!AC80</f>
        <v/>
      </c>
      <c r="C74" s="84">
        <f>'Selections &amp; Orders'!AA80</f>
        <v/>
      </c>
      <c r="D74" s="46">
        <f>'Selections &amp; Orders'!AB80</f>
        <v/>
      </c>
      <c r="E74" s="46">
        <f>IF(OR(B74="",C74="",D74=""),"",D74*100000+(C74-DATE(2000,1,1))+ROW()/100000)</f>
        <v/>
      </c>
      <c r="F74" s="46">
        <f>IF(E74="","",IF(C74&gt;WeekEndDate,"",E74))</f>
        <v/>
      </c>
    </row>
    <row r="75">
      <c r="A75" t="inlineStr">
        <is>
          <t>Selections &amp; Orders</t>
        </is>
      </c>
      <c r="B75" s="46">
        <f>'Selections &amp; Orders'!AC81</f>
        <v/>
      </c>
      <c r="C75" s="84">
        <f>'Selections &amp; Orders'!AA81</f>
        <v/>
      </c>
      <c r="D75" s="46">
        <f>'Selections &amp; Orders'!AB81</f>
        <v/>
      </c>
      <c r="E75" s="46">
        <f>IF(OR(B75="",C75="",D75=""),"",D75*100000+(C75-DATE(2000,1,1))+ROW()/100000)</f>
        <v/>
      </c>
      <c r="F75" s="46">
        <f>IF(E75="","",IF(C75&gt;WeekEndDate,"",E75))</f>
        <v/>
      </c>
    </row>
    <row r="76">
      <c r="A76" t="inlineStr">
        <is>
          <t>Selections &amp; Orders</t>
        </is>
      </c>
      <c r="B76" s="46">
        <f>'Selections &amp; Orders'!AC82</f>
        <v/>
      </c>
      <c r="C76" s="84">
        <f>'Selections &amp; Orders'!AA82</f>
        <v/>
      </c>
      <c r="D76" s="46">
        <f>'Selections &amp; Orders'!AB82</f>
        <v/>
      </c>
      <c r="E76" s="46">
        <f>IF(OR(B76="",C76="",D76=""),"",D76*100000+(C76-DATE(2000,1,1))+ROW()/100000)</f>
        <v/>
      </c>
      <c r="F76" s="46">
        <f>IF(E76="","",IF(C76&gt;WeekEndDate,"",E76))</f>
        <v/>
      </c>
    </row>
    <row r="77">
      <c r="A77" t="inlineStr">
        <is>
          <t>Selections &amp; Orders</t>
        </is>
      </c>
      <c r="B77" s="46">
        <f>'Selections &amp; Orders'!AC83</f>
        <v/>
      </c>
      <c r="C77" s="84">
        <f>'Selections &amp; Orders'!AA83</f>
        <v/>
      </c>
      <c r="D77" s="46">
        <f>'Selections &amp; Orders'!AB83</f>
        <v/>
      </c>
      <c r="E77" s="46">
        <f>IF(OR(B77="",C77="",D77=""),"",D77*100000+(C77-DATE(2000,1,1))+ROW()/100000)</f>
        <v/>
      </c>
      <c r="F77" s="46">
        <f>IF(E77="","",IF(C77&gt;WeekEndDate,"",E77))</f>
        <v/>
      </c>
    </row>
    <row r="78">
      <c r="A78" t="inlineStr">
        <is>
          <t>Selections &amp; Orders</t>
        </is>
      </c>
      <c r="B78" s="46">
        <f>'Selections &amp; Orders'!AC84</f>
        <v/>
      </c>
      <c r="C78" s="84">
        <f>'Selections &amp; Orders'!AA84</f>
        <v/>
      </c>
      <c r="D78" s="46">
        <f>'Selections &amp; Orders'!AB84</f>
        <v/>
      </c>
      <c r="E78" s="46">
        <f>IF(OR(B78="",C78="",D78=""),"",D78*100000+(C78-DATE(2000,1,1))+ROW()/100000)</f>
        <v/>
      </c>
      <c r="F78" s="46">
        <f>IF(E78="","",IF(C78&gt;WeekEndDate,"",E78))</f>
        <v/>
      </c>
    </row>
    <row r="79">
      <c r="A79" t="inlineStr">
        <is>
          <t>Selections &amp; Orders</t>
        </is>
      </c>
      <c r="B79" s="46">
        <f>'Selections &amp; Orders'!AC85</f>
        <v/>
      </c>
      <c r="C79" s="84">
        <f>'Selections &amp; Orders'!AA85</f>
        <v/>
      </c>
      <c r="D79" s="46">
        <f>'Selections &amp; Orders'!AB85</f>
        <v/>
      </c>
      <c r="E79" s="46">
        <f>IF(OR(B79="",C79="",D79=""),"",D79*100000+(C79-DATE(2000,1,1))+ROW()/100000)</f>
        <v/>
      </c>
      <c r="F79" s="46">
        <f>IF(E79="","",IF(C79&gt;WeekEndDate,"",E79))</f>
        <v/>
      </c>
    </row>
    <row r="80">
      <c r="A80" t="inlineStr">
        <is>
          <t>Selections &amp; Orders</t>
        </is>
      </c>
      <c r="B80" s="46">
        <f>'Selections &amp; Orders'!AC86</f>
        <v/>
      </c>
      <c r="C80" s="84">
        <f>'Selections &amp; Orders'!AA86</f>
        <v/>
      </c>
      <c r="D80" s="46">
        <f>'Selections &amp; Orders'!AB86</f>
        <v/>
      </c>
      <c r="E80" s="46">
        <f>IF(OR(B80="",C80="",D80=""),"",D80*100000+(C80-DATE(2000,1,1))+ROW()/100000)</f>
        <v/>
      </c>
      <c r="F80" s="46">
        <f>IF(E80="","",IF(C80&gt;WeekEndDate,"",E80))</f>
        <v/>
      </c>
    </row>
    <row r="81">
      <c r="A81" t="inlineStr">
        <is>
          <t>Selections &amp; Orders</t>
        </is>
      </c>
      <c r="B81" s="46">
        <f>'Selections &amp; Orders'!AC87</f>
        <v/>
      </c>
      <c r="C81" s="84">
        <f>'Selections &amp; Orders'!AA87</f>
        <v/>
      </c>
      <c r="D81" s="46">
        <f>'Selections &amp; Orders'!AB87</f>
        <v/>
      </c>
      <c r="E81" s="46">
        <f>IF(OR(B81="",C81="",D81=""),"",D81*100000+(C81-DATE(2000,1,1))+ROW()/100000)</f>
        <v/>
      </c>
      <c r="F81" s="46">
        <f>IF(E81="","",IF(C81&gt;WeekEndDate,"",E81))</f>
        <v/>
      </c>
    </row>
    <row r="82">
      <c r="A82" t="inlineStr">
        <is>
          <t>Selections &amp; Orders</t>
        </is>
      </c>
      <c r="B82" s="46">
        <f>'Selections &amp; Orders'!AC88</f>
        <v/>
      </c>
      <c r="C82" s="84">
        <f>'Selections &amp; Orders'!AA88</f>
        <v/>
      </c>
      <c r="D82" s="46">
        <f>'Selections &amp; Orders'!AB88</f>
        <v/>
      </c>
      <c r="E82" s="46">
        <f>IF(OR(B82="",C82="",D82=""),"",D82*100000+(C82-DATE(2000,1,1))+ROW()/100000)</f>
        <v/>
      </c>
      <c r="F82" s="46">
        <f>IF(E82="","",IF(C82&gt;WeekEndDate,"",E82))</f>
        <v/>
      </c>
    </row>
    <row r="83">
      <c r="A83" t="inlineStr">
        <is>
          <t>Selections &amp; Orders</t>
        </is>
      </c>
      <c r="B83" s="46">
        <f>'Selections &amp; Orders'!AC89</f>
        <v/>
      </c>
      <c r="C83" s="84">
        <f>'Selections &amp; Orders'!AA89</f>
        <v/>
      </c>
      <c r="D83" s="46">
        <f>'Selections &amp; Orders'!AB89</f>
        <v/>
      </c>
      <c r="E83" s="46">
        <f>IF(OR(B83="",C83="",D83=""),"",D83*100000+(C83-DATE(2000,1,1))+ROW()/100000)</f>
        <v/>
      </c>
      <c r="F83" s="46">
        <f>IF(E83="","",IF(C83&gt;WeekEndDate,"",E83))</f>
        <v/>
      </c>
    </row>
    <row r="84">
      <c r="A84" t="inlineStr">
        <is>
          <t>Selections &amp; Orders</t>
        </is>
      </c>
      <c r="B84" s="46">
        <f>'Selections &amp; Orders'!AC90</f>
        <v/>
      </c>
      <c r="C84" s="84">
        <f>'Selections &amp; Orders'!AA90</f>
        <v/>
      </c>
      <c r="D84" s="46">
        <f>'Selections &amp; Orders'!AB90</f>
        <v/>
      </c>
      <c r="E84" s="46">
        <f>IF(OR(B84="",C84="",D84=""),"",D84*100000+(C84-DATE(2000,1,1))+ROW()/100000)</f>
        <v/>
      </c>
      <c r="F84" s="46">
        <f>IF(E84="","",IF(C84&gt;WeekEndDate,"",E84))</f>
        <v/>
      </c>
    </row>
    <row r="85">
      <c r="A85" t="inlineStr">
        <is>
          <t>Selections &amp; Orders</t>
        </is>
      </c>
      <c r="B85" s="46">
        <f>'Selections &amp; Orders'!AC91</f>
        <v/>
      </c>
      <c r="C85" s="84">
        <f>'Selections &amp; Orders'!AA91</f>
        <v/>
      </c>
      <c r="D85" s="46">
        <f>'Selections &amp; Orders'!AB91</f>
        <v/>
      </c>
      <c r="E85" s="46">
        <f>IF(OR(B85="",C85="",D85=""),"",D85*100000+(C85-DATE(2000,1,1))+ROW()/100000)</f>
        <v/>
      </c>
      <c r="F85" s="46">
        <f>IF(E85="","",IF(C85&gt;WeekEndDate,"",E85))</f>
        <v/>
      </c>
    </row>
    <row r="86">
      <c r="A86" t="inlineStr">
        <is>
          <t>Selections &amp; Orders</t>
        </is>
      </c>
      <c r="B86" s="46">
        <f>'Selections &amp; Orders'!AC92</f>
        <v/>
      </c>
      <c r="C86" s="84">
        <f>'Selections &amp; Orders'!AA92</f>
        <v/>
      </c>
      <c r="D86" s="46">
        <f>'Selections &amp; Orders'!AB92</f>
        <v/>
      </c>
      <c r="E86" s="46">
        <f>IF(OR(B86="",C86="",D86=""),"",D86*100000+(C86-DATE(2000,1,1))+ROW()/100000)</f>
        <v/>
      </c>
      <c r="F86" s="46">
        <f>IF(E86="","",IF(C86&gt;WeekEndDate,"",E86))</f>
        <v/>
      </c>
    </row>
    <row r="87">
      <c r="A87" t="inlineStr">
        <is>
          <t>Selections &amp; Orders</t>
        </is>
      </c>
      <c r="B87" s="46">
        <f>'Selections &amp; Orders'!AC93</f>
        <v/>
      </c>
      <c r="C87" s="84">
        <f>'Selections &amp; Orders'!AA93</f>
        <v/>
      </c>
      <c r="D87" s="46">
        <f>'Selections &amp; Orders'!AB93</f>
        <v/>
      </c>
      <c r="E87" s="46">
        <f>IF(OR(B87="",C87="",D87=""),"",D87*100000+(C87-DATE(2000,1,1))+ROW()/100000)</f>
        <v/>
      </c>
      <c r="F87" s="46">
        <f>IF(E87="","",IF(C87&gt;WeekEndDate,"",E87))</f>
        <v/>
      </c>
    </row>
    <row r="88">
      <c r="A88" t="inlineStr">
        <is>
          <t>Selections &amp; Orders</t>
        </is>
      </c>
      <c r="B88" s="46">
        <f>'Selections &amp; Orders'!AC94</f>
        <v/>
      </c>
      <c r="C88" s="84">
        <f>'Selections &amp; Orders'!AA94</f>
        <v/>
      </c>
      <c r="D88" s="46">
        <f>'Selections &amp; Orders'!AB94</f>
        <v/>
      </c>
      <c r="E88" s="46">
        <f>IF(OR(B88="",C88="",D88=""),"",D88*100000+(C88-DATE(2000,1,1))+ROW()/100000)</f>
        <v/>
      </c>
      <c r="F88" s="46">
        <f>IF(E88="","",IF(C88&gt;WeekEndDate,"",E88))</f>
        <v/>
      </c>
    </row>
    <row r="89">
      <c r="A89" t="inlineStr">
        <is>
          <t>Selections &amp; Orders</t>
        </is>
      </c>
      <c r="B89" s="46">
        <f>'Selections &amp; Orders'!AC95</f>
        <v/>
      </c>
      <c r="C89" s="84">
        <f>'Selections &amp; Orders'!AA95</f>
        <v/>
      </c>
      <c r="D89" s="46">
        <f>'Selections &amp; Orders'!AB95</f>
        <v/>
      </c>
      <c r="E89" s="46">
        <f>IF(OR(B89="",C89="",D89=""),"",D89*100000+(C89-DATE(2000,1,1))+ROW()/100000)</f>
        <v/>
      </c>
      <c r="F89" s="46">
        <f>IF(E89="","",IF(C89&gt;WeekEndDate,"",E89))</f>
        <v/>
      </c>
    </row>
    <row r="90">
      <c r="A90" t="inlineStr">
        <is>
          <t>Selections &amp; Orders</t>
        </is>
      </c>
      <c r="B90" s="46">
        <f>'Selections &amp; Orders'!AC96</f>
        <v/>
      </c>
      <c r="C90" s="84">
        <f>'Selections &amp; Orders'!AA96</f>
        <v/>
      </c>
      <c r="D90" s="46">
        <f>'Selections &amp; Orders'!AB96</f>
        <v/>
      </c>
      <c r="E90" s="46">
        <f>IF(OR(B90="",C90="",D90=""),"",D90*100000+(C90-DATE(2000,1,1))+ROW()/100000)</f>
        <v/>
      </c>
      <c r="F90" s="46">
        <f>IF(E90="","",IF(C90&gt;WeekEndDate,"",E90))</f>
        <v/>
      </c>
    </row>
    <row r="91">
      <c r="A91" t="inlineStr">
        <is>
          <t>Selections &amp; Orders</t>
        </is>
      </c>
      <c r="B91" s="46">
        <f>'Selections &amp; Orders'!AC97</f>
        <v/>
      </c>
      <c r="C91" s="84">
        <f>'Selections &amp; Orders'!AA97</f>
        <v/>
      </c>
      <c r="D91" s="46">
        <f>'Selections &amp; Orders'!AB97</f>
        <v/>
      </c>
      <c r="E91" s="46">
        <f>IF(OR(B91="",C91="",D91=""),"",D91*100000+(C91-DATE(2000,1,1))+ROW()/100000)</f>
        <v/>
      </c>
      <c r="F91" s="46">
        <f>IF(E91="","",IF(C91&gt;WeekEndDate,"",E91))</f>
        <v/>
      </c>
    </row>
    <row r="92">
      <c r="A92" t="inlineStr">
        <is>
          <t>Selections &amp; Orders</t>
        </is>
      </c>
      <c r="B92" s="46">
        <f>'Selections &amp; Orders'!AC98</f>
        <v/>
      </c>
      <c r="C92" s="84">
        <f>'Selections &amp; Orders'!AA98</f>
        <v/>
      </c>
      <c r="D92" s="46">
        <f>'Selections &amp; Orders'!AB98</f>
        <v/>
      </c>
      <c r="E92" s="46">
        <f>IF(OR(B92="",C92="",D92=""),"",D92*100000+(C92-DATE(2000,1,1))+ROW()/100000)</f>
        <v/>
      </c>
      <c r="F92" s="46">
        <f>IF(E92="","",IF(C92&gt;WeekEndDate,"",E92))</f>
        <v/>
      </c>
    </row>
    <row r="93">
      <c r="A93" t="inlineStr">
        <is>
          <t>Selections &amp; Orders</t>
        </is>
      </c>
      <c r="B93" s="46">
        <f>'Selections &amp; Orders'!AC99</f>
        <v/>
      </c>
      <c r="C93" s="84">
        <f>'Selections &amp; Orders'!AA99</f>
        <v/>
      </c>
      <c r="D93" s="46">
        <f>'Selections &amp; Orders'!AB99</f>
        <v/>
      </c>
      <c r="E93" s="46">
        <f>IF(OR(B93="",C93="",D93=""),"",D93*100000+(C93-DATE(2000,1,1))+ROW()/100000)</f>
        <v/>
      </c>
      <c r="F93" s="46">
        <f>IF(E93="","",IF(C93&gt;WeekEndDate,"",E93))</f>
        <v/>
      </c>
    </row>
    <row r="94">
      <c r="A94" t="inlineStr">
        <is>
          <t>Selections &amp; Orders</t>
        </is>
      </c>
      <c r="B94" s="46">
        <f>'Selections &amp; Orders'!AC100</f>
        <v/>
      </c>
      <c r="C94" s="84">
        <f>'Selections &amp; Orders'!AA100</f>
        <v/>
      </c>
      <c r="D94" s="46">
        <f>'Selections &amp; Orders'!AB100</f>
        <v/>
      </c>
      <c r="E94" s="46">
        <f>IF(OR(B94="",C94="",D94=""),"",D94*100000+(C94-DATE(2000,1,1))+ROW()/100000)</f>
        <v/>
      </c>
      <c r="F94" s="46">
        <f>IF(E94="","",IF(C94&gt;WeekEndDate,"",E94))</f>
        <v/>
      </c>
    </row>
    <row r="95">
      <c r="A95" t="inlineStr">
        <is>
          <t>Selections &amp; Orders</t>
        </is>
      </c>
      <c r="B95" s="46">
        <f>'Selections &amp; Orders'!AC101</f>
        <v/>
      </c>
      <c r="C95" s="84">
        <f>'Selections &amp; Orders'!AA101</f>
        <v/>
      </c>
      <c r="D95" s="46">
        <f>'Selections &amp; Orders'!AB101</f>
        <v/>
      </c>
      <c r="E95" s="46">
        <f>IF(OR(B95="",C95="",D95=""),"",D95*100000+(C95-DATE(2000,1,1))+ROW()/100000)</f>
        <v/>
      </c>
      <c r="F95" s="46">
        <f>IF(E95="","",IF(C95&gt;WeekEndDate,"",E95))</f>
        <v/>
      </c>
    </row>
    <row r="96">
      <c r="A96" t="inlineStr">
        <is>
          <t>Selections &amp; Orders</t>
        </is>
      </c>
      <c r="B96" s="46">
        <f>'Selections &amp; Orders'!AC102</f>
        <v/>
      </c>
      <c r="C96" s="84">
        <f>'Selections &amp; Orders'!AA102</f>
        <v/>
      </c>
      <c r="D96" s="46">
        <f>'Selections &amp; Orders'!AB102</f>
        <v/>
      </c>
      <c r="E96" s="46">
        <f>IF(OR(B96="",C96="",D96=""),"",D96*100000+(C96-DATE(2000,1,1))+ROW()/100000)</f>
        <v/>
      </c>
      <c r="F96" s="46">
        <f>IF(E96="","",IF(C96&gt;WeekEndDate,"",E96))</f>
        <v/>
      </c>
    </row>
    <row r="97">
      <c r="A97" t="inlineStr">
        <is>
          <t>Selections &amp; Orders</t>
        </is>
      </c>
      <c r="B97" s="46">
        <f>'Selections &amp; Orders'!AC103</f>
        <v/>
      </c>
      <c r="C97" s="84">
        <f>'Selections &amp; Orders'!AA103</f>
        <v/>
      </c>
      <c r="D97" s="46">
        <f>'Selections &amp; Orders'!AB103</f>
        <v/>
      </c>
      <c r="E97" s="46">
        <f>IF(OR(B97="",C97="",D97=""),"",D97*100000+(C97-DATE(2000,1,1))+ROW()/100000)</f>
        <v/>
      </c>
      <c r="F97" s="46">
        <f>IF(E97="","",IF(C97&gt;WeekEndDate,"",E97))</f>
        <v/>
      </c>
    </row>
    <row r="98">
      <c r="A98" t="inlineStr">
        <is>
          <t>Selections &amp; Orders</t>
        </is>
      </c>
      <c r="B98" s="46">
        <f>'Selections &amp; Orders'!AC104</f>
        <v/>
      </c>
      <c r="C98" s="84">
        <f>'Selections &amp; Orders'!AA104</f>
        <v/>
      </c>
      <c r="D98" s="46">
        <f>'Selections &amp; Orders'!AB104</f>
        <v/>
      </c>
      <c r="E98" s="46">
        <f>IF(OR(B98="",C98="",D98=""),"",D98*100000+(C98-DATE(2000,1,1))+ROW()/100000)</f>
        <v/>
      </c>
      <c r="F98" s="46">
        <f>IF(E98="","",IF(C98&gt;WeekEndDate,"",E98))</f>
        <v/>
      </c>
    </row>
    <row r="99">
      <c r="A99" t="inlineStr">
        <is>
          <t>Selections &amp; Orders</t>
        </is>
      </c>
      <c r="B99" s="46">
        <f>'Selections &amp; Orders'!AC105</f>
        <v/>
      </c>
      <c r="C99" s="84">
        <f>'Selections &amp; Orders'!AA105</f>
        <v/>
      </c>
      <c r="D99" s="46">
        <f>'Selections &amp; Orders'!AB105</f>
        <v/>
      </c>
      <c r="E99" s="46">
        <f>IF(OR(B99="",C99="",D99=""),"",D99*100000+(C99-DATE(2000,1,1))+ROW()/100000)</f>
        <v/>
      </c>
      <c r="F99" s="46">
        <f>IF(E99="","",IF(C99&gt;WeekEndDate,"",E99))</f>
        <v/>
      </c>
    </row>
    <row r="100">
      <c r="A100" t="inlineStr">
        <is>
          <t>Selections &amp; Orders</t>
        </is>
      </c>
      <c r="B100" s="46">
        <f>'Selections &amp; Orders'!AC106</f>
        <v/>
      </c>
      <c r="C100" s="84">
        <f>'Selections &amp; Orders'!AA106</f>
        <v/>
      </c>
      <c r="D100" s="46">
        <f>'Selections &amp; Orders'!AB106</f>
        <v/>
      </c>
      <c r="E100" s="46">
        <f>IF(OR(B100="",C100="",D100=""),"",D100*100000+(C100-DATE(2000,1,1))+ROW()/100000)</f>
        <v/>
      </c>
      <c r="F100" s="46">
        <f>IF(E100="","",IF(C100&gt;WeekEndDate,"",E100))</f>
        <v/>
      </c>
    </row>
    <row r="101">
      <c r="A101" t="inlineStr">
        <is>
          <t>Selections &amp; Orders</t>
        </is>
      </c>
      <c r="B101" s="46">
        <f>'Selections &amp; Orders'!AC107</f>
        <v/>
      </c>
      <c r="C101" s="84">
        <f>'Selections &amp; Orders'!AA107</f>
        <v/>
      </c>
      <c r="D101" s="46">
        <f>'Selections &amp; Orders'!AB107</f>
        <v/>
      </c>
      <c r="E101" s="46">
        <f>IF(OR(B101="",C101="",D101=""),"",D101*100000+(C101-DATE(2000,1,1))+ROW()/100000)</f>
        <v/>
      </c>
      <c r="F101" s="46">
        <f>IF(E101="","",IF(C101&gt;WeekEndDate,"",E101))</f>
        <v/>
      </c>
    </row>
    <row r="102">
      <c r="A102" t="inlineStr">
        <is>
          <t>Selections &amp; Orders</t>
        </is>
      </c>
      <c r="B102" s="46">
        <f>'Selections &amp; Orders'!AC108</f>
        <v/>
      </c>
      <c r="C102" s="84">
        <f>'Selections &amp; Orders'!AA108</f>
        <v/>
      </c>
      <c r="D102" s="46">
        <f>'Selections &amp; Orders'!AB108</f>
        <v/>
      </c>
      <c r="E102" s="46">
        <f>IF(OR(B102="",C102="",D102=""),"",D102*100000+(C102-DATE(2000,1,1))+ROW()/100000)</f>
        <v/>
      </c>
      <c r="F102" s="46">
        <f>IF(E102="","",IF(C102&gt;WeekEndDate,"",E102))</f>
        <v/>
      </c>
    </row>
    <row r="103">
      <c r="A103" t="inlineStr">
        <is>
          <t>Selections &amp; Orders</t>
        </is>
      </c>
      <c r="B103" s="46">
        <f>'Selections &amp; Orders'!AC109</f>
        <v/>
      </c>
      <c r="C103" s="84">
        <f>'Selections &amp; Orders'!AA109</f>
        <v/>
      </c>
      <c r="D103" s="46">
        <f>'Selections &amp; Orders'!AB109</f>
        <v/>
      </c>
      <c r="E103" s="46">
        <f>IF(OR(B103="",C103="",D103=""),"",D103*100000+(C103-DATE(2000,1,1))+ROW()/100000)</f>
        <v/>
      </c>
      <c r="F103" s="46">
        <f>IF(E103="","",IF(C103&gt;WeekEndDate,"",E103))</f>
        <v/>
      </c>
    </row>
    <row r="104">
      <c r="A104" t="inlineStr">
        <is>
          <t>Selections &amp; Orders</t>
        </is>
      </c>
      <c r="B104" s="46">
        <f>'Selections &amp; Orders'!AC110</f>
        <v/>
      </c>
      <c r="C104" s="84">
        <f>'Selections &amp; Orders'!AA110</f>
        <v/>
      </c>
      <c r="D104" s="46">
        <f>'Selections &amp; Orders'!AB110</f>
        <v/>
      </c>
      <c r="E104" s="46">
        <f>IF(OR(B104="",C104="",D104=""),"",D104*100000+(C104-DATE(2000,1,1))+ROW()/100000)</f>
        <v/>
      </c>
      <c r="F104" s="46">
        <f>IF(E104="","",IF(C104&gt;WeekEndDate,"",E104))</f>
        <v/>
      </c>
    </row>
    <row r="105">
      <c r="A105" t="inlineStr">
        <is>
          <t>Selections &amp; Orders</t>
        </is>
      </c>
      <c r="B105" s="46">
        <f>'Selections &amp; Orders'!AC111</f>
        <v/>
      </c>
      <c r="C105" s="84">
        <f>'Selections &amp; Orders'!AA111</f>
        <v/>
      </c>
      <c r="D105" s="46">
        <f>'Selections &amp; Orders'!AB111</f>
        <v/>
      </c>
      <c r="E105" s="46">
        <f>IF(OR(B105="",C105="",D105=""),"",D105*100000+(C105-DATE(2000,1,1))+ROW()/100000)</f>
        <v/>
      </c>
      <c r="F105" s="46">
        <f>IF(E105="","",IF(C105&gt;WeekEndDate,"",E105))</f>
        <v/>
      </c>
    </row>
    <row r="106">
      <c r="A106" t="inlineStr">
        <is>
          <t>Selections &amp; Orders</t>
        </is>
      </c>
      <c r="B106" s="46">
        <f>'Selections &amp; Orders'!AC112</f>
        <v/>
      </c>
      <c r="C106" s="84">
        <f>'Selections &amp; Orders'!AA112</f>
        <v/>
      </c>
      <c r="D106" s="46">
        <f>'Selections &amp; Orders'!AB112</f>
        <v/>
      </c>
      <c r="E106" s="46">
        <f>IF(OR(B106="",C106="",D106=""),"",D106*100000+(C106-DATE(2000,1,1))+ROW()/100000)</f>
        <v/>
      </c>
      <c r="F106" s="46">
        <f>IF(E106="","",IF(C106&gt;WeekEndDate,"",E106))</f>
        <v/>
      </c>
    </row>
    <row r="107">
      <c r="A107" t="inlineStr">
        <is>
          <t>Selections &amp; Orders</t>
        </is>
      </c>
      <c r="B107" s="46">
        <f>'Selections &amp; Orders'!AC113</f>
        <v/>
      </c>
      <c r="C107" s="84">
        <f>'Selections &amp; Orders'!AA113</f>
        <v/>
      </c>
      <c r="D107" s="46">
        <f>'Selections &amp; Orders'!AB113</f>
        <v/>
      </c>
      <c r="E107" s="46">
        <f>IF(OR(B107="",C107="",D107=""),"",D107*100000+(C107-DATE(2000,1,1))+ROW()/100000)</f>
        <v/>
      </c>
      <c r="F107" s="46">
        <f>IF(E107="","",IF(C107&gt;WeekEndDate,"",E107))</f>
        <v/>
      </c>
    </row>
    <row r="108">
      <c r="A108" t="inlineStr">
        <is>
          <t>Selections &amp; Orders</t>
        </is>
      </c>
      <c r="B108" s="46">
        <f>'Selections &amp; Orders'!AC114</f>
        <v/>
      </c>
      <c r="C108" s="84">
        <f>'Selections &amp; Orders'!AA114</f>
        <v/>
      </c>
      <c r="D108" s="46">
        <f>'Selections &amp; Orders'!AB114</f>
        <v/>
      </c>
      <c r="E108" s="46">
        <f>IF(OR(B108="",C108="",D108=""),"",D108*100000+(C108-DATE(2000,1,1))+ROW()/100000)</f>
        <v/>
      </c>
      <c r="F108" s="46">
        <f>IF(E108="","",IF(C108&gt;WeekEndDate,"",E108))</f>
        <v/>
      </c>
    </row>
    <row r="109">
      <c r="A109" t="inlineStr">
        <is>
          <t>Selections &amp; Orders</t>
        </is>
      </c>
      <c r="B109" s="46">
        <f>'Selections &amp; Orders'!AC115</f>
        <v/>
      </c>
      <c r="C109" s="84">
        <f>'Selections &amp; Orders'!AA115</f>
        <v/>
      </c>
      <c r="D109" s="46">
        <f>'Selections &amp; Orders'!AB115</f>
        <v/>
      </c>
      <c r="E109" s="46">
        <f>IF(OR(B109="",C109="",D109=""),"",D109*100000+(C109-DATE(2000,1,1))+ROW()/100000)</f>
        <v/>
      </c>
      <c r="F109" s="46">
        <f>IF(E109="","",IF(C109&gt;WeekEndDate,"",E109))</f>
        <v/>
      </c>
    </row>
    <row r="110">
      <c r="A110" t="inlineStr">
        <is>
          <t>Selections &amp; Orders</t>
        </is>
      </c>
      <c r="B110" s="46">
        <f>'Selections &amp; Orders'!AC116</f>
        <v/>
      </c>
      <c r="C110" s="84">
        <f>'Selections &amp; Orders'!AA116</f>
        <v/>
      </c>
      <c r="D110" s="46">
        <f>'Selections &amp; Orders'!AB116</f>
        <v/>
      </c>
      <c r="E110" s="46">
        <f>IF(OR(B110="",C110="",D110=""),"",D110*100000+(C110-DATE(2000,1,1))+ROW()/100000)</f>
        <v/>
      </c>
      <c r="F110" s="46">
        <f>IF(E110="","",IF(C110&gt;WeekEndDate,"",E110))</f>
        <v/>
      </c>
    </row>
    <row r="111">
      <c r="A111" t="inlineStr">
        <is>
          <t>Selections &amp; Orders</t>
        </is>
      </c>
      <c r="B111" s="46">
        <f>'Selections &amp; Orders'!AC117</f>
        <v/>
      </c>
      <c r="C111" s="84">
        <f>'Selections &amp; Orders'!AA117</f>
        <v/>
      </c>
      <c r="D111" s="46">
        <f>'Selections &amp; Orders'!AB117</f>
        <v/>
      </c>
      <c r="E111" s="46">
        <f>IF(OR(B111="",C111="",D111=""),"",D111*100000+(C111-DATE(2000,1,1))+ROW()/100000)</f>
        <v/>
      </c>
      <c r="F111" s="46">
        <f>IF(E111="","",IF(C111&gt;WeekEndDate,"",E111))</f>
        <v/>
      </c>
    </row>
    <row r="112">
      <c r="A112" t="inlineStr">
        <is>
          <t>Selections &amp; Orders</t>
        </is>
      </c>
      <c r="B112" s="46">
        <f>'Selections &amp; Orders'!AC118</f>
        <v/>
      </c>
      <c r="C112" s="84">
        <f>'Selections &amp; Orders'!AA118</f>
        <v/>
      </c>
      <c r="D112" s="46">
        <f>'Selections &amp; Orders'!AB118</f>
        <v/>
      </c>
      <c r="E112" s="46">
        <f>IF(OR(B112="",C112="",D112=""),"",D112*100000+(C112-DATE(2000,1,1))+ROW()/100000)</f>
        <v/>
      </c>
      <c r="F112" s="46">
        <f>IF(E112="","",IF(C112&gt;WeekEndDate,"",E112))</f>
        <v/>
      </c>
    </row>
    <row r="113">
      <c r="A113" t="inlineStr">
        <is>
          <t>Selections &amp; Orders</t>
        </is>
      </c>
      <c r="B113" s="46">
        <f>'Selections &amp; Orders'!AC119</f>
        <v/>
      </c>
      <c r="C113" s="84">
        <f>'Selections &amp; Orders'!AA119</f>
        <v/>
      </c>
      <c r="D113" s="46">
        <f>'Selections &amp; Orders'!AB119</f>
        <v/>
      </c>
      <c r="E113" s="46">
        <f>IF(OR(B113="",C113="",D113=""),"",D113*100000+(C113-DATE(2000,1,1))+ROW()/100000)</f>
        <v/>
      </c>
      <c r="F113" s="46">
        <f>IF(E113="","",IF(C113&gt;WeekEndDate,"",E113))</f>
        <v/>
      </c>
    </row>
    <row r="114">
      <c r="A114" t="inlineStr">
        <is>
          <t>Selections &amp; Orders</t>
        </is>
      </c>
      <c r="B114" s="46">
        <f>'Selections &amp; Orders'!AC120</f>
        <v/>
      </c>
      <c r="C114" s="84">
        <f>'Selections &amp; Orders'!AA120</f>
        <v/>
      </c>
      <c r="D114" s="46">
        <f>'Selections &amp; Orders'!AB120</f>
        <v/>
      </c>
      <c r="E114" s="46">
        <f>IF(OR(B114="",C114="",D114=""),"",D114*100000+(C114-DATE(2000,1,1))+ROW()/100000)</f>
        <v/>
      </c>
      <c r="F114" s="46">
        <f>IF(E114="","",IF(C114&gt;WeekEndDate,"",E114))</f>
        <v/>
      </c>
    </row>
    <row r="115">
      <c r="A115" t="inlineStr">
        <is>
          <t>Selections &amp; Orders</t>
        </is>
      </c>
      <c r="B115" s="46">
        <f>'Selections &amp; Orders'!AC121</f>
        <v/>
      </c>
      <c r="C115" s="84">
        <f>'Selections &amp; Orders'!AA121</f>
        <v/>
      </c>
      <c r="D115" s="46">
        <f>'Selections &amp; Orders'!AB121</f>
        <v/>
      </c>
      <c r="E115" s="46">
        <f>IF(OR(B115="",C115="",D115=""),"",D115*100000+(C115-DATE(2000,1,1))+ROW()/100000)</f>
        <v/>
      </c>
      <c r="F115" s="46">
        <f>IF(E115="","",IF(C115&gt;WeekEndDate,"",E115))</f>
        <v/>
      </c>
    </row>
    <row r="116">
      <c r="A116" t="inlineStr">
        <is>
          <t>Selections &amp; Orders</t>
        </is>
      </c>
      <c r="B116" s="46">
        <f>'Selections &amp; Orders'!AC122</f>
        <v/>
      </c>
      <c r="C116" s="84">
        <f>'Selections &amp; Orders'!AA122</f>
        <v/>
      </c>
      <c r="D116" s="46">
        <f>'Selections &amp; Orders'!AB122</f>
        <v/>
      </c>
      <c r="E116" s="46">
        <f>IF(OR(B116="",C116="",D116=""),"",D116*100000+(C116-DATE(2000,1,1))+ROW()/100000)</f>
        <v/>
      </c>
      <c r="F116" s="46">
        <f>IF(E116="","",IF(C116&gt;WeekEndDate,"",E116))</f>
        <v/>
      </c>
    </row>
    <row r="117">
      <c r="A117" t="inlineStr">
        <is>
          <t>Selections &amp; Orders</t>
        </is>
      </c>
      <c r="B117" s="46">
        <f>'Selections &amp; Orders'!AC123</f>
        <v/>
      </c>
      <c r="C117" s="84">
        <f>'Selections &amp; Orders'!AA123</f>
        <v/>
      </c>
      <c r="D117" s="46">
        <f>'Selections &amp; Orders'!AB123</f>
        <v/>
      </c>
      <c r="E117" s="46">
        <f>IF(OR(B117="",C117="",D117=""),"",D117*100000+(C117-DATE(2000,1,1))+ROW()/100000)</f>
        <v/>
      </c>
      <c r="F117" s="46">
        <f>IF(E117="","",IF(C117&gt;WeekEndDate,"",E117))</f>
        <v/>
      </c>
    </row>
    <row r="118">
      <c r="A118" t="inlineStr">
        <is>
          <t>Selections &amp; Orders</t>
        </is>
      </c>
      <c r="B118" s="46">
        <f>'Selections &amp; Orders'!AC124</f>
        <v/>
      </c>
      <c r="C118" s="84">
        <f>'Selections &amp; Orders'!AA124</f>
        <v/>
      </c>
      <c r="D118" s="46">
        <f>'Selections &amp; Orders'!AB124</f>
        <v/>
      </c>
      <c r="E118" s="46">
        <f>IF(OR(B118="",C118="",D118=""),"",D118*100000+(C118-DATE(2000,1,1))+ROW()/100000)</f>
        <v/>
      </c>
      <c r="F118" s="46">
        <f>IF(E118="","",IF(C118&gt;WeekEndDate,"",E118))</f>
        <v/>
      </c>
    </row>
    <row r="119">
      <c r="A119" t="inlineStr">
        <is>
          <t>Selections &amp; Orders</t>
        </is>
      </c>
      <c r="B119" s="46">
        <f>'Selections &amp; Orders'!AC125</f>
        <v/>
      </c>
      <c r="C119" s="84">
        <f>'Selections &amp; Orders'!AA125</f>
        <v/>
      </c>
      <c r="D119" s="46">
        <f>'Selections &amp; Orders'!AB125</f>
        <v/>
      </c>
      <c r="E119" s="46">
        <f>IF(OR(B119="",C119="",D119=""),"",D119*100000+(C119-DATE(2000,1,1))+ROW()/100000)</f>
        <v/>
      </c>
      <c r="F119" s="46">
        <f>IF(E119="","",IF(C119&gt;WeekEndDate,"",E119))</f>
        <v/>
      </c>
    </row>
    <row r="120">
      <c r="A120" t="inlineStr">
        <is>
          <t>Selections &amp; Orders</t>
        </is>
      </c>
      <c r="B120" s="46">
        <f>'Selections &amp; Orders'!AC126</f>
        <v/>
      </c>
      <c r="C120" s="84">
        <f>'Selections &amp; Orders'!AA126</f>
        <v/>
      </c>
      <c r="D120" s="46">
        <f>'Selections &amp; Orders'!AB126</f>
        <v/>
      </c>
      <c r="E120" s="46">
        <f>IF(OR(B120="",C120="",D120=""),"",D120*100000+(C120-DATE(2000,1,1))+ROW()/100000)</f>
        <v/>
      </c>
      <c r="F120" s="46">
        <f>IF(E120="","",IF(C120&gt;WeekEndDate,"",E120))</f>
        <v/>
      </c>
    </row>
    <row r="121">
      <c r="A121" t="inlineStr">
        <is>
          <t>Selections &amp; Orders</t>
        </is>
      </c>
      <c r="B121" s="46">
        <f>'Selections &amp; Orders'!AC127</f>
        <v/>
      </c>
      <c r="C121" s="84">
        <f>'Selections &amp; Orders'!AA127</f>
        <v/>
      </c>
      <c r="D121" s="46">
        <f>'Selections &amp; Orders'!AB127</f>
        <v/>
      </c>
      <c r="E121" s="46">
        <f>IF(OR(B121="",C121="",D121=""),"",D121*100000+(C121-DATE(2000,1,1))+ROW()/100000)</f>
        <v/>
      </c>
      <c r="F121" s="46">
        <f>IF(E121="","",IF(C121&gt;WeekEndDate,"",E121))</f>
        <v/>
      </c>
    </row>
    <row r="122">
      <c r="A122" t="inlineStr">
        <is>
          <t>Selections &amp; Orders</t>
        </is>
      </c>
      <c r="B122" s="46">
        <f>'Selections &amp; Orders'!AC128</f>
        <v/>
      </c>
      <c r="C122" s="84">
        <f>'Selections &amp; Orders'!AA128</f>
        <v/>
      </c>
      <c r="D122" s="46">
        <f>'Selections &amp; Orders'!AB128</f>
        <v/>
      </c>
      <c r="E122" s="46">
        <f>IF(OR(B122="",C122="",D122=""),"",D122*100000+(C122-DATE(2000,1,1))+ROW()/100000)</f>
        <v/>
      </c>
      <c r="F122" s="46">
        <f>IF(E122="","",IF(C122&gt;WeekEndDate,"",E122))</f>
        <v/>
      </c>
    </row>
    <row r="123">
      <c r="A123" t="inlineStr">
        <is>
          <t>Selections &amp; Orders</t>
        </is>
      </c>
      <c r="B123" s="46">
        <f>'Selections &amp; Orders'!AC129</f>
        <v/>
      </c>
      <c r="C123" s="84">
        <f>'Selections &amp; Orders'!AA129</f>
        <v/>
      </c>
      <c r="D123" s="46">
        <f>'Selections &amp; Orders'!AB129</f>
        <v/>
      </c>
      <c r="E123" s="46">
        <f>IF(OR(B123="",C123="",D123=""),"",D123*100000+(C123-DATE(2000,1,1))+ROW()/100000)</f>
        <v/>
      </c>
      <c r="F123" s="46">
        <f>IF(E123="","",IF(C123&gt;WeekEndDate,"",E123))</f>
        <v/>
      </c>
    </row>
    <row r="124">
      <c r="A124" t="inlineStr">
        <is>
          <t>Selections &amp; Orders</t>
        </is>
      </c>
      <c r="B124" s="46">
        <f>'Selections &amp; Orders'!AC130</f>
        <v/>
      </c>
      <c r="C124" s="84">
        <f>'Selections &amp; Orders'!AA130</f>
        <v/>
      </c>
      <c r="D124" s="46">
        <f>'Selections &amp; Orders'!AB130</f>
        <v/>
      </c>
      <c r="E124" s="46">
        <f>IF(OR(B124="",C124="",D124=""),"",D124*100000+(C124-DATE(2000,1,1))+ROW()/100000)</f>
        <v/>
      </c>
      <c r="F124" s="46">
        <f>IF(E124="","",IF(C124&gt;WeekEndDate,"",E124))</f>
        <v/>
      </c>
    </row>
    <row r="125">
      <c r="A125" t="inlineStr">
        <is>
          <t>Selections &amp; Orders</t>
        </is>
      </c>
      <c r="B125" s="46">
        <f>'Selections &amp; Orders'!AC131</f>
        <v/>
      </c>
      <c r="C125" s="84">
        <f>'Selections &amp; Orders'!AA131</f>
        <v/>
      </c>
      <c r="D125" s="46">
        <f>'Selections &amp; Orders'!AB131</f>
        <v/>
      </c>
      <c r="E125" s="46">
        <f>IF(OR(B125="",C125="",D125=""),"",D125*100000+(C125-DATE(2000,1,1))+ROW()/100000)</f>
        <v/>
      </c>
      <c r="F125" s="46">
        <f>IF(E125="","",IF(C125&gt;WeekEndDate,"",E125))</f>
        <v/>
      </c>
    </row>
    <row r="126">
      <c r="A126" t="inlineStr">
        <is>
          <t>Selections &amp; Orders</t>
        </is>
      </c>
      <c r="B126" s="46">
        <f>'Selections &amp; Orders'!AC132</f>
        <v/>
      </c>
      <c r="C126" s="84">
        <f>'Selections &amp; Orders'!AA132</f>
        <v/>
      </c>
      <c r="D126" s="46">
        <f>'Selections &amp; Orders'!AB132</f>
        <v/>
      </c>
      <c r="E126" s="46">
        <f>IF(OR(B126="",C126="",D126=""),"",D126*100000+(C126-DATE(2000,1,1))+ROW()/100000)</f>
        <v/>
      </c>
      <c r="F126" s="46">
        <f>IF(E126="","",IF(C126&gt;WeekEndDate,"",E126))</f>
        <v/>
      </c>
    </row>
    <row r="127">
      <c r="A127" t="inlineStr">
        <is>
          <t>Selections &amp; Orders</t>
        </is>
      </c>
      <c r="B127" s="46">
        <f>'Selections &amp; Orders'!AC133</f>
        <v/>
      </c>
      <c r="C127" s="84">
        <f>'Selections &amp; Orders'!AA133</f>
        <v/>
      </c>
      <c r="D127" s="46">
        <f>'Selections &amp; Orders'!AB133</f>
        <v/>
      </c>
      <c r="E127" s="46">
        <f>IF(OR(B127="",C127="",D127=""),"",D127*100000+(C127-DATE(2000,1,1))+ROW()/100000)</f>
        <v/>
      </c>
      <c r="F127" s="46">
        <f>IF(E127="","",IF(C127&gt;WeekEndDate,"",E127))</f>
        <v/>
      </c>
    </row>
    <row r="128">
      <c r="A128" t="inlineStr">
        <is>
          <t>Selections &amp; Orders</t>
        </is>
      </c>
      <c r="B128" s="46">
        <f>'Selections &amp; Orders'!AC134</f>
        <v/>
      </c>
      <c r="C128" s="84">
        <f>'Selections &amp; Orders'!AA134</f>
        <v/>
      </c>
      <c r="D128" s="46">
        <f>'Selections &amp; Orders'!AB134</f>
        <v/>
      </c>
      <c r="E128" s="46">
        <f>IF(OR(B128="",C128="",D128=""),"",D128*100000+(C128-DATE(2000,1,1))+ROW()/100000)</f>
        <v/>
      </c>
      <c r="F128" s="46">
        <f>IF(E128="","",IF(C128&gt;WeekEndDate,"",E128))</f>
        <v/>
      </c>
    </row>
    <row r="129">
      <c r="A129" t="inlineStr">
        <is>
          <t>Selections &amp; Orders</t>
        </is>
      </c>
      <c r="B129" s="46">
        <f>'Selections &amp; Orders'!AC135</f>
        <v/>
      </c>
      <c r="C129" s="84">
        <f>'Selections &amp; Orders'!AA135</f>
        <v/>
      </c>
      <c r="D129" s="46">
        <f>'Selections &amp; Orders'!AB135</f>
        <v/>
      </c>
      <c r="E129" s="46">
        <f>IF(OR(B129="",C129="",D129=""),"",D129*100000+(C129-DATE(2000,1,1))+ROW()/100000)</f>
        <v/>
      </c>
      <c r="F129" s="46">
        <f>IF(E129="","",IF(C129&gt;WeekEndDate,"",E129))</f>
        <v/>
      </c>
    </row>
    <row r="130">
      <c r="A130" t="inlineStr">
        <is>
          <t>Selections &amp; Orders</t>
        </is>
      </c>
      <c r="B130" s="46">
        <f>'Selections &amp; Orders'!AC136</f>
        <v/>
      </c>
      <c r="C130" s="84">
        <f>'Selections &amp; Orders'!AA136</f>
        <v/>
      </c>
      <c r="D130" s="46">
        <f>'Selections &amp; Orders'!AB136</f>
        <v/>
      </c>
      <c r="E130" s="46">
        <f>IF(OR(B130="",C130="",D130=""),"",D130*100000+(C130-DATE(2000,1,1))+ROW()/100000)</f>
        <v/>
      </c>
      <c r="F130" s="46">
        <f>IF(E130="","",IF(C130&gt;WeekEndDate,"",E130))</f>
        <v/>
      </c>
    </row>
    <row r="131">
      <c r="A131" t="inlineStr">
        <is>
          <t>Selections &amp; Orders</t>
        </is>
      </c>
      <c r="B131" s="46">
        <f>'Selections &amp; Orders'!AC137</f>
        <v/>
      </c>
      <c r="C131" s="84">
        <f>'Selections &amp; Orders'!AA137</f>
        <v/>
      </c>
      <c r="D131" s="46">
        <f>'Selections &amp; Orders'!AB137</f>
        <v/>
      </c>
      <c r="E131" s="46">
        <f>IF(OR(B131="",C131="",D131=""),"",D131*100000+(C131-DATE(2000,1,1))+ROW()/100000)</f>
        <v/>
      </c>
      <c r="F131" s="46">
        <f>IF(E131="","",IF(C131&gt;WeekEndDate,"",E131))</f>
        <v/>
      </c>
    </row>
    <row r="132">
      <c r="A132" t="inlineStr">
        <is>
          <t>Selections &amp; Orders</t>
        </is>
      </c>
      <c r="B132" s="46">
        <f>'Selections &amp; Orders'!AC138</f>
        <v/>
      </c>
      <c r="C132" s="84">
        <f>'Selections &amp; Orders'!AA138</f>
        <v/>
      </c>
      <c r="D132" s="46">
        <f>'Selections &amp; Orders'!AB138</f>
        <v/>
      </c>
      <c r="E132" s="46">
        <f>IF(OR(B132="",C132="",D132=""),"",D132*100000+(C132-DATE(2000,1,1))+ROW()/100000)</f>
        <v/>
      </c>
      <c r="F132" s="46">
        <f>IF(E132="","",IF(C132&gt;WeekEndDate,"",E132))</f>
        <v/>
      </c>
    </row>
    <row r="133">
      <c r="A133" t="inlineStr">
        <is>
          <t>Selections &amp; Orders</t>
        </is>
      </c>
      <c r="B133" s="46">
        <f>'Selections &amp; Orders'!AC139</f>
        <v/>
      </c>
      <c r="C133" s="84">
        <f>'Selections &amp; Orders'!AA139</f>
        <v/>
      </c>
      <c r="D133" s="46">
        <f>'Selections &amp; Orders'!AB139</f>
        <v/>
      </c>
      <c r="E133" s="46">
        <f>IF(OR(B133="",C133="",D133=""),"",D133*100000+(C133-DATE(2000,1,1))+ROW()/100000)</f>
        <v/>
      </c>
      <c r="F133" s="46">
        <f>IF(E133="","",IF(C133&gt;WeekEndDate,"",E133))</f>
        <v/>
      </c>
    </row>
    <row r="134">
      <c r="A134" t="inlineStr">
        <is>
          <t>Selections &amp; Orders</t>
        </is>
      </c>
      <c r="B134" s="46">
        <f>'Selections &amp; Orders'!AC140</f>
        <v/>
      </c>
      <c r="C134" s="84">
        <f>'Selections &amp; Orders'!AA140</f>
        <v/>
      </c>
      <c r="D134" s="46">
        <f>'Selections &amp; Orders'!AB140</f>
        <v/>
      </c>
      <c r="E134" s="46">
        <f>IF(OR(B134="",C134="",D134=""),"",D134*100000+(C134-DATE(2000,1,1))+ROW()/100000)</f>
        <v/>
      </c>
      <c r="F134" s="46">
        <f>IF(E134="","",IF(C134&gt;WeekEndDate,"",E134))</f>
        <v/>
      </c>
    </row>
    <row r="135">
      <c r="A135" t="inlineStr">
        <is>
          <t>Selections &amp; Orders</t>
        </is>
      </c>
      <c r="B135" s="46">
        <f>'Selections &amp; Orders'!AC141</f>
        <v/>
      </c>
      <c r="C135" s="84">
        <f>'Selections &amp; Orders'!AA141</f>
        <v/>
      </c>
      <c r="D135" s="46">
        <f>'Selections &amp; Orders'!AB141</f>
        <v/>
      </c>
      <c r="E135" s="46">
        <f>IF(OR(B135="",C135="",D135=""),"",D135*100000+(C135-DATE(2000,1,1))+ROW()/100000)</f>
        <v/>
      </c>
      <c r="F135" s="46">
        <f>IF(E135="","",IF(C135&gt;WeekEndDate,"",E135))</f>
        <v/>
      </c>
    </row>
    <row r="136">
      <c r="A136" t="inlineStr">
        <is>
          <t>Selections &amp; Orders</t>
        </is>
      </c>
      <c r="B136" s="46">
        <f>'Selections &amp; Orders'!AC142</f>
        <v/>
      </c>
      <c r="C136" s="84">
        <f>'Selections &amp; Orders'!AA142</f>
        <v/>
      </c>
      <c r="D136" s="46">
        <f>'Selections &amp; Orders'!AB142</f>
        <v/>
      </c>
      <c r="E136" s="46">
        <f>IF(OR(B136="",C136="",D136=""),"",D136*100000+(C136-DATE(2000,1,1))+ROW()/100000)</f>
        <v/>
      </c>
      <c r="F136" s="46">
        <f>IF(E136="","",IF(C136&gt;WeekEndDate,"",E136))</f>
        <v/>
      </c>
    </row>
    <row r="137">
      <c r="A137" t="inlineStr">
        <is>
          <t>Selections &amp; Orders</t>
        </is>
      </c>
      <c r="B137" s="46">
        <f>'Selections &amp; Orders'!AC143</f>
        <v/>
      </c>
      <c r="C137" s="84">
        <f>'Selections &amp; Orders'!AA143</f>
        <v/>
      </c>
      <c r="D137" s="46">
        <f>'Selections &amp; Orders'!AB143</f>
        <v/>
      </c>
      <c r="E137" s="46">
        <f>IF(OR(B137="",C137="",D137=""),"",D137*100000+(C137-DATE(2000,1,1))+ROW()/100000)</f>
        <v/>
      </c>
      <c r="F137" s="46">
        <f>IF(E137="","",IF(C137&gt;WeekEndDate,"",E137))</f>
        <v/>
      </c>
    </row>
    <row r="138">
      <c r="A138" t="inlineStr">
        <is>
          <t>Selections &amp; Orders</t>
        </is>
      </c>
      <c r="B138" s="46">
        <f>'Selections &amp; Orders'!AC144</f>
        <v/>
      </c>
      <c r="C138" s="84">
        <f>'Selections &amp; Orders'!AA144</f>
        <v/>
      </c>
      <c r="D138" s="46">
        <f>'Selections &amp; Orders'!AB144</f>
        <v/>
      </c>
      <c r="E138" s="46">
        <f>IF(OR(B138="",C138="",D138=""),"",D138*100000+(C138-DATE(2000,1,1))+ROW()/100000)</f>
        <v/>
      </c>
      <c r="F138" s="46">
        <f>IF(E138="","",IF(C138&gt;WeekEndDate,"",E138))</f>
        <v/>
      </c>
    </row>
    <row r="139">
      <c r="A139" t="inlineStr">
        <is>
          <t>Selections &amp; Orders</t>
        </is>
      </c>
      <c r="B139" s="46">
        <f>'Selections &amp; Orders'!AC145</f>
        <v/>
      </c>
      <c r="C139" s="84">
        <f>'Selections &amp; Orders'!AA145</f>
        <v/>
      </c>
      <c r="D139" s="46">
        <f>'Selections &amp; Orders'!AB145</f>
        <v/>
      </c>
      <c r="E139" s="46">
        <f>IF(OR(B139="",C139="",D139=""),"",D139*100000+(C139-DATE(2000,1,1))+ROW()/100000)</f>
        <v/>
      </c>
      <c r="F139" s="46">
        <f>IF(E139="","",IF(C139&gt;WeekEndDate,"",E139))</f>
        <v/>
      </c>
    </row>
    <row r="140">
      <c r="A140" t="inlineStr">
        <is>
          <t>Selections &amp; Orders</t>
        </is>
      </c>
      <c r="B140" s="46">
        <f>'Selections &amp; Orders'!AC146</f>
        <v/>
      </c>
      <c r="C140" s="84">
        <f>'Selections &amp; Orders'!AA146</f>
        <v/>
      </c>
      <c r="D140" s="46">
        <f>'Selections &amp; Orders'!AB146</f>
        <v/>
      </c>
      <c r="E140" s="46">
        <f>IF(OR(B140="",C140="",D140=""),"",D140*100000+(C140-DATE(2000,1,1))+ROW()/100000)</f>
        <v/>
      </c>
      <c r="F140" s="46">
        <f>IF(E140="","",IF(C140&gt;WeekEndDate,"",E140))</f>
        <v/>
      </c>
    </row>
    <row r="141">
      <c r="A141" t="inlineStr">
        <is>
          <t>Selections &amp; Orders</t>
        </is>
      </c>
      <c r="B141" s="46">
        <f>'Selections &amp; Orders'!AC147</f>
        <v/>
      </c>
      <c r="C141" s="84">
        <f>'Selections &amp; Orders'!AA147</f>
        <v/>
      </c>
      <c r="D141" s="46">
        <f>'Selections &amp; Orders'!AB147</f>
        <v/>
      </c>
      <c r="E141" s="46">
        <f>IF(OR(B141="",C141="",D141=""),"",D141*100000+(C141-DATE(2000,1,1))+ROW()/100000)</f>
        <v/>
      </c>
      <c r="F141" s="46">
        <f>IF(E141="","",IF(C141&gt;WeekEndDate,"",E141))</f>
        <v/>
      </c>
    </row>
    <row r="142">
      <c r="A142" t="inlineStr">
        <is>
          <t>Selections &amp; Orders</t>
        </is>
      </c>
      <c r="B142" s="46">
        <f>'Selections &amp; Orders'!AC148</f>
        <v/>
      </c>
      <c r="C142" s="84">
        <f>'Selections &amp; Orders'!AA148</f>
        <v/>
      </c>
      <c r="D142" s="46">
        <f>'Selections &amp; Orders'!AB148</f>
        <v/>
      </c>
      <c r="E142" s="46">
        <f>IF(OR(B142="",C142="",D142=""),"",D142*100000+(C142-DATE(2000,1,1))+ROW()/100000)</f>
        <v/>
      </c>
      <c r="F142" s="46">
        <f>IF(E142="","",IF(C142&gt;WeekEndDate,"",E142))</f>
        <v/>
      </c>
    </row>
    <row r="143">
      <c r="A143" t="inlineStr">
        <is>
          <t>Selections &amp; Orders</t>
        </is>
      </c>
      <c r="B143" s="46">
        <f>'Selections &amp; Orders'!AC149</f>
        <v/>
      </c>
      <c r="C143" s="84">
        <f>'Selections &amp; Orders'!AA149</f>
        <v/>
      </c>
      <c r="D143" s="46">
        <f>'Selections &amp; Orders'!AB149</f>
        <v/>
      </c>
      <c r="E143" s="46">
        <f>IF(OR(B143="",C143="",D143=""),"",D143*100000+(C143-DATE(2000,1,1))+ROW()/100000)</f>
        <v/>
      </c>
      <c r="F143" s="46">
        <f>IF(E143="","",IF(C143&gt;WeekEndDate,"",E143))</f>
        <v/>
      </c>
    </row>
    <row r="144">
      <c r="A144" t="inlineStr">
        <is>
          <t>Selections &amp; Orders</t>
        </is>
      </c>
      <c r="B144" s="46">
        <f>'Selections &amp; Orders'!AC150</f>
        <v/>
      </c>
      <c r="C144" s="84">
        <f>'Selections &amp; Orders'!AA150</f>
        <v/>
      </c>
      <c r="D144" s="46">
        <f>'Selections &amp; Orders'!AB150</f>
        <v/>
      </c>
      <c r="E144" s="46">
        <f>IF(OR(B144="",C144="",D144=""),"",D144*100000+(C144-DATE(2000,1,1))+ROW()/100000)</f>
        <v/>
      </c>
      <c r="F144" s="46">
        <f>IF(E144="","",IF(C144&gt;WeekEndDate,"",E144))</f>
        <v/>
      </c>
    </row>
    <row r="145">
      <c r="A145" t="inlineStr">
        <is>
          <t>Selections &amp; Orders</t>
        </is>
      </c>
      <c r="B145" s="46">
        <f>'Selections &amp; Orders'!AC151</f>
        <v/>
      </c>
      <c r="C145" s="84">
        <f>'Selections &amp; Orders'!AA151</f>
        <v/>
      </c>
      <c r="D145" s="46">
        <f>'Selections &amp; Orders'!AB151</f>
        <v/>
      </c>
      <c r="E145" s="46">
        <f>IF(OR(B145="",C145="",D145=""),"",D145*100000+(C145-DATE(2000,1,1))+ROW()/100000)</f>
        <v/>
      </c>
      <c r="F145" s="46">
        <f>IF(E145="","",IF(C145&gt;WeekEndDate,"",E145))</f>
        <v/>
      </c>
    </row>
    <row r="146">
      <c r="A146" t="inlineStr">
        <is>
          <t>Selections &amp; Orders</t>
        </is>
      </c>
      <c r="B146" s="46">
        <f>'Selections &amp; Orders'!AC152</f>
        <v/>
      </c>
      <c r="C146" s="84">
        <f>'Selections &amp; Orders'!AA152</f>
        <v/>
      </c>
      <c r="D146" s="46">
        <f>'Selections &amp; Orders'!AB152</f>
        <v/>
      </c>
      <c r="E146" s="46">
        <f>IF(OR(B146="",C146="",D146=""),"",D146*100000+(C146-DATE(2000,1,1))+ROW()/100000)</f>
        <v/>
      </c>
      <c r="F146" s="46">
        <f>IF(E146="","",IF(C146&gt;WeekEndDate,"",E146))</f>
        <v/>
      </c>
    </row>
    <row r="147">
      <c r="A147" t="inlineStr">
        <is>
          <t>Selections &amp; Orders</t>
        </is>
      </c>
      <c r="B147" s="46">
        <f>'Selections &amp; Orders'!AC153</f>
        <v/>
      </c>
      <c r="C147" s="84">
        <f>'Selections &amp; Orders'!AA153</f>
        <v/>
      </c>
      <c r="D147" s="46">
        <f>'Selections &amp; Orders'!AB153</f>
        <v/>
      </c>
      <c r="E147" s="46">
        <f>IF(OR(B147="",C147="",D147=""),"",D147*100000+(C147-DATE(2000,1,1))+ROW()/100000)</f>
        <v/>
      </c>
      <c r="F147" s="46">
        <f>IF(E147="","",IF(C147&gt;WeekEndDate,"",E147))</f>
        <v/>
      </c>
    </row>
    <row r="148">
      <c r="A148" t="inlineStr">
        <is>
          <t>Selections &amp; Orders</t>
        </is>
      </c>
      <c r="B148" s="46">
        <f>'Selections &amp; Orders'!AC154</f>
        <v/>
      </c>
      <c r="C148" s="84">
        <f>'Selections &amp; Orders'!AA154</f>
        <v/>
      </c>
      <c r="D148" s="46">
        <f>'Selections &amp; Orders'!AB154</f>
        <v/>
      </c>
      <c r="E148" s="46">
        <f>IF(OR(B148="",C148="",D148=""),"",D148*100000+(C148-DATE(2000,1,1))+ROW()/100000)</f>
        <v/>
      </c>
      <c r="F148" s="46">
        <f>IF(E148="","",IF(C148&gt;WeekEndDate,"",E148))</f>
        <v/>
      </c>
    </row>
    <row r="149">
      <c r="A149" t="inlineStr">
        <is>
          <t>Selections &amp; Orders</t>
        </is>
      </c>
      <c r="B149" s="46">
        <f>'Selections &amp; Orders'!AC155</f>
        <v/>
      </c>
      <c r="C149" s="84">
        <f>'Selections &amp; Orders'!AA155</f>
        <v/>
      </c>
      <c r="D149" s="46">
        <f>'Selections &amp; Orders'!AB155</f>
        <v/>
      </c>
      <c r="E149" s="46">
        <f>IF(OR(B149="",C149="",D149=""),"",D149*100000+(C149-DATE(2000,1,1))+ROW()/100000)</f>
        <v/>
      </c>
      <c r="F149" s="46">
        <f>IF(E149="","",IF(C149&gt;WeekEndDate,"",E149))</f>
        <v/>
      </c>
    </row>
    <row r="150">
      <c r="A150" t="inlineStr">
        <is>
          <t>Selections &amp; Orders</t>
        </is>
      </c>
      <c r="B150" s="46">
        <f>'Selections &amp; Orders'!AC156</f>
        <v/>
      </c>
      <c r="C150" s="84">
        <f>'Selections &amp; Orders'!AA156</f>
        <v/>
      </c>
      <c r="D150" s="46">
        <f>'Selections &amp; Orders'!AB156</f>
        <v/>
      </c>
      <c r="E150" s="46">
        <f>IF(OR(B150="",C150="",D150=""),"",D150*100000+(C150-DATE(2000,1,1))+ROW()/100000)</f>
        <v/>
      </c>
      <c r="F150" s="46">
        <f>IF(E150="","",IF(C150&gt;WeekEndDate,"",E150))</f>
        <v/>
      </c>
    </row>
    <row r="151">
      <c r="A151" t="inlineStr">
        <is>
          <t>Selections &amp; Orders</t>
        </is>
      </c>
      <c r="B151" s="46">
        <f>'Selections &amp; Orders'!AC157</f>
        <v/>
      </c>
      <c r="C151" s="84">
        <f>'Selections &amp; Orders'!AA157</f>
        <v/>
      </c>
      <c r="D151" s="46">
        <f>'Selections &amp; Orders'!AB157</f>
        <v/>
      </c>
      <c r="E151" s="46">
        <f>IF(OR(B151="",C151="",D151=""),"",D151*100000+(C151-DATE(2000,1,1))+ROW()/100000)</f>
        <v/>
      </c>
      <c r="F151" s="46">
        <f>IF(E151="","",IF(C151&gt;WeekEndDate,"",E151))</f>
        <v/>
      </c>
    </row>
    <row r="152">
      <c r="A152" t="inlineStr">
        <is>
          <t>Selections &amp; Orders</t>
        </is>
      </c>
      <c r="B152" s="46">
        <f>'Selections &amp; Orders'!AC158</f>
        <v/>
      </c>
      <c r="C152" s="84">
        <f>'Selections &amp; Orders'!AA158</f>
        <v/>
      </c>
      <c r="D152" s="46">
        <f>'Selections &amp; Orders'!AB158</f>
        <v/>
      </c>
      <c r="E152" s="46">
        <f>IF(OR(B152="",C152="",D152=""),"",D152*100000+(C152-DATE(2000,1,1))+ROW()/100000)</f>
        <v/>
      </c>
      <c r="F152" s="46">
        <f>IF(E152="","",IF(C152&gt;WeekEndDate,"",E152))</f>
        <v/>
      </c>
    </row>
    <row r="153">
      <c r="A153" t="inlineStr">
        <is>
          <t>Selections &amp; Orders</t>
        </is>
      </c>
      <c r="B153" s="46">
        <f>'Selections &amp; Orders'!AC159</f>
        <v/>
      </c>
      <c r="C153" s="84">
        <f>'Selections &amp; Orders'!AA159</f>
        <v/>
      </c>
      <c r="D153" s="46">
        <f>'Selections &amp; Orders'!AB159</f>
        <v/>
      </c>
      <c r="E153" s="46">
        <f>IF(OR(B153="",C153="",D153=""),"",D153*100000+(C153-DATE(2000,1,1))+ROW()/100000)</f>
        <v/>
      </c>
      <c r="F153" s="46">
        <f>IF(E153="","",IF(C153&gt;WeekEndDate,"",E153))</f>
        <v/>
      </c>
    </row>
    <row r="154">
      <c r="A154" t="inlineStr">
        <is>
          <t>Selections &amp; Orders</t>
        </is>
      </c>
      <c r="B154" s="46">
        <f>'Selections &amp; Orders'!AC160</f>
        <v/>
      </c>
      <c r="C154" s="84">
        <f>'Selections &amp; Orders'!AA160</f>
        <v/>
      </c>
      <c r="D154" s="46">
        <f>'Selections &amp; Orders'!AB160</f>
        <v/>
      </c>
      <c r="E154" s="46">
        <f>IF(OR(B154="",C154="",D154=""),"",D154*100000+(C154-DATE(2000,1,1))+ROW()/100000)</f>
        <v/>
      </c>
      <c r="F154" s="46">
        <f>IF(E154="","",IF(C154&gt;WeekEndDate,"",E154))</f>
        <v/>
      </c>
    </row>
    <row r="155">
      <c r="A155" t="inlineStr">
        <is>
          <t>Selections &amp; Orders</t>
        </is>
      </c>
      <c r="B155" s="46">
        <f>'Selections &amp; Orders'!AC161</f>
        <v/>
      </c>
      <c r="C155" s="84">
        <f>'Selections &amp; Orders'!AA161</f>
        <v/>
      </c>
      <c r="D155" s="46">
        <f>'Selections &amp; Orders'!AB161</f>
        <v/>
      </c>
      <c r="E155" s="46">
        <f>IF(OR(B155="",C155="",D155=""),"",D155*100000+(C155-DATE(2000,1,1))+ROW()/100000)</f>
        <v/>
      </c>
      <c r="F155" s="46">
        <f>IF(E155="","",IF(C155&gt;WeekEndDate,"",E155))</f>
        <v/>
      </c>
    </row>
    <row r="156">
      <c r="A156" t="inlineStr">
        <is>
          <t>Selections &amp; Orders</t>
        </is>
      </c>
      <c r="B156" s="46">
        <f>'Selections &amp; Orders'!AC162</f>
        <v/>
      </c>
      <c r="C156" s="84">
        <f>'Selections &amp; Orders'!AA162</f>
        <v/>
      </c>
      <c r="D156" s="46">
        <f>'Selections &amp; Orders'!AB162</f>
        <v/>
      </c>
      <c r="E156" s="46">
        <f>IF(OR(B156="",C156="",D156=""),"",D156*100000+(C156-DATE(2000,1,1))+ROW()/100000)</f>
        <v/>
      </c>
      <c r="F156" s="46">
        <f>IF(E156="","",IF(C156&gt;WeekEndDate,"",E156))</f>
        <v/>
      </c>
    </row>
    <row r="157">
      <c r="A157" t="inlineStr">
        <is>
          <t>Selections &amp; Orders</t>
        </is>
      </c>
      <c r="B157" s="46">
        <f>'Selections &amp; Orders'!AC163</f>
        <v/>
      </c>
      <c r="C157" s="84">
        <f>'Selections &amp; Orders'!AA163</f>
        <v/>
      </c>
      <c r="D157" s="46">
        <f>'Selections &amp; Orders'!AB163</f>
        <v/>
      </c>
      <c r="E157" s="46">
        <f>IF(OR(B157="",C157="",D157=""),"",D157*100000+(C157-DATE(2000,1,1))+ROW()/100000)</f>
        <v/>
      </c>
      <c r="F157" s="46">
        <f>IF(E157="","",IF(C157&gt;WeekEndDate,"",E157))</f>
        <v/>
      </c>
    </row>
    <row r="158">
      <c r="A158" t="inlineStr">
        <is>
          <t>Selections &amp; Orders</t>
        </is>
      </c>
      <c r="B158" s="46">
        <f>'Selections &amp; Orders'!AC164</f>
        <v/>
      </c>
      <c r="C158" s="84">
        <f>'Selections &amp; Orders'!AA164</f>
        <v/>
      </c>
      <c r="D158" s="46">
        <f>'Selections &amp; Orders'!AB164</f>
        <v/>
      </c>
      <c r="E158" s="46">
        <f>IF(OR(B158="",C158="",D158=""),"",D158*100000+(C158-DATE(2000,1,1))+ROW()/100000)</f>
        <v/>
      </c>
      <c r="F158" s="46">
        <f>IF(E158="","",IF(C158&gt;WeekEndDate,"",E158))</f>
        <v/>
      </c>
    </row>
    <row r="159">
      <c r="A159" t="inlineStr">
        <is>
          <t>Selections &amp; Orders</t>
        </is>
      </c>
      <c r="B159" s="46">
        <f>'Selections &amp; Orders'!AC165</f>
        <v/>
      </c>
      <c r="C159" s="84">
        <f>'Selections &amp; Orders'!AA165</f>
        <v/>
      </c>
      <c r="D159" s="46">
        <f>'Selections &amp; Orders'!AB165</f>
        <v/>
      </c>
      <c r="E159" s="46">
        <f>IF(OR(B159="",C159="",D159=""),"",D159*100000+(C159-DATE(2000,1,1))+ROW()/100000)</f>
        <v/>
      </c>
      <c r="F159" s="46">
        <f>IF(E159="","",IF(C159&gt;WeekEndDate,"",E159))</f>
        <v/>
      </c>
    </row>
    <row r="160">
      <c r="A160" t="inlineStr">
        <is>
          <t>Selections &amp; Orders</t>
        </is>
      </c>
      <c r="B160" s="46">
        <f>'Selections &amp; Orders'!AC166</f>
        <v/>
      </c>
      <c r="C160" s="84">
        <f>'Selections &amp; Orders'!AA166</f>
        <v/>
      </c>
      <c r="D160" s="46">
        <f>'Selections &amp; Orders'!AB166</f>
        <v/>
      </c>
      <c r="E160" s="46">
        <f>IF(OR(B160="",C160="",D160=""),"",D160*100000+(C160-DATE(2000,1,1))+ROW()/100000)</f>
        <v/>
      </c>
      <c r="F160" s="46">
        <f>IF(E160="","",IF(C160&gt;WeekEndDate,"",E160))</f>
        <v/>
      </c>
    </row>
    <row r="161">
      <c r="A161" t="inlineStr">
        <is>
          <t>Selections &amp; Orders</t>
        </is>
      </c>
      <c r="B161" s="46">
        <f>'Selections &amp; Orders'!AC167</f>
        <v/>
      </c>
      <c r="C161" s="84">
        <f>'Selections &amp; Orders'!AA167</f>
        <v/>
      </c>
      <c r="D161" s="46">
        <f>'Selections &amp; Orders'!AB167</f>
        <v/>
      </c>
      <c r="E161" s="46">
        <f>IF(OR(B161="",C161="",D161=""),"",D161*100000+(C161-DATE(2000,1,1))+ROW()/100000)</f>
        <v/>
      </c>
      <c r="F161" s="46">
        <f>IF(E161="","",IF(C161&gt;WeekEndDate,"",E161))</f>
        <v/>
      </c>
    </row>
    <row r="162">
      <c r="A162" t="inlineStr">
        <is>
          <t>Selections &amp; Orders</t>
        </is>
      </c>
      <c r="B162" s="46">
        <f>'Selections &amp; Orders'!AC168</f>
        <v/>
      </c>
      <c r="C162" s="84">
        <f>'Selections &amp; Orders'!AA168</f>
        <v/>
      </c>
      <c r="D162" s="46">
        <f>'Selections &amp; Orders'!AB168</f>
        <v/>
      </c>
      <c r="E162" s="46">
        <f>IF(OR(B162="",C162="",D162=""),"",D162*100000+(C162-DATE(2000,1,1))+ROW()/100000)</f>
        <v/>
      </c>
      <c r="F162" s="46">
        <f>IF(E162="","",IF(C162&gt;WeekEndDate,"",E162))</f>
        <v/>
      </c>
    </row>
    <row r="163">
      <c r="A163" t="inlineStr">
        <is>
          <t>Selections &amp; Orders</t>
        </is>
      </c>
      <c r="B163" s="46">
        <f>'Selections &amp; Orders'!AC169</f>
        <v/>
      </c>
      <c r="C163" s="84">
        <f>'Selections &amp; Orders'!AA169</f>
        <v/>
      </c>
      <c r="D163" s="46">
        <f>'Selections &amp; Orders'!AB169</f>
        <v/>
      </c>
      <c r="E163" s="46">
        <f>IF(OR(B163="",C163="",D163=""),"",D163*100000+(C163-DATE(2000,1,1))+ROW()/100000)</f>
        <v/>
      </c>
      <c r="F163" s="46">
        <f>IF(E163="","",IF(C163&gt;WeekEndDate,"",E163))</f>
        <v/>
      </c>
    </row>
    <row r="164">
      <c r="A164" t="inlineStr">
        <is>
          <t>Selections &amp; Orders</t>
        </is>
      </c>
      <c r="B164" s="46">
        <f>'Selections &amp; Orders'!AC170</f>
        <v/>
      </c>
      <c r="C164" s="84">
        <f>'Selections &amp; Orders'!AA170</f>
        <v/>
      </c>
      <c r="D164" s="46">
        <f>'Selections &amp; Orders'!AB170</f>
        <v/>
      </c>
      <c r="E164" s="46">
        <f>IF(OR(B164="",C164="",D164=""),"",D164*100000+(C164-DATE(2000,1,1))+ROW()/100000)</f>
        <v/>
      </c>
      <c r="F164" s="46">
        <f>IF(E164="","",IF(C164&gt;WeekEndDate,"",E164))</f>
        <v/>
      </c>
    </row>
    <row r="165">
      <c r="A165" t="inlineStr">
        <is>
          <t>Selections &amp; Orders</t>
        </is>
      </c>
      <c r="B165" s="46">
        <f>'Selections &amp; Orders'!AC171</f>
        <v/>
      </c>
      <c r="C165" s="84">
        <f>'Selections &amp; Orders'!AA171</f>
        <v/>
      </c>
      <c r="D165" s="46">
        <f>'Selections &amp; Orders'!AB171</f>
        <v/>
      </c>
      <c r="E165" s="46">
        <f>IF(OR(B165="",C165="",D165=""),"",D165*100000+(C165-DATE(2000,1,1))+ROW()/100000)</f>
        <v/>
      </c>
      <c r="F165" s="46">
        <f>IF(E165="","",IF(C165&gt;WeekEndDate,"",E165))</f>
        <v/>
      </c>
    </row>
    <row r="166">
      <c r="A166" t="inlineStr">
        <is>
          <t>Selections &amp; Orders</t>
        </is>
      </c>
      <c r="B166" s="46">
        <f>'Selections &amp; Orders'!AC172</f>
        <v/>
      </c>
      <c r="C166" s="84">
        <f>'Selections &amp; Orders'!AA172</f>
        <v/>
      </c>
      <c r="D166" s="46">
        <f>'Selections &amp; Orders'!AB172</f>
        <v/>
      </c>
      <c r="E166" s="46">
        <f>IF(OR(B166="",C166="",D166=""),"",D166*100000+(C166-DATE(2000,1,1))+ROW()/100000)</f>
        <v/>
      </c>
      <c r="F166" s="46">
        <f>IF(E166="","",IF(C166&gt;WeekEndDate,"",E166))</f>
        <v/>
      </c>
    </row>
    <row r="167">
      <c r="A167" t="inlineStr">
        <is>
          <t>Selections &amp; Orders</t>
        </is>
      </c>
      <c r="B167" s="46">
        <f>'Selections &amp; Orders'!AC173</f>
        <v/>
      </c>
      <c r="C167" s="84">
        <f>'Selections &amp; Orders'!AA173</f>
        <v/>
      </c>
      <c r="D167" s="46">
        <f>'Selections &amp; Orders'!AB173</f>
        <v/>
      </c>
      <c r="E167" s="46">
        <f>IF(OR(B167="",C167="",D167=""),"",D167*100000+(C167-DATE(2000,1,1))+ROW()/100000)</f>
        <v/>
      </c>
      <c r="F167" s="46">
        <f>IF(E167="","",IF(C167&gt;WeekEndDate,"",E167))</f>
        <v/>
      </c>
    </row>
    <row r="168">
      <c r="A168" t="inlineStr">
        <is>
          <t>Selections &amp; Orders</t>
        </is>
      </c>
      <c r="B168" s="46">
        <f>'Selections &amp; Orders'!AC174</f>
        <v/>
      </c>
      <c r="C168" s="84">
        <f>'Selections &amp; Orders'!AA174</f>
        <v/>
      </c>
      <c r="D168" s="46">
        <f>'Selections &amp; Orders'!AB174</f>
        <v/>
      </c>
      <c r="E168" s="46">
        <f>IF(OR(B168="",C168="",D168=""),"",D168*100000+(C168-DATE(2000,1,1))+ROW()/100000)</f>
        <v/>
      </c>
      <c r="F168" s="46">
        <f>IF(E168="","",IF(C168&gt;WeekEndDate,"",E168))</f>
        <v/>
      </c>
    </row>
    <row r="169">
      <c r="A169" t="inlineStr">
        <is>
          <t>Selections &amp; Orders</t>
        </is>
      </c>
      <c r="B169" s="46">
        <f>'Selections &amp; Orders'!AC175</f>
        <v/>
      </c>
      <c r="C169" s="84">
        <f>'Selections &amp; Orders'!AA175</f>
        <v/>
      </c>
      <c r="D169" s="46">
        <f>'Selections &amp; Orders'!AB175</f>
        <v/>
      </c>
      <c r="E169" s="46">
        <f>IF(OR(B169="",C169="",D169=""),"",D169*100000+(C169-DATE(2000,1,1))+ROW()/100000)</f>
        <v/>
      </c>
      <c r="F169" s="46">
        <f>IF(E169="","",IF(C169&gt;WeekEndDate,"",E169))</f>
        <v/>
      </c>
    </row>
    <row r="170">
      <c r="A170" t="inlineStr">
        <is>
          <t>Selections &amp; Orders</t>
        </is>
      </c>
      <c r="B170" s="46">
        <f>'Selections &amp; Orders'!AC176</f>
        <v/>
      </c>
      <c r="C170" s="84">
        <f>'Selections &amp; Orders'!AA176</f>
        <v/>
      </c>
      <c r="D170" s="46">
        <f>'Selections &amp; Orders'!AB176</f>
        <v/>
      </c>
      <c r="E170" s="46">
        <f>IF(OR(B170="",C170="",D170=""),"",D170*100000+(C170-DATE(2000,1,1))+ROW()/100000)</f>
        <v/>
      </c>
      <c r="F170" s="46">
        <f>IF(E170="","",IF(C170&gt;WeekEndDate,"",E170))</f>
        <v/>
      </c>
    </row>
    <row r="171">
      <c r="A171" t="inlineStr">
        <is>
          <t>Selections &amp; Orders</t>
        </is>
      </c>
      <c r="B171" s="46">
        <f>'Selections &amp; Orders'!AC177</f>
        <v/>
      </c>
      <c r="C171" s="84">
        <f>'Selections &amp; Orders'!AA177</f>
        <v/>
      </c>
      <c r="D171" s="46">
        <f>'Selections &amp; Orders'!AB177</f>
        <v/>
      </c>
      <c r="E171" s="46">
        <f>IF(OR(B171="",C171="",D171=""),"",D171*100000+(C171-DATE(2000,1,1))+ROW()/100000)</f>
        <v/>
      </c>
      <c r="F171" s="46">
        <f>IF(E171="","",IF(C171&gt;WeekEndDate,"",E171))</f>
        <v/>
      </c>
    </row>
    <row r="172">
      <c r="A172" t="inlineStr">
        <is>
          <t>Selections &amp; Orders</t>
        </is>
      </c>
      <c r="B172" s="46">
        <f>'Selections &amp; Orders'!AC178</f>
        <v/>
      </c>
      <c r="C172" s="84">
        <f>'Selections &amp; Orders'!AA178</f>
        <v/>
      </c>
      <c r="D172" s="46">
        <f>'Selections &amp; Orders'!AB178</f>
        <v/>
      </c>
      <c r="E172" s="46">
        <f>IF(OR(B172="",C172="",D172=""),"",D172*100000+(C172-DATE(2000,1,1))+ROW()/100000)</f>
        <v/>
      </c>
      <c r="F172" s="46">
        <f>IF(E172="","",IF(C172&gt;WeekEndDate,"",E172))</f>
        <v/>
      </c>
    </row>
    <row r="173">
      <c r="A173" t="inlineStr">
        <is>
          <t>Selections &amp; Orders</t>
        </is>
      </c>
      <c r="B173" s="46">
        <f>'Selections &amp; Orders'!AC179</f>
        <v/>
      </c>
      <c r="C173" s="84">
        <f>'Selections &amp; Orders'!AA179</f>
        <v/>
      </c>
      <c r="D173" s="46">
        <f>'Selections &amp; Orders'!AB179</f>
        <v/>
      </c>
      <c r="E173" s="46">
        <f>IF(OR(B173="",C173="",D173=""),"",D173*100000+(C173-DATE(2000,1,1))+ROW()/100000)</f>
        <v/>
      </c>
      <c r="F173" s="46">
        <f>IF(E173="","",IF(C173&gt;WeekEndDate,"",E173))</f>
        <v/>
      </c>
    </row>
    <row r="174">
      <c r="A174" t="inlineStr">
        <is>
          <t>Selections &amp; Orders</t>
        </is>
      </c>
      <c r="B174" s="46">
        <f>'Selections &amp; Orders'!AC180</f>
        <v/>
      </c>
      <c r="C174" s="84">
        <f>'Selections &amp; Orders'!AA180</f>
        <v/>
      </c>
      <c r="D174" s="46">
        <f>'Selections &amp; Orders'!AB180</f>
        <v/>
      </c>
      <c r="E174" s="46">
        <f>IF(OR(B174="",C174="",D174=""),"",D174*100000+(C174-DATE(2000,1,1))+ROW()/100000)</f>
        <v/>
      </c>
      <c r="F174" s="46">
        <f>IF(E174="","",IF(C174&gt;WeekEndDate,"",E174))</f>
        <v/>
      </c>
    </row>
    <row r="175">
      <c r="A175" t="inlineStr">
        <is>
          <t>Selections &amp; Orders</t>
        </is>
      </c>
      <c r="B175" s="46">
        <f>'Selections &amp; Orders'!AC181</f>
        <v/>
      </c>
      <c r="C175" s="84">
        <f>'Selections &amp; Orders'!AA181</f>
        <v/>
      </c>
      <c r="D175" s="46">
        <f>'Selections &amp; Orders'!AB181</f>
        <v/>
      </c>
      <c r="E175" s="46">
        <f>IF(OR(B175="",C175="",D175=""),"",D175*100000+(C175-DATE(2000,1,1))+ROW()/100000)</f>
        <v/>
      </c>
      <c r="F175" s="46">
        <f>IF(E175="","",IF(C175&gt;WeekEndDate,"",E175))</f>
        <v/>
      </c>
    </row>
    <row r="176">
      <c r="A176" t="inlineStr">
        <is>
          <t>Selections &amp; Orders</t>
        </is>
      </c>
      <c r="B176" s="46">
        <f>'Selections &amp; Orders'!AC182</f>
        <v/>
      </c>
      <c r="C176" s="84">
        <f>'Selections &amp; Orders'!AA182</f>
        <v/>
      </c>
      <c r="D176" s="46">
        <f>'Selections &amp; Orders'!AB182</f>
        <v/>
      </c>
      <c r="E176" s="46">
        <f>IF(OR(B176="",C176="",D176=""),"",D176*100000+(C176-DATE(2000,1,1))+ROW()/100000)</f>
        <v/>
      </c>
      <c r="F176" s="46">
        <f>IF(E176="","",IF(C176&gt;WeekEndDate,"",E176))</f>
        <v/>
      </c>
    </row>
    <row r="177">
      <c r="A177" t="inlineStr">
        <is>
          <t>Selections &amp; Orders</t>
        </is>
      </c>
      <c r="B177" s="46">
        <f>'Selections &amp; Orders'!AC183</f>
        <v/>
      </c>
      <c r="C177" s="84">
        <f>'Selections &amp; Orders'!AA183</f>
        <v/>
      </c>
      <c r="D177" s="46">
        <f>'Selections &amp; Orders'!AB183</f>
        <v/>
      </c>
      <c r="E177" s="46">
        <f>IF(OR(B177="",C177="",D177=""),"",D177*100000+(C177-DATE(2000,1,1))+ROW()/100000)</f>
        <v/>
      </c>
      <c r="F177" s="46">
        <f>IF(E177="","",IF(C177&gt;WeekEndDate,"",E177))</f>
        <v/>
      </c>
    </row>
    <row r="178">
      <c r="A178" t="inlineStr">
        <is>
          <t>Selections &amp; Orders</t>
        </is>
      </c>
      <c r="B178" s="46">
        <f>'Selections &amp; Orders'!AC184</f>
        <v/>
      </c>
      <c r="C178" s="84">
        <f>'Selections &amp; Orders'!AA184</f>
        <v/>
      </c>
      <c r="D178" s="46">
        <f>'Selections &amp; Orders'!AB184</f>
        <v/>
      </c>
      <c r="E178" s="46">
        <f>IF(OR(B178="",C178="",D178=""),"",D178*100000+(C178-DATE(2000,1,1))+ROW()/100000)</f>
        <v/>
      </c>
      <c r="F178" s="46">
        <f>IF(E178="","",IF(C178&gt;WeekEndDate,"",E178))</f>
        <v/>
      </c>
    </row>
    <row r="179">
      <c r="A179" t="inlineStr">
        <is>
          <t>Selections &amp; Orders</t>
        </is>
      </c>
      <c r="B179" s="46">
        <f>'Selections &amp; Orders'!AC185</f>
        <v/>
      </c>
      <c r="C179" s="84">
        <f>'Selections &amp; Orders'!AA185</f>
        <v/>
      </c>
      <c r="D179" s="46">
        <f>'Selections &amp; Orders'!AB185</f>
        <v/>
      </c>
      <c r="E179" s="46">
        <f>IF(OR(B179="",C179="",D179=""),"",D179*100000+(C179-DATE(2000,1,1))+ROW()/100000)</f>
        <v/>
      </c>
      <c r="F179" s="46">
        <f>IF(E179="","",IF(C179&gt;WeekEndDate,"",E179))</f>
        <v/>
      </c>
    </row>
    <row r="180">
      <c r="A180" t="inlineStr">
        <is>
          <t>Selections &amp; Orders</t>
        </is>
      </c>
      <c r="B180" s="46">
        <f>'Selections &amp; Orders'!AC186</f>
        <v/>
      </c>
      <c r="C180" s="84">
        <f>'Selections &amp; Orders'!AA186</f>
        <v/>
      </c>
      <c r="D180" s="46">
        <f>'Selections &amp; Orders'!AB186</f>
        <v/>
      </c>
      <c r="E180" s="46">
        <f>IF(OR(B180="",C180="",D180=""),"",D180*100000+(C180-DATE(2000,1,1))+ROW()/100000)</f>
        <v/>
      </c>
      <c r="F180" s="46">
        <f>IF(E180="","",IF(C180&gt;WeekEndDate,"",E180))</f>
        <v/>
      </c>
    </row>
    <row r="181">
      <c r="A181" t="inlineStr">
        <is>
          <t>Selections &amp; Orders</t>
        </is>
      </c>
      <c r="B181" s="46">
        <f>'Selections &amp; Orders'!AC187</f>
        <v/>
      </c>
      <c r="C181" s="84">
        <f>'Selections &amp; Orders'!AA187</f>
        <v/>
      </c>
      <c r="D181" s="46">
        <f>'Selections &amp; Orders'!AB187</f>
        <v/>
      </c>
      <c r="E181" s="46">
        <f>IF(OR(B181="",C181="",D181=""),"",D181*100000+(C181-DATE(2000,1,1))+ROW()/100000)</f>
        <v/>
      </c>
      <c r="F181" s="46">
        <f>IF(E181="","",IF(C181&gt;WeekEndDate,"",E181))</f>
        <v/>
      </c>
    </row>
    <row r="182">
      <c r="A182" t="inlineStr">
        <is>
          <t>Selections &amp; Orders</t>
        </is>
      </c>
      <c r="B182" s="46">
        <f>'Selections &amp; Orders'!AC188</f>
        <v/>
      </c>
      <c r="C182" s="84">
        <f>'Selections &amp; Orders'!AA188</f>
        <v/>
      </c>
      <c r="D182" s="46">
        <f>'Selections &amp; Orders'!AB188</f>
        <v/>
      </c>
      <c r="E182" s="46">
        <f>IF(OR(B182="",C182="",D182=""),"",D182*100000+(C182-DATE(2000,1,1))+ROW()/100000)</f>
        <v/>
      </c>
      <c r="F182" s="46">
        <f>IF(E182="","",IF(C182&gt;WeekEndDate,"",E182))</f>
        <v/>
      </c>
    </row>
    <row r="183">
      <c r="A183" t="inlineStr">
        <is>
          <t>Selections &amp; Orders</t>
        </is>
      </c>
      <c r="B183" s="46">
        <f>'Selections &amp; Orders'!AC189</f>
        <v/>
      </c>
      <c r="C183" s="84">
        <f>'Selections &amp; Orders'!AA189</f>
        <v/>
      </c>
      <c r="D183" s="46">
        <f>'Selections &amp; Orders'!AB189</f>
        <v/>
      </c>
      <c r="E183" s="46">
        <f>IF(OR(B183="",C183="",D183=""),"",D183*100000+(C183-DATE(2000,1,1))+ROW()/100000)</f>
        <v/>
      </c>
      <c r="F183" s="46">
        <f>IF(E183="","",IF(C183&gt;WeekEndDate,"",E183))</f>
        <v/>
      </c>
    </row>
    <row r="184">
      <c r="A184" t="inlineStr">
        <is>
          <t>Selections &amp; Orders</t>
        </is>
      </c>
      <c r="B184" s="46">
        <f>'Selections &amp; Orders'!AC190</f>
        <v/>
      </c>
      <c r="C184" s="84">
        <f>'Selections &amp; Orders'!AA190</f>
        <v/>
      </c>
      <c r="D184" s="46">
        <f>'Selections &amp; Orders'!AB190</f>
        <v/>
      </c>
      <c r="E184" s="46">
        <f>IF(OR(B184="",C184="",D184=""),"",D184*100000+(C184-DATE(2000,1,1))+ROW()/100000)</f>
        <v/>
      </c>
      <c r="F184" s="46">
        <f>IF(E184="","",IF(C184&gt;WeekEndDate,"",E184))</f>
        <v/>
      </c>
    </row>
    <row r="185">
      <c r="A185" t="inlineStr">
        <is>
          <t>Selections &amp; Orders</t>
        </is>
      </c>
      <c r="B185" s="46">
        <f>'Selections &amp; Orders'!AC191</f>
        <v/>
      </c>
      <c r="C185" s="84">
        <f>'Selections &amp; Orders'!AA191</f>
        <v/>
      </c>
      <c r="D185" s="46">
        <f>'Selections &amp; Orders'!AB191</f>
        <v/>
      </c>
      <c r="E185" s="46">
        <f>IF(OR(B185="",C185="",D185=""),"",D185*100000+(C185-DATE(2000,1,1))+ROW()/100000)</f>
        <v/>
      </c>
      <c r="F185" s="46">
        <f>IF(E185="","",IF(C185&gt;WeekEndDate,"",E185))</f>
        <v/>
      </c>
    </row>
    <row r="186">
      <c r="A186" t="inlineStr">
        <is>
          <t>Selections &amp; Orders</t>
        </is>
      </c>
      <c r="B186" s="46">
        <f>'Selections &amp; Orders'!AC192</f>
        <v/>
      </c>
      <c r="C186" s="84">
        <f>'Selections &amp; Orders'!AA192</f>
        <v/>
      </c>
      <c r="D186" s="46">
        <f>'Selections &amp; Orders'!AB192</f>
        <v/>
      </c>
      <c r="E186" s="46">
        <f>IF(OR(B186="",C186="",D186=""),"",D186*100000+(C186-DATE(2000,1,1))+ROW()/100000)</f>
        <v/>
      </c>
      <c r="F186" s="46">
        <f>IF(E186="","",IF(C186&gt;WeekEndDate,"",E186))</f>
        <v/>
      </c>
    </row>
    <row r="187">
      <c r="A187" t="inlineStr">
        <is>
          <t>Selections &amp; Orders</t>
        </is>
      </c>
      <c r="B187" s="46">
        <f>'Selections &amp; Orders'!AC193</f>
        <v/>
      </c>
      <c r="C187" s="84">
        <f>'Selections &amp; Orders'!AA193</f>
        <v/>
      </c>
      <c r="D187" s="46">
        <f>'Selections &amp; Orders'!AB193</f>
        <v/>
      </c>
      <c r="E187" s="46">
        <f>IF(OR(B187="",C187="",D187=""),"",D187*100000+(C187-DATE(2000,1,1))+ROW()/100000)</f>
        <v/>
      </c>
      <c r="F187" s="46">
        <f>IF(E187="","",IF(C187&gt;WeekEndDate,"",E187))</f>
        <v/>
      </c>
    </row>
    <row r="188">
      <c r="A188" t="inlineStr">
        <is>
          <t>Selections &amp; Orders</t>
        </is>
      </c>
      <c r="B188" s="46">
        <f>'Selections &amp; Orders'!AC194</f>
        <v/>
      </c>
      <c r="C188" s="84">
        <f>'Selections &amp; Orders'!AA194</f>
        <v/>
      </c>
      <c r="D188" s="46">
        <f>'Selections &amp; Orders'!AB194</f>
        <v/>
      </c>
      <c r="E188" s="46">
        <f>IF(OR(B188="",C188="",D188=""),"",D188*100000+(C188-DATE(2000,1,1))+ROW()/100000)</f>
        <v/>
      </c>
      <c r="F188" s="46">
        <f>IF(E188="","",IF(C188&gt;WeekEndDate,"",E188))</f>
        <v/>
      </c>
    </row>
    <row r="189">
      <c r="A189" t="inlineStr">
        <is>
          <t>Selections &amp; Orders</t>
        </is>
      </c>
      <c r="B189" s="46">
        <f>'Selections &amp; Orders'!AC195</f>
        <v/>
      </c>
      <c r="C189" s="84">
        <f>'Selections &amp; Orders'!AA195</f>
        <v/>
      </c>
      <c r="D189" s="46">
        <f>'Selections &amp; Orders'!AB195</f>
        <v/>
      </c>
      <c r="E189" s="46">
        <f>IF(OR(B189="",C189="",D189=""),"",D189*100000+(C189-DATE(2000,1,1))+ROW()/100000)</f>
        <v/>
      </c>
      <c r="F189" s="46">
        <f>IF(E189="","",IF(C189&gt;WeekEndDate,"",E189))</f>
        <v/>
      </c>
    </row>
    <row r="190">
      <c r="A190" t="inlineStr">
        <is>
          <t>Selections &amp; Orders</t>
        </is>
      </c>
      <c r="B190" s="46">
        <f>'Selections &amp; Orders'!AC196</f>
        <v/>
      </c>
      <c r="C190" s="84">
        <f>'Selections &amp; Orders'!AA196</f>
        <v/>
      </c>
      <c r="D190" s="46">
        <f>'Selections &amp; Orders'!AB196</f>
        <v/>
      </c>
      <c r="E190" s="46">
        <f>IF(OR(B190="",C190="",D190=""),"",D190*100000+(C190-DATE(2000,1,1))+ROW()/100000)</f>
        <v/>
      </c>
      <c r="F190" s="46">
        <f>IF(E190="","",IF(C190&gt;WeekEndDate,"",E190))</f>
        <v/>
      </c>
    </row>
    <row r="191">
      <c r="A191" t="inlineStr">
        <is>
          <t>Selections &amp; Orders</t>
        </is>
      </c>
      <c r="B191" s="46">
        <f>'Selections &amp; Orders'!AC197</f>
        <v/>
      </c>
      <c r="C191" s="84">
        <f>'Selections &amp; Orders'!AA197</f>
        <v/>
      </c>
      <c r="D191" s="46">
        <f>'Selections &amp; Orders'!AB197</f>
        <v/>
      </c>
      <c r="E191" s="46">
        <f>IF(OR(B191="",C191="",D191=""),"",D191*100000+(C191-DATE(2000,1,1))+ROW()/100000)</f>
        <v/>
      </c>
      <c r="F191" s="46">
        <f>IF(E191="","",IF(C191&gt;WeekEndDate,"",E191))</f>
        <v/>
      </c>
    </row>
    <row r="192">
      <c r="A192" t="inlineStr">
        <is>
          <t>Selections &amp; Orders</t>
        </is>
      </c>
      <c r="B192" s="46">
        <f>'Selections &amp; Orders'!AC198</f>
        <v/>
      </c>
      <c r="C192" s="84">
        <f>'Selections &amp; Orders'!AA198</f>
        <v/>
      </c>
      <c r="D192" s="46">
        <f>'Selections &amp; Orders'!AB198</f>
        <v/>
      </c>
      <c r="E192" s="46">
        <f>IF(OR(B192="",C192="",D192=""),"",D192*100000+(C192-DATE(2000,1,1))+ROW()/100000)</f>
        <v/>
      </c>
      <c r="F192" s="46">
        <f>IF(E192="","",IF(C192&gt;WeekEndDate,"",E192))</f>
        <v/>
      </c>
    </row>
    <row r="193">
      <c r="A193" t="inlineStr">
        <is>
          <t>Selections &amp; Orders</t>
        </is>
      </c>
      <c r="B193" s="46">
        <f>'Selections &amp; Orders'!AC199</f>
        <v/>
      </c>
      <c r="C193" s="84">
        <f>'Selections &amp; Orders'!AA199</f>
        <v/>
      </c>
      <c r="D193" s="46">
        <f>'Selections &amp; Orders'!AB199</f>
        <v/>
      </c>
      <c r="E193" s="46">
        <f>IF(OR(B193="",C193="",D193=""),"",D193*100000+(C193-DATE(2000,1,1))+ROW()/100000)</f>
        <v/>
      </c>
      <c r="F193" s="46">
        <f>IF(E193="","",IF(C193&gt;WeekEndDate,"",E193))</f>
        <v/>
      </c>
    </row>
    <row r="194">
      <c r="A194" t="inlineStr">
        <is>
          <t>Selections &amp; Orders</t>
        </is>
      </c>
      <c r="B194" s="46">
        <f>'Selections &amp; Orders'!AC200</f>
        <v/>
      </c>
      <c r="C194" s="84">
        <f>'Selections &amp; Orders'!AA200</f>
        <v/>
      </c>
      <c r="D194" s="46">
        <f>'Selections &amp; Orders'!AB200</f>
        <v/>
      </c>
      <c r="E194" s="46">
        <f>IF(OR(B194="",C194="",D194=""),"",D194*100000+(C194-DATE(2000,1,1))+ROW()/100000)</f>
        <v/>
      </c>
      <c r="F194" s="46">
        <f>IF(E194="","",IF(C194&gt;WeekEndDate,"",E194))</f>
        <v/>
      </c>
    </row>
    <row r="195">
      <c r="A195" t="inlineStr">
        <is>
          <t>Selections &amp; Orders</t>
        </is>
      </c>
      <c r="B195" s="46">
        <f>'Selections &amp; Orders'!AC201</f>
        <v/>
      </c>
      <c r="C195" s="84">
        <f>'Selections &amp; Orders'!AA201</f>
        <v/>
      </c>
      <c r="D195" s="46">
        <f>'Selections &amp; Orders'!AB201</f>
        <v/>
      </c>
      <c r="E195" s="46">
        <f>IF(OR(B195="",C195="",D195=""),"",D195*100000+(C195-DATE(2000,1,1))+ROW()/100000)</f>
        <v/>
      </c>
      <c r="F195" s="46">
        <f>IF(E195="","",IF(C195&gt;WeekEndDate,"",E195))</f>
        <v/>
      </c>
    </row>
    <row r="196">
      <c r="A196" t="inlineStr">
        <is>
          <t>Selections &amp; Orders</t>
        </is>
      </c>
      <c r="B196" s="46">
        <f>'Selections &amp; Orders'!AC202</f>
        <v/>
      </c>
      <c r="C196" s="84">
        <f>'Selections &amp; Orders'!AA202</f>
        <v/>
      </c>
      <c r="D196" s="46">
        <f>'Selections &amp; Orders'!AB202</f>
        <v/>
      </c>
      <c r="E196" s="46">
        <f>IF(OR(B196="",C196="",D196=""),"",D196*100000+(C196-DATE(2000,1,1))+ROW()/100000)</f>
        <v/>
      </c>
      <c r="F196" s="46">
        <f>IF(E196="","",IF(C196&gt;WeekEndDate,"",E196))</f>
        <v/>
      </c>
    </row>
    <row r="197">
      <c r="A197" t="inlineStr">
        <is>
          <t>Selections &amp; Orders</t>
        </is>
      </c>
      <c r="B197" s="46">
        <f>'Selections &amp; Orders'!AC203</f>
        <v/>
      </c>
      <c r="C197" s="84">
        <f>'Selections &amp; Orders'!AA203</f>
        <v/>
      </c>
      <c r="D197" s="46">
        <f>'Selections &amp; Orders'!AB203</f>
        <v/>
      </c>
      <c r="E197" s="46">
        <f>IF(OR(B197="",C197="",D197=""),"",D197*100000+(C197-DATE(2000,1,1))+ROW()/100000)</f>
        <v/>
      </c>
      <c r="F197" s="46">
        <f>IF(E197="","",IF(C197&gt;WeekEndDate,"",E197))</f>
        <v/>
      </c>
    </row>
    <row r="198">
      <c r="A198" t="inlineStr">
        <is>
          <t>Selections &amp; Orders</t>
        </is>
      </c>
      <c r="B198" s="46">
        <f>'Selections &amp; Orders'!AC204</f>
        <v/>
      </c>
      <c r="C198" s="84">
        <f>'Selections &amp; Orders'!AA204</f>
        <v/>
      </c>
      <c r="D198" s="46">
        <f>'Selections &amp; Orders'!AB204</f>
        <v/>
      </c>
      <c r="E198" s="46">
        <f>IF(OR(B198="",C198="",D198=""),"",D198*100000+(C198-DATE(2000,1,1))+ROW()/100000)</f>
        <v/>
      </c>
      <c r="F198" s="46">
        <f>IF(E198="","",IF(C198&gt;WeekEndDate,"",E198))</f>
        <v/>
      </c>
    </row>
    <row r="199">
      <c r="A199" t="inlineStr">
        <is>
          <t>Selections &amp; Orders</t>
        </is>
      </c>
      <c r="B199" s="46">
        <f>'Selections &amp; Orders'!AC205</f>
        <v/>
      </c>
      <c r="C199" s="84">
        <f>'Selections &amp; Orders'!AA205</f>
        <v/>
      </c>
      <c r="D199" s="46">
        <f>'Selections &amp; Orders'!AB205</f>
        <v/>
      </c>
      <c r="E199" s="46">
        <f>IF(OR(B199="",C199="",D199=""),"",D199*100000+(C199-DATE(2000,1,1))+ROW()/100000)</f>
        <v/>
      </c>
      <c r="F199" s="46">
        <f>IF(E199="","",IF(C199&gt;WeekEndDate,"",E199))</f>
        <v/>
      </c>
    </row>
    <row r="200">
      <c r="A200" t="inlineStr">
        <is>
          <t>Selections &amp; Orders</t>
        </is>
      </c>
      <c r="B200" s="46">
        <f>'Selections &amp; Orders'!AC206</f>
        <v/>
      </c>
      <c r="C200" s="84">
        <f>'Selections &amp; Orders'!AA206</f>
        <v/>
      </c>
      <c r="D200" s="46">
        <f>'Selections &amp; Orders'!AB206</f>
        <v/>
      </c>
      <c r="E200" s="46">
        <f>IF(OR(B200="",C200="",D200=""),"",D200*100000+(C200-DATE(2000,1,1))+ROW()/100000)</f>
        <v/>
      </c>
      <c r="F200" s="46">
        <f>IF(E200="","",IF(C200&gt;WeekEndDate,"",E200))</f>
        <v/>
      </c>
    </row>
    <row r="201">
      <c r="A201" t="inlineStr">
        <is>
          <t>Selections &amp; Orders</t>
        </is>
      </c>
      <c r="B201" s="46">
        <f>'Selections &amp; Orders'!AC207</f>
        <v/>
      </c>
      <c r="C201" s="84">
        <f>'Selections &amp; Orders'!AA207</f>
        <v/>
      </c>
      <c r="D201" s="46">
        <f>'Selections &amp; Orders'!AB207</f>
        <v/>
      </c>
      <c r="E201" s="46">
        <f>IF(OR(B201="",C201="",D201=""),"",D201*100000+(C201-DATE(2000,1,1))+ROW()/100000)</f>
        <v/>
      </c>
      <c r="F201" s="46">
        <f>IF(E201="","",IF(C201&gt;WeekEndDate,"",E201))</f>
        <v/>
      </c>
    </row>
    <row r="202">
      <c r="A202" t="inlineStr">
        <is>
          <t>Selections &amp; Orders</t>
        </is>
      </c>
      <c r="B202" s="46">
        <f>'Selections &amp; Orders'!AC208</f>
        <v/>
      </c>
      <c r="C202" s="84">
        <f>'Selections &amp; Orders'!AA208</f>
        <v/>
      </c>
      <c r="D202" s="46">
        <f>'Selections &amp; Orders'!AB208</f>
        <v/>
      </c>
      <c r="E202" s="46">
        <f>IF(OR(B202="",C202="",D202=""),"",D202*100000+(C202-DATE(2000,1,1))+ROW()/100000)</f>
        <v/>
      </c>
      <c r="F202" s="46">
        <f>IF(E202="","",IF(C202&gt;WeekEndDate,"",E202))</f>
        <v/>
      </c>
    </row>
    <row r="203">
      <c r="A203" t="inlineStr">
        <is>
          <t>Selections &amp; Orders</t>
        </is>
      </c>
      <c r="B203" s="46">
        <f>'Selections &amp; Orders'!AC209</f>
        <v/>
      </c>
      <c r="C203" s="84">
        <f>'Selections &amp; Orders'!AA209</f>
        <v/>
      </c>
      <c r="D203" s="46">
        <f>'Selections &amp; Orders'!AB209</f>
        <v/>
      </c>
      <c r="E203" s="46">
        <f>IF(OR(B203="",C203="",D203=""),"",D203*100000+(C203-DATE(2000,1,1))+ROW()/100000)</f>
        <v/>
      </c>
      <c r="F203" s="46">
        <f>IF(E203="","",IF(C203&gt;WeekEndDate,"",E203))</f>
        <v/>
      </c>
    </row>
    <row r="204">
      <c r="A204" t="inlineStr">
        <is>
          <t>Selections &amp; Orders</t>
        </is>
      </c>
      <c r="B204" s="46">
        <f>'Selections &amp; Orders'!AC210</f>
        <v/>
      </c>
      <c r="C204" s="84">
        <f>'Selections &amp; Orders'!AA210</f>
        <v/>
      </c>
      <c r="D204" s="46">
        <f>'Selections &amp; Orders'!AB210</f>
        <v/>
      </c>
      <c r="E204" s="46">
        <f>IF(OR(B204="",C204="",D204=""),"",D204*100000+(C204-DATE(2000,1,1))+ROW()/100000)</f>
        <v/>
      </c>
      <c r="F204" s="46">
        <f>IF(E204="","",IF(C204&gt;WeekEndDate,"",E204))</f>
        <v/>
      </c>
    </row>
    <row r="205">
      <c r="A205" t="inlineStr">
        <is>
          <t>Selections &amp; Orders</t>
        </is>
      </c>
      <c r="B205" s="46">
        <f>'Selections &amp; Orders'!AC211</f>
        <v/>
      </c>
      <c r="C205" s="84">
        <f>'Selections &amp; Orders'!AA211</f>
        <v/>
      </c>
      <c r="D205" s="46">
        <f>'Selections &amp; Orders'!AB211</f>
        <v/>
      </c>
      <c r="E205" s="46">
        <f>IF(OR(B205="",C205="",D205=""),"",D205*100000+(C205-DATE(2000,1,1))+ROW()/100000)</f>
        <v/>
      </c>
      <c r="F205" s="46">
        <f>IF(E205="","",IF(C205&gt;WeekEndDate,"",E205))</f>
        <v/>
      </c>
    </row>
    <row r="206">
      <c r="A206" t="inlineStr">
        <is>
          <t>Selections &amp; Orders</t>
        </is>
      </c>
      <c r="B206" s="46">
        <f>'Selections &amp; Orders'!AC212</f>
        <v/>
      </c>
      <c r="C206" s="84">
        <f>'Selections &amp; Orders'!AA212</f>
        <v/>
      </c>
      <c r="D206" s="46">
        <f>'Selections &amp; Orders'!AB212</f>
        <v/>
      </c>
      <c r="E206" s="46">
        <f>IF(OR(B206="",C206="",D206=""),"",D206*100000+(C206-DATE(2000,1,1))+ROW()/100000)</f>
        <v/>
      </c>
      <c r="F206" s="46">
        <f>IF(E206="","",IF(C206&gt;WeekEndDate,"",E206))</f>
        <v/>
      </c>
    </row>
    <row r="207">
      <c r="A207" t="inlineStr">
        <is>
          <t>Selections &amp; Orders</t>
        </is>
      </c>
      <c r="B207" s="46">
        <f>'Selections &amp; Orders'!AC213</f>
        <v/>
      </c>
      <c r="C207" s="84">
        <f>'Selections &amp; Orders'!AA213</f>
        <v/>
      </c>
      <c r="D207" s="46">
        <f>'Selections &amp; Orders'!AB213</f>
        <v/>
      </c>
      <c r="E207" s="46">
        <f>IF(OR(B207="",C207="",D207=""),"",D207*100000+(C207-DATE(2000,1,1))+ROW()/100000)</f>
        <v/>
      </c>
      <c r="F207" s="46">
        <f>IF(E207="","",IF(C207&gt;WeekEndDate,"",E207))</f>
        <v/>
      </c>
    </row>
    <row r="208">
      <c r="A208" t="inlineStr">
        <is>
          <t>Selections &amp; Orders</t>
        </is>
      </c>
      <c r="B208" s="46">
        <f>'Selections &amp; Orders'!AC214</f>
        <v/>
      </c>
      <c r="C208" s="84">
        <f>'Selections &amp; Orders'!AA214</f>
        <v/>
      </c>
      <c r="D208" s="46">
        <f>'Selections &amp; Orders'!AB214</f>
        <v/>
      </c>
      <c r="E208" s="46">
        <f>IF(OR(B208="",C208="",D208=""),"",D208*100000+(C208-DATE(2000,1,1))+ROW()/100000)</f>
        <v/>
      </c>
      <c r="F208" s="46">
        <f>IF(E208="","",IF(C208&gt;WeekEndDate,"",E208))</f>
        <v/>
      </c>
    </row>
    <row r="209">
      <c r="A209" t="inlineStr">
        <is>
          <t>Selections &amp; Orders</t>
        </is>
      </c>
      <c r="B209" s="46">
        <f>'Selections &amp; Orders'!AC215</f>
        <v/>
      </c>
      <c r="C209" s="84">
        <f>'Selections &amp; Orders'!AA215</f>
        <v/>
      </c>
      <c r="D209" s="46">
        <f>'Selections &amp; Orders'!AB215</f>
        <v/>
      </c>
      <c r="E209" s="46">
        <f>IF(OR(B209="",C209="",D209=""),"",D209*100000+(C209-DATE(2000,1,1))+ROW()/100000)</f>
        <v/>
      </c>
      <c r="F209" s="46">
        <f>IF(E209="","",IF(C209&gt;WeekEndDate,"",E209))</f>
        <v/>
      </c>
    </row>
    <row r="210">
      <c r="A210" t="inlineStr">
        <is>
          <t>Selections &amp; Orders</t>
        </is>
      </c>
      <c r="B210" s="46">
        <f>'Selections &amp; Orders'!AC216</f>
        <v/>
      </c>
      <c r="C210" s="84">
        <f>'Selections &amp; Orders'!AA216</f>
        <v/>
      </c>
      <c r="D210" s="46">
        <f>'Selections &amp; Orders'!AB216</f>
        <v/>
      </c>
      <c r="E210" s="46">
        <f>IF(OR(B210="",C210="",D210=""),"",D210*100000+(C210-DATE(2000,1,1))+ROW()/100000)</f>
        <v/>
      </c>
      <c r="F210" s="46">
        <f>IF(E210="","",IF(C210&gt;WeekEndDate,"",E210))</f>
        <v/>
      </c>
    </row>
    <row r="211">
      <c r="A211" t="inlineStr">
        <is>
          <t>Selections &amp; Orders</t>
        </is>
      </c>
      <c r="B211" s="46">
        <f>'Selections &amp; Orders'!AC217</f>
        <v/>
      </c>
      <c r="C211" s="84">
        <f>'Selections &amp; Orders'!AA217</f>
        <v/>
      </c>
      <c r="D211" s="46">
        <f>'Selections &amp; Orders'!AB217</f>
        <v/>
      </c>
      <c r="E211" s="46">
        <f>IF(OR(B211="",C211="",D211=""),"",D211*100000+(C211-DATE(2000,1,1))+ROW()/100000)</f>
        <v/>
      </c>
      <c r="F211" s="46">
        <f>IF(E211="","",IF(C211&gt;WeekEndDate,"",E211))</f>
        <v/>
      </c>
    </row>
    <row r="212">
      <c r="A212" t="inlineStr">
        <is>
          <t>Selections &amp; Orders</t>
        </is>
      </c>
      <c r="B212" s="46">
        <f>'Selections &amp; Orders'!AC218</f>
        <v/>
      </c>
      <c r="C212" s="84">
        <f>'Selections &amp; Orders'!AA218</f>
        <v/>
      </c>
      <c r="D212" s="46">
        <f>'Selections &amp; Orders'!AB218</f>
        <v/>
      </c>
      <c r="E212" s="46">
        <f>IF(OR(B212="",C212="",D212=""),"",D212*100000+(C212-DATE(2000,1,1))+ROW()/100000)</f>
        <v/>
      </c>
      <c r="F212" s="46">
        <f>IF(E212="","",IF(C212&gt;WeekEndDate,"",E212))</f>
        <v/>
      </c>
    </row>
    <row r="213">
      <c r="A213" t="inlineStr">
        <is>
          <t>Selections &amp; Orders</t>
        </is>
      </c>
      <c r="B213" s="46">
        <f>'Selections &amp; Orders'!AC219</f>
        <v/>
      </c>
      <c r="C213" s="84">
        <f>'Selections &amp; Orders'!AA219</f>
        <v/>
      </c>
      <c r="D213" s="46">
        <f>'Selections &amp; Orders'!AB219</f>
        <v/>
      </c>
      <c r="E213" s="46">
        <f>IF(OR(B213="",C213="",D213=""),"",D213*100000+(C213-DATE(2000,1,1))+ROW()/100000)</f>
        <v/>
      </c>
      <c r="F213" s="46">
        <f>IF(E213="","",IF(C213&gt;WeekEndDate,"",E213))</f>
        <v/>
      </c>
    </row>
    <row r="214">
      <c r="A214" t="inlineStr">
        <is>
          <t>Selections &amp; Orders</t>
        </is>
      </c>
      <c r="B214" s="46">
        <f>'Selections &amp; Orders'!AC220</f>
        <v/>
      </c>
      <c r="C214" s="84">
        <f>'Selections &amp; Orders'!AA220</f>
        <v/>
      </c>
      <c r="D214" s="46">
        <f>'Selections &amp; Orders'!AB220</f>
        <v/>
      </c>
      <c r="E214" s="46">
        <f>IF(OR(B214="",C214="",D214=""),"",D214*100000+(C214-DATE(2000,1,1))+ROW()/100000)</f>
        <v/>
      </c>
      <c r="F214" s="46">
        <f>IF(E214="","",IF(C214&gt;WeekEndDate,"",E214))</f>
        <v/>
      </c>
    </row>
    <row r="215">
      <c r="A215" t="inlineStr">
        <is>
          <t>Selections &amp; Orders</t>
        </is>
      </c>
      <c r="B215" s="46">
        <f>'Selections &amp; Orders'!AC221</f>
        <v/>
      </c>
      <c r="C215" s="84">
        <f>'Selections &amp; Orders'!AA221</f>
        <v/>
      </c>
      <c r="D215" s="46">
        <f>'Selections &amp; Orders'!AB221</f>
        <v/>
      </c>
      <c r="E215" s="46">
        <f>IF(OR(B215="",C215="",D215=""),"",D215*100000+(C215-DATE(2000,1,1))+ROW()/100000)</f>
        <v/>
      </c>
      <c r="F215" s="46">
        <f>IF(E215="","",IF(C215&gt;WeekEndDate,"",E215))</f>
        <v/>
      </c>
    </row>
    <row r="216">
      <c r="A216" t="inlineStr">
        <is>
          <t>Selections &amp; Orders</t>
        </is>
      </c>
      <c r="B216" s="46">
        <f>'Selections &amp; Orders'!AC222</f>
        <v/>
      </c>
      <c r="C216" s="84">
        <f>'Selections &amp; Orders'!AA222</f>
        <v/>
      </c>
      <c r="D216" s="46">
        <f>'Selections &amp; Orders'!AB222</f>
        <v/>
      </c>
      <c r="E216" s="46">
        <f>IF(OR(B216="",C216="",D216=""),"",D216*100000+(C216-DATE(2000,1,1))+ROW()/100000)</f>
        <v/>
      </c>
      <c r="F216" s="46">
        <f>IF(E216="","",IF(C216&gt;WeekEndDate,"",E216))</f>
        <v/>
      </c>
    </row>
    <row r="217">
      <c r="A217" t="inlineStr">
        <is>
          <t>Selections &amp; Orders</t>
        </is>
      </c>
      <c r="B217" s="46">
        <f>'Selections &amp; Orders'!AC223</f>
        <v/>
      </c>
      <c r="C217" s="84">
        <f>'Selections &amp; Orders'!AA223</f>
        <v/>
      </c>
      <c r="D217" s="46">
        <f>'Selections &amp; Orders'!AB223</f>
        <v/>
      </c>
      <c r="E217" s="46">
        <f>IF(OR(B217="",C217="",D217=""),"",D217*100000+(C217-DATE(2000,1,1))+ROW()/100000)</f>
        <v/>
      </c>
      <c r="F217" s="46">
        <f>IF(E217="","",IF(C217&gt;WeekEndDate,"",E217))</f>
        <v/>
      </c>
    </row>
    <row r="218">
      <c r="A218" t="inlineStr">
        <is>
          <t>Selections &amp; Orders</t>
        </is>
      </c>
      <c r="B218" s="46">
        <f>'Selections &amp; Orders'!AC224</f>
        <v/>
      </c>
      <c r="C218" s="84">
        <f>'Selections &amp; Orders'!AA224</f>
        <v/>
      </c>
      <c r="D218" s="46">
        <f>'Selections &amp; Orders'!AB224</f>
        <v/>
      </c>
      <c r="E218" s="46">
        <f>IF(OR(B218="",C218="",D218=""),"",D218*100000+(C218-DATE(2000,1,1))+ROW()/100000)</f>
        <v/>
      </c>
      <c r="F218" s="46">
        <f>IF(E218="","",IF(C218&gt;WeekEndDate,"",E218))</f>
        <v/>
      </c>
    </row>
    <row r="219">
      <c r="A219" t="inlineStr">
        <is>
          <t>Selections &amp; Orders</t>
        </is>
      </c>
      <c r="B219" s="46">
        <f>'Selections &amp; Orders'!AC225</f>
        <v/>
      </c>
      <c r="C219" s="84">
        <f>'Selections &amp; Orders'!AA225</f>
        <v/>
      </c>
      <c r="D219" s="46">
        <f>'Selections &amp; Orders'!AB225</f>
        <v/>
      </c>
      <c r="E219" s="46">
        <f>IF(OR(B219="",C219="",D219=""),"",D219*100000+(C219-DATE(2000,1,1))+ROW()/100000)</f>
        <v/>
      </c>
      <c r="F219" s="46">
        <f>IF(E219="","",IF(C219&gt;WeekEndDate,"",E219))</f>
        <v/>
      </c>
    </row>
    <row r="220">
      <c r="A220" t="inlineStr">
        <is>
          <t>Selections &amp; Orders</t>
        </is>
      </c>
      <c r="B220" s="46">
        <f>'Selections &amp; Orders'!AC226</f>
        <v/>
      </c>
      <c r="C220" s="84">
        <f>'Selections &amp; Orders'!AA226</f>
        <v/>
      </c>
      <c r="D220" s="46">
        <f>'Selections &amp; Orders'!AB226</f>
        <v/>
      </c>
      <c r="E220" s="46">
        <f>IF(OR(B220="",C220="",D220=""),"",D220*100000+(C220-DATE(2000,1,1))+ROW()/100000)</f>
        <v/>
      </c>
      <c r="F220" s="46">
        <f>IF(E220="","",IF(C220&gt;WeekEndDate,"",E220))</f>
        <v/>
      </c>
    </row>
    <row r="221">
      <c r="A221" t="inlineStr">
        <is>
          <t>Selections &amp; Orders</t>
        </is>
      </c>
      <c r="B221" s="46">
        <f>'Selections &amp; Orders'!AC227</f>
        <v/>
      </c>
      <c r="C221" s="84">
        <f>'Selections &amp; Orders'!AA227</f>
        <v/>
      </c>
      <c r="D221" s="46">
        <f>'Selections &amp; Orders'!AB227</f>
        <v/>
      </c>
      <c r="E221" s="46">
        <f>IF(OR(B221="",C221="",D221=""),"",D221*100000+(C221-DATE(2000,1,1))+ROW()/100000)</f>
        <v/>
      </c>
      <c r="F221" s="46">
        <f>IF(E221="","",IF(C221&gt;WeekEndDate,"",E221))</f>
        <v/>
      </c>
    </row>
    <row r="222">
      <c r="A222" t="inlineStr">
        <is>
          <t>Selections &amp; Orders</t>
        </is>
      </c>
      <c r="B222" s="46">
        <f>'Selections &amp; Orders'!AC228</f>
        <v/>
      </c>
      <c r="C222" s="84">
        <f>'Selections &amp; Orders'!AA228</f>
        <v/>
      </c>
      <c r="D222" s="46">
        <f>'Selections &amp; Orders'!AB228</f>
        <v/>
      </c>
      <c r="E222" s="46">
        <f>IF(OR(B222="",C222="",D222=""),"",D222*100000+(C222-DATE(2000,1,1))+ROW()/100000)</f>
        <v/>
      </c>
      <c r="F222" s="46">
        <f>IF(E222="","",IF(C222&gt;WeekEndDate,"",E222))</f>
        <v/>
      </c>
    </row>
    <row r="223">
      <c r="A223" t="inlineStr">
        <is>
          <t>Selections &amp; Orders</t>
        </is>
      </c>
      <c r="B223" s="46">
        <f>'Selections &amp; Orders'!AC229</f>
        <v/>
      </c>
      <c r="C223" s="84">
        <f>'Selections &amp; Orders'!AA229</f>
        <v/>
      </c>
      <c r="D223" s="46">
        <f>'Selections &amp; Orders'!AB229</f>
        <v/>
      </c>
      <c r="E223" s="46">
        <f>IF(OR(B223="",C223="",D223=""),"",D223*100000+(C223-DATE(2000,1,1))+ROW()/100000)</f>
        <v/>
      </c>
      <c r="F223" s="46">
        <f>IF(E223="","",IF(C223&gt;WeekEndDate,"",E223))</f>
        <v/>
      </c>
    </row>
    <row r="224">
      <c r="A224" t="inlineStr">
        <is>
          <t>Selections &amp; Orders</t>
        </is>
      </c>
      <c r="B224" s="46">
        <f>'Selections &amp; Orders'!AC230</f>
        <v/>
      </c>
      <c r="C224" s="84">
        <f>'Selections &amp; Orders'!AA230</f>
        <v/>
      </c>
      <c r="D224" s="46">
        <f>'Selections &amp; Orders'!AB230</f>
        <v/>
      </c>
      <c r="E224" s="46">
        <f>IF(OR(B224="",C224="",D224=""),"",D224*100000+(C224-DATE(2000,1,1))+ROW()/100000)</f>
        <v/>
      </c>
      <c r="F224" s="46">
        <f>IF(E224="","",IF(C224&gt;WeekEndDate,"",E224))</f>
        <v/>
      </c>
    </row>
    <row r="225">
      <c r="A225" t="inlineStr">
        <is>
          <t>Selections &amp; Orders</t>
        </is>
      </c>
      <c r="B225" s="46">
        <f>'Selections &amp; Orders'!AC231</f>
        <v/>
      </c>
      <c r="C225" s="84">
        <f>'Selections &amp; Orders'!AA231</f>
        <v/>
      </c>
      <c r="D225" s="46">
        <f>'Selections &amp; Orders'!AB231</f>
        <v/>
      </c>
      <c r="E225" s="46">
        <f>IF(OR(B225="",C225="",D225=""),"",D225*100000+(C225-DATE(2000,1,1))+ROW()/100000)</f>
        <v/>
      </c>
      <c r="F225" s="46">
        <f>IF(E225="","",IF(C225&gt;WeekEndDate,"",E225))</f>
        <v/>
      </c>
    </row>
    <row r="226">
      <c r="A226" t="inlineStr">
        <is>
          <t>Selections &amp; Orders</t>
        </is>
      </c>
      <c r="B226" s="46">
        <f>'Selections &amp; Orders'!AC232</f>
        <v/>
      </c>
      <c r="C226" s="84">
        <f>'Selections &amp; Orders'!AA232</f>
        <v/>
      </c>
      <c r="D226" s="46">
        <f>'Selections &amp; Orders'!AB232</f>
        <v/>
      </c>
      <c r="E226" s="46">
        <f>IF(OR(B226="",C226="",D226=""),"",D226*100000+(C226-DATE(2000,1,1))+ROW()/100000)</f>
        <v/>
      </c>
      <c r="F226" s="46">
        <f>IF(E226="","",IF(C226&gt;WeekEndDate,"",E226))</f>
        <v/>
      </c>
    </row>
    <row r="227">
      <c r="A227" t="inlineStr">
        <is>
          <t>Selections &amp; Orders</t>
        </is>
      </c>
      <c r="B227" s="46">
        <f>'Selections &amp; Orders'!AC233</f>
        <v/>
      </c>
      <c r="C227" s="84">
        <f>'Selections &amp; Orders'!AA233</f>
        <v/>
      </c>
      <c r="D227" s="46">
        <f>'Selections &amp; Orders'!AB233</f>
        <v/>
      </c>
      <c r="E227" s="46">
        <f>IF(OR(B227="",C227="",D227=""),"",D227*100000+(C227-DATE(2000,1,1))+ROW()/100000)</f>
        <v/>
      </c>
      <c r="F227" s="46">
        <f>IF(E227="","",IF(C227&gt;WeekEndDate,"",E227))</f>
        <v/>
      </c>
    </row>
    <row r="228">
      <c r="A228" t="inlineStr">
        <is>
          <t>Selections &amp; Orders</t>
        </is>
      </c>
      <c r="B228" s="46">
        <f>'Selections &amp; Orders'!AC234</f>
        <v/>
      </c>
      <c r="C228" s="84">
        <f>'Selections &amp; Orders'!AA234</f>
        <v/>
      </c>
      <c r="D228" s="46">
        <f>'Selections &amp; Orders'!AB234</f>
        <v/>
      </c>
      <c r="E228" s="46">
        <f>IF(OR(B228="",C228="",D228=""),"",D228*100000+(C228-DATE(2000,1,1))+ROW()/100000)</f>
        <v/>
      </c>
      <c r="F228" s="46">
        <f>IF(E228="","",IF(C228&gt;WeekEndDate,"",E228))</f>
        <v/>
      </c>
    </row>
    <row r="229">
      <c r="A229" t="inlineStr">
        <is>
          <t>Selections &amp; Orders</t>
        </is>
      </c>
      <c r="B229" s="46">
        <f>'Selections &amp; Orders'!AC235</f>
        <v/>
      </c>
      <c r="C229" s="84">
        <f>'Selections &amp; Orders'!AA235</f>
        <v/>
      </c>
      <c r="D229" s="46">
        <f>'Selections &amp; Orders'!AB235</f>
        <v/>
      </c>
      <c r="E229" s="46">
        <f>IF(OR(B229="",C229="",D229=""),"",D229*100000+(C229-DATE(2000,1,1))+ROW()/100000)</f>
        <v/>
      </c>
      <c r="F229" s="46">
        <f>IF(E229="","",IF(C229&gt;WeekEndDate,"",E229))</f>
        <v/>
      </c>
    </row>
    <row r="230">
      <c r="A230" t="inlineStr">
        <is>
          <t>Selections &amp; Orders</t>
        </is>
      </c>
      <c r="B230" s="46">
        <f>'Selections &amp; Orders'!AC236</f>
        <v/>
      </c>
      <c r="C230" s="84">
        <f>'Selections &amp; Orders'!AA236</f>
        <v/>
      </c>
      <c r="D230" s="46">
        <f>'Selections &amp; Orders'!AB236</f>
        <v/>
      </c>
      <c r="E230" s="46">
        <f>IF(OR(B230="",C230="",D230=""),"",D230*100000+(C230-DATE(2000,1,1))+ROW()/100000)</f>
        <v/>
      </c>
      <c r="F230" s="46">
        <f>IF(E230="","",IF(C230&gt;WeekEndDate,"",E230))</f>
        <v/>
      </c>
    </row>
    <row r="231">
      <c r="A231" t="inlineStr">
        <is>
          <t>Selections &amp; Orders</t>
        </is>
      </c>
      <c r="B231" s="46">
        <f>'Selections &amp; Orders'!AC237</f>
        <v/>
      </c>
      <c r="C231" s="84">
        <f>'Selections &amp; Orders'!AA237</f>
        <v/>
      </c>
      <c r="D231" s="46">
        <f>'Selections &amp; Orders'!AB237</f>
        <v/>
      </c>
      <c r="E231" s="46">
        <f>IF(OR(B231="",C231="",D231=""),"",D231*100000+(C231-DATE(2000,1,1))+ROW()/100000)</f>
        <v/>
      </c>
      <c r="F231" s="46">
        <f>IF(E231="","",IF(C231&gt;WeekEndDate,"",E231))</f>
        <v/>
      </c>
    </row>
    <row r="232">
      <c r="A232" t="inlineStr">
        <is>
          <t>Selections &amp; Orders</t>
        </is>
      </c>
      <c r="B232" s="46">
        <f>'Selections &amp; Orders'!AC238</f>
        <v/>
      </c>
      <c r="C232" s="84">
        <f>'Selections &amp; Orders'!AA238</f>
        <v/>
      </c>
      <c r="D232" s="46">
        <f>'Selections &amp; Orders'!AB238</f>
        <v/>
      </c>
      <c r="E232" s="46">
        <f>IF(OR(B232="",C232="",D232=""),"",D232*100000+(C232-DATE(2000,1,1))+ROW()/100000)</f>
        <v/>
      </c>
      <c r="F232" s="46">
        <f>IF(E232="","",IF(C232&gt;WeekEndDate,"",E232))</f>
        <v/>
      </c>
    </row>
    <row r="233">
      <c r="A233" t="inlineStr">
        <is>
          <t>Selections &amp; Orders</t>
        </is>
      </c>
      <c r="B233" s="46">
        <f>'Selections &amp; Orders'!AC239</f>
        <v/>
      </c>
      <c r="C233" s="84">
        <f>'Selections &amp; Orders'!AA239</f>
        <v/>
      </c>
      <c r="D233" s="46">
        <f>'Selections &amp; Orders'!AB239</f>
        <v/>
      </c>
      <c r="E233" s="46">
        <f>IF(OR(B233="",C233="",D233=""),"",D233*100000+(C233-DATE(2000,1,1))+ROW()/100000)</f>
        <v/>
      </c>
      <c r="F233" s="46">
        <f>IF(E233="","",IF(C233&gt;WeekEndDate,"",E233))</f>
        <v/>
      </c>
    </row>
    <row r="234">
      <c r="A234" t="inlineStr">
        <is>
          <t>Selections &amp; Orders</t>
        </is>
      </c>
      <c r="B234" s="46">
        <f>'Selections &amp; Orders'!AC240</f>
        <v/>
      </c>
      <c r="C234" s="84">
        <f>'Selections &amp; Orders'!AA240</f>
        <v/>
      </c>
      <c r="D234" s="46">
        <f>'Selections &amp; Orders'!AB240</f>
        <v/>
      </c>
      <c r="E234" s="46">
        <f>IF(OR(B234="",C234="",D234=""),"",D234*100000+(C234-DATE(2000,1,1))+ROW()/100000)</f>
        <v/>
      </c>
      <c r="F234" s="46">
        <f>IF(E234="","",IF(C234&gt;WeekEndDate,"",E234))</f>
        <v/>
      </c>
    </row>
    <row r="235">
      <c r="A235" t="inlineStr">
        <is>
          <t>Selections &amp; Orders</t>
        </is>
      </c>
      <c r="B235" s="46">
        <f>'Selections &amp; Orders'!AC241</f>
        <v/>
      </c>
      <c r="C235" s="84">
        <f>'Selections &amp; Orders'!AA241</f>
        <v/>
      </c>
      <c r="D235" s="46">
        <f>'Selections &amp; Orders'!AB241</f>
        <v/>
      </c>
      <c r="E235" s="46">
        <f>IF(OR(B235="",C235="",D235=""),"",D235*100000+(C235-DATE(2000,1,1))+ROW()/100000)</f>
        <v/>
      </c>
      <c r="F235" s="46">
        <f>IF(E235="","",IF(C235&gt;WeekEndDate,"",E235))</f>
        <v/>
      </c>
    </row>
    <row r="236">
      <c r="A236" t="inlineStr">
        <is>
          <t>Selections &amp; Orders</t>
        </is>
      </c>
      <c r="B236" s="46">
        <f>'Selections &amp; Orders'!AC242</f>
        <v/>
      </c>
      <c r="C236" s="84">
        <f>'Selections &amp; Orders'!AA242</f>
        <v/>
      </c>
      <c r="D236" s="46">
        <f>'Selections &amp; Orders'!AB242</f>
        <v/>
      </c>
      <c r="E236" s="46">
        <f>IF(OR(B236="",C236="",D236=""),"",D236*100000+(C236-DATE(2000,1,1))+ROW()/100000)</f>
        <v/>
      </c>
      <c r="F236" s="46">
        <f>IF(E236="","",IF(C236&gt;WeekEndDate,"",E236))</f>
        <v/>
      </c>
    </row>
    <row r="237">
      <c r="A237" t="inlineStr">
        <is>
          <t>Selections &amp; Orders</t>
        </is>
      </c>
      <c r="B237" s="46">
        <f>'Selections &amp; Orders'!AC243</f>
        <v/>
      </c>
      <c r="C237" s="84">
        <f>'Selections &amp; Orders'!AA243</f>
        <v/>
      </c>
      <c r="D237" s="46">
        <f>'Selections &amp; Orders'!AB243</f>
        <v/>
      </c>
      <c r="E237" s="46">
        <f>IF(OR(B237="",C237="",D237=""),"",D237*100000+(C237-DATE(2000,1,1))+ROW()/100000)</f>
        <v/>
      </c>
      <c r="F237" s="46">
        <f>IF(E237="","",IF(C237&gt;WeekEndDate,"",E237))</f>
        <v/>
      </c>
    </row>
    <row r="238">
      <c r="A238" t="inlineStr">
        <is>
          <t>Selections &amp; Orders</t>
        </is>
      </c>
      <c r="B238" s="46">
        <f>'Selections &amp; Orders'!AC244</f>
        <v/>
      </c>
      <c r="C238" s="84">
        <f>'Selections &amp; Orders'!AA244</f>
        <v/>
      </c>
      <c r="D238" s="46">
        <f>'Selections &amp; Orders'!AB244</f>
        <v/>
      </c>
      <c r="E238" s="46">
        <f>IF(OR(B238="",C238="",D238=""),"",D238*100000+(C238-DATE(2000,1,1))+ROW()/100000)</f>
        <v/>
      </c>
      <c r="F238" s="46">
        <f>IF(E238="","",IF(C238&gt;WeekEndDate,"",E238))</f>
        <v/>
      </c>
    </row>
    <row r="239">
      <c r="A239" t="inlineStr">
        <is>
          <t>Selections &amp; Orders</t>
        </is>
      </c>
      <c r="B239" s="46">
        <f>'Selections &amp; Orders'!AC245</f>
        <v/>
      </c>
      <c r="C239" s="84">
        <f>'Selections &amp; Orders'!AA245</f>
        <v/>
      </c>
      <c r="D239" s="46">
        <f>'Selections &amp; Orders'!AB245</f>
        <v/>
      </c>
      <c r="E239" s="46">
        <f>IF(OR(B239="",C239="",D239=""),"",D239*100000+(C239-DATE(2000,1,1))+ROW()/100000)</f>
        <v/>
      </c>
      <c r="F239" s="46">
        <f>IF(E239="","",IF(C239&gt;WeekEndDate,"",E239))</f>
        <v/>
      </c>
    </row>
    <row r="240">
      <c r="A240" t="inlineStr">
        <is>
          <t>Selections &amp; Orders</t>
        </is>
      </c>
      <c r="B240" s="46">
        <f>'Selections &amp; Orders'!AC246</f>
        <v/>
      </c>
      <c r="C240" s="84">
        <f>'Selections &amp; Orders'!AA246</f>
        <v/>
      </c>
      <c r="D240" s="46">
        <f>'Selections &amp; Orders'!AB246</f>
        <v/>
      </c>
      <c r="E240" s="46">
        <f>IF(OR(B240="",C240="",D240=""),"",D240*100000+(C240-DATE(2000,1,1))+ROW()/100000)</f>
        <v/>
      </c>
      <c r="F240" s="46">
        <f>IF(E240="","",IF(C240&gt;WeekEndDate,"",E240))</f>
        <v/>
      </c>
    </row>
    <row r="241">
      <c r="A241" t="inlineStr">
        <is>
          <t>Selections &amp; Orders</t>
        </is>
      </c>
      <c r="B241" s="46">
        <f>'Selections &amp; Orders'!AC247</f>
        <v/>
      </c>
      <c r="C241" s="84">
        <f>'Selections &amp; Orders'!AA247</f>
        <v/>
      </c>
      <c r="D241" s="46">
        <f>'Selections &amp; Orders'!AB247</f>
        <v/>
      </c>
      <c r="E241" s="46">
        <f>IF(OR(B241="",C241="",D241=""),"",D241*100000+(C241-DATE(2000,1,1))+ROW()/100000)</f>
        <v/>
      </c>
      <c r="F241" s="46">
        <f>IF(E241="","",IF(C241&gt;WeekEndDate,"",E241))</f>
        <v/>
      </c>
    </row>
    <row r="242">
      <c r="A242" t="inlineStr">
        <is>
          <t>Selections &amp; Orders</t>
        </is>
      </c>
      <c r="B242" s="46">
        <f>'Selections &amp; Orders'!AC248</f>
        <v/>
      </c>
      <c r="C242" s="84">
        <f>'Selections &amp; Orders'!AA248</f>
        <v/>
      </c>
      <c r="D242" s="46">
        <f>'Selections &amp; Orders'!AB248</f>
        <v/>
      </c>
      <c r="E242" s="46">
        <f>IF(OR(B242="",C242="",D242=""),"",D242*100000+(C242-DATE(2000,1,1))+ROW()/100000)</f>
        <v/>
      </c>
      <c r="F242" s="46">
        <f>IF(E242="","",IF(C242&gt;WeekEndDate,"",E242))</f>
        <v/>
      </c>
    </row>
    <row r="243">
      <c r="A243" t="inlineStr">
        <is>
          <t>Selections &amp; Orders</t>
        </is>
      </c>
      <c r="B243" s="46">
        <f>'Selections &amp; Orders'!AC249</f>
        <v/>
      </c>
      <c r="C243" s="84">
        <f>'Selections &amp; Orders'!AA249</f>
        <v/>
      </c>
      <c r="D243" s="46">
        <f>'Selections &amp; Orders'!AB249</f>
        <v/>
      </c>
      <c r="E243" s="46">
        <f>IF(OR(B243="",C243="",D243=""),"",D243*100000+(C243-DATE(2000,1,1))+ROW()/100000)</f>
        <v/>
      </c>
      <c r="F243" s="46">
        <f>IF(E243="","",IF(C243&gt;WeekEndDate,"",E243))</f>
        <v/>
      </c>
    </row>
    <row r="244">
      <c r="A244" t="inlineStr">
        <is>
          <t>Selections &amp; Orders</t>
        </is>
      </c>
      <c r="B244" s="46">
        <f>'Selections &amp; Orders'!AC250</f>
        <v/>
      </c>
      <c r="C244" s="84">
        <f>'Selections &amp; Orders'!AA250</f>
        <v/>
      </c>
      <c r="D244" s="46">
        <f>'Selections &amp; Orders'!AB250</f>
        <v/>
      </c>
      <c r="E244" s="46">
        <f>IF(OR(B244="",C244="",D244=""),"",D244*100000+(C244-DATE(2000,1,1))+ROW()/100000)</f>
        <v/>
      </c>
      <c r="F244" s="46">
        <f>IF(E244="","",IF(C244&gt;WeekEndDate,"",E244))</f>
        <v/>
      </c>
    </row>
    <row r="245">
      <c r="A245" t="inlineStr">
        <is>
          <t>Selections &amp; Orders</t>
        </is>
      </c>
      <c r="B245" s="46">
        <f>'Selections &amp; Orders'!AC251</f>
        <v/>
      </c>
      <c r="C245" s="84">
        <f>'Selections &amp; Orders'!AA251</f>
        <v/>
      </c>
      <c r="D245" s="46">
        <f>'Selections &amp; Orders'!AB251</f>
        <v/>
      </c>
      <c r="E245" s="46">
        <f>IF(OR(B245="",C245="",D245=""),"",D245*100000+(C245-DATE(2000,1,1))+ROW()/100000)</f>
        <v/>
      </c>
      <c r="F245" s="46">
        <f>IF(E245="","",IF(C245&gt;WeekEndDate,"",E245))</f>
        <v/>
      </c>
    </row>
    <row r="246">
      <c r="A246" t="inlineStr">
        <is>
          <t>Selections &amp; Orders</t>
        </is>
      </c>
      <c r="B246" s="46">
        <f>'Selections &amp; Orders'!AC252</f>
        <v/>
      </c>
      <c r="C246" s="84">
        <f>'Selections &amp; Orders'!AA252</f>
        <v/>
      </c>
      <c r="D246" s="46">
        <f>'Selections &amp; Orders'!AB252</f>
        <v/>
      </c>
      <c r="E246" s="46">
        <f>IF(OR(B246="",C246="",D246=""),"",D246*100000+(C246-DATE(2000,1,1))+ROW()/100000)</f>
        <v/>
      </c>
      <c r="F246" s="46">
        <f>IF(E246="","",IF(C246&gt;WeekEndDate,"",E246))</f>
        <v/>
      </c>
    </row>
    <row r="247">
      <c r="A247" t="inlineStr">
        <is>
          <t>Selections &amp; Orders</t>
        </is>
      </c>
      <c r="B247" s="46">
        <f>'Selections &amp; Orders'!AC253</f>
        <v/>
      </c>
      <c r="C247" s="84">
        <f>'Selections &amp; Orders'!AA253</f>
        <v/>
      </c>
      <c r="D247" s="46">
        <f>'Selections &amp; Orders'!AB253</f>
        <v/>
      </c>
      <c r="E247" s="46">
        <f>IF(OR(B247="",C247="",D247=""),"",D247*100000+(C247-DATE(2000,1,1))+ROW()/100000)</f>
        <v/>
      </c>
      <c r="F247" s="46">
        <f>IF(E247="","",IF(C247&gt;WeekEndDate,"",E247))</f>
        <v/>
      </c>
    </row>
    <row r="248">
      <c r="A248" t="inlineStr">
        <is>
          <t>Selections &amp; Orders</t>
        </is>
      </c>
      <c r="B248" s="46">
        <f>'Selections &amp; Orders'!AC254</f>
        <v/>
      </c>
      <c r="C248" s="84">
        <f>'Selections &amp; Orders'!AA254</f>
        <v/>
      </c>
      <c r="D248" s="46">
        <f>'Selections &amp; Orders'!AB254</f>
        <v/>
      </c>
      <c r="E248" s="46">
        <f>IF(OR(B248="",C248="",D248=""),"",D248*100000+(C248-DATE(2000,1,1))+ROW()/100000)</f>
        <v/>
      </c>
      <c r="F248" s="46">
        <f>IF(E248="","",IF(C248&gt;WeekEndDate,"",E248))</f>
        <v/>
      </c>
    </row>
    <row r="249">
      <c r="A249" t="inlineStr">
        <is>
          <t>Selections &amp; Orders</t>
        </is>
      </c>
      <c r="B249" s="46">
        <f>'Selections &amp; Orders'!AC255</f>
        <v/>
      </c>
      <c r="C249" s="84">
        <f>'Selections &amp; Orders'!AA255</f>
        <v/>
      </c>
      <c r="D249" s="46">
        <f>'Selections &amp; Orders'!AB255</f>
        <v/>
      </c>
      <c r="E249" s="46">
        <f>IF(OR(B249="",C249="",D249=""),"",D249*100000+(C249-DATE(2000,1,1))+ROW()/100000)</f>
        <v/>
      </c>
      <c r="F249" s="46">
        <f>IF(E249="","",IF(C249&gt;WeekEndDate,"",E249))</f>
        <v/>
      </c>
    </row>
    <row r="250">
      <c r="A250" t="inlineStr">
        <is>
          <t>Selections &amp; Orders</t>
        </is>
      </c>
      <c r="B250" s="46">
        <f>'Selections &amp; Orders'!AC256</f>
        <v/>
      </c>
      <c r="C250" s="84">
        <f>'Selections &amp; Orders'!AA256</f>
        <v/>
      </c>
      <c r="D250" s="46">
        <f>'Selections &amp; Orders'!AB256</f>
        <v/>
      </c>
      <c r="E250" s="46">
        <f>IF(OR(B250="",C250="",D250=""),"",D250*100000+(C250-DATE(2000,1,1))+ROW()/100000)</f>
        <v/>
      </c>
      <c r="F250" s="46">
        <f>IF(E250="","",IF(C250&gt;WeekEndDate,"",E250))</f>
        <v/>
      </c>
    </row>
    <row r="251">
      <c r="A251" t="inlineStr">
        <is>
          <t>Selections &amp; Orders</t>
        </is>
      </c>
      <c r="B251" s="46">
        <f>'Selections &amp; Orders'!AC257</f>
        <v/>
      </c>
      <c r="C251" s="84">
        <f>'Selections &amp; Orders'!AA257</f>
        <v/>
      </c>
      <c r="D251" s="46">
        <f>'Selections &amp; Orders'!AB257</f>
        <v/>
      </c>
      <c r="E251" s="46">
        <f>IF(OR(B251="",C251="",D251=""),"",D251*100000+(C251-DATE(2000,1,1))+ROW()/100000)</f>
        <v/>
      </c>
      <c r="F251" s="46">
        <f>IF(E251="","",IF(C251&gt;WeekEndDate,"",E251))</f>
        <v/>
      </c>
    </row>
    <row r="252">
      <c r="A252" t="inlineStr">
        <is>
          <t>Selections &amp; Orders</t>
        </is>
      </c>
      <c r="B252" s="46">
        <f>'Selections &amp; Orders'!AC258</f>
        <v/>
      </c>
      <c r="C252" s="84">
        <f>'Selections &amp; Orders'!AA258</f>
        <v/>
      </c>
      <c r="D252" s="46">
        <f>'Selections &amp; Orders'!AB258</f>
        <v/>
      </c>
      <c r="E252" s="46">
        <f>IF(OR(B252="",C252="",D252=""),"",D252*100000+(C252-DATE(2000,1,1))+ROW()/100000)</f>
        <v/>
      </c>
      <c r="F252" s="46">
        <f>IF(E252="","",IF(C252&gt;WeekEndDate,"",E252))</f>
        <v/>
      </c>
    </row>
    <row r="253">
      <c r="A253" t="inlineStr">
        <is>
          <t>Selections &amp; Orders</t>
        </is>
      </c>
      <c r="B253" s="46">
        <f>'Selections &amp; Orders'!AC259</f>
        <v/>
      </c>
      <c r="C253" s="84">
        <f>'Selections &amp; Orders'!AA259</f>
        <v/>
      </c>
      <c r="D253" s="46">
        <f>'Selections &amp; Orders'!AB259</f>
        <v/>
      </c>
      <c r="E253" s="46">
        <f>IF(OR(B253="",C253="",D253=""),"",D253*100000+(C253-DATE(2000,1,1))+ROW()/100000)</f>
        <v/>
      </c>
      <c r="F253" s="46">
        <f>IF(E253="","",IF(C253&gt;WeekEndDate,"",E253))</f>
        <v/>
      </c>
    </row>
    <row r="254">
      <c r="A254" t="inlineStr">
        <is>
          <t>Selections &amp; Orders</t>
        </is>
      </c>
      <c r="B254" s="46">
        <f>'Selections &amp; Orders'!AC260</f>
        <v/>
      </c>
      <c r="C254" s="84">
        <f>'Selections &amp; Orders'!AA260</f>
        <v/>
      </c>
      <c r="D254" s="46">
        <f>'Selections &amp; Orders'!AB260</f>
        <v/>
      </c>
      <c r="E254" s="46">
        <f>IF(OR(B254="",C254="",D254=""),"",D254*100000+(C254-DATE(2000,1,1))+ROW()/100000)</f>
        <v/>
      </c>
      <c r="F254" s="46">
        <f>IF(E254="","",IF(C254&gt;WeekEndDate,"",E254))</f>
        <v/>
      </c>
    </row>
    <row r="255">
      <c r="A255" t="inlineStr">
        <is>
          <t>Selections &amp; Orders</t>
        </is>
      </c>
      <c r="B255" s="46">
        <f>'Selections &amp; Orders'!AC261</f>
        <v/>
      </c>
      <c r="C255" s="84">
        <f>'Selections &amp; Orders'!AA261</f>
        <v/>
      </c>
      <c r="D255" s="46">
        <f>'Selections &amp; Orders'!AB261</f>
        <v/>
      </c>
      <c r="E255" s="46">
        <f>IF(OR(B255="",C255="",D255=""),"",D255*100000+(C255-DATE(2000,1,1))+ROW()/100000)</f>
        <v/>
      </c>
      <c r="F255" s="46">
        <f>IF(E255="","",IF(C255&gt;WeekEndDate,"",E255))</f>
        <v/>
      </c>
    </row>
    <row r="256">
      <c r="A256" t="inlineStr">
        <is>
          <t>Selections &amp; Orders</t>
        </is>
      </c>
      <c r="B256" s="46">
        <f>'Selections &amp; Orders'!AC262</f>
        <v/>
      </c>
      <c r="C256" s="84">
        <f>'Selections &amp; Orders'!AA262</f>
        <v/>
      </c>
      <c r="D256" s="46">
        <f>'Selections &amp; Orders'!AB262</f>
        <v/>
      </c>
      <c r="E256" s="46">
        <f>IF(OR(B256="",C256="",D256=""),"",D256*100000+(C256-DATE(2000,1,1))+ROW()/100000)</f>
        <v/>
      </c>
      <c r="F256" s="46">
        <f>IF(E256="","",IF(C256&gt;WeekEndDate,"",E256))</f>
        <v/>
      </c>
    </row>
    <row r="257">
      <c r="A257" t="inlineStr">
        <is>
          <t>Selections &amp; Orders</t>
        </is>
      </c>
      <c r="B257" s="46">
        <f>'Selections &amp; Orders'!AC263</f>
        <v/>
      </c>
      <c r="C257" s="84">
        <f>'Selections &amp; Orders'!AA263</f>
        <v/>
      </c>
      <c r="D257" s="46">
        <f>'Selections &amp; Orders'!AB263</f>
        <v/>
      </c>
      <c r="E257" s="46">
        <f>IF(OR(B257="",C257="",D257=""),"",D257*100000+(C257-DATE(2000,1,1))+ROW()/100000)</f>
        <v/>
      </c>
      <c r="F257" s="46">
        <f>IF(E257="","",IF(C257&gt;WeekEndDate,"",E257))</f>
        <v/>
      </c>
    </row>
    <row r="258">
      <c r="A258" t="inlineStr">
        <is>
          <t>Selections &amp; Orders</t>
        </is>
      </c>
      <c r="B258" s="46">
        <f>'Selections &amp; Orders'!AC264</f>
        <v/>
      </c>
      <c r="C258" s="84">
        <f>'Selections &amp; Orders'!AA264</f>
        <v/>
      </c>
      <c r="D258" s="46">
        <f>'Selections &amp; Orders'!AB264</f>
        <v/>
      </c>
      <c r="E258" s="46">
        <f>IF(OR(B258="",C258="",D258=""),"",D258*100000+(C258-DATE(2000,1,1))+ROW()/100000)</f>
        <v/>
      </c>
      <c r="F258" s="46">
        <f>IF(E258="","",IF(C258&gt;WeekEndDate,"",E258))</f>
        <v/>
      </c>
    </row>
    <row r="259">
      <c r="A259" t="inlineStr">
        <is>
          <t>Selections &amp; Orders</t>
        </is>
      </c>
      <c r="B259" s="46">
        <f>'Selections &amp; Orders'!AC265</f>
        <v/>
      </c>
      <c r="C259" s="84">
        <f>'Selections &amp; Orders'!AA265</f>
        <v/>
      </c>
      <c r="D259" s="46">
        <f>'Selections &amp; Orders'!AB265</f>
        <v/>
      </c>
      <c r="E259" s="46">
        <f>IF(OR(B259="",C259="",D259=""),"",D259*100000+(C259-DATE(2000,1,1))+ROW()/100000)</f>
        <v/>
      </c>
      <c r="F259" s="46">
        <f>IF(E259="","",IF(C259&gt;WeekEndDate,"",E259))</f>
        <v/>
      </c>
    </row>
    <row r="260">
      <c r="A260" t="inlineStr">
        <is>
          <t>Selections &amp; Orders</t>
        </is>
      </c>
      <c r="B260" s="46">
        <f>'Selections &amp; Orders'!AC266</f>
        <v/>
      </c>
      <c r="C260" s="84">
        <f>'Selections &amp; Orders'!AA266</f>
        <v/>
      </c>
      <c r="D260" s="46">
        <f>'Selections &amp; Orders'!AB266</f>
        <v/>
      </c>
      <c r="E260" s="46">
        <f>IF(OR(B260="",C260="",D260=""),"",D260*100000+(C260-DATE(2000,1,1))+ROW()/100000)</f>
        <v/>
      </c>
      <c r="F260" s="46">
        <f>IF(E260="","",IF(C260&gt;WeekEndDate,"",E260))</f>
        <v/>
      </c>
    </row>
    <row r="261">
      <c r="A261" t="inlineStr">
        <is>
          <t>Selections &amp; Orders</t>
        </is>
      </c>
      <c r="B261" s="46">
        <f>'Selections &amp; Orders'!AC267</f>
        <v/>
      </c>
      <c r="C261" s="84">
        <f>'Selections &amp; Orders'!AA267</f>
        <v/>
      </c>
      <c r="D261" s="46">
        <f>'Selections &amp; Orders'!AB267</f>
        <v/>
      </c>
      <c r="E261" s="46">
        <f>IF(OR(B261="",C261="",D261=""),"",D261*100000+(C261-DATE(2000,1,1))+ROW()/100000)</f>
        <v/>
      </c>
      <c r="F261" s="46">
        <f>IF(E261="","",IF(C261&gt;WeekEndDate,"",E261))</f>
        <v/>
      </c>
    </row>
    <row r="262">
      <c r="A262" t="inlineStr">
        <is>
          <t>Selections &amp; Orders</t>
        </is>
      </c>
      <c r="B262" s="46">
        <f>'Selections &amp; Orders'!AC268</f>
        <v/>
      </c>
      <c r="C262" s="84">
        <f>'Selections &amp; Orders'!AA268</f>
        <v/>
      </c>
      <c r="D262" s="46">
        <f>'Selections &amp; Orders'!AB268</f>
        <v/>
      </c>
      <c r="E262" s="46">
        <f>IF(OR(B262="",C262="",D262=""),"",D262*100000+(C262-DATE(2000,1,1))+ROW()/100000)</f>
        <v/>
      </c>
      <c r="F262" s="46">
        <f>IF(E262="","",IF(C262&gt;WeekEndDate,"",E262))</f>
        <v/>
      </c>
    </row>
    <row r="263">
      <c r="A263" t="inlineStr">
        <is>
          <t>Selections &amp; Orders</t>
        </is>
      </c>
      <c r="B263" s="46">
        <f>'Selections &amp; Orders'!AC269</f>
        <v/>
      </c>
      <c r="C263" s="84">
        <f>'Selections &amp; Orders'!AA269</f>
        <v/>
      </c>
      <c r="D263" s="46">
        <f>'Selections &amp; Orders'!AB269</f>
        <v/>
      </c>
      <c r="E263" s="46">
        <f>IF(OR(B263="",C263="",D263=""),"",D263*100000+(C263-DATE(2000,1,1))+ROW()/100000)</f>
        <v/>
      </c>
      <c r="F263" s="46">
        <f>IF(E263="","",IF(C263&gt;WeekEndDate,"",E263))</f>
        <v/>
      </c>
    </row>
    <row r="264">
      <c r="A264" t="inlineStr">
        <is>
          <t>Selections &amp; Orders</t>
        </is>
      </c>
      <c r="B264" s="46">
        <f>'Selections &amp; Orders'!AC270</f>
        <v/>
      </c>
      <c r="C264" s="84">
        <f>'Selections &amp; Orders'!AA270</f>
        <v/>
      </c>
      <c r="D264" s="46">
        <f>'Selections &amp; Orders'!AB270</f>
        <v/>
      </c>
      <c r="E264" s="46">
        <f>IF(OR(B264="",C264="",D264=""),"",D264*100000+(C264-DATE(2000,1,1))+ROW()/100000)</f>
        <v/>
      </c>
      <c r="F264" s="46">
        <f>IF(E264="","",IF(C264&gt;WeekEndDate,"",E264))</f>
        <v/>
      </c>
    </row>
    <row r="265">
      <c r="A265" t="inlineStr">
        <is>
          <t>Selections &amp; Orders</t>
        </is>
      </c>
      <c r="B265" s="46">
        <f>'Selections &amp; Orders'!AC271</f>
        <v/>
      </c>
      <c r="C265" s="84">
        <f>'Selections &amp; Orders'!AA271</f>
        <v/>
      </c>
      <c r="D265" s="46">
        <f>'Selections &amp; Orders'!AB271</f>
        <v/>
      </c>
      <c r="E265" s="46">
        <f>IF(OR(B265="",C265="",D265=""),"",D265*100000+(C265-DATE(2000,1,1))+ROW()/100000)</f>
        <v/>
      </c>
      <c r="F265" s="46">
        <f>IF(E265="","",IF(C265&gt;WeekEndDate,"",E265))</f>
        <v/>
      </c>
    </row>
    <row r="266">
      <c r="A266" t="inlineStr">
        <is>
          <t>Selections &amp; Orders</t>
        </is>
      </c>
      <c r="B266" s="46">
        <f>'Selections &amp; Orders'!AC272</f>
        <v/>
      </c>
      <c r="C266" s="84">
        <f>'Selections &amp; Orders'!AA272</f>
        <v/>
      </c>
      <c r="D266" s="46">
        <f>'Selections &amp; Orders'!AB272</f>
        <v/>
      </c>
      <c r="E266" s="46">
        <f>IF(OR(B266="",C266="",D266=""),"",D266*100000+(C266-DATE(2000,1,1))+ROW()/100000)</f>
        <v/>
      </c>
      <c r="F266" s="46">
        <f>IF(E266="","",IF(C266&gt;WeekEndDate,"",E266))</f>
        <v/>
      </c>
    </row>
    <row r="267">
      <c r="A267" t="inlineStr">
        <is>
          <t>Selections &amp; Orders</t>
        </is>
      </c>
      <c r="B267" s="46">
        <f>'Selections &amp; Orders'!AC273</f>
        <v/>
      </c>
      <c r="C267" s="84">
        <f>'Selections &amp; Orders'!AA273</f>
        <v/>
      </c>
      <c r="D267" s="46">
        <f>'Selections &amp; Orders'!AB273</f>
        <v/>
      </c>
      <c r="E267" s="46">
        <f>IF(OR(B267="",C267="",D267=""),"",D267*100000+(C267-DATE(2000,1,1))+ROW()/100000)</f>
        <v/>
      </c>
      <c r="F267" s="46">
        <f>IF(E267="","",IF(C267&gt;WeekEndDate,"",E267))</f>
        <v/>
      </c>
    </row>
    <row r="268">
      <c r="A268" t="inlineStr">
        <is>
          <t>Selections &amp; Orders</t>
        </is>
      </c>
      <c r="B268" s="46">
        <f>'Selections &amp; Orders'!AC274</f>
        <v/>
      </c>
      <c r="C268" s="84">
        <f>'Selections &amp; Orders'!AA274</f>
        <v/>
      </c>
      <c r="D268" s="46">
        <f>'Selections &amp; Orders'!AB274</f>
        <v/>
      </c>
      <c r="E268" s="46">
        <f>IF(OR(B268="",C268="",D268=""),"",D268*100000+(C268-DATE(2000,1,1))+ROW()/100000)</f>
        <v/>
      </c>
      <c r="F268" s="46">
        <f>IF(E268="","",IF(C268&gt;WeekEndDate,"",E268))</f>
        <v/>
      </c>
    </row>
    <row r="269">
      <c r="A269" t="inlineStr">
        <is>
          <t>Selections &amp; Orders</t>
        </is>
      </c>
      <c r="B269" s="46">
        <f>'Selections &amp; Orders'!AC275</f>
        <v/>
      </c>
      <c r="C269" s="84">
        <f>'Selections &amp; Orders'!AA275</f>
        <v/>
      </c>
      <c r="D269" s="46">
        <f>'Selections &amp; Orders'!AB275</f>
        <v/>
      </c>
      <c r="E269" s="46">
        <f>IF(OR(B269="",C269="",D269=""),"",D269*100000+(C269-DATE(2000,1,1))+ROW()/100000)</f>
        <v/>
      </c>
      <c r="F269" s="46">
        <f>IF(E269="","",IF(C269&gt;WeekEndDate,"",E269))</f>
        <v/>
      </c>
    </row>
    <row r="270">
      <c r="A270" t="inlineStr">
        <is>
          <t>Selections &amp; Orders</t>
        </is>
      </c>
      <c r="B270" s="46">
        <f>'Selections &amp; Orders'!AC276</f>
        <v/>
      </c>
      <c r="C270" s="84">
        <f>'Selections &amp; Orders'!AA276</f>
        <v/>
      </c>
      <c r="D270" s="46">
        <f>'Selections &amp; Orders'!AB276</f>
        <v/>
      </c>
      <c r="E270" s="46">
        <f>IF(OR(B270="",C270="",D270=""),"",D270*100000+(C270-DATE(2000,1,1))+ROW()/100000)</f>
        <v/>
      </c>
      <c r="F270" s="46">
        <f>IF(E270="","",IF(C270&gt;WeekEndDate,"",E270))</f>
        <v/>
      </c>
    </row>
    <row r="271">
      <c r="A271" t="inlineStr">
        <is>
          <t>Selections &amp; Orders</t>
        </is>
      </c>
      <c r="B271" s="46">
        <f>'Selections &amp; Orders'!AC277</f>
        <v/>
      </c>
      <c r="C271" s="84">
        <f>'Selections &amp; Orders'!AA277</f>
        <v/>
      </c>
      <c r="D271" s="46">
        <f>'Selections &amp; Orders'!AB277</f>
        <v/>
      </c>
      <c r="E271" s="46">
        <f>IF(OR(B271="",C271="",D271=""),"",D271*100000+(C271-DATE(2000,1,1))+ROW()/100000)</f>
        <v/>
      </c>
      <c r="F271" s="46">
        <f>IF(E271="","",IF(C271&gt;WeekEndDate,"",E271))</f>
        <v/>
      </c>
    </row>
    <row r="272">
      <c r="A272" t="inlineStr">
        <is>
          <t>Selections &amp; Orders</t>
        </is>
      </c>
      <c r="B272" s="46">
        <f>'Selections &amp; Orders'!AC278</f>
        <v/>
      </c>
      <c r="C272" s="84">
        <f>'Selections &amp; Orders'!AA278</f>
        <v/>
      </c>
      <c r="D272" s="46">
        <f>'Selections &amp; Orders'!AB278</f>
        <v/>
      </c>
      <c r="E272" s="46">
        <f>IF(OR(B272="",C272="",D272=""),"",D272*100000+(C272-DATE(2000,1,1))+ROW()/100000)</f>
        <v/>
      </c>
      <c r="F272" s="46">
        <f>IF(E272="","",IF(C272&gt;WeekEndDate,"",E272))</f>
        <v/>
      </c>
    </row>
    <row r="273">
      <c r="A273" t="inlineStr">
        <is>
          <t>Selections &amp; Orders</t>
        </is>
      </c>
      <c r="B273" s="46">
        <f>'Selections &amp; Orders'!AC279</f>
        <v/>
      </c>
      <c r="C273" s="84">
        <f>'Selections &amp; Orders'!AA279</f>
        <v/>
      </c>
      <c r="D273" s="46">
        <f>'Selections &amp; Orders'!AB279</f>
        <v/>
      </c>
      <c r="E273" s="46">
        <f>IF(OR(B273="",C273="",D273=""),"",D273*100000+(C273-DATE(2000,1,1))+ROW()/100000)</f>
        <v/>
      </c>
      <c r="F273" s="46">
        <f>IF(E273="","",IF(C273&gt;WeekEndDate,"",E273))</f>
        <v/>
      </c>
    </row>
    <row r="274">
      <c r="A274" t="inlineStr">
        <is>
          <t>Selections &amp; Orders</t>
        </is>
      </c>
      <c r="B274" s="46">
        <f>'Selections &amp; Orders'!AC280</f>
        <v/>
      </c>
      <c r="C274" s="84">
        <f>'Selections &amp; Orders'!AA280</f>
        <v/>
      </c>
      <c r="D274" s="46">
        <f>'Selections &amp; Orders'!AB280</f>
        <v/>
      </c>
      <c r="E274" s="46">
        <f>IF(OR(B274="",C274="",D274=""),"",D274*100000+(C274-DATE(2000,1,1))+ROW()/100000)</f>
        <v/>
      </c>
      <c r="F274" s="46">
        <f>IF(E274="","",IF(C274&gt;WeekEndDate,"",E274))</f>
        <v/>
      </c>
    </row>
    <row r="275">
      <c r="A275" t="inlineStr">
        <is>
          <t>Selections &amp; Orders</t>
        </is>
      </c>
      <c r="B275" s="46">
        <f>'Selections &amp; Orders'!AC281</f>
        <v/>
      </c>
      <c r="C275" s="84">
        <f>'Selections &amp; Orders'!AA281</f>
        <v/>
      </c>
      <c r="D275" s="46">
        <f>'Selections &amp; Orders'!AB281</f>
        <v/>
      </c>
      <c r="E275" s="46">
        <f>IF(OR(B275="",C275="",D275=""),"",D275*100000+(C275-DATE(2000,1,1))+ROW()/100000)</f>
        <v/>
      </c>
      <c r="F275" s="46">
        <f>IF(E275="","",IF(C275&gt;WeekEndDate,"",E275))</f>
        <v/>
      </c>
    </row>
    <row r="276">
      <c r="A276" t="inlineStr">
        <is>
          <t>Selections &amp; Orders</t>
        </is>
      </c>
      <c r="B276" s="46">
        <f>'Selections &amp; Orders'!AC282</f>
        <v/>
      </c>
      <c r="C276" s="84">
        <f>'Selections &amp; Orders'!AA282</f>
        <v/>
      </c>
      <c r="D276" s="46">
        <f>'Selections &amp; Orders'!AB282</f>
        <v/>
      </c>
      <c r="E276" s="46">
        <f>IF(OR(B276="",C276="",D276=""),"",D276*100000+(C276-DATE(2000,1,1))+ROW()/100000)</f>
        <v/>
      </c>
      <c r="F276" s="46">
        <f>IF(E276="","",IF(C276&gt;WeekEndDate,"",E276))</f>
        <v/>
      </c>
    </row>
    <row r="277">
      <c r="A277" t="inlineStr">
        <is>
          <t>Selections &amp; Orders</t>
        </is>
      </c>
      <c r="B277" s="46">
        <f>'Selections &amp; Orders'!AC283</f>
        <v/>
      </c>
      <c r="C277" s="84">
        <f>'Selections &amp; Orders'!AA283</f>
        <v/>
      </c>
      <c r="D277" s="46">
        <f>'Selections &amp; Orders'!AB283</f>
        <v/>
      </c>
      <c r="E277" s="46">
        <f>IF(OR(B277="",C277="",D277=""),"",D277*100000+(C277-DATE(2000,1,1))+ROW()/100000)</f>
        <v/>
      </c>
      <c r="F277" s="46">
        <f>IF(E277="","",IF(C277&gt;WeekEndDate,"",E277))</f>
        <v/>
      </c>
    </row>
    <row r="278">
      <c r="A278" t="inlineStr">
        <is>
          <t>Selections &amp; Orders</t>
        </is>
      </c>
      <c r="B278" s="46">
        <f>'Selections &amp; Orders'!AC284</f>
        <v/>
      </c>
      <c r="C278" s="84">
        <f>'Selections &amp; Orders'!AA284</f>
        <v/>
      </c>
      <c r="D278" s="46">
        <f>'Selections &amp; Orders'!AB284</f>
        <v/>
      </c>
      <c r="E278" s="46">
        <f>IF(OR(B278="",C278="",D278=""),"",D278*100000+(C278-DATE(2000,1,1))+ROW()/100000)</f>
        <v/>
      </c>
      <c r="F278" s="46">
        <f>IF(E278="","",IF(C278&gt;WeekEndDate,"",E278))</f>
        <v/>
      </c>
    </row>
    <row r="279">
      <c r="A279" t="inlineStr">
        <is>
          <t>Selections &amp; Orders</t>
        </is>
      </c>
      <c r="B279" s="46">
        <f>'Selections &amp; Orders'!AC285</f>
        <v/>
      </c>
      <c r="C279" s="84">
        <f>'Selections &amp; Orders'!AA285</f>
        <v/>
      </c>
      <c r="D279" s="46">
        <f>'Selections &amp; Orders'!AB285</f>
        <v/>
      </c>
      <c r="E279" s="46">
        <f>IF(OR(B279="",C279="",D279=""),"",D279*100000+(C279-DATE(2000,1,1))+ROW()/100000)</f>
        <v/>
      </c>
      <c r="F279" s="46">
        <f>IF(E279="","",IF(C279&gt;WeekEndDate,"",E279))</f>
        <v/>
      </c>
    </row>
    <row r="280">
      <c r="A280" t="inlineStr">
        <is>
          <t>Selections &amp; Orders</t>
        </is>
      </c>
      <c r="B280" s="46">
        <f>'Selections &amp; Orders'!AC286</f>
        <v/>
      </c>
      <c r="C280" s="84">
        <f>'Selections &amp; Orders'!AA286</f>
        <v/>
      </c>
      <c r="D280" s="46">
        <f>'Selections &amp; Orders'!AB286</f>
        <v/>
      </c>
      <c r="E280" s="46">
        <f>IF(OR(B280="",C280="",D280=""),"",D280*100000+(C280-DATE(2000,1,1))+ROW()/100000)</f>
        <v/>
      </c>
      <c r="F280" s="46">
        <f>IF(E280="","",IF(C280&gt;WeekEndDate,"",E280))</f>
        <v/>
      </c>
    </row>
    <row r="281">
      <c r="A281" t="inlineStr">
        <is>
          <t>Selections &amp; Orders</t>
        </is>
      </c>
      <c r="B281" s="46">
        <f>'Selections &amp; Orders'!AC287</f>
        <v/>
      </c>
      <c r="C281" s="84">
        <f>'Selections &amp; Orders'!AA287</f>
        <v/>
      </c>
      <c r="D281" s="46">
        <f>'Selections &amp; Orders'!AB287</f>
        <v/>
      </c>
      <c r="E281" s="46">
        <f>IF(OR(B281="",C281="",D281=""),"",D281*100000+(C281-DATE(2000,1,1))+ROW()/100000)</f>
        <v/>
      </c>
      <c r="F281" s="46">
        <f>IF(E281="","",IF(C281&gt;WeekEndDate,"",E281))</f>
        <v/>
      </c>
    </row>
    <row r="282">
      <c r="A282" t="inlineStr">
        <is>
          <t>Selections &amp; Orders</t>
        </is>
      </c>
      <c r="B282" s="46">
        <f>'Selections &amp; Orders'!AC288</f>
        <v/>
      </c>
      <c r="C282" s="84">
        <f>'Selections &amp; Orders'!AA288</f>
        <v/>
      </c>
      <c r="D282" s="46">
        <f>'Selections &amp; Orders'!AB288</f>
        <v/>
      </c>
      <c r="E282" s="46">
        <f>IF(OR(B282="",C282="",D282=""),"",D282*100000+(C282-DATE(2000,1,1))+ROW()/100000)</f>
        <v/>
      </c>
      <c r="F282" s="46">
        <f>IF(E282="","",IF(C282&gt;WeekEndDate,"",E282))</f>
        <v/>
      </c>
    </row>
    <row r="283">
      <c r="A283" t="inlineStr">
        <is>
          <t>Selections &amp; Orders</t>
        </is>
      </c>
      <c r="B283" s="46">
        <f>'Selections &amp; Orders'!AC289</f>
        <v/>
      </c>
      <c r="C283" s="84">
        <f>'Selections &amp; Orders'!AA289</f>
        <v/>
      </c>
      <c r="D283" s="46">
        <f>'Selections &amp; Orders'!AB289</f>
        <v/>
      </c>
      <c r="E283" s="46">
        <f>IF(OR(B283="",C283="",D283=""),"",D283*100000+(C283-DATE(2000,1,1))+ROW()/100000)</f>
        <v/>
      </c>
      <c r="F283" s="46">
        <f>IF(E283="","",IF(C283&gt;WeekEndDate,"",E283))</f>
        <v/>
      </c>
    </row>
    <row r="284">
      <c r="A284" t="inlineStr">
        <is>
          <t>Selections &amp; Orders</t>
        </is>
      </c>
      <c r="B284" s="46">
        <f>'Selections &amp; Orders'!AC290</f>
        <v/>
      </c>
      <c r="C284" s="84">
        <f>'Selections &amp; Orders'!AA290</f>
        <v/>
      </c>
      <c r="D284" s="46">
        <f>'Selections &amp; Orders'!AB290</f>
        <v/>
      </c>
      <c r="E284" s="46">
        <f>IF(OR(B284="",C284="",D284=""),"",D284*100000+(C284-DATE(2000,1,1))+ROW()/100000)</f>
        <v/>
      </c>
      <c r="F284" s="46">
        <f>IF(E284="","",IF(C284&gt;WeekEndDate,"",E284))</f>
        <v/>
      </c>
    </row>
    <row r="285">
      <c r="A285" t="inlineStr">
        <is>
          <t>Selections &amp; Orders</t>
        </is>
      </c>
      <c r="B285" s="46">
        <f>'Selections &amp; Orders'!AC291</f>
        <v/>
      </c>
      <c r="C285" s="84">
        <f>'Selections &amp; Orders'!AA291</f>
        <v/>
      </c>
      <c r="D285" s="46">
        <f>'Selections &amp; Orders'!AB291</f>
        <v/>
      </c>
      <c r="E285" s="46">
        <f>IF(OR(B285="",C285="",D285=""),"",D285*100000+(C285-DATE(2000,1,1))+ROW()/100000)</f>
        <v/>
      </c>
      <c r="F285" s="46">
        <f>IF(E285="","",IF(C285&gt;WeekEndDate,"",E285))</f>
        <v/>
      </c>
    </row>
    <row r="286">
      <c r="A286" t="inlineStr">
        <is>
          <t>Selections &amp; Orders</t>
        </is>
      </c>
      <c r="B286" s="46">
        <f>'Selections &amp; Orders'!AC292</f>
        <v/>
      </c>
      <c r="C286" s="84">
        <f>'Selections &amp; Orders'!AA292</f>
        <v/>
      </c>
      <c r="D286" s="46">
        <f>'Selections &amp; Orders'!AB292</f>
        <v/>
      </c>
      <c r="E286" s="46">
        <f>IF(OR(B286="",C286="",D286=""),"",D286*100000+(C286-DATE(2000,1,1))+ROW()/100000)</f>
        <v/>
      </c>
      <c r="F286" s="46">
        <f>IF(E286="","",IF(C286&gt;WeekEndDate,"",E286))</f>
        <v/>
      </c>
    </row>
    <row r="287">
      <c r="A287" t="inlineStr">
        <is>
          <t>Selections &amp; Orders</t>
        </is>
      </c>
      <c r="B287" s="46">
        <f>'Selections &amp; Orders'!AC293</f>
        <v/>
      </c>
      <c r="C287" s="84">
        <f>'Selections &amp; Orders'!AA293</f>
        <v/>
      </c>
      <c r="D287" s="46">
        <f>'Selections &amp; Orders'!AB293</f>
        <v/>
      </c>
      <c r="E287" s="46">
        <f>IF(OR(B287="",C287="",D287=""),"",D287*100000+(C287-DATE(2000,1,1))+ROW()/100000)</f>
        <v/>
      </c>
      <c r="F287" s="46">
        <f>IF(E287="","",IF(C287&gt;WeekEndDate,"",E287))</f>
        <v/>
      </c>
    </row>
    <row r="288">
      <c r="A288" t="inlineStr">
        <is>
          <t>Selections &amp; Orders</t>
        </is>
      </c>
      <c r="B288" s="46">
        <f>'Selections &amp; Orders'!AC294</f>
        <v/>
      </c>
      <c r="C288" s="84">
        <f>'Selections &amp; Orders'!AA294</f>
        <v/>
      </c>
      <c r="D288" s="46">
        <f>'Selections &amp; Orders'!AB294</f>
        <v/>
      </c>
      <c r="E288" s="46">
        <f>IF(OR(B288="",C288="",D288=""),"",D288*100000+(C288-DATE(2000,1,1))+ROW()/100000)</f>
        <v/>
      </c>
      <c r="F288" s="46">
        <f>IF(E288="","",IF(C288&gt;WeekEndDate,"",E288))</f>
        <v/>
      </c>
    </row>
    <row r="289">
      <c r="A289" t="inlineStr">
        <is>
          <t>Selections &amp; Orders</t>
        </is>
      </c>
      <c r="B289" s="46">
        <f>'Selections &amp; Orders'!AC295</f>
        <v/>
      </c>
      <c r="C289" s="84">
        <f>'Selections &amp; Orders'!AA295</f>
        <v/>
      </c>
      <c r="D289" s="46">
        <f>'Selections &amp; Orders'!AB295</f>
        <v/>
      </c>
      <c r="E289" s="46">
        <f>IF(OR(B289="",C289="",D289=""),"",D289*100000+(C289-DATE(2000,1,1))+ROW()/100000)</f>
        <v/>
      </c>
      <c r="F289" s="46">
        <f>IF(E289="","",IF(C289&gt;WeekEndDate,"",E289))</f>
        <v/>
      </c>
    </row>
    <row r="290">
      <c r="A290" t="inlineStr">
        <is>
          <t>Selections &amp; Orders</t>
        </is>
      </c>
      <c r="B290" s="46">
        <f>'Selections &amp; Orders'!AC296</f>
        <v/>
      </c>
      <c r="C290" s="84">
        <f>'Selections &amp; Orders'!AA296</f>
        <v/>
      </c>
      <c r="D290" s="46">
        <f>'Selections &amp; Orders'!AB296</f>
        <v/>
      </c>
      <c r="E290" s="46">
        <f>IF(OR(B290="",C290="",D290=""),"",D290*100000+(C290-DATE(2000,1,1))+ROW()/100000)</f>
        <v/>
      </c>
      <c r="F290" s="46">
        <f>IF(E290="","",IF(C290&gt;WeekEndDate,"",E290))</f>
        <v/>
      </c>
    </row>
    <row r="291">
      <c r="A291" t="inlineStr">
        <is>
          <t>Selections &amp; Orders</t>
        </is>
      </c>
      <c r="B291" s="46">
        <f>'Selections &amp; Orders'!AC297</f>
        <v/>
      </c>
      <c r="C291" s="84">
        <f>'Selections &amp; Orders'!AA297</f>
        <v/>
      </c>
      <c r="D291" s="46">
        <f>'Selections &amp; Orders'!AB297</f>
        <v/>
      </c>
      <c r="E291" s="46">
        <f>IF(OR(B291="",C291="",D291=""),"",D291*100000+(C291-DATE(2000,1,1))+ROW()/100000)</f>
        <v/>
      </c>
      <c r="F291" s="46">
        <f>IF(E291="","",IF(C291&gt;WeekEndDate,"",E291))</f>
        <v/>
      </c>
    </row>
    <row r="292">
      <c r="A292" t="inlineStr">
        <is>
          <t>Selections &amp; Orders</t>
        </is>
      </c>
      <c r="B292" s="46">
        <f>'Selections &amp; Orders'!AC298</f>
        <v/>
      </c>
      <c r="C292" s="84">
        <f>'Selections &amp; Orders'!AA298</f>
        <v/>
      </c>
      <c r="D292" s="46">
        <f>'Selections &amp; Orders'!AB298</f>
        <v/>
      </c>
      <c r="E292" s="46">
        <f>IF(OR(B292="",C292="",D292=""),"",D292*100000+(C292-DATE(2000,1,1))+ROW()/100000)</f>
        <v/>
      </c>
      <c r="F292" s="46">
        <f>IF(E292="","",IF(C292&gt;WeekEndDate,"",E292))</f>
        <v/>
      </c>
    </row>
    <row r="293">
      <c r="A293" t="inlineStr">
        <is>
          <t>Selections &amp; Orders</t>
        </is>
      </c>
      <c r="B293" s="46">
        <f>'Selections &amp; Orders'!AC299</f>
        <v/>
      </c>
      <c r="C293" s="84">
        <f>'Selections &amp; Orders'!AA299</f>
        <v/>
      </c>
      <c r="D293" s="46">
        <f>'Selections &amp; Orders'!AB299</f>
        <v/>
      </c>
      <c r="E293" s="46">
        <f>IF(OR(B293="",C293="",D293=""),"",D293*100000+(C293-DATE(2000,1,1))+ROW()/100000)</f>
        <v/>
      </c>
      <c r="F293" s="46">
        <f>IF(E293="","",IF(C293&gt;WeekEndDate,"",E293))</f>
        <v/>
      </c>
    </row>
    <row r="294">
      <c r="A294" t="inlineStr">
        <is>
          <t>Selections &amp; Orders</t>
        </is>
      </c>
      <c r="B294" s="46">
        <f>'Selections &amp; Orders'!AC300</f>
        <v/>
      </c>
      <c r="C294" s="84">
        <f>'Selections &amp; Orders'!AA300</f>
        <v/>
      </c>
      <c r="D294" s="46">
        <f>'Selections &amp; Orders'!AB300</f>
        <v/>
      </c>
      <c r="E294" s="46">
        <f>IF(OR(B294="",C294="",D294=""),"",D294*100000+(C294-DATE(2000,1,1))+ROW()/100000)</f>
        <v/>
      </c>
      <c r="F294" s="46">
        <f>IF(E294="","",IF(C294&gt;WeekEndDate,"",E294))</f>
        <v/>
      </c>
    </row>
    <row r="295">
      <c r="A295" t="inlineStr">
        <is>
          <t>Selections &amp; Orders</t>
        </is>
      </c>
      <c r="B295" s="46">
        <f>'Selections &amp; Orders'!AC301</f>
        <v/>
      </c>
      <c r="C295" s="84">
        <f>'Selections &amp; Orders'!AA301</f>
        <v/>
      </c>
      <c r="D295" s="46">
        <f>'Selections &amp; Orders'!AB301</f>
        <v/>
      </c>
      <c r="E295" s="46">
        <f>IF(OR(B295="",C295="",D295=""),"",D295*100000+(C295-DATE(2000,1,1))+ROW()/100000)</f>
        <v/>
      </c>
      <c r="F295" s="46">
        <f>IF(E295="","",IF(C295&gt;WeekEndDate,"",E295))</f>
        <v/>
      </c>
    </row>
    <row r="296">
      <c r="A296" t="inlineStr">
        <is>
          <t>Selections &amp; Orders</t>
        </is>
      </c>
      <c r="B296" s="46">
        <f>'Selections &amp; Orders'!AC302</f>
        <v/>
      </c>
      <c r="C296" s="84">
        <f>'Selections &amp; Orders'!AA302</f>
        <v/>
      </c>
      <c r="D296" s="46">
        <f>'Selections &amp; Orders'!AB302</f>
        <v/>
      </c>
      <c r="E296" s="46">
        <f>IF(OR(B296="",C296="",D296=""),"",D296*100000+(C296-DATE(2000,1,1))+ROW()/100000)</f>
        <v/>
      </c>
      <c r="F296" s="46">
        <f>IF(E296="","",IF(C296&gt;WeekEndDate,"",E296))</f>
        <v/>
      </c>
    </row>
    <row r="297">
      <c r="A297" t="inlineStr">
        <is>
          <t>Selections &amp; Orders</t>
        </is>
      </c>
      <c r="B297" s="46">
        <f>'Selections &amp; Orders'!AC303</f>
        <v/>
      </c>
      <c r="C297" s="84">
        <f>'Selections &amp; Orders'!AA303</f>
        <v/>
      </c>
      <c r="D297" s="46">
        <f>'Selections &amp; Orders'!AB303</f>
        <v/>
      </c>
      <c r="E297" s="46">
        <f>IF(OR(B297="",C297="",D297=""),"",D297*100000+(C297-DATE(2000,1,1))+ROW()/100000)</f>
        <v/>
      </c>
      <c r="F297" s="46">
        <f>IF(E297="","",IF(C297&gt;WeekEndDate,"",E297))</f>
        <v/>
      </c>
    </row>
    <row r="298">
      <c r="A298" t="inlineStr">
        <is>
          <t>Selections &amp; Orders</t>
        </is>
      </c>
      <c r="B298" s="46">
        <f>'Selections &amp; Orders'!AC304</f>
        <v/>
      </c>
      <c r="C298" s="84">
        <f>'Selections &amp; Orders'!AA304</f>
        <v/>
      </c>
      <c r="D298" s="46">
        <f>'Selections &amp; Orders'!AB304</f>
        <v/>
      </c>
      <c r="E298" s="46">
        <f>IF(OR(B298="",C298="",D298=""),"",D298*100000+(C298-DATE(2000,1,1))+ROW()/100000)</f>
        <v/>
      </c>
      <c r="F298" s="46">
        <f>IF(E298="","",IF(C298&gt;WeekEndDate,"",E298))</f>
        <v/>
      </c>
    </row>
    <row r="299">
      <c r="A299" t="inlineStr">
        <is>
          <t>Selections &amp; Orders</t>
        </is>
      </c>
      <c r="B299" s="46">
        <f>'Selections &amp; Orders'!AC305</f>
        <v/>
      </c>
      <c r="C299" s="84">
        <f>'Selections &amp; Orders'!AA305</f>
        <v/>
      </c>
      <c r="D299" s="46">
        <f>'Selections &amp; Orders'!AB305</f>
        <v/>
      </c>
      <c r="E299" s="46">
        <f>IF(OR(B299="",C299="",D299=""),"",D299*100000+(C299-DATE(2000,1,1))+ROW()/100000)</f>
        <v/>
      </c>
      <c r="F299" s="46">
        <f>IF(E299="","",IF(C299&gt;WeekEndDate,"",E299))</f>
        <v/>
      </c>
    </row>
    <row r="300">
      <c r="A300" t="inlineStr">
        <is>
          <t>Selections &amp; Orders</t>
        </is>
      </c>
      <c r="B300" s="46">
        <f>'Selections &amp; Orders'!AC306</f>
        <v/>
      </c>
      <c r="C300" s="84">
        <f>'Selections &amp; Orders'!AA306</f>
        <v/>
      </c>
      <c r="D300" s="46">
        <f>'Selections &amp; Orders'!AB306</f>
        <v/>
      </c>
      <c r="E300" s="46">
        <f>IF(OR(B300="",C300="",D300=""),"",D300*100000+(C300-DATE(2000,1,1))+ROW()/100000)</f>
        <v/>
      </c>
      <c r="F300" s="46">
        <f>IF(E300="","",IF(C300&gt;WeekEndDate,"",E300))</f>
        <v/>
      </c>
    </row>
    <row r="301">
      <c r="A301" t="inlineStr">
        <is>
          <t>Selections &amp; Orders</t>
        </is>
      </c>
      <c r="B301" s="46">
        <f>'Selections &amp; Orders'!AC307</f>
        <v/>
      </c>
      <c r="C301" s="84">
        <f>'Selections &amp; Orders'!AA307</f>
        <v/>
      </c>
      <c r="D301" s="46">
        <f>'Selections &amp; Orders'!AB307</f>
        <v/>
      </c>
      <c r="E301" s="46">
        <f>IF(OR(B301="",C301="",D301=""),"",D301*100000+(C301-DATE(2000,1,1))+ROW()/100000)</f>
        <v/>
      </c>
      <c r="F301" s="46">
        <f>IF(E301="","",IF(C301&gt;WeekEndDate,"",E301))</f>
        <v/>
      </c>
    </row>
    <row r="302">
      <c r="A302" t="inlineStr">
        <is>
          <t>Selections &amp; Orders</t>
        </is>
      </c>
      <c r="B302" s="46">
        <f>'Selections &amp; Orders'!AC308</f>
        <v/>
      </c>
      <c r="C302" s="84">
        <f>'Selections &amp; Orders'!AA308</f>
        <v/>
      </c>
      <c r="D302" s="46">
        <f>'Selections &amp; Orders'!AB308</f>
        <v/>
      </c>
      <c r="E302" s="46">
        <f>IF(OR(B302="",C302="",D302=""),"",D302*100000+(C302-DATE(2000,1,1))+ROW()/100000)</f>
        <v/>
      </c>
      <c r="F302" s="46">
        <f>IF(E302="","",IF(C302&gt;WeekEndDate,"",E302))</f>
        <v/>
      </c>
    </row>
    <row r="303">
      <c r="A303" t="inlineStr">
        <is>
          <t>Selections &amp; Orders</t>
        </is>
      </c>
      <c r="B303" s="46">
        <f>'Selections &amp; Orders'!AC309</f>
        <v/>
      </c>
      <c r="C303" s="84">
        <f>'Selections &amp; Orders'!AA309</f>
        <v/>
      </c>
      <c r="D303" s="46">
        <f>'Selections &amp; Orders'!AB309</f>
        <v/>
      </c>
      <c r="E303" s="46">
        <f>IF(OR(B303="",C303="",D303=""),"",D303*100000+(C303-DATE(2000,1,1))+ROW()/100000)</f>
        <v/>
      </c>
      <c r="F303" s="46">
        <f>IF(E303="","",IF(C303&gt;WeekEndDate,"",E303))</f>
        <v/>
      </c>
    </row>
    <row r="304">
      <c r="A304" t="inlineStr">
        <is>
          <t>Selections &amp; Orders</t>
        </is>
      </c>
      <c r="B304" s="46">
        <f>'Selections &amp; Orders'!AC310</f>
        <v/>
      </c>
      <c r="C304" s="84">
        <f>'Selections &amp; Orders'!AA310</f>
        <v/>
      </c>
      <c r="D304" s="46">
        <f>'Selections &amp; Orders'!AB310</f>
        <v/>
      </c>
      <c r="E304" s="46">
        <f>IF(OR(B304="",C304="",D304=""),"",D304*100000+(C304-DATE(2000,1,1))+ROW()/100000)</f>
        <v/>
      </c>
      <c r="F304" s="46">
        <f>IF(E304="","",IF(C304&gt;WeekEndDate,"",E304))</f>
        <v/>
      </c>
    </row>
    <row r="305">
      <c r="A305" t="inlineStr">
        <is>
          <t>Selections &amp; Orders</t>
        </is>
      </c>
      <c r="B305" s="46">
        <f>'Selections &amp; Orders'!AC311</f>
        <v/>
      </c>
      <c r="C305" s="84">
        <f>'Selections &amp; Orders'!AA311</f>
        <v/>
      </c>
      <c r="D305" s="46">
        <f>'Selections &amp; Orders'!AB311</f>
        <v/>
      </c>
      <c r="E305" s="46">
        <f>IF(OR(B305="",C305="",D305=""),"",D305*100000+(C305-DATE(2000,1,1))+ROW()/100000)</f>
        <v/>
      </c>
      <c r="F305" s="46">
        <f>IF(E305="","",IF(C305&gt;WeekEndDate,"",E305))</f>
        <v/>
      </c>
    </row>
    <row r="306">
      <c r="A306" t="inlineStr">
        <is>
          <t>Selections &amp; Orders</t>
        </is>
      </c>
      <c r="B306" s="46">
        <f>'Selections &amp; Orders'!AC312</f>
        <v/>
      </c>
      <c r="C306" s="84">
        <f>'Selections &amp; Orders'!AA312</f>
        <v/>
      </c>
      <c r="D306" s="46">
        <f>'Selections &amp; Orders'!AB312</f>
        <v/>
      </c>
      <c r="E306" s="46">
        <f>IF(OR(B306="",C306="",D306=""),"",D306*100000+(C306-DATE(2000,1,1))+ROW()/100000)</f>
        <v/>
      </c>
      <c r="F306" s="46">
        <f>IF(E306="","",IF(C306&gt;WeekEndDate,"",E306))</f>
        <v/>
      </c>
    </row>
    <row r="307">
      <c r="A307" t="inlineStr">
        <is>
          <t>Selections &amp; Orders</t>
        </is>
      </c>
      <c r="B307" s="46">
        <f>'Selections &amp; Orders'!AC313</f>
        <v/>
      </c>
      <c r="C307" s="84">
        <f>'Selections &amp; Orders'!AA313</f>
        <v/>
      </c>
      <c r="D307" s="46">
        <f>'Selections &amp; Orders'!AB313</f>
        <v/>
      </c>
      <c r="E307" s="46">
        <f>IF(OR(B307="",C307="",D307=""),"",D307*100000+(C307-DATE(2000,1,1))+ROW()/100000)</f>
        <v/>
      </c>
      <c r="F307" s="46">
        <f>IF(E307="","",IF(C307&gt;WeekEndDate,"",E307))</f>
        <v/>
      </c>
    </row>
    <row r="308">
      <c r="A308" t="inlineStr">
        <is>
          <t>Selections &amp; Orders</t>
        </is>
      </c>
      <c r="B308" s="46">
        <f>'Selections &amp; Orders'!AC314</f>
        <v/>
      </c>
      <c r="C308" s="84">
        <f>'Selections &amp; Orders'!AA314</f>
        <v/>
      </c>
      <c r="D308" s="46">
        <f>'Selections &amp; Orders'!AB314</f>
        <v/>
      </c>
      <c r="E308" s="46">
        <f>IF(OR(B308="",C308="",D308=""),"",D308*100000+(C308-DATE(2000,1,1))+ROW()/100000)</f>
        <v/>
      </c>
      <c r="F308" s="46">
        <f>IF(E308="","",IF(C308&gt;WeekEndDate,"",E308))</f>
        <v/>
      </c>
    </row>
    <row r="309">
      <c r="A309" t="inlineStr">
        <is>
          <t>Selections &amp; Orders</t>
        </is>
      </c>
      <c r="B309" s="46">
        <f>'Selections &amp; Orders'!AC315</f>
        <v/>
      </c>
      <c r="C309" s="84">
        <f>'Selections &amp; Orders'!AA315</f>
        <v/>
      </c>
      <c r="D309" s="46">
        <f>'Selections &amp; Orders'!AB315</f>
        <v/>
      </c>
      <c r="E309" s="46">
        <f>IF(OR(B309="",C309="",D309=""),"",D309*100000+(C309-DATE(2000,1,1))+ROW()/100000)</f>
        <v/>
      </c>
      <c r="F309" s="46">
        <f>IF(E309="","",IF(C309&gt;WeekEndDate,"",E309))</f>
        <v/>
      </c>
    </row>
    <row r="310">
      <c r="A310" t="inlineStr">
        <is>
          <t>Selections &amp; Orders</t>
        </is>
      </c>
      <c r="B310" s="46">
        <f>'Selections &amp; Orders'!AC316</f>
        <v/>
      </c>
      <c r="C310" s="84">
        <f>'Selections &amp; Orders'!AA316</f>
        <v/>
      </c>
      <c r="D310" s="46">
        <f>'Selections &amp; Orders'!AB316</f>
        <v/>
      </c>
      <c r="E310" s="46">
        <f>IF(OR(B310="",C310="",D310=""),"",D310*100000+(C310-DATE(2000,1,1))+ROW()/100000)</f>
        <v/>
      </c>
      <c r="F310" s="46">
        <f>IF(E310="","",IF(C310&gt;WeekEndDate,"",E310))</f>
        <v/>
      </c>
    </row>
    <row r="311">
      <c r="A311" t="inlineStr">
        <is>
          <t>Selections &amp; Orders</t>
        </is>
      </c>
      <c r="B311" s="46">
        <f>'Selections &amp; Orders'!AC317</f>
        <v/>
      </c>
      <c r="C311" s="84">
        <f>'Selections &amp; Orders'!AA317</f>
        <v/>
      </c>
      <c r="D311" s="46">
        <f>'Selections &amp; Orders'!AB317</f>
        <v/>
      </c>
      <c r="E311" s="46">
        <f>IF(OR(B311="",C311="",D311=""),"",D311*100000+(C311-DATE(2000,1,1))+ROW()/100000)</f>
        <v/>
      </c>
      <c r="F311" s="46">
        <f>IF(E311="","",IF(C311&gt;WeekEndDate,"",E311))</f>
        <v/>
      </c>
    </row>
    <row r="312">
      <c r="A312" t="inlineStr">
        <is>
          <t>Selections &amp; Orders</t>
        </is>
      </c>
      <c r="B312" s="46">
        <f>'Selections &amp; Orders'!AC318</f>
        <v/>
      </c>
      <c r="C312" s="84">
        <f>'Selections &amp; Orders'!AA318</f>
        <v/>
      </c>
      <c r="D312" s="46">
        <f>'Selections &amp; Orders'!AB318</f>
        <v/>
      </c>
      <c r="E312" s="46">
        <f>IF(OR(B312="",C312="",D312=""),"",D312*100000+(C312-DATE(2000,1,1))+ROW()/100000)</f>
        <v/>
      </c>
      <c r="F312" s="46">
        <f>IF(E312="","",IF(C312&gt;WeekEndDate,"",E312))</f>
        <v/>
      </c>
    </row>
    <row r="313">
      <c r="A313" t="inlineStr">
        <is>
          <t>Selections &amp; Orders</t>
        </is>
      </c>
      <c r="B313" s="46">
        <f>'Selections &amp; Orders'!AC319</f>
        <v/>
      </c>
      <c r="C313" s="84">
        <f>'Selections &amp; Orders'!AA319</f>
        <v/>
      </c>
      <c r="D313" s="46">
        <f>'Selections &amp; Orders'!AB319</f>
        <v/>
      </c>
      <c r="E313" s="46">
        <f>IF(OR(B313="",C313="",D313=""),"",D313*100000+(C313-DATE(2000,1,1))+ROW()/100000)</f>
        <v/>
      </c>
      <c r="F313" s="46">
        <f>IF(E313="","",IF(C313&gt;WeekEndDate,"",E313))</f>
        <v/>
      </c>
    </row>
    <row r="314">
      <c r="A314" t="inlineStr">
        <is>
          <t>Selections &amp; Orders</t>
        </is>
      </c>
      <c r="B314" s="46">
        <f>'Selections &amp; Orders'!AC320</f>
        <v/>
      </c>
      <c r="C314" s="84">
        <f>'Selections &amp; Orders'!AA320</f>
        <v/>
      </c>
      <c r="D314" s="46">
        <f>'Selections &amp; Orders'!AB320</f>
        <v/>
      </c>
      <c r="E314" s="46">
        <f>IF(OR(B314="",C314="",D314=""),"",D314*100000+(C314-DATE(2000,1,1))+ROW()/100000)</f>
        <v/>
      </c>
      <c r="F314" s="46">
        <f>IF(E314="","",IF(C314&gt;WeekEndDate,"",E314))</f>
        <v/>
      </c>
    </row>
    <row r="315">
      <c r="A315" t="inlineStr">
        <is>
          <t>Selections &amp; Orders</t>
        </is>
      </c>
      <c r="B315" s="46">
        <f>'Selections &amp; Orders'!AC321</f>
        <v/>
      </c>
      <c r="C315" s="84">
        <f>'Selections &amp; Orders'!AA321</f>
        <v/>
      </c>
      <c r="D315" s="46">
        <f>'Selections &amp; Orders'!AB321</f>
        <v/>
      </c>
      <c r="E315" s="46">
        <f>IF(OR(B315="",C315="",D315=""),"",D315*100000+(C315-DATE(2000,1,1))+ROW()/100000)</f>
        <v/>
      </c>
      <c r="F315" s="46">
        <f>IF(E315="","",IF(C315&gt;WeekEndDate,"",E315))</f>
        <v/>
      </c>
    </row>
    <row r="316">
      <c r="A316" t="inlineStr">
        <is>
          <t>Selections &amp; Orders</t>
        </is>
      </c>
      <c r="B316" s="46">
        <f>'Selections &amp; Orders'!AC322</f>
        <v/>
      </c>
      <c r="C316" s="84">
        <f>'Selections &amp; Orders'!AA322</f>
        <v/>
      </c>
      <c r="D316" s="46">
        <f>'Selections &amp; Orders'!AB322</f>
        <v/>
      </c>
      <c r="E316" s="46">
        <f>IF(OR(B316="",C316="",D316=""),"",D316*100000+(C316-DATE(2000,1,1))+ROW()/100000)</f>
        <v/>
      </c>
      <c r="F316" s="46">
        <f>IF(E316="","",IF(C316&gt;WeekEndDate,"",E316))</f>
        <v/>
      </c>
    </row>
    <row r="317">
      <c r="A317" t="inlineStr">
        <is>
          <t>Selections &amp; Orders</t>
        </is>
      </c>
      <c r="B317" s="46">
        <f>'Selections &amp; Orders'!AC323</f>
        <v/>
      </c>
      <c r="C317" s="84">
        <f>'Selections &amp; Orders'!AA323</f>
        <v/>
      </c>
      <c r="D317" s="46">
        <f>'Selections &amp; Orders'!AB323</f>
        <v/>
      </c>
      <c r="E317" s="46">
        <f>IF(OR(B317="",C317="",D317=""),"",D317*100000+(C317-DATE(2000,1,1))+ROW()/100000)</f>
        <v/>
      </c>
      <c r="F317" s="46">
        <f>IF(E317="","",IF(C317&gt;WeekEndDate,"",E317))</f>
        <v/>
      </c>
    </row>
    <row r="318">
      <c r="A318" t="inlineStr">
        <is>
          <t>Selections &amp; Orders</t>
        </is>
      </c>
      <c r="B318" s="46">
        <f>'Selections &amp; Orders'!AC324</f>
        <v/>
      </c>
      <c r="C318" s="84">
        <f>'Selections &amp; Orders'!AA324</f>
        <v/>
      </c>
      <c r="D318" s="46">
        <f>'Selections &amp; Orders'!AB324</f>
        <v/>
      </c>
      <c r="E318" s="46">
        <f>IF(OR(B318="",C318="",D318=""),"",D318*100000+(C318-DATE(2000,1,1))+ROW()/100000)</f>
        <v/>
      </c>
      <c r="F318" s="46">
        <f>IF(E318="","",IF(C318&gt;WeekEndDate,"",E318))</f>
        <v/>
      </c>
    </row>
    <row r="319">
      <c r="A319" t="inlineStr">
        <is>
          <t>Selections &amp; Orders</t>
        </is>
      </c>
      <c r="B319" s="46">
        <f>'Selections &amp; Orders'!AC325</f>
        <v/>
      </c>
      <c r="C319" s="84">
        <f>'Selections &amp; Orders'!AA325</f>
        <v/>
      </c>
      <c r="D319" s="46">
        <f>'Selections &amp; Orders'!AB325</f>
        <v/>
      </c>
      <c r="E319" s="46">
        <f>IF(OR(B319="",C319="",D319=""),"",D319*100000+(C319-DATE(2000,1,1))+ROW()/100000)</f>
        <v/>
      </c>
      <c r="F319" s="46">
        <f>IF(E319="","",IF(C319&gt;WeekEndDate,"",E319))</f>
        <v/>
      </c>
    </row>
    <row r="320">
      <c r="A320" t="inlineStr">
        <is>
          <t>Selections &amp; Orders</t>
        </is>
      </c>
      <c r="B320" s="46">
        <f>'Selections &amp; Orders'!AC326</f>
        <v/>
      </c>
      <c r="C320" s="84">
        <f>'Selections &amp; Orders'!AA326</f>
        <v/>
      </c>
      <c r="D320" s="46">
        <f>'Selections &amp; Orders'!AB326</f>
        <v/>
      </c>
      <c r="E320" s="46">
        <f>IF(OR(B320="",C320="",D320=""),"",D320*100000+(C320-DATE(2000,1,1))+ROW()/100000)</f>
        <v/>
      </c>
      <c r="F320" s="46">
        <f>IF(E320="","",IF(C320&gt;WeekEndDate,"",E320))</f>
        <v/>
      </c>
    </row>
    <row r="321">
      <c r="A321" t="inlineStr">
        <is>
          <t>Selections &amp; Orders</t>
        </is>
      </c>
      <c r="B321" s="46">
        <f>'Selections &amp; Orders'!AC327</f>
        <v/>
      </c>
      <c r="C321" s="84">
        <f>'Selections &amp; Orders'!AA327</f>
        <v/>
      </c>
      <c r="D321" s="46">
        <f>'Selections &amp; Orders'!AB327</f>
        <v/>
      </c>
      <c r="E321" s="46">
        <f>IF(OR(B321="",C321="",D321=""),"",D321*100000+(C321-DATE(2000,1,1))+ROW()/100000)</f>
        <v/>
      </c>
      <c r="F321" s="46">
        <f>IF(E321="","",IF(C321&gt;WeekEndDate,"",E321))</f>
        <v/>
      </c>
    </row>
    <row r="322">
      <c r="A322" t="inlineStr">
        <is>
          <t>Selections &amp; Orders</t>
        </is>
      </c>
      <c r="B322" s="46">
        <f>'Selections &amp; Orders'!AC328</f>
        <v/>
      </c>
      <c r="C322" s="84">
        <f>'Selections &amp; Orders'!AA328</f>
        <v/>
      </c>
      <c r="D322" s="46">
        <f>'Selections &amp; Orders'!AB328</f>
        <v/>
      </c>
      <c r="E322" s="46">
        <f>IF(OR(B322="",C322="",D322=""),"",D322*100000+(C322-DATE(2000,1,1))+ROW()/100000)</f>
        <v/>
      </c>
      <c r="F322" s="46">
        <f>IF(E322="","",IF(C322&gt;WeekEndDate,"",E322))</f>
        <v/>
      </c>
    </row>
    <row r="323">
      <c r="A323" t="inlineStr">
        <is>
          <t>Selections &amp; Orders</t>
        </is>
      </c>
      <c r="B323" s="46">
        <f>'Selections &amp; Orders'!AC329</f>
        <v/>
      </c>
      <c r="C323" s="84">
        <f>'Selections &amp; Orders'!AA329</f>
        <v/>
      </c>
      <c r="D323" s="46">
        <f>'Selections &amp; Orders'!AB329</f>
        <v/>
      </c>
      <c r="E323" s="46">
        <f>IF(OR(B323="",C323="",D323=""),"",D323*100000+(C323-DATE(2000,1,1))+ROW()/100000)</f>
        <v/>
      </c>
      <c r="F323" s="46">
        <f>IF(E323="","",IF(C323&gt;WeekEndDate,"",E323))</f>
        <v/>
      </c>
    </row>
    <row r="324">
      <c r="A324" t="inlineStr">
        <is>
          <t>Selections &amp; Orders</t>
        </is>
      </c>
      <c r="B324" s="46">
        <f>'Selections &amp; Orders'!AC330</f>
        <v/>
      </c>
      <c r="C324" s="84">
        <f>'Selections &amp; Orders'!AA330</f>
        <v/>
      </c>
      <c r="D324" s="46">
        <f>'Selections &amp; Orders'!AB330</f>
        <v/>
      </c>
      <c r="E324" s="46">
        <f>IF(OR(B324="",C324="",D324=""),"",D324*100000+(C324-DATE(2000,1,1))+ROW()/100000)</f>
        <v/>
      </c>
      <c r="F324" s="46">
        <f>IF(E324="","",IF(C324&gt;WeekEndDate,"",E324))</f>
        <v/>
      </c>
    </row>
    <row r="325">
      <c r="A325" t="inlineStr">
        <is>
          <t>Selections &amp; Orders</t>
        </is>
      </c>
      <c r="B325" s="46">
        <f>'Selections &amp; Orders'!AC331</f>
        <v/>
      </c>
      <c r="C325" s="84">
        <f>'Selections &amp; Orders'!AA331</f>
        <v/>
      </c>
      <c r="D325" s="46">
        <f>'Selections &amp; Orders'!AB331</f>
        <v/>
      </c>
      <c r="E325" s="46">
        <f>IF(OR(B325="",C325="",D325=""),"",D325*100000+(C325-DATE(2000,1,1))+ROW()/100000)</f>
        <v/>
      </c>
      <c r="F325" s="46">
        <f>IF(E325="","",IF(C325&gt;WeekEndDate,"",E325))</f>
        <v/>
      </c>
    </row>
    <row r="326">
      <c r="A326" t="inlineStr">
        <is>
          <t>Selections &amp; Orders</t>
        </is>
      </c>
      <c r="B326" s="46">
        <f>'Selections &amp; Orders'!AC332</f>
        <v/>
      </c>
      <c r="C326" s="84">
        <f>'Selections &amp; Orders'!AA332</f>
        <v/>
      </c>
      <c r="D326" s="46">
        <f>'Selections &amp; Orders'!AB332</f>
        <v/>
      </c>
      <c r="E326" s="46">
        <f>IF(OR(B326="",C326="",D326=""),"",D326*100000+(C326-DATE(2000,1,1))+ROW()/100000)</f>
        <v/>
      </c>
      <c r="F326" s="46">
        <f>IF(E326="","",IF(C326&gt;WeekEndDate,"",E326))</f>
        <v/>
      </c>
    </row>
    <row r="327">
      <c r="A327" t="inlineStr">
        <is>
          <t>Selections &amp; Orders</t>
        </is>
      </c>
      <c r="B327" s="46">
        <f>'Selections &amp; Orders'!AC333</f>
        <v/>
      </c>
      <c r="C327" s="84">
        <f>'Selections &amp; Orders'!AA333</f>
        <v/>
      </c>
      <c r="D327" s="46">
        <f>'Selections &amp; Orders'!AB333</f>
        <v/>
      </c>
      <c r="E327" s="46">
        <f>IF(OR(B327="",C327="",D327=""),"",D327*100000+(C327-DATE(2000,1,1))+ROW()/100000)</f>
        <v/>
      </c>
      <c r="F327" s="46">
        <f>IF(E327="","",IF(C327&gt;WeekEndDate,"",E327))</f>
        <v/>
      </c>
    </row>
    <row r="328">
      <c r="A328" t="inlineStr">
        <is>
          <t>Selections &amp; Orders</t>
        </is>
      </c>
      <c r="B328" s="46">
        <f>'Selections &amp; Orders'!AC334</f>
        <v/>
      </c>
      <c r="C328" s="84">
        <f>'Selections &amp; Orders'!AA334</f>
        <v/>
      </c>
      <c r="D328" s="46">
        <f>'Selections &amp; Orders'!AB334</f>
        <v/>
      </c>
      <c r="E328" s="46">
        <f>IF(OR(B328="",C328="",D328=""),"",D328*100000+(C328-DATE(2000,1,1))+ROW()/100000)</f>
        <v/>
      </c>
      <c r="F328" s="46">
        <f>IF(E328="","",IF(C328&gt;WeekEndDate,"",E328))</f>
        <v/>
      </c>
    </row>
    <row r="329">
      <c r="A329" t="inlineStr">
        <is>
          <t>Selections &amp; Orders</t>
        </is>
      </c>
      <c r="B329" s="46">
        <f>'Selections &amp; Orders'!AC335</f>
        <v/>
      </c>
      <c r="C329" s="84">
        <f>'Selections &amp; Orders'!AA335</f>
        <v/>
      </c>
      <c r="D329" s="46">
        <f>'Selections &amp; Orders'!AB335</f>
        <v/>
      </c>
      <c r="E329" s="46">
        <f>IF(OR(B329="",C329="",D329=""),"",D329*100000+(C329-DATE(2000,1,1))+ROW()/100000)</f>
        <v/>
      </c>
      <c r="F329" s="46">
        <f>IF(E329="","",IF(C329&gt;WeekEndDate,"",E329))</f>
        <v/>
      </c>
    </row>
    <row r="330">
      <c r="A330" t="inlineStr">
        <is>
          <t>Selections &amp; Orders</t>
        </is>
      </c>
      <c r="B330" s="46">
        <f>'Selections &amp; Orders'!AC336</f>
        <v/>
      </c>
      <c r="C330" s="84">
        <f>'Selections &amp; Orders'!AA336</f>
        <v/>
      </c>
      <c r="D330" s="46">
        <f>'Selections &amp; Orders'!AB336</f>
        <v/>
      </c>
      <c r="E330" s="46">
        <f>IF(OR(B330="",C330="",D330=""),"",D330*100000+(C330-DATE(2000,1,1))+ROW()/100000)</f>
        <v/>
      </c>
      <c r="F330" s="46">
        <f>IF(E330="","",IF(C330&gt;WeekEndDate,"",E330))</f>
        <v/>
      </c>
    </row>
    <row r="331">
      <c r="A331" t="inlineStr">
        <is>
          <t>Selections &amp; Orders</t>
        </is>
      </c>
      <c r="B331" s="46">
        <f>'Selections &amp; Orders'!AC337</f>
        <v/>
      </c>
      <c r="C331" s="84">
        <f>'Selections &amp; Orders'!AA337</f>
        <v/>
      </c>
      <c r="D331" s="46">
        <f>'Selections &amp; Orders'!AB337</f>
        <v/>
      </c>
      <c r="E331" s="46">
        <f>IF(OR(B331="",C331="",D331=""),"",D331*100000+(C331-DATE(2000,1,1))+ROW()/100000)</f>
        <v/>
      </c>
      <c r="F331" s="46">
        <f>IF(E331="","",IF(C331&gt;WeekEndDate,"",E331))</f>
        <v/>
      </c>
    </row>
    <row r="332">
      <c r="A332" t="inlineStr">
        <is>
          <t>Selections &amp; Orders</t>
        </is>
      </c>
      <c r="B332" s="46">
        <f>'Selections &amp; Orders'!AC338</f>
        <v/>
      </c>
      <c r="C332" s="84">
        <f>'Selections &amp; Orders'!AA338</f>
        <v/>
      </c>
      <c r="D332" s="46">
        <f>'Selections &amp; Orders'!AB338</f>
        <v/>
      </c>
      <c r="E332" s="46">
        <f>IF(OR(B332="",C332="",D332=""),"",D332*100000+(C332-DATE(2000,1,1))+ROW()/100000)</f>
        <v/>
      </c>
      <c r="F332" s="46">
        <f>IF(E332="","",IF(C332&gt;WeekEndDate,"",E332))</f>
        <v/>
      </c>
    </row>
    <row r="333">
      <c r="A333" t="inlineStr">
        <is>
          <t>Selections &amp; Orders</t>
        </is>
      </c>
      <c r="B333" s="46">
        <f>'Selections &amp; Orders'!AC339</f>
        <v/>
      </c>
      <c r="C333" s="84">
        <f>'Selections &amp; Orders'!AA339</f>
        <v/>
      </c>
      <c r="D333" s="46">
        <f>'Selections &amp; Orders'!AB339</f>
        <v/>
      </c>
      <c r="E333" s="46">
        <f>IF(OR(B333="",C333="",D333=""),"",D333*100000+(C333-DATE(2000,1,1))+ROW()/100000)</f>
        <v/>
      </c>
      <c r="F333" s="46">
        <f>IF(E333="","",IF(C333&gt;WeekEndDate,"",E333))</f>
        <v/>
      </c>
    </row>
    <row r="334">
      <c r="A334" t="inlineStr">
        <is>
          <t>Selections &amp; Orders</t>
        </is>
      </c>
      <c r="B334" s="46">
        <f>'Selections &amp; Orders'!AC340</f>
        <v/>
      </c>
      <c r="C334" s="84">
        <f>'Selections &amp; Orders'!AA340</f>
        <v/>
      </c>
      <c r="D334" s="46">
        <f>'Selections &amp; Orders'!AB340</f>
        <v/>
      </c>
      <c r="E334" s="46">
        <f>IF(OR(B334="",C334="",D334=""),"",D334*100000+(C334-DATE(2000,1,1))+ROW()/100000)</f>
        <v/>
      </c>
      <c r="F334" s="46">
        <f>IF(E334="","",IF(C334&gt;WeekEndDate,"",E334))</f>
        <v/>
      </c>
    </row>
    <row r="335">
      <c r="A335" t="inlineStr">
        <is>
          <t>Selections &amp; Orders</t>
        </is>
      </c>
      <c r="B335" s="46">
        <f>'Selections &amp; Orders'!AC341</f>
        <v/>
      </c>
      <c r="C335" s="84">
        <f>'Selections &amp; Orders'!AA341</f>
        <v/>
      </c>
      <c r="D335" s="46">
        <f>'Selections &amp; Orders'!AB341</f>
        <v/>
      </c>
      <c r="E335" s="46">
        <f>IF(OR(B335="",C335="",D335=""),"",D335*100000+(C335-DATE(2000,1,1))+ROW()/100000)</f>
        <v/>
      </c>
      <c r="F335" s="46">
        <f>IF(E335="","",IF(C335&gt;WeekEndDate,"",E335))</f>
        <v/>
      </c>
    </row>
    <row r="336">
      <c r="A336" t="inlineStr">
        <is>
          <t>Selections &amp; Orders</t>
        </is>
      </c>
      <c r="B336" s="46">
        <f>'Selections &amp; Orders'!AC342</f>
        <v/>
      </c>
      <c r="C336" s="84">
        <f>'Selections &amp; Orders'!AA342</f>
        <v/>
      </c>
      <c r="D336" s="46">
        <f>'Selections &amp; Orders'!AB342</f>
        <v/>
      </c>
      <c r="E336" s="46">
        <f>IF(OR(B336="",C336="",D336=""),"",D336*100000+(C336-DATE(2000,1,1))+ROW()/100000)</f>
        <v/>
      </c>
      <c r="F336" s="46">
        <f>IF(E336="","",IF(C336&gt;WeekEndDate,"",E336))</f>
        <v/>
      </c>
    </row>
    <row r="337">
      <c r="A337" t="inlineStr">
        <is>
          <t>Selections &amp; Orders</t>
        </is>
      </c>
      <c r="B337" s="46">
        <f>'Selections &amp; Orders'!AC343</f>
        <v/>
      </c>
      <c r="C337" s="84">
        <f>'Selections &amp; Orders'!AA343</f>
        <v/>
      </c>
      <c r="D337" s="46">
        <f>'Selections &amp; Orders'!AB343</f>
        <v/>
      </c>
      <c r="E337" s="46">
        <f>IF(OR(B337="",C337="",D337=""),"",D337*100000+(C337-DATE(2000,1,1))+ROW()/100000)</f>
        <v/>
      </c>
      <c r="F337" s="46">
        <f>IF(E337="","",IF(C337&gt;WeekEndDate,"",E337))</f>
        <v/>
      </c>
    </row>
    <row r="338">
      <c r="A338" t="inlineStr">
        <is>
          <t>Selections &amp; Orders</t>
        </is>
      </c>
      <c r="B338" s="46">
        <f>'Selections &amp; Orders'!AC344</f>
        <v/>
      </c>
      <c r="C338" s="84">
        <f>'Selections &amp; Orders'!AA344</f>
        <v/>
      </c>
      <c r="D338" s="46">
        <f>'Selections &amp; Orders'!AB344</f>
        <v/>
      </c>
      <c r="E338" s="46">
        <f>IF(OR(B338="",C338="",D338=""),"",D338*100000+(C338-DATE(2000,1,1))+ROW()/100000)</f>
        <v/>
      </c>
      <c r="F338" s="46">
        <f>IF(E338="","",IF(C338&gt;WeekEndDate,"",E338))</f>
        <v/>
      </c>
    </row>
    <row r="339">
      <c r="A339" t="inlineStr">
        <is>
          <t>Selections &amp; Orders</t>
        </is>
      </c>
      <c r="B339" s="46">
        <f>'Selections &amp; Orders'!AC345</f>
        <v/>
      </c>
      <c r="C339" s="84">
        <f>'Selections &amp; Orders'!AA345</f>
        <v/>
      </c>
      <c r="D339" s="46">
        <f>'Selections &amp; Orders'!AB345</f>
        <v/>
      </c>
      <c r="E339" s="46">
        <f>IF(OR(B339="",C339="",D339=""),"",D339*100000+(C339-DATE(2000,1,1))+ROW()/100000)</f>
        <v/>
      </c>
      <c r="F339" s="46">
        <f>IF(E339="","",IF(C339&gt;WeekEndDate,"",E339))</f>
        <v/>
      </c>
    </row>
    <row r="340">
      <c r="A340" t="inlineStr">
        <is>
          <t>Selections &amp; Orders</t>
        </is>
      </c>
      <c r="B340" s="46">
        <f>'Selections &amp; Orders'!AC346</f>
        <v/>
      </c>
      <c r="C340" s="84">
        <f>'Selections &amp; Orders'!AA346</f>
        <v/>
      </c>
      <c r="D340" s="46">
        <f>'Selections &amp; Orders'!AB346</f>
        <v/>
      </c>
      <c r="E340" s="46">
        <f>IF(OR(B340="",C340="",D340=""),"",D340*100000+(C340-DATE(2000,1,1))+ROW()/100000)</f>
        <v/>
      </c>
      <c r="F340" s="46">
        <f>IF(E340="","",IF(C340&gt;WeekEndDate,"",E340))</f>
        <v/>
      </c>
    </row>
    <row r="341">
      <c r="A341" t="inlineStr">
        <is>
          <t>Selections &amp; Orders</t>
        </is>
      </c>
      <c r="B341" s="46">
        <f>'Selections &amp; Orders'!AC347</f>
        <v/>
      </c>
      <c r="C341" s="84">
        <f>'Selections &amp; Orders'!AA347</f>
        <v/>
      </c>
      <c r="D341" s="46">
        <f>'Selections &amp; Orders'!AB347</f>
        <v/>
      </c>
      <c r="E341" s="46">
        <f>IF(OR(B341="",C341="",D341=""),"",D341*100000+(C341-DATE(2000,1,1))+ROW()/100000)</f>
        <v/>
      </c>
      <c r="F341" s="46">
        <f>IF(E341="","",IF(C341&gt;WeekEndDate,"",E341))</f>
        <v/>
      </c>
    </row>
    <row r="342">
      <c r="A342" t="inlineStr">
        <is>
          <t>Selections &amp; Orders</t>
        </is>
      </c>
      <c r="B342" s="46">
        <f>'Selections &amp; Orders'!AC348</f>
        <v/>
      </c>
      <c r="C342" s="84">
        <f>'Selections &amp; Orders'!AA348</f>
        <v/>
      </c>
      <c r="D342" s="46">
        <f>'Selections &amp; Orders'!AB348</f>
        <v/>
      </c>
      <c r="E342" s="46">
        <f>IF(OR(B342="",C342="",D342=""),"",D342*100000+(C342-DATE(2000,1,1))+ROW()/100000)</f>
        <v/>
      </c>
      <c r="F342" s="46">
        <f>IF(E342="","",IF(C342&gt;WeekEndDate,"",E342))</f>
        <v/>
      </c>
    </row>
    <row r="343">
      <c r="A343" t="inlineStr">
        <is>
          <t>Selections &amp; Orders</t>
        </is>
      </c>
      <c r="B343" s="46">
        <f>'Selections &amp; Orders'!AC349</f>
        <v/>
      </c>
      <c r="C343" s="84">
        <f>'Selections &amp; Orders'!AA349</f>
        <v/>
      </c>
      <c r="D343" s="46">
        <f>'Selections &amp; Orders'!AB349</f>
        <v/>
      </c>
      <c r="E343" s="46">
        <f>IF(OR(B343="",C343="",D343=""),"",D343*100000+(C343-DATE(2000,1,1))+ROW()/100000)</f>
        <v/>
      </c>
      <c r="F343" s="46">
        <f>IF(E343="","",IF(C343&gt;WeekEndDate,"",E343))</f>
        <v/>
      </c>
    </row>
    <row r="344">
      <c r="A344" t="inlineStr">
        <is>
          <t>Selections &amp; Orders</t>
        </is>
      </c>
      <c r="B344" s="46">
        <f>'Selections &amp; Orders'!AC350</f>
        <v/>
      </c>
      <c r="C344" s="84">
        <f>'Selections &amp; Orders'!AA350</f>
        <v/>
      </c>
      <c r="D344" s="46">
        <f>'Selections &amp; Orders'!AB350</f>
        <v/>
      </c>
      <c r="E344" s="46">
        <f>IF(OR(B344="",C344="",D344=""),"",D344*100000+(C344-DATE(2000,1,1))+ROW()/100000)</f>
        <v/>
      </c>
      <c r="F344" s="46">
        <f>IF(E344="","",IF(C344&gt;WeekEndDate,"",E344))</f>
        <v/>
      </c>
    </row>
    <row r="345">
      <c r="A345" t="inlineStr">
        <is>
          <t>Selections &amp; Orders</t>
        </is>
      </c>
      <c r="B345" s="46">
        <f>'Selections &amp; Orders'!AC351</f>
        <v/>
      </c>
      <c r="C345" s="84">
        <f>'Selections &amp; Orders'!AA351</f>
        <v/>
      </c>
      <c r="D345" s="46">
        <f>'Selections &amp; Orders'!AB351</f>
        <v/>
      </c>
      <c r="E345" s="46">
        <f>IF(OR(B345="",C345="",D345=""),"",D345*100000+(C345-DATE(2000,1,1))+ROW()/100000)</f>
        <v/>
      </c>
      <c r="F345" s="46">
        <f>IF(E345="","",IF(C345&gt;WeekEndDate,"",E345))</f>
        <v/>
      </c>
    </row>
    <row r="346">
      <c r="A346" t="inlineStr">
        <is>
          <t>Selections &amp; Orders</t>
        </is>
      </c>
      <c r="B346" s="46">
        <f>'Selections &amp; Orders'!AC352</f>
        <v/>
      </c>
      <c r="C346" s="84">
        <f>'Selections &amp; Orders'!AA352</f>
        <v/>
      </c>
      <c r="D346" s="46">
        <f>'Selections &amp; Orders'!AB352</f>
        <v/>
      </c>
      <c r="E346" s="46">
        <f>IF(OR(B346="",C346="",D346=""),"",D346*100000+(C346-DATE(2000,1,1))+ROW()/100000)</f>
        <v/>
      </c>
      <c r="F346" s="46">
        <f>IF(E346="","",IF(C346&gt;WeekEndDate,"",E346))</f>
        <v/>
      </c>
    </row>
    <row r="347">
      <c r="A347" t="inlineStr">
        <is>
          <t>Selections &amp; Orders</t>
        </is>
      </c>
      <c r="B347" s="46">
        <f>'Selections &amp; Orders'!AC353</f>
        <v/>
      </c>
      <c r="C347" s="84">
        <f>'Selections &amp; Orders'!AA353</f>
        <v/>
      </c>
      <c r="D347" s="46">
        <f>'Selections &amp; Orders'!AB353</f>
        <v/>
      </c>
      <c r="E347" s="46">
        <f>IF(OR(B347="",C347="",D347=""),"",D347*100000+(C347-DATE(2000,1,1))+ROW()/100000)</f>
        <v/>
      </c>
      <c r="F347" s="46">
        <f>IF(E347="","",IF(C347&gt;WeekEndDate,"",E347))</f>
        <v/>
      </c>
    </row>
    <row r="348">
      <c r="A348" t="inlineStr">
        <is>
          <t>Selections &amp; Orders</t>
        </is>
      </c>
      <c r="B348" s="46">
        <f>'Selections &amp; Orders'!AC354</f>
        <v/>
      </c>
      <c r="C348" s="84">
        <f>'Selections &amp; Orders'!AA354</f>
        <v/>
      </c>
      <c r="D348" s="46">
        <f>'Selections &amp; Orders'!AB354</f>
        <v/>
      </c>
      <c r="E348" s="46">
        <f>IF(OR(B348="",C348="",D348=""),"",D348*100000+(C348-DATE(2000,1,1))+ROW()/100000)</f>
        <v/>
      </c>
      <c r="F348" s="46">
        <f>IF(E348="","",IF(C348&gt;WeekEndDate,"",E348))</f>
        <v/>
      </c>
    </row>
    <row r="349">
      <c r="A349" t="inlineStr">
        <is>
          <t>Selections &amp; Orders</t>
        </is>
      </c>
      <c r="B349" s="46">
        <f>'Selections &amp; Orders'!AC355</f>
        <v/>
      </c>
      <c r="C349" s="84">
        <f>'Selections &amp; Orders'!AA355</f>
        <v/>
      </c>
      <c r="D349" s="46">
        <f>'Selections &amp; Orders'!AB355</f>
        <v/>
      </c>
      <c r="E349" s="46">
        <f>IF(OR(B349="",C349="",D349=""),"",D349*100000+(C349-DATE(2000,1,1))+ROW()/100000)</f>
        <v/>
      </c>
      <c r="F349" s="46">
        <f>IF(E349="","",IF(C349&gt;WeekEndDate,"",E349))</f>
        <v/>
      </c>
    </row>
    <row r="350">
      <c r="A350" t="inlineStr">
        <is>
          <t>Selections &amp; Orders</t>
        </is>
      </c>
      <c r="B350" s="46">
        <f>'Selections &amp; Orders'!AC356</f>
        <v/>
      </c>
      <c r="C350" s="84">
        <f>'Selections &amp; Orders'!AA356</f>
        <v/>
      </c>
      <c r="D350" s="46">
        <f>'Selections &amp; Orders'!AB356</f>
        <v/>
      </c>
      <c r="E350" s="46">
        <f>IF(OR(B350="",C350="",D350=""),"",D350*100000+(C350-DATE(2000,1,1))+ROW()/100000)</f>
        <v/>
      </c>
      <c r="F350" s="46">
        <f>IF(E350="","",IF(C350&gt;WeekEndDate,"",E350))</f>
        <v/>
      </c>
    </row>
    <row r="351">
      <c r="A351" t="inlineStr">
        <is>
          <t>Selections &amp; Orders</t>
        </is>
      </c>
      <c r="B351" s="46">
        <f>'Selections &amp; Orders'!AC357</f>
        <v/>
      </c>
      <c r="C351" s="84">
        <f>'Selections &amp; Orders'!AA357</f>
        <v/>
      </c>
      <c r="D351" s="46">
        <f>'Selections &amp; Orders'!AB357</f>
        <v/>
      </c>
      <c r="E351" s="46">
        <f>IF(OR(B351="",C351="",D351=""),"",D351*100000+(C351-DATE(2000,1,1))+ROW()/100000)</f>
        <v/>
      </c>
      <c r="F351" s="46">
        <f>IF(E351="","",IF(C351&gt;WeekEndDate,"",E351))</f>
        <v/>
      </c>
    </row>
    <row r="352">
      <c r="A352" t="inlineStr">
        <is>
          <t>Selections &amp; Orders</t>
        </is>
      </c>
      <c r="B352" s="46">
        <f>'Selections &amp; Orders'!AC358</f>
        <v/>
      </c>
      <c r="C352" s="84">
        <f>'Selections &amp; Orders'!AA358</f>
        <v/>
      </c>
      <c r="D352" s="46">
        <f>'Selections &amp; Orders'!AB358</f>
        <v/>
      </c>
      <c r="E352" s="46">
        <f>IF(OR(B352="",C352="",D352=""),"",D352*100000+(C352-DATE(2000,1,1))+ROW()/100000)</f>
        <v/>
      </c>
      <c r="F352" s="46">
        <f>IF(E352="","",IF(C352&gt;WeekEndDate,"",E352))</f>
        <v/>
      </c>
    </row>
    <row r="353">
      <c r="A353" t="inlineStr">
        <is>
          <t>Selections &amp; Orders</t>
        </is>
      </c>
      <c r="B353" s="46">
        <f>'Selections &amp; Orders'!AC359</f>
        <v/>
      </c>
      <c r="C353" s="84">
        <f>'Selections &amp; Orders'!AA359</f>
        <v/>
      </c>
      <c r="D353" s="46">
        <f>'Selections &amp; Orders'!AB359</f>
        <v/>
      </c>
      <c r="E353" s="46">
        <f>IF(OR(B353="",C353="",D353=""),"",D353*100000+(C353-DATE(2000,1,1))+ROW()/100000)</f>
        <v/>
      </c>
      <c r="F353" s="46">
        <f>IF(E353="","",IF(C353&gt;WeekEndDate,"",E353))</f>
        <v/>
      </c>
    </row>
    <row r="354">
      <c r="A354" t="inlineStr">
        <is>
          <t>Selections &amp; Orders</t>
        </is>
      </c>
      <c r="B354" s="46">
        <f>'Selections &amp; Orders'!AC360</f>
        <v/>
      </c>
      <c r="C354" s="84">
        <f>'Selections &amp; Orders'!AA360</f>
        <v/>
      </c>
      <c r="D354" s="46">
        <f>'Selections &amp; Orders'!AB360</f>
        <v/>
      </c>
      <c r="E354" s="46">
        <f>IF(OR(B354="",C354="",D354=""),"",D354*100000+(C354-DATE(2000,1,1))+ROW()/100000)</f>
        <v/>
      </c>
      <c r="F354" s="46">
        <f>IF(E354="","",IF(C354&gt;WeekEndDate,"",E354))</f>
        <v/>
      </c>
    </row>
    <row r="355">
      <c r="A355" t="inlineStr">
        <is>
          <t>Selections &amp; Orders</t>
        </is>
      </c>
      <c r="B355" s="46">
        <f>'Selections &amp; Orders'!AC361</f>
        <v/>
      </c>
      <c r="C355" s="84">
        <f>'Selections &amp; Orders'!AA361</f>
        <v/>
      </c>
      <c r="D355" s="46">
        <f>'Selections &amp; Orders'!AB361</f>
        <v/>
      </c>
      <c r="E355" s="46">
        <f>IF(OR(B355="",C355="",D355=""),"",D355*100000+(C355-DATE(2000,1,1))+ROW()/100000)</f>
        <v/>
      </c>
      <c r="F355" s="46">
        <f>IF(E355="","",IF(C355&gt;WeekEndDate,"",E355))</f>
        <v/>
      </c>
    </row>
    <row r="356">
      <c r="A356" t="inlineStr">
        <is>
          <t>Selections &amp; Orders</t>
        </is>
      </c>
      <c r="B356" s="46">
        <f>'Selections &amp; Orders'!AC362</f>
        <v/>
      </c>
      <c r="C356" s="84">
        <f>'Selections &amp; Orders'!AA362</f>
        <v/>
      </c>
      <c r="D356" s="46">
        <f>'Selections &amp; Orders'!AB362</f>
        <v/>
      </c>
      <c r="E356" s="46">
        <f>IF(OR(B356="",C356="",D356=""),"",D356*100000+(C356-DATE(2000,1,1))+ROW()/100000)</f>
        <v/>
      </c>
      <c r="F356" s="46">
        <f>IF(E356="","",IF(C356&gt;WeekEndDate,"",E356))</f>
        <v/>
      </c>
    </row>
    <row r="357">
      <c r="A357" t="inlineStr">
        <is>
          <t>Selections &amp; Orders</t>
        </is>
      </c>
      <c r="B357" s="46">
        <f>'Selections &amp; Orders'!AC363</f>
        <v/>
      </c>
      <c r="C357" s="84">
        <f>'Selections &amp; Orders'!AA363</f>
        <v/>
      </c>
      <c r="D357" s="46">
        <f>'Selections &amp; Orders'!AB363</f>
        <v/>
      </c>
      <c r="E357" s="46">
        <f>IF(OR(B357="",C357="",D357=""),"",D357*100000+(C357-DATE(2000,1,1))+ROW()/100000)</f>
        <v/>
      </c>
      <c r="F357" s="46">
        <f>IF(E357="","",IF(C357&gt;WeekEndDate,"",E357))</f>
        <v/>
      </c>
    </row>
    <row r="358">
      <c r="A358" t="inlineStr">
        <is>
          <t>Selections &amp; Orders</t>
        </is>
      </c>
      <c r="B358" s="46">
        <f>'Selections &amp; Orders'!AC364</f>
        <v/>
      </c>
      <c r="C358" s="84">
        <f>'Selections &amp; Orders'!AA364</f>
        <v/>
      </c>
      <c r="D358" s="46">
        <f>'Selections &amp; Orders'!AB364</f>
        <v/>
      </c>
      <c r="E358" s="46">
        <f>IF(OR(B358="",C358="",D358=""),"",D358*100000+(C358-DATE(2000,1,1))+ROW()/100000)</f>
        <v/>
      </c>
      <c r="F358" s="46">
        <f>IF(E358="","",IF(C358&gt;WeekEndDate,"",E358))</f>
        <v/>
      </c>
    </row>
    <row r="359">
      <c r="A359" t="inlineStr">
        <is>
          <t>Selections &amp; Orders</t>
        </is>
      </c>
      <c r="B359" s="46">
        <f>'Selections &amp; Orders'!AC365</f>
        <v/>
      </c>
      <c r="C359" s="84">
        <f>'Selections &amp; Orders'!AA365</f>
        <v/>
      </c>
      <c r="D359" s="46">
        <f>'Selections &amp; Orders'!AB365</f>
        <v/>
      </c>
      <c r="E359" s="46">
        <f>IF(OR(B359="",C359="",D359=""),"",D359*100000+(C359-DATE(2000,1,1))+ROW()/100000)</f>
        <v/>
      </c>
      <c r="F359" s="46">
        <f>IF(E359="","",IF(C359&gt;WeekEndDate,"",E359))</f>
        <v/>
      </c>
    </row>
    <row r="360">
      <c r="A360" t="inlineStr">
        <is>
          <t>Selections &amp; Orders</t>
        </is>
      </c>
      <c r="B360" s="46">
        <f>'Selections &amp; Orders'!AC366</f>
        <v/>
      </c>
      <c r="C360" s="84">
        <f>'Selections &amp; Orders'!AA366</f>
        <v/>
      </c>
      <c r="D360" s="46">
        <f>'Selections &amp; Orders'!AB366</f>
        <v/>
      </c>
      <c r="E360" s="46">
        <f>IF(OR(B360="",C360="",D360=""),"",D360*100000+(C360-DATE(2000,1,1))+ROW()/100000)</f>
        <v/>
      </c>
      <c r="F360" s="46">
        <f>IF(E360="","",IF(C360&gt;WeekEndDate,"",E360))</f>
        <v/>
      </c>
    </row>
    <row r="361">
      <c r="A361" t="inlineStr">
        <is>
          <t>Selections &amp; Orders</t>
        </is>
      </c>
      <c r="B361" s="46">
        <f>'Selections &amp; Orders'!AC367</f>
        <v/>
      </c>
      <c r="C361" s="84">
        <f>'Selections &amp; Orders'!AA367</f>
        <v/>
      </c>
      <c r="D361" s="46">
        <f>'Selections &amp; Orders'!AB367</f>
        <v/>
      </c>
      <c r="E361" s="46">
        <f>IF(OR(B361="",C361="",D361=""),"",D361*100000+(C361-DATE(2000,1,1))+ROW()/100000)</f>
        <v/>
      </c>
      <c r="F361" s="46">
        <f>IF(E361="","",IF(C361&gt;WeekEndDate,"",E361))</f>
        <v/>
      </c>
    </row>
    <row r="362">
      <c r="A362" t="inlineStr">
        <is>
          <t>Selections &amp; Orders</t>
        </is>
      </c>
      <c r="B362" s="46">
        <f>'Selections &amp; Orders'!AC368</f>
        <v/>
      </c>
      <c r="C362" s="84">
        <f>'Selections &amp; Orders'!AA368</f>
        <v/>
      </c>
      <c r="D362" s="46">
        <f>'Selections &amp; Orders'!AB368</f>
        <v/>
      </c>
      <c r="E362" s="46">
        <f>IF(OR(B362="",C362="",D362=""),"",D362*100000+(C362-DATE(2000,1,1))+ROW()/100000)</f>
        <v/>
      </c>
      <c r="F362" s="46">
        <f>IF(E362="","",IF(C362&gt;WeekEndDate,"",E362))</f>
        <v/>
      </c>
    </row>
    <row r="363">
      <c r="A363" t="inlineStr">
        <is>
          <t>Selections &amp; Orders</t>
        </is>
      </c>
      <c r="B363" s="46">
        <f>'Selections &amp; Orders'!AC369</f>
        <v/>
      </c>
      <c r="C363" s="84">
        <f>'Selections &amp; Orders'!AA369</f>
        <v/>
      </c>
      <c r="D363" s="46">
        <f>'Selections &amp; Orders'!AB369</f>
        <v/>
      </c>
      <c r="E363" s="46">
        <f>IF(OR(B363="",C363="",D363=""),"",D363*100000+(C363-DATE(2000,1,1))+ROW()/100000)</f>
        <v/>
      </c>
      <c r="F363" s="46">
        <f>IF(E363="","",IF(C363&gt;WeekEndDate,"",E363))</f>
        <v/>
      </c>
    </row>
    <row r="364">
      <c r="A364" t="inlineStr">
        <is>
          <t>Selections &amp; Orders</t>
        </is>
      </c>
      <c r="B364" s="46">
        <f>'Selections &amp; Orders'!AC370</f>
        <v/>
      </c>
      <c r="C364" s="84">
        <f>'Selections &amp; Orders'!AA370</f>
        <v/>
      </c>
      <c r="D364" s="46">
        <f>'Selections &amp; Orders'!AB370</f>
        <v/>
      </c>
      <c r="E364" s="46">
        <f>IF(OR(B364="",C364="",D364=""),"",D364*100000+(C364-DATE(2000,1,1))+ROW()/100000)</f>
        <v/>
      </c>
      <c r="F364" s="46">
        <f>IF(E364="","",IF(C364&gt;WeekEndDate,"",E364))</f>
        <v/>
      </c>
    </row>
    <row r="365">
      <c r="A365" t="inlineStr">
        <is>
          <t>Selections &amp; Orders</t>
        </is>
      </c>
      <c r="B365" s="46">
        <f>'Selections &amp; Orders'!AC371</f>
        <v/>
      </c>
      <c r="C365" s="84">
        <f>'Selections &amp; Orders'!AA371</f>
        <v/>
      </c>
      <c r="D365" s="46">
        <f>'Selections &amp; Orders'!AB371</f>
        <v/>
      </c>
      <c r="E365" s="46">
        <f>IF(OR(B365="",C365="",D365=""),"",D365*100000+(C365-DATE(2000,1,1))+ROW()/100000)</f>
        <v/>
      </c>
      <c r="F365" s="46">
        <f>IF(E365="","",IF(C365&gt;WeekEndDate,"",E365))</f>
        <v/>
      </c>
    </row>
    <row r="366">
      <c r="A366" t="inlineStr">
        <is>
          <t>Selections &amp; Orders</t>
        </is>
      </c>
      <c r="B366" s="46">
        <f>'Selections &amp; Orders'!AC372</f>
        <v/>
      </c>
      <c r="C366" s="84">
        <f>'Selections &amp; Orders'!AA372</f>
        <v/>
      </c>
      <c r="D366" s="46">
        <f>'Selections &amp; Orders'!AB372</f>
        <v/>
      </c>
      <c r="E366" s="46">
        <f>IF(OR(B366="",C366="",D366=""),"",D366*100000+(C366-DATE(2000,1,1))+ROW()/100000)</f>
        <v/>
      </c>
      <c r="F366" s="46">
        <f>IF(E366="","",IF(C366&gt;WeekEndDate,"",E366))</f>
        <v/>
      </c>
    </row>
    <row r="367">
      <c r="A367" t="inlineStr">
        <is>
          <t>Selections &amp; Orders</t>
        </is>
      </c>
      <c r="B367" s="46">
        <f>'Selections &amp; Orders'!AC373</f>
        <v/>
      </c>
      <c r="C367" s="84">
        <f>'Selections &amp; Orders'!AA373</f>
        <v/>
      </c>
      <c r="D367" s="46">
        <f>'Selections &amp; Orders'!AB373</f>
        <v/>
      </c>
      <c r="E367" s="46">
        <f>IF(OR(B367="",C367="",D367=""),"",D367*100000+(C367-DATE(2000,1,1))+ROW()/100000)</f>
        <v/>
      </c>
      <c r="F367" s="46">
        <f>IF(E367="","",IF(C367&gt;WeekEndDate,"",E367))</f>
        <v/>
      </c>
    </row>
    <row r="368">
      <c r="A368" t="inlineStr">
        <is>
          <t>Selections &amp; Orders</t>
        </is>
      </c>
      <c r="B368" s="46">
        <f>'Selections &amp; Orders'!AC374</f>
        <v/>
      </c>
      <c r="C368" s="84">
        <f>'Selections &amp; Orders'!AA374</f>
        <v/>
      </c>
      <c r="D368" s="46">
        <f>'Selections &amp; Orders'!AB374</f>
        <v/>
      </c>
      <c r="E368" s="46">
        <f>IF(OR(B368="",C368="",D368=""),"",D368*100000+(C368-DATE(2000,1,1))+ROW()/100000)</f>
        <v/>
      </c>
      <c r="F368" s="46">
        <f>IF(E368="","",IF(C368&gt;WeekEndDate,"",E368))</f>
        <v/>
      </c>
    </row>
    <row r="369">
      <c r="A369" t="inlineStr">
        <is>
          <t>Selections &amp; Orders</t>
        </is>
      </c>
      <c r="B369" s="46">
        <f>'Selections &amp; Orders'!AC375</f>
        <v/>
      </c>
      <c r="C369" s="84">
        <f>'Selections &amp; Orders'!AA375</f>
        <v/>
      </c>
      <c r="D369" s="46">
        <f>'Selections &amp; Orders'!AB375</f>
        <v/>
      </c>
      <c r="E369" s="46">
        <f>IF(OR(B369="",C369="",D369=""),"",D369*100000+(C369-DATE(2000,1,1))+ROW()/100000)</f>
        <v/>
      </c>
      <c r="F369" s="46">
        <f>IF(E369="","",IF(C369&gt;WeekEndDate,"",E369))</f>
        <v/>
      </c>
    </row>
    <row r="370">
      <c r="A370" t="inlineStr">
        <is>
          <t>Selections &amp; Orders</t>
        </is>
      </c>
      <c r="B370" s="46">
        <f>'Selections &amp; Orders'!AC376</f>
        <v/>
      </c>
      <c r="C370" s="84">
        <f>'Selections &amp; Orders'!AA376</f>
        <v/>
      </c>
      <c r="D370" s="46">
        <f>'Selections &amp; Orders'!AB376</f>
        <v/>
      </c>
      <c r="E370" s="46">
        <f>IF(OR(B370="",C370="",D370=""),"",D370*100000+(C370-DATE(2000,1,1))+ROW()/100000)</f>
        <v/>
      </c>
      <c r="F370" s="46">
        <f>IF(E370="","",IF(C370&gt;WeekEndDate,"",E370))</f>
        <v/>
      </c>
    </row>
    <row r="371">
      <c r="A371" t="inlineStr">
        <is>
          <t>Selections &amp; Orders</t>
        </is>
      </c>
      <c r="B371" s="46">
        <f>'Selections &amp; Orders'!AC377</f>
        <v/>
      </c>
      <c r="C371" s="84">
        <f>'Selections &amp; Orders'!AA377</f>
        <v/>
      </c>
      <c r="D371" s="46">
        <f>'Selections &amp; Orders'!AB377</f>
        <v/>
      </c>
      <c r="E371" s="46">
        <f>IF(OR(B371="",C371="",D371=""),"",D371*100000+(C371-DATE(2000,1,1))+ROW()/100000)</f>
        <v/>
      </c>
      <c r="F371" s="46">
        <f>IF(E371="","",IF(C371&gt;WeekEndDate,"",E371))</f>
        <v/>
      </c>
    </row>
    <row r="372">
      <c r="A372" t="inlineStr">
        <is>
          <t>Selections &amp; Orders</t>
        </is>
      </c>
      <c r="B372" s="46">
        <f>'Selections &amp; Orders'!AC378</f>
        <v/>
      </c>
      <c r="C372" s="84">
        <f>'Selections &amp; Orders'!AA378</f>
        <v/>
      </c>
      <c r="D372" s="46">
        <f>'Selections &amp; Orders'!AB378</f>
        <v/>
      </c>
      <c r="E372" s="46">
        <f>IF(OR(B372="",C372="",D372=""),"",D372*100000+(C372-DATE(2000,1,1))+ROW()/100000)</f>
        <v/>
      </c>
      <c r="F372" s="46">
        <f>IF(E372="","",IF(C372&gt;WeekEndDate,"",E372))</f>
        <v/>
      </c>
    </row>
    <row r="373">
      <c r="A373" t="inlineStr">
        <is>
          <t>Selections &amp; Orders</t>
        </is>
      </c>
      <c r="B373" s="46">
        <f>'Selections &amp; Orders'!AC379</f>
        <v/>
      </c>
      <c r="C373" s="84">
        <f>'Selections &amp; Orders'!AA379</f>
        <v/>
      </c>
      <c r="D373" s="46">
        <f>'Selections &amp; Orders'!AB379</f>
        <v/>
      </c>
      <c r="E373" s="46">
        <f>IF(OR(B373="",C373="",D373=""),"",D373*100000+(C373-DATE(2000,1,1))+ROW()/100000)</f>
        <v/>
      </c>
      <c r="F373" s="46">
        <f>IF(E373="","",IF(C373&gt;WeekEndDate,"",E373))</f>
        <v/>
      </c>
    </row>
    <row r="374">
      <c r="A374" t="inlineStr">
        <is>
          <t>Selections &amp; Orders</t>
        </is>
      </c>
      <c r="B374" s="46">
        <f>'Selections &amp; Orders'!AC380</f>
        <v/>
      </c>
      <c r="C374" s="84">
        <f>'Selections &amp; Orders'!AA380</f>
        <v/>
      </c>
      <c r="D374" s="46">
        <f>'Selections &amp; Orders'!AB380</f>
        <v/>
      </c>
      <c r="E374" s="46">
        <f>IF(OR(B374="",C374="",D374=""),"",D374*100000+(C374-DATE(2000,1,1))+ROW()/100000)</f>
        <v/>
      </c>
      <c r="F374" s="46">
        <f>IF(E374="","",IF(C374&gt;WeekEndDate,"",E374))</f>
        <v/>
      </c>
    </row>
    <row r="375">
      <c r="A375" t="inlineStr">
        <is>
          <t>Selections &amp; Orders</t>
        </is>
      </c>
      <c r="B375" s="46">
        <f>'Selections &amp; Orders'!AC381</f>
        <v/>
      </c>
      <c r="C375" s="84">
        <f>'Selections &amp; Orders'!AA381</f>
        <v/>
      </c>
      <c r="D375" s="46">
        <f>'Selections &amp; Orders'!AB381</f>
        <v/>
      </c>
      <c r="E375" s="46">
        <f>IF(OR(B375="",C375="",D375=""),"",D375*100000+(C375-DATE(2000,1,1))+ROW()/100000)</f>
        <v/>
      </c>
      <c r="F375" s="46">
        <f>IF(E375="","",IF(C375&gt;WeekEndDate,"",E375))</f>
        <v/>
      </c>
    </row>
    <row r="376">
      <c r="A376" t="inlineStr">
        <is>
          <t>Selections &amp; Orders</t>
        </is>
      </c>
      <c r="B376" s="46">
        <f>'Selections &amp; Orders'!AC382</f>
        <v/>
      </c>
      <c r="C376" s="84">
        <f>'Selections &amp; Orders'!AA382</f>
        <v/>
      </c>
      <c r="D376" s="46">
        <f>'Selections &amp; Orders'!AB382</f>
        <v/>
      </c>
      <c r="E376" s="46">
        <f>IF(OR(B376="",C376="",D376=""),"",D376*100000+(C376-DATE(2000,1,1))+ROW()/100000)</f>
        <v/>
      </c>
      <c r="F376" s="46">
        <f>IF(E376="","",IF(C376&gt;WeekEndDate,"",E376))</f>
        <v/>
      </c>
    </row>
    <row r="377">
      <c r="A377" t="inlineStr">
        <is>
          <t>Selections &amp; Orders</t>
        </is>
      </c>
      <c r="B377" s="46">
        <f>'Selections &amp; Orders'!AC383</f>
        <v/>
      </c>
      <c r="C377" s="84">
        <f>'Selections &amp; Orders'!AA383</f>
        <v/>
      </c>
      <c r="D377" s="46">
        <f>'Selections &amp; Orders'!AB383</f>
        <v/>
      </c>
      <c r="E377" s="46">
        <f>IF(OR(B377="",C377="",D377=""),"",D377*100000+(C377-DATE(2000,1,1))+ROW()/100000)</f>
        <v/>
      </c>
      <c r="F377" s="46">
        <f>IF(E377="","",IF(C377&gt;WeekEndDate,"",E377))</f>
        <v/>
      </c>
    </row>
    <row r="378">
      <c r="A378" t="inlineStr">
        <is>
          <t>Selections &amp; Orders</t>
        </is>
      </c>
      <c r="B378" s="46">
        <f>'Selections &amp; Orders'!AC384</f>
        <v/>
      </c>
      <c r="C378" s="84">
        <f>'Selections &amp; Orders'!AA384</f>
        <v/>
      </c>
      <c r="D378" s="46">
        <f>'Selections &amp; Orders'!AB384</f>
        <v/>
      </c>
      <c r="E378" s="46">
        <f>IF(OR(B378="",C378="",D378=""),"",D378*100000+(C378-DATE(2000,1,1))+ROW()/100000)</f>
        <v/>
      </c>
      <c r="F378" s="46">
        <f>IF(E378="","",IF(C378&gt;WeekEndDate,"",E378))</f>
        <v/>
      </c>
    </row>
    <row r="379">
      <c r="A379" t="inlineStr">
        <is>
          <t>Selections &amp; Orders</t>
        </is>
      </c>
      <c r="B379" s="46">
        <f>'Selections &amp; Orders'!AC385</f>
        <v/>
      </c>
      <c r="C379" s="84">
        <f>'Selections &amp; Orders'!AA385</f>
        <v/>
      </c>
      <c r="D379" s="46">
        <f>'Selections &amp; Orders'!AB385</f>
        <v/>
      </c>
      <c r="E379" s="46">
        <f>IF(OR(B379="",C379="",D379=""),"",D379*100000+(C379-DATE(2000,1,1))+ROW()/100000)</f>
        <v/>
      </c>
      <c r="F379" s="46">
        <f>IF(E379="","",IF(C379&gt;WeekEndDate,"",E379))</f>
        <v/>
      </c>
    </row>
    <row r="380">
      <c r="A380" t="inlineStr">
        <is>
          <t>Selections &amp; Orders</t>
        </is>
      </c>
      <c r="B380" s="46">
        <f>'Selections &amp; Orders'!AC386</f>
        <v/>
      </c>
      <c r="C380" s="84">
        <f>'Selections &amp; Orders'!AA386</f>
        <v/>
      </c>
      <c r="D380" s="46">
        <f>'Selections &amp; Orders'!AB386</f>
        <v/>
      </c>
      <c r="E380" s="46">
        <f>IF(OR(B380="",C380="",D380=""),"",D380*100000+(C380-DATE(2000,1,1))+ROW()/100000)</f>
        <v/>
      </c>
      <c r="F380" s="46">
        <f>IF(E380="","",IF(C380&gt;WeekEndDate,"",E380))</f>
        <v/>
      </c>
    </row>
    <row r="381">
      <c r="A381" t="inlineStr">
        <is>
          <t>Selections &amp; Orders</t>
        </is>
      </c>
      <c r="B381" s="46">
        <f>'Selections &amp; Orders'!AC387</f>
        <v/>
      </c>
      <c r="C381" s="84">
        <f>'Selections &amp; Orders'!AA387</f>
        <v/>
      </c>
      <c r="D381" s="46">
        <f>'Selections &amp; Orders'!AB387</f>
        <v/>
      </c>
      <c r="E381" s="46">
        <f>IF(OR(B381="",C381="",D381=""),"",D381*100000+(C381-DATE(2000,1,1))+ROW()/100000)</f>
        <v/>
      </c>
      <c r="F381" s="46">
        <f>IF(E381="","",IF(C381&gt;WeekEndDate,"",E381))</f>
        <v/>
      </c>
    </row>
    <row r="382">
      <c r="A382" t="inlineStr">
        <is>
          <t>Selections &amp; Orders</t>
        </is>
      </c>
      <c r="B382" s="46">
        <f>'Selections &amp; Orders'!AC388</f>
        <v/>
      </c>
      <c r="C382" s="84">
        <f>'Selections &amp; Orders'!AA388</f>
        <v/>
      </c>
      <c r="D382" s="46">
        <f>'Selections &amp; Orders'!AB388</f>
        <v/>
      </c>
      <c r="E382" s="46">
        <f>IF(OR(B382="",C382="",D382=""),"",D382*100000+(C382-DATE(2000,1,1))+ROW()/100000)</f>
        <v/>
      </c>
      <c r="F382" s="46">
        <f>IF(E382="","",IF(C382&gt;WeekEndDate,"",E382))</f>
        <v/>
      </c>
    </row>
    <row r="383">
      <c r="A383" t="inlineStr">
        <is>
          <t>Selections &amp; Orders</t>
        </is>
      </c>
      <c r="B383" s="46">
        <f>'Selections &amp; Orders'!AC389</f>
        <v/>
      </c>
      <c r="C383" s="84">
        <f>'Selections &amp; Orders'!AA389</f>
        <v/>
      </c>
      <c r="D383" s="46">
        <f>'Selections &amp; Orders'!AB389</f>
        <v/>
      </c>
      <c r="E383" s="46">
        <f>IF(OR(B383="",C383="",D383=""),"",D383*100000+(C383-DATE(2000,1,1))+ROW()/100000)</f>
        <v/>
      </c>
      <c r="F383" s="46">
        <f>IF(E383="","",IF(C383&gt;WeekEndDate,"",E383))</f>
        <v/>
      </c>
    </row>
    <row r="384">
      <c r="A384" t="inlineStr">
        <is>
          <t>Selections &amp; Orders</t>
        </is>
      </c>
      <c r="B384" s="46">
        <f>'Selections &amp; Orders'!AC390</f>
        <v/>
      </c>
      <c r="C384" s="84">
        <f>'Selections &amp; Orders'!AA390</f>
        <v/>
      </c>
      <c r="D384" s="46">
        <f>'Selections &amp; Orders'!AB390</f>
        <v/>
      </c>
      <c r="E384" s="46">
        <f>IF(OR(B384="",C384="",D384=""),"",D384*100000+(C384-DATE(2000,1,1))+ROW()/100000)</f>
        <v/>
      </c>
      <c r="F384" s="46">
        <f>IF(E384="","",IF(C384&gt;WeekEndDate,"",E384))</f>
        <v/>
      </c>
    </row>
    <row r="385">
      <c r="A385" t="inlineStr">
        <is>
          <t>Selections &amp; Orders</t>
        </is>
      </c>
      <c r="B385" s="46">
        <f>'Selections &amp; Orders'!AC391</f>
        <v/>
      </c>
      <c r="C385" s="84">
        <f>'Selections &amp; Orders'!AA391</f>
        <v/>
      </c>
      <c r="D385" s="46">
        <f>'Selections &amp; Orders'!AB391</f>
        <v/>
      </c>
      <c r="E385" s="46">
        <f>IF(OR(B385="",C385="",D385=""),"",D385*100000+(C385-DATE(2000,1,1))+ROW()/100000)</f>
        <v/>
      </c>
      <c r="F385" s="46">
        <f>IF(E385="","",IF(C385&gt;WeekEndDate,"",E385))</f>
        <v/>
      </c>
    </row>
    <row r="386">
      <c r="A386" t="inlineStr">
        <is>
          <t>Selections &amp; Orders</t>
        </is>
      </c>
      <c r="B386" s="46">
        <f>'Selections &amp; Orders'!AC392</f>
        <v/>
      </c>
      <c r="C386" s="84">
        <f>'Selections &amp; Orders'!AA392</f>
        <v/>
      </c>
      <c r="D386" s="46">
        <f>'Selections &amp; Orders'!AB392</f>
        <v/>
      </c>
      <c r="E386" s="46">
        <f>IF(OR(B386="",C386="",D386=""),"",D386*100000+(C386-DATE(2000,1,1))+ROW()/100000)</f>
        <v/>
      </c>
      <c r="F386" s="46">
        <f>IF(E386="","",IF(C386&gt;WeekEndDate,"",E386))</f>
        <v/>
      </c>
    </row>
    <row r="387">
      <c r="A387" t="inlineStr">
        <is>
          <t>Selections &amp; Orders</t>
        </is>
      </c>
      <c r="B387" s="46">
        <f>'Selections &amp; Orders'!AC393</f>
        <v/>
      </c>
      <c r="C387" s="84">
        <f>'Selections &amp; Orders'!AA393</f>
        <v/>
      </c>
      <c r="D387" s="46">
        <f>'Selections &amp; Orders'!AB393</f>
        <v/>
      </c>
      <c r="E387" s="46">
        <f>IF(OR(B387="",C387="",D387=""),"",D387*100000+(C387-DATE(2000,1,1))+ROW()/100000)</f>
        <v/>
      </c>
      <c r="F387" s="46">
        <f>IF(E387="","",IF(C387&gt;WeekEndDate,"",E387))</f>
        <v/>
      </c>
    </row>
    <row r="388">
      <c r="A388" t="inlineStr">
        <is>
          <t>Selections &amp; Orders</t>
        </is>
      </c>
      <c r="B388" s="46">
        <f>'Selections &amp; Orders'!AC394</f>
        <v/>
      </c>
      <c r="C388" s="84">
        <f>'Selections &amp; Orders'!AA394</f>
        <v/>
      </c>
      <c r="D388" s="46">
        <f>'Selections &amp; Orders'!AB394</f>
        <v/>
      </c>
      <c r="E388" s="46">
        <f>IF(OR(B388="",C388="",D388=""),"",D388*100000+(C388-DATE(2000,1,1))+ROW()/100000)</f>
        <v/>
      </c>
      <c r="F388" s="46">
        <f>IF(E388="","",IF(C388&gt;WeekEndDate,"",E388))</f>
        <v/>
      </c>
    </row>
    <row r="389">
      <c r="A389" t="inlineStr">
        <is>
          <t>Selections &amp; Orders</t>
        </is>
      </c>
      <c r="B389" s="46">
        <f>'Selections &amp; Orders'!AC395</f>
        <v/>
      </c>
      <c r="C389" s="84">
        <f>'Selections &amp; Orders'!AA395</f>
        <v/>
      </c>
      <c r="D389" s="46">
        <f>'Selections &amp; Orders'!AB395</f>
        <v/>
      </c>
      <c r="E389" s="46">
        <f>IF(OR(B389="",C389="",D389=""),"",D389*100000+(C389-DATE(2000,1,1))+ROW()/100000)</f>
        <v/>
      </c>
      <c r="F389" s="46">
        <f>IF(E389="","",IF(C389&gt;WeekEndDate,"",E389))</f>
        <v/>
      </c>
    </row>
    <row r="390">
      <c r="A390" t="inlineStr">
        <is>
          <t>Selections &amp; Orders</t>
        </is>
      </c>
      <c r="B390" s="46">
        <f>'Selections &amp; Orders'!AC396</f>
        <v/>
      </c>
      <c r="C390" s="84">
        <f>'Selections &amp; Orders'!AA396</f>
        <v/>
      </c>
      <c r="D390" s="46">
        <f>'Selections &amp; Orders'!AB396</f>
        <v/>
      </c>
      <c r="E390" s="46">
        <f>IF(OR(B390="",C390="",D390=""),"",D390*100000+(C390-DATE(2000,1,1))+ROW()/100000)</f>
        <v/>
      </c>
      <c r="F390" s="46">
        <f>IF(E390="","",IF(C390&gt;WeekEndDate,"",E390))</f>
        <v/>
      </c>
    </row>
    <row r="391">
      <c r="A391" t="inlineStr">
        <is>
          <t>Selections &amp; Orders</t>
        </is>
      </c>
      <c r="B391" s="46">
        <f>'Selections &amp; Orders'!AC397</f>
        <v/>
      </c>
      <c r="C391" s="84">
        <f>'Selections &amp; Orders'!AA397</f>
        <v/>
      </c>
      <c r="D391" s="46">
        <f>'Selections &amp; Orders'!AB397</f>
        <v/>
      </c>
      <c r="E391" s="46">
        <f>IF(OR(B391="",C391="",D391=""),"",D391*100000+(C391-DATE(2000,1,1))+ROW()/100000)</f>
        <v/>
      </c>
      <c r="F391" s="46">
        <f>IF(E391="","",IF(C391&gt;WeekEndDate,"",E391))</f>
        <v/>
      </c>
    </row>
    <row r="392">
      <c r="A392" t="inlineStr">
        <is>
          <t>Selections &amp; Orders</t>
        </is>
      </c>
      <c r="B392" s="46">
        <f>'Selections &amp; Orders'!AC398</f>
        <v/>
      </c>
      <c r="C392" s="84">
        <f>'Selections &amp; Orders'!AA398</f>
        <v/>
      </c>
      <c r="D392" s="46">
        <f>'Selections &amp; Orders'!AB398</f>
        <v/>
      </c>
      <c r="E392" s="46">
        <f>IF(OR(B392="",C392="",D392=""),"",D392*100000+(C392-DATE(2000,1,1))+ROW()/100000)</f>
        <v/>
      </c>
      <c r="F392" s="46">
        <f>IF(E392="","",IF(C392&gt;WeekEndDate,"",E392))</f>
        <v/>
      </c>
    </row>
    <row r="393">
      <c r="A393" t="inlineStr">
        <is>
          <t>Selections &amp; Orders</t>
        </is>
      </c>
      <c r="B393" s="46">
        <f>'Selections &amp; Orders'!AC399</f>
        <v/>
      </c>
      <c r="C393" s="84">
        <f>'Selections &amp; Orders'!AA399</f>
        <v/>
      </c>
      <c r="D393" s="46">
        <f>'Selections &amp; Orders'!AB399</f>
        <v/>
      </c>
      <c r="E393" s="46">
        <f>IF(OR(B393="",C393="",D393=""),"",D393*100000+(C393-DATE(2000,1,1))+ROW()/100000)</f>
        <v/>
      </c>
      <c r="F393" s="46">
        <f>IF(E393="","",IF(C393&gt;WeekEndDate,"",E393))</f>
        <v/>
      </c>
    </row>
    <row r="394">
      <c r="A394" t="inlineStr">
        <is>
          <t>Selections &amp; Orders</t>
        </is>
      </c>
      <c r="B394" s="46">
        <f>'Selections &amp; Orders'!AC400</f>
        <v/>
      </c>
      <c r="C394" s="84">
        <f>'Selections &amp; Orders'!AA400</f>
        <v/>
      </c>
      <c r="D394" s="46">
        <f>'Selections &amp; Orders'!AB400</f>
        <v/>
      </c>
      <c r="E394" s="46">
        <f>IF(OR(B394="",C394="",D394=""),"",D394*100000+(C394-DATE(2000,1,1))+ROW()/100000)</f>
        <v/>
      </c>
      <c r="F394" s="46">
        <f>IF(E394="","",IF(C394&gt;WeekEndDate,"",E394))</f>
        <v/>
      </c>
    </row>
    <row r="395">
      <c r="A395" t="inlineStr">
        <is>
          <t>Selections &amp; Orders</t>
        </is>
      </c>
      <c r="B395" s="46">
        <f>'Selections &amp; Orders'!AC401</f>
        <v/>
      </c>
      <c r="C395" s="84">
        <f>'Selections &amp; Orders'!AA401</f>
        <v/>
      </c>
      <c r="D395" s="46">
        <f>'Selections &amp; Orders'!AB401</f>
        <v/>
      </c>
      <c r="E395" s="46">
        <f>IF(OR(B395="",C395="",D395=""),"",D395*100000+(C395-DATE(2000,1,1))+ROW()/100000)</f>
        <v/>
      </c>
      <c r="F395" s="46">
        <f>IF(E395="","",IF(C395&gt;WeekEndDate,"",E395))</f>
        <v/>
      </c>
    </row>
    <row r="396">
      <c r="A396" t="inlineStr">
        <is>
          <t>Selections &amp; Orders</t>
        </is>
      </c>
      <c r="B396" s="46">
        <f>'Selections &amp; Orders'!AC402</f>
        <v/>
      </c>
      <c r="C396" s="84">
        <f>'Selections &amp; Orders'!AA402</f>
        <v/>
      </c>
      <c r="D396" s="46">
        <f>'Selections &amp; Orders'!AB402</f>
        <v/>
      </c>
      <c r="E396" s="46">
        <f>IF(OR(B396="",C396="",D396=""),"",D396*100000+(C396-DATE(2000,1,1))+ROW()/100000)</f>
        <v/>
      </c>
      <c r="F396" s="46">
        <f>IF(E396="","",IF(C396&gt;WeekEndDate,"",E396))</f>
        <v/>
      </c>
    </row>
    <row r="397">
      <c r="A397" t="inlineStr">
        <is>
          <t>Selections &amp; Orders</t>
        </is>
      </c>
      <c r="B397" s="46">
        <f>'Selections &amp; Orders'!AC403</f>
        <v/>
      </c>
      <c r="C397" s="84">
        <f>'Selections &amp; Orders'!AA403</f>
        <v/>
      </c>
      <c r="D397" s="46">
        <f>'Selections &amp; Orders'!AB403</f>
        <v/>
      </c>
      <c r="E397" s="46">
        <f>IF(OR(B397="",C397="",D397=""),"",D397*100000+(C397-DATE(2000,1,1))+ROW()/100000)</f>
        <v/>
      </c>
      <c r="F397" s="46">
        <f>IF(E397="","",IF(C397&gt;WeekEndDate,"",E397))</f>
        <v/>
      </c>
    </row>
    <row r="398">
      <c r="A398" t="inlineStr">
        <is>
          <t>Selections &amp; Orders</t>
        </is>
      </c>
      <c r="B398" s="46">
        <f>'Selections &amp; Orders'!AC404</f>
        <v/>
      </c>
      <c r="C398" s="84">
        <f>'Selections &amp; Orders'!AA404</f>
        <v/>
      </c>
      <c r="D398" s="46">
        <f>'Selections &amp; Orders'!AB404</f>
        <v/>
      </c>
      <c r="E398" s="46">
        <f>IF(OR(B398="",C398="",D398=""),"",D398*100000+(C398-DATE(2000,1,1))+ROW()/100000)</f>
        <v/>
      </c>
      <c r="F398" s="46">
        <f>IF(E398="","",IF(C398&gt;WeekEndDate,"",E398))</f>
        <v/>
      </c>
    </row>
    <row r="399">
      <c r="A399" t="inlineStr">
        <is>
          <t>Selections &amp; Orders</t>
        </is>
      </c>
      <c r="B399" s="46">
        <f>'Selections &amp; Orders'!AC405</f>
        <v/>
      </c>
      <c r="C399" s="84">
        <f>'Selections &amp; Orders'!AA405</f>
        <v/>
      </c>
      <c r="D399" s="46">
        <f>'Selections &amp; Orders'!AB405</f>
        <v/>
      </c>
      <c r="E399" s="46">
        <f>IF(OR(B399="",C399="",D399=""),"",D399*100000+(C399-DATE(2000,1,1))+ROW()/100000)</f>
        <v/>
      </c>
      <c r="F399" s="46">
        <f>IF(E399="","",IF(C399&gt;WeekEndDate,"",E399))</f>
        <v/>
      </c>
    </row>
    <row r="400">
      <c r="A400" t="inlineStr">
        <is>
          <t>Selections &amp; Orders</t>
        </is>
      </c>
      <c r="B400" s="46">
        <f>'Selections &amp; Orders'!AC406</f>
        <v/>
      </c>
      <c r="C400" s="84">
        <f>'Selections &amp; Orders'!AA406</f>
        <v/>
      </c>
      <c r="D400" s="46">
        <f>'Selections &amp; Orders'!AB406</f>
        <v/>
      </c>
      <c r="E400" s="46">
        <f>IF(OR(B400="",C400="",D400=""),"",D400*100000+(C400-DATE(2000,1,1))+ROW()/100000)</f>
        <v/>
      </c>
      <c r="F400" s="46">
        <f>IF(E400="","",IF(C400&gt;WeekEndDate,"",E400))</f>
        <v/>
      </c>
    </row>
    <row r="401">
      <c r="A401" t="inlineStr">
        <is>
          <t>Selections &amp; Orders</t>
        </is>
      </c>
      <c r="B401" s="46">
        <f>'Selections &amp; Orders'!AC407</f>
        <v/>
      </c>
      <c r="C401" s="84">
        <f>'Selections &amp; Orders'!AA407</f>
        <v/>
      </c>
      <c r="D401" s="46">
        <f>'Selections &amp; Orders'!AB407</f>
        <v/>
      </c>
      <c r="E401" s="46">
        <f>IF(OR(B401="",C401="",D401=""),"",D401*100000+(C401-DATE(2000,1,1))+ROW()/100000)</f>
        <v/>
      </c>
      <c r="F401" s="46">
        <f>IF(E401="","",IF(C401&gt;WeekEndDate,"",E401))</f>
        <v/>
      </c>
    </row>
    <row r="402">
      <c r="A402" t="inlineStr">
        <is>
          <t>Selections &amp; Orders</t>
        </is>
      </c>
      <c r="B402" s="46">
        <f>'Selections &amp; Orders'!AC408</f>
        <v/>
      </c>
      <c r="C402" s="84">
        <f>'Selections &amp; Orders'!AA408</f>
        <v/>
      </c>
      <c r="D402" s="46">
        <f>'Selections &amp; Orders'!AB408</f>
        <v/>
      </c>
      <c r="E402" s="46">
        <f>IF(OR(B402="",C402="",D402=""),"",D402*100000+(C402-DATE(2000,1,1))+ROW()/100000)</f>
        <v/>
      </c>
      <c r="F402" s="46">
        <f>IF(E402="","",IF(C402&gt;WeekEndDate,"",E402))</f>
        <v/>
      </c>
    </row>
    <row r="403">
      <c r="A403" t="inlineStr">
        <is>
          <t>Selections &amp; Orders</t>
        </is>
      </c>
      <c r="B403" s="46">
        <f>'Selections &amp; Orders'!AC409</f>
        <v/>
      </c>
      <c r="C403" s="84">
        <f>'Selections &amp; Orders'!AA409</f>
        <v/>
      </c>
      <c r="D403" s="46">
        <f>'Selections &amp; Orders'!AB409</f>
        <v/>
      </c>
      <c r="E403" s="46">
        <f>IF(OR(B403="",C403="",D403=""),"",D403*100000+(C403-DATE(2000,1,1))+ROW()/100000)</f>
        <v/>
      </c>
      <c r="F403" s="46">
        <f>IF(E403="","",IF(C403&gt;WeekEndDate,"",E403))</f>
        <v/>
      </c>
    </row>
    <row r="404">
      <c r="A404" t="inlineStr">
        <is>
          <t>Selections &amp; Orders</t>
        </is>
      </c>
      <c r="B404" s="46">
        <f>'Selections &amp; Orders'!AC410</f>
        <v/>
      </c>
      <c r="C404" s="84">
        <f>'Selections &amp; Orders'!AA410</f>
        <v/>
      </c>
      <c r="D404" s="46">
        <f>'Selections &amp; Orders'!AB410</f>
        <v/>
      </c>
      <c r="E404" s="46">
        <f>IF(OR(B404="",C404="",D404=""),"",D404*100000+(C404-DATE(2000,1,1))+ROW()/100000)</f>
        <v/>
      </c>
      <c r="F404" s="46">
        <f>IF(E404="","",IF(C404&gt;WeekEndDate,"",E404))</f>
        <v/>
      </c>
    </row>
    <row r="405">
      <c r="A405" t="inlineStr">
        <is>
          <t>Selections &amp; Orders</t>
        </is>
      </c>
      <c r="B405" s="46">
        <f>'Selections &amp; Orders'!AC411</f>
        <v/>
      </c>
      <c r="C405" s="84">
        <f>'Selections &amp; Orders'!AA411</f>
        <v/>
      </c>
      <c r="D405" s="46">
        <f>'Selections &amp; Orders'!AB411</f>
        <v/>
      </c>
      <c r="E405" s="46">
        <f>IF(OR(B405="",C405="",D405=""),"",D405*100000+(C405-DATE(2000,1,1))+ROW()/100000)</f>
        <v/>
      </c>
      <c r="F405" s="46">
        <f>IF(E405="","",IF(C405&gt;WeekEndDate,"",E405))</f>
        <v/>
      </c>
    </row>
    <row r="406">
      <c r="A406" t="inlineStr">
        <is>
          <t>Selections &amp; Orders</t>
        </is>
      </c>
      <c r="B406" s="46">
        <f>'Selections &amp; Orders'!AC412</f>
        <v/>
      </c>
      <c r="C406" s="84">
        <f>'Selections &amp; Orders'!AA412</f>
        <v/>
      </c>
      <c r="D406" s="46">
        <f>'Selections &amp; Orders'!AB412</f>
        <v/>
      </c>
      <c r="E406" s="46">
        <f>IF(OR(B406="",C406="",D406=""),"",D406*100000+(C406-DATE(2000,1,1))+ROW()/100000)</f>
        <v/>
      </c>
      <c r="F406" s="46">
        <f>IF(E406="","",IF(C406&gt;WeekEndDate,"",E406))</f>
        <v/>
      </c>
    </row>
    <row r="407">
      <c r="A407" t="inlineStr">
        <is>
          <t>Selections &amp; Orders</t>
        </is>
      </c>
      <c r="B407" s="46">
        <f>'Selections &amp; Orders'!AC413</f>
        <v/>
      </c>
      <c r="C407" s="84">
        <f>'Selections &amp; Orders'!AA413</f>
        <v/>
      </c>
      <c r="D407" s="46">
        <f>'Selections &amp; Orders'!AB413</f>
        <v/>
      </c>
      <c r="E407" s="46">
        <f>IF(OR(B407="",C407="",D407=""),"",D407*100000+(C407-DATE(2000,1,1))+ROW()/100000)</f>
        <v/>
      </c>
      <c r="F407" s="46">
        <f>IF(E407="","",IF(C407&gt;WeekEndDate,"",E407))</f>
        <v/>
      </c>
    </row>
    <row r="408">
      <c r="A408" t="inlineStr">
        <is>
          <t>Selections &amp; Orders</t>
        </is>
      </c>
      <c r="B408" s="46">
        <f>'Selections &amp; Orders'!AC414</f>
        <v/>
      </c>
      <c r="C408" s="84">
        <f>'Selections &amp; Orders'!AA414</f>
        <v/>
      </c>
      <c r="D408" s="46">
        <f>'Selections &amp; Orders'!AB414</f>
        <v/>
      </c>
      <c r="E408" s="46">
        <f>IF(OR(B408="",C408="",D408=""),"",D408*100000+(C408-DATE(2000,1,1))+ROW()/100000)</f>
        <v/>
      </c>
      <c r="F408" s="46">
        <f>IF(E408="","",IF(C408&gt;WeekEndDate,"",E408))</f>
        <v/>
      </c>
    </row>
    <row r="409">
      <c r="A409" t="inlineStr">
        <is>
          <t>Selections &amp; Orders</t>
        </is>
      </c>
      <c r="B409" s="46">
        <f>'Selections &amp; Orders'!AC415</f>
        <v/>
      </c>
      <c r="C409" s="84">
        <f>'Selections &amp; Orders'!AA415</f>
        <v/>
      </c>
      <c r="D409" s="46">
        <f>'Selections &amp; Orders'!AB415</f>
        <v/>
      </c>
      <c r="E409" s="46">
        <f>IF(OR(B409="",C409="",D409=""),"",D409*100000+(C409-DATE(2000,1,1))+ROW()/100000)</f>
        <v/>
      </c>
      <c r="F409" s="46">
        <f>IF(E409="","",IF(C409&gt;WeekEndDate,"",E409))</f>
        <v/>
      </c>
    </row>
    <row r="410">
      <c r="A410" t="inlineStr">
        <is>
          <t>Selections &amp; Orders</t>
        </is>
      </c>
      <c r="B410" s="46">
        <f>'Selections &amp; Orders'!AC416</f>
        <v/>
      </c>
      <c r="C410" s="84">
        <f>'Selections &amp; Orders'!AA416</f>
        <v/>
      </c>
      <c r="D410" s="46">
        <f>'Selections &amp; Orders'!AB416</f>
        <v/>
      </c>
      <c r="E410" s="46">
        <f>IF(OR(B410="",C410="",D410=""),"",D410*100000+(C410-DATE(2000,1,1))+ROW()/100000)</f>
        <v/>
      </c>
      <c r="F410" s="46">
        <f>IF(E410="","",IF(C410&gt;WeekEndDate,"",E410))</f>
        <v/>
      </c>
    </row>
    <row r="411">
      <c r="A411" t="inlineStr">
        <is>
          <t>Selections &amp; Orders</t>
        </is>
      </c>
      <c r="B411" s="46">
        <f>'Selections &amp; Orders'!AC417</f>
        <v/>
      </c>
      <c r="C411" s="84">
        <f>'Selections &amp; Orders'!AA417</f>
        <v/>
      </c>
      <c r="D411" s="46">
        <f>'Selections &amp; Orders'!AB417</f>
        <v/>
      </c>
      <c r="E411" s="46">
        <f>IF(OR(B411="",C411="",D411=""),"",D411*100000+(C411-DATE(2000,1,1))+ROW()/100000)</f>
        <v/>
      </c>
      <c r="F411" s="46">
        <f>IF(E411="","",IF(C411&gt;WeekEndDate,"",E411))</f>
        <v/>
      </c>
    </row>
    <row r="412">
      <c r="A412" t="inlineStr">
        <is>
          <t>Selections &amp; Orders</t>
        </is>
      </c>
      <c r="B412" s="46">
        <f>'Selections &amp; Orders'!AC418</f>
        <v/>
      </c>
      <c r="C412" s="84">
        <f>'Selections &amp; Orders'!AA418</f>
        <v/>
      </c>
      <c r="D412" s="46">
        <f>'Selections &amp; Orders'!AB418</f>
        <v/>
      </c>
      <c r="E412" s="46">
        <f>IF(OR(B412="",C412="",D412=""),"",D412*100000+(C412-DATE(2000,1,1))+ROW()/100000)</f>
        <v/>
      </c>
      <c r="F412" s="46">
        <f>IF(E412="","",IF(C412&gt;WeekEndDate,"",E412))</f>
        <v/>
      </c>
    </row>
    <row r="413">
      <c r="A413" t="inlineStr">
        <is>
          <t>Selections &amp; Orders</t>
        </is>
      </c>
      <c r="B413" s="46">
        <f>'Selections &amp; Orders'!AC419</f>
        <v/>
      </c>
      <c r="C413" s="84">
        <f>'Selections &amp; Orders'!AA419</f>
        <v/>
      </c>
      <c r="D413" s="46">
        <f>'Selections &amp; Orders'!AB419</f>
        <v/>
      </c>
      <c r="E413" s="46">
        <f>IF(OR(B413="",C413="",D413=""),"",D413*100000+(C413-DATE(2000,1,1))+ROW()/100000)</f>
        <v/>
      </c>
      <c r="F413" s="46">
        <f>IF(E413="","",IF(C413&gt;WeekEndDate,"",E413))</f>
        <v/>
      </c>
    </row>
    <row r="414">
      <c r="A414" t="inlineStr">
        <is>
          <t>Selections &amp; Orders</t>
        </is>
      </c>
      <c r="B414" s="46">
        <f>'Selections &amp; Orders'!AC420</f>
        <v/>
      </c>
      <c r="C414" s="84">
        <f>'Selections &amp; Orders'!AA420</f>
        <v/>
      </c>
      <c r="D414" s="46">
        <f>'Selections &amp; Orders'!AB420</f>
        <v/>
      </c>
      <c r="E414" s="46">
        <f>IF(OR(B414="",C414="",D414=""),"",D414*100000+(C414-DATE(2000,1,1))+ROW()/100000)</f>
        <v/>
      </c>
      <c r="F414" s="46">
        <f>IF(E414="","",IF(C414&gt;WeekEndDate,"",E414))</f>
        <v/>
      </c>
    </row>
    <row r="415">
      <c r="A415" t="inlineStr">
        <is>
          <t>Selections &amp; Orders</t>
        </is>
      </c>
      <c r="B415" s="46">
        <f>'Selections &amp; Orders'!AC421</f>
        <v/>
      </c>
      <c r="C415" s="84">
        <f>'Selections &amp; Orders'!AA421</f>
        <v/>
      </c>
      <c r="D415" s="46">
        <f>'Selections &amp; Orders'!AB421</f>
        <v/>
      </c>
      <c r="E415" s="46">
        <f>IF(OR(B415="",C415="",D415=""),"",D415*100000+(C415-DATE(2000,1,1))+ROW()/100000)</f>
        <v/>
      </c>
      <c r="F415" s="46">
        <f>IF(E415="","",IF(C415&gt;WeekEndDate,"",E415))</f>
        <v/>
      </c>
    </row>
    <row r="416">
      <c r="A416" t="inlineStr">
        <is>
          <t>Selections &amp; Orders</t>
        </is>
      </c>
      <c r="B416" s="46">
        <f>'Selections &amp; Orders'!AC422</f>
        <v/>
      </c>
      <c r="C416" s="84">
        <f>'Selections &amp; Orders'!AA422</f>
        <v/>
      </c>
      <c r="D416" s="46">
        <f>'Selections &amp; Orders'!AB422</f>
        <v/>
      </c>
      <c r="E416" s="46">
        <f>IF(OR(B416="",C416="",D416=""),"",D416*100000+(C416-DATE(2000,1,1))+ROW()/100000)</f>
        <v/>
      </c>
      <c r="F416" s="46">
        <f>IF(E416="","",IF(C416&gt;WeekEndDate,"",E416))</f>
        <v/>
      </c>
    </row>
    <row r="417">
      <c r="A417" t="inlineStr">
        <is>
          <t>Selections &amp; Orders</t>
        </is>
      </c>
      <c r="B417" s="46">
        <f>'Selections &amp; Orders'!AC423</f>
        <v/>
      </c>
      <c r="C417" s="84">
        <f>'Selections &amp; Orders'!AA423</f>
        <v/>
      </c>
      <c r="D417" s="46">
        <f>'Selections &amp; Orders'!AB423</f>
        <v/>
      </c>
      <c r="E417" s="46">
        <f>IF(OR(B417="",C417="",D417=""),"",D417*100000+(C417-DATE(2000,1,1))+ROW()/100000)</f>
        <v/>
      </c>
      <c r="F417" s="46">
        <f>IF(E417="","",IF(C417&gt;WeekEndDate,"",E417))</f>
        <v/>
      </c>
    </row>
    <row r="418">
      <c r="A418" t="inlineStr">
        <is>
          <t>Selections &amp; Orders</t>
        </is>
      </c>
      <c r="B418" s="46">
        <f>'Selections &amp; Orders'!AC424</f>
        <v/>
      </c>
      <c r="C418" s="84">
        <f>'Selections &amp; Orders'!AA424</f>
        <v/>
      </c>
      <c r="D418" s="46">
        <f>'Selections &amp; Orders'!AB424</f>
        <v/>
      </c>
      <c r="E418" s="46">
        <f>IF(OR(B418="",C418="",D418=""),"",D418*100000+(C418-DATE(2000,1,1))+ROW()/100000)</f>
        <v/>
      </c>
      <c r="F418" s="46">
        <f>IF(E418="","",IF(C418&gt;WeekEndDate,"",E418))</f>
        <v/>
      </c>
    </row>
    <row r="419">
      <c r="A419" t="inlineStr">
        <is>
          <t>Selections &amp; Orders</t>
        </is>
      </c>
      <c r="B419" s="46">
        <f>'Selections &amp; Orders'!AC425</f>
        <v/>
      </c>
      <c r="C419" s="84">
        <f>'Selections &amp; Orders'!AA425</f>
        <v/>
      </c>
      <c r="D419" s="46">
        <f>'Selections &amp; Orders'!AB425</f>
        <v/>
      </c>
      <c r="E419" s="46">
        <f>IF(OR(B419="",C419="",D419=""),"",D419*100000+(C419-DATE(2000,1,1))+ROW()/100000)</f>
        <v/>
      </c>
      <c r="F419" s="46">
        <f>IF(E419="","",IF(C419&gt;WeekEndDate,"",E419))</f>
        <v/>
      </c>
    </row>
    <row r="420">
      <c r="A420" t="inlineStr">
        <is>
          <t>Selections &amp; Orders</t>
        </is>
      </c>
      <c r="B420" s="46">
        <f>'Selections &amp; Orders'!AC426</f>
        <v/>
      </c>
      <c r="C420" s="84">
        <f>'Selections &amp; Orders'!AA426</f>
        <v/>
      </c>
      <c r="D420" s="46">
        <f>'Selections &amp; Orders'!AB426</f>
        <v/>
      </c>
      <c r="E420" s="46">
        <f>IF(OR(B420="",C420="",D420=""),"",D420*100000+(C420-DATE(2000,1,1))+ROW()/100000)</f>
        <v/>
      </c>
      <c r="F420" s="46">
        <f>IF(E420="","",IF(C420&gt;WeekEndDate,"",E420))</f>
        <v/>
      </c>
    </row>
    <row r="421">
      <c r="A421" t="inlineStr">
        <is>
          <t>Selections &amp; Orders</t>
        </is>
      </c>
      <c r="B421" s="46">
        <f>'Selections &amp; Orders'!AC427</f>
        <v/>
      </c>
      <c r="C421" s="84">
        <f>'Selections &amp; Orders'!AA427</f>
        <v/>
      </c>
      <c r="D421" s="46">
        <f>'Selections &amp; Orders'!AB427</f>
        <v/>
      </c>
      <c r="E421" s="46">
        <f>IF(OR(B421="",C421="",D421=""),"",D421*100000+(C421-DATE(2000,1,1))+ROW()/100000)</f>
        <v/>
      </c>
      <c r="F421" s="46">
        <f>IF(E421="","",IF(C421&gt;WeekEndDate,"",E421))</f>
        <v/>
      </c>
    </row>
    <row r="422">
      <c r="A422" t="inlineStr">
        <is>
          <t>Selections &amp; Orders</t>
        </is>
      </c>
      <c r="B422" s="46">
        <f>'Selections &amp; Orders'!AC428</f>
        <v/>
      </c>
      <c r="C422" s="84">
        <f>'Selections &amp; Orders'!AA428</f>
        <v/>
      </c>
      <c r="D422" s="46">
        <f>'Selections &amp; Orders'!AB428</f>
        <v/>
      </c>
      <c r="E422" s="46">
        <f>IF(OR(B422="",C422="",D422=""),"",D422*100000+(C422-DATE(2000,1,1))+ROW()/100000)</f>
        <v/>
      </c>
      <c r="F422" s="46">
        <f>IF(E422="","",IF(C422&gt;WeekEndDate,"",E422))</f>
        <v/>
      </c>
    </row>
    <row r="423">
      <c r="A423" t="inlineStr">
        <is>
          <t>Selections &amp; Orders</t>
        </is>
      </c>
      <c r="B423" s="46">
        <f>'Selections &amp; Orders'!AC429</f>
        <v/>
      </c>
      <c r="C423" s="84">
        <f>'Selections &amp; Orders'!AA429</f>
        <v/>
      </c>
      <c r="D423" s="46">
        <f>'Selections &amp; Orders'!AB429</f>
        <v/>
      </c>
      <c r="E423" s="46">
        <f>IF(OR(B423="",C423="",D423=""),"",D423*100000+(C423-DATE(2000,1,1))+ROW()/100000)</f>
        <v/>
      </c>
      <c r="F423" s="46">
        <f>IF(E423="","",IF(C423&gt;WeekEndDate,"",E423))</f>
        <v/>
      </c>
    </row>
    <row r="424">
      <c r="A424" t="inlineStr">
        <is>
          <t>Selections &amp; Orders</t>
        </is>
      </c>
      <c r="B424" s="46">
        <f>'Selections &amp; Orders'!AC430</f>
        <v/>
      </c>
      <c r="C424" s="84">
        <f>'Selections &amp; Orders'!AA430</f>
        <v/>
      </c>
      <c r="D424" s="46">
        <f>'Selections &amp; Orders'!AB430</f>
        <v/>
      </c>
      <c r="E424" s="46">
        <f>IF(OR(B424="",C424="",D424=""),"",D424*100000+(C424-DATE(2000,1,1))+ROW()/100000)</f>
        <v/>
      </c>
      <c r="F424" s="46">
        <f>IF(E424="","",IF(C424&gt;WeekEndDate,"",E424))</f>
        <v/>
      </c>
    </row>
    <row r="425">
      <c r="A425" t="inlineStr">
        <is>
          <t>Selections &amp; Orders</t>
        </is>
      </c>
      <c r="B425" s="46">
        <f>'Selections &amp; Orders'!AC431</f>
        <v/>
      </c>
      <c r="C425" s="84">
        <f>'Selections &amp; Orders'!AA431</f>
        <v/>
      </c>
      <c r="D425" s="46">
        <f>'Selections &amp; Orders'!AB431</f>
        <v/>
      </c>
      <c r="E425" s="46">
        <f>IF(OR(B425="",C425="",D425=""),"",D425*100000+(C425-DATE(2000,1,1))+ROW()/100000)</f>
        <v/>
      </c>
      <c r="F425" s="46">
        <f>IF(E425="","",IF(C425&gt;WeekEndDate,"",E425))</f>
        <v/>
      </c>
    </row>
    <row r="426">
      <c r="A426" t="inlineStr">
        <is>
          <t>Selections &amp; Orders</t>
        </is>
      </c>
      <c r="B426" s="46">
        <f>'Selections &amp; Orders'!AC432</f>
        <v/>
      </c>
      <c r="C426" s="84">
        <f>'Selections &amp; Orders'!AA432</f>
        <v/>
      </c>
      <c r="D426" s="46">
        <f>'Selections &amp; Orders'!AB432</f>
        <v/>
      </c>
      <c r="E426" s="46">
        <f>IF(OR(B426="",C426="",D426=""),"",D426*100000+(C426-DATE(2000,1,1))+ROW()/100000)</f>
        <v/>
      </c>
      <c r="F426" s="46">
        <f>IF(E426="","",IF(C426&gt;WeekEndDate,"",E426))</f>
        <v/>
      </c>
    </row>
    <row r="427">
      <c r="A427" t="inlineStr">
        <is>
          <t>Selections &amp; Orders</t>
        </is>
      </c>
      <c r="B427" s="46">
        <f>'Selections &amp; Orders'!AC433</f>
        <v/>
      </c>
      <c r="C427" s="84">
        <f>'Selections &amp; Orders'!AA433</f>
        <v/>
      </c>
      <c r="D427" s="46">
        <f>'Selections &amp; Orders'!AB433</f>
        <v/>
      </c>
      <c r="E427" s="46">
        <f>IF(OR(B427="",C427="",D427=""),"",D427*100000+(C427-DATE(2000,1,1))+ROW()/100000)</f>
        <v/>
      </c>
      <c r="F427" s="46">
        <f>IF(E427="","",IF(C427&gt;WeekEndDate,"",E427))</f>
        <v/>
      </c>
    </row>
    <row r="428">
      <c r="A428" t="inlineStr">
        <is>
          <t>Selections &amp; Orders</t>
        </is>
      </c>
      <c r="B428" s="46">
        <f>'Selections &amp; Orders'!AC434</f>
        <v/>
      </c>
      <c r="C428" s="84">
        <f>'Selections &amp; Orders'!AA434</f>
        <v/>
      </c>
      <c r="D428" s="46">
        <f>'Selections &amp; Orders'!AB434</f>
        <v/>
      </c>
      <c r="E428" s="46">
        <f>IF(OR(B428="",C428="",D428=""),"",D428*100000+(C428-DATE(2000,1,1))+ROW()/100000)</f>
        <v/>
      </c>
      <c r="F428" s="46">
        <f>IF(E428="","",IF(C428&gt;WeekEndDate,"",E428))</f>
        <v/>
      </c>
    </row>
    <row r="429">
      <c r="A429" t="inlineStr">
        <is>
          <t>Selections &amp; Orders</t>
        </is>
      </c>
      <c r="B429" s="46">
        <f>'Selections &amp; Orders'!AC435</f>
        <v/>
      </c>
      <c r="C429" s="84">
        <f>'Selections &amp; Orders'!AA435</f>
        <v/>
      </c>
      <c r="D429" s="46">
        <f>'Selections &amp; Orders'!AB435</f>
        <v/>
      </c>
      <c r="E429" s="46">
        <f>IF(OR(B429="",C429="",D429=""),"",D429*100000+(C429-DATE(2000,1,1))+ROW()/100000)</f>
        <v/>
      </c>
      <c r="F429" s="46">
        <f>IF(E429="","",IF(C429&gt;WeekEndDate,"",E429))</f>
        <v/>
      </c>
    </row>
    <row r="430">
      <c r="A430" t="inlineStr">
        <is>
          <t>Selections &amp; Orders</t>
        </is>
      </c>
      <c r="B430" s="46">
        <f>'Selections &amp; Orders'!AC436</f>
        <v/>
      </c>
      <c r="C430" s="84">
        <f>'Selections &amp; Orders'!AA436</f>
        <v/>
      </c>
      <c r="D430" s="46">
        <f>'Selections &amp; Orders'!AB436</f>
        <v/>
      </c>
      <c r="E430" s="46">
        <f>IF(OR(B430="",C430="",D430=""),"",D430*100000+(C430-DATE(2000,1,1))+ROW()/100000)</f>
        <v/>
      </c>
      <c r="F430" s="46">
        <f>IF(E430="","",IF(C430&gt;WeekEndDate,"",E430))</f>
        <v/>
      </c>
    </row>
    <row r="431">
      <c r="A431" t="inlineStr">
        <is>
          <t>Selections &amp; Orders</t>
        </is>
      </c>
      <c r="B431" s="46">
        <f>'Selections &amp; Orders'!AC437</f>
        <v/>
      </c>
      <c r="C431" s="84">
        <f>'Selections &amp; Orders'!AA437</f>
        <v/>
      </c>
      <c r="D431" s="46">
        <f>'Selections &amp; Orders'!AB437</f>
        <v/>
      </c>
      <c r="E431" s="46">
        <f>IF(OR(B431="",C431="",D431=""),"",D431*100000+(C431-DATE(2000,1,1))+ROW()/100000)</f>
        <v/>
      </c>
      <c r="F431" s="46">
        <f>IF(E431="","",IF(C431&gt;WeekEndDate,"",E431))</f>
        <v/>
      </c>
    </row>
    <row r="432">
      <c r="A432" t="inlineStr">
        <is>
          <t>Selections &amp; Orders</t>
        </is>
      </c>
      <c r="B432" s="46">
        <f>'Selections &amp; Orders'!AC438</f>
        <v/>
      </c>
      <c r="C432" s="84">
        <f>'Selections &amp; Orders'!AA438</f>
        <v/>
      </c>
      <c r="D432" s="46">
        <f>'Selections &amp; Orders'!AB438</f>
        <v/>
      </c>
      <c r="E432" s="46">
        <f>IF(OR(B432="",C432="",D432=""),"",D432*100000+(C432-DATE(2000,1,1))+ROW()/100000)</f>
        <v/>
      </c>
      <c r="F432" s="46">
        <f>IF(E432="","",IF(C432&gt;WeekEndDate,"",E432))</f>
        <v/>
      </c>
    </row>
    <row r="433">
      <c r="A433" t="inlineStr">
        <is>
          <t>Selections &amp; Orders</t>
        </is>
      </c>
      <c r="B433" s="46">
        <f>'Selections &amp; Orders'!AC439</f>
        <v/>
      </c>
      <c r="C433" s="84">
        <f>'Selections &amp; Orders'!AA439</f>
        <v/>
      </c>
      <c r="D433" s="46">
        <f>'Selections &amp; Orders'!AB439</f>
        <v/>
      </c>
      <c r="E433" s="46">
        <f>IF(OR(B433="",C433="",D433=""),"",D433*100000+(C433-DATE(2000,1,1))+ROW()/100000)</f>
        <v/>
      </c>
      <c r="F433" s="46">
        <f>IF(E433="","",IF(C433&gt;WeekEndDate,"",E433))</f>
        <v/>
      </c>
    </row>
    <row r="434">
      <c r="A434" t="inlineStr">
        <is>
          <t>Selections &amp; Orders</t>
        </is>
      </c>
      <c r="B434" s="46">
        <f>'Selections &amp; Orders'!AC440</f>
        <v/>
      </c>
      <c r="C434" s="84">
        <f>'Selections &amp; Orders'!AA440</f>
        <v/>
      </c>
      <c r="D434" s="46">
        <f>'Selections &amp; Orders'!AB440</f>
        <v/>
      </c>
      <c r="E434" s="46">
        <f>IF(OR(B434="",C434="",D434=""),"",D434*100000+(C434-DATE(2000,1,1))+ROW()/100000)</f>
        <v/>
      </c>
      <c r="F434" s="46">
        <f>IF(E434="","",IF(C434&gt;WeekEndDate,"",E434))</f>
        <v/>
      </c>
    </row>
    <row r="435">
      <c r="A435" t="inlineStr">
        <is>
          <t>Selections &amp; Orders</t>
        </is>
      </c>
      <c r="B435" s="46">
        <f>'Selections &amp; Orders'!AC441</f>
        <v/>
      </c>
      <c r="C435" s="84">
        <f>'Selections &amp; Orders'!AA441</f>
        <v/>
      </c>
      <c r="D435" s="46">
        <f>'Selections &amp; Orders'!AB441</f>
        <v/>
      </c>
      <c r="E435" s="46">
        <f>IF(OR(B435="",C435="",D435=""),"",D435*100000+(C435-DATE(2000,1,1))+ROW()/100000)</f>
        <v/>
      </c>
      <c r="F435" s="46">
        <f>IF(E435="","",IF(C435&gt;WeekEndDate,"",E435))</f>
        <v/>
      </c>
    </row>
    <row r="436">
      <c r="A436" t="inlineStr">
        <is>
          <t>Selections &amp; Orders</t>
        </is>
      </c>
      <c r="B436" s="46">
        <f>'Selections &amp; Orders'!AC442</f>
        <v/>
      </c>
      <c r="C436" s="84">
        <f>'Selections &amp; Orders'!AA442</f>
        <v/>
      </c>
      <c r="D436" s="46">
        <f>'Selections &amp; Orders'!AB442</f>
        <v/>
      </c>
      <c r="E436" s="46">
        <f>IF(OR(B436="",C436="",D436=""),"",D436*100000+(C436-DATE(2000,1,1))+ROW()/100000)</f>
        <v/>
      </c>
      <c r="F436" s="46">
        <f>IF(E436="","",IF(C436&gt;WeekEndDate,"",E436))</f>
        <v/>
      </c>
    </row>
    <row r="437">
      <c r="A437" t="inlineStr">
        <is>
          <t>Selections &amp; Orders</t>
        </is>
      </c>
      <c r="B437" s="46">
        <f>'Selections &amp; Orders'!AC443</f>
        <v/>
      </c>
      <c r="C437" s="84">
        <f>'Selections &amp; Orders'!AA443</f>
        <v/>
      </c>
      <c r="D437" s="46">
        <f>'Selections &amp; Orders'!AB443</f>
        <v/>
      </c>
      <c r="E437" s="46">
        <f>IF(OR(B437="",C437="",D437=""),"",D437*100000+(C437-DATE(2000,1,1))+ROW()/100000)</f>
        <v/>
      </c>
      <c r="F437" s="46">
        <f>IF(E437="","",IF(C437&gt;WeekEndDate,"",E437))</f>
        <v/>
      </c>
    </row>
    <row r="438">
      <c r="A438" t="inlineStr">
        <is>
          <t>Selections &amp; Orders</t>
        </is>
      </c>
      <c r="B438" s="46">
        <f>'Selections &amp; Orders'!AC444</f>
        <v/>
      </c>
      <c r="C438" s="84">
        <f>'Selections &amp; Orders'!AA444</f>
        <v/>
      </c>
      <c r="D438" s="46">
        <f>'Selections &amp; Orders'!AB444</f>
        <v/>
      </c>
      <c r="E438" s="46">
        <f>IF(OR(B438="",C438="",D438=""),"",D438*100000+(C438-DATE(2000,1,1))+ROW()/100000)</f>
        <v/>
      </c>
      <c r="F438" s="46">
        <f>IF(E438="","",IF(C438&gt;WeekEndDate,"",E438))</f>
        <v/>
      </c>
    </row>
    <row r="439">
      <c r="A439" t="inlineStr">
        <is>
          <t>Selections &amp; Orders</t>
        </is>
      </c>
      <c r="B439" s="46">
        <f>'Selections &amp; Orders'!AC445</f>
        <v/>
      </c>
      <c r="C439" s="84">
        <f>'Selections &amp; Orders'!AA445</f>
        <v/>
      </c>
      <c r="D439" s="46">
        <f>'Selections &amp; Orders'!AB445</f>
        <v/>
      </c>
      <c r="E439" s="46">
        <f>IF(OR(B439="",C439="",D439=""),"",D439*100000+(C439-DATE(2000,1,1))+ROW()/100000)</f>
        <v/>
      </c>
      <c r="F439" s="46">
        <f>IF(E439="","",IF(C439&gt;WeekEndDate,"",E439))</f>
        <v/>
      </c>
    </row>
    <row r="440">
      <c r="A440" t="inlineStr">
        <is>
          <t>Selections &amp; Orders</t>
        </is>
      </c>
      <c r="B440" s="46">
        <f>'Selections &amp; Orders'!AC446</f>
        <v/>
      </c>
      <c r="C440" s="84">
        <f>'Selections &amp; Orders'!AA446</f>
        <v/>
      </c>
      <c r="D440" s="46">
        <f>'Selections &amp; Orders'!AB446</f>
        <v/>
      </c>
      <c r="E440" s="46">
        <f>IF(OR(B440="",C440="",D440=""),"",D440*100000+(C440-DATE(2000,1,1))+ROW()/100000)</f>
        <v/>
      </c>
      <c r="F440" s="46">
        <f>IF(E440="","",IF(C440&gt;WeekEndDate,"",E440))</f>
        <v/>
      </c>
    </row>
    <row r="441">
      <c r="A441" t="inlineStr">
        <is>
          <t>Selections &amp; Orders</t>
        </is>
      </c>
      <c r="B441" s="46">
        <f>'Selections &amp; Orders'!AC447</f>
        <v/>
      </c>
      <c r="C441" s="84">
        <f>'Selections &amp; Orders'!AA447</f>
        <v/>
      </c>
      <c r="D441" s="46">
        <f>'Selections &amp; Orders'!AB447</f>
        <v/>
      </c>
      <c r="E441" s="46">
        <f>IF(OR(B441="",C441="",D441=""),"",D441*100000+(C441-DATE(2000,1,1))+ROW()/100000)</f>
        <v/>
      </c>
      <c r="F441" s="46">
        <f>IF(E441="","",IF(C441&gt;WeekEndDate,"",E441))</f>
        <v/>
      </c>
    </row>
    <row r="442">
      <c r="A442" t="inlineStr">
        <is>
          <t>Selections &amp; Orders</t>
        </is>
      </c>
      <c r="B442" s="46">
        <f>'Selections &amp; Orders'!AC448</f>
        <v/>
      </c>
      <c r="C442" s="84">
        <f>'Selections &amp; Orders'!AA448</f>
        <v/>
      </c>
      <c r="D442" s="46">
        <f>'Selections &amp; Orders'!AB448</f>
        <v/>
      </c>
      <c r="E442" s="46">
        <f>IF(OR(B442="",C442="",D442=""),"",D442*100000+(C442-DATE(2000,1,1))+ROW()/100000)</f>
        <v/>
      </c>
      <c r="F442" s="46">
        <f>IF(E442="","",IF(C442&gt;WeekEndDate,"",E442))</f>
        <v/>
      </c>
    </row>
    <row r="443">
      <c r="A443" t="inlineStr">
        <is>
          <t>Selections &amp; Orders</t>
        </is>
      </c>
      <c r="B443" s="46">
        <f>'Selections &amp; Orders'!AC449</f>
        <v/>
      </c>
      <c r="C443" s="84">
        <f>'Selections &amp; Orders'!AA449</f>
        <v/>
      </c>
      <c r="D443" s="46">
        <f>'Selections &amp; Orders'!AB449</f>
        <v/>
      </c>
      <c r="E443" s="46">
        <f>IF(OR(B443="",C443="",D443=""),"",D443*100000+(C443-DATE(2000,1,1))+ROW()/100000)</f>
        <v/>
      </c>
      <c r="F443" s="46">
        <f>IF(E443="","",IF(C443&gt;WeekEndDate,"",E443))</f>
        <v/>
      </c>
    </row>
    <row r="444">
      <c r="A444" t="inlineStr">
        <is>
          <t>Selections &amp; Orders</t>
        </is>
      </c>
      <c r="B444" s="46">
        <f>'Selections &amp; Orders'!AC450</f>
        <v/>
      </c>
      <c r="C444" s="84">
        <f>'Selections &amp; Orders'!AA450</f>
        <v/>
      </c>
      <c r="D444" s="46">
        <f>'Selections &amp; Orders'!AB450</f>
        <v/>
      </c>
      <c r="E444" s="46">
        <f>IF(OR(B444="",C444="",D444=""),"",D444*100000+(C444-DATE(2000,1,1))+ROW()/100000)</f>
        <v/>
      </c>
      <c r="F444" s="46">
        <f>IF(E444="","",IF(C444&gt;WeekEndDate,"",E444))</f>
        <v/>
      </c>
    </row>
    <row r="445">
      <c r="A445" t="inlineStr">
        <is>
          <t>Selections &amp; Orders</t>
        </is>
      </c>
      <c r="B445" s="46">
        <f>'Selections &amp; Orders'!AC451</f>
        <v/>
      </c>
      <c r="C445" s="84">
        <f>'Selections &amp; Orders'!AA451</f>
        <v/>
      </c>
      <c r="D445" s="46">
        <f>'Selections &amp; Orders'!AB451</f>
        <v/>
      </c>
      <c r="E445" s="46">
        <f>IF(OR(B445="",C445="",D445=""),"",D445*100000+(C445-DATE(2000,1,1))+ROW()/100000)</f>
        <v/>
      </c>
      <c r="F445" s="46">
        <f>IF(E445="","",IF(C445&gt;WeekEndDate,"",E445))</f>
        <v/>
      </c>
    </row>
    <row r="446">
      <c r="A446" t="inlineStr">
        <is>
          <t>Selections &amp; Orders</t>
        </is>
      </c>
      <c r="B446" s="46">
        <f>'Selections &amp; Orders'!AC452</f>
        <v/>
      </c>
      <c r="C446" s="84">
        <f>'Selections &amp; Orders'!AA452</f>
        <v/>
      </c>
      <c r="D446" s="46">
        <f>'Selections &amp; Orders'!AB452</f>
        <v/>
      </c>
      <c r="E446" s="46">
        <f>IF(OR(B446="",C446="",D446=""),"",D446*100000+(C446-DATE(2000,1,1))+ROW()/100000)</f>
        <v/>
      </c>
      <c r="F446" s="46">
        <f>IF(E446="","",IF(C446&gt;WeekEndDate,"",E446))</f>
        <v/>
      </c>
    </row>
    <row r="447">
      <c r="A447" t="inlineStr">
        <is>
          <t>Selections &amp; Orders</t>
        </is>
      </c>
      <c r="B447" s="46">
        <f>'Selections &amp; Orders'!AC453</f>
        <v/>
      </c>
      <c r="C447" s="84">
        <f>'Selections &amp; Orders'!AA453</f>
        <v/>
      </c>
      <c r="D447" s="46">
        <f>'Selections &amp; Orders'!AB453</f>
        <v/>
      </c>
      <c r="E447" s="46">
        <f>IF(OR(B447="",C447="",D447=""),"",D447*100000+(C447-DATE(2000,1,1))+ROW()/100000)</f>
        <v/>
      </c>
      <c r="F447" s="46">
        <f>IF(E447="","",IF(C447&gt;WeekEndDate,"",E447))</f>
        <v/>
      </c>
    </row>
    <row r="448">
      <c r="A448" t="inlineStr">
        <is>
          <t>Selections &amp; Orders</t>
        </is>
      </c>
      <c r="B448" s="46">
        <f>'Selections &amp; Orders'!AC454</f>
        <v/>
      </c>
      <c r="C448" s="84">
        <f>'Selections &amp; Orders'!AA454</f>
        <v/>
      </c>
      <c r="D448" s="46">
        <f>'Selections &amp; Orders'!AB454</f>
        <v/>
      </c>
      <c r="E448" s="46">
        <f>IF(OR(B448="",C448="",D448=""),"",D448*100000+(C448-DATE(2000,1,1))+ROW()/100000)</f>
        <v/>
      </c>
      <c r="F448" s="46">
        <f>IF(E448="","",IF(C448&gt;WeekEndDate,"",E448))</f>
        <v/>
      </c>
    </row>
    <row r="449">
      <c r="A449" t="inlineStr">
        <is>
          <t>Selections &amp; Orders</t>
        </is>
      </c>
      <c r="B449" s="46">
        <f>'Selections &amp; Orders'!AC455</f>
        <v/>
      </c>
      <c r="C449" s="84">
        <f>'Selections &amp; Orders'!AA455</f>
        <v/>
      </c>
      <c r="D449" s="46">
        <f>'Selections &amp; Orders'!AB455</f>
        <v/>
      </c>
      <c r="E449" s="46">
        <f>IF(OR(B449="",C449="",D449=""),"",D449*100000+(C449-DATE(2000,1,1))+ROW()/100000)</f>
        <v/>
      </c>
      <c r="F449" s="46">
        <f>IF(E449="","",IF(C449&gt;WeekEndDate,"",E449))</f>
        <v/>
      </c>
    </row>
    <row r="450">
      <c r="A450" t="inlineStr">
        <is>
          <t>Selections &amp; Orders</t>
        </is>
      </c>
      <c r="B450" s="46">
        <f>'Selections &amp; Orders'!AC456</f>
        <v/>
      </c>
      <c r="C450" s="84">
        <f>'Selections &amp; Orders'!AA456</f>
        <v/>
      </c>
      <c r="D450" s="46">
        <f>'Selections &amp; Orders'!AB456</f>
        <v/>
      </c>
      <c r="E450" s="46">
        <f>IF(OR(B450="",C450="",D450=""),"",D450*100000+(C450-DATE(2000,1,1))+ROW()/100000)</f>
        <v/>
      </c>
      <c r="F450" s="46">
        <f>IF(E450="","",IF(C450&gt;WeekEndDate,"",E450))</f>
        <v/>
      </c>
    </row>
    <row r="451">
      <c r="A451" t="inlineStr">
        <is>
          <t>Selections &amp; Orders</t>
        </is>
      </c>
      <c r="B451" s="46">
        <f>'Selections &amp; Orders'!AC457</f>
        <v/>
      </c>
      <c r="C451" s="84">
        <f>'Selections &amp; Orders'!AA457</f>
        <v/>
      </c>
      <c r="D451" s="46">
        <f>'Selections &amp; Orders'!AB457</f>
        <v/>
      </c>
      <c r="E451" s="46">
        <f>IF(OR(B451="",C451="",D451=""),"",D451*100000+(C451-DATE(2000,1,1))+ROW()/100000)</f>
        <v/>
      </c>
      <c r="F451" s="46">
        <f>IF(E451="","",IF(C451&gt;WeekEndDate,"",E451))</f>
        <v/>
      </c>
    </row>
    <row r="452">
      <c r="A452" t="inlineStr">
        <is>
          <t>Selections &amp; Orders</t>
        </is>
      </c>
      <c r="B452" s="46">
        <f>'Selections &amp; Orders'!AC458</f>
        <v/>
      </c>
      <c r="C452" s="84">
        <f>'Selections &amp; Orders'!AA458</f>
        <v/>
      </c>
      <c r="D452" s="46">
        <f>'Selections &amp; Orders'!AB458</f>
        <v/>
      </c>
      <c r="E452" s="46">
        <f>IF(OR(B452="",C452="",D452=""),"",D452*100000+(C452-DATE(2000,1,1))+ROW()/100000)</f>
        <v/>
      </c>
      <c r="F452" s="46">
        <f>IF(E452="","",IF(C452&gt;WeekEndDate,"",E452))</f>
        <v/>
      </c>
    </row>
    <row r="453">
      <c r="A453" t="inlineStr">
        <is>
          <t>Selections &amp; Orders</t>
        </is>
      </c>
      <c r="B453" s="46">
        <f>'Selections &amp; Orders'!AC459</f>
        <v/>
      </c>
      <c r="C453" s="84">
        <f>'Selections &amp; Orders'!AA459</f>
        <v/>
      </c>
      <c r="D453" s="46">
        <f>'Selections &amp; Orders'!AB459</f>
        <v/>
      </c>
      <c r="E453" s="46">
        <f>IF(OR(B453="",C453="",D453=""),"",D453*100000+(C453-DATE(2000,1,1))+ROW()/100000)</f>
        <v/>
      </c>
      <c r="F453" s="46">
        <f>IF(E453="","",IF(C453&gt;WeekEndDate,"",E453))</f>
        <v/>
      </c>
    </row>
    <row r="454">
      <c r="A454" t="inlineStr">
        <is>
          <t>Selections &amp; Orders</t>
        </is>
      </c>
      <c r="B454" s="46">
        <f>'Selections &amp; Orders'!AC460</f>
        <v/>
      </c>
      <c r="C454" s="84">
        <f>'Selections &amp; Orders'!AA460</f>
        <v/>
      </c>
      <c r="D454" s="46">
        <f>'Selections &amp; Orders'!AB460</f>
        <v/>
      </c>
      <c r="E454" s="46">
        <f>IF(OR(B454="",C454="",D454=""),"",D454*100000+(C454-DATE(2000,1,1))+ROW()/100000)</f>
        <v/>
      </c>
      <c r="F454" s="46">
        <f>IF(E454="","",IF(C454&gt;WeekEndDate,"",E454))</f>
        <v/>
      </c>
    </row>
    <row r="455">
      <c r="A455" t="inlineStr">
        <is>
          <t>Selections &amp; Orders</t>
        </is>
      </c>
      <c r="B455" s="46">
        <f>'Selections &amp; Orders'!AC461</f>
        <v/>
      </c>
      <c r="C455" s="84">
        <f>'Selections &amp; Orders'!AA461</f>
        <v/>
      </c>
      <c r="D455" s="46">
        <f>'Selections &amp; Orders'!AB461</f>
        <v/>
      </c>
      <c r="E455" s="46">
        <f>IF(OR(B455="",C455="",D455=""),"",D455*100000+(C455-DATE(2000,1,1))+ROW()/100000)</f>
        <v/>
      </c>
      <c r="F455" s="46">
        <f>IF(E455="","",IF(C455&gt;WeekEndDate,"",E455))</f>
        <v/>
      </c>
    </row>
    <row r="456">
      <c r="A456" t="inlineStr">
        <is>
          <t>Selections &amp; Orders</t>
        </is>
      </c>
      <c r="B456" s="46">
        <f>'Selections &amp; Orders'!AC462</f>
        <v/>
      </c>
      <c r="C456" s="84">
        <f>'Selections &amp; Orders'!AA462</f>
        <v/>
      </c>
      <c r="D456" s="46">
        <f>'Selections &amp; Orders'!AB462</f>
        <v/>
      </c>
      <c r="E456" s="46">
        <f>IF(OR(B456="",C456="",D456=""),"",D456*100000+(C456-DATE(2000,1,1))+ROW()/100000)</f>
        <v/>
      </c>
      <c r="F456" s="46">
        <f>IF(E456="","",IF(C456&gt;WeekEndDate,"",E456))</f>
        <v/>
      </c>
    </row>
    <row r="457">
      <c r="A457" t="inlineStr">
        <is>
          <t>Selections &amp; Orders</t>
        </is>
      </c>
      <c r="B457" s="46">
        <f>'Selections &amp; Orders'!AC463</f>
        <v/>
      </c>
      <c r="C457" s="84">
        <f>'Selections &amp; Orders'!AA463</f>
        <v/>
      </c>
      <c r="D457" s="46">
        <f>'Selections &amp; Orders'!AB463</f>
        <v/>
      </c>
      <c r="E457" s="46">
        <f>IF(OR(B457="",C457="",D457=""),"",D457*100000+(C457-DATE(2000,1,1))+ROW()/100000)</f>
        <v/>
      </c>
      <c r="F457" s="46">
        <f>IF(E457="","",IF(C457&gt;WeekEndDate,"",E457))</f>
        <v/>
      </c>
    </row>
    <row r="458">
      <c r="A458" t="inlineStr">
        <is>
          <t>Selections &amp; Orders</t>
        </is>
      </c>
      <c r="B458" s="46">
        <f>'Selections &amp; Orders'!AC464</f>
        <v/>
      </c>
      <c r="C458" s="84">
        <f>'Selections &amp; Orders'!AA464</f>
        <v/>
      </c>
      <c r="D458" s="46">
        <f>'Selections &amp; Orders'!AB464</f>
        <v/>
      </c>
      <c r="E458" s="46">
        <f>IF(OR(B458="",C458="",D458=""),"",D458*100000+(C458-DATE(2000,1,1))+ROW()/100000)</f>
        <v/>
      </c>
      <c r="F458" s="46">
        <f>IF(E458="","",IF(C458&gt;WeekEndDate,"",E458))</f>
        <v/>
      </c>
    </row>
    <row r="459">
      <c r="A459" t="inlineStr">
        <is>
          <t>Selections &amp; Orders</t>
        </is>
      </c>
      <c r="B459" s="46">
        <f>'Selections &amp; Orders'!AC465</f>
        <v/>
      </c>
      <c r="C459" s="84">
        <f>'Selections &amp; Orders'!AA465</f>
        <v/>
      </c>
      <c r="D459" s="46">
        <f>'Selections &amp; Orders'!AB465</f>
        <v/>
      </c>
      <c r="E459" s="46">
        <f>IF(OR(B459="",C459="",D459=""),"",D459*100000+(C459-DATE(2000,1,1))+ROW()/100000)</f>
        <v/>
      </c>
      <c r="F459" s="46">
        <f>IF(E459="","",IF(C459&gt;WeekEndDate,"",E459))</f>
        <v/>
      </c>
    </row>
    <row r="460">
      <c r="A460" t="inlineStr">
        <is>
          <t>Selections &amp; Orders</t>
        </is>
      </c>
      <c r="B460" s="46">
        <f>'Selections &amp; Orders'!AC466</f>
        <v/>
      </c>
      <c r="C460" s="84">
        <f>'Selections &amp; Orders'!AA466</f>
        <v/>
      </c>
      <c r="D460" s="46">
        <f>'Selections &amp; Orders'!AB466</f>
        <v/>
      </c>
      <c r="E460" s="46">
        <f>IF(OR(B460="",C460="",D460=""),"",D460*100000+(C460-DATE(2000,1,1))+ROW()/100000)</f>
        <v/>
      </c>
      <c r="F460" s="46">
        <f>IF(E460="","",IF(C460&gt;WeekEndDate,"",E460))</f>
        <v/>
      </c>
    </row>
    <row r="461">
      <c r="A461" t="inlineStr">
        <is>
          <t>Selections &amp; Orders</t>
        </is>
      </c>
      <c r="B461" s="46">
        <f>'Selections &amp; Orders'!AC467</f>
        <v/>
      </c>
      <c r="C461" s="84">
        <f>'Selections &amp; Orders'!AA467</f>
        <v/>
      </c>
      <c r="D461" s="46">
        <f>'Selections &amp; Orders'!AB467</f>
        <v/>
      </c>
      <c r="E461" s="46">
        <f>IF(OR(B461="",C461="",D461=""),"",D461*100000+(C461-DATE(2000,1,1))+ROW()/100000)</f>
        <v/>
      </c>
      <c r="F461" s="46">
        <f>IF(E461="","",IF(C461&gt;WeekEndDate,"",E461))</f>
        <v/>
      </c>
    </row>
    <row r="462">
      <c r="A462" t="inlineStr">
        <is>
          <t>Selections &amp; Orders</t>
        </is>
      </c>
      <c r="B462" s="46">
        <f>'Selections &amp; Orders'!AC468</f>
        <v/>
      </c>
      <c r="C462" s="84">
        <f>'Selections &amp; Orders'!AA468</f>
        <v/>
      </c>
      <c r="D462" s="46">
        <f>'Selections &amp; Orders'!AB468</f>
        <v/>
      </c>
      <c r="E462" s="46">
        <f>IF(OR(B462="",C462="",D462=""),"",D462*100000+(C462-DATE(2000,1,1))+ROW()/100000)</f>
        <v/>
      </c>
      <c r="F462" s="46">
        <f>IF(E462="","",IF(C462&gt;WeekEndDate,"",E462))</f>
        <v/>
      </c>
    </row>
    <row r="463">
      <c r="A463" t="inlineStr">
        <is>
          <t>Selections &amp; Orders</t>
        </is>
      </c>
      <c r="B463" s="46">
        <f>'Selections &amp; Orders'!AC469</f>
        <v/>
      </c>
      <c r="C463" s="84">
        <f>'Selections &amp; Orders'!AA469</f>
        <v/>
      </c>
      <c r="D463" s="46">
        <f>'Selections &amp; Orders'!AB469</f>
        <v/>
      </c>
      <c r="E463" s="46">
        <f>IF(OR(B463="",C463="",D463=""),"",D463*100000+(C463-DATE(2000,1,1))+ROW()/100000)</f>
        <v/>
      </c>
      <c r="F463" s="46">
        <f>IF(E463="","",IF(C463&gt;WeekEndDate,"",E463))</f>
        <v/>
      </c>
    </row>
    <row r="464">
      <c r="A464" t="inlineStr">
        <is>
          <t>Selections &amp; Orders</t>
        </is>
      </c>
      <c r="B464" s="46">
        <f>'Selections &amp; Orders'!AC470</f>
        <v/>
      </c>
      <c r="C464" s="84">
        <f>'Selections &amp; Orders'!AA470</f>
        <v/>
      </c>
      <c r="D464" s="46">
        <f>'Selections &amp; Orders'!AB470</f>
        <v/>
      </c>
      <c r="E464" s="46">
        <f>IF(OR(B464="",C464="",D464=""),"",D464*100000+(C464-DATE(2000,1,1))+ROW()/100000)</f>
        <v/>
      </c>
      <c r="F464" s="46">
        <f>IF(E464="","",IF(C464&gt;WeekEndDate,"",E464))</f>
        <v/>
      </c>
    </row>
    <row r="465">
      <c r="A465" t="inlineStr">
        <is>
          <t>Selections &amp; Orders</t>
        </is>
      </c>
      <c r="B465" s="46">
        <f>'Selections &amp; Orders'!AC471</f>
        <v/>
      </c>
      <c r="C465" s="84">
        <f>'Selections &amp; Orders'!AA471</f>
        <v/>
      </c>
      <c r="D465" s="46">
        <f>'Selections &amp; Orders'!AB471</f>
        <v/>
      </c>
      <c r="E465" s="46">
        <f>IF(OR(B465="",C465="",D465=""),"",D465*100000+(C465-DATE(2000,1,1))+ROW()/100000)</f>
        <v/>
      </c>
      <c r="F465" s="46">
        <f>IF(E465="","",IF(C465&gt;WeekEndDate,"",E465))</f>
        <v/>
      </c>
    </row>
    <row r="466">
      <c r="A466" t="inlineStr">
        <is>
          <t>Selections &amp; Orders</t>
        </is>
      </c>
      <c r="B466" s="46">
        <f>'Selections &amp; Orders'!AC472</f>
        <v/>
      </c>
      <c r="C466" s="84">
        <f>'Selections &amp; Orders'!AA472</f>
        <v/>
      </c>
      <c r="D466" s="46">
        <f>'Selections &amp; Orders'!AB472</f>
        <v/>
      </c>
      <c r="E466" s="46">
        <f>IF(OR(B466="",C466="",D466=""),"",D466*100000+(C466-DATE(2000,1,1))+ROW()/100000)</f>
        <v/>
      </c>
      <c r="F466" s="46">
        <f>IF(E466="","",IF(C466&gt;WeekEndDate,"",E466))</f>
        <v/>
      </c>
    </row>
    <row r="467">
      <c r="A467" t="inlineStr">
        <is>
          <t>Selections &amp; Orders</t>
        </is>
      </c>
      <c r="B467" s="46">
        <f>'Selections &amp; Orders'!AC473</f>
        <v/>
      </c>
      <c r="C467" s="84">
        <f>'Selections &amp; Orders'!AA473</f>
        <v/>
      </c>
      <c r="D467" s="46">
        <f>'Selections &amp; Orders'!AB473</f>
        <v/>
      </c>
      <c r="E467" s="46">
        <f>IF(OR(B467="",C467="",D467=""),"",D467*100000+(C467-DATE(2000,1,1))+ROW()/100000)</f>
        <v/>
      </c>
      <c r="F467" s="46">
        <f>IF(E467="","",IF(C467&gt;WeekEndDate,"",E467))</f>
        <v/>
      </c>
    </row>
    <row r="468">
      <c r="A468" t="inlineStr">
        <is>
          <t>Selections &amp; Orders</t>
        </is>
      </c>
      <c r="B468" s="46">
        <f>'Selections &amp; Orders'!AC474</f>
        <v/>
      </c>
      <c r="C468" s="84">
        <f>'Selections &amp; Orders'!AA474</f>
        <v/>
      </c>
      <c r="D468" s="46">
        <f>'Selections &amp; Orders'!AB474</f>
        <v/>
      </c>
      <c r="E468" s="46">
        <f>IF(OR(B468="",C468="",D468=""),"",D468*100000+(C468-DATE(2000,1,1))+ROW()/100000)</f>
        <v/>
      </c>
      <c r="F468" s="46">
        <f>IF(E468="","",IF(C468&gt;WeekEndDate,"",E468))</f>
        <v/>
      </c>
    </row>
    <row r="469">
      <c r="A469" t="inlineStr">
        <is>
          <t>Selections &amp; Orders</t>
        </is>
      </c>
      <c r="B469" s="46">
        <f>'Selections &amp; Orders'!AC475</f>
        <v/>
      </c>
      <c r="C469" s="84">
        <f>'Selections &amp; Orders'!AA475</f>
        <v/>
      </c>
      <c r="D469" s="46">
        <f>'Selections &amp; Orders'!AB475</f>
        <v/>
      </c>
      <c r="E469" s="46">
        <f>IF(OR(B469="",C469="",D469=""),"",D469*100000+(C469-DATE(2000,1,1))+ROW()/100000)</f>
        <v/>
      </c>
      <c r="F469" s="46">
        <f>IF(E469="","",IF(C469&gt;WeekEndDate,"",E469))</f>
        <v/>
      </c>
    </row>
    <row r="470">
      <c r="A470" t="inlineStr">
        <is>
          <t>Selections &amp; Orders</t>
        </is>
      </c>
      <c r="B470" s="46">
        <f>'Selections &amp; Orders'!AC476</f>
        <v/>
      </c>
      <c r="C470" s="84">
        <f>'Selections &amp; Orders'!AA476</f>
        <v/>
      </c>
      <c r="D470" s="46">
        <f>'Selections &amp; Orders'!AB476</f>
        <v/>
      </c>
      <c r="E470" s="46">
        <f>IF(OR(B470="",C470="",D470=""),"",D470*100000+(C470-DATE(2000,1,1))+ROW()/100000)</f>
        <v/>
      </c>
      <c r="F470" s="46">
        <f>IF(E470="","",IF(C470&gt;WeekEndDate,"",E470))</f>
        <v/>
      </c>
    </row>
    <row r="471">
      <c r="A471" t="inlineStr">
        <is>
          <t>Selections &amp; Orders</t>
        </is>
      </c>
      <c r="B471" s="46">
        <f>'Selections &amp; Orders'!AC477</f>
        <v/>
      </c>
      <c r="C471" s="84">
        <f>'Selections &amp; Orders'!AA477</f>
        <v/>
      </c>
      <c r="D471" s="46">
        <f>'Selections &amp; Orders'!AB477</f>
        <v/>
      </c>
      <c r="E471" s="46">
        <f>IF(OR(B471="",C471="",D471=""),"",D471*100000+(C471-DATE(2000,1,1))+ROW()/100000)</f>
        <v/>
      </c>
      <c r="F471" s="46">
        <f>IF(E471="","",IF(C471&gt;WeekEndDate,"",E471))</f>
        <v/>
      </c>
    </row>
    <row r="472">
      <c r="A472" t="inlineStr">
        <is>
          <t>Selections &amp; Orders</t>
        </is>
      </c>
      <c r="B472" s="46">
        <f>'Selections &amp; Orders'!AC478</f>
        <v/>
      </c>
      <c r="C472" s="84">
        <f>'Selections &amp; Orders'!AA478</f>
        <v/>
      </c>
      <c r="D472" s="46">
        <f>'Selections &amp; Orders'!AB478</f>
        <v/>
      </c>
      <c r="E472" s="46">
        <f>IF(OR(B472="",C472="",D472=""),"",D472*100000+(C472-DATE(2000,1,1))+ROW()/100000)</f>
        <v/>
      </c>
      <c r="F472" s="46">
        <f>IF(E472="","",IF(C472&gt;WeekEndDate,"",E472))</f>
        <v/>
      </c>
    </row>
    <row r="473">
      <c r="A473" t="inlineStr">
        <is>
          <t>Selections &amp; Orders</t>
        </is>
      </c>
      <c r="B473" s="46">
        <f>'Selections &amp; Orders'!AC479</f>
        <v/>
      </c>
      <c r="C473" s="84">
        <f>'Selections &amp; Orders'!AA479</f>
        <v/>
      </c>
      <c r="D473" s="46">
        <f>'Selections &amp; Orders'!AB479</f>
        <v/>
      </c>
      <c r="E473" s="46">
        <f>IF(OR(B473="",C473="",D473=""),"",D473*100000+(C473-DATE(2000,1,1))+ROW()/100000)</f>
        <v/>
      </c>
      <c r="F473" s="46">
        <f>IF(E473="","",IF(C473&gt;WeekEndDate,"",E473))</f>
        <v/>
      </c>
    </row>
    <row r="474">
      <c r="A474" t="inlineStr">
        <is>
          <t>Selections &amp; Orders</t>
        </is>
      </c>
      <c r="B474" s="46">
        <f>'Selections &amp; Orders'!AC480</f>
        <v/>
      </c>
      <c r="C474" s="84">
        <f>'Selections &amp; Orders'!AA480</f>
        <v/>
      </c>
      <c r="D474" s="46">
        <f>'Selections &amp; Orders'!AB480</f>
        <v/>
      </c>
      <c r="E474" s="46">
        <f>IF(OR(B474="",C474="",D474=""),"",D474*100000+(C474-DATE(2000,1,1))+ROW()/100000)</f>
        <v/>
      </c>
      <c r="F474" s="46">
        <f>IF(E474="","",IF(C474&gt;WeekEndDate,"",E474))</f>
        <v/>
      </c>
    </row>
    <row r="475">
      <c r="A475" t="inlineStr">
        <is>
          <t>Selections &amp; Orders</t>
        </is>
      </c>
      <c r="B475" s="46">
        <f>'Selections &amp; Orders'!AC481</f>
        <v/>
      </c>
      <c r="C475" s="84">
        <f>'Selections &amp; Orders'!AA481</f>
        <v/>
      </c>
      <c r="D475" s="46">
        <f>'Selections &amp; Orders'!AB481</f>
        <v/>
      </c>
      <c r="E475" s="46">
        <f>IF(OR(B475="",C475="",D475=""),"",D475*100000+(C475-DATE(2000,1,1))+ROW()/100000)</f>
        <v/>
      </c>
      <c r="F475" s="46">
        <f>IF(E475="","",IF(C475&gt;WeekEndDate,"",E475))</f>
        <v/>
      </c>
    </row>
    <row r="476">
      <c r="A476" t="inlineStr">
        <is>
          <t>Selections &amp; Orders</t>
        </is>
      </c>
      <c r="B476" s="46">
        <f>'Selections &amp; Orders'!AC482</f>
        <v/>
      </c>
      <c r="C476" s="84">
        <f>'Selections &amp; Orders'!AA482</f>
        <v/>
      </c>
      <c r="D476" s="46">
        <f>'Selections &amp; Orders'!AB482</f>
        <v/>
      </c>
      <c r="E476" s="46">
        <f>IF(OR(B476="",C476="",D476=""),"",D476*100000+(C476-DATE(2000,1,1))+ROW()/100000)</f>
        <v/>
      </c>
      <c r="F476" s="46">
        <f>IF(E476="","",IF(C476&gt;WeekEndDate,"",E476))</f>
        <v/>
      </c>
    </row>
    <row r="477">
      <c r="A477" t="inlineStr">
        <is>
          <t>Selections &amp; Orders</t>
        </is>
      </c>
      <c r="B477" s="46">
        <f>'Selections &amp; Orders'!AC483</f>
        <v/>
      </c>
      <c r="C477" s="84">
        <f>'Selections &amp; Orders'!AA483</f>
        <v/>
      </c>
      <c r="D477" s="46">
        <f>'Selections &amp; Orders'!AB483</f>
        <v/>
      </c>
      <c r="E477" s="46">
        <f>IF(OR(B477="",C477="",D477=""),"",D477*100000+(C477-DATE(2000,1,1))+ROW()/100000)</f>
        <v/>
      </c>
      <c r="F477" s="46">
        <f>IF(E477="","",IF(C477&gt;WeekEndDate,"",E477))</f>
        <v/>
      </c>
    </row>
    <row r="478">
      <c r="A478" t="inlineStr">
        <is>
          <t>Selections &amp; Orders</t>
        </is>
      </c>
      <c r="B478" s="46">
        <f>'Selections &amp; Orders'!AC484</f>
        <v/>
      </c>
      <c r="C478" s="84">
        <f>'Selections &amp; Orders'!AA484</f>
        <v/>
      </c>
      <c r="D478" s="46">
        <f>'Selections &amp; Orders'!AB484</f>
        <v/>
      </c>
      <c r="E478" s="46">
        <f>IF(OR(B478="",C478="",D478=""),"",D478*100000+(C478-DATE(2000,1,1))+ROW()/100000)</f>
        <v/>
      </c>
      <c r="F478" s="46">
        <f>IF(E478="","",IF(C478&gt;WeekEndDate,"",E478))</f>
        <v/>
      </c>
    </row>
    <row r="479">
      <c r="A479" t="inlineStr">
        <is>
          <t>Selections &amp; Orders</t>
        </is>
      </c>
      <c r="B479" s="46">
        <f>'Selections &amp; Orders'!AC485</f>
        <v/>
      </c>
      <c r="C479" s="84">
        <f>'Selections &amp; Orders'!AA485</f>
        <v/>
      </c>
      <c r="D479" s="46">
        <f>'Selections &amp; Orders'!AB485</f>
        <v/>
      </c>
      <c r="E479" s="46">
        <f>IF(OR(B479="",C479="",D479=""),"",D479*100000+(C479-DATE(2000,1,1))+ROW()/100000)</f>
        <v/>
      </c>
      <c r="F479" s="46">
        <f>IF(E479="","",IF(C479&gt;WeekEndDate,"",E479))</f>
        <v/>
      </c>
    </row>
    <row r="480">
      <c r="A480" t="inlineStr">
        <is>
          <t>Selections &amp; Orders</t>
        </is>
      </c>
      <c r="B480" s="46">
        <f>'Selections &amp; Orders'!AC486</f>
        <v/>
      </c>
      <c r="C480" s="84">
        <f>'Selections &amp; Orders'!AA486</f>
        <v/>
      </c>
      <c r="D480" s="46">
        <f>'Selections &amp; Orders'!AB486</f>
        <v/>
      </c>
      <c r="E480" s="46">
        <f>IF(OR(B480="",C480="",D480=""),"",D480*100000+(C480-DATE(2000,1,1))+ROW()/100000)</f>
        <v/>
      </c>
      <c r="F480" s="46">
        <f>IF(E480="","",IF(C480&gt;WeekEndDate,"",E480))</f>
        <v/>
      </c>
    </row>
    <row r="481">
      <c r="A481" t="inlineStr">
        <is>
          <t>Selections &amp; Orders</t>
        </is>
      </c>
      <c r="B481" s="46">
        <f>'Selections &amp; Orders'!AC487</f>
        <v/>
      </c>
      <c r="C481" s="84">
        <f>'Selections &amp; Orders'!AA487</f>
        <v/>
      </c>
      <c r="D481" s="46">
        <f>'Selections &amp; Orders'!AB487</f>
        <v/>
      </c>
      <c r="E481" s="46">
        <f>IF(OR(B481="",C481="",D481=""),"",D481*100000+(C481-DATE(2000,1,1))+ROW()/100000)</f>
        <v/>
      </c>
      <c r="F481" s="46">
        <f>IF(E481="","",IF(C481&gt;WeekEndDate,"",E481))</f>
        <v/>
      </c>
    </row>
    <row r="482">
      <c r="A482" t="inlineStr">
        <is>
          <t>Selections &amp; Orders</t>
        </is>
      </c>
      <c r="B482" s="46">
        <f>'Selections &amp; Orders'!AC488</f>
        <v/>
      </c>
      <c r="C482" s="84">
        <f>'Selections &amp; Orders'!AA488</f>
        <v/>
      </c>
      <c r="D482" s="46">
        <f>'Selections &amp; Orders'!AB488</f>
        <v/>
      </c>
      <c r="E482" s="46">
        <f>IF(OR(B482="",C482="",D482=""),"",D482*100000+(C482-DATE(2000,1,1))+ROW()/100000)</f>
        <v/>
      </c>
      <c r="F482" s="46">
        <f>IF(E482="","",IF(C482&gt;WeekEndDate,"",E482))</f>
        <v/>
      </c>
    </row>
    <row r="483">
      <c r="A483" t="inlineStr">
        <is>
          <t>Selections &amp; Orders</t>
        </is>
      </c>
      <c r="B483" s="46">
        <f>'Selections &amp; Orders'!AC489</f>
        <v/>
      </c>
      <c r="C483" s="84">
        <f>'Selections &amp; Orders'!AA489</f>
        <v/>
      </c>
      <c r="D483" s="46">
        <f>'Selections &amp; Orders'!AB489</f>
        <v/>
      </c>
      <c r="E483" s="46">
        <f>IF(OR(B483="",C483="",D483=""),"",D483*100000+(C483-DATE(2000,1,1))+ROW()/100000)</f>
        <v/>
      </c>
      <c r="F483" s="46">
        <f>IF(E483="","",IF(C483&gt;WeekEndDate,"",E483))</f>
        <v/>
      </c>
    </row>
    <row r="484">
      <c r="A484" t="inlineStr">
        <is>
          <t>Selections &amp; Orders</t>
        </is>
      </c>
      <c r="B484" s="46">
        <f>'Selections &amp; Orders'!AC490</f>
        <v/>
      </c>
      <c r="C484" s="84">
        <f>'Selections &amp; Orders'!AA490</f>
        <v/>
      </c>
      <c r="D484" s="46">
        <f>'Selections &amp; Orders'!AB490</f>
        <v/>
      </c>
      <c r="E484" s="46">
        <f>IF(OR(B484="",C484="",D484=""),"",D484*100000+(C484-DATE(2000,1,1))+ROW()/100000)</f>
        <v/>
      </c>
      <c r="F484" s="46">
        <f>IF(E484="","",IF(C484&gt;WeekEndDate,"",E484))</f>
        <v/>
      </c>
    </row>
    <row r="485">
      <c r="A485" t="inlineStr">
        <is>
          <t>Selections &amp; Orders</t>
        </is>
      </c>
      <c r="B485" s="46">
        <f>'Selections &amp; Orders'!AC491</f>
        <v/>
      </c>
      <c r="C485" s="84">
        <f>'Selections &amp; Orders'!AA491</f>
        <v/>
      </c>
      <c r="D485" s="46">
        <f>'Selections &amp; Orders'!AB491</f>
        <v/>
      </c>
      <c r="E485" s="46">
        <f>IF(OR(B485="",C485="",D485=""),"",D485*100000+(C485-DATE(2000,1,1))+ROW()/100000)</f>
        <v/>
      </c>
      <c r="F485" s="46">
        <f>IF(E485="","",IF(C485&gt;WeekEndDate,"",E485))</f>
        <v/>
      </c>
    </row>
    <row r="486">
      <c r="A486" t="inlineStr">
        <is>
          <t>Selections &amp; Orders</t>
        </is>
      </c>
      <c r="B486" s="46">
        <f>'Selections &amp; Orders'!AC492</f>
        <v/>
      </c>
      <c r="C486" s="84">
        <f>'Selections &amp; Orders'!AA492</f>
        <v/>
      </c>
      <c r="D486" s="46">
        <f>'Selections &amp; Orders'!AB492</f>
        <v/>
      </c>
      <c r="E486" s="46">
        <f>IF(OR(B486="",C486="",D486=""),"",D486*100000+(C486-DATE(2000,1,1))+ROW()/100000)</f>
        <v/>
      </c>
      <c r="F486" s="46">
        <f>IF(E486="","",IF(C486&gt;WeekEndDate,"",E486))</f>
        <v/>
      </c>
    </row>
    <row r="487">
      <c r="A487" t="inlineStr">
        <is>
          <t>Selections &amp; Orders</t>
        </is>
      </c>
      <c r="B487" s="46">
        <f>'Selections &amp; Orders'!AC493</f>
        <v/>
      </c>
      <c r="C487" s="84">
        <f>'Selections &amp; Orders'!AA493</f>
        <v/>
      </c>
      <c r="D487" s="46">
        <f>'Selections &amp; Orders'!AB493</f>
        <v/>
      </c>
      <c r="E487" s="46">
        <f>IF(OR(B487="",C487="",D487=""),"",D487*100000+(C487-DATE(2000,1,1))+ROW()/100000)</f>
        <v/>
      </c>
      <c r="F487" s="46">
        <f>IF(E487="","",IF(C487&gt;WeekEndDate,"",E487))</f>
        <v/>
      </c>
    </row>
    <row r="488">
      <c r="A488" t="inlineStr">
        <is>
          <t>Selections &amp; Orders</t>
        </is>
      </c>
      <c r="B488" s="46">
        <f>'Selections &amp; Orders'!AC494</f>
        <v/>
      </c>
      <c r="C488" s="84">
        <f>'Selections &amp; Orders'!AA494</f>
        <v/>
      </c>
      <c r="D488" s="46">
        <f>'Selections &amp; Orders'!AB494</f>
        <v/>
      </c>
      <c r="E488" s="46">
        <f>IF(OR(B488="",C488="",D488=""),"",D488*100000+(C488-DATE(2000,1,1))+ROW()/100000)</f>
        <v/>
      </c>
      <c r="F488" s="46">
        <f>IF(E488="","",IF(C488&gt;WeekEndDate,"",E488))</f>
        <v/>
      </c>
    </row>
    <row r="489">
      <c r="A489" t="inlineStr">
        <is>
          <t>Selections &amp; Orders</t>
        </is>
      </c>
      <c r="B489" s="46">
        <f>'Selections &amp; Orders'!AC495</f>
        <v/>
      </c>
      <c r="C489" s="84">
        <f>'Selections &amp; Orders'!AA495</f>
        <v/>
      </c>
      <c r="D489" s="46">
        <f>'Selections &amp; Orders'!AB495</f>
        <v/>
      </c>
      <c r="E489" s="46">
        <f>IF(OR(B489="",C489="",D489=""),"",D489*100000+(C489-DATE(2000,1,1))+ROW()/100000)</f>
        <v/>
      </c>
      <c r="F489" s="46">
        <f>IF(E489="","",IF(C489&gt;WeekEndDate,"",E489))</f>
        <v/>
      </c>
    </row>
    <row r="490">
      <c r="A490" t="inlineStr">
        <is>
          <t>Selections &amp; Orders</t>
        </is>
      </c>
      <c r="B490" s="46">
        <f>'Selections &amp; Orders'!AC496</f>
        <v/>
      </c>
      <c r="C490" s="84">
        <f>'Selections &amp; Orders'!AA496</f>
        <v/>
      </c>
      <c r="D490" s="46">
        <f>'Selections &amp; Orders'!AB496</f>
        <v/>
      </c>
      <c r="E490" s="46">
        <f>IF(OR(B490="",C490="",D490=""),"",D490*100000+(C490-DATE(2000,1,1))+ROW()/100000)</f>
        <v/>
      </c>
      <c r="F490" s="46">
        <f>IF(E490="","",IF(C490&gt;WeekEndDate,"",E490))</f>
        <v/>
      </c>
    </row>
    <row r="491">
      <c r="A491" t="inlineStr">
        <is>
          <t>Selections &amp; Orders</t>
        </is>
      </c>
      <c r="B491" s="46">
        <f>'Selections &amp; Orders'!AC497</f>
        <v/>
      </c>
      <c r="C491" s="84">
        <f>'Selections &amp; Orders'!AA497</f>
        <v/>
      </c>
      <c r="D491" s="46">
        <f>'Selections &amp; Orders'!AB497</f>
        <v/>
      </c>
      <c r="E491" s="46">
        <f>IF(OR(B491="",C491="",D491=""),"",D491*100000+(C491-DATE(2000,1,1))+ROW()/100000)</f>
        <v/>
      </c>
      <c r="F491" s="46">
        <f>IF(E491="","",IF(C491&gt;WeekEndDate,"",E491))</f>
        <v/>
      </c>
    </row>
    <row r="492">
      <c r="A492" t="inlineStr">
        <is>
          <t>Selections &amp; Orders</t>
        </is>
      </c>
      <c r="B492" s="46">
        <f>'Selections &amp; Orders'!AC498</f>
        <v/>
      </c>
      <c r="C492" s="84">
        <f>'Selections &amp; Orders'!AA498</f>
        <v/>
      </c>
      <c r="D492" s="46">
        <f>'Selections &amp; Orders'!AB498</f>
        <v/>
      </c>
      <c r="E492" s="46">
        <f>IF(OR(B492="",C492="",D492=""),"",D492*100000+(C492-DATE(2000,1,1))+ROW()/100000)</f>
        <v/>
      </c>
      <c r="F492" s="46">
        <f>IF(E492="","",IF(C492&gt;WeekEndDate,"",E492))</f>
        <v/>
      </c>
    </row>
    <row r="493">
      <c r="A493" t="inlineStr">
        <is>
          <t>Selections &amp; Orders</t>
        </is>
      </c>
      <c r="B493" s="46">
        <f>'Selections &amp; Orders'!AC499</f>
        <v/>
      </c>
      <c r="C493" s="84">
        <f>'Selections &amp; Orders'!AA499</f>
        <v/>
      </c>
      <c r="D493" s="46">
        <f>'Selections &amp; Orders'!AB499</f>
        <v/>
      </c>
      <c r="E493" s="46">
        <f>IF(OR(B493="",C493="",D493=""),"",D493*100000+(C493-DATE(2000,1,1))+ROW()/100000)</f>
        <v/>
      </c>
      <c r="F493" s="46">
        <f>IF(E493="","",IF(C493&gt;WeekEndDate,"",E493))</f>
        <v/>
      </c>
    </row>
    <row r="494">
      <c r="A494" t="inlineStr">
        <is>
          <t>Selections &amp; Orders</t>
        </is>
      </c>
      <c r="B494" s="46">
        <f>'Selections &amp; Orders'!AC500</f>
        <v/>
      </c>
      <c r="C494" s="84">
        <f>'Selections &amp; Orders'!AA500</f>
        <v/>
      </c>
      <c r="D494" s="46">
        <f>'Selections &amp; Orders'!AB500</f>
        <v/>
      </c>
      <c r="E494" s="46">
        <f>IF(OR(B494="",C494="",D494=""),"",D494*100000+(C494-DATE(2000,1,1))+ROW()/100000)</f>
        <v/>
      </c>
      <c r="F494" s="46">
        <f>IF(E494="","",IF(C494&gt;WeekEndDate,"",E494))</f>
        <v/>
      </c>
    </row>
    <row r="495">
      <c r="A495" t="inlineStr">
        <is>
          <t>Selections &amp; Orders</t>
        </is>
      </c>
      <c r="B495" s="46">
        <f>'Selections &amp; Orders'!AC501</f>
        <v/>
      </c>
      <c r="C495" s="84">
        <f>'Selections &amp; Orders'!AA501</f>
        <v/>
      </c>
      <c r="D495" s="46">
        <f>'Selections &amp; Orders'!AB501</f>
        <v/>
      </c>
      <c r="E495" s="46">
        <f>IF(OR(B495="",C495="",D495=""),"",D495*100000+(C495-DATE(2000,1,1))+ROW()/100000)</f>
        <v/>
      </c>
      <c r="F495" s="46">
        <f>IF(E495="","",IF(C495&gt;WeekEndDate,"",E495))</f>
        <v/>
      </c>
    </row>
    <row r="496">
      <c r="A496" t="inlineStr">
        <is>
          <t>Selections &amp; Orders</t>
        </is>
      </c>
      <c r="B496" s="46">
        <f>'Selections &amp; Orders'!AC502</f>
        <v/>
      </c>
      <c r="C496" s="84">
        <f>'Selections &amp; Orders'!AA502</f>
        <v/>
      </c>
      <c r="D496" s="46">
        <f>'Selections &amp; Orders'!AB502</f>
        <v/>
      </c>
      <c r="E496" s="46">
        <f>IF(OR(B496="",C496="",D496=""),"",D496*100000+(C496-DATE(2000,1,1))+ROW()/100000)</f>
        <v/>
      </c>
      <c r="F496" s="46">
        <f>IF(E496="","",IF(C496&gt;WeekEndDate,"",E496))</f>
        <v/>
      </c>
    </row>
    <row r="497">
      <c r="A497" t="inlineStr">
        <is>
          <t>Selections &amp; Orders</t>
        </is>
      </c>
      <c r="B497" s="46">
        <f>'Selections &amp; Orders'!AC503</f>
        <v/>
      </c>
      <c r="C497" s="84">
        <f>'Selections &amp; Orders'!AA503</f>
        <v/>
      </c>
      <c r="D497" s="46">
        <f>'Selections &amp; Orders'!AB503</f>
        <v/>
      </c>
      <c r="E497" s="46">
        <f>IF(OR(B497="",C497="",D497=""),"",D497*100000+(C497-DATE(2000,1,1))+ROW()/100000)</f>
        <v/>
      </c>
      <c r="F497" s="46">
        <f>IF(E497="","",IF(C497&gt;WeekEndDate,"",E497))</f>
        <v/>
      </c>
    </row>
    <row r="498">
      <c r="A498" t="inlineStr">
        <is>
          <t>Selections &amp; Orders</t>
        </is>
      </c>
      <c r="B498" s="46">
        <f>'Selections &amp; Orders'!AC504</f>
        <v/>
      </c>
      <c r="C498" s="84">
        <f>'Selections &amp; Orders'!AA504</f>
        <v/>
      </c>
      <c r="D498" s="46">
        <f>'Selections &amp; Orders'!AB504</f>
        <v/>
      </c>
      <c r="E498" s="46">
        <f>IF(OR(B498="",C498="",D498=""),"",D498*100000+(C498-DATE(2000,1,1))+ROW()/100000)</f>
        <v/>
      </c>
      <c r="F498" s="46">
        <f>IF(E498="","",IF(C498&gt;WeekEndDate,"",E498))</f>
        <v/>
      </c>
    </row>
    <row r="499">
      <c r="A499" t="inlineStr">
        <is>
          <t>Selections &amp; Orders</t>
        </is>
      </c>
      <c r="B499" s="46">
        <f>'Selections &amp; Orders'!AC505</f>
        <v/>
      </c>
      <c r="C499" s="84">
        <f>'Selections &amp; Orders'!AA505</f>
        <v/>
      </c>
      <c r="D499" s="46">
        <f>'Selections &amp; Orders'!AB505</f>
        <v/>
      </c>
      <c r="E499" s="46">
        <f>IF(OR(B499="",C499="",D499=""),"",D499*100000+(C499-DATE(2000,1,1))+ROW()/100000)</f>
        <v/>
      </c>
      <c r="F499" s="46">
        <f>IF(E499="","",IF(C499&gt;WeekEndDate,"",E499))</f>
        <v/>
      </c>
    </row>
    <row r="500">
      <c r="A500" t="inlineStr">
        <is>
          <t>Selections &amp; Orders</t>
        </is>
      </c>
      <c r="B500" s="46">
        <f>'Selections &amp; Orders'!AC506</f>
        <v/>
      </c>
      <c r="C500" s="84">
        <f>'Selections &amp; Orders'!AA506</f>
        <v/>
      </c>
      <c r="D500" s="46">
        <f>'Selections &amp; Orders'!AB506</f>
        <v/>
      </c>
      <c r="E500" s="46">
        <f>IF(OR(B500="",C500="",D500=""),"",D500*100000+(C500-DATE(2000,1,1))+ROW()/100000)</f>
        <v/>
      </c>
      <c r="F500" s="46">
        <f>IF(E500="","",IF(C500&gt;WeekEndDate,"",E500))</f>
        <v/>
      </c>
    </row>
    <row r="501">
      <c r="A501" t="inlineStr">
        <is>
          <t>Selections &amp; Orders</t>
        </is>
      </c>
      <c r="B501" s="46">
        <f>'Selections &amp; Orders'!AC507</f>
        <v/>
      </c>
      <c r="C501" s="84">
        <f>'Selections &amp; Orders'!AA507</f>
        <v/>
      </c>
      <c r="D501" s="46">
        <f>'Selections &amp; Orders'!AB507</f>
        <v/>
      </c>
      <c r="E501" s="46">
        <f>IF(OR(B501="",C501="",D501=""),"",D501*100000+(C501-DATE(2000,1,1))+ROW()/100000)</f>
        <v/>
      </c>
      <c r="F501" s="46">
        <f>IF(E501="","",IF(C501&gt;WeekEndDate,"",E501))</f>
        <v/>
      </c>
    </row>
    <row r="502">
      <c r="A502" t="inlineStr">
        <is>
          <t>Selections &amp; Orders</t>
        </is>
      </c>
      <c r="B502" s="46">
        <f>'Selections &amp; Orders'!AC508</f>
        <v/>
      </c>
      <c r="C502" s="84">
        <f>'Selections &amp; Orders'!AA508</f>
        <v/>
      </c>
      <c r="D502" s="46">
        <f>'Selections &amp; Orders'!AB508</f>
        <v/>
      </c>
      <c r="E502" s="46">
        <f>IF(OR(B502="",C502="",D502=""),"",D502*100000+(C502-DATE(2000,1,1))+ROW()/100000)</f>
        <v/>
      </c>
      <c r="F502" s="46">
        <f>IF(E502="","",IF(C502&gt;WeekEndDate,"",E502))</f>
        <v/>
      </c>
    </row>
    <row r="503">
      <c r="A503" t="inlineStr">
        <is>
          <t>Selections &amp; Orders</t>
        </is>
      </c>
      <c r="B503" s="46">
        <f>'Selections &amp; Orders'!AC509</f>
        <v/>
      </c>
      <c r="C503" s="84">
        <f>'Selections &amp; Orders'!AA509</f>
        <v/>
      </c>
      <c r="D503" s="46">
        <f>'Selections &amp; Orders'!AB509</f>
        <v/>
      </c>
      <c r="E503" s="46">
        <f>IF(OR(B503="",C503="",D503=""),"",D503*100000+(C503-DATE(2000,1,1))+ROW()/100000)</f>
        <v/>
      </c>
      <c r="F503" s="46">
        <f>IF(E503="","",IF(C503&gt;WeekEndDate,"",E503))</f>
        <v/>
      </c>
    </row>
    <row r="504">
      <c r="A504" t="inlineStr">
        <is>
          <t>Selections &amp; Orders</t>
        </is>
      </c>
      <c r="B504" s="46">
        <f>'Selections &amp; Orders'!AC510</f>
        <v/>
      </c>
      <c r="C504" s="84">
        <f>'Selections &amp; Orders'!AA510</f>
        <v/>
      </c>
      <c r="D504" s="46">
        <f>'Selections &amp; Orders'!AB510</f>
        <v/>
      </c>
      <c r="E504" s="46">
        <f>IF(OR(B504="",C504="",D504=""),"",D504*100000+(C504-DATE(2000,1,1))+ROW()/100000)</f>
        <v/>
      </c>
      <c r="F504" s="46">
        <f>IF(E504="","",IF(C504&gt;WeekEndDate,"",E504))</f>
        <v/>
      </c>
    </row>
    <row r="505">
      <c r="A505" t="inlineStr">
        <is>
          <t>Selections &amp; Orders</t>
        </is>
      </c>
      <c r="B505" s="46">
        <f>'Selections &amp; Orders'!AC511</f>
        <v/>
      </c>
      <c r="C505" s="84">
        <f>'Selections &amp; Orders'!AA511</f>
        <v/>
      </c>
      <c r="D505" s="46">
        <f>'Selections &amp; Orders'!AB511</f>
        <v/>
      </c>
      <c r="E505" s="46">
        <f>IF(OR(B505="",C505="",D505=""),"",D505*100000+(C505-DATE(2000,1,1))+ROW()/100000)</f>
        <v/>
      </c>
      <c r="F505" s="46">
        <f>IF(E505="","",IF(C505&gt;WeekEndDate,"",E505))</f>
        <v/>
      </c>
    </row>
    <row r="506">
      <c r="A506" t="inlineStr">
        <is>
          <t>Selections &amp; Orders</t>
        </is>
      </c>
      <c r="B506" s="46">
        <f>'Selections &amp; Orders'!AC512</f>
        <v/>
      </c>
      <c r="C506" s="84">
        <f>'Selections &amp; Orders'!AA512</f>
        <v/>
      </c>
      <c r="D506" s="46">
        <f>'Selections &amp; Orders'!AB512</f>
        <v/>
      </c>
      <c r="E506" s="46">
        <f>IF(OR(B506="",C506="",D506=""),"",D506*100000+(C506-DATE(2000,1,1))+ROW()/100000)</f>
        <v/>
      </c>
      <c r="F506" s="46">
        <f>IF(E506="","",IF(C506&gt;WeekEndDate,"",E506))</f>
        <v/>
      </c>
    </row>
    <row r="507">
      <c r="A507" t="inlineStr">
        <is>
          <t>Selections &amp; Orders</t>
        </is>
      </c>
      <c r="B507" s="46">
        <f>'Selections &amp; Orders'!AC513</f>
        <v/>
      </c>
      <c r="C507" s="84">
        <f>'Selections &amp; Orders'!AA513</f>
        <v/>
      </c>
      <c r="D507" s="46">
        <f>'Selections &amp; Orders'!AB513</f>
        <v/>
      </c>
      <c r="E507" s="46">
        <f>IF(OR(B507="",C507="",D507=""),"",D507*100000+(C507-DATE(2000,1,1))+ROW()/100000)</f>
        <v/>
      </c>
      <c r="F507" s="46">
        <f>IF(E507="","",IF(C507&gt;WeekEndDate,"",E507))</f>
        <v/>
      </c>
    </row>
    <row r="508">
      <c r="A508" t="inlineStr">
        <is>
          <t>Selections &amp; Orders</t>
        </is>
      </c>
      <c r="B508" s="46">
        <f>'Selections &amp; Orders'!AC514</f>
        <v/>
      </c>
      <c r="C508" s="84">
        <f>'Selections &amp; Orders'!AA514</f>
        <v/>
      </c>
      <c r="D508" s="46">
        <f>'Selections &amp; Orders'!AB514</f>
        <v/>
      </c>
      <c r="E508" s="46">
        <f>IF(OR(B508="",C508="",D508=""),"",D508*100000+(C508-DATE(2000,1,1))+ROW()/100000)</f>
        <v/>
      </c>
      <c r="F508" s="46">
        <f>IF(E508="","",IF(C508&gt;WeekEndDate,"",E508))</f>
        <v/>
      </c>
    </row>
    <row r="509">
      <c r="A509" t="inlineStr">
        <is>
          <t>Selections &amp; Orders</t>
        </is>
      </c>
      <c r="B509" s="46">
        <f>'Selections &amp; Orders'!AC515</f>
        <v/>
      </c>
      <c r="C509" s="84">
        <f>'Selections &amp; Orders'!AA515</f>
        <v/>
      </c>
      <c r="D509" s="46">
        <f>'Selections &amp; Orders'!AB515</f>
        <v/>
      </c>
      <c r="E509" s="46">
        <f>IF(OR(B509="",C509="",D509=""),"",D509*100000+(C509-DATE(2000,1,1))+ROW()/100000)</f>
        <v/>
      </c>
      <c r="F509" s="46">
        <f>IF(E509="","",IF(C509&gt;WeekEndDate,"",E509))</f>
        <v/>
      </c>
    </row>
    <row r="510">
      <c r="A510" t="inlineStr">
        <is>
          <t>Selections &amp; Orders</t>
        </is>
      </c>
      <c r="B510" s="46">
        <f>'Selections &amp; Orders'!AC516</f>
        <v/>
      </c>
      <c r="C510" s="84">
        <f>'Selections &amp; Orders'!AA516</f>
        <v/>
      </c>
      <c r="D510" s="46">
        <f>'Selections &amp; Orders'!AB516</f>
        <v/>
      </c>
      <c r="E510" s="46">
        <f>IF(OR(B510="",C510="",D510=""),"",D510*100000+(C510-DATE(2000,1,1))+ROW()/100000)</f>
        <v/>
      </c>
      <c r="F510" s="46">
        <f>IF(E510="","",IF(C510&gt;WeekEndDate,"",E510))</f>
        <v/>
      </c>
    </row>
    <row r="511">
      <c r="A511" t="inlineStr">
        <is>
          <t>Selections &amp; Orders</t>
        </is>
      </c>
      <c r="B511" s="46">
        <f>'Selections &amp; Orders'!AC517</f>
        <v/>
      </c>
      <c r="C511" s="84">
        <f>'Selections &amp; Orders'!AA517</f>
        <v/>
      </c>
      <c r="D511" s="46">
        <f>'Selections &amp; Orders'!AB517</f>
        <v/>
      </c>
      <c r="E511" s="46">
        <f>IF(OR(B511="",C511="",D511=""),"",D511*100000+(C511-DATE(2000,1,1))+ROW()/100000)</f>
        <v/>
      </c>
      <c r="F511" s="46">
        <f>IF(E511="","",IF(C511&gt;WeekEndDate,"",E511))</f>
        <v/>
      </c>
    </row>
    <row r="512">
      <c r="A512" t="inlineStr">
        <is>
          <t>Selections &amp; Orders</t>
        </is>
      </c>
      <c r="B512" s="46">
        <f>'Selections &amp; Orders'!AC518</f>
        <v/>
      </c>
      <c r="C512" s="84">
        <f>'Selections &amp; Orders'!AA518</f>
        <v/>
      </c>
      <c r="D512" s="46">
        <f>'Selections &amp; Orders'!AB518</f>
        <v/>
      </c>
      <c r="E512" s="46">
        <f>IF(OR(B512="",C512="",D512=""),"",D512*100000+(C512-DATE(2000,1,1))+ROW()/100000)</f>
        <v/>
      </c>
      <c r="F512" s="46">
        <f>IF(E512="","",IF(C512&gt;WeekEndDate,"",E512))</f>
        <v/>
      </c>
    </row>
    <row r="513">
      <c r="A513" t="inlineStr">
        <is>
          <t>Selections &amp; Orders</t>
        </is>
      </c>
      <c r="B513" s="46">
        <f>'Selections &amp; Orders'!AC519</f>
        <v/>
      </c>
      <c r="C513" s="84">
        <f>'Selections &amp; Orders'!AA519</f>
        <v/>
      </c>
      <c r="D513" s="46">
        <f>'Selections &amp; Orders'!AB519</f>
        <v/>
      </c>
      <c r="E513" s="46">
        <f>IF(OR(B513="",C513="",D513=""),"",D513*100000+(C513-DATE(2000,1,1))+ROW()/100000)</f>
        <v/>
      </c>
      <c r="F513" s="46">
        <f>IF(E513="","",IF(C513&gt;WeekEndDate,"",E513))</f>
        <v/>
      </c>
    </row>
    <row r="514">
      <c r="A514" t="inlineStr">
        <is>
          <t>Selections &amp; Orders</t>
        </is>
      </c>
      <c r="B514" s="46">
        <f>'Selections &amp; Orders'!AC520</f>
        <v/>
      </c>
      <c r="C514" s="84">
        <f>'Selections &amp; Orders'!AA520</f>
        <v/>
      </c>
      <c r="D514" s="46">
        <f>'Selections &amp; Orders'!AB520</f>
        <v/>
      </c>
      <c r="E514" s="46">
        <f>IF(OR(B514="",C514="",D514=""),"",D514*100000+(C514-DATE(2000,1,1))+ROW()/100000)</f>
        <v/>
      </c>
      <c r="F514" s="46">
        <f>IF(E514="","",IF(C514&gt;WeekEndDate,"",E514))</f>
        <v/>
      </c>
    </row>
    <row r="515">
      <c r="A515" t="inlineStr">
        <is>
          <t>Selections &amp; Orders</t>
        </is>
      </c>
      <c r="B515" s="46">
        <f>'Selections &amp; Orders'!AC521</f>
        <v/>
      </c>
      <c r="C515" s="84">
        <f>'Selections &amp; Orders'!AA521</f>
        <v/>
      </c>
      <c r="D515" s="46">
        <f>'Selections &amp; Orders'!AB521</f>
        <v/>
      </c>
      <c r="E515" s="46">
        <f>IF(OR(B515="",C515="",D515=""),"",D515*100000+(C515-DATE(2000,1,1))+ROW()/100000)</f>
        <v/>
      </c>
      <c r="F515" s="46">
        <f>IF(E515="","",IF(C515&gt;WeekEndDate,"",E515))</f>
        <v/>
      </c>
    </row>
    <row r="516">
      <c r="A516" t="inlineStr">
        <is>
          <t>Selections &amp; Orders</t>
        </is>
      </c>
      <c r="B516" s="46">
        <f>'Selections &amp; Orders'!AC522</f>
        <v/>
      </c>
      <c r="C516" s="84">
        <f>'Selections &amp; Orders'!AA522</f>
        <v/>
      </c>
      <c r="D516" s="46">
        <f>'Selections &amp; Orders'!AB522</f>
        <v/>
      </c>
      <c r="E516" s="46">
        <f>IF(OR(B516="",C516="",D516=""),"",D516*100000+(C516-DATE(2000,1,1))+ROW()/100000)</f>
        <v/>
      </c>
      <c r="F516" s="46">
        <f>IF(E516="","",IF(C516&gt;WeekEndDate,"",E516))</f>
        <v/>
      </c>
    </row>
    <row r="517">
      <c r="A517" t="inlineStr">
        <is>
          <t>Selections &amp; Orders</t>
        </is>
      </c>
      <c r="B517" s="46">
        <f>'Selections &amp; Orders'!AC523</f>
        <v/>
      </c>
      <c r="C517" s="84">
        <f>'Selections &amp; Orders'!AA523</f>
        <v/>
      </c>
      <c r="D517" s="46">
        <f>'Selections &amp; Orders'!AB523</f>
        <v/>
      </c>
      <c r="E517" s="46">
        <f>IF(OR(B517="",C517="",D517=""),"",D517*100000+(C517-DATE(2000,1,1))+ROW()/100000)</f>
        <v/>
      </c>
      <c r="F517" s="46">
        <f>IF(E517="","",IF(C517&gt;WeekEndDate,"",E517))</f>
        <v/>
      </c>
    </row>
    <row r="518">
      <c r="A518" t="inlineStr">
        <is>
          <t>Selections &amp; Orders</t>
        </is>
      </c>
      <c r="B518" s="46">
        <f>'Selections &amp; Orders'!AC524</f>
        <v/>
      </c>
      <c r="C518" s="84">
        <f>'Selections &amp; Orders'!AA524</f>
        <v/>
      </c>
      <c r="D518" s="46">
        <f>'Selections &amp; Orders'!AB524</f>
        <v/>
      </c>
      <c r="E518" s="46">
        <f>IF(OR(B518="",C518="",D518=""),"",D518*100000+(C518-DATE(2000,1,1))+ROW()/100000)</f>
        <v/>
      </c>
      <c r="F518" s="46">
        <f>IF(E518="","",IF(C518&gt;WeekEndDate,"",E518))</f>
        <v/>
      </c>
    </row>
    <row r="519">
      <c r="A519" t="inlineStr">
        <is>
          <t>Selections &amp; Orders</t>
        </is>
      </c>
      <c r="B519" s="46">
        <f>'Selections &amp; Orders'!AC525</f>
        <v/>
      </c>
      <c r="C519" s="84">
        <f>'Selections &amp; Orders'!AA525</f>
        <v/>
      </c>
      <c r="D519" s="46">
        <f>'Selections &amp; Orders'!AB525</f>
        <v/>
      </c>
      <c r="E519" s="46">
        <f>IF(OR(B519="",C519="",D519=""),"",D519*100000+(C519-DATE(2000,1,1))+ROW()/100000)</f>
        <v/>
      </c>
      <c r="F519" s="46">
        <f>IF(E519="","",IF(C519&gt;WeekEndDate,"",E519))</f>
        <v/>
      </c>
    </row>
    <row r="520">
      <c r="A520" t="inlineStr">
        <is>
          <t>Selections &amp; Orders</t>
        </is>
      </c>
      <c r="B520" s="46">
        <f>'Selections &amp; Orders'!AC526</f>
        <v/>
      </c>
      <c r="C520" s="84">
        <f>'Selections &amp; Orders'!AA526</f>
        <v/>
      </c>
      <c r="D520" s="46">
        <f>'Selections &amp; Orders'!AB526</f>
        <v/>
      </c>
      <c r="E520" s="46">
        <f>IF(OR(B520="",C520="",D520=""),"",D520*100000+(C520-DATE(2000,1,1))+ROW()/100000)</f>
        <v/>
      </c>
      <c r="F520" s="46">
        <f>IF(E520="","",IF(C520&gt;WeekEndDate,"",E520))</f>
        <v/>
      </c>
    </row>
    <row r="521">
      <c r="A521" t="inlineStr">
        <is>
          <t>Selections &amp; Orders</t>
        </is>
      </c>
      <c r="B521" s="46">
        <f>'Selections &amp; Orders'!AC527</f>
        <v/>
      </c>
      <c r="C521" s="84">
        <f>'Selections &amp; Orders'!AA527</f>
        <v/>
      </c>
      <c r="D521" s="46">
        <f>'Selections &amp; Orders'!AB527</f>
        <v/>
      </c>
      <c r="E521" s="46">
        <f>IF(OR(B521="",C521="",D521=""),"",D521*100000+(C521-DATE(2000,1,1))+ROW()/100000)</f>
        <v/>
      </c>
      <c r="F521" s="46">
        <f>IF(E521="","",IF(C521&gt;WeekEndDate,"",E521))</f>
        <v/>
      </c>
    </row>
    <row r="522">
      <c r="A522" t="inlineStr">
        <is>
          <t>Selections &amp; Orders</t>
        </is>
      </c>
      <c r="B522" s="46">
        <f>'Selections &amp; Orders'!AC528</f>
        <v/>
      </c>
      <c r="C522" s="84">
        <f>'Selections &amp; Orders'!AA528</f>
        <v/>
      </c>
      <c r="D522" s="46">
        <f>'Selections &amp; Orders'!AB528</f>
        <v/>
      </c>
      <c r="E522" s="46">
        <f>IF(OR(B522="",C522="",D522=""),"",D522*100000+(C522-DATE(2000,1,1))+ROW()/100000)</f>
        <v/>
      </c>
      <c r="F522" s="46">
        <f>IF(E522="","",IF(C522&gt;WeekEndDate,"",E522))</f>
        <v/>
      </c>
    </row>
    <row r="523">
      <c r="A523" t="inlineStr">
        <is>
          <t>Selections &amp; Orders</t>
        </is>
      </c>
      <c r="B523" s="46">
        <f>'Selections &amp; Orders'!AC529</f>
        <v/>
      </c>
      <c r="C523" s="84">
        <f>'Selections &amp; Orders'!AA529</f>
        <v/>
      </c>
      <c r="D523" s="46">
        <f>'Selections &amp; Orders'!AB529</f>
        <v/>
      </c>
      <c r="E523" s="46">
        <f>IF(OR(B523="",C523="",D523=""),"",D523*100000+(C523-DATE(2000,1,1))+ROW()/100000)</f>
        <v/>
      </c>
      <c r="F523" s="46">
        <f>IF(E523="","",IF(C523&gt;WeekEndDate,"",E523))</f>
        <v/>
      </c>
    </row>
    <row r="524">
      <c r="A524" t="inlineStr">
        <is>
          <t>Selections &amp; Orders</t>
        </is>
      </c>
      <c r="B524" s="46">
        <f>'Selections &amp; Orders'!AC530</f>
        <v/>
      </c>
      <c r="C524" s="84">
        <f>'Selections &amp; Orders'!AA530</f>
        <v/>
      </c>
      <c r="D524" s="46">
        <f>'Selections &amp; Orders'!AB530</f>
        <v/>
      </c>
      <c r="E524" s="46">
        <f>IF(OR(B524="",C524="",D524=""),"",D524*100000+(C524-DATE(2000,1,1))+ROW()/100000)</f>
        <v/>
      </c>
      <c r="F524" s="46">
        <f>IF(E524="","",IF(C524&gt;WeekEndDate,"",E524))</f>
        <v/>
      </c>
    </row>
    <row r="525">
      <c r="A525" t="inlineStr">
        <is>
          <t>Selections &amp; Orders</t>
        </is>
      </c>
      <c r="B525" s="46">
        <f>'Selections &amp; Orders'!AC531</f>
        <v/>
      </c>
      <c r="C525" s="84">
        <f>'Selections &amp; Orders'!AA531</f>
        <v/>
      </c>
      <c r="D525" s="46">
        <f>'Selections &amp; Orders'!AB531</f>
        <v/>
      </c>
      <c r="E525" s="46">
        <f>IF(OR(B525="",C525="",D525=""),"",D525*100000+(C525-DATE(2000,1,1))+ROW()/100000)</f>
        <v/>
      </c>
      <c r="F525" s="46">
        <f>IF(E525="","",IF(C525&gt;WeekEndDate,"",E525))</f>
        <v/>
      </c>
    </row>
    <row r="526">
      <c r="A526" t="inlineStr">
        <is>
          <t>Selections &amp; Orders</t>
        </is>
      </c>
      <c r="B526" s="46">
        <f>'Selections &amp; Orders'!AC532</f>
        <v/>
      </c>
      <c r="C526" s="84">
        <f>'Selections &amp; Orders'!AA532</f>
        <v/>
      </c>
      <c r="D526" s="46">
        <f>'Selections &amp; Orders'!AB532</f>
        <v/>
      </c>
      <c r="E526" s="46">
        <f>IF(OR(B526="",C526="",D526=""),"",D526*100000+(C526-DATE(2000,1,1))+ROW()/100000)</f>
        <v/>
      </c>
      <c r="F526" s="46">
        <f>IF(E526="","",IF(C526&gt;WeekEndDate,"",E526))</f>
        <v/>
      </c>
    </row>
    <row r="527">
      <c r="A527" t="inlineStr">
        <is>
          <t>Selections &amp; Orders</t>
        </is>
      </c>
      <c r="B527" s="46">
        <f>'Selections &amp; Orders'!AC533</f>
        <v/>
      </c>
      <c r="C527" s="84">
        <f>'Selections &amp; Orders'!AA533</f>
        <v/>
      </c>
      <c r="D527" s="46">
        <f>'Selections &amp; Orders'!AB533</f>
        <v/>
      </c>
      <c r="E527" s="46">
        <f>IF(OR(B527="",C527="",D527=""),"",D527*100000+(C527-DATE(2000,1,1))+ROW()/100000)</f>
        <v/>
      </c>
      <c r="F527" s="46">
        <f>IF(E527="","",IF(C527&gt;WeekEndDate,"",E527))</f>
        <v/>
      </c>
    </row>
    <row r="528">
      <c r="A528" t="inlineStr">
        <is>
          <t>Selections &amp; Orders</t>
        </is>
      </c>
      <c r="B528" s="46">
        <f>'Selections &amp; Orders'!AC534</f>
        <v/>
      </c>
      <c r="C528" s="84">
        <f>'Selections &amp; Orders'!AA534</f>
        <v/>
      </c>
      <c r="D528" s="46">
        <f>'Selections &amp; Orders'!AB534</f>
        <v/>
      </c>
      <c r="E528" s="46">
        <f>IF(OR(B528="",C528="",D528=""),"",D528*100000+(C528-DATE(2000,1,1))+ROW()/100000)</f>
        <v/>
      </c>
      <c r="F528" s="46">
        <f>IF(E528="","",IF(C528&gt;WeekEndDate,"",E528))</f>
        <v/>
      </c>
    </row>
    <row r="529">
      <c r="A529" t="inlineStr">
        <is>
          <t>Selections &amp; Orders</t>
        </is>
      </c>
      <c r="B529" s="46">
        <f>'Selections &amp; Orders'!AC535</f>
        <v/>
      </c>
      <c r="C529" s="84">
        <f>'Selections &amp; Orders'!AA535</f>
        <v/>
      </c>
      <c r="D529" s="46">
        <f>'Selections &amp; Orders'!AB535</f>
        <v/>
      </c>
      <c r="E529" s="46">
        <f>IF(OR(B529="",C529="",D529=""),"",D529*100000+(C529-DATE(2000,1,1))+ROW()/100000)</f>
        <v/>
      </c>
      <c r="F529" s="46">
        <f>IF(E529="","",IF(C529&gt;WeekEndDate,"",E529))</f>
        <v/>
      </c>
    </row>
    <row r="530">
      <c r="A530" t="inlineStr">
        <is>
          <t>Selections &amp; Orders</t>
        </is>
      </c>
      <c r="B530" s="46">
        <f>'Selections &amp; Orders'!AC536</f>
        <v/>
      </c>
      <c r="C530" s="84">
        <f>'Selections &amp; Orders'!AA536</f>
        <v/>
      </c>
      <c r="D530" s="46">
        <f>'Selections &amp; Orders'!AB536</f>
        <v/>
      </c>
      <c r="E530" s="46">
        <f>IF(OR(B530="",C530="",D530=""),"",D530*100000+(C530-DATE(2000,1,1))+ROW()/100000)</f>
        <v/>
      </c>
      <c r="F530" s="46">
        <f>IF(E530="","",IF(C530&gt;WeekEndDate,"",E530))</f>
        <v/>
      </c>
    </row>
    <row r="531">
      <c r="A531" t="inlineStr">
        <is>
          <t>Selections &amp; Orders</t>
        </is>
      </c>
      <c r="B531" s="46">
        <f>'Selections &amp; Orders'!AC537</f>
        <v/>
      </c>
      <c r="C531" s="84">
        <f>'Selections &amp; Orders'!AA537</f>
        <v/>
      </c>
      <c r="D531" s="46">
        <f>'Selections &amp; Orders'!AB537</f>
        <v/>
      </c>
      <c r="E531" s="46">
        <f>IF(OR(B531="",C531="",D531=""),"",D531*100000+(C531-DATE(2000,1,1))+ROW()/100000)</f>
        <v/>
      </c>
      <c r="F531" s="46">
        <f>IF(E531="","",IF(C531&gt;WeekEndDate,"",E531))</f>
        <v/>
      </c>
    </row>
    <row r="532">
      <c r="A532" t="inlineStr">
        <is>
          <t>Selections &amp; Orders</t>
        </is>
      </c>
      <c r="B532" s="46">
        <f>'Selections &amp; Orders'!AC538</f>
        <v/>
      </c>
      <c r="C532" s="84">
        <f>'Selections &amp; Orders'!AA538</f>
        <v/>
      </c>
      <c r="D532" s="46">
        <f>'Selections &amp; Orders'!AB538</f>
        <v/>
      </c>
      <c r="E532" s="46">
        <f>IF(OR(B532="",C532="",D532=""),"",D532*100000+(C532-DATE(2000,1,1))+ROW()/100000)</f>
        <v/>
      </c>
      <c r="F532" s="46">
        <f>IF(E532="","",IF(C532&gt;WeekEndDate,"",E532))</f>
        <v/>
      </c>
    </row>
    <row r="533">
      <c r="A533" t="inlineStr">
        <is>
          <t>Selections &amp; Orders</t>
        </is>
      </c>
      <c r="B533" s="46">
        <f>'Selections &amp; Orders'!AC539</f>
        <v/>
      </c>
      <c r="C533" s="84">
        <f>'Selections &amp; Orders'!AA539</f>
        <v/>
      </c>
      <c r="D533" s="46">
        <f>'Selections &amp; Orders'!AB539</f>
        <v/>
      </c>
      <c r="E533" s="46">
        <f>IF(OR(B533="",C533="",D533=""),"",D533*100000+(C533-DATE(2000,1,1))+ROW()/100000)</f>
        <v/>
      </c>
      <c r="F533" s="46">
        <f>IF(E533="","",IF(C533&gt;WeekEndDate,"",E533))</f>
        <v/>
      </c>
    </row>
    <row r="534">
      <c r="A534" t="inlineStr">
        <is>
          <t>Selections &amp; Orders</t>
        </is>
      </c>
      <c r="B534" s="46">
        <f>'Selections &amp; Orders'!AC540</f>
        <v/>
      </c>
      <c r="C534" s="84">
        <f>'Selections &amp; Orders'!AA540</f>
        <v/>
      </c>
      <c r="D534" s="46">
        <f>'Selections &amp; Orders'!AB540</f>
        <v/>
      </c>
      <c r="E534" s="46">
        <f>IF(OR(B534="",C534="",D534=""),"",D534*100000+(C534-DATE(2000,1,1))+ROW()/100000)</f>
        <v/>
      </c>
      <c r="F534" s="46">
        <f>IF(E534="","",IF(C534&gt;WeekEndDate,"",E534))</f>
        <v/>
      </c>
    </row>
    <row r="535">
      <c r="A535" t="inlineStr">
        <is>
          <t>Selections &amp; Orders</t>
        </is>
      </c>
      <c r="B535" s="46">
        <f>'Selections &amp; Orders'!AC541</f>
        <v/>
      </c>
      <c r="C535" s="84">
        <f>'Selections &amp; Orders'!AA541</f>
        <v/>
      </c>
      <c r="D535" s="46">
        <f>'Selections &amp; Orders'!AB541</f>
        <v/>
      </c>
      <c r="E535" s="46">
        <f>IF(OR(B535="",C535="",D535=""),"",D535*100000+(C535-DATE(2000,1,1))+ROW()/100000)</f>
        <v/>
      </c>
      <c r="F535" s="46">
        <f>IF(E535="","",IF(C535&gt;WeekEndDate,"",E535))</f>
        <v/>
      </c>
    </row>
    <row r="536">
      <c r="A536" t="inlineStr">
        <is>
          <t>Selections &amp; Orders</t>
        </is>
      </c>
      <c r="B536" s="46">
        <f>'Selections &amp; Orders'!AC542</f>
        <v/>
      </c>
      <c r="C536" s="84">
        <f>'Selections &amp; Orders'!AA542</f>
        <v/>
      </c>
      <c r="D536" s="46">
        <f>'Selections &amp; Orders'!AB542</f>
        <v/>
      </c>
      <c r="E536" s="46">
        <f>IF(OR(B536="",C536="",D536=""),"",D536*100000+(C536-DATE(2000,1,1))+ROW()/100000)</f>
        <v/>
      </c>
      <c r="F536" s="46">
        <f>IF(E536="","",IF(C536&gt;WeekEndDate,"",E536))</f>
        <v/>
      </c>
    </row>
    <row r="537">
      <c r="A537" t="inlineStr">
        <is>
          <t>Selections &amp; Orders</t>
        </is>
      </c>
      <c r="B537" s="46">
        <f>'Selections &amp; Orders'!AC543</f>
        <v/>
      </c>
      <c r="C537" s="84">
        <f>'Selections &amp; Orders'!AA543</f>
        <v/>
      </c>
      <c r="D537" s="46">
        <f>'Selections &amp; Orders'!AB543</f>
        <v/>
      </c>
      <c r="E537" s="46">
        <f>IF(OR(B537="",C537="",D537=""),"",D537*100000+(C537-DATE(2000,1,1))+ROW()/100000)</f>
        <v/>
      </c>
      <c r="F537" s="46">
        <f>IF(E537="","",IF(C537&gt;WeekEndDate,"",E537))</f>
        <v/>
      </c>
    </row>
    <row r="538">
      <c r="A538" t="inlineStr">
        <is>
          <t>Selections &amp; Orders</t>
        </is>
      </c>
      <c r="B538" s="46">
        <f>'Selections &amp; Orders'!AC544</f>
        <v/>
      </c>
      <c r="C538" s="84">
        <f>'Selections &amp; Orders'!AA544</f>
        <v/>
      </c>
      <c r="D538" s="46">
        <f>'Selections &amp; Orders'!AB544</f>
        <v/>
      </c>
      <c r="E538" s="46">
        <f>IF(OR(B538="",C538="",D538=""),"",D538*100000+(C538-DATE(2000,1,1))+ROW()/100000)</f>
        <v/>
      </c>
      <c r="F538" s="46">
        <f>IF(E538="","",IF(C538&gt;WeekEndDate,"",E538))</f>
        <v/>
      </c>
    </row>
    <row r="539">
      <c r="A539" t="inlineStr">
        <is>
          <t>Selections &amp; Orders</t>
        </is>
      </c>
      <c r="B539" s="46">
        <f>'Selections &amp; Orders'!AC545</f>
        <v/>
      </c>
      <c r="C539" s="84">
        <f>'Selections &amp; Orders'!AA545</f>
        <v/>
      </c>
      <c r="D539" s="46">
        <f>'Selections &amp; Orders'!AB545</f>
        <v/>
      </c>
      <c r="E539" s="46">
        <f>IF(OR(B539="",C539="",D539=""),"",D539*100000+(C539-DATE(2000,1,1))+ROW()/100000)</f>
        <v/>
      </c>
      <c r="F539" s="46">
        <f>IF(E539="","",IF(C539&gt;WeekEndDate,"",E539))</f>
        <v/>
      </c>
    </row>
    <row r="540">
      <c r="A540" t="inlineStr">
        <is>
          <t>Selections &amp; Orders</t>
        </is>
      </c>
      <c r="B540" s="46">
        <f>'Selections &amp; Orders'!AC546</f>
        <v/>
      </c>
      <c r="C540" s="84">
        <f>'Selections &amp; Orders'!AA546</f>
        <v/>
      </c>
      <c r="D540" s="46">
        <f>'Selections &amp; Orders'!AB546</f>
        <v/>
      </c>
      <c r="E540" s="46">
        <f>IF(OR(B540="",C540="",D540=""),"",D540*100000+(C540-DATE(2000,1,1))+ROW()/100000)</f>
        <v/>
      </c>
      <c r="F540" s="46">
        <f>IF(E540="","",IF(C540&gt;WeekEndDate,"",E540))</f>
        <v/>
      </c>
    </row>
    <row r="541">
      <c r="A541" t="inlineStr">
        <is>
          <t>Selections &amp; Orders</t>
        </is>
      </c>
      <c r="B541" s="46">
        <f>'Selections &amp; Orders'!AC547</f>
        <v/>
      </c>
      <c r="C541" s="84">
        <f>'Selections &amp; Orders'!AA547</f>
        <v/>
      </c>
      <c r="D541" s="46">
        <f>'Selections &amp; Orders'!AB547</f>
        <v/>
      </c>
      <c r="E541" s="46">
        <f>IF(OR(B541="",C541="",D541=""),"",D541*100000+(C541-DATE(2000,1,1))+ROW()/100000)</f>
        <v/>
      </c>
      <c r="F541" s="46">
        <f>IF(E541="","",IF(C541&gt;WeekEndDate,"",E541))</f>
        <v/>
      </c>
    </row>
    <row r="542">
      <c r="A542" t="inlineStr">
        <is>
          <t>Selections &amp; Orders</t>
        </is>
      </c>
      <c r="B542" s="46">
        <f>'Selections &amp; Orders'!AC548</f>
        <v/>
      </c>
      <c r="C542" s="84">
        <f>'Selections &amp; Orders'!AA548</f>
        <v/>
      </c>
      <c r="D542" s="46">
        <f>'Selections &amp; Orders'!AB548</f>
        <v/>
      </c>
      <c r="E542" s="46">
        <f>IF(OR(B542="",C542="",D542=""),"",D542*100000+(C542-DATE(2000,1,1))+ROW()/100000)</f>
        <v/>
      </c>
      <c r="F542" s="46">
        <f>IF(E542="","",IF(C542&gt;WeekEndDate,"",E542))</f>
        <v/>
      </c>
    </row>
    <row r="543">
      <c r="A543" t="inlineStr">
        <is>
          <t>Selections &amp; Orders</t>
        </is>
      </c>
      <c r="B543" s="46">
        <f>'Selections &amp; Orders'!AC549</f>
        <v/>
      </c>
      <c r="C543" s="84">
        <f>'Selections &amp; Orders'!AA549</f>
        <v/>
      </c>
      <c r="D543" s="46">
        <f>'Selections &amp; Orders'!AB549</f>
        <v/>
      </c>
      <c r="E543" s="46">
        <f>IF(OR(B543="",C543="",D543=""),"",D543*100000+(C543-DATE(2000,1,1))+ROW()/100000)</f>
        <v/>
      </c>
      <c r="F543" s="46">
        <f>IF(E543="","",IF(C543&gt;WeekEndDate,"",E543))</f>
        <v/>
      </c>
    </row>
    <row r="544">
      <c r="A544" t="inlineStr">
        <is>
          <t>Selections &amp; Orders</t>
        </is>
      </c>
      <c r="B544" s="46">
        <f>'Selections &amp; Orders'!AC550</f>
        <v/>
      </c>
      <c r="C544" s="84">
        <f>'Selections &amp; Orders'!AA550</f>
        <v/>
      </c>
      <c r="D544" s="46">
        <f>'Selections &amp; Orders'!AB550</f>
        <v/>
      </c>
      <c r="E544" s="46">
        <f>IF(OR(B544="",C544="",D544=""),"",D544*100000+(C544-DATE(2000,1,1))+ROW()/100000)</f>
        <v/>
      </c>
      <c r="F544" s="46">
        <f>IF(E544="","",IF(C544&gt;WeekEndDate,"",E544))</f>
        <v/>
      </c>
    </row>
    <row r="545">
      <c r="A545" t="inlineStr">
        <is>
          <t>Selections &amp; Orders</t>
        </is>
      </c>
      <c r="B545" s="46">
        <f>'Selections &amp; Orders'!AC551</f>
        <v/>
      </c>
      <c r="C545" s="84">
        <f>'Selections &amp; Orders'!AA551</f>
        <v/>
      </c>
      <c r="D545" s="46">
        <f>'Selections &amp; Orders'!AB551</f>
        <v/>
      </c>
      <c r="E545" s="46">
        <f>IF(OR(B545="",C545="",D545=""),"",D545*100000+(C545-DATE(2000,1,1))+ROW()/100000)</f>
        <v/>
      </c>
      <c r="F545" s="46">
        <f>IF(E545="","",IF(C545&gt;WeekEndDate,"",E545))</f>
        <v/>
      </c>
    </row>
    <row r="546">
      <c r="A546" t="inlineStr">
        <is>
          <t>Selections &amp; Orders</t>
        </is>
      </c>
      <c r="B546" s="46">
        <f>'Selections &amp; Orders'!AC552</f>
        <v/>
      </c>
      <c r="C546" s="84">
        <f>'Selections &amp; Orders'!AA552</f>
        <v/>
      </c>
      <c r="D546" s="46">
        <f>'Selections &amp; Orders'!AB552</f>
        <v/>
      </c>
      <c r="E546" s="46">
        <f>IF(OR(B546="",C546="",D546=""),"",D546*100000+(C546-DATE(2000,1,1))+ROW()/100000)</f>
        <v/>
      </c>
      <c r="F546" s="46">
        <f>IF(E546="","",IF(C546&gt;WeekEndDate,"",E546))</f>
        <v/>
      </c>
    </row>
    <row r="547">
      <c r="A547" t="inlineStr">
        <is>
          <t>Selections &amp; Orders</t>
        </is>
      </c>
      <c r="B547" s="46">
        <f>'Selections &amp; Orders'!AC553</f>
        <v/>
      </c>
      <c r="C547" s="84">
        <f>'Selections &amp; Orders'!AA553</f>
        <v/>
      </c>
      <c r="D547" s="46">
        <f>'Selections &amp; Orders'!AB553</f>
        <v/>
      </c>
      <c r="E547" s="46">
        <f>IF(OR(B547="",C547="",D547=""),"",D547*100000+(C547-DATE(2000,1,1))+ROW()/100000)</f>
        <v/>
      </c>
      <c r="F547" s="46">
        <f>IF(E547="","",IF(C547&gt;WeekEndDate,"",E547))</f>
        <v/>
      </c>
    </row>
    <row r="548">
      <c r="A548" t="inlineStr">
        <is>
          <t>Selections &amp; Orders</t>
        </is>
      </c>
      <c r="B548" s="46">
        <f>'Selections &amp; Orders'!AC554</f>
        <v/>
      </c>
      <c r="C548" s="84">
        <f>'Selections &amp; Orders'!AA554</f>
        <v/>
      </c>
      <c r="D548" s="46">
        <f>'Selections &amp; Orders'!AB554</f>
        <v/>
      </c>
      <c r="E548" s="46">
        <f>IF(OR(B548="",C548="",D548=""),"",D548*100000+(C548-DATE(2000,1,1))+ROW()/100000)</f>
        <v/>
      </c>
      <c r="F548" s="46">
        <f>IF(E548="","",IF(C548&gt;WeekEndDate,"",E548))</f>
        <v/>
      </c>
    </row>
    <row r="549">
      <c r="A549" t="inlineStr">
        <is>
          <t>Selections &amp; Orders</t>
        </is>
      </c>
      <c r="B549" s="46">
        <f>'Selections &amp; Orders'!AC555</f>
        <v/>
      </c>
      <c r="C549" s="84">
        <f>'Selections &amp; Orders'!AA555</f>
        <v/>
      </c>
      <c r="D549" s="46">
        <f>'Selections &amp; Orders'!AB555</f>
        <v/>
      </c>
      <c r="E549" s="46">
        <f>IF(OR(B549="",C549="",D549=""),"",D549*100000+(C549-DATE(2000,1,1))+ROW()/100000)</f>
        <v/>
      </c>
      <c r="F549" s="46">
        <f>IF(E549="","",IF(C549&gt;WeekEndDate,"",E549))</f>
        <v/>
      </c>
    </row>
    <row r="550">
      <c r="A550" t="inlineStr">
        <is>
          <t>Selections &amp; Orders</t>
        </is>
      </c>
      <c r="B550" s="46">
        <f>'Selections &amp; Orders'!AC556</f>
        <v/>
      </c>
      <c r="C550" s="84">
        <f>'Selections &amp; Orders'!AA556</f>
        <v/>
      </c>
      <c r="D550" s="46">
        <f>'Selections &amp; Orders'!AB556</f>
        <v/>
      </c>
      <c r="E550" s="46">
        <f>IF(OR(B550="",C550="",D550=""),"",D550*100000+(C550-DATE(2000,1,1))+ROW()/100000)</f>
        <v/>
      </c>
      <c r="F550" s="46">
        <f>IF(E550="","",IF(C550&gt;WeekEndDate,"",E550))</f>
        <v/>
      </c>
    </row>
    <row r="551">
      <c r="A551" t="inlineStr">
        <is>
          <t>Selections &amp; Orders</t>
        </is>
      </c>
      <c r="B551" s="46">
        <f>'Selections &amp; Orders'!AC557</f>
        <v/>
      </c>
      <c r="C551" s="84">
        <f>'Selections &amp; Orders'!AA557</f>
        <v/>
      </c>
      <c r="D551" s="46">
        <f>'Selections &amp; Orders'!AB557</f>
        <v/>
      </c>
      <c r="E551" s="46">
        <f>IF(OR(B551="",C551="",D551=""),"",D551*100000+(C551-DATE(2000,1,1))+ROW()/100000)</f>
        <v/>
      </c>
      <c r="F551" s="46">
        <f>IF(E551="","",IF(C551&gt;WeekEndDate,"",E551))</f>
        <v/>
      </c>
    </row>
    <row r="552">
      <c r="A552" t="inlineStr">
        <is>
          <t>Selections &amp; Orders</t>
        </is>
      </c>
      <c r="B552" s="46">
        <f>'Selections &amp; Orders'!AC558</f>
        <v/>
      </c>
      <c r="C552" s="84">
        <f>'Selections &amp; Orders'!AA558</f>
        <v/>
      </c>
      <c r="D552" s="46">
        <f>'Selections &amp; Orders'!AB558</f>
        <v/>
      </c>
      <c r="E552" s="46">
        <f>IF(OR(B552="",C552="",D552=""),"",D552*100000+(C552-DATE(2000,1,1))+ROW()/100000)</f>
        <v/>
      </c>
      <c r="F552" s="46">
        <f>IF(E552="","",IF(C552&gt;WeekEndDate,"",E552))</f>
        <v/>
      </c>
    </row>
    <row r="553">
      <c r="A553" t="inlineStr">
        <is>
          <t>Selections &amp; Orders</t>
        </is>
      </c>
      <c r="B553" s="46">
        <f>'Selections &amp; Orders'!AC559</f>
        <v/>
      </c>
      <c r="C553" s="84">
        <f>'Selections &amp; Orders'!AA559</f>
        <v/>
      </c>
      <c r="D553" s="46">
        <f>'Selections &amp; Orders'!AB559</f>
        <v/>
      </c>
      <c r="E553" s="46">
        <f>IF(OR(B553="",C553="",D553=""),"",D553*100000+(C553-DATE(2000,1,1))+ROW()/100000)</f>
        <v/>
      </c>
      <c r="F553" s="46">
        <f>IF(E553="","",IF(C553&gt;WeekEndDate,"",E553))</f>
        <v/>
      </c>
    </row>
    <row r="554">
      <c r="A554" t="inlineStr">
        <is>
          <t>Selections &amp; Orders</t>
        </is>
      </c>
      <c r="B554" s="46">
        <f>'Selections &amp; Orders'!AC560</f>
        <v/>
      </c>
      <c r="C554" s="84">
        <f>'Selections &amp; Orders'!AA560</f>
        <v/>
      </c>
      <c r="D554" s="46">
        <f>'Selections &amp; Orders'!AB560</f>
        <v/>
      </c>
      <c r="E554" s="46">
        <f>IF(OR(B554="",C554="",D554=""),"",D554*100000+(C554-DATE(2000,1,1))+ROW()/100000)</f>
        <v/>
      </c>
      <c r="F554" s="46">
        <f>IF(E554="","",IF(C554&gt;WeekEndDate,"",E554))</f>
        <v/>
      </c>
    </row>
    <row r="555">
      <c r="A555" t="inlineStr">
        <is>
          <t>Selections &amp; Orders</t>
        </is>
      </c>
      <c r="B555" s="46">
        <f>'Selections &amp; Orders'!AC561</f>
        <v/>
      </c>
      <c r="C555" s="84">
        <f>'Selections &amp; Orders'!AA561</f>
        <v/>
      </c>
      <c r="D555" s="46">
        <f>'Selections &amp; Orders'!AB561</f>
        <v/>
      </c>
      <c r="E555" s="46">
        <f>IF(OR(B555="",C555="",D555=""),"",D555*100000+(C555-DATE(2000,1,1))+ROW()/100000)</f>
        <v/>
      </c>
      <c r="F555" s="46">
        <f>IF(E555="","",IF(C555&gt;WeekEndDate,"",E555))</f>
        <v/>
      </c>
    </row>
    <row r="556">
      <c r="A556" t="inlineStr">
        <is>
          <t>Selections &amp; Orders</t>
        </is>
      </c>
      <c r="B556" s="46">
        <f>'Selections &amp; Orders'!AC562</f>
        <v/>
      </c>
      <c r="C556" s="84">
        <f>'Selections &amp; Orders'!AA562</f>
        <v/>
      </c>
      <c r="D556" s="46">
        <f>'Selections &amp; Orders'!AB562</f>
        <v/>
      </c>
      <c r="E556" s="46">
        <f>IF(OR(B556="",C556="",D556=""),"",D556*100000+(C556-DATE(2000,1,1))+ROW()/100000)</f>
        <v/>
      </c>
      <c r="F556" s="46">
        <f>IF(E556="","",IF(C556&gt;WeekEndDate,"",E556))</f>
        <v/>
      </c>
    </row>
    <row r="557">
      <c r="A557" t="inlineStr">
        <is>
          <t>Selections &amp; Orders</t>
        </is>
      </c>
      <c r="B557" s="46">
        <f>'Selections &amp; Orders'!AC563</f>
        <v/>
      </c>
      <c r="C557" s="84">
        <f>'Selections &amp; Orders'!AA563</f>
        <v/>
      </c>
      <c r="D557" s="46">
        <f>'Selections &amp; Orders'!AB563</f>
        <v/>
      </c>
      <c r="E557" s="46">
        <f>IF(OR(B557="",C557="",D557=""),"",D557*100000+(C557-DATE(2000,1,1))+ROW()/100000)</f>
        <v/>
      </c>
      <c r="F557" s="46">
        <f>IF(E557="","",IF(C557&gt;WeekEndDate,"",E557))</f>
        <v/>
      </c>
    </row>
    <row r="558">
      <c r="A558" t="inlineStr">
        <is>
          <t>Selections &amp; Orders</t>
        </is>
      </c>
      <c r="B558" s="46">
        <f>'Selections &amp; Orders'!AC564</f>
        <v/>
      </c>
      <c r="C558" s="84">
        <f>'Selections &amp; Orders'!AA564</f>
        <v/>
      </c>
      <c r="D558" s="46">
        <f>'Selections &amp; Orders'!AB564</f>
        <v/>
      </c>
      <c r="E558" s="46">
        <f>IF(OR(B558="",C558="",D558=""),"",D558*100000+(C558-DATE(2000,1,1))+ROW()/100000)</f>
        <v/>
      </c>
      <c r="F558" s="46">
        <f>IF(E558="","",IF(C558&gt;WeekEndDate,"",E558))</f>
        <v/>
      </c>
    </row>
    <row r="559">
      <c r="A559" t="inlineStr">
        <is>
          <t>Selections &amp; Orders</t>
        </is>
      </c>
      <c r="B559" s="46">
        <f>'Selections &amp; Orders'!AC565</f>
        <v/>
      </c>
      <c r="C559" s="84">
        <f>'Selections &amp; Orders'!AA565</f>
        <v/>
      </c>
      <c r="D559" s="46">
        <f>'Selections &amp; Orders'!AB565</f>
        <v/>
      </c>
      <c r="E559" s="46">
        <f>IF(OR(B559="",C559="",D559=""),"",D559*100000+(C559-DATE(2000,1,1))+ROW()/100000)</f>
        <v/>
      </c>
      <c r="F559" s="46">
        <f>IF(E559="","",IF(C559&gt;WeekEndDate,"",E559))</f>
        <v/>
      </c>
    </row>
    <row r="560">
      <c r="A560" t="inlineStr">
        <is>
          <t>Selections &amp; Orders</t>
        </is>
      </c>
      <c r="B560" s="46">
        <f>'Selections &amp; Orders'!AC566</f>
        <v/>
      </c>
      <c r="C560" s="84">
        <f>'Selections &amp; Orders'!AA566</f>
        <v/>
      </c>
      <c r="D560" s="46">
        <f>'Selections &amp; Orders'!AB566</f>
        <v/>
      </c>
      <c r="E560" s="46">
        <f>IF(OR(B560="",C560="",D560=""),"",D560*100000+(C560-DATE(2000,1,1))+ROW()/100000)</f>
        <v/>
      </c>
      <c r="F560" s="46">
        <f>IF(E560="","",IF(C560&gt;WeekEndDate,"",E560))</f>
        <v/>
      </c>
    </row>
    <row r="561">
      <c r="A561" t="inlineStr">
        <is>
          <t>Selections &amp; Orders</t>
        </is>
      </c>
      <c r="B561" s="46">
        <f>'Selections &amp; Orders'!AC567</f>
        <v/>
      </c>
      <c r="C561" s="84">
        <f>'Selections &amp; Orders'!AA567</f>
        <v/>
      </c>
      <c r="D561" s="46">
        <f>'Selections &amp; Orders'!AB567</f>
        <v/>
      </c>
      <c r="E561" s="46">
        <f>IF(OR(B561="",C561="",D561=""),"",D561*100000+(C561-DATE(2000,1,1))+ROW()/100000)</f>
        <v/>
      </c>
      <c r="F561" s="46">
        <f>IF(E561="","",IF(C561&gt;WeekEndDate,"",E561))</f>
        <v/>
      </c>
    </row>
    <row r="562">
      <c r="A562" t="inlineStr">
        <is>
          <t>Selections &amp; Orders</t>
        </is>
      </c>
      <c r="B562" s="46">
        <f>'Selections &amp; Orders'!AC568</f>
        <v/>
      </c>
      <c r="C562" s="84">
        <f>'Selections &amp; Orders'!AA568</f>
        <v/>
      </c>
      <c r="D562" s="46">
        <f>'Selections &amp; Orders'!AB568</f>
        <v/>
      </c>
      <c r="E562" s="46">
        <f>IF(OR(B562="",C562="",D562=""),"",D562*100000+(C562-DATE(2000,1,1))+ROW()/100000)</f>
        <v/>
      </c>
      <c r="F562" s="46">
        <f>IF(E562="","",IF(C562&gt;WeekEndDate,"",E562))</f>
        <v/>
      </c>
    </row>
    <row r="563">
      <c r="A563" t="inlineStr">
        <is>
          <t>Selections &amp; Orders</t>
        </is>
      </c>
      <c r="B563" s="46">
        <f>'Selections &amp; Orders'!AC569</f>
        <v/>
      </c>
      <c r="C563" s="84">
        <f>'Selections &amp; Orders'!AA569</f>
        <v/>
      </c>
      <c r="D563" s="46">
        <f>'Selections &amp; Orders'!AB569</f>
        <v/>
      </c>
      <c r="E563" s="46">
        <f>IF(OR(B563="",C563="",D563=""),"",D563*100000+(C563-DATE(2000,1,1))+ROW()/100000)</f>
        <v/>
      </c>
      <c r="F563" s="46">
        <f>IF(E563="","",IF(C563&gt;WeekEndDate,"",E563))</f>
        <v/>
      </c>
    </row>
    <row r="564">
      <c r="A564" t="inlineStr">
        <is>
          <t>Selections &amp; Orders</t>
        </is>
      </c>
      <c r="B564" s="46">
        <f>'Selections &amp; Orders'!AC570</f>
        <v/>
      </c>
      <c r="C564" s="84">
        <f>'Selections &amp; Orders'!AA570</f>
        <v/>
      </c>
      <c r="D564" s="46">
        <f>'Selections &amp; Orders'!AB570</f>
        <v/>
      </c>
      <c r="E564" s="46">
        <f>IF(OR(B564="",C564="",D564=""),"",D564*100000+(C564-DATE(2000,1,1))+ROW()/100000)</f>
        <v/>
      </c>
      <c r="F564" s="46">
        <f>IF(E564="","",IF(C564&gt;WeekEndDate,"",E564))</f>
        <v/>
      </c>
    </row>
    <row r="565">
      <c r="A565" t="inlineStr">
        <is>
          <t>Selections &amp; Orders</t>
        </is>
      </c>
      <c r="B565" s="46">
        <f>'Selections &amp; Orders'!AC571</f>
        <v/>
      </c>
      <c r="C565" s="84">
        <f>'Selections &amp; Orders'!AA571</f>
        <v/>
      </c>
      <c r="D565" s="46">
        <f>'Selections &amp; Orders'!AB571</f>
        <v/>
      </c>
      <c r="E565" s="46">
        <f>IF(OR(B565="",C565="",D565=""),"",D565*100000+(C565-DATE(2000,1,1))+ROW()/100000)</f>
        <v/>
      </c>
      <c r="F565" s="46">
        <f>IF(E565="","",IF(C565&gt;WeekEndDate,"",E565))</f>
        <v/>
      </c>
    </row>
    <row r="566">
      <c r="A566" t="inlineStr">
        <is>
          <t>Selections &amp; Orders</t>
        </is>
      </c>
      <c r="B566" s="46">
        <f>'Selections &amp; Orders'!AC572</f>
        <v/>
      </c>
      <c r="C566" s="84">
        <f>'Selections &amp; Orders'!AA572</f>
        <v/>
      </c>
      <c r="D566" s="46">
        <f>'Selections &amp; Orders'!AB572</f>
        <v/>
      </c>
      <c r="E566" s="46">
        <f>IF(OR(B566="",C566="",D566=""),"",D566*100000+(C566-DATE(2000,1,1))+ROW()/100000)</f>
        <v/>
      </c>
      <c r="F566" s="46">
        <f>IF(E566="","",IF(C566&gt;WeekEndDate,"",E566))</f>
        <v/>
      </c>
    </row>
    <row r="567">
      <c r="A567" t="inlineStr">
        <is>
          <t>Selections &amp; Orders</t>
        </is>
      </c>
      <c r="B567" s="46">
        <f>'Selections &amp; Orders'!AC573</f>
        <v/>
      </c>
      <c r="C567" s="84">
        <f>'Selections &amp; Orders'!AA573</f>
        <v/>
      </c>
      <c r="D567" s="46">
        <f>'Selections &amp; Orders'!AB573</f>
        <v/>
      </c>
      <c r="E567" s="46">
        <f>IF(OR(B567="",C567="",D567=""),"",D567*100000+(C567-DATE(2000,1,1))+ROW()/100000)</f>
        <v/>
      </c>
      <c r="F567" s="46">
        <f>IF(E567="","",IF(C567&gt;WeekEndDate,"",E567))</f>
        <v/>
      </c>
    </row>
    <row r="568">
      <c r="A568" t="inlineStr">
        <is>
          <t>Selections &amp; Orders</t>
        </is>
      </c>
      <c r="B568" s="46">
        <f>'Selections &amp; Orders'!AC574</f>
        <v/>
      </c>
      <c r="C568" s="84">
        <f>'Selections &amp; Orders'!AA574</f>
        <v/>
      </c>
      <c r="D568" s="46">
        <f>'Selections &amp; Orders'!AB574</f>
        <v/>
      </c>
      <c r="E568" s="46">
        <f>IF(OR(B568="",C568="",D568=""),"",D568*100000+(C568-DATE(2000,1,1))+ROW()/100000)</f>
        <v/>
      </c>
      <c r="F568" s="46">
        <f>IF(E568="","",IF(C568&gt;WeekEndDate,"",E568))</f>
        <v/>
      </c>
    </row>
    <row r="569">
      <c r="A569" t="inlineStr">
        <is>
          <t>Selections &amp; Orders</t>
        </is>
      </c>
      <c r="B569" s="46">
        <f>'Selections &amp; Orders'!AC575</f>
        <v/>
      </c>
      <c r="C569" s="84">
        <f>'Selections &amp; Orders'!AA575</f>
        <v/>
      </c>
      <c r="D569" s="46">
        <f>'Selections &amp; Orders'!AB575</f>
        <v/>
      </c>
      <c r="E569" s="46">
        <f>IF(OR(B569="",C569="",D569=""),"",D569*100000+(C569-DATE(2000,1,1))+ROW()/100000)</f>
        <v/>
      </c>
      <c r="F569" s="46">
        <f>IF(E569="","",IF(C569&gt;WeekEndDate,"",E569))</f>
        <v/>
      </c>
    </row>
    <row r="570">
      <c r="A570" t="inlineStr">
        <is>
          <t>Selections &amp; Orders</t>
        </is>
      </c>
      <c r="B570" s="46">
        <f>'Selections &amp; Orders'!AC576</f>
        <v/>
      </c>
      <c r="C570" s="84">
        <f>'Selections &amp; Orders'!AA576</f>
        <v/>
      </c>
      <c r="D570" s="46">
        <f>'Selections &amp; Orders'!AB576</f>
        <v/>
      </c>
      <c r="E570" s="46">
        <f>IF(OR(B570="",C570="",D570=""),"",D570*100000+(C570-DATE(2000,1,1))+ROW()/100000)</f>
        <v/>
      </c>
      <c r="F570" s="46">
        <f>IF(E570="","",IF(C570&gt;WeekEndDate,"",E570))</f>
        <v/>
      </c>
    </row>
    <row r="571">
      <c r="A571" t="inlineStr">
        <is>
          <t>Selections &amp; Orders</t>
        </is>
      </c>
      <c r="B571" s="46">
        <f>'Selections &amp; Orders'!AC577</f>
        <v/>
      </c>
      <c r="C571" s="84">
        <f>'Selections &amp; Orders'!AA577</f>
        <v/>
      </c>
      <c r="D571" s="46">
        <f>'Selections &amp; Orders'!AB577</f>
        <v/>
      </c>
      <c r="E571" s="46">
        <f>IF(OR(B571="",C571="",D571=""),"",D571*100000+(C571-DATE(2000,1,1))+ROW()/100000)</f>
        <v/>
      </c>
      <c r="F571" s="46">
        <f>IF(E571="","",IF(C571&gt;WeekEndDate,"",E571))</f>
        <v/>
      </c>
    </row>
    <row r="572">
      <c r="A572" t="inlineStr">
        <is>
          <t>Selections &amp; Orders</t>
        </is>
      </c>
      <c r="B572" s="46">
        <f>'Selections &amp; Orders'!AC578</f>
        <v/>
      </c>
      <c r="C572" s="84">
        <f>'Selections &amp; Orders'!AA578</f>
        <v/>
      </c>
      <c r="D572" s="46">
        <f>'Selections &amp; Orders'!AB578</f>
        <v/>
      </c>
      <c r="E572" s="46">
        <f>IF(OR(B572="",C572="",D572=""),"",D572*100000+(C572-DATE(2000,1,1))+ROW()/100000)</f>
        <v/>
      </c>
      <c r="F572" s="46">
        <f>IF(E572="","",IF(C572&gt;WeekEndDate,"",E572))</f>
        <v/>
      </c>
    </row>
    <row r="573">
      <c r="A573" t="inlineStr">
        <is>
          <t>Selections &amp; Orders</t>
        </is>
      </c>
      <c r="B573" s="46">
        <f>'Selections &amp; Orders'!AC579</f>
        <v/>
      </c>
      <c r="C573" s="84">
        <f>'Selections &amp; Orders'!AA579</f>
        <v/>
      </c>
      <c r="D573" s="46">
        <f>'Selections &amp; Orders'!AB579</f>
        <v/>
      </c>
      <c r="E573" s="46">
        <f>IF(OR(B573="",C573="",D573=""),"",D573*100000+(C573-DATE(2000,1,1))+ROW()/100000)</f>
        <v/>
      </c>
      <c r="F573" s="46">
        <f>IF(E573="","",IF(C573&gt;WeekEndDate,"",E573))</f>
        <v/>
      </c>
    </row>
    <row r="574">
      <c r="A574" t="inlineStr">
        <is>
          <t>Selections &amp; Orders</t>
        </is>
      </c>
      <c r="B574" s="46">
        <f>'Selections &amp; Orders'!AC580</f>
        <v/>
      </c>
      <c r="C574" s="84">
        <f>'Selections &amp; Orders'!AA580</f>
        <v/>
      </c>
      <c r="D574" s="46">
        <f>'Selections &amp; Orders'!AB580</f>
        <v/>
      </c>
      <c r="E574" s="46">
        <f>IF(OR(B574="",C574="",D574=""),"",D574*100000+(C574-DATE(2000,1,1))+ROW()/100000)</f>
        <v/>
      </c>
      <c r="F574" s="46">
        <f>IF(E574="","",IF(C574&gt;WeekEndDate,"",E574))</f>
        <v/>
      </c>
    </row>
    <row r="575">
      <c r="A575" t="inlineStr">
        <is>
          <t>Selections &amp; Orders</t>
        </is>
      </c>
      <c r="B575" s="46">
        <f>'Selections &amp; Orders'!AC581</f>
        <v/>
      </c>
      <c r="C575" s="84">
        <f>'Selections &amp; Orders'!AA581</f>
        <v/>
      </c>
      <c r="D575" s="46">
        <f>'Selections &amp; Orders'!AB581</f>
        <v/>
      </c>
      <c r="E575" s="46">
        <f>IF(OR(B575="",C575="",D575=""),"",D575*100000+(C575-DATE(2000,1,1))+ROW()/100000)</f>
        <v/>
      </c>
      <c r="F575" s="46">
        <f>IF(E575="","",IF(C575&gt;WeekEndDate,"",E575))</f>
        <v/>
      </c>
    </row>
    <row r="576">
      <c r="A576" t="inlineStr">
        <is>
          <t>Selections &amp; Orders</t>
        </is>
      </c>
      <c r="B576" s="46">
        <f>'Selections &amp; Orders'!AC582</f>
        <v/>
      </c>
      <c r="C576" s="84">
        <f>'Selections &amp; Orders'!AA582</f>
        <v/>
      </c>
      <c r="D576" s="46">
        <f>'Selections &amp; Orders'!AB582</f>
        <v/>
      </c>
      <c r="E576" s="46">
        <f>IF(OR(B576="",C576="",D576=""),"",D576*100000+(C576-DATE(2000,1,1))+ROW()/100000)</f>
        <v/>
      </c>
      <c r="F576" s="46">
        <f>IF(E576="","",IF(C576&gt;WeekEndDate,"",E576))</f>
        <v/>
      </c>
    </row>
    <row r="577">
      <c r="A577" t="inlineStr">
        <is>
          <t>Selections &amp; Orders</t>
        </is>
      </c>
      <c r="B577" s="46">
        <f>'Selections &amp; Orders'!AC583</f>
        <v/>
      </c>
      <c r="C577" s="84">
        <f>'Selections &amp; Orders'!AA583</f>
        <v/>
      </c>
      <c r="D577" s="46">
        <f>'Selections &amp; Orders'!AB583</f>
        <v/>
      </c>
      <c r="E577" s="46">
        <f>IF(OR(B577="",C577="",D577=""),"",D577*100000+(C577-DATE(2000,1,1))+ROW()/100000)</f>
        <v/>
      </c>
      <c r="F577" s="46">
        <f>IF(E577="","",IF(C577&gt;WeekEndDate,"",E577))</f>
        <v/>
      </c>
    </row>
    <row r="578">
      <c r="A578" t="inlineStr">
        <is>
          <t>Selections &amp; Orders</t>
        </is>
      </c>
      <c r="B578" s="46">
        <f>'Selections &amp; Orders'!AC584</f>
        <v/>
      </c>
      <c r="C578" s="84">
        <f>'Selections &amp; Orders'!AA584</f>
        <v/>
      </c>
      <c r="D578" s="46">
        <f>'Selections &amp; Orders'!AB584</f>
        <v/>
      </c>
      <c r="E578" s="46">
        <f>IF(OR(B578="",C578="",D578=""),"",D578*100000+(C578-DATE(2000,1,1))+ROW()/100000)</f>
        <v/>
      </c>
      <c r="F578" s="46">
        <f>IF(E578="","",IF(C578&gt;WeekEndDate,"",E578))</f>
        <v/>
      </c>
    </row>
    <row r="579">
      <c r="A579" t="inlineStr">
        <is>
          <t>Selections &amp; Orders</t>
        </is>
      </c>
      <c r="B579" s="46">
        <f>'Selections &amp; Orders'!AC585</f>
        <v/>
      </c>
      <c r="C579" s="84">
        <f>'Selections &amp; Orders'!AA585</f>
        <v/>
      </c>
      <c r="D579" s="46">
        <f>'Selections &amp; Orders'!AB585</f>
        <v/>
      </c>
      <c r="E579" s="46">
        <f>IF(OR(B579="",C579="",D579=""),"",D579*100000+(C579-DATE(2000,1,1))+ROW()/100000)</f>
        <v/>
      </c>
      <c r="F579" s="46">
        <f>IF(E579="","",IF(C579&gt;WeekEndDate,"",E579))</f>
        <v/>
      </c>
    </row>
    <row r="580">
      <c r="A580" t="inlineStr">
        <is>
          <t>Selections &amp; Orders</t>
        </is>
      </c>
      <c r="B580" s="46">
        <f>'Selections &amp; Orders'!AC586</f>
        <v/>
      </c>
      <c r="C580" s="84">
        <f>'Selections &amp; Orders'!AA586</f>
        <v/>
      </c>
      <c r="D580" s="46">
        <f>'Selections &amp; Orders'!AB586</f>
        <v/>
      </c>
      <c r="E580" s="46">
        <f>IF(OR(B580="",C580="",D580=""),"",D580*100000+(C580-DATE(2000,1,1))+ROW()/100000)</f>
        <v/>
      </c>
      <c r="F580" s="46">
        <f>IF(E580="","",IF(C580&gt;WeekEndDate,"",E580))</f>
        <v/>
      </c>
    </row>
    <row r="581">
      <c r="A581" t="inlineStr">
        <is>
          <t>Selections &amp; Orders</t>
        </is>
      </c>
      <c r="B581" s="46">
        <f>'Selections &amp; Orders'!AC587</f>
        <v/>
      </c>
      <c r="C581" s="84">
        <f>'Selections &amp; Orders'!AA587</f>
        <v/>
      </c>
      <c r="D581" s="46">
        <f>'Selections &amp; Orders'!AB587</f>
        <v/>
      </c>
      <c r="E581" s="46">
        <f>IF(OR(B581="",C581="",D581=""),"",D581*100000+(C581-DATE(2000,1,1))+ROW()/100000)</f>
        <v/>
      </c>
      <c r="F581" s="46">
        <f>IF(E581="","",IF(C581&gt;WeekEndDate,"",E581))</f>
        <v/>
      </c>
    </row>
    <row r="582">
      <c r="A582" t="inlineStr">
        <is>
          <t>Selections &amp; Orders</t>
        </is>
      </c>
      <c r="B582" s="46">
        <f>'Selections &amp; Orders'!AC588</f>
        <v/>
      </c>
      <c r="C582" s="84">
        <f>'Selections &amp; Orders'!AA588</f>
        <v/>
      </c>
      <c r="D582" s="46">
        <f>'Selections &amp; Orders'!AB588</f>
        <v/>
      </c>
      <c r="E582" s="46">
        <f>IF(OR(B582="",C582="",D582=""),"",D582*100000+(C582-DATE(2000,1,1))+ROW()/100000)</f>
        <v/>
      </c>
      <c r="F582" s="46">
        <f>IF(E582="","",IF(C582&gt;WeekEndDate,"",E582))</f>
        <v/>
      </c>
    </row>
    <row r="583">
      <c r="A583" t="inlineStr">
        <is>
          <t>Selections &amp; Orders</t>
        </is>
      </c>
      <c r="B583" s="46">
        <f>'Selections &amp; Orders'!AC589</f>
        <v/>
      </c>
      <c r="C583" s="84">
        <f>'Selections &amp; Orders'!AA589</f>
        <v/>
      </c>
      <c r="D583" s="46">
        <f>'Selections &amp; Orders'!AB589</f>
        <v/>
      </c>
      <c r="E583" s="46">
        <f>IF(OR(B583="",C583="",D583=""),"",D583*100000+(C583-DATE(2000,1,1))+ROW()/100000)</f>
        <v/>
      </c>
      <c r="F583" s="46">
        <f>IF(E583="","",IF(C583&gt;WeekEndDate,"",E583))</f>
        <v/>
      </c>
    </row>
    <row r="584">
      <c r="A584" t="inlineStr">
        <is>
          <t>Selections &amp; Orders</t>
        </is>
      </c>
      <c r="B584" s="46">
        <f>'Selections &amp; Orders'!AC590</f>
        <v/>
      </c>
      <c r="C584" s="84">
        <f>'Selections &amp; Orders'!AA590</f>
        <v/>
      </c>
      <c r="D584" s="46">
        <f>'Selections &amp; Orders'!AB590</f>
        <v/>
      </c>
      <c r="E584" s="46">
        <f>IF(OR(B584="",C584="",D584=""),"",D584*100000+(C584-DATE(2000,1,1))+ROW()/100000)</f>
        <v/>
      </c>
      <c r="F584" s="46">
        <f>IF(E584="","",IF(C584&gt;WeekEndDate,"",E584))</f>
        <v/>
      </c>
    </row>
    <row r="585">
      <c r="A585" t="inlineStr">
        <is>
          <t>Selections &amp; Orders</t>
        </is>
      </c>
      <c r="B585" s="46">
        <f>'Selections &amp; Orders'!AC591</f>
        <v/>
      </c>
      <c r="C585" s="84">
        <f>'Selections &amp; Orders'!AA591</f>
        <v/>
      </c>
      <c r="D585" s="46">
        <f>'Selections &amp; Orders'!AB591</f>
        <v/>
      </c>
      <c r="E585" s="46">
        <f>IF(OR(B585="",C585="",D585=""),"",D585*100000+(C585-DATE(2000,1,1))+ROW()/100000)</f>
        <v/>
      </c>
      <c r="F585" s="46">
        <f>IF(E585="","",IF(C585&gt;WeekEndDate,"",E585))</f>
        <v/>
      </c>
    </row>
    <row r="586">
      <c r="A586" t="inlineStr">
        <is>
          <t>Selections &amp; Orders</t>
        </is>
      </c>
      <c r="B586" s="46">
        <f>'Selections &amp; Orders'!AC592</f>
        <v/>
      </c>
      <c r="C586" s="84">
        <f>'Selections &amp; Orders'!AA592</f>
        <v/>
      </c>
      <c r="D586" s="46">
        <f>'Selections &amp; Orders'!AB592</f>
        <v/>
      </c>
      <c r="E586" s="46">
        <f>IF(OR(B586="",C586="",D586=""),"",D586*100000+(C586-DATE(2000,1,1))+ROW()/100000)</f>
        <v/>
      </c>
      <c r="F586" s="46">
        <f>IF(E586="","",IF(C586&gt;WeekEndDate,"",E586))</f>
        <v/>
      </c>
    </row>
    <row r="587">
      <c r="A587" t="inlineStr">
        <is>
          <t>Selections &amp; Orders</t>
        </is>
      </c>
      <c r="B587" s="46">
        <f>'Selections &amp; Orders'!AC593</f>
        <v/>
      </c>
      <c r="C587" s="84">
        <f>'Selections &amp; Orders'!AA593</f>
        <v/>
      </c>
      <c r="D587" s="46">
        <f>'Selections &amp; Orders'!AB593</f>
        <v/>
      </c>
      <c r="E587" s="46">
        <f>IF(OR(B587="",C587="",D587=""),"",D587*100000+(C587-DATE(2000,1,1))+ROW()/100000)</f>
        <v/>
      </c>
      <c r="F587" s="46">
        <f>IF(E587="","",IF(C587&gt;WeekEndDate,"",E587))</f>
        <v/>
      </c>
    </row>
    <row r="588">
      <c r="A588" t="inlineStr">
        <is>
          <t>Selections &amp; Orders</t>
        </is>
      </c>
      <c r="B588" s="46">
        <f>'Selections &amp; Orders'!AC594</f>
        <v/>
      </c>
      <c r="C588" s="84">
        <f>'Selections &amp; Orders'!AA594</f>
        <v/>
      </c>
      <c r="D588" s="46">
        <f>'Selections &amp; Orders'!AB594</f>
        <v/>
      </c>
      <c r="E588" s="46">
        <f>IF(OR(B588="",C588="",D588=""),"",D588*100000+(C588-DATE(2000,1,1))+ROW()/100000)</f>
        <v/>
      </c>
      <c r="F588" s="46">
        <f>IF(E588="","",IF(C588&gt;WeekEndDate,"",E588))</f>
        <v/>
      </c>
    </row>
    <row r="589">
      <c r="A589" t="inlineStr">
        <is>
          <t>Selections &amp; Orders</t>
        </is>
      </c>
      <c r="B589" s="46">
        <f>'Selections &amp; Orders'!AC595</f>
        <v/>
      </c>
      <c r="C589" s="84">
        <f>'Selections &amp; Orders'!AA595</f>
        <v/>
      </c>
      <c r="D589" s="46">
        <f>'Selections &amp; Orders'!AB595</f>
        <v/>
      </c>
      <c r="E589" s="46">
        <f>IF(OR(B589="",C589="",D589=""),"",D589*100000+(C589-DATE(2000,1,1))+ROW()/100000)</f>
        <v/>
      </c>
      <c r="F589" s="46">
        <f>IF(E589="","",IF(C589&gt;WeekEndDate,"",E589))</f>
        <v/>
      </c>
    </row>
    <row r="590">
      <c r="A590" t="inlineStr">
        <is>
          <t>Selections &amp; Orders</t>
        </is>
      </c>
      <c r="B590" s="46">
        <f>'Selections &amp; Orders'!AC596</f>
        <v/>
      </c>
      <c r="C590" s="84">
        <f>'Selections &amp; Orders'!AA596</f>
        <v/>
      </c>
      <c r="D590" s="46">
        <f>'Selections &amp; Orders'!AB596</f>
        <v/>
      </c>
      <c r="E590" s="46">
        <f>IF(OR(B590="",C590="",D590=""),"",D590*100000+(C590-DATE(2000,1,1))+ROW()/100000)</f>
        <v/>
      </c>
      <c r="F590" s="46">
        <f>IF(E590="","",IF(C590&gt;WeekEndDate,"",E590))</f>
        <v/>
      </c>
    </row>
    <row r="591">
      <c r="A591" t="inlineStr">
        <is>
          <t>Selections &amp; Orders</t>
        </is>
      </c>
      <c r="B591" s="46">
        <f>'Selections &amp; Orders'!AC597</f>
        <v/>
      </c>
      <c r="C591" s="84">
        <f>'Selections &amp; Orders'!AA597</f>
        <v/>
      </c>
      <c r="D591" s="46">
        <f>'Selections &amp; Orders'!AB597</f>
        <v/>
      </c>
      <c r="E591" s="46">
        <f>IF(OR(B591="",C591="",D591=""),"",D591*100000+(C591-DATE(2000,1,1))+ROW()/100000)</f>
        <v/>
      </c>
      <c r="F591" s="46">
        <f>IF(E591="","",IF(C591&gt;WeekEndDate,"",E591))</f>
        <v/>
      </c>
    </row>
    <row r="592">
      <c r="A592" t="inlineStr">
        <is>
          <t>Selections &amp; Orders</t>
        </is>
      </c>
      <c r="B592" s="46">
        <f>'Selections &amp; Orders'!AC598</f>
        <v/>
      </c>
      <c r="C592" s="84">
        <f>'Selections &amp; Orders'!AA598</f>
        <v/>
      </c>
      <c r="D592" s="46">
        <f>'Selections &amp; Orders'!AB598</f>
        <v/>
      </c>
      <c r="E592" s="46">
        <f>IF(OR(B592="",C592="",D592=""),"",D592*100000+(C592-DATE(2000,1,1))+ROW()/100000)</f>
        <v/>
      </c>
      <c r="F592" s="46">
        <f>IF(E592="","",IF(C592&gt;WeekEndDate,"",E592))</f>
        <v/>
      </c>
    </row>
    <row r="593">
      <c r="A593" t="inlineStr">
        <is>
          <t>Selections &amp; Orders</t>
        </is>
      </c>
      <c r="B593" s="46">
        <f>'Selections &amp; Orders'!AC599</f>
        <v/>
      </c>
      <c r="C593" s="84">
        <f>'Selections &amp; Orders'!AA599</f>
        <v/>
      </c>
      <c r="D593" s="46">
        <f>'Selections &amp; Orders'!AB599</f>
        <v/>
      </c>
      <c r="E593" s="46">
        <f>IF(OR(B593="",C593="",D593=""),"",D593*100000+(C593-DATE(2000,1,1))+ROW()/100000)</f>
        <v/>
      </c>
      <c r="F593" s="46">
        <f>IF(E593="","",IF(C593&gt;WeekEndDate,"",E593))</f>
        <v/>
      </c>
    </row>
    <row r="594">
      <c r="A594" t="inlineStr">
        <is>
          <t>Selections &amp; Orders</t>
        </is>
      </c>
      <c r="B594" s="46">
        <f>'Selections &amp; Orders'!AC600</f>
        <v/>
      </c>
      <c r="C594" s="84">
        <f>'Selections &amp; Orders'!AA600</f>
        <v/>
      </c>
      <c r="D594" s="46">
        <f>'Selections &amp; Orders'!AB600</f>
        <v/>
      </c>
      <c r="E594" s="46">
        <f>IF(OR(B594="",C594="",D594=""),"",D594*100000+(C594-DATE(2000,1,1))+ROW()/100000)</f>
        <v/>
      </c>
      <c r="F594" s="46">
        <f>IF(E594="","",IF(C594&gt;WeekEndDate,"",E594))</f>
        <v/>
      </c>
    </row>
    <row r="595">
      <c r="A595" t="inlineStr">
        <is>
          <t>Selections &amp; Orders</t>
        </is>
      </c>
      <c r="B595" s="46">
        <f>'Selections &amp; Orders'!AC601</f>
        <v/>
      </c>
      <c r="C595" s="84">
        <f>'Selections &amp; Orders'!AA601</f>
        <v/>
      </c>
      <c r="D595" s="46">
        <f>'Selections &amp; Orders'!AB601</f>
        <v/>
      </c>
      <c r="E595" s="46">
        <f>IF(OR(B595="",C595="",D595=""),"",D595*100000+(C595-DATE(2000,1,1))+ROW()/100000)</f>
        <v/>
      </c>
      <c r="F595" s="46">
        <f>IF(E595="","",IF(C595&gt;WeekEndDate,"",E595))</f>
        <v/>
      </c>
    </row>
    <row r="596">
      <c r="A596" t="inlineStr">
        <is>
          <t>Selections &amp; Orders</t>
        </is>
      </c>
      <c r="B596" s="46">
        <f>'Selections &amp; Orders'!AC602</f>
        <v/>
      </c>
      <c r="C596" s="84">
        <f>'Selections &amp; Orders'!AA602</f>
        <v/>
      </c>
      <c r="D596" s="46">
        <f>'Selections &amp; Orders'!AB602</f>
        <v/>
      </c>
      <c r="E596" s="46">
        <f>IF(OR(B596="",C596="",D596=""),"",D596*100000+(C596-DATE(2000,1,1))+ROW()/100000)</f>
        <v/>
      </c>
      <c r="F596" s="46">
        <f>IF(E596="","",IF(C596&gt;WeekEndDate,"",E596))</f>
        <v/>
      </c>
    </row>
    <row r="597">
      <c r="A597" t="inlineStr">
        <is>
          <t>Selections &amp; Orders</t>
        </is>
      </c>
      <c r="B597" s="46">
        <f>'Selections &amp; Orders'!AC603</f>
        <v/>
      </c>
      <c r="C597" s="84">
        <f>'Selections &amp; Orders'!AA603</f>
        <v/>
      </c>
      <c r="D597" s="46">
        <f>'Selections &amp; Orders'!AB603</f>
        <v/>
      </c>
      <c r="E597" s="46">
        <f>IF(OR(B597="",C597="",D597=""),"",D597*100000+(C597-DATE(2000,1,1))+ROW()/100000)</f>
        <v/>
      </c>
      <c r="F597" s="46">
        <f>IF(E597="","",IF(C597&gt;WeekEndDate,"",E597))</f>
        <v/>
      </c>
    </row>
    <row r="598">
      <c r="A598" t="inlineStr">
        <is>
          <t>Selections &amp; Orders</t>
        </is>
      </c>
      <c r="B598" s="46">
        <f>'Selections &amp; Orders'!AC604</f>
        <v/>
      </c>
      <c r="C598" s="84">
        <f>'Selections &amp; Orders'!AA604</f>
        <v/>
      </c>
      <c r="D598" s="46">
        <f>'Selections &amp; Orders'!AB604</f>
        <v/>
      </c>
      <c r="E598" s="46">
        <f>IF(OR(B598="",C598="",D598=""),"",D598*100000+(C598-DATE(2000,1,1))+ROW()/100000)</f>
        <v/>
      </c>
      <c r="F598" s="46">
        <f>IF(E598="","",IF(C598&gt;WeekEndDate,"",E598))</f>
        <v/>
      </c>
    </row>
    <row r="599">
      <c r="A599" t="inlineStr">
        <is>
          <t>Selections &amp; Orders</t>
        </is>
      </c>
      <c r="B599" s="46">
        <f>'Selections &amp; Orders'!AC605</f>
        <v/>
      </c>
      <c r="C599" s="84">
        <f>'Selections &amp; Orders'!AA605</f>
        <v/>
      </c>
      <c r="D599" s="46">
        <f>'Selections &amp; Orders'!AB605</f>
        <v/>
      </c>
      <c r="E599" s="46">
        <f>IF(OR(B599="",C599="",D599=""),"",D599*100000+(C599-DATE(2000,1,1))+ROW()/100000)</f>
        <v/>
      </c>
      <c r="F599" s="46">
        <f>IF(E599="","",IF(C599&gt;WeekEndDate,"",E599))</f>
        <v/>
      </c>
    </row>
    <row r="600">
      <c r="A600" t="inlineStr">
        <is>
          <t>Selections &amp; Orders</t>
        </is>
      </c>
      <c r="B600" s="46">
        <f>'Selections &amp; Orders'!AC606</f>
        <v/>
      </c>
      <c r="C600" s="84">
        <f>'Selections &amp; Orders'!AA606</f>
        <v/>
      </c>
      <c r="D600" s="46">
        <f>'Selections &amp; Orders'!AB606</f>
        <v/>
      </c>
      <c r="E600" s="46">
        <f>IF(OR(B600="",C600="",D600=""),"",D600*100000+(C600-DATE(2000,1,1))+ROW()/100000)</f>
        <v/>
      </c>
      <c r="F600" s="46">
        <f>IF(E600="","",IF(C600&gt;WeekEndDate,"",E600))</f>
        <v/>
      </c>
    </row>
    <row r="601">
      <c r="A601" t="inlineStr">
        <is>
          <t>Selections &amp; Orders</t>
        </is>
      </c>
      <c r="B601" s="46">
        <f>'Selections &amp; Orders'!AC607</f>
        <v/>
      </c>
      <c r="C601" s="84">
        <f>'Selections &amp; Orders'!AA607</f>
        <v/>
      </c>
      <c r="D601" s="46">
        <f>'Selections &amp; Orders'!AB607</f>
        <v/>
      </c>
      <c r="E601" s="46">
        <f>IF(OR(B601="",C601="",D601=""),"",D601*100000+(C601-DATE(2000,1,1))+ROW()/100000)</f>
        <v/>
      </c>
      <c r="F601" s="46">
        <f>IF(E601="","",IF(C601&gt;WeekEndDate,"",E601))</f>
        <v/>
      </c>
    </row>
    <row r="602">
      <c r="A602" t="inlineStr">
        <is>
          <t>Selections &amp; Orders</t>
        </is>
      </c>
      <c r="B602" s="46">
        <f>'Selections &amp; Orders'!AC608</f>
        <v/>
      </c>
      <c r="C602" s="84">
        <f>'Selections &amp; Orders'!AA608</f>
        <v/>
      </c>
      <c r="D602" s="46">
        <f>'Selections &amp; Orders'!AB608</f>
        <v/>
      </c>
      <c r="E602" s="46">
        <f>IF(OR(B602="",C602="",D602=""),"",D602*100000+(C602-DATE(2000,1,1))+ROW()/100000)</f>
        <v/>
      </c>
      <c r="F602" s="46">
        <f>IF(E602="","",IF(C602&gt;WeekEndDate,"",E602))</f>
        <v/>
      </c>
    </row>
    <row r="603">
      <c r="A603" t="inlineStr">
        <is>
          <t>Selections &amp; Orders</t>
        </is>
      </c>
      <c r="B603" s="46">
        <f>'Selections &amp; Orders'!AC609</f>
        <v/>
      </c>
      <c r="C603" s="84">
        <f>'Selections &amp; Orders'!AA609</f>
        <v/>
      </c>
      <c r="D603" s="46">
        <f>'Selections &amp; Orders'!AB609</f>
        <v/>
      </c>
      <c r="E603" s="46">
        <f>IF(OR(B603="",C603="",D603=""),"",D603*100000+(C603-DATE(2000,1,1))+ROW()/100000)</f>
        <v/>
      </c>
      <c r="F603" s="46">
        <f>IF(E603="","",IF(C603&gt;WeekEndDate,"",E603))</f>
        <v/>
      </c>
    </row>
    <row r="604">
      <c r="A604" t="inlineStr">
        <is>
          <t>Selections &amp; Orders</t>
        </is>
      </c>
      <c r="B604" s="46">
        <f>'Selections &amp; Orders'!AC610</f>
        <v/>
      </c>
      <c r="C604" s="84">
        <f>'Selections &amp; Orders'!AA610</f>
        <v/>
      </c>
      <c r="D604" s="46">
        <f>'Selections &amp; Orders'!AB610</f>
        <v/>
      </c>
      <c r="E604" s="46">
        <f>IF(OR(B604="",C604="",D604=""),"",D604*100000+(C604-DATE(2000,1,1))+ROW()/100000)</f>
        <v/>
      </c>
      <c r="F604" s="46">
        <f>IF(E604="","",IF(C604&gt;WeekEndDate,"",E604))</f>
        <v/>
      </c>
    </row>
    <row r="605">
      <c r="A605" t="inlineStr">
        <is>
          <t>Selections &amp; Orders</t>
        </is>
      </c>
      <c r="B605" s="46">
        <f>'Selections &amp; Orders'!AC611</f>
        <v/>
      </c>
      <c r="C605" s="84">
        <f>'Selections &amp; Orders'!AA611</f>
        <v/>
      </c>
      <c r="D605" s="46">
        <f>'Selections &amp; Orders'!AB611</f>
        <v/>
      </c>
      <c r="E605" s="46">
        <f>IF(OR(B605="",C605="",D605=""),"",D605*100000+(C605-DATE(2000,1,1))+ROW()/100000)</f>
        <v/>
      </c>
      <c r="F605" s="46">
        <f>IF(E605="","",IF(C605&gt;WeekEndDate,"",E605))</f>
        <v/>
      </c>
    </row>
    <row r="606">
      <c r="A606" t="inlineStr">
        <is>
          <t>Selections &amp; Orders</t>
        </is>
      </c>
      <c r="B606" s="46">
        <f>'Selections &amp; Orders'!AC612</f>
        <v/>
      </c>
      <c r="C606" s="84">
        <f>'Selections &amp; Orders'!AA612</f>
        <v/>
      </c>
      <c r="D606" s="46">
        <f>'Selections &amp; Orders'!AB612</f>
        <v/>
      </c>
      <c r="E606" s="46">
        <f>IF(OR(B606="",C606="",D606=""),"",D606*100000+(C606-DATE(2000,1,1))+ROW()/100000)</f>
        <v/>
      </c>
      <c r="F606" s="46">
        <f>IF(E606="","",IF(C606&gt;WeekEndDate,"",E606))</f>
        <v/>
      </c>
    </row>
    <row r="607">
      <c r="A607" t="inlineStr">
        <is>
          <t>Selections &amp; Orders</t>
        </is>
      </c>
      <c r="B607" s="46">
        <f>'Selections &amp; Orders'!AC613</f>
        <v/>
      </c>
      <c r="C607" s="84">
        <f>'Selections &amp; Orders'!AA613</f>
        <v/>
      </c>
      <c r="D607" s="46">
        <f>'Selections &amp; Orders'!AB613</f>
        <v/>
      </c>
      <c r="E607" s="46">
        <f>IF(OR(B607="",C607="",D607=""),"",D607*100000+(C607-DATE(2000,1,1))+ROW()/100000)</f>
        <v/>
      </c>
      <c r="F607" s="46">
        <f>IF(E607="","",IF(C607&gt;WeekEndDate,"",E607))</f>
        <v/>
      </c>
    </row>
    <row r="608">
      <c r="A608" t="inlineStr">
        <is>
          <t>Selections &amp; Orders</t>
        </is>
      </c>
      <c r="B608" s="46">
        <f>'Selections &amp; Orders'!AC614</f>
        <v/>
      </c>
      <c r="C608" s="84">
        <f>'Selections &amp; Orders'!AA614</f>
        <v/>
      </c>
      <c r="D608" s="46">
        <f>'Selections &amp; Orders'!AB614</f>
        <v/>
      </c>
      <c r="E608" s="46">
        <f>IF(OR(B608="",C608="",D608=""),"",D608*100000+(C608-DATE(2000,1,1))+ROW()/100000)</f>
        <v/>
      </c>
      <c r="F608" s="46">
        <f>IF(E608="","",IF(C608&gt;WeekEndDate,"",E608))</f>
        <v/>
      </c>
    </row>
    <row r="609">
      <c r="A609" t="inlineStr">
        <is>
          <t>Selections &amp; Orders</t>
        </is>
      </c>
      <c r="B609" s="46">
        <f>'Selections &amp; Orders'!AC615</f>
        <v/>
      </c>
      <c r="C609" s="84">
        <f>'Selections &amp; Orders'!AA615</f>
        <v/>
      </c>
      <c r="D609" s="46">
        <f>'Selections &amp; Orders'!AB615</f>
        <v/>
      </c>
      <c r="E609" s="46">
        <f>IF(OR(B609="",C609="",D609=""),"",D609*100000+(C609-DATE(2000,1,1))+ROW()/100000)</f>
        <v/>
      </c>
      <c r="F609" s="46">
        <f>IF(E609="","",IF(C609&gt;WeekEndDate,"",E609))</f>
        <v/>
      </c>
    </row>
    <row r="610">
      <c r="A610" t="inlineStr">
        <is>
          <t>Selections &amp; Orders</t>
        </is>
      </c>
      <c r="B610" s="46">
        <f>'Selections &amp; Orders'!AC616</f>
        <v/>
      </c>
      <c r="C610" s="84">
        <f>'Selections &amp; Orders'!AA616</f>
        <v/>
      </c>
      <c r="D610" s="46">
        <f>'Selections &amp; Orders'!AB616</f>
        <v/>
      </c>
      <c r="E610" s="46">
        <f>IF(OR(B610="",C610="",D610=""),"",D610*100000+(C610-DATE(2000,1,1))+ROW()/100000)</f>
        <v/>
      </c>
      <c r="F610" s="46">
        <f>IF(E610="","",IF(C610&gt;WeekEndDate,"",E610))</f>
        <v/>
      </c>
    </row>
    <row r="611">
      <c r="A611" t="inlineStr">
        <is>
          <t>Selections &amp; Orders</t>
        </is>
      </c>
      <c r="B611" s="46">
        <f>'Selections &amp; Orders'!AC617</f>
        <v/>
      </c>
      <c r="C611" s="84">
        <f>'Selections &amp; Orders'!AA617</f>
        <v/>
      </c>
      <c r="D611" s="46">
        <f>'Selections &amp; Orders'!AB617</f>
        <v/>
      </c>
      <c r="E611" s="46">
        <f>IF(OR(B611="",C611="",D611=""),"",D611*100000+(C611-DATE(2000,1,1))+ROW()/100000)</f>
        <v/>
      </c>
      <c r="F611" s="46">
        <f>IF(E611="","",IF(C611&gt;WeekEndDate,"",E611))</f>
        <v/>
      </c>
    </row>
    <row r="612">
      <c r="A612" t="inlineStr">
        <is>
          <t>Selections &amp; Orders</t>
        </is>
      </c>
      <c r="B612" s="46">
        <f>'Selections &amp; Orders'!AC618</f>
        <v/>
      </c>
      <c r="C612" s="84">
        <f>'Selections &amp; Orders'!AA618</f>
        <v/>
      </c>
      <c r="D612" s="46">
        <f>'Selections &amp; Orders'!AB618</f>
        <v/>
      </c>
      <c r="E612" s="46">
        <f>IF(OR(B612="",C612="",D612=""),"",D612*100000+(C612-DATE(2000,1,1))+ROW()/100000)</f>
        <v/>
      </c>
      <c r="F612" s="46">
        <f>IF(E612="","",IF(C612&gt;WeekEndDate,"",E612))</f>
        <v/>
      </c>
    </row>
    <row r="613">
      <c r="A613" t="inlineStr">
        <is>
          <t>Selections &amp; Orders</t>
        </is>
      </c>
      <c r="B613" s="46">
        <f>'Selections &amp; Orders'!AC619</f>
        <v/>
      </c>
      <c r="C613" s="84">
        <f>'Selections &amp; Orders'!AA619</f>
        <v/>
      </c>
      <c r="D613" s="46">
        <f>'Selections &amp; Orders'!AB619</f>
        <v/>
      </c>
      <c r="E613" s="46">
        <f>IF(OR(B613="",C613="",D613=""),"",D613*100000+(C613-DATE(2000,1,1))+ROW()/100000)</f>
        <v/>
      </c>
      <c r="F613" s="46">
        <f>IF(E613="","",IF(C613&gt;WeekEndDate,"",E613))</f>
        <v/>
      </c>
    </row>
    <row r="614">
      <c r="A614" t="inlineStr">
        <is>
          <t>Selections &amp; Orders</t>
        </is>
      </c>
      <c r="B614" s="46">
        <f>'Selections &amp; Orders'!AC620</f>
        <v/>
      </c>
      <c r="C614" s="84">
        <f>'Selections &amp; Orders'!AA620</f>
        <v/>
      </c>
      <c r="D614" s="46">
        <f>'Selections &amp; Orders'!AB620</f>
        <v/>
      </c>
      <c r="E614" s="46">
        <f>IF(OR(B614="",C614="",D614=""),"",D614*100000+(C614-DATE(2000,1,1))+ROW()/100000)</f>
        <v/>
      </c>
      <c r="F614" s="46">
        <f>IF(E614="","",IF(C614&gt;WeekEndDate,"",E614))</f>
        <v/>
      </c>
    </row>
    <row r="615">
      <c r="A615" t="inlineStr">
        <is>
          <t>Selections &amp; Orders</t>
        </is>
      </c>
      <c r="B615" s="46">
        <f>'Selections &amp; Orders'!AC621</f>
        <v/>
      </c>
      <c r="C615" s="84">
        <f>'Selections &amp; Orders'!AA621</f>
        <v/>
      </c>
      <c r="D615" s="46">
        <f>'Selections &amp; Orders'!AB621</f>
        <v/>
      </c>
      <c r="E615" s="46">
        <f>IF(OR(B615="",C615="",D615=""),"",D615*100000+(C615-DATE(2000,1,1))+ROW()/100000)</f>
        <v/>
      </c>
      <c r="F615" s="46">
        <f>IF(E615="","",IF(C615&gt;WeekEndDate,"",E615))</f>
        <v/>
      </c>
    </row>
    <row r="616">
      <c r="A616" t="inlineStr">
        <is>
          <t>Selections &amp; Orders</t>
        </is>
      </c>
      <c r="B616" s="46">
        <f>'Selections &amp; Orders'!AC622</f>
        <v/>
      </c>
      <c r="C616" s="84">
        <f>'Selections &amp; Orders'!AA622</f>
        <v/>
      </c>
      <c r="D616" s="46">
        <f>'Selections &amp; Orders'!AB622</f>
        <v/>
      </c>
      <c r="E616" s="46">
        <f>IF(OR(B616="",C616="",D616=""),"",D616*100000+(C616-DATE(2000,1,1))+ROW()/100000)</f>
        <v/>
      </c>
      <c r="F616" s="46">
        <f>IF(E616="","",IF(C616&gt;WeekEndDate,"",E616))</f>
        <v/>
      </c>
    </row>
    <row r="617">
      <c r="A617" t="inlineStr">
        <is>
          <t>Selections &amp; Orders</t>
        </is>
      </c>
      <c r="B617" s="46">
        <f>'Selections &amp; Orders'!AC623</f>
        <v/>
      </c>
      <c r="C617" s="84">
        <f>'Selections &amp; Orders'!AA623</f>
        <v/>
      </c>
      <c r="D617" s="46">
        <f>'Selections &amp; Orders'!AB623</f>
        <v/>
      </c>
      <c r="E617" s="46">
        <f>IF(OR(B617="",C617="",D617=""),"",D617*100000+(C617-DATE(2000,1,1))+ROW()/100000)</f>
        <v/>
      </c>
      <c r="F617" s="46">
        <f>IF(E617="","",IF(C617&gt;WeekEndDate,"",E617))</f>
        <v/>
      </c>
    </row>
    <row r="618">
      <c r="A618" t="inlineStr">
        <is>
          <t>Selections &amp; Orders</t>
        </is>
      </c>
      <c r="B618" s="46">
        <f>'Selections &amp; Orders'!AC624</f>
        <v/>
      </c>
      <c r="C618" s="84">
        <f>'Selections &amp; Orders'!AA624</f>
        <v/>
      </c>
      <c r="D618" s="46">
        <f>'Selections &amp; Orders'!AB624</f>
        <v/>
      </c>
      <c r="E618" s="46">
        <f>IF(OR(B618="",C618="",D618=""),"",D618*100000+(C618-DATE(2000,1,1))+ROW()/100000)</f>
        <v/>
      </c>
      <c r="F618" s="46">
        <f>IF(E618="","",IF(C618&gt;WeekEndDate,"",E618))</f>
        <v/>
      </c>
    </row>
    <row r="619">
      <c r="A619" t="inlineStr">
        <is>
          <t>Selections &amp; Orders</t>
        </is>
      </c>
      <c r="B619" s="46">
        <f>'Selections &amp; Orders'!AC625</f>
        <v/>
      </c>
      <c r="C619" s="84">
        <f>'Selections &amp; Orders'!AA625</f>
        <v/>
      </c>
      <c r="D619" s="46">
        <f>'Selections &amp; Orders'!AB625</f>
        <v/>
      </c>
      <c r="E619" s="46">
        <f>IF(OR(B619="",C619="",D619=""),"",D619*100000+(C619-DATE(2000,1,1))+ROW()/100000)</f>
        <v/>
      </c>
      <c r="F619" s="46">
        <f>IF(E619="","",IF(C619&gt;WeekEndDate,"",E619))</f>
        <v/>
      </c>
    </row>
    <row r="620">
      <c r="A620" t="inlineStr">
        <is>
          <t>Selections &amp; Orders</t>
        </is>
      </c>
      <c r="B620" s="46">
        <f>'Selections &amp; Orders'!AC626</f>
        <v/>
      </c>
      <c r="C620" s="84">
        <f>'Selections &amp; Orders'!AA626</f>
        <v/>
      </c>
      <c r="D620" s="46">
        <f>'Selections &amp; Orders'!AB626</f>
        <v/>
      </c>
      <c r="E620" s="46">
        <f>IF(OR(B620="",C620="",D620=""),"",D620*100000+(C620-DATE(2000,1,1))+ROW()/100000)</f>
        <v/>
      </c>
      <c r="F620" s="46">
        <f>IF(E620="","",IF(C620&gt;WeekEndDate,"",E620))</f>
        <v/>
      </c>
    </row>
    <row r="621">
      <c r="A621" t="inlineStr">
        <is>
          <t>Selections &amp; Orders</t>
        </is>
      </c>
      <c r="B621" s="46">
        <f>'Selections &amp; Orders'!AC627</f>
        <v/>
      </c>
      <c r="C621" s="84">
        <f>'Selections &amp; Orders'!AA627</f>
        <v/>
      </c>
      <c r="D621" s="46">
        <f>'Selections &amp; Orders'!AB627</f>
        <v/>
      </c>
      <c r="E621" s="46">
        <f>IF(OR(B621="",C621="",D621=""),"",D621*100000+(C621-DATE(2000,1,1))+ROW()/100000)</f>
        <v/>
      </c>
      <c r="F621" s="46">
        <f>IF(E621="","",IF(C621&gt;WeekEndDate,"",E621))</f>
        <v/>
      </c>
    </row>
    <row r="622">
      <c r="A622" t="inlineStr">
        <is>
          <t>Selections &amp; Orders</t>
        </is>
      </c>
      <c r="B622" s="46">
        <f>'Selections &amp; Orders'!AC628</f>
        <v/>
      </c>
      <c r="C622" s="84">
        <f>'Selections &amp; Orders'!AA628</f>
        <v/>
      </c>
      <c r="D622" s="46">
        <f>'Selections &amp; Orders'!AB628</f>
        <v/>
      </c>
      <c r="E622" s="46">
        <f>IF(OR(B622="",C622="",D622=""),"",D622*100000+(C622-DATE(2000,1,1))+ROW()/100000)</f>
        <v/>
      </c>
      <c r="F622" s="46">
        <f>IF(E622="","",IF(C622&gt;WeekEndDate,"",E622))</f>
        <v/>
      </c>
    </row>
    <row r="623">
      <c r="A623" t="inlineStr">
        <is>
          <t>Selections &amp; Orders</t>
        </is>
      </c>
      <c r="B623" s="46">
        <f>'Selections &amp; Orders'!AC629</f>
        <v/>
      </c>
      <c r="C623" s="84">
        <f>'Selections &amp; Orders'!AA629</f>
        <v/>
      </c>
      <c r="D623" s="46">
        <f>'Selections &amp; Orders'!AB629</f>
        <v/>
      </c>
      <c r="E623" s="46">
        <f>IF(OR(B623="",C623="",D623=""),"",D623*100000+(C623-DATE(2000,1,1))+ROW()/100000)</f>
        <v/>
      </c>
      <c r="F623" s="46">
        <f>IF(E623="","",IF(C623&gt;WeekEndDate,"",E623))</f>
        <v/>
      </c>
    </row>
    <row r="624">
      <c r="A624" t="inlineStr">
        <is>
          <t>Selections &amp; Orders</t>
        </is>
      </c>
      <c r="B624" s="46">
        <f>'Selections &amp; Orders'!AC630</f>
        <v/>
      </c>
      <c r="C624" s="84">
        <f>'Selections &amp; Orders'!AA630</f>
        <v/>
      </c>
      <c r="D624" s="46">
        <f>'Selections &amp; Orders'!AB630</f>
        <v/>
      </c>
      <c r="E624" s="46">
        <f>IF(OR(B624="",C624="",D624=""),"",D624*100000+(C624-DATE(2000,1,1))+ROW()/100000)</f>
        <v/>
      </c>
      <c r="F624" s="46">
        <f>IF(E624="","",IF(C624&gt;WeekEndDate,"",E624))</f>
        <v/>
      </c>
    </row>
    <row r="625">
      <c r="A625" t="inlineStr">
        <is>
          <t>Selections &amp; Orders</t>
        </is>
      </c>
      <c r="B625" s="46">
        <f>'Selections &amp; Orders'!AC631</f>
        <v/>
      </c>
      <c r="C625" s="84">
        <f>'Selections &amp; Orders'!AA631</f>
        <v/>
      </c>
      <c r="D625" s="46">
        <f>'Selections &amp; Orders'!AB631</f>
        <v/>
      </c>
      <c r="E625" s="46">
        <f>IF(OR(B625="",C625="",D625=""),"",D625*100000+(C625-DATE(2000,1,1))+ROW()/100000)</f>
        <v/>
      </c>
      <c r="F625" s="46">
        <f>IF(E625="","",IF(C625&gt;WeekEndDate,"",E625))</f>
        <v/>
      </c>
    </row>
    <row r="626">
      <c r="A626" t="inlineStr">
        <is>
          <t>Selections &amp; Orders</t>
        </is>
      </c>
      <c r="B626" s="46">
        <f>'Selections &amp; Orders'!AC632</f>
        <v/>
      </c>
      <c r="C626" s="84">
        <f>'Selections &amp; Orders'!AA632</f>
        <v/>
      </c>
      <c r="D626" s="46">
        <f>'Selections &amp; Orders'!AB632</f>
        <v/>
      </c>
      <c r="E626" s="46">
        <f>IF(OR(B626="",C626="",D626=""),"",D626*100000+(C626-DATE(2000,1,1))+ROW()/100000)</f>
        <v/>
      </c>
      <c r="F626" s="46">
        <f>IF(E626="","",IF(C626&gt;WeekEndDate,"",E626))</f>
        <v/>
      </c>
    </row>
    <row r="627">
      <c r="A627" t="inlineStr">
        <is>
          <t>Selections &amp; Orders</t>
        </is>
      </c>
      <c r="B627" s="46">
        <f>'Selections &amp; Orders'!AC633</f>
        <v/>
      </c>
      <c r="C627" s="84">
        <f>'Selections &amp; Orders'!AA633</f>
        <v/>
      </c>
      <c r="D627" s="46">
        <f>'Selections &amp; Orders'!AB633</f>
        <v/>
      </c>
      <c r="E627" s="46">
        <f>IF(OR(B627="",C627="",D627=""),"",D627*100000+(C627-DATE(2000,1,1))+ROW()/100000)</f>
        <v/>
      </c>
      <c r="F627" s="46">
        <f>IF(E627="","",IF(C627&gt;WeekEndDate,"",E627))</f>
        <v/>
      </c>
    </row>
    <row r="628">
      <c r="A628" t="inlineStr">
        <is>
          <t>Selections &amp; Orders</t>
        </is>
      </c>
      <c r="B628" s="46">
        <f>'Selections &amp; Orders'!AC634</f>
        <v/>
      </c>
      <c r="C628" s="84">
        <f>'Selections &amp; Orders'!AA634</f>
        <v/>
      </c>
      <c r="D628" s="46">
        <f>'Selections &amp; Orders'!AB634</f>
        <v/>
      </c>
      <c r="E628" s="46">
        <f>IF(OR(B628="",C628="",D628=""),"",D628*100000+(C628-DATE(2000,1,1))+ROW()/100000)</f>
        <v/>
      </c>
      <c r="F628" s="46">
        <f>IF(E628="","",IF(C628&gt;WeekEndDate,"",E628))</f>
        <v/>
      </c>
    </row>
    <row r="629">
      <c r="A629" t="inlineStr">
        <is>
          <t>Selections &amp; Orders</t>
        </is>
      </c>
      <c r="B629" s="46">
        <f>'Selections &amp; Orders'!AC635</f>
        <v/>
      </c>
      <c r="C629" s="84">
        <f>'Selections &amp; Orders'!AA635</f>
        <v/>
      </c>
      <c r="D629" s="46">
        <f>'Selections &amp; Orders'!AB635</f>
        <v/>
      </c>
      <c r="E629" s="46">
        <f>IF(OR(B629="",C629="",D629=""),"",D629*100000+(C629-DATE(2000,1,1))+ROW()/100000)</f>
        <v/>
      </c>
      <c r="F629" s="46">
        <f>IF(E629="","",IF(C629&gt;WeekEndDate,"",E629))</f>
        <v/>
      </c>
    </row>
    <row r="630">
      <c r="A630" t="inlineStr">
        <is>
          <t>Selections &amp; Orders</t>
        </is>
      </c>
      <c r="B630" s="46">
        <f>'Selections &amp; Orders'!AC636</f>
        <v/>
      </c>
      <c r="C630" s="84">
        <f>'Selections &amp; Orders'!AA636</f>
        <v/>
      </c>
      <c r="D630" s="46">
        <f>'Selections &amp; Orders'!AB636</f>
        <v/>
      </c>
      <c r="E630" s="46">
        <f>IF(OR(B630="",C630="",D630=""),"",D630*100000+(C630-DATE(2000,1,1))+ROW()/100000)</f>
        <v/>
      </c>
      <c r="F630" s="46">
        <f>IF(E630="","",IF(C630&gt;WeekEndDate,"",E630))</f>
        <v/>
      </c>
    </row>
    <row r="631">
      <c r="A631" t="inlineStr">
        <is>
          <t>Selections &amp; Orders</t>
        </is>
      </c>
      <c r="B631" s="46">
        <f>'Selections &amp; Orders'!AC637</f>
        <v/>
      </c>
      <c r="C631" s="84">
        <f>'Selections &amp; Orders'!AA637</f>
        <v/>
      </c>
      <c r="D631" s="46">
        <f>'Selections &amp; Orders'!AB637</f>
        <v/>
      </c>
      <c r="E631" s="46">
        <f>IF(OR(B631="",C631="",D631=""),"",D631*100000+(C631-DATE(2000,1,1))+ROW()/100000)</f>
        <v/>
      </c>
      <c r="F631" s="46">
        <f>IF(E631="","",IF(C631&gt;WeekEndDate,"",E631))</f>
        <v/>
      </c>
    </row>
    <row r="632">
      <c r="A632" t="inlineStr">
        <is>
          <t>Selections &amp; Orders</t>
        </is>
      </c>
      <c r="B632" s="46">
        <f>'Selections &amp; Orders'!AC638</f>
        <v/>
      </c>
      <c r="C632" s="84">
        <f>'Selections &amp; Orders'!AA638</f>
        <v/>
      </c>
      <c r="D632" s="46">
        <f>'Selections &amp; Orders'!AB638</f>
        <v/>
      </c>
      <c r="E632" s="46">
        <f>IF(OR(B632="",C632="",D632=""),"",D632*100000+(C632-DATE(2000,1,1))+ROW()/100000)</f>
        <v/>
      </c>
      <c r="F632" s="46">
        <f>IF(E632="","",IF(C632&gt;WeekEndDate,"",E632))</f>
        <v/>
      </c>
    </row>
    <row r="633">
      <c r="A633" t="inlineStr">
        <is>
          <t>Selections &amp; Orders</t>
        </is>
      </c>
      <c r="B633" s="46">
        <f>'Selections &amp; Orders'!AC639</f>
        <v/>
      </c>
      <c r="C633" s="84">
        <f>'Selections &amp; Orders'!AA639</f>
        <v/>
      </c>
      <c r="D633" s="46">
        <f>'Selections &amp; Orders'!AB639</f>
        <v/>
      </c>
      <c r="E633" s="46">
        <f>IF(OR(B633="",C633="",D633=""),"",D633*100000+(C633-DATE(2000,1,1))+ROW()/100000)</f>
        <v/>
      </c>
      <c r="F633" s="46">
        <f>IF(E633="","",IF(C633&gt;WeekEndDate,"",E633))</f>
        <v/>
      </c>
    </row>
    <row r="634">
      <c r="A634" t="inlineStr">
        <is>
          <t>Selections &amp; Orders</t>
        </is>
      </c>
      <c r="B634" s="46">
        <f>'Selections &amp; Orders'!AC640</f>
        <v/>
      </c>
      <c r="C634" s="84">
        <f>'Selections &amp; Orders'!AA640</f>
        <v/>
      </c>
      <c r="D634" s="46">
        <f>'Selections &amp; Orders'!AB640</f>
        <v/>
      </c>
      <c r="E634" s="46">
        <f>IF(OR(B634="",C634="",D634=""),"",D634*100000+(C634-DATE(2000,1,1))+ROW()/100000)</f>
        <v/>
      </c>
      <c r="F634" s="46">
        <f>IF(E634="","",IF(C634&gt;WeekEndDate,"",E634))</f>
        <v/>
      </c>
    </row>
    <row r="635">
      <c r="A635" t="inlineStr">
        <is>
          <t>Selections &amp; Orders</t>
        </is>
      </c>
      <c r="B635" s="46">
        <f>'Selections &amp; Orders'!AC641</f>
        <v/>
      </c>
      <c r="C635" s="84">
        <f>'Selections &amp; Orders'!AA641</f>
        <v/>
      </c>
      <c r="D635" s="46">
        <f>'Selections &amp; Orders'!AB641</f>
        <v/>
      </c>
      <c r="E635" s="46">
        <f>IF(OR(B635="",C635="",D635=""),"",D635*100000+(C635-DATE(2000,1,1))+ROW()/100000)</f>
        <v/>
      </c>
      <c r="F635" s="46">
        <f>IF(E635="","",IF(C635&gt;WeekEndDate,"",E635))</f>
        <v/>
      </c>
    </row>
    <row r="636">
      <c r="A636" t="inlineStr">
        <is>
          <t>Selections &amp; Orders</t>
        </is>
      </c>
      <c r="B636" s="46">
        <f>'Selections &amp; Orders'!AC642</f>
        <v/>
      </c>
      <c r="C636" s="84">
        <f>'Selections &amp; Orders'!AA642</f>
        <v/>
      </c>
      <c r="D636" s="46">
        <f>'Selections &amp; Orders'!AB642</f>
        <v/>
      </c>
      <c r="E636" s="46">
        <f>IF(OR(B636="",C636="",D636=""),"",D636*100000+(C636-DATE(2000,1,1))+ROW()/100000)</f>
        <v/>
      </c>
      <c r="F636" s="46">
        <f>IF(E636="","",IF(C636&gt;WeekEndDate,"",E636))</f>
        <v/>
      </c>
    </row>
    <row r="637">
      <c r="A637" t="inlineStr">
        <is>
          <t>Selections &amp; Orders</t>
        </is>
      </c>
      <c r="B637" s="46">
        <f>'Selections &amp; Orders'!AC643</f>
        <v/>
      </c>
      <c r="C637" s="84">
        <f>'Selections &amp; Orders'!AA643</f>
        <v/>
      </c>
      <c r="D637" s="46">
        <f>'Selections &amp; Orders'!AB643</f>
        <v/>
      </c>
      <c r="E637" s="46">
        <f>IF(OR(B637="",C637="",D637=""),"",D637*100000+(C637-DATE(2000,1,1))+ROW()/100000)</f>
        <v/>
      </c>
      <c r="F637" s="46">
        <f>IF(E637="","",IF(C637&gt;WeekEndDate,"",E637))</f>
        <v/>
      </c>
    </row>
    <row r="638">
      <c r="A638" t="inlineStr">
        <is>
          <t>Selections &amp; Orders</t>
        </is>
      </c>
      <c r="B638" s="46">
        <f>'Selections &amp; Orders'!AC644</f>
        <v/>
      </c>
      <c r="C638" s="84">
        <f>'Selections &amp; Orders'!AA644</f>
        <v/>
      </c>
      <c r="D638" s="46">
        <f>'Selections &amp; Orders'!AB644</f>
        <v/>
      </c>
      <c r="E638" s="46">
        <f>IF(OR(B638="",C638="",D638=""),"",D638*100000+(C638-DATE(2000,1,1))+ROW()/100000)</f>
        <v/>
      </c>
      <c r="F638" s="46">
        <f>IF(E638="","",IF(C638&gt;WeekEndDate,"",E638))</f>
        <v/>
      </c>
    </row>
    <row r="639">
      <c r="A639" t="inlineStr">
        <is>
          <t>Selections &amp; Orders</t>
        </is>
      </c>
      <c r="B639" s="46">
        <f>'Selections &amp; Orders'!AC645</f>
        <v/>
      </c>
      <c r="C639" s="84">
        <f>'Selections &amp; Orders'!AA645</f>
        <v/>
      </c>
      <c r="D639" s="46">
        <f>'Selections &amp; Orders'!AB645</f>
        <v/>
      </c>
      <c r="E639" s="46">
        <f>IF(OR(B639="",C639="",D639=""),"",D639*100000+(C639-DATE(2000,1,1))+ROW()/100000)</f>
        <v/>
      </c>
      <c r="F639" s="46">
        <f>IF(E639="","",IF(C639&gt;WeekEndDate,"",E639))</f>
        <v/>
      </c>
    </row>
    <row r="640">
      <c r="A640" t="inlineStr">
        <is>
          <t>Selections &amp; Orders</t>
        </is>
      </c>
      <c r="B640" s="46">
        <f>'Selections &amp; Orders'!AC646</f>
        <v/>
      </c>
      <c r="C640" s="84">
        <f>'Selections &amp; Orders'!AA646</f>
        <v/>
      </c>
      <c r="D640" s="46">
        <f>'Selections &amp; Orders'!AB646</f>
        <v/>
      </c>
      <c r="E640" s="46">
        <f>IF(OR(B640="",C640="",D640=""),"",D640*100000+(C640-DATE(2000,1,1))+ROW()/100000)</f>
        <v/>
      </c>
      <c r="F640" s="46">
        <f>IF(E640="","",IF(C640&gt;WeekEndDate,"",E640))</f>
        <v/>
      </c>
    </row>
    <row r="641">
      <c r="A641" t="inlineStr">
        <is>
          <t>Selections &amp; Orders</t>
        </is>
      </c>
      <c r="B641" s="46">
        <f>'Selections &amp; Orders'!AC647</f>
        <v/>
      </c>
      <c r="C641" s="84">
        <f>'Selections &amp; Orders'!AA647</f>
        <v/>
      </c>
      <c r="D641" s="46">
        <f>'Selections &amp; Orders'!AB647</f>
        <v/>
      </c>
      <c r="E641" s="46">
        <f>IF(OR(B641="",C641="",D641=""),"",D641*100000+(C641-DATE(2000,1,1))+ROW()/100000)</f>
        <v/>
      </c>
      <c r="F641" s="46">
        <f>IF(E641="","",IF(C641&gt;WeekEndDate,"",E641))</f>
        <v/>
      </c>
    </row>
    <row r="642">
      <c r="A642" t="inlineStr">
        <is>
          <t>Selections &amp; Orders</t>
        </is>
      </c>
      <c r="B642" s="46">
        <f>'Selections &amp; Orders'!AC648</f>
        <v/>
      </c>
      <c r="C642" s="84">
        <f>'Selections &amp; Orders'!AA648</f>
        <v/>
      </c>
      <c r="D642" s="46">
        <f>'Selections &amp; Orders'!AB648</f>
        <v/>
      </c>
      <c r="E642" s="46">
        <f>IF(OR(B642="",C642="",D642=""),"",D642*100000+(C642-DATE(2000,1,1))+ROW()/100000)</f>
        <v/>
      </c>
      <c r="F642" s="46">
        <f>IF(E642="","",IF(C642&gt;WeekEndDate,"",E642))</f>
        <v/>
      </c>
    </row>
    <row r="643">
      <c r="A643" t="inlineStr">
        <is>
          <t>Selections &amp; Orders</t>
        </is>
      </c>
      <c r="B643" s="46">
        <f>'Selections &amp; Orders'!AC649</f>
        <v/>
      </c>
      <c r="C643" s="84">
        <f>'Selections &amp; Orders'!AA649</f>
        <v/>
      </c>
      <c r="D643" s="46">
        <f>'Selections &amp; Orders'!AB649</f>
        <v/>
      </c>
      <c r="E643" s="46">
        <f>IF(OR(B643="",C643="",D643=""),"",D643*100000+(C643-DATE(2000,1,1))+ROW()/100000)</f>
        <v/>
      </c>
      <c r="F643" s="46">
        <f>IF(E643="","",IF(C643&gt;WeekEndDate,"",E643))</f>
        <v/>
      </c>
    </row>
    <row r="644">
      <c r="A644" t="inlineStr">
        <is>
          <t>Selections &amp; Orders</t>
        </is>
      </c>
      <c r="B644" s="46">
        <f>'Selections &amp; Orders'!AC650</f>
        <v/>
      </c>
      <c r="C644" s="84">
        <f>'Selections &amp; Orders'!AA650</f>
        <v/>
      </c>
      <c r="D644" s="46">
        <f>'Selections &amp; Orders'!AB650</f>
        <v/>
      </c>
      <c r="E644" s="46">
        <f>IF(OR(B644="",C644="",D644=""),"",D644*100000+(C644-DATE(2000,1,1))+ROW()/100000)</f>
        <v/>
      </c>
      <c r="F644" s="46">
        <f>IF(E644="","",IF(C644&gt;WeekEndDate,"",E644))</f>
        <v/>
      </c>
    </row>
    <row r="645">
      <c r="A645" t="inlineStr">
        <is>
          <t>Selections &amp; Orders</t>
        </is>
      </c>
      <c r="B645" s="46">
        <f>'Selections &amp; Orders'!AC651</f>
        <v/>
      </c>
      <c r="C645" s="84">
        <f>'Selections &amp; Orders'!AA651</f>
        <v/>
      </c>
      <c r="D645" s="46">
        <f>'Selections &amp; Orders'!AB651</f>
        <v/>
      </c>
      <c r="E645" s="46">
        <f>IF(OR(B645="",C645="",D645=""),"",D645*100000+(C645-DATE(2000,1,1))+ROW()/100000)</f>
        <v/>
      </c>
      <c r="F645" s="46">
        <f>IF(E645="","",IF(C645&gt;WeekEndDate,"",E645))</f>
        <v/>
      </c>
    </row>
    <row r="646">
      <c r="A646" t="inlineStr">
        <is>
          <t>Selections &amp; Orders</t>
        </is>
      </c>
      <c r="B646" s="46">
        <f>'Selections &amp; Orders'!AC652</f>
        <v/>
      </c>
      <c r="C646" s="84">
        <f>'Selections &amp; Orders'!AA652</f>
        <v/>
      </c>
      <c r="D646" s="46">
        <f>'Selections &amp; Orders'!AB652</f>
        <v/>
      </c>
      <c r="E646" s="46">
        <f>IF(OR(B646="",C646="",D646=""),"",D646*100000+(C646-DATE(2000,1,1))+ROW()/100000)</f>
        <v/>
      </c>
      <c r="F646" s="46">
        <f>IF(E646="","",IF(C646&gt;WeekEndDate,"",E646))</f>
        <v/>
      </c>
    </row>
    <row r="647">
      <c r="A647" t="inlineStr">
        <is>
          <t>Selections &amp; Orders</t>
        </is>
      </c>
      <c r="B647" s="46">
        <f>'Selections &amp; Orders'!AC653</f>
        <v/>
      </c>
      <c r="C647" s="84">
        <f>'Selections &amp; Orders'!AA653</f>
        <v/>
      </c>
      <c r="D647" s="46">
        <f>'Selections &amp; Orders'!AB653</f>
        <v/>
      </c>
      <c r="E647" s="46">
        <f>IF(OR(B647="",C647="",D647=""),"",D647*100000+(C647-DATE(2000,1,1))+ROW()/100000)</f>
        <v/>
      </c>
      <c r="F647" s="46">
        <f>IF(E647="","",IF(C647&gt;WeekEndDate,"",E647))</f>
        <v/>
      </c>
    </row>
    <row r="648">
      <c r="A648" t="inlineStr">
        <is>
          <t>Selections &amp; Orders</t>
        </is>
      </c>
      <c r="B648" s="46">
        <f>'Selections &amp; Orders'!AC654</f>
        <v/>
      </c>
      <c r="C648" s="84">
        <f>'Selections &amp; Orders'!AA654</f>
        <v/>
      </c>
      <c r="D648" s="46">
        <f>'Selections &amp; Orders'!AB654</f>
        <v/>
      </c>
      <c r="E648" s="46">
        <f>IF(OR(B648="",C648="",D648=""),"",D648*100000+(C648-DATE(2000,1,1))+ROW()/100000)</f>
        <v/>
      </c>
      <c r="F648" s="46">
        <f>IF(E648="","",IF(C648&gt;WeekEndDate,"",E648))</f>
        <v/>
      </c>
    </row>
    <row r="649">
      <c r="A649" t="inlineStr">
        <is>
          <t>Selections &amp; Orders</t>
        </is>
      </c>
      <c r="B649" s="46">
        <f>'Selections &amp; Orders'!AC655</f>
        <v/>
      </c>
      <c r="C649" s="84">
        <f>'Selections &amp; Orders'!AA655</f>
        <v/>
      </c>
      <c r="D649" s="46">
        <f>'Selections &amp; Orders'!AB655</f>
        <v/>
      </c>
      <c r="E649" s="46">
        <f>IF(OR(B649="",C649="",D649=""),"",D649*100000+(C649-DATE(2000,1,1))+ROW()/100000)</f>
        <v/>
      </c>
      <c r="F649" s="46">
        <f>IF(E649="","",IF(C649&gt;WeekEndDate,"",E649))</f>
        <v/>
      </c>
    </row>
    <row r="650">
      <c r="A650" t="inlineStr">
        <is>
          <t>Selections &amp; Orders</t>
        </is>
      </c>
      <c r="B650" s="46">
        <f>'Selections &amp; Orders'!AC656</f>
        <v/>
      </c>
      <c r="C650" s="84">
        <f>'Selections &amp; Orders'!AA656</f>
        <v/>
      </c>
      <c r="D650" s="46">
        <f>'Selections &amp; Orders'!AB656</f>
        <v/>
      </c>
      <c r="E650" s="46">
        <f>IF(OR(B650="",C650="",D650=""),"",D650*100000+(C650-DATE(2000,1,1))+ROW()/100000)</f>
        <v/>
      </c>
      <c r="F650" s="46">
        <f>IF(E650="","",IF(C650&gt;WeekEndDate,"",E650))</f>
        <v/>
      </c>
    </row>
    <row r="651">
      <c r="A651" t="inlineStr">
        <is>
          <t>Selections &amp; Orders</t>
        </is>
      </c>
      <c r="B651" s="46">
        <f>'Selections &amp; Orders'!AC657</f>
        <v/>
      </c>
      <c r="C651" s="84">
        <f>'Selections &amp; Orders'!AA657</f>
        <v/>
      </c>
      <c r="D651" s="46">
        <f>'Selections &amp; Orders'!AB657</f>
        <v/>
      </c>
      <c r="E651" s="46">
        <f>IF(OR(B651="",C651="",D651=""),"",D651*100000+(C651-DATE(2000,1,1))+ROW()/100000)</f>
        <v/>
      </c>
      <c r="F651" s="46">
        <f>IF(E651="","",IF(C651&gt;WeekEndDate,"",E651))</f>
        <v/>
      </c>
    </row>
    <row r="652">
      <c r="A652" t="inlineStr">
        <is>
          <t>Selections &amp; Orders</t>
        </is>
      </c>
      <c r="B652" s="46">
        <f>'Selections &amp; Orders'!AC658</f>
        <v/>
      </c>
      <c r="C652" s="84">
        <f>'Selections &amp; Orders'!AA658</f>
        <v/>
      </c>
      <c r="D652" s="46">
        <f>'Selections &amp; Orders'!AB658</f>
        <v/>
      </c>
      <c r="E652" s="46">
        <f>IF(OR(B652="",C652="",D652=""),"",D652*100000+(C652-DATE(2000,1,1))+ROW()/100000)</f>
        <v/>
      </c>
      <c r="F652" s="46">
        <f>IF(E652="","",IF(C652&gt;WeekEndDate,"",E652))</f>
        <v/>
      </c>
    </row>
    <row r="653">
      <c r="A653" t="inlineStr">
        <is>
          <t>Selections &amp; Orders</t>
        </is>
      </c>
      <c r="B653" s="46">
        <f>'Selections &amp; Orders'!AC659</f>
        <v/>
      </c>
      <c r="C653" s="84">
        <f>'Selections &amp; Orders'!AA659</f>
        <v/>
      </c>
      <c r="D653" s="46">
        <f>'Selections &amp; Orders'!AB659</f>
        <v/>
      </c>
      <c r="E653" s="46">
        <f>IF(OR(B653="",C653="",D653=""),"",D653*100000+(C653-DATE(2000,1,1))+ROW()/100000)</f>
        <v/>
      </c>
      <c r="F653" s="46">
        <f>IF(E653="","",IF(C653&gt;WeekEndDate,"",E653))</f>
        <v/>
      </c>
    </row>
    <row r="654">
      <c r="A654" t="inlineStr">
        <is>
          <t>Selections &amp; Orders</t>
        </is>
      </c>
      <c r="B654" s="46">
        <f>'Selections &amp; Orders'!AC660</f>
        <v/>
      </c>
      <c r="C654" s="84">
        <f>'Selections &amp; Orders'!AA660</f>
        <v/>
      </c>
      <c r="D654" s="46">
        <f>'Selections &amp; Orders'!AB660</f>
        <v/>
      </c>
      <c r="E654" s="46">
        <f>IF(OR(B654="",C654="",D654=""),"",D654*100000+(C654-DATE(2000,1,1))+ROW()/100000)</f>
        <v/>
      </c>
      <c r="F654" s="46">
        <f>IF(E654="","",IF(C654&gt;WeekEndDate,"",E654))</f>
        <v/>
      </c>
    </row>
    <row r="655">
      <c r="A655" t="inlineStr">
        <is>
          <t>Selections &amp; Orders</t>
        </is>
      </c>
      <c r="B655" s="46">
        <f>'Selections &amp; Orders'!AC661</f>
        <v/>
      </c>
      <c r="C655" s="84">
        <f>'Selections &amp; Orders'!AA661</f>
        <v/>
      </c>
      <c r="D655" s="46">
        <f>'Selections &amp; Orders'!AB661</f>
        <v/>
      </c>
      <c r="E655" s="46">
        <f>IF(OR(B655="",C655="",D655=""),"",D655*100000+(C655-DATE(2000,1,1))+ROW()/100000)</f>
        <v/>
      </c>
      <c r="F655" s="46">
        <f>IF(E655="","",IF(C655&gt;WeekEndDate,"",E655))</f>
        <v/>
      </c>
    </row>
    <row r="656">
      <c r="A656" t="inlineStr">
        <is>
          <t>Selections &amp; Orders</t>
        </is>
      </c>
      <c r="B656" s="46">
        <f>'Selections &amp; Orders'!AC662</f>
        <v/>
      </c>
      <c r="C656" s="84">
        <f>'Selections &amp; Orders'!AA662</f>
        <v/>
      </c>
      <c r="D656" s="46">
        <f>'Selections &amp; Orders'!AB662</f>
        <v/>
      </c>
      <c r="E656" s="46">
        <f>IF(OR(B656="",C656="",D656=""),"",D656*100000+(C656-DATE(2000,1,1))+ROW()/100000)</f>
        <v/>
      </c>
      <c r="F656" s="46">
        <f>IF(E656="","",IF(C656&gt;WeekEndDate,"",E656))</f>
        <v/>
      </c>
    </row>
    <row r="657">
      <c r="A657" t="inlineStr">
        <is>
          <t>Selections &amp; Orders</t>
        </is>
      </c>
      <c r="B657" s="46">
        <f>'Selections &amp; Orders'!AC663</f>
        <v/>
      </c>
      <c r="C657" s="84">
        <f>'Selections &amp; Orders'!AA663</f>
        <v/>
      </c>
      <c r="D657" s="46">
        <f>'Selections &amp; Orders'!AB663</f>
        <v/>
      </c>
      <c r="E657" s="46">
        <f>IF(OR(B657="",C657="",D657=""),"",D657*100000+(C657-DATE(2000,1,1))+ROW()/100000)</f>
        <v/>
      </c>
      <c r="F657" s="46">
        <f>IF(E657="","",IF(C657&gt;WeekEndDate,"",E657))</f>
        <v/>
      </c>
    </row>
    <row r="658">
      <c r="A658" t="inlineStr">
        <is>
          <t>Selections &amp; Orders</t>
        </is>
      </c>
      <c r="B658" s="46">
        <f>'Selections &amp; Orders'!AC664</f>
        <v/>
      </c>
      <c r="C658" s="84">
        <f>'Selections &amp; Orders'!AA664</f>
        <v/>
      </c>
      <c r="D658" s="46">
        <f>'Selections &amp; Orders'!AB664</f>
        <v/>
      </c>
      <c r="E658" s="46">
        <f>IF(OR(B658="",C658="",D658=""),"",D658*100000+(C658-DATE(2000,1,1))+ROW()/100000)</f>
        <v/>
      </c>
      <c r="F658" s="46">
        <f>IF(E658="","",IF(C658&gt;WeekEndDate,"",E658))</f>
        <v/>
      </c>
    </row>
    <row r="659">
      <c r="A659" t="inlineStr">
        <is>
          <t>Selections &amp; Orders</t>
        </is>
      </c>
      <c r="B659" s="46">
        <f>'Selections &amp; Orders'!AC665</f>
        <v/>
      </c>
      <c r="C659" s="84">
        <f>'Selections &amp; Orders'!AA665</f>
        <v/>
      </c>
      <c r="D659" s="46">
        <f>'Selections &amp; Orders'!AB665</f>
        <v/>
      </c>
      <c r="E659" s="46">
        <f>IF(OR(B659="",C659="",D659=""),"",D659*100000+(C659-DATE(2000,1,1))+ROW()/100000)</f>
        <v/>
      </c>
      <c r="F659" s="46">
        <f>IF(E659="","",IF(C659&gt;WeekEndDate,"",E659))</f>
        <v/>
      </c>
    </row>
    <row r="660">
      <c r="A660" t="inlineStr">
        <is>
          <t>Selections &amp; Orders</t>
        </is>
      </c>
      <c r="B660" s="46">
        <f>'Selections &amp; Orders'!AC666</f>
        <v/>
      </c>
      <c r="C660" s="84">
        <f>'Selections &amp; Orders'!AA666</f>
        <v/>
      </c>
      <c r="D660" s="46">
        <f>'Selections &amp; Orders'!AB666</f>
        <v/>
      </c>
      <c r="E660" s="46">
        <f>IF(OR(B660="",C660="",D660=""),"",D660*100000+(C660-DATE(2000,1,1))+ROW()/100000)</f>
        <v/>
      </c>
      <c r="F660" s="46">
        <f>IF(E660="","",IF(C660&gt;WeekEndDate,"",E660))</f>
        <v/>
      </c>
    </row>
    <row r="661">
      <c r="A661" t="inlineStr">
        <is>
          <t>Selections &amp; Orders</t>
        </is>
      </c>
      <c r="B661" s="46">
        <f>'Selections &amp; Orders'!AC667</f>
        <v/>
      </c>
      <c r="C661" s="84">
        <f>'Selections &amp; Orders'!AA667</f>
        <v/>
      </c>
      <c r="D661" s="46">
        <f>'Selections &amp; Orders'!AB667</f>
        <v/>
      </c>
      <c r="E661" s="46">
        <f>IF(OR(B661="",C661="",D661=""),"",D661*100000+(C661-DATE(2000,1,1))+ROW()/100000)</f>
        <v/>
      </c>
      <c r="F661" s="46">
        <f>IF(E661="","",IF(C661&gt;WeekEndDate,"",E661))</f>
        <v/>
      </c>
    </row>
    <row r="662">
      <c r="A662" t="inlineStr">
        <is>
          <t>Selections &amp; Orders</t>
        </is>
      </c>
      <c r="B662" s="46">
        <f>'Selections &amp; Orders'!AC668</f>
        <v/>
      </c>
      <c r="C662" s="84">
        <f>'Selections &amp; Orders'!AA668</f>
        <v/>
      </c>
      <c r="D662" s="46">
        <f>'Selections &amp; Orders'!AB668</f>
        <v/>
      </c>
      <c r="E662" s="46">
        <f>IF(OR(B662="",C662="",D662=""),"",D662*100000+(C662-DATE(2000,1,1))+ROW()/100000)</f>
        <v/>
      </c>
      <c r="F662" s="46">
        <f>IF(E662="","",IF(C662&gt;WeekEndDate,"",E662))</f>
        <v/>
      </c>
    </row>
    <row r="663">
      <c r="A663" t="inlineStr">
        <is>
          <t>Selections &amp; Orders</t>
        </is>
      </c>
      <c r="B663" s="46">
        <f>'Selections &amp; Orders'!AC669</f>
        <v/>
      </c>
      <c r="C663" s="84">
        <f>'Selections &amp; Orders'!AA669</f>
        <v/>
      </c>
      <c r="D663" s="46">
        <f>'Selections &amp; Orders'!AB669</f>
        <v/>
      </c>
      <c r="E663" s="46">
        <f>IF(OR(B663="",C663="",D663=""),"",D663*100000+(C663-DATE(2000,1,1))+ROW()/100000)</f>
        <v/>
      </c>
      <c r="F663" s="46">
        <f>IF(E663="","",IF(C663&gt;WeekEndDate,"",E663))</f>
        <v/>
      </c>
    </row>
    <row r="664">
      <c r="A664" t="inlineStr">
        <is>
          <t>Selections &amp; Orders</t>
        </is>
      </c>
      <c r="B664" s="46">
        <f>'Selections &amp; Orders'!AC670</f>
        <v/>
      </c>
      <c r="C664" s="84">
        <f>'Selections &amp; Orders'!AA670</f>
        <v/>
      </c>
      <c r="D664" s="46">
        <f>'Selections &amp; Orders'!AB670</f>
        <v/>
      </c>
      <c r="E664" s="46">
        <f>IF(OR(B664="",C664="",D664=""),"",D664*100000+(C664-DATE(2000,1,1))+ROW()/100000)</f>
        <v/>
      </c>
      <c r="F664" s="46">
        <f>IF(E664="","",IF(C664&gt;WeekEndDate,"",E664))</f>
        <v/>
      </c>
    </row>
    <row r="665">
      <c r="A665" t="inlineStr">
        <is>
          <t>Selections &amp; Orders</t>
        </is>
      </c>
      <c r="B665" s="46">
        <f>'Selections &amp; Orders'!AC671</f>
        <v/>
      </c>
      <c r="C665" s="84">
        <f>'Selections &amp; Orders'!AA671</f>
        <v/>
      </c>
      <c r="D665" s="46">
        <f>'Selections &amp; Orders'!AB671</f>
        <v/>
      </c>
      <c r="E665" s="46">
        <f>IF(OR(B665="",C665="",D665=""),"",D665*100000+(C665-DATE(2000,1,1))+ROW()/100000)</f>
        <v/>
      </c>
      <c r="F665" s="46">
        <f>IF(E665="","",IF(C665&gt;WeekEndDate,"",E665))</f>
        <v/>
      </c>
    </row>
    <row r="666">
      <c r="A666" t="inlineStr">
        <is>
          <t>Selections &amp; Orders</t>
        </is>
      </c>
      <c r="B666" s="46">
        <f>'Selections &amp; Orders'!AC672</f>
        <v/>
      </c>
      <c r="C666" s="84">
        <f>'Selections &amp; Orders'!AA672</f>
        <v/>
      </c>
      <c r="D666" s="46">
        <f>'Selections &amp; Orders'!AB672</f>
        <v/>
      </c>
      <c r="E666" s="46">
        <f>IF(OR(B666="",C666="",D666=""),"",D666*100000+(C666-DATE(2000,1,1))+ROW()/100000)</f>
        <v/>
      </c>
      <c r="F666" s="46">
        <f>IF(E666="","",IF(C666&gt;WeekEndDate,"",E666))</f>
        <v/>
      </c>
    </row>
    <row r="667">
      <c r="A667" t="inlineStr">
        <is>
          <t>Selections &amp; Orders</t>
        </is>
      </c>
      <c r="B667" s="46">
        <f>'Selections &amp; Orders'!AC673</f>
        <v/>
      </c>
      <c r="C667" s="84">
        <f>'Selections &amp; Orders'!AA673</f>
        <v/>
      </c>
      <c r="D667" s="46">
        <f>'Selections &amp; Orders'!AB673</f>
        <v/>
      </c>
      <c r="E667" s="46">
        <f>IF(OR(B667="",C667="",D667=""),"",D667*100000+(C667-DATE(2000,1,1))+ROW()/100000)</f>
        <v/>
      </c>
      <c r="F667" s="46">
        <f>IF(E667="","",IF(C667&gt;WeekEndDate,"",E667))</f>
        <v/>
      </c>
    </row>
    <row r="668">
      <c r="A668" t="inlineStr">
        <is>
          <t>Selections &amp; Orders</t>
        </is>
      </c>
      <c r="B668" s="46">
        <f>'Selections &amp; Orders'!AC674</f>
        <v/>
      </c>
      <c r="C668" s="84">
        <f>'Selections &amp; Orders'!AA674</f>
        <v/>
      </c>
      <c r="D668" s="46">
        <f>'Selections &amp; Orders'!AB674</f>
        <v/>
      </c>
      <c r="E668" s="46">
        <f>IF(OR(B668="",C668="",D668=""),"",D668*100000+(C668-DATE(2000,1,1))+ROW()/100000)</f>
        <v/>
      </c>
      <c r="F668" s="46">
        <f>IF(E668="","",IF(C668&gt;WeekEndDate,"",E668))</f>
        <v/>
      </c>
    </row>
    <row r="669">
      <c r="A669" t="inlineStr">
        <is>
          <t>Selections &amp; Orders</t>
        </is>
      </c>
      <c r="B669" s="46">
        <f>'Selections &amp; Orders'!AC675</f>
        <v/>
      </c>
      <c r="C669" s="84">
        <f>'Selections &amp; Orders'!AA675</f>
        <v/>
      </c>
      <c r="D669" s="46">
        <f>'Selections &amp; Orders'!AB675</f>
        <v/>
      </c>
      <c r="E669" s="46">
        <f>IF(OR(B669="",C669="",D669=""),"",D669*100000+(C669-DATE(2000,1,1))+ROW()/100000)</f>
        <v/>
      </c>
      <c r="F669" s="46">
        <f>IF(E669="","",IF(C669&gt;WeekEndDate,"",E669))</f>
        <v/>
      </c>
    </row>
    <row r="670">
      <c r="A670" t="inlineStr">
        <is>
          <t>Selections &amp; Orders</t>
        </is>
      </c>
      <c r="B670" s="46">
        <f>'Selections &amp; Orders'!AC676</f>
        <v/>
      </c>
      <c r="C670" s="84">
        <f>'Selections &amp; Orders'!AA676</f>
        <v/>
      </c>
      <c r="D670" s="46">
        <f>'Selections &amp; Orders'!AB676</f>
        <v/>
      </c>
      <c r="E670" s="46">
        <f>IF(OR(B670="",C670="",D670=""),"",D670*100000+(C670-DATE(2000,1,1))+ROW()/100000)</f>
        <v/>
      </c>
      <c r="F670" s="46">
        <f>IF(E670="","",IF(C670&gt;WeekEndDate,"",E670))</f>
        <v/>
      </c>
    </row>
    <row r="671">
      <c r="A671" t="inlineStr">
        <is>
          <t>Selections &amp; Orders</t>
        </is>
      </c>
      <c r="B671" s="46">
        <f>'Selections &amp; Orders'!AC677</f>
        <v/>
      </c>
      <c r="C671" s="84">
        <f>'Selections &amp; Orders'!AA677</f>
        <v/>
      </c>
      <c r="D671" s="46">
        <f>'Selections &amp; Orders'!AB677</f>
        <v/>
      </c>
      <c r="E671" s="46">
        <f>IF(OR(B671="",C671="",D671=""),"",D671*100000+(C671-DATE(2000,1,1))+ROW()/100000)</f>
        <v/>
      </c>
      <c r="F671" s="46">
        <f>IF(E671="","",IF(C671&gt;WeekEndDate,"",E671))</f>
        <v/>
      </c>
    </row>
    <row r="672">
      <c r="A672" t="inlineStr">
        <is>
          <t>Selections &amp; Orders</t>
        </is>
      </c>
      <c r="B672" s="46">
        <f>'Selections &amp; Orders'!AC678</f>
        <v/>
      </c>
      <c r="C672" s="84">
        <f>'Selections &amp; Orders'!AA678</f>
        <v/>
      </c>
      <c r="D672" s="46">
        <f>'Selections &amp; Orders'!AB678</f>
        <v/>
      </c>
      <c r="E672" s="46">
        <f>IF(OR(B672="",C672="",D672=""),"",D672*100000+(C672-DATE(2000,1,1))+ROW()/100000)</f>
        <v/>
      </c>
      <c r="F672" s="46">
        <f>IF(E672="","",IF(C672&gt;WeekEndDate,"",E672))</f>
        <v/>
      </c>
    </row>
    <row r="673">
      <c r="A673" t="inlineStr">
        <is>
          <t>Selections &amp; Orders</t>
        </is>
      </c>
      <c r="B673" s="46">
        <f>'Selections &amp; Orders'!AC679</f>
        <v/>
      </c>
      <c r="C673" s="84">
        <f>'Selections &amp; Orders'!AA679</f>
        <v/>
      </c>
      <c r="D673" s="46">
        <f>'Selections &amp; Orders'!AB679</f>
        <v/>
      </c>
      <c r="E673" s="46">
        <f>IF(OR(B673="",C673="",D673=""),"",D673*100000+(C673-DATE(2000,1,1))+ROW()/100000)</f>
        <v/>
      </c>
      <c r="F673" s="46">
        <f>IF(E673="","",IF(C673&gt;WeekEndDate,"",E673))</f>
        <v/>
      </c>
    </row>
    <row r="674">
      <c r="A674" t="inlineStr">
        <is>
          <t>Selections &amp; Orders</t>
        </is>
      </c>
      <c r="B674" s="46">
        <f>'Selections &amp; Orders'!AC680</f>
        <v/>
      </c>
      <c r="C674" s="84">
        <f>'Selections &amp; Orders'!AA680</f>
        <v/>
      </c>
      <c r="D674" s="46">
        <f>'Selections &amp; Orders'!AB680</f>
        <v/>
      </c>
      <c r="E674" s="46">
        <f>IF(OR(B674="",C674="",D674=""),"",D674*100000+(C674-DATE(2000,1,1))+ROW()/100000)</f>
        <v/>
      </c>
      <c r="F674" s="46">
        <f>IF(E674="","",IF(C674&gt;WeekEndDate,"",E674))</f>
        <v/>
      </c>
    </row>
    <row r="675">
      <c r="A675" t="inlineStr">
        <is>
          <t>Selections &amp; Orders</t>
        </is>
      </c>
      <c r="B675" s="46">
        <f>'Selections &amp; Orders'!AC681</f>
        <v/>
      </c>
      <c r="C675" s="84">
        <f>'Selections &amp; Orders'!AA681</f>
        <v/>
      </c>
      <c r="D675" s="46">
        <f>'Selections &amp; Orders'!AB681</f>
        <v/>
      </c>
      <c r="E675" s="46">
        <f>IF(OR(B675="",C675="",D675=""),"",D675*100000+(C675-DATE(2000,1,1))+ROW()/100000)</f>
        <v/>
      </c>
      <c r="F675" s="46">
        <f>IF(E675="","",IF(C675&gt;WeekEndDate,"",E675))</f>
        <v/>
      </c>
    </row>
    <row r="676">
      <c r="A676" t="inlineStr">
        <is>
          <t>Selections &amp; Orders</t>
        </is>
      </c>
      <c r="B676" s="46">
        <f>'Selections &amp; Orders'!AC682</f>
        <v/>
      </c>
      <c r="C676" s="84">
        <f>'Selections &amp; Orders'!AA682</f>
        <v/>
      </c>
      <c r="D676" s="46">
        <f>'Selections &amp; Orders'!AB682</f>
        <v/>
      </c>
      <c r="E676" s="46">
        <f>IF(OR(B676="",C676="",D676=""),"",D676*100000+(C676-DATE(2000,1,1))+ROW()/100000)</f>
        <v/>
      </c>
      <c r="F676" s="46">
        <f>IF(E676="","",IF(C676&gt;WeekEndDate,"",E676))</f>
        <v/>
      </c>
    </row>
    <row r="677">
      <c r="A677" t="inlineStr">
        <is>
          <t>Selections &amp; Orders</t>
        </is>
      </c>
      <c r="B677" s="46">
        <f>'Selections &amp; Orders'!AC683</f>
        <v/>
      </c>
      <c r="C677" s="84">
        <f>'Selections &amp; Orders'!AA683</f>
        <v/>
      </c>
      <c r="D677" s="46">
        <f>'Selections &amp; Orders'!AB683</f>
        <v/>
      </c>
      <c r="E677" s="46">
        <f>IF(OR(B677="",C677="",D677=""),"",D677*100000+(C677-DATE(2000,1,1))+ROW()/100000)</f>
        <v/>
      </c>
      <c r="F677" s="46">
        <f>IF(E677="","",IF(C677&gt;WeekEndDate,"",E677))</f>
        <v/>
      </c>
    </row>
    <row r="678">
      <c r="A678" t="inlineStr">
        <is>
          <t>Selections &amp; Orders</t>
        </is>
      </c>
      <c r="B678" s="46">
        <f>'Selections &amp; Orders'!AC684</f>
        <v/>
      </c>
      <c r="C678" s="84">
        <f>'Selections &amp; Orders'!AA684</f>
        <v/>
      </c>
      <c r="D678" s="46">
        <f>'Selections &amp; Orders'!AB684</f>
        <v/>
      </c>
      <c r="E678" s="46">
        <f>IF(OR(B678="",C678="",D678=""),"",D678*100000+(C678-DATE(2000,1,1))+ROW()/100000)</f>
        <v/>
      </c>
      <c r="F678" s="46">
        <f>IF(E678="","",IF(C678&gt;WeekEndDate,"",E678))</f>
        <v/>
      </c>
    </row>
    <row r="679">
      <c r="A679" t="inlineStr">
        <is>
          <t>Selections &amp; Orders</t>
        </is>
      </c>
      <c r="B679" s="46">
        <f>'Selections &amp; Orders'!AC685</f>
        <v/>
      </c>
      <c r="C679" s="84">
        <f>'Selections &amp; Orders'!AA685</f>
        <v/>
      </c>
      <c r="D679" s="46">
        <f>'Selections &amp; Orders'!AB685</f>
        <v/>
      </c>
      <c r="E679" s="46">
        <f>IF(OR(B679="",C679="",D679=""),"",D679*100000+(C679-DATE(2000,1,1))+ROW()/100000)</f>
        <v/>
      </c>
      <c r="F679" s="46">
        <f>IF(E679="","",IF(C679&gt;WeekEndDate,"",E679))</f>
        <v/>
      </c>
    </row>
    <row r="680">
      <c r="A680" t="inlineStr">
        <is>
          <t>Selections &amp; Orders</t>
        </is>
      </c>
      <c r="B680" s="46">
        <f>'Selections &amp; Orders'!AC686</f>
        <v/>
      </c>
      <c r="C680" s="84">
        <f>'Selections &amp; Orders'!AA686</f>
        <v/>
      </c>
      <c r="D680" s="46">
        <f>'Selections &amp; Orders'!AB686</f>
        <v/>
      </c>
      <c r="E680" s="46">
        <f>IF(OR(B680="",C680="",D680=""),"",D680*100000+(C680-DATE(2000,1,1))+ROW()/100000)</f>
        <v/>
      </c>
      <c r="F680" s="46">
        <f>IF(E680="","",IF(C680&gt;WeekEndDate,"",E680))</f>
        <v/>
      </c>
    </row>
    <row r="681">
      <c r="A681" t="inlineStr">
        <is>
          <t>Selections &amp; Orders</t>
        </is>
      </c>
      <c r="B681" s="46">
        <f>'Selections &amp; Orders'!AC687</f>
        <v/>
      </c>
      <c r="C681" s="84">
        <f>'Selections &amp; Orders'!AA687</f>
        <v/>
      </c>
      <c r="D681" s="46">
        <f>'Selections &amp; Orders'!AB687</f>
        <v/>
      </c>
      <c r="E681" s="46">
        <f>IF(OR(B681="",C681="",D681=""),"",D681*100000+(C681-DATE(2000,1,1))+ROW()/100000)</f>
        <v/>
      </c>
      <c r="F681" s="46">
        <f>IF(E681="","",IF(C681&gt;WeekEndDate,"",E681))</f>
        <v/>
      </c>
    </row>
    <row r="682">
      <c r="A682" t="inlineStr">
        <is>
          <t>Selections &amp; Orders</t>
        </is>
      </c>
      <c r="B682" s="46">
        <f>'Selections &amp; Orders'!AC688</f>
        <v/>
      </c>
      <c r="C682" s="84">
        <f>'Selections &amp; Orders'!AA688</f>
        <v/>
      </c>
      <c r="D682" s="46">
        <f>'Selections &amp; Orders'!AB688</f>
        <v/>
      </c>
      <c r="E682" s="46">
        <f>IF(OR(B682="",C682="",D682=""),"",D682*100000+(C682-DATE(2000,1,1))+ROW()/100000)</f>
        <v/>
      </c>
      <c r="F682" s="46">
        <f>IF(E682="","",IF(C682&gt;WeekEndDate,"",E682))</f>
        <v/>
      </c>
    </row>
    <row r="683">
      <c r="A683" t="inlineStr">
        <is>
          <t>Selections &amp; Orders</t>
        </is>
      </c>
      <c r="B683" s="46">
        <f>'Selections &amp; Orders'!AC689</f>
        <v/>
      </c>
      <c r="C683" s="84">
        <f>'Selections &amp; Orders'!AA689</f>
        <v/>
      </c>
      <c r="D683" s="46">
        <f>'Selections &amp; Orders'!AB689</f>
        <v/>
      </c>
      <c r="E683" s="46">
        <f>IF(OR(B683="",C683="",D683=""),"",D683*100000+(C683-DATE(2000,1,1))+ROW()/100000)</f>
        <v/>
      </c>
      <c r="F683" s="46">
        <f>IF(E683="","",IF(C683&gt;WeekEndDate,"",E683))</f>
        <v/>
      </c>
    </row>
    <row r="684">
      <c r="A684" t="inlineStr">
        <is>
          <t>Selections &amp; Orders</t>
        </is>
      </c>
      <c r="B684" s="46">
        <f>'Selections &amp; Orders'!AC690</f>
        <v/>
      </c>
      <c r="C684" s="84">
        <f>'Selections &amp; Orders'!AA690</f>
        <v/>
      </c>
      <c r="D684" s="46">
        <f>'Selections &amp; Orders'!AB690</f>
        <v/>
      </c>
      <c r="E684" s="46">
        <f>IF(OR(B684="",C684="",D684=""),"",D684*100000+(C684-DATE(2000,1,1))+ROW()/100000)</f>
        <v/>
      </c>
      <c r="F684" s="46">
        <f>IF(E684="","",IF(C684&gt;WeekEndDate,"",E684))</f>
        <v/>
      </c>
    </row>
    <row r="685">
      <c r="A685" t="inlineStr">
        <is>
          <t>Selections &amp; Orders</t>
        </is>
      </c>
      <c r="B685" s="46">
        <f>'Selections &amp; Orders'!AC691</f>
        <v/>
      </c>
      <c r="C685" s="84">
        <f>'Selections &amp; Orders'!AA691</f>
        <v/>
      </c>
      <c r="D685" s="46">
        <f>'Selections &amp; Orders'!AB691</f>
        <v/>
      </c>
      <c r="E685" s="46">
        <f>IF(OR(B685="",C685="",D685=""),"",D685*100000+(C685-DATE(2000,1,1))+ROW()/100000)</f>
        <v/>
      </c>
      <c r="F685" s="46">
        <f>IF(E685="","",IF(C685&gt;WeekEndDate,"",E685))</f>
        <v/>
      </c>
    </row>
    <row r="686">
      <c r="A686" t="inlineStr">
        <is>
          <t>Selections &amp; Orders</t>
        </is>
      </c>
      <c r="B686" s="46">
        <f>'Selections &amp; Orders'!AC692</f>
        <v/>
      </c>
      <c r="C686" s="84">
        <f>'Selections &amp; Orders'!AA692</f>
        <v/>
      </c>
      <c r="D686" s="46">
        <f>'Selections &amp; Orders'!AB692</f>
        <v/>
      </c>
      <c r="E686" s="46">
        <f>IF(OR(B686="",C686="",D686=""),"",D686*100000+(C686-DATE(2000,1,1))+ROW()/100000)</f>
        <v/>
      </c>
      <c r="F686" s="46">
        <f>IF(E686="","",IF(C686&gt;WeekEndDate,"",E686))</f>
        <v/>
      </c>
    </row>
    <row r="687">
      <c r="A687" t="inlineStr">
        <is>
          <t>Selections &amp; Orders</t>
        </is>
      </c>
      <c r="B687" s="46">
        <f>'Selections &amp; Orders'!AC693</f>
        <v/>
      </c>
      <c r="C687" s="84">
        <f>'Selections &amp; Orders'!AA693</f>
        <v/>
      </c>
      <c r="D687" s="46">
        <f>'Selections &amp; Orders'!AB693</f>
        <v/>
      </c>
      <c r="E687" s="46">
        <f>IF(OR(B687="",C687="",D687=""),"",D687*100000+(C687-DATE(2000,1,1))+ROW()/100000)</f>
        <v/>
      </c>
      <c r="F687" s="46">
        <f>IF(E687="","",IF(C687&gt;WeekEndDate,"",E687))</f>
        <v/>
      </c>
    </row>
    <row r="688">
      <c r="A688" t="inlineStr">
        <is>
          <t>Selections &amp; Orders</t>
        </is>
      </c>
      <c r="B688" s="46">
        <f>'Selections &amp; Orders'!AC694</f>
        <v/>
      </c>
      <c r="C688" s="84">
        <f>'Selections &amp; Orders'!AA694</f>
        <v/>
      </c>
      <c r="D688" s="46">
        <f>'Selections &amp; Orders'!AB694</f>
        <v/>
      </c>
      <c r="E688" s="46">
        <f>IF(OR(B688="",C688="",D688=""),"",D688*100000+(C688-DATE(2000,1,1))+ROW()/100000)</f>
        <v/>
      </c>
      <c r="F688" s="46">
        <f>IF(E688="","",IF(C688&gt;WeekEndDate,"",E688))</f>
        <v/>
      </c>
    </row>
    <row r="689">
      <c r="A689" t="inlineStr">
        <is>
          <t>Selections &amp; Orders</t>
        </is>
      </c>
      <c r="B689" s="46">
        <f>'Selections &amp; Orders'!AC695</f>
        <v/>
      </c>
      <c r="C689" s="84">
        <f>'Selections &amp; Orders'!AA695</f>
        <v/>
      </c>
      <c r="D689" s="46">
        <f>'Selections &amp; Orders'!AB695</f>
        <v/>
      </c>
      <c r="E689" s="46">
        <f>IF(OR(B689="",C689="",D689=""),"",D689*100000+(C689-DATE(2000,1,1))+ROW()/100000)</f>
        <v/>
      </c>
      <c r="F689" s="46">
        <f>IF(E689="","",IF(C689&gt;WeekEndDate,"",E689))</f>
        <v/>
      </c>
    </row>
    <row r="690">
      <c r="A690" t="inlineStr">
        <is>
          <t>Selections &amp; Orders</t>
        </is>
      </c>
      <c r="B690" s="46">
        <f>'Selections &amp; Orders'!AC696</f>
        <v/>
      </c>
      <c r="C690" s="84">
        <f>'Selections &amp; Orders'!AA696</f>
        <v/>
      </c>
      <c r="D690" s="46">
        <f>'Selections &amp; Orders'!AB696</f>
        <v/>
      </c>
      <c r="E690" s="46">
        <f>IF(OR(B690="",C690="",D690=""),"",D690*100000+(C690-DATE(2000,1,1))+ROW()/100000)</f>
        <v/>
      </c>
      <c r="F690" s="46">
        <f>IF(E690="","",IF(C690&gt;WeekEndDate,"",E690))</f>
        <v/>
      </c>
    </row>
    <row r="691">
      <c r="A691" t="inlineStr">
        <is>
          <t>Selections &amp; Orders</t>
        </is>
      </c>
      <c r="B691" s="46">
        <f>'Selections &amp; Orders'!AC697</f>
        <v/>
      </c>
      <c r="C691" s="84">
        <f>'Selections &amp; Orders'!AA697</f>
        <v/>
      </c>
      <c r="D691" s="46">
        <f>'Selections &amp; Orders'!AB697</f>
        <v/>
      </c>
      <c r="E691" s="46">
        <f>IF(OR(B691="",C691="",D691=""),"",D691*100000+(C691-DATE(2000,1,1))+ROW()/100000)</f>
        <v/>
      </c>
      <c r="F691" s="46">
        <f>IF(E691="","",IF(C691&gt;WeekEndDate,"",E691))</f>
        <v/>
      </c>
    </row>
    <row r="692">
      <c r="A692" t="inlineStr">
        <is>
          <t>Selections &amp; Orders</t>
        </is>
      </c>
      <c r="B692" s="46">
        <f>'Selections &amp; Orders'!AC698</f>
        <v/>
      </c>
      <c r="C692" s="84">
        <f>'Selections &amp; Orders'!AA698</f>
        <v/>
      </c>
      <c r="D692" s="46">
        <f>'Selections &amp; Orders'!AB698</f>
        <v/>
      </c>
      <c r="E692" s="46">
        <f>IF(OR(B692="",C692="",D692=""),"",D692*100000+(C692-DATE(2000,1,1))+ROW()/100000)</f>
        <v/>
      </c>
      <c r="F692" s="46">
        <f>IF(E692="","",IF(C692&gt;WeekEndDate,"",E692))</f>
        <v/>
      </c>
    </row>
    <row r="693">
      <c r="A693" t="inlineStr">
        <is>
          <t>Selections &amp; Orders</t>
        </is>
      </c>
      <c r="B693" s="46">
        <f>'Selections &amp; Orders'!AC699</f>
        <v/>
      </c>
      <c r="C693" s="84">
        <f>'Selections &amp; Orders'!AA699</f>
        <v/>
      </c>
      <c r="D693" s="46">
        <f>'Selections &amp; Orders'!AB699</f>
        <v/>
      </c>
      <c r="E693" s="46">
        <f>IF(OR(B693="",C693="",D693=""),"",D693*100000+(C693-DATE(2000,1,1))+ROW()/100000)</f>
        <v/>
      </c>
      <c r="F693" s="46">
        <f>IF(E693="","",IF(C693&gt;WeekEndDate,"",E693))</f>
        <v/>
      </c>
    </row>
    <row r="694">
      <c r="A694" t="inlineStr">
        <is>
          <t>Selections &amp; Orders</t>
        </is>
      </c>
      <c r="B694" s="46">
        <f>'Selections &amp; Orders'!AC700</f>
        <v/>
      </c>
      <c r="C694" s="84">
        <f>'Selections &amp; Orders'!AA700</f>
        <v/>
      </c>
      <c r="D694" s="46">
        <f>'Selections &amp; Orders'!AB700</f>
        <v/>
      </c>
      <c r="E694" s="46">
        <f>IF(OR(B694="",C694="",D694=""),"",D694*100000+(C694-DATE(2000,1,1))+ROW()/100000)</f>
        <v/>
      </c>
      <c r="F694" s="46">
        <f>IF(E694="","",IF(C694&gt;WeekEndDate,"",E694))</f>
        <v/>
      </c>
    </row>
    <row r="695">
      <c r="A695" t="inlineStr">
        <is>
          <t>Selections &amp; Orders</t>
        </is>
      </c>
      <c r="B695" s="46">
        <f>'Selections &amp; Orders'!AC701</f>
        <v/>
      </c>
      <c r="C695" s="84">
        <f>'Selections &amp; Orders'!AA701</f>
        <v/>
      </c>
      <c r="D695" s="46">
        <f>'Selections &amp; Orders'!AB701</f>
        <v/>
      </c>
      <c r="E695" s="46">
        <f>IF(OR(B695="",C695="",D695=""),"",D695*100000+(C695-DATE(2000,1,1))+ROW()/100000)</f>
        <v/>
      </c>
      <c r="F695" s="46">
        <f>IF(E695="","",IF(C695&gt;WeekEndDate,"",E695))</f>
        <v/>
      </c>
    </row>
    <row r="696">
      <c r="A696" t="inlineStr">
        <is>
          <t>Selections &amp; Orders</t>
        </is>
      </c>
      <c r="B696" s="46">
        <f>'Selections &amp; Orders'!AC702</f>
        <v/>
      </c>
      <c r="C696" s="84">
        <f>'Selections &amp; Orders'!AA702</f>
        <v/>
      </c>
      <c r="D696" s="46">
        <f>'Selections &amp; Orders'!AB702</f>
        <v/>
      </c>
      <c r="E696" s="46">
        <f>IF(OR(B696="",C696="",D696=""),"",D696*100000+(C696-DATE(2000,1,1))+ROW()/100000)</f>
        <v/>
      </c>
      <c r="F696" s="46">
        <f>IF(E696="","",IF(C696&gt;WeekEndDate,"",E696))</f>
        <v/>
      </c>
    </row>
    <row r="697">
      <c r="A697" t="inlineStr">
        <is>
          <t>Selections &amp; Orders</t>
        </is>
      </c>
      <c r="B697" s="46">
        <f>'Selections &amp; Orders'!AC703</f>
        <v/>
      </c>
      <c r="C697" s="84">
        <f>'Selections &amp; Orders'!AA703</f>
        <v/>
      </c>
      <c r="D697" s="46">
        <f>'Selections &amp; Orders'!AB703</f>
        <v/>
      </c>
      <c r="E697" s="46">
        <f>IF(OR(B697="",C697="",D697=""),"",D697*100000+(C697-DATE(2000,1,1))+ROW()/100000)</f>
        <v/>
      </c>
      <c r="F697" s="46">
        <f>IF(E697="","",IF(C697&gt;WeekEndDate,"",E697))</f>
        <v/>
      </c>
    </row>
    <row r="698">
      <c r="A698" t="inlineStr">
        <is>
          <t>Selections &amp; Orders</t>
        </is>
      </c>
      <c r="B698" s="46">
        <f>'Selections &amp; Orders'!AC704</f>
        <v/>
      </c>
      <c r="C698" s="84">
        <f>'Selections &amp; Orders'!AA704</f>
        <v/>
      </c>
      <c r="D698" s="46">
        <f>'Selections &amp; Orders'!AB704</f>
        <v/>
      </c>
      <c r="E698" s="46">
        <f>IF(OR(B698="",C698="",D698=""),"",D698*100000+(C698-DATE(2000,1,1))+ROW()/100000)</f>
        <v/>
      </c>
      <c r="F698" s="46">
        <f>IF(E698="","",IF(C698&gt;WeekEndDate,"",E698))</f>
        <v/>
      </c>
    </row>
    <row r="699">
      <c r="A699" t="inlineStr">
        <is>
          <t>Selections &amp; Orders</t>
        </is>
      </c>
      <c r="B699" s="46">
        <f>'Selections &amp; Orders'!AC705</f>
        <v/>
      </c>
      <c r="C699" s="84">
        <f>'Selections &amp; Orders'!AA705</f>
        <v/>
      </c>
      <c r="D699" s="46">
        <f>'Selections &amp; Orders'!AB705</f>
        <v/>
      </c>
      <c r="E699" s="46">
        <f>IF(OR(B699="",C699="",D699=""),"",D699*100000+(C699-DATE(2000,1,1))+ROW()/100000)</f>
        <v/>
      </c>
      <c r="F699" s="46">
        <f>IF(E699="","",IF(C699&gt;WeekEndDate,"",E699))</f>
        <v/>
      </c>
    </row>
    <row r="700">
      <c r="A700" t="inlineStr">
        <is>
          <t>Selections &amp; Orders</t>
        </is>
      </c>
      <c r="B700" s="46">
        <f>'Selections &amp; Orders'!AC706</f>
        <v/>
      </c>
      <c r="C700" s="84">
        <f>'Selections &amp; Orders'!AA706</f>
        <v/>
      </c>
      <c r="D700" s="46">
        <f>'Selections &amp; Orders'!AB706</f>
        <v/>
      </c>
      <c r="E700" s="46">
        <f>IF(OR(B700="",C700="",D700=""),"",D700*100000+(C700-DATE(2000,1,1))+ROW()/100000)</f>
        <v/>
      </c>
      <c r="F700" s="46">
        <f>IF(E700="","",IF(C700&gt;WeekEndDate,"",E700))</f>
        <v/>
      </c>
    </row>
    <row r="701">
      <c r="A701" t="inlineStr">
        <is>
          <t>Selections &amp; Orders</t>
        </is>
      </c>
      <c r="B701" s="46">
        <f>'Selections &amp; Orders'!AC707</f>
        <v/>
      </c>
      <c r="C701" s="84">
        <f>'Selections &amp; Orders'!AA707</f>
        <v/>
      </c>
      <c r="D701" s="46">
        <f>'Selections &amp; Orders'!AB707</f>
        <v/>
      </c>
      <c r="E701" s="46">
        <f>IF(OR(B701="",C701="",D701=""),"",D701*100000+(C701-DATE(2000,1,1))+ROW()/100000)</f>
        <v/>
      </c>
      <c r="F701" s="46">
        <f>IF(E701="","",IF(C701&gt;WeekEndDate,"",E701))</f>
        <v/>
      </c>
    </row>
    <row r="702">
      <c r="A702" t="inlineStr">
        <is>
          <t>Selections &amp; Orders</t>
        </is>
      </c>
      <c r="B702" s="46">
        <f>'Selections &amp; Orders'!AC708</f>
        <v/>
      </c>
      <c r="C702" s="84">
        <f>'Selections &amp; Orders'!AA708</f>
        <v/>
      </c>
      <c r="D702" s="46">
        <f>'Selections &amp; Orders'!AB708</f>
        <v/>
      </c>
      <c r="E702" s="46">
        <f>IF(OR(B702="",C702="",D702=""),"",D702*100000+(C702-DATE(2000,1,1))+ROW()/100000)</f>
        <v/>
      </c>
      <c r="F702" s="46">
        <f>IF(E702="","",IF(C702&gt;WeekEndDate,"",E702))</f>
        <v/>
      </c>
    </row>
    <row r="703">
      <c r="A703" t="inlineStr">
        <is>
          <t>Selections &amp; Orders</t>
        </is>
      </c>
      <c r="B703" s="46">
        <f>'Selections &amp; Orders'!AC709</f>
        <v/>
      </c>
      <c r="C703" s="84">
        <f>'Selections &amp; Orders'!AA709</f>
        <v/>
      </c>
      <c r="D703" s="46">
        <f>'Selections &amp; Orders'!AB709</f>
        <v/>
      </c>
      <c r="E703" s="46">
        <f>IF(OR(B703="",C703="",D703=""),"",D703*100000+(C703-DATE(2000,1,1))+ROW()/100000)</f>
        <v/>
      </c>
      <c r="F703" s="46">
        <f>IF(E703="","",IF(C703&gt;WeekEndDate,"",E703))</f>
        <v/>
      </c>
    </row>
    <row r="704">
      <c r="A704" t="inlineStr">
        <is>
          <t>Selections &amp; Orders</t>
        </is>
      </c>
      <c r="B704" s="46">
        <f>'Selections &amp; Orders'!AC710</f>
        <v/>
      </c>
      <c r="C704" s="84">
        <f>'Selections &amp; Orders'!AA710</f>
        <v/>
      </c>
      <c r="D704" s="46">
        <f>'Selections &amp; Orders'!AB710</f>
        <v/>
      </c>
      <c r="E704" s="46">
        <f>IF(OR(B704="",C704="",D704=""),"",D704*100000+(C704-DATE(2000,1,1))+ROW()/100000)</f>
        <v/>
      </c>
      <c r="F704" s="46">
        <f>IF(E704="","",IF(C704&gt;WeekEndDate,"",E704))</f>
        <v/>
      </c>
    </row>
    <row r="705">
      <c r="A705" t="inlineStr">
        <is>
          <t>Selections &amp; Orders</t>
        </is>
      </c>
      <c r="B705" s="46">
        <f>'Selections &amp; Orders'!AC711</f>
        <v/>
      </c>
      <c r="C705" s="84">
        <f>'Selections &amp; Orders'!AA711</f>
        <v/>
      </c>
      <c r="D705" s="46">
        <f>'Selections &amp; Orders'!AB711</f>
        <v/>
      </c>
      <c r="E705" s="46">
        <f>IF(OR(B705="",C705="",D705=""),"",D705*100000+(C705-DATE(2000,1,1))+ROW()/100000)</f>
        <v/>
      </c>
      <c r="F705" s="46">
        <f>IF(E705="","",IF(C705&gt;WeekEndDate,"",E705))</f>
        <v/>
      </c>
    </row>
    <row r="706">
      <c r="A706" t="inlineStr">
        <is>
          <t>Selections &amp; Orders</t>
        </is>
      </c>
      <c r="B706" s="46">
        <f>'Selections &amp; Orders'!AC712</f>
        <v/>
      </c>
      <c r="C706" s="84">
        <f>'Selections &amp; Orders'!AA712</f>
        <v/>
      </c>
      <c r="D706" s="46">
        <f>'Selections &amp; Orders'!AB712</f>
        <v/>
      </c>
      <c r="E706" s="46">
        <f>IF(OR(B706="",C706="",D706=""),"",D706*100000+(C706-DATE(2000,1,1))+ROW()/100000)</f>
        <v/>
      </c>
      <c r="F706" s="46">
        <f>IF(E706="","",IF(C706&gt;WeekEndDate,"",E706))</f>
        <v/>
      </c>
    </row>
    <row r="707">
      <c r="A707" t="inlineStr">
        <is>
          <t>Selections &amp; Orders</t>
        </is>
      </c>
      <c r="B707" s="46">
        <f>'Selections &amp; Orders'!AC713</f>
        <v/>
      </c>
      <c r="C707" s="84">
        <f>'Selections &amp; Orders'!AA713</f>
        <v/>
      </c>
      <c r="D707" s="46">
        <f>'Selections &amp; Orders'!AB713</f>
        <v/>
      </c>
      <c r="E707" s="46">
        <f>IF(OR(B707="",C707="",D707=""),"",D707*100000+(C707-DATE(2000,1,1))+ROW()/100000)</f>
        <v/>
      </c>
      <c r="F707" s="46">
        <f>IF(E707="","",IF(C707&gt;WeekEndDate,"",E707))</f>
        <v/>
      </c>
    </row>
    <row r="708">
      <c r="A708" t="inlineStr">
        <is>
          <t>Selections &amp; Orders</t>
        </is>
      </c>
      <c r="B708" s="46">
        <f>'Selections &amp; Orders'!AC714</f>
        <v/>
      </c>
      <c r="C708" s="84">
        <f>'Selections &amp; Orders'!AA714</f>
        <v/>
      </c>
      <c r="D708" s="46">
        <f>'Selections &amp; Orders'!AB714</f>
        <v/>
      </c>
      <c r="E708" s="46">
        <f>IF(OR(B708="",C708="",D708=""),"",D708*100000+(C708-DATE(2000,1,1))+ROW()/100000)</f>
        <v/>
      </c>
      <c r="F708" s="46">
        <f>IF(E708="","",IF(C708&gt;WeekEndDate,"",E708))</f>
        <v/>
      </c>
    </row>
    <row r="709">
      <c r="A709" t="inlineStr">
        <is>
          <t>Selections &amp; Orders</t>
        </is>
      </c>
      <c r="B709" s="46">
        <f>'Selections &amp; Orders'!AC715</f>
        <v/>
      </c>
      <c r="C709" s="84">
        <f>'Selections &amp; Orders'!AA715</f>
        <v/>
      </c>
      <c r="D709" s="46">
        <f>'Selections &amp; Orders'!AB715</f>
        <v/>
      </c>
      <c r="E709" s="46">
        <f>IF(OR(B709="",C709="",D709=""),"",D709*100000+(C709-DATE(2000,1,1))+ROW()/100000)</f>
        <v/>
      </c>
      <c r="F709" s="46">
        <f>IF(E709="","",IF(C709&gt;WeekEndDate,"",E709))</f>
        <v/>
      </c>
    </row>
    <row r="710">
      <c r="A710" t="inlineStr">
        <is>
          <t>Selections &amp; Orders</t>
        </is>
      </c>
      <c r="B710" s="46">
        <f>'Selections &amp; Orders'!AC716</f>
        <v/>
      </c>
      <c r="C710" s="84">
        <f>'Selections &amp; Orders'!AA716</f>
        <v/>
      </c>
      <c r="D710" s="46">
        <f>'Selections &amp; Orders'!AB716</f>
        <v/>
      </c>
      <c r="E710" s="46">
        <f>IF(OR(B710="",C710="",D710=""),"",D710*100000+(C710-DATE(2000,1,1))+ROW()/100000)</f>
        <v/>
      </c>
      <c r="F710" s="46">
        <f>IF(E710="","",IF(C710&gt;WeekEndDate,"",E710))</f>
        <v/>
      </c>
    </row>
    <row r="711">
      <c r="A711" t="inlineStr">
        <is>
          <t>Selections &amp; Orders</t>
        </is>
      </c>
      <c r="B711" s="46">
        <f>'Selections &amp; Orders'!AC717</f>
        <v/>
      </c>
      <c r="C711" s="84">
        <f>'Selections &amp; Orders'!AA717</f>
        <v/>
      </c>
      <c r="D711" s="46">
        <f>'Selections &amp; Orders'!AB717</f>
        <v/>
      </c>
      <c r="E711" s="46">
        <f>IF(OR(B711="",C711="",D711=""),"",D711*100000+(C711-DATE(2000,1,1))+ROW()/100000)</f>
        <v/>
      </c>
      <c r="F711" s="46">
        <f>IF(E711="","",IF(C711&gt;WeekEndDate,"",E711))</f>
        <v/>
      </c>
    </row>
    <row r="712">
      <c r="A712" t="inlineStr">
        <is>
          <t>Selections &amp; Orders</t>
        </is>
      </c>
      <c r="B712" s="46">
        <f>'Selections &amp; Orders'!AC718</f>
        <v/>
      </c>
      <c r="C712" s="84">
        <f>'Selections &amp; Orders'!AA718</f>
        <v/>
      </c>
      <c r="D712" s="46">
        <f>'Selections &amp; Orders'!AB718</f>
        <v/>
      </c>
      <c r="E712" s="46">
        <f>IF(OR(B712="",C712="",D712=""),"",D712*100000+(C712-DATE(2000,1,1))+ROW()/100000)</f>
        <v/>
      </c>
      <c r="F712" s="46">
        <f>IF(E712="","",IF(C712&gt;WeekEndDate,"",E712))</f>
        <v/>
      </c>
    </row>
    <row r="713">
      <c r="A713" t="inlineStr">
        <is>
          <t>Selections &amp; Orders</t>
        </is>
      </c>
      <c r="B713" s="46">
        <f>'Selections &amp; Orders'!AC719</f>
        <v/>
      </c>
      <c r="C713" s="84">
        <f>'Selections &amp; Orders'!AA719</f>
        <v/>
      </c>
      <c r="D713" s="46">
        <f>'Selections &amp; Orders'!AB719</f>
        <v/>
      </c>
      <c r="E713" s="46">
        <f>IF(OR(B713="",C713="",D713=""),"",D713*100000+(C713-DATE(2000,1,1))+ROW()/100000)</f>
        <v/>
      </c>
      <c r="F713" s="46">
        <f>IF(E713="","",IF(C713&gt;WeekEndDate,"",E713))</f>
        <v/>
      </c>
    </row>
    <row r="714">
      <c r="A714" t="inlineStr">
        <is>
          <t>Selections &amp; Orders</t>
        </is>
      </c>
      <c r="B714" s="46">
        <f>'Selections &amp; Orders'!AC720</f>
        <v/>
      </c>
      <c r="C714" s="84">
        <f>'Selections &amp; Orders'!AA720</f>
        <v/>
      </c>
      <c r="D714" s="46">
        <f>'Selections &amp; Orders'!AB720</f>
        <v/>
      </c>
      <c r="E714" s="46">
        <f>IF(OR(B714="",C714="",D714=""),"",D714*100000+(C714-DATE(2000,1,1))+ROW()/100000)</f>
        <v/>
      </c>
      <c r="F714" s="46">
        <f>IF(E714="","",IF(C714&gt;WeekEndDate,"",E714))</f>
        <v/>
      </c>
    </row>
    <row r="715">
      <c r="A715" t="inlineStr">
        <is>
          <t>Selections &amp; Orders</t>
        </is>
      </c>
      <c r="B715" s="46">
        <f>'Selections &amp; Orders'!AC721</f>
        <v/>
      </c>
      <c r="C715" s="84">
        <f>'Selections &amp; Orders'!AA721</f>
        <v/>
      </c>
      <c r="D715" s="46">
        <f>'Selections &amp; Orders'!AB721</f>
        <v/>
      </c>
      <c r="E715" s="46">
        <f>IF(OR(B715="",C715="",D715=""),"",D715*100000+(C715-DATE(2000,1,1))+ROW()/100000)</f>
        <v/>
      </c>
      <c r="F715" s="46">
        <f>IF(E715="","",IF(C715&gt;WeekEndDate,"",E715))</f>
        <v/>
      </c>
    </row>
    <row r="716">
      <c r="A716" t="inlineStr">
        <is>
          <t>Selections &amp; Orders</t>
        </is>
      </c>
      <c r="B716" s="46">
        <f>'Selections &amp; Orders'!AC722</f>
        <v/>
      </c>
      <c r="C716" s="84">
        <f>'Selections &amp; Orders'!AA722</f>
        <v/>
      </c>
      <c r="D716" s="46">
        <f>'Selections &amp; Orders'!AB722</f>
        <v/>
      </c>
      <c r="E716" s="46">
        <f>IF(OR(B716="",C716="",D716=""),"",D716*100000+(C716-DATE(2000,1,1))+ROW()/100000)</f>
        <v/>
      </c>
      <c r="F716" s="46">
        <f>IF(E716="","",IF(C716&gt;WeekEndDate,"",E716))</f>
        <v/>
      </c>
    </row>
    <row r="717">
      <c r="A717" t="inlineStr">
        <is>
          <t>Selections &amp; Orders</t>
        </is>
      </c>
      <c r="B717" s="46">
        <f>'Selections &amp; Orders'!AC723</f>
        <v/>
      </c>
      <c r="C717" s="84">
        <f>'Selections &amp; Orders'!AA723</f>
        <v/>
      </c>
      <c r="D717" s="46">
        <f>'Selections &amp; Orders'!AB723</f>
        <v/>
      </c>
      <c r="E717" s="46">
        <f>IF(OR(B717="",C717="",D717=""),"",D717*100000+(C717-DATE(2000,1,1))+ROW()/100000)</f>
        <v/>
      </c>
      <c r="F717" s="46">
        <f>IF(E717="","",IF(C717&gt;WeekEndDate,"",E717))</f>
        <v/>
      </c>
    </row>
    <row r="718">
      <c r="A718" t="inlineStr">
        <is>
          <t>Selections &amp; Orders</t>
        </is>
      </c>
      <c r="B718" s="46">
        <f>'Selections &amp; Orders'!AC724</f>
        <v/>
      </c>
      <c r="C718" s="84">
        <f>'Selections &amp; Orders'!AA724</f>
        <v/>
      </c>
      <c r="D718" s="46">
        <f>'Selections &amp; Orders'!AB724</f>
        <v/>
      </c>
      <c r="E718" s="46">
        <f>IF(OR(B718="",C718="",D718=""),"",D718*100000+(C718-DATE(2000,1,1))+ROW()/100000)</f>
        <v/>
      </c>
      <c r="F718" s="46">
        <f>IF(E718="","",IF(C718&gt;WeekEndDate,"",E718))</f>
        <v/>
      </c>
    </row>
    <row r="719">
      <c r="A719" t="inlineStr">
        <is>
          <t>Selections &amp; Orders</t>
        </is>
      </c>
      <c r="B719" s="46">
        <f>'Selections &amp; Orders'!AC725</f>
        <v/>
      </c>
      <c r="C719" s="84">
        <f>'Selections &amp; Orders'!AA725</f>
        <v/>
      </c>
      <c r="D719" s="46">
        <f>'Selections &amp; Orders'!AB725</f>
        <v/>
      </c>
      <c r="E719" s="46">
        <f>IF(OR(B719="",C719="",D719=""),"",D719*100000+(C719-DATE(2000,1,1))+ROW()/100000)</f>
        <v/>
      </c>
      <c r="F719" s="46">
        <f>IF(E719="","",IF(C719&gt;WeekEndDate,"",E719))</f>
        <v/>
      </c>
    </row>
    <row r="720">
      <c r="A720" t="inlineStr">
        <is>
          <t>Selections &amp; Orders</t>
        </is>
      </c>
      <c r="B720" s="46">
        <f>'Selections &amp; Orders'!AC726</f>
        <v/>
      </c>
      <c r="C720" s="84">
        <f>'Selections &amp; Orders'!AA726</f>
        <v/>
      </c>
      <c r="D720" s="46">
        <f>'Selections &amp; Orders'!AB726</f>
        <v/>
      </c>
      <c r="E720" s="46">
        <f>IF(OR(B720="",C720="",D720=""),"",D720*100000+(C720-DATE(2000,1,1))+ROW()/100000)</f>
        <v/>
      </c>
      <c r="F720" s="46">
        <f>IF(E720="","",IF(C720&gt;WeekEndDate,"",E720))</f>
        <v/>
      </c>
    </row>
    <row r="721">
      <c r="A721" t="inlineStr">
        <is>
          <t>Selections &amp; Orders</t>
        </is>
      </c>
      <c r="B721" s="46">
        <f>'Selections &amp; Orders'!AC727</f>
        <v/>
      </c>
      <c r="C721" s="84">
        <f>'Selections &amp; Orders'!AA727</f>
        <v/>
      </c>
      <c r="D721" s="46">
        <f>'Selections &amp; Orders'!AB727</f>
        <v/>
      </c>
      <c r="E721" s="46">
        <f>IF(OR(B721="",C721="",D721=""),"",D721*100000+(C721-DATE(2000,1,1))+ROW()/100000)</f>
        <v/>
      </c>
      <c r="F721" s="46">
        <f>IF(E721="","",IF(C721&gt;WeekEndDate,"",E721))</f>
        <v/>
      </c>
    </row>
    <row r="722">
      <c r="A722" t="inlineStr">
        <is>
          <t>Selections &amp; Orders</t>
        </is>
      </c>
      <c r="B722" s="46">
        <f>'Selections &amp; Orders'!AC728</f>
        <v/>
      </c>
      <c r="C722" s="84">
        <f>'Selections &amp; Orders'!AA728</f>
        <v/>
      </c>
      <c r="D722" s="46">
        <f>'Selections &amp; Orders'!AB728</f>
        <v/>
      </c>
      <c r="E722" s="46">
        <f>IF(OR(B722="",C722="",D722=""),"",D722*100000+(C722-DATE(2000,1,1))+ROW()/100000)</f>
        <v/>
      </c>
      <c r="F722" s="46">
        <f>IF(E722="","",IF(C722&gt;WeekEndDate,"",E722))</f>
        <v/>
      </c>
    </row>
    <row r="723">
      <c r="A723" t="inlineStr">
        <is>
          <t>Selections &amp; Orders</t>
        </is>
      </c>
      <c r="B723" s="46">
        <f>'Selections &amp; Orders'!AC729</f>
        <v/>
      </c>
      <c r="C723" s="84">
        <f>'Selections &amp; Orders'!AA729</f>
        <v/>
      </c>
      <c r="D723" s="46">
        <f>'Selections &amp; Orders'!AB729</f>
        <v/>
      </c>
      <c r="E723" s="46">
        <f>IF(OR(B723="",C723="",D723=""),"",D723*100000+(C723-DATE(2000,1,1))+ROW()/100000)</f>
        <v/>
      </c>
      <c r="F723" s="46">
        <f>IF(E723="","",IF(C723&gt;WeekEndDate,"",E723))</f>
        <v/>
      </c>
    </row>
    <row r="724">
      <c r="A724" t="inlineStr">
        <is>
          <t>Selections &amp; Orders</t>
        </is>
      </c>
      <c r="B724" s="46">
        <f>'Selections &amp; Orders'!AC730</f>
        <v/>
      </c>
      <c r="C724" s="84">
        <f>'Selections &amp; Orders'!AA730</f>
        <v/>
      </c>
      <c r="D724" s="46">
        <f>'Selections &amp; Orders'!AB730</f>
        <v/>
      </c>
      <c r="E724" s="46">
        <f>IF(OR(B724="",C724="",D724=""),"",D724*100000+(C724-DATE(2000,1,1))+ROW()/100000)</f>
        <v/>
      </c>
      <c r="F724" s="46">
        <f>IF(E724="","",IF(C724&gt;WeekEndDate,"",E724))</f>
        <v/>
      </c>
    </row>
    <row r="725">
      <c r="A725" t="inlineStr">
        <is>
          <t>Selections &amp; Orders</t>
        </is>
      </c>
      <c r="B725" s="46">
        <f>'Selections &amp; Orders'!AC731</f>
        <v/>
      </c>
      <c r="C725" s="84">
        <f>'Selections &amp; Orders'!AA731</f>
        <v/>
      </c>
      <c r="D725" s="46">
        <f>'Selections &amp; Orders'!AB731</f>
        <v/>
      </c>
      <c r="E725" s="46">
        <f>IF(OR(B725="",C725="",D725=""),"",D725*100000+(C725-DATE(2000,1,1))+ROW()/100000)</f>
        <v/>
      </c>
      <c r="F725" s="46">
        <f>IF(E725="","",IF(C725&gt;WeekEndDate,"",E725))</f>
        <v/>
      </c>
    </row>
    <row r="726">
      <c r="A726" t="inlineStr">
        <is>
          <t>Selections &amp; Orders</t>
        </is>
      </c>
      <c r="B726" s="46">
        <f>'Selections &amp; Orders'!AC732</f>
        <v/>
      </c>
      <c r="C726" s="84">
        <f>'Selections &amp; Orders'!AA732</f>
        <v/>
      </c>
      <c r="D726" s="46">
        <f>'Selections &amp; Orders'!AB732</f>
        <v/>
      </c>
      <c r="E726" s="46">
        <f>IF(OR(B726="",C726="",D726=""),"",D726*100000+(C726-DATE(2000,1,1))+ROW()/100000)</f>
        <v/>
      </c>
      <c r="F726" s="46">
        <f>IF(E726="","",IF(C726&gt;WeekEndDate,"",E726))</f>
        <v/>
      </c>
    </row>
    <row r="727">
      <c r="A727" t="inlineStr">
        <is>
          <t>Selections &amp; Orders</t>
        </is>
      </c>
      <c r="B727" s="46">
        <f>'Selections &amp; Orders'!AC733</f>
        <v/>
      </c>
      <c r="C727" s="84">
        <f>'Selections &amp; Orders'!AA733</f>
        <v/>
      </c>
      <c r="D727" s="46">
        <f>'Selections &amp; Orders'!AB733</f>
        <v/>
      </c>
      <c r="E727" s="46">
        <f>IF(OR(B727="",C727="",D727=""),"",D727*100000+(C727-DATE(2000,1,1))+ROW()/100000)</f>
        <v/>
      </c>
      <c r="F727" s="46">
        <f>IF(E727="","",IF(C727&gt;WeekEndDate,"",E727))</f>
        <v/>
      </c>
    </row>
    <row r="728">
      <c r="A728" t="inlineStr">
        <is>
          <t>Selections &amp; Orders</t>
        </is>
      </c>
      <c r="B728" s="46">
        <f>'Selections &amp; Orders'!AC734</f>
        <v/>
      </c>
      <c r="C728" s="84">
        <f>'Selections &amp; Orders'!AA734</f>
        <v/>
      </c>
      <c r="D728" s="46">
        <f>'Selections &amp; Orders'!AB734</f>
        <v/>
      </c>
      <c r="E728" s="46">
        <f>IF(OR(B728="",C728="",D728=""),"",D728*100000+(C728-DATE(2000,1,1))+ROW()/100000)</f>
        <v/>
      </c>
      <c r="F728" s="46">
        <f>IF(E728="","",IF(C728&gt;WeekEndDate,"",E728))</f>
        <v/>
      </c>
    </row>
    <row r="729">
      <c r="A729" t="inlineStr">
        <is>
          <t>Selections &amp; Orders</t>
        </is>
      </c>
      <c r="B729" s="46">
        <f>'Selections &amp; Orders'!AC735</f>
        <v/>
      </c>
      <c r="C729" s="84">
        <f>'Selections &amp; Orders'!AA735</f>
        <v/>
      </c>
      <c r="D729" s="46">
        <f>'Selections &amp; Orders'!AB735</f>
        <v/>
      </c>
      <c r="E729" s="46">
        <f>IF(OR(B729="",C729="",D729=""),"",D729*100000+(C729-DATE(2000,1,1))+ROW()/100000)</f>
        <v/>
      </c>
      <c r="F729" s="46">
        <f>IF(E729="","",IF(C729&gt;WeekEndDate,"",E729))</f>
        <v/>
      </c>
    </row>
    <row r="730">
      <c r="A730" t="inlineStr">
        <is>
          <t>Selections &amp; Orders</t>
        </is>
      </c>
      <c r="B730" s="46">
        <f>'Selections &amp; Orders'!AC736</f>
        <v/>
      </c>
      <c r="C730" s="84">
        <f>'Selections &amp; Orders'!AA736</f>
        <v/>
      </c>
      <c r="D730" s="46">
        <f>'Selections &amp; Orders'!AB736</f>
        <v/>
      </c>
      <c r="E730" s="46">
        <f>IF(OR(B730="",C730="",D730=""),"",D730*100000+(C730-DATE(2000,1,1))+ROW()/100000)</f>
        <v/>
      </c>
      <c r="F730" s="46">
        <f>IF(E730="","",IF(C730&gt;WeekEndDate,"",E730))</f>
        <v/>
      </c>
    </row>
    <row r="731">
      <c r="A731" t="inlineStr">
        <is>
          <t>Selections &amp; Orders</t>
        </is>
      </c>
      <c r="B731" s="46">
        <f>'Selections &amp; Orders'!AC737</f>
        <v/>
      </c>
      <c r="C731" s="84">
        <f>'Selections &amp; Orders'!AA737</f>
        <v/>
      </c>
      <c r="D731" s="46">
        <f>'Selections &amp; Orders'!AB737</f>
        <v/>
      </c>
      <c r="E731" s="46">
        <f>IF(OR(B731="",C731="",D731=""),"",D731*100000+(C731-DATE(2000,1,1))+ROW()/100000)</f>
        <v/>
      </c>
      <c r="F731" s="46">
        <f>IF(E731="","",IF(C731&gt;WeekEndDate,"",E731))</f>
        <v/>
      </c>
    </row>
    <row r="732">
      <c r="A732" t="inlineStr">
        <is>
          <t>Selections &amp; Orders</t>
        </is>
      </c>
      <c r="B732" s="46">
        <f>'Selections &amp; Orders'!AC738</f>
        <v/>
      </c>
      <c r="C732" s="84">
        <f>'Selections &amp; Orders'!AA738</f>
        <v/>
      </c>
      <c r="D732" s="46">
        <f>'Selections &amp; Orders'!AB738</f>
        <v/>
      </c>
      <c r="E732" s="46">
        <f>IF(OR(B732="",C732="",D732=""),"",D732*100000+(C732-DATE(2000,1,1))+ROW()/100000)</f>
        <v/>
      </c>
      <c r="F732" s="46">
        <f>IF(E732="","",IF(C732&gt;WeekEndDate,"",E732))</f>
        <v/>
      </c>
    </row>
    <row r="733">
      <c r="A733" t="inlineStr">
        <is>
          <t>Selections &amp; Orders</t>
        </is>
      </c>
      <c r="B733" s="46">
        <f>'Selections &amp; Orders'!AC739</f>
        <v/>
      </c>
      <c r="C733" s="84">
        <f>'Selections &amp; Orders'!AA739</f>
        <v/>
      </c>
      <c r="D733" s="46">
        <f>'Selections &amp; Orders'!AB739</f>
        <v/>
      </c>
      <c r="E733" s="46">
        <f>IF(OR(B733="",C733="",D733=""),"",D733*100000+(C733-DATE(2000,1,1))+ROW()/100000)</f>
        <v/>
      </c>
      <c r="F733" s="46">
        <f>IF(E733="","",IF(C733&gt;WeekEndDate,"",E733))</f>
        <v/>
      </c>
    </row>
    <row r="734">
      <c r="A734" t="inlineStr">
        <is>
          <t>Selections &amp; Orders</t>
        </is>
      </c>
      <c r="B734" s="46">
        <f>'Selections &amp; Orders'!AC740</f>
        <v/>
      </c>
      <c r="C734" s="84">
        <f>'Selections &amp; Orders'!AA740</f>
        <v/>
      </c>
      <c r="D734" s="46">
        <f>'Selections &amp; Orders'!AB740</f>
        <v/>
      </c>
      <c r="E734" s="46">
        <f>IF(OR(B734="",C734="",D734=""),"",D734*100000+(C734-DATE(2000,1,1))+ROW()/100000)</f>
        <v/>
      </c>
      <c r="F734" s="46">
        <f>IF(E734="","",IF(C734&gt;WeekEndDate,"",E734))</f>
        <v/>
      </c>
    </row>
    <row r="735">
      <c r="A735" t="inlineStr">
        <is>
          <t>Selections &amp; Orders</t>
        </is>
      </c>
      <c r="B735" s="46">
        <f>'Selections &amp; Orders'!AC741</f>
        <v/>
      </c>
      <c r="C735" s="84">
        <f>'Selections &amp; Orders'!AA741</f>
        <v/>
      </c>
      <c r="D735" s="46">
        <f>'Selections &amp; Orders'!AB741</f>
        <v/>
      </c>
      <c r="E735" s="46">
        <f>IF(OR(B735="",C735="",D735=""),"",D735*100000+(C735-DATE(2000,1,1))+ROW()/100000)</f>
        <v/>
      </c>
      <c r="F735" s="46">
        <f>IF(E735="","",IF(C735&gt;WeekEndDate,"",E735))</f>
        <v/>
      </c>
    </row>
    <row r="736">
      <c r="A736" t="inlineStr">
        <is>
          <t>Selections &amp; Orders</t>
        </is>
      </c>
      <c r="B736" s="46">
        <f>'Selections &amp; Orders'!AC742</f>
        <v/>
      </c>
      <c r="C736" s="84">
        <f>'Selections &amp; Orders'!AA742</f>
        <v/>
      </c>
      <c r="D736" s="46">
        <f>'Selections &amp; Orders'!AB742</f>
        <v/>
      </c>
      <c r="E736" s="46">
        <f>IF(OR(B736="",C736="",D736=""),"",D736*100000+(C736-DATE(2000,1,1))+ROW()/100000)</f>
        <v/>
      </c>
      <c r="F736" s="46">
        <f>IF(E736="","",IF(C736&gt;WeekEndDate,"",E736))</f>
        <v/>
      </c>
    </row>
    <row r="737">
      <c r="A737" t="inlineStr">
        <is>
          <t>Selections &amp; Orders</t>
        </is>
      </c>
      <c r="B737" s="46">
        <f>'Selections &amp; Orders'!AC743</f>
        <v/>
      </c>
      <c r="C737" s="84">
        <f>'Selections &amp; Orders'!AA743</f>
        <v/>
      </c>
      <c r="D737" s="46">
        <f>'Selections &amp; Orders'!AB743</f>
        <v/>
      </c>
      <c r="E737" s="46">
        <f>IF(OR(B737="",C737="",D737=""),"",D737*100000+(C737-DATE(2000,1,1))+ROW()/100000)</f>
        <v/>
      </c>
      <c r="F737" s="46">
        <f>IF(E737="","",IF(C737&gt;WeekEndDate,"",E737))</f>
        <v/>
      </c>
    </row>
    <row r="738">
      <c r="A738" t="inlineStr">
        <is>
          <t>Selections &amp; Orders</t>
        </is>
      </c>
      <c r="B738" s="46">
        <f>'Selections &amp; Orders'!AC744</f>
        <v/>
      </c>
      <c r="C738" s="84">
        <f>'Selections &amp; Orders'!AA744</f>
        <v/>
      </c>
      <c r="D738" s="46">
        <f>'Selections &amp; Orders'!AB744</f>
        <v/>
      </c>
      <c r="E738" s="46">
        <f>IF(OR(B738="",C738="",D738=""),"",D738*100000+(C738-DATE(2000,1,1))+ROW()/100000)</f>
        <v/>
      </c>
      <c r="F738" s="46">
        <f>IF(E738="","",IF(C738&gt;WeekEndDate,"",E738))</f>
        <v/>
      </c>
    </row>
    <row r="739">
      <c r="A739" t="inlineStr">
        <is>
          <t>Selections &amp; Orders</t>
        </is>
      </c>
      <c r="B739" s="46">
        <f>'Selections &amp; Orders'!AC745</f>
        <v/>
      </c>
      <c r="C739" s="84">
        <f>'Selections &amp; Orders'!AA745</f>
        <v/>
      </c>
      <c r="D739" s="46">
        <f>'Selections &amp; Orders'!AB745</f>
        <v/>
      </c>
      <c r="E739" s="46">
        <f>IF(OR(B739="",C739="",D739=""),"",D739*100000+(C739-DATE(2000,1,1))+ROW()/100000)</f>
        <v/>
      </c>
      <c r="F739" s="46">
        <f>IF(E739="","",IF(C739&gt;WeekEndDate,"",E739))</f>
        <v/>
      </c>
    </row>
    <row r="740">
      <c r="A740" t="inlineStr">
        <is>
          <t>Selections &amp; Orders</t>
        </is>
      </c>
      <c r="B740" s="46">
        <f>'Selections &amp; Orders'!AC746</f>
        <v/>
      </c>
      <c r="C740" s="84">
        <f>'Selections &amp; Orders'!AA746</f>
        <v/>
      </c>
      <c r="D740" s="46">
        <f>'Selections &amp; Orders'!AB746</f>
        <v/>
      </c>
      <c r="E740" s="46">
        <f>IF(OR(B740="",C740="",D740=""),"",D740*100000+(C740-DATE(2000,1,1))+ROW()/100000)</f>
        <v/>
      </c>
      <c r="F740" s="46">
        <f>IF(E740="","",IF(C740&gt;WeekEndDate,"",E740))</f>
        <v/>
      </c>
    </row>
    <row r="741">
      <c r="A741" t="inlineStr">
        <is>
          <t>Selections &amp; Orders</t>
        </is>
      </c>
      <c r="B741" s="46">
        <f>'Selections &amp; Orders'!AC747</f>
        <v/>
      </c>
      <c r="C741" s="84">
        <f>'Selections &amp; Orders'!AA747</f>
        <v/>
      </c>
      <c r="D741" s="46">
        <f>'Selections &amp; Orders'!AB747</f>
        <v/>
      </c>
      <c r="E741" s="46">
        <f>IF(OR(B741="",C741="",D741=""),"",D741*100000+(C741-DATE(2000,1,1))+ROW()/100000)</f>
        <v/>
      </c>
      <c r="F741" s="46">
        <f>IF(E741="","",IF(C741&gt;WeekEndDate,"",E741))</f>
        <v/>
      </c>
    </row>
    <row r="742">
      <c r="A742" t="inlineStr">
        <is>
          <t>Selections &amp; Orders</t>
        </is>
      </c>
      <c r="B742" s="46">
        <f>'Selections &amp; Orders'!AC748</f>
        <v/>
      </c>
      <c r="C742" s="84">
        <f>'Selections &amp; Orders'!AA748</f>
        <v/>
      </c>
      <c r="D742" s="46">
        <f>'Selections &amp; Orders'!AB748</f>
        <v/>
      </c>
      <c r="E742" s="46">
        <f>IF(OR(B742="",C742="",D742=""),"",D742*100000+(C742-DATE(2000,1,1))+ROW()/100000)</f>
        <v/>
      </c>
      <c r="F742" s="46">
        <f>IF(E742="","",IF(C742&gt;WeekEndDate,"",E742))</f>
        <v/>
      </c>
    </row>
    <row r="743">
      <c r="A743" t="inlineStr">
        <is>
          <t>Selections &amp; Orders</t>
        </is>
      </c>
      <c r="B743" s="46">
        <f>'Selections &amp; Orders'!AC749</f>
        <v/>
      </c>
      <c r="C743" s="84">
        <f>'Selections &amp; Orders'!AA749</f>
        <v/>
      </c>
      <c r="D743" s="46">
        <f>'Selections &amp; Orders'!AB749</f>
        <v/>
      </c>
      <c r="E743" s="46">
        <f>IF(OR(B743="",C743="",D743=""),"",D743*100000+(C743-DATE(2000,1,1))+ROW()/100000)</f>
        <v/>
      </c>
      <c r="F743" s="46">
        <f>IF(E743="","",IF(C743&gt;WeekEndDate,"",E743))</f>
        <v/>
      </c>
    </row>
    <row r="744">
      <c r="A744" t="inlineStr">
        <is>
          <t>Selections &amp; Orders</t>
        </is>
      </c>
      <c r="B744" s="46">
        <f>'Selections &amp; Orders'!AC750</f>
        <v/>
      </c>
      <c r="C744" s="84">
        <f>'Selections &amp; Orders'!AA750</f>
        <v/>
      </c>
      <c r="D744" s="46">
        <f>'Selections &amp; Orders'!AB750</f>
        <v/>
      </c>
      <c r="E744" s="46">
        <f>IF(OR(B744="",C744="",D744=""),"",D744*100000+(C744-DATE(2000,1,1))+ROW()/100000)</f>
        <v/>
      </c>
      <c r="F744" s="46">
        <f>IF(E744="","",IF(C744&gt;WeekEndDate,"",E744))</f>
        <v/>
      </c>
    </row>
    <row r="745">
      <c r="A745" t="inlineStr">
        <is>
          <t>Selections &amp; Orders</t>
        </is>
      </c>
      <c r="B745" s="46">
        <f>'Selections &amp; Orders'!AC751</f>
        <v/>
      </c>
      <c r="C745" s="84">
        <f>'Selections &amp; Orders'!AA751</f>
        <v/>
      </c>
      <c r="D745" s="46">
        <f>'Selections &amp; Orders'!AB751</f>
        <v/>
      </c>
      <c r="E745" s="46">
        <f>IF(OR(B745="",C745="",D745=""),"",D745*100000+(C745-DATE(2000,1,1))+ROW()/100000)</f>
        <v/>
      </c>
      <c r="F745" s="46">
        <f>IF(E745="","",IF(C745&gt;WeekEndDate,"",E745))</f>
        <v/>
      </c>
    </row>
    <row r="746">
      <c r="A746" t="inlineStr">
        <is>
          <t>Selections &amp; Orders</t>
        </is>
      </c>
      <c r="B746" s="46">
        <f>'Selections &amp; Orders'!AC752</f>
        <v/>
      </c>
      <c r="C746" s="84">
        <f>'Selections &amp; Orders'!AA752</f>
        <v/>
      </c>
      <c r="D746" s="46">
        <f>'Selections &amp; Orders'!AB752</f>
        <v/>
      </c>
      <c r="E746" s="46">
        <f>IF(OR(B746="",C746="",D746=""),"",D746*100000+(C746-DATE(2000,1,1))+ROW()/100000)</f>
        <v/>
      </c>
      <c r="F746" s="46">
        <f>IF(E746="","",IF(C746&gt;WeekEndDate,"",E746))</f>
        <v/>
      </c>
    </row>
    <row r="747">
      <c r="A747" t="inlineStr">
        <is>
          <t>Selections &amp; Orders</t>
        </is>
      </c>
      <c r="B747" s="46">
        <f>'Selections &amp; Orders'!AC753</f>
        <v/>
      </c>
      <c r="C747" s="84">
        <f>'Selections &amp; Orders'!AA753</f>
        <v/>
      </c>
      <c r="D747" s="46">
        <f>'Selections &amp; Orders'!AB753</f>
        <v/>
      </c>
      <c r="E747" s="46">
        <f>IF(OR(B747="",C747="",D747=""),"",D747*100000+(C747-DATE(2000,1,1))+ROW()/100000)</f>
        <v/>
      </c>
      <c r="F747" s="46">
        <f>IF(E747="","",IF(C747&gt;WeekEndDate,"",E747))</f>
        <v/>
      </c>
    </row>
    <row r="748">
      <c r="A748" t="inlineStr">
        <is>
          <t>Selections &amp; Orders</t>
        </is>
      </c>
      <c r="B748" s="46">
        <f>'Selections &amp; Orders'!AC754</f>
        <v/>
      </c>
      <c r="C748" s="84">
        <f>'Selections &amp; Orders'!AA754</f>
        <v/>
      </c>
      <c r="D748" s="46">
        <f>'Selections &amp; Orders'!AB754</f>
        <v/>
      </c>
      <c r="E748" s="46">
        <f>IF(OR(B748="",C748="",D748=""),"",D748*100000+(C748-DATE(2000,1,1))+ROW()/100000)</f>
        <v/>
      </c>
      <c r="F748" s="46">
        <f>IF(E748="","",IF(C748&gt;WeekEndDate,"",E748))</f>
        <v/>
      </c>
    </row>
    <row r="749">
      <c r="A749" t="inlineStr">
        <is>
          <t>Selections &amp; Orders</t>
        </is>
      </c>
      <c r="B749" s="46">
        <f>'Selections &amp; Orders'!AC755</f>
        <v/>
      </c>
      <c r="C749" s="84">
        <f>'Selections &amp; Orders'!AA755</f>
        <v/>
      </c>
      <c r="D749" s="46">
        <f>'Selections &amp; Orders'!AB755</f>
        <v/>
      </c>
      <c r="E749" s="46">
        <f>IF(OR(B749="",C749="",D749=""),"",D749*100000+(C749-DATE(2000,1,1))+ROW()/100000)</f>
        <v/>
      </c>
      <c r="F749" s="46">
        <f>IF(E749="","",IF(C749&gt;WeekEndDate,"",E749))</f>
        <v/>
      </c>
    </row>
    <row r="750">
      <c r="A750" t="inlineStr">
        <is>
          <t>Selections &amp; Orders</t>
        </is>
      </c>
      <c r="B750" s="46">
        <f>'Selections &amp; Orders'!AC756</f>
        <v/>
      </c>
      <c r="C750" s="84">
        <f>'Selections &amp; Orders'!AA756</f>
        <v/>
      </c>
      <c r="D750" s="46">
        <f>'Selections &amp; Orders'!AB756</f>
        <v/>
      </c>
      <c r="E750" s="46">
        <f>IF(OR(B750="",C750="",D750=""),"",D750*100000+(C750-DATE(2000,1,1))+ROW()/100000)</f>
        <v/>
      </c>
      <c r="F750" s="46">
        <f>IF(E750="","",IF(C750&gt;WeekEndDate,"",E750))</f>
        <v/>
      </c>
    </row>
    <row r="751">
      <c r="A751" t="inlineStr">
        <is>
          <t>Selections &amp; Orders</t>
        </is>
      </c>
      <c r="B751" s="46">
        <f>'Selections &amp; Orders'!AC757</f>
        <v/>
      </c>
      <c r="C751" s="84">
        <f>'Selections &amp; Orders'!AA757</f>
        <v/>
      </c>
      <c r="D751" s="46">
        <f>'Selections &amp; Orders'!AB757</f>
        <v/>
      </c>
      <c r="E751" s="46">
        <f>IF(OR(B751="",C751="",D751=""),"",D751*100000+(C751-DATE(2000,1,1))+ROW()/100000)</f>
        <v/>
      </c>
      <c r="F751" s="46">
        <f>IF(E751="","",IF(C751&gt;WeekEndDate,"",E751))</f>
        <v/>
      </c>
    </row>
    <row r="752">
      <c r="A752" t="inlineStr">
        <is>
          <t>Selections &amp; Orders</t>
        </is>
      </c>
      <c r="B752" s="46">
        <f>'Selections &amp; Orders'!AC758</f>
        <v/>
      </c>
      <c r="C752" s="84">
        <f>'Selections &amp; Orders'!AA758</f>
        <v/>
      </c>
      <c r="D752" s="46">
        <f>'Selections &amp; Orders'!AB758</f>
        <v/>
      </c>
      <c r="E752" s="46">
        <f>IF(OR(B752="",C752="",D752=""),"",D752*100000+(C752-DATE(2000,1,1))+ROW()/100000)</f>
        <v/>
      </c>
      <c r="F752" s="46">
        <f>IF(E752="","",IF(C752&gt;WeekEndDate,"",E752))</f>
        <v/>
      </c>
    </row>
    <row r="753">
      <c r="A753" t="inlineStr">
        <is>
          <t>Selections &amp; Orders</t>
        </is>
      </c>
      <c r="B753" s="46">
        <f>'Selections &amp; Orders'!AC759</f>
        <v/>
      </c>
      <c r="C753" s="84">
        <f>'Selections &amp; Orders'!AA759</f>
        <v/>
      </c>
      <c r="D753" s="46">
        <f>'Selections &amp; Orders'!AB759</f>
        <v/>
      </c>
      <c r="E753" s="46">
        <f>IF(OR(B753="",C753="",D753=""),"",D753*100000+(C753-DATE(2000,1,1))+ROW()/100000)</f>
        <v/>
      </c>
      <c r="F753" s="46">
        <f>IF(E753="","",IF(C753&gt;WeekEndDate,"",E753))</f>
        <v/>
      </c>
    </row>
    <row r="754">
      <c r="A754" t="inlineStr">
        <is>
          <t>Selections &amp; Orders</t>
        </is>
      </c>
      <c r="B754" s="46">
        <f>'Selections &amp; Orders'!AC760</f>
        <v/>
      </c>
      <c r="C754" s="84">
        <f>'Selections &amp; Orders'!AA760</f>
        <v/>
      </c>
      <c r="D754" s="46">
        <f>'Selections &amp; Orders'!AB760</f>
        <v/>
      </c>
      <c r="E754" s="46">
        <f>IF(OR(B754="",C754="",D754=""),"",D754*100000+(C754-DATE(2000,1,1))+ROW()/100000)</f>
        <v/>
      </c>
      <c r="F754" s="46">
        <f>IF(E754="","",IF(C754&gt;WeekEndDate,"",E754))</f>
        <v/>
      </c>
    </row>
    <row r="755">
      <c r="A755" t="inlineStr">
        <is>
          <t>Selections &amp; Orders</t>
        </is>
      </c>
      <c r="B755" s="46">
        <f>'Selections &amp; Orders'!AC761</f>
        <v/>
      </c>
      <c r="C755" s="84">
        <f>'Selections &amp; Orders'!AA761</f>
        <v/>
      </c>
      <c r="D755" s="46">
        <f>'Selections &amp; Orders'!AB761</f>
        <v/>
      </c>
      <c r="E755" s="46">
        <f>IF(OR(B755="",C755="",D755=""),"",D755*100000+(C755-DATE(2000,1,1))+ROW()/100000)</f>
        <v/>
      </c>
      <c r="F755" s="46">
        <f>IF(E755="","",IF(C755&gt;WeekEndDate,"",E755))</f>
        <v/>
      </c>
    </row>
    <row r="756">
      <c r="A756" t="inlineStr">
        <is>
          <t>Selections &amp; Orders</t>
        </is>
      </c>
      <c r="B756" s="46">
        <f>'Selections &amp; Orders'!AC762</f>
        <v/>
      </c>
      <c r="C756" s="84">
        <f>'Selections &amp; Orders'!AA762</f>
        <v/>
      </c>
      <c r="D756" s="46">
        <f>'Selections &amp; Orders'!AB762</f>
        <v/>
      </c>
      <c r="E756" s="46">
        <f>IF(OR(B756="",C756="",D756=""),"",D756*100000+(C756-DATE(2000,1,1))+ROW()/100000)</f>
        <v/>
      </c>
      <c r="F756" s="46">
        <f>IF(E756="","",IF(C756&gt;WeekEndDate,"",E756))</f>
        <v/>
      </c>
    </row>
    <row r="757">
      <c r="A757" t="inlineStr">
        <is>
          <t>Selections &amp; Orders</t>
        </is>
      </c>
      <c r="B757" s="46">
        <f>'Selections &amp; Orders'!AC763</f>
        <v/>
      </c>
      <c r="C757" s="84">
        <f>'Selections &amp; Orders'!AA763</f>
        <v/>
      </c>
      <c r="D757" s="46">
        <f>'Selections &amp; Orders'!AB763</f>
        <v/>
      </c>
      <c r="E757" s="46">
        <f>IF(OR(B757="",C757="",D757=""),"",D757*100000+(C757-DATE(2000,1,1))+ROW()/100000)</f>
        <v/>
      </c>
      <c r="F757" s="46">
        <f>IF(E757="","",IF(C757&gt;WeekEndDate,"",E757))</f>
        <v/>
      </c>
    </row>
    <row r="758">
      <c r="A758" t="inlineStr">
        <is>
          <t>Selections &amp; Orders</t>
        </is>
      </c>
      <c r="B758" s="46">
        <f>'Selections &amp; Orders'!AC764</f>
        <v/>
      </c>
      <c r="C758" s="84">
        <f>'Selections &amp; Orders'!AA764</f>
        <v/>
      </c>
      <c r="D758" s="46">
        <f>'Selections &amp; Orders'!AB764</f>
        <v/>
      </c>
      <c r="E758" s="46">
        <f>IF(OR(B758="",C758="",D758=""),"",D758*100000+(C758-DATE(2000,1,1))+ROW()/100000)</f>
        <v/>
      </c>
      <c r="F758" s="46">
        <f>IF(E758="","",IF(C758&gt;WeekEndDate,"",E758))</f>
        <v/>
      </c>
    </row>
    <row r="759">
      <c r="A759" t="inlineStr">
        <is>
          <t>Selections &amp; Orders</t>
        </is>
      </c>
      <c r="B759" s="46">
        <f>'Selections &amp; Orders'!AC765</f>
        <v/>
      </c>
      <c r="C759" s="84">
        <f>'Selections &amp; Orders'!AA765</f>
        <v/>
      </c>
      <c r="D759" s="46">
        <f>'Selections &amp; Orders'!AB765</f>
        <v/>
      </c>
      <c r="E759" s="46">
        <f>IF(OR(B759="",C759="",D759=""),"",D759*100000+(C759-DATE(2000,1,1))+ROW()/100000)</f>
        <v/>
      </c>
      <c r="F759" s="46">
        <f>IF(E759="","",IF(C759&gt;WeekEndDate,"",E759))</f>
        <v/>
      </c>
    </row>
    <row r="760">
      <c r="A760" t="inlineStr">
        <is>
          <t>Selections &amp; Orders</t>
        </is>
      </c>
      <c r="B760" s="46">
        <f>'Selections &amp; Orders'!AC766</f>
        <v/>
      </c>
      <c r="C760" s="84">
        <f>'Selections &amp; Orders'!AA766</f>
        <v/>
      </c>
      <c r="D760" s="46">
        <f>'Selections &amp; Orders'!AB766</f>
        <v/>
      </c>
      <c r="E760" s="46">
        <f>IF(OR(B760="",C760="",D760=""),"",D760*100000+(C760-DATE(2000,1,1))+ROW()/100000)</f>
        <v/>
      </c>
      <c r="F760" s="46">
        <f>IF(E760="","",IF(C760&gt;WeekEndDate,"",E760))</f>
        <v/>
      </c>
    </row>
    <row r="761">
      <c r="A761" t="inlineStr">
        <is>
          <t>Selections &amp; Orders</t>
        </is>
      </c>
      <c r="B761" s="46">
        <f>'Selections &amp; Orders'!AC767</f>
        <v/>
      </c>
      <c r="C761" s="84">
        <f>'Selections &amp; Orders'!AA767</f>
        <v/>
      </c>
      <c r="D761" s="46">
        <f>'Selections &amp; Orders'!AB767</f>
        <v/>
      </c>
      <c r="E761" s="46">
        <f>IF(OR(B761="",C761="",D761=""),"",D761*100000+(C761-DATE(2000,1,1))+ROW()/100000)</f>
        <v/>
      </c>
      <c r="F761" s="46">
        <f>IF(E761="","",IF(C761&gt;WeekEndDate,"",E761))</f>
        <v/>
      </c>
    </row>
    <row r="762">
      <c r="A762" t="inlineStr">
        <is>
          <t>Selections &amp; Orders</t>
        </is>
      </c>
      <c r="B762" s="46">
        <f>'Selections &amp; Orders'!AC768</f>
        <v/>
      </c>
      <c r="C762" s="84">
        <f>'Selections &amp; Orders'!AA768</f>
        <v/>
      </c>
      <c r="D762" s="46">
        <f>'Selections &amp; Orders'!AB768</f>
        <v/>
      </c>
      <c r="E762" s="46">
        <f>IF(OR(B762="",C762="",D762=""),"",D762*100000+(C762-DATE(2000,1,1))+ROW()/100000)</f>
        <v/>
      </c>
      <c r="F762" s="46">
        <f>IF(E762="","",IF(C762&gt;WeekEndDate,"",E762))</f>
        <v/>
      </c>
    </row>
    <row r="763">
      <c r="A763" t="inlineStr">
        <is>
          <t>Selections &amp; Orders</t>
        </is>
      </c>
      <c r="B763" s="46">
        <f>'Selections &amp; Orders'!AC769</f>
        <v/>
      </c>
      <c r="C763" s="84">
        <f>'Selections &amp; Orders'!AA769</f>
        <v/>
      </c>
      <c r="D763" s="46">
        <f>'Selections &amp; Orders'!AB769</f>
        <v/>
      </c>
      <c r="E763" s="46">
        <f>IF(OR(B763="",C763="",D763=""),"",D763*100000+(C763-DATE(2000,1,1))+ROW()/100000)</f>
        <v/>
      </c>
      <c r="F763" s="46">
        <f>IF(E763="","",IF(C763&gt;WeekEndDate,"",E763))</f>
        <v/>
      </c>
    </row>
    <row r="764">
      <c r="A764" t="inlineStr">
        <is>
          <t>Selections &amp; Orders</t>
        </is>
      </c>
      <c r="B764" s="46">
        <f>'Selections &amp; Orders'!AC770</f>
        <v/>
      </c>
      <c r="C764" s="84">
        <f>'Selections &amp; Orders'!AA770</f>
        <v/>
      </c>
      <c r="D764" s="46">
        <f>'Selections &amp; Orders'!AB770</f>
        <v/>
      </c>
      <c r="E764" s="46">
        <f>IF(OR(B764="",C764="",D764=""),"",D764*100000+(C764-DATE(2000,1,1))+ROW()/100000)</f>
        <v/>
      </c>
      <c r="F764" s="46">
        <f>IF(E764="","",IF(C764&gt;WeekEndDate,"",E764))</f>
        <v/>
      </c>
    </row>
    <row r="765">
      <c r="A765" t="inlineStr">
        <is>
          <t>Selections &amp; Orders</t>
        </is>
      </c>
      <c r="B765" s="46">
        <f>'Selections &amp; Orders'!AC771</f>
        <v/>
      </c>
      <c r="C765" s="84">
        <f>'Selections &amp; Orders'!AA771</f>
        <v/>
      </c>
      <c r="D765" s="46">
        <f>'Selections &amp; Orders'!AB771</f>
        <v/>
      </c>
      <c r="E765" s="46">
        <f>IF(OR(B765="",C765="",D765=""),"",D765*100000+(C765-DATE(2000,1,1))+ROW()/100000)</f>
        <v/>
      </c>
      <c r="F765" s="46">
        <f>IF(E765="","",IF(C765&gt;WeekEndDate,"",E765))</f>
        <v/>
      </c>
    </row>
    <row r="766">
      <c r="A766" t="inlineStr">
        <is>
          <t>Selections &amp; Orders</t>
        </is>
      </c>
      <c r="B766" s="46">
        <f>'Selections &amp; Orders'!AC772</f>
        <v/>
      </c>
      <c r="C766" s="84">
        <f>'Selections &amp; Orders'!AA772</f>
        <v/>
      </c>
      <c r="D766" s="46">
        <f>'Selections &amp; Orders'!AB772</f>
        <v/>
      </c>
      <c r="E766" s="46">
        <f>IF(OR(B766="",C766="",D766=""),"",D766*100000+(C766-DATE(2000,1,1))+ROW()/100000)</f>
        <v/>
      </c>
      <c r="F766" s="46">
        <f>IF(E766="","",IF(C766&gt;WeekEndDate,"",E766))</f>
        <v/>
      </c>
    </row>
    <row r="767">
      <c r="A767" t="inlineStr">
        <is>
          <t>Selections &amp; Orders</t>
        </is>
      </c>
      <c r="B767" s="46">
        <f>'Selections &amp; Orders'!AC773</f>
        <v/>
      </c>
      <c r="C767" s="84">
        <f>'Selections &amp; Orders'!AA773</f>
        <v/>
      </c>
      <c r="D767" s="46">
        <f>'Selections &amp; Orders'!AB773</f>
        <v/>
      </c>
      <c r="E767" s="46">
        <f>IF(OR(B767="",C767="",D767=""),"",D767*100000+(C767-DATE(2000,1,1))+ROW()/100000)</f>
        <v/>
      </c>
      <c r="F767" s="46">
        <f>IF(E767="","",IF(C767&gt;WeekEndDate,"",E767))</f>
        <v/>
      </c>
    </row>
    <row r="768">
      <c r="A768" t="inlineStr">
        <is>
          <t>Selections &amp; Orders</t>
        </is>
      </c>
      <c r="B768" s="46">
        <f>'Selections &amp; Orders'!AC774</f>
        <v/>
      </c>
      <c r="C768" s="84">
        <f>'Selections &amp; Orders'!AA774</f>
        <v/>
      </c>
      <c r="D768" s="46">
        <f>'Selections &amp; Orders'!AB774</f>
        <v/>
      </c>
      <c r="E768" s="46">
        <f>IF(OR(B768="",C768="",D768=""),"",D768*100000+(C768-DATE(2000,1,1))+ROW()/100000)</f>
        <v/>
      </c>
      <c r="F768" s="46">
        <f>IF(E768="","",IF(C768&gt;WeekEndDate,"",E768))</f>
        <v/>
      </c>
    </row>
    <row r="769">
      <c r="A769" t="inlineStr">
        <is>
          <t>Selections &amp; Orders</t>
        </is>
      </c>
      <c r="B769" s="46">
        <f>'Selections &amp; Orders'!AC775</f>
        <v/>
      </c>
      <c r="C769" s="84">
        <f>'Selections &amp; Orders'!AA775</f>
        <v/>
      </c>
      <c r="D769" s="46">
        <f>'Selections &amp; Orders'!AB775</f>
        <v/>
      </c>
      <c r="E769" s="46">
        <f>IF(OR(B769="",C769="",D769=""),"",D769*100000+(C769-DATE(2000,1,1))+ROW()/100000)</f>
        <v/>
      </c>
      <c r="F769" s="46">
        <f>IF(E769="","",IF(C769&gt;WeekEndDate,"",E769))</f>
        <v/>
      </c>
    </row>
    <row r="770">
      <c r="A770" t="inlineStr">
        <is>
          <t>Selections &amp; Orders</t>
        </is>
      </c>
      <c r="B770" s="46">
        <f>'Selections &amp; Orders'!AC776</f>
        <v/>
      </c>
      <c r="C770" s="84">
        <f>'Selections &amp; Orders'!AA776</f>
        <v/>
      </c>
      <c r="D770" s="46">
        <f>'Selections &amp; Orders'!AB776</f>
        <v/>
      </c>
      <c r="E770" s="46">
        <f>IF(OR(B770="",C770="",D770=""),"",D770*100000+(C770-DATE(2000,1,1))+ROW()/100000)</f>
        <v/>
      </c>
      <c r="F770" s="46">
        <f>IF(E770="","",IF(C770&gt;WeekEndDate,"",E770))</f>
        <v/>
      </c>
    </row>
    <row r="771">
      <c r="A771" t="inlineStr">
        <is>
          <t>Selections &amp; Orders</t>
        </is>
      </c>
      <c r="B771" s="46">
        <f>'Selections &amp; Orders'!AC777</f>
        <v/>
      </c>
      <c r="C771" s="84">
        <f>'Selections &amp; Orders'!AA777</f>
        <v/>
      </c>
      <c r="D771" s="46">
        <f>'Selections &amp; Orders'!AB777</f>
        <v/>
      </c>
      <c r="E771" s="46">
        <f>IF(OR(B771="",C771="",D771=""),"",D771*100000+(C771-DATE(2000,1,1))+ROW()/100000)</f>
        <v/>
      </c>
      <c r="F771" s="46">
        <f>IF(E771="","",IF(C771&gt;WeekEndDate,"",E771))</f>
        <v/>
      </c>
    </row>
    <row r="772">
      <c r="A772" t="inlineStr">
        <is>
          <t>Selections &amp; Orders</t>
        </is>
      </c>
      <c r="B772" s="46">
        <f>'Selections &amp; Orders'!AC778</f>
        <v/>
      </c>
      <c r="C772" s="84">
        <f>'Selections &amp; Orders'!AA778</f>
        <v/>
      </c>
      <c r="D772" s="46">
        <f>'Selections &amp; Orders'!AB778</f>
        <v/>
      </c>
      <c r="E772" s="46">
        <f>IF(OR(B772="",C772="",D772=""),"",D772*100000+(C772-DATE(2000,1,1))+ROW()/100000)</f>
        <v/>
      </c>
      <c r="F772" s="46">
        <f>IF(E772="","",IF(C772&gt;WeekEndDate,"",E772))</f>
        <v/>
      </c>
    </row>
    <row r="773">
      <c r="A773" t="inlineStr">
        <is>
          <t>Selections &amp; Orders</t>
        </is>
      </c>
      <c r="B773" s="46">
        <f>'Selections &amp; Orders'!AC779</f>
        <v/>
      </c>
      <c r="C773" s="84">
        <f>'Selections &amp; Orders'!AA779</f>
        <v/>
      </c>
      <c r="D773" s="46">
        <f>'Selections &amp; Orders'!AB779</f>
        <v/>
      </c>
      <c r="E773" s="46">
        <f>IF(OR(B773="",C773="",D773=""),"",D773*100000+(C773-DATE(2000,1,1))+ROW()/100000)</f>
        <v/>
      </c>
      <c r="F773" s="46">
        <f>IF(E773="","",IF(C773&gt;WeekEndDate,"",E773))</f>
        <v/>
      </c>
    </row>
    <row r="774">
      <c r="A774" t="inlineStr">
        <is>
          <t>Selections &amp; Orders</t>
        </is>
      </c>
      <c r="B774" s="46">
        <f>'Selections &amp; Orders'!AC780</f>
        <v/>
      </c>
      <c r="C774" s="84">
        <f>'Selections &amp; Orders'!AA780</f>
        <v/>
      </c>
      <c r="D774" s="46">
        <f>'Selections &amp; Orders'!AB780</f>
        <v/>
      </c>
      <c r="E774" s="46">
        <f>IF(OR(B774="",C774="",D774=""),"",D774*100000+(C774-DATE(2000,1,1))+ROW()/100000)</f>
        <v/>
      </c>
      <c r="F774" s="46">
        <f>IF(E774="","",IF(C774&gt;WeekEndDate,"",E774))</f>
        <v/>
      </c>
    </row>
    <row r="775">
      <c r="A775" t="inlineStr">
        <is>
          <t>Selections &amp; Orders</t>
        </is>
      </c>
      <c r="B775" s="46">
        <f>'Selections &amp; Orders'!AC781</f>
        <v/>
      </c>
      <c r="C775" s="84">
        <f>'Selections &amp; Orders'!AA781</f>
        <v/>
      </c>
      <c r="D775" s="46">
        <f>'Selections &amp; Orders'!AB781</f>
        <v/>
      </c>
      <c r="E775" s="46">
        <f>IF(OR(B775="",C775="",D775=""),"",D775*100000+(C775-DATE(2000,1,1))+ROW()/100000)</f>
        <v/>
      </c>
      <c r="F775" s="46">
        <f>IF(E775="","",IF(C775&gt;WeekEndDate,"",E775))</f>
        <v/>
      </c>
    </row>
    <row r="776">
      <c r="A776" t="inlineStr">
        <is>
          <t>Selections &amp; Orders</t>
        </is>
      </c>
      <c r="B776" s="46">
        <f>'Selections &amp; Orders'!AC782</f>
        <v/>
      </c>
      <c r="C776" s="84">
        <f>'Selections &amp; Orders'!AA782</f>
        <v/>
      </c>
      <c r="D776" s="46">
        <f>'Selections &amp; Orders'!AB782</f>
        <v/>
      </c>
      <c r="E776" s="46">
        <f>IF(OR(B776="",C776="",D776=""),"",D776*100000+(C776-DATE(2000,1,1))+ROW()/100000)</f>
        <v/>
      </c>
      <c r="F776" s="46">
        <f>IF(E776="","",IF(C776&gt;WeekEndDate,"",E776))</f>
        <v/>
      </c>
    </row>
    <row r="777">
      <c r="A777" t="inlineStr">
        <is>
          <t>Selections &amp; Orders</t>
        </is>
      </c>
      <c r="B777" s="46">
        <f>'Selections &amp; Orders'!AC783</f>
        <v/>
      </c>
      <c r="C777" s="84">
        <f>'Selections &amp; Orders'!AA783</f>
        <v/>
      </c>
      <c r="D777" s="46">
        <f>'Selections &amp; Orders'!AB783</f>
        <v/>
      </c>
      <c r="E777" s="46">
        <f>IF(OR(B777="",C777="",D777=""),"",D777*100000+(C777-DATE(2000,1,1))+ROW()/100000)</f>
        <v/>
      </c>
      <c r="F777" s="46">
        <f>IF(E777="","",IF(C777&gt;WeekEndDate,"",E777))</f>
        <v/>
      </c>
    </row>
    <row r="778">
      <c r="A778" t="inlineStr">
        <is>
          <t>Selections &amp; Orders</t>
        </is>
      </c>
      <c r="B778" s="46">
        <f>'Selections &amp; Orders'!AC784</f>
        <v/>
      </c>
      <c r="C778" s="84">
        <f>'Selections &amp; Orders'!AA784</f>
        <v/>
      </c>
      <c r="D778" s="46">
        <f>'Selections &amp; Orders'!AB784</f>
        <v/>
      </c>
      <c r="E778" s="46">
        <f>IF(OR(B778="",C778="",D778=""),"",D778*100000+(C778-DATE(2000,1,1))+ROW()/100000)</f>
        <v/>
      </c>
      <c r="F778" s="46">
        <f>IF(E778="","",IF(C778&gt;WeekEndDate,"",E778))</f>
        <v/>
      </c>
    </row>
    <row r="779">
      <c r="A779" t="inlineStr">
        <is>
          <t>Selections &amp; Orders</t>
        </is>
      </c>
      <c r="B779" s="46">
        <f>'Selections &amp; Orders'!AC785</f>
        <v/>
      </c>
      <c r="C779" s="84">
        <f>'Selections &amp; Orders'!AA785</f>
        <v/>
      </c>
      <c r="D779" s="46">
        <f>'Selections &amp; Orders'!AB785</f>
        <v/>
      </c>
      <c r="E779" s="46">
        <f>IF(OR(B779="",C779="",D779=""),"",D779*100000+(C779-DATE(2000,1,1))+ROW()/100000)</f>
        <v/>
      </c>
      <c r="F779" s="46">
        <f>IF(E779="","",IF(C779&gt;WeekEndDate,"",E779))</f>
        <v/>
      </c>
    </row>
    <row r="780">
      <c r="A780" t="inlineStr">
        <is>
          <t>Selections &amp; Orders</t>
        </is>
      </c>
      <c r="B780" s="46">
        <f>'Selections &amp; Orders'!AC786</f>
        <v/>
      </c>
      <c r="C780" s="84">
        <f>'Selections &amp; Orders'!AA786</f>
        <v/>
      </c>
      <c r="D780" s="46">
        <f>'Selections &amp; Orders'!AB786</f>
        <v/>
      </c>
      <c r="E780" s="46">
        <f>IF(OR(B780="",C780="",D780=""),"",D780*100000+(C780-DATE(2000,1,1))+ROW()/100000)</f>
        <v/>
      </c>
      <c r="F780" s="46">
        <f>IF(E780="","",IF(C780&gt;WeekEndDate,"",E780))</f>
        <v/>
      </c>
    </row>
    <row r="781">
      <c r="A781" t="inlineStr">
        <is>
          <t>Selections &amp; Orders</t>
        </is>
      </c>
      <c r="B781" s="46">
        <f>'Selections &amp; Orders'!AC787</f>
        <v/>
      </c>
      <c r="C781" s="84">
        <f>'Selections &amp; Orders'!AA787</f>
        <v/>
      </c>
      <c r="D781" s="46">
        <f>'Selections &amp; Orders'!AB787</f>
        <v/>
      </c>
      <c r="E781" s="46">
        <f>IF(OR(B781="",C781="",D781=""),"",D781*100000+(C781-DATE(2000,1,1))+ROW()/100000)</f>
        <v/>
      </c>
      <c r="F781" s="46">
        <f>IF(E781="","",IF(C781&gt;WeekEndDate,"",E781))</f>
        <v/>
      </c>
    </row>
    <row r="782">
      <c r="A782" t="inlineStr">
        <is>
          <t>Selections &amp; Orders</t>
        </is>
      </c>
      <c r="B782" s="46">
        <f>'Selections &amp; Orders'!AC788</f>
        <v/>
      </c>
      <c r="C782" s="84">
        <f>'Selections &amp; Orders'!AA788</f>
        <v/>
      </c>
      <c r="D782" s="46">
        <f>'Selections &amp; Orders'!AB788</f>
        <v/>
      </c>
      <c r="E782" s="46">
        <f>IF(OR(B782="",C782="",D782=""),"",D782*100000+(C782-DATE(2000,1,1))+ROW()/100000)</f>
        <v/>
      </c>
      <c r="F782" s="46">
        <f>IF(E782="","",IF(C782&gt;WeekEndDate,"",E782))</f>
        <v/>
      </c>
    </row>
    <row r="783">
      <c r="A783" t="inlineStr">
        <is>
          <t>Selections &amp; Orders</t>
        </is>
      </c>
      <c r="B783" s="46">
        <f>'Selections &amp; Orders'!AC789</f>
        <v/>
      </c>
      <c r="C783" s="84">
        <f>'Selections &amp; Orders'!AA789</f>
        <v/>
      </c>
      <c r="D783" s="46">
        <f>'Selections &amp; Orders'!AB789</f>
        <v/>
      </c>
      <c r="E783" s="46">
        <f>IF(OR(B783="",C783="",D783=""),"",D783*100000+(C783-DATE(2000,1,1))+ROW()/100000)</f>
        <v/>
      </c>
      <c r="F783" s="46">
        <f>IF(E783="","",IF(C783&gt;WeekEndDate,"",E783))</f>
        <v/>
      </c>
    </row>
    <row r="784">
      <c r="A784" t="inlineStr">
        <is>
          <t>Selections &amp; Orders</t>
        </is>
      </c>
      <c r="B784" s="46">
        <f>'Selections &amp; Orders'!AC790</f>
        <v/>
      </c>
      <c r="C784" s="84">
        <f>'Selections &amp; Orders'!AA790</f>
        <v/>
      </c>
      <c r="D784" s="46">
        <f>'Selections &amp; Orders'!AB790</f>
        <v/>
      </c>
      <c r="E784" s="46">
        <f>IF(OR(B784="",C784="",D784=""),"",D784*100000+(C784-DATE(2000,1,1))+ROW()/100000)</f>
        <v/>
      </c>
      <c r="F784" s="46">
        <f>IF(E784="","",IF(C784&gt;WeekEndDate,"",E784))</f>
        <v/>
      </c>
    </row>
    <row r="785">
      <c r="A785" t="inlineStr">
        <is>
          <t>Selections &amp; Orders</t>
        </is>
      </c>
      <c r="B785" s="46">
        <f>'Selections &amp; Orders'!AC791</f>
        <v/>
      </c>
      <c r="C785" s="84">
        <f>'Selections &amp; Orders'!AA791</f>
        <v/>
      </c>
      <c r="D785" s="46">
        <f>'Selections &amp; Orders'!AB791</f>
        <v/>
      </c>
      <c r="E785" s="46">
        <f>IF(OR(B785="",C785="",D785=""),"",D785*100000+(C785-DATE(2000,1,1))+ROW()/100000)</f>
        <v/>
      </c>
      <c r="F785" s="46">
        <f>IF(E785="","",IF(C785&gt;WeekEndDate,"",E785))</f>
        <v/>
      </c>
    </row>
    <row r="786">
      <c r="A786" t="inlineStr">
        <is>
          <t>Selections &amp; Orders</t>
        </is>
      </c>
      <c r="B786" s="46">
        <f>'Selections &amp; Orders'!AC792</f>
        <v/>
      </c>
      <c r="C786" s="84">
        <f>'Selections &amp; Orders'!AA792</f>
        <v/>
      </c>
      <c r="D786" s="46">
        <f>'Selections &amp; Orders'!AB792</f>
        <v/>
      </c>
      <c r="E786" s="46">
        <f>IF(OR(B786="",C786="",D786=""),"",D786*100000+(C786-DATE(2000,1,1))+ROW()/100000)</f>
        <v/>
      </c>
      <c r="F786" s="46">
        <f>IF(E786="","",IF(C786&gt;WeekEndDate,"",E786))</f>
        <v/>
      </c>
    </row>
    <row r="787">
      <c r="A787" t="inlineStr">
        <is>
          <t>Selections &amp; Orders</t>
        </is>
      </c>
      <c r="B787" s="46">
        <f>'Selections &amp; Orders'!AC793</f>
        <v/>
      </c>
      <c r="C787" s="84">
        <f>'Selections &amp; Orders'!AA793</f>
        <v/>
      </c>
      <c r="D787" s="46">
        <f>'Selections &amp; Orders'!AB793</f>
        <v/>
      </c>
      <c r="E787" s="46">
        <f>IF(OR(B787="",C787="",D787=""),"",D787*100000+(C787-DATE(2000,1,1))+ROW()/100000)</f>
        <v/>
      </c>
      <c r="F787" s="46">
        <f>IF(E787="","",IF(C787&gt;WeekEndDate,"",E787))</f>
        <v/>
      </c>
    </row>
    <row r="788">
      <c r="A788" t="inlineStr">
        <is>
          <t>Selections &amp; Orders</t>
        </is>
      </c>
      <c r="B788" s="46">
        <f>'Selections &amp; Orders'!AC794</f>
        <v/>
      </c>
      <c r="C788" s="84">
        <f>'Selections &amp; Orders'!AA794</f>
        <v/>
      </c>
      <c r="D788" s="46">
        <f>'Selections &amp; Orders'!AB794</f>
        <v/>
      </c>
      <c r="E788" s="46">
        <f>IF(OR(B788="",C788="",D788=""),"",D788*100000+(C788-DATE(2000,1,1))+ROW()/100000)</f>
        <v/>
      </c>
      <c r="F788" s="46">
        <f>IF(E788="","",IF(C788&gt;WeekEndDate,"",E788))</f>
        <v/>
      </c>
    </row>
    <row r="789">
      <c r="A789" t="inlineStr">
        <is>
          <t>Selections &amp; Orders</t>
        </is>
      </c>
      <c r="B789" s="46">
        <f>'Selections &amp; Orders'!AC795</f>
        <v/>
      </c>
      <c r="C789" s="84">
        <f>'Selections &amp; Orders'!AA795</f>
        <v/>
      </c>
      <c r="D789" s="46">
        <f>'Selections &amp; Orders'!AB795</f>
        <v/>
      </c>
      <c r="E789" s="46">
        <f>IF(OR(B789="",C789="",D789=""),"",D789*100000+(C789-DATE(2000,1,1))+ROW()/100000)</f>
        <v/>
      </c>
      <c r="F789" s="46">
        <f>IF(E789="","",IF(C789&gt;WeekEndDate,"",E789))</f>
        <v/>
      </c>
    </row>
    <row r="790">
      <c r="A790" t="inlineStr">
        <is>
          <t>Selections &amp; Orders</t>
        </is>
      </c>
      <c r="B790" s="46">
        <f>'Selections &amp; Orders'!AC796</f>
        <v/>
      </c>
      <c r="C790" s="84">
        <f>'Selections &amp; Orders'!AA796</f>
        <v/>
      </c>
      <c r="D790" s="46">
        <f>'Selections &amp; Orders'!AB796</f>
        <v/>
      </c>
      <c r="E790" s="46">
        <f>IF(OR(B790="",C790="",D790=""),"",D790*100000+(C790-DATE(2000,1,1))+ROW()/100000)</f>
        <v/>
      </c>
      <c r="F790" s="46">
        <f>IF(E790="","",IF(C790&gt;WeekEndDate,"",E790))</f>
        <v/>
      </c>
    </row>
    <row r="791">
      <c r="A791" t="inlineStr">
        <is>
          <t>Selections &amp; Orders</t>
        </is>
      </c>
      <c r="B791" s="46">
        <f>'Selections &amp; Orders'!AC797</f>
        <v/>
      </c>
      <c r="C791" s="84">
        <f>'Selections &amp; Orders'!AA797</f>
        <v/>
      </c>
      <c r="D791" s="46">
        <f>'Selections &amp; Orders'!AB797</f>
        <v/>
      </c>
      <c r="E791" s="46">
        <f>IF(OR(B791="",C791="",D791=""),"",D791*100000+(C791-DATE(2000,1,1))+ROW()/100000)</f>
        <v/>
      </c>
      <c r="F791" s="46">
        <f>IF(E791="","",IF(C791&gt;WeekEndDate,"",E791))</f>
        <v/>
      </c>
    </row>
    <row r="792">
      <c r="A792" t="inlineStr">
        <is>
          <t>Selections &amp; Orders</t>
        </is>
      </c>
      <c r="B792" s="46">
        <f>'Selections &amp; Orders'!AC798</f>
        <v/>
      </c>
      <c r="C792" s="84">
        <f>'Selections &amp; Orders'!AA798</f>
        <v/>
      </c>
      <c r="D792" s="46">
        <f>'Selections &amp; Orders'!AB798</f>
        <v/>
      </c>
      <c r="E792" s="46">
        <f>IF(OR(B792="",C792="",D792=""),"",D792*100000+(C792-DATE(2000,1,1))+ROW()/100000)</f>
        <v/>
      </c>
      <c r="F792" s="46">
        <f>IF(E792="","",IF(C792&gt;WeekEndDate,"",E792))</f>
        <v/>
      </c>
    </row>
    <row r="793">
      <c r="A793" t="inlineStr">
        <is>
          <t>Selections &amp; Orders</t>
        </is>
      </c>
      <c r="B793" s="46">
        <f>'Selections &amp; Orders'!AC799</f>
        <v/>
      </c>
      <c r="C793" s="84">
        <f>'Selections &amp; Orders'!AA799</f>
        <v/>
      </c>
      <c r="D793" s="46">
        <f>'Selections &amp; Orders'!AB799</f>
        <v/>
      </c>
      <c r="E793" s="46">
        <f>IF(OR(B793="",C793="",D793=""),"",D793*100000+(C793-DATE(2000,1,1))+ROW()/100000)</f>
        <v/>
      </c>
      <c r="F793" s="46">
        <f>IF(E793="","",IF(C793&gt;WeekEndDate,"",E793))</f>
        <v/>
      </c>
    </row>
    <row r="794">
      <c r="A794" t="inlineStr">
        <is>
          <t>Selections &amp; Orders</t>
        </is>
      </c>
      <c r="B794" s="46">
        <f>'Selections &amp; Orders'!AC800</f>
        <v/>
      </c>
      <c r="C794" s="84">
        <f>'Selections &amp; Orders'!AA800</f>
        <v/>
      </c>
      <c r="D794" s="46">
        <f>'Selections &amp; Orders'!AB800</f>
        <v/>
      </c>
      <c r="E794" s="46">
        <f>IF(OR(B794="",C794="",D794=""),"",D794*100000+(C794-DATE(2000,1,1))+ROW()/100000)</f>
        <v/>
      </c>
      <c r="F794" s="46">
        <f>IF(E794="","",IF(C794&gt;WeekEndDate,"",E794))</f>
        <v/>
      </c>
    </row>
    <row r="795">
      <c r="A795" t="inlineStr">
        <is>
          <t>Selections &amp; Orders</t>
        </is>
      </c>
      <c r="B795" s="46">
        <f>'Selections &amp; Orders'!AC801</f>
        <v/>
      </c>
      <c r="C795" s="84">
        <f>'Selections &amp; Orders'!AA801</f>
        <v/>
      </c>
      <c r="D795" s="46">
        <f>'Selections &amp; Orders'!AB801</f>
        <v/>
      </c>
      <c r="E795" s="46">
        <f>IF(OR(B795="",C795="",D795=""),"",D795*100000+(C795-DATE(2000,1,1))+ROW()/100000)</f>
        <v/>
      </c>
      <c r="F795" s="46">
        <f>IF(E795="","",IF(C795&gt;WeekEndDate,"",E795))</f>
        <v/>
      </c>
    </row>
    <row r="796">
      <c r="A796" t="inlineStr">
        <is>
          <t>Selections &amp; Orders</t>
        </is>
      </c>
      <c r="B796" s="46">
        <f>'Selections &amp; Orders'!AC802</f>
        <v/>
      </c>
      <c r="C796" s="84">
        <f>'Selections &amp; Orders'!AA802</f>
        <v/>
      </c>
      <c r="D796" s="46">
        <f>'Selections &amp; Orders'!AB802</f>
        <v/>
      </c>
      <c r="E796" s="46">
        <f>IF(OR(B796="",C796="",D796=""),"",D796*100000+(C796-DATE(2000,1,1))+ROW()/100000)</f>
        <v/>
      </c>
      <c r="F796" s="46">
        <f>IF(E796="","",IF(C796&gt;WeekEndDate,"",E796))</f>
        <v/>
      </c>
    </row>
    <row r="797">
      <c r="A797" t="inlineStr">
        <is>
          <t>Selections &amp; Orders</t>
        </is>
      </c>
      <c r="B797" s="46">
        <f>'Selections &amp; Orders'!AC803</f>
        <v/>
      </c>
      <c r="C797" s="84">
        <f>'Selections &amp; Orders'!AA803</f>
        <v/>
      </c>
      <c r="D797" s="46">
        <f>'Selections &amp; Orders'!AB803</f>
        <v/>
      </c>
      <c r="E797" s="46">
        <f>IF(OR(B797="",C797="",D797=""),"",D797*100000+(C797-DATE(2000,1,1))+ROW()/100000)</f>
        <v/>
      </c>
      <c r="F797" s="46">
        <f>IF(E797="","",IF(C797&gt;WeekEndDate,"",E797))</f>
        <v/>
      </c>
    </row>
    <row r="798">
      <c r="A798" t="inlineStr">
        <is>
          <t>Selections &amp; Orders</t>
        </is>
      </c>
      <c r="B798" s="46">
        <f>'Selections &amp; Orders'!AC804</f>
        <v/>
      </c>
      <c r="C798" s="84">
        <f>'Selections &amp; Orders'!AA804</f>
        <v/>
      </c>
      <c r="D798" s="46">
        <f>'Selections &amp; Orders'!AB804</f>
        <v/>
      </c>
      <c r="E798" s="46">
        <f>IF(OR(B798="",C798="",D798=""),"",D798*100000+(C798-DATE(2000,1,1))+ROW()/100000)</f>
        <v/>
      </c>
      <c r="F798" s="46">
        <f>IF(E798="","",IF(C798&gt;WeekEndDate,"",E798))</f>
        <v/>
      </c>
    </row>
    <row r="799">
      <c r="A799" t="inlineStr">
        <is>
          <t>Selections &amp; Orders</t>
        </is>
      </c>
      <c r="B799" s="46">
        <f>'Selections &amp; Orders'!AC805</f>
        <v/>
      </c>
      <c r="C799" s="84">
        <f>'Selections &amp; Orders'!AA805</f>
        <v/>
      </c>
      <c r="D799" s="46">
        <f>'Selections &amp; Orders'!AB805</f>
        <v/>
      </c>
      <c r="E799" s="46">
        <f>IF(OR(B799="",C799="",D799=""),"",D799*100000+(C799-DATE(2000,1,1))+ROW()/100000)</f>
        <v/>
      </c>
      <c r="F799" s="46">
        <f>IF(E799="","",IF(C799&gt;WeekEndDate,"",E799))</f>
        <v/>
      </c>
    </row>
    <row r="800">
      <c r="A800" t="inlineStr">
        <is>
          <t>Selections &amp; Orders</t>
        </is>
      </c>
      <c r="B800" s="46">
        <f>'Selections &amp; Orders'!AC806</f>
        <v/>
      </c>
      <c r="C800" s="84">
        <f>'Selections &amp; Orders'!AA806</f>
        <v/>
      </c>
      <c r="D800" s="46">
        <f>'Selections &amp; Orders'!AB806</f>
        <v/>
      </c>
      <c r="E800" s="46">
        <f>IF(OR(B800="",C800="",D800=""),"",D800*100000+(C800-DATE(2000,1,1))+ROW()/100000)</f>
        <v/>
      </c>
      <c r="F800" s="46">
        <f>IF(E800="","",IF(C800&gt;WeekEndDate,"",E800))</f>
        <v/>
      </c>
    </row>
    <row r="801">
      <c r="A801" t="inlineStr">
        <is>
          <t>Selections &amp; Orders</t>
        </is>
      </c>
      <c r="B801" s="46">
        <f>'Selections &amp; Orders'!AC807</f>
        <v/>
      </c>
      <c r="C801" s="84">
        <f>'Selections &amp; Orders'!AA807</f>
        <v/>
      </c>
      <c r="D801" s="46">
        <f>'Selections &amp; Orders'!AB807</f>
        <v/>
      </c>
      <c r="E801" s="46">
        <f>IF(OR(B801="",C801="",D801=""),"",D801*100000+(C801-DATE(2000,1,1))+ROW()/100000)</f>
        <v/>
      </c>
      <c r="F801" s="46">
        <f>IF(E801="","",IF(C801&gt;WeekEndDate,"",E801))</f>
        <v/>
      </c>
    </row>
    <row r="802">
      <c r="A802" t="inlineStr">
        <is>
          <t>Selections &amp; Orders</t>
        </is>
      </c>
      <c r="B802" s="46">
        <f>'Selections &amp; Orders'!AC808</f>
        <v/>
      </c>
      <c r="C802" s="84">
        <f>'Selections &amp; Orders'!AA808</f>
        <v/>
      </c>
      <c r="D802" s="46">
        <f>'Selections &amp; Orders'!AB808</f>
        <v/>
      </c>
      <c r="E802" s="46">
        <f>IF(OR(B802="",C802="",D802=""),"",D802*100000+(C802-DATE(2000,1,1))+ROW()/100000)</f>
        <v/>
      </c>
      <c r="F802" s="46">
        <f>IF(E802="","",IF(C802&gt;WeekEndDate,"",E802))</f>
        <v/>
      </c>
    </row>
    <row r="803">
      <c r="A803" t="inlineStr">
        <is>
          <t>Selections &amp; Orders</t>
        </is>
      </c>
      <c r="B803" s="46">
        <f>'Selections &amp; Orders'!AC809</f>
        <v/>
      </c>
      <c r="C803" s="84">
        <f>'Selections &amp; Orders'!AA809</f>
        <v/>
      </c>
      <c r="D803" s="46">
        <f>'Selections &amp; Orders'!AB809</f>
        <v/>
      </c>
      <c r="E803" s="46">
        <f>IF(OR(B803="",C803="",D803=""),"",D803*100000+(C803-DATE(2000,1,1))+ROW()/100000)</f>
        <v/>
      </c>
      <c r="F803" s="46">
        <f>IF(E803="","",IF(C803&gt;WeekEndDate,"",E803))</f>
        <v/>
      </c>
    </row>
    <row r="804">
      <c r="A804" t="inlineStr">
        <is>
          <t>Selections &amp; Orders</t>
        </is>
      </c>
      <c r="B804" s="46">
        <f>'Selections &amp; Orders'!AC810</f>
        <v/>
      </c>
      <c r="C804" s="84">
        <f>'Selections &amp; Orders'!AA810</f>
        <v/>
      </c>
      <c r="D804" s="46">
        <f>'Selections &amp; Orders'!AB810</f>
        <v/>
      </c>
      <c r="E804" s="46">
        <f>IF(OR(B804="",C804="",D804=""),"",D804*100000+(C804-DATE(2000,1,1))+ROW()/100000)</f>
        <v/>
      </c>
      <c r="F804" s="46">
        <f>IF(E804="","",IF(C804&gt;WeekEndDate,"",E804))</f>
        <v/>
      </c>
    </row>
    <row r="805">
      <c r="A805" t="inlineStr">
        <is>
          <t>Selections &amp; Orders</t>
        </is>
      </c>
      <c r="B805" s="46">
        <f>'Selections &amp; Orders'!AC811</f>
        <v/>
      </c>
      <c r="C805" s="84">
        <f>'Selections &amp; Orders'!AA811</f>
        <v/>
      </c>
      <c r="D805" s="46">
        <f>'Selections &amp; Orders'!AB811</f>
        <v/>
      </c>
      <c r="E805" s="46">
        <f>IF(OR(B805="",C805="",D805=""),"",D805*100000+(C805-DATE(2000,1,1))+ROW()/100000)</f>
        <v/>
      </c>
      <c r="F805" s="46">
        <f>IF(E805="","",IF(C805&gt;WeekEndDate,"",E805))</f>
        <v/>
      </c>
    </row>
    <row r="806">
      <c r="A806" t="inlineStr">
        <is>
          <t>Selections &amp; Orders</t>
        </is>
      </c>
      <c r="B806" s="46">
        <f>'Selections &amp; Orders'!AC812</f>
        <v/>
      </c>
      <c r="C806" s="84">
        <f>'Selections &amp; Orders'!AA812</f>
        <v/>
      </c>
      <c r="D806" s="46">
        <f>'Selections &amp; Orders'!AB812</f>
        <v/>
      </c>
      <c r="E806" s="46">
        <f>IF(OR(B806="",C806="",D806=""),"",D806*100000+(C806-DATE(2000,1,1))+ROW()/100000)</f>
        <v/>
      </c>
      <c r="F806" s="46">
        <f>IF(E806="","",IF(C806&gt;WeekEndDate,"",E806))</f>
        <v/>
      </c>
    </row>
    <row r="807">
      <c r="A807" t="inlineStr">
        <is>
          <t>Selections &amp; Orders</t>
        </is>
      </c>
      <c r="B807" s="46">
        <f>'Selections &amp; Orders'!AC813</f>
        <v/>
      </c>
      <c r="C807" s="84">
        <f>'Selections &amp; Orders'!AA813</f>
        <v/>
      </c>
      <c r="D807" s="46">
        <f>'Selections &amp; Orders'!AB813</f>
        <v/>
      </c>
      <c r="E807" s="46">
        <f>IF(OR(B807="",C807="",D807=""),"",D807*100000+(C807-DATE(2000,1,1))+ROW()/100000)</f>
        <v/>
      </c>
      <c r="F807" s="46">
        <f>IF(E807="","",IF(C807&gt;WeekEndDate,"",E807))</f>
        <v/>
      </c>
    </row>
    <row r="808">
      <c r="A808" t="inlineStr">
        <is>
          <t>Selections &amp; Orders</t>
        </is>
      </c>
      <c r="B808" s="46">
        <f>'Selections &amp; Orders'!AC814</f>
        <v/>
      </c>
      <c r="C808" s="84">
        <f>'Selections &amp; Orders'!AA814</f>
        <v/>
      </c>
      <c r="D808" s="46">
        <f>'Selections &amp; Orders'!AB814</f>
        <v/>
      </c>
      <c r="E808" s="46">
        <f>IF(OR(B808="",C808="",D808=""),"",D808*100000+(C808-DATE(2000,1,1))+ROW()/100000)</f>
        <v/>
      </c>
      <c r="F808" s="46">
        <f>IF(E808="","",IF(C808&gt;WeekEndDate,"",E808))</f>
        <v/>
      </c>
    </row>
    <row r="809">
      <c r="A809" t="inlineStr">
        <is>
          <t>Selections &amp; Orders</t>
        </is>
      </c>
      <c r="B809" s="46">
        <f>'Selections &amp; Orders'!AC815</f>
        <v/>
      </c>
      <c r="C809" s="84">
        <f>'Selections &amp; Orders'!AA815</f>
        <v/>
      </c>
      <c r="D809" s="46">
        <f>'Selections &amp; Orders'!AB815</f>
        <v/>
      </c>
      <c r="E809" s="46">
        <f>IF(OR(B809="",C809="",D809=""),"",D809*100000+(C809-DATE(2000,1,1))+ROW()/100000)</f>
        <v/>
      </c>
      <c r="F809" s="46">
        <f>IF(E809="","",IF(C809&gt;WeekEndDate,"",E809))</f>
        <v/>
      </c>
    </row>
    <row r="810">
      <c r="A810" t="inlineStr">
        <is>
          <t>Selections &amp; Orders</t>
        </is>
      </c>
      <c r="B810" s="46">
        <f>'Selections &amp; Orders'!AC816</f>
        <v/>
      </c>
      <c r="C810" s="84">
        <f>'Selections &amp; Orders'!AA816</f>
        <v/>
      </c>
      <c r="D810" s="46">
        <f>'Selections &amp; Orders'!AB816</f>
        <v/>
      </c>
      <c r="E810" s="46">
        <f>IF(OR(B810="",C810="",D810=""),"",D810*100000+(C810-DATE(2000,1,1))+ROW()/100000)</f>
        <v/>
      </c>
      <c r="F810" s="46">
        <f>IF(E810="","",IF(C810&gt;WeekEndDate,"",E810))</f>
        <v/>
      </c>
    </row>
    <row r="811">
      <c r="A811" t="inlineStr">
        <is>
          <t>Selections &amp; Orders</t>
        </is>
      </c>
      <c r="B811" s="46">
        <f>'Selections &amp; Orders'!AC817</f>
        <v/>
      </c>
      <c r="C811" s="84">
        <f>'Selections &amp; Orders'!AA817</f>
        <v/>
      </c>
      <c r="D811" s="46">
        <f>'Selections &amp; Orders'!AB817</f>
        <v/>
      </c>
      <c r="E811" s="46">
        <f>IF(OR(B811="",C811="",D811=""),"",D811*100000+(C811-DATE(2000,1,1))+ROW()/100000)</f>
        <v/>
      </c>
      <c r="F811" s="46">
        <f>IF(E811="","",IF(C811&gt;WeekEndDate,"",E811))</f>
        <v/>
      </c>
    </row>
    <row r="812">
      <c r="A812" t="inlineStr">
        <is>
          <t>Selections &amp; Orders</t>
        </is>
      </c>
      <c r="B812" s="46">
        <f>'Selections &amp; Orders'!AC818</f>
        <v/>
      </c>
      <c r="C812" s="84">
        <f>'Selections &amp; Orders'!AA818</f>
        <v/>
      </c>
      <c r="D812" s="46">
        <f>'Selections &amp; Orders'!AB818</f>
        <v/>
      </c>
      <c r="E812" s="46">
        <f>IF(OR(B812="",C812="",D812=""),"",D812*100000+(C812-DATE(2000,1,1))+ROW()/100000)</f>
        <v/>
      </c>
      <c r="F812" s="46">
        <f>IF(E812="","",IF(C812&gt;WeekEndDate,"",E812))</f>
        <v/>
      </c>
    </row>
    <row r="813">
      <c r="A813" t="inlineStr">
        <is>
          <t>Selections &amp; Orders</t>
        </is>
      </c>
      <c r="B813" s="46">
        <f>'Selections &amp; Orders'!AC819</f>
        <v/>
      </c>
      <c r="C813" s="84">
        <f>'Selections &amp; Orders'!AA819</f>
        <v/>
      </c>
      <c r="D813" s="46">
        <f>'Selections &amp; Orders'!AB819</f>
        <v/>
      </c>
      <c r="E813" s="46">
        <f>IF(OR(B813="",C813="",D813=""),"",D813*100000+(C813-DATE(2000,1,1))+ROW()/100000)</f>
        <v/>
      </c>
      <c r="F813" s="46">
        <f>IF(E813="","",IF(C813&gt;WeekEndDate,"",E813))</f>
        <v/>
      </c>
    </row>
    <row r="814">
      <c r="A814" t="inlineStr">
        <is>
          <t>Selections &amp; Orders</t>
        </is>
      </c>
      <c r="B814" s="46">
        <f>'Selections &amp; Orders'!AC820</f>
        <v/>
      </c>
      <c r="C814" s="84">
        <f>'Selections &amp; Orders'!AA820</f>
        <v/>
      </c>
      <c r="D814" s="46">
        <f>'Selections &amp; Orders'!AB820</f>
        <v/>
      </c>
      <c r="E814" s="46">
        <f>IF(OR(B814="",C814="",D814=""),"",D814*100000+(C814-DATE(2000,1,1))+ROW()/100000)</f>
        <v/>
      </c>
      <c r="F814" s="46">
        <f>IF(E814="","",IF(C814&gt;WeekEndDate,"",E814))</f>
        <v/>
      </c>
    </row>
    <row r="815">
      <c r="A815" t="inlineStr">
        <is>
          <t>Selections &amp; Orders</t>
        </is>
      </c>
      <c r="B815" s="46">
        <f>'Selections &amp; Orders'!AC821</f>
        <v/>
      </c>
      <c r="C815" s="84">
        <f>'Selections &amp; Orders'!AA821</f>
        <v/>
      </c>
      <c r="D815" s="46">
        <f>'Selections &amp; Orders'!AB821</f>
        <v/>
      </c>
      <c r="E815" s="46">
        <f>IF(OR(B815="",C815="",D815=""),"",D815*100000+(C815-DATE(2000,1,1))+ROW()/100000)</f>
        <v/>
      </c>
      <c r="F815" s="46">
        <f>IF(E815="","",IF(C815&gt;WeekEndDate,"",E815))</f>
        <v/>
      </c>
    </row>
    <row r="816">
      <c r="A816" t="inlineStr">
        <is>
          <t>Selections &amp; Orders</t>
        </is>
      </c>
      <c r="B816" s="46">
        <f>'Selections &amp; Orders'!AC822</f>
        <v/>
      </c>
      <c r="C816" s="84">
        <f>'Selections &amp; Orders'!AA822</f>
        <v/>
      </c>
      <c r="D816" s="46">
        <f>'Selections &amp; Orders'!AB822</f>
        <v/>
      </c>
      <c r="E816" s="46">
        <f>IF(OR(B816="",C816="",D816=""),"",D816*100000+(C816-DATE(2000,1,1))+ROW()/100000)</f>
        <v/>
      </c>
      <c r="F816" s="46">
        <f>IF(E816="","",IF(C816&gt;WeekEndDate,"",E816))</f>
        <v/>
      </c>
    </row>
    <row r="817">
      <c r="A817" t="inlineStr">
        <is>
          <t>Selections &amp; Orders</t>
        </is>
      </c>
      <c r="B817" s="46">
        <f>'Selections &amp; Orders'!AC823</f>
        <v/>
      </c>
      <c r="C817" s="84">
        <f>'Selections &amp; Orders'!AA823</f>
        <v/>
      </c>
      <c r="D817" s="46">
        <f>'Selections &amp; Orders'!AB823</f>
        <v/>
      </c>
      <c r="E817" s="46">
        <f>IF(OR(B817="",C817="",D817=""),"",D817*100000+(C817-DATE(2000,1,1))+ROW()/100000)</f>
        <v/>
      </c>
      <c r="F817" s="46">
        <f>IF(E817="","",IF(C817&gt;WeekEndDate,"",E817))</f>
        <v/>
      </c>
    </row>
    <row r="818">
      <c r="A818" t="inlineStr">
        <is>
          <t>Selections &amp; Orders</t>
        </is>
      </c>
      <c r="B818" s="46">
        <f>'Selections &amp; Orders'!AC824</f>
        <v/>
      </c>
      <c r="C818" s="84">
        <f>'Selections &amp; Orders'!AA824</f>
        <v/>
      </c>
      <c r="D818" s="46">
        <f>'Selections &amp; Orders'!AB824</f>
        <v/>
      </c>
      <c r="E818" s="46">
        <f>IF(OR(B818="",C818="",D818=""),"",D818*100000+(C818-DATE(2000,1,1))+ROW()/100000)</f>
        <v/>
      </c>
      <c r="F818" s="46">
        <f>IF(E818="","",IF(C818&gt;WeekEndDate,"",E818))</f>
        <v/>
      </c>
    </row>
    <row r="819">
      <c r="A819" t="inlineStr">
        <is>
          <t>Selections &amp; Orders</t>
        </is>
      </c>
      <c r="B819" s="46">
        <f>'Selections &amp; Orders'!AC825</f>
        <v/>
      </c>
      <c r="C819" s="84">
        <f>'Selections &amp; Orders'!AA825</f>
        <v/>
      </c>
      <c r="D819" s="46">
        <f>'Selections &amp; Orders'!AB825</f>
        <v/>
      </c>
      <c r="E819" s="46">
        <f>IF(OR(B819="",C819="",D819=""),"",D819*100000+(C819-DATE(2000,1,1))+ROW()/100000)</f>
        <v/>
      </c>
      <c r="F819" s="46">
        <f>IF(E819="","",IF(C819&gt;WeekEndDate,"",E819))</f>
        <v/>
      </c>
    </row>
    <row r="820">
      <c r="A820" t="inlineStr">
        <is>
          <t>Selections &amp; Orders</t>
        </is>
      </c>
      <c r="B820" s="46">
        <f>'Selections &amp; Orders'!AC826</f>
        <v/>
      </c>
      <c r="C820" s="84">
        <f>'Selections &amp; Orders'!AA826</f>
        <v/>
      </c>
      <c r="D820" s="46">
        <f>'Selections &amp; Orders'!AB826</f>
        <v/>
      </c>
      <c r="E820" s="46">
        <f>IF(OR(B820="",C820="",D820=""),"",D820*100000+(C820-DATE(2000,1,1))+ROW()/100000)</f>
        <v/>
      </c>
      <c r="F820" s="46">
        <f>IF(E820="","",IF(C820&gt;WeekEndDate,"",E820))</f>
        <v/>
      </c>
    </row>
    <row r="821">
      <c r="A821" t="inlineStr">
        <is>
          <t>Selections &amp; Orders</t>
        </is>
      </c>
      <c r="B821" s="46">
        <f>'Selections &amp; Orders'!AC827</f>
        <v/>
      </c>
      <c r="C821" s="84">
        <f>'Selections &amp; Orders'!AA827</f>
        <v/>
      </c>
      <c r="D821" s="46">
        <f>'Selections &amp; Orders'!AB827</f>
        <v/>
      </c>
      <c r="E821" s="46">
        <f>IF(OR(B821="",C821="",D821=""),"",D821*100000+(C821-DATE(2000,1,1))+ROW()/100000)</f>
        <v/>
      </c>
      <c r="F821" s="46">
        <f>IF(E821="","",IF(C821&gt;WeekEndDate,"",E821))</f>
        <v/>
      </c>
    </row>
    <row r="822">
      <c r="A822" t="inlineStr">
        <is>
          <t>Selections &amp; Orders</t>
        </is>
      </c>
      <c r="B822" s="46">
        <f>'Selections &amp; Orders'!AC828</f>
        <v/>
      </c>
      <c r="C822" s="84">
        <f>'Selections &amp; Orders'!AA828</f>
        <v/>
      </c>
      <c r="D822" s="46">
        <f>'Selections &amp; Orders'!AB828</f>
        <v/>
      </c>
      <c r="E822" s="46">
        <f>IF(OR(B822="",C822="",D822=""),"",D822*100000+(C822-DATE(2000,1,1))+ROW()/100000)</f>
        <v/>
      </c>
      <c r="F822" s="46">
        <f>IF(E822="","",IF(C822&gt;WeekEndDate,"",E822))</f>
        <v/>
      </c>
    </row>
    <row r="823">
      <c r="A823" t="inlineStr">
        <is>
          <t>Selections &amp; Orders</t>
        </is>
      </c>
      <c r="B823" s="46">
        <f>'Selections &amp; Orders'!AC829</f>
        <v/>
      </c>
      <c r="C823" s="84">
        <f>'Selections &amp; Orders'!AA829</f>
        <v/>
      </c>
      <c r="D823" s="46">
        <f>'Selections &amp; Orders'!AB829</f>
        <v/>
      </c>
      <c r="E823" s="46">
        <f>IF(OR(B823="",C823="",D823=""),"",D823*100000+(C823-DATE(2000,1,1))+ROW()/100000)</f>
        <v/>
      </c>
      <c r="F823" s="46">
        <f>IF(E823="","",IF(C823&gt;WeekEndDate,"",E823))</f>
        <v/>
      </c>
    </row>
    <row r="824">
      <c r="A824" t="inlineStr">
        <is>
          <t>Selections &amp; Orders</t>
        </is>
      </c>
      <c r="B824" s="46">
        <f>'Selections &amp; Orders'!AC830</f>
        <v/>
      </c>
      <c r="C824" s="84">
        <f>'Selections &amp; Orders'!AA830</f>
        <v/>
      </c>
      <c r="D824" s="46">
        <f>'Selections &amp; Orders'!AB830</f>
        <v/>
      </c>
      <c r="E824" s="46">
        <f>IF(OR(B824="",C824="",D824=""),"",D824*100000+(C824-DATE(2000,1,1))+ROW()/100000)</f>
        <v/>
      </c>
      <c r="F824" s="46">
        <f>IF(E824="","",IF(C824&gt;WeekEndDate,"",E824))</f>
        <v/>
      </c>
    </row>
    <row r="825">
      <c r="A825" t="inlineStr">
        <is>
          <t>Selections &amp; Orders</t>
        </is>
      </c>
      <c r="B825" s="46">
        <f>'Selections &amp; Orders'!AC831</f>
        <v/>
      </c>
      <c r="C825" s="84">
        <f>'Selections &amp; Orders'!AA831</f>
        <v/>
      </c>
      <c r="D825" s="46">
        <f>'Selections &amp; Orders'!AB831</f>
        <v/>
      </c>
      <c r="E825" s="46">
        <f>IF(OR(B825="",C825="",D825=""),"",D825*100000+(C825-DATE(2000,1,1))+ROW()/100000)</f>
        <v/>
      </c>
      <c r="F825" s="46">
        <f>IF(E825="","",IF(C825&gt;WeekEndDate,"",E825))</f>
        <v/>
      </c>
    </row>
    <row r="826">
      <c r="A826" t="inlineStr">
        <is>
          <t>Selections &amp; Orders</t>
        </is>
      </c>
      <c r="B826" s="46">
        <f>'Selections &amp; Orders'!AC832</f>
        <v/>
      </c>
      <c r="C826" s="84">
        <f>'Selections &amp; Orders'!AA832</f>
        <v/>
      </c>
      <c r="D826" s="46">
        <f>'Selections &amp; Orders'!AB832</f>
        <v/>
      </c>
      <c r="E826" s="46">
        <f>IF(OR(B826="",C826="",D826=""),"",D826*100000+(C826-DATE(2000,1,1))+ROW()/100000)</f>
        <v/>
      </c>
      <c r="F826" s="46">
        <f>IF(E826="","",IF(C826&gt;WeekEndDate,"",E826))</f>
        <v/>
      </c>
    </row>
    <row r="827">
      <c r="A827" t="inlineStr">
        <is>
          <t>Selections &amp; Orders</t>
        </is>
      </c>
      <c r="B827" s="46">
        <f>'Selections &amp; Orders'!AC833</f>
        <v/>
      </c>
      <c r="C827" s="84">
        <f>'Selections &amp; Orders'!AA833</f>
        <v/>
      </c>
      <c r="D827" s="46">
        <f>'Selections &amp; Orders'!AB833</f>
        <v/>
      </c>
      <c r="E827" s="46">
        <f>IF(OR(B827="",C827="",D827=""),"",D827*100000+(C827-DATE(2000,1,1))+ROW()/100000)</f>
        <v/>
      </c>
      <c r="F827" s="46">
        <f>IF(E827="","",IF(C827&gt;WeekEndDate,"",E827))</f>
        <v/>
      </c>
    </row>
    <row r="828">
      <c r="A828" t="inlineStr">
        <is>
          <t>Selections &amp; Orders</t>
        </is>
      </c>
      <c r="B828" s="46">
        <f>'Selections &amp; Orders'!AC834</f>
        <v/>
      </c>
      <c r="C828" s="84">
        <f>'Selections &amp; Orders'!AA834</f>
        <v/>
      </c>
      <c r="D828" s="46">
        <f>'Selections &amp; Orders'!AB834</f>
        <v/>
      </c>
      <c r="E828" s="46">
        <f>IF(OR(B828="",C828="",D828=""),"",D828*100000+(C828-DATE(2000,1,1))+ROW()/100000)</f>
        <v/>
      </c>
      <c r="F828" s="46">
        <f>IF(E828="","",IF(C828&gt;WeekEndDate,"",E828))</f>
        <v/>
      </c>
    </row>
    <row r="829">
      <c r="A829" t="inlineStr">
        <is>
          <t>Selections &amp; Orders</t>
        </is>
      </c>
      <c r="B829" s="46">
        <f>'Selections &amp; Orders'!AC835</f>
        <v/>
      </c>
      <c r="C829" s="84">
        <f>'Selections &amp; Orders'!AA835</f>
        <v/>
      </c>
      <c r="D829" s="46">
        <f>'Selections &amp; Orders'!AB835</f>
        <v/>
      </c>
      <c r="E829" s="46">
        <f>IF(OR(B829="",C829="",D829=""),"",D829*100000+(C829-DATE(2000,1,1))+ROW()/100000)</f>
        <v/>
      </c>
      <c r="F829" s="46">
        <f>IF(E829="","",IF(C829&gt;WeekEndDate,"",E829))</f>
        <v/>
      </c>
    </row>
    <row r="830">
      <c r="A830" t="inlineStr">
        <is>
          <t>Selections &amp; Orders</t>
        </is>
      </c>
      <c r="B830" s="46">
        <f>'Selections &amp; Orders'!AC836</f>
        <v/>
      </c>
      <c r="C830" s="84">
        <f>'Selections &amp; Orders'!AA836</f>
        <v/>
      </c>
      <c r="D830" s="46">
        <f>'Selections &amp; Orders'!AB836</f>
        <v/>
      </c>
      <c r="E830" s="46">
        <f>IF(OR(B830="",C830="",D830=""),"",D830*100000+(C830-DATE(2000,1,1))+ROW()/100000)</f>
        <v/>
      </c>
      <c r="F830" s="46">
        <f>IF(E830="","",IF(C830&gt;WeekEndDate,"",E830))</f>
        <v/>
      </c>
    </row>
    <row r="831">
      <c r="A831" t="inlineStr">
        <is>
          <t>Selections &amp; Orders</t>
        </is>
      </c>
      <c r="B831" s="46">
        <f>'Selections &amp; Orders'!AC837</f>
        <v/>
      </c>
      <c r="C831" s="84">
        <f>'Selections &amp; Orders'!AA837</f>
        <v/>
      </c>
      <c r="D831" s="46">
        <f>'Selections &amp; Orders'!AB837</f>
        <v/>
      </c>
      <c r="E831" s="46">
        <f>IF(OR(B831="",C831="",D831=""),"",D831*100000+(C831-DATE(2000,1,1))+ROW()/100000)</f>
        <v/>
      </c>
      <c r="F831" s="46">
        <f>IF(E831="","",IF(C831&gt;WeekEndDate,"",E831))</f>
        <v/>
      </c>
    </row>
    <row r="832">
      <c r="A832" t="inlineStr">
        <is>
          <t>Selections &amp; Orders</t>
        </is>
      </c>
      <c r="B832" s="46">
        <f>'Selections &amp; Orders'!AC838</f>
        <v/>
      </c>
      <c r="C832" s="84">
        <f>'Selections &amp; Orders'!AA838</f>
        <v/>
      </c>
      <c r="D832" s="46">
        <f>'Selections &amp; Orders'!AB838</f>
        <v/>
      </c>
      <c r="E832" s="46">
        <f>IF(OR(B832="",C832="",D832=""),"",D832*100000+(C832-DATE(2000,1,1))+ROW()/100000)</f>
        <v/>
      </c>
      <c r="F832" s="46">
        <f>IF(E832="","",IF(C832&gt;WeekEndDate,"",E832))</f>
        <v/>
      </c>
    </row>
    <row r="833">
      <c r="A833" t="inlineStr">
        <is>
          <t>Selections &amp; Orders</t>
        </is>
      </c>
      <c r="B833" s="46">
        <f>'Selections &amp; Orders'!AC839</f>
        <v/>
      </c>
      <c r="C833" s="84">
        <f>'Selections &amp; Orders'!AA839</f>
        <v/>
      </c>
      <c r="D833" s="46">
        <f>'Selections &amp; Orders'!AB839</f>
        <v/>
      </c>
      <c r="E833" s="46">
        <f>IF(OR(B833="",C833="",D833=""),"",D833*100000+(C833-DATE(2000,1,1))+ROW()/100000)</f>
        <v/>
      </c>
      <c r="F833" s="46">
        <f>IF(E833="","",IF(C833&gt;WeekEndDate,"",E833))</f>
        <v/>
      </c>
    </row>
    <row r="834">
      <c r="A834" t="inlineStr">
        <is>
          <t>Selections &amp; Orders</t>
        </is>
      </c>
      <c r="B834" s="46">
        <f>'Selections &amp; Orders'!AC840</f>
        <v/>
      </c>
      <c r="C834" s="84">
        <f>'Selections &amp; Orders'!AA840</f>
        <v/>
      </c>
      <c r="D834" s="46">
        <f>'Selections &amp; Orders'!AB840</f>
        <v/>
      </c>
      <c r="E834" s="46">
        <f>IF(OR(B834="",C834="",D834=""),"",D834*100000+(C834-DATE(2000,1,1))+ROW()/100000)</f>
        <v/>
      </c>
      <c r="F834" s="46">
        <f>IF(E834="","",IF(C834&gt;WeekEndDate,"",E834))</f>
        <v/>
      </c>
    </row>
    <row r="835">
      <c r="A835" t="inlineStr">
        <is>
          <t>Selections &amp; Orders</t>
        </is>
      </c>
      <c r="B835" s="46">
        <f>'Selections &amp; Orders'!AC841</f>
        <v/>
      </c>
      <c r="C835" s="84">
        <f>'Selections &amp; Orders'!AA841</f>
        <v/>
      </c>
      <c r="D835" s="46">
        <f>'Selections &amp; Orders'!AB841</f>
        <v/>
      </c>
      <c r="E835" s="46">
        <f>IF(OR(B835="",C835="",D835=""),"",D835*100000+(C835-DATE(2000,1,1))+ROW()/100000)</f>
        <v/>
      </c>
      <c r="F835" s="46">
        <f>IF(E835="","",IF(C835&gt;WeekEndDate,"",E835))</f>
        <v/>
      </c>
    </row>
    <row r="836">
      <c r="A836" t="inlineStr">
        <is>
          <t>Selections &amp; Orders</t>
        </is>
      </c>
      <c r="B836" s="46">
        <f>'Selections &amp; Orders'!AC842</f>
        <v/>
      </c>
      <c r="C836" s="84">
        <f>'Selections &amp; Orders'!AA842</f>
        <v/>
      </c>
      <c r="D836" s="46">
        <f>'Selections &amp; Orders'!AB842</f>
        <v/>
      </c>
      <c r="E836" s="46">
        <f>IF(OR(B836="",C836="",D836=""),"",D836*100000+(C836-DATE(2000,1,1))+ROW()/100000)</f>
        <v/>
      </c>
      <c r="F836" s="46">
        <f>IF(E836="","",IF(C836&gt;WeekEndDate,"",E836))</f>
        <v/>
      </c>
    </row>
    <row r="837">
      <c r="A837" t="inlineStr">
        <is>
          <t>Selections &amp; Orders</t>
        </is>
      </c>
      <c r="B837" s="46">
        <f>'Selections &amp; Orders'!AC843</f>
        <v/>
      </c>
      <c r="C837" s="84">
        <f>'Selections &amp; Orders'!AA843</f>
        <v/>
      </c>
      <c r="D837" s="46">
        <f>'Selections &amp; Orders'!AB843</f>
        <v/>
      </c>
      <c r="E837" s="46">
        <f>IF(OR(B837="",C837="",D837=""),"",D837*100000+(C837-DATE(2000,1,1))+ROW()/100000)</f>
        <v/>
      </c>
      <c r="F837" s="46">
        <f>IF(E837="","",IF(C837&gt;WeekEndDate,"",E837))</f>
        <v/>
      </c>
    </row>
    <row r="838">
      <c r="A838" t="inlineStr">
        <is>
          <t>Selections &amp; Orders</t>
        </is>
      </c>
      <c r="B838" s="46">
        <f>'Selections &amp; Orders'!AC844</f>
        <v/>
      </c>
      <c r="C838" s="84">
        <f>'Selections &amp; Orders'!AA844</f>
        <v/>
      </c>
      <c r="D838" s="46">
        <f>'Selections &amp; Orders'!AB844</f>
        <v/>
      </c>
      <c r="E838" s="46">
        <f>IF(OR(B838="",C838="",D838=""),"",D838*100000+(C838-DATE(2000,1,1))+ROW()/100000)</f>
        <v/>
      </c>
      <c r="F838" s="46">
        <f>IF(E838="","",IF(C838&gt;WeekEndDate,"",E838))</f>
        <v/>
      </c>
    </row>
    <row r="839">
      <c r="A839" t="inlineStr">
        <is>
          <t>Selections &amp; Orders</t>
        </is>
      </c>
      <c r="B839" s="46">
        <f>'Selections &amp; Orders'!AC845</f>
        <v/>
      </c>
      <c r="C839" s="84">
        <f>'Selections &amp; Orders'!AA845</f>
        <v/>
      </c>
      <c r="D839" s="46">
        <f>'Selections &amp; Orders'!AB845</f>
        <v/>
      </c>
      <c r="E839" s="46">
        <f>IF(OR(B839="",C839="",D839=""),"",D839*100000+(C839-DATE(2000,1,1))+ROW()/100000)</f>
        <v/>
      </c>
      <c r="F839" s="46">
        <f>IF(E839="","",IF(C839&gt;WeekEndDate,"",E839))</f>
        <v/>
      </c>
    </row>
    <row r="840">
      <c r="A840" t="inlineStr">
        <is>
          <t>Selections &amp; Orders</t>
        </is>
      </c>
      <c r="B840" s="46">
        <f>'Selections &amp; Orders'!AC846</f>
        <v/>
      </c>
      <c r="C840" s="84">
        <f>'Selections &amp; Orders'!AA846</f>
        <v/>
      </c>
      <c r="D840" s="46">
        <f>'Selections &amp; Orders'!AB846</f>
        <v/>
      </c>
      <c r="E840" s="46">
        <f>IF(OR(B840="",C840="",D840=""),"",D840*100000+(C840-DATE(2000,1,1))+ROW()/100000)</f>
        <v/>
      </c>
      <c r="F840" s="46">
        <f>IF(E840="","",IF(C840&gt;WeekEndDate,"",E840))</f>
        <v/>
      </c>
    </row>
    <row r="841">
      <c r="A841" t="inlineStr">
        <is>
          <t>Selections &amp; Orders</t>
        </is>
      </c>
      <c r="B841" s="46">
        <f>'Selections &amp; Orders'!AC847</f>
        <v/>
      </c>
      <c r="C841" s="84">
        <f>'Selections &amp; Orders'!AA847</f>
        <v/>
      </c>
      <c r="D841" s="46">
        <f>'Selections &amp; Orders'!AB847</f>
        <v/>
      </c>
      <c r="E841" s="46">
        <f>IF(OR(B841="",C841="",D841=""),"",D841*100000+(C841-DATE(2000,1,1))+ROW()/100000)</f>
        <v/>
      </c>
      <c r="F841" s="46">
        <f>IF(E841="","",IF(C841&gt;WeekEndDate,"",E841))</f>
        <v/>
      </c>
    </row>
    <row r="842">
      <c r="A842" t="inlineStr">
        <is>
          <t>Selections &amp; Orders</t>
        </is>
      </c>
      <c r="B842" s="46">
        <f>'Selections &amp; Orders'!AC848</f>
        <v/>
      </c>
      <c r="C842" s="84">
        <f>'Selections &amp; Orders'!AA848</f>
        <v/>
      </c>
      <c r="D842" s="46">
        <f>'Selections &amp; Orders'!AB848</f>
        <v/>
      </c>
      <c r="E842" s="46">
        <f>IF(OR(B842="",C842="",D842=""),"",D842*100000+(C842-DATE(2000,1,1))+ROW()/100000)</f>
        <v/>
      </c>
      <c r="F842" s="46">
        <f>IF(E842="","",IF(C842&gt;WeekEndDate,"",E842))</f>
        <v/>
      </c>
    </row>
    <row r="843">
      <c r="A843" t="inlineStr">
        <is>
          <t>Selections &amp; Orders</t>
        </is>
      </c>
      <c r="B843" s="46">
        <f>'Selections &amp; Orders'!AC849</f>
        <v/>
      </c>
      <c r="C843" s="84">
        <f>'Selections &amp; Orders'!AA849</f>
        <v/>
      </c>
      <c r="D843" s="46">
        <f>'Selections &amp; Orders'!AB849</f>
        <v/>
      </c>
      <c r="E843" s="46">
        <f>IF(OR(B843="",C843="",D843=""),"",D843*100000+(C843-DATE(2000,1,1))+ROW()/100000)</f>
        <v/>
      </c>
      <c r="F843" s="46">
        <f>IF(E843="","",IF(C843&gt;WeekEndDate,"",E843))</f>
        <v/>
      </c>
    </row>
    <row r="844">
      <c r="A844" t="inlineStr">
        <is>
          <t>Selections &amp; Orders</t>
        </is>
      </c>
      <c r="B844" s="46">
        <f>'Selections &amp; Orders'!AC850</f>
        <v/>
      </c>
      <c r="C844" s="84">
        <f>'Selections &amp; Orders'!AA850</f>
        <v/>
      </c>
      <c r="D844" s="46">
        <f>'Selections &amp; Orders'!AB850</f>
        <v/>
      </c>
      <c r="E844" s="46">
        <f>IF(OR(B844="",C844="",D844=""),"",D844*100000+(C844-DATE(2000,1,1))+ROW()/100000)</f>
        <v/>
      </c>
      <c r="F844" s="46">
        <f>IF(E844="","",IF(C844&gt;WeekEndDate,"",E844))</f>
        <v/>
      </c>
    </row>
    <row r="845">
      <c r="A845" t="inlineStr">
        <is>
          <t>Selections &amp; Orders</t>
        </is>
      </c>
      <c r="B845" s="46">
        <f>'Selections &amp; Orders'!AC851</f>
        <v/>
      </c>
      <c r="C845" s="84">
        <f>'Selections &amp; Orders'!AA851</f>
        <v/>
      </c>
      <c r="D845" s="46">
        <f>'Selections &amp; Orders'!AB851</f>
        <v/>
      </c>
      <c r="E845" s="46">
        <f>IF(OR(B845="",C845="",D845=""),"",D845*100000+(C845-DATE(2000,1,1))+ROW()/100000)</f>
        <v/>
      </c>
      <c r="F845" s="46">
        <f>IF(E845="","",IF(C845&gt;WeekEndDate,"",E845))</f>
        <v/>
      </c>
    </row>
    <row r="846">
      <c r="A846" t="inlineStr">
        <is>
          <t>Selections &amp; Orders</t>
        </is>
      </c>
      <c r="B846" s="46">
        <f>'Selections &amp; Orders'!AC852</f>
        <v/>
      </c>
      <c r="C846" s="84">
        <f>'Selections &amp; Orders'!AA852</f>
        <v/>
      </c>
      <c r="D846" s="46">
        <f>'Selections &amp; Orders'!AB852</f>
        <v/>
      </c>
      <c r="E846" s="46">
        <f>IF(OR(B846="",C846="",D846=""),"",D846*100000+(C846-DATE(2000,1,1))+ROW()/100000)</f>
        <v/>
      </c>
      <c r="F846" s="46">
        <f>IF(E846="","",IF(C846&gt;WeekEndDate,"",E846))</f>
        <v/>
      </c>
    </row>
    <row r="847">
      <c r="A847" t="inlineStr">
        <is>
          <t>Selections &amp; Orders</t>
        </is>
      </c>
      <c r="B847" s="46">
        <f>'Selections &amp; Orders'!AC853</f>
        <v/>
      </c>
      <c r="C847" s="84">
        <f>'Selections &amp; Orders'!AA853</f>
        <v/>
      </c>
      <c r="D847" s="46">
        <f>'Selections &amp; Orders'!AB853</f>
        <v/>
      </c>
      <c r="E847" s="46">
        <f>IF(OR(B847="",C847="",D847=""),"",D847*100000+(C847-DATE(2000,1,1))+ROW()/100000)</f>
        <v/>
      </c>
      <c r="F847" s="46">
        <f>IF(E847="","",IF(C847&gt;WeekEndDate,"",E847))</f>
        <v/>
      </c>
    </row>
    <row r="848">
      <c r="A848" t="inlineStr">
        <is>
          <t>Selections &amp; Orders</t>
        </is>
      </c>
      <c r="B848" s="46">
        <f>'Selections &amp; Orders'!AC854</f>
        <v/>
      </c>
      <c r="C848" s="84">
        <f>'Selections &amp; Orders'!AA854</f>
        <v/>
      </c>
      <c r="D848" s="46">
        <f>'Selections &amp; Orders'!AB854</f>
        <v/>
      </c>
      <c r="E848" s="46">
        <f>IF(OR(B848="",C848="",D848=""),"",D848*100000+(C848-DATE(2000,1,1))+ROW()/100000)</f>
        <v/>
      </c>
      <c r="F848" s="46">
        <f>IF(E848="","",IF(C848&gt;WeekEndDate,"",E848))</f>
        <v/>
      </c>
    </row>
    <row r="849">
      <c r="A849" t="inlineStr">
        <is>
          <t>Selections &amp; Orders</t>
        </is>
      </c>
      <c r="B849" s="46">
        <f>'Selections &amp; Orders'!AC855</f>
        <v/>
      </c>
      <c r="C849" s="84">
        <f>'Selections &amp; Orders'!AA855</f>
        <v/>
      </c>
      <c r="D849" s="46">
        <f>'Selections &amp; Orders'!AB855</f>
        <v/>
      </c>
      <c r="E849" s="46">
        <f>IF(OR(B849="",C849="",D849=""),"",D849*100000+(C849-DATE(2000,1,1))+ROW()/100000)</f>
        <v/>
      </c>
      <c r="F849" s="46">
        <f>IF(E849="","",IF(C849&gt;WeekEndDate,"",E849))</f>
        <v/>
      </c>
    </row>
    <row r="850">
      <c r="A850" t="inlineStr">
        <is>
          <t>Selections &amp; Orders</t>
        </is>
      </c>
      <c r="B850" s="46">
        <f>'Selections &amp; Orders'!AC856</f>
        <v/>
      </c>
      <c r="C850" s="84">
        <f>'Selections &amp; Orders'!AA856</f>
        <v/>
      </c>
      <c r="D850" s="46">
        <f>'Selections &amp; Orders'!AB856</f>
        <v/>
      </c>
      <c r="E850" s="46">
        <f>IF(OR(B850="",C850="",D850=""),"",D850*100000+(C850-DATE(2000,1,1))+ROW()/100000)</f>
        <v/>
      </c>
      <c r="F850" s="46">
        <f>IF(E850="","",IF(C850&gt;WeekEndDate,"",E850))</f>
        <v/>
      </c>
    </row>
    <row r="851">
      <c r="A851" t="inlineStr">
        <is>
          <t>Selections &amp; Orders</t>
        </is>
      </c>
      <c r="B851" s="46">
        <f>'Selections &amp; Orders'!AC857</f>
        <v/>
      </c>
      <c r="C851" s="84">
        <f>'Selections &amp; Orders'!AA857</f>
        <v/>
      </c>
      <c r="D851" s="46">
        <f>'Selections &amp; Orders'!AB857</f>
        <v/>
      </c>
      <c r="E851" s="46">
        <f>IF(OR(B851="",C851="",D851=""),"",D851*100000+(C851-DATE(2000,1,1))+ROW()/100000)</f>
        <v/>
      </c>
      <c r="F851" s="46">
        <f>IF(E851="","",IF(C851&gt;WeekEndDate,"",E851))</f>
        <v/>
      </c>
    </row>
    <row r="852">
      <c r="A852" t="inlineStr">
        <is>
          <t>Selections &amp; Orders</t>
        </is>
      </c>
      <c r="B852" s="46">
        <f>'Selections &amp; Orders'!AC858</f>
        <v/>
      </c>
      <c r="C852" s="84">
        <f>'Selections &amp; Orders'!AA858</f>
        <v/>
      </c>
      <c r="D852" s="46">
        <f>'Selections &amp; Orders'!AB858</f>
        <v/>
      </c>
      <c r="E852" s="46">
        <f>IF(OR(B852="",C852="",D852=""),"",D852*100000+(C852-DATE(2000,1,1))+ROW()/100000)</f>
        <v/>
      </c>
      <c r="F852" s="46">
        <f>IF(E852="","",IF(C852&gt;WeekEndDate,"",E852))</f>
        <v/>
      </c>
    </row>
    <row r="853">
      <c r="A853" t="inlineStr">
        <is>
          <t>Selections &amp; Orders</t>
        </is>
      </c>
      <c r="B853" s="46">
        <f>'Selections &amp; Orders'!AC859</f>
        <v/>
      </c>
      <c r="C853" s="84">
        <f>'Selections &amp; Orders'!AA859</f>
        <v/>
      </c>
      <c r="D853" s="46">
        <f>'Selections &amp; Orders'!AB859</f>
        <v/>
      </c>
      <c r="E853" s="46">
        <f>IF(OR(B853="",C853="",D853=""),"",D853*100000+(C853-DATE(2000,1,1))+ROW()/100000)</f>
        <v/>
      </c>
      <c r="F853" s="46">
        <f>IF(E853="","",IF(C853&gt;WeekEndDate,"",E853))</f>
        <v/>
      </c>
    </row>
    <row r="854">
      <c r="A854" t="inlineStr">
        <is>
          <t>Selections &amp; Orders</t>
        </is>
      </c>
      <c r="B854" s="46">
        <f>'Selections &amp; Orders'!AC860</f>
        <v/>
      </c>
      <c r="C854" s="84">
        <f>'Selections &amp; Orders'!AA860</f>
        <v/>
      </c>
      <c r="D854" s="46">
        <f>'Selections &amp; Orders'!AB860</f>
        <v/>
      </c>
      <c r="E854" s="46">
        <f>IF(OR(B854="",C854="",D854=""),"",D854*100000+(C854-DATE(2000,1,1))+ROW()/100000)</f>
        <v/>
      </c>
      <c r="F854" s="46">
        <f>IF(E854="","",IF(C854&gt;WeekEndDate,"",E854))</f>
        <v/>
      </c>
    </row>
    <row r="855">
      <c r="A855" t="inlineStr">
        <is>
          <t>Selections &amp; Orders</t>
        </is>
      </c>
      <c r="B855" s="46">
        <f>'Selections &amp; Orders'!AC861</f>
        <v/>
      </c>
      <c r="C855" s="84">
        <f>'Selections &amp; Orders'!AA861</f>
        <v/>
      </c>
      <c r="D855" s="46">
        <f>'Selections &amp; Orders'!AB861</f>
        <v/>
      </c>
      <c r="E855" s="46">
        <f>IF(OR(B855="",C855="",D855=""),"",D855*100000+(C855-DATE(2000,1,1))+ROW()/100000)</f>
        <v/>
      </c>
      <c r="F855" s="46">
        <f>IF(E855="","",IF(C855&gt;WeekEndDate,"",E855))</f>
        <v/>
      </c>
    </row>
    <row r="856">
      <c r="A856" t="inlineStr">
        <is>
          <t>Selections &amp; Orders</t>
        </is>
      </c>
      <c r="B856" s="46">
        <f>'Selections &amp; Orders'!AC862</f>
        <v/>
      </c>
      <c r="C856" s="84">
        <f>'Selections &amp; Orders'!AA862</f>
        <v/>
      </c>
      <c r="D856" s="46">
        <f>'Selections &amp; Orders'!AB862</f>
        <v/>
      </c>
      <c r="E856" s="46">
        <f>IF(OR(B856="",C856="",D856=""),"",D856*100000+(C856-DATE(2000,1,1))+ROW()/100000)</f>
        <v/>
      </c>
      <c r="F856" s="46">
        <f>IF(E856="","",IF(C856&gt;WeekEndDate,"",E856))</f>
        <v/>
      </c>
    </row>
    <row r="857">
      <c r="A857" t="inlineStr">
        <is>
          <t>Selections &amp; Orders</t>
        </is>
      </c>
      <c r="B857" s="46">
        <f>'Selections &amp; Orders'!AC863</f>
        <v/>
      </c>
      <c r="C857" s="84">
        <f>'Selections &amp; Orders'!AA863</f>
        <v/>
      </c>
      <c r="D857" s="46">
        <f>'Selections &amp; Orders'!AB863</f>
        <v/>
      </c>
      <c r="E857" s="46">
        <f>IF(OR(B857="",C857="",D857=""),"",D857*100000+(C857-DATE(2000,1,1))+ROW()/100000)</f>
        <v/>
      </c>
      <c r="F857" s="46">
        <f>IF(E857="","",IF(C857&gt;WeekEndDate,"",E857))</f>
        <v/>
      </c>
    </row>
    <row r="858">
      <c r="A858" t="inlineStr">
        <is>
          <t>Selections &amp; Orders</t>
        </is>
      </c>
      <c r="B858" s="46">
        <f>'Selections &amp; Orders'!AC864</f>
        <v/>
      </c>
      <c r="C858" s="84">
        <f>'Selections &amp; Orders'!AA864</f>
        <v/>
      </c>
      <c r="D858" s="46">
        <f>'Selections &amp; Orders'!AB864</f>
        <v/>
      </c>
      <c r="E858" s="46">
        <f>IF(OR(B858="",C858="",D858=""),"",D858*100000+(C858-DATE(2000,1,1))+ROW()/100000)</f>
        <v/>
      </c>
      <c r="F858" s="46">
        <f>IF(E858="","",IF(C858&gt;WeekEndDate,"",E858))</f>
        <v/>
      </c>
    </row>
    <row r="859">
      <c r="A859" t="inlineStr">
        <is>
          <t>Selections &amp; Orders</t>
        </is>
      </c>
      <c r="B859" s="46">
        <f>'Selections &amp; Orders'!AC865</f>
        <v/>
      </c>
      <c r="C859" s="84">
        <f>'Selections &amp; Orders'!AA865</f>
        <v/>
      </c>
      <c r="D859" s="46">
        <f>'Selections &amp; Orders'!AB865</f>
        <v/>
      </c>
      <c r="E859" s="46">
        <f>IF(OR(B859="",C859="",D859=""),"",D859*100000+(C859-DATE(2000,1,1))+ROW()/100000)</f>
        <v/>
      </c>
      <c r="F859" s="46">
        <f>IF(E859="","",IF(C859&gt;WeekEndDate,"",E859))</f>
        <v/>
      </c>
    </row>
    <row r="860">
      <c r="A860" t="inlineStr">
        <is>
          <t>Selections &amp; Orders</t>
        </is>
      </c>
      <c r="B860" s="46">
        <f>'Selections &amp; Orders'!AC866</f>
        <v/>
      </c>
      <c r="C860" s="84">
        <f>'Selections &amp; Orders'!AA866</f>
        <v/>
      </c>
      <c r="D860" s="46">
        <f>'Selections &amp; Orders'!AB866</f>
        <v/>
      </c>
      <c r="E860" s="46">
        <f>IF(OR(B860="",C860="",D860=""),"",D860*100000+(C860-DATE(2000,1,1))+ROW()/100000)</f>
        <v/>
      </c>
      <c r="F860" s="46">
        <f>IF(E860="","",IF(C860&gt;WeekEndDate,"",E860))</f>
        <v/>
      </c>
    </row>
    <row r="861">
      <c r="A861" t="inlineStr">
        <is>
          <t>Selections &amp; Orders</t>
        </is>
      </c>
      <c r="B861" s="46">
        <f>'Selections &amp; Orders'!AC867</f>
        <v/>
      </c>
      <c r="C861" s="84">
        <f>'Selections &amp; Orders'!AA867</f>
        <v/>
      </c>
      <c r="D861" s="46">
        <f>'Selections &amp; Orders'!AB867</f>
        <v/>
      </c>
      <c r="E861" s="46">
        <f>IF(OR(B861="",C861="",D861=""),"",D861*100000+(C861-DATE(2000,1,1))+ROW()/100000)</f>
        <v/>
      </c>
      <c r="F861" s="46">
        <f>IF(E861="","",IF(C861&gt;WeekEndDate,"",E861))</f>
        <v/>
      </c>
    </row>
    <row r="862">
      <c r="A862" t="inlineStr">
        <is>
          <t>Selections &amp; Orders</t>
        </is>
      </c>
      <c r="B862" s="46">
        <f>'Selections &amp; Orders'!AC868</f>
        <v/>
      </c>
      <c r="C862" s="84">
        <f>'Selections &amp; Orders'!AA868</f>
        <v/>
      </c>
      <c r="D862" s="46">
        <f>'Selections &amp; Orders'!AB868</f>
        <v/>
      </c>
      <c r="E862" s="46">
        <f>IF(OR(B862="",C862="",D862=""),"",D862*100000+(C862-DATE(2000,1,1))+ROW()/100000)</f>
        <v/>
      </c>
      <c r="F862" s="46">
        <f>IF(E862="","",IF(C862&gt;WeekEndDate,"",E862))</f>
        <v/>
      </c>
    </row>
    <row r="863">
      <c r="A863" t="inlineStr">
        <is>
          <t>Selections &amp; Orders</t>
        </is>
      </c>
      <c r="B863" s="46">
        <f>'Selections &amp; Orders'!AC869</f>
        <v/>
      </c>
      <c r="C863" s="84">
        <f>'Selections &amp; Orders'!AA869</f>
        <v/>
      </c>
      <c r="D863" s="46">
        <f>'Selections &amp; Orders'!AB869</f>
        <v/>
      </c>
      <c r="E863" s="46">
        <f>IF(OR(B863="",C863="",D863=""),"",D863*100000+(C863-DATE(2000,1,1))+ROW()/100000)</f>
        <v/>
      </c>
      <c r="F863" s="46">
        <f>IF(E863="","",IF(C863&gt;WeekEndDate,"",E863))</f>
        <v/>
      </c>
    </row>
    <row r="864">
      <c r="A864" t="inlineStr">
        <is>
          <t>Selections &amp; Orders</t>
        </is>
      </c>
      <c r="B864" s="46">
        <f>'Selections &amp; Orders'!AC870</f>
        <v/>
      </c>
      <c r="C864" s="84">
        <f>'Selections &amp; Orders'!AA870</f>
        <v/>
      </c>
      <c r="D864" s="46">
        <f>'Selections &amp; Orders'!AB870</f>
        <v/>
      </c>
      <c r="E864" s="46">
        <f>IF(OR(B864="",C864="",D864=""),"",D864*100000+(C864-DATE(2000,1,1))+ROW()/100000)</f>
        <v/>
      </c>
      <c r="F864" s="46">
        <f>IF(E864="","",IF(C864&gt;WeekEndDate,"",E864))</f>
        <v/>
      </c>
    </row>
    <row r="865">
      <c r="A865" t="inlineStr">
        <is>
          <t>Selections &amp; Orders</t>
        </is>
      </c>
      <c r="B865" s="46">
        <f>'Selections &amp; Orders'!AC871</f>
        <v/>
      </c>
      <c r="C865" s="84">
        <f>'Selections &amp; Orders'!AA871</f>
        <v/>
      </c>
      <c r="D865" s="46">
        <f>'Selections &amp; Orders'!AB871</f>
        <v/>
      </c>
      <c r="E865" s="46">
        <f>IF(OR(B865="",C865="",D865=""),"",D865*100000+(C865-DATE(2000,1,1))+ROW()/100000)</f>
        <v/>
      </c>
      <c r="F865" s="46">
        <f>IF(E865="","",IF(C865&gt;WeekEndDate,"",E865))</f>
        <v/>
      </c>
    </row>
    <row r="866">
      <c r="A866" t="inlineStr">
        <is>
          <t>Selections &amp; Orders</t>
        </is>
      </c>
      <c r="B866" s="46">
        <f>'Selections &amp; Orders'!AC872</f>
        <v/>
      </c>
      <c r="C866" s="84">
        <f>'Selections &amp; Orders'!AA872</f>
        <v/>
      </c>
      <c r="D866" s="46">
        <f>'Selections &amp; Orders'!AB872</f>
        <v/>
      </c>
      <c r="E866" s="46">
        <f>IF(OR(B866="",C866="",D866=""),"",D866*100000+(C866-DATE(2000,1,1))+ROW()/100000)</f>
        <v/>
      </c>
      <c r="F866" s="46">
        <f>IF(E866="","",IF(C866&gt;WeekEndDate,"",E866))</f>
        <v/>
      </c>
    </row>
    <row r="867">
      <c r="A867" t="inlineStr">
        <is>
          <t>Selections &amp; Orders</t>
        </is>
      </c>
      <c r="B867" s="46">
        <f>'Selections &amp; Orders'!AC873</f>
        <v/>
      </c>
      <c r="C867" s="84">
        <f>'Selections &amp; Orders'!AA873</f>
        <v/>
      </c>
      <c r="D867" s="46">
        <f>'Selections &amp; Orders'!AB873</f>
        <v/>
      </c>
      <c r="E867" s="46">
        <f>IF(OR(B867="",C867="",D867=""),"",D867*100000+(C867-DATE(2000,1,1))+ROW()/100000)</f>
        <v/>
      </c>
      <c r="F867" s="46">
        <f>IF(E867="","",IF(C867&gt;WeekEndDate,"",E867))</f>
        <v/>
      </c>
    </row>
    <row r="868">
      <c r="A868" t="inlineStr">
        <is>
          <t>Selections &amp; Orders</t>
        </is>
      </c>
      <c r="B868" s="46">
        <f>'Selections &amp; Orders'!AC874</f>
        <v/>
      </c>
      <c r="C868" s="84">
        <f>'Selections &amp; Orders'!AA874</f>
        <v/>
      </c>
      <c r="D868" s="46">
        <f>'Selections &amp; Orders'!AB874</f>
        <v/>
      </c>
      <c r="E868" s="46">
        <f>IF(OR(B868="",C868="",D868=""),"",D868*100000+(C868-DATE(2000,1,1))+ROW()/100000)</f>
        <v/>
      </c>
      <c r="F868" s="46">
        <f>IF(E868="","",IF(C868&gt;WeekEndDate,"",E868))</f>
        <v/>
      </c>
    </row>
    <row r="869">
      <c r="A869" t="inlineStr">
        <is>
          <t>Selections &amp; Orders</t>
        </is>
      </c>
      <c r="B869" s="46">
        <f>'Selections &amp; Orders'!AC875</f>
        <v/>
      </c>
      <c r="C869" s="84">
        <f>'Selections &amp; Orders'!AA875</f>
        <v/>
      </c>
      <c r="D869" s="46">
        <f>'Selections &amp; Orders'!AB875</f>
        <v/>
      </c>
      <c r="E869" s="46">
        <f>IF(OR(B869="",C869="",D869=""),"",D869*100000+(C869-DATE(2000,1,1))+ROW()/100000)</f>
        <v/>
      </c>
      <c r="F869" s="46">
        <f>IF(E869="","",IF(C869&gt;WeekEndDate,"",E869))</f>
        <v/>
      </c>
    </row>
    <row r="870">
      <c r="A870" t="inlineStr">
        <is>
          <t>Selections &amp; Orders</t>
        </is>
      </c>
      <c r="B870" s="46">
        <f>'Selections &amp; Orders'!AC876</f>
        <v/>
      </c>
      <c r="C870" s="84">
        <f>'Selections &amp; Orders'!AA876</f>
        <v/>
      </c>
      <c r="D870" s="46">
        <f>'Selections &amp; Orders'!AB876</f>
        <v/>
      </c>
      <c r="E870" s="46">
        <f>IF(OR(B870="",C870="",D870=""),"",D870*100000+(C870-DATE(2000,1,1))+ROW()/100000)</f>
        <v/>
      </c>
      <c r="F870" s="46">
        <f>IF(E870="","",IF(C870&gt;WeekEndDate,"",E870))</f>
        <v/>
      </c>
    </row>
    <row r="871">
      <c r="A871" t="inlineStr">
        <is>
          <t>Selections &amp; Orders</t>
        </is>
      </c>
      <c r="B871" s="46">
        <f>'Selections &amp; Orders'!AC877</f>
        <v/>
      </c>
      <c r="C871" s="84">
        <f>'Selections &amp; Orders'!AA877</f>
        <v/>
      </c>
      <c r="D871" s="46">
        <f>'Selections &amp; Orders'!AB877</f>
        <v/>
      </c>
      <c r="E871" s="46">
        <f>IF(OR(B871="",C871="",D871=""),"",D871*100000+(C871-DATE(2000,1,1))+ROW()/100000)</f>
        <v/>
      </c>
      <c r="F871" s="46">
        <f>IF(E871="","",IF(C871&gt;WeekEndDate,"",E871))</f>
        <v/>
      </c>
    </row>
    <row r="872">
      <c r="A872" t="inlineStr">
        <is>
          <t>Selections &amp; Orders</t>
        </is>
      </c>
      <c r="B872" s="46">
        <f>'Selections &amp; Orders'!AC878</f>
        <v/>
      </c>
      <c r="C872" s="84">
        <f>'Selections &amp; Orders'!AA878</f>
        <v/>
      </c>
      <c r="D872" s="46">
        <f>'Selections &amp; Orders'!AB878</f>
        <v/>
      </c>
      <c r="E872" s="46">
        <f>IF(OR(B872="",C872="",D872=""),"",D872*100000+(C872-DATE(2000,1,1))+ROW()/100000)</f>
        <v/>
      </c>
      <c r="F872" s="46">
        <f>IF(E872="","",IF(C872&gt;WeekEndDate,"",E872))</f>
        <v/>
      </c>
    </row>
    <row r="873">
      <c r="A873" t="inlineStr">
        <is>
          <t>Selections &amp; Orders</t>
        </is>
      </c>
      <c r="B873" s="46">
        <f>'Selections &amp; Orders'!AC879</f>
        <v/>
      </c>
      <c r="C873" s="84">
        <f>'Selections &amp; Orders'!AA879</f>
        <v/>
      </c>
      <c r="D873" s="46">
        <f>'Selections &amp; Orders'!AB879</f>
        <v/>
      </c>
      <c r="E873" s="46">
        <f>IF(OR(B873="",C873="",D873=""),"",D873*100000+(C873-DATE(2000,1,1))+ROW()/100000)</f>
        <v/>
      </c>
      <c r="F873" s="46">
        <f>IF(E873="","",IF(C873&gt;WeekEndDate,"",E873))</f>
        <v/>
      </c>
    </row>
    <row r="874">
      <c r="A874" t="inlineStr">
        <is>
          <t>Selections &amp; Orders</t>
        </is>
      </c>
      <c r="B874" s="46">
        <f>'Selections &amp; Orders'!AC880</f>
        <v/>
      </c>
      <c r="C874" s="84">
        <f>'Selections &amp; Orders'!AA880</f>
        <v/>
      </c>
      <c r="D874" s="46">
        <f>'Selections &amp; Orders'!AB880</f>
        <v/>
      </c>
      <c r="E874" s="46">
        <f>IF(OR(B874="",C874="",D874=""),"",D874*100000+(C874-DATE(2000,1,1))+ROW()/100000)</f>
        <v/>
      </c>
      <c r="F874" s="46">
        <f>IF(E874="","",IF(C874&gt;WeekEndDate,"",E874))</f>
        <v/>
      </c>
    </row>
    <row r="875">
      <c r="A875" t="inlineStr">
        <is>
          <t>Selections &amp; Orders</t>
        </is>
      </c>
      <c r="B875" s="46">
        <f>'Selections &amp; Orders'!AC881</f>
        <v/>
      </c>
      <c r="C875" s="84">
        <f>'Selections &amp; Orders'!AA881</f>
        <v/>
      </c>
      <c r="D875" s="46">
        <f>'Selections &amp; Orders'!AB881</f>
        <v/>
      </c>
      <c r="E875" s="46">
        <f>IF(OR(B875="",C875="",D875=""),"",D875*100000+(C875-DATE(2000,1,1))+ROW()/100000)</f>
        <v/>
      </c>
      <c r="F875" s="46">
        <f>IF(E875="","",IF(C875&gt;WeekEndDate,"",E875))</f>
        <v/>
      </c>
    </row>
    <row r="876">
      <c r="A876" t="inlineStr">
        <is>
          <t>Selections &amp; Orders</t>
        </is>
      </c>
      <c r="B876" s="46">
        <f>'Selections &amp; Orders'!AC882</f>
        <v/>
      </c>
      <c r="C876" s="84">
        <f>'Selections &amp; Orders'!AA882</f>
        <v/>
      </c>
      <c r="D876" s="46">
        <f>'Selections &amp; Orders'!AB882</f>
        <v/>
      </c>
      <c r="E876" s="46">
        <f>IF(OR(B876="",C876="",D876=""),"",D876*100000+(C876-DATE(2000,1,1))+ROW()/100000)</f>
        <v/>
      </c>
      <c r="F876" s="46">
        <f>IF(E876="","",IF(C876&gt;WeekEndDate,"",E876))</f>
        <v/>
      </c>
    </row>
    <row r="877">
      <c r="A877" t="inlineStr">
        <is>
          <t>Selections &amp; Orders</t>
        </is>
      </c>
      <c r="B877" s="46">
        <f>'Selections &amp; Orders'!AC883</f>
        <v/>
      </c>
      <c r="C877" s="84">
        <f>'Selections &amp; Orders'!AA883</f>
        <v/>
      </c>
      <c r="D877" s="46">
        <f>'Selections &amp; Orders'!AB883</f>
        <v/>
      </c>
      <c r="E877" s="46">
        <f>IF(OR(B877="",C877="",D877=""),"",D877*100000+(C877-DATE(2000,1,1))+ROW()/100000)</f>
        <v/>
      </c>
      <c r="F877" s="46">
        <f>IF(E877="","",IF(C877&gt;WeekEndDate,"",E877))</f>
        <v/>
      </c>
    </row>
    <row r="878">
      <c r="A878" t="inlineStr">
        <is>
          <t>Selections &amp; Orders</t>
        </is>
      </c>
      <c r="B878" s="46">
        <f>'Selections &amp; Orders'!AC884</f>
        <v/>
      </c>
      <c r="C878" s="84">
        <f>'Selections &amp; Orders'!AA884</f>
        <v/>
      </c>
      <c r="D878" s="46">
        <f>'Selections &amp; Orders'!AB884</f>
        <v/>
      </c>
      <c r="E878" s="46">
        <f>IF(OR(B878="",C878="",D878=""),"",D878*100000+(C878-DATE(2000,1,1))+ROW()/100000)</f>
        <v/>
      </c>
      <c r="F878" s="46">
        <f>IF(E878="","",IF(C878&gt;WeekEndDate,"",E878))</f>
        <v/>
      </c>
    </row>
    <row r="879">
      <c r="A879" t="inlineStr">
        <is>
          <t>Selections &amp; Orders</t>
        </is>
      </c>
      <c r="B879" s="46">
        <f>'Selections &amp; Orders'!AC885</f>
        <v/>
      </c>
      <c r="C879" s="84">
        <f>'Selections &amp; Orders'!AA885</f>
        <v/>
      </c>
      <c r="D879" s="46">
        <f>'Selections &amp; Orders'!AB885</f>
        <v/>
      </c>
      <c r="E879" s="46">
        <f>IF(OR(B879="",C879="",D879=""),"",D879*100000+(C879-DATE(2000,1,1))+ROW()/100000)</f>
        <v/>
      </c>
      <c r="F879" s="46">
        <f>IF(E879="","",IF(C879&gt;WeekEndDate,"",E879))</f>
        <v/>
      </c>
    </row>
    <row r="880">
      <c r="A880" t="inlineStr">
        <is>
          <t>Selections &amp; Orders</t>
        </is>
      </c>
      <c r="B880" s="46">
        <f>'Selections &amp; Orders'!AC886</f>
        <v/>
      </c>
      <c r="C880" s="84">
        <f>'Selections &amp; Orders'!AA886</f>
        <v/>
      </c>
      <c r="D880" s="46">
        <f>'Selections &amp; Orders'!AB886</f>
        <v/>
      </c>
      <c r="E880" s="46">
        <f>IF(OR(B880="",C880="",D880=""),"",D880*100000+(C880-DATE(2000,1,1))+ROW()/100000)</f>
        <v/>
      </c>
      <c r="F880" s="46">
        <f>IF(E880="","",IF(C880&gt;WeekEndDate,"",E880))</f>
        <v/>
      </c>
    </row>
    <row r="881">
      <c r="A881" t="inlineStr">
        <is>
          <t>Selections &amp; Orders</t>
        </is>
      </c>
      <c r="B881" s="46">
        <f>'Selections &amp; Orders'!AC887</f>
        <v/>
      </c>
      <c r="C881" s="84">
        <f>'Selections &amp; Orders'!AA887</f>
        <v/>
      </c>
      <c r="D881" s="46">
        <f>'Selections &amp; Orders'!AB887</f>
        <v/>
      </c>
      <c r="E881" s="46">
        <f>IF(OR(B881="",C881="",D881=""),"",D881*100000+(C881-DATE(2000,1,1))+ROW()/100000)</f>
        <v/>
      </c>
      <c r="F881" s="46">
        <f>IF(E881="","",IF(C881&gt;WeekEndDate,"",E881))</f>
        <v/>
      </c>
    </row>
    <row r="882">
      <c r="A882" t="inlineStr">
        <is>
          <t>Selections &amp; Orders</t>
        </is>
      </c>
      <c r="B882" s="46">
        <f>'Selections &amp; Orders'!AC888</f>
        <v/>
      </c>
      <c r="C882" s="84">
        <f>'Selections &amp; Orders'!AA888</f>
        <v/>
      </c>
      <c r="D882" s="46">
        <f>'Selections &amp; Orders'!AB888</f>
        <v/>
      </c>
      <c r="E882" s="46">
        <f>IF(OR(B882="",C882="",D882=""),"",D882*100000+(C882-DATE(2000,1,1))+ROW()/100000)</f>
        <v/>
      </c>
      <c r="F882" s="46">
        <f>IF(E882="","",IF(C882&gt;WeekEndDate,"",E882))</f>
        <v/>
      </c>
    </row>
    <row r="883">
      <c r="A883" t="inlineStr">
        <is>
          <t>Selections &amp; Orders</t>
        </is>
      </c>
      <c r="B883" s="46">
        <f>'Selections &amp; Orders'!AC889</f>
        <v/>
      </c>
      <c r="C883" s="84">
        <f>'Selections &amp; Orders'!AA889</f>
        <v/>
      </c>
      <c r="D883" s="46">
        <f>'Selections &amp; Orders'!AB889</f>
        <v/>
      </c>
      <c r="E883" s="46">
        <f>IF(OR(B883="",C883="",D883=""),"",D883*100000+(C883-DATE(2000,1,1))+ROW()/100000)</f>
        <v/>
      </c>
      <c r="F883" s="46">
        <f>IF(E883="","",IF(C883&gt;WeekEndDate,"",E883))</f>
        <v/>
      </c>
    </row>
    <row r="884">
      <c r="A884" t="inlineStr">
        <is>
          <t>Selections &amp; Orders</t>
        </is>
      </c>
      <c r="B884" s="46">
        <f>'Selections &amp; Orders'!AC890</f>
        <v/>
      </c>
      <c r="C884" s="84">
        <f>'Selections &amp; Orders'!AA890</f>
        <v/>
      </c>
      <c r="D884" s="46">
        <f>'Selections &amp; Orders'!AB890</f>
        <v/>
      </c>
      <c r="E884" s="46">
        <f>IF(OR(B884="",C884="",D884=""),"",D884*100000+(C884-DATE(2000,1,1))+ROW()/100000)</f>
        <v/>
      </c>
      <c r="F884" s="46">
        <f>IF(E884="","",IF(C884&gt;WeekEndDate,"",E884))</f>
        <v/>
      </c>
    </row>
    <row r="885">
      <c r="A885" t="inlineStr">
        <is>
          <t>Selections &amp; Orders</t>
        </is>
      </c>
      <c r="B885" s="46">
        <f>'Selections &amp; Orders'!AC891</f>
        <v/>
      </c>
      <c r="C885" s="84">
        <f>'Selections &amp; Orders'!AA891</f>
        <v/>
      </c>
      <c r="D885" s="46">
        <f>'Selections &amp; Orders'!AB891</f>
        <v/>
      </c>
      <c r="E885" s="46">
        <f>IF(OR(B885="",C885="",D885=""),"",D885*100000+(C885-DATE(2000,1,1))+ROW()/100000)</f>
        <v/>
      </c>
      <c r="F885" s="46">
        <f>IF(E885="","",IF(C885&gt;WeekEndDate,"",E885))</f>
        <v/>
      </c>
    </row>
    <row r="886">
      <c r="A886" t="inlineStr">
        <is>
          <t>Selections &amp; Orders</t>
        </is>
      </c>
      <c r="B886" s="46">
        <f>'Selections &amp; Orders'!AC892</f>
        <v/>
      </c>
      <c r="C886" s="84">
        <f>'Selections &amp; Orders'!AA892</f>
        <v/>
      </c>
      <c r="D886" s="46">
        <f>'Selections &amp; Orders'!AB892</f>
        <v/>
      </c>
      <c r="E886" s="46">
        <f>IF(OR(B886="",C886="",D886=""),"",D886*100000+(C886-DATE(2000,1,1))+ROW()/100000)</f>
        <v/>
      </c>
      <c r="F886" s="46">
        <f>IF(E886="","",IF(C886&gt;WeekEndDate,"",E886))</f>
        <v/>
      </c>
    </row>
    <row r="887">
      <c r="A887" t="inlineStr">
        <is>
          <t>Selections &amp; Orders</t>
        </is>
      </c>
      <c r="B887" s="46">
        <f>'Selections &amp; Orders'!AC893</f>
        <v/>
      </c>
      <c r="C887" s="84">
        <f>'Selections &amp; Orders'!AA893</f>
        <v/>
      </c>
      <c r="D887" s="46">
        <f>'Selections &amp; Orders'!AB893</f>
        <v/>
      </c>
      <c r="E887" s="46">
        <f>IF(OR(B887="",C887="",D887=""),"",D887*100000+(C887-DATE(2000,1,1))+ROW()/100000)</f>
        <v/>
      </c>
      <c r="F887" s="46">
        <f>IF(E887="","",IF(C887&gt;WeekEndDate,"",E887))</f>
        <v/>
      </c>
    </row>
    <row r="888">
      <c r="A888" t="inlineStr">
        <is>
          <t>Selections &amp; Orders</t>
        </is>
      </c>
      <c r="B888" s="46">
        <f>'Selections &amp; Orders'!AC894</f>
        <v/>
      </c>
      <c r="C888" s="84">
        <f>'Selections &amp; Orders'!AA894</f>
        <v/>
      </c>
      <c r="D888" s="46">
        <f>'Selections &amp; Orders'!AB894</f>
        <v/>
      </c>
      <c r="E888" s="46">
        <f>IF(OR(B888="",C888="",D888=""),"",D888*100000+(C888-DATE(2000,1,1))+ROW()/100000)</f>
        <v/>
      </c>
      <c r="F888" s="46">
        <f>IF(E888="","",IF(C888&gt;WeekEndDate,"",E888))</f>
        <v/>
      </c>
    </row>
    <row r="889">
      <c r="A889" t="inlineStr">
        <is>
          <t>Selections &amp; Orders</t>
        </is>
      </c>
      <c r="B889" s="46">
        <f>'Selections &amp; Orders'!AC895</f>
        <v/>
      </c>
      <c r="C889" s="84">
        <f>'Selections &amp; Orders'!AA895</f>
        <v/>
      </c>
      <c r="D889" s="46">
        <f>'Selections &amp; Orders'!AB895</f>
        <v/>
      </c>
      <c r="E889" s="46">
        <f>IF(OR(B889="",C889="",D889=""),"",D889*100000+(C889-DATE(2000,1,1))+ROW()/100000)</f>
        <v/>
      </c>
      <c r="F889" s="46">
        <f>IF(E889="","",IF(C889&gt;WeekEndDate,"",E889))</f>
        <v/>
      </c>
    </row>
    <row r="890">
      <c r="A890" t="inlineStr">
        <is>
          <t>Selections &amp; Orders</t>
        </is>
      </c>
      <c r="B890" s="46">
        <f>'Selections &amp; Orders'!AC896</f>
        <v/>
      </c>
      <c r="C890" s="84">
        <f>'Selections &amp; Orders'!AA896</f>
        <v/>
      </c>
      <c r="D890" s="46">
        <f>'Selections &amp; Orders'!AB896</f>
        <v/>
      </c>
      <c r="E890" s="46">
        <f>IF(OR(B890="",C890="",D890=""),"",D890*100000+(C890-DATE(2000,1,1))+ROW()/100000)</f>
        <v/>
      </c>
      <c r="F890" s="46">
        <f>IF(E890="","",IF(C890&gt;WeekEndDate,"",E890))</f>
        <v/>
      </c>
    </row>
    <row r="891">
      <c r="A891" t="inlineStr">
        <is>
          <t>Selections &amp; Orders</t>
        </is>
      </c>
      <c r="B891" s="46">
        <f>'Selections &amp; Orders'!AC897</f>
        <v/>
      </c>
      <c r="C891" s="84">
        <f>'Selections &amp; Orders'!AA897</f>
        <v/>
      </c>
      <c r="D891" s="46">
        <f>'Selections &amp; Orders'!AB897</f>
        <v/>
      </c>
      <c r="E891" s="46">
        <f>IF(OR(B891="",C891="",D891=""),"",D891*100000+(C891-DATE(2000,1,1))+ROW()/100000)</f>
        <v/>
      </c>
      <c r="F891" s="46">
        <f>IF(E891="","",IF(C891&gt;WeekEndDate,"",E891))</f>
        <v/>
      </c>
    </row>
    <row r="892">
      <c r="A892" t="inlineStr">
        <is>
          <t>Selections &amp; Orders</t>
        </is>
      </c>
      <c r="B892" s="46">
        <f>'Selections &amp; Orders'!AC898</f>
        <v/>
      </c>
      <c r="C892" s="84">
        <f>'Selections &amp; Orders'!AA898</f>
        <v/>
      </c>
      <c r="D892" s="46">
        <f>'Selections &amp; Orders'!AB898</f>
        <v/>
      </c>
      <c r="E892" s="46">
        <f>IF(OR(B892="",C892="",D892=""),"",D892*100000+(C892-DATE(2000,1,1))+ROW()/100000)</f>
        <v/>
      </c>
      <c r="F892" s="46">
        <f>IF(E892="","",IF(C892&gt;WeekEndDate,"",E892))</f>
        <v/>
      </c>
    </row>
    <row r="893">
      <c r="A893" t="inlineStr">
        <is>
          <t>Selections &amp; Orders</t>
        </is>
      </c>
      <c r="B893" s="46">
        <f>'Selections &amp; Orders'!AC899</f>
        <v/>
      </c>
      <c r="C893" s="84">
        <f>'Selections &amp; Orders'!AA899</f>
        <v/>
      </c>
      <c r="D893" s="46">
        <f>'Selections &amp; Orders'!AB899</f>
        <v/>
      </c>
      <c r="E893" s="46">
        <f>IF(OR(B893="",C893="",D893=""),"",D893*100000+(C893-DATE(2000,1,1))+ROW()/100000)</f>
        <v/>
      </c>
      <c r="F893" s="46">
        <f>IF(E893="","",IF(C893&gt;WeekEndDate,"",E893))</f>
        <v/>
      </c>
    </row>
    <row r="894">
      <c r="A894" t="inlineStr">
        <is>
          <t>Selections &amp; Orders</t>
        </is>
      </c>
      <c r="B894" s="46">
        <f>'Selections &amp; Orders'!AC900</f>
        <v/>
      </c>
      <c r="C894" s="84">
        <f>'Selections &amp; Orders'!AA900</f>
        <v/>
      </c>
      <c r="D894" s="46">
        <f>'Selections &amp; Orders'!AB900</f>
        <v/>
      </c>
      <c r="E894" s="46">
        <f>IF(OR(B894="",C894="",D894=""),"",D894*100000+(C894-DATE(2000,1,1))+ROW()/100000)</f>
        <v/>
      </c>
      <c r="F894" s="46">
        <f>IF(E894="","",IF(C894&gt;WeekEndDate,"",E894))</f>
        <v/>
      </c>
    </row>
    <row r="895">
      <c r="A895" t="inlineStr">
        <is>
          <t>Selections &amp; Orders</t>
        </is>
      </c>
      <c r="B895" s="46">
        <f>'Selections &amp; Orders'!AC901</f>
        <v/>
      </c>
      <c r="C895" s="84">
        <f>'Selections &amp; Orders'!AA901</f>
        <v/>
      </c>
      <c r="D895" s="46">
        <f>'Selections &amp; Orders'!AB901</f>
        <v/>
      </c>
      <c r="E895" s="46">
        <f>IF(OR(B895="",C895="",D895=""),"",D895*100000+(C895-DATE(2000,1,1))+ROW()/100000)</f>
        <v/>
      </c>
      <c r="F895" s="46">
        <f>IF(E895="","",IF(C895&gt;WeekEndDate,"",E895))</f>
        <v/>
      </c>
    </row>
    <row r="896">
      <c r="A896" t="inlineStr">
        <is>
          <t>Selections &amp; Orders</t>
        </is>
      </c>
      <c r="B896" s="46">
        <f>'Selections &amp; Orders'!AC902</f>
        <v/>
      </c>
      <c r="C896" s="84">
        <f>'Selections &amp; Orders'!AA902</f>
        <v/>
      </c>
      <c r="D896" s="46">
        <f>'Selections &amp; Orders'!AB902</f>
        <v/>
      </c>
      <c r="E896" s="46">
        <f>IF(OR(B896="",C896="",D896=""),"",D896*100000+(C896-DATE(2000,1,1))+ROW()/100000)</f>
        <v/>
      </c>
      <c r="F896" s="46">
        <f>IF(E896="","",IF(C896&gt;WeekEndDate,"",E896))</f>
        <v/>
      </c>
    </row>
    <row r="897">
      <c r="A897" t="inlineStr">
        <is>
          <t>Selections &amp; Orders</t>
        </is>
      </c>
      <c r="B897" s="46">
        <f>'Selections &amp; Orders'!AC903</f>
        <v/>
      </c>
      <c r="C897" s="84">
        <f>'Selections &amp; Orders'!AA903</f>
        <v/>
      </c>
      <c r="D897" s="46">
        <f>'Selections &amp; Orders'!AB903</f>
        <v/>
      </c>
      <c r="E897" s="46">
        <f>IF(OR(B897="",C897="",D897=""),"",D897*100000+(C897-DATE(2000,1,1))+ROW()/100000)</f>
        <v/>
      </c>
      <c r="F897" s="46">
        <f>IF(E897="","",IF(C897&gt;WeekEndDate,"",E897))</f>
        <v/>
      </c>
    </row>
    <row r="898">
      <c r="A898" t="inlineStr">
        <is>
          <t>Selections &amp; Orders</t>
        </is>
      </c>
      <c r="B898" s="46">
        <f>'Selections &amp; Orders'!AC904</f>
        <v/>
      </c>
      <c r="C898" s="84">
        <f>'Selections &amp; Orders'!AA904</f>
        <v/>
      </c>
      <c r="D898" s="46">
        <f>'Selections &amp; Orders'!AB904</f>
        <v/>
      </c>
      <c r="E898" s="46">
        <f>IF(OR(B898="",C898="",D898=""),"",D898*100000+(C898-DATE(2000,1,1))+ROW()/100000)</f>
        <v/>
      </c>
      <c r="F898" s="46">
        <f>IF(E898="","",IF(C898&gt;WeekEndDate,"",E898))</f>
        <v/>
      </c>
    </row>
    <row r="899">
      <c r="A899" t="inlineStr">
        <is>
          <t>Selections &amp; Orders</t>
        </is>
      </c>
      <c r="B899" s="46">
        <f>'Selections &amp; Orders'!AC905</f>
        <v/>
      </c>
      <c r="C899" s="84">
        <f>'Selections &amp; Orders'!AA905</f>
        <v/>
      </c>
      <c r="D899" s="46">
        <f>'Selections &amp; Orders'!AB905</f>
        <v/>
      </c>
      <c r="E899" s="46">
        <f>IF(OR(B899="",C899="",D899=""),"",D899*100000+(C899-DATE(2000,1,1))+ROW()/100000)</f>
        <v/>
      </c>
      <c r="F899" s="46">
        <f>IF(E899="","",IF(C899&gt;WeekEndDate,"",E899))</f>
        <v/>
      </c>
    </row>
    <row r="900">
      <c r="A900" t="inlineStr">
        <is>
          <t>Selections &amp; Orders</t>
        </is>
      </c>
      <c r="B900" s="46">
        <f>'Selections &amp; Orders'!AC906</f>
        <v/>
      </c>
      <c r="C900" s="84">
        <f>'Selections &amp; Orders'!AA906</f>
        <v/>
      </c>
      <c r="D900" s="46">
        <f>'Selections &amp; Orders'!AB906</f>
        <v/>
      </c>
      <c r="E900" s="46">
        <f>IF(OR(B900="",C900="",D900=""),"",D900*100000+(C900-DATE(2000,1,1))+ROW()/100000)</f>
        <v/>
      </c>
      <c r="F900" s="46">
        <f>IF(E900="","",IF(C900&gt;WeekEndDate,"",E900))</f>
        <v/>
      </c>
    </row>
    <row r="901">
      <c r="A901" t="inlineStr">
        <is>
          <t>Selections &amp; Orders</t>
        </is>
      </c>
      <c r="B901" s="46">
        <f>'Selections &amp; Orders'!AC907</f>
        <v/>
      </c>
      <c r="C901" s="84">
        <f>'Selections &amp; Orders'!AA907</f>
        <v/>
      </c>
      <c r="D901" s="46">
        <f>'Selections &amp; Orders'!AB907</f>
        <v/>
      </c>
      <c r="E901" s="46">
        <f>IF(OR(B901="",C901="",D901=""),"",D901*100000+(C901-DATE(2000,1,1))+ROW()/100000)</f>
        <v/>
      </c>
      <c r="F901" s="46">
        <f>IF(E901="","",IF(C901&gt;WeekEndDate,"",E901))</f>
        <v/>
      </c>
    </row>
    <row r="902">
      <c r="A902" t="inlineStr">
        <is>
          <t>Selections &amp; Orders</t>
        </is>
      </c>
      <c r="B902" s="46">
        <f>'Selections &amp; Orders'!AC908</f>
        <v/>
      </c>
      <c r="C902" s="84">
        <f>'Selections &amp; Orders'!AA908</f>
        <v/>
      </c>
      <c r="D902" s="46">
        <f>'Selections &amp; Orders'!AB908</f>
        <v/>
      </c>
      <c r="E902" s="46">
        <f>IF(OR(B902="",C902="",D902=""),"",D902*100000+(C902-DATE(2000,1,1))+ROW()/100000)</f>
        <v/>
      </c>
      <c r="F902" s="46">
        <f>IF(E902="","",IF(C902&gt;WeekEndDate,"",E902))</f>
        <v/>
      </c>
    </row>
    <row r="903">
      <c r="A903" t="inlineStr">
        <is>
          <t>Selections &amp; Orders</t>
        </is>
      </c>
      <c r="B903" s="46">
        <f>'Selections &amp; Orders'!AC909</f>
        <v/>
      </c>
      <c r="C903" s="84">
        <f>'Selections &amp; Orders'!AA909</f>
        <v/>
      </c>
      <c r="D903" s="46">
        <f>'Selections &amp; Orders'!AB909</f>
        <v/>
      </c>
      <c r="E903" s="46">
        <f>IF(OR(B903="",C903="",D903=""),"",D903*100000+(C903-DATE(2000,1,1))+ROW()/100000)</f>
        <v/>
      </c>
      <c r="F903" s="46">
        <f>IF(E903="","",IF(C903&gt;WeekEndDate,"",E903))</f>
        <v/>
      </c>
    </row>
    <row r="904">
      <c r="A904" t="inlineStr">
        <is>
          <t>Selections &amp; Orders</t>
        </is>
      </c>
      <c r="B904" s="46">
        <f>'Selections &amp; Orders'!AC910</f>
        <v/>
      </c>
      <c r="C904" s="84">
        <f>'Selections &amp; Orders'!AA910</f>
        <v/>
      </c>
      <c r="D904" s="46">
        <f>'Selections &amp; Orders'!AB910</f>
        <v/>
      </c>
      <c r="E904" s="46">
        <f>IF(OR(B904="",C904="",D904=""),"",D904*100000+(C904-DATE(2000,1,1))+ROW()/100000)</f>
        <v/>
      </c>
      <c r="F904" s="46">
        <f>IF(E904="","",IF(C904&gt;WeekEndDate,"",E904))</f>
        <v/>
      </c>
    </row>
    <row r="905">
      <c r="A905" t="inlineStr">
        <is>
          <t>Selections &amp; Orders</t>
        </is>
      </c>
      <c r="B905" s="46">
        <f>'Selections &amp; Orders'!AC911</f>
        <v/>
      </c>
      <c r="C905" s="84">
        <f>'Selections &amp; Orders'!AA911</f>
        <v/>
      </c>
      <c r="D905" s="46">
        <f>'Selections &amp; Orders'!AB911</f>
        <v/>
      </c>
      <c r="E905" s="46">
        <f>IF(OR(B905="",C905="",D905=""),"",D905*100000+(C905-DATE(2000,1,1))+ROW()/100000)</f>
        <v/>
      </c>
      <c r="F905" s="46">
        <f>IF(E905="","",IF(C905&gt;WeekEndDate,"",E905))</f>
        <v/>
      </c>
    </row>
    <row r="906">
      <c r="A906" t="inlineStr">
        <is>
          <t>Selections &amp; Orders</t>
        </is>
      </c>
      <c r="B906" s="46">
        <f>'Selections &amp; Orders'!AC912</f>
        <v/>
      </c>
      <c r="C906" s="84">
        <f>'Selections &amp; Orders'!AA912</f>
        <v/>
      </c>
      <c r="D906" s="46">
        <f>'Selections &amp; Orders'!AB912</f>
        <v/>
      </c>
      <c r="E906" s="46">
        <f>IF(OR(B906="",C906="",D906=""),"",D906*100000+(C906-DATE(2000,1,1))+ROW()/100000)</f>
        <v/>
      </c>
      <c r="F906" s="46">
        <f>IF(E906="","",IF(C906&gt;WeekEndDate,"",E906))</f>
        <v/>
      </c>
    </row>
    <row r="907">
      <c r="A907" t="inlineStr">
        <is>
          <t>Selections &amp; Orders</t>
        </is>
      </c>
      <c r="B907" s="46">
        <f>'Selections &amp; Orders'!AC913</f>
        <v/>
      </c>
      <c r="C907" s="84">
        <f>'Selections &amp; Orders'!AA913</f>
        <v/>
      </c>
      <c r="D907" s="46">
        <f>'Selections &amp; Orders'!AB913</f>
        <v/>
      </c>
      <c r="E907" s="46">
        <f>IF(OR(B907="",C907="",D907=""),"",D907*100000+(C907-DATE(2000,1,1))+ROW()/100000)</f>
        <v/>
      </c>
      <c r="F907" s="46">
        <f>IF(E907="","",IF(C907&gt;WeekEndDate,"",E907))</f>
        <v/>
      </c>
    </row>
    <row r="908">
      <c r="A908" t="inlineStr">
        <is>
          <t>Selections &amp; Orders</t>
        </is>
      </c>
      <c r="B908" s="46">
        <f>'Selections &amp; Orders'!AC914</f>
        <v/>
      </c>
      <c r="C908" s="84">
        <f>'Selections &amp; Orders'!AA914</f>
        <v/>
      </c>
      <c r="D908" s="46">
        <f>'Selections &amp; Orders'!AB914</f>
        <v/>
      </c>
      <c r="E908" s="46">
        <f>IF(OR(B908="",C908="",D908=""),"",D908*100000+(C908-DATE(2000,1,1))+ROW()/100000)</f>
        <v/>
      </c>
      <c r="F908" s="46">
        <f>IF(E908="","",IF(C908&gt;WeekEndDate,"",E908))</f>
        <v/>
      </c>
    </row>
    <row r="909">
      <c r="A909" t="inlineStr">
        <is>
          <t>Selections &amp; Orders</t>
        </is>
      </c>
      <c r="B909" s="46">
        <f>'Selections &amp; Orders'!AC915</f>
        <v/>
      </c>
      <c r="C909" s="84">
        <f>'Selections &amp; Orders'!AA915</f>
        <v/>
      </c>
      <c r="D909" s="46">
        <f>'Selections &amp; Orders'!AB915</f>
        <v/>
      </c>
      <c r="E909" s="46">
        <f>IF(OR(B909="",C909="",D909=""),"",D909*100000+(C909-DATE(2000,1,1))+ROW()/100000)</f>
        <v/>
      </c>
      <c r="F909" s="46">
        <f>IF(E909="","",IF(C909&gt;WeekEndDate,"",E909))</f>
        <v/>
      </c>
    </row>
    <row r="910">
      <c r="A910" t="inlineStr">
        <is>
          <t>Selections &amp; Orders</t>
        </is>
      </c>
      <c r="B910" s="46">
        <f>'Selections &amp; Orders'!AC916</f>
        <v/>
      </c>
      <c r="C910" s="84">
        <f>'Selections &amp; Orders'!AA916</f>
        <v/>
      </c>
      <c r="D910" s="46">
        <f>'Selections &amp; Orders'!AB916</f>
        <v/>
      </c>
      <c r="E910" s="46">
        <f>IF(OR(B910="",C910="",D910=""),"",D910*100000+(C910-DATE(2000,1,1))+ROW()/100000)</f>
        <v/>
      </c>
      <c r="F910" s="46">
        <f>IF(E910="","",IF(C910&gt;WeekEndDate,"",E910))</f>
        <v/>
      </c>
    </row>
    <row r="911">
      <c r="A911" t="inlineStr">
        <is>
          <t>Selections &amp; Orders</t>
        </is>
      </c>
      <c r="B911" s="46">
        <f>'Selections &amp; Orders'!AC917</f>
        <v/>
      </c>
      <c r="C911" s="84">
        <f>'Selections &amp; Orders'!AA917</f>
        <v/>
      </c>
      <c r="D911" s="46">
        <f>'Selections &amp; Orders'!AB917</f>
        <v/>
      </c>
      <c r="E911" s="46">
        <f>IF(OR(B911="",C911="",D911=""),"",D911*100000+(C911-DATE(2000,1,1))+ROW()/100000)</f>
        <v/>
      </c>
      <c r="F911" s="46">
        <f>IF(E911="","",IF(C911&gt;WeekEndDate,"",E911))</f>
        <v/>
      </c>
    </row>
    <row r="912">
      <c r="A912" t="inlineStr">
        <is>
          <t>Selections &amp; Orders</t>
        </is>
      </c>
      <c r="B912" s="46">
        <f>'Selections &amp; Orders'!AC918</f>
        <v/>
      </c>
      <c r="C912" s="84">
        <f>'Selections &amp; Orders'!AA918</f>
        <v/>
      </c>
      <c r="D912" s="46">
        <f>'Selections &amp; Orders'!AB918</f>
        <v/>
      </c>
      <c r="E912" s="46">
        <f>IF(OR(B912="",C912="",D912=""),"",D912*100000+(C912-DATE(2000,1,1))+ROW()/100000)</f>
        <v/>
      </c>
      <c r="F912" s="46">
        <f>IF(E912="","",IF(C912&gt;WeekEndDate,"",E912))</f>
        <v/>
      </c>
    </row>
    <row r="913">
      <c r="A913" t="inlineStr">
        <is>
          <t>Selections &amp; Orders</t>
        </is>
      </c>
      <c r="B913" s="46">
        <f>'Selections &amp; Orders'!AC919</f>
        <v/>
      </c>
      <c r="C913" s="84">
        <f>'Selections &amp; Orders'!AA919</f>
        <v/>
      </c>
      <c r="D913" s="46">
        <f>'Selections &amp; Orders'!AB919</f>
        <v/>
      </c>
      <c r="E913" s="46">
        <f>IF(OR(B913="",C913="",D913=""),"",D913*100000+(C913-DATE(2000,1,1))+ROW()/100000)</f>
        <v/>
      </c>
      <c r="F913" s="46">
        <f>IF(E913="","",IF(C913&gt;WeekEndDate,"",E913))</f>
        <v/>
      </c>
    </row>
    <row r="914">
      <c r="A914" t="inlineStr">
        <is>
          <t>Selections &amp; Orders</t>
        </is>
      </c>
      <c r="B914" s="46">
        <f>'Selections &amp; Orders'!AC920</f>
        <v/>
      </c>
      <c r="C914" s="84">
        <f>'Selections &amp; Orders'!AA920</f>
        <v/>
      </c>
      <c r="D914" s="46">
        <f>'Selections &amp; Orders'!AB920</f>
        <v/>
      </c>
      <c r="E914" s="46">
        <f>IF(OR(B914="",C914="",D914=""),"",D914*100000+(C914-DATE(2000,1,1))+ROW()/100000)</f>
        <v/>
      </c>
      <c r="F914" s="46">
        <f>IF(E914="","",IF(C914&gt;WeekEndDate,"",E914))</f>
        <v/>
      </c>
    </row>
    <row r="915">
      <c r="A915" t="inlineStr">
        <is>
          <t>Selections &amp; Orders</t>
        </is>
      </c>
      <c r="B915" s="46">
        <f>'Selections &amp; Orders'!AC921</f>
        <v/>
      </c>
      <c r="C915" s="84">
        <f>'Selections &amp; Orders'!AA921</f>
        <v/>
      </c>
      <c r="D915" s="46">
        <f>'Selections &amp; Orders'!AB921</f>
        <v/>
      </c>
      <c r="E915" s="46">
        <f>IF(OR(B915="",C915="",D915=""),"",D915*100000+(C915-DATE(2000,1,1))+ROW()/100000)</f>
        <v/>
      </c>
      <c r="F915" s="46">
        <f>IF(E915="","",IF(C915&gt;WeekEndDate,"",E915))</f>
        <v/>
      </c>
    </row>
    <row r="916">
      <c r="A916" t="inlineStr">
        <is>
          <t>Selections &amp; Orders</t>
        </is>
      </c>
      <c r="B916" s="46">
        <f>'Selections &amp; Orders'!AC922</f>
        <v/>
      </c>
      <c r="C916" s="84">
        <f>'Selections &amp; Orders'!AA922</f>
        <v/>
      </c>
      <c r="D916" s="46">
        <f>'Selections &amp; Orders'!AB922</f>
        <v/>
      </c>
      <c r="E916" s="46">
        <f>IF(OR(B916="",C916="",D916=""),"",D916*100000+(C916-DATE(2000,1,1))+ROW()/100000)</f>
        <v/>
      </c>
      <c r="F916" s="46">
        <f>IF(E916="","",IF(C916&gt;WeekEndDate,"",E916))</f>
        <v/>
      </c>
    </row>
    <row r="917">
      <c r="A917" t="inlineStr">
        <is>
          <t>Selections &amp; Orders</t>
        </is>
      </c>
      <c r="B917" s="46">
        <f>'Selections &amp; Orders'!AC923</f>
        <v/>
      </c>
      <c r="C917" s="84">
        <f>'Selections &amp; Orders'!AA923</f>
        <v/>
      </c>
      <c r="D917" s="46">
        <f>'Selections &amp; Orders'!AB923</f>
        <v/>
      </c>
      <c r="E917" s="46">
        <f>IF(OR(B917="",C917="",D917=""),"",D917*100000+(C917-DATE(2000,1,1))+ROW()/100000)</f>
        <v/>
      </c>
      <c r="F917" s="46">
        <f>IF(E917="","",IF(C917&gt;WeekEndDate,"",E917))</f>
        <v/>
      </c>
    </row>
    <row r="918">
      <c r="A918" t="inlineStr">
        <is>
          <t>Selections &amp; Orders</t>
        </is>
      </c>
      <c r="B918" s="46">
        <f>'Selections &amp; Orders'!AC924</f>
        <v/>
      </c>
      <c r="C918" s="84">
        <f>'Selections &amp; Orders'!AA924</f>
        <v/>
      </c>
      <c r="D918" s="46">
        <f>'Selections &amp; Orders'!AB924</f>
        <v/>
      </c>
      <c r="E918" s="46">
        <f>IF(OR(B918="",C918="",D918=""),"",D918*100000+(C918-DATE(2000,1,1))+ROW()/100000)</f>
        <v/>
      </c>
      <c r="F918" s="46">
        <f>IF(E918="","",IF(C918&gt;WeekEndDate,"",E918))</f>
        <v/>
      </c>
    </row>
    <row r="919">
      <c r="A919" t="inlineStr">
        <is>
          <t>Selections &amp; Orders</t>
        </is>
      </c>
      <c r="B919" s="46">
        <f>'Selections &amp; Orders'!AC925</f>
        <v/>
      </c>
      <c r="C919" s="84">
        <f>'Selections &amp; Orders'!AA925</f>
        <v/>
      </c>
      <c r="D919" s="46">
        <f>'Selections &amp; Orders'!AB925</f>
        <v/>
      </c>
      <c r="E919" s="46">
        <f>IF(OR(B919="",C919="",D919=""),"",D919*100000+(C919-DATE(2000,1,1))+ROW()/100000)</f>
        <v/>
      </c>
      <c r="F919" s="46">
        <f>IF(E919="","",IF(C919&gt;WeekEndDate,"",E919))</f>
        <v/>
      </c>
    </row>
    <row r="920">
      <c r="A920" t="inlineStr">
        <is>
          <t>Selections &amp; Orders</t>
        </is>
      </c>
      <c r="B920" s="46">
        <f>'Selections &amp; Orders'!AC926</f>
        <v/>
      </c>
      <c r="C920" s="84">
        <f>'Selections &amp; Orders'!AA926</f>
        <v/>
      </c>
      <c r="D920" s="46">
        <f>'Selections &amp; Orders'!AB926</f>
        <v/>
      </c>
      <c r="E920" s="46">
        <f>IF(OR(B920="",C920="",D920=""),"",D920*100000+(C920-DATE(2000,1,1))+ROW()/100000)</f>
        <v/>
      </c>
      <c r="F920" s="46">
        <f>IF(E920="","",IF(C920&gt;WeekEndDate,"",E920))</f>
        <v/>
      </c>
    </row>
    <row r="921">
      <c r="A921" t="inlineStr">
        <is>
          <t>Selections &amp; Orders</t>
        </is>
      </c>
      <c r="B921" s="46">
        <f>'Selections &amp; Orders'!AC927</f>
        <v/>
      </c>
      <c r="C921" s="84">
        <f>'Selections &amp; Orders'!AA927</f>
        <v/>
      </c>
      <c r="D921" s="46">
        <f>'Selections &amp; Orders'!AB927</f>
        <v/>
      </c>
      <c r="E921" s="46">
        <f>IF(OR(B921="",C921="",D921=""),"",D921*100000+(C921-DATE(2000,1,1))+ROW()/100000)</f>
        <v/>
      </c>
      <c r="F921" s="46">
        <f>IF(E921="","",IF(C921&gt;WeekEndDate,"",E921))</f>
        <v/>
      </c>
    </row>
    <row r="922">
      <c r="A922" t="inlineStr">
        <is>
          <t>Selections &amp; Orders</t>
        </is>
      </c>
      <c r="B922" s="46">
        <f>'Selections &amp; Orders'!AC928</f>
        <v/>
      </c>
      <c r="C922" s="84">
        <f>'Selections &amp; Orders'!AA928</f>
        <v/>
      </c>
      <c r="D922" s="46">
        <f>'Selections &amp; Orders'!AB928</f>
        <v/>
      </c>
      <c r="E922" s="46">
        <f>IF(OR(B922="",C922="",D922=""),"",D922*100000+(C922-DATE(2000,1,1))+ROW()/100000)</f>
        <v/>
      </c>
      <c r="F922" s="46">
        <f>IF(E922="","",IF(C922&gt;WeekEndDate,"",E922))</f>
        <v/>
      </c>
    </row>
    <row r="923">
      <c r="A923" t="inlineStr">
        <is>
          <t>Selections &amp; Orders</t>
        </is>
      </c>
      <c r="B923" s="46">
        <f>'Selections &amp; Orders'!AC929</f>
        <v/>
      </c>
      <c r="C923" s="84">
        <f>'Selections &amp; Orders'!AA929</f>
        <v/>
      </c>
      <c r="D923" s="46">
        <f>'Selections &amp; Orders'!AB929</f>
        <v/>
      </c>
      <c r="E923" s="46">
        <f>IF(OR(B923="",C923="",D923=""),"",D923*100000+(C923-DATE(2000,1,1))+ROW()/100000)</f>
        <v/>
      </c>
      <c r="F923" s="46">
        <f>IF(E923="","",IF(C923&gt;WeekEndDate,"",E923))</f>
        <v/>
      </c>
    </row>
    <row r="924">
      <c r="A924" t="inlineStr">
        <is>
          <t>Selections &amp; Orders</t>
        </is>
      </c>
      <c r="B924" s="46">
        <f>'Selections &amp; Orders'!AC930</f>
        <v/>
      </c>
      <c r="C924" s="84">
        <f>'Selections &amp; Orders'!AA930</f>
        <v/>
      </c>
      <c r="D924" s="46">
        <f>'Selections &amp; Orders'!AB930</f>
        <v/>
      </c>
      <c r="E924" s="46">
        <f>IF(OR(B924="",C924="",D924=""),"",D924*100000+(C924-DATE(2000,1,1))+ROW()/100000)</f>
        <v/>
      </c>
      <c r="F924" s="46">
        <f>IF(E924="","",IF(C924&gt;WeekEndDate,"",E924))</f>
        <v/>
      </c>
    </row>
    <row r="925">
      <c r="A925" t="inlineStr">
        <is>
          <t>Selections &amp; Orders</t>
        </is>
      </c>
      <c r="B925" s="46">
        <f>'Selections &amp; Orders'!AC931</f>
        <v/>
      </c>
      <c r="C925" s="84">
        <f>'Selections &amp; Orders'!AA931</f>
        <v/>
      </c>
      <c r="D925" s="46">
        <f>'Selections &amp; Orders'!AB931</f>
        <v/>
      </c>
      <c r="E925" s="46">
        <f>IF(OR(B925="",C925="",D925=""),"",D925*100000+(C925-DATE(2000,1,1))+ROW()/100000)</f>
        <v/>
      </c>
      <c r="F925" s="46">
        <f>IF(E925="","",IF(C925&gt;WeekEndDate,"",E925))</f>
        <v/>
      </c>
    </row>
    <row r="926">
      <c r="A926" t="inlineStr">
        <is>
          <t>Selections &amp; Orders</t>
        </is>
      </c>
      <c r="B926" s="46">
        <f>'Selections &amp; Orders'!AC932</f>
        <v/>
      </c>
      <c r="C926" s="84">
        <f>'Selections &amp; Orders'!AA932</f>
        <v/>
      </c>
      <c r="D926" s="46">
        <f>'Selections &amp; Orders'!AB932</f>
        <v/>
      </c>
      <c r="E926" s="46">
        <f>IF(OR(B926="",C926="",D926=""),"",D926*100000+(C926-DATE(2000,1,1))+ROW()/100000)</f>
        <v/>
      </c>
      <c r="F926" s="46">
        <f>IF(E926="","",IF(C926&gt;WeekEndDate,"",E926))</f>
        <v/>
      </c>
    </row>
    <row r="927">
      <c r="A927" t="inlineStr">
        <is>
          <t>Selections &amp; Orders</t>
        </is>
      </c>
      <c r="B927" s="46">
        <f>'Selections &amp; Orders'!AC933</f>
        <v/>
      </c>
      <c r="C927" s="84">
        <f>'Selections &amp; Orders'!AA933</f>
        <v/>
      </c>
      <c r="D927" s="46">
        <f>'Selections &amp; Orders'!AB933</f>
        <v/>
      </c>
      <c r="E927" s="46">
        <f>IF(OR(B927="",C927="",D927=""),"",D927*100000+(C927-DATE(2000,1,1))+ROW()/100000)</f>
        <v/>
      </c>
      <c r="F927" s="46">
        <f>IF(E927="","",IF(C927&gt;WeekEndDate,"",E927))</f>
        <v/>
      </c>
    </row>
    <row r="928">
      <c r="A928" t="inlineStr">
        <is>
          <t>Selections &amp; Orders</t>
        </is>
      </c>
      <c r="B928" s="46">
        <f>'Selections &amp; Orders'!AC934</f>
        <v/>
      </c>
      <c r="C928" s="84">
        <f>'Selections &amp; Orders'!AA934</f>
        <v/>
      </c>
      <c r="D928" s="46">
        <f>'Selections &amp; Orders'!AB934</f>
        <v/>
      </c>
      <c r="E928" s="46">
        <f>IF(OR(B928="",C928="",D928=""),"",D928*100000+(C928-DATE(2000,1,1))+ROW()/100000)</f>
        <v/>
      </c>
      <c r="F928" s="46">
        <f>IF(E928="","",IF(C928&gt;WeekEndDate,"",E928))</f>
        <v/>
      </c>
    </row>
    <row r="929">
      <c r="A929" t="inlineStr">
        <is>
          <t>Selections &amp; Orders</t>
        </is>
      </c>
      <c r="B929" s="46">
        <f>'Selections &amp; Orders'!AC935</f>
        <v/>
      </c>
      <c r="C929" s="84">
        <f>'Selections &amp; Orders'!AA935</f>
        <v/>
      </c>
      <c r="D929" s="46">
        <f>'Selections &amp; Orders'!AB935</f>
        <v/>
      </c>
      <c r="E929" s="46">
        <f>IF(OR(B929="",C929="",D929=""),"",D929*100000+(C929-DATE(2000,1,1))+ROW()/100000)</f>
        <v/>
      </c>
      <c r="F929" s="46">
        <f>IF(E929="","",IF(C929&gt;WeekEndDate,"",E929))</f>
        <v/>
      </c>
    </row>
    <row r="930">
      <c r="A930" t="inlineStr">
        <is>
          <t>Selections &amp; Orders</t>
        </is>
      </c>
      <c r="B930" s="46">
        <f>'Selections &amp; Orders'!AC936</f>
        <v/>
      </c>
      <c r="C930" s="84">
        <f>'Selections &amp; Orders'!AA936</f>
        <v/>
      </c>
      <c r="D930" s="46">
        <f>'Selections &amp; Orders'!AB936</f>
        <v/>
      </c>
      <c r="E930" s="46">
        <f>IF(OR(B930="",C930="",D930=""),"",D930*100000+(C930-DATE(2000,1,1))+ROW()/100000)</f>
        <v/>
      </c>
      <c r="F930" s="46">
        <f>IF(E930="","",IF(C930&gt;WeekEndDate,"",E930))</f>
        <v/>
      </c>
    </row>
    <row r="931">
      <c r="A931" t="inlineStr">
        <is>
          <t>Selections &amp; Orders</t>
        </is>
      </c>
      <c r="B931" s="46">
        <f>'Selections &amp; Orders'!AC937</f>
        <v/>
      </c>
      <c r="C931" s="84">
        <f>'Selections &amp; Orders'!AA937</f>
        <v/>
      </c>
      <c r="D931" s="46">
        <f>'Selections &amp; Orders'!AB937</f>
        <v/>
      </c>
      <c r="E931" s="46">
        <f>IF(OR(B931="",C931="",D931=""),"",D931*100000+(C931-DATE(2000,1,1))+ROW()/100000)</f>
        <v/>
      </c>
      <c r="F931" s="46">
        <f>IF(E931="","",IF(C931&gt;WeekEndDate,"",E931))</f>
        <v/>
      </c>
    </row>
    <row r="932">
      <c r="A932" t="inlineStr">
        <is>
          <t>Selections &amp; Orders</t>
        </is>
      </c>
      <c r="B932" s="46">
        <f>'Selections &amp; Orders'!AC938</f>
        <v/>
      </c>
      <c r="C932" s="84">
        <f>'Selections &amp; Orders'!AA938</f>
        <v/>
      </c>
      <c r="D932" s="46">
        <f>'Selections &amp; Orders'!AB938</f>
        <v/>
      </c>
      <c r="E932" s="46">
        <f>IF(OR(B932="",C932="",D932=""),"",D932*100000+(C932-DATE(2000,1,1))+ROW()/100000)</f>
        <v/>
      </c>
      <c r="F932" s="46">
        <f>IF(E932="","",IF(C932&gt;WeekEndDate,"",E932))</f>
        <v/>
      </c>
    </row>
    <row r="933">
      <c r="A933" t="inlineStr">
        <is>
          <t>Selections &amp; Orders</t>
        </is>
      </c>
      <c r="B933" s="46">
        <f>'Selections &amp; Orders'!AC939</f>
        <v/>
      </c>
      <c r="C933" s="84">
        <f>'Selections &amp; Orders'!AA939</f>
        <v/>
      </c>
      <c r="D933" s="46">
        <f>'Selections &amp; Orders'!AB939</f>
        <v/>
      </c>
      <c r="E933" s="46">
        <f>IF(OR(B933="",C933="",D933=""),"",D933*100000+(C933-DATE(2000,1,1))+ROW()/100000)</f>
        <v/>
      </c>
      <c r="F933" s="46">
        <f>IF(E933="","",IF(C933&gt;WeekEndDate,"",E933))</f>
        <v/>
      </c>
    </row>
    <row r="934">
      <c r="A934" t="inlineStr">
        <is>
          <t>Selections &amp; Orders</t>
        </is>
      </c>
      <c r="B934" s="46">
        <f>'Selections &amp; Orders'!AC940</f>
        <v/>
      </c>
      <c r="C934" s="84">
        <f>'Selections &amp; Orders'!AA940</f>
        <v/>
      </c>
      <c r="D934" s="46">
        <f>'Selections &amp; Orders'!AB940</f>
        <v/>
      </c>
      <c r="E934" s="46">
        <f>IF(OR(B934="",C934="",D934=""),"",D934*100000+(C934-DATE(2000,1,1))+ROW()/100000)</f>
        <v/>
      </c>
      <c r="F934" s="46">
        <f>IF(E934="","",IF(C934&gt;WeekEndDate,"",E934))</f>
        <v/>
      </c>
    </row>
    <row r="935">
      <c r="A935" t="inlineStr">
        <is>
          <t>Selections &amp; Orders</t>
        </is>
      </c>
      <c r="B935" s="46">
        <f>'Selections &amp; Orders'!AC941</f>
        <v/>
      </c>
      <c r="C935" s="84">
        <f>'Selections &amp; Orders'!AA941</f>
        <v/>
      </c>
      <c r="D935" s="46">
        <f>'Selections &amp; Orders'!AB941</f>
        <v/>
      </c>
      <c r="E935" s="46">
        <f>IF(OR(B935="",C935="",D935=""),"",D935*100000+(C935-DATE(2000,1,1))+ROW()/100000)</f>
        <v/>
      </c>
      <c r="F935" s="46">
        <f>IF(E935="","",IF(C935&gt;WeekEndDate,"",E935))</f>
        <v/>
      </c>
    </row>
    <row r="936">
      <c r="A936" t="inlineStr">
        <is>
          <t>Selections &amp; Orders</t>
        </is>
      </c>
      <c r="B936" s="46">
        <f>'Selections &amp; Orders'!AC942</f>
        <v/>
      </c>
      <c r="C936" s="84">
        <f>'Selections &amp; Orders'!AA942</f>
        <v/>
      </c>
      <c r="D936" s="46">
        <f>'Selections &amp; Orders'!AB942</f>
        <v/>
      </c>
      <c r="E936" s="46">
        <f>IF(OR(B936="",C936="",D936=""),"",D936*100000+(C936-DATE(2000,1,1))+ROW()/100000)</f>
        <v/>
      </c>
      <c r="F936" s="46">
        <f>IF(E936="","",IF(C936&gt;WeekEndDate,"",E936))</f>
        <v/>
      </c>
    </row>
    <row r="937">
      <c r="A937" t="inlineStr">
        <is>
          <t>Selections &amp; Orders</t>
        </is>
      </c>
      <c r="B937" s="46">
        <f>'Selections &amp; Orders'!AC943</f>
        <v/>
      </c>
      <c r="C937" s="84">
        <f>'Selections &amp; Orders'!AA943</f>
        <v/>
      </c>
      <c r="D937" s="46">
        <f>'Selections &amp; Orders'!AB943</f>
        <v/>
      </c>
      <c r="E937" s="46">
        <f>IF(OR(B937="",C937="",D937=""),"",D937*100000+(C937-DATE(2000,1,1))+ROW()/100000)</f>
        <v/>
      </c>
      <c r="F937" s="46">
        <f>IF(E937="","",IF(C937&gt;WeekEndDate,"",E937))</f>
        <v/>
      </c>
    </row>
    <row r="938">
      <c r="A938" t="inlineStr">
        <is>
          <t>Selections &amp; Orders</t>
        </is>
      </c>
      <c r="B938" s="46">
        <f>'Selections &amp; Orders'!AC944</f>
        <v/>
      </c>
      <c r="C938" s="84">
        <f>'Selections &amp; Orders'!AA944</f>
        <v/>
      </c>
      <c r="D938" s="46">
        <f>'Selections &amp; Orders'!AB944</f>
        <v/>
      </c>
      <c r="E938" s="46">
        <f>IF(OR(B938="",C938="",D938=""),"",D938*100000+(C938-DATE(2000,1,1))+ROW()/100000)</f>
        <v/>
      </c>
      <c r="F938" s="46">
        <f>IF(E938="","",IF(C938&gt;WeekEndDate,"",E938))</f>
        <v/>
      </c>
    </row>
    <row r="939">
      <c r="A939" t="inlineStr">
        <is>
          <t>Selections &amp; Orders</t>
        </is>
      </c>
      <c r="B939" s="46">
        <f>'Selections &amp; Orders'!AC945</f>
        <v/>
      </c>
      <c r="C939" s="84">
        <f>'Selections &amp; Orders'!AA945</f>
        <v/>
      </c>
      <c r="D939" s="46">
        <f>'Selections &amp; Orders'!AB945</f>
        <v/>
      </c>
      <c r="E939" s="46">
        <f>IF(OR(B939="",C939="",D939=""),"",D939*100000+(C939-DATE(2000,1,1))+ROW()/100000)</f>
        <v/>
      </c>
      <c r="F939" s="46">
        <f>IF(E939="","",IF(C939&gt;WeekEndDate,"",E939))</f>
        <v/>
      </c>
    </row>
    <row r="940">
      <c r="A940" t="inlineStr">
        <is>
          <t>Selections &amp; Orders</t>
        </is>
      </c>
      <c r="B940" s="46">
        <f>'Selections &amp; Orders'!AC946</f>
        <v/>
      </c>
      <c r="C940" s="84">
        <f>'Selections &amp; Orders'!AA946</f>
        <v/>
      </c>
      <c r="D940" s="46">
        <f>'Selections &amp; Orders'!AB946</f>
        <v/>
      </c>
      <c r="E940" s="46">
        <f>IF(OR(B940="",C940="",D940=""),"",D940*100000+(C940-DATE(2000,1,1))+ROW()/100000)</f>
        <v/>
      </c>
      <c r="F940" s="46">
        <f>IF(E940="","",IF(C940&gt;WeekEndDate,"",E940))</f>
        <v/>
      </c>
    </row>
    <row r="941">
      <c r="A941" t="inlineStr">
        <is>
          <t>Selections &amp; Orders</t>
        </is>
      </c>
      <c r="B941" s="46">
        <f>'Selections &amp; Orders'!AC947</f>
        <v/>
      </c>
      <c r="C941" s="84">
        <f>'Selections &amp; Orders'!AA947</f>
        <v/>
      </c>
      <c r="D941" s="46">
        <f>'Selections &amp; Orders'!AB947</f>
        <v/>
      </c>
      <c r="E941" s="46">
        <f>IF(OR(B941="",C941="",D941=""),"",D941*100000+(C941-DATE(2000,1,1))+ROW()/100000)</f>
        <v/>
      </c>
      <c r="F941" s="46">
        <f>IF(E941="","",IF(C941&gt;WeekEndDate,"",E941))</f>
        <v/>
      </c>
    </row>
    <row r="942">
      <c r="A942" t="inlineStr">
        <is>
          <t>Selections &amp; Orders</t>
        </is>
      </c>
      <c r="B942" s="46">
        <f>'Selections &amp; Orders'!AC948</f>
        <v/>
      </c>
      <c r="C942" s="84">
        <f>'Selections &amp; Orders'!AA948</f>
        <v/>
      </c>
      <c r="D942" s="46">
        <f>'Selections &amp; Orders'!AB948</f>
        <v/>
      </c>
      <c r="E942" s="46">
        <f>IF(OR(B942="",C942="",D942=""),"",D942*100000+(C942-DATE(2000,1,1))+ROW()/100000)</f>
        <v/>
      </c>
      <c r="F942" s="46">
        <f>IF(E942="","",IF(C942&gt;WeekEndDate,"",E942))</f>
        <v/>
      </c>
    </row>
    <row r="943">
      <c r="A943" t="inlineStr">
        <is>
          <t>Selections &amp; Orders</t>
        </is>
      </c>
      <c r="B943" s="46">
        <f>'Selections &amp; Orders'!AC949</f>
        <v/>
      </c>
      <c r="C943" s="84">
        <f>'Selections &amp; Orders'!AA949</f>
        <v/>
      </c>
      <c r="D943" s="46">
        <f>'Selections &amp; Orders'!AB949</f>
        <v/>
      </c>
      <c r="E943" s="46">
        <f>IF(OR(B943="",C943="",D943=""),"",D943*100000+(C943-DATE(2000,1,1))+ROW()/100000)</f>
        <v/>
      </c>
      <c r="F943" s="46">
        <f>IF(E943="","",IF(C943&gt;WeekEndDate,"",E943))</f>
        <v/>
      </c>
    </row>
    <row r="944">
      <c r="A944" t="inlineStr">
        <is>
          <t>Selections &amp; Orders</t>
        </is>
      </c>
      <c r="B944" s="46">
        <f>'Selections &amp; Orders'!AC950</f>
        <v/>
      </c>
      <c r="C944" s="84">
        <f>'Selections &amp; Orders'!AA950</f>
        <v/>
      </c>
      <c r="D944" s="46">
        <f>'Selections &amp; Orders'!AB950</f>
        <v/>
      </c>
      <c r="E944" s="46">
        <f>IF(OR(B944="",C944="",D944=""),"",D944*100000+(C944-DATE(2000,1,1))+ROW()/100000)</f>
        <v/>
      </c>
      <c r="F944" s="46">
        <f>IF(E944="","",IF(C944&gt;WeekEndDate,"",E944))</f>
        <v/>
      </c>
    </row>
    <row r="945">
      <c r="A945" t="inlineStr">
        <is>
          <t>Selections &amp; Orders</t>
        </is>
      </c>
      <c r="B945" s="46">
        <f>'Selections &amp; Orders'!AC951</f>
        <v/>
      </c>
      <c r="C945" s="84">
        <f>'Selections &amp; Orders'!AA951</f>
        <v/>
      </c>
      <c r="D945" s="46">
        <f>'Selections &amp; Orders'!AB951</f>
        <v/>
      </c>
      <c r="E945" s="46">
        <f>IF(OR(B945="",C945="",D945=""),"",D945*100000+(C945-DATE(2000,1,1))+ROW()/100000)</f>
        <v/>
      </c>
      <c r="F945" s="46">
        <f>IF(E945="","",IF(C945&gt;WeekEndDate,"",E945))</f>
        <v/>
      </c>
    </row>
    <row r="946">
      <c r="A946" t="inlineStr">
        <is>
          <t>Selections &amp; Orders</t>
        </is>
      </c>
      <c r="B946" s="46">
        <f>'Selections &amp; Orders'!AC952</f>
        <v/>
      </c>
      <c r="C946" s="84">
        <f>'Selections &amp; Orders'!AA952</f>
        <v/>
      </c>
      <c r="D946" s="46">
        <f>'Selections &amp; Orders'!AB952</f>
        <v/>
      </c>
      <c r="E946" s="46">
        <f>IF(OR(B946="",C946="",D946=""),"",D946*100000+(C946-DATE(2000,1,1))+ROW()/100000)</f>
        <v/>
      </c>
      <c r="F946" s="46">
        <f>IF(E946="","",IF(C946&gt;WeekEndDate,"",E946))</f>
        <v/>
      </c>
    </row>
    <row r="947">
      <c r="A947" t="inlineStr">
        <is>
          <t>Selections &amp; Orders</t>
        </is>
      </c>
      <c r="B947" s="46">
        <f>'Selections &amp; Orders'!AC953</f>
        <v/>
      </c>
      <c r="C947" s="84">
        <f>'Selections &amp; Orders'!AA953</f>
        <v/>
      </c>
      <c r="D947" s="46">
        <f>'Selections &amp; Orders'!AB953</f>
        <v/>
      </c>
      <c r="E947" s="46">
        <f>IF(OR(B947="",C947="",D947=""),"",D947*100000+(C947-DATE(2000,1,1))+ROW()/100000)</f>
        <v/>
      </c>
      <c r="F947" s="46">
        <f>IF(E947="","",IF(C947&gt;WeekEndDate,"",E947))</f>
        <v/>
      </c>
    </row>
    <row r="948">
      <c r="A948" t="inlineStr">
        <is>
          <t>Selections &amp; Orders</t>
        </is>
      </c>
      <c r="B948" s="46">
        <f>'Selections &amp; Orders'!AC954</f>
        <v/>
      </c>
      <c r="C948" s="84">
        <f>'Selections &amp; Orders'!AA954</f>
        <v/>
      </c>
      <c r="D948" s="46">
        <f>'Selections &amp; Orders'!AB954</f>
        <v/>
      </c>
      <c r="E948" s="46">
        <f>IF(OR(B948="",C948="",D948=""),"",D948*100000+(C948-DATE(2000,1,1))+ROW()/100000)</f>
        <v/>
      </c>
      <c r="F948" s="46">
        <f>IF(E948="","",IF(C948&gt;WeekEndDate,"",E948))</f>
        <v/>
      </c>
    </row>
    <row r="949">
      <c r="A949" t="inlineStr">
        <is>
          <t>Selections &amp; Orders</t>
        </is>
      </c>
      <c r="B949" s="46">
        <f>'Selections &amp; Orders'!AC955</f>
        <v/>
      </c>
      <c r="C949" s="84">
        <f>'Selections &amp; Orders'!AA955</f>
        <v/>
      </c>
      <c r="D949" s="46">
        <f>'Selections &amp; Orders'!AB955</f>
        <v/>
      </c>
      <c r="E949" s="46">
        <f>IF(OR(B949="",C949="",D949=""),"",D949*100000+(C949-DATE(2000,1,1))+ROW()/100000)</f>
        <v/>
      </c>
      <c r="F949" s="46">
        <f>IF(E949="","",IF(C949&gt;WeekEndDate,"",E949))</f>
        <v/>
      </c>
    </row>
    <row r="950">
      <c r="A950" t="inlineStr">
        <is>
          <t>Selections &amp; Orders</t>
        </is>
      </c>
      <c r="B950" s="46">
        <f>'Selections &amp; Orders'!AC956</f>
        <v/>
      </c>
      <c r="C950" s="84">
        <f>'Selections &amp; Orders'!AA956</f>
        <v/>
      </c>
      <c r="D950" s="46">
        <f>'Selections &amp; Orders'!AB956</f>
        <v/>
      </c>
      <c r="E950" s="46">
        <f>IF(OR(B950="",C950="",D950=""),"",D950*100000+(C950-DATE(2000,1,1))+ROW()/100000)</f>
        <v/>
      </c>
      <c r="F950" s="46">
        <f>IF(E950="","",IF(C950&gt;WeekEndDate,"",E950))</f>
        <v/>
      </c>
    </row>
    <row r="951">
      <c r="A951" t="inlineStr">
        <is>
          <t>Selections &amp; Orders</t>
        </is>
      </c>
      <c r="B951" s="46">
        <f>'Selections &amp; Orders'!AC957</f>
        <v/>
      </c>
      <c r="C951" s="84">
        <f>'Selections &amp; Orders'!AA957</f>
        <v/>
      </c>
      <c r="D951" s="46">
        <f>'Selections &amp; Orders'!AB957</f>
        <v/>
      </c>
      <c r="E951" s="46">
        <f>IF(OR(B951="",C951="",D951=""),"",D951*100000+(C951-DATE(2000,1,1))+ROW()/100000)</f>
        <v/>
      </c>
      <c r="F951" s="46">
        <f>IF(E951="","",IF(C951&gt;WeekEndDate,"",E951))</f>
        <v/>
      </c>
    </row>
    <row r="952">
      <c r="A952" t="inlineStr">
        <is>
          <t>Selections &amp; Orders</t>
        </is>
      </c>
      <c r="B952" s="46">
        <f>'Selections &amp; Orders'!AC958</f>
        <v/>
      </c>
      <c r="C952" s="84">
        <f>'Selections &amp; Orders'!AA958</f>
        <v/>
      </c>
      <c r="D952" s="46">
        <f>'Selections &amp; Orders'!AB958</f>
        <v/>
      </c>
      <c r="E952" s="46">
        <f>IF(OR(B952="",C952="",D952=""),"",D952*100000+(C952-DATE(2000,1,1))+ROW()/100000)</f>
        <v/>
      </c>
      <c r="F952" s="46">
        <f>IF(E952="","",IF(C952&gt;WeekEndDate,"",E952))</f>
        <v/>
      </c>
    </row>
    <row r="953">
      <c r="A953" t="inlineStr">
        <is>
          <t>Selections &amp; Orders</t>
        </is>
      </c>
      <c r="B953" s="46">
        <f>'Selections &amp; Orders'!AC959</f>
        <v/>
      </c>
      <c r="C953" s="84">
        <f>'Selections &amp; Orders'!AA959</f>
        <v/>
      </c>
      <c r="D953" s="46">
        <f>'Selections &amp; Orders'!AB959</f>
        <v/>
      </c>
      <c r="E953" s="46">
        <f>IF(OR(B953="",C953="",D953=""),"",D953*100000+(C953-DATE(2000,1,1))+ROW()/100000)</f>
        <v/>
      </c>
      <c r="F953" s="46">
        <f>IF(E953="","",IF(C953&gt;WeekEndDate,"",E953))</f>
        <v/>
      </c>
    </row>
    <row r="954">
      <c r="A954" t="inlineStr">
        <is>
          <t>Selections &amp; Orders</t>
        </is>
      </c>
      <c r="B954" s="46">
        <f>'Selections &amp; Orders'!AC960</f>
        <v/>
      </c>
      <c r="C954" s="84">
        <f>'Selections &amp; Orders'!AA960</f>
        <v/>
      </c>
      <c r="D954" s="46">
        <f>'Selections &amp; Orders'!AB960</f>
        <v/>
      </c>
      <c r="E954" s="46">
        <f>IF(OR(B954="",C954="",D954=""),"",D954*100000+(C954-DATE(2000,1,1))+ROW()/100000)</f>
        <v/>
      </c>
      <c r="F954" s="46">
        <f>IF(E954="","",IF(C954&gt;WeekEndDate,"",E954))</f>
        <v/>
      </c>
    </row>
    <row r="955">
      <c r="A955" t="inlineStr">
        <is>
          <t>Selections &amp; Orders</t>
        </is>
      </c>
      <c r="B955" s="46">
        <f>'Selections &amp; Orders'!AC961</f>
        <v/>
      </c>
      <c r="C955" s="84">
        <f>'Selections &amp; Orders'!AA961</f>
        <v/>
      </c>
      <c r="D955" s="46">
        <f>'Selections &amp; Orders'!AB961</f>
        <v/>
      </c>
      <c r="E955" s="46">
        <f>IF(OR(B955="",C955="",D955=""),"",D955*100000+(C955-DATE(2000,1,1))+ROW()/100000)</f>
        <v/>
      </c>
      <c r="F955" s="46">
        <f>IF(E955="","",IF(C955&gt;WeekEndDate,"",E955))</f>
        <v/>
      </c>
    </row>
    <row r="956">
      <c r="A956" t="inlineStr">
        <is>
          <t>Selections &amp; Orders</t>
        </is>
      </c>
      <c r="B956" s="46">
        <f>'Selections &amp; Orders'!AC962</f>
        <v/>
      </c>
      <c r="C956" s="84">
        <f>'Selections &amp; Orders'!AA962</f>
        <v/>
      </c>
      <c r="D956" s="46">
        <f>'Selections &amp; Orders'!AB962</f>
        <v/>
      </c>
      <c r="E956" s="46">
        <f>IF(OR(B956="",C956="",D956=""),"",D956*100000+(C956-DATE(2000,1,1))+ROW()/100000)</f>
        <v/>
      </c>
      <c r="F956" s="46">
        <f>IF(E956="","",IF(C956&gt;WeekEndDate,"",E956))</f>
        <v/>
      </c>
    </row>
    <row r="957">
      <c r="A957" t="inlineStr">
        <is>
          <t>Selections &amp; Orders</t>
        </is>
      </c>
      <c r="B957" s="46">
        <f>'Selections &amp; Orders'!AC963</f>
        <v/>
      </c>
      <c r="C957" s="84">
        <f>'Selections &amp; Orders'!AA963</f>
        <v/>
      </c>
      <c r="D957" s="46">
        <f>'Selections &amp; Orders'!AB963</f>
        <v/>
      </c>
      <c r="E957" s="46">
        <f>IF(OR(B957="",C957="",D957=""),"",D957*100000+(C957-DATE(2000,1,1))+ROW()/100000)</f>
        <v/>
      </c>
      <c r="F957" s="46">
        <f>IF(E957="","",IF(C957&gt;WeekEndDate,"",E957))</f>
        <v/>
      </c>
    </row>
    <row r="958">
      <c r="A958" t="inlineStr">
        <is>
          <t>Selections &amp; Orders</t>
        </is>
      </c>
      <c r="B958" s="46">
        <f>'Selections &amp; Orders'!AC964</f>
        <v/>
      </c>
      <c r="C958" s="84">
        <f>'Selections &amp; Orders'!AA964</f>
        <v/>
      </c>
      <c r="D958" s="46">
        <f>'Selections &amp; Orders'!AB964</f>
        <v/>
      </c>
      <c r="E958" s="46">
        <f>IF(OR(B958="",C958="",D958=""),"",D958*100000+(C958-DATE(2000,1,1))+ROW()/100000)</f>
        <v/>
      </c>
      <c r="F958" s="46">
        <f>IF(E958="","",IF(C958&gt;WeekEndDate,"",E958))</f>
        <v/>
      </c>
    </row>
    <row r="959">
      <c r="A959" t="inlineStr">
        <is>
          <t>Selections &amp; Orders</t>
        </is>
      </c>
      <c r="B959" s="46">
        <f>'Selections &amp; Orders'!AC965</f>
        <v/>
      </c>
      <c r="C959" s="84">
        <f>'Selections &amp; Orders'!AA965</f>
        <v/>
      </c>
      <c r="D959" s="46">
        <f>'Selections &amp; Orders'!AB965</f>
        <v/>
      </c>
      <c r="E959" s="46">
        <f>IF(OR(B959="",C959="",D959=""),"",D959*100000+(C959-DATE(2000,1,1))+ROW()/100000)</f>
        <v/>
      </c>
      <c r="F959" s="46">
        <f>IF(E959="","",IF(C959&gt;WeekEndDate,"",E959))</f>
        <v/>
      </c>
    </row>
    <row r="960">
      <c r="A960" t="inlineStr">
        <is>
          <t>Selections &amp; Orders</t>
        </is>
      </c>
      <c r="B960" s="46">
        <f>'Selections &amp; Orders'!AC966</f>
        <v/>
      </c>
      <c r="C960" s="84">
        <f>'Selections &amp; Orders'!AA966</f>
        <v/>
      </c>
      <c r="D960" s="46">
        <f>'Selections &amp; Orders'!AB966</f>
        <v/>
      </c>
      <c r="E960" s="46">
        <f>IF(OR(B960="",C960="",D960=""),"",D960*100000+(C960-DATE(2000,1,1))+ROW()/100000)</f>
        <v/>
      </c>
      <c r="F960" s="46">
        <f>IF(E960="","",IF(C960&gt;WeekEndDate,"",E960))</f>
        <v/>
      </c>
    </row>
    <row r="961">
      <c r="A961" t="inlineStr">
        <is>
          <t>Selections &amp; Orders</t>
        </is>
      </c>
      <c r="B961" s="46">
        <f>'Selections &amp; Orders'!AC967</f>
        <v/>
      </c>
      <c r="C961" s="84">
        <f>'Selections &amp; Orders'!AA967</f>
        <v/>
      </c>
      <c r="D961" s="46">
        <f>'Selections &amp; Orders'!AB967</f>
        <v/>
      </c>
      <c r="E961" s="46">
        <f>IF(OR(B961="",C961="",D961=""),"",D961*100000+(C961-DATE(2000,1,1))+ROW()/100000)</f>
        <v/>
      </c>
      <c r="F961" s="46">
        <f>IF(E961="","",IF(C961&gt;WeekEndDate,"",E961))</f>
        <v/>
      </c>
    </row>
    <row r="962">
      <c r="A962" t="inlineStr">
        <is>
          <t>Selections &amp; Orders</t>
        </is>
      </c>
      <c r="B962" s="46">
        <f>'Selections &amp; Orders'!AC968</f>
        <v/>
      </c>
      <c r="C962" s="84">
        <f>'Selections &amp; Orders'!AA968</f>
        <v/>
      </c>
      <c r="D962" s="46">
        <f>'Selections &amp; Orders'!AB968</f>
        <v/>
      </c>
      <c r="E962" s="46">
        <f>IF(OR(B962="",C962="",D962=""),"",D962*100000+(C962-DATE(2000,1,1))+ROW()/100000)</f>
        <v/>
      </c>
      <c r="F962" s="46">
        <f>IF(E962="","",IF(C962&gt;WeekEndDate,"",E962))</f>
        <v/>
      </c>
    </row>
    <row r="963">
      <c r="A963" t="inlineStr">
        <is>
          <t>Selections &amp; Orders</t>
        </is>
      </c>
      <c r="B963" s="46">
        <f>'Selections &amp; Orders'!AC969</f>
        <v/>
      </c>
      <c r="C963" s="84">
        <f>'Selections &amp; Orders'!AA969</f>
        <v/>
      </c>
      <c r="D963" s="46">
        <f>'Selections &amp; Orders'!AB969</f>
        <v/>
      </c>
      <c r="E963" s="46">
        <f>IF(OR(B963="",C963="",D963=""),"",D963*100000+(C963-DATE(2000,1,1))+ROW()/100000)</f>
        <v/>
      </c>
      <c r="F963" s="46">
        <f>IF(E963="","",IF(C963&gt;WeekEndDate,"",E963))</f>
        <v/>
      </c>
    </row>
    <row r="964">
      <c r="A964" t="inlineStr">
        <is>
          <t>Selections &amp; Orders</t>
        </is>
      </c>
      <c r="B964" s="46">
        <f>'Selections &amp; Orders'!AC970</f>
        <v/>
      </c>
      <c r="C964" s="84">
        <f>'Selections &amp; Orders'!AA970</f>
        <v/>
      </c>
      <c r="D964" s="46">
        <f>'Selections &amp; Orders'!AB970</f>
        <v/>
      </c>
      <c r="E964" s="46">
        <f>IF(OR(B964="",C964="",D964=""),"",D964*100000+(C964-DATE(2000,1,1))+ROW()/100000)</f>
        <v/>
      </c>
      <c r="F964" s="46">
        <f>IF(E964="","",IF(C964&gt;WeekEndDate,"",E964))</f>
        <v/>
      </c>
    </row>
    <row r="965">
      <c r="A965" t="inlineStr">
        <is>
          <t>Selections &amp; Orders</t>
        </is>
      </c>
      <c r="B965" s="46">
        <f>'Selections &amp; Orders'!AC971</f>
        <v/>
      </c>
      <c r="C965" s="84">
        <f>'Selections &amp; Orders'!AA971</f>
        <v/>
      </c>
      <c r="D965" s="46">
        <f>'Selections &amp; Orders'!AB971</f>
        <v/>
      </c>
      <c r="E965" s="46">
        <f>IF(OR(B965="",C965="",D965=""),"",D965*100000+(C965-DATE(2000,1,1))+ROW()/100000)</f>
        <v/>
      </c>
      <c r="F965" s="46">
        <f>IF(E965="","",IF(C965&gt;WeekEndDate,"",E965))</f>
        <v/>
      </c>
    </row>
    <row r="966">
      <c r="A966" t="inlineStr">
        <is>
          <t>Selections &amp; Orders</t>
        </is>
      </c>
      <c r="B966" s="46">
        <f>'Selections &amp; Orders'!AC972</f>
        <v/>
      </c>
      <c r="C966" s="84">
        <f>'Selections &amp; Orders'!AA972</f>
        <v/>
      </c>
      <c r="D966" s="46">
        <f>'Selections &amp; Orders'!AB972</f>
        <v/>
      </c>
      <c r="E966" s="46">
        <f>IF(OR(B966="",C966="",D966=""),"",D966*100000+(C966-DATE(2000,1,1))+ROW()/100000)</f>
        <v/>
      </c>
      <c r="F966" s="46">
        <f>IF(E966="","",IF(C966&gt;WeekEndDate,"",E966))</f>
        <v/>
      </c>
    </row>
    <row r="967">
      <c r="A967" t="inlineStr">
        <is>
          <t>Selections &amp; Orders</t>
        </is>
      </c>
      <c r="B967" s="46">
        <f>'Selections &amp; Orders'!AC973</f>
        <v/>
      </c>
      <c r="C967" s="84">
        <f>'Selections &amp; Orders'!AA973</f>
        <v/>
      </c>
      <c r="D967" s="46">
        <f>'Selections &amp; Orders'!AB973</f>
        <v/>
      </c>
      <c r="E967" s="46">
        <f>IF(OR(B967="",C967="",D967=""),"",D967*100000+(C967-DATE(2000,1,1))+ROW()/100000)</f>
        <v/>
      </c>
      <c r="F967" s="46">
        <f>IF(E967="","",IF(C967&gt;WeekEndDate,"",E967))</f>
        <v/>
      </c>
    </row>
    <row r="968">
      <c r="A968" t="inlineStr">
        <is>
          <t>Selections &amp; Orders</t>
        </is>
      </c>
      <c r="B968" s="46">
        <f>'Selections &amp; Orders'!AC974</f>
        <v/>
      </c>
      <c r="C968" s="84">
        <f>'Selections &amp; Orders'!AA974</f>
        <v/>
      </c>
      <c r="D968" s="46">
        <f>'Selections &amp; Orders'!AB974</f>
        <v/>
      </c>
      <c r="E968" s="46">
        <f>IF(OR(B968="",C968="",D968=""),"",D968*100000+(C968-DATE(2000,1,1))+ROW()/100000)</f>
        <v/>
      </c>
      <c r="F968" s="46">
        <f>IF(E968="","",IF(C968&gt;WeekEndDate,"",E968))</f>
        <v/>
      </c>
    </row>
    <row r="969">
      <c r="A969" t="inlineStr">
        <is>
          <t>Selections &amp; Orders</t>
        </is>
      </c>
      <c r="B969" s="46">
        <f>'Selections &amp; Orders'!AC975</f>
        <v/>
      </c>
      <c r="C969" s="84">
        <f>'Selections &amp; Orders'!AA975</f>
        <v/>
      </c>
      <c r="D969" s="46">
        <f>'Selections &amp; Orders'!AB975</f>
        <v/>
      </c>
      <c r="E969" s="46">
        <f>IF(OR(B969="",C969="",D969=""),"",D969*100000+(C969-DATE(2000,1,1))+ROW()/100000)</f>
        <v/>
      </c>
      <c r="F969" s="46">
        <f>IF(E969="","",IF(C969&gt;WeekEndDate,"",E969))</f>
        <v/>
      </c>
    </row>
    <row r="970">
      <c r="A970" t="inlineStr">
        <is>
          <t>Selections &amp; Orders</t>
        </is>
      </c>
      <c r="B970" s="46">
        <f>'Selections &amp; Orders'!AC976</f>
        <v/>
      </c>
      <c r="C970" s="84">
        <f>'Selections &amp; Orders'!AA976</f>
        <v/>
      </c>
      <c r="D970" s="46">
        <f>'Selections &amp; Orders'!AB976</f>
        <v/>
      </c>
      <c r="E970" s="46">
        <f>IF(OR(B970="",C970="",D970=""),"",D970*100000+(C970-DATE(2000,1,1))+ROW()/100000)</f>
        <v/>
      </c>
      <c r="F970" s="46">
        <f>IF(E970="","",IF(C970&gt;WeekEndDate,"",E970))</f>
        <v/>
      </c>
    </row>
    <row r="971">
      <c r="A971" t="inlineStr">
        <is>
          <t>Selections &amp; Orders</t>
        </is>
      </c>
      <c r="B971" s="46">
        <f>'Selections &amp; Orders'!AC977</f>
        <v/>
      </c>
      <c r="C971" s="84">
        <f>'Selections &amp; Orders'!AA977</f>
        <v/>
      </c>
      <c r="D971" s="46">
        <f>'Selections &amp; Orders'!AB977</f>
        <v/>
      </c>
      <c r="E971" s="46">
        <f>IF(OR(B971="",C971="",D971=""),"",D971*100000+(C971-DATE(2000,1,1))+ROW()/100000)</f>
        <v/>
      </c>
      <c r="F971" s="46">
        <f>IF(E971="","",IF(C971&gt;WeekEndDate,"",E971))</f>
        <v/>
      </c>
    </row>
    <row r="972">
      <c r="A972" t="inlineStr">
        <is>
          <t>Selections &amp; Orders</t>
        </is>
      </c>
      <c r="B972" s="46">
        <f>'Selections &amp; Orders'!AC978</f>
        <v/>
      </c>
      <c r="C972" s="84">
        <f>'Selections &amp; Orders'!AA978</f>
        <v/>
      </c>
      <c r="D972" s="46">
        <f>'Selections &amp; Orders'!AB978</f>
        <v/>
      </c>
      <c r="E972" s="46">
        <f>IF(OR(B972="",C972="",D972=""),"",D972*100000+(C972-DATE(2000,1,1))+ROW()/100000)</f>
        <v/>
      </c>
      <c r="F972" s="46">
        <f>IF(E972="","",IF(C972&gt;WeekEndDate,"",E972))</f>
        <v/>
      </c>
    </row>
    <row r="973">
      <c r="A973" t="inlineStr">
        <is>
          <t>Selections &amp; Orders</t>
        </is>
      </c>
      <c r="B973" s="46">
        <f>'Selections &amp; Orders'!AC979</f>
        <v/>
      </c>
      <c r="C973" s="84">
        <f>'Selections &amp; Orders'!AA979</f>
        <v/>
      </c>
      <c r="D973" s="46">
        <f>'Selections &amp; Orders'!AB979</f>
        <v/>
      </c>
      <c r="E973" s="46">
        <f>IF(OR(B973="",C973="",D973=""),"",D973*100000+(C973-DATE(2000,1,1))+ROW()/100000)</f>
        <v/>
      </c>
      <c r="F973" s="46">
        <f>IF(E973="","",IF(C973&gt;WeekEndDate,"",E973))</f>
        <v/>
      </c>
    </row>
    <row r="974">
      <c r="A974" t="inlineStr">
        <is>
          <t>Selections &amp; Orders</t>
        </is>
      </c>
      <c r="B974" s="46">
        <f>'Selections &amp; Orders'!AC980</f>
        <v/>
      </c>
      <c r="C974" s="84">
        <f>'Selections &amp; Orders'!AA980</f>
        <v/>
      </c>
      <c r="D974" s="46">
        <f>'Selections &amp; Orders'!AB980</f>
        <v/>
      </c>
      <c r="E974" s="46">
        <f>IF(OR(B974="",C974="",D974=""),"",D974*100000+(C974-DATE(2000,1,1))+ROW()/100000)</f>
        <v/>
      </c>
      <c r="F974" s="46">
        <f>IF(E974="","",IF(C974&gt;WeekEndDate,"",E974))</f>
        <v/>
      </c>
    </row>
    <row r="975">
      <c r="A975" t="inlineStr">
        <is>
          <t>Selections &amp; Orders</t>
        </is>
      </c>
      <c r="B975" s="46">
        <f>'Selections &amp; Orders'!AC981</f>
        <v/>
      </c>
      <c r="C975" s="84">
        <f>'Selections &amp; Orders'!AA981</f>
        <v/>
      </c>
      <c r="D975" s="46">
        <f>'Selections &amp; Orders'!AB981</f>
        <v/>
      </c>
      <c r="E975" s="46">
        <f>IF(OR(B975="",C975="",D975=""),"",D975*100000+(C975-DATE(2000,1,1))+ROW()/100000)</f>
        <v/>
      </c>
      <c r="F975" s="46">
        <f>IF(E975="","",IF(C975&gt;WeekEndDate,"",E975))</f>
        <v/>
      </c>
    </row>
    <row r="976">
      <c r="A976" t="inlineStr">
        <is>
          <t>Selections &amp; Orders</t>
        </is>
      </c>
      <c r="B976" s="46">
        <f>'Selections &amp; Orders'!AC982</f>
        <v/>
      </c>
      <c r="C976" s="84">
        <f>'Selections &amp; Orders'!AA982</f>
        <v/>
      </c>
      <c r="D976" s="46">
        <f>'Selections &amp; Orders'!AB982</f>
        <v/>
      </c>
      <c r="E976" s="46">
        <f>IF(OR(B976="",C976="",D976=""),"",D976*100000+(C976-DATE(2000,1,1))+ROW()/100000)</f>
        <v/>
      </c>
      <c r="F976" s="46">
        <f>IF(E976="","",IF(C976&gt;WeekEndDate,"",E976))</f>
        <v/>
      </c>
    </row>
    <row r="977">
      <c r="A977" t="inlineStr">
        <is>
          <t>Selections &amp; Orders</t>
        </is>
      </c>
      <c r="B977" s="46">
        <f>'Selections &amp; Orders'!AC983</f>
        <v/>
      </c>
      <c r="C977" s="84">
        <f>'Selections &amp; Orders'!AA983</f>
        <v/>
      </c>
      <c r="D977" s="46">
        <f>'Selections &amp; Orders'!AB983</f>
        <v/>
      </c>
      <c r="E977" s="46">
        <f>IF(OR(B977="",C977="",D977=""),"",D977*100000+(C977-DATE(2000,1,1))+ROW()/100000)</f>
        <v/>
      </c>
      <c r="F977" s="46">
        <f>IF(E977="","",IF(C977&gt;WeekEndDate,"",E977))</f>
        <v/>
      </c>
    </row>
    <row r="978">
      <c r="A978" t="inlineStr">
        <is>
          <t>Selections &amp; Orders</t>
        </is>
      </c>
      <c r="B978" s="46">
        <f>'Selections &amp; Orders'!AC984</f>
        <v/>
      </c>
      <c r="C978" s="84">
        <f>'Selections &amp; Orders'!AA984</f>
        <v/>
      </c>
      <c r="D978" s="46">
        <f>'Selections &amp; Orders'!AB984</f>
        <v/>
      </c>
      <c r="E978" s="46">
        <f>IF(OR(B978="",C978="",D978=""),"",D978*100000+(C978-DATE(2000,1,1))+ROW()/100000)</f>
        <v/>
      </c>
      <c r="F978" s="46">
        <f>IF(E978="","",IF(C978&gt;WeekEndDate,"",E978))</f>
        <v/>
      </c>
    </row>
    <row r="979">
      <c r="A979" t="inlineStr">
        <is>
          <t>Selections &amp; Orders</t>
        </is>
      </c>
      <c r="B979" s="46">
        <f>'Selections &amp; Orders'!AC985</f>
        <v/>
      </c>
      <c r="C979" s="84">
        <f>'Selections &amp; Orders'!AA985</f>
        <v/>
      </c>
      <c r="D979" s="46">
        <f>'Selections &amp; Orders'!AB985</f>
        <v/>
      </c>
      <c r="E979" s="46">
        <f>IF(OR(B979="",C979="",D979=""),"",D979*100000+(C979-DATE(2000,1,1))+ROW()/100000)</f>
        <v/>
      </c>
      <c r="F979" s="46">
        <f>IF(E979="","",IF(C979&gt;WeekEndDate,"",E979))</f>
        <v/>
      </c>
    </row>
    <row r="980">
      <c r="A980" t="inlineStr">
        <is>
          <t>Selections &amp; Orders</t>
        </is>
      </c>
      <c r="B980" s="46">
        <f>'Selections &amp; Orders'!AC986</f>
        <v/>
      </c>
      <c r="C980" s="84">
        <f>'Selections &amp; Orders'!AA986</f>
        <v/>
      </c>
      <c r="D980" s="46">
        <f>'Selections &amp; Orders'!AB986</f>
        <v/>
      </c>
      <c r="E980" s="46">
        <f>IF(OR(B980="",C980="",D980=""),"",D980*100000+(C980-DATE(2000,1,1))+ROW()/100000)</f>
        <v/>
      </c>
      <c r="F980" s="46">
        <f>IF(E980="","",IF(C980&gt;WeekEndDate,"",E980))</f>
        <v/>
      </c>
    </row>
    <row r="981">
      <c r="A981" t="inlineStr">
        <is>
          <t>Selections &amp; Orders</t>
        </is>
      </c>
      <c r="B981" s="46">
        <f>'Selections &amp; Orders'!AC987</f>
        <v/>
      </c>
      <c r="C981" s="84">
        <f>'Selections &amp; Orders'!AA987</f>
        <v/>
      </c>
      <c r="D981" s="46">
        <f>'Selections &amp; Orders'!AB987</f>
        <v/>
      </c>
      <c r="E981" s="46">
        <f>IF(OR(B981="",C981="",D981=""),"",D981*100000+(C981-DATE(2000,1,1))+ROW()/100000)</f>
        <v/>
      </c>
      <c r="F981" s="46">
        <f>IF(E981="","",IF(C981&gt;WeekEndDate,"",E981))</f>
        <v/>
      </c>
    </row>
    <row r="982">
      <c r="A982" t="inlineStr">
        <is>
          <t>Selections &amp; Orders</t>
        </is>
      </c>
      <c r="B982" s="46">
        <f>'Selections &amp; Orders'!AC988</f>
        <v/>
      </c>
      <c r="C982" s="84">
        <f>'Selections &amp; Orders'!AA988</f>
        <v/>
      </c>
      <c r="D982" s="46">
        <f>'Selections &amp; Orders'!AB988</f>
        <v/>
      </c>
      <c r="E982" s="46">
        <f>IF(OR(B982="",C982="",D982=""),"",D982*100000+(C982-DATE(2000,1,1))+ROW()/100000)</f>
        <v/>
      </c>
      <c r="F982" s="46">
        <f>IF(E982="","",IF(C982&gt;WeekEndDate,"",E982))</f>
        <v/>
      </c>
    </row>
    <row r="983">
      <c r="A983" t="inlineStr">
        <is>
          <t>Selections &amp; Orders</t>
        </is>
      </c>
      <c r="B983" s="46">
        <f>'Selections &amp; Orders'!AC989</f>
        <v/>
      </c>
      <c r="C983" s="84">
        <f>'Selections &amp; Orders'!AA989</f>
        <v/>
      </c>
      <c r="D983" s="46">
        <f>'Selections &amp; Orders'!AB989</f>
        <v/>
      </c>
      <c r="E983" s="46">
        <f>IF(OR(B983="",C983="",D983=""),"",D983*100000+(C983-DATE(2000,1,1))+ROW()/100000)</f>
        <v/>
      </c>
      <c r="F983" s="46">
        <f>IF(E983="","",IF(C983&gt;WeekEndDate,"",E983))</f>
        <v/>
      </c>
    </row>
    <row r="984">
      <c r="A984" t="inlineStr">
        <is>
          <t>Selections &amp; Orders</t>
        </is>
      </c>
      <c r="B984" s="46">
        <f>'Selections &amp; Orders'!AC990</f>
        <v/>
      </c>
      <c r="C984" s="84">
        <f>'Selections &amp; Orders'!AA990</f>
        <v/>
      </c>
      <c r="D984" s="46">
        <f>'Selections &amp; Orders'!AB990</f>
        <v/>
      </c>
      <c r="E984" s="46">
        <f>IF(OR(B984="",C984="",D984=""),"",D984*100000+(C984-DATE(2000,1,1))+ROW()/100000)</f>
        <v/>
      </c>
      <c r="F984" s="46">
        <f>IF(E984="","",IF(C984&gt;WeekEndDate,"",E984))</f>
        <v/>
      </c>
    </row>
    <row r="985">
      <c r="A985" t="inlineStr">
        <is>
          <t>Selections &amp; Orders</t>
        </is>
      </c>
      <c r="B985" s="46">
        <f>'Selections &amp; Orders'!AC991</f>
        <v/>
      </c>
      <c r="C985" s="84">
        <f>'Selections &amp; Orders'!AA991</f>
        <v/>
      </c>
      <c r="D985" s="46">
        <f>'Selections &amp; Orders'!AB991</f>
        <v/>
      </c>
      <c r="E985" s="46">
        <f>IF(OR(B985="",C985="",D985=""),"",D985*100000+(C985-DATE(2000,1,1))+ROW()/100000)</f>
        <v/>
      </c>
      <c r="F985" s="46">
        <f>IF(E985="","",IF(C985&gt;WeekEndDate,"",E985))</f>
        <v/>
      </c>
    </row>
    <row r="986">
      <c r="A986" t="inlineStr">
        <is>
          <t>Selections &amp; Orders</t>
        </is>
      </c>
      <c r="B986" s="46">
        <f>'Selections &amp; Orders'!AC992</f>
        <v/>
      </c>
      <c r="C986" s="84">
        <f>'Selections &amp; Orders'!AA992</f>
        <v/>
      </c>
      <c r="D986" s="46">
        <f>'Selections &amp; Orders'!AB992</f>
        <v/>
      </c>
      <c r="E986" s="46">
        <f>IF(OR(B986="",C986="",D986=""),"",D986*100000+(C986-DATE(2000,1,1))+ROW()/100000)</f>
        <v/>
      </c>
      <c r="F986" s="46">
        <f>IF(E986="","",IF(C986&gt;WeekEndDate,"",E986))</f>
        <v/>
      </c>
    </row>
    <row r="987">
      <c r="A987" t="inlineStr">
        <is>
          <t>Selections &amp; Orders</t>
        </is>
      </c>
      <c r="B987" s="46">
        <f>'Selections &amp; Orders'!AC993</f>
        <v/>
      </c>
      <c r="C987" s="84">
        <f>'Selections &amp; Orders'!AA993</f>
        <v/>
      </c>
      <c r="D987" s="46">
        <f>'Selections &amp; Orders'!AB993</f>
        <v/>
      </c>
      <c r="E987" s="46">
        <f>IF(OR(B987="",C987="",D987=""),"",D987*100000+(C987-DATE(2000,1,1))+ROW()/100000)</f>
        <v/>
      </c>
      <c r="F987" s="46">
        <f>IF(E987="","",IF(C987&gt;WeekEndDate,"",E987))</f>
        <v/>
      </c>
    </row>
    <row r="988">
      <c r="A988" t="inlineStr">
        <is>
          <t>Selections &amp; Orders</t>
        </is>
      </c>
      <c r="B988" s="46">
        <f>'Selections &amp; Orders'!AC994</f>
        <v/>
      </c>
      <c r="C988" s="84">
        <f>'Selections &amp; Orders'!AA994</f>
        <v/>
      </c>
      <c r="D988" s="46">
        <f>'Selections &amp; Orders'!AB994</f>
        <v/>
      </c>
      <c r="E988" s="46">
        <f>IF(OR(B988="",C988="",D988=""),"",D988*100000+(C988-DATE(2000,1,1))+ROW()/100000)</f>
        <v/>
      </c>
      <c r="F988" s="46">
        <f>IF(E988="","",IF(C988&gt;WeekEndDate,"",E988))</f>
        <v/>
      </c>
    </row>
    <row r="989">
      <c r="A989" t="inlineStr">
        <is>
          <t>Selections &amp; Orders</t>
        </is>
      </c>
      <c r="B989" s="46">
        <f>'Selections &amp; Orders'!AC995</f>
        <v/>
      </c>
      <c r="C989" s="84">
        <f>'Selections &amp; Orders'!AA995</f>
        <v/>
      </c>
      <c r="D989" s="46">
        <f>'Selections &amp; Orders'!AB995</f>
        <v/>
      </c>
      <c r="E989" s="46">
        <f>IF(OR(B989="",C989="",D989=""),"",D989*100000+(C989-DATE(2000,1,1))+ROW()/100000)</f>
        <v/>
      </c>
      <c r="F989" s="46">
        <f>IF(E989="","",IF(C989&gt;WeekEndDate,"",E989))</f>
        <v/>
      </c>
    </row>
    <row r="990">
      <c r="A990" t="inlineStr">
        <is>
          <t>Selections &amp; Orders</t>
        </is>
      </c>
      <c r="B990" s="46">
        <f>'Selections &amp; Orders'!AC996</f>
        <v/>
      </c>
      <c r="C990" s="84">
        <f>'Selections &amp; Orders'!AA996</f>
        <v/>
      </c>
      <c r="D990" s="46">
        <f>'Selections &amp; Orders'!AB996</f>
        <v/>
      </c>
      <c r="E990" s="46">
        <f>IF(OR(B990="",C990="",D990=""),"",D990*100000+(C990-DATE(2000,1,1))+ROW()/100000)</f>
        <v/>
      </c>
      <c r="F990" s="46">
        <f>IF(E990="","",IF(C990&gt;WeekEndDate,"",E990))</f>
        <v/>
      </c>
    </row>
    <row r="991">
      <c r="A991" t="inlineStr">
        <is>
          <t>Selections &amp; Orders</t>
        </is>
      </c>
      <c r="B991" s="46">
        <f>'Selections &amp; Orders'!AC997</f>
        <v/>
      </c>
      <c r="C991" s="84">
        <f>'Selections &amp; Orders'!AA997</f>
        <v/>
      </c>
      <c r="D991" s="46">
        <f>'Selections &amp; Orders'!AB997</f>
        <v/>
      </c>
      <c r="E991" s="46">
        <f>IF(OR(B991="",C991="",D991=""),"",D991*100000+(C991-DATE(2000,1,1))+ROW()/100000)</f>
        <v/>
      </c>
      <c r="F991" s="46">
        <f>IF(E991="","",IF(C991&gt;WeekEndDate,"",E991))</f>
        <v/>
      </c>
    </row>
    <row r="992">
      <c r="A992" t="inlineStr">
        <is>
          <t>Selections &amp; Orders</t>
        </is>
      </c>
      <c r="B992" s="46">
        <f>'Selections &amp; Orders'!AC998</f>
        <v/>
      </c>
      <c r="C992" s="84">
        <f>'Selections &amp; Orders'!AA998</f>
        <v/>
      </c>
      <c r="D992" s="46">
        <f>'Selections &amp; Orders'!AB998</f>
        <v/>
      </c>
      <c r="E992" s="46">
        <f>IF(OR(B992="",C992="",D992=""),"",D992*100000+(C992-DATE(2000,1,1))+ROW()/100000)</f>
        <v/>
      </c>
      <c r="F992" s="46">
        <f>IF(E992="","",IF(C992&gt;WeekEndDate,"",E992))</f>
        <v/>
      </c>
    </row>
    <row r="993">
      <c r="A993" t="inlineStr">
        <is>
          <t>Selections &amp; Orders</t>
        </is>
      </c>
      <c r="B993" s="46">
        <f>'Selections &amp; Orders'!AC999</f>
        <v/>
      </c>
      <c r="C993" s="84">
        <f>'Selections &amp; Orders'!AA999</f>
        <v/>
      </c>
      <c r="D993" s="46">
        <f>'Selections &amp; Orders'!AB999</f>
        <v/>
      </c>
      <c r="E993" s="46">
        <f>IF(OR(B993="",C993="",D993=""),"",D993*100000+(C993-DATE(2000,1,1))+ROW()/100000)</f>
        <v/>
      </c>
      <c r="F993" s="46">
        <f>IF(E993="","",IF(C993&gt;WeekEndDate,"",E993))</f>
        <v/>
      </c>
    </row>
    <row r="994">
      <c r="A994" t="inlineStr">
        <is>
          <t>Selections &amp; Orders</t>
        </is>
      </c>
      <c r="B994" s="46">
        <f>'Selections &amp; Orders'!AC1000</f>
        <v/>
      </c>
      <c r="C994" s="84">
        <f>'Selections &amp; Orders'!AA1000</f>
        <v/>
      </c>
      <c r="D994" s="46">
        <f>'Selections &amp; Orders'!AB1000</f>
        <v/>
      </c>
      <c r="E994" s="46">
        <f>IF(OR(B994="",C994="",D994=""),"",D994*100000+(C994-DATE(2000,1,1))+ROW()/100000)</f>
        <v/>
      </c>
      <c r="F994" s="46">
        <f>IF(E994="","",IF(C994&gt;WeekEndDate,"",E994))</f>
        <v/>
      </c>
    </row>
    <row r="995">
      <c r="A995" t="inlineStr">
        <is>
          <t>Selections &amp; Orders</t>
        </is>
      </c>
      <c r="B995" s="46">
        <f>'Selections &amp; Orders'!AC1001</f>
        <v/>
      </c>
      <c r="C995" s="84">
        <f>'Selections &amp; Orders'!AA1001</f>
        <v/>
      </c>
      <c r="D995" s="46">
        <f>'Selections &amp; Orders'!AB1001</f>
        <v/>
      </c>
      <c r="E995" s="46">
        <f>IF(OR(B995="",C995="",D995=""),"",D995*100000+(C995-DATE(2000,1,1))+ROW()/100000)</f>
        <v/>
      </c>
      <c r="F995" s="46">
        <f>IF(E995="","",IF(C995&gt;WeekEndDate,"",E995))</f>
        <v/>
      </c>
    </row>
    <row r="996">
      <c r="A996" t="inlineStr">
        <is>
          <t>Selections &amp; Orders</t>
        </is>
      </c>
      <c r="B996" s="46">
        <f>'Selections &amp; Orders'!AC1002</f>
        <v/>
      </c>
      <c r="C996" s="84">
        <f>'Selections &amp; Orders'!AA1002</f>
        <v/>
      </c>
      <c r="D996" s="46">
        <f>'Selections &amp; Orders'!AB1002</f>
        <v/>
      </c>
      <c r="E996" s="46">
        <f>IF(OR(B996="",C996="",D996=""),"",D996*100000+(C996-DATE(2000,1,1))+ROW()/100000)</f>
        <v/>
      </c>
      <c r="F996" s="46">
        <f>IF(E996="","",IF(C996&gt;WeekEndDate,"",E996))</f>
        <v/>
      </c>
    </row>
    <row r="997">
      <c r="A997" t="inlineStr">
        <is>
          <t>Selections &amp; Orders</t>
        </is>
      </c>
      <c r="B997" s="46">
        <f>'Selections &amp; Orders'!AC1003</f>
        <v/>
      </c>
      <c r="C997" s="84">
        <f>'Selections &amp; Orders'!AA1003</f>
        <v/>
      </c>
      <c r="D997" s="46">
        <f>'Selections &amp; Orders'!AB1003</f>
        <v/>
      </c>
      <c r="E997" s="46">
        <f>IF(OR(B997="",C997="",D997=""),"",D997*100000+(C997-DATE(2000,1,1))+ROW()/100000)</f>
        <v/>
      </c>
      <c r="F997" s="46">
        <f>IF(E997="","",IF(C997&gt;WeekEndDate,"",E997))</f>
        <v/>
      </c>
    </row>
    <row r="998">
      <c r="A998" t="inlineStr">
        <is>
          <t>Selections &amp; Orders</t>
        </is>
      </c>
      <c r="B998" s="46">
        <f>'Selections &amp; Orders'!AC1004</f>
        <v/>
      </c>
      <c r="C998" s="84">
        <f>'Selections &amp; Orders'!AA1004</f>
        <v/>
      </c>
      <c r="D998" s="46">
        <f>'Selections &amp; Orders'!AB1004</f>
        <v/>
      </c>
      <c r="E998" s="46">
        <f>IF(OR(B998="",C998="",D998=""),"",D998*100000+(C998-DATE(2000,1,1))+ROW()/100000)</f>
        <v/>
      </c>
      <c r="F998" s="46">
        <f>IF(E998="","",IF(C998&gt;WeekEndDate,"",E998))</f>
        <v/>
      </c>
    </row>
    <row r="999">
      <c r="A999" t="inlineStr">
        <is>
          <t>Selections &amp; Orders</t>
        </is>
      </c>
      <c r="B999" s="46">
        <f>'Selections &amp; Orders'!AC1005</f>
        <v/>
      </c>
      <c r="C999" s="84">
        <f>'Selections &amp; Orders'!AA1005</f>
        <v/>
      </c>
      <c r="D999" s="46">
        <f>'Selections &amp; Orders'!AB1005</f>
        <v/>
      </c>
      <c r="E999" s="46">
        <f>IF(OR(B999="",C999="",D999=""),"",D999*100000+(C999-DATE(2000,1,1))+ROW()/100000)</f>
        <v/>
      </c>
      <c r="F999" s="46">
        <f>IF(E999="","",IF(C999&gt;WeekEndDate,"",E999))</f>
        <v/>
      </c>
    </row>
    <row r="1000">
      <c r="A1000" t="inlineStr">
        <is>
          <t>Selections &amp; Orders</t>
        </is>
      </c>
      <c r="B1000" s="46">
        <f>'Selections &amp; Orders'!AC1006</f>
        <v/>
      </c>
      <c r="C1000" s="84">
        <f>'Selections &amp; Orders'!AA1006</f>
        <v/>
      </c>
      <c r="D1000" s="46">
        <f>'Selections &amp; Orders'!AB1006</f>
        <v/>
      </c>
      <c r="E1000" s="46">
        <f>IF(OR(B1000="",C1000="",D1000=""),"",D1000*100000+(C1000-DATE(2000,1,1))+ROW()/100000)</f>
        <v/>
      </c>
      <c r="F1000" s="46">
        <f>IF(E1000="","",IF(C1000&gt;WeekEndDate,"",E1000))</f>
        <v/>
      </c>
    </row>
    <row r="1001">
      <c r="A1001" t="inlineStr">
        <is>
          <t>Selections &amp; Orders</t>
        </is>
      </c>
      <c r="B1001" s="46">
        <f>'Selections &amp; Orders'!AC1007</f>
        <v/>
      </c>
      <c r="C1001" s="84">
        <f>'Selections &amp; Orders'!AA1007</f>
        <v/>
      </c>
      <c r="D1001" s="46">
        <f>'Selections &amp; Orders'!AB1007</f>
        <v/>
      </c>
      <c r="E1001" s="46">
        <f>IF(OR(B1001="",C1001="",D1001=""),"",D1001*100000+(C1001-DATE(2000,1,1))+ROW()/100000)</f>
        <v/>
      </c>
      <c r="F1001" s="46">
        <f>IF(E1001="","",IF(C1001&gt;WeekEndDate,"",E1001))</f>
        <v/>
      </c>
    </row>
    <row r="1002">
      <c r="A1002" t="inlineStr">
        <is>
          <t>Payments</t>
        </is>
      </c>
      <c r="B1002" s="46">
        <f>'Payments'!W6</f>
        <v/>
      </c>
      <c r="C1002" s="84">
        <f>'Payments'!U6</f>
        <v/>
      </c>
      <c r="D1002" s="46">
        <f>'Payments'!V6</f>
        <v/>
      </c>
      <c r="E1002" s="46">
        <f>IF(OR(B1002="",C1002="",D1002=""),"",D1002*100000+(C1002-DATE(2000,1,1))+ROW()/100000)</f>
        <v/>
      </c>
      <c r="F1002" s="46">
        <f>IF(E1002="","",IF(C1002&gt;WeekEndDate,"",E1002))</f>
        <v/>
      </c>
    </row>
    <row r="1003">
      <c r="A1003" t="inlineStr">
        <is>
          <t>Payments</t>
        </is>
      </c>
      <c r="B1003" s="46">
        <f>'Payments'!W7</f>
        <v/>
      </c>
      <c r="C1003" s="84">
        <f>'Payments'!U7</f>
        <v/>
      </c>
      <c r="D1003" s="46">
        <f>'Payments'!V7</f>
        <v/>
      </c>
      <c r="E1003" s="46">
        <f>IF(OR(B1003="",C1003="",D1003=""),"",D1003*100000+(C1003-DATE(2000,1,1))+ROW()/100000)</f>
        <v/>
      </c>
      <c r="F1003" s="46">
        <f>IF(E1003="","",IF(C1003&gt;WeekEndDate,"",E1003))</f>
        <v/>
      </c>
    </row>
    <row r="1004">
      <c r="A1004" t="inlineStr">
        <is>
          <t>Payments</t>
        </is>
      </c>
      <c r="B1004" s="46">
        <f>'Payments'!W8</f>
        <v/>
      </c>
      <c r="C1004" s="84">
        <f>'Payments'!U8</f>
        <v/>
      </c>
      <c r="D1004" s="46">
        <f>'Payments'!V8</f>
        <v/>
      </c>
      <c r="E1004" s="46">
        <f>IF(OR(B1004="",C1004="",D1004=""),"",D1004*100000+(C1004-DATE(2000,1,1))+ROW()/100000)</f>
        <v/>
      </c>
      <c r="F1004" s="46">
        <f>IF(E1004="","",IF(C1004&gt;WeekEndDate,"",E1004))</f>
        <v/>
      </c>
    </row>
    <row r="1005">
      <c r="A1005" t="inlineStr">
        <is>
          <t>Payments</t>
        </is>
      </c>
      <c r="B1005" s="46">
        <f>'Payments'!W9</f>
        <v/>
      </c>
      <c r="C1005" s="84">
        <f>'Payments'!U9</f>
        <v/>
      </c>
      <c r="D1005" s="46">
        <f>'Payments'!V9</f>
        <v/>
      </c>
      <c r="E1005" s="46">
        <f>IF(OR(B1005="",C1005="",D1005=""),"",D1005*100000+(C1005-DATE(2000,1,1))+ROW()/100000)</f>
        <v/>
      </c>
      <c r="F1005" s="46">
        <f>IF(E1005="","",IF(C1005&gt;WeekEndDate,"",E1005))</f>
        <v/>
      </c>
    </row>
    <row r="1006">
      <c r="A1006" t="inlineStr">
        <is>
          <t>Payments</t>
        </is>
      </c>
      <c r="B1006" s="46">
        <f>'Payments'!W10</f>
        <v/>
      </c>
      <c r="C1006" s="84">
        <f>'Payments'!U10</f>
        <v/>
      </c>
      <c r="D1006" s="46">
        <f>'Payments'!V10</f>
        <v/>
      </c>
      <c r="E1006" s="46">
        <f>IF(OR(B1006="",C1006="",D1006=""),"",D1006*100000+(C1006-DATE(2000,1,1))+ROW()/100000)</f>
        <v/>
      </c>
      <c r="F1006" s="46">
        <f>IF(E1006="","",IF(C1006&gt;WeekEndDate,"",E1006))</f>
        <v/>
      </c>
    </row>
    <row r="1007">
      <c r="A1007" t="inlineStr">
        <is>
          <t>Payments</t>
        </is>
      </c>
      <c r="B1007" s="46">
        <f>'Payments'!W11</f>
        <v/>
      </c>
      <c r="C1007" s="84">
        <f>'Payments'!U11</f>
        <v/>
      </c>
      <c r="D1007" s="46">
        <f>'Payments'!V11</f>
        <v/>
      </c>
      <c r="E1007" s="46">
        <f>IF(OR(B1007="",C1007="",D1007=""),"",D1007*100000+(C1007-DATE(2000,1,1))+ROW()/100000)</f>
        <v/>
      </c>
      <c r="F1007" s="46">
        <f>IF(E1007="","",IF(C1007&gt;WeekEndDate,"",E1007))</f>
        <v/>
      </c>
    </row>
    <row r="1008">
      <c r="A1008" t="inlineStr">
        <is>
          <t>Payments</t>
        </is>
      </c>
      <c r="B1008" s="46">
        <f>'Payments'!W12</f>
        <v/>
      </c>
      <c r="C1008" s="84">
        <f>'Payments'!U12</f>
        <v/>
      </c>
      <c r="D1008" s="46">
        <f>'Payments'!V12</f>
        <v/>
      </c>
      <c r="E1008" s="46">
        <f>IF(OR(B1008="",C1008="",D1008=""),"",D1008*100000+(C1008-DATE(2000,1,1))+ROW()/100000)</f>
        <v/>
      </c>
      <c r="F1008" s="46">
        <f>IF(E1008="","",IF(C1008&gt;WeekEndDate,"",E1008))</f>
        <v/>
      </c>
    </row>
    <row r="1009">
      <c r="A1009" t="inlineStr">
        <is>
          <t>Payments</t>
        </is>
      </c>
      <c r="B1009" s="46">
        <f>'Payments'!W13</f>
        <v/>
      </c>
      <c r="C1009" s="84">
        <f>'Payments'!U13</f>
        <v/>
      </c>
      <c r="D1009" s="46">
        <f>'Payments'!V13</f>
        <v/>
      </c>
      <c r="E1009" s="46">
        <f>IF(OR(B1009="",C1009="",D1009=""),"",D1009*100000+(C1009-DATE(2000,1,1))+ROW()/100000)</f>
        <v/>
      </c>
      <c r="F1009" s="46">
        <f>IF(E1009="","",IF(C1009&gt;WeekEndDate,"",E1009))</f>
        <v/>
      </c>
    </row>
    <row r="1010">
      <c r="A1010" t="inlineStr">
        <is>
          <t>Payments</t>
        </is>
      </c>
      <c r="B1010" s="46">
        <f>'Payments'!W14</f>
        <v/>
      </c>
      <c r="C1010" s="84">
        <f>'Payments'!U14</f>
        <v/>
      </c>
      <c r="D1010" s="46">
        <f>'Payments'!V14</f>
        <v/>
      </c>
      <c r="E1010" s="46">
        <f>IF(OR(B1010="",C1010="",D1010=""),"",D1010*100000+(C1010-DATE(2000,1,1))+ROW()/100000)</f>
        <v/>
      </c>
      <c r="F1010" s="46">
        <f>IF(E1010="","",IF(C1010&gt;WeekEndDate,"",E1010))</f>
        <v/>
      </c>
    </row>
    <row r="1011">
      <c r="A1011" t="inlineStr">
        <is>
          <t>Payments</t>
        </is>
      </c>
      <c r="B1011" s="46">
        <f>'Payments'!W15</f>
        <v/>
      </c>
      <c r="C1011" s="84">
        <f>'Payments'!U15</f>
        <v/>
      </c>
      <c r="D1011" s="46">
        <f>'Payments'!V15</f>
        <v/>
      </c>
      <c r="E1011" s="46">
        <f>IF(OR(B1011="",C1011="",D1011=""),"",D1011*100000+(C1011-DATE(2000,1,1))+ROW()/100000)</f>
        <v/>
      </c>
      <c r="F1011" s="46">
        <f>IF(E1011="","",IF(C1011&gt;WeekEndDate,"",E1011))</f>
        <v/>
      </c>
    </row>
    <row r="1012">
      <c r="A1012" t="inlineStr">
        <is>
          <t>Payments</t>
        </is>
      </c>
      <c r="B1012" s="46">
        <f>'Payments'!W16</f>
        <v/>
      </c>
      <c r="C1012" s="84">
        <f>'Payments'!U16</f>
        <v/>
      </c>
      <c r="D1012" s="46">
        <f>'Payments'!V16</f>
        <v/>
      </c>
      <c r="E1012" s="46">
        <f>IF(OR(B1012="",C1012="",D1012=""),"",D1012*100000+(C1012-DATE(2000,1,1))+ROW()/100000)</f>
        <v/>
      </c>
      <c r="F1012" s="46">
        <f>IF(E1012="","",IF(C1012&gt;WeekEndDate,"",E1012))</f>
        <v/>
      </c>
    </row>
    <row r="1013">
      <c r="A1013" t="inlineStr">
        <is>
          <t>Payments</t>
        </is>
      </c>
      <c r="B1013" s="46">
        <f>'Payments'!W17</f>
        <v/>
      </c>
      <c r="C1013" s="84">
        <f>'Payments'!U17</f>
        <v/>
      </c>
      <c r="D1013" s="46">
        <f>'Payments'!V17</f>
        <v/>
      </c>
      <c r="E1013" s="46">
        <f>IF(OR(B1013="",C1013="",D1013=""),"",D1013*100000+(C1013-DATE(2000,1,1))+ROW()/100000)</f>
        <v/>
      </c>
      <c r="F1013" s="46">
        <f>IF(E1013="","",IF(C1013&gt;WeekEndDate,"",E1013))</f>
        <v/>
      </c>
    </row>
    <row r="1014">
      <c r="A1014" t="inlineStr">
        <is>
          <t>Payments</t>
        </is>
      </c>
      <c r="B1014" s="46">
        <f>'Payments'!W18</f>
        <v/>
      </c>
      <c r="C1014" s="84">
        <f>'Payments'!U18</f>
        <v/>
      </c>
      <c r="D1014" s="46">
        <f>'Payments'!V18</f>
        <v/>
      </c>
      <c r="E1014" s="46">
        <f>IF(OR(B1014="",C1014="",D1014=""),"",D1014*100000+(C1014-DATE(2000,1,1))+ROW()/100000)</f>
        <v/>
      </c>
      <c r="F1014" s="46">
        <f>IF(E1014="","",IF(C1014&gt;WeekEndDate,"",E1014))</f>
        <v/>
      </c>
    </row>
    <row r="1015">
      <c r="A1015" t="inlineStr">
        <is>
          <t>Payments</t>
        </is>
      </c>
      <c r="B1015" s="46">
        <f>'Payments'!W19</f>
        <v/>
      </c>
      <c r="C1015" s="84">
        <f>'Payments'!U19</f>
        <v/>
      </c>
      <c r="D1015" s="46">
        <f>'Payments'!V19</f>
        <v/>
      </c>
      <c r="E1015" s="46">
        <f>IF(OR(B1015="",C1015="",D1015=""),"",D1015*100000+(C1015-DATE(2000,1,1))+ROW()/100000)</f>
        <v/>
      </c>
      <c r="F1015" s="46">
        <f>IF(E1015="","",IF(C1015&gt;WeekEndDate,"",E1015))</f>
        <v/>
      </c>
    </row>
    <row r="1016">
      <c r="A1016" t="inlineStr">
        <is>
          <t>Payments</t>
        </is>
      </c>
      <c r="B1016" s="46">
        <f>'Payments'!W20</f>
        <v/>
      </c>
      <c r="C1016" s="84">
        <f>'Payments'!U20</f>
        <v/>
      </c>
      <c r="D1016" s="46">
        <f>'Payments'!V20</f>
        <v/>
      </c>
      <c r="E1016" s="46">
        <f>IF(OR(B1016="",C1016="",D1016=""),"",D1016*100000+(C1016-DATE(2000,1,1))+ROW()/100000)</f>
        <v/>
      </c>
      <c r="F1016" s="46">
        <f>IF(E1016="","",IF(C1016&gt;WeekEndDate,"",E1016))</f>
        <v/>
      </c>
    </row>
    <row r="1017">
      <c r="A1017" t="inlineStr">
        <is>
          <t>Payments</t>
        </is>
      </c>
      <c r="B1017" s="46">
        <f>'Payments'!W21</f>
        <v/>
      </c>
      <c r="C1017" s="84">
        <f>'Payments'!U21</f>
        <v/>
      </c>
      <c r="D1017" s="46">
        <f>'Payments'!V21</f>
        <v/>
      </c>
      <c r="E1017" s="46">
        <f>IF(OR(B1017="",C1017="",D1017=""),"",D1017*100000+(C1017-DATE(2000,1,1))+ROW()/100000)</f>
        <v/>
      </c>
      <c r="F1017" s="46">
        <f>IF(E1017="","",IF(C1017&gt;WeekEndDate,"",E1017))</f>
        <v/>
      </c>
    </row>
    <row r="1018">
      <c r="A1018" t="inlineStr">
        <is>
          <t>Payments</t>
        </is>
      </c>
      <c r="B1018" s="46">
        <f>'Payments'!W22</f>
        <v/>
      </c>
      <c r="C1018" s="84">
        <f>'Payments'!U22</f>
        <v/>
      </c>
      <c r="D1018" s="46">
        <f>'Payments'!V22</f>
        <v/>
      </c>
      <c r="E1018" s="46">
        <f>IF(OR(B1018="",C1018="",D1018=""),"",D1018*100000+(C1018-DATE(2000,1,1))+ROW()/100000)</f>
        <v/>
      </c>
      <c r="F1018" s="46">
        <f>IF(E1018="","",IF(C1018&gt;WeekEndDate,"",E1018))</f>
        <v/>
      </c>
    </row>
    <row r="1019">
      <c r="A1019" t="inlineStr">
        <is>
          <t>Payments</t>
        </is>
      </c>
      <c r="B1019" s="46">
        <f>'Payments'!W23</f>
        <v/>
      </c>
      <c r="C1019" s="84">
        <f>'Payments'!U23</f>
        <v/>
      </c>
      <c r="D1019" s="46">
        <f>'Payments'!V23</f>
        <v/>
      </c>
      <c r="E1019" s="46">
        <f>IF(OR(B1019="",C1019="",D1019=""),"",D1019*100000+(C1019-DATE(2000,1,1))+ROW()/100000)</f>
        <v/>
      </c>
      <c r="F1019" s="46">
        <f>IF(E1019="","",IF(C1019&gt;WeekEndDate,"",E1019))</f>
        <v/>
      </c>
    </row>
    <row r="1020">
      <c r="A1020" t="inlineStr">
        <is>
          <t>Payments</t>
        </is>
      </c>
      <c r="B1020" s="46">
        <f>'Payments'!W24</f>
        <v/>
      </c>
      <c r="C1020" s="84">
        <f>'Payments'!U24</f>
        <v/>
      </c>
      <c r="D1020" s="46">
        <f>'Payments'!V24</f>
        <v/>
      </c>
      <c r="E1020" s="46">
        <f>IF(OR(B1020="",C1020="",D1020=""),"",D1020*100000+(C1020-DATE(2000,1,1))+ROW()/100000)</f>
        <v/>
      </c>
      <c r="F1020" s="46">
        <f>IF(E1020="","",IF(C1020&gt;WeekEndDate,"",E1020))</f>
        <v/>
      </c>
    </row>
    <row r="1021">
      <c r="A1021" t="inlineStr">
        <is>
          <t>Payments</t>
        </is>
      </c>
      <c r="B1021" s="46">
        <f>'Payments'!W25</f>
        <v/>
      </c>
      <c r="C1021" s="84">
        <f>'Payments'!U25</f>
        <v/>
      </c>
      <c r="D1021" s="46">
        <f>'Payments'!V25</f>
        <v/>
      </c>
      <c r="E1021" s="46">
        <f>IF(OR(B1021="",C1021="",D1021=""),"",D1021*100000+(C1021-DATE(2000,1,1))+ROW()/100000)</f>
        <v/>
      </c>
      <c r="F1021" s="46">
        <f>IF(E1021="","",IF(C1021&gt;WeekEndDate,"",E1021))</f>
        <v/>
      </c>
    </row>
    <row r="1022">
      <c r="A1022" t="inlineStr">
        <is>
          <t>Payments</t>
        </is>
      </c>
      <c r="B1022" s="46">
        <f>'Payments'!W26</f>
        <v/>
      </c>
      <c r="C1022" s="84">
        <f>'Payments'!U26</f>
        <v/>
      </c>
      <c r="D1022" s="46">
        <f>'Payments'!V26</f>
        <v/>
      </c>
      <c r="E1022" s="46">
        <f>IF(OR(B1022="",C1022="",D1022=""),"",D1022*100000+(C1022-DATE(2000,1,1))+ROW()/100000)</f>
        <v/>
      </c>
      <c r="F1022" s="46">
        <f>IF(E1022="","",IF(C1022&gt;WeekEndDate,"",E1022))</f>
        <v/>
      </c>
    </row>
    <row r="1023">
      <c r="A1023" t="inlineStr">
        <is>
          <t>Payments</t>
        </is>
      </c>
      <c r="B1023" s="46">
        <f>'Payments'!W27</f>
        <v/>
      </c>
      <c r="C1023" s="84">
        <f>'Payments'!U27</f>
        <v/>
      </c>
      <c r="D1023" s="46">
        <f>'Payments'!V27</f>
        <v/>
      </c>
      <c r="E1023" s="46">
        <f>IF(OR(B1023="",C1023="",D1023=""),"",D1023*100000+(C1023-DATE(2000,1,1))+ROW()/100000)</f>
        <v/>
      </c>
      <c r="F1023" s="46">
        <f>IF(E1023="","",IF(C1023&gt;WeekEndDate,"",E1023))</f>
        <v/>
      </c>
    </row>
    <row r="1024">
      <c r="A1024" t="inlineStr">
        <is>
          <t>Payments</t>
        </is>
      </c>
      <c r="B1024" s="46">
        <f>'Payments'!W28</f>
        <v/>
      </c>
      <c r="C1024" s="84">
        <f>'Payments'!U28</f>
        <v/>
      </c>
      <c r="D1024" s="46">
        <f>'Payments'!V28</f>
        <v/>
      </c>
      <c r="E1024" s="46">
        <f>IF(OR(B1024="",C1024="",D1024=""),"",D1024*100000+(C1024-DATE(2000,1,1))+ROW()/100000)</f>
        <v/>
      </c>
      <c r="F1024" s="46">
        <f>IF(E1024="","",IF(C1024&gt;WeekEndDate,"",E1024))</f>
        <v/>
      </c>
    </row>
    <row r="1025">
      <c r="A1025" t="inlineStr">
        <is>
          <t>Payments</t>
        </is>
      </c>
      <c r="B1025" s="46">
        <f>'Payments'!W29</f>
        <v/>
      </c>
      <c r="C1025" s="84">
        <f>'Payments'!U29</f>
        <v/>
      </c>
      <c r="D1025" s="46">
        <f>'Payments'!V29</f>
        <v/>
      </c>
      <c r="E1025" s="46">
        <f>IF(OR(B1025="",C1025="",D1025=""),"",D1025*100000+(C1025-DATE(2000,1,1))+ROW()/100000)</f>
        <v/>
      </c>
      <c r="F1025" s="46">
        <f>IF(E1025="","",IF(C1025&gt;WeekEndDate,"",E1025))</f>
        <v/>
      </c>
    </row>
    <row r="1026">
      <c r="A1026" t="inlineStr">
        <is>
          <t>Payments</t>
        </is>
      </c>
      <c r="B1026" s="46">
        <f>'Payments'!W30</f>
        <v/>
      </c>
      <c r="C1026" s="84">
        <f>'Payments'!U30</f>
        <v/>
      </c>
      <c r="D1026" s="46">
        <f>'Payments'!V30</f>
        <v/>
      </c>
      <c r="E1026" s="46">
        <f>IF(OR(B1026="",C1026="",D1026=""),"",D1026*100000+(C1026-DATE(2000,1,1))+ROW()/100000)</f>
        <v/>
      </c>
      <c r="F1026" s="46">
        <f>IF(E1026="","",IF(C1026&gt;WeekEndDate,"",E1026))</f>
        <v/>
      </c>
    </row>
    <row r="1027">
      <c r="A1027" t="inlineStr">
        <is>
          <t>Payments</t>
        </is>
      </c>
      <c r="B1027" s="46">
        <f>'Payments'!W31</f>
        <v/>
      </c>
      <c r="C1027" s="84">
        <f>'Payments'!U31</f>
        <v/>
      </c>
      <c r="D1027" s="46">
        <f>'Payments'!V31</f>
        <v/>
      </c>
      <c r="E1027" s="46">
        <f>IF(OR(B1027="",C1027="",D1027=""),"",D1027*100000+(C1027-DATE(2000,1,1))+ROW()/100000)</f>
        <v/>
      </c>
      <c r="F1027" s="46">
        <f>IF(E1027="","",IF(C1027&gt;WeekEndDate,"",E1027))</f>
        <v/>
      </c>
    </row>
    <row r="1028">
      <c r="A1028" t="inlineStr">
        <is>
          <t>Payments</t>
        </is>
      </c>
      <c r="B1028" s="46">
        <f>'Payments'!W32</f>
        <v/>
      </c>
      <c r="C1028" s="84">
        <f>'Payments'!U32</f>
        <v/>
      </c>
      <c r="D1028" s="46">
        <f>'Payments'!V32</f>
        <v/>
      </c>
      <c r="E1028" s="46">
        <f>IF(OR(B1028="",C1028="",D1028=""),"",D1028*100000+(C1028-DATE(2000,1,1))+ROW()/100000)</f>
        <v/>
      </c>
      <c r="F1028" s="46">
        <f>IF(E1028="","",IF(C1028&gt;WeekEndDate,"",E1028))</f>
        <v/>
      </c>
    </row>
    <row r="1029">
      <c r="A1029" t="inlineStr">
        <is>
          <t>Payments</t>
        </is>
      </c>
      <c r="B1029" s="46">
        <f>'Payments'!W33</f>
        <v/>
      </c>
      <c r="C1029" s="84">
        <f>'Payments'!U33</f>
        <v/>
      </c>
      <c r="D1029" s="46">
        <f>'Payments'!V33</f>
        <v/>
      </c>
      <c r="E1029" s="46">
        <f>IF(OR(B1029="",C1029="",D1029=""),"",D1029*100000+(C1029-DATE(2000,1,1))+ROW()/100000)</f>
        <v/>
      </c>
      <c r="F1029" s="46">
        <f>IF(E1029="","",IF(C1029&gt;WeekEndDate,"",E1029))</f>
        <v/>
      </c>
    </row>
    <row r="1030">
      <c r="A1030" t="inlineStr">
        <is>
          <t>Payments</t>
        </is>
      </c>
      <c r="B1030" s="46">
        <f>'Payments'!W34</f>
        <v/>
      </c>
      <c r="C1030" s="84">
        <f>'Payments'!U34</f>
        <v/>
      </c>
      <c r="D1030" s="46">
        <f>'Payments'!V34</f>
        <v/>
      </c>
      <c r="E1030" s="46">
        <f>IF(OR(B1030="",C1030="",D1030=""),"",D1030*100000+(C1030-DATE(2000,1,1))+ROW()/100000)</f>
        <v/>
      </c>
      <c r="F1030" s="46">
        <f>IF(E1030="","",IF(C1030&gt;WeekEndDate,"",E1030))</f>
        <v/>
      </c>
    </row>
    <row r="1031">
      <c r="A1031" t="inlineStr">
        <is>
          <t>Payments</t>
        </is>
      </c>
      <c r="B1031" s="46">
        <f>'Payments'!W35</f>
        <v/>
      </c>
      <c r="C1031" s="84">
        <f>'Payments'!U35</f>
        <v/>
      </c>
      <c r="D1031" s="46">
        <f>'Payments'!V35</f>
        <v/>
      </c>
      <c r="E1031" s="46">
        <f>IF(OR(B1031="",C1031="",D1031=""),"",D1031*100000+(C1031-DATE(2000,1,1))+ROW()/100000)</f>
        <v/>
      </c>
      <c r="F1031" s="46">
        <f>IF(E1031="","",IF(C1031&gt;WeekEndDate,"",E1031))</f>
        <v/>
      </c>
    </row>
    <row r="1032">
      <c r="A1032" t="inlineStr">
        <is>
          <t>Payments</t>
        </is>
      </c>
      <c r="B1032" s="46">
        <f>'Payments'!W36</f>
        <v/>
      </c>
      <c r="C1032" s="84">
        <f>'Payments'!U36</f>
        <v/>
      </c>
      <c r="D1032" s="46">
        <f>'Payments'!V36</f>
        <v/>
      </c>
      <c r="E1032" s="46">
        <f>IF(OR(B1032="",C1032="",D1032=""),"",D1032*100000+(C1032-DATE(2000,1,1))+ROW()/100000)</f>
        <v/>
      </c>
      <c r="F1032" s="46">
        <f>IF(E1032="","",IF(C1032&gt;WeekEndDate,"",E1032))</f>
        <v/>
      </c>
    </row>
    <row r="1033">
      <c r="A1033" t="inlineStr">
        <is>
          <t>Payments</t>
        </is>
      </c>
      <c r="B1033" s="46">
        <f>'Payments'!W37</f>
        <v/>
      </c>
      <c r="C1033" s="84">
        <f>'Payments'!U37</f>
        <v/>
      </c>
      <c r="D1033" s="46">
        <f>'Payments'!V37</f>
        <v/>
      </c>
      <c r="E1033" s="46">
        <f>IF(OR(B1033="",C1033="",D1033=""),"",D1033*100000+(C1033-DATE(2000,1,1))+ROW()/100000)</f>
        <v/>
      </c>
      <c r="F1033" s="46">
        <f>IF(E1033="","",IF(C1033&gt;WeekEndDate,"",E1033))</f>
        <v/>
      </c>
    </row>
    <row r="1034">
      <c r="A1034" t="inlineStr">
        <is>
          <t>Payments</t>
        </is>
      </c>
      <c r="B1034" s="46">
        <f>'Payments'!W38</f>
        <v/>
      </c>
      <c r="C1034" s="84">
        <f>'Payments'!U38</f>
        <v/>
      </c>
      <c r="D1034" s="46">
        <f>'Payments'!V38</f>
        <v/>
      </c>
      <c r="E1034" s="46">
        <f>IF(OR(B1034="",C1034="",D1034=""),"",D1034*100000+(C1034-DATE(2000,1,1))+ROW()/100000)</f>
        <v/>
      </c>
      <c r="F1034" s="46">
        <f>IF(E1034="","",IF(C1034&gt;WeekEndDate,"",E1034))</f>
        <v/>
      </c>
    </row>
    <row r="1035">
      <c r="A1035" t="inlineStr">
        <is>
          <t>Payments</t>
        </is>
      </c>
      <c r="B1035" s="46">
        <f>'Payments'!W39</f>
        <v/>
      </c>
      <c r="C1035" s="84">
        <f>'Payments'!U39</f>
        <v/>
      </c>
      <c r="D1035" s="46">
        <f>'Payments'!V39</f>
        <v/>
      </c>
      <c r="E1035" s="46">
        <f>IF(OR(B1035="",C1035="",D1035=""),"",D1035*100000+(C1035-DATE(2000,1,1))+ROW()/100000)</f>
        <v/>
      </c>
      <c r="F1035" s="46">
        <f>IF(E1035="","",IF(C1035&gt;WeekEndDate,"",E1035))</f>
        <v/>
      </c>
    </row>
    <row r="1036">
      <c r="A1036" t="inlineStr">
        <is>
          <t>Payments</t>
        </is>
      </c>
      <c r="B1036" s="46">
        <f>'Payments'!W40</f>
        <v/>
      </c>
      <c r="C1036" s="84">
        <f>'Payments'!U40</f>
        <v/>
      </c>
      <c r="D1036" s="46">
        <f>'Payments'!V40</f>
        <v/>
      </c>
      <c r="E1036" s="46">
        <f>IF(OR(B1036="",C1036="",D1036=""),"",D1036*100000+(C1036-DATE(2000,1,1))+ROW()/100000)</f>
        <v/>
      </c>
      <c r="F1036" s="46">
        <f>IF(E1036="","",IF(C1036&gt;WeekEndDate,"",E1036))</f>
        <v/>
      </c>
    </row>
    <row r="1037">
      <c r="A1037" t="inlineStr">
        <is>
          <t>Payments</t>
        </is>
      </c>
      <c r="B1037" s="46">
        <f>'Payments'!W41</f>
        <v/>
      </c>
      <c r="C1037" s="84">
        <f>'Payments'!U41</f>
        <v/>
      </c>
      <c r="D1037" s="46">
        <f>'Payments'!V41</f>
        <v/>
      </c>
      <c r="E1037" s="46">
        <f>IF(OR(B1037="",C1037="",D1037=""),"",D1037*100000+(C1037-DATE(2000,1,1))+ROW()/100000)</f>
        <v/>
      </c>
      <c r="F1037" s="46">
        <f>IF(E1037="","",IF(C1037&gt;WeekEndDate,"",E1037))</f>
        <v/>
      </c>
    </row>
    <row r="1038">
      <c r="A1038" t="inlineStr">
        <is>
          <t>Payments</t>
        </is>
      </c>
      <c r="B1038" s="46">
        <f>'Payments'!W42</f>
        <v/>
      </c>
      <c r="C1038" s="84">
        <f>'Payments'!U42</f>
        <v/>
      </c>
      <c r="D1038" s="46">
        <f>'Payments'!V42</f>
        <v/>
      </c>
      <c r="E1038" s="46">
        <f>IF(OR(B1038="",C1038="",D1038=""),"",D1038*100000+(C1038-DATE(2000,1,1))+ROW()/100000)</f>
        <v/>
      </c>
      <c r="F1038" s="46">
        <f>IF(E1038="","",IF(C1038&gt;WeekEndDate,"",E1038))</f>
        <v/>
      </c>
    </row>
    <row r="1039">
      <c r="A1039" t="inlineStr">
        <is>
          <t>Payments</t>
        </is>
      </c>
      <c r="B1039" s="46">
        <f>'Payments'!W43</f>
        <v/>
      </c>
      <c r="C1039" s="84">
        <f>'Payments'!U43</f>
        <v/>
      </c>
      <c r="D1039" s="46">
        <f>'Payments'!V43</f>
        <v/>
      </c>
      <c r="E1039" s="46">
        <f>IF(OR(B1039="",C1039="",D1039=""),"",D1039*100000+(C1039-DATE(2000,1,1))+ROW()/100000)</f>
        <v/>
      </c>
      <c r="F1039" s="46">
        <f>IF(E1039="","",IF(C1039&gt;WeekEndDate,"",E1039))</f>
        <v/>
      </c>
    </row>
    <row r="1040">
      <c r="A1040" t="inlineStr">
        <is>
          <t>Payments</t>
        </is>
      </c>
      <c r="B1040" s="46">
        <f>'Payments'!W44</f>
        <v/>
      </c>
      <c r="C1040" s="84">
        <f>'Payments'!U44</f>
        <v/>
      </c>
      <c r="D1040" s="46">
        <f>'Payments'!V44</f>
        <v/>
      </c>
      <c r="E1040" s="46">
        <f>IF(OR(B1040="",C1040="",D1040=""),"",D1040*100000+(C1040-DATE(2000,1,1))+ROW()/100000)</f>
        <v/>
      </c>
      <c r="F1040" s="46">
        <f>IF(E1040="","",IF(C1040&gt;WeekEndDate,"",E1040))</f>
        <v/>
      </c>
    </row>
    <row r="1041">
      <c r="A1041" t="inlineStr">
        <is>
          <t>Payments</t>
        </is>
      </c>
      <c r="B1041" s="46">
        <f>'Payments'!W45</f>
        <v/>
      </c>
      <c r="C1041" s="84">
        <f>'Payments'!U45</f>
        <v/>
      </c>
      <c r="D1041" s="46">
        <f>'Payments'!V45</f>
        <v/>
      </c>
      <c r="E1041" s="46">
        <f>IF(OR(B1041="",C1041="",D1041=""),"",D1041*100000+(C1041-DATE(2000,1,1))+ROW()/100000)</f>
        <v/>
      </c>
      <c r="F1041" s="46">
        <f>IF(E1041="","",IF(C1041&gt;WeekEndDate,"",E1041))</f>
        <v/>
      </c>
    </row>
    <row r="1042">
      <c r="A1042" t="inlineStr">
        <is>
          <t>Payments</t>
        </is>
      </c>
      <c r="B1042" s="46">
        <f>'Payments'!W46</f>
        <v/>
      </c>
      <c r="C1042" s="84">
        <f>'Payments'!U46</f>
        <v/>
      </c>
      <c r="D1042" s="46">
        <f>'Payments'!V46</f>
        <v/>
      </c>
      <c r="E1042" s="46">
        <f>IF(OR(B1042="",C1042="",D1042=""),"",D1042*100000+(C1042-DATE(2000,1,1))+ROW()/100000)</f>
        <v/>
      </c>
      <c r="F1042" s="46">
        <f>IF(E1042="","",IF(C1042&gt;WeekEndDate,"",E1042))</f>
        <v/>
      </c>
    </row>
    <row r="1043">
      <c r="A1043" t="inlineStr">
        <is>
          <t>Payments</t>
        </is>
      </c>
      <c r="B1043" s="46">
        <f>'Payments'!W47</f>
        <v/>
      </c>
      <c r="C1043" s="84">
        <f>'Payments'!U47</f>
        <v/>
      </c>
      <c r="D1043" s="46">
        <f>'Payments'!V47</f>
        <v/>
      </c>
      <c r="E1043" s="46">
        <f>IF(OR(B1043="",C1043="",D1043=""),"",D1043*100000+(C1043-DATE(2000,1,1))+ROW()/100000)</f>
        <v/>
      </c>
      <c r="F1043" s="46">
        <f>IF(E1043="","",IF(C1043&gt;WeekEndDate,"",E1043))</f>
        <v/>
      </c>
    </row>
    <row r="1044">
      <c r="A1044" t="inlineStr">
        <is>
          <t>Payments</t>
        </is>
      </c>
      <c r="B1044" s="46">
        <f>'Payments'!W48</f>
        <v/>
      </c>
      <c r="C1044" s="84">
        <f>'Payments'!U48</f>
        <v/>
      </c>
      <c r="D1044" s="46">
        <f>'Payments'!V48</f>
        <v/>
      </c>
      <c r="E1044" s="46">
        <f>IF(OR(B1044="",C1044="",D1044=""),"",D1044*100000+(C1044-DATE(2000,1,1))+ROW()/100000)</f>
        <v/>
      </c>
      <c r="F1044" s="46">
        <f>IF(E1044="","",IF(C1044&gt;WeekEndDate,"",E1044))</f>
        <v/>
      </c>
    </row>
    <row r="1045">
      <c r="A1045" t="inlineStr">
        <is>
          <t>Payments</t>
        </is>
      </c>
      <c r="B1045" s="46">
        <f>'Payments'!W49</f>
        <v/>
      </c>
      <c r="C1045" s="84">
        <f>'Payments'!U49</f>
        <v/>
      </c>
      <c r="D1045" s="46">
        <f>'Payments'!V49</f>
        <v/>
      </c>
      <c r="E1045" s="46">
        <f>IF(OR(B1045="",C1045="",D1045=""),"",D1045*100000+(C1045-DATE(2000,1,1))+ROW()/100000)</f>
        <v/>
      </c>
      <c r="F1045" s="46">
        <f>IF(E1045="","",IF(C1045&gt;WeekEndDate,"",E1045))</f>
        <v/>
      </c>
    </row>
    <row r="1046">
      <c r="A1046" t="inlineStr">
        <is>
          <t>Payments</t>
        </is>
      </c>
      <c r="B1046" s="46">
        <f>'Payments'!W50</f>
        <v/>
      </c>
      <c r="C1046" s="84">
        <f>'Payments'!U50</f>
        <v/>
      </c>
      <c r="D1046" s="46">
        <f>'Payments'!V50</f>
        <v/>
      </c>
      <c r="E1046" s="46">
        <f>IF(OR(B1046="",C1046="",D1046=""),"",D1046*100000+(C1046-DATE(2000,1,1))+ROW()/100000)</f>
        <v/>
      </c>
      <c r="F1046" s="46">
        <f>IF(E1046="","",IF(C1046&gt;WeekEndDate,"",E1046))</f>
        <v/>
      </c>
    </row>
    <row r="1047">
      <c r="A1047" t="inlineStr">
        <is>
          <t>Payments</t>
        </is>
      </c>
      <c r="B1047" s="46">
        <f>'Payments'!W51</f>
        <v/>
      </c>
      <c r="C1047" s="84">
        <f>'Payments'!U51</f>
        <v/>
      </c>
      <c r="D1047" s="46">
        <f>'Payments'!V51</f>
        <v/>
      </c>
      <c r="E1047" s="46">
        <f>IF(OR(B1047="",C1047="",D1047=""),"",D1047*100000+(C1047-DATE(2000,1,1))+ROW()/100000)</f>
        <v/>
      </c>
      <c r="F1047" s="46">
        <f>IF(E1047="","",IF(C1047&gt;WeekEndDate,"",E1047))</f>
        <v/>
      </c>
    </row>
    <row r="1048">
      <c r="A1048" t="inlineStr">
        <is>
          <t>Payments</t>
        </is>
      </c>
      <c r="B1048" s="46">
        <f>'Payments'!W52</f>
        <v/>
      </c>
      <c r="C1048" s="84">
        <f>'Payments'!U52</f>
        <v/>
      </c>
      <c r="D1048" s="46">
        <f>'Payments'!V52</f>
        <v/>
      </c>
      <c r="E1048" s="46">
        <f>IF(OR(B1048="",C1048="",D1048=""),"",D1048*100000+(C1048-DATE(2000,1,1))+ROW()/100000)</f>
        <v/>
      </c>
      <c r="F1048" s="46">
        <f>IF(E1048="","",IF(C1048&gt;WeekEndDate,"",E1048))</f>
        <v/>
      </c>
    </row>
    <row r="1049">
      <c r="A1049" t="inlineStr">
        <is>
          <t>Payments</t>
        </is>
      </c>
      <c r="B1049" s="46">
        <f>'Payments'!W53</f>
        <v/>
      </c>
      <c r="C1049" s="84">
        <f>'Payments'!U53</f>
        <v/>
      </c>
      <c r="D1049" s="46">
        <f>'Payments'!V53</f>
        <v/>
      </c>
      <c r="E1049" s="46">
        <f>IF(OR(B1049="",C1049="",D1049=""),"",D1049*100000+(C1049-DATE(2000,1,1))+ROW()/100000)</f>
        <v/>
      </c>
      <c r="F1049" s="46">
        <f>IF(E1049="","",IF(C1049&gt;WeekEndDate,"",E1049))</f>
        <v/>
      </c>
    </row>
    <row r="1050">
      <c r="A1050" t="inlineStr">
        <is>
          <t>Payments</t>
        </is>
      </c>
      <c r="B1050" s="46">
        <f>'Payments'!W54</f>
        <v/>
      </c>
      <c r="C1050" s="84">
        <f>'Payments'!U54</f>
        <v/>
      </c>
      <c r="D1050" s="46">
        <f>'Payments'!V54</f>
        <v/>
      </c>
      <c r="E1050" s="46">
        <f>IF(OR(B1050="",C1050="",D1050=""),"",D1050*100000+(C1050-DATE(2000,1,1))+ROW()/100000)</f>
        <v/>
      </c>
      <c r="F1050" s="46">
        <f>IF(E1050="","",IF(C1050&gt;WeekEndDate,"",E1050))</f>
        <v/>
      </c>
    </row>
    <row r="1051">
      <c r="A1051" t="inlineStr">
        <is>
          <t>Payments</t>
        </is>
      </c>
      <c r="B1051" s="46">
        <f>'Payments'!W55</f>
        <v/>
      </c>
      <c r="C1051" s="84">
        <f>'Payments'!U55</f>
        <v/>
      </c>
      <c r="D1051" s="46">
        <f>'Payments'!V55</f>
        <v/>
      </c>
      <c r="E1051" s="46">
        <f>IF(OR(B1051="",C1051="",D1051=""),"",D1051*100000+(C1051-DATE(2000,1,1))+ROW()/100000)</f>
        <v/>
      </c>
      <c r="F1051" s="46">
        <f>IF(E1051="","",IF(C1051&gt;WeekEndDate,"",E1051))</f>
        <v/>
      </c>
    </row>
    <row r="1052">
      <c r="A1052" t="inlineStr">
        <is>
          <t>Payments</t>
        </is>
      </c>
      <c r="B1052" s="46">
        <f>'Payments'!W56</f>
        <v/>
      </c>
      <c r="C1052" s="84">
        <f>'Payments'!U56</f>
        <v/>
      </c>
      <c r="D1052" s="46">
        <f>'Payments'!V56</f>
        <v/>
      </c>
      <c r="E1052" s="46">
        <f>IF(OR(B1052="",C1052="",D1052=""),"",D1052*100000+(C1052-DATE(2000,1,1))+ROW()/100000)</f>
        <v/>
      </c>
      <c r="F1052" s="46">
        <f>IF(E1052="","",IF(C1052&gt;WeekEndDate,"",E1052))</f>
        <v/>
      </c>
    </row>
    <row r="1053">
      <c r="A1053" t="inlineStr">
        <is>
          <t>Payments</t>
        </is>
      </c>
      <c r="B1053" s="46">
        <f>'Payments'!W57</f>
        <v/>
      </c>
      <c r="C1053" s="84">
        <f>'Payments'!U57</f>
        <v/>
      </c>
      <c r="D1053" s="46">
        <f>'Payments'!V57</f>
        <v/>
      </c>
      <c r="E1053" s="46">
        <f>IF(OR(B1053="",C1053="",D1053=""),"",D1053*100000+(C1053-DATE(2000,1,1))+ROW()/100000)</f>
        <v/>
      </c>
      <c r="F1053" s="46">
        <f>IF(E1053="","",IF(C1053&gt;WeekEndDate,"",E1053))</f>
        <v/>
      </c>
    </row>
    <row r="1054">
      <c r="A1054" t="inlineStr">
        <is>
          <t>Payments</t>
        </is>
      </c>
      <c r="B1054" s="46">
        <f>'Payments'!W58</f>
        <v/>
      </c>
      <c r="C1054" s="84">
        <f>'Payments'!U58</f>
        <v/>
      </c>
      <c r="D1054" s="46">
        <f>'Payments'!V58</f>
        <v/>
      </c>
      <c r="E1054" s="46">
        <f>IF(OR(B1054="",C1054="",D1054=""),"",D1054*100000+(C1054-DATE(2000,1,1))+ROW()/100000)</f>
        <v/>
      </c>
      <c r="F1054" s="46">
        <f>IF(E1054="","",IF(C1054&gt;WeekEndDate,"",E1054))</f>
        <v/>
      </c>
    </row>
    <row r="1055">
      <c r="A1055" t="inlineStr">
        <is>
          <t>Payments</t>
        </is>
      </c>
      <c r="B1055" s="46">
        <f>'Payments'!W59</f>
        <v/>
      </c>
      <c r="C1055" s="84">
        <f>'Payments'!U59</f>
        <v/>
      </c>
      <c r="D1055" s="46">
        <f>'Payments'!V59</f>
        <v/>
      </c>
      <c r="E1055" s="46">
        <f>IF(OR(B1055="",C1055="",D1055=""),"",D1055*100000+(C1055-DATE(2000,1,1))+ROW()/100000)</f>
        <v/>
      </c>
      <c r="F1055" s="46">
        <f>IF(E1055="","",IF(C1055&gt;WeekEndDate,"",E1055))</f>
        <v/>
      </c>
    </row>
    <row r="1056">
      <c r="A1056" t="inlineStr">
        <is>
          <t>Payments</t>
        </is>
      </c>
      <c r="B1056" s="46">
        <f>'Payments'!W60</f>
        <v/>
      </c>
      <c r="C1056" s="84">
        <f>'Payments'!U60</f>
        <v/>
      </c>
      <c r="D1056" s="46">
        <f>'Payments'!V60</f>
        <v/>
      </c>
      <c r="E1056" s="46">
        <f>IF(OR(B1056="",C1056="",D1056=""),"",D1056*100000+(C1056-DATE(2000,1,1))+ROW()/100000)</f>
        <v/>
      </c>
      <c r="F1056" s="46">
        <f>IF(E1056="","",IF(C1056&gt;WeekEndDate,"",E1056))</f>
        <v/>
      </c>
    </row>
    <row r="1057">
      <c r="A1057" t="inlineStr">
        <is>
          <t>Payments</t>
        </is>
      </c>
      <c r="B1057" s="46">
        <f>'Payments'!W61</f>
        <v/>
      </c>
      <c r="C1057" s="84">
        <f>'Payments'!U61</f>
        <v/>
      </c>
      <c r="D1057" s="46">
        <f>'Payments'!V61</f>
        <v/>
      </c>
      <c r="E1057" s="46">
        <f>IF(OR(B1057="",C1057="",D1057=""),"",D1057*100000+(C1057-DATE(2000,1,1))+ROW()/100000)</f>
        <v/>
      </c>
      <c r="F1057" s="46">
        <f>IF(E1057="","",IF(C1057&gt;WeekEndDate,"",E1057))</f>
        <v/>
      </c>
    </row>
    <row r="1058">
      <c r="A1058" t="inlineStr">
        <is>
          <t>Payments</t>
        </is>
      </c>
      <c r="B1058" s="46">
        <f>'Payments'!W62</f>
        <v/>
      </c>
      <c r="C1058" s="84">
        <f>'Payments'!U62</f>
        <v/>
      </c>
      <c r="D1058" s="46">
        <f>'Payments'!V62</f>
        <v/>
      </c>
      <c r="E1058" s="46">
        <f>IF(OR(B1058="",C1058="",D1058=""),"",D1058*100000+(C1058-DATE(2000,1,1))+ROW()/100000)</f>
        <v/>
      </c>
      <c r="F1058" s="46">
        <f>IF(E1058="","",IF(C1058&gt;WeekEndDate,"",E1058))</f>
        <v/>
      </c>
    </row>
    <row r="1059">
      <c r="A1059" t="inlineStr">
        <is>
          <t>Payments</t>
        </is>
      </c>
      <c r="B1059" s="46">
        <f>'Payments'!W63</f>
        <v/>
      </c>
      <c r="C1059" s="84">
        <f>'Payments'!U63</f>
        <v/>
      </c>
      <c r="D1059" s="46">
        <f>'Payments'!V63</f>
        <v/>
      </c>
      <c r="E1059" s="46">
        <f>IF(OR(B1059="",C1059="",D1059=""),"",D1059*100000+(C1059-DATE(2000,1,1))+ROW()/100000)</f>
        <v/>
      </c>
      <c r="F1059" s="46">
        <f>IF(E1059="","",IF(C1059&gt;WeekEndDate,"",E1059))</f>
        <v/>
      </c>
    </row>
    <row r="1060">
      <c r="A1060" t="inlineStr">
        <is>
          <t>Payments</t>
        </is>
      </c>
      <c r="B1060" s="46">
        <f>'Payments'!W64</f>
        <v/>
      </c>
      <c r="C1060" s="84">
        <f>'Payments'!U64</f>
        <v/>
      </c>
      <c r="D1060" s="46">
        <f>'Payments'!V64</f>
        <v/>
      </c>
      <c r="E1060" s="46">
        <f>IF(OR(B1060="",C1060="",D1060=""),"",D1060*100000+(C1060-DATE(2000,1,1))+ROW()/100000)</f>
        <v/>
      </c>
      <c r="F1060" s="46">
        <f>IF(E1060="","",IF(C1060&gt;WeekEndDate,"",E1060))</f>
        <v/>
      </c>
    </row>
    <row r="1061">
      <c r="A1061" t="inlineStr">
        <is>
          <t>Payments</t>
        </is>
      </c>
      <c r="B1061" s="46">
        <f>'Payments'!W65</f>
        <v/>
      </c>
      <c r="C1061" s="84">
        <f>'Payments'!U65</f>
        <v/>
      </c>
      <c r="D1061" s="46">
        <f>'Payments'!V65</f>
        <v/>
      </c>
      <c r="E1061" s="46">
        <f>IF(OR(B1061="",C1061="",D1061=""),"",D1061*100000+(C1061-DATE(2000,1,1))+ROW()/100000)</f>
        <v/>
      </c>
      <c r="F1061" s="46">
        <f>IF(E1061="","",IF(C1061&gt;WeekEndDate,"",E1061))</f>
        <v/>
      </c>
    </row>
    <row r="1062">
      <c r="A1062" t="inlineStr">
        <is>
          <t>Payments</t>
        </is>
      </c>
      <c r="B1062" s="46">
        <f>'Payments'!W66</f>
        <v/>
      </c>
      <c r="C1062" s="84">
        <f>'Payments'!U66</f>
        <v/>
      </c>
      <c r="D1062" s="46">
        <f>'Payments'!V66</f>
        <v/>
      </c>
      <c r="E1062" s="46">
        <f>IF(OR(B1062="",C1062="",D1062=""),"",D1062*100000+(C1062-DATE(2000,1,1))+ROW()/100000)</f>
        <v/>
      </c>
      <c r="F1062" s="46">
        <f>IF(E1062="","",IF(C1062&gt;WeekEndDate,"",E1062))</f>
        <v/>
      </c>
    </row>
    <row r="1063">
      <c r="A1063" t="inlineStr">
        <is>
          <t>Payments</t>
        </is>
      </c>
      <c r="B1063" s="46">
        <f>'Payments'!W67</f>
        <v/>
      </c>
      <c r="C1063" s="84">
        <f>'Payments'!U67</f>
        <v/>
      </c>
      <c r="D1063" s="46">
        <f>'Payments'!V67</f>
        <v/>
      </c>
      <c r="E1063" s="46">
        <f>IF(OR(B1063="",C1063="",D1063=""),"",D1063*100000+(C1063-DATE(2000,1,1))+ROW()/100000)</f>
        <v/>
      </c>
      <c r="F1063" s="46">
        <f>IF(E1063="","",IF(C1063&gt;WeekEndDate,"",E1063))</f>
        <v/>
      </c>
    </row>
    <row r="1064">
      <c r="A1064" t="inlineStr">
        <is>
          <t>Payments</t>
        </is>
      </c>
      <c r="B1064" s="46">
        <f>'Payments'!W68</f>
        <v/>
      </c>
      <c r="C1064" s="84">
        <f>'Payments'!U68</f>
        <v/>
      </c>
      <c r="D1064" s="46">
        <f>'Payments'!V68</f>
        <v/>
      </c>
      <c r="E1064" s="46">
        <f>IF(OR(B1064="",C1064="",D1064=""),"",D1064*100000+(C1064-DATE(2000,1,1))+ROW()/100000)</f>
        <v/>
      </c>
      <c r="F1064" s="46">
        <f>IF(E1064="","",IF(C1064&gt;WeekEndDate,"",E1064))</f>
        <v/>
      </c>
    </row>
    <row r="1065">
      <c r="A1065" t="inlineStr">
        <is>
          <t>Payments</t>
        </is>
      </c>
      <c r="B1065" s="46">
        <f>'Payments'!W69</f>
        <v/>
      </c>
      <c r="C1065" s="84">
        <f>'Payments'!U69</f>
        <v/>
      </c>
      <c r="D1065" s="46">
        <f>'Payments'!V69</f>
        <v/>
      </c>
      <c r="E1065" s="46">
        <f>IF(OR(B1065="",C1065="",D1065=""),"",D1065*100000+(C1065-DATE(2000,1,1))+ROW()/100000)</f>
        <v/>
      </c>
      <c r="F1065" s="46">
        <f>IF(E1065="","",IF(C1065&gt;WeekEndDate,"",E1065))</f>
        <v/>
      </c>
    </row>
    <row r="1066">
      <c r="A1066" t="inlineStr">
        <is>
          <t>Payments</t>
        </is>
      </c>
      <c r="B1066" s="46">
        <f>'Payments'!W70</f>
        <v/>
      </c>
      <c r="C1066" s="84">
        <f>'Payments'!U70</f>
        <v/>
      </c>
      <c r="D1066" s="46">
        <f>'Payments'!V70</f>
        <v/>
      </c>
      <c r="E1066" s="46">
        <f>IF(OR(B1066="",C1066="",D1066=""),"",D1066*100000+(C1066-DATE(2000,1,1))+ROW()/100000)</f>
        <v/>
      </c>
      <c r="F1066" s="46">
        <f>IF(E1066="","",IF(C1066&gt;WeekEndDate,"",E1066))</f>
        <v/>
      </c>
    </row>
    <row r="1067">
      <c r="A1067" t="inlineStr">
        <is>
          <t>Payments</t>
        </is>
      </c>
      <c r="B1067" s="46">
        <f>'Payments'!W71</f>
        <v/>
      </c>
      <c r="C1067" s="84">
        <f>'Payments'!U71</f>
        <v/>
      </c>
      <c r="D1067" s="46">
        <f>'Payments'!V71</f>
        <v/>
      </c>
      <c r="E1067" s="46">
        <f>IF(OR(B1067="",C1067="",D1067=""),"",D1067*100000+(C1067-DATE(2000,1,1))+ROW()/100000)</f>
        <v/>
      </c>
      <c r="F1067" s="46">
        <f>IF(E1067="","",IF(C1067&gt;WeekEndDate,"",E1067))</f>
        <v/>
      </c>
    </row>
    <row r="1068">
      <c r="A1068" t="inlineStr">
        <is>
          <t>Payments</t>
        </is>
      </c>
      <c r="B1068" s="46">
        <f>'Payments'!W72</f>
        <v/>
      </c>
      <c r="C1068" s="84">
        <f>'Payments'!U72</f>
        <v/>
      </c>
      <c r="D1068" s="46">
        <f>'Payments'!V72</f>
        <v/>
      </c>
      <c r="E1068" s="46">
        <f>IF(OR(B1068="",C1068="",D1068=""),"",D1068*100000+(C1068-DATE(2000,1,1))+ROW()/100000)</f>
        <v/>
      </c>
      <c r="F1068" s="46">
        <f>IF(E1068="","",IF(C1068&gt;WeekEndDate,"",E1068))</f>
        <v/>
      </c>
    </row>
    <row r="1069">
      <c r="A1069" t="inlineStr">
        <is>
          <t>Payments</t>
        </is>
      </c>
      <c r="B1069" s="46">
        <f>'Payments'!W73</f>
        <v/>
      </c>
      <c r="C1069" s="84">
        <f>'Payments'!U73</f>
        <v/>
      </c>
      <c r="D1069" s="46">
        <f>'Payments'!V73</f>
        <v/>
      </c>
      <c r="E1069" s="46">
        <f>IF(OR(B1069="",C1069="",D1069=""),"",D1069*100000+(C1069-DATE(2000,1,1))+ROW()/100000)</f>
        <v/>
      </c>
      <c r="F1069" s="46">
        <f>IF(E1069="","",IF(C1069&gt;WeekEndDate,"",E1069))</f>
        <v/>
      </c>
    </row>
    <row r="1070">
      <c r="A1070" t="inlineStr">
        <is>
          <t>Payments</t>
        </is>
      </c>
      <c r="B1070" s="46">
        <f>'Payments'!W74</f>
        <v/>
      </c>
      <c r="C1070" s="84">
        <f>'Payments'!U74</f>
        <v/>
      </c>
      <c r="D1070" s="46">
        <f>'Payments'!V74</f>
        <v/>
      </c>
      <c r="E1070" s="46">
        <f>IF(OR(B1070="",C1070="",D1070=""),"",D1070*100000+(C1070-DATE(2000,1,1))+ROW()/100000)</f>
        <v/>
      </c>
      <c r="F1070" s="46">
        <f>IF(E1070="","",IF(C1070&gt;WeekEndDate,"",E1070))</f>
        <v/>
      </c>
    </row>
    <row r="1071">
      <c r="A1071" t="inlineStr">
        <is>
          <t>Payments</t>
        </is>
      </c>
      <c r="B1071" s="46">
        <f>'Payments'!W75</f>
        <v/>
      </c>
      <c r="C1071" s="84">
        <f>'Payments'!U75</f>
        <v/>
      </c>
      <c r="D1071" s="46">
        <f>'Payments'!V75</f>
        <v/>
      </c>
      <c r="E1071" s="46">
        <f>IF(OR(B1071="",C1071="",D1071=""),"",D1071*100000+(C1071-DATE(2000,1,1))+ROW()/100000)</f>
        <v/>
      </c>
      <c r="F1071" s="46">
        <f>IF(E1071="","",IF(C1071&gt;WeekEndDate,"",E1071))</f>
        <v/>
      </c>
    </row>
    <row r="1072">
      <c r="A1072" t="inlineStr">
        <is>
          <t>Payments</t>
        </is>
      </c>
      <c r="B1072" s="46">
        <f>'Payments'!W76</f>
        <v/>
      </c>
      <c r="C1072" s="84">
        <f>'Payments'!U76</f>
        <v/>
      </c>
      <c r="D1072" s="46">
        <f>'Payments'!V76</f>
        <v/>
      </c>
      <c r="E1072" s="46">
        <f>IF(OR(B1072="",C1072="",D1072=""),"",D1072*100000+(C1072-DATE(2000,1,1))+ROW()/100000)</f>
        <v/>
      </c>
      <c r="F1072" s="46">
        <f>IF(E1072="","",IF(C1072&gt;WeekEndDate,"",E1072))</f>
        <v/>
      </c>
    </row>
    <row r="1073">
      <c r="A1073" t="inlineStr">
        <is>
          <t>Payments</t>
        </is>
      </c>
      <c r="B1073" s="46">
        <f>'Payments'!W77</f>
        <v/>
      </c>
      <c r="C1073" s="84">
        <f>'Payments'!U77</f>
        <v/>
      </c>
      <c r="D1073" s="46">
        <f>'Payments'!V77</f>
        <v/>
      </c>
      <c r="E1073" s="46">
        <f>IF(OR(B1073="",C1073="",D1073=""),"",D1073*100000+(C1073-DATE(2000,1,1))+ROW()/100000)</f>
        <v/>
      </c>
      <c r="F1073" s="46">
        <f>IF(E1073="","",IF(C1073&gt;WeekEndDate,"",E1073))</f>
        <v/>
      </c>
    </row>
    <row r="1074">
      <c r="A1074" t="inlineStr">
        <is>
          <t>Payments</t>
        </is>
      </c>
      <c r="B1074" s="46">
        <f>'Payments'!W78</f>
        <v/>
      </c>
      <c r="C1074" s="84">
        <f>'Payments'!U78</f>
        <v/>
      </c>
      <c r="D1074" s="46">
        <f>'Payments'!V78</f>
        <v/>
      </c>
      <c r="E1074" s="46">
        <f>IF(OR(B1074="",C1074="",D1074=""),"",D1074*100000+(C1074-DATE(2000,1,1))+ROW()/100000)</f>
        <v/>
      </c>
      <c r="F1074" s="46">
        <f>IF(E1074="","",IF(C1074&gt;WeekEndDate,"",E1074))</f>
        <v/>
      </c>
    </row>
    <row r="1075">
      <c r="A1075" t="inlineStr">
        <is>
          <t>Payments</t>
        </is>
      </c>
      <c r="B1075" s="46">
        <f>'Payments'!W79</f>
        <v/>
      </c>
      <c r="C1075" s="84">
        <f>'Payments'!U79</f>
        <v/>
      </c>
      <c r="D1075" s="46">
        <f>'Payments'!V79</f>
        <v/>
      </c>
      <c r="E1075" s="46">
        <f>IF(OR(B1075="",C1075="",D1075=""),"",D1075*100000+(C1075-DATE(2000,1,1))+ROW()/100000)</f>
        <v/>
      </c>
      <c r="F1075" s="46">
        <f>IF(E1075="","",IF(C1075&gt;WeekEndDate,"",E1075))</f>
        <v/>
      </c>
    </row>
    <row r="1076">
      <c r="A1076" t="inlineStr">
        <is>
          <t>Payments</t>
        </is>
      </c>
      <c r="B1076" s="46">
        <f>'Payments'!W80</f>
        <v/>
      </c>
      <c r="C1076" s="84">
        <f>'Payments'!U80</f>
        <v/>
      </c>
      <c r="D1076" s="46">
        <f>'Payments'!V80</f>
        <v/>
      </c>
      <c r="E1076" s="46">
        <f>IF(OR(B1076="",C1076="",D1076=""),"",D1076*100000+(C1076-DATE(2000,1,1))+ROW()/100000)</f>
        <v/>
      </c>
      <c r="F1076" s="46">
        <f>IF(E1076="","",IF(C1076&gt;WeekEndDate,"",E1076))</f>
        <v/>
      </c>
    </row>
    <row r="1077">
      <c r="A1077" t="inlineStr">
        <is>
          <t>Payments</t>
        </is>
      </c>
      <c r="B1077" s="46">
        <f>'Payments'!W81</f>
        <v/>
      </c>
      <c r="C1077" s="84">
        <f>'Payments'!U81</f>
        <v/>
      </c>
      <c r="D1077" s="46">
        <f>'Payments'!V81</f>
        <v/>
      </c>
      <c r="E1077" s="46">
        <f>IF(OR(B1077="",C1077="",D1077=""),"",D1077*100000+(C1077-DATE(2000,1,1))+ROW()/100000)</f>
        <v/>
      </c>
      <c r="F1077" s="46">
        <f>IF(E1077="","",IF(C1077&gt;WeekEndDate,"",E1077))</f>
        <v/>
      </c>
    </row>
    <row r="1078">
      <c r="A1078" t="inlineStr">
        <is>
          <t>Payments</t>
        </is>
      </c>
      <c r="B1078" s="46">
        <f>'Payments'!W82</f>
        <v/>
      </c>
      <c r="C1078" s="84">
        <f>'Payments'!U82</f>
        <v/>
      </c>
      <c r="D1078" s="46">
        <f>'Payments'!V82</f>
        <v/>
      </c>
      <c r="E1078" s="46">
        <f>IF(OR(B1078="",C1078="",D1078=""),"",D1078*100000+(C1078-DATE(2000,1,1))+ROW()/100000)</f>
        <v/>
      </c>
      <c r="F1078" s="46">
        <f>IF(E1078="","",IF(C1078&gt;WeekEndDate,"",E1078))</f>
        <v/>
      </c>
    </row>
    <row r="1079">
      <c r="A1079" t="inlineStr">
        <is>
          <t>Payments</t>
        </is>
      </c>
      <c r="B1079" s="46">
        <f>'Payments'!W83</f>
        <v/>
      </c>
      <c r="C1079" s="84">
        <f>'Payments'!U83</f>
        <v/>
      </c>
      <c r="D1079" s="46">
        <f>'Payments'!V83</f>
        <v/>
      </c>
      <c r="E1079" s="46">
        <f>IF(OR(B1079="",C1079="",D1079=""),"",D1079*100000+(C1079-DATE(2000,1,1))+ROW()/100000)</f>
        <v/>
      </c>
      <c r="F1079" s="46">
        <f>IF(E1079="","",IF(C1079&gt;WeekEndDate,"",E1079))</f>
        <v/>
      </c>
    </row>
    <row r="1080">
      <c r="A1080" t="inlineStr">
        <is>
          <t>Payments</t>
        </is>
      </c>
      <c r="B1080" s="46">
        <f>'Payments'!W84</f>
        <v/>
      </c>
      <c r="C1080" s="84">
        <f>'Payments'!U84</f>
        <v/>
      </c>
      <c r="D1080" s="46">
        <f>'Payments'!V84</f>
        <v/>
      </c>
      <c r="E1080" s="46">
        <f>IF(OR(B1080="",C1080="",D1080=""),"",D1080*100000+(C1080-DATE(2000,1,1))+ROW()/100000)</f>
        <v/>
      </c>
      <c r="F1080" s="46">
        <f>IF(E1080="","",IF(C1080&gt;WeekEndDate,"",E1080))</f>
        <v/>
      </c>
    </row>
    <row r="1081">
      <c r="A1081" t="inlineStr">
        <is>
          <t>Payments</t>
        </is>
      </c>
      <c r="B1081" s="46">
        <f>'Payments'!W85</f>
        <v/>
      </c>
      <c r="C1081" s="84">
        <f>'Payments'!U85</f>
        <v/>
      </c>
      <c r="D1081" s="46">
        <f>'Payments'!V85</f>
        <v/>
      </c>
      <c r="E1081" s="46">
        <f>IF(OR(B1081="",C1081="",D1081=""),"",D1081*100000+(C1081-DATE(2000,1,1))+ROW()/100000)</f>
        <v/>
      </c>
      <c r="F1081" s="46">
        <f>IF(E1081="","",IF(C1081&gt;WeekEndDate,"",E1081))</f>
        <v/>
      </c>
    </row>
    <row r="1082">
      <c r="A1082" t="inlineStr">
        <is>
          <t>Payments</t>
        </is>
      </c>
      <c r="B1082" s="46">
        <f>'Payments'!W86</f>
        <v/>
      </c>
      <c r="C1082" s="84">
        <f>'Payments'!U86</f>
        <v/>
      </c>
      <c r="D1082" s="46">
        <f>'Payments'!V86</f>
        <v/>
      </c>
      <c r="E1082" s="46">
        <f>IF(OR(B1082="",C1082="",D1082=""),"",D1082*100000+(C1082-DATE(2000,1,1))+ROW()/100000)</f>
        <v/>
      </c>
      <c r="F1082" s="46">
        <f>IF(E1082="","",IF(C1082&gt;WeekEndDate,"",E1082))</f>
        <v/>
      </c>
    </row>
    <row r="1083">
      <c r="A1083" t="inlineStr">
        <is>
          <t>Payments</t>
        </is>
      </c>
      <c r="B1083" s="46">
        <f>'Payments'!W87</f>
        <v/>
      </c>
      <c r="C1083" s="84">
        <f>'Payments'!U87</f>
        <v/>
      </c>
      <c r="D1083" s="46">
        <f>'Payments'!V87</f>
        <v/>
      </c>
      <c r="E1083" s="46">
        <f>IF(OR(B1083="",C1083="",D1083=""),"",D1083*100000+(C1083-DATE(2000,1,1))+ROW()/100000)</f>
        <v/>
      </c>
      <c r="F1083" s="46">
        <f>IF(E1083="","",IF(C1083&gt;WeekEndDate,"",E1083))</f>
        <v/>
      </c>
    </row>
    <row r="1084">
      <c r="A1084" t="inlineStr">
        <is>
          <t>Payments</t>
        </is>
      </c>
      <c r="B1084" s="46">
        <f>'Payments'!W88</f>
        <v/>
      </c>
      <c r="C1084" s="84">
        <f>'Payments'!U88</f>
        <v/>
      </c>
      <c r="D1084" s="46">
        <f>'Payments'!V88</f>
        <v/>
      </c>
      <c r="E1084" s="46">
        <f>IF(OR(B1084="",C1084="",D1084=""),"",D1084*100000+(C1084-DATE(2000,1,1))+ROW()/100000)</f>
        <v/>
      </c>
      <c r="F1084" s="46">
        <f>IF(E1084="","",IF(C1084&gt;WeekEndDate,"",E1084))</f>
        <v/>
      </c>
    </row>
    <row r="1085">
      <c r="A1085" t="inlineStr">
        <is>
          <t>Payments</t>
        </is>
      </c>
      <c r="B1085" s="46">
        <f>'Payments'!W89</f>
        <v/>
      </c>
      <c r="C1085" s="84">
        <f>'Payments'!U89</f>
        <v/>
      </c>
      <c r="D1085" s="46">
        <f>'Payments'!V89</f>
        <v/>
      </c>
      <c r="E1085" s="46">
        <f>IF(OR(B1085="",C1085="",D1085=""),"",D1085*100000+(C1085-DATE(2000,1,1))+ROW()/100000)</f>
        <v/>
      </c>
      <c r="F1085" s="46">
        <f>IF(E1085="","",IF(C1085&gt;WeekEndDate,"",E1085))</f>
        <v/>
      </c>
    </row>
    <row r="1086">
      <c r="A1086" t="inlineStr">
        <is>
          <t>Payments</t>
        </is>
      </c>
      <c r="B1086" s="46">
        <f>'Payments'!W90</f>
        <v/>
      </c>
      <c r="C1086" s="84">
        <f>'Payments'!U90</f>
        <v/>
      </c>
      <c r="D1086" s="46">
        <f>'Payments'!V90</f>
        <v/>
      </c>
      <c r="E1086" s="46">
        <f>IF(OR(B1086="",C1086="",D1086=""),"",D1086*100000+(C1086-DATE(2000,1,1))+ROW()/100000)</f>
        <v/>
      </c>
      <c r="F1086" s="46">
        <f>IF(E1086="","",IF(C1086&gt;WeekEndDate,"",E1086))</f>
        <v/>
      </c>
    </row>
    <row r="1087">
      <c r="A1087" t="inlineStr">
        <is>
          <t>Payments</t>
        </is>
      </c>
      <c r="B1087" s="46">
        <f>'Payments'!W91</f>
        <v/>
      </c>
      <c r="C1087" s="84">
        <f>'Payments'!U91</f>
        <v/>
      </c>
      <c r="D1087" s="46">
        <f>'Payments'!V91</f>
        <v/>
      </c>
      <c r="E1087" s="46">
        <f>IF(OR(B1087="",C1087="",D1087=""),"",D1087*100000+(C1087-DATE(2000,1,1))+ROW()/100000)</f>
        <v/>
      </c>
      <c r="F1087" s="46">
        <f>IF(E1087="","",IF(C1087&gt;WeekEndDate,"",E1087))</f>
        <v/>
      </c>
    </row>
    <row r="1088">
      <c r="A1088" t="inlineStr">
        <is>
          <t>Payments</t>
        </is>
      </c>
      <c r="B1088" s="46">
        <f>'Payments'!W92</f>
        <v/>
      </c>
      <c r="C1088" s="84">
        <f>'Payments'!U92</f>
        <v/>
      </c>
      <c r="D1088" s="46">
        <f>'Payments'!V92</f>
        <v/>
      </c>
      <c r="E1088" s="46">
        <f>IF(OR(B1088="",C1088="",D1088=""),"",D1088*100000+(C1088-DATE(2000,1,1))+ROW()/100000)</f>
        <v/>
      </c>
      <c r="F1088" s="46">
        <f>IF(E1088="","",IF(C1088&gt;WeekEndDate,"",E1088))</f>
        <v/>
      </c>
    </row>
    <row r="1089">
      <c r="A1089" t="inlineStr">
        <is>
          <t>Payments</t>
        </is>
      </c>
      <c r="B1089" s="46">
        <f>'Payments'!W93</f>
        <v/>
      </c>
      <c r="C1089" s="84">
        <f>'Payments'!U93</f>
        <v/>
      </c>
      <c r="D1089" s="46">
        <f>'Payments'!V93</f>
        <v/>
      </c>
      <c r="E1089" s="46">
        <f>IF(OR(B1089="",C1089="",D1089=""),"",D1089*100000+(C1089-DATE(2000,1,1))+ROW()/100000)</f>
        <v/>
      </c>
      <c r="F1089" s="46">
        <f>IF(E1089="","",IF(C1089&gt;WeekEndDate,"",E1089))</f>
        <v/>
      </c>
    </row>
    <row r="1090">
      <c r="A1090" t="inlineStr">
        <is>
          <t>Payments</t>
        </is>
      </c>
      <c r="B1090" s="46">
        <f>'Payments'!W94</f>
        <v/>
      </c>
      <c r="C1090" s="84">
        <f>'Payments'!U94</f>
        <v/>
      </c>
      <c r="D1090" s="46">
        <f>'Payments'!V94</f>
        <v/>
      </c>
      <c r="E1090" s="46">
        <f>IF(OR(B1090="",C1090="",D1090=""),"",D1090*100000+(C1090-DATE(2000,1,1))+ROW()/100000)</f>
        <v/>
      </c>
      <c r="F1090" s="46">
        <f>IF(E1090="","",IF(C1090&gt;WeekEndDate,"",E1090))</f>
        <v/>
      </c>
    </row>
    <row r="1091">
      <c r="A1091" t="inlineStr">
        <is>
          <t>Payments</t>
        </is>
      </c>
      <c r="B1091" s="46">
        <f>'Payments'!W95</f>
        <v/>
      </c>
      <c r="C1091" s="84">
        <f>'Payments'!U95</f>
        <v/>
      </c>
      <c r="D1091" s="46">
        <f>'Payments'!V95</f>
        <v/>
      </c>
      <c r="E1091" s="46">
        <f>IF(OR(B1091="",C1091="",D1091=""),"",D1091*100000+(C1091-DATE(2000,1,1))+ROW()/100000)</f>
        <v/>
      </c>
      <c r="F1091" s="46">
        <f>IF(E1091="","",IF(C1091&gt;WeekEndDate,"",E1091))</f>
        <v/>
      </c>
    </row>
    <row r="1092">
      <c r="A1092" t="inlineStr">
        <is>
          <t>Payments</t>
        </is>
      </c>
      <c r="B1092" s="46">
        <f>'Payments'!W96</f>
        <v/>
      </c>
      <c r="C1092" s="84">
        <f>'Payments'!U96</f>
        <v/>
      </c>
      <c r="D1092" s="46">
        <f>'Payments'!V96</f>
        <v/>
      </c>
      <c r="E1092" s="46">
        <f>IF(OR(B1092="",C1092="",D1092=""),"",D1092*100000+(C1092-DATE(2000,1,1))+ROW()/100000)</f>
        <v/>
      </c>
      <c r="F1092" s="46">
        <f>IF(E1092="","",IF(C1092&gt;WeekEndDate,"",E1092))</f>
        <v/>
      </c>
    </row>
    <row r="1093">
      <c r="A1093" t="inlineStr">
        <is>
          <t>Payments</t>
        </is>
      </c>
      <c r="B1093" s="46">
        <f>'Payments'!W97</f>
        <v/>
      </c>
      <c r="C1093" s="84">
        <f>'Payments'!U97</f>
        <v/>
      </c>
      <c r="D1093" s="46">
        <f>'Payments'!V97</f>
        <v/>
      </c>
      <c r="E1093" s="46">
        <f>IF(OR(B1093="",C1093="",D1093=""),"",D1093*100000+(C1093-DATE(2000,1,1))+ROW()/100000)</f>
        <v/>
      </c>
      <c r="F1093" s="46">
        <f>IF(E1093="","",IF(C1093&gt;WeekEndDate,"",E1093))</f>
        <v/>
      </c>
    </row>
    <row r="1094">
      <c r="A1094" t="inlineStr">
        <is>
          <t>Payments</t>
        </is>
      </c>
      <c r="B1094" s="46">
        <f>'Payments'!W98</f>
        <v/>
      </c>
      <c r="C1094" s="84">
        <f>'Payments'!U98</f>
        <v/>
      </c>
      <c r="D1094" s="46">
        <f>'Payments'!V98</f>
        <v/>
      </c>
      <c r="E1094" s="46">
        <f>IF(OR(B1094="",C1094="",D1094=""),"",D1094*100000+(C1094-DATE(2000,1,1))+ROW()/100000)</f>
        <v/>
      </c>
      <c r="F1094" s="46">
        <f>IF(E1094="","",IF(C1094&gt;WeekEndDate,"",E1094))</f>
        <v/>
      </c>
    </row>
    <row r="1095">
      <c r="A1095" t="inlineStr">
        <is>
          <t>Payments</t>
        </is>
      </c>
      <c r="B1095" s="46">
        <f>'Payments'!W99</f>
        <v/>
      </c>
      <c r="C1095" s="84">
        <f>'Payments'!U99</f>
        <v/>
      </c>
      <c r="D1095" s="46">
        <f>'Payments'!V99</f>
        <v/>
      </c>
      <c r="E1095" s="46">
        <f>IF(OR(B1095="",C1095="",D1095=""),"",D1095*100000+(C1095-DATE(2000,1,1))+ROW()/100000)</f>
        <v/>
      </c>
      <c r="F1095" s="46">
        <f>IF(E1095="","",IF(C1095&gt;WeekEndDate,"",E1095))</f>
        <v/>
      </c>
    </row>
    <row r="1096">
      <c r="A1096" t="inlineStr">
        <is>
          <t>Payments</t>
        </is>
      </c>
      <c r="B1096" s="46">
        <f>'Payments'!W100</f>
        <v/>
      </c>
      <c r="C1096" s="84">
        <f>'Payments'!U100</f>
        <v/>
      </c>
      <c r="D1096" s="46">
        <f>'Payments'!V100</f>
        <v/>
      </c>
      <c r="E1096" s="46">
        <f>IF(OR(B1096="",C1096="",D1096=""),"",D1096*100000+(C1096-DATE(2000,1,1))+ROW()/100000)</f>
        <v/>
      </c>
      <c r="F1096" s="46">
        <f>IF(E1096="","",IF(C1096&gt;WeekEndDate,"",E1096))</f>
        <v/>
      </c>
    </row>
    <row r="1097">
      <c r="A1097" t="inlineStr">
        <is>
          <t>Payments</t>
        </is>
      </c>
      <c r="B1097" s="46">
        <f>'Payments'!W101</f>
        <v/>
      </c>
      <c r="C1097" s="84">
        <f>'Payments'!U101</f>
        <v/>
      </c>
      <c r="D1097" s="46">
        <f>'Payments'!V101</f>
        <v/>
      </c>
      <c r="E1097" s="46">
        <f>IF(OR(B1097="",C1097="",D1097=""),"",D1097*100000+(C1097-DATE(2000,1,1))+ROW()/100000)</f>
        <v/>
      </c>
      <c r="F1097" s="46">
        <f>IF(E1097="","",IF(C1097&gt;WeekEndDate,"",E1097))</f>
        <v/>
      </c>
    </row>
    <row r="1098">
      <c r="A1098" t="inlineStr">
        <is>
          <t>Payments</t>
        </is>
      </c>
      <c r="B1098" s="46">
        <f>'Payments'!W102</f>
        <v/>
      </c>
      <c r="C1098" s="84">
        <f>'Payments'!U102</f>
        <v/>
      </c>
      <c r="D1098" s="46">
        <f>'Payments'!V102</f>
        <v/>
      </c>
      <c r="E1098" s="46">
        <f>IF(OR(B1098="",C1098="",D1098=""),"",D1098*100000+(C1098-DATE(2000,1,1))+ROW()/100000)</f>
        <v/>
      </c>
      <c r="F1098" s="46">
        <f>IF(E1098="","",IF(C1098&gt;WeekEndDate,"",E1098))</f>
        <v/>
      </c>
    </row>
    <row r="1099">
      <c r="A1099" t="inlineStr">
        <is>
          <t>Payments</t>
        </is>
      </c>
      <c r="B1099" s="46">
        <f>'Payments'!W103</f>
        <v/>
      </c>
      <c r="C1099" s="84">
        <f>'Payments'!U103</f>
        <v/>
      </c>
      <c r="D1099" s="46">
        <f>'Payments'!V103</f>
        <v/>
      </c>
      <c r="E1099" s="46">
        <f>IF(OR(B1099="",C1099="",D1099=""),"",D1099*100000+(C1099-DATE(2000,1,1))+ROW()/100000)</f>
        <v/>
      </c>
      <c r="F1099" s="46">
        <f>IF(E1099="","",IF(C1099&gt;WeekEndDate,"",E1099))</f>
        <v/>
      </c>
    </row>
    <row r="1100">
      <c r="A1100" t="inlineStr">
        <is>
          <t>Payments</t>
        </is>
      </c>
      <c r="B1100" s="46">
        <f>'Payments'!W104</f>
        <v/>
      </c>
      <c r="C1100" s="84">
        <f>'Payments'!U104</f>
        <v/>
      </c>
      <c r="D1100" s="46">
        <f>'Payments'!V104</f>
        <v/>
      </c>
      <c r="E1100" s="46">
        <f>IF(OR(B1100="",C1100="",D1100=""),"",D1100*100000+(C1100-DATE(2000,1,1))+ROW()/100000)</f>
        <v/>
      </c>
      <c r="F1100" s="46">
        <f>IF(E1100="","",IF(C1100&gt;WeekEndDate,"",E1100))</f>
        <v/>
      </c>
    </row>
    <row r="1101">
      <c r="A1101" t="inlineStr">
        <is>
          <t>Payments</t>
        </is>
      </c>
      <c r="B1101" s="46">
        <f>'Payments'!W105</f>
        <v/>
      </c>
      <c r="C1101" s="84">
        <f>'Payments'!U105</f>
        <v/>
      </c>
      <c r="D1101" s="46">
        <f>'Payments'!V105</f>
        <v/>
      </c>
      <c r="E1101" s="46">
        <f>IF(OR(B1101="",C1101="",D1101=""),"",D1101*100000+(C1101-DATE(2000,1,1))+ROW()/100000)</f>
        <v/>
      </c>
      <c r="F1101" s="46">
        <f>IF(E1101="","",IF(C1101&gt;WeekEndDate,"",E1101))</f>
        <v/>
      </c>
    </row>
    <row r="1102">
      <c r="A1102" t="inlineStr">
        <is>
          <t>Payments</t>
        </is>
      </c>
      <c r="B1102" s="46">
        <f>'Payments'!W106</f>
        <v/>
      </c>
      <c r="C1102" s="84">
        <f>'Payments'!U106</f>
        <v/>
      </c>
      <c r="D1102" s="46">
        <f>'Payments'!V106</f>
        <v/>
      </c>
      <c r="E1102" s="46">
        <f>IF(OR(B1102="",C1102="",D1102=""),"",D1102*100000+(C1102-DATE(2000,1,1))+ROW()/100000)</f>
        <v/>
      </c>
      <c r="F1102" s="46">
        <f>IF(E1102="","",IF(C1102&gt;WeekEndDate,"",E1102))</f>
        <v/>
      </c>
    </row>
    <row r="1103">
      <c r="A1103" t="inlineStr">
        <is>
          <t>Payments</t>
        </is>
      </c>
      <c r="B1103" s="46">
        <f>'Payments'!W107</f>
        <v/>
      </c>
      <c r="C1103" s="84">
        <f>'Payments'!U107</f>
        <v/>
      </c>
      <c r="D1103" s="46">
        <f>'Payments'!V107</f>
        <v/>
      </c>
      <c r="E1103" s="46">
        <f>IF(OR(B1103="",C1103="",D1103=""),"",D1103*100000+(C1103-DATE(2000,1,1))+ROW()/100000)</f>
        <v/>
      </c>
      <c r="F1103" s="46">
        <f>IF(E1103="","",IF(C1103&gt;WeekEndDate,"",E1103))</f>
        <v/>
      </c>
    </row>
    <row r="1104">
      <c r="A1104" t="inlineStr">
        <is>
          <t>Payments</t>
        </is>
      </c>
      <c r="B1104" s="46">
        <f>'Payments'!W108</f>
        <v/>
      </c>
      <c r="C1104" s="84">
        <f>'Payments'!U108</f>
        <v/>
      </c>
      <c r="D1104" s="46">
        <f>'Payments'!V108</f>
        <v/>
      </c>
      <c r="E1104" s="46">
        <f>IF(OR(B1104="",C1104="",D1104=""),"",D1104*100000+(C1104-DATE(2000,1,1))+ROW()/100000)</f>
        <v/>
      </c>
      <c r="F1104" s="46">
        <f>IF(E1104="","",IF(C1104&gt;WeekEndDate,"",E1104))</f>
        <v/>
      </c>
    </row>
    <row r="1105">
      <c r="A1105" t="inlineStr">
        <is>
          <t>Payments</t>
        </is>
      </c>
      <c r="B1105" s="46">
        <f>'Payments'!W109</f>
        <v/>
      </c>
      <c r="C1105" s="84">
        <f>'Payments'!U109</f>
        <v/>
      </c>
      <c r="D1105" s="46">
        <f>'Payments'!V109</f>
        <v/>
      </c>
      <c r="E1105" s="46">
        <f>IF(OR(B1105="",C1105="",D1105=""),"",D1105*100000+(C1105-DATE(2000,1,1))+ROW()/100000)</f>
        <v/>
      </c>
      <c r="F1105" s="46">
        <f>IF(E1105="","",IF(C1105&gt;WeekEndDate,"",E1105))</f>
        <v/>
      </c>
    </row>
    <row r="1106">
      <c r="A1106" t="inlineStr">
        <is>
          <t>Payments</t>
        </is>
      </c>
      <c r="B1106" s="46">
        <f>'Payments'!W110</f>
        <v/>
      </c>
      <c r="C1106" s="84">
        <f>'Payments'!U110</f>
        <v/>
      </c>
      <c r="D1106" s="46">
        <f>'Payments'!V110</f>
        <v/>
      </c>
      <c r="E1106" s="46">
        <f>IF(OR(B1106="",C1106="",D1106=""),"",D1106*100000+(C1106-DATE(2000,1,1))+ROW()/100000)</f>
        <v/>
      </c>
      <c r="F1106" s="46">
        <f>IF(E1106="","",IF(C1106&gt;WeekEndDate,"",E1106))</f>
        <v/>
      </c>
    </row>
    <row r="1107">
      <c r="A1107" t="inlineStr">
        <is>
          <t>Payments</t>
        </is>
      </c>
      <c r="B1107" s="46">
        <f>'Payments'!W111</f>
        <v/>
      </c>
      <c r="C1107" s="84">
        <f>'Payments'!U111</f>
        <v/>
      </c>
      <c r="D1107" s="46">
        <f>'Payments'!V111</f>
        <v/>
      </c>
      <c r="E1107" s="46">
        <f>IF(OR(B1107="",C1107="",D1107=""),"",D1107*100000+(C1107-DATE(2000,1,1))+ROW()/100000)</f>
        <v/>
      </c>
      <c r="F1107" s="46">
        <f>IF(E1107="","",IF(C1107&gt;WeekEndDate,"",E1107))</f>
        <v/>
      </c>
    </row>
    <row r="1108">
      <c r="A1108" t="inlineStr">
        <is>
          <t>Payments</t>
        </is>
      </c>
      <c r="B1108" s="46">
        <f>'Payments'!W112</f>
        <v/>
      </c>
      <c r="C1108" s="84">
        <f>'Payments'!U112</f>
        <v/>
      </c>
      <c r="D1108" s="46">
        <f>'Payments'!V112</f>
        <v/>
      </c>
      <c r="E1108" s="46">
        <f>IF(OR(B1108="",C1108="",D1108=""),"",D1108*100000+(C1108-DATE(2000,1,1))+ROW()/100000)</f>
        <v/>
      </c>
      <c r="F1108" s="46">
        <f>IF(E1108="","",IF(C1108&gt;WeekEndDate,"",E1108))</f>
        <v/>
      </c>
    </row>
    <row r="1109">
      <c r="A1109" t="inlineStr">
        <is>
          <t>Payments</t>
        </is>
      </c>
      <c r="B1109" s="46">
        <f>'Payments'!W113</f>
        <v/>
      </c>
      <c r="C1109" s="84">
        <f>'Payments'!U113</f>
        <v/>
      </c>
      <c r="D1109" s="46">
        <f>'Payments'!V113</f>
        <v/>
      </c>
      <c r="E1109" s="46">
        <f>IF(OR(B1109="",C1109="",D1109=""),"",D1109*100000+(C1109-DATE(2000,1,1))+ROW()/100000)</f>
        <v/>
      </c>
      <c r="F1109" s="46">
        <f>IF(E1109="","",IF(C1109&gt;WeekEndDate,"",E1109))</f>
        <v/>
      </c>
    </row>
    <row r="1110">
      <c r="A1110" t="inlineStr">
        <is>
          <t>Payments</t>
        </is>
      </c>
      <c r="B1110" s="46">
        <f>'Payments'!W114</f>
        <v/>
      </c>
      <c r="C1110" s="84">
        <f>'Payments'!U114</f>
        <v/>
      </c>
      <c r="D1110" s="46">
        <f>'Payments'!V114</f>
        <v/>
      </c>
      <c r="E1110" s="46">
        <f>IF(OR(B1110="",C1110="",D1110=""),"",D1110*100000+(C1110-DATE(2000,1,1))+ROW()/100000)</f>
        <v/>
      </c>
      <c r="F1110" s="46">
        <f>IF(E1110="","",IF(C1110&gt;WeekEndDate,"",E1110))</f>
        <v/>
      </c>
    </row>
    <row r="1111">
      <c r="A1111" t="inlineStr">
        <is>
          <t>Payments</t>
        </is>
      </c>
      <c r="B1111" s="46">
        <f>'Payments'!W115</f>
        <v/>
      </c>
      <c r="C1111" s="84">
        <f>'Payments'!U115</f>
        <v/>
      </c>
      <c r="D1111" s="46">
        <f>'Payments'!V115</f>
        <v/>
      </c>
      <c r="E1111" s="46">
        <f>IF(OR(B1111="",C1111="",D1111=""),"",D1111*100000+(C1111-DATE(2000,1,1))+ROW()/100000)</f>
        <v/>
      </c>
      <c r="F1111" s="46">
        <f>IF(E1111="","",IF(C1111&gt;WeekEndDate,"",E1111))</f>
        <v/>
      </c>
    </row>
    <row r="1112">
      <c r="A1112" t="inlineStr">
        <is>
          <t>Payments</t>
        </is>
      </c>
      <c r="B1112" s="46">
        <f>'Payments'!W116</f>
        <v/>
      </c>
      <c r="C1112" s="84">
        <f>'Payments'!U116</f>
        <v/>
      </c>
      <c r="D1112" s="46">
        <f>'Payments'!V116</f>
        <v/>
      </c>
      <c r="E1112" s="46">
        <f>IF(OR(B1112="",C1112="",D1112=""),"",D1112*100000+(C1112-DATE(2000,1,1))+ROW()/100000)</f>
        <v/>
      </c>
      <c r="F1112" s="46">
        <f>IF(E1112="","",IF(C1112&gt;WeekEndDate,"",E1112))</f>
        <v/>
      </c>
    </row>
    <row r="1113">
      <c r="A1113" t="inlineStr">
        <is>
          <t>Payments</t>
        </is>
      </c>
      <c r="B1113" s="46">
        <f>'Payments'!W117</f>
        <v/>
      </c>
      <c r="C1113" s="84">
        <f>'Payments'!U117</f>
        <v/>
      </c>
      <c r="D1113" s="46">
        <f>'Payments'!V117</f>
        <v/>
      </c>
      <c r="E1113" s="46">
        <f>IF(OR(B1113="",C1113="",D1113=""),"",D1113*100000+(C1113-DATE(2000,1,1))+ROW()/100000)</f>
        <v/>
      </c>
      <c r="F1113" s="46">
        <f>IF(E1113="","",IF(C1113&gt;WeekEndDate,"",E1113))</f>
        <v/>
      </c>
    </row>
    <row r="1114">
      <c r="A1114" t="inlineStr">
        <is>
          <t>Payments</t>
        </is>
      </c>
      <c r="B1114" s="46">
        <f>'Payments'!W118</f>
        <v/>
      </c>
      <c r="C1114" s="84">
        <f>'Payments'!U118</f>
        <v/>
      </c>
      <c r="D1114" s="46">
        <f>'Payments'!V118</f>
        <v/>
      </c>
      <c r="E1114" s="46">
        <f>IF(OR(B1114="",C1114="",D1114=""),"",D1114*100000+(C1114-DATE(2000,1,1))+ROW()/100000)</f>
        <v/>
      </c>
      <c r="F1114" s="46">
        <f>IF(E1114="","",IF(C1114&gt;WeekEndDate,"",E1114))</f>
        <v/>
      </c>
    </row>
    <row r="1115">
      <c r="A1115" t="inlineStr">
        <is>
          <t>Payments</t>
        </is>
      </c>
      <c r="B1115" s="46">
        <f>'Payments'!W119</f>
        <v/>
      </c>
      <c r="C1115" s="84">
        <f>'Payments'!U119</f>
        <v/>
      </c>
      <c r="D1115" s="46">
        <f>'Payments'!V119</f>
        <v/>
      </c>
      <c r="E1115" s="46">
        <f>IF(OR(B1115="",C1115="",D1115=""),"",D1115*100000+(C1115-DATE(2000,1,1))+ROW()/100000)</f>
        <v/>
      </c>
      <c r="F1115" s="46">
        <f>IF(E1115="","",IF(C1115&gt;WeekEndDate,"",E1115))</f>
        <v/>
      </c>
    </row>
    <row r="1116">
      <c r="A1116" t="inlineStr">
        <is>
          <t>Payments</t>
        </is>
      </c>
      <c r="B1116" s="46">
        <f>'Payments'!W120</f>
        <v/>
      </c>
      <c r="C1116" s="84">
        <f>'Payments'!U120</f>
        <v/>
      </c>
      <c r="D1116" s="46">
        <f>'Payments'!V120</f>
        <v/>
      </c>
      <c r="E1116" s="46">
        <f>IF(OR(B1116="",C1116="",D1116=""),"",D1116*100000+(C1116-DATE(2000,1,1))+ROW()/100000)</f>
        <v/>
      </c>
      <c r="F1116" s="46">
        <f>IF(E1116="","",IF(C1116&gt;WeekEndDate,"",E1116))</f>
        <v/>
      </c>
    </row>
    <row r="1117">
      <c r="A1117" t="inlineStr">
        <is>
          <t>Payments</t>
        </is>
      </c>
      <c r="B1117" s="46">
        <f>'Payments'!W121</f>
        <v/>
      </c>
      <c r="C1117" s="84">
        <f>'Payments'!U121</f>
        <v/>
      </c>
      <c r="D1117" s="46">
        <f>'Payments'!V121</f>
        <v/>
      </c>
      <c r="E1117" s="46">
        <f>IF(OR(B1117="",C1117="",D1117=""),"",D1117*100000+(C1117-DATE(2000,1,1))+ROW()/100000)</f>
        <v/>
      </c>
      <c r="F1117" s="46">
        <f>IF(E1117="","",IF(C1117&gt;WeekEndDate,"",E1117))</f>
        <v/>
      </c>
    </row>
    <row r="1118">
      <c r="A1118" t="inlineStr">
        <is>
          <t>Payments</t>
        </is>
      </c>
      <c r="B1118" s="46">
        <f>'Payments'!W122</f>
        <v/>
      </c>
      <c r="C1118" s="84">
        <f>'Payments'!U122</f>
        <v/>
      </c>
      <c r="D1118" s="46">
        <f>'Payments'!V122</f>
        <v/>
      </c>
      <c r="E1118" s="46">
        <f>IF(OR(B1118="",C1118="",D1118=""),"",D1118*100000+(C1118-DATE(2000,1,1))+ROW()/100000)</f>
        <v/>
      </c>
      <c r="F1118" s="46">
        <f>IF(E1118="","",IF(C1118&gt;WeekEndDate,"",E1118))</f>
        <v/>
      </c>
    </row>
    <row r="1119">
      <c r="A1119" t="inlineStr">
        <is>
          <t>Payments</t>
        </is>
      </c>
      <c r="B1119" s="46">
        <f>'Payments'!W123</f>
        <v/>
      </c>
      <c r="C1119" s="84">
        <f>'Payments'!U123</f>
        <v/>
      </c>
      <c r="D1119" s="46">
        <f>'Payments'!V123</f>
        <v/>
      </c>
      <c r="E1119" s="46">
        <f>IF(OR(B1119="",C1119="",D1119=""),"",D1119*100000+(C1119-DATE(2000,1,1))+ROW()/100000)</f>
        <v/>
      </c>
      <c r="F1119" s="46">
        <f>IF(E1119="","",IF(C1119&gt;WeekEndDate,"",E1119))</f>
        <v/>
      </c>
    </row>
    <row r="1120">
      <c r="A1120" t="inlineStr">
        <is>
          <t>Payments</t>
        </is>
      </c>
      <c r="B1120" s="46">
        <f>'Payments'!W124</f>
        <v/>
      </c>
      <c r="C1120" s="84">
        <f>'Payments'!U124</f>
        <v/>
      </c>
      <c r="D1120" s="46">
        <f>'Payments'!V124</f>
        <v/>
      </c>
      <c r="E1120" s="46">
        <f>IF(OR(B1120="",C1120="",D1120=""),"",D1120*100000+(C1120-DATE(2000,1,1))+ROW()/100000)</f>
        <v/>
      </c>
      <c r="F1120" s="46">
        <f>IF(E1120="","",IF(C1120&gt;WeekEndDate,"",E1120))</f>
        <v/>
      </c>
    </row>
    <row r="1121">
      <c r="A1121" t="inlineStr">
        <is>
          <t>Payments</t>
        </is>
      </c>
      <c r="B1121" s="46">
        <f>'Payments'!W125</f>
        <v/>
      </c>
      <c r="C1121" s="84">
        <f>'Payments'!U125</f>
        <v/>
      </c>
      <c r="D1121" s="46">
        <f>'Payments'!V125</f>
        <v/>
      </c>
      <c r="E1121" s="46">
        <f>IF(OR(B1121="",C1121="",D1121=""),"",D1121*100000+(C1121-DATE(2000,1,1))+ROW()/100000)</f>
        <v/>
      </c>
      <c r="F1121" s="46">
        <f>IF(E1121="","",IF(C1121&gt;WeekEndDate,"",E1121))</f>
        <v/>
      </c>
    </row>
    <row r="1122">
      <c r="A1122" t="inlineStr">
        <is>
          <t>Payments</t>
        </is>
      </c>
      <c r="B1122" s="46">
        <f>'Payments'!W126</f>
        <v/>
      </c>
      <c r="C1122" s="84">
        <f>'Payments'!U126</f>
        <v/>
      </c>
      <c r="D1122" s="46">
        <f>'Payments'!V126</f>
        <v/>
      </c>
      <c r="E1122" s="46">
        <f>IF(OR(B1122="",C1122="",D1122=""),"",D1122*100000+(C1122-DATE(2000,1,1))+ROW()/100000)</f>
        <v/>
      </c>
      <c r="F1122" s="46">
        <f>IF(E1122="","",IF(C1122&gt;WeekEndDate,"",E1122))</f>
        <v/>
      </c>
    </row>
    <row r="1123">
      <c r="A1123" t="inlineStr">
        <is>
          <t>Payments</t>
        </is>
      </c>
      <c r="B1123" s="46">
        <f>'Payments'!W127</f>
        <v/>
      </c>
      <c r="C1123" s="84">
        <f>'Payments'!U127</f>
        <v/>
      </c>
      <c r="D1123" s="46">
        <f>'Payments'!V127</f>
        <v/>
      </c>
      <c r="E1123" s="46">
        <f>IF(OR(B1123="",C1123="",D1123=""),"",D1123*100000+(C1123-DATE(2000,1,1))+ROW()/100000)</f>
        <v/>
      </c>
      <c r="F1123" s="46">
        <f>IF(E1123="","",IF(C1123&gt;WeekEndDate,"",E1123))</f>
        <v/>
      </c>
    </row>
    <row r="1124">
      <c r="A1124" t="inlineStr">
        <is>
          <t>Payments</t>
        </is>
      </c>
      <c r="B1124" s="46">
        <f>'Payments'!W128</f>
        <v/>
      </c>
      <c r="C1124" s="84">
        <f>'Payments'!U128</f>
        <v/>
      </c>
      <c r="D1124" s="46">
        <f>'Payments'!V128</f>
        <v/>
      </c>
      <c r="E1124" s="46">
        <f>IF(OR(B1124="",C1124="",D1124=""),"",D1124*100000+(C1124-DATE(2000,1,1))+ROW()/100000)</f>
        <v/>
      </c>
      <c r="F1124" s="46">
        <f>IF(E1124="","",IF(C1124&gt;WeekEndDate,"",E1124))</f>
        <v/>
      </c>
    </row>
    <row r="1125">
      <c r="A1125" t="inlineStr">
        <is>
          <t>Payments</t>
        </is>
      </c>
      <c r="B1125" s="46">
        <f>'Payments'!W129</f>
        <v/>
      </c>
      <c r="C1125" s="84">
        <f>'Payments'!U129</f>
        <v/>
      </c>
      <c r="D1125" s="46">
        <f>'Payments'!V129</f>
        <v/>
      </c>
      <c r="E1125" s="46">
        <f>IF(OR(B1125="",C1125="",D1125=""),"",D1125*100000+(C1125-DATE(2000,1,1))+ROW()/100000)</f>
        <v/>
      </c>
      <c r="F1125" s="46">
        <f>IF(E1125="","",IF(C1125&gt;WeekEndDate,"",E1125))</f>
        <v/>
      </c>
    </row>
    <row r="1126">
      <c r="A1126" t="inlineStr">
        <is>
          <t>Payments</t>
        </is>
      </c>
      <c r="B1126" s="46">
        <f>'Payments'!W130</f>
        <v/>
      </c>
      <c r="C1126" s="84">
        <f>'Payments'!U130</f>
        <v/>
      </c>
      <c r="D1126" s="46">
        <f>'Payments'!V130</f>
        <v/>
      </c>
      <c r="E1126" s="46">
        <f>IF(OR(B1126="",C1126="",D1126=""),"",D1126*100000+(C1126-DATE(2000,1,1))+ROW()/100000)</f>
        <v/>
      </c>
      <c r="F1126" s="46">
        <f>IF(E1126="","",IF(C1126&gt;WeekEndDate,"",E1126))</f>
        <v/>
      </c>
    </row>
    <row r="1127">
      <c r="A1127" t="inlineStr">
        <is>
          <t>Payments</t>
        </is>
      </c>
      <c r="B1127" s="46">
        <f>'Payments'!W131</f>
        <v/>
      </c>
      <c r="C1127" s="84">
        <f>'Payments'!U131</f>
        <v/>
      </c>
      <c r="D1127" s="46">
        <f>'Payments'!V131</f>
        <v/>
      </c>
      <c r="E1127" s="46">
        <f>IF(OR(B1127="",C1127="",D1127=""),"",D1127*100000+(C1127-DATE(2000,1,1))+ROW()/100000)</f>
        <v/>
      </c>
      <c r="F1127" s="46">
        <f>IF(E1127="","",IF(C1127&gt;WeekEndDate,"",E1127))</f>
        <v/>
      </c>
    </row>
    <row r="1128">
      <c r="A1128" t="inlineStr">
        <is>
          <t>Payments</t>
        </is>
      </c>
      <c r="B1128" s="46">
        <f>'Payments'!W132</f>
        <v/>
      </c>
      <c r="C1128" s="84">
        <f>'Payments'!U132</f>
        <v/>
      </c>
      <c r="D1128" s="46">
        <f>'Payments'!V132</f>
        <v/>
      </c>
      <c r="E1128" s="46">
        <f>IF(OR(B1128="",C1128="",D1128=""),"",D1128*100000+(C1128-DATE(2000,1,1))+ROW()/100000)</f>
        <v/>
      </c>
      <c r="F1128" s="46">
        <f>IF(E1128="","",IF(C1128&gt;WeekEndDate,"",E1128))</f>
        <v/>
      </c>
    </row>
    <row r="1129">
      <c r="A1129" t="inlineStr">
        <is>
          <t>Payments</t>
        </is>
      </c>
      <c r="B1129" s="46">
        <f>'Payments'!W133</f>
        <v/>
      </c>
      <c r="C1129" s="84">
        <f>'Payments'!U133</f>
        <v/>
      </c>
      <c r="D1129" s="46">
        <f>'Payments'!V133</f>
        <v/>
      </c>
      <c r="E1129" s="46">
        <f>IF(OR(B1129="",C1129="",D1129=""),"",D1129*100000+(C1129-DATE(2000,1,1))+ROW()/100000)</f>
        <v/>
      </c>
      <c r="F1129" s="46">
        <f>IF(E1129="","",IF(C1129&gt;WeekEndDate,"",E1129))</f>
        <v/>
      </c>
    </row>
    <row r="1130">
      <c r="A1130" t="inlineStr">
        <is>
          <t>Payments</t>
        </is>
      </c>
      <c r="B1130" s="46">
        <f>'Payments'!W134</f>
        <v/>
      </c>
      <c r="C1130" s="84">
        <f>'Payments'!U134</f>
        <v/>
      </c>
      <c r="D1130" s="46">
        <f>'Payments'!V134</f>
        <v/>
      </c>
      <c r="E1130" s="46">
        <f>IF(OR(B1130="",C1130="",D1130=""),"",D1130*100000+(C1130-DATE(2000,1,1))+ROW()/100000)</f>
        <v/>
      </c>
      <c r="F1130" s="46">
        <f>IF(E1130="","",IF(C1130&gt;WeekEndDate,"",E1130))</f>
        <v/>
      </c>
    </row>
    <row r="1131">
      <c r="A1131" t="inlineStr">
        <is>
          <t>Payments</t>
        </is>
      </c>
      <c r="B1131" s="46">
        <f>'Payments'!W135</f>
        <v/>
      </c>
      <c r="C1131" s="84">
        <f>'Payments'!U135</f>
        <v/>
      </c>
      <c r="D1131" s="46">
        <f>'Payments'!V135</f>
        <v/>
      </c>
      <c r="E1131" s="46">
        <f>IF(OR(B1131="",C1131="",D1131=""),"",D1131*100000+(C1131-DATE(2000,1,1))+ROW()/100000)</f>
        <v/>
      </c>
      <c r="F1131" s="46">
        <f>IF(E1131="","",IF(C1131&gt;WeekEndDate,"",E1131))</f>
        <v/>
      </c>
    </row>
    <row r="1132">
      <c r="A1132" t="inlineStr">
        <is>
          <t>Payments</t>
        </is>
      </c>
      <c r="B1132" s="46">
        <f>'Payments'!W136</f>
        <v/>
      </c>
      <c r="C1132" s="84">
        <f>'Payments'!U136</f>
        <v/>
      </c>
      <c r="D1132" s="46">
        <f>'Payments'!V136</f>
        <v/>
      </c>
      <c r="E1132" s="46">
        <f>IF(OR(B1132="",C1132="",D1132=""),"",D1132*100000+(C1132-DATE(2000,1,1))+ROW()/100000)</f>
        <v/>
      </c>
      <c r="F1132" s="46">
        <f>IF(E1132="","",IF(C1132&gt;WeekEndDate,"",E1132))</f>
        <v/>
      </c>
    </row>
    <row r="1133">
      <c r="A1133" t="inlineStr">
        <is>
          <t>Payments</t>
        </is>
      </c>
      <c r="B1133" s="46">
        <f>'Payments'!W137</f>
        <v/>
      </c>
      <c r="C1133" s="84">
        <f>'Payments'!U137</f>
        <v/>
      </c>
      <c r="D1133" s="46">
        <f>'Payments'!V137</f>
        <v/>
      </c>
      <c r="E1133" s="46">
        <f>IF(OR(B1133="",C1133="",D1133=""),"",D1133*100000+(C1133-DATE(2000,1,1))+ROW()/100000)</f>
        <v/>
      </c>
      <c r="F1133" s="46">
        <f>IF(E1133="","",IF(C1133&gt;WeekEndDate,"",E1133))</f>
        <v/>
      </c>
    </row>
    <row r="1134">
      <c r="A1134" t="inlineStr">
        <is>
          <t>Payments</t>
        </is>
      </c>
      <c r="B1134" s="46">
        <f>'Payments'!W138</f>
        <v/>
      </c>
      <c r="C1134" s="84">
        <f>'Payments'!U138</f>
        <v/>
      </c>
      <c r="D1134" s="46">
        <f>'Payments'!V138</f>
        <v/>
      </c>
      <c r="E1134" s="46">
        <f>IF(OR(B1134="",C1134="",D1134=""),"",D1134*100000+(C1134-DATE(2000,1,1))+ROW()/100000)</f>
        <v/>
      </c>
      <c r="F1134" s="46">
        <f>IF(E1134="","",IF(C1134&gt;WeekEndDate,"",E1134))</f>
        <v/>
      </c>
    </row>
    <row r="1135">
      <c r="A1135" t="inlineStr">
        <is>
          <t>Payments</t>
        </is>
      </c>
      <c r="B1135" s="46">
        <f>'Payments'!W139</f>
        <v/>
      </c>
      <c r="C1135" s="84">
        <f>'Payments'!U139</f>
        <v/>
      </c>
      <c r="D1135" s="46">
        <f>'Payments'!V139</f>
        <v/>
      </c>
      <c r="E1135" s="46">
        <f>IF(OR(B1135="",C1135="",D1135=""),"",D1135*100000+(C1135-DATE(2000,1,1))+ROW()/100000)</f>
        <v/>
      </c>
      <c r="F1135" s="46">
        <f>IF(E1135="","",IF(C1135&gt;WeekEndDate,"",E1135))</f>
        <v/>
      </c>
    </row>
    <row r="1136">
      <c r="A1136" t="inlineStr">
        <is>
          <t>Payments</t>
        </is>
      </c>
      <c r="B1136" s="46">
        <f>'Payments'!W140</f>
        <v/>
      </c>
      <c r="C1136" s="84">
        <f>'Payments'!U140</f>
        <v/>
      </c>
      <c r="D1136" s="46">
        <f>'Payments'!V140</f>
        <v/>
      </c>
      <c r="E1136" s="46">
        <f>IF(OR(B1136="",C1136="",D1136=""),"",D1136*100000+(C1136-DATE(2000,1,1))+ROW()/100000)</f>
        <v/>
      </c>
      <c r="F1136" s="46">
        <f>IF(E1136="","",IF(C1136&gt;WeekEndDate,"",E1136))</f>
        <v/>
      </c>
    </row>
    <row r="1137">
      <c r="A1137" t="inlineStr">
        <is>
          <t>Payments</t>
        </is>
      </c>
      <c r="B1137" s="46">
        <f>'Payments'!W141</f>
        <v/>
      </c>
      <c r="C1137" s="84">
        <f>'Payments'!U141</f>
        <v/>
      </c>
      <c r="D1137" s="46">
        <f>'Payments'!V141</f>
        <v/>
      </c>
      <c r="E1137" s="46">
        <f>IF(OR(B1137="",C1137="",D1137=""),"",D1137*100000+(C1137-DATE(2000,1,1))+ROW()/100000)</f>
        <v/>
      </c>
      <c r="F1137" s="46">
        <f>IF(E1137="","",IF(C1137&gt;WeekEndDate,"",E1137))</f>
        <v/>
      </c>
    </row>
    <row r="1138">
      <c r="A1138" t="inlineStr">
        <is>
          <t>Payments</t>
        </is>
      </c>
      <c r="B1138" s="46">
        <f>'Payments'!W142</f>
        <v/>
      </c>
      <c r="C1138" s="84">
        <f>'Payments'!U142</f>
        <v/>
      </c>
      <c r="D1138" s="46">
        <f>'Payments'!V142</f>
        <v/>
      </c>
      <c r="E1138" s="46">
        <f>IF(OR(B1138="",C1138="",D1138=""),"",D1138*100000+(C1138-DATE(2000,1,1))+ROW()/100000)</f>
        <v/>
      </c>
      <c r="F1138" s="46">
        <f>IF(E1138="","",IF(C1138&gt;WeekEndDate,"",E1138))</f>
        <v/>
      </c>
    </row>
    <row r="1139">
      <c r="A1139" t="inlineStr">
        <is>
          <t>Payments</t>
        </is>
      </c>
      <c r="B1139" s="46">
        <f>'Payments'!W143</f>
        <v/>
      </c>
      <c r="C1139" s="84">
        <f>'Payments'!U143</f>
        <v/>
      </c>
      <c r="D1139" s="46">
        <f>'Payments'!V143</f>
        <v/>
      </c>
      <c r="E1139" s="46">
        <f>IF(OR(B1139="",C1139="",D1139=""),"",D1139*100000+(C1139-DATE(2000,1,1))+ROW()/100000)</f>
        <v/>
      </c>
      <c r="F1139" s="46">
        <f>IF(E1139="","",IF(C1139&gt;WeekEndDate,"",E1139))</f>
        <v/>
      </c>
    </row>
    <row r="1140">
      <c r="A1140" t="inlineStr">
        <is>
          <t>Payments</t>
        </is>
      </c>
      <c r="B1140" s="46">
        <f>'Payments'!W144</f>
        <v/>
      </c>
      <c r="C1140" s="84">
        <f>'Payments'!U144</f>
        <v/>
      </c>
      <c r="D1140" s="46">
        <f>'Payments'!V144</f>
        <v/>
      </c>
      <c r="E1140" s="46">
        <f>IF(OR(B1140="",C1140="",D1140=""),"",D1140*100000+(C1140-DATE(2000,1,1))+ROW()/100000)</f>
        <v/>
      </c>
      <c r="F1140" s="46">
        <f>IF(E1140="","",IF(C1140&gt;WeekEndDate,"",E1140))</f>
        <v/>
      </c>
    </row>
    <row r="1141">
      <c r="A1141" t="inlineStr">
        <is>
          <t>Payments</t>
        </is>
      </c>
      <c r="B1141" s="46">
        <f>'Payments'!W145</f>
        <v/>
      </c>
      <c r="C1141" s="84">
        <f>'Payments'!U145</f>
        <v/>
      </c>
      <c r="D1141" s="46">
        <f>'Payments'!V145</f>
        <v/>
      </c>
      <c r="E1141" s="46">
        <f>IF(OR(B1141="",C1141="",D1141=""),"",D1141*100000+(C1141-DATE(2000,1,1))+ROW()/100000)</f>
        <v/>
      </c>
      <c r="F1141" s="46">
        <f>IF(E1141="","",IF(C1141&gt;WeekEndDate,"",E1141))</f>
        <v/>
      </c>
    </row>
    <row r="1142">
      <c r="A1142" t="inlineStr">
        <is>
          <t>Payments</t>
        </is>
      </c>
      <c r="B1142" s="46">
        <f>'Payments'!W146</f>
        <v/>
      </c>
      <c r="C1142" s="84">
        <f>'Payments'!U146</f>
        <v/>
      </c>
      <c r="D1142" s="46">
        <f>'Payments'!V146</f>
        <v/>
      </c>
      <c r="E1142" s="46">
        <f>IF(OR(B1142="",C1142="",D1142=""),"",D1142*100000+(C1142-DATE(2000,1,1))+ROW()/100000)</f>
        <v/>
      </c>
      <c r="F1142" s="46">
        <f>IF(E1142="","",IF(C1142&gt;WeekEndDate,"",E1142))</f>
        <v/>
      </c>
    </row>
    <row r="1143">
      <c r="A1143" t="inlineStr">
        <is>
          <t>Payments</t>
        </is>
      </c>
      <c r="B1143" s="46">
        <f>'Payments'!W147</f>
        <v/>
      </c>
      <c r="C1143" s="84">
        <f>'Payments'!U147</f>
        <v/>
      </c>
      <c r="D1143" s="46">
        <f>'Payments'!V147</f>
        <v/>
      </c>
      <c r="E1143" s="46">
        <f>IF(OR(B1143="",C1143="",D1143=""),"",D1143*100000+(C1143-DATE(2000,1,1))+ROW()/100000)</f>
        <v/>
      </c>
      <c r="F1143" s="46">
        <f>IF(E1143="","",IF(C1143&gt;WeekEndDate,"",E1143))</f>
        <v/>
      </c>
    </row>
    <row r="1144">
      <c r="A1144" t="inlineStr">
        <is>
          <t>Payments</t>
        </is>
      </c>
      <c r="B1144" s="46">
        <f>'Payments'!W148</f>
        <v/>
      </c>
      <c r="C1144" s="84">
        <f>'Payments'!U148</f>
        <v/>
      </c>
      <c r="D1144" s="46">
        <f>'Payments'!V148</f>
        <v/>
      </c>
      <c r="E1144" s="46">
        <f>IF(OR(B1144="",C1144="",D1144=""),"",D1144*100000+(C1144-DATE(2000,1,1))+ROW()/100000)</f>
        <v/>
      </c>
      <c r="F1144" s="46">
        <f>IF(E1144="","",IF(C1144&gt;WeekEndDate,"",E1144))</f>
        <v/>
      </c>
    </row>
    <row r="1145">
      <c r="A1145" t="inlineStr">
        <is>
          <t>Payments</t>
        </is>
      </c>
      <c r="B1145" s="46">
        <f>'Payments'!W149</f>
        <v/>
      </c>
      <c r="C1145" s="84">
        <f>'Payments'!U149</f>
        <v/>
      </c>
      <c r="D1145" s="46">
        <f>'Payments'!V149</f>
        <v/>
      </c>
      <c r="E1145" s="46">
        <f>IF(OR(B1145="",C1145="",D1145=""),"",D1145*100000+(C1145-DATE(2000,1,1))+ROW()/100000)</f>
        <v/>
      </c>
      <c r="F1145" s="46">
        <f>IF(E1145="","",IF(C1145&gt;WeekEndDate,"",E1145))</f>
        <v/>
      </c>
    </row>
    <row r="1146">
      <c r="A1146" t="inlineStr">
        <is>
          <t>Payments</t>
        </is>
      </c>
      <c r="B1146" s="46">
        <f>'Payments'!W150</f>
        <v/>
      </c>
      <c r="C1146" s="84">
        <f>'Payments'!U150</f>
        <v/>
      </c>
      <c r="D1146" s="46">
        <f>'Payments'!V150</f>
        <v/>
      </c>
      <c r="E1146" s="46">
        <f>IF(OR(B1146="",C1146="",D1146=""),"",D1146*100000+(C1146-DATE(2000,1,1))+ROW()/100000)</f>
        <v/>
      </c>
      <c r="F1146" s="46">
        <f>IF(E1146="","",IF(C1146&gt;WeekEndDate,"",E1146))</f>
        <v/>
      </c>
    </row>
    <row r="1147">
      <c r="A1147" t="inlineStr">
        <is>
          <t>Payments</t>
        </is>
      </c>
      <c r="B1147" s="46">
        <f>'Payments'!W151</f>
        <v/>
      </c>
      <c r="C1147" s="84">
        <f>'Payments'!U151</f>
        <v/>
      </c>
      <c r="D1147" s="46">
        <f>'Payments'!V151</f>
        <v/>
      </c>
      <c r="E1147" s="46">
        <f>IF(OR(B1147="",C1147="",D1147=""),"",D1147*100000+(C1147-DATE(2000,1,1))+ROW()/100000)</f>
        <v/>
      </c>
      <c r="F1147" s="46">
        <f>IF(E1147="","",IF(C1147&gt;WeekEndDate,"",E1147))</f>
        <v/>
      </c>
    </row>
    <row r="1148">
      <c r="A1148" t="inlineStr">
        <is>
          <t>Payments</t>
        </is>
      </c>
      <c r="B1148" s="46">
        <f>'Payments'!W152</f>
        <v/>
      </c>
      <c r="C1148" s="84">
        <f>'Payments'!U152</f>
        <v/>
      </c>
      <c r="D1148" s="46">
        <f>'Payments'!V152</f>
        <v/>
      </c>
      <c r="E1148" s="46">
        <f>IF(OR(B1148="",C1148="",D1148=""),"",D1148*100000+(C1148-DATE(2000,1,1))+ROW()/100000)</f>
        <v/>
      </c>
      <c r="F1148" s="46">
        <f>IF(E1148="","",IF(C1148&gt;WeekEndDate,"",E1148))</f>
        <v/>
      </c>
    </row>
    <row r="1149">
      <c r="A1149" t="inlineStr">
        <is>
          <t>Payments</t>
        </is>
      </c>
      <c r="B1149" s="46">
        <f>'Payments'!W153</f>
        <v/>
      </c>
      <c r="C1149" s="84">
        <f>'Payments'!U153</f>
        <v/>
      </c>
      <c r="D1149" s="46">
        <f>'Payments'!V153</f>
        <v/>
      </c>
      <c r="E1149" s="46">
        <f>IF(OR(B1149="",C1149="",D1149=""),"",D1149*100000+(C1149-DATE(2000,1,1))+ROW()/100000)</f>
        <v/>
      </c>
      <c r="F1149" s="46">
        <f>IF(E1149="","",IF(C1149&gt;WeekEndDate,"",E1149))</f>
        <v/>
      </c>
    </row>
    <row r="1150">
      <c r="A1150" t="inlineStr">
        <is>
          <t>Payments</t>
        </is>
      </c>
      <c r="B1150" s="46">
        <f>'Payments'!W154</f>
        <v/>
      </c>
      <c r="C1150" s="84">
        <f>'Payments'!U154</f>
        <v/>
      </c>
      <c r="D1150" s="46">
        <f>'Payments'!V154</f>
        <v/>
      </c>
      <c r="E1150" s="46">
        <f>IF(OR(B1150="",C1150="",D1150=""),"",D1150*100000+(C1150-DATE(2000,1,1))+ROW()/100000)</f>
        <v/>
      </c>
      <c r="F1150" s="46">
        <f>IF(E1150="","",IF(C1150&gt;WeekEndDate,"",E1150))</f>
        <v/>
      </c>
    </row>
    <row r="1151">
      <c r="A1151" t="inlineStr">
        <is>
          <t>Payments</t>
        </is>
      </c>
      <c r="B1151" s="46">
        <f>'Payments'!W155</f>
        <v/>
      </c>
      <c r="C1151" s="84">
        <f>'Payments'!U155</f>
        <v/>
      </c>
      <c r="D1151" s="46">
        <f>'Payments'!V155</f>
        <v/>
      </c>
      <c r="E1151" s="46">
        <f>IF(OR(B1151="",C1151="",D1151=""),"",D1151*100000+(C1151-DATE(2000,1,1))+ROW()/100000)</f>
        <v/>
      </c>
      <c r="F1151" s="46">
        <f>IF(E1151="","",IF(C1151&gt;WeekEndDate,"",E1151))</f>
        <v/>
      </c>
    </row>
    <row r="1152">
      <c r="A1152" t="inlineStr">
        <is>
          <t>Payments</t>
        </is>
      </c>
      <c r="B1152" s="46">
        <f>'Payments'!W156</f>
        <v/>
      </c>
      <c r="C1152" s="84">
        <f>'Payments'!U156</f>
        <v/>
      </c>
      <c r="D1152" s="46">
        <f>'Payments'!V156</f>
        <v/>
      </c>
      <c r="E1152" s="46">
        <f>IF(OR(B1152="",C1152="",D1152=""),"",D1152*100000+(C1152-DATE(2000,1,1))+ROW()/100000)</f>
        <v/>
      </c>
      <c r="F1152" s="46">
        <f>IF(E1152="","",IF(C1152&gt;WeekEndDate,"",E1152))</f>
        <v/>
      </c>
    </row>
    <row r="1153">
      <c r="A1153" t="inlineStr">
        <is>
          <t>Payments</t>
        </is>
      </c>
      <c r="B1153" s="46">
        <f>'Payments'!W157</f>
        <v/>
      </c>
      <c r="C1153" s="84">
        <f>'Payments'!U157</f>
        <v/>
      </c>
      <c r="D1153" s="46">
        <f>'Payments'!V157</f>
        <v/>
      </c>
      <c r="E1153" s="46">
        <f>IF(OR(B1153="",C1153="",D1153=""),"",D1153*100000+(C1153-DATE(2000,1,1))+ROW()/100000)</f>
        <v/>
      </c>
      <c r="F1153" s="46">
        <f>IF(E1153="","",IF(C1153&gt;WeekEndDate,"",E1153))</f>
        <v/>
      </c>
    </row>
    <row r="1154">
      <c r="A1154" t="inlineStr">
        <is>
          <t>Payments</t>
        </is>
      </c>
      <c r="B1154" s="46">
        <f>'Payments'!W158</f>
        <v/>
      </c>
      <c r="C1154" s="84">
        <f>'Payments'!U158</f>
        <v/>
      </c>
      <c r="D1154" s="46">
        <f>'Payments'!V158</f>
        <v/>
      </c>
      <c r="E1154" s="46">
        <f>IF(OR(B1154="",C1154="",D1154=""),"",D1154*100000+(C1154-DATE(2000,1,1))+ROW()/100000)</f>
        <v/>
      </c>
      <c r="F1154" s="46">
        <f>IF(E1154="","",IF(C1154&gt;WeekEndDate,"",E1154))</f>
        <v/>
      </c>
    </row>
    <row r="1155">
      <c r="A1155" t="inlineStr">
        <is>
          <t>Payments</t>
        </is>
      </c>
      <c r="B1155" s="46">
        <f>'Payments'!W159</f>
        <v/>
      </c>
      <c r="C1155" s="84">
        <f>'Payments'!U159</f>
        <v/>
      </c>
      <c r="D1155" s="46">
        <f>'Payments'!V159</f>
        <v/>
      </c>
      <c r="E1155" s="46">
        <f>IF(OR(B1155="",C1155="",D1155=""),"",D1155*100000+(C1155-DATE(2000,1,1))+ROW()/100000)</f>
        <v/>
      </c>
      <c r="F1155" s="46">
        <f>IF(E1155="","",IF(C1155&gt;WeekEndDate,"",E1155))</f>
        <v/>
      </c>
    </row>
    <row r="1156">
      <c r="A1156" t="inlineStr">
        <is>
          <t>Payments</t>
        </is>
      </c>
      <c r="B1156" s="46">
        <f>'Payments'!W160</f>
        <v/>
      </c>
      <c r="C1156" s="84">
        <f>'Payments'!U160</f>
        <v/>
      </c>
      <c r="D1156" s="46">
        <f>'Payments'!V160</f>
        <v/>
      </c>
      <c r="E1156" s="46">
        <f>IF(OR(B1156="",C1156="",D1156=""),"",D1156*100000+(C1156-DATE(2000,1,1))+ROW()/100000)</f>
        <v/>
      </c>
      <c r="F1156" s="46">
        <f>IF(E1156="","",IF(C1156&gt;WeekEndDate,"",E1156))</f>
        <v/>
      </c>
    </row>
    <row r="1157">
      <c r="A1157" t="inlineStr">
        <is>
          <t>Payments</t>
        </is>
      </c>
      <c r="B1157" s="46">
        <f>'Payments'!W161</f>
        <v/>
      </c>
      <c r="C1157" s="84">
        <f>'Payments'!U161</f>
        <v/>
      </c>
      <c r="D1157" s="46">
        <f>'Payments'!V161</f>
        <v/>
      </c>
      <c r="E1157" s="46">
        <f>IF(OR(B1157="",C1157="",D1157=""),"",D1157*100000+(C1157-DATE(2000,1,1))+ROW()/100000)</f>
        <v/>
      </c>
      <c r="F1157" s="46">
        <f>IF(E1157="","",IF(C1157&gt;WeekEndDate,"",E1157))</f>
        <v/>
      </c>
    </row>
    <row r="1158">
      <c r="A1158" t="inlineStr">
        <is>
          <t>Payments</t>
        </is>
      </c>
      <c r="B1158" s="46">
        <f>'Payments'!W162</f>
        <v/>
      </c>
      <c r="C1158" s="84">
        <f>'Payments'!U162</f>
        <v/>
      </c>
      <c r="D1158" s="46">
        <f>'Payments'!V162</f>
        <v/>
      </c>
      <c r="E1158" s="46">
        <f>IF(OR(B1158="",C1158="",D1158=""),"",D1158*100000+(C1158-DATE(2000,1,1))+ROW()/100000)</f>
        <v/>
      </c>
      <c r="F1158" s="46">
        <f>IF(E1158="","",IF(C1158&gt;WeekEndDate,"",E1158))</f>
        <v/>
      </c>
    </row>
    <row r="1159">
      <c r="A1159" t="inlineStr">
        <is>
          <t>Payments</t>
        </is>
      </c>
      <c r="B1159" s="46">
        <f>'Payments'!W163</f>
        <v/>
      </c>
      <c r="C1159" s="84">
        <f>'Payments'!U163</f>
        <v/>
      </c>
      <c r="D1159" s="46">
        <f>'Payments'!V163</f>
        <v/>
      </c>
      <c r="E1159" s="46">
        <f>IF(OR(B1159="",C1159="",D1159=""),"",D1159*100000+(C1159-DATE(2000,1,1))+ROW()/100000)</f>
        <v/>
      </c>
      <c r="F1159" s="46">
        <f>IF(E1159="","",IF(C1159&gt;WeekEndDate,"",E1159))</f>
        <v/>
      </c>
    </row>
    <row r="1160">
      <c r="A1160" t="inlineStr">
        <is>
          <t>Payments</t>
        </is>
      </c>
      <c r="B1160" s="46">
        <f>'Payments'!W164</f>
        <v/>
      </c>
      <c r="C1160" s="84">
        <f>'Payments'!U164</f>
        <v/>
      </c>
      <c r="D1160" s="46">
        <f>'Payments'!V164</f>
        <v/>
      </c>
      <c r="E1160" s="46">
        <f>IF(OR(B1160="",C1160="",D1160=""),"",D1160*100000+(C1160-DATE(2000,1,1))+ROW()/100000)</f>
        <v/>
      </c>
      <c r="F1160" s="46">
        <f>IF(E1160="","",IF(C1160&gt;WeekEndDate,"",E1160))</f>
        <v/>
      </c>
    </row>
    <row r="1161">
      <c r="A1161" t="inlineStr">
        <is>
          <t>Payments</t>
        </is>
      </c>
      <c r="B1161" s="46">
        <f>'Payments'!W165</f>
        <v/>
      </c>
      <c r="C1161" s="84">
        <f>'Payments'!U165</f>
        <v/>
      </c>
      <c r="D1161" s="46">
        <f>'Payments'!V165</f>
        <v/>
      </c>
      <c r="E1161" s="46">
        <f>IF(OR(B1161="",C1161="",D1161=""),"",D1161*100000+(C1161-DATE(2000,1,1))+ROW()/100000)</f>
        <v/>
      </c>
      <c r="F1161" s="46">
        <f>IF(E1161="","",IF(C1161&gt;WeekEndDate,"",E1161))</f>
        <v/>
      </c>
    </row>
    <row r="1162">
      <c r="A1162" t="inlineStr">
        <is>
          <t>Payments</t>
        </is>
      </c>
      <c r="B1162" s="46">
        <f>'Payments'!W166</f>
        <v/>
      </c>
      <c r="C1162" s="84">
        <f>'Payments'!U166</f>
        <v/>
      </c>
      <c r="D1162" s="46">
        <f>'Payments'!V166</f>
        <v/>
      </c>
      <c r="E1162" s="46">
        <f>IF(OR(B1162="",C1162="",D1162=""),"",D1162*100000+(C1162-DATE(2000,1,1))+ROW()/100000)</f>
        <v/>
      </c>
      <c r="F1162" s="46">
        <f>IF(E1162="","",IF(C1162&gt;WeekEndDate,"",E1162))</f>
        <v/>
      </c>
    </row>
    <row r="1163">
      <c r="A1163" t="inlineStr">
        <is>
          <t>Payments</t>
        </is>
      </c>
      <c r="B1163" s="46">
        <f>'Payments'!W167</f>
        <v/>
      </c>
      <c r="C1163" s="84">
        <f>'Payments'!U167</f>
        <v/>
      </c>
      <c r="D1163" s="46">
        <f>'Payments'!V167</f>
        <v/>
      </c>
      <c r="E1163" s="46">
        <f>IF(OR(B1163="",C1163="",D1163=""),"",D1163*100000+(C1163-DATE(2000,1,1))+ROW()/100000)</f>
        <v/>
      </c>
      <c r="F1163" s="46">
        <f>IF(E1163="","",IF(C1163&gt;WeekEndDate,"",E1163))</f>
        <v/>
      </c>
    </row>
    <row r="1164">
      <c r="A1164" t="inlineStr">
        <is>
          <t>Payments</t>
        </is>
      </c>
      <c r="B1164" s="46">
        <f>'Payments'!W168</f>
        <v/>
      </c>
      <c r="C1164" s="84">
        <f>'Payments'!U168</f>
        <v/>
      </c>
      <c r="D1164" s="46">
        <f>'Payments'!V168</f>
        <v/>
      </c>
      <c r="E1164" s="46">
        <f>IF(OR(B1164="",C1164="",D1164=""),"",D1164*100000+(C1164-DATE(2000,1,1))+ROW()/100000)</f>
        <v/>
      </c>
      <c r="F1164" s="46">
        <f>IF(E1164="","",IF(C1164&gt;WeekEndDate,"",E1164))</f>
        <v/>
      </c>
    </row>
    <row r="1165">
      <c r="A1165" t="inlineStr">
        <is>
          <t>Payments</t>
        </is>
      </c>
      <c r="B1165" s="46">
        <f>'Payments'!W169</f>
        <v/>
      </c>
      <c r="C1165" s="84">
        <f>'Payments'!U169</f>
        <v/>
      </c>
      <c r="D1165" s="46">
        <f>'Payments'!V169</f>
        <v/>
      </c>
      <c r="E1165" s="46">
        <f>IF(OR(B1165="",C1165="",D1165=""),"",D1165*100000+(C1165-DATE(2000,1,1))+ROW()/100000)</f>
        <v/>
      </c>
      <c r="F1165" s="46">
        <f>IF(E1165="","",IF(C1165&gt;WeekEndDate,"",E1165))</f>
        <v/>
      </c>
    </row>
    <row r="1166">
      <c r="A1166" t="inlineStr">
        <is>
          <t>Payments</t>
        </is>
      </c>
      <c r="B1166" s="46">
        <f>'Payments'!W170</f>
        <v/>
      </c>
      <c r="C1166" s="84">
        <f>'Payments'!U170</f>
        <v/>
      </c>
      <c r="D1166" s="46">
        <f>'Payments'!V170</f>
        <v/>
      </c>
      <c r="E1166" s="46">
        <f>IF(OR(B1166="",C1166="",D1166=""),"",D1166*100000+(C1166-DATE(2000,1,1))+ROW()/100000)</f>
        <v/>
      </c>
      <c r="F1166" s="46">
        <f>IF(E1166="","",IF(C1166&gt;WeekEndDate,"",E1166))</f>
        <v/>
      </c>
    </row>
    <row r="1167">
      <c r="A1167" t="inlineStr">
        <is>
          <t>Payments</t>
        </is>
      </c>
      <c r="B1167" s="46">
        <f>'Payments'!W171</f>
        <v/>
      </c>
      <c r="C1167" s="84">
        <f>'Payments'!U171</f>
        <v/>
      </c>
      <c r="D1167" s="46">
        <f>'Payments'!V171</f>
        <v/>
      </c>
      <c r="E1167" s="46">
        <f>IF(OR(B1167="",C1167="",D1167=""),"",D1167*100000+(C1167-DATE(2000,1,1))+ROW()/100000)</f>
        <v/>
      </c>
      <c r="F1167" s="46">
        <f>IF(E1167="","",IF(C1167&gt;WeekEndDate,"",E1167))</f>
        <v/>
      </c>
    </row>
    <row r="1168">
      <c r="A1168" t="inlineStr">
        <is>
          <t>Payments</t>
        </is>
      </c>
      <c r="B1168" s="46">
        <f>'Payments'!W172</f>
        <v/>
      </c>
      <c r="C1168" s="84">
        <f>'Payments'!U172</f>
        <v/>
      </c>
      <c r="D1168" s="46">
        <f>'Payments'!V172</f>
        <v/>
      </c>
      <c r="E1168" s="46">
        <f>IF(OR(B1168="",C1168="",D1168=""),"",D1168*100000+(C1168-DATE(2000,1,1))+ROW()/100000)</f>
        <v/>
      </c>
      <c r="F1168" s="46">
        <f>IF(E1168="","",IF(C1168&gt;WeekEndDate,"",E1168))</f>
        <v/>
      </c>
    </row>
    <row r="1169">
      <c r="A1169" t="inlineStr">
        <is>
          <t>Payments</t>
        </is>
      </c>
      <c r="B1169" s="46">
        <f>'Payments'!W173</f>
        <v/>
      </c>
      <c r="C1169" s="84">
        <f>'Payments'!U173</f>
        <v/>
      </c>
      <c r="D1169" s="46">
        <f>'Payments'!V173</f>
        <v/>
      </c>
      <c r="E1169" s="46">
        <f>IF(OR(B1169="",C1169="",D1169=""),"",D1169*100000+(C1169-DATE(2000,1,1))+ROW()/100000)</f>
        <v/>
      </c>
      <c r="F1169" s="46">
        <f>IF(E1169="","",IF(C1169&gt;WeekEndDate,"",E1169))</f>
        <v/>
      </c>
    </row>
    <row r="1170">
      <c r="A1170" t="inlineStr">
        <is>
          <t>Payments</t>
        </is>
      </c>
      <c r="B1170" s="46">
        <f>'Payments'!W174</f>
        <v/>
      </c>
      <c r="C1170" s="84">
        <f>'Payments'!U174</f>
        <v/>
      </c>
      <c r="D1170" s="46">
        <f>'Payments'!V174</f>
        <v/>
      </c>
      <c r="E1170" s="46">
        <f>IF(OR(B1170="",C1170="",D1170=""),"",D1170*100000+(C1170-DATE(2000,1,1))+ROW()/100000)</f>
        <v/>
      </c>
      <c r="F1170" s="46">
        <f>IF(E1170="","",IF(C1170&gt;WeekEndDate,"",E1170))</f>
        <v/>
      </c>
    </row>
    <row r="1171">
      <c r="A1171" t="inlineStr">
        <is>
          <t>Payments</t>
        </is>
      </c>
      <c r="B1171" s="46">
        <f>'Payments'!W175</f>
        <v/>
      </c>
      <c r="C1171" s="84">
        <f>'Payments'!U175</f>
        <v/>
      </c>
      <c r="D1171" s="46">
        <f>'Payments'!V175</f>
        <v/>
      </c>
      <c r="E1171" s="46">
        <f>IF(OR(B1171="",C1171="",D1171=""),"",D1171*100000+(C1171-DATE(2000,1,1))+ROW()/100000)</f>
        <v/>
      </c>
      <c r="F1171" s="46">
        <f>IF(E1171="","",IF(C1171&gt;WeekEndDate,"",E1171))</f>
        <v/>
      </c>
    </row>
    <row r="1172">
      <c r="A1172" t="inlineStr">
        <is>
          <t>Payments</t>
        </is>
      </c>
      <c r="B1172" s="46">
        <f>'Payments'!W176</f>
        <v/>
      </c>
      <c r="C1172" s="84">
        <f>'Payments'!U176</f>
        <v/>
      </c>
      <c r="D1172" s="46">
        <f>'Payments'!V176</f>
        <v/>
      </c>
      <c r="E1172" s="46">
        <f>IF(OR(B1172="",C1172="",D1172=""),"",D1172*100000+(C1172-DATE(2000,1,1))+ROW()/100000)</f>
        <v/>
      </c>
      <c r="F1172" s="46">
        <f>IF(E1172="","",IF(C1172&gt;WeekEndDate,"",E1172))</f>
        <v/>
      </c>
    </row>
    <row r="1173">
      <c r="A1173" t="inlineStr">
        <is>
          <t>Payments</t>
        </is>
      </c>
      <c r="B1173" s="46">
        <f>'Payments'!W177</f>
        <v/>
      </c>
      <c r="C1173" s="84">
        <f>'Payments'!U177</f>
        <v/>
      </c>
      <c r="D1173" s="46">
        <f>'Payments'!V177</f>
        <v/>
      </c>
      <c r="E1173" s="46">
        <f>IF(OR(B1173="",C1173="",D1173=""),"",D1173*100000+(C1173-DATE(2000,1,1))+ROW()/100000)</f>
        <v/>
      </c>
      <c r="F1173" s="46">
        <f>IF(E1173="","",IF(C1173&gt;WeekEndDate,"",E1173))</f>
        <v/>
      </c>
    </row>
    <row r="1174">
      <c r="A1174" t="inlineStr">
        <is>
          <t>Payments</t>
        </is>
      </c>
      <c r="B1174" s="46">
        <f>'Payments'!W178</f>
        <v/>
      </c>
      <c r="C1174" s="84">
        <f>'Payments'!U178</f>
        <v/>
      </c>
      <c r="D1174" s="46">
        <f>'Payments'!V178</f>
        <v/>
      </c>
      <c r="E1174" s="46">
        <f>IF(OR(B1174="",C1174="",D1174=""),"",D1174*100000+(C1174-DATE(2000,1,1))+ROW()/100000)</f>
        <v/>
      </c>
      <c r="F1174" s="46">
        <f>IF(E1174="","",IF(C1174&gt;WeekEndDate,"",E1174))</f>
        <v/>
      </c>
    </row>
    <row r="1175">
      <c r="A1175" t="inlineStr">
        <is>
          <t>Payments</t>
        </is>
      </c>
      <c r="B1175" s="46">
        <f>'Payments'!W179</f>
        <v/>
      </c>
      <c r="C1175" s="84">
        <f>'Payments'!U179</f>
        <v/>
      </c>
      <c r="D1175" s="46">
        <f>'Payments'!V179</f>
        <v/>
      </c>
      <c r="E1175" s="46">
        <f>IF(OR(B1175="",C1175="",D1175=""),"",D1175*100000+(C1175-DATE(2000,1,1))+ROW()/100000)</f>
        <v/>
      </c>
      <c r="F1175" s="46">
        <f>IF(E1175="","",IF(C1175&gt;WeekEndDate,"",E1175))</f>
        <v/>
      </c>
    </row>
    <row r="1176">
      <c r="A1176" t="inlineStr">
        <is>
          <t>Payments</t>
        </is>
      </c>
      <c r="B1176" s="46">
        <f>'Payments'!W180</f>
        <v/>
      </c>
      <c r="C1176" s="84">
        <f>'Payments'!U180</f>
        <v/>
      </c>
      <c r="D1176" s="46">
        <f>'Payments'!V180</f>
        <v/>
      </c>
      <c r="E1176" s="46">
        <f>IF(OR(B1176="",C1176="",D1176=""),"",D1176*100000+(C1176-DATE(2000,1,1))+ROW()/100000)</f>
        <v/>
      </c>
      <c r="F1176" s="46">
        <f>IF(E1176="","",IF(C1176&gt;WeekEndDate,"",E1176))</f>
        <v/>
      </c>
    </row>
    <row r="1177">
      <c r="A1177" t="inlineStr">
        <is>
          <t>Payments</t>
        </is>
      </c>
      <c r="B1177" s="46">
        <f>'Payments'!W181</f>
        <v/>
      </c>
      <c r="C1177" s="84">
        <f>'Payments'!U181</f>
        <v/>
      </c>
      <c r="D1177" s="46">
        <f>'Payments'!V181</f>
        <v/>
      </c>
      <c r="E1177" s="46">
        <f>IF(OR(B1177="",C1177="",D1177=""),"",D1177*100000+(C1177-DATE(2000,1,1))+ROW()/100000)</f>
        <v/>
      </c>
      <c r="F1177" s="46">
        <f>IF(E1177="","",IF(C1177&gt;WeekEndDate,"",E1177))</f>
        <v/>
      </c>
    </row>
    <row r="1178">
      <c r="A1178" t="inlineStr">
        <is>
          <t>Payments</t>
        </is>
      </c>
      <c r="B1178" s="46">
        <f>'Payments'!W182</f>
        <v/>
      </c>
      <c r="C1178" s="84">
        <f>'Payments'!U182</f>
        <v/>
      </c>
      <c r="D1178" s="46">
        <f>'Payments'!V182</f>
        <v/>
      </c>
      <c r="E1178" s="46">
        <f>IF(OR(B1178="",C1178="",D1178=""),"",D1178*100000+(C1178-DATE(2000,1,1))+ROW()/100000)</f>
        <v/>
      </c>
      <c r="F1178" s="46">
        <f>IF(E1178="","",IF(C1178&gt;WeekEndDate,"",E1178))</f>
        <v/>
      </c>
    </row>
    <row r="1179">
      <c r="A1179" t="inlineStr">
        <is>
          <t>Payments</t>
        </is>
      </c>
      <c r="B1179" s="46">
        <f>'Payments'!W183</f>
        <v/>
      </c>
      <c r="C1179" s="84">
        <f>'Payments'!U183</f>
        <v/>
      </c>
      <c r="D1179" s="46">
        <f>'Payments'!V183</f>
        <v/>
      </c>
      <c r="E1179" s="46">
        <f>IF(OR(B1179="",C1179="",D1179=""),"",D1179*100000+(C1179-DATE(2000,1,1))+ROW()/100000)</f>
        <v/>
      </c>
      <c r="F1179" s="46">
        <f>IF(E1179="","",IF(C1179&gt;WeekEndDate,"",E1179))</f>
        <v/>
      </c>
    </row>
    <row r="1180">
      <c r="A1180" t="inlineStr">
        <is>
          <t>Payments</t>
        </is>
      </c>
      <c r="B1180" s="46">
        <f>'Payments'!W184</f>
        <v/>
      </c>
      <c r="C1180" s="84">
        <f>'Payments'!U184</f>
        <v/>
      </c>
      <c r="D1180" s="46">
        <f>'Payments'!V184</f>
        <v/>
      </c>
      <c r="E1180" s="46">
        <f>IF(OR(B1180="",C1180="",D1180=""),"",D1180*100000+(C1180-DATE(2000,1,1))+ROW()/100000)</f>
        <v/>
      </c>
      <c r="F1180" s="46">
        <f>IF(E1180="","",IF(C1180&gt;WeekEndDate,"",E1180))</f>
        <v/>
      </c>
    </row>
    <row r="1181">
      <c r="A1181" t="inlineStr">
        <is>
          <t>Payments</t>
        </is>
      </c>
      <c r="B1181" s="46">
        <f>'Payments'!W185</f>
        <v/>
      </c>
      <c r="C1181" s="84">
        <f>'Payments'!U185</f>
        <v/>
      </c>
      <c r="D1181" s="46">
        <f>'Payments'!V185</f>
        <v/>
      </c>
      <c r="E1181" s="46">
        <f>IF(OR(B1181="",C1181="",D1181=""),"",D1181*100000+(C1181-DATE(2000,1,1))+ROW()/100000)</f>
        <v/>
      </c>
      <c r="F1181" s="46">
        <f>IF(E1181="","",IF(C1181&gt;WeekEndDate,"",E1181))</f>
        <v/>
      </c>
    </row>
    <row r="1182">
      <c r="A1182" t="inlineStr">
        <is>
          <t>Payments</t>
        </is>
      </c>
      <c r="B1182" s="46">
        <f>'Payments'!W186</f>
        <v/>
      </c>
      <c r="C1182" s="84">
        <f>'Payments'!U186</f>
        <v/>
      </c>
      <c r="D1182" s="46">
        <f>'Payments'!V186</f>
        <v/>
      </c>
      <c r="E1182" s="46">
        <f>IF(OR(B1182="",C1182="",D1182=""),"",D1182*100000+(C1182-DATE(2000,1,1))+ROW()/100000)</f>
        <v/>
      </c>
      <c r="F1182" s="46">
        <f>IF(E1182="","",IF(C1182&gt;WeekEndDate,"",E1182))</f>
        <v/>
      </c>
    </row>
    <row r="1183">
      <c r="A1183" t="inlineStr">
        <is>
          <t>Payments</t>
        </is>
      </c>
      <c r="B1183" s="46">
        <f>'Payments'!W187</f>
        <v/>
      </c>
      <c r="C1183" s="84">
        <f>'Payments'!U187</f>
        <v/>
      </c>
      <c r="D1183" s="46">
        <f>'Payments'!V187</f>
        <v/>
      </c>
      <c r="E1183" s="46">
        <f>IF(OR(B1183="",C1183="",D1183=""),"",D1183*100000+(C1183-DATE(2000,1,1))+ROW()/100000)</f>
        <v/>
      </c>
      <c r="F1183" s="46">
        <f>IF(E1183="","",IF(C1183&gt;WeekEndDate,"",E1183))</f>
        <v/>
      </c>
    </row>
    <row r="1184">
      <c r="A1184" t="inlineStr">
        <is>
          <t>Payments</t>
        </is>
      </c>
      <c r="B1184" s="46">
        <f>'Payments'!W188</f>
        <v/>
      </c>
      <c r="C1184" s="84">
        <f>'Payments'!U188</f>
        <v/>
      </c>
      <c r="D1184" s="46">
        <f>'Payments'!V188</f>
        <v/>
      </c>
      <c r="E1184" s="46">
        <f>IF(OR(B1184="",C1184="",D1184=""),"",D1184*100000+(C1184-DATE(2000,1,1))+ROW()/100000)</f>
        <v/>
      </c>
      <c r="F1184" s="46">
        <f>IF(E1184="","",IF(C1184&gt;WeekEndDate,"",E1184))</f>
        <v/>
      </c>
    </row>
    <row r="1185">
      <c r="A1185" t="inlineStr">
        <is>
          <t>Payments</t>
        </is>
      </c>
      <c r="B1185" s="46">
        <f>'Payments'!W189</f>
        <v/>
      </c>
      <c r="C1185" s="84">
        <f>'Payments'!U189</f>
        <v/>
      </c>
      <c r="D1185" s="46">
        <f>'Payments'!V189</f>
        <v/>
      </c>
      <c r="E1185" s="46">
        <f>IF(OR(B1185="",C1185="",D1185=""),"",D1185*100000+(C1185-DATE(2000,1,1))+ROW()/100000)</f>
        <v/>
      </c>
      <c r="F1185" s="46">
        <f>IF(E1185="","",IF(C1185&gt;WeekEndDate,"",E1185))</f>
        <v/>
      </c>
    </row>
    <row r="1186">
      <c r="A1186" t="inlineStr">
        <is>
          <t>Payments</t>
        </is>
      </c>
      <c r="B1186" s="46">
        <f>'Payments'!W190</f>
        <v/>
      </c>
      <c r="C1186" s="84">
        <f>'Payments'!U190</f>
        <v/>
      </c>
      <c r="D1186" s="46">
        <f>'Payments'!V190</f>
        <v/>
      </c>
      <c r="E1186" s="46">
        <f>IF(OR(B1186="",C1186="",D1186=""),"",D1186*100000+(C1186-DATE(2000,1,1))+ROW()/100000)</f>
        <v/>
      </c>
      <c r="F1186" s="46">
        <f>IF(E1186="","",IF(C1186&gt;WeekEndDate,"",E1186))</f>
        <v/>
      </c>
    </row>
    <row r="1187">
      <c r="A1187" t="inlineStr">
        <is>
          <t>Payments</t>
        </is>
      </c>
      <c r="B1187" s="46">
        <f>'Payments'!W191</f>
        <v/>
      </c>
      <c r="C1187" s="84">
        <f>'Payments'!U191</f>
        <v/>
      </c>
      <c r="D1187" s="46">
        <f>'Payments'!V191</f>
        <v/>
      </c>
      <c r="E1187" s="46">
        <f>IF(OR(B1187="",C1187="",D1187=""),"",D1187*100000+(C1187-DATE(2000,1,1))+ROW()/100000)</f>
        <v/>
      </c>
      <c r="F1187" s="46">
        <f>IF(E1187="","",IF(C1187&gt;WeekEndDate,"",E1187))</f>
        <v/>
      </c>
    </row>
    <row r="1188">
      <c r="A1188" t="inlineStr">
        <is>
          <t>Payments</t>
        </is>
      </c>
      <c r="B1188" s="46">
        <f>'Payments'!W192</f>
        <v/>
      </c>
      <c r="C1188" s="84">
        <f>'Payments'!U192</f>
        <v/>
      </c>
      <c r="D1188" s="46">
        <f>'Payments'!V192</f>
        <v/>
      </c>
      <c r="E1188" s="46">
        <f>IF(OR(B1188="",C1188="",D1188=""),"",D1188*100000+(C1188-DATE(2000,1,1))+ROW()/100000)</f>
        <v/>
      </c>
      <c r="F1188" s="46">
        <f>IF(E1188="","",IF(C1188&gt;WeekEndDate,"",E1188))</f>
        <v/>
      </c>
    </row>
    <row r="1189">
      <c r="A1189" t="inlineStr">
        <is>
          <t>Payments</t>
        </is>
      </c>
      <c r="B1189" s="46">
        <f>'Payments'!W193</f>
        <v/>
      </c>
      <c r="C1189" s="84">
        <f>'Payments'!U193</f>
        <v/>
      </c>
      <c r="D1189" s="46">
        <f>'Payments'!V193</f>
        <v/>
      </c>
      <c r="E1189" s="46">
        <f>IF(OR(B1189="",C1189="",D1189=""),"",D1189*100000+(C1189-DATE(2000,1,1))+ROW()/100000)</f>
        <v/>
      </c>
      <c r="F1189" s="46">
        <f>IF(E1189="","",IF(C1189&gt;WeekEndDate,"",E1189))</f>
        <v/>
      </c>
    </row>
    <row r="1190">
      <c r="A1190" t="inlineStr">
        <is>
          <t>Payments</t>
        </is>
      </c>
      <c r="B1190" s="46">
        <f>'Payments'!W194</f>
        <v/>
      </c>
      <c r="C1190" s="84">
        <f>'Payments'!U194</f>
        <v/>
      </c>
      <c r="D1190" s="46">
        <f>'Payments'!V194</f>
        <v/>
      </c>
      <c r="E1190" s="46">
        <f>IF(OR(B1190="",C1190="",D1190=""),"",D1190*100000+(C1190-DATE(2000,1,1))+ROW()/100000)</f>
        <v/>
      </c>
      <c r="F1190" s="46">
        <f>IF(E1190="","",IF(C1190&gt;WeekEndDate,"",E1190))</f>
        <v/>
      </c>
    </row>
    <row r="1191">
      <c r="A1191" t="inlineStr">
        <is>
          <t>Payments</t>
        </is>
      </c>
      <c r="B1191" s="46">
        <f>'Payments'!W195</f>
        <v/>
      </c>
      <c r="C1191" s="84">
        <f>'Payments'!U195</f>
        <v/>
      </c>
      <c r="D1191" s="46">
        <f>'Payments'!V195</f>
        <v/>
      </c>
      <c r="E1191" s="46">
        <f>IF(OR(B1191="",C1191="",D1191=""),"",D1191*100000+(C1191-DATE(2000,1,1))+ROW()/100000)</f>
        <v/>
      </c>
      <c r="F1191" s="46">
        <f>IF(E1191="","",IF(C1191&gt;WeekEndDate,"",E1191))</f>
        <v/>
      </c>
    </row>
    <row r="1192">
      <c r="A1192" t="inlineStr">
        <is>
          <t>Payments</t>
        </is>
      </c>
      <c r="B1192" s="46">
        <f>'Payments'!W196</f>
        <v/>
      </c>
      <c r="C1192" s="84">
        <f>'Payments'!U196</f>
        <v/>
      </c>
      <c r="D1192" s="46">
        <f>'Payments'!V196</f>
        <v/>
      </c>
      <c r="E1192" s="46">
        <f>IF(OR(B1192="",C1192="",D1192=""),"",D1192*100000+(C1192-DATE(2000,1,1))+ROW()/100000)</f>
        <v/>
      </c>
      <c r="F1192" s="46">
        <f>IF(E1192="","",IF(C1192&gt;WeekEndDate,"",E1192))</f>
        <v/>
      </c>
    </row>
    <row r="1193">
      <c r="A1193" t="inlineStr">
        <is>
          <t>Payments</t>
        </is>
      </c>
      <c r="B1193" s="46">
        <f>'Payments'!W197</f>
        <v/>
      </c>
      <c r="C1193" s="84">
        <f>'Payments'!U197</f>
        <v/>
      </c>
      <c r="D1193" s="46">
        <f>'Payments'!V197</f>
        <v/>
      </c>
      <c r="E1193" s="46">
        <f>IF(OR(B1193="",C1193="",D1193=""),"",D1193*100000+(C1193-DATE(2000,1,1))+ROW()/100000)</f>
        <v/>
      </c>
      <c r="F1193" s="46">
        <f>IF(E1193="","",IF(C1193&gt;WeekEndDate,"",E1193))</f>
        <v/>
      </c>
    </row>
    <row r="1194">
      <c r="A1194" t="inlineStr">
        <is>
          <t>Payments</t>
        </is>
      </c>
      <c r="B1194" s="46">
        <f>'Payments'!W198</f>
        <v/>
      </c>
      <c r="C1194" s="84">
        <f>'Payments'!U198</f>
        <v/>
      </c>
      <c r="D1194" s="46">
        <f>'Payments'!V198</f>
        <v/>
      </c>
      <c r="E1194" s="46">
        <f>IF(OR(B1194="",C1194="",D1194=""),"",D1194*100000+(C1194-DATE(2000,1,1))+ROW()/100000)</f>
        <v/>
      </c>
      <c r="F1194" s="46">
        <f>IF(E1194="","",IF(C1194&gt;WeekEndDate,"",E1194))</f>
        <v/>
      </c>
    </row>
    <row r="1195">
      <c r="A1195" t="inlineStr">
        <is>
          <t>Payments</t>
        </is>
      </c>
      <c r="B1195" s="46">
        <f>'Payments'!W199</f>
        <v/>
      </c>
      <c r="C1195" s="84">
        <f>'Payments'!U199</f>
        <v/>
      </c>
      <c r="D1195" s="46">
        <f>'Payments'!V199</f>
        <v/>
      </c>
      <c r="E1195" s="46">
        <f>IF(OR(B1195="",C1195="",D1195=""),"",D1195*100000+(C1195-DATE(2000,1,1))+ROW()/100000)</f>
        <v/>
      </c>
      <c r="F1195" s="46">
        <f>IF(E1195="","",IF(C1195&gt;WeekEndDate,"",E1195))</f>
        <v/>
      </c>
    </row>
    <row r="1196">
      <c r="A1196" t="inlineStr">
        <is>
          <t>Payments</t>
        </is>
      </c>
      <c r="B1196" s="46">
        <f>'Payments'!W200</f>
        <v/>
      </c>
      <c r="C1196" s="84">
        <f>'Payments'!U200</f>
        <v/>
      </c>
      <c r="D1196" s="46">
        <f>'Payments'!V200</f>
        <v/>
      </c>
      <c r="E1196" s="46">
        <f>IF(OR(B1196="",C1196="",D1196=""),"",D1196*100000+(C1196-DATE(2000,1,1))+ROW()/100000)</f>
        <v/>
      </c>
      <c r="F1196" s="46">
        <f>IF(E1196="","",IF(C1196&gt;WeekEndDate,"",E1196))</f>
        <v/>
      </c>
    </row>
    <row r="1197">
      <c r="A1197" t="inlineStr">
        <is>
          <t>Payments</t>
        </is>
      </c>
      <c r="B1197" s="46">
        <f>'Payments'!W201</f>
        <v/>
      </c>
      <c r="C1197" s="84">
        <f>'Payments'!U201</f>
        <v/>
      </c>
      <c r="D1197" s="46">
        <f>'Payments'!V201</f>
        <v/>
      </c>
      <c r="E1197" s="46">
        <f>IF(OR(B1197="",C1197="",D1197=""),"",D1197*100000+(C1197-DATE(2000,1,1))+ROW()/100000)</f>
        <v/>
      </c>
      <c r="F1197" s="46">
        <f>IF(E1197="","",IF(C1197&gt;WeekEndDate,"",E1197))</f>
        <v/>
      </c>
    </row>
    <row r="1198">
      <c r="A1198" t="inlineStr">
        <is>
          <t>Payments</t>
        </is>
      </c>
      <c r="B1198" s="46">
        <f>'Payments'!W202</f>
        <v/>
      </c>
      <c r="C1198" s="84">
        <f>'Payments'!U202</f>
        <v/>
      </c>
      <c r="D1198" s="46">
        <f>'Payments'!V202</f>
        <v/>
      </c>
      <c r="E1198" s="46">
        <f>IF(OR(B1198="",C1198="",D1198=""),"",D1198*100000+(C1198-DATE(2000,1,1))+ROW()/100000)</f>
        <v/>
      </c>
      <c r="F1198" s="46">
        <f>IF(E1198="","",IF(C1198&gt;WeekEndDate,"",E1198))</f>
        <v/>
      </c>
    </row>
    <row r="1199">
      <c r="A1199" t="inlineStr">
        <is>
          <t>Payments</t>
        </is>
      </c>
      <c r="B1199" s="46">
        <f>'Payments'!W203</f>
        <v/>
      </c>
      <c r="C1199" s="84">
        <f>'Payments'!U203</f>
        <v/>
      </c>
      <c r="D1199" s="46">
        <f>'Payments'!V203</f>
        <v/>
      </c>
      <c r="E1199" s="46">
        <f>IF(OR(B1199="",C1199="",D1199=""),"",D1199*100000+(C1199-DATE(2000,1,1))+ROW()/100000)</f>
        <v/>
      </c>
      <c r="F1199" s="46">
        <f>IF(E1199="","",IF(C1199&gt;WeekEndDate,"",E1199))</f>
        <v/>
      </c>
    </row>
    <row r="1200">
      <c r="A1200" t="inlineStr">
        <is>
          <t>Payments</t>
        </is>
      </c>
      <c r="B1200" s="46">
        <f>'Payments'!W204</f>
        <v/>
      </c>
      <c r="C1200" s="84">
        <f>'Payments'!U204</f>
        <v/>
      </c>
      <c r="D1200" s="46">
        <f>'Payments'!V204</f>
        <v/>
      </c>
      <c r="E1200" s="46">
        <f>IF(OR(B1200="",C1200="",D1200=""),"",D1200*100000+(C1200-DATE(2000,1,1))+ROW()/100000)</f>
        <v/>
      </c>
      <c r="F1200" s="46">
        <f>IF(E1200="","",IF(C1200&gt;WeekEndDate,"",E1200))</f>
        <v/>
      </c>
    </row>
    <row r="1201">
      <c r="A1201" t="inlineStr">
        <is>
          <t>Payments</t>
        </is>
      </c>
      <c r="B1201" s="46">
        <f>'Payments'!W205</f>
        <v/>
      </c>
      <c r="C1201" s="84">
        <f>'Payments'!U205</f>
        <v/>
      </c>
      <c r="D1201" s="46">
        <f>'Payments'!V205</f>
        <v/>
      </c>
      <c r="E1201" s="46">
        <f>IF(OR(B1201="",C1201="",D1201=""),"",D1201*100000+(C1201-DATE(2000,1,1))+ROW()/100000)</f>
        <v/>
      </c>
      <c r="F1201" s="46">
        <f>IF(E1201="","",IF(C1201&gt;WeekEndDate,"",E1201))</f>
        <v/>
      </c>
    </row>
    <row r="1202">
      <c r="A1202" t="inlineStr">
        <is>
          <t>Payments</t>
        </is>
      </c>
      <c r="B1202" s="46">
        <f>'Payments'!W206</f>
        <v/>
      </c>
      <c r="C1202" s="84">
        <f>'Payments'!U206</f>
        <v/>
      </c>
      <c r="D1202" s="46">
        <f>'Payments'!V206</f>
        <v/>
      </c>
      <c r="E1202" s="46">
        <f>IF(OR(B1202="",C1202="",D1202=""),"",D1202*100000+(C1202-DATE(2000,1,1))+ROW()/100000)</f>
        <v/>
      </c>
      <c r="F1202" s="46">
        <f>IF(E1202="","",IF(C1202&gt;WeekEndDate,"",E1202))</f>
        <v/>
      </c>
    </row>
    <row r="1203">
      <c r="A1203" t="inlineStr">
        <is>
          <t>Payments</t>
        </is>
      </c>
      <c r="B1203" s="46">
        <f>'Payments'!W207</f>
        <v/>
      </c>
      <c r="C1203" s="84">
        <f>'Payments'!U207</f>
        <v/>
      </c>
      <c r="D1203" s="46">
        <f>'Payments'!V207</f>
        <v/>
      </c>
      <c r="E1203" s="46">
        <f>IF(OR(B1203="",C1203="",D1203=""),"",D1203*100000+(C1203-DATE(2000,1,1))+ROW()/100000)</f>
        <v/>
      </c>
      <c r="F1203" s="46">
        <f>IF(E1203="","",IF(C1203&gt;WeekEndDate,"",E1203))</f>
        <v/>
      </c>
    </row>
    <row r="1204">
      <c r="A1204" t="inlineStr">
        <is>
          <t>Payments</t>
        </is>
      </c>
      <c r="B1204" s="46">
        <f>'Payments'!W208</f>
        <v/>
      </c>
      <c r="C1204" s="84">
        <f>'Payments'!U208</f>
        <v/>
      </c>
      <c r="D1204" s="46">
        <f>'Payments'!V208</f>
        <v/>
      </c>
      <c r="E1204" s="46">
        <f>IF(OR(B1204="",C1204="",D1204=""),"",D1204*100000+(C1204-DATE(2000,1,1))+ROW()/100000)</f>
        <v/>
      </c>
      <c r="F1204" s="46">
        <f>IF(E1204="","",IF(C1204&gt;WeekEndDate,"",E1204))</f>
        <v/>
      </c>
    </row>
    <row r="1205">
      <c r="A1205" t="inlineStr">
        <is>
          <t>Payments</t>
        </is>
      </c>
      <c r="B1205" s="46">
        <f>'Payments'!W209</f>
        <v/>
      </c>
      <c r="C1205" s="84">
        <f>'Payments'!U209</f>
        <v/>
      </c>
      <c r="D1205" s="46">
        <f>'Payments'!V209</f>
        <v/>
      </c>
      <c r="E1205" s="46">
        <f>IF(OR(B1205="",C1205="",D1205=""),"",D1205*100000+(C1205-DATE(2000,1,1))+ROW()/100000)</f>
        <v/>
      </c>
      <c r="F1205" s="46">
        <f>IF(E1205="","",IF(C1205&gt;WeekEndDate,"",E1205))</f>
        <v/>
      </c>
    </row>
    <row r="1206">
      <c r="A1206" t="inlineStr">
        <is>
          <t>Payments</t>
        </is>
      </c>
      <c r="B1206" s="46">
        <f>'Payments'!W210</f>
        <v/>
      </c>
      <c r="C1206" s="84">
        <f>'Payments'!U210</f>
        <v/>
      </c>
      <c r="D1206" s="46">
        <f>'Payments'!V210</f>
        <v/>
      </c>
      <c r="E1206" s="46">
        <f>IF(OR(B1206="",C1206="",D1206=""),"",D1206*100000+(C1206-DATE(2000,1,1))+ROW()/100000)</f>
        <v/>
      </c>
      <c r="F1206" s="46">
        <f>IF(E1206="","",IF(C1206&gt;WeekEndDate,"",E1206))</f>
        <v/>
      </c>
    </row>
    <row r="1207">
      <c r="A1207" t="inlineStr">
        <is>
          <t>Payments</t>
        </is>
      </c>
      <c r="B1207" s="46">
        <f>'Payments'!W211</f>
        <v/>
      </c>
      <c r="C1207" s="84">
        <f>'Payments'!U211</f>
        <v/>
      </c>
      <c r="D1207" s="46">
        <f>'Payments'!V211</f>
        <v/>
      </c>
      <c r="E1207" s="46">
        <f>IF(OR(B1207="",C1207="",D1207=""),"",D1207*100000+(C1207-DATE(2000,1,1))+ROW()/100000)</f>
        <v/>
      </c>
      <c r="F1207" s="46">
        <f>IF(E1207="","",IF(C1207&gt;WeekEndDate,"",E1207))</f>
        <v/>
      </c>
    </row>
    <row r="1208">
      <c r="A1208" t="inlineStr">
        <is>
          <t>Payments</t>
        </is>
      </c>
      <c r="B1208" s="46">
        <f>'Payments'!W212</f>
        <v/>
      </c>
      <c r="C1208" s="84">
        <f>'Payments'!U212</f>
        <v/>
      </c>
      <c r="D1208" s="46">
        <f>'Payments'!V212</f>
        <v/>
      </c>
      <c r="E1208" s="46">
        <f>IF(OR(B1208="",C1208="",D1208=""),"",D1208*100000+(C1208-DATE(2000,1,1))+ROW()/100000)</f>
        <v/>
      </c>
      <c r="F1208" s="46">
        <f>IF(E1208="","",IF(C1208&gt;WeekEndDate,"",E1208))</f>
        <v/>
      </c>
    </row>
    <row r="1209">
      <c r="A1209" t="inlineStr">
        <is>
          <t>Payments</t>
        </is>
      </c>
      <c r="B1209" s="46">
        <f>'Payments'!W213</f>
        <v/>
      </c>
      <c r="C1209" s="84">
        <f>'Payments'!U213</f>
        <v/>
      </c>
      <c r="D1209" s="46">
        <f>'Payments'!V213</f>
        <v/>
      </c>
      <c r="E1209" s="46">
        <f>IF(OR(B1209="",C1209="",D1209=""),"",D1209*100000+(C1209-DATE(2000,1,1))+ROW()/100000)</f>
        <v/>
      </c>
      <c r="F1209" s="46">
        <f>IF(E1209="","",IF(C1209&gt;WeekEndDate,"",E1209))</f>
        <v/>
      </c>
    </row>
    <row r="1210">
      <c r="A1210" t="inlineStr">
        <is>
          <t>Payments</t>
        </is>
      </c>
      <c r="B1210" s="46">
        <f>'Payments'!W214</f>
        <v/>
      </c>
      <c r="C1210" s="84">
        <f>'Payments'!U214</f>
        <v/>
      </c>
      <c r="D1210" s="46">
        <f>'Payments'!V214</f>
        <v/>
      </c>
      <c r="E1210" s="46">
        <f>IF(OR(B1210="",C1210="",D1210=""),"",D1210*100000+(C1210-DATE(2000,1,1))+ROW()/100000)</f>
        <v/>
      </c>
      <c r="F1210" s="46">
        <f>IF(E1210="","",IF(C1210&gt;WeekEndDate,"",E1210))</f>
        <v/>
      </c>
    </row>
    <row r="1211">
      <c r="A1211" t="inlineStr">
        <is>
          <t>Payments</t>
        </is>
      </c>
      <c r="B1211" s="46">
        <f>'Payments'!W215</f>
        <v/>
      </c>
      <c r="C1211" s="84">
        <f>'Payments'!U215</f>
        <v/>
      </c>
      <c r="D1211" s="46">
        <f>'Payments'!V215</f>
        <v/>
      </c>
      <c r="E1211" s="46">
        <f>IF(OR(B1211="",C1211="",D1211=""),"",D1211*100000+(C1211-DATE(2000,1,1))+ROW()/100000)</f>
        <v/>
      </c>
      <c r="F1211" s="46">
        <f>IF(E1211="","",IF(C1211&gt;WeekEndDate,"",E1211))</f>
        <v/>
      </c>
    </row>
    <row r="1212">
      <c r="A1212" t="inlineStr">
        <is>
          <t>Payments</t>
        </is>
      </c>
      <c r="B1212" s="46">
        <f>'Payments'!W216</f>
        <v/>
      </c>
      <c r="C1212" s="84">
        <f>'Payments'!U216</f>
        <v/>
      </c>
      <c r="D1212" s="46">
        <f>'Payments'!V216</f>
        <v/>
      </c>
      <c r="E1212" s="46">
        <f>IF(OR(B1212="",C1212="",D1212=""),"",D1212*100000+(C1212-DATE(2000,1,1))+ROW()/100000)</f>
        <v/>
      </c>
      <c r="F1212" s="46">
        <f>IF(E1212="","",IF(C1212&gt;WeekEndDate,"",E1212))</f>
        <v/>
      </c>
    </row>
    <row r="1213">
      <c r="A1213" t="inlineStr">
        <is>
          <t>Payments</t>
        </is>
      </c>
      <c r="B1213" s="46">
        <f>'Payments'!W217</f>
        <v/>
      </c>
      <c r="C1213" s="84">
        <f>'Payments'!U217</f>
        <v/>
      </c>
      <c r="D1213" s="46">
        <f>'Payments'!V217</f>
        <v/>
      </c>
      <c r="E1213" s="46">
        <f>IF(OR(B1213="",C1213="",D1213=""),"",D1213*100000+(C1213-DATE(2000,1,1))+ROW()/100000)</f>
        <v/>
      </c>
      <c r="F1213" s="46">
        <f>IF(E1213="","",IF(C1213&gt;WeekEndDate,"",E1213))</f>
        <v/>
      </c>
    </row>
    <row r="1214">
      <c r="A1214" t="inlineStr">
        <is>
          <t>Payments</t>
        </is>
      </c>
      <c r="B1214" s="46">
        <f>'Payments'!W218</f>
        <v/>
      </c>
      <c r="C1214" s="84">
        <f>'Payments'!U218</f>
        <v/>
      </c>
      <c r="D1214" s="46">
        <f>'Payments'!V218</f>
        <v/>
      </c>
      <c r="E1214" s="46">
        <f>IF(OR(B1214="",C1214="",D1214=""),"",D1214*100000+(C1214-DATE(2000,1,1))+ROW()/100000)</f>
        <v/>
      </c>
      <c r="F1214" s="46">
        <f>IF(E1214="","",IF(C1214&gt;WeekEndDate,"",E1214))</f>
        <v/>
      </c>
    </row>
    <row r="1215">
      <c r="A1215" t="inlineStr">
        <is>
          <t>Payments</t>
        </is>
      </c>
      <c r="B1215" s="46">
        <f>'Payments'!W219</f>
        <v/>
      </c>
      <c r="C1215" s="84">
        <f>'Payments'!U219</f>
        <v/>
      </c>
      <c r="D1215" s="46">
        <f>'Payments'!V219</f>
        <v/>
      </c>
      <c r="E1215" s="46">
        <f>IF(OR(B1215="",C1215="",D1215=""),"",D1215*100000+(C1215-DATE(2000,1,1))+ROW()/100000)</f>
        <v/>
      </c>
      <c r="F1215" s="46">
        <f>IF(E1215="","",IF(C1215&gt;WeekEndDate,"",E1215))</f>
        <v/>
      </c>
    </row>
    <row r="1216">
      <c r="A1216" t="inlineStr">
        <is>
          <t>Payments</t>
        </is>
      </c>
      <c r="B1216" s="46">
        <f>'Payments'!W220</f>
        <v/>
      </c>
      <c r="C1216" s="84">
        <f>'Payments'!U220</f>
        <v/>
      </c>
      <c r="D1216" s="46">
        <f>'Payments'!V220</f>
        <v/>
      </c>
      <c r="E1216" s="46">
        <f>IF(OR(B1216="",C1216="",D1216=""),"",D1216*100000+(C1216-DATE(2000,1,1))+ROW()/100000)</f>
        <v/>
      </c>
      <c r="F1216" s="46">
        <f>IF(E1216="","",IF(C1216&gt;WeekEndDate,"",E1216))</f>
        <v/>
      </c>
    </row>
    <row r="1217">
      <c r="A1217" t="inlineStr">
        <is>
          <t>Payments</t>
        </is>
      </c>
      <c r="B1217" s="46">
        <f>'Payments'!W221</f>
        <v/>
      </c>
      <c r="C1217" s="84">
        <f>'Payments'!U221</f>
        <v/>
      </c>
      <c r="D1217" s="46">
        <f>'Payments'!V221</f>
        <v/>
      </c>
      <c r="E1217" s="46">
        <f>IF(OR(B1217="",C1217="",D1217=""),"",D1217*100000+(C1217-DATE(2000,1,1))+ROW()/100000)</f>
        <v/>
      </c>
      <c r="F1217" s="46">
        <f>IF(E1217="","",IF(C1217&gt;WeekEndDate,"",E1217))</f>
        <v/>
      </c>
    </row>
    <row r="1218">
      <c r="A1218" t="inlineStr">
        <is>
          <t>Payments</t>
        </is>
      </c>
      <c r="B1218" s="46">
        <f>'Payments'!W222</f>
        <v/>
      </c>
      <c r="C1218" s="84">
        <f>'Payments'!U222</f>
        <v/>
      </c>
      <c r="D1218" s="46">
        <f>'Payments'!V222</f>
        <v/>
      </c>
      <c r="E1218" s="46">
        <f>IF(OR(B1218="",C1218="",D1218=""),"",D1218*100000+(C1218-DATE(2000,1,1))+ROW()/100000)</f>
        <v/>
      </c>
      <c r="F1218" s="46">
        <f>IF(E1218="","",IF(C1218&gt;WeekEndDate,"",E1218))</f>
        <v/>
      </c>
    </row>
    <row r="1219">
      <c r="A1219" t="inlineStr">
        <is>
          <t>Payments</t>
        </is>
      </c>
      <c r="B1219" s="46">
        <f>'Payments'!W223</f>
        <v/>
      </c>
      <c r="C1219" s="84">
        <f>'Payments'!U223</f>
        <v/>
      </c>
      <c r="D1219" s="46">
        <f>'Payments'!V223</f>
        <v/>
      </c>
      <c r="E1219" s="46">
        <f>IF(OR(B1219="",C1219="",D1219=""),"",D1219*100000+(C1219-DATE(2000,1,1))+ROW()/100000)</f>
        <v/>
      </c>
      <c r="F1219" s="46">
        <f>IF(E1219="","",IF(C1219&gt;WeekEndDate,"",E1219))</f>
        <v/>
      </c>
    </row>
    <row r="1220">
      <c r="A1220" t="inlineStr">
        <is>
          <t>Payments</t>
        </is>
      </c>
      <c r="B1220" s="46">
        <f>'Payments'!W224</f>
        <v/>
      </c>
      <c r="C1220" s="84">
        <f>'Payments'!U224</f>
        <v/>
      </c>
      <c r="D1220" s="46">
        <f>'Payments'!V224</f>
        <v/>
      </c>
      <c r="E1220" s="46">
        <f>IF(OR(B1220="",C1220="",D1220=""),"",D1220*100000+(C1220-DATE(2000,1,1))+ROW()/100000)</f>
        <v/>
      </c>
      <c r="F1220" s="46">
        <f>IF(E1220="","",IF(C1220&gt;WeekEndDate,"",E1220))</f>
        <v/>
      </c>
    </row>
    <row r="1221">
      <c r="A1221" t="inlineStr">
        <is>
          <t>Payments</t>
        </is>
      </c>
      <c r="B1221" s="46">
        <f>'Payments'!W225</f>
        <v/>
      </c>
      <c r="C1221" s="84">
        <f>'Payments'!U225</f>
        <v/>
      </c>
      <c r="D1221" s="46">
        <f>'Payments'!V225</f>
        <v/>
      </c>
      <c r="E1221" s="46">
        <f>IF(OR(B1221="",C1221="",D1221=""),"",D1221*100000+(C1221-DATE(2000,1,1))+ROW()/100000)</f>
        <v/>
      </c>
      <c r="F1221" s="46">
        <f>IF(E1221="","",IF(C1221&gt;WeekEndDate,"",E1221))</f>
        <v/>
      </c>
    </row>
    <row r="1222">
      <c r="A1222" t="inlineStr">
        <is>
          <t>Payments</t>
        </is>
      </c>
      <c r="B1222" s="46">
        <f>'Payments'!W226</f>
        <v/>
      </c>
      <c r="C1222" s="84">
        <f>'Payments'!U226</f>
        <v/>
      </c>
      <c r="D1222" s="46">
        <f>'Payments'!V226</f>
        <v/>
      </c>
      <c r="E1222" s="46">
        <f>IF(OR(B1222="",C1222="",D1222=""),"",D1222*100000+(C1222-DATE(2000,1,1))+ROW()/100000)</f>
        <v/>
      </c>
      <c r="F1222" s="46">
        <f>IF(E1222="","",IF(C1222&gt;WeekEndDate,"",E1222))</f>
        <v/>
      </c>
    </row>
    <row r="1223">
      <c r="A1223" t="inlineStr">
        <is>
          <t>Payments</t>
        </is>
      </c>
      <c r="B1223" s="46">
        <f>'Payments'!W227</f>
        <v/>
      </c>
      <c r="C1223" s="84">
        <f>'Payments'!U227</f>
        <v/>
      </c>
      <c r="D1223" s="46">
        <f>'Payments'!V227</f>
        <v/>
      </c>
      <c r="E1223" s="46">
        <f>IF(OR(B1223="",C1223="",D1223=""),"",D1223*100000+(C1223-DATE(2000,1,1))+ROW()/100000)</f>
        <v/>
      </c>
      <c r="F1223" s="46">
        <f>IF(E1223="","",IF(C1223&gt;WeekEndDate,"",E1223))</f>
        <v/>
      </c>
    </row>
    <row r="1224">
      <c r="A1224" t="inlineStr">
        <is>
          <t>Payments</t>
        </is>
      </c>
      <c r="B1224" s="46">
        <f>'Payments'!W228</f>
        <v/>
      </c>
      <c r="C1224" s="84">
        <f>'Payments'!U228</f>
        <v/>
      </c>
      <c r="D1224" s="46">
        <f>'Payments'!V228</f>
        <v/>
      </c>
      <c r="E1224" s="46">
        <f>IF(OR(B1224="",C1224="",D1224=""),"",D1224*100000+(C1224-DATE(2000,1,1))+ROW()/100000)</f>
        <v/>
      </c>
      <c r="F1224" s="46">
        <f>IF(E1224="","",IF(C1224&gt;WeekEndDate,"",E1224))</f>
        <v/>
      </c>
    </row>
    <row r="1225">
      <c r="A1225" t="inlineStr">
        <is>
          <t>Payments</t>
        </is>
      </c>
      <c r="B1225" s="46">
        <f>'Payments'!W229</f>
        <v/>
      </c>
      <c r="C1225" s="84">
        <f>'Payments'!U229</f>
        <v/>
      </c>
      <c r="D1225" s="46">
        <f>'Payments'!V229</f>
        <v/>
      </c>
      <c r="E1225" s="46">
        <f>IF(OR(B1225="",C1225="",D1225=""),"",D1225*100000+(C1225-DATE(2000,1,1))+ROW()/100000)</f>
        <v/>
      </c>
      <c r="F1225" s="46">
        <f>IF(E1225="","",IF(C1225&gt;WeekEndDate,"",E1225))</f>
        <v/>
      </c>
    </row>
    <row r="1226">
      <c r="A1226" t="inlineStr">
        <is>
          <t>Payments</t>
        </is>
      </c>
      <c r="B1226" s="46">
        <f>'Payments'!W230</f>
        <v/>
      </c>
      <c r="C1226" s="84">
        <f>'Payments'!U230</f>
        <v/>
      </c>
      <c r="D1226" s="46">
        <f>'Payments'!V230</f>
        <v/>
      </c>
      <c r="E1226" s="46">
        <f>IF(OR(B1226="",C1226="",D1226=""),"",D1226*100000+(C1226-DATE(2000,1,1))+ROW()/100000)</f>
        <v/>
      </c>
      <c r="F1226" s="46">
        <f>IF(E1226="","",IF(C1226&gt;WeekEndDate,"",E1226))</f>
        <v/>
      </c>
    </row>
    <row r="1227">
      <c r="A1227" t="inlineStr">
        <is>
          <t>Payments</t>
        </is>
      </c>
      <c r="B1227" s="46">
        <f>'Payments'!W231</f>
        <v/>
      </c>
      <c r="C1227" s="84">
        <f>'Payments'!U231</f>
        <v/>
      </c>
      <c r="D1227" s="46">
        <f>'Payments'!V231</f>
        <v/>
      </c>
      <c r="E1227" s="46">
        <f>IF(OR(B1227="",C1227="",D1227=""),"",D1227*100000+(C1227-DATE(2000,1,1))+ROW()/100000)</f>
        <v/>
      </c>
      <c r="F1227" s="46">
        <f>IF(E1227="","",IF(C1227&gt;WeekEndDate,"",E1227))</f>
        <v/>
      </c>
    </row>
    <row r="1228">
      <c r="A1228" t="inlineStr">
        <is>
          <t>Payments</t>
        </is>
      </c>
      <c r="B1228" s="46">
        <f>'Payments'!W232</f>
        <v/>
      </c>
      <c r="C1228" s="84">
        <f>'Payments'!U232</f>
        <v/>
      </c>
      <c r="D1228" s="46">
        <f>'Payments'!V232</f>
        <v/>
      </c>
      <c r="E1228" s="46">
        <f>IF(OR(B1228="",C1228="",D1228=""),"",D1228*100000+(C1228-DATE(2000,1,1))+ROW()/100000)</f>
        <v/>
      </c>
      <c r="F1228" s="46">
        <f>IF(E1228="","",IF(C1228&gt;WeekEndDate,"",E1228))</f>
        <v/>
      </c>
    </row>
    <row r="1229">
      <c r="A1229" t="inlineStr">
        <is>
          <t>Payments</t>
        </is>
      </c>
      <c r="B1229" s="46">
        <f>'Payments'!W233</f>
        <v/>
      </c>
      <c r="C1229" s="84">
        <f>'Payments'!U233</f>
        <v/>
      </c>
      <c r="D1229" s="46">
        <f>'Payments'!V233</f>
        <v/>
      </c>
      <c r="E1229" s="46">
        <f>IF(OR(B1229="",C1229="",D1229=""),"",D1229*100000+(C1229-DATE(2000,1,1))+ROW()/100000)</f>
        <v/>
      </c>
      <c r="F1229" s="46">
        <f>IF(E1229="","",IF(C1229&gt;WeekEndDate,"",E1229))</f>
        <v/>
      </c>
    </row>
    <row r="1230">
      <c r="A1230" t="inlineStr">
        <is>
          <t>Payments</t>
        </is>
      </c>
      <c r="B1230" s="46">
        <f>'Payments'!W234</f>
        <v/>
      </c>
      <c r="C1230" s="84">
        <f>'Payments'!U234</f>
        <v/>
      </c>
      <c r="D1230" s="46">
        <f>'Payments'!V234</f>
        <v/>
      </c>
      <c r="E1230" s="46">
        <f>IF(OR(B1230="",C1230="",D1230=""),"",D1230*100000+(C1230-DATE(2000,1,1))+ROW()/100000)</f>
        <v/>
      </c>
      <c r="F1230" s="46">
        <f>IF(E1230="","",IF(C1230&gt;WeekEndDate,"",E1230))</f>
        <v/>
      </c>
    </row>
    <row r="1231">
      <c r="A1231" t="inlineStr">
        <is>
          <t>Payments</t>
        </is>
      </c>
      <c r="B1231" s="46">
        <f>'Payments'!W235</f>
        <v/>
      </c>
      <c r="C1231" s="84">
        <f>'Payments'!U235</f>
        <v/>
      </c>
      <c r="D1231" s="46">
        <f>'Payments'!V235</f>
        <v/>
      </c>
      <c r="E1231" s="46">
        <f>IF(OR(B1231="",C1231="",D1231=""),"",D1231*100000+(C1231-DATE(2000,1,1))+ROW()/100000)</f>
        <v/>
      </c>
      <c r="F1231" s="46">
        <f>IF(E1231="","",IF(C1231&gt;WeekEndDate,"",E1231))</f>
        <v/>
      </c>
    </row>
    <row r="1232">
      <c r="A1232" t="inlineStr">
        <is>
          <t>Payments</t>
        </is>
      </c>
      <c r="B1232" s="46">
        <f>'Payments'!W236</f>
        <v/>
      </c>
      <c r="C1232" s="84">
        <f>'Payments'!U236</f>
        <v/>
      </c>
      <c r="D1232" s="46">
        <f>'Payments'!V236</f>
        <v/>
      </c>
      <c r="E1232" s="46">
        <f>IF(OR(B1232="",C1232="",D1232=""),"",D1232*100000+(C1232-DATE(2000,1,1))+ROW()/100000)</f>
        <v/>
      </c>
      <c r="F1232" s="46">
        <f>IF(E1232="","",IF(C1232&gt;WeekEndDate,"",E1232))</f>
        <v/>
      </c>
    </row>
    <row r="1233">
      <c r="A1233" t="inlineStr">
        <is>
          <t>Payments</t>
        </is>
      </c>
      <c r="B1233" s="46">
        <f>'Payments'!W237</f>
        <v/>
      </c>
      <c r="C1233" s="84">
        <f>'Payments'!U237</f>
        <v/>
      </c>
      <c r="D1233" s="46">
        <f>'Payments'!V237</f>
        <v/>
      </c>
      <c r="E1233" s="46">
        <f>IF(OR(B1233="",C1233="",D1233=""),"",D1233*100000+(C1233-DATE(2000,1,1))+ROW()/100000)</f>
        <v/>
      </c>
      <c r="F1233" s="46">
        <f>IF(E1233="","",IF(C1233&gt;WeekEndDate,"",E1233))</f>
        <v/>
      </c>
    </row>
    <row r="1234">
      <c r="A1234" t="inlineStr">
        <is>
          <t>Payments</t>
        </is>
      </c>
      <c r="B1234" s="46">
        <f>'Payments'!W238</f>
        <v/>
      </c>
      <c r="C1234" s="84">
        <f>'Payments'!U238</f>
        <v/>
      </c>
      <c r="D1234" s="46">
        <f>'Payments'!V238</f>
        <v/>
      </c>
      <c r="E1234" s="46">
        <f>IF(OR(B1234="",C1234="",D1234=""),"",D1234*100000+(C1234-DATE(2000,1,1))+ROW()/100000)</f>
        <v/>
      </c>
      <c r="F1234" s="46">
        <f>IF(E1234="","",IF(C1234&gt;WeekEndDate,"",E1234))</f>
        <v/>
      </c>
    </row>
    <row r="1235">
      <c r="A1235" t="inlineStr">
        <is>
          <t>Payments</t>
        </is>
      </c>
      <c r="B1235" s="46">
        <f>'Payments'!W239</f>
        <v/>
      </c>
      <c r="C1235" s="84">
        <f>'Payments'!U239</f>
        <v/>
      </c>
      <c r="D1235" s="46">
        <f>'Payments'!V239</f>
        <v/>
      </c>
      <c r="E1235" s="46">
        <f>IF(OR(B1235="",C1235="",D1235=""),"",D1235*100000+(C1235-DATE(2000,1,1))+ROW()/100000)</f>
        <v/>
      </c>
      <c r="F1235" s="46">
        <f>IF(E1235="","",IF(C1235&gt;WeekEndDate,"",E1235))</f>
        <v/>
      </c>
    </row>
    <row r="1236">
      <c r="A1236" t="inlineStr">
        <is>
          <t>Payments</t>
        </is>
      </c>
      <c r="B1236" s="46">
        <f>'Payments'!W240</f>
        <v/>
      </c>
      <c r="C1236" s="84">
        <f>'Payments'!U240</f>
        <v/>
      </c>
      <c r="D1236" s="46">
        <f>'Payments'!V240</f>
        <v/>
      </c>
      <c r="E1236" s="46">
        <f>IF(OR(B1236="",C1236="",D1236=""),"",D1236*100000+(C1236-DATE(2000,1,1))+ROW()/100000)</f>
        <v/>
      </c>
      <c r="F1236" s="46">
        <f>IF(E1236="","",IF(C1236&gt;WeekEndDate,"",E1236))</f>
        <v/>
      </c>
    </row>
    <row r="1237">
      <c r="A1237" t="inlineStr">
        <is>
          <t>Payments</t>
        </is>
      </c>
      <c r="B1237" s="46">
        <f>'Payments'!W241</f>
        <v/>
      </c>
      <c r="C1237" s="84">
        <f>'Payments'!U241</f>
        <v/>
      </c>
      <c r="D1237" s="46">
        <f>'Payments'!V241</f>
        <v/>
      </c>
      <c r="E1237" s="46">
        <f>IF(OR(B1237="",C1237="",D1237=""),"",D1237*100000+(C1237-DATE(2000,1,1))+ROW()/100000)</f>
        <v/>
      </c>
      <c r="F1237" s="46">
        <f>IF(E1237="","",IF(C1237&gt;WeekEndDate,"",E1237))</f>
        <v/>
      </c>
    </row>
    <row r="1238">
      <c r="A1238" t="inlineStr">
        <is>
          <t>Payments</t>
        </is>
      </c>
      <c r="B1238" s="46">
        <f>'Payments'!W242</f>
        <v/>
      </c>
      <c r="C1238" s="84">
        <f>'Payments'!U242</f>
        <v/>
      </c>
      <c r="D1238" s="46">
        <f>'Payments'!V242</f>
        <v/>
      </c>
      <c r="E1238" s="46">
        <f>IF(OR(B1238="",C1238="",D1238=""),"",D1238*100000+(C1238-DATE(2000,1,1))+ROW()/100000)</f>
        <v/>
      </c>
      <c r="F1238" s="46">
        <f>IF(E1238="","",IF(C1238&gt;WeekEndDate,"",E1238))</f>
        <v/>
      </c>
    </row>
    <row r="1239">
      <c r="A1239" t="inlineStr">
        <is>
          <t>Payments</t>
        </is>
      </c>
      <c r="B1239" s="46">
        <f>'Payments'!W243</f>
        <v/>
      </c>
      <c r="C1239" s="84">
        <f>'Payments'!U243</f>
        <v/>
      </c>
      <c r="D1239" s="46">
        <f>'Payments'!V243</f>
        <v/>
      </c>
      <c r="E1239" s="46">
        <f>IF(OR(B1239="",C1239="",D1239=""),"",D1239*100000+(C1239-DATE(2000,1,1))+ROW()/100000)</f>
        <v/>
      </c>
      <c r="F1239" s="46">
        <f>IF(E1239="","",IF(C1239&gt;WeekEndDate,"",E1239))</f>
        <v/>
      </c>
    </row>
    <row r="1240">
      <c r="A1240" t="inlineStr">
        <is>
          <t>Payments</t>
        </is>
      </c>
      <c r="B1240" s="46">
        <f>'Payments'!W244</f>
        <v/>
      </c>
      <c r="C1240" s="84">
        <f>'Payments'!U244</f>
        <v/>
      </c>
      <c r="D1240" s="46">
        <f>'Payments'!V244</f>
        <v/>
      </c>
      <c r="E1240" s="46">
        <f>IF(OR(B1240="",C1240="",D1240=""),"",D1240*100000+(C1240-DATE(2000,1,1))+ROW()/100000)</f>
        <v/>
      </c>
      <c r="F1240" s="46">
        <f>IF(E1240="","",IF(C1240&gt;WeekEndDate,"",E1240))</f>
        <v/>
      </c>
    </row>
    <row r="1241">
      <c r="A1241" t="inlineStr">
        <is>
          <t>Payments</t>
        </is>
      </c>
      <c r="B1241" s="46">
        <f>'Payments'!W245</f>
        <v/>
      </c>
      <c r="C1241" s="84">
        <f>'Payments'!U245</f>
        <v/>
      </c>
      <c r="D1241" s="46">
        <f>'Payments'!V245</f>
        <v/>
      </c>
      <c r="E1241" s="46">
        <f>IF(OR(B1241="",C1241="",D1241=""),"",D1241*100000+(C1241-DATE(2000,1,1))+ROW()/100000)</f>
        <v/>
      </c>
      <c r="F1241" s="46">
        <f>IF(E1241="","",IF(C1241&gt;WeekEndDate,"",E1241))</f>
        <v/>
      </c>
    </row>
    <row r="1242">
      <c r="A1242" t="inlineStr">
        <is>
          <t>Payments</t>
        </is>
      </c>
      <c r="B1242" s="46">
        <f>'Payments'!W246</f>
        <v/>
      </c>
      <c r="C1242" s="84">
        <f>'Payments'!U246</f>
        <v/>
      </c>
      <c r="D1242" s="46">
        <f>'Payments'!V246</f>
        <v/>
      </c>
      <c r="E1242" s="46">
        <f>IF(OR(B1242="",C1242="",D1242=""),"",D1242*100000+(C1242-DATE(2000,1,1))+ROW()/100000)</f>
        <v/>
      </c>
      <c r="F1242" s="46">
        <f>IF(E1242="","",IF(C1242&gt;WeekEndDate,"",E1242))</f>
        <v/>
      </c>
    </row>
    <row r="1243">
      <c r="A1243" t="inlineStr">
        <is>
          <t>Payments</t>
        </is>
      </c>
      <c r="B1243" s="46">
        <f>'Payments'!W247</f>
        <v/>
      </c>
      <c r="C1243" s="84">
        <f>'Payments'!U247</f>
        <v/>
      </c>
      <c r="D1243" s="46">
        <f>'Payments'!V247</f>
        <v/>
      </c>
      <c r="E1243" s="46">
        <f>IF(OR(B1243="",C1243="",D1243=""),"",D1243*100000+(C1243-DATE(2000,1,1))+ROW()/100000)</f>
        <v/>
      </c>
      <c r="F1243" s="46">
        <f>IF(E1243="","",IF(C1243&gt;WeekEndDate,"",E1243))</f>
        <v/>
      </c>
    </row>
    <row r="1244">
      <c r="A1244" t="inlineStr">
        <is>
          <t>Payments</t>
        </is>
      </c>
      <c r="B1244" s="46">
        <f>'Payments'!W248</f>
        <v/>
      </c>
      <c r="C1244" s="84">
        <f>'Payments'!U248</f>
        <v/>
      </c>
      <c r="D1244" s="46">
        <f>'Payments'!V248</f>
        <v/>
      </c>
      <c r="E1244" s="46">
        <f>IF(OR(B1244="",C1244="",D1244=""),"",D1244*100000+(C1244-DATE(2000,1,1))+ROW()/100000)</f>
        <v/>
      </c>
      <c r="F1244" s="46">
        <f>IF(E1244="","",IF(C1244&gt;WeekEndDate,"",E1244))</f>
        <v/>
      </c>
    </row>
    <row r="1245">
      <c r="A1245" t="inlineStr">
        <is>
          <t>Payments</t>
        </is>
      </c>
      <c r="B1245" s="46">
        <f>'Payments'!W249</f>
        <v/>
      </c>
      <c r="C1245" s="84">
        <f>'Payments'!U249</f>
        <v/>
      </c>
      <c r="D1245" s="46">
        <f>'Payments'!V249</f>
        <v/>
      </c>
      <c r="E1245" s="46">
        <f>IF(OR(B1245="",C1245="",D1245=""),"",D1245*100000+(C1245-DATE(2000,1,1))+ROW()/100000)</f>
        <v/>
      </c>
      <c r="F1245" s="46">
        <f>IF(E1245="","",IF(C1245&gt;WeekEndDate,"",E1245))</f>
        <v/>
      </c>
    </row>
    <row r="1246">
      <c r="A1246" t="inlineStr">
        <is>
          <t>Payments</t>
        </is>
      </c>
      <c r="B1246" s="46">
        <f>'Payments'!W250</f>
        <v/>
      </c>
      <c r="C1246" s="84">
        <f>'Payments'!U250</f>
        <v/>
      </c>
      <c r="D1246" s="46">
        <f>'Payments'!V250</f>
        <v/>
      </c>
      <c r="E1246" s="46">
        <f>IF(OR(B1246="",C1246="",D1246=""),"",D1246*100000+(C1246-DATE(2000,1,1))+ROW()/100000)</f>
        <v/>
      </c>
      <c r="F1246" s="46">
        <f>IF(E1246="","",IF(C1246&gt;WeekEndDate,"",E1246))</f>
        <v/>
      </c>
    </row>
    <row r="1247">
      <c r="A1247" t="inlineStr">
        <is>
          <t>Payments</t>
        </is>
      </c>
      <c r="B1247" s="46">
        <f>'Payments'!W251</f>
        <v/>
      </c>
      <c r="C1247" s="84">
        <f>'Payments'!U251</f>
        <v/>
      </c>
      <c r="D1247" s="46">
        <f>'Payments'!V251</f>
        <v/>
      </c>
      <c r="E1247" s="46">
        <f>IF(OR(B1247="",C1247="",D1247=""),"",D1247*100000+(C1247-DATE(2000,1,1))+ROW()/100000)</f>
        <v/>
      </c>
      <c r="F1247" s="46">
        <f>IF(E1247="","",IF(C1247&gt;WeekEndDate,"",E1247))</f>
        <v/>
      </c>
    </row>
    <row r="1248">
      <c r="A1248" t="inlineStr">
        <is>
          <t>Payments</t>
        </is>
      </c>
      <c r="B1248" s="46">
        <f>'Payments'!W252</f>
        <v/>
      </c>
      <c r="C1248" s="84">
        <f>'Payments'!U252</f>
        <v/>
      </c>
      <c r="D1248" s="46">
        <f>'Payments'!V252</f>
        <v/>
      </c>
      <c r="E1248" s="46">
        <f>IF(OR(B1248="",C1248="",D1248=""),"",D1248*100000+(C1248-DATE(2000,1,1))+ROW()/100000)</f>
        <v/>
      </c>
      <c r="F1248" s="46">
        <f>IF(E1248="","",IF(C1248&gt;WeekEndDate,"",E1248))</f>
        <v/>
      </c>
    </row>
    <row r="1249">
      <c r="A1249" t="inlineStr">
        <is>
          <t>Payments</t>
        </is>
      </c>
      <c r="B1249" s="46">
        <f>'Payments'!W253</f>
        <v/>
      </c>
      <c r="C1249" s="84">
        <f>'Payments'!U253</f>
        <v/>
      </c>
      <c r="D1249" s="46">
        <f>'Payments'!V253</f>
        <v/>
      </c>
      <c r="E1249" s="46">
        <f>IF(OR(B1249="",C1249="",D1249=""),"",D1249*100000+(C1249-DATE(2000,1,1))+ROW()/100000)</f>
        <v/>
      </c>
      <c r="F1249" s="46">
        <f>IF(E1249="","",IF(C1249&gt;WeekEndDate,"",E1249))</f>
        <v/>
      </c>
    </row>
    <row r="1250">
      <c r="A1250" t="inlineStr">
        <is>
          <t>Payments</t>
        </is>
      </c>
      <c r="B1250" s="46">
        <f>'Payments'!W254</f>
        <v/>
      </c>
      <c r="C1250" s="84">
        <f>'Payments'!U254</f>
        <v/>
      </c>
      <c r="D1250" s="46">
        <f>'Payments'!V254</f>
        <v/>
      </c>
      <c r="E1250" s="46">
        <f>IF(OR(B1250="",C1250="",D1250=""),"",D1250*100000+(C1250-DATE(2000,1,1))+ROW()/100000)</f>
        <v/>
      </c>
      <c r="F1250" s="46">
        <f>IF(E1250="","",IF(C1250&gt;WeekEndDate,"",E1250))</f>
        <v/>
      </c>
    </row>
    <row r="1251">
      <c r="A1251" t="inlineStr">
        <is>
          <t>Payments</t>
        </is>
      </c>
      <c r="B1251" s="46">
        <f>'Payments'!W255</f>
        <v/>
      </c>
      <c r="C1251" s="84">
        <f>'Payments'!U255</f>
        <v/>
      </c>
      <c r="D1251" s="46">
        <f>'Payments'!V255</f>
        <v/>
      </c>
      <c r="E1251" s="46">
        <f>IF(OR(B1251="",C1251="",D1251=""),"",D1251*100000+(C1251-DATE(2000,1,1))+ROW()/100000)</f>
        <v/>
      </c>
      <c r="F1251" s="46">
        <f>IF(E1251="","",IF(C1251&gt;WeekEndDate,"",E1251))</f>
        <v/>
      </c>
    </row>
    <row r="1252">
      <c r="A1252" t="inlineStr">
        <is>
          <t>Payments</t>
        </is>
      </c>
      <c r="B1252" s="46">
        <f>'Payments'!W256</f>
        <v/>
      </c>
      <c r="C1252" s="84">
        <f>'Payments'!U256</f>
        <v/>
      </c>
      <c r="D1252" s="46">
        <f>'Payments'!V256</f>
        <v/>
      </c>
      <c r="E1252" s="46">
        <f>IF(OR(B1252="",C1252="",D1252=""),"",D1252*100000+(C1252-DATE(2000,1,1))+ROW()/100000)</f>
        <v/>
      </c>
      <c r="F1252" s="46">
        <f>IF(E1252="","",IF(C1252&gt;WeekEndDate,"",E1252))</f>
        <v/>
      </c>
    </row>
    <row r="1253">
      <c r="A1253" t="inlineStr">
        <is>
          <t>Payments</t>
        </is>
      </c>
      <c r="B1253" s="46">
        <f>'Payments'!W257</f>
        <v/>
      </c>
      <c r="C1253" s="84">
        <f>'Payments'!U257</f>
        <v/>
      </c>
      <c r="D1253" s="46">
        <f>'Payments'!V257</f>
        <v/>
      </c>
      <c r="E1253" s="46">
        <f>IF(OR(B1253="",C1253="",D1253=""),"",D1253*100000+(C1253-DATE(2000,1,1))+ROW()/100000)</f>
        <v/>
      </c>
      <c r="F1253" s="46">
        <f>IF(E1253="","",IF(C1253&gt;WeekEndDate,"",E1253))</f>
        <v/>
      </c>
    </row>
    <row r="1254">
      <c r="A1254" t="inlineStr">
        <is>
          <t>Payments</t>
        </is>
      </c>
      <c r="B1254" s="46">
        <f>'Payments'!W258</f>
        <v/>
      </c>
      <c r="C1254" s="84">
        <f>'Payments'!U258</f>
        <v/>
      </c>
      <c r="D1254" s="46">
        <f>'Payments'!V258</f>
        <v/>
      </c>
      <c r="E1254" s="46">
        <f>IF(OR(B1254="",C1254="",D1254=""),"",D1254*100000+(C1254-DATE(2000,1,1))+ROW()/100000)</f>
        <v/>
      </c>
      <c r="F1254" s="46">
        <f>IF(E1254="","",IF(C1254&gt;WeekEndDate,"",E1254))</f>
        <v/>
      </c>
    </row>
    <row r="1255">
      <c r="A1255" t="inlineStr">
        <is>
          <t>Payments</t>
        </is>
      </c>
      <c r="B1255" s="46">
        <f>'Payments'!W259</f>
        <v/>
      </c>
      <c r="C1255" s="84">
        <f>'Payments'!U259</f>
        <v/>
      </c>
      <c r="D1255" s="46">
        <f>'Payments'!V259</f>
        <v/>
      </c>
      <c r="E1255" s="46">
        <f>IF(OR(B1255="",C1255="",D1255=""),"",D1255*100000+(C1255-DATE(2000,1,1))+ROW()/100000)</f>
        <v/>
      </c>
      <c r="F1255" s="46">
        <f>IF(E1255="","",IF(C1255&gt;WeekEndDate,"",E1255))</f>
        <v/>
      </c>
    </row>
    <row r="1256">
      <c r="A1256" t="inlineStr">
        <is>
          <t>Payments</t>
        </is>
      </c>
      <c r="B1256" s="46">
        <f>'Payments'!W260</f>
        <v/>
      </c>
      <c r="C1256" s="84">
        <f>'Payments'!U260</f>
        <v/>
      </c>
      <c r="D1256" s="46">
        <f>'Payments'!V260</f>
        <v/>
      </c>
      <c r="E1256" s="46">
        <f>IF(OR(B1256="",C1256="",D1256=""),"",D1256*100000+(C1256-DATE(2000,1,1))+ROW()/100000)</f>
        <v/>
      </c>
      <c r="F1256" s="46">
        <f>IF(E1256="","",IF(C1256&gt;WeekEndDate,"",E1256))</f>
        <v/>
      </c>
    </row>
    <row r="1257">
      <c r="A1257" t="inlineStr">
        <is>
          <t>Payments</t>
        </is>
      </c>
      <c r="B1257" s="46">
        <f>'Payments'!W261</f>
        <v/>
      </c>
      <c r="C1257" s="84">
        <f>'Payments'!U261</f>
        <v/>
      </c>
      <c r="D1257" s="46">
        <f>'Payments'!V261</f>
        <v/>
      </c>
      <c r="E1257" s="46">
        <f>IF(OR(B1257="",C1257="",D1257=""),"",D1257*100000+(C1257-DATE(2000,1,1))+ROW()/100000)</f>
        <v/>
      </c>
      <c r="F1257" s="46">
        <f>IF(E1257="","",IF(C1257&gt;WeekEndDate,"",E1257))</f>
        <v/>
      </c>
    </row>
    <row r="1258">
      <c r="A1258" t="inlineStr">
        <is>
          <t>Payments</t>
        </is>
      </c>
      <c r="B1258" s="46">
        <f>'Payments'!W262</f>
        <v/>
      </c>
      <c r="C1258" s="84">
        <f>'Payments'!U262</f>
        <v/>
      </c>
      <c r="D1258" s="46">
        <f>'Payments'!V262</f>
        <v/>
      </c>
      <c r="E1258" s="46">
        <f>IF(OR(B1258="",C1258="",D1258=""),"",D1258*100000+(C1258-DATE(2000,1,1))+ROW()/100000)</f>
        <v/>
      </c>
      <c r="F1258" s="46">
        <f>IF(E1258="","",IF(C1258&gt;WeekEndDate,"",E1258))</f>
        <v/>
      </c>
    </row>
    <row r="1259">
      <c r="A1259" t="inlineStr">
        <is>
          <t>Payments</t>
        </is>
      </c>
      <c r="B1259" s="46">
        <f>'Payments'!W263</f>
        <v/>
      </c>
      <c r="C1259" s="84">
        <f>'Payments'!U263</f>
        <v/>
      </c>
      <c r="D1259" s="46">
        <f>'Payments'!V263</f>
        <v/>
      </c>
      <c r="E1259" s="46">
        <f>IF(OR(B1259="",C1259="",D1259=""),"",D1259*100000+(C1259-DATE(2000,1,1))+ROW()/100000)</f>
        <v/>
      </c>
      <c r="F1259" s="46">
        <f>IF(E1259="","",IF(C1259&gt;WeekEndDate,"",E1259))</f>
        <v/>
      </c>
    </row>
    <row r="1260">
      <c r="A1260" t="inlineStr">
        <is>
          <t>Payments</t>
        </is>
      </c>
      <c r="B1260" s="46">
        <f>'Payments'!W264</f>
        <v/>
      </c>
      <c r="C1260" s="84">
        <f>'Payments'!U264</f>
        <v/>
      </c>
      <c r="D1260" s="46">
        <f>'Payments'!V264</f>
        <v/>
      </c>
      <c r="E1260" s="46">
        <f>IF(OR(B1260="",C1260="",D1260=""),"",D1260*100000+(C1260-DATE(2000,1,1))+ROW()/100000)</f>
        <v/>
      </c>
      <c r="F1260" s="46">
        <f>IF(E1260="","",IF(C1260&gt;WeekEndDate,"",E1260))</f>
        <v/>
      </c>
    </row>
    <row r="1261">
      <c r="A1261" t="inlineStr">
        <is>
          <t>Payments</t>
        </is>
      </c>
      <c r="B1261" s="46">
        <f>'Payments'!W265</f>
        <v/>
      </c>
      <c r="C1261" s="84">
        <f>'Payments'!U265</f>
        <v/>
      </c>
      <c r="D1261" s="46">
        <f>'Payments'!V265</f>
        <v/>
      </c>
      <c r="E1261" s="46">
        <f>IF(OR(B1261="",C1261="",D1261=""),"",D1261*100000+(C1261-DATE(2000,1,1))+ROW()/100000)</f>
        <v/>
      </c>
      <c r="F1261" s="46">
        <f>IF(E1261="","",IF(C1261&gt;WeekEndDate,"",E1261))</f>
        <v/>
      </c>
    </row>
    <row r="1262">
      <c r="A1262" t="inlineStr">
        <is>
          <t>Payments</t>
        </is>
      </c>
      <c r="B1262" s="46">
        <f>'Payments'!W266</f>
        <v/>
      </c>
      <c r="C1262" s="84">
        <f>'Payments'!U266</f>
        <v/>
      </c>
      <c r="D1262" s="46">
        <f>'Payments'!V266</f>
        <v/>
      </c>
      <c r="E1262" s="46">
        <f>IF(OR(B1262="",C1262="",D1262=""),"",D1262*100000+(C1262-DATE(2000,1,1))+ROW()/100000)</f>
        <v/>
      </c>
      <c r="F1262" s="46">
        <f>IF(E1262="","",IF(C1262&gt;WeekEndDate,"",E1262))</f>
        <v/>
      </c>
    </row>
    <row r="1263">
      <c r="A1263" t="inlineStr">
        <is>
          <t>Payments</t>
        </is>
      </c>
      <c r="B1263" s="46">
        <f>'Payments'!W267</f>
        <v/>
      </c>
      <c r="C1263" s="84">
        <f>'Payments'!U267</f>
        <v/>
      </c>
      <c r="D1263" s="46">
        <f>'Payments'!V267</f>
        <v/>
      </c>
      <c r="E1263" s="46">
        <f>IF(OR(B1263="",C1263="",D1263=""),"",D1263*100000+(C1263-DATE(2000,1,1))+ROW()/100000)</f>
        <v/>
      </c>
      <c r="F1263" s="46">
        <f>IF(E1263="","",IF(C1263&gt;WeekEndDate,"",E1263))</f>
        <v/>
      </c>
    </row>
    <row r="1264">
      <c r="A1264" t="inlineStr">
        <is>
          <t>Payments</t>
        </is>
      </c>
      <c r="B1264" s="46">
        <f>'Payments'!W268</f>
        <v/>
      </c>
      <c r="C1264" s="84">
        <f>'Payments'!U268</f>
        <v/>
      </c>
      <c r="D1264" s="46">
        <f>'Payments'!V268</f>
        <v/>
      </c>
      <c r="E1264" s="46">
        <f>IF(OR(B1264="",C1264="",D1264=""),"",D1264*100000+(C1264-DATE(2000,1,1))+ROW()/100000)</f>
        <v/>
      </c>
      <c r="F1264" s="46">
        <f>IF(E1264="","",IF(C1264&gt;WeekEndDate,"",E1264))</f>
        <v/>
      </c>
    </row>
    <row r="1265">
      <c r="A1265" t="inlineStr">
        <is>
          <t>Payments</t>
        </is>
      </c>
      <c r="B1265" s="46">
        <f>'Payments'!W269</f>
        <v/>
      </c>
      <c r="C1265" s="84">
        <f>'Payments'!U269</f>
        <v/>
      </c>
      <c r="D1265" s="46">
        <f>'Payments'!V269</f>
        <v/>
      </c>
      <c r="E1265" s="46">
        <f>IF(OR(B1265="",C1265="",D1265=""),"",D1265*100000+(C1265-DATE(2000,1,1))+ROW()/100000)</f>
        <v/>
      </c>
      <c r="F1265" s="46">
        <f>IF(E1265="","",IF(C1265&gt;WeekEndDate,"",E1265))</f>
        <v/>
      </c>
    </row>
    <row r="1266">
      <c r="A1266" t="inlineStr">
        <is>
          <t>Payments</t>
        </is>
      </c>
      <c r="B1266" s="46">
        <f>'Payments'!W270</f>
        <v/>
      </c>
      <c r="C1266" s="84">
        <f>'Payments'!U270</f>
        <v/>
      </c>
      <c r="D1266" s="46">
        <f>'Payments'!V270</f>
        <v/>
      </c>
      <c r="E1266" s="46">
        <f>IF(OR(B1266="",C1266="",D1266=""),"",D1266*100000+(C1266-DATE(2000,1,1))+ROW()/100000)</f>
        <v/>
      </c>
      <c r="F1266" s="46">
        <f>IF(E1266="","",IF(C1266&gt;WeekEndDate,"",E1266))</f>
        <v/>
      </c>
    </row>
    <row r="1267">
      <c r="A1267" t="inlineStr">
        <is>
          <t>Payments</t>
        </is>
      </c>
      <c r="B1267" s="46">
        <f>'Payments'!W271</f>
        <v/>
      </c>
      <c r="C1267" s="84">
        <f>'Payments'!U271</f>
        <v/>
      </c>
      <c r="D1267" s="46">
        <f>'Payments'!V271</f>
        <v/>
      </c>
      <c r="E1267" s="46">
        <f>IF(OR(B1267="",C1267="",D1267=""),"",D1267*100000+(C1267-DATE(2000,1,1))+ROW()/100000)</f>
        <v/>
      </c>
      <c r="F1267" s="46">
        <f>IF(E1267="","",IF(C1267&gt;WeekEndDate,"",E1267))</f>
        <v/>
      </c>
    </row>
    <row r="1268">
      <c r="A1268" t="inlineStr">
        <is>
          <t>Payments</t>
        </is>
      </c>
      <c r="B1268" s="46">
        <f>'Payments'!W272</f>
        <v/>
      </c>
      <c r="C1268" s="84">
        <f>'Payments'!U272</f>
        <v/>
      </c>
      <c r="D1268" s="46">
        <f>'Payments'!V272</f>
        <v/>
      </c>
      <c r="E1268" s="46">
        <f>IF(OR(B1268="",C1268="",D1268=""),"",D1268*100000+(C1268-DATE(2000,1,1))+ROW()/100000)</f>
        <v/>
      </c>
      <c r="F1268" s="46">
        <f>IF(E1268="","",IF(C1268&gt;WeekEndDate,"",E1268))</f>
        <v/>
      </c>
    </row>
    <row r="1269">
      <c r="A1269" t="inlineStr">
        <is>
          <t>Payments</t>
        </is>
      </c>
      <c r="B1269" s="46">
        <f>'Payments'!W273</f>
        <v/>
      </c>
      <c r="C1269" s="84">
        <f>'Payments'!U273</f>
        <v/>
      </c>
      <c r="D1269" s="46">
        <f>'Payments'!V273</f>
        <v/>
      </c>
      <c r="E1269" s="46">
        <f>IF(OR(B1269="",C1269="",D1269=""),"",D1269*100000+(C1269-DATE(2000,1,1))+ROW()/100000)</f>
        <v/>
      </c>
      <c r="F1269" s="46">
        <f>IF(E1269="","",IF(C1269&gt;WeekEndDate,"",E1269))</f>
        <v/>
      </c>
    </row>
    <row r="1270">
      <c r="A1270" t="inlineStr">
        <is>
          <t>Payments</t>
        </is>
      </c>
      <c r="B1270" s="46">
        <f>'Payments'!W274</f>
        <v/>
      </c>
      <c r="C1270" s="84">
        <f>'Payments'!U274</f>
        <v/>
      </c>
      <c r="D1270" s="46">
        <f>'Payments'!V274</f>
        <v/>
      </c>
      <c r="E1270" s="46">
        <f>IF(OR(B1270="",C1270="",D1270=""),"",D1270*100000+(C1270-DATE(2000,1,1))+ROW()/100000)</f>
        <v/>
      </c>
      <c r="F1270" s="46">
        <f>IF(E1270="","",IF(C1270&gt;WeekEndDate,"",E1270))</f>
        <v/>
      </c>
    </row>
    <row r="1271">
      <c r="A1271" t="inlineStr">
        <is>
          <t>Payments</t>
        </is>
      </c>
      <c r="B1271" s="46">
        <f>'Payments'!W275</f>
        <v/>
      </c>
      <c r="C1271" s="84">
        <f>'Payments'!U275</f>
        <v/>
      </c>
      <c r="D1271" s="46">
        <f>'Payments'!V275</f>
        <v/>
      </c>
      <c r="E1271" s="46">
        <f>IF(OR(B1271="",C1271="",D1271=""),"",D1271*100000+(C1271-DATE(2000,1,1))+ROW()/100000)</f>
        <v/>
      </c>
      <c r="F1271" s="46">
        <f>IF(E1271="","",IF(C1271&gt;WeekEndDate,"",E1271))</f>
        <v/>
      </c>
    </row>
    <row r="1272">
      <c r="A1272" t="inlineStr">
        <is>
          <t>Payments</t>
        </is>
      </c>
      <c r="B1272" s="46">
        <f>'Payments'!W276</f>
        <v/>
      </c>
      <c r="C1272" s="84">
        <f>'Payments'!U276</f>
        <v/>
      </c>
      <c r="D1272" s="46">
        <f>'Payments'!V276</f>
        <v/>
      </c>
      <c r="E1272" s="46">
        <f>IF(OR(B1272="",C1272="",D1272=""),"",D1272*100000+(C1272-DATE(2000,1,1))+ROW()/100000)</f>
        <v/>
      </c>
      <c r="F1272" s="46">
        <f>IF(E1272="","",IF(C1272&gt;WeekEndDate,"",E1272))</f>
        <v/>
      </c>
    </row>
    <row r="1273">
      <c r="A1273" t="inlineStr">
        <is>
          <t>Payments</t>
        </is>
      </c>
      <c r="B1273" s="46">
        <f>'Payments'!W277</f>
        <v/>
      </c>
      <c r="C1273" s="84">
        <f>'Payments'!U277</f>
        <v/>
      </c>
      <c r="D1273" s="46">
        <f>'Payments'!V277</f>
        <v/>
      </c>
      <c r="E1273" s="46">
        <f>IF(OR(B1273="",C1273="",D1273=""),"",D1273*100000+(C1273-DATE(2000,1,1))+ROW()/100000)</f>
        <v/>
      </c>
      <c r="F1273" s="46">
        <f>IF(E1273="","",IF(C1273&gt;WeekEndDate,"",E1273))</f>
        <v/>
      </c>
    </row>
    <row r="1274">
      <c r="A1274" t="inlineStr">
        <is>
          <t>Payments</t>
        </is>
      </c>
      <c r="B1274" s="46">
        <f>'Payments'!W278</f>
        <v/>
      </c>
      <c r="C1274" s="84">
        <f>'Payments'!U278</f>
        <v/>
      </c>
      <c r="D1274" s="46">
        <f>'Payments'!V278</f>
        <v/>
      </c>
      <c r="E1274" s="46">
        <f>IF(OR(B1274="",C1274="",D1274=""),"",D1274*100000+(C1274-DATE(2000,1,1))+ROW()/100000)</f>
        <v/>
      </c>
      <c r="F1274" s="46">
        <f>IF(E1274="","",IF(C1274&gt;WeekEndDate,"",E1274))</f>
        <v/>
      </c>
    </row>
    <row r="1275">
      <c r="A1275" t="inlineStr">
        <is>
          <t>Payments</t>
        </is>
      </c>
      <c r="B1275" s="46">
        <f>'Payments'!W279</f>
        <v/>
      </c>
      <c r="C1275" s="84">
        <f>'Payments'!U279</f>
        <v/>
      </c>
      <c r="D1275" s="46">
        <f>'Payments'!V279</f>
        <v/>
      </c>
      <c r="E1275" s="46">
        <f>IF(OR(B1275="",C1275="",D1275=""),"",D1275*100000+(C1275-DATE(2000,1,1))+ROW()/100000)</f>
        <v/>
      </c>
      <c r="F1275" s="46">
        <f>IF(E1275="","",IF(C1275&gt;WeekEndDate,"",E1275))</f>
        <v/>
      </c>
    </row>
    <row r="1276">
      <c r="A1276" t="inlineStr">
        <is>
          <t>Payments</t>
        </is>
      </c>
      <c r="B1276" s="46">
        <f>'Payments'!W280</f>
        <v/>
      </c>
      <c r="C1276" s="84">
        <f>'Payments'!U280</f>
        <v/>
      </c>
      <c r="D1276" s="46">
        <f>'Payments'!V280</f>
        <v/>
      </c>
      <c r="E1276" s="46">
        <f>IF(OR(B1276="",C1276="",D1276=""),"",D1276*100000+(C1276-DATE(2000,1,1))+ROW()/100000)</f>
        <v/>
      </c>
      <c r="F1276" s="46">
        <f>IF(E1276="","",IF(C1276&gt;WeekEndDate,"",E1276))</f>
        <v/>
      </c>
    </row>
    <row r="1277">
      <c r="A1277" t="inlineStr">
        <is>
          <t>Payments</t>
        </is>
      </c>
      <c r="B1277" s="46">
        <f>'Payments'!W281</f>
        <v/>
      </c>
      <c r="C1277" s="84">
        <f>'Payments'!U281</f>
        <v/>
      </c>
      <c r="D1277" s="46">
        <f>'Payments'!V281</f>
        <v/>
      </c>
      <c r="E1277" s="46">
        <f>IF(OR(B1277="",C1277="",D1277=""),"",D1277*100000+(C1277-DATE(2000,1,1))+ROW()/100000)</f>
        <v/>
      </c>
      <c r="F1277" s="46">
        <f>IF(E1277="","",IF(C1277&gt;WeekEndDate,"",E1277))</f>
        <v/>
      </c>
    </row>
    <row r="1278">
      <c r="A1278" t="inlineStr">
        <is>
          <t>Payments</t>
        </is>
      </c>
      <c r="B1278" s="46">
        <f>'Payments'!W282</f>
        <v/>
      </c>
      <c r="C1278" s="84">
        <f>'Payments'!U282</f>
        <v/>
      </c>
      <c r="D1278" s="46">
        <f>'Payments'!V282</f>
        <v/>
      </c>
      <c r="E1278" s="46">
        <f>IF(OR(B1278="",C1278="",D1278=""),"",D1278*100000+(C1278-DATE(2000,1,1))+ROW()/100000)</f>
        <v/>
      </c>
      <c r="F1278" s="46">
        <f>IF(E1278="","",IF(C1278&gt;WeekEndDate,"",E1278))</f>
        <v/>
      </c>
    </row>
    <row r="1279">
      <c r="A1279" t="inlineStr">
        <is>
          <t>Payments</t>
        </is>
      </c>
      <c r="B1279" s="46">
        <f>'Payments'!W283</f>
        <v/>
      </c>
      <c r="C1279" s="84">
        <f>'Payments'!U283</f>
        <v/>
      </c>
      <c r="D1279" s="46">
        <f>'Payments'!V283</f>
        <v/>
      </c>
      <c r="E1279" s="46">
        <f>IF(OR(B1279="",C1279="",D1279=""),"",D1279*100000+(C1279-DATE(2000,1,1))+ROW()/100000)</f>
        <v/>
      </c>
      <c r="F1279" s="46">
        <f>IF(E1279="","",IF(C1279&gt;WeekEndDate,"",E1279))</f>
        <v/>
      </c>
    </row>
    <row r="1280">
      <c r="A1280" t="inlineStr">
        <is>
          <t>Payments</t>
        </is>
      </c>
      <c r="B1280" s="46">
        <f>'Payments'!W284</f>
        <v/>
      </c>
      <c r="C1280" s="84">
        <f>'Payments'!U284</f>
        <v/>
      </c>
      <c r="D1280" s="46">
        <f>'Payments'!V284</f>
        <v/>
      </c>
      <c r="E1280" s="46">
        <f>IF(OR(B1280="",C1280="",D1280=""),"",D1280*100000+(C1280-DATE(2000,1,1))+ROW()/100000)</f>
        <v/>
      </c>
      <c r="F1280" s="46">
        <f>IF(E1280="","",IF(C1280&gt;WeekEndDate,"",E1280))</f>
        <v/>
      </c>
    </row>
    <row r="1281">
      <c r="A1281" t="inlineStr">
        <is>
          <t>Payments</t>
        </is>
      </c>
      <c r="B1281" s="46">
        <f>'Payments'!W285</f>
        <v/>
      </c>
      <c r="C1281" s="84">
        <f>'Payments'!U285</f>
        <v/>
      </c>
      <c r="D1281" s="46">
        <f>'Payments'!V285</f>
        <v/>
      </c>
      <c r="E1281" s="46">
        <f>IF(OR(B1281="",C1281="",D1281=""),"",D1281*100000+(C1281-DATE(2000,1,1))+ROW()/100000)</f>
        <v/>
      </c>
      <c r="F1281" s="46">
        <f>IF(E1281="","",IF(C1281&gt;WeekEndDate,"",E1281))</f>
        <v/>
      </c>
    </row>
    <row r="1282">
      <c r="A1282" t="inlineStr">
        <is>
          <t>Payments</t>
        </is>
      </c>
      <c r="B1282" s="46">
        <f>'Payments'!W286</f>
        <v/>
      </c>
      <c r="C1282" s="84">
        <f>'Payments'!U286</f>
        <v/>
      </c>
      <c r="D1282" s="46">
        <f>'Payments'!V286</f>
        <v/>
      </c>
      <c r="E1282" s="46">
        <f>IF(OR(B1282="",C1282="",D1282=""),"",D1282*100000+(C1282-DATE(2000,1,1))+ROW()/100000)</f>
        <v/>
      </c>
      <c r="F1282" s="46">
        <f>IF(E1282="","",IF(C1282&gt;WeekEndDate,"",E1282))</f>
        <v/>
      </c>
    </row>
    <row r="1283">
      <c r="A1283" t="inlineStr">
        <is>
          <t>Payments</t>
        </is>
      </c>
      <c r="B1283" s="46">
        <f>'Payments'!W287</f>
        <v/>
      </c>
      <c r="C1283" s="84">
        <f>'Payments'!U287</f>
        <v/>
      </c>
      <c r="D1283" s="46">
        <f>'Payments'!V287</f>
        <v/>
      </c>
      <c r="E1283" s="46">
        <f>IF(OR(B1283="",C1283="",D1283=""),"",D1283*100000+(C1283-DATE(2000,1,1))+ROW()/100000)</f>
        <v/>
      </c>
      <c r="F1283" s="46">
        <f>IF(E1283="","",IF(C1283&gt;WeekEndDate,"",E1283))</f>
        <v/>
      </c>
    </row>
    <row r="1284">
      <c r="A1284" t="inlineStr">
        <is>
          <t>Payments</t>
        </is>
      </c>
      <c r="B1284" s="46">
        <f>'Payments'!W288</f>
        <v/>
      </c>
      <c r="C1284" s="84">
        <f>'Payments'!U288</f>
        <v/>
      </c>
      <c r="D1284" s="46">
        <f>'Payments'!V288</f>
        <v/>
      </c>
      <c r="E1284" s="46">
        <f>IF(OR(B1284="",C1284="",D1284=""),"",D1284*100000+(C1284-DATE(2000,1,1))+ROW()/100000)</f>
        <v/>
      </c>
      <c r="F1284" s="46">
        <f>IF(E1284="","",IF(C1284&gt;WeekEndDate,"",E1284))</f>
        <v/>
      </c>
    </row>
    <row r="1285">
      <c r="A1285" t="inlineStr">
        <is>
          <t>Payments</t>
        </is>
      </c>
      <c r="B1285" s="46">
        <f>'Payments'!W289</f>
        <v/>
      </c>
      <c r="C1285" s="84">
        <f>'Payments'!U289</f>
        <v/>
      </c>
      <c r="D1285" s="46">
        <f>'Payments'!V289</f>
        <v/>
      </c>
      <c r="E1285" s="46">
        <f>IF(OR(B1285="",C1285="",D1285=""),"",D1285*100000+(C1285-DATE(2000,1,1))+ROW()/100000)</f>
        <v/>
      </c>
      <c r="F1285" s="46">
        <f>IF(E1285="","",IF(C1285&gt;WeekEndDate,"",E1285))</f>
        <v/>
      </c>
    </row>
    <row r="1286">
      <c r="A1286" t="inlineStr">
        <is>
          <t>Payments</t>
        </is>
      </c>
      <c r="B1286" s="46">
        <f>'Payments'!W290</f>
        <v/>
      </c>
      <c r="C1286" s="84">
        <f>'Payments'!U290</f>
        <v/>
      </c>
      <c r="D1286" s="46">
        <f>'Payments'!V290</f>
        <v/>
      </c>
      <c r="E1286" s="46">
        <f>IF(OR(B1286="",C1286="",D1286=""),"",D1286*100000+(C1286-DATE(2000,1,1))+ROW()/100000)</f>
        <v/>
      </c>
      <c r="F1286" s="46">
        <f>IF(E1286="","",IF(C1286&gt;WeekEndDate,"",E1286))</f>
        <v/>
      </c>
    </row>
    <row r="1287">
      <c r="A1287" t="inlineStr">
        <is>
          <t>Payments</t>
        </is>
      </c>
      <c r="B1287" s="46">
        <f>'Payments'!W291</f>
        <v/>
      </c>
      <c r="C1287" s="84">
        <f>'Payments'!U291</f>
        <v/>
      </c>
      <c r="D1287" s="46">
        <f>'Payments'!V291</f>
        <v/>
      </c>
      <c r="E1287" s="46">
        <f>IF(OR(B1287="",C1287="",D1287=""),"",D1287*100000+(C1287-DATE(2000,1,1))+ROW()/100000)</f>
        <v/>
      </c>
      <c r="F1287" s="46">
        <f>IF(E1287="","",IF(C1287&gt;WeekEndDate,"",E1287))</f>
        <v/>
      </c>
    </row>
    <row r="1288">
      <c r="A1288" t="inlineStr">
        <is>
          <t>Payments</t>
        </is>
      </c>
      <c r="B1288" s="46">
        <f>'Payments'!W292</f>
        <v/>
      </c>
      <c r="C1288" s="84">
        <f>'Payments'!U292</f>
        <v/>
      </c>
      <c r="D1288" s="46">
        <f>'Payments'!V292</f>
        <v/>
      </c>
      <c r="E1288" s="46">
        <f>IF(OR(B1288="",C1288="",D1288=""),"",D1288*100000+(C1288-DATE(2000,1,1))+ROW()/100000)</f>
        <v/>
      </c>
      <c r="F1288" s="46">
        <f>IF(E1288="","",IF(C1288&gt;WeekEndDate,"",E1288))</f>
        <v/>
      </c>
    </row>
    <row r="1289">
      <c r="A1289" t="inlineStr">
        <is>
          <t>Payments</t>
        </is>
      </c>
      <c r="B1289" s="46">
        <f>'Payments'!W293</f>
        <v/>
      </c>
      <c r="C1289" s="84">
        <f>'Payments'!U293</f>
        <v/>
      </c>
      <c r="D1289" s="46">
        <f>'Payments'!V293</f>
        <v/>
      </c>
      <c r="E1289" s="46">
        <f>IF(OR(B1289="",C1289="",D1289=""),"",D1289*100000+(C1289-DATE(2000,1,1))+ROW()/100000)</f>
        <v/>
      </c>
      <c r="F1289" s="46">
        <f>IF(E1289="","",IF(C1289&gt;WeekEndDate,"",E1289))</f>
        <v/>
      </c>
    </row>
    <row r="1290">
      <c r="A1290" t="inlineStr">
        <is>
          <t>Payments</t>
        </is>
      </c>
      <c r="B1290" s="46">
        <f>'Payments'!W294</f>
        <v/>
      </c>
      <c r="C1290" s="84">
        <f>'Payments'!U294</f>
        <v/>
      </c>
      <c r="D1290" s="46">
        <f>'Payments'!V294</f>
        <v/>
      </c>
      <c r="E1290" s="46">
        <f>IF(OR(B1290="",C1290="",D1290=""),"",D1290*100000+(C1290-DATE(2000,1,1))+ROW()/100000)</f>
        <v/>
      </c>
      <c r="F1290" s="46">
        <f>IF(E1290="","",IF(C1290&gt;WeekEndDate,"",E1290))</f>
        <v/>
      </c>
    </row>
    <row r="1291">
      <c r="A1291" t="inlineStr">
        <is>
          <t>Payments</t>
        </is>
      </c>
      <c r="B1291" s="46">
        <f>'Payments'!W295</f>
        <v/>
      </c>
      <c r="C1291" s="84">
        <f>'Payments'!U295</f>
        <v/>
      </c>
      <c r="D1291" s="46">
        <f>'Payments'!V295</f>
        <v/>
      </c>
      <c r="E1291" s="46">
        <f>IF(OR(B1291="",C1291="",D1291=""),"",D1291*100000+(C1291-DATE(2000,1,1))+ROW()/100000)</f>
        <v/>
      </c>
      <c r="F1291" s="46">
        <f>IF(E1291="","",IF(C1291&gt;WeekEndDate,"",E1291))</f>
        <v/>
      </c>
    </row>
    <row r="1292">
      <c r="A1292" t="inlineStr">
        <is>
          <t>Payments</t>
        </is>
      </c>
      <c r="B1292" s="46">
        <f>'Payments'!W296</f>
        <v/>
      </c>
      <c r="C1292" s="84">
        <f>'Payments'!U296</f>
        <v/>
      </c>
      <c r="D1292" s="46">
        <f>'Payments'!V296</f>
        <v/>
      </c>
      <c r="E1292" s="46">
        <f>IF(OR(B1292="",C1292="",D1292=""),"",D1292*100000+(C1292-DATE(2000,1,1))+ROW()/100000)</f>
        <v/>
      </c>
      <c r="F1292" s="46">
        <f>IF(E1292="","",IF(C1292&gt;WeekEndDate,"",E1292))</f>
        <v/>
      </c>
    </row>
    <row r="1293">
      <c r="A1293" t="inlineStr">
        <is>
          <t>Payments</t>
        </is>
      </c>
      <c r="B1293" s="46">
        <f>'Payments'!W297</f>
        <v/>
      </c>
      <c r="C1293" s="84">
        <f>'Payments'!U297</f>
        <v/>
      </c>
      <c r="D1293" s="46">
        <f>'Payments'!V297</f>
        <v/>
      </c>
      <c r="E1293" s="46">
        <f>IF(OR(B1293="",C1293="",D1293=""),"",D1293*100000+(C1293-DATE(2000,1,1))+ROW()/100000)</f>
        <v/>
      </c>
      <c r="F1293" s="46">
        <f>IF(E1293="","",IF(C1293&gt;WeekEndDate,"",E1293))</f>
        <v/>
      </c>
    </row>
    <row r="1294">
      <c r="A1294" t="inlineStr">
        <is>
          <t>Payments</t>
        </is>
      </c>
      <c r="B1294" s="46">
        <f>'Payments'!W298</f>
        <v/>
      </c>
      <c r="C1294" s="84">
        <f>'Payments'!U298</f>
        <v/>
      </c>
      <c r="D1294" s="46">
        <f>'Payments'!V298</f>
        <v/>
      </c>
      <c r="E1294" s="46">
        <f>IF(OR(B1294="",C1294="",D1294=""),"",D1294*100000+(C1294-DATE(2000,1,1))+ROW()/100000)</f>
        <v/>
      </c>
      <c r="F1294" s="46">
        <f>IF(E1294="","",IF(C1294&gt;WeekEndDate,"",E1294))</f>
        <v/>
      </c>
    </row>
    <row r="1295">
      <c r="A1295" t="inlineStr">
        <is>
          <t>Payments</t>
        </is>
      </c>
      <c r="B1295" s="46">
        <f>'Payments'!W299</f>
        <v/>
      </c>
      <c r="C1295" s="84">
        <f>'Payments'!U299</f>
        <v/>
      </c>
      <c r="D1295" s="46">
        <f>'Payments'!V299</f>
        <v/>
      </c>
      <c r="E1295" s="46">
        <f>IF(OR(B1295="",C1295="",D1295=""),"",D1295*100000+(C1295-DATE(2000,1,1))+ROW()/100000)</f>
        <v/>
      </c>
      <c r="F1295" s="46">
        <f>IF(E1295="","",IF(C1295&gt;WeekEndDate,"",E1295))</f>
        <v/>
      </c>
    </row>
    <row r="1296">
      <c r="A1296" t="inlineStr">
        <is>
          <t>Payments</t>
        </is>
      </c>
      <c r="B1296" s="46">
        <f>'Payments'!W300</f>
        <v/>
      </c>
      <c r="C1296" s="84">
        <f>'Payments'!U300</f>
        <v/>
      </c>
      <c r="D1296" s="46">
        <f>'Payments'!V300</f>
        <v/>
      </c>
      <c r="E1296" s="46">
        <f>IF(OR(B1296="",C1296="",D1296=""),"",D1296*100000+(C1296-DATE(2000,1,1))+ROW()/100000)</f>
        <v/>
      </c>
      <c r="F1296" s="46">
        <f>IF(E1296="","",IF(C1296&gt;WeekEndDate,"",E1296))</f>
        <v/>
      </c>
    </row>
    <row r="1297">
      <c r="A1297" t="inlineStr">
        <is>
          <t>Payments</t>
        </is>
      </c>
      <c r="B1297" s="46">
        <f>'Payments'!W301</f>
        <v/>
      </c>
      <c r="C1297" s="84">
        <f>'Payments'!U301</f>
        <v/>
      </c>
      <c r="D1297" s="46">
        <f>'Payments'!V301</f>
        <v/>
      </c>
      <c r="E1297" s="46">
        <f>IF(OR(B1297="",C1297="",D1297=""),"",D1297*100000+(C1297-DATE(2000,1,1))+ROW()/100000)</f>
        <v/>
      </c>
      <c r="F1297" s="46">
        <f>IF(E1297="","",IF(C1297&gt;WeekEndDate,"",E1297))</f>
        <v/>
      </c>
    </row>
    <row r="1298">
      <c r="A1298" t="inlineStr">
        <is>
          <t>Payments</t>
        </is>
      </c>
      <c r="B1298" s="46">
        <f>'Payments'!W302</f>
        <v/>
      </c>
      <c r="C1298" s="84">
        <f>'Payments'!U302</f>
        <v/>
      </c>
      <c r="D1298" s="46">
        <f>'Payments'!V302</f>
        <v/>
      </c>
      <c r="E1298" s="46">
        <f>IF(OR(B1298="",C1298="",D1298=""),"",D1298*100000+(C1298-DATE(2000,1,1))+ROW()/100000)</f>
        <v/>
      </c>
      <c r="F1298" s="46">
        <f>IF(E1298="","",IF(C1298&gt;WeekEndDate,"",E1298))</f>
        <v/>
      </c>
    </row>
    <row r="1299">
      <c r="A1299" t="inlineStr">
        <is>
          <t>Payments</t>
        </is>
      </c>
      <c r="B1299" s="46">
        <f>'Payments'!W303</f>
        <v/>
      </c>
      <c r="C1299" s="84">
        <f>'Payments'!U303</f>
        <v/>
      </c>
      <c r="D1299" s="46">
        <f>'Payments'!V303</f>
        <v/>
      </c>
      <c r="E1299" s="46">
        <f>IF(OR(B1299="",C1299="",D1299=""),"",D1299*100000+(C1299-DATE(2000,1,1))+ROW()/100000)</f>
        <v/>
      </c>
      <c r="F1299" s="46">
        <f>IF(E1299="","",IF(C1299&gt;WeekEndDate,"",E1299))</f>
        <v/>
      </c>
    </row>
    <row r="1300">
      <c r="A1300" t="inlineStr">
        <is>
          <t>Payments</t>
        </is>
      </c>
      <c r="B1300" s="46">
        <f>'Payments'!W304</f>
        <v/>
      </c>
      <c r="C1300" s="84">
        <f>'Payments'!U304</f>
        <v/>
      </c>
      <c r="D1300" s="46">
        <f>'Payments'!V304</f>
        <v/>
      </c>
      <c r="E1300" s="46">
        <f>IF(OR(B1300="",C1300="",D1300=""),"",D1300*100000+(C1300-DATE(2000,1,1))+ROW()/100000)</f>
        <v/>
      </c>
      <c r="F1300" s="46">
        <f>IF(E1300="","",IF(C1300&gt;WeekEndDate,"",E1300))</f>
        <v/>
      </c>
    </row>
    <row r="1301">
      <c r="A1301" t="inlineStr">
        <is>
          <t>Payments</t>
        </is>
      </c>
      <c r="B1301" s="46">
        <f>'Payments'!W305</f>
        <v/>
      </c>
      <c r="C1301" s="84">
        <f>'Payments'!U305</f>
        <v/>
      </c>
      <c r="D1301" s="46">
        <f>'Payments'!V305</f>
        <v/>
      </c>
      <c r="E1301" s="46">
        <f>IF(OR(B1301="",C1301="",D1301=""),"",D1301*100000+(C1301-DATE(2000,1,1))+ROW()/100000)</f>
        <v/>
      </c>
      <c r="F1301" s="46">
        <f>IF(E1301="","",IF(C1301&gt;WeekEndDate,"",E1301))</f>
        <v/>
      </c>
    </row>
    <row r="1302">
      <c r="A1302" t="inlineStr">
        <is>
          <t>Payments</t>
        </is>
      </c>
      <c r="B1302" s="46">
        <f>'Payments'!W306</f>
        <v/>
      </c>
      <c r="C1302" s="84">
        <f>'Payments'!U306</f>
        <v/>
      </c>
      <c r="D1302" s="46">
        <f>'Payments'!V306</f>
        <v/>
      </c>
      <c r="E1302" s="46">
        <f>IF(OR(B1302="",C1302="",D1302=""),"",D1302*100000+(C1302-DATE(2000,1,1))+ROW()/100000)</f>
        <v/>
      </c>
      <c r="F1302" s="46">
        <f>IF(E1302="","",IF(C1302&gt;WeekEndDate,"",E1302))</f>
        <v/>
      </c>
    </row>
    <row r="1303">
      <c r="A1303" t="inlineStr">
        <is>
          <t>Payments</t>
        </is>
      </c>
      <c r="B1303" s="46">
        <f>'Payments'!W307</f>
        <v/>
      </c>
      <c r="C1303" s="84">
        <f>'Payments'!U307</f>
        <v/>
      </c>
      <c r="D1303" s="46">
        <f>'Payments'!V307</f>
        <v/>
      </c>
      <c r="E1303" s="46">
        <f>IF(OR(B1303="",C1303="",D1303=""),"",D1303*100000+(C1303-DATE(2000,1,1))+ROW()/100000)</f>
        <v/>
      </c>
      <c r="F1303" s="46">
        <f>IF(E1303="","",IF(C1303&gt;WeekEndDate,"",E1303))</f>
        <v/>
      </c>
    </row>
    <row r="1304">
      <c r="A1304" t="inlineStr">
        <is>
          <t>Payments</t>
        </is>
      </c>
      <c r="B1304" s="46">
        <f>'Payments'!W308</f>
        <v/>
      </c>
      <c r="C1304" s="84">
        <f>'Payments'!U308</f>
        <v/>
      </c>
      <c r="D1304" s="46">
        <f>'Payments'!V308</f>
        <v/>
      </c>
      <c r="E1304" s="46">
        <f>IF(OR(B1304="",C1304="",D1304=""),"",D1304*100000+(C1304-DATE(2000,1,1))+ROW()/100000)</f>
        <v/>
      </c>
      <c r="F1304" s="46">
        <f>IF(E1304="","",IF(C1304&gt;WeekEndDate,"",E1304))</f>
        <v/>
      </c>
    </row>
    <row r="1305">
      <c r="A1305" t="inlineStr">
        <is>
          <t>Payments</t>
        </is>
      </c>
      <c r="B1305" s="46">
        <f>'Payments'!W309</f>
        <v/>
      </c>
      <c r="C1305" s="84">
        <f>'Payments'!U309</f>
        <v/>
      </c>
      <c r="D1305" s="46">
        <f>'Payments'!V309</f>
        <v/>
      </c>
      <c r="E1305" s="46">
        <f>IF(OR(B1305="",C1305="",D1305=""),"",D1305*100000+(C1305-DATE(2000,1,1))+ROW()/100000)</f>
        <v/>
      </c>
      <c r="F1305" s="46">
        <f>IF(E1305="","",IF(C1305&gt;WeekEndDate,"",E1305))</f>
        <v/>
      </c>
    </row>
    <row r="1306">
      <c r="A1306" t="inlineStr">
        <is>
          <t>Payments</t>
        </is>
      </c>
      <c r="B1306" s="46">
        <f>'Payments'!W310</f>
        <v/>
      </c>
      <c r="C1306" s="84">
        <f>'Payments'!U310</f>
        <v/>
      </c>
      <c r="D1306" s="46">
        <f>'Payments'!V310</f>
        <v/>
      </c>
      <c r="E1306" s="46">
        <f>IF(OR(B1306="",C1306="",D1306=""),"",D1306*100000+(C1306-DATE(2000,1,1))+ROW()/100000)</f>
        <v/>
      </c>
      <c r="F1306" s="46">
        <f>IF(E1306="","",IF(C1306&gt;WeekEndDate,"",E1306))</f>
        <v/>
      </c>
    </row>
    <row r="1307">
      <c r="A1307" t="inlineStr">
        <is>
          <t>Payments</t>
        </is>
      </c>
      <c r="B1307" s="46">
        <f>'Payments'!W311</f>
        <v/>
      </c>
      <c r="C1307" s="84">
        <f>'Payments'!U311</f>
        <v/>
      </c>
      <c r="D1307" s="46">
        <f>'Payments'!V311</f>
        <v/>
      </c>
      <c r="E1307" s="46">
        <f>IF(OR(B1307="",C1307="",D1307=""),"",D1307*100000+(C1307-DATE(2000,1,1))+ROW()/100000)</f>
        <v/>
      </c>
      <c r="F1307" s="46">
        <f>IF(E1307="","",IF(C1307&gt;WeekEndDate,"",E1307))</f>
        <v/>
      </c>
    </row>
    <row r="1308">
      <c r="A1308" t="inlineStr">
        <is>
          <t>Payments</t>
        </is>
      </c>
      <c r="B1308" s="46">
        <f>'Payments'!W312</f>
        <v/>
      </c>
      <c r="C1308" s="84">
        <f>'Payments'!U312</f>
        <v/>
      </c>
      <c r="D1308" s="46">
        <f>'Payments'!V312</f>
        <v/>
      </c>
      <c r="E1308" s="46">
        <f>IF(OR(B1308="",C1308="",D1308=""),"",D1308*100000+(C1308-DATE(2000,1,1))+ROW()/100000)</f>
        <v/>
      </c>
      <c r="F1308" s="46">
        <f>IF(E1308="","",IF(C1308&gt;WeekEndDate,"",E1308))</f>
        <v/>
      </c>
    </row>
    <row r="1309">
      <c r="A1309" t="inlineStr">
        <is>
          <t>Payments</t>
        </is>
      </c>
      <c r="B1309" s="46">
        <f>'Payments'!W313</f>
        <v/>
      </c>
      <c r="C1309" s="84">
        <f>'Payments'!U313</f>
        <v/>
      </c>
      <c r="D1309" s="46">
        <f>'Payments'!V313</f>
        <v/>
      </c>
      <c r="E1309" s="46">
        <f>IF(OR(B1309="",C1309="",D1309=""),"",D1309*100000+(C1309-DATE(2000,1,1))+ROW()/100000)</f>
        <v/>
      </c>
      <c r="F1309" s="46">
        <f>IF(E1309="","",IF(C1309&gt;WeekEndDate,"",E1309))</f>
        <v/>
      </c>
    </row>
    <row r="1310">
      <c r="A1310" t="inlineStr">
        <is>
          <t>Payments</t>
        </is>
      </c>
      <c r="B1310" s="46">
        <f>'Payments'!W314</f>
        <v/>
      </c>
      <c r="C1310" s="84">
        <f>'Payments'!U314</f>
        <v/>
      </c>
      <c r="D1310" s="46">
        <f>'Payments'!V314</f>
        <v/>
      </c>
      <c r="E1310" s="46">
        <f>IF(OR(B1310="",C1310="",D1310=""),"",D1310*100000+(C1310-DATE(2000,1,1))+ROW()/100000)</f>
        <v/>
      </c>
      <c r="F1310" s="46">
        <f>IF(E1310="","",IF(C1310&gt;WeekEndDate,"",E1310))</f>
        <v/>
      </c>
    </row>
    <row r="1311">
      <c r="A1311" t="inlineStr">
        <is>
          <t>Payments</t>
        </is>
      </c>
      <c r="B1311" s="46">
        <f>'Payments'!W315</f>
        <v/>
      </c>
      <c r="C1311" s="84">
        <f>'Payments'!U315</f>
        <v/>
      </c>
      <c r="D1311" s="46">
        <f>'Payments'!V315</f>
        <v/>
      </c>
      <c r="E1311" s="46">
        <f>IF(OR(B1311="",C1311="",D1311=""),"",D1311*100000+(C1311-DATE(2000,1,1))+ROW()/100000)</f>
        <v/>
      </c>
      <c r="F1311" s="46">
        <f>IF(E1311="","",IF(C1311&gt;WeekEndDate,"",E1311))</f>
        <v/>
      </c>
    </row>
    <row r="1312">
      <c r="A1312" t="inlineStr">
        <is>
          <t>Payments</t>
        </is>
      </c>
      <c r="B1312" s="46">
        <f>'Payments'!W316</f>
        <v/>
      </c>
      <c r="C1312" s="84">
        <f>'Payments'!U316</f>
        <v/>
      </c>
      <c r="D1312" s="46">
        <f>'Payments'!V316</f>
        <v/>
      </c>
      <c r="E1312" s="46">
        <f>IF(OR(B1312="",C1312="",D1312=""),"",D1312*100000+(C1312-DATE(2000,1,1))+ROW()/100000)</f>
        <v/>
      </c>
      <c r="F1312" s="46">
        <f>IF(E1312="","",IF(C1312&gt;WeekEndDate,"",E1312))</f>
        <v/>
      </c>
    </row>
    <row r="1313">
      <c r="A1313" t="inlineStr">
        <is>
          <t>Payments</t>
        </is>
      </c>
      <c r="B1313" s="46">
        <f>'Payments'!W317</f>
        <v/>
      </c>
      <c r="C1313" s="84">
        <f>'Payments'!U317</f>
        <v/>
      </c>
      <c r="D1313" s="46">
        <f>'Payments'!V317</f>
        <v/>
      </c>
      <c r="E1313" s="46">
        <f>IF(OR(B1313="",C1313="",D1313=""),"",D1313*100000+(C1313-DATE(2000,1,1))+ROW()/100000)</f>
        <v/>
      </c>
      <c r="F1313" s="46">
        <f>IF(E1313="","",IF(C1313&gt;WeekEndDate,"",E1313))</f>
        <v/>
      </c>
    </row>
    <row r="1314">
      <c r="A1314" t="inlineStr">
        <is>
          <t>Payments</t>
        </is>
      </c>
      <c r="B1314" s="46">
        <f>'Payments'!W318</f>
        <v/>
      </c>
      <c r="C1314" s="84">
        <f>'Payments'!U318</f>
        <v/>
      </c>
      <c r="D1314" s="46">
        <f>'Payments'!V318</f>
        <v/>
      </c>
      <c r="E1314" s="46">
        <f>IF(OR(B1314="",C1314="",D1314=""),"",D1314*100000+(C1314-DATE(2000,1,1))+ROW()/100000)</f>
        <v/>
      </c>
      <c r="F1314" s="46">
        <f>IF(E1314="","",IF(C1314&gt;WeekEndDate,"",E1314))</f>
        <v/>
      </c>
    </row>
    <row r="1315">
      <c r="A1315" t="inlineStr">
        <is>
          <t>Payments</t>
        </is>
      </c>
      <c r="B1315" s="46">
        <f>'Payments'!W319</f>
        <v/>
      </c>
      <c r="C1315" s="84">
        <f>'Payments'!U319</f>
        <v/>
      </c>
      <c r="D1315" s="46">
        <f>'Payments'!V319</f>
        <v/>
      </c>
      <c r="E1315" s="46">
        <f>IF(OR(B1315="",C1315="",D1315=""),"",D1315*100000+(C1315-DATE(2000,1,1))+ROW()/100000)</f>
        <v/>
      </c>
      <c r="F1315" s="46">
        <f>IF(E1315="","",IF(C1315&gt;WeekEndDate,"",E1315))</f>
        <v/>
      </c>
    </row>
    <row r="1316">
      <c r="A1316" t="inlineStr">
        <is>
          <t>Payments</t>
        </is>
      </c>
      <c r="B1316" s="46">
        <f>'Payments'!W320</f>
        <v/>
      </c>
      <c r="C1316" s="84">
        <f>'Payments'!U320</f>
        <v/>
      </c>
      <c r="D1316" s="46">
        <f>'Payments'!V320</f>
        <v/>
      </c>
      <c r="E1316" s="46">
        <f>IF(OR(B1316="",C1316="",D1316=""),"",D1316*100000+(C1316-DATE(2000,1,1))+ROW()/100000)</f>
        <v/>
      </c>
      <c r="F1316" s="46">
        <f>IF(E1316="","",IF(C1316&gt;WeekEndDate,"",E1316))</f>
        <v/>
      </c>
    </row>
    <row r="1317">
      <c r="A1317" t="inlineStr">
        <is>
          <t>Payments</t>
        </is>
      </c>
      <c r="B1317" s="46">
        <f>'Payments'!W321</f>
        <v/>
      </c>
      <c r="C1317" s="84">
        <f>'Payments'!U321</f>
        <v/>
      </c>
      <c r="D1317" s="46">
        <f>'Payments'!V321</f>
        <v/>
      </c>
      <c r="E1317" s="46">
        <f>IF(OR(B1317="",C1317="",D1317=""),"",D1317*100000+(C1317-DATE(2000,1,1))+ROW()/100000)</f>
        <v/>
      </c>
      <c r="F1317" s="46">
        <f>IF(E1317="","",IF(C1317&gt;WeekEndDate,"",E1317))</f>
        <v/>
      </c>
    </row>
    <row r="1318">
      <c r="A1318" t="inlineStr">
        <is>
          <t>Payments</t>
        </is>
      </c>
      <c r="B1318" s="46">
        <f>'Payments'!W322</f>
        <v/>
      </c>
      <c r="C1318" s="84">
        <f>'Payments'!U322</f>
        <v/>
      </c>
      <c r="D1318" s="46">
        <f>'Payments'!V322</f>
        <v/>
      </c>
      <c r="E1318" s="46">
        <f>IF(OR(B1318="",C1318="",D1318=""),"",D1318*100000+(C1318-DATE(2000,1,1))+ROW()/100000)</f>
        <v/>
      </c>
      <c r="F1318" s="46">
        <f>IF(E1318="","",IF(C1318&gt;WeekEndDate,"",E1318))</f>
        <v/>
      </c>
    </row>
    <row r="1319">
      <c r="A1319" t="inlineStr">
        <is>
          <t>Payments</t>
        </is>
      </c>
      <c r="B1319" s="46">
        <f>'Payments'!W323</f>
        <v/>
      </c>
      <c r="C1319" s="84">
        <f>'Payments'!U323</f>
        <v/>
      </c>
      <c r="D1319" s="46">
        <f>'Payments'!V323</f>
        <v/>
      </c>
      <c r="E1319" s="46">
        <f>IF(OR(B1319="",C1319="",D1319=""),"",D1319*100000+(C1319-DATE(2000,1,1))+ROW()/100000)</f>
        <v/>
      </c>
      <c r="F1319" s="46">
        <f>IF(E1319="","",IF(C1319&gt;WeekEndDate,"",E1319))</f>
        <v/>
      </c>
    </row>
    <row r="1320">
      <c r="A1320" t="inlineStr">
        <is>
          <t>Payments</t>
        </is>
      </c>
      <c r="B1320" s="46">
        <f>'Payments'!W324</f>
        <v/>
      </c>
      <c r="C1320" s="84">
        <f>'Payments'!U324</f>
        <v/>
      </c>
      <c r="D1320" s="46">
        <f>'Payments'!V324</f>
        <v/>
      </c>
      <c r="E1320" s="46">
        <f>IF(OR(B1320="",C1320="",D1320=""),"",D1320*100000+(C1320-DATE(2000,1,1))+ROW()/100000)</f>
        <v/>
      </c>
      <c r="F1320" s="46">
        <f>IF(E1320="","",IF(C1320&gt;WeekEndDate,"",E1320))</f>
        <v/>
      </c>
    </row>
    <row r="1321">
      <c r="A1321" t="inlineStr">
        <is>
          <t>Payments</t>
        </is>
      </c>
      <c r="B1321" s="46">
        <f>'Payments'!W325</f>
        <v/>
      </c>
      <c r="C1321" s="84">
        <f>'Payments'!U325</f>
        <v/>
      </c>
      <c r="D1321" s="46">
        <f>'Payments'!V325</f>
        <v/>
      </c>
      <c r="E1321" s="46">
        <f>IF(OR(B1321="",C1321="",D1321=""),"",D1321*100000+(C1321-DATE(2000,1,1))+ROW()/100000)</f>
        <v/>
      </c>
      <c r="F1321" s="46">
        <f>IF(E1321="","",IF(C1321&gt;WeekEndDate,"",E1321))</f>
        <v/>
      </c>
    </row>
    <row r="1322">
      <c r="A1322" t="inlineStr">
        <is>
          <t>Payments</t>
        </is>
      </c>
      <c r="B1322" s="46">
        <f>'Payments'!W326</f>
        <v/>
      </c>
      <c r="C1322" s="84">
        <f>'Payments'!U326</f>
        <v/>
      </c>
      <c r="D1322" s="46">
        <f>'Payments'!V326</f>
        <v/>
      </c>
      <c r="E1322" s="46">
        <f>IF(OR(B1322="",C1322="",D1322=""),"",D1322*100000+(C1322-DATE(2000,1,1))+ROW()/100000)</f>
        <v/>
      </c>
      <c r="F1322" s="46">
        <f>IF(E1322="","",IF(C1322&gt;WeekEndDate,"",E1322))</f>
        <v/>
      </c>
    </row>
    <row r="1323">
      <c r="A1323" t="inlineStr">
        <is>
          <t>Payments</t>
        </is>
      </c>
      <c r="B1323" s="46">
        <f>'Payments'!W327</f>
        <v/>
      </c>
      <c r="C1323" s="84">
        <f>'Payments'!U327</f>
        <v/>
      </c>
      <c r="D1323" s="46">
        <f>'Payments'!V327</f>
        <v/>
      </c>
      <c r="E1323" s="46">
        <f>IF(OR(B1323="",C1323="",D1323=""),"",D1323*100000+(C1323-DATE(2000,1,1))+ROW()/100000)</f>
        <v/>
      </c>
      <c r="F1323" s="46">
        <f>IF(E1323="","",IF(C1323&gt;WeekEndDate,"",E1323))</f>
        <v/>
      </c>
    </row>
    <row r="1324">
      <c r="A1324" t="inlineStr">
        <is>
          <t>Payments</t>
        </is>
      </c>
      <c r="B1324" s="46">
        <f>'Payments'!W328</f>
        <v/>
      </c>
      <c r="C1324" s="84">
        <f>'Payments'!U328</f>
        <v/>
      </c>
      <c r="D1324" s="46">
        <f>'Payments'!V328</f>
        <v/>
      </c>
      <c r="E1324" s="46">
        <f>IF(OR(B1324="",C1324="",D1324=""),"",D1324*100000+(C1324-DATE(2000,1,1))+ROW()/100000)</f>
        <v/>
      </c>
      <c r="F1324" s="46">
        <f>IF(E1324="","",IF(C1324&gt;WeekEndDate,"",E1324))</f>
        <v/>
      </c>
    </row>
    <row r="1325">
      <c r="A1325" t="inlineStr">
        <is>
          <t>Payments</t>
        </is>
      </c>
      <c r="B1325" s="46">
        <f>'Payments'!W329</f>
        <v/>
      </c>
      <c r="C1325" s="84">
        <f>'Payments'!U329</f>
        <v/>
      </c>
      <c r="D1325" s="46">
        <f>'Payments'!V329</f>
        <v/>
      </c>
      <c r="E1325" s="46">
        <f>IF(OR(B1325="",C1325="",D1325=""),"",D1325*100000+(C1325-DATE(2000,1,1))+ROW()/100000)</f>
        <v/>
      </c>
      <c r="F1325" s="46">
        <f>IF(E1325="","",IF(C1325&gt;WeekEndDate,"",E1325))</f>
        <v/>
      </c>
    </row>
    <row r="1326">
      <c r="A1326" t="inlineStr">
        <is>
          <t>Payments</t>
        </is>
      </c>
      <c r="B1326" s="46">
        <f>'Payments'!W330</f>
        <v/>
      </c>
      <c r="C1326" s="84">
        <f>'Payments'!U330</f>
        <v/>
      </c>
      <c r="D1326" s="46">
        <f>'Payments'!V330</f>
        <v/>
      </c>
      <c r="E1326" s="46">
        <f>IF(OR(B1326="",C1326="",D1326=""),"",D1326*100000+(C1326-DATE(2000,1,1))+ROW()/100000)</f>
        <v/>
      </c>
      <c r="F1326" s="46">
        <f>IF(E1326="","",IF(C1326&gt;WeekEndDate,"",E1326))</f>
        <v/>
      </c>
    </row>
    <row r="1327">
      <c r="A1327" t="inlineStr">
        <is>
          <t>Payments</t>
        </is>
      </c>
      <c r="B1327" s="46">
        <f>'Payments'!W331</f>
        <v/>
      </c>
      <c r="C1327" s="84">
        <f>'Payments'!U331</f>
        <v/>
      </c>
      <c r="D1327" s="46">
        <f>'Payments'!V331</f>
        <v/>
      </c>
      <c r="E1327" s="46">
        <f>IF(OR(B1327="",C1327="",D1327=""),"",D1327*100000+(C1327-DATE(2000,1,1))+ROW()/100000)</f>
        <v/>
      </c>
      <c r="F1327" s="46">
        <f>IF(E1327="","",IF(C1327&gt;WeekEndDate,"",E1327))</f>
        <v/>
      </c>
    </row>
    <row r="1328">
      <c r="A1328" t="inlineStr">
        <is>
          <t>Payments</t>
        </is>
      </c>
      <c r="B1328" s="46">
        <f>'Payments'!W332</f>
        <v/>
      </c>
      <c r="C1328" s="84">
        <f>'Payments'!U332</f>
        <v/>
      </c>
      <c r="D1328" s="46">
        <f>'Payments'!V332</f>
        <v/>
      </c>
      <c r="E1328" s="46">
        <f>IF(OR(B1328="",C1328="",D1328=""),"",D1328*100000+(C1328-DATE(2000,1,1))+ROW()/100000)</f>
        <v/>
      </c>
      <c r="F1328" s="46">
        <f>IF(E1328="","",IF(C1328&gt;WeekEndDate,"",E1328))</f>
        <v/>
      </c>
    </row>
    <row r="1329">
      <c r="A1329" t="inlineStr">
        <is>
          <t>Payments</t>
        </is>
      </c>
      <c r="B1329" s="46">
        <f>'Payments'!W333</f>
        <v/>
      </c>
      <c r="C1329" s="84">
        <f>'Payments'!U333</f>
        <v/>
      </c>
      <c r="D1329" s="46">
        <f>'Payments'!V333</f>
        <v/>
      </c>
      <c r="E1329" s="46">
        <f>IF(OR(B1329="",C1329="",D1329=""),"",D1329*100000+(C1329-DATE(2000,1,1))+ROW()/100000)</f>
        <v/>
      </c>
      <c r="F1329" s="46">
        <f>IF(E1329="","",IF(C1329&gt;WeekEndDate,"",E1329))</f>
        <v/>
      </c>
    </row>
    <row r="1330">
      <c r="A1330" t="inlineStr">
        <is>
          <t>Payments</t>
        </is>
      </c>
      <c r="B1330" s="46">
        <f>'Payments'!W334</f>
        <v/>
      </c>
      <c r="C1330" s="84">
        <f>'Payments'!U334</f>
        <v/>
      </c>
      <c r="D1330" s="46">
        <f>'Payments'!V334</f>
        <v/>
      </c>
      <c r="E1330" s="46">
        <f>IF(OR(B1330="",C1330="",D1330=""),"",D1330*100000+(C1330-DATE(2000,1,1))+ROW()/100000)</f>
        <v/>
      </c>
      <c r="F1330" s="46">
        <f>IF(E1330="","",IF(C1330&gt;WeekEndDate,"",E1330))</f>
        <v/>
      </c>
    </row>
    <row r="1331">
      <c r="A1331" t="inlineStr">
        <is>
          <t>Payments</t>
        </is>
      </c>
      <c r="B1331" s="46">
        <f>'Payments'!W335</f>
        <v/>
      </c>
      <c r="C1331" s="84">
        <f>'Payments'!U335</f>
        <v/>
      </c>
      <c r="D1331" s="46">
        <f>'Payments'!V335</f>
        <v/>
      </c>
      <c r="E1331" s="46">
        <f>IF(OR(B1331="",C1331="",D1331=""),"",D1331*100000+(C1331-DATE(2000,1,1))+ROW()/100000)</f>
        <v/>
      </c>
      <c r="F1331" s="46">
        <f>IF(E1331="","",IF(C1331&gt;WeekEndDate,"",E1331))</f>
        <v/>
      </c>
    </row>
    <row r="1332">
      <c r="A1332" t="inlineStr">
        <is>
          <t>Payments</t>
        </is>
      </c>
      <c r="B1332" s="46">
        <f>'Payments'!W336</f>
        <v/>
      </c>
      <c r="C1332" s="84">
        <f>'Payments'!U336</f>
        <v/>
      </c>
      <c r="D1332" s="46">
        <f>'Payments'!V336</f>
        <v/>
      </c>
      <c r="E1332" s="46">
        <f>IF(OR(B1332="",C1332="",D1332=""),"",D1332*100000+(C1332-DATE(2000,1,1))+ROW()/100000)</f>
        <v/>
      </c>
      <c r="F1332" s="46">
        <f>IF(E1332="","",IF(C1332&gt;WeekEndDate,"",E1332))</f>
        <v/>
      </c>
    </row>
    <row r="1333">
      <c r="A1333" t="inlineStr">
        <is>
          <t>Payments</t>
        </is>
      </c>
      <c r="B1333" s="46">
        <f>'Payments'!W337</f>
        <v/>
      </c>
      <c r="C1333" s="84">
        <f>'Payments'!U337</f>
        <v/>
      </c>
      <c r="D1333" s="46">
        <f>'Payments'!V337</f>
        <v/>
      </c>
      <c r="E1333" s="46">
        <f>IF(OR(B1333="",C1333="",D1333=""),"",D1333*100000+(C1333-DATE(2000,1,1))+ROW()/100000)</f>
        <v/>
      </c>
      <c r="F1333" s="46">
        <f>IF(E1333="","",IF(C1333&gt;WeekEndDate,"",E1333))</f>
        <v/>
      </c>
    </row>
    <row r="1334">
      <c r="A1334" t="inlineStr">
        <is>
          <t>Payments</t>
        </is>
      </c>
      <c r="B1334" s="46">
        <f>'Payments'!W338</f>
        <v/>
      </c>
      <c r="C1334" s="84">
        <f>'Payments'!U338</f>
        <v/>
      </c>
      <c r="D1334" s="46">
        <f>'Payments'!V338</f>
        <v/>
      </c>
      <c r="E1334" s="46">
        <f>IF(OR(B1334="",C1334="",D1334=""),"",D1334*100000+(C1334-DATE(2000,1,1))+ROW()/100000)</f>
        <v/>
      </c>
      <c r="F1334" s="46">
        <f>IF(E1334="","",IF(C1334&gt;WeekEndDate,"",E1334))</f>
        <v/>
      </c>
    </row>
    <row r="1335">
      <c r="A1335" t="inlineStr">
        <is>
          <t>Payments</t>
        </is>
      </c>
      <c r="B1335" s="46">
        <f>'Payments'!W339</f>
        <v/>
      </c>
      <c r="C1335" s="84">
        <f>'Payments'!U339</f>
        <v/>
      </c>
      <c r="D1335" s="46">
        <f>'Payments'!V339</f>
        <v/>
      </c>
      <c r="E1335" s="46">
        <f>IF(OR(B1335="",C1335="",D1335=""),"",D1335*100000+(C1335-DATE(2000,1,1))+ROW()/100000)</f>
        <v/>
      </c>
      <c r="F1335" s="46">
        <f>IF(E1335="","",IF(C1335&gt;WeekEndDate,"",E1335))</f>
        <v/>
      </c>
    </row>
    <row r="1336">
      <c r="A1336" t="inlineStr">
        <is>
          <t>Payments</t>
        </is>
      </c>
      <c r="B1336" s="46">
        <f>'Payments'!W340</f>
        <v/>
      </c>
      <c r="C1336" s="84">
        <f>'Payments'!U340</f>
        <v/>
      </c>
      <c r="D1336" s="46">
        <f>'Payments'!V340</f>
        <v/>
      </c>
      <c r="E1336" s="46">
        <f>IF(OR(B1336="",C1336="",D1336=""),"",D1336*100000+(C1336-DATE(2000,1,1))+ROW()/100000)</f>
        <v/>
      </c>
      <c r="F1336" s="46">
        <f>IF(E1336="","",IF(C1336&gt;WeekEndDate,"",E1336))</f>
        <v/>
      </c>
    </row>
    <row r="1337">
      <c r="A1337" t="inlineStr">
        <is>
          <t>Payments</t>
        </is>
      </c>
      <c r="B1337" s="46">
        <f>'Payments'!W341</f>
        <v/>
      </c>
      <c r="C1337" s="84">
        <f>'Payments'!U341</f>
        <v/>
      </c>
      <c r="D1337" s="46">
        <f>'Payments'!V341</f>
        <v/>
      </c>
      <c r="E1337" s="46">
        <f>IF(OR(B1337="",C1337="",D1337=""),"",D1337*100000+(C1337-DATE(2000,1,1))+ROW()/100000)</f>
        <v/>
      </c>
      <c r="F1337" s="46">
        <f>IF(E1337="","",IF(C1337&gt;WeekEndDate,"",E1337))</f>
        <v/>
      </c>
    </row>
    <row r="1338">
      <c r="A1338" t="inlineStr">
        <is>
          <t>Payments</t>
        </is>
      </c>
      <c r="B1338" s="46">
        <f>'Payments'!W342</f>
        <v/>
      </c>
      <c r="C1338" s="84">
        <f>'Payments'!U342</f>
        <v/>
      </c>
      <c r="D1338" s="46">
        <f>'Payments'!V342</f>
        <v/>
      </c>
      <c r="E1338" s="46">
        <f>IF(OR(B1338="",C1338="",D1338=""),"",D1338*100000+(C1338-DATE(2000,1,1))+ROW()/100000)</f>
        <v/>
      </c>
      <c r="F1338" s="46">
        <f>IF(E1338="","",IF(C1338&gt;WeekEndDate,"",E1338))</f>
        <v/>
      </c>
    </row>
    <row r="1339">
      <c r="A1339" t="inlineStr">
        <is>
          <t>Payments</t>
        </is>
      </c>
      <c r="B1339" s="46">
        <f>'Payments'!W343</f>
        <v/>
      </c>
      <c r="C1339" s="84">
        <f>'Payments'!U343</f>
        <v/>
      </c>
      <c r="D1339" s="46">
        <f>'Payments'!V343</f>
        <v/>
      </c>
      <c r="E1339" s="46">
        <f>IF(OR(B1339="",C1339="",D1339=""),"",D1339*100000+(C1339-DATE(2000,1,1))+ROW()/100000)</f>
        <v/>
      </c>
      <c r="F1339" s="46">
        <f>IF(E1339="","",IF(C1339&gt;WeekEndDate,"",E1339))</f>
        <v/>
      </c>
    </row>
    <row r="1340">
      <c r="A1340" t="inlineStr">
        <is>
          <t>Payments</t>
        </is>
      </c>
      <c r="B1340" s="46">
        <f>'Payments'!W344</f>
        <v/>
      </c>
      <c r="C1340" s="84">
        <f>'Payments'!U344</f>
        <v/>
      </c>
      <c r="D1340" s="46">
        <f>'Payments'!V344</f>
        <v/>
      </c>
      <c r="E1340" s="46">
        <f>IF(OR(B1340="",C1340="",D1340=""),"",D1340*100000+(C1340-DATE(2000,1,1))+ROW()/100000)</f>
        <v/>
      </c>
      <c r="F1340" s="46">
        <f>IF(E1340="","",IF(C1340&gt;WeekEndDate,"",E1340))</f>
        <v/>
      </c>
    </row>
    <row r="1341">
      <c r="A1341" t="inlineStr">
        <is>
          <t>Payments</t>
        </is>
      </c>
      <c r="B1341" s="46">
        <f>'Payments'!W345</f>
        <v/>
      </c>
      <c r="C1341" s="84">
        <f>'Payments'!U345</f>
        <v/>
      </c>
      <c r="D1341" s="46">
        <f>'Payments'!V345</f>
        <v/>
      </c>
      <c r="E1341" s="46">
        <f>IF(OR(B1341="",C1341="",D1341=""),"",D1341*100000+(C1341-DATE(2000,1,1))+ROW()/100000)</f>
        <v/>
      </c>
      <c r="F1341" s="46">
        <f>IF(E1341="","",IF(C1341&gt;WeekEndDate,"",E1341))</f>
        <v/>
      </c>
    </row>
    <row r="1342">
      <c r="A1342" t="inlineStr">
        <is>
          <t>Payments</t>
        </is>
      </c>
      <c r="B1342" s="46">
        <f>'Payments'!W346</f>
        <v/>
      </c>
      <c r="C1342" s="84">
        <f>'Payments'!U346</f>
        <v/>
      </c>
      <c r="D1342" s="46">
        <f>'Payments'!V346</f>
        <v/>
      </c>
      <c r="E1342" s="46">
        <f>IF(OR(B1342="",C1342="",D1342=""),"",D1342*100000+(C1342-DATE(2000,1,1))+ROW()/100000)</f>
        <v/>
      </c>
      <c r="F1342" s="46">
        <f>IF(E1342="","",IF(C1342&gt;WeekEndDate,"",E1342))</f>
        <v/>
      </c>
    </row>
    <row r="1343">
      <c r="A1343" t="inlineStr">
        <is>
          <t>Payments</t>
        </is>
      </c>
      <c r="B1343" s="46">
        <f>'Payments'!W347</f>
        <v/>
      </c>
      <c r="C1343" s="84">
        <f>'Payments'!U347</f>
        <v/>
      </c>
      <c r="D1343" s="46">
        <f>'Payments'!V347</f>
        <v/>
      </c>
      <c r="E1343" s="46">
        <f>IF(OR(B1343="",C1343="",D1343=""),"",D1343*100000+(C1343-DATE(2000,1,1))+ROW()/100000)</f>
        <v/>
      </c>
      <c r="F1343" s="46">
        <f>IF(E1343="","",IF(C1343&gt;WeekEndDate,"",E1343))</f>
        <v/>
      </c>
    </row>
    <row r="1344">
      <c r="A1344" t="inlineStr">
        <is>
          <t>Payments</t>
        </is>
      </c>
      <c r="B1344" s="46">
        <f>'Payments'!W348</f>
        <v/>
      </c>
      <c r="C1344" s="84">
        <f>'Payments'!U348</f>
        <v/>
      </c>
      <c r="D1344" s="46">
        <f>'Payments'!V348</f>
        <v/>
      </c>
      <c r="E1344" s="46">
        <f>IF(OR(B1344="",C1344="",D1344=""),"",D1344*100000+(C1344-DATE(2000,1,1))+ROW()/100000)</f>
        <v/>
      </c>
      <c r="F1344" s="46">
        <f>IF(E1344="","",IF(C1344&gt;WeekEndDate,"",E1344))</f>
        <v/>
      </c>
    </row>
    <row r="1345">
      <c r="A1345" t="inlineStr">
        <is>
          <t>Payments</t>
        </is>
      </c>
      <c r="B1345" s="46">
        <f>'Payments'!W349</f>
        <v/>
      </c>
      <c r="C1345" s="84">
        <f>'Payments'!U349</f>
        <v/>
      </c>
      <c r="D1345" s="46">
        <f>'Payments'!V349</f>
        <v/>
      </c>
      <c r="E1345" s="46">
        <f>IF(OR(B1345="",C1345="",D1345=""),"",D1345*100000+(C1345-DATE(2000,1,1))+ROW()/100000)</f>
        <v/>
      </c>
      <c r="F1345" s="46">
        <f>IF(E1345="","",IF(C1345&gt;WeekEndDate,"",E1345))</f>
        <v/>
      </c>
    </row>
    <row r="1346">
      <c r="A1346" t="inlineStr">
        <is>
          <t>Payments</t>
        </is>
      </c>
      <c r="B1346" s="46">
        <f>'Payments'!W350</f>
        <v/>
      </c>
      <c r="C1346" s="84">
        <f>'Payments'!U350</f>
        <v/>
      </c>
      <c r="D1346" s="46">
        <f>'Payments'!V350</f>
        <v/>
      </c>
      <c r="E1346" s="46">
        <f>IF(OR(B1346="",C1346="",D1346=""),"",D1346*100000+(C1346-DATE(2000,1,1))+ROW()/100000)</f>
        <v/>
      </c>
      <c r="F1346" s="46">
        <f>IF(E1346="","",IF(C1346&gt;WeekEndDate,"",E1346))</f>
        <v/>
      </c>
    </row>
    <row r="1347">
      <c r="A1347" t="inlineStr">
        <is>
          <t>Payments</t>
        </is>
      </c>
      <c r="B1347" s="46">
        <f>'Payments'!W351</f>
        <v/>
      </c>
      <c r="C1347" s="84">
        <f>'Payments'!U351</f>
        <v/>
      </c>
      <c r="D1347" s="46">
        <f>'Payments'!V351</f>
        <v/>
      </c>
      <c r="E1347" s="46">
        <f>IF(OR(B1347="",C1347="",D1347=""),"",D1347*100000+(C1347-DATE(2000,1,1))+ROW()/100000)</f>
        <v/>
      </c>
      <c r="F1347" s="46">
        <f>IF(E1347="","",IF(C1347&gt;WeekEndDate,"",E1347))</f>
        <v/>
      </c>
    </row>
    <row r="1348">
      <c r="A1348" t="inlineStr">
        <is>
          <t>Payments</t>
        </is>
      </c>
      <c r="B1348" s="46">
        <f>'Payments'!W352</f>
        <v/>
      </c>
      <c r="C1348" s="84">
        <f>'Payments'!U352</f>
        <v/>
      </c>
      <c r="D1348" s="46">
        <f>'Payments'!V352</f>
        <v/>
      </c>
      <c r="E1348" s="46">
        <f>IF(OR(B1348="",C1348="",D1348=""),"",D1348*100000+(C1348-DATE(2000,1,1))+ROW()/100000)</f>
        <v/>
      </c>
      <c r="F1348" s="46">
        <f>IF(E1348="","",IF(C1348&gt;WeekEndDate,"",E1348))</f>
        <v/>
      </c>
    </row>
    <row r="1349">
      <c r="A1349" t="inlineStr">
        <is>
          <t>Payments</t>
        </is>
      </c>
      <c r="B1349" s="46">
        <f>'Payments'!W353</f>
        <v/>
      </c>
      <c r="C1349" s="84">
        <f>'Payments'!U353</f>
        <v/>
      </c>
      <c r="D1349" s="46">
        <f>'Payments'!V353</f>
        <v/>
      </c>
      <c r="E1349" s="46">
        <f>IF(OR(B1349="",C1349="",D1349=""),"",D1349*100000+(C1349-DATE(2000,1,1))+ROW()/100000)</f>
        <v/>
      </c>
      <c r="F1349" s="46">
        <f>IF(E1349="","",IF(C1349&gt;WeekEndDate,"",E1349))</f>
        <v/>
      </c>
    </row>
    <row r="1350">
      <c r="A1350" t="inlineStr">
        <is>
          <t>Payments</t>
        </is>
      </c>
      <c r="B1350" s="46">
        <f>'Payments'!W354</f>
        <v/>
      </c>
      <c r="C1350" s="84">
        <f>'Payments'!U354</f>
        <v/>
      </c>
      <c r="D1350" s="46">
        <f>'Payments'!V354</f>
        <v/>
      </c>
      <c r="E1350" s="46">
        <f>IF(OR(B1350="",C1350="",D1350=""),"",D1350*100000+(C1350-DATE(2000,1,1))+ROW()/100000)</f>
        <v/>
      </c>
      <c r="F1350" s="46">
        <f>IF(E1350="","",IF(C1350&gt;WeekEndDate,"",E1350))</f>
        <v/>
      </c>
    </row>
    <row r="1351">
      <c r="A1351" t="inlineStr">
        <is>
          <t>Payments</t>
        </is>
      </c>
      <c r="B1351" s="46">
        <f>'Payments'!W355</f>
        <v/>
      </c>
      <c r="C1351" s="84">
        <f>'Payments'!U355</f>
        <v/>
      </c>
      <c r="D1351" s="46">
        <f>'Payments'!V355</f>
        <v/>
      </c>
      <c r="E1351" s="46">
        <f>IF(OR(B1351="",C1351="",D1351=""),"",D1351*100000+(C1351-DATE(2000,1,1))+ROW()/100000)</f>
        <v/>
      </c>
      <c r="F1351" s="46">
        <f>IF(E1351="","",IF(C1351&gt;WeekEndDate,"",E1351))</f>
        <v/>
      </c>
    </row>
    <row r="1352">
      <c r="A1352" t="inlineStr">
        <is>
          <t>Payments</t>
        </is>
      </c>
      <c r="B1352" s="46">
        <f>'Payments'!W356</f>
        <v/>
      </c>
      <c r="C1352" s="84">
        <f>'Payments'!U356</f>
        <v/>
      </c>
      <c r="D1352" s="46">
        <f>'Payments'!V356</f>
        <v/>
      </c>
      <c r="E1352" s="46">
        <f>IF(OR(B1352="",C1352="",D1352=""),"",D1352*100000+(C1352-DATE(2000,1,1))+ROW()/100000)</f>
        <v/>
      </c>
      <c r="F1352" s="46">
        <f>IF(E1352="","",IF(C1352&gt;WeekEndDate,"",E1352))</f>
        <v/>
      </c>
    </row>
    <row r="1353">
      <c r="A1353" t="inlineStr">
        <is>
          <t>Payments</t>
        </is>
      </c>
      <c r="B1353" s="46">
        <f>'Payments'!W357</f>
        <v/>
      </c>
      <c r="C1353" s="84">
        <f>'Payments'!U357</f>
        <v/>
      </c>
      <c r="D1353" s="46">
        <f>'Payments'!V357</f>
        <v/>
      </c>
      <c r="E1353" s="46">
        <f>IF(OR(B1353="",C1353="",D1353=""),"",D1353*100000+(C1353-DATE(2000,1,1))+ROW()/100000)</f>
        <v/>
      </c>
      <c r="F1353" s="46">
        <f>IF(E1353="","",IF(C1353&gt;WeekEndDate,"",E1353))</f>
        <v/>
      </c>
    </row>
    <row r="1354">
      <c r="A1354" t="inlineStr">
        <is>
          <t>Payments</t>
        </is>
      </c>
      <c r="B1354" s="46">
        <f>'Payments'!W358</f>
        <v/>
      </c>
      <c r="C1354" s="84">
        <f>'Payments'!U358</f>
        <v/>
      </c>
      <c r="D1354" s="46">
        <f>'Payments'!V358</f>
        <v/>
      </c>
      <c r="E1354" s="46">
        <f>IF(OR(B1354="",C1354="",D1354=""),"",D1354*100000+(C1354-DATE(2000,1,1))+ROW()/100000)</f>
        <v/>
      </c>
      <c r="F1354" s="46">
        <f>IF(E1354="","",IF(C1354&gt;WeekEndDate,"",E1354))</f>
        <v/>
      </c>
    </row>
    <row r="1355">
      <c r="A1355" t="inlineStr">
        <is>
          <t>Payments</t>
        </is>
      </c>
      <c r="B1355" s="46">
        <f>'Payments'!W359</f>
        <v/>
      </c>
      <c r="C1355" s="84">
        <f>'Payments'!U359</f>
        <v/>
      </c>
      <c r="D1355" s="46">
        <f>'Payments'!V359</f>
        <v/>
      </c>
      <c r="E1355" s="46">
        <f>IF(OR(B1355="",C1355="",D1355=""),"",D1355*100000+(C1355-DATE(2000,1,1))+ROW()/100000)</f>
        <v/>
      </c>
      <c r="F1355" s="46">
        <f>IF(E1355="","",IF(C1355&gt;WeekEndDate,"",E1355))</f>
        <v/>
      </c>
    </row>
    <row r="1356">
      <c r="A1356" t="inlineStr">
        <is>
          <t>Payments</t>
        </is>
      </c>
      <c r="B1356" s="46">
        <f>'Payments'!W360</f>
        <v/>
      </c>
      <c r="C1356" s="84">
        <f>'Payments'!U360</f>
        <v/>
      </c>
      <c r="D1356" s="46">
        <f>'Payments'!V360</f>
        <v/>
      </c>
      <c r="E1356" s="46">
        <f>IF(OR(B1356="",C1356="",D1356=""),"",D1356*100000+(C1356-DATE(2000,1,1))+ROW()/100000)</f>
        <v/>
      </c>
      <c r="F1356" s="46">
        <f>IF(E1356="","",IF(C1356&gt;WeekEndDate,"",E1356))</f>
        <v/>
      </c>
    </row>
    <row r="1357">
      <c r="A1357" t="inlineStr">
        <is>
          <t>Payments</t>
        </is>
      </c>
      <c r="B1357" s="46">
        <f>'Payments'!W361</f>
        <v/>
      </c>
      <c r="C1357" s="84">
        <f>'Payments'!U361</f>
        <v/>
      </c>
      <c r="D1357" s="46">
        <f>'Payments'!V361</f>
        <v/>
      </c>
      <c r="E1357" s="46">
        <f>IF(OR(B1357="",C1357="",D1357=""),"",D1357*100000+(C1357-DATE(2000,1,1))+ROW()/100000)</f>
        <v/>
      </c>
      <c r="F1357" s="46">
        <f>IF(E1357="","",IF(C1357&gt;WeekEndDate,"",E1357))</f>
        <v/>
      </c>
    </row>
    <row r="1358">
      <c r="A1358" t="inlineStr">
        <is>
          <t>Payments</t>
        </is>
      </c>
      <c r="B1358" s="46">
        <f>'Payments'!W362</f>
        <v/>
      </c>
      <c r="C1358" s="84">
        <f>'Payments'!U362</f>
        <v/>
      </c>
      <c r="D1358" s="46">
        <f>'Payments'!V362</f>
        <v/>
      </c>
      <c r="E1358" s="46">
        <f>IF(OR(B1358="",C1358="",D1358=""),"",D1358*100000+(C1358-DATE(2000,1,1))+ROW()/100000)</f>
        <v/>
      </c>
      <c r="F1358" s="46">
        <f>IF(E1358="","",IF(C1358&gt;WeekEndDate,"",E1358))</f>
        <v/>
      </c>
    </row>
    <row r="1359">
      <c r="A1359" t="inlineStr">
        <is>
          <t>Payments</t>
        </is>
      </c>
      <c r="B1359" s="46">
        <f>'Payments'!W363</f>
        <v/>
      </c>
      <c r="C1359" s="84">
        <f>'Payments'!U363</f>
        <v/>
      </c>
      <c r="D1359" s="46">
        <f>'Payments'!V363</f>
        <v/>
      </c>
      <c r="E1359" s="46">
        <f>IF(OR(B1359="",C1359="",D1359=""),"",D1359*100000+(C1359-DATE(2000,1,1))+ROW()/100000)</f>
        <v/>
      </c>
      <c r="F1359" s="46">
        <f>IF(E1359="","",IF(C1359&gt;WeekEndDate,"",E1359))</f>
        <v/>
      </c>
    </row>
    <row r="1360">
      <c r="A1360" t="inlineStr">
        <is>
          <t>Payments</t>
        </is>
      </c>
      <c r="B1360" s="46">
        <f>'Payments'!W364</f>
        <v/>
      </c>
      <c r="C1360" s="84">
        <f>'Payments'!U364</f>
        <v/>
      </c>
      <c r="D1360" s="46">
        <f>'Payments'!V364</f>
        <v/>
      </c>
      <c r="E1360" s="46">
        <f>IF(OR(B1360="",C1360="",D1360=""),"",D1360*100000+(C1360-DATE(2000,1,1))+ROW()/100000)</f>
        <v/>
      </c>
      <c r="F1360" s="46">
        <f>IF(E1360="","",IF(C1360&gt;WeekEndDate,"",E1360))</f>
        <v/>
      </c>
    </row>
    <row r="1361">
      <c r="A1361" t="inlineStr">
        <is>
          <t>Payments</t>
        </is>
      </c>
      <c r="B1361" s="46">
        <f>'Payments'!W365</f>
        <v/>
      </c>
      <c r="C1361" s="84">
        <f>'Payments'!U365</f>
        <v/>
      </c>
      <c r="D1361" s="46">
        <f>'Payments'!V365</f>
        <v/>
      </c>
      <c r="E1361" s="46">
        <f>IF(OR(B1361="",C1361="",D1361=""),"",D1361*100000+(C1361-DATE(2000,1,1))+ROW()/100000)</f>
        <v/>
      </c>
      <c r="F1361" s="46">
        <f>IF(E1361="","",IF(C1361&gt;WeekEndDate,"",E1361))</f>
        <v/>
      </c>
    </row>
    <row r="1362">
      <c r="A1362" t="inlineStr">
        <is>
          <t>Payments</t>
        </is>
      </c>
      <c r="B1362" s="46">
        <f>'Payments'!W366</f>
        <v/>
      </c>
      <c r="C1362" s="84">
        <f>'Payments'!U366</f>
        <v/>
      </c>
      <c r="D1362" s="46">
        <f>'Payments'!V366</f>
        <v/>
      </c>
      <c r="E1362" s="46">
        <f>IF(OR(B1362="",C1362="",D1362=""),"",D1362*100000+(C1362-DATE(2000,1,1))+ROW()/100000)</f>
        <v/>
      </c>
      <c r="F1362" s="46">
        <f>IF(E1362="","",IF(C1362&gt;WeekEndDate,"",E1362))</f>
        <v/>
      </c>
    </row>
    <row r="1363">
      <c r="A1363" t="inlineStr">
        <is>
          <t>Payments</t>
        </is>
      </c>
      <c r="B1363" s="46">
        <f>'Payments'!W367</f>
        <v/>
      </c>
      <c r="C1363" s="84">
        <f>'Payments'!U367</f>
        <v/>
      </c>
      <c r="D1363" s="46">
        <f>'Payments'!V367</f>
        <v/>
      </c>
      <c r="E1363" s="46">
        <f>IF(OR(B1363="",C1363="",D1363=""),"",D1363*100000+(C1363-DATE(2000,1,1))+ROW()/100000)</f>
        <v/>
      </c>
      <c r="F1363" s="46">
        <f>IF(E1363="","",IF(C1363&gt;WeekEndDate,"",E1363))</f>
        <v/>
      </c>
    </row>
    <row r="1364">
      <c r="A1364" t="inlineStr">
        <is>
          <t>Payments</t>
        </is>
      </c>
      <c r="B1364" s="46">
        <f>'Payments'!W368</f>
        <v/>
      </c>
      <c r="C1364" s="84">
        <f>'Payments'!U368</f>
        <v/>
      </c>
      <c r="D1364" s="46">
        <f>'Payments'!V368</f>
        <v/>
      </c>
      <c r="E1364" s="46">
        <f>IF(OR(B1364="",C1364="",D1364=""),"",D1364*100000+(C1364-DATE(2000,1,1))+ROW()/100000)</f>
        <v/>
      </c>
      <c r="F1364" s="46">
        <f>IF(E1364="","",IF(C1364&gt;WeekEndDate,"",E1364))</f>
        <v/>
      </c>
    </row>
    <row r="1365">
      <c r="A1365" t="inlineStr">
        <is>
          <t>Payments</t>
        </is>
      </c>
      <c r="B1365" s="46">
        <f>'Payments'!W369</f>
        <v/>
      </c>
      <c r="C1365" s="84">
        <f>'Payments'!U369</f>
        <v/>
      </c>
      <c r="D1365" s="46">
        <f>'Payments'!V369</f>
        <v/>
      </c>
      <c r="E1365" s="46">
        <f>IF(OR(B1365="",C1365="",D1365=""),"",D1365*100000+(C1365-DATE(2000,1,1))+ROW()/100000)</f>
        <v/>
      </c>
      <c r="F1365" s="46">
        <f>IF(E1365="","",IF(C1365&gt;WeekEndDate,"",E1365))</f>
        <v/>
      </c>
    </row>
    <row r="1366">
      <c r="A1366" t="inlineStr">
        <is>
          <t>Payments</t>
        </is>
      </c>
      <c r="B1366" s="46">
        <f>'Payments'!W370</f>
        <v/>
      </c>
      <c r="C1366" s="84">
        <f>'Payments'!U370</f>
        <v/>
      </c>
      <c r="D1366" s="46">
        <f>'Payments'!V370</f>
        <v/>
      </c>
      <c r="E1366" s="46">
        <f>IF(OR(B1366="",C1366="",D1366=""),"",D1366*100000+(C1366-DATE(2000,1,1))+ROW()/100000)</f>
        <v/>
      </c>
      <c r="F1366" s="46">
        <f>IF(E1366="","",IF(C1366&gt;WeekEndDate,"",E1366))</f>
        <v/>
      </c>
    </row>
    <row r="1367">
      <c r="A1367" t="inlineStr">
        <is>
          <t>Payments</t>
        </is>
      </c>
      <c r="B1367" s="46">
        <f>'Payments'!W371</f>
        <v/>
      </c>
      <c r="C1367" s="84">
        <f>'Payments'!U371</f>
        <v/>
      </c>
      <c r="D1367" s="46">
        <f>'Payments'!V371</f>
        <v/>
      </c>
      <c r="E1367" s="46">
        <f>IF(OR(B1367="",C1367="",D1367=""),"",D1367*100000+(C1367-DATE(2000,1,1))+ROW()/100000)</f>
        <v/>
      </c>
      <c r="F1367" s="46">
        <f>IF(E1367="","",IF(C1367&gt;WeekEndDate,"",E1367))</f>
        <v/>
      </c>
    </row>
    <row r="1368">
      <c r="A1368" t="inlineStr">
        <is>
          <t>Payments</t>
        </is>
      </c>
      <c r="B1368" s="46">
        <f>'Payments'!W372</f>
        <v/>
      </c>
      <c r="C1368" s="84">
        <f>'Payments'!U372</f>
        <v/>
      </c>
      <c r="D1368" s="46">
        <f>'Payments'!V372</f>
        <v/>
      </c>
      <c r="E1368" s="46">
        <f>IF(OR(B1368="",C1368="",D1368=""),"",D1368*100000+(C1368-DATE(2000,1,1))+ROW()/100000)</f>
        <v/>
      </c>
      <c r="F1368" s="46">
        <f>IF(E1368="","",IF(C1368&gt;WeekEndDate,"",E1368))</f>
        <v/>
      </c>
    </row>
    <row r="1369">
      <c r="A1369" t="inlineStr">
        <is>
          <t>Payments</t>
        </is>
      </c>
      <c r="B1369" s="46">
        <f>'Payments'!W373</f>
        <v/>
      </c>
      <c r="C1369" s="84">
        <f>'Payments'!U373</f>
        <v/>
      </c>
      <c r="D1369" s="46">
        <f>'Payments'!V373</f>
        <v/>
      </c>
      <c r="E1369" s="46">
        <f>IF(OR(B1369="",C1369="",D1369=""),"",D1369*100000+(C1369-DATE(2000,1,1))+ROW()/100000)</f>
        <v/>
      </c>
      <c r="F1369" s="46">
        <f>IF(E1369="","",IF(C1369&gt;WeekEndDate,"",E1369))</f>
        <v/>
      </c>
    </row>
    <row r="1370">
      <c r="A1370" t="inlineStr">
        <is>
          <t>Payments</t>
        </is>
      </c>
      <c r="B1370" s="46">
        <f>'Payments'!W374</f>
        <v/>
      </c>
      <c r="C1370" s="84">
        <f>'Payments'!U374</f>
        <v/>
      </c>
      <c r="D1370" s="46">
        <f>'Payments'!V374</f>
        <v/>
      </c>
      <c r="E1370" s="46">
        <f>IF(OR(B1370="",C1370="",D1370=""),"",D1370*100000+(C1370-DATE(2000,1,1))+ROW()/100000)</f>
        <v/>
      </c>
      <c r="F1370" s="46">
        <f>IF(E1370="","",IF(C1370&gt;WeekEndDate,"",E1370))</f>
        <v/>
      </c>
    </row>
    <row r="1371">
      <c r="A1371" t="inlineStr">
        <is>
          <t>Payments</t>
        </is>
      </c>
      <c r="B1371" s="46">
        <f>'Payments'!W375</f>
        <v/>
      </c>
      <c r="C1371" s="84">
        <f>'Payments'!U375</f>
        <v/>
      </c>
      <c r="D1371" s="46">
        <f>'Payments'!V375</f>
        <v/>
      </c>
      <c r="E1371" s="46">
        <f>IF(OR(B1371="",C1371="",D1371=""),"",D1371*100000+(C1371-DATE(2000,1,1))+ROW()/100000)</f>
        <v/>
      </c>
      <c r="F1371" s="46">
        <f>IF(E1371="","",IF(C1371&gt;WeekEndDate,"",E1371))</f>
        <v/>
      </c>
    </row>
    <row r="1372">
      <c r="A1372" t="inlineStr">
        <is>
          <t>Payments</t>
        </is>
      </c>
      <c r="B1372" s="46">
        <f>'Payments'!W376</f>
        <v/>
      </c>
      <c r="C1372" s="84">
        <f>'Payments'!U376</f>
        <v/>
      </c>
      <c r="D1372" s="46">
        <f>'Payments'!V376</f>
        <v/>
      </c>
      <c r="E1372" s="46">
        <f>IF(OR(B1372="",C1372="",D1372=""),"",D1372*100000+(C1372-DATE(2000,1,1))+ROW()/100000)</f>
        <v/>
      </c>
      <c r="F1372" s="46">
        <f>IF(E1372="","",IF(C1372&gt;WeekEndDate,"",E1372))</f>
        <v/>
      </c>
    </row>
    <row r="1373">
      <c r="A1373" t="inlineStr">
        <is>
          <t>Payments</t>
        </is>
      </c>
      <c r="B1373" s="46">
        <f>'Payments'!W377</f>
        <v/>
      </c>
      <c r="C1373" s="84">
        <f>'Payments'!U377</f>
        <v/>
      </c>
      <c r="D1373" s="46">
        <f>'Payments'!V377</f>
        <v/>
      </c>
      <c r="E1373" s="46">
        <f>IF(OR(B1373="",C1373="",D1373=""),"",D1373*100000+(C1373-DATE(2000,1,1))+ROW()/100000)</f>
        <v/>
      </c>
      <c r="F1373" s="46">
        <f>IF(E1373="","",IF(C1373&gt;WeekEndDate,"",E1373))</f>
        <v/>
      </c>
    </row>
    <row r="1374">
      <c r="A1374" t="inlineStr">
        <is>
          <t>Payments</t>
        </is>
      </c>
      <c r="B1374" s="46">
        <f>'Payments'!W378</f>
        <v/>
      </c>
      <c r="C1374" s="84">
        <f>'Payments'!U378</f>
        <v/>
      </c>
      <c r="D1374" s="46">
        <f>'Payments'!V378</f>
        <v/>
      </c>
      <c r="E1374" s="46">
        <f>IF(OR(B1374="",C1374="",D1374=""),"",D1374*100000+(C1374-DATE(2000,1,1))+ROW()/100000)</f>
        <v/>
      </c>
      <c r="F1374" s="46">
        <f>IF(E1374="","",IF(C1374&gt;WeekEndDate,"",E1374))</f>
        <v/>
      </c>
    </row>
    <row r="1375">
      <c r="A1375" t="inlineStr">
        <is>
          <t>Payments</t>
        </is>
      </c>
      <c r="B1375" s="46">
        <f>'Payments'!W379</f>
        <v/>
      </c>
      <c r="C1375" s="84">
        <f>'Payments'!U379</f>
        <v/>
      </c>
      <c r="D1375" s="46">
        <f>'Payments'!V379</f>
        <v/>
      </c>
      <c r="E1375" s="46">
        <f>IF(OR(B1375="",C1375="",D1375=""),"",D1375*100000+(C1375-DATE(2000,1,1))+ROW()/100000)</f>
        <v/>
      </c>
      <c r="F1375" s="46">
        <f>IF(E1375="","",IF(C1375&gt;WeekEndDate,"",E1375))</f>
        <v/>
      </c>
    </row>
    <row r="1376">
      <c r="A1376" t="inlineStr">
        <is>
          <t>Payments</t>
        </is>
      </c>
      <c r="B1376" s="46">
        <f>'Payments'!W380</f>
        <v/>
      </c>
      <c r="C1376" s="84">
        <f>'Payments'!U380</f>
        <v/>
      </c>
      <c r="D1376" s="46">
        <f>'Payments'!V380</f>
        <v/>
      </c>
      <c r="E1376" s="46">
        <f>IF(OR(B1376="",C1376="",D1376=""),"",D1376*100000+(C1376-DATE(2000,1,1))+ROW()/100000)</f>
        <v/>
      </c>
      <c r="F1376" s="46">
        <f>IF(E1376="","",IF(C1376&gt;WeekEndDate,"",E1376))</f>
        <v/>
      </c>
    </row>
    <row r="1377">
      <c r="A1377" t="inlineStr">
        <is>
          <t>Payments</t>
        </is>
      </c>
      <c r="B1377" s="46">
        <f>'Payments'!W381</f>
        <v/>
      </c>
      <c r="C1377" s="84">
        <f>'Payments'!U381</f>
        <v/>
      </c>
      <c r="D1377" s="46">
        <f>'Payments'!V381</f>
        <v/>
      </c>
      <c r="E1377" s="46">
        <f>IF(OR(B1377="",C1377="",D1377=""),"",D1377*100000+(C1377-DATE(2000,1,1))+ROW()/100000)</f>
        <v/>
      </c>
      <c r="F1377" s="46">
        <f>IF(E1377="","",IF(C1377&gt;WeekEndDate,"",E1377))</f>
        <v/>
      </c>
    </row>
    <row r="1378">
      <c r="A1378" t="inlineStr">
        <is>
          <t>Payments</t>
        </is>
      </c>
      <c r="B1378" s="46">
        <f>'Payments'!W382</f>
        <v/>
      </c>
      <c r="C1378" s="84">
        <f>'Payments'!U382</f>
        <v/>
      </c>
      <c r="D1378" s="46">
        <f>'Payments'!V382</f>
        <v/>
      </c>
      <c r="E1378" s="46">
        <f>IF(OR(B1378="",C1378="",D1378=""),"",D1378*100000+(C1378-DATE(2000,1,1))+ROW()/100000)</f>
        <v/>
      </c>
      <c r="F1378" s="46">
        <f>IF(E1378="","",IF(C1378&gt;WeekEndDate,"",E1378))</f>
        <v/>
      </c>
    </row>
    <row r="1379">
      <c r="A1379" t="inlineStr">
        <is>
          <t>Payments</t>
        </is>
      </c>
      <c r="B1379" s="46">
        <f>'Payments'!W383</f>
        <v/>
      </c>
      <c r="C1379" s="84">
        <f>'Payments'!U383</f>
        <v/>
      </c>
      <c r="D1379" s="46">
        <f>'Payments'!V383</f>
        <v/>
      </c>
      <c r="E1379" s="46">
        <f>IF(OR(B1379="",C1379="",D1379=""),"",D1379*100000+(C1379-DATE(2000,1,1))+ROW()/100000)</f>
        <v/>
      </c>
      <c r="F1379" s="46">
        <f>IF(E1379="","",IF(C1379&gt;WeekEndDate,"",E1379))</f>
        <v/>
      </c>
    </row>
    <row r="1380">
      <c r="A1380" t="inlineStr">
        <is>
          <t>Payments</t>
        </is>
      </c>
      <c r="B1380" s="46">
        <f>'Payments'!W384</f>
        <v/>
      </c>
      <c r="C1380" s="84">
        <f>'Payments'!U384</f>
        <v/>
      </c>
      <c r="D1380" s="46">
        <f>'Payments'!V384</f>
        <v/>
      </c>
      <c r="E1380" s="46">
        <f>IF(OR(B1380="",C1380="",D1380=""),"",D1380*100000+(C1380-DATE(2000,1,1))+ROW()/100000)</f>
        <v/>
      </c>
      <c r="F1380" s="46">
        <f>IF(E1380="","",IF(C1380&gt;WeekEndDate,"",E1380))</f>
        <v/>
      </c>
    </row>
    <row r="1381">
      <c r="A1381" t="inlineStr">
        <is>
          <t>Payments</t>
        </is>
      </c>
      <c r="B1381" s="46">
        <f>'Payments'!W385</f>
        <v/>
      </c>
      <c r="C1381" s="84">
        <f>'Payments'!U385</f>
        <v/>
      </c>
      <c r="D1381" s="46">
        <f>'Payments'!V385</f>
        <v/>
      </c>
      <c r="E1381" s="46">
        <f>IF(OR(B1381="",C1381="",D1381=""),"",D1381*100000+(C1381-DATE(2000,1,1))+ROW()/100000)</f>
        <v/>
      </c>
      <c r="F1381" s="46">
        <f>IF(E1381="","",IF(C1381&gt;WeekEndDate,"",E1381))</f>
        <v/>
      </c>
    </row>
    <row r="1382">
      <c r="A1382" t="inlineStr">
        <is>
          <t>Payments</t>
        </is>
      </c>
      <c r="B1382" s="46">
        <f>'Payments'!W386</f>
        <v/>
      </c>
      <c r="C1382" s="84">
        <f>'Payments'!U386</f>
        <v/>
      </c>
      <c r="D1382" s="46">
        <f>'Payments'!V386</f>
        <v/>
      </c>
      <c r="E1382" s="46">
        <f>IF(OR(B1382="",C1382="",D1382=""),"",D1382*100000+(C1382-DATE(2000,1,1))+ROW()/100000)</f>
        <v/>
      </c>
      <c r="F1382" s="46">
        <f>IF(E1382="","",IF(C1382&gt;WeekEndDate,"",E1382))</f>
        <v/>
      </c>
    </row>
    <row r="1383">
      <c r="A1383" t="inlineStr">
        <is>
          <t>Payments</t>
        </is>
      </c>
      <c r="B1383" s="46">
        <f>'Payments'!W387</f>
        <v/>
      </c>
      <c r="C1383" s="84">
        <f>'Payments'!U387</f>
        <v/>
      </c>
      <c r="D1383" s="46">
        <f>'Payments'!V387</f>
        <v/>
      </c>
      <c r="E1383" s="46">
        <f>IF(OR(B1383="",C1383="",D1383=""),"",D1383*100000+(C1383-DATE(2000,1,1))+ROW()/100000)</f>
        <v/>
      </c>
      <c r="F1383" s="46">
        <f>IF(E1383="","",IF(C1383&gt;WeekEndDate,"",E1383))</f>
        <v/>
      </c>
    </row>
    <row r="1384">
      <c r="A1384" t="inlineStr">
        <is>
          <t>Payments</t>
        </is>
      </c>
      <c r="B1384" s="46">
        <f>'Payments'!W388</f>
        <v/>
      </c>
      <c r="C1384" s="84">
        <f>'Payments'!U388</f>
        <v/>
      </c>
      <c r="D1384" s="46">
        <f>'Payments'!V388</f>
        <v/>
      </c>
      <c r="E1384" s="46">
        <f>IF(OR(B1384="",C1384="",D1384=""),"",D1384*100000+(C1384-DATE(2000,1,1))+ROW()/100000)</f>
        <v/>
      </c>
      <c r="F1384" s="46">
        <f>IF(E1384="","",IF(C1384&gt;WeekEndDate,"",E1384))</f>
        <v/>
      </c>
    </row>
    <row r="1385">
      <c r="A1385" t="inlineStr">
        <is>
          <t>Payments</t>
        </is>
      </c>
      <c r="B1385" s="46">
        <f>'Payments'!W389</f>
        <v/>
      </c>
      <c r="C1385" s="84">
        <f>'Payments'!U389</f>
        <v/>
      </c>
      <c r="D1385" s="46">
        <f>'Payments'!V389</f>
        <v/>
      </c>
      <c r="E1385" s="46">
        <f>IF(OR(B1385="",C1385="",D1385=""),"",D1385*100000+(C1385-DATE(2000,1,1))+ROW()/100000)</f>
        <v/>
      </c>
      <c r="F1385" s="46">
        <f>IF(E1385="","",IF(C1385&gt;WeekEndDate,"",E1385))</f>
        <v/>
      </c>
    </row>
    <row r="1386">
      <c r="A1386" t="inlineStr">
        <is>
          <t>Payments</t>
        </is>
      </c>
      <c r="B1386" s="46">
        <f>'Payments'!W390</f>
        <v/>
      </c>
      <c r="C1386" s="84">
        <f>'Payments'!U390</f>
        <v/>
      </c>
      <c r="D1386" s="46">
        <f>'Payments'!V390</f>
        <v/>
      </c>
      <c r="E1386" s="46">
        <f>IF(OR(B1386="",C1386="",D1386=""),"",D1386*100000+(C1386-DATE(2000,1,1))+ROW()/100000)</f>
        <v/>
      </c>
      <c r="F1386" s="46">
        <f>IF(E1386="","",IF(C1386&gt;WeekEndDate,"",E1386))</f>
        <v/>
      </c>
    </row>
    <row r="1387">
      <c r="A1387" t="inlineStr">
        <is>
          <t>Payments</t>
        </is>
      </c>
      <c r="B1387" s="46">
        <f>'Payments'!W391</f>
        <v/>
      </c>
      <c r="C1387" s="84">
        <f>'Payments'!U391</f>
        <v/>
      </c>
      <c r="D1387" s="46">
        <f>'Payments'!V391</f>
        <v/>
      </c>
      <c r="E1387" s="46">
        <f>IF(OR(B1387="",C1387="",D1387=""),"",D1387*100000+(C1387-DATE(2000,1,1))+ROW()/100000)</f>
        <v/>
      </c>
      <c r="F1387" s="46">
        <f>IF(E1387="","",IF(C1387&gt;WeekEndDate,"",E1387))</f>
        <v/>
      </c>
    </row>
    <row r="1388">
      <c r="A1388" t="inlineStr">
        <is>
          <t>Payments</t>
        </is>
      </c>
      <c r="B1388" s="46">
        <f>'Payments'!W392</f>
        <v/>
      </c>
      <c r="C1388" s="84">
        <f>'Payments'!U392</f>
        <v/>
      </c>
      <c r="D1388" s="46">
        <f>'Payments'!V392</f>
        <v/>
      </c>
      <c r="E1388" s="46">
        <f>IF(OR(B1388="",C1388="",D1388=""),"",D1388*100000+(C1388-DATE(2000,1,1))+ROW()/100000)</f>
        <v/>
      </c>
      <c r="F1388" s="46">
        <f>IF(E1388="","",IF(C1388&gt;WeekEndDate,"",E1388))</f>
        <v/>
      </c>
    </row>
    <row r="1389">
      <c r="A1389" t="inlineStr">
        <is>
          <t>Payments</t>
        </is>
      </c>
      <c r="B1389" s="46">
        <f>'Payments'!W393</f>
        <v/>
      </c>
      <c r="C1389" s="84">
        <f>'Payments'!U393</f>
        <v/>
      </c>
      <c r="D1389" s="46">
        <f>'Payments'!V393</f>
        <v/>
      </c>
      <c r="E1389" s="46">
        <f>IF(OR(B1389="",C1389="",D1389=""),"",D1389*100000+(C1389-DATE(2000,1,1))+ROW()/100000)</f>
        <v/>
      </c>
      <c r="F1389" s="46">
        <f>IF(E1389="","",IF(C1389&gt;WeekEndDate,"",E1389))</f>
        <v/>
      </c>
    </row>
    <row r="1390">
      <c r="A1390" t="inlineStr">
        <is>
          <t>Payments</t>
        </is>
      </c>
      <c r="B1390" s="46">
        <f>'Payments'!W394</f>
        <v/>
      </c>
      <c r="C1390" s="84">
        <f>'Payments'!U394</f>
        <v/>
      </c>
      <c r="D1390" s="46">
        <f>'Payments'!V394</f>
        <v/>
      </c>
      <c r="E1390" s="46">
        <f>IF(OR(B1390="",C1390="",D1390=""),"",D1390*100000+(C1390-DATE(2000,1,1))+ROW()/100000)</f>
        <v/>
      </c>
      <c r="F1390" s="46">
        <f>IF(E1390="","",IF(C1390&gt;WeekEndDate,"",E1390))</f>
        <v/>
      </c>
    </row>
    <row r="1391">
      <c r="A1391" t="inlineStr">
        <is>
          <t>Payments</t>
        </is>
      </c>
      <c r="B1391" s="46">
        <f>'Payments'!W395</f>
        <v/>
      </c>
      <c r="C1391" s="84">
        <f>'Payments'!U395</f>
        <v/>
      </c>
      <c r="D1391" s="46">
        <f>'Payments'!V395</f>
        <v/>
      </c>
      <c r="E1391" s="46">
        <f>IF(OR(B1391="",C1391="",D1391=""),"",D1391*100000+(C1391-DATE(2000,1,1))+ROW()/100000)</f>
        <v/>
      </c>
      <c r="F1391" s="46">
        <f>IF(E1391="","",IF(C1391&gt;WeekEndDate,"",E1391))</f>
        <v/>
      </c>
    </row>
    <row r="1392">
      <c r="A1392" t="inlineStr">
        <is>
          <t>Payments</t>
        </is>
      </c>
      <c r="B1392" s="46">
        <f>'Payments'!W396</f>
        <v/>
      </c>
      <c r="C1392" s="84">
        <f>'Payments'!U396</f>
        <v/>
      </c>
      <c r="D1392" s="46">
        <f>'Payments'!V396</f>
        <v/>
      </c>
      <c r="E1392" s="46">
        <f>IF(OR(B1392="",C1392="",D1392=""),"",D1392*100000+(C1392-DATE(2000,1,1))+ROW()/100000)</f>
        <v/>
      </c>
      <c r="F1392" s="46">
        <f>IF(E1392="","",IF(C1392&gt;WeekEndDate,"",E1392))</f>
        <v/>
      </c>
    </row>
    <row r="1393">
      <c r="A1393" t="inlineStr">
        <is>
          <t>Payments</t>
        </is>
      </c>
      <c r="B1393" s="46">
        <f>'Payments'!W397</f>
        <v/>
      </c>
      <c r="C1393" s="84">
        <f>'Payments'!U397</f>
        <v/>
      </c>
      <c r="D1393" s="46">
        <f>'Payments'!V397</f>
        <v/>
      </c>
      <c r="E1393" s="46">
        <f>IF(OR(B1393="",C1393="",D1393=""),"",D1393*100000+(C1393-DATE(2000,1,1))+ROW()/100000)</f>
        <v/>
      </c>
      <c r="F1393" s="46">
        <f>IF(E1393="","",IF(C1393&gt;WeekEndDate,"",E1393))</f>
        <v/>
      </c>
    </row>
    <row r="1394">
      <c r="A1394" t="inlineStr">
        <is>
          <t>Payments</t>
        </is>
      </c>
      <c r="B1394" s="46">
        <f>'Payments'!W398</f>
        <v/>
      </c>
      <c r="C1394" s="84">
        <f>'Payments'!U398</f>
        <v/>
      </c>
      <c r="D1394" s="46">
        <f>'Payments'!V398</f>
        <v/>
      </c>
      <c r="E1394" s="46">
        <f>IF(OR(B1394="",C1394="",D1394=""),"",D1394*100000+(C1394-DATE(2000,1,1))+ROW()/100000)</f>
        <v/>
      </c>
      <c r="F1394" s="46">
        <f>IF(E1394="","",IF(C1394&gt;WeekEndDate,"",E1394))</f>
        <v/>
      </c>
    </row>
    <row r="1395">
      <c r="A1395" t="inlineStr">
        <is>
          <t>Payments</t>
        </is>
      </c>
      <c r="B1395" s="46">
        <f>'Payments'!W399</f>
        <v/>
      </c>
      <c r="C1395" s="84">
        <f>'Payments'!U399</f>
        <v/>
      </c>
      <c r="D1395" s="46">
        <f>'Payments'!V399</f>
        <v/>
      </c>
      <c r="E1395" s="46">
        <f>IF(OR(B1395="",C1395="",D1395=""),"",D1395*100000+(C1395-DATE(2000,1,1))+ROW()/100000)</f>
        <v/>
      </c>
      <c r="F1395" s="46">
        <f>IF(E1395="","",IF(C1395&gt;WeekEndDate,"",E1395))</f>
        <v/>
      </c>
    </row>
    <row r="1396">
      <c r="A1396" t="inlineStr">
        <is>
          <t>Payments</t>
        </is>
      </c>
      <c r="B1396" s="46">
        <f>'Payments'!W400</f>
        <v/>
      </c>
      <c r="C1396" s="84">
        <f>'Payments'!U400</f>
        <v/>
      </c>
      <c r="D1396" s="46">
        <f>'Payments'!V400</f>
        <v/>
      </c>
      <c r="E1396" s="46">
        <f>IF(OR(B1396="",C1396="",D1396=""),"",D1396*100000+(C1396-DATE(2000,1,1))+ROW()/100000)</f>
        <v/>
      </c>
      <c r="F1396" s="46">
        <f>IF(E1396="","",IF(C1396&gt;WeekEndDate,"",E1396))</f>
        <v/>
      </c>
    </row>
    <row r="1397">
      <c r="A1397" t="inlineStr">
        <is>
          <t>Payments</t>
        </is>
      </c>
      <c r="B1397" s="46">
        <f>'Payments'!W401</f>
        <v/>
      </c>
      <c r="C1397" s="84">
        <f>'Payments'!U401</f>
        <v/>
      </c>
      <c r="D1397" s="46">
        <f>'Payments'!V401</f>
        <v/>
      </c>
      <c r="E1397" s="46">
        <f>IF(OR(B1397="",C1397="",D1397=""),"",D1397*100000+(C1397-DATE(2000,1,1))+ROW()/100000)</f>
        <v/>
      </c>
      <c r="F1397" s="46">
        <f>IF(E1397="","",IF(C1397&gt;WeekEndDate,"",E1397))</f>
        <v/>
      </c>
    </row>
    <row r="1398">
      <c r="A1398" t="inlineStr">
        <is>
          <t>Payments</t>
        </is>
      </c>
      <c r="B1398" s="46">
        <f>'Payments'!W402</f>
        <v/>
      </c>
      <c r="C1398" s="84">
        <f>'Payments'!U402</f>
        <v/>
      </c>
      <c r="D1398" s="46">
        <f>'Payments'!V402</f>
        <v/>
      </c>
      <c r="E1398" s="46">
        <f>IF(OR(B1398="",C1398="",D1398=""),"",D1398*100000+(C1398-DATE(2000,1,1))+ROW()/100000)</f>
        <v/>
      </c>
      <c r="F1398" s="46">
        <f>IF(E1398="","",IF(C1398&gt;WeekEndDate,"",E1398))</f>
        <v/>
      </c>
    </row>
    <row r="1399">
      <c r="A1399" t="inlineStr">
        <is>
          <t>Payments</t>
        </is>
      </c>
      <c r="B1399" s="46">
        <f>'Payments'!W403</f>
        <v/>
      </c>
      <c r="C1399" s="84">
        <f>'Payments'!U403</f>
        <v/>
      </c>
      <c r="D1399" s="46">
        <f>'Payments'!V403</f>
        <v/>
      </c>
      <c r="E1399" s="46">
        <f>IF(OR(B1399="",C1399="",D1399=""),"",D1399*100000+(C1399-DATE(2000,1,1))+ROW()/100000)</f>
        <v/>
      </c>
      <c r="F1399" s="46">
        <f>IF(E1399="","",IF(C1399&gt;WeekEndDate,"",E1399))</f>
        <v/>
      </c>
    </row>
    <row r="1400">
      <c r="A1400" t="inlineStr">
        <is>
          <t>Payments</t>
        </is>
      </c>
      <c r="B1400" s="46">
        <f>'Payments'!W404</f>
        <v/>
      </c>
      <c r="C1400" s="84">
        <f>'Payments'!U404</f>
        <v/>
      </c>
      <c r="D1400" s="46">
        <f>'Payments'!V404</f>
        <v/>
      </c>
      <c r="E1400" s="46">
        <f>IF(OR(B1400="",C1400="",D1400=""),"",D1400*100000+(C1400-DATE(2000,1,1))+ROW()/100000)</f>
        <v/>
      </c>
      <c r="F1400" s="46">
        <f>IF(E1400="","",IF(C1400&gt;WeekEndDate,"",E1400))</f>
        <v/>
      </c>
    </row>
    <row r="1401">
      <c r="A1401" t="inlineStr">
        <is>
          <t>Payments</t>
        </is>
      </c>
      <c r="B1401" s="46">
        <f>'Payments'!W405</f>
        <v/>
      </c>
      <c r="C1401" s="84">
        <f>'Payments'!U405</f>
        <v/>
      </c>
      <c r="D1401" s="46">
        <f>'Payments'!V405</f>
        <v/>
      </c>
      <c r="E1401" s="46">
        <f>IF(OR(B1401="",C1401="",D1401=""),"",D1401*100000+(C1401-DATE(2000,1,1))+ROW()/100000)</f>
        <v/>
      </c>
      <c r="F1401" s="46">
        <f>IF(E1401="","",IF(C1401&gt;WeekEndDate,"",E1401))</f>
        <v/>
      </c>
    </row>
    <row r="1402">
      <c r="A1402" t="inlineStr">
        <is>
          <t>Payments</t>
        </is>
      </c>
      <c r="B1402" s="46">
        <f>'Payments'!W406</f>
        <v/>
      </c>
      <c r="C1402" s="84">
        <f>'Payments'!U406</f>
        <v/>
      </c>
      <c r="D1402" s="46">
        <f>'Payments'!V406</f>
        <v/>
      </c>
      <c r="E1402" s="46">
        <f>IF(OR(B1402="",C1402="",D1402=""),"",D1402*100000+(C1402-DATE(2000,1,1))+ROW()/100000)</f>
        <v/>
      </c>
      <c r="F1402" s="46">
        <f>IF(E1402="","",IF(C1402&gt;WeekEndDate,"",E1402))</f>
        <v/>
      </c>
    </row>
    <row r="1403">
      <c r="A1403" t="inlineStr">
        <is>
          <t>Payments</t>
        </is>
      </c>
      <c r="B1403" s="46">
        <f>'Payments'!W407</f>
        <v/>
      </c>
      <c r="C1403" s="84">
        <f>'Payments'!U407</f>
        <v/>
      </c>
      <c r="D1403" s="46">
        <f>'Payments'!V407</f>
        <v/>
      </c>
      <c r="E1403" s="46">
        <f>IF(OR(B1403="",C1403="",D1403=""),"",D1403*100000+(C1403-DATE(2000,1,1))+ROW()/100000)</f>
        <v/>
      </c>
      <c r="F1403" s="46">
        <f>IF(E1403="","",IF(C1403&gt;WeekEndDate,"",E1403))</f>
        <v/>
      </c>
    </row>
    <row r="1404">
      <c r="A1404" t="inlineStr">
        <is>
          <t>Payments</t>
        </is>
      </c>
      <c r="B1404" s="46">
        <f>'Payments'!W408</f>
        <v/>
      </c>
      <c r="C1404" s="84">
        <f>'Payments'!U408</f>
        <v/>
      </c>
      <c r="D1404" s="46">
        <f>'Payments'!V408</f>
        <v/>
      </c>
      <c r="E1404" s="46">
        <f>IF(OR(B1404="",C1404="",D1404=""),"",D1404*100000+(C1404-DATE(2000,1,1))+ROW()/100000)</f>
        <v/>
      </c>
      <c r="F1404" s="46">
        <f>IF(E1404="","",IF(C1404&gt;WeekEndDate,"",E1404))</f>
        <v/>
      </c>
    </row>
    <row r="1405">
      <c r="A1405" t="inlineStr">
        <is>
          <t>Payments</t>
        </is>
      </c>
      <c r="B1405" s="46">
        <f>'Payments'!W409</f>
        <v/>
      </c>
      <c r="C1405" s="84">
        <f>'Payments'!U409</f>
        <v/>
      </c>
      <c r="D1405" s="46">
        <f>'Payments'!V409</f>
        <v/>
      </c>
      <c r="E1405" s="46">
        <f>IF(OR(B1405="",C1405="",D1405=""),"",D1405*100000+(C1405-DATE(2000,1,1))+ROW()/100000)</f>
        <v/>
      </c>
      <c r="F1405" s="46">
        <f>IF(E1405="","",IF(C1405&gt;WeekEndDate,"",E1405))</f>
        <v/>
      </c>
    </row>
    <row r="1406">
      <c r="A1406" t="inlineStr">
        <is>
          <t>Payments</t>
        </is>
      </c>
      <c r="B1406" s="46">
        <f>'Payments'!W410</f>
        <v/>
      </c>
      <c r="C1406" s="84">
        <f>'Payments'!U410</f>
        <v/>
      </c>
      <c r="D1406" s="46">
        <f>'Payments'!V410</f>
        <v/>
      </c>
      <c r="E1406" s="46">
        <f>IF(OR(B1406="",C1406="",D1406=""),"",D1406*100000+(C1406-DATE(2000,1,1))+ROW()/100000)</f>
        <v/>
      </c>
      <c r="F1406" s="46">
        <f>IF(E1406="","",IF(C1406&gt;WeekEndDate,"",E1406))</f>
        <v/>
      </c>
    </row>
    <row r="1407">
      <c r="A1407" t="inlineStr">
        <is>
          <t>Payments</t>
        </is>
      </c>
      <c r="B1407" s="46">
        <f>'Payments'!W411</f>
        <v/>
      </c>
      <c r="C1407" s="84">
        <f>'Payments'!U411</f>
        <v/>
      </c>
      <c r="D1407" s="46">
        <f>'Payments'!V411</f>
        <v/>
      </c>
      <c r="E1407" s="46">
        <f>IF(OR(B1407="",C1407="",D1407=""),"",D1407*100000+(C1407-DATE(2000,1,1))+ROW()/100000)</f>
        <v/>
      </c>
      <c r="F1407" s="46">
        <f>IF(E1407="","",IF(C1407&gt;WeekEndDate,"",E1407))</f>
        <v/>
      </c>
    </row>
    <row r="1408">
      <c r="A1408" t="inlineStr">
        <is>
          <t>Payments</t>
        </is>
      </c>
      <c r="B1408" s="46">
        <f>'Payments'!W412</f>
        <v/>
      </c>
      <c r="C1408" s="84">
        <f>'Payments'!U412</f>
        <v/>
      </c>
      <c r="D1408" s="46">
        <f>'Payments'!V412</f>
        <v/>
      </c>
      <c r="E1408" s="46">
        <f>IF(OR(B1408="",C1408="",D1408=""),"",D1408*100000+(C1408-DATE(2000,1,1))+ROW()/100000)</f>
        <v/>
      </c>
      <c r="F1408" s="46">
        <f>IF(E1408="","",IF(C1408&gt;WeekEndDate,"",E1408))</f>
        <v/>
      </c>
    </row>
    <row r="1409">
      <c r="A1409" t="inlineStr">
        <is>
          <t>Payments</t>
        </is>
      </c>
      <c r="B1409" s="46">
        <f>'Payments'!W413</f>
        <v/>
      </c>
      <c r="C1409" s="84">
        <f>'Payments'!U413</f>
        <v/>
      </c>
      <c r="D1409" s="46">
        <f>'Payments'!V413</f>
        <v/>
      </c>
      <c r="E1409" s="46">
        <f>IF(OR(B1409="",C1409="",D1409=""),"",D1409*100000+(C1409-DATE(2000,1,1))+ROW()/100000)</f>
        <v/>
      </c>
      <c r="F1409" s="46">
        <f>IF(E1409="","",IF(C1409&gt;WeekEndDate,"",E1409))</f>
        <v/>
      </c>
    </row>
    <row r="1410">
      <c r="A1410" t="inlineStr">
        <is>
          <t>Payments</t>
        </is>
      </c>
      <c r="B1410" s="46">
        <f>'Payments'!W414</f>
        <v/>
      </c>
      <c r="C1410" s="84">
        <f>'Payments'!U414</f>
        <v/>
      </c>
      <c r="D1410" s="46">
        <f>'Payments'!V414</f>
        <v/>
      </c>
      <c r="E1410" s="46">
        <f>IF(OR(B1410="",C1410="",D1410=""),"",D1410*100000+(C1410-DATE(2000,1,1))+ROW()/100000)</f>
        <v/>
      </c>
      <c r="F1410" s="46">
        <f>IF(E1410="","",IF(C1410&gt;WeekEndDate,"",E1410))</f>
        <v/>
      </c>
    </row>
    <row r="1411">
      <c r="A1411" t="inlineStr">
        <is>
          <t>Payments</t>
        </is>
      </c>
      <c r="B1411" s="46">
        <f>'Payments'!W415</f>
        <v/>
      </c>
      <c r="C1411" s="84">
        <f>'Payments'!U415</f>
        <v/>
      </c>
      <c r="D1411" s="46">
        <f>'Payments'!V415</f>
        <v/>
      </c>
      <c r="E1411" s="46">
        <f>IF(OR(B1411="",C1411="",D1411=""),"",D1411*100000+(C1411-DATE(2000,1,1))+ROW()/100000)</f>
        <v/>
      </c>
      <c r="F1411" s="46">
        <f>IF(E1411="","",IF(C1411&gt;WeekEndDate,"",E1411))</f>
        <v/>
      </c>
    </row>
    <row r="1412">
      <c r="A1412" t="inlineStr">
        <is>
          <t>Payments</t>
        </is>
      </c>
      <c r="B1412" s="46">
        <f>'Payments'!W416</f>
        <v/>
      </c>
      <c r="C1412" s="84">
        <f>'Payments'!U416</f>
        <v/>
      </c>
      <c r="D1412" s="46">
        <f>'Payments'!V416</f>
        <v/>
      </c>
      <c r="E1412" s="46">
        <f>IF(OR(B1412="",C1412="",D1412=""),"",D1412*100000+(C1412-DATE(2000,1,1))+ROW()/100000)</f>
        <v/>
      </c>
      <c r="F1412" s="46">
        <f>IF(E1412="","",IF(C1412&gt;WeekEndDate,"",E1412))</f>
        <v/>
      </c>
    </row>
    <row r="1413">
      <c r="A1413" t="inlineStr">
        <is>
          <t>Payments</t>
        </is>
      </c>
      <c r="B1413" s="46">
        <f>'Payments'!W417</f>
        <v/>
      </c>
      <c r="C1413" s="84">
        <f>'Payments'!U417</f>
        <v/>
      </c>
      <c r="D1413" s="46">
        <f>'Payments'!V417</f>
        <v/>
      </c>
      <c r="E1413" s="46">
        <f>IF(OR(B1413="",C1413="",D1413=""),"",D1413*100000+(C1413-DATE(2000,1,1))+ROW()/100000)</f>
        <v/>
      </c>
      <c r="F1413" s="46">
        <f>IF(E1413="","",IF(C1413&gt;WeekEndDate,"",E1413))</f>
        <v/>
      </c>
    </row>
    <row r="1414">
      <c r="A1414" t="inlineStr">
        <is>
          <t>Payments</t>
        </is>
      </c>
      <c r="B1414" s="46">
        <f>'Payments'!W418</f>
        <v/>
      </c>
      <c r="C1414" s="84">
        <f>'Payments'!U418</f>
        <v/>
      </c>
      <c r="D1414" s="46">
        <f>'Payments'!V418</f>
        <v/>
      </c>
      <c r="E1414" s="46">
        <f>IF(OR(B1414="",C1414="",D1414=""),"",D1414*100000+(C1414-DATE(2000,1,1))+ROW()/100000)</f>
        <v/>
      </c>
      <c r="F1414" s="46">
        <f>IF(E1414="","",IF(C1414&gt;WeekEndDate,"",E1414))</f>
        <v/>
      </c>
    </row>
    <row r="1415">
      <c r="A1415" t="inlineStr">
        <is>
          <t>Payments</t>
        </is>
      </c>
      <c r="B1415" s="46">
        <f>'Payments'!W419</f>
        <v/>
      </c>
      <c r="C1415" s="84">
        <f>'Payments'!U419</f>
        <v/>
      </c>
      <c r="D1415" s="46">
        <f>'Payments'!V419</f>
        <v/>
      </c>
      <c r="E1415" s="46">
        <f>IF(OR(B1415="",C1415="",D1415=""),"",D1415*100000+(C1415-DATE(2000,1,1))+ROW()/100000)</f>
        <v/>
      </c>
      <c r="F1415" s="46">
        <f>IF(E1415="","",IF(C1415&gt;WeekEndDate,"",E1415))</f>
        <v/>
      </c>
    </row>
    <row r="1416">
      <c r="A1416" t="inlineStr">
        <is>
          <t>Payments</t>
        </is>
      </c>
      <c r="B1416" s="46">
        <f>'Payments'!W420</f>
        <v/>
      </c>
      <c r="C1416" s="84">
        <f>'Payments'!U420</f>
        <v/>
      </c>
      <c r="D1416" s="46">
        <f>'Payments'!V420</f>
        <v/>
      </c>
      <c r="E1416" s="46">
        <f>IF(OR(B1416="",C1416="",D1416=""),"",D1416*100000+(C1416-DATE(2000,1,1))+ROW()/100000)</f>
        <v/>
      </c>
      <c r="F1416" s="46">
        <f>IF(E1416="","",IF(C1416&gt;WeekEndDate,"",E1416))</f>
        <v/>
      </c>
    </row>
    <row r="1417">
      <c r="A1417" t="inlineStr">
        <is>
          <t>Payments</t>
        </is>
      </c>
      <c r="B1417" s="46">
        <f>'Payments'!W421</f>
        <v/>
      </c>
      <c r="C1417" s="84">
        <f>'Payments'!U421</f>
        <v/>
      </c>
      <c r="D1417" s="46">
        <f>'Payments'!V421</f>
        <v/>
      </c>
      <c r="E1417" s="46">
        <f>IF(OR(B1417="",C1417="",D1417=""),"",D1417*100000+(C1417-DATE(2000,1,1))+ROW()/100000)</f>
        <v/>
      </c>
      <c r="F1417" s="46">
        <f>IF(E1417="","",IF(C1417&gt;WeekEndDate,"",E1417))</f>
        <v/>
      </c>
    </row>
    <row r="1418">
      <c r="A1418" t="inlineStr">
        <is>
          <t>Payments</t>
        </is>
      </c>
      <c r="B1418" s="46">
        <f>'Payments'!W422</f>
        <v/>
      </c>
      <c r="C1418" s="84">
        <f>'Payments'!U422</f>
        <v/>
      </c>
      <c r="D1418" s="46">
        <f>'Payments'!V422</f>
        <v/>
      </c>
      <c r="E1418" s="46">
        <f>IF(OR(B1418="",C1418="",D1418=""),"",D1418*100000+(C1418-DATE(2000,1,1))+ROW()/100000)</f>
        <v/>
      </c>
      <c r="F1418" s="46">
        <f>IF(E1418="","",IF(C1418&gt;WeekEndDate,"",E1418))</f>
        <v/>
      </c>
    </row>
    <row r="1419">
      <c r="A1419" t="inlineStr">
        <is>
          <t>Payments</t>
        </is>
      </c>
      <c r="B1419" s="46">
        <f>'Payments'!W423</f>
        <v/>
      </c>
      <c r="C1419" s="84">
        <f>'Payments'!U423</f>
        <v/>
      </c>
      <c r="D1419" s="46">
        <f>'Payments'!V423</f>
        <v/>
      </c>
      <c r="E1419" s="46">
        <f>IF(OR(B1419="",C1419="",D1419=""),"",D1419*100000+(C1419-DATE(2000,1,1))+ROW()/100000)</f>
        <v/>
      </c>
      <c r="F1419" s="46">
        <f>IF(E1419="","",IF(C1419&gt;WeekEndDate,"",E1419))</f>
        <v/>
      </c>
    </row>
    <row r="1420">
      <c r="A1420" t="inlineStr">
        <is>
          <t>Payments</t>
        </is>
      </c>
      <c r="B1420" s="46">
        <f>'Payments'!W424</f>
        <v/>
      </c>
      <c r="C1420" s="84">
        <f>'Payments'!U424</f>
        <v/>
      </c>
      <c r="D1420" s="46">
        <f>'Payments'!V424</f>
        <v/>
      </c>
      <c r="E1420" s="46">
        <f>IF(OR(B1420="",C1420="",D1420=""),"",D1420*100000+(C1420-DATE(2000,1,1))+ROW()/100000)</f>
        <v/>
      </c>
      <c r="F1420" s="46">
        <f>IF(E1420="","",IF(C1420&gt;WeekEndDate,"",E1420))</f>
        <v/>
      </c>
    </row>
    <row r="1421">
      <c r="A1421" t="inlineStr">
        <is>
          <t>Payments</t>
        </is>
      </c>
      <c r="B1421" s="46">
        <f>'Payments'!W425</f>
        <v/>
      </c>
      <c r="C1421" s="84">
        <f>'Payments'!U425</f>
        <v/>
      </c>
      <c r="D1421" s="46">
        <f>'Payments'!V425</f>
        <v/>
      </c>
      <c r="E1421" s="46">
        <f>IF(OR(B1421="",C1421="",D1421=""),"",D1421*100000+(C1421-DATE(2000,1,1))+ROW()/100000)</f>
        <v/>
      </c>
      <c r="F1421" s="46">
        <f>IF(E1421="","",IF(C1421&gt;WeekEndDate,"",E1421))</f>
        <v/>
      </c>
    </row>
    <row r="1422">
      <c r="A1422" t="inlineStr">
        <is>
          <t>Payments</t>
        </is>
      </c>
      <c r="B1422" s="46">
        <f>'Payments'!W426</f>
        <v/>
      </c>
      <c r="C1422" s="84">
        <f>'Payments'!U426</f>
        <v/>
      </c>
      <c r="D1422" s="46">
        <f>'Payments'!V426</f>
        <v/>
      </c>
      <c r="E1422" s="46">
        <f>IF(OR(B1422="",C1422="",D1422=""),"",D1422*100000+(C1422-DATE(2000,1,1))+ROW()/100000)</f>
        <v/>
      </c>
      <c r="F1422" s="46">
        <f>IF(E1422="","",IF(C1422&gt;WeekEndDate,"",E1422))</f>
        <v/>
      </c>
    </row>
    <row r="1423">
      <c r="A1423" t="inlineStr">
        <is>
          <t>Payments</t>
        </is>
      </c>
      <c r="B1423" s="46">
        <f>'Payments'!W427</f>
        <v/>
      </c>
      <c r="C1423" s="84">
        <f>'Payments'!U427</f>
        <v/>
      </c>
      <c r="D1423" s="46">
        <f>'Payments'!V427</f>
        <v/>
      </c>
      <c r="E1423" s="46">
        <f>IF(OR(B1423="",C1423="",D1423=""),"",D1423*100000+(C1423-DATE(2000,1,1))+ROW()/100000)</f>
        <v/>
      </c>
      <c r="F1423" s="46">
        <f>IF(E1423="","",IF(C1423&gt;WeekEndDate,"",E1423))</f>
        <v/>
      </c>
    </row>
    <row r="1424">
      <c r="A1424" t="inlineStr">
        <is>
          <t>Payments</t>
        </is>
      </c>
      <c r="B1424" s="46">
        <f>'Payments'!W428</f>
        <v/>
      </c>
      <c r="C1424" s="84">
        <f>'Payments'!U428</f>
        <v/>
      </c>
      <c r="D1424" s="46">
        <f>'Payments'!V428</f>
        <v/>
      </c>
      <c r="E1424" s="46">
        <f>IF(OR(B1424="",C1424="",D1424=""),"",D1424*100000+(C1424-DATE(2000,1,1))+ROW()/100000)</f>
        <v/>
      </c>
      <c r="F1424" s="46">
        <f>IF(E1424="","",IF(C1424&gt;WeekEndDate,"",E1424))</f>
        <v/>
      </c>
    </row>
    <row r="1425">
      <c r="A1425" t="inlineStr">
        <is>
          <t>Payments</t>
        </is>
      </c>
      <c r="B1425" s="46">
        <f>'Payments'!W429</f>
        <v/>
      </c>
      <c r="C1425" s="84">
        <f>'Payments'!U429</f>
        <v/>
      </c>
      <c r="D1425" s="46">
        <f>'Payments'!V429</f>
        <v/>
      </c>
      <c r="E1425" s="46">
        <f>IF(OR(B1425="",C1425="",D1425=""),"",D1425*100000+(C1425-DATE(2000,1,1))+ROW()/100000)</f>
        <v/>
      </c>
      <c r="F1425" s="46">
        <f>IF(E1425="","",IF(C1425&gt;WeekEndDate,"",E1425))</f>
        <v/>
      </c>
    </row>
    <row r="1426">
      <c r="A1426" t="inlineStr">
        <is>
          <t>Payments</t>
        </is>
      </c>
      <c r="B1426" s="46">
        <f>'Payments'!W430</f>
        <v/>
      </c>
      <c r="C1426" s="84">
        <f>'Payments'!U430</f>
        <v/>
      </c>
      <c r="D1426" s="46">
        <f>'Payments'!V430</f>
        <v/>
      </c>
      <c r="E1426" s="46">
        <f>IF(OR(B1426="",C1426="",D1426=""),"",D1426*100000+(C1426-DATE(2000,1,1))+ROW()/100000)</f>
        <v/>
      </c>
      <c r="F1426" s="46">
        <f>IF(E1426="","",IF(C1426&gt;WeekEndDate,"",E1426))</f>
        <v/>
      </c>
    </row>
    <row r="1427">
      <c r="A1427" t="inlineStr">
        <is>
          <t>Payments</t>
        </is>
      </c>
      <c r="B1427" s="46">
        <f>'Payments'!W431</f>
        <v/>
      </c>
      <c r="C1427" s="84">
        <f>'Payments'!U431</f>
        <v/>
      </c>
      <c r="D1427" s="46">
        <f>'Payments'!V431</f>
        <v/>
      </c>
      <c r="E1427" s="46">
        <f>IF(OR(B1427="",C1427="",D1427=""),"",D1427*100000+(C1427-DATE(2000,1,1))+ROW()/100000)</f>
        <v/>
      </c>
      <c r="F1427" s="46">
        <f>IF(E1427="","",IF(C1427&gt;WeekEndDate,"",E1427))</f>
        <v/>
      </c>
    </row>
    <row r="1428">
      <c r="A1428" t="inlineStr">
        <is>
          <t>Payments</t>
        </is>
      </c>
      <c r="B1428" s="46">
        <f>'Payments'!W432</f>
        <v/>
      </c>
      <c r="C1428" s="84">
        <f>'Payments'!U432</f>
        <v/>
      </c>
      <c r="D1428" s="46">
        <f>'Payments'!V432</f>
        <v/>
      </c>
      <c r="E1428" s="46">
        <f>IF(OR(B1428="",C1428="",D1428=""),"",D1428*100000+(C1428-DATE(2000,1,1))+ROW()/100000)</f>
        <v/>
      </c>
      <c r="F1428" s="46">
        <f>IF(E1428="","",IF(C1428&gt;WeekEndDate,"",E1428))</f>
        <v/>
      </c>
    </row>
    <row r="1429">
      <c r="A1429" t="inlineStr">
        <is>
          <t>Payments</t>
        </is>
      </c>
      <c r="B1429" s="46">
        <f>'Payments'!W433</f>
        <v/>
      </c>
      <c r="C1429" s="84">
        <f>'Payments'!U433</f>
        <v/>
      </c>
      <c r="D1429" s="46">
        <f>'Payments'!V433</f>
        <v/>
      </c>
      <c r="E1429" s="46">
        <f>IF(OR(B1429="",C1429="",D1429=""),"",D1429*100000+(C1429-DATE(2000,1,1))+ROW()/100000)</f>
        <v/>
      </c>
      <c r="F1429" s="46">
        <f>IF(E1429="","",IF(C1429&gt;WeekEndDate,"",E1429))</f>
        <v/>
      </c>
    </row>
    <row r="1430">
      <c r="A1430" t="inlineStr">
        <is>
          <t>Payments</t>
        </is>
      </c>
      <c r="B1430" s="46">
        <f>'Payments'!W434</f>
        <v/>
      </c>
      <c r="C1430" s="84">
        <f>'Payments'!U434</f>
        <v/>
      </c>
      <c r="D1430" s="46">
        <f>'Payments'!V434</f>
        <v/>
      </c>
      <c r="E1430" s="46">
        <f>IF(OR(B1430="",C1430="",D1430=""),"",D1430*100000+(C1430-DATE(2000,1,1))+ROW()/100000)</f>
        <v/>
      </c>
      <c r="F1430" s="46">
        <f>IF(E1430="","",IF(C1430&gt;WeekEndDate,"",E1430))</f>
        <v/>
      </c>
    </row>
    <row r="1431">
      <c r="A1431" t="inlineStr">
        <is>
          <t>Payments</t>
        </is>
      </c>
      <c r="B1431" s="46">
        <f>'Payments'!W435</f>
        <v/>
      </c>
      <c r="C1431" s="84">
        <f>'Payments'!U435</f>
        <v/>
      </c>
      <c r="D1431" s="46">
        <f>'Payments'!V435</f>
        <v/>
      </c>
      <c r="E1431" s="46">
        <f>IF(OR(B1431="",C1431="",D1431=""),"",D1431*100000+(C1431-DATE(2000,1,1))+ROW()/100000)</f>
        <v/>
      </c>
      <c r="F1431" s="46">
        <f>IF(E1431="","",IF(C1431&gt;WeekEndDate,"",E1431))</f>
        <v/>
      </c>
    </row>
    <row r="1432">
      <c r="A1432" t="inlineStr">
        <is>
          <t>Payments</t>
        </is>
      </c>
      <c r="B1432" s="46">
        <f>'Payments'!W436</f>
        <v/>
      </c>
      <c r="C1432" s="84">
        <f>'Payments'!U436</f>
        <v/>
      </c>
      <c r="D1432" s="46">
        <f>'Payments'!V436</f>
        <v/>
      </c>
      <c r="E1432" s="46">
        <f>IF(OR(B1432="",C1432="",D1432=""),"",D1432*100000+(C1432-DATE(2000,1,1))+ROW()/100000)</f>
        <v/>
      </c>
      <c r="F1432" s="46">
        <f>IF(E1432="","",IF(C1432&gt;WeekEndDate,"",E1432))</f>
        <v/>
      </c>
    </row>
    <row r="1433">
      <c r="A1433" t="inlineStr">
        <is>
          <t>Payments</t>
        </is>
      </c>
      <c r="B1433" s="46">
        <f>'Payments'!W437</f>
        <v/>
      </c>
      <c r="C1433" s="84">
        <f>'Payments'!U437</f>
        <v/>
      </c>
      <c r="D1433" s="46">
        <f>'Payments'!V437</f>
        <v/>
      </c>
      <c r="E1433" s="46">
        <f>IF(OR(B1433="",C1433="",D1433=""),"",D1433*100000+(C1433-DATE(2000,1,1))+ROW()/100000)</f>
        <v/>
      </c>
      <c r="F1433" s="46">
        <f>IF(E1433="","",IF(C1433&gt;WeekEndDate,"",E1433))</f>
        <v/>
      </c>
    </row>
    <row r="1434">
      <c r="A1434" t="inlineStr">
        <is>
          <t>Payments</t>
        </is>
      </c>
      <c r="B1434" s="46">
        <f>'Payments'!W438</f>
        <v/>
      </c>
      <c r="C1434" s="84">
        <f>'Payments'!U438</f>
        <v/>
      </c>
      <c r="D1434" s="46">
        <f>'Payments'!V438</f>
        <v/>
      </c>
      <c r="E1434" s="46">
        <f>IF(OR(B1434="",C1434="",D1434=""),"",D1434*100000+(C1434-DATE(2000,1,1))+ROW()/100000)</f>
        <v/>
      </c>
      <c r="F1434" s="46">
        <f>IF(E1434="","",IF(C1434&gt;WeekEndDate,"",E1434))</f>
        <v/>
      </c>
    </row>
    <row r="1435">
      <c r="A1435" t="inlineStr">
        <is>
          <t>Payments</t>
        </is>
      </c>
      <c r="B1435" s="46">
        <f>'Payments'!W439</f>
        <v/>
      </c>
      <c r="C1435" s="84">
        <f>'Payments'!U439</f>
        <v/>
      </c>
      <c r="D1435" s="46">
        <f>'Payments'!V439</f>
        <v/>
      </c>
      <c r="E1435" s="46">
        <f>IF(OR(B1435="",C1435="",D1435=""),"",D1435*100000+(C1435-DATE(2000,1,1))+ROW()/100000)</f>
        <v/>
      </c>
      <c r="F1435" s="46">
        <f>IF(E1435="","",IF(C1435&gt;WeekEndDate,"",E1435))</f>
        <v/>
      </c>
    </row>
    <row r="1436">
      <c r="A1436" t="inlineStr">
        <is>
          <t>Payments</t>
        </is>
      </c>
      <c r="B1436" s="46">
        <f>'Payments'!W440</f>
        <v/>
      </c>
      <c r="C1436" s="84">
        <f>'Payments'!U440</f>
        <v/>
      </c>
      <c r="D1436" s="46">
        <f>'Payments'!V440</f>
        <v/>
      </c>
      <c r="E1436" s="46">
        <f>IF(OR(B1436="",C1436="",D1436=""),"",D1436*100000+(C1436-DATE(2000,1,1))+ROW()/100000)</f>
        <v/>
      </c>
      <c r="F1436" s="46">
        <f>IF(E1436="","",IF(C1436&gt;WeekEndDate,"",E1436))</f>
        <v/>
      </c>
    </row>
    <row r="1437">
      <c r="A1437" t="inlineStr">
        <is>
          <t>Payments</t>
        </is>
      </c>
      <c r="B1437" s="46">
        <f>'Payments'!W441</f>
        <v/>
      </c>
      <c r="C1437" s="84">
        <f>'Payments'!U441</f>
        <v/>
      </c>
      <c r="D1437" s="46">
        <f>'Payments'!V441</f>
        <v/>
      </c>
      <c r="E1437" s="46">
        <f>IF(OR(B1437="",C1437="",D1437=""),"",D1437*100000+(C1437-DATE(2000,1,1))+ROW()/100000)</f>
        <v/>
      </c>
      <c r="F1437" s="46">
        <f>IF(E1437="","",IF(C1437&gt;WeekEndDate,"",E1437))</f>
        <v/>
      </c>
    </row>
    <row r="1438">
      <c r="A1438" t="inlineStr">
        <is>
          <t>Payments</t>
        </is>
      </c>
      <c r="B1438" s="46">
        <f>'Payments'!W442</f>
        <v/>
      </c>
      <c r="C1438" s="84">
        <f>'Payments'!U442</f>
        <v/>
      </c>
      <c r="D1438" s="46">
        <f>'Payments'!V442</f>
        <v/>
      </c>
      <c r="E1438" s="46">
        <f>IF(OR(B1438="",C1438="",D1438=""),"",D1438*100000+(C1438-DATE(2000,1,1))+ROW()/100000)</f>
        <v/>
      </c>
      <c r="F1438" s="46">
        <f>IF(E1438="","",IF(C1438&gt;WeekEndDate,"",E1438))</f>
        <v/>
      </c>
    </row>
    <row r="1439">
      <c r="A1439" t="inlineStr">
        <is>
          <t>Payments</t>
        </is>
      </c>
      <c r="B1439" s="46">
        <f>'Payments'!W443</f>
        <v/>
      </c>
      <c r="C1439" s="84">
        <f>'Payments'!U443</f>
        <v/>
      </c>
      <c r="D1439" s="46">
        <f>'Payments'!V443</f>
        <v/>
      </c>
      <c r="E1439" s="46">
        <f>IF(OR(B1439="",C1439="",D1439=""),"",D1439*100000+(C1439-DATE(2000,1,1))+ROW()/100000)</f>
        <v/>
      </c>
      <c r="F1439" s="46">
        <f>IF(E1439="","",IF(C1439&gt;WeekEndDate,"",E1439))</f>
        <v/>
      </c>
    </row>
    <row r="1440">
      <c r="A1440" t="inlineStr">
        <is>
          <t>Payments</t>
        </is>
      </c>
      <c r="B1440" s="46">
        <f>'Payments'!W444</f>
        <v/>
      </c>
      <c r="C1440" s="84">
        <f>'Payments'!U444</f>
        <v/>
      </c>
      <c r="D1440" s="46">
        <f>'Payments'!V444</f>
        <v/>
      </c>
      <c r="E1440" s="46">
        <f>IF(OR(B1440="",C1440="",D1440=""),"",D1440*100000+(C1440-DATE(2000,1,1))+ROW()/100000)</f>
        <v/>
      </c>
      <c r="F1440" s="46">
        <f>IF(E1440="","",IF(C1440&gt;WeekEndDate,"",E1440))</f>
        <v/>
      </c>
    </row>
    <row r="1441">
      <c r="A1441" t="inlineStr">
        <is>
          <t>Payments</t>
        </is>
      </c>
      <c r="B1441" s="46">
        <f>'Payments'!W445</f>
        <v/>
      </c>
      <c r="C1441" s="84">
        <f>'Payments'!U445</f>
        <v/>
      </c>
      <c r="D1441" s="46">
        <f>'Payments'!V445</f>
        <v/>
      </c>
      <c r="E1441" s="46">
        <f>IF(OR(B1441="",C1441="",D1441=""),"",D1441*100000+(C1441-DATE(2000,1,1))+ROW()/100000)</f>
        <v/>
      </c>
      <c r="F1441" s="46">
        <f>IF(E1441="","",IF(C1441&gt;WeekEndDate,"",E1441))</f>
        <v/>
      </c>
    </row>
    <row r="1442">
      <c r="A1442" t="inlineStr">
        <is>
          <t>Payments</t>
        </is>
      </c>
      <c r="B1442" s="46">
        <f>'Payments'!W446</f>
        <v/>
      </c>
      <c r="C1442" s="84">
        <f>'Payments'!U446</f>
        <v/>
      </c>
      <c r="D1442" s="46">
        <f>'Payments'!V446</f>
        <v/>
      </c>
      <c r="E1442" s="46">
        <f>IF(OR(B1442="",C1442="",D1442=""),"",D1442*100000+(C1442-DATE(2000,1,1))+ROW()/100000)</f>
        <v/>
      </c>
      <c r="F1442" s="46">
        <f>IF(E1442="","",IF(C1442&gt;WeekEndDate,"",E1442))</f>
        <v/>
      </c>
    </row>
    <row r="1443">
      <c r="A1443" t="inlineStr">
        <is>
          <t>Payments</t>
        </is>
      </c>
      <c r="B1443" s="46">
        <f>'Payments'!W447</f>
        <v/>
      </c>
      <c r="C1443" s="84">
        <f>'Payments'!U447</f>
        <v/>
      </c>
      <c r="D1443" s="46">
        <f>'Payments'!V447</f>
        <v/>
      </c>
      <c r="E1443" s="46">
        <f>IF(OR(B1443="",C1443="",D1443=""),"",D1443*100000+(C1443-DATE(2000,1,1))+ROW()/100000)</f>
        <v/>
      </c>
      <c r="F1443" s="46">
        <f>IF(E1443="","",IF(C1443&gt;WeekEndDate,"",E1443))</f>
        <v/>
      </c>
    </row>
    <row r="1444">
      <c r="A1444" t="inlineStr">
        <is>
          <t>Payments</t>
        </is>
      </c>
      <c r="B1444" s="46">
        <f>'Payments'!W448</f>
        <v/>
      </c>
      <c r="C1444" s="84">
        <f>'Payments'!U448</f>
        <v/>
      </c>
      <c r="D1444" s="46">
        <f>'Payments'!V448</f>
        <v/>
      </c>
      <c r="E1444" s="46">
        <f>IF(OR(B1444="",C1444="",D1444=""),"",D1444*100000+(C1444-DATE(2000,1,1))+ROW()/100000)</f>
        <v/>
      </c>
      <c r="F1444" s="46">
        <f>IF(E1444="","",IF(C1444&gt;WeekEndDate,"",E1444))</f>
        <v/>
      </c>
    </row>
    <row r="1445">
      <c r="A1445" t="inlineStr">
        <is>
          <t>Payments</t>
        </is>
      </c>
      <c r="B1445" s="46">
        <f>'Payments'!W449</f>
        <v/>
      </c>
      <c r="C1445" s="84">
        <f>'Payments'!U449</f>
        <v/>
      </c>
      <c r="D1445" s="46">
        <f>'Payments'!V449</f>
        <v/>
      </c>
      <c r="E1445" s="46">
        <f>IF(OR(B1445="",C1445="",D1445=""),"",D1445*100000+(C1445-DATE(2000,1,1))+ROW()/100000)</f>
        <v/>
      </c>
      <c r="F1445" s="46">
        <f>IF(E1445="","",IF(C1445&gt;WeekEndDate,"",E1445))</f>
        <v/>
      </c>
    </row>
    <row r="1446">
      <c r="A1446" t="inlineStr">
        <is>
          <t>Payments</t>
        </is>
      </c>
      <c r="B1446" s="46">
        <f>'Payments'!W450</f>
        <v/>
      </c>
      <c r="C1446" s="84">
        <f>'Payments'!U450</f>
        <v/>
      </c>
      <c r="D1446" s="46">
        <f>'Payments'!V450</f>
        <v/>
      </c>
      <c r="E1446" s="46">
        <f>IF(OR(B1446="",C1446="",D1446=""),"",D1446*100000+(C1446-DATE(2000,1,1))+ROW()/100000)</f>
        <v/>
      </c>
      <c r="F1446" s="46">
        <f>IF(E1446="","",IF(C1446&gt;WeekEndDate,"",E1446))</f>
        <v/>
      </c>
    </row>
    <row r="1447">
      <c r="A1447" t="inlineStr">
        <is>
          <t>Payments</t>
        </is>
      </c>
      <c r="B1447" s="46">
        <f>'Payments'!W451</f>
        <v/>
      </c>
      <c r="C1447" s="84">
        <f>'Payments'!U451</f>
        <v/>
      </c>
      <c r="D1447" s="46">
        <f>'Payments'!V451</f>
        <v/>
      </c>
      <c r="E1447" s="46">
        <f>IF(OR(B1447="",C1447="",D1447=""),"",D1447*100000+(C1447-DATE(2000,1,1))+ROW()/100000)</f>
        <v/>
      </c>
      <c r="F1447" s="46">
        <f>IF(E1447="","",IF(C1447&gt;WeekEndDate,"",E1447))</f>
        <v/>
      </c>
    </row>
    <row r="1448">
      <c r="A1448" t="inlineStr">
        <is>
          <t>Payments</t>
        </is>
      </c>
      <c r="B1448" s="46">
        <f>'Payments'!W452</f>
        <v/>
      </c>
      <c r="C1448" s="84">
        <f>'Payments'!U452</f>
        <v/>
      </c>
      <c r="D1448" s="46">
        <f>'Payments'!V452</f>
        <v/>
      </c>
      <c r="E1448" s="46">
        <f>IF(OR(B1448="",C1448="",D1448=""),"",D1448*100000+(C1448-DATE(2000,1,1))+ROW()/100000)</f>
        <v/>
      </c>
      <c r="F1448" s="46">
        <f>IF(E1448="","",IF(C1448&gt;WeekEndDate,"",E1448))</f>
        <v/>
      </c>
    </row>
    <row r="1449">
      <c r="A1449" t="inlineStr">
        <is>
          <t>Payments</t>
        </is>
      </c>
      <c r="B1449" s="46">
        <f>'Payments'!W453</f>
        <v/>
      </c>
      <c r="C1449" s="84">
        <f>'Payments'!U453</f>
        <v/>
      </c>
      <c r="D1449" s="46">
        <f>'Payments'!V453</f>
        <v/>
      </c>
      <c r="E1449" s="46">
        <f>IF(OR(B1449="",C1449="",D1449=""),"",D1449*100000+(C1449-DATE(2000,1,1))+ROW()/100000)</f>
        <v/>
      </c>
      <c r="F1449" s="46">
        <f>IF(E1449="","",IF(C1449&gt;WeekEndDate,"",E1449))</f>
        <v/>
      </c>
    </row>
    <row r="1450">
      <c r="A1450" t="inlineStr">
        <is>
          <t>Payments</t>
        </is>
      </c>
      <c r="B1450" s="46">
        <f>'Payments'!W454</f>
        <v/>
      </c>
      <c r="C1450" s="84">
        <f>'Payments'!U454</f>
        <v/>
      </c>
      <c r="D1450" s="46">
        <f>'Payments'!V454</f>
        <v/>
      </c>
      <c r="E1450" s="46">
        <f>IF(OR(B1450="",C1450="",D1450=""),"",D1450*100000+(C1450-DATE(2000,1,1))+ROW()/100000)</f>
        <v/>
      </c>
      <c r="F1450" s="46">
        <f>IF(E1450="","",IF(C1450&gt;WeekEndDate,"",E1450))</f>
        <v/>
      </c>
    </row>
    <row r="1451">
      <c r="A1451" t="inlineStr">
        <is>
          <t>Payments</t>
        </is>
      </c>
      <c r="B1451" s="46">
        <f>'Payments'!W455</f>
        <v/>
      </c>
      <c r="C1451" s="84">
        <f>'Payments'!U455</f>
        <v/>
      </c>
      <c r="D1451" s="46">
        <f>'Payments'!V455</f>
        <v/>
      </c>
      <c r="E1451" s="46">
        <f>IF(OR(B1451="",C1451="",D1451=""),"",D1451*100000+(C1451-DATE(2000,1,1))+ROW()/100000)</f>
        <v/>
      </c>
      <c r="F1451" s="46">
        <f>IF(E1451="","",IF(C1451&gt;WeekEndDate,"",E1451))</f>
        <v/>
      </c>
    </row>
    <row r="1452">
      <c r="A1452" t="inlineStr">
        <is>
          <t>Payments</t>
        </is>
      </c>
      <c r="B1452" s="46">
        <f>'Payments'!W456</f>
        <v/>
      </c>
      <c r="C1452" s="84">
        <f>'Payments'!U456</f>
        <v/>
      </c>
      <c r="D1452" s="46">
        <f>'Payments'!V456</f>
        <v/>
      </c>
      <c r="E1452" s="46">
        <f>IF(OR(B1452="",C1452="",D1452=""),"",D1452*100000+(C1452-DATE(2000,1,1))+ROW()/100000)</f>
        <v/>
      </c>
      <c r="F1452" s="46">
        <f>IF(E1452="","",IF(C1452&gt;WeekEndDate,"",E1452))</f>
        <v/>
      </c>
    </row>
    <row r="1453">
      <c r="A1453" t="inlineStr">
        <is>
          <t>Payments</t>
        </is>
      </c>
      <c r="B1453" s="46">
        <f>'Payments'!W457</f>
        <v/>
      </c>
      <c r="C1453" s="84">
        <f>'Payments'!U457</f>
        <v/>
      </c>
      <c r="D1453" s="46">
        <f>'Payments'!V457</f>
        <v/>
      </c>
      <c r="E1453" s="46">
        <f>IF(OR(B1453="",C1453="",D1453=""),"",D1453*100000+(C1453-DATE(2000,1,1))+ROW()/100000)</f>
        <v/>
      </c>
      <c r="F1453" s="46">
        <f>IF(E1453="","",IF(C1453&gt;WeekEndDate,"",E1453))</f>
        <v/>
      </c>
    </row>
    <row r="1454">
      <c r="A1454" t="inlineStr">
        <is>
          <t>Payments</t>
        </is>
      </c>
      <c r="B1454" s="46">
        <f>'Payments'!W458</f>
        <v/>
      </c>
      <c r="C1454" s="84">
        <f>'Payments'!U458</f>
        <v/>
      </c>
      <c r="D1454" s="46">
        <f>'Payments'!V458</f>
        <v/>
      </c>
      <c r="E1454" s="46">
        <f>IF(OR(B1454="",C1454="",D1454=""),"",D1454*100000+(C1454-DATE(2000,1,1))+ROW()/100000)</f>
        <v/>
      </c>
      <c r="F1454" s="46">
        <f>IF(E1454="","",IF(C1454&gt;WeekEndDate,"",E1454))</f>
        <v/>
      </c>
    </row>
    <row r="1455">
      <c r="A1455" t="inlineStr">
        <is>
          <t>Payments</t>
        </is>
      </c>
      <c r="B1455" s="46">
        <f>'Payments'!W459</f>
        <v/>
      </c>
      <c r="C1455" s="84">
        <f>'Payments'!U459</f>
        <v/>
      </c>
      <c r="D1455" s="46">
        <f>'Payments'!V459</f>
        <v/>
      </c>
      <c r="E1455" s="46">
        <f>IF(OR(B1455="",C1455="",D1455=""),"",D1455*100000+(C1455-DATE(2000,1,1))+ROW()/100000)</f>
        <v/>
      </c>
      <c r="F1455" s="46">
        <f>IF(E1455="","",IF(C1455&gt;WeekEndDate,"",E1455))</f>
        <v/>
      </c>
    </row>
    <row r="1456">
      <c r="A1456" t="inlineStr">
        <is>
          <t>Payments</t>
        </is>
      </c>
      <c r="B1456" s="46">
        <f>'Payments'!W460</f>
        <v/>
      </c>
      <c r="C1456" s="84">
        <f>'Payments'!U460</f>
        <v/>
      </c>
      <c r="D1456" s="46">
        <f>'Payments'!V460</f>
        <v/>
      </c>
      <c r="E1456" s="46">
        <f>IF(OR(B1456="",C1456="",D1456=""),"",D1456*100000+(C1456-DATE(2000,1,1))+ROW()/100000)</f>
        <v/>
      </c>
      <c r="F1456" s="46">
        <f>IF(E1456="","",IF(C1456&gt;WeekEndDate,"",E1456))</f>
        <v/>
      </c>
    </row>
    <row r="1457">
      <c r="A1457" t="inlineStr">
        <is>
          <t>Payments</t>
        </is>
      </c>
      <c r="B1457" s="46">
        <f>'Payments'!W461</f>
        <v/>
      </c>
      <c r="C1457" s="84">
        <f>'Payments'!U461</f>
        <v/>
      </c>
      <c r="D1457" s="46">
        <f>'Payments'!V461</f>
        <v/>
      </c>
      <c r="E1457" s="46">
        <f>IF(OR(B1457="",C1457="",D1457=""),"",D1457*100000+(C1457-DATE(2000,1,1))+ROW()/100000)</f>
        <v/>
      </c>
      <c r="F1457" s="46">
        <f>IF(E1457="","",IF(C1457&gt;WeekEndDate,"",E1457))</f>
        <v/>
      </c>
    </row>
    <row r="1458">
      <c r="A1458" t="inlineStr">
        <is>
          <t>Payments</t>
        </is>
      </c>
      <c r="B1458" s="46">
        <f>'Payments'!W462</f>
        <v/>
      </c>
      <c r="C1458" s="84">
        <f>'Payments'!U462</f>
        <v/>
      </c>
      <c r="D1458" s="46">
        <f>'Payments'!V462</f>
        <v/>
      </c>
      <c r="E1458" s="46">
        <f>IF(OR(B1458="",C1458="",D1458=""),"",D1458*100000+(C1458-DATE(2000,1,1))+ROW()/100000)</f>
        <v/>
      </c>
      <c r="F1458" s="46">
        <f>IF(E1458="","",IF(C1458&gt;WeekEndDate,"",E1458))</f>
        <v/>
      </c>
    </row>
    <row r="1459">
      <c r="A1459" t="inlineStr">
        <is>
          <t>Payments</t>
        </is>
      </c>
      <c r="B1459" s="46">
        <f>'Payments'!W463</f>
        <v/>
      </c>
      <c r="C1459" s="84">
        <f>'Payments'!U463</f>
        <v/>
      </c>
      <c r="D1459" s="46">
        <f>'Payments'!V463</f>
        <v/>
      </c>
      <c r="E1459" s="46">
        <f>IF(OR(B1459="",C1459="",D1459=""),"",D1459*100000+(C1459-DATE(2000,1,1))+ROW()/100000)</f>
        <v/>
      </c>
      <c r="F1459" s="46">
        <f>IF(E1459="","",IF(C1459&gt;WeekEndDate,"",E1459))</f>
        <v/>
      </c>
    </row>
    <row r="1460">
      <c r="A1460" t="inlineStr">
        <is>
          <t>Payments</t>
        </is>
      </c>
      <c r="B1460" s="46">
        <f>'Payments'!W464</f>
        <v/>
      </c>
      <c r="C1460" s="84">
        <f>'Payments'!U464</f>
        <v/>
      </c>
      <c r="D1460" s="46">
        <f>'Payments'!V464</f>
        <v/>
      </c>
      <c r="E1460" s="46">
        <f>IF(OR(B1460="",C1460="",D1460=""),"",D1460*100000+(C1460-DATE(2000,1,1))+ROW()/100000)</f>
        <v/>
      </c>
      <c r="F1460" s="46">
        <f>IF(E1460="","",IF(C1460&gt;WeekEndDate,"",E1460))</f>
        <v/>
      </c>
    </row>
    <row r="1461">
      <c r="A1461" t="inlineStr">
        <is>
          <t>Payments</t>
        </is>
      </c>
      <c r="B1461" s="46">
        <f>'Payments'!W465</f>
        <v/>
      </c>
      <c r="C1461" s="84">
        <f>'Payments'!U465</f>
        <v/>
      </c>
      <c r="D1461" s="46">
        <f>'Payments'!V465</f>
        <v/>
      </c>
      <c r="E1461" s="46">
        <f>IF(OR(B1461="",C1461="",D1461=""),"",D1461*100000+(C1461-DATE(2000,1,1))+ROW()/100000)</f>
        <v/>
      </c>
      <c r="F1461" s="46">
        <f>IF(E1461="","",IF(C1461&gt;WeekEndDate,"",E1461))</f>
        <v/>
      </c>
    </row>
    <row r="1462">
      <c r="A1462" t="inlineStr">
        <is>
          <t>Payments</t>
        </is>
      </c>
      <c r="B1462" s="46">
        <f>'Payments'!W466</f>
        <v/>
      </c>
      <c r="C1462" s="84">
        <f>'Payments'!U466</f>
        <v/>
      </c>
      <c r="D1462" s="46">
        <f>'Payments'!V466</f>
        <v/>
      </c>
      <c r="E1462" s="46">
        <f>IF(OR(B1462="",C1462="",D1462=""),"",D1462*100000+(C1462-DATE(2000,1,1))+ROW()/100000)</f>
        <v/>
      </c>
      <c r="F1462" s="46">
        <f>IF(E1462="","",IF(C1462&gt;WeekEndDate,"",E1462))</f>
        <v/>
      </c>
    </row>
    <row r="1463">
      <c r="A1463" t="inlineStr">
        <is>
          <t>Payments</t>
        </is>
      </c>
      <c r="B1463" s="46">
        <f>'Payments'!W467</f>
        <v/>
      </c>
      <c r="C1463" s="84">
        <f>'Payments'!U467</f>
        <v/>
      </c>
      <c r="D1463" s="46">
        <f>'Payments'!V467</f>
        <v/>
      </c>
      <c r="E1463" s="46">
        <f>IF(OR(B1463="",C1463="",D1463=""),"",D1463*100000+(C1463-DATE(2000,1,1))+ROW()/100000)</f>
        <v/>
      </c>
      <c r="F1463" s="46">
        <f>IF(E1463="","",IF(C1463&gt;WeekEndDate,"",E1463))</f>
        <v/>
      </c>
    </row>
    <row r="1464">
      <c r="A1464" t="inlineStr">
        <is>
          <t>Payments</t>
        </is>
      </c>
      <c r="B1464" s="46">
        <f>'Payments'!W468</f>
        <v/>
      </c>
      <c r="C1464" s="84">
        <f>'Payments'!U468</f>
        <v/>
      </c>
      <c r="D1464" s="46">
        <f>'Payments'!V468</f>
        <v/>
      </c>
      <c r="E1464" s="46">
        <f>IF(OR(B1464="",C1464="",D1464=""),"",D1464*100000+(C1464-DATE(2000,1,1))+ROW()/100000)</f>
        <v/>
      </c>
      <c r="F1464" s="46">
        <f>IF(E1464="","",IF(C1464&gt;WeekEndDate,"",E1464))</f>
        <v/>
      </c>
    </row>
    <row r="1465">
      <c r="A1465" t="inlineStr">
        <is>
          <t>Payments</t>
        </is>
      </c>
      <c r="B1465" s="46">
        <f>'Payments'!W469</f>
        <v/>
      </c>
      <c r="C1465" s="84">
        <f>'Payments'!U469</f>
        <v/>
      </c>
      <c r="D1465" s="46">
        <f>'Payments'!V469</f>
        <v/>
      </c>
      <c r="E1465" s="46">
        <f>IF(OR(B1465="",C1465="",D1465=""),"",D1465*100000+(C1465-DATE(2000,1,1))+ROW()/100000)</f>
        <v/>
      </c>
      <c r="F1465" s="46">
        <f>IF(E1465="","",IF(C1465&gt;WeekEndDate,"",E1465))</f>
        <v/>
      </c>
    </row>
    <row r="1466">
      <c r="A1466" t="inlineStr">
        <is>
          <t>Payments</t>
        </is>
      </c>
      <c r="B1466" s="46">
        <f>'Payments'!W470</f>
        <v/>
      </c>
      <c r="C1466" s="84">
        <f>'Payments'!U470</f>
        <v/>
      </c>
      <c r="D1466" s="46">
        <f>'Payments'!V470</f>
        <v/>
      </c>
      <c r="E1466" s="46">
        <f>IF(OR(B1466="",C1466="",D1466=""),"",D1466*100000+(C1466-DATE(2000,1,1))+ROW()/100000)</f>
        <v/>
      </c>
      <c r="F1466" s="46">
        <f>IF(E1466="","",IF(C1466&gt;WeekEndDate,"",E1466))</f>
        <v/>
      </c>
    </row>
    <row r="1467">
      <c r="A1467" t="inlineStr">
        <is>
          <t>Payments</t>
        </is>
      </c>
      <c r="B1467" s="46">
        <f>'Payments'!W471</f>
        <v/>
      </c>
      <c r="C1467" s="84">
        <f>'Payments'!U471</f>
        <v/>
      </c>
      <c r="D1467" s="46">
        <f>'Payments'!V471</f>
        <v/>
      </c>
      <c r="E1467" s="46">
        <f>IF(OR(B1467="",C1467="",D1467=""),"",D1467*100000+(C1467-DATE(2000,1,1))+ROW()/100000)</f>
        <v/>
      </c>
      <c r="F1467" s="46">
        <f>IF(E1467="","",IF(C1467&gt;WeekEndDate,"",E1467))</f>
        <v/>
      </c>
    </row>
    <row r="1468">
      <c r="A1468" t="inlineStr">
        <is>
          <t>Payments</t>
        </is>
      </c>
      <c r="B1468" s="46">
        <f>'Payments'!W472</f>
        <v/>
      </c>
      <c r="C1468" s="84">
        <f>'Payments'!U472</f>
        <v/>
      </c>
      <c r="D1468" s="46">
        <f>'Payments'!V472</f>
        <v/>
      </c>
      <c r="E1468" s="46">
        <f>IF(OR(B1468="",C1468="",D1468=""),"",D1468*100000+(C1468-DATE(2000,1,1))+ROW()/100000)</f>
        <v/>
      </c>
      <c r="F1468" s="46">
        <f>IF(E1468="","",IF(C1468&gt;WeekEndDate,"",E1468))</f>
        <v/>
      </c>
    </row>
    <row r="1469">
      <c r="A1469" t="inlineStr">
        <is>
          <t>Payments</t>
        </is>
      </c>
      <c r="B1469" s="46">
        <f>'Payments'!W473</f>
        <v/>
      </c>
      <c r="C1469" s="84">
        <f>'Payments'!U473</f>
        <v/>
      </c>
      <c r="D1469" s="46">
        <f>'Payments'!V473</f>
        <v/>
      </c>
      <c r="E1469" s="46">
        <f>IF(OR(B1469="",C1469="",D1469=""),"",D1469*100000+(C1469-DATE(2000,1,1))+ROW()/100000)</f>
        <v/>
      </c>
      <c r="F1469" s="46">
        <f>IF(E1469="","",IF(C1469&gt;WeekEndDate,"",E1469))</f>
        <v/>
      </c>
    </row>
    <row r="1470">
      <c r="A1470" t="inlineStr">
        <is>
          <t>Payments</t>
        </is>
      </c>
      <c r="B1470" s="46">
        <f>'Payments'!W474</f>
        <v/>
      </c>
      <c r="C1470" s="84">
        <f>'Payments'!U474</f>
        <v/>
      </c>
      <c r="D1470" s="46">
        <f>'Payments'!V474</f>
        <v/>
      </c>
      <c r="E1470" s="46">
        <f>IF(OR(B1470="",C1470="",D1470=""),"",D1470*100000+(C1470-DATE(2000,1,1))+ROW()/100000)</f>
        <v/>
      </c>
      <c r="F1470" s="46">
        <f>IF(E1470="","",IF(C1470&gt;WeekEndDate,"",E1470))</f>
        <v/>
      </c>
    </row>
    <row r="1471">
      <c r="A1471" t="inlineStr">
        <is>
          <t>Payments</t>
        </is>
      </c>
      <c r="B1471" s="46">
        <f>'Payments'!W475</f>
        <v/>
      </c>
      <c r="C1471" s="84">
        <f>'Payments'!U475</f>
        <v/>
      </c>
      <c r="D1471" s="46">
        <f>'Payments'!V475</f>
        <v/>
      </c>
      <c r="E1471" s="46">
        <f>IF(OR(B1471="",C1471="",D1471=""),"",D1471*100000+(C1471-DATE(2000,1,1))+ROW()/100000)</f>
        <v/>
      </c>
      <c r="F1471" s="46">
        <f>IF(E1471="","",IF(C1471&gt;WeekEndDate,"",E1471))</f>
        <v/>
      </c>
    </row>
    <row r="1472">
      <c r="A1472" t="inlineStr">
        <is>
          <t>Payments</t>
        </is>
      </c>
      <c r="B1472" s="46">
        <f>'Payments'!W476</f>
        <v/>
      </c>
      <c r="C1472" s="84">
        <f>'Payments'!U476</f>
        <v/>
      </c>
      <c r="D1472" s="46">
        <f>'Payments'!V476</f>
        <v/>
      </c>
      <c r="E1472" s="46">
        <f>IF(OR(B1472="",C1472="",D1472=""),"",D1472*100000+(C1472-DATE(2000,1,1))+ROW()/100000)</f>
        <v/>
      </c>
      <c r="F1472" s="46">
        <f>IF(E1472="","",IF(C1472&gt;WeekEndDate,"",E1472))</f>
        <v/>
      </c>
    </row>
    <row r="1473">
      <c r="A1473" t="inlineStr">
        <is>
          <t>Payments</t>
        </is>
      </c>
      <c r="B1473" s="46">
        <f>'Payments'!W477</f>
        <v/>
      </c>
      <c r="C1473" s="84">
        <f>'Payments'!U477</f>
        <v/>
      </c>
      <c r="D1473" s="46">
        <f>'Payments'!V477</f>
        <v/>
      </c>
      <c r="E1473" s="46">
        <f>IF(OR(B1473="",C1473="",D1473=""),"",D1473*100000+(C1473-DATE(2000,1,1))+ROW()/100000)</f>
        <v/>
      </c>
      <c r="F1473" s="46">
        <f>IF(E1473="","",IF(C1473&gt;WeekEndDate,"",E1473))</f>
        <v/>
      </c>
    </row>
    <row r="1474">
      <c r="A1474" t="inlineStr">
        <is>
          <t>Payments</t>
        </is>
      </c>
      <c r="B1474" s="46">
        <f>'Payments'!W478</f>
        <v/>
      </c>
      <c r="C1474" s="84">
        <f>'Payments'!U478</f>
        <v/>
      </c>
      <c r="D1474" s="46">
        <f>'Payments'!V478</f>
        <v/>
      </c>
      <c r="E1474" s="46">
        <f>IF(OR(B1474="",C1474="",D1474=""),"",D1474*100000+(C1474-DATE(2000,1,1))+ROW()/100000)</f>
        <v/>
      </c>
      <c r="F1474" s="46">
        <f>IF(E1474="","",IF(C1474&gt;WeekEndDate,"",E1474))</f>
        <v/>
      </c>
    </row>
    <row r="1475">
      <c r="A1475" t="inlineStr">
        <is>
          <t>Payments</t>
        </is>
      </c>
      <c r="B1475" s="46">
        <f>'Payments'!W479</f>
        <v/>
      </c>
      <c r="C1475" s="84">
        <f>'Payments'!U479</f>
        <v/>
      </c>
      <c r="D1475" s="46">
        <f>'Payments'!V479</f>
        <v/>
      </c>
      <c r="E1475" s="46">
        <f>IF(OR(B1475="",C1475="",D1475=""),"",D1475*100000+(C1475-DATE(2000,1,1))+ROW()/100000)</f>
        <v/>
      </c>
      <c r="F1475" s="46">
        <f>IF(E1475="","",IF(C1475&gt;WeekEndDate,"",E1475))</f>
        <v/>
      </c>
    </row>
    <row r="1476">
      <c r="A1476" t="inlineStr">
        <is>
          <t>Payments</t>
        </is>
      </c>
      <c r="B1476" s="46">
        <f>'Payments'!W480</f>
        <v/>
      </c>
      <c r="C1476" s="84">
        <f>'Payments'!U480</f>
        <v/>
      </c>
      <c r="D1476" s="46">
        <f>'Payments'!V480</f>
        <v/>
      </c>
      <c r="E1476" s="46">
        <f>IF(OR(B1476="",C1476="",D1476=""),"",D1476*100000+(C1476-DATE(2000,1,1))+ROW()/100000)</f>
        <v/>
      </c>
      <c r="F1476" s="46">
        <f>IF(E1476="","",IF(C1476&gt;WeekEndDate,"",E1476))</f>
        <v/>
      </c>
    </row>
    <row r="1477">
      <c r="A1477" t="inlineStr">
        <is>
          <t>Payments</t>
        </is>
      </c>
      <c r="B1477" s="46">
        <f>'Payments'!W481</f>
        <v/>
      </c>
      <c r="C1477" s="84">
        <f>'Payments'!U481</f>
        <v/>
      </c>
      <c r="D1477" s="46">
        <f>'Payments'!V481</f>
        <v/>
      </c>
      <c r="E1477" s="46">
        <f>IF(OR(B1477="",C1477="",D1477=""),"",D1477*100000+(C1477-DATE(2000,1,1))+ROW()/100000)</f>
        <v/>
      </c>
      <c r="F1477" s="46">
        <f>IF(E1477="","",IF(C1477&gt;WeekEndDate,"",E1477))</f>
        <v/>
      </c>
    </row>
    <row r="1478">
      <c r="A1478" t="inlineStr">
        <is>
          <t>Payments</t>
        </is>
      </c>
      <c r="B1478" s="46">
        <f>'Payments'!W482</f>
        <v/>
      </c>
      <c r="C1478" s="84">
        <f>'Payments'!U482</f>
        <v/>
      </c>
      <c r="D1478" s="46">
        <f>'Payments'!V482</f>
        <v/>
      </c>
      <c r="E1478" s="46">
        <f>IF(OR(B1478="",C1478="",D1478=""),"",D1478*100000+(C1478-DATE(2000,1,1))+ROW()/100000)</f>
        <v/>
      </c>
      <c r="F1478" s="46">
        <f>IF(E1478="","",IF(C1478&gt;WeekEndDate,"",E1478))</f>
        <v/>
      </c>
    </row>
    <row r="1479">
      <c r="A1479" t="inlineStr">
        <is>
          <t>Payments</t>
        </is>
      </c>
      <c r="B1479" s="46">
        <f>'Payments'!W483</f>
        <v/>
      </c>
      <c r="C1479" s="84">
        <f>'Payments'!U483</f>
        <v/>
      </c>
      <c r="D1479" s="46">
        <f>'Payments'!V483</f>
        <v/>
      </c>
      <c r="E1479" s="46">
        <f>IF(OR(B1479="",C1479="",D1479=""),"",D1479*100000+(C1479-DATE(2000,1,1))+ROW()/100000)</f>
        <v/>
      </c>
      <c r="F1479" s="46">
        <f>IF(E1479="","",IF(C1479&gt;WeekEndDate,"",E1479))</f>
        <v/>
      </c>
    </row>
    <row r="1480">
      <c r="A1480" t="inlineStr">
        <is>
          <t>Payments</t>
        </is>
      </c>
      <c r="B1480" s="46">
        <f>'Payments'!W484</f>
        <v/>
      </c>
      <c r="C1480" s="84">
        <f>'Payments'!U484</f>
        <v/>
      </c>
      <c r="D1480" s="46">
        <f>'Payments'!V484</f>
        <v/>
      </c>
      <c r="E1480" s="46">
        <f>IF(OR(B1480="",C1480="",D1480=""),"",D1480*100000+(C1480-DATE(2000,1,1))+ROW()/100000)</f>
        <v/>
      </c>
      <c r="F1480" s="46">
        <f>IF(E1480="","",IF(C1480&gt;WeekEndDate,"",E1480))</f>
        <v/>
      </c>
    </row>
    <row r="1481">
      <c r="A1481" t="inlineStr">
        <is>
          <t>Payments</t>
        </is>
      </c>
      <c r="B1481" s="46">
        <f>'Payments'!W485</f>
        <v/>
      </c>
      <c r="C1481" s="84">
        <f>'Payments'!U485</f>
        <v/>
      </c>
      <c r="D1481" s="46">
        <f>'Payments'!V485</f>
        <v/>
      </c>
      <c r="E1481" s="46">
        <f>IF(OR(B1481="",C1481="",D1481=""),"",D1481*100000+(C1481-DATE(2000,1,1))+ROW()/100000)</f>
        <v/>
      </c>
      <c r="F1481" s="46">
        <f>IF(E1481="","",IF(C1481&gt;WeekEndDate,"",E1481))</f>
        <v/>
      </c>
    </row>
    <row r="1482">
      <c r="A1482" t="inlineStr">
        <is>
          <t>Payments</t>
        </is>
      </c>
      <c r="B1482" s="46">
        <f>'Payments'!W486</f>
        <v/>
      </c>
      <c r="C1482" s="84">
        <f>'Payments'!U486</f>
        <v/>
      </c>
      <c r="D1482" s="46">
        <f>'Payments'!V486</f>
        <v/>
      </c>
      <c r="E1482" s="46">
        <f>IF(OR(B1482="",C1482="",D1482=""),"",D1482*100000+(C1482-DATE(2000,1,1))+ROW()/100000)</f>
        <v/>
      </c>
      <c r="F1482" s="46">
        <f>IF(E1482="","",IF(C1482&gt;WeekEndDate,"",E1482))</f>
        <v/>
      </c>
    </row>
    <row r="1483">
      <c r="A1483" t="inlineStr">
        <is>
          <t>Payments</t>
        </is>
      </c>
      <c r="B1483" s="46">
        <f>'Payments'!W487</f>
        <v/>
      </c>
      <c r="C1483" s="84">
        <f>'Payments'!U487</f>
        <v/>
      </c>
      <c r="D1483" s="46">
        <f>'Payments'!V487</f>
        <v/>
      </c>
      <c r="E1483" s="46">
        <f>IF(OR(B1483="",C1483="",D1483=""),"",D1483*100000+(C1483-DATE(2000,1,1))+ROW()/100000)</f>
        <v/>
      </c>
      <c r="F1483" s="46">
        <f>IF(E1483="","",IF(C1483&gt;WeekEndDate,"",E1483))</f>
        <v/>
      </c>
    </row>
    <row r="1484">
      <c r="A1484" t="inlineStr">
        <is>
          <t>Payments</t>
        </is>
      </c>
      <c r="B1484" s="46">
        <f>'Payments'!W488</f>
        <v/>
      </c>
      <c r="C1484" s="84">
        <f>'Payments'!U488</f>
        <v/>
      </c>
      <c r="D1484" s="46">
        <f>'Payments'!V488</f>
        <v/>
      </c>
      <c r="E1484" s="46">
        <f>IF(OR(B1484="",C1484="",D1484=""),"",D1484*100000+(C1484-DATE(2000,1,1))+ROW()/100000)</f>
        <v/>
      </c>
      <c r="F1484" s="46">
        <f>IF(E1484="","",IF(C1484&gt;WeekEndDate,"",E1484))</f>
        <v/>
      </c>
    </row>
    <row r="1485">
      <c r="A1485" t="inlineStr">
        <is>
          <t>Payments</t>
        </is>
      </c>
      <c r="B1485" s="46">
        <f>'Payments'!W489</f>
        <v/>
      </c>
      <c r="C1485" s="84">
        <f>'Payments'!U489</f>
        <v/>
      </c>
      <c r="D1485" s="46">
        <f>'Payments'!V489</f>
        <v/>
      </c>
      <c r="E1485" s="46">
        <f>IF(OR(B1485="",C1485="",D1485=""),"",D1485*100000+(C1485-DATE(2000,1,1))+ROW()/100000)</f>
        <v/>
      </c>
      <c r="F1485" s="46">
        <f>IF(E1485="","",IF(C1485&gt;WeekEndDate,"",E1485))</f>
        <v/>
      </c>
    </row>
    <row r="1486">
      <c r="A1486" t="inlineStr">
        <is>
          <t>Payments</t>
        </is>
      </c>
      <c r="B1486" s="46">
        <f>'Payments'!W490</f>
        <v/>
      </c>
      <c r="C1486" s="84">
        <f>'Payments'!U490</f>
        <v/>
      </c>
      <c r="D1486" s="46">
        <f>'Payments'!V490</f>
        <v/>
      </c>
      <c r="E1486" s="46">
        <f>IF(OR(B1486="",C1486="",D1486=""),"",D1486*100000+(C1486-DATE(2000,1,1))+ROW()/100000)</f>
        <v/>
      </c>
      <c r="F1486" s="46">
        <f>IF(E1486="","",IF(C1486&gt;WeekEndDate,"",E1486))</f>
        <v/>
      </c>
    </row>
    <row r="1487">
      <c r="A1487" t="inlineStr">
        <is>
          <t>Payments</t>
        </is>
      </c>
      <c r="B1487" s="46">
        <f>'Payments'!W491</f>
        <v/>
      </c>
      <c r="C1487" s="84">
        <f>'Payments'!U491</f>
        <v/>
      </c>
      <c r="D1487" s="46">
        <f>'Payments'!V491</f>
        <v/>
      </c>
      <c r="E1487" s="46">
        <f>IF(OR(B1487="",C1487="",D1487=""),"",D1487*100000+(C1487-DATE(2000,1,1))+ROW()/100000)</f>
        <v/>
      </c>
      <c r="F1487" s="46">
        <f>IF(E1487="","",IF(C1487&gt;WeekEndDate,"",E1487))</f>
        <v/>
      </c>
    </row>
    <row r="1488">
      <c r="A1488" t="inlineStr">
        <is>
          <t>Payments</t>
        </is>
      </c>
      <c r="B1488" s="46">
        <f>'Payments'!W492</f>
        <v/>
      </c>
      <c r="C1488" s="84">
        <f>'Payments'!U492</f>
        <v/>
      </c>
      <c r="D1488" s="46">
        <f>'Payments'!V492</f>
        <v/>
      </c>
      <c r="E1488" s="46">
        <f>IF(OR(B1488="",C1488="",D1488=""),"",D1488*100000+(C1488-DATE(2000,1,1))+ROW()/100000)</f>
        <v/>
      </c>
      <c r="F1488" s="46">
        <f>IF(E1488="","",IF(C1488&gt;WeekEndDate,"",E1488))</f>
        <v/>
      </c>
    </row>
    <row r="1489">
      <c r="A1489" t="inlineStr">
        <is>
          <t>Payments</t>
        </is>
      </c>
      <c r="B1489" s="46">
        <f>'Payments'!W493</f>
        <v/>
      </c>
      <c r="C1489" s="84">
        <f>'Payments'!U493</f>
        <v/>
      </c>
      <c r="D1489" s="46">
        <f>'Payments'!V493</f>
        <v/>
      </c>
      <c r="E1489" s="46">
        <f>IF(OR(B1489="",C1489="",D1489=""),"",D1489*100000+(C1489-DATE(2000,1,1))+ROW()/100000)</f>
        <v/>
      </c>
      <c r="F1489" s="46">
        <f>IF(E1489="","",IF(C1489&gt;WeekEndDate,"",E1489))</f>
        <v/>
      </c>
    </row>
    <row r="1490">
      <c r="A1490" t="inlineStr">
        <is>
          <t>Payments</t>
        </is>
      </c>
      <c r="B1490" s="46">
        <f>'Payments'!W494</f>
        <v/>
      </c>
      <c r="C1490" s="84">
        <f>'Payments'!U494</f>
        <v/>
      </c>
      <c r="D1490" s="46">
        <f>'Payments'!V494</f>
        <v/>
      </c>
      <c r="E1490" s="46">
        <f>IF(OR(B1490="",C1490="",D1490=""),"",D1490*100000+(C1490-DATE(2000,1,1))+ROW()/100000)</f>
        <v/>
      </c>
      <c r="F1490" s="46">
        <f>IF(E1490="","",IF(C1490&gt;WeekEndDate,"",E1490))</f>
        <v/>
      </c>
    </row>
    <row r="1491">
      <c r="A1491" t="inlineStr">
        <is>
          <t>Payments</t>
        </is>
      </c>
      <c r="B1491" s="46">
        <f>'Payments'!W495</f>
        <v/>
      </c>
      <c r="C1491" s="84">
        <f>'Payments'!U495</f>
        <v/>
      </c>
      <c r="D1491" s="46">
        <f>'Payments'!V495</f>
        <v/>
      </c>
      <c r="E1491" s="46">
        <f>IF(OR(B1491="",C1491="",D1491=""),"",D1491*100000+(C1491-DATE(2000,1,1))+ROW()/100000)</f>
        <v/>
      </c>
      <c r="F1491" s="46">
        <f>IF(E1491="","",IF(C1491&gt;WeekEndDate,"",E1491))</f>
        <v/>
      </c>
    </row>
    <row r="1492">
      <c r="A1492" t="inlineStr">
        <is>
          <t>Payments</t>
        </is>
      </c>
      <c r="B1492" s="46">
        <f>'Payments'!W496</f>
        <v/>
      </c>
      <c r="C1492" s="84">
        <f>'Payments'!U496</f>
        <v/>
      </c>
      <c r="D1492" s="46">
        <f>'Payments'!V496</f>
        <v/>
      </c>
      <c r="E1492" s="46">
        <f>IF(OR(B1492="",C1492="",D1492=""),"",D1492*100000+(C1492-DATE(2000,1,1))+ROW()/100000)</f>
        <v/>
      </c>
      <c r="F1492" s="46">
        <f>IF(E1492="","",IF(C1492&gt;WeekEndDate,"",E1492))</f>
        <v/>
      </c>
    </row>
    <row r="1493">
      <c r="A1493" t="inlineStr">
        <is>
          <t>Payments</t>
        </is>
      </c>
      <c r="B1493" s="46">
        <f>'Payments'!W497</f>
        <v/>
      </c>
      <c r="C1493" s="84">
        <f>'Payments'!U497</f>
        <v/>
      </c>
      <c r="D1493" s="46">
        <f>'Payments'!V497</f>
        <v/>
      </c>
      <c r="E1493" s="46">
        <f>IF(OR(B1493="",C1493="",D1493=""),"",D1493*100000+(C1493-DATE(2000,1,1))+ROW()/100000)</f>
        <v/>
      </c>
      <c r="F1493" s="46">
        <f>IF(E1493="","",IF(C1493&gt;WeekEndDate,"",E1493))</f>
        <v/>
      </c>
    </row>
    <row r="1494">
      <c r="A1494" t="inlineStr">
        <is>
          <t>Payments</t>
        </is>
      </c>
      <c r="B1494" s="46">
        <f>'Payments'!W498</f>
        <v/>
      </c>
      <c r="C1494" s="84">
        <f>'Payments'!U498</f>
        <v/>
      </c>
      <c r="D1494" s="46">
        <f>'Payments'!V498</f>
        <v/>
      </c>
      <c r="E1494" s="46">
        <f>IF(OR(B1494="",C1494="",D1494=""),"",D1494*100000+(C1494-DATE(2000,1,1))+ROW()/100000)</f>
        <v/>
      </c>
      <c r="F1494" s="46">
        <f>IF(E1494="","",IF(C1494&gt;WeekEndDate,"",E1494))</f>
        <v/>
      </c>
    </row>
    <row r="1495">
      <c r="A1495" t="inlineStr">
        <is>
          <t>Payments</t>
        </is>
      </c>
      <c r="B1495" s="46">
        <f>'Payments'!W499</f>
        <v/>
      </c>
      <c r="C1495" s="84">
        <f>'Payments'!U499</f>
        <v/>
      </c>
      <c r="D1495" s="46">
        <f>'Payments'!V499</f>
        <v/>
      </c>
      <c r="E1495" s="46">
        <f>IF(OR(B1495="",C1495="",D1495=""),"",D1495*100000+(C1495-DATE(2000,1,1))+ROW()/100000)</f>
        <v/>
      </c>
      <c r="F1495" s="46">
        <f>IF(E1495="","",IF(C1495&gt;WeekEndDate,"",E1495))</f>
        <v/>
      </c>
    </row>
    <row r="1496">
      <c r="A1496" t="inlineStr">
        <is>
          <t>Payments</t>
        </is>
      </c>
      <c r="B1496" s="46">
        <f>'Payments'!W500</f>
        <v/>
      </c>
      <c r="C1496" s="84">
        <f>'Payments'!U500</f>
        <v/>
      </c>
      <c r="D1496" s="46">
        <f>'Payments'!V500</f>
        <v/>
      </c>
      <c r="E1496" s="46">
        <f>IF(OR(B1496="",C1496="",D1496=""),"",D1496*100000+(C1496-DATE(2000,1,1))+ROW()/100000)</f>
        <v/>
      </c>
      <c r="F1496" s="46">
        <f>IF(E1496="","",IF(C1496&gt;WeekEndDate,"",E1496))</f>
        <v/>
      </c>
    </row>
    <row r="1497">
      <c r="A1497" t="inlineStr">
        <is>
          <t>Payments</t>
        </is>
      </c>
      <c r="B1497" s="46">
        <f>'Payments'!W501</f>
        <v/>
      </c>
      <c r="C1497" s="84">
        <f>'Payments'!U501</f>
        <v/>
      </c>
      <c r="D1497" s="46">
        <f>'Payments'!V501</f>
        <v/>
      </c>
      <c r="E1497" s="46">
        <f>IF(OR(B1497="",C1497="",D1497=""),"",D1497*100000+(C1497-DATE(2000,1,1))+ROW()/100000)</f>
        <v/>
      </c>
      <c r="F1497" s="46">
        <f>IF(E1497="","",IF(C1497&gt;WeekEndDate,"",E1497))</f>
        <v/>
      </c>
    </row>
    <row r="1498">
      <c r="A1498" t="inlineStr">
        <is>
          <t>Payments</t>
        </is>
      </c>
      <c r="B1498" s="46">
        <f>'Payments'!W502</f>
        <v/>
      </c>
      <c r="C1498" s="84">
        <f>'Payments'!U502</f>
        <v/>
      </c>
      <c r="D1498" s="46">
        <f>'Payments'!V502</f>
        <v/>
      </c>
      <c r="E1498" s="46">
        <f>IF(OR(B1498="",C1498="",D1498=""),"",D1498*100000+(C1498-DATE(2000,1,1))+ROW()/100000)</f>
        <v/>
      </c>
      <c r="F1498" s="46">
        <f>IF(E1498="","",IF(C1498&gt;WeekEndDate,"",E1498))</f>
        <v/>
      </c>
    </row>
    <row r="1499">
      <c r="A1499" t="inlineStr">
        <is>
          <t>Payments</t>
        </is>
      </c>
      <c r="B1499" s="46">
        <f>'Payments'!W503</f>
        <v/>
      </c>
      <c r="C1499" s="84">
        <f>'Payments'!U503</f>
        <v/>
      </c>
      <c r="D1499" s="46">
        <f>'Payments'!V503</f>
        <v/>
      </c>
      <c r="E1499" s="46">
        <f>IF(OR(B1499="",C1499="",D1499=""),"",D1499*100000+(C1499-DATE(2000,1,1))+ROW()/100000)</f>
        <v/>
      </c>
      <c r="F1499" s="46">
        <f>IF(E1499="","",IF(C1499&gt;WeekEndDate,"",E1499))</f>
        <v/>
      </c>
    </row>
    <row r="1500">
      <c r="A1500" t="inlineStr">
        <is>
          <t>Payments</t>
        </is>
      </c>
      <c r="B1500" s="46">
        <f>'Payments'!W504</f>
        <v/>
      </c>
      <c r="C1500" s="84">
        <f>'Payments'!U504</f>
        <v/>
      </c>
      <c r="D1500" s="46">
        <f>'Payments'!V504</f>
        <v/>
      </c>
      <c r="E1500" s="46">
        <f>IF(OR(B1500="",C1500="",D1500=""),"",D1500*100000+(C1500-DATE(2000,1,1))+ROW()/100000)</f>
        <v/>
      </c>
      <c r="F1500" s="46">
        <f>IF(E1500="","",IF(C1500&gt;WeekEndDate,"",E1500))</f>
        <v/>
      </c>
    </row>
    <row r="1501">
      <c r="A1501" t="inlineStr">
        <is>
          <t>Payments</t>
        </is>
      </c>
      <c r="B1501" s="46">
        <f>'Payments'!W505</f>
        <v/>
      </c>
      <c r="C1501" s="84">
        <f>'Payments'!U505</f>
        <v/>
      </c>
      <c r="D1501" s="46">
        <f>'Payments'!V505</f>
        <v/>
      </c>
      <c r="E1501" s="46">
        <f>IF(OR(B1501="",C1501="",D1501=""),"",D1501*100000+(C1501-DATE(2000,1,1))+ROW()/100000)</f>
        <v/>
      </c>
      <c r="F1501" s="46">
        <f>IF(E1501="","",IF(C1501&gt;WeekEndDate,"",E1501))</f>
        <v/>
      </c>
    </row>
    <row r="1502">
      <c r="A1502" t="inlineStr">
        <is>
          <t>Payments</t>
        </is>
      </c>
      <c r="B1502" s="46">
        <f>'Payments'!W506</f>
        <v/>
      </c>
      <c r="C1502" s="84">
        <f>'Payments'!U506</f>
        <v/>
      </c>
      <c r="D1502" s="46">
        <f>'Payments'!V506</f>
        <v/>
      </c>
      <c r="E1502" s="46">
        <f>IF(OR(B1502="",C1502="",D1502=""),"",D1502*100000+(C1502-DATE(2000,1,1))+ROW()/100000)</f>
        <v/>
      </c>
      <c r="F1502" s="46">
        <f>IF(E1502="","",IF(C1502&gt;WeekEndDate,"",E1502))</f>
        <v/>
      </c>
    </row>
    <row r="1503">
      <c r="A1503" t="inlineStr">
        <is>
          <t>Payments</t>
        </is>
      </c>
      <c r="B1503" s="46">
        <f>'Payments'!W507</f>
        <v/>
      </c>
      <c r="C1503" s="84">
        <f>'Payments'!U507</f>
        <v/>
      </c>
      <c r="D1503" s="46">
        <f>'Payments'!V507</f>
        <v/>
      </c>
      <c r="E1503" s="46">
        <f>IF(OR(B1503="",C1503="",D1503=""),"",D1503*100000+(C1503-DATE(2000,1,1))+ROW()/100000)</f>
        <v/>
      </c>
      <c r="F1503" s="46">
        <f>IF(E1503="","",IF(C1503&gt;WeekEndDate,"",E1503))</f>
        <v/>
      </c>
    </row>
    <row r="1504">
      <c r="A1504" t="inlineStr">
        <is>
          <t>Payments</t>
        </is>
      </c>
      <c r="B1504" s="46">
        <f>'Payments'!W508</f>
        <v/>
      </c>
      <c r="C1504" s="84">
        <f>'Payments'!U508</f>
        <v/>
      </c>
      <c r="D1504" s="46">
        <f>'Payments'!V508</f>
        <v/>
      </c>
      <c r="E1504" s="46">
        <f>IF(OR(B1504="",C1504="",D1504=""),"",D1504*100000+(C1504-DATE(2000,1,1))+ROW()/100000)</f>
        <v/>
      </c>
      <c r="F1504" s="46">
        <f>IF(E1504="","",IF(C1504&gt;WeekEndDate,"",E1504))</f>
        <v/>
      </c>
    </row>
    <row r="1505">
      <c r="A1505" t="inlineStr">
        <is>
          <t>Payments</t>
        </is>
      </c>
      <c r="B1505" s="46">
        <f>'Payments'!W509</f>
        <v/>
      </c>
      <c r="C1505" s="84">
        <f>'Payments'!U509</f>
        <v/>
      </c>
      <c r="D1505" s="46">
        <f>'Payments'!V509</f>
        <v/>
      </c>
      <c r="E1505" s="46">
        <f>IF(OR(B1505="",C1505="",D1505=""),"",D1505*100000+(C1505-DATE(2000,1,1))+ROW()/100000)</f>
        <v/>
      </c>
      <c r="F1505" s="46">
        <f>IF(E1505="","",IF(C1505&gt;WeekEndDate,"",E1505))</f>
        <v/>
      </c>
    </row>
    <row r="1506">
      <c r="A1506" t="inlineStr">
        <is>
          <t>Payments</t>
        </is>
      </c>
      <c r="B1506" s="46">
        <f>'Payments'!W510</f>
        <v/>
      </c>
      <c r="C1506" s="84">
        <f>'Payments'!U510</f>
        <v/>
      </c>
      <c r="D1506" s="46">
        <f>'Payments'!V510</f>
        <v/>
      </c>
      <c r="E1506" s="46">
        <f>IF(OR(B1506="",C1506="",D1506=""),"",D1506*100000+(C1506-DATE(2000,1,1))+ROW()/100000)</f>
        <v/>
      </c>
      <c r="F1506" s="46">
        <f>IF(E1506="","",IF(C1506&gt;WeekEndDate,"",E1506))</f>
        <v/>
      </c>
    </row>
    <row r="1507">
      <c r="A1507" t="inlineStr">
        <is>
          <t>Payments</t>
        </is>
      </c>
      <c r="B1507" s="46">
        <f>'Payments'!W511</f>
        <v/>
      </c>
      <c r="C1507" s="84">
        <f>'Payments'!U511</f>
        <v/>
      </c>
      <c r="D1507" s="46">
        <f>'Payments'!V511</f>
        <v/>
      </c>
      <c r="E1507" s="46">
        <f>IF(OR(B1507="",C1507="",D1507=""),"",D1507*100000+(C1507-DATE(2000,1,1))+ROW()/100000)</f>
        <v/>
      </c>
      <c r="F1507" s="46">
        <f>IF(E1507="","",IF(C1507&gt;WeekEndDate,"",E1507))</f>
        <v/>
      </c>
    </row>
    <row r="1508">
      <c r="A1508" t="inlineStr">
        <is>
          <t>Payments</t>
        </is>
      </c>
      <c r="B1508" s="46">
        <f>'Payments'!W512</f>
        <v/>
      </c>
      <c r="C1508" s="84">
        <f>'Payments'!U512</f>
        <v/>
      </c>
      <c r="D1508" s="46">
        <f>'Payments'!V512</f>
        <v/>
      </c>
      <c r="E1508" s="46">
        <f>IF(OR(B1508="",C1508="",D1508=""),"",D1508*100000+(C1508-DATE(2000,1,1))+ROW()/100000)</f>
        <v/>
      </c>
      <c r="F1508" s="46">
        <f>IF(E1508="","",IF(C1508&gt;WeekEndDate,"",E1508))</f>
        <v/>
      </c>
    </row>
    <row r="1509">
      <c r="A1509" t="inlineStr">
        <is>
          <t>Payments</t>
        </is>
      </c>
      <c r="B1509" s="46">
        <f>'Payments'!W513</f>
        <v/>
      </c>
      <c r="C1509" s="84">
        <f>'Payments'!U513</f>
        <v/>
      </c>
      <c r="D1509" s="46">
        <f>'Payments'!V513</f>
        <v/>
      </c>
      <c r="E1509" s="46">
        <f>IF(OR(B1509="",C1509="",D1509=""),"",D1509*100000+(C1509-DATE(2000,1,1))+ROW()/100000)</f>
        <v/>
      </c>
      <c r="F1509" s="46">
        <f>IF(E1509="","",IF(C1509&gt;WeekEndDate,"",E1509))</f>
        <v/>
      </c>
    </row>
    <row r="1510">
      <c r="A1510" t="inlineStr">
        <is>
          <t>Payments</t>
        </is>
      </c>
      <c r="B1510" s="46">
        <f>'Payments'!W514</f>
        <v/>
      </c>
      <c r="C1510" s="84">
        <f>'Payments'!U514</f>
        <v/>
      </c>
      <c r="D1510" s="46">
        <f>'Payments'!V514</f>
        <v/>
      </c>
      <c r="E1510" s="46">
        <f>IF(OR(B1510="",C1510="",D1510=""),"",D1510*100000+(C1510-DATE(2000,1,1))+ROW()/100000)</f>
        <v/>
      </c>
      <c r="F1510" s="46">
        <f>IF(E1510="","",IF(C1510&gt;WeekEndDate,"",E1510))</f>
        <v/>
      </c>
    </row>
    <row r="1511">
      <c r="A1511" t="inlineStr">
        <is>
          <t>Payments</t>
        </is>
      </c>
      <c r="B1511" s="46">
        <f>'Payments'!W515</f>
        <v/>
      </c>
      <c r="C1511" s="84">
        <f>'Payments'!U515</f>
        <v/>
      </c>
      <c r="D1511" s="46">
        <f>'Payments'!V515</f>
        <v/>
      </c>
      <c r="E1511" s="46">
        <f>IF(OR(B1511="",C1511="",D1511=""),"",D1511*100000+(C1511-DATE(2000,1,1))+ROW()/100000)</f>
        <v/>
      </c>
      <c r="F1511" s="46">
        <f>IF(E1511="","",IF(C1511&gt;WeekEndDate,"",E1511))</f>
        <v/>
      </c>
    </row>
    <row r="1512">
      <c r="A1512" t="inlineStr">
        <is>
          <t>Payments</t>
        </is>
      </c>
      <c r="B1512" s="46">
        <f>'Payments'!W516</f>
        <v/>
      </c>
      <c r="C1512" s="84">
        <f>'Payments'!U516</f>
        <v/>
      </c>
      <c r="D1512" s="46">
        <f>'Payments'!V516</f>
        <v/>
      </c>
      <c r="E1512" s="46">
        <f>IF(OR(B1512="",C1512="",D1512=""),"",D1512*100000+(C1512-DATE(2000,1,1))+ROW()/100000)</f>
        <v/>
      </c>
      <c r="F1512" s="46">
        <f>IF(E1512="","",IF(C1512&gt;WeekEndDate,"",E1512))</f>
        <v/>
      </c>
    </row>
    <row r="1513">
      <c r="A1513" t="inlineStr">
        <is>
          <t>Payments</t>
        </is>
      </c>
      <c r="B1513" s="46">
        <f>'Payments'!W517</f>
        <v/>
      </c>
      <c r="C1513" s="84">
        <f>'Payments'!U517</f>
        <v/>
      </c>
      <c r="D1513" s="46">
        <f>'Payments'!V517</f>
        <v/>
      </c>
      <c r="E1513" s="46">
        <f>IF(OR(B1513="",C1513="",D1513=""),"",D1513*100000+(C1513-DATE(2000,1,1))+ROW()/100000)</f>
        <v/>
      </c>
      <c r="F1513" s="46">
        <f>IF(E1513="","",IF(C1513&gt;WeekEndDate,"",E1513))</f>
        <v/>
      </c>
    </row>
    <row r="1514">
      <c r="A1514" t="inlineStr">
        <is>
          <t>Payments</t>
        </is>
      </c>
      <c r="B1514" s="46">
        <f>'Payments'!W518</f>
        <v/>
      </c>
      <c r="C1514" s="84">
        <f>'Payments'!U518</f>
        <v/>
      </c>
      <c r="D1514" s="46">
        <f>'Payments'!V518</f>
        <v/>
      </c>
      <c r="E1514" s="46">
        <f>IF(OR(B1514="",C1514="",D1514=""),"",D1514*100000+(C1514-DATE(2000,1,1))+ROW()/100000)</f>
        <v/>
      </c>
      <c r="F1514" s="46">
        <f>IF(E1514="","",IF(C1514&gt;WeekEndDate,"",E1514))</f>
        <v/>
      </c>
    </row>
    <row r="1515">
      <c r="A1515" t="inlineStr">
        <is>
          <t>Payments</t>
        </is>
      </c>
      <c r="B1515" s="46">
        <f>'Payments'!W519</f>
        <v/>
      </c>
      <c r="C1515" s="84">
        <f>'Payments'!U519</f>
        <v/>
      </c>
      <c r="D1515" s="46">
        <f>'Payments'!V519</f>
        <v/>
      </c>
      <c r="E1515" s="46">
        <f>IF(OR(B1515="",C1515="",D1515=""),"",D1515*100000+(C1515-DATE(2000,1,1))+ROW()/100000)</f>
        <v/>
      </c>
      <c r="F1515" s="46">
        <f>IF(E1515="","",IF(C1515&gt;WeekEndDate,"",E1515))</f>
        <v/>
      </c>
    </row>
    <row r="1516">
      <c r="A1516" t="inlineStr">
        <is>
          <t>Payments</t>
        </is>
      </c>
      <c r="B1516" s="46">
        <f>'Payments'!W520</f>
        <v/>
      </c>
      <c r="C1516" s="84">
        <f>'Payments'!U520</f>
        <v/>
      </c>
      <c r="D1516" s="46">
        <f>'Payments'!V520</f>
        <v/>
      </c>
      <c r="E1516" s="46">
        <f>IF(OR(B1516="",C1516="",D1516=""),"",D1516*100000+(C1516-DATE(2000,1,1))+ROW()/100000)</f>
        <v/>
      </c>
      <c r="F1516" s="46">
        <f>IF(E1516="","",IF(C1516&gt;WeekEndDate,"",E1516))</f>
        <v/>
      </c>
    </row>
    <row r="1517">
      <c r="A1517" t="inlineStr">
        <is>
          <t>Payments</t>
        </is>
      </c>
      <c r="B1517" s="46">
        <f>'Payments'!W521</f>
        <v/>
      </c>
      <c r="C1517" s="84">
        <f>'Payments'!U521</f>
        <v/>
      </c>
      <c r="D1517" s="46">
        <f>'Payments'!V521</f>
        <v/>
      </c>
      <c r="E1517" s="46">
        <f>IF(OR(B1517="",C1517="",D1517=""),"",D1517*100000+(C1517-DATE(2000,1,1))+ROW()/100000)</f>
        <v/>
      </c>
      <c r="F1517" s="46">
        <f>IF(E1517="","",IF(C1517&gt;WeekEndDate,"",E1517))</f>
        <v/>
      </c>
    </row>
    <row r="1518">
      <c r="A1518" t="inlineStr">
        <is>
          <t>Payments</t>
        </is>
      </c>
      <c r="B1518" s="46">
        <f>'Payments'!W522</f>
        <v/>
      </c>
      <c r="C1518" s="84">
        <f>'Payments'!U522</f>
        <v/>
      </c>
      <c r="D1518" s="46">
        <f>'Payments'!V522</f>
        <v/>
      </c>
      <c r="E1518" s="46">
        <f>IF(OR(B1518="",C1518="",D1518=""),"",D1518*100000+(C1518-DATE(2000,1,1))+ROW()/100000)</f>
        <v/>
      </c>
      <c r="F1518" s="46">
        <f>IF(E1518="","",IF(C1518&gt;WeekEndDate,"",E1518))</f>
        <v/>
      </c>
    </row>
    <row r="1519">
      <c r="A1519" t="inlineStr">
        <is>
          <t>Payments</t>
        </is>
      </c>
      <c r="B1519" s="46">
        <f>'Payments'!W523</f>
        <v/>
      </c>
      <c r="C1519" s="84">
        <f>'Payments'!U523</f>
        <v/>
      </c>
      <c r="D1519" s="46">
        <f>'Payments'!V523</f>
        <v/>
      </c>
      <c r="E1519" s="46">
        <f>IF(OR(B1519="",C1519="",D1519=""),"",D1519*100000+(C1519-DATE(2000,1,1))+ROW()/100000)</f>
        <v/>
      </c>
      <c r="F1519" s="46">
        <f>IF(E1519="","",IF(C1519&gt;WeekEndDate,"",E1519))</f>
        <v/>
      </c>
    </row>
    <row r="1520">
      <c r="A1520" t="inlineStr">
        <is>
          <t>Payments</t>
        </is>
      </c>
      <c r="B1520" s="46">
        <f>'Payments'!W524</f>
        <v/>
      </c>
      <c r="C1520" s="84">
        <f>'Payments'!U524</f>
        <v/>
      </c>
      <c r="D1520" s="46">
        <f>'Payments'!V524</f>
        <v/>
      </c>
      <c r="E1520" s="46">
        <f>IF(OR(B1520="",C1520="",D1520=""),"",D1520*100000+(C1520-DATE(2000,1,1))+ROW()/100000)</f>
        <v/>
      </c>
      <c r="F1520" s="46">
        <f>IF(E1520="","",IF(C1520&gt;WeekEndDate,"",E1520))</f>
        <v/>
      </c>
    </row>
    <row r="1521">
      <c r="A1521" t="inlineStr">
        <is>
          <t>Payments</t>
        </is>
      </c>
      <c r="B1521" s="46">
        <f>'Payments'!W525</f>
        <v/>
      </c>
      <c r="C1521" s="84">
        <f>'Payments'!U525</f>
        <v/>
      </c>
      <c r="D1521" s="46">
        <f>'Payments'!V525</f>
        <v/>
      </c>
      <c r="E1521" s="46">
        <f>IF(OR(B1521="",C1521="",D1521=""),"",D1521*100000+(C1521-DATE(2000,1,1))+ROW()/100000)</f>
        <v/>
      </c>
      <c r="F1521" s="46">
        <f>IF(E1521="","",IF(C1521&gt;WeekEndDate,"",E1521))</f>
        <v/>
      </c>
    </row>
    <row r="1522">
      <c r="A1522" t="inlineStr">
        <is>
          <t>Payments</t>
        </is>
      </c>
      <c r="B1522" s="46">
        <f>'Payments'!W526</f>
        <v/>
      </c>
      <c r="C1522" s="84">
        <f>'Payments'!U526</f>
        <v/>
      </c>
      <c r="D1522" s="46">
        <f>'Payments'!V526</f>
        <v/>
      </c>
      <c r="E1522" s="46">
        <f>IF(OR(B1522="",C1522="",D1522=""),"",D1522*100000+(C1522-DATE(2000,1,1))+ROW()/100000)</f>
        <v/>
      </c>
      <c r="F1522" s="46">
        <f>IF(E1522="","",IF(C1522&gt;WeekEndDate,"",E1522))</f>
        <v/>
      </c>
    </row>
    <row r="1523">
      <c r="A1523" t="inlineStr">
        <is>
          <t>Payments</t>
        </is>
      </c>
      <c r="B1523" s="46">
        <f>'Payments'!W527</f>
        <v/>
      </c>
      <c r="C1523" s="84">
        <f>'Payments'!U527</f>
        <v/>
      </c>
      <c r="D1523" s="46">
        <f>'Payments'!V527</f>
        <v/>
      </c>
      <c r="E1523" s="46">
        <f>IF(OR(B1523="",C1523="",D1523=""),"",D1523*100000+(C1523-DATE(2000,1,1))+ROW()/100000)</f>
        <v/>
      </c>
      <c r="F1523" s="46">
        <f>IF(E1523="","",IF(C1523&gt;WeekEndDate,"",E1523))</f>
        <v/>
      </c>
    </row>
    <row r="1524">
      <c r="A1524" t="inlineStr">
        <is>
          <t>Payments</t>
        </is>
      </c>
      <c r="B1524" s="46">
        <f>'Payments'!W528</f>
        <v/>
      </c>
      <c r="C1524" s="84">
        <f>'Payments'!U528</f>
        <v/>
      </c>
      <c r="D1524" s="46">
        <f>'Payments'!V528</f>
        <v/>
      </c>
      <c r="E1524" s="46">
        <f>IF(OR(B1524="",C1524="",D1524=""),"",D1524*100000+(C1524-DATE(2000,1,1))+ROW()/100000)</f>
        <v/>
      </c>
      <c r="F1524" s="46">
        <f>IF(E1524="","",IF(C1524&gt;WeekEndDate,"",E1524))</f>
        <v/>
      </c>
    </row>
    <row r="1525">
      <c r="A1525" t="inlineStr">
        <is>
          <t>Payments</t>
        </is>
      </c>
      <c r="B1525" s="46">
        <f>'Payments'!W529</f>
        <v/>
      </c>
      <c r="C1525" s="84">
        <f>'Payments'!U529</f>
        <v/>
      </c>
      <c r="D1525" s="46">
        <f>'Payments'!V529</f>
        <v/>
      </c>
      <c r="E1525" s="46">
        <f>IF(OR(B1525="",C1525="",D1525=""),"",D1525*100000+(C1525-DATE(2000,1,1))+ROW()/100000)</f>
        <v/>
      </c>
      <c r="F1525" s="46">
        <f>IF(E1525="","",IF(C1525&gt;WeekEndDate,"",E1525))</f>
        <v/>
      </c>
    </row>
    <row r="1526">
      <c r="A1526" t="inlineStr">
        <is>
          <t>Payments</t>
        </is>
      </c>
      <c r="B1526" s="46">
        <f>'Payments'!W530</f>
        <v/>
      </c>
      <c r="C1526" s="84">
        <f>'Payments'!U530</f>
        <v/>
      </c>
      <c r="D1526" s="46">
        <f>'Payments'!V530</f>
        <v/>
      </c>
      <c r="E1526" s="46">
        <f>IF(OR(B1526="",C1526="",D1526=""),"",D1526*100000+(C1526-DATE(2000,1,1))+ROW()/100000)</f>
        <v/>
      </c>
      <c r="F1526" s="46">
        <f>IF(E1526="","",IF(C1526&gt;WeekEndDate,"",E1526))</f>
        <v/>
      </c>
    </row>
    <row r="1527">
      <c r="A1527" t="inlineStr">
        <is>
          <t>Payments</t>
        </is>
      </c>
      <c r="B1527" s="46">
        <f>'Payments'!W531</f>
        <v/>
      </c>
      <c r="C1527" s="84">
        <f>'Payments'!U531</f>
        <v/>
      </c>
      <c r="D1527" s="46">
        <f>'Payments'!V531</f>
        <v/>
      </c>
      <c r="E1527" s="46">
        <f>IF(OR(B1527="",C1527="",D1527=""),"",D1527*100000+(C1527-DATE(2000,1,1))+ROW()/100000)</f>
        <v/>
      </c>
      <c r="F1527" s="46">
        <f>IF(E1527="","",IF(C1527&gt;WeekEndDate,"",E1527))</f>
        <v/>
      </c>
    </row>
    <row r="1528">
      <c r="A1528" t="inlineStr">
        <is>
          <t>Payments</t>
        </is>
      </c>
      <c r="B1528" s="46">
        <f>'Payments'!W532</f>
        <v/>
      </c>
      <c r="C1528" s="84">
        <f>'Payments'!U532</f>
        <v/>
      </c>
      <c r="D1528" s="46">
        <f>'Payments'!V532</f>
        <v/>
      </c>
      <c r="E1528" s="46">
        <f>IF(OR(B1528="",C1528="",D1528=""),"",D1528*100000+(C1528-DATE(2000,1,1))+ROW()/100000)</f>
        <v/>
      </c>
      <c r="F1528" s="46">
        <f>IF(E1528="","",IF(C1528&gt;WeekEndDate,"",E1528))</f>
        <v/>
      </c>
    </row>
    <row r="1529">
      <c r="A1529" t="inlineStr">
        <is>
          <t>Payments</t>
        </is>
      </c>
      <c r="B1529" s="46">
        <f>'Payments'!W533</f>
        <v/>
      </c>
      <c r="C1529" s="84">
        <f>'Payments'!U533</f>
        <v/>
      </c>
      <c r="D1529" s="46">
        <f>'Payments'!V533</f>
        <v/>
      </c>
      <c r="E1529" s="46">
        <f>IF(OR(B1529="",C1529="",D1529=""),"",D1529*100000+(C1529-DATE(2000,1,1))+ROW()/100000)</f>
        <v/>
      </c>
      <c r="F1529" s="46">
        <f>IF(E1529="","",IF(C1529&gt;WeekEndDate,"",E1529))</f>
        <v/>
      </c>
    </row>
    <row r="1530">
      <c r="A1530" t="inlineStr">
        <is>
          <t>Payments</t>
        </is>
      </c>
      <c r="B1530" s="46">
        <f>'Payments'!W534</f>
        <v/>
      </c>
      <c r="C1530" s="84">
        <f>'Payments'!U534</f>
        <v/>
      </c>
      <c r="D1530" s="46">
        <f>'Payments'!V534</f>
        <v/>
      </c>
      <c r="E1530" s="46">
        <f>IF(OR(B1530="",C1530="",D1530=""),"",D1530*100000+(C1530-DATE(2000,1,1))+ROW()/100000)</f>
        <v/>
      </c>
      <c r="F1530" s="46">
        <f>IF(E1530="","",IF(C1530&gt;WeekEndDate,"",E1530))</f>
        <v/>
      </c>
    </row>
    <row r="1531">
      <c r="A1531" t="inlineStr">
        <is>
          <t>Payments</t>
        </is>
      </c>
      <c r="B1531" s="46">
        <f>'Payments'!W535</f>
        <v/>
      </c>
      <c r="C1531" s="84">
        <f>'Payments'!U535</f>
        <v/>
      </c>
      <c r="D1531" s="46">
        <f>'Payments'!V535</f>
        <v/>
      </c>
      <c r="E1531" s="46">
        <f>IF(OR(B1531="",C1531="",D1531=""),"",D1531*100000+(C1531-DATE(2000,1,1))+ROW()/100000)</f>
        <v/>
      </c>
      <c r="F1531" s="46">
        <f>IF(E1531="","",IF(C1531&gt;WeekEndDate,"",E1531))</f>
        <v/>
      </c>
    </row>
    <row r="1532">
      <c r="A1532" t="inlineStr">
        <is>
          <t>Payments</t>
        </is>
      </c>
      <c r="B1532" s="46">
        <f>'Payments'!W536</f>
        <v/>
      </c>
      <c r="C1532" s="84">
        <f>'Payments'!U536</f>
        <v/>
      </c>
      <c r="D1532" s="46">
        <f>'Payments'!V536</f>
        <v/>
      </c>
      <c r="E1532" s="46">
        <f>IF(OR(B1532="",C1532="",D1532=""),"",D1532*100000+(C1532-DATE(2000,1,1))+ROW()/100000)</f>
        <v/>
      </c>
      <c r="F1532" s="46">
        <f>IF(E1532="","",IF(C1532&gt;WeekEndDate,"",E1532))</f>
        <v/>
      </c>
    </row>
    <row r="1533">
      <c r="A1533" t="inlineStr">
        <is>
          <t>Payments</t>
        </is>
      </c>
      <c r="B1533" s="46">
        <f>'Payments'!W537</f>
        <v/>
      </c>
      <c r="C1533" s="84">
        <f>'Payments'!U537</f>
        <v/>
      </c>
      <c r="D1533" s="46">
        <f>'Payments'!V537</f>
        <v/>
      </c>
      <c r="E1533" s="46">
        <f>IF(OR(B1533="",C1533="",D1533=""),"",D1533*100000+(C1533-DATE(2000,1,1))+ROW()/100000)</f>
        <v/>
      </c>
      <c r="F1533" s="46">
        <f>IF(E1533="","",IF(C1533&gt;WeekEndDate,"",E1533))</f>
        <v/>
      </c>
    </row>
    <row r="1534">
      <c r="A1534" t="inlineStr">
        <is>
          <t>Payments</t>
        </is>
      </c>
      <c r="B1534" s="46">
        <f>'Payments'!W538</f>
        <v/>
      </c>
      <c r="C1534" s="84">
        <f>'Payments'!U538</f>
        <v/>
      </c>
      <c r="D1534" s="46">
        <f>'Payments'!V538</f>
        <v/>
      </c>
      <c r="E1534" s="46">
        <f>IF(OR(B1534="",C1534="",D1534=""),"",D1534*100000+(C1534-DATE(2000,1,1))+ROW()/100000)</f>
        <v/>
      </c>
      <c r="F1534" s="46">
        <f>IF(E1534="","",IF(C1534&gt;WeekEndDate,"",E1534))</f>
        <v/>
      </c>
    </row>
    <row r="1535">
      <c r="A1535" t="inlineStr">
        <is>
          <t>Payments</t>
        </is>
      </c>
      <c r="B1535" s="46">
        <f>'Payments'!W539</f>
        <v/>
      </c>
      <c r="C1535" s="84">
        <f>'Payments'!U539</f>
        <v/>
      </c>
      <c r="D1535" s="46">
        <f>'Payments'!V539</f>
        <v/>
      </c>
      <c r="E1535" s="46">
        <f>IF(OR(B1535="",C1535="",D1535=""),"",D1535*100000+(C1535-DATE(2000,1,1))+ROW()/100000)</f>
        <v/>
      </c>
      <c r="F1535" s="46">
        <f>IF(E1535="","",IF(C1535&gt;WeekEndDate,"",E1535))</f>
        <v/>
      </c>
    </row>
    <row r="1536">
      <c r="A1536" t="inlineStr">
        <is>
          <t>Payments</t>
        </is>
      </c>
      <c r="B1536" s="46">
        <f>'Payments'!W540</f>
        <v/>
      </c>
      <c r="C1536" s="84">
        <f>'Payments'!U540</f>
        <v/>
      </c>
      <c r="D1536" s="46">
        <f>'Payments'!V540</f>
        <v/>
      </c>
      <c r="E1536" s="46">
        <f>IF(OR(B1536="",C1536="",D1536=""),"",D1536*100000+(C1536-DATE(2000,1,1))+ROW()/100000)</f>
        <v/>
      </c>
      <c r="F1536" s="46">
        <f>IF(E1536="","",IF(C1536&gt;WeekEndDate,"",E1536))</f>
        <v/>
      </c>
    </row>
    <row r="1537">
      <c r="A1537" t="inlineStr">
        <is>
          <t>Payments</t>
        </is>
      </c>
      <c r="B1537" s="46">
        <f>'Payments'!W541</f>
        <v/>
      </c>
      <c r="C1537" s="84">
        <f>'Payments'!U541</f>
        <v/>
      </c>
      <c r="D1537" s="46">
        <f>'Payments'!V541</f>
        <v/>
      </c>
      <c r="E1537" s="46">
        <f>IF(OR(B1537="",C1537="",D1537=""),"",D1537*100000+(C1537-DATE(2000,1,1))+ROW()/100000)</f>
        <v/>
      </c>
      <c r="F1537" s="46">
        <f>IF(E1537="","",IF(C1537&gt;WeekEndDate,"",E1537))</f>
        <v/>
      </c>
    </row>
    <row r="1538">
      <c r="A1538" t="inlineStr">
        <is>
          <t>Payments</t>
        </is>
      </c>
      <c r="B1538" s="46">
        <f>'Payments'!W542</f>
        <v/>
      </c>
      <c r="C1538" s="84">
        <f>'Payments'!U542</f>
        <v/>
      </c>
      <c r="D1538" s="46">
        <f>'Payments'!V542</f>
        <v/>
      </c>
      <c r="E1538" s="46">
        <f>IF(OR(B1538="",C1538="",D1538=""),"",D1538*100000+(C1538-DATE(2000,1,1))+ROW()/100000)</f>
        <v/>
      </c>
      <c r="F1538" s="46">
        <f>IF(E1538="","",IF(C1538&gt;WeekEndDate,"",E1538))</f>
        <v/>
      </c>
    </row>
    <row r="1539">
      <c r="A1539" t="inlineStr">
        <is>
          <t>Payments</t>
        </is>
      </c>
      <c r="B1539" s="46">
        <f>'Payments'!W543</f>
        <v/>
      </c>
      <c r="C1539" s="84">
        <f>'Payments'!U543</f>
        <v/>
      </c>
      <c r="D1539" s="46">
        <f>'Payments'!V543</f>
        <v/>
      </c>
      <c r="E1539" s="46">
        <f>IF(OR(B1539="",C1539="",D1539=""),"",D1539*100000+(C1539-DATE(2000,1,1))+ROW()/100000)</f>
        <v/>
      </c>
      <c r="F1539" s="46">
        <f>IF(E1539="","",IF(C1539&gt;WeekEndDate,"",E1539))</f>
        <v/>
      </c>
    </row>
    <row r="1540">
      <c r="A1540" t="inlineStr">
        <is>
          <t>Payments</t>
        </is>
      </c>
      <c r="B1540" s="46">
        <f>'Payments'!W544</f>
        <v/>
      </c>
      <c r="C1540" s="84">
        <f>'Payments'!U544</f>
        <v/>
      </c>
      <c r="D1540" s="46">
        <f>'Payments'!V544</f>
        <v/>
      </c>
      <c r="E1540" s="46">
        <f>IF(OR(B1540="",C1540="",D1540=""),"",D1540*100000+(C1540-DATE(2000,1,1))+ROW()/100000)</f>
        <v/>
      </c>
      <c r="F1540" s="46">
        <f>IF(E1540="","",IF(C1540&gt;WeekEndDate,"",E1540))</f>
        <v/>
      </c>
    </row>
    <row r="1541">
      <c r="A1541" t="inlineStr">
        <is>
          <t>Payments</t>
        </is>
      </c>
      <c r="B1541" s="46">
        <f>'Payments'!W545</f>
        <v/>
      </c>
      <c r="C1541" s="84">
        <f>'Payments'!U545</f>
        <v/>
      </c>
      <c r="D1541" s="46">
        <f>'Payments'!V545</f>
        <v/>
      </c>
      <c r="E1541" s="46">
        <f>IF(OR(B1541="",C1541="",D1541=""),"",D1541*100000+(C1541-DATE(2000,1,1))+ROW()/100000)</f>
        <v/>
      </c>
      <c r="F1541" s="46">
        <f>IF(E1541="","",IF(C1541&gt;WeekEndDate,"",E1541))</f>
        <v/>
      </c>
    </row>
    <row r="1542">
      <c r="A1542" t="inlineStr">
        <is>
          <t>Payments</t>
        </is>
      </c>
      <c r="B1542" s="46">
        <f>'Payments'!W546</f>
        <v/>
      </c>
      <c r="C1542" s="84">
        <f>'Payments'!U546</f>
        <v/>
      </c>
      <c r="D1542" s="46">
        <f>'Payments'!V546</f>
        <v/>
      </c>
      <c r="E1542" s="46">
        <f>IF(OR(B1542="",C1542="",D1542=""),"",D1542*100000+(C1542-DATE(2000,1,1))+ROW()/100000)</f>
        <v/>
      </c>
      <c r="F1542" s="46">
        <f>IF(E1542="","",IF(C1542&gt;WeekEndDate,"",E1542))</f>
        <v/>
      </c>
    </row>
    <row r="1543">
      <c r="A1543" t="inlineStr">
        <is>
          <t>Payments</t>
        </is>
      </c>
      <c r="B1543" s="46">
        <f>'Payments'!W547</f>
        <v/>
      </c>
      <c r="C1543" s="84">
        <f>'Payments'!U547</f>
        <v/>
      </c>
      <c r="D1543" s="46">
        <f>'Payments'!V547</f>
        <v/>
      </c>
      <c r="E1543" s="46">
        <f>IF(OR(B1543="",C1543="",D1543=""),"",D1543*100000+(C1543-DATE(2000,1,1))+ROW()/100000)</f>
        <v/>
      </c>
      <c r="F1543" s="46">
        <f>IF(E1543="","",IF(C1543&gt;WeekEndDate,"",E1543))</f>
        <v/>
      </c>
    </row>
    <row r="1544">
      <c r="A1544" t="inlineStr">
        <is>
          <t>Payments</t>
        </is>
      </c>
      <c r="B1544" s="46">
        <f>'Payments'!W548</f>
        <v/>
      </c>
      <c r="C1544" s="84">
        <f>'Payments'!U548</f>
        <v/>
      </c>
      <c r="D1544" s="46">
        <f>'Payments'!V548</f>
        <v/>
      </c>
      <c r="E1544" s="46">
        <f>IF(OR(B1544="",C1544="",D1544=""),"",D1544*100000+(C1544-DATE(2000,1,1))+ROW()/100000)</f>
        <v/>
      </c>
      <c r="F1544" s="46">
        <f>IF(E1544="","",IF(C1544&gt;WeekEndDate,"",E1544))</f>
        <v/>
      </c>
    </row>
    <row r="1545">
      <c r="A1545" t="inlineStr">
        <is>
          <t>Payments</t>
        </is>
      </c>
      <c r="B1545" s="46">
        <f>'Payments'!W549</f>
        <v/>
      </c>
      <c r="C1545" s="84">
        <f>'Payments'!U549</f>
        <v/>
      </c>
      <c r="D1545" s="46">
        <f>'Payments'!V549</f>
        <v/>
      </c>
      <c r="E1545" s="46">
        <f>IF(OR(B1545="",C1545="",D1545=""),"",D1545*100000+(C1545-DATE(2000,1,1))+ROW()/100000)</f>
        <v/>
      </c>
      <c r="F1545" s="46">
        <f>IF(E1545="","",IF(C1545&gt;WeekEndDate,"",E1545))</f>
        <v/>
      </c>
    </row>
    <row r="1546">
      <c r="A1546" t="inlineStr">
        <is>
          <t>Payments</t>
        </is>
      </c>
      <c r="B1546" s="46">
        <f>'Payments'!W550</f>
        <v/>
      </c>
      <c r="C1546" s="84">
        <f>'Payments'!U550</f>
        <v/>
      </c>
      <c r="D1546" s="46">
        <f>'Payments'!V550</f>
        <v/>
      </c>
      <c r="E1546" s="46">
        <f>IF(OR(B1546="",C1546="",D1546=""),"",D1546*100000+(C1546-DATE(2000,1,1))+ROW()/100000)</f>
        <v/>
      </c>
      <c r="F1546" s="46">
        <f>IF(E1546="","",IF(C1546&gt;WeekEndDate,"",E1546))</f>
        <v/>
      </c>
    </row>
    <row r="1547">
      <c r="A1547" t="inlineStr">
        <is>
          <t>Payments</t>
        </is>
      </c>
      <c r="B1547" s="46">
        <f>'Payments'!W551</f>
        <v/>
      </c>
      <c r="C1547" s="84">
        <f>'Payments'!U551</f>
        <v/>
      </c>
      <c r="D1547" s="46">
        <f>'Payments'!V551</f>
        <v/>
      </c>
      <c r="E1547" s="46">
        <f>IF(OR(B1547="",C1547="",D1547=""),"",D1547*100000+(C1547-DATE(2000,1,1))+ROW()/100000)</f>
        <v/>
      </c>
      <c r="F1547" s="46">
        <f>IF(E1547="","",IF(C1547&gt;WeekEndDate,"",E1547))</f>
        <v/>
      </c>
    </row>
    <row r="1548">
      <c r="A1548" t="inlineStr">
        <is>
          <t>Payments</t>
        </is>
      </c>
      <c r="B1548" s="46">
        <f>'Payments'!W552</f>
        <v/>
      </c>
      <c r="C1548" s="84">
        <f>'Payments'!U552</f>
        <v/>
      </c>
      <c r="D1548" s="46">
        <f>'Payments'!V552</f>
        <v/>
      </c>
      <c r="E1548" s="46">
        <f>IF(OR(B1548="",C1548="",D1548=""),"",D1548*100000+(C1548-DATE(2000,1,1))+ROW()/100000)</f>
        <v/>
      </c>
      <c r="F1548" s="46">
        <f>IF(E1548="","",IF(C1548&gt;WeekEndDate,"",E1548))</f>
        <v/>
      </c>
    </row>
    <row r="1549">
      <c r="A1549" t="inlineStr">
        <is>
          <t>Payments</t>
        </is>
      </c>
      <c r="B1549" s="46">
        <f>'Payments'!W553</f>
        <v/>
      </c>
      <c r="C1549" s="84">
        <f>'Payments'!U553</f>
        <v/>
      </c>
      <c r="D1549" s="46">
        <f>'Payments'!V553</f>
        <v/>
      </c>
      <c r="E1549" s="46">
        <f>IF(OR(B1549="",C1549="",D1549=""),"",D1549*100000+(C1549-DATE(2000,1,1))+ROW()/100000)</f>
        <v/>
      </c>
      <c r="F1549" s="46">
        <f>IF(E1549="","",IF(C1549&gt;WeekEndDate,"",E1549))</f>
        <v/>
      </c>
    </row>
    <row r="1550">
      <c r="A1550" t="inlineStr">
        <is>
          <t>Payments</t>
        </is>
      </c>
      <c r="B1550" s="46">
        <f>'Payments'!W554</f>
        <v/>
      </c>
      <c r="C1550" s="84">
        <f>'Payments'!U554</f>
        <v/>
      </c>
      <c r="D1550" s="46">
        <f>'Payments'!V554</f>
        <v/>
      </c>
      <c r="E1550" s="46">
        <f>IF(OR(B1550="",C1550="",D1550=""),"",D1550*100000+(C1550-DATE(2000,1,1))+ROW()/100000)</f>
        <v/>
      </c>
      <c r="F1550" s="46">
        <f>IF(E1550="","",IF(C1550&gt;WeekEndDate,"",E1550))</f>
        <v/>
      </c>
    </row>
    <row r="1551">
      <c r="A1551" t="inlineStr">
        <is>
          <t>Payments</t>
        </is>
      </c>
      <c r="B1551" s="46">
        <f>'Payments'!W555</f>
        <v/>
      </c>
      <c r="C1551" s="84">
        <f>'Payments'!U555</f>
        <v/>
      </c>
      <c r="D1551" s="46">
        <f>'Payments'!V555</f>
        <v/>
      </c>
      <c r="E1551" s="46">
        <f>IF(OR(B1551="",C1551="",D1551=""),"",D1551*100000+(C1551-DATE(2000,1,1))+ROW()/100000)</f>
        <v/>
      </c>
      <c r="F1551" s="46">
        <f>IF(E1551="","",IF(C1551&gt;WeekEndDate,"",E1551))</f>
        <v/>
      </c>
    </row>
    <row r="1552">
      <c r="A1552" t="inlineStr">
        <is>
          <t>Payments</t>
        </is>
      </c>
      <c r="B1552" s="46">
        <f>'Payments'!W556</f>
        <v/>
      </c>
      <c r="C1552" s="84">
        <f>'Payments'!U556</f>
        <v/>
      </c>
      <c r="D1552" s="46">
        <f>'Payments'!V556</f>
        <v/>
      </c>
      <c r="E1552" s="46">
        <f>IF(OR(B1552="",C1552="",D1552=""),"",D1552*100000+(C1552-DATE(2000,1,1))+ROW()/100000)</f>
        <v/>
      </c>
      <c r="F1552" s="46">
        <f>IF(E1552="","",IF(C1552&gt;WeekEndDate,"",E1552))</f>
        <v/>
      </c>
    </row>
    <row r="1553">
      <c r="A1553" t="inlineStr">
        <is>
          <t>Payments</t>
        </is>
      </c>
      <c r="B1553" s="46">
        <f>'Payments'!W557</f>
        <v/>
      </c>
      <c r="C1553" s="84">
        <f>'Payments'!U557</f>
        <v/>
      </c>
      <c r="D1553" s="46">
        <f>'Payments'!V557</f>
        <v/>
      </c>
      <c r="E1553" s="46">
        <f>IF(OR(B1553="",C1553="",D1553=""),"",D1553*100000+(C1553-DATE(2000,1,1))+ROW()/100000)</f>
        <v/>
      </c>
      <c r="F1553" s="46">
        <f>IF(E1553="","",IF(C1553&gt;WeekEndDate,"",E1553))</f>
        <v/>
      </c>
    </row>
    <row r="1554">
      <c r="A1554" t="inlineStr">
        <is>
          <t>Payments</t>
        </is>
      </c>
      <c r="B1554" s="46">
        <f>'Payments'!W558</f>
        <v/>
      </c>
      <c r="C1554" s="84">
        <f>'Payments'!U558</f>
        <v/>
      </c>
      <c r="D1554" s="46">
        <f>'Payments'!V558</f>
        <v/>
      </c>
      <c r="E1554" s="46">
        <f>IF(OR(B1554="",C1554="",D1554=""),"",D1554*100000+(C1554-DATE(2000,1,1))+ROW()/100000)</f>
        <v/>
      </c>
      <c r="F1554" s="46">
        <f>IF(E1554="","",IF(C1554&gt;WeekEndDate,"",E1554))</f>
        <v/>
      </c>
    </row>
    <row r="1555">
      <c r="A1555" t="inlineStr">
        <is>
          <t>Payments</t>
        </is>
      </c>
      <c r="B1555" s="46">
        <f>'Payments'!W559</f>
        <v/>
      </c>
      <c r="C1555" s="84">
        <f>'Payments'!U559</f>
        <v/>
      </c>
      <c r="D1555" s="46">
        <f>'Payments'!V559</f>
        <v/>
      </c>
      <c r="E1555" s="46">
        <f>IF(OR(B1555="",C1555="",D1555=""),"",D1555*100000+(C1555-DATE(2000,1,1))+ROW()/100000)</f>
        <v/>
      </c>
      <c r="F1555" s="46">
        <f>IF(E1555="","",IF(C1555&gt;WeekEndDate,"",E1555))</f>
        <v/>
      </c>
    </row>
    <row r="1556">
      <c r="A1556" t="inlineStr">
        <is>
          <t>Payments</t>
        </is>
      </c>
      <c r="B1556" s="46">
        <f>'Payments'!W560</f>
        <v/>
      </c>
      <c r="C1556" s="84">
        <f>'Payments'!U560</f>
        <v/>
      </c>
      <c r="D1556" s="46">
        <f>'Payments'!V560</f>
        <v/>
      </c>
      <c r="E1556" s="46">
        <f>IF(OR(B1556="",C1556="",D1556=""),"",D1556*100000+(C1556-DATE(2000,1,1))+ROW()/100000)</f>
        <v/>
      </c>
      <c r="F1556" s="46">
        <f>IF(E1556="","",IF(C1556&gt;WeekEndDate,"",E1556))</f>
        <v/>
      </c>
    </row>
    <row r="1557">
      <c r="A1557" t="inlineStr">
        <is>
          <t>Payments</t>
        </is>
      </c>
      <c r="B1557" s="46">
        <f>'Payments'!W561</f>
        <v/>
      </c>
      <c r="C1557" s="84">
        <f>'Payments'!U561</f>
        <v/>
      </c>
      <c r="D1557" s="46">
        <f>'Payments'!V561</f>
        <v/>
      </c>
      <c r="E1557" s="46">
        <f>IF(OR(B1557="",C1557="",D1557=""),"",D1557*100000+(C1557-DATE(2000,1,1))+ROW()/100000)</f>
        <v/>
      </c>
      <c r="F1557" s="46">
        <f>IF(E1557="","",IF(C1557&gt;WeekEndDate,"",E1557))</f>
        <v/>
      </c>
    </row>
    <row r="1558">
      <c r="A1558" t="inlineStr">
        <is>
          <t>Payments</t>
        </is>
      </c>
      <c r="B1558" s="46">
        <f>'Payments'!W562</f>
        <v/>
      </c>
      <c r="C1558" s="84">
        <f>'Payments'!U562</f>
        <v/>
      </c>
      <c r="D1558" s="46">
        <f>'Payments'!V562</f>
        <v/>
      </c>
      <c r="E1558" s="46">
        <f>IF(OR(B1558="",C1558="",D1558=""),"",D1558*100000+(C1558-DATE(2000,1,1))+ROW()/100000)</f>
        <v/>
      </c>
      <c r="F1558" s="46">
        <f>IF(E1558="","",IF(C1558&gt;WeekEndDate,"",E1558))</f>
        <v/>
      </c>
    </row>
    <row r="1559">
      <c r="A1559" t="inlineStr">
        <is>
          <t>Payments</t>
        </is>
      </c>
      <c r="B1559" s="46">
        <f>'Payments'!W563</f>
        <v/>
      </c>
      <c r="C1559" s="84">
        <f>'Payments'!U563</f>
        <v/>
      </c>
      <c r="D1559" s="46">
        <f>'Payments'!V563</f>
        <v/>
      </c>
      <c r="E1559" s="46">
        <f>IF(OR(B1559="",C1559="",D1559=""),"",D1559*100000+(C1559-DATE(2000,1,1))+ROW()/100000)</f>
        <v/>
      </c>
      <c r="F1559" s="46">
        <f>IF(E1559="","",IF(C1559&gt;WeekEndDate,"",E1559))</f>
        <v/>
      </c>
    </row>
    <row r="1560">
      <c r="A1560" t="inlineStr">
        <is>
          <t>Payments</t>
        </is>
      </c>
      <c r="B1560" s="46">
        <f>'Payments'!W564</f>
        <v/>
      </c>
      <c r="C1560" s="84">
        <f>'Payments'!U564</f>
        <v/>
      </c>
      <c r="D1560" s="46">
        <f>'Payments'!V564</f>
        <v/>
      </c>
      <c r="E1560" s="46">
        <f>IF(OR(B1560="",C1560="",D1560=""),"",D1560*100000+(C1560-DATE(2000,1,1))+ROW()/100000)</f>
        <v/>
      </c>
      <c r="F1560" s="46">
        <f>IF(E1560="","",IF(C1560&gt;WeekEndDate,"",E1560))</f>
        <v/>
      </c>
    </row>
    <row r="1561">
      <c r="A1561" t="inlineStr">
        <is>
          <t>Payments</t>
        </is>
      </c>
      <c r="B1561" s="46">
        <f>'Payments'!W565</f>
        <v/>
      </c>
      <c r="C1561" s="84">
        <f>'Payments'!U565</f>
        <v/>
      </c>
      <c r="D1561" s="46">
        <f>'Payments'!V565</f>
        <v/>
      </c>
      <c r="E1561" s="46">
        <f>IF(OR(B1561="",C1561="",D1561=""),"",D1561*100000+(C1561-DATE(2000,1,1))+ROW()/100000)</f>
        <v/>
      </c>
      <c r="F1561" s="46">
        <f>IF(E1561="","",IF(C1561&gt;WeekEndDate,"",E1561))</f>
        <v/>
      </c>
    </row>
    <row r="1562">
      <c r="A1562" t="inlineStr">
        <is>
          <t>Payments</t>
        </is>
      </c>
      <c r="B1562" s="46">
        <f>'Payments'!W566</f>
        <v/>
      </c>
      <c r="C1562" s="84">
        <f>'Payments'!U566</f>
        <v/>
      </c>
      <c r="D1562" s="46">
        <f>'Payments'!V566</f>
        <v/>
      </c>
      <c r="E1562" s="46">
        <f>IF(OR(B1562="",C1562="",D1562=""),"",D1562*100000+(C1562-DATE(2000,1,1))+ROW()/100000)</f>
        <v/>
      </c>
      <c r="F1562" s="46">
        <f>IF(E1562="","",IF(C1562&gt;WeekEndDate,"",E1562))</f>
        <v/>
      </c>
    </row>
    <row r="1563">
      <c r="A1563" t="inlineStr">
        <is>
          <t>Payments</t>
        </is>
      </c>
      <c r="B1563" s="46">
        <f>'Payments'!W567</f>
        <v/>
      </c>
      <c r="C1563" s="84">
        <f>'Payments'!U567</f>
        <v/>
      </c>
      <c r="D1563" s="46">
        <f>'Payments'!V567</f>
        <v/>
      </c>
      <c r="E1563" s="46">
        <f>IF(OR(B1563="",C1563="",D1563=""),"",D1563*100000+(C1563-DATE(2000,1,1))+ROW()/100000)</f>
        <v/>
      </c>
      <c r="F1563" s="46">
        <f>IF(E1563="","",IF(C1563&gt;WeekEndDate,"",E1563))</f>
        <v/>
      </c>
    </row>
    <row r="1564">
      <c r="A1564" t="inlineStr">
        <is>
          <t>Payments</t>
        </is>
      </c>
      <c r="B1564" s="46">
        <f>'Payments'!W568</f>
        <v/>
      </c>
      <c r="C1564" s="84">
        <f>'Payments'!U568</f>
        <v/>
      </c>
      <c r="D1564" s="46">
        <f>'Payments'!V568</f>
        <v/>
      </c>
      <c r="E1564" s="46">
        <f>IF(OR(B1564="",C1564="",D1564=""),"",D1564*100000+(C1564-DATE(2000,1,1))+ROW()/100000)</f>
        <v/>
      </c>
      <c r="F1564" s="46">
        <f>IF(E1564="","",IF(C1564&gt;WeekEndDate,"",E1564))</f>
        <v/>
      </c>
    </row>
    <row r="1565">
      <c r="A1565" t="inlineStr">
        <is>
          <t>Payments</t>
        </is>
      </c>
      <c r="B1565" s="46">
        <f>'Payments'!W569</f>
        <v/>
      </c>
      <c r="C1565" s="84">
        <f>'Payments'!U569</f>
        <v/>
      </c>
      <c r="D1565" s="46">
        <f>'Payments'!V569</f>
        <v/>
      </c>
      <c r="E1565" s="46">
        <f>IF(OR(B1565="",C1565="",D1565=""),"",D1565*100000+(C1565-DATE(2000,1,1))+ROW()/100000)</f>
        <v/>
      </c>
      <c r="F1565" s="46">
        <f>IF(E1565="","",IF(C1565&gt;WeekEndDate,"",E1565))</f>
        <v/>
      </c>
    </row>
    <row r="1566">
      <c r="A1566" t="inlineStr">
        <is>
          <t>Payments</t>
        </is>
      </c>
      <c r="B1566" s="46">
        <f>'Payments'!W570</f>
        <v/>
      </c>
      <c r="C1566" s="84">
        <f>'Payments'!U570</f>
        <v/>
      </c>
      <c r="D1566" s="46">
        <f>'Payments'!V570</f>
        <v/>
      </c>
      <c r="E1566" s="46">
        <f>IF(OR(B1566="",C1566="",D1566=""),"",D1566*100000+(C1566-DATE(2000,1,1))+ROW()/100000)</f>
        <v/>
      </c>
      <c r="F1566" s="46">
        <f>IF(E1566="","",IF(C1566&gt;WeekEndDate,"",E1566))</f>
        <v/>
      </c>
    </row>
    <row r="1567">
      <c r="A1567" t="inlineStr">
        <is>
          <t>Payments</t>
        </is>
      </c>
      <c r="B1567" s="46">
        <f>'Payments'!W571</f>
        <v/>
      </c>
      <c r="C1567" s="84">
        <f>'Payments'!U571</f>
        <v/>
      </c>
      <c r="D1567" s="46">
        <f>'Payments'!V571</f>
        <v/>
      </c>
      <c r="E1567" s="46">
        <f>IF(OR(B1567="",C1567="",D1567=""),"",D1567*100000+(C1567-DATE(2000,1,1))+ROW()/100000)</f>
        <v/>
      </c>
      <c r="F1567" s="46">
        <f>IF(E1567="","",IF(C1567&gt;WeekEndDate,"",E1567))</f>
        <v/>
      </c>
    </row>
    <row r="1568">
      <c r="A1568" t="inlineStr">
        <is>
          <t>Payments</t>
        </is>
      </c>
      <c r="B1568" s="46">
        <f>'Payments'!W572</f>
        <v/>
      </c>
      <c r="C1568" s="84">
        <f>'Payments'!U572</f>
        <v/>
      </c>
      <c r="D1568" s="46">
        <f>'Payments'!V572</f>
        <v/>
      </c>
      <c r="E1568" s="46">
        <f>IF(OR(B1568="",C1568="",D1568=""),"",D1568*100000+(C1568-DATE(2000,1,1))+ROW()/100000)</f>
        <v/>
      </c>
      <c r="F1568" s="46">
        <f>IF(E1568="","",IF(C1568&gt;WeekEndDate,"",E1568))</f>
        <v/>
      </c>
    </row>
    <row r="1569">
      <c r="A1569" t="inlineStr">
        <is>
          <t>Payments</t>
        </is>
      </c>
      <c r="B1569" s="46">
        <f>'Payments'!W573</f>
        <v/>
      </c>
      <c r="C1569" s="84">
        <f>'Payments'!U573</f>
        <v/>
      </c>
      <c r="D1569" s="46">
        <f>'Payments'!V573</f>
        <v/>
      </c>
      <c r="E1569" s="46">
        <f>IF(OR(B1569="",C1569="",D1569=""),"",D1569*100000+(C1569-DATE(2000,1,1))+ROW()/100000)</f>
        <v/>
      </c>
      <c r="F1569" s="46">
        <f>IF(E1569="","",IF(C1569&gt;WeekEndDate,"",E1569))</f>
        <v/>
      </c>
    </row>
    <row r="1570">
      <c r="A1570" t="inlineStr">
        <is>
          <t>Payments</t>
        </is>
      </c>
      <c r="B1570" s="46">
        <f>'Payments'!W574</f>
        <v/>
      </c>
      <c r="C1570" s="84">
        <f>'Payments'!U574</f>
        <v/>
      </c>
      <c r="D1570" s="46">
        <f>'Payments'!V574</f>
        <v/>
      </c>
      <c r="E1570" s="46">
        <f>IF(OR(B1570="",C1570="",D1570=""),"",D1570*100000+(C1570-DATE(2000,1,1))+ROW()/100000)</f>
        <v/>
      </c>
      <c r="F1570" s="46">
        <f>IF(E1570="","",IF(C1570&gt;WeekEndDate,"",E1570))</f>
        <v/>
      </c>
    </row>
    <row r="1571">
      <c r="A1571" t="inlineStr">
        <is>
          <t>Payments</t>
        </is>
      </c>
      <c r="B1571" s="46">
        <f>'Payments'!W575</f>
        <v/>
      </c>
      <c r="C1571" s="84">
        <f>'Payments'!U575</f>
        <v/>
      </c>
      <c r="D1571" s="46">
        <f>'Payments'!V575</f>
        <v/>
      </c>
      <c r="E1571" s="46">
        <f>IF(OR(B1571="",C1571="",D1571=""),"",D1571*100000+(C1571-DATE(2000,1,1))+ROW()/100000)</f>
        <v/>
      </c>
      <c r="F1571" s="46">
        <f>IF(E1571="","",IF(C1571&gt;WeekEndDate,"",E1571))</f>
        <v/>
      </c>
    </row>
    <row r="1572">
      <c r="A1572" t="inlineStr">
        <is>
          <t>Payments</t>
        </is>
      </c>
      <c r="B1572" s="46">
        <f>'Payments'!W576</f>
        <v/>
      </c>
      <c r="C1572" s="84">
        <f>'Payments'!U576</f>
        <v/>
      </c>
      <c r="D1572" s="46">
        <f>'Payments'!V576</f>
        <v/>
      </c>
      <c r="E1572" s="46">
        <f>IF(OR(B1572="",C1572="",D1572=""),"",D1572*100000+(C1572-DATE(2000,1,1))+ROW()/100000)</f>
        <v/>
      </c>
      <c r="F1572" s="46">
        <f>IF(E1572="","",IF(C1572&gt;WeekEndDate,"",E1572))</f>
        <v/>
      </c>
    </row>
    <row r="1573">
      <c r="A1573" t="inlineStr">
        <is>
          <t>Payments</t>
        </is>
      </c>
      <c r="B1573" s="46">
        <f>'Payments'!W577</f>
        <v/>
      </c>
      <c r="C1573" s="84">
        <f>'Payments'!U577</f>
        <v/>
      </c>
      <c r="D1573" s="46">
        <f>'Payments'!V577</f>
        <v/>
      </c>
      <c r="E1573" s="46">
        <f>IF(OR(B1573="",C1573="",D1573=""),"",D1573*100000+(C1573-DATE(2000,1,1))+ROW()/100000)</f>
        <v/>
      </c>
      <c r="F1573" s="46">
        <f>IF(E1573="","",IF(C1573&gt;WeekEndDate,"",E1573))</f>
        <v/>
      </c>
    </row>
    <row r="1574">
      <c r="A1574" t="inlineStr">
        <is>
          <t>Payments</t>
        </is>
      </c>
      <c r="B1574" s="46">
        <f>'Payments'!W578</f>
        <v/>
      </c>
      <c r="C1574" s="84">
        <f>'Payments'!U578</f>
        <v/>
      </c>
      <c r="D1574" s="46">
        <f>'Payments'!V578</f>
        <v/>
      </c>
      <c r="E1574" s="46">
        <f>IF(OR(B1574="",C1574="",D1574=""),"",D1574*100000+(C1574-DATE(2000,1,1))+ROW()/100000)</f>
        <v/>
      </c>
      <c r="F1574" s="46">
        <f>IF(E1574="","",IF(C1574&gt;WeekEndDate,"",E1574))</f>
        <v/>
      </c>
    </row>
    <row r="1575">
      <c r="A1575" t="inlineStr">
        <is>
          <t>Payments</t>
        </is>
      </c>
      <c r="B1575" s="46">
        <f>'Payments'!W579</f>
        <v/>
      </c>
      <c r="C1575" s="84">
        <f>'Payments'!U579</f>
        <v/>
      </c>
      <c r="D1575" s="46">
        <f>'Payments'!V579</f>
        <v/>
      </c>
      <c r="E1575" s="46">
        <f>IF(OR(B1575="",C1575="",D1575=""),"",D1575*100000+(C1575-DATE(2000,1,1))+ROW()/100000)</f>
        <v/>
      </c>
      <c r="F1575" s="46">
        <f>IF(E1575="","",IF(C1575&gt;WeekEndDate,"",E1575))</f>
        <v/>
      </c>
    </row>
    <row r="1576">
      <c r="A1576" t="inlineStr">
        <is>
          <t>Payments</t>
        </is>
      </c>
      <c r="B1576" s="46">
        <f>'Payments'!W580</f>
        <v/>
      </c>
      <c r="C1576" s="84">
        <f>'Payments'!U580</f>
        <v/>
      </c>
      <c r="D1576" s="46">
        <f>'Payments'!V580</f>
        <v/>
      </c>
      <c r="E1576" s="46">
        <f>IF(OR(B1576="",C1576="",D1576=""),"",D1576*100000+(C1576-DATE(2000,1,1))+ROW()/100000)</f>
        <v/>
      </c>
      <c r="F1576" s="46">
        <f>IF(E1576="","",IF(C1576&gt;WeekEndDate,"",E1576))</f>
        <v/>
      </c>
    </row>
    <row r="1577">
      <c r="A1577" t="inlineStr">
        <is>
          <t>Payments</t>
        </is>
      </c>
      <c r="B1577" s="46">
        <f>'Payments'!W581</f>
        <v/>
      </c>
      <c r="C1577" s="84">
        <f>'Payments'!U581</f>
        <v/>
      </c>
      <c r="D1577" s="46">
        <f>'Payments'!V581</f>
        <v/>
      </c>
      <c r="E1577" s="46">
        <f>IF(OR(B1577="",C1577="",D1577=""),"",D1577*100000+(C1577-DATE(2000,1,1))+ROW()/100000)</f>
        <v/>
      </c>
      <c r="F1577" s="46">
        <f>IF(E1577="","",IF(C1577&gt;WeekEndDate,"",E1577))</f>
        <v/>
      </c>
    </row>
    <row r="1578">
      <c r="A1578" t="inlineStr">
        <is>
          <t>Payments</t>
        </is>
      </c>
      <c r="B1578" s="46">
        <f>'Payments'!W582</f>
        <v/>
      </c>
      <c r="C1578" s="84">
        <f>'Payments'!U582</f>
        <v/>
      </c>
      <c r="D1578" s="46">
        <f>'Payments'!V582</f>
        <v/>
      </c>
      <c r="E1578" s="46">
        <f>IF(OR(B1578="",C1578="",D1578=""),"",D1578*100000+(C1578-DATE(2000,1,1))+ROW()/100000)</f>
        <v/>
      </c>
      <c r="F1578" s="46">
        <f>IF(E1578="","",IF(C1578&gt;WeekEndDate,"",E1578))</f>
        <v/>
      </c>
    </row>
    <row r="1579">
      <c r="A1579" t="inlineStr">
        <is>
          <t>Payments</t>
        </is>
      </c>
      <c r="B1579" s="46">
        <f>'Payments'!W583</f>
        <v/>
      </c>
      <c r="C1579" s="84">
        <f>'Payments'!U583</f>
        <v/>
      </c>
      <c r="D1579" s="46">
        <f>'Payments'!V583</f>
        <v/>
      </c>
      <c r="E1579" s="46">
        <f>IF(OR(B1579="",C1579="",D1579=""),"",D1579*100000+(C1579-DATE(2000,1,1))+ROW()/100000)</f>
        <v/>
      </c>
      <c r="F1579" s="46">
        <f>IF(E1579="","",IF(C1579&gt;WeekEndDate,"",E1579))</f>
        <v/>
      </c>
    </row>
    <row r="1580">
      <c r="A1580" t="inlineStr">
        <is>
          <t>Payments</t>
        </is>
      </c>
      <c r="B1580" s="46">
        <f>'Payments'!W584</f>
        <v/>
      </c>
      <c r="C1580" s="84">
        <f>'Payments'!U584</f>
        <v/>
      </c>
      <c r="D1580" s="46">
        <f>'Payments'!V584</f>
        <v/>
      </c>
      <c r="E1580" s="46">
        <f>IF(OR(B1580="",C1580="",D1580=""),"",D1580*100000+(C1580-DATE(2000,1,1))+ROW()/100000)</f>
        <v/>
      </c>
      <c r="F1580" s="46">
        <f>IF(E1580="","",IF(C1580&gt;WeekEndDate,"",E1580))</f>
        <v/>
      </c>
    </row>
    <row r="1581">
      <c r="A1581" t="inlineStr">
        <is>
          <t>Payments</t>
        </is>
      </c>
      <c r="B1581" s="46">
        <f>'Payments'!W585</f>
        <v/>
      </c>
      <c r="C1581" s="84">
        <f>'Payments'!U585</f>
        <v/>
      </c>
      <c r="D1581" s="46">
        <f>'Payments'!V585</f>
        <v/>
      </c>
      <c r="E1581" s="46">
        <f>IF(OR(B1581="",C1581="",D1581=""),"",D1581*100000+(C1581-DATE(2000,1,1))+ROW()/100000)</f>
        <v/>
      </c>
      <c r="F1581" s="46">
        <f>IF(E1581="","",IF(C1581&gt;WeekEndDate,"",E1581))</f>
        <v/>
      </c>
    </row>
    <row r="1582">
      <c r="A1582" t="inlineStr">
        <is>
          <t>Payments</t>
        </is>
      </c>
      <c r="B1582" s="46">
        <f>'Payments'!W586</f>
        <v/>
      </c>
      <c r="C1582" s="84">
        <f>'Payments'!U586</f>
        <v/>
      </c>
      <c r="D1582" s="46">
        <f>'Payments'!V586</f>
        <v/>
      </c>
      <c r="E1582" s="46">
        <f>IF(OR(B1582="",C1582="",D1582=""),"",D1582*100000+(C1582-DATE(2000,1,1))+ROW()/100000)</f>
        <v/>
      </c>
      <c r="F1582" s="46">
        <f>IF(E1582="","",IF(C1582&gt;WeekEndDate,"",E1582))</f>
        <v/>
      </c>
    </row>
    <row r="1583">
      <c r="A1583" t="inlineStr">
        <is>
          <t>Payments</t>
        </is>
      </c>
      <c r="B1583" s="46">
        <f>'Payments'!W587</f>
        <v/>
      </c>
      <c r="C1583" s="84">
        <f>'Payments'!U587</f>
        <v/>
      </c>
      <c r="D1583" s="46">
        <f>'Payments'!V587</f>
        <v/>
      </c>
      <c r="E1583" s="46">
        <f>IF(OR(B1583="",C1583="",D1583=""),"",D1583*100000+(C1583-DATE(2000,1,1))+ROW()/100000)</f>
        <v/>
      </c>
      <c r="F1583" s="46">
        <f>IF(E1583="","",IF(C1583&gt;WeekEndDate,"",E1583))</f>
        <v/>
      </c>
    </row>
    <row r="1584">
      <c r="A1584" t="inlineStr">
        <is>
          <t>Payments</t>
        </is>
      </c>
      <c r="B1584" s="46">
        <f>'Payments'!W588</f>
        <v/>
      </c>
      <c r="C1584" s="84">
        <f>'Payments'!U588</f>
        <v/>
      </c>
      <c r="D1584" s="46">
        <f>'Payments'!V588</f>
        <v/>
      </c>
      <c r="E1584" s="46">
        <f>IF(OR(B1584="",C1584="",D1584=""),"",D1584*100000+(C1584-DATE(2000,1,1))+ROW()/100000)</f>
        <v/>
      </c>
      <c r="F1584" s="46">
        <f>IF(E1584="","",IF(C1584&gt;WeekEndDate,"",E1584))</f>
        <v/>
      </c>
    </row>
    <row r="1585">
      <c r="A1585" t="inlineStr">
        <is>
          <t>Payments</t>
        </is>
      </c>
      <c r="B1585" s="46">
        <f>'Payments'!W589</f>
        <v/>
      </c>
      <c r="C1585" s="84">
        <f>'Payments'!U589</f>
        <v/>
      </c>
      <c r="D1585" s="46">
        <f>'Payments'!V589</f>
        <v/>
      </c>
      <c r="E1585" s="46">
        <f>IF(OR(B1585="",C1585="",D1585=""),"",D1585*100000+(C1585-DATE(2000,1,1))+ROW()/100000)</f>
        <v/>
      </c>
      <c r="F1585" s="46">
        <f>IF(E1585="","",IF(C1585&gt;WeekEndDate,"",E1585))</f>
        <v/>
      </c>
    </row>
    <row r="1586">
      <c r="A1586" t="inlineStr">
        <is>
          <t>Payments</t>
        </is>
      </c>
      <c r="B1586" s="46">
        <f>'Payments'!W590</f>
        <v/>
      </c>
      <c r="C1586" s="84">
        <f>'Payments'!U590</f>
        <v/>
      </c>
      <c r="D1586" s="46">
        <f>'Payments'!V590</f>
        <v/>
      </c>
      <c r="E1586" s="46">
        <f>IF(OR(B1586="",C1586="",D1586=""),"",D1586*100000+(C1586-DATE(2000,1,1))+ROW()/100000)</f>
        <v/>
      </c>
      <c r="F1586" s="46">
        <f>IF(E1586="","",IF(C1586&gt;WeekEndDate,"",E1586))</f>
        <v/>
      </c>
    </row>
    <row r="1587">
      <c r="A1587" t="inlineStr">
        <is>
          <t>Payments</t>
        </is>
      </c>
      <c r="B1587" s="46">
        <f>'Payments'!W591</f>
        <v/>
      </c>
      <c r="C1587" s="84">
        <f>'Payments'!U591</f>
        <v/>
      </c>
      <c r="D1587" s="46">
        <f>'Payments'!V591</f>
        <v/>
      </c>
      <c r="E1587" s="46">
        <f>IF(OR(B1587="",C1587="",D1587=""),"",D1587*100000+(C1587-DATE(2000,1,1))+ROW()/100000)</f>
        <v/>
      </c>
      <c r="F1587" s="46">
        <f>IF(E1587="","",IF(C1587&gt;WeekEndDate,"",E1587))</f>
        <v/>
      </c>
    </row>
    <row r="1588">
      <c r="A1588" t="inlineStr">
        <is>
          <t>Payments</t>
        </is>
      </c>
      <c r="B1588" s="46">
        <f>'Payments'!W592</f>
        <v/>
      </c>
      <c r="C1588" s="84">
        <f>'Payments'!U592</f>
        <v/>
      </c>
      <c r="D1588" s="46">
        <f>'Payments'!V592</f>
        <v/>
      </c>
      <c r="E1588" s="46">
        <f>IF(OR(B1588="",C1588="",D1588=""),"",D1588*100000+(C1588-DATE(2000,1,1))+ROW()/100000)</f>
        <v/>
      </c>
      <c r="F1588" s="46">
        <f>IF(E1588="","",IF(C1588&gt;WeekEndDate,"",E1588))</f>
        <v/>
      </c>
    </row>
    <row r="1589">
      <c r="A1589" t="inlineStr">
        <is>
          <t>Payments</t>
        </is>
      </c>
      <c r="B1589" s="46">
        <f>'Payments'!W593</f>
        <v/>
      </c>
      <c r="C1589" s="84">
        <f>'Payments'!U593</f>
        <v/>
      </c>
      <c r="D1589" s="46">
        <f>'Payments'!V593</f>
        <v/>
      </c>
      <c r="E1589" s="46">
        <f>IF(OR(B1589="",C1589="",D1589=""),"",D1589*100000+(C1589-DATE(2000,1,1))+ROW()/100000)</f>
        <v/>
      </c>
      <c r="F1589" s="46">
        <f>IF(E1589="","",IF(C1589&gt;WeekEndDate,"",E1589))</f>
        <v/>
      </c>
    </row>
    <row r="1590">
      <c r="A1590" t="inlineStr">
        <is>
          <t>Payments</t>
        </is>
      </c>
      <c r="B1590" s="46">
        <f>'Payments'!W594</f>
        <v/>
      </c>
      <c r="C1590" s="84">
        <f>'Payments'!U594</f>
        <v/>
      </c>
      <c r="D1590" s="46">
        <f>'Payments'!V594</f>
        <v/>
      </c>
      <c r="E1590" s="46">
        <f>IF(OR(B1590="",C1590="",D1590=""),"",D1590*100000+(C1590-DATE(2000,1,1))+ROW()/100000)</f>
        <v/>
      </c>
      <c r="F1590" s="46">
        <f>IF(E1590="","",IF(C1590&gt;WeekEndDate,"",E1590))</f>
        <v/>
      </c>
    </row>
    <row r="1591">
      <c r="A1591" t="inlineStr">
        <is>
          <t>Payments</t>
        </is>
      </c>
      <c r="B1591" s="46">
        <f>'Payments'!W595</f>
        <v/>
      </c>
      <c r="C1591" s="84">
        <f>'Payments'!U595</f>
        <v/>
      </c>
      <c r="D1591" s="46">
        <f>'Payments'!V595</f>
        <v/>
      </c>
      <c r="E1591" s="46">
        <f>IF(OR(B1591="",C1591="",D1591=""),"",D1591*100000+(C1591-DATE(2000,1,1))+ROW()/100000)</f>
        <v/>
      </c>
      <c r="F1591" s="46">
        <f>IF(E1591="","",IF(C1591&gt;WeekEndDate,"",E1591))</f>
        <v/>
      </c>
    </row>
    <row r="1592">
      <c r="A1592" t="inlineStr">
        <is>
          <t>Payments</t>
        </is>
      </c>
      <c r="B1592" s="46">
        <f>'Payments'!W596</f>
        <v/>
      </c>
      <c r="C1592" s="84">
        <f>'Payments'!U596</f>
        <v/>
      </c>
      <c r="D1592" s="46">
        <f>'Payments'!V596</f>
        <v/>
      </c>
      <c r="E1592" s="46">
        <f>IF(OR(B1592="",C1592="",D1592=""),"",D1592*100000+(C1592-DATE(2000,1,1))+ROW()/100000)</f>
        <v/>
      </c>
      <c r="F1592" s="46">
        <f>IF(E1592="","",IF(C1592&gt;WeekEndDate,"",E1592))</f>
        <v/>
      </c>
    </row>
    <row r="1593">
      <c r="A1593" t="inlineStr">
        <is>
          <t>Payments</t>
        </is>
      </c>
      <c r="B1593" s="46">
        <f>'Payments'!W597</f>
        <v/>
      </c>
      <c r="C1593" s="84">
        <f>'Payments'!U597</f>
        <v/>
      </c>
      <c r="D1593" s="46">
        <f>'Payments'!V597</f>
        <v/>
      </c>
      <c r="E1593" s="46">
        <f>IF(OR(B1593="",C1593="",D1593=""),"",D1593*100000+(C1593-DATE(2000,1,1))+ROW()/100000)</f>
        <v/>
      </c>
      <c r="F1593" s="46">
        <f>IF(E1593="","",IF(C1593&gt;WeekEndDate,"",E1593))</f>
        <v/>
      </c>
    </row>
    <row r="1594">
      <c r="A1594" t="inlineStr">
        <is>
          <t>Payments</t>
        </is>
      </c>
      <c r="B1594" s="46">
        <f>'Payments'!W598</f>
        <v/>
      </c>
      <c r="C1594" s="84">
        <f>'Payments'!U598</f>
        <v/>
      </c>
      <c r="D1594" s="46">
        <f>'Payments'!V598</f>
        <v/>
      </c>
      <c r="E1594" s="46">
        <f>IF(OR(B1594="",C1594="",D1594=""),"",D1594*100000+(C1594-DATE(2000,1,1))+ROW()/100000)</f>
        <v/>
      </c>
      <c r="F1594" s="46">
        <f>IF(E1594="","",IF(C1594&gt;WeekEndDate,"",E1594))</f>
        <v/>
      </c>
    </row>
    <row r="1595">
      <c r="A1595" t="inlineStr">
        <is>
          <t>Payments</t>
        </is>
      </c>
      <c r="B1595" s="46">
        <f>'Payments'!W599</f>
        <v/>
      </c>
      <c r="C1595" s="84">
        <f>'Payments'!U599</f>
        <v/>
      </c>
      <c r="D1595" s="46">
        <f>'Payments'!V599</f>
        <v/>
      </c>
      <c r="E1595" s="46">
        <f>IF(OR(B1595="",C1595="",D1595=""),"",D1595*100000+(C1595-DATE(2000,1,1))+ROW()/100000)</f>
        <v/>
      </c>
      <c r="F1595" s="46">
        <f>IF(E1595="","",IF(C1595&gt;WeekEndDate,"",E1595))</f>
        <v/>
      </c>
    </row>
    <row r="1596">
      <c r="A1596" t="inlineStr">
        <is>
          <t>Payments</t>
        </is>
      </c>
      <c r="B1596" s="46">
        <f>'Payments'!W600</f>
        <v/>
      </c>
      <c r="C1596" s="84">
        <f>'Payments'!U600</f>
        <v/>
      </c>
      <c r="D1596" s="46">
        <f>'Payments'!V600</f>
        <v/>
      </c>
      <c r="E1596" s="46">
        <f>IF(OR(B1596="",C1596="",D1596=""),"",D1596*100000+(C1596-DATE(2000,1,1))+ROW()/100000)</f>
        <v/>
      </c>
      <c r="F1596" s="46">
        <f>IF(E1596="","",IF(C1596&gt;WeekEndDate,"",E1596))</f>
        <v/>
      </c>
    </row>
    <row r="1597">
      <c r="A1597" t="inlineStr">
        <is>
          <t>Payments</t>
        </is>
      </c>
      <c r="B1597" s="46">
        <f>'Payments'!W601</f>
        <v/>
      </c>
      <c r="C1597" s="84">
        <f>'Payments'!U601</f>
        <v/>
      </c>
      <c r="D1597" s="46">
        <f>'Payments'!V601</f>
        <v/>
      </c>
      <c r="E1597" s="46">
        <f>IF(OR(B1597="",C1597="",D1597=""),"",D1597*100000+(C1597-DATE(2000,1,1))+ROW()/100000)</f>
        <v/>
      </c>
      <c r="F1597" s="46">
        <f>IF(E1597="","",IF(C1597&gt;WeekEndDate,"",E1597))</f>
        <v/>
      </c>
    </row>
    <row r="1598">
      <c r="A1598" t="inlineStr">
        <is>
          <t>Payments</t>
        </is>
      </c>
      <c r="B1598" s="46">
        <f>'Payments'!W602</f>
        <v/>
      </c>
      <c r="C1598" s="84">
        <f>'Payments'!U602</f>
        <v/>
      </c>
      <c r="D1598" s="46">
        <f>'Payments'!V602</f>
        <v/>
      </c>
      <c r="E1598" s="46">
        <f>IF(OR(B1598="",C1598="",D1598=""),"",D1598*100000+(C1598-DATE(2000,1,1))+ROW()/100000)</f>
        <v/>
      </c>
      <c r="F1598" s="46">
        <f>IF(E1598="","",IF(C1598&gt;WeekEndDate,"",E1598))</f>
        <v/>
      </c>
    </row>
    <row r="1599">
      <c r="A1599" t="inlineStr">
        <is>
          <t>Payments</t>
        </is>
      </c>
      <c r="B1599" s="46">
        <f>'Payments'!W603</f>
        <v/>
      </c>
      <c r="C1599" s="84">
        <f>'Payments'!U603</f>
        <v/>
      </c>
      <c r="D1599" s="46">
        <f>'Payments'!V603</f>
        <v/>
      </c>
      <c r="E1599" s="46">
        <f>IF(OR(B1599="",C1599="",D1599=""),"",D1599*100000+(C1599-DATE(2000,1,1))+ROW()/100000)</f>
        <v/>
      </c>
      <c r="F1599" s="46">
        <f>IF(E1599="","",IF(C1599&gt;WeekEndDate,"",E1599))</f>
        <v/>
      </c>
    </row>
    <row r="1600">
      <c r="A1600" t="inlineStr">
        <is>
          <t>Payments</t>
        </is>
      </c>
      <c r="B1600" s="46">
        <f>'Payments'!W604</f>
        <v/>
      </c>
      <c r="C1600" s="84">
        <f>'Payments'!U604</f>
        <v/>
      </c>
      <c r="D1600" s="46">
        <f>'Payments'!V604</f>
        <v/>
      </c>
      <c r="E1600" s="46">
        <f>IF(OR(B1600="",C1600="",D1600=""),"",D1600*100000+(C1600-DATE(2000,1,1))+ROW()/100000)</f>
        <v/>
      </c>
      <c r="F1600" s="46">
        <f>IF(E1600="","",IF(C1600&gt;WeekEndDate,"",E1600))</f>
        <v/>
      </c>
    </row>
    <row r="1601">
      <c r="A1601" t="inlineStr">
        <is>
          <t>Payments</t>
        </is>
      </c>
      <c r="B1601" s="46">
        <f>'Payments'!W605</f>
        <v/>
      </c>
      <c r="C1601" s="84">
        <f>'Payments'!U605</f>
        <v/>
      </c>
      <c r="D1601" s="46">
        <f>'Payments'!V605</f>
        <v/>
      </c>
      <c r="E1601" s="46">
        <f>IF(OR(B1601="",C1601="",D1601=""),"",D1601*100000+(C1601-DATE(2000,1,1))+ROW()/100000)</f>
        <v/>
      </c>
      <c r="F1601" s="46">
        <f>IF(E1601="","",IF(C1601&gt;WeekEndDate,"",E1601))</f>
        <v/>
      </c>
    </row>
    <row r="1602">
      <c r="A1602" t="inlineStr">
        <is>
          <t>Payments</t>
        </is>
      </c>
      <c r="B1602" s="46">
        <f>'Payments'!W606</f>
        <v/>
      </c>
      <c r="C1602" s="84">
        <f>'Payments'!U606</f>
        <v/>
      </c>
      <c r="D1602" s="46">
        <f>'Payments'!V606</f>
        <v/>
      </c>
      <c r="E1602" s="46">
        <f>IF(OR(B1602="",C1602="",D1602=""),"",D1602*100000+(C1602-DATE(2000,1,1))+ROW()/100000)</f>
        <v/>
      </c>
      <c r="F1602" s="46">
        <f>IF(E1602="","",IF(C1602&gt;WeekEndDate,"",E1602))</f>
        <v/>
      </c>
    </row>
    <row r="1603">
      <c r="A1603" t="inlineStr">
        <is>
          <t>Payments</t>
        </is>
      </c>
      <c r="B1603" s="46">
        <f>'Payments'!W607</f>
        <v/>
      </c>
      <c r="C1603" s="84">
        <f>'Payments'!U607</f>
        <v/>
      </c>
      <c r="D1603" s="46">
        <f>'Payments'!V607</f>
        <v/>
      </c>
      <c r="E1603" s="46">
        <f>IF(OR(B1603="",C1603="",D1603=""),"",D1603*100000+(C1603-DATE(2000,1,1))+ROW()/100000)</f>
        <v/>
      </c>
      <c r="F1603" s="46">
        <f>IF(E1603="","",IF(C1603&gt;WeekEndDate,"",E1603))</f>
        <v/>
      </c>
    </row>
    <row r="1604">
      <c r="A1604" t="inlineStr">
        <is>
          <t>Payments</t>
        </is>
      </c>
      <c r="B1604" s="46">
        <f>'Payments'!W608</f>
        <v/>
      </c>
      <c r="C1604" s="84">
        <f>'Payments'!U608</f>
        <v/>
      </c>
      <c r="D1604" s="46">
        <f>'Payments'!V608</f>
        <v/>
      </c>
      <c r="E1604" s="46">
        <f>IF(OR(B1604="",C1604="",D1604=""),"",D1604*100000+(C1604-DATE(2000,1,1))+ROW()/100000)</f>
        <v/>
      </c>
      <c r="F1604" s="46">
        <f>IF(E1604="","",IF(C1604&gt;WeekEndDate,"",E1604))</f>
        <v/>
      </c>
    </row>
    <row r="1605">
      <c r="A1605" t="inlineStr">
        <is>
          <t>Payments</t>
        </is>
      </c>
      <c r="B1605" s="46">
        <f>'Payments'!W609</f>
        <v/>
      </c>
      <c r="C1605" s="84">
        <f>'Payments'!U609</f>
        <v/>
      </c>
      <c r="D1605" s="46">
        <f>'Payments'!V609</f>
        <v/>
      </c>
      <c r="E1605" s="46">
        <f>IF(OR(B1605="",C1605="",D1605=""),"",D1605*100000+(C1605-DATE(2000,1,1))+ROW()/100000)</f>
        <v/>
      </c>
      <c r="F1605" s="46">
        <f>IF(E1605="","",IF(C1605&gt;WeekEndDate,"",E1605))</f>
        <v/>
      </c>
    </row>
    <row r="1606">
      <c r="A1606" t="inlineStr">
        <is>
          <t>Payments</t>
        </is>
      </c>
      <c r="B1606" s="46">
        <f>'Payments'!W610</f>
        <v/>
      </c>
      <c r="C1606" s="84">
        <f>'Payments'!U610</f>
        <v/>
      </c>
      <c r="D1606" s="46">
        <f>'Payments'!V610</f>
        <v/>
      </c>
      <c r="E1606" s="46">
        <f>IF(OR(B1606="",C1606="",D1606=""),"",D1606*100000+(C1606-DATE(2000,1,1))+ROW()/100000)</f>
        <v/>
      </c>
      <c r="F1606" s="46">
        <f>IF(E1606="","",IF(C1606&gt;WeekEndDate,"",E1606))</f>
        <v/>
      </c>
    </row>
    <row r="1607">
      <c r="A1607" t="inlineStr">
        <is>
          <t>Payments</t>
        </is>
      </c>
      <c r="B1607" s="46">
        <f>'Payments'!W611</f>
        <v/>
      </c>
      <c r="C1607" s="84">
        <f>'Payments'!U611</f>
        <v/>
      </c>
      <c r="D1607" s="46">
        <f>'Payments'!V611</f>
        <v/>
      </c>
      <c r="E1607" s="46">
        <f>IF(OR(B1607="",C1607="",D1607=""),"",D1607*100000+(C1607-DATE(2000,1,1))+ROW()/100000)</f>
        <v/>
      </c>
      <c r="F1607" s="46">
        <f>IF(E1607="","",IF(C1607&gt;WeekEndDate,"",E1607))</f>
        <v/>
      </c>
    </row>
    <row r="1608">
      <c r="A1608" t="inlineStr">
        <is>
          <t>Payments</t>
        </is>
      </c>
      <c r="B1608" s="46">
        <f>'Payments'!W612</f>
        <v/>
      </c>
      <c r="C1608" s="84">
        <f>'Payments'!U612</f>
        <v/>
      </c>
      <c r="D1608" s="46">
        <f>'Payments'!V612</f>
        <v/>
      </c>
      <c r="E1608" s="46">
        <f>IF(OR(B1608="",C1608="",D1608=""),"",D1608*100000+(C1608-DATE(2000,1,1))+ROW()/100000)</f>
        <v/>
      </c>
      <c r="F1608" s="46">
        <f>IF(E1608="","",IF(C1608&gt;WeekEndDate,"",E1608))</f>
        <v/>
      </c>
    </row>
    <row r="1609">
      <c r="A1609" t="inlineStr">
        <is>
          <t>Payments</t>
        </is>
      </c>
      <c r="B1609" s="46">
        <f>'Payments'!W613</f>
        <v/>
      </c>
      <c r="C1609" s="84">
        <f>'Payments'!U613</f>
        <v/>
      </c>
      <c r="D1609" s="46">
        <f>'Payments'!V613</f>
        <v/>
      </c>
      <c r="E1609" s="46">
        <f>IF(OR(B1609="",C1609="",D1609=""),"",D1609*100000+(C1609-DATE(2000,1,1))+ROW()/100000)</f>
        <v/>
      </c>
      <c r="F1609" s="46">
        <f>IF(E1609="","",IF(C1609&gt;WeekEndDate,"",E1609))</f>
        <v/>
      </c>
    </row>
    <row r="1610">
      <c r="A1610" t="inlineStr">
        <is>
          <t>Payments</t>
        </is>
      </c>
      <c r="B1610" s="46">
        <f>'Payments'!W614</f>
        <v/>
      </c>
      <c r="C1610" s="84">
        <f>'Payments'!U614</f>
        <v/>
      </c>
      <c r="D1610" s="46">
        <f>'Payments'!V614</f>
        <v/>
      </c>
      <c r="E1610" s="46">
        <f>IF(OR(B1610="",C1610="",D1610=""),"",D1610*100000+(C1610-DATE(2000,1,1))+ROW()/100000)</f>
        <v/>
      </c>
      <c r="F1610" s="46">
        <f>IF(E1610="","",IF(C1610&gt;WeekEndDate,"",E1610))</f>
        <v/>
      </c>
    </row>
    <row r="1611">
      <c r="A1611" t="inlineStr">
        <is>
          <t>Payments</t>
        </is>
      </c>
      <c r="B1611" s="46">
        <f>'Payments'!W615</f>
        <v/>
      </c>
      <c r="C1611" s="84">
        <f>'Payments'!U615</f>
        <v/>
      </c>
      <c r="D1611" s="46">
        <f>'Payments'!V615</f>
        <v/>
      </c>
      <c r="E1611" s="46">
        <f>IF(OR(B1611="",C1611="",D1611=""),"",D1611*100000+(C1611-DATE(2000,1,1))+ROW()/100000)</f>
        <v/>
      </c>
      <c r="F1611" s="46">
        <f>IF(E1611="","",IF(C1611&gt;WeekEndDate,"",E1611))</f>
        <v/>
      </c>
    </row>
    <row r="1612">
      <c r="A1612" t="inlineStr">
        <is>
          <t>Payments</t>
        </is>
      </c>
      <c r="B1612" s="46">
        <f>'Payments'!W616</f>
        <v/>
      </c>
      <c r="C1612" s="84">
        <f>'Payments'!U616</f>
        <v/>
      </c>
      <c r="D1612" s="46">
        <f>'Payments'!V616</f>
        <v/>
      </c>
      <c r="E1612" s="46">
        <f>IF(OR(B1612="",C1612="",D1612=""),"",D1612*100000+(C1612-DATE(2000,1,1))+ROW()/100000)</f>
        <v/>
      </c>
      <c r="F1612" s="46">
        <f>IF(E1612="","",IF(C1612&gt;WeekEndDate,"",E1612))</f>
        <v/>
      </c>
    </row>
    <row r="1613">
      <c r="A1613" t="inlineStr">
        <is>
          <t>Payments</t>
        </is>
      </c>
      <c r="B1613" s="46">
        <f>'Payments'!W617</f>
        <v/>
      </c>
      <c r="C1613" s="84">
        <f>'Payments'!U617</f>
        <v/>
      </c>
      <c r="D1613" s="46">
        <f>'Payments'!V617</f>
        <v/>
      </c>
      <c r="E1613" s="46">
        <f>IF(OR(B1613="",C1613="",D1613=""),"",D1613*100000+(C1613-DATE(2000,1,1))+ROW()/100000)</f>
        <v/>
      </c>
      <c r="F1613" s="46">
        <f>IF(E1613="","",IF(C1613&gt;WeekEndDate,"",E1613))</f>
        <v/>
      </c>
    </row>
    <row r="1614">
      <c r="A1614" t="inlineStr">
        <is>
          <t>Payments</t>
        </is>
      </c>
      <c r="B1614" s="46">
        <f>'Payments'!W618</f>
        <v/>
      </c>
      <c r="C1614" s="84">
        <f>'Payments'!U618</f>
        <v/>
      </c>
      <c r="D1614" s="46">
        <f>'Payments'!V618</f>
        <v/>
      </c>
      <c r="E1614" s="46">
        <f>IF(OR(B1614="",C1614="",D1614=""),"",D1614*100000+(C1614-DATE(2000,1,1))+ROW()/100000)</f>
        <v/>
      </c>
      <c r="F1614" s="46">
        <f>IF(E1614="","",IF(C1614&gt;WeekEndDate,"",E1614))</f>
        <v/>
      </c>
    </row>
    <row r="1615">
      <c r="A1615" t="inlineStr">
        <is>
          <t>Payments</t>
        </is>
      </c>
      <c r="B1615" s="46">
        <f>'Payments'!W619</f>
        <v/>
      </c>
      <c r="C1615" s="84">
        <f>'Payments'!U619</f>
        <v/>
      </c>
      <c r="D1615" s="46">
        <f>'Payments'!V619</f>
        <v/>
      </c>
      <c r="E1615" s="46">
        <f>IF(OR(B1615="",C1615="",D1615=""),"",D1615*100000+(C1615-DATE(2000,1,1))+ROW()/100000)</f>
        <v/>
      </c>
      <c r="F1615" s="46">
        <f>IF(E1615="","",IF(C1615&gt;WeekEndDate,"",E1615))</f>
        <v/>
      </c>
    </row>
    <row r="1616">
      <c r="A1616" t="inlineStr">
        <is>
          <t>Payments</t>
        </is>
      </c>
      <c r="B1616" s="46">
        <f>'Payments'!W620</f>
        <v/>
      </c>
      <c r="C1616" s="84">
        <f>'Payments'!U620</f>
        <v/>
      </c>
      <c r="D1616" s="46">
        <f>'Payments'!V620</f>
        <v/>
      </c>
      <c r="E1616" s="46">
        <f>IF(OR(B1616="",C1616="",D1616=""),"",D1616*100000+(C1616-DATE(2000,1,1))+ROW()/100000)</f>
        <v/>
      </c>
      <c r="F1616" s="46">
        <f>IF(E1616="","",IF(C1616&gt;WeekEndDate,"",E1616))</f>
        <v/>
      </c>
    </row>
    <row r="1617">
      <c r="A1617" t="inlineStr">
        <is>
          <t>Payments</t>
        </is>
      </c>
      <c r="B1617" s="46">
        <f>'Payments'!W621</f>
        <v/>
      </c>
      <c r="C1617" s="84">
        <f>'Payments'!U621</f>
        <v/>
      </c>
      <c r="D1617" s="46">
        <f>'Payments'!V621</f>
        <v/>
      </c>
      <c r="E1617" s="46">
        <f>IF(OR(B1617="",C1617="",D1617=""),"",D1617*100000+(C1617-DATE(2000,1,1))+ROW()/100000)</f>
        <v/>
      </c>
      <c r="F1617" s="46">
        <f>IF(E1617="","",IF(C1617&gt;WeekEndDate,"",E1617))</f>
        <v/>
      </c>
    </row>
    <row r="1618">
      <c r="A1618" t="inlineStr">
        <is>
          <t>Payments</t>
        </is>
      </c>
      <c r="B1618" s="46">
        <f>'Payments'!W622</f>
        <v/>
      </c>
      <c r="C1618" s="84">
        <f>'Payments'!U622</f>
        <v/>
      </c>
      <c r="D1618" s="46">
        <f>'Payments'!V622</f>
        <v/>
      </c>
      <c r="E1618" s="46">
        <f>IF(OR(B1618="",C1618="",D1618=""),"",D1618*100000+(C1618-DATE(2000,1,1))+ROW()/100000)</f>
        <v/>
      </c>
      <c r="F1618" s="46">
        <f>IF(E1618="","",IF(C1618&gt;WeekEndDate,"",E1618))</f>
        <v/>
      </c>
    </row>
    <row r="1619">
      <c r="A1619" t="inlineStr">
        <is>
          <t>Payments</t>
        </is>
      </c>
      <c r="B1619" s="46">
        <f>'Payments'!W623</f>
        <v/>
      </c>
      <c r="C1619" s="84">
        <f>'Payments'!U623</f>
        <v/>
      </c>
      <c r="D1619" s="46">
        <f>'Payments'!V623</f>
        <v/>
      </c>
      <c r="E1619" s="46">
        <f>IF(OR(B1619="",C1619="",D1619=""),"",D1619*100000+(C1619-DATE(2000,1,1))+ROW()/100000)</f>
        <v/>
      </c>
      <c r="F1619" s="46">
        <f>IF(E1619="","",IF(C1619&gt;WeekEndDate,"",E1619))</f>
        <v/>
      </c>
    </row>
    <row r="1620">
      <c r="A1620" t="inlineStr">
        <is>
          <t>Payments</t>
        </is>
      </c>
      <c r="B1620" s="46">
        <f>'Payments'!W624</f>
        <v/>
      </c>
      <c r="C1620" s="84">
        <f>'Payments'!U624</f>
        <v/>
      </c>
      <c r="D1620" s="46">
        <f>'Payments'!V624</f>
        <v/>
      </c>
      <c r="E1620" s="46">
        <f>IF(OR(B1620="",C1620="",D1620=""),"",D1620*100000+(C1620-DATE(2000,1,1))+ROW()/100000)</f>
        <v/>
      </c>
      <c r="F1620" s="46">
        <f>IF(E1620="","",IF(C1620&gt;WeekEndDate,"",E1620))</f>
        <v/>
      </c>
    </row>
    <row r="1621">
      <c r="A1621" t="inlineStr">
        <is>
          <t>Payments</t>
        </is>
      </c>
      <c r="B1621" s="46">
        <f>'Payments'!W625</f>
        <v/>
      </c>
      <c r="C1621" s="84">
        <f>'Payments'!U625</f>
        <v/>
      </c>
      <c r="D1621" s="46">
        <f>'Payments'!V625</f>
        <v/>
      </c>
      <c r="E1621" s="46">
        <f>IF(OR(B1621="",C1621="",D1621=""),"",D1621*100000+(C1621-DATE(2000,1,1))+ROW()/100000)</f>
        <v/>
      </c>
      <c r="F1621" s="46">
        <f>IF(E1621="","",IF(C1621&gt;WeekEndDate,"",E1621))</f>
        <v/>
      </c>
    </row>
    <row r="1622">
      <c r="A1622" t="inlineStr">
        <is>
          <t>Payments</t>
        </is>
      </c>
      <c r="B1622" s="46">
        <f>'Payments'!W626</f>
        <v/>
      </c>
      <c r="C1622" s="84">
        <f>'Payments'!U626</f>
        <v/>
      </c>
      <c r="D1622" s="46">
        <f>'Payments'!V626</f>
        <v/>
      </c>
      <c r="E1622" s="46">
        <f>IF(OR(B1622="",C1622="",D1622=""),"",D1622*100000+(C1622-DATE(2000,1,1))+ROW()/100000)</f>
        <v/>
      </c>
      <c r="F1622" s="46">
        <f>IF(E1622="","",IF(C1622&gt;WeekEndDate,"",E1622))</f>
        <v/>
      </c>
    </row>
    <row r="1623">
      <c r="A1623" t="inlineStr">
        <is>
          <t>Payments</t>
        </is>
      </c>
      <c r="B1623" s="46">
        <f>'Payments'!W627</f>
        <v/>
      </c>
      <c r="C1623" s="84">
        <f>'Payments'!U627</f>
        <v/>
      </c>
      <c r="D1623" s="46">
        <f>'Payments'!V627</f>
        <v/>
      </c>
      <c r="E1623" s="46">
        <f>IF(OR(B1623="",C1623="",D1623=""),"",D1623*100000+(C1623-DATE(2000,1,1))+ROW()/100000)</f>
        <v/>
      </c>
      <c r="F1623" s="46">
        <f>IF(E1623="","",IF(C1623&gt;WeekEndDate,"",E1623))</f>
        <v/>
      </c>
    </row>
    <row r="1624">
      <c r="A1624" t="inlineStr">
        <is>
          <t>Payments</t>
        </is>
      </c>
      <c r="B1624" s="46">
        <f>'Payments'!W628</f>
        <v/>
      </c>
      <c r="C1624" s="84">
        <f>'Payments'!U628</f>
        <v/>
      </c>
      <c r="D1624" s="46">
        <f>'Payments'!V628</f>
        <v/>
      </c>
      <c r="E1624" s="46">
        <f>IF(OR(B1624="",C1624="",D1624=""),"",D1624*100000+(C1624-DATE(2000,1,1))+ROW()/100000)</f>
        <v/>
      </c>
      <c r="F1624" s="46">
        <f>IF(E1624="","",IF(C1624&gt;WeekEndDate,"",E1624))</f>
        <v/>
      </c>
    </row>
    <row r="1625">
      <c r="A1625" t="inlineStr">
        <is>
          <t>Payments</t>
        </is>
      </c>
      <c r="B1625" s="46">
        <f>'Payments'!W629</f>
        <v/>
      </c>
      <c r="C1625" s="84">
        <f>'Payments'!U629</f>
        <v/>
      </c>
      <c r="D1625" s="46">
        <f>'Payments'!V629</f>
        <v/>
      </c>
      <c r="E1625" s="46">
        <f>IF(OR(B1625="",C1625="",D1625=""),"",D1625*100000+(C1625-DATE(2000,1,1))+ROW()/100000)</f>
        <v/>
      </c>
      <c r="F1625" s="46">
        <f>IF(E1625="","",IF(C1625&gt;WeekEndDate,"",E1625))</f>
        <v/>
      </c>
    </row>
    <row r="1626">
      <c r="A1626" t="inlineStr">
        <is>
          <t>Payments</t>
        </is>
      </c>
      <c r="B1626" s="46">
        <f>'Payments'!W630</f>
        <v/>
      </c>
      <c r="C1626" s="84">
        <f>'Payments'!U630</f>
        <v/>
      </c>
      <c r="D1626" s="46">
        <f>'Payments'!V630</f>
        <v/>
      </c>
      <c r="E1626" s="46">
        <f>IF(OR(B1626="",C1626="",D1626=""),"",D1626*100000+(C1626-DATE(2000,1,1))+ROW()/100000)</f>
        <v/>
      </c>
      <c r="F1626" s="46">
        <f>IF(E1626="","",IF(C1626&gt;WeekEndDate,"",E1626))</f>
        <v/>
      </c>
    </row>
    <row r="1627">
      <c r="A1627" t="inlineStr">
        <is>
          <t>Payments</t>
        </is>
      </c>
      <c r="B1627" s="46">
        <f>'Payments'!W631</f>
        <v/>
      </c>
      <c r="C1627" s="84">
        <f>'Payments'!U631</f>
        <v/>
      </c>
      <c r="D1627" s="46">
        <f>'Payments'!V631</f>
        <v/>
      </c>
      <c r="E1627" s="46">
        <f>IF(OR(B1627="",C1627="",D1627=""),"",D1627*100000+(C1627-DATE(2000,1,1))+ROW()/100000)</f>
        <v/>
      </c>
      <c r="F1627" s="46">
        <f>IF(E1627="","",IF(C1627&gt;WeekEndDate,"",E1627))</f>
        <v/>
      </c>
    </row>
    <row r="1628">
      <c r="A1628" t="inlineStr">
        <is>
          <t>Payments</t>
        </is>
      </c>
      <c r="B1628" s="46">
        <f>'Payments'!W632</f>
        <v/>
      </c>
      <c r="C1628" s="84">
        <f>'Payments'!U632</f>
        <v/>
      </c>
      <c r="D1628" s="46">
        <f>'Payments'!V632</f>
        <v/>
      </c>
      <c r="E1628" s="46">
        <f>IF(OR(B1628="",C1628="",D1628=""),"",D1628*100000+(C1628-DATE(2000,1,1))+ROW()/100000)</f>
        <v/>
      </c>
      <c r="F1628" s="46">
        <f>IF(E1628="","",IF(C1628&gt;WeekEndDate,"",E1628))</f>
        <v/>
      </c>
    </row>
    <row r="1629">
      <c r="A1629" t="inlineStr">
        <is>
          <t>Payments</t>
        </is>
      </c>
      <c r="B1629" s="46">
        <f>'Payments'!W633</f>
        <v/>
      </c>
      <c r="C1629" s="84">
        <f>'Payments'!U633</f>
        <v/>
      </c>
      <c r="D1629" s="46">
        <f>'Payments'!V633</f>
        <v/>
      </c>
      <c r="E1629" s="46">
        <f>IF(OR(B1629="",C1629="",D1629=""),"",D1629*100000+(C1629-DATE(2000,1,1))+ROW()/100000)</f>
        <v/>
      </c>
      <c r="F1629" s="46">
        <f>IF(E1629="","",IF(C1629&gt;WeekEndDate,"",E1629))</f>
        <v/>
      </c>
    </row>
    <row r="1630">
      <c r="A1630" t="inlineStr">
        <is>
          <t>Payments</t>
        </is>
      </c>
      <c r="B1630" s="46">
        <f>'Payments'!W634</f>
        <v/>
      </c>
      <c r="C1630" s="84">
        <f>'Payments'!U634</f>
        <v/>
      </c>
      <c r="D1630" s="46">
        <f>'Payments'!V634</f>
        <v/>
      </c>
      <c r="E1630" s="46">
        <f>IF(OR(B1630="",C1630="",D1630=""),"",D1630*100000+(C1630-DATE(2000,1,1))+ROW()/100000)</f>
        <v/>
      </c>
      <c r="F1630" s="46">
        <f>IF(E1630="","",IF(C1630&gt;WeekEndDate,"",E1630))</f>
        <v/>
      </c>
    </row>
    <row r="1631">
      <c r="A1631" t="inlineStr">
        <is>
          <t>Payments</t>
        </is>
      </c>
      <c r="B1631" s="46">
        <f>'Payments'!W635</f>
        <v/>
      </c>
      <c r="C1631" s="84">
        <f>'Payments'!U635</f>
        <v/>
      </c>
      <c r="D1631" s="46">
        <f>'Payments'!V635</f>
        <v/>
      </c>
      <c r="E1631" s="46">
        <f>IF(OR(B1631="",C1631="",D1631=""),"",D1631*100000+(C1631-DATE(2000,1,1))+ROW()/100000)</f>
        <v/>
      </c>
      <c r="F1631" s="46">
        <f>IF(E1631="","",IF(C1631&gt;WeekEndDate,"",E1631))</f>
        <v/>
      </c>
    </row>
    <row r="1632">
      <c r="A1632" t="inlineStr">
        <is>
          <t>Payments</t>
        </is>
      </c>
      <c r="B1632" s="46">
        <f>'Payments'!W636</f>
        <v/>
      </c>
      <c r="C1632" s="84">
        <f>'Payments'!U636</f>
        <v/>
      </c>
      <c r="D1632" s="46">
        <f>'Payments'!V636</f>
        <v/>
      </c>
      <c r="E1632" s="46">
        <f>IF(OR(B1632="",C1632="",D1632=""),"",D1632*100000+(C1632-DATE(2000,1,1))+ROW()/100000)</f>
        <v/>
      </c>
      <c r="F1632" s="46">
        <f>IF(E1632="","",IF(C1632&gt;WeekEndDate,"",E1632))</f>
        <v/>
      </c>
    </row>
    <row r="1633">
      <c r="A1633" t="inlineStr">
        <is>
          <t>Payments</t>
        </is>
      </c>
      <c r="B1633" s="46">
        <f>'Payments'!W637</f>
        <v/>
      </c>
      <c r="C1633" s="84">
        <f>'Payments'!U637</f>
        <v/>
      </c>
      <c r="D1633" s="46">
        <f>'Payments'!V637</f>
        <v/>
      </c>
      <c r="E1633" s="46">
        <f>IF(OR(B1633="",C1633="",D1633=""),"",D1633*100000+(C1633-DATE(2000,1,1))+ROW()/100000)</f>
        <v/>
      </c>
      <c r="F1633" s="46">
        <f>IF(E1633="","",IF(C1633&gt;WeekEndDate,"",E1633))</f>
        <v/>
      </c>
    </row>
    <row r="1634">
      <c r="A1634" t="inlineStr">
        <is>
          <t>Payments</t>
        </is>
      </c>
      <c r="B1634" s="46">
        <f>'Payments'!W638</f>
        <v/>
      </c>
      <c r="C1634" s="84">
        <f>'Payments'!U638</f>
        <v/>
      </c>
      <c r="D1634" s="46">
        <f>'Payments'!V638</f>
        <v/>
      </c>
      <c r="E1634" s="46">
        <f>IF(OR(B1634="",C1634="",D1634=""),"",D1634*100000+(C1634-DATE(2000,1,1))+ROW()/100000)</f>
        <v/>
      </c>
      <c r="F1634" s="46">
        <f>IF(E1634="","",IF(C1634&gt;WeekEndDate,"",E1634))</f>
        <v/>
      </c>
    </row>
    <row r="1635">
      <c r="A1635" t="inlineStr">
        <is>
          <t>Payments</t>
        </is>
      </c>
      <c r="B1635" s="46">
        <f>'Payments'!W639</f>
        <v/>
      </c>
      <c r="C1635" s="84">
        <f>'Payments'!U639</f>
        <v/>
      </c>
      <c r="D1635" s="46">
        <f>'Payments'!V639</f>
        <v/>
      </c>
      <c r="E1635" s="46">
        <f>IF(OR(B1635="",C1635="",D1635=""),"",D1635*100000+(C1635-DATE(2000,1,1))+ROW()/100000)</f>
        <v/>
      </c>
      <c r="F1635" s="46">
        <f>IF(E1635="","",IF(C1635&gt;WeekEndDate,"",E1635))</f>
        <v/>
      </c>
    </row>
    <row r="1636">
      <c r="A1636" t="inlineStr">
        <is>
          <t>Payments</t>
        </is>
      </c>
      <c r="B1636" s="46">
        <f>'Payments'!W640</f>
        <v/>
      </c>
      <c r="C1636" s="84">
        <f>'Payments'!U640</f>
        <v/>
      </c>
      <c r="D1636" s="46">
        <f>'Payments'!V640</f>
        <v/>
      </c>
      <c r="E1636" s="46">
        <f>IF(OR(B1636="",C1636="",D1636=""),"",D1636*100000+(C1636-DATE(2000,1,1))+ROW()/100000)</f>
        <v/>
      </c>
      <c r="F1636" s="46">
        <f>IF(E1636="","",IF(C1636&gt;WeekEndDate,"",E1636))</f>
        <v/>
      </c>
    </row>
    <row r="1637">
      <c r="A1637" t="inlineStr">
        <is>
          <t>Payments</t>
        </is>
      </c>
      <c r="B1637" s="46">
        <f>'Payments'!W641</f>
        <v/>
      </c>
      <c r="C1637" s="84">
        <f>'Payments'!U641</f>
        <v/>
      </c>
      <c r="D1637" s="46">
        <f>'Payments'!V641</f>
        <v/>
      </c>
      <c r="E1637" s="46">
        <f>IF(OR(B1637="",C1637="",D1637=""),"",D1637*100000+(C1637-DATE(2000,1,1))+ROW()/100000)</f>
        <v/>
      </c>
      <c r="F1637" s="46">
        <f>IF(E1637="","",IF(C1637&gt;WeekEndDate,"",E1637))</f>
        <v/>
      </c>
    </row>
    <row r="1638">
      <c r="A1638" t="inlineStr">
        <is>
          <t>Payments</t>
        </is>
      </c>
      <c r="B1638" s="46">
        <f>'Payments'!W642</f>
        <v/>
      </c>
      <c r="C1638" s="84">
        <f>'Payments'!U642</f>
        <v/>
      </c>
      <c r="D1638" s="46">
        <f>'Payments'!V642</f>
        <v/>
      </c>
      <c r="E1638" s="46">
        <f>IF(OR(B1638="",C1638="",D1638=""),"",D1638*100000+(C1638-DATE(2000,1,1))+ROW()/100000)</f>
        <v/>
      </c>
      <c r="F1638" s="46">
        <f>IF(E1638="","",IF(C1638&gt;WeekEndDate,"",E1638))</f>
        <v/>
      </c>
    </row>
    <row r="1639">
      <c r="A1639" t="inlineStr">
        <is>
          <t>Payments</t>
        </is>
      </c>
      <c r="B1639" s="46">
        <f>'Payments'!W643</f>
        <v/>
      </c>
      <c r="C1639" s="84">
        <f>'Payments'!U643</f>
        <v/>
      </c>
      <c r="D1639" s="46">
        <f>'Payments'!V643</f>
        <v/>
      </c>
      <c r="E1639" s="46">
        <f>IF(OR(B1639="",C1639="",D1639=""),"",D1639*100000+(C1639-DATE(2000,1,1))+ROW()/100000)</f>
        <v/>
      </c>
      <c r="F1639" s="46">
        <f>IF(E1639="","",IF(C1639&gt;WeekEndDate,"",E1639))</f>
        <v/>
      </c>
    </row>
    <row r="1640">
      <c r="A1640" t="inlineStr">
        <is>
          <t>Payments</t>
        </is>
      </c>
      <c r="B1640" s="46">
        <f>'Payments'!W644</f>
        <v/>
      </c>
      <c r="C1640" s="84">
        <f>'Payments'!U644</f>
        <v/>
      </c>
      <c r="D1640" s="46">
        <f>'Payments'!V644</f>
        <v/>
      </c>
      <c r="E1640" s="46">
        <f>IF(OR(B1640="",C1640="",D1640=""),"",D1640*100000+(C1640-DATE(2000,1,1))+ROW()/100000)</f>
        <v/>
      </c>
      <c r="F1640" s="46">
        <f>IF(E1640="","",IF(C1640&gt;WeekEndDate,"",E1640))</f>
        <v/>
      </c>
    </row>
    <row r="1641">
      <c r="A1641" t="inlineStr">
        <is>
          <t>Payments</t>
        </is>
      </c>
      <c r="B1641" s="46">
        <f>'Payments'!W645</f>
        <v/>
      </c>
      <c r="C1641" s="84">
        <f>'Payments'!U645</f>
        <v/>
      </c>
      <c r="D1641" s="46">
        <f>'Payments'!V645</f>
        <v/>
      </c>
      <c r="E1641" s="46">
        <f>IF(OR(B1641="",C1641="",D1641=""),"",D1641*100000+(C1641-DATE(2000,1,1))+ROW()/100000)</f>
        <v/>
      </c>
      <c r="F1641" s="46">
        <f>IF(E1641="","",IF(C1641&gt;WeekEndDate,"",E1641))</f>
        <v/>
      </c>
    </row>
    <row r="1642">
      <c r="A1642" t="inlineStr">
        <is>
          <t>Payments</t>
        </is>
      </c>
      <c r="B1642" s="46">
        <f>'Payments'!W646</f>
        <v/>
      </c>
      <c r="C1642" s="84">
        <f>'Payments'!U646</f>
        <v/>
      </c>
      <c r="D1642" s="46">
        <f>'Payments'!V646</f>
        <v/>
      </c>
      <c r="E1642" s="46">
        <f>IF(OR(B1642="",C1642="",D1642=""),"",D1642*100000+(C1642-DATE(2000,1,1))+ROW()/100000)</f>
        <v/>
      </c>
      <c r="F1642" s="46">
        <f>IF(E1642="","",IF(C1642&gt;WeekEndDate,"",E1642))</f>
        <v/>
      </c>
    </row>
    <row r="1643">
      <c r="A1643" t="inlineStr">
        <is>
          <t>Payments</t>
        </is>
      </c>
      <c r="B1643" s="46">
        <f>'Payments'!W647</f>
        <v/>
      </c>
      <c r="C1643" s="84">
        <f>'Payments'!U647</f>
        <v/>
      </c>
      <c r="D1643" s="46">
        <f>'Payments'!V647</f>
        <v/>
      </c>
      <c r="E1643" s="46">
        <f>IF(OR(B1643="",C1643="",D1643=""),"",D1643*100000+(C1643-DATE(2000,1,1))+ROW()/100000)</f>
        <v/>
      </c>
      <c r="F1643" s="46">
        <f>IF(E1643="","",IF(C1643&gt;WeekEndDate,"",E1643))</f>
        <v/>
      </c>
    </row>
    <row r="1644">
      <c r="A1644" t="inlineStr">
        <is>
          <t>Payments</t>
        </is>
      </c>
      <c r="B1644" s="46">
        <f>'Payments'!W648</f>
        <v/>
      </c>
      <c r="C1644" s="84">
        <f>'Payments'!U648</f>
        <v/>
      </c>
      <c r="D1644" s="46">
        <f>'Payments'!V648</f>
        <v/>
      </c>
      <c r="E1644" s="46">
        <f>IF(OR(B1644="",C1644="",D1644=""),"",D1644*100000+(C1644-DATE(2000,1,1))+ROW()/100000)</f>
        <v/>
      </c>
      <c r="F1644" s="46">
        <f>IF(E1644="","",IF(C1644&gt;WeekEndDate,"",E1644))</f>
        <v/>
      </c>
    </row>
    <row r="1645">
      <c r="A1645" t="inlineStr">
        <is>
          <t>Payments</t>
        </is>
      </c>
      <c r="B1645" s="46">
        <f>'Payments'!W649</f>
        <v/>
      </c>
      <c r="C1645" s="84">
        <f>'Payments'!U649</f>
        <v/>
      </c>
      <c r="D1645" s="46">
        <f>'Payments'!V649</f>
        <v/>
      </c>
      <c r="E1645" s="46">
        <f>IF(OR(B1645="",C1645="",D1645=""),"",D1645*100000+(C1645-DATE(2000,1,1))+ROW()/100000)</f>
        <v/>
      </c>
      <c r="F1645" s="46">
        <f>IF(E1645="","",IF(C1645&gt;WeekEndDate,"",E1645))</f>
        <v/>
      </c>
    </row>
    <row r="1646">
      <c r="A1646" t="inlineStr">
        <is>
          <t>Payments</t>
        </is>
      </c>
      <c r="B1646" s="46">
        <f>'Payments'!W650</f>
        <v/>
      </c>
      <c r="C1646" s="84">
        <f>'Payments'!U650</f>
        <v/>
      </c>
      <c r="D1646" s="46">
        <f>'Payments'!V650</f>
        <v/>
      </c>
      <c r="E1646" s="46">
        <f>IF(OR(B1646="",C1646="",D1646=""),"",D1646*100000+(C1646-DATE(2000,1,1))+ROW()/100000)</f>
        <v/>
      </c>
      <c r="F1646" s="46">
        <f>IF(E1646="","",IF(C1646&gt;WeekEndDate,"",E1646))</f>
        <v/>
      </c>
    </row>
    <row r="1647">
      <c r="A1647" t="inlineStr">
        <is>
          <t>Payments</t>
        </is>
      </c>
      <c r="B1647" s="46">
        <f>'Payments'!W651</f>
        <v/>
      </c>
      <c r="C1647" s="84">
        <f>'Payments'!U651</f>
        <v/>
      </c>
      <c r="D1647" s="46">
        <f>'Payments'!V651</f>
        <v/>
      </c>
      <c r="E1647" s="46">
        <f>IF(OR(B1647="",C1647="",D1647=""),"",D1647*100000+(C1647-DATE(2000,1,1))+ROW()/100000)</f>
        <v/>
      </c>
      <c r="F1647" s="46">
        <f>IF(E1647="","",IF(C1647&gt;WeekEndDate,"",E1647))</f>
        <v/>
      </c>
    </row>
    <row r="1648">
      <c r="A1648" t="inlineStr">
        <is>
          <t>Payments</t>
        </is>
      </c>
      <c r="B1648" s="46">
        <f>'Payments'!W652</f>
        <v/>
      </c>
      <c r="C1648" s="84">
        <f>'Payments'!U652</f>
        <v/>
      </c>
      <c r="D1648" s="46">
        <f>'Payments'!V652</f>
        <v/>
      </c>
      <c r="E1648" s="46">
        <f>IF(OR(B1648="",C1648="",D1648=""),"",D1648*100000+(C1648-DATE(2000,1,1))+ROW()/100000)</f>
        <v/>
      </c>
      <c r="F1648" s="46">
        <f>IF(E1648="","",IF(C1648&gt;WeekEndDate,"",E1648))</f>
        <v/>
      </c>
    </row>
    <row r="1649">
      <c r="A1649" t="inlineStr">
        <is>
          <t>Payments</t>
        </is>
      </c>
      <c r="B1649" s="46">
        <f>'Payments'!W653</f>
        <v/>
      </c>
      <c r="C1649" s="84">
        <f>'Payments'!U653</f>
        <v/>
      </c>
      <c r="D1649" s="46">
        <f>'Payments'!V653</f>
        <v/>
      </c>
      <c r="E1649" s="46">
        <f>IF(OR(B1649="",C1649="",D1649=""),"",D1649*100000+(C1649-DATE(2000,1,1))+ROW()/100000)</f>
        <v/>
      </c>
      <c r="F1649" s="46">
        <f>IF(E1649="","",IF(C1649&gt;WeekEndDate,"",E1649))</f>
        <v/>
      </c>
    </row>
    <row r="1650">
      <c r="A1650" t="inlineStr">
        <is>
          <t>Payments</t>
        </is>
      </c>
      <c r="B1650" s="46">
        <f>'Payments'!W654</f>
        <v/>
      </c>
      <c r="C1650" s="84">
        <f>'Payments'!U654</f>
        <v/>
      </c>
      <c r="D1650" s="46">
        <f>'Payments'!V654</f>
        <v/>
      </c>
      <c r="E1650" s="46">
        <f>IF(OR(B1650="",C1650="",D1650=""),"",D1650*100000+(C1650-DATE(2000,1,1))+ROW()/100000)</f>
        <v/>
      </c>
      <c r="F1650" s="46">
        <f>IF(E1650="","",IF(C1650&gt;WeekEndDate,"",E1650))</f>
        <v/>
      </c>
    </row>
    <row r="1651">
      <c r="A1651" t="inlineStr">
        <is>
          <t>Payments</t>
        </is>
      </c>
      <c r="B1651" s="46">
        <f>'Payments'!W655</f>
        <v/>
      </c>
      <c r="C1651" s="84">
        <f>'Payments'!U655</f>
        <v/>
      </c>
      <c r="D1651" s="46">
        <f>'Payments'!V655</f>
        <v/>
      </c>
      <c r="E1651" s="46">
        <f>IF(OR(B1651="",C1651="",D1651=""),"",D1651*100000+(C1651-DATE(2000,1,1))+ROW()/100000)</f>
        <v/>
      </c>
      <c r="F1651" s="46">
        <f>IF(E1651="","",IF(C1651&gt;WeekEndDate,"",E1651))</f>
        <v/>
      </c>
    </row>
    <row r="1652">
      <c r="A1652" t="inlineStr">
        <is>
          <t>Payments</t>
        </is>
      </c>
      <c r="B1652" s="46">
        <f>'Payments'!W656</f>
        <v/>
      </c>
      <c r="C1652" s="84">
        <f>'Payments'!U656</f>
        <v/>
      </c>
      <c r="D1652" s="46">
        <f>'Payments'!V656</f>
        <v/>
      </c>
      <c r="E1652" s="46">
        <f>IF(OR(B1652="",C1652="",D1652=""),"",D1652*100000+(C1652-DATE(2000,1,1))+ROW()/100000)</f>
        <v/>
      </c>
      <c r="F1652" s="46">
        <f>IF(E1652="","",IF(C1652&gt;WeekEndDate,"",E1652))</f>
        <v/>
      </c>
    </row>
    <row r="1653">
      <c r="A1653" t="inlineStr">
        <is>
          <t>Payments</t>
        </is>
      </c>
      <c r="B1653" s="46">
        <f>'Payments'!W657</f>
        <v/>
      </c>
      <c r="C1653" s="84">
        <f>'Payments'!U657</f>
        <v/>
      </c>
      <c r="D1653" s="46">
        <f>'Payments'!V657</f>
        <v/>
      </c>
      <c r="E1653" s="46">
        <f>IF(OR(B1653="",C1653="",D1653=""),"",D1653*100000+(C1653-DATE(2000,1,1))+ROW()/100000)</f>
        <v/>
      </c>
      <c r="F1653" s="46">
        <f>IF(E1653="","",IF(C1653&gt;WeekEndDate,"",E1653))</f>
        <v/>
      </c>
    </row>
    <row r="1654">
      <c r="A1654" t="inlineStr">
        <is>
          <t>Payments</t>
        </is>
      </c>
      <c r="B1654" s="46">
        <f>'Payments'!W658</f>
        <v/>
      </c>
      <c r="C1654" s="84">
        <f>'Payments'!U658</f>
        <v/>
      </c>
      <c r="D1654" s="46">
        <f>'Payments'!V658</f>
        <v/>
      </c>
      <c r="E1654" s="46">
        <f>IF(OR(B1654="",C1654="",D1654=""),"",D1654*100000+(C1654-DATE(2000,1,1))+ROW()/100000)</f>
        <v/>
      </c>
      <c r="F1654" s="46">
        <f>IF(E1654="","",IF(C1654&gt;WeekEndDate,"",E1654))</f>
        <v/>
      </c>
    </row>
    <row r="1655">
      <c r="A1655" t="inlineStr">
        <is>
          <t>Payments</t>
        </is>
      </c>
      <c r="B1655" s="46">
        <f>'Payments'!W659</f>
        <v/>
      </c>
      <c r="C1655" s="84">
        <f>'Payments'!U659</f>
        <v/>
      </c>
      <c r="D1655" s="46">
        <f>'Payments'!V659</f>
        <v/>
      </c>
      <c r="E1655" s="46">
        <f>IF(OR(B1655="",C1655="",D1655=""),"",D1655*100000+(C1655-DATE(2000,1,1))+ROW()/100000)</f>
        <v/>
      </c>
      <c r="F1655" s="46">
        <f>IF(E1655="","",IF(C1655&gt;WeekEndDate,"",E1655))</f>
        <v/>
      </c>
    </row>
    <row r="1656">
      <c r="A1656" t="inlineStr">
        <is>
          <t>Payments</t>
        </is>
      </c>
      <c r="B1656" s="46">
        <f>'Payments'!W660</f>
        <v/>
      </c>
      <c r="C1656" s="84">
        <f>'Payments'!U660</f>
        <v/>
      </c>
      <c r="D1656" s="46">
        <f>'Payments'!V660</f>
        <v/>
      </c>
      <c r="E1656" s="46">
        <f>IF(OR(B1656="",C1656="",D1656=""),"",D1656*100000+(C1656-DATE(2000,1,1))+ROW()/100000)</f>
        <v/>
      </c>
      <c r="F1656" s="46">
        <f>IF(E1656="","",IF(C1656&gt;WeekEndDate,"",E1656))</f>
        <v/>
      </c>
    </row>
    <row r="1657">
      <c r="A1657" t="inlineStr">
        <is>
          <t>Payments</t>
        </is>
      </c>
      <c r="B1657" s="46">
        <f>'Payments'!W661</f>
        <v/>
      </c>
      <c r="C1657" s="84">
        <f>'Payments'!U661</f>
        <v/>
      </c>
      <c r="D1657" s="46">
        <f>'Payments'!V661</f>
        <v/>
      </c>
      <c r="E1657" s="46">
        <f>IF(OR(B1657="",C1657="",D1657=""),"",D1657*100000+(C1657-DATE(2000,1,1))+ROW()/100000)</f>
        <v/>
      </c>
      <c r="F1657" s="46">
        <f>IF(E1657="","",IF(C1657&gt;WeekEndDate,"",E1657))</f>
        <v/>
      </c>
    </row>
    <row r="1658">
      <c r="A1658" t="inlineStr">
        <is>
          <t>Payments</t>
        </is>
      </c>
      <c r="B1658" s="46">
        <f>'Payments'!W662</f>
        <v/>
      </c>
      <c r="C1658" s="84">
        <f>'Payments'!U662</f>
        <v/>
      </c>
      <c r="D1658" s="46">
        <f>'Payments'!V662</f>
        <v/>
      </c>
      <c r="E1658" s="46">
        <f>IF(OR(B1658="",C1658="",D1658=""),"",D1658*100000+(C1658-DATE(2000,1,1))+ROW()/100000)</f>
        <v/>
      </c>
      <c r="F1658" s="46">
        <f>IF(E1658="","",IF(C1658&gt;WeekEndDate,"",E1658))</f>
        <v/>
      </c>
    </row>
    <row r="1659">
      <c r="A1659" t="inlineStr">
        <is>
          <t>Payments</t>
        </is>
      </c>
      <c r="B1659" s="46">
        <f>'Payments'!W663</f>
        <v/>
      </c>
      <c r="C1659" s="84">
        <f>'Payments'!U663</f>
        <v/>
      </c>
      <c r="D1659" s="46">
        <f>'Payments'!V663</f>
        <v/>
      </c>
      <c r="E1659" s="46">
        <f>IF(OR(B1659="",C1659="",D1659=""),"",D1659*100000+(C1659-DATE(2000,1,1))+ROW()/100000)</f>
        <v/>
      </c>
      <c r="F1659" s="46">
        <f>IF(E1659="","",IF(C1659&gt;WeekEndDate,"",E1659))</f>
        <v/>
      </c>
    </row>
    <row r="1660">
      <c r="A1660" t="inlineStr">
        <is>
          <t>Payments</t>
        </is>
      </c>
      <c r="B1660" s="46">
        <f>'Payments'!W664</f>
        <v/>
      </c>
      <c r="C1660" s="84">
        <f>'Payments'!U664</f>
        <v/>
      </c>
      <c r="D1660" s="46">
        <f>'Payments'!V664</f>
        <v/>
      </c>
      <c r="E1660" s="46">
        <f>IF(OR(B1660="",C1660="",D1660=""),"",D1660*100000+(C1660-DATE(2000,1,1))+ROW()/100000)</f>
        <v/>
      </c>
      <c r="F1660" s="46">
        <f>IF(E1660="","",IF(C1660&gt;WeekEndDate,"",E1660))</f>
        <v/>
      </c>
    </row>
    <row r="1661">
      <c r="A1661" t="inlineStr">
        <is>
          <t>Payments</t>
        </is>
      </c>
      <c r="B1661" s="46">
        <f>'Payments'!W665</f>
        <v/>
      </c>
      <c r="C1661" s="84">
        <f>'Payments'!U665</f>
        <v/>
      </c>
      <c r="D1661" s="46">
        <f>'Payments'!V665</f>
        <v/>
      </c>
      <c r="E1661" s="46">
        <f>IF(OR(B1661="",C1661="",D1661=""),"",D1661*100000+(C1661-DATE(2000,1,1))+ROW()/100000)</f>
        <v/>
      </c>
      <c r="F1661" s="46">
        <f>IF(E1661="","",IF(C1661&gt;WeekEndDate,"",E1661))</f>
        <v/>
      </c>
    </row>
    <row r="1662">
      <c r="A1662" t="inlineStr">
        <is>
          <t>Payments</t>
        </is>
      </c>
      <c r="B1662" s="46">
        <f>'Payments'!W666</f>
        <v/>
      </c>
      <c r="C1662" s="84">
        <f>'Payments'!U666</f>
        <v/>
      </c>
      <c r="D1662" s="46">
        <f>'Payments'!V666</f>
        <v/>
      </c>
      <c r="E1662" s="46">
        <f>IF(OR(B1662="",C1662="",D1662=""),"",D1662*100000+(C1662-DATE(2000,1,1))+ROW()/100000)</f>
        <v/>
      </c>
      <c r="F1662" s="46">
        <f>IF(E1662="","",IF(C1662&gt;WeekEndDate,"",E1662))</f>
        <v/>
      </c>
    </row>
    <row r="1663">
      <c r="A1663" t="inlineStr">
        <is>
          <t>Payments</t>
        </is>
      </c>
      <c r="B1663" s="46">
        <f>'Payments'!W667</f>
        <v/>
      </c>
      <c r="C1663" s="84">
        <f>'Payments'!U667</f>
        <v/>
      </c>
      <c r="D1663" s="46">
        <f>'Payments'!V667</f>
        <v/>
      </c>
      <c r="E1663" s="46">
        <f>IF(OR(B1663="",C1663="",D1663=""),"",D1663*100000+(C1663-DATE(2000,1,1))+ROW()/100000)</f>
        <v/>
      </c>
      <c r="F1663" s="46">
        <f>IF(E1663="","",IF(C1663&gt;WeekEndDate,"",E1663))</f>
        <v/>
      </c>
    </row>
    <row r="1664">
      <c r="A1664" t="inlineStr">
        <is>
          <t>Payments</t>
        </is>
      </c>
      <c r="B1664" s="46">
        <f>'Payments'!W668</f>
        <v/>
      </c>
      <c r="C1664" s="84">
        <f>'Payments'!U668</f>
        <v/>
      </c>
      <c r="D1664" s="46">
        <f>'Payments'!V668</f>
        <v/>
      </c>
      <c r="E1664" s="46">
        <f>IF(OR(B1664="",C1664="",D1664=""),"",D1664*100000+(C1664-DATE(2000,1,1))+ROW()/100000)</f>
        <v/>
      </c>
      <c r="F1664" s="46">
        <f>IF(E1664="","",IF(C1664&gt;WeekEndDate,"",E1664))</f>
        <v/>
      </c>
    </row>
    <row r="1665">
      <c r="A1665" t="inlineStr">
        <is>
          <t>Payments</t>
        </is>
      </c>
      <c r="B1665" s="46">
        <f>'Payments'!W669</f>
        <v/>
      </c>
      <c r="C1665" s="84">
        <f>'Payments'!U669</f>
        <v/>
      </c>
      <c r="D1665" s="46">
        <f>'Payments'!V669</f>
        <v/>
      </c>
      <c r="E1665" s="46">
        <f>IF(OR(B1665="",C1665="",D1665=""),"",D1665*100000+(C1665-DATE(2000,1,1))+ROW()/100000)</f>
        <v/>
      </c>
      <c r="F1665" s="46">
        <f>IF(E1665="","",IF(C1665&gt;WeekEndDate,"",E1665))</f>
        <v/>
      </c>
    </row>
    <row r="1666">
      <c r="A1666" t="inlineStr">
        <is>
          <t>Payments</t>
        </is>
      </c>
      <c r="B1666" s="46">
        <f>'Payments'!W670</f>
        <v/>
      </c>
      <c r="C1666" s="84">
        <f>'Payments'!U670</f>
        <v/>
      </c>
      <c r="D1666" s="46">
        <f>'Payments'!V670</f>
        <v/>
      </c>
      <c r="E1666" s="46">
        <f>IF(OR(B1666="",C1666="",D1666=""),"",D1666*100000+(C1666-DATE(2000,1,1))+ROW()/100000)</f>
        <v/>
      </c>
      <c r="F1666" s="46">
        <f>IF(E1666="","",IF(C1666&gt;WeekEndDate,"",E1666))</f>
        <v/>
      </c>
    </row>
    <row r="1667">
      <c r="A1667" t="inlineStr">
        <is>
          <t>Payments</t>
        </is>
      </c>
      <c r="B1667" s="46">
        <f>'Payments'!W671</f>
        <v/>
      </c>
      <c r="C1667" s="84">
        <f>'Payments'!U671</f>
        <v/>
      </c>
      <c r="D1667" s="46">
        <f>'Payments'!V671</f>
        <v/>
      </c>
      <c r="E1667" s="46">
        <f>IF(OR(B1667="",C1667="",D1667=""),"",D1667*100000+(C1667-DATE(2000,1,1))+ROW()/100000)</f>
        <v/>
      </c>
      <c r="F1667" s="46">
        <f>IF(E1667="","",IF(C1667&gt;WeekEndDate,"",E1667))</f>
        <v/>
      </c>
    </row>
    <row r="1668">
      <c r="A1668" t="inlineStr">
        <is>
          <t>Payments</t>
        </is>
      </c>
      <c r="B1668" s="46">
        <f>'Payments'!W672</f>
        <v/>
      </c>
      <c r="C1668" s="84">
        <f>'Payments'!U672</f>
        <v/>
      </c>
      <c r="D1668" s="46">
        <f>'Payments'!V672</f>
        <v/>
      </c>
      <c r="E1668" s="46">
        <f>IF(OR(B1668="",C1668="",D1668=""),"",D1668*100000+(C1668-DATE(2000,1,1))+ROW()/100000)</f>
        <v/>
      </c>
      <c r="F1668" s="46">
        <f>IF(E1668="","",IF(C1668&gt;WeekEndDate,"",E1668))</f>
        <v/>
      </c>
    </row>
    <row r="1669">
      <c r="A1669" t="inlineStr">
        <is>
          <t>Payments</t>
        </is>
      </c>
      <c r="B1669" s="46">
        <f>'Payments'!W673</f>
        <v/>
      </c>
      <c r="C1669" s="84">
        <f>'Payments'!U673</f>
        <v/>
      </c>
      <c r="D1669" s="46">
        <f>'Payments'!V673</f>
        <v/>
      </c>
      <c r="E1669" s="46">
        <f>IF(OR(B1669="",C1669="",D1669=""),"",D1669*100000+(C1669-DATE(2000,1,1))+ROW()/100000)</f>
        <v/>
      </c>
      <c r="F1669" s="46">
        <f>IF(E1669="","",IF(C1669&gt;WeekEndDate,"",E1669))</f>
        <v/>
      </c>
    </row>
    <row r="1670">
      <c r="A1670" t="inlineStr">
        <is>
          <t>Payments</t>
        </is>
      </c>
      <c r="B1670" s="46">
        <f>'Payments'!W674</f>
        <v/>
      </c>
      <c r="C1670" s="84">
        <f>'Payments'!U674</f>
        <v/>
      </c>
      <c r="D1670" s="46">
        <f>'Payments'!V674</f>
        <v/>
      </c>
      <c r="E1670" s="46">
        <f>IF(OR(B1670="",C1670="",D1670=""),"",D1670*100000+(C1670-DATE(2000,1,1))+ROW()/100000)</f>
        <v/>
      </c>
      <c r="F1670" s="46">
        <f>IF(E1670="","",IF(C1670&gt;WeekEndDate,"",E1670))</f>
        <v/>
      </c>
    </row>
    <row r="1671">
      <c r="A1671" t="inlineStr">
        <is>
          <t>Payments</t>
        </is>
      </c>
      <c r="B1671" s="46">
        <f>'Payments'!W675</f>
        <v/>
      </c>
      <c r="C1671" s="84">
        <f>'Payments'!U675</f>
        <v/>
      </c>
      <c r="D1671" s="46">
        <f>'Payments'!V675</f>
        <v/>
      </c>
      <c r="E1671" s="46">
        <f>IF(OR(B1671="",C1671="",D1671=""),"",D1671*100000+(C1671-DATE(2000,1,1))+ROW()/100000)</f>
        <v/>
      </c>
      <c r="F1671" s="46">
        <f>IF(E1671="","",IF(C1671&gt;WeekEndDate,"",E1671))</f>
        <v/>
      </c>
    </row>
    <row r="1672">
      <c r="A1672" t="inlineStr">
        <is>
          <t>Payments</t>
        </is>
      </c>
      <c r="B1672" s="46">
        <f>'Payments'!W676</f>
        <v/>
      </c>
      <c r="C1672" s="84">
        <f>'Payments'!U676</f>
        <v/>
      </c>
      <c r="D1672" s="46">
        <f>'Payments'!V676</f>
        <v/>
      </c>
      <c r="E1672" s="46">
        <f>IF(OR(B1672="",C1672="",D1672=""),"",D1672*100000+(C1672-DATE(2000,1,1))+ROW()/100000)</f>
        <v/>
      </c>
      <c r="F1672" s="46">
        <f>IF(E1672="","",IF(C1672&gt;WeekEndDate,"",E1672))</f>
        <v/>
      </c>
    </row>
    <row r="1673">
      <c r="A1673" t="inlineStr">
        <is>
          <t>Payments</t>
        </is>
      </c>
      <c r="B1673" s="46">
        <f>'Payments'!W677</f>
        <v/>
      </c>
      <c r="C1673" s="84">
        <f>'Payments'!U677</f>
        <v/>
      </c>
      <c r="D1673" s="46">
        <f>'Payments'!V677</f>
        <v/>
      </c>
      <c r="E1673" s="46">
        <f>IF(OR(B1673="",C1673="",D1673=""),"",D1673*100000+(C1673-DATE(2000,1,1))+ROW()/100000)</f>
        <v/>
      </c>
      <c r="F1673" s="46">
        <f>IF(E1673="","",IF(C1673&gt;WeekEndDate,"",E1673))</f>
        <v/>
      </c>
    </row>
    <row r="1674">
      <c r="A1674" t="inlineStr">
        <is>
          <t>Payments</t>
        </is>
      </c>
      <c r="B1674" s="46">
        <f>'Payments'!W678</f>
        <v/>
      </c>
      <c r="C1674" s="84">
        <f>'Payments'!U678</f>
        <v/>
      </c>
      <c r="D1674" s="46">
        <f>'Payments'!V678</f>
        <v/>
      </c>
      <c r="E1674" s="46">
        <f>IF(OR(B1674="",C1674="",D1674=""),"",D1674*100000+(C1674-DATE(2000,1,1))+ROW()/100000)</f>
        <v/>
      </c>
      <c r="F1674" s="46">
        <f>IF(E1674="","",IF(C1674&gt;WeekEndDate,"",E1674))</f>
        <v/>
      </c>
    </row>
    <row r="1675">
      <c r="A1675" t="inlineStr">
        <is>
          <t>Payments</t>
        </is>
      </c>
      <c r="B1675" s="46">
        <f>'Payments'!W679</f>
        <v/>
      </c>
      <c r="C1675" s="84">
        <f>'Payments'!U679</f>
        <v/>
      </c>
      <c r="D1675" s="46">
        <f>'Payments'!V679</f>
        <v/>
      </c>
      <c r="E1675" s="46">
        <f>IF(OR(B1675="",C1675="",D1675=""),"",D1675*100000+(C1675-DATE(2000,1,1))+ROW()/100000)</f>
        <v/>
      </c>
      <c r="F1675" s="46">
        <f>IF(E1675="","",IF(C1675&gt;WeekEndDate,"",E1675))</f>
        <v/>
      </c>
    </row>
    <row r="1676">
      <c r="A1676" t="inlineStr">
        <is>
          <t>Payments</t>
        </is>
      </c>
      <c r="B1676" s="46">
        <f>'Payments'!W680</f>
        <v/>
      </c>
      <c r="C1676" s="84">
        <f>'Payments'!U680</f>
        <v/>
      </c>
      <c r="D1676" s="46">
        <f>'Payments'!V680</f>
        <v/>
      </c>
      <c r="E1676" s="46">
        <f>IF(OR(B1676="",C1676="",D1676=""),"",D1676*100000+(C1676-DATE(2000,1,1))+ROW()/100000)</f>
        <v/>
      </c>
      <c r="F1676" s="46">
        <f>IF(E1676="","",IF(C1676&gt;WeekEndDate,"",E1676))</f>
        <v/>
      </c>
    </row>
    <row r="1677">
      <c r="A1677" t="inlineStr">
        <is>
          <t>Payments</t>
        </is>
      </c>
      <c r="B1677" s="46">
        <f>'Payments'!W681</f>
        <v/>
      </c>
      <c r="C1677" s="84">
        <f>'Payments'!U681</f>
        <v/>
      </c>
      <c r="D1677" s="46">
        <f>'Payments'!V681</f>
        <v/>
      </c>
      <c r="E1677" s="46">
        <f>IF(OR(B1677="",C1677="",D1677=""),"",D1677*100000+(C1677-DATE(2000,1,1))+ROW()/100000)</f>
        <v/>
      </c>
      <c r="F1677" s="46">
        <f>IF(E1677="","",IF(C1677&gt;WeekEndDate,"",E1677))</f>
        <v/>
      </c>
    </row>
    <row r="1678">
      <c r="A1678" t="inlineStr">
        <is>
          <t>Payments</t>
        </is>
      </c>
      <c r="B1678" s="46">
        <f>'Payments'!W682</f>
        <v/>
      </c>
      <c r="C1678" s="84">
        <f>'Payments'!U682</f>
        <v/>
      </c>
      <c r="D1678" s="46">
        <f>'Payments'!V682</f>
        <v/>
      </c>
      <c r="E1678" s="46">
        <f>IF(OR(B1678="",C1678="",D1678=""),"",D1678*100000+(C1678-DATE(2000,1,1))+ROW()/100000)</f>
        <v/>
      </c>
      <c r="F1678" s="46">
        <f>IF(E1678="","",IF(C1678&gt;WeekEndDate,"",E1678))</f>
        <v/>
      </c>
    </row>
    <row r="1679">
      <c r="A1679" t="inlineStr">
        <is>
          <t>Payments</t>
        </is>
      </c>
      <c r="B1679" s="46">
        <f>'Payments'!W683</f>
        <v/>
      </c>
      <c r="C1679" s="84">
        <f>'Payments'!U683</f>
        <v/>
      </c>
      <c r="D1679" s="46">
        <f>'Payments'!V683</f>
        <v/>
      </c>
      <c r="E1679" s="46">
        <f>IF(OR(B1679="",C1679="",D1679=""),"",D1679*100000+(C1679-DATE(2000,1,1))+ROW()/100000)</f>
        <v/>
      </c>
      <c r="F1679" s="46">
        <f>IF(E1679="","",IF(C1679&gt;WeekEndDate,"",E1679))</f>
        <v/>
      </c>
    </row>
    <row r="1680">
      <c r="A1680" t="inlineStr">
        <is>
          <t>Payments</t>
        </is>
      </c>
      <c r="B1680" s="46">
        <f>'Payments'!W684</f>
        <v/>
      </c>
      <c r="C1680" s="84">
        <f>'Payments'!U684</f>
        <v/>
      </c>
      <c r="D1680" s="46">
        <f>'Payments'!V684</f>
        <v/>
      </c>
      <c r="E1680" s="46">
        <f>IF(OR(B1680="",C1680="",D1680=""),"",D1680*100000+(C1680-DATE(2000,1,1))+ROW()/100000)</f>
        <v/>
      </c>
      <c r="F1680" s="46">
        <f>IF(E1680="","",IF(C1680&gt;WeekEndDate,"",E1680))</f>
        <v/>
      </c>
    </row>
    <row r="1681">
      <c r="A1681" t="inlineStr">
        <is>
          <t>Payments</t>
        </is>
      </c>
      <c r="B1681" s="46">
        <f>'Payments'!W685</f>
        <v/>
      </c>
      <c r="C1681" s="84">
        <f>'Payments'!U685</f>
        <v/>
      </c>
      <c r="D1681" s="46">
        <f>'Payments'!V685</f>
        <v/>
      </c>
      <c r="E1681" s="46">
        <f>IF(OR(B1681="",C1681="",D1681=""),"",D1681*100000+(C1681-DATE(2000,1,1))+ROW()/100000)</f>
        <v/>
      </c>
      <c r="F1681" s="46">
        <f>IF(E1681="","",IF(C1681&gt;WeekEndDate,"",E1681))</f>
        <v/>
      </c>
    </row>
    <row r="1682">
      <c r="A1682" t="inlineStr">
        <is>
          <t>Payments</t>
        </is>
      </c>
      <c r="B1682" s="46">
        <f>'Payments'!W686</f>
        <v/>
      </c>
      <c r="C1682" s="84">
        <f>'Payments'!U686</f>
        <v/>
      </c>
      <c r="D1682" s="46">
        <f>'Payments'!V686</f>
        <v/>
      </c>
      <c r="E1682" s="46">
        <f>IF(OR(B1682="",C1682="",D1682=""),"",D1682*100000+(C1682-DATE(2000,1,1))+ROW()/100000)</f>
        <v/>
      </c>
      <c r="F1682" s="46">
        <f>IF(E1682="","",IF(C1682&gt;WeekEndDate,"",E1682))</f>
        <v/>
      </c>
    </row>
    <row r="1683">
      <c r="A1683" t="inlineStr">
        <is>
          <t>Payments</t>
        </is>
      </c>
      <c r="B1683" s="46">
        <f>'Payments'!W687</f>
        <v/>
      </c>
      <c r="C1683" s="84">
        <f>'Payments'!U687</f>
        <v/>
      </c>
      <c r="D1683" s="46">
        <f>'Payments'!V687</f>
        <v/>
      </c>
      <c r="E1683" s="46">
        <f>IF(OR(B1683="",C1683="",D1683=""),"",D1683*100000+(C1683-DATE(2000,1,1))+ROW()/100000)</f>
        <v/>
      </c>
      <c r="F1683" s="46">
        <f>IF(E1683="","",IF(C1683&gt;WeekEndDate,"",E1683))</f>
        <v/>
      </c>
    </row>
    <row r="1684">
      <c r="A1684" t="inlineStr">
        <is>
          <t>Payments</t>
        </is>
      </c>
      <c r="B1684" s="46">
        <f>'Payments'!W688</f>
        <v/>
      </c>
      <c r="C1684" s="84">
        <f>'Payments'!U688</f>
        <v/>
      </c>
      <c r="D1684" s="46">
        <f>'Payments'!V688</f>
        <v/>
      </c>
      <c r="E1684" s="46">
        <f>IF(OR(B1684="",C1684="",D1684=""),"",D1684*100000+(C1684-DATE(2000,1,1))+ROW()/100000)</f>
        <v/>
      </c>
      <c r="F1684" s="46">
        <f>IF(E1684="","",IF(C1684&gt;WeekEndDate,"",E1684))</f>
        <v/>
      </c>
    </row>
    <row r="1685">
      <c r="A1685" t="inlineStr">
        <is>
          <t>Payments</t>
        </is>
      </c>
      <c r="B1685" s="46">
        <f>'Payments'!W689</f>
        <v/>
      </c>
      <c r="C1685" s="84">
        <f>'Payments'!U689</f>
        <v/>
      </c>
      <c r="D1685" s="46">
        <f>'Payments'!V689</f>
        <v/>
      </c>
      <c r="E1685" s="46">
        <f>IF(OR(B1685="",C1685="",D1685=""),"",D1685*100000+(C1685-DATE(2000,1,1))+ROW()/100000)</f>
        <v/>
      </c>
      <c r="F1685" s="46">
        <f>IF(E1685="","",IF(C1685&gt;WeekEndDate,"",E1685))</f>
        <v/>
      </c>
    </row>
    <row r="1686">
      <c r="A1686" t="inlineStr">
        <is>
          <t>Payments</t>
        </is>
      </c>
      <c r="B1686" s="46">
        <f>'Payments'!W690</f>
        <v/>
      </c>
      <c r="C1686" s="84">
        <f>'Payments'!U690</f>
        <v/>
      </c>
      <c r="D1686" s="46">
        <f>'Payments'!V690</f>
        <v/>
      </c>
      <c r="E1686" s="46">
        <f>IF(OR(B1686="",C1686="",D1686=""),"",D1686*100000+(C1686-DATE(2000,1,1))+ROW()/100000)</f>
        <v/>
      </c>
      <c r="F1686" s="46">
        <f>IF(E1686="","",IF(C1686&gt;WeekEndDate,"",E1686))</f>
        <v/>
      </c>
    </row>
    <row r="1687">
      <c r="A1687" t="inlineStr">
        <is>
          <t>Payments</t>
        </is>
      </c>
      <c r="B1687" s="46">
        <f>'Payments'!W691</f>
        <v/>
      </c>
      <c r="C1687" s="84">
        <f>'Payments'!U691</f>
        <v/>
      </c>
      <c r="D1687" s="46">
        <f>'Payments'!V691</f>
        <v/>
      </c>
      <c r="E1687" s="46">
        <f>IF(OR(B1687="",C1687="",D1687=""),"",D1687*100000+(C1687-DATE(2000,1,1))+ROW()/100000)</f>
        <v/>
      </c>
      <c r="F1687" s="46">
        <f>IF(E1687="","",IF(C1687&gt;WeekEndDate,"",E1687))</f>
        <v/>
      </c>
    </row>
    <row r="1688">
      <c r="A1688" t="inlineStr">
        <is>
          <t>Payments</t>
        </is>
      </c>
      <c r="B1688" s="46">
        <f>'Payments'!W692</f>
        <v/>
      </c>
      <c r="C1688" s="84">
        <f>'Payments'!U692</f>
        <v/>
      </c>
      <c r="D1688" s="46">
        <f>'Payments'!V692</f>
        <v/>
      </c>
      <c r="E1688" s="46">
        <f>IF(OR(B1688="",C1688="",D1688=""),"",D1688*100000+(C1688-DATE(2000,1,1))+ROW()/100000)</f>
        <v/>
      </c>
      <c r="F1688" s="46">
        <f>IF(E1688="","",IF(C1688&gt;WeekEndDate,"",E1688))</f>
        <v/>
      </c>
    </row>
    <row r="1689">
      <c r="A1689" t="inlineStr">
        <is>
          <t>Payments</t>
        </is>
      </c>
      <c r="B1689" s="46">
        <f>'Payments'!W693</f>
        <v/>
      </c>
      <c r="C1689" s="84">
        <f>'Payments'!U693</f>
        <v/>
      </c>
      <c r="D1689" s="46">
        <f>'Payments'!V693</f>
        <v/>
      </c>
      <c r="E1689" s="46">
        <f>IF(OR(B1689="",C1689="",D1689=""),"",D1689*100000+(C1689-DATE(2000,1,1))+ROW()/100000)</f>
        <v/>
      </c>
      <c r="F1689" s="46">
        <f>IF(E1689="","",IF(C1689&gt;WeekEndDate,"",E1689))</f>
        <v/>
      </c>
    </row>
    <row r="1690">
      <c r="A1690" t="inlineStr">
        <is>
          <t>Payments</t>
        </is>
      </c>
      <c r="B1690" s="46">
        <f>'Payments'!W694</f>
        <v/>
      </c>
      <c r="C1690" s="84">
        <f>'Payments'!U694</f>
        <v/>
      </c>
      <c r="D1690" s="46">
        <f>'Payments'!V694</f>
        <v/>
      </c>
      <c r="E1690" s="46">
        <f>IF(OR(B1690="",C1690="",D1690=""),"",D1690*100000+(C1690-DATE(2000,1,1))+ROW()/100000)</f>
        <v/>
      </c>
      <c r="F1690" s="46">
        <f>IF(E1690="","",IF(C1690&gt;WeekEndDate,"",E1690))</f>
        <v/>
      </c>
    </row>
    <row r="1691">
      <c r="A1691" t="inlineStr">
        <is>
          <t>Payments</t>
        </is>
      </c>
      <c r="B1691" s="46">
        <f>'Payments'!W695</f>
        <v/>
      </c>
      <c r="C1691" s="84">
        <f>'Payments'!U695</f>
        <v/>
      </c>
      <c r="D1691" s="46">
        <f>'Payments'!V695</f>
        <v/>
      </c>
      <c r="E1691" s="46">
        <f>IF(OR(B1691="",C1691="",D1691=""),"",D1691*100000+(C1691-DATE(2000,1,1))+ROW()/100000)</f>
        <v/>
      </c>
      <c r="F1691" s="46">
        <f>IF(E1691="","",IF(C1691&gt;WeekEndDate,"",E1691))</f>
        <v/>
      </c>
    </row>
    <row r="1692">
      <c r="A1692" t="inlineStr">
        <is>
          <t>Payments</t>
        </is>
      </c>
      <c r="B1692" s="46">
        <f>'Payments'!W696</f>
        <v/>
      </c>
      <c r="C1692" s="84">
        <f>'Payments'!U696</f>
        <v/>
      </c>
      <c r="D1692" s="46">
        <f>'Payments'!V696</f>
        <v/>
      </c>
      <c r="E1692" s="46">
        <f>IF(OR(B1692="",C1692="",D1692=""),"",D1692*100000+(C1692-DATE(2000,1,1))+ROW()/100000)</f>
        <v/>
      </c>
      <c r="F1692" s="46">
        <f>IF(E1692="","",IF(C1692&gt;WeekEndDate,"",E1692))</f>
        <v/>
      </c>
    </row>
    <row r="1693">
      <c r="A1693" t="inlineStr">
        <is>
          <t>Payments</t>
        </is>
      </c>
      <c r="B1693" s="46">
        <f>'Payments'!W697</f>
        <v/>
      </c>
      <c r="C1693" s="84">
        <f>'Payments'!U697</f>
        <v/>
      </c>
      <c r="D1693" s="46">
        <f>'Payments'!V697</f>
        <v/>
      </c>
      <c r="E1693" s="46">
        <f>IF(OR(B1693="",C1693="",D1693=""),"",D1693*100000+(C1693-DATE(2000,1,1))+ROW()/100000)</f>
        <v/>
      </c>
      <c r="F1693" s="46">
        <f>IF(E1693="","",IF(C1693&gt;WeekEndDate,"",E1693))</f>
        <v/>
      </c>
    </row>
    <row r="1694">
      <c r="A1694" t="inlineStr">
        <is>
          <t>Payments</t>
        </is>
      </c>
      <c r="B1694" s="46">
        <f>'Payments'!W698</f>
        <v/>
      </c>
      <c r="C1694" s="84">
        <f>'Payments'!U698</f>
        <v/>
      </c>
      <c r="D1694" s="46">
        <f>'Payments'!V698</f>
        <v/>
      </c>
      <c r="E1694" s="46">
        <f>IF(OR(B1694="",C1694="",D1694=""),"",D1694*100000+(C1694-DATE(2000,1,1))+ROW()/100000)</f>
        <v/>
      </c>
      <c r="F1694" s="46">
        <f>IF(E1694="","",IF(C1694&gt;WeekEndDate,"",E1694))</f>
        <v/>
      </c>
    </row>
    <row r="1695">
      <c r="A1695" t="inlineStr">
        <is>
          <t>Payments</t>
        </is>
      </c>
      <c r="B1695" s="46">
        <f>'Payments'!W699</f>
        <v/>
      </c>
      <c r="C1695" s="84">
        <f>'Payments'!U699</f>
        <v/>
      </c>
      <c r="D1695" s="46">
        <f>'Payments'!V699</f>
        <v/>
      </c>
      <c r="E1695" s="46">
        <f>IF(OR(B1695="",C1695="",D1695=""),"",D1695*100000+(C1695-DATE(2000,1,1))+ROW()/100000)</f>
        <v/>
      </c>
      <c r="F1695" s="46">
        <f>IF(E1695="","",IF(C1695&gt;WeekEndDate,"",E1695))</f>
        <v/>
      </c>
    </row>
    <row r="1696">
      <c r="A1696" t="inlineStr">
        <is>
          <t>Payments</t>
        </is>
      </c>
      <c r="B1696" s="46">
        <f>'Payments'!W700</f>
        <v/>
      </c>
      <c r="C1696" s="84">
        <f>'Payments'!U700</f>
        <v/>
      </c>
      <c r="D1696" s="46">
        <f>'Payments'!V700</f>
        <v/>
      </c>
      <c r="E1696" s="46">
        <f>IF(OR(B1696="",C1696="",D1696=""),"",D1696*100000+(C1696-DATE(2000,1,1))+ROW()/100000)</f>
        <v/>
      </c>
      <c r="F1696" s="46">
        <f>IF(E1696="","",IF(C1696&gt;WeekEndDate,"",E1696))</f>
        <v/>
      </c>
    </row>
    <row r="1697">
      <c r="A1697" t="inlineStr">
        <is>
          <t>Payments</t>
        </is>
      </c>
      <c r="B1697" s="46">
        <f>'Payments'!W701</f>
        <v/>
      </c>
      <c r="C1697" s="84">
        <f>'Payments'!U701</f>
        <v/>
      </c>
      <c r="D1697" s="46">
        <f>'Payments'!V701</f>
        <v/>
      </c>
      <c r="E1697" s="46">
        <f>IF(OR(B1697="",C1697="",D1697=""),"",D1697*100000+(C1697-DATE(2000,1,1))+ROW()/100000)</f>
        <v/>
      </c>
      <c r="F1697" s="46">
        <f>IF(E1697="","",IF(C1697&gt;WeekEndDate,"",E1697))</f>
        <v/>
      </c>
    </row>
    <row r="1698">
      <c r="A1698" t="inlineStr">
        <is>
          <t>Payments</t>
        </is>
      </c>
      <c r="B1698" s="46">
        <f>'Payments'!W702</f>
        <v/>
      </c>
      <c r="C1698" s="84">
        <f>'Payments'!U702</f>
        <v/>
      </c>
      <c r="D1698" s="46">
        <f>'Payments'!V702</f>
        <v/>
      </c>
      <c r="E1698" s="46">
        <f>IF(OR(B1698="",C1698="",D1698=""),"",D1698*100000+(C1698-DATE(2000,1,1))+ROW()/100000)</f>
        <v/>
      </c>
      <c r="F1698" s="46">
        <f>IF(E1698="","",IF(C1698&gt;WeekEndDate,"",E1698))</f>
        <v/>
      </c>
    </row>
    <row r="1699">
      <c r="A1699" t="inlineStr">
        <is>
          <t>Payments</t>
        </is>
      </c>
      <c r="B1699" s="46">
        <f>'Payments'!W703</f>
        <v/>
      </c>
      <c r="C1699" s="84">
        <f>'Payments'!U703</f>
        <v/>
      </c>
      <c r="D1699" s="46">
        <f>'Payments'!V703</f>
        <v/>
      </c>
      <c r="E1699" s="46">
        <f>IF(OR(B1699="",C1699="",D1699=""),"",D1699*100000+(C1699-DATE(2000,1,1))+ROW()/100000)</f>
        <v/>
      </c>
      <c r="F1699" s="46">
        <f>IF(E1699="","",IF(C1699&gt;WeekEndDate,"",E1699))</f>
        <v/>
      </c>
    </row>
    <row r="1700">
      <c r="A1700" t="inlineStr">
        <is>
          <t>Payments</t>
        </is>
      </c>
      <c r="B1700" s="46">
        <f>'Payments'!W704</f>
        <v/>
      </c>
      <c r="C1700" s="84">
        <f>'Payments'!U704</f>
        <v/>
      </c>
      <c r="D1700" s="46">
        <f>'Payments'!V704</f>
        <v/>
      </c>
      <c r="E1700" s="46">
        <f>IF(OR(B1700="",C1700="",D1700=""),"",D1700*100000+(C1700-DATE(2000,1,1))+ROW()/100000)</f>
        <v/>
      </c>
      <c r="F1700" s="46">
        <f>IF(E1700="","",IF(C1700&gt;WeekEndDate,"",E1700))</f>
        <v/>
      </c>
    </row>
    <row r="1701">
      <c r="A1701" t="inlineStr">
        <is>
          <t>Payments</t>
        </is>
      </c>
      <c r="B1701" s="46">
        <f>'Payments'!W705</f>
        <v/>
      </c>
      <c r="C1701" s="84">
        <f>'Payments'!U705</f>
        <v/>
      </c>
      <c r="D1701" s="46">
        <f>'Payments'!V705</f>
        <v/>
      </c>
      <c r="E1701" s="46">
        <f>IF(OR(B1701="",C1701="",D1701=""),"",D1701*100000+(C1701-DATE(2000,1,1))+ROW()/100000)</f>
        <v/>
      </c>
      <c r="F1701" s="46">
        <f>IF(E1701="","",IF(C1701&gt;WeekEndDate,"",E1701))</f>
        <v/>
      </c>
    </row>
    <row r="1702">
      <c r="A1702" t="inlineStr">
        <is>
          <t>Payments</t>
        </is>
      </c>
      <c r="B1702" s="46">
        <f>'Payments'!W706</f>
        <v/>
      </c>
      <c r="C1702" s="84">
        <f>'Payments'!U706</f>
        <v/>
      </c>
      <c r="D1702" s="46">
        <f>'Payments'!V706</f>
        <v/>
      </c>
      <c r="E1702" s="46">
        <f>IF(OR(B1702="",C1702="",D1702=""),"",D1702*100000+(C1702-DATE(2000,1,1))+ROW()/100000)</f>
        <v/>
      </c>
      <c r="F1702" s="46">
        <f>IF(E1702="","",IF(C1702&gt;WeekEndDate,"",E1702))</f>
        <v/>
      </c>
    </row>
    <row r="1703">
      <c r="A1703" t="inlineStr">
        <is>
          <t>Payments</t>
        </is>
      </c>
      <c r="B1703" s="46">
        <f>'Payments'!W707</f>
        <v/>
      </c>
      <c r="C1703" s="84">
        <f>'Payments'!U707</f>
        <v/>
      </c>
      <c r="D1703" s="46">
        <f>'Payments'!V707</f>
        <v/>
      </c>
      <c r="E1703" s="46">
        <f>IF(OR(B1703="",C1703="",D1703=""),"",D1703*100000+(C1703-DATE(2000,1,1))+ROW()/100000)</f>
        <v/>
      </c>
      <c r="F1703" s="46">
        <f>IF(E1703="","",IF(C1703&gt;WeekEndDate,"",E1703))</f>
        <v/>
      </c>
    </row>
    <row r="1704">
      <c r="A1704" t="inlineStr">
        <is>
          <t>Payments</t>
        </is>
      </c>
      <c r="B1704" s="46">
        <f>'Payments'!W708</f>
        <v/>
      </c>
      <c r="C1704" s="84">
        <f>'Payments'!U708</f>
        <v/>
      </c>
      <c r="D1704" s="46">
        <f>'Payments'!V708</f>
        <v/>
      </c>
      <c r="E1704" s="46">
        <f>IF(OR(B1704="",C1704="",D1704=""),"",D1704*100000+(C1704-DATE(2000,1,1))+ROW()/100000)</f>
        <v/>
      </c>
      <c r="F1704" s="46">
        <f>IF(E1704="","",IF(C1704&gt;WeekEndDate,"",E1704))</f>
        <v/>
      </c>
    </row>
    <row r="1705">
      <c r="A1705" t="inlineStr">
        <is>
          <t>Payments</t>
        </is>
      </c>
      <c r="B1705" s="46">
        <f>'Payments'!W709</f>
        <v/>
      </c>
      <c r="C1705" s="84">
        <f>'Payments'!U709</f>
        <v/>
      </c>
      <c r="D1705" s="46">
        <f>'Payments'!V709</f>
        <v/>
      </c>
      <c r="E1705" s="46">
        <f>IF(OR(B1705="",C1705="",D1705=""),"",D1705*100000+(C1705-DATE(2000,1,1))+ROW()/100000)</f>
        <v/>
      </c>
      <c r="F1705" s="46">
        <f>IF(E1705="","",IF(C1705&gt;WeekEndDate,"",E1705))</f>
        <v/>
      </c>
    </row>
    <row r="1706">
      <c r="A1706" t="inlineStr">
        <is>
          <t>Payments</t>
        </is>
      </c>
      <c r="B1706" s="46">
        <f>'Payments'!W710</f>
        <v/>
      </c>
      <c r="C1706" s="84">
        <f>'Payments'!U710</f>
        <v/>
      </c>
      <c r="D1706" s="46">
        <f>'Payments'!V710</f>
        <v/>
      </c>
      <c r="E1706" s="46">
        <f>IF(OR(B1706="",C1706="",D1706=""),"",D1706*100000+(C1706-DATE(2000,1,1))+ROW()/100000)</f>
        <v/>
      </c>
      <c r="F1706" s="46">
        <f>IF(E1706="","",IF(C1706&gt;WeekEndDate,"",E1706))</f>
        <v/>
      </c>
    </row>
    <row r="1707">
      <c r="A1707" t="inlineStr">
        <is>
          <t>Payments</t>
        </is>
      </c>
      <c r="B1707" s="46">
        <f>'Payments'!W711</f>
        <v/>
      </c>
      <c r="C1707" s="84">
        <f>'Payments'!U711</f>
        <v/>
      </c>
      <c r="D1707" s="46">
        <f>'Payments'!V711</f>
        <v/>
      </c>
      <c r="E1707" s="46">
        <f>IF(OR(B1707="",C1707="",D1707=""),"",D1707*100000+(C1707-DATE(2000,1,1))+ROW()/100000)</f>
        <v/>
      </c>
      <c r="F1707" s="46">
        <f>IF(E1707="","",IF(C1707&gt;WeekEndDate,"",E1707))</f>
        <v/>
      </c>
    </row>
    <row r="1708">
      <c r="A1708" t="inlineStr">
        <is>
          <t>Payments</t>
        </is>
      </c>
      <c r="B1708" s="46">
        <f>'Payments'!W712</f>
        <v/>
      </c>
      <c r="C1708" s="84">
        <f>'Payments'!U712</f>
        <v/>
      </c>
      <c r="D1708" s="46">
        <f>'Payments'!V712</f>
        <v/>
      </c>
      <c r="E1708" s="46">
        <f>IF(OR(B1708="",C1708="",D1708=""),"",D1708*100000+(C1708-DATE(2000,1,1))+ROW()/100000)</f>
        <v/>
      </c>
      <c r="F1708" s="46">
        <f>IF(E1708="","",IF(C1708&gt;WeekEndDate,"",E1708))</f>
        <v/>
      </c>
    </row>
    <row r="1709">
      <c r="A1709" t="inlineStr">
        <is>
          <t>Payments</t>
        </is>
      </c>
      <c r="B1709" s="46">
        <f>'Payments'!W713</f>
        <v/>
      </c>
      <c r="C1709" s="84">
        <f>'Payments'!U713</f>
        <v/>
      </c>
      <c r="D1709" s="46">
        <f>'Payments'!V713</f>
        <v/>
      </c>
      <c r="E1709" s="46">
        <f>IF(OR(B1709="",C1709="",D1709=""),"",D1709*100000+(C1709-DATE(2000,1,1))+ROW()/100000)</f>
        <v/>
      </c>
      <c r="F1709" s="46">
        <f>IF(E1709="","",IF(C1709&gt;WeekEndDate,"",E1709))</f>
        <v/>
      </c>
    </row>
    <row r="1710">
      <c r="A1710" t="inlineStr">
        <is>
          <t>Payments</t>
        </is>
      </c>
      <c r="B1710" s="46">
        <f>'Payments'!W714</f>
        <v/>
      </c>
      <c r="C1710" s="84">
        <f>'Payments'!U714</f>
        <v/>
      </c>
      <c r="D1710" s="46">
        <f>'Payments'!V714</f>
        <v/>
      </c>
      <c r="E1710" s="46">
        <f>IF(OR(B1710="",C1710="",D1710=""),"",D1710*100000+(C1710-DATE(2000,1,1))+ROW()/100000)</f>
        <v/>
      </c>
      <c r="F1710" s="46">
        <f>IF(E1710="","",IF(C1710&gt;WeekEndDate,"",E1710))</f>
        <v/>
      </c>
    </row>
    <row r="1711">
      <c r="A1711" t="inlineStr">
        <is>
          <t>Payments</t>
        </is>
      </c>
      <c r="B1711" s="46">
        <f>'Payments'!W715</f>
        <v/>
      </c>
      <c r="C1711" s="84">
        <f>'Payments'!U715</f>
        <v/>
      </c>
      <c r="D1711" s="46">
        <f>'Payments'!V715</f>
        <v/>
      </c>
      <c r="E1711" s="46">
        <f>IF(OR(B1711="",C1711="",D1711=""),"",D1711*100000+(C1711-DATE(2000,1,1))+ROW()/100000)</f>
        <v/>
      </c>
      <c r="F1711" s="46">
        <f>IF(E1711="","",IF(C1711&gt;WeekEndDate,"",E1711))</f>
        <v/>
      </c>
    </row>
    <row r="1712">
      <c r="A1712" t="inlineStr">
        <is>
          <t>Payments</t>
        </is>
      </c>
      <c r="B1712" s="46">
        <f>'Payments'!W716</f>
        <v/>
      </c>
      <c r="C1712" s="84">
        <f>'Payments'!U716</f>
        <v/>
      </c>
      <c r="D1712" s="46">
        <f>'Payments'!V716</f>
        <v/>
      </c>
      <c r="E1712" s="46">
        <f>IF(OR(B1712="",C1712="",D1712=""),"",D1712*100000+(C1712-DATE(2000,1,1))+ROW()/100000)</f>
        <v/>
      </c>
      <c r="F1712" s="46">
        <f>IF(E1712="","",IF(C1712&gt;WeekEndDate,"",E1712))</f>
        <v/>
      </c>
    </row>
    <row r="1713">
      <c r="A1713" t="inlineStr">
        <is>
          <t>Payments</t>
        </is>
      </c>
      <c r="B1713" s="46">
        <f>'Payments'!W717</f>
        <v/>
      </c>
      <c r="C1713" s="84">
        <f>'Payments'!U717</f>
        <v/>
      </c>
      <c r="D1713" s="46">
        <f>'Payments'!V717</f>
        <v/>
      </c>
      <c r="E1713" s="46">
        <f>IF(OR(B1713="",C1713="",D1713=""),"",D1713*100000+(C1713-DATE(2000,1,1))+ROW()/100000)</f>
        <v/>
      </c>
      <c r="F1713" s="46">
        <f>IF(E1713="","",IF(C1713&gt;WeekEndDate,"",E1713))</f>
        <v/>
      </c>
    </row>
    <row r="1714">
      <c r="A1714" t="inlineStr">
        <is>
          <t>Payments</t>
        </is>
      </c>
      <c r="B1714" s="46">
        <f>'Payments'!W718</f>
        <v/>
      </c>
      <c r="C1714" s="84">
        <f>'Payments'!U718</f>
        <v/>
      </c>
      <c r="D1714" s="46">
        <f>'Payments'!V718</f>
        <v/>
      </c>
      <c r="E1714" s="46">
        <f>IF(OR(B1714="",C1714="",D1714=""),"",D1714*100000+(C1714-DATE(2000,1,1))+ROW()/100000)</f>
        <v/>
      </c>
      <c r="F1714" s="46">
        <f>IF(E1714="","",IF(C1714&gt;WeekEndDate,"",E1714))</f>
        <v/>
      </c>
    </row>
    <row r="1715">
      <c r="A1715" t="inlineStr">
        <is>
          <t>Payments</t>
        </is>
      </c>
      <c r="B1715" s="46">
        <f>'Payments'!W719</f>
        <v/>
      </c>
      <c r="C1715" s="84">
        <f>'Payments'!U719</f>
        <v/>
      </c>
      <c r="D1715" s="46">
        <f>'Payments'!V719</f>
        <v/>
      </c>
      <c r="E1715" s="46">
        <f>IF(OR(B1715="",C1715="",D1715=""),"",D1715*100000+(C1715-DATE(2000,1,1))+ROW()/100000)</f>
        <v/>
      </c>
      <c r="F1715" s="46">
        <f>IF(E1715="","",IF(C1715&gt;WeekEndDate,"",E1715))</f>
        <v/>
      </c>
    </row>
    <row r="1716">
      <c r="A1716" t="inlineStr">
        <is>
          <t>Payments</t>
        </is>
      </c>
      <c r="B1716" s="46">
        <f>'Payments'!W720</f>
        <v/>
      </c>
      <c r="C1716" s="84">
        <f>'Payments'!U720</f>
        <v/>
      </c>
      <c r="D1716" s="46">
        <f>'Payments'!V720</f>
        <v/>
      </c>
      <c r="E1716" s="46">
        <f>IF(OR(B1716="",C1716="",D1716=""),"",D1716*100000+(C1716-DATE(2000,1,1))+ROW()/100000)</f>
        <v/>
      </c>
      <c r="F1716" s="46">
        <f>IF(E1716="","",IF(C1716&gt;WeekEndDate,"",E1716))</f>
        <v/>
      </c>
    </row>
    <row r="1717">
      <c r="A1717" t="inlineStr">
        <is>
          <t>Payments</t>
        </is>
      </c>
      <c r="B1717" s="46">
        <f>'Payments'!W721</f>
        <v/>
      </c>
      <c r="C1717" s="84">
        <f>'Payments'!U721</f>
        <v/>
      </c>
      <c r="D1717" s="46">
        <f>'Payments'!V721</f>
        <v/>
      </c>
      <c r="E1717" s="46">
        <f>IF(OR(B1717="",C1717="",D1717=""),"",D1717*100000+(C1717-DATE(2000,1,1))+ROW()/100000)</f>
        <v/>
      </c>
      <c r="F1717" s="46">
        <f>IF(E1717="","",IF(C1717&gt;WeekEndDate,"",E1717))</f>
        <v/>
      </c>
    </row>
    <row r="1718">
      <c r="A1718" t="inlineStr">
        <is>
          <t>Payments</t>
        </is>
      </c>
      <c r="B1718" s="46">
        <f>'Payments'!W722</f>
        <v/>
      </c>
      <c r="C1718" s="84">
        <f>'Payments'!U722</f>
        <v/>
      </c>
      <c r="D1718" s="46">
        <f>'Payments'!V722</f>
        <v/>
      </c>
      <c r="E1718" s="46">
        <f>IF(OR(B1718="",C1718="",D1718=""),"",D1718*100000+(C1718-DATE(2000,1,1))+ROW()/100000)</f>
        <v/>
      </c>
      <c r="F1718" s="46">
        <f>IF(E1718="","",IF(C1718&gt;WeekEndDate,"",E1718))</f>
        <v/>
      </c>
    </row>
    <row r="1719">
      <c r="A1719" t="inlineStr">
        <is>
          <t>Payments</t>
        </is>
      </c>
      <c r="B1719" s="46">
        <f>'Payments'!W723</f>
        <v/>
      </c>
      <c r="C1719" s="84">
        <f>'Payments'!U723</f>
        <v/>
      </c>
      <c r="D1719" s="46">
        <f>'Payments'!V723</f>
        <v/>
      </c>
      <c r="E1719" s="46">
        <f>IF(OR(B1719="",C1719="",D1719=""),"",D1719*100000+(C1719-DATE(2000,1,1))+ROW()/100000)</f>
        <v/>
      </c>
      <c r="F1719" s="46">
        <f>IF(E1719="","",IF(C1719&gt;WeekEndDate,"",E1719))</f>
        <v/>
      </c>
    </row>
    <row r="1720">
      <c r="A1720" t="inlineStr">
        <is>
          <t>Payments</t>
        </is>
      </c>
      <c r="B1720" s="46">
        <f>'Payments'!W724</f>
        <v/>
      </c>
      <c r="C1720" s="84">
        <f>'Payments'!U724</f>
        <v/>
      </c>
      <c r="D1720" s="46">
        <f>'Payments'!V724</f>
        <v/>
      </c>
      <c r="E1720" s="46">
        <f>IF(OR(B1720="",C1720="",D1720=""),"",D1720*100000+(C1720-DATE(2000,1,1))+ROW()/100000)</f>
        <v/>
      </c>
      <c r="F1720" s="46">
        <f>IF(E1720="","",IF(C1720&gt;WeekEndDate,"",E1720))</f>
        <v/>
      </c>
    </row>
    <row r="1721">
      <c r="A1721" t="inlineStr">
        <is>
          <t>Payments</t>
        </is>
      </c>
      <c r="B1721" s="46">
        <f>'Payments'!W725</f>
        <v/>
      </c>
      <c r="C1721" s="84">
        <f>'Payments'!U725</f>
        <v/>
      </c>
      <c r="D1721" s="46">
        <f>'Payments'!V725</f>
        <v/>
      </c>
      <c r="E1721" s="46">
        <f>IF(OR(B1721="",C1721="",D1721=""),"",D1721*100000+(C1721-DATE(2000,1,1))+ROW()/100000)</f>
        <v/>
      </c>
      <c r="F1721" s="46">
        <f>IF(E1721="","",IF(C1721&gt;WeekEndDate,"",E1721))</f>
        <v/>
      </c>
    </row>
    <row r="1722">
      <c r="A1722" t="inlineStr">
        <is>
          <t>Payments</t>
        </is>
      </c>
      <c r="B1722" s="46">
        <f>'Payments'!W726</f>
        <v/>
      </c>
      <c r="C1722" s="84">
        <f>'Payments'!U726</f>
        <v/>
      </c>
      <c r="D1722" s="46">
        <f>'Payments'!V726</f>
        <v/>
      </c>
      <c r="E1722" s="46">
        <f>IF(OR(B1722="",C1722="",D1722=""),"",D1722*100000+(C1722-DATE(2000,1,1))+ROW()/100000)</f>
        <v/>
      </c>
      <c r="F1722" s="46">
        <f>IF(E1722="","",IF(C1722&gt;WeekEndDate,"",E1722))</f>
        <v/>
      </c>
    </row>
    <row r="1723">
      <c r="A1723" t="inlineStr">
        <is>
          <t>Payments</t>
        </is>
      </c>
      <c r="B1723" s="46">
        <f>'Payments'!W727</f>
        <v/>
      </c>
      <c r="C1723" s="84">
        <f>'Payments'!U727</f>
        <v/>
      </c>
      <c r="D1723" s="46">
        <f>'Payments'!V727</f>
        <v/>
      </c>
      <c r="E1723" s="46">
        <f>IF(OR(B1723="",C1723="",D1723=""),"",D1723*100000+(C1723-DATE(2000,1,1))+ROW()/100000)</f>
        <v/>
      </c>
      <c r="F1723" s="46">
        <f>IF(E1723="","",IF(C1723&gt;WeekEndDate,"",E1723))</f>
        <v/>
      </c>
    </row>
    <row r="1724">
      <c r="A1724" t="inlineStr">
        <is>
          <t>Payments</t>
        </is>
      </c>
      <c r="B1724" s="46">
        <f>'Payments'!W728</f>
        <v/>
      </c>
      <c r="C1724" s="84">
        <f>'Payments'!U728</f>
        <v/>
      </c>
      <c r="D1724" s="46">
        <f>'Payments'!V728</f>
        <v/>
      </c>
      <c r="E1724" s="46">
        <f>IF(OR(B1724="",C1724="",D1724=""),"",D1724*100000+(C1724-DATE(2000,1,1))+ROW()/100000)</f>
        <v/>
      </c>
      <c r="F1724" s="46">
        <f>IF(E1724="","",IF(C1724&gt;WeekEndDate,"",E1724))</f>
        <v/>
      </c>
    </row>
    <row r="1725">
      <c r="A1725" t="inlineStr">
        <is>
          <t>Payments</t>
        </is>
      </c>
      <c r="B1725" s="46">
        <f>'Payments'!W729</f>
        <v/>
      </c>
      <c r="C1725" s="84">
        <f>'Payments'!U729</f>
        <v/>
      </c>
      <c r="D1725" s="46">
        <f>'Payments'!V729</f>
        <v/>
      </c>
      <c r="E1725" s="46">
        <f>IF(OR(B1725="",C1725="",D1725=""),"",D1725*100000+(C1725-DATE(2000,1,1))+ROW()/100000)</f>
        <v/>
      </c>
      <c r="F1725" s="46">
        <f>IF(E1725="","",IF(C1725&gt;WeekEndDate,"",E1725))</f>
        <v/>
      </c>
    </row>
    <row r="1726">
      <c r="A1726" t="inlineStr">
        <is>
          <t>Payments</t>
        </is>
      </c>
      <c r="B1726" s="46">
        <f>'Payments'!W730</f>
        <v/>
      </c>
      <c r="C1726" s="84">
        <f>'Payments'!U730</f>
        <v/>
      </c>
      <c r="D1726" s="46">
        <f>'Payments'!V730</f>
        <v/>
      </c>
      <c r="E1726" s="46">
        <f>IF(OR(B1726="",C1726="",D1726=""),"",D1726*100000+(C1726-DATE(2000,1,1))+ROW()/100000)</f>
        <v/>
      </c>
      <c r="F1726" s="46">
        <f>IF(E1726="","",IF(C1726&gt;WeekEndDate,"",E1726))</f>
        <v/>
      </c>
    </row>
    <row r="1727">
      <c r="A1727" t="inlineStr">
        <is>
          <t>Payments</t>
        </is>
      </c>
      <c r="B1727" s="46">
        <f>'Payments'!W731</f>
        <v/>
      </c>
      <c r="C1727" s="84">
        <f>'Payments'!U731</f>
        <v/>
      </c>
      <c r="D1727" s="46">
        <f>'Payments'!V731</f>
        <v/>
      </c>
      <c r="E1727" s="46">
        <f>IF(OR(B1727="",C1727="",D1727=""),"",D1727*100000+(C1727-DATE(2000,1,1))+ROW()/100000)</f>
        <v/>
      </c>
      <c r="F1727" s="46">
        <f>IF(E1727="","",IF(C1727&gt;WeekEndDate,"",E1727))</f>
        <v/>
      </c>
    </row>
    <row r="1728">
      <c r="A1728" t="inlineStr">
        <is>
          <t>Payments</t>
        </is>
      </c>
      <c r="B1728" s="46">
        <f>'Payments'!W732</f>
        <v/>
      </c>
      <c r="C1728" s="84">
        <f>'Payments'!U732</f>
        <v/>
      </c>
      <c r="D1728" s="46">
        <f>'Payments'!V732</f>
        <v/>
      </c>
      <c r="E1728" s="46">
        <f>IF(OR(B1728="",C1728="",D1728=""),"",D1728*100000+(C1728-DATE(2000,1,1))+ROW()/100000)</f>
        <v/>
      </c>
      <c r="F1728" s="46">
        <f>IF(E1728="","",IF(C1728&gt;WeekEndDate,"",E1728))</f>
        <v/>
      </c>
    </row>
    <row r="1729">
      <c r="A1729" t="inlineStr">
        <is>
          <t>Payments</t>
        </is>
      </c>
      <c r="B1729" s="46">
        <f>'Payments'!W733</f>
        <v/>
      </c>
      <c r="C1729" s="84">
        <f>'Payments'!U733</f>
        <v/>
      </c>
      <c r="D1729" s="46">
        <f>'Payments'!V733</f>
        <v/>
      </c>
      <c r="E1729" s="46">
        <f>IF(OR(B1729="",C1729="",D1729=""),"",D1729*100000+(C1729-DATE(2000,1,1))+ROW()/100000)</f>
        <v/>
      </c>
      <c r="F1729" s="46">
        <f>IF(E1729="","",IF(C1729&gt;WeekEndDate,"",E1729))</f>
        <v/>
      </c>
    </row>
    <row r="1730">
      <c r="A1730" t="inlineStr">
        <is>
          <t>Payments</t>
        </is>
      </c>
      <c r="B1730" s="46">
        <f>'Payments'!W734</f>
        <v/>
      </c>
      <c r="C1730" s="84">
        <f>'Payments'!U734</f>
        <v/>
      </c>
      <c r="D1730" s="46">
        <f>'Payments'!V734</f>
        <v/>
      </c>
      <c r="E1730" s="46">
        <f>IF(OR(B1730="",C1730="",D1730=""),"",D1730*100000+(C1730-DATE(2000,1,1))+ROW()/100000)</f>
        <v/>
      </c>
      <c r="F1730" s="46">
        <f>IF(E1730="","",IF(C1730&gt;WeekEndDate,"",E1730))</f>
        <v/>
      </c>
    </row>
    <row r="1731">
      <c r="A1731" t="inlineStr">
        <is>
          <t>Payments</t>
        </is>
      </c>
      <c r="B1731" s="46">
        <f>'Payments'!W735</f>
        <v/>
      </c>
      <c r="C1731" s="84">
        <f>'Payments'!U735</f>
        <v/>
      </c>
      <c r="D1731" s="46">
        <f>'Payments'!V735</f>
        <v/>
      </c>
      <c r="E1731" s="46">
        <f>IF(OR(B1731="",C1731="",D1731=""),"",D1731*100000+(C1731-DATE(2000,1,1))+ROW()/100000)</f>
        <v/>
      </c>
      <c r="F1731" s="46">
        <f>IF(E1731="","",IF(C1731&gt;WeekEndDate,"",E1731))</f>
        <v/>
      </c>
    </row>
    <row r="1732">
      <c r="A1732" t="inlineStr">
        <is>
          <t>Payments</t>
        </is>
      </c>
      <c r="B1732" s="46">
        <f>'Payments'!W736</f>
        <v/>
      </c>
      <c r="C1732" s="84">
        <f>'Payments'!U736</f>
        <v/>
      </c>
      <c r="D1732" s="46">
        <f>'Payments'!V736</f>
        <v/>
      </c>
      <c r="E1732" s="46">
        <f>IF(OR(B1732="",C1732="",D1732=""),"",D1732*100000+(C1732-DATE(2000,1,1))+ROW()/100000)</f>
        <v/>
      </c>
      <c r="F1732" s="46">
        <f>IF(E1732="","",IF(C1732&gt;WeekEndDate,"",E1732))</f>
        <v/>
      </c>
    </row>
    <row r="1733">
      <c r="A1733" t="inlineStr">
        <is>
          <t>Payments</t>
        </is>
      </c>
      <c r="B1733" s="46">
        <f>'Payments'!W737</f>
        <v/>
      </c>
      <c r="C1733" s="84">
        <f>'Payments'!U737</f>
        <v/>
      </c>
      <c r="D1733" s="46">
        <f>'Payments'!V737</f>
        <v/>
      </c>
      <c r="E1733" s="46">
        <f>IF(OR(B1733="",C1733="",D1733=""),"",D1733*100000+(C1733-DATE(2000,1,1))+ROW()/100000)</f>
        <v/>
      </c>
      <c r="F1733" s="46">
        <f>IF(E1733="","",IF(C1733&gt;WeekEndDate,"",E1733))</f>
        <v/>
      </c>
    </row>
    <row r="1734">
      <c r="A1734" t="inlineStr">
        <is>
          <t>Payments</t>
        </is>
      </c>
      <c r="B1734" s="46">
        <f>'Payments'!W738</f>
        <v/>
      </c>
      <c r="C1734" s="84">
        <f>'Payments'!U738</f>
        <v/>
      </c>
      <c r="D1734" s="46">
        <f>'Payments'!V738</f>
        <v/>
      </c>
      <c r="E1734" s="46">
        <f>IF(OR(B1734="",C1734="",D1734=""),"",D1734*100000+(C1734-DATE(2000,1,1))+ROW()/100000)</f>
        <v/>
      </c>
      <c r="F1734" s="46">
        <f>IF(E1734="","",IF(C1734&gt;WeekEndDate,"",E1734))</f>
        <v/>
      </c>
    </row>
    <row r="1735">
      <c r="A1735" t="inlineStr">
        <is>
          <t>Payments</t>
        </is>
      </c>
      <c r="B1735" s="46">
        <f>'Payments'!W739</f>
        <v/>
      </c>
      <c r="C1735" s="84">
        <f>'Payments'!U739</f>
        <v/>
      </c>
      <c r="D1735" s="46">
        <f>'Payments'!V739</f>
        <v/>
      </c>
      <c r="E1735" s="46">
        <f>IF(OR(B1735="",C1735="",D1735=""),"",D1735*100000+(C1735-DATE(2000,1,1))+ROW()/100000)</f>
        <v/>
      </c>
      <c r="F1735" s="46">
        <f>IF(E1735="","",IF(C1735&gt;WeekEndDate,"",E1735))</f>
        <v/>
      </c>
    </row>
    <row r="1736">
      <c r="A1736" t="inlineStr">
        <is>
          <t>Payments</t>
        </is>
      </c>
      <c r="B1736" s="46">
        <f>'Payments'!W740</f>
        <v/>
      </c>
      <c r="C1736" s="84">
        <f>'Payments'!U740</f>
        <v/>
      </c>
      <c r="D1736" s="46">
        <f>'Payments'!V740</f>
        <v/>
      </c>
      <c r="E1736" s="46">
        <f>IF(OR(B1736="",C1736="",D1736=""),"",D1736*100000+(C1736-DATE(2000,1,1))+ROW()/100000)</f>
        <v/>
      </c>
      <c r="F1736" s="46">
        <f>IF(E1736="","",IF(C1736&gt;WeekEndDate,"",E1736))</f>
        <v/>
      </c>
    </row>
    <row r="1737">
      <c r="A1737" t="inlineStr">
        <is>
          <t>Payments</t>
        </is>
      </c>
      <c r="B1737" s="46">
        <f>'Payments'!W741</f>
        <v/>
      </c>
      <c r="C1737" s="84">
        <f>'Payments'!U741</f>
        <v/>
      </c>
      <c r="D1737" s="46">
        <f>'Payments'!V741</f>
        <v/>
      </c>
      <c r="E1737" s="46">
        <f>IF(OR(B1737="",C1737="",D1737=""),"",D1737*100000+(C1737-DATE(2000,1,1))+ROW()/100000)</f>
        <v/>
      </c>
      <c r="F1737" s="46">
        <f>IF(E1737="","",IF(C1737&gt;WeekEndDate,"",E1737))</f>
        <v/>
      </c>
    </row>
    <row r="1738">
      <c r="A1738" t="inlineStr">
        <is>
          <t>Payments</t>
        </is>
      </c>
      <c r="B1738" s="46">
        <f>'Payments'!W742</f>
        <v/>
      </c>
      <c r="C1738" s="84">
        <f>'Payments'!U742</f>
        <v/>
      </c>
      <c r="D1738" s="46">
        <f>'Payments'!V742</f>
        <v/>
      </c>
      <c r="E1738" s="46">
        <f>IF(OR(B1738="",C1738="",D1738=""),"",D1738*100000+(C1738-DATE(2000,1,1))+ROW()/100000)</f>
        <v/>
      </c>
      <c r="F1738" s="46">
        <f>IF(E1738="","",IF(C1738&gt;WeekEndDate,"",E1738))</f>
        <v/>
      </c>
    </row>
    <row r="1739">
      <c r="A1739" t="inlineStr">
        <is>
          <t>Payments</t>
        </is>
      </c>
      <c r="B1739" s="46">
        <f>'Payments'!W743</f>
        <v/>
      </c>
      <c r="C1739" s="84">
        <f>'Payments'!U743</f>
        <v/>
      </c>
      <c r="D1739" s="46">
        <f>'Payments'!V743</f>
        <v/>
      </c>
      <c r="E1739" s="46">
        <f>IF(OR(B1739="",C1739="",D1739=""),"",D1739*100000+(C1739-DATE(2000,1,1))+ROW()/100000)</f>
        <v/>
      </c>
      <c r="F1739" s="46">
        <f>IF(E1739="","",IF(C1739&gt;WeekEndDate,"",E1739))</f>
        <v/>
      </c>
    </row>
    <row r="1740">
      <c r="A1740" t="inlineStr">
        <is>
          <t>Payments</t>
        </is>
      </c>
      <c r="B1740" s="46">
        <f>'Payments'!W744</f>
        <v/>
      </c>
      <c r="C1740" s="84">
        <f>'Payments'!U744</f>
        <v/>
      </c>
      <c r="D1740" s="46">
        <f>'Payments'!V744</f>
        <v/>
      </c>
      <c r="E1740" s="46">
        <f>IF(OR(B1740="",C1740="",D1740=""),"",D1740*100000+(C1740-DATE(2000,1,1))+ROW()/100000)</f>
        <v/>
      </c>
      <c r="F1740" s="46">
        <f>IF(E1740="","",IF(C1740&gt;WeekEndDate,"",E1740))</f>
        <v/>
      </c>
    </row>
    <row r="1741">
      <c r="A1741" t="inlineStr">
        <is>
          <t>Payments</t>
        </is>
      </c>
      <c r="B1741" s="46">
        <f>'Payments'!W745</f>
        <v/>
      </c>
      <c r="C1741" s="84">
        <f>'Payments'!U745</f>
        <v/>
      </c>
      <c r="D1741" s="46">
        <f>'Payments'!V745</f>
        <v/>
      </c>
      <c r="E1741" s="46">
        <f>IF(OR(B1741="",C1741="",D1741=""),"",D1741*100000+(C1741-DATE(2000,1,1))+ROW()/100000)</f>
        <v/>
      </c>
      <c r="F1741" s="46">
        <f>IF(E1741="","",IF(C1741&gt;WeekEndDate,"",E1741))</f>
        <v/>
      </c>
    </row>
    <row r="1742">
      <c r="A1742" t="inlineStr">
        <is>
          <t>Payments</t>
        </is>
      </c>
      <c r="B1742" s="46">
        <f>'Payments'!W746</f>
        <v/>
      </c>
      <c r="C1742" s="84">
        <f>'Payments'!U746</f>
        <v/>
      </c>
      <c r="D1742" s="46">
        <f>'Payments'!V746</f>
        <v/>
      </c>
      <c r="E1742" s="46">
        <f>IF(OR(B1742="",C1742="",D1742=""),"",D1742*100000+(C1742-DATE(2000,1,1))+ROW()/100000)</f>
        <v/>
      </c>
      <c r="F1742" s="46">
        <f>IF(E1742="","",IF(C1742&gt;WeekEndDate,"",E1742))</f>
        <v/>
      </c>
    </row>
    <row r="1743">
      <c r="A1743" t="inlineStr">
        <is>
          <t>Payments</t>
        </is>
      </c>
      <c r="B1743" s="46">
        <f>'Payments'!W747</f>
        <v/>
      </c>
      <c r="C1743" s="84">
        <f>'Payments'!U747</f>
        <v/>
      </c>
      <c r="D1743" s="46">
        <f>'Payments'!V747</f>
        <v/>
      </c>
      <c r="E1743" s="46">
        <f>IF(OR(B1743="",C1743="",D1743=""),"",D1743*100000+(C1743-DATE(2000,1,1))+ROW()/100000)</f>
        <v/>
      </c>
      <c r="F1743" s="46">
        <f>IF(E1743="","",IF(C1743&gt;WeekEndDate,"",E1743))</f>
        <v/>
      </c>
    </row>
    <row r="1744">
      <c r="A1744" t="inlineStr">
        <is>
          <t>Payments</t>
        </is>
      </c>
      <c r="B1744" s="46">
        <f>'Payments'!W748</f>
        <v/>
      </c>
      <c r="C1744" s="84">
        <f>'Payments'!U748</f>
        <v/>
      </c>
      <c r="D1744" s="46">
        <f>'Payments'!V748</f>
        <v/>
      </c>
      <c r="E1744" s="46">
        <f>IF(OR(B1744="",C1744="",D1744=""),"",D1744*100000+(C1744-DATE(2000,1,1))+ROW()/100000)</f>
        <v/>
      </c>
      <c r="F1744" s="46">
        <f>IF(E1744="","",IF(C1744&gt;WeekEndDate,"",E1744))</f>
        <v/>
      </c>
    </row>
    <row r="1745">
      <c r="A1745" t="inlineStr">
        <is>
          <t>Payments</t>
        </is>
      </c>
      <c r="B1745" s="46">
        <f>'Payments'!W749</f>
        <v/>
      </c>
      <c r="C1745" s="84">
        <f>'Payments'!U749</f>
        <v/>
      </c>
      <c r="D1745" s="46">
        <f>'Payments'!V749</f>
        <v/>
      </c>
      <c r="E1745" s="46">
        <f>IF(OR(B1745="",C1745="",D1745=""),"",D1745*100000+(C1745-DATE(2000,1,1))+ROW()/100000)</f>
        <v/>
      </c>
      <c r="F1745" s="46">
        <f>IF(E1745="","",IF(C1745&gt;WeekEndDate,"",E1745))</f>
        <v/>
      </c>
    </row>
    <row r="1746">
      <c r="A1746" t="inlineStr">
        <is>
          <t>Payments</t>
        </is>
      </c>
      <c r="B1746" s="46">
        <f>'Payments'!W750</f>
        <v/>
      </c>
      <c r="C1746" s="84">
        <f>'Payments'!U750</f>
        <v/>
      </c>
      <c r="D1746" s="46">
        <f>'Payments'!V750</f>
        <v/>
      </c>
      <c r="E1746" s="46">
        <f>IF(OR(B1746="",C1746="",D1746=""),"",D1746*100000+(C1746-DATE(2000,1,1))+ROW()/100000)</f>
        <v/>
      </c>
      <c r="F1746" s="46">
        <f>IF(E1746="","",IF(C1746&gt;WeekEndDate,"",E1746))</f>
        <v/>
      </c>
    </row>
    <row r="1747">
      <c r="A1747" t="inlineStr">
        <is>
          <t>Payments</t>
        </is>
      </c>
      <c r="B1747" s="46">
        <f>'Payments'!W751</f>
        <v/>
      </c>
      <c r="C1747" s="84">
        <f>'Payments'!U751</f>
        <v/>
      </c>
      <c r="D1747" s="46">
        <f>'Payments'!V751</f>
        <v/>
      </c>
      <c r="E1747" s="46">
        <f>IF(OR(B1747="",C1747="",D1747=""),"",D1747*100000+(C1747-DATE(2000,1,1))+ROW()/100000)</f>
        <v/>
      </c>
      <c r="F1747" s="46">
        <f>IF(E1747="","",IF(C1747&gt;WeekEndDate,"",E1747))</f>
        <v/>
      </c>
    </row>
    <row r="1748">
      <c r="A1748" t="inlineStr">
        <is>
          <t>Payments</t>
        </is>
      </c>
      <c r="B1748" s="46">
        <f>'Payments'!W752</f>
        <v/>
      </c>
      <c r="C1748" s="84">
        <f>'Payments'!U752</f>
        <v/>
      </c>
      <c r="D1748" s="46">
        <f>'Payments'!V752</f>
        <v/>
      </c>
      <c r="E1748" s="46">
        <f>IF(OR(B1748="",C1748="",D1748=""),"",D1748*100000+(C1748-DATE(2000,1,1))+ROW()/100000)</f>
        <v/>
      </c>
      <c r="F1748" s="46">
        <f>IF(E1748="","",IF(C1748&gt;WeekEndDate,"",E1748))</f>
        <v/>
      </c>
    </row>
    <row r="1749">
      <c r="A1749" t="inlineStr">
        <is>
          <t>Payments</t>
        </is>
      </c>
      <c r="B1749" s="46">
        <f>'Payments'!W753</f>
        <v/>
      </c>
      <c r="C1749" s="84">
        <f>'Payments'!U753</f>
        <v/>
      </c>
      <c r="D1749" s="46">
        <f>'Payments'!V753</f>
        <v/>
      </c>
      <c r="E1749" s="46">
        <f>IF(OR(B1749="",C1749="",D1749=""),"",D1749*100000+(C1749-DATE(2000,1,1))+ROW()/100000)</f>
        <v/>
      </c>
      <c r="F1749" s="46">
        <f>IF(E1749="","",IF(C1749&gt;WeekEndDate,"",E1749))</f>
        <v/>
      </c>
    </row>
    <row r="1750">
      <c r="A1750" t="inlineStr">
        <is>
          <t>Payments</t>
        </is>
      </c>
      <c r="B1750" s="46">
        <f>'Payments'!W754</f>
        <v/>
      </c>
      <c r="C1750" s="84">
        <f>'Payments'!U754</f>
        <v/>
      </c>
      <c r="D1750" s="46">
        <f>'Payments'!V754</f>
        <v/>
      </c>
      <c r="E1750" s="46">
        <f>IF(OR(B1750="",C1750="",D1750=""),"",D1750*100000+(C1750-DATE(2000,1,1))+ROW()/100000)</f>
        <v/>
      </c>
      <c r="F1750" s="46">
        <f>IF(E1750="","",IF(C1750&gt;WeekEndDate,"",E1750))</f>
        <v/>
      </c>
    </row>
    <row r="1751">
      <c r="A1751" t="inlineStr">
        <is>
          <t>Payments</t>
        </is>
      </c>
      <c r="B1751" s="46">
        <f>'Payments'!W755</f>
        <v/>
      </c>
      <c r="C1751" s="84">
        <f>'Payments'!U755</f>
        <v/>
      </c>
      <c r="D1751" s="46">
        <f>'Payments'!V755</f>
        <v/>
      </c>
      <c r="E1751" s="46">
        <f>IF(OR(B1751="",C1751="",D1751=""),"",D1751*100000+(C1751-DATE(2000,1,1))+ROW()/100000)</f>
        <v/>
      </c>
      <c r="F1751" s="46">
        <f>IF(E1751="","",IF(C1751&gt;WeekEndDate,"",E1751))</f>
        <v/>
      </c>
    </row>
    <row r="1752">
      <c r="A1752" t="inlineStr">
        <is>
          <t>Payments</t>
        </is>
      </c>
      <c r="B1752" s="46">
        <f>'Payments'!W756</f>
        <v/>
      </c>
      <c r="C1752" s="84">
        <f>'Payments'!U756</f>
        <v/>
      </c>
      <c r="D1752" s="46">
        <f>'Payments'!V756</f>
        <v/>
      </c>
      <c r="E1752" s="46">
        <f>IF(OR(B1752="",C1752="",D1752=""),"",D1752*100000+(C1752-DATE(2000,1,1))+ROW()/100000)</f>
        <v/>
      </c>
      <c r="F1752" s="46">
        <f>IF(E1752="","",IF(C1752&gt;WeekEndDate,"",E1752))</f>
        <v/>
      </c>
    </row>
    <row r="1753">
      <c r="A1753" t="inlineStr">
        <is>
          <t>Payments</t>
        </is>
      </c>
      <c r="B1753" s="46">
        <f>'Payments'!W757</f>
        <v/>
      </c>
      <c r="C1753" s="84">
        <f>'Payments'!U757</f>
        <v/>
      </c>
      <c r="D1753" s="46">
        <f>'Payments'!V757</f>
        <v/>
      </c>
      <c r="E1753" s="46">
        <f>IF(OR(B1753="",C1753="",D1753=""),"",D1753*100000+(C1753-DATE(2000,1,1))+ROW()/100000)</f>
        <v/>
      </c>
      <c r="F1753" s="46">
        <f>IF(E1753="","",IF(C1753&gt;WeekEndDate,"",E1753))</f>
        <v/>
      </c>
    </row>
    <row r="1754">
      <c r="A1754" t="inlineStr">
        <is>
          <t>Payments</t>
        </is>
      </c>
      <c r="B1754" s="46">
        <f>'Payments'!W758</f>
        <v/>
      </c>
      <c r="C1754" s="84">
        <f>'Payments'!U758</f>
        <v/>
      </c>
      <c r="D1754" s="46">
        <f>'Payments'!V758</f>
        <v/>
      </c>
      <c r="E1754" s="46">
        <f>IF(OR(B1754="",C1754="",D1754=""),"",D1754*100000+(C1754-DATE(2000,1,1))+ROW()/100000)</f>
        <v/>
      </c>
      <c r="F1754" s="46">
        <f>IF(E1754="","",IF(C1754&gt;WeekEndDate,"",E1754))</f>
        <v/>
      </c>
    </row>
    <row r="1755">
      <c r="A1755" t="inlineStr">
        <is>
          <t>Payments</t>
        </is>
      </c>
      <c r="B1755" s="46">
        <f>'Payments'!W759</f>
        <v/>
      </c>
      <c r="C1755" s="84">
        <f>'Payments'!U759</f>
        <v/>
      </c>
      <c r="D1755" s="46">
        <f>'Payments'!V759</f>
        <v/>
      </c>
      <c r="E1755" s="46">
        <f>IF(OR(B1755="",C1755="",D1755=""),"",D1755*100000+(C1755-DATE(2000,1,1))+ROW()/100000)</f>
        <v/>
      </c>
      <c r="F1755" s="46">
        <f>IF(E1755="","",IF(C1755&gt;WeekEndDate,"",E1755))</f>
        <v/>
      </c>
    </row>
    <row r="1756">
      <c r="A1756" t="inlineStr">
        <is>
          <t>Payments</t>
        </is>
      </c>
      <c r="B1756" s="46">
        <f>'Payments'!W760</f>
        <v/>
      </c>
      <c r="C1756" s="84">
        <f>'Payments'!U760</f>
        <v/>
      </c>
      <c r="D1756" s="46">
        <f>'Payments'!V760</f>
        <v/>
      </c>
      <c r="E1756" s="46">
        <f>IF(OR(B1756="",C1756="",D1756=""),"",D1756*100000+(C1756-DATE(2000,1,1))+ROW()/100000)</f>
        <v/>
      </c>
      <c r="F1756" s="46">
        <f>IF(E1756="","",IF(C1756&gt;WeekEndDate,"",E1756))</f>
        <v/>
      </c>
    </row>
    <row r="1757">
      <c r="A1757" t="inlineStr">
        <is>
          <t>Payments</t>
        </is>
      </c>
      <c r="B1757" s="46">
        <f>'Payments'!W761</f>
        <v/>
      </c>
      <c r="C1757" s="84">
        <f>'Payments'!U761</f>
        <v/>
      </c>
      <c r="D1757" s="46">
        <f>'Payments'!V761</f>
        <v/>
      </c>
      <c r="E1757" s="46">
        <f>IF(OR(B1757="",C1757="",D1757=""),"",D1757*100000+(C1757-DATE(2000,1,1))+ROW()/100000)</f>
        <v/>
      </c>
      <c r="F1757" s="46">
        <f>IF(E1757="","",IF(C1757&gt;WeekEndDate,"",E1757))</f>
        <v/>
      </c>
    </row>
    <row r="1758">
      <c r="A1758" t="inlineStr">
        <is>
          <t>Payments</t>
        </is>
      </c>
      <c r="B1758" s="46">
        <f>'Payments'!W762</f>
        <v/>
      </c>
      <c r="C1758" s="84">
        <f>'Payments'!U762</f>
        <v/>
      </c>
      <c r="D1758" s="46">
        <f>'Payments'!V762</f>
        <v/>
      </c>
      <c r="E1758" s="46">
        <f>IF(OR(B1758="",C1758="",D1758=""),"",D1758*100000+(C1758-DATE(2000,1,1))+ROW()/100000)</f>
        <v/>
      </c>
      <c r="F1758" s="46">
        <f>IF(E1758="","",IF(C1758&gt;WeekEndDate,"",E1758))</f>
        <v/>
      </c>
    </row>
    <row r="1759">
      <c r="A1759" t="inlineStr">
        <is>
          <t>Payments</t>
        </is>
      </c>
      <c r="B1759" s="46">
        <f>'Payments'!W763</f>
        <v/>
      </c>
      <c r="C1759" s="84">
        <f>'Payments'!U763</f>
        <v/>
      </c>
      <c r="D1759" s="46">
        <f>'Payments'!V763</f>
        <v/>
      </c>
      <c r="E1759" s="46">
        <f>IF(OR(B1759="",C1759="",D1759=""),"",D1759*100000+(C1759-DATE(2000,1,1))+ROW()/100000)</f>
        <v/>
      </c>
      <c r="F1759" s="46">
        <f>IF(E1759="","",IF(C1759&gt;WeekEndDate,"",E1759))</f>
        <v/>
      </c>
    </row>
    <row r="1760">
      <c r="A1760" t="inlineStr">
        <is>
          <t>Payments</t>
        </is>
      </c>
      <c r="B1760" s="46">
        <f>'Payments'!W764</f>
        <v/>
      </c>
      <c r="C1760" s="84">
        <f>'Payments'!U764</f>
        <v/>
      </c>
      <c r="D1760" s="46">
        <f>'Payments'!V764</f>
        <v/>
      </c>
      <c r="E1760" s="46">
        <f>IF(OR(B1760="",C1760="",D1760=""),"",D1760*100000+(C1760-DATE(2000,1,1))+ROW()/100000)</f>
        <v/>
      </c>
      <c r="F1760" s="46">
        <f>IF(E1760="","",IF(C1760&gt;WeekEndDate,"",E1760))</f>
        <v/>
      </c>
    </row>
    <row r="1761">
      <c r="A1761" t="inlineStr">
        <is>
          <t>Payments</t>
        </is>
      </c>
      <c r="B1761" s="46">
        <f>'Payments'!W765</f>
        <v/>
      </c>
      <c r="C1761" s="84">
        <f>'Payments'!U765</f>
        <v/>
      </c>
      <c r="D1761" s="46">
        <f>'Payments'!V765</f>
        <v/>
      </c>
      <c r="E1761" s="46">
        <f>IF(OR(B1761="",C1761="",D1761=""),"",D1761*100000+(C1761-DATE(2000,1,1))+ROW()/100000)</f>
        <v/>
      </c>
      <c r="F1761" s="46">
        <f>IF(E1761="","",IF(C1761&gt;WeekEndDate,"",E1761))</f>
        <v/>
      </c>
    </row>
    <row r="1762">
      <c r="A1762" t="inlineStr">
        <is>
          <t>Payments</t>
        </is>
      </c>
      <c r="B1762" s="46">
        <f>'Payments'!W766</f>
        <v/>
      </c>
      <c r="C1762" s="84">
        <f>'Payments'!U766</f>
        <v/>
      </c>
      <c r="D1762" s="46">
        <f>'Payments'!V766</f>
        <v/>
      </c>
      <c r="E1762" s="46">
        <f>IF(OR(B1762="",C1762="",D1762=""),"",D1762*100000+(C1762-DATE(2000,1,1))+ROW()/100000)</f>
        <v/>
      </c>
      <c r="F1762" s="46">
        <f>IF(E1762="","",IF(C1762&gt;WeekEndDate,"",E1762))</f>
        <v/>
      </c>
    </row>
    <row r="1763">
      <c r="A1763" t="inlineStr">
        <is>
          <t>Payments</t>
        </is>
      </c>
      <c r="B1763" s="46">
        <f>'Payments'!W767</f>
        <v/>
      </c>
      <c r="C1763" s="84">
        <f>'Payments'!U767</f>
        <v/>
      </c>
      <c r="D1763" s="46">
        <f>'Payments'!V767</f>
        <v/>
      </c>
      <c r="E1763" s="46">
        <f>IF(OR(B1763="",C1763="",D1763=""),"",D1763*100000+(C1763-DATE(2000,1,1))+ROW()/100000)</f>
        <v/>
      </c>
      <c r="F1763" s="46">
        <f>IF(E1763="","",IF(C1763&gt;WeekEndDate,"",E1763))</f>
        <v/>
      </c>
    </row>
    <row r="1764">
      <c r="A1764" t="inlineStr">
        <is>
          <t>Payments</t>
        </is>
      </c>
      <c r="B1764" s="46">
        <f>'Payments'!W768</f>
        <v/>
      </c>
      <c r="C1764" s="84">
        <f>'Payments'!U768</f>
        <v/>
      </c>
      <c r="D1764" s="46">
        <f>'Payments'!V768</f>
        <v/>
      </c>
      <c r="E1764" s="46">
        <f>IF(OR(B1764="",C1764="",D1764=""),"",D1764*100000+(C1764-DATE(2000,1,1))+ROW()/100000)</f>
        <v/>
      </c>
      <c r="F1764" s="46">
        <f>IF(E1764="","",IF(C1764&gt;WeekEndDate,"",E1764))</f>
        <v/>
      </c>
    </row>
    <row r="1765">
      <c r="A1765" t="inlineStr">
        <is>
          <t>Payments</t>
        </is>
      </c>
      <c r="B1765" s="46">
        <f>'Payments'!W769</f>
        <v/>
      </c>
      <c r="C1765" s="84">
        <f>'Payments'!U769</f>
        <v/>
      </c>
      <c r="D1765" s="46">
        <f>'Payments'!V769</f>
        <v/>
      </c>
      <c r="E1765" s="46">
        <f>IF(OR(B1765="",C1765="",D1765=""),"",D1765*100000+(C1765-DATE(2000,1,1))+ROW()/100000)</f>
        <v/>
      </c>
      <c r="F1765" s="46">
        <f>IF(E1765="","",IF(C1765&gt;WeekEndDate,"",E1765))</f>
        <v/>
      </c>
    </row>
    <row r="1766">
      <c r="A1766" t="inlineStr">
        <is>
          <t>Payments</t>
        </is>
      </c>
      <c r="B1766" s="46">
        <f>'Payments'!W770</f>
        <v/>
      </c>
      <c r="C1766" s="84">
        <f>'Payments'!U770</f>
        <v/>
      </c>
      <c r="D1766" s="46">
        <f>'Payments'!V770</f>
        <v/>
      </c>
      <c r="E1766" s="46">
        <f>IF(OR(B1766="",C1766="",D1766=""),"",D1766*100000+(C1766-DATE(2000,1,1))+ROW()/100000)</f>
        <v/>
      </c>
      <c r="F1766" s="46">
        <f>IF(E1766="","",IF(C1766&gt;WeekEndDate,"",E1766))</f>
        <v/>
      </c>
    </row>
    <row r="1767">
      <c r="A1767" t="inlineStr">
        <is>
          <t>Payments</t>
        </is>
      </c>
      <c r="B1767" s="46">
        <f>'Payments'!W771</f>
        <v/>
      </c>
      <c r="C1767" s="84">
        <f>'Payments'!U771</f>
        <v/>
      </c>
      <c r="D1767" s="46">
        <f>'Payments'!V771</f>
        <v/>
      </c>
      <c r="E1767" s="46">
        <f>IF(OR(B1767="",C1767="",D1767=""),"",D1767*100000+(C1767-DATE(2000,1,1))+ROW()/100000)</f>
        <v/>
      </c>
      <c r="F1767" s="46">
        <f>IF(E1767="","",IF(C1767&gt;WeekEndDate,"",E1767))</f>
        <v/>
      </c>
    </row>
    <row r="1768">
      <c r="A1768" t="inlineStr">
        <is>
          <t>Payments</t>
        </is>
      </c>
      <c r="B1768" s="46">
        <f>'Payments'!W772</f>
        <v/>
      </c>
      <c r="C1768" s="84">
        <f>'Payments'!U772</f>
        <v/>
      </c>
      <c r="D1768" s="46">
        <f>'Payments'!V772</f>
        <v/>
      </c>
      <c r="E1768" s="46">
        <f>IF(OR(B1768="",C1768="",D1768=""),"",D1768*100000+(C1768-DATE(2000,1,1))+ROW()/100000)</f>
        <v/>
      </c>
      <c r="F1768" s="46">
        <f>IF(E1768="","",IF(C1768&gt;WeekEndDate,"",E1768))</f>
        <v/>
      </c>
    </row>
    <row r="1769">
      <c r="A1769" t="inlineStr">
        <is>
          <t>Payments</t>
        </is>
      </c>
      <c r="B1769" s="46">
        <f>'Payments'!W773</f>
        <v/>
      </c>
      <c r="C1769" s="84">
        <f>'Payments'!U773</f>
        <v/>
      </c>
      <c r="D1769" s="46">
        <f>'Payments'!V773</f>
        <v/>
      </c>
      <c r="E1769" s="46">
        <f>IF(OR(B1769="",C1769="",D1769=""),"",D1769*100000+(C1769-DATE(2000,1,1))+ROW()/100000)</f>
        <v/>
      </c>
      <c r="F1769" s="46">
        <f>IF(E1769="","",IF(C1769&gt;WeekEndDate,"",E1769))</f>
        <v/>
      </c>
    </row>
    <row r="1770">
      <c r="A1770" t="inlineStr">
        <is>
          <t>Payments</t>
        </is>
      </c>
      <c r="B1770" s="46">
        <f>'Payments'!W774</f>
        <v/>
      </c>
      <c r="C1770" s="84">
        <f>'Payments'!U774</f>
        <v/>
      </c>
      <c r="D1770" s="46">
        <f>'Payments'!V774</f>
        <v/>
      </c>
      <c r="E1770" s="46">
        <f>IF(OR(B1770="",C1770="",D1770=""),"",D1770*100000+(C1770-DATE(2000,1,1))+ROW()/100000)</f>
        <v/>
      </c>
      <c r="F1770" s="46">
        <f>IF(E1770="","",IF(C1770&gt;WeekEndDate,"",E1770))</f>
        <v/>
      </c>
    </row>
    <row r="1771">
      <c r="A1771" t="inlineStr">
        <is>
          <t>Payments</t>
        </is>
      </c>
      <c r="B1771" s="46">
        <f>'Payments'!W775</f>
        <v/>
      </c>
      <c r="C1771" s="84">
        <f>'Payments'!U775</f>
        <v/>
      </c>
      <c r="D1771" s="46">
        <f>'Payments'!V775</f>
        <v/>
      </c>
      <c r="E1771" s="46">
        <f>IF(OR(B1771="",C1771="",D1771=""),"",D1771*100000+(C1771-DATE(2000,1,1))+ROW()/100000)</f>
        <v/>
      </c>
      <c r="F1771" s="46">
        <f>IF(E1771="","",IF(C1771&gt;WeekEndDate,"",E1771))</f>
        <v/>
      </c>
    </row>
    <row r="1772">
      <c r="A1772" t="inlineStr">
        <is>
          <t>Payments</t>
        </is>
      </c>
      <c r="B1772" s="46">
        <f>'Payments'!W776</f>
        <v/>
      </c>
      <c r="C1772" s="84">
        <f>'Payments'!U776</f>
        <v/>
      </c>
      <c r="D1772" s="46">
        <f>'Payments'!V776</f>
        <v/>
      </c>
      <c r="E1772" s="46">
        <f>IF(OR(B1772="",C1772="",D1772=""),"",D1772*100000+(C1772-DATE(2000,1,1))+ROW()/100000)</f>
        <v/>
      </c>
      <c r="F1772" s="46">
        <f>IF(E1772="","",IF(C1772&gt;WeekEndDate,"",E1772))</f>
        <v/>
      </c>
    </row>
    <row r="1773">
      <c r="A1773" t="inlineStr">
        <is>
          <t>Payments</t>
        </is>
      </c>
      <c r="B1773" s="46">
        <f>'Payments'!W777</f>
        <v/>
      </c>
      <c r="C1773" s="84">
        <f>'Payments'!U777</f>
        <v/>
      </c>
      <c r="D1773" s="46">
        <f>'Payments'!V777</f>
        <v/>
      </c>
      <c r="E1773" s="46">
        <f>IF(OR(B1773="",C1773="",D1773=""),"",D1773*100000+(C1773-DATE(2000,1,1))+ROW()/100000)</f>
        <v/>
      </c>
      <c r="F1773" s="46">
        <f>IF(E1773="","",IF(C1773&gt;WeekEndDate,"",E1773))</f>
        <v/>
      </c>
    </row>
    <row r="1774">
      <c r="A1774" t="inlineStr">
        <is>
          <t>Payments</t>
        </is>
      </c>
      <c r="B1774" s="46">
        <f>'Payments'!W778</f>
        <v/>
      </c>
      <c r="C1774" s="84">
        <f>'Payments'!U778</f>
        <v/>
      </c>
      <c r="D1774" s="46">
        <f>'Payments'!V778</f>
        <v/>
      </c>
      <c r="E1774" s="46">
        <f>IF(OR(B1774="",C1774="",D1774=""),"",D1774*100000+(C1774-DATE(2000,1,1))+ROW()/100000)</f>
        <v/>
      </c>
      <c r="F1774" s="46">
        <f>IF(E1774="","",IF(C1774&gt;WeekEndDate,"",E1774))</f>
        <v/>
      </c>
    </row>
    <row r="1775">
      <c r="A1775" t="inlineStr">
        <is>
          <t>Payments</t>
        </is>
      </c>
      <c r="B1775" s="46">
        <f>'Payments'!W779</f>
        <v/>
      </c>
      <c r="C1775" s="84">
        <f>'Payments'!U779</f>
        <v/>
      </c>
      <c r="D1775" s="46">
        <f>'Payments'!V779</f>
        <v/>
      </c>
      <c r="E1775" s="46">
        <f>IF(OR(B1775="",C1775="",D1775=""),"",D1775*100000+(C1775-DATE(2000,1,1))+ROW()/100000)</f>
        <v/>
      </c>
      <c r="F1775" s="46">
        <f>IF(E1775="","",IF(C1775&gt;WeekEndDate,"",E1775))</f>
        <v/>
      </c>
    </row>
    <row r="1776">
      <c r="A1776" t="inlineStr">
        <is>
          <t>Payments</t>
        </is>
      </c>
      <c r="B1776" s="46">
        <f>'Payments'!W780</f>
        <v/>
      </c>
      <c r="C1776" s="84">
        <f>'Payments'!U780</f>
        <v/>
      </c>
      <c r="D1776" s="46">
        <f>'Payments'!V780</f>
        <v/>
      </c>
      <c r="E1776" s="46">
        <f>IF(OR(B1776="",C1776="",D1776=""),"",D1776*100000+(C1776-DATE(2000,1,1))+ROW()/100000)</f>
        <v/>
      </c>
      <c r="F1776" s="46">
        <f>IF(E1776="","",IF(C1776&gt;WeekEndDate,"",E1776))</f>
        <v/>
      </c>
    </row>
    <row r="1777">
      <c r="A1777" t="inlineStr">
        <is>
          <t>Payments</t>
        </is>
      </c>
      <c r="B1777" s="46">
        <f>'Payments'!W781</f>
        <v/>
      </c>
      <c r="C1777" s="84">
        <f>'Payments'!U781</f>
        <v/>
      </c>
      <c r="D1777" s="46">
        <f>'Payments'!V781</f>
        <v/>
      </c>
      <c r="E1777" s="46">
        <f>IF(OR(B1777="",C1777="",D1777=""),"",D1777*100000+(C1777-DATE(2000,1,1))+ROW()/100000)</f>
        <v/>
      </c>
      <c r="F1777" s="46">
        <f>IF(E1777="","",IF(C1777&gt;WeekEndDate,"",E1777))</f>
        <v/>
      </c>
    </row>
    <row r="1778">
      <c r="A1778" t="inlineStr">
        <is>
          <t>Payments</t>
        </is>
      </c>
      <c r="B1778" s="46">
        <f>'Payments'!W782</f>
        <v/>
      </c>
      <c r="C1778" s="84">
        <f>'Payments'!U782</f>
        <v/>
      </c>
      <c r="D1778" s="46">
        <f>'Payments'!V782</f>
        <v/>
      </c>
      <c r="E1778" s="46">
        <f>IF(OR(B1778="",C1778="",D1778=""),"",D1778*100000+(C1778-DATE(2000,1,1))+ROW()/100000)</f>
        <v/>
      </c>
      <c r="F1778" s="46">
        <f>IF(E1778="","",IF(C1778&gt;WeekEndDate,"",E1778))</f>
        <v/>
      </c>
    </row>
    <row r="1779">
      <c r="A1779" t="inlineStr">
        <is>
          <t>Payments</t>
        </is>
      </c>
      <c r="B1779" s="46">
        <f>'Payments'!W783</f>
        <v/>
      </c>
      <c r="C1779" s="84">
        <f>'Payments'!U783</f>
        <v/>
      </c>
      <c r="D1779" s="46">
        <f>'Payments'!V783</f>
        <v/>
      </c>
      <c r="E1779" s="46">
        <f>IF(OR(B1779="",C1779="",D1779=""),"",D1779*100000+(C1779-DATE(2000,1,1))+ROW()/100000)</f>
        <v/>
      </c>
      <c r="F1779" s="46">
        <f>IF(E1779="","",IF(C1779&gt;WeekEndDate,"",E1779))</f>
        <v/>
      </c>
    </row>
    <row r="1780">
      <c r="A1780" t="inlineStr">
        <is>
          <t>Payments</t>
        </is>
      </c>
      <c r="B1780" s="46">
        <f>'Payments'!W784</f>
        <v/>
      </c>
      <c r="C1780" s="84">
        <f>'Payments'!U784</f>
        <v/>
      </c>
      <c r="D1780" s="46">
        <f>'Payments'!V784</f>
        <v/>
      </c>
      <c r="E1780" s="46">
        <f>IF(OR(B1780="",C1780="",D1780=""),"",D1780*100000+(C1780-DATE(2000,1,1))+ROW()/100000)</f>
        <v/>
      </c>
      <c r="F1780" s="46">
        <f>IF(E1780="","",IF(C1780&gt;WeekEndDate,"",E1780))</f>
        <v/>
      </c>
    </row>
    <row r="1781">
      <c r="A1781" t="inlineStr">
        <is>
          <t>Payments</t>
        </is>
      </c>
      <c r="B1781" s="46">
        <f>'Payments'!W785</f>
        <v/>
      </c>
      <c r="C1781" s="84">
        <f>'Payments'!U785</f>
        <v/>
      </c>
      <c r="D1781" s="46">
        <f>'Payments'!V785</f>
        <v/>
      </c>
      <c r="E1781" s="46">
        <f>IF(OR(B1781="",C1781="",D1781=""),"",D1781*100000+(C1781-DATE(2000,1,1))+ROW()/100000)</f>
        <v/>
      </c>
      <c r="F1781" s="46">
        <f>IF(E1781="","",IF(C1781&gt;WeekEndDate,"",E1781))</f>
        <v/>
      </c>
    </row>
    <row r="1782">
      <c r="A1782" t="inlineStr">
        <is>
          <t>Payments</t>
        </is>
      </c>
      <c r="B1782" s="46">
        <f>'Payments'!W786</f>
        <v/>
      </c>
      <c r="C1782" s="84">
        <f>'Payments'!U786</f>
        <v/>
      </c>
      <c r="D1782" s="46">
        <f>'Payments'!V786</f>
        <v/>
      </c>
      <c r="E1782" s="46">
        <f>IF(OR(B1782="",C1782="",D1782=""),"",D1782*100000+(C1782-DATE(2000,1,1))+ROW()/100000)</f>
        <v/>
      </c>
      <c r="F1782" s="46">
        <f>IF(E1782="","",IF(C1782&gt;WeekEndDate,"",E1782))</f>
        <v/>
      </c>
    </row>
    <row r="1783">
      <c r="A1783" t="inlineStr">
        <is>
          <t>Payments</t>
        </is>
      </c>
      <c r="B1783" s="46">
        <f>'Payments'!W787</f>
        <v/>
      </c>
      <c r="C1783" s="84">
        <f>'Payments'!U787</f>
        <v/>
      </c>
      <c r="D1783" s="46">
        <f>'Payments'!V787</f>
        <v/>
      </c>
      <c r="E1783" s="46">
        <f>IF(OR(B1783="",C1783="",D1783=""),"",D1783*100000+(C1783-DATE(2000,1,1))+ROW()/100000)</f>
        <v/>
      </c>
      <c r="F1783" s="46">
        <f>IF(E1783="","",IF(C1783&gt;WeekEndDate,"",E1783))</f>
        <v/>
      </c>
    </row>
    <row r="1784">
      <c r="A1784" t="inlineStr">
        <is>
          <t>Payments</t>
        </is>
      </c>
      <c r="B1784" s="46">
        <f>'Payments'!W788</f>
        <v/>
      </c>
      <c r="C1784" s="84">
        <f>'Payments'!U788</f>
        <v/>
      </c>
      <c r="D1784" s="46">
        <f>'Payments'!V788</f>
        <v/>
      </c>
      <c r="E1784" s="46">
        <f>IF(OR(B1784="",C1784="",D1784=""),"",D1784*100000+(C1784-DATE(2000,1,1))+ROW()/100000)</f>
        <v/>
      </c>
      <c r="F1784" s="46">
        <f>IF(E1784="","",IF(C1784&gt;WeekEndDate,"",E1784))</f>
        <v/>
      </c>
    </row>
    <row r="1785">
      <c r="A1785" t="inlineStr">
        <is>
          <t>Payments</t>
        </is>
      </c>
      <c r="B1785" s="46">
        <f>'Payments'!W789</f>
        <v/>
      </c>
      <c r="C1785" s="84">
        <f>'Payments'!U789</f>
        <v/>
      </c>
      <c r="D1785" s="46">
        <f>'Payments'!V789</f>
        <v/>
      </c>
      <c r="E1785" s="46">
        <f>IF(OR(B1785="",C1785="",D1785=""),"",D1785*100000+(C1785-DATE(2000,1,1))+ROW()/100000)</f>
        <v/>
      </c>
      <c r="F1785" s="46">
        <f>IF(E1785="","",IF(C1785&gt;WeekEndDate,"",E1785))</f>
        <v/>
      </c>
    </row>
    <row r="1786">
      <c r="A1786" t="inlineStr">
        <is>
          <t>Payments</t>
        </is>
      </c>
      <c r="B1786" s="46">
        <f>'Payments'!W790</f>
        <v/>
      </c>
      <c r="C1786" s="84">
        <f>'Payments'!U790</f>
        <v/>
      </c>
      <c r="D1786" s="46">
        <f>'Payments'!V790</f>
        <v/>
      </c>
      <c r="E1786" s="46">
        <f>IF(OR(B1786="",C1786="",D1786=""),"",D1786*100000+(C1786-DATE(2000,1,1))+ROW()/100000)</f>
        <v/>
      </c>
      <c r="F1786" s="46">
        <f>IF(E1786="","",IF(C1786&gt;WeekEndDate,"",E1786))</f>
        <v/>
      </c>
    </row>
    <row r="1787">
      <c r="A1787" t="inlineStr">
        <is>
          <t>Payments</t>
        </is>
      </c>
      <c r="B1787" s="46">
        <f>'Payments'!W791</f>
        <v/>
      </c>
      <c r="C1787" s="84">
        <f>'Payments'!U791</f>
        <v/>
      </c>
      <c r="D1787" s="46">
        <f>'Payments'!V791</f>
        <v/>
      </c>
      <c r="E1787" s="46">
        <f>IF(OR(B1787="",C1787="",D1787=""),"",D1787*100000+(C1787-DATE(2000,1,1))+ROW()/100000)</f>
        <v/>
      </c>
      <c r="F1787" s="46">
        <f>IF(E1787="","",IF(C1787&gt;WeekEndDate,"",E1787))</f>
        <v/>
      </c>
    </row>
    <row r="1788">
      <c r="A1788" t="inlineStr">
        <is>
          <t>Payments</t>
        </is>
      </c>
      <c r="B1788" s="46">
        <f>'Payments'!W792</f>
        <v/>
      </c>
      <c r="C1788" s="84">
        <f>'Payments'!U792</f>
        <v/>
      </c>
      <c r="D1788" s="46">
        <f>'Payments'!V792</f>
        <v/>
      </c>
      <c r="E1788" s="46">
        <f>IF(OR(B1788="",C1788="",D1788=""),"",D1788*100000+(C1788-DATE(2000,1,1))+ROW()/100000)</f>
        <v/>
      </c>
      <c r="F1788" s="46">
        <f>IF(E1788="","",IF(C1788&gt;WeekEndDate,"",E1788))</f>
        <v/>
      </c>
    </row>
    <row r="1789">
      <c r="A1789" t="inlineStr">
        <is>
          <t>Payments</t>
        </is>
      </c>
      <c r="B1789" s="46">
        <f>'Payments'!W793</f>
        <v/>
      </c>
      <c r="C1789" s="84">
        <f>'Payments'!U793</f>
        <v/>
      </c>
      <c r="D1789" s="46">
        <f>'Payments'!V793</f>
        <v/>
      </c>
      <c r="E1789" s="46">
        <f>IF(OR(B1789="",C1789="",D1789=""),"",D1789*100000+(C1789-DATE(2000,1,1))+ROW()/100000)</f>
        <v/>
      </c>
      <c r="F1789" s="46">
        <f>IF(E1789="","",IF(C1789&gt;WeekEndDate,"",E1789))</f>
        <v/>
      </c>
    </row>
    <row r="1790">
      <c r="A1790" t="inlineStr">
        <is>
          <t>Payments</t>
        </is>
      </c>
      <c r="B1790" s="46">
        <f>'Payments'!W794</f>
        <v/>
      </c>
      <c r="C1790" s="84">
        <f>'Payments'!U794</f>
        <v/>
      </c>
      <c r="D1790" s="46">
        <f>'Payments'!V794</f>
        <v/>
      </c>
      <c r="E1790" s="46">
        <f>IF(OR(B1790="",C1790="",D1790=""),"",D1790*100000+(C1790-DATE(2000,1,1))+ROW()/100000)</f>
        <v/>
      </c>
      <c r="F1790" s="46">
        <f>IF(E1790="","",IF(C1790&gt;WeekEndDate,"",E1790))</f>
        <v/>
      </c>
    </row>
    <row r="1791">
      <c r="A1791" t="inlineStr">
        <is>
          <t>Payments</t>
        </is>
      </c>
      <c r="B1791" s="46">
        <f>'Payments'!W795</f>
        <v/>
      </c>
      <c r="C1791" s="84">
        <f>'Payments'!U795</f>
        <v/>
      </c>
      <c r="D1791" s="46">
        <f>'Payments'!V795</f>
        <v/>
      </c>
      <c r="E1791" s="46">
        <f>IF(OR(B1791="",C1791="",D1791=""),"",D1791*100000+(C1791-DATE(2000,1,1))+ROW()/100000)</f>
        <v/>
      </c>
      <c r="F1791" s="46">
        <f>IF(E1791="","",IF(C1791&gt;WeekEndDate,"",E1791))</f>
        <v/>
      </c>
    </row>
    <row r="1792">
      <c r="A1792" t="inlineStr">
        <is>
          <t>Payments</t>
        </is>
      </c>
      <c r="B1792" s="46">
        <f>'Payments'!W796</f>
        <v/>
      </c>
      <c r="C1792" s="84">
        <f>'Payments'!U796</f>
        <v/>
      </c>
      <c r="D1792" s="46">
        <f>'Payments'!V796</f>
        <v/>
      </c>
      <c r="E1792" s="46">
        <f>IF(OR(B1792="",C1792="",D1792=""),"",D1792*100000+(C1792-DATE(2000,1,1))+ROW()/100000)</f>
        <v/>
      </c>
      <c r="F1792" s="46">
        <f>IF(E1792="","",IF(C1792&gt;WeekEndDate,"",E1792))</f>
        <v/>
      </c>
    </row>
    <row r="1793">
      <c r="A1793" t="inlineStr">
        <is>
          <t>Payments</t>
        </is>
      </c>
      <c r="B1793" s="46">
        <f>'Payments'!W797</f>
        <v/>
      </c>
      <c r="C1793" s="84">
        <f>'Payments'!U797</f>
        <v/>
      </c>
      <c r="D1793" s="46">
        <f>'Payments'!V797</f>
        <v/>
      </c>
      <c r="E1793" s="46">
        <f>IF(OR(B1793="",C1793="",D1793=""),"",D1793*100000+(C1793-DATE(2000,1,1))+ROW()/100000)</f>
        <v/>
      </c>
      <c r="F1793" s="46">
        <f>IF(E1793="","",IF(C1793&gt;WeekEndDate,"",E1793))</f>
        <v/>
      </c>
    </row>
    <row r="1794">
      <c r="A1794" t="inlineStr">
        <is>
          <t>Payments</t>
        </is>
      </c>
      <c r="B1794" s="46">
        <f>'Payments'!W798</f>
        <v/>
      </c>
      <c r="C1794" s="84">
        <f>'Payments'!U798</f>
        <v/>
      </c>
      <c r="D1794" s="46">
        <f>'Payments'!V798</f>
        <v/>
      </c>
      <c r="E1794" s="46">
        <f>IF(OR(B1794="",C1794="",D1794=""),"",D1794*100000+(C1794-DATE(2000,1,1))+ROW()/100000)</f>
        <v/>
      </c>
      <c r="F1794" s="46">
        <f>IF(E1794="","",IF(C1794&gt;WeekEndDate,"",E1794))</f>
        <v/>
      </c>
    </row>
    <row r="1795">
      <c r="A1795" t="inlineStr">
        <is>
          <t>Payments</t>
        </is>
      </c>
      <c r="B1795" s="46">
        <f>'Payments'!W799</f>
        <v/>
      </c>
      <c r="C1795" s="84">
        <f>'Payments'!U799</f>
        <v/>
      </c>
      <c r="D1795" s="46">
        <f>'Payments'!V799</f>
        <v/>
      </c>
      <c r="E1795" s="46">
        <f>IF(OR(B1795="",C1795="",D1795=""),"",D1795*100000+(C1795-DATE(2000,1,1))+ROW()/100000)</f>
        <v/>
      </c>
      <c r="F1795" s="46">
        <f>IF(E1795="","",IF(C1795&gt;WeekEndDate,"",E1795))</f>
        <v/>
      </c>
    </row>
    <row r="1796">
      <c r="A1796" t="inlineStr">
        <is>
          <t>Payments</t>
        </is>
      </c>
      <c r="B1796" s="46">
        <f>'Payments'!W800</f>
        <v/>
      </c>
      <c r="C1796" s="84">
        <f>'Payments'!U800</f>
        <v/>
      </c>
      <c r="D1796" s="46">
        <f>'Payments'!V800</f>
        <v/>
      </c>
      <c r="E1796" s="46">
        <f>IF(OR(B1796="",C1796="",D1796=""),"",D1796*100000+(C1796-DATE(2000,1,1))+ROW()/100000)</f>
        <v/>
      </c>
      <c r="F1796" s="46">
        <f>IF(E1796="","",IF(C1796&gt;WeekEndDate,"",E1796))</f>
        <v/>
      </c>
    </row>
    <row r="1797">
      <c r="A1797" t="inlineStr">
        <is>
          <t>Payments</t>
        </is>
      </c>
      <c r="B1797" s="46">
        <f>'Payments'!W801</f>
        <v/>
      </c>
      <c r="C1797" s="84">
        <f>'Payments'!U801</f>
        <v/>
      </c>
      <c r="D1797" s="46">
        <f>'Payments'!V801</f>
        <v/>
      </c>
      <c r="E1797" s="46">
        <f>IF(OR(B1797="",C1797="",D1797=""),"",D1797*100000+(C1797-DATE(2000,1,1))+ROW()/100000)</f>
        <v/>
      </c>
      <c r="F1797" s="46">
        <f>IF(E1797="","",IF(C1797&gt;WeekEndDate,"",E1797))</f>
        <v/>
      </c>
    </row>
    <row r="1798">
      <c r="A1798" t="inlineStr">
        <is>
          <t>Payments</t>
        </is>
      </c>
      <c r="B1798" s="46">
        <f>'Payments'!W802</f>
        <v/>
      </c>
      <c r="C1798" s="84">
        <f>'Payments'!U802</f>
        <v/>
      </c>
      <c r="D1798" s="46">
        <f>'Payments'!V802</f>
        <v/>
      </c>
      <c r="E1798" s="46">
        <f>IF(OR(B1798="",C1798="",D1798=""),"",D1798*100000+(C1798-DATE(2000,1,1))+ROW()/100000)</f>
        <v/>
      </c>
      <c r="F1798" s="46">
        <f>IF(E1798="","",IF(C1798&gt;WeekEndDate,"",E1798))</f>
        <v/>
      </c>
    </row>
    <row r="1799">
      <c r="A1799" t="inlineStr">
        <is>
          <t>Payments</t>
        </is>
      </c>
      <c r="B1799" s="46">
        <f>'Payments'!W803</f>
        <v/>
      </c>
      <c r="C1799" s="84">
        <f>'Payments'!U803</f>
        <v/>
      </c>
      <c r="D1799" s="46">
        <f>'Payments'!V803</f>
        <v/>
      </c>
      <c r="E1799" s="46">
        <f>IF(OR(B1799="",C1799="",D1799=""),"",D1799*100000+(C1799-DATE(2000,1,1))+ROW()/100000)</f>
        <v/>
      </c>
      <c r="F1799" s="46">
        <f>IF(E1799="","",IF(C1799&gt;WeekEndDate,"",E1799))</f>
        <v/>
      </c>
    </row>
    <row r="1800">
      <c r="A1800" t="inlineStr">
        <is>
          <t>Payments</t>
        </is>
      </c>
      <c r="B1800" s="46">
        <f>'Payments'!W804</f>
        <v/>
      </c>
      <c r="C1800" s="84">
        <f>'Payments'!U804</f>
        <v/>
      </c>
      <c r="D1800" s="46">
        <f>'Payments'!V804</f>
        <v/>
      </c>
      <c r="E1800" s="46">
        <f>IF(OR(B1800="",C1800="",D1800=""),"",D1800*100000+(C1800-DATE(2000,1,1))+ROW()/100000)</f>
        <v/>
      </c>
      <c r="F1800" s="46">
        <f>IF(E1800="","",IF(C1800&gt;WeekEndDate,"",E1800))</f>
        <v/>
      </c>
    </row>
    <row r="1801">
      <c r="A1801" t="inlineStr">
        <is>
          <t>Payments</t>
        </is>
      </c>
      <c r="B1801" s="46">
        <f>'Payments'!W805</f>
        <v/>
      </c>
      <c r="C1801" s="84">
        <f>'Payments'!U805</f>
        <v/>
      </c>
      <c r="D1801" s="46">
        <f>'Payments'!V805</f>
        <v/>
      </c>
      <c r="E1801" s="46">
        <f>IF(OR(B1801="",C1801="",D1801=""),"",D1801*100000+(C1801-DATE(2000,1,1))+ROW()/100000)</f>
        <v/>
      </c>
      <c r="F1801" s="46">
        <f>IF(E1801="","",IF(C1801&gt;WeekEndDate,"",E1801))</f>
        <v/>
      </c>
    </row>
    <row r="1802">
      <c r="A1802" t="inlineStr">
        <is>
          <t>Payments</t>
        </is>
      </c>
      <c r="B1802" s="46">
        <f>'Payments'!W806</f>
        <v/>
      </c>
      <c r="C1802" s="84">
        <f>'Payments'!U806</f>
        <v/>
      </c>
      <c r="D1802" s="46">
        <f>'Payments'!V806</f>
        <v/>
      </c>
      <c r="E1802" s="46">
        <f>IF(OR(B1802="",C1802="",D1802=""),"",D1802*100000+(C1802-DATE(2000,1,1))+ROW()/100000)</f>
        <v/>
      </c>
      <c r="F1802" s="46">
        <f>IF(E1802="","",IF(C1802&gt;WeekEndDate,"",E1802))</f>
        <v/>
      </c>
    </row>
    <row r="1803">
      <c r="A1803" t="inlineStr">
        <is>
          <t>Payments</t>
        </is>
      </c>
      <c r="B1803" s="46">
        <f>'Payments'!W807</f>
        <v/>
      </c>
      <c r="C1803" s="84">
        <f>'Payments'!U807</f>
        <v/>
      </c>
      <c r="D1803" s="46">
        <f>'Payments'!V807</f>
        <v/>
      </c>
      <c r="E1803" s="46">
        <f>IF(OR(B1803="",C1803="",D1803=""),"",D1803*100000+(C1803-DATE(2000,1,1))+ROW()/100000)</f>
        <v/>
      </c>
      <c r="F1803" s="46">
        <f>IF(E1803="","",IF(C1803&gt;WeekEndDate,"",E1803))</f>
        <v/>
      </c>
    </row>
    <row r="1804">
      <c r="A1804" t="inlineStr">
        <is>
          <t>Payments</t>
        </is>
      </c>
      <c r="B1804" s="46">
        <f>'Payments'!W808</f>
        <v/>
      </c>
      <c r="C1804" s="84">
        <f>'Payments'!U808</f>
        <v/>
      </c>
      <c r="D1804" s="46">
        <f>'Payments'!V808</f>
        <v/>
      </c>
      <c r="E1804" s="46">
        <f>IF(OR(B1804="",C1804="",D1804=""),"",D1804*100000+(C1804-DATE(2000,1,1))+ROW()/100000)</f>
        <v/>
      </c>
      <c r="F1804" s="46">
        <f>IF(E1804="","",IF(C1804&gt;WeekEndDate,"",E1804))</f>
        <v/>
      </c>
    </row>
    <row r="1805">
      <c r="A1805" t="inlineStr">
        <is>
          <t>Payments</t>
        </is>
      </c>
      <c r="B1805" s="46">
        <f>'Payments'!W809</f>
        <v/>
      </c>
      <c r="C1805" s="84">
        <f>'Payments'!U809</f>
        <v/>
      </c>
      <c r="D1805" s="46">
        <f>'Payments'!V809</f>
        <v/>
      </c>
      <c r="E1805" s="46">
        <f>IF(OR(B1805="",C1805="",D1805=""),"",D1805*100000+(C1805-DATE(2000,1,1))+ROW()/100000)</f>
        <v/>
      </c>
      <c r="F1805" s="46">
        <f>IF(E1805="","",IF(C1805&gt;WeekEndDate,"",E1805))</f>
        <v/>
      </c>
    </row>
    <row r="1806">
      <c r="A1806" t="inlineStr">
        <is>
          <t>Payments</t>
        </is>
      </c>
      <c r="B1806" s="46">
        <f>'Payments'!W810</f>
        <v/>
      </c>
      <c r="C1806" s="84">
        <f>'Payments'!U810</f>
        <v/>
      </c>
      <c r="D1806" s="46">
        <f>'Payments'!V810</f>
        <v/>
      </c>
      <c r="E1806" s="46">
        <f>IF(OR(B1806="",C1806="",D1806=""),"",D1806*100000+(C1806-DATE(2000,1,1))+ROW()/100000)</f>
        <v/>
      </c>
      <c r="F1806" s="46">
        <f>IF(E1806="","",IF(C1806&gt;WeekEndDate,"",E1806))</f>
        <v/>
      </c>
    </row>
    <row r="1807">
      <c r="A1807" t="inlineStr">
        <is>
          <t>Payments</t>
        </is>
      </c>
      <c r="B1807" s="46">
        <f>'Payments'!W811</f>
        <v/>
      </c>
      <c r="C1807" s="84">
        <f>'Payments'!U811</f>
        <v/>
      </c>
      <c r="D1807" s="46">
        <f>'Payments'!V811</f>
        <v/>
      </c>
      <c r="E1807" s="46">
        <f>IF(OR(B1807="",C1807="",D1807=""),"",D1807*100000+(C1807-DATE(2000,1,1))+ROW()/100000)</f>
        <v/>
      </c>
      <c r="F1807" s="46">
        <f>IF(E1807="","",IF(C1807&gt;WeekEndDate,"",E1807))</f>
        <v/>
      </c>
    </row>
    <row r="1808">
      <c r="A1808" t="inlineStr">
        <is>
          <t>Payments</t>
        </is>
      </c>
      <c r="B1808" s="46">
        <f>'Payments'!W812</f>
        <v/>
      </c>
      <c r="C1808" s="84">
        <f>'Payments'!U812</f>
        <v/>
      </c>
      <c r="D1808" s="46">
        <f>'Payments'!V812</f>
        <v/>
      </c>
      <c r="E1808" s="46">
        <f>IF(OR(B1808="",C1808="",D1808=""),"",D1808*100000+(C1808-DATE(2000,1,1))+ROW()/100000)</f>
        <v/>
      </c>
      <c r="F1808" s="46">
        <f>IF(E1808="","",IF(C1808&gt;WeekEndDate,"",E1808))</f>
        <v/>
      </c>
    </row>
    <row r="1809">
      <c r="A1809" t="inlineStr">
        <is>
          <t>Payments</t>
        </is>
      </c>
      <c r="B1809" s="46">
        <f>'Payments'!W813</f>
        <v/>
      </c>
      <c r="C1809" s="84">
        <f>'Payments'!U813</f>
        <v/>
      </c>
      <c r="D1809" s="46">
        <f>'Payments'!V813</f>
        <v/>
      </c>
      <c r="E1809" s="46">
        <f>IF(OR(B1809="",C1809="",D1809=""),"",D1809*100000+(C1809-DATE(2000,1,1))+ROW()/100000)</f>
        <v/>
      </c>
      <c r="F1809" s="46">
        <f>IF(E1809="","",IF(C1809&gt;WeekEndDate,"",E1809))</f>
        <v/>
      </c>
    </row>
    <row r="1810">
      <c r="A1810" t="inlineStr">
        <is>
          <t>Payments</t>
        </is>
      </c>
      <c r="B1810" s="46">
        <f>'Payments'!W814</f>
        <v/>
      </c>
      <c r="C1810" s="84">
        <f>'Payments'!U814</f>
        <v/>
      </c>
      <c r="D1810" s="46">
        <f>'Payments'!V814</f>
        <v/>
      </c>
      <c r="E1810" s="46">
        <f>IF(OR(B1810="",C1810="",D1810=""),"",D1810*100000+(C1810-DATE(2000,1,1))+ROW()/100000)</f>
        <v/>
      </c>
      <c r="F1810" s="46">
        <f>IF(E1810="","",IF(C1810&gt;WeekEndDate,"",E1810))</f>
        <v/>
      </c>
    </row>
    <row r="1811">
      <c r="A1811" t="inlineStr">
        <is>
          <t>Payments</t>
        </is>
      </c>
      <c r="B1811" s="46">
        <f>'Payments'!W815</f>
        <v/>
      </c>
      <c r="C1811" s="84">
        <f>'Payments'!U815</f>
        <v/>
      </c>
      <c r="D1811" s="46">
        <f>'Payments'!V815</f>
        <v/>
      </c>
      <c r="E1811" s="46">
        <f>IF(OR(B1811="",C1811="",D1811=""),"",D1811*100000+(C1811-DATE(2000,1,1))+ROW()/100000)</f>
        <v/>
      </c>
      <c r="F1811" s="46">
        <f>IF(E1811="","",IF(C1811&gt;WeekEndDate,"",E1811))</f>
        <v/>
      </c>
    </row>
    <row r="1812">
      <c r="A1812" t="inlineStr">
        <is>
          <t>Payments</t>
        </is>
      </c>
      <c r="B1812" s="46">
        <f>'Payments'!W816</f>
        <v/>
      </c>
      <c r="C1812" s="84">
        <f>'Payments'!U816</f>
        <v/>
      </c>
      <c r="D1812" s="46">
        <f>'Payments'!V816</f>
        <v/>
      </c>
      <c r="E1812" s="46">
        <f>IF(OR(B1812="",C1812="",D1812=""),"",D1812*100000+(C1812-DATE(2000,1,1))+ROW()/100000)</f>
        <v/>
      </c>
      <c r="F1812" s="46">
        <f>IF(E1812="","",IF(C1812&gt;WeekEndDate,"",E1812))</f>
        <v/>
      </c>
    </row>
    <row r="1813">
      <c r="A1813" t="inlineStr">
        <is>
          <t>Payments</t>
        </is>
      </c>
      <c r="B1813" s="46">
        <f>'Payments'!W817</f>
        <v/>
      </c>
      <c r="C1813" s="84">
        <f>'Payments'!U817</f>
        <v/>
      </c>
      <c r="D1813" s="46">
        <f>'Payments'!V817</f>
        <v/>
      </c>
      <c r="E1813" s="46">
        <f>IF(OR(B1813="",C1813="",D1813=""),"",D1813*100000+(C1813-DATE(2000,1,1))+ROW()/100000)</f>
        <v/>
      </c>
      <c r="F1813" s="46">
        <f>IF(E1813="","",IF(C1813&gt;WeekEndDate,"",E1813))</f>
        <v/>
      </c>
    </row>
    <row r="1814">
      <c r="A1814" t="inlineStr">
        <is>
          <t>Payments</t>
        </is>
      </c>
      <c r="B1814" s="46">
        <f>'Payments'!W818</f>
        <v/>
      </c>
      <c r="C1814" s="84">
        <f>'Payments'!U818</f>
        <v/>
      </c>
      <c r="D1814" s="46">
        <f>'Payments'!V818</f>
        <v/>
      </c>
      <c r="E1814" s="46">
        <f>IF(OR(B1814="",C1814="",D1814=""),"",D1814*100000+(C1814-DATE(2000,1,1))+ROW()/100000)</f>
        <v/>
      </c>
      <c r="F1814" s="46">
        <f>IF(E1814="","",IF(C1814&gt;WeekEndDate,"",E1814))</f>
        <v/>
      </c>
    </row>
    <row r="1815">
      <c r="A1815" t="inlineStr">
        <is>
          <t>Payments</t>
        </is>
      </c>
      <c r="B1815" s="46">
        <f>'Payments'!W819</f>
        <v/>
      </c>
      <c r="C1815" s="84">
        <f>'Payments'!U819</f>
        <v/>
      </c>
      <c r="D1815" s="46">
        <f>'Payments'!V819</f>
        <v/>
      </c>
      <c r="E1815" s="46">
        <f>IF(OR(B1815="",C1815="",D1815=""),"",D1815*100000+(C1815-DATE(2000,1,1))+ROW()/100000)</f>
        <v/>
      </c>
      <c r="F1815" s="46">
        <f>IF(E1815="","",IF(C1815&gt;WeekEndDate,"",E1815))</f>
        <v/>
      </c>
    </row>
    <row r="1816">
      <c r="A1816" t="inlineStr">
        <is>
          <t>Payments</t>
        </is>
      </c>
      <c r="B1816" s="46">
        <f>'Payments'!W820</f>
        <v/>
      </c>
      <c r="C1816" s="84">
        <f>'Payments'!U820</f>
        <v/>
      </c>
      <c r="D1816" s="46">
        <f>'Payments'!V820</f>
        <v/>
      </c>
      <c r="E1816" s="46">
        <f>IF(OR(B1816="",C1816="",D1816=""),"",D1816*100000+(C1816-DATE(2000,1,1))+ROW()/100000)</f>
        <v/>
      </c>
      <c r="F1816" s="46">
        <f>IF(E1816="","",IF(C1816&gt;WeekEndDate,"",E1816))</f>
        <v/>
      </c>
    </row>
    <row r="1817">
      <c r="A1817" t="inlineStr">
        <is>
          <t>Payments</t>
        </is>
      </c>
      <c r="B1817" s="46">
        <f>'Payments'!W821</f>
        <v/>
      </c>
      <c r="C1817" s="84">
        <f>'Payments'!U821</f>
        <v/>
      </c>
      <c r="D1817" s="46">
        <f>'Payments'!V821</f>
        <v/>
      </c>
      <c r="E1817" s="46">
        <f>IF(OR(B1817="",C1817="",D1817=""),"",D1817*100000+(C1817-DATE(2000,1,1))+ROW()/100000)</f>
        <v/>
      </c>
      <c r="F1817" s="46">
        <f>IF(E1817="","",IF(C1817&gt;WeekEndDate,"",E1817))</f>
        <v/>
      </c>
    </row>
    <row r="1818">
      <c r="A1818" t="inlineStr">
        <is>
          <t>Payments</t>
        </is>
      </c>
      <c r="B1818" s="46">
        <f>'Payments'!W822</f>
        <v/>
      </c>
      <c r="C1818" s="84">
        <f>'Payments'!U822</f>
        <v/>
      </c>
      <c r="D1818" s="46">
        <f>'Payments'!V822</f>
        <v/>
      </c>
      <c r="E1818" s="46">
        <f>IF(OR(B1818="",C1818="",D1818=""),"",D1818*100000+(C1818-DATE(2000,1,1))+ROW()/100000)</f>
        <v/>
      </c>
      <c r="F1818" s="46">
        <f>IF(E1818="","",IF(C1818&gt;WeekEndDate,"",E1818))</f>
        <v/>
      </c>
    </row>
    <row r="1819">
      <c r="A1819" t="inlineStr">
        <is>
          <t>Payments</t>
        </is>
      </c>
      <c r="B1819" s="46">
        <f>'Payments'!W823</f>
        <v/>
      </c>
      <c r="C1819" s="84">
        <f>'Payments'!U823</f>
        <v/>
      </c>
      <c r="D1819" s="46">
        <f>'Payments'!V823</f>
        <v/>
      </c>
      <c r="E1819" s="46">
        <f>IF(OR(B1819="",C1819="",D1819=""),"",D1819*100000+(C1819-DATE(2000,1,1))+ROW()/100000)</f>
        <v/>
      </c>
      <c r="F1819" s="46">
        <f>IF(E1819="","",IF(C1819&gt;WeekEndDate,"",E1819))</f>
        <v/>
      </c>
    </row>
    <row r="1820">
      <c r="A1820" t="inlineStr">
        <is>
          <t>Payments</t>
        </is>
      </c>
      <c r="B1820" s="46">
        <f>'Payments'!W824</f>
        <v/>
      </c>
      <c r="C1820" s="84">
        <f>'Payments'!U824</f>
        <v/>
      </c>
      <c r="D1820" s="46">
        <f>'Payments'!V824</f>
        <v/>
      </c>
      <c r="E1820" s="46">
        <f>IF(OR(B1820="",C1820="",D1820=""),"",D1820*100000+(C1820-DATE(2000,1,1))+ROW()/100000)</f>
        <v/>
      </c>
      <c r="F1820" s="46">
        <f>IF(E1820="","",IF(C1820&gt;WeekEndDate,"",E1820))</f>
        <v/>
      </c>
    </row>
    <row r="1821">
      <c r="A1821" t="inlineStr">
        <is>
          <t>Payments</t>
        </is>
      </c>
      <c r="B1821" s="46">
        <f>'Payments'!W825</f>
        <v/>
      </c>
      <c r="C1821" s="84">
        <f>'Payments'!U825</f>
        <v/>
      </c>
      <c r="D1821" s="46">
        <f>'Payments'!V825</f>
        <v/>
      </c>
      <c r="E1821" s="46">
        <f>IF(OR(B1821="",C1821="",D1821=""),"",D1821*100000+(C1821-DATE(2000,1,1))+ROW()/100000)</f>
        <v/>
      </c>
      <c r="F1821" s="46">
        <f>IF(E1821="","",IF(C1821&gt;WeekEndDate,"",E1821))</f>
        <v/>
      </c>
    </row>
    <row r="1822">
      <c r="A1822" t="inlineStr">
        <is>
          <t>Payments</t>
        </is>
      </c>
      <c r="B1822" s="46">
        <f>'Payments'!W826</f>
        <v/>
      </c>
      <c r="C1822" s="84">
        <f>'Payments'!U826</f>
        <v/>
      </c>
      <c r="D1822" s="46">
        <f>'Payments'!V826</f>
        <v/>
      </c>
      <c r="E1822" s="46">
        <f>IF(OR(B1822="",C1822="",D1822=""),"",D1822*100000+(C1822-DATE(2000,1,1))+ROW()/100000)</f>
        <v/>
      </c>
      <c r="F1822" s="46">
        <f>IF(E1822="","",IF(C1822&gt;WeekEndDate,"",E1822))</f>
        <v/>
      </c>
    </row>
    <row r="1823">
      <c r="A1823" t="inlineStr">
        <is>
          <t>Payments</t>
        </is>
      </c>
      <c r="B1823" s="46">
        <f>'Payments'!W827</f>
        <v/>
      </c>
      <c r="C1823" s="84">
        <f>'Payments'!U827</f>
        <v/>
      </c>
      <c r="D1823" s="46">
        <f>'Payments'!V827</f>
        <v/>
      </c>
      <c r="E1823" s="46">
        <f>IF(OR(B1823="",C1823="",D1823=""),"",D1823*100000+(C1823-DATE(2000,1,1))+ROW()/100000)</f>
        <v/>
      </c>
      <c r="F1823" s="46">
        <f>IF(E1823="","",IF(C1823&gt;WeekEndDate,"",E1823))</f>
        <v/>
      </c>
    </row>
    <row r="1824">
      <c r="A1824" t="inlineStr">
        <is>
          <t>Payments</t>
        </is>
      </c>
      <c r="B1824" s="46">
        <f>'Payments'!W828</f>
        <v/>
      </c>
      <c r="C1824" s="84">
        <f>'Payments'!U828</f>
        <v/>
      </c>
      <c r="D1824" s="46">
        <f>'Payments'!V828</f>
        <v/>
      </c>
      <c r="E1824" s="46">
        <f>IF(OR(B1824="",C1824="",D1824=""),"",D1824*100000+(C1824-DATE(2000,1,1))+ROW()/100000)</f>
        <v/>
      </c>
      <c r="F1824" s="46">
        <f>IF(E1824="","",IF(C1824&gt;WeekEndDate,"",E1824))</f>
        <v/>
      </c>
    </row>
    <row r="1825">
      <c r="A1825" t="inlineStr">
        <is>
          <t>Payments</t>
        </is>
      </c>
      <c r="B1825" s="46">
        <f>'Payments'!W829</f>
        <v/>
      </c>
      <c r="C1825" s="84">
        <f>'Payments'!U829</f>
        <v/>
      </c>
      <c r="D1825" s="46">
        <f>'Payments'!V829</f>
        <v/>
      </c>
      <c r="E1825" s="46">
        <f>IF(OR(B1825="",C1825="",D1825=""),"",D1825*100000+(C1825-DATE(2000,1,1))+ROW()/100000)</f>
        <v/>
      </c>
      <c r="F1825" s="46">
        <f>IF(E1825="","",IF(C1825&gt;WeekEndDate,"",E1825))</f>
        <v/>
      </c>
    </row>
    <row r="1826">
      <c r="A1826" t="inlineStr">
        <is>
          <t>Payments</t>
        </is>
      </c>
      <c r="B1826" s="46">
        <f>'Payments'!W830</f>
        <v/>
      </c>
      <c r="C1826" s="84">
        <f>'Payments'!U830</f>
        <v/>
      </c>
      <c r="D1826" s="46">
        <f>'Payments'!V830</f>
        <v/>
      </c>
      <c r="E1826" s="46">
        <f>IF(OR(B1826="",C1826="",D1826=""),"",D1826*100000+(C1826-DATE(2000,1,1))+ROW()/100000)</f>
        <v/>
      </c>
      <c r="F1826" s="46">
        <f>IF(E1826="","",IF(C1826&gt;WeekEndDate,"",E1826))</f>
        <v/>
      </c>
    </row>
    <row r="1827">
      <c r="A1827" t="inlineStr">
        <is>
          <t>Payments</t>
        </is>
      </c>
      <c r="B1827" s="46">
        <f>'Payments'!W831</f>
        <v/>
      </c>
      <c r="C1827" s="84">
        <f>'Payments'!U831</f>
        <v/>
      </c>
      <c r="D1827" s="46">
        <f>'Payments'!V831</f>
        <v/>
      </c>
      <c r="E1827" s="46">
        <f>IF(OR(B1827="",C1827="",D1827=""),"",D1827*100000+(C1827-DATE(2000,1,1))+ROW()/100000)</f>
        <v/>
      </c>
      <c r="F1827" s="46">
        <f>IF(E1827="","",IF(C1827&gt;WeekEndDate,"",E1827))</f>
        <v/>
      </c>
    </row>
    <row r="1828">
      <c r="A1828" t="inlineStr">
        <is>
          <t>Payments</t>
        </is>
      </c>
      <c r="B1828" s="46">
        <f>'Payments'!W832</f>
        <v/>
      </c>
      <c r="C1828" s="84">
        <f>'Payments'!U832</f>
        <v/>
      </c>
      <c r="D1828" s="46">
        <f>'Payments'!V832</f>
        <v/>
      </c>
      <c r="E1828" s="46">
        <f>IF(OR(B1828="",C1828="",D1828=""),"",D1828*100000+(C1828-DATE(2000,1,1))+ROW()/100000)</f>
        <v/>
      </c>
      <c r="F1828" s="46">
        <f>IF(E1828="","",IF(C1828&gt;WeekEndDate,"",E1828))</f>
        <v/>
      </c>
    </row>
    <row r="1829">
      <c r="A1829" t="inlineStr">
        <is>
          <t>Payments</t>
        </is>
      </c>
      <c r="B1829" s="46">
        <f>'Payments'!W833</f>
        <v/>
      </c>
      <c r="C1829" s="84">
        <f>'Payments'!U833</f>
        <v/>
      </c>
      <c r="D1829" s="46">
        <f>'Payments'!V833</f>
        <v/>
      </c>
      <c r="E1829" s="46">
        <f>IF(OR(B1829="",C1829="",D1829=""),"",D1829*100000+(C1829-DATE(2000,1,1))+ROW()/100000)</f>
        <v/>
      </c>
      <c r="F1829" s="46">
        <f>IF(E1829="","",IF(C1829&gt;WeekEndDate,"",E1829))</f>
        <v/>
      </c>
    </row>
    <row r="1830">
      <c r="A1830" t="inlineStr">
        <is>
          <t>Payments</t>
        </is>
      </c>
      <c r="B1830" s="46">
        <f>'Payments'!W834</f>
        <v/>
      </c>
      <c r="C1830" s="84">
        <f>'Payments'!U834</f>
        <v/>
      </c>
      <c r="D1830" s="46">
        <f>'Payments'!V834</f>
        <v/>
      </c>
      <c r="E1830" s="46">
        <f>IF(OR(B1830="",C1830="",D1830=""),"",D1830*100000+(C1830-DATE(2000,1,1))+ROW()/100000)</f>
        <v/>
      </c>
      <c r="F1830" s="46">
        <f>IF(E1830="","",IF(C1830&gt;WeekEndDate,"",E1830))</f>
        <v/>
      </c>
    </row>
    <row r="1831">
      <c r="A1831" t="inlineStr">
        <is>
          <t>Payments</t>
        </is>
      </c>
      <c r="B1831" s="46">
        <f>'Payments'!W835</f>
        <v/>
      </c>
      <c r="C1831" s="84">
        <f>'Payments'!U835</f>
        <v/>
      </c>
      <c r="D1831" s="46">
        <f>'Payments'!V835</f>
        <v/>
      </c>
      <c r="E1831" s="46">
        <f>IF(OR(B1831="",C1831="",D1831=""),"",D1831*100000+(C1831-DATE(2000,1,1))+ROW()/100000)</f>
        <v/>
      </c>
      <c r="F1831" s="46">
        <f>IF(E1831="","",IF(C1831&gt;WeekEndDate,"",E1831))</f>
        <v/>
      </c>
    </row>
    <row r="1832">
      <c r="A1832" t="inlineStr">
        <is>
          <t>Payments</t>
        </is>
      </c>
      <c r="B1832" s="46">
        <f>'Payments'!W836</f>
        <v/>
      </c>
      <c r="C1832" s="84">
        <f>'Payments'!U836</f>
        <v/>
      </c>
      <c r="D1832" s="46">
        <f>'Payments'!V836</f>
        <v/>
      </c>
      <c r="E1832" s="46">
        <f>IF(OR(B1832="",C1832="",D1832=""),"",D1832*100000+(C1832-DATE(2000,1,1))+ROW()/100000)</f>
        <v/>
      </c>
      <c r="F1832" s="46">
        <f>IF(E1832="","",IF(C1832&gt;WeekEndDate,"",E1832))</f>
        <v/>
      </c>
    </row>
    <row r="1833">
      <c r="A1833" t="inlineStr">
        <is>
          <t>Payments</t>
        </is>
      </c>
      <c r="B1833" s="46">
        <f>'Payments'!W837</f>
        <v/>
      </c>
      <c r="C1833" s="84">
        <f>'Payments'!U837</f>
        <v/>
      </c>
      <c r="D1833" s="46">
        <f>'Payments'!V837</f>
        <v/>
      </c>
      <c r="E1833" s="46">
        <f>IF(OR(B1833="",C1833="",D1833=""),"",D1833*100000+(C1833-DATE(2000,1,1))+ROW()/100000)</f>
        <v/>
      </c>
      <c r="F1833" s="46">
        <f>IF(E1833="","",IF(C1833&gt;WeekEndDate,"",E1833))</f>
        <v/>
      </c>
    </row>
    <row r="1834">
      <c r="A1834" t="inlineStr">
        <is>
          <t>Payments</t>
        </is>
      </c>
      <c r="B1834" s="46">
        <f>'Payments'!W838</f>
        <v/>
      </c>
      <c r="C1834" s="84">
        <f>'Payments'!U838</f>
        <v/>
      </c>
      <c r="D1834" s="46">
        <f>'Payments'!V838</f>
        <v/>
      </c>
      <c r="E1834" s="46">
        <f>IF(OR(B1834="",C1834="",D1834=""),"",D1834*100000+(C1834-DATE(2000,1,1))+ROW()/100000)</f>
        <v/>
      </c>
      <c r="F1834" s="46">
        <f>IF(E1834="","",IF(C1834&gt;WeekEndDate,"",E1834))</f>
        <v/>
      </c>
    </row>
    <row r="1835">
      <c r="A1835" t="inlineStr">
        <is>
          <t>Payments</t>
        </is>
      </c>
      <c r="B1835" s="46">
        <f>'Payments'!W839</f>
        <v/>
      </c>
      <c r="C1835" s="84">
        <f>'Payments'!U839</f>
        <v/>
      </c>
      <c r="D1835" s="46">
        <f>'Payments'!V839</f>
        <v/>
      </c>
      <c r="E1835" s="46">
        <f>IF(OR(B1835="",C1835="",D1835=""),"",D1835*100000+(C1835-DATE(2000,1,1))+ROW()/100000)</f>
        <v/>
      </c>
      <c r="F1835" s="46">
        <f>IF(E1835="","",IF(C1835&gt;WeekEndDate,"",E1835))</f>
        <v/>
      </c>
    </row>
    <row r="1836">
      <c r="A1836" t="inlineStr">
        <is>
          <t>Payments</t>
        </is>
      </c>
      <c r="B1836" s="46">
        <f>'Payments'!W840</f>
        <v/>
      </c>
      <c r="C1836" s="84">
        <f>'Payments'!U840</f>
        <v/>
      </c>
      <c r="D1836" s="46">
        <f>'Payments'!V840</f>
        <v/>
      </c>
      <c r="E1836" s="46">
        <f>IF(OR(B1836="",C1836="",D1836=""),"",D1836*100000+(C1836-DATE(2000,1,1))+ROW()/100000)</f>
        <v/>
      </c>
      <c r="F1836" s="46">
        <f>IF(E1836="","",IF(C1836&gt;WeekEndDate,"",E1836))</f>
        <v/>
      </c>
    </row>
    <row r="1837">
      <c r="A1837" t="inlineStr">
        <is>
          <t>Payments</t>
        </is>
      </c>
      <c r="B1837" s="46">
        <f>'Payments'!W841</f>
        <v/>
      </c>
      <c r="C1837" s="84">
        <f>'Payments'!U841</f>
        <v/>
      </c>
      <c r="D1837" s="46">
        <f>'Payments'!V841</f>
        <v/>
      </c>
      <c r="E1837" s="46">
        <f>IF(OR(B1837="",C1837="",D1837=""),"",D1837*100000+(C1837-DATE(2000,1,1))+ROW()/100000)</f>
        <v/>
      </c>
      <c r="F1837" s="46">
        <f>IF(E1837="","",IF(C1837&gt;WeekEndDate,"",E1837))</f>
        <v/>
      </c>
    </row>
    <row r="1838">
      <c r="A1838" t="inlineStr">
        <is>
          <t>Payments</t>
        </is>
      </c>
      <c r="B1838" s="46">
        <f>'Payments'!W842</f>
        <v/>
      </c>
      <c r="C1838" s="84">
        <f>'Payments'!U842</f>
        <v/>
      </c>
      <c r="D1838" s="46">
        <f>'Payments'!V842</f>
        <v/>
      </c>
      <c r="E1838" s="46">
        <f>IF(OR(B1838="",C1838="",D1838=""),"",D1838*100000+(C1838-DATE(2000,1,1))+ROW()/100000)</f>
        <v/>
      </c>
      <c r="F1838" s="46">
        <f>IF(E1838="","",IF(C1838&gt;WeekEndDate,"",E1838))</f>
        <v/>
      </c>
    </row>
    <row r="1839">
      <c r="A1839" t="inlineStr">
        <is>
          <t>Payments</t>
        </is>
      </c>
      <c r="B1839" s="46">
        <f>'Payments'!W843</f>
        <v/>
      </c>
      <c r="C1839" s="84">
        <f>'Payments'!U843</f>
        <v/>
      </c>
      <c r="D1839" s="46">
        <f>'Payments'!V843</f>
        <v/>
      </c>
      <c r="E1839" s="46">
        <f>IF(OR(B1839="",C1839="",D1839=""),"",D1839*100000+(C1839-DATE(2000,1,1))+ROW()/100000)</f>
        <v/>
      </c>
      <c r="F1839" s="46">
        <f>IF(E1839="","",IF(C1839&gt;WeekEndDate,"",E1839))</f>
        <v/>
      </c>
    </row>
    <row r="1840">
      <c r="A1840" t="inlineStr">
        <is>
          <t>Payments</t>
        </is>
      </c>
      <c r="B1840" s="46">
        <f>'Payments'!W844</f>
        <v/>
      </c>
      <c r="C1840" s="84">
        <f>'Payments'!U844</f>
        <v/>
      </c>
      <c r="D1840" s="46">
        <f>'Payments'!V844</f>
        <v/>
      </c>
      <c r="E1840" s="46">
        <f>IF(OR(B1840="",C1840="",D1840=""),"",D1840*100000+(C1840-DATE(2000,1,1))+ROW()/100000)</f>
        <v/>
      </c>
      <c r="F1840" s="46">
        <f>IF(E1840="","",IF(C1840&gt;WeekEndDate,"",E1840))</f>
        <v/>
      </c>
    </row>
    <row r="1841">
      <c r="A1841" t="inlineStr">
        <is>
          <t>Payments</t>
        </is>
      </c>
      <c r="B1841" s="46">
        <f>'Payments'!W845</f>
        <v/>
      </c>
      <c r="C1841" s="84">
        <f>'Payments'!U845</f>
        <v/>
      </c>
      <c r="D1841" s="46">
        <f>'Payments'!V845</f>
        <v/>
      </c>
      <c r="E1841" s="46">
        <f>IF(OR(B1841="",C1841="",D1841=""),"",D1841*100000+(C1841-DATE(2000,1,1))+ROW()/100000)</f>
        <v/>
      </c>
      <c r="F1841" s="46">
        <f>IF(E1841="","",IF(C1841&gt;WeekEndDate,"",E1841))</f>
        <v/>
      </c>
    </row>
    <row r="1842">
      <c r="A1842" t="inlineStr">
        <is>
          <t>Payments</t>
        </is>
      </c>
      <c r="B1842" s="46">
        <f>'Payments'!W846</f>
        <v/>
      </c>
      <c r="C1842" s="84">
        <f>'Payments'!U846</f>
        <v/>
      </c>
      <c r="D1842" s="46">
        <f>'Payments'!V846</f>
        <v/>
      </c>
      <c r="E1842" s="46">
        <f>IF(OR(B1842="",C1842="",D1842=""),"",D1842*100000+(C1842-DATE(2000,1,1))+ROW()/100000)</f>
        <v/>
      </c>
      <c r="F1842" s="46">
        <f>IF(E1842="","",IF(C1842&gt;WeekEndDate,"",E1842))</f>
        <v/>
      </c>
    </row>
    <row r="1843">
      <c r="A1843" t="inlineStr">
        <is>
          <t>Payments</t>
        </is>
      </c>
      <c r="B1843" s="46">
        <f>'Payments'!W847</f>
        <v/>
      </c>
      <c r="C1843" s="84">
        <f>'Payments'!U847</f>
        <v/>
      </c>
      <c r="D1843" s="46">
        <f>'Payments'!V847</f>
        <v/>
      </c>
      <c r="E1843" s="46">
        <f>IF(OR(B1843="",C1843="",D1843=""),"",D1843*100000+(C1843-DATE(2000,1,1))+ROW()/100000)</f>
        <v/>
      </c>
      <c r="F1843" s="46">
        <f>IF(E1843="","",IF(C1843&gt;WeekEndDate,"",E1843))</f>
        <v/>
      </c>
    </row>
    <row r="1844">
      <c r="A1844" t="inlineStr">
        <is>
          <t>Payments</t>
        </is>
      </c>
      <c r="B1844" s="46">
        <f>'Payments'!W848</f>
        <v/>
      </c>
      <c r="C1844" s="84">
        <f>'Payments'!U848</f>
        <v/>
      </c>
      <c r="D1844" s="46">
        <f>'Payments'!V848</f>
        <v/>
      </c>
      <c r="E1844" s="46">
        <f>IF(OR(B1844="",C1844="",D1844=""),"",D1844*100000+(C1844-DATE(2000,1,1))+ROW()/100000)</f>
        <v/>
      </c>
      <c r="F1844" s="46">
        <f>IF(E1844="","",IF(C1844&gt;WeekEndDate,"",E1844))</f>
        <v/>
      </c>
    </row>
    <row r="1845">
      <c r="A1845" t="inlineStr">
        <is>
          <t>Payments</t>
        </is>
      </c>
      <c r="B1845" s="46">
        <f>'Payments'!W849</f>
        <v/>
      </c>
      <c r="C1845" s="84">
        <f>'Payments'!U849</f>
        <v/>
      </c>
      <c r="D1845" s="46">
        <f>'Payments'!V849</f>
        <v/>
      </c>
      <c r="E1845" s="46">
        <f>IF(OR(B1845="",C1845="",D1845=""),"",D1845*100000+(C1845-DATE(2000,1,1))+ROW()/100000)</f>
        <v/>
      </c>
      <c r="F1845" s="46">
        <f>IF(E1845="","",IF(C1845&gt;WeekEndDate,"",E1845))</f>
        <v/>
      </c>
    </row>
    <row r="1846">
      <c r="A1846" t="inlineStr">
        <is>
          <t>Payments</t>
        </is>
      </c>
      <c r="B1846" s="46">
        <f>'Payments'!W850</f>
        <v/>
      </c>
      <c r="C1846" s="84">
        <f>'Payments'!U850</f>
        <v/>
      </c>
      <c r="D1846" s="46">
        <f>'Payments'!V850</f>
        <v/>
      </c>
      <c r="E1846" s="46">
        <f>IF(OR(B1846="",C1846="",D1846=""),"",D1846*100000+(C1846-DATE(2000,1,1))+ROW()/100000)</f>
        <v/>
      </c>
      <c r="F1846" s="46">
        <f>IF(E1846="","",IF(C1846&gt;WeekEndDate,"",E1846))</f>
        <v/>
      </c>
    </row>
    <row r="1847">
      <c r="A1847" t="inlineStr">
        <is>
          <t>Payments</t>
        </is>
      </c>
      <c r="B1847" s="46">
        <f>'Payments'!W851</f>
        <v/>
      </c>
      <c r="C1847" s="84">
        <f>'Payments'!U851</f>
        <v/>
      </c>
      <c r="D1847" s="46">
        <f>'Payments'!V851</f>
        <v/>
      </c>
      <c r="E1847" s="46">
        <f>IF(OR(B1847="",C1847="",D1847=""),"",D1847*100000+(C1847-DATE(2000,1,1))+ROW()/100000)</f>
        <v/>
      </c>
      <c r="F1847" s="46">
        <f>IF(E1847="","",IF(C1847&gt;WeekEndDate,"",E1847))</f>
        <v/>
      </c>
    </row>
    <row r="1848">
      <c r="A1848" t="inlineStr">
        <is>
          <t>Payments</t>
        </is>
      </c>
      <c r="B1848" s="46">
        <f>'Payments'!W852</f>
        <v/>
      </c>
      <c r="C1848" s="84">
        <f>'Payments'!U852</f>
        <v/>
      </c>
      <c r="D1848" s="46">
        <f>'Payments'!V852</f>
        <v/>
      </c>
      <c r="E1848" s="46">
        <f>IF(OR(B1848="",C1848="",D1848=""),"",D1848*100000+(C1848-DATE(2000,1,1))+ROW()/100000)</f>
        <v/>
      </c>
      <c r="F1848" s="46">
        <f>IF(E1848="","",IF(C1848&gt;WeekEndDate,"",E1848))</f>
        <v/>
      </c>
    </row>
    <row r="1849">
      <c r="A1849" t="inlineStr">
        <is>
          <t>Payments</t>
        </is>
      </c>
      <c r="B1849" s="46">
        <f>'Payments'!W853</f>
        <v/>
      </c>
      <c r="C1849" s="84">
        <f>'Payments'!U853</f>
        <v/>
      </c>
      <c r="D1849" s="46">
        <f>'Payments'!V853</f>
        <v/>
      </c>
      <c r="E1849" s="46">
        <f>IF(OR(B1849="",C1849="",D1849=""),"",D1849*100000+(C1849-DATE(2000,1,1))+ROW()/100000)</f>
        <v/>
      </c>
      <c r="F1849" s="46">
        <f>IF(E1849="","",IF(C1849&gt;WeekEndDate,"",E1849))</f>
        <v/>
      </c>
    </row>
    <row r="1850">
      <c r="A1850" t="inlineStr">
        <is>
          <t>Payments</t>
        </is>
      </c>
      <c r="B1850" s="46">
        <f>'Payments'!W854</f>
        <v/>
      </c>
      <c r="C1850" s="84">
        <f>'Payments'!U854</f>
        <v/>
      </c>
      <c r="D1850" s="46">
        <f>'Payments'!V854</f>
        <v/>
      </c>
      <c r="E1850" s="46">
        <f>IF(OR(B1850="",C1850="",D1850=""),"",D1850*100000+(C1850-DATE(2000,1,1))+ROW()/100000)</f>
        <v/>
      </c>
      <c r="F1850" s="46">
        <f>IF(E1850="","",IF(C1850&gt;WeekEndDate,"",E1850))</f>
        <v/>
      </c>
    </row>
    <row r="1851">
      <c r="A1851" t="inlineStr">
        <is>
          <t>Payments</t>
        </is>
      </c>
      <c r="B1851" s="46">
        <f>'Payments'!W855</f>
        <v/>
      </c>
      <c r="C1851" s="84">
        <f>'Payments'!U855</f>
        <v/>
      </c>
      <c r="D1851" s="46">
        <f>'Payments'!V855</f>
        <v/>
      </c>
      <c r="E1851" s="46">
        <f>IF(OR(B1851="",C1851="",D1851=""),"",D1851*100000+(C1851-DATE(2000,1,1))+ROW()/100000)</f>
        <v/>
      </c>
      <c r="F1851" s="46">
        <f>IF(E1851="","",IF(C1851&gt;WeekEndDate,"",E1851))</f>
        <v/>
      </c>
    </row>
    <row r="1852">
      <c r="A1852" t="inlineStr">
        <is>
          <t>Payments</t>
        </is>
      </c>
      <c r="B1852" s="46">
        <f>'Payments'!W856</f>
        <v/>
      </c>
      <c r="C1852" s="84">
        <f>'Payments'!U856</f>
        <v/>
      </c>
      <c r="D1852" s="46">
        <f>'Payments'!V856</f>
        <v/>
      </c>
      <c r="E1852" s="46">
        <f>IF(OR(B1852="",C1852="",D1852=""),"",D1852*100000+(C1852-DATE(2000,1,1))+ROW()/100000)</f>
        <v/>
      </c>
      <c r="F1852" s="46">
        <f>IF(E1852="","",IF(C1852&gt;WeekEndDate,"",E1852))</f>
        <v/>
      </c>
    </row>
    <row r="1853">
      <c r="A1853" t="inlineStr">
        <is>
          <t>Payments</t>
        </is>
      </c>
      <c r="B1853" s="46">
        <f>'Payments'!W857</f>
        <v/>
      </c>
      <c r="C1853" s="84">
        <f>'Payments'!U857</f>
        <v/>
      </c>
      <c r="D1853" s="46">
        <f>'Payments'!V857</f>
        <v/>
      </c>
      <c r="E1853" s="46">
        <f>IF(OR(B1853="",C1853="",D1853=""),"",D1853*100000+(C1853-DATE(2000,1,1))+ROW()/100000)</f>
        <v/>
      </c>
      <c r="F1853" s="46">
        <f>IF(E1853="","",IF(C1853&gt;WeekEndDate,"",E1853))</f>
        <v/>
      </c>
    </row>
    <row r="1854">
      <c r="A1854" t="inlineStr">
        <is>
          <t>Payments</t>
        </is>
      </c>
      <c r="B1854" s="46">
        <f>'Payments'!W858</f>
        <v/>
      </c>
      <c r="C1854" s="84">
        <f>'Payments'!U858</f>
        <v/>
      </c>
      <c r="D1854" s="46">
        <f>'Payments'!V858</f>
        <v/>
      </c>
      <c r="E1854" s="46">
        <f>IF(OR(B1854="",C1854="",D1854=""),"",D1854*100000+(C1854-DATE(2000,1,1))+ROW()/100000)</f>
        <v/>
      </c>
      <c r="F1854" s="46">
        <f>IF(E1854="","",IF(C1854&gt;WeekEndDate,"",E1854))</f>
        <v/>
      </c>
    </row>
    <row r="1855">
      <c r="A1855" t="inlineStr">
        <is>
          <t>Payments</t>
        </is>
      </c>
      <c r="B1855" s="46">
        <f>'Payments'!W859</f>
        <v/>
      </c>
      <c r="C1855" s="84">
        <f>'Payments'!U859</f>
        <v/>
      </c>
      <c r="D1855" s="46">
        <f>'Payments'!V859</f>
        <v/>
      </c>
      <c r="E1855" s="46">
        <f>IF(OR(B1855="",C1855="",D1855=""),"",D1855*100000+(C1855-DATE(2000,1,1))+ROW()/100000)</f>
        <v/>
      </c>
      <c r="F1855" s="46">
        <f>IF(E1855="","",IF(C1855&gt;WeekEndDate,"",E1855))</f>
        <v/>
      </c>
    </row>
    <row r="1856">
      <c r="A1856" t="inlineStr">
        <is>
          <t>Payments</t>
        </is>
      </c>
      <c r="B1856" s="46">
        <f>'Payments'!W860</f>
        <v/>
      </c>
      <c r="C1856" s="84">
        <f>'Payments'!U860</f>
        <v/>
      </c>
      <c r="D1856" s="46">
        <f>'Payments'!V860</f>
        <v/>
      </c>
      <c r="E1856" s="46">
        <f>IF(OR(B1856="",C1856="",D1856=""),"",D1856*100000+(C1856-DATE(2000,1,1))+ROW()/100000)</f>
        <v/>
      </c>
      <c r="F1856" s="46">
        <f>IF(E1856="","",IF(C1856&gt;WeekEndDate,"",E1856))</f>
        <v/>
      </c>
    </row>
    <row r="1857">
      <c r="A1857" t="inlineStr">
        <is>
          <t>Payments</t>
        </is>
      </c>
      <c r="B1857" s="46">
        <f>'Payments'!W861</f>
        <v/>
      </c>
      <c r="C1857" s="84">
        <f>'Payments'!U861</f>
        <v/>
      </c>
      <c r="D1857" s="46">
        <f>'Payments'!V861</f>
        <v/>
      </c>
      <c r="E1857" s="46">
        <f>IF(OR(B1857="",C1857="",D1857=""),"",D1857*100000+(C1857-DATE(2000,1,1))+ROW()/100000)</f>
        <v/>
      </c>
      <c r="F1857" s="46">
        <f>IF(E1857="","",IF(C1857&gt;WeekEndDate,"",E1857))</f>
        <v/>
      </c>
    </row>
    <row r="1858">
      <c r="A1858" t="inlineStr">
        <is>
          <t>Payments</t>
        </is>
      </c>
      <c r="B1858" s="46">
        <f>'Payments'!W862</f>
        <v/>
      </c>
      <c r="C1858" s="84">
        <f>'Payments'!U862</f>
        <v/>
      </c>
      <c r="D1858" s="46">
        <f>'Payments'!V862</f>
        <v/>
      </c>
      <c r="E1858" s="46">
        <f>IF(OR(B1858="",C1858="",D1858=""),"",D1858*100000+(C1858-DATE(2000,1,1))+ROW()/100000)</f>
        <v/>
      </c>
      <c r="F1858" s="46">
        <f>IF(E1858="","",IF(C1858&gt;WeekEndDate,"",E1858))</f>
        <v/>
      </c>
    </row>
    <row r="1859">
      <c r="A1859" t="inlineStr">
        <is>
          <t>Payments</t>
        </is>
      </c>
      <c r="B1859" s="46">
        <f>'Payments'!W863</f>
        <v/>
      </c>
      <c r="C1859" s="84">
        <f>'Payments'!U863</f>
        <v/>
      </c>
      <c r="D1859" s="46">
        <f>'Payments'!V863</f>
        <v/>
      </c>
      <c r="E1859" s="46">
        <f>IF(OR(B1859="",C1859="",D1859=""),"",D1859*100000+(C1859-DATE(2000,1,1))+ROW()/100000)</f>
        <v/>
      </c>
      <c r="F1859" s="46">
        <f>IF(E1859="","",IF(C1859&gt;WeekEndDate,"",E1859))</f>
        <v/>
      </c>
    </row>
    <row r="1860">
      <c r="A1860" t="inlineStr">
        <is>
          <t>Payments</t>
        </is>
      </c>
      <c r="B1860" s="46">
        <f>'Payments'!W864</f>
        <v/>
      </c>
      <c r="C1860" s="84">
        <f>'Payments'!U864</f>
        <v/>
      </c>
      <c r="D1860" s="46">
        <f>'Payments'!V864</f>
        <v/>
      </c>
      <c r="E1860" s="46">
        <f>IF(OR(B1860="",C1860="",D1860=""),"",D1860*100000+(C1860-DATE(2000,1,1))+ROW()/100000)</f>
        <v/>
      </c>
      <c r="F1860" s="46">
        <f>IF(E1860="","",IF(C1860&gt;WeekEndDate,"",E1860))</f>
        <v/>
      </c>
    </row>
    <row r="1861">
      <c r="A1861" t="inlineStr">
        <is>
          <t>Payments</t>
        </is>
      </c>
      <c r="B1861" s="46">
        <f>'Payments'!W865</f>
        <v/>
      </c>
      <c r="C1861" s="84">
        <f>'Payments'!U865</f>
        <v/>
      </c>
      <c r="D1861" s="46">
        <f>'Payments'!V865</f>
        <v/>
      </c>
      <c r="E1861" s="46">
        <f>IF(OR(B1861="",C1861="",D1861=""),"",D1861*100000+(C1861-DATE(2000,1,1))+ROW()/100000)</f>
        <v/>
      </c>
      <c r="F1861" s="46">
        <f>IF(E1861="","",IF(C1861&gt;WeekEndDate,"",E1861))</f>
        <v/>
      </c>
    </row>
    <row r="1862">
      <c r="A1862" t="inlineStr">
        <is>
          <t>Payments</t>
        </is>
      </c>
      <c r="B1862" s="46">
        <f>'Payments'!W866</f>
        <v/>
      </c>
      <c r="C1862" s="84">
        <f>'Payments'!U866</f>
        <v/>
      </c>
      <c r="D1862" s="46">
        <f>'Payments'!V866</f>
        <v/>
      </c>
      <c r="E1862" s="46">
        <f>IF(OR(B1862="",C1862="",D1862=""),"",D1862*100000+(C1862-DATE(2000,1,1))+ROW()/100000)</f>
        <v/>
      </c>
      <c r="F1862" s="46">
        <f>IF(E1862="","",IF(C1862&gt;WeekEndDate,"",E1862))</f>
        <v/>
      </c>
    </row>
    <row r="1863">
      <c r="A1863" t="inlineStr">
        <is>
          <t>Payments</t>
        </is>
      </c>
      <c r="B1863" s="46">
        <f>'Payments'!W867</f>
        <v/>
      </c>
      <c r="C1863" s="84">
        <f>'Payments'!U867</f>
        <v/>
      </c>
      <c r="D1863" s="46">
        <f>'Payments'!V867</f>
        <v/>
      </c>
      <c r="E1863" s="46">
        <f>IF(OR(B1863="",C1863="",D1863=""),"",D1863*100000+(C1863-DATE(2000,1,1))+ROW()/100000)</f>
        <v/>
      </c>
      <c r="F1863" s="46">
        <f>IF(E1863="","",IF(C1863&gt;WeekEndDate,"",E1863))</f>
        <v/>
      </c>
    </row>
    <row r="1864">
      <c r="A1864" t="inlineStr">
        <is>
          <t>Payments</t>
        </is>
      </c>
      <c r="B1864" s="46">
        <f>'Payments'!W868</f>
        <v/>
      </c>
      <c r="C1864" s="84">
        <f>'Payments'!U868</f>
        <v/>
      </c>
      <c r="D1864" s="46">
        <f>'Payments'!V868</f>
        <v/>
      </c>
      <c r="E1864" s="46">
        <f>IF(OR(B1864="",C1864="",D1864=""),"",D1864*100000+(C1864-DATE(2000,1,1))+ROW()/100000)</f>
        <v/>
      </c>
      <c r="F1864" s="46">
        <f>IF(E1864="","",IF(C1864&gt;WeekEndDate,"",E1864))</f>
        <v/>
      </c>
    </row>
    <row r="1865">
      <c r="A1865" t="inlineStr">
        <is>
          <t>Payments</t>
        </is>
      </c>
      <c r="B1865" s="46">
        <f>'Payments'!W869</f>
        <v/>
      </c>
      <c r="C1865" s="84">
        <f>'Payments'!U869</f>
        <v/>
      </c>
      <c r="D1865" s="46">
        <f>'Payments'!V869</f>
        <v/>
      </c>
      <c r="E1865" s="46">
        <f>IF(OR(B1865="",C1865="",D1865=""),"",D1865*100000+(C1865-DATE(2000,1,1))+ROW()/100000)</f>
        <v/>
      </c>
      <c r="F1865" s="46">
        <f>IF(E1865="","",IF(C1865&gt;WeekEndDate,"",E1865))</f>
        <v/>
      </c>
    </row>
    <row r="1866">
      <c r="A1866" t="inlineStr">
        <is>
          <t>Payments</t>
        </is>
      </c>
      <c r="B1866" s="46">
        <f>'Payments'!W870</f>
        <v/>
      </c>
      <c r="C1866" s="84">
        <f>'Payments'!U870</f>
        <v/>
      </c>
      <c r="D1866" s="46">
        <f>'Payments'!V870</f>
        <v/>
      </c>
      <c r="E1866" s="46">
        <f>IF(OR(B1866="",C1866="",D1866=""),"",D1866*100000+(C1866-DATE(2000,1,1))+ROW()/100000)</f>
        <v/>
      </c>
      <c r="F1866" s="46">
        <f>IF(E1866="","",IF(C1866&gt;WeekEndDate,"",E1866))</f>
        <v/>
      </c>
    </row>
    <row r="1867">
      <c r="A1867" t="inlineStr">
        <is>
          <t>Payments</t>
        </is>
      </c>
      <c r="B1867" s="46">
        <f>'Payments'!W871</f>
        <v/>
      </c>
      <c r="C1867" s="84">
        <f>'Payments'!U871</f>
        <v/>
      </c>
      <c r="D1867" s="46">
        <f>'Payments'!V871</f>
        <v/>
      </c>
      <c r="E1867" s="46">
        <f>IF(OR(B1867="",C1867="",D1867=""),"",D1867*100000+(C1867-DATE(2000,1,1))+ROW()/100000)</f>
        <v/>
      </c>
      <c r="F1867" s="46">
        <f>IF(E1867="","",IF(C1867&gt;WeekEndDate,"",E1867))</f>
        <v/>
      </c>
    </row>
    <row r="1868">
      <c r="A1868" t="inlineStr">
        <is>
          <t>Payments</t>
        </is>
      </c>
      <c r="B1868" s="46">
        <f>'Payments'!W872</f>
        <v/>
      </c>
      <c r="C1868" s="84">
        <f>'Payments'!U872</f>
        <v/>
      </c>
      <c r="D1868" s="46">
        <f>'Payments'!V872</f>
        <v/>
      </c>
      <c r="E1868" s="46">
        <f>IF(OR(B1868="",C1868="",D1868=""),"",D1868*100000+(C1868-DATE(2000,1,1))+ROW()/100000)</f>
        <v/>
      </c>
      <c r="F1868" s="46">
        <f>IF(E1868="","",IF(C1868&gt;WeekEndDate,"",E1868))</f>
        <v/>
      </c>
    </row>
    <row r="1869">
      <c r="A1869" t="inlineStr">
        <is>
          <t>Payments</t>
        </is>
      </c>
      <c r="B1869" s="46">
        <f>'Payments'!W873</f>
        <v/>
      </c>
      <c r="C1869" s="84">
        <f>'Payments'!U873</f>
        <v/>
      </c>
      <c r="D1869" s="46">
        <f>'Payments'!V873</f>
        <v/>
      </c>
      <c r="E1869" s="46">
        <f>IF(OR(B1869="",C1869="",D1869=""),"",D1869*100000+(C1869-DATE(2000,1,1))+ROW()/100000)</f>
        <v/>
      </c>
      <c r="F1869" s="46">
        <f>IF(E1869="","",IF(C1869&gt;WeekEndDate,"",E1869))</f>
        <v/>
      </c>
    </row>
    <row r="1870">
      <c r="A1870" t="inlineStr">
        <is>
          <t>Payments</t>
        </is>
      </c>
      <c r="B1870" s="46">
        <f>'Payments'!W874</f>
        <v/>
      </c>
      <c r="C1870" s="84">
        <f>'Payments'!U874</f>
        <v/>
      </c>
      <c r="D1870" s="46">
        <f>'Payments'!V874</f>
        <v/>
      </c>
      <c r="E1870" s="46">
        <f>IF(OR(B1870="",C1870="",D1870=""),"",D1870*100000+(C1870-DATE(2000,1,1))+ROW()/100000)</f>
        <v/>
      </c>
      <c r="F1870" s="46">
        <f>IF(E1870="","",IF(C1870&gt;WeekEndDate,"",E1870))</f>
        <v/>
      </c>
    </row>
    <row r="1871">
      <c r="A1871" t="inlineStr">
        <is>
          <t>Payments</t>
        </is>
      </c>
      <c r="B1871" s="46">
        <f>'Payments'!W875</f>
        <v/>
      </c>
      <c r="C1871" s="84">
        <f>'Payments'!U875</f>
        <v/>
      </c>
      <c r="D1871" s="46">
        <f>'Payments'!V875</f>
        <v/>
      </c>
      <c r="E1871" s="46">
        <f>IF(OR(B1871="",C1871="",D1871=""),"",D1871*100000+(C1871-DATE(2000,1,1))+ROW()/100000)</f>
        <v/>
      </c>
      <c r="F1871" s="46">
        <f>IF(E1871="","",IF(C1871&gt;WeekEndDate,"",E1871))</f>
        <v/>
      </c>
    </row>
    <row r="1872">
      <c r="A1872" t="inlineStr">
        <is>
          <t>Payments</t>
        </is>
      </c>
      <c r="B1872" s="46">
        <f>'Payments'!W876</f>
        <v/>
      </c>
      <c r="C1872" s="84">
        <f>'Payments'!U876</f>
        <v/>
      </c>
      <c r="D1872" s="46">
        <f>'Payments'!V876</f>
        <v/>
      </c>
      <c r="E1872" s="46">
        <f>IF(OR(B1872="",C1872="",D1872=""),"",D1872*100000+(C1872-DATE(2000,1,1))+ROW()/100000)</f>
        <v/>
      </c>
      <c r="F1872" s="46">
        <f>IF(E1872="","",IF(C1872&gt;WeekEndDate,"",E1872))</f>
        <v/>
      </c>
    </row>
    <row r="1873">
      <c r="A1873" t="inlineStr">
        <is>
          <t>Payments</t>
        </is>
      </c>
      <c r="B1873" s="46">
        <f>'Payments'!W877</f>
        <v/>
      </c>
      <c r="C1873" s="84">
        <f>'Payments'!U877</f>
        <v/>
      </c>
      <c r="D1873" s="46">
        <f>'Payments'!V877</f>
        <v/>
      </c>
      <c r="E1873" s="46">
        <f>IF(OR(B1873="",C1873="",D1873=""),"",D1873*100000+(C1873-DATE(2000,1,1))+ROW()/100000)</f>
        <v/>
      </c>
      <c r="F1873" s="46">
        <f>IF(E1873="","",IF(C1873&gt;WeekEndDate,"",E1873))</f>
        <v/>
      </c>
    </row>
    <row r="1874">
      <c r="A1874" t="inlineStr">
        <is>
          <t>Payments</t>
        </is>
      </c>
      <c r="B1874" s="46">
        <f>'Payments'!W878</f>
        <v/>
      </c>
      <c r="C1874" s="84">
        <f>'Payments'!U878</f>
        <v/>
      </c>
      <c r="D1874" s="46">
        <f>'Payments'!V878</f>
        <v/>
      </c>
      <c r="E1874" s="46">
        <f>IF(OR(B1874="",C1874="",D1874=""),"",D1874*100000+(C1874-DATE(2000,1,1))+ROW()/100000)</f>
        <v/>
      </c>
      <c r="F1874" s="46">
        <f>IF(E1874="","",IF(C1874&gt;WeekEndDate,"",E1874))</f>
        <v/>
      </c>
    </row>
    <row r="1875">
      <c r="A1875" t="inlineStr">
        <is>
          <t>Payments</t>
        </is>
      </c>
      <c r="B1875" s="46">
        <f>'Payments'!W879</f>
        <v/>
      </c>
      <c r="C1875" s="84">
        <f>'Payments'!U879</f>
        <v/>
      </c>
      <c r="D1875" s="46">
        <f>'Payments'!V879</f>
        <v/>
      </c>
      <c r="E1875" s="46">
        <f>IF(OR(B1875="",C1875="",D1875=""),"",D1875*100000+(C1875-DATE(2000,1,1))+ROW()/100000)</f>
        <v/>
      </c>
      <c r="F1875" s="46">
        <f>IF(E1875="","",IF(C1875&gt;WeekEndDate,"",E1875))</f>
        <v/>
      </c>
    </row>
    <row r="1876">
      <c r="A1876" t="inlineStr">
        <is>
          <t>Payments</t>
        </is>
      </c>
      <c r="B1876" s="46">
        <f>'Payments'!W880</f>
        <v/>
      </c>
      <c r="C1876" s="84">
        <f>'Payments'!U880</f>
        <v/>
      </c>
      <c r="D1876" s="46">
        <f>'Payments'!V880</f>
        <v/>
      </c>
      <c r="E1876" s="46">
        <f>IF(OR(B1876="",C1876="",D1876=""),"",D1876*100000+(C1876-DATE(2000,1,1))+ROW()/100000)</f>
        <v/>
      </c>
      <c r="F1876" s="46">
        <f>IF(E1876="","",IF(C1876&gt;WeekEndDate,"",E1876))</f>
        <v/>
      </c>
    </row>
    <row r="1877">
      <c r="A1877" t="inlineStr">
        <is>
          <t>Payments</t>
        </is>
      </c>
      <c r="B1877" s="46">
        <f>'Payments'!W881</f>
        <v/>
      </c>
      <c r="C1877" s="84">
        <f>'Payments'!U881</f>
        <v/>
      </c>
      <c r="D1877" s="46">
        <f>'Payments'!V881</f>
        <v/>
      </c>
      <c r="E1877" s="46">
        <f>IF(OR(B1877="",C1877="",D1877=""),"",D1877*100000+(C1877-DATE(2000,1,1))+ROW()/100000)</f>
        <v/>
      </c>
      <c r="F1877" s="46">
        <f>IF(E1877="","",IF(C1877&gt;WeekEndDate,"",E1877))</f>
        <v/>
      </c>
    </row>
    <row r="1878">
      <c r="A1878" t="inlineStr">
        <is>
          <t>Payments</t>
        </is>
      </c>
      <c r="B1878" s="46">
        <f>'Payments'!W882</f>
        <v/>
      </c>
      <c r="C1878" s="84">
        <f>'Payments'!U882</f>
        <v/>
      </c>
      <c r="D1878" s="46">
        <f>'Payments'!V882</f>
        <v/>
      </c>
      <c r="E1878" s="46">
        <f>IF(OR(B1878="",C1878="",D1878=""),"",D1878*100000+(C1878-DATE(2000,1,1))+ROW()/100000)</f>
        <v/>
      </c>
      <c r="F1878" s="46">
        <f>IF(E1878="","",IF(C1878&gt;WeekEndDate,"",E1878))</f>
        <v/>
      </c>
    </row>
    <row r="1879">
      <c r="A1879" t="inlineStr">
        <is>
          <t>Payments</t>
        </is>
      </c>
      <c r="B1879" s="46">
        <f>'Payments'!W883</f>
        <v/>
      </c>
      <c r="C1879" s="84">
        <f>'Payments'!U883</f>
        <v/>
      </c>
      <c r="D1879" s="46">
        <f>'Payments'!V883</f>
        <v/>
      </c>
      <c r="E1879" s="46">
        <f>IF(OR(B1879="",C1879="",D1879=""),"",D1879*100000+(C1879-DATE(2000,1,1))+ROW()/100000)</f>
        <v/>
      </c>
      <c r="F1879" s="46">
        <f>IF(E1879="","",IF(C1879&gt;WeekEndDate,"",E1879))</f>
        <v/>
      </c>
    </row>
    <row r="1880">
      <c r="A1880" t="inlineStr">
        <is>
          <t>Payments</t>
        </is>
      </c>
      <c r="B1880" s="46">
        <f>'Payments'!W884</f>
        <v/>
      </c>
      <c r="C1880" s="84">
        <f>'Payments'!U884</f>
        <v/>
      </c>
      <c r="D1880" s="46">
        <f>'Payments'!V884</f>
        <v/>
      </c>
      <c r="E1880" s="46">
        <f>IF(OR(B1880="",C1880="",D1880=""),"",D1880*100000+(C1880-DATE(2000,1,1))+ROW()/100000)</f>
        <v/>
      </c>
      <c r="F1880" s="46">
        <f>IF(E1880="","",IF(C1880&gt;WeekEndDate,"",E1880))</f>
        <v/>
      </c>
    </row>
    <row r="1881">
      <c r="A1881" t="inlineStr">
        <is>
          <t>Payments</t>
        </is>
      </c>
      <c r="B1881" s="46">
        <f>'Payments'!W885</f>
        <v/>
      </c>
      <c r="C1881" s="84">
        <f>'Payments'!U885</f>
        <v/>
      </c>
      <c r="D1881" s="46">
        <f>'Payments'!V885</f>
        <v/>
      </c>
      <c r="E1881" s="46">
        <f>IF(OR(B1881="",C1881="",D1881=""),"",D1881*100000+(C1881-DATE(2000,1,1))+ROW()/100000)</f>
        <v/>
      </c>
      <c r="F1881" s="46">
        <f>IF(E1881="","",IF(C1881&gt;WeekEndDate,"",E1881))</f>
        <v/>
      </c>
    </row>
    <row r="1882">
      <c r="A1882" t="inlineStr">
        <is>
          <t>Payments</t>
        </is>
      </c>
      <c r="B1882" s="46">
        <f>'Payments'!W886</f>
        <v/>
      </c>
      <c r="C1882" s="84">
        <f>'Payments'!U886</f>
        <v/>
      </c>
      <c r="D1882" s="46">
        <f>'Payments'!V886</f>
        <v/>
      </c>
      <c r="E1882" s="46">
        <f>IF(OR(B1882="",C1882="",D1882=""),"",D1882*100000+(C1882-DATE(2000,1,1))+ROW()/100000)</f>
        <v/>
      </c>
      <c r="F1882" s="46">
        <f>IF(E1882="","",IF(C1882&gt;WeekEndDate,"",E1882))</f>
        <v/>
      </c>
    </row>
    <row r="1883">
      <c r="A1883" t="inlineStr">
        <is>
          <t>Payments</t>
        </is>
      </c>
      <c r="B1883" s="46">
        <f>'Payments'!W887</f>
        <v/>
      </c>
      <c r="C1883" s="84">
        <f>'Payments'!U887</f>
        <v/>
      </c>
      <c r="D1883" s="46">
        <f>'Payments'!V887</f>
        <v/>
      </c>
      <c r="E1883" s="46">
        <f>IF(OR(B1883="",C1883="",D1883=""),"",D1883*100000+(C1883-DATE(2000,1,1))+ROW()/100000)</f>
        <v/>
      </c>
      <c r="F1883" s="46">
        <f>IF(E1883="","",IF(C1883&gt;WeekEndDate,"",E1883))</f>
        <v/>
      </c>
    </row>
    <row r="1884">
      <c r="A1884" t="inlineStr">
        <is>
          <t>Payments</t>
        </is>
      </c>
      <c r="B1884" s="46">
        <f>'Payments'!W888</f>
        <v/>
      </c>
      <c r="C1884" s="84">
        <f>'Payments'!U888</f>
        <v/>
      </c>
      <c r="D1884" s="46">
        <f>'Payments'!V888</f>
        <v/>
      </c>
      <c r="E1884" s="46">
        <f>IF(OR(B1884="",C1884="",D1884=""),"",D1884*100000+(C1884-DATE(2000,1,1))+ROW()/100000)</f>
        <v/>
      </c>
      <c r="F1884" s="46">
        <f>IF(E1884="","",IF(C1884&gt;WeekEndDate,"",E1884))</f>
        <v/>
      </c>
    </row>
    <row r="1885">
      <c r="A1885" t="inlineStr">
        <is>
          <t>Payments</t>
        </is>
      </c>
      <c r="B1885" s="46">
        <f>'Payments'!W889</f>
        <v/>
      </c>
      <c r="C1885" s="84">
        <f>'Payments'!U889</f>
        <v/>
      </c>
      <c r="D1885" s="46">
        <f>'Payments'!V889</f>
        <v/>
      </c>
      <c r="E1885" s="46">
        <f>IF(OR(B1885="",C1885="",D1885=""),"",D1885*100000+(C1885-DATE(2000,1,1))+ROW()/100000)</f>
        <v/>
      </c>
      <c r="F1885" s="46">
        <f>IF(E1885="","",IF(C1885&gt;WeekEndDate,"",E1885))</f>
        <v/>
      </c>
    </row>
    <row r="1886">
      <c r="A1886" t="inlineStr">
        <is>
          <t>Payments</t>
        </is>
      </c>
      <c r="B1886" s="46">
        <f>'Payments'!W890</f>
        <v/>
      </c>
      <c r="C1886" s="84">
        <f>'Payments'!U890</f>
        <v/>
      </c>
      <c r="D1886" s="46">
        <f>'Payments'!V890</f>
        <v/>
      </c>
      <c r="E1886" s="46">
        <f>IF(OR(B1886="",C1886="",D1886=""),"",D1886*100000+(C1886-DATE(2000,1,1))+ROW()/100000)</f>
        <v/>
      </c>
      <c r="F1886" s="46">
        <f>IF(E1886="","",IF(C1886&gt;WeekEndDate,"",E1886))</f>
        <v/>
      </c>
    </row>
    <row r="1887">
      <c r="A1887" t="inlineStr">
        <is>
          <t>Payments</t>
        </is>
      </c>
      <c r="B1887" s="46">
        <f>'Payments'!W891</f>
        <v/>
      </c>
      <c r="C1887" s="84">
        <f>'Payments'!U891</f>
        <v/>
      </c>
      <c r="D1887" s="46">
        <f>'Payments'!V891</f>
        <v/>
      </c>
      <c r="E1887" s="46">
        <f>IF(OR(B1887="",C1887="",D1887=""),"",D1887*100000+(C1887-DATE(2000,1,1))+ROW()/100000)</f>
        <v/>
      </c>
      <c r="F1887" s="46">
        <f>IF(E1887="","",IF(C1887&gt;WeekEndDate,"",E1887))</f>
        <v/>
      </c>
    </row>
    <row r="1888">
      <c r="A1888" t="inlineStr">
        <is>
          <t>Payments</t>
        </is>
      </c>
      <c r="B1888" s="46">
        <f>'Payments'!W892</f>
        <v/>
      </c>
      <c r="C1888" s="84">
        <f>'Payments'!U892</f>
        <v/>
      </c>
      <c r="D1888" s="46">
        <f>'Payments'!V892</f>
        <v/>
      </c>
      <c r="E1888" s="46">
        <f>IF(OR(B1888="",C1888="",D1888=""),"",D1888*100000+(C1888-DATE(2000,1,1))+ROW()/100000)</f>
        <v/>
      </c>
      <c r="F1888" s="46">
        <f>IF(E1888="","",IF(C1888&gt;WeekEndDate,"",E1888))</f>
        <v/>
      </c>
    </row>
    <row r="1889">
      <c r="A1889" t="inlineStr">
        <is>
          <t>Payments</t>
        </is>
      </c>
      <c r="B1889" s="46">
        <f>'Payments'!W893</f>
        <v/>
      </c>
      <c r="C1889" s="84">
        <f>'Payments'!U893</f>
        <v/>
      </c>
      <c r="D1889" s="46">
        <f>'Payments'!V893</f>
        <v/>
      </c>
      <c r="E1889" s="46">
        <f>IF(OR(B1889="",C1889="",D1889=""),"",D1889*100000+(C1889-DATE(2000,1,1))+ROW()/100000)</f>
        <v/>
      </c>
      <c r="F1889" s="46">
        <f>IF(E1889="","",IF(C1889&gt;WeekEndDate,"",E1889))</f>
        <v/>
      </c>
    </row>
    <row r="1890">
      <c r="A1890" t="inlineStr">
        <is>
          <t>Payments</t>
        </is>
      </c>
      <c r="B1890" s="46">
        <f>'Payments'!W894</f>
        <v/>
      </c>
      <c r="C1890" s="84">
        <f>'Payments'!U894</f>
        <v/>
      </c>
      <c r="D1890" s="46">
        <f>'Payments'!V894</f>
        <v/>
      </c>
      <c r="E1890" s="46">
        <f>IF(OR(B1890="",C1890="",D1890=""),"",D1890*100000+(C1890-DATE(2000,1,1))+ROW()/100000)</f>
        <v/>
      </c>
      <c r="F1890" s="46">
        <f>IF(E1890="","",IF(C1890&gt;WeekEndDate,"",E1890))</f>
        <v/>
      </c>
    </row>
    <row r="1891">
      <c r="A1891" t="inlineStr">
        <is>
          <t>Payments</t>
        </is>
      </c>
      <c r="B1891" s="46">
        <f>'Payments'!W895</f>
        <v/>
      </c>
      <c r="C1891" s="84">
        <f>'Payments'!U895</f>
        <v/>
      </c>
      <c r="D1891" s="46">
        <f>'Payments'!V895</f>
        <v/>
      </c>
      <c r="E1891" s="46">
        <f>IF(OR(B1891="",C1891="",D1891=""),"",D1891*100000+(C1891-DATE(2000,1,1))+ROW()/100000)</f>
        <v/>
      </c>
      <c r="F1891" s="46">
        <f>IF(E1891="","",IF(C1891&gt;WeekEndDate,"",E1891))</f>
        <v/>
      </c>
    </row>
    <row r="1892">
      <c r="A1892" t="inlineStr">
        <is>
          <t>Payments</t>
        </is>
      </c>
      <c r="B1892" s="46">
        <f>'Payments'!W896</f>
        <v/>
      </c>
      <c r="C1892" s="84">
        <f>'Payments'!U896</f>
        <v/>
      </c>
      <c r="D1892" s="46">
        <f>'Payments'!V896</f>
        <v/>
      </c>
      <c r="E1892" s="46">
        <f>IF(OR(B1892="",C1892="",D1892=""),"",D1892*100000+(C1892-DATE(2000,1,1))+ROW()/100000)</f>
        <v/>
      </c>
      <c r="F1892" s="46">
        <f>IF(E1892="","",IF(C1892&gt;WeekEndDate,"",E1892))</f>
        <v/>
      </c>
    </row>
    <row r="1893">
      <c r="A1893" t="inlineStr">
        <is>
          <t>Payments</t>
        </is>
      </c>
      <c r="B1893" s="46">
        <f>'Payments'!W897</f>
        <v/>
      </c>
      <c r="C1893" s="84">
        <f>'Payments'!U897</f>
        <v/>
      </c>
      <c r="D1893" s="46">
        <f>'Payments'!V897</f>
        <v/>
      </c>
      <c r="E1893" s="46">
        <f>IF(OR(B1893="",C1893="",D1893=""),"",D1893*100000+(C1893-DATE(2000,1,1))+ROW()/100000)</f>
        <v/>
      </c>
      <c r="F1893" s="46">
        <f>IF(E1893="","",IF(C1893&gt;WeekEndDate,"",E1893))</f>
        <v/>
      </c>
    </row>
    <row r="1894">
      <c r="A1894" t="inlineStr">
        <is>
          <t>Payments</t>
        </is>
      </c>
      <c r="B1894" s="46">
        <f>'Payments'!W898</f>
        <v/>
      </c>
      <c r="C1894" s="84">
        <f>'Payments'!U898</f>
        <v/>
      </c>
      <c r="D1894" s="46">
        <f>'Payments'!V898</f>
        <v/>
      </c>
      <c r="E1894" s="46">
        <f>IF(OR(B1894="",C1894="",D1894=""),"",D1894*100000+(C1894-DATE(2000,1,1))+ROW()/100000)</f>
        <v/>
      </c>
      <c r="F1894" s="46">
        <f>IF(E1894="","",IF(C1894&gt;WeekEndDate,"",E1894))</f>
        <v/>
      </c>
    </row>
    <row r="1895">
      <c r="A1895" t="inlineStr">
        <is>
          <t>Payments</t>
        </is>
      </c>
      <c r="B1895" s="46">
        <f>'Payments'!W899</f>
        <v/>
      </c>
      <c r="C1895" s="84">
        <f>'Payments'!U899</f>
        <v/>
      </c>
      <c r="D1895" s="46">
        <f>'Payments'!V899</f>
        <v/>
      </c>
      <c r="E1895" s="46">
        <f>IF(OR(B1895="",C1895="",D1895=""),"",D1895*100000+(C1895-DATE(2000,1,1))+ROW()/100000)</f>
        <v/>
      </c>
      <c r="F1895" s="46">
        <f>IF(E1895="","",IF(C1895&gt;WeekEndDate,"",E1895))</f>
        <v/>
      </c>
    </row>
    <row r="1896">
      <c r="A1896" t="inlineStr">
        <is>
          <t>Payments</t>
        </is>
      </c>
      <c r="B1896" s="46">
        <f>'Payments'!W900</f>
        <v/>
      </c>
      <c r="C1896" s="84">
        <f>'Payments'!U900</f>
        <v/>
      </c>
      <c r="D1896" s="46">
        <f>'Payments'!V900</f>
        <v/>
      </c>
      <c r="E1896" s="46">
        <f>IF(OR(B1896="",C1896="",D1896=""),"",D1896*100000+(C1896-DATE(2000,1,1))+ROW()/100000)</f>
        <v/>
      </c>
      <c r="F1896" s="46">
        <f>IF(E1896="","",IF(C1896&gt;WeekEndDate,"",E1896))</f>
        <v/>
      </c>
    </row>
    <row r="1897">
      <c r="A1897" t="inlineStr">
        <is>
          <t>Payments</t>
        </is>
      </c>
      <c r="B1897" s="46">
        <f>'Payments'!W901</f>
        <v/>
      </c>
      <c r="C1897" s="84">
        <f>'Payments'!U901</f>
        <v/>
      </c>
      <c r="D1897" s="46">
        <f>'Payments'!V901</f>
        <v/>
      </c>
      <c r="E1897" s="46">
        <f>IF(OR(B1897="",C1897="",D1897=""),"",D1897*100000+(C1897-DATE(2000,1,1))+ROW()/100000)</f>
        <v/>
      </c>
      <c r="F1897" s="46">
        <f>IF(E1897="","",IF(C1897&gt;WeekEndDate,"",E1897))</f>
        <v/>
      </c>
    </row>
    <row r="1898">
      <c r="A1898" t="inlineStr">
        <is>
          <t>Payments</t>
        </is>
      </c>
      <c r="B1898" s="46">
        <f>'Payments'!W902</f>
        <v/>
      </c>
      <c r="C1898" s="84">
        <f>'Payments'!U902</f>
        <v/>
      </c>
      <c r="D1898" s="46">
        <f>'Payments'!V902</f>
        <v/>
      </c>
      <c r="E1898" s="46">
        <f>IF(OR(B1898="",C1898="",D1898=""),"",D1898*100000+(C1898-DATE(2000,1,1))+ROW()/100000)</f>
        <v/>
      </c>
      <c r="F1898" s="46">
        <f>IF(E1898="","",IF(C1898&gt;WeekEndDate,"",E1898))</f>
        <v/>
      </c>
    </row>
    <row r="1899">
      <c r="A1899" t="inlineStr">
        <is>
          <t>Payments</t>
        </is>
      </c>
      <c r="B1899" s="46">
        <f>'Payments'!W903</f>
        <v/>
      </c>
      <c r="C1899" s="84">
        <f>'Payments'!U903</f>
        <v/>
      </c>
      <c r="D1899" s="46">
        <f>'Payments'!V903</f>
        <v/>
      </c>
      <c r="E1899" s="46">
        <f>IF(OR(B1899="",C1899="",D1899=""),"",D1899*100000+(C1899-DATE(2000,1,1))+ROW()/100000)</f>
        <v/>
      </c>
      <c r="F1899" s="46">
        <f>IF(E1899="","",IF(C1899&gt;WeekEndDate,"",E1899))</f>
        <v/>
      </c>
    </row>
    <row r="1900">
      <c r="A1900" t="inlineStr">
        <is>
          <t>Payments</t>
        </is>
      </c>
      <c r="B1900" s="46">
        <f>'Payments'!W904</f>
        <v/>
      </c>
      <c r="C1900" s="84">
        <f>'Payments'!U904</f>
        <v/>
      </c>
      <c r="D1900" s="46">
        <f>'Payments'!V904</f>
        <v/>
      </c>
      <c r="E1900" s="46">
        <f>IF(OR(B1900="",C1900="",D1900=""),"",D1900*100000+(C1900-DATE(2000,1,1))+ROW()/100000)</f>
        <v/>
      </c>
      <c r="F1900" s="46">
        <f>IF(E1900="","",IF(C1900&gt;WeekEndDate,"",E1900))</f>
        <v/>
      </c>
    </row>
    <row r="1901">
      <c r="A1901" t="inlineStr">
        <is>
          <t>Payments</t>
        </is>
      </c>
      <c r="B1901" s="46">
        <f>'Payments'!W905</f>
        <v/>
      </c>
      <c r="C1901" s="84">
        <f>'Payments'!U905</f>
        <v/>
      </c>
      <c r="D1901" s="46">
        <f>'Payments'!V905</f>
        <v/>
      </c>
      <c r="E1901" s="46">
        <f>IF(OR(B1901="",C1901="",D1901=""),"",D1901*100000+(C1901-DATE(2000,1,1))+ROW()/100000)</f>
        <v/>
      </c>
      <c r="F1901" s="46">
        <f>IF(E1901="","",IF(C1901&gt;WeekEndDate,"",E1901))</f>
        <v/>
      </c>
    </row>
    <row r="1902">
      <c r="A1902" t="inlineStr">
        <is>
          <t>Payments</t>
        </is>
      </c>
      <c r="B1902" s="46">
        <f>'Payments'!W906</f>
        <v/>
      </c>
      <c r="C1902" s="84">
        <f>'Payments'!U906</f>
        <v/>
      </c>
      <c r="D1902" s="46">
        <f>'Payments'!V906</f>
        <v/>
      </c>
      <c r="E1902" s="46">
        <f>IF(OR(B1902="",C1902="",D1902=""),"",D1902*100000+(C1902-DATE(2000,1,1))+ROW()/100000)</f>
        <v/>
      </c>
      <c r="F1902" s="46">
        <f>IF(E1902="","",IF(C1902&gt;WeekEndDate,"",E1902))</f>
        <v/>
      </c>
    </row>
    <row r="1903">
      <c r="A1903" t="inlineStr">
        <is>
          <t>Payments</t>
        </is>
      </c>
      <c r="B1903" s="46">
        <f>'Payments'!W907</f>
        <v/>
      </c>
      <c r="C1903" s="84">
        <f>'Payments'!U907</f>
        <v/>
      </c>
      <c r="D1903" s="46">
        <f>'Payments'!V907</f>
        <v/>
      </c>
      <c r="E1903" s="46">
        <f>IF(OR(B1903="",C1903="",D1903=""),"",D1903*100000+(C1903-DATE(2000,1,1))+ROW()/100000)</f>
        <v/>
      </c>
      <c r="F1903" s="46">
        <f>IF(E1903="","",IF(C1903&gt;WeekEndDate,"",E1903))</f>
        <v/>
      </c>
    </row>
    <row r="1904">
      <c r="A1904" t="inlineStr">
        <is>
          <t>Payments</t>
        </is>
      </c>
      <c r="B1904" s="46">
        <f>'Payments'!W908</f>
        <v/>
      </c>
      <c r="C1904" s="84">
        <f>'Payments'!U908</f>
        <v/>
      </c>
      <c r="D1904" s="46">
        <f>'Payments'!V908</f>
        <v/>
      </c>
      <c r="E1904" s="46">
        <f>IF(OR(B1904="",C1904="",D1904=""),"",D1904*100000+(C1904-DATE(2000,1,1))+ROW()/100000)</f>
        <v/>
      </c>
      <c r="F1904" s="46">
        <f>IF(E1904="","",IF(C1904&gt;WeekEndDate,"",E1904))</f>
        <v/>
      </c>
    </row>
    <row r="1905">
      <c r="A1905" t="inlineStr">
        <is>
          <t>Payments</t>
        </is>
      </c>
      <c r="B1905" s="46">
        <f>'Payments'!W909</f>
        <v/>
      </c>
      <c r="C1905" s="84">
        <f>'Payments'!U909</f>
        <v/>
      </c>
      <c r="D1905" s="46">
        <f>'Payments'!V909</f>
        <v/>
      </c>
      <c r="E1905" s="46">
        <f>IF(OR(B1905="",C1905="",D1905=""),"",D1905*100000+(C1905-DATE(2000,1,1))+ROW()/100000)</f>
        <v/>
      </c>
      <c r="F1905" s="46">
        <f>IF(E1905="","",IF(C1905&gt;WeekEndDate,"",E1905))</f>
        <v/>
      </c>
    </row>
    <row r="1906">
      <c r="A1906" t="inlineStr">
        <is>
          <t>Payments</t>
        </is>
      </c>
      <c r="B1906" s="46">
        <f>'Payments'!W910</f>
        <v/>
      </c>
      <c r="C1906" s="84">
        <f>'Payments'!U910</f>
        <v/>
      </c>
      <c r="D1906" s="46">
        <f>'Payments'!V910</f>
        <v/>
      </c>
      <c r="E1906" s="46">
        <f>IF(OR(B1906="",C1906="",D1906=""),"",D1906*100000+(C1906-DATE(2000,1,1))+ROW()/100000)</f>
        <v/>
      </c>
      <c r="F1906" s="46">
        <f>IF(E1906="","",IF(C1906&gt;WeekEndDate,"",E1906))</f>
        <v/>
      </c>
    </row>
    <row r="1907">
      <c r="A1907" t="inlineStr">
        <is>
          <t>Payments</t>
        </is>
      </c>
      <c r="B1907" s="46">
        <f>'Payments'!W911</f>
        <v/>
      </c>
      <c r="C1907" s="84">
        <f>'Payments'!U911</f>
        <v/>
      </c>
      <c r="D1907" s="46">
        <f>'Payments'!V911</f>
        <v/>
      </c>
      <c r="E1907" s="46">
        <f>IF(OR(B1907="",C1907="",D1907=""),"",D1907*100000+(C1907-DATE(2000,1,1))+ROW()/100000)</f>
        <v/>
      </c>
      <c r="F1907" s="46">
        <f>IF(E1907="","",IF(C1907&gt;WeekEndDate,"",E1907))</f>
        <v/>
      </c>
    </row>
    <row r="1908">
      <c r="A1908" t="inlineStr">
        <is>
          <t>Payments</t>
        </is>
      </c>
      <c r="B1908" s="46">
        <f>'Payments'!W912</f>
        <v/>
      </c>
      <c r="C1908" s="84">
        <f>'Payments'!U912</f>
        <v/>
      </c>
      <c r="D1908" s="46">
        <f>'Payments'!V912</f>
        <v/>
      </c>
      <c r="E1908" s="46">
        <f>IF(OR(B1908="",C1908="",D1908=""),"",D1908*100000+(C1908-DATE(2000,1,1))+ROW()/100000)</f>
        <v/>
      </c>
      <c r="F1908" s="46">
        <f>IF(E1908="","",IF(C1908&gt;WeekEndDate,"",E1908))</f>
        <v/>
      </c>
    </row>
    <row r="1909">
      <c r="A1909" t="inlineStr">
        <is>
          <t>Payments</t>
        </is>
      </c>
      <c r="B1909" s="46">
        <f>'Payments'!W913</f>
        <v/>
      </c>
      <c r="C1909" s="84">
        <f>'Payments'!U913</f>
        <v/>
      </c>
      <c r="D1909" s="46">
        <f>'Payments'!V913</f>
        <v/>
      </c>
      <c r="E1909" s="46">
        <f>IF(OR(B1909="",C1909="",D1909=""),"",D1909*100000+(C1909-DATE(2000,1,1))+ROW()/100000)</f>
        <v/>
      </c>
      <c r="F1909" s="46">
        <f>IF(E1909="","",IF(C1909&gt;WeekEndDate,"",E1909))</f>
        <v/>
      </c>
    </row>
    <row r="1910">
      <c r="A1910" t="inlineStr">
        <is>
          <t>Payments</t>
        </is>
      </c>
      <c r="B1910" s="46">
        <f>'Payments'!W914</f>
        <v/>
      </c>
      <c r="C1910" s="84">
        <f>'Payments'!U914</f>
        <v/>
      </c>
      <c r="D1910" s="46">
        <f>'Payments'!V914</f>
        <v/>
      </c>
      <c r="E1910" s="46">
        <f>IF(OR(B1910="",C1910="",D1910=""),"",D1910*100000+(C1910-DATE(2000,1,1))+ROW()/100000)</f>
        <v/>
      </c>
      <c r="F1910" s="46">
        <f>IF(E1910="","",IF(C1910&gt;WeekEndDate,"",E1910))</f>
        <v/>
      </c>
    </row>
    <row r="1911">
      <c r="A1911" t="inlineStr">
        <is>
          <t>Payments</t>
        </is>
      </c>
      <c r="B1911" s="46">
        <f>'Payments'!W915</f>
        <v/>
      </c>
      <c r="C1911" s="84">
        <f>'Payments'!U915</f>
        <v/>
      </c>
      <c r="D1911" s="46">
        <f>'Payments'!V915</f>
        <v/>
      </c>
      <c r="E1911" s="46">
        <f>IF(OR(B1911="",C1911="",D1911=""),"",D1911*100000+(C1911-DATE(2000,1,1))+ROW()/100000)</f>
        <v/>
      </c>
      <c r="F1911" s="46">
        <f>IF(E1911="","",IF(C1911&gt;WeekEndDate,"",E1911))</f>
        <v/>
      </c>
    </row>
    <row r="1912">
      <c r="A1912" t="inlineStr">
        <is>
          <t>Payments</t>
        </is>
      </c>
      <c r="B1912" s="46">
        <f>'Payments'!W916</f>
        <v/>
      </c>
      <c r="C1912" s="84">
        <f>'Payments'!U916</f>
        <v/>
      </c>
      <c r="D1912" s="46">
        <f>'Payments'!V916</f>
        <v/>
      </c>
      <c r="E1912" s="46">
        <f>IF(OR(B1912="",C1912="",D1912=""),"",D1912*100000+(C1912-DATE(2000,1,1))+ROW()/100000)</f>
        <v/>
      </c>
      <c r="F1912" s="46">
        <f>IF(E1912="","",IF(C1912&gt;WeekEndDate,"",E1912))</f>
        <v/>
      </c>
    </row>
    <row r="1913">
      <c r="A1913" t="inlineStr">
        <is>
          <t>Payments</t>
        </is>
      </c>
      <c r="B1913" s="46">
        <f>'Payments'!W917</f>
        <v/>
      </c>
      <c r="C1913" s="84">
        <f>'Payments'!U917</f>
        <v/>
      </c>
      <c r="D1913" s="46">
        <f>'Payments'!V917</f>
        <v/>
      </c>
      <c r="E1913" s="46">
        <f>IF(OR(B1913="",C1913="",D1913=""),"",D1913*100000+(C1913-DATE(2000,1,1))+ROW()/100000)</f>
        <v/>
      </c>
      <c r="F1913" s="46">
        <f>IF(E1913="","",IF(C1913&gt;WeekEndDate,"",E1913))</f>
        <v/>
      </c>
    </row>
    <row r="1914">
      <c r="A1914" t="inlineStr">
        <is>
          <t>Payments</t>
        </is>
      </c>
      <c r="B1914" s="46">
        <f>'Payments'!W918</f>
        <v/>
      </c>
      <c r="C1914" s="84">
        <f>'Payments'!U918</f>
        <v/>
      </c>
      <c r="D1914" s="46">
        <f>'Payments'!V918</f>
        <v/>
      </c>
      <c r="E1914" s="46">
        <f>IF(OR(B1914="",C1914="",D1914=""),"",D1914*100000+(C1914-DATE(2000,1,1))+ROW()/100000)</f>
        <v/>
      </c>
      <c r="F1914" s="46">
        <f>IF(E1914="","",IF(C1914&gt;WeekEndDate,"",E1914))</f>
        <v/>
      </c>
    </row>
    <row r="1915">
      <c r="A1915" t="inlineStr">
        <is>
          <t>Payments</t>
        </is>
      </c>
      <c r="B1915" s="46">
        <f>'Payments'!W919</f>
        <v/>
      </c>
      <c r="C1915" s="84">
        <f>'Payments'!U919</f>
        <v/>
      </c>
      <c r="D1915" s="46">
        <f>'Payments'!V919</f>
        <v/>
      </c>
      <c r="E1915" s="46">
        <f>IF(OR(B1915="",C1915="",D1915=""),"",D1915*100000+(C1915-DATE(2000,1,1))+ROW()/100000)</f>
        <v/>
      </c>
      <c r="F1915" s="46">
        <f>IF(E1915="","",IF(C1915&gt;WeekEndDate,"",E1915))</f>
        <v/>
      </c>
    </row>
    <row r="1916">
      <c r="A1916" t="inlineStr">
        <is>
          <t>Payments</t>
        </is>
      </c>
      <c r="B1916" s="46">
        <f>'Payments'!W920</f>
        <v/>
      </c>
      <c r="C1916" s="84">
        <f>'Payments'!U920</f>
        <v/>
      </c>
      <c r="D1916" s="46">
        <f>'Payments'!V920</f>
        <v/>
      </c>
      <c r="E1916" s="46">
        <f>IF(OR(B1916="",C1916="",D1916=""),"",D1916*100000+(C1916-DATE(2000,1,1))+ROW()/100000)</f>
        <v/>
      </c>
      <c r="F1916" s="46">
        <f>IF(E1916="","",IF(C1916&gt;WeekEndDate,"",E1916))</f>
        <v/>
      </c>
    </row>
    <row r="1917">
      <c r="A1917" t="inlineStr">
        <is>
          <t>Payments</t>
        </is>
      </c>
      <c r="B1917" s="46">
        <f>'Payments'!W921</f>
        <v/>
      </c>
      <c r="C1917" s="84">
        <f>'Payments'!U921</f>
        <v/>
      </c>
      <c r="D1917" s="46">
        <f>'Payments'!V921</f>
        <v/>
      </c>
      <c r="E1917" s="46">
        <f>IF(OR(B1917="",C1917="",D1917=""),"",D1917*100000+(C1917-DATE(2000,1,1))+ROW()/100000)</f>
        <v/>
      </c>
      <c r="F1917" s="46">
        <f>IF(E1917="","",IF(C1917&gt;WeekEndDate,"",E1917))</f>
        <v/>
      </c>
    </row>
    <row r="1918">
      <c r="A1918" t="inlineStr">
        <is>
          <t>Payments</t>
        </is>
      </c>
      <c r="B1918" s="46">
        <f>'Payments'!W922</f>
        <v/>
      </c>
      <c r="C1918" s="84">
        <f>'Payments'!U922</f>
        <v/>
      </c>
      <c r="D1918" s="46">
        <f>'Payments'!V922</f>
        <v/>
      </c>
      <c r="E1918" s="46">
        <f>IF(OR(B1918="",C1918="",D1918=""),"",D1918*100000+(C1918-DATE(2000,1,1))+ROW()/100000)</f>
        <v/>
      </c>
      <c r="F1918" s="46">
        <f>IF(E1918="","",IF(C1918&gt;WeekEndDate,"",E1918))</f>
        <v/>
      </c>
    </row>
    <row r="1919">
      <c r="A1919" t="inlineStr">
        <is>
          <t>Payments</t>
        </is>
      </c>
      <c r="B1919" s="46">
        <f>'Payments'!W923</f>
        <v/>
      </c>
      <c r="C1919" s="84">
        <f>'Payments'!U923</f>
        <v/>
      </c>
      <c r="D1919" s="46">
        <f>'Payments'!V923</f>
        <v/>
      </c>
      <c r="E1919" s="46">
        <f>IF(OR(B1919="",C1919="",D1919=""),"",D1919*100000+(C1919-DATE(2000,1,1))+ROW()/100000)</f>
        <v/>
      </c>
      <c r="F1919" s="46">
        <f>IF(E1919="","",IF(C1919&gt;WeekEndDate,"",E1919))</f>
        <v/>
      </c>
    </row>
    <row r="1920">
      <c r="A1920" t="inlineStr">
        <is>
          <t>Payments</t>
        </is>
      </c>
      <c r="B1920" s="46">
        <f>'Payments'!W924</f>
        <v/>
      </c>
      <c r="C1920" s="84">
        <f>'Payments'!U924</f>
        <v/>
      </c>
      <c r="D1920" s="46">
        <f>'Payments'!V924</f>
        <v/>
      </c>
      <c r="E1920" s="46">
        <f>IF(OR(B1920="",C1920="",D1920=""),"",D1920*100000+(C1920-DATE(2000,1,1))+ROW()/100000)</f>
        <v/>
      </c>
      <c r="F1920" s="46">
        <f>IF(E1920="","",IF(C1920&gt;WeekEndDate,"",E1920))</f>
        <v/>
      </c>
    </row>
    <row r="1921">
      <c r="A1921" t="inlineStr">
        <is>
          <t>Payments</t>
        </is>
      </c>
      <c r="B1921" s="46">
        <f>'Payments'!W925</f>
        <v/>
      </c>
      <c r="C1921" s="84">
        <f>'Payments'!U925</f>
        <v/>
      </c>
      <c r="D1921" s="46">
        <f>'Payments'!V925</f>
        <v/>
      </c>
      <c r="E1921" s="46">
        <f>IF(OR(B1921="",C1921="",D1921=""),"",D1921*100000+(C1921-DATE(2000,1,1))+ROW()/100000)</f>
        <v/>
      </c>
      <c r="F1921" s="46">
        <f>IF(E1921="","",IF(C1921&gt;WeekEndDate,"",E1921))</f>
        <v/>
      </c>
    </row>
    <row r="1922">
      <c r="A1922" t="inlineStr">
        <is>
          <t>Payments</t>
        </is>
      </c>
      <c r="B1922" s="46">
        <f>'Payments'!W926</f>
        <v/>
      </c>
      <c r="C1922" s="84">
        <f>'Payments'!U926</f>
        <v/>
      </c>
      <c r="D1922" s="46">
        <f>'Payments'!V926</f>
        <v/>
      </c>
      <c r="E1922" s="46">
        <f>IF(OR(B1922="",C1922="",D1922=""),"",D1922*100000+(C1922-DATE(2000,1,1))+ROW()/100000)</f>
        <v/>
      </c>
      <c r="F1922" s="46">
        <f>IF(E1922="","",IF(C1922&gt;WeekEndDate,"",E1922))</f>
        <v/>
      </c>
    </row>
    <row r="1923">
      <c r="A1923" t="inlineStr">
        <is>
          <t>Payments</t>
        </is>
      </c>
      <c r="B1923" s="46">
        <f>'Payments'!W927</f>
        <v/>
      </c>
      <c r="C1923" s="84">
        <f>'Payments'!U927</f>
        <v/>
      </c>
      <c r="D1923" s="46">
        <f>'Payments'!V927</f>
        <v/>
      </c>
      <c r="E1923" s="46">
        <f>IF(OR(B1923="",C1923="",D1923=""),"",D1923*100000+(C1923-DATE(2000,1,1))+ROW()/100000)</f>
        <v/>
      </c>
      <c r="F1923" s="46">
        <f>IF(E1923="","",IF(C1923&gt;WeekEndDate,"",E1923))</f>
        <v/>
      </c>
    </row>
    <row r="1924">
      <c r="A1924" t="inlineStr">
        <is>
          <t>Payments</t>
        </is>
      </c>
      <c r="B1924" s="46">
        <f>'Payments'!W928</f>
        <v/>
      </c>
      <c r="C1924" s="84">
        <f>'Payments'!U928</f>
        <v/>
      </c>
      <c r="D1924" s="46">
        <f>'Payments'!V928</f>
        <v/>
      </c>
      <c r="E1924" s="46">
        <f>IF(OR(B1924="",C1924="",D1924=""),"",D1924*100000+(C1924-DATE(2000,1,1))+ROW()/100000)</f>
        <v/>
      </c>
      <c r="F1924" s="46">
        <f>IF(E1924="","",IF(C1924&gt;WeekEndDate,"",E1924))</f>
        <v/>
      </c>
    </row>
    <row r="1925">
      <c r="A1925" t="inlineStr">
        <is>
          <t>Payments</t>
        </is>
      </c>
      <c r="B1925" s="46">
        <f>'Payments'!W929</f>
        <v/>
      </c>
      <c r="C1925" s="84">
        <f>'Payments'!U929</f>
        <v/>
      </c>
      <c r="D1925" s="46">
        <f>'Payments'!V929</f>
        <v/>
      </c>
      <c r="E1925" s="46">
        <f>IF(OR(B1925="",C1925="",D1925=""),"",D1925*100000+(C1925-DATE(2000,1,1))+ROW()/100000)</f>
        <v/>
      </c>
      <c r="F1925" s="46">
        <f>IF(E1925="","",IF(C1925&gt;WeekEndDate,"",E1925))</f>
        <v/>
      </c>
    </row>
    <row r="1926">
      <c r="A1926" t="inlineStr">
        <is>
          <t>Payments</t>
        </is>
      </c>
      <c r="B1926" s="46">
        <f>'Payments'!W930</f>
        <v/>
      </c>
      <c r="C1926" s="84">
        <f>'Payments'!U930</f>
        <v/>
      </c>
      <c r="D1926" s="46">
        <f>'Payments'!V930</f>
        <v/>
      </c>
      <c r="E1926" s="46">
        <f>IF(OR(B1926="",C1926="",D1926=""),"",D1926*100000+(C1926-DATE(2000,1,1))+ROW()/100000)</f>
        <v/>
      </c>
      <c r="F1926" s="46">
        <f>IF(E1926="","",IF(C1926&gt;WeekEndDate,"",E1926))</f>
        <v/>
      </c>
    </row>
    <row r="1927">
      <c r="A1927" t="inlineStr">
        <is>
          <t>Payments</t>
        </is>
      </c>
      <c r="B1927" s="46">
        <f>'Payments'!W931</f>
        <v/>
      </c>
      <c r="C1927" s="84">
        <f>'Payments'!U931</f>
        <v/>
      </c>
      <c r="D1927" s="46">
        <f>'Payments'!V931</f>
        <v/>
      </c>
      <c r="E1927" s="46">
        <f>IF(OR(B1927="",C1927="",D1927=""),"",D1927*100000+(C1927-DATE(2000,1,1))+ROW()/100000)</f>
        <v/>
      </c>
      <c r="F1927" s="46">
        <f>IF(E1927="","",IF(C1927&gt;WeekEndDate,"",E1927))</f>
        <v/>
      </c>
    </row>
    <row r="1928">
      <c r="A1928" t="inlineStr">
        <is>
          <t>Payments</t>
        </is>
      </c>
      <c r="B1928" s="46">
        <f>'Payments'!W932</f>
        <v/>
      </c>
      <c r="C1928" s="84">
        <f>'Payments'!U932</f>
        <v/>
      </c>
      <c r="D1928" s="46">
        <f>'Payments'!V932</f>
        <v/>
      </c>
      <c r="E1928" s="46">
        <f>IF(OR(B1928="",C1928="",D1928=""),"",D1928*100000+(C1928-DATE(2000,1,1))+ROW()/100000)</f>
        <v/>
      </c>
      <c r="F1928" s="46">
        <f>IF(E1928="","",IF(C1928&gt;WeekEndDate,"",E1928))</f>
        <v/>
      </c>
    </row>
    <row r="1929">
      <c r="A1929" t="inlineStr">
        <is>
          <t>Payments</t>
        </is>
      </c>
      <c r="B1929" s="46">
        <f>'Payments'!W933</f>
        <v/>
      </c>
      <c r="C1929" s="84">
        <f>'Payments'!U933</f>
        <v/>
      </c>
      <c r="D1929" s="46">
        <f>'Payments'!V933</f>
        <v/>
      </c>
      <c r="E1929" s="46">
        <f>IF(OR(B1929="",C1929="",D1929=""),"",D1929*100000+(C1929-DATE(2000,1,1))+ROW()/100000)</f>
        <v/>
      </c>
      <c r="F1929" s="46">
        <f>IF(E1929="","",IF(C1929&gt;WeekEndDate,"",E1929))</f>
        <v/>
      </c>
    </row>
    <row r="1930">
      <c r="A1930" t="inlineStr">
        <is>
          <t>Payments</t>
        </is>
      </c>
      <c r="B1930" s="46">
        <f>'Payments'!W934</f>
        <v/>
      </c>
      <c r="C1930" s="84">
        <f>'Payments'!U934</f>
        <v/>
      </c>
      <c r="D1930" s="46">
        <f>'Payments'!V934</f>
        <v/>
      </c>
      <c r="E1930" s="46">
        <f>IF(OR(B1930="",C1930="",D1930=""),"",D1930*100000+(C1930-DATE(2000,1,1))+ROW()/100000)</f>
        <v/>
      </c>
      <c r="F1930" s="46">
        <f>IF(E1930="","",IF(C1930&gt;WeekEndDate,"",E1930))</f>
        <v/>
      </c>
    </row>
    <row r="1931">
      <c r="A1931" t="inlineStr">
        <is>
          <t>Payments</t>
        </is>
      </c>
      <c r="B1931" s="46">
        <f>'Payments'!W935</f>
        <v/>
      </c>
      <c r="C1931" s="84">
        <f>'Payments'!U935</f>
        <v/>
      </c>
      <c r="D1931" s="46">
        <f>'Payments'!V935</f>
        <v/>
      </c>
      <c r="E1931" s="46">
        <f>IF(OR(B1931="",C1931="",D1931=""),"",D1931*100000+(C1931-DATE(2000,1,1))+ROW()/100000)</f>
        <v/>
      </c>
      <c r="F1931" s="46">
        <f>IF(E1931="","",IF(C1931&gt;WeekEndDate,"",E1931))</f>
        <v/>
      </c>
    </row>
    <row r="1932">
      <c r="A1932" t="inlineStr">
        <is>
          <t>Payments</t>
        </is>
      </c>
      <c r="B1932" s="46">
        <f>'Payments'!W936</f>
        <v/>
      </c>
      <c r="C1932" s="84">
        <f>'Payments'!U936</f>
        <v/>
      </c>
      <c r="D1932" s="46">
        <f>'Payments'!V936</f>
        <v/>
      </c>
      <c r="E1932" s="46">
        <f>IF(OR(B1932="",C1932="",D1932=""),"",D1932*100000+(C1932-DATE(2000,1,1))+ROW()/100000)</f>
        <v/>
      </c>
      <c r="F1932" s="46">
        <f>IF(E1932="","",IF(C1932&gt;WeekEndDate,"",E1932))</f>
        <v/>
      </c>
    </row>
    <row r="1933">
      <c r="A1933" t="inlineStr">
        <is>
          <t>Payments</t>
        </is>
      </c>
      <c r="B1933" s="46">
        <f>'Payments'!W937</f>
        <v/>
      </c>
      <c r="C1933" s="84">
        <f>'Payments'!U937</f>
        <v/>
      </c>
      <c r="D1933" s="46">
        <f>'Payments'!V937</f>
        <v/>
      </c>
      <c r="E1933" s="46">
        <f>IF(OR(B1933="",C1933="",D1933=""),"",D1933*100000+(C1933-DATE(2000,1,1))+ROW()/100000)</f>
        <v/>
      </c>
      <c r="F1933" s="46">
        <f>IF(E1933="","",IF(C1933&gt;WeekEndDate,"",E1933))</f>
        <v/>
      </c>
    </row>
    <row r="1934">
      <c r="A1934" t="inlineStr">
        <is>
          <t>Payments</t>
        </is>
      </c>
      <c r="B1934" s="46">
        <f>'Payments'!W938</f>
        <v/>
      </c>
      <c r="C1934" s="84">
        <f>'Payments'!U938</f>
        <v/>
      </c>
      <c r="D1934" s="46">
        <f>'Payments'!V938</f>
        <v/>
      </c>
      <c r="E1934" s="46">
        <f>IF(OR(B1934="",C1934="",D1934=""),"",D1934*100000+(C1934-DATE(2000,1,1))+ROW()/100000)</f>
        <v/>
      </c>
      <c r="F1934" s="46">
        <f>IF(E1934="","",IF(C1934&gt;WeekEndDate,"",E1934))</f>
        <v/>
      </c>
    </row>
    <row r="1935">
      <c r="A1935" t="inlineStr">
        <is>
          <t>Payments</t>
        </is>
      </c>
      <c r="B1935" s="46">
        <f>'Payments'!W939</f>
        <v/>
      </c>
      <c r="C1935" s="84">
        <f>'Payments'!U939</f>
        <v/>
      </c>
      <c r="D1935" s="46">
        <f>'Payments'!V939</f>
        <v/>
      </c>
      <c r="E1935" s="46">
        <f>IF(OR(B1935="",C1935="",D1935=""),"",D1935*100000+(C1935-DATE(2000,1,1))+ROW()/100000)</f>
        <v/>
      </c>
      <c r="F1935" s="46">
        <f>IF(E1935="","",IF(C1935&gt;WeekEndDate,"",E1935))</f>
        <v/>
      </c>
    </row>
    <row r="1936">
      <c r="A1936" t="inlineStr">
        <is>
          <t>Payments</t>
        </is>
      </c>
      <c r="B1936" s="46">
        <f>'Payments'!W940</f>
        <v/>
      </c>
      <c r="C1936" s="84">
        <f>'Payments'!U940</f>
        <v/>
      </c>
      <c r="D1936" s="46">
        <f>'Payments'!V940</f>
        <v/>
      </c>
      <c r="E1936" s="46">
        <f>IF(OR(B1936="",C1936="",D1936=""),"",D1936*100000+(C1936-DATE(2000,1,1))+ROW()/100000)</f>
        <v/>
      </c>
      <c r="F1936" s="46">
        <f>IF(E1936="","",IF(C1936&gt;WeekEndDate,"",E1936))</f>
        <v/>
      </c>
    </row>
    <row r="1937">
      <c r="A1937" t="inlineStr">
        <is>
          <t>Payments</t>
        </is>
      </c>
      <c r="B1937" s="46">
        <f>'Payments'!W941</f>
        <v/>
      </c>
      <c r="C1937" s="84">
        <f>'Payments'!U941</f>
        <v/>
      </c>
      <c r="D1937" s="46">
        <f>'Payments'!V941</f>
        <v/>
      </c>
      <c r="E1937" s="46">
        <f>IF(OR(B1937="",C1937="",D1937=""),"",D1937*100000+(C1937-DATE(2000,1,1))+ROW()/100000)</f>
        <v/>
      </c>
      <c r="F1937" s="46">
        <f>IF(E1937="","",IF(C1937&gt;WeekEndDate,"",E1937))</f>
        <v/>
      </c>
    </row>
    <row r="1938">
      <c r="A1938" t="inlineStr">
        <is>
          <t>Payments</t>
        </is>
      </c>
      <c r="B1938" s="46">
        <f>'Payments'!W942</f>
        <v/>
      </c>
      <c r="C1938" s="84">
        <f>'Payments'!U942</f>
        <v/>
      </c>
      <c r="D1938" s="46">
        <f>'Payments'!V942</f>
        <v/>
      </c>
      <c r="E1938" s="46">
        <f>IF(OR(B1938="",C1938="",D1938=""),"",D1938*100000+(C1938-DATE(2000,1,1))+ROW()/100000)</f>
        <v/>
      </c>
      <c r="F1938" s="46">
        <f>IF(E1938="","",IF(C1938&gt;WeekEndDate,"",E1938))</f>
        <v/>
      </c>
    </row>
    <row r="1939">
      <c r="A1939" t="inlineStr">
        <is>
          <t>Payments</t>
        </is>
      </c>
      <c r="B1939" s="46">
        <f>'Payments'!W943</f>
        <v/>
      </c>
      <c r="C1939" s="84">
        <f>'Payments'!U943</f>
        <v/>
      </c>
      <c r="D1939" s="46">
        <f>'Payments'!V943</f>
        <v/>
      </c>
      <c r="E1939" s="46">
        <f>IF(OR(B1939="",C1939="",D1939=""),"",D1939*100000+(C1939-DATE(2000,1,1))+ROW()/100000)</f>
        <v/>
      </c>
      <c r="F1939" s="46">
        <f>IF(E1939="","",IF(C1939&gt;WeekEndDate,"",E1939))</f>
        <v/>
      </c>
    </row>
    <row r="1940">
      <c r="A1940" t="inlineStr">
        <is>
          <t>Payments</t>
        </is>
      </c>
      <c r="B1940" s="46">
        <f>'Payments'!W944</f>
        <v/>
      </c>
      <c r="C1940" s="84">
        <f>'Payments'!U944</f>
        <v/>
      </c>
      <c r="D1940" s="46">
        <f>'Payments'!V944</f>
        <v/>
      </c>
      <c r="E1940" s="46">
        <f>IF(OR(B1940="",C1940="",D1940=""),"",D1940*100000+(C1940-DATE(2000,1,1))+ROW()/100000)</f>
        <v/>
      </c>
      <c r="F1940" s="46">
        <f>IF(E1940="","",IF(C1940&gt;WeekEndDate,"",E1940))</f>
        <v/>
      </c>
    </row>
    <row r="1941">
      <c r="A1941" t="inlineStr">
        <is>
          <t>Payments</t>
        </is>
      </c>
      <c r="B1941" s="46">
        <f>'Payments'!W945</f>
        <v/>
      </c>
      <c r="C1941" s="84">
        <f>'Payments'!U945</f>
        <v/>
      </c>
      <c r="D1941" s="46">
        <f>'Payments'!V945</f>
        <v/>
      </c>
      <c r="E1941" s="46">
        <f>IF(OR(B1941="",C1941="",D1941=""),"",D1941*100000+(C1941-DATE(2000,1,1))+ROW()/100000)</f>
        <v/>
      </c>
      <c r="F1941" s="46">
        <f>IF(E1941="","",IF(C1941&gt;WeekEndDate,"",E1941))</f>
        <v/>
      </c>
    </row>
    <row r="1942">
      <c r="A1942" t="inlineStr">
        <is>
          <t>Payments</t>
        </is>
      </c>
      <c r="B1942" s="46">
        <f>'Payments'!W946</f>
        <v/>
      </c>
      <c r="C1942" s="84">
        <f>'Payments'!U946</f>
        <v/>
      </c>
      <c r="D1942" s="46">
        <f>'Payments'!V946</f>
        <v/>
      </c>
      <c r="E1942" s="46">
        <f>IF(OR(B1942="",C1942="",D1942=""),"",D1942*100000+(C1942-DATE(2000,1,1))+ROW()/100000)</f>
        <v/>
      </c>
      <c r="F1942" s="46">
        <f>IF(E1942="","",IF(C1942&gt;WeekEndDate,"",E1942))</f>
        <v/>
      </c>
    </row>
    <row r="1943">
      <c r="A1943" t="inlineStr">
        <is>
          <t>Payments</t>
        </is>
      </c>
      <c r="B1943" s="46">
        <f>'Payments'!W947</f>
        <v/>
      </c>
      <c r="C1943" s="84">
        <f>'Payments'!U947</f>
        <v/>
      </c>
      <c r="D1943" s="46">
        <f>'Payments'!V947</f>
        <v/>
      </c>
      <c r="E1943" s="46">
        <f>IF(OR(B1943="",C1943="",D1943=""),"",D1943*100000+(C1943-DATE(2000,1,1))+ROW()/100000)</f>
        <v/>
      </c>
      <c r="F1943" s="46">
        <f>IF(E1943="","",IF(C1943&gt;WeekEndDate,"",E1943))</f>
        <v/>
      </c>
    </row>
    <row r="1944">
      <c r="A1944" t="inlineStr">
        <is>
          <t>Payments</t>
        </is>
      </c>
      <c r="B1944" s="46">
        <f>'Payments'!W948</f>
        <v/>
      </c>
      <c r="C1944" s="84">
        <f>'Payments'!U948</f>
        <v/>
      </c>
      <c r="D1944" s="46">
        <f>'Payments'!V948</f>
        <v/>
      </c>
      <c r="E1944" s="46">
        <f>IF(OR(B1944="",C1944="",D1944=""),"",D1944*100000+(C1944-DATE(2000,1,1))+ROW()/100000)</f>
        <v/>
      </c>
      <c r="F1944" s="46">
        <f>IF(E1944="","",IF(C1944&gt;WeekEndDate,"",E1944))</f>
        <v/>
      </c>
    </row>
    <row r="1945">
      <c r="A1945" t="inlineStr">
        <is>
          <t>Payments</t>
        </is>
      </c>
      <c r="B1945" s="46">
        <f>'Payments'!W949</f>
        <v/>
      </c>
      <c r="C1945" s="84">
        <f>'Payments'!U949</f>
        <v/>
      </c>
      <c r="D1945" s="46">
        <f>'Payments'!V949</f>
        <v/>
      </c>
      <c r="E1945" s="46">
        <f>IF(OR(B1945="",C1945="",D1945=""),"",D1945*100000+(C1945-DATE(2000,1,1))+ROW()/100000)</f>
        <v/>
      </c>
      <c r="F1945" s="46">
        <f>IF(E1945="","",IF(C1945&gt;WeekEndDate,"",E1945))</f>
        <v/>
      </c>
    </row>
    <row r="1946">
      <c r="A1946" t="inlineStr">
        <is>
          <t>Payments</t>
        </is>
      </c>
      <c r="B1946" s="46">
        <f>'Payments'!W950</f>
        <v/>
      </c>
      <c r="C1946" s="84">
        <f>'Payments'!U950</f>
        <v/>
      </c>
      <c r="D1946" s="46">
        <f>'Payments'!V950</f>
        <v/>
      </c>
      <c r="E1946" s="46">
        <f>IF(OR(B1946="",C1946="",D1946=""),"",D1946*100000+(C1946-DATE(2000,1,1))+ROW()/100000)</f>
        <v/>
      </c>
      <c r="F1946" s="46">
        <f>IF(E1946="","",IF(C1946&gt;WeekEndDate,"",E1946))</f>
        <v/>
      </c>
    </row>
    <row r="1947">
      <c r="A1947" t="inlineStr">
        <is>
          <t>Payments</t>
        </is>
      </c>
      <c r="B1947" s="46">
        <f>'Payments'!W951</f>
        <v/>
      </c>
      <c r="C1947" s="84">
        <f>'Payments'!U951</f>
        <v/>
      </c>
      <c r="D1947" s="46">
        <f>'Payments'!V951</f>
        <v/>
      </c>
      <c r="E1947" s="46">
        <f>IF(OR(B1947="",C1947="",D1947=""),"",D1947*100000+(C1947-DATE(2000,1,1))+ROW()/100000)</f>
        <v/>
      </c>
      <c r="F1947" s="46">
        <f>IF(E1947="","",IF(C1947&gt;WeekEndDate,"",E1947))</f>
        <v/>
      </c>
    </row>
    <row r="1948">
      <c r="A1948" t="inlineStr">
        <is>
          <t>Payments</t>
        </is>
      </c>
      <c r="B1948" s="46">
        <f>'Payments'!W952</f>
        <v/>
      </c>
      <c r="C1948" s="84">
        <f>'Payments'!U952</f>
        <v/>
      </c>
      <c r="D1948" s="46">
        <f>'Payments'!V952</f>
        <v/>
      </c>
      <c r="E1948" s="46">
        <f>IF(OR(B1948="",C1948="",D1948=""),"",D1948*100000+(C1948-DATE(2000,1,1))+ROW()/100000)</f>
        <v/>
      </c>
      <c r="F1948" s="46">
        <f>IF(E1948="","",IF(C1948&gt;WeekEndDate,"",E1948))</f>
        <v/>
      </c>
    </row>
    <row r="1949">
      <c r="A1949" t="inlineStr">
        <is>
          <t>Payments</t>
        </is>
      </c>
      <c r="B1949" s="46">
        <f>'Payments'!W953</f>
        <v/>
      </c>
      <c r="C1949" s="84">
        <f>'Payments'!U953</f>
        <v/>
      </c>
      <c r="D1949" s="46">
        <f>'Payments'!V953</f>
        <v/>
      </c>
      <c r="E1949" s="46">
        <f>IF(OR(B1949="",C1949="",D1949=""),"",D1949*100000+(C1949-DATE(2000,1,1))+ROW()/100000)</f>
        <v/>
      </c>
      <c r="F1949" s="46">
        <f>IF(E1949="","",IF(C1949&gt;WeekEndDate,"",E1949))</f>
        <v/>
      </c>
    </row>
    <row r="1950">
      <c r="A1950" t="inlineStr">
        <is>
          <t>Payments</t>
        </is>
      </c>
      <c r="B1950" s="46">
        <f>'Payments'!W954</f>
        <v/>
      </c>
      <c r="C1950" s="84">
        <f>'Payments'!U954</f>
        <v/>
      </c>
      <c r="D1950" s="46">
        <f>'Payments'!V954</f>
        <v/>
      </c>
      <c r="E1950" s="46">
        <f>IF(OR(B1950="",C1950="",D1950=""),"",D1950*100000+(C1950-DATE(2000,1,1))+ROW()/100000)</f>
        <v/>
      </c>
      <c r="F1950" s="46">
        <f>IF(E1950="","",IF(C1950&gt;WeekEndDate,"",E1950))</f>
        <v/>
      </c>
    </row>
    <row r="1951">
      <c r="A1951" t="inlineStr">
        <is>
          <t>Payments</t>
        </is>
      </c>
      <c r="B1951" s="46">
        <f>'Payments'!W955</f>
        <v/>
      </c>
      <c r="C1951" s="84">
        <f>'Payments'!U955</f>
        <v/>
      </c>
      <c r="D1951" s="46">
        <f>'Payments'!V955</f>
        <v/>
      </c>
      <c r="E1951" s="46">
        <f>IF(OR(B1951="",C1951="",D1951=""),"",D1951*100000+(C1951-DATE(2000,1,1))+ROW()/100000)</f>
        <v/>
      </c>
      <c r="F1951" s="46">
        <f>IF(E1951="","",IF(C1951&gt;WeekEndDate,"",E1951))</f>
        <v/>
      </c>
    </row>
    <row r="1952">
      <c r="A1952" t="inlineStr">
        <is>
          <t>Payments</t>
        </is>
      </c>
      <c r="B1952" s="46">
        <f>'Payments'!W956</f>
        <v/>
      </c>
      <c r="C1952" s="84">
        <f>'Payments'!U956</f>
        <v/>
      </c>
      <c r="D1952" s="46">
        <f>'Payments'!V956</f>
        <v/>
      </c>
      <c r="E1952" s="46">
        <f>IF(OR(B1952="",C1952="",D1952=""),"",D1952*100000+(C1952-DATE(2000,1,1))+ROW()/100000)</f>
        <v/>
      </c>
      <c r="F1952" s="46">
        <f>IF(E1952="","",IF(C1952&gt;WeekEndDate,"",E1952))</f>
        <v/>
      </c>
    </row>
    <row r="1953">
      <c r="A1953" t="inlineStr">
        <is>
          <t>Payments</t>
        </is>
      </c>
      <c r="B1953" s="46">
        <f>'Payments'!W957</f>
        <v/>
      </c>
      <c r="C1953" s="84">
        <f>'Payments'!U957</f>
        <v/>
      </c>
      <c r="D1953" s="46">
        <f>'Payments'!V957</f>
        <v/>
      </c>
      <c r="E1953" s="46">
        <f>IF(OR(B1953="",C1953="",D1953=""),"",D1953*100000+(C1953-DATE(2000,1,1))+ROW()/100000)</f>
        <v/>
      </c>
      <c r="F1953" s="46">
        <f>IF(E1953="","",IF(C1953&gt;WeekEndDate,"",E1953))</f>
        <v/>
      </c>
    </row>
    <row r="1954">
      <c r="A1954" t="inlineStr">
        <is>
          <t>Payments</t>
        </is>
      </c>
      <c r="B1954" s="46">
        <f>'Payments'!W958</f>
        <v/>
      </c>
      <c r="C1954" s="84">
        <f>'Payments'!U958</f>
        <v/>
      </c>
      <c r="D1954" s="46">
        <f>'Payments'!V958</f>
        <v/>
      </c>
      <c r="E1954" s="46">
        <f>IF(OR(B1954="",C1954="",D1954=""),"",D1954*100000+(C1954-DATE(2000,1,1))+ROW()/100000)</f>
        <v/>
      </c>
      <c r="F1954" s="46">
        <f>IF(E1954="","",IF(C1954&gt;WeekEndDate,"",E1954))</f>
        <v/>
      </c>
    </row>
    <row r="1955">
      <c r="A1955" t="inlineStr">
        <is>
          <t>Payments</t>
        </is>
      </c>
      <c r="B1955" s="46">
        <f>'Payments'!W959</f>
        <v/>
      </c>
      <c r="C1955" s="84">
        <f>'Payments'!U959</f>
        <v/>
      </c>
      <c r="D1955" s="46">
        <f>'Payments'!V959</f>
        <v/>
      </c>
      <c r="E1955" s="46">
        <f>IF(OR(B1955="",C1955="",D1955=""),"",D1955*100000+(C1955-DATE(2000,1,1))+ROW()/100000)</f>
        <v/>
      </c>
      <c r="F1955" s="46">
        <f>IF(E1955="","",IF(C1955&gt;WeekEndDate,"",E1955))</f>
        <v/>
      </c>
    </row>
    <row r="1956">
      <c r="A1956" t="inlineStr">
        <is>
          <t>Payments</t>
        </is>
      </c>
      <c r="B1956" s="46">
        <f>'Payments'!W960</f>
        <v/>
      </c>
      <c r="C1956" s="84">
        <f>'Payments'!U960</f>
        <v/>
      </c>
      <c r="D1956" s="46">
        <f>'Payments'!V960</f>
        <v/>
      </c>
      <c r="E1956" s="46">
        <f>IF(OR(B1956="",C1956="",D1956=""),"",D1956*100000+(C1956-DATE(2000,1,1))+ROW()/100000)</f>
        <v/>
      </c>
      <c r="F1956" s="46">
        <f>IF(E1956="","",IF(C1956&gt;WeekEndDate,"",E1956))</f>
        <v/>
      </c>
    </row>
    <row r="1957">
      <c r="A1957" t="inlineStr">
        <is>
          <t>Payments</t>
        </is>
      </c>
      <c r="B1957" s="46">
        <f>'Payments'!W961</f>
        <v/>
      </c>
      <c r="C1957" s="84">
        <f>'Payments'!U961</f>
        <v/>
      </c>
      <c r="D1957" s="46">
        <f>'Payments'!V961</f>
        <v/>
      </c>
      <c r="E1957" s="46">
        <f>IF(OR(B1957="",C1957="",D1957=""),"",D1957*100000+(C1957-DATE(2000,1,1))+ROW()/100000)</f>
        <v/>
      </c>
      <c r="F1957" s="46">
        <f>IF(E1957="","",IF(C1957&gt;WeekEndDate,"",E1957))</f>
        <v/>
      </c>
    </row>
    <row r="1958">
      <c r="A1958" t="inlineStr">
        <is>
          <t>Payments</t>
        </is>
      </c>
      <c r="B1958" s="46">
        <f>'Payments'!W962</f>
        <v/>
      </c>
      <c r="C1958" s="84">
        <f>'Payments'!U962</f>
        <v/>
      </c>
      <c r="D1958" s="46">
        <f>'Payments'!V962</f>
        <v/>
      </c>
      <c r="E1958" s="46">
        <f>IF(OR(B1958="",C1958="",D1958=""),"",D1958*100000+(C1958-DATE(2000,1,1))+ROW()/100000)</f>
        <v/>
      </c>
      <c r="F1958" s="46">
        <f>IF(E1958="","",IF(C1958&gt;WeekEndDate,"",E1958))</f>
        <v/>
      </c>
    </row>
    <row r="1959">
      <c r="A1959" t="inlineStr">
        <is>
          <t>Payments</t>
        </is>
      </c>
      <c r="B1959" s="46">
        <f>'Payments'!W963</f>
        <v/>
      </c>
      <c r="C1959" s="84">
        <f>'Payments'!U963</f>
        <v/>
      </c>
      <c r="D1959" s="46">
        <f>'Payments'!V963</f>
        <v/>
      </c>
      <c r="E1959" s="46">
        <f>IF(OR(B1959="",C1959="",D1959=""),"",D1959*100000+(C1959-DATE(2000,1,1))+ROW()/100000)</f>
        <v/>
      </c>
      <c r="F1959" s="46">
        <f>IF(E1959="","",IF(C1959&gt;WeekEndDate,"",E1959))</f>
        <v/>
      </c>
    </row>
    <row r="1960">
      <c r="A1960" t="inlineStr">
        <is>
          <t>Payments</t>
        </is>
      </c>
      <c r="B1960" s="46">
        <f>'Payments'!W964</f>
        <v/>
      </c>
      <c r="C1960" s="84">
        <f>'Payments'!U964</f>
        <v/>
      </c>
      <c r="D1960" s="46">
        <f>'Payments'!V964</f>
        <v/>
      </c>
      <c r="E1960" s="46">
        <f>IF(OR(B1960="",C1960="",D1960=""),"",D1960*100000+(C1960-DATE(2000,1,1))+ROW()/100000)</f>
        <v/>
      </c>
      <c r="F1960" s="46">
        <f>IF(E1960="","",IF(C1960&gt;WeekEndDate,"",E1960))</f>
        <v/>
      </c>
    </row>
    <row r="1961">
      <c r="A1961" t="inlineStr">
        <is>
          <t>Payments</t>
        </is>
      </c>
      <c r="B1961" s="46">
        <f>'Payments'!W965</f>
        <v/>
      </c>
      <c r="C1961" s="84">
        <f>'Payments'!U965</f>
        <v/>
      </c>
      <c r="D1961" s="46">
        <f>'Payments'!V965</f>
        <v/>
      </c>
      <c r="E1961" s="46">
        <f>IF(OR(B1961="",C1961="",D1961=""),"",D1961*100000+(C1961-DATE(2000,1,1))+ROW()/100000)</f>
        <v/>
      </c>
      <c r="F1961" s="46">
        <f>IF(E1961="","",IF(C1961&gt;WeekEndDate,"",E1961))</f>
        <v/>
      </c>
    </row>
    <row r="1962">
      <c r="A1962" t="inlineStr">
        <is>
          <t>Payments</t>
        </is>
      </c>
      <c r="B1962" s="46">
        <f>'Payments'!W966</f>
        <v/>
      </c>
      <c r="C1962" s="84">
        <f>'Payments'!U966</f>
        <v/>
      </c>
      <c r="D1962" s="46">
        <f>'Payments'!V966</f>
        <v/>
      </c>
      <c r="E1962" s="46">
        <f>IF(OR(B1962="",C1962="",D1962=""),"",D1962*100000+(C1962-DATE(2000,1,1))+ROW()/100000)</f>
        <v/>
      </c>
      <c r="F1962" s="46">
        <f>IF(E1962="","",IF(C1962&gt;WeekEndDate,"",E1962))</f>
        <v/>
      </c>
    </row>
    <row r="1963">
      <c r="A1963" t="inlineStr">
        <is>
          <t>Payments</t>
        </is>
      </c>
      <c r="B1963" s="46">
        <f>'Payments'!W967</f>
        <v/>
      </c>
      <c r="C1963" s="84">
        <f>'Payments'!U967</f>
        <v/>
      </c>
      <c r="D1963" s="46">
        <f>'Payments'!V967</f>
        <v/>
      </c>
      <c r="E1963" s="46">
        <f>IF(OR(B1963="",C1963="",D1963=""),"",D1963*100000+(C1963-DATE(2000,1,1))+ROW()/100000)</f>
        <v/>
      </c>
      <c r="F1963" s="46">
        <f>IF(E1963="","",IF(C1963&gt;WeekEndDate,"",E1963))</f>
        <v/>
      </c>
    </row>
    <row r="1964">
      <c r="A1964" t="inlineStr">
        <is>
          <t>Payments</t>
        </is>
      </c>
      <c r="B1964" s="46">
        <f>'Payments'!W968</f>
        <v/>
      </c>
      <c r="C1964" s="84">
        <f>'Payments'!U968</f>
        <v/>
      </c>
      <c r="D1964" s="46">
        <f>'Payments'!V968</f>
        <v/>
      </c>
      <c r="E1964" s="46">
        <f>IF(OR(B1964="",C1964="",D1964=""),"",D1964*100000+(C1964-DATE(2000,1,1))+ROW()/100000)</f>
        <v/>
      </c>
      <c r="F1964" s="46">
        <f>IF(E1964="","",IF(C1964&gt;WeekEndDate,"",E1964))</f>
        <v/>
      </c>
    </row>
    <row r="1965">
      <c r="A1965" t="inlineStr">
        <is>
          <t>Payments</t>
        </is>
      </c>
      <c r="B1965" s="46">
        <f>'Payments'!W969</f>
        <v/>
      </c>
      <c r="C1965" s="84">
        <f>'Payments'!U969</f>
        <v/>
      </c>
      <c r="D1965" s="46">
        <f>'Payments'!V969</f>
        <v/>
      </c>
      <c r="E1965" s="46">
        <f>IF(OR(B1965="",C1965="",D1965=""),"",D1965*100000+(C1965-DATE(2000,1,1))+ROW()/100000)</f>
        <v/>
      </c>
      <c r="F1965" s="46">
        <f>IF(E1965="","",IF(C1965&gt;WeekEndDate,"",E1965))</f>
        <v/>
      </c>
    </row>
    <row r="1966">
      <c r="A1966" t="inlineStr">
        <is>
          <t>Payments</t>
        </is>
      </c>
      <c r="B1966" s="46">
        <f>'Payments'!W970</f>
        <v/>
      </c>
      <c r="C1966" s="84">
        <f>'Payments'!U970</f>
        <v/>
      </c>
      <c r="D1966" s="46">
        <f>'Payments'!V970</f>
        <v/>
      </c>
      <c r="E1966" s="46">
        <f>IF(OR(B1966="",C1966="",D1966=""),"",D1966*100000+(C1966-DATE(2000,1,1))+ROW()/100000)</f>
        <v/>
      </c>
      <c r="F1966" s="46">
        <f>IF(E1966="","",IF(C1966&gt;WeekEndDate,"",E1966))</f>
        <v/>
      </c>
    </row>
    <row r="1967">
      <c r="A1967" t="inlineStr">
        <is>
          <t>Payments</t>
        </is>
      </c>
      <c r="B1967" s="46">
        <f>'Payments'!W971</f>
        <v/>
      </c>
      <c r="C1967" s="84">
        <f>'Payments'!U971</f>
        <v/>
      </c>
      <c r="D1967" s="46">
        <f>'Payments'!V971</f>
        <v/>
      </c>
      <c r="E1967" s="46">
        <f>IF(OR(B1967="",C1967="",D1967=""),"",D1967*100000+(C1967-DATE(2000,1,1))+ROW()/100000)</f>
        <v/>
      </c>
      <c r="F1967" s="46">
        <f>IF(E1967="","",IF(C1967&gt;WeekEndDate,"",E1967))</f>
        <v/>
      </c>
    </row>
    <row r="1968">
      <c r="A1968" t="inlineStr">
        <is>
          <t>Payments</t>
        </is>
      </c>
      <c r="B1968" s="46">
        <f>'Payments'!W972</f>
        <v/>
      </c>
      <c r="C1968" s="84">
        <f>'Payments'!U972</f>
        <v/>
      </c>
      <c r="D1968" s="46">
        <f>'Payments'!V972</f>
        <v/>
      </c>
      <c r="E1968" s="46">
        <f>IF(OR(B1968="",C1968="",D1968=""),"",D1968*100000+(C1968-DATE(2000,1,1))+ROW()/100000)</f>
        <v/>
      </c>
      <c r="F1968" s="46">
        <f>IF(E1968="","",IF(C1968&gt;WeekEndDate,"",E1968))</f>
        <v/>
      </c>
    </row>
    <row r="1969">
      <c r="A1969" t="inlineStr">
        <is>
          <t>Payments</t>
        </is>
      </c>
      <c r="B1969" s="46">
        <f>'Payments'!W973</f>
        <v/>
      </c>
      <c r="C1969" s="84">
        <f>'Payments'!U973</f>
        <v/>
      </c>
      <c r="D1969" s="46">
        <f>'Payments'!V973</f>
        <v/>
      </c>
      <c r="E1969" s="46">
        <f>IF(OR(B1969="",C1969="",D1969=""),"",D1969*100000+(C1969-DATE(2000,1,1))+ROW()/100000)</f>
        <v/>
      </c>
      <c r="F1969" s="46">
        <f>IF(E1969="","",IF(C1969&gt;WeekEndDate,"",E1969))</f>
        <v/>
      </c>
    </row>
    <row r="1970">
      <c r="A1970" t="inlineStr">
        <is>
          <t>Payments</t>
        </is>
      </c>
      <c r="B1970" s="46">
        <f>'Payments'!W974</f>
        <v/>
      </c>
      <c r="C1970" s="84">
        <f>'Payments'!U974</f>
        <v/>
      </c>
      <c r="D1970" s="46">
        <f>'Payments'!V974</f>
        <v/>
      </c>
      <c r="E1970" s="46">
        <f>IF(OR(B1970="",C1970="",D1970=""),"",D1970*100000+(C1970-DATE(2000,1,1))+ROW()/100000)</f>
        <v/>
      </c>
      <c r="F1970" s="46">
        <f>IF(E1970="","",IF(C1970&gt;WeekEndDate,"",E1970))</f>
        <v/>
      </c>
    </row>
    <row r="1971">
      <c r="A1971" t="inlineStr">
        <is>
          <t>Payments</t>
        </is>
      </c>
      <c r="B1971" s="46">
        <f>'Payments'!W975</f>
        <v/>
      </c>
      <c r="C1971" s="84">
        <f>'Payments'!U975</f>
        <v/>
      </c>
      <c r="D1971" s="46">
        <f>'Payments'!V975</f>
        <v/>
      </c>
      <c r="E1971" s="46">
        <f>IF(OR(B1971="",C1971="",D1971=""),"",D1971*100000+(C1971-DATE(2000,1,1))+ROW()/100000)</f>
        <v/>
      </c>
      <c r="F1971" s="46">
        <f>IF(E1971="","",IF(C1971&gt;WeekEndDate,"",E1971))</f>
        <v/>
      </c>
    </row>
    <row r="1972">
      <c r="A1972" t="inlineStr">
        <is>
          <t>Payments</t>
        </is>
      </c>
      <c r="B1972" s="46">
        <f>'Payments'!W976</f>
        <v/>
      </c>
      <c r="C1972" s="84">
        <f>'Payments'!U976</f>
        <v/>
      </c>
      <c r="D1972" s="46">
        <f>'Payments'!V976</f>
        <v/>
      </c>
      <c r="E1972" s="46">
        <f>IF(OR(B1972="",C1972="",D1972=""),"",D1972*100000+(C1972-DATE(2000,1,1))+ROW()/100000)</f>
        <v/>
      </c>
      <c r="F1972" s="46">
        <f>IF(E1972="","",IF(C1972&gt;WeekEndDate,"",E1972))</f>
        <v/>
      </c>
    </row>
    <row r="1973">
      <c r="A1973" t="inlineStr">
        <is>
          <t>Payments</t>
        </is>
      </c>
      <c r="B1973" s="46">
        <f>'Payments'!W977</f>
        <v/>
      </c>
      <c r="C1973" s="84">
        <f>'Payments'!U977</f>
        <v/>
      </c>
      <c r="D1973" s="46">
        <f>'Payments'!V977</f>
        <v/>
      </c>
      <c r="E1973" s="46">
        <f>IF(OR(B1973="",C1973="",D1973=""),"",D1973*100000+(C1973-DATE(2000,1,1))+ROW()/100000)</f>
        <v/>
      </c>
      <c r="F1973" s="46">
        <f>IF(E1973="","",IF(C1973&gt;WeekEndDate,"",E1973))</f>
        <v/>
      </c>
    </row>
    <row r="1974">
      <c r="A1974" t="inlineStr">
        <is>
          <t>Payments</t>
        </is>
      </c>
      <c r="B1974" s="46">
        <f>'Payments'!W978</f>
        <v/>
      </c>
      <c r="C1974" s="84">
        <f>'Payments'!U978</f>
        <v/>
      </c>
      <c r="D1974" s="46">
        <f>'Payments'!V978</f>
        <v/>
      </c>
      <c r="E1974" s="46">
        <f>IF(OR(B1974="",C1974="",D1974=""),"",D1974*100000+(C1974-DATE(2000,1,1))+ROW()/100000)</f>
        <v/>
      </c>
      <c r="F1974" s="46">
        <f>IF(E1974="","",IF(C1974&gt;WeekEndDate,"",E1974))</f>
        <v/>
      </c>
    </row>
    <row r="1975">
      <c r="A1975" t="inlineStr">
        <is>
          <t>Payments</t>
        </is>
      </c>
      <c r="B1975" s="46">
        <f>'Payments'!W979</f>
        <v/>
      </c>
      <c r="C1975" s="84">
        <f>'Payments'!U979</f>
        <v/>
      </c>
      <c r="D1975" s="46">
        <f>'Payments'!V979</f>
        <v/>
      </c>
      <c r="E1975" s="46">
        <f>IF(OR(B1975="",C1975="",D1975=""),"",D1975*100000+(C1975-DATE(2000,1,1))+ROW()/100000)</f>
        <v/>
      </c>
      <c r="F1975" s="46">
        <f>IF(E1975="","",IF(C1975&gt;WeekEndDate,"",E1975))</f>
        <v/>
      </c>
    </row>
    <row r="1976">
      <c r="A1976" t="inlineStr">
        <is>
          <t>Payments</t>
        </is>
      </c>
      <c r="B1976" s="46">
        <f>'Payments'!W980</f>
        <v/>
      </c>
      <c r="C1976" s="84">
        <f>'Payments'!U980</f>
        <v/>
      </c>
      <c r="D1976" s="46">
        <f>'Payments'!V980</f>
        <v/>
      </c>
      <c r="E1976" s="46">
        <f>IF(OR(B1976="",C1976="",D1976=""),"",D1976*100000+(C1976-DATE(2000,1,1))+ROW()/100000)</f>
        <v/>
      </c>
      <c r="F1976" s="46">
        <f>IF(E1976="","",IF(C1976&gt;WeekEndDate,"",E1976))</f>
        <v/>
      </c>
    </row>
    <row r="1977">
      <c r="A1977" t="inlineStr">
        <is>
          <t>Payments</t>
        </is>
      </c>
      <c r="B1977" s="46">
        <f>'Payments'!W981</f>
        <v/>
      </c>
      <c r="C1977" s="84">
        <f>'Payments'!U981</f>
        <v/>
      </c>
      <c r="D1977" s="46">
        <f>'Payments'!V981</f>
        <v/>
      </c>
      <c r="E1977" s="46">
        <f>IF(OR(B1977="",C1977="",D1977=""),"",D1977*100000+(C1977-DATE(2000,1,1))+ROW()/100000)</f>
        <v/>
      </c>
      <c r="F1977" s="46">
        <f>IF(E1977="","",IF(C1977&gt;WeekEndDate,"",E1977))</f>
        <v/>
      </c>
    </row>
    <row r="1978">
      <c r="A1978" t="inlineStr">
        <is>
          <t>Payments</t>
        </is>
      </c>
      <c r="B1978" s="46">
        <f>'Payments'!W982</f>
        <v/>
      </c>
      <c r="C1978" s="84">
        <f>'Payments'!U982</f>
        <v/>
      </c>
      <c r="D1978" s="46">
        <f>'Payments'!V982</f>
        <v/>
      </c>
      <c r="E1978" s="46">
        <f>IF(OR(B1978="",C1978="",D1978=""),"",D1978*100000+(C1978-DATE(2000,1,1))+ROW()/100000)</f>
        <v/>
      </c>
      <c r="F1978" s="46">
        <f>IF(E1978="","",IF(C1978&gt;WeekEndDate,"",E1978))</f>
        <v/>
      </c>
    </row>
    <row r="1979">
      <c r="A1979" t="inlineStr">
        <is>
          <t>Payments</t>
        </is>
      </c>
      <c r="B1979" s="46">
        <f>'Payments'!W983</f>
        <v/>
      </c>
      <c r="C1979" s="84">
        <f>'Payments'!U983</f>
        <v/>
      </c>
      <c r="D1979" s="46">
        <f>'Payments'!V983</f>
        <v/>
      </c>
      <c r="E1979" s="46">
        <f>IF(OR(B1979="",C1979="",D1979=""),"",D1979*100000+(C1979-DATE(2000,1,1))+ROW()/100000)</f>
        <v/>
      </c>
      <c r="F1979" s="46">
        <f>IF(E1979="","",IF(C1979&gt;WeekEndDate,"",E1979))</f>
        <v/>
      </c>
    </row>
    <row r="1980">
      <c r="A1980" t="inlineStr">
        <is>
          <t>Payments</t>
        </is>
      </c>
      <c r="B1980" s="46">
        <f>'Payments'!W984</f>
        <v/>
      </c>
      <c r="C1980" s="84">
        <f>'Payments'!U984</f>
        <v/>
      </c>
      <c r="D1980" s="46">
        <f>'Payments'!V984</f>
        <v/>
      </c>
      <c r="E1980" s="46">
        <f>IF(OR(B1980="",C1980="",D1980=""),"",D1980*100000+(C1980-DATE(2000,1,1))+ROW()/100000)</f>
        <v/>
      </c>
      <c r="F1980" s="46">
        <f>IF(E1980="","",IF(C1980&gt;WeekEndDate,"",E1980))</f>
        <v/>
      </c>
    </row>
    <row r="1981">
      <c r="A1981" t="inlineStr">
        <is>
          <t>Payments</t>
        </is>
      </c>
      <c r="B1981" s="46">
        <f>'Payments'!W985</f>
        <v/>
      </c>
      <c r="C1981" s="84">
        <f>'Payments'!U985</f>
        <v/>
      </c>
      <c r="D1981" s="46">
        <f>'Payments'!V985</f>
        <v/>
      </c>
      <c r="E1981" s="46">
        <f>IF(OR(B1981="",C1981="",D1981=""),"",D1981*100000+(C1981-DATE(2000,1,1))+ROW()/100000)</f>
        <v/>
      </c>
      <c r="F1981" s="46">
        <f>IF(E1981="","",IF(C1981&gt;WeekEndDate,"",E1981))</f>
        <v/>
      </c>
    </row>
    <row r="1982">
      <c r="A1982" t="inlineStr">
        <is>
          <t>Payments</t>
        </is>
      </c>
      <c r="B1982" s="46">
        <f>'Payments'!W986</f>
        <v/>
      </c>
      <c r="C1982" s="84">
        <f>'Payments'!U986</f>
        <v/>
      </c>
      <c r="D1982" s="46">
        <f>'Payments'!V986</f>
        <v/>
      </c>
      <c r="E1982" s="46">
        <f>IF(OR(B1982="",C1982="",D1982=""),"",D1982*100000+(C1982-DATE(2000,1,1))+ROW()/100000)</f>
        <v/>
      </c>
      <c r="F1982" s="46">
        <f>IF(E1982="","",IF(C1982&gt;WeekEndDate,"",E1982))</f>
        <v/>
      </c>
    </row>
    <row r="1983">
      <c r="A1983" t="inlineStr">
        <is>
          <t>Payments</t>
        </is>
      </c>
      <c r="B1983" s="46">
        <f>'Payments'!W987</f>
        <v/>
      </c>
      <c r="C1983" s="84">
        <f>'Payments'!U987</f>
        <v/>
      </c>
      <c r="D1983" s="46">
        <f>'Payments'!V987</f>
        <v/>
      </c>
      <c r="E1983" s="46">
        <f>IF(OR(B1983="",C1983="",D1983=""),"",D1983*100000+(C1983-DATE(2000,1,1))+ROW()/100000)</f>
        <v/>
      </c>
      <c r="F1983" s="46">
        <f>IF(E1983="","",IF(C1983&gt;WeekEndDate,"",E1983))</f>
        <v/>
      </c>
    </row>
    <row r="1984">
      <c r="A1984" t="inlineStr">
        <is>
          <t>Payments</t>
        </is>
      </c>
      <c r="B1984" s="46">
        <f>'Payments'!W988</f>
        <v/>
      </c>
      <c r="C1984" s="84">
        <f>'Payments'!U988</f>
        <v/>
      </c>
      <c r="D1984" s="46">
        <f>'Payments'!V988</f>
        <v/>
      </c>
      <c r="E1984" s="46">
        <f>IF(OR(B1984="",C1984="",D1984=""),"",D1984*100000+(C1984-DATE(2000,1,1))+ROW()/100000)</f>
        <v/>
      </c>
      <c r="F1984" s="46">
        <f>IF(E1984="","",IF(C1984&gt;WeekEndDate,"",E1984))</f>
        <v/>
      </c>
    </row>
    <row r="1985">
      <c r="A1985" t="inlineStr">
        <is>
          <t>Payments</t>
        </is>
      </c>
      <c r="B1985" s="46">
        <f>'Payments'!W989</f>
        <v/>
      </c>
      <c r="C1985" s="84">
        <f>'Payments'!U989</f>
        <v/>
      </c>
      <c r="D1985" s="46">
        <f>'Payments'!V989</f>
        <v/>
      </c>
      <c r="E1985" s="46">
        <f>IF(OR(B1985="",C1985="",D1985=""),"",D1985*100000+(C1985-DATE(2000,1,1))+ROW()/100000)</f>
        <v/>
      </c>
      <c r="F1985" s="46">
        <f>IF(E1985="","",IF(C1985&gt;WeekEndDate,"",E1985))</f>
        <v/>
      </c>
    </row>
    <row r="1986">
      <c r="A1986" t="inlineStr">
        <is>
          <t>Payments</t>
        </is>
      </c>
      <c r="B1986" s="46">
        <f>'Payments'!W990</f>
        <v/>
      </c>
      <c r="C1986" s="84">
        <f>'Payments'!U990</f>
        <v/>
      </c>
      <c r="D1986" s="46">
        <f>'Payments'!V990</f>
        <v/>
      </c>
      <c r="E1986" s="46">
        <f>IF(OR(B1986="",C1986="",D1986=""),"",D1986*100000+(C1986-DATE(2000,1,1))+ROW()/100000)</f>
        <v/>
      </c>
      <c r="F1986" s="46">
        <f>IF(E1986="","",IF(C1986&gt;WeekEndDate,"",E1986))</f>
        <v/>
      </c>
    </row>
    <row r="1987">
      <c r="A1987" t="inlineStr">
        <is>
          <t>Payments</t>
        </is>
      </c>
      <c r="B1987" s="46">
        <f>'Payments'!W991</f>
        <v/>
      </c>
      <c r="C1987" s="84">
        <f>'Payments'!U991</f>
        <v/>
      </c>
      <c r="D1987" s="46">
        <f>'Payments'!V991</f>
        <v/>
      </c>
      <c r="E1987" s="46">
        <f>IF(OR(B1987="",C1987="",D1987=""),"",D1987*100000+(C1987-DATE(2000,1,1))+ROW()/100000)</f>
        <v/>
      </c>
      <c r="F1987" s="46">
        <f>IF(E1987="","",IF(C1987&gt;WeekEndDate,"",E1987))</f>
        <v/>
      </c>
    </row>
    <row r="1988">
      <c r="A1988" t="inlineStr">
        <is>
          <t>Payments</t>
        </is>
      </c>
      <c r="B1988" s="46">
        <f>'Payments'!W992</f>
        <v/>
      </c>
      <c r="C1988" s="84">
        <f>'Payments'!U992</f>
        <v/>
      </c>
      <c r="D1988" s="46">
        <f>'Payments'!V992</f>
        <v/>
      </c>
      <c r="E1988" s="46">
        <f>IF(OR(B1988="",C1988="",D1988=""),"",D1988*100000+(C1988-DATE(2000,1,1))+ROW()/100000)</f>
        <v/>
      </c>
      <c r="F1988" s="46">
        <f>IF(E1988="","",IF(C1988&gt;WeekEndDate,"",E1988))</f>
        <v/>
      </c>
    </row>
    <row r="1989">
      <c r="A1989" t="inlineStr">
        <is>
          <t>Payments</t>
        </is>
      </c>
      <c r="B1989" s="46">
        <f>'Payments'!W993</f>
        <v/>
      </c>
      <c r="C1989" s="84">
        <f>'Payments'!U993</f>
        <v/>
      </c>
      <c r="D1989" s="46">
        <f>'Payments'!V993</f>
        <v/>
      </c>
      <c r="E1989" s="46">
        <f>IF(OR(B1989="",C1989="",D1989=""),"",D1989*100000+(C1989-DATE(2000,1,1))+ROW()/100000)</f>
        <v/>
      </c>
      <c r="F1989" s="46">
        <f>IF(E1989="","",IF(C1989&gt;WeekEndDate,"",E1989))</f>
        <v/>
      </c>
    </row>
    <row r="1990">
      <c r="A1990" t="inlineStr">
        <is>
          <t>Payments</t>
        </is>
      </c>
      <c r="B1990" s="46">
        <f>'Payments'!W994</f>
        <v/>
      </c>
      <c r="C1990" s="84">
        <f>'Payments'!U994</f>
        <v/>
      </c>
      <c r="D1990" s="46">
        <f>'Payments'!V994</f>
        <v/>
      </c>
      <c r="E1990" s="46">
        <f>IF(OR(B1990="",C1990="",D1990=""),"",D1990*100000+(C1990-DATE(2000,1,1))+ROW()/100000)</f>
        <v/>
      </c>
      <c r="F1990" s="46">
        <f>IF(E1990="","",IF(C1990&gt;WeekEndDate,"",E1990))</f>
        <v/>
      </c>
    </row>
    <row r="1991">
      <c r="A1991" t="inlineStr">
        <is>
          <t>Payments</t>
        </is>
      </c>
      <c r="B1991" s="46">
        <f>'Payments'!W995</f>
        <v/>
      </c>
      <c r="C1991" s="84">
        <f>'Payments'!U995</f>
        <v/>
      </c>
      <c r="D1991" s="46">
        <f>'Payments'!V995</f>
        <v/>
      </c>
      <c r="E1991" s="46">
        <f>IF(OR(B1991="",C1991="",D1991=""),"",D1991*100000+(C1991-DATE(2000,1,1))+ROW()/100000)</f>
        <v/>
      </c>
      <c r="F1991" s="46">
        <f>IF(E1991="","",IF(C1991&gt;WeekEndDate,"",E1991))</f>
        <v/>
      </c>
    </row>
    <row r="1992">
      <c r="A1992" t="inlineStr">
        <is>
          <t>Payments</t>
        </is>
      </c>
      <c r="B1992" s="46">
        <f>'Payments'!W996</f>
        <v/>
      </c>
      <c r="C1992" s="84">
        <f>'Payments'!U996</f>
        <v/>
      </c>
      <c r="D1992" s="46">
        <f>'Payments'!V996</f>
        <v/>
      </c>
      <c r="E1992" s="46">
        <f>IF(OR(B1992="",C1992="",D1992=""),"",D1992*100000+(C1992-DATE(2000,1,1))+ROW()/100000)</f>
        <v/>
      </c>
      <c r="F1992" s="46">
        <f>IF(E1992="","",IF(C1992&gt;WeekEndDate,"",E1992))</f>
        <v/>
      </c>
    </row>
    <row r="1993">
      <c r="A1993" t="inlineStr">
        <is>
          <t>Payments</t>
        </is>
      </c>
      <c r="B1993" s="46">
        <f>'Payments'!W997</f>
        <v/>
      </c>
      <c r="C1993" s="84">
        <f>'Payments'!U997</f>
        <v/>
      </c>
      <c r="D1993" s="46">
        <f>'Payments'!V997</f>
        <v/>
      </c>
      <c r="E1993" s="46">
        <f>IF(OR(B1993="",C1993="",D1993=""),"",D1993*100000+(C1993-DATE(2000,1,1))+ROW()/100000)</f>
        <v/>
      </c>
      <c r="F1993" s="46">
        <f>IF(E1993="","",IF(C1993&gt;WeekEndDate,"",E1993))</f>
        <v/>
      </c>
    </row>
    <row r="1994">
      <c r="A1994" t="inlineStr">
        <is>
          <t>Payments</t>
        </is>
      </c>
      <c r="B1994" s="46">
        <f>'Payments'!W998</f>
        <v/>
      </c>
      <c r="C1994" s="84">
        <f>'Payments'!U998</f>
        <v/>
      </c>
      <c r="D1994" s="46">
        <f>'Payments'!V998</f>
        <v/>
      </c>
      <c r="E1994" s="46">
        <f>IF(OR(B1994="",C1994="",D1994=""),"",D1994*100000+(C1994-DATE(2000,1,1))+ROW()/100000)</f>
        <v/>
      </c>
      <c r="F1994" s="46">
        <f>IF(E1994="","",IF(C1994&gt;WeekEndDate,"",E1994))</f>
        <v/>
      </c>
    </row>
    <row r="1995">
      <c r="A1995" t="inlineStr">
        <is>
          <t>Payments</t>
        </is>
      </c>
      <c r="B1995" s="46">
        <f>'Payments'!W999</f>
        <v/>
      </c>
      <c r="C1995" s="84">
        <f>'Payments'!U999</f>
        <v/>
      </c>
      <c r="D1995" s="46">
        <f>'Payments'!V999</f>
        <v/>
      </c>
      <c r="E1995" s="46">
        <f>IF(OR(B1995="",C1995="",D1995=""),"",D1995*100000+(C1995-DATE(2000,1,1))+ROW()/100000)</f>
        <v/>
      </c>
      <c r="F1995" s="46">
        <f>IF(E1995="","",IF(C1995&gt;WeekEndDate,"",E1995))</f>
        <v/>
      </c>
    </row>
    <row r="1996">
      <c r="A1996" t="inlineStr">
        <is>
          <t>Payments</t>
        </is>
      </c>
      <c r="B1996" s="46">
        <f>'Payments'!W1000</f>
        <v/>
      </c>
      <c r="C1996" s="84">
        <f>'Payments'!U1000</f>
        <v/>
      </c>
      <c r="D1996" s="46">
        <f>'Payments'!V1000</f>
        <v/>
      </c>
      <c r="E1996" s="46">
        <f>IF(OR(B1996="",C1996="",D1996=""),"",D1996*100000+(C1996-DATE(2000,1,1))+ROW()/100000)</f>
        <v/>
      </c>
      <c r="F1996" s="46">
        <f>IF(E1996="","",IF(C1996&gt;WeekEndDate,"",E1996))</f>
        <v/>
      </c>
    </row>
    <row r="1997">
      <c r="A1997" t="inlineStr">
        <is>
          <t>Payments</t>
        </is>
      </c>
      <c r="B1997" s="46">
        <f>'Payments'!W1001</f>
        <v/>
      </c>
      <c r="C1997" s="84">
        <f>'Payments'!U1001</f>
        <v/>
      </c>
      <c r="D1997" s="46">
        <f>'Payments'!V1001</f>
        <v/>
      </c>
      <c r="E1997" s="46">
        <f>IF(OR(B1997="",C1997="",D1997=""),"",D1997*100000+(C1997-DATE(2000,1,1))+ROW()/100000)</f>
        <v/>
      </c>
      <c r="F1997" s="46">
        <f>IF(E1997="","",IF(C1997&gt;WeekEndDate,"",E1997))</f>
        <v/>
      </c>
    </row>
    <row r="1998">
      <c r="A1998" t="inlineStr">
        <is>
          <t>Payments</t>
        </is>
      </c>
      <c r="B1998" s="46">
        <f>'Payments'!W1002</f>
        <v/>
      </c>
      <c r="C1998" s="84">
        <f>'Payments'!U1002</f>
        <v/>
      </c>
      <c r="D1998" s="46">
        <f>'Payments'!V1002</f>
        <v/>
      </c>
      <c r="E1998" s="46">
        <f>IF(OR(B1998="",C1998="",D1998=""),"",D1998*100000+(C1998-DATE(2000,1,1))+ROW()/100000)</f>
        <v/>
      </c>
      <c r="F1998" s="46">
        <f>IF(E1998="","",IF(C1998&gt;WeekEndDate,"",E1998))</f>
        <v/>
      </c>
    </row>
    <row r="1999">
      <c r="A1999" t="inlineStr">
        <is>
          <t>Payments</t>
        </is>
      </c>
      <c r="B1999" s="46">
        <f>'Payments'!W1003</f>
        <v/>
      </c>
      <c r="C1999" s="84">
        <f>'Payments'!U1003</f>
        <v/>
      </c>
      <c r="D1999" s="46">
        <f>'Payments'!V1003</f>
        <v/>
      </c>
      <c r="E1999" s="46">
        <f>IF(OR(B1999="",C1999="",D1999=""),"",D1999*100000+(C1999-DATE(2000,1,1))+ROW()/100000)</f>
        <v/>
      </c>
      <c r="F1999" s="46">
        <f>IF(E1999="","",IF(C1999&gt;WeekEndDate,"",E1999))</f>
        <v/>
      </c>
    </row>
    <row r="2000">
      <c r="A2000" t="inlineStr">
        <is>
          <t>Payments</t>
        </is>
      </c>
      <c r="B2000" s="46">
        <f>'Payments'!W1004</f>
        <v/>
      </c>
      <c r="C2000" s="84">
        <f>'Payments'!U1004</f>
        <v/>
      </c>
      <c r="D2000" s="46">
        <f>'Payments'!V1004</f>
        <v/>
      </c>
      <c r="E2000" s="46">
        <f>IF(OR(B2000="",C2000="",D2000=""),"",D2000*100000+(C2000-DATE(2000,1,1))+ROW()/100000)</f>
        <v/>
      </c>
      <c r="F2000" s="46">
        <f>IF(E2000="","",IF(C2000&gt;WeekEndDate,"",E2000))</f>
        <v/>
      </c>
    </row>
    <row r="2001">
      <c r="A2001" t="inlineStr">
        <is>
          <t>Payments</t>
        </is>
      </c>
      <c r="B2001" s="46">
        <f>'Payments'!W1005</f>
        <v/>
      </c>
      <c r="C2001" s="84">
        <f>'Payments'!U1005</f>
        <v/>
      </c>
      <c r="D2001" s="46">
        <f>'Payments'!V1005</f>
        <v/>
      </c>
      <c r="E2001" s="46">
        <f>IF(OR(B2001="",C2001="",D2001=""),"",D2001*100000+(C2001-DATE(2000,1,1))+ROW()/100000)</f>
        <v/>
      </c>
      <c r="F2001" s="46">
        <f>IF(E2001="","",IF(C2001&gt;WeekEndDate,"",E2001))</f>
        <v/>
      </c>
    </row>
    <row r="2002">
      <c r="A2002" t="inlineStr">
        <is>
          <t>Quotes</t>
        </is>
      </c>
      <c r="B2002" s="46">
        <f>'Quotes'!V9</f>
        <v/>
      </c>
      <c r="C2002" s="84">
        <f>'Quotes'!T9</f>
        <v/>
      </c>
      <c r="D2002" s="46">
        <f>'Quotes'!U9</f>
        <v/>
      </c>
      <c r="E2002" s="46">
        <f>IF(OR(B2002="",C2002="",D2002=""),"",D2002*100000+(C2002-DATE(2000,1,1))+ROW()/100000)</f>
        <v/>
      </c>
      <c r="F2002" s="46">
        <f>IF(E2002="","",IF(C2002&gt;WeekEndDate,"",E2002))</f>
        <v/>
      </c>
    </row>
    <row r="2003">
      <c r="A2003" t="inlineStr">
        <is>
          <t>Quotes</t>
        </is>
      </c>
      <c r="B2003" s="46">
        <f>'Quotes'!V10</f>
        <v/>
      </c>
      <c r="C2003" s="84">
        <f>'Quotes'!T10</f>
        <v/>
      </c>
      <c r="D2003" s="46">
        <f>'Quotes'!U10</f>
        <v/>
      </c>
      <c r="E2003" s="46">
        <f>IF(OR(B2003="",C2003="",D2003=""),"",D2003*100000+(C2003-DATE(2000,1,1))+ROW()/100000)</f>
        <v/>
      </c>
      <c r="F2003" s="46">
        <f>IF(E2003="","",IF(C2003&gt;WeekEndDate,"",E2003))</f>
        <v/>
      </c>
    </row>
    <row r="2004">
      <c r="A2004" t="inlineStr">
        <is>
          <t>Quotes</t>
        </is>
      </c>
      <c r="B2004" s="46">
        <f>'Quotes'!V11</f>
        <v/>
      </c>
      <c r="C2004" s="84">
        <f>'Quotes'!T11</f>
        <v/>
      </c>
      <c r="D2004" s="46">
        <f>'Quotes'!U11</f>
        <v/>
      </c>
      <c r="E2004" s="46">
        <f>IF(OR(B2004="",C2004="",D2004=""),"",D2004*100000+(C2004-DATE(2000,1,1))+ROW()/100000)</f>
        <v/>
      </c>
      <c r="F2004" s="46">
        <f>IF(E2004="","",IF(C2004&gt;WeekEndDate,"",E2004))</f>
        <v/>
      </c>
    </row>
    <row r="2005">
      <c r="A2005" t="inlineStr">
        <is>
          <t>Quotes</t>
        </is>
      </c>
      <c r="B2005" s="46">
        <f>'Quotes'!V12</f>
        <v/>
      </c>
      <c r="C2005" s="84">
        <f>'Quotes'!T12</f>
        <v/>
      </c>
      <c r="D2005" s="46">
        <f>'Quotes'!U12</f>
        <v/>
      </c>
      <c r="E2005" s="46">
        <f>IF(OR(B2005="",C2005="",D2005=""),"",D2005*100000+(C2005-DATE(2000,1,1))+ROW()/100000)</f>
        <v/>
      </c>
      <c r="F2005" s="46">
        <f>IF(E2005="","",IF(C2005&gt;WeekEndDate,"",E2005))</f>
        <v/>
      </c>
    </row>
    <row r="2006">
      <c r="A2006" t="inlineStr">
        <is>
          <t>Quotes</t>
        </is>
      </c>
      <c r="B2006" s="46">
        <f>'Quotes'!V13</f>
        <v/>
      </c>
      <c r="C2006" s="84">
        <f>'Quotes'!T13</f>
        <v/>
      </c>
      <c r="D2006" s="46">
        <f>'Quotes'!U13</f>
        <v/>
      </c>
      <c r="E2006" s="46">
        <f>IF(OR(B2006="",C2006="",D2006=""),"",D2006*100000+(C2006-DATE(2000,1,1))+ROW()/100000)</f>
        <v/>
      </c>
      <c r="F2006" s="46">
        <f>IF(E2006="","",IF(C2006&gt;WeekEndDate,"",E2006))</f>
        <v/>
      </c>
    </row>
    <row r="2007">
      <c r="A2007" t="inlineStr">
        <is>
          <t>Quotes</t>
        </is>
      </c>
      <c r="B2007" s="46">
        <f>'Quotes'!V14</f>
        <v/>
      </c>
      <c r="C2007" s="84">
        <f>'Quotes'!T14</f>
        <v/>
      </c>
      <c r="D2007" s="46">
        <f>'Quotes'!U14</f>
        <v/>
      </c>
      <c r="E2007" s="46">
        <f>IF(OR(B2007="",C2007="",D2007=""),"",D2007*100000+(C2007-DATE(2000,1,1))+ROW()/100000)</f>
        <v/>
      </c>
      <c r="F2007" s="46">
        <f>IF(E2007="","",IF(C2007&gt;WeekEndDate,"",E2007))</f>
        <v/>
      </c>
    </row>
    <row r="2008">
      <c r="A2008" t="inlineStr">
        <is>
          <t>Quotes</t>
        </is>
      </c>
      <c r="B2008" s="46">
        <f>'Quotes'!V15</f>
        <v/>
      </c>
      <c r="C2008" s="84">
        <f>'Quotes'!T15</f>
        <v/>
      </c>
      <c r="D2008" s="46">
        <f>'Quotes'!U15</f>
        <v/>
      </c>
      <c r="E2008" s="46">
        <f>IF(OR(B2008="",C2008="",D2008=""),"",D2008*100000+(C2008-DATE(2000,1,1))+ROW()/100000)</f>
        <v/>
      </c>
      <c r="F2008" s="46">
        <f>IF(E2008="","",IF(C2008&gt;WeekEndDate,"",E2008))</f>
        <v/>
      </c>
    </row>
    <row r="2009">
      <c r="A2009" t="inlineStr">
        <is>
          <t>Quotes</t>
        </is>
      </c>
      <c r="B2009" s="46">
        <f>'Quotes'!V16</f>
        <v/>
      </c>
      <c r="C2009" s="84">
        <f>'Quotes'!T16</f>
        <v/>
      </c>
      <c r="D2009" s="46">
        <f>'Quotes'!U16</f>
        <v/>
      </c>
      <c r="E2009" s="46">
        <f>IF(OR(B2009="",C2009="",D2009=""),"",D2009*100000+(C2009-DATE(2000,1,1))+ROW()/100000)</f>
        <v/>
      </c>
      <c r="F2009" s="46">
        <f>IF(E2009="","",IF(C2009&gt;WeekEndDate,"",E2009))</f>
        <v/>
      </c>
    </row>
    <row r="2010">
      <c r="A2010" t="inlineStr">
        <is>
          <t>Quotes</t>
        </is>
      </c>
      <c r="B2010" s="46">
        <f>'Quotes'!V17</f>
        <v/>
      </c>
      <c r="C2010" s="84">
        <f>'Quotes'!T17</f>
        <v/>
      </c>
      <c r="D2010" s="46">
        <f>'Quotes'!U17</f>
        <v/>
      </c>
      <c r="E2010" s="46">
        <f>IF(OR(B2010="",C2010="",D2010=""),"",D2010*100000+(C2010-DATE(2000,1,1))+ROW()/100000)</f>
        <v/>
      </c>
      <c r="F2010" s="46">
        <f>IF(E2010="","",IF(C2010&gt;WeekEndDate,"",E2010))</f>
        <v/>
      </c>
    </row>
    <row r="2011">
      <c r="A2011" t="inlineStr">
        <is>
          <t>Quotes</t>
        </is>
      </c>
      <c r="B2011" s="46">
        <f>'Quotes'!V18</f>
        <v/>
      </c>
      <c r="C2011" s="84">
        <f>'Quotes'!T18</f>
        <v/>
      </c>
      <c r="D2011" s="46">
        <f>'Quotes'!U18</f>
        <v/>
      </c>
      <c r="E2011" s="46">
        <f>IF(OR(B2011="",C2011="",D2011=""),"",D2011*100000+(C2011-DATE(2000,1,1))+ROW()/100000)</f>
        <v/>
      </c>
      <c r="F2011" s="46">
        <f>IF(E2011="","",IF(C2011&gt;WeekEndDate,"",E2011))</f>
        <v/>
      </c>
    </row>
    <row r="2012">
      <c r="A2012" t="inlineStr">
        <is>
          <t>Quotes</t>
        </is>
      </c>
      <c r="B2012" s="46">
        <f>'Quotes'!V19</f>
        <v/>
      </c>
      <c r="C2012" s="84">
        <f>'Quotes'!T19</f>
        <v/>
      </c>
      <c r="D2012" s="46">
        <f>'Quotes'!U19</f>
        <v/>
      </c>
      <c r="E2012" s="46">
        <f>IF(OR(B2012="",C2012="",D2012=""),"",D2012*100000+(C2012-DATE(2000,1,1))+ROW()/100000)</f>
        <v/>
      </c>
      <c r="F2012" s="46">
        <f>IF(E2012="","",IF(C2012&gt;WeekEndDate,"",E2012))</f>
        <v/>
      </c>
    </row>
    <row r="2013">
      <c r="A2013" t="inlineStr">
        <is>
          <t>Quotes</t>
        </is>
      </c>
      <c r="B2013" s="46">
        <f>'Quotes'!V20</f>
        <v/>
      </c>
      <c r="C2013" s="84">
        <f>'Quotes'!T20</f>
        <v/>
      </c>
      <c r="D2013" s="46">
        <f>'Quotes'!U20</f>
        <v/>
      </c>
      <c r="E2013" s="46">
        <f>IF(OR(B2013="",C2013="",D2013=""),"",D2013*100000+(C2013-DATE(2000,1,1))+ROW()/100000)</f>
        <v/>
      </c>
      <c r="F2013" s="46">
        <f>IF(E2013="","",IF(C2013&gt;WeekEndDate,"",E2013))</f>
        <v/>
      </c>
    </row>
    <row r="2014">
      <c r="A2014" t="inlineStr">
        <is>
          <t>Quotes</t>
        </is>
      </c>
      <c r="B2014" s="46">
        <f>'Quotes'!V21</f>
        <v/>
      </c>
      <c r="C2014" s="84">
        <f>'Quotes'!T21</f>
        <v/>
      </c>
      <c r="D2014" s="46">
        <f>'Quotes'!U21</f>
        <v/>
      </c>
      <c r="E2014" s="46">
        <f>IF(OR(B2014="",C2014="",D2014=""),"",D2014*100000+(C2014-DATE(2000,1,1))+ROW()/100000)</f>
        <v/>
      </c>
      <c r="F2014" s="46">
        <f>IF(E2014="","",IF(C2014&gt;WeekEndDate,"",E2014))</f>
        <v/>
      </c>
    </row>
    <row r="2015">
      <c r="A2015" t="inlineStr">
        <is>
          <t>Quotes</t>
        </is>
      </c>
      <c r="B2015" s="46">
        <f>'Quotes'!V22</f>
        <v/>
      </c>
      <c r="C2015" s="84">
        <f>'Quotes'!T22</f>
        <v/>
      </c>
      <c r="D2015" s="46">
        <f>'Quotes'!U22</f>
        <v/>
      </c>
      <c r="E2015" s="46">
        <f>IF(OR(B2015="",C2015="",D2015=""),"",D2015*100000+(C2015-DATE(2000,1,1))+ROW()/100000)</f>
        <v/>
      </c>
      <c r="F2015" s="46">
        <f>IF(E2015="","",IF(C2015&gt;WeekEndDate,"",E2015))</f>
        <v/>
      </c>
    </row>
    <row r="2016">
      <c r="A2016" t="inlineStr">
        <is>
          <t>Quotes</t>
        </is>
      </c>
      <c r="B2016" s="46">
        <f>'Quotes'!V23</f>
        <v/>
      </c>
      <c r="C2016" s="84">
        <f>'Quotes'!T23</f>
        <v/>
      </c>
      <c r="D2016" s="46">
        <f>'Quotes'!U23</f>
        <v/>
      </c>
      <c r="E2016" s="46">
        <f>IF(OR(B2016="",C2016="",D2016=""),"",D2016*100000+(C2016-DATE(2000,1,1))+ROW()/100000)</f>
        <v/>
      </c>
      <c r="F2016" s="46">
        <f>IF(E2016="","",IF(C2016&gt;WeekEndDate,"",E2016))</f>
        <v/>
      </c>
    </row>
    <row r="2017">
      <c r="A2017" t="inlineStr">
        <is>
          <t>Quotes</t>
        </is>
      </c>
      <c r="B2017" s="46">
        <f>'Quotes'!V24</f>
        <v/>
      </c>
      <c r="C2017" s="84">
        <f>'Quotes'!T24</f>
        <v/>
      </c>
      <c r="D2017" s="46">
        <f>'Quotes'!U24</f>
        <v/>
      </c>
      <c r="E2017" s="46">
        <f>IF(OR(B2017="",C2017="",D2017=""),"",D2017*100000+(C2017-DATE(2000,1,1))+ROW()/100000)</f>
        <v/>
      </c>
      <c r="F2017" s="46">
        <f>IF(E2017="","",IF(C2017&gt;WeekEndDate,"",E2017))</f>
        <v/>
      </c>
    </row>
    <row r="2018">
      <c r="A2018" t="inlineStr">
        <is>
          <t>Quotes</t>
        </is>
      </c>
      <c r="B2018" s="46">
        <f>'Quotes'!V25</f>
        <v/>
      </c>
      <c r="C2018" s="84">
        <f>'Quotes'!T25</f>
        <v/>
      </c>
      <c r="D2018" s="46">
        <f>'Quotes'!U25</f>
        <v/>
      </c>
      <c r="E2018" s="46">
        <f>IF(OR(B2018="",C2018="",D2018=""),"",D2018*100000+(C2018-DATE(2000,1,1))+ROW()/100000)</f>
        <v/>
      </c>
      <c r="F2018" s="46">
        <f>IF(E2018="","",IF(C2018&gt;WeekEndDate,"",E2018))</f>
        <v/>
      </c>
    </row>
    <row r="2019">
      <c r="A2019" t="inlineStr">
        <is>
          <t>Quotes</t>
        </is>
      </c>
      <c r="B2019" s="46">
        <f>'Quotes'!V26</f>
        <v/>
      </c>
      <c r="C2019" s="84">
        <f>'Quotes'!T26</f>
        <v/>
      </c>
      <c r="D2019" s="46">
        <f>'Quotes'!U26</f>
        <v/>
      </c>
      <c r="E2019" s="46">
        <f>IF(OR(B2019="",C2019="",D2019=""),"",D2019*100000+(C2019-DATE(2000,1,1))+ROW()/100000)</f>
        <v/>
      </c>
      <c r="F2019" s="46">
        <f>IF(E2019="","",IF(C2019&gt;WeekEndDate,"",E2019))</f>
        <v/>
      </c>
    </row>
    <row r="2020">
      <c r="A2020" t="inlineStr">
        <is>
          <t>Quotes</t>
        </is>
      </c>
      <c r="B2020" s="46">
        <f>'Quotes'!V27</f>
        <v/>
      </c>
      <c r="C2020" s="84">
        <f>'Quotes'!T27</f>
        <v/>
      </c>
      <c r="D2020" s="46">
        <f>'Quotes'!U27</f>
        <v/>
      </c>
      <c r="E2020" s="46">
        <f>IF(OR(B2020="",C2020="",D2020=""),"",D2020*100000+(C2020-DATE(2000,1,1))+ROW()/100000)</f>
        <v/>
      </c>
      <c r="F2020" s="46">
        <f>IF(E2020="","",IF(C2020&gt;WeekEndDate,"",E2020))</f>
        <v/>
      </c>
    </row>
    <row r="2021">
      <c r="A2021" t="inlineStr">
        <is>
          <t>Quotes</t>
        </is>
      </c>
      <c r="B2021" s="46">
        <f>'Quotes'!V28</f>
        <v/>
      </c>
      <c r="C2021" s="84">
        <f>'Quotes'!T28</f>
        <v/>
      </c>
      <c r="D2021" s="46">
        <f>'Quotes'!U28</f>
        <v/>
      </c>
      <c r="E2021" s="46">
        <f>IF(OR(B2021="",C2021="",D2021=""),"",D2021*100000+(C2021-DATE(2000,1,1))+ROW()/100000)</f>
        <v/>
      </c>
      <c r="F2021" s="46">
        <f>IF(E2021="","",IF(C2021&gt;WeekEndDate,"",E2021))</f>
        <v/>
      </c>
    </row>
    <row r="2022">
      <c r="A2022" t="inlineStr">
        <is>
          <t>Quotes</t>
        </is>
      </c>
      <c r="B2022" s="46">
        <f>'Quotes'!V29</f>
        <v/>
      </c>
      <c r="C2022" s="84">
        <f>'Quotes'!T29</f>
        <v/>
      </c>
      <c r="D2022" s="46">
        <f>'Quotes'!U29</f>
        <v/>
      </c>
      <c r="E2022" s="46">
        <f>IF(OR(B2022="",C2022="",D2022=""),"",D2022*100000+(C2022-DATE(2000,1,1))+ROW()/100000)</f>
        <v/>
      </c>
      <c r="F2022" s="46">
        <f>IF(E2022="","",IF(C2022&gt;WeekEndDate,"",E2022))</f>
        <v/>
      </c>
    </row>
    <row r="2023">
      <c r="A2023" t="inlineStr">
        <is>
          <t>Quotes</t>
        </is>
      </c>
      <c r="B2023" s="46">
        <f>'Quotes'!V30</f>
        <v/>
      </c>
      <c r="C2023" s="84">
        <f>'Quotes'!T30</f>
        <v/>
      </c>
      <c r="D2023" s="46">
        <f>'Quotes'!U30</f>
        <v/>
      </c>
      <c r="E2023" s="46">
        <f>IF(OR(B2023="",C2023="",D2023=""),"",D2023*100000+(C2023-DATE(2000,1,1))+ROW()/100000)</f>
        <v/>
      </c>
      <c r="F2023" s="46">
        <f>IF(E2023="","",IF(C2023&gt;WeekEndDate,"",E2023))</f>
        <v/>
      </c>
    </row>
    <row r="2024">
      <c r="A2024" t="inlineStr">
        <is>
          <t>Quotes</t>
        </is>
      </c>
      <c r="B2024" s="46">
        <f>'Quotes'!V31</f>
        <v/>
      </c>
      <c r="C2024" s="84">
        <f>'Quotes'!T31</f>
        <v/>
      </c>
      <c r="D2024" s="46">
        <f>'Quotes'!U31</f>
        <v/>
      </c>
      <c r="E2024" s="46">
        <f>IF(OR(B2024="",C2024="",D2024=""),"",D2024*100000+(C2024-DATE(2000,1,1))+ROW()/100000)</f>
        <v/>
      </c>
      <c r="F2024" s="46">
        <f>IF(E2024="","",IF(C2024&gt;WeekEndDate,"",E2024))</f>
        <v/>
      </c>
    </row>
    <row r="2025">
      <c r="A2025" t="inlineStr">
        <is>
          <t>Quotes</t>
        </is>
      </c>
      <c r="B2025" s="46">
        <f>'Quotes'!V32</f>
        <v/>
      </c>
      <c r="C2025" s="84">
        <f>'Quotes'!T32</f>
        <v/>
      </c>
      <c r="D2025" s="46">
        <f>'Quotes'!U32</f>
        <v/>
      </c>
      <c r="E2025" s="46">
        <f>IF(OR(B2025="",C2025="",D2025=""),"",D2025*100000+(C2025-DATE(2000,1,1))+ROW()/100000)</f>
        <v/>
      </c>
      <c r="F2025" s="46">
        <f>IF(E2025="","",IF(C2025&gt;WeekEndDate,"",E2025))</f>
        <v/>
      </c>
    </row>
    <row r="2026">
      <c r="A2026" t="inlineStr">
        <is>
          <t>Quotes</t>
        </is>
      </c>
      <c r="B2026" s="46">
        <f>'Quotes'!V33</f>
        <v/>
      </c>
      <c r="C2026" s="84">
        <f>'Quotes'!T33</f>
        <v/>
      </c>
      <c r="D2026" s="46">
        <f>'Quotes'!U33</f>
        <v/>
      </c>
      <c r="E2026" s="46">
        <f>IF(OR(B2026="",C2026="",D2026=""),"",D2026*100000+(C2026-DATE(2000,1,1))+ROW()/100000)</f>
        <v/>
      </c>
      <c r="F2026" s="46">
        <f>IF(E2026="","",IF(C2026&gt;WeekEndDate,"",E2026))</f>
        <v/>
      </c>
    </row>
    <row r="2027">
      <c r="A2027" t="inlineStr">
        <is>
          <t>Quotes</t>
        </is>
      </c>
      <c r="B2027" s="46">
        <f>'Quotes'!V34</f>
        <v/>
      </c>
      <c r="C2027" s="84">
        <f>'Quotes'!T34</f>
        <v/>
      </c>
      <c r="D2027" s="46">
        <f>'Quotes'!U34</f>
        <v/>
      </c>
      <c r="E2027" s="46">
        <f>IF(OR(B2027="",C2027="",D2027=""),"",D2027*100000+(C2027-DATE(2000,1,1))+ROW()/100000)</f>
        <v/>
      </c>
      <c r="F2027" s="46">
        <f>IF(E2027="","",IF(C2027&gt;WeekEndDate,"",E2027))</f>
        <v/>
      </c>
    </row>
    <row r="2028">
      <c r="A2028" t="inlineStr">
        <is>
          <t>Quotes</t>
        </is>
      </c>
      <c r="B2028" s="46">
        <f>'Quotes'!V35</f>
        <v/>
      </c>
      <c r="C2028" s="84">
        <f>'Quotes'!T35</f>
        <v/>
      </c>
      <c r="D2028" s="46">
        <f>'Quotes'!U35</f>
        <v/>
      </c>
      <c r="E2028" s="46">
        <f>IF(OR(B2028="",C2028="",D2028=""),"",D2028*100000+(C2028-DATE(2000,1,1))+ROW()/100000)</f>
        <v/>
      </c>
      <c r="F2028" s="46">
        <f>IF(E2028="","",IF(C2028&gt;WeekEndDate,"",E2028))</f>
        <v/>
      </c>
    </row>
    <row r="2029">
      <c r="A2029" t="inlineStr">
        <is>
          <t>Quotes</t>
        </is>
      </c>
      <c r="B2029" s="46">
        <f>'Quotes'!V36</f>
        <v/>
      </c>
      <c r="C2029" s="84">
        <f>'Quotes'!T36</f>
        <v/>
      </c>
      <c r="D2029" s="46">
        <f>'Quotes'!U36</f>
        <v/>
      </c>
      <c r="E2029" s="46">
        <f>IF(OR(B2029="",C2029="",D2029=""),"",D2029*100000+(C2029-DATE(2000,1,1))+ROW()/100000)</f>
        <v/>
      </c>
      <c r="F2029" s="46">
        <f>IF(E2029="","",IF(C2029&gt;WeekEndDate,"",E2029))</f>
        <v/>
      </c>
    </row>
    <row r="2030">
      <c r="A2030" t="inlineStr">
        <is>
          <t>Quotes</t>
        </is>
      </c>
      <c r="B2030" s="46">
        <f>'Quotes'!V37</f>
        <v/>
      </c>
      <c r="C2030" s="84">
        <f>'Quotes'!T37</f>
        <v/>
      </c>
      <c r="D2030" s="46">
        <f>'Quotes'!U37</f>
        <v/>
      </c>
      <c r="E2030" s="46">
        <f>IF(OR(B2030="",C2030="",D2030=""),"",D2030*100000+(C2030-DATE(2000,1,1))+ROW()/100000)</f>
        <v/>
      </c>
      <c r="F2030" s="46">
        <f>IF(E2030="","",IF(C2030&gt;WeekEndDate,"",E2030))</f>
        <v/>
      </c>
    </row>
    <row r="2031">
      <c r="A2031" t="inlineStr">
        <is>
          <t>Quotes</t>
        </is>
      </c>
      <c r="B2031" s="46">
        <f>'Quotes'!V38</f>
        <v/>
      </c>
      <c r="C2031" s="84">
        <f>'Quotes'!T38</f>
        <v/>
      </c>
      <c r="D2031" s="46">
        <f>'Quotes'!U38</f>
        <v/>
      </c>
      <c r="E2031" s="46">
        <f>IF(OR(B2031="",C2031="",D2031=""),"",D2031*100000+(C2031-DATE(2000,1,1))+ROW()/100000)</f>
        <v/>
      </c>
      <c r="F2031" s="46">
        <f>IF(E2031="","",IF(C2031&gt;WeekEndDate,"",E2031))</f>
        <v/>
      </c>
    </row>
    <row r="2032">
      <c r="A2032" t="inlineStr">
        <is>
          <t>Quotes</t>
        </is>
      </c>
      <c r="B2032" s="46">
        <f>'Quotes'!V39</f>
        <v/>
      </c>
      <c r="C2032" s="84">
        <f>'Quotes'!T39</f>
        <v/>
      </c>
      <c r="D2032" s="46">
        <f>'Quotes'!U39</f>
        <v/>
      </c>
      <c r="E2032" s="46">
        <f>IF(OR(B2032="",C2032="",D2032=""),"",D2032*100000+(C2032-DATE(2000,1,1))+ROW()/100000)</f>
        <v/>
      </c>
      <c r="F2032" s="46">
        <f>IF(E2032="","",IF(C2032&gt;WeekEndDate,"",E2032))</f>
        <v/>
      </c>
    </row>
    <row r="2033">
      <c r="A2033" t="inlineStr">
        <is>
          <t>Quotes</t>
        </is>
      </c>
      <c r="B2033" s="46">
        <f>'Quotes'!V40</f>
        <v/>
      </c>
      <c r="C2033" s="84">
        <f>'Quotes'!T40</f>
        <v/>
      </c>
      <c r="D2033" s="46">
        <f>'Quotes'!U40</f>
        <v/>
      </c>
      <c r="E2033" s="46">
        <f>IF(OR(B2033="",C2033="",D2033=""),"",D2033*100000+(C2033-DATE(2000,1,1))+ROW()/100000)</f>
        <v/>
      </c>
      <c r="F2033" s="46">
        <f>IF(E2033="","",IF(C2033&gt;WeekEndDate,"",E2033))</f>
        <v/>
      </c>
    </row>
    <row r="2034">
      <c r="A2034" t="inlineStr">
        <is>
          <t>Quotes</t>
        </is>
      </c>
      <c r="B2034" s="46">
        <f>'Quotes'!V41</f>
        <v/>
      </c>
      <c r="C2034" s="84">
        <f>'Quotes'!T41</f>
        <v/>
      </c>
      <c r="D2034" s="46">
        <f>'Quotes'!U41</f>
        <v/>
      </c>
      <c r="E2034" s="46">
        <f>IF(OR(B2034="",C2034="",D2034=""),"",D2034*100000+(C2034-DATE(2000,1,1))+ROW()/100000)</f>
        <v/>
      </c>
      <c r="F2034" s="46">
        <f>IF(E2034="","",IF(C2034&gt;WeekEndDate,"",E2034))</f>
        <v/>
      </c>
    </row>
    <row r="2035">
      <c r="A2035" t="inlineStr">
        <is>
          <t>Quotes</t>
        </is>
      </c>
      <c r="B2035" s="46">
        <f>'Quotes'!V42</f>
        <v/>
      </c>
      <c r="C2035" s="84">
        <f>'Quotes'!T42</f>
        <v/>
      </c>
      <c r="D2035" s="46">
        <f>'Quotes'!U42</f>
        <v/>
      </c>
      <c r="E2035" s="46">
        <f>IF(OR(B2035="",C2035="",D2035=""),"",D2035*100000+(C2035-DATE(2000,1,1))+ROW()/100000)</f>
        <v/>
      </c>
      <c r="F2035" s="46">
        <f>IF(E2035="","",IF(C2035&gt;WeekEndDate,"",E2035))</f>
        <v/>
      </c>
    </row>
    <row r="2036">
      <c r="A2036" t="inlineStr">
        <is>
          <t>Quotes</t>
        </is>
      </c>
      <c r="B2036" s="46">
        <f>'Quotes'!V43</f>
        <v/>
      </c>
      <c r="C2036" s="84">
        <f>'Quotes'!T43</f>
        <v/>
      </c>
      <c r="D2036" s="46">
        <f>'Quotes'!U43</f>
        <v/>
      </c>
      <c r="E2036" s="46">
        <f>IF(OR(B2036="",C2036="",D2036=""),"",D2036*100000+(C2036-DATE(2000,1,1))+ROW()/100000)</f>
        <v/>
      </c>
      <c r="F2036" s="46">
        <f>IF(E2036="","",IF(C2036&gt;WeekEndDate,"",E2036))</f>
        <v/>
      </c>
    </row>
    <row r="2037">
      <c r="A2037" t="inlineStr">
        <is>
          <t>Quotes</t>
        </is>
      </c>
      <c r="B2037" s="46">
        <f>'Quotes'!V44</f>
        <v/>
      </c>
      <c r="C2037" s="84">
        <f>'Quotes'!T44</f>
        <v/>
      </c>
      <c r="D2037" s="46">
        <f>'Quotes'!U44</f>
        <v/>
      </c>
      <c r="E2037" s="46">
        <f>IF(OR(B2037="",C2037="",D2037=""),"",D2037*100000+(C2037-DATE(2000,1,1))+ROW()/100000)</f>
        <v/>
      </c>
      <c r="F2037" s="46">
        <f>IF(E2037="","",IF(C2037&gt;WeekEndDate,"",E2037))</f>
        <v/>
      </c>
    </row>
    <row r="2038">
      <c r="A2038" t="inlineStr">
        <is>
          <t>Quotes</t>
        </is>
      </c>
      <c r="B2038" s="46">
        <f>'Quotes'!V45</f>
        <v/>
      </c>
      <c r="C2038" s="84">
        <f>'Quotes'!T45</f>
        <v/>
      </c>
      <c r="D2038" s="46">
        <f>'Quotes'!U45</f>
        <v/>
      </c>
      <c r="E2038" s="46">
        <f>IF(OR(B2038="",C2038="",D2038=""),"",D2038*100000+(C2038-DATE(2000,1,1))+ROW()/100000)</f>
        <v/>
      </c>
      <c r="F2038" s="46">
        <f>IF(E2038="","",IF(C2038&gt;WeekEndDate,"",E2038))</f>
        <v/>
      </c>
    </row>
    <row r="2039">
      <c r="A2039" t="inlineStr">
        <is>
          <t>Quotes</t>
        </is>
      </c>
      <c r="B2039" s="46">
        <f>'Quotes'!V46</f>
        <v/>
      </c>
      <c r="C2039" s="84">
        <f>'Quotes'!T46</f>
        <v/>
      </c>
      <c r="D2039" s="46">
        <f>'Quotes'!U46</f>
        <v/>
      </c>
      <c r="E2039" s="46">
        <f>IF(OR(B2039="",C2039="",D2039=""),"",D2039*100000+(C2039-DATE(2000,1,1))+ROW()/100000)</f>
        <v/>
      </c>
      <c r="F2039" s="46">
        <f>IF(E2039="","",IF(C2039&gt;WeekEndDate,"",E2039))</f>
        <v/>
      </c>
    </row>
    <row r="2040">
      <c r="A2040" t="inlineStr">
        <is>
          <t>Quotes</t>
        </is>
      </c>
      <c r="B2040" s="46">
        <f>'Quotes'!V47</f>
        <v/>
      </c>
      <c r="C2040" s="84">
        <f>'Quotes'!T47</f>
        <v/>
      </c>
      <c r="D2040" s="46">
        <f>'Quotes'!U47</f>
        <v/>
      </c>
      <c r="E2040" s="46">
        <f>IF(OR(B2040="",C2040="",D2040=""),"",D2040*100000+(C2040-DATE(2000,1,1))+ROW()/100000)</f>
        <v/>
      </c>
      <c r="F2040" s="46">
        <f>IF(E2040="","",IF(C2040&gt;WeekEndDate,"",E2040))</f>
        <v/>
      </c>
    </row>
    <row r="2041">
      <c r="A2041" t="inlineStr">
        <is>
          <t>Quotes</t>
        </is>
      </c>
      <c r="B2041" s="46">
        <f>'Quotes'!V48</f>
        <v/>
      </c>
      <c r="C2041" s="84">
        <f>'Quotes'!T48</f>
        <v/>
      </c>
      <c r="D2041" s="46">
        <f>'Quotes'!U48</f>
        <v/>
      </c>
      <c r="E2041" s="46">
        <f>IF(OR(B2041="",C2041="",D2041=""),"",D2041*100000+(C2041-DATE(2000,1,1))+ROW()/100000)</f>
        <v/>
      </c>
      <c r="F2041" s="46">
        <f>IF(E2041="","",IF(C2041&gt;WeekEndDate,"",E2041))</f>
        <v/>
      </c>
    </row>
    <row r="2042">
      <c r="A2042" t="inlineStr">
        <is>
          <t>Change Orders</t>
        </is>
      </c>
      <c r="B2042" s="46">
        <f>'Change Orders'!U7</f>
        <v/>
      </c>
      <c r="C2042" s="84">
        <f>'Change Orders'!S7</f>
        <v/>
      </c>
      <c r="D2042" s="46">
        <f>'Change Orders'!T7</f>
        <v/>
      </c>
      <c r="E2042" s="46">
        <f>IF(OR(B2042="",C2042="",D2042=""),"",D2042*100000+(C2042-DATE(2000,1,1))+ROW()/100000)</f>
        <v/>
      </c>
      <c r="F2042" s="46">
        <f>IF(E2042="","",IF(C2042&gt;WeekEndDate,"",E2042))</f>
        <v/>
      </c>
    </row>
    <row r="2043">
      <c r="A2043" t="inlineStr">
        <is>
          <t>Change Orders</t>
        </is>
      </c>
      <c r="B2043" s="46">
        <f>'Change Orders'!U8</f>
        <v/>
      </c>
      <c r="C2043" s="84">
        <f>'Change Orders'!S8</f>
        <v/>
      </c>
      <c r="D2043" s="46">
        <f>'Change Orders'!T8</f>
        <v/>
      </c>
      <c r="E2043" s="46">
        <f>IF(OR(B2043="",C2043="",D2043=""),"",D2043*100000+(C2043-DATE(2000,1,1))+ROW()/100000)</f>
        <v/>
      </c>
      <c r="F2043" s="46">
        <f>IF(E2043="","",IF(C2043&gt;WeekEndDate,"",E2043))</f>
        <v/>
      </c>
    </row>
    <row r="2044">
      <c r="A2044" t="inlineStr">
        <is>
          <t>Change Orders</t>
        </is>
      </c>
      <c r="B2044" s="46">
        <f>'Change Orders'!U9</f>
        <v/>
      </c>
      <c r="C2044" s="84">
        <f>'Change Orders'!S9</f>
        <v/>
      </c>
      <c r="D2044" s="46">
        <f>'Change Orders'!T9</f>
        <v/>
      </c>
      <c r="E2044" s="46">
        <f>IF(OR(B2044="",C2044="",D2044=""),"",D2044*100000+(C2044-DATE(2000,1,1))+ROW()/100000)</f>
        <v/>
      </c>
      <c r="F2044" s="46">
        <f>IF(E2044="","",IF(C2044&gt;WeekEndDate,"",E2044))</f>
        <v/>
      </c>
    </row>
    <row r="2045">
      <c r="A2045" t="inlineStr">
        <is>
          <t>Change Orders</t>
        </is>
      </c>
      <c r="B2045" s="46">
        <f>'Change Orders'!U10</f>
        <v/>
      </c>
      <c r="C2045" s="84">
        <f>'Change Orders'!S10</f>
        <v/>
      </c>
      <c r="D2045" s="46">
        <f>'Change Orders'!T10</f>
        <v/>
      </c>
      <c r="E2045" s="46">
        <f>IF(OR(B2045="",C2045="",D2045=""),"",D2045*100000+(C2045-DATE(2000,1,1))+ROW()/100000)</f>
        <v/>
      </c>
      <c r="F2045" s="46">
        <f>IF(E2045="","",IF(C2045&gt;WeekEndDate,"",E2045))</f>
        <v/>
      </c>
    </row>
    <row r="2046">
      <c r="A2046" t="inlineStr">
        <is>
          <t>Change Orders</t>
        </is>
      </c>
      <c r="B2046" s="46">
        <f>'Change Orders'!U11</f>
        <v/>
      </c>
      <c r="C2046" s="84">
        <f>'Change Orders'!S11</f>
        <v/>
      </c>
      <c r="D2046" s="46">
        <f>'Change Orders'!T11</f>
        <v/>
      </c>
      <c r="E2046" s="46">
        <f>IF(OR(B2046="",C2046="",D2046=""),"",D2046*100000+(C2046-DATE(2000,1,1))+ROW()/100000)</f>
        <v/>
      </c>
      <c r="F2046" s="46">
        <f>IF(E2046="","",IF(C2046&gt;WeekEndDate,"",E2046))</f>
        <v/>
      </c>
    </row>
    <row r="2047">
      <c r="A2047" t="inlineStr">
        <is>
          <t>Change Orders</t>
        </is>
      </c>
      <c r="B2047" s="46">
        <f>'Change Orders'!U12</f>
        <v/>
      </c>
      <c r="C2047" s="84">
        <f>'Change Orders'!S12</f>
        <v/>
      </c>
      <c r="D2047" s="46">
        <f>'Change Orders'!T12</f>
        <v/>
      </c>
      <c r="E2047" s="46">
        <f>IF(OR(B2047="",C2047="",D2047=""),"",D2047*100000+(C2047-DATE(2000,1,1))+ROW()/100000)</f>
        <v/>
      </c>
      <c r="F2047" s="46">
        <f>IF(E2047="","",IF(C2047&gt;WeekEndDate,"",E2047))</f>
        <v/>
      </c>
    </row>
    <row r="2048">
      <c r="A2048" t="inlineStr">
        <is>
          <t>Change Orders</t>
        </is>
      </c>
      <c r="B2048" s="46">
        <f>'Change Orders'!U13</f>
        <v/>
      </c>
      <c r="C2048" s="84">
        <f>'Change Orders'!S13</f>
        <v/>
      </c>
      <c r="D2048" s="46">
        <f>'Change Orders'!T13</f>
        <v/>
      </c>
      <c r="E2048" s="46">
        <f>IF(OR(B2048="",C2048="",D2048=""),"",D2048*100000+(C2048-DATE(2000,1,1))+ROW()/100000)</f>
        <v/>
      </c>
      <c r="F2048" s="46">
        <f>IF(E2048="","",IF(C2048&gt;WeekEndDate,"",E2048))</f>
        <v/>
      </c>
    </row>
    <row r="2049">
      <c r="A2049" t="inlineStr">
        <is>
          <t>Change Orders</t>
        </is>
      </c>
      <c r="B2049" s="46">
        <f>'Change Orders'!U14</f>
        <v/>
      </c>
      <c r="C2049" s="84">
        <f>'Change Orders'!S14</f>
        <v/>
      </c>
      <c r="D2049" s="46">
        <f>'Change Orders'!T14</f>
        <v/>
      </c>
      <c r="E2049" s="46">
        <f>IF(OR(B2049="",C2049="",D2049=""),"",D2049*100000+(C2049-DATE(2000,1,1))+ROW()/100000)</f>
        <v/>
      </c>
      <c r="F2049" s="46">
        <f>IF(E2049="","",IF(C2049&gt;WeekEndDate,"",E2049))</f>
        <v/>
      </c>
    </row>
    <row r="2050">
      <c r="A2050" t="inlineStr">
        <is>
          <t>Change Orders</t>
        </is>
      </c>
      <c r="B2050" s="46">
        <f>'Change Orders'!U15</f>
        <v/>
      </c>
      <c r="C2050" s="84">
        <f>'Change Orders'!S15</f>
        <v/>
      </c>
      <c r="D2050" s="46">
        <f>'Change Orders'!T15</f>
        <v/>
      </c>
      <c r="E2050" s="46">
        <f>IF(OR(B2050="",C2050="",D2050=""),"",D2050*100000+(C2050-DATE(2000,1,1))+ROW()/100000)</f>
        <v/>
      </c>
      <c r="F2050" s="46">
        <f>IF(E2050="","",IF(C2050&gt;WeekEndDate,"",E2050))</f>
        <v/>
      </c>
    </row>
    <row r="2051">
      <c r="A2051" t="inlineStr">
        <is>
          <t>Change Orders</t>
        </is>
      </c>
      <c r="B2051" s="46">
        <f>'Change Orders'!U16</f>
        <v/>
      </c>
      <c r="C2051" s="84">
        <f>'Change Orders'!S16</f>
        <v/>
      </c>
      <c r="D2051" s="46">
        <f>'Change Orders'!T16</f>
        <v/>
      </c>
      <c r="E2051" s="46">
        <f>IF(OR(B2051="",C2051="",D2051=""),"",D2051*100000+(C2051-DATE(2000,1,1))+ROW()/100000)</f>
        <v/>
      </c>
      <c r="F2051" s="46">
        <f>IF(E2051="","",IF(C2051&gt;WeekEndDate,"",E2051))</f>
        <v/>
      </c>
    </row>
    <row r="2052">
      <c r="A2052" t="inlineStr">
        <is>
          <t>Change Orders</t>
        </is>
      </c>
      <c r="B2052" s="46">
        <f>'Change Orders'!U17</f>
        <v/>
      </c>
      <c r="C2052" s="84">
        <f>'Change Orders'!S17</f>
        <v/>
      </c>
      <c r="D2052" s="46">
        <f>'Change Orders'!T17</f>
        <v/>
      </c>
      <c r="E2052" s="46">
        <f>IF(OR(B2052="",C2052="",D2052=""),"",D2052*100000+(C2052-DATE(2000,1,1))+ROW()/100000)</f>
        <v/>
      </c>
      <c r="F2052" s="46">
        <f>IF(E2052="","",IF(C2052&gt;WeekEndDate,"",E2052))</f>
        <v/>
      </c>
    </row>
    <row r="2053">
      <c r="A2053" t="inlineStr">
        <is>
          <t>Change Orders</t>
        </is>
      </c>
      <c r="B2053" s="46">
        <f>'Change Orders'!U18</f>
        <v/>
      </c>
      <c r="C2053" s="84">
        <f>'Change Orders'!S18</f>
        <v/>
      </c>
      <c r="D2053" s="46">
        <f>'Change Orders'!T18</f>
        <v/>
      </c>
      <c r="E2053" s="46">
        <f>IF(OR(B2053="",C2053="",D2053=""),"",D2053*100000+(C2053-DATE(2000,1,1))+ROW()/100000)</f>
        <v/>
      </c>
      <c r="F2053" s="46">
        <f>IF(E2053="","",IF(C2053&gt;WeekEndDate,"",E2053))</f>
        <v/>
      </c>
    </row>
    <row r="2054">
      <c r="A2054" t="inlineStr">
        <is>
          <t>Change Orders</t>
        </is>
      </c>
      <c r="B2054" s="46">
        <f>'Change Orders'!U19</f>
        <v/>
      </c>
      <c r="C2054" s="84">
        <f>'Change Orders'!S19</f>
        <v/>
      </c>
      <c r="D2054" s="46">
        <f>'Change Orders'!T19</f>
        <v/>
      </c>
      <c r="E2054" s="46">
        <f>IF(OR(B2054="",C2054="",D2054=""),"",D2054*100000+(C2054-DATE(2000,1,1))+ROW()/100000)</f>
        <v/>
      </c>
      <c r="F2054" s="46">
        <f>IF(E2054="","",IF(C2054&gt;WeekEndDate,"",E2054))</f>
        <v/>
      </c>
    </row>
    <row r="2055">
      <c r="A2055" t="inlineStr">
        <is>
          <t>Change Orders</t>
        </is>
      </c>
      <c r="B2055" s="46">
        <f>'Change Orders'!U20</f>
        <v/>
      </c>
      <c r="C2055" s="84">
        <f>'Change Orders'!S20</f>
        <v/>
      </c>
      <c r="D2055" s="46">
        <f>'Change Orders'!T20</f>
        <v/>
      </c>
      <c r="E2055" s="46">
        <f>IF(OR(B2055="",C2055="",D2055=""),"",D2055*100000+(C2055-DATE(2000,1,1))+ROW()/100000)</f>
        <v/>
      </c>
      <c r="F2055" s="46">
        <f>IF(E2055="","",IF(C2055&gt;WeekEndDate,"",E2055))</f>
        <v/>
      </c>
    </row>
    <row r="2056">
      <c r="A2056" t="inlineStr">
        <is>
          <t>Change Orders</t>
        </is>
      </c>
      <c r="B2056" s="46">
        <f>'Change Orders'!U21</f>
        <v/>
      </c>
      <c r="C2056" s="84">
        <f>'Change Orders'!S21</f>
        <v/>
      </c>
      <c r="D2056" s="46">
        <f>'Change Orders'!T21</f>
        <v/>
      </c>
      <c r="E2056" s="46">
        <f>IF(OR(B2056="",C2056="",D2056=""),"",D2056*100000+(C2056-DATE(2000,1,1))+ROW()/100000)</f>
        <v/>
      </c>
      <c r="F2056" s="46">
        <f>IF(E2056="","",IF(C2056&gt;WeekEndDate,"",E2056))</f>
        <v/>
      </c>
    </row>
    <row r="2057">
      <c r="A2057" t="inlineStr">
        <is>
          <t>Change Orders</t>
        </is>
      </c>
      <c r="B2057" s="46">
        <f>'Change Orders'!U22</f>
        <v/>
      </c>
      <c r="C2057" s="84">
        <f>'Change Orders'!S22</f>
        <v/>
      </c>
      <c r="D2057" s="46">
        <f>'Change Orders'!T22</f>
        <v/>
      </c>
      <c r="E2057" s="46">
        <f>IF(OR(B2057="",C2057="",D2057=""),"",D2057*100000+(C2057-DATE(2000,1,1))+ROW()/100000)</f>
        <v/>
      </c>
      <c r="F2057" s="46">
        <f>IF(E2057="","",IF(C2057&gt;WeekEndDate,"",E2057))</f>
        <v/>
      </c>
    </row>
    <row r="2058">
      <c r="A2058" t="inlineStr">
        <is>
          <t>Change Orders</t>
        </is>
      </c>
      <c r="B2058" s="46">
        <f>'Change Orders'!U23</f>
        <v/>
      </c>
      <c r="C2058" s="84">
        <f>'Change Orders'!S23</f>
        <v/>
      </c>
      <c r="D2058" s="46">
        <f>'Change Orders'!T23</f>
        <v/>
      </c>
      <c r="E2058" s="46">
        <f>IF(OR(B2058="",C2058="",D2058=""),"",D2058*100000+(C2058-DATE(2000,1,1))+ROW()/100000)</f>
        <v/>
      </c>
      <c r="F2058" s="46">
        <f>IF(E2058="","",IF(C2058&gt;WeekEndDate,"",E2058))</f>
        <v/>
      </c>
    </row>
    <row r="2059">
      <c r="A2059" t="inlineStr">
        <is>
          <t>Change Orders</t>
        </is>
      </c>
      <c r="B2059" s="46">
        <f>'Change Orders'!U24</f>
        <v/>
      </c>
      <c r="C2059" s="84">
        <f>'Change Orders'!S24</f>
        <v/>
      </c>
      <c r="D2059" s="46">
        <f>'Change Orders'!T24</f>
        <v/>
      </c>
      <c r="E2059" s="46">
        <f>IF(OR(B2059="",C2059="",D2059=""),"",D2059*100000+(C2059-DATE(2000,1,1))+ROW()/100000)</f>
        <v/>
      </c>
      <c r="F2059" s="46">
        <f>IF(E2059="","",IF(C2059&gt;WeekEndDate,"",E2059))</f>
        <v/>
      </c>
    </row>
    <row r="2060">
      <c r="A2060" t="inlineStr">
        <is>
          <t>Change Orders</t>
        </is>
      </c>
      <c r="B2060" s="46">
        <f>'Change Orders'!U25</f>
        <v/>
      </c>
      <c r="C2060" s="84">
        <f>'Change Orders'!S25</f>
        <v/>
      </c>
      <c r="D2060" s="46">
        <f>'Change Orders'!T25</f>
        <v/>
      </c>
      <c r="E2060" s="46">
        <f>IF(OR(B2060="",C2060="",D2060=""),"",D2060*100000+(C2060-DATE(2000,1,1))+ROW()/100000)</f>
        <v/>
      </c>
      <c r="F2060" s="46">
        <f>IF(E2060="","",IF(C2060&gt;WeekEndDate,"",E2060))</f>
        <v/>
      </c>
    </row>
    <row r="2061">
      <c r="A2061" t="inlineStr">
        <is>
          <t>Change Orders</t>
        </is>
      </c>
      <c r="B2061" s="46">
        <f>'Change Orders'!U26</f>
        <v/>
      </c>
      <c r="C2061" s="84">
        <f>'Change Orders'!S26</f>
        <v/>
      </c>
      <c r="D2061" s="46">
        <f>'Change Orders'!T26</f>
        <v/>
      </c>
      <c r="E2061" s="46">
        <f>IF(OR(B2061="",C2061="",D2061=""),"",D2061*100000+(C2061-DATE(2000,1,1))+ROW()/100000)</f>
        <v/>
      </c>
      <c r="F2061" s="46">
        <f>IF(E2061="","",IF(C2061&gt;WeekEndDate,"",E2061))</f>
        <v/>
      </c>
    </row>
    <row r="2062">
      <c r="A2062" t="inlineStr">
        <is>
          <t>Change Orders</t>
        </is>
      </c>
      <c r="B2062" s="46">
        <f>'Change Orders'!U27</f>
        <v/>
      </c>
      <c r="C2062" s="84">
        <f>'Change Orders'!S27</f>
        <v/>
      </c>
      <c r="D2062" s="46">
        <f>'Change Orders'!T27</f>
        <v/>
      </c>
      <c r="E2062" s="46">
        <f>IF(OR(B2062="",C2062="",D2062=""),"",D2062*100000+(C2062-DATE(2000,1,1))+ROW()/100000)</f>
        <v/>
      </c>
      <c r="F2062" s="46">
        <f>IF(E2062="","",IF(C2062&gt;WeekEndDate,"",E2062))</f>
        <v/>
      </c>
    </row>
    <row r="2063">
      <c r="A2063" t="inlineStr">
        <is>
          <t>Change Orders</t>
        </is>
      </c>
      <c r="B2063" s="46">
        <f>'Change Orders'!U28</f>
        <v/>
      </c>
      <c r="C2063" s="84">
        <f>'Change Orders'!S28</f>
        <v/>
      </c>
      <c r="D2063" s="46">
        <f>'Change Orders'!T28</f>
        <v/>
      </c>
      <c r="E2063" s="46">
        <f>IF(OR(B2063="",C2063="",D2063=""),"",D2063*100000+(C2063-DATE(2000,1,1))+ROW()/100000)</f>
        <v/>
      </c>
      <c r="F2063" s="46">
        <f>IF(E2063="","",IF(C2063&gt;WeekEndDate,"",E2063))</f>
        <v/>
      </c>
    </row>
    <row r="2064">
      <c r="A2064" t="inlineStr">
        <is>
          <t>Change Orders</t>
        </is>
      </c>
      <c r="B2064" s="46">
        <f>'Change Orders'!U29</f>
        <v/>
      </c>
      <c r="C2064" s="84">
        <f>'Change Orders'!S29</f>
        <v/>
      </c>
      <c r="D2064" s="46">
        <f>'Change Orders'!T29</f>
        <v/>
      </c>
      <c r="E2064" s="46">
        <f>IF(OR(B2064="",C2064="",D2064=""),"",D2064*100000+(C2064-DATE(2000,1,1))+ROW()/100000)</f>
        <v/>
      </c>
      <c r="F2064" s="46">
        <f>IF(E2064="","",IF(C2064&gt;WeekEndDate,"",E2064))</f>
        <v/>
      </c>
    </row>
    <row r="2065">
      <c r="A2065" t="inlineStr">
        <is>
          <t>Change Orders</t>
        </is>
      </c>
      <c r="B2065" s="46">
        <f>'Change Orders'!U30</f>
        <v/>
      </c>
      <c r="C2065" s="84">
        <f>'Change Orders'!S30</f>
        <v/>
      </c>
      <c r="D2065" s="46">
        <f>'Change Orders'!T30</f>
        <v/>
      </c>
      <c r="E2065" s="46">
        <f>IF(OR(B2065="",C2065="",D2065=""),"",D2065*100000+(C2065-DATE(2000,1,1))+ROW()/100000)</f>
        <v/>
      </c>
      <c r="F2065" s="46">
        <f>IF(E2065="","",IF(C2065&gt;WeekEndDate,"",E2065))</f>
        <v/>
      </c>
    </row>
    <row r="2066">
      <c r="A2066" t="inlineStr">
        <is>
          <t>Change Orders</t>
        </is>
      </c>
      <c r="B2066" s="46">
        <f>'Change Orders'!U31</f>
        <v/>
      </c>
      <c r="C2066" s="84">
        <f>'Change Orders'!S31</f>
        <v/>
      </c>
      <c r="D2066" s="46">
        <f>'Change Orders'!T31</f>
        <v/>
      </c>
      <c r="E2066" s="46">
        <f>IF(OR(B2066="",C2066="",D2066=""),"",D2066*100000+(C2066-DATE(2000,1,1))+ROW()/100000)</f>
        <v/>
      </c>
      <c r="F2066" s="46">
        <f>IF(E2066="","",IF(C2066&gt;WeekEndDate,"",E2066))</f>
        <v/>
      </c>
    </row>
    <row r="2067">
      <c r="A2067" t="inlineStr">
        <is>
          <t>Change Orders</t>
        </is>
      </c>
      <c r="B2067" s="46">
        <f>'Change Orders'!U32</f>
        <v/>
      </c>
      <c r="C2067" s="84">
        <f>'Change Orders'!S32</f>
        <v/>
      </c>
      <c r="D2067" s="46">
        <f>'Change Orders'!T32</f>
        <v/>
      </c>
      <c r="E2067" s="46">
        <f>IF(OR(B2067="",C2067="",D2067=""),"",D2067*100000+(C2067-DATE(2000,1,1))+ROW()/100000)</f>
        <v/>
      </c>
      <c r="F2067" s="46">
        <f>IF(E2067="","",IF(C2067&gt;WeekEndDate,"",E2067))</f>
        <v/>
      </c>
    </row>
    <row r="2068">
      <c r="A2068" t="inlineStr">
        <is>
          <t>Change Orders</t>
        </is>
      </c>
      <c r="B2068" s="46">
        <f>'Change Orders'!U33</f>
        <v/>
      </c>
      <c r="C2068" s="84">
        <f>'Change Orders'!S33</f>
        <v/>
      </c>
      <c r="D2068" s="46">
        <f>'Change Orders'!T33</f>
        <v/>
      </c>
      <c r="E2068" s="46">
        <f>IF(OR(B2068="",C2068="",D2068=""),"",D2068*100000+(C2068-DATE(2000,1,1))+ROW()/100000)</f>
        <v/>
      </c>
      <c r="F2068" s="46">
        <f>IF(E2068="","",IF(C2068&gt;WeekEndDate,"",E2068))</f>
        <v/>
      </c>
    </row>
    <row r="2069">
      <c r="A2069" t="inlineStr">
        <is>
          <t>Change Orders</t>
        </is>
      </c>
      <c r="B2069" s="46">
        <f>'Change Orders'!U34</f>
        <v/>
      </c>
      <c r="C2069" s="84">
        <f>'Change Orders'!S34</f>
        <v/>
      </c>
      <c r="D2069" s="46">
        <f>'Change Orders'!T34</f>
        <v/>
      </c>
      <c r="E2069" s="46">
        <f>IF(OR(B2069="",C2069="",D2069=""),"",D2069*100000+(C2069-DATE(2000,1,1))+ROW()/100000)</f>
        <v/>
      </c>
      <c r="F2069" s="46">
        <f>IF(E2069="","",IF(C2069&gt;WeekEndDate,"",E2069))</f>
        <v/>
      </c>
    </row>
    <row r="2070">
      <c r="A2070" t="inlineStr">
        <is>
          <t>Change Orders</t>
        </is>
      </c>
      <c r="B2070" s="46">
        <f>'Change Orders'!U35</f>
        <v/>
      </c>
      <c r="C2070" s="84">
        <f>'Change Orders'!S35</f>
        <v/>
      </c>
      <c r="D2070" s="46">
        <f>'Change Orders'!T35</f>
        <v/>
      </c>
      <c r="E2070" s="46">
        <f>IF(OR(B2070="",C2070="",D2070=""),"",D2070*100000+(C2070-DATE(2000,1,1))+ROW()/100000)</f>
        <v/>
      </c>
      <c r="F2070" s="46">
        <f>IF(E2070="","",IF(C2070&gt;WeekEndDate,"",E2070))</f>
        <v/>
      </c>
    </row>
    <row r="2071">
      <c r="A2071" t="inlineStr">
        <is>
          <t>Change Orders</t>
        </is>
      </c>
      <c r="B2071" s="46">
        <f>'Change Orders'!U36</f>
        <v/>
      </c>
      <c r="C2071" s="84">
        <f>'Change Orders'!S36</f>
        <v/>
      </c>
      <c r="D2071" s="46">
        <f>'Change Orders'!T36</f>
        <v/>
      </c>
      <c r="E2071" s="46">
        <f>IF(OR(B2071="",C2071="",D2071=""),"",D2071*100000+(C2071-DATE(2000,1,1))+ROW()/100000)</f>
        <v/>
      </c>
      <c r="F2071" s="46">
        <f>IF(E2071="","",IF(C2071&gt;WeekEndDate,"",E2071))</f>
        <v/>
      </c>
    </row>
    <row r="2072">
      <c r="A2072" t="inlineStr">
        <is>
          <t>Change Orders</t>
        </is>
      </c>
      <c r="B2072" s="46">
        <f>'Change Orders'!U37</f>
        <v/>
      </c>
      <c r="C2072" s="84">
        <f>'Change Orders'!S37</f>
        <v/>
      </c>
      <c r="D2072" s="46">
        <f>'Change Orders'!T37</f>
        <v/>
      </c>
      <c r="E2072" s="46">
        <f>IF(OR(B2072="",C2072="",D2072=""),"",D2072*100000+(C2072-DATE(2000,1,1))+ROW()/100000)</f>
        <v/>
      </c>
      <c r="F2072" s="46">
        <f>IF(E2072="","",IF(C2072&gt;WeekEndDate,"",E2072))</f>
        <v/>
      </c>
    </row>
    <row r="2073">
      <c r="A2073" t="inlineStr">
        <is>
          <t>Change Orders</t>
        </is>
      </c>
      <c r="B2073" s="46">
        <f>'Change Orders'!U38</f>
        <v/>
      </c>
      <c r="C2073" s="84">
        <f>'Change Orders'!S38</f>
        <v/>
      </c>
      <c r="D2073" s="46">
        <f>'Change Orders'!T38</f>
        <v/>
      </c>
      <c r="E2073" s="46">
        <f>IF(OR(B2073="",C2073="",D2073=""),"",D2073*100000+(C2073-DATE(2000,1,1))+ROW()/100000)</f>
        <v/>
      </c>
      <c r="F2073" s="46">
        <f>IF(E2073="","",IF(C2073&gt;WeekEndDate,"",E2073))</f>
        <v/>
      </c>
    </row>
    <row r="2074">
      <c r="A2074" t="inlineStr">
        <is>
          <t>Change Orders</t>
        </is>
      </c>
      <c r="B2074" s="46">
        <f>'Change Orders'!U39</f>
        <v/>
      </c>
      <c r="C2074" s="84">
        <f>'Change Orders'!S39</f>
        <v/>
      </c>
      <c r="D2074" s="46">
        <f>'Change Orders'!T39</f>
        <v/>
      </c>
      <c r="E2074" s="46">
        <f>IF(OR(B2074="",C2074="",D2074=""),"",D2074*100000+(C2074-DATE(2000,1,1))+ROW()/100000)</f>
        <v/>
      </c>
      <c r="F2074" s="46">
        <f>IF(E2074="","",IF(C2074&gt;WeekEndDate,"",E2074))</f>
        <v/>
      </c>
    </row>
    <row r="2075">
      <c r="A2075" t="inlineStr">
        <is>
          <t>Change Orders</t>
        </is>
      </c>
      <c r="B2075" s="46">
        <f>'Change Orders'!U40</f>
        <v/>
      </c>
      <c r="C2075" s="84">
        <f>'Change Orders'!S40</f>
        <v/>
      </c>
      <c r="D2075" s="46">
        <f>'Change Orders'!T40</f>
        <v/>
      </c>
      <c r="E2075" s="46">
        <f>IF(OR(B2075="",C2075="",D2075=""),"",D2075*100000+(C2075-DATE(2000,1,1))+ROW()/100000)</f>
        <v/>
      </c>
      <c r="F2075" s="46">
        <f>IF(E2075="","",IF(C2075&gt;WeekEndDate,"",E2075))</f>
        <v/>
      </c>
    </row>
    <row r="2076">
      <c r="A2076" t="inlineStr">
        <is>
          <t>Change Orders</t>
        </is>
      </c>
      <c r="B2076" s="46">
        <f>'Change Orders'!U41</f>
        <v/>
      </c>
      <c r="C2076" s="84">
        <f>'Change Orders'!S41</f>
        <v/>
      </c>
      <c r="D2076" s="46">
        <f>'Change Orders'!T41</f>
        <v/>
      </c>
      <c r="E2076" s="46">
        <f>IF(OR(B2076="",C2076="",D2076=""),"",D2076*100000+(C2076-DATE(2000,1,1))+ROW()/100000)</f>
        <v/>
      </c>
      <c r="F2076" s="46">
        <f>IF(E2076="","",IF(C2076&gt;WeekEndDate,"",E2076))</f>
        <v/>
      </c>
    </row>
    <row r="2077">
      <c r="A2077" t="inlineStr">
        <is>
          <t>Change Orders</t>
        </is>
      </c>
      <c r="B2077" s="46">
        <f>'Change Orders'!U42</f>
        <v/>
      </c>
      <c r="C2077" s="84">
        <f>'Change Orders'!S42</f>
        <v/>
      </c>
      <c r="D2077" s="46">
        <f>'Change Orders'!T42</f>
        <v/>
      </c>
      <c r="E2077" s="46">
        <f>IF(OR(B2077="",C2077="",D2077=""),"",D2077*100000+(C2077-DATE(2000,1,1))+ROW()/100000)</f>
        <v/>
      </c>
      <c r="F2077" s="46">
        <f>IF(E2077="","",IF(C2077&gt;WeekEndDate,"",E2077))</f>
        <v/>
      </c>
    </row>
    <row r="2078">
      <c r="A2078" t="inlineStr">
        <is>
          <t>Change Orders</t>
        </is>
      </c>
      <c r="B2078" s="46">
        <f>'Change Orders'!U43</f>
        <v/>
      </c>
      <c r="C2078" s="84">
        <f>'Change Orders'!S43</f>
        <v/>
      </c>
      <c r="D2078" s="46">
        <f>'Change Orders'!T43</f>
        <v/>
      </c>
      <c r="E2078" s="46">
        <f>IF(OR(B2078="",C2078="",D2078=""),"",D2078*100000+(C2078-DATE(2000,1,1))+ROW()/100000)</f>
        <v/>
      </c>
      <c r="F2078" s="46">
        <f>IF(E2078="","",IF(C2078&gt;WeekEndDate,"",E2078))</f>
        <v/>
      </c>
    </row>
    <row r="2079">
      <c r="A2079" t="inlineStr">
        <is>
          <t>Change Orders</t>
        </is>
      </c>
      <c r="B2079" s="46">
        <f>'Change Orders'!U44</f>
        <v/>
      </c>
      <c r="C2079" s="84">
        <f>'Change Orders'!S44</f>
        <v/>
      </c>
      <c r="D2079" s="46">
        <f>'Change Orders'!T44</f>
        <v/>
      </c>
      <c r="E2079" s="46">
        <f>IF(OR(B2079="",C2079="",D2079=""),"",D2079*100000+(C2079-DATE(2000,1,1))+ROW()/100000)</f>
        <v/>
      </c>
      <c r="F2079" s="46">
        <f>IF(E2079="","",IF(C2079&gt;WeekEndDate,"",E2079))</f>
        <v/>
      </c>
    </row>
    <row r="2080">
      <c r="A2080" t="inlineStr">
        <is>
          <t>Change Orders</t>
        </is>
      </c>
      <c r="B2080" s="46">
        <f>'Change Orders'!U45</f>
        <v/>
      </c>
      <c r="C2080" s="84">
        <f>'Change Orders'!S45</f>
        <v/>
      </c>
      <c r="D2080" s="46">
        <f>'Change Orders'!T45</f>
        <v/>
      </c>
      <c r="E2080" s="46">
        <f>IF(OR(B2080="",C2080="",D2080=""),"",D2080*100000+(C2080-DATE(2000,1,1))+ROW()/100000)</f>
        <v/>
      </c>
      <c r="F2080" s="46">
        <f>IF(E2080="","",IF(C2080&gt;WeekEndDate,"",E2080))</f>
        <v/>
      </c>
    </row>
    <row r="2081">
      <c r="A2081" t="inlineStr">
        <is>
          <t>Change Orders</t>
        </is>
      </c>
      <c r="B2081" s="46">
        <f>'Change Orders'!U46</f>
        <v/>
      </c>
      <c r="C2081" s="84">
        <f>'Change Orders'!S46</f>
        <v/>
      </c>
      <c r="D2081" s="46">
        <f>'Change Orders'!T46</f>
        <v/>
      </c>
      <c r="E2081" s="46">
        <f>IF(OR(B2081="",C2081="",D2081=""),"",D2081*100000+(C2081-DATE(2000,1,1))+ROW()/100000)</f>
        <v/>
      </c>
      <c r="F2081" s="46">
        <f>IF(E2081="","",IF(C2081&gt;WeekEndDate,"",E2081))</f>
        <v/>
      </c>
    </row>
    <row r="2082">
      <c r="A2082" t="inlineStr">
        <is>
          <t>Change Orders</t>
        </is>
      </c>
      <c r="B2082" s="46">
        <f>'Change Orders'!U47</f>
        <v/>
      </c>
      <c r="C2082" s="84">
        <f>'Change Orders'!S47</f>
        <v/>
      </c>
      <c r="D2082" s="46">
        <f>'Change Orders'!T47</f>
        <v/>
      </c>
      <c r="E2082" s="46">
        <f>IF(OR(B2082="",C2082="",D2082=""),"",D2082*100000+(C2082-DATE(2000,1,1))+ROW()/100000)</f>
        <v/>
      </c>
      <c r="F2082" s="46">
        <f>IF(E2082="","",IF(C2082&gt;WeekEndDate,"",E2082))</f>
        <v/>
      </c>
    </row>
    <row r="2083">
      <c r="A2083" t="inlineStr">
        <is>
          <t>Change Orders</t>
        </is>
      </c>
      <c r="B2083" s="46">
        <f>'Change Orders'!U48</f>
        <v/>
      </c>
      <c r="C2083" s="84">
        <f>'Change Orders'!S48</f>
        <v/>
      </c>
      <c r="D2083" s="46">
        <f>'Change Orders'!T48</f>
        <v/>
      </c>
      <c r="E2083" s="46">
        <f>IF(OR(B2083="",C2083="",D2083=""),"",D2083*100000+(C2083-DATE(2000,1,1))+ROW()/100000)</f>
        <v/>
      </c>
      <c r="F2083" s="46">
        <f>IF(E2083="","",IF(C2083&gt;WeekEndDate,"",E2083))</f>
        <v/>
      </c>
    </row>
    <row r="2084">
      <c r="A2084" t="inlineStr">
        <is>
          <t>Change Orders</t>
        </is>
      </c>
      <c r="B2084" s="46">
        <f>'Change Orders'!U49</f>
        <v/>
      </c>
      <c r="C2084" s="84">
        <f>'Change Orders'!S49</f>
        <v/>
      </c>
      <c r="D2084" s="46">
        <f>'Change Orders'!T49</f>
        <v/>
      </c>
      <c r="E2084" s="46">
        <f>IF(OR(B2084="",C2084="",D2084=""),"",D2084*100000+(C2084-DATE(2000,1,1))+ROW()/100000)</f>
        <v/>
      </c>
      <c r="F2084" s="46">
        <f>IF(E2084="","",IF(C2084&gt;WeekEndDate,"",E2084))</f>
        <v/>
      </c>
    </row>
    <row r="2085">
      <c r="A2085" t="inlineStr">
        <is>
          <t>Change Orders</t>
        </is>
      </c>
      <c r="B2085" s="46">
        <f>'Change Orders'!U50</f>
        <v/>
      </c>
      <c r="C2085" s="84">
        <f>'Change Orders'!S50</f>
        <v/>
      </c>
      <c r="D2085" s="46">
        <f>'Change Orders'!T50</f>
        <v/>
      </c>
      <c r="E2085" s="46">
        <f>IF(OR(B2085="",C2085="",D2085=""),"",D2085*100000+(C2085-DATE(2000,1,1))+ROW()/100000)</f>
        <v/>
      </c>
      <c r="F2085" s="46">
        <f>IF(E2085="","",IF(C2085&gt;WeekEndDate,"",E2085))</f>
        <v/>
      </c>
    </row>
    <row r="2086">
      <c r="A2086" t="inlineStr">
        <is>
          <t>Change Orders</t>
        </is>
      </c>
      <c r="B2086" s="46">
        <f>'Change Orders'!U51</f>
        <v/>
      </c>
      <c r="C2086" s="84">
        <f>'Change Orders'!S51</f>
        <v/>
      </c>
      <c r="D2086" s="46">
        <f>'Change Orders'!T51</f>
        <v/>
      </c>
      <c r="E2086" s="46">
        <f>IF(OR(B2086="",C2086="",D2086=""),"",D2086*100000+(C2086-DATE(2000,1,1))+ROW()/100000)</f>
        <v/>
      </c>
      <c r="F2086" s="46">
        <f>IF(E2086="","",IF(C2086&gt;WeekEndDate,"",E2086))</f>
        <v/>
      </c>
    </row>
    <row r="2087">
      <c r="A2087" t="inlineStr">
        <is>
          <t>Change Orders</t>
        </is>
      </c>
      <c r="B2087" s="46">
        <f>'Change Orders'!U52</f>
        <v/>
      </c>
      <c r="C2087" s="84">
        <f>'Change Orders'!S52</f>
        <v/>
      </c>
      <c r="D2087" s="46">
        <f>'Change Orders'!T52</f>
        <v/>
      </c>
      <c r="E2087" s="46">
        <f>IF(OR(B2087="",C2087="",D2087=""),"",D2087*100000+(C2087-DATE(2000,1,1))+ROW()/100000)</f>
        <v/>
      </c>
      <c r="F2087" s="46">
        <f>IF(E2087="","",IF(C2087&gt;WeekEndDate,"",E2087))</f>
        <v/>
      </c>
    </row>
    <row r="2088">
      <c r="A2088" t="inlineStr">
        <is>
          <t>Change Orders</t>
        </is>
      </c>
      <c r="B2088" s="46">
        <f>'Change Orders'!U53</f>
        <v/>
      </c>
      <c r="C2088" s="84">
        <f>'Change Orders'!S53</f>
        <v/>
      </c>
      <c r="D2088" s="46">
        <f>'Change Orders'!T53</f>
        <v/>
      </c>
      <c r="E2088" s="46">
        <f>IF(OR(B2088="",C2088="",D2088=""),"",D2088*100000+(C2088-DATE(2000,1,1))+ROW()/100000)</f>
        <v/>
      </c>
      <c r="F2088" s="46">
        <f>IF(E2088="","",IF(C2088&gt;WeekEndDate,"",E2088))</f>
        <v/>
      </c>
    </row>
    <row r="2089">
      <c r="A2089" t="inlineStr">
        <is>
          <t>Change Orders</t>
        </is>
      </c>
      <c r="B2089" s="46">
        <f>'Change Orders'!U54</f>
        <v/>
      </c>
      <c r="C2089" s="84">
        <f>'Change Orders'!S54</f>
        <v/>
      </c>
      <c r="D2089" s="46">
        <f>'Change Orders'!T54</f>
        <v/>
      </c>
      <c r="E2089" s="46">
        <f>IF(OR(B2089="",C2089="",D2089=""),"",D2089*100000+(C2089-DATE(2000,1,1))+ROW()/100000)</f>
        <v/>
      </c>
      <c r="F2089" s="46">
        <f>IF(E2089="","",IF(C2089&gt;WeekEndDate,"",E2089))</f>
        <v/>
      </c>
    </row>
    <row r="2090">
      <c r="A2090" t="inlineStr">
        <is>
          <t>Change Orders</t>
        </is>
      </c>
      <c r="B2090" s="46">
        <f>'Change Orders'!U55</f>
        <v/>
      </c>
      <c r="C2090" s="84">
        <f>'Change Orders'!S55</f>
        <v/>
      </c>
      <c r="D2090" s="46">
        <f>'Change Orders'!T55</f>
        <v/>
      </c>
      <c r="E2090" s="46">
        <f>IF(OR(B2090="",C2090="",D2090=""),"",D2090*100000+(C2090-DATE(2000,1,1))+ROW()/100000)</f>
        <v/>
      </c>
      <c r="F2090" s="46">
        <f>IF(E2090="","",IF(C2090&gt;WeekEndDate,"",E2090))</f>
        <v/>
      </c>
    </row>
    <row r="2091">
      <c r="A2091" t="inlineStr">
        <is>
          <t>Change Orders</t>
        </is>
      </c>
      <c r="B2091" s="46">
        <f>'Change Orders'!U56</f>
        <v/>
      </c>
      <c r="C2091" s="84">
        <f>'Change Orders'!S56</f>
        <v/>
      </c>
      <c r="D2091" s="46">
        <f>'Change Orders'!T56</f>
        <v/>
      </c>
      <c r="E2091" s="46">
        <f>IF(OR(B2091="",C2091="",D2091=""),"",D2091*100000+(C2091-DATE(2000,1,1))+ROW()/100000)</f>
        <v/>
      </c>
      <c r="F2091" s="46">
        <f>IF(E2091="","",IF(C2091&gt;WeekEndDate,"",E2091))</f>
        <v/>
      </c>
    </row>
    <row r="2092">
      <c r="A2092" t="inlineStr">
        <is>
          <t>Change Orders</t>
        </is>
      </c>
      <c r="B2092" s="46">
        <f>'Change Orders'!U57</f>
        <v/>
      </c>
      <c r="C2092" s="84">
        <f>'Change Orders'!S57</f>
        <v/>
      </c>
      <c r="D2092" s="46">
        <f>'Change Orders'!T57</f>
        <v/>
      </c>
      <c r="E2092" s="46">
        <f>IF(OR(B2092="",C2092="",D2092=""),"",D2092*100000+(C2092-DATE(2000,1,1))+ROW()/100000)</f>
        <v/>
      </c>
      <c r="F2092" s="46">
        <f>IF(E2092="","",IF(C2092&gt;WeekEndDate,"",E2092))</f>
        <v/>
      </c>
    </row>
    <row r="2093">
      <c r="A2093" t="inlineStr">
        <is>
          <t>Change Orders</t>
        </is>
      </c>
      <c r="B2093" s="46">
        <f>'Change Orders'!U58</f>
        <v/>
      </c>
      <c r="C2093" s="84">
        <f>'Change Orders'!S58</f>
        <v/>
      </c>
      <c r="D2093" s="46">
        <f>'Change Orders'!T58</f>
        <v/>
      </c>
      <c r="E2093" s="46">
        <f>IF(OR(B2093="",C2093="",D2093=""),"",D2093*100000+(C2093-DATE(2000,1,1))+ROW()/100000)</f>
        <v/>
      </c>
      <c r="F2093" s="46">
        <f>IF(E2093="","",IF(C2093&gt;WeekEndDate,"",E2093))</f>
        <v/>
      </c>
    </row>
    <row r="2094">
      <c r="A2094" t="inlineStr">
        <is>
          <t>Change Orders</t>
        </is>
      </c>
      <c r="B2094" s="46">
        <f>'Change Orders'!U59</f>
        <v/>
      </c>
      <c r="C2094" s="84">
        <f>'Change Orders'!S59</f>
        <v/>
      </c>
      <c r="D2094" s="46">
        <f>'Change Orders'!T59</f>
        <v/>
      </c>
      <c r="E2094" s="46">
        <f>IF(OR(B2094="",C2094="",D2094=""),"",D2094*100000+(C2094-DATE(2000,1,1))+ROW()/100000)</f>
        <v/>
      </c>
      <c r="F2094" s="46">
        <f>IF(E2094="","",IF(C2094&gt;WeekEndDate,"",E2094))</f>
        <v/>
      </c>
    </row>
    <row r="2095">
      <c r="A2095" t="inlineStr">
        <is>
          <t>Change Orders</t>
        </is>
      </c>
      <c r="B2095" s="46">
        <f>'Change Orders'!U60</f>
        <v/>
      </c>
      <c r="C2095" s="84">
        <f>'Change Orders'!S60</f>
        <v/>
      </c>
      <c r="D2095" s="46">
        <f>'Change Orders'!T60</f>
        <v/>
      </c>
      <c r="E2095" s="46">
        <f>IF(OR(B2095="",C2095="",D2095=""),"",D2095*100000+(C2095-DATE(2000,1,1))+ROW()/100000)</f>
        <v/>
      </c>
      <c r="F2095" s="46">
        <f>IF(E2095="","",IF(C2095&gt;WeekEndDate,"",E2095))</f>
        <v/>
      </c>
    </row>
    <row r="2096">
      <c r="A2096" t="inlineStr">
        <is>
          <t>Change Orders</t>
        </is>
      </c>
      <c r="B2096" s="46">
        <f>'Change Orders'!U61</f>
        <v/>
      </c>
      <c r="C2096" s="84">
        <f>'Change Orders'!S61</f>
        <v/>
      </c>
      <c r="D2096" s="46">
        <f>'Change Orders'!T61</f>
        <v/>
      </c>
      <c r="E2096" s="46">
        <f>IF(OR(B2096="",C2096="",D2096=""),"",D2096*100000+(C2096-DATE(2000,1,1))+ROW()/100000)</f>
        <v/>
      </c>
      <c r="F2096" s="46">
        <f>IF(E2096="","",IF(C2096&gt;WeekEndDate,"",E2096))</f>
        <v/>
      </c>
    </row>
    <row r="2097">
      <c r="A2097" t="inlineStr">
        <is>
          <t>Change Orders</t>
        </is>
      </c>
      <c r="B2097" s="46">
        <f>'Change Orders'!U62</f>
        <v/>
      </c>
      <c r="C2097" s="84">
        <f>'Change Orders'!S62</f>
        <v/>
      </c>
      <c r="D2097" s="46">
        <f>'Change Orders'!T62</f>
        <v/>
      </c>
      <c r="E2097" s="46">
        <f>IF(OR(B2097="",C2097="",D2097=""),"",D2097*100000+(C2097-DATE(2000,1,1))+ROW()/100000)</f>
        <v/>
      </c>
      <c r="F2097" s="46">
        <f>IF(E2097="","",IF(C2097&gt;WeekEndDate,"",E2097))</f>
        <v/>
      </c>
    </row>
    <row r="2098">
      <c r="A2098" t="inlineStr">
        <is>
          <t>Change Orders</t>
        </is>
      </c>
      <c r="B2098" s="46">
        <f>'Change Orders'!U63</f>
        <v/>
      </c>
      <c r="C2098" s="84">
        <f>'Change Orders'!S63</f>
        <v/>
      </c>
      <c r="D2098" s="46">
        <f>'Change Orders'!T63</f>
        <v/>
      </c>
      <c r="E2098" s="46">
        <f>IF(OR(B2098="",C2098="",D2098=""),"",D2098*100000+(C2098-DATE(2000,1,1))+ROW()/100000)</f>
        <v/>
      </c>
      <c r="F2098" s="46">
        <f>IF(E2098="","",IF(C2098&gt;WeekEndDate,"",E2098))</f>
        <v/>
      </c>
    </row>
    <row r="2099">
      <c r="A2099" t="inlineStr">
        <is>
          <t>Change Orders</t>
        </is>
      </c>
      <c r="B2099" s="46">
        <f>'Change Orders'!U64</f>
        <v/>
      </c>
      <c r="C2099" s="84">
        <f>'Change Orders'!S64</f>
        <v/>
      </c>
      <c r="D2099" s="46">
        <f>'Change Orders'!T64</f>
        <v/>
      </c>
      <c r="E2099" s="46">
        <f>IF(OR(B2099="",C2099="",D2099=""),"",D2099*100000+(C2099-DATE(2000,1,1))+ROW()/100000)</f>
        <v/>
      </c>
      <c r="F2099" s="46">
        <f>IF(E2099="","",IF(C2099&gt;WeekEndDate,"",E2099))</f>
        <v/>
      </c>
    </row>
    <row r="2100">
      <c r="A2100" t="inlineStr">
        <is>
          <t>Change Orders</t>
        </is>
      </c>
      <c r="B2100" s="46">
        <f>'Change Orders'!U65</f>
        <v/>
      </c>
      <c r="C2100" s="84">
        <f>'Change Orders'!S65</f>
        <v/>
      </c>
      <c r="D2100" s="46">
        <f>'Change Orders'!T65</f>
        <v/>
      </c>
      <c r="E2100" s="46">
        <f>IF(OR(B2100="",C2100="",D2100=""),"",D2100*100000+(C2100-DATE(2000,1,1))+ROW()/100000)</f>
        <v/>
      </c>
      <c r="F2100" s="46">
        <f>IF(E2100="","",IF(C2100&gt;WeekEndDate,"",E2100))</f>
        <v/>
      </c>
    </row>
    <row r="2101">
      <c r="A2101" t="inlineStr">
        <is>
          <t>Change Orders</t>
        </is>
      </c>
      <c r="B2101" s="46">
        <f>'Change Orders'!U66</f>
        <v/>
      </c>
      <c r="C2101" s="84">
        <f>'Change Orders'!S66</f>
        <v/>
      </c>
      <c r="D2101" s="46">
        <f>'Change Orders'!T66</f>
        <v/>
      </c>
      <c r="E2101" s="46">
        <f>IF(OR(B2101="",C2101="",D2101=""),"",D2101*100000+(C2101-DATE(2000,1,1))+ROW()/100000)</f>
        <v/>
      </c>
      <c r="F2101" s="46">
        <f>IF(E2101="","",IF(C2101&gt;WeekEndDate,"",E2101))</f>
        <v/>
      </c>
    </row>
    <row r="2102">
      <c r="A2102" t="inlineStr">
        <is>
          <t>Change Orders</t>
        </is>
      </c>
      <c r="B2102" s="46">
        <f>'Change Orders'!U67</f>
        <v/>
      </c>
      <c r="C2102" s="84">
        <f>'Change Orders'!S67</f>
        <v/>
      </c>
      <c r="D2102" s="46">
        <f>'Change Orders'!T67</f>
        <v/>
      </c>
      <c r="E2102" s="46">
        <f>IF(OR(B2102="",C2102="",D2102=""),"",D2102*100000+(C2102-DATE(2000,1,1))+ROW()/100000)</f>
        <v/>
      </c>
      <c r="F2102" s="46">
        <f>IF(E2102="","",IF(C2102&gt;WeekEndDate,"",E2102))</f>
        <v/>
      </c>
    </row>
    <row r="2103">
      <c r="A2103" t="inlineStr">
        <is>
          <t>Change Orders</t>
        </is>
      </c>
      <c r="B2103" s="46">
        <f>'Change Orders'!U68</f>
        <v/>
      </c>
      <c r="C2103" s="84">
        <f>'Change Orders'!S68</f>
        <v/>
      </c>
      <c r="D2103" s="46">
        <f>'Change Orders'!T68</f>
        <v/>
      </c>
      <c r="E2103" s="46">
        <f>IF(OR(B2103="",C2103="",D2103=""),"",D2103*100000+(C2103-DATE(2000,1,1))+ROW()/100000)</f>
        <v/>
      </c>
      <c r="F2103" s="46">
        <f>IF(E2103="","",IF(C2103&gt;WeekEndDate,"",E2103))</f>
        <v/>
      </c>
    </row>
    <row r="2104">
      <c r="A2104" t="inlineStr">
        <is>
          <t>Change Orders</t>
        </is>
      </c>
      <c r="B2104" s="46">
        <f>'Change Orders'!U69</f>
        <v/>
      </c>
      <c r="C2104" s="84">
        <f>'Change Orders'!S69</f>
        <v/>
      </c>
      <c r="D2104" s="46">
        <f>'Change Orders'!T69</f>
        <v/>
      </c>
      <c r="E2104" s="46">
        <f>IF(OR(B2104="",C2104="",D2104=""),"",D2104*100000+(C2104-DATE(2000,1,1))+ROW()/100000)</f>
        <v/>
      </c>
      <c r="F2104" s="46">
        <f>IF(E2104="","",IF(C2104&gt;WeekEndDate,"",E2104))</f>
        <v/>
      </c>
    </row>
    <row r="2105">
      <c r="A2105" t="inlineStr">
        <is>
          <t>Change Orders</t>
        </is>
      </c>
      <c r="B2105" s="46">
        <f>'Change Orders'!U70</f>
        <v/>
      </c>
      <c r="C2105" s="84">
        <f>'Change Orders'!S70</f>
        <v/>
      </c>
      <c r="D2105" s="46">
        <f>'Change Orders'!T70</f>
        <v/>
      </c>
      <c r="E2105" s="46">
        <f>IF(OR(B2105="",C2105="",D2105=""),"",D2105*100000+(C2105-DATE(2000,1,1))+ROW()/100000)</f>
        <v/>
      </c>
      <c r="F2105" s="46">
        <f>IF(E2105="","",IF(C2105&gt;WeekEndDate,"",E2105))</f>
        <v/>
      </c>
    </row>
    <row r="2106">
      <c r="A2106" t="inlineStr">
        <is>
          <t>Change Orders</t>
        </is>
      </c>
      <c r="B2106" s="46">
        <f>'Change Orders'!U71</f>
        <v/>
      </c>
      <c r="C2106" s="84">
        <f>'Change Orders'!S71</f>
        <v/>
      </c>
      <c r="D2106" s="46">
        <f>'Change Orders'!T71</f>
        <v/>
      </c>
      <c r="E2106" s="46">
        <f>IF(OR(B2106="",C2106="",D2106=""),"",D2106*100000+(C2106-DATE(2000,1,1))+ROW()/100000)</f>
        <v/>
      </c>
      <c r="F2106" s="46">
        <f>IF(E2106="","",IF(C2106&gt;WeekEndDate,"",E2106))</f>
        <v/>
      </c>
    </row>
    <row r="2107">
      <c r="A2107" t="inlineStr">
        <is>
          <t>Change Orders</t>
        </is>
      </c>
      <c r="B2107" s="46">
        <f>'Change Orders'!U72</f>
        <v/>
      </c>
      <c r="C2107" s="84">
        <f>'Change Orders'!S72</f>
        <v/>
      </c>
      <c r="D2107" s="46">
        <f>'Change Orders'!T72</f>
        <v/>
      </c>
      <c r="E2107" s="46">
        <f>IF(OR(B2107="",C2107="",D2107=""),"",D2107*100000+(C2107-DATE(2000,1,1))+ROW()/100000)</f>
        <v/>
      </c>
      <c r="F2107" s="46">
        <f>IF(E2107="","",IF(C2107&gt;WeekEndDate,"",E2107))</f>
        <v/>
      </c>
    </row>
    <row r="2108">
      <c r="A2108" t="inlineStr">
        <is>
          <t>Change Orders</t>
        </is>
      </c>
      <c r="B2108" s="46">
        <f>'Change Orders'!U73</f>
        <v/>
      </c>
      <c r="C2108" s="84">
        <f>'Change Orders'!S73</f>
        <v/>
      </c>
      <c r="D2108" s="46">
        <f>'Change Orders'!T73</f>
        <v/>
      </c>
      <c r="E2108" s="46">
        <f>IF(OR(B2108="",C2108="",D2108=""),"",D2108*100000+(C2108-DATE(2000,1,1))+ROW()/100000)</f>
        <v/>
      </c>
      <c r="F2108" s="46">
        <f>IF(E2108="","",IF(C2108&gt;WeekEndDate,"",E2108))</f>
        <v/>
      </c>
    </row>
    <row r="2109">
      <c r="A2109" t="inlineStr">
        <is>
          <t>Change Orders</t>
        </is>
      </c>
      <c r="B2109" s="46">
        <f>'Change Orders'!U74</f>
        <v/>
      </c>
      <c r="C2109" s="84">
        <f>'Change Orders'!S74</f>
        <v/>
      </c>
      <c r="D2109" s="46">
        <f>'Change Orders'!T74</f>
        <v/>
      </c>
      <c r="E2109" s="46">
        <f>IF(OR(B2109="",C2109="",D2109=""),"",D2109*100000+(C2109-DATE(2000,1,1))+ROW()/100000)</f>
        <v/>
      </c>
      <c r="F2109" s="46">
        <f>IF(E2109="","",IF(C2109&gt;WeekEndDate,"",E2109))</f>
        <v/>
      </c>
    </row>
    <row r="2110">
      <c r="A2110" t="inlineStr">
        <is>
          <t>Change Orders</t>
        </is>
      </c>
      <c r="B2110" s="46">
        <f>'Change Orders'!U75</f>
        <v/>
      </c>
      <c r="C2110" s="84">
        <f>'Change Orders'!S75</f>
        <v/>
      </c>
      <c r="D2110" s="46">
        <f>'Change Orders'!T75</f>
        <v/>
      </c>
      <c r="E2110" s="46">
        <f>IF(OR(B2110="",C2110="",D2110=""),"",D2110*100000+(C2110-DATE(2000,1,1))+ROW()/100000)</f>
        <v/>
      </c>
      <c r="F2110" s="46">
        <f>IF(E2110="","",IF(C2110&gt;WeekEndDate,"",E2110))</f>
        <v/>
      </c>
    </row>
    <row r="2111">
      <c r="A2111" t="inlineStr">
        <is>
          <t>Change Orders</t>
        </is>
      </c>
      <c r="B2111" s="46">
        <f>'Change Orders'!U76</f>
        <v/>
      </c>
      <c r="C2111" s="84">
        <f>'Change Orders'!S76</f>
        <v/>
      </c>
      <c r="D2111" s="46">
        <f>'Change Orders'!T76</f>
        <v/>
      </c>
      <c r="E2111" s="46">
        <f>IF(OR(B2111="",C2111="",D2111=""),"",D2111*100000+(C2111-DATE(2000,1,1))+ROW()/100000)</f>
        <v/>
      </c>
      <c r="F2111" s="46">
        <f>IF(E2111="","",IF(C2111&gt;WeekEndDate,"",E2111))</f>
        <v/>
      </c>
    </row>
    <row r="2112">
      <c r="A2112" t="inlineStr">
        <is>
          <t>Change Orders</t>
        </is>
      </c>
      <c r="B2112" s="46">
        <f>'Change Orders'!U77</f>
        <v/>
      </c>
      <c r="C2112" s="84">
        <f>'Change Orders'!S77</f>
        <v/>
      </c>
      <c r="D2112" s="46">
        <f>'Change Orders'!T77</f>
        <v/>
      </c>
      <c r="E2112" s="46">
        <f>IF(OR(B2112="",C2112="",D2112=""),"",D2112*100000+(C2112-DATE(2000,1,1))+ROW()/100000)</f>
        <v/>
      </c>
      <c r="F2112" s="46">
        <f>IF(E2112="","",IF(C2112&gt;WeekEndDate,"",E2112))</f>
        <v/>
      </c>
    </row>
    <row r="2113">
      <c r="A2113" t="inlineStr">
        <is>
          <t>Change Orders</t>
        </is>
      </c>
      <c r="B2113" s="46">
        <f>'Change Orders'!U78</f>
        <v/>
      </c>
      <c r="C2113" s="84">
        <f>'Change Orders'!S78</f>
        <v/>
      </c>
      <c r="D2113" s="46">
        <f>'Change Orders'!T78</f>
        <v/>
      </c>
      <c r="E2113" s="46">
        <f>IF(OR(B2113="",C2113="",D2113=""),"",D2113*100000+(C2113-DATE(2000,1,1))+ROW()/100000)</f>
        <v/>
      </c>
      <c r="F2113" s="46">
        <f>IF(E2113="","",IF(C2113&gt;WeekEndDate,"",E2113))</f>
        <v/>
      </c>
    </row>
    <row r="2114">
      <c r="A2114" t="inlineStr">
        <is>
          <t>Change Orders</t>
        </is>
      </c>
      <c r="B2114" s="46">
        <f>'Change Orders'!U79</f>
        <v/>
      </c>
      <c r="C2114" s="84">
        <f>'Change Orders'!S79</f>
        <v/>
      </c>
      <c r="D2114" s="46">
        <f>'Change Orders'!T79</f>
        <v/>
      </c>
      <c r="E2114" s="46">
        <f>IF(OR(B2114="",C2114="",D2114=""),"",D2114*100000+(C2114-DATE(2000,1,1))+ROW()/100000)</f>
        <v/>
      </c>
      <c r="F2114" s="46">
        <f>IF(E2114="","",IF(C2114&gt;WeekEndDate,"",E2114))</f>
        <v/>
      </c>
    </row>
    <row r="2115">
      <c r="A2115" t="inlineStr">
        <is>
          <t>Change Orders</t>
        </is>
      </c>
      <c r="B2115" s="46">
        <f>'Change Orders'!U80</f>
        <v/>
      </c>
      <c r="C2115" s="84">
        <f>'Change Orders'!S80</f>
        <v/>
      </c>
      <c r="D2115" s="46">
        <f>'Change Orders'!T80</f>
        <v/>
      </c>
      <c r="E2115" s="46">
        <f>IF(OR(B2115="",C2115="",D2115=""),"",D2115*100000+(C2115-DATE(2000,1,1))+ROW()/100000)</f>
        <v/>
      </c>
      <c r="F2115" s="46">
        <f>IF(E2115="","",IF(C2115&gt;WeekEndDate,"",E2115))</f>
        <v/>
      </c>
    </row>
    <row r="2116">
      <c r="A2116" t="inlineStr">
        <is>
          <t>Change Orders</t>
        </is>
      </c>
      <c r="B2116" s="46">
        <f>'Change Orders'!U81</f>
        <v/>
      </c>
      <c r="C2116" s="84">
        <f>'Change Orders'!S81</f>
        <v/>
      </c>
      <c r="D2116" s="46">
        <f>'Change Orders'!T81</f>
        <v/>
      </c>
      <c r="E2116" s="46">
        <f>IF(OR(B2116="",C2116="",D2116=""),"",D2116*100000+(C2116-DATE(2000,1,1))+ROW()/100000)</f>
        <v/>
      </c>
      <c r="F2116" s="46">
        <f>IF(E2116="","",IF(C2116&gt;WeekEndDate,"",E2116))</f>
        <v/>
      </c>
    </row>
    <row r="2117">
      <c r="A2117" t="inlineStr">
        <is>
          <t>Change Orders</t>
        </is>
      </c>
      <c r="B2117" s="46">
        <f>'Change Orders'!U82</f>
        <v/>
      </c>
      <c r="C2117" s="84">
        <f>'Change Orders'!S82</f>
        <v/>
      </c>
      <c r="D2117" s="46">
        <f>'Change Orders'!T82</f>
        <v/>
      </c>
      <c r="E2117" s="46">
        <f>IF(OR(B2117="",C2117="",D2117=""),"",D2117*100000+(C2117-DATE(2000,1,1))+ROW()/100000)</f>
        <v/>
      </c>
      <c r="F2117" s="46">
        <f>IF(E2117="","",IF(C2117&gt;WeekEndDate,"",E2117))</f>
        <v/>
      </c>
    </row>
    <row r="2118">
      <c r="A2118" t="inlineStr">
        <is>
          <t>Change Orders</t>
        </is>
      </c>
      <c r="B2118" s="46">
        <f>'Change Orders'!U83</f>
        <v/>
      </c>
      <c r="C2118" s="84">
        <f>'Change Orders'!S83</f>
        <v/>
      </c>
      <c r="D2118" s="46">
        <f>'Change Orders'!T83</f>
        <v/>
      </c>
      <c r="E2118" s="46">
        <f>IF(OR(B2118="",C2118="",D2118=""),"",D2118*100000+(C2118-DATE(2000,1,1))+ROW()/100000)</f>
        <v/>
      </c>
      <c r="F2118" s="46">
        <f>IF(E2118="","",IF(C2118&gt;WeekEndDate,"",E2118))</f>
        <v/>
      </c>
    </row>
    <row r="2119">
      <c r="A2119" t="inlineStr">
        <is>
          <t>Change Orders</t>
        </is>
      </c>
      <c r="B2119" s="46">
        <f>'Change Orders'!U84</f>
        <v/>
      </c>
      <c r="C2119" s="84">
        <f>'Change Orders'!S84</f>
        <v/>
      </c>
      <c r="D2119" s="46">
        <f>'Change Orders'!T84</f>
        <v/>
      </c>
      <c r="E2119" s="46">
        <f>IF(OR(B2119="",C2119="",D2119=""),"",D2119*100000+(C2119-DATE(2000,1,1))+ROW()/100000)</f>
        <v/>
      </c>
      <c r="F2119" s="46">
        <f>IF(E2119="","",IF(C2119&gt;WeekEndDate,"",E2119))</f>
        <v/>
      </c>
    </row>
    <row r="2120">
      <c r="A2120" t="inlineStr">
        <is>
          <t>Change Orders</t>
        </is>
      </c>
      <c r="B2120" s="46">
        <f>'Change Orders'!U85</f>
        <v/>
      </c>
      <c r="C2120" s="84">
        <f>'Change Orders'!S85</f>
        <v/>
      </c>
      <c r="D2120" s="46">
        <f>'Change Orders'!T85</f>
        <v/>
      </c>
      <c r="E2120" s="46">
        <f>IF(OR(B2120="",C2120="",D2120=""),"",D2120*100000+(C2120-DATE(2000,1,1))+ROW()/100000)</f>
        <v/>
      </c>
      <c r="F2120" s="46">
        <f>IF(E2120="","",IF(C2120&gt;WeekEndDate,"",E2120))</f>
        <v/>
      </c>
    </row>
    <row r="2121">
      <c r="A2121" t="inlineStr">
        <is>
          <t>Change Orders</t>
        </is>
      </c>
      <c r="B2121" s="46">
        <f>'Change Orders'!U86</f>
        <v/>
      </c>
      <c r="C2121" s="84">
        <f>'Change Orders'!S86</f>
        <v/>
      </c>
      <c r="D2121" s="46">
        <f>'Change Orders'!T86</f>
        <v/>
      </c>
      <c r="E2121" s="46">
        <f>IF(OR(B2121="",C2121="",D2121=""),"",D2121*100000+(C2121-DATE(2000,1,1))+ROW()/100000)</f>
        <v/>
      </c>
      <c r="F2121" s="46">
        <f>IF(E2121="","",IF(C2121&gt;WeekEndDate,"",E2121))</f>
        <v/>
      </c>
    </row>
    <row r="2122">
      <c r="A2122" t="inlineStr">
        <is>
          <t>Change Orders</t>
        </is>
      </c>
      <c r="B2122" s="46">
        <f>'Change Orders'!U87</f>
        <v/>
      </c>
      <c r="C2122" s="84">
        <f>'Change Orders'!S87</f>
        <v/>
      </c>
      <c r="D2122" s="46">
        <f>'Change Orders'!T87</f>
        <v/>
      </c>
      <c r="E2122" s="46">
        <f>IF(OR(B2122="",C2122="",D2122=""),"",D2122*100000+(C2122-DATE(2000,1,1))+ROW()/100000)</f>
        <v/>
      </c>
      <c r="F2122" s="46">
        <f>IF(E2122="","",IF(C2122&gt;WeekEndDate,"",E2122))</f>
        <v/>
      </c>
    </row>
    <row r="2123">
      <c r="A2123" t="inlineStr">
        <is>
          <t>Change Orders</t>
        </is>
      </c>
      <c r="B2123" s="46">
        <f>'Change Orders'!U88</f>
        <v/>
      </c>
      <c r="C2123" s="84">
        <f>'Change Orders'!S88</f>
        <v/>
      </c>
      <c r="D2123" s="46">
        <f>'Change Orders'!T88</f>
        <v/>
      </c>
      <c r="E2123" s="46">
        <f>IF(OR(B2123="",C2123="",D2123=""),"",D2123*100000+(C2123-DATE(2000,1,1))+ROW()/100000)</f>
        <v/>
      </c>
      <c r="F2123" s="46">
        <f>IF(E2123="","",IF(C2123&gt;WeekEndDate,"",E2123))</f>
        <v/>
      </c>
    </row>
    <row r="2124">
      <c r="A2124" t="inlineStr">
        <is>
          <t>Change Orders</t>
        </is>
      </c>
      <c r="B2124" s="46">
        <f>'Change Orders'!U89</f>
        <v/>
      </c>
      <c r="C2124" s="84">
        <f>'Change Orders'!S89</f>
        <v/>
      </c>
      <c r="D2124" s="46">
        <f>'Change Orders'!T89</f>
        <v/>
      </c>
      <c r="E2124" s="46">
        <f>IF(OR(B2124="",C2124="",D2124=""),"",D2124*100000+(C2124-DATE(2000,1,1))+ROW()/100000)</f>
        <v/>
      </c>
      <c r="F2124" s="46">
        <f>IF(E2124="","",IF(C2124&gt;WeekEndDate,"",E2124))</f>
        <v/>
      </c>
    </row>
    <row r="2125">
      <c r="A2125" t="inlineStr">
        <is>
          <t>Change Orders</t>
        </is>
      </c>
      <c r="B2125" s="46">
        <f>'Change Orders'!U90</f>
        <v/>
      </c>
      <c r="C2125" s="84">
        <f>'Change Orders'!S90</f>
        <v/>
      </c>
      <c r="D2125" s="46">
        <f>'Change Orders'!T90</f>
        <v/>
      </c>
      <c r="E2125" s="46">
        <f>IF(OR(B2125="",C2125="",D2125=""),"",D2125*100000+(C2125-DATE(2000,1,1))+ROW()/100000)</f>
        <v/>
      </c>
      <c r="F2125" s="46">
        <f>IF(E2125="","",IF(C2125&gt;WeekEndDate,"",E2125))</f>
        <v/>
      </c>
    </row>
    <row r="2126">
      <c r="A2126" t="inlineStr">
        <is>
          <t>Change Orders</t>
        </is>
      </c>
      <c r="B2126" s="46">
        <f>'Change Orders'!U91</f>
        <v/>
      </c>
      <c r="C2126" s="84">
        <f>'Change Orders'!S91</f>
        <v/>
      </c>
      <c r="D2126" s="46">
        <f>'Change Orders'!T91</f>
        <v/>
      </c>
      <c r="E2126" s="46">
        <f>IF(OR(B2126="",C2126="",D2126=""),"",D2126*100000+(C2126-DATE(2000,1,1))+ROW()/100000)</f>
        <v/>
      </c>
      <c r="F2126" s="46">
        <f>IF(E2126="","",IF(C2126&gt;WeekEndDate,"",E2126))</f>
        <v/>
      </c>
    </row>
    <row r="2127">
      <c r="A2127" t="inlineStr">
        <is>
          <t>Change Orders</t>
        </is>
      </c>
      <c r="B2127" s="46">
        <f>'Change Orders'!U92</f>
        <v/>
      </c>
      <c r="C2127" s="84">
        <f>'Change Orders'!S92</f>
        <v/>
      </c>
      <c r="D2127" s="46">
        <f>'Change Orders'!T92</f>
        <v/>
      </c>
      <c r="E2127" s="46">
        <f>IF(OR(B2127="",C2127="",D2127=""),"",D2127*100000+(C2127-DATE(2000,1,1))+ROW()/100000)</f>
        <v/>
      </c>
      <c r="F2127" s="46">
        <f>IF(E2127="","",IF(C2127&gt;WeekEndDate,"",E2127))</f>
        <v/>
      </c>
    </row>
    <row r="2128">
      <c r="A2128" t="inlineStr">
        <is>
          <t>Change Orders</t>
        </is>
      </c>
      <c r="B2128" s="46">
        <f>'Change Orders'!U93</f>
        <v/>
      </c>
      <c r="C2128" s="84">
        <f>'Change Orders'!S93</f>
        <v/>
      </c>
      <c r="D2128" s="46">
        <f>'Change Orders'!T93</f>
        <v/>
      </c>
      <c r="E2128" s="46">
        <f>IF(OR(B2128="",C2128="",D2128=""),"",D2128*100000+(C2128-DATE(2000,1,1))+ROW()/100000)</f>
        <v/>
      </c>
      <c r="F2128" s="46">
        <f>IF(E2128="","",IF(C2128&gt;WeekEndDate,"",E2128))</f>
        <v/>
      </c>
    </row>
    <row r="2129">
      <c r="A2129" t="inlineStr">
        <is>
          <t>Change Orders</t>
        </is>
      </c>
      <c r="B2129" s="46">
        <f>'Change Orders'!U94</f>
        <v/>
      </c>
      <c r="C2129" s="84">
        <f>'Change Orders'!S94</f>
        <v/>
      </c>
      <c r="D2129" s="46">
        <f>'Change Orders'!T94</f>
        <v/>
      </c>
      <c r="E2129" s="46">
        <f>IF(OR(B2129="",C2129="",D2129=""),"",D2129*100000+(C2129-DATE(2000,1,1))+ROW()/100000)</f>
        <v/>
      </c>
      <c r="F2129" s="46">
        <f>IF(E2129="","",IF(C2129&gt;WeekEndDate,"",E2129))</f>
        <v/>
      </c>
    </row>
    <row r="2130">
      <c r="A2130" t="inlineStr">
        <is>
          <t>Change Orders</t>
        </is>
      </c>
      <c r="B2130" s="46">
        <f>'Change Orders'!U95</f>
        <v/>
      </c>
      <c r="C2130" s="84">
        <f>'Change Orders'!S95</f>
        <v/>
      </c>
      <c r="D2130" s="46">
        <f>'Change Orders'!T95</f>
        <v/>
      </c>
      <c r="E2130" s="46">
        <f>IF(OR(B2130="",C2130="",D2130=""),"",D2130*100000+(C2130-DATE(2000,1,1))+ROW()/100000)</f>
        <v/>
      </c>
      <c r="F2130" s="46">
        <f>IF(E2130="","",IF(C2130&gt;WeekEndDate,"",E2130))</f>
        <v/>
      </c>
    </row>
    <row r="2131">
      <c r="A2131" t="inlineStr">
        <is>
          <t>Change Orders</t>
        </is>
      </c>
      <c r="B2131" s="46">
        <f>'Change Orders'!U96</f>
        <v/>
      </c>
      <c r="C2131" s="84">
        <f>'Change Orders'!S96</f>
        <v/>
      </c>
      <c r="D2131" s="46">
        <f>'Change Orders'!T96</f>
        <v/>
      </c>
      <c r="E2131" s="46">
        <f>IF(OR(B2131="",C2131="",D2131=""),"",D2131*100000+(C2131-DATE(2000,1,1))+ROW()/100000)</f>
        <v/>
      </c>
      <c r="F2131" s="46">
        <f>IF(E2131="","",IF(C2131&gt;WeekEndDate,"",E2131))</f>
        <v/>
      </c>
    </row>
    <row r="2132">
      <c r="A2132" t="inlineStr">
        <is>
          <t>Change Orders</t>
        </is>
      </c>
      <c r="B2132" s="46">
        <f>'Change Orders'!U97</f>
        <v/>
      </c>
      <c r="C2132" s="84">
        <f>'Change Orders'!S97</f>
        <v/>
      </c>
      <c r="D2132" s="46">
        <f>'Change Orders'!T97</f>
        <v/>
      </c>
      <c r="E2132" s="46">
        <f>IF(OR(B2132="",C2132="",D2132=""),"",D2132*100000+(C2132-DATE(2000,1,1))+ROW()/100000)</f>
        <v/>
      </c>
      <c r="F2132" s="46">
        <f>IF(E2132="","",IF(C2132&gt;WeekEndDate,"",E2132))</f>
        <v/>
      </c>
    </row>
    <row r="2133">
      <c r="A2133" t="inlineStr">
        <is>
          <t>Change Orders</t>
        </is>
      </c>
      <c r="B2133" s="46">
        <f>'Change Orders'!U98</f>
        <v/>
      </c>
      <c r="C2133" s="84">
        <f>'Change Orders'!S98</f>
        <v/>
      </c>
      <c r="D2133" s="46">
        <f>'Change Orders'!T98</f>
        <v/>
      </c>
      <c r="E2133" s="46">
        <f>IF(OR(B2133="",C2133="",D2133=""),"",D2133*100000+(C2133-DATE(2000,1,1))+ROW()/100000)</f>
        <v/>
      </c>
      <c r="F2133" s="46">
        <f>IF(E2133="","",IF(C2133&gt;WeekEndDate,"",E2133))</f>
        <v/>
      </c>
    </row>
    <row r="2134">
      <c r="A2134" t="inlineStr">
        <is>
          <t>Change Orders</t>
        </is>
      </c>
      <c r="B2134" s="46">
        <f>'Change Orders'!U99</f>
        <v/>
      </c>
      <c r="C2134" s="84">
        <f>'Change Orders'!S99</f>
        <v/>
      </c>
      <c r="D2134" s="46">
        <f>'Change Orders'!T99</f>
        <v/>
      </c>
      <c r="E2134" s="46">
        <f>IF(OR(B2134="",C2134="",D2134=""),"",D2134*100000+(C2134-DATE(2000,1,1))+ROW()/100000)</f>
        <v/>
      </c>
      <c r="F2134" s="46">
        <f>IF(E2134="","",IF(C2134&gt;WeekEndDate,"",E2134))</f>
        <v/>
      </c>
    </row>
    <row r="2135">
      <c r="A2135" t="inlineStr">
        <is>
          <t>Change Orders</t>
        </is>
      </c>
      <c r="B2135" s="46">
        <f>'Change Orders'!U100</f>
        <v/>
      </c>
      <c r="C2135" s="84">
        <f>'Change Orders'!S100</f>
        <v/>
      </c>
      <c r="D2135" s="46">
        <f>'Change Orders'!T100</f>
        <v/>
      </c>
      <c r="E2135" s="46">
        <f>IF(OR(B2135="",C2135="",D2135=""),"",D2135*100000+(C2135-DATE(2000,1,1))+ROW()/100000)</f>
        <v/>
      </c>
      <c r="F2135" s="46">
        <f>IF(E2135="","",IF(C2135&gt;WeekEndDate,"",E2135))</f>
        <v/>
      </c>
    </row>
    <row r="2136">
      <c r="A2136" t="inlineStr">
        <is>
          <t>Change Orders</t>
        </is>
      </c>
      <c r="B2136" s="46">
        <f>'Change Orders'!U101</f>
        <v/>
      </c>
      <c r="C2136" s="84">
        <f>'Change Orders'!S101</f>
        <v/>
      </c>
      <c r="D2136" s="46">
        <f>'Change Orders'!T101</f>
        <v/>
      </c>
      <c r="E2136" s="46">
        <f>IF(OR(B2136="",C2136="",D2136=""),"",D2136*100000+(C2136-DATE(2000,1,1))+ROW()/100000)</f>
        <v/>
      </c>
      <c r="F2136" s="46">
        <f>IF(E2136="","",IF(C2136&gt;WeekEndDate,"",E2136))</f>
        <v/>
      </c>
    </row>
    <row r="2137">
      <c r="A2137" t="inlineStr">
        <is>
          <t>Change Orders</t>
        </is>
      </c>
      <c r="B2137" s="46">
        <f>'Change Orders'!U102</f>
        <v/>
      </c>
      <c r="C2137" s="84">
        <f>'Change Orders'!S102</f>
        <v/>
      </c>
      <c r="D2137" s="46">
        <f>'Change Orders'!T102</f>
        <v/>
      </c>
      <c r="E2137" s="46">
        <f>IF(OR(B2137="",C2137="",D2137=""),"",D2137*100000+(C2137-DATE(2000,1,1))+ROW()/100000)</f>
        <v/>
      </c>
      <c r="F2137" s="46">
        <f>IF(E2137="","",IF(C2137&gt;WeekEndDate,"",E2137))</f>
        <v/>
      </c>
    </row>
    <row r="2138">
      <c r="A2138" t="inlineStr">
        <is>
          <t>Change Orders</t>
        </is>
      </c>
      <c r="B2138" s="46">
        <f>'Change Orders'!U103</f>
        <v/>
      </c>
      <c r="C2138" s="84">
        <f>'Change Orders'!S103</f>
        <v/>
      </c>
      <c r="D2138" s="46">
        <f>'Change Orders'!T103</f>
        <v/>
      </c>
      <c r="E2138" s="46">
        <f>IF(OR(B2138="",C2138="",D2138=""),"",D2138*100000+(C2138-DATE(2000,1,1))+ROW()/100000)</f>
        <v/>
      </c>
      <c r="F2138" s="46">
        <f>IF(E2138="","",IF(C2138&gt;WeekEndDate,"",E2138))</f>
        <v/>
      </c>
    </row>
    <row r="2139">
      <c r="A2139" t="inlineStr">
        <is>
          <t>Change Orders</t>
        </is>
      </c>
      <c r="B2139" s="46">
        <f>'Change Orders'!U104</f>
        <v/>
      </c>
      <c r="C2139" s="84">
        <f>'Change Orders'!S104</f>
        <v/>
      </c>
      <c r="D2139" s="46">
        <f>'Change Orders'!T104</f>
        <v/>
      </c>
      <c r="E2139" s="46">
        <f>IF(OR(B2139="",C2139="",D2139=""),"",D2139*100000+(C2139-DATE(2000,1,1))+ROW()/100000)</f>
        <v/>
      </c>
      <c r="F2139" s="46">
        <f>IF(E2139="","",IF(C2139&gt;WeekEndDate,"",E2139))</f>
        <v/>
      </c>
    </row>
    <row r="2140">
      <c r="A2140" t="inlineStr">
        <is>
          <t>Change Orders</t>
        </is>
      </c>
      <c r="B2140" s="46">
        <f>'Change Orders'!U105</f>
        <v/>
      </c>
      <c r="C2140" s="84">
        <f>'Change Orders'!S105</f>
        <v/>
      </c>
      <c r="D2140" s="46">
        <f>'Change Orders'!T105</f>
        <v/>
      </c>
      <c r="E2140" s="46">
        <f>IF(OR(B2140="",C2140="",D2140=""),"",D2140*100000+(C2140-DATE(2000,1,1))+ROW()/100000)</f>
        <v/>
      </c>
      <c r="F2140" s="46">
        <f>IF(E2140="","",IF(C2140&gt;WeekEndDate,"",E2140))</f>
        <v/>
      </c>
    </row>
    <row r="2141">
      <c r="A2141" t="inlineStr">
        <is>
          <t>Change Orders</t>
        </is>
      </c>
      <c r="B2141" s="46">
        <f>'Change Orders'!U106</f>
        <v/>
      </c>
      <c r="C2141" s="84">
        <f>'Change Orders'!S106</f>
        <v/>
      </c>
      <c r="D2141" s="46">
        <f>'Change Orders'!T106</f>
        <v/>
      </c>
      <c r="E2141" s="46">
        <f>IF(OR(B2141="",C2141="",D2141=""),"",D2141*100000+(C2141-DATE(2000,1,1))+ROW()/100000)</f>
        <v/>
      </c>
      <c r="F2141" s="46">
        <f>IF(E2141="","",IF(C2141&gt;WeekEndDate,"",E2141))</f>
        <v/>
      </c>
    </row>
    <row r="2142">
      <c r="A2142" t="inlineStr">
        <is>
          <t>Change Orders</t>
        </is>
      </c>
      <c r="B2142" s="46">
        <f>'Change Orders'!U107</f>
        <v/>
      </c>
      <c r="C2142" s="84">
        <f>'Change Orders'!S107</f>
        <v/>
      </c>
      <c r="D2142" s="46">
        <f>'Change Orders'!T107</f>
        <v/>
      </c>
      <c r="E2142" s="46">
        <f>IF(OR(B2142="",C2142="",D2142=""),"",D2142*100000+(C2142-DATE(2000,1,1))+ROW()/100000)</f>
        <v/>
      </c>
      <c r="F2142" s="46">
        <f>IF(E2142="","",IF(C2142&gt;WeekEndDate,"",E2142))</f>
        <v/>
      </c>
    </row>
    <row r="2143">
      <c r="A2143" t="inlineStr">
        <is>
          <t>Change Orders</t>
        </is>
      </c>
      <c r="B2143" s="46">
        <f>'Change Orders'!U108</f>
        <v/>
      </c>
      <c r="C2143" s="84">
        <f>'Change Orders'!S108</f>
        <v/>
      </c>
      <c r="D2143" s="46">
        <f>'Change Orders'!T108</f>
        <v/>
      </c>
      <c r="E2143" s="46">
        <f>IF(OR(B2143="",C2143="",D2143=""),"",D2143*100000+(C2143-DATE(2000,1,1))+ROW()/100000)</f>
        <v/>
      </c>
      <c r="F2143" s="46">
        <f>IF(E2143="","",IF(C2143&gt;WeekEndDate,"",E2143))</f>
        <v/>
      </c>
    </row>
    <row r="2144">
      <c r="A2144" t="inlineStr">
        <is>
          <t>Change Orders</t>
        </is>
      </c>
      <c r="B2144" s="46">
        <f>'Change Orders'!U109</f>
        <v/>
      </c>
      <c r="C2144" s="84">
        <f>'Change Orders'!S109</f>
        <v/>
      </c>
      <c r="D2144" s="46">
        <f>'Change Orders'!T109</f>
        <v/>
      </c>
      <c r="E2144" s="46">
        <f>IF(OR(B2144="",C2144="",D2144=""),"",D2144*100000+(C2144-DATE(2000,1,1))+ROW()/100000)</f>
        <v/>
      </c>
      <c r="F2144" s="46">
        <f>IF(E2144="","",IF(C2144&gt;WeekEndDate,"",E2144))</f>
        <v/>
      </c>
    </row>
    <row r="2145">
      <c r="A2145" t="inlineStr">
        <is>
          <t>Change Orders</t>
        </is>
      </c>
      <c r="B2145" s="46">
        <f>'Change Orders'!U110</f>
        <v/>
      </c>
      <c r="C2145" s="84">
        <f>'Change Orders'!S110</f>
        <v/>
      </c>
      <c r="D2145" s="46">
        <f>'Change Orders'!T110</f>
        <v/>
      </c>
      <c r="E2145" s="46">
        <f>IF(OR(B2145="",C2145="",D2145=""),"",D2145*100000+(C2145-DATE(2000,1,1))+ROW()/100000)</f>
        <v/>
      </c>
      <c r="F2145" s="46">
        <f>IF(E2145="","",IF(C2145&gt;WeekEndDate,"",E2145))</f>
        <v/>
      </c>
    </row>
    <row r="2146">
      <c r="A2146" t="inlineStr">
        <is>
          <t>Change Orders</t>
        </is>
      </c>
      <c r="B2146" s="46">
        <f>'Change Orders'!U111</f>
        <v/>
      </c>
      <c r="C2146" s="84">
        <f>'Change Orders'!S111</f>
        <v/>
      </c>
      <c r="D2146" s="46">
        <f>'Change Orders'!T111</f>
        <v/>
      </c>
      <c r="E2146" s="46">
        <f>IF(OR(B2146="",C2146="",D2146=""),"",D2146*100000+(C2146-DATE(2000,1,1))+ROW()/100000)</f>
        <v/>
      </c>
      <c r="F2146" s="46">
        <f>IF(E2146="","",IF(C2146&gt;WeekEndDate,"",E2146))</f>
        <v/>
      </c>
    </row>
    <row r="2147">
      <c r="A2147" t="inlineStr">
        <is>
          <t>Change Orders</t>
        </is>
      </c>
      <c r="B2147" s="46">
        <f>'Change Orders'!U112</f>
        <v/>
      </c>
      <c r="C2147" s="84">
        <f>'Change Orders'!S112</f>
        <v/>
      </c>
      <c r="D2147" s="46">
        <f>'Change Orders'!T112</f>
        <v/>
      </c>
      <c r="E2147" s="46">
        <f>IF(OR(B2147="",C2147="",D2147=""),"",D2147*100000+(C2147-DATE(2000,1,1))+ROW()/100000)</f>
        <v/>
      </c>
      <c r="F2147" s="46">
        <f>IF(E2147="","",IF(C2147&gt;WeekEndDate,"",E2147))</f>
        <v/>
      </c>
    </row>
    <row r="2148">
      <c r="A2148" t="inlineStr">
        <is>
          <t>Change Orders</t>
        </is>
      </c>
      <c r="B2148" s="46">
        <f>'Change Orders'!U113</f>
        <v/>
      </c>
      <c r="C2148" s="84">
        <f>'Change Orders'!S113</f>
        <v/>
      </c>
      <c r="D2148" s="46">
        <f>'Change Orders'!T113</f>
        <v/>
      </c>
      <c r="E2148" s="46">
        <f>IF(OR(B2148="",C2148="",D2148=""),"",D2148*100000+(C2148-DATE(2000,1,1))+ROW()/100000)</f>
        <v/>
      </c>
      <c r="F2148" s="46">
        <f>IF(E2148="","",IF(C2148&gt;WeekEndDate,"",E2148))</f>
        <v/>
      </c>
    </row>
    <row r="2149">
      <c r="A2149" t="inlineStr">
        <is>
          <t>Change Orders</t>
        </is>
      </c>
      <c r="B2149" s="46">
        <f>'Change Orders'!U114</f>
        <v/>
      </c>
      <c r="C2149" s="84">
        <f>'Change Orders'!S114</f>
        <v/>
      </c>
      <c r="D2149" s="46">
        <f>'Change Orders'!T114</f>
        <v/>
      </c>
      <c r="E2149" s="46">
        <f>IF(OR(B2149="",C2149="",D2149=""),"",D2149*100000+(C2149-DATE(2000,1,1))+ROW()/100000)</f>
        <v/>
      </c>
      <c r="F2149" s="46">
        <f>IF(E2149="","",IF(C2149&gt;WeekEndDate,"",E2149))</f>
        <v/>
      </c>
    </row>
    <row r="2150">
      <c r="A2150" t="inlineStr">
        <is>
          <t>Change Orders</t>
        </is>
      </c>
      <c r="B2150" s="46">
        <f>'Change Orders'!U115</f>
        <v/>
      </c>
      <c r="C2150" s="84">
        <f>'Change Orders'!S115</f>
        <v/>
      </c>
      <c r="D2150" s="46">
        <f>'Change Orders'!T115</f>
        <v/>
      </c>
      <c r="E2150" s="46">
        <f>IF(OR(B2150="",C2150="",D2150=""),"",D2150*100000+(C2150-DATE(2000,1,1))+ROW()/100000)</f>
        <v/>
      </c>
      <c r="F2150" s="46">
        <f>IF(E2150="","",IF(C2150&gt;WeekEndDate,"",E2150))</f>
        <v/>
      </c>
    </row>
    <row r="2151">
      <c r="A2151" t="inlineStr">
        <is>
          <t>Change Orders</t>
        </is>
      </c>
      <c r="B2151" s="46">
        <f>'Change Orders'!U116</f>
        <v/>
      </c>
      <c r="C2151" s="84">
        <f>'Change Orders'!S116</f>
        <v/>
      </c>
      <c r="D2151" s="46">
        <f>'Change Orders'!T116</f>
        <v/>
      </c>
      <c r="E2151" s="46">
        <f>IF(OR(B2151="",C2151="",D2151=""),"",D2151*100000+(C2151-DATE(2000,1,1))+ROW()/100000)</f>
        <v/>
      </c>
      <c r="F2151" s="46">
        <f>IF(E2151="","",IF(C2151&gt;WeekEndDate,"",E2151))</f>
        <v/>
      </c>
    </row>
    <row r="2152">
      <c r="A2152" t="inlineStr">
        <is>
          <t>Change Orders</t>
        </is>
      </c>
      <c r="B2152" s="46">
        <f>'Change Orders'!U117</f>
        <v/>
      </c>
      <c r="C2152" s="84">
        <f>'Change Orders'!S117</f>
        <v/>
      </c>
      <c r="D2152" s="46">
        <f>'Change Orders'!T117</f>
        <v/>
      </c>
      <c r="E2152" s="46">
        <f>IF(OR(B2152="",C2152="",D2152=""),"",D2152*100000+(C2152-DATE(2000,1,1))+ROW()/100000)</f>
        <v/>
      </c>
      <c r="F2152" s="46">
        <f>IF(E2152="","",IF(C2152&gt;WeekEndDate,"",E2152))</f>
        <v/>
      </c>
    </row>
    <row r="2153">
      <c r="A2153" t="inlineStr">
        <is>
          <t>Change Orders</t>
        </is>
      </c>
      <c r="B2153" s="46">
        <f>'Change Orders'!U118</f>
        <v/>
      </c>
      <c r="C2153" s="84">
        <f>'Change Orders'!S118</f>
        <v/>
      </c>
      <c r="D2153" s="46">
        <f>'Change Orders'!T118</f>
        <v/>
      </c>
      <c r="E2153" s="46">
        <f>IF(OR(B2153="",C2153="",D2153=""),"",D2153*100000+(C2153-DATE(2000,1,1))+ROW()/100000)</f>
        <v/>
      </c>
      <c r="F2153" s="46">
        <f>IF(E2153="","",IF(C2153&gt;WeekEndDate,"",E2153))</f>
        <v/>
      </c>
    </row>
    <row r="2154">
      <c r="A2154" t="inlineStr">
        <is>
          <t>Change Orders</t>
        </is>
      </c>
      <c r="B2154" s="46">
        <f>'Change Orders'!U119</f>
        <v/>
      </c>
      <c r="C2154" s="84">
        <f>'Change Orders'!S119</f>
        <v/>
      </c>
      <c r="D2154" s="46">
        <f>'Change Orders'!T119</f>
        <v/>
      </c>
      <c r="E2154" s="46">
        <f>IF(OR(B2154="",C2154="",D2154=""),"",D2154*100000+(C2154-DATE(2000,1,1))+ROW()/100000)</f>
        <v/>
      </c>
      <c r="F2154" s="46">
        <f>IF(E2154="","",IF(C2154&gt;WeekEndDate,"",E2154))</f>
        <v/>
      </c>
    </row>
    <row r="2155">
      <c r="A2155" t="inlineStr">
        <is>
          <t>Change Orders</t>
        </is>
      </c>
      <c r="B2155" s="46">
        <f>'Change Orders'!U120</f>
        <v/>
      </c>
      <c r="C2155" s="84">
        <f>'Change Orders'!S120</f>
        <v/>
      </c>
      <c r="D2155" s="46">
        <f>'Change Orders'!T120</f>
        <v/>
      </c>
      <c r="E2155" s="46">
        <f>IF(OR(B2155="",C2155="",D2155=""),"",D2155*100000+(C2155-DATE(2000,1,1))+ROW()/100000)</f>
        <v/>
      </c>
      <c r="F2155" s="46">
        <f>IF(E2155="","",IF(C2155&gt;WeekEndDate,"",E2155))</f>
        <v/>
      </c>
    </row>
    <row r="2156">
      <c r="A2156" t="inlineStr">
        <is>
          <t>Change Orders</t>
        </is>
      </c>
      <c r="B2156" s="46">
        <f>'Change Orders'!U121</f>
        <v/>
      </c>
      <c r="C2156" s="84">
        <f>'Change Orders'!S121</f>
        <v/>
      </c>
      <c r="D2156" s="46">
        <f>'Change Orders'!T121</f>
        <v/>
      </c>
      <c r="E2156" s="46">
        <f>IF(OR(B2156="",C2156="",D2156=""),"",D2156*100000+(C2156-DATE(2000,1,1))+ROW()/100000)</f>
        <v/>
      </c>
      <c r="F2156" s="46">
        <f>IF(E2156="","",IF(C2156&gt;WeekEndDate,"",E2156))</f>
        <v/>
      </c>
    </row>
    <row r="2157">
      <c r="A2157" t="inlineStr">
        <is>
          <t>Change Orders</t>
        </is>
      </c>
      <c r="B2157" s="46">
        <f>'Change Orders'!U122</f>
        <v/>
      </c>
      <c r="C2157" s="84">
        <f>'Change Orders'!S122</f>
        <v/>
      </c>
      <c r="D2157" s="46">
        <f>'Change Orders'!T122</f>
        <v/>
      </c>
      <c r="E2157" s="46">
        <f>IF(OR(B2157="",C2157="",D2157=""),"",D2157*100000+(C2157-DATE(2000,1,1))+ROW()/100000)</f>
        <v/>
      </c>
      <c r="F2157" s="46">
        <f>IF(E2157="","",IF(C2157&gt;WeekEndDate,"",E2157))</f>
        <v/>
      </c>
    </row>
    <row r="2158">
      <c r="A2158" t="inlineStr">
        <is>
          <t>Change Orders</t>
        </is>
      </c>
      <c r="B2158" s="46">
        <f>'Change Orders'!U123</f>
        <v/>
      </c>
      <c r="C2158" s="84">
        <f>'Change Orders'!S123</f>
        <v/>
      </c>
      <c r="D2158" s="46">
        <f>'Change Orders'!T123</f>
        <v/>
      </c>
      <c r="E2158" s="46">
        <f>IF(OR(B2158="",C2158="",D2158=""),"",D2158*100000+(C2158-DATE(2000,1,1))+ROW()/100000)</f>
        <v/>
      </c>
      <c r="F2158" s="46">
        <f>IF(E2158="","",IF(C2158&gt;WeekEndDate,"",E2158))</f>
        <v/>
      </c>
    </row>
    <row r="2159">
      <c r="A2159" t="inlineStr">
        <is>
          <t>Change Orders</t>
        </is>
      </c>
      <c r="B2159" s="46">
        <f>'Change Orders'!U124</f>
        <v/>
      </c>
      <c r="C2159" s="84">
        <f>'Change Orders'!S124</f>
        <v/>
      </c>
      <c r="D2159" s="46">
        <f>'Change Orders'!T124</f>
        <v/>
      </c>
      <c r="E2159" s="46">
        <f>IF(OR(B2159="",C2159="",D2159=""),"",D2159*100000+(C2159-DATE(2000,1,1))+ROW()/100000)</f>
        <v/>
      </c>
      <c r="F2159" s="46">
        <f>IF(E2159="","",IF(C2159&gt;WeekEndDate,"",E2159))</f>
        <v/>
      </c>
    </row>
    <row r="2160">
      <c r="A2160" t="inlineStr">
        <is>
          <t>Change Orders</t>
        </is>
      </c>
      <c r="B2160" s="46">
        <f>'Change Orders'!U125</f>
        <v/>
      </c>
      <c r="C2160" s="84">
        <f>'Change Orders'!S125</f>
        <v/>
      </c>
      <c r="D2160" s="46">
        <f>'Change Orders'!T125</f>
        <v/>
      </c>
      <c r="E2160" s="46">
        <f>IF(OR(B2160="",C2160="",D2160=""),"",D2160*100000+(C2160-DATE(2000,1,1))+ROW()/100000)</f>
        <v/>
      </c>
      <c r="F2160" s="46">
        <f>IF(E2160="","",IF(C2160&gt;WeekEndDate,"",E2160))</f>
        <v/>
      </c>
    </row>
    <row r="2161">
      <c r="A2161" t="inlineStr">
        <is>
          <t>Change Orders</t>
        </is>
      </c>
      <c r="B2161" s="46">
        <f>'Change Orders'!U126</f>
        <v/>
      </c>
      <c r="C2161" s="84">
        <f>'Change Orders'!S126</f>
        <v/>
      </c>
      <c r="D2161" s="46">
        <f>'Change Orders'!T126</f>
        <v/>
      </c>
      <c r="E2161" s="46">
        <f>IF(OR(B2161="",C2161="",D2161=""),"",D2161*100000+(C2161-DATE(2000,1,1))+ROW()/100000)</f>
        <v/>
      </c>
      <c r="F2161" s="46">
        <f>IF(E2161="","",IF(C2161&gt;WeekEndDate,"",E2161))</f>
        <v/>
      </c>
    </row>
    <row r="2162">
      <c r="A2162" t="inlineStr">
        <is>
          <t>Change Orders</t>
        </is>
      </c>
      <c r="B2162" s="46">
        <f>'Change Orders'!U127</f>
        <v/>
      </c>
      <c r="C2162" s="84">
        <f>'Change Orders'!S127</f>
        <v/>
      </c>
      <c r="D2162" s="46">
        <f>'Change Orders'!T127</f>
        <v/>
      </c>
      <c r="E2162" s="46">
        <f>IF(OR(B2162="",C2162="",D2162=""),"",D2162*100000+(C2162-DATE(2000,1,1))+ROW()/100000)</f>
        <v/>
      </c>
      <c r="F2162" s="46">
        <f>IF(E2162="","",IF(C2162&gt;WeekEndDate,"",E2162))</f>
        <v/>
      </c>
    </row>
    <row r="2163">
      <c r="A2163" t="inlineStr">
        <is>
          <t>Change Orders</t>
        </is>
      </c>
      <c r="B2163" s="46">
        <f>'Change Orders'!U128</f>
        <v/>
      </c>
      <c r="C2163" s="84">
        <f>'Change Orders'!S128</f>
        <v/>
      </c>
      <c r="D2163" s="46">
        <f>'Change Orders'!T128</f>
        <v/>
      </c>
      <c r="E2163" s="46">
        <f>IF(OR(B2163="",C2163="",D2163=""),"",D2163*100000+(C2163-DATE(2000,1,1))+ROW()/100000)</f>
        <v/>
      </c>
      <c r="F2163" s="46">
        <f>IF(E2163="","",IF(C2163&gt;WeekEndDate,"",E2163))</f>
        <v/>
      </c>
    </row>
    <row r="2164">
      <c r="A2164" t="inlineStr">
        <is>
          <t>Change Orders</t>
        </is>
      </c>
      <c r="B2164" s="46">
        <f>'Change Orders'!U129</f>
        <v/>
      </c>
      <c r="C2164" s="84">
        <f>'Change Orders'!S129</f>
        <v/>
      </c>
      <c r="D2164" s="46">
        <f>'Change Orders'!T129</f>
        <v/>
      </c>
      <c r="E2164" s="46">
        <f>IF(OR(B2164="",C2164="",D2164=""),"",D2164*100000+(C2164-DATE(2000,1,1))+ROW()/100000)</f>
        <v/>
      </c>
      <c r="F2164" s="46">
        <f>IF(E2164="","",IF(C2164&gt;WeekEndDate,"",E2164))</f>
        <v/>
      </c>
    </row>
    <row r="2165">
      <c r="A2165" t="inlineStr">
        <is>
          <t>Change Orders</t>
        </is>
      </c>
      <c r="B2165" s="46">
        <f>'Change Orders'!U130</f>
        <v/>
      </c>
      <c r="C2165" s="84">
        <f>'Change Orders'!S130</f>
        <v/>
      </c>
      <c r="D2165" s="46">
        <f>'Change Orders'!T130</f>
        <v/>
      </c>
      <c r="E2165" s="46">
        <f>IF(OR(B2165="",C2165="",D2165=""),"",D2165*100000+(C2165-DATE(2000,1,1))+ROW()/100000)</f>
        <v/>
      </c>
      <c r="F2165" s="46">
        <f>IF(E2165="","",IF(C2165&gt;WeekEndDate,"",E2165))</f>
        <v/>
      </c>
    </row>
    <row r="2166">
      <c r="A2166" t="inlineStr">
        <is>
          <t>Change Orders</t>
        </is>
      </c>
      <c r="B2166" s="46">
        <f>'Change Orders'!U131</f>
        <v/>
      </c>
      <c r="C2166" s="84">
        <f>'Change Orders'!S131</f>
        <v/>
      </c>
      <c r="D2166" s="46">
        <f>'Change Orders'!T131</f>
        <v/>
      </c>
      <c r="E2166" s="46">
        <f>IF(OR(B2166="",C2166="",D2166=""),"",D2166*100000+(C2166-DATE(2000,1,1))+ROW()/100000)</f>
        <v/>
      </c>
      <c r="F2166" s="46">
        <f>IF(E2166="","",IF(C2166&gt;WeekEndDate,"",E2166))</f>
        <v/>
      </c>
    </row>
    <row r="2167">
      <c r="A2167" t="inlineStr">
        <is>
          <t>Change Orders</t>
        </is>
      </c>
      <c r="B2167" s="46">
        <f>'Change Orders'!U132</f>
        <v/>
      </c>
      <c r="C2167" s="84">
        <f>'Change Orders'!S132</f>
        <v/>
      </c>
      <c r="D2167" s="46">
        <f>'Change Orders'!T132</f>
        <v/>
      </c>
      <c r="E2167" s="46">
        <f>IF(OR(B2167="",C2167="",D2167=""),"",D2167*100000+(C2167-DATE(2000,1,1))+ROW()/100000)</f>
        <v/>
      </c>
      <c r="F2167" s="46">
        <f>IF(E2167="","",IF(C2167&gt;WeekEndDate,"",E2167))</f>
        <v/>
      </c>
    </row>
    <row r="2168">
      <c r="A2168" t="inlineStr">
        <is>
          <t>Change Orders</t>
        </is>
      </c>
      <c r="B2168" s="46">
        <f>'Change Orders'!U133</f>
        <v/>
      </c>
      <c r="C2168" s="84">
        <f>'Change Orders'!S133</f>
        <v/>
      </c>
      <c r="D2168" s="46">
        <f>'Change Orders'!T133</f>
        <v/>
      </c>
      <c r="E2168" s="46">
        <f>IF(OR(B2168="",C2168="",D2168=""),"",D2168*100000+(C2168-DATE(2000,1,1))+ROW()/100000)</f>
        <v/>
      </c>
      <c r="F2168" s="46">
        <f>IF(E2168="","",IF(C2168&gt;WeekEndDate,"",E2168))</f>
        <v/>
      </c>
    </row>
    <row r="2169">
      <c r="A2169" t="inlineStr">
        <is>
          <t>Change Orders</t>
        </is>
      </c>
      <c r="B2169" s="46">
        <f>'Change Orders'!U134</f>
        <v/>
      </c>
      <c r="C2169" s="84">
        <f>'Change Orders'!S134</f>
        <v/>
      </c>
      <c r="D2169" s="46">
        <f>'Change Orders'!T134</f>
        <v/>
      </c>
      <c r="E2169" s="46">
        <f>IF(OR(B2169="",C2169="",D2169=""),"",D2169*100000+(C2169-DATE(2000,1,1))+ROW()/100000)</f>
        <v/>
      </c>
      <c r="F2169" s="46">
        <f>IF(E2169="","",IF(C2169&gt;WeekEndDate,"",E2169))</f>
        <v/>
      </c>
    </row>
    <row r="2170">
      <c r="A2170" t="inlineStr">
        <is>
          <t>Change Orders</t>
        </is>
      </c>
      <c r="B2170" s="46">
        <f>'Change Orders'!U135</f>
        <v/>
      </c>
      <c r="C2170" s="84">
        <f>'Change Orders'!S135</f>
        <v/>
      </c>
      <c r="D2170" s="46">
        <f>'Change Orders'!T135</f>
        <v/>
      </c>
      <c r="E2170" s="46">
        <f>IF(OR(B2170="",C2170="",D2170=""),"",D2170*100000+(C2170-DATE(2000,1,1))+ROW()/100000)</f>
        <v/>
      </c>
      <c r="F2170" s="46">
        <f>IF(E2170="","",IF(C2170&gt;WeekEndDate,"",E2170))</f>
        <v/>
      </c>
    </row>
    <row r="2171">
      <c r="A2171" t="inlineStr">
        <is>
          <t>Change Orders</t>
        </is>
      </c>
      <c r="B2171" s="46">
        <f>'Change Orders'!U136</f>
        <v/>
      </c>
      <c r="C2171" s="84">
        <f>'Change Orders'!S136</f>
        <v/>
      </c>
      <c r="D2171" s="46">
        <f>'Change Orders'!T136</f>
        <v/>
      </c>
      <c r="E2171" s="46">
        <f>IF(OR(B2171="",C2171="",D2171=""),"",D2171*100000+(C2171-DATE(2000,1,1))+ROW()/100000)</f>
        <v/>
      </c>
      <c r="F2171" s="46">
        <f>IF(E2171="","",IF(C2171&gt;WeekEndDate,"",E2171))</f>
        <v/>
      </c>
    </row>
    <row r="2172">
      <c r="A2172" t="inlineStr">
        <is>
          <t>Change Orders</t>
        </is>
      </c>
      <c r="B2172" s="46">
        <f>'Change Orders'!U137</f>
        <v/>
      </c>
      <c r="C2172" s="84">
        <f>'Change Orders'!S137</f>
        <v/>
      </c>
      <c r="D2172" s="46">
        <f>'Change Orders'!T137</f>
        <v/>
      </c>
      <c r="E2172" s="46">
        <f>IF(OR(B2172="",C2172="",D2172=""),"",D2172*100000+(C2172-DATE(2000,1,1))+ROW()/100000)</f>
        <v/>
      </c>
      <c r="F2172" s="46">
        <f>IF(E2172="","",IF(C2172&gt;WeekEndDate,"",E2172))</f>
        <v/>
      </c>
    </row>
    <row r="2173">
      <c r="A2173" t="inlineStr">
        <is>
          <t>Change Orders</t>
        </is>
      </c>
      <c r="B2173" s="46">
        <f>'Change Orders'!U138</f>
        <v/>
      </c>
      <c r="C2173" s="84">
        <f>'Change Orders'!S138</f>
        <v/>
      </c>
      <c r="D2173" s="46">
        <f>'Change Orders'!T138</f>
        <v/>
      </c>
      <c r="E2173" s="46">
        <f>IF(OR(B2173="",C2173="",D2173=""),"",D2173*100000+(C2173-DATE(2000,1,1))+ROW()/100000)</f>
        <v/>
      </c>
      <c r="F2173" s="46">
        <f>IF(E2173="","",IF(C2173&gt;WeekEndDate,"",E2173))</f>
        <v/>
      </c>
    </row>
    <row r="2174">
      <c r="A2174" t="inlineStr">
        <is>
          <t>Change Orders</t>
        </is>
      </c>
      <c r="B2174" s="46">
        <f>'Change Orders'!U139</f>
        <v/>
      </c>
      <c r="C2174" s="84">
        <f>'Change Orders'!S139</f>
        <v/>
      </c>
      <c r="D2174" s="46">
        <f>'Change Orders'!T139</f>
        <v/>
      </c>
      <c r="E2174" s="46">
        <f>IF(OR(B2174="",C2174="",D2174=""),"",D2174*100000+(C2174-DATE(2000,1,1))+ROW()/100000)</f>
        <v/>
      </c>
      <c r="F2174" s="46">
        <f>IF(E2174="","",IF(C2174&gt;WeekEndDate,"",E2174))</f>
        <v/>
      </c>
    </row>
    <row r="2175">
      <c r="A2175" t="inlineStr">
        <is>
          <t>Change Orders</t>
        </is>
      </c>
      <c r="B2175" s="46">
        <f>'Change Orders'!U140</f>
        <v/>
      </c>
      <c r="C2175" s="84">
        <f>'Change Orders'!S140</f>
        <v/>
      </c>
      <c r="D2175" s="46">
        <f>'Change Orders'!T140</f>
        <v/>
      </c>
      <c r="E2175" s="46">
        <f>IF(OR(B2175="",C2175="",D2175=""),"",D2175*100000+(C2175-DATE(2000,1,1))+ROW()/100000)</f>
        <v/>
      </c>
      <c r="F2175" s="46">
        <f>IF(E2175="","",IF(C2175&gt;WeekEndDate,"",E2175))</f>
        <v/>
      </c>
    </row>
    <row r="2176">
      <c r="A2176" t="inlineStr">
        <is>
          <t>Change Orders</t>
        </is>
      </c>
      <c r="B2176" s="46">
        <f>'Change Orders'!U141</f>
        <v/>
      </c>
      <c r="C2176" s="84">
        <f>'Change Orders'!S141</f>
        <v/>
      </c>
      <c r="D2176" s="46">
        <f>'Change Orders'!T141</f>
        <v/>
      </c>
      <c r="E2176" s="46">
        <f>IF(OR(B2176="",C2176="",D2176=""),"",D2176*100000+(C2176-DATE(2000,1,1))+ROW()/100000)</f>
        <v/>
      </c>
      <c r="F2176" s="46">
        <f>IF(E2176="","",IF(C2176&gt;WeekEndDate,"",E2176))</f>
        <v/>
      </c>
    </row>
    <row r="2177">
      <c r="A2177" t="inlineStr">
        <is>
          <t>Change Orders</t>
        </is>
      </c>
      <c r="B2177" s="46">
        <f>'Change Orders'!U142</f>
        <v/>
      </c>
      <c r="C2177" s="84">
        <f>'Change Orders'!S142</f>
        <v/>
      </c>
      <c r="D2177" s="46">
        <f>'Change Orders'!T142</f>
        <v/>
      </c>
      <c r="E2177" s="46">
        <f>IF(OR(B2177="",C2177="",D2177=""),"",D2177*100000+(C2177-DATE(2000,1,1))+ROW()/100000)</f>
        <v/>
      </c>
      <c r="F2177" s="46">
        <f>IF(E2177="","",IF(C2177&gt;WeekEndDate,"",E2177))</f>
        <v/>
      </c>
    </row>
    <row r="2178">
      <c r="A2178" t="inlineStr">
        <is>
          <t>Change Orders</t>
        </is>
      </c>
      <c r="B2178" s="46">
        <f>'Change Orders'!U143</f>
        <v/>
      </c>
      <c r="C2178" s="84">
        <f>'Change Orders'!S143</f>
        <v/>
      </c>
      <c r="D2178" s="46">
        <f>'Change Orders'!T143</f>
        <v/>
      </c>
      <c r="E2178" s="46">
        <f>IF(OR(B2178="",C2178="",D2178=""),"",D2178*100000+(C2178-DATE(2000,1,1))+ROW()/100000)</f>
        <v/>
      </c>
      <c r="F2178" s="46">
        <f>IF(E2178="","",IF(C2178&gt;WeekEndDate,"",E2178))</f>
        <v/>
      </c>
    </row>
    <row r="2179">
      <c r="A2179" t="inlineStr">
        <is>
          <t>Change Orders</t>
        </is>
      </c>
      <c r="B2179" s="46">
        <f>'Change Orders'!U144</f>
        <v/>
      </c>
      <c r="C2179" s="84">
        <f>'Change Orders'!S144</f>
        <v/>
      </c>
      <c r="D2179" s="46">
        <f>'Change Orders'!T144</f>
        <v/>
      </c>
      <c r="E2179" s="46">
        <f>IF(OR(B2179="",C2179="",D2179=""),"",D2179*100000+(C2179-DATE(2000,1,1))+ROW()/100000)</f>
        <v/>
      </c>
      <c r="F2179" s="46">
        <f>IF(E2179="","",IF(C2179&gt;WeekEndDate,"",E2179))</f>
        <v/>
      </c>
    </row>
    <row r="2180">
      <c r="A2180" t="inlineStr">
        <is>
          <t>Change Orders</t>
        </is>
      </c>
      <c r="B2180" s="46">
        <f>'Change Orders'!U145</f>
        <v/>
      </c>
      <c r="C2180" s="84">
        <f>'Change Orders'!S145</f>
        <v/>
      </c>
      <c r="D2180" s="46">
        <f>'Change Orders'!T145</f>
        <v/>
      </c>
      <c r="E2180" s="46">
        <f>IF(OR(B2180="",C2180="",D2180=""),"",D2180*100000+(C2180-DATE(2000,1,1))+ROW()/100000)</f>
        <v/>
      </c>
      <c r="F2180" s="46">
        <f>IF(E2180="","",IF(C2180&gt;WeekEndDate,"",E2180))</f>
        <v/>
      </c>
    </row>
    <row r="2181">
      <c r="A2181" t="inlineStr">
        <is>
          <t>Change Orders</t>
        </is>
      </c>
      <c r="B2181" s="46">
        <f>'Change Orders'!U146</f>
        <v/>
      </c>
      <c r="C2181" s="84">
        <f>'Change Orders'!S146</f>
        <v/>
      </c>
      <c r="D2181" s="46">
        <f>'Change Orders'!T146</f>
        <v/>
      </c>
      <c r="E2181" s="46">
        <f>IF(OR(B2181="",C2181="",D2181=""),"",D2181*100000+(C2181-DATE(2000,1,1))+ROW()/100000)</f>
        <v/>
      </c>
      <c r="F2181" s="46">
        <f>IF(E2181="","",IF(C2181&gt;WeekEndDate,"",E2181))</f>
        <v/>
      </c>
    </row>
    <row r="2182">
      <c r="A2182" t="inlineStr">
        <is>
          <t>Change Orders</t>
        </is>
      </c>
      <c r="B2182" s="46">
        <f>'Change Orders'!U147</f>
        <v/>
      </c>
      <c r="C2182" s="84">
        <f>'Change Orders'!S147</f>
        <v/>
      </c>
      <c r="D2182" s="46">
        <f>'Change Orders'!T147</f>
        <v/>
      </c>
      <c r="E2182" s="46">
        <f>IF(OR(B2182="",C2182="",D2182=""),"",D2182*100000+(C2182-DATE(2000,1,1))+ROW()/100000)</f>
        <v/>
      </c>
      <c r="F2182" s="46">
        <f>IF(E2182="","",IF(C2182&gt;WeekEndDate,"",E2182))</f>
        <v/>
      </c>
    </row>
    <row r="2183">
      <c r="A2183" t="inlineStr">
        <is>
          <t>Change Orders</t>
        </is>
      </c>
      <c r="B2183" s="46">
        <f>'Change Orders'!U148</f>
        <v/>
      </c>
      <c r="C2183" s="84">
        <f>'Change Orders'!S148</f>
        <v/>
      </c>
      <c r="D2183" s="46">
        <f>'Change Orders'!T148</f>
        <v/>
      </c>
      <c r="E2183" s="46">
        <f>IF(OR(B2183="",C2183="",D2183=""),"",D2183*100000+(C2183-DATE(2000,1,1))+ROW()/100000)</f>
        <v/>
      </c>
      <c r="F2183" s="46">
        <f>IF(E2183="","",IF(C2183&gt;WeekEndDate,"",E2183))</f>
        <v/>
      </c>
    </row>
    <row r="2184">
      <c r="A2184" t="inlineStr">
        <is>
          <t>Change Orders</t>
        </is>
      </c>
      <c r="B2184" s="46">
        <f>'Change Orders'!U149</f>
        <v/>
      </c>
      <c r="C2184" s="84">
        <f>'Change Orders'!S149</f>
        <v/>
      </c>
      <c r="D2184" s="46">
        <f>'Change Orders'!T149</f>
        <v/>
      </c>
      <c r="E2184" s="46">
        <f>IF(OR(B2184="",C2184="",D2184=""),"",D2184*100000+(C2184-DATE(2000,1,1))+ROW()/100000)</f>
        <v/>
      </c>
      <c r="F2184" s="46">
        <f>IF(E2184="","",IF(C2184&gt;WeekEndDate,"",E2184))</f>
        <v/>
      </c>
    </row>
    <row r="2185">
      <c r="A2185" t="inlineStr">
        <is>
          <t>Change Orders</t>
        </is>
      </c>
      <c r="B2185" s="46">
        <f>'Change Orders'!U150</f>
        <v/>
      </c>
      <c r="C2185" s="84">
        <f>'Change Orders'!S150</f>
        <v/>
      </c>
      <c r="D2185" s="46">
        <f>'Change Orders'!T150</f>
        <v/>
      </c>
      <c r="E2185" s="46">
        <f>IF(OR(B2185="",C2185="",D2185=""),"",D2185*100000+(C2185-DATE(2000,1,1))+ROW()/100000)</f>
        <v/>
      </c>
      <c r="F2185" s="46">
        <f>IF(E2185="","",IF(C2185&gt;WeekEndDate,"",E2185))</f>
        <v/>
      </c>
    </row>
    <row r="2186">
      <c r="A2186" t="inlineStr">
        <is>
          <t>Change Orders</t>
        </is>
      </c>
      <c r="B2186" s="46">
        <f>'Change Orders'!U151</f>
        <v/>
      </c>
      <c r="C2186" s="84">
        <f>'Change Orders'!S151</f>
        <v/>
      </c>
      <c r="D2186" s="46">
        <f>'Change Orders'!T151</f>
        <v/>
      </c>
      <c r="E2186" s="46">
        <f>IF(OR(B2186="",C2186="",D2186=""),"",D2186*100000+(C2186-DATE(2000,1,1))+ROW()/100000)</f>
        <v/>
      </c>
      <c r="F2186" s="46">
        <f>IF(E2186="","",IF(C2186&gt;WeekEndDate,"",E2186))</f>
        <v/>
      </c>
    </row>
    <row r="2187">
      <c r="A2187" t="inlineStr">
        <is>
          <t>Change Orders</t>
        </is>
      </c>
      <c r="B2187" s="46">
        <f>'Change Orders'!U152</f>
        <v/>
      </c>
      <c r="C2187" s="84">
        <f>'Change Orders'!S152</f>
        <v/>
      </c>
      <c r="D2187" s="46">
        <f>'Change Orders'!T152</f>
        <v/>
      </c>
      <c r="E2187" s="46">
        <f>IF(OR(B2187="",C2187="",D2187=""),"",D2187*100000+(C2187-DATE(2000,1,1))+ROW()/100000)</f>
        <v/>
      </c>
      <c r="F2187" s="46">
        <f>IF(E2187="","",IF(C2187&gt;WeekEndDate,"",E2187))</f>
        <v/>
      </c>
    </row>
    <row r="2188">
      <c r="A2188" t="inlineStr">
        <is>
          <t>Change Orders</t>
        </is>
      </c>
      <c r="B2188" s="46">
        <f>'Change Orders'!U153</f>
        <v/>
      </c>
      <c r="C2188" s="84">
        <f>'Change Orders'!S153</f>
        <v/>
      </c>
      <c r="D2188" s="46">
        <f>'Change Orders'!T153</f>
        <v/>
      </c>
      <c r="E2188" s="46">
        <f>IF(OR(B2188="",C2188="",D2188=""),"",D2188*100000+(C2188-DATE(2000,1,1))+ROW()/100000)</f>
        <v/>
      </c>
      <c r="F2188" s="46">
        <f>IF(E2188="","",IF(C2188&gt;WeekEndDate,"",E2188))</f>
        <v/>
      </c>
    </row>
    <row r="2189">
      <c r="A2189" t="inlineStr">
        <is>
          <t>Change Orders</t>
        </is>
      </c>
      <c r="B2189" s="46">
        <f>'Change Orders'!U154</f>
        <v/>
      </c>
      <c r="C2189" s="84">
        <f>'Change Orders'!S154</f>
        <v/>
      </c>
      <c r="D2189" s="46">
        <f>'Change Orders'!T154</f>
        <v/>
      </c>
      <c r="E2189" s="46">
        <f>IF(OR(B2189="",C2189="",D2189=""),"",D2189*100000+(C2189-DATE(2000,1,1))+ROW()/100000)</f>
        <v/>
      </c>
      <c r="F2189" s="46">
        <f>IF(E2189="","",IF(C2189&gt;WeekEndDate,"",E2189))</f>
        <v/>
      </c>
    </row>
    <row r="2190">
      <c r="A2190" t="inlineStr">
        <is>
          <t>Change Orders</t>
        </is>
      </c>
      <c r="B2190" s="46">
        <f>'Change Orders'!U155</f>
        <v/>
      </c>
      <c r="C2190" s="84">
        <f>'Change Orders'!S155</f>
        <v/>
      </c>
      <c r="D2190" s="46">
        <f>'Change Orders'!T155</f>
        <v/>
      </c>
      <c r="E2190" s="46">
        <f>IF(OR(B2190="",C2190="",D2190=""),"",D2190*100000+(C2190-DATE(2000,1,1))+ROW()/100000)</f>
        <v/>
      </c>
      <c r="F2190" s="46">
        <f>IF(E2190="","",IF(C2190&gt;WeekEndDate,"",E2190))</f>
        <v/>
      </c>
    </row>
    <row r="2191">
      <c r="A2191" t="inlineStr">
        <is>
          <t>Change Orders</t>
        </is>
      </c>
      <c r="B2191" s="46">
        <f>'Change Orders'!U156</f>
        <v/>
      </c>
      <c r="C2191" s="84">
        <f>'Change Orders'!S156</f>
        <v/>
      </c>
      <c r="D2191" s="46">
        <f>'Change Orders'!T156</f>
        <v/>
      </c>
      <c r="E2191" s="46">
        <f>IF(OR(B2191="",C2191="",D2191=""),"",D2191*100000+(C2191-DATE(2000,1,1))+ROW()/100000)</f>
        <v/>
      </c>
      <c r="F2191" s="46">
        <f>IF(E2191="","",IF(C2191&gt;WeekEndDate,"",E2191))</f>
        <v/>
      </c>
    </row>
    <row r="2192">
      <c r="A2192" t="inlineStr">
        <is>
          <t>Change Orders</t>
        </is>
      </c>
      <c r="B2192" s="46">
        <f>'Change Orders'!U157</f>
        <v/>
      </c>
      <c r="C2192" s="84">
        <f>'Change Orders'!S157</f>
        <v/>
      </c>
      <c r="D2192" s="46">
        <f>'Change Orders'!T157</f>
        <v/>
      </c>
      <c r="E2192" s="46">
        <f>IF(OR(B2192="",C2192="",D2192=""),"",D2192*100000+(C2192-DATE(2000,1,1))+ROW()/100000)</f>
        <v/>
      </c>
      <c r="F2192" s="46">
        <f>IF(E2192="","",IF(C2192&gt;WeekEndDate,"",E2192))</f>
        <v/>
      </c>
    </row>
    <row r="2193">
      <c r="A2193" t="inlineStr">
        <is>
          <t>Change Orders</t>
        </is>
      </c>
      <c r="B2193" s="46">
        <f>'Change Orders'!U158</f>
        <v/>
      </c>
      <c r="C2193" s="84">
        <f>'Change Orders'!S158</f>
        <v/>
      </c>
      <c r="D2193" s="46">
        <f>'Change Orders'!T158</f>
        <v/>
      </c>
      <c r="E2193" s="46">
        <f>IF(OR(B2193="",C2193="",D2193=""),"",D2193*100000+(C2193-DATE(2000,1,1))+ROW()/100000)</f>
        <v/>
      </c>
      <c r="F2193" s="46">
        <f>IF(E2193="","",IF(C2193&gt;WeekEndDate,"",E2193))</f>
        <v/>
      </c>
    </row>
    <row r="2194">
      <c r="A2194" t="inlineStr">
        <is>
          <t>Change Orders</t>
        </is>
      </c>
      <c r="B2194" s="46">
        <f>'Change Orders'!U159</f>
        <v/>
      </c>
      <c r="C2194" s="84">
        <f>'Change Orders'!S159</f>
        <v/>
      </c>
      <c r="D2194" s="46">
        <f>'Change Orders'!T159</f>
        <v/>
      </c>
      <c r="E2194" s="46">
        <f>IF(OR(B2194="",C2194="",D2194=""),"",D2194*100000+(C2194-DATE(2000,1,1))+ROW()/100000)</f>
        <v/>
      </c>
      <c r="F2194" s="46">
        <f>IF(E2194="","",IF(C2194&gt;WeekEndDate,"",E2194))</f>
        <v/>
      </c>
    </row>
    <row r="2195">
      <c r="A2195" t="inlineStr">
        <is>
          <t>Change Orders</t>
        </is>
      </c>
      <c r="B2195" s="46">
        <f>'Change Orders'!U160</f>
        <v/>
      </c>
      <c r="C2195" s="84">
        <f>'Change Orders'!S160</f>
        <v/>
      </c>
      <c r="D2195" s="46">
        <f>'Change Orders'!T160</f>
        <v/>
      </c>
      <c r="E2195" s="46">
        <f>IF(OR(B2195="",C2195="",D2195=""),"",D2195*100000+(C2195-DATE(2000,1,1))+ROW()/100000)</f>
        <v/>
      </c>
      <c r="F2195" s="46">
        <f>IF(E2195="","",IF(C2195&gt;WeekEndDate,"",E2195))</f>
        <v/>
      </c>
    </row>
    <row r="2196">
      <c r="A2196" t="inlineStr">
        <is>
          <t>Change Orders</t>
        </is>
      </c>
      <c r="B2196" s="46">
        <f>'Change Orders'!U161</f>
        <v/>
      </c>
      <c r="C2196" s="84">
        <f>'Change Orders'!S161</f>
        <v/>
      </c>
      <c r="D2196" s="46">
        <f>'Change Orders'!T161</f>
        <v/>
      </c>
      <c r="E2196" s="46">
        <f>IF(OR(B2196="",C2196="",D2196=""),"",D2196*100000+(C2196-DATE(2000,1,1))+ROW()/100000)</f>
        <v/>
      </c>
      <c r="F2196" s="46">
        <f>IF(E2196="","",IF(C2196&gt;WeekEndDate,"",E2196))</f>
        <v/>
      </c>
    </row>
    <row r="2197">
      <c r="A2197" t="inlineStr">
        <is>
          <t>Change Orders</t>
        </is>
      </c>
      <c r="B2197" s="46">
        <f>'Change Orders'!U162</f>
        <v/>
      </c>
      <c r="C2197" s="84">
        <f>'Change Orders'!S162</f>
        <v/>
      </c>
      <c r="D2197" s="46">
        <f>'Change Orders'!T162</f>
        <v/>
      </c>
      <c r="E2197" s="46">
        <f>IF(OR(B2197="",C2197="",D2197=""),"",D2197*100000+(C2197-DATE(2000,1,1))+ROW()/100000)</f>
        <v/>
      </c>
      <c r="F2197" s="46">
        <f>IF(E2197="","",IF(C2197&gt;WeekEndDate,"",E2197))</f>
        <v/>
      </c>
    </row>
    <row r="2198">
      <c r="A2198" t="inlineStr">
        <is>
          <t>Change Orders</t>
        </is>
      </c>
      <c r="B2198" s="46">
        <f>'Change Orders'!U163</f>
        <v/>
      </c>
      <c r="C2198" s="84">
        <f>'Change Orders'!S163</f>
        <v/>
      </c>
      <c r="D2198" s="46">
        <f>'Change Orders'!T163</f>
        <v/>
      </c>
      <c r="E2198" s="46">
        <f>IF(OR(B2198="",C2198="",D2198=""),"",D2198*100000+(C2198-DATE(2000,1,1))+ROW()/100000)</f>
        <v/>
      </c>
      <c r="F2198" s="46">
        <f>IF(E2198="","",IF(C2198&gt;WeekEndDate,"",E2198))</f>
        <v/>
      </c>
    </row>
    <row r="2199">
      <c r="A2199" t="inlineStr">
        <is>
          <t>Change Orders</t>
        </is>
      </c>
      <c r="B2199" s="46">
        <f>'Change Orders'!U164</f>
        <v/>
      </c>
      <c r="C2199" s="84">
        <f>'Change Orders'!S164</f>
        <v/>
      </c>
      <c r="D2199" s="46">
        <f>'Change Orders'!T164</f>
        <v/>
      </c>
      <c r="E2199" s="46">
        <f>IF(OR(B2199="",C2199="",D2199=""),"",D2199*100000+(C2199-DATE(2000,1,1))+ROW()/100000)</f>
        <v/>
      </c>
      <c r="F2199" s="46">
        <f>IF(E2199="","",IF(C2199&gt;WeekEndDate,"",E2199))</f>
        <v/>
      </c>
    </row>
    <row r="2200">
      <c r="A2200" t="inlineStr">
        <is>
          <t>Change Orders</t>
        </is>
      </c>
      <c r="B2200" s="46">
        <f>'Change Orders'!U165</f>
        <v/>
      </c>
      <c r="C2200" s="84">
        <f>'Change Orders'!S165</f>
        <v/>
      </c>
      <c r="D2200" s="46">
        <f>'Change Orders'!T165</f>
        <v/>
      </c>
      <c r="E2200" s="46">
        <f>IF(OR(B2200="",C2200="",D2200=""),"",D2200*100000+(C2200-DATE(2000,1,1))+ROW()/100000)</f>
        <v/>
      </c>
      <c r="F2200" s="46">
        <f>IF(E2200="","",IF(C2200&gt;WeekEndDate,"",E2200))</f>
        <v/>
      </c>
    </row>
    <row r="2201">
      <c r="A2201" t="inlineStr">
        <is>
          <t>Change Orders</t>
        </is>
      </c>
      <c r="B2201" s="46">
        <f>'Change Orders'!U166</f>
        <v/>
      </c>
      <c r="C2201" s="84">
        <f>'Change Orders'!S166</f>
        <v/>
      </c>
      <c r="D2201" s="46">
        <f>'Change Orders'!T166</f>
        <v/>
      </c>
      <c r="E2201" s="46">
        <f>IF(OR(B2201="",C2201="",D2201=""),"",D2201*100000+(C2201-DATE(2000,1,1))+ROW()/100000)</f>
        <v/>
      </c>
      <c r="F2201" s="46">
        <f>IF(E2201="","",IF(C2201&gt;WeekEndDate,"",E2201))</f>
        <v/>
      </c>
    </row>
    <row r="2202">
      <c r="A2202" t="inlineStr">
        <is>
          <t>Change Orders</t>
        </is>
      </c>
      <c r="B2202" s="46">
        <f>'Change Orders'!U167</f>
        <v/>
      </c>
      <c r="C2202" s="84">
        <f>'Change Orders'!S167</f>
        <v/>
      </c>
      <c r="D2202" s="46">
        <f>'Change Orders'!T167</f>
        <v/>
      </c>
      <c r="E2202" s="46">
        <f>IF(OR(B2202="",C2202="",D2202=""),"",D2202*100000+(C2202-DATE(2000,1,1))+ROW()/100000)</f>
        <v/>
      </c>
      <c r="F2202" s="46">
        <f>IF(E2202="","",IF(C2202&gt;WeekEndDate,"",E2202))</f>
        <v/>
      </c>
    </row>
    <row r="2203">
      <c r="A2203" t="inlineStr">
        <is>
          <t>Change Orders</t>
        </is>
      </c>
      <c r="B2203" s="46">
        <f>'Change Orders'!U168</f>
        <v/>
      </c>
      <c r="C2203" s="84">
        <f>'Change Orders'!S168</f>
        <v/>
      </c>
      <c r="D2203" s="46">
        <f>'Change Orders'!T168</f>
        <v/>
      </c>
      <c r="E2203" s="46">
        <f>IF(OR(B2203="",C2203="",D2203=""),"",D2203*100000+(C2203-DATE(2000,1,1))+ROW()/100000)</f>
        <v/>
      </c>
      <c r="F2203" s="46">
        <f>IF(E2203="","",IF(C2203&gt;WeekEndDate,"",E2203))</f>
        <v/>
      </c>
    </row>
    <row r="2204">
      <c r="A2204" t="inlineStr">
        <is>
          <t>Change Orders</t>
        </is>
      </c>
      <c r="B2204" s="46">
        <f>'Change Orders'!U169</f>
        <v/>
      </c>
      <c r="C2204" s="84">
        <f>'Change Orders'!S169</f>
        <v/>
      </c>
      <c r="D2204" s="46">
        <f>'Change Orders'!T169</f>
        <v/>
      </c>
      <c r="E2204" s="46">
        <f>IF(OR(B2204="",C2204="",D2204=""),"",D2204*100000+(C2204-DATE(2000,1,1))+ROW()/100000)</f>
        <v/>
      </c>
      <c r="F2204" s="46">
        <f>IF(E2204="","",IF(C2204&gt;WeekEndDate,"",E2204))</f>
        <v/>
      </c>
    </row>
    <row r="2205">
      <c r="A2205" t="inlineStr">
        <is>
          <t>Change Orders</t>
        </is>
      </c>
      <c r="B2205" s="46">
        <f>'Change Orders'!U170</f>
        <v/>
      </c>
      <c r="C2205" s="84">
        <f>'Change Orders'!S170</f>
        <v/>
      </c>
      <c r="D2205" s="46">
        <f>'Change Orders'!T170</f>
        <v/>
      </c>
      <c r="E2205" s="46">
        <f>IF(OR(B2205="",C2205="",D2205=""),"",D2205*100000+(C2205-DATE(2000,1,1))+ROW()/100000)</f>
        <v/>
      </c>
      <c r="F2205" s="46">
        <f>IF(E2205="","",IF(C2205&gt;WeekEndDate,"",E2205))</f>
        <v/>
      </c>
    </row>
    <row r="2206">
      <c r="A2206" t="inlineStr">
        <is>
          <t>Change Orders</t>
        </is>
      </c>
      <c r="B2206" s="46">
        <f>'Change Orders'!U171</f>
        <v/>
      </c>
      <c r="C2206" s="84">
        <f>'Change Orders'!S171</f>
        <v/>
      </c>
      <c r="D2206" s="46">
        <f>'Change Orders'!T171</f>
        <v/>
      </c>
      <c r="E2206" s="46">
        <f>IF(OR(B2206="",C2206="",D2206=""),"",D2206*100000+(C2206-DATE(2000,1,1))+ROW()/100000)</f>
        <v/>
      </c>
      <c r="F2206" s="46">
        <f>IF(E2206="","",IF(C2206&gt;WeekEndDate,"",E2206))</f>
        <v/>
      </c>
    </row>
    <row r="2207">
      <c r="A2207" t="inlineStr">
        <is>
          <t>Change Orders</t>
        </is>
      </c>
      <c r="B2207" s="46">
        <f>'Change Orders'!U172</f>
        <v/>
      </c>
      <c r="C2207" s="84">
        <f>'Change Orders'!S172</f>
        <v/>
      </c>
      <c r="D2207" s="46">
        <f>'Change Orders'!T172</f>
        <v/>
      </c>
      <c r="E2207" s="46">
        <f>IF(OR(B2207="",C2207="",D2207=""),"",D2207*100000+(C2207-DATE(2000,1,1))+ROW()/100000)</f>
        <v/>
      </c>
      <c r="F2207" s="46">
        <f>IF(E2207="","",IF(C2207&gt;WeekEndDate,"",E2207))</f>
        <v/>
      </c>
    </row>
    <row r="2208">
      <c r="A2208" t="inlineStr">
        <is>
          <t>Change Orders</t>
        </is>
      </c>
      <c r="B2208" s="46">
        <f>'Change Orders'!U173</f>
        <v/>
      </c>
      <c r="C2208" s="84">
        <f>'Change Orders'!S173</f>
        <v/>
      </c>
      <c r="D2208" s="46">
        <f>'Change Orders'!T173</f>
        <v/>
      </c>
      <c r="E2208" s="46">
        <f>IF(OR(B2208="",C2208="",D2208=""),"",D2208*100000+(C2208-DATE(2000,1,1))+ROW()/100000)</f>
        <v/>
      </c>
      <c r="F2208" s="46">
        <f>IF(E2208="","",IF(C2208&gt;WeekEndDate,"",E2208))</f>
        <v/>
      </c>
    </row>
    <row r="2209">
      <c r="A2209" t="inlineStr">
        <is>
          <t>Change Orders</t>
        </is>
      </c>
      <c r="B2209" s="46">
        <f>'Change Orders'!U174</f>
        <v/>
      </c>
      <c r="C2209" s="84">
        <f>'Change Orders'!S174</f>
        <v/>
      </c>
      <c r="D2209" s="46">
        <f>'Change Orders'!T174</f>
        <v/>
      </c>
      <c r="E2209" s="46">
        <f>IF(OR(B2209="",C2209="",D2209=""),"",D2209*100000+(C2209-DATE(2000,1,1))+ROW()/100000)</f>
        <v/>
      </c>
      <c r="F2209" s="46">
        <f>IF(E2209="","",IF(C2209&gt;WeekEndDate,"",E2209))</f>
        <v/>
      </c>
    </row>
    <row r="2210">
      <c r="A2210" t="inlineStr">
        <is>
          <t>Change Orders</t>
        </is>
      </c>
      <c r="B2210" s="46">
        <f>'Change Orders'!U175</f>
        <v/>
      </c>
      <c r="C2210" s="84">
        <f>'Change Orders'!S175</f>
        <v/>
      </c>
      <c r="D2210" s="46">
        <f>'Change Orders'!T175</f>
        <v/>
      </c>
      <c r="E2210" s="46">
        <f>IF(OR(B2210="",C2210="",D2210=""),"",D2210*100000+(C2210-DATE(2000,1,1))+ROW()/100000)</f>
        <v/>
      </c>
      <c r="F2210" s="46">
        <f>IF(E2210="","",IF(C2210&gt;WeekEndDate,"",E2210))</f>
        <v/>
      </c>
    </row>
    <row r="2211">
      <c r="A2211" t="inlineStr">
        <is>
          <t>Change Orders</t>
        </is>
      </c>
      <c r="B2211" s="46">
        <f>'Change Orders'!U176</f>
        <v/>
      </c>
      <c r="C2211" s="84">
        <f>'Change Orders'!S176</f>
        <v/>
      </c>
      <c r="D2211" s="46">
        <f>'Change Orders'!T176</f>
        <v/>
      </c>
      <c r="E2211" s="46">
        <f>IF(OR(B2211="",C2211="",D2211=""),"",D2211*100000+(C2211-DATE(2000,1,1))+ROW()/100000)</f>
        <v/>
      </c>
      <c r="F2211" s="46">
        <f>IF(E2211="","",IF(C2211&gt;WeekEndDate,"",E2211))</f>
        <v/>
      </c>
    </row>
    <row r="2212">
      <c r="A2212" t="inlineStr">
        <is>
          <t>Change Orders</t>
        </is>
      </c>
      <c r="B2212" s="46">
        <f>'Change Orders'!U177</f>
        <v/>
      </c>
      <c r="C2212" s="84">
        <f>'Change Orders'!S177</f>
        <v/>
      </c>
      <c r="D2212" s="46">
        <f>'Change Orders'!T177</f>
        <v/>
      </c>
      <c r="E2212" s="46">
        <f>IF(OR(B2212="",C2212="",D2212=""),"",D2212*100000+(C2212-DATE(2000,1,1))+ROW()/100000)</f>
        <v/>
      </c>
      <c r="F2212" s="46">
        <f>IF(E2212="","",IF(C2212&gt;WeekEndDate,"",E2212))</f>
        <v/>
      </c>
    </row>
    <row r="2213">
      <c r="A2213" t="inlineStr">
        <is>
          <t>Change Orders</t>
        </is>
      </c>
      <c r="B2213" s="46">
        <f>'Change Orders'!U178</f>
        <v/>
      </c>
      <c r="C2213" s="84">
        <f>'Change Orders'!S178</f>
        <v/>
      </c>
      <c r="D2213" s="46">
        <f>'Change Orders'!T178</f>
        <v/>
      </c>
      <c r="E2213" s="46">
        <f>IF(OR(B2213="",C2213="",D2213=""),"",D2213*100000+(C2213-DATE(2000,1,1))+ROW()/100000)</f>
        <v/>
      </c>
      <c r="F2213" s="46">
        <f>IF(E2213="","",IF(C2213&gt;WeekEndDate,"",E2213))</f>
        <v/>
      </c>
    </row>
    <row r="2214">
      <c r="A2214" t="inlineStr">
        <is>
          <t>Change Orders</t>
        </is>
      </c>
      <c r="B2214" s="46">
        <f>'Change Orders'!U179</f>
        <v/>
      </c>
      <c r="C2214" s="84">
        <f>'Change Orders'!S179</f>
        <v/>
      </c>
      <c r="D2214" s="46">
        <f>'Change Orders'!T179</f>
        <v/>
      </c>
      <c r="E2214" s="46">
        <f>IF(OR(B2214="",C2214="",D2214=""),"",D2214*100000+(C2214-DATE(2000,1,1))+ROW()/100000)</f>
        <v/>
      </c>
      <c r="F2214" s="46">
        <f>IF(E2214="","",IF(C2214&gt;WeekEndDate,"",E2214))</f>
        <v/>
      </c>
    </row>
    <row r="2215">
      <c r="A2215" t="inlineStr">
        <is>
          <t>Change Orders</t>
        </is>
      </c>
      <c r="B2215" s="46">
        <f>'Change Orders'!U180</f>
        <v/>
      </c>
      <c r="C2215" s="84">
        <f>'Change Orders'!S180</f>
        <v/>
      </c>
      <c r="D2215" s="46">
        <f>'Change Orders'!T180</f>
        <v/>
      </c>
      <c r="E2215" s="46">
        <f>IF(OR(B2215="",C2215="",D2215=""),"",D2215*100000+(C2215-DATE(2000,1,1))+ROW()/100000)</f>
        <v/>
      </c>
      <c r="F2215" s="46">
        <f>IF(E2215="","",IF(C2215&gt;WeekEndDate,"",E2215))</f>
        <v/>
      </c>
    </row>
    <row r="2216">
      <c r="A2216" t="inlineStr">
        <is>
          <t>Change Orders</t>
        </is>
      </c>
      <c r="B2216" s="46">
        <f>'Change Orders'!U181</f>
        <v/>
      </c>
      <c r="C2216" s="84">
        <f>'Change Orders'!S181</f>
        <v/>
      </c>
      <c r="D2216" s="46">
        <f>'Change Orders'!T181</f>
        <v/>
      </c>
      <c r="E2216" s="46">
        <f>IF(OR(B2216="",C2216="",D2216=""),"",D2216*100000+(C2216-DATE(2000,1,1))+ROW()/100000)</f>
        <v/>
      </c>
      <c r="F2216" s="46">
        <f>IF(E2216="","",IF(C2216&gt;WeekEndDate,"",E2216))</f>
        <v/>
      </c>
    </row>
    <row r="2217">
      <c r="A2217" t="inlineStr">
        <is>
          <t>Change Orders</t>
        </is>
      </c>
      <c r="B2217" s="46">
        <f>'Change Orders'!U182</f>
        <v/>
      </c>
      <c r="C2217" s="84">
        <f>'Change Orders'!S182</f>
        <v/>
      </c>
      <c r="D2217" s="46">
        <f>'Change Orders'!T182</f>
        <v/>
      </c>
      <c r="E2217" s="46">
        <f>IF(OR(B2217="",C2217="",D2217=""),"",D2217*100000+(C2217-DATE(2000,1,1))+ROW()/100000)</f>
        <v/>
      </c>
      <c r="F2217" s="46">
        <f>IF(E2217="","",IF(C2217&gt;WeekEndDate,"",E2217))</f>
        <v/>
      </c>
    </row>
    <row r="2218">
      <c r="A2218" t="inlineStr">
        <is>
          <t>Change Orders</t>
        </is>
      </c>
      <c r="B2218" s="46">
        <f>'Change Orders'!U183</f>
        <v/>
      </c>
      <c r="C2218" s="84">
        <f>'Change Orders'!S183</f>
        <v/>
      </c>
      <c r="D2218" s="46">
        <f>'Change Orders'!T183</f>
        <v/>
      </c>
      <c r="E2218" s="46">
        <f>IF(OR(B2218="",C2218="",D2218=""),"",D2218*100000+(C2218-DATE(2000,1,1))+ROW()/100000)</f>
        <v/>
      </c>
      <c r="F2218" s="46">
        <f>IF(E2218="","",IF(C2218&gt;WeekEndDate,"",E2218))</f>
        <v/>
      </c>
    </row>
    <row r="2219">
      <c r="A2219" t="inlineStr">
        <is>
          <t>Change Orders</t>
        </is>
      </c>
      <c r="B2219" s="46">
        <f>'Change Orders'!U184</f>
        <v/>
      </c>
      <c r="C2219" s="84">
        <f>'Change Orders'!S184</f>
        <v/>
      </c>
      <c r="D2219" s="46">
        <f>'Change Orders'!T184</f>
        <v/>
      </c>
      <c r="E2219" s="46">
        <f>IF(OR(B2219="",C2219="",D2219=""),"",D2219*100000+(C2219-DATE(2000,1,1))+ROW()/100000)</f>
        <v/>
      </c>
      <c r="F2219" s="46">
        <f>IF(E2219="","",IF(C2219&gt;WeekEndDate,"",E2219))</f>
        <v/>
      </c>
    </row>
    <row r="2220">
      <c r="A2220" t="inlineStr">
        <is>
          <t>Change Orders</t>
        </is>
      </c>
      <c r="B2220" s="46">
        <f>'Change Orders'!U185</f>
        <v/>
      </c>
      <c r="C2220" s="84">
        <f>'Change Orders'!S185</f>
        <v/>
      </c>
      <c r="D2220" s="46">
        <f>'Change Orders'!T185</f>
        <v/>
      </c>
      <c r="E2220" s="46">
        <f>IF(OR(B2220="",C2220="",D2220=""),"",D2220*100000+(C2220-DATE(2000,1,1))+ROW()/100000)</f>
        <v/>
      </c>
      <c r="F2220" s="46">
        <f>IF(E2220="","",IF(C2220&gt;WeekEndDate,"",E2220))</f>
        <v/>
      </c>
    </row>
    <row r="2221">
      <c r="A2221" t="inlineStr">
        <is>
          <t>Change Orders</t>
        </is>
      </c>
      <c r="B2221" s="46">
        <f>'Change Orders'!U186</f>
        <v/>
      </c>
      <c r="C2221" s="84">
        <f>'Change Orders'!S186</f>
        <v/>
      </c>
      <c r="D2221" s="46">
        <f>'Change Orders'!T186</f>
        <v/>
      </c>
      <c r="E2221" s="46">
        <f>IF(OR(B2221="",C2221="",D2221=""),"",D2221*100000+(C2221-DATE(2000,1,1))+ROW()/100000)</f>
        <v/>
      </c>
      <c r="F2221" s="46">
        <f>IF(E2221="","",IF(C2221&gt;WeekEndDate,"",E2221))</f>
        <v/>
      </c>
    </row>
    <row r="2222">
      <c r="A2222" t="inlineStr">
        <is>
          <t>Change Orders</t>
        </is>
      </c>
      <c r="B2222" s="46">
        <f>'Change Orders'!U187</f>
        <v/>
      </c>
      <c r="C2222" s="84">
        <f>'Change Orders'!S187</f>
        <v/>
      </c>
      <c r="D2222" s="46">
        <f>'Change Orders'!T187</f>
        <v/>
      </c>
      <c r="E2222" s="46">
        <f>IF(OR(B2222="",C2222="",D2222=""),"",D2222*100000+(C2222-DATE(2000,1,1))+ROW()/100000)</f>
        <v/>
      </c>
      <c r="F2222" s="46">
        <f>IF(E2222="","",IF(C2222&gt;WeekEndDate,"",E2222))</f>
        <v/>
      </c>
    </row>
    <row r="2223">
      <c r="A2223" t="inlineStr">
        <is>
          <t>Change Orders</t>
        </is>
      </c>
      <c r="B2223" s="46">
        <f>'Change Orders'!U188</f>
        <v/>
      </c>
      <c r="C2223" s="84">
        <f>'Change Orders'!S188</f>
        <v/>
      </c>
      <c r="D2223" s="46">
        <f>'Change Orders'!T188</f>
        <v/>
      </c>
      <c r="E2223" s="46">
        <f>IF(OR(B2223="",C2223="",D2223=""),"",D2223*100000+(C2223-DATE(2000,1,1))+ROW()/100000)</f>
        <v/>
      </c>
      <c r="F2223" s="46">
        <f>IF(E2223="","",IF(C2223&gt;WeekEndDate,"",E2223))</f>
        <v/>
      </c>
    </row>
    <row r="2224">
      <c r="A2224" t="inlineStr">
        <is>
          <t>Change Orders</t>
        </is>
      </c>
      <c r="B2224" s="46">
        <f>'Change Orders'!U189</f>
        <v/>
      </c>
      <c r="C2224" s="84">
        <f>'Change Orders'!S189</f>
        <v/>
      </c>
      <c r="D2224" s="46">
        <f>'Change Orders'!T189</f>
        <v/>
      </c>
      <c r="E2224" s="46">
        <f>IF(OR(B2224="",C2224="",D2224=""),"",D2224*100000+(C2224-DATE(2000,1,1))+ROW()/100000)</f>
        <v/>
      </c>
      <c r="F2224" s="46">
        <f>IF(E2224="","",IF(C2224&gt;WeekEndDate,"",E2224))</f>
        <v/>
      </c>
    </row>
    <row r="2225">
      <c r="A2225" t="inlineStr">
        <is>
          <t>Change Orders</t>
        </is>
      </c>
      <c r="B2225" s="46">
        <f>'Change Orders'!U190</f>
        <v/>
      </c>
      <c r="C2225" s="84">
        <f>'Change Orders'!S190</f>
        <v/>
      </c>
      <c r="D2225" s="46">
        <f>'Change Orders'!T190</f>
        <v/>
      </c>
      <c r="E2225" s="46">
        <f>IF(OR(B2225="",C2225="",D2225=""),"",D2225*100000+(C2225-DATE(2000,1,1))+ROW()/100000)</f>
        <v/>
      </c>
      <c r="F2225" s="46">
        <f>IF(E2225="","",IF(C2225&gt;WeekEndDate,"",E2225))</f>
        <v/>
      </c>
    </row>
    <row r="2226">
      <c r="A2226" t="inlineStr">
        <is>
          <t>Change Orders</t>
        </is>
      </c>
      <c r="B2226" s="46">
        <f>'Change Orders'!U191</f>
        <v/>
      </c>
      <c r="C2226" s="84">
        <f>'Change Orders'!S191</f>
        <v/>
      </c>
      <c r="D2226" s="46">
        <f>'Change Orders'!T191</f>
        <v/>
      </c>
      <c r="E2226" s="46">
        <f>IF(OR(B2226="",C2226="",D2226=""),"",D2226*100000+(C2226-DATE(2000,1,1))+ROW()/100000)</f>
        <v/>
      </c>
      <c r="F2226" s="46">
        <f>IF(E2226="","",IF(C2226&gt;WeekEndDate,"",E2226))</f>
        <v/>
      </c>
    </row>
    <row r="2227">
      <c r="A2227" t="inlineStr">
        <is>
          <t>Change Orders</t>
        </is>
      </c>
      <c r="B2227" s="46">
        <f>'Change Orders'!U192</f>
        <v/>
      </c>
      <c r="C2227" s="84">
        <f>'Change Orders'!S192</f>
        <v/>
      </c>
      <c r="D2227" s="46">
        <f>'Change Orders'!T192</f>
        <v/>
      </c>
      <c r="E2227" s="46">
        <f>IF(OR(B2227="",C2227="",D2227=""),"",D2227*100000+(C2227-DATE(2000,1,1))+ROW()/100000)</f>
        <v/>
      </c>
      <c r="F2227" s="46">
        <f>IF(E2227="","",IF(C2227&gt;WeekEndDate,"",E2227))</f>
        <v/>
      </c>
    </row>
    <row r="2228">
      <c r="A2228" t="inlineStr">
        <is>
          <t>Change Orders</t>
        </is>
      </c>
      <c r="B2228" s="46">
        <f>'Change Orders'!U193</f>
        <v/>
      </c>
      <c r="C2228" s="84">
        <f>'Change Orders'!S193</f>
        <v/>
      </c>
      <c r="D2228" s="46">
        <f>'Change Orders'!T193</f>
        <v/>
      </c>
      <c r="E2228" s="46">
        <f>IF(OR(B2228="",C2228="",D2228=""),"",D2228*100000+(C2228-DATE(2000,1,1))+ROW()/100000)</f>
        <v/>
      </c>
      <c r="F2228" s="46">
        <f>IF(E2228="","",IF(C2228&gt;WeekEndDate,"",E2228))</f>
        <v/>
      </c>
    </row>
    <row r="2229">
      <c r="A2229" t="inlineStr">
        <is>
          <t>Change Orders</t>
        </is>
      </c>
      <c r="B2229" s="46">
        <f>'Change Orders'!U194</f>
        <v/>
      </c>
      <c r="C2229" s="84">
        <f>'Change Orders'!S194</f>
        <v/>
      </c>
      <c r="D2229" s="46">
        <f>'Change Orders'!T194</f>
        <v/>
      </c>
      <c r="E2229" s="46">
        <f>IF(OR(B2229="",C2229="",D2229=""),"",D2229*100000+(C2229-DATE(2000,1,1))+ROW()/100000)</f>
        <v/>
      </c>
      <c r="F2229" s="46">
        <f>IF(E2229="","",IF(C2229&gt;WeekEndDate,"",E2229))</f>
        <v/>
      </c>
    </row>
    <row r="2230">
      <c r="A2230" t="inlineStr">
        <is>
          <t>Change Orders</t>
        </is>
      </c>
      <c r="B2230" s="46">
        <f>'Change Orders'!U195</f>
        <v/>
      </c>
      <c r="C2230" s="84">
        <f>'Change Orders'!S195</f>
        <v/>
      </c>
      <c r="D2230" s="46">
        <f>'Change Orders'!T195</f>
        <v/>
      </c>
      <c r="E2230" s="46">
        <f>IF(OR(B2230="",C2230="",D2230=""),"",D2230*100000+(C2230-DATE(2000,1,1))+ROW()/100000)</f>
        <v/>
      </c>
      <c r="F2230" s="46">
        <f>IF(E2230="","",IF(C2230&gt;WeekEndDate,"",E2230))</f>
        <v/>
      </c>
    </row>
    <row r="2231">
      <c r="A2231" t="inlineStr">
        <is>
          <t>Change Orders</t>
        </is>
      </c>
      <c r="B2231" s="46">
        <f>'Change Orders'!U196</f>
        <v/>
      </c>
      <c r="C2231" s="84">
        <f>'Change Orders'!S196</f>
        <v/>
      </c>
      <c r="D2231" s="46">
        <f>'Change Orders'!T196</f>
        <v/>
      </c>
      <c r="E2231" s="46">
        <f>IF(OR(B2231="",C2231="",D2231=""),"",D2231*100000+(C2231-DATE(2000,1,1))+ROW()/100000)</f>
        <v/>
      </c>
      <c r="F2231" s="46">
        <f>IF(E2231="","",IF(C2231&gt;WeekEndDate,"",E2231))</f>
        <v/>
      </c>
    </row>
    <row r="2232">
      <c r="A2232" t="inlineStr">
        <is>
          <t>Change Orders</t>
        </is>
      </c>
      <c r="B2232" s="46">
        <f>'Change Orders'!U197</f>
        <v/>
      </c>
      <c r="C2232" s="84">
        <f>'Change Orders'!S197</f>
        <v/>
      </c>
      <c r="D2232" s="46">
        <f>'Change Orders'!T197</f>
        <v/>
      </c>
      <c r="E2232" s="46">
        <f>IF(OR(B2232="",C2232="",D2232=""),"",D2232*100000+(C2232-DATE(2000,1,1))+ROW()/100000)</f>
        <v/>
      </c>
      <c r="F2232" s="46">
        <f>IF(E2232="","",IF(C2232&gt;WeekEndDate,"",E2232))</f>
        <v/>
      </c>
    </row>
    <row r="2233">
      <c r="A2233" t="inlineStr">
        <is>
          <t>Change Orders</t>
        </is>
      </c>
      <c r="B2233" s="46">
        <f>'Change Orders'!U198</f>
        <v/>
      </c>
      <c r="C2233" s="84">
        <f>'Change Orders'!S198</f>
        <v/>
      </c>
      <c r="D2233" s="46">
        <f>'Change Orders'!T198</f>
        <v/>
      </c>
      <c r="E2233" s="46">
        <f>IF(OR(B2233="",C2233="",D2233=""),"",D2233*100000+(C2233-DATE(2000,1,1))+ROW()/100000)</f>
        <v/>
      </c>
      <c r="F2233" s="46">
        <f>IF(E2233="","",IF(C2233&gt;WeekEndDate,"",E2233))</f>
        <v/>
      </c>
    </row>
    <row r="2234">
      <c r="A2234" t="inlineStr">
        <is>
          <t>Change Orders</t>
        </is>
      </c>
      <c r="B2234" s="46">
        <f>'Change Orders'!U199</f>
        <v/>
      </c>
      <c r="C2234" s="84">
        <f>'Change Orders'!S199</f>
        <v/>
      </c>
      <c r="D2234" s="46">
        <f>'Change Orders'!T199</f>
        <v/>
      </c>
      <c r="E2234" s="46">
        <f>IF(OR(B2234="",C2234="",D2234=""),"",D2234*100000+(C2234-DATE(2000,1,1))+ROW()/100000)</f>
        <v/>
      </c>
      <c r="F2234" s="46">
        <f>IF(E2234="","",IF(C2234&gt;WeekEndDate,"",E2234))</f>
        <v/>
      </c>
    </row>
    <row r="2235">
      <c r="A2235" t="inlineStr">
        <is>
          <t>Change Orders</t>
        </is>
      </c>
      <c r="B2235" s="46">
        <f>'Change Orders'!U200</f>
        <v/>
      </c>
      <c r="C2235" s="84">
        <f>'Change Orders'!S200</f>
        <v/>
      </c>
      <c r="D2235" s="46">
        <f>'Change Orders'!T200</f>
        <v/>
      </c>
      <c r="E2235" s="46">
        <f>IF(OR(B2235="",C2235="",D2235=""),"",D2235*100000+(C2235-DATE(2000,1,1))+ROW()/100000)</f>
        <v/>
      </c>
      <c r="F2235" s="46">
        <f>IF(E2235="","",IF(C2235&gt;WeekEndDate,"",E2235))</f>
        <v/>
      </c>
    </row>
    <row r="2236">
      <c r="A2236" t="inlineStr">
        <is>
          <t>Change Orders</t>
        </is>
      </c>
      <c r="B2236" s="46">
        <f>'Change Orders'!U201</f>
        <v/>
      </c>
      <c r="C2236" s="84">
        <f>'Change Orders'!S201</f>
        <v/>
      </c>
      <c r="D2236" s="46">
        <f>'Change Orders'!T201</f>
        <v/>
      </c>
      <c r="E2236" s="46">
        <f>IF(OR(B2236="",C2236="",D2236=""),"",D2236*100000+(C2236-DATE(2000,1,1))+ROW()/100000)</f>
        <v/>
      </c>
      <c r="F2236" s="46">
        <f>IF(E2236="","",IF(C2236&gt;WeekEndDate,"",E2236))</f>
        <v/>
      </c>
    </row>
    <row r="2237">
      <c r="A2237" t="inlineStr">
        <is>
          <t>Change Orders</t>
        </is>
      </c>
      <c r="B2237" s="46">
        <f>'Change Orders'!U202</f>
        <v/>
      </c>
      <c r="C2237" s="84">
        <f>'Change Orders'!S202</f>
        <v/>
      </c>
      <c r="D2237" s="46">
        <f>'Change Orders'!T202</f>
        <v/>
      </c>
      <c r="E2237" s="46">
        <f>IF(OR(B2237="",C2237="",D2237=""),"",D2237*100000+(C2237-DATE(2000,1,1))+ROW()/100000)</f>
        <v/>
      </c>
      <c r="F2237" s="46">
        <f>IF(E2237="","",IF(C2237&gt;WeekEndDate,"",E2237))</f>
        <v/>
      </c>
    </row>
    <row r="2238">
      <c r="A2238" t="inlineStr">
        <is>
          <t>Change Orders</t>
        </is>
      </c>
      <c r="B2238" s="46">
        <f>'Change Orders'!U203</f>
        <v/>
      </c>
      <c r="C2238" s="84">
        <f>'Change Orders'!S203</f>
        <v/>
      </c>
      <c r="D2238" s="46">
        <f>'Change Orders'!T203</f>
        <v/>
      </c>
      <c r="E2238" s="46">
        <f>IF(OR(B2238="",C2238="",D2238=""),"",D2238*100000+(C2238-DATE(2000,1,1))+ROW()/100000)</f>
        <v/>
      </c>
      <c r="F2238" s="46">
        <f>IF(E2238="","",IF(C2238&gt;WeekEndDate,"",E2238))</f>
        <v/>
      </c>
    </row>
    <row r="2239">
      <c r="A2239" t="inlineStr">
        <is>
          <t>Change Orders</t>
        </is>
      </c>
      <c r="B2239" s="46">
        <f>'Change Orders'!U204</f>
        <v/>
      </c>
      <c r="C2239" s="84">
        <f>'Change Orders'!S204</f>
        <v/>
      </c>
      <c r="D2239" s="46">
        <f>'Change Orders'!T204</f>
        <v/>
      </c>
      <c r="E2239" s="46">
        <f>IF(OR(B2239="",C2239="",D2239=""),"",D2239*100000+(C2239-DATE(2000,1,1))+ROW()/100000)</f>
        <v/>
      </c>
      <c r="F2239" s="46">
        <f>IF(E2239="","",IF(C2239&gt;WeekEndDate,"",E2239))</f>
        <v/>
      </c>
    </row>
    <row r="2240">
      <c r="A2240" t="inlineStr">
        <is>
          <t>Change Orders</t>
        </is>
      </c>
      <c r="B2240" s="46">
        <f>'Change Orders'!U205</f>
        <v/>
      </c>
      <c r="C2240" s="84">
        <f>'Change Orders'!S205</f>
        <v/>
      </c>
      <c r="D2240" s="46">
        <f>'Change Orders'!T205</f>
        <v/>
      </c>
      <c r="E2240" s="46">
        <f>IF(OR(B2240="",C2240="",D2240=""),"",D2240*100000+(C2240-DATE(2000,1,1))+ROW()/100000)</f>
        <v/>
      </c>
      <c r="F2240" s="46">
        <f>IF(E2240="","",IF(C2240&gt;WeekEndDate,"",E2240))</f>
        <v/>
      </c>
    </row>
    <row r="2241">
      <c r="A2241" t="inlineStr">
        <is>
          <t>Change Orders</t>
        </is>
      </c>
      <c r="B2241" s="46">
        <f>'Change Orders'!U206</f>
        <v/>
      </c>
      <c r="C2241" s="84">
        <f>'Change Orders'!S206</f>
        <v/>
      </c>
      <c r="D2241" s="46">
        <f>'Change Orders'!T206</f>
        <v/>
      </c>
      <c r="E2241" s="46">
        <f>IF(OR(B2241="",C2241="",D2241=""),"",D2241*100000+(C2241-DATE(2000,1,1))+ROW()/100000)</f>
        <v/>
      </c>
      <c r="F2241" s="46">
        <f>IF(E2241="","",IF(C2241&gt;WeekEndDate,"",E2241))</f>
        <v/>
      </c>
    </row>
    <row r="2242">
      <c r="A2242" t="inlineStr">
        <is>
          <t>Change Orders</t>
        </is>
      </c>
      <c r="B2242" s="46">
        <f>'Change Orders'!U207</f>
        <v/>
      </c>
      <c r="C2242" s="84">
        <f>'Change Orders'!S207</f>
        <v/>
      </c>
      <c r="D2242" s="46">
        <f>'Change Orders'!T207</f>
        <v/>
      </c>
      <c r="E2242" s="46">
        <f>IF(OR(B2242="",C2242="",D2242=""),"",D2242*100000+(C2242-DATE(2000,1,1))+ROW()/100000)</f>
        <v/>
      </c>
      <c r="F2242" s="46">
        <f>IF(E2242="","",IF(C2242&gt;WeekEndDate,"",E2242))</f>
        <v/>
      </c>
    </row>
    <row r="2243">
      <c r="A2243" t="inlineStr">
        <is>
          <t>Change Orders</t>
        </is>
      </c>
      <c r="B2243" s="46">
        <f>'Change Orders'!U208</f>
        <v/>
      </c>
      <c r="C2243" s="84">
        <f>'Change Orders'!S208</f>
        <v/>
      </c>
      <c r="D2243" s="46">
        <f>'Change Orders'!T208</f>
        <v/>
      </c>
      <c r="E2243" s="46">
        <f>IF(OR(B2243="",C2243="",D2243=""),"",D2243*100000+(C2243-DATE(2000,1,1))+ROW()/100000)</f>
        <v/>
      </c>
      <c r="F2243" s="46">
        <f>IF(E2243="","",IF(C2243&gt;WeekEndDate,"",E2243))</f>
        <v/>
      </c>
    </row>
    <row r="2244">
      <c r="A2244" t="inlineStr">
        <is>
          <t>Change Orders</t>
        </is>
      </c>
      <c r="B2244" s="46">
        <f>'Change Orders'!U209</f>
        <v/>
      </c>
      <c r="C2244" s="84">
        <f>'Change Orders'!S209</f>
        <v/>
      </c>
      <c r="D2244" s="46">
        <f>'Change Orders'!T209</f>
        <v/>
      </c>
      <c r="E2244" s="46">
        <f>IF(OR(B2244="",C2244="",D2244=""),"",D2244*100000+(C2244-DATE(2000,1,1))+ROW()/100000)</f>
        <v/>
      </c>
      <c r="F2244" s="46">
        <f>IF(E2244="","",IF(C2244&gt;WeekEndDate,"",E2244))</f>
        <v/>
      </c>
    </row>
    <row r="2245">
      <c r="A2245" t="inlineStr">
        <is>
          <t>Change Orders</t>
        </is>
      </c>
      <c r="B2245" s="46">
        <f>'Change Orders'!U210</f>
        <v/>
      </c>
      <c r="C2245" s="84">
        <f>'Change Orders'!S210</f>
        <v/>
      </c>
      <c r="D2245" s="46">
        <f>'Change Orders'!T210</f>
        <v/>
      </c>
      <c r="E2245" s="46">
        <f>IF(OR(B2245="",C2245="",D2245=""),"",D2245*100000+(C2245-DATE(2000,1,1))+ROW()/100000)</f>
        <v/>
      </c>
      <c r="F2245" s="46">
        <f>IF(E2245="","",IF(C2245&gt;WeekEndDate,"",E2245))</f>
        <v/>
      </c>
    </row>
    <row r="2246">
      <c r="A2246" t="inlineStr">
        <is>
          <t>Change Orders</t>
        </is>
      </c>
      <c r="B2246" s="46">
        <f>'Change Orders'!U211</f>
        <v/>
      </c>
      <c r="C2246" s="84">
        <f>'Change Orders'!S211</f>
        <v/>
      </c>
      <c r="D2246" s="46">
        <f>'Change Orders'!T211</f>
        <v/>
      </c>
      <c r="E2246" s="46">
        <f>IF(OR(B2246="",C2246="",D2246=""),"",D2246*100000+(C2246-DATE(2000,1,1))+ROW()/100000)</f>
        <v/>
      </c>
      <c r="F2246" s="46">
        <f>IF(E2246="","",IF(C2246&gt;WeekEndDate,"",E2246))</f>
        <v/>
      </c>
    </row>
    <row r="2247">
      <c r="A2247" t="inlineStr">
        <is>
          <t>Change Orders</t>
        </is>
      </c>
      <c r="B2247" s="46">
        <f>'Change Orders'!U212</f>
        <v/>
      </c>
      <c r="C2247" s="84">
        <f>'Change Orders'!S212</f>
        <v/>
      </c>
      <c r="D2247" s="46">
        <f>'Change Orders'!T212</f>
        <v/>
      </c>
      <c r="E2247" s="46">
        <f>IF(OR(B2247="",C2247="",D2247=""),"",D2247*100000+(C2247-DATE(2000,1,1))+ROW()/100000)</f>
        <v/>
      </c>
      <c r="F2247" s="46">
        <f>IF(E2247="","",IF(C2247&gt;WeekEndDate,"",E2247))</f>
        <v/>
      </c>
    </row>
    <row r="2248">
      <c r="A2248" t="inlineStr">
        <is>
          <t>Change Orders</t>
        </is>
      </c>
      <c r="B2248" s="46">
        <f>'Change Orders'!U213</f>
        <v/>
      </c>
      <c r="C2248" s="84">
        <f>'Change Orders'!S213</f>
        <v/>
      </c>
      <c r="D2248" s="46">
        <f>'Change Orders'!T213</f>
        <v/>
      </c>
      <c r="E2248" s="46">
        <f>IF(OR(B2248="",C2248="",D2248=""),"",D2248*100000+(C2248-DATE(2000,1,1))+ROW()/100000)</f>
        <v/>
      </c>
      <c r="F2248" s="46">
        <f>IF(E2248="","",IF(C2248&gt;WeekEndDate,"",E2248))</f>
        <v/>
      </c>
    </row>
    <row r="2249">
      <c r="A2249" t="inlineStr">
        <is>
          <t>Change Orders</t>
        </is>
      </c>
      <c r="B2249" s="46">
        <f>'Change Orders'!U214</f>
        <v/>
      </c>
      <c r="C2249" s="84">
        <f>'Change Orders'!S214</f>
        <v/>
      </c>
      <c r="D2249" s="46">
        <f>'Change Orders'!T214</f>
        <v/>
      </c>
      <c r="E2249" s="46">
        <f>IF(OR(B2249="",C2249="",D2249=""),"",D2249*100000+(C2249-DATE(2000,1,1))+ROW()/100000)</f>
        <v/>
      </c>
      <c r="F2249" s="46">
        <f>IF(E2249="","",IF(C2249&gt;WeekEndDate,"",E2249))</f>
        <v/>
      </c>
    </row>
    <row r="2250">
      <c r="A2250" t="inlineStr">
        <is>
          <t>Change Orders</t>
        </is>
      </c>
      <c r="B2250" s="46">
        <f>'Change Orders'!U215</f>
        <v/>
      </c>
      <c r="C2250" s="84">
        <f>'Change Orders'!S215</f>
        <v/>
      </c>
      <c r="D2250" s="46">
        <f>'Change Orders'!T215</f>
        <v/>
      </c>
      <c r="E2250" s="46">
        <f>IF(OR(B2250="",C2250="",D2250=""),"",D2250*100000+(C2250-DATE(2000,1,1))+ROW()/100000)</f>
        <v/>
      </c>
      <c r="F2250" s="46">
        <f>IF(E2250="","",IF(C2250&gt;WeekEndDate,"",E2250))</f>
        <v/>
      </c>
    </row>
    <row r="2251">
      <c r="A2251" t="inlineStr">
        <is>
          <t>Change Orders</t>
        </is>
      </c>
      <c r="B2251" s="46">
        <f>'Change Orders'!U216</f>
        <v/>
      </c>
      <c r="C2251" s="84">
        <f>'Change Orders'!S216</f>
        <v/>
      </c>
      <c r="D2251" s="46">
        <f>'Change Orders'!T216</f>
        <v/>
      </c>
      <c r="E2251" s="46">
        <f>IF(OR(B2251="",C2251="",D2251=""),"",D2251*100000+(C2251-DATE(2000,1,1))+ROW()/100000)</f>
        <v/>
      </c>
      <c r="F2251" s="46">
        <f>IF(E2251="","",IF(C2251&gt;WeekEndDate,"",E2251))</f>
        <v/>
      </c>
    </row>
    <row r="2252">
      <c r="A2252" t="inlineStr">
        <is>
          <t>Change Orders</t>
        </is>
      </c>
      <c r="B2252" s="46">
        <f>'Change Orders'!U217</f>
        <v/>
      </c>
      <c r="C2252" s="84">
        <f>'Change Orders'!S217</f>
        <v/>
      </c>
      <c r="D2252" s="46">
        <f>'Change Orders'!T217</f>
        <v/>
      </c>
      <c r="E2252" s="46">
        <f>IF(OR(B2252="",C2252="",D2252=""),"",D2252*100000+(C2252-DATE(2000,1,1))+ROW()/100000)</f>
        <v/>
      </c>
      <c r="F2252" s="46">
        <f>IF(E2252="","",IF(C2252&gt;WeekEndDate,"",E2252))</f>
        <v/>
      </c>
    </row>
    <row r="2253">
      <c r="A2253" t="inlineStr">
        <is>
          <t>Change Orders</t>
        </is>
      </c>
      <c r="B2253" s="46">
        <f>'Change Orders'!U218</f>
        <v/>
      </c>
      <c r="C2253" s="84">
        <f>'Change Orders'!S218</f>
        <v/>
      </c>
      <c r="D2253" s="46">
        <f>'Change Orders'!T218</f>
        <v/>
      </c>
      <c r="E2253" s="46">
        <f>IF(OR(B2253="",C2253="",D2253=""),"",D2253*100000+(C2253-DATE(2000,1,1))+ROW()/100000)</f>
        <v/>
      </c>
      <c r="F2253" s="46">
        <f>IF(E2253="","",IF(C2253&gt;WeekEndDate,"",E2253))</f>
        <v/>
      </c>
    </row>
    <row r="2254">
      <c r="A2254" t="inlineStr">
        <is>
          <t>Change Orders</t>
        </is>
      </c>
      <c r="B2254" s="46">
        <f>'Change Orders'!U219</f>
        <v/>
      </c>
      <c r="C2254" s="84">
        <f>'Change Orders'!S219</f>
        <v/>
      </c>
      <c r="D2254" s="46">
        <f>'Change Orders'!T219</f>
        <v/>
      </c>
      <c r="E2254" s="46">
        <f>IF(OR(B2254="",C2254="",D2254=""),"",D2254*100000+(C2254-DATE(2000,1,1))+ROW()/100000)</f>
        <v/>
      </c>
      <c r="F2254" s="46">
        <f>IF(E2254="","",IF(C2254&gt;WeekEndDate,"",E2254))</f>
        <v/>
      </c>
    </row>
    <row r="2255">
      <c r="A2255" t="inlineStr">
        <is>
          <t>Change Orders</t>
        </is>
      </c>
      <c r="B2255" s="46">
        <f>'Change Orders'!U220</f>
        <v/>
      </c>
      <c r="C2255" s="84">
        <f>'Change Orders'!S220</f>
        <v/>
      </c>
      <c r="D2255" s="46">
        <f>'Change Orders'!T220</f>
        <v/>
      </c>
      <c r="E2255" s="46">
        <f>IF(OR(B2255="",C2255="",D2255=""),"",D2255*100000+(C2255-DATE(2000,1,1))+ROW()/100000)</f>
        <v/>
      </c>
      <c r="F2255" s="46">
        <f>IF(E2255="","",IF(C2255&gt;WeekEndDate,"",E2255))</f>
        <v/>
      </c>
    </row>
    <row r="2256">
      <c r="A2256" t="inlineStr">
        <is>
          <t>Change Orders</t>
        </is>
      </c>
      <c r="B2256" s="46">
        <f>'Change Orders'!U221</f>
        <v/>
      </c>
      <c r="C2256" s="84">
        <f>'Change Orders'!S221</f>
        <v/>
      </c>
      <c r="D2256" s="46">
        <f>'Change Orders'!T221</f>
        <v/>
      </c>
      <c r="E2256" s="46">
        <f>IF(OR(B2256="",C2256="",D2256=""),"",D2256*100000+(C2256-DATE(2000,1,1))+ROW()/100000)</f>
        <v/>
      </c>
      <c r="F2256" s="46">
        <f>IF(E2256="","",IF(C2256&gt;WeekEndDate,"",E2256))</f>
        <v/>
      </c>
    </row>
    <row r="2257">
      <c r="A2257" t="inlineStr">
        <is>
          <t>Change Orders</t>
        </is>
      </c>
      <c r="B2257" s="46">
        <f>'Change Orders'!U222</f>
        <v/>
      </c>
      <c r="C2257" s="84">
        <f>'Change Orders'!S222</f>
        <v/>
      </c>
      <c r="D2257" s="46">
        <f>'Change Orders'!T222</f>
        <v/>
      </c>
      <c r="E2257" s="46">
        <f>IF(OR(B2257="",C2257="",D2257=""),"",D2257*100000+(C2257-DATE(2000,1,1))+ROW()/100000)</f>
        <v/>
      </c>
      <c r="F2257" s="46">
        <f>IF(E2257="","",IF(C2257&gt;WeekEndDate,"",E2257))</f>
        <v/>
      </c>
    </row>
    <row r="2258">
      <c r="A2258" t="inlineStr">
        <is>
          <t>Change Orders</t>
        </is>
      </c>
      <c r="B2258" s="46">
        <f>'Change Orders'!U223</f>
        <v/>
      </c>
      <c r="C2258" s="84">
        <f>'Change Orders'!S223</f>
        <v/>
      </c>
      <c r="D2258" s="46">
        <f>'Change Orders'!T223</f>
        <v/>
      </c>
      <c r="E2258" s="46">
        <f>IF(OR(B2258="",C2258="",D2258=""),"",D2258*100000+(C2258-DATE(2000,1,1))+ROW()/100000)</f>
        <v/>
      </c>
      <c r="F2258" s="46">
        <f>IF(E2258="","",IF(C2258&gt;WeekEndDate,"",E2258))</f>
        <v/>
      </c>
    </row>
    <row r="2259">
      <c r="A2259" t="inlineStr">
        <is>
          <t>Change Orders</t>
        </is>
      </c>
      <c r="B2259" s="46">
        <f>'Change Orders'!U224</f>
        <v/>
      </c>
      <c r="C2259" s="84">
        <f>'Change Orders'!S224</f>
        <v/>
      </c>
      <c r="D2259" s="46">
        <f>'Change Orders'!T224</f>
        <v/>
      </c>
      <c r="E2259" s="46">
        <f>IF(OR(B2259="",C2259="",D2259=""),"",D2259*100000+(C2259-DATE(2000,1,1))+ROW()/100000)</f>
        <v/>
      </c>
      <c r="F2259" s="46">
        <f>IF(E2259="","",IF(C2259&gt;WeekEndDate,"",E2259))</f>
        <v/>
      </c>
    </row>
    <row r="2260">
      <c r="A2260" t="inlineStr">
        <is>
          <t>Change Orders</t>
        </is>
      </c>
      <c r="B2260" s="46">
        <f>'Change Orders'!U225</f>
        <v/>
      </c>
      <c r="C2260" s="84">
        <f>'Change Orders'!S225</f>
        <v/>
      </c>
      <c r="D2260" s="46">
        <f>'Change Orders'!T225</f>
        <v/>
      </c>
      <c r="E2260" s="46">
        <f>IF(OR(B2260="",C2260="",D2260=""),"",D2260*100000+(C2260-DATE(2000,1,1))+ROW()/100000)</f>
        <v/>
      </c>
      <c r="F2260" s="46">
        <f>IF(E2260="","",IF(C2260&gt;WeekEndDate,"",E2260))</f>
        <v/>
      </c>
    </row>
    <row r="2261">
      <c r="A2261" t="inlineStr">
        <is>
          <t>Change Orders</t>
        </is>
      </c>
      <c r="B2261" s="46">
        <f>'Change Orders'!U226</f>
        <v/>
      </c>
      <c r="C2261" s="84">
        <f>'Change Orders'!S226</f>
        <v/>
      </c>
      <c r="D2261" s="46">
        <f>'Change Orders'!T226</f>
        <v/>
      </c>
      <c r="E2261" s="46">
        <f>IF(OR(B2261="",C2261="",D2261=""),"",D2261*100000+(C2261-DATE(2000,1,1))+ROW()/100000)</f>
        <v/>
      </c>
      <c r="F2261" s="46">
        <f>IF(E2261="","",IF(C2261&gt;WeekEndDate,"",E2261))</f>
        <v/>
      </c>
    </row>
    <row r="2262">
      <c r="A2262" t="inlineStr">
        <is>
          <t>Change Orders</t>
        </is>
      </c>
      <c r="B2262" s="46">
        <f>'Change Orders'!U227</f>
        <v/>
      </c>
      <c r="C2262" s="84">
        <f>'Change Orders'!S227</f>
        <v/>
      </c>
      <c r="D2262" s="46">
        <f>'Change Orders'!T227</f>
        <v/>
      </c>
      <c r="E2262" s="46">
        <f>IF(OR(B2262="",C2262="",D2262=""),"",D2262*100000+(C2262-DATE(2000,1,1))+ROW()/100000)</f>
        <v/>
      </c>
      <c r="F2262" s="46">
        <f>IF(E2262="","",IF(C2262&gt;WeekEndDate,"",E2262))</f>
        <v/>
      </c>
    </row>
    <row r="2263">
      <c r="A2263" t="inlineStr">
        <is>
          <t>Change Orders</t>
        </is>
      </c>
      <c r="B2263" s="46">
        <f>'Change Orders'!U228</f>
        <v/>
      </c>
      <c r="C2263" s="84">
        <f>'Change Orders'!S228</f>
        <v/>
      </c>
      <c r="D2263" s="46">
        <f>'Change Orders'!T228</f>
        <v/>
      </c>
      <c r="E2263" s="46">
        <f>IF(OR(B2263="",C2263="",D2263=""),"",D2263*100000+(C2263-DATE(2000,1,1))+ROW()/100000)</f>
        <v/>
      </c>
      <c r="F2263" s="46">
        <f>IF(E2263="","",IF(C2263&gt;WeekEndDate,"",E2263))</f>
        <v/>
      </c>
    </row>
    <row r="2264">
      <c r="A2264" t="inlineStr">
        <is>
          <t>Change Orders</t>
        </is>
      </c>
      <c r="B2264" s="46">
        <f>'Change Orders'!U229</f>
        <v/>
      </c>
      <c r="C2264" s="84">
        <f>'Change Orders'!S229</f>
        <v/>
      </c>
      <c r="D2264" s="46">
        <f>'Change Orders'!T229</f>
        <v/>
      </c>
      <c r="E2264" s="46">
        <f>IF(OR(B2264="",C2264="",D2264=""),"",D2264*100000+(C2264-DATE(2000,1,1))+ROW()/100000)</f>
        <v/>
      </c>
      <c r="F2264" s="46">
        <f>IF(E2264="","",IF(C2264&gt;WeekEndDate,"",E2264))</f>
        <v/>
      </c>
    </row>
    <row r="2265">
      <c r="A2265" t="inlineStr">
        <is>
          <t>Change Orders</t>
        </is>
      </c>
      <c r="B2265" s="46">
        <f>'Change Orders'!U230</f>
        <v/>
      </c>
      <c r="C2265" s="84">
        <f>'Change Orders'!S230</f>
        <v/>
      </c>
      <c r="D2265" s="46">
        <f>'Change Orders'!T230</f>
        <v/>
      </c>
      <c r="E2265" s="46">
        <f>IF(OR(B2265="",C2265="",D2265=""),"",D2265*100000+(C2265-DATE(2000,1,1))+ROW()/100000)</f>
        <v/>
      </c>
      <c r="F2265" s="46">
        <f>IF(E2265="","",IF(C2265&gt;WeekEndDate,"",E2265))</f>
        <v/>
      </c>
    </row>
    <row r="2266">
      <c r="A2266" t="inlineStr">
        <is>
          <t>Change Orders</t>
        </is>
      </c>
      <c r="B2266" s="46">
        <f>'Change Orders'!U231</f>
        <v/>
      </c>
      <c r="C2266" s="84">
        <f>'Change Orders'!S231</f>
        <v/>
      </c>
      <c r="D2266" s="46">
        <f>'Change Orders'!T231</f>
        <v/>
      </c>
      <c r="E2266" s="46">
        <f>IF(OR(B2266="",C2266="",D2266=""),"",D2266*100000+(C2266-DATE(2000,1,1))+ROW()/100000)</f>
        <v/>
      </c>
      <c r="F2266" s="46">
        <f>IF(E2266="","",IF(C2266&gt;WeekEndDate,"",E2266))</f>
        <v/>
      </c>
    </row>
    <row r="2267">
      <c r="A2267" t="inlineStr">
        <is>
          <t>Change Orders</t>
        </is>
      </c>
      <c r="B2267" s="46">
        <f>'Change Orders'!U232</f>
        <v/>
      </c>
      <c r="C2267" s="84">
        <f>'Change Orders'!S232</f>
        <v/>
      </c>
      <c r="D2267" s="46">
        <f>'Change Orders'!T232</f>
        <v/>
      </c>
      <c r="E2267" s="46">
        <f>IF(OR(B2267="",C2267="",D2267=""),"",D2267*100000+(C2267-DATE(2000,1,1))+ROW()/100000)</f>
        <v/>
      </c>
      <c r="F2267" s="46">
        <f>IF(E2267="","",IF(C2267&gt;WeekEndDate,"",E2267))</f>
        <v/>
      </c>
    </row>
    <row r="2268">
      <c r="A2268" t="inlineStr">
        <is>
          <t>Change Orders</t>
        </is>
      </c>
      <c r="B2268" s="46">
        <f>'Change Orders'!U233</f>
        <v/>
      </c>
      <c r="C2268" s="84">
        <f>'Change Orders'!S233</f>
        <v/>
      </c>
      <c r="D2268" s="46">
        <f>'Change Orders'!T233</f>
        <v/>
      </c>
      <c r="E2268" s="46">
        <f>IF(OR(B2268="",C2268="",D2268=""),"",D2268*100000+(C2268-DATE(2000,1,1))+ROW()/100000)</f>
        <v/>
      </c>
      <c r="F2268" s="46">
        <f>IF(E2268="","",IF(C2268&gt;WeekEndDate,"",E2268))</f>
        <v/>
      </c>
    </row>
    <row r="2269">
      <c r="A2269" t="inlineStr">
        <is>
          <t>Change Orders</t>
        </is>
      </c>
      <c r="B2269" s="46">
        <f>'Change Orders'!U234</f>
        <v/>
      </c>
      <c r="C2269" s="84">
        <f>'Change Orders'!S234</f>
        <v/>
      </c>
      <c r="D2269" s="46">
        <f>'Change Orders'!T234</f>
        <v/>
      </c>
      <c r="E2269" s="46">
        <f>IF(OR(B2269="",C2269="",D2269=""),"",D2269*100000+(C2269-DATE(2000,1,1))+ROW()/100000)</f>
        <v/>
      </c>
      <c r="F2269" s="46">
        <f>IF(E2269="","",IF(C2269&gt;WeekEndDate,"",E2269))</f>
        <v/>
      </c>
    </row>
    <row r="2270">
      <c r="A2270" t="inlineStr">
        <is>
          <t>Change Orders</t>
        </is>
      </c>
      <c r="B2270" s="46">
        <f>'Change Orders'!U235</f>
        <v/>
      </c>
      <c r="C2270" s="84">
        <f>'Change Orders'!S235</f>
        <v/>
      </c>
      <c r="D2270" s="46">
        <f>'Change Orders'!T235</f>
        <v/>
      </c>
      <c r="E2270" s="46">
        <f>IF(OR(B2270="",C2270="",D2270=""),"",D2270*100000+(C2270-DATE(2000,1,1))+ROW()/100000)</f>
        <v/>
      </c>
      <c r="F2270" s="46">
        <f>IF(E2270="","",IF(C2270&gt;WeekEndDate,"",E2270))</f>
        <v/>
      </c>
    </row>
    <row r="2271">
      <c r="A2271" t="inlineStr">
        <is>
          <t>Change Orders</t>
        </is>
      </c>
      <c r="B2271" s="46">
        <f>'Change Orders'!U236</f>
        <v/>
      </c>
      <c r="C2271" s="84">
        <f>'Change Orders'!S236</f>
        <v/>
      </c>
      <c r="D2271" s="46">
        <f>'Change Orders'!T236</f>
        <v/>
      </c>
      <c r="E2271" s="46">
        <f>IF(OR(B2271="",C2271="",D2271=""),"",D2271*100000+(C2271-DATE(2000,1,1))+ROW()/100000)</f>
        <v/>
      </c>
      <c r="F2271" s="46">
        <f>IF(E2271="","",IF(C2271&gt;WeekEndDate,"",E2271))</f>
        <v/>
      </c>
    </row>
    <row r="2272">
      <c r="A2272" t="inlineStr">
        <is>
          <t>Change Orders</t>
        </is>
      </c>
      <c r="B2272" s="46">
        <f>'Change Orders'!U237</f>
        <v/>
      </c>
      <c r="C2272" s="84">
        <f>'Change Orders'!S237</f>
        <v/>
      </c>
      <c r="D2272" s="46">
        <f>'Change Orders'!T237</f>
        <v/>
      </c>
      <c r="E2272" s="46">
        <f>IF(OR(B2272="",C2272="",D2272=""),"",D2272*100000+(C2272-DATE(2000,1,1))+ROW()/100000)</f>
        <v/>
      </c>
      <c r="F2272" s="46">
        <f>IF(E2272="","",IF(C2272&gt;WeekEndDate,"",E2272))</f>
        <v/>
      </c>
    </row>
    <row r="2273">
      <c r="A2273" t="inlineStr">
        <is>
          <t>Change Orders</t>
        </is>
      </c>
      <c r="B2273" s="46">
        <f>'Change Orders'!U238</f>
        <v/>
      </c>
      <c r="C2273" s="84">
        <f>'Change Orders'!S238</f>
        <v/>
      </c>
      <c r="D2273" s="46">
        <f>'Change Orders'!T238</f>
        <v/>
      </c>
      <c r="E2273" s="46">
        <f>IF(OR(B2273="",C2273="",D2273=""),"",D2273*100000+(C2273-DATE(2000,1,1))+ROW()/100000)</f>
        <v/>
      </c>
      <c r="F2273" s="46">
        <f>IF(E2273="","",IF(C2273&gt;WeekEndDate,"",E2273))</f>
        <v/>
      </c>
    </row>
    <row r="2274">
      <c r="A2274" t="inlineStr">
        <is>
          <t>Change Orders</t>
        </is>
      </c>
      <c r="B2274" s="46">
        <f>'Change Orders'!U239</f>
        <v/>
      </c>
      <c r="C2274" s="84">
        <f>'Change Orders'!S239</f>
        <v/>
      </c>
      <c r="D2274" s="46">
        <f>'Change Orders'!T239</f>
        <v/>
      </c>
      <c r="E2274" s="46">
        <f>IF(OR(B2274="",C2274="",D2274=""),"",D2274*100000+(C2274-DATE(2000,1,1))+ROW()/100000)</f>
        <v/>
      </c>
      <c r="F2274" s="46">
        <f>IF(E2274="","",IF(C2274&gt;WeekEndDate,"",E2274))</f>
        <v/>
      </c>
    </row>
    <row r="2275">
      <c r="A2275" t="inlineStr">
        <is>
          <t>Change Orders</t>
        </is>
      </c>
      <c r="B2275" s="46">
        <f>'Change Orders'!U240</f>
        <v/>
      </c>
      <c r="C2275" s="84">
        <f>'Change Orders'!S240</f>
        <v/>
      </c>
      <c r="D2275" s="46">
        <f>'Change Orders'!T240</f>
        <v/>
      </c>
      <c r="E2275" s="46">
        <f>IF(OR(B2275="",C2275="",D2275=""),"",D2275*100000+(C2275-DATE(2000,1,1))+ROW()/100000)</f>
        <v/>
      </c>
      <c r="F2275" s="46">
        <f>IF(E2275="","",IF(C2275&gt;WeekEndDate,"",E2275))</f>
        <v/>
      </c>
    </row>
    <row r="2276">
      <c r="A2276" t="inlineStr">
        <is>
          <t>Change Orders</t>
        </is>
      </c>
      <c r="B2276" s="46">
        <f>'Change Orders'!U241</f>
        <v/>
      </c>
      <c r="C2276" s="84">
        <f>'Change Orders'!S241</f>
        <v/>
      </c>
      <c r="D2276" s="46">
        <f>'Change Orders'!T241</f>
        <v/>
      </c>
      <c r="E2276" s="46">
        <f>IF(OR(B2276="",C2276="",D2276=""),"",D2276*100000+(C2276-DATE(2000,1,1))+ROW()/100000)</f>
        <v/>
      </c>
      <c r="F2276" s="46">
        <f>IF(E2276="","",IF(C2276&gt;WeekEndDate,"",E2276))</f>
        <v/>
      </c>
    </row>
    <row r="2277">
      <c r="A2277" t="inlineStr">
        <is>
          <t>Change Orders</t>
        </is>
      </c>
      <c r="B2277" s="46">
        <f>'Change Orders'!U242</f>
        <v/>
      </c>
      <c r="C2277" s="84">
        <f>'Change Orders'!S242</f>
        <v/>
      </c>
      <c r="D2277" s="46">
        <f>'Change Orders'!T242</f>
        <v/>
      </c>
      <c r="E2277" s="46">
        <f>IF(OR(B2277="",C2277="",D2277=""),"",D2277*100000+(C2277-DATE(2000,1,1))+ROW()/100000)</f>
        <v/>
      </c>
      <c r="F2277" s="46">
        <f>IF(E2277="","",IF(C2277&gt;WeekEndDate,"",E2277))</f>
        <v/>
      </c>
    </row>
    <row r="2278">
      <c r="A2278" t="inlineStr">
        <is>
          <t>Change Orders</t>
        </is>
      </c>
      <c r="B2278" s="46">
        <f>'Change Orders'!U243</f>
        <v/>
      </c>
      <c r="C2278" s="84">
        <f>'Change Orders'!S243</f>
        <v/>
      </c>
      <c r="D2278" s="46">
        <f>'Change Orders'!T243</f>
        <v/>
      </c>
      <c r="E2278" s="46">
        <f>IF(OR(B2278="",C2278="",D2278=""),"",D2278*100000+(C2278-DATE(2000,1,1))+ROW()/100000)</f>
        <v/>
      </c>
      <c r="F2278" s="46">
        <f>IF(E2278="","",IF(C2278&gt;WeekEndDate,"",E2278))</f>
        <v/>
      </c>
    </row>
    <row r="2279">
      <c r="A2279" t="inlineStr">
        <is>
          <t>Change Orders</t>
        </is>
      </c>
      <c r="B2279" s="46">
        <f>'Change Orders'!U244</f>
        <v/>
      </c>
      <c r="C2279" s="84">
        <f>'Change Orders'!S244</f>
        <v/>
      </c>
      <c r="D2279" s="46">
        <f>'Change Orders'!T244</f>
        <v/>
      </c>
      <c r="E2279" s="46">
        <f>IF(OR(B2279="",C2279="",D2279=""),"",D2279*100000+(C2279-DATE(2000,1,1))+ROW()/100000)</f>
        <v/>
      </c>
      <c r="F2279" s="46">
        <f>IF(E2279="","",IF(C2279&gt;WeekEndDate,"",E2279))</f>
        <v/>
      </c>
    </row>
    <row r="2280">
      <c r="A2280" t="inlineStr">
        <is>
          <t>Change Orders</t>
        </is>
      </c>
      <c r="B2280" s="46">
        <f>'Change Orders'!U245</f>
        <v/>
      </c>
      <c r="C2280" s="84">
        <f>'Change Orders'!S245</f>
        <v/>
      </c>
      <c r="D2280" s="46">
        <f>'Change Orders'!T245</f>
        <v/>
      </c>
      <c r="E2280" s="46">
        <f>IF(OR(B2280="",C2280="",D2280=""),"",D2280*100000+(C2280-DATE(2000,1,1))+ROW()/100000)</f>
        <v/>
      </c>
      <c r="F2280" s="46">
        <f>IF(E2280="","",IF(C2280&gt;WeekEndDate,"",E2280))</f>
        <v/>
      </c>
    </row>
    <row r="2281">
      <c r="A2281" t="inlineStr">
        <is>
          <t>Change Orders</t>
        </is>
      </c>
      <c r="B2281" s="46">
        <f>'Change Orders'!U246</f>
        <v/>
      </c>
      <c r="C2281" s="84">
        <f>'Change Orders'!S246</f>
        <v/>
      </c>
      <c r="D2281" s="46">
        <f>'Change Orders'!T246</f>
        <v/>
      </c>
      <c r="E2281" s="46">
        <f>IF(OR(B2281="",C2281="",D2281=""),"",D2281*100000+(C2281-DATE(2000,1,1))+ROW()/100000)</f>
        <v/>
      </c>
      <c r="F2281" s="46">
        <f>IF(E2281="","",IF(C2281&gt;WeekEndDate,"",E2281))</f>
        <v/>
      </c>
    </row>
    <row r="2282">
      <c r="A2282" t="inlineStr">
        <is>
          <t>Change Orders</t>
        </is>
      </c>
      <c r="B2282" s="46">
        <f>'Change Orders'!U247</f>
        <v/>
      </c>
      <c r="C2282" s="84">
        <f>'Change Orders'!S247</f>
        <v/>
      </c>
      <c r="D2282" s="46">
        <f>'Change Orders'!T247</f>
        <v/>
      </c>
      <c r="E2282" s="46">
        <f>IF(OR(B2282="",C2282="",D2282=""),"",D2282*100000+(C2282-DATE(2000,1,1))+ROW()/100000)</f>
        <v/>
      </c>
      <c r="F2282" s="46">
        <f>IF(E2282="","",IF(C2282&gt;WeekEndDate,"",E2282))</f>
        <v/>
      </c>
    </row>
    <row r="2283">
      <c r="A2283" t="inlineStr">
        <is>
          <t>Change Orders</t>
        </is>
      </c>
      <c r="B2283" s="46">
        <f>'Change Orders'!U248</f>
        <v/>
      </c>
      <c r="C2283" s="84">
        <f>'Change Orders'!S248</f>
        <v/>
      </c>
      <c r="D2283" s="46">
        <f>'Change Orders'!T248</f>
        <v/>
      </c>
      <c r="E2283" s="46">
        <f>IF(OR(B2283="",C2283="",D2283=""),"",D2283*100000+(C2283-DATE(2000,1,1))+ROW()/100000)</f>
        <v/>
      </c>
      <c r="F2283" s="46">
        <f>IF(E2283="","",IF(C2283&gt;WeekEndDate,"",E2283))</f>
        <v/>
      </c>
    </row>
    <row r="2284">
      <c r="A2284" t="inlineStr">
        <is>
          <t>Change Orders</t>
        </is>
      </c>
      <c r="B2284" s="46">
        <f>'Change Orders'!U249</f>
        <v/>
      </c>
      <c r="C2284" s="84">
        <f>'Change Orders'!S249</f>
        <v/>
      </c>
      <c r="D2284" s="46">
        <f>'Change Orders'!T249</f>
        <v/>
      </c>
      <c r="E2284" s="46">
        <f>IF(OR(B2284="",C2284="",D2284=""),"",D2284*100000+(C2284-DATE(2000,1,1))+ROW()/100000)</f>
        <v/>
      </c>
      <c r="F2284" s="46">
        <f>IF(E2284="","",IF(C2284&gt;WeekEndDate,"",E2284))</f>
        <v/>
      </c>
    </row>
    <row r="2285">
      <c r="A2285" t="inlineStr">
        <is>
          <t>Change Orders</t>
        </is>
      </c>
      <c r="B2285" s="46">
        <f>'Change Orders'!U250</f>
        <v/>
      </c>
      <c r="C2285" s="84">
        <f>'Change Orders'!S250</f>
        <v/>
      </c>
      <c r="D2285" s="46">
        <f>'Change Orders'!T250</f>
        <v/>
      </c>
      <c r="E2285" s="46">
        <f>IF(OR(B2285="",C2285="",D2285=""),"",D2285*100000+(C2285-DATE(2000,1,1))+ROW()/100000)</f>
        <v/>
      </c>
      <c r="F2285" s="46">
        <f>IF(E2285="","",IF(C2285&gt;WeekEndDate,"",E2285))</f>
        <v/>
      </c>
    </row>
    <row r="2286">
      <c r="A2286" t="inlineStr">
        <is>
          <t>Change Orders</t>
        </is>
      </c>
      <c r="B2286" s="46">
        <f>'Change Orders'!U251</f>
        <v/>
      </c>
      <c r="C2286" s="84">
        <f>'Change Orders'!S251</f>
        <v/>
      </c>
      <c r="D2286" s="46">
        <f>'Change Orders'!T251</f>
        <v/>
      </c>
      <c r="E2286" s="46">
        <f>IF(OR(B2286="",C2286="",D2286=""),"",D2286*100000+(C2286-DATE(2000,1,1))+ROW()/100000)</f>
        <v/>
      </c>
      <c r="F2286" s="46">
        <f>IF(E2286="","",IF(C2286&gt;WeekEndDate,"",E2286))</f>
        <v/>
      </c>
    </row>
    <row r="2287">
      <c r="A2287" t="inlineStr">
        <is>
          <t>Change Orders</t>
        </is>
      </c>
      <c r="B2287" s="46">
        <f>'Change Orders'!U252</f>
        <v/>
      </c>
      <c r="C2287" s="84">
        <f>'Change Orders'!S252</f>
        <v/>
      </c>
      <c r="D2287" s="46">
        <f>'Change Orders'!T252</f>
        <v/>
      </c>
      <c r="E2287" s="46">
        <f>IF(OR(B2287="",C2287="",D2287=""),"",D2287*100000+(C2287-DATE(2000,1,1))+ROW()/100000)</f>
        <v/>
      </c>
      <c r="F2287" s="46">
        <f>IF(E2287="","",IF(C2287&gt;WeekEndDate,"",E2287))</f>
        <v/>
      </c>
    </row>
    <row r="2288">
      <c r="A2288" t="inlineStr">
        <is>
          <t>Change Orders</t>
        </is>
      </c>
      <c r="B2288" s="46">
        <f>'Change Orders'!U253</f>
        <v/>
      </c>
      <c r="C2288" s="84">
        <f>'Change Orders'!S253</f>
        <v/>
      </c>
      <c r="D2288" s="46">
        <f>'Change Orders'!T253</f>
        <v/>
      </c>
      <c r="E2288" s="46">
        <f>IF(OR(B2288="",C2288="",D2288=""),"",D2288*100000+(C2288-DATE(2000,1,1))+ROW()/100000)</f>
        <v/>
      </c>
      <c r="F2288" s="46">
        <f>IF(E2288="","",IF(C2288&gt;WeekEndDate,"",E2288))</f>
        <v/>
      </c>
    </row>
    <row r="2289">
      <c r="A2289" t="inlineStr">
        <is>
          <t>Change Orders</t>
        </is>
      </c>
      <c r="B2289" s="46">
        <f>'Change Orders'!U254</f>
        <v/>
      </c>
      <c r="C2289" s="84">
        <f>'Change Orders'!S254</f>
        <v/>
      </c>
      <c r="D2289" s="46">
        <f>'Change Orders'!T254</f>
        <v/>
      </c>
      <c r="E2289" s="46">
        <f>IF(OR(B2289="",C2289="",D2289=""),"",D2289*100000+(C2289-DATE(2000,1,1))+ROW()/100000)</f>
        <v/>
      </c>
      <c r="F2289" s="46">
        <f>IF(E2289="","",IF(C2289&gt;WeekEndDate,"",E2289))</f>
        <v/>
      </c>
    </row>
    <row r="2290">
      <c r="A2290" t="inlineStr">
        <is>
          <t>Change Orders</t>
        </is>
      </c>
      <c r="B2290" s="46">
        <f>'Change Orders'!U255</f>
        <v/>
      </c>
      <c r="C2290" s="84">
        <f>'Change Orders'!S255</f>
        <v/>
      </c>
      <c r="D2290" s="46">
        <f>'Change Orders'!T255</f>
        <v/>
      </c>
      <c r="E2290" s="46">
        <f>IF(OR(B2290="",C2290="",D2290=""),"",D2290*100000+(C2290-DATE(2000,1,1))+ROW()/100000)</f>
        <v/>
      </c>
      <c r="F2290" s="46">
        <f>IF(E2290="","",IF(C2290&gt;WeekEndDate,"",E2290))</f>
        <v/>
      </c>
    </row>
    <row r="2291">
      <c r="A2291" t="inlineStr">
        <is>
          <t>Change Orders</t>
        </is>
      </c>
      <c r="B2291" s="46">
        <f>'Change Orders'!U256</f>
        <v/>
      </c>
      <c r="C2291" s="84">
        <f>'Change Orders'!S256</f>
        <v/>
      </c>
      <c r="D2291" s="46">
        <f>'Change Orders'!T256</f>
        <v/>
      </c>
      <c r="E2291" s="46">
        <f>IF(OR(B2291="",C2291="",D2291=""),"",D2291*100000+(C2291-DATE(2000,1,1))+ROW()/100000)</f>
        <v/>
      </c>
      <c r="F2291" s="46">
        <f>IF(E2291="","",IF(C2291&gt;WeekEndDate,"",E2291))</f>
        <v/>
      </c>
    </row>
    <row r="2292">
      <c r="A2292" t="inlineStr">
        <is>
          <t>Change Orders</t>
        </is>
      </c>
      <c r="B2292" s="46">
        <f>'Change Orders'!U257</f>
        <v/>
      </c>
      <c r="C2292" s="84">
        <f>'Change Orders'!S257</f>
        <v/>
      </c>
      <c r="D2292" s="46">
        <f>'Change Orders'!T257</f>
        <v/>
      </c>
      <c r="E2292" s="46">
        <f>IF(OR(B2292="",C2292="",D2292=""),"",D2292*100000+(C2292-DATE(2000,1,1))+ROW()/100000)</f>
        <v/>
      </c>
      <c r="F2292" s="46">
        <f>IF(E2292="","",IF(C2292&gt;WeekEndDate,"",E2292))</f>
        <v/>
      </c>
    </row>
    <row r="2293">
      <c r="A2293" t="inlineStr">
        <is>
          <t>Change Orders</t>
        </is>
      </c>
      <c r="B2293" s="46">
        <f>'Change Orders'!U258</f>
        <v/>
      </c>
      <c r="C2293" s="84">
        <f>'Change Orders'!S258</f>
        <v/>
      </c>
      <c r="D2293" s="46">
        <f>'Change Orders'!T258</f>
        <v/>
      </c>
      <c r="E2293" s="46">
        <f>IF(OR(B2293="",C2293="",D2293=""),"",D2293*100000+(C2293-DATE(2000,1,1))+ROW()/100000)</f>
        <v/>
      </c>
      <c r="F2293" s="46">
        <f>IF(E2293="","",IF(C2293&gt;WeekEndDate,"",E2293))</f>
        <v/>
      </c>
    </row>
    <row r="2294">
      <c r="A2294" t="inlineStr">
        <is>
          <t>Change Orders</t>
        </is>
      </c>
      <c r="B2294" s="46">
        <f>'Change Orders'!U259</f>
        <v/>
      </c>
      <c r="C2294" s="84">
        <f>'Change Orders'!S259</f>
        <v/>
      </c>
      <c r="D2294" s="46">
        <f>'Change Orders'!T259</f>
        <v/>
      </c>
      <c r="E2294" s="46">
        <f>IF(OR(B2294="",C2294="",D2294=""),"",D2294*100000+(C2294-DATE(2000,1,1))+ROW()/100000)</f>
        <v/>
      </c>
      <c r="F2294" s="46">
        <f>IF(E2294="","",IF(C2294&gt;WeekEndDate,"",E2294))</f>
        <v/>
      </c>
    </row>
    <row r="2295">
      <c r="A2295" t="inlineStr">
        <is>
          <t>Change Orders</t>
        </is>
      </c>
      <c r="B2295" s="46">
        <f>'Change Orders'!U260</f>
        <v/>
      </c>
      <c r="C2295" s="84">
        <f>'Change Orders'!S260</f>
        <v/>
      </c>
      <c r="D2295" s="46">
        <f>'Change Orders'!T260</f>
        <v/>
      </c>
      <c r="E2295" s="46">
        <f>IF(OR(B2295="",C2295="",D2295=""),"",D2295*100000+(C2295-DATE(2000,1,1))+ROW()/100000)</f>
        <v/>
      </c>
      <c r="F2295" s="46">
        <f>IF(E2295="","",IF(C2295&gt;WeekEndDate,"",E2295))</f>
        <v/>
      </c>
    </row>
    <row r="2296">
      <c r="A2296" t="inlineStr">
        <is>
          <t>Change Orders</t>
        </is>
      </c>
      <c r="B2296" s="46">
        <f>'Change Orders'!U261</f>
        <v/>
      </c>
      <c r="C2296" s="84">
        <f>'Change Orders'!S261</f>
        <v/>
      </c>
      <c r="D2296" s="46">
        <f>'Change Orders'!T261</f>
        <v/>
      </c>
      <c r="E2296" s="46">
        <f>IF(OR(B2296="",C2296="",D2296=""),"",D2296*100000+(C2296-DATE(2000,1,1))+ROW()/100000)</f>
        <v/>
      </c>
      <c r="F2296" s="46">
        <f>IF(E2296="","",IF(C2296&gt;WeekEndDate,"",E2296))</f>
        <v/>
      </c>
    </row>
    <row r="2297">
      <c r="A2297" t="inlineStr">
        <is>
          <t>Change Orders</t>
        </is>
      </c>
      <c r="B2297" s="46">
        <f>'Change Orders'!U262</f>
        <v/>
      </c>
      <c r="C2297" s="84">
        <f>'Change Orders'!S262</f>
        <v/>
      </c>
      <c r="D2297" s="46">
        <f>'Change Orders'!T262</f>
        <v/>
      </c>
      <c r="E2297" s="46">
        <f>IF(OR(B2297="",C2297="",D2297=""),"",D2297*100000+(C2297-DATE(2000,1,1))+ROW()/100000)</f>
        <v/>
      </c>
      <c r="F2297" s="46">
        <f>IF(E2297="","",IF(C2297&gt;WeekEndDate,"",E2297))</f>
        <v/>
      </c>
    </row>
    <row r="2298">
      <c r="A2298" t="inlineStr">
        <is>
          <t>Change Orders</t>
        </is>
      </c>
      <c r="B2298" s="46">
        <f>'Change Orders'!U263</f>
        <v/>
      </c>
      <c r="C2298" s="84">
        <f>'Change Orders'!S263</f>
        <v/>
      </c>
      <c r="D2298" s="46">
        <f>'Change Orders'!T263</f>
        <v/>
      </c>
      <c r="E2298" s="46">
        <f>IF(OR(B2298="",C2298="",D2298=""),"",D2298*100000+(C2298-DATE(2000,1,1))+ROW()/100000)</f>
        <v/>
      </c>
      <c r="F2298" s="46">
        <f>IF(E2298="","",IF(C2298&gt;WeekEndDate,"",E2298))</f>
        <v/>
      </c>
    </row>
    <row r="2299">
      <c r="A2299" t="inlineStr">
        <is>
          <t>Change Orders</t>
        </is>
      </c>
      <c r="B2299" s="46">
        <f>'Change Orders'!U264</f>
        <v/>
      </c>
      <c r="C2299" s="84">
        <f>'Change Orders'!S264</f>
        <v/>
      </c>
      <c r="D2299" s="46">
        <f>'Change Orders'!T264</f>
        <v/>
      </c>
      <c r="E2299" s="46">
        <f>IF(OR(B2299="",C2299="",D2299=""),"",D2299*100000+(C2299-DATE(2000,1,1))+ROW()/100000)</f>
        <v/>
      </c>
      <c r="F2299" s="46">
        <f>IF(E2299="","",IF(C2299&gt;WeekEndDate,"",E2299))</f>
        <v/>
      </c>
    </row>
    <row r="2300">
      <c r="A2300" t="inlineStr">
        <is>
          <t>Change Orders</t>
        </is>
      </c>
      <c r="B2300" s="46">
        <f>'Change Orders'!U265</f>
        <v/>
      </c>
      <c r="C2300" s="84">
        <f>'Change Orders'!S265</f>
        <v/>
      </c>
      <c r="D2300" s="46">
        <f>'Change Orders'!T265</f>
        <v/>
      </c>
      <c r="E2300" s="46">
        <f>IF(OR(B2300="",C2300="",D2300=""),"",D2300*100000+(C2300-DATE(2000,1,1))+ROW()/100000)</f>
        <v/>
      </c>
      <c r="F2300" s="46">
        <f>IF(E2300="","",IF(C2300&gt;WeekEndDate,"",E2300))</f>
        <v/>
      </c>
    </row>
    <row r="2301">
      <c r="A2301" t="inlineStr">
        <is>
          <t>Change Orders</t>
        </is>
      </c>
      <c r="B2301" s="46">
        <f>'Change Orders'!U266</f>
        <v/>
      </c>
      <c r="C2301" s="84">
        <f>'Change Orders'!S266</f>
        <v/>
      </c>
      <c r="D2301" s="46">
        <f>'Change Orders'!T266</f>
        <v/>
      </c>
      <c r="E2301" s="46">
        <f>IF(OR(B2301="",C2301="",D2301=""),"",D2301*100000+(C2301-DATE(2000,1,1))+ROW()/100000)</f>
        <v/>
      </c>
      <c r="F2301" s="46">
        <f>IF(E2301="","",IF(C2301&gt;WeekEndDate,"",E2301))</f>
        <v/>
      </c>
    </row>
    <row r="2302">
      <c r="A2302" t="inlineStr">
        <is>
          <t>Change Orders</t>
        </is>
      </c>
      <c r="B2302" s="46">
        <f>'Change Orders'!U267</f>
        <v/>
      </c>
      <c r="C2302" s="84">
        <f>'Change Orders'!S267</f>
        <v/>
      </c>
      <c r="D2302" s="46">
        <f>'Change Orders'!T267</f>
        <v/>
      </c>
      <c r="E2302" s="46">
        <f>IF(OR(B2302="",C2302="",D2302=""),"",D2302*100000+(C2302-DATE(2000,1,1))+ROW()/100000)</f>
        <v/>
      </c>
      <c r="F2302" s="46">
        <f>IF(E2302="","",IF(C2302&gt;WeekEndDate,"",E2302))</f>
        <v/>
      </c>
    </row>
    <row r="2303">
      <c r="A2303" t="inlineStr">
        <is>
          <t>Change Orders</t>
        </is>
      </c>
      <c r="B2303" s="46">
        <f>'Change Orders'!U268</f>
        <v/>
      </c>
      <c r="C2303" s="84">
        <f>'Change Orders'!S268</f>
        <v/>
      </c>
      <c r="D2303" s="46">
        <f>'Change Orders'!T268</f>
        <v/>
      </c>
      <c r="E2303" s="46">
        <f>IF(OR(B2303="",C2303="",D2303=""),"",D2303*100000+(C2303-DATE(2000,1,1))+ROW()/100000)</f>
        <v/>
      </c>
      <c r="F2303" s="46">
        <f>IF(E2303="","",IF(C2303&gt;WeekEndDate,"",E2303))</f>
        <v/>
      </c>
    </row>
    <row r="2304">
      <c r="A2304" t="inlineStr">
        <is>
          <t>Change Orders</t>
        </is>
      </c>
      <c r="B2304" s="46">
        <f>'Change Orders'!U269</f>
        <v/>
      </c>
      <c r="C2304" s="84">
        <f>'Change Orders'!S269</f>
        <v/>
      </c>
      <c r="D2304" s="46">
        <f>'Change Orders'!T269</f>
        <v/>
      </c>
      <c r="E2304" s="46">
        <f>IF(OR(B2304="",C2304="",D2304=""),"",D2304*100000+(C2304-DATE(2000,1,1))+ROW()/100000)</f>
        <v/>
      </c>
      <c r="F2304" s="46">
        <f>IF(E2304="","",IF(C2304&gt;WeekEndDate,"",E2304))</f>
        <v/>
      </c>
    </row>
    <row r="2305">
      <c r="A2305" t="inlineStr">
        <is>
          <t>Change Orders</t>
        </is>
      </c>
      <c r="B2305" s="46">
        <f>'Change Orders'!U270</f>
        <v/>
      </c>
      <c r="C2305" s="84">
        <f>'Change Orders'!S270</f>
        <v/>
      </c>
      <c r="D2305" s="46">
        <f>'Change Orders'!T270</f>
        <v/>
      </c>
      <c r="E2305" s="46">
        <f>IF(OR(B2305="",C2305="",D2305=""),"",D2305*100000+(C2305-DATE(2000,1,1))+ROW()/100000)</f>
        <v/>
      </c>
      <c r="F2305" s="46">
        <f>IF(E2305="","",IF(C2305&gt;WeekEndDate,"",E2305))</f>
        <v/>
      </c>
    </row>
    <row r="2306">
      <c r="A2306" t="inlineStr">
        <is>
          <t>Change Orders</t>
        </is>
      </c>
      <c r="B2306" s="46">
        <f>'Change Orders'!U271</f>
        <v/>
      </c>
      <c r="C2306" s="84">
        <f>'Change Orders'!S271</f>
        <v/>
      </c>
      <c r="D2306" s="46">
        <f>'Change Orders'!T271</f>
        <v/>
      </c>
      <c r="E2306" s="46">
        <f>IF(OR(B2306="",C2306="",D2306=""),"",D2306*100000+(C2306-DATE(2000,1,1))+ROW()/100000)</f>
        <v/>
      </c>
      <c r="F2306" s="46">
        <f>IF(E2306="","",IF(C2306&gt;WeekEndDate,"",E2306))</f>
        <v/>
      </c>
    </row>
    <row r="2307">
      <c r="A2307" t="inlineStr">
        <is>
          <t>Change Orders</t>
        </is>
      </c>
      <c r="B2307" s="46">
        <f>'Change Orders'!U272</f>
        <v/>
      </c>
      <c r="C2307" s="84">
        <f>'Change Orders'!S272</f>
        <v/>
      </c>
      <c r="D2307" s="46">
        <f>'Change Orders'!T272</f>
        <v/>
      </c>
      <c r="E2307" s="46">
        <f>IF(OR(B2307="",C2307="",D2307=""),"",D2307*100000+(C2307-DATE(2000,1,1))+ROW()/100000)</f>
        <v/>
      </c>
      <c r="F2307" s="46">
        <f>IF(E2307="","",IF(C2307&gt;WeekEndDate,"",E2307))</f>
        <v/>
      </c>
    </row>
    <row r="2308">
      <c r="A2308" t="inlineStr">
        <is>
          <t>Change Orders</t>
        </is>
      </c>
      <c r="B2308" s="46">
        <f>'Change Orders'!U273</f>
        <v/>
      </c>
      <c r="C2308" s="84">
        <f>'Change Orders'!S273</f>
        <v/>
      </c>
      <c r="D2308" s="46">
        <f>'Change Orders'!T273</f>
        <v/>
      </c>
      <c r="E2308" s="46">
        <f>IF(OR(B2308="",C2308="",D2308=""),"",D2308*100000+(C2308-DATE(2000,1,1))+ROW()/100000)</f>
        <v/>
      </c>
      <c r="F2308" s="46">
        <f>IF(E2308="","",IF(C2308&gt;WeekEndDate,"",E2308))</f>
        <v/>
      </c>
    </row>
    <row r="2309">
      <c r="A2309" t="inlineStr">
        <is>
          <t>Change Orders</t>
        </is>
      </c>
      <c r="B2309" s="46">
        <f>'Change Orders'!U274</f>
        <v/>
      </c>
      <c r="C2309" s="84">
        <f>'Change Orders'!S274</f>
        <v/>
      </c>
      <c r="D2309" s="46">
        <f>'Change Orders'!T274</f>
        <v/>
      </c>
      <c r="E2309" s="46">
        <f>IF(OR(B2309="",C2309="",D2309=""),"",D2309*100000+(C2309-DATE(2000,1,1))+ROW()/100000)</f>
        <v/>
      </c>
      <c r="F2309" s="46">
        <f>IF(E2309="","",IF(C2309&gt;WeekEndDate,"",E2309))</f>
        <v/>
      </c>
    </row>
    <row r="2310">
      <c r="A2310" t="inlineStr">
        <is>
          <t>Change Orders</t>
        </is>
      </c>
      <c r="B2310" s="46">
        <f>'Change Orders'!U275</f>
        <v/>
      </c>
      <c r="C2310" s="84">
        <f>'Change Orders'!S275</f>
        <v/>
      </c>
      <c r="D2310" s="46">
        <f>'Change Orders'!T275</f>
        <v/>
      </c>
      <c r="E2310" s="46">
        <f>IF(OR(B2310="",C2310="",D2310=""),"",D2310*100000+(C2310-DATE(2000,1,1))+ROW()/100000)</f>
        <v/>
      </c>
      <c r="F2310" s="46">
        <f>IF(E2310="","",IF(C2310&gt;WeekEndDate,"",E2310))</f>
        <v/>
      </c>
    </row>
    <row r="2311">
      <c r="A2311" t="inlineStr">
        <is>
          <t>Change Orders</t>
        </is>
      </c>
      <c r="B2311" s="46">
        <f>'Change Orders'!U276</f>
        <v/>
      </c>
      <c r="C2311" s="84">
        <f>'Change Orders'!S276</f>
        <v/>
      </c>
      <c r="D2311" s="46">
        <f>'Change Orders'!T276</f>
        <v/>
      </c>
      <c r="E2311" s="46">
        <f>IF(OR(B2311="",C2311="",D2311=""),"",D2311*100000+(C2311-DATE(2000,1,1))+ROW()/100000)</f>
        <v/>
      </c>
      <c r="F2311" s="46">
        <f>IF(E2311="","",IF(C2311&gt;WeekEndDate,"",E2311))</f>
        <v/>
      </c>
    </row>
    <row r="2312">
      <c r="A2312" t="inlineStr">
        <is>
          <t>Change Orders</t>
        </is>
      </c>
      <c r="B2312" s="46">
        <f>'Change Orders'!U277</f>
        <v/>
      </c>
      <c r="C2312" s="84">
        <f>'Change Orders'!S277</f>
        <v/>
      </c>
      <c r="D2312" s="46">
        <f>'Change Orders'!T277</f>
        <v/>
      </c>
      <c r="E2312" s="46">
        <f>IF(OR(B2312="",C2312="",D2312=""),"",D2312*100000+(C2312-DATE(2000,1,1))+ROW()/100000)</f>
        <v/>
      </c>
      <c r="F2312" s="46">
        <f>IF(E2312="","",IF(C2312&gt;WeekEndDate,"",E2312))</f>
        <v/>
      </c>
    </row>
    <row r="2313">
      <c r="A2313" t="inlineStr">
        <is>
          <t>Change Orders</t>
        </is>
      </c>
      <c r="B2313" s="46">
        <f>'Change Orders'!U278</f>
        <v/>
      </c>
      <c r="C2313" s="84">
        <f>'Change Orders'!S278</f>
        <v/>
      </c>
      <c r="D2313" s="46">
        <f>'Change Orders'!T278</f>
        <v/>
      </c>
      <c r="E2313" s="46">
        <f>IF(OR(B2313="",C2313="",D2313=""),"",D2313*100000+(C2313-DATE(2000,1,1))+ROW()/100000)</f>
        <v/>
      </c>
      <c r="F2313" s="46">
        <f>IF(E2313="","",IF(C2313&gt;WeekEndDate,"",E2313))</f>
        <v/>
      </c>
    </row>
    <row r="2314">
      <c r="A2314" t="inlineStr">
        <is>
          <t>Change Orders</t>
        </is>
      </c>
      <c r="B2314" s="46">
        <f>'Change Orders'!U279</f>
        <v/>
      </c>
      <c r="C2314" s="84">
        <f>'Change Orders'!S279</f>
        <v/>
      </c>
      <c r="D2314" s="46">
        <f>'Change Orders'!T279</f>
        <v/>
      </c>
      <c r="E2314" s="46">
        <f>IF(OR(B2314="",C2314="",D2314=""),"",D2314*100000+(C2314-DATE(2000,1,1))+ROW()/100000)</f>
        <v/>
      </c>
      <c r="F2314" s="46">
        <f>IF(E2314="","",IF(C2314&gt;WeekEndDate,"",E2314))</f>
        <v/>
      </c>
    </row>
    <row r="2315">
      <c r="A2315" t="inlineStr">
        <is>
          <t>Change Orders</t>
        </is>
      </c>
      <c r="B2315" s="46">
        <f>'Change Orders'!U280</f>
        <v/>
      </c>
      <c r="C2315" s="84">
        <f>'Change Orders'!S280</f>
        <v/>
      </c>
      <c r="D2315" s="46">
        <f>'Change Orders'!T280</f>
        <v/>
      </c>
      <c r="E2315" s="46">
        <f>IF(OR(B2315="",C2315="",D2315=""),"",D2315*100000+(C2315-DATE(2000,1,1))+ROW()/100000)</f>
        <v/>
      </c>
      <c r="F2315" s="46">
        <f>IF(E2315="","",IF(C2315&gt;WeekEndDate,"",E2315))</f>
        <v/>
      </c>
    </row>
    <row r="2316">
      <c r="A2316" t="inlineStr">
        <is>
          <t>Change Orders</t>
        </is>
      </c>
      <c r="B2316" s="46">
        <f>'Change Orders'!U281</f>
        <v/>
      </c>
      <c r="C2316" s="84">
        <f>'Change Orders'!S281</f>
        <v/>
      </c>
      <c r="D2316" s="46">
        <f>'Change Orders'!T281</f>
        <v/>
      </c>
      <c r="E2316" s="46">
        <f>IF(OR(B2316="",C2316="",D2316=""),"",D2316*100000+(C2316-DATE(2000,1,1))+ROW()/100000)</f>
        <v/>
      </c>
      <c r="F2316" s="46">
        <f>IF(E2316="","",IF(C2316&gt;WeekEndDate,"",E2316))</f>
        <v/>
      </c>
    </row>
    <row r="2317">
      <c r="A2317" t="inlineStr">
        <is>
          <t>Change Orders</t>
        </is>
      </c>
      <c r="B2317" s="46">
        <f>'Change Orders'!U282</f>
        <v/>
      </c>
      <c r="C2317" s="84">
        <f>'Change Orders'!S282</f>
        <v/>
      </c>
      <c r="D2317" s="46">
        <f>'Change Orders'!T282</f>
        <v/>
      </c>
      <c r="E2317" s="46">
        <f>IF(OR(B2317="",C2317="",D2317=""),"",D2317*100000+(C2317-DATE(2000,1,1))+ROW()/100000)</f>
        <v/>
      </c>
      <c r="F2317" s="46">
        <f>IF(E2317="","",IF(C2317&gt;WeekEndDate,"",E2317))</f>
        <v/>
      </c>
    </row>
    <row r="2318">
      <c r="A2318" t="inlineStr">
        <is>
          <t>Change Orders</t>
        </is>
      </c>
      <c r="B2318" s="46">
        <f>'Change Orders'!U283</f>
        <v/>
      </c>
      <c r="C2318" s="84">
        <f>'Change Orders'!S283</f>
        <v/>
      </c>
      <c r="D2318" s="46">
        <f>'Change Orders'!T283</f>
        <v/>
      </c>
      <c r="E2318" s="46">
        <f>IF(OR(B2318="",C2318="",D2318=""),"",D2318*100000+(C2318-DATE(2000,1,1))+ROW()/100000)</f>
        <v/>
      </c>
      <c r="F2318" s="46">
        <f>IF(E2318="","",IF(C2318&gt;WeekEndDate,"",E2318))</f>
        <v/>
      </c>
    </row>
    <row r="2319">
      <c r="A2319" t="inlineStr">
        <is>
          <t>Change Orders</t>
        </is>
      </c>
      <c r="B2319" s="46">
        <f>'Change Orders'!U284</f>
        <v/>
      </c>
      <c r="C2319" s="84">
        <f>'Change Orders'!S284</f>
        <v/>
      </c>
      <c r="D2319" s="46">
        <f>'Change Orders'!T284</f>
        <v/>
      </c>
      <c r="E2319" s="46">
        <f>IF(OR(B2319="",C2319="",D2319=""),"",D2319*100000+(C2319-DATE(2000,1,1))+ROW()/100000)</f>
        <v/>
      </c>
      <c r="F2319" s="46">
        <f>IF(E2319="","",IF(C2319&gt;WeekEndDate,"",E2319))</f>
        <v/>
      </c>
    </row>
    <row r="2320">
      <c r="A2320" t="inlineStr">
        <is>
          <t>Change Orders</t>
        </is>
      </c>
      <c r="B2320" s="46">
        <f>'Change Orders'!U285</f>
        <v/>
      </c>
      <c r="C2320" s="84">
        <f>'Change Orders'!S285</f>
        <v/>
      </c>
      <c r="D2320" s="46">
        <f>'Change Orders'!T285</f>
        <v/>
      </c>
      <c r="E2320" s="46">
        <f>IF(OR(B2320="",C2320="",D2320=""),"",D2320*100000+(C2320-DATE(2000,1,1))+ROW()/100000)</f>
        <v/>
      </c>
      <c r="F2320" s="46">
        <f>IF(E2320="","",IF(C2320&gt;WeekEndDate,"",E2320))</f>
        <v/>
      </c>
    </row>
    <row r="2321">
      <c r="A2321" t="inlineStr">
        <is>
          <t>Change Orders</t>
        </is>
      </c>
      <c r="B2321" s="46">
        <f>'Change Orders'!U286</f>
        <v/>
      </c>
      <c r="C2321" s="84">
        <f>'Change Orders'!S286</f>
        <v/>
      </c>
      <c r="D2321" s="46">
        <f>'Change Orders'!T286</f>
        <v/>
      </c>
      <c r="E2321" s="46">
        <f>IF(OR(B2321="",C2321="",D2321=""),"",D2321*100000+(C2321-DATE(2000,1,1))+ROW()/100000)</f>
        <v/>
      </c>
      <c r="F2321" s="46">
        <f>IF(E2321="","",IF(C2321&gt;WeekEndDate,"",E2321))</f>
        <v/>
      </c>
    </row>
    <row r="2322">
      <c r="A2322" t="inlineStr">
        <is>
          <t>Change Orders</t>
        </is>
      </c>
      <c r="B2322" s="46">
        <f>'Change Orders'!U287</f>
        <v/>
      </c>
      <c r="C2322" s="84">
        <f>'Change Orders'!S287</f>
        <v/>
      </c>
      <c r="D2322" s="46">
        <f>'Change Orders'!T287</f>
        <v/>
      </c>
      <c r="E2322" s="46">
        <f>IF(OR(B2322="",C2322="",D2322=""),"",D2322*100000+(C2322-DATE(2000,1,1))+ROW()/100000)</f>
        <v/>
      </c>
      <c r="F2322" s="46">
        <f>IF(E2322="","",IF(C2322&gt;WeekEndDate,"",E2322))</f>
        <v/>
      </c>
    </row>
    <row r="2323">
      <c r="A2323" t="inlineStr">
        <is>
          <t>Change Orders</t>
        </is>
      </c>
      <c r="B2323" s="46">
        <f>'Change Orders'!U288</f>
        <v/>
      </c>
      <c r="C2323" s="84">
        <f>'Change Orders'!S288</f>
        <v/>
      </c>
      <c r="D2323" s="46">
        <f>'Change Orders'!T288</f>
        <v/>
      </c>
      <c r="E2323" s="46">
        <f>IF(OR(B2323="",C2323="",D2323=""),"",D2323*100000+(C2323-DATE(2000,1,1))+ROW()/100000)</f>
        <v/>
      </c>
      <c r="F2323" s="46">
        <f>IF(E2323="","",IF(C2323&gt;WeekEndDate,"",E2323))</f>
        <v/>
      </c>
    </row>
    <row r="2324">
      <c r="A2324" t="inlineStr">
        <is>
          <t>Change Orders</t>
        </is>
      </c>
      <c r="B2324" s="46">
        <f>'Change Orders'!U289</f>
        <v/>
      </c>
      <c r="C2324" s="84">
        <f>'Change Orders'!S289</f>
        <v/>
      </c>
      <c r="D2324" s="46">
        <f>'Change Orders'!T289</f>
        <v/>
      </c>
      <c r="E2324" s="46">
        <f>IF(OR(B2324="",C2324="",D2324=""),"",D2324*100000+(C2324-DATE(2000,1,1))+ROW()/100000)</f>
        <v/>
      </c>
      <c r="F2324" s="46">
        <f>IF(E2324="","",IF(C2324&gt;WeekEndDate,"",E2324))</f>
        <v/>
      </c>
    </row>
    <row r="2325">
      <c r="A2325" t="inlineStr">
        <is>
          <t>Change Orders</t>
        </is>
      </c>
      <c r="B2325" s="46">
        <f>'Change Orders'!U290</f>
        <v/>
      </c>
      <c r="C2325" s="84">
        <f>'Change Orders'!S290</f>
        <v/>
      </c>
      <c r="D2325" s="46">
        <f>'Change Orders'!T290</f>
        <v/>
      </c>
      <c r="E2325" s="46">
        <f>IF(OR(B2325="",C2325="",D2325=""),"",D2325*100000+(C2325-DATE(2000,1,1))+ROW()/100000)</f>
        <v/>
      </c>
      <c r="F2325" s="46">
        <f>IF(E2325="","",IF(C2325&gt;WeekEndDate,"",E2325))</f>
        <v/>
      </c>
    </row>
    <row r="2326">
      <c r="A2326" t="inlineStr">
        <is>
          <t>Change Orders</t>
        </is>
      </c>
      <c r="B2326" s="46">
        <f>'Change Orders'!U291</f>
        <v/>
      </c>
      <c r="C2326" s="84">
        <f>'Change Orders'!S291</f>
        <v/>
      </c>
      <c r="D2326" s="46">
        <f>'Change Orders'!T291</f>
        <v/>
      </c>
      <c r="E2326" s="46">
        <f>IF(OR(B2326="",C2326="",D2326=""),"",D2326*100000+(C2326-DATE(2000,1,1))+ROW()/100000)</f>
        <v/>
      </c>
      <c r="F2326" s="46">
        <f>IF(E2326="","",IF(C2326&gt;WeekEndDate,"",E2326))</f>
        <v/>
      </c>
    </row>
    <row r="2327">
      <c r="A2327" t="inlineStr">
        <is>
          <t>Change Orders</t>
        </is>
      </c>
      <c r="B2327" s="46">
        <f>'Change Orders'!U292</f>
        <v/>
      </c>
      <c r="C2327" s="84">
        <f>'Change Orders'!S292</f>
        <v/>
      </c>
      <c r="D2327" s="46">
        <f>'Change Orders'!T292</f>
        <v/>
      </c>
      <c r="E2327" s="46">
        <f>IF(OR(B2327="",C2327="",D2327=""),"",D2327*100000+(C2327-DATE(2000,1,1))+ROW()/100000)</f>
        <v/>
      </c>
      <c r="F2327" s="46">
        <f>IF(E2327="","",IF(C2327&gt;WeekEndDate,"",E2327))</f>
        <v/>
      </c>
    </row>
    <row r="2328">
      <c r="A2328" t="inlineStr">
        <is>
          <t>Change Orders</t>
        </is>
      </c>
      <c r="B2328" s="46">
        <f>'Change Orders'!U293</f>
        <v/>
      </c>
      <c r="C2328" s="84">
        <f>'Change Orders'!S293</f>
        <v/>
      </c>
      <c r="D2328" s="46">
        <f>'Change Orders'!T293</f>
        <v/>
      </c>
      <c r="E2328" s="46">
        <f>IF(OR(B2328="",C2328="",D2328=""),"",D2328*100000+(C2328-DATE(2000,1,1))+ROW()/100000)</f>
        <v/>
      </c>
      <c r="F2328" s="46">
        <f>IF(E2328="","",IF(C2328&gt;WeekEndDate,"",E2328))</f>
        <v/>
      </c>
    </row>
    <row r="2329">
      <c r="A2329" t="inlineStr">
        <is>
          <t>Change Orders</t>
        </is>
      </c>
      <c r="B2329" s="46">
        <f>'Change Orders'!U294</f>
        <v/>
      </c>
      <c r="C2329" s="84">
        <f>'Change Orders'!S294</f>
        <v/>
      </c>
      <c r="D2329" s="46">
        <f>'Change Orders'!T294</f>
        <v/>
      </c>
      <c r="E2329" s="46">
        <f>IF(OR(B2329="",C2329="",D2329=""),"",D2329*100000+(C2329-DATE(2000,1,1))+ROW()/100000)</f>
        <v/>
      </c>
      <c r="F2329" s="46">
        <f>IF(E2329="","",IF(C2329&gt;WeekEndDate,"",E2329))</f>
        <v/>
      </c>
    </row>
    <row r="2330">
      <c r="A2330" t="inlineStr">
        <is>
          <t>Change Orders</t>
        </is>
      </c>
      <c r="B2330" s="46">
        <f>'Change Orders'!U295</f>
        <v/>
      </c>
      <c r="C2330" s="84">
        <f>'Change Orders'!S295</f>
        <v/>
      </c>
      <c r="D2330" s="46">
        <f>'Change Orders'!T295</f>
        <v/>
      </c>
      <c r="E2330" s="46">
        <f>IF(OR(B2330="",C2330="",D2330=""),"",D2330*100000+(C2330-DATE(2000,1,1))+ROW()/100000)</f>
        <v/>
      </c>
      <c r="F2330" s="46">
        <f>IF(E2330="","",IF(C2330&gt;WeekEndDate,"",E2330))</f>
        <v/>
      </c>
    </row>
    <row r="2331">
      <c r="A2331" t="inlineStr">
        <is>
          <t>Change Orders</t>
        </is>
      </c>
      <c r="B2331" s="46">
        <f>'Change Orders'!U296</f>
        <v/>
      </c>
      <c r="C2331" s="84">
        <f>'Change Orders'!S296</f>
        <v/>
      </c>
      <c r="D2331" s="46">
        <f>'Change Orders'!T296</f>
        <v/>
      </c>
      <c r="E2331" s="46">
        <f>IF(OR(B2331="",C2331="",D2331=""),"",D2331*100000+(C2331-DATE(2000,1,1))+ROW()/100000)</f>
        <v/>
      </c>
      <c r="F2331" s="46">
        <f>IF(E2331="","",IF(C2331&gt;WeekEndDate,"",E2331))</f>
        <v/>
      </c>
    </row>
    <row r="2332">
      <c r="A2332" t="inlineStr">
        <is>
          <t>Change Orders</t>
        </is>
      </c>
      <c r="B2332" s="46">
        <f>'Change Orders'!U297</f>
        <v/>
      </c>
      <c r="C2332" s="84">
        <f>'Change Orders'!S297</f>
        <v/>
      </c>
      <c r="D2332" s="46">
        <f>'Change Orders'!T297</f>
        <v/>
      </c>
      <c r="E2332" s="46">
        <f>IF(OR(B2332="",C2332="",D2332=""),"",D2332*100000+(C2332-DATE(2000,1,1))+ROW()/100000)</f>
        <v/>
      </c>
      <c r="F2332" s="46">
        <f>IF(E2332="","",IF(C2332&gt;WeekEndDate,"",E2332))</f>
        <v/>
      </c>
    </row>
    <row r="2333">
      <c r="A2333" t="inlineStr">
        <is>
          <t>Change Orders</t>
        </is>
      </c>
      <c r="B2333" s="46">
        <f>'Change Orders'!U298</f>
        <v/>
      </c>
      <c r="C2333" s="84">
        <f>'Change Orders'!S298</f>
        <v/>
      </c>
      <c r="D2333" s="46">
        <f>'Change Orders'!T298</f>
        <v/>
      </c>
      <c r="E2333" s="46">
        <f>IF(OR(B2333="",C2333="",D2333=""),"",D2333*100000+(C2333-DATE(2000,1,1))+ROW()/100000)</f>
        <v/>
      </c>
      <c r="F2333" s="46">
        <f>IF(E2333="","",IF(C2333&gt;WeekEndDate,"",E2333))</f>
        <v/>
      </c>
    </row>
    <row r="2334">
      <c r="A2334" t="inlineStr">
        <is>
          <t>Change Orders</t>
        </is>
      </c>
      <c r="B2334" s="46">
        <f>'Change Orders'!U299</f>
        <v/>
      </c>
      <c r="C2334" s="84">
        <f>'Change Orders'!S299</f>
        <v/>
      </c>
      <c r="D2334" s="46">
        <f>'Change Orders'!T299</f>
        <v/>
      </c>
      <c r="E2334" s="46">
        <f>IF(OR(B2334="",C2334="",D2334=""),"",D2334*100000+(C2334-DATE(2000,1,1))+ROW()/100000)</f>
        <v/>
      </c>
      <c r="F2334" s="46">
        <f>IF(E2334="","",IF(C2334&gt;WeekEndDate,"",E2334))</f>
        <v/>
      </c>
    </row>
    <row r="2335">
      <c r="A2335" t="inlineStr">
        <is>
          <t>Change Orders</t>
        </is>
      </c>
      <c r="B2335" s="46">
        <f>'Change Orders'!U300</f>
        <v/>
      </c>
      <c r="C2335" s="84">
        <f>'Change Orders'!S300</f>
        <v/>
      </c>
      <c r="D2335" s="46">
        <f>'Change Orders'!T300</f>
        <v/>
      </c>
      <c r="E2335" s="46">
        <f>IF(OR(B2335="",C2335="",D2335=""),"",D2335*100000+(C2335-DATE(2000,1,1))+ROW()/100000)</f>
        <v/>
      </c>
      <c r="F2335" s="46">
        <f>IF(E2335="","",IF(C2335&gt;WeekEndDate,"",E2335))</f>
        <v/>
      </c>
    </row>
    <row r="2336">
      <c r="A2336" t="inlineStr">
        <is>
          <t>Change Orders</t>
        </is>
      </c>
      <c r="B2336" s="46">
        <f>'Change Orders'!U301</f>
        <v/>
      </c>
      <c r="C2336" s="84">
        <f>'Change Orders'!S301</f>
        <v/>
      </c>
      <c r="D2336" s="46">
        <f>'Change Orders'!T301</f>
        <v/>
      </c>
      <c r="E2336" s="46">
        <f>IF(OR(B2336="",C2336="",D2336=""),"",D2336*100000+(C2336-DATE(2000,1,1))+ROW()/100000)</f>
        <v/>
      </c>
      <c r="F2336" s="46">
        <f>IF(E2336="","",IF(C2336&gt;WeekEndDate,"",E2336))</f>
        <v/>
      </c>
    </row>
    <row r="2337">
      <c r="A2337" t="inlineStr">
        <is>
          <t>Change Orders</t>
        </is>
      </c>
      <c r="B2337" s="46">
        <f>'Change Orders'!U302</f>
        <v/>
      </c>
      <c r="C2337" s="84">
        <f>'Change Orders'!S302</f>
        <v/>
      </c>
      <c r="D2337" s="46">
        <f>'Change Orders'!T302</f>
        <v/>
      </c>
      <c r="E2337" s="46">
        <f>IF(OR(B2337="",C2337="",D2337=""),"",D2337*100000+(C2337-DATE(2000,1,1))+ROW()/100000)</f>
        <v/>
      </c>
      <c r="F2337" s="46">
        <f>IF(E2337="","",IF(C2337&gt;WeekEndDate,"",E2337))</f>
        <v/>
      </c>
    </row>
    <row r="2338">
      <c r="A2338" t="inlineStr">
        <is>
          <t>Change Orders</t>
        </is>
      </c>
      <c r="B2338" s="46">
        <f>'Change Orders'!U303</f>
        <v/>
      </c>
      <c r="C2338" s="84">
        <f>'Change Orders'!S303</f>
        <v/>
      </c>
      <c r="D2338" s="46">
        <f>'Change Orders'!T303</f>
        <v/>
      </c>
      <c r="E2338" s="46">
        <f>IF(OR(B2338="",C2338="",D2338=""),"",D2338*100000+(C2338-DATE(2000,1,1))+ROW()/100000)</f>
        <v/>
      </c>
      <c r="F2338" s="46">
        <f>IF(E2338="","",IF(C2338&gt;WeekEndDate,"",E2338))</f>
        <v/>
      </c>
    </row>
    <row r="2339">
      <c r="A2339" t="inlineStr">
        <is>
          <t>Change Orders</t>
        </is>
      </c>
      <c r="B2339" s="46">
        <f>'Change Orders'!U304</f>
        <v/>
      </c>
      <c r="C2339" s="84">
        <f>'Change Orders'!S304</f>
        <v/>
      </c>
      <c r="D2339" s="46">
        <f>'Change Orders'!T304</f>
        <v/>
      </c>
      <c r="E2339" s="46">
        <f>IF(OR(B2339="",C2339="",D2339=""),"",D2339*100000+(C2339-DATE(2000,1,1))+ROW()/100000)</f>
        <v/>
      </c>
      <c r="F2339" s="46">
        <f>IF(E2339="","",IF(C2339&gt;WeekEndDate,"",E2339))</f>
        <v/>
      </c>
    </row>
    <row r="2340">
      <c r="A2340" t="inlineStr">
        <is>
          <t>Change Orders</t>
        </is>
      </c>
      <c r="B2340" s="46">
        <f>'Change Orders'!U305</f>
        <v/>
      </c>
      <c r="C2340" s="84">
        <f>'Change Orders'!S305</f>
        <v/>
      </c>
      <c r="D2340" s="46">
        <f>'Change Orders'!T305</f>
        <v/>
      </c>
      <c r="E2340" s="46">
        <f>IF(OR(B2340="",C2340="",D2340=""),"",D2340*100000+(C2340-DATE(2000,1,1))+ROW()/100000)</f>
        <v/>
      </c>
      <c r="F2340" s="46">
        <f>IF(E2340="","",IF(C2340&gt;WeekEndDate,"",E2340))</f>
        <v/>
      </c>
    </row>
    <row r="2341">
      <c r="A2341" t="inlineStr">
        <is>
          <t>Change Orders</t>
        </is>
      </c>
      <c r="B2341" s="46">
        <f>'Change Orders'!U306</f>
        <v/>
      </c>
      <c r="C2341" s="84">
        <f>'Change Orders'!S306</f>
        <v/>
      </c>
      <c r="D2341" s="46">
        <f>'Change Orders'!T306</f>
        <v/>
      </c>
      <c r="E2341" s="46">
        <f>IF(OR(B2341="",C2341="",D2341=""),"",D2341*100000+(C2341-DATE(2000,1,1))+ROW()/100000)</f>
        <v/>
      </c>
      <c r="F2341" s="46">
        <f>IF(E2341="","",IF(C2341&gt;WeekEndDate,"",E2341))</f>
        <v/>
      </c>
    </row>
    <row r="2342">
      <c r="A2342" t="inlineStr">
        <is>
          <t>Change Orders</t>
        </is>
      </c>
      <c r="B2342" s="46">
        <f>'Change Orders'!U307</f>
        <v/>
      </c>
      <c r="C2342" s="84">
        <f>'Change Orders'!S307</f>
        <v/>
      </c>
      <c r="D2342" s="46">
        <f>'Change Orders'!T307</f>
        <v/>
      </c>
      <c r="E2342" s="46">
        <f>IF(OR(B2342="",C2342="",D2342=""),"",D2342*100000+(C2342-DATE(2000,1,1))+ROW()/100000)</f>
        <v/>
      </c>
      <c r="F2342" s="46">
        <f>IF(E2342="","",IF(C2342&gt;WeekEndDate,"",E2342))</f>
        <v/>
      </c>
    </row>
    <row r="2343">
      <c r="A2343" t="inlineStr">
        <is>
          <t>Change Orders</t>
        </is>
      </c>
      <c r="B2343" s="46">
        <f>'Change Orders'!U308</f>
        <v/>
      </c>
      <c r="C2343" s="84">
        <f>'Change Orders'!S308</f>
        <v/>
      </c>
      <c r="D2343" s="46">
        <f>'Change Orders'!T308</f>
        <v/>
      </c>
      <c r="E2343" s="46">
        <f>IF(OR(B2343="",C2343="",D2343=""),"",D2343*100000+(C2343-DATE(2000,1,1))+ROW()/100000)</f>
        <v/>
      </c>
      <c r="F2343" s="46">
        <f>IF(E2343="","",IF(C2343&gt;WeekEndDate,"",E2343))</f>
        <v/>
      </c>
    </row>
    <row r="2344">
      <c r="A2344" t="inlineStr">
        <is>
          <t>Change Orders</t>
        </is>
      </c>
      <c r="B2344" s="46">
        <f>'Change Orders'!U309</f>
        <v/>
      </c>
      <c r="C2344" s="84">
        <f>'Change Orders'!S309</f>
        <v/>
      </c>
      <c r="D2344" s="46">
        <f>'Change Orders'!T309</f>
        <v/>
      </c>
      <c r="E2344" s="46">
        <f>IF(OR(B2344="",C2344="",D2344=""),"",D2344*100000+(C2344-DATE(2000,1,1))+ROW()/100000)</f>
        <v/>
      </c>
      <c r="F2344" s="46">
        <f>IF(E2344="","",IF(C2344&gt;WeekEndDate,"",E2344))</f>
        <v/>
      </c>
    </row>
    <row r="2345">
      <c r="A2345" t="inlineStr">
        <is>
          <t>Change Orders</t>
        </is>
      </c>
      <c r="B2345" s="46">
        <f>'Change Orders'!U310</f>
        <v/>
      </c>
      <c r="C2345" s="84">
        <f>'Change Orders'!S310</f>
        <v/>
      </c>
      <c r="D2345" s="46">
        <f>'Change Orders'!T310</f>
        <v/>
      </c>
      <c r="E2345" s="46">
        <f>IF(OR(B2345="",C2345="",D2345=""),"",D2345*100000+(C2345-DATE(2000,1,1))+ROW()/100000)</f>
        <v/>
      </c>
      <c r="F2345" s="46">
        <f>IF(E2345="","",IF(C2345&gt;WeekEndDate,"",E2345))</f>
        <v/>
      </c>
    </row>
    <row r="2346">
      <c r="A2346" t="inlineStr">
        <is>
          <t>Change Orders</t>
        </is>
      </c>
      <c r="B2346" s="46">
        <f>'Change Orders'!U311</f>
        <v/>
      </c>
      <c r="C2346" s="84">
        <f>'Change Orders'!S311</f>
        <v/>
      </c>
      <c r="D2346" s="46">
        <f>'Change Orders'!T311</f>
        <v/>
      </c>
      <c r="E2346" s="46">
        <f>IF(OR(B2346="",C2346="",D2346=""),"",D2346*100000+(C2346-DATE(2000,1,1))+ROW()/100000)</f>
        <v/>
      </c>
      <c r="F2346" s="46">
        <f>IF(E2346="","",IF(C2346&gt;WeekEndDate,"",E2346))</f>
        <v/>
      </c>
    </row>
    <row r="2347">
      <c r="A2347" t="inlineStr">
        <is>
          <t>Change Orders</t>
        </is>
      </c>
      <c r="B2347" s="46">
        <f>'Change Orders'!U312</f>
        <v/>
      </c>
      <c r="C2347" s="84">
        <f>'Change Orders'!S312</f>
        <v/>
      </c>
      <c r="D2347" s="46">
        <f>'Change Orders'!T312</f>
        <v/>
      </c>
      <c r="E2347" s="46">
        <f>IF(OR(B2347="",C2347="",D2347=""),"",D2347*100000+(C2347-DATE(2000,1,1))+ROW()/100000)</f>
        <v/>
      </c>
      <c r="F2347" s="46">
        <f>IF(E2347="","",IF(C2347&gt;WeekEndDate,"",E2347))</f>
        <v/>
      </c>
    </row>
    <row r="2348">
      <c r="A2348" t="inlineStr">
        <is>
          <t>Change Orders</t>
        </is>
      </c>
      <c r="B2348" s="46">
        <f>'Change Orders'!U313</f>
        <v/>
      </c>
      <c r="C2348" s="84">
        <f>'Change Orders'!S313</f>
        <v/>
      </c>
      <c r="D2348" s="46">
        <f>'Change Orders'!T313</f>
        <v/>
      </c>
      <c r="E2348" s="46">
        <f>IF(OR(B2348="",C2348="",D2348=""),"",D2348*100000+(C2348-DATE(2000,1,1))+ROW()/100000)</f>
        <v/>
      </c>
      <c r="F2348" s="46">
        <f>IF(E2348="","",IF(C2348&gt;WeekEndDate,"",E2348))</f>
        <v/>
      </c>
    </row>
    <row r="2349">
      <c r="A2349" t="inlineStr">
        <is>
          <t>Change Orders</t>
        </is>
      </c>
      <c r="B2349" s="46">
        <f>'Change Orders'!U314</f>
        <v/>
      </c>
      <c r="C2349" s="84">
        <f>'Change Orders'!S314</f>
        <v/>
      </c>
      <c r="D2349" s="46">
        <f>'Change Orders'!T314</f>
        <v/>
      </c>
      <c r="E2349" s="46">
        <f>IF(OR(B2349="",C2349="",D2349=""),"",D2349*100000+(C2349-DATE(2000,1,1))+ROW()/100000)</f>
        <v/>
      </c>
      <c r="F2349" s="46">
        <f>IF(E2349="","",IF(C2349&gt;WeekEndDate,"",E2349))</f>
        <v/>
      </c>
    </row>
    <row r="2350">
      <c r="A2350" t="inlineStr">
        <is>
          <t>Change Orders</t>
        </is>
      </c>
      <c r="B2350" s="46">
        <f>'Change Orders'!U315</f>
        <v/>
      </c>
      <c r="C2350" s="84">
        <f>'Change Orders'!S315</f>
        <v/>
      </c>
      <c r="D2350" s="46">
        <f>'Change Orders'!T315</f>
        <v/>
      </c>
      <c r="E2350" s="46">
        <f>IF(OR(B2350="",C2350="",D2350=""),"",D2350*100000+(C2350-DATE(2000,1,1))+ROW()/100000)</f>
        <v/>
      </c>
      <c r="F2350" s="46">
        <f>IF(E2350="","",IF(C2350&gt;WeekEndDate,"",E2350))</f>
        <v/>
      </c>
    </row>
    <row r="2351">
      <c r="A2351" t="inlineStr">
        <is>
          <t>Change Orders</t>
        </is>
      </c>
      <c r="B2351" s="46">
        <f>'Change Orders'!U316</f>
        <v/>
      </c>
      <c r="C2351" s="84">
        <f>'Change Orders'!S316</f>
        <v/>
      </c>
      <c r="D2351" s="46">
        <f>'Change Orders'!T316</f>
        <v/>
      </c>
      <c r="E2351" s="46">
        <f>IF(OR(B2351="",C2351="",D2351=""),"",D2351*100000+(C2351-DATE(2000,1,1))+ROW()/100000)</f>
        <v/>
      </c>
      <c r="F2351" s="46">
        <f>IF(E2351="","",IF(C2351&gt;WeekEndDate,"",E2351))</f>
        <v/>
      </c>
    </row>
    <row r="2352">
      <c r="A2352" t="inlineStr">
        <is>
          <t>Change Orders</t>
        </is>
      </c>
      <c r="B2352" s="46">
        <f>'Change Orders'!U317</f>
        <v/>
      </c>
      <c r="C2352" s="84">
        <f>'Change Orders'!S317</f>
        <v/>
      </c>
      <c r="D2352" s="46">
        <f>'Change Orders'!T317</f>
        <v/>
      </c>
      <c r="E2352" s="46">
        <f>IF(OR(B2352="",C2352="",D2352=""),"",D2352*100000+(C2352-DATE(2000,1,1))+ROW()/100000)</f>
        <v/>
      </c>
      <c r="F2352" s="46">
        <f>IF(E2352="","",IF(C2352&gt;WeekEndDate,"",E2352))</f>
        <v/>
      </c>
    </row>
    <row r="2353">
      <c r="A2353" t="inlineStr">
        <is>
          <t>Change Orders</t>
        </is>
      </c>
      <c r="B2353" s="46">
        <f>'Change Orders'!U318</f>
        <v/>
      </c>
      <c r="C2353" s="84">
        <f>'Change Orders'!S318</f>
        <v/>
      </c>
      <c r="D2353" s="46">
        <f>'Change Orders'!T318</f>
        <v/>
      </c>
      <c r="E2353" s="46">
        <f>IF(OR(B2353="",C2353="",D2353=""),"",D2353*100000+(C2353-DATE(2000,1,1))+ROW()/100000)</f>
        <v/>
      </c>
      <c r="F2353" s="46">
        <f>IF(E2353="","",IF(C2353&gt;WeekEndDate,"",E2353))</f>
        <v/>
      </c>
    </row>
    <row r="2354">
      <c r="A2354" t="inlineStr">
        <is>
          <t>Change Orders</t>
        </is>
      </c>
      <c r="B2354" s="46">
        <f>'Change Orders'!U319</f>
        <v/>
      </c>
      <c r="C2354" s="84">
        <f>'Change Orders'!S319</f>
        <v/>
      </c>
      <c r="D2354" s="46">
        <f>'Change Orders'!T319</f>
        <v/>
      </c>
      <c r="E2354" s="46">
        <f>IF(OR(B2354="",C2354="",D2354=""),"",D2354*100000+(C2354-DATE(2000,1,1))+ROW()/100000)</f>
        <v/>
      </c>
      <c r="F2354" s="46">
        <f>IF(E2354="","",IF(C2354&gt;WeekEndDate,"",E2354))</f>
        <v/>
      </c>
    </row>
    <row r="2355">
      <c r="A2355" t="inlineStr">
        <is>
          <t>Change Orders</t>
        </is>
      </c>
      <c r="B2355" s="46">
        <f>'Change Orders'!U320</f>
        <v/>
      </c>
      <c r="C2355" s="84">
        <f>'Change Orders'!S320</f>
        <v/>
      </c>
      <c r="D2355" s="46">
        <f>'Change Orders'!T320</f>
        <v/>
      </c>
      <c r="E2355" s="46">
        <f>IF(OR(B2355="",C2355="",D2355=""),"",D2355*100000+(C2355-DATE(2000,1,1))+ROW()/100000)</f>
        <v/>
      </c>
      <c r="F2355" s="46">
        <f>IF(E2355="","",IF(C2355&gt;WeekEndDate,"",E2355))</f>
        <v/>
      </c>
    </row>
    <row r="2356">
      <c r="A2356" t="inlineStr">
        <is>
          <t>Change Orders</t>
        </is>
      </c>
      <c r="B2356" s="46">
        <f>'Change Orders'!U321</f>
        <v/>
      </c>
      <c r="C2356" s="84">
        <f>'Change Orders'!S321</f>
        <v/>
      </c>
      <c r="D2356" s="46">
        <f>'Change Orders'!T321</f>
        <v/>
      </c>
      <c r="E2356" s="46">
        <f>IF(OR(B2356="",C2356="",D2356=""),"",D2356*100000+(C2356-DATE(2000,1,1))+ROW()/100000)</f>
        <v/>
      </c>
      <c r="F2356" s="46">
        <f>IF(E2356="","",IF(C2356&gt;WeekEndDate,"",E2356))</f>
        <v/>
      </c>
    </row>
    <row r="2357">
      <c r="A2357" t="inlineStr">
        <is>
          <t>Change Orders</t>
        </is>
      </c>
      <c r="B2357" s="46">
        <f>'Change Orders'!U322</f>
        <v/>
      </c>
      <c r="C2357" s="84">
        <f>'Change Orders'!S322</f>
        <v/>
      </c>
      <c r="D2357" s="46">
        <f>'Change Orders'!T322</f>
        <v/>
      </c>
      <c r="E2357" s="46">
        <f>IF(OR(B2357="",C2357="",D2357=""),"",D2357*100000+(C2357-DATE(2000,1,1))+ROW()/100000)</f>
        <v/>
      </c>
      <c r="F2357" s="46">
        <f>IF(E2357="","",IF(C2357&gt;WeekEndDate,"",E2357))</f>
        <v/>
      </c>
    </row>
    <row r="2358">
      <c r="A2358" t="inlineStr">
        <is>
          <t>Change Orders</t>
        </is>
      </c>
      <c r="B2358" s="46">
        <f>'Change Orders'!U323</f>
        <v/>
      </c>
      <c r="C2358" s="84">
        <f>'Change Orders'!S323</f>
        <v/>
      </c>
      <c r="D2358" s="46">
        <f>'Change Orders'!T323</f>
        <v/>
      </c>
      <c r="E2358" s="46">
        <f>IF(OR(B2358="",C2358="",D2358=""),"",D2358*100000+(C2358-DATE(2000,1,1))+ROW()/100000)</f>
        <v/>
      </c>
      <c r="F2358" s="46">
        <f>IF(E2358="","",IF(C2358&gt;WeekEndDate,"",E2358))</f>
        <v/>
      </c>
    </row>
    <row r="2359">
      <c r="A2359" t="inlineStr">
        <is>
          <t>Change Orders</t>
        </is>
      </c>
      <c r="B2359" s="46">
        <f>'Change Orders'!U324</f>
        <v/>
      </c>
      <c r="C2359" s="84">
        <f>'Change Orders'!S324</f>
        <v/>
      </c>
      <c r="D2359" s="46">
        <f>'Change Orders'!T324</f>
        <v/>
      </c>
      <c r="E2359" s="46">
        <f>IF(OR(B2359="",C2359="",D2359=""),"",D2359*100000+(C2359-DATE(2000,1,1))+ROW()/100000)</f>
        <v/>
      </c>
      <c r="F2359" s="46">
        <f>IF(E2359="","",IF(C2359&gt;WeekEndDate,"",E2359))</f>
        <v/>
      </c>
    </row>
    <row r="2360">
      <c r="A2360" t="inlineStr">
        <is>
          <t>Change Orders</t>
        </is>
      </c>
      <c r="B2360" s="46">
        <f>'Change Orders'!U325</f>
        <v/>
      </c>
      <c r="C2360" s="84">
        <f>'Change Orders'!S325</f>
        <v/>
      </c>
      <c r="D2360" s="46">
        <f>'Change Orders'!T325</f>
        <v/>
      </c>
      <c r="E2360" s="46">
        <f>IF(OR(B2360="",C2360="",D2360=""),"",D2360*100000+(C2360-DATE(2000,1,1))+ROW()/100000)</f>
        <v/>
      </c>
      <c r="F2360" s="46">
        <f>IF(E2360="","",IF(C2360&gt;WeekEndDate,"",E2360))</f>
        <v/>
      </c>
    </row>
    <row r="2361">
      <c r="A2361" t="inlineStr">
        <is>
          <t>Change Orders</t>
        </is>
      </c>
      <c r="B2361" s="46">
        <f>'Change Orders'!U326</f>
        <v/>
      </c>
      <c r="C2361" s="84">
        <f>'Change Orders'!S326</f>
        <v/>
      </c>
      <c r="D2361" s="46">
        <f>'Change Orders'!T326</f>
        <v/>
      </c>
      <c r="E2361" s="46">
        <f>IF(OR(B2361="",C2361="",D2361=""),"",D2361*100000+(C2361-DATE(2000,1,1))+ROW()/100000)</f>
        <v/>
      </c>
      <c r="F2361" s="46">
        <f>IF(E2361="","",IF(C2361&gt;WeekEndDate,"",E2361))</f>
        <v/>
      </c>
    </row>
    <row r="2362">
      <c r="A2362" t="inlineStr">
        <is>
          <t>Change Orders</t>
        </is>
      </c>
      <c r="B2362" s="46">
        <f>'Change Orders'!U327</f>
        <v/>
      </c>
      <c r="C2362" s="84">
        <f>'Change Orders'!S327</f>
        <v/>
      </c>
      <c r="D2362" s="46">
        <f>'Change Orders'!T327</f>
        <v/>
      </c>
      <c r="E2362" s="46">
        <f>IF(OR(B2362="",C2362="",D2362=""),"",D2362*100000+(C2362-DATE(2000,1,1))+ROW()/100000)</f>
        <v/>
      </c>
      <c r="F2362" s="46">
        <f>IF(E2362="","",IF(C2362&gt;WeekEndDate,"",E2362))</f>
        <v/>
      </c>
    </row>
    <row r="2363">
      <c r="A2363" t="inlineStr">
        <is>
          <t>Change Orders</t>
        </is>
      </c>
      <c r="B2363" s="46">
        <f>'Change Orders'!U328</f>
        <v/>
      </c>
      <c r="C2363" s="84">
        <f>'Change Orders'!S328</f>
        <v/>
      </c>
      <c r="D2363" s="46">
        <f>'Change Orders'!T328</f>
        <v/>
      </c>
      <c r="E2363" s="46">
        <f>IF(OR(B2363="",C2363="",D2363=""),"",D2363*100000+(C2363-DATE(2000,1,1))+ROW()/100000)</f>
        <v/>
      </c>
      <c r="F2363" s="46">
        <f>IF(E2363="","",IF(C2363&gt;WeekEndDate,"",E2363))</f>
        <v/>
      </c>
    </row>
    <row r="2364">
      <c r="A2364" t="inlineStr">
        <is>
          <t>Change Orders</t>
        </is>
      </c>
      <c r="B2364" s="46">
        <f>'Change Orders'!U329</f>
        <v/>
      </c>
      <c r="C2364" s="84">
        <f>'Change Orders'!S329</f>
        <v/>
      </c>
      <c r="D2364" s="46">
        <f>'Change Orders'!T329</f>
        <v/>
      </c>
      <c r="E2364" s="46">
        <f>IF(OR(B2364="",C2364="",D2364=""),"",D2364*100000+(C2364-DATE(2000,1,1))+ROW()/100000)</f>
        <v/>
      </c>
      <c r="F2364" s="46">
        <f>IF(E2364="","",IF(C2364&gt;WeekEndDate,"",E2364))</f>
        <v/>
      </c>
    </row>
    <row r="2365">
      <c r="A2365" t="inlineStr">
        <is>
          <t>Change Orders</t>
        </is>
      </c>
      <c r="B2365" s="46">
        <f>'Change Orders'!U330</f>
        <v/>
      </c>
      <c r="C2365" s="84">
        <f>'Change Orders'!S330</f>
        <v/>
      </c>
      <c r="D2365" s="46">
        <f>'Change Orders'!T330</f>
        <v/>
      </c>
      <c r="E2365" s="46">
        <f>IF(OR(B2365="",C2365="",D2365=""),"",D2365*100000+(C2365-DATE(2000,1,1))+ROW()/100000)</f>
        <v/>
      </c>
      <c r="F2365" s="46">
        <f>IF(E2365="","",IF(C2365&gt;WeekEndDate,"",E2365))</f>
        <v/>
      </c>
    </row>
    <row r="2366">
      <c r="A2366" t="inlineStr">
        <is>
          <t>Change Orders</t>
        </is>
      </c>
      <c r="B2366" s="46">
        <f>'Change Orders'!U331</f>
        <v/>
      </c>
      <c r="C2366" s="84">
        <f>'Change Orders'!S331</f>
        <v/>
      </c>
      <c r="D2366" s="46">
        <f>'Change Orders'!T331</f>
        <v/>
      </c>
      <c r="E2366" s="46">
        <f>IF(OR(B2366="",C2366="",D2366=""),"",D2366*100000+(C2366-DATE(2000,1,1))+ROW()/100000)</f>
        <v/>
      </c>
      <c r="F2366" s="46">
        <f>IF(E2366="","",IF(C2366&gt;WeekEndDate,"",E2366))</f>
        <v/>
      </c>
    </row>
    <row r="2367">
      <c r="A2367" t="inlineStr">
        <is>
          <t>Change Orders</t>
        </is>
      </c>
      <c r="B2367" s="46">
        <f>'Change Orders'!U332</f>
        <v/>
      </c>
      <c r="C2367" s="84">
        <f>'Change Orders'!S332</f>
        <v/>
      </c>
      <c r="D2367" s="46">
        <f>'Change Orders'!T332</f>
        <v/>
      </c>
      <c r="E2367" s="46">
        <f>IF(OR(B2367="",C2367="",D2367=""),"",D2367*100000+(C2367-DATE(2000,1,1))+ROW()/100000)</f>
        <v/>
      </c>
      <c r="F2367" s="46">
        <f>IF(E2367="","",IF(C2367&gt;WeekEndDate,"",E2367))</f>
        <v/>
      </c>
    </row>
    <row r="2368">
      <c r="A2368" t="inlineStr">
        <is>
          <t>Change Orders</t>
        </is>
      </c>
      <c r="B2368" s="46">
        <f>'Change Orders'!U333</f>
        <v/>
      </c>
      <c r="C2368" s="84">
        <f>'Change Orders'!S333</f>
        <v/>
      </c>
      <c r="D2368" s="46">
        <f>'Change Orders'!T333</f>
        <v/>
      </c>
      <c r="E2368" s="46">
        <f>IF(OR(B2368="",C2368="",D2368=""),"",D2368*100000+(C2368-DATE(2000,1,1))+ROW()/100000)</f>
        <v/>
      </c>
      <c r="F2368" s="46">
        <f>IF(E2368="","",IF(C2368&gt;WeekEndDate,"",E2368))</f>
        <v/>
      </c>
    </row>
    <row r="2369">
      <c r="A2369" t="inlineStr">
        <is>
          <t>Change Orders</t>
        </is>
      </c>
      <c r="B2369" s="46">
        <f>'Change Orders'!U334</f>
        <v/>
      </c>
      <c r="C2369" s="84">
        <f>'Change Orders'!S334</f>
        <v/>
      </c>
      <c r="D2369" s="46">
        <f>'Change Orders'!T334</f>
        <v/>
      </c>
      <c r="E2369" s="46">
        <f>IF(OR(B2369="",C2369="",D2369=""),"",D2369*100000+(C2369-DATE(2000,1,1))+ROW()/100000)</f>
        <v/>
      </c>
      <c r="F2369" s="46">
        <f>IF(E2369="","",IF(C2369&gt;WeekEndDate,"",E2369))</f>
        <v/>
      </c>
    </row>
    <row r="2370">
      <c r="A2370" t="inlineStr">
        <is>
          <t>Change Orders</t>
        </is>
      </c>
      <c r="B2370" s="46">
        <f>'Change Orders'!U335</f>
        <v/>
      </c>
      <c r="C2370" s="84">
        <f>'Change Orders'!S335</f>
        <v/>
      </c>
      <c r="D2370" s="46">
        <f>'Change Orders'!T335</f>
        <v/>
      </c>
      <c r="E2370" s="46">
        <f>IF(OR(B2370="",C2370="",D2370=""),"",D2370*100000+(C2370-DATE(2000,1,1))+ROW()/100000)</f>
        <v/>
      </c>
      <c r="F2370" s="46">
        <f>IF(E2370="","",IF(C2370&gt;WeekEndDate,"",E2370))</f>
        <v/>
      </c>
    </row>
    <row r="2371">
      <c r="A2371" t="inlineStr">
        <is>
          <t>Change Orders</t>
        </is>
      </c>
      <c r="B2371" s="46">
        <f>'Change Orders'!U336</f>
        <v/>
      </c>
      <c r="C2371" s="84">
        <f>'Change Orders'!S336</f>
        <v/>
      </c>
      <c r="D2371" s="46">
        <f>'Change Orders'!T336</f>
        <v/>
      </c>
      <c r="E2371" s="46">
        <f>IF(OR(B2371="",C2371="",D2371=""),"",D2371*100000+(C2371-DATE(2000,1,1))+ROW()/100000)</f>
        <v/>
      </c>
      <c r="F2371" s="46">
        <f>IF(E2371="","",IF(C2371&gt;WeekEndDate,"",E2371))</f>
        <v/>
      </c>
    </row>
    <row r="2372">
      <c r="A2372" t="inlineStr">
        <is>
          <t>Change Orders</t>
        </is>
      </c>
      <c r="B2372" s="46">
        <f>'Change Orders'!U337</f>
        <v/>
      </c>
      <c r="C2372" s="84">
        <f>'Change Orders'!S337</f>
        <v/>
      </c>
      <c r="D2372" s="46">
        <f>'Change Orders'!T337</f>
        <v/>
      </c>
      <c r="E2372" s="46">
        <f>IF(OR(B2372="",C2372="",D2372=""),"",D2372*100000+(C2372-DATE(2000,1,1))+ROW()/100000)</f>
        <v/>
      </c>
      <c r="F2372" s="46">
        <f>IF(E2372="","",IF(C2372&gt;WeekEndDate,"",E2372))</f>
        <v/>
      </c>
    </row>
    <row r="2373">
      <c r="A2373" t="inlineStr">
        <is>
          <t>Change Orders</t>
        </is>
      </c>
      <c r="B2373" s="46">
        <f>'Change Orders'!U338</f>
        <v/>
      </c>
      <c r="C2373" s="84">
        <f>'Change Orders'!S338</f>
        <v/>
      </c>
      <c r="D2373" s="46">
        <f>'Change Orders'!T338</f>
        <v/>
      </c>
      <c r="E2373" s="46">
        <f>IF(OR(B2373="",C2373="",D2373=""),"",D2373*100000+(C2373-DATE(2000,1,1))+ROW()/100000)</f>
        <v/>
      </c>
      <c r="F2373" s="46">
        <f>IF(E2373="","",IF(C2373&gt;WeekEndDate,"",E2373))</f>
        <v/>
      </c>
    </row>
    <row r="2374">
      <c r="A2374" t="inlineStr">
        <is>
          <t>Change Orders</t>
        </is>
      </c>
      <c r="B2374" s="46">
        <f>'Change Orders'!U339</f>
        <v/>
      </c>
      <c r="C2374" s="84">
        <f>'Change Orders'!S339</f>
        <v/>
      </c>
      <c r="D2374" s="46">
        <f>'Change Orders'!T339</f>
        <v/>
      </c>
      <c r="E2374" s="46">
        <f>IF(OR(B2374="",C2374="",D2374=""),"",D2374*100000+(C2374-DATE(2000,1,1))+ROW()/100000)</f>
        <v/>
      </c>
      <c r="F2374" s="46">
        <f>IF(E2374="","",IF(C2374&gt;WeekEndDate,"",E2374))</f>
        <v/>
      </c>
    </row>
    <row r="2375">
      <c r="A2375" t="inlineStr">
        <is>
          <t>Change Orders</t>
        </is>
      </c>
      <c r="B2375" s="46">
        <f>'Change Orders'!U340</f>
        <v/>
      </c>
      <c r="C2375" s="84">
        <f>'Change Orders'!S340</f>
        <v/>
      </c>
      <c r="D2375" s="46">
        <f>'Change Orders'!T340</f>
        <v/>
      </c>
      <c r="E2375" s="46">
        <f>IF(OR(B2375="",C2375="",D2375=""),"",D2375*100000+(C2375-DATE(2000,1,1))+ROW()/100000)</f>
        <v/>
      </c>
      <c r="F2375" s="46">
        <f>IF(E2375="","",IF(C2375&gt;WeekEndDate,"",E2375))</f>
        <v/>
      </c>
    </row>
    <row r="2376">
      <c r="A2376" t="inlineStr">
        <is>
          <t>Change Orders</t>
        </is>
      </c>
      <c r="B2376" s="46">
        <f>'Change Orders'!U341</f>
        <v/>
      </c>
      <c r="C2376" s="84">
        <f>'Change Orders'!S341</f>
        <v/>
      </c>
      <c r="D2376" s="46">
        <f>'Change Orders'!T341</f>
        <v/>
      </c>
      <c r="E2376" s="46">
        <f>IF(OR(B2376="",C2376="",D2376=""),"",D2376*100000+(C2376-DATE(2000,1,1))+ROW()/100000)</f>
        <v/>
      </c>
      <c r="F2376" s="46">
        <f>IF(E2376="","",IF(C2376&gt;WeekEndDate,"",E2376))</f>
        <v/>
      </c>
    </row>
    <row r="2377">
      <c r="A2377" t="inlineStr">
        <is>
          <t>Change Orders</t>
        </is>
      </c>
      <c r="B2377" s="46">
        <f>'Change Orders'!U342</f>
        <v/>
      </c>
      <c r="C2377" s="84">
        <f>'Change Orders'!S342</f>
        <v/>
      </c>
      <c r="D2377" s="46">
        <f>'Change Orders'!T342</f>
        <v/>
      </c>
      <c r="E2377" s="46">
        <f>IF(OR(B2377="",C2377="",D2377=""),"",D2377*100000+(C2377-DATE(2000,1,1))+ROW()/100000)</f>
        <v/>
      </c>
      <c r="F2377" s="46">
        <f>IF(E2377="","",IF(C2377&gt;WeekEndDate,"",E2377))</f>
        <v/>
      </c>
    </row>
    <row r="2378">
      <c r="A2378" t="inlineStr">
        <is>
          <t>Change Orders</t>
        </is>
      </c>
      <c r="B2378" s="46">
        <f>'Change Orders'!U343</f>
        <v/>
      </c>
      <c r="C2378" s="84">
        <f>'Change Orders'!S343</f>
        <v/>
      </c>
      <c r="D2378" s="46">
        <f>'Change Orders'!T343</f>
        <v/>
      </c>
      <c r="E2378" s="46">
        <f>IF(OR(B2378="",C2378="",D2378=""),"",D2378*100000+(C2378-DATE(2000,1,1))+ROW()/100000)</f>
        <v/>
      </c>
      <c r="F2378" s="46">
        <f>IF(E2378="","",IF(C2378&gt;WeekEndDate,"",E2378))</f>
        <v/>
      </c>
    </row>
    <row r="2379">
      <c r="A2379" t="inlineStr">
        <is>
          <t>Change Orders</t>
        </is>
      </c>
      <c r="B2379" s="46">
        <f>'Change Orders'!U344</f>
        <v/>
      </c>
      <c r="C2379" s="84">
        <f>'Change Orders'!S344</f>
        <v/>
      </c>
      <c r="D2379" s="46">
        <f>'Change Orders'!T344</f>
        <v/>
      </c>
      <c r="E2379" s="46">
        <f>IF(OR(B2379="",C2379="",D2379=""),"",D2379*100000+(C2379-DATE(2000,1,1))+ROW()/100000)</f>
        <v/>
      </c>
      <c r="F2379" s="46">
        <f>IF(E2379="","",IF(C2379&gt;WeekEndDate,"",E2379))</f>
        <v/>
      </c>
    </row>
    <row r="2380">
      <c r="A2380" t="inlineStr">
        <is>
          <t>Change Orders</t>
        </is>
      </c>
      <c r="B2380" s="46">
        <f>'Change Orders'!U345</f>
        <v/>
      </c>
      <c r="C2380" s="84">
        <f>'Change Orders'!S345</f>
        <v/>
      </c>
      <c r="D2380" s="46">
        <f>'Change Orders'!T345</f>
        <v/>
      </c>
      <c r="E2380" s="46">
        <f>IF(OR(B2380="",C2380="",D2380=""),"",D2380*100000+(C2380-DATE(2000,1,1))+ROW()/100000)</f>
        <v/>
      </c>
      <c r="F2380" s="46">
        <f>IF(E2380="","",IF(C2380&gt;WeekEndDate,"",E2380))</f>
        <v/>
      </c>
    </row>
    <row r="2381">
      <c r="A2381" t="inlineStr">
        <is>
          <t>Change Orders</t>
        </is>
      </c>
      <c r="B2381" s="46">
        <f>'Change Orders'!U346</f>
        <v/>
      </c>
      <c r="C2381" s="84">
        <f>'Change Orders'!S346</f>
        <v/>
      </c>
      <c r="D2381" s="46">
        <f>'Change Orders'!T346</f>
        <v/>
      </c>
      <c r="E2381" s="46">
        <f>IF(OR(B2381="",C2381="",D2381=""),"",D2381*100000+(C2381-DATE(2000,1,1))+ROW()/100000)</f>
        <v/>
      </c>
      <c r="F2381" s="46">
        <f>IF(E2381="","",IF(C2381&gt;WeekEndDate,"",E2381))</f>
        <v/>
      </c>
    </row>
    <row r="2382">
      <c r="A2382" t="inlineStr">
        <is>
          <t>Change Orders</t>
        </is>
      </c>
      <c r="B2382" s="46">
        <f>'Change Orders'!U347</f>
        <v/>
      </c>
      <c r="C2382" s="84">
        <f>'Change Orders'!S347</f>
        <v/>
      </c>
      <c r="D2382" s="46">
        <f>'Change Orders'!T347</f>
        <v/>
      </c>
      <c r="E2382" s="46">
        <f>IF(OR(B2382="",C2382="",D2382=""),"",D2382*100000+(C2382-DATE(2000,1,1))+ROW()/100000)</f>
        <v/>
      </c>
      <c r="F2382" s="46">
        <f>IF(E2382="","",IF(C2382&gt;WeekEndDate,"",E2382))</f>
        <v/>
      </c>
    </row>
    <row r="2383">
      <c r="A2383" t="inlineStr">
        <is>
          <t>Change Orders</t>
        </is>
      </c>
      <c r="B2383" s="46">
        <f>'Change Orders'!U348</f>
        <v/>
      </c>
      <c r="C2383" s="84">
        <f>'Change Orders'!S348</f>
        <v/>
      </c>
      <c r="D2383" s="46">
        <f>'Change Orders'!T348</f>
        <v/>
      </c>
      <c r="E2383" s="46">
        <f>IF(OR(B2383="",C2383="",D2383=""),"",D2383*100000+(C2383-DATE(2000,1,1))+ROW()/100000)</f>
        <v/>
      </c>
      <c r="F2383" s="46">
        <f>IF(E2383="","",IF(C2383&gt;WeekEndDate,"",E2383))</f>
        <v/>
      </c>
    </row>
    <row r="2384">
      <c r="A2384" t="inlineStr">
        <is>
          <t>Change Orders</t>
        </is>
      </c>
      <c r="B2384" s="46">
        <f>'Change Orders'!U349</f>
        <v/>
      </c>
      <c r="C2384" s="84">
        <f>'Change Orders'!S349</f>
        <v/>
      </c>
      <c r="D2384" s="46">
        <f>'Change Orders'!T349</f>
        <v/>
      </c>
      <c r="E2384" s="46">
        <f>IF(OR(B2384="",C2384="",D2384=""),"",D2384*100000+(C2384-DATE(2000,1,1))+ROW()/100000)</f>
        <v/>
      </c>
      <c r="F2384" s="46">
        <f>IF(E2384="","",IF(C2384&gt;WeekEndDate,"",E2384))</f>
        <v/>
      </c>
    </row>
    <row r="2385">
      <c r="A2385" t="inlineStr">
        <is>
          <t>Change Orders</t>
        </is>
      </c>
      <c r="B2385" s="46">
        <f>'Change Orders'!U350</f>
        <v/>
      </c>
      <c r="C2385" s="84">
        <f>'Change Orders'!S350</f>
        <v/>
      </c>
      <c r="D2385" s="46">
        <f>'Change Orders'!T350</f>
        <v/>
      </c>
      <c r="E2385" s="46">
        <f>IF(OR(B2385="",C2385="",D2385=""),"",D2385*100000+(C2385-DATE(2000,1,1))+ROW()/100000)</f>
        <v/>
      </c>
      <c r="F2385" s="46">
        <f>IF(E2385="","",IF(C2385&gt;WeekEndDate,"",E2385))</f>
        <v/>
      </c>
    </row>
    <row r="2386">
      <c r="A2386" t="inlineStr">
        <is>
          <t>Change Orders</t>
        </is>
      </c>
      <c r="B2386" s="46">
        <f>'Change Orders'!U351</f>
        <v/>
      </c>
      <c r="C2386" s="84">
        <f>'Change Orders'!S351</f>
        <v/>
      </c>
      <c r="D2386" s="46">
        <f>'Change Orders'!T351</f>
        <v/>
      </c>
      <c r="E2386" s="46">
        <f>IF(OR(B2386="",C2386="",D2386=""),"",D2386*100000+(C2386-DATE(2000,1,1))+ROW()/100000)</f>
        <v/>
      </c>
      <c r="F2386" s="46">
        <f>IF(E2386="","",IF(C2386&gt;WeekEndDate,"",E2386))</f>
        <v/>
      </c>
    </row>
    <row r="2387">
      <c r="A2387" t="inlineStr">
        <is>
          <t>Change Orders</t>
        </is>
      </c>
      <c r="B2387" s="46">
        <f>'Change Orders'!U352</f>
        <v/>
      </c>
      <c r="C2387" s="84">
        <f>'Change Orders'!S352</f>
        <v/>
      </c>
      <c r="D2387" s="46">
        <f>'Change Orders'!T352</f>
        <v/>
      </c>
      <c r="E2387" s="46">
        <f>IF(OR(B2387="",C2387="",D2387=""),"",D2387*100000+(C2387-DATE(2000,1,1))+ROW()/100000)</f>
        <v/>
      </c>
      <c r="F2387" s="46">
        <f>IF(E2387="","",IF(C2387&gt;WeekEndDate,"",E2387))</f>
        <v/>
      </c>
    </row>
    <row r="2388">
      <c r="A2388" t="inlineStr">
        <is>
          <t>Change Orders</t>
        </is>
      </c>
      <c r="B2388" s="46">
        <f>'Change Orders'!U353</f>
        <v/>
      </c>
      <c r="C2388" s="84">
        <f>'Change Orders'!S353</f>
        <v/>
      </c>
      <c r="D2388" s="46">
        <f>'Change Orders'!T353</f>
        <v/>
      </c>
      <c r="E2388" s="46">
        <f>IF(OR(B2388="",C2388="",D2388=""),"",D2388*100000+(C2388-DATE(2000,1,1))+ROW()/100000)</f>
        <v/>
      </c>
      <c r="F2388" s="46">
        <f>IF(E2388="","",IF(C2388&gt;WeekEndDate,"",E2388))</f>
        <v/>
      </c>
    </row>
    <row r="2389">
      <c r="A2389" t="inlineStr">
        <is>
          <t>Change Orders</t>
        </is>
      </c>
      <c r="B2389" s="46">
        <f>'Change Orders'!U354</f>
        <v/>
      </c>
      <c r="C2389" s="84">
        <f>'Change Orders'!S354</f>
        <v/>
      </c>
      <c r="D2389" s="46">
        <f>'Change Orders'!T354</f>
        <v/>
      </c>
      <c r="E2389" s="46">
        <f>IF(OR(B2389="",C2389="",D2389=""),"",D2389*100000+(C2389-DATE(2000,1,1))+ROW()/100000)</f>
        <v/>
      </c>
      <c r="F2389" s="46">
        <f>IF(E2389="","",IF(C2389&gt;WeekEndDate,"",E2389))</f>
        <v/>
      </c>
    </row>
    <row r="2390">
      <c r="A2390" t="inlineStr">
        <is>
          <t>Change Orders</t>
        </is>
      </c>
      <c r="B2390" s="46">
        <f>'Change Orders'!U355</f>
        <v/>
      </c>
      <c r="C2390" s="84">
        <f>'Change Orders'!S355</f>
        <v/>
      </c>
      <c r="D2390" s="46">
        <f>'Change Orders'!T355</f>
        <v/>
      </c>
      <c r="E2390" s="46">
        <f>IF(OR(B2390="",C2390="",D2390=""),"",D2390*100000+(C2390-DATE(2000,1,1))+ROW()/100000)</f>
        <v/>
      </c>
      <c r="F2390" s="46">
        <f>IF(E2390="","",IF(C2390&gt;WeekEndDate,"",E2390))</f>
        <v/>
      </c>
    </row>
    <row r="2391">
      <c r="A2391" t="inlineStr">
        <is>
          <t>Change Orders</t>
        </is>
      </c>
      <c r="B2391" s="46">
        <f>'Change Orders'!U356</f>
        <v/>
      </c>
      <c r="C2391" s="84">
        <f>'Change Orders'!S356</f>
        <v/>
      </c>
      <c r="D2391" s="46">
        <f>'Change Orders'!T356</f>
        <v/>
      </c>
      <c r="E2391" s="46">
        <f>IF(OR(B2391="",C2391="",D2391=""),"",D2391*100000+(C2391-DATE(2000,1,1))+ROW()/100000)</f>
        <v/>
      </c>
      <c r="F2391" s="46">
        <f>IF(E2391="","",IF(C2391&gt;WeekEndDate,"",E2391))</f>
        <v/>
      </c>
    </row>
    <row r="2392">
      <c r="A2392" t="inlineStr">
        <is>
          <t>Change Orders</t>
        </is>
      </c>
      <c r="B2392" s="46">
        <f>'Change Orders'!U357</f>
        <v/>
      </c>
      <c r="C2392" s="84">
        <f>'Change Orders'!S357</f>
        <v/>
      </c>
      <c r="D2392" s="46">
        <f>'Change Orders'!T357</f>
        <v/>
      </c>
      <c r="E2392" s="46">
        <f>IF(OR(B2392="",C2392="",D2392=""),"",D2392*100000+(C2392-DATE(2000,1,1))+ROW()/100000)</f>
        <v/>
      </c>
      <c r="F2392" s="46">
        <f>IF(E2392="","",IF(C2392&gt;WeekEndDate,"",E2392))</f>
        <v/>
      </c>
    </row>
    <row r="2393">
      <c r="A2393" t="inlineStr">
        <is>
          <t>Change Orders</t>
        </is>
      </c>
      <c r="B2393" s="46">
        <f>'Change Orders'!U358</f>
        <v/>
      </c>
      <c r="C2393" s="84">
        <f>'Change Orders'!S358</f>
        <v/>
      </c>
      <c r="D2393" s="46">
        <f>'Change Orders'!T358</f>
        <v/>
      </c>
      <c r="E2393" s="46">
        <f>IF(OR(B2393="",C2393="",D2393=""),"",D2393*100000+(C2393-DATE(2000,1,1))+ROW()/100000)</f>
        <v/>
      </c>
      <c r="F2393" s="46">
        <f>IF(E2393="","",IF(C2393&gt;WeekEndDate,"",E2393))</f>
        <v/>
      </c>
    </row>
    <row r="2394">
      <c r="A2394" t="inlineStr">
        <is>
          <t>Change Orders</t>
        </is>
      </c>
      <c r="B2394" s="46">
        <f>'Change Orders'!U359</f>
        <v/>
      </c>
      <c r="C2394" s="84">
        <f>'Change Orders'!S359</f>
        <v/>
      </c>
      <c r="D2394" s="46">
        <f>'Change Orders'!T359</f>
        <v/>
      </c>
      <c r="E2394" s="46">
        <f>IF(OR(B2394="",C2394="",D2394=""),"",D2394*100000+(C2394-DATE(2000,1,1))+ROW()/100000)</f>
        <v/>
      </c>
      <c r="F2394" s="46">
        <f>IF(E2394="","",IF(C2394&gt;WeekEndDate,"",E2394))</f>
        <v/>
      </c>
    </row>
    <row r="2395">
      <c r="A2395" t="inlineStr">
        <is>
          <t>Change Orders</t>
        </is>
      </c>
      <c r="B2395" s="46">
        <f>'Change Orders'!U360</f>
        <v/>
      </c>
      <c r="C2395" s="84">
        <f>'Change Orders'!S360</f>
        <v/>
      </c>
      <c r="D2395" s="46">
        <f>'Change Orders'!T360</f>
        <v/>
      </c>
      <c r="E2395" s="46">
        <f>IF(OR(B2395="",C2395="",D2395=""),"",D2395*100000+(C2395-DATE(2000,1,1))+ROW()/100000)</f>
        <v/>
      </c>
      <c r="F2395" s="46">
        <f>IF(E2395="","",IF(C2395&gt;WeekEndDate,"",E2395))</f>
        <v/>
      </c>
    </row>
    <row r="2396">
      <c r="A2396" t="inlineStr">
        <is>
          <t>Change Orders</t>
        </is>
      </c>
      <c r="B2396" s="46">
        <f>'Change Orders'!U361</f>
        <v/>
      </c>
      <c r="C2396" s="84">
        <f>'Change Orders'!S361</f>
        <v/>
      </c>
      <c r="D2396" s="46">
        <f>'Change Orders'!T361</f>
        <v/>
      </c>
      <c r="E2396" s="46">
        <f>IF(OR(B2396="",C2396="",D2396=""),"",D2396*100000+(C2396-DATE(2000,1,1))+ROW()/100000)</f>
        <v/>
      </c>
      <c r="F2396" s="46">
        <f>IF(E2396="","",IF(C2396&gt;WeekEndDate,"",E2396))</f>
        <v/>
      </c>
    </row>
    <row r="2397">
      <c r="A2397" t="inlineStr">
        <is>
          <t>Change Orders</t>
        </is>
      </c>
      <c r="B2397" s="46">
        <f>'Change Orders'!U362</f>
        <v/>
      </c>
      <c r="C2397" s="84">
        <f>'Change Orders'!S362</f>
        <v/>
      </c>
      <c r="D2397" s="46">
        <f>'Change Orders'!T362</f>
        <v/>
      </c>
      <c r="E2397" s="46">
        <f>IF(OR(B2397="",C2397="",D2397=""),"",D2397*100000+(C2397-DATE(2000,1,1))+ROW()/100000)</f>
        <v/>
      </c>
      <c r="F2397" s="46">
        <f>IF(E2397="","",IF(C2397&gt;WeekEndDate,"",E2397))</f>
        <v/>
      </c>
    </row>
    <row r="2398">
      <c r="A2398" t="inlineStr">
        <is>
          <t>Change Orders</t>
        </is>
      </c>
      <c r="B2398" s="46">
        <f>'Change Orders'!U363</f>
        <v/>
      </c>
      <c r="C2398" s="84">
        <f>'Change Orders'!S363</f>
        <v/>
      </c>
      <c r="D2398" s="46">
        <f>'Change Orders'!T363</f>
        <v/>
      </c>
      <c r="E2398" s="46">
        <f>IF(OR(B2398="",C2398="",D2398=""),"",D2398*100000+(C2398-DATE(2000,1,1))+ROW()/100000)</f>
        <v/>
      </c>
      <c r="F2398" s="46">
        <f>IF(E2398="","",IF(C2398&gt;WeekEndDate,"",E2398))</f>
        <v/>
      </c>
    </row>
    <row r="2399">
      <c r="A2399" t="inlineStr">
        <is>
          <t>Change Orders</t>
        </is>
      </c>
      <c r="B2399" s="46">
        <f>'Change Orders'!U364</f>
        <v/>
      </c>
      <c r="C2399" s="84">
        <f>'Change Orders'!S364</f>
        <v/>
      </c>
      <c r="D2399" s="46">
        <f>'Change Orders'!T364</f>
        <v/>
      </c>
      <c r="E2399" s="46">
        <f>IF(OR(B2399="",C2399="",D2399=""),"",D2399*100000+(C2399-DATE(2000,1,1))+ROW()/100000)</f>
        <v/>
      </c>
      <c r="F2399" s="46">
        <f>IF(E2399="","",IF(C2399&gt;WeekEndDate,"",E2399))</f>
        <v/>
      </c>
    </row>
    <row r="2400">
      <c r="A2400" t="inlineStr">
        <is>
          <t>Change Orders</t>
        </is>
      </c>
      <c r="B2400" s="46">
        <f>'Change Orders'!U365</f>
        <v/>
      </c>
      <c r="C2400" s="84">
        <f>'Change Orders'!S365</f>
        <v/>
      </c>
      <c r="D2400" s="46">
        <f>'Change Orders'!T365</f>
        <v/>
      </c>
      <c r="E2400" s="46">
        <f>IF(OR(B2400="",C2400="",D2400=""),"",D2400*100000+(C2400-DATE(2000,1,1))+ROW()/100000)</f>
        <v/>
      </c>
      <c r="F2400" s="46">
        <f>IF(E2400="","",IF(C2400&gt;WeekEndDate,"",E2400))</f>
        <v/>
      </c>
    </row>
    <row r="2401">
      <c r="A2401" t="inlineStr">
        <is>
          <t>Change Orders</t>
        </is>
      </c>
      <c r="B2401" s="46">
        <f>'Change Orders'!U366</f>
        <v/>
      </c>
      <c r="C2401" s="84">
        <f>'Change Orders'!S366</f>
        <v/>
      </c>
      <c r="D2401" s="46">
        <f>'Change Orders'!T366</f>
        <v/>
      </c>
      <c r="E2401" s="46">
        <f>IF(OR(B2401="",C2401="",D2401=""),"",D2401*100000+(C2401-DATE(2000,1,1))+ROW()/100000)</f>
        <v/>
      </c>
      <c r="F2401" s="46">
        <f>IF(E2401="","",IF(C2401&gt;WeekEndDate,"",E2401))</f>
        <v/>
      </c>
    </row>
    <row r="2402">
      <c r="A2402" t="inlineStr">
        <is>
          <t>Change Orders</t>
        </is>
      </c>
      <c r="B2402" s="46">
        <f>'Change Orders'!U367</f>
        <v/>
      </c>
      <c r="C2402" s="84">
        <f>'Change Orders'!S367</f>
        <v/>
      </c>
      <c r="D2402" s="46">
        <f>'Change Orders'!T367</f>
        <v/>
      </c>
      <c r="E2402" s="46">
        <f>IF(OR(B2402="",C2402="",D2402=""),"",D2402*100000+(C2402-DATE(2000,1,1))+ROW()/100000)</f>
        <v/>
      </c>
      <c r="F2402" s="46">
        <f>IF(E2402="","",IF(C2402&gt;WeekEndDate,"",E2402))</f>
        <v/>
      </c>
    </row>
    <row r="2403">
      <c r="A2403" t="inlineStr">
        <is>
          <t>Change Orders</t>
        </is>
      </c>
      <c r="B2403" s="46">
        <f>'Change Orders'!U368</f>
        <v/>
      </c>
      <c r="C2403" s="84">
        <f>'Change Orders'!S368</f>
        <v/>
      </c>
      <c r="D2403" s="46">
        <f>'Change Orders'!T368</f>
        <v/>
      </c>
      <c r="E2403" s="46">
        <f>IF(OR(B2403="",C2403="",D2403=""),"",D2403*100000+(C2403-DATE(2000,1,1))+ROW()/100000)</f>
        <v/>
      </c>
      <c r="F2403" s="46">
        <f>IF(E2403="","",IF(C2403&gt;WeekEndDate,"",E2403))</f>
        <v/>
      </c>
    </row>
    <row r="2404">
      <c r="A2404" t="inlineStr">
        <is>
          <t>Change Orders</t>
        </is>
      </c>
      <c r="B2404" s="46">
        <f>'Change Orders'!U369</f>
        <v/>
      </c>
      <c r="C2404" s="84">
        <f>'Change Orders'!S369</f>
        <v/>
      </c>
      <c r="D2404" s="46">
        <f>'Change Orders'!T369</f>
        <v/>
      </c>
      <c r="E2404" s="46">
        <f>IF(OR(B2404="",C2404="",D2404=""),"",D2404*100000+(C2404-DATE(2000,1,1))+ROW()/100000)</f>
        <v/>
      </c>
      <c r="F2404" s="46">
        <f>IF(E2404="","",IF(C2404&gt;WeekEndDate,"",E2404))</f>
        <v/>
      </c>
    </row>
    <row r="2405">
      <c r="A2405" t="inlineStr">
        <is>
          <t>Change Orders</t>
        </is>
      </c>
      <c r="B2405" s="46">
        <f>'Change Orders'!U370</f>
        <v/>
      </c>
      <c r="C2405" s="84">
        <f>'Change Orders'!S370</f>
        <v/>
      </c>
      <c r="D2405" s="46">
        <f>'Change Orders'!T370</f>
        <v/>
      </c>
      <c r="E2405" s="46">
        <f>IF(OR(B2405="",C2405="",D2405=""),"",D2405*100000+(C2405-DATE(2000,1,1))+ROW()/100000)</f>
        <v/>
      </c>
      <c r="F2405" s="46">
        <f>IF(E2405="","",IF(C2405&gt;WeekEndDate,"",E2405))</f>
        <v/>
      </c>
    </row>
    <row r="2406">
      <c r="A2406" t="inlineStr">
        <is>
          <t>Change Orders</t>
        </is>
      </c>
      <c r="B2406" s="46">
        <f>'Change Orders'!U371</f>
        <v/>
      </c>
      <c r="C2406" s="84">
        <f>'Change Orders'!S371</f>
        <v/>
      </c>
      <c r="D2406" s="46">
        <f>'Change Orders'!T371</f>
        <v/>
      </c>
      <c r="E2406" s="46">
        <f>IF(OR(B2406="",C2406="",D2406=""),"",D2406*100000+(C2406-DATE(2000,1,1))+ROW()/100000)</f>
        <v/>
      </c>
      <c r="F2406" s="46">
        <f>IF(E2406="","",IF(C2406&gt;WeekEndDate,"",E2406))</f>
        <v/>
      </c>
    </row>
    <row r="2407">
      <c r="A2407" t="inlineStr">
        <is>
          <t>Change Orders</t>
        </is>
      </c>
      <c r="B2407" s="46">
        <f>'Change Orders'!U372</f>
        <v/>
      </c>
      <c r="C2407" s="84">
        <f>'Change Orders'!S372</f>
        <v/>
      </c>
      <c r="D2407" s="46">
        <f>'Change Orders'!T372</f>
        <v/>
      </c>
      <c r="E2407" s="46">
        <f>IF(OR(B2407="",C2407="",D2407=""),"",D2407*100000+(C2407-DATE(2000,1,1))+ROW()/100000)</f>
        <v/>
      </c>
      <c r="F2407" s="46">
        <f>IF(E2407="","",IF(C2407&gt;WeekEndDate,"",E2407))</f>
        <v/>
      </c>
    </row>
    <row r="2408">
      <c r="A2408" t="inlineStr">
        <is>
          <t>Change Orders</t>
        </is>
      </c>
      <c r="B2408" s="46">
        <f>'Change Orders'!U373</f>
        <v/>
      </c>
      <c r="C2408" s="84">
        <f>'Change Orders'!S373</f>
        <v/>
      </c>
      <c r="D2408" s="46">
        <f>'Change Orders'!T373</f>
        <v/>
      </c>
      <c r="E2408" s="46">
        <f>IF(OR(B2408="",C2408="",D2408=""),"",D2408*100000+(C2408-DATE(2000,1,1))+ROW()/100000)</f>
        <v/>
      </c>
      <c r="F2408" s="46">
        <f>IF(E2408="","",IF(C2408&gt;WeekEndDate,"",E2408))</f>
        <v/>
      </c>
    </row>
    <row r="2409">
      <c r="A2409" t="inlineStr">
        <is>
          <t>Change Orders</t>
        </is>
      </c>
      <c r="B2409" s="46">
        <f>'Change Orders'!U374</f>
        <v/>
      </c>
      <c r="C2409" s="84">
        <f>'Change Orders'!S374</f>
        <v/>
      </c>
      <c r="D2409" s="46">
        <f>'Change Orders'!T374</f>
        <v/>
      </c>
      <c r="E2409" s="46">
        <f>IF(OR(B2409="",C2409="",D2409=""),"",D2409*100000+(C2409-DATE(2000,1,1))+ROW()/100000)</f>
        <v/>
      </c>
      <c r="F2409" s="46">
        <f>IF(E2409="","",IF(C2409&gt;WeekEndDate,"",E2409))</f>
        <v/>
      </c>
    </row>
    <row r="2410">
      <c r="A2410" t="inlineStr">
        <is>
          <t>Change Orders</t>
        </is>
      </c>
      <c r="B2410" s="46">
        <f>'Change Orders'!U375</f>
        <v/>
      </c>
      <c r="C2410" s="84">
        <f>'Change Orders'!S375</f>
        <v/>
      </c>
      <c r="D2410" s="46">
        <f>'Change Orders'!T375</f>
        <v/>
      </c>
      <c r="E2410" s="46">
        <f>IF(OR(B2410="",C2410="",D2410=""),"",D2410*100000+(C2410-DATE(2000,1,1))+ROW()/100000)</f>
        <v/>
      </c>
      <c r="F2410" s="46">
        <f>IF(E2410="","",IF(C2410&gt;WeekEndDate,"",E2410))</f>
        <v/>
      </c>
    </row>
    <row r="2411">
      <c r="A2411" t="inlineStr">
        <is>
          <t>Change Orders</t>
        </is>
      </c>
      <c r="B2411" s="46">
        <f>'Change Orders'!U376</f>
        <v/>
      </c>
      <c r="C2411" s="84">
        <f>'Change Orders'!S376</f>
        <v/>
      </c>
      <c r="D2411" s="46">
        <f>'Change Orders'!T376</f>
        <v/>
      </c>
      <c r="E2411" s="46">
        <f>IF(OR(B2411="",C2411="",D2411=""),"",D2411*100000+(C2411-DATE(2000,1,1))+ROW()/100000)</f>
        <v/>
      </c>
      <c r="F2411" s="46">
        <f>IF(E2411="","",IF(C2411&gt;WeekEndDate,"",E2411))</f>
        <v/>
      </c>
    </row>
    <row r="2412">
      <c r="A2412" t="inlineStr">
        <is>
          <t>Change Orders</t>
        </is>
      </c>
      <c r="B2412" s="46">
        <f>'Change Orders'!U377</f>
        <v/>
      </c>
      <c r="C2412" s="84">
        <f>'Change Orders'!S377</f>
        <v/>
      </c>
      <c r="D2412" s="46">
        <f>'Change Orders'!T377</f>
        <v/>
      </c>
      <c r="E2412" s="46">
        <f>IF(OR(B2412="",C2412="",D2412=""),"",D2412*100000+(C2412-DATE(2000,1,1))+ROW()/100000)</f>
        <v/>
      </c>
      <c r="F2412" s="46">
        <f>IF(E2412="","",IF(C2412&gt;WeekEndDate,"",E2412))</f>
        <v/>
      </c>
    </row>
    <row r="2413">
      <c r="A2413" t="inlineStr">
        <is>
          <t>Change Orders</t>
        </is>
      </c>
      <c r="B2413" s="46">
        <f>'Change Orders'!U378</f>
        <v/>
      </c>
      <c r="C2413" s="84">
        <f>'Change Orders'!S378</f>
        <v/>
      </c>
      <c r="D2413" s="46">
        <f>'Change Orders'!T378</f>
        <v/>
      </c>
      <c r="E2413" s="46">
        <f>IF(OR(B2413="",C2413="",D2413=""),"",D2413*100000+(C2413-DATE(2000,1,1))+ROW()/100000)</f>
        <v/>
      </c>
      <c r="F2413" s="46">
        <f>IF(E2413="","",IF(C2413&gt;WeekEndDate,"",E2413))</f>
        <v/>
      </c>
    </row>
    <row r="2414">
      <c r="A2414" t="inlineStr">
        <is>
          <t>Change Orders</t>
        </is>
      </c>
      <c r="B2414" s="46">
        <f>'Change Orders'!U379</f>
        <v/>
      </c>
      <c r="C2414" s="84">
        <f>'Change Orders'!S379</f>
        <v/>
      </c>
      <c r="D2414" s="46">
        <f>'Change Orders'!T379</f>
        <v/>
      </c>
      <c r="E2414" s="46">
        <f>IF(OR(B2414="",C2414="",D2414=""),"",D2414*100000+(C2414-DATE(2000,1,1))+ROW()/100000)</f>
        <v/>
      </c>
      <c r="F2414" s="46">
        <f>IF(E2414="","",IF(C2414&gt;WeekEndDate,"",E2414))</f>
        <v/>
      </c>
    </row>
    <row r="2415">
      <c r="A2415" t="inlineStr">
        <is>
          <t>Change Orders</t>
        </is>
      </c>
      <c r="B2415" s="46">
        <f>'Change Orders'!U380</f>
        <v/>
      </c>
      <c r="C2415" s="84">
        <f>'Change Orders'!S380</f>
        <v/>
      </c>
      <c r="D2415" s="46">
        <f>'Change Orders'!T380</f>
        <v/>
      </c>
      <c r="E2415" s="46">
        <f>IF(OR(B2415="",C2415="",D2415=""),"",D2415*100000+(C2415-DATE(2000,1,1))+ROW()/100000)</f>
        <v/>
      </c>
      <c r="F2415" s="46">
        <f>IF(E2415="","",IF(C2415&gt;WeekEndDate,"",E2415))</f>
        <v/>
      </c>
    </row>
    <row r="2416">
      <c r="A2416" t="inlineStr">
        <is>
          <t>Change Orders</t>
        </is>
      </c>
      <c r="B2416" s="46">
        <f>'Change Orders'!U381</f>
        <v/>
      </c>
      <c r="C2416" s="84">
        <f>'Change Orders'!S381</f>
        <v/>
      </c>
      <c r="D2416" s="46">
        <f>'Change Orders'!T381</f>
        <v/>
      </c>
      <c r="E2416" s="46">
        <f>IF(OR(B2416="",C2416="",D2416=""),"",D2416*100000+(C2416-DATE(2000,1,1))+ROW()/100000)</f>
        <v/>
      </c>
      <c r="F2416" s="46">
        <f>IF(E2416="","",IF(C2416&gt;WeekEndDate,"",E2416))</f>
        <v/>
      </c>
    </row>
    <row r="2417">
      <c r="A2417" t="inlineStr">
        <is>
          <t>Change Orders</t>
        </is>
      </c>
      <c r="B2417" s="46">
        <f>'Change Orders'!U382</f>
        <v/>
      </c>
      <c r="C2417" s="84">
        <f>'Change Orders'!S382</f>
        <v/>
      </c>
      <c r="D2417" s="46">
        <f>'Change Orders'!T382</f>
        <v/>
      </c>
      <c r="E2417" s="46">
        <f>IF(OR(B2417="",C2417="",D2417=""),"",D2417*100000+(C2417-DATE(2000,1,1))+ROW()/100000)</f>
        <v/>
      </c>
      <c r="F2417" s="46">
        <f>IF(E2417="","",IF(C2417&gt;WeekEndDate,"",E2417))</f>
        <v/>
      </c>
    </row>
    <row r="2418">
      <c r="A2418" t="inlineStr">
        <is>
          <t>Change Orders</t>
        </is>
      </c>
      <c r="B2418" s="46">
        <f>'Change Orders'!U383</f>
        <v/>
      </c>
      <c r="C2418" s="84">
        <f>'Change Orders'!S383</f>
        <v/>
      </c>
      <c r="D2418" s="46">
        <f>'Change Orders'!T383</f>
        <v/>
      </c>
      <c r="E2418" s="46">
        <f>IF(OR(B2418="",C2418="",D2418=""),"",D2418*100000+(C2418-DATE(2000,1,1))+ROW()/100000)</f>
        <v/>
      </c>
      <c r="F2418" s="46">
        <f>IF(E2418="","",IF(C2418&gt;WeekEndDate,"",E2418))</f>
        <v/>
      </c>
    </row>
    <row r="2419">
      <c r="A2419" t="inlineStr">
        <is>
          <t>Change Orders</t>
        </is>
      </c>
      <c r="B2419" s="46">
        <f>'Change Orders'!U384</f>
        <v/>
      </c>
      <c r="C2419" s="84">
        <f>'Change Orders'!S384</f>
        <v/>
      </c>
      <c r="D2419" s="46">
        <f>'Change Orders'!T384</f>
        <v/>
      </c>
      <c r="E2419" s="46">
        <f>IF(OR(B2419="",C2419="",D2419=""),"",D2419*100000+(C2419-DATE(2000,1,1))+ROW()/100000)</f>
        <v/>
      </c>
      <c r="F2419" s="46">
        <f>IF(E2419="","",IF(C2419&gt;WeekEndDate,"",E2419))</f>
        <v/>
      </c>
    </row>
    <row r="2420">
      <c r="A2420" t="inlineStr">
        <is>
          <t>Change Orders</t>
        </is>
      </c>
      <c r="B2420" s="46">
        <f>'Change Orders'!U385</f>
        <v/>
      </c>
      <c r="C2420" s="84">
        <f>'Change Orders'!S385</f>
        <v/>
      </c>
      <c r="D2420" s="46">
        <f>'Change Orders'!T385</f>
        <v/>
      </c>
      <c r="E2420" s="46">
        <f>IF(OR(B2420="",C2420="",D2420=""),"",D2420*100000+(C2420-DATE(2000,1,1))+ROW()/100000)</f>
        <v/>
      </c>
      <c r="F2420" s="46">
        <f>IF(E2420="","",IF(C2420&gt;WeekEndDate,"",E2420))</f>
        <v/>
      </c>
    </row>
    <row r="2421">
      <c r="A2421" t="inlineStr">
        <is>
          <t>Change Orders</t>
        </is>
      </c>
      <c r="B2421" s="46">
        <f>'Change Orders'!U386</f>
        <v/>
      </c>
      <c r="C2421" s="84">
        <f>'Change Orders'!S386</f>
        <v/>
      </c>
      <c r="D2421" s="46">
        <f>'Change Orders'!T386</f>
        <v/>
      </c>
      <c r="E2421" s="46">
        <f>IF(OR(B2421="",C2421="",D2421=""),"",D2421*100000+(C2421-DATE(2000,1,1))+ROW()/100000)</f>
        <v/>
      </c>
      <c r="F2421" s="46">
        <f>IF(E2421="","",IF(C2421&gt;WeekEndDate,"",E2421))</f>
        <v/>
      </c>
    </row>
    <row r="2422">
      <c r="A2422" t="inlineStr">
        <is>
          <t>Change Orders</t>
        </is>
      </c>
      <c r="B2422" s="46">
        <f>'Change Orders'!U387</f>
        <v/>
      </c>
      <c r="C2422" s="84">
        <f>'Change Orders'!S387</f>
        <v/>
      </c>
      <c r="D2422" s="46">
        <f>'Change Orders'!T387</f>
        <v/>
      </c>
      <c r="E2422" s="46">
        <f>IF(OR(B2422="",C2422="",D2422=""),"",D2422*100000+(C2422-DATE(2000,1,1))+ROW()/100000)</f>
        <v/>
      </c>
      <c r="F2422" s="46">
        <f>IF(E2422="","",IF(C2422&gt;WeekEndDate,"",E2422))</f>
        <v/>
      </c>
    </row>
    <row r="2423">
      <c r="A2423" t="inlineStr">
        <is>
          <t>Change Orders</t>
        </is>
      </c>
      <c r="B2423" s="46">
        <f>'Change Orders'!U388</f>
        <v/>
      </c>
      <c r="C2423" s="84">
        <f>'Change Orders'!S388</f>
        <v/>
      </c>
      <c r="D2423" s="46">
        <f>'Change Orders'!T388</f>
        <v/>
      </c>
      <c r="E2423" s="46">
        <f>IF(OR(B2423="",C2423="",D2423=""),"",D2423*100000+(C2423-DATE(2000,1,1))+ROW()/100000)</f>
        <v/>
      </c>
      <c r="F2423" s="46">
        <f>IF(E2423="","",IF(C2423&gt;WeekEndDate,"",E2423))</f>
        <v/>
      </c>
    </row>
    <row r="2424">
      <c r="A2424" t="inlineStr">
        <is>
          <t>Change Orders</t>
        </is>
      </c>
      <c r="B2424" s="46">
        <f>'Change Orders'!U389</f>
        <v/>
      </c>
      <c r="C2424" s="84">
        <f>'Change Orders'!S389</f>
        <v/>
      </c>
      <c r="D2424" s="46">
        <f>'Change Orders'!T389</f>
        <v/>
      </c>
      <c r="E2424" s="46">
        <f>IF(OR(B2424="",C2424="",D2424=""),"",D2424*100000+(C2424-DATE(2000,1,1))+ROW()/100000)</f>
        <v/>
      </c>
      <c r="F2424" s="46">
        <f>IF(E2424="","",IF(C2424&gt;WeekEndDate,"",E2424))</f>
        <v/>
      </c>
    </row>
    <row r="2425">
      <c r="A2425" t="inlineStr">
        <is>
          <t>Change Orders</t>
        </is>
      </c>
      <c r="B2425" s="46">
        <f>'Change Orders'!U390</f>
        <v/>
      </c>
      <c r="C2425" s="84">
        <f>'Change Orders'!S390</f>
        <v/>
      </c>
      <c r="D2425" s="46">
        <f>'Change Orders'!T390</f>
        <v/>
      </c>
      <c r="E2425" s="46">
        <f>IF(OR(B2425="",C2425="",D2425=""),"",D2425*100000+(C2425-DATE(2000,1,1))+ROW()/100000)</f>
        <v/>
      </c>
      <c r="F2425" s="46">
        <f>IF(E2425="","",IF(C2425&gt;WeekEndDate,"",E2425))</f>
        <v/>
      </c>
    </row>
    <row r="2426">
      <c r="A2426" t="inlineStr">
        <is>
          <t>Change Orders</t>
        </is>
      </c>
      <c r="B2426" s="46">
        <f>'Change Orders'!U391</f>
        <v/>
      </c>
      <c r="C2426" s="84">
        <f>'Change Orders'!S391</f>
        <v/>
      </c>
      <c r="D2426" s="46">
        <f>'Change Orders'!T391</f>
        <v/>
      </c>
      <c r="E2426" s="46">
        <f>IF(OR(B2426="",C2426="",D2426=""),"",D2426*100000+(C2426-DATE(2000,1,1))+ROW()/100000)</f>
        <v/>
      </c>
      <c r="F2426" s="46">
        <f>IF(E2426="","",IF(C2426&gt;WeekEndDate,"",E2426))</f>
        <v/>
      </c>
    </row>
    <row r="2427">
      <c r="A2427" t="inlineStr">
        <is>
          <t>Change Orders</t>
        </is>
      </c>
      <c r="B2427" s="46">
        <f>'Change Orders'!U392</f>
        <v/>
      </c>
      <c r="C2427" s="84">
        <f>'Change Orders'!S392</f>
        <v/>
      </c>
      <c r="D2427" s="46">
        <f>'Change Orders'!T392</f>
        <v/>
      </c>
      <c r="E2427" s="46">
        <f>IF(OR(B2427="",C2427="",D2427=""),"",D2427*100000+(C2427-DATE(2000,1,1))+ROW()/100000)</f>
        <v/>
      </c>
      <c r="F2427" s="46">
        <f>IF(E2427="","",IF(C2427&gt;WeekEndDate,"",E2427))</f>
        <v/>
      </c>
    </row>
    <row r="2428">
      <c r="A2428" t="inlineStr">
        <is>
          <t>Change Orders</t>
        </is>
      </c>
      <c r="B2428" s="46">
        <f>'Change Orders'!U393</f>
        <v/>
      </c>
      <c r="C2428" s="84">
        <f>'Change Orders'!S393</f>
        <v/>
      </c>
      <c r="D2428" s="46">
        <f>'Change Orders'!T393</f>
        <v/>
      </c>
      <c r="E2428" s="46">
        <f>IF(OR(B2428="",C2428="",D2428=""),"",D2428*100000+(C2428-DATE(2000,1,1))+ROW()/100000)</f>
        <v/>
      </c>
      <c r="F2428" s="46">
        <f>IF(E2428="","",IF(C2428&gt;WeekEndDate,"",E2428))</f>
        <v/>
      </c>
    </row>
    <row r="2429">
      <c r="A2429" t="inlineStr">
        <is>
          <t>Change Orders</t>
        </is>
      </c>
      <c r="B2429" s="46">
        <f>'Change Orders'!U394</f>
        <v/>
      </c>
      <c r="C2429" s="84">
        <f>'Change Orders'!S394</f>
        <v/>
      </c>
      <c r="D2429" s="46">
        <f>'Change Orders'!T394</f>
        <v/>
      </c>
      <c r="E2429" s="46">
        <f>IF(OR(B2429="",C2429="",D2429=""),"",D2429*100000+(C2429-DATE(2000,1,1))+ROW()/100000)</f>
        <v/>
      </c>
      <c r="F2429" s="46">
        <f>IF(E2429="","",IF(C2429&gt;WeekEndDate,"",E2429))</f>
        <v/>
      </c>
    </row>
    <row r="2430">
      <c r="A2430" t="inlineStr">
        <is>
          <t>Change Orders</t>
        </is>
      </c>
      <c r="B2430" s="46">
        <f>'Change Orders'!U395</f>
        <v/>
      </c>
      <c r="C2430" s="84">
        <f>'Change Orders'!S395</f>
        <v/>
      </c>
      <c r="D2430" s="46">
        <f>'Change Orders'!T395</f>
        <v/>
      </c>
      <c r="E2430" s="46">
        <f>IF(OR(B2430="",C2430="",D2430=""),"",D2430*100000+(C2430-DATE(2000,1,1))+ROW()/100000)</f>
        <v/>
      </c>
      <c r="F2430" s="46">
        <f>IF(E2430="","",IF(C2430&gt;WeekEndDate,"",E2430))</f>
        <v/>
      </c>
    </row>
    <row r="2431">
      <c r="A2431" t="inlineStr">
        <is>
          <t>Change Orders</t>
        </is>
      </c>
      <c r="B2431" s="46">
        <f>'Change Orders'!U396</f>
        <v/>
      </c>
      <c r="C2431" s="84">
        <f>'Change Orders'!S396</f>
        <v/>
      </c>
      <c r="D2431" s="46">
        <f>'Change Orders'!T396</f>
        <v/>
      </c>
      <c r="E2431" s="46">
        <f>IF(OR(B2431="",C2431="",D2431=""),"",D2431*100000+(C2431-DATE(2000,1,1))+ROW()/100000)</f>
        <v/>
      </c>
      <c r="F2431" s="46">
        <f>IF(E2431="","",IF(C2431&gt;WeekEndDate,"",E2431))</f>
        <v/>
      </c>
    </row>
    <row r="2432">
      <c r="A2432" t="inlineStr">
        <is>
          <t>Change Orders</t>
        </is>
      </c>
      <c r="B2432" s="46">
        <f>'Change Orders'!U397</f>
        <v/>
      </c>
      <c r="C2432" s="84">
        <f>'Change Orders'!S397</f>
        <v/>
      </c>
      <c r="D2432" s="46">
        <f>'Change Orders'!T397</f>
        <v/>
      </c>
      <c r="E2432" s="46">
        <f>IF(OR(B2432="",C2432="",D2432=""),"",D2432*100000+(C2432-DATE(2000,1,1))+ROW()/100000)</f>
        <v/>
      </c>
      <c r="F2432" s="46">
        <f>IF(E2432="","",IF(C2432&gt;WeekEndDate,"",E2432))</f>
        <v/>
      </c>
    </row>
    <row r="2433">
      <c r="A2433" t="inlineStr">
        <is>
          <t>Change Orders</t>
        </is>
      </c>
      <c r="B2433" s="46">
        <f>'Change Orders'!U398</f>
        <v/>
      </c>
      <c r="C2433" s="84">
        <f>'Change Orders'!S398</f>
        <v/>
      </c>
      <c r="D2433" s="46">
        <f>'Change Orders'!T398</f>
        <v/>
      </c>
      <c r="E2433" s="46">
        <f>IF(OR(B2433="",C2433="",D2433=""),"",D2433*100000+(C2433-DATE(2000,1,1))+ROW()/100000)</f>
        <v/>
      </c>
      <c r="F2433" s="46">
        <f>IF(E2433="","",IF(C2433&gt;WeekEndDate,"",E2433))</f>
        <v/>
      </c>
    </row>
    <row r="2434">
      <c r="A2434" t="inlineStr">
        <is>
          <t>Change Orders</t>
        </is>
      </c>
      <c r="B2434" s="46">
        <f>'Change Orders'!U399</f>
        <v/>
      </c>
      <c r="C2434" s="84">
        <f>'Change Orders'!S399</f>
        <v/>
      </c>
      <c r="D2434" s="46">
        <f>'Change Orders'!T399</f>
        <v/>
      </c>
      <c r="E2434" s="46">
        <f>IF(OR(B2434="",C2434="",D2434=""),"",D2434*100000+(C2434-DATE(2000,1,1))+ROW()/100000)</f>
        <v/>
      </c>
      <c r="F2434" s="46">
        <f>IF(E2434="","",IF(C2434&gt;WeekEndDate,"",E2434))</f>
        <v/>
      </c>
    </row>
    <row r="2435">
      <c r="A2435" t="inlineStr">
        <is>
          <t>Change Orders</t>
        </is>
      </c>
      <c r="B2435" s="46">
        <f>'Change Orders'!U400</f>
        <v/>
      </c>
      <c r="C2435" s="84">
        <f>'Change Orders'!S400</f>
        <v/>
      </c>
      <c r="D2435" s="46">
        <f>'Change Orders'!T400</f>
        <v/>
      </c>
      <c r="E2435" s="46">
        <f>IF(OR(B2435="",C2435="",D2435=""),"",D2435*100000+(C2435-DATE(2000,1,1))+ROW()/100000)</f>
        <v/>
      </c>
      <c r="F2435" s="46">
        <f>IF(E2435="","",IF(C2435&gt;WeekEndDate,"",E2435))</f>
        <v/>
      </c>
    </row>
    <row r="2436">
      <c r="A2436" t="inlineStr">
        <is>
          <t>Change Orders</t>
        </is>
      </c>
      <c r="B2436" s="46">
        <f>'Change Orders'!U401</f>
        <v/>
      </c>
      <c r="C2436" s="84">
        <f>'Change Orders'!S401</f>
        <v/>
      </c>
      <c r="D2436" s="46">
        <f>'Change Orders'!T401</f>
        <v/>
      </c>
      <c r="E2436" s="46">
        <f>IF(OR(B2436="",C2436="",D2436=""),"",D2436*100000+(C2436-DATE(2000,1,1))+ROW()/100000)</f>
        <v/>
      </c>
      <c r="F2436" s="46">
        <f>IF(E2436="","",IF(C2436&gt;WeekEndDate,"",E2436))</f>
        <v/>
      </c>
    </row>
    <row r="2437">
      <c r="A2437" t="inlineStr">
        <is>
          <t>Change Orders</t>
        </is>
      </c>
      <c r="B2437" s="46">
        <f>'Change Orders'!U402</f>
        <v/>
      </c>
      <c r="C2437" s="84">
        <f>'Change Orders'!S402</f>
        <v/>
      </c>
      <c r="D2437" s="46">
        <f>'Change Orders'!T402</f>
        <v/>
      </c>
      <c r="E2437" s="46">
        <f>IF(OR(B2437="",C2437="",D2437=""),"",D2437*100000+(C2437-DATE(2000,1,1))+ROW()/100000)</f>
        <v/>
      </c>
      <c r="F2437" s="46">
        <f>IF(E2437="","",IF(C2437&gt;WeekEndDate,"",E2437))</f>
        <v/>
      </c>
    </row>
    <row r="2438">
      <c r="A2438" t="inlineStr">
        <is>
          <t>Change Orders</t>
        </is>
      </c>
      <c r="B2438" s="46">
        <f>'Change Orders'!U403</f>
        <v/>
      </c>
      <c r="C2438" s="84">
        <f>'Change Orders'!S403</f>
        <v/>
      </c>
      <c r="D2438" s="46">
        <f>'Change Orders'!T403</f>
        <v/>
      </c>
      <c r="E2438" s="46">
        <f>IF(OR(B2438="",C2438="",D2438=""),"",D2438*100000+(C2438-DATE(2000,1,1))+ROW()/100000)</f>
        <v/>
      </c>
      <c r="F2438" s="46">
        <f>IF(E2438="","",IF(C2438&gt;WeekEndDate,"",E2438))</f>
        <v/>
      </c>
    </row>
    <row r="2439">
      <c r="A2439" t="inlineStr">
        <is>
          <t>Change Orders</t>
        </is>
      </c>
      <c r="B2439" s="46">
        <f>'Change Orders'!U404</f>
        <v/>
      </c>
      <c r="C2439" s="84">
        <f>'Change Orders'!S404</f>
        <v/>
      </c>
      <c r="D2439" s="46">
        <f>'Change Orders'!T404</f>
        <v/>
      </c>
      <c r="E2439" s="46">
        <f>IF(OR(B2439="",C2439="",D2439=""),"",D2439*100000+(C2439-DATE(2000,1,1))+ROW()/100000)</f>
        <v/>
      </c>
      <c r="F2439" s="46">
        <f>IF(E2439="","",IF(C2439&gt;WeekEndDate,"",E2439))</f>
        <v/>
      </c>
    </row>
    <row r="2440">
      <c r="A2440" t="inlineStr">
        <is>
          <t>Change Orders</t>
        </is>
      </c>
      <c r="B2440" s="46">
        <f>'Change Orders'!U405</f>
        <v/>
      </c>
      <c r="C2440" s="84">
        <f>'Change Orders'!S405</f>
        <v/>
      </c>
      <c r="D2440" s="46">
        <f>'Change Orders'!T405</f>
        <v/>
      </c>
      <c r="E2440" s="46">
        <f>IF(OR(B2440="",C2440="",D2440=""),"",D2440*100000+(C2440-DATE(2000,1,1))+ROW()/100000)</f>
        <v/>
      </c>
      <c r="F2440" s="46">
        <f>IF(E2440="","",IF(C2440&gt;WeekEndDate,"",E2440))</f>
        <v/>
      </c>
    </row>
    <row r="2441">
      <c r="A2441" t="inlineStr">
        <is>
          <t>Change Orders</t>
        </is>
      </c>
      <c r="B2441" s="46">
        <f>'Change Orders'!U406</f>
        <v/>
      </c>
      <c r="C2441" s="84">
        <f>'Change Orders'!S406</f>
        <v/>
      </c>
      <c r="D2441" s="46">
        <f>'Change Orders'!T406</f>
        <v/>
      </c>
      <c r="E2441" s="46">
        <f>IF(OR(B2441="",C2441="",D2441=""),"",D2441*100000+(C2441-DATE(2000,1,1))+ROW()/100000)</f>
        <v/>
      </c>
      <c r="F2441" s="46">
        <f>IF(E2441="","",IF(C2441&gt;WeekEndDate,"",E2441))</f>
        <v/>
      </c>
    </row>
    <row r="2442">
      <c r="A2442" t="inlineStr">
        <is>
          <t>Change Orders</t>
        </is>
      </c>
      <c r="B2442" s="46">
        <f>'Change Orders'!U407</f>
        <v/>
      </c>
      <c r="C2442" s="84">
        <f>'Change Orders'!S407</f>
        <v/>
      </c>
      <c r="D2442" s="46">
        <f>'Change Orders'!T407</f>
        <v/>
      </c>
      <c r="E2442" s="46">
        <f>IF(OR(B2442="",C2442="",D2442=""),"",D2442*100000+(C2442-DATE(2000,1,1))+ROW()/100000)</f>
        <v/>
      </c>
      <c r="F2442" s="46">
        <f>IF(E2442="","",IF(C2442&gt;WeekEndDate,"",E2442))</f>
        <v/>
      </c>
    </row>
    <row r="2443">
      <c r="A2443" t="inlineStr">
        <is>
          <t>Change Orders</t>
        </is>
      </c>
      <c r="B2443" s="46">
        <f>'Change Orders'!U408</f>
        <v/>
      </c>
      <c r="C2443" s="84">
        <f>'Change Orders'!S408</f>
        <v/>
      </c>
      <c r="D2443" s="46">
        <f>'Change Orders'!T408</f>
        <v/>
      </c>
      <c r="E2443" s="46">
        <f>IF(OR(B2443="",C2443="",D2443=""),"",D2443*100000+(C2443-DATE(2000,1,1))+ROW()/100000)</f>
        <v/>
      </c>
      <c r="F2443" s="46">
        <f>IF(E2443="","",IF(C2443&gt;WeekEndDate,"",E2443))</f>
        <v/>
      </c>
    </row>
    <row r="2444">
      <c r="A2444" t="inlineStr">
        <is>
          <t>Change Orders</t>
        </is>
      </c>
      <c r="B2444" s="46">
        <f>'Change Orders'!U409</f>
        <v/>
      </c>
      <c r="C2444" s="84">
        <f>'Change Orders'!S409</f>
        <v/>
      </c>
      <c r="D2444" s="46">
        <f>'Change Orders'!T409</f>
        <v/>
      </c>
      <c r="E2444" s="46">
        <f>IF(OR(B2444="",C2444="",D2444=""),"",D2444*100000+(C2444-DATE(2000,1,1))+ROW()/100000)</f>
        <v/>
      </c>
      <c r="F2444" s="46">
        <f>IF(E2444="","",IF(C2444&gt;WeekEndDate,"",E2444))</f>
        <v/>
      </c>
    </row>
    <row r="2445">
      <c r="A2445" t="inlineStr">
        <is>
          <t>Change Orders</t>
        </is>
      </c>
      <c r="B2445" s="46">
        <f>'Change Orders'!U410</f>
        <v/>
      </c>
      <c r="C2445" s="84">
        <f>'Change Orders'!S410</f>
        <v/>
      </c>
      <c r="D2445" s="46">
        <f>'Change Orders'!T410</f>
        <v/>
      </c>
      <c r="E2445" s="46">
        <f>IF(OR(B2445="",C2445="",D2445=""),"",D2445*100000+(C2445-DATE(2000,1,1))+ROW()/100000)</f>
        <v/>
      </c>
      <c r="F2445" s="46">
        <f>IF(E2445="","",IF(C2445&gt;WeekEndDate,"",E2445))</f>
        <v/>
      </c>
    </row>
    <row r="2446">
      <c r="A2446" t="inlineStr">
        <is>
          <t>Change Orders</t>
        </is>
      </c>
      <c r="B2446" s="46">
        <f>'Change Orders'!U411</f>
        <v/>
      </c>
      <c r="C2446" s="84">
        <f>'Change Orders'!S411</f>
        <v/>
      </c>
      <c r="D2446" s="46">
        <f>'Change Orders'!T411</f>
        <v/>
      </c>
      <c r="E2446" s="46">
        <f>IF(OR(B2446="",C2446="",D2446=""),"",D2446*100000+(C2446-DATE(2000,1,1))+ROW()/100000)</f>
        <v/>
      </c>
      <c r="F2446" s="46">
        <f>IF(E2446="","",IF(C2446&gt;WeekEndDate,"",E2446))</f>
        <v/>
      </c>
    </row>
    <row r="2447">
      <c r="A2447" t="inlineStr">
        <is>
          <t>Change Orders</t>
        </is>
      </c>
      <c r="B2447" s="46">
        <f>'Change Orders'!U412</f>
        <v/>
      </c>
      <c r="C2447" s="84">
        <f>'Change Orders'!S412</f>
        <v/>
      </c>
      <c r="D2447" s="46">
        <f>'Change Orders'!T412</f>
        <v/>
      </c>
      <c r="E2447" s="46">
        <f>IF(OR(B2447="",C2447="",D2447=""),"",D2447*100000+(C2447-DATE(2000,1,1))+ROW()/100000)</f>
        <v/>
      </c>
      <c r="F2447" s="46">
        <f>IF(E2447="","",IF(C2447&gt;WeekEndDate,"",E2447))</f>
        <v/>
      </c>
    </row>
    <row r="2448">
      <c r="A2448" t="inlineStr">
        <is>
          <t>Change Orders</t>
        </is>
      </c>
      <c r="B2448" s="46">
        <f>'Change Orders'!U413</f>
        <v/>
      </c>
      <c r="C2448" s="84">
        <f>'Change Orders'!S413</f>
        <v/>
      </c>
      <c r="D2448" s="46">
        <f>'Change Orders'!T413</f>
        <v/>
      </c>
      <c r="E2448" s="46">
        <f>IF(OR(B2448="",C2448="",D2448=""),"",D2448*100000+(C2448-DATE(2000,1,1))+ROW()/100000)</f>
        <v/>
      </c>
      <c r="F2448" s="46">
        <f>IF(E2448="","",IF(C2448&gt;WeekEndDate,"",E2448))</f>
        <v/>
      </c>
    </row>
    <row r="2449">
      <c r="A2449" t="inlineStr">
        <is>
          <t>Change Orders</t>
        </is>
      </c>
      <c r="B2449" s="46">
        <f>'Change Orders'!U414</f>
        <v/>
      </c>
      <c r="C2449" s="84">
        <f>'Change Orders'!S414</f>
        <v/>
      </c>
      <c r="D2449" s="46">
        <f>'Change Orders'!T414</f>
        <v/>
      </c>
      <c r="E2449" s="46">
        <f>IF(OR(B2449="",C2449="",D2449=""),"",D2449*100000+(C2449-DATE(2000,1,1))+ROW()/100000)</f>
        <v/>
      </c>
      <c r="F2449" s="46">
        <f>IF(E2449="","",IF(C2449&gt;WeekEndDate,"",E2449))</f>
        <v/>
      </c>
    </row>
    <row r="2450">
      <c r="A2450" t="inlineStr">
        <is>
          <t>Change Orders</t>
        </is>
      </c>
      <c r="B2450" s="46">
        <f>'Change Orders'!U415</f>
        <v/>
      </c>
      <c r="C2450" s="84">
        <f>'Change Orders'!S415</f>
        <v/>
      </c>
      <c r="D2450" s="46">
        <f>'Change Orders'!T415</f>
        <v/>
      </c>
      <c r="E2450" s="46">
        <f>IF(OR(B2450="",C2450="",D2450=""),"",D2450*100000+(C2450-DATE(2000,1,1))+ROW()/100000)</f>
        <v/>
      </c>
      <c r="F2450" s="46">
        <f>IF(E2450="","",IF(C2450&gt;WeekEndDate,"",E2450))</f>
        <v/>
      </c>
    </row>
    <row r="2451">
      <c r="A2451" t="inlineStr">
        <is>
          <t>Change Orders</t>
        </is>
      </c>
      <c r="B2451" s="46">
        <f>'Change Orders'!U416</f>
        <v/>
      </c>
      <c r="C2451" s="84">
        <f>'Change Orders'!S416</f>
        <v/>
      </c>
      <c r="D2451" s="46">
        <f>'Change Orders'!T416</f>
        <v/>
      </c>
      <c r="E2451" s="46">
        <f>IF(OR(B2451="",C2451="",D2451=""),"",D2451*100000+(C2451-DATE(2000,1,1))+ROW()/100000)</f>
        <v/>
      </c>
      <c r="F2451" s="46">
        <f>IF(E2451="","",IF(C2451&gt;WeekEndDate,"",E2451))</f>
        <v/>
      </c>
    </row>
    <row r="2452">
      <c r="A2452" t="inlineStr">
        <is>
          <t>Change Orders</t>
        </is>
      </c>
      <c r="B2452" s="46">
        <f>'Change Orders'!U417</f>
        <v/>
      </c>
      <c r="C2452" s="84">
        <f>'Change Orders'!S417</f>
        <v/>
      </c>
      <c r="D2452" s="46">
        <f>'Change Orders'!T417</f>
        <v/>
      </c>
      <c r="E2452" s="46">
        <f>IF(OR(B2452="",C2452="",D2452=""),"",D2452*100000+(C2452-DATE(2000,1,1))+ROW()/100000)</f>
        <v/>
      </c>
      <c r="F2452" s="46">
        <f>IF(E2452="","",IF(C2452&gt;WeekEndDate,"",E2452))</f>
        <v/>
      </c>
    </row>
    <row r="2453">
      <c r="A2453" t="inlineStr">
        <is>
          <t>Change Orders</t>
        </is>
      </c>
      <c r="B2453" s="46">
        <f>'Change Orders'!U418</f>
        <v/>
      </c>
      <c r="C2453" s="84">
        <f>'Change Orders'!S418</f>
        <v/>
      </c>
      <c r="D2453" s="46">
        <f>'Change Orders'!T418</f>
        <v/>
      </c>
      <c r="E2453" s="46">
        <f>IF(OR(B2453="",C2453="",D2453=""),"",D2453*100000+(C2453-DATE(2000,1,1))+ROW()/100000)</f>
        <v/>
      </c>
      <c r="F2453" s="46">
        <f>IF(E2453="","",IF(C2453&gt;WeekEndDate,"",E2453))</f>
        <v/>
      </c>
    </row>
    <row r="2454">
      <c r="A2454" t="inlineStr">
        <is>
          <t>Change Orders</t>
        </is>
      </c>
      <c r="B2454" s="46">
        <f>'Change Orders'!U419</f>
        <v/>
      </c>
      <c r="C2454" s="84">
        <f>'Change Orders'!S419</f>
        <v/>
      </c>
      <c r="D2454" s="46">
        <f>'Change Orders'!T419</f>
        <v/>
      </c>
      <c r="E2454" s="46">
        <f>IF(OR(B2454="",C2454="",D2454=""),"",D2454*100000+(C2454-DATE(2000,1,1))+ROW()/100000)</f>
        <v/>
      </c>
      <c r="F2454" s="46">
        <f>IF(E2454="","",IF(C2454&gt;WeekEndDate,"",E2454))</f>
        <v/>
      </c>
    </row>
    <row r="2455">
      <c r="A2455" t="inlineStr">
        <is>
          <t>Change Orders</t>
        </is>
      </c>
      <c r="B2455" s="46">
        <f>'Change Orders'!U420</f>
        <v/>
      </c>
      <c r="C2455" s="84">
        <f>'Change Orders'!S420</f>
        <v/>
      </c>
      <c r="D2455" s="46">
        <f>'Change Orders'!T420</f>
        <v/>
      </c>
      <c r="E2455" s="46">
        <f>IF(OR(B2455="",C2455="",D2455=""),"",D2455*100000+(C2455-DATE(2000,1,1))+ROW()/100000)</f>
        <v/>
      </c>
      <c r="F2455" s="46">
        <f>IF(E2455="","",IF(C2455&gt;WeekEndDate,"",E2455))</f>
        <v/>
      </c>
    </row>
    <row r="2456">
      <c r="A2456" t="inlineStr">
        <is>
          <t>Change Orders</t>
        </is>
      </c>
      <c r="B2456" s="46">
        <f>'Change Orders'!U421</f>
        <v/>
      </c>
      <c r="C2456" s="84">
        <f>'Change Orders'!S421</f>
        <v/>
      </c>
      <c r="D2456" s="46">
        <f>'Change Orders'!T421</f>
        <v/>
      </c>
      <c r="E2456" s="46">
        <f>IF(OR(B2456="",C2456="",D2456=""),"",D2456*100000+(C2456-DATE(2000,1,1))+ROW()/100000)</f>
        <v/>
      </c>
      <c r="F2456" s="46">
        <f>IF(E2456="","",IF(C2456&gt;WeekEndDate,"",E2456))</f>
        <v/>
      </c>
    </row>
    <row r="2457">
      <c r="A2457" t="inlineStr">
        <is>
          <t>Change Orders</t>
        </is>
      </c>
      <c r="B2457" s="46">
        <f>'Change Orders'!U422</f>
        <v/>
      </c>
      <c r="C2457" s="84">
        <f>'Change Orders'!S422</f>
        <v/>
      </c>
      <c r="D2457" s="46">
        <f>'Change Orders'!T422</f>
        <v/>
      </c>
      <c r="E2457" s="46">
        <f>IF(OR(B2457="",C2457="",D2457=""),"",D2457*100000+(C2457-DATE(2000,1,1))+ROW()/100000)</f>
        <v/>
      </c>
      <c r="F2457" s="46">
        <f>IF(E2457="","",IF(C2457&gt;WeekEndDate,"",E2457))</f>
        <v/>
      </c>
    </row>
    <row r="2458">
      <c r="A2458" t="inlineStr">
        <is>
          <t>Change Orders</t>
        </is>
      </c>
      <c r="B2458" s="46">
        <f>'Change Orders'!U423</f>
        <v/>
      </c>
      <c r="C2458" s="84">
        <f>'Change Orders'!S423</f>
        <v/>
      </c>
      <c r="D2458" s="46">
        <f>'Change Orders'!T423</f>
        <v/>
      </c>
      <c r="E2458" s="46">
        <f>IF(OR(B2458="",C2458="",D2458=""),"",D2458*100000+(C2458-DATE(2000,1,1))+ROW()/100000)</f>
        <v/>
      </c>
      <c r="F2458" s="46">
        <f>IF(E2458="","",IF(C2458&gt;WeekEndDate,"",E2458))</f>
        <v/>
      </c>
    </row>
    <row r="2459">
      <c r="A2459" t="inlineStr">
        <is>
          <t>Change Orders</t>
        </is>
      </c>
      <c r="B2459" s="46">
        <f>'Change Orders'!U424</f>
        <v/>
      </c>
      <c r="C2459" s="84">
        <f>'Change Orders'!S424</f>
        <v/>
      </c>
      <c r="D2459" s="46">
        <f>'Change Orders'!T424</f>
        <v/>
      </c>
      <c r="E2459" s="46">
        <f>IF(OR(B2459="",C2459="",D2459=""),"",D2459*100000+(C2459-DATE(2000,1,1))+ROW()/100000)</f>
        <v/>
      </c>
      <c r="F2459" s="46">
        <f>IF(E2459="","",IF(C2459&gt;WeekEndDate,"",E2459))</f>
        <v/>
      </c>
    </row>
    <row r="2460">
      <c r="A2460" t="inlineStr">
        <is>
          <t>Change Orders</t>
        </is>
      </c>
      <c r="B2460" s="46">
        <f>'Change Orders'!U425</f>
        <v/>
      </c>
      <c r="C2460" s="84">
        <f>'Change Orders'!S425</f>
        <v/>
      </c>
      <c r="D2460" s="46">
        <f>'Change Orders'!T425</f>
        <v/>
      </c>
      <c r="E2460" s="46">
        <f>IF(OR(B2460="",C2460="",D2460=""),"",D2460*100000+(C2460-DATE(2000,1,1))+ROW()/100000)</f>
        <v/>
      </c>
      <c r="F2460" s="46">
        <f>IF(E2460="","",IF(C2460&gt;WeekEndDate,"",E2460))</f>
        <v/>
      </c>
    </row>
    <row r="2461">
      <c r="A2461" t="inlineStr">
        <is>
          <t>Change Orders</t>
        </is>
      </c>
      <c r="B2461" s="46">
        <f>'Change Orders'!U426</f>
        <v/>
      </c>
      <c r="C2461" s="84">
        <f>'Change Orders'!S426</f>
        <v/>
      </c>
      <c r="D2461" s="46">
        <f>'Change Orders'!T426</f>
        <v/>
      </c>
      <c r="E2461" s="46">
        <f>IF(OR(B2461="",C2461="",D2461=""),"",D2461*100000+(C2461-DATE(2000,1,1))+ROW()/100000)</f>
        <v/>
      </c>
      <c r="F2461" s="46">
        <f>IF(E2461="","",IF(C2461&gt;WeekEndDate,"",E2461))</f>
        <v/>
      </c>
    </row>
    <row r="2462">
      <c r="A2462" t="inlineStr">
        <is>
          <t>Change Orders</t>
        </is>
      </c>
      <c r="B2462" s="46">
        <f>'Change Orders'!U427</f>
        <v/>
      </c>
      <c r="C2462" s="84">
        <f>'Change Orders'!S427</f>
        <v/>
      </c>
      <c r="D2462" s="46">
        <f>'Change Orders'!T427</f>
        <v/>
      </c>
      <c r="E2462" s="46">
        <f>IF(OR(B2462="",C2462="",D2462=""),"",D2462*100000+(C2462-DATE(2000,1,1))+ROW()/100000)</f>
        <v/>
      </c>
      <c r="F2462" s="46">
        <f>IF(E2462="","",IF(C2462&gt;WeekEndDate,"",E2462))</f>
        <v/>
      </c>
    </row>
    <row r="2463">
      <c r="A2463" t="inlineStr">
        <is>
          <t>Change Orders</t>
        </is>
      </c>
      <c r="B2463" s="46">
        <f>'Change Orders'!U428</f>
        <v/>
      </c>
      <c r="C2463" s="84">
        <f>'Change Orders'!S428</f>
        <v/>
      </c>
      <c r="D2463" s="46">
        <f>'Change Orders'!T428</f>
        <v/>
      </c>
      <c r="E2463" s="46">
        <f>IF(OR(B2463="",C2463="",D2463=""),"",D2463*100000+(C2463-DATE(2000,1,1))+ROW()/100000)</f>
        <v/>
      </c>
      <c r="F2463" s="46">
        <f>IF(E2463="","",IF(C2463&gt;WeekEndDate,"",E2463))</f>
        <v/>
      </c>
    </row>
    <row r="2464">
      <c r="A2464" t="inlineStr">
        <is>
          <t>Change Orders</t>
        </is>
      </c>
      <c r="B2464" s="46">
        <f>'Change Orders'!U429</f>
        <v/>
      </c>
      <c r="C2464" s="84">
        <f>'Change Orders'!S429</f>
        <v/>
      </c>
      <c r="D2464" s="46">
        <f>'Change Orders'!T429</f>
        <v/>
      </c>
      <c r="E2464" s="46">
        <f>IF(OR(B2464="",C2464="",D2464=""),"",D2464*100000+(C2464-DATE(2000,1,1))+ROW()/100000)</f>
        <v/>
      </c>
      <c r="F2464" s="46">
        <f>IF(E2464="","",IF(C2464&gt;WeekEndDate,"",E2464))</f>
        <v/>
      </c>
    </row>
    <row r="2465">
      <c r="A2465" t="inlineStr">
        <is>
          <t>Change Orders</t>
        </is>
      </c>
      <c r="B2465" s="46">
        <f>'Change Orders'!U430</f>
        <v/>
      </c>
      <c r="C2465" s="84">
        <f>'Change Orders'!S430</f>
        <v/>
      </c>
      <c r="D2465" s="46">
        <f>'Change Orders'!T430</f>
        <v/>
      </c>
      <c r="E2465" s="46">
        <f>IF(OR(B2465="",C2465="",D2465=""),"",D2465*100000+(C2465-DATE(2000,1,1))+ROW()/100000)</f>
        <v/>
      </c>
      <c r="F2465" s="46">
        <f>IF(E2465="","",IF(C2465&gt;WeekEndDate,"",E2465))</f>
        <v/>
      </c>
    </row>
    <row r="2466">
      <c r="A2466" t="inlineStr">
        <is>
          <t>Change Orders</t>
        </is>
      </c>
      <c r="B2466" s="46">
        <f>'Change Orders'!U431</f>
        <v/>
      </c>
      <c r="C2466" s="84">
        <f>'Change Orders'!S431</f>
        <v/>
      </c>
      <c r="D2466" s="46">
        <f>'Change Orders'!T431</f>
        <v/>
      </c>
      <c r="E2466" s="46">
        <f>IF(OR(B2466="",C2466="",D2466=""),"",D2466*100000+(C2466-DATE(2000,1,1))+ROW()/100000)</f>
        <v/>
      </c>
      <c r="F2466" s="46">
        <f>IF(E2466="","",IF(C2466&gt;WeekEndDate,"",E2466))</f>
        <v/>
      </c>
    </row>
    <row r="2467">
      <c r="A2467" t="inlineStr">
        <is>
          <t>Change Orders</t>
        </is>
      </c>
      <c r="B2467" s="46">
        <f>'Change Orders'!U432</f>
        <v/>
      </c>
      <c r="C2467" s="84">
        <f>'Change Orders'!S432</f>
        <v/>
      </c>
      <c r="D2467" s="46">
        <f>'Change Orders'!T432</f>
        <v/>
      </c>
      <c r="E2467" s="46">
        <f>IF(OR(B2467="",C2467="",D2467=""),"",D2467*100000+(C2467-DATE(2000,1,1))+ROW()/100000)</f>
        <v/>
      </c>
      <c r="F2467" s="46">
        <f>IF(E2467="","",IF(C2467&gt;WeekEndDate,"",E2467))</f>
        <v/>
      </c>
    </row>
    <row r="2468">
      <c r="A2468" t="inlineStr">
        <is>
          <t>Change Orders</t>
        </is>
      </c>
      <c r="B2468" s="46">
        <f>'Change Orders'!U433</f>
        <v/>
      </c>
      <c r="C2468" s="84">
        <f>'Change Orders'!S433</f>
        <v/>
      </c>
      <c r="D2468" s="46">
        <f>'Change Orders'!T433</f>
        <v/>
      </c>
      <c r="E2468" s="46">
        <f>IF(OR(B2468="",C2468="",D2468=""),"",D2468*100000+(C2468-DATE(2000,1,1))+ROW()/100000)</f>
        <v/>
      </c>
      <c r="F2468" s="46">
        <f>IF(E2468="","",IF(C2468&gt;WeekEndDate,"",E2468))</f>
        <v/>
      </c>
    </row>
    <row r="2469">
      <c r="A2469" t="inlineStr">
        <is>
          <t>Change Orders</t>
        </is>
      </c>
      <c r="B2469" s="46">
        <f>'Change Orders'!U434</f>
        <v/>
      </c>
      <c r="C2469" s="84">
        <f>'Change Orders'!S434</f>
        <v/>
      </c>
      <c r="D2469" s="46">
        <f>'Change Orders'!T434</f>
        <v/>
      </c>
      <c r="E2469" s="46">
        <f>IF(OR(B2469="",C2469="",D2469=""),"",D2469*100000+(C2469-DATE(2000,1,1))+ROW()/100000)</f>
        <v/>
      </c>
      <c r="F2469" s="46">
        <f>IF(E2469="","",IF(C2469&gt;WeekEndDate,"",E2469))</f>
        <v/>
      </c>
    </row>
    <row r="2470">
      <c r="A2470" t="inlineStr">
        <is>
          <t>Change Orders</t>
        </is>
      </c>
      <c r="B2470" s="46">
        <f>'Change Orders'!U435</f>
        <v/>
      </c>
      <c r="C2470" s="84">
        <f>'Change Orders'!S435</f>
        <v/>
      </c>
      <c r="D2470" s="46">
        <f>'Change Orders'!T435</f>
        <v/>
      </c>
      <c r="E2470" s="46">
        <f>IF(OR(B2470="",C2470="",D2470=""),"",D2470*100000+(C2470-DATE(2000,1,1))+ROW()/100000)</f>
        <v/>
      </c>
      <c r="F2470" s="46">
        <f>IF(E2470="","",IF(C2470&gt;WeekEndDate,"",E2470))</f>
        <v/>
      </c>
    </row>
    <row r="2471">
      <c r="A2471" t="inlineStr">
        <is>
          <t>Change Orders</t>
        </is>
      </c>
      <c r="B2471" s="46">
        <f>'Change Orders'!U436</f>
        <v/>
      </c>
      <c r="C2471" s="84">
        <f>'Change Orders'!S436</f>
        <v/>
      </c>
      <c r="D2471" s="46">
        <f>'Change Orders'!T436</f>
        <v/>
      </c>
      <c r="E2471" s="46">
        <f>IF(OR(B2471="",C2471="",D2471=""),"",D2471*100000+(C2471-DATE(2000,1,1))+ROW()/100000)</f>
        <v/>
      </c>
      <c r="F2471" s="46">
        <f>IF(E2471="","",IF(C2471&gt;WeekEndDate,"",E2471))</f>
        <v/>
      </c>
    </row>
    <row r="2472">
      <c r="A2472" t="inlineStr">
        <is>
          <t>Change Orders</t>
        </is>
      </c>
      <c r="B2472" s="46">
        <f>'Change Orders'!U437</f>
        <v/>
      </c>
      <c r="C2472" s="84">
        <f>'Change Orders'!S437</f>
        <v/>
      </c>
      <c r="D2472" s="46">
        <f>'Change Orders'!T437</f>
        <v/>
      </c>
      <c r="E2472" s="46">
        <f>IF(OR(B2472="",C2472="",D2472=""),"",D2472*100000+(C2472-DATE(2000,1,1))+ROW()/100000)</f>
        <v/>
      </c>
      <c r="F2472" s="46">
        <f>IF(E2472="","",IF(C2472&gt;WeekEndDate,"",E2472))</f>
        <v/>
      </c>
    </row>
    <row r="2473">
      <c r="A2473" t="inlineStr">
        <is>
          <t>Change Orders</t>
        </is>
      </c>
      <c r="B2473" s="46">
        <f>'Change Orders'!U438</f>
        <v/>
      </c>
      <c r="C2473" s="84">
        <f>'Change Orders'!S438</f>
        <v/>
      </c>
      <c r="D2473" s="46">
        <f>'Change Orders'!T438</f>
        <v/>
      </c>
      <c r="E2473" s="46">
        <f>IF(OR(B2473="",C2473="",D2473=""),"",D2473*100000+(C2473-DATE(2000,1,1))+ROW()/100000)</f>
        <v/>
      </c>
      <c r="F2473" s="46">
        <f>IF(E2473="","",IF(C2473&gt;WeekEndDate,"",E2473))</f>
        <v/>
      </c>
    </row>
    <row r="2474">
      <c r="A2474" t="inlineStr">
        <is>
          <t>Change Orders</t>
        </is>
      </c>
      <c r="B2474" s="46">
        <f>'Change Orders'!U439</f>
        <v/>
      </c>
      <c r="C2474" s="84">
        <f>'Change Orders'!S439</f>
        <v/>
      </c>
      <c r="D2474" s="46">
        <f>'Change Orders'!T439</f>
        <v/>
      </c>
      <c r="E2474" s="46">
        <f>IF(OR(B2474="",C2474="",D2474=""),"",D2474*100000+(C2474-DATE(2000,1,1))+ROW()/100000)</f>
        <v/>
      </c>
      <c r="F2474" s="46">
        <f>IF(E2474="","",IF(C2474&gt;WeekEndDate,"",E2474))</f>
        <v/>
      </c>
    </row>
    <row r="2475">
      <c r="A2475" t="inlineStr">
        <is>
          <t>Change Orders</t>
        </is>
      </c>
      <c r="B2475" s="46">
        <f>'Change Orders'!U440</f>
        <v/>
      </c>
      <c r="C2475" s="84">
        <f>'Change Orders'!S440</f>
        <v/>
      </c>
      <c r="D2475" s="46">
        <f>'Change Orders'!T440</f>
        <v/>
      </c>
      <c r="E2475" s="46">
        <f>IF(OR(B2475="",C2475="",D2475=""),"",D2475*100000+(C2475-DATE(2000,1,1))+ROW()/100000)</f>
        <v/>
      </c>
      <c r="F2475" s="46">
        <f>IF(E2475="","",IF(C2475&gt;WeekEndDate,"",E2475))</f>
        <v/>
      </c>
    </row>
    <row r="2476">
      <c r="A2476" t="inlineStr">
        <is>
          <t>Change Orders</t>
        </is>
      </c>
      <c r="B2476" s="46">
        <f>'Change Orders'!U441</f>
        <v/>
      </c>
      <c r="C2476" s="84">
        <f>'Change Orders'!S441</f>
        <v/>
      </c>
      <c r="D2476" s="46">
        <f>'Change Orders'!T441</f>
        <v/>
      </c>
      <c r="E2476" s="46">
        <f>IF(OR(B2476="",C2476="",D2476=""),"",D2476*100000+(C2476-DATE(2000,1,1))+ROW()/100000)</f>
        <v/>
      </c>
      <c r="F2476" s="46">
        <f>IF(E2476="","",IF(C2476&gt;WeekEndDate,"",E2476))</f>
        <v/>
      </c>
    </row>
    <row r="2477">
      <c r="A2477" t="inlineStr">
        <is>
          <t>Change Orders</t>
        </is>
      </c>
      <c r="B2477" s="46">
        <f>'Change Orders'!U442</f>
        <v/>
      </c>
      <c r="C2477" s="84">
        <f>'Change Orders'!S442</f>
        <v/>
      </c>
      <c r="D2477" s="46">
        <f>'Change Orders'!T442</f>
        <v/>
      </c>
      <c r="E2477" s="46">
        <f>IF(OR(B2477="",C2477="",D2477=""),"",D2477*100000+(C2477-DATE(2000,1,1))+ROW()/100000)</f>
        <v/>
      </c>
      <c r="F2477" s="46">
        <f>IF(E2477="","",IF(C2477&gt;WeekEndDate,"",E2477))</f>
        <v/>
      </c>
    </row>
    <row r="2478">
      <c r="A2478" t="inlineStr">
        <is>
          <t>Change Orders</t>
        </is>
      </c>
      <c r="B2478" s="46">
        <f>'Change Orders'!U443</f>
        <v/>
      </c>
      <c r="C2478" s="84">
        <f>'Change Orders'!S443</f>
        <v/>
      </c>
      <c r="D2478" s="46">
        <f>'Change Orders'!T443</f>
        <v/>
      </c>
      <c r="E2478" s="46">
        <f>IF(OR(B2478="",C2478="",D2478=""),"",D2478*100000+(C2478-DATE(2000,1,1))+ROW()/100000)</f>
        <v/>
      </c>
      <c r="F2478" s="46">
        <f>IF(E2478="","",IF(C2478&gt;WeekEndDate,"",E2478))</f>
        <v/>
      </c>
    </row>
    <row r="2479">
      <c r="A2479" t="inlineStr">
        <is>
          <t>Change Orders</t>
        </is>
      </c>
      <c r="B2479" s="46">
        <f>'Change Orders'!U444</f>
        <v/>
      </c>
      <c r="C2479" s="84">
        <f>'Change Orders'!S444</f>
        <v/>
      </c>
      <c r="D2479" s="46">
        <f>'Change Orders'!T444</f>
        <v/>
      </c>
      <c r="E2479" s="46">
        <f>IF(OR(B2479="",C2479="",D2479=""),"",D2479*100000+(C2479-DATE(2000,1,1))+ROW()/100000)</f>
        <v/>
      </c>
      <c r="F2479" s="46">
        <f>IF(E2479="","",IF(C2479&gt;WeekEndDate,"",E2479))</f>
        <v/>
      </c>
    </row>
    <row r="2480">
      <c r="A2480" t="inlineStr">
        <is>
          <t>Change Orders</t>
        </is>
      </c>
      <c r="B2480" s="46">
        <f>'Change Orders'!U445</f>
        <v/>
      </c>
      <c r="C2480" s="84">
        <f>'Change Orders'!S445</f>
        <v/>
      </c>
      <c r="D2480" s="46">
        <f>'Change Orders'!T445</f>
        <v/>
      </c>
      <c r="E2480" s="46">
        <f>IF(OR(B2480="",C2480="",D2480=""),"",D2480*100000+(C2480-DATE(2000,1,1))+ROW()/100000)</f>
        <v/>
      </c>
      <c r="F2480" s="46">
        <f>IF(E2480="","",IF(C2480&gt;WeekEndDate,"",E2480))</f>
        <v/>
      </c>
    </row>
    <row r="2481">
      <c r="A2481" t="inlineStr">
        <is>
          <t>Change Orders</t>
        </is>
      </c>
      <c r="B2481" s="46">
        <f>'Change Orders'!U446</f>
        <v/>
      </c>
      <c r="C2481" s="84">
        <f>'Change Orders'!S446</f>
        <v/>
      </c>
      <c r="D2481" s="46">
        <f>'Change Orders'!T446</f>
        <v/>
      </c>
      <c r="E2481" s="46">
        <f>IF(OR(B2481="",C2481="",D2481=""),"",D2481*100000+(C2481-DATE(2000,1,1))+ROW()/100000)</f>
        <v/>
      </c>
      <c r="F2481" s="46">
        <f>IF(E2481="","",IF(C2481&gt;WeekEndDate,"",E2481))</f>
        <v/>
      </c>
    </row>
    <row r="2482">
      <c r="A2482" t="inlineStr">
        <is>
          <t>Change Orders</t>
        </is>
      </c>
      <c r="B2482" s="46">
        <f>'Change Orders'!U447</f>
        <v/>
      </c>
      <c r="C2482" s="84">
        <f>'Change Orders'!S447</f>
        <v/>
      </c>
      <c r="D2482" s="46">
        <f>'Change Orders'!T447</f>
        <v/>
      </c>
      <c r="E2482" s="46">
        <f>IF(OR(B2482="",C2482="",D2482=""),"",D2482*100000+(C2482-DATE(2000,1,1))+ROW()/100000)</f>
        <v/>
      </c>
      <c r="F2482" s="46">
        <f>IF(E2482="","",IF(C2482&gt;WeekEndDate,"",E2482))</f>
        <v/>
      </c>
    </row>
    <row r="2483">
      <c r="A2483" t="inlineStr">
        <is>
          <t>Change Orders</t>
        </is>
      </c>
      <c r="B2483" s="46">
        <f>'Change Orders'!U448</f>
        <v/>
      </c>
      <c r="C2483" s="84">
        <f>'Change Orders'!S448</f>
        <v/>
      </c>
      <c r="D2483" s="46">
        <f>'Change Orders'!T448</f>
        <v/>
      </c>
      <c r="E2483" s="46">
        <f>IF(OR(B2483="",C2483="",D2483=""),"",D2483*100000+(C2483-DATE(2000,1,1))+ROW()/100000)</f>
        <v/>
      </c>
      <c r="F2483" s="46">
        <f>IF(E2483="","",IF(C2483&gt;WeekEndDate,"",E2483))</f>
        <v/>
      </c>
    </row>
    <row r="2484">
      <c r="A2484" t="inlineStr">
        <is>
          <t>Change Orders</t>
        </is>
      </c>
      <c r="B2484" s="46">
        <f>'Change Orders'!U449</f>
        <v/>
      </c>
      <c r="C2484" s="84">
        <f>'Change Orders'!S449</f>
        <v/>
      </c>
      <c r="D2484" s="46">
        <f>'Change Orders'!T449</f>
        <v/>
      </c>
      <c r="E2484" s="46">
        <f>IF(OR(B2484="",C2484="",D2484=""),"",D2484*100000+(C2484-DATE(2000,1,1))+ROW()/100000)</f>
        <v/>
      </c>
      <c r="F2484" s="46">
        <f>IF(E2484="","",IF(C2484&gt;WeekEndDate,"",E2484))</f>
        <v/>
      </c>
    </row>
    <row r="2485">
      <c r="A2485" t="inlineStr">
        <is>
          <t>Change Orders</t>
        </is>
      </c>
      <c r="B2485" s="46">
        <f>'Change Orders'!U450</f>
        <v/>
      </c>
      <c r="C2485" s="84">
        <f>'Change Orders'!S450</f>
        <v/>
      </c>
      <c r="D2485" s="46">
        <f>'Change Orders'!T450</f>
        <v/>
      </c>
      <c r="E2485" s="46">
        <f>IF(OR(B2485="",C2485="",D2485=""),"",D2485*100000+(C2485-DATE(2000,1,1))+ROW()/100000)</f>
        <v/>
      </c>
      <c r="F2485" s="46">
        <f>IF(E2485="","",IF(C2485&gt;WeekEndDate,"",E2485))</f>
        <v/>
      </c>
    </row>
    <row r="2486">
      <c r="A2486" t="inlineStr">
        <is>
          <t>Change Orders</t>
        </is>
      </c>
      <c r="B2486" s="46">
        <f>'Change Orders'!U451</f>
        <v/>
      </c>
      <c r="C2486" s="84">
        <f>'Change Orders'!S451</f>
        <v/>
      </c>
      <c r="D2486" s="46">
        <f>'Change Orders'!T451</f>
        <v/>
      </c>
      <c r="E2486" s="46">
        <f>IF(OR(B2486="",C2486="",D2486=""),"",D2486*100000+(C2486-DATE(2000,1,1))+ROW()/100000)</f>
        <v/>
      </c>
      <c r="F2486" s="46">
        <f>IF(E2486="","",IF(C2486&gt;WeekEndDate,"",E2486))</f>
        <v/>
      </c>
    </row>
    <row r="2487">
      <c r="A2487" t="inlineStr">
        <is>
          <t>Change Orders</t>
        </is>
      </c>
      <c r="B2487" s="46">
        <f>'Change Orders'!U452</f>
        <v/>
      </c>
      <c r="C2487" s="84">
        <f>'Change Orders'!S452</f>
        <v/>
      </c>
      <c r="D2487" s="46">
        <f>'Change Orders'!T452</f>
        <v/>
      </c>
      <c r="E2487" s="46">
        <f>IF(OR(B2487="",C2487="",D2487=""),"",D2487*100000+(C2487-DATE(2000,1,1))+ROW()/100000)</f>
        <v/>
      </c>
      <c r="F2487" s="46">
        <f>IF(E2487="","",IF(C2487&gt;WeekEndDate,"",E2487))</f>
        <v/>
      </c>
    </row>
    <row r="2488">
      <c r="A2488" t="inlineStr">
        <is>
          <t>Change Orders</t>
        </is>
      </c>
      <c r="B2488" s="46">
        <f>'Change Orders'!U453</f>
        <v/>
      </c>
      <c r="C2488" s="84">
        <f>'Change Orders'!S453</f>
        <v/>
      </c>
      <c r="D2488" s="46">
        <f>'Change Orders'!T453</f>
        <v/>
      </c>
      <c r="E2488" s="46">
        <f>IF(OR(B2488="",C2488="",D2488=""),"",D2488*100000+(C2488-DATE(2000,1,1))+ROW()/100000)</f>
        <v/>
      </c>
      <c r="F2488" s="46">
        <f>IF(E2488="","",IF(C2488&gt;WeekEndDate,"",E2488))</f>
        <v/>
      </c>
    </row>
    <row r="2489">
      <c r="A2489" t="inlineStr">
        <is>
          <t>Change Orders</t>
        </is>
      </c>
      <c r="B2489" s="46">
        <f>'Change Orders'!U454</f>
        <v/>
      </c>
      <c r="C2489" s="84">
        <f>'Change Orders'!S454</f>
        <v/>
      </c>
      <c r="D2489" s="46">
        <f>'Change Orders'!T454</f>
        <v/>
      </c>
      <c r="E2489" s="46">
        <f>IF(OR(B2489="",C2489="",D2489=""),"",D2489*100000+(C2489-DATE(2000,1,1))+ROW()/100000)</f>
        <v/>
      </c>
      <c r="F2489" s="46">
        <f>IF(E2489="","",IF(C2489&gt;WeekEndDate,"",E2489))</f>
        <v/>
      </c>
    </row>
    <row r="2490">
      <c r="A2490" t="inlineStr">
        <is>
          <t>Change Orders</t>
        </is>
      </c>
      <c r="B2490" s="46">
        <f>'Change Orders'!U455</f>
        <v/>
      </c>
      <c r="C2490" s="84">
        <f>'Change Orders'!S455</f>
        <v/>
      </c>
      <c r="D2490" s="46">
        <f>'Change Orders'!T455</f>
        <v/>
      </c>
      <c r="E2490" s="46">
        <f>IF(OR(B2490="",C2490="",D2490=""),"",D2490*100000+(C2490-DATE(2000,1,1))+ROW()/100000)</f>
        <v/>
      </c>
      <c r="F2490" s="46">
        <f>IF(E2490="","",IF(C2490&gt;WeekEndDate,"",E2490))</f>
        <v/>
      </c>
    </row>
    <row r="2491">
      <c r="A2491" t="inlineStr">
        <is>
          <t>Change Orders</t>
        </is>
      </c>
      <c r="B2491" s="46">
        <f>'Change Orders'!U456</f>
        <v/>
      </c>
      <c r="C2491" s="84">
        <f>'Change Orders'!S456</f>
        <v/>
      </c>
      <c r="D2491" s="46">
        <f>'Change Orders'!T456</f>
        <v/>
      </c>
      <c r="E2491" s="46">
        <f>IF(OR(B2491="",C2491="",D2491=""),"",D2491*100000+(C2491-DATE(2000,1,1))+ROW()/100000)</f>
        <v/>
      </c>
      <c r="F2491" s="46">
        <f>IF(E2491="","",IF(C2491&gt;WeekEndDate,"",E2491))</f>
        <v/>
      </c>
    </row>
    <row r="2492">
      <c r="A2492" t="inlineStr">
        <is>
          <t>Change Orders</t>
        </is>
      </c>
      <c r="B2492" s="46">
        <f>'Change Orders'!U457</f>
        <v/>
      </c>
      <c r="C2492" s="84">
        <f>'Change Orders'!S457</f>
        <v/>
      </c>
      <c r="D2492" s="46">
        <f>'Change Orders'!T457</f>
        <v/>
      </c>
      <c r="E2492" s="46">
        <f>IF(OR(B2492="",C2492="",D2492=""),"",D2492*100000+(C2492-DATE(2000,1,1))+ROW()/100000)</f>
        <v/>
      </c>
      <c r="F2492" s="46">
        <f>IF(E2492="","",IF(C2492&gt;WeekEndDate,"",E2492))</f>
        <v/>
      </c>
    </row>
    <row r="2493">
      <c r="A2493" t="inlineStr">
        <is>
          <t>Change Orders</t>
        </is>
      </c>
      <c r="B2493" s="46">
        <f>'Change Orders'!U458</f>
        <v/>
      </c>
      <c r="C2493" s="84">
        <f>'Change Orders'!S458</f>
        <v/>
      </c>
      <c r="D2493" s="46">
        <f>'Change Orders'!T458</f>
        <v/>
      </c>
      <c r="E2493" s="46">
        <f>IF(OR(B2493="",C2493="",D2493=""),"",D2493*100000+(C2493-DATE(2000,1,1))+ROW()/100000)</f>
        <v/>
      </c>
      <c r="F2493" s="46">
        <f>IF(E2493="","",IF(C2493&gt;WeekEndDate,"",E2493))</f>
        <v/>
      </c>
    </row>
    <row r="2494">
      <c r="A2494" t="inlineStr">
        <is>
          <t>Change Orders</t>
        </is>
      </c>
      <c r="B2494" s="46">
        <f>'Change Orders'!U459</f>
        <v/>
      </c>
      <c r="C2494" s="84">
        <f>'Change Orders'!S459</f>
        <v/>
      </c>
      <c r="D2494" s="46">
        <f>'Change Orders'!T459</f>
        <v/>
      </c>
      <c r="E2494" s="46">
        <f>IF(OR(B2494="",C2494="",D2494=""),"",D2494*100000+(C2494-DATE(2000,1,1))+ROW()/100000)</f>
        <v/>
      </c>
      <c r="F2494" s="46">
        <f>IF(E2494="","",IF(C2494&gt;WeekEndDate,"",E2494))</f>
        <v/>
      </c>
    </row>
    <row r="2495">
      <c r="A2495" t="inlineStr">
        <is>
          <t>Change Orders</t>
        </is>
      </c>
      <c r="B2495" s="46">
        <f>'Change Orders'!U460</f>
        <v/>
      </c>
      <c r="C2495" s="84">
        <f>'Change Orders'!S460</f>
        <v/>
      </c>
      <c r="D2495" s="46">
        <f>'Change Orders'!T460</f>
        <v/>
      </c>
      <c r="E2495" s="46">
        <f>IF(OR(B2495="",C2495="",D2495=""),"",D2495*100000+(C2495-DATE(2000,1,1))+ROW()/100000)</f>
        <v/>
      </c>
      <c r="F2495" s="46">
        <f>IF(E2495="","",IF(C2495&gt;WeekEndDate,"",E2495))</f>
        <v/>
      </c>
    </row>
    <row r="2496">
      <c r="A2496" t="inlineStr">
        <is>
          <t>Change Orders</t>
        </is>
      </c>
      <c r="B2496" s="46">
        <f>'Change Orders'!U461</f>
        <v/>
      </c>
      <c r="C2496" s="84">
        <f>'Change Orders'!S461</f>
        <v/>
      </c>
      <c r="D2496" s="46">
        <f>'Change Orders'!T461</f>
        <v/>
      </c>
      <c r="E2496" s="46">
        <f>IF(OR(B2496="",C2496="",D2496=""),"",D2496*100000+(C2496-DATE(2000,1,1))+ROW()/100000)</f>
        <v/>
      </c>
      <c r="F2496" s="46">
        <f>IF(E2496="","",IF(C2496&gt;WeekEndDate,"",E2496))</f>
        <v/>
      </c>
    </row>
    <row r="2497">
      <c r="A2497" t="inlineStr">
        <is>
          <t>Change Orders</t>
        </is>
      </c>
      <c r="B2497" s="46">
        <f>'Change Orders'!U462</f>
        <v/>
      </c>
      <c r="C2497" s="84">
        <f>'Change Orders'!S462</f>
        <v/>
      </c>
      <c r="D2497" s="46">
        <f>'Change Orders'!T462</f>
        <v/>
      </c>
      <c r="E2497" s="46">
        <f>IF(OR(B2497="",C2497="",D2497=""),"",D2497*100000+(C2497-DATE(2000,1,1))+ROW()/100000)</f>
        <v/>
      </c>
      <c r="F2497" s="46">
        <f>IF(E2497="","",IF(C2497&gt;WeekEndDate,"",E2497))</f>
        <v/>
      </c>
    </row>
    <row r="2498">
      <c r="A2498" t="inlineStr">
        <is>
          <t>Change Orders</t>
        </is>
      </c>
      <c r="B2498" s="46">
        <f>'Change Orders'!U463</f>
        <v/>
      </c>
      <c r="C2498" s="84">
        <f>'Change Orders'!S463</f>
        <v/>
      </c>
      <c r="D2498" s="46">
        <f>'Change Orders'!T463</f>
        <v/>
      </c>
      <c r="E2498" s="46">
        <f>IF(OR(B2498="",C2498="",D2498=""),"",D2498*100000+(C2498-DATE(2000,1,1))+ROW()/100000)</f>
        <v/>
      </c>
      <c r="F2498" s="46">
        <f>IF(E2498="","",IF(C2498&gt;WeekEndDate,"",E2498))</f>
        <v/>
      </c>
    </row>
    <row r="2499">
      <c r="A2499" t="inlineStr">
        <is>
          <t>Change Orders</t>
        </is>
      </c>
      <c r="B2499" s="46">
        <f>'Change Orders'!U464</f>
        <v/>
      </c>
      <c r="C2499" s="84">
        <f>'Change Orders'!S464</f>
        <v/>
      </c>
      <c r="D2499" s="46">
        <f>'Change Orders'!T464</f>
        <v/>
      </c>
      <c r="E2499" s="46">
        <f>IF(OR(B2499="",C2499="",D2499=""),"",D2499*100000+(C2499-DATE(2000,1,1))+ROW()/100000)</f>
        <v/>
      </c>
      <c r="F2499" s="46">
        <f>IF(E2499="","",IF(C2499&gt;WeekEndDate,"",E2499))</f>
        <v/>
      </c>
    </row>
    <row r="2500">
      <c r="A2500" t="inlineStr">
        <is>
          <t>Change Orders</t>
        </is>
      </c>
      <c r="B2500" s="46">
        <f>'Change Orders'!U465</f>
        <v/>
      </c>
      <c r="C2500" s="84">
        <f>'Change Orders'!S465</f>
        <v/>
      </c>
      <c r="D2500" s="46">
        <f>'Change Orders'!T465</f>
        <v/>
      </c>
      <c r="E2500" s="46">
        <f>IF(OR(B2500="",C2500="",D2500=""),"",D2500*100000+(C2500-DATE(2000,1,1))+ROW()/100000)</f>
        <v/>
      </c>
      <c r="F2500" s="46">
        <f>IF(E2500="","",IF(C2500&gt;WeekEndDate,"",E2500))</f>
        <v/>
      </c>
    </row>
    <row r="2501">
      <c r="A2501" t="inlineStr">
        <is>
          <t>Change Orders</t>
        </is>
      </c>
      <c r="B2501" s="46">
        <f>'Change Orders'!U466</f>
        <v/>
      </c>
      <c r="C2501" s="84">
        <f>'Change Orders'!S466</f>
        <v/>
      </c>
      <c r="D2501" s="46">
        <f>'Change Orders'!T466</f>
        <v/>
      </c>
      <c r="E2501" s="46">
        <f>IF(OR(B2501="",C2501="",D2501=""),"",D2501*100000+(C2501-DATE(2000,1,1))+ROW()/100000)</f>
        <v/>
      </c>
      <c r="F2501" s="46">
        <f>IF(E2501="","",IF(C2501&gt;WeekEndDate,"",E2501))</f>
        <v/>
      </c>
    </row>
    <row r="2502">
      <c r="A2502" t="inlineStr">
        <is>
          <t>Change Orders</t>
        </is>
      </c>
      <c r="B2502" s="46">
        <f>'Change Orders'!U467</f>
        <v/>
      </c>
      <c r="C2502" s="84">
        <f>'Change Orders'!S467</f>
        <v/>
      </c>
      <c r="D2502" s="46">
        <f>'Change Orders'!T467</f>
        <v/>
      </c>
      <c r="E2502" s="46">
        <f>IF(OR(B2502="",C2502="",D2502=""),"",D2502*100000+(C2502-DATE(2000,1,1))+ROW()/100000)</f>
        <v/>
      </c>
      <c r="F2502" s="46">
        <f>IF(E2502="","",IF(C2502&gt;WeekEndDate,"",E2502))</f>
        <v/>
      </c>
    </row>
    <row r="2503">
      <c r="A2503" t="inlineStr">
        <is>
          <t>Change Orders</t>
        </is>
      </c>
      <c r="B2503" s="46">
        <f>'Change Orders'!U468</f>
        <v/>
      </c>
      <c r="C2503" s="84">
        <f>'Change Orders'!S468</f>
        <v/>
      </c>
      <c r="D2503" s="46">
        <f>'Change Orders'!T468</f>
        <v/>
      </c>
      <c r="E2503" s="46">
        <f>IF(OR(B2503="",C2503="",D2503=""),"",D2503*100000+(C2503-DATE(2000,1,1))+ROW()/100000)</f>
        <v/>
      </c>
      <c r="F2503" s="46">
        <f>IF(E2503="","",IF(C2503&gt;WeekEndDate,"",E2503))</f>
        <v/>
      </c>
    </row>
    <row r="2504">
      <c r="A2504" t="inlineStr">
        <is>
          <t>Change Orders</t>
        </is>
      </c>
      <c r="B2504" s="46">
        <f>'Change Orders'!U469</f>
        <v/>
      </c>
      <c r="C2504" s="84">
        <f>'Change Orders'!S469</f>
        <v/>
      </c>
      <c r="D2504" s="46">
        <f>'Change Orders'!T469</f>
        <v/>
      </c>
      <c r="E2504" s="46">
        <f>IF(OR(B2504="",C2504="",D2504=""),"",D2504*100000+(C2504-DATE(2000,1,1))+ROW()/100000)</f>
        <v/>
      </c>
      <c r="F2504" s="46">
        <f>IF(E2504="","",IF(C2504&gt;WeekEndDate,"",E2504))</f>
        <v/>
      </c>
    </row>
    <row r="2505">
      <c r="A2505" t="inlineStr">
        <is>
          <t>Change Orders</t>
        </is>
      </c>
      <c r="B2505" s="46">
        <f>'Change Orders'!U470</f>
        <v/>
      </c>
      <c r="C2505" s="84">
        <f>'Change Orders'!S470</f>
        <v/>
      </c>
      <c r="D2505" s="46">
        <f>'Change Orders'!T470</f>
        <v/>
      </c>
      <c r="E2505" s="46">
        <f>IF(OR(B2505="",C2505="",D2505=""),"",D2505*100000+(C2505-DATE(2000,1,1))+ROW()/100000)</f>
        <v/>
      </c>
      <c r="F2505" s="46">
        <f>IF(E2505="","",IF(C2505&gt;WeekEndDate,"",E2505))</f>
        <v/>
      </c>
    </row>
    <row r="2506">
      <c r="A2506" t="inlineStr">
        <is>
          <t>Change Orders</t>
        </is>
      </c>
      <c r="B2506" s="46">
        <f>'Change Orders'!U471</f>
        <v/>
      </c>
      <c r="C2506" s="84">
        <f>'Change Orders'!S471</f>
        <v/>
      </c>
      <c r="D2506" s="46">
        <f>'Change Orders'!T471</f>
        <v/>
      </c>
      <c r="E2506" s="46">
        <f>IF(OR(B2506="",C2506="",D2506=""),"",D2506*100000+(C2506-DATE(2000,1,1))+ROW()/100000)</f>
        <v/>
      </c>
      <c r="F2506" s="46">
        <f>IF(E2506="","",IF(C2506&gt;WeekEndDate,"",E2506))</f>
        <v/>
      </c>
    </row>
    <row r="2507">
      <c r="A2507" t="inlineStr">
        <is>
          <t>Change Orders</t>
        </is>
      </c>
      <c r="B2507" s="46">
        <f>'Change Orders'!U472</f>
        <v/>
      </c>
      <c r="C2507" s="84">
        <f>'Change Orders'!S472</f>
        <v/>
      </c>
      <c r="D2507" s="46">
        <f>'Change Orders'!T472</f>
        <v/>
      </c>
      <c r="E2507" s="46">
        <f>IF(OR(B2507="",C2507="",D2507=""),"",D2507*100000+(C2507-DATE(2000,1,1))+ROW()/100000)</f>
        <v/>
      </c>
      <c r="F2507" s="46">
        <f>IF(E2507="","",IF(C2507&gt;WeekEndDate,"",E2507))</f>
        <v/>
      </c>
    </row>
    <row r="2508">
      <c r="A2508" t="inlineStr">
        <is>
          <t>Change Orders</t>
        </is>
      </c>
      <c r="B2508" s="46">
        <f>'Change Orders'!U473</f>
        <v/>
      </c>
      <c r="C2508" s="84">
        <f>'Change Orders'!S473</f>
        <v/>
      </c>
      <c r="D2508" s="46">
        <f>'Change Orders'!T473</f>
        <v/>
      </c>
      <c r="E2508" s="46">
        <f>IF(OR(B2508="",C2508="",D2508=""),"",D2508*100000+(C2508-DATE(2000,1,1))+ROW()/100000)</f>
        <v/>
      </c>
      <c r="F2508" s="46">
        <f>IF(E2508="","",IF(C2508&gt;WeekEndDate,"",E2508))</f>
        <v/>
      </c>
    </row>
    <row r="2509">
      <c r="A2509" t="inlineStr">
        <is>
          <t>Change Orders</t>
        </is>
      </c>
      <c r="B2509" s="46">
        <f>'Change Orders'!U474</f>
        <v/>
      </c>
      <c r="C2509" s="84">
        <f>'Change Orders'!S474</f>
        <v/>
      </c>
      <c r="D2509" s="46">
        <f>'Change Orders'!T474</f>
        <v/>
      </c>
      <c r="E2509" s="46">
        <f>IF(OR(B2509="",C2509="",D2509=""),"",D2509*100000+(C2509-DATE(2000,1,1))+ROW()/100000)</f>
        <v/>
      </c>
      <c r="F2509" s="46">
        <f>IF(E2509="","",IF(C2509&gt;WeekEndDate,"",E2509))</f>
        <v/>
      </c>
    </row>
    <row r="2510">
      <c r="A2510" t="inlineStr">
        <is>
          <t>Change Orders</t>
        </is>
      </c>
      <c r="B2510" s="46">
        <f>'Change Orders'!U475</f>
        <v/>
      </c>
      <c r="C2510" s="84">
        <f>'Change Orders'!S475</f>
        <v/>
      </c>
      <c r="D2510" s="46">
        <f>'Change Orders'!T475</f>
        <v/>
      </c>
      <c r="E2510" s="46">
        <f>IF(OR(B2510="",C2510="",D2510=""),"",D2510*100000+(C2510-DATE(2000,1,1))+ROW()/100000)</f>
        <v/>
      </c>
      <c r="F2510" s="46">
        <f>IF(E2510="","",IF(C2510&gt;WeekEndDate,"",E2510))</f>
        <v/>
      </c>
    </row>
    <row r="2511">
      <c r="A2511" t="inlineStr">
        <is>
          <t>Change Orders</t>
        </is>
      </c>
      <c r="B2511" s="46">
        <f>'Change Orders'!U476</f>
        <v/>
      </c>
      <c r="C2511" s="84">
        <f>'Change Orders'!S476</f>
        <v/>
      </c>
      <c r="D2511" s="46">
        <f>'Change Orders'!T476</f>
        <v/>
      </c>
      <c r="E2511" s="46">
        <f>IF(OR(B2511="",C2511="",D2511=""),"",D2511*100000+(C2511-DATE(2000,1,1))+ROW()/100000)</f>
        <v/>
      </c>
      <c r="F2511" s="46">
        <f>IF(E2511="","",IF(C2511&gt;WeekEndDate,"",E2511))</f>
        <v/>
      </c>
    </row>
    <row r="2512">
      <c r="A2512" t="inlineStr">
        <is>
          <t>Change Orders</t>
        </is>
      </c>
      <c r="B2512" s="46">
        <f>'Change Orders'!U477</f>
        <v/>
      </c>
      <c r="C2512" s="84">
        <f>'Change Orders'!S477</f>
        <v/>
      </c>
      <c r="D2512" s="46">
        <f>'Change Orders'!T477</f>
        <v/>
      </c>
      <c r="E2512" s="46">
        <f>IF(OR(B2512="",C2512="",D2512=""),"",D2512*100000+(C2512-DATE(2000,1,1))+ROW()/100000)</f>
        <v/>
      </c>
      <c r="F2512" s="46">
        <f>IF(E2512="","",IF(C2512&gt;WeekEndDate,"",E2512))</f>
        <v/>
      </c>
    </row>
    <row r="2513">
      <c r="A2513" t="inlineStr">
        <is>
          <t>Change Orders</t>
        </is>
      </c>
      <c r="B2513" s="46">
        <f>'Change Orders'!U478</f>
        <v/>
      </c>
      <c r="C2513" s="84">
        <f>'Change Orders'!S478</f>
        <v/>
      </c>
      <c r="D2513" s="46">
        <f>'Change Orders'!T478</f>
        <v/>
      </c>
      <c r="E2513" s="46">
        <f>IF(OR(B2513="",C2513="",D2513=""),"",D2513*100000+(C2513-DATE(2000,1,1))+ROW()/100000)</f>
        <v/>
      </c>
      <c r="F2513" s="46">
        <f>IF(E2513="","",IF(C2513&gt;WeekEndDate,"",E2513))</f>
        <v/>
      </c>
    </row>
    <row r="2514">
      <c r="A2514" t="inlineStr">
        <is>
          <t>Change Orders</t>
        </is>
      </c>
      <c r="B2514" s="46">
        <f>'Change Orders'!U479</f>
        <v/>
      </c>
      <c r="C2514" s="84">
        <f>'Change Orders'!S479</f>
        <v/>
      </c>
      <c r="D2514" s="46">
        <f>'Change Orders'!T479</f>
        <v/>
      </c>
      <c r="E2514" s="46">
        <f>IF(OR(B2514="",C2514="",D2514=""),"",D2514*100000+(C2514-DATE(2000,1,1))+ROW()/100000)</f>
        <v/>
      </c>
      <c r="F2514" s="46">
        <f>IF(E2514="","",IF(C2514&gt;WeekEndDate,"",E2514))</f>
        <v/>
      </c>
    </row>
    <row r="2515">
      <c r="A2515" t="inlineStr">
        <is>
          <t>Change Orders</t>
        </is>
      </c>
      <c r="B2515" s="46">
        <f>'Change Orders'!U480</f>
        <v/>
      </c>
      <c r="C2515" s="84">
        <f>'Change Orders'!S480</f>
        <v/>
      </c>
      <c r="D2515" s="46">
        <f>'Change Orders'!T480</f>
        <v/>
      </c>
      <c r="E2515" s="46">
        <f>IF(OR(B2515="",C2515="",D2515=""),"",D2515*100000+(C2515-DATE(2000,1,1))+ROW()/100000)</f>
        <v/>
      </c>
      <c r="F2515" s="46">
        <f>IF(E2515="","",IF(C2515&gt;WeekEndDate,"",E2515))</f>
        <v/>
      </c>
    </row>
    <row r="2516">
      <c r="A2516" t="inlineStr">
        <is>
          <t>Change Orders</t>
        </is>
      </c>
      <c r="B2516" s="46">
        <f>'Change Orders'!U481</f>
        <v/>
      </c>
      <c r="C2516" s="84">
        <f>'Change Orders'!S481</f>
        <v/>
      </c>
      <c r="D2516" s="46">
        <f>'Change Orders'!T481</f>
        <v/>
      </c>
      <c r="E2516" s="46">
        <f>IF(OR(B2516="",C2516="",D2516=""),"",D2516*100000+(C2516-DATE(2000,1,1))+ROW()/100000)</f>
        <v/>
      </c>
      <c r="F2516" s="46">
        <f>IF(E2516="","",IF(C2516&gt;WeekEndDate,"",E2516))</f>
        <v/>
      </c>
    </row>
    <row r="2517">
      <c r="A2517" t="inlineStr">
        <is>
          <t>Change Orders</t>
        </is>
      </c>
      <c r="B2517" s="46">
        <f>'Change Orders'!U482</f>
        <v/>
      </c>
      <c r="C2517" s="84">
        <f>'Change Orders'!S482</f>
        <v/>
      </c>
      <c r="D2517" s="46">
        <f>'Change Orders'!T482</f>
        <v/>
      </c>
      <c r="E2517" s="46">
        <f>IF(OR(B2517="",C2517="",D2517=""),"",D2517*100000+(C2517-DATE(2000,1,1))+ROW()/100000)</f>
        <v/>
      </c>
      <c r="F2517" s="46">
        <f>IF(E2517="","",IF(C2517&gt;WeekEndDate,"",E2517))</f>
        <v/>
      </c>
    </row>
    <row r="2518">
      <c r="A2518" t="inlineStr">
        <is>
          <t>Change Orders</t>
        </is>
      </c>
      <c r="B2518" s="46">
        <f>'Change Orders'!U483</f>
        <v/>
      </c>
      <c r="C2518" s="84">
        <f>'Change Orders'!S483</f>
        <v/>
      </c>
      <c r="D2518" s="46">
        <f>'Change Orders'!T483</f>
        <v/>
      </c>
      <c r="E2518" s="46">
        <f>IF(OR(B2518="",C2518="",D2518=""),"",D2518*100000+(C2518-DATE(2000,1,1))+ROW()/100000)</f>
        <v/>
      </c>
      <c r="F2518" s="46">
        <f>IF(E2518="","",IF(C2518&gt;WeekEndDate,"",E2518))</f>
        <v/>
      </c>
    </row>
    <row r="2519">
      <c r="A2519" t="inlineStr">
        <is>
          <t>Change Orders</t>
        </is>
      </c>
      <c r="B2519" s="46">
        <f>'Change Orders'!U484</f>
        <v/>
      </c>
      <c r="C2519" s="84">
        <f>'Change Orders'!S484</f>
        <v/>
      </c>
      <c r="D2519" s="46">
        <f>'Change Orders'!T484</f>
        <v/>
      </c>
      <c r="E2519" s="46">
        <f>IF(OR(B2519="",C2519="",D2519=""),"",D2519*100000+(C2519-DATE(2000,1,1))+ROW()/100000)</f>
        <v/>
      </c>
      <c r="F2519" s="46">
        <f>IF(E2519="","",IF(C2519&gt;WeekEndDate,"",E2519))</f>
        <v/>
      </c>
    </row>
    <row r="2520">
      <c r="A2520" t="inlineStr">
        <is>
          <t>Change Orders</t>
        </is>
      </c>
      <c r="B2520" s="46">
        <f>'Change Orders'!U485</f>
        <v/>
      </c>
      <c r="C2520" s="84">
        <f>'Change Orders'!S485</f>
        <v/>
      </c>
      <c r="D2520" s="46">
        <f>'Change Orders'!T485</f>
        <v/>
      </c>
      <c r="E2520" s="46">
        <f>IF(OR(B2520="",C2520="",D2520=""),"",D2520*100000+(C2520-DATE(2000,1,1))+ROW()/100000)</f>
        <v/>
      </c>
      <c r="F2520" s="46">
        <f>IF(E2520="","",IF(C2520&gt;WeekEndDate,"",E2520))</f>
        <v/>
      </c>
    </row>
    <row r="2521">
      <c r="A2521" t="inlineStr">
        <is>
          <t>Change Orders</t>
        </is>
      </c>
      <c r="B2521" s="46">
        <f>'Change Orders'!U486</f>
        <v/>
      </c>
      <c r="C2521" s="84">
        <f>'Change Orders'!S486</f>
        <v/>
      </c>
      <c r="D2521" s="46">
        <f>'Change Orders'!T486</f>
        <v/>
      </c>
      <c r="E2521" s="46">
        <f>IF(OR(B2521="",C2521="",D2521=""),"",D2521*100000+(C2521-DATE(2000,1,1))+ROW()/100000)</f>
        <v/>
      </c>
      <c r="F2521" s="46">
        <f>IF(E2521="","",IF(C2521&gt;WeekEndDate,"",E2521))</f>
        <v/>
      </c>
    </row>
    <row r="2522">
      <c r="A2522" t="inlineStr">
        <is>
          <t>Change Orders</t>
        </is>
      </c>
      <c r="B2522" s="46">
        <f>'Change Orders'!U487</f>
        <v/>
      </c>
      <c r="C2522" s="84">
        <f>'Change Orders'!S487</f>
        <v/>
      </c>
      <c r="D2522" s="46">
        <f>'Change Orders'!T487</f>
        <v/>
      </c>
      <c r="E2522" s="46">
        <f>IF(OR(B2522="",C2522="",D2522=""),"",D2522*100000+(C2522-DATE(2000,1,1))+ROW()/100000)</f>
        <v/>
      </c>
      <c r="F2522" s="46">
        <f>IF(E2522="","",IF(C2522&gt;WeekEndDate,"",E2522))</f>
        <v/>
      </c>
    </row>
    <row r="2523">
      <c r="A2523" t="inlineStr">
        <is>
          <t>Change Orders</t>
        </is>
      </c>
      <c r="B2523" s="46">
        <f>'Change Orders'!U488</f>
        <v/>
      </c>
      <c r="C2523" s="84">
        <f>'Change Orders'!S488</f>
        <v/>
      </c>
      <c r="D2523" s="46">
        <f>'Change Orders'!T488</f>
        <v/>
      </c>
      <c r="E2523" s="46">
        <f>IF(OR(B2523="",C2523="",D2523=""),"",D2523*100000+(C2523-DATE(2000,1,1))+ROW()/100000)</f>
        <v/>
      </c>
      <c r="F2523" s="46">
        <f>IF(E2523="","",IF(C2523&gt;WeekEndDate,"",E2523))</f>
        <v/>
      </c>
    </row>
    <row r="2524">
      <c r="A2524" t="inlineStr">
        <is>
          <t>Change Orders</t>
        </is>
      </c>
      <c r="B2524" s="46">
        <f>'Change Orders'!U489</f>
        <v/>
      </c>
      <c r="C2524" s="84">
        <f>'Change Orders'!S489</f>
        <v/>
      </c>
      <c r="D2524" s="46">
        <f>'Change Orders'!T489</f>
        <v/>
      </c>
      <c r="E2524" s="46">
        <f>IF(OR(B2524="",C2524="",D2524=""),"",D2524*100000+(C2524-DATE(2000,1,1))+ROW()/100000)</f>
        <v/>
      </c>
      <c r="F2524" s="46">
        <f>IF(E2524="","",IF(C2524&gt;WeekEndDate,"",E2524))</f>
        <v/>
      </c>
    </row>
    <row r="2525">
      <c r="A2525" t="inlineStr">
        <is>
          <t>Change Orders</t>
        </is>
      </c>
      <c r="B2525" s="46">
        <f>'Change Orders'!U490</f>
        <v/>
      </c>
      <c r="C2525" s="84">
        <f>'Change Orders'!S490</f>
        <v/>
      </c>
      <c r="D2525" s="46">
        <f>'Change Orders'!T490</f>
        <v/>
      </c>
      <c r="E2525" s="46">
        <f>IF(OR(B2525="",C2525="",D2525=""),"",D2525*100000+(C2525-DATE(2000,1,1))+ROW()/100000)</f>
        <v/>
      </c>
      <c r="F2525" s="46">
        <f>IF(E2525="","",IF(C2525&gt;WeekEndDate,"",E2525))</f>
        <v/>
      </c>
    </row>
    <row r="2526">
      <c r="A2526" t="inlineStr">
        <is>
          <t>Change Orders</t>
        </is>
      </c>
      <c r="B2526" s="46">
        <f>'Change Orders'!U491</f>
        <v/>
      </c>
      <c r="C2526" s="84">
        <f>'Change Orders'!S491</f>
        <v/>
      </c>
      <c r="D2526" s="46">
        <f>'Change Orders'!T491</f>
        <v/>
      </c>
      <c r="E2526" s="46">
        <f>IF(OR(B2526="",C2526="",D2526=""),"",D2526*100000+(C2526-DATE(2000,1,1))+ROW()/100000)</f>
        <v/>
      </c>
      <c r="F2526" s="46">
        <f>IF(E2526="","",IF(C2526&gt;WeekEndDate,"",E2526))</f>
        <v/>
      </c>
    </row>
    <row r="2527">
      <c r="A2527" t="inlineStr">
        <is>
          <t>Change Orders</t>
        </is>
      </c>
      <c r="B2527" s="46">
        <f>'Change Orders'!U492</f>
        <v/>
      </c>
      <c r="C2527" s="84">
        <f>'Change Orders'!S492</f>
        <v/>
      </c>
      <c r="D2527" s="46">
        <f>'Change Orders'!T492</f>
        <v/>
      </c>
      <c r="E2527" s="46">
        <f>IF(OR(B2527="",C2527="",D2527=""),"",D2527*100000+(C2527-DATE(2000,1,1))+ROW()/100000)</f>
        <v/>
      </c>
      <c r="F2527" s="46">
        <f>IF(E2527="","",IF(C2527&gt;WeekEndDate,"",E2527))</f>
        <v/>
      </c>
    </row>
    <row r="2528">
      <c r="A2528" t="inlineStr">
        <is>
          <t>Change Orders</t>
        </is>
      </c>
      <c r="B2528" s="46">
        <f>'Change Orders'!U493</f>
        <v/>
      </c>
      <c r="C2528" s="84">
        <f>'Change Orders'!S493</f>
        <v/>
      </c>
      <c r="D2528" s="46">
        <f>'Change Orders'!T493</f>
        <v/>
      </c>
      <c r="E2528" s="46">
        <f>IF(OR(B2528="",C2528="",D2528=""),"",D2528*100000+(C2528-DATE(2000,1,1))+ROW()/100000)</f>
        <v/>
      </c>
      <c r="F2528" s="46">
        <f>IF(E2528="","",IF(C2528&gt;WeekEndDate,"",E2528))</f>
        <v/>
      </c>
    </row>
    <row r="2529">
      <c r="A2529" t="inlineStr">
        <is>
          <t>Change Orders</t>
        </is>
      </c>
      <c r="B2529" s="46">
        <f>'Change Orders'!U494</f>
        <v/>
      </c>
      <c r="C2529" s="84">
        <f>'Change Orders'!S494</f>
        <v/>
      </c>
      <c r="D2529" s="46">
        <f>'Change Orders'!T494</f>
        <v/>
      </c>
      <c r="E2529" s="46">
        <f>IF(OR(B2529="",C2529="",D2529=""),"",D2529*100000+(C2529-DATE(2000,1,1))+ROW()/100000)</f>
        <v/>
      </c>
      <c r="F2529" s="46">
        <f>IF(E2529="","",IF(C2529&gt;WeekEndDate,"",E2529))</f>
        <v/>
      </c>
    </row>
    <row r="2530">
      <c r="A2530" t="inlineStr">
        <is>
          <t>Change Orders</t>
        </is>
      </c>
      <c r="B2530" s="46">
        <f>'Change Orders'!U495</f>
        <v/>
      </c>
      <c r="C2530" s="84">
        <f>'Change Orders'!S495</f>
        <v/>
      </c>
      <c r="D2530" s="46">
        <f>'Change Orders'!T495</f>
        <v/>
      </c>
      <c r="E2530" s="46">
        <f>IF(OR(B2530="",C2530="",D2530=""),"",D2530*100000+(C2530-DATE(2000,1,1))+ROW()/100000)</f>
        <v/>
      </c>
      <c r="F2530" s="46">
        <f>IF(E2530="","",IF(C2530&gt;WeekEndDate,"",E2530))</f>
        <v/>
      </c>
    </row>
    <row r="2531">
      <c r="A2531" t="inlineStr">
        <is>
          <t>Change Orders</t>
        </is>
      </c>
      <c r="B2531" s="46">
        <f>'Change Orders'!U496</f>
        <v/>
      </c>
      <c r="C2531" s="84">
        <f>'Change Orders'!S496</f>
        <v/>
      </c>
      <c r="D2531" s="46">
        <f>'Change Orders'!T496</f>
        <v/>
      </c>
      <c r="E2531" s="46">
        <f>IF(OR(B2531="",C2531="",D2531=""),"",D2531*100000+(C2531-DATE(2000,1,1))+ROW()/100000)</f>
        <v/>
      </c>
      <c r="F2531" s="46">
        <f>IF(E2531="","",IF(C2531&gt;WeekEndDate,"",E2531))</f>
        <v/>
      </c>
    </row>
    <row r="2532">
      <c r="A2532" t="inlineStr">
        <is>
          <t>Change Orders</t>
        </is>
      </c>
      <c r="B2532" s="46">
        <f>'Change Orders'!U497</f>
        <v/>
      </c>
      <c r="C2532" s="84">
        <f>'Change Orders'!S497</f>
        <v/>
      </c>
      <c r="D2532" s="46">
        <f>'Change Orders'!T497</f>
        <v/>
      </c>
      <c r="E2532" s="46">
        <f>IF(OR(B2532="",C2532="",D2532=""),"",D2532*100000+(C2532-DATE(2000,1,1))+ROW()/100000)</f>
        <v/>
      </c>
      <c r="F2532" s="46">
        <f>IF(E2532="","",IF(C2532&gt;WeekEndDate,"",E2532))</f>
        <v/>
      </c>
    </row>
    <row r="2533">
      <c r="A2533" t="inlineStr">
        <is>
          <t>Change Orders</t>
        </is>
      </c>
      <c r="B2533" s="46">
        <f>'Change Orders'!U498</f>
        <v/>
      </c>
      <c r="C2533" s="84">
        <f>'Change Orders'!S498</f>
        <v/>
      </c>
      <c r="D2533" s="46">
        <f>'Change Orders'!T498</f>
        <v/>
      </c>
      <c r="E2533" s="46">
        <f>IF(OR(B2533="",C2533="",D2533=""),"",D2533*100000+(C2533-DATE(2000,1,1))+ROW()/100000)</f>
        <v/>
      </c>
      <c r="F2533" s="46">
        <f>IF(E2533="","",IF(C2533&gt;WeekEndDate,"",E2533))</f>
        <v/>
      </c>
    </row>
    <row r="2534">
      <c r="A2534" t="inlineStr">
        <is>
          <t>Change Orders</t>
        </is>
      </c>
      <c r="B2534" s="46">
        <f>'Change Orders'!U499</f>
        <v/>
      </c>
      <c r="C2534" s="84">
        <f>'Change Orders'!S499</f>
        <v/>
      </c>
      <c r="D2534" s="46">
        <f>'Change Orders'!T499</f>
        <v/>
      </c>
      <c r="E2534" s="46">
        <f>IF(OR(B2534="",C2534="",D2534=""),"",D2534*100000+(C2534-DATE(2000,1,1))+ROW()/100000)</f>
        <v/>
      </c>
      <c r="F2534" s="46">
        <f>IF(E2534="","",IF(C2534&gt;WeekEndDate,"",E2534))</f>
        <v/>
      </c>
    </row>
    <row r="2535">
      <c r="A2535" t="inlineStr">
        <is>
          <t>Change Orders</t>
        </is>
      </c>
      <c r="B2535" s="46">
        <f>'Change Orders'!U500</f>
        <v/>
      </c>
      <c r="C2535" s="84">
        <f>'Change Orders'!S500</f>
        <v/>
      </c>
      <c r="D2535" s="46">
        <f>'Change Orders'!T500</f>
        <v/>
      </c>
      <c r="E2535" s="46">
        <f>IF(OR(B2535="",C2535="",D2535=""),"",D2535*100000+(C2535-DATE(2000,1,1))+ROW()/100000)</f>
        <v/>
      </c>
      <c r="F2535" s="46">
        <f>IF(E2535="","",IF(C2535&gt;WeekEndDate,"",E2535))</f>
        <v/>
      </c>
    </row>
    <row r="2536">
      <c r="A2536" t="inlineStr">
        <is>
          <t>Change Orders</t>
        </is>
      </c>
      <c r="B2536" s="46">
        <f>'Change Orders'!U501</f>
        <v/>
      </c>
      <c r="C2536" s="84">
        <f>'Change Orders'!S501</f>
        <v/>
      </c>
      <c r="D2536" s="46">
        <f>'Change Orders'!T501</f>
        <v/>
      </c>
      <c r="E2536" s="46">
        <f>IF(OR(B2536="",C2536="",D2536=""),"",D2536*100000+(C2536-DATE(2000,1,1))+ROW()/100000)</f>
        <v/>
      </c>
      <c r="F2536" s="46">
        <f>IF(E2536="","",IF(C2536&gt;WeekEndDate,"",E2536))</f>
        <v/>
      </c>
    </row>
    <row r="2537">
      <c r="A2537" t="inlineStr">
        <is>
          <t>Change Orders</t>
        </is>
      </c>
      <c r="B2537" s="46">
        <f>'Change Orders'!U502</f>
        <v/>
      </c>
      <c r="C2537" s="84">
        <f>'Change Orders'!S502</f>
        <v/>
      </c>
      <c r="D2537" s="46">
        <f>'Change Orders'!T502</f>
        <v/>
      </c>
      <c r="E2537" s="46">
        <f>IF(OR(B2537="",C2537="",D2537=""),"",D2537*100000+(C2537-DATE(2000,1,1))+ROW()/100000)</f>
        <v/>
      </c>
      <c r="F2537" s="46">
        <f>IF(E2537="","",IF(C2537&gt;WeekEndDate,"",E2537))</f>
        <v/>
      </c>
    </row>
    <row r="2538">
      <c r="A2538" t="inlineStr">
        <is>
          <t>Change Orders</t>
        </is>
      </c>
      <c r="B2538" s="46">
        <f>'Change Orders'!U503</f>
        <v/>
      </c>
      <c r="C2538" s="84">
        <f>'Change Orders'!S503</f>
        <v/>
      </c>
      <c r="D2538" s="46">
        <f>'Change Orders'!T503</f>
        <v/>
      </c>
      <c r="E2538" s="46">
        <f>IF(OR(B2538="",C2538="",D2538=""),"",D2538*100000+(C2538-DATE(2000,1,1))+ROW()/100000)</f>
        <v/>
      </c>
      <c r="F2538" s="46">
        <f>IF(E2538="","",IF(C2538&gt;WeekEndDate,"",E2538))</f>
        <v/>
      </c>
    </row>
    <row r="2539">
      <c r="A2539" t="inlineStr">
        <is>
          <t>Change Orders</t>
        </is>
      </c>
      <c r="B2539" s="46">
        <f>'Change Orders'!U504</f>
        <v/>
      </c>
      <c r="C2539" s="84">
        <f>'Change Orders'!S504</f>
        <v/>
      </c>
      <c r="D2539" s="46">
        <f>'Change Orders'!T504</f>
        <v/>
      </c>
      <c r="E2539" s="46">
        <f>IF(OR(B2539="",C2539="",D2539=""),"",D2539*100000+(C2539-DATE(2000,1,1))+ROW()/100000)</f>
        <v/>
      </c>
      <c r="F2539" s="46">
        <f>IF(E2539="","",IF(C2539&gt;WeekEndDate,"",E2539))</f>
        <v/>
      </c>
    </row>
    <row r="2540">
      <c r="A2540" t="inlineStr">
        <is>
          <t>Change Orders</t>
        </is>
      </c>
      <c r="B2540" s="46">
        <f>'Change Orders'!U505</f>
        <v/>
      </c>
      <c r="C2540" s="84">
        <f>'Change Orders'!S505</f>
        <v/>
      </c>
      <c r="D2540" s="46">
        <f>'Change Orders'!T505</f>
        <v/>
      </c>
      <c r="E2540" s="46">
        <f>IF(OR(B2540="",C2540="",D2540=""),"",D2540*100000+(C2540-DATE(2000,1,1))+ROW()/100000)</f>
        <v/>
      </c>
      <c r="F2540" s="46">
        <f>IF(E2540="","",IF(C2540&gt;WeekEndDate,"",E2540))</f>
        <v/>
      </c>
    </row>
    <row r="2541">
      <c r="A2541" t="inlineStr">
        <is>
          <t>Change Orders</t>
        </is>
      </c>
      <c r="B2541" s="46">
        <f>'Change Orders'!U506</f>
        <v/>
      </c>
      <c r="C2541" s="84">
        <f>'Change Orders'!S506</f>
        <v/>
      </c>
      <c r="D2541" s="46">
        <f>'Change Orders'!T506</f>
        <v/>
      </c>
      <c r="E2541" s="46">
        <f>IF(OR(B2541="",C2541="",D2541=""),"",D2541*100000+(C2541-DATE(2000,1,1))+ROW()/100000)</f>
        <v/>
      </c>
      <c r="F2541" s="46">
        <f>IF(E2541="","",IF(C2541&gt;WeekEndDate,"",E2541))</f>
        <v/>
      </c>
    </row>
    <row r="2542">
      <c r="A2542" t="inlineStr">
        <is>
          <t>Change Orders</t>
        </is>
      </c>
      <c r="B2542" s="46">
        <f>'Change Orders'!U507</f>
        <v/>
      </c>
      <c r="C2542" s="84">
        <f>'Change Orders'!S507</f>
        <v/>
      </c>
      <c r="D2542" s="46">
        <f>'Change Orders'!T507</f>
        <v/>
      </c>
      <c r="E2542" s="46">
        <f>IF(OR(B2542="",C2542="",D2542=""),"",D2542*100000+(C2542-DATE(2000,1,1))+ROW()/100000)</f>
        <v/>
      </c>
      <c r="F2542" s="46">
        <f>IF(E2542="","",IF(C2542&gt;WeekEndDate,"",E2542))</f>
        <v/>
      </c>
    </row>
    <row r="2543">
      <c r="A2543" t="inlineStr">
        <is>
          <t>Change Orders</t>
        </is>
      </c>
      <c r="B2543" s="46">
        <f>'Change Orders'!U508</f>
        <v/>
      </c>
      <c r="C2543" s="84">
        <f>'Change Orders'!S508</f>
        <v/>
      </c>
      <c r="D2543" s="46">
        <f>'Change Orders'!T508</f>
        <v/>
      </c>
      <c r="E2543" s="46">
        <f>IF(OR(B2543="",C2543="",D2543=""),"",D2543*100000+(C2543-DATE(2000,1,1))+ROW()/100000)</f>
        <v/>
      </c>
      <c r="F2543" s="46">
        <f>IF(E2543="","",IF(C2543&gt;WeekEndDate,"",E2543))</f>
        <v/>
      </c>
    </row>
    <row r="2544">
      <c r="A2544" t="inlineStr">
        <is>
          <t>Change Orders</t>
        </is>
      </c>
      <c r="B2544" s="46">
        <f>'Change Orders'!U509</f>
        <v/>
      </c>
      <c r="C2544" s="84">
        <f>'Change Orders'!S509</f>
        <v/>
      </c>
      <c r="D2544" s="46">
        <f>'Change Orders'!T509</f>
        <v/>
      </c>
      <c r="E2544" s="46">
        <f>IF(OR(B2544="",C2544="",D2544=""),"",D2544*100000+(C2544-DATE(2000,1,1))+ROW()/100000)</f>
        <v/>
      </c>
      <c r="F2544" s="46">
        <f>IF(E2544="","",IF(C2544&gt;WeekEndDate,"",E2544))</f>
        <v/>
      </c>
    </row>
    <row r="2545">
      <c r="A2545" t="inlineStr">
        <is>
          <t>Change Orders</t>
        </is>
      </c>
      <c r="B2545" s="46">
        <f>'Change Orders'!U510</f>
        <v/>
      </c>
      <c r="C2545" s="84">
        <f>'Change Orders'!S510</f>
        <v/>
      </c>
      <c r="D2545" s="46">
        <f>'Change Orders'!T510</f>
        <v/>
      </c>
      <c r="E2545" s="46">
        <f>IF(OR(B2545="",C2545="",D2545=""),"",D2545*100000+(C2545-DATE(2000,1,1))+ROW()/100000)</f>
        <v/>
      </c>
      <c r="F2545" s="46">
        <f>IF(E2545="","",IF(C2545&gt;WeekEndDate,"",E2545))</f>
        <v/>
      </c>
    </row>
    <row r="2546">
      <c r="A2546" t="inlineStr">
        <is>
          <t>Change Orders</t>
        </is>
      </c>
      <c r="B2546" s="46">
        <f>'Change Orders'!U511</f>
        <v/>
      </c>
      <c r="C2546" s="84">
        <f>'Change Orders'!S511</f>
        <v/>
      </c>
      <c r="D2546" s="46">
        <f>'Change Orders'!T511</f>
        <v/>
      </c>
      <c r="E2546" s="46">
        <f>IF(OR(B2546="",C2546="",D2546=""),"",D2546*100000+(C2546-DATE(2000,1,1))+ROW()/100000)</f>
        <v/>
      </c>
      <c r="F2546" s="46">
        <f>IF(E2546="","",IF(C2546&gt;WeekEndDate,"",E2546))</f>
        <v/>
      </c>
    </row>
    <row r="2547">
      <c r="A2547" t="inlineStr">
        <is>
          <t>Change Orders</t>
        </is>
      </c>
      <c r="B2547" s="46">
        <f>'Change Orders'!U512</f>
        <v/>
      </c>
      <c r="C2547" s="84">
        <f>'Change Orders'!S512</f>
        <v/>
      </c>
      <c r="D2547" s="46">
        <f>'Change Orders'!T512</f>
        <v/>
      </c>
      <c r="E2547" s="46">
        <f>IF(OR(B2547="",C2547="",D2547=""),"",D2547*100000+(C2547-DATE(2000,1,1))+ROW()/100000)</f>
        <v/>
      </c>
      <c r="F2547" s="46">
        <f>IF(E2547="","",IF(C2547&gt;WeekEndDate,"",E2547))</f>
        <v/>
      </c>
    </row>
    <row r="2548">
      <c r="A2548" t="inlineStr">
        <is>
          <t>Change Orders</t>
        </is>
      </c>
      <c r="B2548" s="46">
        <f>'Change Orders'!U513</f>
        <v/>
      </c>
      <c r="C2548" s="84">
        <f>'Change Orders'!S513</f>
        <v/>
      </c>
      <c r="D2548" s="46">
        <f>'Change Orders'!T513</f>
        <v/>
      </c>
      <c r="E2548" s="46">
        <f>IF(OR(B2548="",C2548="",D2548=""),"",D2548*100000+(C2548-DATE(2000,1,1))+ROW()/100000)</f>
        <v/>
      </c>
      <c r="F2548" s="46">
        <f>IF(E2548="","",IF(C2548&gt;WeekEndDate,"",E2548))</f>
        <v/>
      </c>
    </row>
    <row r="2549">
      <c r="A2549" t="inlineStr">
        <is>
          <t>Change Orders</t>
        </is>
      </c>
      <c r="B2549" s="46">
        <f>'Change Orders'!U514</f>
        <v/>
      </c>
      <c r="C2549" s="84">
        <f>'Change Orders'!S514</f>
        <v/>
      </c>
      <c r="D2549" s="46">
        <f>'Change Orders'!T514</f>
        <v/>
      </c>
      <c r="E2549" s="46">
        <f>IF(OR(B2549="",C2549="",D2549=""),"",D2549*100000+(C2549-DATE(2000,1,1))+ROW()/100000)</f>
        <v/>
      </c>
      <c r="F2549" s="46">
        <f>IF(E2549="","",IF(C2549&gt;WeekEndDate,"",E2549))</f>
        <v/>
      </c>
    </row>
    <row r="2550">
      <c r="A2550" t="inlineStr">
        <is>
          <t>Change Orders</t>
        </is>
      </c>
      <c r="B2550" s="46">
        <f>'Change Orders'!U515</f>
        <v/>
      </c>
      <c r="C2550" s="84">
        <f>'Change Orders'!S515</f>
        <v/>
      </c>
      <c r="D2550" s="46">
        <f>'Change Orders'!T515</f>
        <v/>
      </c>
      <c r="E2550" s="46">
        <f>IF(OR(B2550="",C2550="",D2550=""),"",D2550*100000+(C2550-DATE(2000,1,1))+ROW()/100000)</f>
        <v/>
      </c>
      <c r="F2550" s="46">
        <f>IF(E2550="","",IF(C2550&gt;WeekEndDate,"",E2550))</f>
        <v/>
      </c>
    </row>
    <row r="2551">
      <c r="A2551" t="inlineStr">
        <is>
          <t>Change Orders</t>
        </is>
      </c>
      <c r="B2551" s="46">
        <f>'Change Orders'!U516</f>
        <v/>
      </c>
      <c r="C2551" s="84">
        <f>'Change Orders'!S516</f>
        <v/>
      </c>
      <c r="D2551" s="46">
        <f>'Change Orders'!T516</f>
        <v/>
      </c>
      <c r="E2551" s="46">
        <f>IF(OR(B2551="",C2551="",D2551=""),"",D2551*100000+(C2551-DATE(2000,1,1))+ROW()/100000)</f>
        <v/>
      </c>
      <c r="F2551" s="46">
        <f>IF(E2551="","",IF(C2551&gt;WeekEndDate,"",E2551))</f>
        <v/>
      </c>
    </row>
    <row r="2552">
      <c r="A2552" t="inlineStr">
        <is>
          <t>Change Orders</t>
        </is>
      </c>
      <c r="B2552" s="46">
        <f>'Change Orders'!U517</f>
        <v/>
      </c>
      <c r="C2552" s="84">
        <f>'Change Orders'!S517</f>
        <v/>
      </c>
      <c r="D2552" s="46">
        <f>'Change Orders'!T517</f>
        <v/>
      </c>
      <c r="E2552" s="46">
        <f>IF(OR(B2552="",C2552="",D2552=""),"",D2552*100000+(C2552-DATE(2000,1,1))+ROW()/100000)</f>
        <v/>
      </c>
      <c r="F2552" s="46">
        <f>IF(E2552="","",IF(C2552&gt;WeekEndDate,"",E2552))</f>
        <v/>
      </c>
    </row>
    <row r="2553">
      <c r="A2553" t="inlineStr">
        <is>
          <t>Change Orders</t>
        </is>
      </c>
      <c r="B2553" s="46">
        <f>'Change Orders'!U518</f>
        <v/>
      </c>
      <c r="C2553" s="84">
        <f>'Change Orders'!S518</f>
        <v/>
      </c>
      <c r="D2553" s="46">
        <f>'Change Orders'!T518</f>
        <v/>
      </c>
      <c r="E2553" s="46">
        <f>IF(OR(B2553="",C2553="",D2553=""),"",D2553*100000+(C2553-DATE(2000,1,1))+ROW()/100000)</f>
        <v/>
      </c>
      <c r="F2553" s="46">
        <f>IF(E2553="","",IF(C2553&gt;WeekEndDate,"",E2553))</f>
        <v/>
      </c>
    </row>
    <row r="2554">
      <c r="A2554" t="inlineStr">
        <is>
          <t>Change Orders</t>
        </is>
      </c>
      <c r="B2554" s="46">
        <f>'Change Orders'!U519</f>
        <v/>
      </c>
      <c r="C2554" s="84">
        <f>'Change Orders'!S519</f>
        <v/>
      </c>
      <c r="D2554" s="46">
        <f>'Change Orders'!T519</f>
        <v/>
      </c>
      <c r="E2554" s="46">
        <f>IF(OR(B2554="",C2554="",D2554=""),"",D2554*100000+(C2554-DATE(2000,1,1))+ROW()/100000)</f>
        <v/>
      </c>
      <c r="F2554" s="46">
        <f>IF(E2554="","",IF(C2554&gt;WeekEndDate,"",E2554))</f>
        <v/>
      </c>
    </row>
    <row r="2555">
      <c r="A2555" t="inlineStr">
        <is>
          <t>Change Orders</t>
        </is>
      </c>
      <c r="B2555" s="46">
        <f>'Change Orders'!U520</f>
        <v/>
      </c>
      <c r="C2555" s="84">
        <f>'Change Orders'!S520</f>
        <v/>
      </c>
      <c r="D2555" s="46">
        <f>'Change Orders'!T520</f>
        <v/>
      </c>
      <c r="E2555" s="46">
        <f>IF(OR(B2555="",C2555="",D2555=""),"",D2555*100000+(C2555-DATE(2000,1,1))+ROW()/100000)</f>
        <v/>
      </c>
      <c r="F2555" s="46">
        <f>IF(E2555="","",IF(C2555&gt;WeekEndDate,"",E2555))</f>
        <v/>
      </c>
    </row>
    <row r="2556">
      <c r="A2556" t="inlineStr">
        <is>
          <t>Change Orders</t>
        </is>
      </c>
      <c r="B2556" s="46">
        <f>'Change Orders'!U521</f>
        <v/>
      </c>
      <c r="C2556" s="84">
        <f>'Change Orders'!S521</f>
        <v/>
      </c>
      <c r="D2556" s="46">
        <f>'Change Orders'!T521</f>
        <v/>
      </c>
      <c r="E2556" s="46">
        <f>IF(OR(B2556="",C2556="",D2556=""),"",D2556*100000+(C2556-DATE(2000,1,1))+ROW()/100000)</f>
        <v/>
      </c>
      <c r="F2556" s="46">
        <f>IF(E2556="","",IF(C2556&gt;WeekEndDate,"",E2556))</f>
        <v/>
      </c>
    </row>
    <row r="2557">
      <c r="A2557" t="inlineStr">
        <is>
          <t>Change Orders</t>
        </is>
      </c>
      <c r="B2557" s="46">
        <f>'Change Orders'!U522</f>
        <v/>
      </c>
      <c r="C2557" s="84">
        <f>'Change Orders'!S522</f>
        <v/>
      </c>
      <c r="D2557" s="46">
        <f>'Change Orders'!T522</f>
        <v/>
      </c>
      <c r="E2557" s="46">
        <f>IF(OR(B2557="",C2557="",D2557=""),"",D2557*100000+(C2557-DATE(2000,1,1))+ROW()/100000)</f>
        <v/>
      </c>
      <c r="F2557" s="46">
        <f>IF(E2557="","",IF(C2557&gt;WeekEndDate,"",E2557))</f>
        <v/>
      </c>
    </row>
    <row r="2558">
      <c r="A2558" t="inlineStr">
        <is>
          <t>Change Orders</t>
        </is>
      </c>
      <c r="B2558" s="46">
        <f>'Change Orders'!U523</f>
        <v/>
      </c>
      <c r="C2558" s="84">
        <f>'Change Orders'!S523</f>
        <v/>
      </c>
      <c r="D2558" s="46">
        <f>'Change Orders'!T523</f>
        <v/>
      </c>
      <c r="E2558" s="46">
        <f>IF(OR(B2558="",C2558="",D2558=""),"",D2558*100000+(C2558-DATE(2000,1,1))+ROW()/100000)</f>
        <v/>
      </c>
      <c r="F2558" s="46">
        <f>IF(E2558="","",IF(C2558&gt;WeekEndDate,"",E2558))</f>
        <v/>
      </c>
    </row>
    <row r="2559">
      <c r="A2559" t="inlineStr">
        <is>
          <t>Change Orders</t>
        </is>
      </c>
      <c r="B2559" s="46">
        <f>'Change Orders'!U524</f>
        <v/>
      </c>
      <c r="C2559" s="84">
        <f>'Change Orders'!S524</f>
        <v/>
      </c>
      <c r="D2559" s="46">
        <f>'Change Orders'!T524</f>
        <v/>
      </c>
      <c r="E2559" s="46">
        <f>IF(OR(B2559="",C2559="",D2559=""),"",D2559*100000+(C2559-DATE(2000,1,1))+ROW()/100000)</f>
        <v/>
      </c>
      <c r="F2559" s="46">
        <f>IF(E2559="","",IF(C2559&gt;WeekEndDate,"",E2559))</f>
        <v/>
      </c>
    </row>
    <row r="2560">
      <c r="A2560" t="inlineStr">
        <is>
          <t>Change Orders</t>
        </is>
      </c>
      <c r="B2560" s="46">
        <f>'Change Orders'!U525</f>
        <v/>
      </c>
      <c r="C2560" s="84">
        <f>'Change Orders'!S525</f>
        <v/>
      </c>
      <c r="D2560" s="46">
        <f>'Change Orders'!T525</f>
        <v/>
      </c>
      <c r="E2560" s="46">
        <f>IF(OR(B2560="",C2560="",D2560=""),"",D2560*100000+(C2560-DATE(2000,1,1))+ROW()/100000)</f>
        <v/>
      </c>
      <c r="F2560" s="46">
        <f>IF(E2560="","",IF(C2560&gt;WeekEndDate,"",E2560))</f>
        <v/>
      </c>
    </row>
    <row r="2561">
      <c r="A2561" t="inlineStr">
        <is>
          <t>Change Orders</t>
        </is>
      </c>
      <c r="B2561" s="46">
        <f>'Change Orders'!U526</f>
        <v/>
      </c>
      <c r="C2561" s="84">
        <f>'Change Orders'!S526</f>
        <v/>
      </c>
      <c r="D2561" s="46">
        <f>'Change Orders'!T526</f>
        <v/>
      </c>
      <c r="E2561" s="46">
        <f>IF(OR(B2561="",C2561="",D2561=""),"",D2561*100000+(C2561-DATE(2000,1,1))+ROW()/100000)</f>
        <v/>
      </c>
      <c r="F2561" s="46">
        <f>IF(E2561="","",IF(C2561&gt;WeekEndDate,"",E2561))</f>
        <v/>
      </c>
    </row>
    <row r="2562">
      <c r="A2562" t="inlineStr">
        <is>
          <t>Change Orders</t>
        </is>
      </c>
      <c r="B2562" s="46">
        <f>'Change Orders'!U527</f>
        <v/>
      </c>
      <c r="C2562" s="84">
        <f>'Change Orders'!S527</f>
        <v/>
      </c>
      <c r="D2562" s="46">
        <f>'Change Orders'!T527</f>
        <v/>
      </c>
      <c r="E2562" s="46">
        <f>IF(OR(B2562="",C2562="",D2562=""),"",D2562*100000+(C2562-DATE(2000,1,1))+ROW()/100000)</f>
        <v/>
      </c>
      <c r="F2562" s="46">
        <f>IF(E2562="","",IF(C2562&gt;WeekEndDate,"",E2562))</f>
        <v/>
      </c>
    </row>
    <row r="2563">
      <c r="A2563" t="inlineStr">
        <is>
          <t>Change Orders</t>
        </is>
      </c>
      <c r="B2563" s="46">
        <f>'Change Orders'!U528</f>
        <v/>
      </c>
      <c r="C2563" s="84">
        <f>'Change Orders'!S528</f>
        <v/>
      </c>
      <c r="D2563" s="46">
        <f>'Change Orders'!T528</f>
        <v/>
      </c>
      <c r="E2563" s="46">
        <f>IF(OR(B2563="",C2563="",D2563=""),"",D2563*100000+(C2563-DATE(2000,1,1))+ROW()/100000)</f>
        <v/>
      </c>
      <c r="F2563" s="46">
        <f>IF(E2563="","",IF(C2563&gt;WeekEndDate,"",E2563))</f>
        <v/>
      </c>
    </row>
    <row r="2564">
      <c r="A2564" t="inlineStr">
        <is>
          <t>Change Orders</t>
        </is>
      </c>
      <c r="B2564" s="46">
        <f>'Change Orders'!U529</f>
        <v/>
      </c>
      <c r="C2564" s="84">
        <f>'Change Orders'!S529</f>
        <v/>
      </c>
      <c r="D2564" s="46">
        <f>'Change Orders'!T529</f>
        <v/>
      </c>
      <c r="E2564" s="46">
        <f>IF(OR(B2564="",C2564="",D2564=""),"",D2564*100000+(C2564-DATE(2000,1,1))+ROW()/100000)</f>
        <v/>
      </c>
      <c r="F2564" s="46">
        <f>IF(E2564="","",IF(C2564&gt;WeekEndDate,"",E2564))</f>
        <v/>
      </c>
    </row>
    <row r="2565">
      <c r="A2565" t="inlineStr">
        <is>
          <t>Change Orders</t>
        </is>
      </c>
      <c r="B2565" s="46">
        <f>'Change Orders'!U530</f>
        <v/>
      </c>
      <c r="C2565" s="84">
        <f>'Change Orders'!S530</f>
        <v/>
      </c>
      <c r="D2565" s="46">
        <f>'Change Orders'!T530</f>
        <v/>
      </c>
      <c r="E2565" s="46">
        <f>IF(OR(B2565="",C2565="",D2565=""),"",D2565*100000+(C2565-DATE(2000,1,1))+ROW()/100000)</f>
        <v/>
      </c>
      <c r="F2565" s="46">
        <f>IF(E2565="","",IF(C2565&gt;WeekEndDate,"",E2565))</f>
        <v/>
      </c>
    </row>
    <row r="2566">
      <c r="A2566" t="inlineStr">
        <is>
          <t>Change Orders</t>
        </is>
      </c>
      <c r="B2566" s="46">
        <f>'Change Orders'!U531</f>
        <v/>
      </c>
      <c r="C2566" s="84">
        <f>'Change Orders'!S531</f>
        <v/>
      </c>
      <c r="D2566" s="46">
        <f>'Change Orders'!T531</f>
        <v/>
      </c>
      <c r="E2566" s="46">
        <f>IF(OR(B2566="",C2566="",D2566=""),"",D2566*100000+(C2566-DATE(2000,1,1))+ROW()/100000)</f>
        <v/>
      </c>
      <c r="F2566" s="46">
        <f>IF(E2566="","",IF(C2566&gt;WeekEndDate,"",E2566))</f>
        <v/>
      </c>
    </row>
    <row r="2567">
      <c r="A2567" t="inlineStr">
        <is>
          <t>Change Orders</t>
        </is>
      </c>
      <c r="B2567" s="46">
        <f>'Change Orders'!U532</f>
        <v/>
      </c>
      <c r="C2567" s="84">
        <f>'Change Orders'!S532</f>
        <v/>
      </c>
      <c r="D2567" s="46">
        <f>'Change Orders'!T532</f>
        <v/>
      </c>
      <c r="E2567" s="46">
        <f>IF(OR(B2567="",C2567="",D2567=""),"",D2567*100000+(C2567-DATE(2000,1,1))+ROW()/100000)</f>
        <v/>
      </c>
      <c r="F2567" s="46">
        <f>IF(E2567="","",IF(C2567&gt;WeekEndDate,"",E2567))</f>
        <v/>
      </c>
    </row>
    <row r="2568">
      <c r="A2568" t="inlineStr">
        <is>
          <t>Change Orders</t>
        </is>
      </c>
      <c r="B2568" s="46">
        <f>'Change Orders'!U533</f>
        <v/>
      </c>
      <c r="C2568" s="84">
        <f>'Change Orders'!S533</f>
        <v/>
      </c>
      <c r="D2568" s="46">
        <f>'Change Orders'!T533</f>
        <v/>
      </c>
      <c r="E2568" s="46">
        <f>IF(OR(B2568="",C2568="",D2568=""),"",D2568*100000+(C2568-DATE(2000,1,1))+ROW()/100000)</f>
        <v/>
      </c>
      <c r="F2568" s="46">
        <f>IF(E2568="","",IF(C2568&gt;WeekEndDate,"",E2568))</f>
        <v/>
      </c>
    </row>
    <row r="2569">
      <c r="A2569" t="inlineStr">
        <is>
          <t>Change Orders</t>
        </is>
      </c>
      <c r="B2569" s="46">
        <f>'Change Orders'!U534</f>
        <v/>
      </c>
      <c r="C2569" s="84">
        <f>'Change Orders'!S534</f>
        <v/>
      </c>
      <c r="D2569" s="46">
        <f>'Change Orders'!T534</f>
        <v/>
      </c>
      <c r="E2569" s="46">
        <f>IF(OR(B2569="",C2569="",D2569=""),"",D2569*100000+(C2569-DATE(2000,1,1))+ROW()/100000)</f>
        <v/>
      </c>
      <c r="F2569" s="46">
        <f>IF(E2569="","",IF(C2569&gt;WeekEndDate,"",E2569))</f>
        <v/>
      </c>
    </row>
    <row r="2570">
      <c r="A2570" t="inlineStr">
        <is>
          <t>Change Orders</t>
        </is>
      </c>
      <c r="B2570" s="46">
        <f>'Change Orders'!U535</f>
        <v/>
      </c>
      <c r="C2570" s="84">
        <f>'Change Orders'!S535</f>
        <v/>
      </c>
      <c r="D2570" s="46">
        <f>'Change Orders'!T535</f>
        <v/>
      </c>
      <c r="E2570" s="46">
        <f>IF(OR(B2570="",C2570="",D2570=""),"",D2570*100000+(C2570-DATE(2000,1,1))+ROW()/100000)</f>
        <v/>
      </c>
      <c r="F2570" s="46">
        <f>IF(E2570="","",IF(C2570&gt;WeekEndDate,"",E2570))</f>
        <v/>
      </c>
    </row>
    <row r="2571">
      <c r="A2571" t="inlineStr">
        <is>
          <t>Change Orders</t>
        </is>
      </c>
      <c r="B2571" s="46">
        <f>'Change Orders'!U536</f>
        <v/>
      </c>
      <c r="C2571" s="84">
        <f>'Change Orders'!S536</f>
        <v/>
      </c>
      <c r="D2571" s="46">
        <f>'Change Orders'!T536</f>
        <v/>
      </c>
      <c r="E2571" s="46">
        <f>IF(OR(B2571="",C2571="",D2571=""),"",D2571*100000+(C2571-DATE(2000,1,1))+ROW()/100000)</f>
        <v/>
      </c>
      <c r="F2571" s="46">
        <f>IF(E2571="","",IF(C2571&gt;WeekEndDate,"",E2571))</f>
        <v/>
      </c>
    </row>
    <row r="2572">
      <c r="A2572" t="inlineStr">
        <is>
          <t>Change Orders</t>
        </is>
      </c>
      <c r="B2572" s="46">
        <f>'Change Orders'!U537</f>
        <v/>
      </c>
      <c r="C2572" s="84">
        <f>'Change Orders'!S537</f>
        <v/>
      </c>
      <c r="D2572" s="46">
        <f>'Change Orders'!T537</f>
        <v/>
      </c>
      <c r="E2572" s="46">
        <f>IF(OR(B2572="",C2572="",D2572=""),"",D2572*100000+(C2572-DATE(2000,1,1))+ROW()/100000)</f>
        <v/>
      </c>
      <c r="F2572" s="46">
        <f>IF(E2572="","",IF(C2572&gt;WeekEndDate,"",E2572))</f>
        <v/>
      </c>
    </row>
    <row r="2573">
      <c r="A2573" t="inlineStr">
        <is>
          <t>Change Orders</t>
        </is>
      </c>
      <c r="B2573" s="46">
        <f>'Change Orders'!U538</f>
        <v/>
      </c>
      <c r="C2573" s="84">
        <f>'Change Orders'!S538</f>
        <v/>
      </c>
      <c r="D2573" s="46">
        <f>'Change Orders'!T538</f>
        <v/>
      </c>
      <c r="E2573" s="46">
        <f>IF(OR(B2573="",C2573="",D2573=""),"",D2573*100000+(C2573-DATE(2000,1,1))+ROW()/100000)</f>
        <v/>
      </c>
      <c r="F2573" s="46">
        <f>IF(E2573="","",IF(C2573&gt;WeekEndDate,"",E2573))</f>
        <v/>
      </c>
    </row>
    <row r="2574">
      <c r="A2574" t="inlineStr">
        <is>
          <t>Change Orders</t>
        </is>
      </c>
      <c r="B2574" s="46">
        <f>'Change Orders'!U539</f>
        <v/>
      </c>
      <c r="C2574" s="84">
        <f>'Change Orders'!S539</f>
        <v/>
      </c>
      <c r="D2574" s="46">
        <f>'Change Orders'!T539</f>
        <v/>
      </c>
      <c r="E2574" s="46">
        <f>IF(OR(B2574="",C2574="",D2574=""),"",D2574*100000+(C2574-DATE(2000,1,1))+ROW()/100000)</f>
        <v/>
      </c>
      <c r="F2574" s="46">
        <f>IF(E2574="","",IF(C2574&gt;WeekEndDate,"",E2574))</f>
        <v/>
      </c>
    </row>
    <row r="2575">
      <c r="A2575" t="inlineStr">
        <is>
          <t>Change Orders</t>
        </is>
      </c>
      <c r="B2575" s="46">
        <f>'Change Orders'!U540</f>
        <v/>
      </c>
      <c r="C2575" s="84">
        <f>'Change Orders'!S540</f>
        <v/>
      </c>
      <c r="D2575" s="46">
        <f>'Change Orders'!T540</f>
        <v/>
      </c>
      <c r="E2575" s="46">
        <f>IF(OR(B2575="",C2575="",D2575=""),"",D2575*100000+(C2575-DATE(2000,1,1))+ROW()/100000)</f>
        <v/>
      </c>
      <c r="F2575" s="46">
        <f>IF(E2575="","",IF(C2575&gt;WeekEndDate,"",E2575))</f>
        <v/>
      </c>
    </row>
    <row r="2576">
      <c r="A2576" t="inlineStr">
        <is>
          <t>Change Orders</t>
        </is>
      </c>
      <c r="B2576" s="46">
        <f>'Change Orders'!U541</f>
        <v/>
      </c>
      <c r="C2576" s="84">
        <f>'Change Orders'!S541</f>
        <v/>
      </c>
      <c r="D2576" s="46">
        <f>'Change Orders'!T541</f>
        <v/>
      </c>
      <c r="E2576" s="46">
        <f>IF(OR(B2576="",C2576="",D2576=""),"",D2576*100000+(C2576-DATE(2000,1,1))+ROW()/100000)</f>
        <v/>
      </c>
      <c r="F2576" s="46">
        <f>IF(E2576="","",IF(C2576&gt;WeekEndDate,"",E2576))</f>
        <v/>
      </c>
    </row>
    <row r="2577">
      <c r="A2577" t="inlineStr">
        <is>
          <t>Change Orders</t>
        </is>
      </c>
      <c r="B2577" s="46">
        <f>'Change Orders'!U542</f>
        <v/>
      </c>
      <c r="C2577" s="84">
        <f>'Change Orders'!S542</f>
        <v/>
      </c>
      <c r="D2577" s="46">
        <f>'Change Orders'!T542</f>
        <v/>
      </c>
      <c r="E2577" s="46">
        <f>IF(OR(B2577="",C2577="",D2577=""),"",D2577*100000+(C2577-DATE(2000,1,1))+ROW()/100000)</f>
        <v/>
      </c>
      <c r="F2577" s="46">
        <f>IF(E2577="","",IF(C2577&gt;WeekEndDate,"",E2577))</f>
        <v/>
      </c>
    </row>
    <row r="2578">
      <c r="A2578" t="inlineStr">
        <is>
          <t>Change Orders</t>
        </is>
      </c>
      <c r="B2578" s="46">
        <f>'Change Orders'!U543</f>
        <v/>
      </c>
      <c r="C2578" s="84">
        <f>'Change Orders'!S543</f>
        <v/>
      </c>
      <c r="D2578" s="46">
        <f>'Change Orders'!T543</f>
        <v/>
      </c>
      <c r="E2578" s="46">
        <f>IF(OR(B2578="",C2578="",D2578=""),"",D2578*100000+(C2578-DATE(2000,1,1))+ROW()/100000)</f>
        <v/>
      </c>
      <c r="F2578" s="46">
        <f>IF(E2578="","",IF(C2578&gt;WeekEndDate,"",E2578))</f>
        <v/>
      </c>
    </row>
    <row r="2579">
      <c r="A2579" t="inlineStr">
        <is>
          <t>Change Orders</t>
        </is>
      </c>
      <c r="B2579" s="46">
        <f>'Change Orders'!U544</f>
        <v/>
      </c>
      <c r="C2579" s="84">
        <f>'Change Orders'!S544</f>
        <v/>
      </c>
      <c r="D2579" s="46">
        <f>'Change Orders'!T544</f>
        <v/>
      </c>
      <c r="E2579" s="46">
        <f>IF(OR(B2579="",C2579="",D2579=""),"",D2579*100000+(C2579-DATE(2000,1,1))+ROW()/100000)</f>
        <v/>
      </c>
      <c r="F2579" s="46">
        <f>IF(E2579="","",IF(C2579&gt;WeekEndDate,"",E2579))</f>
        <v/>
      </c>
    </row>
    <row r="2580">
      <c r="A2580" t="inlineStr">
        <is>
          <t>Change Orders</t>
        </is>
      </c>
      <c r="B2580" s="46">
        <f>'Change Orders'!U545</f>
        <v/>
      </c>
      <c r="C2580" s="84">
        <f>'Change Orders'!S545</f>
        <v/>
      </c>
      <c r="D2580" s="46">
        <f>'Change Orders'!T545</f>
        <v/>
      </c>
      <c r="E2580" s="46">
        <f>IF(OR(B2580="",C2580="",D2580=""),"",D2580*100000+(C2580-DATE(2000,1,1))+ROW()/100000)</f>
        <v/>
      </c>
      <c r="F2580" s="46">
        <f>IF(E2580="","",IF(C2580&gt;WeekEndDate,"",E2580))</f>
        <v/>
      </c>
    </row>
    <row r="2581">
      <c r="A2581" t="inlineStr">
        <is>
          <t>Change Orders</t>
        </is>
      </c>
      <c r="B2581" s="46">
        <f>'Change Orders'!U546</f>
        <v/>
      </c>
      <c r="C2581" s="84">
        <f>'Change Orders'!S546</f>
        <v/>
      </c>
      <c r="D2581" s="46">
        <f>'Change Orders'!T546</f>
        <v/>
      </c>
      <c r="E2581" s="46">
        <f>IF(OR(B2581="",C2581="",D2581=""),"",D2581*100000+(C2581-DATE(2000,1,1))+ROW()/100000)</f>
        <v/>
      </c>
      <c r="F2581" s="46">
        <f>IF(E2581="","",IF(C2581&gt;WeekEndDate,"",E2581))</f>
        <v/>
      </c>
    </row>
    <row r="2582">
      <c r="A2582" t="inlineStr">
        <is>
          <t>Change Orders</t>
        </is>
      </c>
      <c r="B2582" s="46">
        <f>'Change Orders'!U547</f>
        <v/>
      </c>
      <c r="C2582" s="84">
        <f>'Change Orders'!S547</f>
        <v/>
      </c>
      <c r="D2582" s="46">
        <f>'Change Orders'!T547</f>
        <v/>
      </c>
      <c r="E2582" s="46">
        <f>IF(OR(B2582="",C2582="",D2582=""),"",D2582*100000+(C2582-DATE(2000,1,1))+ROW()/100000)</f>
        <v/>
      </c>
      <c r="F2582" s="46">
        <f>IF(E2582="","",IF(C2582&gt;WeekEndDate,"",E2582))</f>
        <v/>
      </c>
    </row>
    <row r="2583">
      <c r="A2583" t="inlineStr">
        <is>
          <t>Change Orders</t>
        </is>
      </c>
      <c r="B2583" s="46">
        <f>'Change Orders'!U548</f>
        <v/>
      </c>
      <c r="C2583" s="84">
        <f>'Change Orders'!S548</f>
        <v/>
      </c>
      <c r="D2583" s="46">
        <f>'Change Orders'!T548</f>
        <v/>
      </c>
      <c r="E2583" s="46">
        <f>IF(OR(B2583="",C2583="",D2583=""),"",D2583*100000+(C2583-DATE(2000,1,1))+ROW()/100000)</f>
        <v/>
      </c>
      <c r="F2583" s="46">
        <f>IF(E2583="","",IF(C2583&gt;WeekEndDate,"",E2583))</f>
        <v/>
      </c>
    </row>
    <row r="2584">
      <c r="A2584" t="inlineStr">
        <is>
          <t>Change Orders</t>
        </is>
      </c>
      <c r="B2584" s="46">
        <f>'Change Orders'!U549</f>
        <v/>
      </c>
      <c r="C2584" s="84">
        <f>'Change Orders'!S549</f>
        <v/>
      </c>
      <c r="D2584" s="46">
        <f>'Change Orders'!T549</f>
        <v/>
      </c>
      <c r="E2584" s="46">
        <f>IF(OR(B2584="",C2584="",D2584=""),"",D2584*100000+(C2584-DATE(2000,1,1))+ROW()/100000)</f>
        <v/>
      </c>
      <c r="F2584" s="46">
        <f>IF(E2584="","",IF(C2584&gt;WeekEndDate,"",E2584))</f>
        <v/>
      </c>
    </row>
    <row r="2585">
      <c r="A2585" t="inlineStr">
        <is>
          <t>Change Orders</t>
        </is>
      </c>
      <c r="B2585" s="46">
        <f>'Change Orders'!U550</f>
        <v/>
      </c>
      <c r="C2585" s="84">
        <f>'Change Orders'!S550</f>
        <v/>
      </c>
      <c r="D2585" s="46">
        <f>'Change Orders'!T550</f>
        <v/>
      </c>
      <c r="E2585" s="46">
        <f>IF(OR(B2585="",C2585="",D2585=""),"",D2585*100000+(C2585-DATE(2000,1,1))+ROW()/100000)</f>
        <v/>
      </c>
      <c r="F2585" s="46">
        <f>IF(E2585="","",IF(C2585&gt;WeekEndDate,"",E2585))</f>
        <v/>
      </c>
    </row>
    <row r="2586">
      <c r="A2586" t="inlineStr">
        <is>
          <t>Change Orders</t>
        </is>
      </c>
      <c r="B2586" s="46">
        <f>'Change Orders'!U551</f>
        <v/>
      </c>
      <c r="C2586" s="84">
        <f>'Change Orders'!S551</f>
        <v/>
      </c>
      <c r="D2586" s="46">
        <f>'Change Orders'!T551</f>
        <v/>
      </c>
      <c r="E2586" s="46">
        <f>IF(OR(B2586="",C2586="",D2586=""),"",D2586*100000+(C2586-DATE(2000,1,1))+ROW()/100000)</f>
        <v/>
      </c>
      <c r="F2586" s="46">
        <f>IF(E2586="","",IF(C2586&gt;WeekEndDate,"",E2586))</f>
        <v/>
      </c>
    </row>
    <row r="2587">
      <c r="A2587" t="inlineStr">
        <is>
          <t>Change Orders</t>
        </is>
      </c>
      <c r="B2587" s="46">
        <f>'Change Orders'!U552</f>
        <v/>
      </c>
      <c r="C2587" s="84">
        <f>'Change Orders'!S552</f>
        <v/>
      </c>
      <c r="D2587" s="46">
        <f>'Change Orders'!T552</f>
        <v/>
      </c>
      <c r="E2587" s="46">
        <f>IF(OR(B2587="",C2587="",D2587=""),"",D2587*100000+(C2587-DATE(2000,1,1))+ROW()/100000)</f>
        <v/>
      </c>
      <c r="F2587" s="46">
        <f>IF(E2587="","",IF(C2587&gt;WeekEndDate,"",E2587))</f>
        <v/>
      </c>
    </row>
    <row r="2588">
      <c r="A2588" t="inlineStr">
        <is>
          <t>Change Orders</t>
        </is>
      </c>
      <c r="B2588" s="46">
        <f>'Change Orders'!U553</f>
        <v/>
      </c>
      <c r="C2588" s="84">
        <f>'Change Orders'!S553</f>
        <v/>
      </c>
      <c r="D2588" s="46">
        <f>'Change Orders'!T553</f>
        <v/>
      </c>
      <c r="E2588" s="46">
        <f>IF(OR(B2588="",C2588="",D2588=""),"",D2588*100000+(C2588-DATE(2000,1,1))+ROW()/100000)</f>
        <v/>
      </c>
      <c r="F2588" s="46">
        <f>IF(E2588="","",IF(C2588&gt;WeekEndDate,"",E2588))</f>
        <v/>
      </c>
    </row>
    <row r="2589">
      <c r="A2589" t="inlineStr">
        <is>
          <t>Change Orders</t>
        </is>
      </c>
      <c r="B2589" s="46">
        <f>'Change Orders'!U554</f>
        <v/>
      </c>
      <c r="C2589" s="84">
        <f>'Change Orders'!S554</f>
        <v/>
      </c>
      <c r="D2589" s="46">
        <f>'Change Orders'!T554</f>
        <v/>
      </c>
      <c r="E2589" s="46">
        <f>IF(OR(B2589="",C2589="",D2589=""),"",D2589*100000+(C2589-DATE(2000,1,1))+ROW()/100000)</f>
        <v/>
      </c>
      <c r="F2589" s="46">
        <f>IF(E2589="","",IF(C2589&gt;WeekEndDate,"",E2589))</f>
        <v/>
      </c>
    </row>
    <row r="2590">
      <c r="A2590" t="inlineStr">
        <is>
          <t>Change Orders</t>
        </is>
      </c>
      <c r="B2590" s="46">
        <f>'Change Orders'!U555</f>
        <v/>
      </c>
      <c r="C2590" s="84">
        <f>'Change Orders'!S555</f>
        <v/>
      </c>
      <c r="D2590" s="46">
        <f>'Change Orders'!T555</f>
        <v/>
      </c>
      <c r="E2590" s="46">
        <f>IF(OR(B2590="",C2590="",D2590=""),"",D2590*100000+(C2590-DATE(2000,1,1))+ROW()/100000)</f>
        <v/>
      </c>
      <c r="F2590" s="46">
        <f>IF(E2590="","",IF(C2590&gt;WeekEndDate,"",E2590))</f>
        <v/>
      </c>
    </row>
    <row r="2591">
      <c r="A2591" t="inlineStr">
        <is>
          <t>Change Orders</t>
        </is>
      </c>
      <c r="B2591" s="46">
        <f>'Change Orders'!U556</f>
        <v/>
      </c>
      <c r="C2591" s="84">
        <f>'Change Orders'!S556</f>
        <v/>
      </c>
      <c r="D2591" s="46">
        <f>'Change Orders'!T556</f>
        <v/>
      </c>
      <c r="E2591" s="46">
        <f>IF(OR(B2591="",C2591="",D2591=""),"",D2591*100000+(C2591-DATE(2000,1,1))+ROW()/100000)</f>
        <v/>
      </c>
      <c r="F2591" s="46">
        <f>IF(E2591="","",IF(C2591&gt;WeekEndDate,"",E2591))</f>
        <v/>
      </c>
    </row>
    <row r="2592">
      <c r="A2592" t="inlineStr">
        <is>
          <t>Change Orders</t>
        </is>
      </c>
      <c r="B2592" s="46">
        <f>'Change Orders'!U557</f>
        <v/>
      </c>
      <c r="C2592" s="84">
        <f>'Change Orders'!S557</f>
        <v/>
      </c>
      <c r="D2592" s="46">
        <f>'Change Orders'!T557</f>
        <v/>
      </c>
      <c r="E2592" s="46">
        <f>IF(OR(B2592="",C2592="",D2592=""),"",D2592*100000+(C2592-DATE(2000,1,1))+ROW()/100000)</f>
        <v/>
      </c>
      <c r="F2592" s="46">
        <f>IF(E2592="","",IF(C2592&gt;WeekEndDate,"",E2592))</f>
        <v/>
      </c>
    </row>
    <row r="2593">
      <c r="A2593" t="inlineStr">
        <is>
          <t>Change Orders</t>
        </is>
      </c>
      <c r="B2593" s="46">
        <f>'Change Orders'!U558</f>
        <v/>
      </c>
      <c r="C2593" s="84">
        <f>'Change Orders'!S558</f>
        <v/>
      </c>
      <c r="D2593" s="46">
        <f>'Change Orders'!T558</f>
        <v/>
      </c>
      <c r="E2593" s="46">
        <f>IF(OR(B2593="",C2593="",D2593=""),"",D2593*100000+(C2593-DATE(2000,1,1))+ROW()/100000)</f>
        <v/>
      </c>
      <c r="F2593" s="46">
        <f>IF(E2593="","",IF(C2593&gt;WeekEndDate,"",E2593))</f>
        <v/>
      </c>
    </row>
    <row r="2594">
      <c r="A2594" t="inlineStr">
        <is>
          <t>Change Orders</t>
        </is>
      </c>
      <c r="B2594" s="46">
        <f>'Change Orders'!U559</f>
        <v/>
      </c>
      <c r="C2594" s="84">
        <f>'Change Orders'!S559</f>
        <v/>
      </c>
      <c r="D2594" s="46">
        <f>'Change Orders'!T559</f>
        <v/>
      </c>
      <c r="E2594" s="46">
        <f>IF(OR(B2594="",C2594="",D2594=""),"",D2594*100000+(C2594-DATE(2000,1,1))+ROW()/100000)</f>
        <v/>
      </c>
      <c r="F2594" s="46">
        <f>IF(E2594="","",IF(C2594&gt;WeekEndDate,"",E2594))</f>
        <v/>
      </c>
    </row>
    <row r="2595">
      <c r="A2595" t="inlineStr">
        <is>
          <t>Change Orders</t>
        </is>
      </c>
      <c r="B2595" s="46">
        <f>'Change Orders'!U560</f>
        <v/>
      </c>
      <c r="C2595" s="84">
        <f>'Change Orders'!S560</f>
        <v/>
      </c>
      <c r="D2595" s="46">
        <f>'Change Orders'!T560</f>
        <v/>
      </c>
      <c r="E2595" s="46">
        <f>IF(OR(B2595="",C2595="",D2595=""),"",D2595*100000+(C2595-DATE(2000,1,1))+ROW()/100000)</f>
        <v/>
      </c>
      <c r="F2595" s="46">
        <f>IF(E2595="","",IF(C2595&gt;WeekEndDate,"",E2595))</f>
        <v/>
      </c>
    </row>
    <row r="2596">
      <c r="A2596" t="inlineStr">
        <is>
          <t>Change Orders</t>
        </is>
      </c>
      <c r="B2596" s="46">
        <f>'Change Orders'!U561</f>
        <v/>
      </c>
      <c r="C2596" s="84">
        <f>'Change Orders'!S561</f>
        <v/>
      </c>
      <c r="D2596" s="46">
        <f>'Change Orders'!T561</f>
        <v/>
      </c>
      <c r="E2596" s="46">
        <f>IF(OR(B2596="",C2596="",D2596=""),"",D2596*100000+(C2596-DATE(2000,1,1))+ROW()/100000)</f>
        <v/>
      </c>
      <c r="F2596" s="46">
        <f>IF(E2596="","",IF(C2596&gt;WeekEndDate,"",E2596))</f>
        <v/>
      </c>
    </row>
    <row r="2597">
      <c r="A2597" t="inlineStr">
        <is>
          <t>Change Orders</t>
        </is>
      </c>
      <c r="B2597" s="46">
        <f>'Change Orders'!U562</f>
        <v/>
      </c>
      <c r="C2597" s="84">
        <f>'Change Orders'!S562</f>
        <v/>
      </c>
      <c r="D2597" s="46">
        <f>'Change Orders'!T562</f>
        <v/>
      </c>
      <c r="E2597" s="46">
        <f>IF(OR(B2597="",C2597="",D2597=""),"",D2597*100000+(C2597-DATE(2000,1,1))+ROW()/100000)</f>
        <v/>
      </c>
      <c r="F2597" s="46">
        <f>IF(E2597="","",IF(C2597&gt;WeekEndDate,"",E2597))</f>
        <v/>
      </c>
    </row>
    <row r="2598">
      <c r="A2598" t="inlineStr">
        <is>
          <t>Change Orders</t>
        </is>
      </c>
      <c r="B2598" s="46">
        <f>'Change Orders'!U563</f>
        <v/>
      </c>
      <c r="C2598" s="84">
        <f>'Change Orders'!S563</f>
        <v/>
      </c>
      <c r="D2598" s="46">
        <f>'Change Orders'!T563</f>
        <v/>
      </c>
      <c r="E2598" s="46">
        <f>IF(OR(B2598="",C2598="",D2598=""),"",D2598*100000+(C2598-DATE(2000,1,1))+ROW()/100000)</f>
        <v/>
      </c>
      <c r="F2598" s="46">
        <f>IF(E2598="","",IF(C2598&gt;WeekEndDate,"",E2598))</f>
        <v/>
      </c>
    </row>
    <row r="2599">
      <c r="A2599" t="inlineStr">
        <is>
          <t>Change Orders</t>
        </is>
      </c>
      <c r="B2599" s="46">
        <f>'Change Orders'!U564</f>
        <v/>
      </c>
      <c r="C2599" s="84">
        <f>'Change Orders'!S564</f>
        <v/>
      </c>
      <c r="D2599" s="46">
        <f>'Change Orders'!T564</f>
        <v/>
      </c>
      <c r="E2599" s="46">
        <f>IF(OR(B2599="",C2599="",D2599=""),"",D2599*100000+(C2599-DATE(2000,1,1))+ROW()/100000)</f>
        <v/>
      </c>
      <c r="F2599" s="46">
        <f>IF(E2599="","",IF(C2599&gt;WeekEndDate,"",E2599))</f>
        <v/>
      </c>
    </row>
    <row r="2600">
      <c r="A2600" t="inlineStr">
        <is>
          <t>Change Orders</t>
        </is>
      </c>
      <c r="B2600" s="46">
        <f>'Change Orders'!U565</f>
        <v/>
      </c>
      <c r="C2600" s="84">
        <f>'Change Orders'!S565</f>
        <v/>
      </c>
      <c r="D2600" s="46">
        <f>'Change Orders'!T565</f>
        <v/>
      </c>
      <c r="E2600" s="46">
        <f>IF(OR(B2600="",C2600="",D2600=""),"",D2600*100000+(C2600-DATE(2000,1,1))+ROW()/100000)</f>
        <v/>
      </c>
      <c r="F2600" s="46">
        <f>IF(E2600="","",IF(C2600&gt;WeekEndDate,"",E2600))</f>
        <v/>
      </c>
    </row>
    <row r="2601">
      <c r="A2601" t="inlineStr">
        <is>
          <t>Change Orders</t>
        </is>
      </c>
      <c r="B2601" s="46">
        <f>'Change Orders'!U566</f>
        <v/>
      </c>
      <c r="C2601" s="84">
        <f>'Change Orders'!S566</f>
        <v/>
      </c>
      <c r="D2601" s="46">
        <f>'Change Orders'!T566</f>
        <v/>
      </c>
      <c r="E2601" s="46">
        <f>IF(OR(B2601="",C2601="",D2601=""),"",D2601*100000+(C2601-DATE(2000,1,1))+ROW()/100000)</f>
        <v/>
      </c>
      <c r="F2601" s="46">
        <f>IF(E2601="","",IF(C2601&gt;WeekEndDate,"",E2601))</f>
        <v/>
      </c>
    </row>
    <row r="2602">
      <c r="A2602" t="inlineStr">
        <is>
          <t>Change Orders</t>
        </is>
      </c>
      <c r="B2602" s="46">
        <f>'Change Orders'!U567</f>
        <v/>
      </c>
      <c r="C2602" s="84">
        <f>'Change Orders'!S567</f>
        <v/>
      </c>
      <c r="D2602" s="46">
        <f>'Change Orders'!T567</f>
        <v/>
      </c>
      <c r="E2602" s="46">
        <f>IF(OR(B2602="",C2602="",D2602=""),"",D2602*100000+(C2602-DATE(2000,1,1))+ROW()/100000)</f>
        <v/>
      </c>
      <c r="F2602" s="46">
        <f>IF(E2602="","",IF(C2602&gt;WeekEndDate,"",E2602))</f>
        <v/>
      </c>
    </row>
    <row r="2603">
      <c r="A2603" t="inlineStr">
        <is>
          <t>Change Orders</t>
        </is>
      </c>
      <c r="B2603" s="46">
        <f>'Change Orders'!U568</f>
        <v/>
      </c>
      <c r="C2603" s="84">
        <f>'Change Orders'!S568</f>
        <v/>
      </c>
      <c r="D2603" s="46">
        <f>'Change Orders'!T568</f>
        <v/>
      </c>
      <c r="E2603" s="46">
        <f>IF(OR(B2603="",C2603="",D2603=""),"",D2603*100000+(C2603-DATE(2000,1,1))+ROW()/100000)</f>
        <v/>
      </c>
      <c r="F2603" s="46">
        <f>IF(E2603="","",IF(C2603&gt;WeekEndDate,"",E2603))</f>
        <v/>
      </c>
    </row>
    <row r="2604">
      <c r="A2604" t="inlineStr">
        <is>
          <t>Change Orders</t>
        </is>
      </c>
      <c r="B2604" s="46">
        <f>'Change Orders'!U569</f>
        <v/>
      </c>
      <c r="C2604" s="84">
        <f>'Change Orders'!S569</f>
        <v/>
      </c>
      <c r="D2604" s="46">
        <f>'Change Orders'!T569</f>
        <v/>
      </c>
      <c r="E2604" s="46">
        <f>IF(OR(B2604="",C2604="",D2604=""),"",D2604*100000+(C2604-DATE(2000,1,1))+ROW()/100000)</f>
        <v/>
      </c>
      <c r="F2604" s="46">
        <f>IF(E2604="","",IF(C2604&gt;WeekEndDate,"",E2604))</f>
        <v/>
      </c>
    </row>
    <row r="2605">
      <c r="A2605" t="inlineStr">
        <is>
          <t>Change Orders</t>
        </is>
      </c>
      <c r="B2605" s="46">
        <f>'Change Orders'!U570</f>
        <v/>
      </c>
      <c r="C2605" s="84">
        <f>'Change Orders'!S570</f>
        <v/>
      </c>
      <c r="D2605" s="46">
        <f>'Change Orders'!T570</f>
        <v/>
      </c>
      <c r="E2605" s="46">
        <f>IF(OR(B2605="",C2605="",D2605=""),"",D2605*100000+(C2605-DATE(2000,1,1))+ROW()/100000)</f>
        <v/>
      </c>
      <c r="F2605" s="46">
        <f>IF(E2605="","",IF(C2605&gt;WeekEndDate,"",E2605))</f>
        <v/>
      </c>
    </row>
    <row r="2606">
      <c r="A2606" t="inlineStr">
        <is>
          <t>Change Orders</t>
        </is>
      </c>
      <c r="B2606" s="46">
        <f>'Change Orders'!U571</f>
        <v/>
      </c>
      <c r="C2606" s="84">
        <f>'Change Orders'!S571</f>
        <v/>
      </c>
      <c r="D2606" s="46">
        <f>'Change Orders'!T571</f>
        <v/>
      </c>
      <c r="E2606" s="46">
        <f>IF(OR(B2606="",C2606="",D2606=""),"",D2606*100000+(C2606-DATE(2000,1,1))+ROW()/100000)</f>
        <v/>
      </c>
      <c r="F2606" s="46">
        <f>IF(E2606="","",IF(C2606&gt;WeekEndDate,"",E2606))</f>
        <v/>
      </c>
    </row>
    <row r="2607">
      <c r="A2607" t="inlineStr">
        <is>
          <t>Change Orders</t>
        </is>
      </c>
      <c r="B2607" s="46">
        <f>'Change Orders'!U572</f>
        <v/>
      </c>
      <c r="C2607" s="84">
        <f>'Change Orders'!S572</f>
        <v/>
      </c>
      <c r="D2607" s="46">
        <f>'Change Orders'!T572</f>
        <v/>
      </c>
      <c r="E2607" s="46">
        <f>IF(OR(B2607="",C2607="",D2607=""),"",D2607*100000+(C2607-DATE(2000,1,1))+ROW()/100000)</f>
        <v/>
      </c>
      <c r="F2607" s="46">
        <f>IF(E2607="","",IF(C2607&gt;WeekEndDate,"",E2607))</f>
        <v/>
      </c>
    </row>
    <row r="2608">
      <c r="A2608" t="inlineStr">
        <is>
          <t>Change Orders</t>
        </is>
      </c>
      <c r="B2608" s="46">
        <f>'Change Orders'!U573</f>
        <v/>
      </c>
      <c r="C2608" s="84">
        <f>'Change Orders'!S573</f>
        <v/>
      </c>
      <c r="D2608" s="46">
        <f>'Change Orders'!T573</f>
        <v/>
      </c>
      <c r="E2608" s="46">
        <f>IF(OR(B2608="",C2608="",D2608=""),"",D2608*100000+(C2608-DATE(2000,1,1))+ROW()/100000)</f>
        <v/>
      </c>
      <c r="F2608" s="46">
        <f>IF(E2608="","",IF(C2608&gt;WeekEndDate,"",E2608))</f>
        <v/>
      </c>
    </row>
    <row r="2609">
      <c r="A2609" t="inlineStr">
        <is>
          <t>Change Orders</t>
        </is>
      </c>
      <c r="B2609" s="46">
        <f>'Change Orders'!U574</f>
        <v/>
      </c>
      <c r="C2609" s="84">
        <f>'Change Orders'!S574</f>
        <v/>
      </c>
      <c r="D2609" s="46">
        <f>'Change Orders'!T574</f>
        <v/>
      </c>
      <c r="E2609" s="46">
        <f>IF(OR(B2609="",C2609="",D2609=""),"",D2609*100000+(C2609-DATE(2000,1,1))+ROW()/100000)</f>
        <v/>
      </c>
      <c r="F2609" s="46">
        <f>IF(E2609="","",IF(C2609&gt;WeekEndDate,"",E2609))</f>
        <v/>
      </c>
    </row>
    <row r="2610">
      <c r="A2610" t="inlineStr">
        <is>
          <t>Change Orders</t>
        </is>
      </c>
      <c r="B2610" s="46">
        <f>'Change Orders'!U575</f>
        <v/>
      </c>
      <c r="C2610" s="84">
        <f>'Change Orders'!S575</f>
        <v/>
      </c>
      <c r="D2610" s="46">
        <f>'Change Orders'!T575</f>
        <v/>
      </c>
      <c r="E2610" s="46">
        <f>IF(OR(B2610="",C2610="",D2610=""),"",D2610*100000+(C2610-DATE(2000,1,1))+ROW()/100000)</f>
        <v/>
      </c>
      <c r="F2610" s="46">
        <f>IF(E2610="","",IF(C2610&gt;WeekEndDate,"",E2610))</f>
        <v/>
      </c>
    </row>
    <row r="2611">
      <c r="A2611" t="inlineStr">
        <is>
          <t>Change Orders</t>
        </is>
      </c>
      <c r="B2611" s="46">
        <f>'Change Orders'!U576</f>
        <v/>
      </c>
      <c r="C2611" s="84">
        <f>'Change Orders'!S576</f>
        <v/>
      </c>
      <c r="D2611" s="46">
        <f>'Change Orders'!T576</f>
        <v/>
      </c>
      <c r="E2611" s="46">
        <f>IF(OR(B2611="",C2611="",D2611=""),"",D2611*100000+(C2611-DATE(2000,1,1))+ROW()/100000)</f>
        <v/>
      </c>
      <c r="F2611" s="46">
        <f>IF(E2611="","",IF(C2611&gt;WeekEndDate,"",E2611))</f>
        <v/>
      </c>
    </row>
    <row r="2612">
      <c r="A2612" t="inlineStr">
        <is>
          <t>Change Orders</t>
        </is>
      </c>
      <c r="B2612" s="46">
        <f>'Change Orders'!U577</f>
        <v/>
      </c>
      <c r="C2612" s="84">
        <f>'Change Orders'!S577</f>
        <v/>
      </c>
      <c r="D2612" s="46">
        <f>'Change Orders'!T577</f>
        <v/>
      </c>
      <c r="E2612" s="46">
        <f>IF(OR(B2612="",C2612="",D2612=""),"",D2612*100000+(C2612-DATE(2000,1,1))+ROW()/100000)</f>
        <v/>
      </c>
      <c r="F2612" s="46">
        <f>IF(E2612="","",IF(C2612&gt;WeekEndDate,"",E2612))</f>
        <v/>
      </c>
    </row>
    <row r="2613">
      <c r="A2613" t="inlineStr">
        <is>
          <t>Change Orders</t>
        </is>
      </c>
      <c r="B2613" s="46">
        <f>'Change Orders'!U578</f>
        <v/>
      </c>
      <c r="C2613" s="84">
        <f>'Change Orders'!S578</f>
        <v/>
      </c>
      <c r="D2613" s="46">
        <f>'Change Orders'!T578</f>
        <v/>
      </c>
      <c r="E2613" s="46">
        <f>IF(OR(B2613="",C2613="",D2613=""),"",D2613*100000+(C2613-DATE(2000,1,1))+ROW()/100000)</f>
        <v/>
      </c>
      <c r="F2613" s="46">
        <f>IF(E2613="","",IF(C2613&gt;WeekEndDate,"",E2613))</f>
        <v/>
      </c>
    </row>
    <row r="2614">
      <c r="A2614" t="inlineStr">
        <is>
          <t>Change Orders</t>
        </is>
      </c>
      <c r="B2614" s="46">
        <f>'Change Orders'!U579</f>
        <v/>
      </c>
      <c r="C2614" s="84">
        <f>'Change Orders'!S579</f>
        <v/>
      </c>
      <c r="D2614" s="46">
        <f>'Change Orders'!T579</f>
        <v/>
      </c>
      <c r="E2614" s="46">
        <f>IF(OR(B2614="",C2614="",D2614=""),"",D2614*100000+(C2614-DATE(2000,1,1))+ROW()/100000)</f>
        <v/>
      </c>
      <c r="F2614" s="46">
        <f>IF(E2614="","",IF(C2614&gt;WeekEndDate,"",E2614))</f>
        <v/>
      </c>
    </row>
    <row r="2615">
      <c r="A2615" t="inlineStr">
        <is>
          <t>Change Orders</t>
        </is>
      </c>
      <c r="B2615" s="46">
        <f>'Change Orders'!U580</f>
        <v/>
      </c>
      <c r="C2615" s="84">
        <f>'Change Orders'!S580</f>
        <v/>
      </c>
      <c r="D2615" s="46">
        <f>'Change Orders'!T580</f>
        <v/>
      </c>
      <c r="E2615" s="46">
        <f>IF(OR(B2615="",C2615="",D2615=""),"",D2615*100000+(C2615-DATE(2000,1,1))+ROW()/100000)</f>
        <v/>
      </c>
      <c r="F2615" s="46">
        <f>IF(E2615="","",IF(C2615&gt;WeekEndDate,"",E2615))</f>
        <v/>
      </c>
    </row>
    <row r="2616">
      <c r="A2616" t="inlineStr">
        <is>
          <t>Change Orders</t>
        </is>
      </c>
      <c r="B2616" s="46">
        <f>'Change Orders'!U581</f>
        <v/>
      </c>
      <c r="C2616" s="84">
        <f>'Change Orders'!S581</f>
        <v/>
      </c>
      <c r="D2616" s="46">
        <f>'Change Orders'!T581</f>
        <v/>
      </c>
      <c r="E2616" s="46">
        <f>IF(OR(B2616="",C2616="",D2616=""),"",D2616*100000+(C2616-DATE(2000,1,1))+ROW()/100000)</f>
        <v/>
      </c>
      <c r="F2616" s="46">
        <f>IF(E2616="","",IF(C2616&gt;WeekEndDate,"",E2616))</f>
        <v/>
      </c>
    </row>
    <row r="2617">
      <c r="A2617" t="inlineStr">
        <is>
          <t>Change Orders</t>
        </is>
      </c>
      <c r="B2617" s="46">
        <f>'Change Orders'!U582</f>
        <v/>
      </c>
      <c r="C2617" s="84">
        <f>'Change Orders'!S582</f>
        <v/>
      </c>
      <c r="D2617" s="46">
        <f>'Change Orders'!T582</f>
        <v/>
      </c>
      <c r="E2617" s="46">
        <f>IF(OR(B2617="",C2617="",D2617=""),"",D2617*100000+(C2617-DATE(2000,1,1))+ROW()/100000)</f>
        <v/>
      </c>
      <c r="F2617" s="46">
        <f>IF(E2617="","",IF(C2617&gt;WeekEndDate,"",E2617))</f>
        <v/>
      </c>
    </row>
    <row r="2618">
      <c r="A2618" t="inlineStr">
        <is>
          <t>Change Orders</t>
        </is>
      </c>
      <c r="B2618" s="46">
        <f>'Change Orders'!U583</f>
        <v/>
      </c>
      <c r="C2618" s="84">
        <f>'Change Orders'!S583</f>
        <v/>
      </c>
      <c r="D2618" s="46">
        <f>'Change Orders'!T583</f>
        <v/>
      </c>
      <c r="E2618" s="46">
        <f>IF(OR(B2618="",C2618="",D2618=""),"",D2618*100000+(C2618-DATE(2000,1,1))+ROW()/100000)</f>
        <v/>
      </c>
      <c r="F2618" s="46">
        <f>IF(E2618="","",IF(C2618&gt;WeekEndDate,"",E2618))</f>
        <v/>
      </c>
    </row>
    <row r="2619">
      <c r="A2619" t="inlineStr">
        <is>
          <t>Change Orders</t>
        </is>
      </c>
      <c r="B2619" s="46">
        <f>'Change Orders'!U584</f>
        <v/>
      </c>
      <c r="C2619" s="84">
        <f>'Change Orders'!S584</f>
        <v/>
      </c>
      <c r="D2619" s="46">
        <f>'Change Orders'!T584</f>
        <v/>
      </c>
      <c r="E2619" s="46">
        <f>IF(OR(B2619="",C2619="",D2619=""),"",D2619*100000+(C2619-DATE(2000,1,1))+ROW()/100000)</f>
        <v/>
      </c>
      <c r="F2619" s="46">
        <f>IF(E2619="","",IF(C2619&gt;WeekEndDate,"",E2619))</f>
        <v/>
      </c>
    </row>
    <row r="2620">
      <c r="A2620" t="inlineStr">
        <is>
          <t>Change Orders</t>
        </is>
      </c>
      <c r="B2620" s="46">
        <f>'Change Orders'!U585</f>
        <v/>
      </c>
      <c r="C2620" s="84">
        <f>'Change Orders'!S585</f>
        <v/>
      </c>
      <c r="D2620" s="46">
        <f>'Change Orders'!T585</f>
        <v/>
      </c>
      <c r="E2620" s="46">
        <f>IF(OR(B2620="",C2620="",D2620=""),"",D2620*100000+(C2620-DATE(2000,1,1))+ROW()/100000)</f>
        <v/>
      </c>
      <c r="F2620" s="46">
        <f>IF(E2620="","",IF(C2620&gt;WeekEndDate,"",E2620))</f>
        <v/>
      </c>
    </row>
    <row r="2621">
      <c r="A2621" t="inlineStr">
        <is>
          <t>Change Orders</t>
        </is>
      </c>
      <c r="B2621" s="46">
        <f>'Change Orders'!U586</f>
        <v/>
      </c>
      <c r="C2621" s="84">
        <f>'Change Orders'!S586</f>
        <v/>
      </c>
      <c r="D2621" s="46">
        <f>'Change Orders'!T586</f>
        <v/>
      </c>
      <c r="E2621" s="46">
        <f>IF(OR(B2621="",C2621="",D2621=""),"",D2621*100000+(C2621-DATE(2000,1,1))+ROW()/100000)</f>
        <v/>
      </c>
      <c r="F2621" s="46">
        <f>IF(E2621="","",IF(C2621&gt;WeekEndDate,"",E2621))</f>
        <v/>
      </c>
    </row>
    <row r="2622">
      <c r="A2622" t="inlineStr">
        <is>
          <t>Change Orders</t>
        </is>
      </c>
      <c r="B2622" s="46">
        <f>'Change Orders'!U587</f>
        <v/>
      </c>
      <c r="C2622" s="84">
        <f>'Change Orders'!S587</f>
        <v/>
      </c>
      <c r="D2622" s="46">
        <f>'Change Orders'!T587</f>
        <v/>
      </c>
      <c r="E2622" s="46">
        <f>IF(OR(B2622="",C2622="",D2622=""),"",D2622*100000+(C2622-DATE(2000,1,1))+ROW()/100000)</f>
        <v/>
      </c>
      <c r="F2622" s="46">
        <f>IF(E2622="","",IF(C2622&gt;WeekEndDate,"",E2622))</f>
        <v/>
      </c>
    </row>
    <row r="2623">
      <c r="A2623" t="inlineStr">
        <is>
          <t>Change Orders</t>
        </is>
      </c>
      <c r="B2623" s="46">
        <f>'Change Orders'!U588</f>
        <v/>
      </c>
      <c r="C2623" s="84">
        <f>'Change Orders'!S588</f>
        <v/>
      </c>
      <c r="D2623" s="46">
        <f>'Change Orders'!T588</f>
        <v/>
      </c>
      <c r="E2623" s="46">
        <f>IF(OR(B2623="",C2623="",D2623=""),"",D2623*100000+(C2623-DATE(2000,1,1))+ROW()/100000)</f>
        <v/>
      </c>
      <c r="F2623" s="46">
        <f>IF(E2623="","",IF(C2623&gt;WeekEndDate,"",E2623))</f>
        <v/>
      </c>
    </row>
    <row r="2624">
      <c r="A2624" t="inlineStr">
        <is>
          <t>Change Orders</t>
        </is>
      </c>
      <c r="B2624" s="46">
        <f>'Change Orders'!U589</f>
        <v/>
      </c>
      <c r="C2624" s="84">
        <f>'Change Orders'!S589</f>
        <v/>
      </c>
      <c r="D2624" s="46">
        <f>'Change Orders'!T589</f>
        <v/>
      </c>
      <c r="E2624" s="46">
        <f>IF(OR(B2624="",C2624="",D2624=""),"",D2624*100000+(C2624-DATE(2000,1,1))+ROW()/100000)</f>
        <v/>
      </c>
      <c r="F2624" s="46">
        <f>IF(E2624="","",IF(C2624&gt;WeekEndDate,"",E2624))</f>
        <v/>
      </c>
    </row>
    <row r="2625">
      <c r="A2625" t="inlineStr">
        <is>
          <t>Change Orders</t>
        </is>
      </c>
      <c r="B2625" s="46">
        <f>'Change Orders'!U590</f>
        <v/>
      </c>
      <c r="C2625" s="84">
        <f>'Change Orders'!S590</f>
        <v/>
      </c>
      <c r="D2625" s="46">
        <f>'Change Orders'!T590</f>
        <v/>
      </c>
      <c r="E2625" s="46">
        <f>IF(OR(B2625="",C2625="",D2625=""),"",D2625*100000+(C2625-DATE(2000,1,1))+ROW()/100000)</f>
        <v/>
      </c>
      <c r="F2625" s="46">
        <f>IF(E2625="","",IF(C2625&gt;WeekEndDate,"",E2625))</f>
        <v/>
      </c>
    </row>
    <row r="2626">
      <c r="A2626" t="inlineStr">
        <is>
          <t>Change Orders</t>
        </is>
      </c>
      <c r="B2626" s="46">
        <f>'Change Orders'!U591</f>
        <v/>
      </c>
      <c r="C2626" s="84">
        <f>'Change Orders'!S591</f>
        <v/>
      </c>
      <c r="D2626" s="46">
        <f>'Change Orders'!T591</f>
        <v/>
      </c>
      <c r="E2626" s="46">
        <f>IF(OR(B2626="",C2626="",D2626=""),"",D2626*100000+(C2626-DATE(2000,1,1))+ROW()/100000)</f>
        <v/>
      </c>
      <c r="F2626" s="46">
        <f>IF(E2626="","",IF(C2626&gt;WeekEndDate,"",E2626))</f>
        <v/>
      </c>
    </row>
    <row r="2627">
      <c r="A2627" t="inlineStr">
        <is>
          <t>Change Orders</t>
        </is>
      </c>
      <c r="B2627" s="46">
        <f>'Change Orders'!U592</f>
        <v/>
      </c>
      <c r="C2627" s="84">
        <f>'Change Orders'!S592</f>
        <v/>
      </c>
      <c r="D2627" s="46">
        <f>'Change Orders'!T592</f>
        <v/>
      </c>
      <c r="E2627" s="46">
        <f>IF(OR(B2627="",C2627="",D2627=""),"",D2627*100000+(C2627-DATE(2000,1,1))+ROW()/100000)</f>
        <v/>
      </c>
      <c r="F2627" s="46">
        <f>IF(E2627="","",IF(C2627&gt;WeekEndDate,"",E2627))</f>
        <v/>
      </c>
    </row>
    <row r="2628">
      <c r="A2628" t="inlineStr">
        <is>
          <t>Change Orders</t>
        </is>
      </c>
      <c r="B2628" s="46">
        <f>'Change Orders'!U593</f>
        <v/>
      </c>
      <c r="C2628" s="84">
        <f>'Change Orders'!S593</f>
        <v/>
      </c>
      <c r="D2628" s="46">
        <f>'Change Orders'!T593</f>
        <v/>
      </c>
      <c r="E2628" s="46">
        <f>IF(OR(B2628="",C2628="",D2628=""),"",D2628*100000+(C2628-DATE(2000,1,1))+ROW()/100000)</f>
        <v/>
      </c>
      <c r="F2628" s="46">
        <f>IF(E2628="","",IF(C2628&gt;WeekEndDate,"",E2628))</f>
        <v/>
      </c>
    </row>
    <row r="2629">
      <c r="A2629" t="inlineStr">
        <is>
          <t>Change Orders</t>
        </is>
      </c>
      <c r="B2629" s="46">
        <f>'Change Orders'!U594</f>
        <v/>
      </c>
      <c r="C2629" s="84">
        <f>'Change Orders'!S594</f>
        <v/>
      </c>
      <c r="D2629" s="46">
        <f>'Change Orders'!T594</f>
        <v/>
      </c>
      <c r="E2629" s="46">
        <f>IF(OR(B2629="",C2629="",D2629=""),"",D2629*100000+(C2629-DATE(2000,1,1))+ROW()/100000)</f>
        <v/>
      </c>
      <c r="F2629" s="46">
        <f>IF(E2629="","",IF(C2629&gt;WeekEndDate,"",E2629))</f>
        <v/>
      </c>
    </row>
    <row r="2630">
      <c r="A2630" t="inlineStr">
        <is>
          <t>Change Orders</t>
        </is>
      </c>
      <c r="B2630" s="46">
        <f>'Change Orders'!U595</f>
        <v/>
      </c>
      <c r="C2630" s="84">
        <f>'Change Orders'!S595</f>
        <v/>
      </c>
      <c r="D2630" s="46">
        <f>'Change Orders'!T595</f>
        <v/>
      </c>
      <c r="E2630" s="46">
        <f>IF(OR(B2630="",C2630="",D2630=""),"",D2630*100000+(C2630-DATE(2000,1,1))+ROW()/100000)</f>
        <v/>
      </c>
      <c r="F2630" s="46">
        <f>IF(E2630="","",IF(C2630&gt;WeekEndDate,"",E2630))</f>
        <v/>
      </c>
    </row>
    <row r="2631">
      <c r="A2631" t="inlineStr">
        <is>
          <t>Change Orders</t>
        </is>
      </c>
      <c r="B2631" s="46">
        <f>'Change Orders'!U596</f>
        <v/>
      </c>
      <c r="C2631" s="84">
        <f>'Change Orders'!S596</f>
        <v/>
      </c>
      <c r="D2631" s="46">
        <f>'Change Orders'!T596</f>
        <v/>
      </c>
      <c r="E2631" s="46">
        <f>IF(OR(B2631="",C2631="",D2631=""),"",D2631*100000+(C2631-DATE(2000,1,1))+ROW()/100000)</f>
        <v/>
      </c>
      <c r="F2631" s="46">
        <f>IF(E2631="","",IF(C2631&gt;WeekEndDate,"",E2631))</f>
        <v/>
      </c>
    </row>
    <row r="2632">
      <c r="A2632" t="inlineStr">
        <is>
          <t>Change Orders</t>
        </is>
      </c>
      <c r="B2632" s="46">
        <f>'Change Orders'!U597</f>
        <v/>
      </c>
      <c r="C2632" s="84">
        <f>'Change Orders'!S597</f>
        <v/>
      </c>
      <c r="D2632" s="46">
        <f>'Change Orders'!T597</f>
        <v/>
      </c>
      <c r="E2632" s="46">
        <f>IF(OR(B2632="",C2632="",D2632=""),"",D2632*100000+(C2632-DATE(2000,1,1))+ROW()/100000)</f>
        <v/>
      </c>
      <c r="F2632" s="46">
        <f>IF(E2632="","",IF(C2632&gt;WeekEndDate,"",E2632))</f>
        <v/>
      </c>
    </row>
    <row r="2633">
      <c r="A2633" t="inlineStr">
        <is>
          <t>Change Orders</t>
        </is>
      </c>
      <c r="B2633" s="46">
        <f>'Change Orders'!U598</f>
        <v/>
      </c>
      <c r="C2633" s="84">
        <f>'Change Orders'!S598</f>
        <v/>
      </c>
      <c r="D2633" s="46">
        <f>'Change Orders'!T598</f>
        <v/>
      </c>
      <c r="E2633" s="46">
        <f>IF(OR(B2633="",C2633="",D2633=""),"",D2633*100000+(C2633-DATE(2000,1,1))+ROW()/100000)</f>
        <v/>
      </c>
      <c r="F2633" s="46">
        <f>IF(E2633="","",IF(C2633&gt;WeekEndDate,"",E2633))</f>
        <v/>
      </c>
    </row>
    <row r="2634">
      <c r="A2634" t="inlineStr">
        <is>
          <t>Change Orders</t>
        </is>
      </c>
      <c r="B2634" s="46">
        <f>'Change Orders'!U599</f>
        <v/>
      </c>
      <c r="C2634" s="84">
        <f>'Change Orders'!S599</f>
        <v/>
      </c>
      <c r="D2634" s="46">
        <f>'Change Orders'!T599</f>
        <v/>
      </c>
      <c r="E2634" s="46">
        <f>IF(OR(B2634="",C2634="",D2634=""),"",D2634*100000+(C2634-DATE(2000,1,1))+ROW()/100000)</f>
        <v/>
      </c>
      <c r="F2634" s="46">
        <f>IF(E2634="","",IF(C2634&gt;WeekEndDate,"",E2634))</f>
        <v/>
      </c>
    </row>
    <row r="2635">
      <c r="A2635" t="inlineStr">
        <is>
          <t>Change Orders</t>
        </is>
      </c>
      <c r="B2635" s="46">
        <f>'Change Orders'!U600</f>
        <v/>
      </c>
      <c r="C2635" s="84">
        <f>'Change Orders'!S600</f>
        <v/>
      </c>
      <c r="D2635" s="46">
        <f>'Change Orders'!T600</f>
        <v/>
      </c>
      <c r="E2635" s="46">
        <f>IF(OR(B2635="",C2635="",D2635=""),"",D2635*100000+(C2635-DATE(2000,1,1))+ROW()/100000)</f>
        <v/>
      </c>
      <c r="F2635" s="46">
        <f>IF(E2635="","",IF(C2635&gt;WeekEndDate,"",E2635))</f>
        <v/>
      </c>
    </row>
    <row r="2636">
      <c r="A2636" t="inlineStr">
        <is>
          <t>Change Orders</t>
        </is>
      </c>
      <c r="B2636" s="46">
        <f>'Change Orders'!U601</f>
        <v/>
      </c>
      <c r="C2636" s="84">
        <f>'Change Orders'!S601</f>
        <v/>
      </c>
      <c r="D2636" s="46">
        <f>'Change Orders'!T601</f>
        <v/>
      </c>
      <c r="E2636" s="46">
        <f>IF(OR(B2636="",C2636="",D2636=""),"",D2636*100000+(C2636-DATE(2000,1,1))+ROW()/100000)</f>
        <v/>
      </c>
      <c r="F2636" s="46">
        <f>IF(E2636="","",IF(C2636&gt;WeekEndDate,"",E2636))</f>
        <v/>
      </c>
    </row>
    <row r="2637">
      <c r="A2637" t="inlineStr">
        <is>
          <t>Change Orders</t>
        </is>
      </c>
      <c r="B2637" s="46">
        <f>'Change Orders'!U602</f>
        <v/>
      </c>
      <c r="C2637" s="84">
        <f>'Change Orders'!S602</f>
        <v/>
      </c>
      <c r="D2637" s="46">
        <f>'Change Orders'!T602</f>
        <v/>
      </c>
      <c r="E2637" s="46">
        <f>IF(OR(B2637="",C2637="",D2637=""),"",D2637*100000+(C2637-DATE(2000,1,1))+ROW()/100000)</f>
        <v/>
      </c>
      <c r="F2637" s="46">
        <f>IF(E2637="","",IF(C2637&gt;WeekEndDate,"",E2637))</f>
        <v/>
      </c>
    </row>
    <row r="2638">
      <c r="A2638" t="inlineStr">
        <is>
          <t>Change Orders</t>
        </is>
      </c>
      <c r="B2638" s="46">
        <f>'Change Orders'!U603</f>
        <v/>
      </c>
      <c r="C2638" s="84">
        <f>'Change Orders'!S603</f>
        <v/>
      </c>
      <c r="D2638" s="46">
        <f>'Change Orders'!T603</f>
        <v/>
      </c>
      <c r="E2638" s="46">
        <f>IF(OR(B2638="",C2638="",D2638=""),"",D2638*100000+(C2638-DATE(2000,1,1))+ROW()/100000)</f>
        <v/>
      </c>
      <c r="F2638" s="46">
        <f>IF(E2638="","",IF(C2638&gt;WeekEndDate,"",E2638))</f>
        <v/>
      </c>
    </row>
    <row r="2639">
      <c r="A2639" t="inlineStr">
        <is>
          <t>Change Orders</t>
        </is>
      </c>
      <c r="B2639" s="46">
        <f>'Change Orders'!U604</f>
        <v/>
      </c>
      <c r="C2639" s="84">
        <f>'Change Orders'!S604</f>
        <v/>
      </c>
      <c r="D2639" s="46">
        <f>'Change Orders'!T604</f>
        <v/>
      </c>
      <c r="E2639" s="46">
        <f>IF(OR(B2639="",C2639="",D2639=""),"",D2639*100000+(C2639-DATE(2000,1,1))+ROW()/100000)</f>
        <v/>
      </c>
      <c r="F2639" s="46">
        <f>IF(E2639="","",IF(C2639&gt;WeekEndDate,"",E2639))</f>
        <v/>
      </c>
    </row>
    <row r="2640">
      <c r="A2640" t="inlineStr">
        <is>
          <t>Change Orders</t>
        </is>
      </c>
      <c r="B2640" s="46">
        <f>'Change Orders'!U605</f>
        <v/>
      </c>
      <c r="C2640" s="84">
        <f>'Change Orders'!S605</f>
        <v/>
      </c>
      <c r="D2640" s="46">
        <f>'Change Orders'!T605</f>
        <v/>
      </c>
      <c r="E2640" s="46">
        <f>IF(OR(B2640="",C2640="",D2640=""),"",D2640*100000+(C2640-DATE(2000,1,1))+ROW()/100000)</f>
        <v/>
      </c>
      <c r="F2640" s="46">
        <f>IF(E2640="","",IF(C2640&gt;WeekEndDate,"",E2640))</f>
        <v/>
      </c>
    </row>
    <row r="2641">
      <c r="A2641" t="inlineStr">
        <is>
          <t>Change Orders</t>
        </is>
      </c>
      <c r="B2641" s="46">
        <f>'Change Orders'!U606</f>
        <v/>
      </c>
      <c r="C2641" s="84">
        <f>'Change Orders'!S606</f>
        <v/>
      </c>
      <c r="D2641" s="46">
        <f>'Change Orders'!T606</f>
        <v/>
      </c>
      <c r="E2641" s="46">
        <f>IF(OR(B2641="",C2641="",D2641=""),"",D2641*100000+(C2641-DATE(2000,1,1))+ROW()/100000)</f>
        <v/>
      </c>
      <c r="F2641" s="46">
        <f>IF(E2641="","",IF(C2641&gt;WeekEndDate,"",E2641))</f>
        <v/>
      </c>
    </row>
    <row r="2642">
      <c r="A2642" t="inlineStr">
        <is>
          <t>Change Orders</t>
        </is>
      </c>
      <c r="B2642" s="46">
        <f>'Change Orders'!U607</f>
        <v/>
      </c>
      <c r="C2642" s="84">
        <f>'Change Orders'!S607</f>
        <v/>
      </c>
      <c r="D2642" s="46">
        <f>'Change Orders'!T607</f>
        <v/>
      </c>
      <c r="E2642" s="46">
        <f>IF(OR(B2642="",C2642="",D2642=""),"",D2642*100000+(C2642-DATE(2000,1,1))+ROW()/100000)</f>
        <v/>
      </c>
      <c r="F2642" s="46">
        <f>IF(E2642="","",IF(C2642&gt;WeekEndDate,"",E2642))</f>
        <v/>
      </c>
    </row>
    <row r="2643">
      <c r="A2643" t="inlineStr">
        <is>
          <t>Change Orders</t>
        </is>
      </c>
      <c r="B2643" s="46">
        <f>'Change Orders'!U608</f>
        <v/>
      </c>
      <c r="C2643" s="84">
        <f>'Change Orders'!S608</f>
        <v/>
      </c>
      <c r="D2643" s="46">
        <f>'Change Orders'!T608</f>
        <v/>
      </c>
      <c r="E2643" s="46">
        <f>IF(OR(B2643="",C2643="",D2643=""),"",D2643*100000+(C2643-DATE(2000,1,1))+ROW()/100000)</f>
        <v/>
      </c>
      <c r="F2643" s="46">
        <f>IF(E2643="","",IF(C2643&gt;WeekEndDate,"",E2643))</f>
        <v/>
      </c>
    </row>
    <row r="2644">
      <c r="A2644" t="inlineStr">
        <is>
          <t>Change Orders</t>
        </is>
      </c>
      <c r="B2644" s="46">
        <f>'Change Orders'!U609</f>
        <v/>
      </c>
      <c r="C2644" s="84">
        <f>'Change Orders'!S609</f>
        <v/>
      </c>
      <c r="D2644" s="46">
        <f>'Change Orders'!T609</f>
        <v/>
      </c>
      <c r="E2644" s="46">
        <f>IF(OR(B2644="",C2644="",D2644=""),"",D2644*100000+(C2644-DATE(2000,1,1))+ROW()/100000)</f>
        <v/>
      </c>
      <c r="F2644" s="46">
        <f>IF(E2644="","",IF(C2644&gt;WeekEndDate,"",E2644))</f>
        <v/>
      </c>
    </row>
    <row r="2645">
      <c r="A2645" t="inlineStr">
        <is>
          <t>Change Orders</t>
        </is>
      </c>
      <c r="B2645" s="46">
        <f>'Change Orders'!U610</f>
        <v/>
      </c>
      <c r="C2645" s="84">
        <f>'Change Orders'!S610</f>
        <v/>
      </c>
      <c r="D2645" s="46">
        <f>'Change Orders'!T610</f>
        <v/>
      </c>
      <c r="E2645" s="46">
        <f>IF(OR(B2645="",C2645="",D2645=""),"",D2645*100000+(C2645-DATE(2000,1,1))+ROW()/100000)</f>
        <v/>
      </c>
      <c r="F2645" s="46">
        <f>IF(E2645="","",IF(C2645&gt;WeekEndDate,"",E2645))</f>
        <v/>
      </c>
    </row>
    <row r="2646">
      <c r="A2646" t="inlineStr">
        <is>
          <t>Change Orders</t>
        </is>
      </c>
      <c r="B2646" s="46">
        <f>'Change Orders'!U611</f>
        <v/>
      </c>
      <c r="C2646" s="84">
        <f>'Change Orders'!S611</f>
        <v/>
      </c>
      <c r="D2646" s="46">
        <f>'Change Orders'!T611</f>
        <v/>
      </c>
      <c r="E2646" s="46">
        <f>IF(OR(B2646="",C2646="",D2646=""),"",D2646*100000+(C2646-DATE(2000,1,1))+ROW()/100000)</f>
        <v/>
      </c>
      <c r="F2646" s="46">
        <f>IF(E2646="","",IF(C2646&gt;WeekEndDate,"",E2646))</f>
        <v/>
      </c>
    </row>
    <row r="2647">
      <c r="A2647" t="inlineStr">
        <is>
          <t>Change Orders</t>
        </is>
      </c>
      <c r="B2647" s="46">
        <f>'Change Orders'!U612</f>
        <v/>
      </c>
      <c r="C2647" s="84">
        <f>'Change Orders'!S612</f>
        <v/>
      </c>
      <c r="D2647" s="46">
        <f>'Change Orders'!T612</f>
        <v/>
      </c>
      <c r="E2647" s="46">
        <f>IF(OR(B2647="",C2647="",D2647=""),"",D2647*100000+(C2647-DATE(2000,1,1))+ROW()/100000)</f>
        <v/>
      </c>
      <c r="F2647" s="46">
        <f>IF(E2647="","",IF(C2647&gt;WeekEndDate,"",E2647))</f>
        <v/>
      </c>
    </row>
    <row r="2648">
      <c r="A2648" t="inlineStr">
        <is>
          <t>Change Orders</t>
        </is>
      </c>
      <c r="B2648" s="46">
        <f>'Change Orders'!U613</f>
        <v/>
      </c>
      <c r="C2648" s="84">
        <f>'Change Orders'!S613</f>
        <v/>
      </c>
      <c r="D2648" s="46">
        <f>'Change Orders'!T613</f>
        <v/>
      </c>
      <c r="E2648" s="46">
        <f>IF(OR(B2648="",C2648="",D2648=""),"",D2648*100000+(C2648-DATE(2000,1,1))+ROW()/100000)</f>
        <v/>
      </c>
      <c r="F2648" s="46">
        <f>IF(E2648="","",IF(C2648&gt;WeekEndDate,"",E2648))</f>
        <v/>
      </c>
    </row>
    <row r="2649">
      <c r="A2649" t="inlineStr">
        <is>
          <t>Change Orders</t>
        </is>
      </c>
      <c r="B2649" s="46">
        <f>'Change Orders'!U614</f>
        <v/>
      </c>
      <c r="C2649" s="84">
        <f>'Change Orders'!S614</f>
        <v/>
      </c>
      <c r="D2649" s="46">
        <f>'Change Orders'!T614</f>
        <v/>
      </c>
      <c r="E2649" s="46">
        <f>IF(OR(B2649="",C2649="",D2649=""),"",D2649*100000+(C2649-DATE(2000,1,1))+ROW()/100000)</f>
        <v/>
      </c>
      <c r="F2649" s="46">
        <f>IF(E2649="","",IF(C2649&gt;WeekEndDate,"",E2649))</f>
        <v/>
      </c>
    </row>
    <row r="2650">
      <c r="A2650" t="inlineStr">
        <is>
          <t>Change Orders</t>
        </is>
      </c>
      <c r="B2650" s="46">
        <f>'Change Orders'!U615</f>
        <v/>
      </c>
      <c r="C2650" s="84">
        <f>'Change Orders'!S615</f>
        <v/>
      </c>
      <c r="D2650" s="46">
        <f>'Change Orders'!T615</f>
        <v/>
      </c>
      <c r="E2650" s="46">
        <f>IF(OR(B2650="",C2650="",D2650=""),"",D2650*100000+(C2650-DATE(2000,1,1))+ROW()/100000)</f>
        <v/>
      </c>
      <c r="F2650" s="46">
        <f>IF(E2650="","",IF(C2650&gt;WeekEndDate,"",E2650))</f>
        <v/>
      </c>
    </row>
    <row r="2651">
      <c r="A2651" t="inlineStr">
        <is>
          <t>Change Orders</t>
        </is>
      </c>
      <c r="B2651" s="46">
        <f>'Change Orders'!U616</f>
        <v/>
      </c>
      <c r="C2651" s="84">
        <f>'Change Orders'!S616</f>
        <v/>
      </c>
      <c r="D2651" s="46">
        <f>'Change Orders'!T616</f>
        <v/>
      </c>
      <c r="E2651" s="46">
        <f>IF(OR(B2651="",C2651="",D2651=""),"",D2651*100000+(C2651-DATE(2000,1,1))+ROW()/100000)</f>
        <v/>
      </c>
      <c r="F2651" s="46">
        <f>IF(E2651="","",IF(C2651&gt;WeekEndDate,"",E2651))</f>
        <v/>
      </c>
    </row>
    <row r="2652">
      <c r="A2652" t="inlineStr">
        <is>
          <t>Change Orders</t>
        </is>
      </c>
      <c r="B2652" s="46">
        <f>'Change Orders'!U617</f>
        <v/>
      </c>
      <c r="C2652" s="84">
        <f>'Change Orders'!S617</f>
        <v/>
      </c>
      <c r="D2652" s="46">
        <f>'Change Orders'!T617</f>
        <v/>
      </c>
      <c r="E2652" s="46">
        <f>IF(OR(B2652="",C2652="",D2652=""),"",D2652*100000+(C2652-DATE(2000,1,1))+ROW()/100000)</f>
        <v/>
      </c>
      <c r="F2652" s="46">
        <f>IF(E2652="","",IF(C2652&gt;WeekEndDate,"",E2652))</f>
        <v/>
      </c>
    </row>
    <row r="2653">
      <c r="A2653" t="inlineStr">
        <is>
          <t>Change Orders</t>
        </is>
      </c>
      <c r="B2653" s="46">
        <f>'Change Orders'!U618</f>
        <v/>
      </c>
      <c r="C2653" s="84">
        <f>'Change Orders'!S618</f>
        <v/>
      </c>
      <c r="D2653" s="46">
        <f>'Change Orders'!T618</f>
        <v/>
      </c>
      <c r="E2653" s="46">
        <f>IF(OR(B2653="",C2653="",D2653=""),"",D2653*100000+(C2653-DATE(2000,1,1))+ROW()/100000)</f>
        <v/>
      </c>
      <c r="F2653" s="46">
        <f>IF(E2653="","",IF(C2653&gt;WeekEndDate,"",E2653))</f>
        <v/>
      </c>
    </row>
    <row r="2654">
      <c r="A2654" t="inlineStr">
        <is>
          <t>Change Orders</t>
        </is>
      </c>
      <c r="B2654" s="46">
        <f>'Change Orders'!U619</f>
        <v/>
      </c>
      <c r="C2654" s="84">
        <f>'Change Orders'!S619</f>
        <v/>
      </c>
      <c r="D2654" s="46">
        <f>'Change Orders'!T619</f>
        <v/>
      </c>
      <c r="E2654" s="46">
        <f>IF(OR(B2654="",C2654="",D2654=""),"",D2654*100000+(C2654-DATE(2000,1,1))+ROW()/100000)</f>
        <v/>
      </c>
      <c r="F2654" s="46">
        <f>IF(E2654="","",IF(C2654&gt;WeekEndDate,"",E2654))</f>
        <v/>
      </c>
    </row>
    <row r="2655">
      <c r="A2655" t="inlineStr">
        <is>
          <t>Change Orders</t>
        </is>
      </c>
      <c r="B2655" s="46">
        <f>'Change Orders'!U620</f>
        <v/>
      </c>
      <c r="C2655" s="84">
        <f>'Change Orders'!S620</f>
        <v/>
      </c>
      <c r="D2655" s="46">
        <f>'Change Orders'!T620</f>
        <v/>
      </c>
      <c r="E2655" s="46">
        <f>IF(OR(B2655="",C2655="",D2655=""),"",D2655*100000+(C2655-DATE(2000,1,1))+ROW()/100000)</f>
        <v/>
      </c>
      <c r="F2655" s="46">
        <f>IF(E2655="","",IF(C2655&gt;WeekEndDate,"",E2655))</f>
        <v/>
      </c>
    </row>
    <row r="2656">
      <c r="A2656" t="inlineStr">
        <is>
          <t>Change Orders</t>
        </is>
      </c>
      <c r="B2656" s="46">
        <f>'Change Orders'!U621</f>
        <v/>
      </c>
      <c r="C2656" s="84">
        <f>'Change Orders'!S621</f>
        <v/>
      </c>
      <c r="D2656" s="46">
        <f>'Change Orders'!T621</f>
        <v/>
      </c>
      <c r="E2656" s="46">
        <f>IF(OR(B2656="",C2656="",D2656=""),"",D2656*100000+(C2656-DATE(2000,1,1))+ROW()/100000)</f>
        <v/>
      </c>
      <c r="F2656" s="46">
        <f>IF(E2656="","",IF(C2656&gt;WeekEndDate,"",E2656))</f>
        <v/>
      </c>
    </row>
    <row r="2657">
      <c r="A2657" t="inlineStr">
        <is>
          <t>Change Orders</t>
        </is>
      </c>
      <c r="B2657" s="46">
        <f>'Change Orders'!U622</f>
        <v/>
      </c>
      <c r="C2657" s="84">
        <f>'Change Orders'!S622</f>
        <v/>
      </c>
      <c r="D2657" s="46">
        <f>'Change Orders'!T622</f>
        <v/>
      </c>
      <c r="E2657" s="46">
        <f>IF(OR(B2657="",C2657="",D2657=""),"",D2657*100000+(C2657-DATE(2000,1,1))+ROW()/100000)</f>
        <v/>
      </c>
      <c r="F2657" s="46">
        <f>IF(E2657="","",IF(C2657&gt;WeekEndDate,"",E2657))</f>
        <v/>
      </c>
    </row>
    <row r="2658">
      <c r="A2658" t="inlineStr">
        <is>
          <t>Change Orders</t>
        </is>
      </c>
      <c r="B2658" s="46">
        <f>'Change Orders'!U623</f>
        <v/>
      </c>
      <c r="C2658" s="84">
        <f>'Change Orders'!S623</f>
        <v/>
      </c>
      <c r="D2658" s="46">
        <f>'Change Orders'!T623</f>
        <v/>
      </c>
      <c r="E2658" s="46">
        <f>IF(OR(B2658="",C2658="",D2658=""),"",D2658*100000+(C2658-DATE(2000,1,1))+ROW()/100000)</f>
        <v/>
      </c>
      <c r="F2658" s="46">
        <f>IF(E2658="","",IF(C2658&gt;WeekEndDate,"",E2658))</f>
        <v/>
      </c>
    </row>
    <row r="2659">
      <c r="A2659" t="inlineStr">
        <is>
          <t>Change Orders</t>
        </is>
      </c>
      <c r="B2659" s="46">
        <f>'Change Orders'!U624</f>
        <v/>
      </c>
      <c r="C2659" s="84">
        <f>'Change Orders'!S624</f>
        <v/>
      </c>
      <c r="D2659" s="46">
        <f>'Change Orders'!T624</f>
        <v/>
      </c>
      <c r="E2659" s="46">
        <f>IF(OR(B2659="",C2659="",D2659=""),"",D2659*100000+(C2659-DATE(2000,1,1))+ROW()/100000)</f>
        <v/>
      </c>
      <c r="F2659" s="46">
        <f>IF(E2659="","",IF(C2659&gt;WeekEndDate,"",E2659))</f>
        <v/>
      </c>
    </row>
    <row r="2660">
      <c r="A2660" t="inlineStr">
        <is>
          <t>Change Orders</t>
        </is>
      </c>
      <c r="B2660" s="46">
        <f>'Change Orders'!U625</f>
        <v/>
      </c>
      <c r="C2660" s="84">
        <f>'Change Orders'!S625</f>
        <v/>
      </c>
      <c r="D2660" s="46">
        <f>'Change Orders'!T625</f>
        <v/>
      </c>
      <c r="E2660" s="46">
        <f>IF(OR(B2660="",C2660="",D2660=""),"",D2660*100000+(C2660-DATE(2000,1,1))+ROW()/100000)</f>
        <v/>
      </c>
      <c r="F2660" s="46">
        <f>IF(E2660="","",IF(C2660&gt;WeekEndDate,"",E2660))</f>
        <v/>
      </c>
    </row>
    <row r="2661">
      <c r="A2661" t="inlineStr">
        <is>
          <t>Change Orders</t>
        </is>
      </c>
      <c r="B2661" s="46">
        <f>'Change Orders'!U626</f>
        <v/>
      </c>
      <c r="C2661" s="84">
        <f>'Change Orders'!S626</f>
        <v/>
      </c>
      <c r="D2661" s="46">
        <f>'Change Orders'!T626</f>
        <v/>
      </c>
      <c r="E2661" s="46">
        <f>IF(OR(B2661="",C2661="",D2661=""),"",D2661*100000+(C2661-DATE(2000,1,1))+ROW()/100000)</f>
        <v/>
      </c>
      <c r="F2661" s="46">
        <f>IF(E2661="","",IF(C2661&gt;WeekEndDate,"",E2661))</f>
        <v/>
      </c>
    </row>
    <row r="2662">
      <c r="A2662" t="inlineStr">
        <is>
          <t>Change Orders</t>
        </is>
      </c>
      <c r="B2662" s="46">
        <f>'Change Orders'!U627</f>
        <v/>
      </c>
      <c r="C2662" s="84">
        <f>'Change Orders'!S627</f>
        <v/>
      </c>
      <c r="D2662" s="46">
        <f>'Change Orders'!T627</f>
        <v/>
      </c>
      <c r="E2662" s="46">
        <f>IF(OR(B2662="",C2662="",D2662=""),"",D2662*100000+(C2662-DATE(2000,1,1))+ROW()/100000)</f>
        <v/>
      </c>
      <c r="F2662" s="46">
        <f>IF(E2662="","",IF(C2662&gt;WeekEndDate,"",E2662))</f>
        <v/>
      </c>
    </row>
    <row r="2663">
      <c r="A2663" t="inlineStr">
        <is>
          <t>Change Orders</t>
        </is>
      </c>
      <c r="B2663" s="46">
        <f>'Change Orders'!U628</f>
        <v/>
      </c>
      <c r="C2663" s="84">
        <f>'Change Orders'!S628</f>
        <v/>
      </c>
      <c r="D2663" s="46">
        <f>'Change Orders'!T628</f>
        <v/>
      </c>
      <c r="E2663" s="46">
        <f>IF(OR(B2663="",C2663="",D2663=""),"",D2663*100000+(C2663-DATE(2000,1,1))+ROW()/100000)</f>
        <v/>
      </c>
      <c r="F2663" s="46">
        <f>IF(E2663="","",IF(C2663&gt;WeekEndDate,"",E2663))</f>
        <v/>
      </c>
    </row>
    <row r="2664">
      <c r="A2664" t="inlineStr">
        <is>
          <t>Change Orders</t>
        </is>
      </c>
      <c r="B2664" s="46">
        <f>'Change Orders'!U629</f>
        <v/>
      </c>
      <c r="C2664" s="84">
        <f>'Change Orders'!S629</f>
        <v/>
      </c>
      <c r="D2664" s="46">
        <f>'Change Orders'!T629</f>
        <v/>
      </c>
      <c r="E2664" s="46">
        <f>IF(OR(B2664="",C2664="",D2664=""),"",D2664*100000+(C2664-DATE(2000,1,1))+ROW()/100000)</f>
        <v/>
      </c>
      <c r="F2664" s="46">
        <f>IF(E2664="","",IF(C2664&gt;WeekEndDate,"",E2664))</f>
        <v/>
      </c>
    </row>
    <row r="2665">
      <c r="A2665" t="inlineStr">
        <is>
          <t>Change Orders</t>
        </is>
      </c>
      <c r="B2665" s="46">
        <f>'Change Orders'!U630</f>
        <v/>
      </c>
      <c r="C2665" s="84">
        <f>'Change Orders'!S630</f>
        <v/>
      </c>
      <c r="D2665" s="46">
        <f>'Change Orders'!T630</f>
        <v/>
      </c>
      <c r="E2665" s="46">
        <f>IF(OR(B2665="",C2665="",D2665=""),"",D2665*100000+(C2665-DATE(2000,1,1))+ROW()/100000)</f>
        <v/>
      </c>
      <c r="F2665" s="46">
        <f>IF(E2665="","",IF(C2665&gt;WeekEndDate,"",E2665))</f>
        <v/>
      </c>
    </row>
    <row r="2666">
      <c r="A2666" t="inlineStr">
        <is>
          <t>Change Orders</t>
        </is>
      </c>
      <c r="B2666" s="46">
        <f>'Change Orders'!U631</f>
        <v/>
      </c>
      <c r="C2666" s="84">
        <f>'Change Orders'!S631</f>
        <v/>
      </c>
      <c r="D2666" s="46">
        <f>'Change Orders'!T631</f>
        <v/>
      </c>
      <c r="E2666" s="46">
        <f>IF(OR(B2666="",C2666="",D2666=""),"",D2666*100000+(C2666-DATE(2000,1,1))+ROW()/100000)</f>
        <v/>
      </c>
      <c r="F2666" s="46">
        <f>IF(E2666="","",IF(C2666&gt;WeekEndDate,"",E2666))</f>
        <v/>
      </c>
    </row>
    <row r="2667">
      <c r="A2667" t="inlineStr">
        <is>
          <t>Change Orders</t>
        </is>
      </c>
      <c r="B2667" s="46">
        <f>'Change Orders'!U632</f>
        <v/>
      </c>
      <c r="C2667" s="84">
        <f>'Change Orders'!S632</f>
        <v/>
      </c>
      <c r="D2667" s="46">
        <f>'Change Orders'!T632</f>
        <v/>
      </c>
      <c r="E2667" s="46">
        <f>IF(OR(B2667="",C2667="",D2667=""),"",D2667*100000+(C2667-DATE(2000,1,1))+ROW()/100000)</f>
        <v/>
      </c>
      <c r="F2667" s="46">
        <f>IF(E2667="","",IF(C2667&gt;WeekEndDate,"",E2667))</f>
        <v/>
      </c>
    </row>
    <row r="2668">
      <c r="A2668" t="inlineStr">
        <is>
          <t>Change Orders</t>
        </is>
      </c>
      <c r="B2668" s="46">
        <f>'Change Orders'!U633</f>
        <v/>
      </c>
      <c r="C2668" s="84">
        <f>'Change Orders'!S633</f>
        <v/>
      </c>
      <c r="D2668" s="46">
        <f>'Change Orders'!T633</f>
        <v/>
      </c>
      <c r="E2668" s="46">
        <f>IF(OR(B2668="",C2668="",D2668=""),"",D2668*100000+(C2668-DATE(2000,1,1))+ROW()/100000)</f>
        <v/>
      </c>
      <c r="F2668" s="46">
        <f>IF(E2668="","",IF(C2668&gt;WeekEndDate,"",E2668))</f>
        <v/>
      </c>
    </row>
    <row r="2669">
      <c r="A2669" t="inlineStr">
        <is>
          <t>Change Orders</t>
        </is>
      </c>
      <c r="B2669" s="46">
        <f>'Change Orders'!U634</f>
        <v/>
      </c>
      <c r="C2669" s="84">
        <f>'Change Orders'!S634</f>
        <v/>
      </c>
      <c r="D2669" s="46">
        <f>'Change Orders'!T634</f>
        <v/>
      </c>
      <c r="E2669" s="46">
        <f>IF(OR(B2669="",C2669="",D2669=""),"",D2669*100000+(C2669-DATE(2000,1,1))+ROW()/100000)</f>
        <v/>
      </c>
      <c r="F2669" s="46">
        <f>IF(E2669="","",IF(C2669&gt;WeekEndDate,"",E2669))</f>
        <v/>
      </c>
    </row>
    <row r="2670">
      <c r="A2670" t="inlineStr">
        <is>
          <t>Change Orders</t>
        </is>
      </c>
      <c r="B2670" s="46">
        <f>'Change Orders'!U635</f>
        <v/>
      </c>
      <c r="C2670" s="84">
        <f>'Change Orders'!S635</f>
        <v/>
      </c>
      <c r="D2670" s="46">
        <f>'Change Orders'!T635</f>
        <v/>
      </c>
      <c r="E2670" s="46">
        <f>IF(OR(B2670="",C2670="",D2670=""),"",D2670*100000+(C2670-DATE(2000,1,1))+ROW()/100000)</f>
        <v/>
      </c>
      <c r="F2670" s="46">
        <f>IF(E2670="","",IF(C2670&gt;WeekEndDate,"",E2670))</f>
        <v/>
      </c>
    </row>
    <row r="2671">
      <c r="A2671" t="inlineStr">
        <is>
          <t>Change Orders</t>
        </is>
      </c>
      <c r="B2671" s="46">
        <f>'Change Orders'!U636</f>
        <v/>
      </c>
      <c r="C2671" s="84">
        <f>'Change Orders'!S636</f>
        <v/>
      </c>
      <c r="D2671" s="46">
        <f>'Change Orders'!T636</f>
        <v/>
      </c>
      <c r="E2671" s="46">
        <f>IF(OR(B2671="",C2671="",D2671=""),"",D2671*100000+(C2671-DATE(2000,1,1))+ROW()/100000)</f>
        <v/>
      </c>
      <c r="F2671" s="46">
        <f>IF(E2671="","",IF(C2671&gt;WeekEndDate,"",E2671))</f>
        <v/>
      </c>
    </row>
    <row r="2672">
      <c r="A2672" t="inlineStr">
        <is>
          <t>Change Orders</t>
        </is>
      </c>
      <c r="B2672" s="46">
        <f>'Change Orders'!U637</f>
        <v/>
      </c>
      <c r="C2672" s="84">
        <f>'Change Orders'!S637</f>
        <v/>
      </c>
      <c r="D2672" s="46">
        <f>'Change Orders'!T637</f>
        <v/>
      </c>
      <c r="E2672" s="46">
        <f>IF(OR(B2672="",C2672="",D2672=""),"",D2672*100000+(C2672-DATE(2000,1,1))+ROW()/100000)</f>
        <v/>
      </c>
      <c r="F2672" s="46">
        <f>IF(E2672="","",IF(C2672&gt;WeekEndDate,"",E2672))</f>
        <v/>
      </c>
    </row>
    <row r="2673">
      <c r="A2673" t="inlineStr">
        <is>
          <t>Change Orders</t>
        </is>
      </c>
      <c r="B2673" s="46">
        <f>'Change Orders'!U638</f>
        <v/>
      </c>
      <c r="C2673" s="84">
        <f>'Change Orders'!S638</f>
        <v/>
      </c>
      <c r="D2673" s="46">
        <f>'Change Orders'!T638</f>
        <v/>
      </c>
      <c r="E2673" s="46">
        <f>IF(OR(B2673="",C2673="",D2673=""),"",D2673*100000+(C2673-DATE(2000,1,1))+ROW()/100000)</f>
        <v/>
      </c>
      <c r="F2673" s="46">
        <f>IF(E2673="","",IF(C2673&gt;WeekEndDate,"",E2673))</f>
        <v/>
      </c>
    </row>
    <row r="2674">
      <c r="A2674" t="inlineStr">
        <is>
          <t>Change Orders</t>
        </is>
      </c>
      <c r="B2674" s="46">
        <f>'Change Orders'!U639</f>
        <v/>
      </c>
      <c r="C2674" s="84">
        <f>'Change Orders'!S639</f>
        <v/>
      </c>
      <c r="D2674" s="46">
        <f>'Change Orders'!T639</f>
        <v/>
      </c>
      <c r="E2674" s="46">
        <f>IF(OR(B2674="",C2674="",D2674=""),"",D2674*100000+(C2674-DATE(2000,1,1))+ROW()/100000)</f>
        <v/>
      </c>
      <c r="F2674" s="46">
        <f>IF(E2674="","",IF(C2674&gt;WeekEndDate,"",E2674))</f>
        <v/>
      </c>
    </row>
    <row r="2675">
      <c r="A2675" t="inlineStr">
        <is>
          <t>Change Orders</t>
        </is>
      </c>
      <c r="B2675" s="46">
        <f>'Change Orders'!U640</f>
        <v/>
      </c>
      <c r="C2675" s="84">
        <f>'Change Orders'!S640</f>
        <v/>
      </c>
      <c r="D2675" s="46">
        <f>'Change Orders'!T640</f>
        <v/>
      </c>
      <c r="E2675" s="46">
        <f>IF(OR(B2675="",C2675="",D2675=""),"",D2675*100000+(C2675-DATE(2000,1,1))+ROW()/100000)</f>
        <v/>
      </c>
      <c r="F2675" s="46">
        <f>IF(E2675="","",IF(C2675&gt;WeekEndDate,"",E2675))</f>
        <v/>
      </c>
    </row>
    <row r="2676">
      <c r="A2676" t="inlineStr">
        <is>
          <t>Change Orders</t>
        </is>
      </c>
      <c r="B2676" s="46">
        <f>'Change Orders'!U641</f>
        <v/>
      </c>
      <c r="C2676" s="84">
        <f>'Change Orders'!S641</f>
        <v/>
      </c>
      <c r="D2676" s="46">
        <f>'Change Orders'!T641</f>
        <v/>
      </c>
      <c r="E2676" s="46">
        <f>IF(OR(B2676="",C2676="",D2676=""),"",D2676*100000+(C2676-DATE(2000,1,1))+ROW()/100000)</f>
        <v/>
      </c>
      <c r="F2676" s="46">
        <f>IF(E2676="","",IF(C2676&gt;WeekEndDate,"",E2676))</f>
        <v/>
      </c>
    </row>
    <row r="2677">
      <c r="A2677" t="inlineStr">
        <is>
          <t>Change Orders</t>
        </is>
      </c>
      <c r="B2677" s="46">
        <f>'Change Orders'!U642</f>
        <v/>
      </c>
      <c r="C2677" s="84">
        <f>'Change Orders'!S642</f>
        <v/>
      </c>
      <c r="D2677" s="46">
        <f>'Change Orders'!T642</f>
        <v/>
      </c>
      <c r="E2677" s="46">
        <f>IF(OR(B2677="",C2677="",D2677=""),"",D2677*100000+(C2677-DATE(2000,1,1))+ROW()/100000)</f>
        <v/>
      </c>
      <c r="F2677" s="46">
        <f>IF(E2677="","",IF(C2677&gt;WeekEndDate,"",E2677))</f>
        <v/>
      </c>
    </row>
    <row r="2678">
      <c r="A2678" t="inlineStr">
        <is>
          <t>Change Orders</t>
        </is>
      </c>
      <c r="B2678" s="46">
        <f>'Change Orders'!U643</f>
        <v/>
      </c>
      <c r="C2678" s="84">
        <f>'Change Orders'!S643</f>
        <v/>
      </c>
      <c r="D2678" s="46">
        <f>'Change Orders'!T643</f>
        <v/>
      </c>
      <c r="E2678" s="46">
        <f>IF(OR(B2678="",C2678="",D2678=""),"",D2678*100000+(C2678-DATE(2000,1,1))+ROW()/100000)</f>
        <v/>
      </c>
      <c r="F2678" s="46">
        <f>IF(E2678="","",IF(C2678&gt;WeekEndDate,"",E2678))</f>
        <v/>
      </c>
    </row>
    <row r="2679">
      <c r="A2679" t="inlineStr">
        <is>
          <t>Change Orders</t>
        </is>
      </c>
      <c r="B2679" s="46">
        <f>'Change Orders'!U644</f>
        <v/>
      </c>
      <c r="C2679" s="84">
        <f>'Change Orders'!S644</f>
        <v/>
      </c>
      <c r="D2679" s="46">
        <f>'Change Orders'!T644</f>
        <v/>
      </c>
      <c r="E2679" s="46">
        <f>IF(OR(B2679="",C2679="",D2679=""),"",D2679*100000+(C2679-DATE(2000,1,1))+ROW()/100000)</f>
        <v/>
      </c>
      <c r="F2679" s="46">
        <f>IF(E2679="","",IF(C2679&gt;WeekEndDate,"",E2679))</f>
        <v/>
      </c>
    </row>
    <row r="2680">
      <c r="A2680" t="inlineStr">
        <is>
          <t>Change Orders</t>
        </is>
      </c>
      <c r="B2680" s="46">
        <f>'Change Orders'!U645</f>
        <v/>
      </c>
      <c r="C2680" s="84">
        <f>'Change Orders'!S645</f>
        <v/>
      </c>
      <c r="D2680" s="46">
        <f>'Change Orders'!T645</f>
        <v/>
      </c>
      <c r="E2680" s="46">
        <f>IF(OR(B2680="",C2680="",D2680=""),"",D2680*100000+(C2680-DATE(2000,1,1))+ROW()/100000)</f>
        <v/>
      </c>
      <c r="F2680" s="46">
        <f>IF(E2680="","",IF(C2680&gt;WeekEndDate,"",E2680))</f>
        <v/>
      </c>
    </row>
    <row r="2681">
      <c r="A2681" t="inlineStr">
        <is>
          <t>Change Orders</t>
        </is>
      </c>
      <c r="B2681" s="46">
        <f>'Change Orders'!U646</f>
        <v/>
      </c>
      <c r="C2681" s="84">
        <f>'Change Orders'!S646</f>
        <v/>
      </c>
      <c r="D2681" s="46">
        <f>'Change Orders'!T646</f>
        <v/>
      </c>
      <c r="E2681" s="46">
        <f>IF(OR(B2681="",C2681="",D2681=""),"",D2681*100000+(C2681-DATE(2000,1,1))+ROW()/100000)</f>
        <v/>
      </c>
      <c r="F2681" s="46">
        <f>IF(E2681="","",IF(C2681&gt;WeekEndDate,"",E2681))</f>
        <v/>
      </c>
    </row>
    <row r="2682">
      <c r="A2682" t="inlineStr">
        <is>
          <t>Change Orders</t>
        </is>
      </c>
      <c r="B2682" s="46">
        <f>'Change Orders'!U647</f>
        <v/>
      </c>
      <c r="C2682" s="84">
        <f>'Change Orders'!S647</f>
        <v/>
      </c>
      <c r="D2682" s="46">
        <f>'Change Orders'!T647</f>
        <v/>
      </c>
      <c r="E2682" s="46">
        <f>IF(OR(B2682="",C2682="",D2682=""),"",D2682*100000+(C2682-DATE(2000,1,1))+ROW()/100000)</f>
        <v/>
      </c>
      <c r="F2682" s="46">
        <f>IF(E2682="","",IF(C2682&gt;WeekEndDate,"",E2682))</f>
        <v/>
      </c>
    </row>
    <row r="2683">
      <c r="A2683" t="inlineStr">
        <is>
          <t>Change Orders</t>
        </is>
      </c>
      <c r="B2683" s="46">
        <f>'Change Orders'!U648</f>
        <v/>
      </c>
      <c r="C2683" s="84">
        <f>'Change Orders'!S648</f>
        <v/>
      </c>
      <c r="D2683" s="46">
        <f>'Change Orders'!T648</f>
        <v/>
      </c>
      <c r="E2683" s="46">
        <f>IF(OR(B2683="",C2683="",D2683=""),"",D2683*100000+(C2683-DATE(2000,1,1))+ROW()/100000)</f>
        <v/>
      </c>
      <c r="F2683" s="46">
        <f>IF(E2683="","",IF(C2683&gt;WeekEndDate,"",E2683))</f>
        <v/>
      </c>
    </row>
    <row r="2684">
      <c r="A2684" t="inlineStr">
        <is>
          <t>Change Orders</t>
        </is>
      </c>
      <c r="B2684" s="46">
        <f>'Change Orders'!U649</f>
        <v/>
      </c>
      <c r="C2684" s="84">
        <f>'Change Orders'!S649</f>
        <v/>
      </c>
      <c r="D2684" s="46">
        <f>'Change Orders'!T649</f>
        <v/>
      </c>
      <c r="E2684" s="46">
        <f>IF(OR(B2684="",C2684="",D2684=""),"",D2684*100000+(C2684-DATE(2000,1,1))+ROW()/100000)</f>
        <v/>
      </c>
      <c r="F2684" s="46">
        <f>IF(E2684="","",IF(C2684&gt;WeekEndDate,"",E2684))</f>
        <v/>
      </c>
    </row>
    <row r="2685">
      <c r="A2685" t="inlineStr">
        <is>
          <t>Change Orders</t>
        </is>
      </c>
      <c r="B2685" s="46">
        <f>'Change Orders'!U650</f>
        <v/>
      </c>
      <c r="C2685" s="84">
        <f>'Change Orders'!S650</f>
        <v/>
      </c>
      <c r="D2685" s="46">
        <f>'Change Orders'!T650</f>
        <v/>
      </c>
      <c r="E2685" s="46">
        <f>IF(OR(B2685="",C2685="",D2685=""),"",D2685*100000+(C2685-DATE(2000,1,1))+ROW()/100000)</f>
        <v/>
      </c>
      <c r="F2685" s="46">
        <f>IF(E2685="","",IF(C2685&gt;WeekEndDate,"",E2685))</f>
        <v/>
      </c>
    </row>
    <row r="2686">
      <c r="A2686" t="inlineStr">
        <is>
          <t>Change Orders</t>
        </is>
      </c>
      <c r="B2686" s="46">
        <f>'Change Orders'!U651</f>
        <v/>
      </c>
      <c r="C2686" s="84">
        <f>'Change Orders'!S651</f>
        <v/>
      </c>
      <c r="D2686" s="46">
        <f>'Change Orders'!T651</f>
        <v/>
      </c>
      <c r="E2686" s="46">
        <f>IF(OR(B2686="",C2686="",D2686=""),"",D2686*100000+(C2686-DATE(2000,1,1))+ROW()/100000)</f>
        <v/>
      </c>
      <c r="F2686" s="46">
        <f>IF(E2686="","",IF(C2686&gt;WeekEndDate,"",E2686))</f>
        <v/>
      </c>
    </row>
    <row r="2687">
      <c r="A2687" t="inlineStr">
        <is>
          <t>Change Orders</t>
        </is>
      </c>
      <c r="B2687" s="46">
        <f>'Change Orders'!U652</f>
        <v/>
      </c>
      <c r="C2687" s="84">
        <f>'Change Orders'!S652</f>
        <v/>
      </c>
      <c r="D2687" s="46">
        <f>'Change Orders'!T652</f>
        <v/>
      </c>
      <c r="E2687" s="46">
        <f>IF(OR(B2687="",C2687="",D2687=""),"",D2687*100000+(C2687-DATE(2000,1,1))+ROW()/100000)</f>
        <v/>
      </c>
      <c r="F2687" s="46">
        <f>IF(E2687="","",IF(C2687&gt;WeekEndDate,"",E2687))</f>
        <v/>
      </c>
    </row>
    <row r="2688">
      <c r="A2688" t="inlineStr">
        <is>
          <t>Change Orders</t>
        </is>
      </c>
      <c r="B2688" s="46">
        <f>'Change Orders'!U653</f>
        <v/>
      </c>
      <c r="C2688" s="84">
        <f>'Change Orders'!S653</f>
        <v/>
      </c>
      <c r="D2688" s="46">
        <f>'Change Orders'!T653</f>
        <v/>
      </c>
      <c r="E2688" s="46">
        <f>IF(OR(B2688="",C2688="",D2688=""),"",D2688*100000+(C2688-DATE(2000,1,1))+ROW()/100000)</f>
        <v/>
      </c>
      <c r="F2688" s="46">
        <f>IF(E2688="","",IF(C2688&gt;WeekEndDate,"",E2688))</f>
        <v/>
      </c>
    </row>
    <row r="2689">
      <c r="A2689" t="inlineStr">
        <is>
          <t>Change Orders</t>
        </is>
      </c>
      <c r="B2689" s="46">
        <f>'Change Orders'!U654</f>
        <v/>
      </c>
      <c r="C2689" s="84">
        <f>'Change Orders'!S654</f>
        <v/>
      </c>
      <c r="D2689" s="46">
        <f>'Change Orders'!T654</f>
        <v/>
      </c>
      <c r="E2689" s="46">
        <f>IF(OR(B2689="",C2689="",D2689=""),"",D2689*100000+(C2689-DATE(2000,1,1))+ROW()/100000)</f>
        <v/>
      </c>
      <c r="F2689" s="46">
        <f>IF(E2689="","",IF(C2689&gt;WeekEndDate,"",E2689))</f>
        <v/>
      </c>
    </row>
    <row r="2690">
      <c r="A2690" t="inlineStr">
        <is>
          <t>Change Orders</t>
        </is>
      </c>
      <c r="B2690" s="46">
        <f>'Change Orders'!U655</f>
        <v/>
      </c>
      <c r="C2690" s="84">
        <f>'Change Orders'!S655</f>
        <v/>
      </c>
      <c r="D2690" s="46">
        <f>'Change Orders'!T655</f>
        <v/>
      </c>
      <c r="E2690" s="46">
        <f>IF(OR(B2690="",C2690="",D2690=""),"",D2690*100000+(C2690-DATE(2000,1,1))+ROW()/100000)</f>
        <v/>
      </c>
      <c r="F2690" s="46">
        <f>IF(E2690="","",IF(C2690&gt;WeekEndDate,"",E2690))</f>
        <v/>
      </c>
    </row>
    <row r="2691">
      <c r="A2691" t="inlineStr">
        <is>
          <t>Change Orders</t>
        </is>
      </c>
      <c r="B2691" s="46">
        <f>'Change Orders'!U656</f>
        <v/>
      </c>
      <c r="C2691" s="84">
        <f>'Change Orders'!S656</f>
        <v/>
      </c>
      <c r="D2691" s="46">
        <f>'Change Orders'!T656</f>
        <v/>
      </c>
      <c r="E2691" s="46">
        <f>IF(OR(B2691="",C2691="",D2691=""),"",D2691*100000+(C2691-DATE(2000,1,1))+ROW()/100000)</f>
        <v/>
      </c>
      <c r="F2691" s="46">
        <f>IF(E2691="","",IF(C2691&gt;WeekEndDate,"",E2691))</f>
        <v/>
      </c>
    </row>
    <row r="2692">
      <c r="A2692" t="inlineStr">
        <is>
          <t>Change Orders</t>
        </is>
      </c>
      <c r="B2692" s="46">
        <f>'Change Orders'!U657</f>
        <v/>
      </c>
      <c r="C2692" s="84">
        <f>'Change Orders'!S657</f>
        <v/>
      </c>
      <c r="D2692" s="46">
        <f>'Change Orders'!T657</f>
        <v/>
      </c>
      <c r="E2692" s="46">
        <f>IF(OR(B2692="",C2692="",D2692=""),"",D2692*100000+(C2692-DATE(2000,1,1))+ROW()/100000)</f>
        <v/>
      </c>
      <c r="F2692" s="46">
        <f>IF(E2692="","",IF(C2692&gt;WeekEndDate,"",E2692))</f>
        <v/>
      </c>
    </row>
    <row r="2693">
      <c r="A2693" t="inlineStr">
        <is>
          <t>Change Orders</t>
        </is>
      </c>
      <c r="B2693" s="46">
        <f>'Change Orders'!U658</f>
        <v/>
      </c>
      <c r="C2693" s="84">
        <f>'Change Orders'!S658</f>
        <v/>
      </c>
      <c r="D2693" s="46">
        <f>'Change Orders'!T658</f>
        <v/>
      </c>
      <c r="E2693" s="46">
        <f>IF(OR(B2693="",C2693="",D2693=""),"",D2693*100000+(C2693-DATE(2000,1,1))+ROW()/100000)</f>
        <v/>
      </c>
      <c r="F2693" s="46">
        <f>IF(E2693="","",IF(C2693&gt;WeekEndDate,"",E2693))</f>
        <v/>
      </c>
    </row>
    <row r="2694">
      <c r="A2694" t="inlineStr">
        <is>
          <t>Change Orders</t>
        </is>
      </c>
      <c r="B2694" s="46">
        <f>'Change Orders'!U659</f>
        <v/>
      </c>
      <c r="C2694" s="84">
        <f>'Change Orders'!S659</f>
        <v/>
      </c>
      <c r="D2694" s="46">
        <f>'Change Orders'!T659</f>
        <v/>
      </c>
      <c r="E2694" s="46">
        <f>IF(OR(B2694="",C2694="",D2694=""),"",D2694*100000+(C2694-DATE(2000,1,1))+ROW()/100000)</f>
        <v/>
      </c>
      <c r="F2694" s="46">
        <f>IF(E2694="","",IF(C2694&gt;WeekEndDate,"",E2694))</f>
        <v/>
      </c>
    </row>
    <row r="2695">
      <c r="A2695" t="inlineStr">
        <is>
          <t>Change Orders</t>
        </is>
      </c>
      <c r="B2695" s="46">
        <f>'Change Orders'!U660</f>
        <v/>
      </c>
      <c r="C2695" s="84">
        <f>'Change Orders'!S660</f>
        <v/>
      </c>
      <c r="D2695" s="46">
        <f>'Change Orders'!T660</f>
        <v/>
      </c>
      <c r="E2695" s="46">
        <f>IF(OR(B2695="",C2695="",D2695=""),"",D2695*100000+(C2695-DATE(2000,1,1))+ROW()/100000)</f>
        <v/>
      </c>
      <c r="F2695" s="46">
        <f>IF(E2695="","",IF(C2695&gt;WeekEndDate,"",E2695))</f>
        <v/>
      </c>
    </row>
    <row r="2696">
      <c r="A2696" t="inlineStr">
        <is>
          <t>Change Orders</t>
        </is>
      </c>
      <c r="B2696" s="46">
        <f>'Change Orders'!U661</f>
        <v/>
      </c>
      <c r="C2696" s="84">
        <f>'Change Orders'!S661</f>
        <v/>
      </c>
      <c r="D2696" s="46">
        <f>'Change Orders'!T661</f>
        <v/>
      </c>
      <c r="E2696" s="46">
        <f>IF(OR(B2696="",C2696="",D2696=""),"",D2696*100000+(C2696-DATE(2000,1,1))+ROW()/100000)</f>
        <v/>
      </c>
      <c r="F2696" s="46">
        <f>IF(E2696="","",IF(C2696&gt;WeekEndDate,"",E2696))</f>
        <v/>
      </c>
    </row>
    <row r="2697">
      <c r="A2697" t="inlineStr">
        <is>
          <t>Change Orders</t>
        </is>
      </c>
      <c r="B2697" s="46">
        <f>'Change Orders'!U662</f>
        <v/>
      </c>
      <c r="C2697" s="84">
        <f>'Change Orders'!S662</f>
        <v/>
      </c>
      <c r="D2697" s="46">
        <f>'Change Orders'!T662</f>
        <v/>
      </c>
      <c r="E2697" s="46">
        <f>IF(OR(B2697="",C2697="",D2697=""),"",D2697*100000+(C2697-DATE(2000,1,1))+ROW()/100000)</f>
        <v/>
      </c>
      <c r="F2697" s="46">
        <f>IF(E2697="","",IF(C2697&gt;WeekEndDate,"",E2697))</f>
        <v/>
      </c>
    </row>
    <row r="2698">
      <c r="A2698" t="inlineStr">
        <is>
          <t>Change Orders</t>
        </is>
      </c>
      <c r="B2698" s="46">
        <f>'Change Orders'!U663</f>
        <v/>
      </c>
      <c r="C2698" s="84">
        <f>'Change Orders'!S663</f>
        <v/>
      </c>
      <c r="D2698" s="46">
        <f>'Change Orders'!T663</f>
        <v/>
      </c>
      <c r="E2698" s="46">
        <f>IF(OR(B2698="",C2698="",D2698=""),"",D2698*100000+(C2698-DATE(2000,1,1))+ROW()/100000)</f>
        <v/>
      </c>
      <c r="F2698" s="46">
        <f>IF(E2698="","",IF(C2698&gt;WeekEndDate,"",E2698))</f>
        <v/>
      </c>
    </row>
    <row r="2699">
      <c r="A2699" t="inlineStr">
        <is>
          <t>Change Orders</t>
        </is>
      </c>
      <c r="B2699" s="46">
        <f>'Change Orders'!U664</f>
        <v/>
      </c>
      <c r="C2699" s="84">
        <f>'Change Orders'!S664</f>
        <v/>
      </c>
      <c r="D2699" s="46">
        <f>'Change Orders'!T664</f>
        <v/>
      </c>
      <c r="E2699" s="46">
        <f>IF(OR(B2699="",C2699="",D2699=""),"",D2699*100000+(C2699-DATE(2000,1,1))+ROW()/100000)</f>
        <v/>
      </c>
      <c r="F2699" s="46">
        <f>IF(E2699="","",IF(C2699&gt;WeekEndDate,"",E2699))</f>
        <v/>
      </c>
    </row>
    <row r="2700">
      <c r="A2700" t="inlineStr">
        <is>
          <t>Change Orders</t>
        </is>
      </c>
      <c r="B2700" s="46">
        <f>'Change Orders'!U665</f>
        <v/>
      </c>
      <c r="C2700" s="84">
        <f>'Change Orders'!S665</f>
        <v/>
      </c>
      <c r="D2700" s="46">
        <f>'Change Orders'!T665</f>
        <v/>
      </c>
      <c r="E2700" s="46">
        <f>IF(OR(B2700="",C2700="",D2700=""),"",D2700*100000+(C2700-DATE(2000,1,1))+ROW()/100000)</f>
        <v/>
      </c>
      <c r="F2700" s="46">
        <f>IF(E2700="","",IF(C2700&gt;WeekEndDate,"",E2700))</f>
        <v/>
      </c>
    </row>
    <row r="2701">
      <c r="A2701" t="inlineStr">
        <is>
          <t>Change Orders</t>
        </is>
      </c>
      <c r="B2701" s="46">
        <f>'Change Orders'!U666</f>
        <v/>
      </c>
      <c r="C2701" s="84">
        <f>'Change Orders'!S666</f>
        <v/>
      </c>
      <c r="D2701" s="46">
        <f>'Change Orders'!T666</f>
        <v/>
      </c>
      <c r="E2701" s="46">
        <f>IF(OR(B2701="",C2701="",D2701=""),"",D2701*100000+(C2701-DATE(2000,1,1))+ROW()/100000)</f>
        <v/>
      </c>
      <c r="F2701" s="46">
        <f>IF(E2701="","",IF(C2701&gt;WeekEndDate,"",E2701))</f>
        <v/>
      </c>
    </row>
    <row r="2702">
      <c r="A2702" t="inlineStr">
        <is>
          <t>Change Orders</t>
        </is>
      </c>
      <c r="B2702" s="46">
        <f>'Change Orders'!U667</f>
        <v/>
      </c>
      <c r="C2702" s="84">
        <f>'Change Orders'!S667</f>
        <v/>
      </c>
      <c r="D2702" s="46">
        <f>'Change Orders'!T667</f>
        <v/>
      </c>
      <c r="E2702" s="46">
        <f>IF(OR(B2702="",C2702="",D2702=""),"",D2702*100000+(C2702-DATE(2000,1,1))+ROW()/100000)</f>
        <v/>
      </c>
      <c r="F2702" s="46">
        <f>IF(E2702="","",IF(C2702&gt;WeekEndDate,"",E2702))</f>
        <v/>
      </c>
    </row>
    <row r="2703">
      <c r="A2703" t="inlineStr">
        <is>
          <t>Change Orders</t>
        </is>
      </c>
      <c r="B2703" s="46">
        <f>'Change Orders'!U668</f>
        <v/>
      </c>
      <c r="C2703" s="84">
        <f>'Change Orders'!S668</f>
        <v/>
      </c>
      <c r="D2703" s="46">
        <f>'Change Orders'!T668</f>
        <v/>
      </c>
      <c r="E2703" s="46">
        <f>IF(OR(B2703="",C2703="",D2703=""),"",D2703*100000+(C2703-DATE(2000,1,1))+ROW()/100000)</f>
        <v/>
      </c>
      <c r="F2703" s="46">
        <f>IF(E2703="","",IF(C2703&gt;WeekEndDate,"",E2703))</f>
        <v/>
      </c>
    </row>
    <row r="2704">
      <c r="A2704" t="inlineStr">
        <is>
          <t>Change Orders</t>
        </is>
      </c>
      <c r="B2704" s="46">
        <f>'Change Orders'!U669</f>
        <v/>
      </c>
      <c r="C2704" s="84">
        <f>'Change Orders'!S669</f>
        <v/>
      </c>
      <c r="D2704" s="46">
        <f>'Change Orders'!T669</f>
        <v/>
      </c>
      <c r="E2704" s="46">
        <f>IF(OR(B2704="",C2704="",D2704=""),"",D2704*100000+(C2704-DATE(2000,1,1))+ROW()/100000)</f>
        <v/>
      </c>
      <c r="F2704" s="46">
        <f>IF(E2704="","",IF(C2704&gt;WeekEndDate,"",E2704))</f>
        <v/>
      </c>
    </row>
    <row r="2705">
      <c r="A2705" t="inlineStr">
        <is>
          <t>Change Orders</t>
        </is>
      </c>
      <c r="B2705" s="46">
        <f>'Change Orders'!U670</f>
        <v/>
      </c>
      <c r="C2705" s="84">
        <f>'Change Orders'!S670</f>
        <v/>
      </c>
      <c r="D2705" s="46">
        <f>'Change Orders'!T670</f>
        <v/>
      </c>
      <c r="E2705" s="46">
        <f>IF(OR(B2705="",C2705="",D2705=""),"",D2705*100000+(C2705-DATE(2000,1,1))+ROW()/100000)</f>
        <v/>
      </c>
      <c r="F2705" s="46">
        <f>IF(E2705="","",IF(C2705&gt;WeekEndDate,"",E2705))</f>
        <v/>
      </c>
    </row>
    <row r="2706">
      <c r="A2706" t="inlineStr">
        <is>
          <t>Change Orders</t>
        </is>
      </c>
      <c r="B2706" s="46">
        <f>'Change Orders'!U671</f>
        <v/>
      </c>
      <c r="C2706" s="84">
        <f>'Change Orders'!S671</f>
        <v/>
      </c>
      <c r="D2706" s="46">
        <f>'Change Orders'!T671</f>
        <v/>
      </c>
      <c r="E2706" s="46">
        <f>IF(OR(B2706="",C2706="",D2706=""),"",D2706*100000+(C2706-DATE(2000,1,1))+ROW()/100000)</f>
        <v/>
      </c>
      <c r="F2706" s="46">
        <f>IF(E2706="","",IF(C2706&gt;WeekEndDate,"",E2706))</f>
        <v/>
      </c>
    </row>
    <row r="2707">
      <c r="A2707" t="inlineStr">
        <is>
          <t>Change Orders</t>
        </is>
      </c>
      <c r="B2707" s="46">
        <f>'Change Orders'!U672</f>
        <v/>
      </c>
      <c r="C2707" s="84">
        <f>'Change Orders'!S672</f>
        <v/>
      </c>
      <c r="D2707" s="46">
        <f>'Change Orders'!T672</f>
        <v/>
      </c>
      <c r="E2707" s="46">
        <f>IF(OR(B2707="",C2707="",D2707=""),"",D2707*100000+(C2707-DATE(2000,1,1))+ROW()/100000)</f>
        <v/>
      </c>
      <c r="F2707" s="46">
        <f>IF(E2707="","",IF(C2707&gt;WeekEndDate,"",E2707))</f>
        <v/>
      </c>
    </row>
    <row r="2708">
      <c r="A2708" t="inlineStr">
        <is>
          <t>Change Orders</t>
        </is>
      </c>
      <c r="B2708" s="46">
        <f>'Change Orders'!U673</f>
        <v/>
      </c>
      <c r="C2708" s="84">
        <f>'Change Orders'!S673</f>
        <v/>
      </c>
      <c r="D2708" s="46">
        <f>'Change Orders'!T673</f>
        <v/>
      </c>
      <c r="E2708" s="46">
        <f>IF(OR(B2708="",C2708="",D2708=""),"",D2708*100000+(C2708-DATE(2000,1,1))+ROW()/100000)</f>
        <v/>
      </c>
      <c r="F2708" s="46">
        <f>IF(E2708="","",IF(C2708&gt;WeekEndDate,"",E2708))</f>
        <v/>
      </c>
    </row>
    <row r="2709">
      <c r="A2709" t="inlineStr">
        <is>
          <t>Change Orders</t>
        </is>
      </c>
      <c r="B2709" s="46">
        <f>'Change Orders'!U674</f>
        <v/>
      </c>
      <c r="C2709" s="84">
        <f>'Change Orders'!S674</f>
        <v/>
      </c>
      <c r="D2709" s="46">
        <f>'Change Orders'!T674</f>
        <v/>
      </c>
      <c r="E2709" s="46">
        <f>IF(OR(B2709="",C2709="",D2709=""),"",D2709*100000+(C2709-DATE(2000,1,1))+ROW()/100000)</f>
        <v/>
      </c>
      <c r="F2709" s="46">
        <f>IF(E2709="","",IF(C2709&gt;WeekEndDate,"",E2709))</f>
        <v/>
      </c>
    </row>
    <row r="2710">
      <c r="A2710" t="inlineStr">
        <is>
          <t>Change Orders</t>
        </is>
      </c>
      <c r="B2710" s="46">
        <f>'Change Orders'!U675</f>
        <v/>
      </c>
      <c r="C2710" s="84">
        <f>'Change Orders'!S675</f>
        <v/>
      </c>
      <c r="D2710" s="46">
        <f>'Change Orders'!T675</f>
        <v/>
      </c>
      <c r="E2710" s="46">
        <f>IF(OR(B2710="",C2710="",D2710=""),"",D2710*100000+(C2710-DATE(2000,1,1))+ROW()/100000)</f>
        <v/>
      </c>
      <c r="F2710" s="46">
        <f>IF(E2710="","",IF(C2710&gt;WeekEndDate,"",E2710))</f>
        <v/>
      </c>
    </row>
    <row r="2711">
      <c r="A2711" t="inlineStr">
        <is>
          <t>Change Orders</t>
        </is>
      </c>
      <c r="B2711" s="46">
        <f>'Change Orders'!U676</f>
        <v/>
      </c>
      <c r="C2711" s="84">
        <f>'Change Orders'!S676</f>
        <v/>
      </c>
      <c r="D2711" s="46">
        <f>'Change Orders'!T676</f>
        <v/>
      </c>
      <c r="E2711" s="46">
        <f>IF(OR(B2711="",C2711="",D2711=""),"",D2711*100000+(C2711-DATE(2000,1,1))+ROW()/100000)</f>
        <v/>
      </c>
      <c r="F2711" s="46">
        <f>IF(E2711="","",IF(C2711&gt;WeekEndDate,"",E2711))</f>
        <v/>
      </c>
    </row>
    <row r="2712">
      <c r="A2712" t="inlineStr">
        <is>
          <t>Change Orders</t>
        </is>
      </c>
      <c r="B2712" s="46">
        <f>'Change Orders'!U677</f>
        <v/>
      </c>
      <c r="C2712" s="84">
        <f>'Change Orders'!S677</f>
        <v/>
      </c>
      <c r="D2712" s="46">
        <f>'Change Orders'!T677</f>
        <v/>
      </c>
      <c r="E2712" s="46">
        <f>IF(OR(B2712="",C2712="",D2712=""),"",D2712*100000+(C2712-DATE(2000,1,1))+ROW()/100000)</f>
        <v/>
      </c>
      <c r="F2712" s="46">
        <f>IF(E2712="","",IF(C2712&gt;WeekEndDate,"",E2712))</f>
        <v/>
      </c>
    </row>
    <row r="2713">
      <c r="A2713" t="inlineStr">
        <is>
          <t>Change Orders</t>
        </is>
      </c>
      <c r="B2713" s="46">
        <f>'Change Orders'!U678</f>
        <v/>
      </c>
      <c r="C2713" s="84">
        <f>'Change Orders'!S678</f>
        <v/>
      </c>
      <c r="D2713" s="46">
        <f>'Change Orders'!T678</f>
        <v/>
      </c>
      <c r="E2713" s="46">
        <f>IF(OR(B2713="",C2713="",D2713=""),"",D2713*100000+(C2713-DATE(2000,1,1))+ROW()/100000)</f>
        <v/>
      </c>
      <c r="F2713" s="46">
        <f>IF(E2713="","",IF(C2713&gt;WeekEndDate,"",E2713))</f>
        <v/>
      </c>
    </row>
    <row r="2714">
      <c r="A2714" t="inlineStr">
        <is>
          <t>Change Orders</t>
        </is>
      </c>
      <c r="B2714" s="46">
        <f>'Change Orders'!U679</f>
        <v/>
      </c>
      <c r="C2714" s="84">
        <f>'Change Orders'!S679</f>
        <v/>
      </c>
      <c r="D2714" s="46">
        <f>'Change Orders'!T679</f>
        <v/>
      </c>
      <c r="E2714" s="46">
        <f>IF(OR(B2714="",C2714="",D2714=""),"",D2714*100000+(C2714-DATE(2000,1,1))+ROW()/100000)</f>
        <v/>
      </c>
      <c r="F2714" s="46">
        <f>IF(E2714="","",IF(C2714&gt;WeekEndDate,"",E2714))</f>
        <v/>
      </c>
    </row>
    <row r="2715">
      <c r="A2715" t="inlineStr">
        <is>
          <t>Change Orders</t>
        </is>
      </c>
      <c r="B2715" s="46">
        <f>'Change Orders'!U680</f>
        <v/>
      </c>
      <c r="C2715" s="84">
        <f>'Change Orders'!S680</f>
        <v/>
      </c>
      <c r="D2715" s="46">
        <f>'Change Orders'!T680</f>
        <v/>
      </c>
      <c r="E2715" s="46">
        <f>IF(OR(B2715="",C2715="",D2715=""),"",D2715*100000+(C2715-DATE(2000,1,1))+ROW()/100000)</f>
        <v/>
      </c>
      <c r="F2715" s="46">
        <f>IF(E2715="","",IF(C2715&gt;WeekEndDate,"",E2715))</f>
        <v/>
      </c>
    </row>
    <row r="2716">
      <c r="A2716" t="inlineStr">
        <is>
          <t>Change Orders</t>
        </is>
      </c>
      <c r="B2716" s="46">
        <f>'Change Orders'!U681</f>
        <v/>
      </c>
      <c r="C2716" s="84">
        <f>'Change Orders'!S681</f>
        <v/>
      </c>
      <c r="D2716" s="46">
        <f>'Change Orders'!T681</f>
        <v/>
      </c>
      <c r="E2716" s="46">
        <f>IF(OR(B2716="",C2716="",D2716=""),"",D2716*100000+(C2716-DATE(2000,1,1))+ROW()/100000)</f>
        <v/>
      </c>
      <c r="F2716" s="46">
        <f>IF(E2716="","",IF(C2716&gt;WeekEndDate,"",E2716))</f>
        <v/>
      </c>
    </row>
    <row r="2717">
      <c r="A2717" t="inlineStr">
        <is>
          <t>Change Orders</t>
        </is>
      </c>
      <c r="B2717" s="46">
        <f>'Change Orders'!U682</f>
        <v/>
      </c>
      <c r="C2717" s="84">
        <f>'Change Orders'!S682</f>
        <v/>
      </c>
      <c r="D2717" s="46">
        <f>'Change Orders'!T682</f>
        <v/>
      </c>
      <c r="E2717" s="46">
        <f>IF(OR(B2717="",C2717="",D2717=""),"",D2717*100000+(C2717-DATE(2000,1,1))+ROW()/100000)</f>
        <v/>
      </c>
      <c r="F2717" s="46">
        <f>IF(E2717="","",IF(C2717&gt;WeekEndDate,"",E2717))</f>
        <v/>
      </c>
    </row>
    <row r="2718">
      <c r="A2718" t="inlineStr">
        <is>
          <t>Change Orders</t>
        </is>
      </c>
      <c r="B2718" s="46">
        <f>'Change Orders'!U683</f>
        <v/>
      </c>
      <c r="C2718" s="84">
        <f>'Change Orders'!S683</f>
        <v/>
      </c>
      <c r="D2718" s="46">
        <f>'Change Orders'!T683</f>
        <v/>
      </c>
      <c r="E2718" s="46">
        <f>IF(OR(B2718="",C2718="",D2718=""),"",D2718*100000+(C2718-DATE(2000,1,1))+ROW()/100000)</f>
        <v/>
      </c>
      <c r="F2718" s="46">
        <f>IF(E2718="","",IF(C2718&gt;WeekEndDate,"",E2718))</f>
        <v/>
      </c>
    </row>
    <row r="2719">
      <c r="A2719" t="inlineStr">
        <is>
          <t>Change Orders</t>
        </is>
      </c>
      <c r="B2719" s="46">
        <f>'Change Orders'!U684</f>
        <v/>
      </c>
      <c r="C2719" s="84">
        <f>'Change Orders'!S684</f>
        <v/>
      </c>
      <c r="D2719" s="46">
        <f>'Change Orders'!T684</f>
        <v/>
      </c>
      <c r="E2719" s="46">
        <f>IF(OR(B2719="",C2719="",D2719=""),"",D2719*100000+(C2719-DATE(2000,1,1))+ROW()/100000)</f>
        <v/>
      </c>
      <c r="F2719" s="46">
        <f>IF(E2719="","",IF(C2719&gt;WeekEndDate,"",E2719))</f>
        <v/>
      </c>
    </row>
    <row r="2720">
      <c r="A2720" t="inlineStr">
        <is>
          <t>Change Orders</t>
        </is>
      </c>
      <c r="B2720" s="46">
        <f>'Change Orders'!U685</f>
        <v/>
      </c>
      <c r="C2720" s="84">
        <f>'Change Orders'!S685</f>
        <v/>
      </c>
      <c r="D2720" s="46">
        <f>'Change Orders'!T685</f>
        <v/>
      </c>
      <c r="E2720" s="46">
        <f>IF(OR(B2720="",C2720="",D2720=""),"",D2720*100000+(C2720-DATE(2000,1,1))+ROW()/100000)</f>
        <v/>
      </c>
      <c r="F2720" s="46">
        <f>IF(E2720="","",IF(C2720&gt;WeekEndDate,"",E2720))</f>
        <v/>
      </c>
    </row>
    <row r="2721">
      <c r="A2721" t="inlineStr">
        <is>
          <t>Change Orders</t>
        </is>
      </c>
      <c r="B2721" s="46">
        <f>'Change Orders'!U686</f>
        <v/>
      </c>
      <c r="C2721" s="84">
        <f>'Change Orders'!S686</f>
        <v/>
      </c>
      <c r="D2721" s="46">
        <f>'Change Orders'!T686</f>
        <v/>
      </c>
      <c r="E2721" s="46">
        <f>IF(OR(B2721="",C2721="",D2721=""),"",D2721*100000+(C2721-DATE(2000,1,1))+ROW()/100000)</f>
        <v/>
      </c>
      <c r="F2721" s="46">
        <f>IF(E2721="","",IF(C2721&gt;WeekEndDate,"",E2721))</f>
        <v/>
      </c>
    </row>
    <row r="2722">
      <c r="A2722" t="inlineStr">
        <is>
          <t>Change Orders</t>
        </is>
      </c>
      <c r="B2722" s="46">
        <f>'Change Orders'!U687</f>
        <v/>
      </c>
      <c r="C2722" s="84">
        <f>'Change Orders'!S687</f>
        <v/>
      </c>
      <c r="D2722" s="46">
        <f>'Change Orders'!T687</f>
        <v/>
      </c>
      <c r="E2722" s="46">
        <f>IF(OR(B2722="",C2722="",D2722=""),"",D2722*100000+(C2722-DATE(2000,1,1))+ROW()/100000)</f>
        <v/>
      </c>
      <c r="F2722" s="46">
        <f>IF(E2722="","",IF(C2722&gt;WeekEndDate,"",E2722))</f>
        <v/>
      </c>
    </row>
    <row r="2723">
      <c r="A2723" t="inlineStr">
        <is>
          <t>Change Orders</t>
        </is>
      </c>
      <c r="B2723" s="46">
        <f>'Change Orders'!U688</f>
        <v/>
      </c>
      <c r="C2723" s="84">
        <f>'Change Orders'!S688</f>
        <v/>
      </c>
      <c r="D2723" s="46">
        <f>'Change Orders'!T688</f>
        <v/>
      </c>
      <c r="E2723" s="46">
        <f>IF(OR(B2723="",C2723="",D2723=""),"",D2723*100000+(C2723-DATE(2000,1,1))+ROW()/100000)</f>
        <v/>
      </c>
      <c r="F2723" s="46">
        <f>IF(E2723="","",IF(C2723&gt;WeekEndDate,"",E2723))</f>
        <v/>
      </c>
    </row>
    <row r="2724">
      <c r="A2724" t="inlineStr">
        <is>
          <t>Change Orders</t>
        </is>
      </c>
      <c r="B2724" s="46">
        <f>'Change Orders'!U689</f>
        <v/>
      </c>
      <c r="C2724" s="84">
        <f>'Change Orders'!S689</f>
        <v/>
      </c>
      <c r="D2724" s="46">
        <f>'Change Orders'!T689</f>
        <v/>
      </c>
      <c r="E2724" s="46">
        <f>IF(OR(B2724="",C2724="",D2724=""),"",D2724*100000+(C2724-DATE(2000,1,1))+ROW()/100000)</f>
        <v/>
      </c>
      <c r="F2724" s="46">
        <f>IF(E2724="","",IF(C2724&gt;WeekEndDate,"",E2724))</f>
        <v/>
      </c>
    </row>
    <row r="2725">
      <c r="A2725" t="inlineStr">
        <is>
          <t>Change Orders</t>
        </is>
      </c>
      <c r="B2725" s="46">
        <f>'Change Orders'!U690</f>
        <v/>
      </c>
      <c r="C2725" s="84">
        <f>'Change Orders'!S690</f>
        <v/>
      </c>
      <c r="D2725" s="46">
        <f>'Change Orders'!T690</f>
        <v/>
      </c>
      <c r="E2725" s="46">
        <f>IF(OR(B2725="",C2725="",D2725=""),"",D2725*100000+(C2725-DATE(2000,1,1))+ROW()/100000)</f>
        <v/>
      </c>
      <c r="F2725" s="46">
        <f>IF(E2725="","",IF(C2725&gt;WeekEndDate,"",E2725))</f>
        <v/>
      </c>
    </row>
    <row r="2726">
      <c r="A2726" t="inlineStr">
        <is>
          <t>Change Orders</t>
        </is>
      </c>
      <c r="B2726" s="46">
        <f>'Change Orders'!U691</f>
        <v/>
      </c>
      <c r="C2726" s="84">
        <f>'Change Orders'!S691</f>
        <v/>
      </c>
      <c r="D2726" s="46">
        <f>'Change Orders'!T691</f>
        <v/>
      </c>
      <c r="E2726" s="46">
        <f>IF(OR(B2726="",C2726="",D2726=""),"",D2726*100000+(C2726-DATE(2000,1,1))+ROW()/100000)</f>
        <v/>
      </c>
      <c r="F2726" s="46">
        <f>IF(E2726="","",IF(C2726&gt;WeekEndDate,"",E2726))</f>
        <v/>
      </c>
    </row>
    <row r="2727">
      <c r="A2727" t="inlineStr">
        <is>
          <t>Change Orders</t>
        </is>
      </c>
      <c r="B2727" s="46">
        <f>'Change Orders'!U692</f>
        <v/>
      </c>
      <c r="C2727" s="84">
        <f>'Change Orders'!S692</f>
        <v/>
      </c>
      <c r="D2727" s="46">
        <f>'Change Orders'!T692</f>
        <v/>
      </c>
      <c r="E2727" s="46">
        <f>IF(OR(B2727="",C2727="",D2727=""),"",D2727*100000+(C2727-DATE(2000,1,1))+ROW()/100000)</f>
        <v/>
      </c>
      <c r="F2727" s="46">
        <f>IF(E2727="","",IF(C2727&gt;WeekEndDate,"",E2727))</f>
        <v/>
      </c>
    </row>
    <row r="2728">
      <c r="A2728" t="inlineStr">
        <is>
          <t>Change Orders</t>
        </is>
      </c>
      <c r="B2728" s="46">
        <f>'Change Orders'!U693</f>
        <v/>
      </c>
      <c r="C2728" s="84">
        <f>'Change Orders'!S693</f>
        <v/>
      </c>
      <c r="D2728" s="46">
        <f>'Change Orders'!T693</f>
        <v/>
      </c>
      <c r="E2728" s="46">
        <f>IF(OR(B2728="",C2728="",D2728=""),"",D2728*100000+(C2728-DATE(2000,1,1))+ROW()/100000)</f>
        <v/>
      </c>
      <c r="F2728" s="46">
        <f>IF(E2728="","",IF(C2728&gt;WeekEndDate,"",E2728))</f>
        <v/>
      </c>
    </row>
    <row r="2729">
      <c r="A2729" t="inlineStr">
        <is>
          <t>Change Orders</t>
        </is>
      </c>
      <c r="B2729" s="46">
        <f>'Change Orders'!U694</f>
        <v/>
      </c>
      <c r="C2729" s="84">
        <f>'Change Orders'!S694</f>
        <v/>
      </c>
      <c r="D2729" s="46">
        <f>'Change Orders'!T694</f>
        <v/>
      </c>
      <c r="E2729" s="46">
        <f>IF(OR(B2729="",C2729="",D2729=""),"",D2729*100000+(C2729-DATE(2000,1,1))+ROW()/100000)</f>
        <v/>
      </c>
      <c r="F2729" s="46">
        <f>IF(E2729="","",IF(C2729&gt;WeekEndDate,"",E2729))</f>
        <v/>
      </c>
    </row>
    <row r="2730">
      <c r="A2730" t="inlineStr">
        <is>
          <t>Change Orders</t>
        </is>
      </c>
      <c r="B2730" s="46">
        <f>'Change Orders'!U695</f>
        <v/>
      </c>
      <c r="C2730" s="84">
        <f>'Change Orders'!S695</f>
        <v/>
      </c>
      <c r="D2730" s="46">
        <f>'Change Orders'!T695</f>
        <v/>
      </c>
      <c r="E2730" s="46">
        <f>IF(OR(B2730="",C2730="",D2730=""),"",D2730*100000+(C2730-DATE(2000,1,1))+ROW()/100000)</f>
        <v/>
      </c>
      <c r="F2730" s="46">
        <f>IF(E2730="","",IF(C2730&gt;WeekEndDate,"",E2730))</f>
        <v/>
      </c>
    </row>
    <row r="2731">
      <c r="A2731" t="inlineStr">
        <is>
          <t>Change Orders</t>
        </is>
      </c>
      <c r="B2731" s="46">
        <f>'Change Orders'!U696</f>
        <v/>
      </c>
      <c r="C2731" s="84">
        <f>'Change Orders'!S696</f>
        <v/>
      </c>
      <c r="D2731" s="46">
        <f>'Change Orders'!T696</f>
        <v/>
      </c>
      <c r="E2731" s="46">
        <f>IF(OR(B2731="",C2731="",D2731=""),"",D2731*100000+(C2731-DATE(2000,1,1))+ROW()/100000)</f>
        <v/>
      </c>
      <c r="F2731" s="46">
        <f>IF(E2731="","",IF(C2731&gt;WeekEndDate,"",E2731))</f>
        <v/>
      </c>
    </row>
    <row r="2732">
      <c r="A2732" t="inlineStr">
        <is>
          <t>Change Orders</t>
        </is>
      </c>
      <c r="B2732" s="46">
        <f>'Change Orders'!U697</f>
        <v/>
      </c>
      <c r="C2732" s="84">
        <f>'Change Orders'!S697</f>
        <v/>
      </c>
      <c r="D2732" s="46">
        <f>'Change Orders'!T697</f>
        <v/>
      </c>
      <c r="E2732" s="46">
        <f>IF(OR(B2732="",C2732="",D2732=""),"",D2732*100000+(C2732-DATE(2000,1,1))+ROW()/100000)</f>
        <v/>
      </c>
      <c r="F2732" s="46">
        <f>IF(E2732="","",IF(C2732&gt;WeekEndDate,"",E2732))</f>
        <v/>
      </c>
    </row>
    <row r="2733">
      <c r="A2733" t="inlineStr">
        <is>
          <t>Change Orders</t>
        </is>
      </c>
      <c r="B2733" s="46">
        <f>'Change Orders'!U698</f>
        <v/>
      </c>
      <c r="C2733" s="84">
        <f>'Change Orders'!S698</f>
        <v/>
      </c>
      <c r="D2733" s="46">
        <f>'Change Orders'!T698</f>
        <v/>
      </c>
      <c r="E2733" s="46">
        <f>IF(OR(B2733="",C2733="",D2733=""),"",D2733*100000+(C2733-DATE(2000,1,1))+ROW()/100000)</f>
        <v/>
      </c>
      <c r="F2733" s="46">
        <f>IF(E2733="","",IF(C2733&gt;WeekEndDate,"",E2733))</f>
        <v/>
      </c>
    </row>
    <row r="2734">
      <c r="A2734" t="inlineStr">
        <is>
          <t>Change Orders</t>
        </is>
      </c>
      <c r="B2734" s="46">
        <f>'Change Orders'!U699</f>
        <v/>
      </c>
      <c r="C2734" s="84">
        <f>'Change Orders'!S699</f>
        <v/>
      </c>
      <c r="D2734" s="46">
        <f>'Change Orders'!T699</f>
        <v/>
      </c>
      <c r="E2734" s="46">
        <f>IF(OR(B2734="",C2734="",D2734=""),"",D2734*100000+(C2734-DATE(2000,1,1))+ROW()/100000)</f>
        <v/>
      </c>
      <c r="F2734" s="46">
        <f>IF(E2734="","",IF(C2734&gt;WeekEndDate,"",E2734))</f>
        <v/>
      </c>
    </row>
    <row r="2735">
      <c r="A2735" t="inlineStr">
        <is>
          <t>Change Orders</t>
        </is>
      </c>
      <c r="B2735" s="46">
        <f>'Change Orders'!U700</f>
        <v/>
      </c>
      <c r="C2735" s="84">
        <f>'Change Orders'!S700</f>
        <v/>
      </c>
      <c r="D2735" s="46">
        <f>'Change Orders'!T700</f>
        <v/>
      </c>
      <c r="E2735" s="46">
        <f>IF(OR(B2735="",C2735="",D2735=""),"",D2735*100000+(C2735-DATE(2000,1,1))+ROW()/100000)</f>
        <v/>
      </c>
      <c r="F2735" s="46">
        <f>IF(E2735="","",IF(C2735&gt;WeekEndDate,"",E2735))</f>
        <v/>
      </c>
    </row>
    <row r="2736">
      <c r="A2736" t="inlineStr">
        <is>
          <t>Change Orders</t>
        </is>
      </c>
      <c r="B2736" s="46">
        <f>'Change Orders'!U701</f>
        <v/>
      </c>
      <c r="C2736" s="84">
        <f>'Change Orders'!S701</f>
        <v/>
      </c>
      <c r="D2736" s="46">
        <f>'Change Orders'!T701</f>
        <v/>
      </c>
      <c r="E2736" s="46">
        <f>IF(OR(B2736="",C2736="",D2736=""),"",D2736*100000+(C2736-DATE(2000,1,1))+ROW()/100000)</f>
        <v/>
      </c>
      <c r="F2736" s="46">
        <f>IF(E2736="","",IF(C2736&gt;WeekEndDate,"",E2736))</f>
        <v/>
      </c>
    </row>
    <row r="2737">
      <c r="A2737" t="inlineStr">
        <is>
          <t>Change Orders</t>
        </is>
      </c>
      <c r="B2737" s="46">
        <f>'Change Orders'!U702</f>
        <v/>
      </c>
      <c r="C2737" s="84">
        <f>'Change Orders'!S702</f>
        <v/>
      </c>
      <c r="D2737" s="46">
        <f>'Change Orders'!T702</f>
        <v/>
      </c>
      <c r="E2737" s="46">
        <f>IF(OR(B2737="",C2737="",D2737=""),"",D2737*100000+(C2737-DATE(2000,1,1))+ROW()/100000)</f>
        <v/>
      </c>
      <c r="F2737" s="46">
        <f>IF(E2737="","",IF(C2737&gt;WeekEndDate,"",E2737))</f>
        <v/>
      </c>
    </row>
    <row r="2738">
      <c r="A2738" t="inlineStr">
        <is>
          <t>Change Orders</t>
        </is>
      </c>
      <c r="B2738" s="46">
        <f>'Change Orders'!U703</f>
        <v/>
      </c>
      <c r="C2738" s="84">
        <f>'Change Orders'!S703</f>
        <v/>
      </c>
      <c r="D2738" s="46">
        <f>'Change Orders'!T703</f>
        <v/>
      </c>
      <c r="E2738" s="46">
        <f>IF(OR(B2738="",C2738="",D2738=""),"",D2738*100000+(C2738-DATE(2000,1,1))+ROW()/100000)</f>
        <v/>
      </c>
      <c r="F2738" s="46">
        <f>IF(E2738="","",IF(C2738&gt;WeekEndDate,"",E2738))</f>
        <v/>
      </c>
    </row>
    <row r="2739">
      <c r="A2739" t="inlineStr">
        <is>
          <t>Change Orders</t>
        </is>
      </c>
      <c r="B2739" s="46">
        <f>'Change Orders'!U704</f>
        <v/>
      </c>
      <c r="C2739" s="84">
        <f>'Change Orders'!S704</f>
        <v/>
      </c>
      <c r="D2739" s="46">
        <f>'Change Orders'!T704</f>
        <v/>
      </c>
      <c r="E2739" s="46">
        <f>IF(OR(B2739="",C2739="",D2739=""),"",D2739*100000+(C2739-DATE(2000,1,1))+ROW()/100000)</f>
        <v/>
      </c>
      <c r="F2739" s="46">
        <f>IF(E2739="","",IF(C2739&gt;WeekEndDate,"",E2739))</f>
        <v/>
      </c>
    </row>
    <row r="2740">
      <c r="A2740" t="inlineStr">
        <is>
          <t>Change Orders</t>
        </is>
      </c>
      <c r="B2740" s="46">
        <f>'Change Orders'!U705</f>
        <v/>
      </c>
      <c r="C2740" s="84">
        <f>'Change Orders'!S705</f>
        <v/>
      </c>
      <c r="D2740" s="46">
        <f>'Change Orders'!T705</f>
        <v/>
      </c>
      <c r="E2740" s="46">
        <f>IF(OR(B2740="",C2740="",D2740=""),"",D2740*100000+(C2740-DATE(2000,1,1))+ROW()/100000)</f>
        <v/>
      </c>
      <c r="F2740" s="46">
        <f>IF(E2740="","",IF(C2740&gt;WeekEndDate,"",E2740))</f>
        <v/>
      </c>
    </row>
    <row r="2741">
      <c r="A2741" t="inlineStr">
        <is>
          <t>Change Orders</t>
        </is>
      </c>
      <c r="B2741" s="46">
        <f>'Change Orders'!U706</f>
        <v/>
      </c>
      <c r="C2741" s="84">
        <f>'Change Orders'!S706</f>
        <v/>
      </c>
      <c r="D2741" s="46">
        <f>'Change Orders'!T706</f>
        <v/>
      </c>
      <c r="E2741" s="46">
        <f>IF(OR(B2741="",C2741="",D2741=""),"",D2741*100000+(C2741-DATE(2000,1,1))+ROW()/100000)</f>
        <v/>
      </c>
      <c r="F2741" s="46">
        <f>IF(E2741="","",IF(C2741&gt;WeekEndDate,"",E2741))</f>
        <v/>
      </c>
    </row>
    <row r="2742">
      <c r="A2742" t="inlineStr">
        <is>
          <t>Change Orders</t>
        </is>
      </c>
      <c r="B2742" s="46">
        <f>'Change Orders'!U707</f>
        <v/>
      </c>
      <c r="C2742" s="84">
        <f>'Change Orders'!S707</f>
        <v/>
      </c>
      <c r="D2742" s="46">
        <f>'Change Orders'!T707</f>
        <v/>
      </c>
      <c r="E2742" s="46">
        <f>IF(OR(B2742="",C2742="",D2742=""),"",D2742*100000+(C2742-DATE(2000,1,1))+ROW()/100000)</f>
        <v/>
      </c>
      <c r="F2742" s="46">
        <f>IF(E2742="","",IF(C2742&gt;WeekEndDate,"",E2742))</f>
        <v/>
      </c>
    </row>
    <row r="2743">
      <c r="A2743" t="inlineStr">
        <is>
          <t>Change Orders</t>
        </is>
      </c>
      <c r="B2743" s="46">
        <f>'Change Orders'!U708</f>
        <v/>
      </c>
      <c r="C2743" s="84">
        <f>'Change Orders'!S708</f>
        <v/>
      </c>
      <c r="D2743" s="46">
        <f>'Change Orders'!T708</f>
        <v/>
      </c>
      <c r="E2743" s="46">
        <f>IF(OR(B2743="",C2743="",D2743=""),"",D2743*100000+(C2743-DATE(2000,1,1))+ROW()/100000)</f>
        <v/>
      </c>
      <c r="F2743" s="46">
        <f>IF(E2743="","",IF(C2743&gt;WeekEndDate,"",E2743))</f>
        <v/>
      </c>
    </row>
    <row r="2744">
      <c r="A2744" t="inlineStr">
        <is>
          <t>Change Orders</t>
        </is>
      </c>
      <c r="B2744" s="46">
        <f>'Change Orders'!U709</f>
        <v/>
      </c>
      <c r="C2744" s="84">
        <f>'Change Orders'!S709</f>
        <v/>
      </c>
      <c r="D2744" s="46">
        <f>'Change Orders'!T709</f>
        <v/>
      </c>
      <c r="E2744" s="46">
        <f>IF(OR(B2744="",C2744="",D2744=""),"",D2744*100000+(C2744-DATE(2000,1,1))+ROW()/100000)</f>
        <v/>
      </c>
      <c r="F2744" s="46">
        <f>IF(E2744="","",IF(C2744&gt;WeekEndDate,"",E2744))</f>
        <v/>
      </c>
    </row>
    <row r="2745">
      <c r="A2745" t="inlineStr">
        <is>
          <t>Change Orders</t>
        </is>
      </c>
      <c r="B2745" s="46">
        <f>'Change Orders'!U710</f>
        <v/>
      </c>
      <c r="C2745" s="84">
        <f>'Change Orders'!S710</f>
        <v/>
      </c>
      <c r="D2745" s="46">
        <f>'Change Orders'!T710</f>
        <v/>
      </c>
      <c r="E2745" s="46">
        <f>IF(OR(B2745="",C2745="",D2745=""),"",D2745*100000+(C2745-DATE(2000,1,1))+ROW()/100000)</f>
        <v/>
      </c>
      <c r="F2745" s="46">
        <f>IF(E2745="","",IF(C2745&gt;WeekEndDate,"",E2745))</f>
        <v/>
      </c>
    </row>
    <row r="2746">
      <c r="A2746" t="inlineStr">
        <is>
          <t>Change Orders</t>
        </is>
      </c>
      <c r="B2746" s="46">
        <f>'Change Orders'!U711</f>
        <v/>
      </c>
      <c r="C2746" s="84">
        <f>'Change Orders'!S711</f>
        <v/>
      </c>
      <c r="D2746" s="46">
        <f>'Change Orders'!T711</f>
        <v/>
      </c>
      <c r="E2746" s="46">
        <f>IF(OR(B2746="",C2746="",D2746=""),"",D2746*100000+(C2746-DATE(2000,1,1))+ROW()/100000)</f>
        <v/>
      </c>
      <c r="F2746" s="46">
        <f>IF(E2746="","",IF(C2746&gt;WeekEndDate,"",E2746))</f>
        <v/>
      </c>
    </row>
    <row r="2747">
      <c r="A2747" t="inlineStr">
        <is>
          <t>Change Orders</t>
        </is>
      </c>
      <c r="B2747" s="46">
        <f>'Change Orders'!U712</f>
        <v/>
      </c>
      <c r="C2747" s="84">
        <f>'Change Orders'!S712</f>
        <v/>
      </c>
      <c r="D2747" s="46">
        <f>'Change Orders'!T712</f>
        <v/>
      </c>
      <c r="E2747" s="46">
        <f>IF(OR(B2747="",C2747="",D2747=""),"",D2747*100000+(C2747-DATE(2000,1,1))+ROW()/100000)</f>
        <v/>
      </c>
      <c r="F2747" s="46">
        <f>IF(E2747="","",IF(C2747&gt;WeekEndDate,"",E2747))</f>
        <v/>
      </c>
    </row>
    <row r="2748">
      <c r="A2748" t="inlineStr">
        <is>
          <t>Change Orders</t>
        </is>
      </c>
      <c r="B2748" s="46">
        <f>'Change Orders'!U713</f>
        <v/>
      </c>
      <c r="C2748" s="84">
        <f>'Change Orders'!S713</f>
        <v/>
      </c>
      <c r="D2748" s="46">
        <f>'Change Orders'!T713</f>
        <v/>
      </c>
      <c r="E2748" s="46">
        <f>IF(OR(B2748="",C2748="",D2748=""),"",D2748*100000+(C2748-DATE(2000,1,1))+ROW()/100000)</f>
        <v/>
      </c>
      <c r="F2748" s="46">
        <f>IF(E2748="","",IF(C2748&gt;WeekEndDate,"",E2748))</f>
        <v/>
      </c>
    </row>
    <row r="2749">
      <c r="A2749" t="inlineStr">
        <is>
          <t>Change Orders</t>
        </is>
      </c>
      <c r="B2749" s="46">
        <f>'Change Orders'!U714</f>
        <v/>
      </c>
      <c r="C2749" s="84">
        <f>'Change Orders'!S714</f>
        <v/>
      </c>
      <c r="D2749" s="46">
        <f>'Change Orders'!T714</f>
        <v/>
      </c>
      <c r="E2749" s="46">
        <f>IF(OR(B2749="",C2749="",D2749=""),"",D2749*100000+(C2749-DATE(2000,1,1))+ROW()/100000)</f>
        <v/>
      </c>
      <c r="F2749" s="46">
        <f>IF(E2749="","",IF(C2749&gt;WeekEndDate,"",E2749))</f>
        <v/>
      </c>
    </row>
    <row r="2750">
      <c r="A2750" t="inlineStr">
        <is>
          <t>Change Orders</t>
        </is>
      </c>
      <c r="B2750" s="46">
        <f>'Change Orders'!U715</f>
        <v/>
      </c>
      <c r="C2750" s="84">
        <f>'Change Orders'!S715</f>
        <v/>
      </c>
      <c r="D2750" s="46">
        <f>'Change Orders'!T715</f>
        <v/>
      </c>
      <c r="E2750" s="46">
        <f>IF(OR(B2750="",C2750="",D2750=""),"",D2750*100000+(C2750-DATE(2000,1,1))+ROW()/100000)</f>
        <v/>
      </c>
      <c r="F2750" s="46">
        <f>IF(E2750="","",IF(C2750&gt;WeekEndDate,"",E2750))</f>
        <v/>
      </c>
    </row>
    <row r="2751">
      <c r="A2751" t="inlineStr">
        <is>
          <t>Change Orders</t>
        </is>
      </c>
      <c r="B2751" s="46">
        <f>'Change Orders'!U716</f>
        <v/>
      </c>
      <c r="C2751" s="84">
        <f>'Change Orders'!S716</f>
        <v/>
      </c>
      <c r="D2751" s="46">
        <f>'Change Orders'!T716</f>
        <v/>
      </c>
      <c r="E2751" s="46">
        <f>IF(OR(B2751="",C2751="",D2751=""),"",D2751*100000+(C2751-DATE(2000,1,1))+ROW()/100000)</f>
        <v/>
      </c>
      <c r="F2751" s="46">
        <f>IF(E2751="","",IF(C2751&gt;WeekEndDate,"",E2751))</f>
        <v/>
      </c>
    </row>
    <row r="2752">
      <c r="A2752" t="inlineStr">
        <is>
          <t>Change Orders</t>
        </is>
      </c>
      <c r="B2752" s="46">
        <f>'Change Orders'!U717</f>
        <v/>
      </c>
      <c r="C2752" s="84">
        <f>'Change Orders'!S717</f>
        <v/>
      </c>
      <c r="D2752" s="46">
        <f>'Change Orders'!T717</f>
        <v/>
      </c>
      <c r="E2752" s="46">
        <f>IF(OR(B2752="",C2752="",D2752=""),"",D2752*100000+(C2752-DATE(2000,1,1))+ROW()/100000)</f>
        <v/>
      </c>
      <c r="F2752" s="46">
        <f>IF(E2752="","",IF(C2752&gt;WeekEndDate,"",E2752))</f>
        <v/>
      </c>
    </row>
    <row r="2753">
      <c r="A2753" t="inlineStr">
        <is>
          <t>Change Orders</t>
        </is>
      </c>
      <c r="B2753" s="46">
        <f>'Change Orders'!U718</f>
        <v/>
      </c>
      <c r="C2753" s="84">
        <f>'Change Orders'!S718</f>
        <v/>
      </c>
      <c r="D2753" s="46">
        <f>'Change Orders'!T718</f>
        <v/>
      </c>
      <c r="E2753" s="46">
        <f>IF(OR(B2753="",C2753="",D2753=""),"",D2753*100000+(C2753-DATE(2000,1,1))+ROW()/100000)</f>
        <v/>
      </c>
      <c r="F2753" s="46">
        <f>IF(E2753="","",IF(C2753&gt;WeekEndDate,"",E2753))</f>
        <v/>
      </c>
    </row>
    <row r="2754">
      <c r="A2754" t="inlineStr">
        <is>
          <t>Change Orders</t>
        </is>
      </c>
      <c r="B2754" s="46">
        <f>'Change Orders'!U719</f>
        <v/>
      </c>
      <c r="C2754" s="84">
        <f>'Change Orders'!S719</f>
        <v/>
      </c>
      <c r="D2754" s="46">
        <f>'Change Orders'!T719</f>
        <v/>
      </c>
      <c r="E2754" s="46">
        <f>IF(OR(B2754="",C2754="",D2754=""),"",D2754*100000+(C2754-DATE(2000,1,1))+ROW()/100000)</f>
        <v/>
      </c>
      <c r="F2754" s="46">
        <f>IF(E2754="","",IF(C2754&gt;WeekEndDate,"",E2754))</f>
        <v/>
      </c>
    </row>
    <row r="2755">
      <c r="A2755" t="inlineStr">
        <is>
          <t>Change Orders</t>
        </is>
      </c>
      <c r="B2755" s="46">
        <f>'Change Orders'!U720</f>
        <v/>
      </c>
      <c r="C2755" s="84">
        <f>'Change Orders'!S720</f>
        <v/>
      </c>
      <c r="D2755" s="46">
        <f>'Change Orders'!T720</f>
        <v/>
      </c>
      <c r="E2755" s="46">
        <f>IF(OR(B2755="",C2755="",D2755=""),"",D2755*100000+(C2755-DATE(2000,1,1))+ROW()/100000)</f>
        <v/>
      </c>
      <c r="F2755" s="46">
        <f>IF(E2755="","",IF(C2755&gt;WeekEndDate,"",E2755))</f>
        <v/>
      </c>
    </row>
    <row r="2756">
      <c r="A2756" t="inlineStr">
        <is>
          <t>Change Orders</t>
        </is>
      </c>
      <c r="B2756" s="46">
        <f>'Change Orders'!U721</f>
        <v/>
      </c>
      <c r="C2756" s="84">
        <f>'Change Orders'!S721</f>
        <v/>
      </c>
      <c r="D2756" s="46">
        <f>'Change Orders'!T721</f>
        <v/>
      </c>
      <c r="E2756" s="46">
        <f>IF(OR(B2756="",C2756="",D2756=""),"",D2756*100000+(C2756-DATE(2000,1,1))+ROW()/100000)</f>
        <v/>
      </c>
      <c r="F2756" s="46">
        <f>IF(E2756="","",IF(C2756&gt;WeekEndDate,"",E2756))</f>
        <v/>
      </c>
    </row>
    <row r="2757">
      <c r="A2757" t="inlineStr">
        <is>
          <t>Change Orders</t>
        </is>
      </c>
      <c r="B2757" s="46">
        <f>'Change Orders'!U722</f>
        <v/>
      </c>
      <c r="C2757" s="84">
        <f>'Change Orders'!S722</f>
        <v/>
      </c>
      <c r="D2757" s="46">
        <f>'Change Orders'!T722</f>
        <v/>
      </c>
      <c r="E2757" s="46">
        <f>IF(OR(B2757="",C2757="",D2757=""),"",D2757*100000+(C2757-DATE(2000,1,1))+ROW()/100000)</f>
        <v/>
      </c>
      <c r="F2757" s="46">
        <f>IF(E2757="","",IF(C2757&gt;WeekEndDate,"",E2757))</f>
        <v/>
      </c>
    </row>
    <row r="2758">
      <c r="A2758" t="inlineStr">
        <is>
          <t>Change Orders</t>
        </is>
      </c>
      <c r="B2758" s="46">
        <f>'Change Orders'!U723</f>
        <v/>
      </c>
      <c r="C2758" s="84">
        <f>'Change Orders'!S723</f>
        <v/>
      </c>
      <c r="D2758" s="46">
        <f>'Change Orders'!T723</f>
        <v/>
      </c>
      <c r="E2758" s="46">
        <f>IF(OR(B2758="",C2758="",D2758=""),"",D2758*100000+(C2758-DATE(2000,1,1))+ROW()/100000)</f>
        <v/>
      </c>
      <c r="F2758" s="46">
        <f>IF(E2758="","",IF(C2758&gt;WeekEndDate,"",E2758))</f>
        <v/>
      </c>
    </row>
    <row r="2759">
      <c r="A2759" t="inlineStr">
        <is>
          <t>Change Orders</t>
        </is>
      </c>
      <c r="B2759" s="46">
        <f>'Change Orders'!U724</f>
        <v/>
      </c>
      <c r="C2759" s="84">
        <f>'Change Orders'!S724</f>
        <v/>
      </c>
      <c r="D2759" s="46">
        <f>'Change Orders'!T724</f>
        <v/>
      </c>
      <c r="E2759" s="46">
        <f>IF(OR(B2759="",C2759="",D2759=""),"",D2759*100000+(C2759-DATE(2000,1,1))+ROW()/100000)</f>
        <v/>
      </c>
      <c r="F2759" s="46">
        <f>IF(E2759="","",IF(C2759&gt;WeekEndDate,"",E2759))</f>
        <v/>
      </c>
    </row>
    <row r="2760">
      <c r="A2760" t="inlineStr">
        <is>
          <t>Change Orders</t>
        </is>
      </c>
      <c r="B2760" s="46">
        <f>'Change Orders'!U725</f>
        <v/>
      </c>
      <c r="C2760" s="84">
        <f>'Change Orders'!S725</f>
        <v/>
      </c>
      <c r="D2760" s="46">
        <f>'Change Orders'!T725</f>
        <v/>
      </c>
      <c r="E2760" s="46">
        <f>IF(OR(B2760="",C2760="",D2760=""),"",D2760*100000+(C2760-DATE(2000,1,1))+ROW()/100000)</f>
        <v/>
      </c>
      <c r="F2760" s="46">
        <f>IF(E2760="","",IF(C2760&gt;WeekEndDate,"",E2760))</f>
        <v/>
      </c>
    </row>
    <row r="2761">
      <c r="A2761" t="inlineStr">
        <is>
          <t>Change Orders</t>
        </is>
      </c>
      <c r="B2761" s="46">
        <f>'Change Orders'!U726</f>
        <v/>
      </c>
      <c r="C2761" s="84">
        <f>'Change Orders'!S726</f>
        <v/>
      </c>
      <c r="D2761" s="46">
        <f>'Change Orders'!T726</f>
        <v/>
      </c>
      <c r="E2761" s="46">
        <f>IF(OR(B2761="",C2761="",D2761=""),"",D2761*100000+(C2761-DATE(2000,1,1))+ROW()/100000)</f>
        <v/>
      </c>
      <c r="F2761" s="46">
        <f>IF(E2761="","",IF(C2761&gt;WeekEndDate,"",E2761))</f>
        <v/>
      </c>
    </row>
    <row r="2762">
      <c r="A2762" t="inlineStr">
        <is>
          <t>Change Orders</t>
        </is>
      </c>
      <c r="B2762" s="46">
        <f>'Change Orders'!U727</f>
        <v/>
      </c>
      <c r="C2762" s="84">
        <f>'Change Orders'!S727</f>
        <v/>
      </c>
      <c r="D2762" s="46">
        <f>'Change Orders'!T727</f>
        <v/>
      </c>
      <c r="E2762" s="46">
        <f>IF(OR(B2762="",C2762="",D2762=""),"",D2762*100000+(C2762-DATE(2000,1,1))+ROW()/100000)</f>
        <v/>
      </c>
      <c r="F2762" s="46">
        <f>IF(E2762="","",IF(C2762&gt;WeekEndDate,"",E2762))</f>
        <v/>
      </c>
    </row>
    <row r="2763">
      <c r="A2763" t="inlineStr">
        <is>
          <t>Change Orders</t>
        </is>
      </c>
      <c r="B2763" s="46">
        <f>'Change Orders'!U728</f>
        <v/>
      </c>
      <c r="C2763" s="84">
        <f>'Change Orders'!S728</f>
        <v/>
      </c>
      <c r="D2763" s="46">
        <f>'Change Orders'!T728</f>
        <v/>
      </c>
      <c r="E2763" s="46">
        <f>IF(OR(B2763="",C2763="",D2763=""),"",D2763*100000+(C2763-DATE(2000,1,1))+ROW()/100000)</f>
        <v/>
      </c>
      <c r="F2763" s="46">
        <f>IF(E2763="","",IF(C2763&gt;WeekEndDate,"",E2763))</f>
        <v/>
      </c>
    </row>
    <row r="2764">
      <c r="A2764" t="inlineStr">
        <is>
          <t>Change Orders</t>
        </is>
      </c>
      <c r="B2764" s="46">
        <f>'Change Orders'!U729</f>
        <v/>
      </c>
      <c r="C2764" s="84">
        <f>'Change Orders'!S729</f>
        <v/>
      </c>
      <c r="D2764" s="46">
        <f>'Change Orders'!T729</f>
        <v/>
      </c>
      <c r="E2764" s="46">
        <f>IF(OR(B2764="",C2764="",D2764=""),"",D2764*100000+(C2764-DATE(2000,1,1))+ROW()/100000)</f>
        <v/>
      </c>
      <c r="F2764" s="46">
        <f>IF(E2764="","",IF(C2764&gt;WeekEndDate,"",E2764))</f>
        <v/>
      </c>
    </row>
    <row r="2765">
      <c r="A2765" t="inlineStr">
        <is>
          <t>Change Orders</t>
        </is>
      </c>
      <c r="B2765" s="46">
        <f>'Change Orders'!U730</f>
        <v/>
      </c>
      <c r="C2765" s="84">
        <f>'Change Orders'!S730</f>
        <v/>
      </c>
      <c r="D2765" s="46">
        <f>'Change Orders'!T730</f>
        <v/>
      </c>
      <c r="E2765" s="46">
        <f>IF(OR(B2765="",C2765="",D2765=""),"",D2765*100000+(C2765-DATE(2000,1,1))+ROW()/100000)</f>
        <v/>
      </c>
      <c r="F2765" s="46">
        <f>IF(E2765="","",IF(C2765&gt;WeekEndDate,"",E2765))</f>
        <v/>
      </c>
    </row>
    <row r="2766">
      <c r="A2766" t="inlineStr">
        <is>
          <t>Change Orders</t>
        </is>
      </c>
      <c r="B2766" s="46">
        <f>'Change Orders'!U731</f>
        <v/>
      </c>
      <c r="C2766" s="84">
        <f>'Change Orders'!S731</f>
        <v/>
      </c>
      <c r="D2766" s="46">
        <f>'Change Orders'!T731</f>
        <v/>
      </c>
      <c r="E2766" s="46">
        <f>IF(OR(B2766="",C2766="",D2766=""),"",D2766*100000+(C2766-DATE(2000,1,1))+ROW()/100000)</f>
        <v/>
      </c>
      <c r="F2766" s="46">
        <f>IF(E2766="","",IF(C2766&gt;WeekEndDate,"",E2766))</f>
        <v/>
      </c>
    </row>
    <row r="2767">
      <c r="A2767" t="inlineStr">
        <is>
          <t>Change Orders</t>
        </is>
      </c>
      <c r="B2767" s="46">
        <f>'Change Orders'!U732</f>
        <v/>
      </c>
      <c r="C2767" s="84">
        <f>'Change Orders'!S732</f>
        <v/>
      </c>
      <c r="D2767" s="46">
        <f>'Change Orders'!T732</f>
        <v/>
      </c>
      <c r="E2767" s="46">
        <f>IF(OR(B2767="",C2767="",D2767=""),"",D2767*100000+(C2767-DATE(2000,1,1))+ROW()/100000)</f>
        <v/>
      </c>
      <c r="F2767" s="46">
        <f>IF(E2767="","",IF(C2767&gt;WeekEndDate,"",E2767))</f>
        <v/>
      </c>
    </row>
    <row r="2768">
      <c r="A2768" t="inlineStr">
        <is>
          <t>Change Orders</t>
        </is>
      </c>
      <c r="B2768" s="46">
        <f>'Change Orders'!U733</f>
        <v/>
      </c>
      <c r="C2768" s="84">
        <f>'Change Orders'!S733</f>
        <v/>
      </c>
      <c r="D2768" s="46">
        <f>'Change Orders'!T733</f>
        <v/>
      </c>
      <c r="E2768" s="46">
        <f>IF(OR(B2768="",C2768="",D2768=""),"",D2768*100000+(C2768-DATE(2000,1,1))+ROW()/100000)</f>
        <v/>
      </c>
      <c r="F2768" s="46">
        <f>IF(E2768="","",IF(C2768&gt;WeekEndDate,"",E2768))</f>
        <v/>
      </c>
    </row>
    <row r="2769">
      <c r="A2769" t="inlineStr">
        <is>
          <t>Change Orders</t>
        </is>
      </c>
      <c r="B2769" s="46">
        <f>'Change Orders'!U734</f>
        <v/>
      </c>
      <c r="C2769" s="84">
        <f>'Change Orders'!S734</f>
        <v/>
      </c>
      <c r="D2769" s="46">
        <f>'Change Orders'!T734</f>
        <v/>
      </c>
      <c r="E2769" s="46">
        <f>IF(OR(B2769="",C2769="",D2769=""),"",D2769*100000+(C2769-DATE(2000,1,1))+ROW()/100000)</f>
        <v/>
      </c>
      <c r="F2769" s="46">
        <f>IF(E2769="","",IF(C2769&gt;WeekEndDate,"",E2769))</f>
        <v/>
      </c>
    </row>
    <row r="2770">
      <c r="A2770" t="inlineStr">
        <is>
          <t>Change Orders</t>
        </is>
      </c>
      <c r="B2770" s="46">
        <f>'Change Orders'!U735</f>
        <v/>
      </c>
      <c r="C2770" s="84">
        <f>'Change Orders'!S735</f>
        <v/>
      </c>
      <c r="D2770" s="46">
        <f>'Change Orders'!T735</f>
        <v/>
      </c>
      <c r="E2770" s="46">
        <f>IF(OR(B2770="",C2770="",D2770=""),"",D2770*100000+(C2770-DATE(2000,1,1))+ROW()/100000)</f>
        <v/>
      </c>
      <c r="F2770" s="46">
        <f>IF(E2770="","",IF(C2770&gt;WeekEndDate,"",E2770))</f>
        <v/>
      </c>
    </row>
    <row r="2771">
      <c r="A2771" t="inlineStr">
        <is>
          <t>Change Orders</t>
        </is>
      </c>
      <c r="B2771" s="46">
        <f>'Change Orders'!U736</f>
        <v/>
      </c>
      <c r="C2771" s="84">
        <f>'Change Orders'!S736</f>
        <v/>
      </c>
      <c r="D2771" s="46">
        <f>'Change Orders'!T736</f>
        <v/>
      </c>
      <c r="E2771" s="46">
        <f>IF(OR(B2771="",C2771="",D2771=""),"",D2771*100000+(C2771-DATE(2000,1,1))+ROW()/100000)</f>
        <v/>
      </c>
      <c r="F2771" s="46">
        <f>IF(E2771="","",IF(C2771&gt;WeekEndDate,"",E2771))</f>
        <v/>
      </c>
    </row>
    <row r="2772">
      <c r="A2772" t="inlineStr">
        <is>
          <t>Change Orders</t>
        </is>
      </c>
      <c r="B2772" s="46">
        <f>'Change Orders'!U737</f>
        <v/>
      </c>
      <c r="C2772" s="84">
        <f>'Change Orders'!S737</f>
        <v/>
      </c>
      <c r="D2772" s="46">
        <f>'Change Orders'!T737</f>
        <v/>
      </c>
      <c r="E2772" s="46">
        <f>IF(OR(B2772="",C2772="",D2772=""),"",D2772*100000+(C2772-DATE(2000,1,1))+ROW()/100000)</f>
        <v/>
      </c>
      <c r="F2772" s="46">
        <f>IF(E2772="","",IF(C2772&gt;WeekEndDate,"",E2772))</f>
        <v/>
      </c>
    </row>
    <row r="2773">
      <c r="A2773" t="inlineStr">
        <is>
          <t>Change Orders</t>
        </is>
      </c>
      <c r="B2773" s="46">
        <f>'Change Orders'!U738</f>
        <v/>
      </c>
      <c r="C2773" s="84">
        <f>'Change Orders'!S738</f>
        <v/>
      </c>
      <c r="D2773" s="46">
        <f>'Change Orders'!T738</f>
        <v/>
      </c>
      <c r="E2773" s="46">
        <f>IF(OR(B2773="",C2773="",D2773=""),"",D2773*100000+(C2773-DATE(2000,1,1))+ROW()/100000)</f>
        <v/>
      </c>
      <c r="F2773" s="46">
        <f>IF(E2773="","",IF(C2773&gt;WeekEndDate,"",E2773))</f>
        <v/>
      </c>
    </row>
    <row r="2774">
      <c r="A2774" t="inlineStr">
        <is>
          <t>Change Orders</t>
        </is>
      </c>
      <c r="B2774" s="46">
        <f>'Change Orders'!U739</f>
        <v/>
      </c>
      <c r="C2774" s="84">
        <f>'Change Orders'!S739</f>
        <v/>
      </c>
      <c r="D2774" s="46">
        <f>'Change Orders'!T739</f>
        <v/>
      </c>
      <c r="E2774" s="46">
        <f>IF(OR(B2774="",C2774="",D2774=""),"",D2774*100000+(C2774-DATE(2000,1,1))+ROW()/100000)</f>
        <v/>
      </c>
      <c r="F2774" s="46">
        <f>IF(E2774="","",IF(C2774&gt;WeekEndDate,"",E2774))</f>
        <v/>
      </c>
    </row>
    <row r="2775">
      <c r="A2775" t="inlineStr">
        <is>
          <t>Change Orders</t>
        </is>
      </c>
      <c r="B2775" s="46">
        <f>'Change Orders'!U740</f>
        <v/>
      </c>
      <c r="C2775" s="84">
        <f>'Change Orders'!S740</f>
        <v/>
      </c>
      <c r="D2775" s="46">
        <f>'Change Orders'!T740</f>
        <v/>
      </c>
      <c r="E2775" s="46">
        <f>IF(OR(B2775="",C2775="",D2775=""),"",D2775*100000+(C2775-DATE(2000,1,1))+ROW()/100000)</f>
        <v/>
      </c>
      <c r="F2775" s="46">
        <f>IF(E2775="","",IF(C2775&gt;WeekEndDate,"",E2775))</f>
        <v/>
      </c>
    </row>
    <row r="2776">
      <c r="A2776" t="inlineStr">
        <is>
          <t>Change Orders</t>
        </is>
      </c>
      <c r="B2776" s="46">
        <f>'Change Orders'!U741</f>
        <v/>
      </c>
      <c r="C2776" s="84">
        <f>'Change Orders'!S741</f>
        <v/>
      </c>
      <c r="D2776" s="46">
        <f>'Change Orders'!T741</f>
        <v/>
      </c>
      <c r="E2776" s="46">
        <f>IF(OR(B2776="",C2776="",D2776=""),"",D2776*100000+(C2776-DATE(2000,1,1))+ROW()/100000)</f>
        <v/>
      </c>
      <c r="F2776" s="46">
        <f>IF(E2776="","",IF(C2776&gt;WeekEndDate,"",E2776))</f>
        <v/>
      </c>
    </row>
    <row r="2777">
      <c r="A2777" t="inlineStr">
        <is>
          <t>Change Orders</t>
        </is>
      </c>
      <c r="B2777" s="46">
        <f>'Change Orders'!U742</f>
        <v/>
      </c>
      <c r="C2777" s="84">
        <f>'Change Orders'!S742</f>
        <v/>
      </c>
      <c r="D2777" s="46">
        <f>'Change Orders'!T742</f>
        <v/>
      </c>
      <c r="E2777" s="46">
        <f>IF(OR(B2777="",C2777="",D2777=""),"",D2777*100000+(C2777-DATE(2000,1,1))+ROW()/100000)</f>
        <v/>
      </c>
      <c r="F2777" s="46">
        <f>IF(E2777="","",IF(C2777&gt;WeekEndDate,"",E2777))</f>
        <v/>
      </c>
    </row>
    <row r="2778">
      <c r="A2778" t="inlineStr">
        <is>
          <t>Change Orders</t>
        </is>
      </c>
      <c r="B2778" s="46">
        <f>'Change Orders'!U743</f>
        <v/>
      </c>
      <c r="C2778" s="84">
        <f>'Change Orders'!S743</f>
        <v/>
      </c>
      <c r="D2778" s="46">
        <f>'Change Orders'!T743</f>
        <v/>
      </c>
      <c r="E2778" s="46">
        <f>IF(OR(B2778="",C2778="",D2778=""),"",D2778*100000+(C2778-DATE(2000,1,1))+ROW()/100000)</f>
        <v/>
      </c>
      <c r="F2778" s="46">
        <f>IF(E2778="","",IF(C2778&gt;WeekEndDate,"",E2778))</f>
        <v/>
      </c>
    </row>
    <row r="2779">
      <c r="A2779" t="inlineStr">
        <is>
          <t>Change Orders</t>
        </is>
      </c>
      <c r="B2779" s="46">
        <f>'Change Orders'!U744</f>
        <v/>
      </c>
      <c r="C2779" s="84">
        <f>'Change Orders'!S744</f>
        <v/>
      </c>
      <c r="D2779" s="46">
        <f>'Change Orders'!T744</f>
        <v/>
      </c>
      <c r="E2779" s="46">
        <f>IF(OR(B2779="",C2779="",D2779=""),"",D2779*100000+(C2779-DATE(2000,1,1))+ROW()/100000)</f>
        <v/>
      </c>
      <c r="F2779" s="46">
        <f>IF(E2779="","",IF(C2779&gt;WeekEndDate,"",E2779))</f>
        <v/>
      </c>
    </row>
    <row r="2780">
      <c r="A2780" t="inlineStr">
        <is>
          <t>Change Orders</t>
        </is>
      </c>
      <c r="B2780" s="46">
        <f>'Change Orders'!U745</f>
        <v/>
      </c>
      <c r="C2780" s="84">
        <f>'Change Orders'!S745</f>
        <v/>
      </c>
      <c r="D2780" s="46">
        <f>'Change Orders'!T745</f>
        <v/>
      </c>
      <c r="E2780" s="46">
        <f>IF(OR(B2780="",C2780="",D2780=""),"",D2780*100000+(C2780-DATE(2000,1,1))+ROW()/100000)</f>
        <v/>
      </c>
      <c r="F2780" s="46">
        <f>IF(E2780="","",IF(C2780&gt;WeekEndDate,"",E2780))</f>
        <v/>
      </c>
    </row>
    <row r="2781">
      <c r="A2781" t="inlineStr">
        <is>
          <t>Change Orders</t>
        </is>
      </c>
      <c r="B2781" s="46">
        <f>'Change Orders'!U746</f>
        <v/>
      </c>
      <c r="C2781" s="84">
        <f>'Change Orders'!S746</f>
        <v/>
      </c>
      <c r="D2781" s="46">
        <f>'Change Orders'!T746</f>
        <v/>
      </c>
      <c r="E2781" s="46">
        <f>IF(OR(B2781="",C2781="",D2781=""),"",D2781*100000+(C2781-DATE(2000,1,1))+ROW()/100000)</f>
        <v/>
      </c>
      <c r="F2781" s="46">
        <f>IF(E2781="","",IF(C2781&gt;WeekEndDate,"",E2781))</f>
        <v/>
      </c>
    </row>
    <row r="2782">
      <c r="A2782" t="inlineStr">
        <is>
          <t>Change Orders</t>
        </is>
      </c>
      <c r="B2782" s="46">
        <f>'Change Orders'!U747</f>
        <v/>
      </c>
      <c r="C2782" s="84">
        <f>'Change Orders'!S747</f>
        <v/>
      </c>
      <c r="D2782" s="46">
        <f>'Change Orders'!T747</f>
        <v/>
      </c>
      <c r="E2782" s="46">
        <f>IF(OR(B2782="",C2782="",D2782=""),"",D2782*100000+(C2782-DATE(2000,1,1))+ROW()/100000)</f>
        <v/>
      </c>
      <c r="F2782" s="46">
        <f>IF(E2782="","",IF(C2782&gt;WeekEndDate,"",E2782))</f>
        <v/>
      </c>
    </row>
    <row r="2783">
      <c r="A2783" t="inlineStr">
        <is>
          <t>Change Orders</t>
        </is>
      </c>
      <c r="B2783" s="46">
        <f>'Change Orders'!U748</f>
        <v/>
      </c>
      <c r="C2783" s="84">
        <f>'Change Orders'!S748</f>
        <v/>
      </c>
      <c r="D2783" s="46">
        <f>'Change Orders'!T748</f>
        <v/>
      </c>
      <c r="E2783" s="46">
        <f>IF(OR(B2783="",C2783="",D2783=""),"",D2783*100000+(C2783-DATE(2000,1,1))+ROW()/100000)</f>
        <v/>
      </c>
      <c r="F2783" s="46">
        <f>IF(E2783="","",IF(C2783&gt;WeekEndDate,"",E2783))</f>
        <v/>
      </c>
    </row>
    <row r="2784">
      <c r="A2784" t="inlineStr">
        <is>
          <t>Change Orders</t>
        </is>
      </c>
      <c r="B2784" s="46">
        <f>'Change Orders'!U749</f>
        <v/>
      </c>
      <c r="C2784" s="84">
        <f>'Change Orders'!S749</f>
        <v/>
      </c>
      <c r="D2784" s="46">
        <f>'Change Orders'!T749</f>
        <v/>
      </c>
      <c r="E2784" s="46">
        <f>IF(OR(B2784="",C2784="",D2784=""),"",D2784*100000+(C2784-DATE(2000,1,1))+ROW()/100000)</f>
        <v/>
      </c>
      <c r="F2784" s="46">
        <f>IF(E2784="","",IF(C2784&gt;WeekEndDate,"",E2784))</f>
        <v/>
      </c>
    </row>
    <row r="2785">
      <c r="A2785" t="inlineStr">
        <is>
          <t>Change Orders</t>
        </is>
      </c>
      <c r="B2785" s="46">
        <f>'Change Orders'!U750</f>
        <v/>
      </c>
      <c r="C2785" s="84">
        <f>'Change Orders'!S750</f>
        <v/>
      </c>
      <c r="D2785" s="46">
        <f>'Change Orders'!T750</f>
        <v/>
      </c>
      <c r="E2785" s="46">
        <f>IF(OR(B2785="",C2785="",D2785=""),"",D2785*100000+(C2785-DATE(2000,1,1))+ROW()/100000)</f>
        <v/>
      </c>
      <c r="F2785" s="46">
        <f>IF(E2785="","",IF(C2785&gt;WeekEndDate,"",E2785))</f>
        <v/>
      </c>
    </row>
    <row r="2786">
      <c r="A2786" t="inlineStr">
        <is>
          <t>Change Orders</t>
        </is>
      </c>
      <c r="B2786" s="46">
        <f>'Change Orders'!U751</f>
        <v/>
      </c>
      <c r="C2786" s="84">
        <f>'Change Orders'!S751</f>
        <v/>
      </c>
      <c r="D2786" s="46">
        <f>'Change Orders'!T751</f>
        <v/>
      </c>
      <c r="E2786" s="46">
        <f>IF(OR(B2786="",C2786="",D2786=""),"",D2786*100000+(C2786-DATE(2000,1,1))+ROW()/100000)</f>
        <v/>
      </c>
      <c r="F2786" s="46">
        <f>IF(E2786="","",IF(C2786&gt;WeekEndDate,"",E2786))</f>
        <v/>
      </c>
    </row>
    <row r="2787">
      <c r="A2787" t="inlineStr">
        <is>
          <t>Change Orders</t>
        </is>
      </c>
      <c r="B2787" s="46">
        <f>'Change Orders'!U752</f>
        <v/>
      </c>
      <c r="C2787" s="84">
        <f>'Change Orders'!S752</f>
        <v/>
      </c>
      <c r="D2787" s="46">
        <f>'Change Orders'!T752</f>
        <v/>
      </c>
      <c r="E2787" s="46">
        <f>IF(OR(B2787="",C2787="",D2787=""),"",D2787*100000+(C2787-DATE(2000,1,1))+ROW()/100000)</f>
        <v/>
      </c>
      <c r="F2787" s="46">
        <f>IF(E2787="","",IF(C2787&gt;WeekEndDate,"",E2787))</f>
        <v/>
      </c>
    </row>
    <row r="2788">
      <c r="A2788" t="inlineStr">
        <is>
          <t>Change Orders</t>
        </is>
      </c>
      <c r="B2788" s="46">
        <f>'Change Orders'!U753</f>
        <v/>
      </c>
      <c r="C2788" s="84">
        <f>'Change Orders'!S753</f>
        <v/>
      </c>
      <c r="D2788" s="46">
        <f>'Change Orders'!T753</f>
        <v/>
      </c>
      <c r="E2788" s="46">
        <f>IF(OR(B2788="",C2788="",D2788=""),"",D2788*100000+(C2788-DATE(2000,1,1))+ROW()/100000)</f>
        <v/>
      </c>
      <c r="F2788" s="46">
        <f>IF(E2788="","",IF(C2788&gt;WeekEndDate,"",E2788))</f>
        <v/>
      </c>
    </row>
    <row r="2789">
      <c r="A2789" t="inlineStr">
        <is>
          <t>Change Orders</t>
        </is>
      </c>
      <c r="B2789" s="46">
        <f>'Change Orders'!U754</f>
        <v/>
      </c>
      <c r="C2789" s="84">
        <f>'Change Orders'!S754</f>
        <v/>
      </c>
      <c r="D2789" s="46">
        <f>'Change Orders'!T754</f>
        <v/>
      </c>
      <c r="E2789" s="46">
        <f>IF(OR(B2789="",C2789="",D2789=""),"",D2789*100000+(C2789-DATE(2000,1,1))+ROW()/100000)</f>
        <v/>
      </c>
      <c r="F2789" s="46">
        <f>IF(E2789="","",IF(C2789&gt;WeekEndDate,"",E2789))</f>
        <v/>
      </c>
    </row>
    <row r="2790">
      <c r="A2790" t="inlineStr">
        <is>
          <t>Change Orders</t>
        </is>
      </c>
      <c r="B2790" s="46">
        <f>'Change Orders'!U755</f>
        <v/>
      </c>
      <c r="C2790" s="84">
        <f>'Change Orders'!S755</f>
        <v/>
      </c>
      <c r="D2790" s="46">
        <f>'Change Orders'!T755</f>
        <v/>
      </c>
      <c r="E2790" s="46">
        <f>IF(OR(B2790="",C2790="",D2790=""),"",D2790*100000+(C2790-DATE(2000,1,1))+ROW()/100000)</f>
        <v/>
      </c>
      <c r="F2790" s="46">
        <f>IF(E2790="","",IF(C2790&gt;WeekEndDate,"",E2790))</f>
        <v/>
      </c>
    </row>
    <row r="2791">
      <c r="A2791" t="inlineStr">
        <is>
          <t>Change Orders</t>
        </is>
      </c>
      <c r="B2791" s="46">
        <f>'Change Orders'!U756</f>
        <v/>
      </c>
      <c r="C2791" s="84">
        <f>'Change Orders'!S756</f>
        <v/>
      </c>
      <c r="D2791" s="46">
        <f>'Change Orders'!T756</f>
        <v/>
      </c>
      <c r="E2791" s="46">
        <f>IF(OR(B2791="",C2791="",D2791=""),"",D2791*100000+(C2791-DATE(2000,1,1))+ROW()/100000)</f>
        <v/>
      </c>
      <c r="F2791" s="46">
        <f>IF(E2791="","",IF(C2791&gt;WeekEndDate,"",E2791))</f>
        <v/>
      </c>
    </row>
    <row r="2792">
      <c r="A2792" t="inlineStr">
        <is>
          <t>Change Orders</t>
        </is>
      </c>
      <c r="B2792" s="46">
        <f>'Change Orders'!U757</f>
        <v/>
      </c>
      <c r="C2792" s="84">
        <f>'Change Orders'!S757</f>
        <v/>
      </c>
      <c r="D2792" s="46">
        <f>'Change Orders'!T757</f>
        <v/>
      </c>
      <c r="E2792" s="46">
        <f>IF(OR(B2792="",C2792="",D2792=""),"",D2792*100000+(C2792-DATE(2000,1,1))+ROW()/100000)</f>
        <v/>
      </c>
      <c r="F2792" s="46">
        <f>IF(E2792="","",IF(C2792&gt;WeekEndDate,"",E2792))</f>
        <v/>
      </c>
    </row>
    <row r="2793">
      <c r="A2793" t="inlineStr">
        <is>
          <t>Change Orders</t>
        </is>
      </c>
      <c r="B2793" s="46">
        <f>'Change Orders'!U758</f>
        <v/>
      </c>
      <c r="C2793" s="84">
        <f>'Change Orders'!S758</f>
        <v/>
      </c>
      <c r="D2793" s="46">
        <f>'Change Orders'!T758</f>
        <v/>
      </c>
      <c r="E2793" s="46">
        <f>IF(OR(B2793="",C2793="",D2793=""),"",D2793*100000+(C2793-DATE(2000,1,1))+ROW()/100000)</f>
        <v/>
      </c>
      <c r="F2793" s="46">
        <f>IF(E2793="","",IF(C2793&gt;WeekEndDate,"",E2793))</f>
        <v/>
      </c>
    </row>
    <row r="2794">
      <c r="A2794" t="inlineStr">
        <is>
          <t>Change Orders</t>
        </is>
      </c>
      <c r="B2794" s="46">
        <f>'Change Orders'!U759</f>
        <v/>
      </c>
      <c r="C2794" s="84">
        <f>'Change Orders'!S759</f>
        <v/>
      </c>
      <c r="D2794" s="46">
        <f>'Change Orders'!T759</f>
        <v/>
      </c>
      <c r="E2794" s="46">
        <f>IF(OR(B2794="",C2794="",D2794=""),"",D2794*100000+(C2794-DATE(2000,1,1))+ROW()/100000)</f>
        <v/>
      </c>
      <c r="F2794" s="46">
        <f>IF(E2794="","",IF(C2794&gt;WeekEndDate,"",E2794))</f>
        <v/>
      </c>
    </row>
    <row r="2795">
      <c r="A2795" t="inlineStr">
        <is>
          <t>Change Orders</t>
        </is>
      </c>
      <c r="B2795" s="46">
        <f>'Change Orders'!U760</f>
        <v/>
      </c>
      <c r="C2795" s="84">
        <f>'Change Orders'!S760</f>
        <v/>
      </c>
      <c r="D2795" s="46">
        <f>'Change Orders'!T760</f>
        <v/>
      </c>
      <c r="E2795" s="46">
        <f>IF(OR(B2795="",C2795="",D2795=""),"",D2795*100000+(C2795-DATE(2000,1,1))+ROW()/100000)</f>
        <v/>
      </c>
      <c r="F2795" s="46">
        <f>IF(E2795="","",IF(C2795&gt;WeekEndDate,"",E2795))</f>
        <v/>
      </c>
    </row>
    <row r="2796">
      <c r="A2796" t="inlineStr">
        <is>
          <t>Change Orders</t>
        </is>
      </c>
      <c r="B2796" s="46">
        <f>'Change Orders'!U761</f>
        <v/>
      </c>
      <c r="C2796" s="84">
        <f>'Change Orders'!S761</f>
        <v/>
      </c>
      <c r="D2796" s="46">
        <f>'Change Orders'!T761</f>
        <v/>
      </c>
      <c r="E2796" s="46">
        <f>IF(OR(B2796="",C2796="",D2796=""),"",D2796*100000+(C2796-DATE(2000,1,1))+ROW()/100000)</f>
        <v/>
      </c>
      <c r="F2796" s="46">
        <f>IF(E2796="","",IF(C2796&gt;WeekEndDate,"",E2796))</f>
        <v/>
      </c>
    </row>
    <row r="2797">
      <c r="A2797" t="inlineStr">
        <is>
          <t>Change Orders</t>
        </is>
      </c>
      <c r="B2797" s="46">
        <f>'Change Orders'!U762</f>
        <v/>
      </c>
      <c r="C2797" s="84">
        <f>'Change Orders'!S762</f>
        <v/>
      </c>
      <c r="D2797" s="46">
        <f>'Change Orders'!T762</f>
        <v/>
      </c>
      <c r="E2797" s="46">
        <f>IF(OR(B2797="",C2797="",D2797=""),"",D2797*100000+(C2797-DATE(2000,1,1))+ROW()/100000)</f>
        <v/>
      </c>
      <c r="F2797" s="46">
        <f>IF(E2797="","",IF(C2797&gt;WeekEndDate,"",E2797))</f>
        <v/>
      </c>
    </row>
    <row r="2798">
      <c r="A2798" t="inlineStr">
        <is>
          <t>Change Orders</t>
        </is>
      </c>
      <c r="B2798" s="46">
        <f>'Change Orders'!U763</f>
        <v/>
      </c>
      <c r="C2798" s="84">
        <f>'Change Orders'!S763</f>
        <v/>
      </c>
      <c r="D2798" s="46">
        <f>'Change Orders'!T763</f>
        <v/>
      </c>
      <c r="E2798" s="46">
        <f>IF(OR(B2798="",C2798="",D2798=""),"",D2798*100000+(C2798-DATE(2000,1,1))+ROW()/100000)</f>
        <v/>
      </c>
      <c r="F2798" s="46">
        <f>IF(E2798="","",IF(C2798&gt;WeekEndDate,"",E2798))</f>
        <v/>
      </c>
    </row>
    <row r="2799">
      <c r="A2799" t="inlineStr">
        <is>
          <t>Change Orders</t>
        </is>
      </c>
      <c r="B2799" s="46">
        <f>'Change Orders'!U764</f>
        <v/>
      </c>
      <c r="C2799" s="84">
        <f>'Change Orders'!S764</f>
        <v/>
      </c>
      <c r="D2799" s="46">
        <f>'Change Orders'!T764</f>
        <v/>
      </c>
      <c r="E2799" s="46">
        <f>IF(OR(B2799="",C2799="",D2799=""),"",D2799*100000+(C2799-DATE(2000,1,1))+ROW()/100000)</f>
        <v/>
      </c>
      <c r="F2799" s="46">
        <f>IF(E2799="","",IF(C2799&gt;WeekEndDate,"",E2799))</f>
        <v/>
      </c>
    </row>
    <row r="2800">
      <c r="A2800" t="inlineStr">
        <is>
          <t>Change Orders</t>
        </is>
      </c>
      <c r="B2800" s="46">
        <f>'Change Orders'!U765</f>
        <v/>
      </c>
      <c r="C2800" s="84">
        <f>'Change Orders'!S765</f>
        <v/>
      </c>
      <c r="D2800" s="46">
        <f>'Change Orders'!T765</f>
        <v/>
      </c>
      <c r="E2800" s="46">
        <f>IF(OR(B2800="",C2800="",D2800=""),"",D2800*100000+(C2800-DATE(2000,1,1))+ROW()/100000)</f>
        <v/>
      </c>
      <c r="F2800" s="46">
        <f>IF(E2800="","",IF(C2800&gt;WeekEndDate,"",E2800))</f>
        <v/>
      </c>
    </row>
    <row r="2801">
      <c r="A2801" t="inlineStr">
        <is>
          <t>Change Orders</t>
        </is>
      </c>
      <c r="B2801" s="46">
        <f>'Change Orders'!U766</f>
        <v/>
      </c>
      <c r="C2801" s="84">
        <f>'Change Orders'!S766</f>
        <v/>
      </c>
      <c r="D2801" s="46">
        <f>'Change Orders'!T766</f>
        <v/>
      </c>
      <c r="E2801" s="46">
        <f>IF(OR(B2801="",C2801="",D2801=""),"",D2801*100000+(C2801-DATE(2000,1,1))+ROW()/100000)</f>
        <v/>
      </c>
      <c r="F2801" s="46">
        <f>IF(E2801="","",IF(C2801&gt;WeekEndDate,"",E2801))</f>
        <v/>
      </c>
    </row>
    <row r="2802">
      <c r="A2802" t="inlineStr">
        <is>
          <t>Change Orders</t>
        </is>
      </c>
      <c r="B2802" s="46">
        <f>'Change Orders'!U767</f>
        <v/>
      </c>
      <c r="C2802" s="84">
        <f>'Change Orders'!S767</f>
        <v/>
      </c>
      <c r="D2802" s="46">
        <f>'Change Orders'!T767</f>
        <v/>
      </c>
      <c r="E2802" s="46">
        <f>IF(OR(B2802="",C2802="",D2802=""),"",D2802*100000+(C2802-DATE(2000,1,1))+ROW()/100000)</f>
        <v/>
      </c>
      <c r="F2802" s="46">
        <f>IF(E2802="","",IF(C2802&gt;WeekEndDate,"",E2802))</f>
        <v/>
      </c>
    </row>
    <row r="2803">
      <c r="A2803" t="inlineStr">
        <is>
          <t>Change Orders</t>
        </is>
      </c>
      <c r="B2803" s="46">
        <f>'Change Orders'!U768</f>
        <v/>
      </c>
      <c r="C2803" s="84">
        <f>'Change Orders'!S768</f>
        <v/>
      </c>
      <c r="D2803" s="46">
        <f>'Change Orders'!T768</f>
        <v/>
      </c>
      <c r="E2803" s="46">
        <f>IF(OR(B2803="",C2803="",D2803=""),"",D2803*100000+(C2803-DATE(2000,1,1))+ROW()/100000)</f>
        <v/>
      </c>
      <c r="F2803" s="46">
        <f>IF(E2803="","",IF(C2803&gt;WeekEndDate,"",E2803))</f>
        <v/>
      </c>
    </row>
    <row r="2804">
      <c r="A2804" t="inlineStr">
        <is>
          <t>Change Orders</t>
        </is>
      </c>
      <c r="B2804" s="46">
        <f>'Change Orders'!U769</f>
        <v/>
      </c>
      <c r="C2804" s="84">
        <f>'Change Orders'!S769</f>
        <v/>
      </c>
      <c r="D2804" s="46">
        <f>'Change Orders'!T769</f>
        <v/>
      </c>
      <c r="E2804" s="46">
        <f>IF(OR(B2804="",C2804="",D2804=""),"",D2804*100000+(C2804-DATE(2000,1,1))+ROW()/100000)</f>
        <v/>
      </c>
      <c r="F2804" s="46">
        <f>IF(E2804="","",IF(C2804&gt;WeekEndDate,"",E2804))</f>
        <v/>
      </c>
    </row>
    <row r="2805">
      <c r="A2805" t="inlineStr">
        <is>
          <t>Change Orders</t>
        </is>
      </c>
      <c r="B2805" s="46">
        <f>'Change Orders'!U770</f>
        <v/>
      </c>
      <c r="C2805" s="84">
        <f>'Change Orders'!S770</f>
        <v/>
      </c>
      <c r="D2805" s="46">
        <f>'Change Orders'!T770</f>
        <v/>
      </c>
      <c r="E2805" s="46">
        <f>IF(OR(B2805="",C2805="",D2805=""),"",D2805*100000+(C2805-DATE(2000,1,1))+ROW()/100000)</f>
        <v/>
      </c>
      <c r="F2805" s="46">
        <f>IF(E2805="","",IF(C2805&gt;WeekEndDate,"",E2805))</f>
        <v/>
      </c>
    </row>
    <row r="2806">
      <c r="A2806" t="inlineStr">
        <is>
          <t>Change Orders</t>
        </is>
      </c>
      <c r="B2806" s="46">
        <f>'Change Orders'!U771</f>
        <v/>
      </c>
      <c r="C2806" s="84">
        <f>'Change Orders'!S771</f>
        <v/>
      </c>
      <c r="D2806" s="46">
        <f>'Change Orders'!T771</f>
        <v/>
      </c>
      <c r="E2806" s="46">
        <f>IF(OR(B2806="",C2806="",D2806=""),"",D2806*100000+(C2806-DATE(2000,1,1))+ROW()/100000)</f>
        <v/>
      </c>
      <c r="F2806" s="46">
        <f>IF(E2806="","",IF(C2806&gt;WeekEndDate,"",E2806))</f>
        <v/>
      </c>
    </row>
    <row r="2807">
      <c r="A2807" t="inlineStr">
        <is>
          <t>Change Orders</t>
        </is>
      </c>
      <c r="B2807" s="46">
        <f>'Change Orders'!U772</f>
        <v/>
      </c>
      <c r="C2807" s="84">
        <f>'Change Orders'!S772</f>
        <v/>
      </c>
      <c r="D2807" s="46">
        <f>'Change Orders'!T772</f>
        <v/>
      </c>
      <c r="E2807" s="46">
        <f>IF(OR(B2807="",C2807="",D2807=""),"",D2807*100000+(C2807-DATE(2000,1,1))+ROW()/100000)</f>
        <v/>
      </c>
      <c r="F2807" s="46">
        <f>IF(E2807="","",IF(C2807&gt;WeekEndDate,"",E2807))</f>
        <v/>
      </c>
    </row>
    <row r="2808">
      <c r="A2808" t="inlineStr">
        <is>
          <t>Change Orders</t>
        </is>
      </c>
      <c r="B2808" s="46">
        <f>'Change Orders'!U773</f>
        <v/>
      </c>
      <c r="C2808" s="84">
        <f>'Change Orders'!S773</f>
        <v/>
      </c>
      <c r="D2808" s="46">
        <f>'Change Orders'!T773</f>
        <v/>
      </c>
      <c r="E2808" s="46">
        <f>IF(OR(B2808="",C2808="",D2808=""),"",D2808*100000+(C2808-DATE(2000,1,1))+ROW()/100000)</f>
        <v/>
      </c>
      <c r="F2808" s="46">
        <f>IF(E2808="","",IF(C2808&gt;WeekEndDate,"",E2808))</f>
        <v/>
      </c>
    </row>
    <row r="2809">
      <c r="A2809" t="inlineStr">
        <is>
          <t>Change Orders</t>
        </is>
      </c>
      <c r="B2809" s="46">
        <f>'Change Orders'!U774</f>
        <v/>
      </c>
      <c r="C2809" s="84">
        <f>'Change Orders'!S774</f>
        <v/>
      </c>
      <c r="D2809" s="46">
        <f>'Change Orders'!T774</f>
        <v/>
      </c>
      <c r="E2809" s="46">
        <f>IF(OR(B2809="",C2809="",D2809=""),"",D2809*100000+(C2809-DATE(2000,1,1))+ROW()/100000)</f>
        <v/>
      </c>
      <c r="F2809" s="46">
        <f>IF(E2809="","",IF(C2809&gt;WeekEndDate,"",E2809))</f>
        <v/>
      </c>
    </row>
    <row r="2810">
      <c r="A2810" t="inlineStr">
        <is>
          <t>Change Orders</t>
        </is>
      </c>
      <c r="B2810" s="46">
        <f>'Change Orders'!U775</f>
        <v/>
      </c>
      <c r="C2810" s="84">
        <f>'Change Orders'!S775</f>
        <v/>
      </c>
      <c r="D2810" s="46">
        <f>'Change Orders'!T775</f>
        <v/>
      </c>
      <c r="E2810" s="46">
        <f>IF(OR(B2810="",C2810="",D2810=""),"",D2810*100000+(C2810-DATE(2000,1,1))+ROW()/100000)</f>
        <v/>
      </c>
      <c r="F2810" s="46">
        <f>IF(E2810="","",IF(C2810&gt;WeekEndDate,"",E2810))</f>
        <v/>
      </c>
    </row>
    <row r="2811">
      <c r="A2811" t="inlineStr">
        <is>
          <t>Change Orders</t>
        </is>
      </c>
      <c r="B2811" s="46">
        <f>'Change Orders'!U776</f>
        <v/>
      </c>
      <c r="C2811" s="84">
        <f>'Change Orders'!S776</f>
        <v/>
      </c>
      <c r="D2811" s="46">
        <f>'Change Orders'!T776</f>
        <v/>
      </c>
      <c r="E2811" s="46">
        <f>IF(OR(B2811="",C2811="",D2811=""),"",D2811*100000+(C2811-DATE(2000,1,1))+ROW()/100000)</f>
        <v/>
      </c>
      <c r="F2811" s="46">
        <f>IF(E2811="","",IF(C2811&gt;WeekEndDate,"",E2811))</f>
        <v/>
      </c>
    </row>
    <row r="2812">
      <c r="A2812" t="inlineStr">
        <is>
          <t>Change Orders</t>
        </is>
      </c>
      <c r="B2812" s="46">
        <f>'Change Orders'!U777</f>
        <v/>
      </c>
      <c r="C2812" s="84">
        <f>'Change Orders'!S777</f>
        <v/>
      </c>
      <c r="D2812" s="46">
        <f>'Change Orders'!T777</f>
        <v/>
      </c>
      <c r="E2812" s="46">
        <f>IF(OR(B2812="",C2812="",D2812=""),"",D2812*100000+(C2812-DATE(2000,1,1))+ROW()/100000)</f>
        <v/>
      </c>
      <c r="F2812" s="46">
        <f>IF(E2812="","",IF(C2812&gt;WeekEndDate,"",E2812))</f>
        <v/>
      </c>
    </row>
    <row r="2813">
      <c r="A2813" t="inlineStr">
        <is>
          <t>Change Orders</t>
        </is>
      </c>
      <c r="B2813" s="46">
        <f>'Change Orders'!U778</f>
        <v/>
      </c>
      <c r="C2813" s="84">
        <f>'Change Orders'!S778</f>
        <v/>
      </c>
      <c r="D2813" s="46">
        <f>'Change Orders'!T778</f>
        <v/>
      </c>
      <c r="E2813" s="46">
        <f>IF(OR(B2813="",C2813="",D2813=""),"",D2813*100000+(C2813-DATE(2000,1,1))+ROW()/100000)</f>
        <v/>
      </c>
      <c r="F2813" s="46">
        <f>IF(E2813="","",IF(C2813&gt;WeekEndDate,"",E2813))</f>
        <v/>
      </c>
    </row>
    <row r="2814">
      <c r="A2814" t="inlineStr">
        <is>
          <t>Change Orders</t>
        </is>
      </c>
      <c r="B2814" s="46">
        <f>'Change Orders'!U779</f>
        <v/>
      </c>
      <c r="C2814" s="84">
        <f>'Change Orders'!S779</f>
        <v/>
      </c>
      <c r="D2814" s="46">
        <f>'Change Orders'!T779</f>
        <v/>
      </c>
      <c r="E2814" s="46">
        <f>IF(OR(B2814="",C2814="",D2814=""),"",D2814*100000+(C2814-DATE(2000,1,1))+ROW()/100000)</f>
        <v/>
      </c>
      <c r="F2814" s="46">
        <f>IF(E2814="","",IF(C2814&gt;WeekEndDate,"",E2814))</f>
        <v/>
      </c>
    </row>
    <row r="2815">
      <c r="A2815" t="inlineStr">
        <is>
          <t>Change Orders</t>
        </is>
      </c>
      <c r="B2815" s="46">
        <f>'Change Orders'!U780</f>
        <v/>
      </c>
      <c r="C2815" s="84">
        <f>'Change Orders'!S780</f>
        <v/>
      </c>
      <c r="D2815" s="46">
        <f>'Change Orders'!T780</f>
        <v/>
      </c>
      <c r="E2815" s="46">
        <f>IF(OR(B2815="",C2815="",D2815=""),"",D2815*100000+(C2815-DATE(2000,1,1))+ROW()/100000)</f>
        <v/>
      </c>
      <c r="F2815" s="46">
        <f>IF(E2815="","",IF(C2815&gt;WeekEndDate,"",E2815))</f>
        <v/>
      </c>
    </row>
    <row r="2816">
      <c r="A2816" t="inlineStr">
        <is>
          <t>Change Orders</t>
        </is>
      </c>
      <c r="B2816" s="46">
        <f>'Change Orders'!U781</f>
        <v/>
      </c>
      <c r="C2816" s="84">
        <f>'Change Orders'!S781</f>
        <v/>
      </c>
      <c r="D2816" s="46">
        <f>'Change Orders'!T781</f>
        <v/>
      </c>
      <c r="E2816" s="46">
        <f>IF(OR(B2816="",C2816="",D2816=""),"",D2816*100000+(C2816-DATE(2000,1,1))+ROW()/100000)</f>
        <v/>
      </c>
      <c r="F2816" s="46">
        <f>IF(E2816="","",IF(C2816&gt;WeekEndDate,"",E2816))</f>
        <v/>
      </c>
    </row>
    <row r="2817">
      <c r="A2817" t="inlineStr">
        <is>
          <t>Change Orders</t>
        </is>
      </c>
      <c r="B2817" s="46">
        <f>'Change Orders'!U782</f>
        <v/>
      </c>
      <c r="C2817" s="84">
        <f>'Change Orders'!S782</f>
        <v/>
      </c>
      <c r="D2817" s="46">
        <f>'Change Orders'!T782</f>
        <v/>
      </c>
      <c r="E2817" s="46">
        <f>IF(OR(B2817="",C2817="",D2817=""),"",D2817*100000+(C2817-DATE(2000,1,1))+ROW()/100000)</f>
        <v/>
      </c>
      <c r="F2817" s="46">
        <f>IF(E2817="","",IF(C2817&gt;WeekEndDate,"",E2817))</f>
        <v/>
      </c>
    </row>
    <row r="2818">
      <c r="A2818" t="inlineStr">
        <is>
          <t>Change Orders</t>
        </is>
      </c>
      <c r="B2818" s="46">
        <f>'Change Orders'!U783</f>
        <v/>
      </c>
      <c r="C2818" s="84">
        <f>'Change Orders'!S783</f>
        <v/>
      </c>
      <c r="D2818" s="46">
        <f>'Change Orders'!T783</f>
        <v/>
      </c>
      <c r="E2818" s="46">
        <f>IF(OR(B2818="",C2818="",D2818=""),"",D2818*100000+(C2818-DATE(2000,1,1))+ROW()/100000)</f>
        <v/>
      </c>
      <c r="F2818" s="46">
        <f>IF(E2818="","",IF(C2818&gt;WeekEndDate,"",E2818))</f>
        <v/>
      </c>
    </row>
    <row r="2819">
      <c r="A2819" t="inlineStr">
        <is>
          <t>Change Orders</t>
        </is>
      </c>
      <c r="B2819" s="46">
        <f>'Change Orders'!U784</f>
        <v/>
      </c>
      <c r="C2819" s="84">
        <f>'Change Orders'!S784</f>
        <v/>
      </c>
      <c r="D2819" s="46">
        <f>'Change Orders'!T784</f>
        <v/>
      </c>
      <c r="E2819" s="46">
        <f>IF(OR(B2819="",C2819="",D2819=""),"",D2819*100000+(C2819-DATE(2000,1,1))+ROW()/100000)</f>
        <v/>
      </c>
      <c r="F2819" s="46">
        <f>IF(E2819="","",IF(C2819&gt;WeekEndDate,"",E2819))</f>
        <v/>
      </c>
    </row>
    <row r="2820">
      <c r="A2820" t="inlineStr">
        <is>
          <t>Change Orders</t>
        </is>
      </c>
      <c r="B2820" s="46">
        <f>'Change Orders'!U785</f>
        <v/>
      </c>
      <c r="C2820" s="84">
        <f>'Change Orders'!S785</f>
        <v/>
      </c>
      <c r="D2820" s="46">
        <f>'Change Orders'!T785</f>
        <v/>
      </c>
      <c r="E2820" s="46">
        <f>IF(OR(B2820="",C2820="",D2820=""),"",D2820*100000+(C2820-DATE(2000,1,1))+ROW()/100000)</f>
        <v/>
      </c>
      <c r="F2820" s="46">
        <f>IF(E2820="","",IF(C2820&gt;WeekEndDate,"",E2820))</f>
        <v/>
      </c>
    </row>
    <row r="2821">
      <c r="A2821" t="inlineStr">
        <is>
          <t>Change Orders</t>
        </is>
      </c>
      <c r="B2821" s="46">
        <f>'Change Orders'!U786</f>
        <v/>
      </c>
      <c r="C2821" s="84">
        <f>'Change Orders'!S786</f>
        <v/>
      </c>
      <c r="D2821" s="46">
        <f>'Change Orders'!T786</f>
        <v/>
      </c>
      <c r="E2821" s="46">
        <f>IF(OR(B2821="",C2821="",D2821=""),"",D2821*100000+(C2821-DATE(2000,1,1))+ROW()/100000)</f>
        <v/>
      </c>
      <c r="F2821" s="46">
        <f>IF(E2821="","",IF(C2821&gt;WeekEndDate,"",E2821))</f>
        <v/>
      </c>
    </row>
    <row r="2822">
      <c r="A2822" t="inlineStr">
        <is>
          <t>Change Orders</t>
        </is>
      </c>
      <c r="B2822" s="46">
        <f>'Change Orders'!U787</f>
        <v/>
      </c>
      <c r="C2822" s="84">
        <f>'Change Orders'!S787</f>
        <v/>
      </c>
      <c r="D2822" s="46">
        <f>'Change Orders'!T787</f>
        <v/>
      </c>
      <c r="E2822" s="46">
        <f>IF(OR(B2822="",C2822="",D2822=""),"",D2822*100000+(C2822-DATE(2000,1,1))+ROW()/100000)</f>
        <v/>
      </c>
      <c r="F2822" s="46">
        <f>IF(E2822="","",IF(C2822&gt;WeekEndDate,"",E2822))</f>
        <v/>
      </c>
    </row>
    <row r="2823">
      <c r="A2823" t="inlineStr">
        <is>
          <t>Change Orders</t>
        </is>
      </c>
      <c r="B2823" s="46">
        <f>'Change Orders'!U788</f>
        <v/>
      </c>
      <c r="C2823" s="84">
        <f>'Change Orders'!S788</f>
        <v/>
      </c>
      <c r="D2823" s="46">
        <f>'Change Orders'!T788</f>
        <v/>
      </c>
      <c r="E2823" s="46">
        <f>IF(OR(B2823="",C2823="",D2823=""),"",D2823*100000+(C2823-DATE(2000,1,1))+ROW()/100000)</f>
        <v/>
      </c>
      <c r="F2823" s="46">
        <f>IF(E2823="","",IF(C2823&gt;WeekEndDate,"",E2823))</f>
        <v/>
      </c>
    </row>
    <row r="2824">
      <c r="A2824" t="inlineStr">
        <is>
          <t>Change Orders</t>
        </is>
      </c>
      <c r="B2824" s="46">
        <f>'Change Orders'!U789</f>
        <v/>
      </c>
      <c r="C2824" s="84">
        <f>'Change Orders'!S789</f>
        <v/>
      </c>
      <c r="D2824" s="46">
        <f>'Change Orders'!T789</f>
        <v/>
      </c>
      <c r="E2824" s="46">
        <f>IF(OR(B2824="",C2824="",D2824=""),"",D2824*100000+(C2824-DATE(2000,1,1))+ROW()/100000)</f>
        <v/>
      </c>
      <c r="F2824" s="46">
        <f>IF(E2824="","",IF(C2824&gt;WeekEndDate,"",E2824))</f>
        <v/>
      </c>
    </row>
    <row r="2825">
      <c r="A2825" t="inlineStr">
        <is>
          <t>Change Orders</t>
        </is>
      </c>
      <c r="B2825" s="46">
        <f>'Change Orders'!U790</f>
        <v/>
      </c>
      <c r="C2825" s="84">
        <f>'Change Orders'!S790</f>
        <v/>
      </c>
      <c r="D2825" s="46">
        <f>'Change Orders'!T790</f>
        <v/>
      </c>
      <c r="E2825" s="46">
        <f>IF(OR(B2825="",C2825="",D2825=""),"",D2825*100000+(C2825-DATE(2000,1,1))+ROW()/100000)</f>
        <v/>
      </c>
      <c r="F2825" s="46">
        <f>IF(E2825="","",IF(C2825&gt;WeekEndDate,"",E2825))</f>
        <v/>
      </c>
    </row>
    <row r="2826">
      <c r="A2826" t="inlineStr">
        <is>
          <t>Change Orders</t>
        </is>
      </c>
      <c r="B2826" s="46">
        <f>'Change Orders'!U791</f>
        <v/>
      </c>
      <c r="C2826" s="84">
        <f>'Change Orders'!S791</f>
        <v/>
      </c>
      <c r="D2826" s="46">
        <f>'Change Orders'!T791</f>
        <v/>
      </c>
      <c r="E2826" s="46">
        <f>IF(OR(B2826="",C2826="",D2826=""),"",D2826*100000+(C2826-DATE(2000,1,1))+ROW()/100000)</f>
        <v/>
      </c>
      <c r="F2826" s="46">
        <f>IF(E2826="","",IF(C2826&gt;WeekEndDate,"",E2826))</f>
        <v/>
      </c>
    </row>
    <row r="2827">
      <c r="A2827" t="inlineStr">
        <is>
          <t>Change Orders</t>
        </is>
      </c>
      <c r="B2827" s="46">
        <f>'Change Orders'!U792</f>
        <v/>
      </c>
      <c r="C2827" s="84">
        <f>'Change Orders'!S792</f>
        <v/>
      </c>
      <c r="D2827" s="46">
        <f>'Change Orders'!T792</f>
        <v/>
      </c>
      <c r="E2827" s="46">
        <f>IF(OR(B2827="",C2827="",D2827=""),"",D2827*100000+(C2827-DATE(2000,1,1))+ROW()/100000)</f>
        <v/>
      </c>
      <c r="F2827" s="46">
        <f>IF(E2827="","",IF(C2827&gt;WeekEndDate,"",E2827))</f>
        <v/>
      </c>
    </row>
    <row r="2828">
      <c r="A2828" t="inlineStr">
        <is>
          <t>Change Orders</t>
        </is>
      </c>
      <c r="B2828" s="46">
        <f>'Change Orders'!U793</f>
        <v/>
      </c>
      <c r="C2828" s="84">
        <f>'Change Orders'!S793</f>
        <v/>
      </c>
      <c r="D2828" s="46">
        <f>'Change Orders'!T793</f>
        <v/>
      </c>
      <c r="E2828" s="46">
        <f>IF(OR(B2828="",C2828="",D2828=""),"",D2828*100000+(C2828-DATE(2000,1,1))+ROW()/100000)</f>
        <v/>
      </c>
      <c r="F2828" s="46">
        <f>IF(E2828="","",IF(C2828&gt;WeekEndDate,"",E2828))</f>
        <v/>
      </c>
    </row>
    <row r="2829">
      <c r="A2829" t="inlineStr">
        <is>
          <t>Change Orders</t>
        </is>
      </c>
      <c r="B2829" s="46">
        <f>'Change Orders'!U794</f>
        <v/>
      </c>
      <c r="C2829" s="84">
        <f>'Change Orders'!S794</f>
        <v/>
      </c>
      <c r="D2829" s="46">
        <f>'Change Orders'!T794</f>
        <v/>
      </c>
      <c r="E2829" s="46">
        <f>IF(OR(B2829="",C2829="",D2829=""),"",D2829*100000+(C2829-DATE(2000,1,1))+ROW()/100000)</f>
        <v/>
      </c>
      <c r="F2829" s="46">
        <f>IF(E2829="","",IF(C2829&gt;WeekEndDate,"",E2829))</f>
        <v/>
      </c>
    </row>
    <row r="2830">
      <c r="A2830" t="inlineStr">
        <is>
          <t>Change Orders</t>
        </is>
      </c>
      <c r="B2830" s="46">
        <f>'Change Orders'!U795</f>
        <v/>
      </c>
      <c r="C2830" s="84">
        <f>'Change Orders'!S795</f>
        <v/>
      </c>
      <c r="D2830" s="46">
        <f>'Change Orders'!T795</f>
        <v/>
      </c>
      <c r="E2830" s="46">
        <f>IF(OR(B2830="",C2830="",D2830=""),"",D2830*100000+(C2830-DATE(2000,1,1))+ROW()/100000)</f>
        <v/>
      </c>
      <c r="F2830" s="46">
        <f>IF(E2830="","",IF(C2830&gt;WeekEndDate,"",E2830))</f>
        <v/>
      </c>
    </row>
    <row r="2831">
      <c r="A2831" t="inlineStr">
        <is>
          <t>Change Orders</t>
        </is>
      </c>
      <c r="B2831" s="46">
        <f>'Change Orders'!U796</f>
        <v/>
      </c>
      <c r="C2831" s="84">
        <f>'Change Orders'!S796</f>
        <v/>
      </c>
      <c r="D2831" s="46">
        <f>'Change Orders'!T796</f>
        <v/>
      </c>
      <c r="E2831" s="46">
        <f>IF(OR(B2831="",C2831="",D2831=""),"",D2831*100000+(C2831-DATE(2000,1,1))+ROW()/100000)</f>
        <v/>
      </c>
      <c r="F2831" s="46">
        <f>IF(E2831="","",IF(C2831&gt;WeekEndDate,"",E2831))</f>
        <v/>
      </c>
    </row>
    <row r="2832">
      <c r="A2832" t="inlineStr">
        <is>
          <t>Change Orders</t>
        </is>
      </c>
      <c r="B2832" s="46">
        <f>'Change Orders'!U797</f>
        <v/>
      </c>
      <c r="C2832" s="84">
        <f>'Change Orders'!S797</f>
        <v/>
      </c>
      <c r="D2832" s="46">
        <f>'Change Orders'!T797</f>
        <v/>
      </c>
      <c r="E2832" s="46">
        <f>IF(OR(B2832="",C2832="",D2832=""),"",D2832*100000+(C2832-DATE(2000,1,1))+ROW()/100000)</f>
        <v/>
      </c>
      <c r="F2832" s="46">
        <f>IF(E2832="","",IF(C2832&gt;WeekEndDate,"",E2832))</f>
        <v/>
      </c>
    </row>
    <row r="2833">
      <c r="A2833" t="inlineStr">
        <is>
          <t>Change Orders</t>
        </is>
      </c>
      <c r="B2833" s="46">
        <f>'Change Orders'!U798</f>
        <v/>
      </c>
      <c r="C2833" s="84">
        <f>'Change Orders'!S798</f>
        <v/>
      </c>
      <c r="D2833" s="46">
        <f>'Change Orders'!T798</f>
        <v/>
      </c>
      <c r="E2833" s="46">
        <f>IF(OR(B2833="",C2833="",D2833=""),"",D2833*100000+(C2833-DATE(2000,1,1))+ROW()/100000)</f>
        <v/>
      </c>
      <c r="F2833" s="46">
        <f>IF(E2833="","",IF(C2833&gt;WeekEndDate,"",E2833))</f>
        <v/>
      </c>
    </row>
    <row r="2834">
      <c r="A2834" t="inlineStr">
        <is>
          <t>Change Orders</t>
        </is>
      </c>
      <c r="B2834" s="46">
        <f>'Change Orders'!U799</f>
        <v/>
      </c>
      <c r="C2834" s="84">
        <f>'Change Orders'!S799</f>
        <v/>
      </c>
      <c r="D2834" s="46">
        <f>'Change Orders'!T799</f>
        <v/>
      </c>
      <c r="E2834" s="46">
        <f>IF(OR(B2834="",C2834="",D2834=""),"",D2834*100000+(C2834-DATE(2000,1,1))+ROW()/100000)</f>
        <v/>
      </c>
      <c r="F2834" s="46">
        <f>IF(E2834="","",IF(C2834&gt;WeekEndDate,"",E2834))</f>
        <v/>
      </c>
    </row>
    <row r="2835">
      <c r="A2835" t="inlineStr">
        <is>
          <t>Change Orders</t>
        </is>
      </c>
      <c r="B2835" s="46">
        <f>'Change Orders'!U800</f>
        <v/>
      </c>
      <c r="C2835" s="84">
        <f>'Change Orders'!S800</f>
        <v/>
      </c>
      <c r="D2835" s="46">
        <f>'Change Orders'!T800</f>
        <v/>
      </c>
      <c r="E2835" s="46">
        <f>IF(OR(B2835="",C2835="",D2835=""),"",D2835*100000+(C2835-DATE(2000,1,1))+ROW()/100000)</f>
        <v/>
      </c>
      <c r="F2835" s="46">
        <f>IF(E2835="","",IF(C2835&gt;WeekEndDate,"",E2835))</f>
        <v/>
      </c>
    </row>
    <row r="2836">
      <c r="A2836" t="inlineStr">
        <is>
          <t>Change Orders</t>
        </is>
      </c>
      <c r="B2836" s="46">
        <f>'Change Orders'!U801</f>
        <v/>
      </c>
      <c r="C2836" s="84">
        <f>'Change Orders'!S801</f>
        <v/>
      </c>
      <c r="D2836" s="46">
        <f>'Change Orders'!T801</f>
        <v/>
      </c>
      <c r="E2836" s="46">
        <f>IF(OR(B2836="",C2836="",D2836=""),"",D2836*100000+(C2836-DATE(2000,1,1))+ROW()/100000)</f>
        <v/>
      </c>
      <c r="F2836" s="46">
        <f>IF(E2836="","",IF(C2836&gt;WeekEndDate,"",E2836))</f>
        <v/>
      </c>
    </row>
    <row r="2837">
      <c r="A2837" t="inlineStr">
        <is>
          <t>Change Orders</t>
        </is>
      </c>
      <c r="B2837" s="46">
        <f>'Change Orders'!U802</f>
        <v/>
      </c>
      <c r="C2837" s="84">
        <f>'Change Orders'!S802</f>
        <v/>
      </c>
      <c r="D2837" s="46">
        <f>'Change Orders'!T802</f>
        <v/>
      </c>
      <c r="E2837" s="46">
        <f>IF(OR(B2837="",C2837="",D2837=""),"",D2837*100000+(C2837-DATE(2000,1,1))+ROW()/100000)</f>
        <v/>
      </c>
      <c r="F2837" s="46">
        <f>IF(E2837="","",IF(C2837&gt;WeekEndDate,"",E2837))</f>
        <v/>
      </c>
    </row>
    <row r="2838">
      <c r="A2838" t="inlineStr">
        <is>
          <t>Change Orders</t>
        </is>
      </c>
      <c r="B2838" s="46">
        <f>'Change Orders'!U803</f>
        <v/>
      </c>
      <c r="C2838" s="84">
        <f>'Change Orders'!S803</f>
        <v/>
      </c>
      <c r="D2838" s="46">
        <f>'Change Orders'!T803</f>
        <v/>
      </c>
      <c r="E2838" s="46">
        <f>IF(OR(B2838="",C2838="",D2838=""),"",D2838*100000+(C2838-DATE(2000,1,1))+ROW()/100000)</f>
        <v/>
      </c>
      <c r="F2838" s="46">
        <f>IF(E2838="","",IF(C2838&gt;WeekEndDate,"",E2838))</f>
        <v/>
      </c>
    </row>
    <row r="2839">
      <c r="A2839" t="inlineStr">
        <is>
          <t>Change Orders</t>
        </is>
      </c>
      <c r="B2839" s="46">
        <f>'Change Orders'!U804</f>
        <v/>
      </c>
      <c r="C2839" s="84">
        <f>'Change Orders'!S804</f>
        <v/>
      </c>
      <c r="D2839" s="46">
        <f>'Change Orders'!T804</f>
        <v/>
      </c>
      <c r="E2839" s="46">
        <f>IF(OR(B2839="",C2839="",D2839=""),"",D2839*100000+(C2839-DATE(2000,1,1))+ROW()/100000)</f>
        <v/>
      </c>
      <c r="F2839" s="46">
        <f>IF(E2839="","",IF(C2839&gt;WeekEndDate,"",E2839))</f>
        <v/>
      </c>
    </row>
    <row r="2840">
      <c r="A2840" t="inlineStr">
        <is>
          <t>Change Orders</t>
        </is>
      </c>
      <c r="B2840" s="46">
        <f>'Change Orders'!U805</f>
        <v/>
      </c>
      <c r="C2840" s="84">
        <f>'Change Orders'!S805</f>
        <v/>
      </c>
      <c r="D2840" s="46">
        <f>'Change Orders'!T805</f>
        <v/>
      </c>
      <c r="E2840" s="46">
        <f>IF(OR(B2840="",C2840="",D2840=""),"",D2840*100000+(C2840-DATE(2000,1,1))+ROW()/100000)</f>
        <v/>
      </c>
      <c r="F2840" s="46">
        <f>IF(E2840="","",IF(C2840&gt;WeekEndDate,"",E2840))</f>
        <v/>
      </c>
    </row>
    <row r="2841">
      <c r="A2841" t="inlineStr">
        <is>
          <t>Change Orders</t>
        </is>
      </c>
      <c r="B2841" s="46">
        <f>'Change Orders'!U806</f>
        <v/>
      </c>
      <c r="C2841" s="84">
        <f>'Change Orders'!S806</f>
        <v/>
      </c>
      <c r="D2841" s="46">
        <f>'Change Orders'!T806</f>
        <v/>
      </c>
      <c r="E2841" s="46">
        <f>IF(OR(B2841="",C2841="",D2841=""),"",D2841*100000+(C2841-DATE(2000,1,1))+ROW()/100000)</f>
        <v/>
      </c>
      <c r="F2841" s="46">
        <f>IF(E2841="","",IF(C2841&gt;WeekEndDate,"",E2841))</f>
        <v/>
      </c>
    </row>
    <row r="2842">
      <c r="A2842" t="inlineStr">
        <is>
          <t>Change Orders</t>
        </is>
      </c>
      <c r="B2842" s="46">
        <f>'Change Orders'!U807</f>
        <v/>
      </c>
      <c r="C2842" s="84">
        <f>'Change Orders'!S807</f>
        <v/>
      </c>
      <c r="D2842" s="46">
        <f>'Change Orders'!T807</f>
        <v/>
      </c>
      <c r="E2842" s="46">
        <f>IF(OR(B2842="",C2842="",D2842=""),"",D2842*100000+(C2842-DATE(2000,1,1))+ROW()/100000)</f>
        <v/>
      </c>
      <c r="F2842" s="46">
        <f>IF(E2842="","",IF(C2842&gt;WeekEndDate,"",E2842))</f>
        <v/>
      </c>
    </row>
    <row r="2843">
      <c r="A2843" t="inlineStr">
        <is>
          <t>Change Orders</t>
        </is>
      </c>
      <c r="B2843" s="46">
        <f>'Change Orders'!U808</f>
        <v/>
      </c>
      <c r="C2843" s="84">
        <f>'Change Orders'!S808</f>
        <v/>
      </c>
      <c r="D2843" s="46">
        <f>'Change Orders'!T808</f>
        <v/>
      </c>
      <c r="E2843" s="46">
        <f>IF(OR(B2843="",C2843="",D2843=""),"",D2843*100000+(C2843-DATE(2000,1,1))+ROW()/100000)</f>
        <v/>
      </c>
      <c r="F2843" s="46">
        <f>IF(E2843="","",IF(C2843&gt;WeekEndDate,"",E2843))</f>
        <v/>
      </c>
    </row>
    <row r="2844">
      <c r="A2844" t="inlineStr">
        <is>
          <t>Change Orders</t>
        </is>
      </c>
      <c r="B2844" s="46">
        <f>'Change Orders'!U809</f>
        <v/>
      </c>
      <c r="C2844" s="84">
        <f>'Change Orders'!S809</f>
        <v/>
      </c>
      <c r="D2844" s="46">
        <f>'Change Orders'!T809</f>
        <v/>
      </c>
      <c r="E2844" s="46">
        <f>IF(OR(B2844="",C2844="",D2844=""),"",D2844*100000+(C2844-DATE(2000,1,1))+ROW()/100000)</f>
        <v/>
      </c>
      <c r="F2844" s="46">
        <f>IF(E2844="","",IF(C2844&gt;WeekEndDate,"",E2844))</f>
        <v/>
      </c>
    </row>
    <row r="2845">
      <c r="A2845" t="inlineStr">
        <is>
          <t>Change Orders</t>
        </is>
      </c>
      <c r="B2845" s="46">
        <f>'Change Orders'!U810</f>
        <v/>
      </c>
      <c r="C2845" s="84">
        <f>'Change Orders'!S810</f>
        <v/>
      </c>
      <c r="D2845" s="46">
        <f>'Change Orders'!T810</f>
        <v/>
      </c>
      <c r="E2845" s="46">
        <f>IF(OR(B2845="",C2845="",D2845=""),"",D2845*100000+(C2845-DATE(2000,1,1))+ROW()/100000)</f>
        <v/>
      </c>
      <c r="F2845" s="46">
        <f>IF(E2845="","",IF(C2845&gt;WeekEndDate,"",E2845))</f>
        <v/>
      </c>
    </row>
    <row r="2846">
      <c r="A2846" t="inlineStr">
        <is>
          <t>Change Orders</t>
        </is>
      </c>
      <c r="B2846" s="46">
        <f>'Change Orders'!U811</f>
        <v/>
      </c>
      <c r="C2846" s="84">
        <f>'Change Orders'!S811</f>
        <v/>
      </c>
      <c r="D2846" s="46">
        <f>'Change Orders'!T811</f>
        <v/>
      </c>
      <c r="E2846" s="46">
        <f>IF(OR(B2846="",C2846="",D2846=""),"",D2846*100000+(C2846-DATE(2000,1,1))+ROW()/100000)</f>
        <v/>
      </c>
      <c r="F2846" s="46">
        <f>IF(E2846="","",IF(C2846&gt;WeekEndDate,"",E2846))</f>
        <v/>
      </c>
    </row>
    <row r="2847">
      <c r="A2847" t="inlineStr">
        <is>
          <t>Change Orders</t>
        </is>
      </c>
      <c r="B2847" s="46">
        <f>'Change Orders'!U812</f>
        <v/>
      </c>
      <c r="C2847" s="84">
        <f>'Change Orders'!S812</f>
        <v/>
      </c>
      <c r="D2847" s="46">
        <f>'Change Orders'!T812</f>
        <v/>
      </c>
      <c r="E2847" s="46">
        <f>IF(OR(B2847="",C2847="",D2847=""),"",D2847*100000+(C2847-DATE(2000,1,1))+ROW()/100000)</f>
        <v/>
      </c>
      <c r="F2847" s="46">
        <f>IF(E2847="","",IF(C2847&gt;WeekEndDate,"",E2847))</f>
        <v/>
      </c>
    </row>
    <row r="2848">
      <c r="A2848" t="inlineStr">
        <is>
          <t>Change Orders</t>
        </is>
      </c>
      <c r="B2848" s="46">
        <f>'Change Orders'!U813</f>
        <v/>
      </c>
      <c r="C2848" s="84">
        <f>'Change Orders'!S813</f>
        <v/>
      </c>
      <c r="D2848" s="46">
        <f>'Change Orders'!T813</f>
        <v/>
      </c>
      <c r="E2848" s="46">
        <f>IF(OR(B2848="",C2848="",D2848=""),"",D2848*100000+(C2848-DATE(2000,1,1))+ROW()/100000)</f>
        <v/>
      </c>
      <c r="F2848" s="46">
        <f>IF(E2848="","",IF(C2848&gt;WeekEndDate,"",E2848))</f>
        <v/>
      </c>
    </row>
    <row r="2849">
      <c r="A2849" t="inlineStr">
        <is>
          <t>Change Orders</t>
        </is>
      </c>
      <c r="B2849" s="46">
        <f>'Change Orders'!U814</f>
        <v/>
      </c>
      <c r="C2849" s="84">
        <f>'Change Orders'!S814</f>
        <v/>
      </c>
      <c r="D2849" s="46">
        <f>'Change Orders'!T814</f>
        <v/>
      </c>
      <c r="E2849" s="46">
        <f>IF(OR(B2849="",C2849="",D2849=""),"",D2849*100000+(C2849-DATE(2000,1,1))+ROW()/100000)</f>
        <v/>
      </c>
      <c r="F2849" s="46">
        <f>IF(E2849="","",IF(C2849&gt;WeekEndDate,"",E2849))</f>
        <v/>
      </c>
    </row>
    <row r="2850">
      <c r="A2850" t="inlineStr">
        <is>
          <t>Change Orders</t>
        </is>
      </c>
      <c r="B2850" s="46">
        <f>'Change Orders'!U815</f>
        <v/>
      </c>
      <c r="C2850" s="84">
        <f>'Change Orders'!S815</f>
        <v/>
      </c>
      <c r="D2850" s="46">
        <f>'Change Orders'!T815</f>
        <v/>
      </c>
      <c r="E2850" s="46">
        <f>IF(OR(B2850="",C2850="",D2850=""),"",D2850*100000+(C2850-DATE(2000,1,1))+ROW()/100000)</f>
        <v/>
      </c>
      <c r="F2850" s="46">
        <f>IF(E2850="","",IF(C2850&gt;WeekEndDate,"",E2850))</f>
        <v/>
      </c>
    </row>
    <row r="2851">
      <c r="A2851" t="inlineStr">
        <is>
          <t>Change Orders</t>
        </is>
      </c>
      <c r="B2851" s="46">
        <f>'Change Orders'!U816</f>
        <v/>
      </c>
      <c r="C2851" s="84">
        <f>'Change Orders'!S816</f>
        <v/>
      </c>
      <c r="D2851" s="46">
        <f>'Change Orders'!T816</f>
        <v/>
      </c>
      <c r="E2851" s="46">
        <f>IF(OR(B2851="",C2851="",D2851=""),"",D2851*100000+(C2851-DATE(2000,1,1))+ROW()/100000)</f>
        <v/>
      </c>
      <c r="F2851" s="46">
        <f>IF(E2851="","",IF(C2851&gt;WeekEndDate,"",E2851))</f>
        <v/>
      </c>
    </row>
    <row r="2852">
      <c r="A2852" t="inlineStr">
        <is>
          <t>Change Orders</t>
        </is>
      </c>
      <c r="B2852" s="46">
        <f>'Change Orders'!U817</f>
        <v/>
      </c>
      <c r="C2852" s="84">
        <f>'Change Orders'!S817</f>
        <v/>
      </c>
      <c r="D2852" s="46">
        <f>'Change Orders'!T817</f>
        <v/>
      </c>
      <c r="E2852" s="46">
        <f>IF(OR(B2852="",C2852="",D2852=""),"",D2852*100000+(C2852-DATE(2000,1,1))+ROW()/100000)</f>
        <v/>
      </c>
      <c r="F2852" s="46">
        <f>IF(E2852="","",IF(C2852&gt;WeekEndDate,"",E2852))</f>
        <v/>
      </c>
    </row>
    <row r="2853">
      <c r="A2853" t="inlineStr">
        <is>
          <t>Change Orders</t>
        </is>
      </c>
      <c r="B2853" s="46">
        <f>'Change Orders'!U818</f>
        <v/>
      </c>
      <c r="C2853" s="84">
        <f>'Change Orders'!S818</f>
        <v/>
      </c>
      <c r="D2853" s="46">
        <f>'Change Orders'!T818</f>
        <v/>
      </c>
      <c r="E2853" s="46">
        <f>IF(OR(B2853="",C2853="",D2853=""),"",D2853*100000+(C2853-DATE(2000,1,1))+ROW()/100000)</f>
        <v/>
      </c>
      <c r="F2853" s="46">
        <f>IF(E2853="","",IF(C2853&gt;WeekEndDate,"",E2853))</f>
        <v/>
      </c>
    </row>
    <row r="2854">
      <c r="A2854" t="inlineStr">
        <is>
          <t>Change Orders</t>
        </is>
      </c>
      <c r="B2854" s="46">
        <f>'Change Orders'!U819</f>
        <v/>
      </c>
      <c r="C2854" s="84">
        <f>'Change Orders'!S819</f>
        <v/>
      </c>
      <c r="D2854" s="46">
        <f>'Change Orders'!T819</f>
        <v/>
      </c>
      <c r="E2854" s="46">
        <f>IF(OR(B2854="",C2854="",D2854=""),"",D2854*100000+(C2854-DATE(2000,1,1))+ROW()/100000)</f>
        <v/>
      </c>
      <c r="F2854" s="46">
        <f>IF(E2854="","",IF(C2854&gt;WeekEndDate,"",E2854))</f>
        <v/>
      </c>
    </row>
    <row r="2855">
      <c r="A2855" t="inlineStr">
        <is>
          <t>Change Orders</t>
        </is>
      </c>
      <c r="B2855" s="46">
        <f>'Change Orders'!U820</f>
        <v/>
      </c>
      <c r="C2855" s="84">
        <f>'Change Orders'!S820</f>
        <v/>
      </c>
      <c r="D2855" s="46">
        <f>'Change Orders'!T820</f>
        <v/>
      </c>
      <c r="E2855" s="46">
        <f>IF(OR(B2855="",C2855="",D2855=""),"",D2855*100000+(C2855-DATE(2000,1,1))+ROW()/100000)</f>
        <v/>
      </c>
      <c r="F2855" s="46">
        <f>IF(E2855="","",IF(C2855&gt;WeekEndDate,"",E2855))</f>
        <v/>
      </c>
    </row>
    <row r="2856">
      <c r="A2856" t="inlineStr">
        <is>
          <t>Change Orders</t>
        </is>
      </c>
      <c r="B2856" s="46">
        <f>'Change Orders'!U821</f>
        <v/>
      </c>
      <c r="C2856" s="84">
        <f>'Change Orders'!S821</f>
        <v/>
      </c>
      <c r="D2856" s="46">
        <f>'Change Orders'!T821</f>
        <v/>
      </c>
      <c r="E2856" s="46">
        <f>IF(OR(B2856="",C2856="",D2856=""),"",D2856*100000+(C2856-DATE(2000,1,1))+ROW()/100000)</f>
        <v/>
      </c>
      <c r="F2856" s="46">
        <f>IF(E2856="","",IF(C2856&gt;WeekEndDate,"",E2856))</f>
        <v/>
      </c>
    </row>
    <row r="2857">
      <c r="A2857" t="inlineStr">
        <is>
          <t>Change Orders</t>
        </is>
      </c>
      <c r="B2857" s="46">
        <f>'Change Orders'!U822</f>
        <v/>
      </c>
      <c r="C2857" s="84">
        <f>'Change Orders'!S822</f>
        <v/>
      </c>
      <c r="D2857" s="46">
        <f>'Change Orders'!T822</f>
        <v/>
      </c>
      <c r="E2857" s="46">
        <f>IF(OR(B2857="",C2857="",D2857=""),"",D2857*100000+(C2857-DATE(2000,1,1))+ROW()/100000)</f>
        <v/>
      </c>
      <c r="F2857" s="46">
        <f>IF(E2857="","",IF(C2857&gt;WeekEndDate,"",E2857))</f>
        <v/>
      </c>
    </row>
    <row r="2858">
      <c r="A2858" t="inlineStr">
        <is>
          <t>Change Orders</t>
        </is>
      </c>
      <c r="B2858" s="46">
        <f>'Change Orders'!U823</f>
        <v/>
      </c>
      <c r="C2858" s="84">
        <f>'Change Orders'!S823</f>
        <v/>
      </c>
      <c r="D2858" s="46">
        <f>'Change Orders'!T823</f>
        <v/>
      </c>
      <c r="E2858" s="46">
        <f>IF(OR(B2858="",C2858="",D2858=""),"",D2858*100000+(C2858-DATE(2000,1,1))+ROW()/100000)</f>
        <v/>
      </c>
      <c r="F2858" s="46">
        <f>IF(E2858="","",IF(C2858&gt;WeekEndDate,"",E2858))</f>
        <v/>
      </c>
    </row>
    <row r="2859">
      <c r="A2859" t="inlineStr">
        <is>
          <t>Change Orders</t>
        </is>
      </c>
      <c r="B2859" s="46">
        <f>'Change Orders'!U824</f>
        <v/>
      </c>
      <c r="C2859" s="84">
        <f>'Change Orders'!S824</f>
        <v/>
      </c>
      <c r="D2859" s="46">
        <f>'Change Orders'!T824</f>
        <v/>
      </c>
      <c r="E2859" s="46">
        <f>IF(OR(B2859="",C2859="",D2859=""),"",D2859*100000+(C2859-DATE(2000,1,1))+ROW()/100000)</f>
        <v/>
      </c>
      <c r="F2859" s="46">
        <f>IF(E2859="","",IF(C2859&gt;WeekEndDate,"",E2859))</f>
        <v/>
      </c>
    </row>
    <row r="2860">
      <c r="A2860" t="inlineStr">
        <is>
          <t>Change Orders</t>
        </is>
      </c>
      <c r="B2860" s="46">
        <f>'Change Orders'!U825</f>
        <v/>
      </c>
      <c r="C2860" s="84">
        <f>'Change Orders'!S825</f>
        <v/>
      </c>
      <c r="D2860" s="46">
        <f>'Change Orders'!T825</f>
        <v/>
      </c>
      <c r="E2860" s="46">
        <f>IF(OR(B2860="",C2860="",D2860=""),"",D2860*100000+(C2860-DATE(2000,1,1))+ROW()/100000)</f>
        <v/>
      </c>
      <c r="F2860" s="46">
        <f>IF(E2860="","",IF(C2860&gt;WeekEndDate,"",E2860))</f>
        <v/>
      </c>
    </row>
    <row r="2861">
      <c r="A2861" t="inlineStr">
        <is>
          <t>Change Orders</t>
        </is>
      </c>
      <c r="B2861" s="46">
        <f>'Change Orders'!U826</f>
        <v/>
      </c>
      <c r="C2861" s="84">
        <f>'Change Orders'!S826</f>
        <v/>
      </c>
      <c r="D2861" s="46">
        <f>'Change Orders'!T826</f>
        <v/>
      </c>
      <c r="E2861" s="46">
        <f>IF(OR(B2861="",C2861="",D2861=""),"",D2861*100000+(C2861-DATE(2000,1,1))+ROW()/100000)</f>
        <v/>
      </c>
      <c r="F2861" s="46">
        <f>IF(E2861="","",IF(C2861&gt;WeekEndDate,"",E2861))</f>
        <v/>
      </c>
    </row>
    <row r="2862">
      <c r="A2862" t="inlineStr">
        <is>
          <t>Change Orders</t>
        </is>
      </c>
      <c r="B2862" s="46">
        <f>'Change Orders'!U827</f>
        <v/>
      </c>
      <c r="C2862" s="84">
        <f>'Change Orders'!S827</f>
        <v/>
      </c>
      <c r="D2862" s="46">
        <f>'Change Orders'!T827</f>
        <v/>
      </c>
      <c r="E2862" s="46">
        <f>IF(OR(B2862="",C2862="",D2862=""),"",D2862*100000+(C2862-DATE(2000,1,1))+ROW()/100000)</f>
        <v/>
      </c>
      <c r="F2862" s="46">
        <f>IF(E2862="","",IF(C2862&gt;WeekEndDate,"",E2862))</f>
        <v/>
      </c>
    </row>
    <row r="2863">
      <c r="A2863" t="inlineStr">
        <is>
          <t>Change Orders</t>
        </is>
      </c>
      <c r="B2863" s="46">
        <f>'Change Orders'!U828</f>
        <v/>
      </c>
      <c r="C2863" s="84">
        <f>'Change Orders'!S828</f>
        <v/>
      </c>
      <c r="D2863" s="46">
        <f>'Change Orders'!T828</f>
        <v/>
      </c>
      <c r="E2863" s="46">
        <f>IF(OR(B2863="",C2863="",D2863=""),"",D2863*100000+(C2863-DATE(2000,1,1))+ROW()/100000)</f>
        <v/>
      </c>
      <c r="F2863" s="46">
        <f>IF(E2863="","",IF(C2863&gt;WeekEndDate,"",E2863))</f>
        <v/>
      </c>
    </row>
    <row r="2864">
      <c r="A2864" t="inlineStr">
        <is>
          <t>Change Orders</t>
        </is>
      </c>
      <c r="B2864" s="46">
        <f>'Change Orders'!U829</f>
        <v/>
      </c>
      <c r="C2864" s="84">
        <f>'Change Orders'!S829</f>
        <v/>
      </c>
      <c r="D2864" s="46">
        <f>'Change Orders'!T829</f>
        <v/>
      </c>
      <c r="E2864" s="46">
        <f>IF(OR(B2864="",C2864="",D2864=""),"",D2864*100000+(C2864-DATE(2000,1,1))+ROW()/100000)</f>
        <v/>
      </c>
      <c r="F2864" s="46">
        <f>IF(E2864="","",IF(C2864&gt;WeekEndDate,"",E2864))</f>
        <v/>
      </c>
    </row>
    <row r="2865">
      <c r="A2865" t="inlineStr">
        <is>
          <t>Change Orders</t>
        </is>
      </c>
      <c r="B2865" s="46">
        <f>'Change Orders'!U830</f>
        <v/>
      </c>
      <c r="C2865" s="84">
        <f>'Change Orders'!S830</f>
        <v/>
      </c>
      <c r="D2865" s="46">
        <f>'Change Orders'!T830</f>
        <v/>
      </c>
      <c r="E2865" s="46">
        <f>IF(OR(B2865="",C2865="",D2865=""),"",D2865*100000+(C2865-DATE(2000,1,1))+ROW()/100000)</f>
        <v/>
      </c>
      <c r="F2865" s="46">
        <f>IF(E2865="","",IF(C2865&gt;WeekEndDate,"",E2865))</f>
        <v/>
      </c>
    </row>
    <row r="2866">
      <c r="A2866" t="inlineStr">
        <is>
          <t>Change Orders</t>
        </is>
      </c>
      <c r="B2866" s="46">
        <f>'Change Orders'!U831</f>
        <v/>
      </c>
      <c r="C2866" s="84">
        <f>'Change Orders'!S831</f>
        <v/>
      </c>
      <c r="D2866" s="46">
        <f>'Change Orders'!T831</f>
        <v/>
      </c>
      <c r="E2866" s="46">
        <f>IF(OR(B2866="",C2866="",D2866=""),"",D2866*100000+(C2866-DATE(2000,1,1))+ROW()/100000)</f>
        <v/>
      </c>
      <c r="F2866" s="46">
        <f>IF(E2866="","",IF(C2866&gt;WeekEndDate,"",E2866))</f>
        <v/>
      </c>
    </row>
    <row r="2867">
      <c r="A2867" t="inlineStr">
        <is>
          <t>Change Orders</t>
        </is>
      </c>
      <c r="B2867" s="46">
        <f>'Change Orders'!U832</f>
        <v/>
      </c>
      <c r="C2867" s="84">
        <f>'Change Orders'!S832</f>
        <v/>
      </c>
      <c r="D2867" s="46">
        <f>'Change Orders'!T832</f>
        <v/>
      </c>
      <c r="E2867" s="46">
        <f>IF(OR(B2867="",C2867="",D2867=""),"",D2867*100000+(C2867-DATE(2000,1,1))+ROW()/100000)</f>
        <v/>
      </c>
      <c r="F2867" s="46">
        <f>IF(E2867="","",IF(C2867&gt;WeekEndDate,"",E2867))</f>
        <v/>
      </c>
    </row>
    <row r="2868">
      <c r="A2868" t="inlineStr">
        <is>
          <t>Change Orders</t>
        </is>
      </c>
      <c r="B2868" s="46">
        <f>'Change Orders'!U833</f>
        <v/>
      </c>
      <c r="C2868" s="84">
        <f>'Change Orders'!S833</f>
        <v/>
      </c>
      <c r="D2868" s="46">
        <f>'Change Orders'!T833</f>
        <v/>
      </c>
      <c r="E2868" s="46">
        <f>IF(OR(B2868="",C2868="",D2868=""),"",D2868*100000+(C2868-DATE(2000,1,1))+ROW()/100000)</f>
        <v/>
      </c>
      <c r="F2868" s="46">
        <f>IF(E2868="","",IF(C2868&gt;WeekEndDate,"",E2868))</f>
        <v/>
      </c>
    </row>
    <row r="2869">
      <c r="A2869" t="inlineStr">
        <is>
          <t>Change Orders</t>
        </is>
      </c>
      <c r="B2869" s="46">
        <f>'Change Orders'!U834</f>
        <v/>
      </c>
      <c r="C2869" s="84">
        <f>'Change Orders'!S834</f>
        <v/>
      </c>
      <c r="D2869" s="46">
        <f>'Change Orders'!T834</f>
        <v/>
      </c>
      <c r="E2869" s="46">
        <f>IF(OR(B2869="",C2869="",D2869=""),"",D2869*100000+(C2869-DATE(2000,1,1))+ROW()/100000)</f>
        <v/>
      </c>
      <c r="F2869" s="46">
        <f>IF(E2869="","",IF(C2869&gt;WeekEndDate,"",E2869))</f>
        <v/>
      </c>
    </row>
    <row r="2870">
      <c r="A2870" t="inlineStr">
        <is>
          <t>Change Orders</t>
        </is>
      </c>
      <c r="B2870" s="46">
        <f>'Change Orders'!U835</f>
        <v/>
      </c>
      <c r="C2870" s="84">
        <f>'Change Orders'!S835</f>
        <v/>
      </c>
      <c r="D2870" s="46">
        <f>'Change Orders'!T835</f>
        <v/>
      </c>
      <c r="E2870" s="46">
        <f>IF(OR(B2870="",C2870="",D2870=""),"",D2870*100000+(C2870-DATE(2000,1,1))+ROW()/100000)</f>
        <v/>
      </c>
      <c r="F2870" s="46">
        <f>IF(E2870="","",IF(C2870&gt;WeekEndDate,"",E2870))</f>
        <v/>
      </c>
    </row>
    <row r="2871">
      <c r="A2871" t="inlineStr">
        <is>
          <t>Change Orders</t>
        </is>
      </c>
      <c r="B2871" s="46">
        <f>'Change Orders'!U836</f>
        <v/>
      </c>
      <c r="C2871" s="84">
        <f>'Change Orders'!S836</f>
        <v/>
      </c>
      <c r="D2871" s="46">
        <f>'Change Orders'!T836</f>
        <v/>
      </c>
      <c r="E2871" s="46">
        <f>IF(OR(B2871="",C2871="",D2871=""),"",D2871*100000+(C2871-DATE(2000,1,1))+ROW()/100000)</f>
        <v/>
      </c>
      <c r="F2871" s="46">
        <f>IF(E2871="","",IF(C2871&gt;WeekEndDate,"",E2871))</f>
        <v/>
      </c>
    </row>
    <row r="2872">
      <c r="A2872" t="inlineStr">
        <is>
          <t>Change Orders</t>
        </is>
      </c>
      <c r="B2872" s="46">
        <f>'Change Orders'!U837</f>
        <v/>
      </c>
      <c r="C2872" s="84">
        <f>'Change Orders'!S837</f>
        <v/>
      </c>
      <c r="D2872" s="46">
        <f>'Change Orders'!T837</f>
        <v/>
      </c>
      <c r="E2872" s="46">
        <f>IF(OR(B2872="",C2872="",D2872=""),"",D2872*100000+(C2872-DATE(2000,1,1))+ROW()/100000)</f>
        <v/>
      </c>
      <c r="F2872" s="46">
        <f>IF(E2872="","",IF(C2872&gt;WeekEndDate,"",E2872))</f>
        <v/>
      </c>
    </row>
    <row r="2873">
      <c r="A2873" t="inlineStr">
        <is>
          <t>Change Orders</t>
        </is>
      </c>
      <c r="B2873" s="46">
        <f>'Change Orders'!U838</f>
        <v/>
      </c>
      <c r="C2873" s="84">
        <f>'Change Orders'!S838</f>
        <v/>
      </c>
      <c r="D2873" s="46">
        <f>'Change Orders'!T838</f>
        <v/>
      </c>
      <c r="E2873" s="46">
        <f>IF(OR(B2873="",C2873="",D2873=""),"",D2873*100000+(C2873-DATE(2000,1,1))+ROW()/100000)</f>
        <v/>
      </c>
      <c r="F2873" s="46">
        <f>IF(E2873="","",IF(C2873&gt;WeekEndDate,"",E2873))</f>
        <v/>
      </c>
    </row>
    <row r="2874">
      <c r="A2874" t="inlineStr">
        <is>
          <t>Change Orders</t>
        </is>
      </c>
      <c r="B2874" s="46">
        <f>'Change Orders'!U839</f>
        <v/>
      </c>
      <c r="C2874" s="84">
        <f>'Change Orders'!S839</f>
        <v/>
      </c>
      <c r="D2874" s="46">
        <f>'Change Orders'!T839</f>
        <v/>
      </c>
      <c r="E2874" s="46">
        <f>IF(OR(B2874="",C2874="",D2874=""),"",D2874*100000+(C2874-DATE(2000,1,1))+ROW()/100000)</f>
        <v/>
      </c>
      <c r="F2874" s="46">
        <f>IF(E2874="","",IF(C2874&gt;WeekEndDate,"",E2874))</f>
        <v/>
      </c>
    </row>
    <row r="2875">
      <c r="A2875" t="inlineStr">
        <is>
          <t>Change Orders</t>
        </is>
      </c>
      <c r="B2875" s="46">
        <f>'Change Orders'!U840</f>
        <v/>
      </c>
      <c r="C2875" s="84">
        <f>'Change Orders'!S840</f>
        <v/>
      </c>
      <c r="D2875" s="46">
        <f>'Change Orders'!T840</f>
        <v/>
      </c>
      <c r="E2875" s="46">
        <f>IF(OR(B2875="",C2875="",D2875=""),"",D2875*100000+(C2875-DATE(2000,1,1))+ROW()/100000)</f>
        <v/>
      </c>
      <c r="F2875" s="46">
        <f>IF(E2875="","",IF(C2875&gt;WeekEndDate,"",E2875))</f>
        <v/>
      </c>
    </row>
    <row r="2876">
      <c r="A2876" t="inlineStr">
        <is>
          <t>Change Orders</t>
        </is>
      </c>
      <c r="B2876" s="46">
        <f>'Change Orders'!U841</f>
        <v/>
      </c>
      <c r="C2876" s="84">
        <f>'Change Orders'!S841</f>
        <v/>
      </c>
      <c r="D2876" s="46">
        <f>'Change Orders'!T841</f>
        <v/>
      </c>
      <c r="E2876" s="46">
        <f>IF(OR(B2876="",C2876="",D2876=""),"",D2876*100000+(C2876-DATE(2000,1,1))+ROW()/100000)</f>
        <v/>
      </c>
      <c r="F2876" s="46">
        <f>IF(E2876="","",IF(C2876&gt;WeekEndDate,"",E2876))</f>
        <v/>
      </c>
    </row>
    <row r="2877">
      <c r="A2877" t="inlineStr">
        <is>
          <t>Change Orders</t>
        </is>
      </c>
      <c r="B2877" s="46">
        <f>'Change Orders'!U842</f>
        <v/>
      </c>
      <c r="C2877" s="84">
        <f>'Change Orders'!S842</f>
        <v/>
      </c>
      <c r="D2877" s="46">
        <f>'Change Orders'!T842</f>
        <v/>
      </c>
      <c r="E2877" s="46">
        <f>IF(OR(B2877="",C2877="",D2877=""),"",D2877*100000+(C2877-DATE(2000,1,1))+ROW()/100000)</f>
        <v/>
      </c>
      <c r="F2877" s="46">
        <f>IF(E2877="","",IF(C2877&gt;WeekEndDate,"",E2877))</f>
        <v/>
      </c>
    </row>
    <row r="2878">
      <c r="A2878" t="inlineStr">
        <is>
          <t>Change Orders</t>
        </is>
      </c>
      <c r="B2878" s="46">
        <f>'Change Orders'!U843</f>
        <v/>
      </c>
      <c r="C2878" s="84">
        <f>'Change Orders'!S843</f>
        <v/>
      </c>
      <c r="D2878" s="46">
        <f>'Change Orders'!T843</f>
        <v/>
      </c>
      <c r="E2878" s="46">
        <f>IF(OR(B2878="",C2878="",D2878=""),"",D2878*100000+(C2878-DATE(2000,1,1))+ROW()/100000)</f>
        <v/>
      </c>
      <c r="F2878" s="46">
        <f>IF(E2878="","",IF(C2878&gt;WeekEndDate,"",E2878))</f>
        <v/>
      </c>
    </row>
    <row r="2879">
      <c r="A2879" t="inlineStr">
        <is>
          <t>Change Orders</t>
        </is>
      </c>
      <c r="B2879" s="46">
        <f>'Change Orders'!U844</f>
        <v/>
      </c>
      <c r="C2879" s="84">
        <f>'Change Orders'!S844</f>
        <v/>
      </c>
      <c r="D2879" s="46">
        <f>'Change Orders'!T844</f>
        <v/>
      </c>
      <c r="E2879" s="46">
        <f>IF(OR(B2879="",C2879="",D2879=""),"",D2879*100000+(C2879-DATE(2000,1,1))+ROW()/100000)</f>
        <v/>
      </c>
      <c r="F2879" s="46">
        <f>IF(E2879="","",IF(C2879&gt;WeekEndDate,"",E2879))</f>
        <v/>
      </c>
    </row>
    <row r="2880">
      <c r="A2880" t="inlineStr">
        <is>
          <t>Change Orders</t>
        </is>
      </c>
      <c r="B2880" s="46">
        <f>'Change Orders'!U845</f>
        <v/>
      </c>
      <c r="C2880" s="84">
        <f>'Change Orders'!S845</f>
        <v/>
      </c>
      <c r="D2880" s="46">
        <f>'Change Orders'!T845</f>
        <v/>
      </c>
      <c r="E2880" s="46">
        <f>IF(OR(B2880="",C2880="",D2880=""),"",D2880*100000+(C2880-DATE(2000,1,1))+ROW()/100000)</f>
        <v/>
      </c>
      <c r="F2880" s="46">
        <f>IF(E2880="","",IF(C2880&gt;WeekEndDate,"",E2880))</f>
        <v/>
      </c>
    </row>
    <row r="2881">
      <c r="A2881" t="inlineStr">
        <is>
          <t>Change Orders</t>
        </is>
      </c>
      <c r="B2881" s="46">
        <f>'Change Orders'!U846</f>
        <v/>
      </c>
      <c r="C2881" s="84">
        <f>'Change Orders'!S846</f>
        <v/>
      </c>
      <c r="D2881" s="46">
        <f>'Change Orders'!T846</f>
        <v/>
      </c>
      <c r="E2881" s="46">
        <f>IF(OR(B2881="",C2881="",D2881=""),"",D2881*100000+(C2881-DATE(2000,1,1))+ROW()/100000)</f>
        <v/>
      </c>
      <c r="F2881" s="46">
        <f>IF(E2881="","",IF(C2881&gt;WeekEndDate,"",E2881))</f>
        <v/>
      </c>
    </row>
    <row r="2882">
      <c r="A2882" t="inlineStr">
        <is>
          <t>Change Orders</t>
        </is>
      </c>
      <c r="B2882" s="46">
        <f>'Change Orders'!U847</f>
        <v/>
      </c>
      <c r="C2882" s="84">
        <f>'Change Orders'!S847</f>
        <v/>
      </c>
      <c r="D2882" s="46">
        <f>'Change Orders'!T847</f>
        <v/>
      </c>
      <c r="E2882" s="46">
        <f>IF(OR(B2882="",C2882="",D2882=""),"",D2882*100000+(C2882-DATE(2000,1,1))+ROW()/100000)</f>
        <v/>
      </c>
      <c r="F2882" s="46">
        <f>IF(E2882="","",IF(C2882&gt;WeekEndDate,"",E2882))</f>
        <v/>
      </c>
    </row>
    <row r="2883">
      <c r="A2883" t="inlineStr">
        <is>
          <t>Change Orders</t>
        </is>
      </c>
      <c r="B2883" s="46">
        <f>'Change Orders'!U848</f>
        <v/>
      </c>
      <c r="C2883" s="84">
        <f>'Change Orders'!S848</f>
        <v/>
      </c>
      <c r="D2883" s="46">
        <f>'Change Orders'!T848</f>
        <v/>
      </c>
      <c r="E2883" s="46">
        <f>IF(OR(B2883="",C2883="",D2883=""),"",D2883*100000+(C2883-DATE(2000,1,1))+ROW()/100000)</f>
        <v/>
      </c>
      <c r="F2883" s="46">
        <f>IF(E2883="","",IF(C2883&gt;WeekEndDate,"",E2883))</f>
        <v/>
      </c>
    </row>
    <row r="2884">
      <c r="A2884" t="inlineStr">
        <is>
          <t>Change Orders</t>
        </is>
      </c>
      <c r="B2884" s="46">
        <f>'Change Orders'!U849</f>
        <v/>
      </c>
      <c r="C2884" s="84">
        <f>'Change Orders'!S849</f>
        <v/>
      </c>
      <c r="D2884" s="46">
        <f>'Change Orders'!T849</f>
        <v/>
      </c>
      <c r="E2884" s="46">
        <f>IF(OR(B2884="",C2884="",D2884=""),"",D2884*100000+(C2884-DATE(2000,1,1))+ROW()/100000)</f>
        <v/>
      </c>
      <c r="F2884" s="46">
        <f>IF(E2884="","",IF(C2884&gt;WeekEndDate,"",E2884))</f>
        <v/>
      </c>
    </row>
    <row r="2885">
      <c r="A2885" t="inlineStr">
        <is>
          <t>Change Orders</t>
        </is>
      </c>
      <c r="B2885" s="46">
        <f>'Change Orders'!U850</f>
        <v/>
      </c>
      <c r="C2885" s="84">
        <f>'Change Orders'!S850</f>
        <v/>
      </c>
      <c r="D2885" s="46">
        <f>'Change Orders'!T850</f>
        <v/>
      </c>
      <c r="E2885" s="46">
        <f>IF(OR(B2885="",C2885="",D2885=""),"",D2885*100000+(C2885-DATE(2000,1,1))+ROW()/100000)</f>
        <v/>
      </c>
      <c r="F2885" s="46">
        <f>IF(E2885="","",IF(C2885&gt;WeekEndDate,"",E2885))</f>
        <v/>
      </c>
    </row>
    <row r="2886">
      <c r="A2886" t="inlineStr">
        <is>
          <t>Change Orders</t>
        </is>
      </c>
      <c r="B2886" s="46">
        <f>'Change Orders'!U851</f>
        <v/>
      </c>
      <c r="C2886" s="84">
        <f>'Change Orders'!S851</f>
        <v/>
      </c>
      <c r="D2886" s="46">
        <f>'Change Orders'!T851</f>
        <v/>
      </c>
      <c r="E2886" s="46">
        <f>IF(OR(B2886="",C2886="",D2886=""),"",D2886*100000+(C2886-DATE(2000,1,1))+ROW()/100000)</f>
        <v/>
      </c>
      <c r="F2886" s="46">
        <f>IF(E2886="","",IF(C2886&gt;WeekEndDate,"",E2886))</f>
        <v/>
      </c>
    </row>
    <row r="2887">
      <c r="A2887" t="inlineStr">
        <is>
          <t>Change Orders</t>
        </is>
      </c>
      <c r="B2887" s="46">
        <f>'Change Orders'!U852</f>
        <v/>
      </c>
      <c r="C2887" s="84">
        <f>'Change Orders'!S852</f>
        <v/>
      </c>
      <c r="D2887" s="46">
        <f>'Change Orders'!T852</f>
        <v/>
      </c>
      <c r="E2887" s="46">
        <f>IF(OR(B2887="",C2887="",D2887=""),"",D2887*100000+(C2887-DATE(2000,1,1))+ROW()/100000)</f>
        <v/>
      </c>
      <c r="F2887" s="46">
        <f>IF(E2887="","",IF(C2887&gt;WeekEndDate,"",E2887))</f>
        <v/>
      </c>
    </row>
    <row r="2888">
      <c r="A2888" t="inlineStr">
        <is>
          <t>Change Orders</t>
        </is>
      </c>
      <c r="B2888" s="46">
        <f>'Change Orders'!U853</f>
        <v/>
      </c>
      <c r="C2888" s="84">
        <f>'Change Orders'!S853</f>
        <v/>
      </c>
      <c r="D2888" s="46">
        <f>'Change Orders'!T853</f>
        <v/>
      </c>
      <c r="E2888" s="46">
        <f>IF(OR(B2888="",C2888="",D2888=""),"",D2888*100000+(C2888-DATE(2000,1,1))+ROW()/100000)</f>
        <v/>
      </c>
      <c r="F2888" s="46">
        <f>IF(E2888="","",IF(C2888&gt;WeekEndDate,"",E2888))</f>
        <v/>
      </c>
    </row>
    <row r="2889">
      <c r="A2889" t="inlineStr">
        <is>
          <t>Change Orders</t>
        </is>
      </c>
      <c r="B2889" s="46">
        <f>'Change Orders'!U854</f>
        <v/>
      </c>
      <c r="C2889" s="84">
        <f>'Change Orders'!S854</f>
        <v/>
      </c>
      <c r="D2889" s="46">
        <f>'Change Orders'!T854</f>
        <v/>
      </c>
      <c r="E2889" s="46">
        <f>IF(OR(B2889="",C2889="",D2889=""),"",D2889*100000+(C2889-DATE(2000,1,1))+ROW()/100000)</f>
        <v/>
      </c>
      <c r="F2889" s="46">
        <f>IF(E2889="","",IF(C2889&gt;WeekEndDate,"",E2889))</f>
        <v/>
      </c>
    </row>
    <row r="2890">
      <c r="A2890" t="inlineStr">
        <is>
          <t>Change Orders</t>
        </is>
      </c>
      <c r="B2890" s="46">
        <f>'Change Orders'!U855</f>
        <v/>
      </c>
      <c r="C2890" s="84">
        <f>'Change Orders'!S855</f>
        <v/>
      </c>
      <c r="D2890" s="46">
        <f>'Change Orders'!T855</f>
        <v/>
      </c>
      <c r="E2890" s="46">
        <f>IF(OR(B2890="",C2890="",D2890=""),"",D2890*100000+(C2890-DATE(2000,1,1))+ROW()/100000)</f>
        <v/>
      </c>
      <c r="F2890" s="46">
        <f>IF(E2890="","",IF(C2890&gt;WeekEndDate,"",E2890))</f>
        <v/>
      </c>
    </row>
    <row r="2891">
      <c r="A2891" t="inlineStr">
        <is>
          <t>Change Orders</t>
        </is>
      </c>
      <c r="B2891" s="46">
        <f>'Change Orders'!U856</f>
        <v/>
      </c>
      <c r="C2891" s="84">
        <f>'Change Orders'!S856</f>
        <v/>
      </c>
      <c r="D2891" s="46">
        <f>'Change Orders'!T856</f>
        <v/>
      </c>
      <c r="E2891" s="46">
        <f>IF(OR(B2891="",C2891="",D2891=""),"",D2891*100000+(C2891-DATE(2000,1,1))+ROW()/100000)</f>
        <v/>
      </c>
      <c r="F2891" s="46">
        <f>IF(E2891="","",IF(C2891&gt;WeekEndDate,"",E2891))</f>
        <v/>
      </c>
    </row>
    <row r="2892">
      <c r="A2892" t="inlineStr">
        <is>
          <t>Change Orders</t>
        </is>
      </c>
      <c r="B2892" s="46">
        <f>'Change Orders'!U857</f>
        <v/>
      </c>
      <c r="C2892" s="84">
        <f>'Change Orders'!S857</f>
        <v/>
      </c>
      <c r="D2892" s="46">
        <f>'Change Orders'!T857</f>
        <v/>
      </c>
      <c r="E2892" s="46">
        <f>IF(OR(B2892="",C2892="",D2892=""),"",D2892*100000+(C2892-DATE(2000,1,1))+ROW()/100000)</f>
        <v/>
      </c>
      <c r="F2892" s="46">
        <f>IF(E2892="","",IF(C2892&gt;WeekEndDate,"",E2892))</f>
        <v/>
      </c>
    </row>
    <row r="2893">
      <c r="A2893" t="inlineStr">
        <is>
          <t>Change Orders</t>
        </is>
      </c>
      <c r="B2893" s="46">
        <f>'Change Orders'!U858</f>
        <v/>
      </c>
      <c r="C2893" s="84">
        <f>'Change Orders'!S858</f>
        <v/>
      </c>
      <c r="D2893" s="46">
        <f>'Change Orders'!T858</f>
        <v/>
      </c>
      <c r="E2893" s="46">
        <f>IF(OR(B2893="",C2893="",D2893=""),"",D2893*100000+(C2893-DATE(2000,1,1))+ROW()/100000)</f>
        <v/>
      </c>
      <c r="F2893" s="46">
        <f>IF(E2893="","",IF(C2893&gt;WeekEndDate,"",E2893))</f>
        <v/>
      </c>
    </row>
    <row r="2894">
      <c r="A2894" t="inlineStr">
        <is>
          <t>Change Orders</t>
        </is>
      </c>
      <c r="B2894" s="46">
        <f>'Change Orders'!U859</f>
        <v/>
      </c>
      <c r="C2894" s="84">
        <f>'Change Orders'!S859</f>
        <v/>
      </c>
      <c r="D2894" s="46">
        <f>'Change Orders'!T859</f>
        <v/>
      </c>
      <c r="E2894" s="46">
        <f>IF(OR(B2894="",C2894="",D2894=""),"",D2894*100000+(C2894-DATE(2000,1,1))+ROW()/100000)</f>
        <v/>
      </c>
      <c r="F2894" s="46">
        <f>IF(E2894="","",IF(C2894&gt;WeekEndDate,"",E2894))</f>
        <v/>
      </c>
    </row>
    <row r="2895">
      <c r="A2895" t="inlineStr">
        <is>
          <t>Change Orders</t>
        </is>
      </c>
      <c r="B2895" s="46">
        <f>'Change Orders'!U860</f>
        <v/>
      </c>
      <c r="C2895" s="84">
        <f>'Change Orders'!S860</f>
        <v/>
      </c>
      <c r="D2895" s="46">
        <f>'Change Orders'!T860</f>
        <v/>
      </c>
      <c r="E2895" s="46">
        <f>IF(OR(B2895="",C2895="",D2895=""),"",D2895*100000+(C2895-DATE(2000,1,1))+ROW()/100000)</f>
        <v/>
      </c>
      <c r="F2895" s="46">
        <f>IF(E2895="","",IF(C2895&gt;WeekEndDate,"",E2895))</f>
        <v/>
      </c>
    </row>
    <row r="2896">
      <c r="A2896" t="inlineStr">
        <is>
          <t>Change Orders</t>
        </is>
      </c>
      <c r="B2896" s="46">
        <f>'Change Orders'!U861</f>
        <v/>
      </c>
      <c r="C2896" s="84">
        <f>'Change Orders'!S861</f>
        <v/>
      </c>
      <c r="D2896" s="46">
        <f>'Change Orders'!T861</f>
        <v/>
      </c>
      <c r="E2896" s="46">
        <f>IF(OR(B2896="",C2896="",D2896=""),"",D2896*100000+(C2896-DATE(2000,1,1))+ROW()/100000)</f>
        <v/>
      </c>
      <c r="F2896" s="46">
        <f>IF(E2896="","",IF(C2896&gt;WeekEndDate,"",E2896))</f>
        <v/>
      </c>
    </row>
    <row r="2897">
      <c r="A2897" t="inlineStr">
        <is>
          <t>Change Orders</t>
        </is>
      </c>
      <c r="B2897" s="46">
        <f>'Change Orders'!U862</f>
        <v/>
      </c>
      <c r="C2897" s="84">
        <f>'Change Orders'!S862</f>
        <v/>
      </c>
      <c r="D2897" s="46">
        <f>'Change Orders'!T862</f>
        <v/>
      </c>
      <c r="E2897" s="46">
        <f>IF(OR(B2897="",C2897="",D2897=""),"",D2897*100000+(C2897-DATE(2000,1,1))+ROW()/100000)</f>
        <v/>
      </c>
      <c r="F2897" s="46">
        <f>IF(E2897="","",IF(C2897&gt;WeekEndDate,"",E2897))</f>
        <v/>
      </c>
    </row>
    <row r="2898">
      <c r="A2898" t="inlineStr">
        <is>
          <t>Change Orders</t>
        </is>
      </c>
      <c r="B2898" s="46">
        <f>'Change Orders'!U863</f>
        <v/>
      </c>
      <c r="C2898" s="84">
        <f>'Change Orders'!S863</f>
        <v/>
      </c>
      <c r="D2898" s="46">
        <f>'Change Orders'!T863</f>
        <v/>
      </c>
      <c r="E2898" s="46">
        <f>IF(OR(B2898="",C2898="",D2898=""),"",D2898*100000+(C2898-DATE(2000,1,1))+ROW()/100000)</f>
        <v/>
      </c>
      <c r="F2898" s="46">
        <f>IF(E2898="","",IF(C2898&gt;WeekEndDate,"",E2898))</f>
        <v/>
      </c>
    </row>
    <row r="2899">
      <c r="A2899" t="inlineStr">
        <is>
          <t>Change Orders</t>
        </is>
      </c>
      <c r="B2899" s="46">
        <f>'Change Orders'!U864</f>
        <v/>
      </c>
      <c r="C2899" s="84">
        <f>'Change Orders'!S864</f>
        <v/>
      </c>
      <c r="D2899" s="46">
        <f>'Change Orders'!T864</f>
        <v/>
      </c>
      <c r="E2899" s="46">
        <f>IF(OR(B2899="",C2899="",D2899=""),"",D2899*100000+(C2899-DATE(2000,1,1))+ROW()/100000)</f>
        <v/>
      </c>
      <c r="F2899" s="46">
        <f>IF(E2899="","",IF(C2899&gt;WeekEndDate,"",E2899))</f>
        <v/>
      </c>
    </row>
    <row r="2900">
      <c r="A2900" t="inlineStr">
        <is>
          <t>Change Orders</t>
        </is>
      </c>
      <c r="B2900" s="46">
        <f>'Change Orders'!U865</f>
        <v/>
      </c>
      <c r="C2900" s="84">
        <f>'Change Orders'!S865</f>
        <v/>
      </c>
      <c r="D2900" s="46">
        <f>'Change Orders'!T865</f>
        <v/>
      </c>
      <c r="E2900" s="46">
        <f>IF(OR(B2900="",C2900="",D2900=""),"",D2900*100000+(C2900-DATE(2000,1,1))+ROW()/100000)</f>
        <v/>
      </c>
      <c r="F2900" s="46">
        <f>IF(E2900="","",IF(C2900&gt;WeekEndDate,"",E2900))</f>
        <v/>
      </c>
    </row>
    <row r="2901">
      <c r="A2901" t="inlineStr">
        <is>
          <t>Change Orders</t>
        </is>
      </c>
      <c r="B2901" s="46">
        <f>'Change Orders'!U866</f>
        <v/>
      </c>
      <c r="C2901" s="84">
        <f>'Change Orders'!S866</f>
        <v/>
      </c>
      <c r="D2901" s="46">
        <f>'Change Orders'!T866</f>
        <v/>
      </c>
      <c r="E2901" s="46">
        <f>IF(OR(B2901="",C2901="",D2901=""),"",D2901*100000+(C2901-DATE(2000,1,1))+ROW()/100000)</f>
        <v/>
      </c>
      <c r="F2901" s="46">
        <f>IF(E2901="","",IF(C2901&gt;WeekEndDate,"",E2901))</f>
        <v/>
      </c>
    </row>
    <row r="2902">
      <c r="A2902" t="inlineStr">
        <is>
          <t>Change Orders</t>
        </is>
      </c>
      <c r="B2902" s="46">
        <f>'Change Orders'!U867</f>
        <v/>
      </c>
      <c r="C2902" s="84">
        <f>'Change Orders'!S867</f>
        <v/>
      </c>
      <c r="D2902" s="46">
        <f>'Change Orders'!T867</f>
        <v/>
      </c>
      <c r="E2902" s="46">
        <f>IF(OR(B2902="",C2902="",D2902=""),"",D2902*100000+(C2902-DATE(2000,1,1))+ROW()/100000)</f>
        <v/>
      </c>
      <c r="F2902" s="46">
        <f>IF(E2902="","",IF(C2902&gt;WeekEndDate,"",E2902))</f>
        <v/>
      </c>
    </row>
    <row r="2903">
      <c r="A2903" t="inlineStr">
        <is>
          <t>Change Orders</t>
        </is>
      </c>
      <c r="B2903" s="46">
        <f>'Change Orders'!U868</f>
        <v/>
      </c>
      <c r="C2903" s="84">
        <f>'Change Orders'!S868</f>
        <v/>
      </c>
      <c r="D2903" s="46">
        <f>'Change Orders'!T868</f>
        <v/>
      </c>
      <c r="E2903" s="46">
        <f>IF(OR(B2903="",C2903="",D2903=""),"",D2903*100000+(C2903-DATE(2000,1,1))+ROW()/100000)</f>
        <v/>
      </c>
      <c r="F2903" s="46">
        <f>IF(E2903="","",IF(C2903&gt;WeekEndDate,"",E2903))</f>
        <v/>
      </c>
    </row>
    <row r="2904">
      <c r="A2904" t="inlineStr">
        <is>
          <t>Change Orders</t>
        </is>
      </c>
      <c r="B2904" s="46">
        <f>'Change Orders'!U869</f>
        <v/>
      </c>
      <c r="C2904" s="84">
        <f>'Change Orders'!S869</f>
        <v/>
      </c>
      <c r="D2904" s="46">
        <f>'Change Orders'!T869</f>
        <v/>
      </c>
      <c r="E2904" s="46">
        <f>IF(OR(B2904="",C2904="",D2904=""),"",D2904*100000+(C2904-DATE(2000,1,1))+ROW()/100000)</f>
        <v/>
      </c>
      <c r="F2904" s="46">
        <f>IF(E2904="","",IF(C2904&gt;WeekEndDate,"",E2904))</f>
        <v/>
      </c>
    </row>
    <row r="2905">
      <c r="A2905" t="inlineStr">
        <is>
          <t>Change Orders</t>
        </is>
      </c>
      <c r="B2905" s="46">
        <f>'Change Orders'!U870</f>
        <v/>
      </c>
      <c r="C2905" s="84">
        <f>'Change Orders'!S870</f>
        <v/>
      </c>
      <c r="D2905" s="46">
        <f>'Change Orders'!T870</f>
        <v/>
      </c>
      <c r="E2905" s="46">
        <f>IF(OR(B2905="",C2905="",D2905=""),"",D2905*100000+(C2905-DATE(2000,1,1))+ROW()/100000)</f>
        <v/>
      </c>
      <c r="F2905" s="46">
        <f>IF(E2905="","",IF(C2905&gt;WeekEndDate,"",E2905))</f>
        <v/>
      </c>
    </row>
    <row r="2906">
      <c r="A2906" t="inlineStr">
        <is>
          <t>Change Orders</t>
        </is>
      </c>
      <c r="B2906" s="46">
        <f>'Change Orders'!U871</f>
        <v/>
      </c>
      <c r="C2906" s="84">
        <f>'Change Orders'!S871</f>
        <v/>
      </c>
      <c r="D2906" s="46">
        <f>'Change Orders'!T871</f>
        <v/>
      </c>
      <c r="E2906" s="46">
        <f>IF(OR(B2906="",C2906="",D2906=""),"",D2906*100000+(C2906-DATE(2000,1,1))+ROW()/100000)</f>
        <v/>
      </c>
      <c r="F2906" s="46">
        <f>IF(E2906="","",IF(C2906&gt;WeekEndDate,"",E2906))</f>
        <v/>
      </c>
    </row>
    <row r="2907">
      <c r="A2907" t="inlineStr">
        <is>
          <t>Change Orders</t>
        </is>
      </c>
      <c r="B2907" s="46">
        <f>'Change Orders'!U872</f>
        <v/>
      </c>
      <c r="C2907" s="84">
        <f>'Change Orders'!S872</f>
        <v/>
      </c>
      <c r="D2907" s="46">
        <f>'Change Orders'!T872</f>
        <v/>
      </c>
      <c r="E2907" s="46">
        <f>IF(OR(B2907="",C2907="",D2907=""),"",D2907*100000+(C2907-DATE(2000,1,1))+ROW()/100000)</f>
        <v/>
      </c>
      <c r="F2907" s="46">
        <f>IF(E2907="","",IF(C2907&gt;WeekEndDate,"",E2907))</f>
        <v/>
      </c>
    </row>
    <row r="2908">
      <c r="A2908" t="inlineStr">
        <is>
          <t>Change Orders</t>
        </is>
      </c>
      <c r="B2908" s="46">
        <f>'Change Orders'!U873</f>
        <v/>
      </c>
      <c r="C2908" s="84">
        <f>'Change Orders'!S873</f>
        <v/>
      </c>
      <c r="D2908" s="46">
        <f>'Change Orders'!T873</f>
        <v/>
      </c>
      <c r="E2908" s="46">
        <f>IF(OR(B2908="",C2908="",D2908=""),"",D2908*100000+(C2908-DATE(2000,1,1))+ROW()/100000)</f>
        <v/>
      </c>
      <c r="F2908" s="46">
        <f>IF(E2908="","",IF(C2908&gt;WeekEndDate,"",E2908))</f>
        <v/>
      </c>
    </row>
    <row r="2909">
      <c r="A2909" t="inlineStr">
        <is>
          <t>Change Orders</t>
        </is>
      </c>
      <c r="B2909" s="46">
        <f>'Change Orders'!U874</f>
        <v/>
      </c>
      <c r="C2909" s="84">
        <f>'Change Orders'!S874</f>
        <v/>
      </c>
      <c r="D2909" s="46">
        <f>'Change Orders'!T874</f>
        <v/>
      </c>
      <c r="E2909" s="46">
        <f>IF(OR(B2909="",C2909="",D2909=""),"",D2909*100000+(C2909-DATE(2000,1,1))+ROW()/100000)</f>
        <v/>
      </c>
      <c r="F2909" s="46">
        <f>IF(E2909="","",IF(C2909&gt;WeekEndDate,"",E2909))</f>
        <v/>
      </c>
    </row>
    <row r="2910">
      <c r="A2910" t="inlineStr">
        <is>
          <t>Change Orders</t>
        </is>
      </c>
      <c r="B2910" s="46">
        <f>'Change Orders'!U875</f>
        <v/>
      </c>
      <c r="C2910" s="84">
        <f>'Change Orders'!S875</f>
        <v/>
      </c>
      <c r="D2910" s="46">
        <f>'Change Orders'!T875</f>
        <v/>
      </c>
      <c r="E2910" s="46">
        <f>IF(OR(B2910="",C2910="",D2910=""),"",D2910*100000+(C2910-DATE(2000,1,1))+ROW()/100000)</f>
        <v/>
      </c>
      <c r="F2910" s="46">
        <f>IF(E2910="","",IF(C2910&gt;WeekEndDate,"",E2910))</f>
        <v/>
      </c>
    </row>
    <row r="2911">
      <c r="A2911" t="inlineStr">
        <is>
          <t>Change Orders</t>
        </is>
      </c>
      <c r="B2911" s="46">
        <f>'Change Orders'!U876</f>
        <v/>
      </c>
      <c r="C2911" s="84">
        <f>'Change Orders'!S876</f>
        <v/>
      </c>
      <c r="D2911" s="46">
        <f>'Change Orders'!T876</f>
        <v/>
      </c>
      <c r="E2911" s="46">
        <f>IF(OR(B2911="",C2911="",D2911=""),"",D2911*100000+(C2911-DATE(2000,1,1))+ROW()/100000)</f>
        <v/>
      </c>
      <c r="F2911" s="46">
        <f>IF(E2911="","",IF(C2911&gt;WeekEndDate,"",E2911))</f>
        <v/>
      </c>
    </row>
    <row r="2912">
      <c r="A2912" t="inlineStr">
        <is>
          <t>Change Orders</t>
        </is>
      </c>
      <c r="B2912" s="46">
        <f>'Change Orders'!U877</f>
        <v/>
      </c>
      <c r="C2912" s="84">
        <f>'Change Orders'!S877</f>
        <v/>
      </c>
      <c r="D2912" s="46">
        <f>'Change Orders'!T877</f>
        <v/>
      </c>
      <c r="E2912" s="46">
        <f>IF(OR(B2912="",C2912="",D2912=""),"",D2912*100000+(C2912-DATE(2000,1,1))+ROW()/100000)</f>
        <v/>
      </c>
      <c r="F2912" s="46">
        <f>IF(E2912="","",IF(C2912&gt;WeekEndDate,"",E2912))</f>
        <v/>
      </c>
    </row>
    <row r="2913">
      <c r="A2913" t="inlineStr">
        <is>
          <t>Change Orders</t>
        </is>
      </c>
      <c r="B2913" s="46">
        <f>'Change Orders'!U878</f>
        <v/>
      </c>
      <c r="C2913" s="84">
        <f>'Change Orders'!S878</f>
        <v/>
      </c>
      <c r="D2913" s="46">
        <f>'Change Orders'!T878</f>
        <v/>
      </c>
      <c r="E2913" s="46">
        <f>IF(OR(B2913="",C2913="",D2913=""),"",D2913*100000+(C2913-DATE(2000,1,1))+ROW()/100000)</f>
        <v/>
      </c>
      <c r="F2913" s="46">
        <f>IF(E2913="","",IF(C2913&gt;WeekEndDate,"",E2913))</f>
        <v/>
      </c>
    </row>
    <row r="2914">
      <c r="A2914" t="inlineStr">
        <is>
          <t>Change Orders</t>
        </is>
      </c>
      <c r="B2914" s="46">
        <f>'Change Orders'!U879</f>
        <v/>
      </c>
      <c r="C2914" s="84">
        <f>'Change Orders'!S879</f>
        <v/>
      </c>
      <c r="D2914" s="46">
        <f>'Change Orders'!T879</f>
        <v/>
      </c>
      <c r="E2914" s="46">
        <f>IF(OR(B2914="",C2914="",D2914=""),"",D2914*100000+(C2914-DATE(2000,1,1))+ROW()/100000)</f>
        <v/>
      </c>
      <c r="F2914" s="46">
        <f>IF(E2914="","",IF(C2914&gt;WeekEndDate,"",E2914))</f>
        <v/>
      </c>
    </row>
    <row r="2915">
      <c r="A2915" t="inlineStr">
        <is>
          <t>Change Orders</t>
        </is>
      </c>
      <c r="B2915" s="46">
        <f>'Change Orders'!U880</f>
        <v/>
      </c>
      <c r="C2915" s="84">
        <f>'Change Orders'!S880</f>
        <v/>
      </c>
      <c r="D2915" s="46">
        <f>'Change Orders'!T880</f>
        <v/>
      </c>
      <c r="E2915" s="46">
        <f>IF(OR(B2915="",C2915="",D2915=""),"",D2915*100000+(C2915-DATE(2000,1,1))+ROW()/100000)</f>
        <v/>
      </c>
      <c r="F2915" s="46">
        <f>IF(E2915="","",IF(C2915&gt;WeekEndDate,"",E2915))</f>
        <v/>
      </c>
    </row>
    <row r="2916">
      <c r="A2916" t="inlineStr">
        <is>
          <t>Change Orders</t>
        </is>
      </c>
      <c r="B2916" s="46">
        <f>'Change Orders'!U881</f>
        <v/>
      </c>
      <c r="C2916" s="84">
        <f>'Change Orders'!S881</f>
        <v/>
      </c>
      <c r="D2916" s="46">
        <f>'Change Orders'!T881</f>
        <v/>
      </c>
      <c r="E2916" s="46">
        <f>IF(OR(B2916="",C2916="",D2916=""),"",D2916*100000+(C2916-DATE(2000,1,1))+ROW()/100000)</f>
        <v/>
      </c>
      <c r="F2916" s="46">
        <f>IF(E2916="","",IF(C2916&gt;WeekEndDate,"",E2916))</f>
        <v/>
      </c>
    </row>
    <row r="2917">
      <c r="A2917" t="inlineStr">
        <is>
          <t>Change Orders</t>
        </is>
      </c>
      <c r="B2917" s="46">
        <f>'Change Orders'!U882</f>
        <v/>
      </c>
      <c r="C2917" s="84">
        <f>'Change Orders'!S882</f>
        <v/>
      </c>
      <c r="D2917" s="46">
        <f>'Change Orders'!T882</f>
        <v/>
      </c>
      <c r="E2917" s="46">
        <f>IF(OR(B2917="",C2917="",D2917=""),"",D2917*100000+(C2917-DATE(2000,1,1))+ROW()/100000)</f>
        <v/>
      </c>
      <c r="F2917" s="46">
        <f>IF(E2917="","",IF(C2917&gt;WeekEndDate,"",E2917))</f>
        <v/>
      </c>
    </row>
    <row r="2918">
      <c r="A2918" t="inlineStr">
        <is>
          <t>Change Orders</t>
        </is>
      </c>
      <c r="B2918" s="46">
        <f>'Change Orders'!U883</f>
        <v/>
      </c>
      <c r="C2918" s="84">
        <f>'Change Orders'!S883</f>
        <v/>
      </c>
      <c r="D2918" s="46">
        <f>'Change Orders'!T883</f>
        <v/>
      </c>
      <c r="E2918" s="46">
        <f>IF(OR(B2918="",C2918="",D2918=""),"",D2918*100000+(C2918-DATE(2000,1,1))+ROW()/100000)</f>
        <v/>
      </c>
      <c r="F2918" s="46">
        <f>IF(E2918="","",IF(C2918&gt;WeekEndDate,"",E2918))</f>
        <v/>
      </c>
    </row>
    <row r="2919">
      <c r="A2919" t="inlineStr">
        <is>
          <t>Change Orders</t>
        </is>
      </c>
      <c r="B2919" s="46">
        <f>'Change Orders'!U884</f>
        <v/>
      </c>
      <c r="C2919" s="84">
        <f>'Change Orders'!S884</f>
        <v/>
      </c>
      <c r="D2919" s="46">
        <f>'Change Orders'!T884</f>
        <v/>
      </c>
      <c r="E2919" s="46">
        <f>IF(OR(B2919="",C2919="",D2919=""),"",D2919*100000+(C2919-DATE(2000,1,1))+ROW()/100000)</f>
        <v/>
      </c>
      <c r="F2919" s="46">
        <f>IF(E2919="","",IF(C2919&gt;WeekEndDate,"",E2919))</f>
        <v/>
      </c>
    </row>
    <row r="2920">
      <c r="A2920" t="inlineStr">
        <is>
          <t>Change Orders</t>
        </is>
      </c>
      <c r="B2920" s="46">
        <f>'Change Orders'!U885</f>
        <v/>
      </c>
      <c r="C2920" s="84">
        <f>'Change Orders'!S885</f>
        <v/>
      </c>
      <c r="D2920" s="46">
        <f>'Change Orders'!T885</f>
        <v/>
      </c>
      <c r="E2920" s="46">
        <f>IF(OR(B2920="",C2920="",D2920=""),"",D2920*100000+(C2920-DATE(2000,1,1))+ROW()/100000)</f>
        <v/>
      </c>
      <c r="F2920" s="46">
        <f>IF(E2920="","",IF(C2920&gt;WeekEndDate,"",E2920))</f>
        <v/>
      </c>
    </row>
    <row r="2921">
      <c r="A2921" t="inlineStr">
        <is>
          <t>Change Orders</t>
        </is>
      </c>
      <c r="B2921" s="46">
        <f>'Change Orders'!U886</f>
        <v/>
      </c>
      <c r="C2921" s="84">
        <f>'Change Orders'!S886</f>
        <v/>
      </c>
      <c r="D2921" s="46">
        <f>'Change Orders'!T886</f>
        <v/>
      </c>
      <c r="E2921" s="46">
        <f>IF(OR(B2921="",C2921="",D2921=""),"",D2921*100000+(C2921-DATE(2000,1,1))+ROW()/100000)</f>
        <v/>
      </c>
      <c r="F2921" s="46">
        <f>IF(E2921="","",IF(C2921&gt;WeekEndDate,"",E2921))</f>
        <v/>
      </c>
    </row>
    <row r="2922">
      <c r="A2922" t="inlineStr">
        <is>
          <t>Change Orders</t>
        </is>
      </c>
      <c r="B2922" s="46">
        <f>'Change Orders'!U887</f>
        <v/>
      </c>
      <c r="C2922" s="84">
        <f>'Change Orders'!S887</f>
        <v/>
      </c>
      <c r="D2922" s="46">
        <f>'Change Orders'!T887</f>
        <v/>
      </c>
      <c r="E2922" s="46">
        <f>IF(OR(B2922="",C2922="",D2922=""),"",D2922*100000+(C2922-DATE(2000,1,1))+ROW()/100000)</f>
        <v/>
      </c>
      <c r="F2922" s="46">
        <f>IF(E2922="","",IF(C2922&gt;WeekEndDate,"",E2922))</f>
        <v/>
      </c>
    </row>
    <row r="2923">
      <c r="A2923" t="inlineStr">
        <is>
          <t>Change Orders</t>
        </is>
      </c>
      <c r="B2923" s="46">
        <f>'Change Orders'!U888</f>
        <v/>
      </c>
      <c r="C2923" s="84">
        <f>'Change Orders'!S888</f>
        <v/>
      </c>
      <c r="D2923" s="46">
        <f>'Change Orders'!T888</f>
        <v/>
      </c>
      <c r="E2923" s="46">
        <f>IF(OR(B2923="",C2923="",D2923=""),"",D2923*100000+(C2923-DATE(2000,1,1))+ROW()/100000)</f>
        <v/>
      </c>
      <c r="F2923" s="46">
        <f>IF(E2923="","",IF(C2923&gt;WeekEndDate,"",E2923))</f>
        <v/>
      </c>
    </row>
    <row r="2924">
      <c r="A2924" t="inlineStr">
        <is>
          <t>Change Orders</t>
        </is>
      </c>
      <c r="B2924" s="46">
        <f>'Change Orders'!U889</f>
        <v/>
      </c>
      <c r="C2924" s="84">
        <f>'Change Orders'!S889</f>
        <v/>
      </c>
      <c r="D2924" s="46">
        <f>'Change Orders'!T889</f>
        <v/>
      </c>
      <c r="E2924" s="46">
        <f>IF(OR(B2924="",C2924="",D2924=""),"",D2924*100000+(C2924-DATE(2000,1,1))+ROW()/100000)</f>
        <v/>
      </c>
      <c r="F2924" s="46">
        <f>IF(E2924="","",IF(C2924&gt;WeekEndDate,"",E2924))</f>
        <v/>
      </c>
    </row>
    <row r="2925">
      <c r="A2925" t="inlineStr">
        <is>
          <t>Change Orders</t>
        </is>
      </c>
      <c r="B2925" s="46">
        <f>'Change Orders'!U890</f>
        <v/>
      </c>
      <c r="C2925" s="84">
        <f>'Change Orders'!S890</f>
        <v/>
      </c>
      <c r="D2925" s="46">
        <f>'Change Orders'!T890</f>
        <v/>
      </c>
      <c r="E2925" s="46">
        <f>IF(OR(B2925="",C2925="",D2925=""),"",D2925*100000+(C2925-DATE(2000,1,1))+ROW()/100000)</f>
        <v/>
      </c>
      <c r="F2925" s="46">
        <f>IF(E2925="","",IF(C2925&gt;WeekEndDate,"",E2925))</f>
        <v/>
      </c>
    </row>
    <row r="2926">
      <c r="A2926" t="inlineStr">
        <is>
          <t>Change Orders</t>
        </is>
      </c>
      <c r="B2926" s="46">
        <f>'Change Orders'!U891</f>
        <v/>
      </c>
      <c r="C2926" s="84">
        <f>'Change Orders'!S891</f>
        <v/>
      </c>
      <c r="D2926" s="46">
        <f>'Change Orders'!T891</f>
        <v/>
      </c>
      <c r="E2926" s="46">
        <f>IF(OR(B2926="",C2926="",D2926=""),"",D2926*100000+(C2926-DATE(2000,1,1))+ROW()/100000)</f>
        <v/>
      </c>
      <c r="F2926" s="46">
        <f>IF(E2926="","",IF(C2926&gt;WeekEndDate,"",E2926))</f>
        <v/>
      </c>
    </row>
    <row r="2927">
      <c r="A2927" t="inlineStr">
        <is>
          <t>Change Orders</t>
        </is>
      </c>
      <c r="B2927" s="46">
        <f>'Change Orders'!U892</f>
        <v/>
      </c>
      <c r="C2927" s="84">
        <f>'Change Orders'!S892</f>
        <v/>
      </c>
      <c r="D2927" s="46">
        <f>'Change Orders'!T892</f>
        <v/>
      </c>
      <c r="E2927" s="46">
        <f>IF(OR(B2927="",C2927="",D2927=""),"",D2927*100000+(C2927-DATE(2000,1,1))+ROW()/100000)</f>
        <v/>
      </c>
      <c r="F2927" s="46">
        <f>IF(E2927="","",IF(C2927&gt;WeekEndDate,"",E2927))</f>
        <v/>
      </c>
    </row>
    <row r="2928">
      <c r="A2928" t="inlineStr">
        <is>
          <t>Change Orders</t>
        </is>
      </c>
      <c r="B2928" s="46">
        <f>'Change Orders'!U893</f>
        <v/>
      </c>
      <c r="C2928" s="84">
        <f>'Change Orders'!S893</f>
        <v/>
      </c>
      <c r="D2928" s="46">
        <f>'Change Orders'!T893</f>
        <v/>
      </c>
      <c r="E2928" s="46">
        <f>IF(OR(B2928="",C2928="",D2928=""),"",D2928*100000+(C2928-DATE(2000,1,1))+ROW()/100000)</f>
        <v/>
      </c>
      <c r="F2928" s="46">
        <f>IF(E2928="","",IF(C2928&gt;WeekEndDate,"",E2928))</f>
        <v/>
      </c>
    </row>
    <row r="2929">
      <c r="A2929" t="inlineStr">
        <is>
          <t>Change Orders</t>
        </is>
      </c>
      <c r="B2929" s="46">
        <f>'Change Orders'!U894</f>
        <v/>
      </c>
      <c r="C2929" s="84">
        <f>'Change Orders'!S894</f>
        <v/>
      </c>
      <c r="D2929" s="46">
        <f>'Change Orders'!T894</f>
        <v/>
      </c>
      <c r="E2929" s="46">
        <f>IF(OR(B2929="",C2929="",D2929=""),"",D2929*100000+(C2929-DATE(2000,1,1))+ROW()/100000)</f>
        <v/>
      </c>
      <c r="F2929" s="46">
        <f>IF(E2929="","",IF(C2929&gt;WeekEndDate,"",E2929))</f>
        <v/>
      </c>
    </row>
    <row r="2930">
      <c r="A2930" t="inlineStr">
        <is>
          <t>Change Orders</t>
        </is>
      </c>
      <c r="B2930" s="46">
        <f>'Change Orders'!U895</f>
        <v/>
      </c>
      <c r="C2930" s="84">
        <f>'Change Orders'!S895</f>
        <v/>
      </c>
      <c r="D2930" s="46">
        <f>'Change Orders'!T895</f>
        <v/>
      </c>
      <c r="E2930" s="46">
        <f>IF(OR(B2930="",C2930="",D2930=""),"",D2930*100000+(C2930-DATE(2000,1,1))+ROW()/100000)</f>
        <v/>
      </c>
      <c r="F2930" s="46">
        <f>IF(E2930="","",IF(C2930&gt;WeekEndDate,"",E2930))</f>
        <v/>
      </c>
    </row>
    <row r="2931">
      <c r="A2931" t="inlineStr">
        <is>
          <t>Change Orders</t>
        </is>
      </c>
      <c r="B2931" s="46">
        <f>'Change Orders'!U896</f>
        <v/>
      </c>
      <c r="C2931" s="84">
        <f>'Change Orders'!S896</f>
        <v/>
      </c>
      <c r="D2931" s="46">
        <f>'Change Orders'!T896</f>
        <v/>
      </c>
      <c r="E2931" s="46">
        <f>IF(OR(B2931="",C2931="",D2931=""),"",D2931*100000+(C2931-DATE(2000,1,1))+ROW()/100000)</f>
        <v/>
      </c>
      <c r="F2931" s="46">
        <f>IF(E2931="","",IF(C2931&gt;WeekEndDate,"",E2931))</f>
        <v/>
      </c>
    </row>
    <row r="2932">
      <c r="A2932" t="inlineStr">
        <is>
          <t>Change Orders</t>
        </is>
      </c>
      <c r="B2932" s="46">
        <f>'Change Orders'!U897</f>
        <v/>
      </c>
      <c r="C2932" s="84">
        <f>'Change Orders'!S897</f>
        <v/>
      </c>
      <c r="D2932" s="46">
        <f>'Change Orders'!T897</f>
        <v/>
      </c>
      <c r="E2932" s="46">
        <f>IF(OR(B2932="",C2932="",D2932=""),"",D2932*100000+(C2932-DATE(2000,1,1))+ROW()/100000)</f>
        <v/>
      </c>
      <c r="F2932" s="46">
        <f>IF(E2932="","",IF(C2932&gt;WeekEndDate,"",E2932))</f>
        <v/>
      </c>
    </row>
    <row r="2933">
      <c r="A2933" t="inlineStr">
        <is>
          <t>Change Orders</t>
        </is>
      </c>
      <c r="B2933" s="46">
        <f>'Change Orders'!U898</f>
        <v/>
      </c>
      <c r="C2933" s="84">
        <f>'Change Orders'!S898</f>
        <v/>
      </c>
      <c r="D2933" s="46">
        <f>'Change Orders'!T898</f>
        <v/>
      </c>
      <c r="E2933" s="46">
        <f>IF(OR(B2933="",C2933="",D2933=""),"",D2933*100000+(C2933-DATE(2000,1,1))+ROW()/100000)</f>
        <v/>
      </c>
      <c r="F2933" s="46">
        <f>IF(E2933="","",IF(C2933&gt;WeekEndDate,"",E2933))</f>
        <v/>
      </c>
    </row>
    <row r="2934">
      <c r="A2934" t="inlineStr">
        <is>
          <t>Change Orders</t>
        </is>
      </c>
      <c r="B2934" s="46">
        <f>'Change Orders'!U899</f>
        <v/>
      </c>
      <c r="C2934" s="84">
        <f>'Change Orders'!S899</f>
        <v/>
      </c>
      <c r="D2934" s="46">
        <f>'Change Orders'!T899</f>
        <v/>
      </c>
      <c r="E2934" s="46">
        <f>IF(OR(B2934="",C2934="",D2934=""),"",D2934*100000+(C2934-DATE(2000,1,1))+ROW()/100000)</f>
        <v/>
      </c>
      <c r="F2934" s="46">
        <f>IF(E2934="","",IF(C2934&gt;WeekEndDate,"",E2934))</f>
        <v/>
      </c>
    </row>
    <row r="2935">
      <c r="A2935" t="inlineStr">
        <is>
          <t>Change Orders</t>
        </is>
      </c>
      <c r="B2935" s="46">
        <f>'Change Orders'!U900</f>
        <v/>
      </c>
      <c r="C2935" s="84">
        <f>'Change Orders'!S900</f>
        <v/>
      </c>
      <c r="D2935" s="46">
        <f>'Change Orders'!T900</f>
        <v/>
      </c>
      <c r="E2935" s="46">
        <f>IF(OR(B2935="",C2935="",D2935=""),"",D2935*100000+(C2935-DATE(2000,1,1))+ROW()/100000)</f>
        <v/>
      </c>
      <c r="F2935" s="46">
        <f>IF(E2935="","",IF(C2935&gt;WeekEndDate,"",E2935))</f>
        <v/>
      </c>
    </row>
    <row r="2936">
      <c r="A2936" t="inlineStr">
        <is>
          <t>Change Orders</t>
        </is>
      </c>
      <c r="B2936" s="46">
        <f>'Change Orders'!U901</f>
        <v/>
      </c>
      <c r="C2936" s="84">
        <f>'Change Orders'!S901</f>
        <v/>
      </c>
      <c r="D2936" s="46">
        <f>'Change Orders'!T901</f>
        <v/>
      </c>
      <c r="E2936" s="46">
        <f>IF(OR(B2936="",C2936="",D2936=""),"",D2936*100000+(C2936-DATE(2000,1,1))+ROW()/100000)</f>
        <v/>
      </c>
      <c r="F2936" s="46">
        <f>IF(E2936="","",IF(C2936&gt;WeekEndDate,"",E2936))</f>
        <v/>
      </c>
    </row>
    <row r="2937">
      <c r="A2937" t="inlineStr">
        <is>
          <t>Change Orders</t>
        </is>
      </c>
      <c r="B2937" s="46">
        <f>'Change Orders'!U902</f>
        <v/>
      </c>
      <c r="C2937" s="84">
        <f>'Change Orders'!S902</f>
        <v/>
      </c>
      <c r="D2937" s="46">
        <f>'Change Orders'!T902</f>
        <v/>
      </c>
      <c r="E2937" s="46">
        <f>IF(OR(B2937="",C2937="",D2937=""),"",D2937*100000+(C2937-DATE(2000,1,1))+ROW()/100000)</f>
        <v/>
      </c>
      <c r="F2937" s="46">
        <f>IF(E2937="","",IF(C2937&gt;WeekEndDate,"",E2937))</f>
        <v/>
      </c>
    </row>
    <row r="2938">
      <c r="A2938" t="inlineStr">
        <is>
          <t>Change Orders</t>
        </is>
      </c>
      <c r="B2938" s="46">
        <f>'Change Orders'!U903</f>
        <v/>
      </c>
      <c r="C2938" s="84">
        <f>'Change Orders'!S903</f>
        <v/>
      </c>
      <c r="D2938" s="46">
        <f>'Change Orders'!T903</f>
        <v/>
      </c>
      <c r="E2938" s="46">
        <f>IF(OR(B2938="",C2938="",D2938=""),"",D2938*100000+(C2938-DATE(2000,1,1))+ROW()/100000)</f>
        <v/>
      </c>
      <c r="F2938" s="46">
        <f>IF(E2938="","",IF(C2938&gt;WeekEndDate,"",E2938))</f>
        <v/>
      </c>
    </row>
    <row r="2939">
      <c r="A2939" t="inlineStr">
        <is>
          <t>Change Orders</t>
        </is>
      </c>
      <c r="B2939" s="46">
        <f>'Change Orders'!U904</f>
        <v/>
      </c>
      <c r="C2939" s="84">
        <f>'Change Orders'!S904</f>
        <v/>
      </c>
      <c r="D2939" s="46">
        <f>'Change Orders'!T904</f>
        <v/>
      </c>
      <c r="E2939" s="46">
        <f>IF(OR(B2939="",C2939="",D2939=""),"",D2939*100000+(C2939-DATE(2000,1,1))+ROW()/100000)</f>
        <v/>
      </c>
      <c r="F2939" s="46">
        <f>IF(E2939="","",IF(C2939&gt;WeekEndDate,"",E2939))</f>
        <v/>
      </c>
    </row>
    <row r="2940">
      <c r="A2940" t="inlineStr">
        <is>
          <t>Change Orders</t>
        </is>
      </c>
      <c r="B2940" s="46">
        <f>'Change Orders'!U905</f>
        <v/>
      </c>
      <c r="C2940" s="84">
        <f>'Change Orders'!S905</f>
        <v/>
      </c>
      <c r="D2940" s="46">
        <f>'Change Orders'!T905</f>
        <v/>
      </c>
      <c r="E2940" s="46">
        <f>IF(OR(B2940="",C2940="",D2940=""),"",D2940*100000+(C2940-DATE(2000,1,1))+ROW()/100000)</f>
        <v/>
      </c>
      <c r="F2940" s="46">
        <f>IF(E2940="","",IF(C2940&gt;WeekEndDate,"",E2940))</f>
        <v/>
      </c>
    </row>
    <row r="2941">
      <c r="A2941" t="inlineStr">
        <is>
          <t>Change Orders</t>
        </is>
      </c>
      <c r="B2941" s="46">
        <f>'Change Orders'!U906</f>
        <v/>
      </c>
      <c r="C2941" s="84">
        <f>'Change Orders'!S906</f>
        <v/>
      </c>
      <c r="D2941" s="46">
        <f>'Change Orders'!T906</f>
        <v/>
      </c>
      <c r="E2941" s="46">
        <f>IF(OR(B2941="",C2941="",D2941=""),"",D2941*100000+(C2941-DATE(2000,1,1))+ROW()/100000)</f>
        <v/>
      </c>
      <c r="F2941" s="46">
        <f>IF(E2941="","",IF(C2941&gt;WeekEndDate,"",E2941))</f>
        <v/>
      </c>
    </row>
    <row r="2942">
      <c r="A2942" t="inlineStr">
        <is>
          <t>Change Orders</t>
        </is>
      </c>
      <c r="B2942" s="46">
        <f>'Change Orders'!U907</f>
        <v/>
      </c>
      <c r="C2942" s="84">
        <f>'Change Orders'!S907</f>
        <v/>
      </c>
      <c r="D2942" s="46">
        <f>'Change Orders'!T907</f>
        <v/>
      </c>
      <c r="E2942" s="46">
        <f>IF(OR(B2942="",C2942="",D2942=""),"",D2942*100000+(C2942-DATE(2000,1,1))+ROW()/100000)</f>
        <v/>
      </c>
      <c r="F2942" s="46">
        <f>IF(E2942="","",IF(C2942&gt;WeekEndDate,"",E2942))</f>
        <v/>
      </c>
    </row>
    <row r="2943">
      <c r="A2943" t="inlineStr">
        <is>
          <t>Change Orders</t>
        </is>
      </c>
      <c r="B2943" s="46">
        <f>'Change Orders'!U908</f>
        <v/>
      </c>
      <c r="C2943" s="84">
        <f>'Change Orders'!S908</f>
        <v/>
      </c>
      <c r="D2943" s="46">
        <f>'Change Orders'!T908</f>
        <v/>
      </c>
      <c r="E2943" s="46">
        <f>IF(OR(B2943="",C2943="",D2943=""),"",D2943*100000+(C2943-DATE(2000,1,1))+ROW()/100000)</f>
        <v/>
      </c>
      <c r="F2943" s="46">
        <f>IF(E2943="","",IF(C2943&gt;WeekEndDate,"",E2943))</f>
        <v/>
      </c>
    </row>
    <row r="2944">
      <c r="A2944" t="inlineStr">
        <is>
          <t>Change Orders</t>
        </is>
      </c>
      <c r="B2944" s="46">
        <f>'Change Orders'!U909</f>
        <v/>
      </c>
      <c r="C2944" s="84">
        <f>'Change Orders'!S909</f>
        <v/>
      </c>
      <c r="D2944" s="46">
        <f>'Change Orders'!T909</f>
        <v/>
      </c>
      <c r="E2944" s="46">
        <f>IF(OR(B2944="",C2944="",D2944=""),"",D2944*100000+(C2944-DATE(2000,1,1))+ROW()/100000)</f>
        <v/>
      </c>
      <c r="F2944" s="46">
        <f>IF(E2944="","",IF(C2944&gt;WeekEndDate,"",E2944))</f>
        <v/>
      </c>
    </row>
    <row r="2945">
      <c r="A2945" t="inlineStr">
        <is>
          <t>Change Orders</t>
        </is>
      </c>
      <c r="B2945" s="46">
        <f>'Change Orders'!U910</f>
        <v/>
      </c>
      <c r="C2945" s="84">
        <f>'Change Orders'!S910</f>
        <v/>
      </c>
      <c r="D2945" s="46">
        <f>'Change Orders'!T910</f>
        <v/>
      </c>
      <c r="E2945" s="46">
        <f>IF(OR(B2945="",C2945="",D2945=""),"",D2945*100000+(C2945-DATE(2000,1,1))+ROW()/100000)</f>
        <v/>
      </c>
      <c r="F2945" s="46">
        <f>IF(E2945="","",IF(C2945&gt;WeekEndDate,"",E2945))</f>
        <v/>
      </c>
    </row>
    <row r="2946">
      <c r="A2946" t="inlineStr">
        <is>
          <t>Change Orders</t>
        </is>
      </c>
      <c r="B2946" s="46">
        <f>'Change Orders'!U911</f>
        <v/>
      </c>
      <c r="C2946" s="84">
        <f>'Change Orders'!S911</f>
        <v/>
      </c>
      <c r="D2946" s="46">
        <f>'Change Orders'!T911</f>
        <v/>
      </c>
      <c r="E2946" s="46">
        <f>IF(OR(B2946="",C2946="",D2946=""),"",D2946*100000+(C2946-DATE(2000,1,1))+ROW()/100000)</f>
        <v/>
      </c>
      <c r="F2946" s="46">
        <f>IF(E2946="","",IF(C2946&gt;WeekEndDate,"",E2946))</f>
        <v/>
      </c>
    </row>
    <row r="2947">
      <c r="A2947" t="inlineStr">
        <is>
          <t>Change Orders</t>
        </is>
      </c>
      <c r="B2947" s="46">
        <f>'Change Orders'!U912</f>
        <v/>
      </c>
      <c r="C2947" s="84">
        <f>'Change Orders'!S912</f>
        <v/>
      </c>
      <c r="D2947" s="46">
        <f>'Change Orders'!T912</f>
        <v/>
      </c>
      <c r="E2947" s="46">
        <f>IF(OR(B2947="",C2947="",D2947=""),"",D2947*100000+(C2947-DATE(2000,1,1))+ROW()/100000)</f>
        <v/>
      </c>
      <c r="F2947" s="46">
        <f>IF(E2947="","",IF(C2947&gt;WeekEndDate,"",E2947))</f>
        <v/>
      </c>
    </row>
    <row r="2948">
      <c r="A2948" t="inlineStr">
        <is>
          <t>Change Orders</t>
        </is>
      </c>
      <c r="B2948" s="46">
        <f>'Change Orders'!U913</f>
        <v/>
      </c>
      <c r="C2948" s="84">
        <f>'Change Orders'!S913</f>
        <v/>
      </c>
      <c r="D2948" s="46">
        <f>'Change Orders'!T913</f>
        <v/>
      </c>
      <c r="E2948" s="46">
        <f>IF(OR(B2948="",C2948="",D2948=""),"",D2948*100000+(C2948-DATE(2000,1,1))+ROW()/100000)</f>
        <v/>
      </c>
      <c r="F2948" s="46">
        <f>IF(E2948="","",IF(C2948&gt;WeekEndDate,"",E2948))</f>
        <v/>
      </c>
    </row>
    <row r="2949">
      <c r="A2949" t="inlineStr">
        <is>
          <t>Change Orders</t>
        </is>
      </c>
      <c r="B2949" s="46">
        <f>'Change Orders'!U914</f>
        <v/>
      </c>
      <c r="C2949" s="84">
        <f>'Change Orders'!S914</f>
        <v/>
      </c>
      <c r="D2949" s="46">
        <f>'Change Orders'!T914</f>
        <v/>
      </c>
      <c r="E2949" s="46">
        <f>IF(OR(B2949="",C2949="",D2949=""),"",D2949*100000+(C2949-DATE(2000,1,1))+ROW()/100000)</f>
        <v/>
      </c>
      <c r="F2949" s="46">
        <f>IF(E2949="","",IF(C2949&gt;WeekEndDate,"",E2949))</f>
        <v/>
      </c>
    </row>
    <row r="2950">
      <c r="A2950" t="inlineStr">
        <is>
          <t>Change Orders</t>
        </is>
      </c>
      <c r="B2950" s="46">
        <f>'Change Orders'!U915</f>
        <v/>
      </c>
      <c r="C2950" s="84">
        <f>'Change Orders'!S915</f>
        <v/>
      </c>
      <c r="D2950" s="46">
        <f>'Change Orders'!T915</f>
        <v/>
      </c>
      <c r="E2950" s="46">
        <f>IF(OR(B2950="",C2950="",D2950=""),"",D2950*100000+(C2950-DATE(2000,1,1))+ROW()/100000)</f>
        <v/>
      </c>
      <c r="F2950" s="46">
        <f>IF(E2950="","",IF(C2950&gt;WeekEndDate,"",E2950))</f>
        <v/>
      </c>
    </row>
    <row r="2951">
      <c r="A2951" t="inlineStr">
        <is>
          <t>Change Orders</t>
        </is>
      </c>
      <c r="B2951" s="46">
        <f>'Change Orders'!U916</f>
        <v/>
      </c>
      <c r="C2951" s="84">
        <f>'Change Orders'!S916</f>
        <v/>
      </c>
      <c r="D2951" s="46">
        <f>'Change Orders'!T916</f>
        <v/>
      </c>
      <c r="E2951" s="46">
        <f>IF(OR(B2951="",C2951="",D2951=""),"",D2951*100000+(C2951-DATE(2000,1,1))+ROW()/100000)</f>
        <v/>
      </c>
      <c r="F2951" s="46">
        <f>IF(E2951="","",IF(C2951&gt;WeekEndDate,"",E2951))</f>
        <v/>
      </c>
    </row>
    <row r="2952">
      <c r="A2952" t="inlineStr">
        <is>
          <t>Change Orders</t>
        </is>
      </c>
      <c r="B2952" s="46">
        <f>'Change Orders'!U917</f>
        <v/>
      </c>
      <c r="C2952" s="84">
        <f>'Change Orders'!S917</f>
        <v/>
      </c>
      <c r="D2952" s="46">
        <f>'Change Orders'!T917</f>
        <v/>
      </c>
      <c r="E2952" s="46">
        <f>IF(OR(B2952="",C2952="",D2952=""),"",D2952*100000+(C2952-DATE(2000,1,1))+ROW()/100000)</f>
        <v/>
      </c>
      <c r="F2952" s="46">
        <f>IF(E2952="","",IF(C2952&gt;WeekEndDate,"",E2952))</f>
        <v/>
      </c>
    </row>
    <row r="2953">
      <c r="A2953" t="inlineStr">
        <is>
          <t>Change Orders</t>
        </is>
      </c>
      <c r="B2953" s="46">
        <f>'Change Orders'!U918</f>
        <v/>
      </c>
      <c r="C2953" s="84">
        <f>'Change Orders'!S918</f>
        <v/>
      </c>
      <c r="D2953" s="46">
        <f>'Change Orders'!T918</f>
        <v/>
      </c>
      <c r="E2953" s="46">
        <f>IF(OR(B2953="",C2953="",D2953=""),"",D2953*100000+(C2953-DATE(2000,1,1))+ROW()/100000)</f>
        <v/>
      </c>
      <c r="F2953" s="46">
        <f>IF(E2953="","",IF(C2953&gt;WeekEndDate,"",E2953))</f>
        <v/>
      </c>
    </row>
    <row r="2954">
      <c r="A2954" t="inlineStr">
        <is>
          <t>Change Orders</t>
        </is>
      </c>
      <c r="B2954" s="46">
        <f>'Change Orders'!U919</f>
        <v/>
      </c>
      <c r="C2954" s="84">
        <f>'Change Orders'!S919</f>
        <v/>
      </c>
      <c r="D2954" s="46">
        <f>'Change Orders'!T919</f>
        <v/>
      </c>
      <c r="E2954" s="46">
        <f>IF(OR(B2954="",C2954="",D2954=""),"",D2954*100000+(C2954-DATE(2000,1,1))+ROW()/100000)</f>
        <v/>
      </c>
      <c r="F2954" s="46">
        <f>IF(E2954="","",IF(C2954&gt;WeekEndDate,"",E2954))</f>
        <v/>
      </c>
    </row>
    <row r="2955">
      <c r="A2955" t="inlineStr">
        <is>
          <t>Change Orders</t>
        </is>
      </c>
      <c r="B2955" s="46">
        <f>'Change Orders'!U920</f>
        <v/>
      </c>
      <c r="C2955" s="84">
        <f>'Change Orders'!S920</f>
        <v/>
      </c>
      <c r="D2955" s="46">
        <f>'Change Orders'!T920</f>
        <v/>
      </c>
      <c r="E2955" s="46">
        <f>IF(OR(B2955="",C2955="",D2955=""),"",D2955*100000+(C2955-DATE(2000,1,1))+ROW()/100000)</f>
        <v/>
      </c>
      <c r="F2955" s="46">
        <f>IF(E2955="","",IF(C2955&gt;WeekEndDate,"",E2955))</f>
        <v/>
      </c>
    </row>
    <row r="2956">
      <c r="A2956" t="inlineStr">
        <is>
          <t>Change Orders</t>
        </is>
      </c>
      <c r="B2956" s="46">
        <f>'Change Orders'!U921</f>
        <v/>
      </c>
      <c r="C2956" s="84">
        <f>'Change Orders'!S921</f>
        <v/>
      </c>
      <c r="D2956" s="46">
        <f>'Change Orders'!T921</f>
        <v/>
      </c>
      <c r="E2956" s="46">
        <f>IF(OR(B2956="",C2956="",D2956=""),"",D2956*100000+(C2956-DATE(2000,1,1))+ROW()/100000)</f>
        <v/>
      </c>
      <c r="F2956" s="46">
        <f>IF(E2956="","",IF(C2956&gt;WeekEndDate,"",E2956))</f>
        <v/>
      </c>
    </row>
    <row r="2957">
      <c r="A2957" t="inlineStr">
        <is>
          <t>Change Orders</t>
        </is>
      </c>
      <c r="B2957" s="46">
        <f>'Change Orders'!U922</f>
        <v/>
      </c>
      <c r="C2957" s="84">
        <f>'Change Orders'!S922</f>
        <v/>
      </c>
      <c r="D2957" s="46">
        <f>'Change Orders'!T922</f>
        <v/>
      </c>
      <c r="E2957" s="46">
        <f>IF(OR(B2957="",C2957="",D2957=""),"",D2957*100000+(C2957-DATE(2000,1,1))+ROW()/100000)</f>
        <v/>
      </c>
      <c r="F2957" s="46">
        <f>IF(E2957="","",IF(C2957&gt;WeekEndDate,"",E2957))</f>
        <v/>
      </c>
    </row>
    <row r="2958">
      <c r="A2958" t="inlineStr">
        <is>
          <t>Change Orders</t>
        </is>
      </c>
      <c r="B2958" s="46">
        <f>'Change Orders'!U923</f>
        <v/>
      </c>
      <c r="C2958" s="84">
        <f>'Change Orders'!S923</f>
        <v/>
      </c>
      <c r="D2958" s="46">
        <f>'Change Orders'!T923</f>
        <v/>
      </c>
      <c r="E2958" s="46">
        <f>IF(OR(B2958="",C2958="",D2958=""),"",D2958*100000+(C2958-DATE(2000,1,1))+ROW()/100000)</f>
        <v/>
      </c>
      <c r="F2958" s="46">
        <f>IF(E2958="","",IF(C2958&gt;WeekEndDate,"",E2958))</f>
        <v/>
      </c>
    </row>
    <row r="2959">
      <c r="A2959" t="inlineStr">
        <is>
          <t>Change Orders</t>
        </is>
      </c>
      <c r="B2959" s="46">
        <f>'Change Orders'!U924</f>
        <v/>
      </c>
      <c r="C2959" s="84">
        <f>'Change Orders'!S924</f>
        <v/>
      </c>
      <c r="D2959" s="46">
        <f>'Change Orders'!T924</f>
        <v/>
      </c>
      <c r="E2959" s="46">
        <f>IF(OR(B2959="",C2959="",D2959=""),"",D2959*100000+(C2959-DATE(2000,1,1))+ROW()/100000)</f>
        <v/>
      </c>
      <c r="F2959" s="46">
        <f>IF(E2959="","",IF(C2959&gt;WeekEndDate,"",E2959))</f>
        <v/>
      </c>
    </row>
    <row r="2960">
      <c r="A2960" t="inlineStr">
        <is>
          <t>Change Orders</t>
        </is>
      </c>
      <c r="B2960" s="46">
        <f>'Change Orders'!U925</f>
        <v/>
      </c>
      <c r="C2960" s="84">
        <f>'Change Orders'!S925</f>
        <v/>
      </c>
      <c r="D2960" s="46">
        <f>'Change Orders'!T925</f>
        <v/>
      </c>
      <c r="E2960" s="46">
        <f>IF(OR(B2960="",C2960="",D2960=""),"",D2960*100000+(C2960-DATE(2000,1,1))+ROW()/100000)</f>
        <v/>
      </c>
      <c r="F2960" s="46">
        <f>IF(E2960="","",IF(C2960&gt;WeekEndDate,"",E2960))</f>
        <v/>
      </c>
    </row>
    <row r="2961">
      <c r="A2961" t="inlineStr">
        <is>
          <t>Change Orders</t>
        </is>
      </c>
      <c r="B2961" s="46">
        <f>'Change Orders'!U926</f>
        <v/>
      </c>
      <c r="C2961" s="84">
        <f>'Change Orders'!S926</f>
        <v/>
      </c>
      <c r="D2961" s="46">
        <f>'Change Orders'!T926</f>
        <v/>
      </c>
      <c r="E2961" s="46">
        <f>IF(OR(B2961="",C2961="",D2961=""),"",D2961*100000+(C2961-DATE(2000,1,1))+ROW()/100000)</f>
        <v/>
      </c>
      <c r="F2961" s="46">
        <f>IF(E2961="","",IF(C2961&gt;WeekEndDate,"",E2961))</f>
        <v/>
      </c>
    </row>
    <row r="2962">
      <c r="A2962" t="inlineStr">
        <is>
          <t>Change Orders</t>
        </is>
      </c>
      <c r="B2962" s="46">
        <f>'Change Orders'!U927</f>
        <v/>
      </c>
      <c r="C2962" s="84">
        <f>'Change Orders'!S927</f>
        <v/>
      </c>
      <c r="D2962" s="46">
        <f>'Change Orders'!T927</f>
        <v/>
      </c>
      <c r="E2962" s="46">
        <f>IF(OR(B2962="",C2962="",D2962=""),"",D2962*100000+(C2962-DATE(2000,1,1))+ROW()/100000)</f>
        <v/>
      </c>
      <c r="F2962" s="46">
        <f>IF(E2962="","",IF(C2962&gt;WeekEndDate,"",E2962))</f>
        <v/>
      </c>
    </row>
    <row r="2963">
      <c r="A2963" t="inlineStr">
        <is>
          <t>Change Orders</t>
        </is>
      </c>
      <c r="B2963" s="46">
        <f>'Change Orders'!U928</f>
        <v/>
      </c>
      <c r="C2963" s="84">
        <f>'Change Orders'!S928</f>
        <v/>
      </c>
      <c r="D2963" s="46">
        <f>'Change Orders'!T928</f>
        <v/>
      </c>
      <c r="E2963" s="46">
        <f>IF(OR(B2963="",C2963="",D2963=""),"",D2963*100000+(C2963-DATE(2000,1,1))+ROW()/100000)</f>
        <v/>
      </c>
      <c r="F2963" s="46">
        <f>IF(E2963="","",IF(C2963&gt;WeekEndDate,"",E2963))</f>
        <v/>
      </c>
    </row>
    <row r="2964">
      <c r="A2964" t="inlineStr">
        <is>
          <t>Change Orders</t>
        </is>
      </c>
      <c r="B2964" s="46">
        <f>'Change Orders'!U929</f>
        <v/>
      </c>
      <c r="C2964" s="84">
        <f>'Change Orders'!S929</f>
        <v/>
      </c>
      <c r="D2964" s="46">
        <f>'Change Orders'!T929</f>
        <v/>
      </c>
      <c r="E2964" s="46">
        <f>IF(OR(B2964="",C2964="",D2964=""),"",D2964*100000+(C2964-DATE(2000,1,1))+ROW()/100000)</f>
        <v/>
      </c>
      <c r="F2964" s="46">
        <f>IF(E2964="","",IF(C2964&gt;WeekEndDate,"",E2964))</f>
        <v/>
      </c>
    </row>
    <row r="2965">
      <c r="A2965" t="inlineStr">
        <is>
          <t>Change Orders</t>
        </is>
      </c>
      <c r="B2965" s="46">
        <f>'Change Orders'!U930</f>
        <v/>
      </c>
      <c r="C2965" s="84">
        <f>'Change Orders'!S930</f>
        <v/>
      </c>
      <c r="D2965" s="46">
        <f>'Change Orders'!T930</f>
        <v/>
      </c>
      <c r="E2965" s="46">
        <f>IF(OR(B2965="",C2965="",D2965=""),"",D2965*100000+(C2965-DATE(2000,1,1))+ROW()/100000)</f>
        <v/>
      </c>
      <c r="F2965" s="46">
        <f>IF(E2965="","",IF(C2965&gt;WeekEndDate,"",E2965))</f>
        <v/>
      </c>
    </row>
    <row r="2966">
      <c r="A2966" t="inlineStr">
        <is>
          <t>Change Orders</t>
        </is>
      </c>
      <c r="B2966" s="46">
        <f>'Change Orders'!U931</f>
        <v/>
      </c>
      <c r="C2966" s="84">
        <f>'Change Orders'!S931</f>
        <v/>
      </c>
      <c r="D2966" s="46">
        <f>'Change Orders'!T931</f>
        <v/>
      </c>
      <c r="E2966" s="46">
        <f>IF(OR(B2966="",C2966="",D2966=""),"",D2966*100000+(C2966-DATE(2000,1,1))+ROW()/100000)</f>
        <v/>
      </c>
      <c r="F2966" s="46">
        <f>IF(E2966="","",IF(C2966&gt;WeekEndDate,"",E2966))</f>
        <v/>
      </c>
    </row>
    <row r="2967">
      <c r="A2967" t="inlineStr">
        <is>
          <t>Change Orders</t>
        </is>
      </c>
      <c r="B2967" s="46">
        <f>'Change Orders'!U932</f>
        <v/>
      </c>
      <c r="C2967" s="84">
        <f>'Change Orders'!S932</f>
        <v/>
      </c>
      <c r="D2967" s="46">
        <f>'Change Orders'!T932</f>
        <v/>
      </c>
      <c r="E2967" s="46">
        <f>IF(OR(B2967="",C2967="",D2967=""),"",D2967*100000+(C2967-DATE(2000,1,1))+ROW()/100000)</f>
        <v/>
      </c>
      <c r="F2967" s="46">
        <f>IF(E2967="","",IF(C2967&gt;WeekEndDate,"",E2967))</f>
        <v/>
      </c>
    </row>
    <row r="2968">
      <c r="A2968" t="inlineStr">
        <is>
          <t>Change Orders</t>
        </is>
      </c>
      <c r="B2968" s="46">
        <f>'Change Orders'!U933</f>
        <v/>
      </c>
      <c r="C2968" s="84">
        <f>'Change Orders'!S933</f>
        <v/>
      </c>
      <c r="D2968" s="46">
        <f>'Change Orders'!T933</f>
        <v/>
      </c>
      <c r="E2968" s="46">
        <f>IF(OR(B2968="",C2968="",D2968=""),"",D2968*100000+(C2968-DATE(2000,1,1))+ROW()/100000)</f>
        <v/>
      </c>
      <c r="F2968" s="46">
        <f>IF(E2968="","",IF(C2968&gt;WeekEndDate,"",E2968))</f>
        <v/>
      </c>
    </row>
    <row r="2969">
      <c r="A2969" t="inlineStr">
        <is>
          <t>Change Orders</t>
        </is>
      </c>
      <c r="B2969" s="46">
        <f>'Change Orders'!U934</f>
        <v/>
      </c>
      <c r="C2969" s="84">
        <f>'Change Orders'!S934</f>
        <v/>
      </c>
      <c r="D2969" s="46">
        <f>'Change Orders'!T934</f>
        <v/>
      </c>
      <c r="E2969" s="46">
        <f>IF(OR(B2969="",C2969="",D2969=""),"",D2969*100000+(C2969-DATE(2000,1,1))+ROW()/100000)</f>
        <v/>
      </c>
      <c r="F2969" s="46">
        <f>IF(E2969="","",IF(C2969&gt;WeekEndDate,"",E2969))</f>
        <v/>
      </c>
    </row>
    <row r="2970">
      <c r="A2970" t="inlineStr">
        <is>
          <t>Change Orders</t>
        </is>
      </c>
      <c r="B2970" s="46">
        <f>'Change Orders'!U935</f>
        <v/>
      </c>
      <c r="C2970" s="84">
        <f>'Change Orders'!S935</f>
        <v/>
      </c>
      <c r="D2970" s="46">
        <f>'Change Orders'!T935</f>
        <v/>
      </c>
      <c r="E2970" s="46">
        <f>IF(OR(B2970="",C2970="",D2970=""),"",D2970*100000+(C2970-DATE(2000,1,1))+ROW()/100000)</f>
        <v/>
      </c>
      <c r="F2970" s="46">
        <f>IF(E2970="","",IF(C2970&gt;WeekEndDate,"",E2970))</f>
        <v/>
      </c>
    </row>
    <row r="2971">
      <c r="A2971" t="inlineStr">
        <is>
          <t>Change Orders</t>
        </is>
      </c>
      <c r="B2971" s="46">
        <f>'Change Orders'!U936</f>
        <v/>
      </c>
      <c r="C2971" s="84">
        <f>'Change Orders'!S936</f>
        <v/>
      </c>
      <c r="D2971" s="46">
        <f>'Change Orders'!T936</f>
        <v/>
      </c>
      <c r="E2971" s="46">
        <f>IF(OR(B2971="",C2971="",D2971=""),"",D2971*100000+(C2971-DATE(2000,1,1))+ROW()/100000)</f>
        <v/>
      </c>
      <c r="F2971" s="46">
        <f>IF(E2971="","",IF(C2971&gt;WeekEndDate,"",E2971))</f>
        <v/>
      </c>
    </row>
    <row r="2972">
      <c r="A2972" t="inlineStr">
        <is>
          <t>Change Orders</t>
        </is>
      </c>
      <c r="B2972" s="46">
        <f>'Change Orders'!U937</f>
        <v/>
      </c>
      <c r="C2972" s="84">
        <f>'Change Orders'!S937</f>
        <v/>
      </c>
      <c r="D2972" s="46">
        <f>'Change Orders'!T937</f>
        <v/>
      </c>
      <c r="E2972" s="46">
        <f>IF(OR(B2972="",C2972="",D2972=""),"",D2972*100000+(C2972-DATE(2000,1,1))+ROW()/100000)</f>
        <v/>
      </c>
      <c r="F2972" s="46">
        <f>IF(E2972="","",IF(C2972&gt;WeekEndDate,"",E2972))</f>
        <v/>
      </c>
    </row>
    <row r="2973">
      <c r="A2973" t="inlineStr">
        <is>
          <t>Change Orders</t>
        </is>
      </c>
      <c r="B2973" s="46">
        <f>'Change Orders'!U938</f>
        <v/>
      </c>
      <c r="C2973" s="84">
        <f>'Change Orders'!S938</f>
        <v/>
      </c>
      <c r="D2973" s="46">
        <f>'Change Orders'!T938</f>
        <v/>
      </c>
      <c r="E2973" s="46">
        <f>IF(OR(B2973="",C2973="",D2973=""),"",D2973*100000+(C2973-DATE(2000,1,1))+ROW()/100000)</f>
        <v/>
      </c>
      <c r="F2973" s="46">
        <f>IF(E2973="","",IF(C2973&gt;WeekEndDate,"",E2973))</f>
        <v/>
      </c>
    </row>
    <row r="2974">
      <c r="A2974" t="inlineStr">
        <is>
          <t>Change Orders</t>
        </is>
      </c>
      <c r="B2974" s="46">
        <f>'Change Orders'!U939</f>
        <v/>
      </c>
      <c r="C2974" s="84">
        <f>'Change Orders'!S939</f>
        <v/>
      </c>
      <c r="D2974" s="46">
        <f>'Change Orders'!T939</f>
        <v/>
      </c>
      <c r="E2974" s="46">
        <f>IF(OR(B2974="",C2974="",D2974=""),"",D2974*100000+(C2974-DATE(2000,1,1))+ROW()/100000)</f>
        <v/>
      </c>
      <c r="F2974" s="46">
        <f>IF(E2974="","",IF(C2974&gt;WeekEndDate,"",E2974))</f>
        <v/>
      </c>
    </row>
    <row r="2975">
      <c r="A2975" t="inlineStr">
        <is>
          <t>Change Orders</t>
        </is>
      </c>
      <c r="B2975" s="46">
        <f>'Change Orders'!U940</f>
        <v/>
      </c>
      <c r="C2975" s="84">
        <f>'Change Orders'!S940</f>
        <v/>
      </c>
      <c r="D2975" s="46">
        <f>'Change Orders'!T940</f>
        <v/>
      </c>
      <c r="E2975" s="46">
        <f>IF(OR(B2975="",C2975="",D2975=""),"",D2975*100000+(C2975-DATE(2000,1,1))+ROW()/100000)</f>
        <v/>
      </c>
      <c r="F2975" s="46">
        <f>IF(E2975="","",IF(C2975&gt;WeekEndDate,"",E2975))</f>
        <v/>
      </c>
    </row>
    <row r="2976">
      <c r="A2976" t="inlineStr">
        <is>
          <t>Change Orders</t>
        </is>
      </c>
      <c r="B2976" s="46">
        <f>'Change Orders'!U941</f>
        <v/>
      </c>
      <c r="C2976" s="84">
        <f>'Change Orders'!S941</f>
        <v/>
      </c>
      <c r="D2976" s="46">
        <f>'Change Orders'!T941</f>
        <v/>
      </c>
      <c r="E2976" s="46">
        <f>IF(OR(B2976="",C2976="",D2976=""),"",D2976*100000+(C2976-DATE(2000,1,1))+ROW()/100000)</f>
        <v/>
      </c>
      <c r="F2976" s="46">
        <f>IF(E2976="","",IF(C2976&gt;WeekEndDate,"",E2976))</f>
        <v/>
      </c>
    </row>
    <row r="2977">
      <c r="A2977" t="inlineStr">
        <is>
          <t>Change Orders</t>
        </is>
      </c>
      <c r="B2977" s="46">
        <f>'Change Orders'!U942</f>
        <v/>
      </c>
      <c r="C2977" s="84">
        <f>'Change Orders'!S942</f>
        <v/>
      </c>
      <c r="D2977" s="46">
        <f>'Change Orders'!T942</f>
        <v/>
      </c>
      <c r="E2977" s="46">
        <f>IF(OR(B2977="",C2977="",D2977=""),"",D2977*100000+(C2977-DATE(2000,1,1))+ROW()/100000)</f>
        <v/>
      </c>
      <c r="F2977" s="46">
        <f>IF(E2977="","",IF(C2977&gt;WeekEndDate,"",E2977))</f>
        <v/>
      </c>
    </row>
    <row r="2978">
      <c r="A2978" t="inlineStr">
        <is>
          <t>Change Orders</t>
        </is>
      </c>
      <c r="B2978" s="46">
        <f>'Change Orders'!U943</f>
        <v/>
      </c>
      <c r="C2978" s="84">
        <f>'Change Orders'!S943</f>
        <v/>
      </c>
      <c r="D2978" s="46">
        <f>'Change Orders'!T943</f>
        <v/>
      </c>
      <c r="E2978" s="46">
        <f>IF(OR(B2978="",C2978="",D2978=""),"",D2978*100000+(C2978-DATE(2000,1,1))+ROW()/100000)</f>
        <v/>
      </c>
      <c r="F2978" s="46">
        <f>IF(E2978="","",IF(C2978&gt;WeekEndDate,"",E2978))</f>
        <v/>
      </c>
    </row>
    <row r="2979">
      <c r="A2979" t="inlineStr">
        <is>
          <t>Change Orders</t>
        </is>
      </c>
      <c r="B2979" s="46">
        <f>'Change Orders'!U944</f>
        <v/>
      </c>
      <c r="C2979" s="84">
        <f>'Change Orders'!S944</f>
        <v/>
      </c>
      <c r="D2979" s="46">
        <f>'Change Orders'!T944</f>
        <v/>
      </c>
      <c r="E2979" s="46">
        <f>IF(OR(B2979="",C2979="",D2979=""),"",D2979*100000+(C2979-DATE(2000,1,1))+ROW()/100000)</f>
        <v/>
      </c>
      <c r="F2979" s="46">
        <f>IF(E2979="","",IF(C2979&gt;WeekEndDate,"",E2979))</f>
        <v/>
      </c>
    </row>
    <row r="2980">
      <c r="A2980" t="inlineStr">
        <is>
          <t>Change Orders</t>
        </is>
      </c>
      <c r="B2980" s="46">
        <f>'Change Orders'!U945</f>
        <v/>
      </c>
      <c r="C2980" s="84">
        <f>'Change Orders'!S945</f>
        <v/>
      </c>
      <c r="D2980" s="46">
        <f>'Change Orders'!T945</f>
        <v/>
      </c>
      <c r="E2980" s="46">
        <f>IF(OR(B2980="",C2980="",D2980=""),"",D2980*100000+(C2980-DATE(2000,1,1))+ROW()/100000)</f>
        <v/>
      </c>
      <c r="F2980" s="46">
        <f>IF(E2980="","",IF(C2980&gt;WeekEndDate,"",E2980))</f>
        <v/>
      </c>
    </row>
    <row r="2981">
      <c r="A2981" t="inlineStr">
        <is>
          <t>Change Orders</t>
        </is>
      </c>
      <c r="B2981" s="46">
        <f>'Change Orders'!U946</f>
        <v/>
      </c>
      <c r="C2981" s="84">
        <f>'Change Orders'!S946</f>
        <v/>
      </c>
      <c r="D2981" s="46">
        <f>'Change Orders'!T946</f>
        <v/>
      </c>
      <c r="E2981" s="46">
        <f>IF(OR(B2981="",C2981="",D2981=""),"",D2981*100000+(C2981-DATE(2000,1,1))+ROW()/100000)</f>
        <v/>
      </c>
      <c r="F2981" s="46">
        <f>IF(E2981="","",IF(C2981&gt;WeekEndDate,"",E2981))</f>
        <v/>
      </c>
    </row>
    <row r="2982">
      <c r="A2982" t="inlineStr">
        <is>
          <t>Change Orders</t>
        </is>
      </c>
      <c r="B2982" s="46">
        <f>'Change Orders'!U947</f>
        <v/>
      </c>
      <c r="C2982" s="84">
        <f>'Change Orders'!S947</f>
        <v/>
      </c>
      <c r="D2982" s="46">
        <f>'Change Orders'!T947</f>
        <v/>
      </c>
      <c r="E2982" s="46">
        <f>IF(OR(B2982="",C2982="",D2982=""),"",D2982*100000+(C2982-DATE(2000,1,1))+ROW()/100000)</f>
        <v/>
      </c>
      <c r="F2982" s="46">
        <f>IF(E2982="","",IF(C2982&gt;WeekEndDate,"",E2982))</f>
        <v/>
      </c>
    </row>
    <row r="2983">
      <c r="A2983" t="inlineStr">
        <is>
          <t>Change Orders</t>
        </is>
      </c>
      <c r="B2983" s="46">
        <f>'Change Orders'!U948</f>
        <v/>
      </c>
      <c r="C2983" s="84">
        <f>'Change Orders'!S948</f>
        <v/>
      </c>
      <c r="D2983" s="46">
        <f>'Change Orders'!T948</f>
        <v/>
      </c>
      <c r="E2983" s="46">
        <f>IF(OR(B2983="",C2983="",D2983=""),"",D2983*100000+(C2983-DATE(2000,1,1))+ROW()/100000)</f>
        <v/>
      </c>
      <c r="F2983" s="46">
        <f>IF(E2983="","",IF(C2983&gt;WeekEndDate,"",E2983))</f>
        <v/>
      </c>
    </row>
    <row r="2984">
      <c r="A2984" t="inlineStr">
        <is>
          <t>Change Orders</t>
        </is>
      </c>
      <c r="B2984" s="46">
        <f>'Change Orders'!U949</f>
        <v/>
      </c>
      <c r="C2984" s="84">
        <f>'Change Orders'!S949</f>
        <v/>
      </c>
      <c r="D2984" s="46">
        <f>'Change Orders'!T949</f>
        <v/>
      </c>
      <c r="E2984" s="46">
        <f>IF(OR(B2984="",C2984="",D2984=""),"",D2984*100000+(C2984-DATE(2000,1,1))+ROW()/100000)</f>
        <v/>
      </c>
      <c r="F2984" s="46">
        <f>IF(E2984="","",IF(C2984&gt;WeekEndDate,"",E2984))</f>
        <v/>
      </c>
    </row>
    <row r="2985">
      <c r="A2985" t="inlineStr">
        <is>
          <t>Change Orders</t>
        </is>
      </c>
      <c r="B2985" s="46">
        <f>'Change Orders'!U950</f>
        <v/>
      </c>
      <c r="C2985" s="84">
        <f>'Change Orders'!S950</f>
        <v/>
      </c>
      <c r="D2985" s="46">
        <f>'Change Orders'!T950</f>
        <v/>
      </c>
      <c r="E2985" s="46">
        <f>IF(OR(B2985="",C2985="",D2985=""),"",D2985*100000+(C2985-DATE(2000,1,1))+ROW()/100000)</f>
        <v/>
      </c>
      <c r="F2985" s="46">
        <f>IF(E2985="","",IF(C2985&gt;WeekEndDate,"",E2985))</f>
        <v/>
      </c>
    </row>
    <row r="2986">
      <c r="A2986" t="inlineStr">
        <is>
          <t>Change Orders</t>
        </is>
      </c>
      <c r="B2986" s="46">
        <f>'Change Orders'!U951</f>
        <v/>
      </c>
      <c r="C2986" s="84">
        <f>'Change Orders'!S951</f>
        <v/>
      </c>
      <c r="D2986" s="46">
        <f>'Change Orders'!T951</f>
        <v/>
      </c>
      <c r="E2986" s="46">
        <f>IF(OR(B2986="",C2986="",D2986=""),"",D2986*100000+(C2986-DATE(2000,1,1))+ROW()/100000)</f>
        <v/>
      </c>
      <c r="F2986" s="46">
        <f>IF(E2986="","",IF(C2986&gt;WeekEndDate,"",E2986))</f>
        <v/>
      </c>
    </row>
    <row r="2987">
      <c r="A2987" t="inlineStr">
        <is>
          <t>Change Orders</t>
        </is>
      </c>
      <c r="B2987" s="46">
        <f>'Change Orders'!U952</f>
        <v/>
      </c>
      <c r="C2987" s="84">
        <f>'Change Orders'!S952</f>
        <v/>
      </c>
      <c r="D2987" s="46">
        <f>'Change Orders'!T952</f>
        <v/>
      </c>
      <c r="E2987" s="46">
        <f>IF(OR(B2987="",C2987="",D2987=""),"",D2987*100000+(C2987-DATE(2000,1,1))+ROW()/100000)</f>
        <v/>
      </c>
      <c r="F2987" s="46">
        <f>IF(E2987="","",IF(C2987&gt;WeekEndDate,"",E2987))</f>
        <v/>
      </c>
    </row>
    <row r="2988">
      <c r="A2988" t="inlineStr">
        <is>
          <t>Change Orders</t>
        </is>
      </c>
      <c r="B2988" s="46">
        <f>'Change Orders'!U953</f>
        <v/>
      </c>
      <c r="C2988" s="84">
        <f>'Change Orders'!S953</f>
        <v/>
      </c>
      <c r="D2988" s="46">
        <f>'Change Orders'!T953</f>
        <v/>
      </c>
      <c r="E2988" s="46">
        <f>IF(OR(B2988="",C2988="",D2988=""),"",D2988*100000+(C2988-DATE(2000,1,1))+ROW()/100000)</f>
        <v/>
      </c>
      <c r="F2988" s="46">
        <f>IF(E2988="","",IF(C2988&gt;WeekEndDate,"",E2988))</f>
        <v/>
      </c>
    </row>
    <row r="2989">
      <c r="A2989" t="inlineStr">
        <is>
          <t>Change Orders</t>
        </is>
      </c>
      <c r="B2989" s="46">
        <f>'Change Orders'!U954</f>
        <v/>
      </c>
      <c r="C2989" s="84">
        <f>'Change Orders'!S954</f>
        <v/>
      </c>
      <c r="D2989" s="46">
        <f>'Change Orders'!T954</f>
        <v/>
      </c>
      <c r="E2989" s="46">
        <f>IF(OR(B2989="",C2989="",D2989=""),"",D2989*100000+(C2989-DATE(2000,1,1))+ROW()/100000)</f>
        <v/>
      </c>
      <c r="F2989" s="46">
        <f>IF(E2989="","",IF(C2989&gt;WeekEndDate,"",E2989))</f>
        <v/>
      </c>
    </row>
    <row r="2990">
      <c r="A2990" t="inlineStr">
        <is>
          <t>Change Orders</t>
        </is>
      </c>
      <c r="B2990" s="46">
        <f>'Change Orders'!U955</f>
        <v/>
      </c>
      <c r="C2990" s="84">
        <f>'Change Orders'!S955</f>
        <v/>
      </c>
      <c r="D2990" s="46">
        <f>'Change Orders'!T955</f>
        <v/>
      </c>
      <c r="E2990" s="46">
        <f>IF(OR(B2990="",C2990="",D2990=""),"",D2990*100000+(C2990-DATE(2000,1,1))+ROW()/100000)</f>
        <v/>
      </c>
      <c r="F2990" s="46">
        <f>IF(E2990="","",IF(C2990&gt;WeekEndDate,"",E2990))</f>
        <v/>
      </c>
    </row>
    <row r="2991">
      <c r="A2991" t="inlineStr">
        <is>
          <t>Change Orders</t>
        </is>
      </c>
      <c r="B2991" s="46">
        <f>'Change Orders'!U956</f>
        <v/>
      </c>
      <c r="C2991" s="84">
        <f>'Change Orders'!S956</f>
        <v/>
      </c>
      <c r="D2991" s="46">
        <f>'Change Orders'!T956</f>
        <v/>
      </c>
      <c r="E2991" s="46">
        <f>IF(OR(B2991="",C2991="",D2991=""),"",D2991*100000+(C2991-DATE(2000,1,1))+ROW()/100000)</f>
        <v/>
      </c>
      <c r="F2991" s="46">
        <f>IF(E2991="","",IF(C2991&gt;WeekEndDate,"",E2991))</f>
        <v/>
      </c>
    </row>
    <row r="2992">
      <c r="A2992" t="inlineStr">
        <is>
          <t>Change Orders</t>
        </is>
      </c>
      <c r="B2992" s="46">
        <f>'Change Orders'!U957</f>
        <v/>
      </c>
      <c r="C2992" s="84">
        <f>'Change Orders'!S957</f>
        <v/>
      </c>
      <c r="D2992" s="46">
        <f>'Change Orders'!T957</f>
        <v/>
      </c>
      <c r="E2992" s="46">
        <f>IF(OR(B2992="",C2992="",D2992=""),"",D2992*100000+(C2992-DATE(2000,1,1))+ROW()/100000)</f>
        <v/>
      </c>
      <c r="F2992" s="46">
        <f>IF(E2992="","",IF(C2992&gt;WeekEndDate,"",E2992))</f>
        <v/>
      </c>
    </row>
    <row r="2993">
      <c r="A2993" t="inlineStr">
        <is>
          <t>Change Orders</t>
        </is>
      </c>
      <c r="B2993" s="46">
        <f>'Change Orders'!U958</f>
        <v/>
      </c>
      <c r="C2993" s="84">
        <f>'Change Orders'!S958</f>
        <v/>
      </c>
      <c r="D2993" s="46">
        <f>'Change Orders'!T958</f>
        <v/>
      </c>
      <c r="E2993" s="46">
        <f>IF(OR(B2993="",C2993="",D2993=""),"",D2993*100000+(C2993-DATE(2000,1,1))+ROW()/100000)</f>
        <v/>
      </c>
      <c r="F2993" s="46">
        <f>IF(E2993="","",IF(C2993&gt;WeekEndDate,"",E2993))</f>
        <v/>
      </c>
    </row>
    <row r="2994">
      <c r="A2994" t="inlineStr">
        <is>
          <t>Change Orders</t>
        </is>
      </c>
      <c r="B2994" s="46">
        <f>'Change Orders'!U959</f>
        <v/>
      </c>
      <c r="C2994" s="84">
        <f>'Change Orders'!S959</f>
        <v/>
      </c>
      <c r="D2994" s="46">
        <f>'Change Orders'!T959</f>
        <v/>
      </c>
      <c r="E2994" s="46">
        <f>IF(OR(B2994="",C2994="",D2994=""),"",D2994*100000+(C2994-DATE(2000,1,1))+ROW()/100000)</f>
        <v/>
      </c>
      <c r="F2994" s="46">
        <f>IF(E2994="","",IF(C2994&gt;WeekEndDate,"",E2994))</f>
        <v/>
      </c>
    </row>
    <row r="2995">
      <c r="A2995" t="inlineStr">
        <is>
          <t>Change Orders</t>
        </is>
      </c>
      <c r="B2995" s="46">
        <f>'Change Orders'!U960</f>
        <v/>
      </c>
      <c r="C2995" s="84">
        <f>'Change Orders'!S960</f>
        <v/>
      </c>
      <c r="D2995" s="46">
        <f>'Change Orders'!T960</f>
        <v/>
      </c>
      <c r="E2995" s="46">
        <f>IF(OR(B2995="",C2995="",D2995=""),"",D2995*100000+(C2995-DATE(2000,1,1))+ROW()/100000)</f>
        <v/>
      </c>
      <c r="F2995" s="46">
        <f>IF(E2995="","",IF(C2995&gt;WeekEndDate,"",E2995))</f>
        <v/>
      </c>
    </row>
    <row r="2996">
      <c r="A2996" t="inlineStr">
        <is>
          <t>Change Orders</t>
        </is>
      </c>
      <c r="B2996" s="46">
        <f>'Change Orders'!U961</f>
        <v/>
      </c>
      <c r="C2996" s="84">
        <f>'Change Orders'!S961</f>
        <v/>
      </c>
      <c r="D2996" s="46">
        <f>'Change Orders'!T961</f>
        <v/>
      </c>
      <c r="E2996" s="46">
        <f>IF(OR(B2996="",C2996="",D2996=""),"",D2996*100000+(C2996-DATE(2000,1,1))+ROW()/100000)</f>
        <v/>
      </c>
      <c r="F2996" s="46">
        <f>IF(E2996="","",IF(C2996&gt;WeekEndDate,"",E2996))</f>
        <v/>
      </c>
    </row>
    <row r="2997">
      <c r="A2997" t="inlineStr">
        <is>
          <t>Change Orders</t>
        </is>
      </c>
      <c r="B2997" s="46">
        <f>'Change Orders'!U962</f>
        <v/>
      </c>
      <c r="C2997" s="84">
        <f>'Change Orders'!S962</f>
        <v/>
      </c>
      <c r="D2997" s="46">
        <f>'Change Orders'!T962</f>
        <v/>
      </c>
      <c r="E2997" s="46">
        <f>IF(OR(B2997="",C2997="",D2997=""),"",D2997*100000+(C2997-DATE(2000,1,1))+ROW()/100000)</f>
        <v/>
      </c>
      <c r="F2997" s="46">
        <f>IF(E2997="","",IF(C2997&gt;WeekEndDate,"",E2997))</f>
        <v/>
      </c>
    </row>
    <row r="2998">
      <c r="A2998" t="inlineStr">
        <is>
          <t>Change Orders</t>
        </is>
      </c>
      <c r="B2998" s="46">
        <f>'Change Orders'!U963</f>
        <v/>
      </c>
      <c r="C2998" s="84">
        <f>'Change Orders'!S963</f>
        <v/>
      </c>
      <c r="D2998" s="46">
        <f>'Change Orders'!T963</f>
        <v/>
      </c>
      <c r="E2998" s="46">
        <f>IF(OR(B2998="",C2998="",D2998=""),"",D2998*100000+(C2998-DATE(2000,1,1))+ROW()/100000)</f>
        <v/>
      </c>
      <c r="F2998" s="46">
        <f>IF(E2998="","",IF(C2998&gt;WeekEndDate,"",E2998))</f>
        <v/>
      </c>
    </row>
    <row r="2999">
      <c r="A2999" t="inlineStr">
        <is>
          <t>Change Orders</t>
        </is>
      </c>
      <c r="B2999" s="46">
        <f>'Change Orders'!U964</f>
        <v/>
      </c>
      <c r="C2999" s="84">
        <f>'Change Orders'!S964</f>
        <v/>
      </c>
      <c r="D2999" s="46">
        <f>'Change Orders'!T964</f>
        <v/>
      </c>
      <c r="E2999" s="46">
        <f>IF(OR(B2999="",C2999="",D2999=""),"",D2999*100000+(C2999-DATE(2000,1,1))+ROW()/100000)</f>
        <v/>
      </c>
      <c r="F2999" s="46">
        <f>IF(E2999="","",IF(C2999&gt;WeekEndDate,"",E2999))</f>
        <v/>
      </c>
    </row>
    <row r="3000">
      <c r="A3000" t="inlineStr">
        <is>
          <t>Change Orders</t>
        </is>
      </c>
      <c r="B3000" s="46">
        <f>'Change Orders'!U965</f>
        <v/>
      </c>
      <c r="C3000" s="84">
        <f>'Change Orders'!S965</f>
        <v/>
      </c>
      <c r="D3000" s="46">
        <f>'Change Orders'!T965</f>
        <v/>
      </c>
      <c r="E3000" s="46">
        <f>IF(OR(B3000="",C3000="",D3000=""),"",D3000*100000+(C3000-DATE(2000,1,1))+ROW()/100000)</f>
        <v/>
      </c>
      <c r="F3000" s="46">
        <f>IF(E3000="","",IF(C3000&gt;WeekEndDate,"",E3000))</f>
        <v/>
      </c>
    </row>
    <row r="3001">
      <c r="A3001" t="inlineStr">
        <is>
          <t>Change Orders</t>
        </is>
      </c>
      <c r="B3001" s="46">
        <f>'Change Orders'!U966</f>
        <v/>
      </c>
      <c r="C3001" s="84">
        <f>'Change Orders'!S966</f>
        <v/>
      </c>
      <c r="D3001" s="46">
        <f>'Change Orders'!T966</f>
        <v/>
      </c>
      <c r="E3001" s="46">
        <f>IF(OR(B3001="",C3001="",D3001=""),"",D3001*100000+(C3001-DATE(2000,1,1))+ROW()/100000)</f>
        <v/>
      </c>
      <c r="F3001" s="46">
        <f>IF(E3001="","",IF(C3001&gt;WeekEndDate,"",E3001))</f>
        <v/>
      </c>
    </row>
    <row r="3002">
      <c r="A3002" t="inlineStr">
        <is>
          <t>Change Orders</t>
        </is>
      </c>
      <c r="B3002" s="46">
        <f>'Change Orders'!U967</f>
        <v/>
      </c>
      <c r="C3002" s="84">
        <f>'Change Orders'!S967</f>
        <v/>
      </c>
      <c r="D3002" s="46">
        <f>'Change Orders'!T967</f>
        <v/>
      </c>
      <c r="E3002" s="46">
        <f>IF(OR(B3002="",C3002="",D3002=""),"",D3002*100000+(C3002-DATE(2000,1,1))+ROW()/100000)</f>
        <v/>
      </c>
      <c r="F3002" s="46">
        <f>IF(E3002="","",IF(C3002&gt;WeekEndDate,"",E3002))</f>
        <v/>
      </c>
    </row>
    <row r="3003">
      <c r="A3003" t="inlineStr">
        <is>
          <t>Change Orders</t>
        </is>
      </c>
      <c r="B3003" s="46">
        <f>'Change Orders'!U968</f>
        <v/>
      </c>
      <c r="C3003" s="84">
        <f>'Change Orders'!S968</f>
        <v/>
      </c>
      <c r="D3003" s="46">
        <f>'Change Orders'!T968</f>
        <v/>
      </c>
      <c r="E3003" s="46">
        <f>IF(OR(B3003="",C3003="",D3003=""),"",D3003*100000+(C3003-DATE(2000,1,1))+ROW()/100000)</f>
        <v/>
      </c>
      <c r="F3003" s="46">
        <f>IF(E3003="","",IF(C3003&gt;WeekEndDate,"",E3003))</f>
        <v/>
      </c>
    </row>
    <row r="3004">
      <c r="A3004" t="inlineStr">
        <is>
          <t>Change Orders</t>
        </is>
      </c>
      <c r="B3004" s="46">
        <f>'Change Orders'!U969</f>
        <v/>
      </c>
      <c r="C3004" s="84">
        <f>'Change Orders'!S969</f>
        <v/>
      </c>
      <c r="D3004" s="46">
        <f>'Change Orders'!T969</f>
        <v/>
      </c>
      <c r="E3004" s="46">
        <f>IF(OR(B3004="",C3004="",D3004=""),"",D3004*100000+(C3004-DATE(2000,1,1))+ROW()/100000)</f>
        <v/>
      </c>
      <c r="F3004" s="46">
        <f>IF(E3004="","",IF(C3004&gt;WeekEndDate,"",E3004))</f>
        <v/>
      </c>
    </row>
    <row r="3005">
      <c r="A3005" t="inlineStr">
        <is>
          <t>Change Orders</t>
        </is>
      </c>
      <c r="B3005" s="46">
        <f>'Change Orders'!U970</f>
        <v/>
      </c>
      <c r="C3005" s="84">
        <f>'Change Orders'!S970</f>
        <v/>
      </c>
      <c r="D3005" s="46">
        <f>'Change Orders'!T970</f>
        <v/>
      </c>
      <c r="E3005" s="46">
        <f>IF(OR(B3005="",C3005="",D3005=""),"",D3005*100000+(C3005-DATE(2000,1,1))+ROW()/100000)</f>
        <v/>
      </c>
      <c r="F3005" s="46">
        <f>IF(E3005="","",IF(C3005&gt;WeekEndDate,"",E3005))</f>
        <v/>
      </c>
    </row>
    <row r="3006">
      <c r="A3006" t="inlineStr">
        <is>
          <t>Change Orders</t>
        </is>
      </c>
      <c r="B3006" s="46">
        <f>'Change Orders'!U971</f>
        <v/>
      </c>
      <c r="C3006" s="84">
        <f>'Change Orders'!S971</f>
        <v/>
      </c>
      <c r="D3006" s="46">
        <f>'Change Orders'!T971</f>
        <v/>
      </c>
      <c r="E3006" s="46">
        <f>IF(OR(B3006="",C3006="",D3006=""),"",D3006*100000+(C3006-DATE(2000,1,1))+ROW()/100000)</f>
        <v/>
      </c>
      <c r="F3006" s="46">
        <f>IF(E3006="","",IF(C3006&gt;WeekEndDate,"",E3006))</f>
        <v/>
      </c>
    </row>
    <row r="3007">
      <c r="A3007" t="inlineStr">
        <is>
          <t>Change Orders</t>
        </is>
      </c>
      <c r="B3007" s="46">
        <f>'Change Orders'!U972</f>
        <v/>
      </c>
      <c r="C3007" s="84">
        <f>'Change Orders'!S972</f>
        <v/>
      </c>
      <c r="D3007" s="46">
        <f>'Change Orders'!T972</f>
        <v/>
      </c>
      <c r="E3007" s="46">
        <f>IF(OR(B3007="",C3007="",D3007=""),"",D3007*100000+(C3007-DATE(2000,1,1))+ROW()/100000)</f>
        <v/>
      </c>
      <c r="F3007" s="46">
        <f>IF(E3007="","",IF(C3007&gt;WeekEndDate,"",E3007))</f>
        <v/>
      </c>
    </row>
    <row r="3008">
      <c r="A3008" t="inlineStr">
        <is>
          <t>Change Orders</t>
        </is>
      </c>
      <c r="B3008" s="46">
        <f>'Change Orders'!U973</f>
        <v/>
      </c>
      <c r="C3008" s="84">
        <f>'Change Orders'!S973</f>
        <v/>
      </c>
      <c r="D3008" s="46">
        <f>'Change Orders'!T973</f>
        <v/>
      </c>
      <c r="E3008" s="46">
        <f>IF(OR(B3008="",C3008="",D3008=""),"",D3008*100000+(C3008-DATE(2000,1,1))+ROW()/100000)</f>
        <v/>
      </c>
      <c r="F3008" s="46">
        <f>IF(E3008="","",IF(C3008&gt;WeekEndDate,"",E3008))</f>
        <v/>
      </c>
    </row>
    <row r="3009">
      <c r="A3009" t="inlineStr">
        <is>
          <t>Change Orders</t>
        </is>
      </c>
      <c r="B3009" s="46">
        <f>'Change Orders'!U974</f>
        <v/>
      </c>
      <c r="C3009" s="84">
        <f>'Change Orders'!S974</f>
        <v/>
      </c>
      <c r="D3009" s="46">
        <f>'Change Orders'!T974</f>
        <v/>
      </c>
      <c r="E3009" s="46">
        <f>IF(OR(B3009="",C3009="",D3009=""),"",D3009*100000+(C3009-DATE(2000,1,1))+ROW()/100000)</f>
        <v/>
      </c>
      <c r="F3009" s="46">
        <f>IF(E3009="","",IF(C3009&gt;WeekEndDate,"",E3009))</f>
        <v/>
      </c>
    </row>
    <row r="3010">
      <c r="A3010" t="inlineStr">
        <is>
          <t>Change Orders</t>
        </is>
      </c>
      <c r="B3010" s="46">
        <f>'Change Orders'!U975</f>
        <v/>
      </c>
      <c r="C3010" s="84">
        <f>'Change Orders'!S975</f>
        <v/>
      </c>
      <c r="D3010" s="46">
        <f>'Change Orders'!T975</f>
        <v/>
      </c>
      <c r="E3010" s="46">
        <f>IF(OR(B3010="",C3010="",D3010=""),"",D3010*100000+(C3010-DATE(2000,1,1))+ROW()/100000)</f>
        <v/>
      </c>
      <c r="F3010" s="46">
        <f>IF(E3010="","",IF(C3010&gt;WeekEndDate,"",E3010))</f>
        <v/>
      </c>
    </row>
    <row r="3011">
      <c r="A3011" t="inlineStr">
        <is>
          <t>Change Orders</t>
        </is>
      </c>
      <c r="B3011" s="46">
        <f>'Change Orders'!U976</f>
        <v/>
      </c>
      <c r="C3011" s="84">
        <f>'Change Orders'!S976</f>
        <v/>
      </c>
      <c r="D3011" s="46">
        <f>'Change Orders'!T976</f>
        <v/>
      </c>
      <c r="E3011" s="46">
        <f>IF(OR(B3011="",C3011="",D3011=""),"",D3011*100000+(C3011-DATE(2000,1,1))+ROW()/100000)</f>
        <v/>
      </c>
      <c r="F3011" s="46">
        <f>IF(E3011="","",IF(C3011&gt;WeekEndDate,"",E3011))</f>
        <v/>
      </c>
    </row>
    <row r="3012">
      <c r="A3012" t="inlineStr">
        <is>
          <t>Change Orders</t>
        </is>
      </c>
      <c r="B3012" s="46">
        <f>'Change Orders'!U977</f>
        <v/>
      </c>
      <c r="C3012" s="84">
        <f>'Change Orders'!S977</f>
        <v/>
      </c>
      <c r="D3012" s="46">
        <f>'Change Orders'!T977</f>
        <v/>
      </c>
      <c r="E3012" s="46">
        <f>IF(OR(B3012="",C3012="",D3012=""),"",D3012*100000+(C3012-DATE(2000,1,1))+ROW()/100000)</f>
        <v/>
      </c>
      <c r="F3012" s="46">
        <f>IF(E3012="","",IF(C3012&gt;WeekEndDate,"",E3012))</f>
        <v/>
      </c>
    </row>
    <row r="3013">
      <c r="A3013" t="inlineStr">
        <is>
          <t>Change Orders</t>
        </is>
      </c>
      <c r="B3013" s="46">
        <f>'Change Orders'!U978</f>
        <v/>
      </c>
      <c r="C3013" s="84">
        <f>'Change Orders'!S978</f>
        <v/>
      </c>
      <c r="D3013" s="46">
        <f>'Change Orders'!T978</f>
        <v/>
      </c>
      <c r="E3013" s="46">
        <f>IF(OR(B3013="",C3013="",D3013=""),"",D3013*100000+(C3013-DATE(2000,1,1))+ROW()/100000)</f>
        <v/>
      </c>
      <c r="F3013" s="46">
        <f>IF(E3013="","",IF(C3013&gt;WeekEndDate,"",E3013))</f>
        <v/>
      </c>
    </row>
    <row r="3014">
      <c r="A3014" t="inlineStr">
        <is>
          <t>Change Orders</t>
        </is>
      </c>
      <c r="B3014" s="46">
        <f>'Change Orders'!U979</f>
        <v/>
      </c>
      <c r="C3014" s="84">
        <f>'Change Orders'!S979</f>
        <v/>
      </c>
      <c r="D3014" s="46">
        <f>'Change Orders'!T979</f>
        <v/>
      </c>
      <c r="E3014" s="46">
        <f>IF(OR(B3014="",C3014="",D3014=""),"",D3014*100000+(C3014-DATE(2000,1,1))+ROW()/100000)</f>
        <v/>
      </c>
      <c r="F3014" s="46">
        <f>IF(E3014="","",IF(C3014&gt;WeekEndDate,"",E3014))</f>
        <v/>
      </c>
    </row>
    <row r="3015">
      <c r="A3015" t="inlineStr">
        <is>
          <t>Change Orders</t>
        </is>
      </c>
      <c r="B3015" s="46">
        <f>'Change Orders'!U980</f>
        <v/>
      </c>
      <c r="C3015" s="84">
        <f>'Change Orders'!S980</f>
        <v/>
      </c>
      <c r="D3015" s="46">
        <f>'Change Orders'!T980</f>
        <v/>
      </c>
      <c r="E3015" s="46">
        <f>IF(OR(B3015="",C3015="",D3015=""),"",D3015*100000+(C3015-DATE(2000,1,1))+ROW()/100000)</f>
        <v/>
      </c>
      <c r="F3015" s="46">
        <f>IF(E3015="","",IF(C3015&gt;WeekEndDate,"",E3015))</f>
        <v/>
      </c>
    </row>
    <row r="3016">
      <c r="A3016" t="inlineStr">
        <is>
          <t>Change Orders</t>
        </is>
      </c>
      <c r="B3016" s="46">
        <f>'Change Orders'!U981</f>
        <v/>
      </c>
      <c r="C3016" s="84">
        <f>'Change Orders'!S981</f>
        <v/>
      </c>
      <c r="D3016" s="46">
        <f>'Change Orders'!T981</f>
        <v/>
      </c>
      <c r="E3016" s="46">
        <f>IF(OR(B3016="",C3016="",D3016=""),"",D3016*100000+(C3016-DATE(2000,1,1))+ROW()/100000)</f>
        <v/>
      </c>
      <c r="F3016" s="46">
        <f>IF(E3016="","",IF(C3016&gt;WeekEndDate,"",E3016))</f>
        <v/>
      </c>
    </row>
    <row r="3017">
      <c r="A3017" t="inlineStr">
        <is>
          <t>Change Orders</t>
        </is>
      </c>
      <c r="B3017" s="46">
        <f>'Change Orders'!U982</f>
        <v/>
      </c>
      <c r="C3017" s="84">
        <f>'Change Orders'!S982</f>
        <v/>
      </c>
      <c r="D3017" s="46">
        <f>'Change Orders'!T982</f>
        <v/>
      </c>
      <c r="E3017" s="46">
        <f>IF(OR(B3017="",C3017="",D3017=""),"",D3017*100000+(C3017-DATE(2000,1,1))+ROW()/100000)</f>
        <v/>
      </c>
      <c r="F3017" s="46">
        <f>IF(E3017="","",IF(C3017&gt;WeekEndDate,"",E3017))</f>
        <v/>
      </c>
    </row>
    <row r="3018">
      <c r="A3018" t="inlineStr">
        <is>
          <t>Change Orders</t>
        </is>
      </c>
      <c r="B3018" s="46">
        <f>'Change Orders'!U983</f>
        <v/>
      </c>
      <c r="C3018" s="84">
        <f>'Change Orders'!S983</f>
        <v/>
      </c>
      <c r="D3018" s="46">
        <f>'Change Orders'!T983</f>
        <v/>
      </c>
      <c r="E3018" s="46">
        <f>IF(OR(B3018="",C3018="",D3018=""),"",D3018*100000+(C3018-DATE(2000,1,1))+ROW()/100000)</f>
        <v/>
      </c>
      <c r="F3018" s="46">
        <f>IF(E3018="","",IF(C3018&gt;WeekEndDate,"",E3018))</f>
        <v/>
      </c>
    </row>
    <row r="3019">
      <c r="A3019" t="inlineStr">
        <is>
          <t>Change Orders</t>
        </is>
      </c>
      <c r="B3019" s="46">
        <f>'Change Orders'!U984</f>
        <v/>
      </c>
      <c r="C3019" s="84">
        <f>'Change Orders'!S984</f>
        <v/>
      </c>
      <c r="D3019" s="46">
        <f>'Change Orders'!T984</f>
        <v/>
      </c>
      <c r="E3019" s="46">
        <f>IF(OR(B3019="",C3019="",D3019=""),"",D3019*100000+(C3019-DATE(2000,1,1))+ROW()/100000)</f>
        <v/>
      </c>
      <c r="F3019" s="46">
        <f>IF(E3019="","",IF(C3019&gt;WeekEndDate,"",E3019))</f>
        <v/>
      </c>
    </row>
    <row r="3020">
      <c r="A3020" t="inlineStr">
        <is>
          <t>Change Orders</t>
        </is>
      </c>
      <c r="B3020" s="46">
        <f>'Change Orders'!U985</f>
        <v/>
      </c>
      <c r="C3020" s="84">
        <f>'Change Orders'!S985</f>
        <v/>
      </c>
      <c r="D3020" s="46">
        <f>'Change Orders'!T985</f>
        <v/>
      </c>
      <c r="E3020" s="46">
        <f>IF(OR(B3020="",C3020="",D3020=""),"",D3020*100000+(C3020-DATE(2000,1,1))+ROW()/100000)</f>
        <v/>
      </c>
      <c r="F3020" s="46">
        <f>IF(E3020="","",IF(C3020&gt;WeekEndDate,"",E3020))</f>
        <v/>
      </c>
    </row>
    <row r="3021">
      <c r="A3021" t="inlineStr">
        <is>
          <t>Change Orders</t>
        </is>
      </c>
      <c r="B3021" s="46">
        <f>'Change Orders'!U986</f>
        <v/>
      </c>
      <c r="C3021" s="84">
        <f>'Change Orders'!S986</f>
        <v/>
      </c>
      <c r="D3021" s="46">
        <f>'Change Orders'!T986</f>
        <v/>
      </c>
      <c r="E3021" s="46">
        <f>IF(OR(B3021="",C3021="",D3021=""),"",D3021*100000+(C3021-DATE(2000,1,1))+ROW()/100000)</f>
        <v/>
      </c>
      <c r="F3021" s="46">
        <f>IF(E3021="","",IF(C3021&gt;WeekEndDate,"",E3021))</f>
        <v/>
      </c>
    </row>
    <row r="3022">
      <c r="A3022" t="inlineStr">
        <is>
          <t>Change Orders</t>
        </is>
      </c>
      <c r="B3022" s="46">
        <f>'Change Orders'!U987</f>
        <v/>
      </c>
      <c r="C3022" s="84">
        <f>'Change Orders'!S987</f>
        <v/>
      </c>
      <c r="D3022" s="46">
        <f>'Change Orders'!T987</f>
        <v/>
      </c>
      <c r="E3022" s="46">
        <f>IF(OR(B3022="",C3022="",D3022=""),"",D3022*100000+(C3022-DATE(2000,1,1))+ROW()/100000)</f>
        <v/>
      </c>
      <c r="F3022" s="46">
        <f>IF(E3022="","",IF(C3022&gt;WeekEndDate,"",E3022))</f>
        <v/>
      </c>
    </row>
    <row r="3023">
      <c r="A3023" t="inlineStr">
        <is>
          <t>Change Orders</t>
        </is>
      </c>
      <c r="B3023" s="46">
        <f>'Change Orders'!U988</f>
        <v/>
      </c>
      <c r="C3023" s="84">
        <f>'Change Orders'!S988</f>
        <v/>
      </c>
      <c r="D3023" s="46">
        <f>'Change Orders'!T988</f>
        <v/>
      </c>
      <c r="E3023" s="46">
        <f>IF(OR(B3023="",C3023="",D3023=""),"",D3023*100000+(C3023-DATE(2000,1,1))+ROW()/100000)</f>
        <v/>
      </c>
      <c r="F3023" s="46">
        <f>IF(E3023="","",IF(C3023&gt;WeekEndDate,"",E3023))</f>
        <v/>
      </c>
    </row>
    <row r="3024">
      <c r="A3024" t="inlineStr">
        <is>
          <t>Change Orders</t>
        </is>
      </c>
      <c r="B3024" s="46">
        <f>'Change Orders'!U989</f>
        <v/>
      </c>
      <c r="C3024" s="84">
        <f>'Change Orders'!S989</f>
        <v/>
      </c>
      <c r="D3024" s="46">
        <f>'Change Orders'!T989</f>
        <v/>
      </c>
      <c r="E3024" s="46">
        <f>IF(OR(B3024="",C3024="",D3024=""),"",D3024*100000+(C3024-DATE(2000,1,1))+ROW()/100000)</f>
        <v/>
      </c>
      <c r="F3024" s="46">
        <f>IF(E3024="","",IF(C3024&gt;WeekEndDate,"",E3024))</f>
        <v/>
      </c>
    </row>
    <row r="3025">
      <c r="A3025" t="inlineStr">
        <is>
          <t>Change Orders</t>
        </is>
      </c>
      <c r="B3025" s="46">
        <f>'Change Orders'!U990</f>
        <v/>
      </c>
      <c r="C3025" s="84">
        <f>'Change Orders'!S990</f>
        <v/>
      </c>
      <c r="D3025" s="46">
        <f>'Change Orders'!T990</f>
        <v/>
      </c>
      <c r="E3025" s="46">
        <f>IF(OR(B3025="",C3025="",D3025=""),"",D3025*100000+(C3025-DATE(2000,1,1))+ROW()/100000)</f>
        <v/>
      </c>
      <c r="F3025" s="46">
        <f>IF(E3025="","",IF(C3025&gt;WeekEndDate,"",E3025))</f>
        <v/>
      </c>
    </row>
    <row r="3026">
      <c r="A3026" t="inlineStr">
        <is>
          <t>Change Orders</t>
        </is>
      </c>
      <c r="B3026" s="46">
        <f>'Change Orders'!U991</f>
        <v/>
      </c>
      <c r="C3026" s="84">
        <f>'Change Orders'!S991</f>
        <v/>
      </c>
      <c r="D3026" s="46">
        <f>'Change Orders'!T991</f>
        <v/>
      </c>
      <c r="E3026" s="46">
        <f>IF(OR(B3026="",C3026="",D3026=""),"",D3026*100000+(C3026-DATE(2000,1,1))+ROW()/100000)</f>
        <v/>
      </c>
      <c r="F3026" s="46">
        <f>IF(E3026="","",IF(C3026&gt;WeekEndDate,"",E3026))</f>
        <v/>
      </c>
    </row>
    <row r="3027">
      <c r="A3027" t="inlineStr">
        <is>
          <t>Change Orders</t>
        </is>
      </c>
      <c r="B3027" s="46">
        <f>'Change Orders'!U992</f>
        <v/>
      </c>
      <c r="C3027" s="84">
        <f>'Change Orders'!S992</f>
        <v/>
      </c>
      <c r="D3027" s="46">
        <f>'Change Orders'!T992</f>
        <v/>
      </c>
      <c r="E3027" s="46">
        <f>IF(OR(B3027="",C3027="",D3027=""),"",D3027*100000+(C3027-DATE(2000,1,1))+ROW()/100000)</f>
        <v/>
      </c>
      <c r="F3027" s="46">
        <f>IF(E3027="","",IF(C3027&gt;WeekEndDate,"",E3027))</f>
        <v/>
      </c>
    </row>
    <row r="3028">
      <c r="A3028" t="inlineStr">
        <is>
          <t>Change Orders</t>
        </is>
      </c>
      <c r="B3028" s="46">
        <f>'Change Orders'!U993</f>
        <v/>
      </c>
      <c r="C3028" s="84">
        <f>'Change Orders'!S993</f>
        <v/>
      </c>
      <c r="D3028" s="46">
        <f>'Change Orders'!T993</f>
        <v/>
      </c>
      <c r="E3028" s="46">
        <f>IF(OR(B3028="",C3028="",D3028=""),"",D3028*100000+(C3028-DATE(2000,1,1))+ROW()/100000)</f>
        <v/>
      </c>
      <c r="F3028" s="46">
        <f>IF(E3028="","",IF(C3028&gt;WeekEndDate,"",E3028))</f>
        <v/>
      </c>
    </row>
    <row r="3029">
      <c r="A3029" t="inlineStr">
        <is>
          <t>Change Orders</t>
        </is>
      </c>
      <c r="B3029" s="46">
        <f>'Change Orders'!U994</f>
        <v/>
      </c>
      <c r="C3029" s="84">
        <f>'Change Orders'!S994</f>
        <v/>
      </c>
      <c r="D3029" s="46">
        <f>'Change Orders'!T994</f>
        <v/>
      </c>
      <c r="E3029" s="46">
        <f>IF(OR(B3029="",C3029="",D3029=""),"",D3029*100000+(C3029-DATE(2000,1,1))+ROW()/100000)</f>
        <v/>
      </c>
      <c r="F3029" s="46">
        <f>IF(E3029="","",IF(C3029&gt;WeekEndDate,"",E3029))</f>
        <v/>
      </c>
    </row>
    <row r="3030">
      <c r="A3030" t="inlineStr">
        <is>
          <t>Change Orders</t>
        </is>
      </c>
      <c r="B3030" s="46">
        <f>'Change Orders'!U995</f>
        <v/>
      </c>
      <c r="C3030" s="84">
        <f>'Change Orders'!S995</f>
        <v/>
      </c>
      <c r="D3030" s="46">
        <f>'Change Orders'!T995</f>
        <v/>
      </c>
      <c r="E3030" s="46">
        <f>IF(OR(B3030="",C3030="",D3030=""),"",D3030*100000+(C3030-DATE(2000,1,1))+ROW()/100000)</f>
        <v/>
      </c>
      <c r="F3030" s="46">
        <f>IF(E3030="","",IF(C3030&gt;WeekEndDate,"",E3030))</f>
        <v/>
      </c>
    </row>
    <row r="3031">
      <c r="A3031" t="inlineStr">
        <is>
          <t>Change Orders</t>
        </is>
      </c>
      <c r="B3031" s="46">
        <f>'Change Orders'!U996</f>
        <v/>
      </c>
      <c r="C3031" s="84">
        <f>'Change Orders'!S996</f>
        <v/>
      </c>
      <c r="D3031" s="46">
        <f>'Change Orders'!T996</f>
        <v/>
      </c>
      <c r="E3031" s="46">
        <f>IF(OR(B3031="",C3031="",D3031=""),"",D3031*100000+(C3031-DATE(2000,1,1))+ROW()/100000)</f>
        <v/>
      </c>
      <c r="F3031" s="46">
        <f>IF(E3031="","",IF(C3031&gt;WeekEndDate,"",E3031))</f>
        <v/>
      </c>
    </row>
    <row r="3032">
      <c r="A3032" t="inlineStr">
        <is>
          <t>Change Orders</t>
        </is>
      </c>
      <c r="B3032" s="46">
        <f>'Change Orders'!U997</f>
        <v/>
      </c>
      <c r="C3032" s="84">
        <f>'Change Orders'!S997</f>
        <v/>
      </c>
      <c r="D3032" s="46">
        <f>'Change Orders'!T997</f>
        <v/>
      </c>
      <c r="E3032" s="46">
        <f>IF(OR(B3032="",C3032="",D3032=""),"",D3032*100000+(C3032-DATE(2000,1,1))+ROW()/100000)</f>
        <v/>
      </c>
      <c r="F3032" s="46">
        <f>IF(E3032="","",IF(C3032&gt;WeekEndDate,"",E3032))</f>
        <v/>
      </c>
    </row>
    <row r="3033">
      <c r="A3033" t="inlineStr">
        <is>
          <t>Change Orders</t>
        </is>
      </c>
      <c r="B3033" s="46">
        <f>'Change Orders'!U998</f>
        <v/>
      </c>
      <c r="C3033" s="84">
        <f>'Change Orders'!S998</f>
        <v/>
      </c>
      <c r="D3033" s="46">
        <f>'Change Orders'!T998</f>
        <v/>
      </c>
      <c r="E3033" s="46">
        <f>IF(OR(B3033="",C3033="",D3033=""),"",D3033*100000+(C3033-DATE(2000,1,1))+ROW()/100000)</f>
        <v/>
      </c>
      <c r="F3033" s="46">
        <f>IF(E3033="","",IF(C3033&gt;WeekEndDate,"",E3033))</f>
        <v/>
      </c>
    </row>
    <row r="3034">
      <c r="A3034" t="inlineStr">
        <is>
          <t>Change Orders</t>
        </is>
      </c>
      <c r="B3034" s="46">
        <f>'Change Orders'!U999</f>
        <v/>
      </c>
      <c r="C3034" s="84">
        <f>'Change Orders'!S999</f>
        <v/>
      </c>
      <c r="D3034" s="46">
        <f>'Change Orders'!T999</f>
        <v/>
      </c>
      <c r="E3034" s="46">
        <f>IF(OR(B3034="",C3034="",D3034=""),"",D3034*100000+(C3034-DATE(2000,1,1))+ROW()/100000)</f>
        <v/>
      </c>
      <c r="F3034" s="46">
        <f>IF(E3034="","",IF(C3034&gt;WeekEndDate,"",E3034))</f>
        <v/>
      </c>
    </row>
    <row r="3035">
      <c r="A3035" t="inlineStr">
        <is>
          <t>Change Orders</t>
        </is>
      </c>
      <c r="B3035" s="46">
        <f>'Change Orders'!U1000</f>
        <v/>
      </c>
      <c r="C3035" s="84">
        <f>'Change Orders'!S1000</f>
        <v/>
      </c>
      <c r="D3035" s="46">
        <f>'Change Orders'!T1000</f>
        <v/>
      </c>
      <c r="E3035" s="46">
        <f>IF(OR(B3035="",C3035="",D3035=""),"",D3035*100000+(C3035-DATE(2000,1,1))+ROW()/100000)</f>
        <v/>
      </c>
      <c r="F3035" s="46">
        <f>IF(E3035="","",IF(C3035&gt;WeekEndDate,"",E3035))</f>
        <v/>
      </c>
    </row>
    <row r="3036">
      <c r="A3036" t="inlineStr">
        <is>
          <t>Change Orders</t>
        </is>
      </c>
      <c r="B3036" s="46">
        <f>'Change Orders'!U1001</f>
        <v/>
      </c>
      <c r="C3036" s="84">
        <f>'Change Orders'!S1001</f>
        <v/>
      </c>
      <c r="D3036" s="46">
        <f>'Change Orders'!T1001</f>
        <v/>
      </c>
      <c r="E3036" s="46">
        <f>IF(OR(B3036="",C3036="",D3036=""),"",D3036*100000+(C3036-DATE(2000,1,1))+ROW()/100000)</f>
        <v/>
      </c>
      <c r="F3036" s="46">
        <f>IF(E3036="","",IF(C3036&gt;WeekEndDate,"",E3036))</f>
        <v/>
      </c>
    </row>
    <row r="3037">
      <c r="A3037" t="inlineStr">
        <is>
          <t>Change Orders</t>
        </is>
      </c>
      <c r="B3037" s="46">
        <f>'Change Orders'!U1002</f>
        <v/>
      </c>
      <c r="C3037" s="84">
        <f>'Change Orders'!S1002</f>
        <v/>
      </c>
      <c r="D3037" s="46">
        <f>'Change Orders'!T1002</f>
        <v/>
      </c>
      <c r="E3037" s="46">
        <f>IF(OR(B3037="",C3037="",D3037=""),"",D3037*100000+(C3037-DATE(2000,1,1))+ROW()/100000)</f>
        <v/>
      </c>
      <c r="F3037" s="46">
        <f>IF(E3037="","",IF(C3037&gt;WeekEndDate,"",E3037))</f>
        <v/>
      </c>
    </row>
    <row r="3038">
      <c r="A3038" t="inlineStr">
        <is>
          <t>Change Orders</t>
        </is>
      </c>
      <c r="B3038" s="46">
        <f>'Change Orders'!U1003</f>
        <v/>
      </c>
      <c r="C3038" s="84">
        <f>'Change Orders'!S1003</f>
        <v/>
      </c>
      <c r="D3038" s="46">
        <f>'Change Orders'!T1003</f>
        <v/>
      </c>
      <c r="E3038" s="46">
        <f>IF(OR(B3038="",C3038="",D3038=""),"",D3038*100000+(C3038-DATE(2000,1,1))+ROW()/100000)</f>
        <v/>
      </c>
      <c r="F3038" s="46">
        <f>IF(E3038="","",IF(C3038&gt;WeekEndDate,"",E3038))</f>
        <v/>
      </c>
    </row>
    <row r="3039">
      <c r="A3039" t="inlineStr">
        <is>
          <t>Change Orders</t>
        </is>
      </c>
      <c r="B3039" s="46">
        <f>'Change Orders'!U1004</f>
        <v/>
      </c>
      <c r="C3039" s="84">
        <f>'Change Orders'!S1004</f>
        <v/>
      </c>
      <c r="D3039" s="46">
        <f>'Change Orders'!T1004</f>
        <v/>
      </c>
      <c r="E3039" s="46">
        <f>IF(OR(B3039="",C3039="",D3039=""),"",D3039*100000+(C3039-DATE(2000,1,1))+ROW()/100000)</f>
        <v/>
      </c>
      <c r="F3039" s="46">
        <f>IF(E3039="","",IF(C3039&gt;WeekEndDate,"",E3039))</f>
        <v/>
      </c>
    </row>
    <row r="3040">
      <c r="A3040" t="inlineStr">
        <is>
          <t>Change Orders</t>
        </is>
      </c>
      <c r="B3040" s="46">
        <f>'Change Orders'!U1005</f>
        <v/>
      </c>
      <c r="C3040" s="84">
        <f>'Change Orders'!S1005</f>
        <v/>
      </c>
      <c r="D3040" s="46">
        <f>'Change Orders'!T1005</f>
        <v/>
      </c>
      <c r="E3040" s="46">
        <f>IF(OR(B3040="",C3040="",D3040=""),"",D3040*100000+(C3040-DATE(2000,1,1))+ROW()/100000)</f>
        <v/>
      </c>
      <c r="F3040" s="46">
        <f>IF(E3040="","",IF(C3040&gt;WeekEndDate,"",E3040))</f>
        <v/>
      </c>
    </row>
    <row r="3041">
      <c r="A3041" t="inlineStr">
        <is>
          <t>Change Orders</t>
        </is>
      </c>
      <c r="B3041" s="46">
        <f>'Change Orders'!U1006</f>
        <v/>
      </c>
      <c r="C3041" s="84">
        <f>'Change Orders'!S1006</f>
        <v/>
      </c>
      <c r="D3041" s="46">
        <f>'Change Orders'!T1006</f>
        <v/>
      </c>
      <c r="E3041" s="46">
        <f>IF(OR(B3041="",C3041="",D3041=""),"",D3041*100000+(C3041-DATE(2000,1,1))+ROW()/100000)</f>
        <v/>
      </c>
      <c r="F3041" s="46">
        <f>IF(E3041="","",IF(C3041&gt;WeekEndDate,"",E3041))</f>
        <v/>
      </c>
    </row>
    <row r="3042">
      <c r="A3042" t="inlineStr">
        <is>
          <t>Timeline</t>
        </is>
      </c>
      <c r="B3042" s="46">
        <f>'Timeline'!V7</f>
        <v/>
      </c>
      <c r="C3042" s="84">
        <f>'Timeline'!T7</f>
        <v/>
      </c>
      <c r="D3042" s="46">
        <f>'Timeline'!U7</f>
        <v/>
      </c>
      <c r="E3042" s="46">
        <f>IF(OR(B3042="",C3042="",D3042=""),"",D3042*100000+(C3042-DATE(2000,1,1))+ROW()/100000)</f>
        <v/>
      </c>
      <c r="F3042" s="46">
        <f>IF(E3042="","",IF(C3042&gt;WeekEndDate,"",E3042))</f>
        <v/>
      </c>
    </row>
    <row r="3043">
      <c r="A3043" t="inlineStr">
        <is>
          <t>Timeline</t>
        </is>
      </c>
      <c r="B3043" s="46">
        <f>'Timeline'!V8</f>
        <v/>
      </c>
      <c r="C3043" s="84">
        <f>'Timeline'!T8</f>
        <v/>
      </c>
      <c r="D3043" s="46">
        <f>'Timeline'!U8</f>
        <v/>
      </c>
      <c r="E3043" s="46">
        <f>IF(OR(B3043="",C3043="",D3043=""),"",D3043*100000+(C3043-DATE(2000,1,1))+ROW()/100000)</f>
        <v/>
      </c>
      <c r="F3043" s="46">
        <f>IF(E3043="","",IF(C3043&gt;WeekEndDate,"",E3043))</f>
        <v/>
      </c>
    </row>
    <row r="3044">
      <c r="A3044" t="inlineStr">
        <is>
          <t>Timeline</t>
        </is>
      </c>
      <c r="B3044" s="46">
        <f>'Timeline'!V9</f>
        <v/>
      </c>
      <c r="C3044" s="84">
        <f>'Timeline'!T9</f>
        <v/>
      </c>
      <c r="D3044" s="46">
        <f>'Timeline'!U9</f>
        <v/>
      </c>
      <c r="E3044" s="46">
        <f>IF(OR(B3044="",C3044="",D3044=""),"",D3044*100000+(C3044-DATE(2000,1,1))+ROW()/100000)</f>
        <v/>
      </c>
      <c r="F3044" s="46">
        <f>IF(E3044="","",IF(C3044&gt;WeekEndDate,"",E3044))</f>
        <v/>
      </c>
    </row>
    <row r="3045">
      <c r="A3045" t="inlineStr">
        <is>
          <t>Timeline</t>
        </is>
      </c>
      <c r="B3045" s="46">
        <f>'Timeline'!V10</f>
        <v/>
      </c>
      <c r="C3045" s="84">
        <f>'Timeline'!T10</f>
        <v/>
      </c>
      <c r="D3045" s="46">
        <f>'Timeline'!U10</f>
        <v/>
      </c>
      <c r="E3045" s="46">
        <f>IF(OR(B3045="",C3045="",D3045=""),"",D3045*100000+(C3045-DATE(2000,1,1))+ROW()/100000)</f>
        <v/>
      </c>
      <c r="F3045" s="46">
        <f>IF(E3045="","",IF(C3045&gt;WeekEndDate,"",E3045))</f>
        <v/>
      </c>
    </row>
    <row r="3046">
      <c r="A3046" t="inlineStr">
        <is>
          <t>Timeline</t>
        </is>
      </c>
      <c r="B3046" s="46">
        <f>'Timeline'!V11</f>
        <v/>
      </c>
      <c r="C3046" s="84">
        <f>'Timeline'!T11</f>
        <v/>
      </c>
      <c r="D3046" s="46">
        <f>'Timeline'!U11</f>
        <v/>
      </c>
      <c r="E3046" s="46">
        <f>IF(OR(B3046="",C3046="",D3046=""),"",D3046*100000+(C3046-DATE(2000,1,1))+ROW()/100000)</f>
        <v/>
      </c>
      <c r="F3046" s="46">
        <f>IF(E3046="","",IF(C3046&gt;WeekEndDate,"",E3046))</f>
        <v/>
      </c>
    </row>
    <row r="3047">
      <c r="A3047" t="inlineStr">
        <is>
          <t>Timeline</t>
        </is>
      </c>
      <c r="B3047" s="46">
        <f>'Timeline'!V12</f>
        <v/>
      </c>
      <c r="C3047" s="84">
        <f>'Timeline'!T12</f>
        <v/>
      </c>
      <c r="D3047" s="46">
        <f>'Timeline'!U12</f>
        <v/>
      </c>
      <c r="E3047" s="46">
        <f>IF(OR(B3047="",C3047="",D3047=""),"",D3047*100000+(C3047-DATE(2000,1,1))+ROW()/100000)</f>
        <v/>
      </c>
      <c r="F3047" s="46">
        <f>IF(E3047="","",IF(C3047&gt;WeekEndDate,"",E3047))</f>
        <v/>
      </c>
    </row>
    <row r="3048">
      <c r="A3048" t="inlineStr">
        <is>
          <t>Timeline</t>
        </is>
      </c>
      <c r="B3048" s="46">
        <f>'Timeline'!V13</f>
        <v/>
      </c>
      <c r="C3048" s="84">
        <f>'Timeline'!T13</f>
        <v/>
      </c>
      <c r="D3048" s="46">
        <f>'Timeline'!U13</f>
        <v/>
      </c>
      <c r="E3048" s="46">
        <f>IF(OR(B3048="",C3048="",D3048=""),"",D3048*100000+(C3048-DATE(2000,1,1))+ROW()/100000)</f>
        <v/>
      </c>
      <c r="F3048" s="46">
        <f>IF(E3048="","",IF(C3048&gt;WeekEndDate,"",E3048))</f>
        <v/>
      </c>
    </row>
    <row r="3049">
      <c r="A3049" t="inlineStr">
        <is>
          <t>Timeline</t>
        </is>
      </c>
      <c r="B3049" s="46">
        <f>'Timeline'!V14</f>
        <v/>
      </c>
      <c r="C3049" s="84">
        <f>'Timeline'!T14</f>
        <v/>
      </c>
      <c r="D3049" s="46">
        <f>'Timeline'!U14</f>
        <v/>
      </c>
      <c r="E3049" s="46">
        <f>IF(OR(B3049="",C3049="",D3049=""),"",D3049*100000+(C3049-DATE(2000,1,1))+ROW()/100000)</f>
        <v/>
      </c>
      <c r="F3049" s="46">
        <f>IF(E3049="","",IF(C3049&gt;WeekEndDate,"",E3049))</f>
        <v/>
      </c>
    </row>
    <row r="3050">
      <c r="A3050" t="inlineStr">
        <is>
          <t>Timeline</t>
        </is>
      </c>
      <c r="B3050" s="46">
        <f>'Timeline'!V15</f>
        <v/>
      </c>
      <c r="C3050" s="84">
        <f>'Timeline'!T15</f>
        <v/>
      </c>
      <c r="D3050" s="46">
        <f>'Timeline'!U15</f>
        <v/>
      </c>
      <c r="E3050" s="46">
        <f>IF(OR(B3050="",C3050="",D3050=""),"",D3050*100000+(C3050-DATE(2000,1,1))+ROW()/100000)</f>
        <v/>
      </c>
      <c r="F3050" s="46">
        <f>IF(E3050="","",IF(C3050&gt;WeekEndDate,"",E3050))</f>
        <v/>
      </c>
    </row>
    <row r="3051">
      <c r="A3051" t="inlineStr">
        <is>
          <t>Timeline</t>
        </is>
      </c>
      <c r="B3051" s="46">
        <f>'Timeline'!V16</f>
        <v/>
      </c>
      <c r="C3051" s="84">
        <f>'Timeline'!T16</f>
        <v/>
      </c>
      <c r="D3051" s="46">
        <f>'Timeline'!U16</f>
        <v/>
      </c>
      <c r="E3051" s="46">
        <f>IF(OR(B3051="",C3051="",D3051=""),"",D3051*100000+(C3051-DATE(2000,1,1))+ROW()/100000)</f>
        <v/>
      </c>
      <c r="F3051" s="46">
        <f>IF(E3051="","",IF(C3051&gt;WeekEndDate,"",E3051))</f>
        <v/>
      </c>
    </row>
    <row r="3052">
      <c r="A3052" t="inlineStr">
        <is>
          <t>Timeline</t>
        </is>
      </c>
      <c r="B3052" s="46">
        <f>'Timeline'!V17</f>
        <v/>
      </c>
      <c r="C3052" s="84">
        <f>'Timeline'!T17</f>
        <v/>
      </c>
      <c r="D3052" s="46">
        <f>'Timeline'!U17</f>
        <v/>
      </c>
      <c r="E3052" s="46">
        <f>IF(OR(B3052="",C3052="",D3052=""),"",D3052*100000+(C3052-DATE(2000,1,1))+ROW()/100000)</f>
        <v/>
      </c>
      <c r="F3052" s="46">
        <f>IF(E3052="","",IF(C3052&gt;WeekEndDate,"",E3052))</f>
        <v/>
      </c>
    </row>
    <row r="3053">
      <c r="A3053" t="inlineStr">
        <is>
          <t>Timeline</t>
        </is>
      </c>
      <c r="B3053" s="46">
        <f>'Timeline'!V18</f>
        <v/>
      </c>
      <c r="C3053" s="84">
        <f>'Timeline'!T18</f>
        <v/>
      </c>
      <c r="D3053" s="46">
        <f>'Timeline'!U18</f>
        <v/>
      </c>
      <c r="E3053" s="46">
        <f>IF(OR(B3053="",C3053="",D3053=""),"",D3053*100000+(C3053-DATE(2000,1,1))+ROW()/100000)</f>
        <v/>
      </c>
      <c r="F3053" s="46">
        <f>IF(E3053="","",IF(C3053&gt;WeekEndDate,"",E3053))</f>
        <v/>
      </c>
    </row>
    <row r="3054">
      <c r="A3054" t="inlineStr">
        <is>
          <t>Timeline</t>
        </is>
      </c>
      <c r="B3054" s="46">
        <f>'Timeline'!V19</f>
        <v/>
      </c>
      <c r="C3054" s="84">
        <f>'Timeline'!T19</f>
        <v/>
      </c>
      <c r="D3054" s="46">
        <f>'Timeline'!U19</f>
        <v/>
      </c>
      <c r="E3054" s="46">
        <f>IF(OR(B3054="",C3054="",D3054=""),"",D3054*100000+(C3054-DATE(2000,1,1))+ROW()/100000)</f>
        <v/>
      </c>
      <c r="F3054" s="46">
        <f>IF(E3054="","",IF(C3054&gt;WeekEndDate,"",E3054))</f>
        <v/>
      </c>
    </row>
    <row r="3055">
      <c r="A3055" t="inlineStr">
        <is>
          <t>Timeline</t>
        </is>
      </c>
      <c r="B3055" s="46">
        <f>'Timeline'!V20</f>
        <v/>
      </c>
      <c r="C3055" s="84">
        <f>'Timeline'!T20</f>
        <v/>
      </c>
      <c r="D3055" s="46">
        <f>'Timeline'!U20</f>
        <v/>
      </c>
      <c r="E3055" s="46">
        <f>IF(OR(B3055="",C3055="",D3055=""),"",D3055*100000+(C3055-DATE(2000,1,1))+ROW()/100000)</f>
        <v/>
      </c>
      <c r="F3055" s="46">
        <f>IF(E3055="","",IF(C3055&gt;WeekEndDate,"",E3055))</f>
        <v/>
      </c>
    </row>
    <row r="3056">
      <c r="A3056" t="inlineStr">
        <is>
          <t>Timeline</t>
        </is>
      </c>
      <c r="B3056" s="46">
        <f>'Timeline'!V21</f>
        <v/>
      </c>
      <c r="C3056" s="84">
        <f>'Timeline'!T21</f>
        <v/>
      </c>
      <c r="D3056" s="46">
        <f>'Timeline'!U21</f>
        <v/>
      </c>
      <c r="E3056" s="46">
        <f>IF(OR(B3056="",C3056="",D3056=""),"",D3056*100000+(C3056-DATE(2000,1,1))+ROW()/100000)</f>
        <v/>
      </c>
      <c r="F3056" s="46">
        <f>IF(E3056="","",IF(C3056&gt;WeekEndDate,"",E3056))</f>
        <v/>
      </c>
    </row>
    <row r="3057">
      <c r="A3057" t="inlineStr">
        <is>
          <t>Timeline</t>
        </is>
      </c>
      <c r="B3057" s="46">
        <f>'Timeline'!V22</f>
        <v/>
      </c>
      <c r="C3057" s="84">
        <f>'Timeline'!T22</f>
        <v/>
      </c>
      <c r="D3057" s="46">
        <f>'Timeline'!U22</f>
        <v/>
      </c>
      <c r="E3057" s="46">
        <f>IF(OR(B3057="",C3057="",D3057=""),"",D3057*100000+(C3057-DATE(2000,1,1))+ROW()/100000)</f>
        <v/>
      </c>
      <c r="F3057" s="46">
        <f>IF(E3057="","",IF(C3057&gt;WeekEndDate,"",E3057))</f>
        <v/>
      </c>
    </row>
    <row r="3058">
      <c r="A3058" t="inlineStr">
        <is>
          <t>Timeline</t>
        </is>
      </c>
      <c r="B3058" s="46">
        <f>'Timeline'!V23</f>
        <v/>
      </c>
      <c r="C3058" s="84">
        <f>'Timeline'!T23</f>
        <v/>
      </c>
      <c r="D3058" s="46">
        <f>'Timeline'!U23</f>
        <v/>
      </c>
      <c r="E3058" s="46">
        <f>IF(OR(B3058="",C3058="",D3058=""),"",D3058*100000+(C3058-DATE(2000,1,1))+ROW()/100000)</f>
        <v/>
      </c>
      <c r="F3058" s="46">
        <f>IF(E3058="","",IF(C3058&gt;WeekEndDate,"",E3058))</f>
        <v/>
      </c>
    </row>
    <row r="3059">
      <c r="A3059" t="inlineStr">
        <is>
          <t>Timeline</t>
        </is>
      </c>
      <c r="B3059" s="46">
        <f>'Timeline'!V24</f>
        <v/>
      </c>
      <c r="C3059" s="84">
        <f>'Timeline'!T24</f>
        <v/>
      </c>
      <c r="D3059" s="46">
        <f>'Timeline'!U24</f>
        <v/>
      </c>
      <c r="E3059" s="46">
        <f>IF(OR(B3059="",C3059="",D3059=""),"",D3059*100000+(C3059-DATE(2000,1,1))+ROW()/100000)</f>
        <v/>
      </c>
      <c r="F3059" s="46">
        <f>IF(E3059="","",IF(C3059&gt;WeekEndDate,"",E3059))</f>
        <v/>
      </c>
    </row>
    <row r="3060">
      <c r="A3060" t="inlineStr">
        <is>
          <t>Timeline</t>
        </is>
      </c>
      <c r="B3060" s="46">
        <f>'Timeline'!V25</f>
        <v/>
      </c>
      <c r="C3060" s="84">
        <f>'Timeline'!T25</f>
        <v/>
      </c>
      <c r="D3060" s="46">
        <f>'Timeline'!U25</f>
        <v/>
      </c>
      <c r="E3060" s="46">
        <f>IF(OR(B3060="",C3060="",D3060=""),"",D3060*100000+(C3060-DATE(2000,1,1))+ROW()/100000)</f>
        <v/>
      </c>
      <c r="F3060" s="46">
        <f>IF(E3060="","",IF(C3060&gt;WeekEndDate,"",E3060))</f>
        <v/>
      </c>
    </row>
    <row r="3061">
      <c r="A3061" t="inlineStr">
        <is>
          <t>Timeline</t>
        </is>
      </c>
      <c r="B3061" s="46">
        <f>'Timeline'!V26</f>
        <v/>
      </c>
      <c r="C3061" s="84">
        <f>'Timeline'!T26</f>
        <v/>
      </c>
      <c r="D3061" s="46">
        <f>'Timeline'!U26</f>
        <v/>
      </c>
      <c r="E3061" s="46">
        <f>IF(OR(B3061="",C3061="",D3061=""),"",D3061*100000+(C3061-DATE(2000,1,1))+ROW()/100000)</f>
        <v/>
      </c>
      <c r="F3061" s="46">
        <f>IF(E3061="","",IF(C3061&gt;WeekEndDate,"",E3061))</f>
        <v/>
      </c>
    </row>
    <row r="3062">
      <c r="A3062" t="inlineStr">
        <is>
          <t>Timeline</t>
        </is>
      </c>
      <c r="B3062" s="46">
        <f>'Timeline'!V27</f>
        <v/>
      </c>
      <c r="C3062" s="84">
        <f>'Timeline'!T27</f>
        <v/>
      </c>
      <c r="D3062" s="46">
        <f>'Timeline'!U27</f>
        <v/>
      </c>
      <c r="E3062" s="46">
        <f>IF(OR(B3062="",C3062="",D3062=""),"",D3062*100000+(C3062-DATE(2000,1,1))+ROW()/100000)</f>
        <v/>
      </c>
      <c r="F3062" s="46">
        <f>IF(E3062="","",IF(C3062&gt;WeekEndDate,"",E3062))</f>
        <v/>
      </c>
    </row>
    <row r="3063">
      <c r="A3063" t="inlineStr">
        <is>
          <t>Timeline</t>
        </is>
      </c>
      <c r="B3063" s="46">
        <f>'Timeline'!V28</f>
        <v/>
      </c>
      <c r="C3063" s="84">
        <f>'Timeline'!T28</f>
        <v/>
      </c>
      <c r="D3063" s="46">
        <f>'Timeline'!U28</f>
        <v/>
      </c>
      <c r="E3063" s="46">
        <f>IF(OR(B3063="",C3063="",D3063=""),"",D3063*100000+(C3063-DATE(2000,1,1))+ROW()/100000)</f>
        <v/>
      </c>
      <c r="F3063" s="46">
        <f>IF(E3063="","",IF(C3063&gt;WeekEndDate,"",E3063))</f>
        <v/>
      </c>
    </row>
    <row r="3064">
      <c r="A3064" t="inlineStr">
        <is>
          <t>Timeline</t>
        </is>
      </c>
      <c r="B3064" s="46">
        <f>'Timeline'!V29</f>
        <v/>
      </c>
      <c r="C3064" s="84">
        <f>'Timeline'!T29</f>
        <v/>
      </c>
      <c r="D3064" s="46">
        <f>'Timeline'!U29</f>
        <v/>
      </c>
      <c r="E3064" s="46">
        <f>IF(OR(B3064="",C3064="",D3064=""),"",D3064*100000+(C3064-DATE(2000,1,1))+ROW()/100000)</f>
        <v/>
      </c>
      <c r="F3064" s="46">
        <f>IF(E3064="","",IF(C3064&gt;WeekEndDate,"",E3064))</f>
        <v/>
      </c>
    </row>
    <row r="3065">
      <c r="A3065" t="inlineStr">
        <is>
          <t>Timeline</t>
        </is>
      </c>
      <c r="B3065" s="46">
        <f>'Timeline'!V30</f>
        <v/>
      </c>
      <c r="C3065" s="84">
        <f>'Timeline'!T30</f>
        <v/>
      </c>
      <c r="D3065" s="46">
        <f>'Timeline'!U30</f>
        <v/>
      </c>
      <c r="E3065" s="46">
        <f>IF(OR(B3065="",C3065="",D3065=""),"",D3065*100000+(C3065-DATE(2000,1,1))+ROW()/100000)</f>
        <v/>
      </c>
      <c r="F3065" s="46">
        <f>IF(E3065="","",IF(C3065&gt;WeekEndDate,"",E3065))</f>
        <v/>
      </c>
    </row>
    <row r="3066">
      <c r="A3066" t="inlineStr">
        <is>
          <t>Timeline</t>
        </is>
      </c>
      <c r="B3066" s="46">
        <f>'Timeline'!V31</f>
        <v/>
      </c>
      <c r="C3066" s="84">
        <f>'Timeline'!T31</f>
        <v/>
      </c>
      <c r="D3066" s="46">
        <f>'Timeline'!U31</f>
        <v/>
      </c>
      <c r="E3066" s="46">
        <f>IF(OR(B3066="",C3066="",D3066=""),"",D3066*100000+(C3066-DATE(2000,1,1))+ROW()/100000)</f>
        <v/>
      </c>
      <c r="F3066" s="46">
        <f>IF(E3066="","",IF(C3066&gt;WeekEndDate,"",E3066))</f>
        <v/>
      </c>
    </row>
    <row r="3067">
      <c r="A3067" t="inlineStr">
        <is>
          <t>Timeline</t>
        </is>
      </c>
      <c r="B3067" s="46">
        <f>'Timeline'!V32</f>
        <v/>
      </c>
      <c r="C3067" s="84">
        <f>'Timeline'!T32</f>
        <v/>
      </c>
      <c r="D3067" s="46">
        <f>'Timeline'!U32</f>
        <v/>
      </c>
      <c r="E3067" s="46">
        <f>IF(OR(B3067="",C3067="",D3067=""),"",D3067*100000+(C3067-DATE(2000,1,1))+ROW()/100000)</f>
        <v/>
      </c>
      <c r="F3067" s="46">
        <f>IF(E3067="","",IF(C3067&gt;WeekEndDate,"",E3067))</f>
        <v/>
      </c>
    </row>
    <row r="3068">
      <c r="A3068" t="inlineStr">
        <is>
          <t>Timeline</t>
        </is>
      </c>
      <c r="B3068" s="46">
        <f>'Timeline'!V33</f>
        <v/>
      </c>
      <c r="C3068" s="84">
        <f>'Timeline'!T33</f>
        <v/>
      </c>
      <c r="D3068" s="46">
        <f>'Timeline'!U33</f>
        <v/>
      </c>
      <c r="E3068" s="46">
        <f>IF(OR(B3068="",C3068="",D3068=""),"",D3068*100000+(C3068-DATE(2000,1,1))+ROW()/100000)</f>
        <v/>
      </c>
      <c r="F3068" s="46">
        <f>IF(E3068="","",IF(C3068&gt;WeekEndDate,"",E3068))</f>
        <v/>
      </c>
    </row>
    <row r="3069">
      <c r="A3069" t="inlineStr">
        <is>
          <t>Timeline</t>
        </is>
      </c>
      <c r="B3069" s="46">
        <f>'Timeline'!V34</f>
        <v/>
      </c>
      <c r="C3069" s="84">
        <f>'Timeline'!T34</f>
        <v/>
      </c>
      <c r="D3069" s="46">
        <f>'Timeline'!U34</f>
        <v/>
      </c>
      <c r="E3069" s="46">
        <f>IF(OR(B3069="",C3069="",D3069=""),"",D3069*100000+(C3069-DATE(2000,1,1))+ROW()/100000)</f>
        <v/>
      </c>
      <c r="F3069" s="46">
        <f>IF(E3069="","",IF(C3069&gt;WeekEndDate,"",E3069))</f>
        <v/>
      </c>
    </row>
    <row r="3070">
      <c r="A3070" t="inlineStr">
        <is>
          <t>Timeline</t>
        </is>
      </c>
      <c r="B3070" s="46">
        <f>'Timeline'!V35</f>
        <v/>
      </c>
      <c r="C3070" s="84">
        <f>'Timeline'!T35</f>
        <v/>
      </c>
      <c r="D3070" s="46">
        <f>'Timeline'!U35</f>
        <v/>
      </c>
      <c r="E3070" s="46">
        <f>IF(OR(B3070="",C3070="",D3070=""),"",D3070*100000+(C3070-DATE(2000,1,1))+ROW()/100000)</f>
        <v/>
      </c>
      <c r="F3070" s="46">
        <f>IF(E3070="","",IF(C3070&gt;WeekEndDate,"",E3070))</f>
        <v/>
      </c>
    </row>
    <row r="3071">
      <c r="A3071" t="inlineStr">
        <is>
          <t>Timeline</t>
        </is>
      </c>
      <c r="B3071" s="46">
        <f>'Timeline'!V36</f>
        <v/>
      </c>
      <c r="C3071" s="84">
        <f>'Timeline'!T36</f>
        <v/>
      </c>
      <c r="D3071" s="46">
        <f>'Timeline'!U36</f>
        <v/>
      </c>
      <c r="E3071" s="46">
        <f>IF(OR(B3071="",C3071="",D3071=""),"",D3071*100000+(C3071-DATE(2000,1,1))+ROW()/100000)</f>
        <v/>
      </c>
      <c r="F3071" s="46">
        <f>IF(E3071="","",IF(C3071&gt;WeekEndDate,"",E3071))</f>
        <v/>
      </c>
    </row>
    <row r="3072">
      <c r="A3072" t="inlineStr">
        <is>
          <t>Timeline</t>
        </is>
      </c>
      <c r="B3072" s="46">
        <f>'Timeline'!V37</f>
        <v/>
      </c>
      <c r="C3072" s="84">
        <f>'Timeline'!T37</f>
        <v/>
      </c>
      <c r="D3072" s="46">
        <f>'Timeline'!U37</f>
        <v/>
      </c>
      <c r="E3072" s="46">
        <f>IF(OR(B3072="",C3072="",D3072=""),"",D3072*100000+(C3072-DATE(2000,1,1))+ROW()/100000)</f>
        <v/>
      </c>
      <c r="F3072" s="46">
        <f>IF(E3072="","",IF(C3072&gt;WeekEndDate,"",E3072))</f>
        <v/>
      </c>
    </row>
    <row r="3073">
      <c r="A3073" t="inlineStr">
        <is>
          <t>Timeline</t>
        </is>
      </c>
      <c r="B3073" s="46">
        <f>'Timeline'!V38</f>
        <v/>
      </c>
      <c r="C3073" s="84">
        <f>'Timeline'!T38</f>
        <v/>
      </c>
      <c r="D3073" s="46">
        <f>'Timeline'!U38</f>
        <v/>
      </c>
      <c r="E3073" s="46">
        <f>IF(OR(B3073="",C3073="",D3073=""),"",D3073*100000+(C3073-DATE(2000,1,1))+ROW()/100000)</f>
        <v/>
      </c>
      <c r="F3073" s="46">
        <f>IF(E3073="","",IF(C3073&gt;WeekEndDate,"",E3073))</f>
        <v/>
      </c>
    </row>
    <row r="3074">
      <c r="A3074" t="inlineStr">
        <is>
          <t>Timeline</t>
        </is>
      </c>
      <c r="B3074" s="46">
        <f>'Timeline'!V39</f>
        <v/>
      </c>
      <c r="C3074" s="84">
        <f>'Timeline'!T39</f>
        <v/>
      </c>
      <c r="D3074" s="46">
        <f>'Timeline'!U39</f>
        <v/>
      </c>
      <c r="E3074" s="46">
        <f>IF(OR(B3074="",C3074="",D3074=""),"",D3074*100000+(C3074-DATE(2000,1,1))+ROW()/100000)</f>
        <v/>
      </c>
      <c r="F3074" s="46">
        <f>IF(E3074="","",IF(C3074&gt;WeekEndDate,"",E3074))</f>
        <v/>
      </c>
    </row>
    <row r="3075">
      <c r="A3075" t="inlineStr">
        <is>
          <t>Timeline</t>
        </is>
      </c>
      <c r="B3075" s="46">
        <f>'Timeline'!V40</f>
        <v/>
      </c>
      <c r="C3075" s="84">
        <f>'Timeline'!T40</f>
        <v/>
      </c>
      <c r="D3075" s="46">
        <f>'Timeline'!U40</f>
        <v/>
      </c>
      <c r="E3075" s="46">
        <f>IF(OR(B3075="",C3075="",D3075=""),"",D3075*100000+(C3075-DATE(2000,1,1))+ROW()/100000)</f>
        <v/>
      </c>
      <c r="F3075" s="46">
        <f>IF(E3075="","",IF(C3075&gt;WeekEndDate,"",E3075))</f>
        <v/>
      </c>
    </row>
    <row r="3076">
      <c r="A3076" t="inlineStr">
        <is>
          <t>Timeline</t>
        </is>
      </c>
      <c r="B3076" s="46">
        <f>'Timeline'!V41</f>
        <v/>
      </c>
      <c r="C3076" s="84">
        <f>'Timeline'!T41</f>
        <v/>
      </c>
      <c r="D3076" s="46">
        <f>'Timeline'!U41</f>
        <v/>
      </c>
      <c r="E3076" s="46">
        <f>IF(OR(B3076="",C3076="",D3076=""),"",D3076*100000+(C3076-DATE(2000,1,1))+ROW()/100000)</f>
        <v/>
      </c>
      <c r="F3076" s="46">
        <f>IF(E3076="","",IF(C3076&gt;WeekEndDate,"",E3076))</f>
        <v/>
      </c>
    </row>
    <row r="3077">
      <c r="A3077" t="inlineStr">
        <is>
          <t>Timeline</t>
        </is>
      </c>
      <c r="B3077" s="46">
        <f>'Timeline'!V42</f>
        <v/>
      </c>
      <c r="C3077" s="84">
        <f>'Timeline'!T42</f>
        <v/>
      </c>
      <c r="D3077" s="46">
        <f>'Timeline'!U42</f>
        <v/>
      </c>
      <c r="E3077" s="46">
        <f>IF(OR(B3077="",C3077="",D3077=""),"",D3077*100000+(C3077-DATE(2000,1,1))+ROW()/100000)</f>
        <v/>
      </c>
      <c r="F3077" s="46">
        <f>IF(E3077="","",IF(C3077&gt;WeekEndDate,"",E3077))</f>
        <v/>
      </c>
    </row>
    <row r="3078">
      <c r="A3078" t="inlineStr">
        <is>
          <t>Timeline</t>
        </is>
      </c>
      <c r="B3078" s="46">
        <f>'Timeline'!V43</f>
        <v/>
      </c>
      <c r="C3078" s="84">
        <f>'Timeline'!T43</f>
        <v/>
      </c>
      <c r="D3078" s="46">
        <f>'Timeline'!U43</f>
        <v/>
      </c>
      <c r="E3078" s="46">
        <f>IF(OR(B3078="",C3078="",D3078=""),"",D3078*100000+(C3078-DATE(2000,1,1))+ROW()/100000)</f>
        <v/>
      </c>
      <c r="F3078" s="46">
        <f>IF(E3078="","",IF(C3078&gt;WeekEndDate,"",E3078))</f>
        <v/>
      </c>
    </row>
    <row r="3079">
      <c r="A3079" t="inlineStr">
        <is>
          <t>Timeline</t>
        </is>
      </c>
      <c r="B3079" s="46">
        <f>'Timeline'!V44</f>
        <v/>
      </c>
      <c r="C3079" s="84">
        <f>'Timeline'!T44</f>
        <v/>
      </c>
      <c r="D3079" s="46">
        <f>'Timeline'!U44</f>
        <v/>
      </c>
      <c r="E3079" s="46">
        <f>IF(OR(B3079="",C3079="",D3079=""),"",D3079*100000+(C3079-DATE(2000,1,1))+ROW()/100000)</f>
        <v/>
      </c>
      <c r="F3079" s="46">
        <f>IF(E3079="","",IF(C3079&gt;WeekEndDate,"",E3079))</f>
        <v/>
      </c>
    </row>
    <row r="3080">
      <c r="A3080" t="inlineStr">
        <is>
          <t>Timeline</t>
        </is>
      </c>
      <c r="B3080" s="46">
        <f>'Timeline'!V45</f>
        <v/>
      </c>
      <c r="C3080" s="84">
        <f>'Timeline'!T45</f>
        <v/>
      </c>
      <c r="D3080" s="46">
        <f>'Timeline'!U45</f>
        <v/>
      </c>
      <c r="E3080" s="46">
        <f>IF(OR(B3080="",C3080="",D3080=""),"",D3080*100000+(C3080-DATE(2000,1,1))+ROW()/100000)</f>
        <v/>
      </c>
      <c r="F3080" s="46">
        <f>IF(E3080="","",IF(C3080&gt;WeekEndDate,"",E3080))</f>
        <v/>
      </c>
    </row>
    <row r="3081">
      <c r="A3081" t="inlineStr">
        <is>
          <t>Timeline</t>
        </is>
      </c>
      <c r="B3081" s="46">
        <f>'Timeline'!V46</f>
        <v/>
      </c>
      <c r="C3081" s="84">
        <f>'Timeline'!T46</f>
        <v/>
      </c>
      <c r="D3081" s="46">
        <f>'Timeline'!U46</f>
        <v/>
      </c>
      <c r="E3081" s="46">
        <f>IF(OR(B3081="",C3081="",D3081=""),"",D3081*100000+(C3081-DATE(2000,1,1))+ROW()/100000)</f>
        <v/>
      </c>
      <c r="F3081" s="46">
        <f>IF(E3081="","",IF(C3081&gt;WeekEndDate,"",E3081))</f>
        <v/>
      </c>
    </row>
    <row r="3082">
      <c r="A3082" t="inlineStr">
        <is>
          <t>Timeline</t>
        </is>
      </c>
      <c r="B3082" s="46">
        <f>'Timeline'!V47</f>
        <v/>
      </c>
      <c r="C3082" s="84">
        <f>'Timeline'!T47</f>
        <v/>
      </c>
      <c r="D3082" s="46">
        <f>'Timeline'!U47</f>
        <v/>
      </c>
      <c r="E3082" s="46">
        <f>IF(OR(B3082="",C3082="",D3082=""),"",D3082*100000+(C3082-DATE(2000,1,1))+ROW()/100000)</f>
        <v/>
      </c>
      <c r="F3082" s="46">
        <f>IF(E3082="","",IF(C3082&gt;WeekEndDate,"",E3082))</f>
        <v/>
      </c>
    </row>
    <row r="3083">
      <c r="A3083" t="inlineStr">
        <is>
          <t>Timeline</t>
        </is>
      </c>
      <c r="B3083" s="46">
        <f>'Timeline'!V48</f>
        <v/>
      </c>
      <c r="C3083" s="84">
        <f>'Timeline'!T48</f>
        <v/>
      </c>
      <c r="D3083" s="46">
        <f>'Timeline'!U48</f>
        <v/>
      </c>
      <c r="E3083" s="46">
        <f>IF(OR(B3083="",C3083="",D3083=""),"",D3083*100000+(C3083-DATE(2000,1,1))+ROW()/100000)</f>
        <v/>
      </c>
      <c r="F3083" s="46">
        <f>IF(E3083="","",IF(C3083&gt;WeekEndDate,"",E3083))</f>
        <v/>
      </c>
    </row>
    <row r="3084">
      <c r="A3084" t="inlineStr">
        <is>
          <t>Timeline</t>
        </is>
      </c>
      <c r="B3084" s="46">
        <f>'Timeline'!V49</f>
        <v/>
      </c>
      <c r="C3084" s="84">
        <f>'Timeline'!T49</f>
        <v/>
      </c>
      <c r="D3084" s="46">
        <f>'Timeline'!U49</f>
        <v/>
      </c>
      <c r="E3084" s="46">
        <f>IF(OR(B3084="",C3084="",D3084=""),"",D3084*100000+(C3084-DATE(2000,1,1))+ROW()/100000)</f>
        <v/>
      </c>
      <c r="F3084" s="46">
        <f>IF(E3084="","",IF(C3084&gt;WeekEndDate,"",E3084))</f>
        <v/>
      </c>
    </row>
    <row r="3085">
      <c r="A3085" t="inlineStr">
        <is>
          <t>Timeline</t>
        </is>
      </c>
      <c r="B3085" s="46">
        <f>'Timeline'!V50</f>
        <v/>
      </c>
      <c r="C3085" s="84">
        <f>'Timeline'!T50</f>
        <v/>
      </c>
      <c r="D3085" s="46">
        <f>'Timeline'!U50</f>
        <v/>
      </c>
      <c r="E3085" s="46">
        <f>IF(OR(B3085="",C3085="",D3085=""),"",D3085*100000+(C3085-DATE(2000,1,1))+ROW()/100000)</f>
        <v/>
      </c>
      <c r="F3085" s="46">
        <f>IF(E3085="","",IF(C3085&gt;WeekEndDate,"",E3085))</f>
        <v/>
      </c>
    </row>
    <row r="3086">
      <c r="A3086" t="inlineStr">
        <is>
          <t>Timeline</t>
        </is>
      </c>
      <c r="B3086" s="46">
        <f>'Timeline'!V51</f>
        <v/>
      </c>
      <c r="C3086" s="84">
        <f>'Timeline'!T51</f>
        <v/>
      </c>
      <c r="D3086" s="46">
        <f>'Timeline'!U51</f>
        <v/>
      </c>
      <c r="E3086" s="46">
        <f>IF(OR(B3086="",C3086="",D3086=""),"",D3086*100000+(C3086-DATE(2000,1,1))+ROW()/100000)</f>
        <v/>
      </c>
      <c r="F3086" s="46">
        <f>IF(E3086="","",IF(C3086&gt;WeekEndDate,"",E3086))</f>
        <v/>
      </c>
    </row>
    <row r="3087">
      <c r="A3087" t="inlineStr">
        <is>
          <t>Timeline</t>
        </is>
      </c>
      <c r="B3087" s="46">
        <f>'Timeline'!V52</f>
        <v/>
      </c>
      <c r="C3087" s="84">
        <f>'Timeline'!T52</f>
        <v/>
      </c>
      <c r="D3087" s="46">
        <f>'Timeline'!U52</f>
        <v/>
      </c>
      <c r="E3087" s="46">
        <f>IF(OR(B3087="",C3087="",D3087=""),"",D3087*100000+(C3087-DATE(2000,1,1))+ROW()/100000)</f>
        <v/>
      </c>
      <c r="F3087" s="46">
        <f>IF(E3087="","",IF(C3087&gt;WeekEndDate,"",E3087))</f>
        <v/>
      </c>
    </row>
    <row r="3088">
      <c r="A3088" t="inlineStr">
        <is>
          <t>Timeline</t>
        </is>
      </c>
      <c r="B3088" s="46">
        <f>'Timeline'!V53</f>
        <v/>
      </c>
      <c r="C3088" s="84">
        <f>'Timeline'!T53</f>
        <v/>
      </c>
      <c r="D3088" s="46">
        <f>'Timeline'!U53</f>
        <v/>
      </c>
      <c r="E3088" s="46">
        <f>IF(OR(B3088="",C3088="",D3088=""),"",D3088*100000+(C3088-DATE(2000,1,1))+ROW()/100000)</f>
        <v/>
      </c>
      <c r="F3088" s="46">
        <f>IF(E3088="","",IF(C3088&gt;WeekEndDate,"",E3088))</f>
        <v/>
      </c>
    </row>
    <row r="3089">
      <c r="A3089" t="inlineStr">
        <is>
          <t>Timeline</t>
        </is>
      </c>
      <c r="B3089" s="46">
        <f>'Timeline'!V54</f>
        <v/>
      </c>
      <c r="C3089" s="84">
        <f>'Timeline'!T54</f>
        <v/>
      </c>
      <c r="D3089" s="46">
        <f>'Timeline'!U54</f>
        <v/>
      </c>
      <c r="E3089" s="46">
        <f>IF(OR(B3089="",C3089="",D3089=""),"",D3089*100000+(C3089-DATE(2000,1,1))+ROW()/100000)</f>
        <v/>
      </c>
      <c r="F3089" s="46">
        <f>IF(E3089="","",IF(C3089&gt;WeekEndDate,"",E3089))</f>
        <v/>
      </c>
    </row>
    <row r="3090">
      <c r="A3090" t="inlineStr">
        <is>
          <t>Timeline</t>
        </is>
      </c>
      <c r="B3090" s="46">
        <f>'Timeline'!V55</f>
        <v/>
      </c>
      <c r="C3090" s="84">
        <f>'Timeline'!T55</f>
        <v/>
      </c>
      <c r="D3090" s="46">
        <f>'Timeline'!U55</f>
        <v/>
      </c>
      <c r="E3090" s="46">
        <f>IF(OR(B3090="",C3090="",D3090=""),"",D3090*100000+(C3090-DATE(2000,1,1))+ROW()/100000)</f>
        <v/>
      </c>
      <c r="F3090" s="46">
        <f>IF(E3090="","",IF(C3090&gt;WeekEndDate,"",E3090))</f>
        <v/>
      </c>
    </row>
    <row r="3091">
      <c r="A3091" t="inlineStr">
        <is>
          <t>Timeline</t>
        </is>
      </c>
      <c r="B3091" s="46">
        <f>'Timeline'!V56</f>
        <v/>
      </c>
      <c r="C3091" s="84">
        <f>'Timeline'!T56</f>
        <v/>
      </c>
      <c r="D3091" s="46">
        <f>'Timeline'!U56</f>
        <v/>
      </c>
      <c r="E3091" s="46">
        <f>IF(OR(B3091="",C3091="",D3091=""),"",D3091*100000+(C3091-DATE(2000,1,1))+ROW()/100000)</f>
        <v/>
      </c>
      <c r="F3091" s="46">
        <f>IF(E3091="","",IF(C3091&gt;WeekEndDate,"",E3091))</f>
        <v/>
      </c>
    </row>
    <row r="3092">
      <c r="A3092" t="inlineStr">
        <is>
          <t>Timeline</t>
        </is>
      </c>
      <c r="B3092" s="46">
        <f>'Timeline'!V57</f>
        <v/>
      </c>
      <c r="C3092" s="84">
        <f>'Timeline'!T57</f>
        <v/>
      </c>
      <c r="D3092" s="46">
        <f>'Timeline'!U57</f>
        <v/>
      </c>
      <c r="E3092" s="46">
        <f>IF(OR(B3092="",C3092="",D3092=""),"",D3092*100000+(C3092-DATE(2000,1,1))+ROW()/100000)</f>
        <v/>
      </c>
      <c r="F3092" s="46">
        <f>IF(E3092="","",IF(C3092&gt;WeekEndDate,"",E3092))</f>
        <v/>
      </c>
    </row>
    <row r="3093">
      <c r="A3093" t="inlineStr">
        <is>
          <t>Timeline</t>
        </is>
      </c>
      <c r="B3093" s="46">
        <f>'Timeline'!V58</f>
        <v/>
      </c>
      <c r="C3093" s="84">
        <f>'Timeline'!T58</f>
        <v/>
      </c>
      <c r="D3093" s="46">
        <f>'Timeline'!U58</f>
        <v/>
      </c>
      <c r="E3093" s="46">
        <f>IF(OR(B3093="",C3093="",D3093=""),"",D3093*100000+(C3093-DATE(2000,1,1))+ROW()/100000)</f>
        <v/>
      </c>
      <c r="F3093" s="46">
        <f>IF(E3093="","",IF(C3093&gt;WeekEndDate,"",E3093))</f>
        <v/>
      </c>
    </row>
    <row r="3094">
      <c r="A3094" t="inlineStr">
        <is>
          <t>Timeline</t>
        </is>
      </c>
      <c r="B3094" s="46">
        <f>'Timeline'!V59</f>
        <v/>
      </c>
      <c r="C3094" s="84">
        <f>'Timeline'!T59</f>
        <v/>
      </c>
      <c r="D3094" s="46">
        <f>'Timeline'!U59</f>
        <v/>
      </c>
      <c r="E3094" s="46">
        <f>IF(OR(B3094="",C3094="",D3094=""),"",D3094*100000+(C3094-DATE(2000,1,1))+ROW()/100000)</f>
        <v/>
      </c>
      <c r="F3094" s="46">
        <f>IF(E3094="","",IF(C3094&gt;WeekEndDate,"",E3094))</f>
        <v/>
      </c>
    </row>
    <row r="3095">
      <c r="A3095" t="inlineStr">
        <is>
          <t>Timeline</t>
        </is>
      </c>
      <c r="B3095" s="46">
        <f>'Timeline'!V60</f>
        <v/>
      </c>
      <c r="C3095" s="84">
        <f>'Timeline'!T60</f>
        <v/>
      </c>
      <c r="D3095" s="46">
        <f>'Timeline'!U60</f>
        <v/>
      </c>
      <c r="E3095" s="46">
        <f>IF(OR(B3095="",C3095="",D3095=""),"",D3095*100000+(C3095-DATE(2000,1,1))+ROW()/100000)</f>
        <v/>
      </c>
      <c r="F3095" s="46">
        <f>IF(E3095="","",IF(C3095&gt;WeekEndDate,"",E3095))</f>
        <v/>
      </c>
    </row>
    <row r="3096">
      <c r="A3096" t="inlineStr">
        <is>
          <t>Timeline</t>
        </is>
      </c>
      <c r="B3096" s="46">
        <f>'Timeline'!V61</f>
        <v/>
      </c>
      <c r="C3096" s="84">
        <f>'Timeline'!T61</f>
        <v/>
      </c>
      <c r="D3096" s="46">
        <f>'Timeline'!U61</f>
        <v/>
      </c>
      <c r="E3096" s="46">
        <f>IF(OR(B3096="",C3096="",D3096=""),"",D3096*100000+(C3096-DATE(2000,1,1))+ROW()/100000)</f>
        <v/>
      </c>
      <c r="F3096" s="46">
        <f>IF(E3096="","",IF(C3096&gt;WeekEndDate,"",E3096))</f>
        <v/>
      </c>
    </row>
    <row r="3097">
      <c r="A3097" t="inlineStr">
        <is>
          <t>Timeline</t>
        </is>
      </c>
      <c r="B3097" s="46">
        <f>'Timeline'!V62</f>
        <v/>
      </c>
      <c r="C3097" s="84">
        <f>'Timeline'!T62</f>
        <v/>
      </c>
      <c r="D3097" s="46">
        <f>'Timeline'!U62</f>
        <v/>
      </c>
      <c r="E3097" s="46">
        <f>IF(OR(B3097="",C3097="",D3097=""),"",D3097*100000+(C3097-DATE(2000,1,1))+ROW()/100000)</f>
        <v/>
      </c>
      <c r="F3097" s="46">
        <f>IF(E3097="","",IF(C3097&gt;WeekEndDate,"",E3097))</f>
        <v/>
      </c>
    </row>
    <row r="3098">
      <c r="A3098" t="inlineStr">
        <is>
          <t>Timeline</t>
        </is>
      </c>
      <c r="B3098" s="46">
        <f>'Timeline'!V63</f>
        <v/>
      </c>
      <c r="C3098" s="84">
        <f>'Timeline'!T63</f>
        <v/>
      </c>
      <c r="D3098" s="46">
        <f>'Timeline'!U63</f>
        <v/>
      </c>
      <c r="E3098" s="46">
        <f>IF(OR(B3098="",C3098="",D3098=""),"",D3098*100000+(C3098-DATE(2000,1,1))+ROW()/100000)</f>
        <v/>
      </c>
      <c r="F3098" s="46">
        <f>IF(E3098="","",IF(C3098&gt;WeekEndDate,"",E3098))</f>
        <v/>
      </c>
    </row>
    <row r="3099">
      <c r="A3099" t="inlineStr">
        <is>
          <t>Timeline</t>
        </is>
      </c>
      <c r="B3099" s="46">
        <f>'Timeline'!V64</f>
        <v/>
      </c>
      <c r="C3099" s="84">
        <f>'Timeline'!T64</f>
        <v/>
      </c>
      <c r="D3099" s="46">
        <f>'Timeline'!U64</f>
        <v/>
      </c>
      <c r="E3099" s="46">
        <f>IF(OR(B3099="",C3099="",D3099=""),"",D3099*100000+(C3099-DATE(2000,1,1))+ROW()/100000)</f>
        <v/>
      </c>
      <c r="F3099" s="46">
        <f>IF(E3099="","",IF(C3099&gt;WeekEndDate,"",E3099))</f>
        <v/>
      </c>
    </row>
    <row r="3100">
      <c r="A3100" t="inlineStr">
        <is>
          <t>Timeline</t>
        </is>
      </c>
      <c r="B3100" s="46">
        <f>'Timeline'!V65</f>
        <v/>
      </c>
      <c r="C3100" s="84">
        <f>'Timeline'!T65</f>
        <v/>
      </c>
      <c r="D3100" s="46">
        <f>'Timeline'!U65</f>
        <v/>
      </c>
      <c r="E3100" s="46">
        <f>IF(OR(B3100="",C3100="",D3100=""),"",D3100*100000+(C3100-DATE(2000,1,1))+ROW()/100000)</f>
        <v/>
      </c>
      <c r="F3100" s="46">
        <f>IF(E3100="","",IF(C3100&gt;WeekEndDate,"",E3100))</f>
        <v/>
      </c>
    </row>
    <row r="3101">
      <c r="A3101" t="inlineStr">
        <is>
          <t>Timeline</t>
        </is>
      </c>
      <c r="B3101" s="46">
        <f>'Timeline'!V66</f>
        <v/>
      </c>
      <c r="C3101" s="84">
        <f>'Timeline'!T66</f>
        <v/>
      </c>
      <c r="D3101" s="46">
        <f>'Timeline'!U66</f>
        <v/>
      </c>
      <c r="E3101" s="46">
        <f>IF(OR(B3101="",C3101="",D3101=""),"",D3101*100000+(C3101-DATE(2000,1,1))+ROW()/100000)</f>
        <v/>
      </c>
      <c r="F3101" s="46">
        <f>IF(E3101="","",IF(C3101&gt;WeekEndDate,"",E3101))</f>
        <v/>
      </c>
    </row>
    <row r="3102">
      <c r="A3102" t="inlineStr">
        <is>
          <t>Timeline</t>
        </is>
      </c>
      <c r="B3102" s="46">
        <f>'Timeline'!V67</f>
        <v/>
      </c>
      <c r="C3102" s="84">
        <f>'Timeline'!T67</f>
        <v/>
      </c>
      <c r="D3102" s="46">
        <f>'Timeline'!U67</f>
        <v/>
      </c>
      <c r="E3102" s="46">
        <f>IF(OR(B3102="",C3102="",D3102=""),"",D3102*100000+(C3102-DATE(2000,1,1))+ROW()/100000)</f>
        <v/>
      </c>
      <c r="F3102" s="46">
        <f>IF(E3102="","",IF(C3102&gt;WeekEndDate,"",E3102))</f>
        <v/>
      </c>
    </row>
    <row r="3103">
      <c r="A3103" t="inlineStr">
        <is>
          <t>Timeline</t>
        </is>
      </c>
      <c r="B3103" s="46">
        <f>'Timeline'!V68</f>
        <v/>
      </c>
      <c r="C3103" s="84">
        <f>'Timeline'!T68</f>
        <v/>
      </c>
      <c r="D3103" s="46">
        <f>'Timeline'!U68</f>
        <v/>
      </c>
      <c r="E3103" s="46">
        <f>IF(OR(B3103="",C3103="",D3103=""),"",D3103*100000+(C3103-DATE(2000,1,1))+ROW()/100000)</f>
        <v/>
      </c>
      <c r="F3103" s="46">
        <f>IF(E3103="","",IF(C3103&gt;WeekEndDate,"",E3103))</f>
        <v/>
      </c>
    </row>
    <row r="3104">
      <c r="A3104" t="inlineStr">
        <is>
          <t>Timeline</t>
        </is>
      </c>
      <c r="B3104" s="46">
        <f>'Timeline'!V69</f>
        <v/>
      </c>
      <c r="C3104" s="84">
        <f>'Timeline'!T69</f>
        <v/>
      </c>
      <c r="D3104" s="46">
        <f>'Timeline'!U69</f>
        <v/>
      </c>
      <c r="E3104" s="46">
        <f>IF(OR(B3104="",C3104="",D3104=""),"",D3104*100000+(C3104-DATE(2000,1,1))+ROW()/100000)</f>
        <v/>
      </c>
      <c r="F3104" s="46">
        <f>IF(E3104="","",IF(C3104&gt;WeekEndDate,"",E3104))</f>
        <v/>
      </c>
    </row>
    <row r="3105">
      <c r="A3105" t="inlineStr">
        <is>
          <t>Timeline</t>
        </is>
      </c>
      <c r="B3105" s="46">
        <f>'Timeline'!V70</f>
        <v/>
      </c>
      <c r="C3105" s="84">
        <f>'Timeline'!T70</f>
        <v/>
      </c>
      <c r="D3105" s="46">
        <f>'Timeline'!U70</f>
        <v/>
      </c>
      <c r="E3105" s="46">
        <f>IF(OR(B3105="",C3105="",D3105=""),"",D3105*100000+(C3105-DATE(2000,1,1))+ROW()/100000)</f>
        <v/>
      </c>
      <c r="F3105" s="46">
        <f>IF(E3105="","",IF(C3105&gt;WeekEndDate,"",E3105))</f>
        <v/>
      </c>
    </row>
    <row r="3106">
      <c r="A3106" t="inlineStr">
        <is>
          <t>Timeline</t>
        </is>
      </c>
      <c r="B3106" s="46">
        <f>'Timeline'!V71</f>
        <v/>
      </c>
      <c r="C3106" s="84">
        <f>'Timeline'!T71</f>
        <v/>
      </c>
      <c r="D3106" s="46">
        <f>'Timeline'!U71</f>
        <v/>
      </c>
      <c r="E3106" s="46">
        <f>IF(OR(B3106="",C3106="",D3106=""),"",D3106*100000+(C3106-DATE(2000,1,1))+ROW()/100000)</f>
        <v/>
      </c>
      <c r="F3106" s="46">
        <f>IF(E3106="","",IF(C3106&gt;WeekEndDate,"",E3106))</f>
        <v/>
      </c>
    </row>
    <row r="3107">
      <c r="A3107" t="inlineStr">
        <is>
          <t>Timeline</t>
        </is>
      </c>
      <c r="B3107" s="46">
        <f>'Timeline'!V72</f>
        <v/>
      </c>
      <c r="C3107" s="84">
        <f>'Timeline'!T72</f>
        <v/>
      </c>
      <c r="D3107" s="46">
        <f>'Timeline'!U72</f>
        <v/>
      </c>
      <c r="E3107" s="46">
        <f>IF(OR(B3107="",C3107="",D3107=""),"",D3107*100000+(C3107-DATE(2000,1,1))+ROW()/100000)</f>
        <v/>
      </c>
      <c r="F3107" s="46">
        <f>IF(E3107="","",IF(C3107&gt;WeekEndDate,"",E3107))</f>
        <v/>
      </c>
    </row>
    <row r="3108">
      <c r="A3108" t="inlineStr">
        <is>
          <t>Timeline</t>
        </is>
      </c>
      <c r="B3108" s="46">
        <f>'Timeline'!V73</f>
        <v/>
      </c>
      <c r="C3108" s="84">
        <f>'Timeline'!T73</f>
        <v/>
      </c>
      <c r="D3108" s="46">
        <f>'Timeline'!U73</f>
        <v/>
      </c>
      <c r="E3108" s="46">
        <f>IF(OR(B3108="",C3108="",D3108=""),"",D3108*100000+(C3108-DATE(2000,1,1))+ROW()/100000)</f>
        <v/>
      </c>
      <c r="F3108" s="46">
        <f>IF(E3108="","",IF(C3108&gt;WeekEndDate,"",E3108))</f>
        <v/>
      </c>
    </row>
    <row r="3109">
      <c r="A3109" t="inlineStr">
        <is>
          <t>Timeline</t>
        </is>
      </c>
      <c r="B3109" s="46">
        <f>'Timeline'!V74</f>
        <v/>
      </c>
      <c r="C3109" s="84">
        <f>'Timeline'!T74</f>
        <v/>
      </c>
      <c r="D3109" s="46">
        <f>'Timeline'!U74</f>
        <v/>
      </c>
      <c r="E3109" s="46">
        <f>IF(OR(B3109="",C3109="",D3109=""),"",D3109*100000+(C3109-DATE(2000,1,1))+ROW()/100000)</f>
        <v/>
      </c>
      <c r="F3109" s="46">
        <f>IF(E3109="","",IF(C3109&gt;WeekEndDate,"",E3109))</f>
        <v/>
      </c>
    </row>
    <row r="3110">
      <c r="A3110" t="inlineStr">
        <is>
          <t>Timeline</t>
        </is>
      </c>
      <c r="B3110" s="46">
        <f>'Timeline'!V75</f>
        <v/>
      </c>
      <c r="C3110" s="84">
        <f>'Timeline'!T75</f>
        <v/>
      </c>
      <c r="D3110" s="46">
        <f>'Timeline'!U75</f>
        <v/>
      </c>
      <c r="E3110" s="46">
        <f>IF(OR(B3110="",C3110="",D3110=""),"",D3110*100000+(C3110-DATE(2000,1,1))+ROW()/100000)</f>
        <v/>
      </c>
      <c r="F3110" s="46">
        <f>IF(E3110="","",IF(C3110&gt;WeekEndDate,"",E3110))</f>
        <v/>
      </c>
    </row>
    <row r="3111">
      <c r="A3111" t="inlineStr">
        <is>
          <t>Timeline</t>
        </is>
      </c>
      <c r="B3111" s="46">
        <f>'Timeline'!V76</f>
        <v/>
      </c>
      <c r="C3111" s="84">
        <f>'Timeline'!T76</f>
        <v/>
      </c>
      <c r="D3111" s="46">
        <f>'Timeline'!U76</f>
        <v/>
      </c>
      <c r="E3111" s="46">
        <f>IF(OR(B3111="",C3111="",D3111=""),"",D3111*100000+(C3111-DATE(2000,1,1))+ROW()/100000)</f>
        <v/>
      </c>
      <c r="F3111" s="46">
        <f>IF(E3111="","",IF(C3111&gt;WeekEndDate,"",E3111))</f>
        <v/>
      </c>
    </row>
    <row r="3112">
      <c r="A3112" t="inlineStr">
        <is>
          <t>Timeline</t>
        </is>
      </c>
      <c r="B3112" s="46">
        <f>'Timeline'!V77</f>
        <v/>
      </c>
      <c r="C3112" s="84">
        <f>'Timeline'!T77</f>
        <v/>
      </c>
      <c r="D3112" s="46">
        <f>'Timeline'!U77</f>
        <v/>
      </c>
      <c r="E3112" s="46">
        <f>IF(OR(B3112="",C3112="",D3112=""),"",D3112*100000+(C3112-DATE(2000,1,1))+ROW()/100000)</f>
        <v/>
      </c>
      <c r="F3112" s="46">
        <f>IF(E3112="","",IF(C3112&gt;WeekEndDate,"",E3112))</f>
        <v/>
      </c>
    </row>
    <row r="3113">
      <c r="A3113" t="inlineStr">
        <is>
          <t>Timeline</t>
        </is>
      </c>
      <c r="B3113" s="46">
        <f>'Timeline'!V78</f>
        <v/>
      </c>
      <c r="C3113" s="84">
        <f>'Timeline'!T78</f>
        <v/>
      </c>
      <c r="D3113" s="46">
        <f>'Timeline'!U78</f>
        <v/>
      </c>
      <c r="E3113" s="46">
        <f>IF(OR(B3113="",C3113="",D3113=""),"",D3113*100000+(C3113-DATE(2000,1,1))+ROW()/100000)</f>
        <v/>
      </c>
      <c r="F3113" s="46">
        <f>IF(E3113="","",IF(C3113&gt;WeekEndDate,"",E3113))</f>
        <v/>
      </c>
    </row>
    <row r="3114">
      <c r="A3114" t="inlineStr">
        <is>
          <t>Timeline</t>
        </is>
      </c>
      <c r="B3114" s="46">
        <f>'Timeline'!V79</f>
        <v/>
      </c>
      <c r="C3114" s="84">
        <f>'Timeline'!T79</f>
        <v/>
      </c>
      <c r="D3114" s="46">
        <f>'Timeline'!U79</f>
        <v/>
      </c>
      <c r="E3114" s="46">
        <f>IF(OR(B3114="",C3114="",D3114=""),"",D3114*100000+(C3114-DATE(2000,1,1))+ROW()/100000)</f>
        <v/>
      </c>
      <c r="F3114" s="46">
        <f>IF(E3114="","",IF(C3114&gt;WeekEndDate,"",E3114))</f>
        <v/>
      </c>
    </row>
    <row r="3115">
      <c r="A3115" t="inlineStr">
        <is>
          <t>Timeline</t>
        </is>
      </c>
      <c r="B3115" s="46">
        <f>'Timeline'!V80</f>
        <v/>
      </c>
      <c r="C3115" s="84">
        <f>'Timeline'!T80</f>
        <v/>
      </c>
      <c r="D3115" s="46">
        <f>'Timeline'!U80</f>
        <v/>
      </c>
      <c r="E3115" s="46">
        <f>IF(OR(B3115="",C3115="",D3115=""),"",D3115*100000+(C3115-DATE(2000,1,1))+ROW()/100000)</f>
        <v/>
      </c>
      <c r="F3115" s="46">
        <f>IF(E3115="","",IF(C3115&gt;WeekEndDate,"",E3115))</f>
        <v/>
      </c>
    </row>
    <row r="3116">
      <c r="A3116" t="inlineStr">
        <is>
          <t>Timeline</t>
        </is>
      </c>
      <c r="B3116" s="46">
        <f>'Timeline'!V81</f>
        <v/>
      </c>
      <c r="C3116" s="84">
        <f>'Timeline'!T81</f>
        <v/>
      </c>
      <c r="D3116" s="46">
        <f>'Timeline'!U81</f>
        <v/>
      </c>
      <c r="E3116" s="46">
        <f>IF(OR(B3116="",C3116="",D3116=""),"",D3116*100000+(C3116-DATE(2000,1,1))+ROW()/100000)</f>
        <v/>
      </c>
      <c r="F3116" s="46">
        <f>IF(E3116="","",IF(C3116&gt;WeekEndDate,"",E3116))</f>
        <v/>
      </c>
    </row>
    <row r="3117">
      <c r="A3117" t="inlineStr">
        <is>
          <t>Timeline</t>
        </is>
      </c>
      <c r="B3117" s="46">
        <f>'Timeline'!V82</f>
        <v/>
      </c>
      <c r="C3117" s="84">
        <f>'Timeline'!T82</f>
        <v/>
      </c>
      <c r="D3117" s="46">
        <f>'Timeline'!U82</f>
        <v/>
      </c>
      <c r="E3117" s="46">
        <f>IF(OR(B3117="",C3117="",D3117=""),"",D3117*100000+(C3117-DATE(2000,1,1))+ROW()/100000)</f>
        <v/>
      </c>
      <c r="F3117" s="46">
        <f>IF(E3117="","",IF(C3117&gt;WeekEndDate,"",E3117))</f>
        <v/>
      </c>
    </row>
    <row r="3118">
      <c r="A3118" t="inlineStr">
        <is>
          <t>Timeline</t>
        </is>
      </c>
      <c r="B3118" s="46">
        <f>'Timeline'!V83</f>
        <v/>
      </c>
      <c r="C3118" s="84">
        <f>'Timeline'!T83</f>
        <v/>
      </c>
      <c r="D3118" s="46">
        <f>'Timeline'!U83</f>
        <v/>
      </c>
      <c r="E3118" s="46">
        <f>IF(OR(B3118="",C3118="",D3118=""),"",D3118*100000+(C3118-DATE(2000,1,1))+ROW()/100000)</f>
        <v/>
      </c>
      <c r="F3118" s="46">
        <f>IF(E3118="","",IF(C3118&gt;WeekEndDate,"",E3118))</f>
        <v/>
      </c>
    </row>
    <row r="3119">
      <c r="A3119" t="inlineStr">
        <is>
          <t>Timeline</t>
        </is>
      </c>
      <c r="B3119" s="46">
        <f>'Timeline'!V84</f>
        <v/>
      </c>
      <c r="C3119" s="84">
        <f>'Timeline'!T84</f>
        <v/>
      </c>
      <c r="D3119" s="46">
        <f>'Timeline'!U84</f>
        <v/>
      </c>
      <c r="E3119" s="46">
        <f>IF(OR(B3119="",C3119="",D3119=""),"",D3119*100000+(C3119-DATE(2000,1,1))+ROW()/100000)</f>
        <v/>
      </c>
      <c r="F3119" s="46">
        <f>IF(E3119="","",IF(C3119&gt;WeekEndDate,"",E3119))</f>
        <v/>
      </c>
    </row>
    <row r="3120">
      <c r="A3120" t="inlineStr">
        <is>
          <t>Timeline</t>
        </is>
      </c>
      <c r="B3120" s="46">
        <f>'Timeline'!V85</f>
        <v/>
      </c>
      <c r="C3120" s="84">
        <f>'Timeline'!T85</f>
        <v/>
      </c>
      <c r="D3120" s="46">
        <f>'Timeline'!U85</f>
        <v/>
      </c>
      <c r="E3120" s="46">
        <f>IF(OR(B3120="",C3120="",D3120=""),"",D3120*100000+(C3120-DATE(2000,1,1))+ROW()/100000)</f>
        <v/>
      </c>
      <c r="F3120" s="46">
        <f>IF(E3120="","",IF(C3120&gt;WeekEndDate,"",E3120))</f>
        <v/>
      </c>
    </row>
    <row r="3121">
      <c r="A3121" t="inlineStr">
        <is>
          <t>Timeline</t>
        </is>
      </c>
      <c r="B3121" s="46">
        <f>'Timeline'!V86</f>
        <v/>
      </c>
      <c r="C3121" s="84">
        <f>'Timeline'!T86</f>
        <v/>
      </c>
      <c r="D3121" s="46">
        <f>'Timeline'!U86</f>
        <v/>
      </c>
      <c r="E3121" s="46">
        <f>IF(OR(B3121="",C3121="",D3121=""),"",D3121*100000+(C3121-DATE(2000,1,1))+ROW()/100000)</f>
        <v/>
      </c>
      <c r="F3121" s="46">
        <f>IF(E3121="","",IF(C3121&gt;WeekEndDate,"",E3121))</f>
        <v/>
      </c>
    </row>
    <row r="3122">
      <c r="A3122" t="inlineStr">
        <is>
          <t>Timeline</t>
        </is>
      </c>
      <c r="B3122" s="46">
        <f>'Timeline'!V87</f>
        <v/>
      </c>
      <c r="C3122" s="84">
        <f>'Timeline'!T87</f>
        <v/>
      </c>
      <c r="D3122" s="46">
        <f>'Timeline'!U87</f>
        <v/>
      </c>
      <c r="E3122" s="46">
        <f>IF(OR(B3122="",C3122="",D3122=""),"",D3122*100000+(C3122-DATE(2000,1,1))+ROW()/100000)</f>
        <v/>
      </c>
      <c r="F3122" s="46">
        <f>IF(E3122="","",IF(C3122&gt;WeekEndDate,"",E3122))</f>
        <v/>
      </c>
    </row>
    <row r="3123">
      <c r="A3123" t="inlineStr">
        <is>
          <t>Timeline</t>
        </is>
      </c>
      <c r="B3123" s="46">
        <f>'Timeline'!V88</f>
        <v/>
      </c>
      <c r="C3123" s="84">
        <f>'Timeline'!T88</f>
        <v/>
      </c>
      <c r="D3123" s="46">
        <f>'Timeline'!U88</f>
        <v/>
      </c>
      <c r="E3123" s="46">
        <f>IF(OR(B3123="",C3123="",D3123=""),"",D3123*100000+(C3123-DATE(2000,1,1))+ROW()/100000)</f>
        <v/>
      </c>
      <c r="F3123" s="46">
        <f>IF(E3123="","",IF(C3123&gt;WeekEndDate,"",E3123))</f>
        <v/>
      </c>
    </row>
    <row r="3124">
      <c r="A3124" t="inlineStr">
        <is>
          <t>Timeline</t>
        </is>
      </c>
      <c r="B3124" s="46">
        <f>'Timeline'!V89</f>
        <v/>
      </c>
      <c r="C3124" s="84">
        <f>'Timeline'!T89</f>
        <v/>
      </c>
      <c r="D3124" s="46">
        <f>'Timeline'!U89</f>
        <v/>
      </c>
      <c r="E3124" s="46">
        <f>IF(OR(B3124="",C3124="",D3124=""),"",D3124*100000+(C3124-DATE(2000,1,1))+ROW()/100000)</f>
        <v/>
      </c>
      <c r="F3124" s="46">
        <f>IF(E3124="","",IF(C3124&gt;WeekEndDate,"",E3124))</f>
        <v/>
      </c>
    </row>
    <row r="3125">
      <c r="A3125" t="inlineStr">
        <is>
          <t>Timeline</t>
        </is>
      </c>
      <c r="B3125" s="46">
        <f>'Timeline'!V90</f>
        <v/>
      </c>
      <c r="C3125" s="84">
        <f>'Timeline'!T90</f>
        <v/>
      </c>
      <c r="D3125" s="46">
        <f>'Timeline'!U90</f>
        <v/>
      </c>
      <c r="E3125" s="46">
        <f>IF(OR(B3125="",C3125="",D3125=""),"",D3125*100000+(C3125-DATE(2000,1,1))+ROW()/100000)</f>
        <v/>
      </c>
      <c r="F3125" s="46">
        <f>IF(E3125="","",IF(C3125&gt;WeekEndDate,"",E3125))</f>
        <v/>
      </c>
    </row>
    <row r="3126">
      <c r="A3126" t="inlineStr">
        <is>
          <t>Timeline</t>
        </is>
      </c>
      <c r="B3126" s="46">
        <f>'Timeline'!V91</f>
        <v/>
      </c>
      <c r="C3126" s="84">
        <f>'Timeline'!T91</f>
        <v/>
      </c>
      <c r="D3126" s="46">
        <f>'Timeline'!U91</f>
        <v/>
      </c>
      <c r="E3126" s="46">
        <f>IF(OR(B3126="",C3126="",D3126=""),"",D3126*100000+(C3126-DATE(2000,1,1))+ROW()/100000)</f>
        <v/>
      </c>
      <c r="F3126" s="46">
        <f>IF(E3126="","",IF(C3126&gt;WeekEndDate,"",E3126))</f>
        <v/>
      </c>
    </row>
    <row r="3127">
      <c r="A3127" t="inlineStr">
        <is>
          <t>Timeline</t>
        </is>
      </c>
      <c r="B3127" s="46">
        <f>'Timeline'!V92</f>
        <v/>
      </c>
      <c r="C3127" s="84">
        <f>'Timeline'!T92</f>
        <v/>
      </c>
      <c r="D3127" s="46">
        <f>'Timeline'!U92</f>
        <v/>
      </c>
      <c r="E3127" s="46">
        <f>IF(OR(B3127="",C3127="",D3127=""),"",D3127*100000+(C3127-DATE(2000,1,1))+ROW()/100000)</f>
        <v/>
      </c>
      <c r="F3127" s="46">
        <f>IF(E3127="","",IF(C3127&gt;WeekEndDate,"",E3127))</f>
        <v/>
      </c>
    </row>
    <row r="3128">
      <c r="A3128" t="inlineStr">
        <is>
          <t>Timeline</t>
        </is>
      </c>
      <c r="B3128" s="46">
        <f>'Timeline'!V93</f>
        <v/>
      </c>
      <c r="C3128" s="84">
        <f>'Timeline'!T93</f>
        <v/>
      </c>
      <c r="D3128" s="46">
        <f>'Timeline'!U93</f>
        <v/>
      </c>
      <c r="E3128" s="46">
        <f>IF(OR(B3128="",C3128="",D3128=""),"",D3128*100000+(C3128-DATE(2000,1,1))+ROW()/100000)</f>
        <v/>
      </c>
      <c r="F3128" s="46">
        <f>IF(E3128="","",IF(C3128&gt;WeekEndDate,"",E3128))</f>
        <v/>
      </c>
    </row>
    <row r="3129">
      <c r="A3129" t="inlineStr">
        <is>
          <t>Timeline</t>
        </is>
      </c>
      <c r="B3129" s="46">
        <f>'Timeline'!V94</f>
        <v/>
      </c>
      <c r="C3129" s="84">
        <f>'Timeline'!T94</f>
        <v/>
      </c>
      <c r="D3129" s="46">
        <f>'Timeline'!U94</f>
        <v/>
      </c>
      <c r="E3129" s="46">
        <f>IF(OR(B3129="",C3129="",D3129=""),"",D3129*100000+(C3129-DATE(2000,1,1))+ROW()/100000)</f>
        <v/>
      </c>
      <c r="F3129" s="46">
        <f>IF(E3129="","",IF(C3129&gt;WeekEndDate,"",E3129))</f>
        <v/>
      </c>
    </row>
    <row r="3130">
      <c r="A3130" t="inlineStr">
        <is>
          <t>Timeline</t>
        </is>
      </c>
      <c r="B3130" s="46">
        <f>'Timeline'!V95</f>
        <v/>
      </c>
      <c r="C3130" s="84">
        <f>'Timeline'!T95</f>
        <v/>
      </c>
      <c r="D3130" s="46">
        <f>'Timeline'!U95</f>
        <v/>
      </c>
      <c r="E3130" s="46">
        <f>IF(OR(B3130="",C3130="",D3130=""),"",D3130*100000+(C3130-DATE(2000,1,1))+ROW()/100000)</f>
        <v/>
      </c>
      <c r="F3130" s="46">
        <f>IF(E3130="","",IF(C3130&gt;WeekEndDate,"",E3130))</f>
        <v/>
      </c>
    </row>
    <row r="3131">
      <c r="A3131" t="inlineStr">
        <is>
          <t>Timeline</t>
        </is>
      </c>
      <c r="B3131" s="46">
        <f>'Timeline'!V96</f>
        <v/>
      </c>
      <c r="C3131" s="84">
        <f>'Timeline'!T96</f>
        <v/>
      </c>
      <c r="D3131" s="46">
        <f>'Timeline'!U96</f>
        <v/>
      </c>
      <c r="E3131" s="46">
        <f>IF(OR(B3131="",C3131="",D3131=""),"",D3131*100000+(C3131-DATE(2000,1,1))+ROW()/100000)</f>
        <v/>
      </c>
      <c r="F3131" s="46">
        <f>IF(E3131="","",IF(C3131&gt;WeekEndDate,"",E3131))</f>
        <v/>
      </c>
    </row>
    <row r="3132">
      <c r="A3132" t="inlineStr">
        <is>
          <t>Timeline</t>
        </is>
      </c>
      <c r="B3132" s="46">
        <f>'Timeline'!V97</f>
        <v/>
      </c>
      <c r="C3132" s="84">
        <f>'Timeline'!T97</f>
        <v/>
      </c>
      <c r="D3132" s="46">
        <f>'Timeline'!U97</f>
        <v/>
      </c>
      <c r="E3132" s="46">
        <f>IF(OR(B3132="",C3132="",D3132=""),"",D3132*100000+(C3132-DATE(2000,1,1))+ROW()/100000)</f>
        <v/>
      </c>
      <c r="F3132" s="46">
        <f>IF(E3132="","",IF(C3132&gt;WeekEndDate,"",E3132))</f>
        <v/>
      </c>
    </row>
    <row r="3133">
      <c r="A3133" t="inlineStr">
        <is>
          <t>Timeline</t>
        </is>
      </c>
      <c r="B3133" s="46">
        <f>'Timeline'!V98</f>
        <v/>
      </c>
      <c r="C3133" s="84">
        <f>'Timeline'!T98</f>
        <v/>
      </c>
      <c r="D3133" s="46">
        <f>'Timeline'!U98</f>
        <v/>
      </c>
      <c r="E3133" s="46">
        <f>IF(OR(B3133="",C3133="",D3133=""),"",D3133*100000+(C3133-DATE(2000,1,1))+ROW()/100000)</f>
        <v/>
      </c>
      <c r="F3133" s="46">
        <f>IF(E3133="","",IF(C3133&gt;WeekEndDate,"",E3133))</f>
        <v/>
      </c>
    </row>
    <row r="3134">
      <c r="A3134" t="inlineStr">
        <is>
          <t>Timeline</t>
        </is>
      </c>
      <c r="B3134" s="46">
        <f>'Timeline'!V99</f>
        <v/>
      </c>
      <c r="C3134" s="84">
        <f>'Timeline'!T99</f>
        <v/>
      </c>
      <c r="D3134" s="46">
        <f>'Timeline'!U99</f>
        <v/>
      </c>
      <c r="E3134" s="46">
        <f>IF(OR(B3134="",C3134="",D3134=""),"",D3134*100000+(C3134-DATE(2000,1,1))+ROW()/100000)</f>
        <v/>
      </c>
      <c r="F3134" s="46">
        <f>IF(E3134="","",IF(C3134&gt;WeekEndDate,"",E3134))</f>
        <v/>
      </c>
    </row>
    <row r="3135">
      <c r="A3135" t="inlineStr">
        <is>
          <t>Timeline</t>
        </is>
      </c>
      <c r="B3135" s="46">
        <f>'Timeline'!V100</f>
        <v/>
      </c>
      <c r="C3135" s="84">
        <f>'Timeline'!T100</f>
        <v/>
      </c>
      <c r="D3135" s="46">
        <f>'Timeline'!U100</f>
        <v/>
      </c>
      <c r="E3135" s="46">
        <f>IF(OR(B3135="",C3135="",D3135=""),"",D3135*100000+(C3135-DATE(2000,1,1))+ROW()/100000)</f>
        <v/>
      </c>
      <c r="F3135" s="46">
        <f>IF(E3135="","",IF(C3135&gt;WeekEndDate,"",E3135))</f>
        <v/>
      </c>
    </row>
    <row r="3136">
      <c r="A3136" t="inlineStr">
        <is>
          <t>Timeline</t>
        </is>
      </c>
      <c r="B3136" s="46">
        <f>'Timeline'!V101</f>
        <v/>
      </c>
      <c r="C3136" s="84">
        <f>'Timeline'!T101</f>
        <v/>
      </c>
      <c r="D3136" s="46">
        <f>'Timeline'!U101</f>
        <v/>
      </c>
      <c r="E3136" s="46">
        <f>IF(OR(B3136="",C3136="",D3136=""),"",D3136*100000+(C3136-DATE(2000,1,1))+ROW()/100000)</f>
        <v/>
      </c>
      <c r="F3136" s="46">
        <f>IF(E3136="","",IF(C3136&gt;WeekEndDate,"",E3136))</f>
        <v/>
      </c>
    </row>
    <row r="3137">
      <c r="A3137" t="inlineStr">
        <is>
          <t>Timeline</t>
        </is>
      </c>
      <c r="B3137" s="46">
        <f>'Timeline'!V102</f>
        <v/>
      </c>
      <c r="C3137" s="84">
        <f>'Timeline'!T102</f>
        <v/>
      </c>
      <c r="D3137" s="46">
        <f>'Timeline'!U102</f>
        <v/>
      </c>
      <c r="E3137" s="46">
        <f>IF(OR(B3137="",C3137="",D3137=""),"",D3137*100000+(C3137-DATE(2000,1,1))+ROW()/100000)</f>
        <v/>
      </c>
      <c r="F3137" s="46">
        <f>IF(E3137="","",IF(C3137&gt;WeekEndDate,"",E3137))</f>
        <v/>
      </c>
    </row>
    <row r="3138">
      <c r="A3138" t="inlineStr">
        <is>
          <t>Timeline</t>
        </is>
      </c>
      <c r="B3138" s="46">
        <f>'Timeline'!V103</f>
        <v/>
      </c>
      <c r="C3138" s="84">
        <f>'Timeline'!T103</f>
        <v/>
      </c>
      <c r="D3138" s="46">
        <f>'Timeline'!U103</f>
        <v/>
      </c>
      <c r="E3138" s="46">
        <f>IF(OR(B3138="",C3138="",D3138=""),"",D3138*100000+(C3138-DATE(2000,1,1))+ROW()/100000)</f>
        <v/>
      </c>
      <c r="F3138" s="46">
        <f>IF(E3138="","",IF(C3138&gt;WeekEndDate,"",E3138))</f>
        <v/>
      </c>
    </row>
    <row r="3139">
      <c r="A3139" t="inlineStr">
        <is>
          <t>Timeline</t>
        </is>
      </c>
      <c r="B3139" s="46">
        <f>'Timeline'!V104</f>
        <v/>
      </c>
      <c r="C3139" s="84">
        <f>'Timeline'!T104</f>
        <v/>
      </c>
      <c r="D3139" s="46">
        <f>'Timeline'!U104</f>
        <v/>
      </c>
      <c r="E3139" s="46">
        <f>IF(OR(B3139="",C3139="",D3139=""),"",D3139*100000+(C3139-DATE(2000,1,1))+ROW()/100000)</f>
        <v/>
      </c>
      <c r="F3139" s="46">
        <f>IF(E3139="","",IF(C3139&gt;WeekEndDate,"",E3139))</f>
        <v/>
      </c>
    </row>
    <row r="3140">
      <c r="A3140" t="inlineStr">
        <is>
          <t>Timeline</t>
        </is>
      </c>
      <c r="B3140" s="46">
        <f>'Timeline'!V105</f>
        <v/>
      </c>
      <c r="C3140" s="84">
        <f>'Timeline'!T105</f>
        <v/>
      </c>
      <c r="D3140" s="46">
        <f>'Timeline'!U105</f>
        <v/>
      </c>
      <c r="E3140" s="46">
        <f>IF(OR(B3140="",C3140="",D3140=""),"",D3140*100000+(C3140-DATE(2000,1,1))+ROW()/100000)</f>
        <v/>
      </c>
      <c r="F3140" s="46">
        <f>IF(E3140="","",IF(C3140&gt;WeekEndDate,"",E3140))</f>
        <v/>
      </c>
    </row>
    <row r="3141">
      <c r="A3141" t="inlineStr">
        <is>
          <t>Timeline</t>
        </is>
      </c>
      <c r="B3141" s="46">
        <f>'Timeline'!V106</f>
        <v/>
      </c>
      <c r="C3141" s="84">
        <f>'Timeline'!T106</f>
        <v/>
      </c>
      <c r="D3141" s="46">
        <f>'Timeline'!U106</f>
        <v/>
      </c>
      <c r="E3141" s="46">
        <f>IF(OR(B3141="",C3141="",D3141=""),"",D3141*100000+(C3141-DATE(2000,1,1))+ROW()/100000)</f>
        <v/>
      </c>
      <c r="F3141" s="46">
        <f>IF(E3141="","",IF(C3141&gt;WeekEndDate,"",E3141))</f>
        <v/>
      </c>
    </row>
    <row r="3142">
      <c r="A3142" t="inlineStr">
        <is>
          <t>Timeline</t>
        </is>
      </c>
      <c r="B3142" s="46">
        <f>'Timeline'!V107</f>
        <v/>
      </c>
      <c r="C3142" s="84">
        <f>'Timeline'!T107</f>
        <v/>
      </c>
      <c r="D3142" s="46">
        <f>'Timeline'!U107</f>
        <v/>
      </c>
      <c r="E3142" s="46">
        <f>IF(OR(B3142="",C3142="",D3142=""),"",D3142*100000+(C3142-DATE(2000,1,1))+ROW()/100000)</f>
        <v/>
      </c>
      <c r="F3142" s="46">
        <f>IF(E3142="","",IF(C3142&gt;WeekEndDate,"",E3142))</f>
        <v/>
      </c>
    </row>
    <row r="3143">
      <c r="A3143" t="inlineStr">
        <is>
          <t>Timeline</t>
        </is>
      </c>
      <c r="B3143" s="46">
        <f>'Timeline'!V108</f>
        <v/>
      </c>
      <c r="C3143" s="84">
        <f>'Timeline'!T108</f>
        <v/>
      </c>
      <c r="D3143" s="46">
        <f>'Timeline'!U108</f>
        <v/>
      </c>
      <c r="E3143" s="46">
        <f>IF(OR(B3143="",C3143="",D3143=""),"",D3143*100000+(C3143-DATE(2000,1,1))+ROW()/100000)</f>
        <v/>
      </c>
      <c r="F3143" s="46">
        <f>IF(E3143="","",IF(C3143&gt;WeekEndDate,"",E3143))</f>
        <v/>
      </c>
    </row>
    <row r="3144">
      <c r="A3144" t="inlineStr">
        <is>
          <t>Timeline</t>
        </is>
      </c>
      <c r="B3144" s="46">
        <f>'Timeline'!V109</f>
        <v/>
      </c>
      <c r="C3144" s="84">
        <f>'Timeline'!T109</f>
        <v/>
      </c>
      <c r="D3144" s="46">
        <f>'Timeline'!U109</f>
        <v/>
      </c>
      <c r="E3144" s="46">
        <f>IF(OR(B3144="",C3144="",D3144=""),"",D3144*100000+(C3144-DATE(2000,1,1))+ROW()/100000)</f>
        <v/>
      </c>
      <c r="F3144" s="46">
        <f>IF(E3144="","",IF(C3144&gt;WeekEndDate,"",E3144))</f>
        <v/>
      </c>
    </row>
    <row r="3145">
      <c r="A3145" t="inlineStr">
        <is>
          <t>Timeline</t>
        </is>
      </c>
      <c r="B3145" s="46">
        <f>'Timeline'!V110</f>
        <v/>
      </c>
      <c r="C3145" s="84">
        <f>'Timeline'!T110</f>
        <v/>
      </c>
      <c r="D3145" s="46">
        <f>'Timeline'!U110</f>
        <v/>
      </c>
      <c r="E3145" s="46">
        <f>IF(OR(B3145="",C3145="",D3145=""),"",D3145*100000+(C3145-DATE(2000,1,1))+ROW()/100000)</f>
        <v/>
      </c>
      <c r="F3145" s="46">
        <f>IF(E3145="","",IF(C3145&gt;WeekEndDate,"",E3145))</f>
        <v/>
      </c>
    </row>
    <row r="3146">
      <c r="A3146" t="inlineStr">
        <is>
          <t>Timeline</t>
        </is>
      </c>
      <c r="B3146" s="46">
        <f>'Timeline'!V111</f>
        <v/>
      </c>
      <c r="C3146" s="84">
        <f>'Timeline'!T111</f>
        <v/>
      </c>
      <c r="D3146" s="46">
        <f>'Timeline'!U111</f>
        <v/>
      </c>
      <c r="E3146" s="46">
        <f>IF(OR(B3146="",C3146="",D3146=""),"",D3146*100000+(C3146-DATE(2000,1,1))+ROW()/100000)</f>
        <v/>
      </c>
      <c r="F3146" s="46">
        <f>IF(E3146="","",IF(C3146&gt;WeekEndDate,"",E3146))</f>
        <v/>
      </c>
    </row>
    <row r="3147">
      <c r="A3147" t="inlineStr">
        <is>
          <t>Timeline</t>
        </is>
      </c>
      <c r="B3147" s="46">
        <f>'Timeline'!V112</f>
        <v/>
      </c>
      <c r="C3147" s="84">
        <f>'Timeline'!T112</f>
        <v/>
      </c>
      <c r="D3147" s="46">
        <f>'Timeline'!U112</f>
        <v/>
      </c>
      <c r="E3147" s="46">
        <f>IF(OR(B3147="",C3147="",D3147=""),"",D3147*100000+(C3147-DATE(2000,1,1))+ROW()/100000)</f>
        <v/>
      </c>
      <c r="F3147" s="46">
        <f>IF(E3147="","",IF(C3147&gt;WeekEndDate,"",E3147))</f>
        <v/>
      </c>
    </row>
    <row r="3148">
      <c r="A3148" t="inlineStr">
        <is>
          <t>Timeline</t>
        </is>
      </c>
      <c r="B3148" s="46">
        <f>'Timeline'!V113</f>
        <v/>
      </c>
      <c r="C3148" s="84">
        <f>'Timeline'!T113</f>
        <v/>
      </c>
      <c r="D3148" s="46">
        <f>'Timeline'!U113</f>
        <v/>
      </c>
      <c r="E3148" s="46">
        <f>IF(OR(B3148="",C3148="",D3148=""),"",D3148*100000+(C3148-DATE(2000,1,1))+ROW()/100000)</f>
        <v/>
      </c>
      <c r="F3148" s="46">
        <f>IF(E3148="","",IF(C3148&gt;WeekEndDate,"",E3148))</f>
        <v/>
      </c>
    </row>
    <row r="3149">
      <c r="A3149" t="inlineStr">
        <is>
          <t>Timeline</t>
        </is>
      </c>
      <c r="B3149" s="46">
        <f>'Timeline'!V114</f>
        <v/>
      </c>
      <c r="C3149" s="84">
        <f>'Timeline'!T114</f>
        <v/>
      </c>
      <c r="D3149" s="46">
        <f>'Timeline'!U114</f>
        <v/>
      </c>
      <c r="E3149" s="46">
        <f>IF(OR(B3149="",C3149="",D3149=""),"",D3149*100000+(C3149-DATE(2000,1,1))+ROW()/100000)</f>
        <v/>
      </c>
      <c r="F3149" s="46">
        <f>IF(E3149="","",IF(C3149&gt;WeekEndDate,"",E3149))</f>
        <v/>
      </c>
    </row>
    <row r="3150">
      <c r="A3150" t="inlineStr">
        <is>
          <t>Timeline</t>
        </is>
      </c>
      <c r="B3150" s="46">
        <f>'Timeline'!V115</f>
        <v/>
      </c>
      <c r="C3150" s="84">
        <f>'Timeline'!T115</f>
        <v/>
      </c>
      <c r="D3150" s="46">
        <f>'Timeline'!U115</f>
        <v/>
      </c>
      <c r="E3150" s="46">
        <f>IF(OR(B3150="",C3150="",D3150=""),"",D3150*100000+(C3150-DATE(2000,1,1))+ROW()/100000)</f>
        <v/>
      </c>
      <c r="F3150" s="46">
        <f>IF(E3150="","",IF(C3150&gt;WeekEndDate,"",E3150))</f>
        <v/>
      </c>
    </row>
    <row r="3151">
      <c r="A3151" t="inlineStr">
        <is>
          <t>Timeline</t>
        </is>
      </c>
      <c r="B3151" s="46">
        <f>'Timeline'!V116</f>
        <v/>
      </c>
      <c r="C3151" s="84">
        <f>'Timeline'!T116</f>
        <v/>
      </c>
      <c r="D3151" s="46">
        <f>'Timeline'!U116</f>
        <v/>
      </c>
      <c r="E3151" s="46">
        <f>IF(OR(B3151="",C3151="",D3151=""),"",D3151*100000+(C3151-DATE(2000,1,1))+ROW()/100000)</f>
        <v/>
      </c>
      <c r="F3151" s="46">
        <f>IF(E3151="","",IF(C3151&gt;WeekEndDate,"",E3151))</f>
        <v/>
      </c>
    </row>
    <row r="3152">
      <c r="A3152" t="inlineStr">
        <is>
          <t>Timeline</t>
        </is>
      </c>
      <c r="B3152" s="46">
        <f>'Timeline'!V117</f>
        <v/>
      </c>
      <c r="C3152" s="84">
        <f>'Timeline'!T117</f>
        <v/>
      </c>
      <c r="D3152" s="46">
        <f>'Timeline'!U117</f>
        <v/>
      </c>
      <c r="E3152" s="46">
        <f>IF(OR(B3152="",C3152="",D3152=""),"",D3152*100000+(C3152-DATE(2000,1,1))+ROW()/100000)</f>
        <v/>
      </c>
      <c r="F3152" s="46">
        <f>IF(E3152="","",IF(C3152&gt;WeekEndDate,"",E3152))</f>
        <v/>
      </c>
    </row>
    <row r="3153">
      <c r="A3153" t="inlineStr">
        <is>
          <t>Timeline</t>
        </is>
      </c>
      <c r="B3153" s="46">
        <f>'Timeline'!V118</f>
        <v/>
      </c>
      <c r="C3153" s="84">
        <f>'Timeline'!T118</f>
        <v/>
      </c>
      <c r="D3153" s="46">
        <f>'Timeline'!U118</f>
        <v/>
      </c>
      <c r="E3153" s="46">
        <f>IF(OR(B3153="",C3153="",D3153=""),"",D3153*100000+(C3153-DATE(2000,1,1))+ROW()/100000)</f>
        <v/>
      </c>
      <c r="F3153" s="46">
        <f>IF(E3153="","",IF(C3153&gt;WeekEndDate,"",E3153))</f>
        <v/>
      </c>
    </row>
    <row r="3154">
      <c r="A3154" t="inlineStr">
        <is>
          <t>Timeline</t>
        </is>
      </c>
      <c r="B3154" s="46">
        <f>'Timeline'!V119</f>
        <v/>
      </c>
      <c r="C3154" s="84">
        <f>'Timeline'!T119</f>
        <v/>
      </c>
      <c r="D3154" s="46">
        <f>'Timeline'!U119</f>
        <v/>
      </c>
      <c r="E3154" s="46">
        <f>IF(OR(B3154="",C3154="",D3154=""),"",D3154*100000+(C3154-DATE(2000,1,1))+ROW()/100000)</f>
        <v/>
      </c>
      <c r="F3154" s="46">
        <f>IF(E3154="","",IF(C3154&gt;WeekEndDate,"",E3154))</f>
        <v/>
      </c>
    </row>
    <row r="3155">
      <c r="A3155" t="inlineStr">
        <is>
          <t>Timeline</t>
        </is>
      </c>
      <c r="B3155" s="46">
        <f>'Timeline'!V120</f>
        <v/>
      </c>
      <c r="C3155" s="84">
        <f>'Timeline'!T120</f>
        <v/>
      </c>
      <c r="D3155" s="46">
        <f>'Timeline'!U120</f>
        <v/>
      </c>
      <c r="E3155" s="46">
        <f>IF(OR(B3155="",C3155="",D3155=""),"",D3155*100000+(C3155-DATE(2000,1,1))+ROW()/100000)</f>
        <v/>
      </c>
      <c r="F3155" s="46">
        <f>IF(E3155="","",IF(C3155&gt;WeekEndDate,"",E3155))</f>
        <v/>
      </c>
    </row>
    <row r="3156">
      <c r="A3156" t="inlineStr">
        <is>
          <t>Timeline</t>
        </is>
      </c>
      <c r="B3156" s="46">
        <f>'Timeline'!V121</f>
        <v/>
      </c>
      <c r="C3156" s="84">
        <f>'Timeline'!T121</f>
        <v/>
      </c>
      <c r="D3156" s="46">
        <f>'Timeline'!U121</f>
        <v/>
      </c>
      <c r="E3156" s="46">
        <f>IF(OR(B3156="",C3156="",D3156=""),"",D3156*100000+(C3156-DATE(2000,1,1))+ROW()/100000)</f>
        <v/>
      </c>
      <c r="F3156" s="46">
        <f>IF(E3156="","",IF(C3156&gt;WeekEndDate,"",E3156))</f>
        <v/>
      </c>
    </row>
    <row r="3157">
      <c r="A3157" t="inlineStr">
        <is>
          <t>Timeline</t>
        </is>
      </c>
      <c r="B3157" s="46">
        <f>'Timeline'!V122</f>
        <v/>
      </c>
      <c r="C3157" s="84">
        <f>'Timeline'!T122</f>
        <v/>
      </c>
      <c r="D3157" s="46">
        <f>'Timeline'!U122</f>
        <v/>
      </c>
      <c r="E3157" s="46">
        <f>IF(OR(B3157="",C3157="",D3157=""),"",D3157*100000+(C3157-DATE(2000,1,1))+ROW()/100000)</f>
        <v/>
      </c>
      <c r="F3157" s="46">
        <f>IF(E3157="","",IF(C3157&gt;WeekEndDate,"",E3157))</f>
        <v/>
      </c>
    </row>
    <row r="3158">
      <c r="A3158" t="inlineStr">
        <is>
          <t>Timeline</t>
        </is>
      </c>
      <c r="B3158" s="46">
        <f>'Timeline'!V123</f>
        <v/>
      </c>
      <c r="C3158" s="84">
        <f>'Timeline'!T123</f>
        <v/>
      </c>
      <c r="D3158" s="46">
        <f>'Timeline'!U123</f>
        <v/>
      </c>
      <c r="E3158" s="46">
        <f>IF(OR(B3158="",C3158="",D3158=""),"",D3158*100000+(C3158-DATE(2000,1,1))+ROW()/100000)</f>
        <v/>
      </c>
      <c r="F3158" s="46">
        <f>IF(E3158="","",IF(C3158&gt;WeekEndDate,"",E3158))</f>
        <v/>
      </c>
    </row>
    <row r="3159">
      <c r="A3159" t="inlineStr">
        <is>
          <t>Timeline</t>
        </is>
      </c>
      <c r="B3159" s="46">
        <f>'Timeline'!V124</f>
        <v/>
      </c>
      <c r="C3159" s="84">
        <f>'Timeline'!T124</f>
        <v/>
      </c>
      <c r="D3159" s="46">
        <f>'Timeline'!U124</f>
        <v/>
      </c>
      <c r="E3159" s="46">
        <f>IF(OR(B3159="",C3159="",D3159=""),"",D3159*100000+(C3159-DATE(2000,1,1))+ROW()/100000)</f>
        <v/>
      </c>
      <c r="F3159" s="46">
        <f>IF(E3159="","",IF(C3159&gt;WeekEndDate,"",E3159))</f>
        <v/>
      </c>
    </row>
    <row r="3160">
      <c r="A3160" t="inlineStr">
        <is>
          <t>Timeline</t>
        </is>
      </c>
      <c r="B3160" s="46">
        <f>'Timeline'!V125</f>
        <v/>
      </c>
      <c r="C3160" s="84">
        <f>'Timeline'!T125</f>
        <v/>
      </c>
      <c r="D3160" s="46">
        <f>'Timeline'!U125</f>
        <v/>
      </c>
      <c r="E3160" s="46">
        <f>IF(OR(B3160="",C3160="",D3160=""),"",D3160*100000+(C3160-DATE(2000,1,1))+ROW()/100000)</f>
        <v/>
      </c>
      <c r="F3160" s="46">
        <f>IF(E3160="","",IF(C3160&gt;WeekEndDate,"",E3160))</f>
        <v/>
      </c>
    </row>
    <row r="3161">
      <c r="A3161" t="inlineStr">
        <is>
          <t>Timeline</t>
        </is>
      </c>
      <c r="B3161" s="46">
        <f>'Timeline'!V126</f>
        <v/>
      </c>
      <c r="C3161" s="84">
        <f>'Timeline'!T126</f>
        <v/>
      </c>
      <c r="D3161" s="46">
        <f>'Timeline'!U126</f>
        <v/>
      </c>
      <c r="E3161" s="46">
        <f>IF(OR(B3161="",C3161="",D3161=""),"",D3161*100000+(C3161-DATE(2000,1,1))+ROW()/100000)</f>
        <v/>
      </c>
      <c r="F3161" s="46">
        <f>IF(E3161="","",IF(C3161&gt;WeekEndDate,"",E3161))</f>
        <v/>
      </c>
    </row>
    <row r="3162">
      <c r="A3162" t="inlineStr">
        <is>
          <t>Timeline</t>
        </is>
      </c>
      <c r="B3162" s="46">
        <f>'Timeline'!V127</f>
        <v/>
      </c>
      <c r="C3162" s="84">
        <f>'Timeline'!T127</f>
        <v/>
      </c>
      <c r="D3162" s="46">
        <f>'Timeline'!U127</f>
        <v/>
      </c>
      <c r="E3162" s="46">
        <f>IF(OR(B3162="",C3162="",D3162=""),"",D3162*100000+(C3162-DATE(2000,1,1))+ROW()/100000)</f>
        <v/>
      </c>
      <c r="F3162" s="46">
        <f>IF(E3162="","",IF(C3162&gt;WeekEndDate,"",E3162))</f>
        <v/>
      </c>
    </row>
    <row r="3163">
      <c r="A3163" t="inlineStr">
        <is>
          <t>Timeline</t>
        </is>
      </c>
      <c r="B3163" s="46">
        <f>'Timeline'!V128</f>
        <v/>
      </c>
      <c r="C3163" s="84">
        <f>'Timeline'!T128</f>
        <v/>
      </c>
      <c r="D3163" s="46">
        <f>'Timeline'!U128</f>
        <v/>
      </c>
      <c r="E3163" s="46">
        <f>IF(OR(B3163="",C3163="",D3163=""),"",D3163*100000+(C3163-DATE(2000,1,1))+ROW()/100000)</f>
        <v/>
      </c>
      <c r="F3163" s="46">
        <f>IF(E3163="","",IF(C3163&gt;WeekEndDate,"",E3163))</f>
        <v/>
      </c>
    </row>
    <row r="3164">
      <c r="A3164" t="inlineStr">
        <is>
          <t>Timeline</t>
        </is>
      </c>
      <c r="B3164" s="46">
        <f>'Timeline'!V129</f>
        <v/>
      </c>
      <c r="C3164" s="84">
        <f>'Timeline'!T129</f>
        <v/>
      </c>
      <c r="D3164" s="46">
        <f>'Timeline'!U129</f>
        <v/>
      </c>
      <c r="E3164" s="46">
        <f>IF(OR(B3164="",C3164="",D3164=""),"",D3164*100000+(C3164-DATE(2000,1,1))+ROW()/100000)</f>
        <v/>
      </c>
      <c r="F3164" s="46">
        <f>IF(E3164="","",IF(C3164&gt;WeekEndDate,"",E3164))</f>
        <v/>
      </c>
    </row>
    <row r="3165">
      <c r="A3165" t="inlineStr">
        <is>
          <t>Timeline</t>
        </is>
      </c>
      <c r="B3165" s="46">
        <f>'Timeline'!V130</f>
        <v/>
      </c>
      <c r="C3165" s="84">
        <f>'Timeline'!T130</f>
        <v/>
      </c>
      <c r="D3165" s="46">
        <f>'Timeline'!U130</f>
        <v/>
      </c>
      <c r="E3165" s="46">
        <f>IF(OR(B3165="",C3165="",D3165=""),"",D3165*100000+(C3165-DATE(2000,1,1))+ROW()/100000)</f>
        <v/>
      </c>
      <c r="F3165" s="46">
        <f>IF(E3165="","",IF(C3165&gt;WeekEndDate,"",E3165))</f>
        <v/>
      </c>
    </row>
    <row r="3166">
      <c r="A3166" t="inlineStr">
        <is>
          <t>Timeline</t>
        </is>
      </c>
      <c r="B3166" s="46">
        <f>'Timeline'!V131</f>
        <v/>
      </c>
      <c r="C3166" s="84">
        <f>'Timeline'!T131</f>
        <v/>
      </c>
      <c r="D3166" s="46">
        <f>'Timeline'!U131</f>
        <v/>
      </c>
      <c r="E3166" s="46">
        <f>IF(OR(B3166="",C3166="",D3166=""),"",D3166*100000+(C3166-DATE(2000,1,1))+ROW()/100000)</f>
        <v/>
      </c>
      <c r="F3166" s="46">
        <f>IF(E3166="","",IF(C3166&gt;WeekEndDate,"",E3166))</f>
        <v/>
      </c>
    </row>
    <row r="3167">
      <c r="A3167" t="inlineStr">
        <is>
          <t>Timeline</t>
        </is>
      </c>
      <c r="B3167" s="46">
        <f>'Timeline'!V132</f>
        <v/>
      </c>
      <c r="C3167" s="84">
        <f>'Timeline'!T132</f>
        <v/>
      </c>
      <c r="D3167" s="46">
        <f>'Timeline'!U132</f>
        <v/>
      </c>
      <c r="E3167" s="46">
        <f>IF(OR(B3167="",C3167="",D3167=""),"",D3167*100000+(C3167-DATE(2000,1,1))+ROW()/100000)</f>
        <v/>
      </c>
      <c r="F3167" s="46">
        <f>IF(E3167="","",IF(C3167&gt;WeekEndDate,"",E3167))</f>
        <v/>
      </c>
    </row>
    <row r="3168">
      <c r="A3168" t="inlineStr">
        <is>
          <t>Timeline</t>
        </is>
      </c>
      <c r="B3168" s="46">
        <f>'Timeline'!V133</f>
        <v/>
      </c>
      <c r="C3168" s="84">
        <f>'Timeline'!T133</f>
        <v/>
      </c>
      <c r="D3168" s="46">
        <f>'Timeline'!U133</f>
        <v/>
      </c>
      <c r="E3168" s="46">
        <f>IF(OR(B3168="",C3168="",D3168=""),"",D3168*100000+(C3168-DATE(2000,1,1))+ROW()/100000)</f>
        <v/>
      </c>
      <c r="F3168" s="46">
        <f>IF(E3168="","",IF(C3168&gt;WeekEndDate,"",E3168))</f>
        <v/>
      </c>
    </row>
    <row r="3169">
      <c r="A3169" t="inlineStr">
        <is>
          <t>Timeline</t>
        </is>
      </c>
      <c r="B3169" s="46">
        <f>'Timeline'!V134</f>
        <v/>
      </c>
      <c r="C3169" s="84">
        <f>'Timeline'!T134</f>
        <v/>
      </c>
      <c r="D3169" s="46">
        <f>'Timeline'!U134</f>
        <v/>
      </c>
      <c r="E3169" s="46">
        <f>IF(OR(B3169="",C3169="",D3169=""),"",D3169*100000+(C3169-DATE(2000,1,1))+ROW()/100000)</f>
        <v/>
      </c>
      <c r="F3169" s="46">
        <f>IF(E3169="","",IF(C3169&gt;WeekEndDate,"",E3169))</f>
        <v/>
      </c>
    </row>
    <row r="3170">
      <c r="A3170" t="inlineStr">
        <is>
          <t>Timeline</t>
        </is>
      </c>
      <c r="B3170" s="46">
        <f>'Timeline'!V135</f>
        <v/>
      </c>
      <c r="C3170" s="84">
        <f>'Timeline'!T135</f>
        <v/>
      </c>
      <c r="D3170" s="46">
        <f>'Timeline'!U135</f>
        <v/>
      </c>
      <c r="E3170" s="46">
        <f>IF(OR(B3170="",C3170="",D3170=""),"",D3170*100000+(C3170-DATE(2000,1,1))+ROW()/100000)</f>
        <v/>
      </c>
      <c r="F3170" s="46">
        <f>IF(E3170="","",IF(C3170&gt;WeekEndDate,"",E3170))</f>
        <v/>
      </c>
    </row>
    <row r="3171">
      <c r="A3171" t="inlineStr">
        <is>
          <t>Timeline</t>
        </is>
      </c>
      <c r="B3171" s="46">
        <f>'Timeline'!V136</f>
        <v/>
      </c>
      <c r="C3171" s="84">
        <f>'Timeline'!T136</f>
        <v/>
      </c>
      <c r="D3171" s="46">
        <f>'Timeline'!U136</f>
        <v/>
      </c>
      <c r="E3171" s="46">
        <f>IF(OR(B3171="",C3171="",D3171=""),"",D3171*100000+(C3171-DATE(2000,1,1))+ROW()/100000)</f>
        <v/>
      </c>
      <c r="F3171" s="46">
        <f>IF(E3171="","",IF(C3171&gt;WeekEndDate,"",E3171))</f>
        <v/>
      </c>
    </row>
    <row r="3172">
      <c r="A3172" t="inlineStr">
        <is>
          <t>Timeline</t>
        </is>
      </c>
      <c r="B3172" s="46">
        <f>'Timeline'!V137</f>
        <v/>
      </c>
      <c r="C3172" s="84">
        <f>'Timeline'!T137</f>
        <v/>
      </c>
      <c r="D3172" s="46">
        <f>'Timeline'!U137</f>
        <v/>
      </c>
      <c r="E3172" s="46">
        <f>IF(OR(B3172="",C3172="",D3172=""),"",D3172*100000+(C3172-DATE(2000,1,1))+ROW()/100000)</f>
        <v/>
      </c>
      <c r="F3172" s="46">
        <f>IF(E3172="","",IF(C3172&gt;WeekEndDate,"",E3172))</f>
        <v/>
      </c>
    </row>
    <row r="3173">
      <c r="A3173" t="inlineStr">
        <is>
          <t>Timeline</t>
        </is>
      </c>
      <c r="B3173" s="46">
        <f>'Timeline'!V138</f>
        <v/>
      </c>
      <c r="C3173" s="84">
        <f>'Timeline'!T138</f>
        <v/>
      </c>
      <c r="D3173" s="46">
        <f>'Timeline'!U138</f>
        <v/>
      </c>
      <c r="E3173" s="46">
        <f>IF(OR(B3173="",C3173="",D3173=""),"",D3173*100000+(C3173-DATE(2000,1,1))+ROW()/100000)</f>
        <v/>
      </c>
      <c r="F3173" s="46">
        <f>IF(E3173="","",IF(C3173&gt;WeekEndDate,"",E3173))</f>
        <v/>
      </c>
    </row>
    <row r="3174">
      <c r="A3174" t="inlineStr">
        <is>
          <t>Timeline</t>
        </is>
      </c>
      <c r="B3174" s="46">
        <f>'Timeline'!V139</f>
        <v/>
      </c>
      <c r="C3174" s="84">
        <f>'Timeline'!T139</f>
        <v/>
      </c>
      <c r="D3174" s="46">
        <f>'Timeline'!U139</f>
        <v/>
      </c>
      <c r="E3174" s="46">
        <f>IF(OR(B3174="",C3174="",D3174=""),"",D3174*100000+(C3174-DATE(2000,1,1))+ROW()/100000)</f>
        <v/>
      </c>
      <c r="F3174" s="46">
        <f>IF(E3174="","",IF(C3174&gt;WeekEndDate,"",E3174))</f>
        <v/>
      </c>
    </row>
    <row r="3175">
      <c r="A3175" t="inlineStr">
        <is>
          <t>Timeline</t>
        </is>
      </c>
      <c r="B3175" s="46">
        <f>'Timeline'!V140</f>
        <v/>
      </c>
      <c r="C3175" s="84">
        <f>'Timeline'!T140</f>
        <v/>
      </c>
      <c r="D3175" s="46">
        <f>'Timeline'!U140</f>
        <v/>
      </c>
      <c r="E3175" s="46">
        <f>IF(OR(B3175="",C3175="",D3175=""),"",D3175*100000+(C3175-DATE(2000,1,1))+ROW()/100000)</f>
        <v/>
      </c>
      <c r="F3175" s="46">
        <f>IF(E3175="","",IF(C3175&gt;WeekEndDate,"",E3175))</f>
        <v/>
      </c>
    </row>
    <row r="3176">
      <c r="A3176" t="inlineStr">
        <is>
          <t>Timeline</t>
        </is>
      </c>
      <c r="B3176" s="46">
        <f>'Timeline'!V141</f>
        <v/>
      </c>
      <c r="C3176" s="84">
        <f>'Timeline'!T141</f>
        <v/>
      </c>
      <c r="D3176" s="46">
        <f>'Timeline'!U141</f>
        <v/>
      </c>
      <c r="E3176" s="46">
        <f>IF(OR(B3176="",C3176="",D3176=""),"",D3176*100000+(C3176-DATE(2000,1,1))+ROW()/100000)</f>
        <v/>
      </c>
      <c r="F3176" s="46">
        <f>IF(E3176="","",IF(C3176&gt;WeekEndDate,"",E3176))</f>
        <v/>
      </c>
    </row>
    <row r="3177">
      <c r="A3177" t="inlineStr">
        <is>
          <t>Timeline</t>
        </is>
      </c>
      <c r="B3177" s="46">
        <f>'Timeline'!V142</f>
        <v/>
      </c>
      <c r="C3177" s="84">
        <f>'Timeline'!T142</f>
        <v/>
      </c>
      <c r="D3177" s="46">
        <f>'Timeline'!U142</f>
        <v/>
      </c>
      <c r="E3177" s="46">
        <f>IF(OR(B3177="",C3177="",D3177=""),"",D3177*100000+(C3177-DATE(2000,1,1))+ROW()/100000)</f>
        <v/>
      </c>
      <c r="F3177" s="46">
        <f>IF(E3177="","",IF(C3177&gt;WeekEndDate,"",E3177))</f>
        <v/>
      </c>
    </row>
    <row r="3178">
      <c r="A3178" t="inlineStr">
        <is>
          <t>Timeline</t>
        </is>
      </c>
      <c r="B3178" s="46">
        <f>'Timeline'!V143</f>
        <v/>
      </c>
      <c r="C3178" s="84">
        <f>'Timeline'!T143</f>
        <v/>
      </c>
      <c r="D3178" s="46">
        <f>'Timeline'!U143</f>
        <v/>
      </c>
      <c r="E3178" s="46">
        <f>IF(OR(B3178="",C3178="",D3178=""),"",D3178*100000+(C3178-DATE(2000,1,1))+ROW()/100000)</f>
        <v/>
      </c>
      <c r="F3178" s="46">
        <f>IF(E3178="","",IF(C3178&gt;WeekEndDate,"",E3178))</f>
        <v/>
      </c>
    </row>
    <row r="3179">
      <c r="A3179" t="inlineStr">
        <is>
          <t>Timeline</t>
        </is>
      </c>
      <c r="B3179" s="46">
        <f>'Timeline'!V144</f>
        <v/>
      </c>
      <c r="C3179" s="84">
        <f>'Timeline'!T144</f>
        <v/>
      </c>
      <c r="D3179" s="46">
        <f>'Timeline'!U144</f>
        <v/>
      </c>
      <c r="E3179" s="46">
        <f>IF(OR(B3179="",C3179="",D3179=""),"",D3179*100000+(C3179-DATE(2000,1,1))+ROW()/100000)</f>
        <v/>
      </c>
      <c r="F3179" s="46">
        <f>IF(E3179="","",IF(C3179&gt;WeekEndDate,"",E3179))</f>
        <v/>
      </c>
    </row>
    <row r="3180">
      <c r="A3180" t="inlineStr">
        <is>
          <t>Timeline</t>
        </is>
      </c>
      <c r="B3180" s="46">
        <f>'Timeline'!V145</f>
        <v/>
      </c>
      <c r="C3180" s="84">
        <f>'Timeline'!T145</f>
        <v/>
      </c>
      <c r="D3180" s="46">
        <f>'Timeline'!U145</f>
        <v/>
      </c>
      <c r="E3180" s="46">
        <f>IF(OR(B3180="",C3180="",D3180=""),"",D3180*100000+(C3180-DATE(2000,1,1))+ROW()/100000)</f>
        <v/>
      </c>
      <c r="F3180" s="46">
        <f>IF(E3180="","",IF(C3180&gt;WeekEndDate,"",E3180))</f>
        <v/>
      </c>
    </row>
    <row r="3181">
      <c r="A3181" t="inlineStr">
        <is>
          <t>Timeline</t>
        </is>
      </c>
      <c r="B3181" s="46">
        <f>'Timeline'!V146</f>
        <v/>
      </c>
      <c r="C3181" s="84">
        <f>'Timeline'!T146</f>
        <v/>
      </c>
      <c r="D3181" s="46">
        <f>'Timeline'!U146</f>
        <v/>
      </c>
      <c r="E3181" s="46">
        <f>IF(OR(B3181="",C3181="",D3181=""),"",D3181*100000+(C3181-DATE(2000,1,1))+ROW()/100000)</f>
        <v/>
      </c>
      <c r="F3181" s="46">
        <f>IF(E3181="","",IF(C3181&gt;WeekEndDate,"",E3181))</f>
        <v/>
      </c>
    </row>
    <row r="3182">
      <c r="A3182" t="inlineStr">
        <is>
          <t>Timeline</t>
        </is>
      </c>
      <c r="B3182" s="46">
        <f>'Timeline'!V147</f>
        <v/>
      </c>
      <c r="C3182" s="84">
        <f>'Timeline'!T147</f>
        <v/>
      </c>
      <c r="D3182" s="46">
        <f>'Timeline'!U147</f>
        <v/>
      </c>
      <c r="E3182" s="46">
        <f>IF(OR(B3182="",C3182="",D3182=""),"",D3182*100000+(C3182-DATE(2000,1,1))+ROW()/100000)</f>
        <v/>
      </c>
      <c r="F3182" s="46">
        <f>IF(E3182="","",IF(C3182&gt;WeekEndDate,"",E3182))</f>
        <v/>
      </c>
    </row>
    <row r="3183">
      <c r="A3183" t="inlineStr">
        <is>
          <t>Timeline</t>
        </is>
      </c>
      <c r="B3183" s="46">
        <f>'Timeline'!V148</f>
        <v/>
      </c>
      <c r="C3183" s="84">
        <f>'Timeline'!T148</f>
        <v/>
      </c>
      <c r="D3183" s="46">
        <f>'Timeline'!U148</f>
        <v/>
      </c>
      <c r="E3183" s="46">
        <f>IF(OR(B3183="",C3183="",D3183=""),"",D3183*100000+(C3183-DATE(2000,1,1))+ROW()/100000)</f>
        <v/>
      </c>
      <c r="F3183" s="46">
        <f>IF(E3183="","",IF(C3183&gt;WeekEndDate,"",E3183))</f>
        <v/>
      </c>
    </row>
    <row r="3184">
      <c r="A3184" t="inlineStr">
        <is>
          <t>Timeline</t>
        </is>
      </c>
      <c r="B3184" s="46">
        <f>'Timeline'!V149</f>
        <v/>
      </c>
      <c r="C3184" s="84">
        <f>'Timeline'!T149</f>
        <v/>
      </c>
      <c r="D3184" s="46">
        <f>'Timeline'!U149</f>
        <v/>
      </c>
      <c r="E3184" s="46">
        <f>IF(OR(B3184="",C3184="",D3184=""),"",D3184*100000+(C3184-DATE(2000,1,1))+ROW()/100000)</f>
        <v/>
      </c>
      <c r="F3184" s="46">
        <f>IF(E3184="","",IF(C3184&gt;WeekEndDate,"",E3184))</f>
        <v/>
      </c>
    </row>
    <row r="3185">
      <c r="A3185" t="inlineStr">
        <is>
          <t>Timeline</t>
        </is>
      </c>
      <c r="B3185" s="46">
        <f>'Timeline'!V150</f>
        <v/>
      </c>
      <c r="C3185" s="84">
        <f>'Timeline'!T150</f>
        <v/>
      </c>
      <c r="D3185" s="46">
        <f>'Timeline'!U150</f>
        <v/>
      </c>
      <c r="E3185" s="46">
        <f>IF(OR(B3185="",C3185="",D3185=""),"",D3185*100000+(C3185-DATE(2000,1,1))+ROW()/100000)</f>
        <v/>
      </c>
      <c r="F3185" s="46">
        <f>IF(E3185="","",IF(C3185&gt;WeekEndDate,"",E3185))</f>
        <v/>
      </c>
    </row>
    <row r="3186">
      <c r="A3186" t="inlineStr">
        <is>
          <t>Timeline</t>
        </is>
      </c>
      <c r="B3186" s="46">
        <f>'Timeline'!V151</f>
        <v/>
      </c>
      <c r="C3186" s="84">
        <f>'Timeline'!T151</f>
        <v/>
      </c>
      <c r="D3186" s="46">
        <f>'Timeline'!U151</f>
        <v/>
      </c>
      <c r="E3186" s="46">
        <f>IF(OR(B3186="",C3186="",D3186=""),"",D3186*100000+(C3186-DATE(2000,1,1))+ROW()/100000)</f>
        <v/>
      </c>
      <c r="F3186" s="46">
        <f>IF(E3186="","",IF(C3186&gt;WeekEndDate,"",E3186))</f>
        <v/>
      </c>
    </row>
    <row r="3187">
      <c r="A3187" t="inlineStr">
        <is>
          <t>Timeline</t>
        </is>
      </c>
      <c r="B3187" s="46">
        <f>'Timeline'!V152</f>
        <v/>
      </c>
      <c r="C3187" s="84">
        <f>'Timeline'!T152</f>
        <v/>
      </c>
      <c r="D3187" s="46">
        <f>'Timeline'!U152</f>
        <v/>
      </c>
      <c r="E3187" s="46">
        <f>IF(OR(B3187="",C3187="",D3187=""),"",D3187*100000+(C3187-DATE(2000,1,1))+ROW()/100000)</f>
        <v/>
      </c>
      <c r="F3187" s="46">
        <f>IF(E3187="","",IF(C3187&gt;WeekEndDate,"",E3187))</f>
        <v/>
      </c>
    </row>
    <row r="3188">
      <c r="A3188" t="inlineStr">
        <is>
          <t>Timeline</t>
        </is>
      </c>
      <c r="B3188" s="46">
        <f>'Timeline'!V153</f>
        <v/>
      </c>
      <c r="C3188" s="84">
        <f>'Timeline'!T153</f>
        <v/>
      </c>
      <c r="D3188" s="46">
        <f>'Timeline'!U153</f>
        <v/>
      </c>
      <c r="E3188" s="46">
        <f>IF(OR(B3188="",C3188="",D3188=""),"",D3188*100000+(C3188-DATE(2000,1,1))+ROW()/100000)</f>
        <v/>
      </c>
      <c r="F3188" s="46">
        <f>IF(E3188="","",IF(C3188&gt;WeekEndDate,"",E3188))</f>
        <v/>
      </c>
    </row>
    <row r="3189">
      <c r="A3189" t="inlineStr">
        <is>
          <t>Timeline</t>
        </is>
      </c>
      <c r="B3189" s="46">
        <f>'Timeline'!V154</f>
        <v/>
      </c>
      <c r="C3189" s="84">
        <f>'Timeline'!T154</f>
        <v/>
      </c>
      <c r="D3189" s="46">
        <f>'Timeline'!U154</f>
        <v/>
      </c>
      <c r="E3189" s="46">
        <f>IF(OR(B3189="",C3189="",D3189=""),"",D3189*100000+(C3189-DATE(2000,1,1))+ROW()/100000)</f>
        <v/>
      </c>
      <c r="F3189" s="46">
        <f>IF(E3189="","",IF(C3189&gt;WeekEndDate,"",E3189))</f>
        <v/>
      </c>
    </row>
    <row r="3190">
      <c r="A3190" t="inlineStr">
        <is>
          <t>Timeline</t>
        </is>
      </c>
      <c r="B3190" s="46">
        <f>'Timeline'!V155</f>
        <v/>
      </c>
      <c r="C3190" s="84">
        <f>'Timeline'!T155</f>
        <v/>
      </c>
      <c r="D3190" s="46">
        <f>'Timeline'!U155</f>
        <v/>
      </c>
      <c r="E3190" s="46">
        <f>IF(OR(B3190="",C3190="",D3190=""),"",D3190*100000+(C3190-DATE(2000,1,1))+ROW()/100000)</f>
        <v/>
      </c>
      <c r="F3190" s="46">
        <f>IF(E3190="","",IF(C3190&gt;WeekEndDate,"",E3190))</f>
        <v/>
      </c>
    </row>
    <row r="3191">
      <c r="A3191" t="inlineStr">
        <is>
          <t>Timeline</t>
        </is>
      </c>
      <c r="B3191" s="46">
        <f>'Timeline'!V156</f>
        <v/>
      </c>
      <c r="C3191" s="84">
        <f>'Timeline'!T156</f>
        <v/>
      </c>
      <c r="D3191" s="46">
        <f>'Timeline'!U156</f>
        <v/>
      </c>
      <c r="E3191" s="46">
        <f>IF(OR(B3191="",C3191="",D3191=""),"",D3191*100000+(C3191-DATE(2000,1,1))+ROW()/100000)</f>
        <v/>
      </c>
      <c r="F3191" s="46">
        <f>IF(E3191="","",IF(C3191&gt;WeekEndDate,"",E3191))</f>
        <v/>
      </c>
    </row>
    <row r="3192">
      <c r="A3192" t="inlineStr">
        <is>
          <t>Timeline</t>
        </is>
      </c>
      <c r="B3192" s="46">
        <f>'Timeline'!V157</f>
        <v/>
      </c>
      <c r="C3192" s="84">
        <f>'Timeline'!T157</f>
        <v/>
      </c>
      <c r="D3192" s="46">
        <f>'Timeline'!U157</f>
        <v/>
      </c>
      <c r="E3192" s="46">
        <f>IF(OR(B3192="",C3192="",D3192=""),"",D3192*100000+(C3192-DATE(2000,1,1))+ROW()/100000)</f>
        <v/>
      </c>
      <c r="F3192" s="46">
        <f>IF(E3192="","",IF(C3192&gt;WeekEndDate,"",E3192))</f>
        <v/>
      </c>
    </row>
    <row r="3193">
      <c r="A3193" t="inlineStr">
        <is>
          <t>Timeline</t>
        </is>
      </c>
      <c r="B3193" s="46">
        <f>'Timeline'!V158</f>
        <v/>
      </c>
      <c r="C3193" s="84">
        <f>'Timeline'!T158</f>
        <v/>
      </c>
      <c r="D3193" s="46">
        <f>'Timeline'!U158</f>
        <v/>
      </c>
      <c r="E3193" s="46">
        <f>IF(OR(B3193="",C3193="",D3193=""),"",D3193*100000+(C3193-DATE(2000,1,1))+ROW()/100000)</f>
        <v/>
      </c>
      <c r="F3193" s="46">
        <f>IF(E3193="","",IF(C3193&gt;WeekEndDate,"",E3193))</f>
        <v/>
      </c>
    </row>
    <row r="3194">
      <c r="A3194" t="inlineStr">
        <is>
          <t>Timeline</t>
        </is>
      </c>
      <c r="B3194" s="46">
        <f>'Timeline'!V159</f>
        <v/>
      </c>
      <c r="C3194" s="84">
        <f>'Timeline'!T159</f>
        <v/>
      </c>
      <c r="D3194" s="46">
        <f>'Timeline'!U159</f>
        <v/>
      </c>
      <c r="E3194" s="46">
        <f>IF(OR(B3194="",C3194="",D3194=""),"",D3194*100000+(C3194-DATE(2000,1,1))+ROW()/100000)</f>
        <v/>
      </c>
      <c r="F3194" s="46">
        <f>IF(E3194="","",IF(C3194&gt;WeekEndDate,"",E3194))</f>
        <v/>
      </c>
    </row>
    <row r="3195">
      <c r="A3195" t="inlineStr">
        <is>
          <t>Timeline</t>
        </is>
      </c>
      <c r="B3195" s="46">
        <f>'Timeline'!V160</f>
        <v/>
      </c>
      <c r="C3195" s="84">
        <f>'Timeline'!T160</f>
        <v/>
      </c>
      <c r="D3195" s="46">
        <f>'Timeline'!U160</f>
        <v/>
      </c>
      <c r="E3195" s="46">
        <f>IF(OR(B3195="",C3195="",D3195=""),"",D3195*100000+(C3195-DATE(2000,1,1))+ROW()/100000)</f>
        <v/>
      </c>
      <c r="F3195" s="46">
        <f>IF(E3195="","",IF(C3195&gt;WeekEndDate,"",E3195))</f>
        <v/>
      </c>
    </row>
    <row r="3196">
      <c r="A3196" t="inlineStr">
        <is>
          <t>Timeline</t>
        </is>
      </c>
      <c r="B3196" s="46">
        <f>'Timeline'!V161</f>
        <v/>
      </c>
      <c r="C3196" s="84">
        <f>'Timeline'!T161</f>
        <v/>
      </c>
      <c r="D3196" s="46">
        <f>'Timeline'!U161</f>
        <v/>
      </c>
      <c r="E3196" s="46">
        <f>IF(OR(B3196="",C3196="",D3196=""),"",D3196*100000+(C3196-DATE(2000,1,1))+ROW()/100000)</f>
        <v/>
      </c>
      <c r="F3196" s="46">
        <f>IF(E3196="","",IF(C3196&gt;WeekEndDate,"",E3196))</f>
        <v/>
      </c>
    </row>
    <row r="3197">
      <c r="A3197" t="inlineStr">
        <is>
          <t>Timeline</t>
        </is>
      </c>
      <c r="B3197" s="46">
        <f>'Timeline'!V162</f>
        <v/>
      </c>
      <c r="C3197" s="84">
        <f>'Timeline'!T162</f>
        <v/>
      </c>
      <c r="D3197" s="46">
        <f>'Timeline'!U162</f>
        <v/>
      </c>
      <c r="E3197" s="46">
        <f>IF(OR(B3197="",C3197="",D3197=""),"",D3197*100000+(C3197-DATE(2000,1,1))+ROW()/100000)</f>
        <v/>
      </c>
      <c r="F3197" s="46">
        <f>IF(E3197="","",IF(C3197&gt;WeekEndDate,"",E3197))</f>
        <v/>
      </c>
    </row>
    <row r="3198">
      <c r="A3198" t="inlineStr">
        <is>
          <t>Timeline</t>
        </is>
      </c>
      <c r="B3198" s="46">
        <f>'Timeline'!V163</f>
        <v/>
      </c>
      <c r="C3198" s="84">
        <f>'Timeline'!T163</f>
        <v/>
      </c>
      <c r="D3198" s="46">
        <f>'Timeline'!U163</f>
        <v/>
      </c>
      <c r="E3198" s="46">
        <f>IF(OR(B3198="",C3198="",D3198=""),"",D3198*100000+(C3198-DATE(2000,1,1))+ROW()/100000)</f>
        <v/>
      </c>
      <c r="F3198" s="46">
        <f>IF(E3198="","",IF(C3198&gt;WeekEndDate,"",E3198))</f>
        <v/>
      </c>
    </row>
    <row r="3199">
      <c r="A3199" t="inlineStr">
        <is>
          <t>Timeline</t>
        </is>
      </c>
      <c r="B3199" s="46">
        <f>'Timeline'!V164</f>
        <v/>
      </c>
      <c r="C3199" s="84">
        <f>'Timeline'!T164</f>
        <v/>
      </c>
      <c r="D3199" s="46">
        <f>'Timeline'!U164</f>
        <v/>
      </c>
      <c r="E3199" s="46">
        <f>IF(OR(B3199="",C3199="",D3199=""),"",D3199*100000+(C3199-DATE(2000,1,1))+ROW()/100000)</f>
        <v/>
      </c>
      <c r="F3199" s="46">
        <f>IF(E3199="","",IF(C3199&gt;WeekEndDate,"",E3199))</f>
        <v/>
      </c>
    </row>
    <row r="3200">
      <c r="A3200" t="inlineStr">
        <is>
          <t>Timeline</t>
        </is>
      </c>
      <c r="B3200" s="46">
        <f>'Timeline'!V165</f>
        <v/>
      </c>
      <c r="C3200" s="84">
        <f>'Timeline'!T165</f>
        <v/>
      </c>
      <c r="D3200" s="46">
        <f>'Timeline'!U165</f>
        <v/>
      </c>
      <c r="E3200" s="46">
        <f>IF(OR(B3200="",C3200="",D3200=""),"",D3200*100000+(C3200-DATE(2000,1,1))+ROW()/100000)</f>
        <v/>
      </c>
      <c r="F3200" s="46">
        <f>IF(E3200="","",IF(C3200&gt;WeekEndDate,"",E3200))</f>
        <v/>
      </c>
    </row>
    <row r="3201">
      <c r="A3201" t="inlineStr">
        <is>
          <t>Timeline</t>
        </is>
      </c>
      <c r="B3201" s="46">
        <f>'Timeline'!V166</f>
        <v/>
      </c>
      <c r="C3201" s="84">
        <f>'Timeline'!T166</f>
        <v/>
      </c>
      <c r="D3201" s="46">
        <f>'Timeline'!U166</f>
        <v/>
      </c>
      <c r="E3201" s="46">
        <f>IF(OR(B3201="",C3201="",D3201=""),"",D3201*100000+(C3201-DATE(2000,1,1))+ROW()/100000)</f>
        <v/>
      </c>
      <c r="F3201" s="46">
        <f>IF(E3201="","",IF(C3201&gt;WeekEndDate,"",E3201))</f>
        <v/>
      </c>
    </row>
    <row r="3202">
      <c r="A3202" t="inlineStr">
        <is>
          <t>Timeline</t>
        </is>
      </c>
      <c r="B3202" s="46">
        <f>'Timeline'!V167</f>
        <v/>
      </c>
      <c r="C3202" s="84">
        <f>'Timeline'!T167</f>
        <v/>
      </c>
      <c r="D3202" s="46">
        <f>'Timeline'!U167</f>
        <v/>
      </c>
      <c r="E3202" s="46">
        <f>IF(OR(B3202="",C3202="",D3202=""),"",D3202*100000+(C3202-DATE(2000,1,1))+ROW()/100000)</f>
        <v/>
      </c>
      <c r="F3202" s="46">
        <f>IF(E3202="","",IF(C3202&gt;WeekEndDate,"",E3202))</f>
        <v/>
      </c>
    </row>
    <row r="3203">
      <c r="A3203" t="inlineStr">
        <is>
          <t>Timeline</t>
        </is>
      </c>
      <c r="B3203" s="46">
        <f>'Timeline'!V168</f>
        <v/>
      </c>
      <c r="C3203" s="84">
        <f>'Timeline'!T168</f>
        <v/>
      </c>
      <c r="D3203" s="46">
        <f>'Timeline'!U168</f>
        <v/>
      </c>
      <c r="E3203" s="46">
        <f>IF(OR(B3203="",C3203="",D3203=""),"",D3203*100000+(C3203-DATE(2000,1,1))+ROW()/100000)</f>
        <v/>
      </c>
      <c r="F3203" s="46">
        <f>IF(E3203="","",IF(C3203&gt;WeekEndDate,"",E3203))</f>
        <v/>
      </c>
    </row>
    <row r="3204">
      <c r="A3204" t="inlineStr">
        <is>
          <t>Timeline</t>
        </is>
      </c>
      <c r="B3204" s="46">
        <f>'Timeline'!V169</f>
        <v/>
      </c>
      <c r="C3204" s="84">
        <f>'Timeline'!T169</f>
        <v/>
      </c>
      <c r="D3204" s="46">
        <f>'Timeline'!U169</f>
        <v/>
      </c>
      <c r="E3204" s="46">
        <f>IF(OR(B3204="",C3204="",D3204=""),"",D3204*100000+(C3204-DATE(2000,1,1))+ROW()/100000)</f>
        <v/>
      </c>
      <c r="F3204" s="46">
        <f>IF(E3204="","",IF(C3204&gt;WeekEndDate,"",E3204))</f>
        <v/>
      </c>
    </row>
    <row r="3205">
      <c r="A3205" t="inlineStr">
        <is>
          <t>Timeline</t>
        </is>
      </c>
      <c r="B3205" s="46">
        <f>'Timeline'!V170</f>
        <v/>
      </c>
      <c r="C3205" s="84">
        <f>'Timeline'!T170</f>
        <v/>
      </c>
      <c r="D3205" s="46">
        <f>'Timeline'!U170</f>
        <v/>
      </c>
      <c r="E3205" s="46">
        <f>IF(OR(B3205="",C3205="",D3205=""),"",D3205*100000+(C3205-DATE(2000,1,1))+ROW()/100000)</f>
        <v/>
      </c>
      <c r="F3205" s="46">
        <f>IF(E3205="","",IF(C3205&gt;WeekEndDate,"",E3205))</f>
        <v/>
      </c>
    </row>
    <row r="3206">
      <c r="A3206" t="inlineStr">
        <is>
          <t>Timeline</t>
        </is>
      </c>
      <c r="B3206" s="46">
        <f>'Timeline'!V171</f>
        <v/>
      </c>
      <c r="C3206" s="84">
        <f>'Timeline'!T171</f>
        <v/>
      </c>
      <c r="D3206" s="46">
        <f>'Timeline'!U171</f>
        <v/>
      </c>
      <c r="E3206" s="46">
        <f>IF(OR(B3206="",C3206="",D3206=""),"",D3206*100000+(C3206-DATE(2000,1,1))+ROW()/100000)</f>
        <v/>
      </c>
      <c r="F3206" s="46">
        <f>IF(E3206="","",IF(C3206&gt;WeekEndDate,"",E3206))</f>
        <v/>
      </c>
    </row>
    <row r="3207">
      <c r="A3207" t="inlineStr">
        <is>
          <t>Timeline</t>
        </is>
      </c>
      <c r="B3207" s="46">
        <f>'Timeline'!V172</f>
        <v/>
      </c>
      <c r="C3207" s="84">
        <f>'Timeline'!T172</f>
        <v/>
      </c>
      <c r="D3207" s="46">
        <f>'Timeline'!U172</f>
        <v/>
      </c>
      <c r="E3207" s="46">
        <f>IF(OR(B3207="",C3207="",D3207=""),"",D3207*100000+(C3207-DATE(2000,1,1))+ROW()/100000)</f>
        <v/>
      </c>
      <c r="F3207" s="46">
        <f>IF(E3207="","",IF(C3207&gt;WeekEndDate,"",E3207))</f>
        <v/>
      </c>
    </row>
    <row r="3208">
      <c r="A3208" t="inlineStr">
        <is>
          <t>Timeline</t>
        </is>
      </c>
      <c r="B3208" s="46">
        <f>'Timeline'!V173</f>
        <v/>
      </c>
      <c r="C3208" s="84">
        <f>'Timeline'!T173</f>
        <v/>
      </c>
      <c r="D3208" s="46">
        <f>'Timeline'!U173</f>
        <v/>
      </c>
      <c r="E3208" s="46">
        <f>IF(OR(B3208="",C3208="",D3208=""),"",D3208*100000+(C3208-DATE(2000,1,1))+ROW()/100000)</f>
        <v/>
      </c>
      <c r="F3208" s="46">
        <f>IF(E3208="","",IF(C3208&gt;WeekEndDate,"",E3208))</f>
        <v/>
      </c>
    </row>
    <row r="3209">
      <c r="A3209" t="inlineStr">
        <is>
          <t>Timeline</t>
        </is>
      </c>
      <c r="B3209" s="46">
        <f>'Timeline'!V174</f>
        <v/>
      </c>
      <c r="C3209" s="84">
        <f>'Timeline'!T174</f>
        <v/>
      </c>
      <c r="D3209" s="46">
        <f>'Timeline'!U174</f>
        <v/>
      </c>
      <c r="E3209" s="46">
        <f>IF(OR(B3209="",C3209="",D3209=""),"",D3209*100000+(C3209-DATE(2000,1,1))+ROW()/100000)</f>
        <v/>
      </c>
      <c r="F3209" s="46">
        <f>IF(E3209="","",IF(C3209&gt;WeekEndDate,"",E3209))</f>
        <v/>
      </c>
    </row>
    <row r="3210">
      <c r="A3210" t="inlineStr">
        <is>
          <t>Timeline</t>
        </is>
      </c>
      <c r="B3210" s="46">
        <f>'Timeline'!V175</f>
        <v/>
      </c>
      <c r="C3210" s="84">
        <f>'Timeline'!T175</f>
        <v/>
      </c>
      <c r="D3210" s="46">
        <f>'Timeline'!U175</f>
        <v/>
      </c>
      <c r="E3210" s="46">
        <f>IF(OR(B3210="",C3210="",D3210=""),"",D3210*100000+(C3210-DATE(2000,1,1))+ROW()/100000)</f>
        <v/>
      </c>
      <c r="F3210" s="46">
        <f>IF(E3210="","",IF(C3210&gt;WeekEndDate,"",E3210))</f>
        <v/>
      </c>
    </row>
    <row r="3211">
      <c r="A3211" t="inlineStr">
        <is>
          <t>Timeline</t>
        </is>
      </c>
      <c r="B3211" s="46">
        <f>'Timeline'!V176</f>
        <v/>
      </c>
      <c r="C3211" s="84">
        <f>'Timeline'!T176</f>
        <v/>
      </c>
      <c r="D3211" s="46">
        <f>'Timeline'!U176</f>
        <v/>
      </c>
      <c r="E3211" s="46">
        <f>IF(OR(B3211="",C3211="",D3211=""),"",D3211*100000+(C3211-DATE(2000,1,1))+ROW()/100000)</f>
        <v/>
      </c>
      <c r="F3211" s="46">
        <f>IF(E3211="","",IF(C3211&gt;WeekEndDate,"",E3211))</f>
        <v/>
      </c>
    </row>
    <row r="3212">
      <c r="A3212" t="inlineStr">
        <is>
          <t>Timeline</t>
        </is>
      </c>
      <c r="B3212" s="46">
        <f>'Timeline'!V177</f>
        <v/>
      </c>
      <c r="C3212" s="84">
        <f>'Timeline'!T177</f>
        <v/>
      </c>
      <c r="D3212" s="46">
        <f>'Timeline'!U177</f>
        <v/>
      </c>
      <c r="E3212" s="46">
        <f>IF(OR(B3212="",C3212="",D3212=""),"",D3212*100000+(C3212-DATE(2000,1,1))+ROW()/100000)</f>
        <v/>
      </c>
      <c r="F3212" s="46">
        <f>IF(E3212="","",IF(C3212&gt;WeekEndDate,"",E3212))</f>
        <v/>
      </c>
    </row>
    <row r="3213">
      <c r="A3213" t="inlineStr">
        <is>
          <t>Timeline</t>
        </is>
      </c>
      <c r="B3213" s="46">
        <f>'Timeline'!V178</f>
        <v/>
      </c>
      <c r="C3213" s="84">
        <f>'Timeline'!T178</f>
        <v/>
      </c>
      <c r="D3213" s="46">
        <f>'Timeline'!U178</f>
        <v/>
      </c>
      <c r="E3213" s="46">
        <f>IF(OR(B3213="",C3213="",D3213=""),"",D3213*100000+(C3213-DATE(2000,1,1))+ROW()/100000)</f>
        <v/>
      </c>
      <c r="F3213" s="46">
        <f>IF(E3213="","",IF(C3213&gt;WeekEndDate,"",E3213))</f>
        <v/>
      </c>
    </row>
    <row r="3214">
      <c r="A3214" t="inlineStr">
        <is>
          <t>Timeline</t>
        </is>
      </c>
      <c r="B3214" s="46">
        <f>'Timeline'!V179</f>
        <v/>
      </c>
      <c r="C3214" s="84">
        <f>'Timeline'!T179</f>
        <v/>
      </c>
      <c r="D3214" s="46">
        <f>'Timeline'!U179</f>
        <v/>
      </c>
      <c r="E3214" s="46">
        <f>IF(OR(B3214="",C3214="",D3214=""),"",D3214*100000+(C3214-DATE(2000,1,1))+ROW()/100000)</f>
        <v/>
      </c>
      <c r="F3214" s="46">
        <f>IF(E3214="","",IF(C3214&gt;WeekEndDate,"",E3214))</f>
        <v/>
      </c>
    </row>
    <row r="3215">
      <c r="A3215" t="inlineStr">
        <is>
          <t>Timeline</t>
        </is>
      </c>
      <c r="B3215" s="46">
        <f>'Timeline'!V180</f>
        <v/>
      </c>
      <c r="C3215" s="84">
        <f>'Timeline'!T180</f>
        <v/>
      </c>
      <c r="D3215" s="46">
        <f>'Timeline'!U180</f>
        <v/>
      </c>
      <c r="E3215" s="46">
        <f>IF(OR(B3215="",C3215="",D3215=""),"",D3215*100000+(C3215-DATE(2000,1,1))+ROW()/100000)</f>
        <v/>
      </c>
      <c r="F3215" s="46">
        <f>IF(E3215="","",IF(C3215&gt;WeekEndDate,"",E3215))</f>
        <v/>
      </c>
    </row>
    <row r="3216">
      <c r="A3216" t="inlineStr">
        <is>
          <t>Timeline</t>
        </is>
      </c>
      <c r="B3216" s="46">
        <f>'Timeline'!V181</f>
        <v/>
      </c>
      <c r="C3216" s="84">
        <f>'Timeline'!T181</f>
        <v/>
      </c>
      <c r="D3216" s="46">
        <f>'Timeline'!U181</f>
        <v/>
      </c>
      <c r="E3216" s="46">
        <f>IF(OR(B3216="",C3216="",D3216=""),"",D3216*100000+(C3216-DATE(2000,1,1))+ROW()/100000)</f>
        <v/>
      </c>
      <c r="F3216" s="46">
        <f>IF(E3216="","",IF(C3216&gt;WeekEndDate,"",E3216))</f>
        <v/>
      </c>
    </row>
    <row r="3217">
      <c r="A3217" t="inlineStr">
        <is>
          <t>Timeline</t>
        </is>
      </c>
      <c r="B3217" s="46">
        <f>'Timeline'!V182</f>
        <v/>
      </c>
      <c r="C3217" s="84">
        <f>'Timeline'!T182</f>
        <v/>
      </c>
      <c r="D3217" s="46">
        <f>'Timeline'!U182</f>
        <v/>
      </c>
      <c r="E3217" s="46">
        <f>IF(OR(B3217="",C3217="",D3217=""),"",D3217*100000+(C3217-DATE(2000,1,1))+ROW()/100000)</f>
        <v/>
      </c>
      <c r="F3217" s="46">
        <f>IF(E3217="","",IF(C3217&gt;WeekEndDate,"",E3217))</f>
        <v/>
      </c>
    </row>
    <row r="3218">
      <c r="A3218" t="inlineStr">
        <is>
          <t>Timeline</t>
        </is>
      </c>
      <c r="B3218" s="46">
        <f>'Timeline'!V183</f>
        <v/>
      </c>
      <c r="C3218" s="84">
        <f>'Timeline'!T183</f>
        <v/>
      </c>
      <c r="D3218" s="46">
        <f>'Timeline'!U183</f>
        <v/>
      </c>
      <c r="E3218" s="46">
        <f>IF(OR(B3218="",C3218="",D3218=""),"",D3218*100000+(C3218-DATE(2000,1,1))+ROW()/100000)</f>
        <v/>
      </c>
      <c r="F3218" s="46">
        <f>IF(E3218="","",IF(C3218&gt;WeekEndDate,"",E3218))</f>
        <v/>
      </c>
    </row>
    <row r="3219">
      <c r="A3219" t="inlineStr">
        <is>
          <t>Timeline</t>
        </is>
      </c>
      <c r="B3219" s="46">
        <f>'Timeline'!V184</f>
        <v/>
      </c>
      <c r="C3219" s="84">
        <f>'Timeline'!T184</f>
        <v/>
      </c>
      <c r="D3219" s="46">
        <f>'Timeline'!U184</f>
        <v/>
      </c>
      <c r="E3219" s="46">
        <f>IF(OR(B3219="",C3219="",D3219=""),"",D3219*100000+(C3219-DATE(2000,1,1))+ROW()/100000)</f>
        <v/>
      </c>
      <c r="F3219" s="46">
        <f>IF(E3219="","",IF(C3219&gt;WeekEndDate,"",E3219))</f>
        <v/>
      </c>
    </row>
    <row r="3220">
      <c r="A3220" t="inlineStr">
        <is>
          <t>Timeline</t>
        </is>
      </c>
      <c r="B3220" s="46">
        <f>'Timeline'!V185</f>
        <v/>
      </c>
      <c r="C3220" s="84">
        <f>'Timeline'!T185</f>
        <v/>
      </c>
      <c r="D3220" s="46">
        <f>'Timeline'!U185</f>
        <v/>
      </c>
      <c r="E3220" s="46">
        <f>IF(OR(B3220="",C3220="",D3220=""),"",D3220*100000+(C3220-DATE(2000,1,1))+ROW()/100000)</f>
        <v/>
      </c>
      <c r="F3220" s="46">
        <f>IF(E3220="","",IF(C3220&gt;WeekEndDate,"",E3220))</f>
        <v/>
      </c>
    </row>
    <row r="3221">
      <c r="A3221" t="inlineStr">
        <is>
          <t>Timeline</t>
        </is>
      </c>
      <c r="B3221" s="46">
        <f>'Timeline'!V186</f>
        <v/>
      </c>
      <c r="C3221" s="84">
        <f>'Timeline'!T186</f>
        <v/>
      </c>
      <c r="D3221" s="46">
        <f>'Timeline'!U186</f>
        <v/>
      </c>
      <c r="E3221" s="46">
        <f>IF(OR(B3221="",C3221="",D3221=""),"",D3221*100000+(C3221-DATE(2000,1,1))+ROW()/100000)</f>
        <v/>
      </c>
      <c r="F3221" s="46">
        <f>IF(E3221="","",IF(C3221&gt;WeekEndDate,"",E3221))</f>
        <v/>
      </c>
    </row>
    <row r="3222">
      <c r="A3222" t="inlineStr">
        <is>
          <t>Timeline</t>
        </is>
      </c>
      <c r="B3222" s="46">
        <f>'Timeline'!V187</f>
        <v/>
      </c>
      <c r="C3222" s="84">
        <f>'Timeline'!T187</f>
        <v/>
      </c>
      <c r="D3222" s="46">
        <f>'Timeline'!U187</f>
        <v/>
      </c>
      <c r="E3222" s="46">
        <f>IF(OR(B3222="",C3222="",D3222=""),"",D3222*100000+(C3222-DATE(2000,1,1))+ROW()/100000)</f>
        <v/>
      </c>
      <c r="F3222" s="46">
        <f>IF(E3222="","",IF(C3222&gt;WeekEndDate,"",E3222))</f>
        <v/>
      </c>
    </row>
    <row r="3223">
      <c r="A3223" t="inlineStr">
        <is>
          <t>Timeline</t>
        </is>
      </c>
      <c r="B3223" s="46">
        <f>'Timeline'!V188</f>
        <v/>
      </c>
      <c r="C3223" s="84">
        <f>'Timeline'!T188</f>
        <v/>
      </c>
      <c r="D3223" s="46">
        <f>'Timeline'!U188</f>
        <v/>
      </c>
      <c r="E3223" s="46">
        <f>IF(OR(B3223="",C3223="",D3223=""),"",D3223*100000+(C3223-DATE(2000,1,1))+ROW()/100000)</f>
        <v/>
      </c>
      <c r="F3223" s="46">
        <f>IF(E3223="","",IF(C3223&gt;WeekEndDate,"",E3223))</f>
        <v/>
      </c>
    </row>
    <row r="3224">
      <c r="A3224" t="inlineStr">
        <is>
          <t>Timeline</t>
        </is>
      </c>
      <c r="B3224" s="46">
        <f>'Timeline'!V189</f>
        <v/>
      </c>
      <c r="C3224" s="84">
        <f>'Timeline'!T189</f>
        <v/>
      </c>
      <c r="D3224" s="46">
        <f>'Timeline'!U189</f>
        <v/>
      </c>
      <c r="E3224" s="46">
        <f>IF(OR(B3224="",C3224="",D3224=""),"",D3224*100000+(C3224-DATE(2000,1,1))+ROW()/100000)</f>
        <v/>
      </c>
      <c r="F3224" s="46">
        <f>IF(E3224="","",IF(C3224&gt;WeekEndDate,"",E3224))</f>
        <v/>
      </c>
    </row>
    <row r="3225">
      <c r="A3225" t="inlineStr">
        <is>
          <t>Timeline</t>
        </is>
      </c>
      <c r="B3225" s="46">
        <f>'Timeline'!V190</f>
        <v/>
      </c>
      <c r="C3225" s="84">
        <f>'Timeline'!T190</f>
        <v/>
      </c>
      <c r="D3225" s="46">
        <f>'Timeline'!U190</f>
        <v/>
      </c>
      <c r="E3225" s="46">
        <f>IF(OR(B3225="",C3225="",D3225=""),"",D3225*100000+(C3225-DATE(2000,1,1))+ROW()/100000)</f>
        <v/>
      </c>
      <c r="F3225" s="46">
        <f>IF(E3225="","",IF(C3225&gt;WeekEndDate,"",E3225))</f>
        <v/>
      </c>
    </row>
    <row r="3226">
      <c r="A3226" t="inlineStr">
        <is>
          <t>Timeline</t>
        </is>
      </c>
      <c r="B3226" s="46">
        <f>'Timeline'!V191</f>
        <v/>
      </c>
      <c r="C3226" s="84">
        <f>'Timeline'!T191</f>
        <v/>
      </c>
      <c r="D3226" s="46">
        <f>'Timeline'!U191</f>
        <v/>
      </c>
      <c r="E3226" s="46">
        <f>IF(OR(B3226="",C3226="",D3226=""),"",D3226*100000+(C3226-DATE(2000,1,1))+ROW()/100000)</f>
        <v/>
      </c>
      <c r="F3226" s="46">
        <f>IF(E3226="","",IF(C3226&gt;WeekEndDate,"",E3226))</f>
        <v/>
      </c>
    </row>
    <row r="3227">
      <c r="A3227" t="inlineStr">
        <is>
          <t>Timeline</t>
        </is>
      </c>
      <c r="B3227" s="46">
        <f>'Timeline'!V192</f>
        <v/>
      </c>
      <c r="C3227" s="84">
        <f>'Timeline'!T192</f>
        <v/>
      </c>
      <c r="D3227" s="46">
        <f>'Timeline'!U192</f>
        <v/>
      </c>
      <c r="E3227" s="46">
        <f>IF(OR(B3227="",C3227="",D3227=""),"",D3227*100000+(C3227-DATE(2000,1,1))+ROW()/100000)</f>
        <v/>
      </c>
      <c r="F3227" s="46">
        <f>IF(E3227="","",IF(C3227&gt;WeekEndDate,"",E3227))</f>
        <v/>
      </c>
    </row>
    <row r="3228">
      <c r="A3228" t="inlineStr">
        <is>
          <t>Timeline</t>
        </is>
      </c>
      <c r="B3228" s="46">
        <f>'Timeline'!V193</f>
        <v/>
      </c>
      <c r="C3228" s="84">
        <f>'Timeline'!T193</f>
        <v/>
      </c>
      <c r="D3228" s="46">
        <f>'Timeline'!U193</f>
        <v/>
      </c>
      <c r="E3228" s="46">
        <f>IF(OR(B3228="",C3228="",D3228=""),"",D3228*100000+(C3228-DATE(2000,1,1))+ROW()/100000)</f>
        <v/>
      </c>
      <c r="F3228" s="46">
        <f>IF(E3228="","",IF(C3228&gt;WeekEndDate,"",E3228))</f>
        <v/>
      </c>
    </row>
    <row r="3229">
      <c r="A3229" t="inlineStr">
        <is>
          <t>Timeline</t>
        </is>
      </c>
      <c r="B3229" s="46">
        <f>'Timeline'!V194</f>
        <v/>
      </c>
      <c r="C3229" s="84">
        <f>'Timeline'!T194</f>
        <v/>
      </c>
      <c r="D3229" s="46">
        <f>'Timeline'!U194</f>
        <v/>
      </c>
      <c r="E3229" s="46">
        <f>IF(OR(B3229="",C3229="",D3229=""),"",D3229*100000+(C3229-DATE(2000,1,1))+ROW()/100000)</f>
        <v/>
      </c>
      <c r="F3229" s="46">
        <f>IF(E3229="","",IF(C3229&gt;WeekEndDate,"",E3229))</f>
        <v/>
      </c>
    </row>
    <row r="3230">
      <c r="A3230" t="inlineStr">
        <is>
          <t>Timeline</t>
        </is>
      </c>
      <c r="B3230" s="46">
        <f>'Timeline'!V195</f>
        <v/>
      </c>
      <c r="C3230" s="84">
        <f>'Timeline'!T195</f>
        <v/>
      </c>
      <c r="D3230" s="46">
        <f>'Timeline'!U195</f>
        <v/>
      </c>
      <c r="E3230" s="46">
        <f>IF(OR(B3230="",C3230="",D3230=""),"",D3230*100000+(C3230-DATE(2000,1,1))+ROW()/100000)</f>
        <v/>
      </c>
      <c r="F3230" s="46">
        <f>IF(E3230="","",IF(C3230&gt;WeekEndDate,"",E3230))</f>
        <v/>
      </c>
    </row>
    <row r="3231">
      <c r="A3231" t="inlineStr">
        <is>
          <t>Timeline</t>
        </is>
      </c>
      <c r="B3231" s="46">
        <f>'Timeline'!V196</f>
        <v/>
      </c>
      <c r="C3231" s="84">
        <f>'Timeline'!T196</f>
        <v/>
      </c>
      <c r="D3231" s="46">
        <f>'Timeline'!U196</f>
        <v/>
      </c>
      <c r="E3231" s="46">
        <f>IF(OR(B3231="",C3231="",D3231=""),"",D3231*100000+(C3231-DATE(2000,1,1))+ROW()/100000)</f>
        <v/>
      </c>
      <c r="F3231" s="46">
        <f>IF(E3231="","",IF(C3231&gt;WeekEndDate,"",E3231))</f>
        <v/>
      </c>
    </row>
    <row r="3232">
      <c r="A3232" t="inlineStr">
        <is>
          <t>Timeline</t>
        </is>
      </c>
      <c r="B3232" s="46">
        <f>'Timeline'!V197</f>
        <v/>
      </c>
      <c r="C3232" s="84">
        <f>'Timeline'!T197</f>
        <v/>
      </c>
      <c r="D3232" s="46">
        <f>'Timeline'!U197</f>
        <v/>
      </c>
      <c r="E3232" s="46">
        <f>IF(OR(B3232="",C3232="",D3232=""),"",D3232*100000+(C3232-DATE(2000,1,1))+ROW()/100000)</f>
        <v/>
      </c>
      <c r="F3232" s="46">
        <f>IF(E3232="","",IF(C3232&gt;WeekEndDate,"",E3232))</f>
        <v/>
      </c>
    </row>
    <row r="3233">
      <c r="A3233" t="inlineStr">
        <is>
          <t>Timeline</t>
        </is>
      </c>
      <c r="B3233" s="46">
        <f>'Timeline'!V198</f>
        <v/>
      </c>
      <c r="C3233" s="84">
        <f>'Timeline'!T198</f>
        <v/>
      </c>
      <c r="D3233" s="46">
        <f>'Timeline'!U198</f>
        <v/>
      </c>
      <c r="E3233" s="46">
        <f>IF(OR(B3233="",C3233="",D3233=""),"",D3233*100000+(C3233-DATE(2000,1,1))+ROW()/100000)</f>
        <v/>
      </c>
      <c r="F3233" s="46">
        <f>IF(E3233="","",IF(C3233&gt;WeekEndDate,"",E3233))</f>
        <v/>
      </c>
    </row>
    <row r="3234">
      <c r="A3234" t="inlineStr">
        <is>
          <t>Timeline</t>
        </is>
      </c>
      <c r="B3234" s="46">
        <f>'Timeline'!V199</f>
        <v/>
      </c>
      <c r="C3234" s="84">
        <f>'Timeline'!T199</f>
        <v/>
      </c>
      <c r="D3234" s="46">
        <f>'Timeline'!U199</f>
        <v/>
      </c>
      <c r="E3234" s="46">
        <f>IF(OR(B3234="",C3234="",D3234=""),"",D3234*100000+(C3234-DATE(2000,1,1))+ROW()/100000)</f>
        <v/>
      </c>
      <c r="F3234" s="46">
        <f>IF(E3234="","",IF(C3234&gt;WeekEndDate,"",E3234))</f>
        <v/>
      </c>
    </row>
    <row r="3235">
      <c r="A3235" t="inlineStr">
        <is>
          <t>Timeline</t>
        </is>
      </c>
      <c r="B3235" s="46">
        <f>'Timeline'!V200</f>
        <v/>
      </c>
      <c r="C3235" s="84">
        <f>'Timeline'!T200</f>
        <v/>
      </c>
      <c r="D3235" s="46">
        <f>'Timeline'!U200</f>
        <v/>
      </c>
      <c r="E3235" s="46">
        <f>IF(OR(B3235="",C3235="",D3235=""),"",D3235*100000+(C3235-DATE(2000,1,1))+ROW()/100000)</f>
        <v/>
      </c>
      <c r="F3235" s="46">
        <f>IF(E3235="","",IF(C3235&gt;WeekEndDate,"",E3235))</f>
        <v/>
      </c>
    </row>
    <row r="3236">
      <c r="A3236" t="inlineStr">
        <is>
          <t>Timeline</t>
        </is>
      </c>
      <c r="B3236" s="46">
        <f>'Timeline'!V201</f>
        <v/>
      </c>
      <c r="C3236" s="84">
        <f>'Timeline'!T201</f>
        <v/>
      </c>
      <c r="D3236" s="46">
        <f>'Timeline'!U201</f>
        <v/>
      </c>
      <c r="E3236" s="46">
        <f>IF(OR(B3236="",C3236="",D3236=""),"",D3236*100000+(C3236-DATE(2000,1,1))+ROW()/100000)</f>
        <v/>
      </c>
      <c r="F3236" s="46">
        <f>IF(E3236="","",IF(C3236&gt;WeekEndDate,"",E3236))</f>
        <v/>
      </c>
    </row>
    <row r="3237">
      <c r="A3237" t="inlineStr">
        <is>
          <t>Timeline</t>
        </is>
      </c>
      <c r="B3237" s="46">
        <f>'Timeline'!V202</f>
        <v/>
      </c>
      <c r="C3237" s="84">
        <f>'Timeline'!T202</f>
        <v/>
      </c>
      <c r="D3237" s="46">
        <f>'Timeline'!U202</f>
        <v/>
      </c>
      <c r="E3237" s="46">
        <f>IF(OR(B3237="",C3237="",D3237=""),"",D3237*100000+(C3237-DATE(2000,1,1))+ROW()/100000)</f>
        <v/>
      </c>
      <c r="F3237" s="46">
        <f>IF(E3237="","",IF(C3237&gt;WeekEndDate,"",E3237))</f>
        <v/>
      </c>
    </row>
    <row r="3238">
      <c r="A3238" t="inlineStr">
        <is>
          <t>Timeline</t>
        </is>
      </c>
      <c r="B3238" s="46">
        <f>'Timeline'!V203</f>
        <v/>
      </c>
      <c r="C3238" s="84">
        <f>'Timeline'!T203</f>
        <v/>
      </c>
      <c r="D3238" s="46">
        <f>'Timeline'!U203</f>
        <v/>
      </c>
      <c r="E3238" s="46">
        <f>IF(OR(B3238="",C3238="",D3238=""),"",D3238*100000+(C3238-DATE(2000,1,1))+ROW()/100000)</f>
        <v/>
      </c>
      <c r="F3238" s="46">
        <f>IF(E3238="","",IF(C3238&gt;WeekEndDate,"",E3238))</f>
        <v/>
      </c>
    </row>
    <row r="3239">
      <c r="A3239" t="inlineStr">
        <is>
          <t>Timeline</t>
        </is>
      </c>
      <c r="B3239" s="46">
        <f>'Timeline'!V204</f>
        <v/>
      </c>
      <c r="C3239" s="84">
        <f>'Timeline'!T204</f>
        <v/>
      </c>
      <c r="D3239" s="46">
        <f>'Timeline'!U204</f>
        <v/>
      </c>
      <c r="E3239" s="46">
        <f>IF(OR(B3239="",C3239="",D3239=""),"",D3239*100000+(C3239-DATE(2000,1,1))+ROW()/100000)</f>
        <v/>
      </c>
      <c r="F3239" s="46">
        <f>IF(E3239="","",IF(C3239&gt;WeekEndDate,"",E3239))</f>
        <v/>
      </c>
    </row>
    <row r="3240">
      <c r="A3240" t="inlineStr">
        <is>
          <t>Timeline</t>
        </is>
      </c>
      <c r="B3240" s="46">
        <f>'Timeline'!V205</f>
        <v/>
      </c>
      <c r="C3240" s="84">
        <f>'Timeline'!T205</f>
        <v/>
      </c>
      <c r="D3240" s="46">
        <f>'Timeline'!U205</f>
        <v/>
      </c>
      <c r="E3240" s="46">
        <f>IF(OR(B3240="",C3240="",D3240=""),"",D3240*100000+(C3240-DATE(2000,1,1))+ROW()/100000)</f>
        <v/>
      </c>
      <c r="F3240" s="46">
        <f>IF(E3240="","",IF(C3240&gt;WeekEndDate,"",E3240))</f>
        <v/>
      </c>
    </row>
    <row r="3241">
      <c r="A3241" t="inlineStr">
        <is>
          <t>Timeline</t>
        </is>
      </c>
      <c r="B3241" s="46">
        <f>'Timeline'!V206</f>
        <v/>
      </c>
      <c r="C3241" s="84">
        <f>'Timeline'!T206</f>
        <v/>
      </c>
      <c r="D3241" s="46">
        <f>'Timeline'!U206</f>
        <v/>
      </c>
      <c r="E3241" s="46">
        <f>IF(OR(B3241="",C3241="",D3241=""),"",D3241*100000+(C3241-DATE(2000,1,1))+ROW()/100000)</f>
        <v/>
      </c>
      <c r="F3241" s="46">
        <f>IF(E3241="","",IF(C3241&gt;WeekEndDate,"",E3241))</f>
        <v/>
      </c>
    </row>
    <row r="3242">
      <c r="A3242" t="inlineStr">
        <is>
          <t>Timeline</t>
        </is>
      </c>
      <c r="B3242" s="46">
        <f>'Timeline'!V207</f>
        <v/>
      </c>
      <c r="C3242" s="84">
        <f>'Timeline'!T207</f>
        <v/>
      </c>
      <c r="D3242" s="46">
        <f>'Timeline'!U207</f>
        <v/>
      </c>
      <c r="E3242" s="46">
        <f>IF(OR(B3242="",C3242="",D3242=""),"",D3242*100000+(C3242-DATE(2000,1,1))+ROW()/100000)</f>
        <v/>
      </c>
      <c r="F3242" s="46">
        <f>IF(E3242="","",IF(C3242&gt;WeekEndDate,"",E3242))</f>
        <v/>
      </c>
    </row>
    <row r="3243">
      <c r="A3243" t="inlineStr">
        <is>
          <t>Timeline</t>
        </is>
      </c>
      <c r="B3243" s="46">
        <f>'Timeline'!V208</f>
        <v/>
      </c>
      <c r="C3243" s="84">
        <f>'Timeline'!T208</f>
        <v/>
      </c>
      <c r="D3243" s="46">
        <f>'Timeline'!U208</f>
        <v/>
      </c>
      <c r="E3243" s="46">
        <f>IF(OR(B3243="",C3243="",D3243=""),"",D3243*100000+(C3243-DATE(2000,1,1))+ROW()/100000)</f>
        <v/>
      </c>
      <c r="F3243" s="46">
        <f>IF(E3243="","",IF(C3243&gt;WeekEndDate,"",E3243))</f>
        <v/>
      </c>
    </row>
    <row r="3244">
      <c r="A3244" t="inlineStr">
        <is>
          <t>Timeline</t>
        </is>
      </c>
      <c r="B3244" s="46">
        <f>'Timeline'!V209</f>
        <v/>
      </c>
      <c r="C3244" s="84">
        <f>'Timeline'!T209</f>
        <v/>
      </c>
      <c r="D3244" s="46">
        <f>'Timeline'!U209</f>
        <v/>
      </c>
      <c r="E3244" s="46">
        <f>IF(OR(B3244="",C3244="",D3244=""),"",D3244*100000+(C3244-DATE(2000,1,1))+ROW()/100000)</f>
        <v/>
      </c>
      <c r="F3244" s="46">
        <f>IF(E3244="","",IF(C3244&gt;WeekEndDate,"",E3244))</f>
        <v/>
      </c>
    </row>
    <row r="3245">
      <c r="A3245" t="inlineStr">
        <is>
          <t>Timeline</t>
        </is>
      </c>
      <c r="B3245" s="46">
        <f>'Timeline'!V210</f>
        <v/>
      </c>
      <c r="C3245" s="84">
        <f>'Timeline'!T210</f>
        <v/>
      </c>
      <c r="D3245" s="46">
        <f>'Timeline'!U210</f>
        <v/>
      </c>
      <c r="E3245" s="46">
        <f>IF(OR(B3245="",C3245="",D3245=""),"",D3245*100000+(C3245-DATE(2000,1,1))+ROW()/100000)</f>
        <v/>
      </c>
      <c r="F3245" s="46">
        <f>IF(E3245="","",IF(C3245&gt;WeekEndDate,"",E3245))</f>
        <v/>
      </c>
    </row>
    <row r="3246">
      <c r="A3246" t="inlineStr">
        <is>
          <t>Timeline</t>
        </is>
      </c>
      <c r="B3246" s="46">
        <f>'Timeline'!V211</f>
        <v/>
      </c>
      <c r="C3246" s="84">
        <f>'Timeline'!T211</f>
        <v/>
      </c>
      <c r="D3246" s="46">
        <f>'Timeline'!U211</f>
        <v/>
      </c>
      <c r="E3246" s="46">
        <f>IF(OR(B3246="",C3246="",D3246=""),"",D3246*100000+(C3246-DATE(2000,1,1))+ROW()/100000)</f>
        <v/>
      </c>
      <c r="F3246" s="46">
        <f>IF(E3246="","",IF(C3246&gt;WeekEndDate,"",E3246))</f>
        <v/>
      </c>
    </row>
    <row r="3247">
      <c r="A3247" t="inlineStr">
        <is>
          <t>Timeline</t>
        </is>
      </c>
      <c r="B3247" s="46">
        <f>'Timeline'!V212</f>
        <v/>
      </c>
      <c r="C3247" s="84">
        <f>'Timeline'!T212</f>
        <v/>
      </c>
      <c r="D3247" s="46">
        <f>'Timeline'!U212</f>
        <v/>
      </c>
      <c r="E3247" s="46">
        <f>IF(OR(B3247="",C3247="",D3247=""),"",D3247*100000+(C3247-DATE(2000,1,1))+ROW()/100000)</f>
        <v/>
      </c>
      <c r="F3247" s="46">
        <f>IF(E3247="","",IF(C3247&gt;WeekEndDate,"",E3247))</f>
        <v/>
      </c>
    </row>
    <row r="3248">
      <c r="A3248" t="inlineStr">
        <is>
          <t>Timeline</t>
        </is>
      </c>
      <c r="B3248" s="46">
        <f>'Timeline'!V213</f>
        <v/>
      </c>
      <c r="C3248" s="84">
        <f>'Timeline'!T213</f>
        <v/>
      </c>
      <c r="D3248" s="46">
        <f>'Timeline'!U213</f>
        <v/>
      </c>
      <c r="E3248" s="46">
        <f>IF(OR(B3248="",C3248="",D3248=""),"",D3248*100000+(C3248-DATE(2000,1,1))+ROW()/100000)</f>
        <v/>
      </c>
      <c r="F3248" s="46">
        <f>IF(E3248="","",IF(C3248&gt;WeekEndDate,"",E3248))</f>
        <v/>
      </c>
    </row>
    <row r="3249">
      <c r="A3249" t="inlineStr">
        <is>
          <t>Timeline</t>
        </is>
      </c>
      <c r="B3249" s="46">
        <f>'Timeline'!V214</f>
        <v/>
      </c>
      <c r="C3249" s="84">
        <f>'Timeline'!T214</f>
        <v/>
      </c>
      <c r="D3249" s="46">
        <f>'Timeline'!U214</f>
        <v/>
      </c>
      <c r="E3249" s="46">
        <f>IF(OR(B3249="",C3249="",D3249=""),"",D3249*100000+(C3249-DATE(2000,1,1))+ROW()/100000)</f>
        <v/>
      </c>
      <c r="F3249" s="46">
        <f>IF(E3249="","",IF(C3249&gt;WeekEndDate,"",E3249))</f>
        <v/>
      </c>
    </row>
    <row r="3250">
      <c r="A3250" t="inlineStr">
        <is>
          <t>Timeline</t>
        </is>
      </c>
      <c r="B3250" s="46">
        <f>'Timeline'!V215</f>
        <v/>
      </c>
      <c r="C3250" s="84">
        <f>'Timeline'!T215</f>
        <v/>
      </c>
      <c r="D3250" s="46">
        <f>'Timeline'!U215</f>
        <v/>
      </c>
      <c r="E3250" s="46">
        <f>IF(OR(B3250="",C3250="",D3250=""),"",D3250*100000+(C3250-DATE(2000,1,1))+ROW()/100000)</f>
        <v/>
      </c>
      <c r="F3250" s="46">
        <f>IF(E3250="","",IF(C3250&gt;WeekEndDate,"",E3250))</f>
        <v/>
      </c>
    </row>
    <row r="3251">
      <c r="A3251" t="inlineStr">
        <is>
          <t>Timeline</t>
        </is>
      </c>
      <c r="B3251" s="46">
        <f>'Timeline'!V216</f>
        <v/>
      </c>
      <c r="C3251" s="84">
        <f>'Timeline'!T216</f>
        <v/>
      </c>
      <c r="D3251" s="46">
        <f>'Timeline'!U216</f>
        <v/>
      </c>
      <c r="E3251" s="46">
        <f>IF(OR(B3251="",C3251="",D3251=""),"",D3251*100000+(C3251-DATE(2000,1,1))+ROW()/100000)</f>
        <v/>
      </c>
      <c r="F3251" s="46">
        <f>IF(E3251="","",IF(C3251&gt;WeekEndDate,"",E3251))</f>
        <v/>
      </c>
    </row>
    <row r="3252">
      <c r="A3252" t="inlineStr">
        <is>
          <t>Timeline</t>
        </is>
      </c>
      <c r="B3252" s="46">
        <f>'Timeline'!V217</f>
        <v/>
      </c>
      <c r="C3252" s="84">
        <f>'Timeline'!T217</f>
        <v/>
      </c>
      <c r="D3252" s="46">
        <f>'Timeline'!U217</f>
        <v/>
      </c>
      <c r="E3252" s="46">
        <f>IF(OR(B3252="",C3252="",D3252=""),"",D3252*100000+(C3252-DATE(2000,1,1))+ROW()/100000)</f>
        <v/>
      </c>
      <c r="F3252" s="46">
        <f>IF(E3252="","",IF(C3252&gt;WeekEndDate,"",E3252))</f>
        <v/>
      </c>
    </row>
    <row r="3253">
      <c r="A3253" t="inlineStr">
        <is>
          <t>Timeline</t>
        </is>
      </c>
      <c r="B3253" s="46">
        <f>'Timeline'!V218</f>
        <v/>
      </c>
      <c r="C3253" s="84">
        <f>'Timeline'!T218</f>
        <v/>
      </c>
      <c r="D3253" s="46">
        <f>'Timeline'!U218</f>
        <v/>
      </c>
      <c r="E3253" s="46">
        <f>IF(OR(B3253="",C3253="",D3253=""),"",D3253*100000+(C3253-DATE(2000,1,1))+ROW()/100000)</f>
        <v/>
      </c>
      <c r="F3253" s="46">
        <f>IF(E3253="","",IF(C3253&gt;WeekEndDate,"",E3253))</f>
        <v/>
      </c>
    </row>
    <row r="3254">
      <c r="A3254" t="inlineStr">
        <is>
          <t>Timeline</t>
        </is>
      </c>
      <c r="B3254" s="46">
        <f>'Timeline'!V219</f>
        <v/>
      </c>
      <c r="C3254" s="84">
        <f>'Timeline'!T219</f>
        <v/>
      </c>
      <c r="D3254" s="46">
        <f>'Timeline'!U219</f>
        <v/>
      </c>
      <c r="E3254" s="46">
        <f>IF(OR(B3254="",C3254="",D3254=""),"",D3254*100000+(C3254-DATE(2000,1,1))+ROW()/100000)</f>
        <v/>
      </c>
      <c r="F3254" s="46">
        <f>IF(E3254="","",IF(C3254&gt;WeekEndDate,"",E3254))</f>
        <v/>
      </c>
    </row>
    <row r="3255">
      <c r="A3255" t="inlineStr">
        <is>
          <t>Timeline</t>
        </is>
      </c>
      <c r="B3255" s="46">
        <f>'Timeline'!V220</f>
        <v/>
      </c>
      <c r="C3255" s="84">
        <f>'Timeline'!T220</f>
        <v/>
      </c>
      <c r="D3255" s="46">
        <f>'Timeline'!U220</f>
        <v/>
      </c>
      <c r="E3255" s="46">
        <f>IF(OR(B3255="",C3255="",D3255=""),"",D3255*100000+(C3255-DATE(2000,1,1))+ROW()/100000)</f>
        <v/>
      </c>
      <c r="F3255" s="46">
        <f>IF(E3255="","",IF(C3255&gt;WeekEndDate,"",E3255))</f>
        <v/>
      </c>
    </row>
    <row r="3256">
      <c r="A3256" t="inlineStr">
        <is>
          <t>Timeline</t>
        </is>
      </c>
      <c r="B3256" s="46">
        <f>'Timeline'!V221</f>
        <v/>
      </c>
      <c r="C3256" s="84">
        <f>'Timeline'!T221</f>
        <v/>
      </c>
      <c r="D3256" s="46">
        <f>'Timeline'!U221</f>
        <v/>
      </c>
      <c r="E3256" s="46">
        <f>IF(OR(B3256="",C3256="",D3256=""),"",D3256*100000+(C3256-DATE(2000,1,1))+ROW()/100000)</f>
        <v/>
      </c>
      <c r="F3256" s="46">
        <f>IF(E3256="","",IF(C3256&gt;WeekEndDate,"",E3256))</f>
        <v/>
      </c>
    </row>
    <row r="3257">
      <c r="A3257" t="inlineStr">
        <is>
          <t>Timeline</t>
        </is>
      </c>
      <c r="B3257" s="46">
        <f>'Timeline'!V222</f>
        <v/>
      </c>
      <c r="C3257" s="84">
        <f>'Timeline'!T222</f>
        <v/>
      </c>
      <c r="D3257" s="46">
        <f>'Timeline'!U222</f>
        <v/>
      </c>
      <c r="E3257" s="46">
        <f>IF(OR(B3257="",C3257="",D3257=""),"",D3257*100000+(C3257-DATE(2000,1,1))+ROW()/100000)</f>
        <v/>
      </c>
      <c r="F3257" s="46">
        <f>IF(E3257="","",IF(C3257&gt;WeekEndDate,"",E3257))</f>
        <v/>
      </c>
    </row>
    <row r="3258">
      <c r="A3258" t="inlineStr">
        <is>
          <t>Timeline</t>
        </is>
      </c>
      <c r="B3258" s="46">
        <f>'Timeline'!V223</f>
        <v/>
      </c>
      <c r="C3258" s="84">
        <f>'Timeline'!T223</f>
        <v/>
      </c>
      <c r="D3258" s="46">
        <f>'Timeline'!U223</f>
        <v/>
      </c>
      <c r="E3258" s="46">
        <f>IF(OR(B3258="",C3258="",D3258=""),"",D3258*100000+(C3258-DATE(2000,1,1))+ROW()/100000)</f>
        <v/>
      </c>
      <c r="F3258" s="46">
        <f>IF(E3258="","",IF(C3258&gt;WeekEndDate,"",E3258))</f>
        <v/>
      </c>
    </row>
    <row r="3259">
      <c r="A3259" t="inlineStr">
        <is>
          <t>Timeline</t>
        </is>
      </c>
      <c r="B3259" s="46">
        <f>'Timeline'!V224</f>
        <v/>
      </c>
      <c r="C3259" s="84">
        <f>'Timeline'!T224</f>
        <v/>
      </c>
      <c r="D3259" s="46">
        <f>'Timeline'!U224</f>
        <v/>
      </c>
      <c r="E3259" s="46">
        <f>IF(OR(B3259="",C3259="",D3259=""),"",D3259*100000+(C3259-DATE(2000,1,1))+ROW()/100000)</f>
        <v/>
      </c>
      <c r="F3259" s="46">
        <f>IF(E3259="","",IF(C3259&gt;WeekEndDate,"",E3259))</f>
        <v/>
      </c>
    </row>
    <row r="3260">
      <c r="A3260" t="inlineStr">
        <is>
          <t>Timeline</t>
        </is>
      </c>
      <c r="B3260" s="46">
        <f>'Timeline'!V225</f>
        <v/>
      </c>
      <c r="C3260" s="84">
        <f>'Timeline'!T225</f>
        <v/>
      </c>
      <c r="D3260" s="46">
        <f>'Timeline'!U225</f>
        <v/>
      </c>
      <c r="E3260" s="46">
        <f>IF(OR(B3260="",C3260="",D3260=""),"",D3260*100000+(C3260-DATE(2000,1,1))+ROW()/100000)</f>
        <v/>
      </c>
      <c r="F3260" s="46">
        <f>IF(E3260="","",IF(C3260&gt;WeekEndDate,"",E3260))</f>
        <v/>
      </c>
    </row>
    <row r="3261">
      <c r="A3261" t="inlineStr">
        <is>
          <t>Timeline</t>
        </is>
      </c>
      <c r="B3261" s="46">
        <f>'Timeline'!V226</f>
        <v/>
      </c>
      <c r="C3261" s="84">
        <f>'Timeline'!T226</f>
        <v/>
      </c>
      <c r="D3261" s="46">
        <f>'Timeline'!U226</f>
        <v/>
      </c>
      <c r="E3261" s="46">
        <f>IF(OR(B3261="",C3261="",D3261=""),"",D3261*100000+(C3261-DATE(2000,1,1))+ROW()/100000)</f>
        <v/>
      </c>
      <c r="F3261" s="46">
        <f>IF(E3261="","",IF(C3261&gt;WeekEndDate,"",E3261))</f>
        <v/>
      </c>
    </row>
    <row r="3262">
      <c r="A3262" t="inlineStr">
        <is>
          <t>Timeline</t>
        </is>
      </c>
      <c r="B3262" s="46">
        <f>'Timeline'!V227</f>
        <v/>
      </c>
      <c r="C3262" s="84">
        <f>'Timeline'!T227</f>
        <v/>
      </c>
      <c r="D3262" s="46">
        <f>'Timeline'!U227</f>
        <v/>
      </c>
      <c r="E3262" s="46">
        <f>IF(OR(B3262="",C3262="",D3262=""),"",D3262*100000+(C3262-DATE(2000,1,1))+ROW()/100000)</f>
        <v/>
      </c>
      <c r="F3262" s="46">
        <f>IF(E3262="","",IF(C3262&gt;WeekEndDate,"",E3262))</f>
        <v/>
      </c>
    </row>
    <row r="3263">
      <c r="A3263" t="inlineStr">
        <is>
          <t>Timeline</t>
        </is>
      </c>
      <c r="B3263" s="46">
        <f>'Timeline'!V228</f>
        <v/>
      </c>
      <c r="C3263" s="84">
        <f>'Timeline'!T228</f>
        <v/>
      </c>
      <c r="D3263" s="46">
        <f>'Timeline'!U228</f>
        <v/>
      </c>
      <c r="E3263" s="46">
        <f>IF(OR(B3263="",C3263="",D3263=""),"",D3263*100000+(C3263-DATE(2000,1,1))+ROW()/100000)</f>
        <v/>
      </c>
      <c r="F3263" s="46">
        <f>IF(E3263="","",IF(C3263&gt;WeekEndDate,"",E3263))</f>
        <v/>
      </c>
    </row>
    <row r="3264">
      <c r="A3264" t="inlineStr">
        <is>
          <t>Timeline</t>
        </is>
      </c>
      <c r="B3264" s="46">
        <f>'Timeline'!V229</f>
        <v/>
      </c>
      <c r="C3264" s="84">
        <f>'Timeline'!T229</f>
        <v/>
      </c>
      <c r="D3264" s="46">
        <f>'Timeline'!U229</f>
        <v/>
      </c>
      <c r="E3264" s="46">
        <f>IF(OR(B3264="",C3264="",D3264=""),"",D3264*100000+(C3264-DATE(2000,1,1))+ROW()/100000)</f>
        <v/>
      </c>
      <c r="F3264" s="46">
        <f>IF(E3264="","",IF(C3264&gt;WeekEndDate,"",E3264))</f>
        <v/>
      </c>
    </row>
    <row r="3265">
      <c r="A3265" t="inlineStr">
        <is>
          <t>Timeline</t>
        </is>
      </c>
      <c r="B3265" s="46">
        <f>'Timeline'!V230</f>
        <v/>
      </c>
      <c r="C3265" s="84">
        <f>'Timeline'!T230</f>
        <v/>
      </c>
      <c r="D3265" s="46">
        <f>'Timeline'!U230</f>
        <v/>
      </c>
      <c r="E3265" s="46">
        <f>IF(OR(B3265="",C3265="",D3265=""),"",D3265*100000+(C3265-DATE(2000,1,1))+ROW()/100000)</f>
        <v/>
      </c>
      <c r="F3265" s="46">
        <f>IF(E3265="","",IF(C3265&gt;WeekEndDate,"",E3265))</f>
        <v/>
      </c>
    </row>
    <row r="3266">
      <c r="A3266" t="inlineStr">
        <is>
          <t>Timeline</t>
        </is>
      </c>
      <c r="B3266" s="46">
        <f>'Timeline'!V231</f>
        <v/>
      </c>
      <c r="C3266" s="84">
        <f>'Timeline'!T231</f>
        <v/>
      </c>
      <c r="D3266" s="46">
        <f>'Timeline'!U231</f>
        <v/>
      </c>
      <c r="E3266" s="46">
        <f>IF(OR(B3266="",C3266="",D3266=""),"",D3266*100000+(C3266-DATE(2000,1,1))+ROW()/100000)</f>
        <v/>
      </c>
      <c r="F3266" s="46">
        <f>IF(E3266="","",IF(C3266&gt;WeekEndDate,"",E3266))</f>
        <v/>
      </c>
    </row>
    <row r="3267">
      <c r="A3267" t="inlineStr">
        <is>
          <t>Timeline</t>
        </is>
      </c>
      <c r="B3267" s="46">
        <f>'Timeline'!V232</f>
        <v/>
      </c>
      <c r="C3267" s="84">
        <f>'Timeline'!T232</f>
        <v/>
      </c>
      <c r="D3267" s="46">
        <f>'Timeline'!U232</f>
        <v/>
      </c>
      <c r="E3267" s="46">
        <f>IF(OR(B3267="",C3267="",D3267=""),"",D3267*100000+(C3267-DATE(2000,1,1))+ROW()/100000)</f>
        <v/>
      </c>
      <c r="F3267" s="46">
        <f>IF(E3267="","",IF(C3267&gt;WeekEndDate,"",E3267))</f>
        <v/>
      </c>
    </row>
    <row r="3268">
      <c r="A3268" t="inlineStr">
        <is>
          <t>Timeline</t>
        </is>
      </c>
      <c r="B3268" s="46">
        <f>'Timeline'!V233</f>
        <v/>
      </c>
      <c r="C3268" s="84">
        <f>'Timeline'!T233</f>
        <v/>
      </c>
      <c r="D3268" s="46">
        <f>'Timeline'!U233</f>
        <v/>
      </c>
      <c r="E3268" s="46">
        <f>IF(OR(B3268="",C3268="",D3268=""),"",D3268*100000+(C3268-DATE(2000,1,1))+ROW()/100000)</f>
        <v/>
      </c>
      <c r="F3268" s="46">
        <f>IF(E3268="","",IF(C3268&gt;WeekEndDate,"",E3268))</f>
        <v/>
      </c>
    </row>
    <row r="3269">
      <c r="A3269" t="inlineStr">
        <is>
          <t>Timeline</t>
        </is>
      </c>
      <c r="B3269" s="46">
        <f>'Timeline'!V234</f>
        <v/>
      </c>
      <c r="C3269" s="84">
        <f>'Timeline'!T234</f>
        <v/>
      </c>
      <c r="D3269" s="46">
        <f>'Timeline'!U234</f>
        <v/>
      </c>
      <c r="E3269" s="46">
        <f>IF(OR(B3269="",C3269="",D3269=""),"",D3269*100000+(C3269-DATE(2000,1,1))+ROW()/100000)</f>
        <v/>
      </c>
      <c r="F3269" s="46">
        <f>IF(E3269="","",IF(C3269&gt;WeekEndDate,"",E3269))</f>
        <v/>
      </c>
    </row>
    <row r="3270">
      <c r="A3270" t="inlineStr">
        <is>
          <t>Timeline</t>
        </is>
      </c>
      <c r="B3270" s="46">
        <f>'Timeline'!V235</f>
        <v/>
      </c>
      <c r="C3270" s="84">
        <f>'Timeline'!T235</f>
        <v/>
      </c>
      <c r="D3270" s="46">
        <f>'Timeline'!U235</f>
        <v/>
      </c>
      <c r="E3270" s="46">
        <f>IF(OR(B3270="",C3270="",D3270=""),"",D3270*100000+(C3270-DATE(2000,1,1))+ROW()/100000)</f>
        <v/>
      </c>
      <c r="F3270" s="46">
        <f>IF(E3270="","",IF(C3270&gt;WeekEndDate,"",E3270))</f>
        <v/>
      </c>
    </row>
    <row r="3271">
      <c r="A3271" t="inlineStr">
        <is>
          <t>Timeline</t>
        </is>
      </c>
      <c r="B3271" s="46">
        <f>'Timeline'!V236</f>
        <v/>
      </c>
      <c r="C3271" s="84">
        <f>'Timeline'!T236</f>
        <v/>
      </c>
      <c r="D3271" s="46">
        <f>'Timeline'!U236</f>
        <v/>
      </c>
      <c r="E3271" s="46">
        <f>IF(OR(B3271="",C3271="",D3271=""),"",D3271*100000+(C3271-DATE(2000,1,1))+ROW()/100000)</f>
        <v/>
      </c>
      <c r="F3271" s="46">
        <f>IF(E3271="","",IF(C3271&gt;WeekEndDate,"",E3271))</f>
        <v/>
      </c>
    </row>
    <row r="3272">
      <c r="A3272" t="inlineStr">
        <is>
          <t>Timeline</t>
        </is>
      </c>
      <c r="B3272" s="46">
        <f>'Timeline'!V237</f>
        <v/>
      </c>
      <c r="C3272" s="84">
        <f>'Timeline'!T237</f>
        <v/>
      </c>
      <c r="D3272" s="46">
        <f>'Timeline'!U237</f>
        <v/>
      </c>
      <c r="E3272" s="46">
        <f>IF(OR(B3272="",C3272="",D3272=""),"",D3272*100000+(C3272-DATE(2000,1,1))+ROW()/100000)</f>
        <v/>
      </c>
      <c r="F3272" s="46">
        <f>IF(E3272="","",IF(C3272&gt;WeekEndDate,"",E3272))</f>
        <v/>
      </c>
    </row>
    <row r="3273">
      <c r="A3273" t="inlineStr">
        <is>
          <t>Timeline</t>
        </is>
      </c>
      <c r="B3273" s="46">
        <f>'Timeline'!V238</f>
        <v/>
      </c>
      <c r="C3273" s="84">
        <f>'Timeline'!T238</f>
        <v/>
      </c>
      <c r="D3273" s="46">
        <f>'Timeline'!U238</f>
        <v/>
      </c>
      <c r="E3273" s="46">
        <f>IF(OR(B3273="",C3273="",D3273=""),"",D3273*100000+(C3273-DATE(2000,1,1))+ROW()/100000)</f>
        <v/>
      </c>
      <c r="F3273" s="46">
        <f>IF(E3273="","",IF(C3273&gt;WeekEndDate,"",E3273))</f>
        <v/>
      </c>
    </row>
    <row r="3274">
      <c r="A3274" t="inlineStr">
        <is>
          <t>Timeline</t>
        </is>
      </c>
      <c r="B3274" s="46">
        <f>'Timeline'!V239</f>
        <v/>
      </c>
      <c r="C3274" s="84">
        <f>'Timeline'!T239</f>
        <v/>
      </c>
      <c r="D3274" s="46">
        <f>'Timeline'!U239</f>
        <v/>
      </c>
      <c r="E3274" s="46">
        <f>IF(OR(B3274="",C3274="",D3274=""),"",D3274*100000+(C3274-DATE(2000,1,1))+ROW()/100000)</f>
        <v/>
      </c>
      <c r="F3274" s="46">
        <f>IF(E3274="","",IF(C3274&gt;WeekEndDate,"",E3274))</f>
        <v/>
      </c>
    </row>
    <row r="3275">
      <c r="A3275" t="inlineStr">
        <is>
          <t>Timeline</t>
        </is>
      </c>
      <c r="B3275" s="46">
        <f>'Timeline'!V240</f>
        <v/>
      </c>
      <c r="C3275" s="84">
        <f>'Timeline'!T240</f>
        <v/>
      </c>
      <c r="D3275" s="46">
        <f>'Timeline'!U240</f>
        <v/>
      </c>
      <c r="E3275" s="46">
        <f>IF(OR(B3275="",C3275="",D3275=""),"",D3275*100000+(C3275-DATE(2000,1,1))+ROW()/100000)</f>
        <v/>
      </c>
      <c r="F3275" s="46">
        <f>IF(E3275="","",IF(C3275&gt;WeekEndDate,"",E3275))</f>
        <v/>
      </c>
    </row>
    <row r="3276">
      <c r="A3276" t="inlineStr">
        <is>
          <t>Timeline</t>
        </is>
      </c>
      <c r="B3276" s="46">
        <f>'Timeline'!V241</f>
        <v/>
      </c>
      <c r="C3276" s="84">
        <f>'Timeline'!T241</f>
        <v/>
      </c>
      <c r="D3276" s="46">
        <f>'Timeline'!U241</f>
        <v/>
      </c>
      <c r="E3276" s="46">
        <f>IF(OR(B3276="",C3276="",D3276=""),"",D3276*100000+(C3276-DATE(2000,1,1))+ROW()/100000)</f>
        <v/>
      </c>
      <c r="F3276" s="46">
        <f>IF(E3276="","",IF(C3276&gt;WeekEndDate,"",E3276))</f>
        <v/>
      </c>
    </row>
    <row r="3277">
      <c r="A3277" t="inlineStr">
        <is>
          <t>Timeline</t>
        </is>
      </c>
      <c r="B3277" s="46">
        <f>'Timeline'!V242</f>
        <v/>
      </c>
      <c r="C3277" s="84">
        <f>'Timeline'!T242</f>
        <v/>
      </c>
      <c r="D3277" s="46">
        <f>'Timeline'!U242</f>
        <v/>
      </c>
      <c r="E3277" s="46">
        <f>IF(OR(B3277="",C3277="",D3277=""),"",D3277*100000+(C3277-DATE(2000,1,1))+ROW()/100000)</f>
        <v/>
      </c>
      <c r="F3277" s="46">
        <f>IF(E3277="","",IF(C3277&gt;WeekEndDate,"",E3277))</f>
        <v/>
      </c>
    </row>
    <row r="3278">
      <c r="A3278" t="inlineStr">
        <is>
          <t>Timeline</t>
        </is>
      </c>
      <c r="B3278" s="46">
        <f>'Timeline'!V243</f>
        <v/>
      </c>
      <c r="C3278" s="84">
        <f>'Timeline'!T243</f>
        <v/>
      </c>
      <c r="D3278" s="46">
        <f>'Timeline'!U243</f>
        <v/>
      </c>
      <c r="E3278" s="46">
        <f>IF(OR(B3278="",C3278="",D3278=""),"",D3278*100000+(C3278-DATE(2000,1,1))+ROW()/100000)</f>
        <v/>
      </c>
      <c r="F3278" s="46">
        <f>IF(E3278="","",IF(C3278&gt;WeekEndDate,"",E3278))</f>
        <v/>
      </c>
    </row>
    <row r="3279">
      <c r="A3279" t="inlineStr">
        <is>
          <t>Timeline</t>
        </is>
      </c>
      <c r="B3279" s="46">
        <f>'Timeline'!V244</f>
        <v/>
      </c>
      <c r="C3279" s="84">
        <f>'Timeline'!T244</f>
        <v/>
      </c>
      <c r="D3279" s="46">
        <f>'Timeline'!U244</f>
        <v/>
      </c>
      <c r="E3279" s="46">
        <f>IF(OR(B3279="",C3279="",D3279=""),"",D3279*100000+(C3279-DATE(2000,1,1))+ROW()/100000)</f>
        <v/>
      </c>
      <c r="F3279" s="46">
        <f>IF(E3279="","",IF(C3279&gt;WeekEndDate,"",E3279))</f>
        <v/>
      </c>
    </row>
    <row r="3280">
      <c r="A3280" t="inlineStr">
        <is>
          <t>Timeline</t>
        </is>
      </c>
      <c r="B3280" s="46">
        <f>'Timeline'!V245</f>
        <v/>
      </c>
      <c r="C3280" s="84">
        <f>'Timeline'!T245</f>
        <v/>
      </c>
      <c r="D3280" s="46">
        <f>'Timeline'!U245</f>
        <v/>
      </c>
      <c r="E3280" s="46">
        <f>IF(OR(B3280="",C3280="",D3280=""),"",D3280*100000+(C3280-DATE(2000,1,1))+ROW()/100000)</f>
        <v/>
      </c>
      <c r="F3280" s="46">
        <f>IF(E3280="","",IF(C3280&gt;WeekEndDate,"",E3280))</f>
        <v/>
      </c>
    </row>
    <row r="3281">
      <c r="A3281" t="inlineStr">
        <is>
          <t>Timeline</t>
        </is>
      </c>
      <c r="B3281" s="46">
        <f>'Timeline'!V246</f>
        <v/>
      </c>
      <c r="C3281" s="84">
        <f>'Timeline'!T246</f>
        <v/>
      </c>
      <c r="D3281" s="46">
        <f>'Timeline'!U246</f>
        <v/>
      </c>
      <c r="E3281" s="46">
        <f>IF(OR(B3281="",C3281="",D3281=""),"",D3281*100000+(C3281-DATE(2000,1,1))+ROW()/100000)</f>
        <v/>
      </c>
      <c r="F3281" s="46">
        <f>IF(E3281="","",IF(C3281&gt;WeekEndDate,"",E3281))</f>
        <v/>
      </c>
    </row>
    <row r="3282">
      <c r="A3282" t="inlineStr">
        <is>
          <t>Timeline</t>
        </is>
      </c>
      <c r="B3282" s="46">
        <f>'Timeline'!V247</f>
        <v/>
      </c>
      <c r="C3282" s="84">
        <f>'Timeline'!T247</f>
        <v/>
      </c>
      <c r="D3282" s="46">
        <f>'Timeline'!U247</f>
        <v/>
      </c>
      <c r="E3282" s="46">
        <f>IF(OR(B3282="",C3282="",D3282=""),"",D3282*100000+(C3282-DATE(2000,1,1))+ROW()/100000)</f>
        <v/>
      </c>
      <c r="F3282" s="46">
        <f>IF(E3282="","",IF(C3282&gt;WeekEndDate,"",E3282))</f>
        <v/>
      </c>
    </row>
    <row r="3283">
      <c r="A3283" t="inlineStr">
        <is>
          <t>Timeline</t>
        </is>
      </c>
      <c r="B3283" s="46">
        <f>'Timeline'!V248</f>
        <v/>
      </c>
      <c r="C3283" s="84">
        <f>'Timeline'!T248</f>
        <v/>
      </c>
      <c r="D3283" s="46">
        <f>'Timeline'!U248</f>
        <v/>
      </c>
      <c r="E3283" s="46">
        <f>IF(OR(B3283="",C3283="",D3283=""),"",D3283*100000+(C3283-DATE(2000,1,1))+ROW()/100000)</f>
        <v/>
      </c>
      <c r="F3283" s="46">
        <f>IF(E3283="","",IF(C3283&gt;WeekEndDate,"",E3283))</f>
        <v/>
      </c>
    </row>
    <row r="3284">
      <c r="A3284" t="inlineStr">
        <is>
          <t>Timeline</t>
        </is>
      </c>
      <c r="B3284" s="46">
        <f>'Timeline'!V249</f>
        <v/>
      </c>
      <c r="C3284" s="84">
        <f>'Timeline'!T249</f>
        <v/>
      </c>
      <c r="D3284" s="46">
        <f>'Timeline'!U249</f>
        <v/>
      </c>
      <c r="E3284" s="46">
        <f>IF(OR(B3284="",C3284="",D3284=""),"",D3284*100000+(C3284-DATE(2000,1,1))+ROW()/100000)</f>
        <v/>
      </c>
      <c r="F3284" s="46">
        <f>IF(E3284="","",IF(C3284&gt;WeekEndDate,"",E3284))</f>
        <v/>
      </c>
    </row>
    <row r="3285">
      <c r="A3285" t="inlineStr">
        <is>
          <t>Timeline</t>
        </is>
      </c>
      <c r="B3285" s="46">
        <f>'Timeline'!V250</f>
        <v/>
      </c>
      <c r="C3285" s="84">
        <f>'Timeline'!T250</f>
        <v/>
      </c>
      <c r="D3285" s="46">
        <f>'Timeline'!U250</f>
        <v/>
      </c>
      <c r="E3285" s="46">
        <f>IF(OR(B3285="",C3285="",D3285=""),"",D3285*100000+(C3285-DATE(2000,1,1))+ROW()/100000)</f>
        <v/>
      </c>
      <c r="F3285" s="46">
        <f>IF(E3285="","",IF(C3285&gt;WeekEndDate,"",E3285))</f>
        <v/>
      </c>
    </row>
    <row r="3286">
      <c r="A3286" t="inlineStr">
        <is>
          <t>Timeline</t>
        </is>
      </c>
      <c r="B3286" s="46">
        <f>'Timeline'!V251</f>
        <v/>
      </c>
      <c r="C3286" s="84">
        <f>'Timeline'!T251</f>
        <v/>
      </c>
      <c r="D3286" s="46">
        <f>'Timeline'!U251</f>
        <v/>
      </c>
      <c r="E3286" s="46">
        <f>IF(OR(B3286="",C3286="",D3286=""),"",D3286*100000+(C3286-DATE(2000,1,1))+ROW()/100000)</f>
        <v/>
      </c>
      <c r="F3286" s="46">
        <f>IF(E3286="","",IF(C3286&gt;WeekEndDate,"",E3286))</f>
        <v/>
      </c>
    </row>
    <row r="3287">
      <c r="A3287" t="inlineStr">
        <is>
          <t>Timeline</t>
        </is>
      </c>
      <c r="B3287" s="46">
        <f>'Timeline'!V252</f>
        <v/>
      </c>
      <c r="C3287" s="84">
        <f>'Timeline'!T252</f>
        <v/>
      </c>
      <c r="D3287" s="46">
        <f>'Timeline'!U252</f>
        <v/>
      </c>
      <c r="E3287" s="46">
        <f>IF(OR(B3287="",C3287="",D3287=""),"",D3287*100000+(C3287-DATE(2000,1,1))+ROW()/100000)</f>
        <v/>
      </c>
      <c r="F3287" s="46">
        <f>IF(E3287="","",IF(C3287&gt;WeekEndDate,"",E3287))</f>
        <v/>
      </c>
    </row>
    <row r="3288">
      <c r="A3288" t="inlineStr">
        <is>
          <t>Timeline</t>
        </is>
      </c>
      <c r="B3288" s="46">
        <f>'Timeline'!V253</f>
        <v/>
      </c>
      <c r="C3288" s="84">
        <f>'Timeline'!T253</f>
        <v/>
      </c>
      <c r="D3288" s="46">
        <f>'Timeline'!U253</f>
        <v/>
      </c>
      <c r="E3288" s="46">
        <f>IF(OR(B3288="",C3288="",D3288=""),"",D3288*100000+(C3288-DATE(2000,1,1))+ROW()/100000)</f>
        <v/>
      </c>
      <c r="F3288" s="46">
        <f>IF(E3288="","",IF(C3288&gt;WeekEndDate,"",E3288))</f>
        <v/>
      </c>
    </row>
    <row r="3289">
      <c r="A3289" t="inlineStr">
        <is>
          <t>Timeline</t>
        </is>
      </c>
      <c r="B3289" s="46">
        <f>'Timeline'!V254</f>
        <v/>
      </c>
      <c r="C3289" s="84">
        <f>'Timeline'!T254</f>
        <v/>
      </c>
      <c r="D3289" s="46">
        <f>'Timeline'!U254</f>
        <v/>
      </c>
      <c r="E3289" s="46">
        <f>IF(OR(B3289="",C3289="",D3289=""),"",D3289*100000+(C3289-DATE(2000,1,1))+ROW()/100000)</f>
        <v/>
      </c>
      <c r="F3289" s="46">
        <f>IF(E3289="","",IF(C3289&gt;WeekEndDate,"",E3289))</f>
        <v/>
      </c>
    </row>
    <row r="3290">
      <c r="A3290" t="inlineStr">
        <is>
          <t>Timeline</t>
        </is>
      </c>
      <c r="B3290" s="46">
        <f>'Timeline'!V255</f>
        <v/>
      </c>
      <c r="C3290" s="84">
        <f>'Timeline'!T255</f>
        <v/>
      </c>
      <c r="D3290" s="46">
        <f>'Timeline'!U255</f>
        <v/>
      </c>
      <c r="E3290" s="46">
        <f>IF(OR(B3290="",C3290="",D3290=""),"",D3290*100000+(C3290-DATE(2000,1,1))+ROW()/100000)</f>
        <v/>
      </c>
      <c r="F3290" s="46">
        <f>IF(E3290="","",IF(C3290&gt;WeekEndDate,"",E3290))</f>
        <v/>
      </c>
    </row>
    <row r="3291">
      <c r="A3291" t="inlineStr">
        <is>
          <t>Timeline</t>
        </is>
      </c>
      <c r="B3291" s="46">
        <f>'Timeline'!V256</f>
        <v/>
      </c>
      <c r="C3291" s="84">
        <f>'Timeline'!T256</f>
        <v/>
      </c>
      <c r="D3291" s="46">
        <f>'Timeline'!U256</f>
        <v/>
      </c>
      <c r="E3291" s="46">
        <f>IF(OR(B3291="",C3291="",D3291=""),"",D3291*100000+(C3291-DATE(2000,1,1))+ROW()/100000)</f>
        <v/>
      </c>
      <c r="F3291" s="46">
        <f>IF(E3291="","",IF(C3291&gt;WeekEndDate,"",E3291))</f>
        <v/>
      </c>
    </row>
    <row r="3292">
      <c r="A3292" t="inlineStr">
        <is>
          <t>Timeline</t>
        </is>
      </c>
      <c r="B3292" s="46">
        <f>'Timeline'!V257</f>
        <v/>
      </c>
      <c r="C3292" s="84">
        <f>'Timeline'!T257</f>
        <v/>
      </c>
      <c r="D3292" s="46">
        <f>'Timeline'!U257</f>
        <v/>
      </c>
      <c r="E3292" s="46">
        <f>IF(OR(B3292="",C3292="",D3292=""),"",D3292*100000+(C3292-DATE(2000,1,1))+ROW()/100000)</f>
        <v/>
      </c>
      <c r="F3292" s="46">
        <f>IF(E3292="","",IF(C3292&gt;WeekEndDate,"",E3292))</f>
        <v/>
      </c>
    </row>
    <row r="3293">
      <c r="A3293" t="inlineStr">
        <is>
          <t>Timeline</t>
        </is>
      </c>
      <c r="B3293" s="46">
        <f>'Timeline'!V258</f>
        <v/>
      </c>
      <c r="C3293" s="84">
        <f>'Timeline'!T258</f>
        <v/>
      </c>
      <c r="D3293" s="46">
        <f>'Timeline'!U258</f>
        <v/>
      </c>
      <c r="E3293" s="46">
        <f>IF(OR(B3293="",C3293="",D3293=""),"",D3293*100000+(C3293-DATE(2000,1,1))+ROW()/100000)</f>
        <v/>
      </c>
      <c r="F3293" s="46">
        <f>IF(E3293="","",IF(C3293&gt;WeekEndDate,"",E3293))</f>
        <v/>
      </c>
    </row>
    <row r="3294">
      <c r="A3294" t="inlineStr">
        <is>
          <t>Timeline</t>
        </is>
      </c>
      <c r="B3294" s="46">
        <f>'Timeline'!V259</f>
        <v/>
      </c>
      <c r="C3294" s="84">
        <f>'Timeline'!T259</f>
        <v/>
      </c>
      <c r="D3294" s="46">
        <f>'Timeline'!U259</f>
        <v/>
      </c>
      <c r="E3294" s="46">
        <f>IF(OR(B3294="",C3294="",D3294=""),"",D3294*100000+(C3294-DATE(2000,1,1))+ROW()/100000)</f>
        <v/>
      </c>
      <c r="F3294" s="46">
        <f>IF(E3294="","",IF(C3294&gt;WeekEndDate,"",E3294))</f>
        <v/>
      </c>
    </row>
    <row r="3295">
      <c r="A3295" t="inlineStr">
        <is>
          <t>Timeline</t>
        </is>
      </c>
      <c r="B3295" s="46">
        <f>'Timeline'!V260</f>
        <v/>
      </c>
      <c r="C3295" s="84">
        <f>'Timeline'!T260</f>
        <v/>
      </c>
      <c r="D3295" s="46">
        <f>'Timeline'!U260</f>
        <v/>
      </c>
      <c r="E3295" s="46">
        <f>IF(OR(B3295="",C3295="",D3295=""),"",D3295*100000+(C3295-DATE(2000,1,1))+ROW()/100000)</f>
        <v/>
      </c>
      <c r="F3295" s="46">
        <f>IF(E3295="","",IF(C3295&gt;WeekEndDate,"",E3295))</f>
        <v/>
      </c>
    </row>
    <row r="3296">
      <c r="A3296" t="inlineStr">
        <is>
          <t>Timeline</t>
        </is>
      </c>
      <c r="B3296" s="46">
        <f>'Timeline'!V261</f>
        <v/>
      </c>
      <c r="C3296" s="84">
        <f>'Timeline'!T261</f>
        <v/>
      </c>
      <c r="D3296" s="46">
        <f>'Timeline'!U261</f>
        <v/>
      </c>
      <c r="E3296" s="46">
        <f>IF(OR(B3296="",C3296="",D3296=""),"",D3296*100000+(C3296-DATE(2000,1,1))+ROW()/100000)</f>
        <v/>
      </c>
      <c r="F3296" s="46">
        <f>IF(E3296="","",IF(C3296&gt;WeekEndDate,"",E3296))</f>
        <v/>
      </c>
    </row>
    <row r="3297">
      <c r="A3297" t="inlineStr">
        <is>
          <t>Timeline</t>
        </is>
      </c>
      <c r="B3297" s="46">
        <f>'Timeline'!V262</f>
        <v/>
      </c>
      <c r="C3297" s="84">
        <f>'Timeline'!T262</f>
        <v/>
      </c>
      <c r="D3297" s="46">
        <f>'Timeline'!U262</f>
        <v/>
      </c>
      <c r="E3297" s="46">
        <f>IF(OR(B3297="",C3297="",D3297=""),"",D3297*100000+(C3297-DATE(2000,1,1))+ROW()/100000)</f>
        <v/>
      </c>
      <c r="F3297" s="46">
        <f>IF(E3297="","",IF(C3297&gt;WeekEndDate,"",E3297))</f>
        <v/>
      </c>
    </row>
    <row r="3298">
      <c r="A3298" t="inlineStr">
        <is>
          <t>Timeline</t>
        </is>
      </c>
      <c r="B3298" s="46">
        <f>'Timeline'!V263</f>
        <v/>
      </c>
      <c r="C3298" s="84">
        <f>'Timeline'!T263</f>
        <v/>
      </c>
      <c r="D3298" s="46">
        <f>'Timeline'!U263</f>
        <v/>
      </c>
      <c r="E3298" s="46">
        <f>IF(OR(B3298="",C3298="",D3298=""),"",D3298*100000+(C3298-DATE(2000,1,1))+ROW()/100000)</f>
        <v/>
      </c>
      <c r="F3298" s="46">
        <f>IF(E3298="","",IF(C3298&gt;WeekEndDate,"",E3298))</f>
        <v/>
      </c>
    </row>
    <row r="3299">
      <c r="A3299" t="inlineStr">
        <is>
          <t>Timeline</t>
        </is>
      </c>
      <c r="B3299" s="46">
        <f>'Timeline'!V264</f>
        <v/>
      </c>
      <c r="C3299" s="84">
        <f>'Timeline'!T264</f>
        <v/>
      </c>
      <c r="D3299" s="46">
        <f>'Timeline'!U264</f>
        <v/>
      </c>
      <c r="E3299" s="46">
        <f>IF(OR(B3299="",C3299="",D3299=""),"",D3299*100000+(C3299-DATE(2000,1,1))+ROW()/100000)</f>
        <v/>
      </c>
      <c r="F3299" s="46">
        <f>IF(E3299="","",IF(C3299&gt;WeekEndDate,"",E3299))</f>
        <v/>
      </c>
    </row>
    <row r="3300">
      <c r="A3300" t="inlineStr">
        <is>
          <t>Timeline</t>
        </is>
      </c>
      <c r="B3300" s="46">
        <f>'Timeline'!V265</f>
        <v/>
      </c>
      <c r="C3300" s="84">
        <f>'Timeline'!T265</f>
        <v/>
      </c>
      <c r="D3300" s="46">
        <f>'Timeline'!U265</f>
        <v/>
      </c>
      <c r="E3300" s="46">
        <f>IF(OR(B3300="",C3300="",D3300=""),"",D3300*100000+(C3300-DATE(2000,1,1))+ROW()/100000)</f>
        <v/>
      </c>
      <c r="F3300" s="46">
        <f>IF(E3300="","",IF(C3300&gt;WeekEndDate,"",E3300))</f>
        <v/>
      </c>
    </row>
    <row r="3301">
      <c r="A3301" t="inlineStr">
        <is>
          <t>Timeline</t>
        </is>
      </c>
      <c r="B3301" s="46">
        <f>'Timeline'!V266</f>
        <v/>
      </c>
      <c r="C3301" s="84">
        <f>'Timeline'!T266</f>
        <v/>
      </c>
      <c r="D3301" s="46">
        <f>'Timeline'!U266</f>
        <v/>
      </c>
      <c r="E3301" s="46">
        <f>IF(OR(B3301="",C3301="",D3301=""),"",D3301*100000+(C3301-DATE(2000,1,1))+ROW()/100000)</f>
        <v/>
      </c>
      <c r="F3301" s="46">
        <f>IF(E3301="","",IF(C3301&gt;WeekEndDate,"",E3301))</f>
        <v/>
      </c>
    </row>
    <row r="3302">
      <c r="A3302" t="inlineStr">
        <is>
          <t>Timeline</t>
        </is>
      </c>
      <c r="B3302" s="46">
        <f>'Timeline'!V267</f>
        <v/>
      </c>
      <c r="C3302" s="84">
        <f>'Timeline'!T267</f>
        <v/>
      </c>
      <c r="D3302" s="46">
        <f>'Timeline'!U267</f>
        <v/>
      </c>
      <c r="E3302" s="46">
        <f>IF(OR(B3302="",C3302="",D3302=""),"",D3302*100000+(C3302-DATE(2000,1,1))+ROW()/100000)</f>
        <v/>
      </c>
      <c r="F3302" s="46">
        <f>IF(E3302="","",IF(C3302&gt;WeekEndDate,"",E3302))</f>
        <v/>
      </c>
    </row>
    <row r="3303">
      <c r="A3303" t="inlineStr">
        <is>
          <t>Timeline</t>
        </is>
      </c>
      <c r="B3303" s="46">
        <f>'Timeline'!V268</f>
        <v/>
      </c>
      <c r="C3303" s="84">
        <f>'Timeline'!T268</f>
        <v/>
      </c>
      <c r="D3303" s="46">
        <f>'Timeline'!U268</f>
        <v/>
      </c>
      <c r="E3303" s="46">
        <f>IF(OR(B3303="",C3303="",D3303=""),"",D3303*100000+(C3303-DATE(2000,1,1))+ROW()/100000)</f>
        <v/>
      </c>
      <c r="F3303" s="46">
        <f>IF(E3303="","",IF(C3303&gt;WeekEndDate,"",E3303))</f>
        <v/>
      </c>
    </row>
    <row r="3304">
      <c r="A3304" t="inlineStr">
        <is>
          <t>Timeline</t>
        </is>
      </c>
      <c r="B3304" s="46">
        <f>'Timeline'!V269</f>
        <v/>
      </c>
      <c r="C3304" s="84">
        <f>'Timeline'!T269</f>
        <v/>
      </c>
      <c r="D3304" s="46">
        <f>'Timeline'!U269</f>
        <v/>
      </c>
      <c r="E3304" s="46">
        <f>IF(OR(B3304="",C3304="",D3304=""),"",D3304*100000+(C3304-DATE(2000,1,1))+ROW()/100000)</f>
        <v/>
      </c>
      <c r="F3304" s="46">
        <f>IF(E3304="","",IF(C3304&gt;WeekEndDate,"",E3304))</f>
        <v/>
      </c>
    </row>
    <row r="3305">
      <c r="A3305" t="inlineStr">
        <is>
          <t>Timeline</t>
        </is>
      </c>
      <c r="B3305" s="46">
        <f>'Timeline'!V270</f>
        <v/>
      </c>
      <c r="C3305" s="84">
        <f>'Timeline'!T270</f>
        <v/>
      </c>
      <c r="D3305" s="46">
        <f>'Timeline'!U270</f>
        <v/>
      </c>
      <c r="E3305" s="46">
        <f>IF(OR(B3305="",C3305="",D3305=""),"",D3305*100000+(C3305-DATE(2000,1,1))+ROW()/100000)</f>
        <v/>
      </c>
      <c r="F3305" s="46">
        <f>IF(E3305="","",IF(C3305&gt;WeekEndDate,"",E3305))</f>
        <v/>
      </c>
    </row>
    <row r="3306">
      <c r="A3306" t="inlineStr">
        <is>
          <t>Timeline</t>
        </is>
      </c>
      <c r="B3306" s="46">
        <f>'Timeline'!V271</f>
        <v/>
      </c>
      <c r="C3306" s="84">
        <f>'Timeline'!T271</f>
        <v/>
      </c>
      <c r="D3306" s="46">
        <f>'Timeline'!U271</f>
        <v/>
      </c>
      <c r="E3306" s="46">
        <f>IF(OR(B3306="",C3306="",D3306=""),"",D3306*100000+(C3306-DATE(2000,1,1))+ROW()/100000)</f>
        <v/>
      </c>
      <c r="F3306" s="46">
        <f>IF(E3306="","",IF(C3306&gt;WeekEndDate,"",E3306))</f>
        <v/>
      </c>
    </row>
    <row r="3307">
      <c r="A3307" t="inlineStr">
        <is>
          <t>Timeline</t>
        </is>
      </c>
      <c r="B3307" s="46">
        <f>'Timeline'!V272</f>
        <v/>
      </c>
      <c r="C3307" s="84">
        <f>'Timeline'!T272</f>
        <v/>
      </c>
      <c r="D3307" s="46">
        <f>'Timeline'!U272</f>
        <v/>
      </c>
      <c r="E3307" s="46">
        <f>IF(OR(B3307="",C3307="",D3307=""),"",D3307*100000+(C3307-DATE(2000,1,1))+ROW()/100000)</f>
        <v/>
      </c>
      <c r="F3307" s="46">
        <f>IF(E3307="","",IF(C3307&gt;WeekEndDate,"",E3307))</f>
        <v/>
      </c>
    </row>
    <row r="3308">
      <c r="A3308" t="inlineStr">
        <is>
          <t>Timeline</t>
        </is>
      </c>
      <c r="B3308" s="46">
        <f>'Timeline'!V273</f>
        <v/>
      </c>
      <c r="C3308" s="84">
        <f>'Timeline'!T273</f>
        <v/>
      </c>
      <c r="D3308" s="46">
        <f>'Timeline'!U273</f>
        <v/>
      </c>
      <c r="E3308" s="46">
        <f>IF(OR(B3308="",C3308="",D3308=""),"",D3308*100000+(C3308-DATE(2000,1,1))+ROW()/100000)</f>
        <v/>
      </c>
      <c r="F3308" s="46">
        <f>IF(E3308="","",IF(C3308&gt;WeekEndDate,"",E3308))</f>
        <v/>
      </c>
    </row>
    <row r="3309">
      <c r="A3309" t="inlineStr">
        <is>
          <t>Timeline</t>
        </is>
      </c>
      <c r="B3309" s="46">
        <f>'Timeline'!V274</f>
        <v/>
      </c>
      <c r="C3309" s="84">
        <f>'Timeline'!T274</f>
        <v/>
      </c>
      <c r="D3309" s="46">
        <f>'Timeline'!U274</f>
        <v/>
      </c>
      <c r="E3309" s="46">
        <f>IF(OR(B3309="",C3309="",D3309=""),"",D3309*100000+(C3309-DATE(2000,1,1))+ROW()/100000)</f>
        <v/>
      </c>
      <c r="F3309" s="46">
        <f>IF(E3309="","",IF(C3309&gt;WeekEndDate,"",E3309))</f>
        <v/>
      </c>
    </row>
    <row r="3310">
      <c r="A3310" t="inlineStr">
        <is>
          <t>Timeline</t>
        </is>
      </c>
      <c r="B3310" s="46">
        <f>'Timeline'!V275</f>
        <v/>
      </c>
      <c r="C3310" s="84">
        <f>'Timeline'!T275</f>
        <v/>
      </c>
      <c r="D3310" s="46">
        <f>'Timeline'!U275</f>
        <v/>
      </c>
      <c r="E3310" s="46">
        <f>IF(OR(B3310="",C3310="",D3310=""),"",D3310*100000+(C3310-DATE(2000,1,1))+ROW()/100000)</f>
        <v/>
      </c>
      <c r="F3310" s="46">
        <f>IF(E3310="","",IF(C3310&gt;WeekEndDate,"",E3310))</f>
        <v/>
      </c>
    </row>
    <row r="3311">
      <c r="A3311" t="inlineStr">
        <is>
          <t>Timeline</t>
        </is>
      </c>
      <c r="B3311" s="46">
        <f>'Timeline'!V276</f>
        <v/>
      </c>
      <c r="C3311" s="84">
        <f>'Timeline'!T276</f>
        <v/>
      </c>
      <c r="D3311" s="46">
        <f>'Timeline'!U276</f>
        <v/>
      </c>
      <c r="E3311" s="46">
        <f>IF(OR(B3311="",C3311="",D3311=""),"",D3311*100000+(C3311-DATE(2000,1,1))+ROW()/100000)</f>
        <v/>
      </c>
      <c r="F3311" s="46">
        <f>IF(E3311="","",IF(C3311&gt;WeekEndDate,"",E3311))</f>
        <v/>
      </c>
    </row>
    <row r="3312">
      <c r="A3312" t="inlineStr">
        <is>
          <t>Timeline</t>
        </is>
      </c>
      <c r="B3312" s="46">
        <f>'Timeline'!V277</f>
        <v/>
      </c>
      <c r="C3312" s="84">
        <f>'Timeline'!T277</f>
        <v/>
      </c>
      <c r="D3312" s="46">
        <f>'Timeline'!U277</f>
        <v/>
      </c>
      <c r="E3312" s="46">
        <f>IF(OR(B3312="",C3312="",D3312=""),"",D3312*100000+(C3312-DATE(2000,1,1))+ROW()/100000)</f>
        <v/>
      </c>
      <c r="F3312" s="46">
        <f>IF(E3312="","",IF(C3312&gt;WeekEndDate,"",E3312))</f>
        <v/>
      </c>
    </row>
    <row r="3313">
      <c r="A3313" t="inlineStr">
        <is>
          <t>Timeline</t>
        </is>
      </c>
      <c r="B3313" s="46">
        <f>'Timeline'!V278</f>
        <v/>
      </c>
      <c r="C3313" s="84">
        <f>'Timeline'!T278</f>
        <v/>
      </c>
      <c r="D3313" s="46">
        <f>'Timeline'!U278</f>
        <v/>
      </c>
      <c r="E3313" s="46">
        <f>IF(OR(B3313="",C3313="",D3313=""),"",D3313*100000+(C3313-DATE(2000,1,1))+ROW()/100000)</f>
        <v/>
      </c>
      <c r="F3313" s="46">
        <f>IF(E3313="","",IF(C3313&gt;WeekEndDate,"",E3313))</f>
        <v/>
      </c>
    </row>
    <row r="3314">
      <c r="A3314" t="inlineStr">
        <is>
          <t>Timeline</t>
        </is>
      </c>
      <c r="B3314" s="46">
        <f>'Timeline'!V279</f>
        <v/>
      </c>
      <c r="C3314" s="84">
        <f>'Timeline'!T279</f>
        <v/>
      </c>
      <c r="D3314" s="46">
        <f>'Timeline'!U279</f>
        <v/>
      </c>
      <c r="E3314" s="46">
        <f>IF(OR(B3314="",C3314="",D3314=""),"",D3314*100000+(C3314-DATE(2000,1,1))+ROW()/100000)</f>
        <v/>
      </c>
      <c r="F3314" s="46">
        <f>IF(E3314="","",IF(C3314&gt;WeekEndDate,"",E3314))</f>
        <v/>
      </c>
    </row>
    <row r="3315">
      <c r="A3315" t="inlineStr">
        <is>
          <t>Timeline</t>
        </is>
      </c>
      <c r="B3315" s="46">
        <f>'Timeline'!V280</f>
        <v/>
      </c>
      <c r="C3315" s="84">
        <f>'Timeline'!T280</f>
        <v/>
      </c>
      <c r="D3315" s="46">
        <f>'Timeline'!U280</f>
        <v/>
      </c>
      <c r="E3315" s="46">
        <f>IF(OR(B3315="",C3315="",D3315=""),"",D3315*100000+(C3315-DATE(2000,1,1))+ROW()/100000)</f>
        <v/>
      </c>
      <c r="F3315" s="46">
        <f>IF(E3315="","",IF(C3315&gt;WeekEndDate,"",E3315))</f>
        <v/>
      </c>
    </row>
    <row r="3316">
      <c r="A3316" t="inlineStr">
        <is>
          <t>Timeline</t>
        </is>
      </c>
      <c r="B3316" s="46">
        <f>'Timeline'!V281</f>
        <v/>
      </c>
      <c r="C3316" s="84">
        <f>'Timeline'!T281</f>
        <v/>
      </c>
      <c r="D3316" s="46">
        <f>'Timeline'!U281</f>
        <v/>
      </c>
      <c r="E3316" s="46">
        <f>IF(OR(B3316="",C3316="",D3316=""),"",D3316*100000+(C3316-DATE(2000,1,1))+ROW()/100000)</f>
        <v/>
      </c>
      <c r="F3316" s="46">
        <f>IF(E3316="","",IF(C3316&gt;WeekEndDate,"",E3316))</f>
        <v/>
      </c>
    </row>
    <row r="3317">
      <c r="A3317" t="inlineStr">
        <is>
          <t>Timeline</t>
        </is>
      </c>
      <c r="B3317" s="46">
        <f>'Timeline'!V282</f>
        <v/>
      </c>
      <c r="C3317" s="84">
        <f>'Timeline'!T282</f>
        <v/>
      </c>
      <c r="D3317" s="46">
        <f>'Timeline'!U282</f>
        <v/>
      </c>
      <c r="E3317" s="46">
        <f>IF(OR(B3317="",C3317="",D3317=""),"",D3317*100000+(C3317-DATE(2000,1,1))+ROW()/100000)</f>
        <v/>
      </c>
      <c r="F3317" s="46">
        <f>IF(E3317="","",IF(C3317&gt;WeekEndDate,"",E3317))</f>
        <v/>
      </c>
    </row>
    <row r="3318">
      <c r="A3318" t="inlineStr">
        <is>
          <t>Timeline</t>
        </is>
      </c>
      <c r="B3318" s="46">
        <f>'Timeline'!V283</f>
        <v/>
      </c>
      <c r="C3318" s="84">
        <f>'Timeline'!T283</f>
        <v/>
      </c>
      <c r="D3318" s="46">
        <f>'Timeline'!U283</f>
        <v/>
      </c>
      <c r="E3318" s="46">
        <f>IF(OR(B3318="",C3318="",D3318=""),"",D3318*100000+(C3318-DATE(2000,1,1))+ROW()/100000)</f>
        <v/>
      </c>
      <c r="F3318" s="46">
        <f>IF(E3318="","",IF(C3318&gt;WeekEndDate,"",E3318))</f>
        <v/>
      </c>
    </row>
    <row r="3319">
      <c r="A3319" t="inlineStr">
        <is>
          <t>Timeline</t>
        </is>
      </c>
      <c r="B3319" s="46">
        <f>'Timeline'!V284</f>
        <v/>
      </c>
      <c r="C3319" s="84">
        <f>'Timeline'!T284</f>
        <v/>
      </c>
      <c r="D3319" s="46">
        <f>'Timeline'!U284</f>
        <v/>
      </c>
      <c r="E3319" s="46">
        <f>IF(OR(B3319="",C3319="",D3319=""),"",D3319*100000+(C3319-DATE(2000,1,1))+ROW()/100000)</f>
        <v/>
      </c>
      <c r="F3319" s="46">
        <f>IF(E3319="","",IF(C3319&gt;WeekEndDate,"",E3319))</f>
        <v/>
      </c>
    </row>
    <row r="3320">
      <c r="A3320" t="inlineStr">
        <is>
          <t>Timeline</t>
        </is>
      </c>
      <c r="B3320" s="46">
        <f>'Timeline'!V285</f>
        <v/>
      </c>
      <c r="C3320" s="84">
        <f>'Timeline'!T285</f>
        <v/>
      </c>
      <c r="D3320" s="46">
        <f>'Timeline'!U285</f>
        <v/>
      </c>
      <c r="E3320" s="46">
        <f>IF(OR(B3320="",C3320="",D3320=""),"",D3320*100000+(C3320-DATE(2000,1,1))+ROW()/100000)</f>
        <v/>
      </c>
      <c r="F3320" s="46">
        <f>IF(E3320="","",IF(C3320&gt;WeekEndDate,"",E3320))</f>
        <v/>
      </c>
    </row>
    <row r="3321">
      <c r="A3321" t="inlineStr">
        <is>
          <t>Timeline</t>
        </is>
      </c>
      <c r="B3321" s="46">
        <f>'Timeline'!V286</f>
        <v/>
      </c>
      <c r="C3321" s="84">
        <f>'Timeline'!T286</f>
        <v/>
      </c>
      <c r="D3321" s="46">
        <f>'Timeline'!U286</f>
        <v/>
      </c>
      <c r="E3321" s="46">
        <f>IF(OR(B3321="",C3321="",D3321=""),"",D3321*100000+(C3321-DATE(2000,1,1))+ROW()/100000)</f>
        <v/>
      </c>
      <c r="F3321" s="46">
        <f>IF(E3321="","",IF(C3321&gt;WeekEndDate,"",E3321))</f>
        <v/>
      </c>
    </row>
    <row r="3322">
      <c r="A3322" t="inlineStr">
        <is>
          <t>Timeline</t>
        </is>
      </c>
      <c r="B3322" s="46">
        <f>'Timeline'!V287</f>
        <v/>
      </c>
      <c r="C3322" s="84">
        <f>'Timeline'!T287</f>
        <v/>
      </c>
      <c r="D3322" s="46">
        <f>'Timeline'!U287</f>
        <v/>
      </c>
      <c r="E3322" s="46">
        <f>IF(OR(B3322="",C3322="",D3322=""),"",D3322*100000+(C3322-DATE(2000,1,1))+ROW()/100000)</f>
        <v/>
      </c>
      <c r="F3322" s="46">
        <f>IF(E3322="","",IF(C3322&gt;WeekEndDate,"",E3322))</f>
        <v/>
      </c>
    </row>
    <row r="3323">
      <c r="A3323" t="inlineStr">
        <is>
          <t>Timeline</t>
        </is>
      </c>
      <c r="B3323" s="46">
        <f>'Timeline'!V288</f>
        <v/>
      </c>
      <c r="C3323" s="84">
        <f>'Timeline'!T288</f>
        <v/>
      </c>
      <c r="D3323" s="46">
        <f>'Timeline'!U288</f>
        <v/>
      </c>
      <c r="E3323" s="46">
        <f>IF(OR(B3323="",C3323="",D3323=""),"",D3323*100000+(C3323-DATE(2000,1,1))+ROW()/100000)</f>
        <v/>
      </c>
      <c r="F3323" s="46">
        <f>IF(E3323="","",IF(C3323&gt;WeekEndDate,"",E3323))</f>
        <v/>
      </c>
    </row>
    <row r="3324">
      <c r="A3324" t="inlineStr">
        <is>
          <t>Timeline</t>
        </is>
      </c>
      <c r="B3324" s="46">
        <f>'Timeline'!V289</f>
        <v/>
      </c>
      <c r="C3324" s="84">
        <f>'Timeline'!T289</f>
        <v/>
      </c>
      <c r="D3324" s="46">
        <f>'Timeline'!U289</f>
        <v/>
      </c>
      <c r="E3324" s="46">
        <f>IF(OR(B3324="",C3324="",D3324=""),"",D3324*100000+(C3324-DATE(2000,1,1))+ROW()/100000)</f>
        <v/>
      </c>
      <c r="F3324" s="46">
        <f>IF(E3324="","",IF(C3324&gt;WeekEndDate,"",E3324))</f>
        <v/>
      </c>
    </row>
    <row r="3325">
      <c r="A3325" t="inlineStr">
        <is>
          <t>Timeline</t>
        </is>
      </c>
      <c r="B3325" s="46">
        <f>'Timeline'!V290</f>
        <v/>
      </c>
      <c r="C3325" s="84">
        <f>'Timeline'!T290</f>
        <v/>
      </c>
      <c r="D3325" s="46">
        <f>'Timeline'!U290</f>
        <v/>
      </c>
      <c r="E3325" s="46">
        <f>IF(OR(B3325="",C3325="",D3325=""),"",D3325*100000+(C3325-DATE(2000,1,1))+ROW()/100000)</f>
        <v/>
      </c>
      <c r="F3325" s="46">
        <f>IF(E3325="","",IF(C3325&gt;WeekEndDate,"",E3325))</f>
        <v/>
      </c>
    </row>
    <row r="3326">
      <c r="A3326" t="inlineStr">
        <is>
          <t>Timeline</t>
        </is>
      </c>
      <c r="B3326" s="46">
        <f>'Timeline'!V291</f>
        <v/>
      </c>
      <c r="C3326" s="84">
        <f>'Timeline'!T291</f>
        <v/>
      </c>
      <c r="D3326" s="46">
        <f>'Timeline'!U291</f>
        <v/>
      </c>
      <c r="E3326" s="46">
        <f>IF(OR(B3326="",C3326="",D3326=""),"",D3326*100000+(C3326-DATE(2000,1,1))+ROW()/100000)</f>
        <v/>
      </c>
      <c r="F3326" s="46">
        <f>IF(E3326="","",IF(C3326&gt;WeekEndDate,"",E3326))</f>
        <v/>
      </c>
    </row>
    <row r="3327">
      <c r="A3327" t="inlineStr">
        <is>
          <t>Timeline</t>
        </is>
      </c>
      <c r="B3327" s="46">
        <f>'Timeline'!V292</f>
        <v/>
      </c>
      <c r="C3327" s="84">
        <f>'Timeline'!T292</f>
        <v/>
      </c>
      <c r="D3327" s="46">
        <f>'Timeline'!U292</f>
        <v/>
      </c>
      <c r="E3327" s="46">
        <f>IF(OR(B3327="",C3327="",D3327=""),"",D3327*100000+(C3327-DATE(2000,1,1))+ROW()/100000)</f>
        <v/>
      </c>
      <c r="F3327" s="46">
        <f>IF(E3327="","",IF(C3327&gt;WeekEndDate,"",E3327))</f>
        <v/>
      </c>
    </row>
    <row r="3328">
      <c r="A3328" t="inlineStr">
        <is>
          <t>Timeline</t>
        </is>
      </c>
      <c r="B3328" s="46">
        <f>'Timeline'!V293</f>
        <v/>
      </c>
      <c r="C3328" s="84">
        <f>'Timeline'!T293</f>
        <v/>
      </c>
      <c r="D3328" s="46">
        <f>'Timeline'!U293</f>
        <v/>
      </c>
      <c r="E3328" s="46">
        <f>IF(OR(B3328="",C3328="",D3328=""),"",D3328*100000+(C3328-DATE(2000,1,1))+ROW()/100000)</f>
        <v/>
      </c>
      <c r="F3328" s="46">
        <f>IF(E3328="","",IF(C3328&gt;WeekEndDate,"",E3328))</f>
        <v/>
      </c>
    </row>
    <row r="3329">
      <c r="A3329" t="inlineStr">
        <is>
          <t>Timeline</t>
        </is>
      </c>
      <c r="B3329" s="46">
        <f>'Timeline'!V294</f>
        <v/>
      </c>
      <c r="C3329" s="84">
        <f>'Timeline'!T294</f>
        <v/>
      </c>
      <c r="D3329" s="46">
        <f>'Timeline'!U294</f>
        <v/>
      </c>
      <c r="E3329" s="46">
        <f>IF(OR(B3329="",C3329="",D3329=""),"",D3329*100000+(C3329-DATE(2000,1,1))+ROW()/100000)</f>
        <v/>
      </c>
      <c r="F3329" s="46">
        <f>IF(E3329="","",IF(C3329&gt;WeekEndDate,"",E3329))</f>
        <v/>
      </c>
    </row>
    <row r="3330">
      <c r="A3330" t="inlineStr">
        <is>
          <t>Timeline</t>
        </is>
      </c>
      <c r="B3330" s="46">
        <f>'Timeline'!V295</f>
        <v/>
      </c>
      <c r="C3330" s="84">
        <f>'Timeline'!T295</f>
        <v/>
      </c>
      <c r="D3330" s="46">
        <f>'Timeline'!U295</f>
        <v/>
      </c>
      <c r="E3330" s="46">
        <f>IF(OR(B3330="",C3330="",D3330=""),"",D3330*100000+(C3330-DATE(2000,1,1))+ROW()/100000)</f>
        <v/>
      </c>
      <c r="F3330" s="46">
        <f>IF(E3330="","",IF(C3330&gt;WeekEndDate,"",E3330))</f>
        <v/>
      </c>
    </row>
    <row r="3331">
      <c r="A3331" t="inlineStr">
        <is>
          <t>Timeline</t>
        </is>
      </c>
      <c r="B3331" s="46">
        <f>'Timeline'!V296</f>
        <v/>
      </c>
      <c r="C3331" s="84">
        <f>'Timeline'!T296</f>
        <v/>
      </c>
      <c r="D3331" s="46">
        <f>'Timeline'!U296</f>
        <v/>
      </c>
      <c r="E3331" s="46">
        <f>IF(OR(B3331="",C3331="",D3331=""),"",D3331*100000+(C3331-DATE(2000,1,1))+ROW()/100000)</f>
        <v/>
      </c>
      <c r="F3331" s="46">
        <f>IF(E3331="","",IF(C3331&gt;WeekEndDate,"",E3331))</f>
        <v/>
      </c>
    </row>
    <row r="3332">
      <c r="A3332" t="inlineStr">
        <is>
          <t>Timeline</t>
        </is>
      </c>
      <c r="B3332" s="46">
        <f>'Timeline'!V297</f>
        <v/>
      </c>
      <c r="C3332" s="84">
        <f>'Timeline'!T297</f>
        <v/>
      </c>
      <c r="D3332" s="46">
        <f>'Timeline'!U297</f>
        <v/>
      </c>
      <c r="E3332" s="46">
        <f>IF(OR(B3332="",C3332="",D3332=""),"",D3332*100000+(C3332-DATE(2000,1,1))+ROW()/100000)</f>
        <v/>
      </c>
      <c r="F3332" s="46">
        <f>IF(E3332="","",IF(C3332&gt;WeekEndDate,"",E3332))</f>
        <v/>
      </c>
    </row>
    <row r="3333">
      <c r="A3333" t="inlineStr">
        <is>
          <t>Timeline</t>
        </is>
      </c>
      <c r="B3333" s="46">
        <f>'Timeline'!V298</f>
        <v/>
      </c>
      <c r="C3333" s="84">
        <f>'Timeline'!T298</f>
        <v/>
      </c>
      <c r="D3333" s="46">
        <f>'Timeline'!U298</f>
        <v/>
      </c>
      <c r="E3333" s="46">
        <f>IF(OR(B3333="",C3333="",D3333=""),"",D3333*100000+(C3333-DATE(2000,1,1))+ROW()/100000)</f>
        <v/>
      </c>
      <c r="F3333" s="46">
        <f>IF(E3333="","",IF(C3333&gt;WeekEndDate,"",E3333))</f>
        <v/>
      </c>
    </row>
    <row r="3334">
      <c r="A3334" t="inlineStr">
        <is>
          <t>Timeline</t>
        </is>
      </c>
      <c r="B3334" s="46">
        <f>'Timeline'!V299</f>
        <v/>
      </c>
      <c r="C3334" s="84">
        <f>'Timeline'!T299</f>
        <v/>
      </c>
      <c r="D3334" s="46">
        <f>'Timeline'!U299</f>
        <v/>
      </c>
      <c r="E3334" s="46">
        <f>IF(OR(B3334="",C3334="",D3334=""),"",D3334*100000+(C3334-DATE(2000,1,1))+ROW()/100000)</f>
        <v/>
      </c>
      <c r="F3334" s="46">
        <f>IF(E3334="","",IF(C3334&gt;WeekEndDate,"",E3334))</f>
        <v/>
      </c>
    </row>
    <row r="3335">
      <c r="A3335" t="inlineStr">
        <is>
          <t>Timeline</t>
        </is>
      </c>
      <c r="B3335" s="46">
        <f>'Timeline'!V300</f>
        <v/>
      </c>
      <c r="C3335" s="84">
        <f>'Timeline'!T300</f>
        <v/>
      </c>
      <c r="D3335" s="46">
        <f>'Timeline'!U300</f>
        <v/>
      </c>
      <c r="E3335" s="46">
        <f>IF(OR(B3335="",C3335="",D3335=""),"",D3335*100000+(C3335-DATE(2000,1,1))+ROW()/100000)</f>
        <v/>
      </c>
      <c r="F3335" s="46">
        <f>IF(E3335="","",IF(C3335&gt;WeekEndDate,"",E3335))</f>
        <v/>
      </c>
    </row>
    <row r="3336">
      <c r="A3336" t="inlineStr">
        <is>
          <t>Timeline</t>
        </is>
      </c>
      <c r="B3336" s="46">
        <f>'Timeline'!V301</f>
        <v/>
      </c>
      <c r="C3336" s="84">
        <f>'Timeline'!T301</f>
        <v/>
      </c>
      <c r="D3336" s="46">
        <f>'Timeline'!U301</f>
        <v/>
      </c>
      <c r="E3336" s="46">
        <f>IF(OR(B3336="",C3336="",D3336=""),"",D3336*100000+(C3336-DATE(2000,1,1))+ROW()/100000)</f>
        <v/>
      </c>
      <c r="F3336" s="46">
        <f>IF(E3336="","",IF(C3336&gt;WeekEndDate,"",E3336))</f>
        <v/>
      </c>
    </row>
    <row r="3337">
      <c r="A3337" t="inlineStr">
        <is>
          <t>Timeline</t>
        </is>
      </c>
      <c r="B3337" s="46">
        <f>'Timeline'!V302</f>
        <v/>
      </c>
      <c r="C3337" s="84">
        <f>'Timeline'!T302</f>
        <v/>
      </c>
      <c r="D3337" s="46">
        <f>'Timeline'!U302</f>
        <v/>
      </c>
      <c r="E3337" s="46">
        <f>IF(OR(B3337="",C3337="",D3337=""),"",D3337*100000+(C3337-DATE(2000,1,1))+ROW()/100000)</f>
        <v/>
      </c>
      <c r="F3337" s="46">
        <f>IF(E3337="","",IF(C3337&gt;WeekEndDate,"",E3337))</f>
        <v/>
      </c>
    </row>
    <row r="3338">
      <c r="A3338" t="inlineStr">
        <is>
          <t>Timeline</t>
        </is>
      </c>
      <c r="B3338" s="46">
        <f>'Timeline'!V303</f>
        <v/>
      </c>
      <c r="C3338" s="84">
        <f>'Timeline'!T303</f>
        <v/>
      </c>
      <c r="D3338" s="46">
        <f>'Timeline'!U303</f>
        <v/>
      </c>
      <c r="E3338" s="46">
        <f>IF(OR(B3338="",C3338="",D3338=""),"",D3338*100000+(C3338-DATE(2000,1,1))+ROW()/100000)</f>
        <v/>
      </c>
      <c r="F3338" s="46">
        <f>IF(E3338="","",IF(C3338&gt;WeekEndDate,"",E3338))</f>
        <v/>
      </c>
    </row>
    <row r="3339">
      <c r="A3339" t="inlineStr">
        <is>
          <t>Timeline</t>
        </is>
      </c>
      <c r="B3339" s="46">
        <f>'Timeline'!V304</f>
        <v/>
      </c>
      <c r="C3339" s="84">
        <f>'Timeline'!T304</f>
        <v/>
      </c>
      <c r="D3339" s="46">
        <f>'Timeline'!U304</f>
        <v/>
      </c>
      <c r="E3339" s="46">
        <f>IF(OR(B3339="",C3339="",D3339=""),"",D3339*100000+(C3339-DATE(2000,1,1))+ROW()/100000)</f>
        <v/>
      </c>
      <c r="F3339" s="46">
        <f>IF(E3339="","",IF(C3339&gt;WeekEndDate,"",E3339))</f>
        <v/>
      </c>
    </row>
    <row r="3340">
      <c r="A3340" t="inlineStr">
        <is>
          <t>Timeline</t>
        </is>
      </c>
      <c r="B3340" s="46">
        <f>'Timeline'!V305</f>
        <v/>
      </c>
      <c r="C3340" s="84">
        <f>'Timeline'!T305</f>
        <v/>
      </c>
      <c r="D3340" s="46">
        <f>'Timeline'!U305</f>
        <v/>
      </c>
      <c r="E3340" s="46">
        <f>IF(OR(B3340="",C3340="",D3340=""),"",D3340*100000+(C3340-DATE(2000,1,1))+ROW()/100000)</f>
        <v/>
      </c>
      <c r="F3340" s="46">
        <f>IF(E3340="","",IF(C3340&gt;WeekEndDate,"",E3340))</f>
        <v/>
      </c>
    </row>
    <row r="3341">
      <c r="A3341" t="inlineStr">
        <is>
          <t>Timeline</t>
        </is>
      </c>
      <c r="B3341" s="46">
        <f>'Timeline'!V306</f>
        <v/>
      </c>
      <c r="C3341" s="84">
        <f>'Timeline'!T306</f>
        <v/>
      </c>
      <c r="D3341" s="46">
        <f>'Timeline'!U306</f>
        <v/>
      </c>
      <c r="E3341" s="46">
        <f>IF(OR(B3341="",C3341="",D3341=""),"",D3341*100000+(C3341-DATE(2000,1,1))+ROW()/100000)</f>
        <v/>
      </c>
      <c r="F3341" s="46">
        <f>IF(E3341="","",IF(C3341&gt;WeekEndDate,"",E3341))</f>
        <v/>
      </c>
    </row>
    <row r="3342">
      <c r="A3342" t="inlineStr">
        <is>
          <t>Timeline</t>
        </is>
      </c>
      <c r="B3342" s="46">
        <f>'Timeline'!V307</f>
        <v/>
      </c>
      <c r="C3342" s="84">
        <f>'Timeline'!T307</f>
        <v/>
      </c>
      <c r="D3342" s="46">
        <f>'Timeline'!U307</f>
        <v/>
      </c>
      <c r="E3342" s="46">
        <f>IF(OR(B3342="",C3342="",D3342=""),"",D3342*100000+(C3342-DATE(2000,1,1))+ROW()/100000)</f>
        <v/>
      </c>
      <c r="F3342" s="46">
        <f>IF(E3342="","",IF(C3342&gt;WeekEndDate,"",E3342))</f>
        <v/>
      </c>
    </row>
    <row r="3343">
      <c r="A3343" t="inlineStr">
        <is>
          <t>Timeline</t>
        </is>
      </c>
      <c r="B3343" s="46">
        <f>'Timeline'!V308</f>
        <v/>
      </c>
      <c r="C3343" s="84">
        <f>'Timeline'!T308</f>
        <v/>
      </c>
      <c r="D3343" s="46">
        <f>'Timeline'!U308</f>
        <v/>
      </c>
      <c r="E3343" s="46">
        <f>IF(OR(B3343="",C3343="",D3343=""),"",D3343*100000+(C3343-DATE(2000,1,1))+ROW()/100000)</f>
        <v/>
      </c>
      <c r="F3343" s="46">
        <f>IF(E3343="","",IF(C3343&gt;WeekEndDate,"",E3343))</f>
        <v/>
      </c>
    </row>
    <row r="3344">
      <c r="A3344" t="inlineStr">
        <is>
          <t>Timeline</t>
        </is>
      </c>
      <c r="B3344" s="46">
        <f>'Timeline'!V309</f>
        <v/>
      </c>
      <c r="C3344" s="84">
        <f>'Timeline'!T309</f>
        <v/>
      </c>
      <c r="D3344" s="46">
        <f>'Timeline'!U309</f>
        <v/>
      </c>
      <c r="E3344" s="46">
        <f>IF(OR(B3344="",C3344="",D3344=""),"",D3344*100000+(C3344-DATE(2000,1,1))+ROW()/100000)</f>
        <v/>
      </c>
      <c r="F3344" s="46">
        <f>IF(E3344="","",IF(C3344&gt;WeekEndDate,"",E3344))</f>
        <v/>
      </c>
    </row>
    <row r="3345">
      <c r="A3345" t="inlineStr">
        <is>
          <t>Timeline</t>
        </is>
      </c>
      <c r="B3345" s="46">
        <f>'Timeline'!V310</f>
        <v/>
      </c>
      <c r="C3345" s="84">
        <f>'Timeline'!T310</f>
        <v/>
      </c>
      <c r="D3345" s="46">
        <f>'Timeline'!U310</f>
        <v/>
      </c>
      <c r="E3345" s="46">
        <f>IF(OR(B3345="",C3345="",D3345=""),"",D3345*100000+(C3345-DATE(2000,1,1))+ROW()/100000)</f>
        <v/>
      </c>
      <c r="F3345" s="46">
        <f>IF(E3345="","",IF(C3345&gt;WeekEndDate,"",E3345))</f>
        <v/>
      </c>
    </row>
    <row r="3346">
      <c r="A3346" t="inlineStr">
        <is>
          <t>Timeline</t>
        </is>
      </c>
      <c r="B3346" s="46">
        <f>'Timeline'!V311</f>
        <v/>
      </c>
      <c r="C3346" s="84">
        <f>'Timeline'!T311</f>
        <v/>
      </c>
      <c r="D3346" s="46">
        <f>'Timeline'!U311</f>
        <v/>
      </c>
      <c r="E3346" s="46">
        <f>IF(OR(B3346="",C3346="",D3346=""),"",D3346*100000+(C3346-DATE(2000,1,1))+ROW()/100000)</f>
        <v/>
      </c>
      <c r="F3346" s="46">
        <f>IF(E3346="","",IF(C3346&gt;WeekEndDate,"",E3346))</f>
        <v/>
      </c>
    </row>
    <row r="3347">
      <c r="A3347" t="inlineStr">
        <is>
          <t>Timeline</t>
        </is>
      </c>
      <c r="B3347" s="46">
        <f>'Timeline'!V312</f>
        <v/>
      </c>
      <c r="C3347" s="84">
        <f>'Timeline'!T312</f>
        <v/>
      </c>
      <c r="D3347" s="46">
        <f>'Timeline'!U312</f>
        <v/>
      </c>
      <c r="E3347" s="46">
        <f>IF(OR(B3347="",C3347="",D3347=""),"",D3347*100000+(C3347-DATE(2000,1,1))+ROW()/100000)</f>
        <v/>
      </c>
      <c r="F3347" s="46">
        <f>IF(E3347="","",IF(C3347&gt;WeekEndDate,"",E3347))</f>
        <v/>
      </c>
    </row>
    <row r="3348">
      <c r="A3348" t="inlineStr">
        <is>
          <t>Timeline</t>
        </is>
      </c>
      <c r="B3348" s="46">
        <f>'Timeline'!V313</f>
        <v/>
      </c>
      <c r="C3348" s="84">
        <f>'Timeline'!T313</f>
        <v/>
      </c>
      <c r="D3348" s="46">
        <f>'Timeline'!U313</f>
        <v/>
      </c>
      <c r="E3348" s="46">
        <f>IF(OR(B3348="",C3348="",D3348=""),"",D3348*100000+(C3348-DATE(2000,1,1))+ROW()/100000)</f>
        <v/>
      </c>
      <c r="F3348" s="46">
        <f>IF(E3348="","",IF(C3348&gt;WeekEndDate,"",E3348))</f>
        <v/>
      </c>
    </row>
    <row r="3349">
      <c r="A3349" t="inlineStr">
        <is>
          <t>Timeline</t>
        </is>
      </c>
      <c r="B3349" s="46">
        <f>'Timeline'!V314</f>
        <v/>
      </c>
      <c r="C3349" s="84">
        <f>'Timeline'!T314</f>
        <v/>
      </c>
      <c r="D3349" s="46">
        <f>'Timeline'!U314</f>
        <v/>
      </c>
      <c r="E3349" s="46">
        <f>IF(OR(B3349="",C3349="",D3349=""),"",D3349*100000+(C3349-DATE(2000,1,1))+ROW()/100000)</f>
        <v/>
      </c>
      <c r="F3349" s="46">
        <f>IF(E3349="","",IF(C3349&gt;WeekEndDate,"",E3349))</f>
        <v/>
      </c>
    </row>
    <row r="3350">
      <c r="A3350" t="inlineStr">
        <is>
          <t>Timeline</t>
        </is>
      </c>
      <c r="B3350" s="46">
        <f>'Timeline'!V315</f>
        <v/>
      </c>
      <c r="C3350" s="84">
        <f>'Timeline'!T315</f>
        <v/>
      </c>
      <c r="D3350" s="46">
        <f>'Timeline'!U315</f>
        <v/>
      </c>
      <c r="E3350" s="46">
        <f>IF(OR(B3350="",C3350="",D3350=""),"",D3350*100000+(C3350-DATE(2000,1,1))+ROW()/100000)</f>
        <v/>
      </c>
      <c r="F3350" s="46">
        <f>IF(E3350="","",IF(C3350&gt;WeekEndDate,"",E3350))</f>
        <v/>
      </c>
    </row>
    <row r="3351">
      <c r="A3351" t="inlineStr">
        <is>
          <t>Timeline</t>
        </is>
      </c>
      <c r="B3351" s="46">
        <f>'Timeline'!V316</f>
        <v/>
      </c>
      <c r="C3351" s="84">
        <f>'Timeline'!T316</f>
        <v/>
      </c>
      <c r="D3351" s="46">
        <f>'Timeline'!U316</f>
        <v/>
      </c>
      <c r="E3351" s="46">
        <f>IF(OR(B3351="",C3351="",D3351=""),"",D3351*100000+(C3351-DATE(2000,1,1))+ROW()/100000)</f>
        <v/>
      </c>
      <c r="F3351" s="46">
        <f>IF(E3351="","",IF(C3351&gt;WeekEndDate,"",E3351))</f>
        <v/>
      </c>
    </row>
    <row r="3352">
      <c r="A3352" t="inlineStr">
        <is>
          <t>Timeline</t>
        </is>
      </c>
      <c r="B3352" s="46">
        <f>'Timeline'!V317</f>
        <v/>
      </c>
      <c r="C3352" s="84">
        <f>'Timeline'!T317</f>
        <v/>
      </c>
      <c r="D3352" s="46">
        <f>'Timeline'!U317</f>
        <v/>
      </c>
      <c r="E3352" s="46">
        <f>IF(OR(B3352="",C3352="",D3352=""),"",D3352*100000+(C3352-DATE(2000,1,1))+ROW()/100000)</f>
        <v/>
      </c>
      <c r="F3352" s="46">
        <f>IF(E3352="","",IF(C3352&gt;WeekEndDate,"",E3352))</f>
        <v/>
      </c>
    </row>
    <row r="3353">
      <c r="A3353" t="inlineStr">
        <is>
          <t>Timeline</t>
        </is>
      </c>
      <c r="B3353" s="46">
        <f>'Timeline'!V318</f>
        <v/>
      </c>
      <c r="C3353" s="84">
        <f>'Timeline'!T318</f>
        <v/>
      </c>
      <c r="D3353" s="46">
        <f>'Timeline'!U318</f>
        <v/>
      </c>
      <c r="E3353" s="46">
        <f>IF(OR(B3353="",C3353="",D3353=""),"",D3353*100000+(C3353-DATE(2000,1,1))+ROW()/100000)</f>
        <v/>
      </c>
      <c r="F3353" s="46">
        <f>IF(E3353="","",IF(C3353&gt;WeekEndDate,"",E3353))</f>
        <v/>
      </c>
    </row>
    <row r="3354">
      <c r="A3354" t="inlineStr">
        <is>
          <t>Timeline</t>
        </is>
      </c>
      <c r="B3354" s="46">
        <f>'Timeline'!V319</f>
        <v/>
      </c>
      <c r="C3354" s="84">
        <f>'Timeline'!T319</f>
        <v/>
      </c>
      <c r="D3354" s="46">
        <f>'Timeline'!U319</f>
        <v/>
      </c>
      <c r="E3354" s="46">
        <f>IF(OR(B3354="",C3354="",D3354=""),"",D3354*100000+(C3354-DATE(2000,1,1))+ROW()/100000)</f>
        <v/>
      </c>
      <c r="F3354" s="46">
        <f>IF(E3354="","",IF(C3354&gt;WeekEndDate,"",E3354))</f>
        <v/>
      </c>
    </row>
    <row r="3355">
      <c r="A3355" t="inlineStr">
        <is>
          <t>Timeline</t>
        </is>
      </c>
      <c r="B3355" s="46">
        <f>'Timeline'!V320</f>
        <v/>
      </c>
      <c r="C3355" s="84">
        <f>'Timeline'!T320</f>
        <v/>
      </c>
      <c r="D3355" s="46">
        <f>'Timeline'!U320</f>
        <v/>
      </c>
      <c r="E3355" s="46">
        <f>IF(OR(B3355="",C3355="",D3355=""),"",D3355*100000+(C3355-DATE(2000,1,1))+ROW()/100000)</f>
        <v/>
      </c>
      <c r="F3355" s="46">
        <f>IF(E3355="","",IF(C3355&gt;WeekEndDate,"",E3355))</f>
        <v/>
      </c>
    </row>
    <row r="3356">
      <c r="A3356" t="inlineStr">
        <is>
          <t>Timeline</t>
        </is>
      </c>
      <c r="B3356" s="46">
        <f>'Timeline'!V321</f>
        <v/>
      </c>
      <c r="C3356" s="84">
        <f>'Timeline'!T321</f>
        <v/>
      </c>
      <c r="D3356" s="46">
        <f>'Timeline'!U321</f>
        <v/>
      </c>
      <c r="E3356" s="46">
        <f>IF(OR(B3356="",C3356="",D3356=""),"",D3356*100000+(C3356-DATE(2000,1,1))+ROW()/100000)</f>
        <v/>
      </c>
      <c r="F3356" s="46">
        <f>IF(E3356="","",IF(C3356&gt;WeekEndDate,"",E3356))</f>
        <v/>
      </c>
    </row>
    <row r="3357">
      <c r="A3357" t="inlineStr">
        <is>
          <t>Timeline</t>
        </is>
      </c>
      <c r="B3357" s="46">
        <f>'Timeline'!V322</f>
        <v/>
      </c>
      <c r="C3357" s="84">
        <f>'Timeline'!T322</f>
        <v/>
      </c>
      <c r="D3357" s="46">
        <f>'Timeline'!U322</f>
        <v/>
      </c>
      <c r="E3357" s="46">
        <f>IF(OR(B3357="",C3357="",D3357=""),"",D3357*100000+(C3357-DATE(2000,1,1))+ROW()/100000)</f>
        <v/>
      </c>
      <c r="F3357" s="46">
        <f>IF(E3357="","",IF(C3357&gt;WeekEndDate,"",E3357))</f>
        <v/>
      </c>
    </row>
    <row r="3358">
      <c r="A3358" t="inlineStr">
        <is>
          <t>Timeline</t>
        </is>
      </c>
      <c r="B3358" s="46">
        <f>'Timeline'!V323</f>
        <v/>
      </c>
      <c r="C3358" s="84">
        <f>'Timeline'!T323</f>
        <v/>
      </c>
      <c r="D3358" s="46">
        <f>'Timeline'!U323</f>
        <v/>
      </c>
      <c r="E3358" s="46">
        <f>IF(OR(B3358="",C3358="",D3358=""),"",D3358*100000+(C3358-DATE(2000,1,1))+ROW()/100000)</f>
        <v/>
      </c>
      <c r="F3358" s="46">
        <f>IF(E3358="","",IF(C3358&gt;WeekEndDate,"",E3358))</f>
        <v/>
      </c>
    </row>
    <row r="3359">
      <c r="A3359" t="inlineStr">
        <is>
          <t>Timeline</t>
        </is>
      </c>
      <c r="B3359" s="46">
        <f>'Timeline'!V324</f>
        <v/>
      </c>
      <c r="C3359" s="84">
        <f>'Timeline'!T324</f>
        <v/>
      </c>
      <c r="D3359" s="46">
        <f>'Timeline'!U324</f>
        <v/>
      </c>
      <c r="E3359" s="46">
        <f>IF(OR(B3359="",C3359="",D3359=""),"",D3359*100000+(C3359-DATE(2000,1,1))+ROW()/100000)</f>
        <v/>
      </c>
      <c r="F3359" s="46">
        <f>IF(E3359="","",IF(C3359&gt;WeekEndDate,"",E3359))</f>
        <v/>
      </c>
    </row>
    <row r="3360">
      <c r="A3360" t="inlineStr">
        <is>
          <t>Timeline</t>
        </is>
      </c>
      <c r="B3360" s="46">
        <f>'Timeline'!V325</f>
        <v/>
      </c>
      <c r="C3360" s="84">
        <f>'Timeline'!T325</f>
        <v/>
      </c>
      <c r="D3360" s="46">
        <f>'Timeline'!U325</f>
        <v/>
      </c>
      <c r="E3360" s="46">
        <f>IF(OR(B3360="",C3360="",D3360=""),"",D3360*100000+(C3360-DATE(2000,1,1))+ROW()/100000)</f>
        <v/>
      </c>
      <c r="F3360" s="46">
        <f>IF(E3360="","",IF(C3360&gt;WeekEndDate,"",E3360))</f>
        <v/>
      </c>
    </row>
    <row r="3361">
      <c r="A3361" t="inlineStr">
        <is>
          <t>Timeline</t>
        </is>
      </c>
      <c r="B3361" s="46">
        <f>'Timeline'!V326</f>
        <v/>
      </c>
      <c r="C3361" s="84">
        <f>'Timeline'!T326</f>
        <v/>
      </c>
      <c r="D3361" s="46">
        <f>'Timeline'!U326</f>
        <v/>
      </c>
      <c r="E3361" s="46">
        <f>IF(OR(B3361="",C3361="",D3361=""),"",D3361*100000+(C3361-DATE(2000,1,1))+ROW()/100000)</f>
        <v/>
      </c>
      <c r="F3361" s="46">
        <f>IF(E3361="","",IF(C3361&gt;WeekEndDate,"",E3361))</f>
        <v/>
      </c>
    </row>
    <row r="3362">
      <c r="A3362" t="inlineStr">
        <is>
          <t>Timeline</t>
        </is>
      </c>
      <c r="B3362" s="46">
        <f>'Timeline'!V327</f>
        <v/>
      </c>
      <c r="C3362" s="84">
        <f>'Timeline'!T327</f>
        <v/>
      </c>
      <c r="D3362" s="46">
        <f>'Timeline'!U327</f>
        <v/>
      </c>
      <c r="E3362" s="46">
        <f>IF(OR(B3362="",C3362="",D3362=""),"",D3362*100000+(C3362-DATE(2000,1,1))+ROW()/100000)</f>
        <v/>
      </c>
      <c r="F3362" s="46">
        <f>IF(E3362="","",IF(C3362&gt;WeekEndDate,"",E3362))</f>
        <v/>
      </c>
    </row>
    <row r="3363">
      <c r="A3363" t="inlineStr">
        <is>
          <t>Timeline</t>
        </is>
      </c>
      <c r="B3363" s="46">
        <f>'Timeline'!V328</f>
        <v/>
      </c>
      <c r="C3363" s="84">
        <f>'Timeline'!T328</f>
        <v/>
      </c>
      <c r="D3363" s="46">
        <f>'Timeline'!U328</f>
        <v/>
      </c>
      <c r="E3363" s="46">
        <f>IF(OR(B3363="",C3363="",D3363=""),"",D3363*100000+(C3363-DATE(2000,1,1))+ROW()/100000)</f>
        <v/>
      </c>
      <c r="F3363" s="46">
        <f>IF(E3363="","",IF(C3363&gt;WeekEndDate,"",E3363))</f>
        <v/>
      </c>
    </row>
    <row r="3364">
      <c r="A3364" t="inlineStr">
        <is>
          <t>Timeline</t>
        </is>
      </c>
      <c r="B3364" s="46">
        <f>'Timeline'!V329</f>
        <v/>
      </c>
      <c r="C3364" s="84">
        <f>'Timeline'!T329</f>
        <v/>
      </c>
      <c r="D3364" s="46">
        <f>'Timeline'!U329</f>
        <v/>
      </c>
      <c r="E3364" s="46">
        <f>IF(OR(B3364="",C3364="",D3364=""),"",D3364*100000+(C3364-DATE(2000,1,1))+ROW()/100000)</f>
        <v/>
      </c>
      <c r="F3364" s="46">
        <f>IF(E3364="","",IF(C3364&gt;WeekEndDate,"",E3364))</f>
        <v/>
      </c>
    </row>
    <row r="3365">
      <c r="A3365" t="inlineStr">
        <is>
          <t>Timeline</t>
        </is>
      </c>
      <c r="B3365" s="46">
        <f>'Timeline'!V330</f>
        <v/>
      </c>
      <c r="C3365" s="84">
        <f>'Timeline'!T330</f>
        <v/>
      </c>
      <c r="D3365" s="46">
        <f>'Timeline'!U330</f>
        <v/>
      </c>
      <c r="E3365" s="46">
        <f>IF(OR(B3365="",C3365="",D3365=""),"",D3365*100000+(C3365-DATE(2000,1,1))+ROW()/100000)</f>
        <v/>
      </c>
      <c r="F3365" s="46">
        <f>IF(E3365="","",IF(C3365&gt;WeekEndDate,"",E3365))</f>
        <v/>
      </c>
    </row>
    <row r="3366">
      <c r="A3366" t="inlineStr">
        <is>
          <t>Timeline</t>
        </is>
      </c>
      <c r="B3366" s="46">
        <f>'Timeline'!V331</f>
        <v/>
      </c>
      <c r="C3366" s="84">
        <f>'Timeline'!T331</f>
        <v/>
      </c>
      <c r="D3366" s="46">
        <f>'Timeline'!U331</f>
        <v/>
      </c>
      <c r="E3366" s="46">
        <f>IF(OR(B3366="",C3366="",D3366=""),"",D3366*100000+(C3366-DATE(2000,1,1))+ROW()/100000)</f>
        <v/>
      </c>
      <c r="F3366" s="46">
        <f>IF(E3366="","",IF(C3366&gt;WeekEndDate,"",E3366))</f>
        <v/>
      </c>
    </row>
    <row r="3367">
      <c r="A3367" t="inlineStr">
        <is>
          <t>Timeline</t>
        </is>
      </c>
      <c r="B3367" s="46">
        <f>'Timeline'!V332</f>
        <v/>
      </c>
      <c r="C3367" s="84">
        <f>'Timeline'!T332</f>
        <v/>
      </c>
      <c r="D3367" s="46">
        <f>'Timeline'!U332</f>
        <v/>
      </c>
      <c r="E3367" s="46">
        <f>IF(OR(B3367="",C3367="",D3367=""),"",D3367*100000+(C3367-DATE(2000,1,1))+ROW()/100000)</f>
        <v/>
      </c>
      <c r="F3367" s="46">
        <f>IF(E3367="","",IF(C3367&gt;WeekEndDate,"",E3367))</f>
        <v/>
      </c>
    </row>
    <row r="3368">
      <c r="A3368" t="inlineStr">
        <is>
          <t>Timeline</t>
        </is>
      </c>
      <c r="B3368" s="46">
        <f>'Timeline'!V333</f>
        <v/>
      </c>
      <c r="C3368" s="84">
        <f>'Timeline'!T333</f>
        <v/>
      </c>
      <c r="D3368" s="46">
        <f>'Timeline'!U333</f>
        <v/>
      </c>
      <c r="E3368" s="46">
        <f>IF(OR(B3368="",C3368="",D3368=""),"",D3368*100000+(C3368-DATE(2000,1,1))+ROW()/100000)</f>
        <v/>
      </c>
      <c r="F3368" s="46">
        <f>IF(E3368="","",IF(C3368&gt;WeekEndDate,"",E3368))</f>
        <v/>
      </c>
    </row>
    <row r="3369">
      <c r="A3369" t="inlineStr">
        <is>
          <t>Timeline</t>
        </is>
      </c>
      <c r="B3369" s="46">
        <f>'Timeline'!V334</f>
        <v/>
      </c>
      <c r="C3369" s="84">
        <f>'Timeline'!T334</f>
        <v/>
      </c>
      <c r="D3369" s="46">
        <f>'Timeline'!U334</f>
        <v/>
      </c>
      <c r="E3369" s="46">
        <f>IF(OR(B3369="",C3369="",D3369=""),"",D3369*100000+(C3369-DATE(2000,1,1))+ROW()/100000)</f>
        <v/>
      </c>
      <c r="F3369" s="46">
        <f>IF(E3369="","",IF(C3369&gt;WeekEndDate,"",E3369))</f>
        <v/>
      </c>
    </row>
    <row r="3370">
      <c r="A3370" t="inlineStr">
        <is>
          <t>Timeline</t>
        </is>
      </c>
      <c r="B3370" s="46">
        <f>'Timeline'!V335</f>
        <v/>
      </c>
      <c r="C3370" s="84">
        <f>'Timeline'!T335</f>
        <v/>
      </c>
      <c r="D3370" s="46">
        <f>'Timeline'!U335</f>
        <v/>
      </c>
      <c r="E3370" s="46">
        <f>IF(OR(B3370="",C3370="",D3370=""),"",D3370*100000+(C3370-DATE(2000,1,1))+ROW()/100000)</f>
        <v/>
      </c>
      <c r="F3370" s="46">
        <f>IF(E3370="","",IF(C3370&gt;WeekEndDate,"",E3370))</f>
        <v/>
      </c>
    </row>
    <row r="3371">
      <c r="A3371" t="inlineStr">
        <is>
          <t>Timeline</t>
        </is>
      </c>
      <c r="B3371" s="46">
        <f>'Timeline'!V336</f>
        <v/>
      </c>
      <c r="C3371" s="84">
        <f>'Timeline'!T336</f>
        <v/>
      </c>
      <c r="D3371" s="46">
        <f>'Timeline'!U336</f>
        <v/>
      </c>
      <c r="E3371" s="46">
        <f>IF(OR(B3371="",C3371="",D3371=""),"",D3371*100000+(C3371-DATE(2000,1,1))+ROW()/100000)</f>
        <v/>
      </c>
      <c r="F3371" s="46">
        <f>IF(E3371="","",IF(C3371&gt;WeekEndDate,"",E3371))</f>
        <v/>
      </c>
    </row>
    <row r="3372">
      <c r="A3372" t="inlineStr">
        <is>
          <t>Timeline</t>
        </is>
      </c>
      <c r="B3372" s="46">
        <f>'Timeline'!V337</f>
        <v/>
      </c>
      <c r="C3372" s="84">
        <f>'Timeline'!T337</f>
        <v/>
      </c>
      <c r="D3372" s="46">
        <f>'Timeline'!U337</f>
        <v/>
      </c>
      <c r="E3372" s="46">
        <f>IF(OR(B3372="",C3372="",D3372=""),"",D3372*100000+(C3372-DATE(2000,1,1))+ROW()/100000)</f>
        <v/>
      </c>
      <c r="F3372" s="46">
        <f>IF(E3372="","",IF(C3372&gt;WeekEndDate,"",E3372))</f>
        <v/>
      </c>
    </row>
    <row r="3373">
      <c r="A3373" t="inlineStr">
        <is>
          <t>Timeline</t>
        </is>
      </c>
      <c r="B3373" s="46">
        <f>'Timeline'!V338</f>
        <v/>
      </c>
      <c r="C3373" s="84">
        <f>'Timeline'!T338</f>
        <v/>
      </c>
      <c r="D3373" s="46">
        <f>'Timeline'!U338</f>
        <v/>
      </c>
      <c r="E3373" s="46">
        <f>IF(OR(B3373="",C3373="",D3373=""),"",D3373*100000+(C3373-DATE(2000,1,1))+ROW()/100000)</f>
        <v/>
      </c>
      <c r="F3373" s="46">
        <f>IF(E3373="","",IF(C3373&gt;WeekEndDate,"",E3373))</f>
        <v/>
      </c>
    </row>
    <row r="3374">
      <c r="A3374" t="inlineStr">
        <is>
          <t>Timeline</t>
        </is>
      </c>
      <c r="B3374" s="46">
        <f>'Timeline'!V339</f>
        <v/>
      </c>
      <c r="C3374" s="84">
        <f>'Timeline'!T339</f>
        <v/>
      </c>
      <c r="D3374" s="46">
        <f>'Timeline'!U339</f>
        <v/>
      </c>
      <c r="E3374" s="46">
        <f>IF(OR(B3374="",C3374="",D3374=""),"",D3374*100000+(C3374-DATE(2000,1,1))+ROW()/100000)</f>
        <v/>
      </c>
      <c r="F3374" s="46">
        <f>IF(E3374="","",IF(C3374&gt;WeekEndDate,"",E3374))</f>
        <v/>
      </c>
    </row>
    <row r="3375">
      <c r="A3375" t="inlineStr">
        <is>
          <t>Timeline</t>
        </is>
      </c>
      <c r="B3375" s="46">
        <f>'Timeline'!V340</f>
        <v/>
      </c>
      <c r="C3375" s="84">
        <f>'Timeline'!T340</f>
        <v/>
      </c>
      <c r="D3375" s="46">
        <f>'Timeline'!U340</f>
        <v/>
      </c>
      <c r="E3375" s="46">
        <f>IF(OR(B3375="",C3375="",D3375=""),"",D3375*100000+(C3375-DATE(2000,1,1))+ROW()/100000)</f>
        <v/>
      </c>
      <c r="F3375" s="46">
        <f>IF(E3375="","",IF(C3375&gt;WeekEndDate,"",E3375))</f>
        <v/>
      </c>
    </row>
    <row r="3376">
      <c r="A3376" t="inlineStr">
        <is>
          <t>Timeline</t>
        </is>
      </c>
      <c r="B3376" s="46">
        <f>'Timeline'!V341</f>
        <v/>
      </c>
      <c r="C3376" s="84">
        <f>'Timeline'!T341</f>
        <v/>
      </c>
      <c r="D3376" s="46">
        <f>'Timeline'!U341</f>
        <v/>
      </c>
      <c r="E3376" s="46">
        <f>IF(OR(B3376="",C3376="",D3376=""),"",D3376*100000+(C3376-DATE(2000,1,1))+ROW()/100000)</f>
        <v/>
      </c>
      <c r="F3376" s="46">
        <f>IF(E3376="","",IF(C3376&gt;WeekEndDate,"",E3376))</f>
        <v/>
      </c>
    </row>
    <row r="3377">
      <c r="A3377" t="inlineStr">
        <is>
          <t>Timeline</t>
        </is>
      </c>
      <c r="B3377" s="46">
        <f>'Timeline'!V342</f>
        <v/>
      </c>
      <c r="C3377" s="84">
        <f>'Timeline'!T342</f>
        <v/>
      </c>
      <c r="D3377" s="46">
        <f>'Timeline'!U342</f>
        <v/>
      </c>
      <c r="E3377" s="46">
        <f>IF(OR(B3377="",C3377="",D3377=""),"",D3377*100000+(C3377-DATE(2000,1,1))+ROW()/100000)</f>
        <v/>
      </c>
      <c r="F3377" s="46">
        <f>IF(E3377="","",IF(C3377&gt;WeekEndDate,"",E3377))</f>
        <v/>
      </c>
    </row>
    <row r="3378">
      <c r="A3378" t="inlineStr">
        <is>
          <t>Timeline</t>
        </is>
      </c>
      <c r="B3378" s="46">
        <f>'Timeline'!V343</f>
        <v/>
      </c>
      <c r="C3378" s="84">
        <f>'Timeline'!T343</f>
        <v/>
      </c>
      <c r="D3378" s="46">
        <f>'Timeline'!U343</f>
        <v/>
      </c>
      <c r="E3378" s="46">
        <f>IF(OR(B3378="",C3378="",D3378=""),"",D3378*100000+(C3378-DATE(2000,1,1))+ROW()/100000)</f>
        <v/>
      </c>
      <c r="F3378" s="46">
        <f>IF(E3378="","",IF(C3378&gt;WeekEndDate,"",E3378))</f>
        <v/>
      </c>
    </row>
    <row r="3379">
      <c r="A3379" t="inlineStr">
        <is>
          <t>Timeline</t>
        </is>
      </c>
      <c r="B3379" s="46">
        <f>'Timeline'!V344</f>
        <v/>
      </c>
      <c r="C3379" s="84">
        <f>'Timeline'!T344</f>
        <v/>
      </c>
      <c r="D3379" s="46">
        <f>'Timeline'!U344</f>
        <v/>
      </c>
      <c r="E3379" s="46">
        <f>IF(OR(B3379="",C3379="",D3379=""),"",D3379*100000+(C3379-DATE(2000,1,1))+ROW()/100000)</f>
        <v/>
      </c>
      <c r="F3379" s="46">
        <f>IF(E3379="","",IF(C3379&gt;WeekEndDate,"",E3379))</f>
        <v/>
      </c>
    </row>
    <row r="3380">
      <c r="A3380" t="inlineStr">
        <is>
          <t>Timeline</t>
        </is>
      </c>
      <c r="B3380" s="46">
        <f>'Timeline'!V345</f>
        <v/>
      </c>
      <c r="C3380" s="84">
        <f>'Timeline'!T345</f>
        <v/>
      </c>
      <c r="D3380" s="46">
        <f>'Timeline'!U345</f>
        <v/>
      </c>
      <c r="E3380" s="46">
        <f>IF(OR(B3380="",C3380="",D3380=""),"",D3380*100000+(C3380-DATE(2000,1,1))+ROW()/100000)</f>
        <v/>
      </c>
      <c r="F3380" s="46">
        <f>IF(E3380="","",IF(C3380&gt;WeekEndDate,"",E3380))</f>
        <v/>
      </c>
    </row>
    <row r="3381">
      <c r="A3381" t="inlineStr">
        <is>
          <t>Timeline</t>
        </is>
      </c>
      <c r="B3381" s="46">
        <f>'Timeline'!V346</f>
        <v/>
      </c>
      <c r="C3381" s="84">
        <f>'Timeline'!T346</f>
        <v/>
      </c>
      <c r="D3381" s="46">
        <f>'Timeline'!U346</f>
        <v/>
      </c>
      <c r="E3381" s="46">
        <f>IF(OR(B3381="",C3381="",D3381=""),"",D3381*100000+(C3381-DATE(2000,1,1))+ROW()/100000)</f>
        <v/>
      </c>
      <c r="F3381" s="46">
        <f>IF(E3381="","",IF(C3381&gt;WeekEndDate,"",E3381))</f>
        <v/>
      </c>
    </row>
    <row r="3382">
      <c r="A3382" t="inlineStr">
        <is>
          <t>Timeline</t>
        </is>
      </c>
      <c r="B3382" s="46">
        <f>'Timeline'!V347</f>
        <v/>
      </c>
      <c r="C3382" s="84">
        <f>'Timeline'!T347</f>
        <v/>
      </c>
      <c r="D3382" s="46">
        <f>'Timeline'!U347</f>
        <v/>
      </c>
      <c r="E3382" s="46">
        <f>IF(OR(B3382="",C3382="",D3382=""),"",D3382*100000+(C3382-DATE(2000,1,1))+ROW()/100000)</f>
        <v/>
      </c>
      <c r="F3382" s="46">
        <f>IF(E3382="","",IF(C3382&gt;WeekEndDate,"",E3382))</f>
        <v/>
      </c>
    </row>
    <row r="3383">
      <c r="A3383" t="inlineStr">
        <is>
          <t>Timeline</t>
        </is>
      </c>
      <c r="B3383" s="46">
        <f>'Timeline'!V348</f>
        <v/>
      </c>
      <c r="C3383" s="84">
        <f>'Timeline'!T348</f>
        <v/>
      </c>
      <c r="D3383" s="46">
        <f>'Timeline'!U348</f>
        <v/>
      </c>
      <c r="E3383" s="46">
        <f>IF(OR(B3383="",C3383="",D3383=""),"",D3383*100000+(C3383-DATE(2000,1,1))+ROW()/100000)</f>
        <v/>
      </c>
      <c r="F3383" s="46">
        <f>IF(E3383="","",IF(C3383&gt;WeekEndDate,"",E3383))</f>
        <v/>
      </c>
    </row>
    <row r="3384">
      <c r="A3384" t="inlineStr">
        <is>
          <t>Timeline</t>
        </is>
      </c>
      <c r="B3384" s="46">
        <f>'Timeline'!V349</f>
        <v/>
      </c>
      <c r="C3384" s="84">
        <f>'Timeline'!T349</f>
        <v/>
      </c>
      <c r="D3384" s="46">
        <f>'Timeline'!U349</f>
        <v/>
      </c>
      <c r="E3384" s="46">
        <f>IF(OR(B3384="",C3384="",D3384=""),"",D3384*100000+(C3384-DATE(2000,1,1))+ROW()/100000)</f>
        <v/>
      </c>
      <c r="F3384" s="46">
        <f>IF(E3384="","",IF(C3384&gt;WeekEndDate,"",E3384))</f>
        <v/>
      </c>
    </row>
    <row r="3385">
      <c r="A3385" t="inlineStr">
        <is>
          <t>Timeline</t>
        </is>
      </c>
      <c r="B3385" s="46">
        <f>'Timeline'!V350</f>
        <v/>
      </c>
      <c r="C3385" s="84">
        <f>'Timeline'!T350</f>
        <v/>
      </c>
      <c r="D3385" s="46">
        <f>'Timeline'!U350</f>
        <v/>
      </c>
      <c r="E3385" s="46">
        <f>IF(OR(B3385="",C3385="",D3385=""),"",D3385*100000+(C3385-DATE(2000,1,1))+ROW()/100000)</f>
        <v/>
      </c>
      <c r="F3385" s="46">
        <f>IF(E3385="","",IF(C3385&gt;WeekEndDate,"",E3385))</f>
        <v/>
      </c>
    </row>
    <row r="3386">
      <c r="A3386" t="inlineStr">
        <is>
          <t>Timeline</t>
        </is>
      </c>
      <c r="B3386" s="46">
        <f>'Timeline'!V351</f>
        <v/>
      </c>
      <c r="C3386" s="84">
        <f>'Timeline'!T351</f>
        <v/>
      </c>
      <c r="D3386" s="46">
        <f>'Timeline'!U351</f>
        <v/>
      </c>
      <c r="E3386" s="46">
        <f>IF(OR(B3386="",C3386="",D3386=""),"",D3386*100000+(C3386-DATE(2000,1,1))+ROW()/100000)</f>
        <v/>
      </c>
      <c r="F3386" s="46">
        <f>IF(E3386="","",IF(C3386&gt;WeekEndDate,"",E3386))</f>
        <v/>
      </c>
    </row>
    <row r="3387">
      <c r="A3387" t="inlineStr">
        <is>
          <t>Timeline</t>
        </is>
      </c>
      <c r="B3387" s="46">
        <f>'Timeline'!V352</f>
        <v/>
      </c>
      <c r="C3387" s="84">
        <f>'Timeline'!T352</f>
        <v/>
      </c>
      <c r="D3387" s="46">
        <f>'Timeline'!U352</f>
        <v/>
      </c>
      <c r="E3387" s="46">
        <f>IF(OR(B3387="",C3387="",D3387=""),"",D3387*100000+(C3387-DATE(2000,1,1))+ROW()/100000)</f>
        <v/>
      </c>
      <c r="F3387" s="46">
        <f>IF(E3387="","",IF(C3387&gt;WeekEndDate,"",E3387))</f>
        <v/>
      </c>
    </row>
    <row r="3388">
      <c r="A3388" t="inlineStr">
        <is>
          <t>Timeline</t>
        </is>
      </c>
      <c r="B3388" s="46">
        <f>'Timeline'!V353</f>
        <v/>
      </c>
      <c r="C3388" s="84">
        <f>'Timeline'!T353</f>
        <v/>
      </c>
      <c r="D3388" s="46">
        <f>'Timeline'!U353</f>
        <v/>
      </c>
      <c r="E3388" s="46">
        <f>IF(OR(B3388="",C3388="",D3388=""),"",D3388*100000+(C3388-DATE(2000,1,1))+ROW()/100000)</f>
        <v/>
      </c>
      <c r="F3388" s="46">
        <f>IF(E3388="","",IF(C3388&gt;WeekEndDate,"",E3388))</f>
        <v/>
      </c>
    </row>
    <row r="3389">
      <c r="A3389" t="inlineStr">
        <is>
          <t>Timeline</t>
        </is>
      </c>
      <c r="B3389" s="46">
        <f>'Timeline'!V354</f>
        <v/>
      </c>
      <c r="C3389" s="84">
        <f>'Timeline'!T354</f>
        <v/>
      </c>
      <c r="D3389" s="46">
        <f>'Timeline'!U354</f>
        <v/>
      </c>
      <c r="E3389" s="46">
        <f>IF(OR(B3389="",C3389="",D3389=""),"",D3389*100000+(C3389-DATE(2000,1,1))+ROW()/100000)</f>
        <v/>
      </c>
      <c r="F3389" s="46">
        <f>IF(E3389="","",IF(C3389&gt;WeekEndDate,"",E3389))</f>
        <v/>
      </c>
    </row>
    <row r="3390">
      <c r="A3390" t="inlineStr">
        <is>
          <t>Timeline</t>
        </is>
      </c>
      <c r="B3390" s="46">
        <f>'Timeline'!V355</f>
        <v/>
      </c>
      <c r="C3390" s="84">
        <f>'Timeline'!T355</f>
        <v/>
      </c>
      <c r="D3390" s="46">
        <f>'Timeline'!U355</f>
        <v/>
      </c>
      <c r="E3390" s="46">
        <f>IF(OR(B3390="",C3390="",D3390=""),"",D3390*100000+(C3390-DATE(2000,1,1))+ROW()/100000)</f>
        <v/>
      </c>
      <c r="F3390" s="46">
        <f>IF(E3390="","",IF(C3390&gt;WeekEndDate,"",E3390))</f>
        <v/>
      </c>
    </row>
    <row r="3391">
      <c r="A3391" t="inlineStr">
        <is>
          <t>Timeline</t>
        </is>
      </c>
      <c r="B3391" s="46">
        <f>'Timeline'!V356</f>
        <v/>
      </c>
      <c r="C3391" s="84">
        <f>'Timeline'!T356</f>
        <v/>
      </c>
      <c r="D3391" s="46">
        <f>'Timeline'!U356</f>
        <v/>
      </c>
      <c r="E3391" s="46">
        <f>IF(OR(B3391="",C3391="",D3391=""),"",D3391*100000+(C3391-DATE(2000,1,1))+ROW()/100000)</f>
        <v/>
      </c>
      <c r="F3391" s="46">
        <f>IF(E3391="","",IF(C3391&gt;WeekEndDate,"",E3391))</f>
        <v/>
      </c>
    </row>
    <row r="3392">
      <c r="A3392" t="inlineStr">
        <is>
          <t>Timeline</t>
        </is>
      </c>
      <c r="B3392" s="46">
        <f>'Timeline'!V357</f>
        <v/>
      </c>
      <c r="C3392" s="84">
        <f>'Timeline'!T357</f>
        <v/>
      </c>
      <c r="D3392" s="46">
        <f>'Timeline'!U357</f>
        <v/>
      </c>
      <c r="E3392" s="46">
        <f>IF(OR(B3392="",C3392="",D3392=""),"",D3392*100000+(C3392-DATE(2000,1,1))+ROW()/100000)</f>
        <v/>
      </c>
      <c r="F3392" s="46">
        <f>IF(E3392="","",IF(C3392&gt;WeekEndDate,"",E3392))</f>
        <v/>
      </c>
    </row>
    <row r="3393">
      <c r="A3393" t="inlineStr">
        <is>
          <t>Timeline</t>
        </is>
      </c>
      <c r="B3393" s="46">
        <f>'Timeline'!V358</f>
        <v/>
      </c>
      <c r="C3393" s="84">
        <f>'Timeline'!T358</f>
        <v/>
      </c>
      <c r="D3393" s="46">
        <f>'Timeline'!U358</f>
        <v/>
      </c>
      <c r="E3393" s="46">
        <f>IF(OR(B3393="",C3393="",D3393=""),"",D3393*100000+(C3393-DATE(2000,1,1))+ROW()/100000)</f>
        <v/>
      </c>
      <c r="F3393" s="46">
        <f>IF(E3393="","",IF(C3393&gt;WeekEndDate,"",E3393))</f>
        <v/>
      </c>
    </row>
    <row r="3394">
      <c r="A3394" t="inlineStr">
        <is>
          <t>Timeline</t>
        </is>
      </c>
      <c r="B3394" s="46">
        <f>'Timeline'!V359</f>
        <v/>
      </c>
      <c r="C3394" s="84">
        <f>'Timeline'!T359</f>
        <v/>
      </c>
      <c r="D3394" s="46">
        <f>'Timeline'!U359</f>
        <v/>
      </c>
      <c r="E3394" s="46">
        <f>IF(OR(B3394="",C3394="",D3394=""),"",D3394*100000+(C3394-DATE(2000,1,1))+ROW()/100000)</f>
        <v/>
      </c>
      <c r="F3394" s="46">
        <f>IF(E3394="","",IF(C3394&gt;WeekEndDate,"",E3394))</f>
        <v/>
      </c>
    </row>
    <row r="3395">
      <c r="A3395" t="inlineStr">
        <is>
          <t>Timeline</t>
        </is>
      </c>
      <c r="B3395" s="46">
        <f>'Timeline'!V360</f>
        <v/>
      </c>
      <c r="C3395" s="84">
        <f>'Timeline'!T360</f>
        <v/>
      </c>
      <c r="D3395" s="46">
        <f>'Timeline'!U360</f>
        <v/>
      </c>
      <c r="E3395" s="46">
        <f>IF(OR(B3395="",C3395="",D3395=""),"",D3395*100000+(C3395-DATE(2000,1,1))+ROW()/100000)</f>
        <v/>
      </c>
      <c r="F3395" s="46">
        <f>IF(E3395="","",IF(C3395&gt;WeekEndDate,"",E3395))</f>
        <v/>
      </c>
    </row>
    <row r="3396">
      <c r="A3396" t="inlineStr">
        <is>
          <t>Timeline</t>
        </is>
      </c>
      <c r="B3396" s="46">
        <f>'Timeline'!V361</f>
        <v/>
      </c>
      <c r="C3396" s="84">
        <f>'Timeline'!T361</f>
        <v/>
      </c>
      <c r="D3396" s="46">
        <f>'Timeline'!U361</f>
        <v/>
      </c>
      <c r="E3396" s="46">
        <f>IF(OR(B3396="",C3396="",D3396=""),"",D3396*100000+(C3396-DATE(2000,1,1))+ROW()/100000)</f>
        <v/>
      </c>
      <c r="F3396" s="46">
        <f>IF(E3396="","",IF(C3396&gt;WeekEndDate,"",E3396))</f>
        <v/>
      </c>
    </row>
    <row r="3397">
      <c r="A3397" t="inlineStr">
        <is>
          <t>Timeline</t>
        </is>
      </c>
      <c r="B3397" s="46">
        <f>'Timeline'!V362</f>
        <v/>
      </c>
      <c r="C3397" s="84">
        <f>'Timeline'!T362</f>
        <v/>
      </c>
      <c r="D3397" s="46">
        <f>'Timeline'!U362</f>
        <v/>
      </c>
      <c r="E3397" s="46">
        <f>IF(OR(B3397="",C3397="",D3397=""),"",D3397*100000+(C3397-DATE(2000,1,1))+ROW()/100000)</f>
        <v/>
      </c>
      <c r="F3397" s="46">
        <f>IF(E3397="","",IF(C3397&gt;WeekEndDate,"",E3397))</f>
        <v/>
      </c>
    </row>
    <row r="3398">
      <c r="A3398" t="inlineStr">
        <is>
          <t>Timeline</t>
        </is>
      </c>
      <c r="B3398" s="46">
        <f>'Timeline'!V363</f>
        <v/>
      </c>
      <c r="C3398" s="84">
        <f>'Timeline'!T363</f>
        <v/>
      </c>
      <c r="D3398" s="46">
        <f>'Timeline'!U363</f>
        <v/>
      </c>
      <c r="E3398" s="46">
        <f>IF(OR(B3398="",C3398="",D3398=""),"",D3398*100000+(C3398-DATE(2000,1,1))+ROW()/100000)</f>
        <v/>
      </c>
      <c r="F3398" s="46">
        <f>IF(E3398="","",IF(C3398&gt;WeekEndDate,"",E3398))</f>
        <v/>
      </c>
    </row>
    <row r="3399">
      <c r="A3399" t="inlineStr">
        <is>
          <t>Timeline</t>
        </is>
      </c>
      <c r="B3399" s="46">
        <f>'Timeline'!V364</f>
        <v/>
      </c>
      <c r="C3399" s="84">
        <f>'Timeline'!T364</f>
        <v/>
      </c>
      <c r="D3399" s="46">
        <f>'Timeline'!U364</f>
        <v/>
      </c>
      <c r="E3399" s="46">
        <f>IF(OR(B3399="",C3399="",D3399=""),"",D3399*100000+(C3399-DATE(2000,1,1))+ROW()/100000)</f>
        <v/>
      </c>
      <c r="F3399" s="46">
        <f>IF(E3399="","",IF(C3399&gt;WeekEndDate,"",E3399))</f>
        <v/>
      </c>
    </row>
    <row r="3400">
      <c r="A3400" t="inlineStr">
        <is>
          <t>Timeline</t>
        </is>
      </c>
      <c r="B3400" s="46">
        <f>'Timeline'!V365</f>
        <v/>
      </c>
      <c r="C3400" s="84">
        <f>'Timeline'!T365</f>
        <v/>
      </c>
      <c r="D3400" s="46">
        <f>'Timeline'!U365</f>
        <v/>
      </c>
      <c r="E3400" s="46">
        <f>IF(OR(B3400="",C3400="",D3400=""),"",D3400*100000+(C3400-DATE(2000,1,1))+ROW()/100000)</f>
        <v/>
      </c>
      <c r="F3400" s="46">
        <f>IF(E3400="","",IF(C3400&gt;WeekEndDate,"",E3400))</f>
        <v/>
      </c>
    </row>
    <row r="3401">
      <c r="A3401" t="inlineStr">
        <is>
          <t>Timeline</t>
        </is>
      </c>
      <c r="B3401" s="46">
        <f>'Timeline'!V366</f>
        <v/>
      </c>
      <c r="C3401" s="84">
        <f>'Timeline'!T366</f>
        <v/>
      </c>
      <c r="D3401" s="46">
        <f>'Timeline'!U366</f>
        <v/>
      </c>
      <c r="E3401" s="46">
        <f>IF(OR(B3401="",C3401="",D3401=""),"",D3401*100000+(C3401-DATE(2000,1,1))+ROW()/100000)</f>
        <v/>
      </c>
      <c r="F3401" s="46">
        <f>IF(E3401="","",IF(C3401&gt;WeekEndDate,"",E3401))</f>
        <v/>
      </c>
    </row>
    <row r="3402">
      <c r="A3402" t="inlineStr">
        <is>
          <t>Timeline</t>
        </is>
      </c>
      <c r="B3402" s="46">
        <f>'Timeline'!V367</f>
        <v/>
      </c>
      <c r="C3402" s="84">
        <f>'Timeline'!T367</f>
        <v/>
      </c>
      <c r="D3402" s="46">
        <f>'Timeline'!U367</f>
        <v/>
      </c>
      <c r="E3402" s="46">
        <f>IF(OR(B3402="",C3402="",D3402=""),"",D3402*100000+(C3402-DATE(2000,1,1))+ROW()/100000)</f>
        <v/>
      </c>
      <c r="F3402" s="46">
        <f>IF(E3402="","",IF(C3402&gt;WeekEndDate,"",E3402))</f>
        <v/>
      </c>
    </row>
    <row r="3403">
      <c r="A3403" t="inlineStr">
        <is>
          <t>Timeline</t>
        </is>
      </c>
      <c r="B3403" s="46">
        <f>'Timeline'!V368</f>
        <v/>
      </c>
      <c r="C3403" s="84">
        <f>'Timeline'!T368</f>
        <v/>
      </c>
      <c r="D3403" s="46">
        <f>'Timeline'!U368</f>
        <v/>
      </c>
      <c r="E3403" s="46">
        <f>IF(OR(B3403="",C3403="",D3403=""),"",D3403*100000+(C3403-DATE(2000,1,1))+ROW()/100000)</f>
        <v/>
      </c>
      <c r="F3403" s="46">
        <f>IF(E3403="","",IF(C3403&gt;WeekEndDate,"",E3403))</f>
        <v/>
      </c>
    </row>
    <row r="3404">
      <c r="A3404" t="inlineStr">
        <is>
          <t>Timeline</t>
        </is>
      </c>
      <c r="B3404" s="46">
        <f>'Timeline'!V369</f>
        <v/>
      </c>
      <c r="C3404" s="84">
        <f>'Timeline'!T369</f>
        <v/>
      </c>
      <c r="D3404" s="46">
        <f>'Timeline'!U369</f>
        <v/>
      </c>
      <c r="E3404" s="46">
        <f>IF(OR(B3404="",C3404="",D3404=""),"",D3404*100000+(C3404-DATE(2000,1,1))+ROW()/100000)</f>
        <v/>
      </c>
      <c r="F3404" s="46">
        <f>IF(E3404="","",IF(C3404&gt;WeekEndDate,"",E3404))</f>
        <v/>
      </c>
    </row>
    <row r="3405">
      <c r="A3405" t="inlineStr">
        <is>
          <t>Timeline</t>
        </is>
      </c>
      <c r="B3405" s="46">
        <f>'Timeline'!V370</f>
        <v/>
      </c>
      <c r="C3405" s="84">
        <f>'Timeline'!T370</f>
        <v/>
      </c>
      <c r="D3405" s="46">
        <f>'Timeline'!U370</f>
        <v/>
      </c>
      <c r="E3405" s="46">
        <f>IF(OR(B3405="",C3405="",D3405=""),"",D3405*100000+(C3405-DATE(2000,1,1))+ROW()/100000)</f>
        <v/>
      </c>
      <c r="F3405" s="46">
        <f>IF(E3405="","",IF(C3405&gt;WeekEndDate,"",E3405))</f>
        <v/>
      </c>
    </row>
    <row r="3406">
      <c r="A3406" t="inlineStr">
        <is>
          <t>Timeline</t>
        </is>
      </c>
      <c r="B3406" s="46">
        <f>'Timeline'!V371</f>
        <v/>
      </c>
      <c r="C3406" s="84">
        <f>'Timeline'!T371</f>
        <v/>
      </c>
      <c r="D3406" s="46">
        <f>'Timeline'!U371</f>
        <v/>
      </c>
      <c r="E3406" s="46">
        <f>IF(OR(B3406="",C3406="",D3406=""),"",D3406*100000+(C3406-DATE(2000,1,1))+ROW()/100000)</f>
        <v/>
      </c>
      <c r="F3406" s="46">
        <f>IF(E3406="","",IF(C3406&gt;WeekEndDate,"",E3406))</f>
        <v/>
      </c>
    </row>
    <row r="3407">
      <c r="A3407" t="inlineStr">
        <is>
          <t>Timeline</t>
        </is>
      </c>
      <c r="B3407" s="46">
        <f>'Timeline'!V372</f>
        <v/>
      </c>
      <c r="C3407" s="84">
        <f>'Timeline'!T372</f>
        <v/>
      </c>
      <c r="D3407" s="46">
        <f>'Timeline'!U372</f>
        <v/>
      </c>
      <c r="E3407" s="46">
        <f>IF(OR(B3407="",C3407="",D3407=""),"",D3407*100000+(C3407-DATE(2000,1,1))+ROW()/100000)</f>
        <v/>
      </c>
      <c r="F3407" s="46">
        <f>IF(E3407="","",IF(C3407&gt;WeekEndDate,"",E3407))</f>
        <v/>
      </c>
    </row>
    <row r="3408">
      <c r="A3408" t="inlineStr">
        <is>
          <t>Timeline</t>
        </is>
      </c>
      <c r="B3408" s="46">
        <f>'Timeline'!V373</f>
        <v/>
      </c>
      <c r="C3408" s="84">
        <f>'Timeline'!T373</f>
        <v/>
      </c>
      <c r="D3408" s="46">
        <f>'Timeline'!U373</f>
        <v/>
      </c>
      <c r="E3408" s="46">
        <f>IF(OR(B3408="",C3408="",D3408=""),"",D3408*100000+(C3408-DATE(2000,1,1))+ROW()/100000)</f>
        <v/>
      </c>
      <c r="F3408" s="46">
        <f>IF(E3408="","",IF(C3408&gt;WeekEndDate,"",E3408))</f>
        <v/>
      </c>
    </row>
    <row r="3409">
      <c r="A3409" t="inlineStr">
        <is>
          <t>Timeline</t>
        </is>
      </c>
      <c r="B3409" s="46">
        <f>'Timeline'!V374</f>
        <v/>
      </c>
      <c r="C3409" s="84">
        <f>'Timeline'!T374</f>
        <v/>
      </c>
      <c r="D3409" s="46">
        <f>'Timeline'!U374</f>
        <v/>
      </c>
      <c r="E3409" s="46">
        <f>IF(OR(B3409="",C3409="",D3409=""),"",D3409*100000+(C3409-DATE(2000,1,1))+ROW()/100000)</f>
        <v/>
      </c>
      <c r="F3409" s="46">
        <f>IF(E3409="","",IF(C3409&gt;WeekEndDate,"",E3409))</f>
        <v/>
      </c>
    </row>
    <row r="3410">
      <c r="A3410" t="inlineStr">
        <is>
          <t>Timeline</t>
        </is>
      </c>
      <c r="B3410" s="46">
        <f>'Timeline'!V375</f>
        <v/>
      </c>
      <c r="C3410" s="84">
        <f>'Timeline'!T375</f>
        <v/>
      </c>
      <c r="D3410" s="46">
        <f>'Timeline'!U375</f>
        <v/>
      </c>
      <c r="E3410" s="46">
        <f>IF(OR(B3410="",C3410="",D3410=""),"",D3410*100000+(C3410-DATE(2000,1,1))+ROW()/100000)</f>
        <v/>
      </c>
      <c r="F3410" s="46">
        <f>IF(E3410="","",IF(C3410&gt;WeekEndDate,"",E3410))</f>
        <v/>
      </c>
    </row>
    <row r="3411">
      <c r="A3411" t="inlineStr">
        <is>
          <t>Timeline</t>
        </is>
      </c>
      <c r="B3411" s="46">
        <f>'Timeline'!V376</f>
        <v/>
      </c>
      <c r="C3411" s="84">
        <f>'Timeline'!T376</f>
        <v/>
      </c>
      <c r="D3411" s="46">
        <f>'Timeline'!U376</f>
        <v/>
      </c>
      <c r="E3411" s="46">
        <f>IF(OR(B3411="",C3411="",D3411=""),"",D3411*100000+(C3411-DATE(2000,1,1))+ROW()/100000)</f>
        <v/>
      </c>
      <c r="F3411" s="46">
        <f>IF(E3411="","",IF(C3411&gt;WeekEndDate,"",E3411))</f>
        <v/>
      </c>
    </row>
    <row r="3412">
      <c r="A3412" t="inlineStr">
        <is>
          <t>Timeline</t>
        </is>
      </c>
      <c r="B3412" s="46">
        <f>'Timeline'!V377</f>
        <v/>
      </c>
      <c r="C3412" s="84">
        <f>'Timeline'!T377</f>
        <v/>
      </c>
      <c r="D3412" s="46">
        <f>'Timeline'!U377</f>
        <v/>
      </c>
      <c r="E3412" s="46">
        <f>IF(OR(B3412="",C3412="",D3412=""),"",D3412*100000+(C3412-DATE(2000,1,1))+ROW()/100000)</f>
        <v/>
      </c>
      <c r="F3412" s="46">
        <f>IF(E3412="","",IF(C3412&gt;WeekEndDate,"",E3412))</f>
        <v/>
      </c>
    </row>
    <row r="3413">
      <c r="A3413" t="inlineStr">
        <is>
          <t>Timeline</t>
        </is>
      </c>
      <c r="B3413" s="46">
        <f>'Timeline'!V378</f>
        <v/>
      </c>
      <c r="C3413" s="84">
        <f>'Timeline'!T378</f>
        <v/>
      </c>
      <c r="D3413" s="46">
        <f>'Timeline'!U378</f>
        <v/>
      </c>
      <c r="E3413" s="46">
        <f>IF(OR(B3413="",C3413="",D3413=""),"",D3413*100000+(C3413-DATE(2000,1,1))+ROW()/100000)</f>
        <v/>
      </c>
      <c r="F3413" s="46">
        <f>IF(E3413="","",IF(C3413&gt;WeekEndDate,"",E3413))</f>
        <v/>
      </c>
    </row>
    <row r="3414">
      <c r="A3414" t="inlineStr">
        <is>
          <t>Timeline</t>
        </is>
      </c>
      <c r="B3414" s="46">
        <f>'Timeline'!V379</f>
        <v/>
      </c>
      <c r="C3414" s="84">
        <f>'Timeline'!T379</f>
        <v/>
      </c>
      <c r="D3414" s="46">
        <f>'Timeline'!U379</f>
        <v/>
      </c>
      <c r="E3414" s="46">
        <f>IF(OR(B3414="",C3414="",D3414=""),"",D3414*100000+(C3414-DATE(2000,1,1))+ROW()/100000)</f>
        <v/>
      </c>
      <c r="F3414" s="46">
        <f>IF(E3414="","",IF(C3414&gt;WeekEndDate,"",E3414))</f>
        <v/>
      </c>
    </row>
    <row r="3415">
      <c r="A3415" t="inlineStr">
        <is>
          <t>Timeline</t>
        </is>
      </c>
      <c r="B3415" s="46">
        <f>'Timeline'!V380</f>
        <v/>
      </c>
      <c r="C3415" s="84">
        <f>'Timeline'!T380</f>
        <v/>
      </c>
      <c r="D3415" s="46">
        <f>'Timeline'!U380</f>
        <v/>
      </c>
      <c r="E3415" s="46">
        <f>IF(OR(B3415="",C3415="",D3415=""),"",D3415*100000+(C3415-DATE(2000,1,1))+ROW()/100000)</f>
        <v/>
      </c>
      <c r="F3415" s="46">
        <f>IF(E3415="","",IF(C3415&gt;WeekEndDate,"",E3415))</f>
        <v/>
      </c>
    </row>
    <row r="3416">
      <c r="A3416" t="inlineStr">
        <is>
          <t>Timeline</t>
        </is>
      </c>
      <c r="B3416" s="46">
        <f>'Timeline'!V381</f>
        <v/>
      </c>
      <c r="C3416" s="84">
        <f>'Timeline'!T381</f>
        <v/>
      </c>
      <c r="D3416" s="46">
        <f>'Timeline'!U381</f>
        <v/>
      </c>
      <c r="E3416" s="46">
        <f>IF(OR(B3416="",C3416="",D3416=""),"",D3416*100000+(C3416-DATE(2000,1,1))+ROW()/100000)</f>
        <v/>
      </c>
      <c r="F3416" s="46">
        <f>IF(E3416="","",IF(C3416&gt;WeekEndDate,"",E3416))</f>
        <v/>
      </c>
    </row>
    <row r="3417">
      <c r="A3417" t="inlineStr">
        <is>
          <t>Timeline</t>
        </is>
      </c>
      <c r="B3417" s="46">
        <f>'Timeline'!V382</f>
        <v/>
      </c>
      <c r="C3417" s="84">
        <f>'Timeline'!T382</f>
        <v/>
      </c>
      <c r="D3417" s="46">
        <f>'Timeline'!U382</f>
        <v/>
      </c>
      <c r="E3417" s="46">
        <f>IF(OR(B3417="",C3417="",D3417=""),"",D3417*100000+(C3417-DATE(2000,1,1))+ROW()/100000)</f>
        <v/>
      </c>
      <c r="F3417" s="46">
        <f>IF(E3417="","",IF(C3417&gt;WeekEndDate,"",E3417))</f>
        <v/>
      </c>
    </row>
    <row r="3418">
      <c r="A3418" t="inlineStr">
        <is>
          <t>Timeline</t>
        </is>
      </c>
      <c r="B3418" s="46">
        <f>'Timeline'!V383</f>
        <v/>
      </c>
      <c r="C3418" s="84">
        <f>'Timeline'!T383</f>
        <v/>
      </c>
      <c r="D3418" s="46">
        <f>'Timeline'!U383</f>
        <v/>
      </c>
      <c r="E3418" s="46">
        <f>IF(OR(B3418="",C3418="",D3418=""),"",D3418*100000+(C3418-DATE(2000,1,1))+ROW()/100000)</f>
        <v/>
      </c>
      <c r="F3418" s="46">
        <f>IF(E3418="","",IF(C3418&gt;WeekEndDate,"",E3418))</f>
        <v/>
      </c>
    </row>
    <row r="3419">
      <c r="A3419" t="inlineStr">
        <is>
          <t>Timeline</t>
        </is>
      </c>
      <c r="B3419" s="46">
        <f>'Timeline'!V384</f>
        <v/>
      </c>
      <c r="C3419" s="84">
        <f>'Timeline'!T384</f>
        <v/>
      </c>
      <c r="D3419" s="46">
        <f>'Timeline'!U384</f>
        <v/>
      </c>
      <c r="E3419" s="46">
        <f>IF(OR(B3419="",C3419="",D3419=""),"",D3419*100000+(C3419-DATE(2000,1,1))+ROW()/100000)</f>
        <v/>
      </c>
      <c r="F3419" s="46">
        <f>IF(E3419="","",IF(C3419&gt;WeekEndDate,"",E3419))</f>
        <v/>
      </c>
    </row>
    <row r="3420">
      <c r="A3420" t="inlineStr">
        <is>
          <t>Timeline</t>
        </is>
      </c>
      <c r="B3420" s="46">
        <f>'Timeline'!V385</f>
        <v/>
      </c>
      <c r="C3420" s="84">
        <f>'Timeline'!T385</f>
        <v/>
      </c>
      <c r="D3420" s="46">
        <f>'Timeline'!U385</f>
        <v/>
      </c>
      <c r="E3420" s="46">
        <f>IF(OR(B3420="",C3420="",D3420=""),"",D3420*100000+(C3420-DATE(2000,1,1))+ROW()/100000)</f>
        <v/>
      </c>
      <c r="F3420" s="46">
        <f>IF(E3420="","",IF(C3420&gt;WeekEndDate,"",E3420))</f>
        <v/>
      </c>
    </row>
    <row r="3421">
      <c r="A3421" t="inlineStr">
        <is>
          <t>Timeline</t>
        </is>
      </c>
      <c r="B3421" s="46">
        <f>'Timeline'!V386</f>
        <v/>
      </c>
      <c r="C3421" s="84">
        <f>'Timeline'!T386</f>
        <v/>
      </c>
      <c r="D3421" s="46">
        <f>'Timeline'!U386</f>
        <v/>
      </c>
      <c r="E3421" s="46">
        <f>IF(OR(B3421="",C3421="",D3421=""),"",D3421*100000+(C3421-DATE(2000,1,1))+ROW()/100000)</f>
        <v/>
      </c>
      <c r="F3421" s="46">
        <f>IF(E3421="","",IF(C3421&gt;WeekEndDate,"",E3421))</f>
        <v/>
      </c>
    </row>
    <row r="3422">
      <c r="A3422" t="inlineStr">
        <is>
          <t>Timeline</t>
        </is>
      </c>
      <c r="B3422" s="46">
        <f>'Timeline'!V387</f>
        <v/>
      </c>
      <c r="C3422" s="84">
        <f>'Timeline'!T387</f>
        <v/>
      </c>
      <c r="D3422" s="46">
        <f>'Timeline'!U387</f>
        <v/>
      </c>
      <c r="E3422" s="46">
        <f>IF(OR(B3422="",C3422="",D3422=""),"",D3422*100000+(C3422-DATE(2000,1,1))+ROW()/100000)</f>
        <v/>
      </c>
      <c r="F3422" s="46">
        <f>IF(E3422="","",IF(C3422&gt;WeekEndDate,"",E3422))</f>
        <v/>
      </c>
    </row>
    <row r="3423">
      <c r="A3423" t="inlineStr">
        <is>
          <t>Timeline</t>
        </is>
      </c>
      <c r="B3423" s="46">
        <f>'Timeline'!V388</f>
        <v/>
      </c>
      <c r="C3423" s="84">
        <f>'Timeline'!T388</f>
        <v/>
      </c>
      <c r="D3423" s="46">
        <f>'Timeline'!U388</f>
        <v/>
      </c>
      <c r="E3423" s="46">
        <f>IF(OR(B3423="",C3423="",D3423=""),"",D3423*100000+(C3423-DATE(2000,1,1))+ROW()/100000)</f>
        <v/>
      </c>
      <c r="F3423" s="46">
        <f>IF(E3423="","",IF(C3423&gt;WeekEndDate,"",E3423))</f>
        <v/>
      </c>
    </row>
    <row r="3424">
      <c r="A3424" t="inlineStr">
        <is>
          <t>Timeline</t>
        </is>
      </c>
      <c r="B3424" s="46">
        <f>'Timeline'!V389</f>
        <v/>
      </c>
      <c r="C3424" s="84">
        <f>'Timeline'!T389</f>
        <v/>
      </c>
      <c r="D3424" s="46">
        <f>'Timeline'!U389</f>
        <v/>
      </c>
      <c r="E3424" s="46">
        <f>IF(OR(B3424="",C3424="",D3424=""),"",D3424*100000+(C3424-DATE(2000,1,1))+ROW()/100000)</f>
        <v/>
      </c>
      <c r="F3424" s="46">
        <f>IF(E3424="","",IF(C3424&gt;WeekEndDate,"",E3424))</f>
        <v/>
      </c>
    </row>
    <row r="3425">
      <c r="A3425" t="inlineStr">
        <is>
          <t>Timeline</t>
        </is>
      </c>
      <c r="B3425" s="46">
        <f>'Timeline'!V390</f>
        <v/>
      </c>
      <c r="C3425" s="84">
        <f>'Timeline'!T390</f>
        <v/>
      </c>
      <c r="D3425" s="46">
        <f>'Timeline'!U390</f>
        <v/>
      </c>
      <c r="E3425" s="46">
        <f>IF(OR(B3425="",C3425="",D3425=""),"",D3425*100000+(C3425-DATE(2000,1,1))+ROW()/100000)</f>
        <v/>
      </c>
      <c r="F3425" s="46">
        <f>IF(E3425="","",IF(C3425&gt;WeekEndDate,"",E3425))</f>
        <v/>
      </c>
    </row>
    <row r="3426">
      <c r="A3426" t="inlineStr">
        <is>
          <t>Timeline</t>
        </is>
      </c>
      <c r="B3426" s="46">
        <f>'Timeline'!V391</f>
        <v/>
      </c>
      <c r="C3426" s="84">
        <f>'Timeline'!T391</f>
        <v/>
      </c>
      <c r="D3426" s="46">
        <f>'Timeline'!U391</f>
        <v/>
      </c>
      <c r="E3426" s="46">
        <f>IF(OR(B3426="",C3426="",D3426=""),"",D3426*100000+(C3426-DATE(2000,1,1))+ROW()/100000)</f>
        <v/>
      </c>
      <c r="F3426" s="46">
        <f>IF(E3426="","",IF(C3426&gt;WeekEndDate,"",E3426))</f>
        <v/>
      </c>
    </row>
    <row r="3427">
      <c r="A3427" t="inlineStr">
        <is>
          <t>Timeline</t>
        </is>
      </c>
      <c r="B3427" s="46">
        <f>'Timeline'!V392</f>
        <v/>
      </c>
      <c r="C3427" s="84">
        <f>'Timeline'!T392</f>
        <v/>
      </c>
      <c r="D3427" s="46">
        <f>'Timeline'!U392</f>
        <v/>
      </c>
      <c r="E3427" s="46">
        <f>IF(OR(B3427="",C3427="",D3427=""),"",D3427*100000+(C3427-DATE(2000,1,1))+ROW()/100000)</f>
        <v/>
      </c>
      <c r="F3427" s="46">
        <f>IF(E3427="","",IF(C3427&gt;WeekEndDate,"",E3427))</f>
        <v/>
      </c>
    </row>
    <row r="3428">
      <c r="A3428" t="inlineStr">
        <is>
          <t>Timeline</t>
        </is>
      </c>
      <c r="B3428" s="46">
        <f>'Timeline'!V393</f>
        <v/>
      </c>
      <c r="C3428" s="84">
        <f>'Timeline'!T393</f>
        <v/>
      </c>
      <c r="D3428" s="46">
        <f>'Timeline'!U393</f>
        <v/>
      </c>
      <c r="E3428" s="46">
        <f>IF(OR(B3428="",C3428="",D3428=""),"",D3428*100000+(C3428-DATE(2000,1,1))+ROW()/100000)</f>
        <v/>
      </c>
      <c r="F3428" s="46">
        <f>IF(E3428="","",IF(C3428&gt;WeekEndDate,"",E3428))</f>
        <v/>
      </c>
    </row>
    <row r="3429">
      <c r="A3429" t="inlineStr">
        <is>
          <t>Timeline</t>
        </is>
      </c>
      <c r="B3429" s="46">
        <f>'Timeline'!V394</f>
        <v/>
      </c>
      <c r="C3429" s="84">
        <f>'Timeline'!T394</f>
        <v/>
      </c>
      <c r="D3429" s="46">
        <f>'Timeline'!U394</f>
        <v/>
      </c>
      <c r="E3429" s="46">
        <f>IF(OR(B3429="",C3429="",D3429=""),"",D3429*100000+(C3429-DATE(2000,1,1))+ROW()/100000)</f>
        <v/>
      </c>
      <c r="F3429" s="46">
        <f>IF(E3429="","",IF(C3429&gt;WeekEndDate,"",E3429))</f>
        <v/>
      </c>
    </row>
    <row r="3430">
      <c r="A3430" t="inlineStr">
        <is>
          <t>Timeline</t>
        </is>
      </c>
      <c r="B3430" s="46">
        <f>'Timeline'!V395</f>
        <v/>
      </c>
      <c r="C3430" s="84">
        <f>'Timeline'!T395</f>
        <v/>
      </c>
      <c r="D3430" s="46">
        <f>'Timeline'!U395</f>
        <v/>
      </c>
      <c r="E3430" s="46">
        <f>IF(OR(B3430="",C3430="",D3430=""),"",D3430*100000+(C3430-DATE(2000,1,1))+ROW()/100000)</f>
        <v/>
      </c>
      <c r="F3430" s="46">
        <f>IF(E3430="","",IF(C3430&gt;WeekEndDate,"",E3430))</f>
        <v/>
      </c>
    </row>
    <row r="3431">
      <c r="A3431" t="inlineStr">
        <is>
          <t>Timeline</t>
        </is>
      </c>
      <c r="B3431" s="46">
        <f>'Timeline'!V396</f>
        <v/>
      </c>
      <c r="C3431" s="84">
        <f>'Timeline'!T396</f>
        <v/>
      </c>
      <c r="D3431" s="46">
        <f>'Timeline'!U396</f>
        <v/>
      </c>
      <c r="E3431" s="46">
        <f>IF(OR(B3431="",C3431="",D3431=""),"",D3431*100000+(C3431-DATE(2000,1,1))+ROW()/100000)</f>
        <v/>
      </c>
      <c r="F3431" s="46">
        <f>IF(E3431="","",IF(C3431&gt;WeekEndDate,"",E3431))</f>
        <v/>
      </c>
    </row>
    <row r="3432">
      <c r="A3432" t="inlineStr">
        <is>
          <t>Timeline</t>
        </is>
      </c>
      <c r="B3432" s="46">
        <f>'Timeline'!V397</f>
        <v/>
      </c>
      <c r="C3432" s="84">
        <f>'Timeline'!T397</f>
        <v/>
      </c>
      <c r="D3432" s="46">
        <f>'Timeline'!U397</f>
        <v/>
      </c>
      <c r="E3432" s="46">
        <f>IF(OR(B3432="",C3432="",D3432=""),"",D3432*100000+(C3432-DATE(2000,1,1))+ROW()/100000)</f>
        <v/>
      </c>
      <c r="F3432" s="46">
        <f>IF(E3432="","",IF(C3432&gt;WeekEndDate,"",E3432))</f>
        <v/>
      </c>
    </row>
    <row r="3433">
      <c r="A3433" t="inlineStr">
        <is>
          <t>Timeline</t>
        </is>
      </c>
      <c r="B3433" s="46">
        <f>'Timeline'!V398</f>
        <v/>
      </c>
      <c r="C3433" s="84">
        <f>'Timeline'!T398</f>
        <v/>
      </c>
      <c r="D3433" s="46">
        <f>'Timeline'!U398</f>
        <v/>
      </c>
      <c r="E3433" s="46">
        <f>IF(OR(B3433="",C3433="",D3433=""),"",D3433*100000+(C3433-DATE(2000,1,1))+ROW()/100000)</f>
        <v/>
      </c>
      <c r="F3433" s="46">
        <f>IF(E3433="","",IF(C3433&gt;WeekEndDate,"",E3433))</f>
        <v/>
      </c>
    </row>
    <row r="3434">
      <c r="A3434" t="inlineStr">
        <is>
          <t>Timeline</t>
        </is>
      </c>
      <c r="B3434" s="46">
        <f>'Timeline'!V399</f>
        <v/>
      </c>
      <c r="C3434" s="84">
        <f>'Timeline'!T399</f>
        <v/>
      </c>
      <c r="D3434" s="46">
        <f>'Timeline'!U399</f>
        <v/>
      </c>
      <c r="E3434" s="46">
        <f>IF(OR(B3434="",C3434="",D3434=""),"",D3434*100000+(C3434-DATE(2000,1,1))+ROW()/100000)</f>
        <v/>
      </c>
      <c r="F3434" s="46">
        <f>IF(E3434="","",IF(C3434&gt;WeekEndDate,"",E3434))</f>
        <v/>
      </c>
    </row>
    <row r="3435">
      <c r="A3435" t="inlineStr">
        <is>
          <t>Timeline</t>
        </is>
      </c>
      <c r="B3435" s="46">
        <f>'Timeline'!V400</f>
        <v/>
      </c>
      <c r="C3435" s="84">
        <f>'Timeline'!T400</f>
        <v/>
      </c>
      <c r="D3435" s="46">
        <f>'Timeline'!U400</f>
        <v/>
      </c>
      <c r="E3435" s="46">
        <f>IF(OR(B3435="",C3435="",D3435=""),"",D3435*100000+(C3435-DATE(2000,1,1))+ROW()/100000)</f>
        <v/>
      </c>
      <c r="F3435" s="46">
        <f>IF(E3435="","",IF(C3435&gt;WeekEndDate,"",E3435))</f>
        <v/>
      </c>
    </row>
    <row r="3436">
      <c r="A3436" t="inlineStr">
        <is>
          <t>Timeline</t>
        </is>
      </c>
      <c r="B3436" s="46">
        <f>'Timeline'!V401</f>
        <v/>
      </c>
      <c r="C3436" s="84">
        <f>'Timeline'!T401</f>
        <v/>
      </c>
      <c r="D3436" s="46">
        <f>'Timeline'!U401</f>
        <v/>
      </c>
      <c r="E3436" s="46">
        <f>IF(OR(B3436="",C3436="",D3436=""),"",D3436*100000+(C3436-DATE(2000,1,1))+ROW()/100000)</f>
        <v/>
      </c>
      <c r="F3436" s="46">
        <f>IF(E3436="","",IF(C3436&gt;WeekEndDate,"",E3436))</f>
        <v/>
      </c>
    </row>
    <row r="3437">
      <c r="A3437" t="inlineStr">
        <is>
          <t>Timeline</t>
        </is>
      </c>
      <c r="B3437" s="46">
        <f>'Timeline'!V402</f>
        <v/>
      </c>
      <c r="C3437" s="84">
        <f>'Timeline'!T402</f>
        <v/>
      </c>
      <c r="D3437" s="46">
        <f>'Timeline'!U402</f>
        <v/>
      </c>
      <c r="E3437" s="46">
        <f>IF(OR(B3437="",C3437="",D3437=""),"",D3437*100000+(C3437-DATE(2000,1,1))+ROW()/100000)</f>
        <v/>
      </c>
      <c r="F3437" s="46">
        <f>IF(E3437="","",IF(C3437&gt;WeekEndDate,"",E3437))</f>
        <v/>
      </c>
    </row>
    <row r="3438">
      <c r="A3438" t="inlineStr">
        <is>
          <t>Timeline</t>
        </is>
      </c>
      <c r="B3438" s="46">
        <f>'Timeline'!V403</f>
        <v/>
      </c>
      <c r="C3438" s="84">
        <f>'Timeline'!T403</f>
        <v/>
      </c>
      <c r="D3438" s="46">
        <f>'Timeline'!U403</f>
        <v/>
      </c>
      <c r="E3438" s="46">
        <f>IF(OR(B3438="",C3438="",D3438=""),"",D3438*100000+(C3438-DATE(2000,1,1))+ROW()/100000)</f>
        <v/>
      </c>
      <c r="F3438" s="46">
        <f>IF(E3438="","",IF(C3438&gt;WeekEndDate,"",E3438))</f>
        <v/>
      </c>
    </row>
    <row r="3439">
      <c r="A3439" t="inlineStr">
        <is>
          <t>Timeline</t>
        </is>
      </c>
      <c r="B3439" s="46">
        <f>'Timeline'!V404</f>
        <v/>
      </c>
      <c r="C3439" s="84">
        <f>'Timeline'!T404</f>
        <v/>
      </c>
      <c r="D3439" s="46">
        <f>'Timeline'!U404</f>
        <v/>
      </c>
      <c r="E3439" s="46">
        <f>IF(OR(B3439="",C3439="",D3439=""),"",D3439*100000+(C3439-DATE(2000,1,1))+ROW()/100000)</f>
        <v/>
      </c>
      <c r="F3439" s="46">
        <f>IF(E3439="","",IF(C3439&gt;WeekEndDate,"",E3439))</f>
        <v/>
      </c>
    </row>
    <row r="3440">
      <c r="A3440" t="inlineStr">
        <is>
          <t>Timeline</t>
        </is>
      </c>
      <c r="B3440" s="46">
        <f>'Timeline'!V405</f>
        <v/>
      </c>
      <c r="C3440" s="84">
        <f>'Timeline'!T405</f>
        <v/>
      </c>
      <c r="D3440" s="46">
        <f>'Timeline'!U405</f>
        <v/>
      </c>
      <c r="E3440" s="46">
        <f>IF(OR(B3440="",C3440="",D3440=""),"",D3440*100000+(C3440-DATE(2000,1,1))+ROW()/100000)</f>
        <v/>
      </c>
      <c r="F3440" s="46">
        <f>IF(E3440="","",IF(C3440&gt;WeekEndDate,"",E3440))</f>
        <v/>
      </c>
    </row>
    <row r="3441">
      <c r="A3441" t="inlineStr">
        <is>
          <t>Timeline</t>
        </is>
      </c>
      <c r="B3441" s="46">
        <f>'Timeline'!V406</f>
        <v/>
      </c>
      <c r="C3441" s="84">
        <f>'Timeline'!T406</f>
        <v/>
      </c>
      <c r="D3441" s="46">
        <f>'Timeline'!U406</f>
        <v/>
      </c>
      <c r="E3441" s="46">
        <f>IF(OR(B3441="",C3441="",D3441=""),"",D3441*100000+(C3441-DATE(2000,1,1))+ROW()/100000)</f>
        <v/>
      </c>
      <c r="F3441" s="46">
        <f>IF(E3441="","",IF(C3441&gt;WeekEndDate,"",E3441))</f>
        <v/>
      </c>
    </row>
    <row r="3442">
      <c r="A3442" t="inlineStr">
        <is>
          <t>Timeline</t>
        </is>
      </c>
      <c r="B3442" s="46">
        <f>'Timeline'!V407</f>
        <v/>
      </c>
      <c r="C3442" s="84">
        <f>'Timeline'!T407</f>
        <v/>
      </c>
      <c r="D3442" s="46">
        <f>'Timeline'!U407</f>
        <v/>
      </c>
      <c r="E3442" s="46">
        <f>IF(OR(B3442="",C3442="",D3442=""),"",D3442*100000+(C3442-DATE(2000,1,1))+ROW()/100000)</f>
        <v/>
      </c>
      <c r="F3442" s="46">
        <f>IF(E3442="","",IF(C3442&gt;WeekEndDate,"",E3442))</f>
        <v/>
      </c>
    </row>
    <row r="3443">
      <c r="A3443" t="inlineStr">
        <is>
          <t>Timeline</t>
        </is>
      </c>
      <c r="B3443" s="46">
        <f>'Timeline'!V408</f>
        <v/>
      </c>
      <c r="C3443" s="84">
        <f>'Timeline'!T408</f>
        <v/>
      </c>
      <c r="D3443" s="46">
        <f>'Timeline'!U408</f>
        <v/>
      </c>
      <c r="E3443" s="46">
        <f>IF(OR(B3443="",C3443="",D3443=""),"",D3443*100000+(C3443-DATE(2000,1,1))+ROW()/100000)</f>
        <v/>
      </c>
      <c r="F3443" s="46">
        <f>IF(E3443="","",IF(C3443&gt;WeekEndDate,"",E3443))</f>
        <v/>
      </c>
    </row>
    <row r="3444">
      <c r="A3444" t="inlineStr">
        <is>
          <t>Timeline</t>
        </is>
      </c>
      <c r="B3444" s="46">
        <f>'Timeline'!V409</f>
        <v/>
      </c>
      <c r="C3444" s="84">
        <f>'Timeline'!T409</f>
        <v/>
      </c>
      <c r="D3444" s="46">
        <f>'Timeline'!U409</f>
        <v/>
      </c>
      <c r="E3444" s="46">
        <f>IF(OR(B3444="",C3444="",D3444=""),"",D3444*100000+(C3444-DATE(2000,1,1))+ROW()/100000)</f>
        <v/>
      </c>
      <c r="F3444" s="46">
        <f>IF(E3444="","",IF(C3444&gt;WeekEndDate,"",E3444))</f>
        <v/>
      </c>
    </row>
    <row r="3445">
      <c r="A3445" t="inlineStr">
        <is>
          <t>Timeline</t>
        </is>
      </c>
      <c r="B3445" s="46">
        <f>'Timeline'!V410</f>
        <v/>
      </c>
      <c r="C3445" s="84">
        <f>'Timeline'!T410</f>
        <v/>
      </c>
      <c r="D3445" s="46">
        <f>'Timeline'!U410</f>
        <v/>
      </c>
      <c r="E3445" s="46">
        <f>IF(OR(B3445="",C3445="",D3445=""),"",D3445*100000+(C3445-DATE(2000,1,1))+ROW()/100000)</f>
        <v/>
      </c>
      <c r="F3445" s="46">
        <f>IF(E3445="","",IF(C3445&gt;WeekEndDate,"",E3445))</f>
        <v/>
      </c>
    </row>
    <row r="3446">
      <c r="A3446" t="inlineStr">
        <is>
          <t>Timeline</t>
        </is>
      </c>
      <c r="B3446" s="46">
        <f>'Timeline'!V411</f>
        <v/>
      </c>
      <c r="C3446" s="84">
        <f>'Timeline'!T411</f>
        <v/>
      </c>
      <c r="D3446" s="46">
        <f>'Timeline'!U411</f>
        <v/>
      </c>
      <c r="E3446" s="46">
        <f>IF(OR(B3446="",C3446="",D3446=""),"",D3446*100000+(C3446-DATE(2000,1,1))+ROW()/100000)</f>
        <v/>
      </c>
      <c r="F3446" s="46">
        <f>IF(E3446="","",IF(C3446&gt;WeekEndDate,"",E3446))</f>
        <v/>
      </c>
    </row>
    <row r="3447">
      <c r="A3447" t="inlineStr">
        <is>
          <t>Timeline</t>
        </is>
      </c>
      <c r="B3447" s="46">
        <f>'Timeline'!V412</f>
        <v/>
      </c>
      <c r="C3447" s="84">
        <f>'Timeline'!T412</f>
        <v/>
      </c>
      <c r="D3447" s="46">
        <f>'Timeline'!U412</f>
        <v/>
      </c>
      <c r="E3447" s="46">
        <f>IF(OR(B3447="",C3447="",D3447=""),"",D3447*100000+(C3447-DATE(2000,1,1))+ROW()/100000)</f>
        <v/>
      </c>
      <c r="F3447" s="46">
        <f>IF(E3447="","",IF(C3447&gt;WeekEndDate,"",E3447))</f>
        <v/>
      </c>
    </row>
    <row r="3448">
      <c r="A3448" t="inlineStr">
        <is>
          <t>Timeline</t>
        </is>
      </c>
      <c r="B3448" s="46">
        <f>'Timeline'!V413</f>
        <v/>
      </c>
      <c r="C3448" s="84">
        <f>'Timeline'!T413</f>
        <v/>
      </c>
      <c r="D3448" s="46">
        <f>'Timeline'!U413</f>
        <v/>
      </c>
      <c r="E3448" s="46">
        <f>IF(OR(B3448="",C3448="",D3448=""),"",D3448*100000+(C3448-DATE(2000,1,1))+ROW()/100000)</f>
        <v/>
      </c>
      <c r="F3448" s="46">
        <f>IF(E3448="","",IF(C3448&gt;WeekEndDate,"",E3448))</f>
        <v/>
      </c>
    </row>
    <row r="3449">
      <c r="A3449" t="inlineStr">
        <is>
          <t>Timeline</t>
        </is>
      </c>
      <c r="B3449" s="46">
        <f>'Timeline'!V414</f>
        <v/>
      </c>
      <c r="C3449" s="84">
        <f>'Timeline'!T414</f>
        <v/>
      </c>
      <c r="D3449" s="46">
        <f>'Timeline'!U414</f>
        <v/>
      </c>
      <c r="E3449" s="46">
        <f>IF(OR(B3449="",C3449="",D3449=""),"",D3449*100000+(C3449-DATE(2000,1,1))+ROW()/100000)</f>
        <v/>
      </c>
      <c r="F3449" s="46">
        <f>IF(E3449="","",IF(C3449&gt;WeekEndDate,"",E3449))</f>
        <v/>
      </c>
    </row>
    <row r="3450">
      <c r="A3450" t="inlineStr">
        <is>
          <t>Timeline</t>
        </is>
      </c>
      <c r="B3450" s="46">
        <f>'Timeline'!V415</f>
        <v/>
      </c>
      <c r="C3450" s="84">
        <f>'Timeline'!T415</f>
        <v/>
      </c>
      <c r="D3450" s="46">
        <f>'Timeline'!U415</f>
        <v/>
      </c>
      <c r="E3450" s="46">
        <f>IF(OR(B3450="",C3450="",D3450=""),"",D3450*100000+(C3450-DATE(2000,1,1))+ROW()/100000)</f>
        <v/>
      </c>
      <c r="F3450" s="46">
        <f>IF(E3450="","",IF(C3450&gt;WeekEndDate,"",E3450))</f>
        <v/>
      </c>
    </row>
    <row r="3451">
      <c r="A3451" t="inlineStr">
        <is>
          <t>Timeline</t>
        </is>
      </c>
      <c r="B3451" s="46">
        <f>'Timeline'!V416</f>
        <v/>
      </c>
      <c r="C3451" s="84">
        <f>'Timeline'!T416</f>
        <v/>
      </c>
      <c r="D3451" s="46">
        <f>'Timeline'!U416</f>
        <v/>
      </c>
      <c r="E3451" s="46">
        <f>IF(OR(B3451="",C3451="",D3451=""),"",D3451*100000+(C3451-DATE(2000,1,1))+ROW()/100000)</f>
        <v/>
      </c>
      <c r="F3451" s="46">
        <f>IF(E3451="","",IF(C3451&gt;WeekEndDate,"",E3451))</f>
        <v/>
      </c>
    </row>
    <row r="3452">
      <c r="A3452" t="inlineStr">
        <is>
          <t>Timeline</t>
        </is>
      </c>
      <c r="B3452" s="46">
        <f>'Timeline'!V417</f>
        <v/>
      </c>
      <c r="C3452" s="84">
        <f>'Timeline'!T417</f>
        <v/>
      </c>
      <c r="D3452" s="46">
        <f>'Timeline'!U417</f>
        <v/>
      </c>
      <c r="E3452" s="46">
        <f>IF(OR(B3452="",C3452="",D3452=""),"",D3452*100000+(C3452-DATE(2000,1,1))+ROW()/100000)</f>
        <v/>
      </c>
      <c r="F3452" s="46">
        <f>IF(E3452="","",IF(C3452&gt;WeekEndDate,"",E3452))</f>
        <v/>
      </c>
    </row>
    <row r="3453">
      <c r="A3453" t="inlineStr">
        <is>
          <t>Timeline</t>
        </is>
      </c>
      <c r="B3453" s="46">
        <f>'Timeline'!V418</f>
        <v/>
      </c>
      <c r="C3453" s="84">
        <f>'Timeline'!T418</f>
        <v/>
      </c>
      <c r="D3453" s="46">
        <f>'Timeline'!U418</f>
        <v/>
      </c>
      <c r="E3453" s="46">
        <f>IF(OR(B3453="",C3453="",D3453=""),"",D3453*100000+(C3453-DATE(2000,1,1))+ROW()/100000)</f>
        <v/>
      </c>
      <c r="F3453" s="46">
        <f>IF(E3453="","",IF(C3453&gt;WeekEndDate,"",E3453))</f>
        <v/>
      </c>
    </row>
    <row r="3454">
      <c r="A3454" t="inlineStr">
        <is>
          <t>Timeline</t>
        </is>
      </c>
      <c r="B3454" s="46">
        <f>'Timeline'!V419</f>
        <v/>
      </c>
      <c r="C3454" s="84">
        <f>'Timeline'!T419</f>
        <v/>
      </c>
      <c r="D3454" s="46">
        <f>'Timeline'!U419</f>
        <v/>
      </c>
      <c r="E3454" s="46">
        <f>IF(OR(B3454="",C3454="",D3454=""),"",D3454*100000+(C3454-DATE(2000,1,1))+ROW()/100000)</f>
        <v/>
      </c>
      <c r="F3454" s="46">
        <f>IF(E3454="","",IF(C3454&gt;WeekEndDate,"",E3454))</f>
        <v/>
      </c>
    </row>
    <row r="3455">
      <c r="A3455" t="inlineStr">
        <is>
          <t>Timeline</t>
        </is>
      </c>
      <c r="B3455" s="46">
        <f>'Timeline'!V420</f>
        <v/>
      </c>
      <c r="C3455" s="84">
        <f>'Timeline'!T420</f>
        <v/>
      </c>
      <c r="D3455" s="46">
        <f>'Timeline'!U420</f>
        <v/>
      </c>
      <c r="E3455" s="46">
        <f>IF(OR(B3455="",C3455="",D3455=""),"",D3455*100000+(C3455-DATE(2000,1,1))+ROW()/100000)</f>
        <v/>
      </c>
      <c r="F3455" s="46">
        <f>IF(E3455="","",IF(C3455&gt;WeekEndDate,"",E3455))</f>
        <v/>
      </c>
    </row>
    <row r="3456">
      <c r="A3456" t="inlineStr">
        <is>
          <t>Timeline</t>
        </is>
      </c>
      <c r="B3456" s="46">
        <f>'Timeline'!V421</f>
        <v/>
      </c>
      <c r="C3456" s="84">
        <f>'Timeline'!T421</f>
        <v/>
      </c>
      <c r="D3456" s="46">
        <f>'Timeline'!U421</f>
        <v/>
      </c>
      <c r="E3456" s="46">
        <f>IF(OR(B3456="",C3456="",D3456=""),"",D3456*100000+(C3456-DATE(2000,1,1))+ROW()/100000)</f>
        <v/>
      </c>
      <c r="F3456" s="46">
        <f>IF(E3456="","",IF(C3456&gt;WeekEndDate,"",E3456))</f>
        <v/>
      </c>
    </row>
    <row r="3457">
      <c r="A3457" t="inlineStr">
        <is>
          <t>Timeline</t>
        </is>
      </c>
      <c r="B3457" s="46">
        <f>'Timeline'!V422</f>
        <v/>
      </c>
      <c r="C3457" s="84">
        <f>'Timeline'!T422</f>
        <v/>
      </c>
      <c r="D3457" s="46">
        <f>'Timeline'!U422</f>
        <v/>
      </c>
      <c r="E3457" s="46">
        <f>IF(OR(B3457="",C3457="",D3457=""),"",D3457*100000+(C3457-DATE(2000,1,1))+ROW()/100000)</f>
        <v/>
      </c>
      <c r="F3457" s="46">
        <f>IF(E3457="","",IF(C3457&gt;WeekEndDate,"",E3457))</f>
        <v/>
      </c>
    </row>
    <row r="3458">
      <c r="A3458" t="inlineStr">
        <is>
          <t>Timeline</t>
        </is>
      </c>
      <c r="B3458" s="46">
        <f>'Timeline'!V423</f>
        <v/>
      </c>
      <c r="C3458" s="84">
        <f>'Timeline'!T423</f>
        <v/>
      </c>
      <c r="D3458" s="46">
        <f>'Timeline'!U423</f>
        <v/>
      </c>
      <c r="E3458" s="46">
        <f>IF(OR(B3458="",C3458="",D3458=""),"",D3458*100000+(C3458-DATE(2000,1,1))+ROW()/100000)</f>
        <v/>
      </c>
      <c r="F3458" s="46">
        <f>IF(E3458="","",IF(C3458&gt;WeekEndDate,"",E3458))</f>
        <v/>
      </c>
    </row>
    <row r="3459">
      <c r="A3459" t="inlineStr">
        <is>
          <t>Timeline</t>
        </is>
      </c>
      <c r="B3459" s="46">
        <f>'Timeline'!V424</f>
        <v/>
      </c>
      <c r="C3459" s="84">
        <f>'Timeline'!T424</f>
        <v/>
      </c>
      <c r="D3459" s="46">
        <f>'Timeline'!U424</f>
        <v/>
      </c>
      <c r="E3459" s="46">
        <f>IF(OR(B3459="",C3459="",D3459=""),"",D3459*100000+(C3459-DATE(2000,1,1))+ROW()/100000)</f>
        <v/>
      </c>
      <c r="F3459" s="46">
        <f>IF(E3459="","",IF(C3459&gt;WeekEndDate,"",E3459))</f>
        <v/>
      </c>
    </row>
    <row r="3460">
      <c r="A3460" t="inlineStr">
        <is>
          <t>Timeline</t>
        </is>
      </c>
      <c r="B3460" s="46">
        <f>'Timeline'!V425</f>
        <v/>
      </c>
      <c r="C3460" s="84">
        <f>'Timeline'!T425</f>
        <v/>
      </c>
      <c r="D3460" s="46">
        <f>'Timeline'!U425</f>
        <v/>
      </c>
      <c r="E3460" s="46">
        <f>IF(OR(B3460="",C3460="",D3460=""),"",D3460*100000+(C3460-DATE(2000,1,1))+ROW()/100000)</f>
        <v/>
      </c>
      <c r="F3460" s="46">
        <f>IF(E3460="","",IF(C3460&gt;WeekEndDate,"",E3460))</f>
        <v/>
      </c>
    </row>
    <row r="3461">
      <c r="A3461" t="inlineStr">
        <is>
          <t>Timeline</t>
        </is>
      </c>
      <c r="B3461" s="46">
        <f>'Timeline'!V426</f>
        <v/>
      </c>
      <c r="C3461" s="84">
        <f>'Timeline'!T426</f>
        <v/>
      </c>
      <c r="D3461" s="46">
        <f>'Timeline'!U426</f>
        <v/>
      </c>
      <c r="E3461" s="46">
        <f>IF(OR(B3461="",C3461="",D3461=""),"",D3461*100000+(C3461-DATE(2000,1,1))+ROW()/100000)</f>
        <v/>
      </c>
      <c r="F3461" s="46">
        <f>IF(E3461="","",IF(C3461&gt;WeekEndDate,"",E3461))</f>
        <v/>
      </c>
    </row>
    <row r="3462">
      <c r="A3462" t="inlineStr">
        <is>
          <t>Timeline</t>
        </is>
      </c>
      <c r="B3462" s="46">
        <f>'Timeline'!V427</f>
        <v/>
      </c>
      <c r="C3462" s="84">
        <f>'Timeline'!T427</f>
        <v/>
      </c>
      <c r="D3462" s="46">
        <f>'Timeline'!U427</f>
        <v/>
      </c>
      <c r="E3462" s="46">
        <f>IF(OR(B3462="",C3462="",D3462=""),"",D3462*100000+(C3462-DATE(2000,1,1))+ROW()/100000)</f>
        <v/>
      </c>
      <c r="F3462" s="46">
        <f>IF(E3462="","",IF(C3462&gt;WeekEndDate,"",E3462))</f>
        <v/>
      </c>
    </row>
    <row r="3463">
      <c r="A3463" t="inlineStr">
        <is>
          <t>Timeline</t>
        </is>
      </c>
      <c r="B3463" s="46">
        <f>'Timeline'!V428</f>
        <v/>
      </c>
      <c r="C3463" s="84">
        <f>'Timeline'!T428</f>
        <v/>
      </c>
      <c r="D3463" s="46">
        <f>'Timeline'!U428</f>
        <v/>
      </c>
      <c r="E3463" s="46">
        <f>IF(OR(B3463="",C3463="",D3463=""),"",D3463*100000+(C3463-DATE(2000,1,1))+ROW()/100000)</f>
        <v/>
      </c>
      <c r="F3463" s="46">
        <f>IF(E3463="","",IF(C3463&gt;WeekEndDate,"",E3463))</f>
        <v/>
      </c>
    </row>
    <row r="3464">
      <c r="A3464" t="inlineStr">
        <is>
          <t>Timeline</t>
        </is>
      </c>
      <c r="B3464" s="46">
        <f>'Timeline'!V429</f>
        <v/>
      </c>
      <c r="C3464" s="84">
        <f>'Timeline'!T429</f>
        <v/>
      </c>
      <c r="D3464" s="46">
        <f>'Timeline'!U429</f>
        <v/>
      </c>
      <c r="E3464" s="46">
        <f>IF(OR(B3464="",C3464="",D3464=""),"",D3464*100000+(C3464-DATE(2000,1,1))+ROW()/100000)</f>
        <v/>
      </c>
      <c r="F3464" s="46">
        <f>IF(E3464="","",IF(C3464&gt;WeekEndDate,"",E3464))</f>
        <v/>
      </c>
    </row>
    <row r="3465">
      <c r="A3465" t="inlineStr">
        <is>
          <t>Timeline</t>
        </is>
      </c>
      <c r="B3465" s="46">
        <f>'Timeline'!V430</f>
        <v/>
      </c>
      <c r="C3465" s="84">
        <f>'Timeline'!T430</f>
        <v/>
      </c>
      <c r="D3465" s="46">
        <f>'Timeline'!U430</f>
        <v/>
      </c>
      <c r="E3465" s="46">
        <f>IF(OR(B3465="",C3465="",D3465=""),"",D3465*100000+(C3465-DATE(2000,1,1))+ROW()/100000)</f>
        <v/>
      </c>
      <c r="F3465" s="46">
        <f>IF(E3465="","",IF(C3465&gt;WeekEndDate,"",E3465))</f>
        <v/>
      </c>
    </row>
    <row r="3466">
      <c r="A3466" t="inlineStr">
        <is>
          <t>Timeline</t>
        </is>
      </c>
      <c r="B3466" s="46">
        <f>'Timeline'!V431</f>
        <v/>
      </c>
      <c r="C3466" s="84">
        <f>'Timeline'!T431</f>
        <v/>
      </c>
      <c r="D3466" s="46">
        <f>'Timeline'!U431</f>
        <v/>
      </c>
      <c r="E3466" s="46">
        <f>IF(OR(B3466="",C3466="",D3466=""),"",D3466*100000+(C3466-DATE(2000,1,1))+ROW()/100000)</f>
        <v/>
      </c>
      <c r="F3466" s="46">
        <f>IF(E3466="","",IF(C3466&gt;WeekEndDate,"",E3466))</f>
        <v/>
      </c>
    </row>
    <row r="3467">
      <c r="A3467" t="inlineStr">
        <is>
          <t>Timeline</t>
        </is>
      </c>
      <c r="B3467" s="46">
        <f>'Timeline'!V432</f>
        <v/>
      </c>
      <c r="C3467" s="84">
        <f>'Timeline'!T432</f>
        <v/>
      </c>
      <c r="D3467" s="46">
        <f>'Timeline'!U432</f>
        <v/>
      </c>
      <c r="E3467" s="46">
        <f>IF(OR(B3467="",C3467="",D3467=""),"",D3467*100000+(C3467-DATE(2000,1,1))+ROW()/100000)</f>
        <v/>
      </c>
      <c r="F3467" s="46">
        <f>IF(E3467="","",IF(C3467&gt;WeekEndDate,"",E3467))</f>
        <v/>
      </c>
    </row>
    <row r="3468">
      <c r="A3468" t="inlineStr">
        <is>
          <t>Timeline</t>
        </is>
      </c>
      <c r="B3468" s="46">
        <f>'Timeline'!V433</f>
        <v/>
      </c>
      <c r="C3468" s="84">
        <f>'Timeline'!T433</f>
        <v/>
      </c>
      <c r="D3468" s="46">
        <f>'Timeline'!U433</f>
        <v/>
      </c>
      <c r="E3468" s="46">
        <f>IF(OR(B3468="",C3468="",D3468=""),"",D3468*100000+(C3468-DATE(2000,1,1))+ROW()/100000)</f>
        <v/>
      </c>
      <c r="F3468" s="46">
        <f>IF(E3468="","",IF(C3468&gt;WeekEndDate,"",E3468))</f>
        <v/>
      </c>
    </row>
    <row r="3469">
      <c r="A3469" t="inlineStr">
        <is>
          <t>Timeline</t>
        </is>
      </c>
      <c r="B3469" s="46">
        <f>'Timeline'!V434</f>
        <v/>
      </c>
      <c r="C3469" s="84">
        <f>'Timeline'!T434</f>
        <v/>
      </c>
      <c r="D3469" s="46">
        <f>'Timeline'!U434</f>
        <v/>
      </c>
      <c r="E3469" s="46">
        <f>IF(OR(B3469="",C3469="",D3469=""),"",D3469*100000+(C3469-DATE(2000,1,1))+ROW()/100000)</f>
        <v/>
      </c>
      <c r="F3469" s="46">
        <f>IF(E3469="","",IF(C3469&gt;WeekEndDate,"",E3469))</f>
        <v/>
      </c>
    </row>
    <row r="3470">
      <c r="A3470" t="inlineStr">
        <is>
          <t>Timeline</t>
        </is>
      </c>
      <c r="B3470" s="46">
        <f>'Timeline'!V435</f>
        <v/>
      </c>
      <c r="C3470" s="84">
        <f>'Timeline'!T435</f>
        <v/>
      </c>
      <c r="D3470" s="46">
        <f>'Timeline'!U435</f>
        <v/>
      </c>
      <c r="E3470" s="46">
        <f>IF(OR(B3470="",C3470="",D3470=""),"",D3470*100000+(C3470-DATE(2000,1,1))+ROW()/100000)</f>
        <v/>
      </c>
      <c r="F3470" s="46">
        <f>IF(E3470="","",IF(C3470&gt;WeekEndDate,"",E3470))</f>
        <v/>
      </c>
    </row>
    <row r="3471">
      <c r="A3471" t="inlineStr">
        <is>
          <t>Timeline</t>
        </is>
      </c>
      <c r="B3471" s="46">
        <f>'Timeline'!V436</f>
        <v/>
      </c>
      <c r="C3471" s="84">
        <f>'Timeline'!T436</f>
        <v/>
      </c>
      <c r="D3471" s="46">
        <f>'Timeline'!U436</f>
        <v/>
      </c>
      <c r="E3471" s="46">
        <f>IF(OR(B3471="",C3471="",D3471=""),"",D3471*100000+(C3471-DATE(2000,1,1))+ROW()/100000)</f>
        <v/>
      </c>
      <c r="F3471" s="46">
        <f>IF(E3471="","",IF(C3471&gt;WeekEndDate,"",E3471))</f>
        <v/>
      </c>
    </row>
    <row r="3472">
      <c r="A3472" t="inlineStr">
        <is>
          <t>Timeline</t>
        </is>
      </c>
      <c r="B3472" s="46">
        <f>'Timeline'!V437</f>
        <v/>
      </c>
      <c r="C3472" s="84">
        <f>'Timeline'!T437</f>
        <v/>
      </c>
      <c r="D3472" s="46">
        <f>'Timeline'!U437</f>
        <v/>
      </c>
      <c r="E3472" s="46">
        <f>IF(OR(B3472="",C3472="",D3472=""),"",D3472*100000+(C3472-DATE(2000,1,1))+ROW()/100000)</f>
        <v/>
      </c>
      <c r="F3472" s="46">
        <f>IF(E3472="","",IF(C3472&gt;WeekEndDate,"",E3472))</f>
        <v/>
      </c>
    </row>
    <row r="3473">
      <c r="A3473" t="inlineStr">
        <is>
          <t>Timeline</t>
        </is>
      </c>
      <c r="B3473" s="46">
        <f>'Timeline'!V438</f>
        <v/>
      </c>
      <c r="C3473" s="84">
        <f>'Timeline'!T438</f>
        <v/>
      </c>
      <c r="D3473" s="46">
        <f>'Timeline'!U438</f>
        <v/>
      </c>
      <c r="E3473" s="46">
        <f>IF(OR(B3473="",C3473="",D3473=""),"",D3473*100000+(C3473-DATE(2000,1,1))+ROW()/100000)</f>
        <v/>
      </c>
      <c r="F3473" s="46">
        <f>IF(E3473="","",IF(C3473&gt;WeekEndDate,"",E3473))</f>
        <v/>
      </c>
    </row>
    <row r="3474">
      <c r="A3474" t="inlineStr">
        <is>
          <t>Timeline</t>
        </is>
      </c>
      <c r="B3474" s="46">
        <f>'Timeline'!V439</f>
        <v/>
      </c>
      <c r="C3474" s="84">
        <f>'Timeline'!T439</f>
        <v/>
      </c>
      <c r="D3474" s="46">
        <f>'Timeline'!U439</f>
        <v/>
      </c>
      <c r="E3474" s="46">
        <f>IF(OR(B3474="",C3474="",D3474=""),"",D3474*100000+(C3474-DATE(2000,1,1))+ROW()/100000)</f>
        <v/>
      </c>
      <c r="F3474" s="46">
        <f>IF(E3474="","",IF(C3474&gt;WeekEndDate,"",E3474))</f>
        <v/>
      </c>
    </row>
    <row r="3475">
      <c r="A3475" t="inlineStr">
        <is>
          <t>Timeline</t>
        </is>
      </c>
      <c r="B3475" s="46">
        <f>'Timeline'!V440</f>
        <v/>
      </c>
      <c r="C3475" s="84">
        <f>'Timeline'!T440</f>
        <v/>
      </c>
      <c r="D3475" s="46">
        <f>'Timeline'!U440</f>
        <v/>
      </c>
      <c r="E3475" s="46">
        <f>IF(OR(B3475="",C3475="",D3475=""),"",D3475*100000+(C3475-DATE(2000,1,1))+ROW()/100000)</f>
        <v/>
      </c>
      <c r="F3475" s="46">
        <f>IF(E3475="","",IF(C3475&gt;WeekEndDate,"",E3475))</f>
        <v/>
      </c>
    </row>
    <row r="3476">
      <c r="A3476" t="inlineStr">
        <is>
          <t>Timeline</t>
        </is>
      </c>
      <c r="B3476" s="46">
        <f>'Timeline'!V441</f>
        <v/>
      </c>
      <c r="C3476" s="84">
        <f>'Timeline'!T441</f>
        <v/>
      </c>
      <c r="D3476" s="46">
        <f>'Timeline'!U441</f>
        <v/>
      </c>
      <c r="E3476" s="46">
        <f>IF(OR(B3476="",C3476="",D3476=""),"",D3476*100000+(C3476-DATE(2000,1,1))+ROW()/100000)</f>
        <v/>
      </c>
      <c r="F3476" s="46">
        <f>IF(E3476="","",IF(C3476&gt;WeekEndDate,"",E3476))</f>
        <v/>
      </c>
    </row>
    <row r="3477">
      <c r="A3477" t="inlineStr">
        <is>
          <t>Timeline</t>
        </is>
      </c>
      <c r="B3477" s="46">
        <f>'Timeline'!V442</f>
        <v/>
      </c>
      <c r="C3477" s="84">
        <f>'Timeline'!T442</f>
        <v/>
      </c>
      <c r="D3477" s="46">
        <f>'Timeline'!U442</f>
        <v/>
      </c>
      <c r="E3477" s="46">
        <f>IF(OR(B3477="",C3477="",D3477=""),"",D3477*100000+(C3477-DATE(2000,1,1))+ROW()/100000)</f>
        <v/>
      </c>
      <c r="F3477" s="46">
        <f>IF(E3477="","",IF(C3477&gt;WeekEndDate,"",E3477))</f>
        <v/>
      </c>
    </row>
    <row r="3478">
      <c r="A3478" t="inlineStr">
        <is>
          <t>Timeline</t>
        </is>
      </c>
      <c r="B3478" s="46">
        <f>'Timeline'!V443</f>
        <v/>
      </c>
      <c r="C3478" s="84">
        <f>'Timeline'!T443</f>
        <v/>
      </c>
      <c r="D3478" s="46">
        <f>'Timeline'!U443</f>
        <v/>
      </c>
      <c r="E3478" s="46">
        <f>IF(OR(B3478="",C3478="",D3478=""),"",D3478*100000+(C3478-DATE(2000,1,1))+ROW()/100000)</f>
        <v/>
      </c>
      <c r="F3478" s="46">
        <f>IF(E3478="","",IF(C3478&gt;WeekEndDate,"",E3478))</f>
        <v/>
      </c>
    </row>
    <row r="3479">
      <c r="A3479" t="inlineStr">
        <is>
          <t>Timeline</t>
        </is>
      </c>
      <c r="B3479" s="46">
        <f>'Timeline'!V444</f>
        <v/>
      </c>
      <c r="C3479" s="84">
        <f>'Timeline'!T444</f>
        <v/>
      </c>
      <c r="D3479" s="46">
        <f>'Timeline'!U444</f>
        <v/>
      </c>
      <c r="E3479" s="46">
        <f>IF(OR(B3479="",C3479="",D3479=""),"",D3479*100000+(C3479-DATE(2000,1,1))+ROW()/100000)</f>
        <v/>
      </c>
      <c r="F3479" s="46">
        <f>IF(E3479="","",IF(C3479&gt;WeekEndDate,"",E3479))</f>
        <v/>
      </c>
    </row>
    <row r="3480">
      <c r="A3480" t="inlineStr">
        <is>
          <t>Timeline</t>
        </is>
      </c>
      <c r="B3480" s="46">
        <f>'Timeline'!V445</f>
        <v/>
      </c>
      <c r="C3480" s="84">
        <f>'Timeline'!T445</f>
        <v/>
      </c>
      <c r="D3480" s="46">
        <f>'Timeline'!U445</f>
        <v/>
      </c>
      <c r="E3480" s="46">
        <f>IF(OR(B3480="",C3480="",D3480=""),"",D3480*100000+(C3480-DATE(2000,1,1))+ROW()/100000)</f>
        <v/>
      </c>
      <c r="F3480" s="46">
        <f>IF(E3480="","",IF(C3480&gt;WeekEndDate,"",E3480))</f>
        <v/>
      </c>
    </row>
    <row r="3481">
      <c r="A3481" t="inlineStr">
        <is>
          <t>Timeline</t>
        </is>
      </c>
      <c r="B3481" s="46">
        <f>'Timeline'!V446</f>
        <v/>
      </c>
      <c r="C3481" s="84">
        <f>'Timeline'!T446</f>
        <v/>
      </c>
      <c r="D3481" s="46">
        <f>'Timeline'!U446</f>
        <v/>
      </c>
      <c r="E3481" s="46">
        <f>IF(OR(B3481="",C3481="",D3481=""),"",D3481*100000+(C3481-DATE(2000,1,1))+ROW()/100000)</f>
        <v/>
      </c>
      <c r="F3481" s="46">
        <f>IF(E3481="","",IF(C3481&gt;WeekEndDate,"",E3481))</f>
        <v/>
      </c>
    </row>
    <row r="3482">
      <c r="A3482" t="inlineStr">
        <is>
          <t>Timeline</t>
        </is>
      </c>
      <c r="B3482" s="46">
        <f>'Timeline'!V447</f>
        <v/>
      </c>
      <c r="C3482" s="84">
        <f>'Timeline'!T447</f>
        <v/>
      </c>
      <c r="D3482" s="46">
        <f>'Timeline'!U447</f>
        <v/>
      </c>
      <c r="E3482" s="46">
        <f>IF(OR(B3482="",C3482="",D3482=""),"",D3482*100000+(C3482-DATE(2000,1,1))+ROW()/100000)</f>
        <v/>
      </c>
      <c r="F3482" s="46">
        <f>IF(E3482="","",IF(C3482&gt;WeekEndDate,"",E3482))</f>
        <v/>
      </c>
    </row>
    <row r="3483">
      <c r="A3483" t="inlineStr">
        <is>
          <t>Timeline</t>
        </is>
      </c>
      <c r="B3483" s="46">
        <f>'Timeline'!V448</f>
        <v/>
      </c>
      <c r="C3483" s="84">
        <f>'Timeline'!T448</f>
        <v/>
      </c>
      <c r="D3483" s="46">
        <f>'Timeline'!U448</f>
        <v/>
      </c>
      <c r="E3483" s="46">
        <f>IF(OR(B3483="",C3483="",D3483=""),"",D3483*100000+(C3483-DATE(2000,1,1))+ROW()/100000)</f>
        <v/>
      </c>
      <c r="F3483" s="46">
        <f>IF(E3483="","",IF(C3483&gt;WeekEndDate,"",E3483))</f>
        <v/>
      </c>
    </row>
    <row r="3484">
      <c r="A3484" t="inlineStr">
        <is>
          <t>Timeline</t>
        </is>
      </c>
      <c r="B3484" s="46">
        <f>'Timeline'!V449</f>
        <v/>
      </c>
      <c r="C3484" s="84">
        <f>'Timeline'!T449</f>
        <v/>
      </c>
      <c r="D3484" s="46">
        <f>'Timeline'!U449</f>
        <v/>
      </c>
      <c r="E3484" s="46">
        <f>IF(OR(B3484="",C3484="",D3484=""),"",D3484*100000+(C3484-DATE(2000,1,1))+ROW()/100000)</f>
        <v/>
      </c>
      <c r="F3484" s="46">
        <f>IF(E3484="","",IF(C3484&gt;WeekEndDate,"",E3484))</f>
        <v/>
      </c>
    </row>
    <row r="3485">
      <c r="A3485" t="inlineStr">
        <is>
          <t>Timeline</t>
        </is>
      </c>
      <c r="B3485" s="46">
        <f>'Timeline'!V450</f>
        <v/>
      </c>
      <c r="C3485" s="84">
        <f>'Timeline'!T450</f>
        <v/>
      </c>
      <c r="D3485" s="46">
        <f>'Timeline'!U450</f>
        <v/>
      </c>
      <c r="E3485" s="46">
        <f>IF(OR(B3485="",C3485="",D3485=""),"",D3485*100000+(C3485-DATE(2000,1,1))+ROW()/100000)</f>
        <v/>
      </c>
      <c r="F3485" s="46">
        <f>IF(E3485="","",IF(C3485&gt;WeekEndDate,"",E3485))</f>
        <v/>
      </c>
    </row>
    <row r="3486">
      <c r="A3486" t="inlineStr">
        <is>
          <t>Timeline</t>
        </is>
      </c>
      <c r="B3486" s="46">
        <f>'Timeline'!V451</f>
        <v/>
      </c>
      <c r="C3486" s="84">
        <f>'Timeline'!T451</f>
        <v/>
      </c>
      <c r="D3486" s="46">
        <f>'Timeline'!U451</f>
        <v/>
      </c>
      <c r="E3486" s="46">
        <f>IF(OR(B3486="",C3486="",D3486=""),"",D3486*100000+(C3486-DATE(2000,1,1))+ROW()/100000)</f>
        <v/>
      </c>
      <c r="F3486" s="46">
        <f>IF(E3486="","",IF(C3486&gt;WeekEndDate,"",E3486))</f>
        <v/>
      </c>
    </row>
    <row r="3487">
      <c r="A3487" t="inlineStr">
        <is>
          <t>Timeline</t>
        </is>
      </c>
      <c r="B3487" s="46">
        <f>'Timeline'!V452</f>
        <v/>
      </c>
      <c r="C3487" s="84">
        <f>'Timeline'!T452</f>
        <v/>
      </c>
      <c r="D3487" s="46">
        <f>'Timeline'!U452</f>
        <v/>
      </c>
      <c r="E3487" s="46">
        <f>IF(OR(B3487="",C3487="",D3487=""),"",D3487*100000+(C3487-DATE(2000,1,1))+ROW()/100000)</f>
        <v/>
      </c>
      <c r="F3487" s="46">
        <f>IF(E3487="","",IF(C3487&gt;WeekEndDate,"",E3487))</f>
        <v/>
      </c>
    </row>
    <row r="3488">
      <c r="A3488" t="inlineStr">
        <is>
          <t>Timeline</t>
        </is>
      </c>
      <c r="B3488" s="46">
        <f>'Timeline'!V453</f>
        <v/>
      </c>
      <c r="C3488" s="84">
        <f>'Timeline'!T453</f>
        <v/>
      </c>
      <c r="D3488" s="46">
        <f>'Timeline'!U453</f>
        <v/>
      </c>
      <c r="E3488" s="46">
        <f>IF(OR(B3488="",C3488="",D3488=""),"",D3488*100000+(C3488-DATE(2000,1,1))+ROW()/100000)</f>
        <v/>
      </c>
      <c r="F3488" s="46">
        <f>IF(E3488="","",IF(C3488&gt;WeekEndDate,"",E3488))</f>
        <v/>
      </c>
    </row>
    <row r="3489">
      <c r="A3489" t="inlineStr">
        <is>
          <t>Timeline</t>
        </is>
      </c>
      <c r="B3489" s="46">
        <f>'Timeline'!V454</f>
        <v/>
      </c>
      <c r="C3489" s="84">
        <f>'Timeline'!T454</f>
        <v/>
      </c>
      <c r="D3489" s="46">
        <f>'Timeline'!U454</f>
        <v/>
      </c>
      <c r="E3489" s="46">
        <f>IF(OR(B3489="",C3489="",D3489=""),"",D3489*100000+(C3489-DATE(2000,1,1))+ROW()/100000)</f>
        <v/>
      </c>
      <c r="F3489" s="46">
        <f>IF(E3489="","",IF(C3489&gt;WeekEndDate,"",E3489))</f>
        <v/>
      </c>
    </row>
    <row r="3490">
      <c r="A3490" t="inlineStr">
        <is>
          <t>Timeline</t>
        </is>
      </c>
      <c r="B3490" s="46">
        <f>'Timeline'!V455</f>
        <v/>
      </c>
      <c r="C3490" s="84">
        <f>'Timeline'!T455</f>
        <v/>
      </c>
      <c r="D3490" s="46">
        <f>'Timeline'!U455</f>
        <v/>
      </c>
      <c r="E3490" s="46">
        <f>IF(OR(B3490="",C3490="",D3490=""),"",D3490*100000+(C3490-DATE(2000,1,1))+ROW()/100000)</f>
        <v/>
      </c>
      <c r="F3490" s="46">
        <f>IF(E3490="","",IF(C3490&gt;WeekEndDate,"",E3490))</f>
        <v/>
      </c>
    </row>
    <row r="3491">
      <c r="A3491" t="inlineStr">
        <is>
          <t>Timeline</t>
        </is>
      </c>
      <c r="B3491" s="46">
        <f>'Timeline'!V456</f>
        <v/>
      </c>
      <c r="C3491" s="84">
        <f>'Timeline'!T456</f>
        <v/>
      </c>
      <c r="D3491" s="46">
        <f>'Timeline'!U456</f>
        <v/>
      </c>
      <c r="E3491" s="46">
        <f>IF(OR(B3491="",C3491="",D3491=""),"",D3491*100000+(C3491-DATE(2000,1,1))+ROW()/100000)</f>
        <v/>
      </c>
      <c r="F3491" s="46">
        <f>IF(E3491="","",IF(C3491&gt;WeekEndDate,"",E3491))</f>
        <v/>
      </c>
    </row>
    <row r="3492">
      <c r="A3492" t="inlineStr">
        <is>
          <t>Timeline</t>
        </is>
      </c>
      <c r="B3492" s="46">
        <f>'Timeline'!V457</f>
        <v/>
      </c>
      <c r="C3492" s="84">
        <f>'Timeline'!T457</f>
        <v/>
      </c>
      <c r="D3492" s="46">
        <f>'Timeline'!U457</f>
        <v/>
      </c>
      <c r="E3492" s="46">
        <f>IF(OR(B3492="",C3492="",D3492=""),"",D3492*100000+(C3492-DATE(2000,1,1))+ROW()/100000)</f>
        <v/>
      </c>
      <c r="F3492" s="46">
        <f>IF(E3492="","",IF(C3492&gt;WeekEndDate,"",E3492))</f>
        <v/>
      </c>
    </row>
    <row r="3493">
      <c r="A3493" t="inlineStr">
        <is>
          <t>Timeline</t>
        </is>
      </c>
      <c r="B3493" s="46">
        <f>'Timeline'!V458</f>
        <v/>
      </c>
      <c r="C3493" s="84">
        <f>'Timeline'!T458</f>
        <v/>
      </c>
      <c r="D3493" s="46">
        <f>'Timeline'!U458</f>
        <v/>
      </c>
      <c r="E3493" s="46">
        <f>IF(OR(B3493="",C3493="",D3493=""),"",D3493*100000+(C3493-DATE(2000,1,1))+ROW()/100000)</f>
        <v/>
      </c>
      <c r="F3493" s="46">
        <f>IF(E3493="","",IF(C3493&gt;WeekEndDate,"",E3493))</f>
        <v/>
      </c>
    </row>
    <row r="3494">
      <c r="A3494" t="inlineStr">
        <is>
          <t>Timeline</t>
        </is>
      </c>
      <c r="B3494" s="46">
        <f>'Timeline'!V459</f>
        <v/>
      </c>
      <c r="C3494" s="84">
        <f>'Timeline'!T459</f>
        <v/>
      </c>
      <c r="D3494" s="46">
        <f>'Timeline'!U459</f>
        <v/>
      </c>
      <c r="E3494" s="46">
        <f>IF(OR(B3494="",C3494="",D3494=""),"",D3494*100000+(C3494-DATE(2000,1,1))+ROW()/100000)</f>
        <v/>
      </c>
      <c r="F3494" s="46">
        <f>IF(E3494="","",IF(C3494&gt;WeekEndDate,"",E3494))</f>
        <v/>
      </c>
    </row>
    <row r="3495">
      <c r="A3495" t="inlineStr">
        <is>
          <t>Timeline</t>
        </is>
      </c>
      <c r="B3495" s="46">
        <f>'Timeline'!V460</f>
        <v/>
      </c>
      <c r="C3495" s="84">
        <f>'Timeline'!T460</f>
        <v/>
      </c>
      <c r="D3495" s="46">
        <f>'Timeline'!U460</f>
        <v/>
      </c>
      <c r="E3495" s="46">
        <f>IF(OR(B3495="",C3495="",D3495=""),"",D3495*100000+(C3495-DATE(2000,1,1))+ROW()/100000)</f>
        <v/>
      </c>
      <c r="F3495" s="46">
        <f>IF(E3495="","",IF(C3495&gt;WeekEndDate,"",E3495))</f>
        <v/>
      </c>
    </row>
    <row r="3496">
      <c r="A3496" t="inlineStr">
        <is>
          <t>Timeline</t>
        </is>
      </c>
      <c r="B3496" s="46">
        <f>'Timeline'!V461</f>
        <v/>
      </c>
      <c r="C3496" s="84">
        <f>'Timeline'!T461</f>
        <v/>
      </c>
      <c r="D3496" s="46">
        <f>'Timeline'!U461</f>
        <v/>
      </c>
      <c r="E3496" s="46">
        <f>IF(OR(B3496="",C3496="",D3496=""),"",D3496*100000+(C3496-DATE(2000,1,1))+ROW()/100000)</f>
        <v/>
      </c>
      <c r="F3496" s="46">
        <f>IF(E3496="","",IF(C3496&gt;WeekEndDate,"",E3496))</f>
        <v/>
      </c>
    </row>
    <row r="3497">
      <c r="A3497" t="inlineStr">
        <is>
          <t>Timeline</t>
        </is>
      </c>
      <c r="B3497" s="46">
        <f>'Timeline'!V462</f>
        <v/>
      </c>
      <c r="C3497" s="84">
        <f>'Timeline'!T462</f>
        <v/>
      </c>
      <c r="D3497" s="46">
        <f>'Timeline'!U462</f>
        <v/>
      </c>
      <c r="E3497" s="46">
        <f>IF(OR(B3497="",C3497="",D3497=""),"",D3497*100000+(C3497-DATE(2000,1,1))+ROW()/100000)</f>
        <v/>
      </c>
      <c r="F3497" s="46">
        <f>IF(E3497="","",IF(C3497&gt;WeekEndDate,"",E3497))</f>
        <v/>
      </c>
    </row>
    <row r="3498">
      <c r="A3498" t="inlineStr">
        <is>
          <t>Timeline</t>
        </is>
      </c>
      <c r="B3498" s="46">
        <f>'Timeline'!V463</f>
        <v/>
      </c>
      <c r="C3498" s="84">
        <f>'Timeline'!T463</f>
        <v/>
      </c>
      <c r="D3498" s="46">
        <f>'Timeline'!U463</f>
        <v/>
      </c>
      <c r="E3498" s="46">
        <f>IF(OR(B3498="",C3498="",D3498=""),"",D3498*100000+(C3498-DATE(2000,1,1))+ROW()/100000)</f>
        <v/>
      </c>
      <c r="F3498" s="46">
        <f>IF(E3498="","",IF(C3498&gt;WeekEndDate,"",E3498))</f>
        <v/>
      </c>
    </row>
    <row r="3499">
      <c r="A3499" t="inlineStr">
        <is>
          <t>Timeline</t>
        </is>
      </c>
      <c r="B3499" s="46">
        <f>'Timeline'!V464</f>
        <v/>
      </c>
      <c r="C3499" s="84">
        <f>'Timeline'!T464</f>
        <v/>
      </c>
      <c r="D3499" s="46">
        <f>'Timeline'!U464</f>
        <v/>
      </c>
      <c r="E3499" s="46">
        <f>IF(OR(B3499="",C3499="",D3499=""),"",D3499*100000+(C3499-DATE(2000,1,1))+ROW()/100000)</f>
        <v/>
      </c>
      <c r="F3499" s="46">
        <f>IF(E3499="","",IF(C3499&gt;WeekEndDate,"",E3499))</f>
        <v/>
      </c>
    </row>
    <row r="3500">
      <c r="A3500" t="inlineStr">
        <is>
          <t>Timeline</t>
        </is>
      </c>
      <c r="B3500" s="46">
        <f>'Timeline'!V465</f>
        <v/>
      </c>
      <c r="C3500" s="84">
        <f>'Timeline'!T465</f>
        <v/>
      </c>
      <c r="D3500" s="46">
        <f>'Timeline'!U465</f>
        <v/>
      </c>
      <c r="E3500" s="46">
        <f>IF(OR(B3500="",C3500="",D3500=""),"",D3500*100000+(C3500-DATE(2000,1,1))+ROW()/100000)</f>
        <v/>
      </c>
      <c r="F3500" s="46">
        <f>IF(E3500="","",IF(C3500&gt;WeekEndDate,"",E3500))</f>
        <v/>
      </c>
    </row>
    <row r="3501">
      <c r="A3501" t="inlineStr">
        <is>
          <t>Timeline</t>
        </is>
      </c>
      <c r="B3501" s="46">
        <f>'Timeline'!V466</f>
        <v/>
      </c>
      <c r="C3501" s="84">
        <f>'Timeline'!T466</f>
        <v/>
      </c>
      <c r="D3501" s="46">
        <f>'Timeline'!U466</f>
        <v/>
      </c>
      <c r="E3501" s="46">
        <f>IF(OR(B3501="",C3501="",D3501=""),"",D3501*100000+(C3501-DATE(2000,1,1))+ROW()/100000)</f>
        <v/>
      </c>
      <c r="F3501" s="46">
        <f>IF(E3501="","",IF(C3501&gt;WeekEndDate,"",E3501))</f>
        <v/>
      </c>
    </row>
    <row r="3502">
      <c r="A3502" t="inlineStr">
        <is>
          <t>Timeline</t>
        </is>
      </c>
      <c r="B3502" s="46">
        <f>'Timeline'!V467</f>
        <v/>
      </c>
      <c r="C3502" s="84">
        <f>'Timeline'!T467</f>
        <v/>
      </c>
      <c r="D3502" s="46">
        <f>'Timeline'!U467</f>
        <v/>
      </c>
      <c r="E3502" s="46">
        <f>IF(OR(B3502="",C3502="",D3502=""),"",D3502*100000+(C3502-DATE(2000,1,1))+ROW()/100000)</f>
        <v/>
      </c>
      <c r="F3502" s="46">
        <f>IF(E3502="","",IF(C3502&gt;WeekEndDate,"",E3502))</f>
        <v/>
      </c>
    </row>
    <row r="3503">
      <c r="A3503" t="inlineStr">
        <is>
          <t>Timeline</t>
        </is>
      </c>
      <c r="B3503" s="46">
        <f>'Timeline'!V468</f>
        <v/>
      </c>
      <c r="C3503" s="84">
        <f>'Timeline'!T468</f>
        <v/>
      </c>
      <c r="D3503" s="46">
        <f>'Timeline'!U468</f>
        <v/>
      </c>
      <c r="E3503" s="46">
        <f>IF(OR(B3503="",C3503="",D3503=""),"",D3503*100000+(C3503-DATE(2000,1,1))+ROW()/100000)</f>
        <v/>
      </c>
      <c r="F3503" s="46">
        <f>IF(E3503="","",IF(C3503&gt;WeekEndDate,"",E3503))</f>
        <v/>
      </c>
    </row>
    <row r="3504">
      <c r="A3504" t="inlineStr">
        <is>
          <t>Timeline</t>
        </is>
      </c>
      <c r="B3504" s="46">
        <f>'Timeline'!V469</f>
        <v/>
      </c>
      <c r="C3504" s="84">
        <f>'Timeline'!T469</f>
        <v/>
      </c>
      <c r="D3504" s="46">
        <f>'Timeline'!U469</f>
        <v/>
      </c>
      <c r="E3504" s="46">
        <f>IF(OR(B3504="",C3504="",D3504=""),"",D3504*100000+(C3504-DATE(2000,1,1))+ROW()/100000)</f>
        <v/>
      </c>
      <c r="F3504" s="46">
        <f>IF(E3504="","",IF(C3504&gt;WeekEndDate,"",E3504))</f>
        <v/>
      </c>
    </row>
    <row r="3505">
      <c r="A3505" t="inlineStr">
        <is>
          <t>Timeline</t>
        </is>
      </c>
      <c r="B3505" s="46">
        <f>'Timeline'!V470</f>
        <v/>
      </c>
      <c r="C3505" s="84">
        <f>'Timeline'!T470</f>
        <v/>
      </c>
      <c r="D3505" s="46">
        <f>'Timeline'!U470</f>
        <v/>
      </c>
      <c r="E3505" s="46">
        <f>IF(OR(B3505="",C3505="",D3505=""),"",D3505*100000+(C3505-DATE(2000,1,1))+ROW()/100000)</f>
        <v/>
      </c>
      <c r="F3505" s="46">
        <f>IF(E3505="","",IF(C3505&gt;WeekEndDate,"",E3505))</f>
        <v/>
      </c>
    </row>
    <row r="3506">
      <c r="A3506" t="inlineStr">
        <is>
          <t>Timeline</t>
        </is>
      </c>
      <c r="B3506" s="46">
        <f>'Timeline'!V471</f>
        <v/>
      </c>
      <c r="C3506" s="84">
        <f>'Timeline'!T471</f>
        <v/>
      </c>
      <c r="D3506" s="46">
        <f>'Timeline'!U471</f>
        <v/>
      </c>
      <c r="E3506" s="46">
        <f>IF(OR(B3506="",C3506="",D3506=""),"",D3506*100000+(C3506-DATE(2000,1,1))+ROW()/100000)</f>
        <v/>
      </c>
      <c r="F3506" s="46">
        <f>IF(E3506="","",IF(C3506&gt;WeekEndDate,"",E3506))</f>
        <v/>
      </c>
    </row>
    <row r="3507">
      <c r="A3507" t="inlineStr">
        <is>
          <t>Timeline</t>
        </is>
      </c>
      <c r="B3507" s="46">
        <f>'Timeline'!V472</f>
        <v/>
      </c>
      <c r="C3507" s="84">
        <f>'Timeline'!T472</f>
        <v/>
      </c>
      <c r="D3507" s="46">
        <f>'Timeline'!U472</f>
        <v/>
      </c>
      <c r="E3507" s="46">
        <f>IF(OR(B3507="",C3507="",D3507=""),"",D3507*100000+(C3507-DATE(2000,1,1))+ROW()/100000)</f>
        <v/>
      </c>
      <c r="F3507" s="46">
        <f>IF(E3507="","",IF(C3507&gt;WeekEndDate,"",E3507))</f>
        <v/>
      </c>
    </row>
    <row r="3508">
      <c r="A3508" t="inlineStr">
        <is>
          <t>Timeline</t>
        </is>
      </c>
      <c r="B3508" s="46">
        <f>'Timeline'!V473</f>
        <v/>
      </c>
      <c r="C3508" s="84">
        <f>'Timeline'!T473</f>
        <v/>
      </c>
      <c r="D3508" s="46">
        <f>'Timeline'!U473</f>
        <v/>
      </c>
      <c r="E3508" s="46">
        <f>IF(OR(B3508="",C3508="",D3508=""),"",D3508*100000+(C3508-DATE(2000,1,1))+ROW()/100000)</f>
        <v/>
      </c>
      <c r="F3508" s="46">
        <f>IF(E3508="","",IF(C3508&gt;WeekEndDate,"",E3508))</f>
        <v/>
      </c>
    </row>
    <row r="3509">
      <c r="A3509" t="inlineStr">
        <is>
          <t>Timeline</t>
        </is>
      </c>
      <c r="B3509" s="46">
        <f>'Timeline'!V474</f>
        <v/>
      </c>
      <c r="C3509" s="84">
        <f>'Timeline'!T474</f>
        <v/>
      </c>
      <c r="D3509" s="46">
        <f>'Timeline'!U474</f>
        <v/>
      </c>
      <c r="E3509" s="46">
        <f>IF(OR(B3509="",C3509="",D3509=""),"",D3509*100000+(C3509-DATE(2000,1,1))+ROW()/100000)</f>
        <v/>
      </c>
      <c r="F3509" s="46">
        <f>IF(E3509="","",IF(C3509&gt;WeekEndDate,"",E3509))</f>
        <v/>
      </c>
    </row>
    <row r="3510">
      <c r="A3510" t="inlineStr">
        <is>
          <t>Timeline</t>
        </is>
      </c>
      <c r="B3510" s="46">
        <f>'Timeline'!V475</f>
        <v/>
      </c>
      <c r="C3510" s="84">
        <f>'Timeline'!T475</f>
        <v/>
      </c>
      <c r="D3510" s="46">
        <f>'Timeline'!U475</f>
        <v/>
      </c>
      <c r="E3510" s="46">
        <f>IF(OR(B3510="",C3510="",D3510=""),"",D3510*100000+(C3510-DATE(2000,1,1))+ROW()/100000)</f>
        <v/>
      </c>
      <c r="F3510" s="46">
        <f>IF(E3510="","",IF(C3510&gt;WeekEndDate,"",E3510))</f>
        <v/>
      </c>
    </row>
    <row r="3511">
      <c r="A3511" t="inlineStr">
        <is>
          <t>Timeline</t>
        </is>
      </c>
      <c r="B3511" s="46">
        <f>'Timeline'!V476</f>
        <v/>
      </c>
      <c r="C3511" s="84">
        <f>'Timeline'!T476</f>
        <v/>
      </c>
      <c r="D3511" s="46">
        <f>'Timeline'!U476</f>
        <v/>
      </c>
      <c r="E3511" s="46">
        <f>IF(OR(B3511="",C3511="",D3511=""),"",D3511*100000+(C3511-DATE(2000,1,1))+ROW()/100000)</f>
        <v/>
      </c>
      <c r="F3511" s="46">
        <f>IF(E3511="","",IF(C3511&gt;WeekEndDate,"",E3511))</f>
        <v/>
      </c>
    </row>
    <row r="3512">
      <c r="A3512" t="inlineStr">
        <is>
          <t>Timeline</t>
        </is>
      </c>
      <c r="B3512" s="46">
        <f>'Timeline'!V477</f>
        <v/>
      </c>
      <c r="C3512" s="84">
        <f>'Timeline'!T477</f>
        <v/>
      </c>
      <c r="D3512" s="46">
        <f>'Timeline'!U477</f>
        <v/>
      </c>
      <c r="E3512" s="46">
        <f>IF(OR(B3512="",C3512="",D3512=""),"",D3512*100000+(C3512-DATE(2000,1,1))+ROW()/100000)</f>
        <v/>
      </c>
      <c r="F3512" s="46">
        <f>IF(E3512="","",IF(C3512&gt;WeekEndDate,"",E3512))</f>
        <v/>
      </c>
    </row>
    <row r="3513">
      <c r="A3513" t="inlineStr">
        <is>
          <t>Timeline</t>
        </is>
      </c>
      <c r="B3513" s="46">
        <f>'Timeline'!V478</f>
        <v/>
      </c>
      <c r="C3513" s="84">
        <f>'Timeline'!T478</f>
        <v/>
      </c>
      <c r="D3513" s="46">
        <f>'Timeline'!U478</f>
        <v/>
      </c>
      <c r="E3513" s="46">
        <f>IF(OR(B3513="",C3513="",D3513=""),"",D3513*100000+(C3513-DATE(2000,1,1))+ROW()/100000)</f>
        <v/>
      </c>
      <c r="F3513" s="46">
        <f>IF(E3513="","",IF(C3513&gt;WeekEndDate,"",E3513))</f>
        <v/>
      </c>
    </row>
    <row r="3514">
      <c r="A3514" t="inlineStr">
        <is>
          <t>Timeline</t>
        </is>
      </c>
      <c r="B3514" s="46">
        <f>'Timeline'!V479</f>
        <v/>
      </c>
      <c r="C3514" s="84">
        <f>'Timeline'!T479</f>
        <v/>
      </c>
      <c r="D3514" s="46">
        <f>'Timeline'!U479</f>
        <v/>
      </c>
      <c r="E3514" s="46">
        <f>IF(OR(B3514="",C3514="",D3514=""),"",D3514*100000+(C3514-DATE(2000,1,1))+ROW()/100000)</f>
        <v/>
      </c>
      <c r="F3514" s="46">
        <f>IF(E3514="","",IF(C3514&gt;WeekEndDate,"",E3514))</f>
        <v/>
      </c>
    </row>
    <row r="3515">
      <c r="A3515" t="inlineStr">
        <is>
          <t>Timeline</t>
        </is>
      </c>
      <c r="B3515" s="46">
        <f>'Timeline'!V480</f>
        <v/>
      </c>
      <c r="C3515" s="84">
        <f>'Timeline'!T480</f>
        <v/>
      </c>
      <c r="D3515" s="46">
        <f>'Timeline'!U480</f>
        <v/>
      </c>
      <c r="E3515" s="46">
        <f>IF(OR(B3515="",C3515="",D3515=""),"",D3515*100000+(C3515-DATE(2000,1,1))+ROW()/100000)</f>
        <v/>
      </c>
      <c r="F3515" s="46">
        <f>IF(E3515="","",IF(C3515&gt;WeekEndDate,"",E3515))</f>
        <v/>
      </c>
    </row>
    <row r="3516">
      <c r="A3516" t="inlineStr">
        <is>
          <t>Timeline</t>
        </is>
      </c>
      <c r="B3516" s="46">
        <f>'Timeline'!V481</f>
        <v/>
      </c>
      <c r="C3516" s="84">
        <f>'Timeline'!T481</f>
        <v/>
      </c>
      <c r="D3516" s="46">
        <f>'Timeline'!U481</f>
        <v/>
      </c>
      <c r="E3516" s="46">
        <f>IF(OR(B3516="",C3516="",D3516=""),"",D3516*100000+(C3516-DATE(2000,1,1))+ROW()/100000)</f>
        <v/>
      </c>
      <c r="F3516" s="46">
        <f>IF(E3516="","",IF(C3516&gt;WeekEndDate,"",E3516))</f>
        <v/>
      </c>
    </row>
    <row r="3517">
      <c r="A3517" t="inlineStr">
        <is>
          <t>Timeline</t>
        </is>
      </c>
      <c r="B3517" s="46">
        <f>'Timeline'!V482</f>
        <v/>
      </c>
      <c r="C3517" s="84">
        <f>'Timeline'!T482</f>
        <v/>
      </c>
      <c r="D3517" s="46">
        <f>'Timeline'!U482</f>
        <v/>
      </c>
      <c r="E3517" s="46">
        <f>IF(OR(B3517="",C3517="",D3517=""),"",D3517*100000+(C3517-DATE(2000,1,1))+ROW()/100000)</f>
        <v/>
      </c>
      <c r="F3517" s="46">
        <f>IF(E3517="","",IF(C3517&gt;WeekEndDate,"",E3517))</f>
        <v/>
      </c>
    </row>
    <row r="3518">
      <c r="A3518" t="inlineStr">
        <is>
          <t>Timeline</t>
        </is>
      </c>
      <c r="B3518" s="46">
        <f>'Timeline'!V483</f>
        <v/>
      </c>
      <c r="C3518" s="84">
        <f>'Timeline'!T483</f>
        <v/>
      </c>
      <c r="D3518" s="46">
        <f>'Timeline'!U483</f>
        <v/>
      </c>
      <c r="E3518" s="46">
        <f>IF(OR(B3518="",C3518="",D3518=""),"",D3518*100000+(C3518-DATE(2000,1,1))+ROW()/100000)</f>
        <v/>
      </c>
      <c r="F3518" s="46">
        <f>IF(E3518="","",IF(C3518&gt;WeekEndDate,"",E3518))</f>
        <v/>
      </c>
    </row>
    <row r="3519">
      <c r="A3519" t="inlineStr">
        <is>
          <t>Timeline</t>
        </is>
      </c>
      <c r="B3519" s="46">
        <f>'Timeline'!V484</f>
        <v/>
      </c>
      <c r="C3519" s="84">
        <f>'Timeline'!T484</f>
        <v/>
      </c>
      <c r="D3519" s="46">
        <f>'Timeline'!U484</f>
        <v/>
      </c>
      <c r="E3519" s="46">
        <f>IF(OR(B3519="",C3519="",D3519=""),"",D3519*100000+(C3519-DATE(2000,1,1))+ROW()/100000)</f>
        <v/>
      </c>
      <c r="F3519" s="46">
        <f>IF(E3519="","",IF(C3519&gt;WeekEndDate,"",E3519))</f>
        <v/>
      </c>
    </row>
    <row r="3520">
      <c r="A3520" t="inlineStr">
        <is>
          <t>Timeline</t>
        </is>
      </c>
      <c r="B3520" s="46">
        <f>'Timeline'!V485</f>
        <v/>
      </c>
      <c r="C3520" s="84">
        <f>'Timeline'!T485</f>
        <v/>
      </c>
      <c r="D3520" s="46">
        <f>'Timeline'!U485</f>
        <v/>
      </c>
      <c r="E3520" s="46">
        <f>IF(OR(B3520="",C3520="",D3520=""),"",D3520*100000+(C3520-DATE(2000,1,1))+ROW()/100000)</f>
        <v/>
      </c>
      <c r="F3520" s="46">
        <f>IF(E3520="","",IF(C3520&gt;WeekEndDate,"",E3520))</f>
        <v/>
      </c>
    </row>
    <row r="3521">
      <c r="A3521" t="inlineStr">
        <is>
          <t>Timeline</t>
        </is>
      </c>
      <c r="B3521" s="46">
        <f>'Timeline'!V486</f>
        <v/>
      </c>
      <c r="C3521" s="84">
        <f>'Timeline'!T486</f>
        <v/>
      </c>
      <c r="D3521" s="46">
        <f>'Timeline'!U486</f>
        <v/>
      </c>
      <c r="E3521" s="46">
        <f>IF(OR(B3521="",C3521="",D3521=""),"",D3521*100000+(C3521-DATE(2000,1,1))+ROW()/100000)</f>
        <v/>
      </c>
      <c r="F3521" s="46">
        <f>IF(E3521="","",IF(C3521&gt;WeekEndDate,"",E3521))</f>
        <v/>
      </c>
    </row>
    <row r="3522">
      <c r="A3522" t="inlineStr">
        <is>
          <t>Timeline</t>
        </is>
      </c>
      <c r="B3522" s="46">
        <f>'Timeline'!V487</f>
        <v/>
      </c>
      <c r="C3522" s="84">
        <f>'Timeline'!T487</f>
        <v/>
      </c>
      <c r="D3522" s="46">
        <f>'Timeline'!U487</f>
        <v/>
      </c>
      <c r="E3522" s="46">
        <f>IF(OR(B3522="",C3522="",D3522=""),"",D3522*100000+(C3522-DATE(2000,1,1))+ROW()/100000)</f>
        <v/>
      </c>
      <c r="F3522" s="46">
        <f>IF(E3522="","",IF(C3522&gt;WeekEndDate,"",E3522))</f>
        <v/>
      </c>
    </row>
    <row r="3523">
      <c r="A3523" t="inlineStr">
        <is>
          <t>Timeline</t>
        </is>
      </c>
      <c r="B3523" s="46">
        <f>'Timeline'!V488</f>
        <v/>
      </c>
      <c r="C3523" s="84">
        <f>'Timeline'!T488</f>
        <v/>
      </c>
      <c r="D3523" s="46">
        <f>'Timeline'!U488</f>
        <v/>
      </c>
      <c r="E3523" s="46">
        <f>IF(OR(B3523="",C3523="",D3523=""),"",D3523*100000+(C3523-DATE(2000,1,1))+ROW()/100000)</f>
        <v/>
      </c>
      <c r="F3523" s="46">
        <f>IF(E3523="","",IF(C3523&gt;WeekEndDate,"",E3523))</f>
        <v/>
      </c>
    </row>
    <row r="3524">
      <c r="A3524" t="inlineStr">
        <is>
          <t>Timeline</t>
        </is>
      </c>
      <c r="B3524" s="46">
        <f>'Timeline'!V489</f>
        <v/>
      </c>
      <c r="C3524" s="84">
        <f>'Timeline'!T489</f>
        <v/>
      </c>
      <c r="D3524" s="46">
        <f>'Timeline'!U489</f>
        <v/>
      </c>
      <c r="E3524" s="46">
        <f>IF(OR(B3524="",C3524="",D3524=""),"",D3524*100000+(C3524-DATE(2000,1,1))+ROW()/100000)</f>
        <v/>
      </c>
      <c r="F3524" s="46">
        <f>IF(E3524="","",IF(C3524&gt;WeekEndDate,"",E3524))</f>
        <v/>
      </c>
    </row>
    <row r="3525">
      <c r="A3525" t="inlineStr">
        <is>
          <t>Timeline</t>
        </is>
      </c>
      <c r="B3525" s="46">
        <f>'Timeline'!V490</f>
        <v/>
      </c>
      <c r="C3525" s="84">
        <f>'Timeline'!T490</f>
        <v/>
      </c>
      <c r="D3525" s="46">
        <f>'Timeline'!U490</f>
        <v/>
      </c>
      <c r="E3525" s="46">
        <f>IF(OR(B3525="",C3525="",D3525=""),"",D3525*100000+(C3525-DATE(2000,1,1))+ROW()/100000)</f>
        <v/>
      </c>
      <c r="F3525" s="46">
        <f>IF(E3525="","",IF(C3525&gt;WeekEndDate,"",E3525))</f>
        <v/>
      </c>
    </row>
    <row r="3526">
      <c r="A3526" t="inlineStr">
        <is>
          <t>Timeline</t>
        </is>
      </c>
      <c r="B3526" s="46">
        <f>'Timeline'!V491</f>
        <v/>
      </c>
      <c r="C3526" s="84">
        <f>'Timeline'!T491</f>
        <v/>
      </c>
      <c r="D3526" s="46">
        <f>'Timeline'!U491</f>
        <v/>
      </c>
      <c r="E3526" s="46">
        <f>IF(OR(B3526="",C3526="",D3526=""),"",D3526*100000+(C3526-DATE(2000,1,1))+ROW()/100000)</f>
        <v/>
      </c>
      <c r="F3526" s="46">
        <f>IF(E3526="","",IF(C3526&gt;WeekEndDate,"",E3526))</f>
        <v/>
      </c>
    </row>
    <row r="3527">
      <c r="A3527" t="inlineStr">
        <is>
          <t>Timeline</t>
        </is>
      </c>
      <c r="B3527" s="46">
        <f>'Timeline'!V492</f>
        <v/>
      </c>
      <c r="C3527" s="84">
        <f>'Timeline'!T492</f>
        <v/>
      </c>
      <c r="D3527" s="46">
        <f>'Timeline'!U492</f>
        <v/>
      </c>
      <c r="E3527" s="46">
        <f>IF(OR(B3527="",C3527="",D3527=""),"",D3527*100000+(C3527-DATE(2000,1,1))+ROW()/100000)</f>
        <v/>
      </c>
      <c r="F3527" s="46">
        <f>IF(E3527="","",IF(C3527&gt;WeekEndDate,"",E3527))</f>
        <v/>
      </c>
    </row>
    <row r="3528">
      <c r="A3528" t="inlineStr">
        <is>
          <t>Timeline</t>
        </is>
      </c>
      <c r="B3528" s="46">
        <f>'Timeline'!V493</f>
        <v/>
      </c>
      <c r="C3528" s="84">
        <f>'Timeline'!T493</f>
        <v/>
      </c>
      <c r="D3528" s="46">
        <f>'Timeline'!U493</f>
        <v/>
      </c>
      <c r="E3528" s="46">
        <f>IF(OR(B3528="",C3528="",D3528=""),"",D3528*100000+(C3528-DATE(2000,1,1))+ROW()/100000)</f>
        <v/>
      </c>
      <c r="F3528" s="46">
        <f>IF(E3528="","",IF(C3528&gt;WeekEndDate,"",E3528))</f>
        <v/>
      </c>
    </row>
    <row r="3529">
      <c r="A3529" t="inlineStr">
        <is>
          <t>Timeline</t>
        </is>
      </c>
      <c r="B3529" s="46">
        <f>'Timeline'!V494</f>
        <v/>
      </c>
      <c r="C3529" s="84">
        <f>'Timeline'!T494</f>
        <v/>
      </c>
      <c r="D3529" s="46">
        <f>'Timeline'!U494</f>
        <v/>
      </c>
      <c r="E3529" s="46">
        <f>IF(OR(B3529="",C3529="",D3529=""),"",D3529*100000+(C3529-DATE(2000,1,1))+ROW()/100000)</f>
        <v/>
      </c>
      <c r="F3529" s="46">
        <f>IF(E3529="","",IF(C3529&gt;WeekEndDate,"",E3529))</f>
        <v/>
      </c>
    </row>
    <row r="3530">
      <c r="A3530" t="inlineStr">
        <is>
          <t>Timeline</t>
        </is>
      </c>
      <c r="B3530" s="46">
        <f>'Timeline'!V495</f>
        <v/>
      </c>
      <c r="C3530" s="84">
        <f>'Timeline'!T495</f>
        <v/>
      </c>
      <c r="D3530" s="46">
        <f>'Timeline'!U495</f>
        <v/>
      </c>
      <c r="E3530" s="46">
        <f>IF(OR(B3530="",C3530="",D3530=""),"",D3530*100000+(C3530-DATE(2000,1,1))+ROW()/100000)</f>
        <v/>
      </c>
      <c r="F3530" s="46">
        <f>IF(E3530="","",IF(C3530&gt;WeekEndDate,"",E3530))</f>
        <v/>
      </c>
    </row>
    <row r="3531">
      <c r="A3531" t="inlineStr">
        <is>
          <t>Timeline</t>
        </is>
      </c>
      <c r="B3531" s="46">
        <f>'Timeline'!V496</f>
        <v/>
      </c>
      <c r="C3531" s="84">
        <f>'Timeline'!T496</f>
        <v/>
      </c>
      <c r="D3531" s="46">
        <f>'Timeline'!U496</f>
        <v/>
      </c>
      <c r="E3531" s="46">
        <f>IF(OR(B3531="",C3531="",D3531=""),"",D3531*100000+(C3531-DATE(2000,1,1))+ROW()/100000)</f>
        <v/>
      </c>
      <c r="F3531" s="46">
        <f>IF(E3531="","",IF(C3531&gt;WeekEndDate,"",E3531))</f>
        <v/>
      </c>
    </row>
    <row r="3532">
      <c r="A3532" t="inlineStr">
        <is>
          <t>Timeline</t>
        </is>
      </c>
      <c r="B3532" s="46">
        <f>'Timeline'!V497</f>
        <v/>
      </c>
      <c r="C3532" s="84">
        <f>'Timeline'!T497</f>
        <v/>
      </c>
      <c r="D3532" s="46">
        <f>'Timeline'!U497</f>
        <v/>
      </c>
      <c r="E3532" s="46">
        <f>IF(OR(B3532="",C3532="",D3532=""),"",D3532*100000+(C3532-DATE(2000,1,1))+ROW()/100000)</f>
        <v/>
      </c>
      <c r="F3532" s="46">
        <f>IF(E3532="","",IF(C3532&gt;WeekEndDate,"",E3532))</f>
        <v/>
      </c>
    </row>
    <row r="3533">
      <c r="A3533" t="inlineStr">
        <is>
          <t>Timeline</t>
        </is>
      </c>
      <c r="B3533" s="46">
        <f>'Timeline'!V498</f>
        <v/>
      </c>
      <c r="C3533" s="84">
        <f>'Timeline'!T498</f>
        <v/>
      </c>
      <c r="D3533" s="46">
        <f>'Timeline'!U498</f>
        <v/>
      </c>
      <c r="E3533" s="46">
        <f>IF(OR(B3533="",C3533="",D3533=""),"",D3533*100000+(C3533-DATE(2000,1,1))+ROW()/100000)</f>
        <v/>
      </c>
      <c r="F3533" s="46">
        <f>IF(E3533="","",IF(C3533&gt;WeekEndDate,"",E3533))</f>
        <v/>
      </c>
    </row>
    <row r="3534">
      <c r="A3534" t="inlineStr">
        <is>
          <t>Timeline</t>
        </is>
      </c>
      <c r="B3534" s="46">
        <f>'Timeline'!V499</f>
        <v/>
      </c>
      <c r="C3534" s="84">
        <f>'Timeline'!T499</f>
        <v/>
      </c>
      <c r="D3534" s="46">
        <f>'Timeline'!U499</f>
        <v/>
      </c>
      <c r="E3534" s="46">
        <f>IF(OR(B3534="",C3534="",D3534=""),"",D3534*100000+(C3534-DATE(2000,1,1))+ROW()/100000)</f>
        <v/>
      </c>
      <c r="F3534" s="46">
        <f>IF(E3534="","",IF(C3534&gt;WeekEndDate,"",E3534))</f>
        <v/>
      </c>
    </row>
    <row r="3535">
      <c r="A3535" t="inlineStr">
        <is>
          <t>Timeline</t>
        </is>
      </c>
      <c r="B3535" s="46">
        <f>'Timeline'!V500</f>
        <v/>
      </c>
      <c r="C3535" s="84">
        <f>'Timeline'!T500</f>
        <v/>
      </c>
      <c r="D3535" s="46">
        <f>'Timeline'!U500</f>
        <v/>
      </c>
      <c r="E3535" s="46">
        <f>IF(OR(B3535="",C3535="",D3535=""),"",D3535*100000+(C3535-DATE(2000,1,1))+ROW()/100000)</f>
        <v/>
      </c>
      <c r="F3535" s="46">
        <f>IF(E3535="","",IF(C3535&gt;WeekEndDate,"",E3535))</f>
        <v/>
      </c>
    </row>
    <row r="3536">
      <c r="A3536" t="inlineStr">
        <is>
          <t>Timeline</t>
        </is>
      </c>
      <c r="B3536" s="46">
        <f>'Timeline'!V501</f>
        <v/>
      </c>
      <c r="C3536" s="84">
        <f>'Timeline'!T501</f>
        <v/>
      </c>
      <c r="D3536" s="46">
        <f>'Timeline'!U501</f>
        <v/>
      </c>
      <c r="E3536" s="46">
        <f>IF(OR(B3536="",C3536="",D3536=""),"",D3536*100000+(C3536-DATE(2000,1,1))+ROW()/100000)</f>
        <v/>
      </c>
      <c r="F3536" s="46">
        <f>IF(E3536="","",IF(C3536&gt;WeekEndDate,"",E3536))</f>
        <v/>
      </c>
    </row>
    <row r="3537">
      <c r="A3537" t="inlineStr">
        <is>
          <t>Timeline</t>
        </is>
      </c>
      <c r="B3537" s="46">
        <f>'Timeline'!V502</f>
        <v/>
      </c>
      <c r="C3537" s="84">
        <f>'Timeline'!T502</f>
        <v/>
      </c>
      <c r="D3537" s="46">
        <f>'Timeline'!U502</f>
        <v/>
      </c>
      <c r="E3537" s="46">
        <f>IF(OR(B3537="",C3537="",D3537=""),"",D3537*100000+(C3537-DATE(2000,1,1))+ROW()/100000)</f>
        <v/>
      </c>
      <c r="F3537" s="46">
        <f>IF(E3537="","",IF(C3537&gt;WeekEndDate,"",E3537))</f>
        <v/>
      </c>
    </row>
    <row r="3538">
      <c r="A3538" t="inlineStr">
        <is>
          <t>Timeline</t>
        </is>
      </c>
      <c r="B3538" s="46">
        <f>'Timeline'!V503</f>
        <v/>
      </c>
      <c r="C3538" s="84">
        <f>'Timeline'!T503</f>
        <v/>
      </c>
      <c r="D3538" s="46">
        <f>'Timeline'!U503</f>
        <v/>
      </c>
      <c r="E3538" s="46">
        <f>IF(OR(B3538="",C3538="",D3538=""),"",D3538*100000+(C3538-DATE(2000,1,1))+ROW()/100000)</f>
        <v/>
      </c>
      <c r="F3538" s="46">
        <f>IF(E3538="","",IF(C3538&gt;WeekEndDate,"",E3538))</f>
        <v/>
      </c>
    </row>
    <row r="3539">
      <c r="A3539" t="inlineStr">
        <is>
          <t>Timeline</t>
        </is>
      </c>
      <c r="B3539" s="46">
        <f>'Timeline'!V504</f>
        <v/>
      </c>
      <c r="C3539" s="84">
        <f>'Timeline'!T504</f>
        <v/>
      </c>
      <c r="D3539" s="46">
        <f>'Timeline'!U504</f>
        <v/>
      </c>
      <c r="E3539" s="46">
        <f>IF(OR(B3539="",C3539="",D3539=""),"",D3539*100000+(C3539-DATE(2000,1,1))+ROW()/100000)</f>
        <v/>
      </c>
      <c r="F3539" s="46">
        <f>IF(E3539="","",IF(C3539&gt;WeekEndDate,"",E3539))</f>
        <v/>
      </c>
    </row>
    <row r="3540">
      <c r="A3540" t="inlineStr">
        <is>
          <t>Timeline</t>
        </is>
      </c>
      <c r="B3540" s="46">
        <f>'Timeline'!V505</f>
        <v/>
      </c>
      <c r="C3540" s="84">
        <f>'Timeline'!T505</f>
        <v/>
      </c>
      <c r="D3540" s="46">
        <f>'Timeline'!U505</f>
        <v/>
      </c>
      <c r="E3540" s="46">
        <f>IF(OR(B3540="",C3540="",D3540=""),"",D3540*100000+(C3540-DATE(2000,1,1))+ROW()/100000)</f>
        <v/>
      </c>
      <c r="F3540" s="46">
        <f>IF(E3540="","",IF(C3540&gt;WeekEndDate,"",E3540))</f>
        <v/>
      </c>
    </row>
    <row r="3541">
      <c r="A3541" t="inlineStr">
        <is>
          <t>Timeline</t>
        </is>
      </c>
      <c r="B3541" s="46">
        <f>'Timeline'!V506</f>
        <v/>
      </c>
      <c r="C3541" s="84">
        <f>'Timeline'!T506</f>
        <v/>
      </c>
      <c r="D3541" s="46">
        <f>'Timeline'!U506</f>
        <v/>
      </c>
      <c r="E3541" s="46">
        <f>IF(OR(B3541="",C3541="",D3541=""),"",D3541*100000+(C3541-DATE(2000,1,1))+ROW()/100000)</f>
        <v/>
      </c>
      <c r="F3541" s="46">
        <f>IF(E3541="","",IF(C3541&gt;WeekEndDate,"",E3541))</f>
        <v/>
      </c>
    </row>
    <row r="3542">
      <c r="A3542" t="inlineStr">
        <is>
          <t>Timeline</t>
        </is>
      </c>
      <c r="B3542" s="46">
        <f>'Timeline'!V507</f>
        <v/>
      </c>
      <c r="C3542" s="84">
        <f>'Timeline'!T507</f>
        <v/>
      </c>
      <c r="D3542" s="46">
        <f>'Timeline'!U507</f>
        <v/>
      </c>
      <c r="E3542" s="46">
        <f>IF(OR(B3542="",C3542="",D3542=""),"",D3542*100000+(C3542-DATE(2000,1,1))+ROW()/100000)</f>
        <v/>
      </c>
      <c r="F3542" s="46">
        <f>IF(E3542="","",IF(C3542&gt;WeekEndDate,"",E3542))</f>
        <v/>
      </c>
    </row>
    <row r="3543">
      <c r="A3543" t="inlineStr">
        <is>
          <t>Timeline</t>
        </is>
      </c>
      <c r="B3543" s="46">
        <f>'Timeline'!V508</f>
        <v/>
      </c>
      <c r="C3543" s="84">
        <f>'Timeline'!T508</f>
        <v/>
      </c>
      <c r="D3543" s="46">
        <f>'Timeline'!U508</f>
        <v/>
      </c>
      <c r="E3543" s="46">
        <f>IF(OR(B3543="",C3543="",D3543=""),"",D3543*100000+(C3543-DATE(2000,1,1))+ROW()/100000)</f>
        <v/>
      </c>
      <c r="F3543" s="46">
        <f>IF(E3543="","",IF(C3543&gt;WeekEndDate,"",E3543))</f>
        <v/>
      </c>
    </row>
    <row r="3544">
      <c r="A3544" t="inlineStr">
        <is>
          <t>Timeline</t>
        </is>
      </c>
      <c r="B3544" s="46">
        <f>'Timeline'!V509</f>
        <v/>
      </c>
      <c r="C3544" s="84">
        <f>'Timeline'!T509</f>
        <v/>
      </c>
      <c r="D3544" s="46">
        <f>'Timeline'!U509</f>
        <v/>
      </c>
      <c r="E3544" s="46">
        <f>IF(OR(B3544="",C3544="",D3544=""),"",D3544*100000+(C3544-DATE(2000,1,1))+ROW()/100000)</f>
        <v/>
      </c>
      <c r="F3544" s="46">
        <f>IF(E3544="","",IF(C3544&gt;WeekEndDate,"",E3544))</f>
        <v/>
      </c>
    </row>
    <row r="3545">
      <c r="A3545" t="inlineStr">
        <is>
          <t>Timeline</t>
        </is>
      </c>
      <c r="B3545" s="46">
        <f>'Timeline'!V510</f>
        <v/>
      </c>
      <c r="C3545" s="84">
        <f>'Timeline'!T510</f>
        <v/>
      </c>
      <c r="D3545" s="46">
        <f>'Timeline'!U510</f>
        <v/>
      </c>
      <c r="E3545" s="46">
        <f>IF(OR(B3545="",C3545="",D3545=""),"",D3545*100000+(C3545-DATE(2000,1,1))+ROW()/100000)</f>
        <v/>
      </c>
      <c r="F3545" s="46">
        <f>IF(E3545="","",IF(C3545&gt;WeekEndDate,"",E3545))</f>
        <v/>
      </c>
    </row>
    <row r="3546">
      <c r="A3546" t="inlineStr">
        <is>
          <t>Timeline</t>
        </is>
      </c>
      <c r="B3546" s="46">
        <f>'Timeline'!V511</f>
        <v/>
      </c>
      <c r="C3546" s="84">
        <f>'Timeline'!T511</f>
        <v/>
      </c>
      <c r="D3546" s="46">
        <f>'Timeline'!U511</f>
        <v/>
      </c>
      <c r="E3546" s="46">
        <f>IF(OR(B3546="",C3546="",D3546=""),"",D3546*100000+(C3546-DATE(2000,1,1))+ROW()/100000)</f>
        <v/>
      </c>
      <c r="F3546" s="46">
        <f>IF(E3546="","",IF(C3546&gt;WeekEndDate,"",E3546))</f>
        <v/>
      </c>
    </row>
    <row r="3547">
      <c r="A3547" t="inlineStr">
        <is>
          <t>Timeline</t>
        </is>
      </c>
      <c r="B3547" s="46">
        <f>'Timeline'!V512</f>
        <v/>
      </c>
      <c r="C3547" s="84">
        <f>'Timeline'!T512</f>
        <v/>
      </c>
      <c r="D3547" s="46">
        <f>'Timeline'!U512</f>
        <v/>
      </c>
      <c r="E3547" s="46">
        <f>IF(OR(B3547="",C3547="",D3547=""),"",D3547*100000+(C3547-DATE(2000,1,1))+ROW()/100000)</f>
        <v/>
      </c>
      <c r="F3547" s="46">
        <f>IF(E3547="","",IF(C3547&gt;WeekEndDate,"",E3547))</f>
        <v/>
      </c>
    </row>
    <row r="3548">
      <c r="A3548" t="inlineStr">
        <is>
          <t>Timeline</t>
        </is>
      </c>
      <c r="B3548" s="46">
        <f>'Timeline'!V513</f>
        <v/>
      </c>
      <c r="C3548" s="84">
        <f>'Timeline'!T513</f>
        <v/>
      </c>
      <c r="D3548" s="46">
        <f>'Timeline'!U513</f>
        <v/>
      </c>
      <c r="E3548" s="46">
        <f>IF(OR(B3548="",C3548="",D3548=""),"",D3548*100000+(C3548-DATE(2000,1,1))+ROW()/100000)</f>
        <v/>
      </c>
      <c r="F3548" s="46">
        <f>IF(E3548="","",IF(C3548&gt;WeekEndDate,"",E3548))</f>
        <v/>
      </c>
    </row>
    <row r="3549">
      <c r="A3549" t="inlineStr">
        <is>
          <t>Timeline</t>
        </is>
      </c>
      <c r="B3549" s="46">
        <f>'Timeline'!V514</f>
        <v/>
      </c>
      <c r="C3549" s="84">
        <f>'Timeline'!T514</f>
        <v/>
      </c>
      <c r="D3549" s="46">
        <f>'Timeline'!U514</f>
        <v/>
      </c>
      <c r="E3549" s="46">
        <f>IF(OR(B3549="",C3549="",D3549=""),"",D3549*100000+(C3549-DATE(2000,1,1))+ROW()/100000)</f>
        <v/>
      </c>
      <c r="F3549" s="46">
        <f>IF(E3549="","",IF(C3549&gt;WeekEndDate,"",E3549))</f>
        <v/>
      </c>
    </row>
    <row r="3550">
      <c r="A3550" t="inlineStr">
        <is>
          <t>Timeline</t>
        </is>
      </c>
      <c r="B3550" s="46">
        <f>'Timeline'!V515</f>
        <v/>
      </c>
      <c r="C3550" s="84">
        <f>'Timeline'!T515</f>
        <v/>
      </c>
      <c r="D3550" s="46">
        <f>'Timeline'!U515</f>
        <v/>
      </c>
      <c r="E3550" s="46">
        <f>IF(OR(B3550="",C3550="",D3550=""),"",D3550*100000+(C3550-DATE(2000,1,1))+ROW()/100000)</f>
        <v/>
      </c>
      <c r="F3550" s="46">
        <f>IF(E3550="","",IF(C3550&gt;WeekEndDate,"",E3550))</f>
        <v/>
      </c>
    </row>
    <row r="3551">
      <c r="A3551" t="inlineStr">
        <is>
          <t>Timeline</t>
        </is>
      </c>
      <c r="B3551" s="46">
        <f>'Timeline'!V516</f>
        <v/>
      </c>
      <c r="C3551" s="84">
        <f>'Timeline'!T516</f>
        <v/>
      </c>
      <c r="D3551" s="46">
        <f>'Timeline'!U516</f>
        <v/>
      </c>
      <c r="E3551" s="46">
        <f>IF(OR(B3551="",C3551="",D3551=""),"",D3551*100000+(C3551-DATE(2000,1,1))+ROW()/100000)</f>
        <v/>
      </c>
      <c r="F3551" s="46">
        <f>IF(E3551="","",IF(C3551&gt;WeekEndDate,"",E3551))</f>
        <v/>
      </c>
    </row>
    <row r="3552">
      <c r="A3552" t="inlineStr">
        <is>
          <t>Timeline</t>
        </is>
      </c>
      <c r="B3552" s="46">
        <f>'Timeline'!V517</f>
        <v/>
      </c>
      <c r="C3552" s="84">
        <f>'Timeline'!T517</f>
        <v/>
      </c>
      <c r="D3552" s="46">
        <f>'Timeline'!U517</f>
        <v/>
      </c>
      <c r="E3552" s="46">
        <f>IF(OR(B3552="",C3552="",D3552=""),"",D3552*100000+(C3552-DATE(2000,1,1))+ROW()/100000)</f>
        <v/>
      </c>
      <c r="F3552" s="46">
        <f>IF(E3552="","",IF(C3552&gt;WeekEndDate,"",E3552))</f>
        <v/>
      </c>
    </row>
    <row r="3553">
      <c r="A3553" t="inlineStr">
        <is>
          <t>Timeline</t>
        </is>
      </c>
      <c r="B3553" s="46">
        <f>'Timeline'!V518</f>
        <v/>
      </c>
      <c r="C3553" s="84">
        <f>'Timeline'!T518</f>
        <v/>
      </c>
      <c r="D3553" s="46">
        <f>'Timeline'!U518</f>
        <v/>
      </c>
      <c r="E3553" s="46">
        <f>IF(OR(B3553="",C3553="",D3553=""),"",D3553*100000+(C3553-DATE(2000,1,1))+ROW()/100000)</f>
        <v/>
      </c>
      <c r="F3553" s="46">
        <f>IF(E3553="","",IF(C3553&gt;WeekEndDate,"",E3553))</f>
        <v/>
      </c>
    </row>
    <row r="3554">
      <c r="A3554" t="inlineStr">
        <is>
          <t>Timeline</t>
        </is>
      </c>
      <c r="B3554" s="46">
        <f>'Timeline'!V519</f>
        <v/>
      </c>
      <c r="C3554" s="84">
        <f>'Timeline'!T519</f>
        <v/>
      </c>
      <c r="D3554" s="46">
        <f>'Timeline'!U519</f>
        <v/>
      </c>
      <c r="E3554" s="46">
        <f>IF(OR(B3554="",C3554="",D3554=""),"",D3554*100000+(C3554-DATE(2000,1,1))+ROW()/100000)</f>
        <v/>
      </c>
      <c r="F3554" s="46">
        <f>IF(E3554="","",IF(C3554&gt;WeekEndDate,"",E3554))</f>
        <v/>
      </c>
    </row>
    <row r="3555">
      <c r="A3555" t="inlineStr">
        <is>
          <t>Timeline</t>
        </is>
      </c>
      <c r="B3555" s="46">
        <f>'Timeline'!V520</f>
        <v/>
      </c>
      <c r="C3555" s="84">
        <f>'Timeline'!T520</f>
        <v/>
      </c>
      <c r="D3555" s="46">
        <f>'Timeline'!U520</f>
        <v/>
      </c>
      <c r="E3555" s="46">
        <f>IF(OR(B3555="",C3555="",D3555=""),"",D3555*100000+(C3555-DATE(2000,1,1))+ROW()/100000)</f>
        <v/>
      </c>
      <c r="F3555" s="46">
        <f>IF(E3555="","",IF(C3555&gt;WeekEndDate,"",E3555))</f>
        <v/>
      </c>
    </row>
    <row r="3556">
      <c r="A3556" t="inlineStr">
        <is>
          <t>Timeline</t>
        </is>
      </c>
      <c r="B3556" s="46">
        <f>'Timeline'!V521</f>
        <v/>
      </c>
      <c r="C3556" s="84">
        <f>'Timeline'!T521</f>
        <v/>
      </c>
      <c r="D3556" s="46">
        <f>'Timeline'!U521</f>
        <v/>
      </c>
      <c r="E3556" s="46">
        <f>IF(OR(B3556="",C3556="",D3556=""),"",D3556*100000+(C3556-DATE(2000,1,1))+ROW()/100000)</f>
        <v/>
      </c>
      <c r="F3556" s="46">
        <f>IF(E3556="","",IF(C3556&gt;WeekEndDate,"",E3556))</f>
        <v/>
      </c>
    </row>
    <row r="3557">
      <c r="A3557" t="inlineStr">
        <is>
          <t>Timeline</t>
        </is>
      </c>
      <c r="B3557" s="46">
        <f>'Timeline'!V522</f>
        <v/>
      </c>
      <c r="C3557" s="84">
        <f>'Timeline'!T522</f>
        <v/>
      </c>
      <c r="D3557" s="46">
        <f>'Timeline'!U522</f>
        <v/>
      </c>
      <c r="E3557" s="46">
        <f>IF(OR(B3557="",C3557="",D3557=""),"",D3557*100000+(C3557-DATE(2000,1,1))+ROW()/100000)</f>
        <v/>
      </c>
      <c r="F3557" s="46">
        <f>IF(E3557="","",IF(C3557&gt;WeekEndDate,"",E3557))</f>
        <v/>
      </c>
    </row>
    <row r="3558">
      <c r="A3558" t="inlineStr">
        <is>
          <t>Timeline</t>
        </is>
      </c>
      <c r="B3558" s="46">
        <f>'Timeline'!V523</f>
        <v/>
      </c>
      <c r="C3558" s="84">
        <f>'Timeline'!T523</f>
        <v/>
      </c>
      <c r="D3558" s="46">
        <f>'Timeline'!U523</f>
        <v/>
      </c>
      <c r="E3558" s="46">
        <f>IF(OR(B3558="",C3558="",D3558=""),"",D3558*100000+(C3558-DATE(2000,1,1))+ROW()/100000)</f>
        <v/>
      </c>
      <c r="F3558" s="46">
        <f>IF(E3558="","",IF(C3558&gt;WeekEndDate,"",E3558))</f>
        <v/>
      </c>
    </row>
    <row r="3559">
      <c r="A3559" t="inlineStr">
        <is>
          <t>Timeline</t>
        </is>
      </c>
      <c r="B3559" s="46">
        <f>'Timeline'!V524</f>
        <v/>
      </c>
      <c r="C3559" s="84">
        <f>'Timeline'!T524</f>
        <v/>
      </c>
      <c r="D3559" s="46">
        <f>'Timeline'!U524</f>
        <v/>
      </c>
      <c r="E3559" s="46">
        <f>IF(OR(B3559="",C3559="",D3559=""),"",D3559*100000+(C3559-DATE(2000,1,1))+ROW()/100000)</f>
        <v/>
      </c>
      <c r="F3559" s="46">
        <f>IF(E3559="","",IF(C3559&gt;WeekEndDate,"",E3559))</f>
        <v/>
      </c>
    </row>
    <row r="3560">
      <c r="A3560" t="inlineStr">
        <is>
          <t>Timeline</t>
        </is>
      </c>
      <c r="B3560" s="46">
        <f>'Timeline'!V525</f>
        <v/>
      </c>
      <c r="C3560" s="84">
        <f>'Timeline'!T525</f>
        <v/>
      </c>
      <c r="D3560" s="46">
        <f>'Timeline'!U525</f>
        <v/>
      </c>
      <c r="E3560" s="46">
        <f>IF(OR(B3560="",C3560="",D3560=""),"",D3560*100000+(C3560-DATE(2000,1,1))+ROW()/100000)</f>
        <v/>
      </c>
      <c r="F3560" s="46">
        <f>IF(E3560="","",IF(C3560&gt;WeekEndDate,"",E3560))</f>
        <v/>
      </c>
    </row>
    <row r="3561">
      <c r="A3561" t="inlineStr">
        <is>
          <t>Timeline</t>
        </is>
      </c>
      <c r="B3561" s="46">
        <f>'Timeline'!V526</f>
        <v/>
      </c>
      <c r="C3561" s="84">
        <f>'Timeline'!T526</f>
        <v/>
      </c>
      <c r="D3561" s="46">
        <f>'Timeline'!U526</f>
        <v/>
      </c>
      <c r="E3561" s="46">
        <f>IF(OR(B3561="",C3561="",D3561=""),"",D3561*100000+(C3561-DATE(2000,1,1))+ROW()/100000)</f>
        <v/>
      </c>
      <c r="F3561" s="46">
        <f>IF(E3561="","",IF(C3561&gt;WeekEndDate,"",E3561))</f>
        <v/>
      </c>
    </row>
    <row r="3562">
      <c r="A3562" t="inlineStr">
        <is>
          <t>Timeline</t>
        </is>
      </c>
      <c r="B3562" s="46">
        <f>'Timeline'!V527</f>
        <v/>
      </c>
      <c r="C3562" s="84">
        <f>'Timeline'!T527</f>
        <v/>
      </c>
      <c r="D3562" s="46">
        <f>'Timeline'!U527</f>
        <v/>
      </c>
      <c r="E3562" s="46">
        <f>IF(OR(B3562="",C3562="",D3562=""),"",D3562*100000+(C3562-DATE(2000,1,1))+ROW()/100000)</f>
        <v/>
      </c>
      <c r="F3562" s="46">
        <f>IF(E3562="","",IF(C3562&gt;WeekEndDate,"",E3562))</f>
        <v/>
      </c>
    </row>
    <row r="3563">
      <c r="A3563" t="inlineStr">
        <is>
          <t>Timeline</t>
        </is>
      </c>
      <c r="B3563" s="46">
        <f>'Timeline'!V528</f>
        <v/>
      </c>
      <c r="C3563" s="84">
        <f>'Timeline'!T528</f>
        <v/>
      </c>
      <c r="D3563" s="46">
        <f>'Timeline'!U528</f>
        <v/>
      </c>
      <c r="E3563" s="46">
        <f>IF(OR(B3563="",C3563="",D3563=""),"",D3563*100000+(C3563-DATE(2000,1,1))+ROW()/100000)</f>
        <v/>
      </c>
      <c r="F3563" s="46">
        <f>IF(E3563="","",IF(C3563&gt;WeekEndDate,"",E3563))</f>
        <v/>
      </c>
    </row>
    <row r="3564">
      <c r="A3564" t="inlineStr">
        <is>
          <t>Timeline</t>
        </is>
      </c>
      <c r="B3564" s="46">
        <f>'Timeline'!V529</f>
        <v/>
      </c>
      <c r="C3564" s="84">
        <f>'Timeline'!T529</f>
        <v/>
      </c>
      <c r="D3564" s="46">
        <f>'Timeline'!U529</f>
        <v/>
      </c>
      <c r="E3564" s="46">
        <f>IF(OR(B3564="",C3564="",D3564=""),"",D3564*100000+(C3564-DATE(2000,1,1))+ROW()/100000)</f>
        <v/>
      </c>
      <c r="F3564" s="46">
        <f>IF(E3564="","",IF(C3564&gt;WeekEndDate,"",E3564))</f>
        <v/>
      </c>
    </row>
    <row r="3565">
      <c r="A3565" t="inlineStr">
        <is>
          <t>Timeline</t>
        </is>
      </c>
      <c r="B3565" s="46">
        <f>'Timeline'!V530</f>
        <v/>
      </c>
      <c r="C3565" s="84">
        <f>'Timeline'!T530</f>
        <v/>
      </c>
      <c r="D3565" s="46">
        <f>'Timeline'!U530</f>
        <v/>
      </c>
      <c r="E3565" s="46">
        <f>IF(OR(B3565="",C3565="",D3565=""),"",D3565*100000+(C3565-DATE(2000,1,1))+ROW()/100000)</f>
        <v/>
      </c>
      <c r="F3565" s="46">
        <f>IF(E3565="","",IF(C3565&gt;WeekEndDate,"",E3565))</f>
        <v/>
      </c>
    </row>
    <row r="3566">
      <c r="A3566" t="inlineStr">
        <is>
          <t>Timeline</t>
        </is>
      </c>
      <c r="B3566" s="46">
        <f>'Timeline'!V531</f>
        <v/>
      </c>
      <c r="C3566" s="84">
        <f>'Timeline'!T531</f>
        <v/>
      </c>
      <c r="D3566" s="46">
        <f>'Timeline'!U531</f>
        <v/>
      </c>
      <c r="E3566" s="46">
        <f>IF(OR(B3566="",C3566="",D3566=""),"",D3566*100000+(C3566-DATE(2000,1,1))+ROW()/100000)</f>
        <v/>
      </c>
      <c r="F3566" s="46">
        <f>IF(E3566="","",IF(C3566&gt;WeekEndDate,"",E3566))</f>
        <v/>
      </c>
    </row>
    <row r="3567">
      <c r="A3567" t="inlineStr">
        <is>
          <t>Timeline</t>
        </is>
      </c>
      <c r="B3567" s="46">
        <f>'Timeline'!V532</f>
        <v/>
      </c>
      <c r="C3567" s="84">
        <f>'Timeline'!T532</f>
        <v/>
      </c>
      <c r="D3567" s="46">
        <f>'Timeline'!U532</f>
        <v/>
      </c>
      <c r="E3567" s="46">
        <f>IF(OR(B3567="",C3567="",D3567=""),"",D3567*100000+(C3567-DATE(2000,1,1))+ROW()/100000)</f>
        <v/>
      </c>
      <c r="F3567" s="46">
        <f>IF(E3567="","",IF(C3567&gt;WeekEndDate,"",E3567))</f>
        <v/>
      </c>
    </row>
    <row r="3568">
      <c r="A3568" t="inlineStr">
        <is>
          <t>Timeline</t>
        </is>
      </c>
      <c r="B3568" s="46">
        <f>'Timeline'!V533</f>
        <v/>
      </c>
      <c r="C3568" s="84">
        <f>'Timeline'!T533</f>
        <v/>
      </c>
      <c r="D3568" s="46">
        <f>'Timeline'!U533</f>
        <v/>
      </c>
      <c r="E3568" s="46">
        <f>IF(OR(B3568="",C3568="",D3568=""),"",D3568*100000+(C3568-DATE(2000,1,1))+ROW()/100000)</f>
        <v/>
      </c>
      <c r="F3568" s="46">
        <f>IF(E3568="","",IF(C3568&gt;WeekEndDate,"",E3568))</f>
        <v/>
      </c>
    </row>
    <row r="3569">
      <c r="A3569" t="inlineStr">
        <is>
          <t>Timeline</t>
        </is>
      </c>
      <c r="B3569" s="46">
        <f>'Timeline'!V534</f>
        <v/>
      </c>
      <c r="C3569" s="84">
        <f>'Timeline'!T534</f>
        <v/>
      </c>
      <c r="D3569" s="46">
        <f>'Timeline'!U534</f>
        <v/>
      </c>
      <c r="E3569" s="46">
        <f>IF(OR(B3569="",C3569="",D3569=""),"",D3569*100000+(C3569-DATE(2000,1,1))+ROW()/100000)</f>
        <v/>
      </c>
      <c r="F3569" s="46">
        <f>IF(E3569="","",IF(C3569&gt;WeekEndDate,"",E3569))</f>
        <v/>
      </c>
    </row>
    <row r="3570">
      <c r="A3570" t="inlineStr">
        <is>
          <t>Timeline</t>
        </is>
      </c>
      <c r="B3570" s="46">
        <f>'Timeline'!V535</f>
        <v/>
      </c>
      <c r="C3570" s="84">
        <f>'Timeline'!T535</f>
        <v/>
      </c>
      <c r="D3570" s="46">
        <f>'Timeline'!U535</f>
        <v/>
      </c>
      <c r="E3570" s="46">
        <f>IF(OR(B3570="",C3570="",D3570=""),"",D3570*100000+(C3570-DATE(2000,1,1))+ROW()/100000)</f>
        <v/>
      </c>
      <c r="F3570" s="46">
        <f>IF(E3570="","",IF(C3570&gt;WeekEndDate,"",E3570))</f>
        <v/>
      </c>
    </row>
    <row r="3571">
      <c r="A3571" t="inlineStr">
        <is>
          <t>Timeline</t>
        </is>
      </c>
      <c r="B3571" s="46">
        <f>'Timeline'!V536</f>
        <v/>
      </c>
      <c r="C3571" s="84">
        <f>'Timeline'!T536</f>
        <v/>
      </c>
      <c r="D3571" s="46">
        <f>'Timeline'!U536</f>
        <v/>
      </c>
      <c r="E3571" s="46">
        <f>IF(OR(B3571="",C3571="",D3571=""),"",D3571*100000+(C3571-DATE(2000,1,1))+ROW()/100000)</f>
        <v/>
      </c>
      <c r="F3571" s="46">
        <f>IF(E3571="","",IF(C3571&gt;WeekEndDate,"",E3571))</f>
        <v/>
      </c>
    </row>
    <row r="3572">
      <c r="A3572" t="inlineStr">
        <is>
          <t>Timeline</t>
        </is>
      </c>
      <c r="B3572" s="46">
        <f>'Timeline'!V537</f>
        <v/>
      </c>
      <c r="C3572" s="84">
        <f>'Timeline'!T537</f>
        <v/>
      </c>
      <c r="D3572" s="46">
        <f>'Timeline'!U537</f>
        <v/>
      </c>
      <c r="E3572" s="46">
        <f>IF(OR(B3572="",C3572="",D3572=""),"",D3572*100000+(C3572-DATE(2000,1,1))+ROW()/100000)</f>
        <v/>
      </c>
      <c r="F3572" s="46">
        <f>IF(E3572="","",IF(C3572&gt;WeekEndDate,"",E3572))</f>
        <v/>
      </c>
    </row>
    <row r="3573">
      <c r="A3573" t="inlineStr">
        <is>
          <t>Timeline</t>
        </is>
      </c>
      <c r="B3573" s="46">
        <f>'Timeline'!V538</f>
        <v/>
      </c>
      <c r="C3573" s="84">
        <f>'Timeline'!T538</f>
        <v/>
      </c>
      <c r="D3573" s="46">
        <f>'Timeline'!U538</f>
        <v/>
      </c>
      <c r="E3573" s="46">
        <f>IF(OR(B3573="",C3573="",D3573=""),"",D3573*100000+(C3573-DATE(2000,1,1))+ROW()/100000)</f>
        <v/>
      </c>
      <c r="F3573" s="46">
        <f>IF(E3573="","",IF(C3573&gt;WeekEndDate,"",E3573))</f>
        <v/>
      </c>
    </row>
    <row r="3574">
      <c r="A3574" t="inlineStr">
        <is>
          <t>Timeline</t>
        </is>
      </c>
      <c r="B3574" s="46">
        <f>'Timeline'!V539</f>
        <v/>
      </c>
      <c r="C3574" s="84">
        <f>'Timeline'!T539</f>
        <v/>
      </c>
      <c r="D3574" s="46">
        <f>'Timeline'!U539</f>
        <v/>
      </c>
      <c r="E3574" s="46">
        <f>IF(OR(B3574="",C3574="",D3574=""),"",D3574*100000+(C3574-DATE(2000,1,1))+ROW()/100000)</f>
        <v/>
      </c>
      <c r="F3574" s="46">
        <f>IF(E3574="","",IF(C3574&gt;WeekEndDate,"",E3574))</f>
        <v/>
      </c>
    </row>
    <row r="3575">
      <c r="A3575" t="inlineStr">
        <is>
          <t>Timeline</t>
        </is>
      </c>
      <c r="B3575" s="46">
        <f>'Timeline'!V540</f>
        <v/>
      </c>
      <c r="C3575" s="84">
        <f>'Timeline'!T540</f>
        <v/>
      </c>
      <c r="D3575" s="46">
        <f>'Timeline'!U540</f>
        <v/>
      </c>
      <c r="E3575" s="46">
        <f>IF(OR(B3575="",C3575="",D3575=""),"",D3575*100000+(C3575-DATE(2000,1,1))+ROW()/100000)</f>
        <v/>
      </c>
      <c r="F3575" s="46">
        <f>IF(E3575="","",IF(C3575&gt;WeekEndDate,"",E3575))</f>
        <v/>
      </c>
    </row>
    <row r="3576">
      <c r="A3576" t="inlineStr">
        <is>
          <t>Timeline</t>
        </is>
      </c>
      <c r="B3576" s="46">
        <f>'Timeline'!V541</f>
        <v/>
      </c>
      <c r="C3576" s="84">
        <f>'Timeline'!T541</f>
        <v/>
      </c>
      <c r="D3576" s="46">
        <f>'Timeline'!U541</f>
        <v/>
      </c>
      <c r="E3576" s="46">
        <f>IF(OR(B3576="",C3576="",D3576=""),"",D3576*100000+(C3576-DATE(2000,1,1))+ROW()/100000)</f>
        <v/>
      </c>
      <c r="F3576" s="46">
        <f>IF(E3576="","",IF(C3576&gt;WeekEndDate,"",E3576))</f>
        <v/>
      </c>
    </row>
    <row r="3577">
      <c r="A3577" t="inlineStr">
        <is>
          <t>Timeline</t>
        </is>
      </c>
      <c r="B3577" s="46">
        <f>'Timeline'!V542</f>
        <v/>
      </c>
      <c r="C3577" s="84">
        <f>'Timeline'!T542</f>
        <v/>
      </c>
      <c r="D3577" s="46">
        <f>'Timeline'!U542</f>
        <v/>
      </c>
      <c r="E3577" s="46">
        <f>IF(OR(B3577="",C3577="",D3577=""),"",D3577*100000+(C3577-DATE(2000,1,1))+ROW()/100000)</f>
        <v/>
      </c>
      <c r="F3577" s="46">
        <f>IF(E3577="","",IF(C3577&gt;WeekEndDate,"",E3577))</f>
        <v/>
      </c>
    </row>
    <row r="3578">
      <c r="A3578" t="inlineStr">
        <is>
          <t>Timeline</t>
        </is>
      </c>
      <c r="B3578" s="46">
        <f>'Timeline'!V543</f>
        <v/>
      </c>
      <c r="C3578" s="84">
        <f>'Timeline'!T543</f>
        <v/>
      </c>
      <c r="D3578" s="46">
        <f>'Timeline'!U543</f>
        <v/>
      </c>
      <c r="E3578" s="46">
        <f>IF(OR(B3578="",C3578="",D3578=""),"",D3578*100000+(C3578-DATE(2000,1,1))+ROW()/100000)</f>
        <v/>
      </c>
      <c r="F3578" s="46">
        <f>IF(E3578="","",IF(C3578&gt;WeekEndDate,"",E3578))</f>
        <v/>
      </c>
    </row>
    <row r="3579">
      <c r="A3579" t="inlineStr">
        <is>
          <t>Timeline</t>
        </is>
      </c>
      <c r="B3579" s="46">
        <f>'Timeline'!V544</f>
        <v/>
      </c>
      <c r="C3579" s="84">
        <f>'Timeline'!T544</f>
        <v/>
      </c>
      <c r="D3579" s="46">
        <f>'Timeline'!U544</f>
        <v/>
      </c>
      <c r="E3579" s="46">
        <f>IF(OR(B3579="",C3579="",D3579=""),"",D3579*100000+(C3579-DATE(2000,1,1))+ROW()/100000)</f>
        <v/>
      </c>
      <c r="F3579" s="46">
        <f>IF(E3579="","",IF(C3579&gt;WeekEndDate,"",E3579))</f>
        <v/>
      </c>
    </row>
    <row r="3580">
      <c r="A3580" t="inlineStr">
        <is>
          <t>Timeline</t>
        </is>
      </c>
      <c r="B3580" s="46">
        <f>'Timeline'!V545</f>
        <v/>
      </c>
      <c r="C3580" s="84">
        <f>'Timeline'!T545</f>
        <v/>
      </c>
      <c r="D3580" s="46">
        <f>'Timeline'!U545</f>
        <v/>
      </c>
      <c r="E3580" s="46">
        <f>IF(OR(B3580="",C3580="",D3580=""),"",D3580*100000+(C3580-DATE(2000,1,1))+ROW()/100000)</f>
        <v/>
      </c>
      <c r="F3580" s="46">
        <f>IF(E3580="","",IF(C3580&gt;WeekEndDate,"",E3580))</f>
        <v/>
      </c>
    </row>
    <row r="3581">
      <c r="A3581" t="inlineStr">
        <is>
          <t>Timeline</t>
        </is>
      </c>
      <c r="B3581" s="46">
        <f>'Timeline'!V546</f>
        <v/>
      </c>
      <c r="C3581" s="84">
        <f>'Timeline'!T546</f>
        <v/>
      </c>
      <c r="D3581" s="46">
        <f>'Timeline'!U546</f>
        <v/>
      </c>
      <c r="E3581" s="46">
        <f>IF(OR(B3581="",C3581="",D3581=""),"",D3581*100000+(C3581-DATE(2000,1,1))+ROW()/100000)</f>
        <v/>
      </c>
      <c r="F3581" s="46">
        <f>IF(E3581="","",IF(C3581&gt;WeekEndDate,"",E3581))</f>
        <v/>
      </c>
    </row>
    <row r="3582">
      <c r="A3582" t="inlineStr">
        <is>
          <t>Timeline</t>
        </is>
      </c>
      <c r="B3582" s="46">
        <f>'Timeline'!V547</f>
        <v/>
      </c>
      <c r="C3582" s="84">
        <f>'Timeline'!T547</f>
        <v/>
      </c>
      <c r="D3582" s="46">
        <f>'Timeline'!U547</f>
        <v/>
      </c>
      <c r="E3582" s="46">
        <f>IF(OR(B3582="",C3582="",D3582=""),"",D3582*100000+(C3582-DATE(2000,1,1))+ROW()/100000)</f>
        <v/>
      </c>
      <c r="F3582" s="46">
        <f>IF(E3582="","",IF(C3582&gt;WeekEndDate,"",E3582))</f>
        <v/>
      </c>
    </row>
    <row r="3583">
      <c r="A3583" t="inlineStr">
        <is>
          <t>Timeline</t>
        </is>
      </c>
      <c r="B3583" s="46">
        <f>'Timeline'!V548</f>
        <v/>
      </c>
      <c r="C3583" s="84">
        <f>'Timeline'!T548</f>
        <v/>
      </c>
      <c r="D3583" s="46">
        <f>'Timeline'!U548</f>
        <v/>
      </c>
      <c r="E3583" s="46">
        <f>IF(OR(B3583="",C3583="",D3583=""),"",D3583*100000+(C3583-DATE(2000,1,1))+ROW()/100000)</f>
        <v/>
      </c>
      <c r="F3583" s="46">
        <f>IF(E3583="","",IF(C3583&gt;WeekEndDate,"",E3583))</f>
        <v/>
      </c>
    </row>
    <row r="3584">
      <c r="A3584" t="inlineStr">
        <is>
          <t>Timeline</t>
        </is>
      </c>
      <c r="B3584" s="46">
        <f>'Timeline'!V549</f>
        <v/>
      </c>
      <c r="C3584" s="84">
        <f>'Timeline'!T549</f>
        <v/>
      </c>
      <c r="D3584" s="46">
        <f>'Timeline'!U549</f>
        <v/>
      </c>
      <c r="E3584" s="46">
        <f>IF(OR(B3584="",C3584="",D3584=""),"",D3584*100000+(C3584-DATE(2000,1,1))+ROW()/100000)</f>
        <v/>
      </c>
      <c r="F3584" s="46">
        <f>IF(E3584="","",IF(C3584&gt;WeekEndDate,"",E3584))</f>
        <v/>
      </c>
    </row>
    <row r="3585">
      <c r="A3585" t="inlineStr">
        <is>
          <t>Timeline</t>
        </is>
      </c>
      <c r="B3585" s="46">
        <f>'Timeline'!V550</f>
        <v/>
      </c>
      <c r="C3585" s="84">
        <f>'Timeline'!T550</f>
        <v/>
      </c>
      <c r="D3585" s="46">
        <f>'Timeline'!U550</f>
        <v/>
      </c>
      <c r="E3585" s="46">
        <f>IF(OR(B3585="",C3585="",D3585=""),"",D3585*100000+(C3585-DATE(2000,1,1))+ROW()/100000)</f>
        <v/>
      </c>
      <c r="F3585" s="46">
        <f>IF(E3585="","",IF(C3585&gt;WeekEndDate,"",E3585))</f>
        <v/>
      </c>
    </row>
    <row r="3586">
      <c r="A3586" t="inlineStr">
        <is>
          <t>Timeline</t>
        </is>
      </c>
      <c r="B3586" s="46">
        <f>'Timeline'!V551</f>
        <v/>
      </c>
      <c r="C3586" s="84">
        <f>'Timeline'!T551</f>
        <v/>
      </c>
      <c r="D3586" s="46">
        <f>'Timeline'!U551</f>
        <v/>
      </c>
      <c r="E3586" s="46">
        <f>IF(OR(B3586="",C3586="",D3586=""),"",D3586*100000+(C3586-DATE(2000,1,1))+ROW()/100000)</f>
        <v/>
      </c>
      <c r="F3586" s="46">
        <f>IF(E3586="","",IF(C3586&gt;WeekEndDate,"",E3586))</f>
        <v/>
      </c>
    </row>
    <row r="3587">
      <c r="A3587" t="inlineStr">
        <is>
          <t>Timeline</t>
        </is>
      </c>
      <c r="B3587" s="46">
        <f>'Timeline'!V552</f>
        <v/>
      </c>
      <c r="C3587" s="84">
        <f>'Timeline'!T552</f>
        <v/>
      </c>
      <c r="D3587" s="46">
        <f>'Timeline'!U552</f>
        <v/>
      </c>
      <c r="E3587" s="46">
        <f>IF(OR(B3587="",C3587="",D3587=""),"",D3587*100000+(C3587-DATE(2000,1,1))+ROW()/100000)</f>
        <v/>
      </c>
      <c r="F3587" s="46">
        <f>IF(E3587="","",IF(C3587&gt;WeekEndDate,"",E3587))</f>
        <v/>
      </c>
    </row>
    <row r="3588">
      <c r="A3588" t="inlineStr">
        <is>
          <t>Timeline</t>
        </is>
      </c>
      <c r="B3588" s="46">
        <f>'Timeline'!V553</f>
        <v/>
      </c>
      <c r="C3588" s="84">
        <f>'Timeline'!T553</f>
        <v/>
      </c>
      <c r="D3588" s="46">
        <f>'Timeline'!U553</f>
        <v/>
      </c>
      <c r="E3588" s="46">
        <f>IF(OR(B3588="",C3588="",D3588=""),"",D3588*100000+(C3588-DATE(2000,1,1))+ROW()/100000)</f>
        <v/>
      </c>
      <c r="F3588" s="46">
        <f>IF(E3588="","",IF(C3588&gt;WeekEndDate,"",E3588))</f>
        <v/>
      </c>
    </row>
    <row r="3589">
      <c r="A3589" t="inlineStr">
        <is>
          <t>Timeline</t>
        </is>
      </c>
      <c r="B3589" s="46">
        <f>'Timeline'!V554</f>
        <v/>
      </c>
      <c r="C3589" s="84">
        <f>'Timeline'!T554</f>
        <v/>
      </c>
      <c r="D3589" s="46">
        <f>'Timeline'!U554</f>
        <v/>
      </c>
      <c r="E3589" s="46">
        <f>IF(OR(B3589="",C3589="",D3589=""),"",D3589*100000+(C3589-DATE(2000,1,1))+ROW()/100000)</f>
        <v/>
      </c>
      <c r="F3589" s="46">
        <f>IF(E3589="","",IF(C3589&gt;WeekEndDate,"",E3589))</f>
        <v/>
      </c>
    </row>
    <row r="3590">
      <c r="A3590" t="inlineStr">
        <is>
          <t>Timeline</t>
        </is>
      </c>
      <c r="B3590" s="46">
        <f>'Timeline'!V555</f>
        <v/>
      </c>
      <c r="C3590" s="84">
        <f>'Timeline'!T555</f>
        <v/>
      </c>
      <c r="D3590" s="46">
        <f>'Timeline'!U555</f>
        <v/>
      </c>
      <c r="E3590" s="46">
        <f>IF(OR(B3590="",C3590="",D3590=""),"",D3590*100000+(C3590-DATE(2000,1,1))+ROW()/100000)</f>
        <v/>
      </c>
      <c r="F3590" s="46">
        <f>IF(E3590="","",IF(C3590&gt;WeekEndDate,"",E3590))</f>
        <v/>
      </c>
    </row>
    <row r="3591">
      <c r="A3591" t="inlineStr">
        <is>
          <t>Timeline</t>
        </is>
      </c>
      <c r="B3591" s="46">
        <f>'Timeline'!V556</f>
        <v/>
      </c>
      <c r="C3591" s="84">
        <f>'Timeline'!T556</f>
        <v/>
      </c>
      <c r="D3591" s="46">
        <f>'Timeline'!U556</f>
        <v/>
      </c>
      <c r="E3591" s="46">
        <f>IF(OR(B3591="",C3591="",D3591=""),"",D3591*100000+(C3591-DATE(2000,1,1))+ROW()/100000)</f>
        <v/>
      </c>
      <c r="F3591" s="46">
        <f>IF(E3591="","",IF(C3591&gt;WeekEndDate,"",E3591))</f>
        <v/>
      </c>
    </row>
    <row r="3592">
      <c r="A3592" t="inlineStr">
        <is>
          <t>Timeline</t>
        </is>
      </c>
      <c r="B3592" s="46">
        <f>'Timeline'!V557</f>
        <v/>
      </c>
      <c r="C3592" s="84">
        <f>'Timeline'!T557</f>
        <v/>
      </c>
      <c r="D3592" s="46">
        <f>'Timeline'!U557</f>
        <v/>
      </c>
      <c r="E3592" s="46">
        <f>IF(OR(B3592="",C3592="",D3592=""),"",D3592*100000+(C3592-DATE(2000,1,1))+ROW()/100000)</f>
        <v/>
      </c>
      <c r="F3592" s="46">
        <f>IF(E3592="","",IF(C3592&gt;WeekEndDate,"",E3592))</f>
        <v/>
      </c>
    </row>
    <row r="3593">
      <c r="A3593" t="inlineStr">
        <is>
          <t>Timeline</t>
        </is>
      </c>
      <c r="B3593" s="46">
        <f>'Timeline'!V558</f>
        <v/>
      </c>
      <c r="C3593" s="84">
        <f>'Timeline'!T558</f>
        <v/>
      </c>
      <c r="D3593" s="46">
        <f>'Timeline'!U558</f>
        <v/>
      </c>
      <c r="E3593" s="46">
        <f>IF(OR(B3593="",C3593="",D3593=""),"",D3593*100000+(C3593-DATE(2000,1,1))+ROW()/100000)</f>
        <v/>
      </c>
      <c r="F3593" s="46">
        <f>IF(E3593="","",IF(C3593&gt;WeekEndDate,"",E3593))</f>
        <v/>
      </c>
    </row>
    <row r="3594">
      <c r="A3594" t="inlineStr">
        <is>
          <t>Timeline</t>
        </is>
      </c>
      <c r="B3594" s="46">
        <f>'Timeline'!V559</f>
        <v/>
      </c>
      <c r="C3594" s="84">
        <f>'Timeline'!T559</f>
        <v/>
      </c>
      <c r="D3594" s="46">
        <f>'Timeline'!U559</f>
        <v/>
      </c>
      <c r="E3594" s="46">
        <f>IF(OR(B3594="",C3594="",D3594=""),"",D3594*100000+(C3594-DATE(2000,1,1))+ROW()/100000)</f>
        <v/>
      </c>
      <c r="F3594" s="46">
        <f>IF(E3594="","",IF(C3594&gt;WeekEndDate,"",E3594))</f>
        <v/>
      </c>
    </row>
    <row r="3595">
      <c r="A3595" t="inlineStr">
        <is>
          <t>Timeline</t>
        </is>
      </c>
      <c r="B3595" s="46">
        <f>'Timeline'!V560</f>
        <v/>
      </c>
      <c r="C3595" s="84">
        <f>'Timeline'!T560</f>
        <v/>
      </c>
      <c r="D3595" s="46">
        <f>'Timeline'!U560</f>
        <v/>
      </c>
      <c r="E3595" s="46">
        <f>IF(OR(B3595="",C3595="",D3595=""),"",D3595*100000+(C3595-DATE(2000,1,1))+ROW()/100000)</f>
        <v/>
      </c>
      <c r="F3595" s="46">
        <f>IF(E3595="","",IF(C3595&gt;WeekEndDate,"",E3595))</f>
        <v/>
      </c>
    </row>
    <row r="3596">
      <c r="A3596" t="inlineStr">
        <is>
          <t>Timeline</t>
        </is>
      </c>
      <c r="B3596" s="46">
        <f>'Timeline'!V561</f>
        <v/>
      </c>
      <c r="C3596" s="84">
        <f>'Timeline'!T561</f>
        <v/>
      </c>
      <c r="D3596" s="46">
        <f>'Timeline'!U561</f>
        <v/>
      </c>
      <c r="E3596" s="46">
        <f>IF(OR(B3596="",C3596="",D3596=""),"",D3596*100000+(C3596-DATE(2000,1,1))+ROW()/100000)</f>
        <v/>
      </c>
      <c r="F3596" s="46">
        <f>IF(E3596="","",IF(C3596&gt;WeekEndDate,"",E3596))</f>
        <v/>
      </c>
    </row>
    <row r="3597">
      <c r="A3597" t="inlineStr">
        <is>
          <t>Timeline</t>
        </is>
      </c>
      <c r="B3597" s="46">
        <f>'Timeline'!V562</f>
        <v/>
      </c>
      <c r="C3597" s="84">
        <f>'Timeline'!T562</f>
        <v/>
      </c>
      <c r="D3597" s="46">
        <f>'Timeline'!U562</f>
        <v/>
      </c>
      <c r="E3597" s="46">
        <f>IF(OR(B3597="",C3597="",D3597=""),"",D3597*100000+(C3597-DATE(2000,1,1))+ROW()/100000)</f>
        <v/>
      </c>
      <c r="F3597" s="46">
        <f>IF(E3597="","",IF(C3597&gt;WeekEndDate,"",E3597))</f>
        <v/>
      </c>
    </row>
    <row r="3598">
      <c r="A3598" t="inlineStr">
        <is>
          <t>Timeline</t>
        </is>
      </c>
      <c r="B3598" s="46">
        <f>'Timeline'!V563</f>
        <v/>
      </c>
      <c r="C3598" s="84">
        <f>'Timeline'!T563</f>
        <v/>
      </c>
      <c r="D3598" s="46">
        <f>'Timeline'!U563</f>
        <v/>
      </c>
      <c r="E3598" s="46">
        <f>IF(OR(B3598="",C3598="",D3598=""),"",D3598*100000+(C3598-DATE(2000,1,1))+ROW()/100000)</f>
        <v/>
      </c>
      <c r="F3598" s="46">
        <f>IF(E3598="","",IF(C3598&gt;WeekEndDate,"",E3598))</f>
        <v/>
      </c>
    </row>
    <row r="3599">
      <c r="A3599" t="inlineStr">
        <is>
          <t>Timeline</t>
        </is>
      </c>
      <c r="B3599" s="46">
        <f>'Timeline'!V564</f>
        <v/>
      </c>
      <c r="C3599" s="84">
        <f>'Timeline'!T564</f>
        <v/>
      </c>
      <c r="D3599" s="46">
        <f>'Timeline'!U564</f>
        <v/>
      </c>
      <c r="E3599" s="46">
        <f>IF(OR(B3599="",C3599="",D3599=""),"",D3599*100000+(C3599-DATE(2000,1,1))+ROW()/100000)</f>
        <v/>
      </c>
      <c r="F3599" s="46">
        <f>IF(E3599="","",IF(C3599&gt;WeekEndDate,"",E3599))</f>
        <v/>
      </c>
    </row>
    <row r="3600">
      <c r="A3600" t="inlineStr">
        <is>
          <t>Timeline</t>
        </is>
      </c>
      <c r="B3600" s="46">
        <f>'Timeline'!V565</f>
        <v/>
      </c>
      <c r="C3600" s="84">
        <f>'Timeline'!T565</f>
        <v/>
      </c>
      <c r="D3600" s="46">
        <f>'Timeline'!U565</f>
        <v/>
      </c>
      <c r="E3600" s="46">
        <f>IF(OR(B3600="",C3600="",D3600=""),"",D3600*100000+(C3600-DATE(2000,1,1))+ROW()/100000)</f>
        <v/>
      </c>
      <c r="F3600" s="46">
        <f>IF(E3600="","",IF(C3600&gt;WeekEndDate,"",E3600))</f>
        <v/>
      </c>
    </row>
    <row r="3601">
      <c r="A3601" t="inlineStr">
        <is>
          <t>Timeline</t>
        </is>
      </c>
      <c r="B3601" s="46">
        <f>'Timeline'!V566</f>
        <v/>
      </c>
      <c r="C3601" s="84">
        <f>'Timeline'!T566</f>
        <v/>
      </c>
      <c r="D3601" s="46">
        <f>'Timeline'!U566</f>
        <v/>
      </c>
      <c r="E3601" s="46">
        <f>IF(OR(B3601="",C3601="",D3601=""),"",D3601*100000+(C3601-DATE(2000,1,1))+ROW()/100000)</f>
        <v/>
      </c>
      <c r="F3601" s="46">
        <f>IF(E3601="","",IF(C3601&gt;WeekEndDate,"",E3601))</f>
        <v/>
      </c>
    </row>
    <row r="3602">
      <c r="A3602" t="inlineStr">
        <is>
          <t>Timeline</t>
        </is>
      </c>
      <c r="B3602" s="46">
        <f>'Timeline'!V567</f>
        <v/>
      </c>
      <c r="C3602" s="84">
        <f>'Timeline'!T567</f>
        <v/>
      </c>
      <c r="D3602" s="46">
        <f>'Timeline'!U567</f>
        <v/>
      </c>
      <c r="E3602" s="46">
        <f>IF(OR(B3602="",C3602="",D3602=""),"",D3602*100000+(C3602-DATE(2000,1,1))+ROW()/100000)</f>
        <v/>
      </c>
      <c r="F3602" s="46">
        <f>IF(E3602="","",IF(C3602&gt;WeekEndDate,"",E3602))</f>
        <v/>
      </c>
    </row>
    <row r="3603">
      <c r="A3603" t="inlineStr">
        <is>
          <t>Timeline</t>
        </is>
      </c>
      <c r="B3603" s="46">
        <f>'Timeline'!V568</f>
        <v/>
      </c>
      <c r="C3603" s="84">
        <f>'Timeline'!T568</f>
        <v/>
      </c>
      <c r="D3603" s="46">
        <f>'Timeline'!U568</f>
        <v/>
      </c>
      <c r="E3603" s="46">
        <f>IF(OR(B3603="",C3603="",D3603=""),"",D3603*100000+(C3603-DATE(2000,1,1))+ROW()/100000)</f>
        <v/>
      </c>
      <c r="F3603" s="46">
        <f>IF(E3603="","",IF(C3603&gt;WeekEndDate,"",E3603))</f>
        <v/>
      </c>
    </row>
    <row r="3604">
      <c r="A3604" t="inlineStr">
        <is>
          <t>Timeline</t>
        </is>
      </c>
      <c r="B3604" s="46">
        <f>'Timeline'!V569</f>
        <v/>
      </c>
      <c r="C3604" s="84">
        <f>'Timeline'!T569</f>
        <v/>
      </c>
      <c r="D3604" s="46">
        <f>'Timeline'!U569</f>
        <v/>
      </c>
      <c r="E3604" s="46">
        <f>IF(OR(B3604="",C3604="",D3604=""),"",D3604*100000+(C3604-DATE(2000,1,1))+ROW()/100000)</f>
        <v/>
      </c>
      <c r="F3604" s="46">
        <f>IF(E3604="","",IF(C3604&gt;WeekEndDate,"",E3604))</f>
        <v/>
      </c>
    </row>
    <row r="3605">
      <c r="A3605" t="inlineStr">
        <is>
          <t>Timeline</t>
        </is>
      </c>
      <c r="B3605" s="46">
        <f>'Timeline'!V570</f>
        <v/>
      </c>
      <c r="C3605" s="84">
        <f>'Timeline'!T570</f>
        <v/>
      </c>
      <c r="D3605" s="46">
        <f>'Timeline'!U570</f>
        <v/>
      </c>
      <c r="E3605" s="46">
        <f>IF(OR(B3605="",C3605="",D3605=""),"",D3605*100000+(C3605-DATE(2000,1,1))+ROW()/100000)</f>
        <v/>
      </c>
      <c r="F3605" s="46">
        <f>IF(E3605="","",IF(C3605&gt;WeekEndDate,"",E3605))</f>
        <v/>
      </c>
    </row>
    <row r="3606">
      <c r="A3606" t="inlineStr">
        <is>
          <t>Timeline</t>
        </is>
      </c>
      <c r="B3606" s="46">
        <f>'Timeline'!V571</f>
        <v/>
      </c>
      <c r="C3606" s="84">
        <f>'Timeline'!T571</f>
        <v/>
      </c>
      <c r="D3606" s="46">
        <f>'Timeline'!U571</f>
        <v/>
      </c>
      <c r="E3606" s="46">
        <f>IF(OR(B3606="",C3606="",D3606=""),"",D3606*100000+(C3606-DATE(2000,1,1))+ROW()/100000)</f>
        <v/>
      </c>
      <c r="F3606" s="46">
        <f>IF(E3606="","",IF(C3606&gt;WeekEndDate,"",E3606))</f>
        <v/>
      </c>
    </row>
    <row r="3607">
      <c r="A3607" t="inlineStr">
        <is>
          <t>Timeline</t>
        </is>
      </c>
      <c r="B3607" s="46">
        <f>'Timeline'!V572</f>
        <v/>
      </c>
      <c r="C3607" s="84">
        <f>'Timeline'!T572</f>
        <v/>
      </c>
      <c r="D3607" s="46">
        <f>'Timeline'!U572</f>
        <v/>
      </c>
      <c r="E3607" s="46">
        <f>IF(OR(B3607="",C3607="",D3607=""),"",D3607*100000+(C3607-DATE(2000,1,1))+ROW()/100000)</f>
        <v/>
      </c>
      <c r="F3607" s="46">
        <f>IF(E3607="","",IF(C3607&gt;WeekEndDate,"",E3607))</f>
        <v/>
      </c>
    </row>
    <row r="3608">
      <c r="A3608" t="inlineStr">
        <is>
          <t>Timeline</t>
        </is>
      </c>
      <c r="B3608" s="46">
        <f>'Timeline'!V573</f>
        <v/>
      </c>
      <c r="C3608" s="84">
        <f>'Timeline'!T573</f>
        <v/>
      </c>
      <c r="D3608" s="46">
        <f>'Timeline'!U573</f>
        <v/>
      </c>
      <c r="E3608" s="46">
        <f>IF(OR(B3608="",C3608="",D3608=""),"",D3608*100000+(C3608-DATE(2000,1,1))+ROW()/100000)</f>
        <v/>
      </c>
      <c r="F3608" s="46">
        <f>IF(E3608="","",IF(C3608&gt;WeekEndDate,"",E3608))</f>
        <v/>
      </c>
    </row>
    <row r="3609">
      <c r="A3609" t="inlineStr">
        <is>
          <t>Timeline</t>
        </is>
      </c>
      <c r="B3609" s="46">
        <f>'Timeline'!V574</f>
        <v/>
      </c>
      <c r="C3609" s="84">
        <f>'Timeline'!T574</f>
        <v/>
      </c>
      <c r="D3609" s="46">
        <f>'Timeline'!U574</f>
        <v/>
      </c>
      <c r="E3609" s="46">
        <f>IF(OR(B3609="",C3609="",D3609=""),"",D3609*100000+(C3609-DATE(2000,1,1))+ROW()/100000)</f>
        <v/>
      </c>
      <c r="F3609" s="46">
        <f>IF(E3609="","",IF(C3609&gt;WeekEndDate,"",E3609))</f>
        <v/>
      </c>
    </row>
    <row r="3610">
      <c r="A3610" t="inlineStr">
        <is>
          <t>Timeline</t>
        </is>
      </c>
      <c r="B3610" s="46">
        <f>'Timeline'!V575</f>
        <v/>
      </c>
      <c r="C3610" s="84">
        <f>'Timeline'!T575</f>
        <v/>
      </c>
      <c r="D3610" s="46">
        <f>'Timeline'!U575</f>
        <v/>
      </c>
      <c r="E3610" s="46">
        <f>IF(OR(B3610="",C3610="",D3610=""),"",D3610*100000+(C3610-DATE(2000,1,1))+ROW()/100000)</f>
        <v/>
      </c>
      <c r="F3610" s="46">
        <f>IF(E3610="","",IF(C3610&gt;WeekEndDate,"",E3610))</f>
        <v/>
      </c>
    </row>
    <row r="3611">
      <c r="A3611" t="inlineStr">
        <is>
          <t>Timeline</t>
        </is>
      </c>
      <c r="B3611" s="46">
        <f>'Timeline'!V576</f>
        <v/>
      </c>
      <c r="C3611" s="84">
        <f>'Timeline'!T576</f>
        <v/>
      </c>
      <c r="D3611" s="46">
        <f>'Timeline'!U576</f>
        <v/>
      </c>
      <c r="E3611" s="46">
        <f>IF(OR(B3611="",C3611="",D3611=""),"",D3611*100000+(C3611-DATE(2000,1,1))+ROW()/100000)</f>
        <v/>
      </c>
      <c r="F3611" s="46">
        <f>IF(E3611="","",IF(C3611&gt;WeekEndDate,"",E3611))</f>
        <v/>
      </c>
    </row>
    <row r="3612">
      <c r="A3612" t="inlineStr">
        <is>
          <t>Timeline</t>
        </is>
      </c>
      <c r="B3612" s="46">
        <f>'Timeline'!V577</f>
        <v/>
      </c>
      <c r="C3612" s="84">
        <f>'Timeline'!T577</f>
        <v/>
      </c>
      <c r="D3612" s="46">
        <f>'Timeline'!U577</f>
        <v/>
      </c>
      <c r="E3612" s="46">
        <f>IF(OR(B3612="",C3612="",D3612=""),"",D3612*100000+(C3612-DATE(2000,1,1))+ROW()/100000)</f>
        <v/>
      </c>
      <c r="F3612" s="46">
        <f>IF(E3612="","",IF(C3612&gt;WeekEndDate,"",E3612))</f>
        <v/>
      </c>
    </row>
    <row r="3613">
      <c r="A3613" t="inlineStr">
        <is>
          <t>Timeline</t>
        </is>
      </c>
      <c r="B3613" s="46">
        <f>'Timeline'!V578</f>
        <v/>
      </c>
      <c r="C3613" s="84">
        <f>'Timeline'!T578</f>
        <v/>
      </c>
      <c r="D3613" s="46">
        <f>'Timeline'!U578</f>
        <v/>
      </c>
      <c r="E3613" s="46">
        <f>IF(OR(B3613="",C3613="",D3613=""),"",D3613*100000+(C3613-DATE(2000,1,1))+ROW()/100000)</f>
        <v/>
      </c>
      <c r="F3613" s="46">
        <f>IF(E3613="","",IF(C3613&gt;WeekEndDate,"",E3613))</f>
        <v/>
      </c>
    </row>
    <row r="3614">
      <c r="A3614" t="inlineStr">
        <is>
          <t>Timeline</t>
        </is>
      </c>
      <c r="B3614" s="46">
        <f>'Timeline'!V579</f>
        <v/>
      </c>
      <c r="C3614" s="84">
        <f>'Timeline'!T579</f>
        <v/>
      </c>
      <c r="D3614" s="46">
        <f>'Timeline'!U579</f>
        <v/>
      </c>
      <c r="E3614" s="46">
        <f>IF(OR(B3614="",C3614="",D3614=""),"",D3614*100000+(C3614-DATE(2000,1,1))+ROW()/100000)</f>
        <v/>
      </c>
      <c r="F3614" s="46">
        <f>IF(E3614="","",IF(C3614&gt;WeekEndDate,"",E3614))</f>
        <v/>
      </c>
    </row>
    <row r="3615">
      <c r="A3615" t="inlineStr">
        <is>
          <t>Timeline</t>
        </is>
      </c>
      <c r="B3615" s="46">
        <f>'Timeline'!V580</f>
        <v/>
      </c>
      <c r="C3615" s="84">
        <f>'Timeline'!T580</f>
        <v/>
      </c>
      <c r="D3615" s="46">
        <f>'Timeline'!U580</f>
        <v/>
      </c>
      <c r="E3615" s="46">
        <f>IF(OR(B3615="",C3615="",D3615=""),"",D3615*100000+(C3615-DATE(2000,1,1))+ROW()/100000)</f>
        <v/>
      </c>
      <c r="F3615" s="46">
        <f>IF(E3615="","",IF(C3615&gt;WeekEndDate,"",E3615))</f>
        <v/>
      </c>
    </row>
    <row r="3616">
      <c r="A3616" t="inlineStr">
        <is>
          <t>Timeline</t>
        </is>
      </c>
      <c r="B3616" s="46">
        <f>'Timeline'!V581</f>
        <v/>
      </c>
      <c r="C3616" s="84">
        <f>'Timeline'!T581</f>
        <v/>
      </c>
      <c r="D3616" s="46">
        <f>'Timeline'!U581</f>
        <v/>
      </c>
      <c r="E3616" s="46">
        <f>IF(OR(B3616="",C3616="",D3616=""),"",D3616*100000+(C3616-DATE(2000,1,1))+ROW()/100000)</f>
        <v/>
      </c>
      <c r="F3616" s="46">
        <f>IF(E3616="","",IF(C3616&gt;WeekEndDate,"",E3616))</f>
        <v/>
      </c>
    </row>
    <row r="3617">
      <c r="A3617" t="inlineStr">
        <is>
          <t>Timeline</t>
        </is>
      </c>
      <c r="B3617" s="46">
        <f>'Timeline'!V582</f>
        <v/>
      </c>
      <c r="C3617" s="84">
        <f>'Timeline'!T582</f>
        <v/>
      </c>
      <c r="D3617" s="46">
        <f>'Timeline'!U582</f>
        <v/>
      </c>
      <c r="E3617" s="46">
        <f>IF(OR(B3617="",C3617="",D3617=""),"",D3617*100000+(C3617-DATE(2000,1,1))+ROW()/100000)</f>
        <v/>
      </c>
      <c r="F3617" s="46">
        <f>IF(E3617="","",IF(C3617&gt;WeekEndDate,"",E3617))</f>
        <v/>
      </c>
    </row>
    <row r="3618">
      <c r="A3618" t="inlineStr">
        <is>
          <t>Timeline</t>
        </is>
      </c>
      <c r="B3618" s="46">
        <f>'Timeline'!V583</f>
        <v/>
      </c>
      <c r="C3618" s="84">
        <f>'Timeline'!T583</f>
        <v/>
      </c>
      <c r="D3618" s="46">
        <f>'Timeline'!U583</f>
        <v/>
      </c>
      <c r="E3618" s="46">
        <f>IF(OR(B3618="",C3618="",D3618=""),"",D3618*100000+(C3618-DATE(2000,1,1))+ROW()/100000)</f>
        <v/>
      </c>
      <c r="F3618" s="46">
        <f>IF(E3618="","",IF(C3618&gt;WeekEndDate,"",E3618))</f>
        <v/>
      </c>
    </row>
    <row r="3619">
      <c r="A3619" t="inlineStr">
        <is>
          <t>Timeline</t>
        </is>
      </c>
      <c r="B3619" s="46">
        <f>'Timeline'!V584</f>
        <v/>
      </c>
      <c r="C3619" s="84">
        <f>'Timeline'!T584</f>
        <v/>
      </c>
      <c r="D3619" s="46">
        <f>'Timeline'!U584</f>
        <v/>
      </c>
      <c r="E3619" s="46">
        <f>IF(OR(B3619="",C3619="",D3619=""),"",D3619*100000+(C3619-DATE(2000,1,1))+ROW()/100000)</f>
        <v/>
      </c>
      <c r="F3619" s="46">
        <f>IF(E3619="","",IF(C3619&gt;WeekEndDate,"",E3619))</f>
        <v/>
      </c>
    </row>
    <row r="3620">
      <c r="A3620" t="inlineStr">
        <is>
          <t>Timeline</t>
        </is>
      </c>
      <c r="B3620" s="46">
        <f>'Timeline'!V585</f>
        <v/>
      </c>
      <c r="C3620" s="84">
        <f>'Timeline'!T585</f>
        <v/>
      </c>
      <c r="D3620" s="46">
        <f>'Timeline'!U585</f>
        <v/>
      </c>
      <c r="E3620" s="46">
        <f>IF(OR(B3620="",C3620="",D3620=""),"",D3620*100000+(C3620-DATE(2000,1,1))+ROW()/100000)</f>
        <v/>
      </c>
      <c r="F3620" s="46">
        <f>IF(E3620="","",IF(C3620&gt;WeekEndDate,"",E3620))</f>
        <v/>
      </c>
    </row>
    <row r="3621">
      <c r="A3621" t="inlineStr">
        <is>
          <t>Timeline</t>
        </is>
      </c>
      <c r="B3621" s="46">
        <f>'Timeline'!V586</f>
        <v/>
      </c>
      <c r="C3621" s="84">
        <f>'Timeline'!T586</f>
        <v/>
      </c>
      <c r="D3621" s="46">
        <f>'Timeline'!U586</f>
        <v/>
      </c>
      <c r="E3621" s="46">
        <f>IF(OR(B3621="",C3621="",D3621=""),"",D3621*100000+(C3621-DATE(2000,1,1))+ROW()/100000)</f>
        <v/>
      </c>
      <c r="F3621" s="46">
        <f>IF(E3621="","",IF(C3621&gt;WeekEndDate,"",E3621))</f>
        <v/>
      </c>
    </row>
    <row r="3622">
      <c r="A3622" t="inlineStr">
        <is>
          <t>Timeline</t>
        </is>
      </c>
      <c r="B3622" s="46">
        <f>'Timeline'!V587</f>
        <v/>
      </c>
      <c r="C3622" s="84">
        <f>'Timeline'!T587</f>
        <v/>
      </c>
      <c r="D3622" s="46">
        <f>'Timeline'!U587</f>
        <v/>
      </c>
      <c r="E3622" s="46">
        <f>IF(OR(B3622="",C3622="",D3622=""),"",D3622*100000+(C3622-DATE(2000,1,1))+ROW()/100000)</f>
        <v/>
      </c>
      <c r="F3622" s="46">
        <f>IF(E3622="","",IF(C3622&gt;WeekEndDate,"",E3622))</f>
        <v/>
      </c>
    </row>
    <row r="3623">
      <c r="A3623" t="inlineStr">
        <is>
          <t>Timeline</t>
        </is>
      </c>
      <c r="B3623" s="46">
        <f>'Timeline'!V588</f>
        <v/>
      </c>
      <c r="C3623" s="84">
        <f>'Timeline'!T588</f>
        <v/>
      </c>
      <c r="D3623" s="46">
        <f>'Timeline'!U588</f>
        <v/>
      </c>
      <c r="E3623" s="46">
        <f>IF(OR(B3623="",C3623="",D3623=""),"",D3623*100000+(C3623-DATE(2000,1,1))+ROW()/100000)</f>
        <v/>
      </c>
      <c r="F3623" s="46">
        <f>IF(E3623="","",IF(C3623&gt;WeekEndDate,"",E3623))</f>
        <v/>
      </c>
    </row>
    <row r="3624">
      <c r="A3624" t="inlineStr">
        <is>
          <t>Timeline</t>
        </is>
      </c>
      <c r="B3624" s="46">
        <f>'Timeline'!V589</f>
        <v/>
      </c>
      <c r="C3624" s="84">
        <f>'Timeline'!T589</f>
        <v/>
      </c>
      <c r="D3624" s="46">
        <f>'Timeline'!U589</f>
        <v/>
      </c>
      <c r="E3624" s="46">
        <f>IF(OR(B3624="",C3624="",D3624=""),"",D3624*100000+(C3624-DATE(2000,1,1))+ROW()/100000)</f>
        <v/>
      </c>
      <c r="F3624" s="46">
        <f>IF(E3624="","",IF(C3624&gt;WeekEndDate,"",E3624))</f>
        <v/>
      </c>
    </row>
    <row r="3625">
      <c r="A3625" t="inlineStr">
        <is>
          <t>Timeline</t>
        </is>
      </c>
      <c r="B3625" s="46">
        <f>'Timeline'!V590</f>
        <v/>
      </c>
      <c r="C3625" s="84">
        <f>'Timeline'!T590</f>
        <v/>
      </c>
      <c r="D3625" s="46">
        <f>'Timeline'!U590</f>
        <v/>
      </c>
      <c r="E3625" s="46">
        <f>IF(OR(B3625="",C3625="",D3625=""),"",D3625*100000+(C3625-DATE(2000,1,1))+ROW()/100000)</f>
        <v/>
      </c>
      <c r="F3625" s="46">
        <f>IF(E3625="","",IF(C3625&gt;WeekEndDate,"",E3625))</f>
        <v/>
      </c>
    </row>
    <row r="3626">
      <c r="A3626" t="inlineStr">
        <is>
          <t>Timeline</t>
        </is>
      </c>
      <c r="B3626" s="46">
        <f>'Timeline'!V591</f>
        <v/>
      </c>
      <c r="C3626" s="84">
        <f>'Timeline'!T591</f>
        <v/>
      </c>
      <c r="D3626" s="46">
        <f>'Timeline'!U591</f>
        <v/>
      </c>
      <c r="E3626" s="46">
        <f>IF(OR(B3626="",C3626="",D3626=""),"",D3626*100000+(C3626-DATE(2000,1,1))+ROW()/100000)</f>
        <v/>
      </c>
      <c r="F3626" s="46">
        <f>IF(E3626="","",IF(C3626&gt;WeekEndDate,"",E3626))</f>
        <v/>
      </c>
    </row>
    <row r="3627">
      <c r="A3627" t="inlineStr">
        <is>
          <t>Timeline</t>
        </is>
      </c>
      <c r="B3627" s="46">
        <f>'Timeline'!V592</f>
        <v/>
      </c>
      <c r="C3627" s="84">
        <f>'Timeline'!T592</f>
        <v/>
      </c>
      <c r="D3627" s="46">
        <f>'Timeline'!U592</f>
        <v/>
      </c>
      <c r="E3627" s="46">
        <f>IF(OR(B3627="",C3627="",D3627=""),"",D3627*100000+(C3627-DATE(2000,1,1))+ROW()/100000)</f>
        <v/>
      </c>
      <c r="F3627" s="46">
        <f>IF(E3627="","",IF(C3627&gt;WeekEndDate,"",E3627))</f>
        <v/>
      </c>
    </row>
    <row r="3628">
      <c r="A3628" t="inlineStr">
        <is>
          <t>Timeline</t>
        </is>
      </c>
      <c r="B3628" s="46">
        <f>'Timeline'!V593</f>
        <v/>
      </c>
      <c r="C3628" s="84">
        <f>'Timeline'!T593</f>
        <v/>
      </c>
      <c r="D3628" s="46">
        <f>'Timeline'!U593</f>
        <v/>
      </c>
      <c r="E3628" s="46">
        <f>IF(OR(B3628="",C3628="",D3628=""),"",D3628*100000+(C3628-DATE(2000,1,1))+ROW()/100000)</f>
        <v/>
      </c>
      <c r="F3628" s="46">
        <f>IF(E3628="","",IF(C3628&gt;WeekEndDate,"",E3628))</f>
        <v/>
      </c>
    </row>
    <row r="3629">
      <c r="A3629" t="inlineStr">
        <is>
          <t>Timeline</t>
        </is>
      </c>
      <c r="B3629" s="46">
        <f>'Timeline'!V594</f>
        <v/>
      </c>
      <c r="C3629" s="84">
        <f>'Timeline'!T594</f>
        <v/>
      </c>
      <c r="D3629" s="46">
        <f>'Timeline'!U594</f>
        <v/>
      </c>
      <c r="E3629" s="46">
        <f>IF(OR(B3629="",C3629="",D3629=""),"",D3629*100000+(C3629-DATE(2000,1,1))+ROW()/100000)</f>
        <v/>
      </c>
      <c r="F3629" s="46">
        <f>IF(E3629="","",IF(C3629&gt;WeekEndDate,"",E3629))</f>
        <v/>
      </c>
    </row>
    <row r="3630">
      <c r="A3630" t="inlineStr">
        <is>
          <t>Timeline</t>
        </is>
      </c>
      <c r="B3630" s="46">
        <f>'Timeline'!V595</f>
        <v/>
      </c>
      <c r="C3630" s="84">
        <f>'Timeline'!T595</f>
        <v/>
      </c>
      <c r="D3630" s="46">
        <f>'Timeline'!U595</f>
        <v/>
      </c>
      <c r="E3630" s="46">
        <f>IF(OR(B3630="",C3630="",D3630=""),"",D3630*100000+(C3630-DATE(2000,1,1))+ROW()/100000)</f>
        <v/>
      </c>
      <c r="F3630" s="46">
        <f>IF(E3630="","",IF(C3630&gt;WeekEndDate,"",E3630))</f>
        <v/>
      </c>
    </row>
    <row r="3631">
      <c r="A3631" t="inlineStr">
        <is>
          <t>Timeline</t>
        </is>
      </c>
      <c r="B3631" s="46">
        <f>'Timeline'!V596</f>
        <v/>
      </c>
      <c r="C3631" s="84">
        <f>'Timeline'!T596</f>
        <v/>
      </c>
      <c r="D3631" s="46">
        <f>'Timeline'!U596</f>
        <v/>
      </c>
      <c r="E3631" s="46">
        <f>IF(OR(B3631="",C3631="",D3631=""),"",D3631*100000+(C3631-DATE(2000,1,1))+ROW()/100000)</f>
        <v/>
      </c>
      <c r="F3631" s="46">
        <f>IF(E3631="","",IF(C3631&gt;WeekEndDate,"",E3631))</f>
        <v/>
      </c>
    </row>
    <row r="3632">
      <c r="A3632" t="inlineStr">
        <is>
          <t>Timeline</t>
        </is>
      </c>
      <c r="B3632" s="46">
        <f>'Timeline'!V597</f>
        <v/>
      </c>
      <c r="C3632" s="84">
        <f>'Timeline'!T597</f>
        <v/>
      </c>
      <c r="D3632" s="46">
        <f>'Timeline'!U597</f>
        <v/>
      </c>
      <c r="E3632" s="46">
        <f>IF(OR(B3632="",C3632="",D3632=""),"",D3632*100000+(C3632-DATE(2000,1,1))+ROW()/100000)</f>
        <v/>
      </c>
      <c r="F3632" s="46">
        <f>IF(E3632="","",IF(C3632&gt;WeekEndDate,"",E3632))</f>
        <v/>
      </c>
    </row>
    <row r="3633">
      <c r="A3633" t="inlineStr">
        <is>
          <t>Timeline</t>
        </is>
      </c>
      <c r="B3633" s="46">
        <f>'Timeline'!V598</f>
        <v/>
      </c>
      <c r="C3633" s="84">
        <f>'Timeline'!T598</f>
        <v/>
      </c>
      <c r="D3633" s="46">
        <f>'Timeline'!U598</f>
        <v/>
      </c>
      <c r="E3633" s="46">
        <f>IF(OR(B3633="",C3633="",D3633=""),"",D3633*100000+(C3633-DATE(2000,1,1))+ROW()/100000)</f>
        <v/>
      </c>
      <c r="F3633" s="46">
        <f>IF(E3633="","",IF(C3633&gt;WeekEndDate,"",E3633))</f>
        <v/>
      </c>
    </row>
    <row r="3634">
      <c r="A3634" t="inlineStr">
        <is>
          <t>Timeline</t>
        </is>
      </c>
      <c r="B3634" s="46">
        <f>'Timeline'!V599</f>
        <v/>
      </c>
      <c r="C3634" s="84">
        <f>'Timeline'!T599</f>
        <v/>
      </c>
      <c r="D3634" s="46">
        <f>'Timeline'!U599</f>
        <v/>
      </c>
      <c r="E3634" s="46">
        <f>IF(OR(B3634="",C3634="",D3634=""),"",D3634*100000+(C3634-DATE(2000,1,1))+ROW()/100000)</f>
        <v/>
      </c>
      <c r="F3634" s="46">
        <f>IF(E3634="","",IF(C3634&gt;WeekEndDate,"",E3634))</f>
        <v/>
      </c>
    </row>
    <row r="3635">
      <c r="A3635" t="inlineStr">
        <is>
          <t>Timeline</t>
        </is>
      </c>
      <c r="B3635" s="46">
        <f>'Timeline'!V600</f>
        <v/>
      </c>
      <c r="C3635" s="84">
        <f>'Timeline'!T600</f>
        <v/>
      </c>
      <c r="D3635" s="46">
        <f>'Timeline'!U600</f>
        <v/>
      </c>
      <c r="E3635" s="46">
        <f>IF(OR(B3635="",C3635="",D3635=""),"",D3635*100000+(C3635-DATE(2000,1,1))+ROW()/100000)</f>
        <v/>
      </c>
      <c r="F3635" s="46">
        <f>IF(E3635="","",IF(C3635&gt;WeekEndDate,"",E3635))</f>
        <v/>
      </c>
    </row>
    <row r="3636">
      <c r="A3636" t="inlineStr">
        <is>
          <t>Timeline</t>
        </is>
      </c>
      <c r="B3636" s="46">
        <f>'Timeline'!V601</f>
        <v/>
      </c>
      <c r="C3636" s="84">
        <f>'Timeline'!T601</f>
        <v/>
      </c>
      <c r="D3636" s="46">
        <f>'Timeline'!U601</f>
        <v/>
      </c>
      <c r="E3636" s="46">
        <f>IF(OR(B3636="",C3636="",D3636=""),"",D3636*100000+(C3636-DATE(2000,1,1))+ROW()/100000)</f>
        <v/>
      </c>
      <c r="F3636" s="46">
        <f>IF(E3636="","",IF(C3636&gt;WeekEndDate,"",E3636))</f>
        <v/>
      </c>
    </row>
    <row r="3637">
      <c r="A3637" t="inlineStr">
        <is>
          <t>Timeline</t>
        </is>
      </c>
      <c r="B3637" s="46">
        <f>'Timeline'!V602</f>
        <v/>
      </c>
      <c r="C3637" s="84">
        <f>'Timeline'!T602</f>
        <v/>
      </c>
      <c r="D3637" s="46">
        <f>'Timeline'!U602</f>
        <v/>
      </c>
      <c r="E3637" s="46">
        <f>IF(OR(B3637="",C3637="",D3637=""),"",D3637*100000+(C3637-DATE(2000,1,1))+ROW()/100000)</f>
        <v/>
      </c>
      <c r="F3637" s="46">
        <f>IF(E3637="","",IF(C3637&gt;WeekEndDate,"",E3637))</f>
        <v/>
      </c>
    </row>
    <row r="3638">
      <c r="A3638" t="inlineStr">
        <is>
          <t>Timeline</t>
        </is>
      </c>
      <c r="B3638" s="46">
        <f>'Timeline'!V603</f>
        <v/>
      </c>
      <c r="C3638" s="84">
        <f>'Timeline'!T603</f>
        <v/>
      </c>
      <c r="D3638" s="46">
        <f>'Timeline'!U603</f>
        <v/>
      </c>
      <c r="E3638" s="46">
        <f>IF(OR(B3638="",C3638="",D3638=""),"",D3638*100000+(C3638-DATE(2000,1,1))+ROW()/100000)</f>
        <v/>
      </c>
      <c r="F3638" s="46">
        <f>IF(E3638="","",IF(C3638&gt;WeekEndDate,"",E3638))</f>
        <v/>
      </c>
    </row>
    <row r="3639">
      <c r="A3639" t="inlineStr">
        <is>
          <t>Timeline</t>
        </is>
      </c>
      <c r="B3639" s="46">
        <f>'Timeline'!V604</f>
        <v/>
      </c>
      <c r="C3639" s="84">
        <f>'Timeline'!T604</f>
        <v/>
      </c>
      <c r="D3639" s="46">
        <f>'Timeline'!U604</f>
        <v/>
      </c>
      <c r="E3639" s="46">
        <f>IF(OR(B3639="",C3639="",D3639=""),"",D3639*100000+(C3639-DATE(2000,1,1))+ROW()/100000)</f>
        <v/>
      </c>
      <c r="F3639" s="46">
        <f>IF(E3639="","",IF(C3639&gt;WeekEndDate,"",E3639))</f>
        <v/>
      </c>
    </row>
    <row r="3640">
      <c r="A3640" t="inlineStr">
        <is>
          <t>Timeline</t>
        </is>
      </c>
      <c r="B3640" s="46">
        <f>'Timeline'!V605</f>
        <v/>
      </c>
      <c r="C3640" s="84">
        <f>'Timeline'!T605</f>
        <v/>
      </c>
      <c r="D3640" s="46">
        <f>'Timeline'!U605</f>
        <v/>
      </c>
      <c r="E3640" s="46">
        <f>IF(OR(B3640="",C3640="",D3640=""),"",D3640*100000+(C3640-DATE(2000,1,1))+ROW()/100000)</f>
        <v/>
      </c>
      <c r="F3640" s="46">
        <f>IF(E3640="","",IF(C3640&gt;WeekEndDate,"",E3640))</f>
        <v/>
      </c>
    </row>
    <row r="3641">
      <c r="A3641" t="inlineStr">
        <is>
          <t>Timeline</t>
        </is>
      </c>
      <c r="B3641" s="46">
        <f>'Timeline'!V606</f>
        <v/>
      </c>
      <c r="C3641" s="84">
        <f>'Timeline'!T606</f>
        <v/>
      </c>
      <c r="D3641" s="46">
        <f>'Timeline'!U606</f>
        <v/>
      </c>
      <c r="E3641" s="46">
        <f>IF(OR(B3641="",C3641="",D3641=""),"",D3641*100000+(C3641-DATE(2000,1,1))+ROW()/100000)</f>
        <v/>
      </c>
      <c r="F3641" s="46">
        <f>IF(E3641="","",IF(C3641&gt;WeekEndDate,"",E3641))</f>
        <v/>
      </c>
    </row>
    <row r="3642">
      <c r="A3642" t="inlineStr">
        <is>
          <t>Timeline</t>
        </is>
      </c>
      <c r="B3642" s="46">
        <f>'Timeline'!V607</f>
        <v/>
      </c>
      <c r="C3642" s="84">
        <f>'Timeline'!T607</f>
        <v/>
      </c>
      <c r="D3642" s="46">
        <f>'Timeline'!U607</f>
        <v/>
      </c>
      <c r="E3642" s="46">
        <f>IF(OR(B3642="",C3642="",D3642=""),"",D3642*100000+(C3642-DATE(2000,1,1))+ROW()/100000)</f>
        <v/>
      </c>
      <c r="F3642" s="46">
        <f>IF(E3642="","",IF(C3642&gt;WeekEndDate,"",E3642))</f>
        <v/>
      </c>
    </row>
    <row r="3643">
      <c r="A3643" t="inlineStr">
        <is>
          <t>Timeline</t>
        </is>
      </c>
      <c r="B3643" s="46">
        <f>'Timeline'!V608</f>
        <v/>
      </c>
      <c r="C3643" s="84">
        <f>'Timeline'!T608</f>
        <v/>
      </c>
      <c r="D3643" s="46">
        <f>'Timeline'!U608</f>
        <v/>
      </c>
      <c r="E3643" s="46">
        <f>IF(OR(B3643="",C3643="",D3643=""),"",D3643*100000+(C3643-DATE(2000,1,1))+ROW()/100000)</f>
        <v/>
      </c>
      <c r="F3643" s="46">
        <f>IF(E3643="","",IF(C3643&gt;WeekEndDate,"",E3643))</f>
        <v/>
      </c>
    </row>
    <row r="3644">
      <c r="A3644" t="inlineStr">
        <is>
          <t>Timeline</t>
        </is>
      </c>
      <c r="B3644" s="46">
        <f>'Timeline'!V609</f>
        <v/>
      </c>
      <c r="C3644" s="84">
        <f>'Timeline'!T609</f>
        <v/>
      </c>
      <c r="D3644" s="46">
        <f>'Timeline'!U609</f>
        <v/>
      </c>
      <c r="E3644" s="46">
        <f>IF(OR(B3644="",C3644="",D3644=""),"",D3644*100000+(C3644-DATE(2000,1,1))+ROW()/100000)</f>
        <v/>
      </c>
      <c r="F3644" s="46">
        <f>IF(E3644="","",IF(C3644&gt;WeekEndDate,"",E3644))</f>
        <v/>
      </c>
    </row>
    <row r="3645">
      <c r="A3645" t="inlineStr">
        <is>
          <t>Timeline</t>
        </is>
      </c>
      <c r="B3645" s="46">
        <f>'Timeline'!V610</f>
        <v/>
      </c>
      <c r="C3645" s="84">
        <f>'Timeline'!T610</f>
        <v/>
      </c>
      <c r="D3645" s="46">
        <f>'Timeline'!U610</f>
        <v/>
      </c>
      <c r="E3645" s="46">
        <f>IF(OR(B3645="",C3645="",D3645=""),"",D3645*100000+(C3645-DATE(2000,1,1))+ROW()/100000)</f>
        <v/>
      </c>
      <c r="F3645" s="46">
        <f>IF(E3645="","",IF(C3645&gt;WeekEndDate,"",E3645))</f>
        <v/>
      </c>
    </row>
    <row r="3646">
      <c r="A3646" t="inlineStr">
        <is>
          <t>Timeline</t>
        </is>
      </c>
      <c r="B3646" s="46">
        <f>'Timeline'!V611</f>
        <v/>
      </c>
      <c r="C3646" s="84">
        <f>'Timeline'!T611</f>
        <v/>
      </c>
      <c r="D3646" s="46">
        <f>'Timeline'!U611</f>
        <v/>
      </c>
      <c r="E3646" s="46">
        <f>IF(OR(B3646="",C3646="",D3646=""),"",D3646*100000+(C3646-DATE(2000,1,1))+ROW()/100000)</f>
        <v/>
      </c>
      <c r="F3646" s="46">
        <f>IF(E3646="","",IF(C3646&gt;WeekEndDate,"",E3646))</f>
        <v/>
      </c>
    </row>
    <row r="3647">
      <c r="A3647" t="inlineStr">
        <is>
          <t>Timeline</t>
        </is>
      </c>
      <c r="B3647" s="46">
        <f>'Timeline'!V612</f>
        <v/>
      </c>
      <c r="C3647" s="84">
        <f>'Timeline'!T612</f>
        <v/>
      </c>
      <c r="D3647" s="46">
        <f>'Timeline'!U612</f>
        <v/>
      </c>
      <c r="E3647" s="46">
        <f>IF(OR(B3647="",C3647="",D3647=""),"",D3647*100000+(C3647-DATE(2000,1,1))+ROW()/100000)</f>
        <v/>
      </c>
      <c r="F3647" s="46">
        <f>IF(E3647="","",IF(C3647&gt;WeekEndDate,"",E3647))</f>
        <v/>
      </c>
    </row>
    <row r="3648">
      <c r="A3648" t="inlineStr">
        <is>
          <t>Timeline</t>
        </is>
      </c>
      <c r="B3648" s="46">
        <f>'Timeline'!V613</f>
        <v/>
      </c>
      <c r="C3648" s="84">
        <f>'Timeline'!T613</f>
        <v/>
      </c>
      <c r="D3648" s="46">
        <f>'Timeline'!U613</f>
        <v/>
      </c>
      <c r="E3648" s="46">
        <f>IF(OR(B3648="",C3648="",D3648=""),"",D3648*100000+(C3648-DATE(2000,1,1))+ROW()/100000)</f>
        <v/>
      </c>
      <c r="F3648" s="46">
        <f>IF(E3648="","",IF(C3648&gt;WeekEndDate,"",E3648))</f>
        <v/>
      </c>
    </row>
    <row r="3649">
      <c r="A3649" t="inlineStr">
        <is>
          <t>Timeline</t>
        </is>
      </c>
      <c r="B3649" s="46">
        <f>'Timeline'!V614</f>
        <v/>
      </c>
      <c r="C3649" s="84">
        <f>'Timeline'!T614</f>
        <v/>
      </c>
      <c r="D3649" s="46">
        <f>'Timeline'!U614</f>
        <v/>
      </c>
      <c r="E3649" s="46">
        <f>IF(OR(B3649="",C3649="",D3649=""),"",D3649*100000+(C3649-DATE(2000,1,1))+ROW()/100000)</f>
        <v/>
      </c>
      <c r="F3649" s="46">
        <f>IF(E3649="","",IF(C3649&gt;WeekEndDate,"",E3649))</f>
        <v/>
      </c>
    </row>
    <row r="3650">
      <c r="A3650" t="inlineStr">
        <is>
          <t>Timeline</t>
        </is>
      </c>
      <c r="B3650" s="46">
        <f>'Timeline'!V615</f>
        <v/>
      </c>
      <c r="C3650" s="84">
        <f>'Timeline'!T615</f>
        <v/>
      </c>
      <c r="D3650" s="46">
        <f>'Timeline'!U615</f>
        <v/>
      </c>
      <c r="E3650" s="46">
        <f>IF(OR(B3650="",C3650="",D3650=""),"",D3650*100000+(C3650-DATE(2000,1,1))+ROW()/100000)</f>
        <v/>
      </c>
      <c r="F3650" s="46">
        <f>IF(E3650="","",IF(C3650&gt;WeekEndDate,"",E3650))</f>
        <v/>
      </c>
    </row>
    <row r="3651">
      <c r="A3651" t="inlineStr">
        <is>
          <t>Timeline</t>
        </is>
      </c>
      <c r="B3651" s="46">
        <f>'Timeline'!V616</f>
        <v/>
      </c>
      <c r="C3651" s="84">
        <f>'Timeline'!T616</f>
        <v/>
      </c>
      <c r="D3651" s="46">
        <f>'Timeline'!U616</f>
        <v/>
      </c>
      <c r="E3651" s="46">
        <f>IF(OR(B3651="",C3651="",D3651=""),"",D3651*100000+(C3651-DATE(2000,1,1))+ROW()/100000)</f>
        <v/>
      </c>
      <c r="F3651" s="46">
        <f>IF(E3651="","",IF(C3651&gt;WeekEndDate,"",E3651))</f>
        <v/>
      </c>
    </row>
    <row r="3652">
      <c r="A3652" t="inlineStr">
        <is>
          <t>Timeline</t>
        </is>
      </c>
      <c r="B3652" s="46">
        <f>'Timeline'!V617</f>
        <v/>
      </c>
      <c r="C3652" s="84">
        <f>'Timeline'!T617</f>
        <v/>
      </c>
      <c r="D3652" s="46">
        <f>'Timeline'!U617</f>
        <v/>
      </c>
      <c r="E3652" s="46">
        <f>IF(OR(B3652="",C3652="",D3652=""),"",D3652*100000+(C3652-DATE(2000,1,1))+ROW()/100000)</f>
        <v/>
      </c>
      <c r="F3652" s="46">
        <f>IF(E3652="","",IF(C3652&gt;WeekEndDate,"",E3652))</f>
        <v/>
      </c>
    </row>
    <row r="3653">
      <c r="A3653" t="inlineStr">
        <is>
          <t>Timeline</t>
        </is>
      </c>
      <c r="B3653" s="46">
        <f>'Timeline'!V618</f>
        <v/>
      </c>
      <c r="C3653" s="84">
        <f>'Timeline'!T618</f>
        <v/>
      </c>
      <c r="D3653" s="46">
        <f>'Timeline'!U618</f>
        <v/>
      </c>
      <c r="E3653" s="46">
        <f>IF(OR(B3653="",C3653="",D3653=""),"",D3653*100000+(C3653-DATE(2000,1,1))+ROW()/100000)</f>
        <v/>
      </c>
      <c r="F3653" s="46">
        <f>IF(E3653="","",IF(C3653&gt;WeekEndDate,"",E3653))</f>
        <v/>
      </c>
    </row>
    <row r="3654">
      <c r="A3654" t="inlineStr">
        <is>
          <t>Timeline</t>
        </is>
      </c>
      <c r="B3654" s="46">
        <f>'Timeline'!V619</f>
        <v/>
      </c>
      <c r="C3654" s="84">
        <f>'Timeline'!T619</f>
        <v/>
      </c>
      <c r="D3654" s="46">
        <f>'Timeline'!U619</f>
        <v/>
      </c>
      <c r="E3654" s="46">
        <f>IF(OR(B3654="",C3654="",D3654=""),"",D3654*100000+(C3654-DATE(2000,1,1))+ROW()/100000)</f>
        <v/>
      </c>
      <c r="F3654" s="46">
        <f>IF(E3654="","",IF(C3654&gt;WeekEndDate,"",E3654))</f>
        <v/>
      </c>
    </row>
    <row r="3655">
      <c r="A3655" t="inlineStr">
        <is>
          <t>Timeline</t>
        </is>
      </c>
      <c r="B3655" s="46">
        <f>'Timeline'!V620</f>
        <v/>
      </c>
      <c r="C3655" s="84">
        <f>'Timeline'!T620</f>
        <v/>
      </c>
      <c r="D3655" s="46">
        <f>'Timeline'!U620</f>
        <v/>
      </c>
      <c r="E3655" s="46">
        <f>IF(OR(B3655="",C3655="",D3655=""),"",D3655*100000+(C3655-DATE(2000,1,1))+ROW()/100000)</f>
        <v/>
      </c>
      <c r="F3655" s="46">
        <f>IF(E3655="","",IF(C3655&gt;WeekEndDate,"",E3655))</f>
        <v/>
      </c>
    </row>
    <row r="3656">
      <c r="A3656" t="inlineStr">
        <is>
          <t>Timeline</t>
        </is>
      </c>
      <c r="B3656" s="46">
        <f>'Timeline'!V621</f>
        <v/>
      </c>
      <c r="C3656" s="84">
        <f>'Timeline'!T621</f>
        <v/>
      </c>
      <c r="D3656" s="46">
        <f>'Timeline'!U621</f>
        <v/>
      </c>
      <c r="E3656" s="46">
        <f>IF(OR(B3656="",C3656="",D3656=""),"",D3656*100000+(C3656-DATE(2000,1,1))+ROW()/100000)</f>
        <v/>
      </c>
      <c r="F3656" s="46">
        <f>IF(E3656="","",IF(C3656&gt;WeekEndDate,"",E3656))</f>
        <v/>
      </c>
    </row>
    <row r="3657">
      <c r="A3657" t="inlineStr">
        <is>
          <t>Timeline</t>
        </is>
      </c>
      <c r="B3657" s="46">
        <f>'Timeline'!V622</f>
        <v/>
      </c>
      <c r="C3657" s="84">
        <f>'Timeline'!T622</f>
        <v/>
      </c>
      <c r="D3657" s="46">
        <f>'Timeline'!U622</f>
        <v/>
      </c>
      <c r="E3657" s="46">
        <f>IF(OR(B3657="",C3657="",D3657=""),"",D3657*100000+(C3657-DATE(2000,1,1))+ROW()/100000)</f>
        <v/>
      </c>
      <c r="F3657" s="46">
        <f>IF(E3657="","",IF(C3657&gt;WeekEndDate,"",E3657))</f>
        <v/>
      </c>
    </row>
    <row r="3658">
      <c r="A3658" t="inlineStr">
        <is>
          <t>Timeline</t>
        </is>
      </c>
      <c r="B3658" s="46">
        <f>'Timeline'!V623</f>
        <v/>
      </c>
      <c r="C3658" s="84">
        <f>'Timeline'!T623</f>
        <v/>
      </c>
      <c r="D3658" s="46">
        <f>'Timeline'!U623</f>
        <v/>
      </c>
      <c r="E3658" s="46">
        <f>IF(OR(B3658="",C3658="",D3658=""),"",D3658*100000+(C3658-DATE(2000,1,1))+ROW()/100000)</f>
        <v/>
      </c>
      <c r="F3658" s="46">
        <f>IF(E3658="","",IF(C3658&gt;WeekEndDate,"",E3658))</f>
        <v/>
      </c>
    </row>
    <row r="3659">
      <c r="A3659" t="inlineStr">
        <is>
          <t>Timeline</t>
        </is>
      </c>
      <c r="B3659" s="46">
        <f>'Timeline'!V624</f>
        <v/>
      </c>
      <c r="C3659" s="84">
        <f>'Timeline'!T624</f>
        <v/>
      </c>
      <c r="D3659" s="46">
        <f>'Timeline'!U624</f>
        <v/>
      </c>
      <c r="E3659" s="46">
        <f>IF(OR(B3659="",C3659="",D3659=""),"",D3659*100000+(C3659-DATE(2000,1,1))+ROW()/100000)</f>
        <v/>
      </c>
      <c r="F3659" s="46">
        <f>IF(E3659="","",IF(C3659&gt;WeekEndDate,"",E3659))</f>
        <v/>
      </c>
    </row>
    <row r="3660">
      <c r="A3660" t="inlineStr">
        <is>
          <t>Timeline</t>
        </is>
      </c>
      <c r="B3660" s="46">
        <f>'Timeline'!V625</f>
        <v/>
      </c>
      <c r="C3660" s="84">
        <f>'Timeline'!T625</f>
        <v/>
      </c>
      <c r="D3660" s="46">
        <f>'Timeline'!U625</f>
        <v/>
      </c>
      <c r="E3660" s="46">
        <f>IF(OR(B3660="",C3660="",D3660=""),"",D3660*100000+(C3660-DATE(2000,1,1))+ROW()/100000)</f>
        <v/>
      </c>
      <c r="F3660" s="46">
        <f>IF(E3660="","",IF(C3660&gt;WeekEndDate,"",E3660))</f>
        <v/>
      </c>
    </row>
    <row r="3661">
      <c r="A3661" t="inlineStr">
        <is>
          <t>Timeline</t>
        </is>
      </c>
      <c r="B3661" s="46">
        <f>'Timeline'!V626</f>
        <v/>
      </c>
      <c r="C3661" s="84">
        <f>'Timeline'!T626</f>
        <v/>
      </c>
      <c r="D3661" s="46">
        <f>'Timeline'!U626</f>
        <v/>
      </c>
      <c r="E3661" s="46">
        <f>IF(OR(B3661="",C3661="",D3661=""),"",D3661*100000+(C3661-DATE(2000,1,1))+ROW()/100000)</f>
        <v/>
      </c>
      <c r="F3661" s="46">
        <f>IF(E3661="","",IF(C3661&gt;WeekEndDate,"",E3661))</f>
        <v/>
      </c>
    </row>
    <row r="3662">
      <c r="A3662" t="inlineStr">
        <is>
          <t>Timeline</t>
        </is>
      </c>
      <c r="B3662" s="46">
        <f>'Timeline'!V627</f>
        <v/>
      </c>
      <c r="C3662" s="84">
        <f>'Timeline'!T627</f>
        <v/>
      </c>
      <c r="D3662" s="46">
        <f>'Timeline'!U627</f>
        <v/>
      </c>
      <c r="E3662" s="46">
        <f>IF(OR(B3662="",C3662="",D3662=""),"",D3662*100000+(C3662-DATE(2000,1,1))+ROW()/100000)</f>
        <v/>
      </c>
      <c r="F3662" s="46">
        <f>IF(E3662="","",IF(C3662&gt;WeekEndDate,"",E3662))</f>
        <v/>
      </c>
    </row>
    <row r="3663">
      <c r="A3663" t="inlineStr">
        <is>
          <t>Timeline</t>
        </is>
      </c>
      <c r="B3663" s="46">
        <f>'Timeline'!V628</f>
        <v/>
      </c>
      <c r="C3663" s="84">
        <f>'Timeline'!T628</f>
        <v/>
      </c>
      <c r="D3663" s="46">
        <f>'Timeline'!U628</f>
        <v/>
      </c>
      <c r="E3663" s="46">
        <f>IF(OR(B3663="",C3663="",D3663=""),"",D3663*100000+(C3663-DATE(2000,1,1))+ROW()/100000)</f>
        <v/>
      </c>
      <c r="F3663" s="46">
        <f>IF(E3663="","",IF(C3663&gt;WeekEndDate,"",E3663))</f>
        <v/>
      </c>
    </row>
    <row r="3664">
      <c r="A3664" t="inlineStr">
        <is>
          <t>Timeline</t>
        </is>
      </c>
      <c r="B3664" s="46">
        <f>'Timeline'!V629</f>
        <v/>
      </c>
      <c r="C3664" s="84">
        <f>'Timeline'!T629</f>
        <v/>
      </c>
      <c r="D3664" s="46">
        <f>'Timeline'!U629</f>
        <v/>
      </c>
      <c r="E3664" s="46">
        <f>IF(OR(B3664="",C3664="",D3664=""),"",D3664*100000+(C3664-DATE(2000,1,1))+ROW()/100000)</f>
        <v/>
      </c>
      <c r="F3664" s="46">
        <f>IF(E3664="","",IF(C3664&gt;WeekEndDate,"",E3664))</f>
        <v/>
      </c>
    </row>
    <row r="3665">
      <c r="A3665" t="inlineStr">
        <is>
          <t>Timeline</t>
        </is>
      </c>
      <c r="B3665" s="46">
        <f>'Timeline'!V630</f>
        <v/>
      </c>
      <c r="C3665" s="84">
        <f>'Timeline'!T630</f>
        <v/>
      </c>
      <c r="D3665" s="46">
        <f>'Timeline'!U630</f>
        <v/>
      </c>
      <c r="E3665" s="46">
        <f>IF(OR(B3665="",C3665="",D3665=""),"",D3665*100000+(C3665-DATE(2000,1,1))+ROW()/100000)</f>
        <v/>
      </c>
      <c r="F3665" s="46">
        <f>IF(E3665="","",IF(C3665&gt;WeekEndDate,"",E3665))</f>
        <v/>
      </c>
    </row>
    <row r="3666">
      <c r="A3666" t="inlineStr">
        <is>
          <t>Timeline</t>
        </is>
      </c>
      <c r="B3666" s="46">
        <f>'Timeline'!V631</f>
        <v/>
      </c>
      <c r="C3666" s="84">
        <f>'Timeline'!T631</f>
        <v/>
      </c>
      <c r="D3666" s="46">
        <f>'Timeline'!U631</f>
        <v/>
      </c>
      <c r="E3666" s="46">
        <f>IF(OR(B3666="",C3666="",D3666=""),"",D3666*100000+(C3666-DATE(2000,1,1))+ROW()/100000)</f>
        <v/>
      </c>
      <c r="F3666" s="46">
        <f>IF(E3666="","",IF(C3666&gt;WeekEndDate,"",E3666))</f>
        <v/>
      </c>
    </row>
    <row r="3667">
      <c r="A3667" t="inlineStr">
        <is>
          <t>Timeline</t>
        </is>
      </c>
      <c r="B3667" s="46">
        <f>'Timeline'!V632</f>
        <v/>
      </c>
      <c r="C3667" s="84">
        <f>'Timeline'!T632</f>
        <v/>
      </c>
      <c r="D3667" s="46">
        <f>'Timeline'!U632</f>
        <v/>
      </c>
      <c r="E3667" s="46">
        <f>IF(OR(B3667="",C3667="",D3667=""),"",D3667*100000+(C3667-DATE(2000,1,1))+ROW()/100000)</f>
        <v/>
      </c>
      <c r="F3667" s="46">
        <f>IF(E3667="","",IF(C3667&gt;WeekEndDate,"",E3667))</f>
        <v/>
      </c>
    </row>
    <row r="3668">
      <c r="A3668" t="inlineStr">
        <is>
          <t>Timeline</t>
        </is>
      </c>
      <c r="B3668" s="46">
        <f>'Timeline'!V633</f>
        <v/>
      </c>
      <c r="C3668" s="84">
        <f>'Timeline'!T633</f>
        <v/>
      </c>
      <c r="D3668" s="46">
        <f>'Timeline'!U633</f>
        <v/>
      </c>
      <c r="E3668" s="46">
        <f>IF(OR(B3668="",C3668="",D3668=""),"",D3668*100000+(C3668-DATE(2000,1,1))+ROW()/100000)</f>
        <v/>
      </c>
      <c r="F3668" s="46">
        <f>IF(E3668="","",IF(C3668&gt;WeekEndDate,"",E3668))</f>
        <v/>
      </c>
    </row>
    <row r="3669">
      <c r="A3669" t="inlineStr">
        <is>
          <t>Timeline</t>
        </is>
      </c>
      <c r="B3669" s="46">
        <f>'Timeline'!V634</f>
        <v/>
      </c>
      <c r="C3669" s="84">
        <f>'Timeline'!T634</f>
        <v/>
      </c>
      <c r="D3669" s="46">
        <f>'Timeline'!U634</f>
        <v/>
      </c>
      <c r="E3669" s="46">
        <f>IF(OR(B3669="",C3669="",D3669=""),"",D3669*100000+(C3669-DATE(2000,1,1))+ROW()/100000)</f>
        <v/>
      </c>
      <c r="F3669" s="46">
        <f>IF(E3669="","",IF(C3669&gt;WeekEndDate,"",E3669))</f>
        <v/>
      </c>
    </row>
    <row r="3670">
      <c r="A3670" t="inlineStr">
        <is>
          <t>Timeline</t>
        </is>
      </c>
      <c r="B3670" s="46">
        <f>'Timeline'!V635</f>
        <v/>
      </c>
      <c r="C3670" s="84">
        <f>'Timeline'!T635</f>
        <v/>
      </c>
      <c r="D3670" s="46">
        <f>'Timeline'!U635</f>
        <v/>
      </c>
      <c r="E3670" s="46">
        <f>IF(OR(B3670="",C3670="",D3670=""),"",D3670*100000+(C3670-DATE(2000,1,1))+ROW()/100000)</f>
        <v/>
      </c>
      <c r="F3670" s="46">
        <f>IF(E3670="","",IF(C3670&gt;WeekEndDate,"",E3670))</f>
        <v/>
      </c>
    </row>
    <row r="3671">
      <c r="A3671" t="inlineStr">
        <is>
          <t>Timeline</t>
        </is>
      </c>
      <c r="B3671" s="46">
        <f>'Timeline'!V636</f>
        <v/>
      </c>
      <c r="C3671" s="84">
        <f>'Timeline'!T636</f>
        <v/>
      </c>
      <c r="D3671" s="46">
        <f>'Timeline'!U636</f>
        <v/>
      </c>
      <c r="E3671" s="46">
        <f>IF(OR(B3671="",C3671="",D3671=""),"",D3671*100000+(C3671-DATE(2000,1,1))+ROW()/100000)</f>
        <v/>
      </c>
      <c r="F3671" s="46">
        <f>IF(E3671="","",IF(C3671&gt;WeekEndDate,"",E3671))</f>
        <v/>
      </c>
    </row>
    <row r="3672">
      <c r="A3672" t="inlineStr">
        <is>
          <t>Timeline</t>
        </is>
      </c>
      <c r="B3672" s="46">
        <f>'Timeline'!V637</f>
        <v/>
      </c>
      <c r="C3672" s="84">
        <f>'Timeline'!T637</f>
        <v/>
      </c>
      <c r="D3672" s="46">
        <f>'Timeline'!U637</f>
        <v/>
      </c>
      <c r="E3672" s="46">
        <f>IF(OR(B3672="",C3672="",D3672=""),"",D3672*100000+(C3672-DATE(2000,1,1))+ROW()/100000)</f>
        <v/>
      </c>
      <c r="F3672" s="46">
        <f>IF(E3672="","",IF(C3672&gt;WeekEndDate,"",E3672))</f>
        <v/>
      </c>
    </row>
    <row r="3673">
      <c r="A3673" t="inlineStr">
        <is>
          <t>Timeline</t>
        </is>
      </c>
      <c r="B3673" s="46">
        <f>'Timeline'!V638</f>
        <v/>
      </c>
      <c r="C3673" s="84">
        <f>'Timeline'!T638</f>
        <v/>
      </c>
      <c r="D3673" s="46">
        <f>'Timeline'!U638</f>
        <v/>
      </c>
      <c r="E3673" s="46">
        <f>IF(OR(B3673="",C3673="",D3673=""),"",D3673*100000+(C3673-DATE(2000,1,1))+ROW()/100000)</f>
        <v/>
      </c>
      <c r="F3673" s="46">
        <f>IF(E3673="","",IF(C3673&gt;WeekEndDate,"",E3673))</f>
        <v/>
      </c>
    </row>
    <row r="3674">
      <c r="A3674" t="inlineStr">
        <is>
          <t>Timeline</t>
        </is>
      </c>
      <c r="B3674" s="46">
        <f>'Timeline'!V639</f>
        <v/>
      </c>
      <c r="C3674" s="84">
        <f>'Timeline'!T639</f>
        <v/>
      </c>
      <c r="D3674" s="46">
        <f>'Timeline'!U639</f>
        <v/>
      </c>
      <c r="E3674" s="46">
        <f>IF(OR(B3674="",C3674="",D3674=""),"",D3674*100000+(C3674-DATE(2000,1,1))+ROW()/100000)</f>
        <v/>
      </c>
      <c r="F3674" s="46">
        <f>IF(E3674="","",IF(C3674&gt;WeekEndDate,"",E3674))</f>
        <v/>
      </c>
    </row>
    <row r="3675">
      <c r="A3675" t="inlineStr">
        <is>
          <t>Timeline</t>
        </is>
      </c>
      <c r="B3675" s="46">
        <f>'Timeline'!V640</f>
        <v/>
      </c>
      <c r="C3675" s="84">
        <f>'Timeline'!T640</f>
        <v/>
      </c>
      <c r="D3675" s="46">
        <f>'Timeline'!U640</f>
        <v/>
      </c>
      <c r="E3675" s="46">
        <f>IF(OR(B3675="",C3675="",D3675=""),"",D3675*100000+(C3675-DATE(2000,1,1))+ROW()/100000)</f>
        <v/>
      </c>
      <c r="F3675" s="46">
        <f>IF(E3675="","",IF(C3675&gt;WeekEndDate,"",E3675))</f>
        <v/>
      </c>
    </row>
    <row r="3676">
      <c r="A3676" t="inlineStr">
        <is>
          <t>Timeline</t>
        </is>
      </c>
      <c r="B3676" s="46">
        <f>'Timeline'!V641</f>
        <v/>
      </c>
      <c r="C3676" s="84">
        <f>'Timeline'!T641</f>
        <v/>
      </c>
      <c r="D3676" s="46">
        <f>'Timeline'!U641</f>
        <v/>
      </c>
      <c r="E3676" s="46">
        <f>IF(OR(B3676="",C3676="",D3676=""),"",D3676*100000+(C3676-DATE(2000,1,1))+ROW()/100000)</f>
        <v/>
      </c>
      <c r="F3676" s="46">
        <f>IF(E3676="","",IF(C3676&gt;WeekEndDate,"",E3676))</f>
        <v/>
      </c>
    </row>
    <row r="3677">
      <c r="A3677" t="inlineStr">
        <is>
          <t>Timeline</t>
        </is>
      </c>
      <c r="B3677" s="46">
        <f>'Timeline'!V642</f>
        <v/>
      </c>
      <c r="C3677" s="84">
        <f>'Timeline'!T642</f>
        <v/>
      </c>
      <c r="D3677" s="46">
        <f>'Timeline'!U642</f>
        <v/>
      </c>
      <c r="E3677" s="46">
        <f>IF(OR(B3677="",C3677="",D3677=""),"",D3677*100000+(C3677-DATE(2000,1,1))+ROW()/100000)</f>
        <v/>
      </c>
      <c r="F3677" s="46">
        <f>IF(E3677="","",IF(C3677&gt;WeekEndDate,"",E3677))</f>
        <v/>
      </c>
    </row>
    <row r="3678">
      <c r="A3678" t="inlineStr">
        <is>
          <t>Timeline</t>
        </is>
      </c>
      <c r="B3678" s="46">
        <f>'Timeline'!V643</f>
        <v/>
      </c>
      <c r="C3678" s="84">
        <f>'Timeline'!T643</f>
        <v/>
      </c>
      <c r="D3678" s="46">
        <f>'Timeline'!U643</f>
        <v/>
      </c>
      <c r="E3678" s="46">
        <f>IF(OR(B3678="",C3678="",D3678=""),"",D3678*100000+(C3678-DATE(2000,1,1))+ROW()/100000)</f>
        <v/>
      </c>
      <c r="F3678" s="46">
        <f>IF(E3678="","",IF(C3678&gt;WeekEndDate,"",E3678))</f>
        <v/>
      </c>
    </row>
    <row r="3679">
      <c r="A3679" t="inlineStr">
        <is>
          <t>Timeline</t>
        </is>
      </c>
      <c r="B3679" s="46">
        <f>'Timeline'!V644</f>
        <v/>
      </c>
      <c r="C3679" s="84">
        <f>'Timeline'!T644</f>
        <v/>
      </c>
      <c r="D3679" s="46">
        <f>'Timeline'!U644</f>
        <v/>
      </c>
      <c r="E3679" s="46">
        <f>IF(OR(B3679="",C3679="",D3679=""),"",D3679*100000+(C3679-DATE(2000,1,1))+ROW()/100000)</f>
        <v/>
      </c>
      <c r="F3679" s="46">
        <f>IF(E3679="","",IF(C3679&gt;WeekEndDate,"",E3679))</f>
        <v/>
      </c>
    </row>
    <row r="3680">
      <c r="A3680" t="inlineStr">
        <is>
          <t>Timeline</t>
        </is>
      </c>
      <c r="B3680" s="46">
        <f>'Timeline'!V645</f>
        <v/>
      </c>
      <c r="C3680" s="84">
        <f>'Timeline'!T645</f>
        <v/>
      </c>
      <c r="D3680" s="46">
        <f>'Timeline'!U645</f>
        <v/>
      </c>
      <c r="E3680" s="46">
        <f>IF(OR(B3680="",C3680="",D3680=""),"",D3680*100000+(C3680-DATE(2000,1,1))+ROW()/100000)</f>
        <v/>
      </c>
      <c r="F3680" s="46">
        <f>IF(E3680="","",IF(C3680&gt;WeekEndDate,"",E3680))</f>
        <v/>
      </c>
    </row>
    <row r="3681">
      <c r="A3681" t="inlineStr">
        <is>
          <t>Timeline</t>
        </is>
      </c>
      <c r="B3681" s="46">
        <f>'Timeline'!V646</f>
        <v/>
      </c>
      <c r="C3681" s="84">
        <f>'Timeline'!T646</f>
        <v/>
      </c>
      <c r="D3681" s="46">
        <f>'Timeline'!U646</f>
        <v/>
      </c>
      <c r="E3681" s="46">
        <f>IF(OR(B3681="",C3681="",D3681=""),"",D3681*100000+(C3681-DATE(2000,1,1))+ROW()/100000)</f>
        <v/>
      </c>
      <c r="F3681" s="46">
        <f>IF(E3681="","",IF(C3681&gt;WeekEndDate,"",E3681))</f>
        <v/>
      </c>
    </row>
    <row r="3682">
      <c r="A3682" t="inlineStr">
        <is>
          <t>Timeline</t>
        </is>
      </c>
      <c r="B3682" s="46">
        <f>'Timeline'!V647</f>
        <v/>
      </c>
      <c r="C3682" s="84">
        <f>'Timeline'!T647</f>
        <v/>
      </c>
      <c r="D3682" s="46">
        <f>'Timeline'!U647</f>
        <v/>
      </c>
      <c r="E3682" s="46">
        <f>IF(OR(B3682="",C3682="",D3682=""),"",D3682*100000+(C3682-DATE(2000,1,1))+ROW()/100000)</f>
        <v/>
      </c>
      <c r="F3682" s="46">
        <f>IF(E3682="","",IF(C3682&gt;WeekEndDate,"",E3682))</f>
        <v/>
      </c>
    </row>
    <row r="3683">
      <c r="A3683" t="inlineStr">
        <is>
          <t>Timeline</t>
        </is>
      </c>
      <c r="B3683" s="46">
        <f>'Timeline'!V648</f>
        <v/>
      </c>
      <c r="C3683" s="84">
        <f>'Timeline'!T648</f>
        <v/>
      </c>
      <c r="D3683" s="46">
        <f>'Timeline'!U648</f>
        <v/>
      </c>
      <c r="E3683" s="46">
        <f>IF(OR(B3683="",C3683="",D3683=""),"",D3683*100000+(C3683-DATE(2000,1,1))+ROW()/100000)</f>
        <v/>
      </c>
      <c r="F3683" s="46">
        <f>IF(E3683="","",IF(C3683&gt;WeekEndDate,"",E3683))</f>
        <v/>
      </c>
    </row>
    <row r="3684">
      <c r="A3684" t="inlineStr">
        <is>
          <t>Timeline</t>
        </is>
      </c>
      <c r="B3684" s="46">
        <f>'Timeline'!V649</f>
        <v/>
      </c>
      <c r="C3684" s="84">
        <f>'Timeline'!T649</f>
        <v/>
      </c>
      <c r="D3684" s="46">
        <f>'Timeline'!U649</f>
        <v/>
      </c>
      <c r="E3684" s="46">
        <f>IF(OR(B3684="",C3684="",D3684=""),"",D3684*100000+(C3684-DATE(2000,1,1))+ROW()/100000)</f>
        <v/>
      </c>
      <c r="F3684" s="46">
        <f>IF(E3684="","",IF(C3684&gt;WeekEndDate,"",E3684))</f>
        <v/>
      </c>
    </row>
    <row r="3685">
      <c r="A3685" t="inlineStr">
        <is>
          <t>Timeline</t>
        </is>
      </c>
      <c r="B3685" s="46">
        <f>'Timeline'!V650</f>
        <v/>
      </c>
      <c r="C3685" s="84">
        <f>'Timeline'!T650</f>
        <v/>
      </c>
      <c r="D3685" s="46">
        <f>'Timeline'!U650</f>
        <v/>
      </c>
      <c r="E3685" s="46">
        <f>IF(OR(B3685="",C3685="",D3685=""),"",D3685*100000+(C3685-DATE(2000,1,1))+ROW()/100000)</f>
        <v/>
      </c>
      <c r="F3685" s="46">
        <f>IF(E3685="","",IF(C3685&gt;WeekEndDate,"",E3685))</f>
        <v/>
      </c>
    </row>
    <row r="3686">
      <c r="A3686" t="inlineStr">
        <is>
          <t>Timeline</t>
        </is>
      </c>
      <c r="B3686" s="46">
        <f>'Timeline'!V651</f>
        <v/>
      </c>
      <c r="C3686" s="84">
        <f>'Timeline'!T651</f>
        <v/>
      </c>
      <c r="D3686" s="46">
        <f>'Timeline'!U651</f>
        <v/>
      </c>
      <c r="E3686" s="46">
        <f>IF(OR(B3686="",C3686="",D3686=""),"",D3686*100000+(C3686-DATE(2000,1,1))+ROW()/100000)</f>
        <v/>
      </c>
      <c r="F3686" s="46">
        <f>IF(E3686="","",IF(C3686&gt;WeekEndDate,"",E3686))</f>
        <v/>
      </c>
    </row>
    <row r="3687">
      <c r="A3687" t="inlineStr">
        <is>
          <t>Timeline</t>
        </is>
      </c>
      <c r="B3687" s="46">
        <f>'Timeline'!V652</f>
        <v/>
      </c>
      <c r="C3687" s="84">
        <f>'Timeline'!T652</f>
        <v/>
      </c>
      <c r="D3687" s="46">
        <f>'Timeline'!U652</f>
        <v/>
      </c>
      <c r="E3687" s="46">
        <f>IF(OR(B3687="",C3687="",D3687=""),"",D3687*100000+(C3687-DATE(2000,1,1))+ROW()/100000)</f>
        <v/>
      </c>
      <c r="F3687" s="46">
        <f>IF(E3687="","",IF(C3687&gt;WeekEndDate,"",E3687))</f>
        <v/>
      </c>
    </row>
    <row r="3688">
      <c r="A3688" t="inlineStr">
        <is>
          <t>Timeline</t>
        </is>
      </c>
      <c r="B3688" s="46">
        <f>'Timeline'!V653</f>
        <v/>
      </c>
      <c r="C3688" s="84">
        <f>'Timeline'!T653</f>
        <v/>
      </c>
      <c r="D3688" s="46">
        <f>'Timeline'!U653</f>
        <v/>
      </c>
      <c r="E3688" s="46">
        <f>IF(OR(B3688="",C3688="",D3688=""),"",D3688*100000+(C3688-DATE(2000,1,1))+ROW()/100000)</f>
        <v/>
      </c>
      <c r="F3688" s="46">
        <f>IF(E3688="","",IF(C3688&gt;WeekEndDate,"",E3688))</f>
        <v/>
      </c>
    </row>
    <row r="3689">
      <c r="A3689" t="inlineStr">
        <is>
          <t>Timeline</t>
        </is>
      </c>
      <c r="B3689" s="46">
        <f>'Timeline'!V654</f>
        <v/>
      </c>
      <c r="C3689" s="84">
        <f>'Timeline'!T654</f>
        <v/>
      </c>
      <c r="D3689" s="46">
        <f>'Timeline'!U654</f>
        <v/>
      </c>
      <c r="E3689" s="46">
        <f>IF(OR(B3689="",C3689="",D3689=""),"",D3689*100000+(C3689-DATE(2000,1,1))+ROW()/100000)</f>
        <v/>
      </c>
      <c r="F3689" s="46">
        <f>IF(E3689="","",IF(C3689&gt;WeekEndDate,"",E3689))</f>
        <v/>
      </c>
    </row>
    <row r="3690">
      <c r="A3690" t="inlineStr">
        <is>
          <t>Timeline</t>
        </is>
      </c>
      <c r="B3690" s="46">
        <f>'Timeline'!V655</f>
        <v/>
      </c>
      <c r="C3690" s="84">
        <f>'Timeline'!T655</f>
        <v/>
      </c>
      <c r="D3690" s="46">
        <f>'Timeline'!U655</f>
        <v/>
      </c>
      <c r="E3690" s="46">
        <f>IF(OR(B3690="",C3690="",D3690=""),"",D3690*100000+(C3690-DATE(2000,1,1))+ROW()/100000)</f>
        <v/>
      </c>
      <c r="F3690" s="46">
        <f>IF(E3690="","",IF(C3690&gt;WeekEndDate,"",E3690))</f>
        <v/>
      </c>
    </row>
    <row r="3691">
      <c r="A3691" t="inlineStr">
        <is>
          <t>Timeline</t>
        </is>
      </c>
      <c r="B3691" s="46">
        <f>'Timeline'!V656</f>
        <v/>
      </c>
      <c r="C3691" s="84">
        <f>'Timeline'!T656</f>
        <v/>
      </c>
      <c r="D3691" s="46">
        <f>'Timeline'!U656</f>
        <v/>
      </c>
      <c r="E3691" s="46">
        <f>IF(OR(B3691="",C3691="",D3691=""),"",D3691*100000+(C3691-DATE(2000,1,1))+ROW()/100000)</f>
        <v/>
      </c>
      <c r="F3691" s="46">
        <f>IF(E3691="","",IF(C3691&gt;WeekEndDate,"",E3691))</f>
        <v/>
      </c>
    </row>
    <row r="3692">
      <c r="A3692" t="inlineStr">
        <is>
          <t>Timeline</t>
        </is>
      </c>
      <c r="B3692" s="46">
        <f>'Timeline'!V657</f>
        <v/>
      </c>
      <c r="C3692" s="84">
        <f>'Timeline'!T657</f>
        <v/>
      </c>
      <c r="D3692" s="46">
        <f>'Timeline'!U657</f>
        <v/>
      </c>
      <c r="E3692" s="46">
        <f>IF(OR(B3692="",C3692="",D3692=""),"",D3692*100000+(C3692-DATE(2000,1,1))+ROW()/100000)</f>
        <v/>
      </c>
      <c r="F3692" s="46">
        <f>IF(E3692="","",IF(C3692&gt;WeekEndDate,"",E3692))</f>
        <v/>
      </c>
    </row>
    <row r="3693">
      <c r="A3693" t="inlineStr">
        <is>
          <t>Timeline</t>
        </is>
      </c>
      <c r="B3693" s="46">
        <f>'Timeline'!V658</f>
        <v/>
      </c>
      <c r="C3693" s="84">
        <f>'Timeline'!T658</f>
        <v/>
      </c>
      <c r="D3693" s="46">
        <f>'Timeline'!U658</f>
        <v/>
      </c>
      <c r="E3693" s="46">
        <f>IF(OR(B3693="",C3693="",D3693=""),"",D3693*100000+(C3693-DATE(2000,1,1))+ROW()/100000)</f>
        <v/>
      </c>
      <c r="F3693" s="46">
        <f>IF(E3693="","",IF(C3693&gt;WeekEndDate,"",E3693))</f>
        <v/>
      </c>
    </row>
    <row r="3694">
      <c r="A3694" t="inlineStr">
        <is>
          <t>Timeline</t>
        </is>
      </c>
      <c r="B3694" s="46">
        <f>'Timeline'!V659</f>
        <v/>
      </c>
      <c r="C3694" s="84">
        <f>'Timeline'!T659</f>
        <v/>
      </c>
      <c r="D3694" s="46">
        <f>'Timeline'!U659</f>
        <v/>
      </c>
      <c r="E3694" s="46">
        <f>IF(OR(B3694="",C3694="",D3694=""),"",D3694*100000+(C3694-DATE(2000,1,1))+ROW()/100000)</f>
        <v/>
      </c>
      <c r="F3694" s="46">
        <f>IF(E3694="","",IF(C3694&gt;WeekEndDate,"",E3694))</f>
        <v/>
      </c>
    </row>
    <row r="3695">
      <c r="A3695" t="inlineStr">
        <is>
          <t>Timeline</t>
        </is>
      </c>
      <c r="B3695" s="46">
        <f>'Timeline'!V660</f>
        <v/>
      </c>
      <c r="C3695" s="84">
        <f>'Timeline'!T660</f>
        <v/>
      </c>
      <c r="D3695" s="46">
        <f>'Timeline'!U660</f>
        <v/>
      </c>
      <c r="E3695" s="46">
        <f>IF(OR(B3695="",C3695="",D3695=""),"",D3695*100000+(C3695-DATE(2000,1,1))+ROW()/100000)</f>
        <v/>
      </c>
      <c r="F3695" s="46">
        <f>IF(E3695="","",IF(C3695&gt;WeekEndDate,"",E3695))</f>
        <v/>
      </c>
    </row>
    <row r="3696">
      <c r="A3696" t="inlineStr">
        <is>
          <t>Timeline</t>
        </is>
      </c>
      <c r="B3696" s="46">
        <f>'Timeline'!V661</f>
        <v/>
      </c>
      <c r="C3696" s="84">
        <f>'Timeline'!T661</f>
        <v/>
      </c>
      <c r="D3696" s="46">
        <f>'Timeline'!U661</f>
        <v/>
      </c>
      <c r="E3696" s="46">
        <f>IF(OR(B3696="",C3696="",D3696=""),"",D3696*100000+(C3696-DATE(2000,1,1))+ROW()/100000)</f>
        <v/>
      </c>
      <c r="F3696" s="46">
        <f>IF(E3696="","",IF(C3696&gt;WeekEndDate,"",E3696))</f>
        <v/>
      </c>
    </row>
    <row r="3697">
      <c r="A3697" t="inlineStr">
        <is>
          <t>Timeline</t>
        </is>
      </c>
      <c r="B3697" s="46">
        <f>'Timeline'!V662</f>
        <v/>
      </c>
      <c r="C3697" s="84">
        <f>'Timeline'!T662</f>
        <v/>
      </c>
      <c r="D3697" s="46">
        <f>'Timeline'!U662</f>
        <v/>
      </c>
      <c r="E3697" s="46">
        <f>IF(OR(B3697="",C3697="",D3697=""),"",D3697*100000+(C3697-DATE(2000,1,1))+ROW()/100000)</f>
        <v/>
      </c>
      <c r="F3697" s="46">
        <f>IF(E3697="","",IF(C3697&gt;WeekEndDate,"",E3697))</f>
        <v/>
      </c>
    </row>
    <row r="3698">
      <c r="A3698" t="inlineStr">
        <is>
          <t>Timeline</t>
        </is>
      </c>
      <c r="B3698" s="46">
        <f>'Timeline'!V663</f>
        <v/>
      </c>
      <c r="C3698" s="84">
        <f>'Timeline'!T663</f>
        <v/>
      </c>
      <c r="D3698" s="46">
        <f>'Timeline'!U663</f>
        <v/>
      </c>
      <c r="E3698" s="46">
        <f>IF(OR(B3698="",C3698="",D3698=""),"",D3698*100000+(C3698-DATE(2000,1,1))+ROW()/100000)</f>
        <v/>
      </c>
      <c r="F3698" s="46">
        <f>IF(E3698="","",IF(C3698&gt;WeekEndDate,"",E3698))</f>
        <v/>
      </c>
    </row>
    <row r="3699">
      <c r="A3699" t="inlineStr">
        <is>
          <t>Timeline</t>
        </is>
      </c>
      <c r="B3699" s="46">
        <f>'Timeline'!V664</f>
        <v/>
      </c>
      <c r="C3699" s="84">
        <f>'Timeline'!T664</f>
        <v/>
      </c>
      <c r="D3699" s="46">
        <f>'Timeline'!U664</f>
        <v/>
      </c>
      <c r="E3699" s="46">
        <f>IF(OR(B3699="",C3699="",D3699=""),"",D3699*100000+(C3699-DATE(2000,1,1))+ROW()/100000)</f>
        <v/>
      </c>
      <c r="F3699" s="46">
        <f>IF(E3699="","",IF(C3699&gt;WeekEndDate,"",E3699))</f>
        <v/>
      </c>
    </row>
    <row r="3700">
      <c r="A3700" t="inlineStr">
        <is>
          <t>Timeline</t>
        </is>
      </c>
      <c r="B3700" s="46">
        <f>'Timeline'!V665</f>
        <v/>
      </c>
      <c r="C3700" s="84">
        <f>'Timeline'!T665</f>
        <v/>
      </c>
      <c r="D3700" s="46">
        <f>'Timeline'!U665</f>
        <v/>
      </c>
      <c r="E3700" s="46">
        <f>IF(OR(B3700="",C3700="",D3700=""),"",D3700*100000+(C3700-DATE(2000,1,1))+ROW()/100000)</f>
        <v/>
      </c>
      <c r="F3700" s="46">
        <f>IF(E3700="","",IF(C3700&gt;WeekEndDate,"",E3700))</f>
        <v/>
      </c>
    </row>
    <row r="3701">
      <c r="A3701" t="inlineStr">
        <is>
          <t>Timeline</t>
        </is>
      </c>
      <c r="B3701" s="46">
        <f>'Timeline'!V666</f>
        <v/>
      </c>
      <c r="C3701" s="84">
        <f>'Timeline'!T666</f>
        <v/>
      </c>
      <c r="D3701" s="46">
        <f>'Timeline'!U666</f>
        <v/>
      </c>
      <c r="E3701" s="46">
        <f>IF(OR(B3701="",C3701="",D3701=""),"",D3701*100000+(C3701-DATE(2000,1,1))+ROW()/100000)</f>
        <v/>
      </c>
      <c r="F3701" s="46">
        <f>IF(E3701="","",IF(C3701&gt;WeekEndDate,"",E3701))</f>
        <v/>
      </c>
    </row>
    <row r="3702">
      <c r="A3702" t="inlineStr">
        <is>
          <t>Timeline</t>
        </is>
      </c>
      <c r="B3702" s="46">
        <f>'Timeline'!V667</f>
        <v/>
      </c>
      <c r="C3702" s="84">
        <f>'Timeline'!T667</f>
        <v/>
      </c>
      <c r="D3702" s="46">
        <f>'Timeline'!U667</f>
        <v/>
      </c>
      <c r="E3702" s="46">
        <f>IF(OR(B3702="",C3702="",D3702=""),"",D3702*100000+(C3702-DATE(2000,1,1))+ROW()/100000)</f>
        <v/>
      </c>
      <c r="F3702" s="46">
        <f>IF(E3702="","",IF(C3702&gt;WeekEndDate,"",E3702))</f>
        <v/>
      </c>
    </row>
    <row r="3703">
      <c r="A3703" t="inlineStr">
        <is>
          <t>Timeline</t>
        </is>
      </c>
      <c r="B3703" s="46">
        <f>'Timeline'!V668</f>
        <v/>
      </c>
      <c r="C3703" s="84">
        <f>'Timeline'!T668</f>
        <v/>
      </c>
      <c r="D3703" s="46">
        <f>'Timeline'!U668</f>
        <v/>
      </c>
      <c r="E3703" s="46">
        <f>IF(OR(B3703="",C3703="",D3703=""),"",D3703*100000+(C3703-DATE(2000,1,1))+ROW()/100000)</f>
        <v/>
      </c>
      <c r="F3703" s="46">
        <f>IF(E3703="","",IF(C3703&gt;WeekEndDate,"",E3703))</f>
        <v/>
      </c>
    </row>
    <row r="3704">
      <c r="A3704" t="inlineStr">
        <is>
          <t>Timeline</t>
        </is>
      </c>
      <c r="B3704" s="46">
        <f>'Timeline'!V669</f>
        <v/>
      </c>
      <c r="C3704" s="84">
        <f>'Timeline'!T669</f>
        <v/>
      </c>
      <c r="D3704" s="46">
        <f>'Timeline'!U669</f>
        <v/>
      </c>
      <c r="E3704" s="46">
        <f>IF(OR(B3704="",C3704="",D3704=""),"",D3704*100000+(C3704-DATE(2000,1,1))+ROW()/100000)</f>
        <v/>
      </c>
      <c r="F3704" s="46">
        <f>IF(E3704="","",IF(C3704&gt;WeekEndDate,"",E3704))</f>
        <v/>
      </c>
    </row>
    <row r="3705">
      <c r="A3705" t="inlineStr">
        <is>
          <t>Timeline</t>
        </is>
      </c>
      <c r="B3705" s="46">
        <f>'Timeline'!V670</f>
        <v/>
      </c>
      <c r="C3705" s="84">
        <f>'Timeline'!T670</f>
        <v/>
      </c>
      <c r="D3705" s="46">
        <f>'Timeline'!U670</f>
        <v/>
      </c>
      <c r="E3705" s="46">
        <f>IF(OR(B3705="",C3705="",D3705=""),"",D3705*100000+(C3705-DATE(2000,1,1))+ROW()/100000)</f>
        <v/>
      </c>
      <c r="F3705" s="46">
        <f>IF(E3705="","",IF(C3705&gt;WeekEndDate,"",E3705))</f>
        <v/>
      </c>
    </row>
    <row r="3706">
      <c r="A3706" t="inlineStr">
        <is>
          <t>Timeline</t>
        </is>
      </c>
      <c r="B3706" s="46">
        <f>'Timeline'!V671</f>
        <v/>
      </c>
      <c r="C3706" s="84">
        <f>'Timeline'!T671</f>
        <v/>
      </c>
      <c r="D3706" s="46">
        <f>'Timeline'!U671</f>
        <v/>
      </c>
      <c r="E3706" s="46">
        <f>IF(OR(B3706="",C3706="",D3706=""),"",D3706*100000+(C3706-DATE(2000,1,1))+ROW()/100000)</f>
        <v/>
      </c>
      <c r="F3706" s="46">
        <f>IF(E3706="","",IF(C3706&gt;WeekEndDate,"",E3706))</f>
        <v/>
      </c>
    </row>
    <row r="3707">
      <c r="A3707" t="inlineStr">
        <is>
          <t>Timeline</t>
        </is>
      </c>
      <c r="B3707" s="46">
        <f>'Timeline'!V672</f>
        <v/>
      </c>
      <c r="C3707" s="84">
        <f>'Timeline'!T672</f>
        <v/>
      </c>
      <c r="D3707" s="46">
        <f>'Timeline'!U672</f>
        <v/>
      </c>
      <c r="E3707" s="46">
        <f>IF(OR(B3707="",C3707="",D3707=""),"",D3707*100000+(C3707-DATE(2000,1,1))+ROW()/100000)</f>
        <v/>
      </c>
      <c r="F3707" s="46">
        <f>IF(E3707="","",IF(C3707&gt;WeekEndDate,"",E3707))</f>
        <v/>
      </c>
    </row>
    <row r="3708">
      <c r="A3708" t="inlineStr">
        <is>
          <t>Timeline</t>
        </is>
      </c>
      <c r="B3708" s="46">
        <f>'Timeline'!V673</f>
        <v/>
      </c>
      <c r="C3708" s="84">
        <f>'Timeline'!T673</f>
        <v/>
      </c>
      <c r="D3708" s="46">
        <f>'Timeline'!U673</f>
        <v/>
      </c>
      <c r="E3708" s="46">
        <f>IF(OR(B3708="",C3708="",D3708=""),"",D3708*100000+(C3708-DATE(2000,1,1))+ROW()/100000)</f>
        <v/>
      </c>
      <c r="F3708" s="46">
        <f>IF(E3708="","",IF(C3708&gt;WeekEndDate,"",E3708))</f>
        <v/>
      </c>
    </row>
    <row r="3709">
      <c r="A3709" t="inlineStr">
        <is>
          <t>Timeline</t>
        </is>
      </c>
      <c r="B3709" s="46">
        <f>'Timeline'!V674</f>
        <v/>
      </c>
      <c r="C3709" s="84">
        <f>'Timeline'!T674</f>
        <v/>
      </c>
      <c r="D3709" s="46">
        <f>'Timeline'!U674</f>
        <v/>
      </c>
      <c r="E3709" s="46">
        <f>IF(OR(B3709="",C3709="",D3709=""),"",D3709*100000+(C3709-DATE(2000,1,1))+ROW()/100000)</f>
        <v/>
      </c>
      <c r="F3709" s="46">
        <f>IF(E3709="","",IF(C3709&gt;WeekEndDate,"",E3709))</f>
        <v/>
      </c>
    </row>
    <row r="3710">
      <c r="A3710" t="inlineStr">
        <is>
          <t>Timeline</t>
        </is>
      </c>
      <c r="B3710" s="46">
        <f>'Timeline'!V675</f>
        <v/>
      </c>
      <c r="C3710" s="84">
        <f>'Timeline'!T675</f>
        <v/>
      </c>
      <c r="D3710" s="46">
        <f>'Timeline'!U675</f>
        <v/>
      </c>
      <c r="E3710" s="46">
        <f>IF(OR(B3710="",C3710="",D3710=""),"",D3710*100000+(C3710-DATE(2000,1,1))+ROW()/100000)</f>
        <v/>
      </c>
      <c r="F3710" s="46">
        <f>IF(E3710="","",IF(C3710&gt;WeekEndDate,"",E3710))</f>
        <v/>
      </c>
    </row>
    <row r="3711">
      <c r="A3711" t="inlineStr">
        <is>
          <t>Timeline</t>
        </is>
      </c>
      <c r="B3711" s="46">
        <f>'Timeline'!V676</f>
        <v/>
      </c>
      <c r="C3711" s="84">
        <f>'Timeline'!T676</f>
        <v/>
      </c>
      <c r="D3711" s="46">
        <f>'Timeline'!U676</f>
        <v/>
      </c>
      <c r="E3711" s="46">
        <f>IF(OR(B3711="",C3711="",D3711=""),"",D3711*100000+(C3711-DATE(2000,1,1))+ROW()/100000)</f>
        <v/>
      </c>
      <c r="F3711" s="46">
        <f>IF(E3711="","",IF(C3711&gt;WeekEndDate,"",E3711))</f>
        <v/>
      </c>
    </row>
    <row r="3712">
      <c r="A3712" t="inlineStr">
        <is>
          <t>Timeline</t>
        </is>
      </c>
      <c r="B3712" s="46">
        <f>'Timeline'!V677</f>
        <v/>
      </c>
      <c r="C3712" s="84">
        <f>'Timeline'!T677</f>
        <v/>
      </c>
      <c r="D3712" s="46">
        <f>'Timeline'!U677</f>
        <v/>
      </c>
      <c r="E3712" s="46">
        <f>IF(OR(B3712="",C3712="",D3712=""),"",D3712*100000+(C3712-DATE(2000,1,1))+ROW()/100000)</f>
        <v/>
      </c>
      <c r="F3712" s="46">
        <f>IF(E3712="","",IF(C3712&gt;WeekEndDate,"",E3712))</f>
        <v/>
      </c>
    </row>
    <row r="3713">
      <c r="A3713" t="inlineStr">
        <is>
          <t>Timeline</t>
        </is>
      </c>
      <c r="B3713" s="46">
        <f>'Timeline'!V678</f>
        <v/>
      </c>
      <c r="C3713" s="84">
        <f>'Timeline'!T678</f>
        <v/>
      </c>
      <c r="D3713" s="46">
        <f>'Timeline'!U678</f>
        <v/>
      </c>
      <c r="E3713" s="46">
        <f>IF(OR(B3713="",C3713="",D3713=""),"",D3713*100000+(C3713-DATE(2000,1,1))+ROW()/100000)</f>
        <v/>
      </c>
      <c r="F3713" s="46">
        <f>IF(E3713="","",IF(C3713&gt;WeekEndDate,"",E3713))</f>
        <v/>
      </c>
    </row>
    <row r="3714">
      <c r="A3714" t="inlineStr">
        <is>
          <t>Timeline</t>
        </is>
      </c>
      <c r="B3714" s="46">
        <f>'Timeline'!V679</f>
        <v/>
      </c>
      <c r="C3714" s="84">
        <f>'Timeline'!T679</f>
        <v/>
      </c>
      <c r="D3714" s="46">
        <f>'Timeline'!U679</f>
        <v/>
      </c>
      <c r="E3714" s="46">
        <f>IF(OR(B3714="",C3714="",D3714=""),"",D3714*100000+(C3714-DATE(2000,1,1))+ROW()/100000)</f>
        <v/>
      </c>
      <c r="F3714" s="46">
        <f>IF(E3714="","",IF(C3714&gt;WeekEndDate,"",E3714))</f>
        <v/>
      </c>
    </row>
    <row r="3715">
      <c r="A3715" t="inlineStr">
        <is>
          <t>Timeline</t>
        </is>
      </c>
      <c r="B3715" s="46">
        <f>'Timeline'!V680</f>
        <v/>
      </c>
      <c r="C3715" s="84">
        <f>'Timeline'!T680</f>
        <v/>
      </c>
      <c r="D3715" s="46">
        <f>'Timeline'!U680</f>
        <v/>
      </c>
      <c r="E3715" s="46">
        <f>IF(OR(B3715="",C3715="",D3715=""),"",D3715*100000+(C3715-DATE(2000,1,1))+ROW()/100000)</f>
        <v/>
      </c>
      <c r="F3715" s="46">
        <f>IF(E3715="","",IF(C3715&gt;WeekEndDate,"",E3715))</f>
        <v/>
      </c>
    </row>
    <row r="3716">
      <c r="A3716" t="inlineStr">
        <is>
          <t>Timeline</t>
        </is>
      </c>
      <c r="B3716" s="46">
        <f>'Timeline'!V681</f>
        <v/>
      </c>
      <c r="C3716" s="84">
        <f>'Timeline'!T681</f>
        <v/>
      </c>
      <c r="D3716" s="46">
        <f>'Timeline'!U681</f>
        <v/>
      </c>
      <c r="E3716" s="46">
        <f>IF(OR(B3716="",C3716="",D3716=""),"",D3716*100000+(C3716-DATE(2000,1,1))+ROW()/100000)</f>
        <v/>
      </c>
      <c r="F3716" s="46">
        <f>IF(E3716="","",IF(C3716&gt;WeekEndDate,"",E3716))</f>
        <v/>
      </c>
    </row>
    <row r="3717">
      <c r="A3717" t="inlineStr">
        <is>
          <t>Timeline</t>
        </is>
      </c>
      <c r="B3717" s="46">
        <f>'Timeline'!V682</f>
        <v/>
      </c>
      <c r="C3717" s="84">
        <f>'Timeline'!T682</f>
        <v/>
      </c>
      <c r="D3717" s="46">
        <f>'Timeline'!U682</f>
        <v/>
      </c>
      <c r="E3717" s="46">
        <f>IF(OR(B3717="",C3717="",D3717=""),"",D3717*100000+(C3717-DATE(2000,1,1))+ROW()/100000)</f>
        <v/>
      </c>
      <c r="F3717" s="46">
        <f>IF(E3717="","",IF(C3717&gt;WeekEndDate,"",E3717))</f>
        <v/>
      </c>
    </row>
    <row r="3718">
      <c r="A3718" t="inlineStr">
        <is>
          <t>Timeline</t>
        </is>
      </c>
      <c r="B3718" s="46">
        <f>'Timeline'!V683</f>
        <v/>
      </c>
      <c r="C3718" s="84">
        <f>'Timeline'!T683</f>
        <v/>
      </c>
      <c r="D3718" s="46">
        <f>'Timeline'!U683</f>
        <v/>
      </c>
      <c r="E3718" s="46">
        <f>IF(OR(B3718="",C3718="",D3718=""),"",D3718*100000+(C3718-DATE(2000,1,1))+ROW()/100000)</f>
        <v/>
      </c>
      <c r="F3718" s="46">
        <f>IF(E3718="","",IF(C3718&gt;WeekEndDate,"",E3718))</f>
        <v/>
      </c>
    </row>
    <row r="3719">
      <c r="A3719" t="inlineStr">
        <is>
          <t>Timeline</t>
        </is>
      </c>
      <c r="B3719" s="46">
        <f>'Timeline'!V684</f>
        <v/>
      </c>
      <c r="C3719" s="84">
        <f>'Timeline'!T684</f>
        <v/>
      </c>
      <c r="D3719" s="46">
        <f>'Timeline'!U684</f>
        <v/>
      </c>
      <c r="E3719" s="46">
        <f>IF(OR(B3719="",C3719="",D3719=""),"",D3719*100000+(C3719-DATE(2000,1,1))+ROW()/100000)</f>
        <v/>
      </c>
      <c r="F3719" s="46">
        <f>IF(E3719="","",IF(C3719&gt;WeekEndDate,"",E3719))</f>
        <v/>
      </c>
    </row>
    <row r="3720">
      <c r="A3720" t="inlineStr">
        <is>
          <t>Timeline</t>
        </is>
      </c>
      <c r="B3720" s="46">
        <f>'Timeline'!V685</f>
        <v/>
      </c>
      <c r="C3720" s="84">
        <f>'Timeline'!T685</f>
        <v/>
      </c>
      <c r="D3720" s="46">
        <f>'Timeline'!U685</f>
        <v/>
      </c>
      <c r="E3720" s="46">
        <f>IF(OR(B3720="",C3720="",D3720=""),"",D3720*100000+(C3720-DATE(2000,1,1))+ROW()/100000)</f>
        <v/>
      </c>
      <c r="F3720" s="46">
        <f>IF(E3720="","",IF(C3720&gt;WeekEndDate,"",E3720))</f>
        <v/>
      </c>
    </row>
    <row r="3721">
      <c r="A3721" t="inlineStr">
        <is>
          <t>Timeline</t>
        </is>
      </c>
      <c r="B3721" s="46">
        <f>'Timeline'!V686</f>
        <v/>
      </c>
      <c r="C3721" s="84">
        <f>'Timeline'!T686</f>
        <v/>
      </c>
      <c r="D3721" s="46">
        <f>'Timeline'!U686</f>
        <v/>
      </c>
      <c r="E3721" s="46">
        <f>IF(OR(B3721="",C3721="",D3721=""),"",D3721*100000+(C3721-DATE(2000,1,1))+ROW()/100000)</f>
        <v/>
      </c>
      <c r="F3721" s="46">
        <f>IF(E3721="","",IF(C3721&gt;WeekEndDate,"",E3721))</f>
        <v/>
      </c>
    </row>
    <row r="3722">
      <c r="A3722" t="inlineStr">
        <is>
          <t>Timeline</t>
        </is>
      </c>
      <c r="B3722" s="46">
        <f>'Timeline'!V687</f>
        <v/>
      </c>
      <c r="C3722" s="84">
        <f>'Timeline'!T687</f>
        <v/>
      </c>
      <c r="D3722" s="46">
        <f>'Timeline'!U687</f>
        <v/>
      </c>
      <c r="E3722" s="46">
        <f>IF(OR(B3722="",C3722="",D3722=""),"",D3722*100000+(C3722-DATE(2000,1,1))+ROW()/100000)</f>
        <v/>
      </c>
      <c r="F3722" s="46">
        <f>IF(E3722="","",IF(C3722&gt;WeekEndDate,"",E3722))</f>
        <v/>
      </c>
    </row>
    <row r="3723">
      <c r="A3723" t="inlineStr">
        <is>
          <t>Timeline</t>
        </is>
      </c>
      <c r="B3723" s="46">
        <f>'Timeline'!V688</f>
        <v/>
      </c>
      <c r="C3723" s="84">
        <f>'Timeline'!T688</f>
        <v/>
      </c>
      <c r="D3723" s="46">
        <f>'Timeline'!U688</f>
        <v/>
      </c>
      <c r="E3723" s="46">
        <f>IF(OR(B3723="",C3723="",D3723=""),"",D3723*100000+(C3723-DATE(2000,1,1))+ROW()/100000)</f>
        <v/>
      </c>
      <c r="F3723" s="46">
        <f>IF(E3723="","",IF(C3723&gt;WeekEndDate,"",E3723))</f>
        <v/>
      </c>
    </row>
    <row r="3724">
      <c r="A3724" t="inlineStr">
        <is>
          <t>Timeline</t>
        </is>
      </c>
      <c r="B3724" s="46">
        <f>'Timeline'!V689</f>
        <v/>
      </c>
      <c r="C3724" s="84">
        <f>'Timeline'!T689</f>
        <v/>
      </c>
      <c r="D3724" s="46">
        <f>'Timeline'!U689</f>
        <v/>
      </c>
      <c r="E3724" s="46">
        <f>IF(OR(B3724="",C3724="",D3724=""),"",D3724*100000+(C3724-DATE(2000,1,1))+ROW()/100000)</f>
        <v/>
      </c>
      <c r="F3724" s="46">
        <f>IF(E3724="","",IF(C3724&gt;WeekEndDate,"",E3724))</f>
        <v/>
      </c>
    </row>
    <row r="3725">
      <c r="A3725" t="inlineStr">
        <is>
          <t>Timeline</t>
        </is>
      </c>
      <c r="B3725" s="46">
        <f>'Timeline'!V690</f>
        <v/>
      </c>
      <c r="C3725" s="84">
        <f>'Timeline'!T690</f>
        <v/>
      </c>
      <c r="D3725" s="46">
        <f>'Timeline'!U690</f>
        <v/>
      </c>
      <c r="E3725" s="46">
        <f>IF(OR(B3725="",C3725="",D3725=""),"",D3725*100000+(C3725-DATE(2000,1,1))+ROW()/100000)</f>
        <v/>
      </c>
      <c r="F3725" s="46">
        <f>IF(E3725="","",IF(C3725&gt;WeekEndDate,"",E3725))</f>
        <v/>
      </c>
    </row>
    <row r="3726">
      <c r="A3726" t="inlineStr">
        <is>
          <t>Timeline</t>
        </is>
      </c>
      <c r="B3726" s="46">
        <f>'Timeline'!V691</f>
        <v/>
      </c>
      <c r="C3726" s="84">
        <f>'Timeline'!T691</f>
        <v/>
      </c>
      <c r="D3726" s="46">
        <f>'Timeline'!U691</f>
        <v/>
      </c>
      <c r="E3726" s="46">
        <f>IF(OR(B3726="",C3726="",D3726=""),"",D3726*100000+(C3726-DATE(2000,1,1))+ROW()/100000)</f>
        <v/>
      </c>
      <c r="F3726" s="46">
        <f>IF(E3726="","",IF(C3726&gt;WeekEndDate,"",E3726))</f>
        <v/>
      </c>
    </row>
    <row r="3727">
      <c r="A3727" t="inlineStr">
        <is>
          <t>Timeline</t>
        </is>
      </c>
      <c r="B3727" s="46">
        <f>'Timeline'!V692</f>
        <v/>
      </c>
      <c r="C3727" s="84">
        <f>'Timeline'!T692</f>
        <v/>
      </c>
      <c r="D3727" s="46">
        <f>'Timeline'!U692</f>
        <v/>
      </c>
      <c r="E3727" s="46">
        <f>IF(OR(B3727="",C3727="",D3727=""),"",D3727*100000+(C3727-DATE(2000,1,1))+ROW()/100000)</f>
        <v/>
      </c>
      <c r="F3727" s="46">
        <f>IF(E3727="","",IF(C3727&gt;WeekEndDate,"",E3727))</f>
        <v/>
      </c>
    </row>
    <row r="3728">
      <c r="A3728" t="inlineStr">
        <is>
          <t>Timeline</t>
        </is>
      </c>
      <c r="B3728" s="46">
        <f>'Timeline'!V693</f>
        <v/>
      </c>
      <c r="C3728" s="84">
        <f>'Timeline'!T693</f>
        <v/>
      </c>
      <c r="D3728" s="46">
        <f>'Timeline'!U693</f>
        <v/>
      </c>
      <c r="E3728" s="46">
        <f>IF(OR(B3728="",C3728="",D3728=""),"",D3728*100000+(C3728-DATE(2000,1,1))+ROW()/100000)</f>
        <v/>
      </c>
      <c r="F3728" s="46">
        <f>IF(E3728="","",IF(C3728&gt;WeekEndDate,"",E3728))</f>
        <v/>
      </c>
    </row>
    <row r="3729">
      <c r="A3729" t="inlineStr">
        <is>
          <t>Timeline</t>
        </is>
      </c>
      <c r="B3729" s="46">
        <f>'Timeline'!V694</f>
        <v/>
      </c>
      <c r="C3729" s="84">
        <f>'Timeline'!T694</f>
        <v/>
      </c>
      <c r="D3729" s="46">
        <f>'Timeline'!U694</f>
        <v/>
      </c>
      <c r="E3729" s="46">
        <f>IF(OR(B3729="",C3729="",D3729=""),"",D3729*100000+(C3729-DATE(2000,1,1))+ROW()/100000)</f>
        <v/>
      </c>
      <c r="F3729" s="46">
        <f>IF(E3729="","",IF(C3729&gt;WeekEndDate,"",E3729))</f>
        <v/>
      </c>
    </row>
    <row r="3730">
      <c r="A3730" t="inlineStr">
        <is>
          <t>Timeline</t>
        </is>
      </c>
      <c r="B3730" s="46">
        <f>'Timeline'!V695</f>
        <v/>
      </c>
      <c r="C3730" s="84">
        <f>'Timeline'!T695</f>
        <v/>
      </c>
      <c r="D3730" s="46">
        <f>'Timeline'!U695</f>
        <v/>
      </c>
      <c r="E3730" s="46">
        <f>IF(OR(B3730="",C3730="",D3730=""),"",D3730*100000+(C3730-DATE(2000,1,1))+ROW()/100000)</f>
        <v/>
      </c>
      <c r="F3730" s="46">
        <f>IF(E3730="","",IF(C3730&gt;WeekEndDate,"",E3730))</f>
        <v/>
      </c>
    </row>
    <row r="3731">
      <c r="A3731" t="inlineStr">
        <is>
          <t>Timeline</t>
        </is>
      </c>
      <c r="B3731" s="46">
        <f>'Timeline'!V696</f>
        <v/>
      </c>
      <c r="C3731" s="84">
        <f>'Timeline'!T696</f>
        <v/>
      </c>
      <c r="D3731" s="46">
        <f>'Timeline'!U696</f>
        <v/>
      </c>
      <c r="E3731" s="46">
        <f>IF(OR(B3731="",C3731="",D3731=""),"",D3731*100000+(C3731-DATE(2000,1,1))+ROW()/100000)</f>
        <v/>
      </c>
      <c r="F3731" s="46">
        <f>IF(E3731="","",IF(C3731&gt;WeekEndDate,"",E3731))</f>
        <v/>
      </c>
    </row>
    <row r="3732">
      <c r="A3732" t="inlineStr">
        <is>
          <t>Timeline</t>
        </is>
      </c>
      <c r="B3732" s="46">
        <f>'Timeline'!V697</f>
        <v/>
      </c>
      <c r="C3732" s="84">
        <f>'Timeline'!T697</f>
        <v/>
      </c>
      <c r="D3732" s="46">
        <f>'Timeline'!U697</f>
        <v/>
      </c>
      <c r="E3732" s="46">
        <f>IF(OR(B3732="",C3732="",D3732=""),"",D3732*100000+(C3732-DATE(2000,1,1))+ROW()/100000)</f>
        <v/>
      </c>
      <c r="F3732" s="46">
        <f>IF(E3732="","",IF(C3732&gt;WeekEndDate,"",E3732))</f>
        <v/>
      </c>
    </row>
    <row r="3733">
      <c r="A3733" t="inlineStr">
        <is>
          <t>Timeline</t>
        </is>
      </c>
      <c r="B3733" s="46">
        <f>'Timeline'!V698</f>
        <v/>
      </c>
      <c r="C3733" s="84">
        <f>'Timeline'!T698</f>
        <v/>
      </c>
      <c r="D3733" s="46">
        <f>'Timeline'!U698</f>
        <v/>
      </c>
      <c r="E3733" s="46">
        <f>IF(OR(B3733="",C3733="",D3733=""),"",D3733*100000+(C3733-DATE(2000,1,1))+ROW()/100000)</f>
        <v/>
      </c>
      <c r="F3733" s="46">
        <f>IF(E3733="","",IF(C3733&gt;WeekEndDate,"",E3733))</f>
        <v/>
      </c>
    </row>
    <row r="3734">
      <c r="A3734" t="inlineStr">
        <is>
          <t>Timeline</t>
        </is>
      </c>
      <c r="B3734" s="46">
        <f>'Timeline'!V699</f>
        <v/>
      </c>
      <c r="C3734" s="84">
        <f>'Timeline'!T699</f>
        <v/>
      </c>
      <c r="D3734" s="46">
        <f>'Timeline'!U699</f>
        <v/>
      </c>
      <c r="E3734" s="46">
        <f>IF(OR(B3734="",C3734="",D3734=""),"",D3734*100000+(C3734-DATE(2000,1,1))+ROW()/100000)</f>
        <v/>
      </c>
      <c r="F3734" s="46">
        <f>IF(E3734="","",IF(C3734&gt;WeekEndDate,"",E3734))</f>
        <v/>
      </c>
    </row>
    <row r="3735">
      <c r="A3735" t="inlineStr">
        <is>
          <t>Timeline</t>
        </is>
      </c>
      <c r="B3735" s="46">
        <f>'Timeline'!V700</f>
        <v/>
      </c>
      <c r="C3735" s="84">
        <f>'Timeline'!T700</f>
        <v/>
      </c>
      <c r="D3735" s="46">
        <f>'Timeline'!U700</f>
        <v/>
      </c>
      <c r="E3735" s="46">
        <f>IF(OR(B3735="",C3735="",D3735=""),"",D3735*100000+(C3735-DATE(2000,1,1))+ROW()/100000)</f>
        <v/>
      </c>
      <c r="F3735" s="46">
        <f>IF(E3735="","",IF(C3735&gt;WeekEndDate,"",E3735))</f>
        <v/>
      </c>
    </row>
    <row r="3736">
      <c r="A3736" t="inlineStr">
        <is>
          <t>Timeline</t>
        </is>
      </c>
      <c r="B3736" s="46">
        <f>'Timeline'!V701</f>
        <v/>
      </c>
      <c r="C3736" s="84">
        <f>'Timeline'!T701</f>
        <v/>
      </c>
      <c r="D3736" s="46">
        <f>'Timeline'!U701</f>
        <v/>
      </c>
      <c r="E3736" s="46">
        <f>IF(OR(B3736="",C3736="",D3736=""),"",D3736*100000+(C3736-DATE(2000,1,1))+ROW()/100000)</f>
        <v/>
      </c>
      <c r="F3736" s="46">
        <f>IF(E3736="","",IF(C3736&gt;WeekEndDate,"",E3736))</f>
        <v/>
      </c>
    </row>
    <row r="3737">
      <c r="A3737" t="inlineStr">
        <is>
          <t>Timeline</t>
        </is>
      </c>
      <c r="B3737" s="46">
        <f>'Timeline'!V702</f>
        <v/>
      </c>
      <c r="C3737" s="84">
        <f>'Timeline'!T702</f>
        <v/>
      </c>
      <c r="D3737" s="46">
        <f>'Timeline'!U702</f>
        <v/>
      </c>
      <c r="E3737" s="46">
        <f>IF(OR(B3737="",C3737="",D3737=""),"",D3737*100000+(C3737-DATE(2000,1,1))+ROW()/100000)</f>
        <v/>
      </c>
      <c r="F3737" s="46">
        <f>IF(E3737="","",IF(C3737&gt;WeekEndDate,"",E3737))</f>
        <v/>
      </c>
    </row>
    <row r="3738">
      <c r="A3738" t="inlineStr">
        <is>
          <t>Timeline</t>
        </is>
      </c>
      <c r="B3738" s="46">
        <f>'Timeline'!V703</f>
        <v/>
      </c>
      <c r="C3738" s="84">
        <f>'Timeline'!T703</f>
        <v/>
      </c>
      <c r="D3738" s="46">
        <f>'Timeline'!U703</f>
        <v/>
      </c>
      <c r="E3738" s="46">
        <f>IF(OR(B3738="",C3738="",D3738=""),"",D3738*100000+(C3738-DATE(2000,1,1))+ROW()/100000)</f>
        <v/>
      </c>
      <c r="F3738" s="46">
        <f>IF(E3738="","",IF(C3738&gt;WeekEndDate,"",E3738))</f>
        <v/>
      </c>
    </row>
    <row r="3739">
      <c r="A3739" t="inlineStr">
        <is>
          <t>Timeline</t>
        </is>
      </c>
      <c r="B3739" s="46">
        <f>'Timeline'!V704</f>
        <v/>
      </c>
      <c r="C3739" s="84">
        <f>'Timeline'!T704</f>
        <v/>
      </c>
      <c r="D3739" s="46">
        <f>'Timeline'!U704</f>
        <v/>
      </c>
      <c r="E3739" s="46">
        <f>IF(OR(B3739="",C3739="",D3739=""),"",D3739*100000+(C3739-DATE(2000,1,1))+ROW()/100000)</f>
        <v/>
      </c>
      <c r="F3739" s="46">
        <f>IF(E3739="","",IF(C3739&gt;WeekEndDate,"",E3739))</f>
        <v/>
      </c>
    </row>
    <row r="3740">
      <c r="A3740" t="inlineStr">
        <is>
          <t>Timeline</t>
        </is>
      </c>
      <c r="B3740" s="46">
        <f>'Timeline'!V705</f>
        <v/>
      </c>
      <c r="C3740" s="84">
        <f>'Timeline'!T705</f>
        <v/>
      </c>
      <c r="D3740" s="46">
        <f>'Timeline'!U705</f>
        <v/>
      </c>
      <c r="E3740" s="46">
        <f>IF(OR(B3740="",C3740="",D3740=""),"",D3740*100000+(C3740-DATE(2000,1,1))+ROW()/100000)</f>
        <v/>
      </c>
      <c r="F3740" s="46">
        <f>IF(E3740="","",IF(C3740&gt;WeekEndDate,"",E3740))</f>
        <v/>
      </c>
    </row>
    <row r="3741">
      <c r="A3741" t="inlineStr">
        <is>
          <t>Timeline</t>
        </is>
      </c>
      <c r="B3741" s="46">
        <f>'Timeline'!V706</f>
        <v/>
      </c>
      <c r="C3741" s="84">
        <f>'Timeline'!T706</f>
        <v/>
      </c>
      <c r="D3741" s="46">
        <f>'Timeline'!U706</f>
        <v/>
      </c>
      <c r="E3741" s="46">
        <f>IF(OR(B3741="",C3741="",D3741=""),"",D3741*100000+(C3741-DATE(2000,1,1))+ROW()/100000)</f>
        <v/>
      </c>
      <c r="F3741" s="46">
        <f>IF(E3741="","",IF(C3741&gt;WeekEndDate,"",E3741))</f>
        <v/>
      </c>
    </row>
    <row r="3742">
      <c r="A3742" t="inlineStr">
        <is>
          <t>Timeline</t>
        </is>
      </c>
      <c r="B3742" s="46">
        <f>'Timeline'!V707</f>
        <v/>
      </c>
      <c r="C3742" s="84">
        <f>'Timeline'!T707</f>
        <v/>
      </c>
      <c r="D3742" s="46">
        <f>'Timeline'!U707</f>
        <v/>
      </c>
      <c r="E3742" s="46">
        <f>IF(OR(B3742="",C3742="",D3742=""),"",D3742*100000+(C3742-DATE(2000,1,1))+ROW()/100000)</f>
        <v/>
      </c>
      <c r="F3742" s="46">
        <f>IF(E3742="","",IF(C3742&gt;WeekEndDate,"",E3742))</f>
        <v/>
      </c>
    </row>
    <row r="3743">
      <c r="A3743" t="inlineStr">
        <is>
          <t>Timeline</t>
        </is>
      </c>
      <c r="B3743" s="46">
        <f>'Timeline'!V708</f>
        <v/>
      </c>
      <c r="C3743" s="84">
        <f>'Timeline'!T708</f>
        <v/>
      </c>
      <c r="D3743" s="46">
        <f>'Timeline'!U708</f>
        <v/>
      </c>
      <c r="E3743" s="46">
        <f>IF(OR(B3743="",C3743="",D3743=""),"",D3743*100000+(C3743-DATE(2000,1,1))+ROW()/100000)</f>
        <v/>
      </c>
      <c r="F3743" s="46">
        <f>IF(E3743="","",IF(C3743&gt;WeekEndDate,"",E3743))</f>
        <v/>
      </c>
    </row>
    <row r="3744">
      <c r="A3744" t="inlineStr">
        <is>
          <t>Timeline</t>
        </is>
      </c>
      <c r="B3744" s="46">
        <f>'Timeline'!V709</f>
        <v/>
      </c>
      <c r="C3744" s="84">
        <f>'Timeline'!T709</f>
        <v/>
      </c>
      <c r="D3744" s="46">
        <f>'Timeline'!U709</f>
        <v/>
      </c>
      <c r="E3744" s="46">
        <f>IF(OR(B3744="",C3744="",D3744=""),"",D3744*100000+(C3744-DATE(2000,1,1))+ROW()/100000)</f>
        <v/>
      </c>
      <c r="F3744" s="46">
        <f>IF(E3744="","",IF(C3744&gt;WeekEndDate,"",E3744))</f>
        <v/>
      </c>
    </row>
    <row r="3745">
      <c r="A3745" t="inlineStr">
        <is>
          <t>Timeline</t>
        </is>
      </c>
      <c r="B3745" s="46">
        <f>'Timeline'!V710</f>
        <v/>
      </c>
      <c r="C3745" s="84">
        <f>'Timeline'!T710</f>
        <v/>
      </c>
      <c r="D3745" s="46">
        <f>'Timeline'!U710</f>
        <v/>
      </c>
      <c r="E3745" s="46">
        <f>IF(OR(B3745="",C3745="",D3745=""),"",D3745*100000+(C3745-DATE(2000,1,1))+ROW()/100000)</f>
        <v/>
      </c>
      <c r="F3745" s="46">
        <f>IF(E3745="","",IF(C3745&gt;WeekEndDate,"",E3745))</f>
        <v/>
      </c>
    </row>
    <row r="3746">
      <c r="A3746" t="inlineStr">
        <is>
          <t>Timeline</t>
        </is>
      </c>
      <c r="B3746" s="46">
        <f>'Timeline'!V711</f>
        <v/>
      </c>
      <c r="C3746" s="84">
        <f>'Timeline'!T711</f>
        <v/>
      </c>
      <c r="D3746" s="46">
        <f>'Timeline'!U711</f>
        <v/>
      </c>
      <c r="E3746" s="46">
        <f>IF(OR(B3746="",C3746="",D3746=""),"",D3746*100000+(C3746-DATE(2000,1,1))+ROW()/100000)</f>
        <v/>
      </c>
      <c r="F3746" s="46">
        <f>IF(E3746="","",IF(C3746&gt;WeekEndDate,"",E3746))</f>
        <v/>
      </c>
    </row>
    <row r="3747">
      <c r="A3747" t="inlineStr">
        <is>
          <t>Timeline</t>
        </is>
      </c>
      <c r="B3747" s="46">
        <f>'Timeline'!V712</f>
        <v/>
      </c>
      <c r="C3747" s="84">
        <f>'Timeline'!T712</f>
        <v/>
      </c>
      <c r="D3747" s="46">
        <f>'Timeline'!U712</f>
        <v/>
      </c>
      <c r="E3747" s="46">
        <f>IF(OR(B3747="",C3747="",D3747=""),"",D3747*100000+(C3747-DATE(2000,1,1))+ROW()/100000)</f>
        <v/>
      </c>
      <c r="F3747" s="46">
        <f>IF(E3747="","",IF(C3747&gt;WeekEndDate,"",E3747))</f>
        <v/>
      </c>
    </row>
    <row r="3748">
      <c r="A3748" t="inlineStr">
        <is>
          <t>Timeline</t>
        </is>
      </c>
      <c r="B3748" s="46">
        <f>'Timeline'!V713</f>
        <v/>
      </c>
      <c r="C3748" s="84">
        <f>'Timeline'!T713</f>
        <v/>
      </c>
      <c r="D3748" s="46">
        <f>'Timeline'!U713</f>
        <v/>
      </c>
      <c r="E3748" s="46">
        <f>IF(OR(B3748="",C3748="",D3748=""),"",D3748*100000+(C3748-DATE(2000,1,1))+ROW()/100000)</f>
        <v/>
      </c>
      <c r="F3748" s="46">
        <f>IF(E3748="","",IF(C3748&gt;WeekEndDate,"",E3748))</f>
        <v/>
      </c>
    </row>
    <row r="3749">
      <c r="A3749" t="inlineStr">
        <is>
          <t>Timeline</t>
        </is>
      </c>
      <c r="B3749" s="46">
        <f>'Timeline'!V714</f>
        <v/>
      </c>
      <c r="C3749" s="84">
        <f>'Timeline'!T714</f>
        <v/>
      </c>
      <c r="D3749" s="46">
        <f>'Timeline'!U714</f>
        <v/>
      </c>
      <c r="E3749" s="46">
        <f>IF(OR(B3749="",C3749="",D3749=""),"",D3749*100000+(C3749-DATE(2000,1,1))+ROW()/100000)</f>
        <v/>
      </c>
      <c r="F3749" s="46">
        <f>IF(E3749="","",IF(C3749&gt;WeekEndDate,"",E3749))</f>
        <v/>
      </c>
    </row>
    <row r="3750">
      <c r="A3750" t="inlineStr">
        <is>
          <t>Timeline</t>
        </is>
      </c>
      <c r="B3750" s="46">
        <f>'Timeline'!V715</f>
        <v/>
      </c>
      <c r="C3750" s="84">
        <f>'Timeline'!T715</f>
        <v/>
      </c>
      <c r="D3750" s="46">
        <f>'Timeline'!U715</f>
        <v/>
      </c>
      <c r="E3750" s="46">
        <f>IF(OR(B3750="",C3750="",D3750=""),"",D3750*100000+(C3750-DATE(2000,1,1))+ROW()/100000)</f>
        <v/>
      </c>
      <c r="F3750" s="46">
        <f>IF(E3750="","",IF(C3750&gt;WeekEndDate,"",E3750))</f>
        <v/>
      </c>
    </row>
    <row r="3751">
      <c r="A3751" t="inlineStr">
        <is>
          <t>Timeline</t>
        </is>
      </c>
      <c r="B3751" s="46">
        <f>'Timeline'!V716</f>
        <v/>
      </c>
      <c r="C3751" s="84">
        <f>'Timeline'!T716</f>
        <v/>
      </c>
      <c r="D3751" s="46">
        <f>'Timeline'!U716</f>
        <v/>
      </c>
      <c r="E3751" s="46">
        <f>IF(OR(B3751="",C3751="",D3751=""),"",D3751*100000+(C3751-DATE(2000,1,1))+ROW()/100000)</f>
        <v/>
      </c>
      <c r="F3751" s="46">
        <f>IF(E3751="","",IF(C3751&gt;WeekEndDate,"",E3751))</f>
        <v/>
      </c>
    </row>
    <row r="3752">
      <c r="A3752" t="inlineStr">
        <is>
          <t>Timeline</t>
        </is>
      </c>
      <c r="B3752" s="46">
        <f>'Timeline'!V717</f>
        <v/>
      </c>
      <c r="C3752" s="84">
        <f>'Timeline'!T717</f>
        <v/>
      </c>
      <c r="D3752" s="46">
        <f>'Timeline'!U717</f>
        <v/>
      </c>
      <c r="E3752" s="46">
        <f>IF(OR(B3752="",C3752="",D3752=""),"",D3752*100000+(C3752-DATE(2000,1,1))+ROW()/100000)</f>
        <v/>
      </c>
      <c r="F3752" s="46">
        <f>IF(E3752="","",IF(C3752&gt;WeekEndDate,"",E3752))</f>
        <v/>
      </c>
    </row>
    <row r="3753">
      <c r="A3753" t="inlineStr">
        <is>
          <t>Timeline</t>
        </is>
      </c>
      <c r="B3753" s="46">
        <f>'Timeline'!V718</f>
        <v/>
      </c>
      <c r="C3753" s="84">
        <f>'Timeline'!T718</f>
        <v/>
      </c>
      <c r="D3753" s="46">
        <f>'Timeline'!U718</f>
        <v/>
      </c>
      <c r="E3753" s="46">
        <f>IF(OR(B3753="",C3753="",D3753=""),"",D3753*100000+(C3753-DATE(2000,1,1))+ROW()/100000)</f>
        <v/>
      </c>
      <c r="F3753" s="46">
        <f>IF(E3753="","",IF(C3753&gt;WeekEndDate,"",E3753))</f>
        <v/>
      </c>
    </row>
    <row r="3754">
      <c r="A3754" t="inlineStr">
        <is>
          <t>Timeline</t>
        </is>
      </c>
      <c r="B3754" s="46">
        <f>'Timeline'!V719</f>
        <v/>
      </c>
      <c r="C3754" s="84">
        <f>'Timeline'!T719</f>
        <v/>
      </c>
      <c r="D3754" s="46">
        <f>'Timeline'!U719</f>
        <v/>
      </c>
      <c r="E3754" s="46">
        <f>IF(OR(B3754="",C3754="",D3754=""),"",D3754*100000+(C3754-DATE(2000,1,1))+ROW()/100000)</f>
        <v/>
      </c>
      <c r="F3754" s="46">
        <f>IF(E3754="","",IF(C3754&gt;WeekEndDate,"",E3754))</f>
        <v/>
      </c>
    </row>
    <row r="3755">
      <c r="A3755" t="inlineStr">
        <is>
          <t>Timeline</t>
        </is>
      </c>
      <c r="B3755" s="46">
        <f>'Timeline'!V720</f>
        <v/>
      </c>
      <c r="C3755" s="84">
        <f>'Timeline'!T720</f>
        <v/>
      </c>
      <c r="D3755" s="46">
        <f>'Timeline'!U720</f>
        <v/>
      </c>
      <c r="E3755" s="46">
        <f>IF(OR(B3755="",C3755="",D3755=""),"",D3755*100000+(C3755-DATE(2000,1,1))+ROW()/100000)</f>
        <v/>
      </c>
      <c r="F3755" s="46">
        <f>IF(E3755="","",IF(C3755&gt;WeekEndDate,"",E3755))</f>
        <v/>
      </c>
    </row>
    <row r="3756">
      <c r="A3756" t="inlineStr">
        <is>
          <t>Timeline</t>
        </is>
      </c>
      <c r="B3756" s="46">
        <f>'Timeline'!V721</f>
        <v/>
      </c>
      <c r="C3756" s="84">
        <f>'Timeline'!T721</f>
        <v/>
      </c>
      <c r="D3756" s="46">
        <f>'Timeline'!U721</f>
        <v/>
      </c>
      <c r="E3756" s="46">
        <f>IF(OR(B3756="",C3756="",D3756=""),"",D3756*100000+(C3756-DATE(2000,1,1))+ROW()/100000)</f>
        <v/>
      </c>
      <c r="F3756" s="46">
        <f>IF(E3756="","",IF(C3756&gt;WeekEndDate,"",E3756))</f>
        <v/>
      </c>
    </row>
    <row r="3757">
      <c r="A3757" t="inlineStr">
        <is>
          <t>Timeline</t>
        </is>
      </c>
      <c r="B3757" s="46">
        <f>'Timeline'!V722</f>
        <v/>
      </c>
      <c r="C3757" s="84">
        <f>'Timeline'!T722</f>
        <v/>
      </c>
      <c r="D3757" s="46">
        <f>'Timeline'!U722</f>
        <v/>
      </c>
      <c r="E3757" s="46">
        <f>IF(OR(B3757="",C3757="",D3757=""),"",D3757*100000+(C3757-DATE(2000,1,1))+ROW()/100000)</f>
        <v/>
      </c>
      <c r="F3757" s="46">
        <f>IF(E3757="","",IF(C3757&gt;WeekEndDate,"",E3757))</f>
        <v/>
      </c>
    </row>
    <row r="3758">
      <c r="A3758" t="inlineStr">
        <is>
          <t>Timeline</t>
        </is>
      </c>
      <c r="B3758" s="46">
        <f>'Timeline'!V723</f>
        <v/>
      </c>
      <c r="C3758" s="84">
        <f>'Timeline'!T723</f>
        <v/>
      </c>
      <c r="D3758" s="46">
        <f>'Timeline'!U723</f>
        <v/>
      </c>
      <c r="E3758" s="46">
        <f>IF(OR(B3758="",C3758="",D3758=""),"",D3758*100000+(C3758-DATE(2000,1,1))+ROW()/100000)</f>
        <v/>
      </c>
      <c r="F3758" s="46">
        <f>IF(E3758="","",IF(C3758&gt;WeekEndDate,"",E3758))</f>
        <v/>
      </c>
    </row>
    <row r="3759">
      <c r="A3759" t="inlineStr">
        <is>
          <t>Timeline</t>
        </is>
      </c>
      <c r="B3759" s="46">
        <f>'Timeline'!V724</f>
        <v/>
      </c>
      <c r="C3759" s="84">
        <f>'Timeline'!T724</f>
        <v/>
      </c>
      <c r="D3759" s="46">
        <f>'Timeline'!U724</f>
        <v/>
      </c>
      <c r="E3759" s="46">
        <f>IF(OR(B3759="",C3759="",D3759=""),"",D3759*100000+(C3759-DATE(2000,1,1))+ROW()/100000)</f>
        <v/>
      </c>
      <c r="F3759" s="46">
        <f>IF(E3759="","",IF(C3759&gt;WeekEndDate,"",E3759))</f>
        <v/>
      </c>
    </row>
    <row r="3760">
      <c r="A3760" t="inlineStr">
        <is>
          <t>Timeline</t>
        </is>
      </c>
      <c r="B3760" s="46">
        <f>'Timeline'!V725</f>
        <v/>
      </c>
      <c r="C3760" s="84">
        <f>'Timeline'!T725</f>
        <v/>
      </c>
      <c r="D3760" s="46">
        <f>'Timeline'!U725</f>
        <v/>
      </c>
      <c r="E3760" s="46">
        <f>IF(OR(B3760="",C3760="",D3760=""),"",D3760*100000+(C3760-DATE(2000,1,1))+ROW()/100000)</f>
        <v/>
      </c>
      <c r="F3760" s="46">
        <f>IF(E3760="","",IF(C3760&gt;WeekEndDate,"",E3760))</f>
        <v/>
      </c>
    </row>
    <row r="3761">
      <c r="A3761" t="inlineStr">
        <is>
          <t>Timeline</t>
        </is>
      </c>
      <c r="B3761" s="46">
        <f>'Timeline'!V726</f>
        <v/>
      </c>
      <c r="C3761" s="84">
        <f>'Timeline'!T726</f>
        <v/>
      </c>
      <c r="D3761" s="46">
        <f>'Timeline'!U726</f>
        <v/>
      </c>
      <c r="E3761" s="46">
        <f>IF(OR(B3761="",C3761="",D3761=""),"",D3761*100000+(C3761-DATE(2000,1,1))+ROW()/100000)</f>
        <v/>
      </c>
      <c r="F3761" s="46">
        <f>IF(E3761="","",IF(C3761&gt;WeekEndDate,"",E3761))</f>
        <v/>
      </c>
    </row>
    <row r="3762">
      <c r="A3762" t="inlineStr">
        <is>
          <t>Timeline</t>
        </is>
      </c>
      <c r="B3762" s="46">
        <f>'Timeline'!V727</f>
        <v/>
      </c>
      <c r="C3762" s="84">
        <f>'Timeline'!T727</f>
        <v/>
      </c>
      <c r="D3762" s="46">
        <f>'Timeline'!U727</f>
        <v/>
      </c>
      <c r="E3762" s="46">
        <f>IF(OR(B3762="",C3762="",D3762=""),"",D3762*100000+(C3762-DATE(2000,1,1))+ROW()/100000)</f>
        <v/>
      </c>
      <c r="F3762" s="46">
        <f>IF(E3762="","",IF(C3762&gt;WeekEndDate,"",E3762))</f>
        <v/>
      </c>
    </row>
    <row r="3763">
      <c r="A3763" t="inlineStr">
        <is>
          <t>Timeline</t>
        </is>
      </c>
      <c r="B3763" s="46">
        <f>'Timeline'!V728</f>
        <v/>
      </c>
      <c r="C3763" s="84">
        <f>'Timeline'!T728</f>
        <v/>
      </c>
      <c r="D3763" s="46">
        <f>'Timeline'!U728</f>
        <v/>
      </c>
      <c r="E3763" s="46">
        <f>IF(OR(B3763="",C3763="",D3763=""),"",D3763*100000+(C3763-DATE(2000,1,1))+ROW()/100000)</f>
        <v/>
      </c>
      <c r="F3763" s="46">
        <f>IF(E3763="","",IF(C3763&gt;WeekEndDate,"",E3763))</f>
        <v/>
      </c>
    </row>
    <row r="3764">
      <c r="A3764" t="inlineStr">
        <is>
          <t>Timeline</t>
        </is>
      </c>
      <c r="B3764" s="46">
        <f>'Timeline'!V729</f>
        <v/>
      </c>
      <c r="C3764" s="84">
        <f>'Timeline'!T729</f>
        <v/>
      </c>
      <c r="D3764" s="46">
        <f>'Timeline'!U729</f>
        <v/>
      </c>
      <c r="E3764" s="46">
        <f>IF(OR(B3764="",C3764="",D3764=""),"",D3764*100000+(C3764-DATE(2000,1,1))+ROW()/100000)</f>
        <v/>
      </c>
      <c r="F3764" s="46">
        <f>IF(E3764="","",IF(C3764&gt;WeekEndDate,"",E3764))</f>
        <v/>
      </c>
    </row>
    <row r="3765">
      <c r="A3765" t="inlineStr">
        <is>
          <t>Timeline</t>
        </is>
      </c>
      <c r="B3765" s="46">
        <f>'Timeline'!V730</f>
        <v/>
      </c>
      <c r="C3765" s="84">
        <f>'Timeline'!T730</f>
        <v/>
      </c>
      <c r="D3765" s="46">
        <f>'Timeline'!U730</f>
        <v/>
      </c>
      <c r="E3765" s="46">
        <f>IF(OR(B3765="",C3765="",D3765=""),"",D3765*100000+(C3765-DATE(2000,1,1))+ROW()/100000)</f>
        <v/>
      </c>
      <c r="F3765" s="46">
        <f>IF(E3765="","",IF(C3765&gt;WeekEndDate,"",E3765))</f>
        <v/>
      </c>
    </row>
    <row r="3766">
      <c r="A3766" t="inlineStr">
        <is>
          <t>Timeline</t>
        </is>
      </c>
      <c r="B3766" s="46">
        <f>'Timeline'!V731</f>
        <v/>
      </c>
      <c r="C3766" s="84">
        <f>'Timeline'!T731</f>
        <v/>
      </c>
      <c r="D3766" s="46">
        <f>'Timeline'!U731</f>
        <v/>
      </c>
      <c r="E3766" s="46">
        <f>IF(OR(B3766="",C3766="",D3766=""),"",D3766*100000+(C3766-DATE(2000,1,1))+ROW()/100000)</f>
        <v/>
      </c>
      <c r="F3766" s="46">
        <f>IF(E3766="","",IF(C3766&gt;WeekEndDate,"",E3766))</f>
        <v/>
      </c>
    </row>
    <row r="3767">
      <c r="A3767" t="inlineStr">
        <is>
          <t>Timeline</t>
        </is>
      </c>
      <c r="B3767" s="46">
        <f>'Timeline'!V732</f>
        <v/>
      </c>
      <c r="C3767" s="84">
        <f>'Timeline'!T732</f>
        <v/>
      </c>
      <c r="D3767" s="46">
        <f>'Timeline'!U732</f>
        <v/>
      </c>
      <c r="E3767" s="46">
        <f>IF(OR(B3767="",C3767="",D3767=""),"",D3767*100000+(C3767-DATE(2000,1,1))+ROW()/100000)</f>
        <v/>
      </c>
      <c r="F3767" s="46">
        <f>IF(E3767="","",IF(C3767&gt;WeekEndDate,"",E3767))</f>
        <v/>
      </c>
    </row>
    <row r="3768">
      <c r="A3768" t="inlineStr">
        <is>
          <t>Timeline</t>
        </is>
      </c>
      <c r="B3768" s="46">
        <f>'Timeline'!V733</f>
        <v/>
      </c>
      <c r="C3768" s="84">
        <f>'Timeline'!T733</f>
        <v/>
      </c>
      <c r="D3768" s="46">
        <f>'Timeline'!U733</f>
        <v/>
      </c>
      <c r="E3768" s="46">
        <f>IF(OR(B3768="",C3768="",D3768=""),"",D3768*100000+(C3768-DATE(2000,1,1))+ROW()/100000)</f>
        <v/>
      </c>
      <c r="F3768" s="46">
        <f>IF(E3768="","",IF(C3768&gt;WeekEndDate,"",E3768))</f>
        <v/>
      </c>
    </row>
    <row r="3769">
      <c r="A3769" t="inlineStr">
        <is>
          <t>Timeline</t>
        </is>
      </c>
      <c r="B3769" s="46">
        <f>'Timeline'!V734</f>
        <v/>
      </c>
      <c r="C3769" s="84">
        <f>'Timeline'!T734</f>
        <v/>
      </c>
      <c r="D3769" s="46">
        <f>'Timeline'!U734</f>
        <v/>
      </c>
      <c r="E3769" s="46">
        <f>IF(OR(B3769="",C3769="",D3769=""),"",D3769*100000+(C3769-DATE(2000,1,1))+ROW()/100000)</f>
        <v/>
      </c>
      <c r="F3769" s="46">
        <f>IF(E3769="","",IF(C3769&gt;WeekEndDate,"",E3769))</f>
        <v/>
      </c>
    </row>
    <row r="3770">
      <c r="A3770" t="inlineStr">
        <is>
          <t>Timeline</t>
        </is>
      </c>
      <c r="B3770" s="46">
        <f>'Timeline'!V735</f>
        <v/>
      </c>
      <c r="C3770" s="84">
        <f>'Timeline'!T735</f>
        <v/>
      </c>
      <c r="D3770" s="46">
        <f>'Timeline'!U735</f>
        <v/>
      </c>
      <c r="E3770" s="46">
        <f>IF(OR(B3770="",C3770="",D3770=""),"",D3770*100000+(C3770-DATE(2000,1,1))+ROW()/100000)</f>
        <v/>
      </c>
      <c r="F3770" s="46">
        <f>IF(E3770="","",IF(C3770&gt;WeekEndDate,"",E3770))</f>
        <v/>
      </c>
    </row>
    <row r="3771">
      <c r="A3771" t="inlineStr">
        <is>
          <t>Timeline</t>
        </is>
      </c>
      <c r="B3771" s="46">
        <f>'Timeline'!V736</f>
        <v/>
      </c>
      <c r="C3771" s="84">
        <f>'Timeline'!T736</f>
        <v/>
      </c>
      <c r="D3771" s="46">
        <f>'Timeline'!U736</f>
        <v/>
      </c>
      <c r="E3771" s="46">
        <f>IF(OR(B3771="",C3771="",D3771=""),"",D3771*100000+(C3771-DATE(2000,1,1))+ROW()/100000)</f>
        <v/>
      </c>
      <c r="F3771" s="46">
        <f>IF(E3771="","",IF(C3771&gt;WeekEndDate,"",E3771))</f>
        <v/>
      </c>
    </row>
    <row r="3772">
      <c r="A3772" t="inlineStr">
        <is>
          <t>Timeline</t>
        </is>
      </c>
      <c r="B3772" s="46">
        <f>'Timeline'!V737</f>
        <v/>
      </c>
      <c r="C3772" s="84">
        <f>'Timeline'!T737</f>
        <v/>
      </c>
      <c r="D3772" s="46">
        <f>'Timeline'!U737</f>
        <v/>
      </c>
      <c r="E3772" s="46">
        <f>IF(OR(B3772="",C3772="",D3772=""),"",D3772*100000+(C3772-DATE(2000,1,1))+ROW()/100000)</f>
        <v/>
      </c>
      <c r="F3772" s="46">
        <f>IF(E3772="","",IF(C3772&gt;WeekEndDate,"",E3772))</f>
        <v/>
      </c>
    </row>
    <row r="3773">
      <c r="A3773" t="inlineStr">
        <is>
          <t>Timeline</t>
        </is>
      </c>
      <c r="B3773" s="46">
        <f>'Timeline'!V738</f>
        <v/>
      </c>
      <c r="C3773" s="84">
        <f>'Timeline'!T738</f>
        <v/>
      </c>
      <c r="D3773" s="46">
        <f>'Timeline'!U738</f>
        <v/>
      </c>
      <c r="E3773" s="46">
        <f>IF(OR(B3773="",C3773="",D3773=""),"",D3773*100000+(C3773-DATE(2000,1,1))+ROW()/100000)</f>
        <v/>
      </c>
      <c r="F3773" s="46">
        <f>IF(E3773="","",IF(C3773&gt;WeekEndDate,"",E3773))</f>
        <v/>
      </c>
    </row>
    <row r="3774">
      <c r="A3774" t="inlineStr">
        <is>
          <t>Timeline</t>
        </is>
      </c>
      <c r="B3774" s="46">
        <f>'Timeline'!V739</f>
        <v/>
      </c>
      <c r="C3774" s="84">
        <f>'Timeline'!T739</f>
        <v/>
      </c>
      <c r="D3774" s="46">
        <f>'Timeline'!U739</f>
        <v/>
      </c>
      <c r="E3774" s="46">
        <f>IF(OR(B3774="",C3774="",D3774=""),"",D3774*100000+(C3774-DATE(2000,1,1))+ROW()/100000)</f>
        <v/>
      </c>
      <c r="F3774" s="46">
        <f>IF(E3774="","",IF(C3774&gt;WeekEndDate,"",E3774))</f>
        <v/>
      </c>
    </row>
    <row r="3775">
      <c r="A3775" t="inlineStr">
        <is>
          <t>Timeline</t>
        </is>
      </c>
      <c r="B3775" s="46">
        <f>'Timeline'!V740</f>
        <v/>
      </c>
      <c r="C3775" s="84">
        <f>'Timeline'!T740</f>
        <v/>
      </c>
      <c r="D3775" s="46">
        <f>'Timeline'!U740</f>
        <v/>
      </c>
      <c r="E3775" s="46">
        <f>IF(OR(B3775="",C3775="",D3775=""),"",D3775*100000+(C3775-DATE(2000,1,1))+ROW()/100000)</f>
        <v/>
      </c>
      <c r="F3775" s="46">
        <f>IF(E3775="","",IF(C3775&gt;WeekEndDate,"",E3775))</f>
        <v/>
      </c>
    </row>
    <row r="3776">
      <c r="A3776" t="inlineStr">
        <is>
          <t>Timeline</t>
        </is>
      </c>
      <c r="B3776" s="46">
        <f>'Timeline'!V741</f>
        <v/>
      </c>
      <c r="C3776" s="84">
        <f>'Timeline'!T741</f>
        <v/>
      </c>
      <c r="D3776" s="46">
        <f>'Timeline'!U741</f>
        <v/>
      </c>
      <c r="E3776" s="46">
        <f>IF(OR(B3776="",C3776="",D3776=""),"",D3776*100000+(C3776-DATE(2000,1,1))+ROW()/100000)</f>
        <v/>
      </c>
      <c r="F3776" s="46">
        <f>IF(E3776="","",IF(C3776&gt;WeekEndDate,"",E3776))</f>
        <v/>
      </c>
    </row>
    <row r="3777">
      <c r="A3777" t="inlineStr">
        <is>
          <t>Timeline</t>
        </is>
      </c>
      <c r="B3777" s="46">
        <f>'Timeline'!V742</f>
        <v/>
      </c>
      <c r="C3777" s="84">
        <f>'Timeline'!T742</f>
        <v/>
      </c>
      <c r="D3777" s="46">
        <f>'Timeline'!U742</f>
        <v/>
      </c>
      <c r="E3777" s="46">
        <f>IF(OR(B3777="",C3777="",D3777=""),"",D3777*100000+(C3777-DATE(2000,1,1))+ROW()/100000)</f>
        <v/>
      </c>
      <c r="F3777" s="46">
        <f>IF(E3777="","",IF(C3777&gt;WeekEndDate,"",E3777))</f>
        <v/>
      </c>
    </row>
    <row r="3778">
      <c r="A3778" t="inlineStr">
        <is>
          <t>Timeline</t>
        </is>
      </c>
      <c r="B3778" s="46">
        <f>'Timeline'!V743</f>
        <v/>
      </c>
      <c r="C3778" s="84">
        <f>'Timeline'!T743</f>
        <v/>
      </c>
      <c r="D3778" s="46">
        <f>'Timeline'!U743</f>
        <v/>
      </c>
      <c r="E3778" s="46">
        <f>IF(OR(B3778="",C3778="",D3778=""),"",D3778*100000+(C3778-DATE(2000,1,1))+ROW()/100000)</f>
        <v/>
      </c>
      <c r="F3778" s="46">
        <f>IF(E3778="","",IF(C3778&gt;WeekEndDate,"",E3778))</f>
        <v/>
      </c>
    </row>
    <row r="3779">
      <c r="A3779" t="inlineStr">
        <is>
          <t>Timeline</t>
        </is>
      </c>
      <c r="B3779" s="46">
        <f>'Timeline'!V744</f>
        <v/>
      </c>
      <c r="C3779" s="84">
        <f>'Timeline'!T744</f>
        <v/>
      </c>
      <c r="D3779" s="46">
        <f>'Timeline'!U744</f>
        <v/>
      </c>
      <c r="E3779" s="46">
        <f>IF(OR(B3779="",C3779="",D3779=""),"",D3779*100000+(C3779-DATE(2000,1,1))+ROW()/100000)</f>
        <v/>
      </c>
      <c r="F3779" s="46">
        <f>IF(E3779="","",IF(C3779&gt;WeekEndDate,"",E3779))</f>
        <v/>
      </c>
    </row>
    <row r="3780">
      <c r="A3780" t="inlineStr">
        <is>
          <t>Timeline</t>
        </is>
      </c>
      <c r="B3780" s="46">
        <f>'Timeline'!V745</f>
        <v/>
      </c>
      <c r="C3780" s="84">
        <f>'Timeline'!T745</f>
        <v/>
      </c>
      <c r="D3780" s="46">
        <f>'Timeline'!U745</f>
        <v/>
      </c>
      <c r="E3780" s="46">
        <f>IF(OR(B3780="",C3780="",D3780=""),"",D3780*100000+(C3780-DATE(2000,1,1))+ROW()/100000)</f>
        <v/>
      </c>
      <c r="F3780" s="46">
        <f>IF(E3780="","",IF(C3780&gt;WeekEndDate,"",E3780))</f>
        <v/>
      </c>
    </row>
    <row r="3781">
      <c r="A3781" t="inlineStr">
        <is>
          <t>Timeline</t>
        </is>
      </c>
      <c r="B3781" s="46">
        <f>'Timeline'!V746</f>
        <v/>
      </c>
      <c r="C3781" s="84">
        <f>'Timeline'!T746</f>
        <v/>
      </c>
      <c r="D3781" s="46">
        <f>'Timeline'!U746</f>
        <v/>
      </c>
      <c r="E3781" s="46">
        <f>IF(OR(B3781="",C3781="",D3781=""),"",D3781*100000+(C3781-DATE(2000,1,1))+ROW()/100000)</f>
        <v/>
      </c>
      <c r="F3781" s="46">
        <f>IF(E3781="","",IF(C3781&gt;WeekEndDate,"",E3781))</f>
        <v/>
      </c>
    </row>
    <row r="3782">
      <c r="A3782" t="inlineStr">
        <is>
          <t>Timeline</t>
        </is>
      </c>
      <c r="B3782" s="46">
        <f>'Timeline'!V747</f>
        <v/>
      </c>
      <c r="C3782" s="84">
        <f>'Timeline'!T747</f>
        <v/>
      </c>
      <c r="D3782" s="46">
        <f>'Timeline'!U747</f>
        <v/>
      </c>
      <c r="E3782" s="46">
        <f>IF(OR(B3782="",C3782="",D3782=""),"",D3782*100000+(C3782-DATE(2000,1,1))+ROW()/100000)</f>
        <v/>
      </c>
      <c r="F3782" s="46">
        <f>IF(E3782="","",IF(C3782&gt;WeekEndDate,"",E3782))</f>
        <v/>
      </c>
    </row>
    <row r="3783">
      <c r="A3783" t="inlineStr">
        <is>
          <t>Timeline</t>
        </is>
      </c>
      <c r="B3783" s="46">
        <f>'Timeline'!V748</f>
        <v/>
      </c>
      <c r="C3783" s="84">
        <f>'Timeline'!T748</f>
        <v/>
      </c>
      <c r="D3783" s="46">
        <f>'Timeline'!U748</f>
        <v/>
      </c>
      <c r="E3783" s="46">
        <f>IF(OR(B3783="",C3783="",D3783=""),"",D3783*100000+(C3783-DATE(2000,1,1))+ROW()/100000)</f>
        <v/>
      </c>
      <c r="F3783" s="46">
        <f>IF(E3783="","",IF(C3783&gt;WeekEndDate,"",E3783))</f>
        <v/>
      </c>
    </row>
    <row r="3784">
      <c r="A3784" t="inlineStr">
        <is>
          <t>Timeline</t>
        </is>
      </c>
      <c r="B3784" s="46">
        <f>'Timeline'!V749</f>
        <v/>
      </c>
      <c r="C3784" s="84">
        <f>'Timeline'!T749</f>
        <v/>
      </c>
      <c r="D3784" s="46">
        <f>'Timeline'!U749</f>
        <v/>
      </c>
      <c r="E3784" s="46">
        <f>IF(OR(B3784="",C3784="",D3784=""),"",D3784*100000+(C3784-DATE(2000,1,1))+ROW()/100000)</f>
        <v/>
      </c>
      <c r="F3784" s="46">
        <f>IF(E3784="","",IF(C3784&gt;WeekEndDate,"",E3784))</f>
        <v/>
      </c>
    </row>
    <row r="3785">
      <c r="A3785" t="inlineStr">
        <is>
          <t>Timeline</t>
        </is>
      </c>
      <c r="B3785" s="46">
        <f>'Timeline'!V750</f>
        <v/>
      </c>
      <c r="C3785" s="84">
        <f>'Timeline'!T750</f>
        <v/>
      </c>
      <c r="D3785" s="46">
        <f>'Timeline'!U750</f>
        <v/>
      </c>
      <c r="E3785" s="46">
        <f>IF(OR(B3785="",C3785="",D3785=""),"",D3785*100000+(C3785-DATE(2000,1,1))+ROW()/100000)</f>
        <v/>
      </c>
      <c r="F3785" s="46">
        <f>IF(E3785="","",IF(C3785&gt;WeekEndDate,"",E3785))</f>
        <v/>
      </c>
    </row>
    <row r="3786">
      <c r="A3786" t="inlineStr">
        <is>
          <t>Timeline</t>
        </is>
      </c>
      <c r="B3786" s="46">
        <f>'Timeline'!V751</f>
        <v/>
      </c>
      <c r="C3786" s="84">
        <f>'Timeline'!T751</f>
        <v/>
      </c>
      <c r="D3786" s="46">
        <f>'Timeline'!U751</f>
        <v/>
      </c>
      <c r="E3786" s="46">
        <f>IF(OR(B3786="",C3786="",D3786=""),"",D3786*100000+(C3786-DATE(2000,1,1))+ROW()/100000)</f>
        <v/>
      </c>
      <c r="F3786" s="46">
        <f>IF(E3786="","",IF(C3786&gt;WeekEndDate,"",E3786))</f>
        <v/>
      </c>
    </row>
    <row r="3787">
      <c r="A3787" t="inlineStr">
        <is>
          <t>Timeline</t>
        </is>
      </c>
      <c r="B3787" s="46">
        <f>'Timeline'!V752</f>
        <v/>
      </c>
      <c r="C3787" s="84">
        <f>'Timeline'!T752</f>
        <v/>
      </c>
      <c r="D3787" s="46">
        <f>'Timeline'!U752</f>
        <v/>
      </c>
      <c r="E3787" s="46">
        <f>IF(OR(B3787="",C3787="",D3787=""),"",D3787*100000+(C3787-DATE(2000,1,1))+ROW()/100000)</f>
        <v/>
      </c>
      <c r="F3787" s="46">
        <f>IF(E3787="","",IF(C3787&gt;WeekEndDate,"",E3787))</f>
        <v/>
      </c>
    </row>
    <row r="3788">
      <c r="A3788" t="inlineStr">
        <is>
          <t>Timeline</t>
        </is>
      </c>
      <c r="B3788" s="46">
        <f>'Timeline'!V753</f>
        <v/>
      </c>
      <c r="C3788" s="84">
        <f>'Timeline'!T753</f>
        <v/>
      </c>
      <c r="D3788" s="46">
        <f>'Timeline'!U753</f>
        <v/>
      </c>
      <c r="E3788" s="46">
        <f>IF(OR(B3788="",C3788="",D3788=""),"",D3788*100000+(C3788-DATE(2000,1,1))+ROW()/100000)</f>
        <v/>
      </c>
      <c r="F3788" s="46">
        <f>IF(E3788="","",IF(C3788&gt;WeekEndDate,"",E3788))</f>
        <v/>
      </c>
    </row>
    <row r="3789">
      <c r="A3789" t="inlineStr">
        <is>
          <t>Timeline</t>
        </is>
      </c>
      <c r="B3789" s="46">
        <f>'Timeline'!V754</f>
        <v/>
      </c>
      <c r="C3789" s="84">
        <f>'Timeline'!T754</f>
        <v/>
      </c>
      <c r="D3789" s="46">
        <f>'Timeline'!U754</f>
        <v/>
      </c>
      <c r="E3789" s="46">
        <f>IF(OR(B3789="",C3789="",D3789=""),"",D3789*100000+(C3789-DATE(2000,1,1))+ROW()/100000)</f>
        <v/>
      </c>
      <c r="F3789" s="46">
        <f>IF(E3789="","",IF(C3789&gt;WeekEndDate,"",E3789))</f>
        <v/>
      </c>
    </row>
    <row r="3790">
      <c r="A3790" t="inlineStr">
        <is>
          <t>Timeline</t>
        </is>
      </c>
      <c r="B3790" s="46">
        <f>'Timeline'!V755</f>
        <v/>
      </c>
      <c r="C3790" s="84">
        <f>'Timeline'!T755</f>
        <v/>
      </c>
      <c r="D3790" s="46">
        <f>'Timeline'!U755</f>
        <v/>
      </c>
      <c r="E3790" s="46">
        <f>IF(OR(B3790="",C3790="",D3790=""),"",D3790*100000+(C3790-DATE(2000,1,1))+ROW()/100000)</f>
        <v/>
      </c>
      <c r="F3790" s="46">
        <f>IF(E3790="","",IF(C3790&gt;WeekEndDate,"",E3790))</f>
        <v/>
      </c>
    </row>
    <row r="3791">
      <c r="A3791" t="inlineStr">
        <is>
          <t>Timeline</t>
        </is>
      </c>
      <c r="B3791" s="46">
        <f>'Timeline'!V756</f>
        <v/>
      </c>
      <c r="C3791" s="84">
        <f>'Timeline'!T756</f>
        <v/>
      </c>
      <c r="D3791" s="46">
        <f>'Timeline'!U756</f>
        <v/>
      </c>
      <c r="E3791" s="46">
        <f>IF(OR(B3791="",C3791="",D3791=""),"",D3791*100000+(C3791-DATE(2000,1,1))+ROW()/100000)</f>
        <v/>
      </c>
      <c r="F3791" s="46">
        <f>IF(E3791="","",IF(C3791&gt;WeekEndDate,"",E3791))</f>
        <v/>
      </c>
    </row>
    <row r="3792">
      <c r="A3792" t="inlineStr">
        <is>
          <t>Timeline</t>
        </is>
      </c>
      <c r="B3792" s="46">
        <f>'Timeline'!V757</f>
        <v/>
      </c>
      <c r="C3792" s="84">
        <f>'Timeline'!T757</f>
        <v/>
      </c>
      <c r="D3792" s="46">
        <f>'Timeline'!U757</f>
        <v/>
      </c>
      <c r="E3792" s="46">
        <f>IF(OR(B3792="",C3792="",D3792=""),"",D3792*100000+(C3792-DATE(2000,1,1))+ROW()/100000)</f>
        <v/>
      </c>
      <c r="F3792" s="46">
        <f>IF(E3792="","",IF(C3792&gt;WeekEndDate,"",E3792))</f>
        <v/>
      </c>
    </row>
    <row r="3793">
      <c r="A3793" t="inlineStr">
        <is>
          <t>Timeline</t>
        </is>
      </c>
      <c r="B3793" s="46">
        <f>'Timeline'!V758</f>
        <v/>
      </c>
      <c r="C3793" s="84">
        <f>'Timeline'!T758</f>
        <v/>
      </c>
      <c r="D3793" s="46">
        <f>'Timeline'!U758</f>
        <v/>
      </c>
      <c r="E3793" s="46">
        <f>IF(OR(B3793="",C3793="",D3793=""),"",D3793*100000+(C3793-DATE(2000,1,1))+ROW()/100000)</f>
        <v/>
      </c>
      <c r="F3793" s="46">
        <f>IF(E3793="","",IF(C3793&gt;WeekEndDate,"",E3793))</f>
        <v/>
      </c>
    </row>
    <row r="3794">
      <c r="A3794" t="inlineStr">
        <is>
          <t>Timeline</t>
        </is>
      </c>
      <c r="B3794" s="46">
        <f>'Timeline'!V759</f>
        <v/>
      </c>
      <c r="C3794" s="84">
        <f>'Timeline'!T759</f>
        <v/>
      </c>
      <c r="D3794" s="46">
        <f>'Timeline'!U759</f>
        <v/>
      </c>
      <c r="E3794" s="46">
        <f>IF(OR(B3794="",C3794="",D3794=""),"",D3794*100000+(C3794-DATE(2000,1,1))+ROW()/100000)</f>
        <v/>
      </c>
      <c r="F3794" s="46">
        <f>IF(E3794="","",IF(C3794&gt;WeekEndDate,"",E3794))</f>
        <v/>
      </c>
    </row>
    <row r="3795">
      <c r="A3795" t="inlineStr">
        <is>
          <t>Timeline</t>
        </is>
      </c>
      <c r="B3795" s="46">
        <f>'Timeline'!V760</f>
        <v/>
      </c>
      <c r="C3795" s="84">
        <f>'Timeline'!T760</f>
        <v/>
      </c>
      <c r="D3795" s="46">
        <f>'Timeline'!U760</f>
        <v/>
      </c>
      <c r="E3795" s="46">
        <f>IF(OR(B3795="",C3795="",D3795=""),"",D3795*100000+(C3795-DATE(2000,1,1))+ROW()/100000)</f>
        <v/>
      </c>
      <c r="F3795" s="46">
        <f>IF(E3795="","",IF(C3795&gt;WeekEndDate,"",E3795))</f>
        <v/>
      </c>
    </row>
    <row r="3796">
      <c r="A3796" t="inlineStr">
        <is>
          <t>Timeline</t>
        </is>
      </c>
      <c r="B3796" s="46">
        <f>'Timeline'!V761</f>
        <v/>
      </c>
      <c r="C3796" s="84">
        <f>'Timeline'!T761</f>
        <v/>
      </c>
      <c r="D3796" s="46">
        <f>'Timeline'!U761</f>
        <v/>
      </c>
      <c r="E3796" s="46">
        <f>IF(OR(B3796="",C3796="",D3796=""),"",D3796*100000+(C3796-DATE(2000,1,1))+ROW()/100000)</f>
        <v/>
      </c>
      <c r="F3796" s="46">
        <f>IF(E3796="","",IF(C3796&gt;WeekEndDate,"",E3796))</f>
        <v/>
      </c>
    </row>
    <row r="3797">
      <c r="A3797" t="inlineStr">
        <is>
          <t>Timeline</t>
        </is>
      </c>
      <c r="B3797" s="46">
        <f>'Timeline'!V762</f>
        <v/>
      </c>
      <c r="C3797" s="84">
        <f>'Timeline'!T762</f>
        <v/>
      </c>
      <c r="D3797" s="46">
        <f>'Timeline'!U762</f>
        <v/>
      </c>
      <c r="E3797" s="46">
        <f>IF(OR(B3797="",C3797="",D3797=""),"",D3797*100000+(C3797-DATE(2000,1,1))+ROW()/100000)</f>
        <v/>
      </c>
      <c r="F3797" s="46">
        <f>IF(E3797="","",IF(C3797&gt;WeekEndDate,"",E3797))</f>
        <v/>
      </c>
    </row>
    <row r="3798">
      <c r="A3798" t="inlineStr">
        <is>
          <t>Timeline</t>
        </is>
      </c>
      <c r="B3798" s="46">
        <f>'Timeline'!V763</f>
        <v/>
      </c>
      <c r="C3798" s="84">
        <f>'Timeline'!T763</f>
        <v/>
      </c>
      <c r="D3798" s="46">
        <f>'Timeline'!U763</f>
        <v/>
      </c>
      <c r="E3798" s="46">
        <f>IF(OR(B3798="",C3798="",D3798=""),"",D3798*100000+(C3798-DATE(2000,1,1))+ROW()/100000)</f>
        <v/>
      </c>
      <c r="F3798" s="46">
        <f>IF(E3798="","",IF(C3798&gt;WeekEndDate,"",E3798))</f>
        <v/>
      </c>
    </row>
    <row r="3799">
      <c r="A3799" t="inlineStr">
        <is>
          <t>Timeline</t>
        </is>
      </c>
      <c r="B3799" s="46">
        <f>'Timeline'!V764</f>
        <v/>
      </c>
      <c r="C3799" s="84">
        <f>'Timeline'!T764</f>
        <v/>
      </c>
      <c r="D3799" s="46">
        <f>'Timeline'!U764</f>
        <v/>
      </c>
      <c r="E3799" s="46">
        <f>IF(OR(B3799="",C3799="",D3799=""),"",D3799*100000+(C3799-DATE(2000,1,1))+ROW()/100000)</f>
        <v/>
      </c>
      <c r="F3799" s="46">
        <f>IF(E3799="","",IF(C3799&gt;WeekEndDate,"",E3799))</f>
        <v/>
      </c>
    </row>
    <row r="3800">
      <c r="A3800" t="inlineStr">
        <is>
          <t>Timeline</t>
        </is>
      </c>
      <c r="B3800" s="46">
        <f>'Timeline'!V765</f>
        <v/>
      </c>
      <c r="C3800" s="84">
        <f>'Timeline'!T765</f>
        <v/>
      </c>
      <c r="D3800" s="46">
        <f>'Timeline'!U765</f>
        <v/>
      </c>
      <c r="E3800" s="46">
        <f>IF(OR(B3800="",C3800="",D3800=""),"",D3800*100000+(C3800-DATE(2000,1,1))+ROW()/100000)</f>
        <v/>
      </c>
      <c r="F3800" s="46">
        <f>IF(E3800="","",IF(C3800&gt;WeekEndDate,"",E3800))</f>
        <v/>
      </c>
    </row>
    <row r="3801">
      <c r="A3801" t="inlineStr">
        <is>
          <t>Timeline</t>
        </is>
      </c>
      <c r="B3801" s="46">
        <f>'Timeline'!V766</f>
        <v/>
      </c>
      <c r="C3801" s="84">
        <f>'Timeline'!T766</f>
        <v/>
      </c>
      <c r="D3801" s="46">
        <f>'Timeline'!U766</f>
        <v/>
      </c>
      <c r="E3801" s="46">
        <f>IF(OR(B3801="",C3801="",D3801=""),"",D3801*100000+(C3801-DATE(2000,1,1))+ROW()/100000)</f>
        <v/>
      </c>
      <c r="F3801" s="46">
        <f>IF(E3801="","",IF(C3801&gt;WeekEndDate,"",E3801))</f>
        <v/>
      </c>
    </row>
    <row r="3802">
      <c r="A3802" t="inlineStr">
        <is>
          <t>Timeline</t>
        </is>
      </c>
      <c r="B3802" s="46">
        <f>'Timeline'!V767</f>
        <v/>
      </c>
      <c r="C3802" s="84">
        <f>'Timeline'!T767</f>
        <v/>
      </c>
      <c r="D3802" s="46">
        <f>'Timeline'!U767</f>
        <v/>
      </c>
      <c r="E3802" s="46">
        <f>IF(OR(B3802="",C3802="",D3802=""),"",D3802*100000+(C3802-DATE(2000,1,1))+ROW()/100000)</f>
        <v/>
      </c>
      <c r="F3802" s="46">
        <f>IF(E3802="","",IF(C3802&gt;WeekEndDate,"",E3802))</f>
        <v/>
      </c>
    </row>
    <row r="3803">
      <c r="A3803" t="inlineStr">
        <is>
          <t>Timeline</t>
        </is>
      </c>
      <c r="B3803" s="46">
        <f>'Timeline'!V768</f>
        <v/>
      </c>
      <c r="C3803" s="84">
        <f>'Timeline'!T768</f>
        <v/>
      </c>
      <c r="D3803" s="46">
        <f>'Timeline'!U768</f>
        <v/>
      </c>
      <c r="E3803" s="46">
        <f>IF(OR(B3803="",C3803="",D3803=""),"",D3803*100000+(C3803-DATE(2000,1,1))+ROW()/100000)</f>
        <v/>
      </c>
      <c r="F3803" s="46">
        <f>IF(E3803="","",IF(C3803&gt;WeekEndDate,"",E3803))</f>
        <v/>
      </c>
    </row>
    <row r="3804">
      <c r="A3804" t="inlineStr">
        <is>
          <t>Timeline</t>
        </is>
      </c>
      <c r="B3804" s="46">
        <f>'Timeline'!V769</f>
        <v/>
      </c>
      <c r="C3804" s="84">
        <f>'Timeline'!T769</f>
        <v/>
      </c>
      <c r="D3804" s="46">
        <f>'Timeline'!U769</f>
        <v/>
      </c>
      <c r="E3804" s="46">
        <f>IF(OR(B3804="",C3804="",D3804=""),"",D3804*100000+(C3804-DATE(2000,1,1))+ROW()/100000)</f>
        <v/>
      </c>
      <c r="F3804" s="46">
        <f>IF(E3804="","",IF(C3804&gt;WeekEndDate,"",E3804))</f>
        <v/>
      </c>
    </row>
    <row r="3805">
      <c r="A3805" t="inlineStr">
        <is>
          <t>Timeline</t>
        </is>
      </c>
      <c r="B3805" s="46">
        <f>'Timeline'!V770</f>
        <v/>
      </c>
      <c r="C3805" s="84">
        <f>'Timeline'!T770</f>
        <v/>
      </c>
      <c r="D3805" s="46">
        <f>'Timeline'!U770</f>
        <v/>
      </c>
      <c r="E3805" s="46">
        <f>IF(OR(B3805="",C3805="",D3805=""),"",D3805*100000+(C3805-DATE(2000,1,1))+ROW()/100000)</f>
        <v/>
      </c>
      <c r="F3805" s="46">
        <f>IF(E3805="","",IF(C3805&gt;WeekEndDate,"",E3805))</f>
        <v/>
      </c>
    </row>
    <row r="3806">
      <c r="A3806" t="inlineStr">
        <is>
          <t>Timeline</t>
        </is>
      </c>
      <c r="B3806" s="46">
        <f>'Timeline'!V771</f>
        <v/>
      </c>
      <c r="C3806" s="84">
        <f>'Timeline'!T771</f>
        <v/>
      </c>
      <c r="D3806" s="46">
        <f>'Timeline'!U771</f>
        <v/>
      </c>
      <c r="E3806" s="46">
        <f>IF(OR(B3806="",C3806="",D3806=""),"",D3806*100000+(C3806-DATE(2000,1,1))+ROW()/100000)</f>
        <v/>
      </c>
      <c r="F3806" s="46">
        <f>IF(E3806="","",IF(C3806&gt;WeekEndDate,"",E3806))</f>
        <v/>
      </c>
    </row>
    <row r="3807">
      <c r="A3807" t="inlineStr">
        <is>
          <t>Timeline</t>
        </is>
      </c>
      <c r="B3807" s="46">
        <f>'Timeline'!V772</f>
        <v/>
      </c>
      <c r="C3807" s="84">
        <f>'Timeline'!T772</f>
        <v/>
      </c>
      <c r="D3807" s="46">
        <f>'Timeline'!U772</f>
        <v/>
      </c>
      <c r="E3807" s="46">
        <f>IF(OR(B3807="",C3807="",D3807=""),"",D3807*100000+(C3807-DATE(2000,1,1))+ROW()/100000)</f>
        <v/>
      </c>
      <c r="F3807" s="46">
        <f>IF(E3807="","",IF(C3807&gt;WeekEndDate,"",E3807))</f>
        <v/>
      </c>
    </row>
    <row r="3808">
      <c r="A3808" t="inlineStr">
        <is>
          <t>Timeline</t>
        </is>
      </c>
      <c r="B3808" s="46">
        <f>'Timeline'!V773</f>
        <v/>
      </c>
      <c r="C3808" s="84">
        <f>'Timeline'!T773</f>
        <v/>
      </c>
      <c r="D3808" s="46">
        <f>'Timeline'!U773</f>
        <v/>
      </c>
      <c r="E3808" s="46">
        <f>IF(OR(B3808="",C3808="",D3808=""),"",D3808*100000+(C3808-DATE(2000,1,1))+ROW()/100000)</f>
        <v/>
      </c>
      <c r="F3808" s="46">
        <f>IF(E3808="","",IF(C3808&gt;WeekEndDate,"",E3808))</f>
        <v/>
      </c>
    </row>
    <row r="3809">
      <c r="A3809" t="inlineStr">
        <is>
          <t>Timeline</t>
        </is>
      </c>
      <c r="B3809" s="46">
        <f>'Timeline'!V774</f>
        <v/>
      </c>
      <c r="C3809" s="84">
        <f>'Timeline'!T774</f>
        <v/>
      </c>
      <c r="D3809" s="46">
        <f>'Timeline'!U774</f>
        <v/>
      </c>
      <c r="E3809" s="46">
        <f>IF(OR(B3809="",C3809="",D3809=""),"",D3809*100000+(C3809-DATE(2000,1,1))+ROW()/100000)</f>
        <v/>
      </c>
      <c r="F3809" s="46">
        <f>IF(E3809="","",IF(C3809&gt;WeekEndDate,"",E3809))</f>
        <v/>
      </c>
    </row>
    <row r="3810">
      <c r="A3810" t="inlineStr">
        <is>
          <t>Timeline</t>
        </is>
      </c>
      <c r="B3810" s="46">
        <f>'Timeline'!V775</f>
        <v/>
      </c>
      <c r="C3810" s="84">
        <f>'Timeline'!T775</f>
        <v/>
      </c>
      <c r="D3810" s="46">
        <f>'Timeline'!U775</f>
        <v/>
      </c>
      <c r="E3810" s="46">
        <f>IF(OR(B3810="",C3810="",D3810=""),"",D3810*100000+(C3810-DATE(2000,1,1))+ROW()/100000)</f>
        <v/>
      </c>
      <c r="F3810" s="46">
        <f>IF(E3810="","",IF(C3810&gt;WeekEndDate,"",E3810))</f>
        <v/>
      </c>
    </row>
    <row r="3811">
      <c r="A3811" t="inlineStr">
        <is>
          <t>Timeline</t>
        </is>
      </c>
      <c r="B3811" s="46">
        <f>'Timeline'!V776</f>
        <v/>
      </c>
      <c r="C3811" s="84">
        <f>'Timeline'!T776</f>
        <v/>
      </c>
      <c r="D3811" s="46">
        <f>'Timeline'!U776</f>
        <v/>
      </c>
      <c r="E3811" s="46">
        <f>IF(OR(B3811="",C3811="",D3811=""),"",D3811*100000+(C3811-DATE(2000,1,1))+ROW()/100000)</f>
        <v/>
      </c>
      <c r="F3811" s="46">
        <f>IF(E3811="","",IF(C3811&gt;WeekEndDate,"",E3811))</f>
        <v/>
      </c>
    </row>
    <row r="3812">
      <c r="A3812" t="inlineStr">
        <is>
          <t>Timeline</t>
        </is>
      </c>
      <c r="B3812" s="46">
        <f>'Timeline'!V777</f>
        <v/>
      </c>
      <c r="C3812" s="84">
        <f>'Timeline'!T777</f>
        <v/>
      </c>
      <c r="D3812" s="46">
        <f>'Timeline'!U777</f>
        <v/>
      </c>
      <c r="E3812" s="46">
        <f>IF(OR(B3812="",C3812="",D3812=""),"",D3812*100000+(C3812-DATE(2000,1,1))+ROW()/100000)</f>
        <v/>
      </c>
      <c r="F3812" s="46">
        <f>IF(E3812="","",IF(C3812&gt;WeekEndDate,"",E3812))</f>
        <v/>
      </c>
    </row>
    <row r="3813">
      <c r="A3813" t="inlineStr">
        <is>
          <t>Timeline</t>
        </is>
      </c>
      <c r="B3813" s="46">
        <f>'Timeline'!V778</f>
        <v/>
      </c>
      <c r="C3813" s="84">
        <f>'Timeline'!T778</f>
        <v/>
      </c>
      <c r="D3813" s="46">
        <f>'Timeline'!U778</f>
        <v/>
      </c>
      <c r="E3813" s="46">
        <f>IF(OR(B3813="",C3813="",D3813=""),"",D3813*100000+(C3813-DATE(2000,1,1))+ROW()/100000)</f>
        <v/>
      </c>
      <c r="F3813" s="46">
        <f>IF(E3813="","",IF(C3813&gt;WeekEndDate,"",E3813))</f>
        <v/>
      </c>
    </row>
    <row r="3814">
      <c r="A3814" t="inlineStr">
        <is>
          <t>Timeline</t>
        </is>
      </c>
      <c r="B3814" s="46">
        <f>'Timeline'!V779</f>
        <v/>
      </c>
      <c r="C3814" s="84">
        <f>'Timeline'!T779</f>
        <v/>
      </c>
      <c r="D3814" s="46">
        <f>'Timeline'!U779</f>
        <v/>
      </c>
      <c r="E3814" s="46">
        <f>IF(OR(B3814="",C3814="",D3814=""),"",D3814*100000+(C3814-DATE(2000,1,1))+ROW()/100000)</f>
        <v/>
      </c>
      <c r="F3814" s="46">
        <f>IF(E3814="","",IF(C3814&gt;WeekEndDate,"",E3814))</f>
        <v/>
      </c>
    </row>
    <row r="3815">
      <c r="A3815" t="inlineStr">
        <is>
          <t>Timeline</t>
        </is>
      </c>
      <c r="B3815" s="46">
        <f>'Timeline'!V780</f>
        <v/>
      </c>
      <c r="C3815" s="84">
        <f>'Timeline'!T780</f>
        <v/>
      </c>
      <c r="D3815" s="46">
        <f>'Timeline'!U780</f>
        <v/>
      </c>
      <c r="E3815" s="46">
        <f>IF(OR(B3815="",C3815="",D3815=""),"",D3815*100000+(C3815-DATE(2000,1,1))+ROW()/100000)</f>
        <v/>
      </c>
      <c r="F3815" s="46">
        <f>IF(E3815="","",IF(C3815&gt;WeekEndDate,"",E3815))</f>
        <v/>
      </c>
    </row>
    <row r="3816">
      <c r="A3816" t="inlineStr">
        <is>
          <t>Timeline</t>
        </is>
      </c>
      <c r="B3816" s="46">
        <f>'Timeline'!V781</f>
        <v/>
      </c>
      <c r="C3816" s="84">
        <f>'Timeline'!T781</f>
        <v/>
      </c>
      <c r="D3816" s="46">
        <f>'Timeline'!U781</f>
        <v/>
      </c>
      <c r="E3816" s="46">
        <f>IF(OR(B3816="",C3816="",D3816=""),"",D3816*100000+(C3816-DATE(2000,1,1))+ROW()/100000)</f>
        <v/>
      </c>
      <c r="F3816" s="46">
        <f>IF(E3816="","",IF(C3816&gt;WeekEndDate,"",E3816))</f>
        <v/>
      </c>
    </row>
    <row r="3817">
      <c r="A3817" t="inlineStr">
        <is>
          <t>Timeline</t>
        </is>
      </c>
      <c r="B3817" s="46">
        <f>'Timeline'!V782</f>
        <v/>
      </c>
      <c r="C3817" s="84">
        <f>'Timeline'!T782</f>
        <v/>
      </c>
      <c r="D3817" s="46">
        <f>'Timeline'!U782</f>
        <v/>
      </c>
      <c r="E3817" s="46">
        <f>IF(OR(B3817="",C3817="",D3817=""),"",D3817*100000+(C3817-DATE(2000,1,1))+ROW()/100000)</f>
        <v/>
      </c>
      <c r="F3817" s="46">
        <f>IF(E3817="","",IF(C3817&gt;WeekEndDate,"",E3817))</f>
        <v/>
      </c>
    </row>
    <row r="3818">
      <c r="A3818" t="inlineStr">
        <is>
          <t>Timeline</t>
        </is>
      </c>
      <c r="B3818" s="46">
        <f>'Timeline'!V783</f>
        <v/>
      </c>
      <c r="C3818" s="84">
        <f>'Timeline'!T783</f>
        <v/>
      </c>
      <c r="D3818" s="46">
        <f>'Timeline'!U783</f>
        <v/>
      </c>
      <c r="E3818" s="46">
        <f>IF(OR(B3818="",C3818="",D3818=""),"",D3818*100000+(C3818-DATE(2000,1,1))+ROW()/100000)</f>
        <v/>
      </c>
      <c r="F3818" s="46">
        <f>IF(E3818="","",IF(C3818&gt;WeekEndDate,"",E3818))</f>
        <v/>
      </c>
    </row>
    <row r="3819">
      <c r="A3819" t="inlineStr">
        <is>
          <t>Timeline</t>
        </is>
      </c>
      <c r="B3819" s="46">
        <f>'Timeline'!V784</f>
        <v/>
      </c>
      <c r="C3819" s="84">
        <f>'Timeline'!T784</f>
        <v/>
      </c>
      <c r="D3819" s="46">
        <f>'Timeline'!U784</f>
        <v/>
      </c>
      <c r="E3819" s="46">
        <f>IF(OR(B3819="",C3819="",D3819=""),"",D3819*100000+(C3819-DATE(2000,1,1))+ROW()/100000)</f>
        <v/>
      </c>
      <c r="F3819" s="46">
        <f>IF(E3819="","",IF(C3819&gt;WeekEndDate,"",E3819))</f>
        <v/>
      </c>
    </row>
    <row r="3820">
      <c r="A3820" t="inlineStr">
        <is>
          <t>Timeline</t>
        </is>
      </c>
      <c r="B3820" s="46">
        <f>'Timeline'!V785</f>
        <v/>
      </c>
      <c r="C3820" s="84">
        <f>'Timeline'!T785</f>
        <v/>
      </c>
      <c r="D3820" s="46">
        <f>'Timeline'!U785</f>
        <v/>
      </c>
      <c r="E3820" s="46">
        <f>IF(OR(B3820="",C3820="",D3820=""),"",D3820*100000+(C3820-DATE(2000,1,1))+ROW()/100000)</f>
        <v/>
      </c>
      <c r="F3820" s="46">
        <f>IF(E3820="","",IF(C3820&gt;WeekEndDate,"",E3820))</f>
        <v/>
      </c>
    </row>
    <row r="3821">
      <c r="A3821" t="inlineStr">
        <is>
          <t>Timeline</t>
        </is>
      </c>
      <c r="B3821" s="46">
        <f>'Timeline'!V786</f>
        <v/>
      </c>
      <c r="C3821" s="84">
        <f>'Timeline'!T786</f>
        <v/>
      </c>
      <c r="D3821" s="46">
        <f>'Timeline'!U786</f>
        <v/>
      </c>
      <c r="E3821" s="46">
        <f>IF(OR(B3821="",C3821="",D3821=""),"",D3821*100000+(C3821-DATE(2000,1,1))+ROW()/100000)</f>
        <v/>
      </c>
      <c r="F3821" s="46">
        <f>IF(E3821="","",IF(C3821&gt;WeekEndDate,"",E3821))</f>
        <v/>
      </c>
    </row>
    <row r="3822">
      <c r="A3822" t="inlineStr">
        <is>
          <t>Timeline</t>
        </is>
      </c>
      <c r="B3822" s="46">
        <f>'Timeline'!V787</f>
        <v/>
      </c>
      <c r="C3822" s="84">
        <f>'Timeline'!T787</f>
        <v/>
      </c>
      <c r="D3822" s="46">
        <f>'Timeline'!U787</f>
        <v/>
      </c>
      <c r="E3822" s="46">
        <f>IF(OR(B3822="",C3822="",D3822=""),"",D3822*100000+(C3822-DATE(2000,1,1))+ROW()/100000)</f>
        <v/>
      </c>
      <c r="F3822" s="46">
        <f>IF(E3822="","",IF(C3822&gt;WeekEndDate,"",E3822))</f>
        <v/>
      </c>
    </row>
    <row r="3823">
      <c r="A3823" t="inlineStr">
        <is>
          <t>Timeline</t>
        </is>
      </c>
      <c r="B3823" s="46">
        <f>'Timeline'!V788</f>
        <v/>
      </c>
      <c r="C3823" s="84">
        <f>'Timeline'!T788</f>
        <v/>
      </c>
      <c r="D3823" s="46">
        <f>'Timeline'!U788</f>
        <v/>
      </c>
      <c r="E3823" s="46">
        <f>IF(OR(B3823="",C3823="",D3823=""),"",D3823*100000+(C3823-DATE(2000,1,1))+ROW()/100000)</f>
        <v/>
      </c>
      <c r="F3823" s="46">
        <f>IF(E3823="","",IF(C3823&gt;WeekEndDate,"",E3823))</f>
        <v/>
      </c>
    </row>
    <row r="3824">
      <c r="A3824" t="inlineStr">
        <is>
          <t>Timeline</t>
        </is>
      </c>
      <c r="B3824" s="46">
        <f>'Timeline'!V789</f>
        <v/>
      </c>
      <c r="C3824" s="84">
        <f>'Timeline'!T789</f>
        <v/>
      </c>
      <c r="D3824" s="46">
        <f>'Timeline'!U789</f>
        <v/>
      </c>
      <c r="E3824" s="46">
        <f>IF(OR(B3824="",C3824="",D3824=""),"",D3824*100000+(C3824-DATE(2000,1,1))+ROW()/100000)</f>
        <v/>
      </c>
      <c r="F3824" s="46">
        <f>IF(E3824="","",IF(C3824&gt;WeekEndDate,"",E3824))</f>
        <v/>
      </c>
    </row>
    <row r="3825">
      <c r="A3825" t="inlineStr">
        <is>
          <t>Timeline</t>
        </is>
      </c>
      <c r="B3825" s="46">
        <f>'Timeline'!V790</f>
        <v/>
      </c>
      <c r="C3825" s="84">
        <f>'Timeline'!T790</f>
        <v/>
      </c>
      <c r="D3825" s="46">
        <f>'Timeline'!U790</f>
        <v/>
      </c>
      <c r="E3825" s="46">
        <f>IF(OR(B3825="",C3825="",D3825=""),"",D3825*100000+(C3825-DATE(2000,1,1))+ROW()/100000)</f>
        <v/>
      </c>
      <c r="F3825" s="46">
        <f>IF(E3825="","",IF(C3825&gt;WeekEndDate,"",E3825))</f>
        <v/>
      </c>
    </row>
    <row r="3826">
      <c r="A3826" t="inlineStr">
        <is>
          <t>Timeline</t>
        </is>
      </c>
      <c r="B3826" s="46">
        <f>'Timeline'!V791</f>
        <v/>
      </c>
      <c r="C3826" s="84">
        <f>'Timeline'!T791</f>
        <v/>
      </c>
      <c r="D3826" s="46">
        <f>'Timeline'!U791</f>
        <v/>
      </c>
      <c r="E3826" s="46">
        <f>IF(OR(B3826="",C3826="",D3826=""),"",D3826*100000+(C3826-DATE(2000,1,1))+ROW()/100000)</f>
        <v/>
      </c>
      <c r="F3826" s="46">
        <f>IF(E3826="","",IF(C3826&gt;WeekEndDate,"",E3826))</f>
        <v/>
      </c>
    </row>
    <row r="3827">
      <c r="A3827" t="inlineStr">
        <is>
          <t>Timeline</t>
        </is>
      </c>
      <c r="B3827" s="46">
        <f>'Timeline'!V792</f>
        <v/>
      </c>
      <c r="C3827" s="84">
        <f>'Timeline'!T792</f>
        <v/>
      </c>
      <c r="D3827" s="46">
        <f>'Timeline'!U792</f>
        <v/>
      </c>
      <c r="E3827" s="46">
        <f>IF(OR(B3827="",C3827="",D3827=""),"",D3827*100000+(C3827-DATE(2000,1,1))+ROW()/100000)</f>
        <v/>
      </c>
      <c r="F3827" s="46">
        <f>IF(E3827="","",IF(C3827&gt;WeekEndDate,"",E3827))</f>
        <v/>
      </c>
    </row>
    <row r="3828">
      <c r="A3828" t="inlineStr">
        <is>
          <t>Timeline</t>
        </is>
      </c>
      <c r="B3828" s="46">
        <f>'Timeline'!V793</f>
        <v/>
      </c>
      <c r="C3828" s="84">
        <f>'Timeline'!T793</f>
        <v/>
      </c>
      <c r="D3828" s="46">
        <f>'Timeline'!U793</f>
        <v/>
      </c>
      <c r="E3828" s="46">
        <f>IF(OR(B3828="",C3828="",D3828=""),"",D3828*100000+(C3828-DATE(2000,1,1))+ROW()/100000)</f>
        <v/>
      </c>
      <c r="F3828" s="46">
        <f>IF(E3828="","",IF(C3828&gt;WeekEndDate,"",E3828))</f>
        <v/>
      </c>
    </row>
    <row r="3829">
      <c r="A3829" t="inlineStr">
        <is>
          <t>Timeline</t>
        </is>
      </c>
      <c r="B3829" s="46">
        <f>'Timeline'!V794</f>
        <v/>
      </c>
      <c r="C3829" s="84">
        <f>'Timeline'!T794</f>
        <v/>
      </c>
      <c r="D3829" s="46">
        <f>'Timeline'!U794</f>
        <v/>
      </c>
      <c r="E3829" s="46">
        <f>IF(OR(B3829="",C3829="",D3829=""),"",D3829*100000+(C3829-DATE(2000,1,1))+ROW()/100000)</f>
        <v/>
      </c>
      <c r="F3829" s="46">
        <f>IF(E3829="","",IF(C3829&gt;WeekEndDate,"",E3829))</f>
        <v/>
      </c>
    </row>
    <row r="3830">
      <c r="A3830" t="inlineStr">
        <is>
          <t>Timeline</t>
        </is>
      </c>
      <c r="B3830" s="46">
        <f>'Timeline'!V795</f>
        <v/>
      </c>
      <c r="C3830" s="84">
        <f>'Timeline'!T795</f>
        <v/>
      </c>
      <c r="D3830" s="46">
        <f>'Timeline'!U795</f>
        <v/>
      </c>
      <c r="E3830" s="46">
        <f>IF(OR(B3830="",C3830="",D3830=""),"",D3830*100000+(C3830-DATE(2000,1,1))+ROW()/100000)</f>
        <v/>
      </c>
      <c r="F3830" s="46">
        <f>IF(E3830="","",IF(C3830&gt;WeekEndDate,"",E3830))</f>
        <v/>
      </c>
    </row>
    <row r="3831">
      <c r="A3831" t="inlineStr">
        <is>
          <t>Timeline</t>
        </is>
      </c>
      <c r="B3831" s="46">
        <f>'Timeline'!V796</f>
        <v/>
      </c>
      <c r="C3831" s="84">
        <f>'Timeline'!T796</f>
        <v/>
      </c>
      <c r="D3831" s="46">
        <f>'Timeline'!U796</f>
        <v/>
      </c>
      <c r="E3831" s="46">
        <f>IF(OR(B3831="",C3831="",D3831=""),"",D3831*100000+(C3831-DATE(2000,1,1))+ROW()/100000)</f>
        <v/>
      </c>
      <c r="F3831" s="46">
        <f>IF(E3831="","",IF(C3831&gt;WeekEndDate,"",E3831))</f>
        <v/>
      </c>
    </row>
    <row r="3832">
      <c r="A3832" t="inlineStr">
        <is>
          <t>Timeline</t>
        </is>
      </c>
      <c r="B3832" s="46">
        <f>'Timeline'!V797</f>
        <v/>
      </c>
      <c r="C3832" s="84">
        <f>'Timeline'!T797</f>
        <v/>
      </c>
      <c r="D3832" s="46">
        <f>'Timeline'!U797</f>
        <v/>
      </c>
      <c r="E3832" s="46">
        <f>IF(OR(B3832="",C3832="",D3832=""),"",D3832*100000+(C3832-DATE(2000,1,1))+ROW()/100000)</f>
        <v/>
      </c>
      <c r="F3832" s="46">
        <f>IF(E3832="","",IF(C3832&gt;WeekEndDate,"",E3832))</f>
        <v/>
      </c>
    </row>
    <row r="3833">
      <c r="A3833" t="inlineStr">
        <is>
          <t>Timeline</t>
        </is>
      </c>
      <c r="B3833" s="46">
        <f>'Timeline'!V798</f>
        <v/>
      </c>
      <c r="C3833" s="84">
        <f>'Timeline'!T798</f>
        <v/>
      </c>
      <c r="D3833" s="46">
        <f>'Timeline'!U798</f>
        <v/>
      </c>
      <c r="E3833" s="46">
        <f>IF(OR(B3833="",C3833="",D3833=""),"",D3833*100000+(C3833-DATE(2000,1,1))+ROW()/100000)</f>
        <v/>
      </c>
      <c r="F3833" s="46">
        <f>IF(E3833="","",IF(C3833&gt;WeekEndDate,"",E3833))</f>
        <v/>
      </c>
    </row>
    <row r="3834">
      <c r="A3834" t="inlineStr">
        <is>
          <t>Timeline</t>
        </is>
      </c>
      <c r="B3834" s="46">
        <f>'Timeline'!V799</f>
        <v/>
      </c>
      <c r="C3834" s="84">
        <f>'Timeline'!T799</f>
        <v/>
      </c>
      <c r="D3834" s="46">
        <f>'Timeline'!U799</f>
        <v/>
      </c>
      <c r="E3834" s="46">
        <f>IF(OR(B3834="",C3834="",D3834=""),"",D3834*100000+(C3834-DATE(2000,1,1))+ROW()/100000)</f>
        <v/>
      </c>
      <c r="F3834" s="46">
        <f>IF(E3834="","",IF(C3834&gt;WeekEndDate,"",E3834))</f>
        <v/>
      </c>
    </row>
    <row r="3835">
      <c r="A3835" t="inlineStr">
        <is>
          <t>Timeline</t>
        </is>
      </c>
      <c r="B3835" s="46">
        <f>'Timeline'!V800</f>
        <v/>
      </c>
      <c r="C3835" s="84">
        <f>'Timeline'!T800</f>
        <v/>
      </c>
      <c r="D3835" s="46">
        <f>'Timeline'!U800</f>
        <v/>
      </c>
      <c r="E3835" s="46">
        <f>IF(OR(B3835="",C3835="",D3835=""),"",D3835*100000+(C3835-DATE(2000,1,1))+ROW()/100000)</f>
        <v/>
      </c>
      <c r="F3835" s="46">
        <f>IF(E3835="","",IF(C3835&gt;WeekEndDate,"",E3835))</f>
        <v/>
      </c>
    </row>
    <row r="3836">
      <c r="A3836" t="inlineStr">
        <is>
          <t>Timeline</t>
        </is>
      </c>
      <c r="B3836" s="46">
        <f>'Timeline'!V801</f>
        <v/>
      </c>
      <c r="C3836" s="84">
        <f>'Timeline'!T801</f>
        <v/>
      </c>
      <c r="D3836" s="46">
        <f>'Timeline'!U801</f>
        <v/>
      </c>
      <c r="E3836" s="46">
        <f>IF(OR(B3836="",C3836="",D3836=""),"",D3836*100000+(C3836-DATE(2000,1,1))+ROW()/100000)</f>
        <v/>
      </c>
      <c r="F3836" s="46">
        <f>IF(E3836="","",IF(C3836&gt;WeekEndDate,"",E3836))</f>
        <v/>
      </c>
    </row>
    <row r="3837">
      <c r="A3837" t="inlineStr">
        <is>
          <t>Timeline</t>
        </is>
      </c>
      <c r="B3837" s="46">
        <f>'Timeline'!V802</f>
        <v/>
      </c>
      <c r="C3837" s="84">
        <f>'Timeline'!T802</f>
        <v/>
      </c>
      <c r="D3837" s="46">
        <f>'Timeline'!U802</f>
        <v/>
      </c>
      <c r="E3837" s="46">
        <f>IF(OR(B3837="",C3837="",D3837=""),"",D3837*100000+(C3837-DATE(2000,1,1))+ROW()/100000)</f>
        <v/>
      </c>
      <c r="F3837" s="46">
        <f>IF(E3837="","",IF(C3837&gt;WeekEndDate,"",E3837))</f>
        <v/>
      </c>
    </row>
    <row r="3838">
      <c r="A3838" t="inlineStr">
        <is>
          <t>Timeline</t>
        </is>
      </c>
      <c r="B3838" s="46">
        <f>'Timeline'!V803</f>
        <v/>
      </c>
      <c r="C3838" s="84">
        <f>'Timeline'!T803</f>
        <v/>
      </c>
      <c r="D3838" s="46">
        <f>'Timeline'!U803</f>
        <v/>
      </c>
      <c r="E3838" s="46">
        <f>IF(OR(B3838="",C3838="",D3838=""),"",D3838*100000+(C3838-DATE(2000,1,1))+ROW()/100000)</f>
        <v/>
      </c>
      <c r="F3838" s="46">
        <f>IF(E3838="","",IF(C3838&gt;WeekEndDate,"",E3838))</f>
        <v/>
      </c>
    </row>
    <row r="3839">
      <c r="A3839" t="inlineStr">
        <is>
          <t>Timeline</t>
        </is>
      </c>
      <c r="B3839" s="46">
        <f>'Timeline'!V804</f>
        <v/>
      </c>
      <c r="C3839" s="84">
        <f>'Timeline'!T804</f>
        <v/>
      </c>
      <c r="D3839" s="46">
        <f>'Timeline'!U804</f>
        <v/>
      </c>
      <c r="E3839" s="46">
        <f>IF(OR(B3839="",C3839="",D3839=""),"",D3839*100000+(C3839-DATE(2000,1,1))+ROW()/100000)</f>
        <v/>
      </c>
      <c r="F3839" s="46">
        <f>IF(E3839="","",IF(C3839&gt;WeekEndDate,"",E3839))</f>
        <v/>
      </c>
    </row>
    <row r="3840">
      <c r="A3840" t="inlineStr">
        <is>
          <t>Timeline</t>
        </is>
      </c>
      <c r="B3840" s="46">
        <f>'Timeline'!V805</f>
        <v/>
      </c>
      <c r="C3840" s="84">
        <f>'Timeline'!T805</f>
        <v/>
      </c>
      <c r="D3840" s="46">
        <f>'Timeline'!U805</f>
        <v/>
      </c>
      <c r="E3840" s="46">
        <f>IF(OR(B3840="",C3840="",D3840=""),"",D3840*100000+(C3840-DATE(2000,1,1))+ROW()/100000)</f>
        <v/>
      </c>
      <c r="F3840" s="46">
        <f>IF(E3840="","",IF(C3840&gt;WeekEndDate,"",E3840))</f>
        <v/>
      </c>
    </row>
    <row r="3841">
      <c r="A3841" t="inlineStr">
        <is>
          <t>Timeline</t>
        </is>
      </c>
      <c r="B3841" s="46">
        <f>'Timeline'!V806</f>
        <v/>
      </c>
      <c r="C3841" s="84">
        <f>'Timeline'!T806</f>
        <v/>
      </c>
      <c r="D3841" s="46">
        <f>'Timeline'!U806</f>
        <v/>
      </c>
      <c r="E3841" s="46">
        <f>IF(OR(B3841="",C3841="",D3841=""),"",D3841*100000+(C3841-DATE(2000,1,1))+ROW()/100000)</f>
        <v/>
      </c>
      <c r="F3841" s="46">
        <f>IF(E3841="","",IF(C3841&gt;WeekEndDate,"",E3841))</f>
        <v/>
      </c>
    </row>
    <row r="3842">
      <c r="A3842" t="inlineStr">
        <is>
          <t>Timeline</t>
        </is>
      </c>
      <c r="B3842" s="46">
        <f>'Timeline'!V807</f>
        <v/>
      </c>
      <c r="C3842" s="84">
        <f>'Timeline'!T807</f>
        <v/>
      </c>
      <c r="D3842" s="46">
        <f>'Timeline'!U807</f>
        <v/>
      </c>
      <c r="E3842" s="46">
        <f>IF(OR(B3842="",C3842="",D3842=""),"",D3842*100000+(C3842-DATE(2000,1,1))+ROW()/100000)</f>
        <v/>
      </c>
      <c r="F3842" s="46">
        <f>IF(E3842="","",IF(C3842&gt;WeekEndDate,"",E3842))</f>
        <v/>
      </c>
    </row>
    <row r="3843">
      <c r="A3843" t="inlineStr">
        <is>
          <t>Timeline</t>
        </is>
      </c>
      <c r="B3843" s="46">
        <f>'Timeline'!V808</f>
        <v/>
      </c>
      <c r="C3843" s="84">
        <f>'Timeline'!T808</f>
        <v/>
      </c>
      <c r="D3843" s="46">
        <f>'Timeline'!U808</f>
        <v/>
      </c>
      <c r="E3843" s="46">
        <f>IF(OR(B3843="",C3843="",D3843=""),"",D3843*100000+(C3843-DATE(2000,1,1))+ROW()/100000)</f>
        <v/>
      </c>
      <c r="F3843" s="46">
        <f>IF(E3843="","",IF(C3843&gt;WeekEndDate,"",E3843))</f>
        <v/>
      </c>
    </row>
    <row r="3844">
      <c r="A3844" t="inlineStr">
        <is>
          <t>Timeline</t>
        </is>
      </c>
      <c r="B3844" s="46">
        <f>'Timeline'!V809</f>
        <v/>
      </c>
      <c r="C3844" s="84">
        <f>'Timeline'!T809</f>
        <v/>
      </c>
      <c r="D3844" s="46">
        <f>'Timeline'!U809</f>
        <v/>
      </c>
      <c r="E3844" s="46">
        <f>IF(OR(B3844="",C3844="",D3844=""),"",D3844*100000+(C3844-DATE(2000,1,1))+ROW()/100000)</f>
        <v/>
      </c>
      <c r="F3844" s="46">
        <f>IF(E3844="","",IF(C3844&gt;WeekEndDate,"",E3844))</f>
        <v/>
      </c>
    </row>
    <row r="3845">
      <c r="A3845" t="inlineStr">
        <is>
          <t>Timeline</t>
        </is>
      </c>
      <c r="B3845" s="46">
        <f>'Timeline'!V810</f>
        <v/>
      </c>
      <c r="C3845" s="84">
        <f>'Timeline'!T810</f>
        <v/>
      </c>
      <c r="D3845" s="46">
        <f>'Timeline'!U810</f>
        <v/>
      </c>
      <c r="E3845" s="46">
        <f>IF(OR(B3845="",C3845="",D3845=""),"",D3845*100000+(C3845-DATE(2000,1,1))+ROW()/100000)</f>
        <v/>
      </c>
      <c r="F3845" s="46">
        <f>IF(E3845="","",IF(C3845&gt;WeekEndDate,"",E3845))</f>
        <v/>
      </c>
    </row>
    <row r="3846">
      <c r="A3846" t="inlineStr">
        <is>
          <t>Timeline</t>
        </is>
      </c>
      <c r="B3846" s="46">
        <f>'Timeline'!V811</f>
        <v/>
      </c>
      <c r="C3846" s="84">
        <f>'Timeline'!T811</f>
        <v/>
      </c>
      <c r="D3846" s="46">
        <f>'Timeline'!U811</f>
        <v/>
      </c>
      <c r="E3846" s="46">
        <f>IF(OR(B3846="",C3846="",D3846=""),"",D3846*100000+(C3846-DATE(2000,1,1))+ROW()/100000)</f>
        <v/>
      </c>
      <c r="F3846" s="46">
        <f>IF(E3846="","",IF(C3846&gt;WeekEndDate,"",E3846))</f>
        <v/>
      </c>
    </row>
    <row r="3847">
      <c r="A3847" t="inlineStr">
        <is>
          <t>Timeline</t>
        </is>
      </c>
      <c r="B3847" s="46">
        <f>'Timeline'!V812</f>
        <v/>
      </c>
      <c r="C3847" s="84">
        <f>'Timeline'!T812</f>
        <v/>
      </c>
      <c r="D3847" s="46">
        <f>'Timeline'!U812</f>
        <v/>
      </c>
      <c r="E3847" s="46">
        <f>IF(OR(B3847="",C3847="",D3847=""),"",D3847*100000+(C3847-DATE(2000,1,1))+ROW()/100000)</f>
        <v/>
      </c>
      <c r="F3847" s="46">
        <f>IF(E3847="","",IF(C3847&gt;WeekEndDate,"",E3847))</f>
        <v/>
      </c>
    </row>
    <row r="3848">
      <c r="A3848" t="inlineStr">
        <is>
          <t>Timeline</t>
        </is>
      </c>
      <c r="B3848" s="46">
        <f>'Timeline'!V813</f>
        <v/>
      </c>
      <c r="C3848" s="84">
        <f>'Timeline'!T813</f>
        <v/>
      </c>
      <c r="D3848" s="46">
        <f>'Timeline'!U813</f>
        <v/>
      </c>
      <c r="E3848" s="46">
        <f>IF(OR(B3848="",C3848="",D3848=""),"",D3848*100000+(C3848-DATE(2000,1,1))+ROW()/100000)</f>
        <v/>
      </c>
      <c r="F3848" s="46">
        <f>IF(E3848="","",IF(C3848&gt;WeekEndDate,"",E3848))</f>
        <v/>
      </c>
    </row>
    <row r="3849">
      <c r="A3849" t="inlineStr">
        <is>
          <t>Timeline</t>
        </is>
      </c>
      <c r="B3849" s="46">
        <f>'Timeline'!V814</f>
        <v/>
      </c>
      <c r="C3849" s="84">
        <f>'Timeline'!T814</f>
        <v/>
      </c>
      <c r="D3849" s="46">
        <f>'Timeline'!U814</f>
        <v/>
      </c>
      <c r="E3849" s="46">
        <f>IF(OR(B3849="",C3849="",D3849=""),"",D3849*100000+(C3849-DATE(2000,1,1))+ROW()/100000)</f>
        <v/>
      </c>
      <c r="F3849" s="46">
        <f>IF(E3849="","",IF(C3849&gt;WeekEndDate,"",E3849))</f>
        <v/>
      </c>
    </row>
    <row r="3850">
      <c r="A3850" t="inlineStr">
        <is>
          <t>Timeline</t>
        </is>
      </c>
      <c r="B3850" s="46">
        <f>'Timeline'!V815</f>
        <v/>
      </c>
      <c r="C3850" s="84">
        <f>'Timeline'!T815</f>
        <v/>
      </c>
      <c r="D3850" s="46">
        <f>'Timeline'!U815</f>
        <v/>
      </c>
      <c r="E3850" s="46">
        <f>IF(OR(B3850="",C3850="",D3850=""),"",D3850*100000+(C3850-DATE(2000,1,1))+ROW()/100000)</f>
        <v/>
      </c>
      <c r="F3850" s="46">
        <f>IF(E3850="","",IF(C3850&gt;WeekEndDate,"",E3850))</f>
        <v/>
      </c>
    </row>
    <row r="3851">
      <c r="A3851" t="inlineStr">
        <is>
          <t>Timeline</t>
        </is>
      </c>
      <c r="B3851" s="46">
        <f>'Timeline'!V816</f>
        <v/>
      </c>
      <c r="C3851" s="84">
        <f>'Timeline'!T816</f>
        <v/>
      </c>
      <c r="D3851" s="46">
        <f>'Timeline'!U816</f>
        <v/>
      </c>
      <c r="E3851" s="46">
        <f>IF(OR(B3851="",C3851="",D3851=""),"",D3851*100000+(C3851-DATE(2000,1,1))+ROW()/100000)</f>
        <v/>
      </c>
      <c r="F3851" s="46">
        <f>IF(E3851="","",IF(C3851&gt;WeekEndDate,"",E3851))</f>
        <v/>
      </c>
    </row>
    <row r="3852">
      <c r="A3852" t="inlineStr">
        <is>
          <t>Timeline</t>
        </is>
      </c>
      <c r="B3852" s="46">
        <f>'Timeline'!V817</f>
        <v/>
      </c>
      <c r="C3852" s="84">
        <f>'Timeline'!T817</f>
        <v/>
      </c>
      <c r="D3852" s="46">
        <f>'Timeline'!U817</f>
        <v/>
      </c>
      <c r="E3852" s="46">
        <f>IF(OR(B3852="",C3852="",D3852=""),"",D3852*100000+(C3852-DATE(2000,1,1))+ROW()/100000)</f>
        <v/>
      </c>
      <c r="F3852" s="46">
        <f>IF(E3852="","",IF(C3852&gt;WeekEndDate,"",E3852))</f>
        <v/>
      </c>
    </row>
    <row r="3853">
      <c r="A3853" t="inlineStr">
        <is>
          <t>Timeline</t>
        </is>
      </c>
      <c r="B3853" s="46">
        <f>'Timeline'!V818</f>
        <v/>
      </c>
      <c r="C3853" s="84">
        <f>'Timeline'!T818</f>
        <v/>
      </c>
      <c r="D3853" s="46">
        <f>'Timeline'!U818</f>
        <v/>
      </c>
      <c r="E3853" s="46">
        <f>IF(OR(B3853="",C3853="",D3853=""),"",D3853*100000+(C3853-DATE(2000,1,1))+ROW()/100000)</f>
        <v/>
      </c>
      <c r="F3853" s="46">
        <f>IF(E3853="","",IF(C3853&gt;WeekEndDate,"",E3853))</f>
        <v/>
      </c>
    </row>
    <row r="3854">
      <c r="A3854" t="inlineStr">
        <is>
          <t>Timeline</t>
        </is>
      </c>
      <c r="B3854" s="46">
        <f>'Timeline'!V819</f>
        <v/>
      </c>
      <c r="C3854" s="84">
        <f>'Timeline'!T819</f>
        <v/>
      </c>
      <c r="D3854" s="46">
        <f>'Timeline'!U819</f>
        <v/>
      </c>
      <c r="E3854" s="46">
        <f>IF(OR(B3854="",C3854="",D3854=""),"",D3854*100000+(C3854-DATE(2000,1,1))+ROW()/100000)</f>
        <v/>
      </c>
      <c r="F3854" s="46">
        <f>IF(E3854="","",IF(C3854&gt;WeekEndDate,"",E3854))</f>
        <v/>
      </c>
    </row>
    <row r="3855">
      <c r="A3855" t="inlineStr">
        <is>
          <t>Timeline</t>
        </is>
      </c>
      <c r="B3855" s="46">
        <f>'Timeline'!V820</f>
        <v/>
      </c>
      <c r="C3855" s="84">
        <f>'Timeline'!T820</f>
        <v/>
      </c>
      <c r="D3855" s="46">
        <f>'Timeline'!U820</f>
        <v/>
      </c>
      <c r="E3855" s="46">
        <f>IF(OR(B3855="",C3855="",D3855=""),"",D3855*100000+(C3855-DATE(2000,1,1))+ROW()/100000)</f>
        <v/>
      </c>
      <c r="F3855" s="46">
        <f>IF(E3855="","",IF(C3855&gt;WeekEndDate,"",E3855))</f>
        <v/>
      </c>
    </row>
    <row r="3856">
      <c r="A3856" t="inlineStr">
        <is>
          <t>Timeline</t>
        </is>
      </c>
      <c r="B3856" s="46">
        <f>'Timeline'!V821</f>
        <v/>
      </c>
      <c r="C3856" s="84">
        <f>'Timeline'!T821</f>
        <v/>
      </c>
      <c r="D3856" s="46">
        <f>'Timeline'!U821</f>
        <v/>
      </c>
      <c r="E3856" s="46">
        <f>IF(OR(B3856="",C3856="",D3856=""),"",D3856*100000+(C3856-DATE(2000,1,1))+ROW()/100000)</f>
        <v/>
      </c>
      <c r="F3856" s="46">
        <f>IF(E3856="","",IF(C3856&gt;WeekEndDate,"",E3856))</f>
        <v/>
      </c>
    </row>
    <row r="3857">
      <c r="A3857" t="inlineStr">
        <is>
          <t>Timeline</t>
        </is>
      </c>
      <c r="B3857" s="46">
        <f>'Timeline'!V822</f>
        <v/>
      </c>
      <c r="C3857" s="84">
        <f>'Timeline'!T822</f>
        <v/>
      </c>
      <c r="D3857" s="46">
        <f>'Timeline'!U822</f>
        <v/>
      </c>
      <c r="E3857" s="46">
        <f>IF(OR(B3857="",C3857="",D3857=""),"",D3857*100000+(C3857-DATE(2000,1,1))+ROW()/100000)</f>
        <v/>
      </c>
      <c r="F3857" s="46">
        <f>IF(E3857="","",IF(C3857&gt;WeekEndDate,"",E3857))</f>
        <v/>
      </c>
    </row>
    <row r="3858">
      <c r="A3858" t="inlineStr">
        <is>
          <t>Timeline</t>
        </is>
      </c>
      <c r="B3858" s="46">
        <f>'Timeline'!V823</f>
        <v/>
      </c>
      <c r="C3858" s="84">
        <f>'Timeline'!T823</f>
        <v/>
      </c>
      <c r="D3858" s="46">
        <f>'Timeline'!U823</f>
        <v/>
      </c>
      <c r="E3858" s="46">
        <f>IF(OR(B3858="",C3858="",D3858=""),"",D3858*100000+(C3858-DATE(2000,1,1))+ROW()/100000)</f>
        <v/>
      </c>
      <c r="F3858" s="46">
        <f>IF(E3858="","",IF(C3858&gt;WeekEndDate,"",E3858))</f>
        <v/>
      </c>
    </row>
    <row r="3859">
      <c r="A3859" t="inlineStr">
        <is>
          <t>Timeline</t>
        </is>
      </c>
      <c r="B3859" s="46">
        <f>'Timeline'!V824</f>
        <v/>
      </c>
      <c r="C3859" s="84">
        <f>'Timeline'!T824</f>
        <v/>
      </c>
      <c r="D3859" s="46">
        <f>'Timeline'!U824</f>
        <v/>
      </c>
      <c r="E3859" s="46">
        <f>IF(OR(B3859="",C3859="",D3859=""),"",D3859*100000+(C3859-DATE(2000,1,1))+ROW()/100000)</f>
        <v/>
      </c>
      <c r="F3859" s="46">
        <f>IF(E3859="","",IF(C3859&gt;WeekEndDate,"",E3859))</f>
        <v/>
      </c>
    </row>
    <row r="3860">
      <c r="A3860" t="inlineStr">
        <is>
          <t>Timeline</t>
        </is>
      </c>
      <c r="B3860" s="46">
        <f>'Timeline'!V825</f>
        <v/>
      </c>
      <c r="C3860" s="84">
        <f>'Timeline'!T825</f>
        <v/>
      </c>
      <c r="D3860" s="46">
        <f>'Timeline'!U825</f>
        <v/>
      </c>
      <c r="E3860" s="46">
        <f>IF(OR(B3860="",C3860="",D3860=""),"",D3860*100000+(C3860-DATE(2000,1,1))+ROW()/100000)</f>
        <v/>
      </c>
      <c r="F3860" s="46">
        <f>IF(E3860="","",IF(C3860&gt;WeekEndDate,"",E3860))</f>
        <v/>
      </c>
    </row>
    <row r="3861">
      <c r="A3861" t="inlineStr">
        <is>
          <t>Timeline</t>
        </is>
      </c>
      <c r="B3861" s="46">
        <f>'Timeline'!V826</f>
        <v/>
      </c>
      <c r="C3861" s="84">
        <f>'Timeline'!T826</f>
        <v/>
      </c>
      <c r="D3861" s="46">
        <f>'Timeline'!U826</f>
        <v/>
      </c>
      <c r="E3861" s="46">
        <f>IF(OR(B3861="",C3861="",D3861=""),"",D3861*100000+(C3861-DATE(2000,1,1))+ROW()/100000)</f>
        <v/>
      </c>
      <c r="F3861" s="46">
        <f>IF(E3861="","",IF(C3861&gt;WeekEndDate,"",E3861))</f>
        <v/>
      </c>
    </row>
    <row r="3862">
      <c r="A3862" t="inlineStr">
        <is>
          <t>Timeline</t>
        </is>
      </c>
      <c r="B3862" s="46">
        <f>'Timeline'!V827</f>
        <v/>
      </c>
      <c r="C3862" s="84">
        <f>'Timeline'!T827</f>
        <v/>
      </c>
      <c r="D3862" s="46">
        <f>'Timeline'!U827</f>
        <v/>
      </c>
      <c r="E3862" s="46">
        <f>IF(OR(B3862="",C3862="",D3862=""),"",D3862*100000+(C3862-DATE(2000,1,1))+ROW()/100000)</f>
        <v/>
      </c>
      <c r="F3862" s="46">
        <f>IF(E3862="","",IF(C3862&gt;WeekEndDate,"",E3862))</f>
        <v/>
      </c>
    </row>
    <row r="3863">
      <c r="A3863" t="inlineStr">
        <is>
          <t>Timeline</t>
        </is>
      </c>
      <c r="B3863" s="46">
        <f>'Timeline'!V828</f>
        <v/>
      </c>
      <c r="C3863" s="84">
        <f>'Timeline'!T828</f>
        <v/>
      </c>
      <c r="D3863" s="46">
        <f>'Timeline'!U828</f>
        <v/>
      </c>
      <c r="E3863" s="46">
        <f>IF(OR(B3863="",C3863="",D3863=""),"",D3863*100000+(C3863-DATE(2000,1,1))+ROW()/100000)</f>
        <v/>
      </c>
      <c r="F3863" s="46">
        <f>IF(E3863="","",IF(C3863&gt;WeekEndDate,"",E3863))</f>
        <v/>
      </c>
    </row>
    <row r="3864">
      <c r="A3864" t="inlineStr">
        <is>
          <t>Timeline</t>
        </is>
      </c>
      <c r="B3864" s="46">
        <f>'Timeline'!V829</f>
        <v/>
      </c>
      <c r="C3864" s="84">
        <f>'Timeline'!T829</f>
        <v/>
      </c>
      <c r="D3864" s="46">
        <f>'Timeline'!U829</f>
        <v/>
      </c>
      <c r="E3864" s="46">
        <f>IF(OR(B3864="",C3864="",D3864=""),"",D3864*100000+(C3864-DATE(2000,1,1))+ROW()/100000)</f>
        <v/>
      </c>
      <c r="F3864" s="46">
        <f>IF(E3864="","",IF(C3864&gt;WeekEndDate,"",E3864))</f>
        <v/>
      </c>
    </row>
    <row r="3865">
      <c r="A3865" t="inlineStr">
        <is>
          <t>Timeline</t>
        </is>
      </c>
      <c r="B3865" s="46">
        <f>'Timeline'!V830</f>
        <v/>
      </c>
      <c r="C3865" s="84">
        <f>'Timeline'!T830</f>
        <v/>
      </c>
      <c r="D3865" s="46">
        <f>'Timeline'!U830</f>
        <v/>
      </c>
      <c r="E3865" s="46">
        <f>IF(OR(B3865="",C3865="",D3865=""),"",D3865*100000+(C3865-DATE(2000,1,1))+ROW()/100000)</f>
        <v/>
      </c>
      <c r="F3865" s="46">
        <f>IF(E3865="","",IF(C3865&gt;WeekEndDate,"",E3865))</f>
        <v/>
      </c>
    </row>
    <row r="3866">
      <c r="A3866" t="inlineStr">
        <is>
          <t>Timeline</t>
        </is>
      </c>
      <c r="B3866" s="46">
        <f>'Timeline'!V831</f>
        <v/>
      </c>
      <c r="C3866" s="84">
        <f>'Timeline'!T831</f>
        <v/>
      </c>
      <c r="D3866" s="46">
        <f>'Timeline'!U831</f>
        <v/>
      </c>
      <c r="E3866" s="46">
        <f>IF(OR(B3866="",C3866="",D3866=""),"",D3866*100000+(C3866-DATE(2000,1,1))+ROW()/100000)</f>
        <v/>
      </c>
      <c r="F3866" s="46">
        <f>IF(E3866="","",IF(C3866&gt;WeekEndDate,"",E3866))</f>
        <v/>
      </c>
    </row>
    <row r="3867">
      <c r="A3867" t="inlineStr">
        <is>
          <t>Timeline</t>
        </is>
      </c>
      <c r="B3867" s="46">
        <f>'Timeline'!V832</f>
        <v/>
      </c>
      <c r="C3867" s="84">
        <f>'Timeline'!T832</f>
        <v/>
      </c>
      <c r="D3867" s="46">
        <f>'Timeline'!U832</f>
        <v/>
      </c>
      <c r="E3867" s="46">
        <f>IF(OR(B3867="",C3867="",D3867=""),"",D3867*100000+(C3867-DATE(2000,1,1))+ROW()/100000)</f>
        <v/>
      </c>
      <c r="F3867" s="46">
        <f>IF(E3867="","",IF(C3867&gt;WeekEndDate,"",E3867))</f>
        <v/>
      </c>
    </row>
    <row r="3868">
      <c r="A3868" t="inlineStr">
        <is>
          <t>Timeline</t>
        </is>
      </c>
      <c r="B3868" s="46">
        <f>'Timeline'!V833</f>
        <v/>
      </c>
      <c r="C3868" s="84">
        <f>'Timeline'!T833</f>
        <v/>
      </c>
      <c r="D3868" s="46">
        <f>'Timeline'!U833</f>
        <v/>
      </c>
      <c r="E3868" s="46">
        <f>IF(OR(B3868="",C3868="",D3868=""),"",D3868*100000+(C3868-DATE(2000,1,1))+ROW()/100000)</f>
        <v/>
      </c>
      <c r="F3868" s="46">
        <f>IF(E3868="","",IF(C3868&gt;WeekEndDate,"",E3868))</f>
        <v/>
      </c>
    </row>
    <row r="3869">
      <c r="A3869" t="inlineStr">
        <is>
          <t>Timeline</t>
        </is>
      </c>
      <c r="B3869" s="46">
        <f>'Timeline'!V834</f>
        <v/>
      </c>
      <c r="C3869" s="84">
        <f>'Timeline'!T834</f>
        <v/>
      </c>
      <c r="D3869" s="46">
        <f>'Timeline'!U834</f>
        <v/>
      </c>
      <c r="E3869" s="46">
        <f>IF(OR(B3869="",C3869="",D3869=""),"",D3869*100000+(C3869-DATE(2000,1,1))+ROW()/100000)</f>
        <v/>
      </c>
      <c r="F3869" s="46">
        <f>IF(E3869="","",IF(C3869&gt;WeekEndDate,"",E3869))</f>
        <v/>
      </c>
    </row>
    <row r="3870">
      <c r="A3870" t="inlineStr">
        <is>
          <t>Timeline</t>
        </is>
      </c>
      <c r="B3870" s="46">
        <f>'Timeline'!V835</f>
        <v/>
      </c>
      <c r="C3870" s="84">
        <f>'Timeline'!T835</f>
        <v/>
      </c>
      <c r="D3870" s="46">
        <f>'Timeline'!U835</f>
        <v/>
      </c>
      <c r="E3870" s="46">
        <f>IF(OR(B3870="",C3870="",D3870=""),"",D3870*100000+(C3870-DATE(2000,1,1))+ROW()/100000)</f>
        <v/>
      </c>
      <c r="F3870" s="46">
        <f>IF(E3870="","",IF(C3870&gt;WeekEndDate,"",E3870))</f>
        <v/>
      </c>
    </row>
    <row r="3871">
      <c r="A3871" t="inlineStr">
        <is>
          <t>Timeline</t>
        </is>
      </c>
      <c r="B3871" s="46">
        <f>'Timeline'!V836</f>
        <v/>
      </c>
      <c r="C3871" s="84">
        <f>'Timeline'!T836</f>
        <v/>
      </c>
      <c r="D3871" s="46">
        <f>'Timeline'!U836</f>
        <v/>
      </c>
      <c r="E3871" s="46">
        <f>IF(OR(B3871="",C3871="",D3871=""),"",D3871*100000+(C3871-DATE(2000,1,1))+ROW()/100000)</f>
        <v/>
      </c>
      <c r="F3871" s="46">
        <f>IF(E3871="","",IF(C3871&gt;WeekEndDate,"",E3871))</f>
        <v/>
      </c>
    </row>
    <row r="3872">
      <c r="A3872" t="inlineStr">
        <is>
          <t>Timeline</t>
        </is>
      </c>
      <c r="B3872" s="46">
        <f>'Timeline'!V837</f>
        <v/>
      </c>
      <c r="C3872" s="84">
        <f>'Timeline'!T837</f>
        <v/>
      </c>
      <c r="D3872" s="46">
        <f>'Timeline'!U837</f>
        <v/>
      </c>
      <c r="E3872" s="46">
        <f>IF(OR(B3872="",C3872="",D3872=""),"",D3872*100000+(C3872-DATE(2000,1,1))+ROW()/100000)</f>
        <v/>
      </c>
      <c r="F3872" s="46">
        <f>IF(E3872="","",IF(C3872&gt;WeekEndDate,"",E3872))</f>
        <v/>
      </c>
    </row>
    <row r="3873">
      <c r="A3873" t="inlineStr">
        <is>
          <t>Timeline</t>
        </is>
      </c>
      <c r="B3873" s="46">
        <f>'Timeline'!V838</f>
        <v/>
      </c>
      <c r="C3873" s="84">
        <f>'Timeline'!T838</f>
        <v/>
      </c>
      <c r="D3873" s="46">
        <f>'Timeline'!U838</f>
        <v/>
      </c>
      <c r="E3873" s="46">
        <f>IF(OR(B3873="",C3873="",D3873=""),"",D3873*100000+(C3873-DATE(2000,1,1))+ROW()/100000)</f>
        <v/>
      </c>
      <c r="F3873" s="46">
        <f>IF(E3873="","",IF(C3873&gt;WeekEndDate,"",E3873))</f>
        <v/>
      </c>
    </row>
    <row r="3874">
      <c r="A3874" t="inlineStr">
        <is>
          <t>Timeline</t>
        </is>
      </c>
      <c r="B3874" s="46">
        <f>'Timeline'!V839</f>
        <v/>
      </c>
      <c r="C3874" s="84">
        <f>'Timeline'!T839</f>
        <v/>
      </c>
      <c r="D3874" s="46">
        <f>'Timeline'!U839</f>
        <v/>
      </c>
      <c r="E3874" s="46">
        <f>IF(OR(B3874="",C3874="",D3874=""),"",D3874*100000+(C3874-DATE(2000,1,1))+ROW()/100000)</f>
        <v/>
      </c>
      <c r="F3874" s="46">
        <f>IF(E3874="","",IF(C3874&gt;WeekEndDate,"",E3874))</f>
        <v/>
      </c>
    </row>
    <row r="3875">
      <c r="A3875" t="inlineStr">
        <is>
          <t>Timeline</t>
        </is>
      </c>
      <c r="B3875" s="46">
        <f>'Timeline'!V840</f>
        <v/>
      </c>
      <c r="C3875" s="84">
        <f>'Timeline'!T840</f>
        <v/>
      </c>
      <c r="D3875" s="46">
        <f>'Timeline'!U840</f>
        <v/>
      </c>
      <c r="E3875" s="46">
        <f>IF(OR(B3875="",C3875="",D3875=""),"",D3875*100000+(C3875-DATE(2000,1,1))+ROW()/100000)</f>
        <v/>
      </c>
      <c r="F3875" s="46">
        <f>IF(E3875="","",IF(C3875&gt;WeekEndDate,"",E3875))</f>
        <v/>
      </c>
    </row>
    <row r="3876">
      <c r="A3876" t="inlineStr">
        <is>
          <t>Timeline</t>
        </is>
      </c>
      <c r="B3876" s="46">
        <f>'Timeline'!V841</f>
        <v/>
      </c>
      <c r="C3876" s="84">
        <f>'Timeline'!T841</f>
        <v/>
      </c>
      <c r="D3876" s="46">
        <f>'Timeline'!U841</f>
        <v/>
      </c>
      <c r="E3876" s="46">
        <f>IF(OR(B3876="",C3876="",D3876=""),"",D3876*100000+(C3876-DATE(2000,1,1))+ROW()/100000)</f>
        <v/>
      </c>
      <c r="F3876" s="46">
        <f>IF(E3876="","",IF(C3876&gt;WeekEndDate,"",E3876))</f>
        <v/>
      </c>
    </row>
    <row r="3877">
      <c r="A3877" t="inlineStr">
        <is>
          <t>Timeline</t>
        </is>
      </c>
      <c r="B3877" s="46">
        <f>'Timeline'!V842</f>
        <v/>
      </c>
      <c r="C3877" s="84">
        <f>'Timeline'!T842</f>
        <v/>
      </c>
      <c r="D3877" s="46">
        <f>'Timeline'!U842</f>
        <v/>
      </c>
      <c r="E3877" s="46">
        <f>IF(OR(B3877="",C3877="",D3877=""),"",D3877*100000+(C3877-DATE(2000,1,1))+ROW()/100000)</f>
        <v/>
      </c>
      <c r="F3877" s="46">
        <f>IF(E3877="","",IF(C3877&gt;WeekEndDate,"",E3877))</f>
        <v/>
      </c>
    </row>
    <row r="3878">
      <c r="A3878" t="inlineStr">
        <is>
          <t>Timeline</t>
        </is>
      </c>
      <c r="B3878" s="46">
        <f>'Timeline'!V843</f>
        <v/>
      </c>
      <c r="C3878" s="84">
        <f>'Timeline'!T843</f>
        <v/>
      </c>
      <c r="D3878" s="46">
        <f>'Timeline'!U843</f>
        <v/>
      </c>
      <c r="E3878" s="46">
        <f>IF(OR(B3878="",C3878="",D3878=""),"",D3878*100000+(C3878-DATE(2000,1,1))+ROW()/100000)</f>
        <v/>
      </c>
      <c r="F3878" s="46">
        <f>IF(E3878="","",IF(C3878&gt;WeekEndDate,"",E3878))</f>
        <v/>
      </c>
    </row>
    <row r="3879">
      <c r="A3879" t="inlineStr">
        <is>
          <t>Timeline</t>
        </is>
      </c>
      <c r="B3879" s="46">
        <f>'Timeline'!V844</f>
        <v/>
      </c>
      <c r="C3879" s="84">
        <f>'Timeline'!T844</f>
        <v/>
      </c>
      <c r="D3879" s="46">
        <f>'Timeline'!U844</f>
        <v/>
      </c>
      <c r="E3879" s="46">
        <f>IF(OR(B3879="",C3879="",D3879=""),"",D3879*100000+(C3879-DATE(2000,1,1))+ROW()/100000)</f>
        <v/>
      </c>
      <c r="F3879" s="46">
        <f>IF(E3879="","",IF(C3879&gt;WeekEndDate,"",E3879))</f>
        <v/>
      </c>
    </row>
    <row r="3880">
      <c r="A3880" t="inlineStr">
        <is>
          <t>Timeline</t>
        </is>
      </c>
      <c r="B3880" s="46">
        <f>'Timeline'!V845</f>
        <v/>
      </c>
      <c r="C3880" s="84">
        <f>'Timeline'!T845</f>
        <v/>
      </c>
      <c r="D3880" s="46">
        <f>'Timeline'!U845</f>
        <v/>
      </c>
      <c r="E3880" s="46">
        <f>IF(OR(B3880="",C3880="",D3880=""),"",D3880*100000+(C3880-DATE(2000,1,1))+ROW()/100000)</f>
        <v/>
      </c>
      <c r="F3880" s="46">
        <f>IF(E3880="","",IF(C3880&gt;WeekEndDate,"",E3880))</f>
        <v/>
      </c>
    </row>
    <row r="3881">
      <c r="A3881" t="inlineStr">
        <is>
          <t>Timeline</t>
        </is>
      </c>
      <c r="B3881" s="46">
        <f>'Timeline'!V846</f>
        <v/>
      </c>
      <c r="C3881" s="84">
        <f>'Timeline'!T846</f>
        <v/>
      </c>
      <c r="D3881" s="46">
        <f>'Timeline'!U846</f>
        <v/>
      </c>
      <c r="E3881" s="46">
        <f>IF(OR(B3881="",C3881="",D3881=""),"",D3881*100000+(C3881-DATE(2000,1,1))+ROW()/100000)</f>
        <v/>
      </c>
      <c r="F3881" s="46">
        <f>IF(E3881="","",IF(C3881&gt;WeekEndDate,"",E3881))</f>
        <v/>
      </c>
    </row>
    <row r="3882">
      <c r="A3882" t="inlineStr">
        <is>
          <t>Timeline</t>
        </is>
      </c>
      <c r="B3882" s="46">
        <f>'Timeline'!V847</f>
        <v/>
      </c>
      <c r="C3882" s="84">
        <f>'Timeline'!T847</f>
        <v/>
      </c>
      <c r="D3882" s="46">
        <f>'Timeline'!U847</f>
        <v/>
      </c>
      <c r="E3882" s="46">
        <f>IF(OR(B3882="",C3882="",D3882=""),"",D3882*100000+(C3882-DATE(2000,1,1))+ROW()/100000)</f>
        <v/>
      </c>
      <c r="F3882" s="46">
        <f>IF(E3882="","",IF(C3882&gt;WeekEndDate,"",E3882))</f>
        <v/>
      </c>
    </row>
    <row r="3883">
      <c r="A3883" t="inlineStr">
        <is>
          <t>Timeline</t>
        </is>
      </c>
      <c r="B3883" s="46">
        <f>'Timeline'!V848</f>
        <v/>
      </c>
      <c r="C3883" s="84">
        <f>'Timeline'!T848</f>
        <v/>
      </c>
      <c r="D3883" s="46">
        <f>'Timeline'!U848</f>
        <v/>
      </c>
      <c r="E3883" s="46">
        <f>IF(OR(B3883="",C3883="",D3883=""),"",D3883*100000+(C3883-DATE(2000,1,1))+ROW()/100000)</f>
        <v/>
      </c>
      <c r="F3883" s="46">
        <f>IF(E3883="","",IF(C3883&gt;WeekEndDate,"",E3883))</f>
        <v/>
      </c>
    </row>
    <row r="3884">
      <c r="A3884" t="inlineStr">
        <is>
          <t>Timeline</t>
        </is>
      </c>
      <c r="B3884" s="46">
        <f>'Timeline'!V849</f>
        <v/>
      </c>
      <c r="C3884" s="84">
        <f>'Timeline'!T849</f>
        <v/>
      </c>
      <c r="D3884" s="46">
        <f>'Timeline'!U849</f>
        <v/>
      </c>
      <c r="E3884" s="46">
        <f>IF(OR(B3884="",C3884="",D3884=""),"",D3884*100000+(C3884-DATE(2000,1,1))+ROW()/100000)</f>
        <v/>
      </c>
      <c r="F3884" s="46">
        <f>IF(E3884="","",IF(C3884&gt;WeekEndDate,"",E3884))</f>
        <v/>
      </c>
    </row>
    <row r="3885">
      <c r="A3885" t="inlineStr">
        <is>
          <t>Timeline</t>
        </is>
      </c>
      <c r="B3885" s="46">
        <f>'Timeline'!V850</f>
        <v/>
      </c>
      <c r="C3885" s="84">
        <f>'Timeline'!T850</f>
        <v/>
      </c>
      <c r="D3885" s="46">
        <f>'Timeline'!U850</f>
        <v/>
      </c>
      <c r="E3885" s="46">
        <f>IF(OR(B3885="",C3885="",D3885=""),"",D3885*100000+(C3885-DATE(2000,1,1))+ROW()/100000)</f>
        <v/>
      </c>
      <c r="F3885" s="46">
        <f>IF(E3885="","",IF(C3885&gt;WeekEndDate,"",E3885))</f>
        <v/>
      </c>
    </row>
    <row r="3886">
      <c r="A3886" t="inlineStr">
        <is>
          <t>Timeline</t>
        </is>
      </c>
      <c r="B3886" s="46">
        <f>'Timeline'!V851</f>
        <v/>
      </c>
      <c r="C3886" s="84">
        <f>'Timeline'!T851</f>
        <v/>
      </c>
      <c r="D3886" s="46">
        <f>'Timeline'!U851</f>
        <v/>
      </c>
      <c r="E3886" s="46">
        <f>IF(OR(B3886="",C3886="",D3886=""),"",D3886*100000+(C3886-DATE(2000,1,1))+ROW()/100000)</f>
        <v/>
      </c>
      <c r="F3886" s="46">
        <f>IF(E3886="","",IF(C3886&gt;WeekEndDate,"",E3886))</f>
        <v/>
      </c>
    </row>
    <row r="3887">
      <c r="A3887" t="inlineStr">
        <is>
          <t>Timeline</t>
        </is>
      </c>
      <c r="B3887" s="46">
        <f>'Timeline'!V852</f>
        <v/>
      </c>
      <c r="C3887" s="84">
        <f>'Timeline'!T852</f>
        <v/>
      </c>
      <c r="D3887" s="46">
        <f>'Timeline'!U852</f>
        <v/>
      </c>
      <c r="E3887" s="46">
        <f>IF(OR(B3887="",C3887="",D3887=""),"",D3887*100000+(C3887-DATE(2000,1,1))+ROW()/100000)</f>
        <v/>
      </c>
      <c r="F3887" s="46">
        <f>IF(E3887="","",IF(C3887&gt;WeekEndDate,"",E3887))</f>
        <v/>
      </c>
    </row>
    <row r="3888">
      <c r="A3888" t="inlineStr">
        <is>
          <t>Timeline</t>
        </is>
      </c>
      <c r="B3888" s="46">
        <f>'Timeline'!V853</f>
        <v/>
      </c>
      <c r="C3888" s="84">
        <f>'Timeline'!T853</f>
        <v/>
      </c>
      <c r="D3888" s="46">
        <f>'Timeline'!U853</f>
        <v/>
      </c>
      <c r="E3888" s="46">
        <f>IF(OR(B3888="",C3888="",D3888=""),"",D3888*100000+(C3888-DATE(2000,1,1))+ROW()/100000)</f>
        <v/>
      </c>
      <c r="F3888" s="46">
        <f>IF(E3888="","",IF(C3888&gt;WeekEndDate,"",E3888))</f>
        <v/>
      </c>
    </row>
    <row r="3889">
      <c r="A3889" t="inlineStr">
        <is>
          <t>Timeline</t>
        </is>
      </c>
      <c r="B3889" s="46">
        <f>'Timeline'!V854</f>
        <v/>
      </c>
      <c r="C3889" s="84">
        <f>'Timeline'!T854</f>
        <v/>
      </c>
      <c r="D3889" s="46">
        <f>'Timeline'!U854</f>
        <v/>
      </c>
      <c r="E3889" s="46">
        <f>IF(OR(B3889="",C3889="",D3889=""),"",D3889*100000+(C3889-DATE(2000,1,1))+ROW()/100000)</f>
        <v/>
      </c>
      <c r="F3889" s="46">
        <f>IF(E3889="","",IF(C3889&gt;WeekEndDate,"",E3889))</f>
        <v/>
      </c>
    </row>
    <row r="3890">
      <c r="A3890" t="inlineStr">
        <is>
          <t>Timeline</t>
        </is>
      </c>
      <c r="B3890" s="46">
        <f>'Timeline'!V855</f>
        <v/>
      </c>
      <c r="C3890" s="84">
        <f>'Timeline'!T855</f>
        <v/>
      </c>
      <c r="D3890" s="46">
        <f>'Timeline'!U855</f>
        <v/>
      </c>
      <c r="E3890" s="46">
        <f>IF(OR(B3890="",C3890="",D3890=""),"",D3890*100000+(C3890-DATE(2000,1,1))+ROW()/100000)</f>
        <v/>
      </c>
      <c r="F3890" s="46">
        <f>IF(E3890="","",IF(C3890&gt;WeekEndDate,"",E3890))</f>
        <v/>
      </c>
    </row>
    <row r="3891">
      <c r="A3891" t="inlineStr">
        <is>
          <t>Timeline</t>
        </is>
      </c>
      <c r="B3891" s="46">
        <f>'Timeline'!V856</f>
        <v/>
      </c>
      <c r="C3891" s="84">
        <f>'Timeline'!T856</f>
        <v/>
      </c>
      <c r="D3891" s="46">
        <f>'Timeline'!U856</f>
        <v/>
      </c>
      <c r="E3891" s="46">
        <f>IF(OR(B3891="",C3891="",D3891=""),"",D3891*100000+(C3891-DATE(2000,1,1))+ROW()/100000)</f>
        <v/>
      </c>
      <c r="F3891" s="46">
        <f>IF(E3891="","",IF(C3891&gt;WeekEndDate,"",E3891))</f>
        <v/>
      </c>
    </row>
    <row r="3892">
      <c r="A3892" t="inlineStr">
        <is>
          <t>Timeline</t>
        </is>
      </c>
      <c r="B3892" s="46">
        <f>'Timeline'!V857</f>
        <v/>
      </c>
      <c r="C3892" s="84">
        <f>'Timeline'!T857</f>
        <v/>
      </c>
      <c r="D3892" s="46">
        <f>'Timeline'!U857</f>
        <v/>
      </c>
      <c r="E3892" s="46">
        <f>IF(OR(B3892="",C3892="",D3892=""),"",D3892*100000+(C3892-DATE(2000,1,1))+ROW()/100000)</f>
        <v/>
      </c>
      <c r="F3892" s="46">
        <f>IF(E3892="","",IF(C3892&gt;WeekEndDate,"",E3892))</f>
        <v/>
      </c>
    </row>
    <row r="3893">
      <c r="A3893" t="inlineStr">
        <is>
          <t>Timeline</t>
        </is>
      </c>
      <c r="B3893" s="46">
        <f>'Timeline'!V858</f>
        <v/>
      </c>
      <c r="C3893" s="84">
        <f>'Timeline'!T858</f>
        <v/>
      </c>
      <c r="D3893" s="46">
        <f>'Timeline'!U858</f>
        <v/>
      </c>
      <c r="E3893" s="46">
        <f>IF(OR(B3893="",C3893="",D3893=""),"",D3893*100000+(C3893-DATE(2000,1,1))+ROW()/100000)</f>
        <v/>
      </c>
      <c r="F3893" s="46">
        <f>IF(E3893="","",IF(C3893&gt;WeekEndDate,"",E3893))</f>
        <v/>
      </c>
    </row>
    <row r="3894">
      <c r="A3894" t="inlineStr">
        <is>
          <t>Timeline</t>
        </is>
      </c>
      <c r="B3894" s="46">
        <f>'Timeline'!V859</f>
        <v/>
      </c>
      <c r="C3894" s="84">
        <f>'Timeline'!T859</f>
        <v/>
      </c>
      <c r="D3894" s="46">
        <f>'Timeline'!U859</f>
        <v/>
      </c>
      <c r="E3894" s="46">
        <f>IF(OR(B3894="",C3894="",D3894=""),"",D3894*100000+(C3894-DATE(2000,1,1))+ROW()/100000)</f>
        <v/>
      </c>
      <c r="F3894" s="46">
        <f>IF(E3894="","",IF(C3894&gt;WeekEndDate,"",E3894))</f>
        <v/>
      </c>
    </row>
    <row r="3895">
      <c r="A3895" t="inlineStr">
        <is>
          <t>Timeline</t>
        </is>
      </c>
      <c r="B3895" s="46">
        <f>'Timeline'!V860</f>
        <v/>
      </c>
      <c r="C3895" s="84">
        <f>'Timeline'!T860</f>
        <v/>
      </c>
      <c r="D3895" s="46">
        <f>'Timeline'!U860</f>
        <v/>
      </c>
      <c r="E3895" s="46">
        <f>IF(OR(B3895="",C3895="",D3895=""),"",D3895*100000+(C3895-DATE(2000,1,1))+ROW()/100000)</f>
        <v/>
      </c>
      <c r="F3895" s="46">
        <f>IF(E3895="","",IF(C3895&gt;WeekEndDate,"",E3895))</f>
        <v/>
      </c>
    </row>
    <row r="3896">
      <c r="A3896" t="inlineStr">
        <is>
          <t>Timeline</t>
        </is>
      </c>
      <c r="B3896" s="46">
        <f>'Timeline'!V861</f>
        <v/>
      </c>
      <c r="C3896" s="84">
        <f>'Timeline'!T861</f>
        <v/>
      </c>
      <c r="D3896" s="46">
        <f>'Timeline'!U861</f>
        <v/>
      </c>
      <c r="E3896" s="46">
        <f>IF(OR(B3896="",C3896="",D3896=""),"",D3896*100000+(C3896-DATE(2000,1,1))+ROW()/100000)</f>
        <v/>
      </c>
      <c r="F3896" s="46">
        <f>IF(E3896="","",IF(C3896&gt;WeekEndDate,"",E3896))</f>
        <v/>
      </c>
    </row>
    <row r="3897">
      <c r="A3897" t="inlineStr">
        <is>
          <t>Timeline</t>
        </is>
      </c>
      <c r="B3897" s="46">
        <f>'Timeline'!V862</f>
        <v/>
      </c>
      <c r="C3897" s="84">
        <f>'Timeline'!T862</f>
        <v/>
      </c>
      <c r="D3897" s="46">
        <f>'Timeline'!U862</f>
        <v/>
      </c>
      <c r="E3897" s="46">
        <f>IF(OR(B3897="",C3897="",D3897=""),"",D3897*100000+(C3897-DATE(2000,1,1))+ROW()/100000)</f>
        <v/>
      </c>
      <c r="F3897" s="46">
        <f>IF(E3897="","",IF(C3897&gt;WeekEndDate,"",E3897))</f>
        <v/>
      </c>
    </row>
    <row r="3898">
      <c r="A3898" t="inlineStr">
        <is>
          <t>Timeline</t>
        </is>
      </c>
      <c r="B3898" s="46">
        <f>'Timeline'!V863</f>
        <v/>
      </c>
      <c r="C3898" s="84">
        <f>'Timeline'!T863</f>
        <v/>
      </c>
      <c r="D3898" s="46">
        <f>'Timeline'!U863</f>
        <v/>
      </c>
      <c r="E3898" s="46">
        <f>IF(OR(B3898="",C3898="",D3898=""),"",D3898*100000+(C3898-DATE(2000,1,1))+ROW()/100000)</f>
        <v/>
      </c>
      <c r="F3898" s="46">
        <f>IF(E3898="","",IF(C3898&gt;WeekEndDate,"",E3898))</f>
        <v/>
      </c>
    </row>
    <row r="3899">
      <c r="A3899" t="inlineStr">
        <is>
          <t>Timeline</t>
        </is>
      </c>
      <c r="B3899" s="46">
        <f>'Timeline'!V864</f>
        <v/>
      </c>
      <c r="C3899" s="84">
        <f>'Timeline'!T864</f>
        <v/>
      </c>
      <c r="D3899" s="46">
        <f>'Timeline'!U864</f>
        <v/>
      </c>
      <c r="E3899" s="46">
        <f>IF(OR(B3899="",C3899="",D3899=""),"",D3899*100000+(C3899-DATE(2000,1,1))+ROW()/100000)</f>
        <v/>
      </c>
      <c r="F3899" s="46">
        <f>IF(E3899="","",IF(C3899&gt;WeekEndDate,"",E3899))</f>
        <v/>
      </c>
    </row>
    <row r="3900">
      <c r="A3900" t="inlineStr">
        <is>
          <t>Timeline</t>
        </is>
      </c>
      <c r="B3900" s="46">
        <f>'Timeline'!V865</f>
        <v/>
      </c>
      <c r="C3900" s="84">
        <f>'Timeline'!T865</f>
        <v/>
      </c>
      <c r="D3900" s="46">
        <f>'Timeline'!U865</f>
        <v/>
      </c>
      <c r="E3900" s="46">
        <f>IF(OR(B3900="",C3900="",D3900=""),"",D3900*100000+(C3900-DATE(2000,1,1))+ROW()/100000)</f>
        <v/>
      </c>
      <c r="F3900" s="46">
        <f>IF(E3900="","",IF(C3900&gt;WeekEndDate,"",E3900))</f>
        <v/>
      </c>
    </row>
    <row r="3901">
      <c r="A3901" t="inlineStr">
        <is>
          <t>Timeline</t>
        </is>
      </c>
      <c r="B3901" s="46">
        <f>'Timeline'!V866</f>
        <v/>
      </c>
      <c r="C3901" s="84">
        <f>'Timeline'!T866</f>
        <v/>
      </c>
      <c r="D3901" s="46">
        <f>'Timeline'!U866</f>
        <v/>
      </c>
      <c r="E3901" s="46">
        <f>IF(OR(B3901="",C3901="",D3901=""),"",D3901*100000+(C3901-DATE(2000,1,1))+ROW()/100000)</f>
        <v/>
      </c>
      <c r="F3901" s="46">
        <f>IF(E3901="","",IF(C3901&gt;WeekEndDate,"",E3901))</f>
        <v/>
      </c>
    </row>
    <row r="3902">
      <c r="A3902" t="inlineStr">
        <is>
          <t>Timeline</t>
        </is>
      </c>
      <c r="B3902" s="46">
        <f>'Timeline'!V867</f>
        <v/>
      </c>
      <c r="C3902" s="84">
        <f>'Timeline'!T867</f>
        <v/>
      </c>
      <c r="D3902" s="46">
        <f>'Timeline'!U867</f>
        <v/>
      </c>
      <c r="E3902" s="46">
        <f>IF(OR(B3902="",C3902="",D3902=""),"",D3902*100000+(C3902-DATE(2000,1,1))+ROW()/100000)</f>
        <v/>
      </c>
      <c r="F3902" s="46">
        <f>IF(E3902="","",IF(C3902&gt;WeekEndDate,"",E3902))</f>
        <v/>
      </c>
    </row>
    <row r="3903">
      <c r="A3903" t="inlineStr">
        <is>
          <t>Timeline</t>
        </is>
      </c>
      <c r="B3903" s="46">
        <f>'Timeline'!V868</f>
        <v/>
      </c>
      <c r="C3903" s="84">
        <f>'Timeline'!T868</f>
        <v/>
      </c>
      <c r="D3903" s="46">
        <f>'Timeline'!U868</f>
        <v/>
      </c>
      <c r="E3903" s="46">
        <f>IF(OR(B3903="",C3903="",D3903=""),"",D3903*100000+(C3903-DATE(2000,1,1))+ROW()/100000)</f>
        <v/>
      </c>
      <c r="F3903" s="46">
        <f>IF(E3903="","",IF(C3903&gt;WeekEndDate,"",E3903))</f>
        <v/>
      </c>
    </row>
    <row r="3904">
      <c r="A3904" t="inlineStr">
        <is>
          <t>Timeline</t>
        </is>
      </c>
      <c r="B3904" s="46">
        <f>'Timeline'!V869</f>
        <v/>
      </c>
      <c r="C3904" s="84">
        <f>'Timeline'!T869</f>
        <v/>
      </c>
      <c r="D3904" s="46">
        <f>'Timeline'!U869</f>
        <v/>
      </c>
      <c r="E3904" s="46">
        <f>IF(OR(B3904="",C3904="",D3904=""),"",D3904*100000+(C3904-DATE(2000,1,1))+ROW()/100000)</f>
        <v/>
      </c>
      <c r="F3904" s="46">
        <f>IF(E3904="","",IF(C3904&gt;WeekEndDate,"",E3904))</f>
        <v/>
      </c>
    </row>
    <row r="3905">
      <c r="A3905" t="inlineStr">
        <is>
          <t>Timeline</t>
        </is>
      </c>
      <c r="B3905" s="46">
        <f>'Timeline'!V870</f>
        <v/>
      </c>
      <c r="C3905" s="84">
        <f>'Timeline'!T870</f>
        <v/>
      </c>
      <c r="D3905" s="46">
        <f>'Timeline'!U870</f>
        <v/>
      </c>
      <c r="E3905" s="46">
        <f>IF(OR(B3905="",C3905="",D3905=""),"",D3905*100000+(C3905-DATE(2000,1,1))+ROW()/100000)</f>
        <v/>
      </c>
      <c r="F3905" s="46">
        <f>IF(E3905="","",IF(C3905&gt;WeekEndDate,"",E3905))</f>
        <v/>
      </c>
    </row>
    <row r="3906">
      <c r="A3906" t="inlineStr">
        <is>
          <t>Timeline</t>
        </is>
      </c>
      <c r="B3906" s="46">
        <f>'Timeline'!V871</f>
        <v/>
      </c>
      <c r="C3906" s="84">
        <f>'Timeline'!T871</f>
        <v/>
      </c>
      <c r="D3906" s="46">
        <f>'Timeline'!U871</f>
        <v/>
      </c>
      <c r="E3906" s="46">
        <f>IF(OR(B3906="",C3906="",D3906=""),"",D3906*100000+(C3906-DATE(2000,1,1))+ROW()/100000)</f>
        <v/>
      </c>
      <c r="F3906" s="46">
        <f>IF(E3906="","",IF(C3906&gt;WeekEndDate,"",E3906))</f>
        <v/>
      </c>
    </row>
    <row r="3907">
      <c r="A3907" t="inlineStr">
        <is>
          <t>Timeline</t>
        </is>
      </c>
      <c r="B3907" s="46">
        <f>'Timeline'!V872</f>
        <v/>
      </c>
      <c r="C3907" s="84">
        <f>'Timeline'!T872</f>
        <v/>
      </c>
      <c r="D3907" s="46">
        <f>'Timeline'!U872</f>
        <v/>
      </c>
      <c r="E3907" s="46">
        <f>IF(OR(B3907="",C3907="",D3907=""),"",D3907*100000+(C3907-DATE(2000,1,1))+ROW()/100000)</f>
        <v/>
      </c>
      <c r="F3907" s="46">
        <f>IF(E3907="","",IF(C3907&gt;WeekEndDate,"",E3907))</f>
        <v/>
      </c>
    </row>
    <row r="3908">
      <c r="A3908" t="inlineStr">
        <is>
          <t>Timeline</t>
        </is>
      </c>
      <c r="B3908" s="46">
        <f>'Timeline'!V873</f>
        <v/>
      </c>
      <c r="C3908" s="84">
        <f>'Timeline'!T873</f>
        <v/>
      </c>
      <c r="D3908" s="46">
        <f>'Timeline'!U873</f>
        <v/>
      </c>
      <c r="E3908" s="46">
        <f>IF(OR(B3908="",C3908="",D3908=""),"",D3908*100000+(C3908-DATE(2000,1,1))+ROW()/100000)</f>
        <v/>
      </c>
      <c r="F3908" s="46">
        <f>IF(E3908="","",IF(C3908&gt;WeekEndDate,"",E3908))</f>
        <v/>
      </c>
    </row>
    <row r="3909">
      <c r="A3909" t="inlineStr">
        <is>
          <t>Timeline</t>
        </is>
      </c>
      <c r="B3909" s="46">
        <f>'Timeline'!V874</f>
        <v/>
      </c>
      <c r="C3909" s="84">
        <f>'Timeline'!T874</f>
        <v/>
      </c>
      <c r="D3909" s="46">
        <f>'Timeline'!U874</f>
        <v/>
      </c>
      <c r="E3909" s="46">
        <f>IF(OR(B3909="",C3909="",D3909=""),"",D3909*100000+(C3909-DATE(2000,1,1))+ROW()/100000)</f>
        <v/>
      </c>
      <c r="F3909" s="46">
        <f>IF(E3909="","",IF(C3909&gt;WeekEndDate,"",E3909))</f>
        <v/>
      </c>
    </row>
    <row r="3910">
      <c r="A3910" t="inlineStr">
        <is>
          <t>Timeline</t>
        </is>
      </c>
      <c r="B3910" s="46">
        <f>'Timeline'!V875</f>
        <v/>
      </c>
      <c r="C3910" s="84">
        <f>'Timeline'!T875</f>
        <v/>
      </c>
      <c r="D3910" s="46">
        <f>'Timeline'!U875</f>
        <v/>
      </c>
      <c r="E3910" s="46">
        <f>IF(OR(B3910="",C3910="",D3910=""),"",D3910*100000+(C3910-DATE(2000,1,1))+ROW()/100000)</f>
        <v/>
      </c>
      <c r="F3910" s="46">
        <f>IF(E3910="","",IF(C3910&gt;WeekEndDate,"",E3910))</f>
        <v/>
      </c>
    </row>
    <row r="3911">
      <c r="A3911" t="inlineStr">
        <is>
          <t>Timeline</t>
        </is>
      </c>
      <c r="B3911" s="46">
        <f>'Timeline'!V876</f>
        <v/>
      </c>
      <c r="C3911" s="84">
        <f>'Timeline'!T876</f>
        <v/>
      </c>
      <c r="D3911" s="46">
        <f>'Timeline'!U876</f>
        <v/>
      </c>
      <c r="E3911" s="46">
        <f>IF(OR(B3911="",C3911="",D3911=""),"",D3911*100000+(C3911-DATE(2000,1,1))+ROW()/100000)</f>
        <v/>
      </c>
      <c r="F3911" s="46">
        <f>IF(E3911="","",IF(C3911&gt;WeekEndDate,"",E3911))</f>
        <v/>
      </c>
    </row>
    <row r="3912">
      <c r="A3912" t="inlineStr">
        <is>
          <t>Timeline</t>
        </is>
      </c>
      <c r="B3912" s="46">
        <f>'Timeline'!V877</f>
        <v/>
      </c>
      <c r="C3912" s="84">
        <f>'Timeline'!T877</f>
        <v/>
      </c>
      <c r="D3912" s="46">
        <f>'Timeline'!U877</f>
        <v/>
      </c>
      <c r="E3912" s="46">
        <f>IF(OR(B3912="",C3912="",D3912=""),"",D3912*100000+(C3912-DATE(2000,1,1))+ROW()/100000)</f>
        <v/>
      </c>
      <c r="F3912" s="46">
        <f>IF(E3912="","",IF(C3912&gt;WeekEndDate,"",E3912))</f>
        <v/>
      </c>
    </row>
    <row r="3913">
      <c r="A3913" t="inlineStr">
        <is>
          <t>Timeline</t>
        </is>
      </c>
      <c r="B3913" s="46">
        <f>'Timeline'!V878</f>
        <v/>
      </c>
      <c r="C3913" s="84">
        <f>'Timeline'!T878</f>
        <v/>
      </c>
      <c r="D3913" s="46">
        <f>'Timeline'!U878</f>
        <v/>
      </c>
      <c r="E3913" s="46">
        <f>IF(OR(B3913="",C3913="",D3913=""),"",D3913*100000+(C3913-DATE(2000,1,1))+ROW()/100000)</f>
        <v/>
      </c>
      <c r="F3913" s="46">
        <f>IF(E3913="","",IF(C3913&gt;WeekEndDate,"",E3913))</f>
        <v/>
      </c>
    </row>
    <row r="3914">
      <c r="A3914" t="inlineStr">
        <is>
          <t>Timeline</t>
        </is>
      </c>
      <c r="B3914" s="46">
        <f>'Timeline'!V879</f>
        <v/>
      </c>
      <c r="C3914" s="84">
        <f>'Timeline'!T879</f>
        <v/>
      </c>
      <c r="D3914" s="46">
        <f>'Timeline'!U879</f>
        <v/>
      </c>
      <c r="E3914" s="46">
        <f>IF(OR(B3914="",C3914="",D3914=""),"",D3914*100000+(C3914-DATE(2000,1,1))+ROW()/100000)</f>
        <v/>
      </c>
      <c r="F3914" s="46">
        <f>IF(E3914="","",IF(C3914&gt;WeekEndDate,"",E3914))</f>
        <v/>
      </c>
    </row>
    <row r="3915">
      <c r="A3915" t="inlineStr">
        <is>
          <t>Timeline</t>
        </is>
      </c>
      <c r="B3915" s="46">
        <f>'Timeline'!V880</f>
        <v/>
      </c>
      <c r="C3915" s="84">
        <f>'Timeline'!T880</f>
        <v/>
      </c>
      <c r="D3915" s="46">
        <f>'Timeline'!U880</f>
        <v/>
      </c>
      <c r="E3915" s="46">
        <f>IF(OR(B3915="",C3915="",D3915=""),"",D3915*100000+(C3915-DATE(2000,1,1))+ROW()/100000)</f>
        <v/>
      </c>
      <c r="F3915" s="46">
        <f>IF(E3915="","",IF(C3915&gt;WeekEndDate,"",E3915))</f>
        <v/>
      </c>
    </row>
    <row r="3916">
      <c r="A3916" t="inlineStr">
        <is>
          <t>Timeline</t>
        </is>
      </c>
      <c r="B3916" s="46">
        <f>'Timeline'!V881</f>
        <v/>
      </c>
      <c r="C3916" s="84">
        <f>'Timeline'!T881</f>
        <v/>
      </c>
      <c r="D3916" s="46">
        <f>'Timeline'!U881</f>
        <v/>
      </c>
      <c r="E3916" s="46">
        <f>IF(OR(B3916="",C3916="",D3916=""),"",D3916*100000+(C3916-DATE(2000,1,1))+ROW()/100000)</f>
        <v/>
      </c>
      <c r="F3916" s="46">
        <f>IF(E3916="","",IF(C3916&gt;WeekEndDate,"",E3916))</f>
        <v/>
      </c>
    </row>
    <row r="3917">
      <c r="A3917" t="inlineStr">
        <is>
          <t>Timeline</t>
        </is>
      </c>
      <c r="B3917" s="46">
        <f>'Timeline'!V882</f>
        <v/>
      </c>
      <c r="C3917" s="84">
        <f>'Timeline'!T882</f>
        <v/>
      </c>
      <c r="D3917" s="46">
        <f>'Timeline'!U882</f>
        <v/>
      </c>
      <c r="E3917" s="46">
        <f>IF(OR(B3917="",C3917="",D3917=""),"",D3917*100000+(C3917-DATE(2000,1,1))+ROW()/100000)</f>
        <v/>
      </c>
      <c r="F3917" s="46">
        <f>IF(E3917="","",IF(C3917&gt;WeekEndDate,"",E3917))</f>
        <v/>
      </c>
    </row>
    <row r="3918">
      <c r="A3918" t="inlineStr">
        <is>
          <t>Timeline</t>
        </is>
      </c>
      <c r="B3918" s="46">
        <f>'Timeline'!V883</f>
        <v/>
      </c>
      <c r="C3918" s="84">
        <f>'Timeline'!T883</f>
        <v/>
      </c>
      <c r="D3918" s="46">
        <f>'Timeline'!U883</f>
        <v/>
      </c>
      <c r="E3918" s="46">
        <f>IF(OR(B3918="",C3918="",D3918=""),"",D3918*100000+(C3918-DATE(2000,1,1))+ROW()/100000)</f>
        <v/>
      </c>
      <c r="F3918" s="46">
        <f>IF(E3918="","",IF(C3918&gt;WeekEndDate,"",E3918))</f>
        <v/>
      </c>
    </row>
    <row r="3919">
      <c r="A3919" t="inlineStr">
        <is>
          <t>Timeline</t>
        </is>
      </c>
      <c r="B3919" s="46">
        <f>'Timeline'!V884</f>
        <v/>
      </c>
      <c r="C3919" s="84">
        <f>'Timeline'!T884</f>
        <v/>
      </c>
      <c r="D3919" s="46">
        <f>'Timeline'!U884</f>
        <v/>
      </c>
      <c r="E3919" s="46">
        <f>IF(OR(B3919="",C3919="",D3919=""),"",D3919*100000+(C3919-DATE(2000,1,1))+ROW()/100000)</f>
        <v/>
      </c>
      <c r="F3919" s="46">
        <f>IF(E3919="","",IF(C3919&gt;WeekEndDate,"",E3919))</f>
        <v/>
      </c>
    </row>
    <row r="3920">
      <c r="A3920" t="inlineStr">
        <is>
          <t>Timeline</t>
        </is>
      </c>
      <c r="B3920" s="46">
        <f>'Timeline'!V885</f>
        <v/>
      </c>
      <c r="C3920" s="84">
        <f>'Timeline'!T885</f>
        <v/>
      </c>
      <c r="D3920" s="46">
        <f>'Timeline'!U885</f>
        <v/>
      </c>
      <c r="E3920" s="46">
        <f>IF(OR(B3920="",C3920="",D3920=""),"",D3920*100000+(C3920-DATE(2000,1,1))+ROW()/100000)</f>
        <v/>
      </c>
      <c r="F3920" s="46">
        <f>IF(E3920="","",IF(C3920&gt;WeekEndDate,"",E3920))</f>
        <v/>
      </c>
    </row>
    <row r="3921">
      <c r="A3921" t="inlineStr">
        <is>
          <t>Timeline</t>
        </is>
      </c>
      <c r="B3921" s="46">
        <f>'Timeline'!V886</f>
        <v/>
      </c>
      <c r="C3921" s="84">
        <f>'Timeline'!T886</f>
        <v/>
      </c>
      <c r="D3921" s="46">
        <f>'Timeline'!U886</f>
        <v/>
      </c>
      <c r="E3921" s="46">
        <f>IF(OR(B3921="",C3921="",D3921=""),"",D3921*100000+(C3921-DATE(2000,1,1))+ROW()/100000)</f>
        <v/>
      </c>
      <c r="F3921" s="46">
        <f>IF(E3921="","",IF(C3921&gt;WeekEndDate,"",E3921))</f>
        <v/>
      </c>
    </row>
    <row r="3922">
      <c r="A3922" t="inlineStr">
        <is>
          <t>Timeline</t>
        </is>
      </c>
      <c r="B3922" s="46">
        <f>'Timeline'!V887</f>
        <v/>
      </c>
      <c r="C3922" s="84">
        <f>'Timeline'!T887</f>
        <v/>
      </c>
      <c r="D3922" s="46">
        <f>'Timeline'!U887</f>
        <v/>
      </c>
      <c r="E3922" s="46">
        <f>IF(OR(B3922="",C3922="",D3922=""),"",D3922*100000+(C3922-DATE(2000,1,1))+ROW()/100000)</f>
        <v/>
      </c>
      <c r="F3922" s="46">
        <f>IF(E3922="","",IF(C3922&gt;WeekEndDate,"",E3922))</f>
        <v/>
      </c>
    </row>
    <row r="3923">
      <c r="A3923" t="inlineStr">
        <is>
          <t>Timeline</t>
        </is>
      </c>
      <c r="B3923" s="46">
        <f>'Timeline'!V888</f>
        <v/>
      </c>
      <c r="C3923" s="84">
        <f>'Timeline'!T888</f>
        <v/>
      </c>
      <c r="D3923" s="46">
        <f>'Timeline'!U888</f>
        <v/>
      </c>
      <c r="E3923" s="46">
        <f>IF(OR(B3923="",C3923="",D3923=""),"",D3923*100000+(C3923-DATE(2000,1,1))+ROW()/100000)</f>
        <v/>
      </c>
      <c r="F3923" s="46">
        <f>IF(E3923="","",IF(C3923&gt;WeekEndDate,"",E3923))</f>
        <v/>
      </c>
    </row>
    <row r="3924">
      <c r="A3924" t="inlineStr">
        <is>
          <t>Timeline</t>
        </is>
      </c>
      <c r="B3924" s="46">
        <f>'Timeline'!V889</f>
        <v/>
      </c>
      <c r="C3924" s="84">
        <f>'Timeline'!T889</f>
        <v/>
      </c>
      <c r="D3924" s="46">
        <f>'Timeline'!U889</f>
        <v/>
      </c>
      <c r="E3924" s="46">
        <f>IF(OR(B3924="",C3924="",D3924=""),"",D3924*100000+(C3924-DATE(2000,1,1))+ROW()/100000)</f>
        <v/>
      </c>
      <c r="F3924" s="46">
        <f>IF(E3924="","",IF(C3924&gt;WeekEndDate,"",E3924))</f>
        <v/>
      </c>
    </row>
    <row r="3925">
      <c r="A3925" t="inlineStr">
        <is>
          <t>Timeline</t>
        </is>
      </c>
      <c r="B3925" s="46">
        <f>'Timeline'!V890</f>
        <v/>
      </c>
      <c r="C3925" s="84">
        <f>'Timeline'!T890</f>
        <v/>
      </c>
      <c r="D3925" s="46">
        <f>'Timeline'!U890</f>
        <v/>
      </c>
      <c r="E3925" s="46">
        <f>IF(OR(B3925="",C3925="",D3925=""),"",D3925*100000+(C3925-DATE(2000,1,1))+ROW()/100000)</f>
        <v/>
      </c>
      <c r="F3925" s="46">
        <f>IF(E3925="","",IF(C3925&gt;WeekEndDate,"",E3925))</f>
        <v/>
      </c>
    </row>
    <row r="3926">
      <c r="A3926" t="inlineStr">
        <is>
          <t>Timeline</t>
        </is>
      </c>
      <c r="B3926" s="46">
        <f>'Timeline'!V891</f>
        <v/>
      </c>
      <c r="C3926" s="84">
        <f>'Timeline'!T891</f>
        <v/>
      </c>
      <c r="D3926" s="46">
        <f>'Timeline'!U891</f>
        <v/>
      </c>
      <c r="E3926" s="46">
        <f>IF(OR(B3926="",C3926="",D3926=""),"",D3926*100000+(C3926-DATE(2000,1,1))+ROW()/100000)</f>
        <v/>
      </c>
      <c r="F3926" s="46">
        <f>IF(E3926="","",IF(C3926&gt;WeekEndDate,"",E3926))</f>
        <v/>
      </c>
    </row>
    <row r="3927">
      <c r="A3927" t="inlineStr">
        <is>
          <t>Timeline</t>
        </is>
      </c>
      <c r="B3927" s="46">
        <f>'Timeline'!V892</f>
        <v/>
      </c>
      <c r="C3927" s="84">
        <f>'Timeline'!T892</f>
        <v/>
      </c>
      <c r="D3927" s="46">
        <f>'Timeline'!U892</f>
        <v/>
      </c>
      <c r="E3927" s="46">
        <f>IF(OR(B3927="",C3927="",D3927=""),"",D3927*100000+(C3927-DATE(2000,1,1))+ROW()/100000)</f>
        <v/>
      </c>
      <c r="F3927" s="46">
        <f>IF(E3927="","",IF(C3927&gt;WeekEndDate,"",E3927))</f>
        <v/>
      </c>
    </row>
    <row r="3928">
      <c r="A3928" t="inlineStr">
        <is>
          <t>Timeline</t>
        </is>
      </c>
      <c r="B3928" s="46">
        <f>'Timeline'!V893</f>
        <v/>
      </c>
      <c r="C3928" s="84">
        <f>'Timeline'!T893</f>
        <v/>
      </c>
      <c r="D3928" s="46">
        <f>'Timeline'!U893</f>
        <v/>
      </c>
      <c r="E3928" s="46">
        <f>IF(OR(B3928="",C3928="",D3928=""),"",D3928*100000+(C3928-DATE(2000,1,1))+ROW()/100000)</f>
        <v/>
      </c>
      <c r="F3928" s="46">
        <f>IF(E3928="","",IF(C3928&gt;WeekEndDate,"",E3928))</f>
        <v/>
      </c>
    </row>
    <row r="3929">
      <c r="A3929" t="inlineStr">
        <is>
          <t>Timeline</t>
        </is>
      </c>
      <c r="B3929" s="46">
        <f>'Timeline'!V894</f>
        <v/>
      </c>
      <c r="C3929" s="84">
        <f>'Timeline'!T894</f>
        <v/>
      </c>
      <c r="D3929" s="46">
        <f>'Timeline'!U894</f>
        <v/>
      </c>
      <c r="E3929" s="46">
        <f>IF(OR(B3929="",C3929="",D3929=""),"",D3929*100000+(C3929-DATE(2000,1,1))+ROW()/100000)</f>
        <v/>
      </c>
      <c r="F3929" s="46">
        <f>IF(E3929="","",IF(C3929&gt;WeekEndDate,"",E3929))</f>
        <v/>
      </c>
    </row>
    <row r="3930">
      <c r="A3930" t="inlineStr">
        <is>
          <t>Timeline</t>
        </is>
      </c>
      <c r="B3930" s="46">
        <f>'Timeline'!V895</f>
        <v/>
      </c>
      <c r="C3930" s="84">
        <f>'Timeline'!T895</f>
        <v/>
      </c>
      <c r="D3930" s="46">
        <f>'Timeline'!U895</f>
        <v/>
      </c>
      <c r="E3930" s="46">
        <f>IF(OR(B3930="",C3930="",D3930=""),"",D3930*100000+(C3930-DATE(2000,1,1))+ROW()/100000)</f>
        <v/>
      </c>
      <c r="F3930" s="46">
        <f>IF(E3930="","",IF(C3930&gt;WeekEndDate,"",E3930))</f>
        <v/>
      </c>
    </row>
    <row r="3931">
      <c r="A3931" t="inlineStr">
        <is>
          <t>Timeline</t>
        </is>
      </c>
      <c r="B3931" s="46">
        <f>'Timeline'!V896</f>
        <v/>
      </c>
      <c r="C3931" s="84">
        <f>'Timeline'!T896</f>
        <v/>
      </c>
      <c r="D3931" s="46">
        <f>'Timeline'!U896</f>
        <v/>
      </c>
      <c r="E3931" s="46">
        <f>IF(OR(B3931="",C3931="",D3931=""),"",D3931*100000+(C3931-DATE(2000,1,1))+ROW()/100000)</f>
        <v/>
      </c>
      <c r="F3931" s="46">
        <f>IF(E3931="","",IF(C3931&gt;WeekEndDate,"",E3931))</f>
        <v/>
      </c>
    </row>
    <row r="3932">
      <c r="A3932" t="inlineStr">
        <is>
          <t>Timeline</t>
        </is>
      </c>
      <c r="B3932" s="46">
        <f>'Timeline'!V897</f>
        <v/>
      </c>
      <c r="C3932" s="84">
        <f>'Timeline'!T897</f>
        <v/>
      </c>
      <c r="D3932" s="46">
        <f>'Timeline'!U897</f>
        <v/>
      </c>
      <c r="E3932" s="46">
        <f>IF(OR(B3932="",C3932="",D3932=""),"",D3932*100000+(C3932-DATE(2000,1,1))+ROW()/100000)</f>
        <v/>
      </c>
      <c r="F3932" s="46">
        <f>IF(E3932="","",IF(C3932&gt;WeekEndDate,"",E3932))</f>
        <v/>
      </c>
    </row>
    <row r="3933">
      <c r="A3933" t="inlineStr">
        <is>
          <t>Timeline</t>
        </is>
      </c>
      <c r="B3933" s="46">
        <f>'Timeline'!V898</f>
        <v/>
      </c>
      <c r="C3933" s="84">
        <f>'Timeline'!T898</f>
        <v/>
      </c>
      <c r="D3933" s="46">
        <f>'Timeline'!U898</f>
        <v/>
      </c>
      <c r="E3933" s="46">
        <f>IF(OR(B3933="",C3933="",D3933=""),"",D3933*100000+(C3933-DATE(2000,1,1))+ROW()/100000)</f>
        <v/>
      </c>
      <c r="F3933" s="46">
        <f>IF(E3933="","",IF(C3933&gt;WeekEndDate,"",E3933))</f>
        <v/>
      </c>
    </row>
    <row r="3934">
      <c r="A3934" t="inlineStr">
        <is>
          <t>Timeline</t>
        </is>
      </c>
      <c r="B3934" s="46">
        <f>'Timeline'!V899</f>
        <v/>
      </c>
      <c r="C3934" s="84">
        <f>'Timeline'!T899</f>
        <v/>
      </c>
      <c r="D3934" s="46">
        <f>'Timeline'!U899</f>
        <v/>
      </c>
      <c r="E3934" s="46">
        <f>IF(OR(B3934="",C3934="",D3934=""),"",D3934*100000+(C3934-DATE(2000,1,1))+ROW()/100000)</f>
        <v/>
      </c>
      <c r="F3934" s="46">
        <f>IF(E3934="","",IF(C3934&gt;WeekEndDate,"",E3934))</f>
        <v/>
      </c>
    </row>
    <row r="3935">
      <c r="A3935" t="inlineStr">
        <is>
          <t>Timeline</t>
        </is>
      </c>
      <c r="B3935" s="46">
        <f>'Timeline'!V900</f>
        <v/>
      </c>
      <c r="C3935" s="84">
        <f>'Timeline'!T900</f>
        <v/>
      </c>
      <c r="D3935" s="46">
        <f>'Timeline'!U900</f>
        <v/>
      </c>
      <c r="E3935" s="46">
        <f>IF(OR(B3935="",C3935="",D3935=""),"",D3935*100000+(C3935-DATE(2000,1,1))+ROW()/100000)</f>
        <v/>
      </c>
      <c r="F3935" s="46">
        <f>IF(E3935="","",IF(C3935&gt;WeekEndDate,"",E3935))</f>
        <v/>
      </c>
    </row>
    <row r="3936">
      <c r="A3936" t="inlineStr">
        <is>
          <t>Timeline</t>
        </is>
      </c>
      <c r="B3936" s="46">
        <f>'Timeline'!V901</f>
        <v/>
      </c>
      <c r="C3936" s="84">
        <f>'Timeline'!T901</f>
        <v/>
      </c>
      <c r="D3936" s="46">
        <f>'Timeline'!U901</f>
        <v/>
      </c>
      <c r="E3936" s="46">
        <f>IF(OR(B3936="",C3936="",D3936=""),"",D3936*100000+(C3936-DATE(2000,1,1))+ROW()/100000)</f>
        <v/>
      </c>
      <c r="F3936" s="46">
        <f>IF(E3936="","",IF(C3936&gt;WeekEndDate,"",E3936))</f>
        <v/>
      </c>
    </row>
    <row r="3937">
      <c r="A3937" t="inlineStr">
        <is>
          <t>Timeline</t>
        </is>
      </c>
      <c r="B3937" s="46">
        <f>'Timeline'!V902</f>
        <v/>
      </c>
      <c r="C3937" s="84">
        <f>'Timeline'!T902</f>
        <v/>
      </c>
      <c r="D3937" s="46">
        <f>'Timeline'!U902</f>
        <v/>
      </c>
      <c r="E3937" s="46">
        <f>IF(OR(B3937="",C3937="",D3937=""),"",D3937*100000+(C3937-DATE(2000,1,1))+ROW()/100000)</f>
        <v/>
      </c>
      <c r="F3937" s="46">
        <f>IF(E3937="","",IF(C3937&gt;WeekEndDate,"",E3937))</f>
        <v/>
      </c>
    </row>
    <row r="3938">
      <c r="A3938" t="inlineStr">
        <is>
          <t>Timeline</t>
        </is>
      </c>
      <c r="B3938" s="46">
        <f>'Timeline'!V903</f>
        <v/>
      </c>
      <c r="C3938" s="84">
        <f>'Timeline'!T903</f>
        <v/>
      </c>
      <c r="D3938" s="46">
        <f>'Timeline'!U903</f>
        <v/>
      </c>
      <c r="E3938" s="46">
        <f>IF(OR(B3938="",C3938="",D3938=""),"",D3938*100000+(C3938-DATE(2000,1,1))+ROW()/100000)</f>
        <v/>
      </c>
      <c r="F3938" s="46">
        <f>IF(E3938="","",IF(C3938&gt;WeekEndDate,"",E3938))</f>
        <v/>
      </c>
    </row>
    <row r="3939">
      <c r="A3939" t="inlineStr">
        <is>
          <t>Timeline</t>
        </is>
      </c>
      <c r="B3939" s="46">
        <f>'Timeline'!V904</f>
        <v/>
      </c>
      <c r="C3939" s="84">
        <f>'Timeline'!T904</f>
        <v/>
      </c>
      <c r="D3939" s="46">
        <f>'Timeline'!U904</f>
        <v/>
      </c>
      <c r="E3939" s="46">
        <f>IF(OR(B3939="",C3939="",D3939=""),"",D3939*100000+(C3939-DATE(2000,1,1))+ROW()/100000)</f>
        <v/>
      </c>
      <c r="F3939" s="46">
        <f>IF(E3939="","",IF(C3939&gt;WeekEndDate,"",E3939))</f>
        <v/>
      </c>
    </row>
    <row r="3940">
      <c r="A3940" t="inlineStr">
        <is>
          <t>Timeline</t>
        </is>
      </c>
      <c r="B3940" s="46">
        <f>'Timeline'!V905</f>
        <v/>
      </c>
      <c r="C3940" s="84">
        <f>'Timeline'!T905</f>
        <v/>
      </c>
      <c r="D3940" s="46">
        <f>'Timeline'!U905</f>
        <v/>
      </c>
      <c r="E3940" s="46">
        <f>IF(OR(B3940="",C3940="",D3940=""),"",D3940*100000+(C3940-DATE(2000,1,1))+ROW()/100000)</f>
        <v/>
      </c>
      <c r="F3940" s="46">
        <f>IF(E3940="","",IF(C3940&gt;WeekEndDate,"",E3940))</f>
        <v/>
      </c>
    </row>
    <row r="3941">
      <c r="A3941" t="inlineStr">
        <is>
          <t>Timeline</t>
        </is>
      </c>
      <c r="B3941" s="46">
        <f>'Timeline'!V906</f>
        <v/>
      </c>
      <c r="C3941" s="84">
        <f>'Timeline'!T906</f>
        <v/>
      </c>
      <c r="D3941" s="46">
        <f>'Timeline'!U906</f>
        <v/>
      </c>
      <c r="E3941" s="46">
        <f>IF(OR(B3941="",C3941="",D3941=""),"",D3941*100000+(C3941-DATE(2000,1,1))+ROW()/100000)</f>
        <v/>
      </c>
      <c r="F3941" s="46">
        <f>IF(E3941="","",IF(C3941&gt;WeekEndDate,"",E3941))</f>
        <v/>
      </c>
    </row>
    <row r="3942">
      <c r="A3942" t="inlineStr">
        <is>
          <t>Timeline</t>
        </is>
      </c>
      <c r="B3942" s="46">
        <f>'Timeline'!V907</f>
        <v/>
      </c>
      <c r="C3942" s="84">
        <f>'Timeline'!T907</f>
        <v/>
      </c>
      <c r="D3942" s="46">
        <f>'Timeline'!U907</f>
        <v/>
      </c>
      <c r="E3942" s="46">
        <f>IF(OR(B3942="",C3942="",D3942=""),"",D3942*100000+(C3942-DATE(2000,1,1))+ROW()/100000)</f>
        <v/>
      </c>
      <c r="F3942" s="46">
        <f>IF(E3942="","",IF(C3942&gt;WeekEndDate,"",E3942))</f>
        <v/>
      </c>
    </row>
    <row r="3943">
      <c r="A3943" t="inlineStr">
        <is>
          <t>Timeline</t>
        </is>
      </c>
      <c r="B3943" s="46">
        <f>'Timeline'!V908</f>
        <v/>
      </c>
      <c r="C3943" s="84">
        <f>'Timeline'!T908</f>
        <v/>
      </c>
      <c r="D3943" s="46">
        <f>'Timeline'!U908</f>
        <v/>
      </c>
      <c r="E3943" s="46">
        <f>IF(OR(B3943="",C3943="",D3943=""),"",D3943*100000+(C3943-DATE(2000,1,1))+ROW()/100000)</f>
        <v/>
      </c>
      <c r="F3943" s="46">
        <f>IF(E3943="","",IF(C3943&gt;WeekEndDate,"",E3943))</f>
        <v/>
      </c>
    </row>
    <row r="3944">
      <c r="A3944" t="inlineStr">
        <is>
          <t>Timeline</t>
        </is>
      </c>
      <c r="B3944" s="46">
        <f>'Timeline'!V909</f>
        <v/>
      </c>
      <c r="C3944" s="84">
        <f>'Timeline'!T909</f>
        <v/>
      </c>
      <c r="D3944" s="46">
        <f>'Timeline'!U909</f>
        <v/>
      </c>
      <c r="E3944" s="46">
        <f>IF(OR(B3944="",C3944="",D3944=""),"",D3944*100000+(C3944-DATE(2000,1,1))+ROW()/100000)</f>
        <v/>
      </c>
      <c r="F3944" s="46">
        <f>IF(E3944="","",IF(C3944&gt;WeekEndDate,"",E3944))</f>
        <v/>
      </c>
    </row>
    <row r="3945">
      <c r="A3945" t="inlineStr">
        <is>
          <t>Timeline</t>
        </is>
      </c>
      <c r="B3945" s="46">
        <f>'Timeline'!V910</f>
        <v/>
      </c>
      <c r="C3945" s="84">
        <f>'Timeline'!T910</f>
        <v/>
      </c>
      <c r="D3945" s="46">
        <f>'Timeline'!U910</f>
        <v/>
      </c>
      <c r="E3945" s="46">
        <f>IF(OR(B3945="",C3945="",D3945=""),"",D3945*100000+(C3945-DATE(2000,1,1))+ROW()/100000)</f>
        <v/>
      </c>
      <c r="F3945" s="46">
        <f>IF(E3945="","",IF(C3945&gt;WeekEndDate,"",E3945))</f>
        <v/>
      </c>
    </row>
    <row r="3946">
      <c r="A3946" t="inlineStr">
        <is>
          <t>Timeline</t>
        </is>
      </c>
      <c r="B3946" s="46">
        <f>'Timeline'!V911</f>
        <v/>
      </c>
      <c r="C3946" s="84">
        <f>'Timeline'!T911</f>
        <v/>
      </c>
      <c r="D3946" s="46">
        <f>'Timeline'!U911</f>
        <v/>
      </c>
      <c r="E3946" s="46">
        <f>IF(OR(B3946="",C3946="",D3946=""),"",D3946*100000+(C3946-DATE(2000,1,1))+ROW()/100000)</f>
        <v/>
      </c>
      <c r="F3946" s="46">
        <f>IF(E3946="","",IF(C3946&gt;WeekEndDate,"",E3946))</f>
        <v/>
      </c>
    </row>
    <row r="3947">
      <c r="A3947" t="inlineStr">
        <is>
          <t>Timeline</t>
        </is>
      </c>
      <c r="B3947" s="46">
        <f>'Timeline'!V912</f>
        <v/>
      </c>
      <c r="C3947" s="84">
        <f>'Timeline'!T912</f>
        <v/>
      </c>
      <c r="D3947" s="46">
        <f>'Timeline'!U912</f>
        <v/>
      </c>
      <c r="E3947" s="46">
        <f>IF(OR(B3947="",C3947="",D3947=""),"",D3947*100000+(C3947-DATE(2000,1,1))+ROW()/100000)</f>
        <v/>
      </c>
      <c r="F3947" s="46">
        <f>IF(E3947="","",IF(C3947&gt;WeekEndDate,"",E3947))</f>
        <v/>
      </c>
    </row>
    <row r="3948">
      <c r="A3948" t="inlineStr">
        <is>
          <t>Timeline</t>
        </is>
      </c>
      <c r="B3948" s="46">
        <f>'Timeline'!V913</f>
        <v/>
      </c>
      <c r="C3948" s="84">
        <f>'Timeline'!T913</f>
        <v/>
      </c>
      <c r="D3948" s="46">
        <f>'Timeline'!U913</f>
        <v/>
      </c>
      <c r="E3948" s="46">
        <f>IF(OR(B3948="",C3948="",D3948=""),"",D3948*100000+(C3948-DATE(2000,1,1))+ROW()/100000)</f>
        <v/>
      </c>
      <c r="F3948" s="46">
        <f>IF(E3948="","",IF(C3948&gt;WeekEndDate,"",E3948))</f>
        <v/>
      </c>
    </row>
    <row r="3949">
      <c r="A3949" t="inlineStr">
        <is>
          <t>Timeline</t>
        </is>
      </c>
      <c r="B3949" s="46">
        <f>'Timeline'!V914</f>
        <v/>
      </c>
      <c r="C3949" s="84">
        <f>'Timeline'!T914</f>
        <v/>
      </c>
      <c r="D3949" s="46">
        <f>'Timeline'!U914</f>
        <v/>
      </c>
      <c r="E3949" s="46">
        <f>IF(OR(B3949="",C3949="",D3949=""),"",D3949*100000+(C3949-DATE(2000,1,1))+ROW()/100000)</f>
        <v/>
      </c>
      <c r="F3949" s="46">
        <f>IF(E3949="","",IF(C3949&gt;WeekEndDate,"",E3949))</f>
        <v/>
      </c>
    </row>
    <row r="3950">
      <c r="A3950" t="inlineStr">
        <is>
          <t>Timeline</t>
        </is>
      </c>
      <c r="B3950" s="46">
        <f>'Timeline'!V915</f>
        <v/>
      </c>
      <c r="C3950" s="84">
        <f>'Timeline'!T915</f>
        <v/>
      </c>
      <c r="D3950" s="46">
        <f>'Timeline'!U915</f>
        <v/>
      </c>
      <c r="E3950" s="46">
        <f>IF(OR(B3950="",C3950="",D3950=""),"",D3950*100000+(C3950-DATE(2000,1,1))+ROW()/100000)</f>
        <v/>
      </c>
      <c r="F3950" s="46">
        <f>IF(E3950="","",IF(C3950&gt;WeekEndDate,"",E3950))</f>
        <v/>
      </c>
    </row>
    <row r="3951">
      <c r="A3951" t="inlineStr">
        <is>
          <t>Timeline</t>
        </is>
      </c>
      <c r="B3951" s="46">
        <f>'Timeline'!V916</f>
        <v/>
      </c>
      <c r="C3951" s="84">
        <f>'Timeline'!T916</f>
        <v/>
      </c>
      <c r="D3951" s="46">
        <f>'Timeline'!U916</f>
        <v/>
      </c>
      <c r="E3951" s="46">
        <f>IF(OR(B3951="",C3951="",D3951=""),"",D3951*100000+(C3951-DATE(2000,1,1))+ROW()/100000)</f>
        <v/>
      </c>
      <c r="F3951" s="46">
        <f>IF(E3951="","",IF(C3951&gt;WeekEndDate,"",E3951))</f>
        <v/>
      </c>
    </row>
    <row r="3952">
      <c r="A3952" t="inlineStr">
        <is>
          <t>Timeline</t>
        </is>
      </c>
      <c r="B3952" s="46">
        <f>'Timeline'!V917</f>
        <v/>
      </c>
      <c r="C3952" s="84">
        <f>'Timeline'!T917</f>
        <v/>
      </c>
      <c r="D3952" s="46">
        <f>'Timeline'!U917</f>
        <v/>
      </c>
      <c r="E3952" s="46">
        <f>IF(OR(B3952="",C3952="",D3952=""),"",D3952*100000+(C3952-DATE(2000,1,1))+ROW()/100000)</f>
        <v/>
      </c>
      <c r="F3952" s="46">
        <f>IF(E3952="","",IF(C3952&gt;WeekEndDate,"",E3952))</f>
        <v/>
      </c>
    </row>
    <row r="3953">
      <c r="A3953" t="inlineStr">
        <is>
          <t>Timeline</t>
        </is>
      </c>
      <c r="B3953" s="46">
        <f>'Timeline'!V918</f>
        <v/>
      </c>
      <c r="C3953" s="84">
        <f>'Timeline'!T918</f>
        <v/>
      </c>
      <c r="D3953" s="46">
        <f>'Timeline'!U918</f>
        <v/>
      </c>
      <c r="E3953" s="46">
        <f>IF(OR(B3953="",C3953="",D3953=""),"",D3953*100000+(C3953-DATE(2000,1,1))+ROW()/100000)</f>
        <v/>
      </c>
      <c r="F3953" s="46">
        <f>IF(E3953="","",IF(C3953&gt;WeekEndDate,"",E3953))</f>
        <v/>
      </c>
    </row>
    <row r="3954">
      <c r="A3954" t="inlineStr">
        <is>
          <t>Timeline</t>
        </is>
      </c>
      <c r="B3954" s="46">
        <f>'Timeline'!V919</f>
        <v/>
      </c>
      <c r="C3954" s="84">
        <f>'Timeline'!T919</f>
        <v/>
      </c>
      <c r="D3954" s="46">
        <f>'Timeline'!U919</f>
        <v/>
      </c>
      <c r="E3954" s="46">
        <f>IF(OR(B3954="",C3954="",D3954=""),"",D3954*100000+(C3954-DATE(2000,1,1))+ROW()/100000)</f>
        <v/>
      </c>
      <c r="F3954" s="46">
        <f>IF(E3954="","",IF(C3954&gt;WeekEndDate,"",E3954))</f>
        <v/>
      </c>
    </row>
    <row r="3955">
      <c r="A3955" t="inlineStr">
        <is>
          <t>Timeline</t>
        </is>
      </c>
      <c r="B3955" s="46">
        <f>'Timeline'!V920</f>
        <v/>
      </c>
      <c r="C3955" s="84">
        <f>'Timeline'!T920</f>
        <v/>
      </c>
      <c r="D3955" s="46">
        <f>'Timeline'!U920</f>
        <v/>
      </c>
      <c r="E3955" s="46">
        <f>IF(OR(B3955="",C3955="",D3955=""),"",D3955*100000+(C3955-DATE(2000,1,1))+ROW()/100000)</f>
        <v/>
      </c>
      <c r="F3955" s="46">
        <f>IF(E3955="","",IF(C3955&gt;WeekEndDate,"",E3955))</f>
        <v/>
      </c>
    </row>
    <row r="3956">
      <c r="A3956" t="inlineStr">
        <is>
          <t>Timeline</t>
        </is>
      </c>
      <c r="B3956" s="46">
        <f>'Timeline'!V921</f>
        <v/>
      </c>
      <c r="C3956" s="84">
        <f>'Timeline'!T921</f>
        <v/>
      </c>
      <c r="D3956" s="46">
        <f>'Timeline'!U921</f>
        <v/>
      </c>
      <c r="E3956" s="46">
        <f>IF(OR(B3956="",C3956="",D3956=""),"",D3956*100000+(C3956-DATE(2000,1,1))+ROW()/100000)</f>
        <v/>
      </c>
      <c r="F3956" s="46">
        <f>IF(E3956="","",IF(C3956&gt;WeekEndDate,"",E3956))</f>
        <v/>
      </c>
    </row>
    <row r="3957">
      <c r="A3957" t="inlineStr">
        <is>
          <t>Timeline</t>
        </is>
      </c>
      <c r="B3957" s="46">
        <f>'Timeline'!V922</f>
        <v/>
      </c>
      <c r="C3957" s="84">
        <f>'Timeline'!T922</f>
        <v/>
      </c>
      <c r="D3957" s="46">
        <f>'Timeline'!U922</f>
        <v/>
      </c>
      <c r="E3957" s="46">
        <f>IF(OR(B3957="",C3957="",D3957=""),"",D3957*100000+(C3957-DATE(2000,1,1))+ROW()/100000)</f>
        <v/>
      </c>
      <c r="F3957" s="46">
        <f>IF(E3957="","",IF(C3957&gt;WeekEndDate,"",E3957))</f>
        <v/>
      </c>
    </row>
    <row r="3958">
      <c r="A3958" t="inlineStr">
        <is>
          <t>Timeline</t>
        </is>
      </c>
      <c r="B3958" s="46">
        <f>'Timeline'!V923</f>
        <v/>
      </c>
      <c r="C3958" s="84">
        <f>'Timeline'!T923</f>
        <v/>
      </c>
      <c r="D3958" s="46">
        <f>'Timeline'!U923</f>
        <v/>
      </c>
      <c r="E3958" s="46">
        <f>IF(OR(B3958="",C3958="",D3958=""),"",D3958*100000+(C3958-DATE(2000,1,1))+ROW()/100000)</f>
        <v/>
      </c>
      <c r="F3958" s="46">
        <f>IF(E3958="","",IF(C3958&gt;WeekEndDate,"",E3958))</f>
        <v/>
      </c>
    </row>
    <row r="3959">
      <c r="A3959" t="inlineStr">
        <is>
          <t>Timeline</t>
        </is>
      </c>
      <c r="B3959" s="46">
        <f>'Timeline'!V924</f>
        <v/>
      </c>
      <c r="C3959" s="84">
        <f>'Timeline'!T924</f>
        <v/>
      </c>
      <c r="D3959" s="46">
        <f>'Timeline'!U924</f>
        <v/>
      </c>
      <c r="E3959" s="46">
        <f>IF(OR(B3959="",C3959="",D3959=""),"",D3959*100000+(C3959-DATE(2000,1,1))+ROW()/100000)</f>
        <v/>
      </c>
      <c r="F3959" s="46">
        <f>IF(E3959="","",IF(C3959&gt;WeekEndDate,"",E3959))</f>
        <v/>
      </c>
    </row>
    <row r="3960">
      <c r="A3960" t="inlineStr">
        <is>
          <t>Timeline</t>
        </is>
      </c>
      <c r="B3960" s="46">
        <f>'Timeline'!V925</f>
        <v/>
      </c>
      <c r="C3960" s="84">
        <f>'Timeline'!T925</f>
        <v/>
      </c>
      <c r="D3960" s="46">
        <f>'Timeline'!U925</f>
        <v/>
      </c>
      <c r="E3960" s="46">
        <f>IF(OR(B3960="",C3960="",D3960=""),"",D3960*100000+(C3960-DATE(2000,1,1))+ROW()/100000)</f>
        <v/>
      </c>
      <c r="F3960" s="46">
        <f>IF(E3960="","",IF(C3960&gt;WeekEndDate,"",E3960))</f>
        <v/>
      </c>
    </row>
    <row r="3961">
      <c r="A3961" t="inlineStr">
        <is>
          <t>Timeline</t>
        </is>
      </c>
      <c r="B3961" s="46">
        <f>'Timeline'!V926</f>
        <v/>
      </c>
      <c r="C3961" s="84">
        <f>'Timeline'!T926</f>
        <v/>
      </c>
      <c r="D3961" s="46">
        <f>'Timeline'!U926</f>
        <v/>
      </c>
      <c r="E3961" s="46">
        <f>IF(OR(B3961="",C3961="",D3961=""),"",D3961*100000+(C3961-DATE(2000,1,1))+ROW()/100000)</f>
        <v/>
      </c>
      <c r="F3961" s="46">
        <f>IF(E3961="","",IF(C3961&gt;WeekEndDate,"",E3961))</f>
        <v/>
      </c>
    </row>
    <row r="3962">
      <c r="A3962" t="inlineStr">
        <is>
          <t>Timeline</t>
        </is>
      </c>
      <c r="B3962" s="46">
        <f>'Timeline'!V927</f>
        <v/>
      </c>
      <c r="C3962" s="84">
        <f>'Timeline'!T927</f>
        <v/>
      </c>
      <c r="D3962" s="46">
        <f>'Timeline'!U927</f>
        <v/>
      </c>
      <c r="E3962" s="46">
        <f>IF(OR(B3962="",C3962="",D3962=""),"",D3962*100000+(C3962-DATE(2000,1,1))+ROW()/100000)</f>
        <v/>
      </c>
      <c r="F3962" s="46">
        <f>IF(E3962="","",IF(C3962&gt;WeekEndDate,"",E3962))</f>
        <v/>
      </c>
    </row>
    <row r="3963">
      <c r="A3963" t="inlineStr">
        <is>
          <t>Timeline</t>
        </is>
      </c>
      <c r="B3963" s="46">
        <f>'Timeline'!V928</f>
        <v/>
      </c>
      <c r="C3963" s="84">
        <f>'Timeline'!T928</f>
        <v/>
      </c>
      <c r="D3963" s="46">
        <f>'Timeline'!U928</f>
        <v/>
      </c>
      <c r="E3963" s="46">
        <f>IF(OR(B3963="",C3963="",D3963=""),"",D3963*100000+(C3963-DATE(2000,1,1))+ROW()/100000)</f>
        <v/>
      </c>
      <c r="F3963" s="46">
        <f>IF(E3963="","",IF(C3963&gt;WeekEndDate,"",E3963))</f>
        <v/>
      </c>
    </row>
    <row r="3964">
      <c r="A3964" t="inlineStr">
        <is>
          <t>Timeline</t>
        </is>
      </c>
      <c r="B3964" s="46">
        <f>'Timeline'!V929</f>
        <v/>
      </c>
      <c r="C3964" s="84">
        <f>'Timeline'!T929</f>
        <v/>
      </c>
      <c r="D3964" s="46">
        <f>'Timeline'!U929</f>
        <v/>
      </c>
      <c r="E3964" s="46">
        <f>IF(OR(B3964="",C3964="",D3964=""),"",D3964*100000+(C3964-DATE(2000,1,1))+ROW()/100000)</f>
        <v/>
      </c>
      <c r="F3964" s="46">
        <f>IF(E3964="","",IF(C3964&gt;WeekEndDate,"",E3964))</f>
        <v/>
      </c>
    </row>
    <row r="3965">
      <c r="A3965" t="inlineStr">
        <is>
          <t>Timeline</t>
        </is>
      </c>
      <c r="B3965" s="46">
        <f>'Timeline'!V930</f>
        <v/>
      </c>
      <c r="C3965" s="84">
        <f>'Timeline'!T930</f>
        <v/>
      </c>
      <c r="D3965" s="46">
        <f>'Timeline'!U930</f>
        <v/>
      </c>
      <c r="E3965" s="46">
        <f>IF(OR(B3965="",C3965="",D3965=""),"",D3965*100000+(C3965-DATE(2000,1,1))+ROW()/100000)</f>
        <v/>
      </c>
      <c r="F3965" s="46">
        <f>IF(E3965="","",IF(C3965&gt;WeekEndDate,"",E3965))</f>
        <v/>
      </c>
    </row>
    <row r="3966">
      <c r="A3966" t="inlineStr">
        <is>
          <t>Timeline</t>
        </is>
      </c>
      <c r="B3966" s="46">
        <f>'Timeline'!V931</f>
        <v/>
      </c>
      <c r="C3966" s="84">
        <f>'Timeline'!T931</f>
        <v/>
      </c>
      <c r="D3966" s="46">
        <f>'Timeline'!U931</f>
        <v/>
      </c>
      <c r="E3966" s="46">
        <f>IF(OR(B3966="",C3966="",D3966=""),"",D3966*100000+(C3966-DATE(2000,1,1))+ROW()/100000)</f>
        <v/>
      </c>
      <c r="F3966" s="46">
        <f>IF(E3966="","",IF(C3966&gt;WeekEndDate,"",E3966))</f>
        <v/>
      </c>
    </row>
    <row r="3967">
      <c r="A3967" t="inlineStr">
        <is>
          <t>Timeline</t>
        </is>
      </c>
      <c r="B3967" s="46">
        <f>'Timeline'!V932</f>
        <v/>
      </c>
      <c r="C3967" s="84">
        <f>'Timeline'!T932</f>
        <v/>
      </c>
      <c r="D3967" s="46">
        <f>'Timeline'!U932</f>
        <v/>
      </c>
      <c r="E3967" s="46">
        <f>IF(OR(B3967="",C3967="",D3967=""),"",D3967*100000+(C3967-DATE(2000,1,1))+ROW()/100000)</f>
        <v/>
      </c>
      <c r="F3967" s="46">
        <f>IF(E3967="","",IF(C3967&gt;WeekEndDate,"",E3967))</f>
        <v/>
      </c>
    </row>
    <row r="3968">
      <c r="A3968" t="inlineStr">
        <is>
          <t>Timeline</t>
        </is>
      </c>
      <c r="B3968" s="46">
        <f>'Timeline'!V933</f>
        <v/>
      </c>
      <c r="C3968" s="84">
        <f>'Timeline'!T933</f>
        <v/>
      </c>
      <c r="D3968" s="46">
        <f>'Timeline'!U933</f>
        <v/>
      </c>
      <c r="E3968" s="46">
        <f>IF(OR(B3968="",C3968="",D3968=""),"",D3968*100000+(C3968-DATE(2000,1,1))+ROW()/100000)</f>
        <v/>
      </c>
      <c r="F3968" s="46">
        <f>IF(E3968="","",IF(C3968&gt;WeekEndDate,"",E3968))</f>
        <v/>
      </c>
    </row>
    <row r="3969">
      <c r="A3969" t="inlineStr">
        <is>
          <t>Timeline</t>
        </is>
      </c>
      <c r="B3969" s="46">
        <f>'Timeline'!V934</f>
        <v/>
      </c>
      <c r="C3969" s="84">
        <f>'Timeline'!T934</f>
        <v/>
      </c>
      <c r="D3969" s="46">
        <f>'Timeline'!U934</f>
        <v/>
      </c>
      <c r="E3969" s="46">
        <f>IF(OR(B3969="",C3969="",D3969=""),"",D3969*100000+(C3969-DATE(2000,1,1))+ROW()/100000)</f>
        <v/>
      </c>
      <c r="F3969" s="46">
        <f>IF(E3969="","",IF(C3969&gt;WeekEndDate,"",E3969))</f>
        <v/>
      </c>
    </row>
    <row r="3970">
      <c r="A3970" t="inlineStr">
        <is>
          <t>Timeline</t>
        </is>
      </c>
      <c r="B3970" s="46">
        <f>'Timeline'!V935</f>
        <v/>
      </c>
      <c r="C3970" s="84">
        <f>'Timeline'!T935</f>
        <v/>
      </c>
      <c r="D3970" s="46">
        <f>'Timeline'!U935</f>
        <v/>
      </c>
      <c r="E3970" s="46">
        <f>IF(OR(B3970="",C3970="",D3970=""),"",D3970*100000+(C3970-DATE(2000,1,1))+ROW()/100000)</f>
        <v/>
      </c>
      <c r="F3970" s="46">
        <f>IF(E3970="","",IF(C3970&gt;WeekEndDate,"",E3970))</f>
        <v/>
      </c>
    </row>
    <row r="3971">
      <c r="A3971" t="inlineStr">
        <is>
          <t>Timeline</t>
        </is>
      </c>
      <c r="B3971" s="46">
        <f>'Timeline'!V936</f>
        <v/>
      </c>
      <c r="C3971" s="84">
        <f>'Timeline'!T936</f>
        <v/>
      </c>
      <c r="D3971" s="46">
        <f>'Timeline'!U936</f>
        <v/>
      </c>
      <c r="E3971" s="46">
        <f>IF(OR(B3971="",C3971="",D3971=""),"",D3971*100000+(C3971-DATE(2000,1,1))+ROW()/100000)</f>
        <v/>
      </c>
      <c r="F3971" s="46">
        <f>IF(E3971="","",IF(C3971&gt;WeekEndDate,"",E3971))</f>
        <v/>
      </c>
    </row>
    <row r="3972">
      <c r="A3972" t="inlineStr">
        <is>
          <t>Timeline</t>
        </is>
      </c>
      <c r="B3972" s="46">
        <f>'Timeline'!V937</f>
        <v/>
      </c>
      <c r="C3972" s="84">
        <f>'Timeline'!T937</f>
        <v/>
      </c>
      <c r="D3972" s="46">
        <f>'Timeline'!U937</f>
        <v/>
      </c>
      <c r="E3972" s="46">
        <f>IF(OR(B3972="",C3972="",D3972=""),"",D3972*100000+(C3972-DATE(2000,1,1))+ROW()/100000)</f>
        <v/>
      </c>
      <c r="F3972" s="46">
        <f>IF(E3972="","",IF(C3972&gt;WeekEndDate,"",E3972))</f>
        <v/>
      </c>
    </row>
    <row r="3973">
      <c r="A3973" t="inlineStr">
        <is>
          <t>Timeline</t>
        </is>
      </c>
      <c r="B3973" s="46">
        <f>'Timeline'!V938</f>
        <v/>
      </c>
      <c r="C3973" s="84">
        <f>'Timeline'!T938</f>
        <v/>
      </c>
      <c r="D3973" s="46">
        <f>'Timeline'!U938</f>
        <v/>
      </c>
      <c r="E3973" s="46">
        <f>IF(OR(B3973="",C3973="",D3973=""),"",D3973*100000+(C3973-DATE(2000,1,1))+ROW()/100000)</f>
        <v/>
      </c>
      <c r="F3973" s="46">
        <f>IF(E3973="","",IF(C3973&gt;WeekEndDate,"",E3973))</f>
        <v/>
      </c>
    </row>
    <row r="3974">
      <c r="A3974" t="inlineStr">
        <is>
          <t>Timeline</t>
        </is>
      </c>
      <c r="B3974" s="46">
        <f>'Timeline'!V939</f>
        <v/>
      </c>
      <c r="C3974" s="84">
        <f>'Timeline'!T939</f>
        <v/>
      </c>
      <c r="D3974" s="46">
        <f>'Timeline'!U939</f>
        <v/>
      </c>
      <c r="E3974" s="46">
        <f>IF(OR(B3974="",C3974="",D3974=""),"",D3974*100000+(C3974-DATE(2000,1,1))+ROW()/100000)</f>
        <v/>
      </c>
      <c r="F3974" s="46">
        <f>IF(E3974="","",IF(C3974&gt;WeekEndDate,"",E3974))</f>
        <v/>
      </c>
    </row>
    <row r="3975">
      <c r="A3975" t="inlineStr">
        <is>
          <t>Timeline</t>
        </is>
      </c>
      <c r="B3975" s="46">
        <f>'Timeline'!V940</f>
        <v/>
      </c>
      <c r="C3975" s="84">
        <f>'Timeline'!T940</f>
        <v/>
      </c>
      <c r="D3975" s="46">
        <f>'Timeline'!U940</f>
        <v/>
      </c>
      <c r="E3975" s="46">
        <f>IF(OR(B3975="",C3975="",D3975=""),"",D3975*100000+(C3975-DATE(2000,1,1))+ROW()/100000)</f>
        <v/>
      </c>
      <c r="F3975" s="46">
        <f>IF(E3975="","",IF(C3975&gt;WeekEndDate,"",E3975))</f>
        <v/>
      </c>
    </row>
    <row r="3976">
      <c r="A3976" t="inlineStr">
        <is>
          <t>Timeline</t>
        </is>
      </c>
      <c r="B3976" s="46">
        <f>'Timeline'!V941</f>
        <v/>
      </c>
      <c r="C3976" s="84">
        <f>'Timeline'!T941</f>
        <v/>
      </c>
      <c r="D3976" s="46">
        <f>'Timeline'!U941</f>
        <v/>
      </c>
      <c r="E3976" s="46">
        <f>IF(OR(B3976="",C3976="",D3976=""),"",D3976*100000+(C3976-DATE(2000,1,1))+ROW()/100000)</f>
        <v/>
      </c>
      <c r="F3976" s="46">
        <f>IF(E3976="","",IF(C3976&gt;WeekEndDate,"",E3976))</f>
        <v/>
      </c>
    </row>
    <row r="3977">
      <c r="A3977" t="inlineStr">
        <is>
          <t>Timeline</t>
        </is>
      </c>
      <c r="B3977" s="46">
        <f>'Timeline'!V942</f>
        <v/>
      </c>
      <c r="C3977" s="84">
        <f>'Timeline'!T942</f>
        <v/>
      </c>
      <c r="D3977" s="46">
        <f>'Timeline'!U942</f>
        <v/>
      </c>
      <c r="E3977" s="46">
        <f>IF(OR(B3977="",C3977="",D3977=""),"",D3977*100000+(C3977-DATE(2000,1,1))+ROW()/100000)</f>
        <v/>
      </c>
      <c r="F3977" s="46">
        <f>IF(E3977="","",IF(C3977&gt;WeekEndDate,"",E3977))</f>
        <v/>
      </c>
    </row>
    <row r="3978">
      <c r="A3978" t="inlineStr">
        <is>
          <t>Timeline</t>
        </is>
      </c>
      <c r="B3978" s="46">
        <f>'Timeline'!V943</f>
        <v/>
      </c>
      <c r="C3978" s="84">
        <f>'Timeline'!T943</f>
        <v/>
      </c>
      <c r="D3978" s="46">
        <f>'Timeline'!U943</f>
        <v/>
      </c>
      <c r="E3978" s="46">
        <f>IF(OR(B3978="",C3978="",D3978=""),"",D3978*100000+(C3978-DATE(2000,1,1))+ROW()/100000)</f>
        <v/>
      </c>
      <c r="F3978" s="46">
        <f>IF(E3978="","",IF(C3978&gt;WeekEndDate,"",E3978))</f>
        <v/>
      </c>
    </row>
    <row r="3979">
      <c r="A3979" t="inlineStr">
        <is>
          <t>Timeline</t>
        </is>
      </c>
      <c r="B3979" s="46">
        <f>'Timeline'!V944</f>
        <v/>
      </c>
      <c r="C3979" s="84">
        <f>'Timeline'!T944</f>
        <v/>
      </c>
      <c r="D3979" s="46">
        <f>'Timeline'!U944</f>
        <v/>
      </c>
      <c r="E3979" s="46">
        <f>IF(OR(B3979="",C3979="",D3979=""),"",D3979*100000+(C3979-DATE(2000,1,1))+ROW()/100000)</f>
        <v/>
      </c>
      <c r="F3979" s="46">
        <f>IF(E3979="","",IF(C3979&gt;WeekEndDate,"",E3979))</f>
        <v/>
      </c>
    </row>
    <row r="3980">
      <c r="A3980" t="inlineStr">
        <is>
          <t>Timeline</t>
        </is>
      </c>
      <c r="B3980" s="46">
        <f>'Timeline'!V945</f>
        <v/>
      </c>
      <c r="C3980" s="84">
        <f>'Timeline'!T945</f>
        <v/>
      </c>
      <c r="D3980" s="46">
        <f>'Timeline'!U945</f>
        <v/>
      </c>
      <c r="E3980" s="46">
        <f>IF(OR(B3980="",C3980="",D3980=""),"",D3980*100000+(C3980-DATE(2000,1,1))+ROW()/100000)</f>
        <v/>
      </c>
      <c r="F3980" s="46">
        <f>IF(E3980="","",IF(C3980&gt;WeekEndDate,"",E3980))</f>
        <v/>
      </c>
    </row>
    <row r="3981">
      <c r="A3981" t="inlineStr">
        <is>
          <t>Timeline</t>
        </is>
      </c>
      <c r="B3981" s="46">
        <f>'Timeline'!V946</f>
        <v/>
      </c>
      <c r="C3981" s="84">
        <f>'Timeline'!T946</f>
        <v/>
      </c>
      <c r="D3981" s="46">
        <f>'Timeline'!U946</f>
        <v/>
      </c>
      <c r="E3981" s="46">
        <f>IF(OR(B3981="",C3981="",D3981=""),"",D3981*100000+(C3981-DATE(2000,1,1))+ROW()/100000)</f>
        <v/>
      </c>
      <c r="F3981" s="46">
        <f>IF(E3981="","",IF(C3981&gt;WeekEndDate,"",E3981))</f>
        <v/>
      </c>
    </row>
    <row r="3982">
      <c r="A3982" t="inlineStr">
        <is>
          <t>Timeline</t>
        </is>
      </c>
      <c r="B3982" s="46">
        <f>'Timeline'!V947</f>
        <v/>
      </c>
      <c r="C3982" s="84">
        <f>'Timeline'!T947</f>
        <v/>
      </c>
      <c r="D3982" s="46">
        <f>'Timeline'!U947</f>
        <v/>
      </c>
      <c r="E3982" s="46">
        <f>IF(OR(B3982="",C3982="",D3982=""),"",D3982*100000+(C3982-DATE(2000,1,1))+ROW()/100000)</f>
        <v/>
      </c>
      <c r="F3982" s="46">
        <f>IF(E3982="","",IF(C3982&gt;WeekEndDate,"",E3982))</f>
        <v/>
      </c>
    </row>
    <row r="3983">
      <c r="A3983" t="inlineStr">
        <is>
          <t>Timeline</t>
        </is>
      </c>
      <c r="B3983" s="46">
        <f>'Timeline'!V948</f>
        <v/>
      </c>
      <c r="C3983" s="84">
        <f>'Timeline'!T948</f>
        <v/>
      </c>
      <c r="D3983" s="46">
        <f>'Timeline'!U948</f>
        <v/>
      </c>
      <c r="E3983" s="46">
        <f>IF(OR(B3983="",C3983="",D3983=""),"",D3983*100000+(C3983-DATE(2000,1,1))+ROW()/100000)</f>
        <v/>
      </c>
      <c r="F3983" s="46">
        <f>IF(E3983="","",IF(C3983&gt;WeekEndDate,"",E3983))</f>
        <v/>
      </c>
    </row>
    <row r="3984">
      <c r="A3984" t="inlineStr">
        <is>
          <t>Timeline</t>
        </is>
      </c>
      <c r="B3984" s="46">
        <f>'Timeline'!V949</f>
        <v/>
      </c>
      <c r="C3984" s="84">
        <f>'Timeline'!T949</f>
        <v/>
      </c>
      <c r="D3984" s="46">
        <f>'Timeline'!U949</f>
        <v/>
      </c>
      <c r="E3984" s="46">
        <f>IF(OR(B3984="",C3984="",D3984=""),"",D3984*100000+(C3984-DATE(2000,1,1))+ROW()/100000)</f>
        <v/>
      </c>
      <c r="F3984" s="46">
        <f>IF(E3984="","",IF(C3984&gt;WeekEndDate,"",E3984))</f>
        <v/>
      </c>
    </row>
    <row r="3985">
      <c r="A3985" t="inlineStr">
        <is>
          <t>Timeline</t>
        </is>
      </c>
      <c r="B3985" s="46">
        <f>'Timeline'!V950</f>
        <v/>
      </c>
      <c r="C3985" s="84">
        <f>'Timeline'!T950</f>
        <v/>
      </c>
      <c r="D3985" s="46">
        <f>'Timeline'!U950</f>
        <v/>
      </c>
      <c r="E3985" s="46">
        <f>IF(OR(B3985="",C3985="",D3985=""),"",D3985*100000+(C3985-DATE(2000,1,1))+ROW()/100000)</f>
        <v/>
      </c>
      <c r="F3985" s="46">
        <f>IF(E3985="","",IF(C3985&gt;WeekEndDate,"",E3985))</f>
        <v/>
      </c>
    </row>
    <row r="3986">
      <c r="A3986" t="inlineStr">
        <is>
          <t>Timeline</t>
        </is>
      </c>
      <c r="B3986" s="46">
        <f>'Timeline'!V951</f>
        <v/>
      </c>
      <c r="C3986" s="84">
        <f>'Timeline'!T951</f>
        <v/>
      </c>
      <c r="D3986" s="46">
        <f>'Timeline'!U951</f>
        <v/>
      </c>
      <c r="E3986" s="46">
        <f>IF(OR(B3986="",C3986="",D3986=""),"",D3986*100000+(C3986-DATE(2000,1,1))+ROW()/100000)</f>
        <v/>
      </c>
      <c r="F3986" s="46">
        <f>IF(E3986="","",IF(C3986&gt;WeekEndDate,"",E3986))</f>
        <v/>
      </c>
    </row>
    <row r="3987">
      <c r="A3987" t="inlineStr">
        <is>
          <t>Timeline</t>
        </is>
      </c>
      <c r="B3987" s="46">
        <f>'Timeline'!V952</f>
        <v/>
      </c>
      <c r="C3987" s="84">
        <f>'Timeline'!T952</f>
        <v/>
      </c>
      <c r="D3987" s="46">
        <f>'Timeline'!U952</f>
        <v/>
      </c>
      <c r="E3987" s="46">
        <f>IF(OR(B3987="",C3987="",D3987=""),"",D3987*100000+(C3987-DATE(2000,1,1))+ROW()/100000)</f>
        <v/>
      </c>
      <c r="F3987" s="46">
        <f>IF(E3987="","",IF(C3987&gt;WeekEndDate,"",E3987))</f>
        <v/>
      </c>
    </row>
    <row r="3988">
      <c r="A3988" t="inlineStr">
        <is>
          <t>Timeline</t>
        </is>
      </c>
      <c r="B3988" s="46">
        <f>'Timeline'!V953</f>
        <v/>
      </c>
      <c r="C3988" s="84">
        <f>'Timeline'!T953</f>
        <v/>
      </c>
      <c r="D3988" s="46">
        <f>'Timeline'!U953</f>
        <v/>
      </c>
      <c r="E3988" s="46">
        <f>IF(OR(B3988="",C3988="",D3988=""),"",D3988*100000+(C3988-DATE(2000,1,1))+ROW()/100000)</f>
        <v/>
      </c>
      <c r="F3988" s="46">
        <f>IF(E3988="","",IF(C3988&gt;WeekEndDate,"",E3988))</f>
        <v/>
      </c>
    </row>
    <row r="3989">
      <c r="A3989" t="inlineStr">
        <is>
          <t>Timeline</t>
        </is>
      </c>
      <c r="B3989" s="46">
        <f>'Timeline'!V954</f>
        <v/>
      </c>
      <c r="C3989" s="84">
        <f>'Timeline'!T954</f>
        <v/>
      </c>
      <c r="D3989" s="46">
        <f>'Timeline'!U954</f>
        <v/>
      </c>
      <c r="E3989" s="46">
        <f>IF(OR(B3989="",C3989="",D3989=""),"",D3989*100000+(C3989-DATE(2000,1,1))+ROW()/100000)</f>
        <v/>
      </c>
      <c r="F3989" s="46">
        <f>IF(E3989="","",IF(C3989&gt;WeekEndDate,"",E3989))</f>
        <v/>
      </c>
    </row>
    <row r="3990">
      <c r="A3990" t="inlineStr">
        <is>
          <t>Timeline</t>
        </is>
      </c>
      <c r="B3990" s="46">
        <f>'Timeline'!V955</f>
        <v/>
      </c>
      <c r="C3990" s="84">
        <f>'Timeline'!T955</f>
        <v/>
      </c>
      <c r="D3990" s="46">
        <f>'Timeline'!U955</f>
        <v/>
      </c>
      <c r="E3990" s="46">
        <f>IF(OR(B3990="",C3990="",D3990=""),"",D3990*100000+(C3990-DATE(2000,1,1))+ROW()/100000)</f>
        <v/>
      </c>
      <c r="F3990" s="46">
        <f>IF(E3990="","",IF(C3990&gt;WeekEndDate,"",E3990))</f>
        <v/>
      </c>
    </row>
    <row r="3991">
      <c r="A3991" t="inlineStr">
        <is>
          <t>Timeline</t>
        </is>
      </c>
      <c r="B3991" s="46">
        <f>'Timeline'!V956</f>
        <v/>
      </c>
      <c r="C3991" s="84">
        <f>'Timeline'!T956</f>
        <v/>
      </c>
      <c r="D3991" s="46">
        <f>'Timeline'!U956</f>
        <v/>
      </c>
      <c r="E3991" s="46">
        <f>IF(OR(B3991="",C3991="",D3991=""),"",D3991*100000+(C3991-DATE(2000,1,1))+ROW()/100000)</f>
        <v/>
      </c>
      <c r="F3991" s="46">
        <f>IF(E3991="","",IF(C3991&gt;WeekEndDate,"",E3991))</f>
        <v/>
      </c>
    </row>
    <row r="3992">
      <c r="A3992" t="inlineStr">
        <is>
          <t>Timeline</t>
        </is>
      </c>
      <c r="B3992" s="46">
        <f>'Timeline'!V957</f>
        <v/>
      </c>
      <c r="C3992" s="84">
        <f>'Timeline'!T957</f>
        <v/>
      </c>
      <c r="D3992" s="46">
        <f>'Timeline'!U957</f>
        <v/>
      </c>
      <c r="E3992" s="46">
        <f>IF(OR(B3992="",C3992="",D3992=""),"",D3992*100000+(C3992-DATE(2000,1,1))+ROW()/100000)</f>
        <v/>
      </c>
      <c r="F3992" s="46">
        <f>IF(E3992="","",IF(C3992&gt;WeekEndDate,"",E3992))</f>
        <v/>
      </c>
    </row>
    <row r="3993">
      <c r="A3993" t="inlineStr">
        <is>
          <t>Timeline</t>
        </is>
      </c>
      <c r="B3993" s="46">
        <f>'Timeline'!V958</f>
        <v/>
      </c>
      <c r="C3993" s="84">
        <f>'Timeline'!T958</f>
        <v/>
      </c>
      <c r="D3993" s="46">
        <f>'Timeline'!U958</f>
        <v/>
      </c>
      <c r="E3993" s="46">
        <f>IF(OR(B3993="",C3993="",D3993=""),"",D3993*100000+(C3993-DATE(2000,1,1))+ROW()/100000)</f>
        <v/>
      </c>
      <c r="F3993" s="46">
        <f>IF(E3993="","",IF(C3993&gt;WeekEndDate,"",E3993))</f>
        <v/>
      </c>
    </row>
    <row r="3994">
      <c r="A3994" t="inlineStr">
        <is>
          <t>Timeline</t>
        </is>
      </c>
      <c r="B3994" s="46">
        <f>'Timeline'!V959</f>
        <v/>
      </c>
      <c r="C3994" s="84">
        <f>'Timeline'!T959</f>
        <v/>
      </c>
      <c r="D3994" s="46">
        <f>'Timeline'!U959</f>
        <v/>
      </c>
      <c r="E3994" s="46">
        <f>IF(OR(B3994="",C3994="",D3994=""),"",D3994*100000+(C3994-DATE(2000,1,1))+ROW()/100000)</f>
        <v/>
      </c>
      <c r="F3994" s="46">
        <f>IF(E3994="","",IF(C3994&gt;WeekEndDate,"",E3994))</f>
        <v/>
      </c>
    </row>
    <row r="3995">
      <c r="A3995" t="inlineStr">
        <is>
          <t>Timeline</t>
        </is>
      </c>
      <c r="B3995" s="46">
        <f>'Timeline'!V960</f>
        <v/>
      </c>
      <c r="C3995" s="84">
        <f>'Timeline'!T960</f>
        <v/>
      </c>
      <c r="D3995" s="46">
        <f>'Timeline'!U960</f>
        <v/>
      </c>
      <c r="E3995" s="46">
        <f>IF(OR(B3995="",C3995="",D3995=""),"",D3995*100000+(C3995-DATE(2000,1,1))+ROW()/100000)</f>
        <v/>
      </c>
      <c r="F3995" s="46">
        <f>IF(E3995="","",IF(C3995&gt;WeekEndDate,"",E3995))</f>
        <v/>
      </c>
    </row>
    <row r="3996">
      <c r="A3996" t="inlineStr">
        <is>
          <t>Timeline</t>
        </is>
      </c>
      <c r="B3996" s="46">
        <f>'Timeline'!V961</f>
        <v/>
      </c>
      <c r="C3996" s="84">
        <f>'Timeline'!T961</f>
        <v/>
      </c>
      <c r="D3996" s="46">
        <f>'Timeline'!U961</f>
        <v/>
      </c>
      <c r="E3996" s="46">
        <f>IF(OR(B3996="",C3996="",D3996=""),"",D3996*100000+(C3996-DATE(2000,1,1))+ROW()/100000)</f>
        <v/>
      </c>
      <c r="F3996" s="46">
        <f>IF(E3996="","",IF(C3996&gt;WeekEndDate,"",E3996))</f>
        <v/>
      </c>
    </row>
    <row r="3997">
      <c r="A3997" t="inlineStr">
        <is>
          <t>Timeline</t>
        </is>
      </c>
      <c r="B3997" s="46">
        <f>'Timeline'!V962</f>
        <v/>
      </c>
      <c r="C3997" s="84">
        <f>'Timeline'!T962</f>
        <v/>
      </c>
      <c r="D3997" s="46">
        <f>'Timeline'!U962</f>
        <v/>
      </c>
      <c r="E3997" s="46">
        <f>IF(OR(B3997="",C3997="",D3997=""),"",D3997*100000+(C3997-DATE(2000,1,1))+ROW()/100000)</f>
        <v/>
      </c>
      <c r="F3997" s="46">
        <f>IF(E3997="","",IF(C3997&gt;WeekEndDate,"",E3997))</f>
        <v/>
      </c>
    </row>
    <row r="3998">
      <c r="A3998" t="inlineStr">
        <is>
          <t>Timeline</t>
        </is>
      </c>
      <c r="B3998" s="46">
        <f>'Timeline'!V963</f>
        <v/>
      </c>
      <c r="C3998" s="84">
        <f>'Timeline'!T963</f>
        <v/>
      </c>
      <c r="D3998" s="46">
        <f>'Timeline'!U963</f>
        <v/>
      </c>
      <c r="E3998" s="46">
        <f>IF(OR(B3998="",C3998="",D3998=""),"",D3998*100000+(C3998-DATE(2000,1,1))+ROW()/100000)</f>
        <v/>
      </c>
      <c r="F3998" s="46">
        <f>IF(E3998="","",IF(C3998&gt;WeekEndDate,"",E3998))</f>
        <v/>
      </c>
    </row>
    <row r="3999">
      <c r="A3999" t="inlineStr">
        <is>
          <t>Timeline</t>
        </is>
      </c>
      <c r="B3999" s="46">
        <f>'Timeline'!V964</f>
        <v/>
      </c>
      <c r="C3999" s="84">
        <f>'Timeline'!T964</f>
        <v/>
      </c>
      <c r="D3999" s="46">
        <f>'Timeline'!U964</f>
        <v/>
      </c>
      <c r="E3999" s="46">
        <f>IF(OR(B3999="",C3999="",D3999=""),"",D3999*100000+(C3999-DATE(2000,1,1))+ROW()/100000)</f>
        <v/>
      </c>
      <c r="F3999" s="46">
        <f>IF(E3999="","",IF(C3999&gt;WeekEndDate,"",E3999))</f>
        <v/>
      </c>
    </row>
    <row r="4000">
      <c r="A4000" t="inlineStr">
        <is>
          <t>Timeline</t>
        </is>
      </c>
      <c r="B4000" s="46">
        <f>'Timeline'!V965</f>
        <v/>
      </c>
      <c r="C4000" s="84">
        <f>'Timeline'!T965</f>
        <v/>
      </c>
      <c r="D4000" s="46">
        <f>'Timeline'!U965</f>
        <v/>
      </c>
      <c r="E4000" s="46">
        <f>IF(OR(B4000="",C4000="",D4000=""),"",D4000*100000+(C4000-DATE(2000,1,1))+ROW()/100000)</f>
        <v/>
      </c>
      <c r="F4000" s="46">
        <f>IF(E4000="","",IF(C4000&gt;WeekEndDate,"",E4000))</f>
        <v/>
      </c>
    </row>
    <row r="4001">
      <c r="A4001" t="inlineStr">
        <is>
          <t>Timeline</t>
        </is>
      </c>
      <c r="B4001" s="46">
        <f>'Timeline'!V966</f>
        <v/>
      </c>
      <c r="C4001" s="84">
        <f>'Timeline'!T966</f>
        <v/>
      </c>
      <c r="D4001" s="46">
        <f>'Timeline'!U966</f>
        <v/>
      </c>
      <c r="E4001" s="46">
        <f>IF(OR(B4001="",C4001="",D4001=""),"",D4001*100000+(C4001-DATE(2000,1,1))+ROW()/100000)</f>
        <v/>
      </c>
      <c r="F4001" s="46">
        <f>IF(E4001="","",IF(C4001&gt;WeekEndDate,"",E4001))</f>
        <v/>
      </c>
    </row>
    <row r="4002">
      <c r="A4002" t="inlineStr">
        <is>
          <t>Timeline</t>
        </is>
      </c>
      <c r="B4002" s="46">
        <f>'Timeline'!V967</f>
        <v/>
      </c>
      <c r="C4002" s="84">
        <f>'Timeline'!T967</f>
        <v/>
      </c>
      <c r="D4002" s="46">
        <f>'Timeline'!U967</f>
        <v/>
      </c>
      <c r="E4002" s="46">
        <f>IF(OR(B4002="",C4002="",D4002=""),"",D4002*100000+(C4002-DATE(2000,1,1))+ROW()/100000)</f>
        <v/>
      </c>
      <c r="F4002" s="46">
        <f>IF(E4002="","",IF(C4002&gt;WeekEndDate,"",E4002))</f>
        <v/>
      </c>
    </row>
    <row r="4003">
      <c r="A4003" t="inlineStr">
        <is>
          <t>Timeline</t>
        </is>
      </c>
      <c r="B4003" s="46">
        <f>'Timeline'!V968</f>
        <v/>
      </c>
      <c r="C4003" s="84">
        <f>'Timeline'!T968</f>
        <v/>
      </c>
      <c r="D4003" s="46">
        <f>'Timeline'!U968</f>
        <v/>
      </c>
      <c r="E4003" s="46">
        <f>IF(OR(B4003="",C4003="",D4003=""),"",D4003*100000+(C4003-DATE(2000,1,1))+ROW()/100000)</f>
        <v/>
      </c>
      <c r="F4003" s="46">
        <f>IF(E4003="","",IF(C4003&gt;WeekEndDate,"",E4003))</f>
        <v/>
      </c>
    </row>
    <row r="4004">
      <c r="A4004" t="inlineStr">
        <is>
          <t>Timeline</t>
        </is>
      </c>
      <c r="B4004" s="46">
        <f>'Timeline'!V969</f>
        <v/>
      </c>
      <c r="C4004" s="84">
        <f>'Timeline'!T969</f>
        <v/>
      </c>
      <c r="D4004" s="46">
        <f>'Timeline'!U969</f>
        <v/>
      </c>
      <c r="E4004" s="46">
        <f>IF(OR(B4004="",C4004="",D4004=""),"",D4004*100000+(C4004-DATE(2000,1,1))+ROW()/100000)</f>
        <v/>
      </c>
      <c r="F4004" s="46">
        <f>IF(E4004="","",IF(C4004&gt;WeekEndDate,"",E4004))</f>
        <v/>
      </c>
    </row>
    <row r="4005">
      <c r="A4005" t="inlineStr">
        <is>
          <t>Timeline</t>
        </is>
      </c>
      <c r="B4005" s="46">
        <f>'Timeline'!V970</f>
        <v/>
      </c>
      <c r="C4005" s="84">
        <f>'Timeline'!T970</f>
        <v/>
      </c>
      <c r="D4005" s="46">
        <f>'Timeline'!U970</f>
        <v/>
      </c>
      <c r="E4005" s="46">
        <f>IF(OR(B4005="",C4005="",D4005=""),"",D4005*100000+(C4005-DATE(2000,1,1))+ROW()/100000)</f>
        <v/>
      </c>
      <c r="F4005" s="46">
        <f>IF(E4005="","",IF(C4005&gt;WeekEndDate,"",E4005))</f>
        <v/>
      </c>
    </row>
    <row r="4006">
      <c r="A4006" t="inlineStr">
        <is>
          <t>Timeline</t>
        </is>
      </c>
      <c r="B4006" s="46">
        <f>'Timeline'!V971</f>
        <v/>
      </c>
      <c r="C4006" s="84">
        <f>'Timeline'!T971</f>
        <v/>
      </c>
      <c r="D4006" s="46">
        <f>'Timeline'!U971</f>
        <v/>
      </c>
      <c r="E4006" s="46">
        <f>IF(OR(B4006="",C4006="",D4006=""),"",D4006*100000+(C4006-DATE(2000,1,1))+ROW()/100000)</f>
        <v/>
      </c>
      <c r="F4006" s="46">
        <f>IF(E4006="","",IF(C4006&gt;WeekEndDate,"",E4006))</f>
        <v/>
      </c>
    </row>
    <row r="4007">
      <c r="A4007" t="inlineStr">
        <is>
          <t>Timeline</t>
        </is>
      </c>
      <c r="B4007" s="46">
        <f>'Timeline'!V972</f>
        <v/>
      </c>
      <c r="C4007" s="84">
        <f>'Timeline'!T972</f>
        <v/>
      </c>
      <c r="D4007" s="46">
        <f>'Timeline'!U972</f>
        <v/>
      </c>
      <c r="E4007" s="46">
        <f>IF(OR(B4007="",C4007="",D4007=""),"",D4007*100000+(C4007-DATE(2000,1,1))+ROW()/100000)</f>
        <v/>
      </c>
      <c r="F4007" s="46">
        <f>IF(E4007="","",IF(C4007&gt;WeekEndDate,"",E4007))</f>
        <v/>
      </c>
    </row>
    <row r="4008">
      <c r="A4008" t="inlineStr">
        <is>
          <t>Timeline</t>
        </is>
      </c>
      <c r="B4008" s="46">
        <f>'Timeline'!V973</f>
        <v/>
      </c>
      <c r="C4008" s="84">
        <f>'Timeline'!T973</f>
        <v/>
      </c>
      <c r="D4008" s="46">
        <f>'Timeline'!U973</f>
        <v/>
      </c>
      <c r="E4008" s="46">
        <f>IF(OR(B4008="",C4008="",D4008=""),"",D4008*100000+(C4008-DATE(2000,1,1))+ROW()/100000)</f>
        <v/>
      </c>
      <c r="F4008" s="46">
        <f>IF(E4008="","",IF(C4008&gt;WeekEndDate,"",E4008))</f>
        <v/>
      </c>
    </row>
    <row r="4009">
      <c r="A4009" t="inlineStr">
        <is>
          <t>Timeline</t>
        </is>
      </c>
      <c r="B4009" s="46">
        <f>'Timeline'!V974</f>
        <v/>
      </c>
      <c r="C4009" s="84">
        <f>'Timeline'!T974</f>
        <v/>
      </c>
      <c r="D4009" s="46">
        <f>'Timeline'!U974</f>
        <v/>
      </c>
      <c r="E4009" s="46">
        <f>IF(OR(B4009="",C4009="",D4009=""),"",D4009*100000+(C4009-DATE(2000,1,1))+ROW()/100000)</f>
        <v/>
      </c>
      <c r="F4009" s="46">
        <f>IF(E4009="","",IF(C4009&gt;WeekEndDate,"",E4009))</f>
        <v/>
      </c>
    </row>
    <row r="4010">
      <c r="A4010" t="inlineStr">
        <is>
          <t>Timeline</t>
        </is>
      </c>
      <c r="B4010" s="46">
        <f>'Timeline'!V975</f>
        <v/>
      </c>
      <c r="C4010" s="84">
        <f>'Timeline'!T975</f>
        <v/>
      </c>
      <c r="D4010" s="46">
        <f>'Timeline'!U975</f>
        <v/>
      </c>
      <c r="E4010" s="46">
        <f>IF(OR(B4010="",C4010="",D4010=""),"",D4010*100000+(C4010-DATE(2000,1,1))+ROW()/100000)</f>
        <v/>
      </c>
      <c r="F4010" s="46">
        <f>IF(E4010="","",IF(C4010&gt;WeekEndDate,"",E4010))</f>
        <v/>
      </c>
    </row>
    <row r="4011">
      <c r="A4011" t="inlineStr">
        <is>
          <t>Timeline</t>
        </is>
      </c>
      <c r="B4011" s="46">
        <f>'Timeline'!V976</f>
        <v/>
      </c>
      <c r="C4011" s="84">
        <f>'Timeline'!T976</f>
        <v/>
      </c>
      <c r="D4011" s="46">
        <f>'Timeline'!U976</f>
        <v/>
      </c>
      <c r="E4011" s="46">
        <f>IF(OR(B4011="",C4011="",D4011=""),"",D4011*100000+(C4011-DATE(2000,1,1))+ROW()/100000)</f>
        <v/>
      </c>
      <c r="F4011" s="46">
        <f>IF(E4011="","",IF(C4011&gt;WeekEndDate,"",E4011))</f>
        <v/>
      </c>
    </row>
    <row r="4012">
      <c r="A4012" t="inlineStr">
        <is>
          <t>Timeline</t>
        </is>
      </c>
      <c r="B4012" s="46">
        <f>'Timeline'!V977</f>
        <v/>
      </c>
      <c r="C4012" s="84">
        <f>'Timeline'!T977</f>
        <v/>
      </c>
      <c r="D4012" s="46">
        <f>'Timeline'!U977</f>
        <v/>
      </c>
      <c r="E4012" s="46">
        <f>IF(OR(B4012="",C4012="",D4012=""),"",D4012*100000+(C4012-DATE(2000,1,1))+ROW()/100000)</f>
        <v/>
      </c>
      <c r="F4012" s="46">
        <f>IF(E4012="","",IF(C4012&gt;WeekEndDate,"",E4012))</f>
        <v/>
      </c>
    </row>
    <row r="4013">
      <c r="A4013" t="inlineStr">
        <is>
          <t>Timeline</t>
        </is>
      </c>
      <c r="B4013" s="46">
        <f>'Timeline'!V978</f>
        <v/>
      </c>
      <c r="C4013" s="84">
        <f>'Timeline'!T978</f>
        <v/>
      </c>
      <c r="D4013" s="46">
        <f>'Timeline'!U978</f>
        <v/>
      </c>
      <c r="E4013" s="46">
        <f>IF(OR(B4013="",C4013="",D4013=""),"",D4013*100000+(C4013-DATE(2000,1,1))+ROW()/100000)</f>
        <v/>
      </c>
      <c r="F4013" s="46">
        <f>IF(E4013="","",IF(C4013&gt;WeekEndDate,"",E4013))</f>
        <v/>
      </c>
    </row>
    <row r="4014">
      <c r="A4014" t="inlineStr">
        <is>
          <t>Timeline</t>
        </is>
      </c>
      <c r="B4014" s="46">
        <f>'Timeline'!V979</f>
        <v/>
      </c>
      <c r="C4014" s="84">
        <f>'Timeline'!T979</f>
        <v/>
      </c>
      <c r="D4014" s="46">
        <f>'Timeline'!U979</f>
        <v/>
      </c>
      <c r="E4014" s="46">
        <f>IF(OR(B4014="",C4014="",D4014=""),"",D4014*100000+(C4014-DATE(2000,1,1))+ROW()/100000)</f>
        <v/>
      </c>
      <c r="F4014" s="46">
        <f>IF(E4014="","",IF(C4014&gt;WeekEndDate,"",E4014))</f>
        <v/>
      </c>
    </row>
    <row r="4015">
      <c r="A4015" t="inlineStr">
        <is>
          <t>Timeline</t>
        </is>
      </c>
      <c r="B4015" s="46">
        <f>'Timeline'!V980</f>
        <v/>
      </c>
      <c r="C4015" s="84">
        <f>'Timeline'!T980</f>
        <v/>
      </c>
      <c r="D4015" s="46">
        <f>'Timeline'!U980</f>
        <v/>
      </c>
      <c r="E4015" s="46">
        <f>IF(OR(B4015="",C4015="",D4015=""),"",D4015*100000+(C4015-DATE(2000,1,1))+ROW()/100000)</f>
        <v/>
      </c>
      <c r="F4015" s="46">
        <f>IF(E4015="","",IF(C4015&gt;WeekEndDate,"",E4015))</f>
        <v/>
      </c>
    </row>
    <row r="4016">
      <c r="A4016" t="inlineStr">
        <is>
          <t>Timeline</t>
        </is>
      </c>
      <c r="B4016" s="46">
        <f>'Timeline'!V981</f>
        <v/>
      </c>
      <c r="C4016" s="84">
        <f>'Timeline'!T981</f>
        <v/>
      </c>
      <c r="D4016" s="46">
        <f>'Timeline'!U981</f>
        <v/>
      </c>
      <c r="E4016" s="46">
        <f>IF(OR(B4016="",C4016="",D4016=""),"",D4016*100000+(C4016-DATE(2000,1,1))+ROW()/100000)</f>
        <v/>
      </c>
      <c r="F4016" s="46">
        <f>IF(E4016="","",IF(C4016&gt;WeekEndDate,"",E4016))</f>
        <v/>
      </c>
    </row>
    <row r="4017">
      <c r="A4017" t="inlineStr">
        <is>
          <t>Timeline</t>
        </is>
      </c>
      <c r="B4017" s="46">
        <f>'Timeline'!V982</f>
        <v/>
      </c>
      <c r="C4017" s="84">
        <f>'Timeline'!T982</f>
        <v/>
      </c>
      <c r="D4017" s="46">
        <f>'Timeline'!U982</f>
        <v/>
      </c>
      <c r="E4017" s="46">
        <f>IF(OR(B4017="",C4017="",D4017=""),"",D4017*100000+(C4017-DATE(2000,1,1))+ROW()/100000)</f>
        <v/>
      </c>
      <c r="F4017" s="46">
        <f>IF(E4017="","",IF(C4017&gt;WeekEndDate,"",E4017))</f>
        <v/>
      </c>
    </row>
    <row r="4018">
      <c r="A4018" t="inlineStr">
        <is>
          <t>Timeline</t>
        </is>
      </c>
      <c r="B4018" s="46">
        <f>'Timeline'!V983</f>
        <v/>
      </c>
      <c r="C4018" s="84">
        <f>'Timeline'!T983</f>
        <v/>
      </c>
      <c r="D4018" s="46">
        <f>'Timeline'!U983</f>
        <v/>
      </c>
      <c r="E4018" s="46">
        <f>IF(OR(B4018="",C4018="",D4018=""),"",D4018*100000+(C4018-DATE(2000,1,1))+ROW()/100000)</f>
        <v/>
      </c>
      <c r="F4018" s="46">
        <f>IF(E4018="","",IF(C4018&gt;WeekEndDate,"",E4018))</f>
        <v/>
      </c>
    </row>
    <row r="4019">
      <c r="A4019" t="inlineStr">
        <is>
          <t>Timeline</t>
        </is>
      </c>
      <c r="B4019" s="46">
        <f>'Timeline'!V984</f>
        <v/>
      </c>
      <c r="C4019" s="84">
        <f>'Timeline'!T984</f>
        <v/>
      </c>
      <c r="D4019" s="46">
        <f>'Timeline'!U984</f>
        <v/>
      </c>
      <c r="E4019" s="46">
        <f>IF(OR(B4019="",C4019="",D4019=""),"",D4019*100000+(C4019-DATE(2000,1,1))+ROW()/100000)</f>
        <v/>
      </c>
      <c r="F4019" s="46">
        <f>IF(E4019="","",IF(C4019&gt;WeekEndDate,"",E4019))</f>
        <v/>
      </c>
    </row>
    <row r="4020">
      <c r="A4020" t="inlineStr">
        <is>
          <t>Timeline</t>
        </is>
      </c>
      <c r="B4020" s="46">
        <f>'Timeline'!V985</f>
        <v/>
      </c>
      <c r="C4020" s="84">
        <f>'Timeline'!T985</f>
        <v/>
      </c>
      <c r="D4020" s="46">
        <f>'Timeline'!U985</f>
        <v/>
      </c>
      <c r="E4020" s="46">
        <f>IF(OR(B4020="",C4020="",D4020=""),"",D4020*100000+(C4020-DATE(2000,1,1))+ROW()/100000)</f>
        <v/>
      </c>
      <c r="F4020" s="46">
        <f>IF(E4020="","",IF(C4020&gt;WeekEndDate,"",E4020))</f>
        <v/>
      </c>
    </row>
    <row r="4021">
      <c r="A4021" t="inlineStr">
        <is>
          <t>Timeline</t>
        </is>
      </c>
      <c r="B4021" s="46">
        <f>'Timeline'!V986</f>
        <v/>
      </c>
      <c r="C4021" s="84">
        <f>'Timeline'!T986</f>
        <v/>
      </c>
      <c r="D4021" s="46">
        <f>'Timeline'!U986</f>
        <v/>
      </c>
      <c r="E4021" s="46">
        <f>IF(OR(B4021="",C4021="",D4021=""),"",D4021*100000+(C4021-DATE(2000,1,1))+ROW()/100000)</f>
        <v/>
      </c>
      <c r="F4021" s="46">
        <f>IF(E4021="","",IF(C4021&gt;WeekEndDate,"",E4021))</f>
        <v/>
      </c>
    </row>
    <row r="4022">
      <c r="A4022" t="inlineStr">
        <is>
          <t>Timeline</t>
        </is>
      </c>
      <c r="B4022" s="46">
        <f>'Timeline'!V987</f>
        <v/>
      </c>
      <c r="C4022" s="84">
        <f>'Timeline'!T987</f>
        <v/>
      </c>
      <c r="D4022" s="46">
        <f>'Timeline'!U987</f>
        <v/>
      </c>
      <c r="E4022" s="46">
        <f>IF(OR(B4022="",C4022="",D4022=""),"",D4022*100000+(C4022-DATE(2000,1,1))+ROW()/100000)</f>
        <v/>
      </c>
      <c r="F4022" s="46">
        <f>IF(E4022="","",IF(C4022&gt;WeekEndDate,"",E4022))</f>
        <v/>
      </c>
    </row>
    <row r="4023">
      <c r="A4023" t="inlineStr">
        <is>
          <t>Timeline</t>
        </is>
      </c>
      <c r="B4023" s="46">
        <f>'Timeline'!V988</f>
        <v/>
      </c>
      <c r="C4023" s="84">
        <f>'Timeline'!T988</f>
        <v/>
      </c>
      <c r="D4023" s="46">
        <f>'Timeline'!U988</f>
        <v/>
      </c>
      <c r="E4023" s="46">
        <f>IF(OR(B4023="",C4023="",D4023=""),"",D4023*100000+(C4023-DATE(2000,1,1))+ROW()/100000)</f>
        <v/>
      </c>
      <c r="F4023" s="46">
        <f>IF(E4023="","",IF(C4023&gt;WeekEndDate,"",E4023))</f>
        <v/>
      </c>
    </row>
    <row r="4024">
      <c r="A4024" t="inlineStr">
        <is>
          <t>Timeline</t>
        </is>
      </c>
      <c r="B4024" s="46">
        <f>'Timeline'!V989</f>
        <v/>
      </c>
      <c r="C4024" s="84">
        <f>'Timeline'!T989</f>
        <v/>
      </c>
      <c r="D4024" s="46">
        <f>'Timeline'!U989</f>
        <v/>
      </c>
      <c r="E4024" s="46">
        <f>IF(OR(B4024="",C4024="",D4024=""),"",D4024*100000+(C4024-DATE(2000,1,1))+ROW()/100000)</f>
        <v/>
      </c>
      <c r="F4024" s="46">
        <f>IF(E4024="","",IF(C4024&gt;WeekEndDate,"",E4024))</f>
        <v/>
      </c>
    </row>
    <row r="4025">
      <c r="A4025" t="inlineStr">
        <is>
          <t>Timeline</t>
        </is>
      </c>
      <c r="B4025" s="46">
        <f>'Timeline'!V990</f>
        <v/>
      </c>
      <c r="C4025" s="84">
        <f>'Timeline'!T990</f>
        <v/>
      </c>
      <c r="D4025" s="46">
        <f>'Timeline'!U990</f>
        <v/>
      </c>
      <c r="E4025" s="46">
        <f>IF(OR(B4025="",C4025="",D4025=""),"",D4025*100000+(C4025-DATE(2000,1,1))+ROW()/100000)</f>
        <v/>
      </c>
      <c r="F4025" s="46">
        <f>IF(E4025="","",IF(C4025&gt;WeekEndDate,"",E4025))</f>
        <v/>
      </c>
    </row>
    <row r="4026">
      <c r="A4026" t="inlineStr">
        <is>
          <t>Timeline</t>
        </is>
      </c>
      <c r="B4026" s="46">
        <f>'Timeline'!V991</f>
        <v/>
      </c>
      <c r="C4026" s="84">
        <f>'Timeline'!T991</f>
        <v/>
      </c>
      <c r="D4026" s="46">
        <f>'Timeline'!U991</f>
        <v/>
      </c>
      <c r="E4026" s="46">
        <f>IF(OR(B4026="",C4026="",D4026=""),"",D4026*100000+(C4026-DATE(2000,1,1))+ROW()/100000)</f>
        <v/>
      </c>
      <c r="F4026" s="46">
        <f>IF(E4026="","",IF(C4026&gt;WeekEndDate,"",E4026))</f>
        <v/>
      </c>
    </row>
    <row r="4027">
      <c r="A4027" t="inlineStr">
        <is>
          <t>Timeline</t>
        </is>
      </c>
      <c r="B4027" s="46">
        <f>'Timeline'!V992</f>
        <v/>
      </c>
      <c r="C4027" s="84">
        <f>'Timeline'!T992</f>
        <v/>
      </c>
      <c r="D4027" s="46">
        <f>'Timeline'!U992</f>
        <v/>
      </c>
      <c r="E4027" s="46">
        <f>IF(OR(B4027="",C4027="",D4027=""),"",D4027*100000+(C4027-DATE(2000,1,1))+ROW()/100000)</f>
        <v/>
      </c>
      <c r="F4027" s="46">
        <f>IF(E4027="","",IF(C4027&gt;WeekEndDate,"",E4027))</f>
        <v/>
      </c>
    </row>
    <row r="4028">
      <c r="A4028" t="inlineStr">
        <is>
          <t>Timeline</t>
        </is>
      </c>
      <c r="B4028" s="46">
        <f>'Timeline'!V993</f>
        <v/>
      </c>
      <c r="C4028" s="84">
        <f>'Timeline'!T993</f>
        <v/>
      </c>
      <c r="D4028" s="46">
        <f>'Timeline'!U993</f>
        <v/>
      </c>
      <c r="E4028" s="46">
        <f>IF(OR(B4028="",C4028="",D4028=""),"",D4028*100000+(C4028-DATE(2000,1,1))+ROW()/100000)</f>
        <v/>
      </c>
      <c r="F4028" s="46">
        <f>IF(E4028="","",IF(C4028&gt;WeekEndDate,"",E4028))</f>
        <v/>
      </c>
    </row>
    <row r="4029">
      <c r="A4029" t="inlineStr">
        <is>
          <t>Timeline</t>
        </is>
      </c>
      <c r="B4029" s="46">
        <f>'Timeline'!V994</f>
        <v/>
      </c>
      <c r="C4029" s="84">
        <f>'Timeline'!T994</f>
        <v/>
      </c>
      <c r="D4029" s="46">
        <f>'Timeline'!U994</f>
        <v/>
      </c>
      <c r="E4029" s="46">
        <f>IF(OR(B4029="",C4029="",D4029=""),"",D4029*100000+(C4029-DATE(2000,1,1))+ROW()/100000)</f>
        <v/>
      </c>
      <c r="F4029" s="46">
        <f>IF(E4029="","",IF(C4029&gt;WeekEndDate,"",E4029))</f>
        <v/>
      </c>
    </row>
    <row r="4030">
      <c r="A4030" t="inlineStr">
        <is>
          <t>Timeline</t>
        </is>
      </c>
      <c r="B4030" s="46">
        <f>'Timeline'!V995</f>
        <v/>
      </c>
      <c r="C4030" s="84">
        <f>'Timeline'!T995</f>
        <v/>
      </c>
      <c r="D4030" s="46">
        <f>'Timeline'!U995</f>
        <v/>
      </c>
      <c r="E4030" s="46">
        <f>IF(OR(B4030="",C4030="",D4030=""),"",D4030*100000+(C4030-DATE(2000,1,1))+ROW()/100000)</f>
        <v/>
      </c>
      <c r="F4030" s="46">
        <f>IF(E4030="","",IF(C4030&gt;WeekEndDate,"",E4030))</f>
        <v/>
      </c>
    </row>
    <row r="4031">
      <c r="A4031" t="inlineStr">
        <is>
          <t>Timeline</t>
        </is>
      </c>
      <c r="B4031" s="46">
        <f>'Timeline'!V996</f>
        <v/>
      </c>
      <c r="C4031" s="84">
        <f>'Timeline'!T996</f>
        <v/>
      </c>
      <c r="D4031" s="46">
        <f>'Timeline'!U996</f>
        <v/>
      </c>
      <c r="E4031" s="46">
        <f>IF(OR(B4031="",C4031="",D4031=""),"",D4031*100000+(C4031-DATE(2000,1,1))+ROW()/100000)</f>
        <v/>
      </c>
      <c r="F4031" s="46">
        <f>IF(E4031="","",IF(C4031&gt;WeekEndDate,"",E4031))</f>
        <v/>
      </c>
    </row>
    <row r="4032">
      <c r="A4032" t="inlineStr">
        <is>
          <t>Timeline</t>
        </is>
      </c>
      <c r="B4032" s="46">
        <f>'Timeline'!V997</f>
        <v/>
      </c>
      <c r="C4032" s="84">
        <f>'Timeline'!T997</f>
        <v/>
      </c>
      <c r="D4032" s="46">
        <f>'Timeline'!U997</f>
        <v/>
      </c>
      <c r="E4032" s="46">
        <f>IF(OR(B4032="",C4032="",D4032=""),"",D4032*100000+(C4032-DATE(2000,1,1))+ROW()/100000)</f>
        <v/>
      </c>
      <c r="F4032" s="46">
        <f>IF(E4032="","",IF(C4032&gt;WeekEndDate,"",E4032))</f>
        <v/>
      </c>
    </row>
    <row r="4033">
      <c r="A4033" t="inlineStr">
        <is>
          <t>Timeline</t>
        </is>
      </c>
      <c r="B4033" s="46">
        <f>'Timeline'!V998</f>
        <v/>
      </c>
      <c r="C4033" s="84">
        <f>'Timeline'!T998</f>
        <v/>
      </c>
      <c r="D4033" s="46">
        <f>'Timeline'!U998</f>
        <v/>
      </c>
      <c r="E4033" s="46">
        <f>IF(OR(B4033="",C4033="",D4033=""),"",D4033*100000+(C4033-DATE(2000,1,1))+ROW()/100000)</f>
        <v/>
      </c>
      <c r="F4033" s="46">
        <f>IF(E4033="","",IF(C4033&gt;WeekEndDate,"",E4033))</f>
        <v/>
      </c>
    </row>
    <row r="4034">
      <c r="A4034" t="inlineStr">
        <is>
          <t>Timeline</t>
        </is>
      </c>
      <c r="B4034" s="46">
        <f>'Timeline'!V999</f>
        <v/>
      </c>
      <c r="C4034" s="84">
        <f>'Timeline'!T999</f>
        <v/>
      </c>
      <c r="D4034" s="46">
        <f>'Timeline'!U999</f>
        <v/>
      </c>
      <c r="E4034" s="46">
        <f>IF(OR(B4034="",C4034="",D4034=""),"",D4034*100000+(C4034-DATE(2000,1,1))+ROW()/100000)</f>
        <v/>
      </c>
      <c r="F4034" s="46">
        <f>IF(E4034="","",IF(C4034&gt;WeekEndDate,"",E4034))</f>
        <v/>
      </c>
    </row>
    <row r="4035">
      <c r="A4035" t="inlineStr">
        <is>
          <t>Timeline</t>
        </is>
      </c>
      <c r="B4035" s="46">
        <f>'Timeline'!V1000</f>
        <v/>
      </c>
      <c r="C4035" s="84">
        <f>'Timeline'!T1000</f>
        <v/>
      </c>
      <c r="D4035" s="46">
        <f>'Timeline'!U1000</f>
        <v/>
      </c>
      <c r="E4035" s="46">
        <f>IF(OR(B4035="",C4035="",D4035=""),"",D4035*100000+(C4035-DATE(2000,1,1))+ROW()/100000)</f>
        <v/>
      </c>
      <c r="F4035" s="46">
        <f>IF(E4035="","",IF(C4035&gt;WeekEndDate,"",E4035))</f>
        <v/>
      </c>
    </row>
    <row r="4036">
      <c r="A4036" t="inlineStr">
        <is>
          <t>Timeline</t>
        </is>
      </c>
      <c r="B4036" s="46">
        <f>'Timeline'!V1001</f>
        <v/>
      </c>
      <c r="C4036" s="84">
        <f>'Timeline'!T1001</f>
        <v/>
      </c>
      <c r="D4036" s="46">
        <f>'Timeline'!U1001</f>
        <v/>
      </c>
      <c r="E4036" s="46">
        <f>IF(OR(B4036="",C4036="",D4036=""),"",D4036*100000+(C4036-DATE(2000,1,1))+ROW()/100000)</f>
        <v/>
      </c>
      <c r="F4036" s="46">
        <f>IF(E4036="","",IF(C4036&gt;WeekEndDate,"",E4036))</f>
        <v/>
      </c>
    </row>
    <row r="4037">
      <c r="A4037" t="inlineStr">
        <is>
          <t>Timeline</t>
        </is>
      </c>
      <c r="B4037" s="46">
        <f>'Timeline'!V1002</f>
        <v/>
      </c>
      <c r="C4037" s="84">
        <f>'Timeline'!T1002</f>
        <v/>
      </c>
      <c r="D4037" s="46">
        <f>'Timeline'!U1002</f>
        <v/>
      </c>
      <c r="E4037" s="46">
        <f>IF(OR(B4037="",C4037="",D4037=""),"",D4037*100000+(C4037-DATE(2000,1,1))+ROW()/100000)</f>
        <v/>
      </c>
      <c r="F4037" s="46">
        <f>IF(E4037="","",IF(C4037&gt;WeekEndDate,"",E4037))</f>
        <v/>
      </c>
    </row>
    <row r="4038">
      <c r="A4038" t="inlineStr">
        <is>
          <t>Timeline</t>
        </is>
      </c>
      <c r="B4038" s="46">
        <f>'Timeline'!V1003</f>
        <v/>
      </c>
      <c r="C4038" s="84">
        <f>'Timeline'!T1003</f>
        <v/>
      </c>
      <c r="D4038" s="46">
        <f>'Timeline'!U1003</f>
        <v/>
      </c>
      <c r="E4038" s="46">
        <f>IF(OR(B4038="",C4038="",D4038=""),"",D4038*100000+(C4038-DATE(2000,1,1))+ROW()/100000)</f>
        <v/>
      </c>
      <c r="F4038" s="46">
        <f>IF(E4038="","",IF(C4038&gt;WeekEndDate,"",E4038))</f>
        <v/>
      </c>
    </row>
    <row r="4039">
      <c r="A4039" t="inlineStr">
        <is>
          <t>Timeline</t>
        </is>
      </c>
      <c r="B4039" s="46">
        <f>'Timeline'!V1004</f>
        <v/>
      </c>
      <c r="C4039" s="84">
        <f>'Timeline'!T1004</f>
        <v/>
      </c>
      <c r="D4039" s="46">
        <f>'Timeline'!U1004</f>
        <v/>
      </c>
      <c r="E4039" s="46">
        <f>IF(OR(B4039="",C4039="",D4039=""),"",D4039*100000+(C4039-DATE(2000,1,1))+ROW()/100000)</f>
        <v/>
      </c>
      <c r="F4039" s="46">
        <f>IF(E4039="","",IF(C4039&gt;WeekEndDate,"",E4039))</f>
        <v/>
      </c>
    </row>
    <row r="4040">
      <c r="A4040" t="inlineStr">
        <is>
          <t>Timeline</t>
        </is>
      </c>
      <c r="B4040" s="46">
        <f>'Timeline'!V1005</f>
        <v/>
      </c>
      <c r="C4040" s="84">
        <f>'Timeline'!T1005</f>
        <v/>
      </c>
      <c r="D4040" s="46">
        <f>'Timeline'!U1005</f>
        <v/>
      </c>
      <c r="E4040" s="46">
        <f>IF(OR(B4040="",C4040="",D4040=""),"",D4040*100000+(C4040-DATE(2000,1,1))+ROW()/100000)</f>
        <v/>
      </c>
      <c r="F4040" s="46">
        <f>IF(E4040="","",IF(C4040&gt;WeekEndDate,"",E4040))</f>
        <v/>
      </c>
    </row>
    <row r="4041">
      <c r="A4041" t="inlineStr">
        <is>
          <t>Timeline</t>
        </is>
      </c>
      <c r="B4041" s="46">
        <f>'Timeline'!V1006</f>
        <v/>
      </c>
      <c r="C4041" s="84">
        <f>'Timeline'!T1006</f>
        <v/>
      </c>
      <c r="D4041" s="46">
        <f>'Timeline'!U1006</f>
        <v/>
      </c>
      <c r="E4041" s="46">
        <f>IF(OR(B4041="",C4041="",D4041=""),"",D4041*100000+(C4041-DATE(2000,1,1))+ROW()/100000)</f>
        <v/>
      </c>
      <c r="F4041" s="46">
        <f>IF(E4041="","",IF(C4041&gt;WeekEndDate,"",E4041))</f>
        <v/>
      </c>
    </row>
    <row r="4042">
      <c r="A4042" t="inlineStr">
        <is>
          <t>Contractors</t>
        </is>
      </c>
      <c r="B4042" s="46">
        <f>'Contractors'!Y6</f>
        <v/>
      </c>
      <c r="C4042" s="84">
        <f>'Contractors'!W6</f>
        <v/>
      </c>
      <c r="D4042" s="46">
        <f>'Contractors'!X6</f>
        <v/>
      </c>
      <c r="E4042" s="46">
        <f>IF(OR(B4042="",C4042="",D4042=""),"",D4042*100000+(C4042-DATE(2000,1,1))+ROW()/100000)</f>
        <v/>
      </c>
      <c r="F4042" s="46">
        <f>IF(E4042="","",IF(C4042&gt;WeekEndDate,"",E4042))</f>
        <v/>
      </c>
    </row>
    <row r="4043">
      <c r="A4043" t="inlineStr">
        <is>
          <t>Contractors</t>
        </is>
      </c>
      <c r="B4043" s="46">
        <f>'Contractors'!Y7</f>
        <v/>
      </c>
      <c r="C4043" s="84">
        <f>'Contractors'!W7</f>
        <v/>
      </c>
      <c r="D4043" s="46">
        <f>'Contractors'!X7</f>
        <v/>
      </c>
      <c r="E4043" s="46">
        <f>IF(OR(B4043="",C4043="",D4043=""),"",D4043*100000+(C4043-DATE(2000,1,1))+ROW()/100000)</f>
        <v/>
      </c>
      <c r="F4043" s="46">
        <f>IF(E4043="","",IF(C4043&gt;WeekEndDate,"",E4043))</f>
        <v/>
      </c>
    </row>
    <row r="4044">
      <c r="A4044" t="inlineStr">
        <is>
          <t>Contractors</t>
        </is>
      </c>
      <c r="B4044" s="46">
        <f>'Contractors'!Y8</f>
        <v/>
      </c>
      <c r="C4044" s="84">
        <f>'Contractors'!W8</f>
        <v/>
      </c>
      <c r="D4044" s="46">
        <f>'Contractors'!X8</f>
        <v/>
      </c>
      <c r="E4044" s="46">
        <f>IF(OR(B4044="",C4044="",D4044=""),"",D4044*100000+(C4044-DATE(2000,1,1))+ROW()/100000)</f>
        <v/>
      </c>
      <c r="F4044" s="46">
        <f>IF(E4044="","",IF(C4044&gt;WeekEndDate,"",E4044))</f>
        <v/>
      </c>
    </row>
    <row r="4045">
      <c r="A4045" t="inlineStr">
        <is>
          <t>Contractors</t>
        </is>
      </c>
      <c r="B4045" s="46">
        <f>'Contractors'!Y9</f>
        <v/>
      </c>
      <c r="C4045" s="84">
        <f>'Contractors'!W9</f>
        <v/>
      </c>
      <c r="D4045" s="46">
        <f>'Contractors'!X9</f>
        <v/>
      </c>
      <c r="E4045" s="46">
        <f>IF(OR(B4045="",C4045="",D4045=""),"",D4045*100000+(C4045-DATE(2000,1,1))+ROW()/100000)</f>
        <v/>
      </c>
      <c r="F4045" s="46">
        <f>IF(E4045="","",IF(C4045&gt;WeekEndDate,"",E4045))</f>
        <v/>
      </c>
    </row>
    <row r="4046">
      <c r="A4046" t="inlineStr">
        <is>
          <t>Contractors</t>
        </is>
      </c>
      <c r="B4046" s="46">
        <f>'Contractors'!Y10</f>
        <v/>
      </c>
      <c r="C4046" s="84">
        <f>'Contractors'!W10</f>
        <v/>
      </c>
      <c r="D4046" s="46">
        <f>'Contractors'!X10</f>
        <v/>
      </c>
      <c r="E4046" s="46">
        <f>IF(OR(B4046="",C4046="",D4046=""),"",D4046*100000+(C4046-DATE(2000,1,1))+ROW()/100000)</f>
        <v/>
      </c>
      <c r="F4046" s="46">
        <f>IF(E4046="","",IF(C4046&gt;WeekEndDate,"",E4046))</f>
        <v/>
      </c>
    </row>
    <row r="4047">
      <c r="A4047" t="inlineStr">
        <is>
          <t>Contractors</t>
        </is>
      </c>
      <c r="B4047" s="46">
        <f>'Contractors'!Y11</f>
        <v/>
      </c>
      <c r="C4047" s="84">
        <f>'Contractors'!W11</f>
        <v/>
      </c>
      <c r="D4047" s="46">
        <f>'Contractors'!X11</f>
        <v/>
      </c>
      <c r="E4047" s="46">
        <f>IF(OR(B4047="",C4047="",D4047=""),"",D4047*100000+(C4047-DATE(2000,1,1))+ROW()/100000)</f>
        <v/>
      </c>
      <c r="F4047" s="46">
        <f>IF(E4047="","",IF(C4047&gt;WeekEndDate,"",E4047))</f>
        <v/>
      </c>
    </row>
    <row r="4048">
      <c r="A4048" t="inlineStr">
        <is>
          <t>Contractors</t>
        </is>
      </c>
      <c r="B4048" s="46">
        <f>'Contractors'!Y12</f>
        <v/>
      </c>
      <c r="C4048" s="84">
        <f>'Contractors'!W12</f>
        <v/>
      </c>
      <c r="D4048" s="46">
        <f>'Contractors'!X12</f>
        <v/>
      </c>
      <c r="E4048" s="46">
        <f>IF(OR(B4048="",C4048="",D4048=""),"",D4048*100000+(C4048-DATE(2000,1,1))+ROW()/100000)</f>
        <v/>
      </c>
      <c r="F4048" s="46">
        <f>IF(E4048="","",IF(C4048&gt;WeekEndDate,"",E4048))</f>
        <v/>
      </c>
    </row>
    <row r="4049">
      <c r="A4049" t="inlineStr">
        <is>
          <t>Contractors</t>
        </is>
      </c>
      <c r="B4049" s="46">
        <f>'Contractors'!Y13</f>
        <v/>
      </c>
      <c r="C4049" s="84">
        <f>'Contractors'!W13</f>
        <v/>
      </c>
      <c r="D4049" s="46">
        <f>'Contractors'!X13</f>
        <v/>
      </c>
      <c r="E4049" s="46">
        <f>IF(OR(B4049="",C4049="",D4049=""),"",D4049*100000+(C4049-DATE(2000,1,1))+ROW()/100000)</f>
        <v/>
      </c>
      <c r="F4049" s="46">
        <f>IF(E4049="","",IF(C4049&gt;WeekEndDate,"",E4049))</f>
        <v/>
      </c>
    </row>
    <row r="4050">
      <c r="A4050" t="inlineStr">
        <is>
          <t>Contractors</t>
        </is>
      </c>
      <c r="B4050" s="46">
        <f>'Contractors'!Y14</f>
        <v/>
      </c>
      <c r="C4050" s="84">
        <f>'Contractors'!W14</f>
        <v/>
      </c>
      <c r="D4050" s="46">
        <f>'Contractors'!X14</f>
        <v/>
      </c>
      <c r="E4050" s="46">
        <f>IF(OR(B4050="",C4050="",D4050=""),"",D4050*100000+(C4050-DATE(2000,1,1))+ROW()/100000)</f>
        <v/>
      </c>
      <c r="F4050" s="46">
        <f>IF(E4050="","",IF(C4050&gt;WeekEndDate,"",E4050))</f>
        <v/>
      </c>
    </row>
    <row r="4051">
      <c r="A4051" t="inlineStr">
        <is>
          <t>Contractors</t>
        </is>
      </c>
      <c r="B4051" s="46">
        <f>'Contractors'!Y15</f>
        <v/>
      </c>
      <c r="C4051" s="84">
        <f>'Contractors'!W15</f>
        <v/>
      </c>
      <c r="D4051" s="46">
        <f>'Contractors'!X15</f>
        <v/>
      </c>
      <c r="E4051" s="46">
        <f>IF(OR(B4051="",C4051="",D4051=""),"",D4051*100000+(C4051-DATE(2000,1,1))+ROW()/100000)</f>
        <v/>
      </c>
      <c r="F4051" s="46">
        <f>IF(E4051="","",IF(C4051&gt;WeekEndDate,"",E4051))</f>
        <v/>
      </c>
    </row>
    <row r="4052">
      <c r="A4052" t="inlineStr">
        <is>
          <t>Contractors</t>
        </is>
      </c>
      <c r="B4052" s="46">
        <f>'Contractors'!Y16</f>
        <v/>
      </c>
      <c r="C4052" s="84">
        <f>'Contractors'!W16</f>
        <v/>
      </c>
      <c r="D4052" s="46">
        <f>'Contractors'!X16</f>
        <v/>
      </c>
      <c r="E4052" s="46">
        <f>IF(OR(B4052="",C4052="",D4052=""),"",D4052*100000+(C4052-DATE(2000,1,1))+ROW()/100000)</f>
        <v/>
      </c>
      <c r="F4052" s="46">
        <f>IF(E4052="","",IF(C4052&gt;WeekEndDate,"",E4052))</f>
        <v/>
      </c>
    </row>
    <row r="4053">
      <c r="A4053" t="inlineStr">
        <is>
          <t>Contractors</t>
        </is>
      </c>
      <c r="B4053" s="46">
        <f>'Contractors'!Y17</f>
        <v/>
      </c>
      <c r="C4053" s="84">
        <f>'Contractors'!W17</f>
        <v/>
      </c>
      <c r="D4053" s="46">
        <f>'Contractors'!X17</f>
        <v/>
      </c>
      <c r="E4053" s="46">
        <f>IF(OR(B4053="",C4053="",D4053=""),"",D4053*100000+(C4053-DATE(2000,1,1))+ROW()/100000)</f>
        <v/>
      </c>
      <c r="F4053" s="46">
        <f>IF(E4053="","",IF(C4053&gt;WeekEndDate,"",E4053))</f>
        <v/>
      </c>
    </row>
    <row r="4054">
      <c r="A4054" t="inlineStr">
        <is>
          <t>Contractors</t>
        </is>
      </c>
      <c r="B4054" s="46">
        <f>'Contractors'!Y18</f>
        <v/>
      </c>
      <c r="C4054" s="84">
        <f>'Contractors'!W18</f>
        <v/>
      </c>
      <c r="D4054" s="46">
        <f>'Contractors'!X18</f>
        <v/>
      </c>
      <c r="E4054" s="46">
        <f>IF(OR(B4054="",C4054="",D4054=""),"",D4054*100000+(C4054-DATE(2000,1,1))+ROW()/100000)</f>
        <v/>
      </c>
      <c r="F4054" s="46">
        <f>IF(E4054="","",IF(C4054&gt;WeekEndDate,"",E4054))</f>
        <v/>
      </c>
    </row>
    <row r="4055">
      <c r="A4055" t="inlineStr">
        <is>
          <t>Contractors</t>
        </is>
      </c>
      <c r="B4055" s="46">
        <f>'Contractors'!Y19</f>
        <v/>
      </c>
      <c r="C4055" s="84">
        <f>'Contractors'!W19</f>
        <v/>
      </c>
      <c r="D4055" s="46">
        <f>'Contractors'!X19</f>
        <v/>
      </c>
      <c r="E4055" s="46">
        <f>IF(OR(B4055="",C4055="",D4055=""),"",D4055*100000+(C4055-DATE(2000,1,1))+ROW()/100000)</f>
        <v/>
      </c>
      <c r="F4055" s="46">
        <f>IF(E4055="","",IF(C4055&gt;WeekEndDate,"",E4055))</f>
        <v/>
      </c>
    </row>
    <row r="4056">
      <c r="A4056" t="inlineStr">
        <is>
          <t>Contractors</t>
        </is>
      </c>
      <c r="B4056" s="46">
        <f>'Contractors'!Y20</f>
        <v/>
      </c>
      <c r="C4056" s="84">
        <f>'Contractors'!W20</f>
        <v/>
      </c>
      <c r="D4056" s="46">
        <f>'Contractors'!X20</f>
        <v/>
      </c>
      <c r="E4056" s="46">
        <f>IF(OR(B4056="",C4056="",D4056=""),"",D4056*100000+(C4056-DATE(2000,1,1))+ROW()/100000)</f>
        <v/>
      </c>
      <c r="F4056" s="46">
        <f>IF(E4056="","",IF(C4056&gt;WeekEndDate,"",E4056))</f>
        <v/>
      </c>
    </row>
    <row r="4057">
      <c r="A4057" t="inlineStr">
        <is>
          <t>Contractors</t>
        </is>
      </c>
      <c r="B4057" s="46">
        <f>'Contractors'!Y21</f>
        <v/>
      </c>
      <c r="C4057" s="84">
        <f>'Contractors'!W21</f>
        <v/>
      </c>
      <c r="D4057" s="46">
        <f>'Contractors'!X21</f>
        <v/>
      </c>
      <c r="E4057" s="46">
        <f>IF(OR(B4057="",C4057="",D4057=""),"",D4057*100000+(C4057-DATE(2000,1,1))+ROW()/100000)</f>
        <v/>
      </c>
      <c r="F4057" s="46">
        <f>IF(E4057="","",IF(C4057&gt;WeekEndDate,"",E4057))</f>
        <v/>
      </c>
    </row>
    <row r="4058">
      <c r="A4058" t="inlineStr">
        <is>
          <t>Contractors</t>
        </is>
      </c>
      <c r="B4058" s="46">
        <f>'Contractors'!Y22</f>
        <v/>
      </c>
      <c r="C4058" s="84">
        <f>'Contractors'!W22</f>
        <v/>
      </c>
      <c r="D4058" s="46">
        <f>'Contractors'!X22</f>
        <v/>
      </c>
      <c r="E4058" s="46">
        <f>IF(OR(B4058="",C4058="",D4058=""),"",D4058*100000+(C4058-DATE(2000,1,1))+ROW()/100000)</f>
        <v/>
      </c>
      <c r="F4058" s="46">
        <f>IF(E4058="","",IF(C4058&gt;WeekEndDate,"",E4058))</f>
        <v/>
      </c>
    </row>
    <row r="4059">
      <c r="A4059" t="inlineStr">
        <is>
          <t>Contractors</t>
        </is>
      </c>
      <c r="B4059" s="46">
        <f>'Contractors'!Y23</f>
        <v/>
      </c>
      <c r="C4059" s="84">
        <f>'Contractors'!W23</f>
        <v/>
      </c>
      <c r="D4059" s="46">
        <f>'Contractors'!X23</f>
        <v/>
      </c>
      <c r="E4059" s="46">
        <f>IF(OR(B4059="",C4059="",D4059=""),"",D4059*100000+(C4059-DATE(2000,1,1))+ROW()/100000)</f>
        <v/>
      </c>
      <c r="F4059" s="46">
        <f>IF(E4059="","",IF(C4059&gt;WeekEndDate,"",E4059))</f>
        <v/>
      </c>
    </row>
    <row r="4060">
      <c r="A4060" t="inlineStr">
        <is>
          <t>Contractors</t>
        </is>
      </c>
      <c r="B4060" s="46">
        <f>'Contractors'!Y24</f>
        <v/>
      </c>
      <c r="C4060" s="84">
        <f>'Contractors'!W24</f>
        <v/>
      </c>
      <c r="D4060" s="46">
        <f>'Contractors'!X24</f>
        <v/>
      </c>
      <c r="E4060" s="46">
        <f>IF(OR(B4060="",C4060="",D4060=""),"",D4060*100000+(C4060-DATE(2000,1,1))+ROW()/100000)</f>
        <v/>
      </c>
      <c r="F4060" s="46">
        <f>IF(E4060="","",IF(C4060&gt;WeekEndDate,"",E4060))</f>
        <v/>
      </c>
    </row>
    <row r="4061">
      <c r="A4061" t="inlineStr">
        <is>
          <t>Contractors</t>
        </is>
      </c>
      <c r="B4061" s="46">
        <f>'Contractors'!Y25</f>
        <v/>
      </c>
      <c r="C4061" s="84">
        <f>'Contractors'!W25</f>
        <v/>
      </c>
      <c r="D4061" s="46">
        <f>'Contractors'!X25</f>
        <v/>
      </c>
      <c r="E4061" s="46">
        <f>IF(OR(B4061="",C4061="",D4061=""),"",D4061*100000+(C4061-DATE(2000,1,1))+ROW()/100000)</f>
        <v/>
      </c>
      <c r="F4061" s="46">
        <f>IF(E4061="","",IF(C4061&gt;WeekEndDate,"",E4061))</f>
        <v/>
      </c>
    </row>
    <row r="4062">
      <c r="A4062" t="inlineStr">
        <is>
          <t>Contractors</t>
        </is>
      </c>
      <c r="B4062" s="46">
        <f>'Contractors'!Y26</f>
        <v/>
      </c>
      <c r="C4062" s="84">
        <f>'Contractors'!W26</f>
        <v/>
      </c>
      <c r="D4062" s="46">
        <f>'Contractors'!X26</f>
        <v/>
      </c>
      <c r="E4062" s="46">
        <f>IF(OR(B4062="",C4062="",D4062=""),"",D4062*100000+(C4062-DATE(2000,1,1))+ROW()/100000)</f>
        <v/>
      </c>
      <c r="F4062" s="46">
        <f>IF(E4062="","",IF(C4062&gt;WeekEndDate,"",E4062))</f>
        <v/>
      </c>
    </row>
    <row r="4063">
      <c r="A4063" t="inlineStr">
        <is>
          <t>Contractors</t>
        </is>
      </c>
      <c r="B4063" s="46">
        <f>'Contractors'!Y27</f>
        <v/>
      </c>
      <c r="C4063" s="84">
        <f>'Contractors'!W27</f>
        <v/>
      </c>
      <c r="D4063" s="46">
        <f>'Contractors'!X27</f>
        <v/>
      </c>
      <c r="E4063" s="46">
        <f>IF(OR(B4063="",C4063="",D4063=""),"",D4063*100000+(C4063-DATE(2000,1,1))+ROW()/100000)</f>
        <v/>
      </c>
      <c r="F4063" s="46">
        <f>IF(E4063="","",IF(C4063&gt;WeekEndDate,"",E4063))</f>
        <v/>
      </c>
    </row>
    <row r="4064">
      <c r="A4064" t="inlineStr">
        <is>
          <t>Contractors</t>
        </is>
      </c>
      <c r="B4064" s="46">
        <f>'Contractors'!Y28</f>
        <v/>
      </c>
      <c r="C4064" s="84">
        <f>'Contractors'!W28</f>
        <v/>
      </c>
      <c r="D4064" s="46">
        <f>'Contractors'!X28</f>
        <v/>
      </c>
      <c r="E4064" s="46">
        <f>IF(OR(B4064="",C4064="",D4064=""),"",D4064*100000+(C4064-DATE(2000,1,1))+ROW()/100000)</f>
        <v/>
      </c>
      <c r="F4064" s="46">
        <f>IF(E4064="","",IF(C4064&gt;WeekEndDate,"",E4064))</f>
        <v/>
      </c>
    </row>
    <row r="4065">
      <c r="A4065" t="inlineStr">
        <is>
          <t>Contractors</t>
        </is>
      </c>
      <c r="B4065" s="46">
        <f>'Contractors'!Y29</f>
        <v/>
      </c>
      <c r="C4065" s="84">
        <f>'Contractors'!W29</f>
        <v/>
      </c>
      <c r="D4065" s="46">
        <f>'Contractors'!X29</f>
        <v/>
      </c>
      <c r="E4065" s="46">
        <f>IF(OR(B4065="",C4065="",D4065=""),"",D4065*100000+(C4065-DATE(2000,1,1))+ROW()/100000)</f>
        <v/>
      </c>
      <c r="F4065" s="46">
        <f>IF(E4065="","",IF(C4065&gt;WeekEndDate,"",E4065))</f>
        <v/>
      </c>
    </row>
    <row r="4066">
      <c r="A4066" t="inlineStr">
        <is>
          <t>Contractors</t>
        </is>
      </c>
      <c r="B4066" s="46">
        <f>'Contractors'!Y30</f>
        <v/>
      </c>
      <c r="C4066" s="84">
        <f>'Contractors'!W30</f>
        <v/>
      </c>
      <c r="D4066" s="46">
        <f>'Contractors'!X30</f>
        <v/>
      </c>
      <c r="E4066" s="46">
        <f>IF(OR(B4066="",C4066="",D4066=""),"",D4066*100000+(C4066-DATE(2000,1,1))+ROW()/100000)</f>
        <v/>
      </c>
      <c r="F4066" s="46">
        <f>IF(E4066="","",IF(C4066&gt;WeekEndDate,"",E4066))</f>
        <v/>
      </c>
    </row>
    <row r="4067">
      <c r="A4067" t="inlineStr">
        <is>
          <t>Contractors</t>
        </is>
      </c>
      <c r="B4067" s="46">
        <f>'Contractors'!Y31</f>
        <v/>
      </c>
      <c r="C4067" s="84">
        <f>'Contractors'!W31</f>
        <v/>
      </c>
      <c r="D4067" s="46">
        <f>'Contractors'!X31</f>
        <v/>
      </c>
      <c r="E4067" s="46">
        <f>IF(OR(B4067="",C4067="",D4067=""),"",D4067*100000+(C4067-DATE(2000,1,1))+ROW()/100000)</f>
        <v/>
      </c>
      <c r="F4067" s="46">
        <f>IF(E4067="","",IF(C4067&gt;WeekEndDate,"",E4067))</f>
        <v/>
      </c>
    </row>
    <row r="4068">
      <c r="A4068" t="inlineStr">
        <is>
          <t>Contractors</t>
        </is>
      </c>
      <c r="B4068" s="46">
        <f>'Contractors'!Y32</f>
        <v/>
      </c>
      <c r="C4068" s="84">
        <f>'Contractors'!W32</f>
        <v/>
      </c>
      <c r="D4068" s="46">
        <f>'Contractors'!X32</f>
        <v/>
      </c>
      <c r="E4068" s="46">
        <f>IF(OR(B4068="",C4068="",D4068=""),"",D4068*100000+(C4068-DATE(2000,1,1))+ROW()/100000)</f>
        <v/>
      </c>
      <c r="F4068" s="46">
        <f>IF(E4068="","",IF(C4068&gt;WeekEndDate,"",E4068))</f>
        <v/>
      </c>
    </row>
    <row r="4069">
      <c r="A4069" t="inlineStr">
        <is>
          <t>Contractors</t>
        </is>
      </c>
      <c r="B4069" s="46">
        <f>'Contractors'!Y33</f>
        <v/>
      </c>
      <c r="C4069" s="84">
        <f>'Contractors'!W33</f>
        <v/>
      </c>
      <c r="D4069" s="46">
        <f>'Contractors'!X33</f>
        <v/>
      </c>
      <c r="E4069" s="46">
        <f>IF(OR(B4069="",C4069="",D4069=""),"",D4069*100000+(C4069-DATE(2000,1,1))+ROW()/100000)</f>
        <v/>
      </c>
      <c r="F4069" s="46">
        <f>IF(E4069="","",IF(C4069&gt;WeekEndDate,"",E4069))</f>
        <v/>
      </c>
    </row>
    <row r="4070">
      <c r="A4070" t="inlineStr">
        <is>
          <t>Contractors</t>
        </is>
      </c>
      <c r="B4070" s="46">
        <f>'Contractors'!Y34</f>
        <v/>
      </c>
      <c r="C4070" s="84">
        <f>'Contractors'!W34</f>
        <v/>
      </c>
      <c r="D4070" s="46">
        <f>'Contractors'!X34</f>
        <v/>
      </c>
      <c r="E4070" s="46">
        <f>IF(OR(B4070="",C4070="",D4070=""),"",D4070*100000+(C4070-DATE(2000,1,1))+ROW()/100000)</f>
        <v/>
      </c>
      <c r="F4070" s="46">
        <f>IF(E4070="","",IF(C4070&gt;WeekEndDate,"",E4070))</f>
        <v/>
      </c>
    </row>
    <row r="4071">
      <c r="A4071" t="inlineStr">
        <is>
          <t>Contractors</t>
        </is>
      </c>
      <c r="B4071" s="46">
        <f>'Contractors'!Y35</f>
        <v/>
      </c>
      <c r="C4071" s="84">
        <f>'Contractors'!W35</f>
        <v/>
      </c>
      <c r="D4071" s="46">
        <f>'Contractors'!X35</f>
        <v/>
      </c>
      <c r="E4071" s="46">
        <f>IF(OR(B4071="",C4071="",D4071=""),"",D4071*100000+(C4071-DATE(2000,1,1))+ROW()/100000)</f>
        <v/>
      </c>
      <c r="F4071" s="46">
        <f>IF(E4071="","",IF(C4071&gt;WeekEndDate,"",E4071))</f>
        <v/>
      </c>
    </row>
    <row r="4072">
      <c r="A4072" t="inlineStr">
        <is>
          <t>Contractors</t>
        </is>
      </c>
      <c r="B4072" s="46">
        <f>'Contractors'!Y36</f>
        <v/>
      </c>
      <c r="C4072" s="84">
        <f>'Contractors'!W36</f>
        <v/>
      </c>
      <c r="D4072" s="46">
        <f>'Contractors'!X36</f>
        <v/>
      </c>
      <c r="E4072" s="46">
        <f>IF(OR(B4072="",C4072="",D4072=""),"",D4072*100000+(C4072-DATE(2000,1,1))+ROW()/100000)</f>
        <v/>
      </c>
      <c r="F4072" s="46">
        <f>IF(E4072="","",IF(C4072&gt;WeekEndDate,"",E4072))</f>
        <v/>
      </c>
    </row>
    <row r="4073">
      <c r="A4073" t="inlineStr">
        <is>
          <t>Contractors</t>
        </is>
      </c>
      <c r="B4073" s="46">
        <f>'Contractors'!Y37</f>
        <v/>
      </c>
      <c r="C4073" s="84">
        <f>'Contractors'!W37</f>
        <v/>
      </c>
      <c r="D4073" s="46">
        <f>'Contractors'!X37</f>
        <v/>
      </c>
      <c r="E4073" s="46">
        <f>IF(OR(B4073="",C4073="",D4073=""),"",D4073*100000+(C4073-DATE(2000,1,1))+ROW()/100000)</f>
        <v/>
      </c>
      <c r="F4073" s="46">
        <f>IF(E4073="","",IF(C4073&gt;WeekEndDate,"",E4073))</f>
        <v/>
      </c>
    </row>
    <row r="4074">
      <c r="A4074" t="inlineStr">
        <is>
          <t>Contractors</t>
        </is>
      </c>
      <c r="B4074" s="46">
        <f>'Contractors'!Y38</f>
        <v/>
      </c>
      <c r="C4074" s="84">
        <f>'Contractors'!W38</f>
        <v/>
      </c>
      <c r="D4074" s="46">
        <f>'Contractors'!X38</f>
        <v/>
      </c>
      <c r="E4074" s="46">
        <f>IF(OR(B4074="",C4074="",D4074=""),"",D4074*100000+(C4074-DATE(2000,1,1))+ROW()/100000)</f>
        <v/>
      </c>
      <c r="F4074" s="46">
        <f>IF(E4074="","",IF(C4074&gt;WeekEndDate,"",E4074))</f>
        <v/>
      </c>
    </row>
    <row r="4075">
      <c r="A4075" t="inlineStr">
        <is>
          <t>Contractors</t>
        </is>
      </c>
      <c r="B4075" s="46">
        <f>'Contractors'!Y39</f>
        <v/>
      </c>
      <c r="C4075" s="84">
        <f>'Contractors'!W39</f>
        <v/>
      </c>
      <c r="D4075" s="46">
        <f>'Contractors'!X39</f>
        <v/>
      </c>
      <c r="E4075" s="46">
        <f>IF(OR(B4075="",C4075="",D4075=""),"",D4075*100000+(C4075-DATE(2000,1,1))+ROW()/100000)</f>
        <v/>
      </c>
      <c r="F4075" s="46">
        <f>IF(E4075="","",IF(C4075&gt;WeekEndDate,"",E4075))</f>
        <v/>
      </c>
    </row>
    <row r="4076">
      <c r="A4076" t="inlineStr">
        <is>
          <t>Contractors</t>
        </is>
      </c>
      <c r="B4076" s="46">
        <f>'Contractors'!Y40</f>
        <v/>
      </c>
      <c r="C4076" s="84">
        <f>'Contractors'!W40</f>
        <v/>
      </c>
      <c r="D4076" s="46">
        <f>'Contractors'!X40</f>
        <v/>
      </c>
      <c r="E4076" s="46">
        <f>IF(OR(B4076="",C4076="",D4076=""),"",D4076*100000+(C4076-DATE(2000,1,1))+ROW()/100000)</f>
        <v/>
      </c>
      <c r="F4076" s="46">
        <f>IF(E4076="","",IF(C4076&gt;WeekEndDate,"",E4076))</f>
        <v/>
      </c>
    </row>
    <row r="4077">
      <c r="A4077" t="inlineStr">
        <is>
          <t>Contractors</t>
        </is>
      </c>
      <c r="B4077" s="46">
        <f>'Contractors'!Y41</f>
        <v/>
      </c>
      <c r="C4077" s="84">
        <f>'Contractors'!W41</f>
        <v/>
      </c>
      <c r="D4077" s="46">
        <f>'Contractors'!X41</f>
        <v/>
      </c>
      <c r="E4077" s="46">
        <f>IF(OR(B4077="",C4077="",D4077=""),"",D4077*100000+(C4077-DATE(2000,1,1))+ROW()/100000)</f>
        <v/>
      </c>
      <c r="F4077" s="46">
        <f>IF(E4077="","",IF(C4077&gt;WeekEndDate,"",E4077))</f>
        <v/>
      </c>
    </row>
    <row r="4078">
      <c r="A4078" t="inlineStr">
        <is>
          <t>Contractors</t>
        </is>
      </c>
      <c r="B4078" s="46">
        <f>'Contractors'!Y42</f>
        <v/>
      </c>
      <c r="C4078" s="84">
        <f>'Contractors'!W42</f>
        <v/>
      </c>
      <c r="D4078" s="46">
        <f>'Contractors'!X42</f>
        <v/>
      </c>
      <c r="E4078" s="46">
        <f>IF(OR(B4078="",C4078="",D4078=""),"",D4078*100000+(C4078-DATE(2000,1,1))+ROW()/100000)</f>
        <v/>
      </c>
      <c r="F4078" s="46">
        <f>IF(E4078="","",IF(C4078&gt;WeekEndDate,"",E4078))</f>
        <v/>
      </c>
    </row>
    <row r="4079">
      <c r="A4079" t="inlineStr">
        <is>
          <t>Contractors</t>
        </is>
      </c>
      <c r="B4079" s="46">
        <f>'Contractors'!Y43</f>
        <v/>
      </c>
      <c r="C4079" s="84">
        <f>'Contractors'!W43</f>
        <v/>
      </c>
      <c r="D4079" s="46">
        <f>'Contractors'!X43</f>
        <v/>
      </c>
      <c r="E4079" s="46">
        <f>IF(OR(B4079="",C4079="",D4079=""),"",D4079*100000+(C4079-DATE(2000,1,1))+ROW()/100000)</f>
        <v/>
      </c>
      <c r="F4079" s="46">
        <f>IF(E4079="","",IF(C4079&gt;WeekEndDate,"",E4079))</f>
        <v/>
      </c>
    </row>
    <row r="4080">
      <c r="A4080" t="inlineStr">
        <is>
          <t>Contractors</t>
        </is>
      </c>
      <c r="B4080" s="46">
        <f>'Contractors'!Y44</f>
        <v/>
      </c>
      <c r="C4080" s="84">
        <f>'Contractors'!W44</f>
        <v/>
      </c>
      <c r="D4080" s="46">
        <f>'Contractors'!X44</f>
        <v/>
      </c>
      <c r="E4080" s="46">
        <f>IF(OR(B4080="",C4080="",D4080=""),"",D4080*100000+(C4080-DATE(2000,1,1))+ROW()/100000)</f>
        <v/>
      </c>
      <c r="F4080" s="46">
        <f>IF(E4080="","",IF(C4080&gt;WeekEndDate,"",E4080))</f>
        <v/>
      </c>
    </row>
    <row r="4081">
      <c r="A4081" t="inlineStr">
        <is>
          <t>Contractors</t>
        </is>
      </c>
      <c r="B4081" s="46">
        <f>'Contractors'!Y45</f>
        <v/>
      </c>
      <c r="C4081" s="84">
        <f>'Contractors'!W45</f>
        <v/>
      </c>
      <c r="D4081" s="46">
        <f>'Contractors'!X45</f>
        <v/>
      </c>
      <c r="E4081" s="46">
        <f>IF(OR(B4081="",C4081="",D4081=""),"",D4081*100000+(C4081-DATE(2000,1,1))+ROW()/100000)</f>
        <v/>
      </c>
      <c r="F4081" s="46">
        <f>IF(E4081="","",IF(C4081&gt;WeekEndDate,"",E4081))</f>
        <v/>
      </c>
    </row>
    <row r="4082">
      <c r="A4082" t="inlineStr">
        <is>
          <t>Contractors</t>
        </is>
      </c>
      <c r="B4082" s="46">
        <f>'Contractors'!Y46</f>
        <v/>
      </c>
      <c r="C4082" s="84">
        <f>'Contractors'!W46</f>
        <v/>
      </c>
      <c r="D4082" s="46">
        <f>'Contractors'!X46</f>
        <v/>
      </c>
      <c r="E4082" s="46">
        <f>IF(OR(B4082="",C4082="",D4082=""),"",D4082*100000+(C4082-DATE(2000,1,1))+ROW()/100000)</f>
        <v/>
      </c>
      <c r="F4082" s="46">
        <f>IF(E4082="","",IF(C4082&gt;WeekEndDate,"",E4082))</f>
        <v/>
      </c>
    </row>
    <row r="4083">
      <c r="A4083" t="inlineStr">
        <is>
          <t>Contractors</t>
        </is>
      </c>
      <c r="B4083" s="46">
        <f>'Contractors'!Y47</f>
        <v/>
      </c>
      <c r="C4083" s="84">
        <f>'Contractors'!W47</f>
        <v/>
      </c>
      <c r="D4083" s="46">
        <f>'Contractors'!X47</f>
        <v/>
      </c>
      <c r="E4083" s="46">
        <f>IF(OR(B4083="",C4083="",D4083=""),"",D4083*100000+(C4083-DATE(2000,1,1))+ROW()/100000)</f>
        <v/>
      </c>
      <c r="F4083" s="46">
        <f>IF(E4083="","",IF(C4083&gt;WeekEndDate,"",E4083))</f>
        <v/>
      </c>
    </row>
    <row r="4084">
      <c r="A4084" t="inlineStr">
        <is>
          <t>Contractors</t>
        </is>
      </c>
      <c r="B4084" s="46">
        <f>'Contractors'!Y48</f>
        <v/>
      </c>
      <c r="C4084" s="84">
        <f>'Contractors'!W48</f>
        <v/>
      </c>
      <c r="D4084" s="46">
        <f>'Contractors'!X48</f>
        <v/>
      </c>
      <c r="E4084" s="46">
        <f>IF(OR(B4084="",C4084="",D4084=""),"",D4084*100000+(C4084-DATE(2000,1,1))+ROW()/100000)</f>
        <v/>
      </c>
      <c r="F4084" s="46">
        <f>IF(E4084="","",IF(C4084&gt;WeekEndDate,"",E4084))</f>
        <v/>
      </c>
    </row>
    <row r="4085">
      <c r="A4085" t="inlineStr">
        <is>
          <t>Contractors</t>
        </is>
      </c>
      <c r="B4085" s="46">
        <f>'Contractors'!Y49</f>
        <v/>
      </c>
      <c r="C4085" s="84">
        <f>'Contractors'!W49</f>
        <v/>
      </c>
      <c r="D4085" s="46">
        <f>'Contractors'!X49</f>
        <v/>
      </c>
      <c r="E4085" s="46">
        <f>IF(OR(B4085="",C4085="",D4085=""),"",D4085*100000+(C4085-DATE(2000,1,1))+ROW()/100000)</f>
        <v/>
      </c>
      <c r="F4085" s="46">
        <f>IF(E4085="","",IF(C4085&gt;WeekEndDate,"",E4085))</f>
        <v/>
      </c>
    </row>
    <row r="4086">
      <c r="A4086" t="inlineStr">
        <is>
          <t>Contractors</t>
        </is>
      </c>
      <c r="B4086" s="46">
        <f>'Contractors'!Y50</f>
        <v/>
      </c>
      <c r="C4086" s="84">
        <f>'Contractors'!W50</f>
        <v/>
      </c>
      <c r="D4086" s="46">
        <f>'Contractors'!X50</f>
        <v/>
      </c>
      <c r="E4086" s="46">
        <f>IF(OR(B4086="",C4086="",D4086=""),"",D4086*100000+(C4086-DATE(2000,1,1))+ROW()/100000)</f>
        <v/>
      </c>
      <c r="F4086" s="46">
        <f>IF(E4086="","",IF(C4086&gt;WeekEndDate,"",E4086))</f>
        <v/>
      </c>
    </row>
    <row r="4087">
      <c r="A4087" t="inlineStr">
        <is>
          <t>Contractors</t>
        </is>
      </c>
      <c r="B4087" s="46">
        <f>'Contractors'!Y51</f>
        <v/>
      </c>
      <c r="C4087" s="84">
        <f>'Contractors'!W51</f>
        <v/>
      </c>
      <c r="D4087" s="46">
        <f>'Contractors'!X51</f>
        <v/>
      </c>
      <c r="E4087" s="46">
        <f>IF(OR(B4087="",C4087="",D4087=""),"",D4087*100000+(C4087-DATE(2000,1,1))+ROW()/100000)</f>
        <v/>
      </c>
      <c r="F4087" s="46">
        <f>IF(E4087="","",IF(C4087&gt;WeekEndDate,"",E4087))</f>
        <v/>
      </c>
    </row>
    <row r="4088">
      <c r="A4088" t="inlineStr">
        <is>
          <t>Contractors</t>
        </is>
      </c>
      <c r="B4088" s="46">
        <f>'Contractors'!Y52</f>
        <v/>
      </c>
      <c r="C4088" s="84">
        <f>'Contractors'!W52</f>
        <v/>
      </c>
      <c r="D4088" s="46">
        <f>'Contractors'!X52</f>
        <v/>
      </c>
      <c r="E4088" s="46">
        <f>IF(OR(B4088="",C4088="",D4088=""),"",D4088*100000+(C4088-DATE(2000,1,1))+ROW()/100000)</f>
        <v/>
      </c>
      <c r="F4088" s="46">
        <f>IF(E4088="","",IF(C4088&gt;WeekEndDate,"",E4088))</f>
        <v/>
      </c>
    </row>
    <row r="4089">
      <c r="A4089" t="inlineStr">
        <is>
          <t>Contractors</t>
        </is>
      </c>
      <c r="B4089" s="46">
        <f>'Contractors'!Y53</f>
        <v/>
      </c>
      <c r="C4089" s="84">
        <f>'Contractors'!W53</f>
        <v/>
      </c>
      <c r="D4089" s="46">
        <f>'Contractors'!X53</f>
        <v/>
      </c>
      <c r="E4089" s="46">
        <f>IF(OR(B4089="",C4089="",D4089=""),"",D4089*100000+(C4089-DATE(2000,1,1))+ROW()/100000)</f>
        <v/>
      </c>
      <c r="F4089" s="46">
        <f>IF(E4089="","",IF(C4089&gt;WeekEndDate,"",E4089))</f>
        <v/>
      </c>
    </row>
    <row r="4090">
      <c r="A4090" t="inlineStr">
        <is>
          <t>Contractors</t>
        </is>
      </c>
      <c r="B4090" s="46">
        <f>'Contractors'!Y54</f>
        <v/>
      </c>
      <c r="C4090" s="84">
        <f>'Contractors'!W54</f>
        <v/>
      </c>
      <c r="D4090" s="46">
        <f>'Contractors'!X54</f>
        <v/>
      </c>
      <c r="E4090" s="46">
        <f>IF(OR(B4090="",C4090="",D4090=""),"",D4090*100000+(C4090-DATE(2000,1,1))+ROW()/100000)</f>
        <v/>
      </c>
      <c r="F4090" s="46">
        <f>IF(E4090="","",IF(C4090&gt;WeekEndDate,"",E4090))</f>
        <v/>
      </c>
    </row>
    <row r="4091">
      <c r="A4091" t="inlineStr">
        <is>
          <t>Contractors</t>
        </is>
      </c>
      <c r="B4091" s="46">
        <f>'Contractors'!Y55</f>
        <v/>
      </c>
      <c r="C4091" s="84">
        <f>'Contractors'!W55</f>
        <v/>
      </c>
      <c r="D4091" s="46">
        <f>'Contractors'!X55</f>
        <v/>
      </c>
      <c r="E4091" s="46">
        <f>IF(OR(B4091="",C4091="",D4091=""),"",D4091*100000+(C4091-DATE(2000,1,1))+ROW()/100000)</f>
        <v/>
      </c>
      <c r="F4091" s="46">
        <f>IF(E4091="","",IF(C4091&gt;WeekEndDate,"",E4091))</f>
        <v/>
      </c>
    </row>
    <row r="4092">
      <c r="A4092" t="inlineStr">
        <is>
          <t>Contractors</t>
        </is>
      </c>
      <c r="B4092" s="46">
        <f>'Contractors'!Y56</f>
        <v/>
      </c>
      <c r="C4092" s="84">
        <f>'Contractors'!W56</f>
        <v/>
      </c>
      <c r="D4092" s="46">
        <f>'Contractors'!X56</f>
        <v/>
      </c>
      <c r="E4092" s="46">
        <f>IF(OR(B4092="",C4092="",D4092=""),"",D4092*100000+(C4092-DATE(2000,1,1))+ROW()/100000)</f>
        <v/>
      </c>
      <c r="F4092" s="46">
        <f>IF(E4092="","",IF(C4092&gt;WeekEndDate,"",E4092))</f>
        <v/>
      </c>
    </row>
    <row r="4093">
      <c r="A4093" t="inlineStr">
        <is>
          <t>Contractors</t>
        </is>
      </c>
      <c r="B4093" s="46">
        <f>'Contractors'!Y57</f>
        <v/>
      </c>
      <c r="C4093" s="84">
        <f>'Contractors'!W57</f>
        <v/>
      </c>
      <c r="D4093" s="46">
        <f>'Contractors'!X57</f>
        <v/>
      </c>
      <c r="E4093" s="46">
        <f>IF(OR(B4093="",C4093="",D4093=""),"",D4093*100000+(C4093-DATE(2000,1,1))+ROW()/100000)</f>
        <v/>
      </c>
      <c r="F4093" s="46">
        <f>IF(E4093="","",IF(C4093&gt;WeekEndDate,"",E4093))</f>
        <v/>
      </c>
    </row>
    <row r="4094">
      <c r="A4094" t="inlineStr">
        <is>
          <t>Contractors</t>
        </is>
      </c>
      <c r="B4094" s="46">
        <f>'Contractors'!Y58</f>
        <v/>
      </c>
      <c r="C4094" s="84">
        <f>'Contractors'!W58</f>
        <v/>
      </c>
      <c r="D4094" s="46">
        <f>'Contractors'!X58</f>
        <v/>
      </c>
      <c r="E4094" s="46">
        <f>IF(OR(B4094="",C4094="",D4094=""),"",D4094*100000+(C4094-DATE(2000,1,1))+ROW()/100000)</f>
        <v/>
      </c>
      <c r="F4094" s="46">
        <f>IF(E4094="","",IF(C4094&gt;WeekEndDate,"",E4094))</f>
        <v/>
      </c>
    </row>
    <row r="4095">
      <c r="A4095" t="inlineStr">
        <is>
          <t>Contractors</t>
        </is>
      </c>
      <c r="B4095" s="46">
        <f>'Contractors'!Y59</f>
        <v/>
      </c>
      <c r="C4095" s="84">
        <f>'Contractors'!W59</f>
        <v/>
      </c>
      <c r="D4095" s="46">
        <f>'Contractors'!X59</f>
        <v/>
      </c>
      <c r="E4095" s="46">
        <f>IF(OR(B4095="",C4095="",D4095=""),"",D4095*100000+(C4095-DATE(2000,1,1))+ROW()/100000)</f>
        <v/>
      </c>
      <c r="F4095" s="46">
        <f>IF(E4095="","",IF(C4095&gt;WeekEndDate,"",E4095))</f>
        <v/>
      </c>
    </row>
    <row r="4096">
      <c r="A4096" t="inlineStr">
        <is>
          <t>Contractors</t>
        </is>
      </c>
      <c r="B4096" s="46">
        <f>'Contractors'!Y60</f>
        <v/>
      </c>
      <c r="C4096" s="84">
        <f>'Contractors'!W60</f>
        <v/>
      </c>
      <c r="D4096" s="46">
        <f>'Contractors'!X60</f>
        <v/>
      </c>
      <c r="E4096" s="46">
        <f>IF(OR(B4096="",C4096="",D4096=""),"",D4096*100000+(C4096-DATE(2000,1,1))+ROW()/100000)</f>
        <v/>
      </c>
      <c r="F4096" s="46">
        <f>IF(E4096="","",IF(C4096&gt;WeekEndDate,"",E4096))</f>
        <v/>
      </c>
    </row>
    <row r="4097">
      <c r="A4097" t="inlineStr">
        <is>
          <t>Contractors</t>
        </is>
      </c>
      <c r="B4097" s="46">
        <f>'Contractors'!Y61</f>
        <v/>
      </c>
      <c r="C4097" s="84">
        <f>'Contractors'!W61</f>
        <v/>
      </c>
      <c r="D4097" s="46">
        <f>'Contractors'!X61</f>
        <v/>
      </c>
      <c r="E4097" s="46">
        <f>IF(OR(B4097="",C4097="",D4097=""),"",D4097*100000+(C4097-DATE(2000,1,1))+ROW()/100000)</f>
        <v/>
      </c>
      <c r="F4097" s="46">
        <f>IF(E4097="","",IF(C4097&gt;WeekEndDate,"",E4097))</f>
        <v/>
      </c>
    </row>
    <row r="4098">
      <c r="A4098" t="inlineStr">
        <is>
          <t>Contractors</t>
        </is>
      </c>
      <c r="B4098" s="46">
        <f>'Contractors'!Y62</f>
        <v/>
      </c>
      <c r="C4098" s="84">
        <f>'Contractors'!W62</f>
        <v/>
      </c>
      <c r="D4098" s="46">
        <f>'Contractors'!X62</f>
        <v/>
      </c>
      <c r="E4098" s="46">
        <f>IF(OR(B4098="",C4098="",D4098=""),"",D4098*100000+(C4098-DATE(2000,1,1))+ROW()/100000)</f>
        <v/>
      </c>
      <c r="F4098" s="46">
        <f>IF(E4098="","",IF(C4098&gt;WeekEndDate,"",E4098))</f>
        <v/>
      </c>
    </row>
    <row r="4099">
      <c r="A4099" t="inlineStr">
        <is>
          <t>Contractors</t>
        </is>
      </c>
      <c r="B4099" s="46">
        <f>'Contractors'!Y63</f>
        <v/>
      </c>
      <c r="C4099" s="84">
        <f>'Contractors'!W63</f>
        <v/>
      </c>
      <c r="D4099" s="46">
        <f>'Contractors'!X63</f>
        <v/>
      </c>
      <c r="E4099" s="46">
        <f>IF(OR(B4099="",C4099="",D4099=""),"",D4099*100000+(C4099-DATE(2000,1,1))+ROW()/100000)</f>
        <v/>
      </c>
      <c r="F4099" s="46">
        <f>IF(E4099="","",IF(C4099&gt;WeekEndDate,"",E4099))</f>
        <v/>
      </c>
    </row>
    <row r="4100">
      <c r="A4100" t="inlineStr">
        <is>
          <t>Contractors</t>
        </is>
      </c>
      <c r="B4100" s="46">
        <f>'Contractors'!Y64</f>
        <v/>
      </c>
      <c r="C4100" s="84">
        <f>'Contractors'!W64</f>
        <v/>
      </c>
      <c r="D4100" s="46">
        <f>'Contractors'!X64</f>
        <v/>
      </c>
      <c r="E4100" s="46">
        <f>IF(OR(B4100="",C4100="",D4100=""),"",D4100*100000+(C4100-DATE(2000,1,1))+ROW()/100000)</f>
        <v/>
      </c>
      <c r="F4100" s="46">
        <f>IF(E4100="","",IF(C4100&gt;WeekEndDate,"",E4100))</f>
        <v/>
      </c>
    </row>
    <row r="4101">
      <c r="A4101" t="inlineStr">
        <is>
          <t>Contractors</t>
        </is>
      </c>
      <c r="B4101" s="46">
        <f>'Contractors'!Y65</f>
        <v/>
      </c>
      <c r="C4101" s="84">
        <f>'Contractors'!W65</f>
        <v/>
      </c>
      <c r="D4101" s="46">
        <f>'Contractors'!X65</f>
        <v/>
      </c>
      <c r="E4101" s="46">
        <f>IF(OR(B4101="",C4101="",D4101=""),"",D4101*100000+(C4101-DATE(2000,1,1))+ROW()/100000)</f>
        <v/>
      </c>
      <c r="F4101" s="46">
        <f>IF(E4101="","",IF(C4101&gt;WeekEndDate,"",E4101))</f>
        <v/>
      </c>
    </row>
    <row r="4102">
      <c r="A4102" t="inlineStr">
        <is>
          <t>Contractors</t>
        </is>
      </c>
      <c r="B4102" s="46">
        <f>'Contractors'!Y66</f>
        <v/>
      </c>
      <c r="C4102" s="84">
        <f>'Contractors'!W66</f>
        <v/>
      </c>
      <c r="D4102" s="46">
        <f>'Contractors'!X66</f>
        <v/>
      </c>
      <c r="E4102" s="46">
        <f>IF(OR(B4102="",C4102="",D4102=""),"",D4102*100000+(C4102-DATE(2000,1,1))+ROW()/100000)</f>
        <v/>
      </c>
      <c r="F4102" s="46">
        <f>IF(E4102="","",IF(C4102&gt;WeekEndDate,"",E4102))</f>
        <v/>
      </c>
    </row>
    <row r="4103">
      <c r="A4103" t="inlineStr">
        <is>
          <t>Contractors</t>
        </is>
      </c>
      <c r="B4103" s="46">
        <f>'Contractors'!Y67</f>
        <v/>
      </c>
      <c r="C4103" s="84">
        <f>'Contractors'!W67</f>
        <v/>
      </c>
      <c r="D4103" s="46">
        <f>'Contractors'!X67</f>
        <v/>
      </c>
      <c r="E4103" s="46">
        <f>IF(OR(B4103="",C4103="",D4103=""),"",D4103*100000+(C4103-DATE(2000,1,1))+ROW()/100000)</f>
        <v/>
      </c>
      <c r="F4103" s="46">
        <f>IF(E4103="","",IF(C4103&gt;WeekEndDate,"",E4103))</f>
        <v/>
      </c>
    </row>
    <row r="4104">
      <c r="A4104" t="inlineStr">
        <is>
          <t>Contractors</t>
        </is>
      </c>
      <c r="B4104" s="46">
        <f>'Contractors'!Y68</f>
        <v/>
      </c>
      <c r="C4104" s="84">
        <f>'Contractors'!W68</f>
        <v/>
      </c>
      <c r="D4104" s="46">
        <f>'Contractors'!X68</f>
        <v/>
      </c>
      <c r="E4104" s="46">
        <f>IF(OR(B4104="",C4104="",D4104=""),"",D4104*100000+(C4104-DATE(2000,1,1))+ROW()/100000)</f>
        <v/>
      </c>
      <c r="F4104" s="46">
        <f>IF(E4104="","",IF(C4104&gt;WeekEndDate,"",E4104))</f>
        <v/>
      </c>
    </row>
    <row r="4105">
      <c r="A4105" t="inlineStr">
        <is>
          <t>Contractors</t>
        </is>
      </c>
      <c r="B4105" s="46">
        <f>'Contractors'!Y69</f>
        <v/>
      </c>
      <c r="C4105" s="84">
        <f>'Contractors'!W69</f>
        <v/>
      </c>
      <c r="D4105" s="46">
        <f>'Contractors'!X69</f>
        <v/>
      </c>
      <c r="E4105" s="46">
        <f>IF(OR(B4105="",C4105="",D4105=""),"",D4105*100000+(C4105-DATE(2000,1,1))+ROW()/100000)</f>
        <v/>
      </c>
      <c r="F4105" s="46">
        <f>IF(E4105="","",IF(C4105&gt;WeekEndDate,"",E4105))</f>
        <v/>
      </c>
    </row>
    <row r="4106">
      <c r="A4106" t="inlineStr">
        <is>
          <t>Contractors</t>
        </is>
      </c>
      <c r="B4106" s="46">
        <f>'Contractors'!Y70</f>
        <v/>
      </c>
      <c r="C4106" s="84">
        <f>'Contractors'!W70</f>
        <v/>
      </c>
      <c r="D4106" s="46">
        <f>'Contractors'!X70</f>
        <v/>
      </c>
      <c r="E4106" s="46">
        <f>IF(OR(B4106="",C4106="",D4106=""),"",D4106*100000+(C4106-DATE(2000,1,1))+ROW()/100000)</f>
        <v/>
      </c>
      <c r="F4106" s="46">
        <f>IF(E4106="","",IF(C4106&gt;WeekEndDate,"",E4106))</f>
        <v/>
      </c>
    </row>
    <row r="4107">
      <c r="A4107" t="inlineStr">
        <is>
          <t>Contractors</t>
        </is>
      </c>
      <c r="B4107" s="46">
        <f>'Contractors'!Y71</f>
        <v/>
      </c>
      <c r="C4107" s="84">
        <f>'Contractors'!W71</f>
        <v/>
      </c>
      <c r="D4107" s="46">
        <f>'Contractors'!X71</f>
        <v/>
      </c>
      <c r="E4107" s="46">
        <f>IF(OR(B4107="",C4107="",D4107=""),"",D4107*100000+(C4107-DATE(2000,1,1))+ROW()/100000)</f>
        <v/>
      </c>
      <c r="F4107" s="46">
        <f>IF(E4107="","",IF(C4107&gt;WeekEndDate,"",E4107))</f>
        <v/>
      </c>
    </row>
    <row r="4108">
      <c r="A4108" t="inlineStr">
        <is>
          <t>Contractors</t>
        </is>
      </c>
      <c r="B4108" s="46">
        <f>'Contractors'!Y72</f>
        <v/>
      </c>
      <c r="C4108" s="84">
        <f>'Contractors'!W72</f>
        <v/>
      </c>
      <c r="D4108" s="46">
        <f>'Contractors'!X72</f>
        <v/>
      </c>
      <c r="E4108" s="46">
        <f>IF(OR(B4108="",C4108="",D4108=""),"",D4108*100000+(C4108-DATE(2000,1,1))+ROW()/100000)</f>
        <v/>
      </c>
      <c r="F4108" s="46">
        <f>IF(E4108="","",IF(C4108&gt;WeekEndDate,"",E4108))</f>
        <v/>
      </c>
    </row>
    <row r="4109">
      <c r="A4109" t="inlineStr">
        <is>
          <t>Contractors</t>
        </is>
      </c>
      <c r="B4109" s="46">
        <f>'Contractors'!Y73</f>
        <v/>
      </c>
      <c r="C4109" s="84">
        <f>'Contractors'!W73</f>
        <v/>
      </c>
      <c r="D4109" s="46">
        <f>'Contractors'!X73</f>
        <v/>
      </c>
      <c r="E4109" s="46">
        <f>IF(OR(B4109="",C4109="",D4109=""),"",D4109*100000+(C4109-DATE(2000,1,1))+ROW()/100000)</f>
        <v/>
      </c>
      <c r="F4109" s="46">
        <f>IF(E4109="","",IF(C4109&gt;WeekEndDate,"",E4109))</f>
        <v/>
      </c>
    </row>
    <row r="4110">
      <c r="A4110" t="inlineStr">
        <is>
          <t>Contractors</t>
        </is>
      </c>
      <c r="B4110" s="46">
        <f>'Contractors'!Y74</f>
        <v/>
      </c>
      <c r="C4110" s="84">
        <f>'Contractors'!W74</f>
        <v/>
      </c>
      <c r="D4110" s="46">
        <f>'Contractors'!X74</f>
        <v/>
      </c>
      <c r="E4110" s="46">
        <f>IF(OR(B4110="",C4110="",D4110=""),"",D4110*100000+(C4110-DATE(2000,1,1))+ROW()/100000)</f>
        <v/>
      </c>
      <c r="F4110" s="46">
        <f>IF(E4110="","",IF(C4110&gt;WeekEndDate,"",E4110))</f>
        <v/>
      </c>
    </row>
    <row r="4111">
      <c r="A4111" t="inlineStr">
        <is>
          <t>Contractors</t>
        </is>
      </c>
      <c r="B4111" s="46">
        <f>'Contractors'!Y75</f>
        <v/>
      </c>
      <c r="C4111" s="84">
        <f>'Contractors'!W75</f>
        <v/>
      </c>
      <c r="D4111" s="46">
        <f>'Contractors'!X75</f>
        <v/>
      </c>
      <c r="E4111" s="46">
        <f>IF(OR(B4111="",C4111="",D4111=""),"",D4111*100000+(C4111-DATE(2000,1,1))+ROW()/100000)</f>
        <v/>
      </c>
      <c r="F4111" s="46">
        <f>IF(E4111="","",IF(C4111&gt;WeekEndDate,"",E4111))</f>
        <v/>
      </c>
    </row>
    <row r="4112">
      <c r="A4112" t="inlineStr">
        <is>
          <t>Contractors</t>
        </is>
      </c>
      <c r="B4112" s="46">
        <f>'Contractors'!Y76</f>
        <v/>
      </c>
      <c r="C4112" s="84">
        <f>'Contractors'!W76</f>
        <v/>
      </c>
      <c r="D4112" s="46">
        <f>'Contractors'!X76</f>
        <v/>
      </c>
      <c r="E4112" s="46">
        <f>IF(OR(B4112="",C4112="",D4112=""),"",D4112*100000+(C4112-DATE(2000,1,1))+ROW()/100000)</f>
        <v/>
      </c>
      <c r="F4112" s="46">
        <f>IF(E4112="","",IF(C4112&gt;WeekEndDate,"",E4112))</f>
        <v/>
      </c>
    </row>
    <row r="4113">
      <c r="A4113" t="inlineStr">
        <is>
          <t>Contractors</t>
        </is>
      </c>
      <c r="B4113" s="46">
        <f>'Contractors'!Y77</f>
        <v/>
      </c>
      <c r="C4113" s="84">
        <f>'Contractors'!W77</f>
        <v/>
      </c>
      <c r="D4113" s="46">
        <f>'Contractors'!X77</f>
        <v/>
      </c>
      <c r="E4113" s="46">
        <f>IF(OR(B4113="",C4113="",D4113=""),"",D4113*100000+(C4113-DATE(2000,1,1))+ROW()/100000)</f>
        <v/>
      </c>
      <c r="F4113" s="46">
        <f>IF(E4113="","",IF(C4113&gt;WeekEndDate,"",E4113))</f>
        <v/>
      </c>
    </row>
    <row r="4114">
      <c r="A4114" t="inlineStr">
        <is>
          <t>Contractors</t>
        </is>
      </c>
      <c r="B4114" s="46">
        <f>'Contractors'!Y78</f>
        <v/>
      </c>
      <c r="C4114" s="84">
        <f>'Contractors'!W78</f>
        <v/>
      </c>
      <c r="D4114" s="46">
        <f>'Contractors'!X78</f>
        <v/>
      </c>
      <c r="E4114" s="46">
        <f>IF(OR(B4114="",C4114="",D4114=""),"",D4114*100000+(C4114-DATE(2000,1,1))+ROW()/100000)</f>
        <v/>
      </c>
      <c r="F4114" s="46">
        <f>IF(E4114="","",IF(C4114&gt;WeekEndDate,"",E4114))</f>
        <v/>
      </c>
    </row>
    <row r="4115">
      <c r="A4115" t="inlineStr">
        <is>
          <t>Contractors</t>
        </is>
      </c>
      <c r="B4115" s="46">
        <f>'Contractors'!Y79</f>
        <v/>
      </c>
      <c r="C4115" s="84">
        <f>'Contractors'!W79</f>
        <v/>
      </c>
      <c r="D4115" s="46">
        <f>'Contractors'!X79</f>
        <v/>
      </c>
      <c r="E4115" s="46">
        <f>IF(OR(B4115="",C4115="",D4115=""),"",D4115*100000+(C4115-DATE(2000,1,1))+ROW()/100000)</f>
        <v/>
      </c>
      <c r="F4115" s="46">
        <f>IF(E4115="","",IF(C4115&gt;WeekEndDate,"",E4115))</f>
        <v/>
      </c>
    </row>
    <row r="4116">
      <c r="A4116" t="inlineStr">
        <is>
          <t>Contractors</t>
        </is>
      </c>
      <c r="B4116" s="46">
        <f>'Contractors'!Y80</f>
        <v/>
      </c>
      <c r="C4116" s="84">
        <f>'Contractors'!W80</f>
        <v/>
      </c>
      <c r="D4116" s="46">
        <f>'Contractors'!X80</f>
        <v/>
      </c>
      <c r="E4116" s="46">
        <f>IF(OR(B4116="",C4116="",D4116=""),"",D4116*100000+(C4116-DATE(2000,1,1))+ROW()/100000)</f>
        <v/>
      </c>
      <c r="F4116" s="46">
        <f>IF(E4116="","",IF(C4116&gt;WeekEndDate,"",E4116))</f>
        <v/>
      </c>
    </row>
    <row r="4117">
      <c r="A4117" t="inlineStr">
        <is>
          <t>Contractors</t>
        </is>
      </c>
      <c r="B4117" s="46">
        <f>'Contractors'!Y81</f>
        <v/>
      </c>
      <c r="C4117" s="84">
        <f>'Contractors'!W81</f>
        <v/>
      </c>
      <c r="D4117" s="46">
        <f>'Contractors'!X81</f>
        <v/>
      </c>
      <c r="E4117" s="46">
        <f>IF(OR(B4117="",C4117="",D4117=""),"",D4117*100000+(C4117-DATE(2000,1,1))+ROW()/100000)</f>
        <v/>
      </c>
      <c r="F4117" s="46">
        <f>IF(E4117="","",IF(C4117&gt;WeekEndDate,"",E4117))</f>
        <v/>
      </c>
    </row>
    <row r="4118">
      <c r="A4118" t="inlineStr">
        <is>
          <t>Contractors</t>
        </is>
      </c>
      <c r="B4118" s="46">
        <f>'Contractors'!Y82</f>
        <v/>
      </c>
      <c r="C4118" s="84">
        <f>'Contractors'!W82</f>
        <v/>
      </c>
      <c r="D4118" s="46">
        <f>'Contractors'!X82</f>
        <v/>
      </c>
      <c r="E4118" s="46">
        <f>IF(OR(B4118="",C4118="",D4118=""),"",D4118*100000+(C4118-DATE(2000,1,1))+ROW()/100000)</f>
        <v/>
      </c>
      <c r="F4118" s="46">
        <f>IF(E4118="","",IF(C4118&gt;WeekEndDate,"",E4118))</f>
        <v/>
      </c>
    </row>
    <row r="4119">
      <c r="A4119" t="inlineStr">
        <is>
          <t>Contractors</t>
        </is>
      </c>
      <c r="B4119" s="46">
        <f>'Contractors'!Y83</f>
        <v/>
      </c>
      <c r="C4119" s="84">
        <f>'Contractors'!W83</f>
        <v/>
      </c>
      <c r="D4119" s="46">
        <f>'Contractors'!X83</f>
        <v/>
      </c>
      <c r="E4119" s="46">
        <f>IF(OR(B4119="",C4119="",D4119=""),"",D4119*100000+(C4119-DATE(2000,1,1))+ROW()/100000)</f>
        <v/>
      </c>
      <c r="F4119" s="46">
        <f>IF(E4119="","",IF(C4119&gt;WeekEndDate,"",E4119))</f>
        <v/>
      </c>
    </row>
    <row r="4120">
      <c r="A4120" t="inlineStr">
        <is>
          <t>Contractors</t>
        </is>
      </c>
      <c r="B4120" s="46">
        <f>'Contractors'!Y84</f>
        <v/>
      </c>
      <c r="C4120" s="84">
        <f>'Contractors'!W84</f>
        <v/>
      </c>
      <c r="D4120" s="46">
        <f>'Contractors'!X84</f>
        <v/>
      </c>
      <c r="E4120" s="46">
        <f>IF(OR(B4120="",C4120="",D4120=""),"",D4120*100000+(C4120-DATE(2000,1,1))+ROW()/100000)</f>
        <v/>
      </c>
      <c r="F4120" s="46">
        <f>IF(E4120="","",IF(C4120&gt;WeekEndDate,"",E4120))</f>
        <v/>
      </c>
    </row>
    <row r="4121">
      <c r="A4121" t="inlineStr">
        <is>
          <t>Contractors</t>
        </is>
      </c>
      <c r="B4121" s="46">
        <f>'Contractors'!Y85</f>
        <v/>
      </c>
      <c r="C4121" s="84">
        <f>'Contractors'!W85</f>
        <v/>
      </c>
      <c r="D4121" s="46">
        <f>'Contractors'!X85</f>
        <v/>
      </c>
      <c r="E4121" s="46">
        <f>IF(OR(B4121="",C4121="",D4121=""),"",D4121*100000+(C4121-DATE(2000,1,1))+ROW()/100000)</f>
        <v/>
      </c>
      <c r="F4121" s="46">
        <f>IF(E4121="","",IF(C4121&gt;WeekEndDate,"",E4121))</f>
        <v/>
      </c>
    </row>
    <row r="4122">
      <c r="A4122" t="inlineStr">
        <is>
          <t>Contractors</t>
        </is>
      </c>
      <c r="B4122" s="46">
        <f>'Contractors'!Y86</f>
        <v/>
      </c>
      <c r="C4122" s="84">
        <f>'Contractors'!W86</f>
        <v/>
      </c>
      <c r="D4122" s="46">
        <f>'Contractors'!X86</f>
        <v/>
      </c>
      <c r="E4122" s="46">
        <f>IF(OR(B4122="",C4122="",D4122=""),"",D4122*100000+(C4122-DATE(2000,1,1))+ROW()/100000)</f>
        <v/>
      </c>
      <c r="F4122" s="46">
        <f>IF(E4122="","",IF(C4122&gt;WeekEndDate,"",E4122))</f>
        <v/>
      </c>
    </row>
    <row r="4123">
      <c r="A4123" t="inlineStr">
        <is>
          <t>Contractors</t>
        </is>
      </c>
      <c r="B4123" s="46">
        <f>'Contractors'!Y87</f>
        <v/>
      </c>
      <c r="C4123" s="84">
        <f>'Contractors'!W87</f>
        <v/>
      </c>
      <c r="D4123" s="46">
        <f>'Contractors'!X87</f>
        <v/>
      </c>
      <c r="E4123" s="46">
        <f>IF(OR(B4123="",C4123="",D4123=""),"",D4123*100000+(C4123-DATE(2000,1,1))+ROW()/100000)</f>
        <v/>
      </c>
      <c r="F4123" s="46">
        <f>IF(E4123="","",IF(C4123&gt;WeekEndDate,"",E4123))</f>
        <v/>
      </c>
    </row>
    <row r="4124">
      <c r="A4124" t="inlineStr">
        <is>
          <t>Contractors</t>
        </is>
      </c>
      <c r="B4124" s="46">
        <f>'Contractors'!Y88</f>
        <v/>
      </c>
      <c r="C4124" s="84">
        <f>'Contractors'!W88</f>
        <v/>
      </c>
      <c r="D4124" s="46">
        <f>'Contractors'!X88</f>
        <v/>
      </c>
      <c r="E4124" s="46">
        <f>IF(OR(B4124="",C4124="",D4124=""),"",D4124*100000+(C4124-DATE(2000,1,1))+ROW()/100000)</f>
        <v/>
      </c>
      <c r="F4124" s="46">
        <f>IF(E4124="","",IF(C4124&gt;WeekEndDate,"",E4124))</f>
        <v/>
      </c>
    </row>
    <row r="4125">
      <c r="A4125" t="inlineStr">
        <is>
          <t>Contractors</t>
        </is>
      </c>
      <c r="B4125" s="46">
        <f>'Contractors'!Y89</f>
        <v/>
      </c>
      <c r="C4125" s="84">
        <f>'Contractors'!W89</f>
        <v/>
      </c>
      <c r="D4125" s="46">
        <f>'Contractors'!X89</f>
        <v/>
      </c>
      <c r="E4125" s="46">
        <f>IF(OR(B4125="",C4125="",D4125=""),"",D4125*100000+(C4125-DATE(2000,1,1))+ROW()/100000)</f>
        <v/>
      </c>
      <c r="F4125" s="46">
        <f>IF(E4125="","",IF(C4125&gt;WeekEndDate,"",E4125))</f>
        <v/>
      </c>
    </row>
    <row r="4126">
      <c r="A4126" t="inlineStr">
        <is>
          <t>Contractors</t>
        </is>
      </c>
      <c r="B4126" s="46">
        <f>'Contractors'!Y90</f>
        <v/>
      </c>
      <c r="C4126" s="84">
        <f>'Contractors'!W90</f>
        <v/>
      </c>
      <c r="D4126" s="46">
        <f>'Contractors'!X90</f>
        <v/>
      </c>
      <c r="E4126" s="46">
        <f>IF(OR(B4126="",C4126="",D4126=""),"",D4126*100000+(C4126-DATE(2000,1,1))+ROW()/100000)</f>
        <v/>
      </c>
      <c r="F4126" s="46">
        <f>IF(E4126="","",IF(C4126&gt;WeekEndDate,"",E4126))</f>
        <v/>
      </c>
    </row>
    <row r="4127">
      <c r="A4127" t="inlineStr">
        <is>
          <t>Contractors</t>
        </is>
      </c>
      <c r="B4127" s="46">
        <f>'Contractors'!Y91</f>
        <v/>
      </c>
      <c r="C4127" s="84">
        <f>'Contractors'!W91</f>
        <v/>
      </c>
      <c r="D4127" s="46">
        <f>'Contractors'!X91</f>
        <v/>
      </c>
      <c r="E4127" s="46">
        <f>IF(OR(B4127="",C4127="",D4127=""),"",D4127*100000+(C4127-DATE(2000,1,1))+ROW()/100000)</f>
        <v/>
      </c>
      <c r="F4127" s="46">
        <f>IF(E4127="","",IF(C4127&gt;WeekEndDate,"",E4127))</f>
        <v/>
      </c>
    </row>
    <row r="4128">
      <c r="A4128" t="inlineStr">
        <is>
          <t>Contractors</t>
        </is>
      </c>
      <c r="B4128" s="46">
        <f>'Contractors'!Y92</f>
        <v/>
      </c>
      <c r="C4128" s="84">
        <f>'Contractors'!W92</f>
        <v/>
      </c>
      <c r="D4128" s="46">
        <f>'Contractors'!X92</f>
        <v/>
      </c>
      <c r="E4128" s="46">
        <f>IF(OR(B4128="",C4128="",D4128=""),"",D4128*100000+(C4128-DATE(2000,1,1))+ROW()/100000)</f>
        <v/>
      </c>
      <c r="F4128" s="46">
        <f>IF(E4128="","",IF(C4128&gt;WeekEndDate,"",E4128))</f>
        <v/>
      </c>
    </row>
    <row r="4129">
      <c r="A4129" t="inlineStr">
        <is>
          <t>Contractors</t>
        </is>
      </c>
      <c r="B4129" s="46">
        <f>'Contractors'!Y93</f>
        <v/>
      </c>
      <c r="C4129" s="84">
        <f>'Contractors'!W93</f>
        <v/>
      </c>
      <c r="D4129" s="46">
        <f>'Contractors'!X93</f>
        <v/>
      </c>
      <c r="E4129" s="46">
        <f>IF(OR(B4129="",C4129="",D4129=""),"",D4129*100000+(C4129-DATE(2000,1,1))+ROW()/100000)</f>
        <v/>
      </c>
      <c r="F4129" s="46">
        <f>IF(E4129="","",IF(C4129&gt;WeekEndDate,"",E4129))</f>
        <v/>
      </c>
    </row>
    <row r="4130">
      <c r="A4130" t="inlineStr">
        <is>
          <t>Contractors</t>
        </is>
      </c>
      <c r="B4130" s="46">
        <f>'Contractors'!Y94</f>
        <v/>
      </c>
      <c r="C4130" s="84">
        <f>'Contractors'!W94</f>
        <v/>
      </c>
      <c r="D4130" s="46">
        <f>'Contractors'!X94</f>
        <v/>
      </c>
      <c r="E4130" s="46">
        <f>IF(OR(B4130="",C4130="",D4130=""),"",D4130*100000+(C4130-DATE(2000,1,1))+ROW()/100000)</f>
        <v/>
      </c>
      <c r="F4130" s="46">
        <f>IF(E4130="","",IF(C4130&gt;WeekEndDate,"",E4130))</f>
        <v/>
      </c>
    </row>
    <row r="4131">
      <c r="A4131" t="inlineStr">
        <is>
          <t>Contractors</t>
        </is>
      </c>
      <c r="B4131" s="46">
        <f>'Contractors'!Y95</f>
        <v/>
      </c>
      <c r="C4131" s="84">
        <f>'Contractors'!W95</f>
        <v/>
      </c>
      <c r="D4131" s="46">
        <f>'Contractors'!X95</f>
        <v/>
      </c>
      <c r="E4131" s="46">
        <f>IF(OR(B4131="",C4131="",D4131=""),"",D4131*100000+(C4131-DATE(2000,1,1))+ROW()/100000)</f>
        <v/>
      </c>
      <c r="F4131" s="46">
        <f>IF(E4131="","",IF(C4131&gt;WeekEndDate,"",E4131))</f>
        <v/>
      </c>
    </row>
    <row r="4132">
      <c r="A4132" t="inlineStr">
        <is>
          <t>Contractors</t>
        </is>
      </c>
      <c r="B4132" s="46">
        <f>'Contractors'!Y96</f>
        <v/>
      </c>
      <c r="C4132" s="84">
        <f>'Contractors'!W96</f>
        <v/>
      </c>
      <c r="D4132" s="46">
        <f>'Contractors'!X96</f>
        <v/>
      </c>
      <c r="E4132" s="46">
        <f>IF(OR(B4132="",C4132="",D4132=""),"",D4132*100000+(C4132-DATE(2000,1,1))+ROW()/100000)</f>
        <v/>
      </c>
      <c r="F4132" s="46">
        <f>IF(E4132="","",IF(C4132&gt;WeekEndDate,"",E4132))</f>
        <v/>
      </c>
    </row>
    <row r="4133">
      <c r="A4133" t="inlineStr">
        <is>
          <t>Contractors</t>
        </is>
      </c>
      <c r="B4133" s="46">
        <f>'Contractors'!Y97</f>
        <v/>
      </c>
      <c r="C4133" s="84">
        <f>'Contractors'!W97</f>
        <v/>
      </c>
      <c r="D4133" s="46">
        <f>'Contractors'!X97</f>
        <v/>
      </c>
      <c r="E4133" s="46">
        <f>IF(OR(B4133="",C4133="",D4133=""),"",D4133*100000+(C4133-DATE(2000,1,1))+ROW()/100000)</f>
        <v/>
      </c>
      <c r="F4133" s="46">
        <f>IF(E4133="","",IF(C4133&gt;WeekEndDate,"",E4133))</f>
        <v/>
      </c>
    </row>
    <row r="4134">
      <c r="A4134" t="inlineStr">
        <is>
          <t>Contractors</t>
        </is>
      </c>
      <c r="B4134" s="46">
        <f>'Contractors'!Y98</f>
        <v/>
      </c>
      <c r="C4134" s="84">
        <f>'Contractors'!W98</f>
        <v/>
      </c>
      <c r="D4134" s="46">
        <f>'Contractors'!X98</f>
        <v/>
      </c>
      <c r="E4134" s="46">
        <f>IF(OR(B4134="",C4134="",D4134=""),"",D4134*100000+(C4134-DATE(2000,1,1))+ROW()/100000)</f>
        <v/>
      </c>
      <c r="F4134" s="46">
        <f>IF(E4134="","",IF(C4134&gt;WeekEndDate,"",E4134))</f>
        <v/>
      </c>
    </row>
    <row r="4135">
      <c r="A4135" t="inlineStr">
        <is>
          <t>Contractors</t>
        </is>
      </c>
      <c r="B4135" s="46">
        <f>'Contractors'!Y99</f>
        <v/>
      </c>
      <c r="C4135" s="84">
        <f>'Contractors'!W99</f>
        <v/>
      </c>
      <c r="D4135" s="46">
        <f>'Contractors'!X99</f>
        <v/>
      </c>
      <c r="E4135" s="46">
        <f>IF(OR(B4135="",C4135="",D4135=""),"",D4135*100000+(C4135-DATE(2000,1,1))+ROW()/100000)</f>
        <v/>
      </c>
      <c r="F4135" s="46">
        <f>IF(E4135="","",IF(C4135&gt;WeekEndDate,"",E4135))</f>
        <v/>
      </c>
    </row>
    <row r="4136">
      <c r="A4136" t="inlineStr">
        <is>
          <t>Contractors</t>
        </is>
      </c>
      <c r="B4136" s="46">
        <f>'Contractors'!Y100</f>
        <v/>
      </c>
      <c r="C4136" s="84">
        <f>'Contractors'!W100</f>
        <v/>
      </c>
      <c r="D4136" s="46">
        <f>'Contractors'!X100</f>
        <v/>
      </c>
      <c r="E4136" s="46">
        <f>IF(OR(B4136="",C4136="",D4136=""),"",D4136*100000+(C4136-DATE(2000,1,1))+ROW()/100000)</f>
        <v/>
      </c>
      <c r="F4136" s="46">
        <f>IF(E4136="","",IF(C4136&gt;WeekEndDate,"",E4136))</f>
        <v/>
      </c>
    </row>
    <row r="4137">
      <c r="A4137" t="inlineStr">
        <is>
          <t>Contractors</t>
        </is>
      </c>
      <c r="B4137" s="46">
        <f>'Contractors'!Y101</f>
        <v/>
      </c>
      <c r="C4137" s="84">
        <f>'Contractors'!W101</f>
        <v/>
      </c>
      <c r="D4137" s="46">
        <f>'Contractors'!X101</f>
        <v/>
      </c>
      <c r="E4137" s="46">
        <f>IF(OR(B4137="",C4137="",D4137=""),"",D4137*100000+(C4137-DATE(2000,1,1))+ROW()/100000)</f>
        <v/>
      </c>
      <c r="F4137" s="46">
        <f>IF(E4137="","",IF(C4137&gt;WeekEndDate,"",E4137))</f>
        <v/>
      </c>
    </row>
    <row r="4138">
      <c r="A4138" t="inlineStr">
        <is>
          <t>Contractors</t>
        </is>
      </c>
      <c r="B4138" s="46">
        <f>'Contractors'!Y102</f>
        <v/>
      </c>
      <c r="C4138" s="84">
        <f>'Contractors'!W102</f>
        <v/>
      </c>
      <c r="D4138" s="46">
        <f>'Contractors'!X102</f>
        <v/>
      </c>
      <c r="E4138" s="46">
        <f>IF(OR(B4138="",C4138="",D4138=""),"",D4138*100000+(C4138-DATE(2000,1,1))+ROW()/100000)</f>
        <v/>
      </c>
      <c r="F4138" s="46">
        <f>IF(E4138="","",IF(C4138&gt;WeekEndDate,"",E4138))</f>
        <v/>
      </c>
    </row>
    <row r="4139">
      <c r="A4139" t="inlineStr">
        <is>
          <t>Contractors</t>
        </is>
      </c>
      <c r="B4139" s="46">
        <f>'Contractors'!Y103</f>
        <v/>
      </c>
      <c r="C4139" s="84">
        <f>'Contractors'!W103</f>
        <v/>
      </c>
      <c r="D4139" s="46">
        <f>'Contractors'!X103</f>
        <v/>
      </c>
      <c r="E4139" s="46">
        <f>IF(OR(B4139="",C4139="",D4139=""),"",D4139*100000+(C4139-DATE(2000,1,1))+ROW()/100000)</f>
        <v/>
      </c>
      <c r="F4139" s="46">
        <f>IF(E4139="","",IF(C4139&gt;WeekEndDate,"",E4139))</f>
        <v/>
      </c>
    </row>
    <row r="4140">
      <c r="A4140" t="inlineStr">
        <is>
          <t>Contractors</t>
        </is>
      </c>
      <c r="B4140" s="46">
        <f>'Contractors'!Y104</f>
        <v/>
      </c>
      <c r="C4140" s="84">
        <f>'Contractors'!W104</f>
        <v/>
      </c>
      <c r="D4140" s="46">
        <f>'Contractors'!X104</f>
        <v/>
      </c>
      <c r="E4140" s="46">
        <f>IF(OR(B4140="",C4140="",D4140=""),"",D4140*100000+(C4140-DATE(2000,1,1))+ROW()/100000)</f>
        <v/>
      </c>
      <c r="F4140" s="46">
        <f>IF(E4140="","",IF(C4140&gt;WeekEndDate,"",E4140))</f>
        <v/>
      </c>
    </row>
    <row r="4141">
      <c r="A4141" t="inlineStr">
        <is>
          <t>Contractors</t>
        </is>
      </c>
      <c r="B4141" s="46">
        <f>'Contractors'!Y105</f>
        <v/>
      </c>
      <c r="C4141" s="84">
        <f>'Contractors'!W105</f>
        <v/>
      </c>
      <c r="D4141" s="46">
        <f>'Contractors'!X105</f>
        <v/>
      </c>
      <c r="E4141" s="46">
        <f>IF(OR(B4141="",C4141="",D4141=""),"",D4141*100000+(C4141-DATE(2000,1,1))+ROW()/100000)</f>
        <v/>
      </c>
      <c r="F4141" s="46">
        <f>IF(E4141="","",IF(C4141&gt;WeekEndDate,"",E4141))</f>
        <v/>
      </c>
    </row>
    <row r="4142">
      <c r="A4142" t="inlineStr">
        <is>
          <t>Contractors</t>
        </is>
      </c>
      <c r="B4142" s="46">
        <f>'Contractors'!Y106</f>
        <v/>
      </c>
      <c r="C4142" s="84">
        <f>'Contractors'!W106</f>
        <v/>
      </c>
      <c r="D4142" s="46">
        <f>'Contractors'!X106</f>
        <v/>
      </c>
      <c r="E4142" s="46">
        <f>IF(OR(B4142="",C4142="",D4142=""),"",D4142*100000+(C4142-DATE(2000,1,1))+ROW()/100000)</f>
        <v/>
      </c>
      <c r="F4142" s="46">
        <f>IF(E4142="","",IF(C4142&gt;WeekEndDate,"",E4142))</f>
        <v/>
      </c>
    </row>
    <row r="4143">
      <c r="A4143" t="inlineStr">
        <is>
          <t>Contractors</t>
        </is>
      </c>
      <c r="B4143" s="46">
        <f>'Contractors'!Y107</f>
        <v/>
      </c>
      <c r="C4143" s="84">
        <f>'Contractors'!W107</f>
        <v/>
      </c>
      <c r="D4143" s="46">
        <f>'Contractors'!X107</f>
        <v/>
      </c>
      <c r="E4143" s="46">
        <f>IF(OR(B4143="",C4143="",D4143=""),"",D4143*100000+(C4143-DATE(2000,1,1))+ROW()/100000)</f>
        <v/>
      </c>
      <c r="F4143" s="46">
        <f>IF(E4143="","",IF(C4143&gt;WeekEndDate,"",E4143))</f>
        <v/>
      </c>
    </row>
    <row r="4144">
      <c r="A4144" t="inlineStr">
        <is>
          <t>Contractors</t>
        </is>
      </c>
      <c r="B4144" s="46">
        <f>'Contractors'!Y108</f>
        <v/>
      </c>
      <c r="C4144" s="84">
        <f>'Contractors'!W108</f>
        <v/>
      </c>
      <c r="D4144" s="46">
        <f>'Contractors'!X108</f>
        <v/>
      </c>
      <c r="E4144" s="46">
        <f>IF(OR(B4144="",C4144="",D4144=""),"",D4144*100000+(C4144-DATE(2000,1,1))+ROW()/100000)</f>
        <v/>
      </c>
      <c r="F4144" s="46">
        <f>IF(E4144="","",IF(C4144&gt;WeekEndDate,"",E4144))</f>
        <v/>
      </c>
    </row>
    <row r="4145">
      <c r="A4145" t="inlineStr">
        <is>
          <t>Contractors</t>
        </is>
      </c>
      <c r="B4145" s="46">
        <f>'Contractors'!Y109</f>
        <v/>
      </c>
      <c r="C4145" s="84">
        <f>'Contractors'!W109</f>
        <v/>
      </c>
      <c r="D4145" s="46">
        <f>'Contractors'!X109</f>
        <v/>
      </c>
      <c r="E4145" s="46">
        <f>IF(OR(B4145="",C4145="",D4145=""),"",D4145*100000+(C4145-DATE(2000,1,1))+ROW()/100000)</f>
        <v/>
      </c>
      <c r="F4145" s="46">
        <f>IF(E4145="","",IF(C4145&gt;WeekEndDate,"",E4145))</f>
        <v/>
      </c>
    </row>
    <row r="4146">
      <c r="A4146" t="inlineStr">
        <is>
          <t>Contractors</t>
        </is>
      </c>
      <c r="B4146" s="46">
        <f>'Contractors'!Y110</f>
        <v/>
      </c>
      <c r="C4146" s="84">
        <f>'Contractors'!W110</f>
        <v/>
      </c>
      <c r="D4146" s="46">
        <f>'Contractors'!X110</f>
        <v/>
      </c>
      <c r="E4146" s="46">
        <f>IF(OR(B4146="",C4146="",D4146=""),"",D4146*100000+(C4146-DATE(2000,1,1))+ROW()/100000)</f>
        <v/>
      </c>
      <c r="F4146" s="46">
        <f>IF(E4146="","",IF(C4146&gt;WeekEndDate,"",E4146))</f>
        <v/>
      </c>
    </row>
    <row r="4147">
      <c r="A4147" t="inlineStr">
        <is>
          <t>Contractors</t>
        </is>
      </c>
      <c r="B4147" s="46">
        <f>'Contractors'!Y111</f>
        <v/>
      </c>
      <c r="C4147" s="84">
        <f>'Contractors'!W111</f>
        <v/>
      </c>
      <c r="D4147" s="46">
        <f>'Contractors'!X111</f>
        <v/>
      </c>
      <c r="E4147" s="46">
        <f>IF(OR(B4147="",C4147="",D4147=""),"",D4147*100000+(C4147-DATE(2000,1,1))+ROW()/100000)</f>
        <v/>
      </c>
      <c r="F4147" s="46">
        <f>IF(E4147="","",IF(C4147&gt;WeekEndDate,"",E4147))</f>
        <v/>
      </c>
    </row>
    <row r="4148">
      <c r="A4148" t="inlineStr">
        <is>
          <t>Contractors</t>
        </is>
      </c>
      <c r="B4148" s="46">
        <f>'Contractors'!Y112</f>
        <v/>
      </c>
      <c r="C4148" s="84">
        <f>'Contractors'!W112</f>
        <v/>
      </c>
      <c r="D4148" s="46">
        <f>'Contractors'!X112</f>
        <v/>
      </c>
      <c r="E4148" s="46">
        <f>IF(OR(B4148="",C4148="",D4148=""),"",D4148*100000+(C4148-DATE(2000,1,1))+ROW()/100000)</f>
        <v/>
      </c>
      <c r="F4148" s="46">
        <f>IF(E4148="","",IF(C4148&gt;WeekEndDate,"",E4148))</f>
        <v/>
      </c>
    </row>
    <row r="4149">
      <c r="A4149" t="inlineStr">
        <is>
          <t>Contractors</t>
        </is>
      </c>
      <c r="B4149" s="46">
        <f>'Contractors'!Y113</f>
        <v/>
      </c>
      <c r="C4149" s="84">
        <f>'Contractors'!W113</f>
        <v/>
      </c>
      <c r="D4149" s="46">
        <f>'Contractors'!X113</f>
        <v/>
      </c>
      <c r="E4149" s="46">
        <f>IF(OR(B4149="",C4149="",D4149=""),"",D4149*100000+(C4149-DATE(2000,1,1))+ROW()/100000)</f>
        <v/>
      </c>
      <c r="F4149" s="46">
        <f>IF(E4149="","",IF(C4149&gt;WeekEndDate,"",E4149))</f>
        <v/>
      </c>
    </row>
    <row r="4150">
      <c r="A4150" t="inlineStr">
        <is>
          <t>Contractors</t>
        </is>
      </c>
      <c r="B4150" s="46">
        <f>'Contractors'!Y114</f>
        <v/>
      </c>
      <c r="C4150" s="84">
        <f>'Contractors'!W114</f>
        <v/>
      </c>
      <c r="D4150" s="46">
        <f>'Contractors'!X114</f>
        <v/>
      </c>
      <c r="E4150" s="46">
        <f>IF(OR(B4150="",C4150="",D4150=""),"",D4150*100000+(C4150-DATE(2000,1,1))+ROW()/100000)</f>
        <v/>
      </c>
      <c r="F4150" s="46">
        <f>IF(E4150="","",IF(C4150&gt;WeekEndDate,"",E4150))</f>
        <v/>
      </c>
    </row>
    <row r="4151">
      <c r="A4151" t="inlineStr">
        <is>
          <t>Contractors</t>
        </is>
      </c>
      <c r="B4151" s="46">
        <f>'Contractors'!Y115</f>
        <v/>
      </c>
      <c r="C4151" s="84">
        <f>'Contractors'!W115</f>
        <v/>
      </c>
      <c r="D4151" s="46">
        <f>'Contractors'!X115</f>
        <v/>
      </c>
      <c r="E4151" s="46">
        <f>IF(OR(B4151="",C4151="",D4151=""),"",D4151*100000+(C4151-DATE(2000,1,1))+ROW()/100000)</f>
        <v/>
      </c>
      <c r="F4151" s="46">
        <f>IF(E4151="","",IF(C4151&gt;WeekEndDate,"",E4151))</f>
        <v/>
      </c>
    </row>
    <row r="4152">
      <c r="A4152" t="inlineStr">
        <is>
          <t>Contractors</t>
        </is>
      </c>
      <c r="B4152" s="46">
        <f>'Contractors'!Y116</f>
        <v/>
      </c>
      <c r="C4152" s="84">
        <f>'Contractors'!W116</f>
        <v/>
      </c>
      <c r="D4152" s="46">
        <f>'Contractors'!X116</f>
        <v/>
      </c>
      <c r="E4152" s="46">
        <f>IF(OR(B4152="",C4152="",D4152=""),"",D4152*100000+(C4152-DATE(2000,1,1))+ROW()/100000)</f>
        <v/>
      </c>
      <c r="F4152" s="46">
        <f>IF(E4152="","",IF(C4152&gt;WeekEndDate,"",E4152))</f>
        <v/>
      </c>
    </row>
    <row r="4153">
      <c r="A4153" t="inlineStr">
        <is>
          <t>Contractors</t>
        </is>
      </c>
      <c r="B4153" s="46">
        <f>'Contractors'!Y117</f>
        <v/>
      </c>
      <c r="C4153" s="84">
        <f>'Contractors'!W117</f>
        <v/>
      </c>
      <c r="D4153" s="46">
        <f>'Contractors'!X117</f>
        <v/>
      </c>
      <c r="E4153" s="46">
        <f>IF(OR(B4153="",C4153="",D4153=""),"",D4153*100000+(C4153-DATE(2000,1,1))+ROW()/100000)</f>
        <v/>
      </c>
      <c r="F4153" s="46">
        <f>IF(E4153="","",IF(C4153&gt;WeekEndDate,"",E4153))</f>
        <v/>
      </c>
    </row>
    <row r="4154">
      <c r="A4154" t="inlineStr">
        <is>
          <t>Contractors</t>
        </is>
      </c>
      <c r="B4154" s="46">
        <f>'Contractors'!Y118</f>
        <v/>
      </c>
      <c r="C4154" s="84">
        <f>'Contractors'!W118</f>
        <v/>
      </c>
      <c r="D4154" s="46">
        <f>'Contractors'!X118</f>
        <v/>
      </c>
      <c r="E4154" s="46">
        <f>IF(OR(B4154="",C4154="",D4154=""),"",D4154*100000+(C4154-DATE(2000,1,1))+ROW()/100000)</f>
        <v/>
      </c>
      <c r="F4154" s="46">
        <f>IF(E4154="","",IF(C4154&gt;WeekEndDate,"",E4154))</f>
        <v/>
      </c>
    </row>
    <row r="4155">
      <c r="A4155" t="inlineStr">
        <is>
          <t>Contractors</t>
        </is>
      </c>
      <c r="B4155" s="46">
        <f>'Contractors'!Y119</f>
        <v/>
      </c>
      <c r="C4155" s="84">
        <f>'Contractors'!W119</f>
        <v/>
      </c>
      <c r="D4155" s="46">
        <f>'Contractors'!X119</f>
        <v/>
      </c>
      <c r="E4155" s="46">
        <f>IF(OR(B4155="",C4155="",D4155=""),"",D4155*100000+(C4155-DATE(2000,1,1))+ROW()/100000)</f>
        <v/>
      </c>
      <c r="F4155" s="46">
        <f>IF(E4155="","",IF(C4155&gt;WeekEndDate,"",E4155))</f>
        <v/>
      </c>
    </row>
    <row r="4156">
      <c r="A4156" t="inlineStr">
        <is>
          <t>Contractors</t>
        </is>
      </c>
      <c r="B4156" s="46">
        <f>'Contractors'!Y120</f>
        <v/>
      </c>
      <c r="C4156" s="84">
        <f>'Contractors'!W120</f>
        <v/>
      </c>
      <c r="D4156" s="46">
        <f>'Contractors'!X120</f>
        <v/>
      </c>
      <c r="E4156" s="46">
        <f>IF(OR(B4156="",C4156="",D4156=""),"",D4156*100000+(C4156-DATE(2000,1,1))+ROW()/100000)</f>
        <v/>
      </c>
      <c r="F4156" s="46">
        <f>IF(E4156="","",IF(C4156&gt;WeekEndDate,"",E4156))</f>
        <v/>
      </c>
    </row>
    <row r="4157">
      <c r="A4157" t="inlineStr">
        <is>
          <t>Contractors</t>
        </is>
      </c>
      <c r="B4157" s="46">
        <f>'Contractors'!Y121</f>
        <v/>
      </c>
      <c r="C4157" s="84">
        <f>'Contractors'!W121</f>
        <v/>
      </c>
      <c r="D4157" s="46">
        <f>'Contractors'!X121</f>
        <v/>
      </c>
      <c r="E4157" s="46">
        <f>IF(OR(B4157="",C4157="",D4157=""),"",D4157*100000+(C4157-DATE(2000,1,1))+ROW()/100000)</f>
        <v/>
      </c>
      <c r="F4157" s="46">
        <f>IF(E4157="","",IF(C4157&gt;WeekEndDate,"",E4157))</f>
        <v/>
      </c>
    </row>
    <row r="4158">
      <c r="A4158" t="inlineStr">
        <is>
          <t>Contractors</t>
        </is>
      </c>
      <c r="B4158" s="46">
        <f>'Contractors'!Y122</f>
        <v/>
      </c>
      <c r="C4158" s="84">
        <f>'Contractors'!W122</f>
        <v/>
      </c>
      <c r="D4158" s="46">
        <f>'Contractors'!X122</f>
        <v/>
      </c>
      <c r="E4158" s="46">
        <f>IF(OR(B4158="",C4158="",D4158=""),"",D4158*100000+(C4158-DATE(2000,1,1))+ROW()/100000)</f>
        <v/>
      </c>
      <c r="F4158" s="46">
        <f>IF(E4158="","",IF(C4158&gt;WeekEndDate,"",E4158))</f>
        <v/>
      </c>
    </row>
    <row r="4159">
      <c r="A4159" t="inlineStr">
        <is>
          <t>Contractors</t>
        </is>
      </c>
      <c r="B4159" s="46">
        <f>'Contractors'!Y123</f>
        <v/>
      </c>
      <c r="C4159" s="84">
        <f>'Contractors'!W123</f>
        <v/>
      </c>
      <c r="D4159" s="46">
        <f>'Contractors'!X123</f>
        <v/>
      </c>
      <c r="E4159" s="46">
        <f>IF(OR(B4159="",C4159="",D4159=""),"",D4159*100000+(C4159-DATE(2000,1,1))+ROW()/100000)</f>
        <v/>
      </c>
      <c r="F4159" s="46">
        <f>IF(E4159="","",IF(C4159&gt;WeekEndDate,"",E4159))</f>
        <v/>
      </c>
    </row>
    <row r="4160">
      <c r="A4160" t="inlineStr">
        <is>
          <t>Contractors</t>
        </is>
      </c>
      <c r="B4160" s="46">
        <f>'Contractors'!Y124</f>
        <v/>
      </c>
      <c r="C4160" s="84">
        <f>'Contractors'!W124</f>
        <v/>
      </c>
      <c r="D4160" s="46">
        <f>'Contractors'!X124</f>
        <v/>
      </c>
      <c r="E4160" s="46">
        <f>IF(OR(B4160="",C4160="",D4160=""),"",D4160*100000+(C4160-DATE(2000,1,1))+ROW()/100000)</f>
        <v/>
      </c>
      <c r="F4160" s="46">
        <f>IF(E4160="","",IF(C4160&gt;WeekEndDate,"",E4160))</f>
        <v/>
      </c>
    </row>
    <row r="4161">
      <c r="A4161" t="inlineStr">
        <is>
          <t>Contractors</t>
        </is>
      </c>
      <c r="B4161" s="46">
        <f>'Contractors'!Y125</f>
        <v/>
      </c>
      <c r="C4161" s="84">
        <f>'Contractors'!W125</f>
        <v/>
      </c>
      <c r="D4161" s="46">
        <f>'Contractors'!X125</f>
        <v/>
      </c>
      <c r="E4161" s="46">
        <f>IF(OR(B4161="",C4161="",D4161=""),"",D4161*100000+(C4161-DATE(2000,1,1))+ROW()/100000)</f>
        <v/>
      </c>
      <c r="F4161" s="46">
        <f>IF(E4161="","",IF(C4161&gt;WeekEndDate,"",E4161))</f>
        <v/>
      </c>
    </row>
    <row r="4162">
      <c r="A4162" t="inlineStr">
        <is>
          <t>Contractors</t>
        </is>
      </c>
      <c r="B4162" s="46">
        <f>'Contractors'!Y126</f>
        <v/>
      </c>
      <c r="C4162" s="84">
        <f>'Contractors'!W126</f>
        <v/>
      </c>
      <c r="D4162" s="46">
        <f>'Contractors'!X126</f>
        <v/>
      </c>
      <c r="E4162" s="46">
        <f>IF(OR(B4162="",C4162="",D4162=""),"",D4162*100000+(C4162-DATE(2000,1,1))+ROW()/100000)</f>
        <v/>
      </c>
      <c r="F4162" s="46">
        <f>IF(E4162="","",IF(C4162&gt;WeekEndDate,"",E4162))</f>
        <v/>
      </c>
    </row>
    <row r="4163">
      <c r="A4163" t="inlineStr">
        <is>
          <t>Contractors</t>
        </is>
      </c>
      <c r="B4163" s="46">
        <f>'Contractors'!Y127</f>
        <v/>
      </c>
      <c r="C4163" s="84">
        <f>'Contractors'!W127</f>
        <v/>
      </c>
      <c r="D4163" s="46">
        <f>'Contractors'!X127</f>
        <v/>
      </c>
      <c r="E4163" s="46">
        <f>IF(OR(B4163="",C4163="",D4163=""),"",D4163*100000+(C4163-DATE(2000,1,1))+ROW()/100000)</f>
        <v/>
      </c>
      <c r="F4163" s="46">
        <f>IF(E4163="","",IF(C4163&gt;WeekEndDate,"",E4163))</f>
        <v/>
      </c>
    </row>
    <row r="4164">
      <c r="A4164" t="inlineStr">
        <is>
          <t>Contractors</t>
        </is>
      </c>
      <c r="B4164" s="46">
        <f>'Contractors'!Y128</f>
        <v/>
      </c>
      <c r="C4164" s="84">
        <f>'Contractors'!W128</f>
        <v/>
      </c>
      <c r="D4164" s="46">
        <f>'Contractors'!X128</f>
        <v/>
      </c>
      <c r="E4164" s="46">
        <f>IF(OR(B4164="",C4164="",D4164=""),"",D4164*100000+(C4164-DATE(2000,1,1))+ROW()/100000)</f>
        <v/>
      </c>
      <c r="F4164" s="46">
        <f>IF(E4164="","",IF(C4164&gt;WeekEndDate,"",E4164))</f>
        <v/>
      </c>
    </row>
    <row r="4165">
      <c r="A4165" t="inlineStr">
        <is>
          <t>Contractors</t>
        </is>
      </c>
      <c r="B4165" s="46">
        <f>'Contractors'!Y129</f>
        <v/>
      </c>
      <c r="C4165" s="84">
        <f>'Contractors'!W129</f>
        <v/>
      </c>
      <c r="D4165" s="46">
        <f>'Contractors'!X129</f>
        <v/>
      </c>
      <c r="E4165" s="46">
        <f>IF(OR(B4165="",C4165="",D4165=""),"",D4165*100000+(C4165-DATE(2000,1,1))+ROW()/100000)</f>
        <v/>
      </c>
      <c r="F4165" s="46">
        <f>IF(E4165="","",IF(C4165&gt;WeekEndDate,"",E4165))</f>
        <v/>
      </c>
    </row>
    <row r="4166">
      <c r="A4166" t="inlineStr">
        <is>
          <t>Contractors</t>
        </is>
      </c>
      <c r="B4166" s="46">
        <f>'Contractors'!Y130</f>
        <v/>
      </c>
      <c r="C4166" s="84">
        <f>'Contractors'!W130</f>
        <v/>
      </c>
      <c r="D4166" s="46">
        <f>'Contractors'!X130</f>
        <v/>
      </c>
      <c r="E4166" s="46">
        <f>IF(OR(B4166="",C4166="",D4166=""),"",D4166*100000+(C4166-DATE(2000,1,1))+ROW()/100000)</f>
        <v/>
      </c>
      <c r="F4166" s="46">
        <f>IF(E4166="","",IF(C4166&gt;WeekEndDate,"",E4166))</f>
        <v/>
      </c>
    </row>
    <row r="4167">
      <c r="A4167" t="inlineStr">
        <is>
          <t>Contractors</t>
        </is>
      </c>
      <c r="B4167" s="46">
        <f>'Contractors'!Y131</f>
        <v/>
      </c>
      <c r="C4167" s="84">
        <f>'Contractors'!W131</f>
        <v/>
      </c>
      <c r="D4167" s="46">
        <f>'Contractors'!X131</f>
        <v/>
      </c>
      <c r="E4167" s="46">
        <f>IF(OR(B4167="",C4167="",D4167=""),"",D4167*100000+(C4167-DATE(2000,1,1))+ROW()/100000)</f>
        <v/>
      </c>
      <c r="F4167" s="46">
        <f>IF(E4167="","",IF(C4167&gt;WeekEndDate,"",E4167))</f>
        <v/>
      </c>
    </row>
    <row r="4168">
      <c r="A4168" t="inlineStr">
        <is>
          <t>Contractors</t>
        </is>
      </c>
      <c r="B4168" s="46">
        <f>'Contractors'!Y132</f>
        <v/>
      </c>
      <c r="C4168" s="84">
        <f>'Contractors'!W132</f>
        <v/>
      </c>
      <c r="D4168" s="46">
        <f>'Contractors'!X132</f>
        <v/>
      </c>
      <c r="E4168" s="46">
        <f>IF(OR(B4168="",C4168="",D4168=""),"",D4168*100000+(C4168-DATE(2000,1,1))+ROW()/100000)</f>
        <v/>
      </c>
      <c r="F4168" s="46">
        <f>IF(E4168="","",IF(C4168&gt;WeekEndDate,"",E4168))</f>
        <v/>
      </c>
    </row>
    <row r="4169">
      <c r="A4169" t="inlineStr">
        <is>
          <t>Contractors</t>
        </is>
      </c>
      <c r="B4169" s="46">
        <f>'Contractors'!Y133</f>
        <v/>
      </c>
      <c r="C4169" s="84">
        <f>'Contractors'!W133</f>
        <v/>
      </c>
      <c r="D4169" s="46">
        <f>'Contractors'!X133</f>
        <v/>
      </c>
      <c r="E4169" s="46">
        <f>IF(OR(B4169="",C4169="",D4169=""),"",D4169*100000+(C4169-DATE(2000,1,1))+ROW()/100000)</f>
        <v/>
      </c>
      <c r="F4169" s="46">
        <f>IF(E4169="","",IF(C4169&gt;WeekEndDate,"",E4169))</f>
        <v/>
      </c>
    </row>
    <row r="4170">
      <c r="A4170" t="inlineStr">
        <is>
          <t>Contractors</t>
        </is>
      </c>
      <c r="B4170" s="46">
        <f>'Contractors'!Y134</f>
        <v/>
      </c>
      <c r="C4170" s="84">
        <f>'Contractors'!W134</f>
        <v/>
      </c>
      <c r="D4170" s="46">
        <f>'Contractors'!X134</f>
        <v/>
      </c>
      <c r="E4170" s="46">
        <f>IF(OR(B4170="",C4170="",D4170=""),"",D4170*100000+(C4170-DATE(2000,1,1))+ROW()/100000)</f>
        <v/>
      </c>
      <c r="F4170" s="46">
        <f>IF(E4170="","",IF(C4170&gt;WeekEndDate,"",E4170))</f>
        <v/>
      </c>
    </row>
    <row r="4171">
      <c r="A4171" t="inlineStr">
        <is>
          <t>Contractors</t>
        </is>
      </c>
      <c r="B4171" s="46">
        <f>'Contractors'!Y135</f>
        <v/>
      </c>
      <c r="C4171" s="84">
        <f>'Contractors'!W135</f>
        <v/>
      </c>
      <c r="D4171" s="46">
        <f>'Contractors'!X135</f>
        <v/>
      </c>
      <c r="E4171" s="46">
        <f>IF(OR(B4171="",C4171="",D4171=""),"",D4171*100000+(C4171-DATE(2000,1,1))+ROW()/100000)</f>
        <v/>
      </c>
      <c r="F4171" s="46">
        <f>IF(E4171="","",IF(C4171&gt;WeekEndDate,"",E4171))</f>
        <v/>
      </c>
    </row>
    <row r="4172">
      <c r="A4172" t="inlineStr">
        <is>
          <t>Contractors</t>
        </is>
      </c>
      <c r="B4172" s="46">
        <f>'Contractors'!Y136</f>
        <v/>
      </c>
      <c r="C4172" s="84">
        <f>'Contractors'!W136</f>
        <v/>
      </c>
      <c r="D4172" s="46">
        <f>'Contractors'!X136</f>
        <v/>
      </c>
      <c r="E4172" s="46">
        <f>IF(OR(B4172="",C4172="",D4172=""),"",D4172*100000+(C4172-DATE(2000,1,1))+ROW()/100000)</f>
        <v/>
      </c>
      <c r="F4172" s="46">
        <f>IF(E4172="","",IF(C4172&gt;WeekEndDate,"",E4172))</f>
        <v/>
      </c>
    </row>
    <row r="4173">
      <c r="A4173" t="inlineStr">
        <is>
          <t>Contractors</t>
        </is>
      </c>
      <c r="B4173" s="46">
        <f>'Contractors'!Y137</f>
        <v/>
      </c>
      <c r="C4173" s="84">
        <f>'Contractors'!W137</f>
        <v/>
      </c>
      <c r="D4173" s="46">
        <f>'Contractors'!X137</f>
        <v/>
      </c>
      <c r="E4173" s="46">
        <f>IF(OR(B4173="",C4173="",D4173=""),"",D4173*100000+(C4173-DATE(2000,1,1))+ROW()/100000)</f>
        <v/>
      </c>
      <c r="F4173" s="46">
        <f>IF(E4173="","",IF(C4173&gt;WeekEndDate,"",E4173))</f>
        <v/>
      </c>
    </row>
    <row r="4174">
      <c r="A4174" t="inlineStr">
        <is>
          <t>Contractors</t>
        </is>
      </c>
      <c r="B4174" s="46">
        <f>'Contractors'!Y138</f>
        <v/>
      </c>
      <c r="C4174" s="84">
        <f>'Contractors'!W138</f>
        <v/>
      </c>
      <c r="D4174" s="46">
        <f>'Contractors'!X138</f>
        <v/>
      </c>
      <c r="E4174" s="46">
        <f>IF(OR(B4174="",C4174="",D4174=""),"",D4174*100000+(C4174-DATE(2000,1,1))+ROW()/100000)</f>
        <v/>
      </c>
      <c r="F4174" s="46">
        <f>IF(E4174="","",IF(C4174&gt;WeekEndDate,"",E4174))</f>
        <v/>
      </c>
    </row>
    <row r="4175">
      <c r="A4175" t="inlineStr">
        <is>
          <t>Contractors</t>
        </is>
      </c>
      <c r="B4175" s="46">
        <f>'Contractors'!Y139</f>
        <v/>
      </c>
      <c r="C4175" s="84">
        <f>'Contractors'!W139</f>
        <v/>
      </c>
      <c r="D4175" s="46">
        <f>'Contractors'!X139</f>
        <v/>
      </c>
      <c r="E4175" s="46">
        <f>IF(OR(B4175="",C4175="",D4175=""),"",D4175*100000+(C4175-DATE(2000,1,1))+ROW()/100000)</f>
        <v/>
      </c>
      <c r="F4175" s="46">
        <f>IF(E4175="","",IF(C4175&gt;WeekEndDate,"",E4175))</f>
        <v/>
      </c>
    </row>
    <row r="4176">
      <c r="A4176" t="inlineStr">
        <is>
          <t>Contractors</t>
        </is>
      </c>
      <c r="B4176" s="46">
        <f>'Contractors'!Y140</f>
        <v/>
      </c>
      <c r="C4176" s="84">
        <f>'Contractors'!W140</f>
        <v/>
      </c>
      <c r="D4176" s="46">
        <f>'Contractors'!X140</f>
        <v/>
      </c>
      <c r="E4176" s="46">
        <f>IF(OR(B4176="",C4176="",D4176=""),"",D4176*100000+(C4176-DATE(2000,1,1))+ROW()/100000)</f>
        <v/>
      </c>
      <c r="F4176" s="46">
        <f>IF(E4176="","",IF(C4176&gt;WeekEndDate,"",E4176))</f>
        <v/>
      </c>
    </row>
    <row r="4177">
      <c r="A4177" t="inlineStr">
        <is>
          <t>Contractors</t>
        </is>
      </c>
      <c r="B4177" s="46">
        <f>'Contractors'!Y141</f>
        <v/>
      </c>
      <c r="C4177" s="84">
        <f>'Contractors'!W141</f>
        <v/>
      </c>
      <c r="D4177" s="46">
        <f>'Contractors'!X141</f>
        <v/>
      </c>
      <c r="E4177" s="46">
        <f>IF(OR(B4177="",C4177="",D4177=""),"",D4177*100000+(C4177-DATE(2000,1,1))+ROW()/100000)</f>
        <v/>
      </c>
      <c r="F4177" s="46">
        <f>IF(E4177="","",IF(C4177&gt;WeekEndDate,"",E4177))</f>
        <v/>
      </c>
    </row>
    <row r="4178">
      <c r="A4178" t="inlineStr">
        <is>
          <t>Contractors</t>
        </is>
      </c>
      <c r="B4178" s="46">
        <f>'Contractors'!Y142</f>
        <v/>
      </c>
      <c r="C4178" s="84">
        <f>'Contractors'!W142</f>
        <v/>
      </c>
      <c r="D4178" s="46">
        <f>'Contractors'!X142</f>
        <v/>
      </c>
      <c r="E4178" s="46">
        <f>IF(OR(B4178="",C4178="",D4178=""),"",D4178*100000+(C4178-DATE(2000,1,1))+ROW()/100000)</f>
        <v/>
      </c>
      <c r="F4178" s="46">
        <f>IF(E4178="","",IF(C4178&gt;WeekEndDate,"",E4178))</f>
        <v/>
      </c>
    </row>
    <row r="4179">
      <c r="A4179" t="inlineStr">
        <is>
          <t>Contractors</t>
        </is>
      </c>
      <c r="B4179" s="46">
        <f>'Contractors'!Y143</f>
        <v/>
      </c>
      <c r="C4179" s="84">
        <f>'Contractors'!W143</f>
        <v/>
      </c>
      <c r="D4179" s="46">
        <f>'Contractors'!X143</f>
        <v/>
      </c>
      <c r="E4179" s="46">
        <f>IF(OR(B4179="",C4179="",D4179=""),"",D4179*100000+(C4179-DATE(2000,1,1))+ROW()/100000)</f>
        <v/>
      </c>
      <c r="F4179" s="46">
        <f>IF(E4179="","",IF(C4179&gt;WeekEndDate,"",E4179))</f>
        <v/>
      </c>
    </row>
    <row r="4180">
      <c r="A4180" t="inlineStr">
        <is>
          <t>Contractors</t>
        </is>
      </c>
      <c r="B4180" s="46">
        <f>'Contractors'!Y144</f>
        <v/>
      </c>
      <c r="C4180" s="84">
        <f>'Contractors'!W144</f>
        <v/>
      </c>
      <c r="D4180" s="46">
        <f>'Contractors'!X144</f>
        <v/>
      </c>
      <c r="E4180" s="46">
        <f>IF(OR(B4180="",C4180="",D4180=""),"",D4180*100000+(C4180-DATE(2000,1,1))+ROW()/100000)</f>
        <v/>
      </c>
      <c r="F4180" s="46">
        <f>IF(E4180="","",IF(C4180&gt;WeekEndDate,"",E4180))</f>
        <v/>
      </c>
    </row>
    <row r="4181">
      <c r="A4181" t="inlineStr">
        <is>
          <t>Contractors</t>
        </is>
      </c>
      <c r="B4181" s="46">
        <f>'Contractors'!Y145</f>
        <v/>
      </c>
      <c r="C4181" s="84">
        <f>'Contractors'!W145</f>
        <v/>
      </c>
      <c r="D4181" s="46">
        <f>'Contractors'!X145</f>
        <v/>
      </c>
      <c r="E4181" s="46">
        <f>IF(OR(B4181="",C4181="",D4181=""),"",D4181*100000+(C4181-DATE(2000,1,1))+ROW()/100000)</f>
        <v/>
      </c>
      <c r="F4181" s="46">
        <f>IF(E4181="","",IF(C4181&gt;WeekEndDate,"",E4181))</f>
        <v/>
      </c>
    </row>
    <row r="4182">
      <c r="A4182" t="inlineStr">
        <is>
          <t>Contractors</t>
        </is>
      </c>
      <c r="B4182" s="46">
        <f>'Contractors'!Y146</f>
        <v/>
      </c>
      <c r="C4182" s="84">
        <f>'Contractors'!W146</f>
        <v/>
      </c>
      <c r="D4182" s="46">
        <f>'Contractors'!X146</f>
        <v/>
      </c>
      <c r="E4182" s="46">
        <f>IF(OR(B4182="",C4182="",D4182=""),"",D4182*100000+(C4182-DATE(2000,1,1))+ROW()/100000)</f>
        <v/>
      </c>
      <c r="F4182" s="46">
        <f>IF(E4182="","",IF(C4182&gt;WeekEndDate,"",E4182))</f>
        <v/>
      </c>
    </row>
    <row r="4183">
      <c r="A4183" t="inlineStr">
        <is>
          <t>Contractors</t>
        </is>
      </c>
      <c r="B4183" s="46">
        <f>'Contractors'!Y147</f>
        <v/>
      </c>
      <c r="C4183" s="84">
        <f>'Contractors'!W147</f>
        <v/>
      </c>
      <c r="D4183" s="46">
        <f>'Contractors'!X147</f>
        <v/>
      </c>
      <c r="E4183" s="46">
        <f>IF(OR(B4183="",C4183="",D4183=""),"",D4183*100000+(C4183-DATE(2000,1,1))+ROW()/100000)</f>
        <v/>
      </c>
      <c r="F4183" s="46">
        <f>IF(E4183="","",IF(C4183&gt;WeekEndDate,"",E4183))</f>
        <v/>
      </c>
    </row>
    <row r="4184">
      <c r="A4184" t="inlineStr">
        <is>
          <t>Contractors</t>
        </is>
      </c>
      <c r="B4184" s="46">
        <f>'Contractors'!Y148</f>
        <v/>
      </c>
      <c r="C4184" s="84">
        <f>'Contractors'!W148</f>
        <v/>
      </c>
      <c r="D4184" s="46">
        <f>'Contractors'!X148</f>
        <v/>
      </c>
      <c r="E4184" s="46">
        <f>IF(OR(B4184="",C4184="",D4184=""),"",D4184*100000+(C4184-DATE(2000,1,1))+ROW()/100000)</f>
        <v/>
      </c>
      <c r="F4184" s="46">
        <f>IF(E4184="","",IF(C4184&gt;WeekEndDate,"",E4184))</f>
        <v/>
      </c>
    </row>
    <row r="4185">
      <c r="A4185" t="inlineStr">
        <is>
          <t>Contractors</t>
        </is>
      </c>
      <c r="B4185" s="46">
        <f>'Contractors'!Y149</f>
        <v/>
      </c>
      <c r="C4185" s="84">
        <f>'Contractors'!W149</f>
        <v/>
      </c>
      <c r="D4185" s="46">
        <f>'Contractors'!X149</f>
        <v/>
      </c>
      <c r="E4185" s="46">
        <f>IF(OR(B4185="",C4185="",D4185=""),"",D4185*100000+(C4185-DATE(2000,1,1))+ROW()/100000)</f>
        <v/>
      </c>
      <c r="F4185" s="46">
        <f>IF(E4185="","",IF(C4185&gt;WeekEndDate,"",E4185))</f>
        <v/>
      </c>
    </row>
    <row r="4186">
      <c r="A4186" t="inlineStr">
        <is>
          <t>Contractors</t>
        </is>
      </c>
      <c r="B4186" s="46">
        <f>'Contractors'!Y150</f>
        <v/>
      </c>
      <c r="C4186" s="84">
        <f>'Contractors'!W150</f>
        <v/>
      </c>
      <c r="D4186" s="46">
        <f>'Contractors'!X150</f>
        <v/>
      </c>
      <c r="E4186" s="46">
        <f>IF(OR(B4186="",C4186="",D4186=""),"",D4186*100000+(C4186-DATE(2000,1,1))+ROW()/100000)</f>
        <v/>
      </c>
      <c r="F4186" s="46">
        <f>IF(E4186="","",IF(C4186&gt;WeekEndDate,"",E4186))</f>
        <v/>
      </c>
    </row>
    <row r="4187">
      <c r="A4187" t="inlineStr">
        <is>
          <t>Contractors</t>
        </is>
      </c>
      <c r="B4187" s="46">
        <f>'Contractors'!Y151</f>
        <v/>
      </c>
      <c r="C4187" s="84">
        <f>'Contractors'!W151</f>
        <v/>
      </c>
      <c r="D4187" s="46">
        <f>'Contractors'!X151</f>
        <v/>
      </c>
      <c r="E4187" s="46">
        <f>IF(OR(B4187="",C4187="",D4187=""),"",D4187*100000+(C4187-DATE(2000,1,1))+ROW()/100000)</f>
        <v/>
      </c>
      <c r="F4187" s="46">
        <f>IF(E4187="","",IF(C4187&gt;WeekEndDate,"",E4187))</f>
        <v/>
      </c>
    </row>
    <row r="4188">
      <c r="A4188" t="inlineStr">
        <is>
          <t>Contractors</t>
        </is>
      </c>
      <c r="B4188" s="46">
        <f>'Contractors'!Y152</f>
        <v/>
      </c>
      <c r="C4188" s="84">
        <f>'Contractors'!W152</f>
        <v/>
      </c>
      <c r="D4188" s="46">
        <f>'Contractors'!X152</f>
        <v/>
      </c>
      <c r="E4188" s="46">
        <f>IF(OR(B4188="",C4188="",D4188=""),"",D4188*100000+(C4188-DATE(2000,1,1))+ROW()/100000)</f>
        <v/>
      </c>
      <c r="F4188" s="46">
        <f>IF(E4188="","",IF(C4188&gt;WeekEndDate,"",E4188))</f>
        <v/>
      </c>
    </row>
    <row r="4189">
      <c r="A4189" t="inlineStr">
        <is>
          <t>Contractors</t>
        </is>
      </c>
      <c r="B4189" s="46">
        <f>'Contractors'!Y153</f>
        <v/>
      </c>
      <c r="C4189" s="84">
        <f>'Contractors'!W153</f>
        <v/>
      </c>
      <c r="D4189" s="46">
        <f>'Contractors'!X153</f>
        <v/>
      </c>
      <c r="E4189" s="46">
        <f>IF(OR(B4189="",C4189="",D4189=""),"",D4189*100000+(C4189-DATE(2000,1,1))+ROW()/100000)</f>
        <v/>
      </c>
      <c r="F4189" s="46">
        <f>IF(E4189="","",IF(C4189&gt;WeekEndDate,"",E4189))</f>
        <v/>
      </c>
    </row>
    <row r="4190">
      <c r="A4190" t="inlineStr">
        <is>
          <t>Contractors</t>
        </is>
      </c>
      <c r="B4190" s="46">
        <f>'Contractors'!Y154</f>
        <v/>
      </c>
      <c r="C4190" s="84">
        <f>'Contractors'!W154</f>
        <v/>
      </c>
      <c r="D4190" s="46">
        <f>'Contractors'!X154</f>
        <v/>
      </c>
      <c r="E4190" s="46">
        <f>IF(OR(B4190="",C4190="",D4190=""),"",D4190*100000+(C4190-DATE(2000,1,1))+ROW()/100000)</f>
        <v/>
      </c>
      <c r="F4190" s="46">
        <f>IF(E4190="","",IF(C4190&gt;WeekEndDate,"",E4190))</f>
        <v/>
      </c>
    </row>
    <row r="4191">
      <c r="A4191" t="inlineStr">
        <is>
          <t>Contractors</t>
        </is>
      </c>
      <c r="B4191" s="46">
        <f>'Contractors'!Y155</f>
        <v/>
      </c>
      <c r="C4191" s="84">
        <f>'Contractors'!W155</f>
        <v/>
      </c>
      <c r="D4191" s="46">
        <f>'Contractors'!X155</f>
        <v/>
      </c>
      <c r="E4191" s="46">
        <f>IF(OR(B4191="",C4191="",D4191=""),"",D4191*100000+(C4191-DATE(2000,1,1))+ROW()/100000)</f>
        <v/>
      </c>
      <c r="F4191" s="46">
        <f>IF(E4191="","",IF(C4191&gt;WeekEndDate,"",E4191))</f>
        <v/>
      </c>
    </row>
    <row r="4192">
      <c r="A4192" t="inlineStr">
        <is>
          <t>Contractors</t>
        </is>
      </c>
      <c r="B4192" s="46">
        <f>'Contractors'!Y156</f>
        <v/>
      </c>
      <c r="C4192" s="84">
        <f>'Contractors'!W156</f>
        <v/>
      </c>
      <c r="D4192" s="46">
        <f>'Contractors'!X156</f>
        <v/>
      </c>
      <c r="E4192" s="46">
        <f>IF(OR(B4192="",C4192="",D4192=""),"",D4192*100000+(C4192-DATE(2000,1,1))+ROW()/100000)</f>
        <v/>
      </c>
      <c r="F4192" s="46">
        <f>IF(E4192="","",IF(C4192&gt;WeekEndDate,"",E4192))</f>
        <v/>
      </c>
    </row>
    <row r="4193">
      <c r="A4193" t="inlineStr">
        <is>
          <t>Contractors</t>
        </is>
      </c>
      <c r="B4193" s="46">
        <f>'Contractors'!Y157</f>
        <v/>
      </c>
      <c r="C4193" s="84">
        <f>'Contractors'!W157</f>
        <v/>
      </c>
      <c r="D4193" s="46">
        <f>'Contractors'!X157</f>
        <v/>
      </c>
      <c r="E4193" s="46">
        <f>IF(OR(B4193="",C4193="",D4193=""),"",D4193*100000+(C4193-DATE(2000,1,1))+ROW()/100000)</f>
        <v/>
      </c>
      <c r="F4193" s="46">
        <f>IF(E4193="","",IF(C4193&gt;WeekEndDate,"",E4193))</f>
        <v/>
      </c>
    </row>
    <row r="4194">
      <c r="A4194" t="inlineStr">
        <is>
          <t>Contractors</t>
        </is>
      </c>
      <c r="B4194" s="46">
        <f>'Contractors'!Y158</f>
        <v/>
      </c>
      <c r="C4194" s="84">
        <f>'Contractors'!W158</f>
        <v/>
      </c>
      <c r="D4194" s="46">
        <f>'Contractors'!X158</f>
        <v/>
      </c>
      <c r="E4194" s="46">
        <f>IF(OR(B4194="",C4194="",D4194=""),"",D4194*100000+(C4194-DATE(2000,1,1))+ROW()/100000)</f>
        <v/>
      </c>
      <c r="F4194" s="46">
        <f>IF(E4194="","",IF(C4194&gt;WeekEndDate,"",E4194))</f>
        <v/>
      </c>
    </row>
    <row r="4195">
      <c r="A4195" t="inlineStr">
        <is>
          <t>Contractors</t>
        </is>
      </c>
      <c r="B4195" s="46">
        <f>'Contractors'!Y159</f>
        <v/>
      </c>
      <c r="C4195" s="84">
        <f>'Contractors'!W159</f>
        <v/>
      </c>
      <c r="D4195" s="46">
        <f>'Contractors'!X159</f>
        <v/>
      </c>
      <c r="E4195" s="46">
        <f>IF(OR(B4195="",C4195="",D4195=""),"",D4195*100000+(C4195-DATE(2000,1,1))+ROW()/100000)</f>
        <v/>
      </c>
      <c r="F4195" s="46">
        <f>IF(E4195="","",IF(C4195&gt;WeekEndDate,"",E4195))</f>
        <v/>
      </c>
    </row>
    <row r="4196">
      <c r="A4196" t="inlineStr">
        <is>
          <t>Contractors</t>
        </is>
      </c>
      <c r="B4196" s="46">
        <f>'Contractors'!Y160</f>
        <v/>
      </c>
      <c r="C4196" s="84">
        <f>'Contractors'!W160</f>
        <v/>
      </c>
      <c r="D4196" s="46">
        <f>'Contractors'!X160</f>
        <v/>
      </c>
      <c r="E4196" s="46">
        <f>IF(OR(B4196="",C4196="",D4196=""),"",D4196*100000+(C4196-DATE(2000,1,1))+ROW()/100000)</f>
        <v/>
      </c>
      <c r="F4196" s="46">
        <f>IF(E4196="","",IF(C4196&gt;WeekEndDate,"",E4196))</f>
        <v/>
      </c>
    </row>
    <row r="4197">
      <c r="A4197" t="inlineStr">
        <is>
          <t>Contractors</t>
        </is>
      </c>
      <c r="B4197" s="46">
        <f>'Contractors'!Y161</f>
        <v/>
      </c>
      <c r="C4197" s="84">
        <f>'Contractors'!W161</f>
        <v/>
      </c>
      <c r="D4197" s="46">
        <f>'Contractors'!X161</f>
        <v/>
      </c>
      <c r="E4197" s="46">
        <f>IF(OR(B4197="",C4197="",D4197=""),"",D4197*100000+(C4197-DATE(2000,1,1))+ROW()/100000)</f>
        <v/>
      </c>
      <c r="F4197" s="46">
        <f>IF(E4197="","",IF(C4197&gt;WeekEndDate,"",E4197))</f>
        <v/>
      </c>
    </row>
    <row r="4198">
      <c r="A4198" t="inlineStr">
        <is>
          <t>Contractors</t>
        </is>
      </c>
      <c r="B4198" s="46">
        <f>'Contractors'!Y162</f>
        <v/>
      </c>
      <c r="C4198" s="84">
        <f>'Contractors'!W162</f>
        <v/>
      </c>
      <c r="D4198" s="46">
        <f>'Contractors'!X162</f>
        <v/>
      </c>
      <c r="E4198" s="46">
        <f>IF(OR(B4198="",C4198="",D4198=""),"",D4198*100000+(C4198-DATE(2000,1,1))+ROW()/100000)</f>
        <v/>
      </c>
      <c r="F4198" s="46">
        <f>IF(E4198="","",IF(C4198&gt;WeekEndDate,"",E4198))</f>
        <v/>
      </c>
    </row>
    <row r="4199">
      <c r="A4199" t="inlineStr">
        <is>
          <t>Contractors</t>
        </is>
      </c>
      <c r="B4199" s="46">
        <f>'Contractors'!Y163</f>
        <v/>
      </c>
      <c r="C4199" s="84">
        <f>'Contractors'!W163</f>
        <v/>
      </c>
      <c r="D4199" s="46">
        <f>'Contractors'!X163</f>
        <v/>
      </c>
      <c r="E4199" s="46">
        <f>IF(OR(B4199="",C4199="",D4199=""),"",D4199*100000+(C4199-DATE(2000,1,1))+ROW()/100000)</f>
        <v/>
      </c>
      <c r="F4199" s="46">
        <f>IF(E4199="","",IF(C4199&gt;WeekEndDate,"",E4199))</f>
        <v/>
      </c>
    </row>
    <row r="4200">
      <c r="A4200" t="inlineStr">
        <is>
          <t>Contractors</t>
        </is>
      </c>
      <c r="B4200" s="46">
        <f>'Contractors'!Y164</f>
        <v/>
      </c>
      <c r="C4200" s="84">
        <f>'Contractors'!W164</f>
        <v/>
      </c>
      <c r="D4200" s="46">
        <f>'Contractors'!X164</f>
        <v/>
      </c>
      <c r="E4200" s="46">
        <f>IF(OR(B4200="",C4200="",D4200=""),"",D4200*100000+(C4200-DATE(2000,1,1))+ROW()/100000)</f>
        <v/>
      </c>
      <c r="F4200" s="46">
        <f>IF(E4200="","",IF(C4200&gt;WeekEndDate,"",E4200))</f>
        <v/>
      </c>
    </row>
    <row r="4201">
      <c r="A4201" t="inlineStr">
        <is>
          <t>Contractors</t>
        </is>
      </c>
      <c r="B4201" s="46">
        <f>'Contractors'!Y165</f>
        <v/>
      </c>
      <c r="C4201" s="84">
        <f>'Contractors'!W165</f>
        <v/>
      </c>
      <c r="D4201" s="46">
        <f>'Contractors'!X165</f>
        <v/>
      </c>
      <c r="E4201" s="46">
        <f>IF(OR(B4201="",C4201="",D4201=""),"",D4201*100000+(C4201-DATE(2000,1,1))+ROW()/100000)</f>
        <v/>
      </c>
      <c r="F4201" s="46">
        <f>IF(E4201="","",IF(C4201&gt;WeekEndDate,"",E4201))</f>
        <v/>
      </c>
    </row>
    <row r="4202">
      <c r="A4202" t="inlineStr">
        <is>
          <t>Contractors</t>
        </is>
      </c>
      <c r="B4202" s="46">
        <f>'Contractors'!Y166</f>
        <v/>
      </c>
      <c r="C4202" s="84">
        <f>'Contractors'!W166</f>
        <v/>
      </c>
      <c r="D4202" s="46">
        <f>'Contractors'!X166</f>
        <v/>
      </c>
      <c r="E4202" s="46">
        <f>IF(OR(B4202="",C4202="",D4202=""),"",D4202*100000+(C4202-DATE(2000,1,1))+ROW()/100000)</f>
        <v/>
      </c>
      <c r="F4202" s="46">
        <f>IF(E4202="","",IF(C4202&gt;WeekEndDate,"",E4202))</f>
        <v/>
      </c>
    </row>
    <row r="4203">
      <c r="A4203" t="inlineStr">
        <is>
          <t>Contractors</t>
        </is>
      </c>
      <c r="B4203" s="46">
        <f>'Contractors'!Y167</f>
        <v/>
      </c>
      <c r="C4203" s="84">
        <f>'Contractors'!W167</f>
        <v/>
      </c>
      <c r="D4203" s="46">
        <f>'Contractors'!X167</f>
        <v/>
      </c>
      <c r="E4203" s="46">
        <f>IF(OR(B4203="",C4203="",D4203=""),"",D4203*100000+(C4203-DATE(2000,1,1))+ROW()/100000)</f>
        <v/>
      </c>
      <c r="F4203" s="46">
        <f>IF(E4203="","",IF(C4203&gt;WeekEndDate,"",E4203))</f>
        <v/>
      </c>
    </row>
    <row r="4204">
      <c r="A4204" t="inlineStr">
        <is>
          <t>Contractors</t>
        </is>
      </c>
      <c r="B4204" s="46">
        <f>'Contractors'!Y168</f>
        <v/>
      </c>
      <c r="C4204" s="84">
        <f>'Contractors'!W168</f>
        <v/>
      </c>
      <c r="D4204" s="46">
        <f>'Contractors'!X168</f>
        <v/>
      </c>
      <c r="E4204" s="46">
        <f>IF(OR(B4204="",C4204="",D4204=""),"",D4204*100000+(C4204-DATE(2000,1,1))+ROW()/100000)</f>
        <v/>
      </c>
      <c r="F4204" s="46">
        <f>IF(E4204="","",IF(C4204&gt;WeekEndDate,"",E4204))</f>
        <v/>
      </c>
    </row>
    <row r="4205">
      <c r="A4205" t="inlineStr">
        <is>
          <t>Contractors</t>
        </is>
      </c>
      <c r="B4205" s="46">
        <f>'Contractors'!Y169</f>
        <v/>
      </c>
      <c r="C4205" s="84">
        <f>'Contractors'!W169</f>
        <v/>
      </c>
      <c r="D4205" s="46">
        <f>'Contractors'!X169</f>
        <v/>
      </c>
      <c r="E4205" s="46">
        <f>IF(OR(B4205="",C4205="",D4205=""),"",D4205*100000+(C4205-DATE(2000,1,1))+ROW()/100000)</f>
        <v/>
      </c>
      <c r="F4205" s="46">
        <f>IF(E4205="","",IF(C4205&gt;WeekEndDate,"",E4205))</f>
        <v/>
      </c>
    </row>
    <row r="4206">
      <c r="A4206" t="inlineStr">
        <is>
          <t>Contractors</t>
        </is>
      </c>
      <c r="B4206" s="46">
        <f>'Contractors'!Y170</f>
        <v/>
      </c>
      <c r="C4206" s="84">
        <f>'Contractors'!W170</f>
        <v/>
      </c>
      <c r="D4206" s="46">
        <f>'Contractors'!X170</f>
        <v/>
      </c>
      <c r="E4206" s="46">
        <f>IF(OR(B4206="",C4206="",D4206=""),"",D4206*100000+(C4206-DATE(2000,1,1))+ROW()/100000)</f>
        <v/>
      </c>
      <c r="F4206" s="46">
        <f>IF(E4206="","",IF(C4206&gt;WeekEndDate,"",E4206))</f>
        <v/>
      </c>
    </row>
    <row r="4207">
      <c r="A4207" t="inlineStr">
        <is>
          <t>Contractors</t>
        </is>
      </c>
      <c r="B4207" s="46">
        <f>'Contractors'!Y171</f>
        <v/>
      </c>
      <c r="C4207" s="84">
        <f>'Contractors'!W171</f>
        <v/>
      </c>
      <c r="D4207" s="46">
        <f>'Contractors'!X171</f>
        <v/>
      </c>
      <c r="E4207" s="46">
        <f>IF(OR(B4207="",C4207="",D4207=""),"",D4207*100000+(C4207-DATE(2000,1,1))+ROW()/100000)</f>
        <v/>
      </c>
      <c r="F4207" s="46">
        <f>IF(E4207="","",IF(C4207&gt;WeekEndDate,"",E4207))</f>
        <v/>
      </c>
    </row>
    <row r="4208">
      <c r="A4208" t="inlineStr">
        <is>
          <t>Contractors</t>
        </is>
      </c>
      <c r="B4208" s="46">
        <f>'Contractors'!Y172</f>
        <v/>
      </c>
      <c r="C4208" s="84">
        <f>'Contractors'!W172</f>
        <v/>
      </c>
      <c r="D4208" s="46">
        <f>'Contractors'!X172</f>
        <v/>
      </c>
      <c r="E4208" s="46">
        <f>IF(OR(B4208="",C4208="",D4208=""),"",D4208*100000+(C4208-DATE(2000,1,1))+ROW()/100000)</f>
        <v/>
      </c>
      <c r="F4208" s="46">
        <f>IF(E4208="","",IF(C4208&gt;WeekEndDate,"",E4208))</f>
        <v/>
      </c>
    </row>
    <row r="4209">
      <c r="A4209" t="inlineStr">
        <is>
          <t>Contractors</t>
        </is>
      </c>
      <c r="B4209" s="46">
        <f>'Contractors'!Y173</f>
        <v/>
      </c>
      <c r="C4209" s="84">
        <f>'Contractors'!W173</f>
        <v/>
      </c>
      <c r="D4209" s="46">
        <f>'Contractors'!X173</f>
        <v/>
      </c>
      <c r="E4209" s="46">
        <f>IF(OR(B4209="",C4209="",D4209=""),"",D4209*100000+(C4209-DATE(2000,1,1))+ROW()/100000)</f>
        <v/>
      </c>
      <c r="F4209" s="46">
        <f>IF(E4209="","",IF(C4209&gt;WeekEndDate,"",E4209))</f>
        <v/>
      </c>
    </row>
    <row r="4210">
      <c r="A4210" t="inlineStr">
        <is>
          <t>Contractors</t>
        </is>
      </c>
      <c r="B4210" s="46">
        <f>'Contractors'!Y174</f>
        <v/>
      </c>
      <c r="C4210" s="84">
        <f>'Contractors'!W174</f>
        <v/>
      </c>
      <c r="D4210" s="46">
        <f>'Contractors'!X174</f>
        <v/>
      </c>
      <c r="E4210" s="46">
        <f>IF(OR(B4210="",C4210="",D4210=""),"",D4210*100000+(C4210-DATE(2000,1,1))+ROW()/100000)</f>
        <v/>
      </c>
      <c r="F4210" s="46">
        <f>IF(E4210="","",IF(C4210&gt;WeekEndDate,"",E4210))</f>
        <v/>
      </c>
    </row>
    <row r="4211">
      <c r="A4211" t="inlineStr">
        <is>
          <t>Contractors</t>
        </is>
      </c>
      <c r="B4211" s="46">
        <f>'Contractors'!Y175</f>
        <v/>
      </c>
      <c r="C4211" s="84">
        <f>'Contractors'!W175</f>
        <v/>
      </c>
      <c r="D4211" s="46">
        <f>'Contractors'!X175</f>
        <v/>
      </c>
      <c r="E4211" s="46">
        <f>IF(OR(B4211="",C4211="",D4211=""),"",D4211*100000+(C4211-DATE(2000,1,1))+ROW()/100000)</f>
        <v/>
      </c>
      <c r="F4211" s="46">
        <f>IF(E4211="","",IF(C4211&gt;WeekEndDate,"",E4211))</f>
        <v/>
      </c>
    </row>
    <row r="4212">
      <c r="A4212" t="inlineStr">
        <is>
          <t>Contractors</t>
        </is>
      </c>
      <c r="B4212" s="46">
        <f>'Contractors'!Y176</f>
        <v/>
      </c>
      <c r="C4212" s="84">
        <f>'Contractors'!W176</f>
        <v/>
      </c>
      <c r="D4212" s="46">
        <f>'Contractors'!X176</f>
        <v/>
      </c>
      <c r="E4212" s="46">
        <f>IF(OR(B4212="",C4212="",D4212=""),"",D4212*100000+(C4212-DATE(2000,1,1))+ROW()/100000)</f>
        <v/>
      </c>
      <c r="F4212" s="46">
        <f>IF(E4212="","",IF(C4212&gt;WeekEndDate,"",E4212))</f>
        <v/>
      </c>
    </row>
    <row r="4213">
      <c r="A4213" t="inlineStr">
        <is>
          <t>Contractors</t>
        </is>
      </c>
      <c r="B4213" s="46">
        <f>'Contractors'!Y177</f>
        <v/>
      </c>
      <c r="C4213" s="84">
        <f>'Contractors'!W177</f>
        <v/>
      </c>
      <c r="D4213" s="46">
        <f>'Contractors'!X177</f>
        <v/>
      </c>
      <c r="E4213" s="46">
        <f>IF(OR(B4213="",C4213="",D4213=""),"",D4213*100000+(C4213-DATE(2000,1,1))+ROW()/100000)</f>
        <v/>
      </c>
      <c r="F4213" s="46">
        <f>IF(E4213="","",IF(C4213&gt;WeekEndDate,"",E4213))</f>
        <v/>
      </c>
    </row>
    <row r="4214">
      <c r="A4214" t="inlineStr">
        <is>
          <t>Contractors</t>
        </is>
      </c>
      <c r="B4214" s="46">
        <f>'Contractors'!Y178</f>
        <v/>
      </c>
      <c r="C4214" s="84">
        <f>'Contractors'!W178</f>
        <v/>
      </c>
      <c r="D4214" s="46">
        <f>'Contractors'!X178</f>
        <v/>
      </c>
      <c r="E4214" s="46">
        <f>IF(OR(B4214="",C4214="",D4214=""),"",D4214*100000+(C4214-DATE(2000,1,1))+ROW()/100000)</f>
        <v/>
      </c>
      <c r="F4214" s="46">
        <f>IF(E4214="","",IF(C4214&gt;WeekEndDate,"",E4214))</f>
        <v/>
      </c>
    </row>
    <row r="4215">
      <c r="A4215" t="inlineStr">
        <is>
          <t>Contractors</t>
        </is>
      </c>
      <c r="B4215" s="46">
        <f>'Contractors'!Y179</f>
        <v/>
      </c>
      <c r="C4215" s="84">
        <f>'Contractors'!W179</f>
        <v/>
      </c>
      <c r="D4215" s="46">
        <f>'Contractors'!X179</f>
        <v/>
      </c>
      <c r="E4215" s="46">
        <f>IF(OR(B4215="",C4215="",D4215=""),"",D4215*100000+(C4215-DATE(2000,1,1))+ROW()/100000)</f>
        <v/>
      </c>
      <c r="F4215" s="46">
        <f>IF(E4215="","",IF(C4215&gt;WeekEndDate,"",E4215))</f>
        <v/>
      </c>
    </row>
    <row r="4216">
      <c r="A4216" t="inlineStr">
        <is>
          <t>Contractors</t>
        </is>
      </c>
      <c r="B4216" s="46">
        <f>'Contractors'!Y180</f>
        <v/>
      </c>
      <c r="C4216" s="84">
        <f>'Contractors'!W180</f>
        <v/>
      </c>
      <c r="D4216" s="46">
        <f>'Contractors'!X180</f>
        <v/>
      </c>
      <c r="E4216" s="46">
        <f>IF(OR(B4216="",C4216="",D4216=""),"",D4216*100000+(C4216-DATE(2000,1,1))+ROW()/100000)</f>
        <v/>
      </c>
      <c r="F4216" s="46">
        <f>IF(E4216="","",IF(C4216&gt;WeekEndDate,"",E4216))</f>
        <v/>
      </c>
    </row>
    <row r="4217">
      <c r="A4217" t="inlineStr">
        <is>
          <t>Contractors</t>
        </is>
      </c>
      <c r="B4217" s="46">
        <f>'Contractors'!Y181</f>
        <v/>
      </c>
      <c r="C4217" s="84">
        <f>'Contractors'!W181</f>
        <v/>
      </c>
      <c r="D4217" s="46">
        <f>'Contractors'!X181</f>
        <v/>
      </c>
      <c r="E4217" s="46">
        <f>IF(OR(B4217="",C4217="",D4217=""),"",D4217*100000+(C4217-DATE(2000,1,1))+ROW()/100000)</f>
        <v/>
      </c>
      <c r="F4217" s="46">
        <f>IF(E4217="","",IF(C4217&gt;WeekEndDate,"",E4217))</f>
        <v/>
      </c>
    </row>
    <row r="4218">
      <c r="A4218" t="inlineStr">
        <is>
          <t>Contractors</t>
        </is>
      </c>
      <c r="B4218" s="46">
        <f>'Contractors'!Y182</f>
        <v/>
      </c>
      <c r="C4218" s="84">
        <f>'Contractors'!W182</f>
        <v/>
      </c>
      <c r="D4218" s="46">
        <f>'Contractors'!X182</f>
        <v/>
      </c>
      <c r="E4218" s="46">
        <f>IF(OR(B4218="",C4218="",D4218=""),"",D4218*100000+(C4218-DATE(2000,1,1))+ROW()/100000)</f>
        <v/>
      </c>
      <c r="F4218" s="46">
        <f>IF(E4218="","",IF(C4218&gt;WeekEndDate,"",E4218))</f>
        <v/>
      </c>
    </row>
    <row r="4219">
      <c r="A4219" t="inlineStr">
        <is>
          <t>Contractors</t>
        </is>
      </c>
      <c r="B4219" s="46">
        <f>'Contractors'!Y183</f>
        <v/>
      </c>
      <c r="C4219" s="84">
        <f>'Contractors'!W183</f>
        <v/>
      </c>
      <c r="D4219" s="46">
        <f>'Contractors'!X183</f>
        <v/>
      </c>
      <c r="E4219" s="46">
        <f>IF(OR(B4219="",C4219="",D4219=""),"",D4219*100000+(C4219-DATE(2000,1,1))+ROW()/100000)</f>
        <v/>
      </c>
      <c r="F4219" s="46">
        <f>IF(E4219="","",IF(C4219&gt;WeekEndDate,"",E4219))</f>
        <v/>
      </c>
    </row>
    <row r="4220">
      <c r="A4220" t="inlineStr">
        <is>
          <t>Contractors</t>
        </is>
      </c>
      <c r="B4220" s="46">
        <f>'Contractors'!Y184</f>
        <v/>
      </c>
      <c r="C4220" s="84">
        <f>'Contractors'!W184</f>
        <v/>
      </c>
      <c r="D4220" s="46">
        <f>'Contractors'!X184</f>
        <v/>
      </c>
      <c r="E4220" s="46">
        <f>IF(OR(B4220="",C4220="",D4220=""),"",D4220*100000+(C4220-DATE(2000,1,1))+ROW()/100000)</f>
        <v/>
      </c>
      <c r="F4220" s="46">
        <f>IF(E4220="","",IF(C4220&gt;WeekEndDate,"",E4220))</f>
        <v/>
      </c>
    </row>
    <row r="4221">
      <c r="A4221" t="inlineStr">
        <is>
          <t>Contractors</t>
        </is>
      </c>
      <c r="B4221" s="46">
        <f>'Contractors'!Y185</f>
        <v/>
      </c>
      <c r="C4221" s="84">
        <f>'Contractors'!W185</f>
        <v/>
      </c>
      <c r="D4221" s="46">
        <f>'Contractors'!X185</f>
        <v/>
      </c>
      <c r="E4221" s="46">
        <f>IF(OR(B4221="",C4221="",D4221=""),"",D4221*100000+(C4221-DATE(2000,1,1))+ROW()/100000)</f>
        <v/>
      </c>
      <c r="F4221" s="46">
        <f>IF(E4221="","",IF(C4221&gt;WeekEndDate,"",E4221))</f>
        <v/>
      </c>
    </row>
    <row r="4222">
      <c r="A4222" t="inlineStr">
        <is>
          <t>Contractors</t>
        </is>
      </c>
      <c r="B4222" s="46">
        <f>'Contractors'!Y186</f>
        <v/>
      </c>
      <c r="C4222" s="84">
        <f>'Contractors'!W186</f>
        <v/>
      </c>
      <c r="D4222" s="46">
        <f>'Contractors'!X186</f>
        <v/>
      </c>
      <c r="E4222" s="46">
        <f>IF(OR(B4222="",C4222="",D4222=""),"",D4222*100000+(C4222-DATE(2000,1,1))+ROW()/100000)</f>
        <v/>
      </c>
      <c r="F4222" s="46">
        <f>IF(E4222="","",IF(C4222&gt;WeekEndDate,"",E4222))</f>
        <v/>
      </c>
    </row>
    <row r="4223">
      <c r="A4223" t="inlineStr">
        <is>
          <t>Contractors</t>
        </is>
      </c>
      <c r="B4223" s="46">
        <f>'Contractors'!Y187</f>
        <v/>
      </c>
      <c r="C4223" s="84">
        <f>'Contractors'!W187</f>
        <v/>
      </c>
      <c r="D4223" s="46">
        <f>'Contractors'!X187</f>
        <v/>
      </c>
      <c r="E4223" s="46">
        <f>IF(OR(B4223="",C4223="",D4223=""),"",D4223*100000+(C4223-DATE(2000,1,1))+ROW()/100000)</f>
        <v/>
      </c>
      <c r="F4223" s="46">
        <f>IF(E4223="","",IF(C4223&gt;WeekEndDate,"",E4223))</f>
        <v/>
      </c>
    </row>
    <row r="4224">
      <c r="A4224" t="inlineStr">
        <is>
          <t>Contractors</t>
        </is>
      </c>
      <c r="B4224" s="46">
        <f>'Contractors'!Y188</f>
        <v/>
      </c>
      <c r="C4224" s="84">
        <f>'Contractors'!W188</f>
        <v/>
      </c>
      <c r="D4224" s="46">
        <f>'Contractors'!X188</f>
        <v/>
      </c>
      <c r="E4224" s="46">
        <f>IF(OR(B4224="",C4224="",D4224=""),"",D4224*100000+(C4224-DATE(2000,1,1))+ROW()/100000)</f>
        <v/>
      </c>
      <c r="F4224" s="46">
        <f>IF(E4224="","",IF(C4224&gt;WeekEndDate,"",E4224))</f>
        <v/>
      </c>
    </row>
    <row r="4225">
      <c r="A4225" t="inlineStr">
        <is>
          <t>Contractors</t>
        </is>
      </c>
      <c r="B4225" s="46">
        <f>'Contractors'!Y189</f>
        <v/>
      </c>
      <c r="C4225" s="84">
        <f>'Contractors'!W189</f>
        <v/>
      </c>
      <c r="D4225" s="46">
        <f>'Contractors'!X189</f>
        <v/>
      </c>
      <c r="E4225" s="46">
        <f>IF(OR(B4225="",C4225="",D4225=""),"",D4225*100000+(C4225-DATE(2000,1,1))+ROW()/100000)</f>
        <v/>
      </c>
      <c r="F4225" s="46">
        <f>IF(E4225="","",IF(C4225&gt;WeekEndDate,"",E4225))</f>
        <v/>
      </c>
    </row>
    <row r="4226">
      <c r="A4226" t="inlineStr">
        <is>
          <t>Contractors</t>
        </is>
      </c>
      <c r="B4226" s="46">
        <f>'Contractors'!Y190</f>
        <v/>
      </c>
      <c r="C4226" s="84">
        <f>'Contractors'!W190</f>
        <v/>
      </c>
      <c r="D4226" s="46">
        <f>'Contractors'!X190</f>
        <v/>
      </c>
      <c r="E4226" s="46">
        <f>IF(OR(B4226="",C4226="",D4226=""),"",D4226*100000+(C4226-DATE(2000,1,1))+ROW()/100000)</f>
        <v/>
      </c>
      <c r="F4226" s="46">
        <f>IF(E4226="","",IF(C4226&gt;WeekEndDate,"",E4226))</f>
        <v/>
      </c>
    </row>
    <row r="4227">
      <c r="A4227" t="inlineStr">
        <is>
          <t>Contractors</t>
        </is>
      </c>
      <c r="B4227" s="46">
        <f>'Contractors'!Y191</f>
        <v/>
      </c>
      <c r="C4227" s="84">
        <f>'Contractors'!W191</f>
        <v/>
      </c>
      <c r="D4227" s="46">
        <f>'Contractors'!X191</f>
        <v/>
      </c>
      <c r="E4227" s="46">
        <f>IF(OR(B4227="",C4227="",D4227=""),"",D4227*100000+(C4227-DATE(2000,1,1))+ROW()/100000)</f>
        <v/>
      </c>
      <c r="F4227" s="46">
        <f>IF(E4227="","",IF(C4227&gt;WeekEndDate,"",E4227))</f>
        <v/>
      </c>
    </row>
    <row r="4228">
      <c r="A4228" t="inlineStr">
        <is>
          <t>Contractors</t>
        </is>
      </c>
      <c r="B4228" s="46">
        <f>'Contractors'!Y192</f>
        <v/>
      </c>
      <c r="C4228" s="84">
        <f>'Contractors'!W192</f>
        <v/>
      </c>
      <c r="D4228" s="46">
        <f>'Contractors'!X192</f>
        <v/>
      </c>
      <c r="E4228" s="46">
        <f>IF(OR(B4228="",C4228="",D4228=""),"",D4228*100000+(C4228-DATE(2000,1,1))+ROW()/100000)</f>
        <v/>
      </c>
      <c r="F4228" s="46">
        <f>IF(E4228="","",IF(C4228&gt;WeekEndDate,"",E4228))</f>
        <v/>
      </c>
    </row>
    <row r="4229">
      <c r="A4229" t="inlineStr">
        <is>
          <t>Contractors</t>
        </is>
      </c>
      <c r="B4229" s="46">
        <f>'Contractors'!Y193</f>
        <v/>
      </c>
      <c r="C4229" s="84">
        <f>'Contractors'!W193</f>
        <v/>
      </c>
      <c r="D4229" s="46">
        <f>'Contractors'!X193</f>
        <v/>
      </c>
      <c r="E4229" s="46">
        <f>IF(OR(B4229="",C4229="",D4229=""),"",D4229*100000+(C4229-DATE(2000,1,1))+ROW()/100000)</f>
        <v/>
      </c>
      <c r="F4229" s="46">
        <f>IF(E4229="","",IF(C4229&gt;WeekEndDate,"",E4229))</f>
        <v/>
      </c>
    </row>
    <row r="4230">
      <c r="A4230" t="inlineStr">
        <is>
          <t>Contractors</t>
        </is>
      </c>
      <c r="B4230" s="46">
        <f>'Contractors'!Y194</f>
        <v/>
      </c>
      <c r="C4230" s="84">
        <f>'Contractors'!W194</f>
        <v/>
      </c>
      <c r="D4230" s="46">
        <f>'Contractors'!X194</f>
        <v/>
      </c>
      <c r="E4230" s="46">
        <f>IF(OR(B4230="",C4230="",D4230=""),"",D4230*100000+(C4230-DATE(2000,1,1))+ROW()/100000)</f>
        <v/>
      </c>
      <c r="F4230" s="46">
        <f>IF(E4230="","",IF(C4230&gt;WeekEndDate,"",E4230))</f>
        <v/>
      </c>
    </row>
    <row r="4231">
      <c r="A4231" t="inlineStr">
        <is>
          <t>Contractors</t>
        </is>
      </c>
      <c r="B4231" s="46">
        <f>'Contractors'!Y195</f>
        <v/>
      </c>
      <c r="C4231" s="84">
        <f>'Contractors'!W195</f>
        <v/>
      </c>
      <c r="D4231" s="46">
        <f>'Contractors'!X195</f>
        <v/>
      </c>
      <c r="E4231" s="46">
        <f>IF(OR(B4231="",C4231="",D4231=""),"",D4231*100000+(C4231-DATE(2000,1,1))+ROW()/100000)</f>
        <v/>
      </c>
      <c r="F4231" s="46">
        <f>IF(E4231="","",IF(C4231&gt;WeekEndDate,"",E4231))</f>
        <v/>
      </c>
    </row>
    <row r="4232">
      <c r="A4232" t="inlineStr">
        <is>
          <t>Contractors</t>
        </is>
      </c>
      <c r="B4232" s="46">
        <f>'Contractors'!Y196</f>
        <v/>
      </c>
      <c r="C4232" s="84">
        <f>'Contractors'!W196</f>
        <v/>
      </c>
      <c r="D4232" s="46">
        <f>'Contractors'!X196</f>
        <v/>
      </c>
      <c r="E4232" s="46">
        <f>IF(OR(B4232="",C4232="",D4232=""),"",D4232*100000+(C4232-DATE(2000,1,1))+ROW()/100000)</f>
        <v/>
      </c>
      <c r="F4232" s="46">
        <f>IF(E4232="","",IF(C4232&gt;WeekEndDate,"",E4232))</f>
        <v/>
      </c>
    </row>
    <row r="4233">
      <c r="A4233" t="inlineStr">
        <is>
          <t>Contractors</t>
        </is>
      </c>
      <c r="B4233" s="46">
        <f>'Contractors'!Y197</f>
        <v/>
      </c>
      <c r="C4233" s="84">
        <f>'Contractors'!W197</f>
        <v/>
      </c>
      <c r="D4233" s="46">
        <f>'Contractors'!X197</f>
        <v/>
      </c>
      <c r="E4233" s="46">
        <f>IF(OR(B4233="",C4233="",D4233=""),"",D4233*100000+(C4233-DATE(2000,1,1))+ROW()/100000)</f>
        <v/>
      </c>
      <c r="F4233" s="46">
        <f>IF(E4233="","",IF(C4233&gt;WeekEndDate,"",E4233))</f>
        <v/>
      </c>
    </row>
    <row r="4234">
      <c r="A4234" t="inlineStr">
        <is>
          <t>Contractors</t>
        </is>
      </c>
      <c r="B4234" s="46">
        <f>'Contractors'!Y198</f>
        <v/>
      </c>
      <c r="C4234" s="84">
        <f>'Contractors'!W198</f>
        <v/>
      </c>
      <c r="D4234" s="46">
        <f>'Contractors'!X198</f>
        <v/>
      </c>
      <c r="E4234" s="46">
        <f>IF(OR(B4234="",C4234="",D4234=""),"",D4234*100000+(C4234-DATE(2000,1,1))+ROW()/100000)</f>
        <v/>
      </c>
      <c r="F4234" s="46">
        <f>IF(E4234="","",IF(C4234&gt;WeekEndDate,"",E4234))</f>
        <v/>
      </c>
    </row>
    <row r="4235">
      <c r="A4235" t="inlineStr">
        <is>
          <t>Contractors</t>
        </is>
      </c>
      <c r="B4235" s="46">
        <f>'Contractors'!Y199</f>
        <v/>
      </c>
      <c r="C4235" s="84">
        <f>'Contractors'!W199</f>
        <v/>
      </c>
      <c r="D4235" s="46">
        <f>'Contractors'!X199</f>
        <v/>
      </c>
      <c r="E4235" s="46">
        <f>IF(OR(B4235="",C4235="",D4235=""),"",D4235*100000+(C4235-DATE(2000,1,1))+ROW()/100000)</f>
        <v/>
      </c>
      <c r="F4235" s="46">
        <f>IF(E4235="","",IF(C4235&gt;WeekEndDate,"",E4235))</f>
        <v/>
      </c>
    </row>
    <row r="4236">
      <c r="A4236" t="inlineStr">
        <is>
          <t>Contractors</t>
        </is>
      </c>
      <c r="B4236" s="46">
        <f>'Contractors'!Y200</f>
        <v/>
      </c>
      <c r="C4236" s="84">
        <f>'Contractors'!W200</f>
        <v/>
      </c>
      <c r="D4236" s="46">
        <f>'Contractors'!X200</f>
        <v/>
      </c>
      <c r="E4236" s="46">
        <f>IF(OR(B4236="",C4236="",D4236=""),"",D4236*100000+(C4236-DATE(2000,1,1))+ROW()/100000)</f>
        <v/>
      </c>
      <c r="F4236" s="46">
        <f>IF(E4236="","",IF(C4236&gt;WeekEndDate,"",E4236))</f>
        <v/>
      </c>
    </row>
    <row r="4237">
      <c r="A4237" t="inlineStr">
        <is>
          <t>Contractors</t>
        </is>
      </c>
      <c r="B4237" s="46">
        <f>'Contractors'!Y201</f>
        <v/>
      </c>
      <c r="C4237" s="84">
        <f>'Contractors'!W201</f>
        <v/>
      </c>
      <c r="D4237" s="46">
        <f>'Contractors'!X201</f>
        <v/>
      </c>
      <c r="E4237" s="46">
        <f>IF(OR(B4237="",C4237="",D4237=""),"",D4237*100000+(C4237-DATE(2000,1,1))+ROW()/100000)</f>
        <v/>
      </c>
      <c r="F4237" s="46">
        <f>IF(E4237="","",IF(C4237&gt;WeekEndDate,"",E4237))</f>
        <v/>
      </c>
    </row>
    <row r="4238">
      <c r="A4238" t="inlineStr">
        <is>
          <t>Contractors</t>
        </is>
      </c>
      <c r="B4238" s="46">
        <f>'Contractors'!Y202</f>
        <v/>
      </c>
      <c r="C4238" s="84">
        <f>'Contractors'!W202</f>
        <v/>
      </c>
      <c r="D4238" s="46">
        <f>'Contractors'!X202</f>
        <v/>
      </c>
      <c r="E4238" s="46">
        <f>IF(OR(B4238="",C4238="",D4238=""),"",D4238*100000+(C4238-DATE(2000,1,1))+ROW()/100000)</f>
        <v/>
      </c>
      <c r="F4238" s="46">
        <f>IF(E4238="","",IF(C4238&gt;WeekEndDate,"",E4238))</f>
        <v/>
      </c>
    </row>
    <row r="4239">
      <c r="A4239" t="inlineStr">
        <is>
          <t>Contractors</t>
        </is>
      </c>
      <c r="B4239" s="46">
        <f>'Contractors'!Y203</f>
        <v/>
      </c>
      <c r="C4239" s="84">
        <f>'Contractors'!W203</f>
        <v/>
      </c>
      <c r="D4239" s="46">
        <f>'Contractors'!X203</f>
        <v/>
      </c>
      <c r="E4239" s="46">
        <f>IF(OR(B4239="",C4239="",D4239=""),"",D4239*100000+(C4239-DATE(2000,1,1))+ROW()/100000)</f>
        <v/>
      </c>
      <c r="F4239" s="46">
        <f>IF(E4239="","",IF(C4239&gt;WeekEndDate,"",E4239))</f>
        <v/>
      </c>
    </row>
    <row r="4240">
      <c r="A4240" t="inlineStr">
        <is>
          <t>Contractors</t>
        </is>
      </c>
      <c r="B4240" s="46">
        <f>'Contractors'!Y204</f>
        <v/>
      </c>
      <c r="C4240" s="84">
        <f>'Contractors'!W204</f>
        <v/>
      </c>
      <c r="D4240" s="46">
        <f>'Contractors'!X204</f>
        <v/>
      </c>
      <c r="E4240" s="46">
        <f>IF(OR(B4240="",C4240="",D4240=""),"",D4240*100000+(C4240-DATE(2000,1,1))+ROW()/100000)</f>
        <v/>
      </c>
      <c r="F4240" s="46">
        <f>IF(E4240="","",IF(C4240&gt;WeekEndDate,"",E4240))</f>
        <v/>
      </c>
    </row>
    <row r="4241">
      <c r="A4241" t="inlineStr">
        <is>
          <t>Contractors</t>
        </is>
      </c>
      <c r="B4241" s="46">
        <f>'Contractors'!Y205</f>
        <v/>
      </c>
      <c r="C4241" s="84">
        <f>'Contractors'!W205</f>
        <v/>
      </c>
      <c r="D4241" s="46">
        <f>'Contractors'!X205</f>
        <v/>
      </c>
      <c r="E4241" s="46">
        <f>IF(OR(B4241="",C4241="",D4241=""),"",D4241*100000+(C4241-DATE(2000,1,1))+ROW()/100000)</f>
        <v/>
      </c>
      <c r="F4241" s="46">
        <f>IF(E4241="","",IF(C4241&gt;WeekEndDate,"",E4241))</f>
        <v/>
      </c>
    </row>
    <row r="4242">
      <c r="A4242" t="inlineStr">
        <is>
          <t>Contractors</t>
        </is>
      </c>
      <c r="B4242" s="46">
        <f>'Contractors'!Y206</f>
        <v/>
      </c>
      <c r="C4242" s="84">
        <f>'Contractors'!W206</f>
        <v/>
      </c>
      <c r="D4242" s="46">
        <f>'Contractors'!X206</f>
        <v/>
      </c>
      <c r="E4242" s="46">
        <f>IF(OR(B4242="",C4242="",D4242=""),"",D4242*100000+(C4242-DATE(2000,1,1))+ROW()/100000)</f>
        <v/>
      </c>
      <c r="F4242" s="46">
        <f>IF(E4242="","",IF(C4242&gt;WeekEndDate,"",E4242))</f>
        <v/>
      </c>
    </row>
    <row r="4243">
      <c r="A4243" t="inlineStr">
        <is>
          <t>Contractors</t>
        </is>
      </c>
      <c r="B4243" s="46">
        <f>'Contractors'!Y207</f>
        <v/>
      </c>
      <c r="C4243" s="84">
        <f>'Contractors'!W207</f>
        <v/>
      </c>
      <c r="D4243" s="46">
        <f>'Contractors'!X207</f>
        <v/>
      </c>
      <c r="E4243" s="46">
        <f>IF(OR(B4243="",C4243="",D4243=""),"",D4243*100000+(C4243-DATE(2000,1,1))+ROW()/100000)</f>
        <v/>
      </c>
      <c r="F4243" s="46">
        <f>IF(E4243="","",IF(C4243&gt;WeekEndDate,"",E4243))</f>
        <v/>
      </c>
    </row>
    <row r="4244">
      <c r="A4244" t="inlineStr">
        <is>
          <t>Contractors</t>
        </is>
      </c>
      <c r="B4244" s="46">
        <f>'Contractors'!Y208</f>
        <v/>
      </c>
      <c r="C4244" s="84">
        <f>'Contractors'!W208</f>
        <v/>
      </c>
      <c r="D4244" s="46">
        <f>'Contractors'!X208</f>
        <v/>
      </c>
      <c r="E4244" s="46">
        <f>IF(OR(B4244="",C4244="",D4244=""),"",D4244*100000+(C4244-DATE(2000,1,1))+ROW()/100000)</f>
        <v/>
      </c>
      <c r="F4244" s="46">
        <f>IF(E4244="","",IF(C4244&gt;WeekEndDate,"",E4244))</f>
        <v/>
      </c>
    </row>
    <row r="4245">
      <c r="A4245" t="inlineStr">
        <is>
          <t>Contractors</t>
        </is>
      </c>
      <c r="B4245" s="46">
        <f>'Contractors'!Y209</f>
        <v/>
      </c>
      <c r="C4245" s="84">
        <f>'Contractors'!W209</f>
        <v/>
      </c>
      <c r="D4245" s="46">
        <f>'Contractors'!X209</f>
        <v/>
      </c>
      <c r="E4245" s="46">
        <f>IF(OR(B4245="",C4245="",D4245=""),"",D4245*100000+(C4245-DATE(2000,1,1))+ROW()/100000)</f>
        <v/>
      </c>
      <c r="F4245" s="46">
        <f>IF(E4245="","",IF(C4245&gt;WeekEndDate,"",E4245))</f>
        <v/>
      </c>
    </row>
    <row r="4246">
      <c r="A4246" t="inlineStr">
        <is>
          <t>Contractors</t>
        </is>
      </c>
      <c r="B4246" s="46">
        <f>'Contractors'!Y210</f>
        <v/>
      </c>
      <c r="C4246" s="84">
        <f>'Contractors'!W210</f>
        <v/>
      </c>
      <c r="D4246" s="46">
        <f>'Contractors'!X210</f>
        <v/>
      </c>
      <c r="E4246" s="46">
        <f>IF(OR(B4246="",C4246="",D4246=""),"",D4246*100000+(C4246-DATE(2000,1,1))+ROW()/100000)</f>
        <v/>
      </c>
      <c r="F4246" s="46">
        <f>IF(E4246="","",IF(C4246&gt;WeekEndDate,"",E4246))</f>
        <v/>
      </c>
    </row>
    <row r="4247">
      <c r="A4247" t="inlineStr">
        <is>
          <t>Contractors</t>
        </is>
      </c>
      <c r="B4247" s="46">
        <f>'Contractors'!Y211</f>
        <v/>
      </c>
      <c r="C4247" s="84">
        <f>'Contractors'!W211</f>
        <v/>
      </c>
      <c r="D4247" s="46">
        <f>'Contractors'!X211</f>
        <v/>
      </c>
      <c r="E4247" s="46">
        <f>IF(OR(B4247="",C4247="",D4247=""),"",D4247*100000+(C4247-DATE(2000,1,1))+ROW()/100000)</f>
        <v/>
      </c>
      <c r="F4247" s="46">
        <f>IF(E4247="","",IF(C4247&gt;WeekEndDate,"",E4247))</f>
        <v/>
      </c>
    </row>
    <row r="4248">
      <c r="A4248" t="inlineStr">
        <is>
          <t>Contractors</t>
        </is>
      </c>
      <c r="B4248" s="46">
        <f>'Contractors'!Y212</f>
        <v/>
      </c>
      <c r="C4248" s="84">
        <f>'Contractors'!W212</f>
        <v/>
      </c>
      <c r="D4248" s="46">
        <f>'Contractors'!X212</f>
        <v/>
      </c>
      <c r="E4248" s="46">
        <f>IF(OR(B4248="",C4248="",D4248=""),"",D4248*100000+(C4248-DATE(2000,1,1))+ROW()/100000)</f>
        <v/>
      </c>
      <c r="F4248" s="46">
        <f>IF(E4248="","",IF(C4248&gt;WeekEndDate,"",E4248))</f>
        <v/>
      </c>
    </row>
    <row r="4249">
      <c r="A4249" t="inlineStr">
        <is>
          <t>Contractors</t>
        </is>
      </c>
      <c r="B4249" s="46">
        <f>'Contractors'!Y213</f>
        <v/>
      </c>
      <c r="C4249" s="84">
        <f>'Contractors'!W213</f>
        <v/>
      </c>
      <c r="D4249" s="46">
        <f>'Contractors'!X213</f>
        <v/>
      </c>
      <c r="E4249" s="46">
        <f>IF(OR(B4249="",C4249="",D4249=""),"",D4249*100000+(C4249-DATE(2000,1,1))+ROW()/100000)</f>
        <v/>
      </c>
      <c r="F4249" s="46">
        <f>IF(E4249="","",IF(C4249&gt;WeekEndDate,"",E4249))</f>
        <v/>
      </c>
    </row>
    <row r="4250">
      <c r="A4250" t="inlineStr">
        <is>
          <t>Contractors</t>
        </is>
      </c>
      <c r="B4250" s="46">
        <f>'Contractors'!Y214</f>
        <v/>
      </c>
      <c r="C4250" s="84">
        <f>'Contractors'!W214</f>
        <v/>
      </c>
      <c r="D4250" s="46">
        <f>'Contractors'!X214</f>
        <v/>
      </c>
      <c r="E4250" s="46">
        <f>IF(OR(B4250="",C4250="",D4250=""),"",D4250*100000+(C4250-DATE(2000,1,1))+ROW()/100000)</f>
        <v/>
      </c>
      <c r="F4250" s="46">
        <f>IF(E4250="","",IF(C4250&gt;WeekEndDate,"",E4250))</f>
        <v/>
      </c>
    </row>
    <row r="4251">
      <c r="A4251" t="inlineStr">
        <is>
          <t>Contractors</t>
        </is>
      </c>
      <c r="B4251" s="46">
        <f>'Contractors'!Y215</f>
        <v/>
      </c>
      <c r="C4251" s="84">
        <f>'Contractors'!W215</f>
        <v/>
      </c>
      <c r="D4251" s="46">
        <f>'Contractors'!X215</f>
        <v/>
      </c>
      <c r="E4251" s="46">
        <f>IF(OR(B4251="",C4251="",D4251=""),"",D4251*100000+(C4251-DATE(2000,1,1))+ROW()/100000)</f>
        <v/>
      </c>
      <c r="F4251" s="46">
        <f>IF(E4251="","",IF(C4251&gt;WeekEndDate,"",E4251))</f>
        <v/>
      </c>
    </row>
    <row r="4252">
      <c r="A4252" t="inlineStr">
        <is>
          <t>Contractors</t>
        </is>
      </c>
      <c r="B4252" s="46">
        <f>'Contractors'!Y216</f>
        <v/>
      </c>
      <c r="C4252" s="84">
        <f>'Contractors'!W216</f>
        <v/>
      </c>
      <c r="D4252" s="46">
        <f>'Contractors'!X216</f>
        <v/>
      </c>
      <c r="E4252" s="46">
        <f>IF(OR(B4252="",C4252="",D4252=""),"",D4252*100000+(C4252-DATE(2000,1,1))+ROW()/100000)</f>
        <v/>
      </c>
      <c r="F4252" s="46">
        <f>IF(E4252="","",IF(C4252&gt;WeekEndDate,"",E4252))</f>
        <v/>
      </c>
    </row>
    <row r="4253">
      <c r="A4253" t="inlineStr">
        <is>
          <t>Contractors</t>
        </is>
      </c>
      <c r="B4253" s="46">
        <f>'Contractors'!Y217</f>
        <v/>
      </c>
      <c r="C4253" s="84">
        <f>'Contractors'!W217</f>
        <v/>
      </c>
      <c r="D4253" s="46">
        <f>'Contractors'!X217</f>
        <v/>
      </c>
      <c r="E4253" s="46">
        <f>IF(OR(B4253="",C4253="",D4253=""),"",D4253*100000+(C4253-DATE(2000,1,1))+ROW()/100000)</f>
        <v/>
      </c>
      <c r="F4253" s="46">
        <f>IF(E4253="","",IF(C4253&gt;WeekEndDate,"",E4253))</f>
        <v/>
      </c>
    </row>
    <row r="4254">
      <c r="A4254" t="inlineStr">
        <is>
          <t>Contractors</t>
        </is>
      </c>
      <c r="B4254" s="46">
        <f>'Contractors'!Y218</f>
        <v/>
      </c>
      <c r="C4254" s="84">
        <f>'Contractors'!W218</f>
        <v/>
      </c>
      <c r="D4254" s="46">
        <f>'Contractors'!X218</f>
        <v/>
      </c>
      <c r="E4254" s="46">
        <f>IF(OR(B4254="",C4254="",D4254=""),"",D4254*100000+(C4254-DATE(2000,1,1))+ROW()/100000)</f>
        <v/>
      </c>
      <c r="F4254" s="46">
        <f>IF(E4254="","",IF(C4254&gt;WeekEndDate,"",E4254))</f>
        <v/>
      </c>
    </row>
    <row r="4255">
      <c r="A4255" t="inlineStr">
        <is>
          <t>Contractors</t>
        </is>
      </c>
      <c r="B4255" s="46">
        <f>'Contractors'!Y219</f>
        <v/>
      </c>
      <c r="C4255" s="84">
        <f>'Contractors'!W219</f>
        <v/>
      </c>
      <c r="D4255" s="46">
        <f>'Contractors'!X219</f>
        <v/>
      </c>
      <c r="E4255" s="46">
        <f>IF(OR(B4255="",C4255="",D4255=""),"",D4255*100000+(C4255-DATE(2000,1,1))+ROW()/100000)</f>
        <v/>
      </c>
      <c r="F4255" s="46">
        <f>IF(E4255="","",IF(C4255&gt;WeekEndDate,"",E4255))</f>
        <v/>
      </c>
    </row>
    <row r="4256">
      <c r="A4256" t="inlineStr">
        <is>
          <t>Contractors</t>
        </is>
      </c>
      <c r="B4256" s="46">
        <f>'Contractors'!Y220</f>
        <v/>
      </c>
      <c r="C4256" s="84">
        <f>'Contractors'!W220</f>
        <v/>
      </c>
      <c r="D4256" s="46">
        <f>'Contractors'!X220</f>
        <v/>
      </c>
      <c r="E4256" s="46">
        <f>IF(OR(B4256="",C4256="",D4256=""),"",D4256*100000+(C4256-DATE(2000,1,1))+ROW()/100000)</f>
        <v/>
      </c>
      <c r="F4256" s="46">
        <f>IF(E4256="","",IF(C4256&gt;WeekEndDate,"",E4256))</f>
        <v/>
      </c>
    </row>
    <row r="4257">
      <c r="A4257" t="inlineStr">
        <is>
          <t>Contractors</t>
        </is>
      </c>
      <c r="B4257" s="46">
        <f>'Contractors'!Y221</f>
        <v/>
      </c>
      <c r="C4257" s="84">
        <f>'Contractors'!W221</f>
        <v/>
      </c>
      <c r="D4257" s="46">
        <f>'Contractors'!X221</f>
        <v/>
      </c>
      <c r="E4257" s="46">
        <f>IF(OR(B4257="",C4257="",D4257=""),"",D4257*100000+(C4257-DATE(2000,1,1))+ROW()/100000)</f>
        <v/>
      </c>
      <c r="F4257" s="46">
        <f>IF(E4257="","",IF(C4257&gt;WeekEndDate,"",E4257))</f>
        <v/>
      </c>
    </row>
    <row r="4258">
      <c r="A4258" t="inlineStr">
        <is>
          <t>Contractors</t>
        </is>
      </c>
      <c r="B4258" s="46">
        <f>'Contractors'!Y222</f>
        <v/>
      </c>
      <c r="C4258" s="84">
        <f>'Contractors'!W222</f>
        <v/>
      </c>
      <c r="D4258" s="46">
        <f>'Contractors'!X222</f>
        <v/>
      </c>
      <c r="E4258" s="46">
        <f>IF(OR(B4258="",C4258="",D4258=""),"",D4258*100000+(C4258-DATE(2000,1,1))+ROW()/100000)</f>
        <v/>
      </c>
      <c r="F4258" s="46">
        <f>IF(E4258="","",IF(C4258&gt;WeekEndDate,"",E4258))</f>
        <v/>
      </c>
    </row>
    <row r="4259">
      <c r="A4259" t="inlineStr">
        <is>
          <t>Contractors</t>
        </is>
      </c>
      <c r="B4259" s="46">
        <f>'Contractors'!Y223</f>
        <v/>
      </c>
      <c r="C4259" s="84">
        <f>'Contractors'!W223</f>
        <v/>
      </c>
      <c r="D4259" s="46">
        <f>'Contractors'!X223</f>
        <v/>
      </c>
      <c r="E4259" s="46">
        <f>IF(OR(B4259="",C4259="",D4259=""),"",D4259*100000+(C4259-DATE(2000,1,1))+ROW()/100000)</f>
        <v/>
      </c>
      <c r="F4259" s="46">
        <f>IF(E4259="","",IF(C4259&gt;WeekEndDate,"",E4259))</f>
        <v/>
      </c>
    </row>
    <row r="4260">
      <c r="A4260" t="inlineStr">
        <is>
          <t>Contractors</t>
        </is>
      </c>
      <c r="B4260" s="46">
        <f>'Contractors'!Y224</f>
        <v/>
      </c>
      <c r="C4260" s="84">
        <f>'Contractors'!W224</f>
        <v/>
      </c>
      <c r="D4260" s="46">
        <f>'Contractors'!X224</f>
        <v/>
      </c>
      <c r="E4260" s="46">
        <f>IF(OR(B4260="",C4260="",D4260=""),"",D4260*100000+(C4260-DATE(2000,1,1))+ROW()/100000)</f>
        <v/>
      </c>
      <c r="F4260" s="46">
        <f>IF(E4260="","",IF(C4260&gt;WeekEndDate,"",E4260))</f>
        <v/>
      </c>
    </row>
    <row r="4261">
      <c r="A4261" t="inlineStr">
        <is>
          <t>Contractors</t>
        </is>
      </c>
      <c r="B4261" s="46">
        <f>'Contractors'!Y225</f>
        <v/>
      </c>
      <c r="C4261" s="84">
        <f>'Contractors'!W225</f>
        <v/>
      </c>
      <c r="D4261" s="46">
        <f>'Contractors'!X225</f>
        <v/>
      </c>
      <c r="E4261" s="46">
        <f>IF(OR(B4261="",C4261="",D4261=""),"",D4261*100000+(C4261-DATE(2000,1,1))+ROW()/100000)</f>
        <v/>
      </c>
      <c r="F4261" s="46">
        <f>IF(E4261="","",IF(C4261&gt;WeekEndDate,"",E4261))</f>
        <v/>
      </c>
    </row>
    <row r="4262">
      <c r="A4262" t="inlineStr">
        <is>
          <t>Contractors</t>
        </is>
      </c>
      <c r="B4262" s="46">
        <f>'Contractors'!Y226</f>
        <v/>
      </c>
      <c r="C4262" s="84">
        <f>'Contractors'!W226</f>
        <v/>
      </c>
      <c r="D4262" s="46">
        <f>'Contractors'!X226</f>
        <v/>
      </c>
      <c r="E4262" s="46">
        <f>IF(OR(B4262="",C4262="",D4262=""),"",D4262*100000+(C4262-DATE(2000,1,1))+ROW()/100000)</f>
        <v/>
      </c>
      <c r="F4262" s="46">
        <f>IF(E4262="","",IF(C4262&gt;WeekEndDate,"",E4262))</f>
        <v/>
      </c>
    </row>
    <row r="4263">
      <c r="A4263" t="inlineStr">
        <is>
          <t>Contractors</t>
        </is>
      </c>
      <c r="B4263" s="46">
        <f>'Contractors'!Y227</f>
        <v/>
      </c>
      <c r="C4263" s="84">
        <f>'Contractors'!W227</f>
        <v/>
      </c>
      <c r="D4263" s="46">
        <f>'Contractors'!X227</f>
        <v/>
      </c>
      <c r="E4263" s="46">
        <f>IF(OR(B4263="",C4263="",D4263=""),"",D4263*100000+(C4263-DATE(2000,1,1))+ROW()/100000)</f>
        <v/>
      </c>
      <c r="F4263" s="46">
        <f>IF(E4263="","",IF(C4263&gt;WeekEndDate,"",E4263))</f>
        <v/>
      </c>
    </row>
    <row r="4264">
      <c r="A4264" t="inlineStr">
        <is>
          <t>Contractors</t>
        </is>
      </c>
      <c r="B4264" s="46">
        <f>'Contractors'!Y228</f>
        <v/>
      </c>
      <c r="C4264" s="84">
        <f>'Contractors'!W228</f>
        <v/>
      </c>
      <c r="D4264" s="46">
        <f>'Contractors'!X228</f>
        <v/>
      </c>
      <c r="E4264" s="46">
        <f>IF(OR(B4264="",C4264="",D4264=""),"",D4264*100000+(C4264-DATE(2000,1,1))+ROW()/100000)</f>
        <v/>
      </c>
      <c r="F4264" s="46">
        <f>IF(E4264="","",IF(C4264&gt;WeekEndDate,"",E4264))</f>
        <v/>
      </c>
    </row>
    <row r="4265">
      <c r="A4265" t="inlineStr">
        <is>
          <t>Contractors</t>
        </is>
      </c>
      <c r="B4265" s="46">
        <f>'Contractors'!Y229</f>
        <v/>
      </c>
      <c r="C4265" s="84">
        <f>'Contractors'!W229</f>
        <v/>
      </c>
      <c r="D4265" s="46">
        <f>'Contractors'!X229</f>
        <v/>
      </c>
      <c r="E4265" s="46">
        <f>IF(OR(B4265="",C4265="",D4265=""),"",D4265*100000+(C4265-DATE(2000,1,1))+ROW()/100000)</f>
        <v/>
      </c>
      <c r="F4265" s="46">
        <f>IF(E4265="","",IF(C4265&gt;WeekEndDate,"",E4265))</f>
        <v/>
      </c>
    </row>
    <row r="4266">
      <c r="A4266" t="inlineStr">
        <is>
          <t>Contractors</t>
        </is>
      </c>
      <c r="B4266" s="46">
        <f>'Contractors'!Y230</f>
        <v/>
      </c>
      <c r="C4266" s="84">
        <f>'Contractors'!W230</f>
        <v/>
      </c>
      <c r="D4266" s="46">
        <f>'Contractors'!X230</f>
        <v/>
      </c>
      <c r="E4266" s="46">
        <f>IF(OR(B4266="",C4266="",D4266=""),"",D4266*100000+(C4266-DATE(2000,1,1))+ROW()/100000)</f>
        <v/>
      </c>
      <c r="F4266" s="46">
        <f>IF(E4266="","",IF(C4266&gt;WeekEndDate,"",E4266))</f>
        <v/>
      </c>
    </row>
    <row r="4267">
      <c r="A4267" t="inlineStr">
        <is>
          <t>Contractors</t>
        </is>
      </c>
      <c r="B4267" s="46">
        <f>'Contractors'!Y231</f>
        <v/>
      </c>
      <c r="C4267" s="84">
        <f>'Contractors'!W231</f>
        <v/>
      </c>
      <c r="D4267" s="46">
        <f>'Contractors'!X231</f>
        <v/>
      </c>
      <c r="E4267" s="46">
        <f>IF(OR(B4267="",C4267="",D4267=""),"",D4267*100000+(C4267-DATE(2000,1,1))+ROW()/100000)</f>
        <v/>
      </c>
      <c r="F4267" s="46">
        <f>IF(E4267="","",IF(C4267&gt;WeekEndDate,"",E4267))</f>
        <v/>
      </c>
    </row>
    <row r="4268">
      <c r="A4268" t="inlineStr">
        <is>
          <t>Contractors</t>
        </is>
      </c>
      <c r="B4268" s="46">
        <f>'Contractors'!Y232</f>
        <v/>
      </c>
      <c r="C4268" s="84">
        <f>'Contractors'!W232</f>
        <v/>
      </c>
      <c r="D4268" s="46">
        <f>'Contractors'!X232</f>
        <v/>
      </c>
      <c r="E4268" s="46">
        <f>IF(OR(B4268="",C4268="",D4268=""),"",D4268*100000+(C4268-DATE(2000,1,1))+ROW()/100000)</f>
        <v/>
      </c>
      <c r="F4268" s="46">
        <f>IF(E4268="","",IF(C4268&gt;WeekEndDate,"",E4268))</f>
        <v/>
      </c>
    </row>
    <row r="4269">
      <c r="A4269" t="inlineStr">
        <is>
          <t>Contractors</t>
        </is>
      </c>
      <c r="B4269" s="46">
        <f>'Contractors'!Y233</f>
        <v/>
      </c>
      <c r="C4269" s="84">
        <f>'Contractors'!W233</f>
        <v/>
      </c>
      <c r="D4269" s="46">
        <f>'Contractors'!X233</f>
        <v/>
      </c>
      <c r="E4269" s="46">
        <f>IF(OR(B4269="",C4269="",D4269=""),"",D4269*100000+(C4269-DATE(2000,1,1))+ROW()/100000)</f>
        <v/>
      </c>
      <c r="F4269" s="46">
        <f>IF(E4269="","",IF(C4269&gt;WeekEndDate,"",E4269))</f>
        <v/>
      </c>
    </row>
    <row r="4270">
      <c r="A4270" t="inlineStr">
        <is>
          <t>Contractors</t>
        </is>
      </c>
      <c r="B4270" s="46">
        <f>'Contractors'!Y234</f>
        <v/>
      </c>
      <c r="C4270" s="84">
        <f>'Contractors'!W234</f>
        <v/>
      </c>
      <c r="D4270" s="46">
        <f>'Contractors'!X234</f>
        <v/>
      </c>
      <c r="E4270" s="46">
        <f>IF(OR(B4270="",C4270="",D4270=""),"",D4270*100000+(C4270-DATE(2000,1,1))+ROW()/100000)</f>
        <v/>
      </c>
      <c r="F4270" s="46">
        <f>IF(E4270="","",IF(C4270&gt;WeekEndDate,"",E4270))</f>
        <v/>
      </c>
    </row>
    <row r="4271">
      <c r="A4271" t="inlineStr">
        <is>
          <t>Contractors</t>
        </is>
      </c>
      <c r="B4271" s="46">
        <f>'Contractors'!Y235</f>
        <v/>
      </c>
      <c r="C4271" s="84">
        <f>'Contractors'!W235</f>
        <v/>
      </c>
      <c r="D4271" s="46">
        <f>'Contractors'!X235</f>
        <v/>
      </c>
      <c r="E4271" s="46">
        <f>IF(OR(B4271="",C4271="",D4271=""),"",D4271*100000+(C4271-DATE(2000,1,1))+ROW()/100000)</f>
        <v/>
      </c>
      <c r="F4271" s="46">
        <f>IF(E4271="","",IF(C4271&gt;WeekEndDate,"",E4271))</f>
        <v/>
      </c>
    </row>
    <row r="4272">
      <c r="A4272" t="inlineStr">
        <is>
          <t>Contractors</t>
        </is>
      </c>
      <c r="B4272" s="46">
        <f>'Contractors'!Y236</f>
        <v/>
      </c>
      <c r="C4272" s="84">
        <f>'Contractors'!W236</f>
        <v/>
      </c>
      <c r="D4272" s="46">
        <f>'Contractors'!X236</f>
        <v/>
      </c>
      <c r="E4272" s="46">
        <f>IF(OR(B4272="",C4272="",D4272=""),"",D4272*100000+(C4272-DATE(2000,1,1))+ROW()/100000)</f>
        <v/>
      </c>
      <c r="F4272" s="46">
        <f>IF(E4272="","",IF(C4272&gt;WeekEndDate,"",E4272))</f>
        <v/>
      </c>
    </row>
    <row r="4273">
      <c r="A4273" t="inlineStr">
        <is>
          <t>Contractors</t>
        </is>
      </c>
      <c r="B4273" s="46">
        <f>'Contractors'!Y237</f>
        <v/>
      </c>
      <c r="C4273" s="84">
        <f>'Contractors'!W237</f>
        <v/>
      </c>
      <c r="D4273" s="46">
        <f>'Contractors'!X237</f>
        <v/>
      </c>
      <c r="E4273" s="46">
        <f>IF(OR(B4273="",C4273="",D4273=""),"",D4273*100000+(C4273-DATE(2000,1,1))+ROW()/100000)</f>
        <v/>
      </c>
      <c r="F4273" s="46">
        <f>IF(E4273="","",IF(C4273&gt;WeekEndDate,"",E4273))</f>
        <v/>
      </c>
    </row>
    <row r="4274">
      <c r="A4274" t="inlineStr">
        <is>
          <t>Contractors</t>
        </is>
      </c>
      <c r="B4274" s="46">
        <f>'Contractors'!Y238</f>
        <v/>
      </c>
      <c r="C4274" s="84">
        <f>'Contractors'!W238</f>
        <v/>
      </c>
      <c r="D4274" s="46">
        <f>'Contractors'!X238</f>
        <v/>
      </c>
      <c r="E4274" s="46">
        <f>IF(OR(B4274="",C4274="",D4274=""),"",D4274*100000+(C4274-DATE(2000,1,1))+ROW()/100000)</f>
        <v/>
      </c>
      <c r="F4274" s="46">
        <f>IF(E4274="","",IF(C4274&gt;WeekEndDate,"",E4274))</f>
        <v/>
      </c>
    </row>
    <row r="4275">
      <c r="A4275" t="inlineStr">
        <is>
          <t>Contractors</t>
        </is>
      </c>
      <c r="B4275" s="46">
        <f>'Contractors'!Y239</f>
        <v/>
      </c>
      <c r="C4275" s="84">
        <f>'Contractors'!W239</f>
        <v/>
      </c>
      <c r="D4275" s="46">
        <f>'Contractors'!X239</f>
        <v/>
      </c>
      <c r="E4275" s="46">
        <f>IF(OR(B4275="",C4275="",D4275=""),"",D4275*100000+(C4275-DATE(2000,1,1))+ROW()/100000)</f>
        <v/>
      </c>
      <c r="F4275" s="46">
        <f>IF(E4275="","",IF(C4275&gt;WeekEndDate,"",E4275))</f>
        <v/>
      </c>
    </row>
    <row r="4276">
      <c r="A4276" t="inlineStr">
        <is>
          <t>Contractors</t>
        </is>
      </c>
      <c r="B4276" s="46">
        <f>'Contractors'!Y240</f>
        <v/>
      </c>
      <c r="C4276" s="84">
        <f>'Contractors'!W240</f>
        <v/>
      </c>
      <c r="D4276" s="46">
        <f>'Contractors'!X240</f>
        <v/>
      </c>
      <c r="E4276" s="46">
        <f>IF(OR(B4276="",C4276="",D4276=""),"",D4276*100000+(C4276-DATE(2000,1,1))+ROW()/100000)</f>
        <v/>
      </c>
      <c r="F4276" s="46">
        <f>IF(E4276="","",IF(C4276&gt;WeekEndDate,"",E4276))</f>
        <v/>
      </c>
    </row>
    <row r="4277">
      <c r="A4277" t="inlineStr">
        <is>
          <t>Contractors</t>
        </is>
      </c>
      <c r="B4277" s="46">
        <f>'Contractors'!Y241</f>
        <v/>
      </c>
      <c r="C4277" s="84">
        <f>'Contractors'!W241</f>
        <v/>
      </c>
      <c r="D4277" s="46">
        <f>'Contractors'!X241</f>
        <v/>
      </c>
      <c r="E4277" s="46">
        <f>IF(OR(B4277="",C4277="",D4277=""),"",D4277*100000+(C4277-DATE(2000,1,1))+ROW()/100000)</f>
        <v/>
      </c>
      <c r="F4277" s="46">
        <f>IF(E4277="","",IF(C4277&gt;WeekEndDate,"",E4277))</f>
        <v/>
      </c>
    </row>
    <row r="4278">
      <c r="A4278" t="inlineStr">
        <is>
          <t>Contractors</t>
        </is>
      </c>
      <c r="B4278" s="46">
        <f>'Contractors'!Y242</f>
        <v/>
      </c>
      <c r="C4278" s="84">
        <f>'Contractors'!W242</f>
        <v/>
      </c>
      <c r="D4278" s="46">
        <f>'Contractors'!X242</f>
        <v/>
      </c>
      <c r="E4278" s="46">
        <f>IF(OR(B4278="",C4278="",D4278=""),"",D4278*100000+(C4278-DATE(2000,1,1))+ROW()/100000)</f>
        <v/>
      </c>
      <c r="F4278" s="46">
        <f>IF(E4278="","",IF(C4278&gt;WeekEndDate,"",E4278))</f>
        <v/>
      </c>
    </row>
    <row r="4279">
      <c r="A4279" t="inlineStr">
        <is>
          <t>Contractors</t>
        </is>
      </c>
      <c r="B4279" s="46">
        <f>'Contractors'!Y243</f>
        <v/>
      </c>
      <c r="C4279" s="84">
        <f>'Contractors'!W243</f>
        <v/>
      </c>
      <c r="D4279" s="46">
        <f>'Contractors'!X243</f>
        <v/>
      </c>
      <c r="E4279" s="46">
        <f>IF(OR(B4279="",C4279="",D4279=""),"",D4279*100000+(C4279-DATE(2000,1,1))+ROW()/100000)</f>
        <v/>
      </c>
      <c r="F4279" s="46">
        <f>IF(E4279="","",IF(C4279&gt;WeekEndDate,"",E4279))</f>
        <v/>
      </c>
    </row>
    <row r="4280">
      <c r="A4280" t="inlineStr">
        <is>
          <t>Contractors</t>
        </is>
      </c>
      <c r="B4280" s="46">
        <f>'Contractors'!Y244</f>
        <v/>
      </c>
      <c r="C4280" s="84">
        <f>'Contractors'!W244</f>
        <v/>
      </c>
      <c r="D4280" s="46">
        <f>'Contractors'!X244</f>
        <v/>
      </c>
      <c r="E4280" s="46">
        <f>IF(OR(B4280="",C4280="",D4280=""),"",D4280*100000+(C4280-DATE(2000,1,1))+ROW()/100000)</f>
        <v/>
      </c>
      <c r="F4280" s="46">
        <f>IF(E4280="","",IF(C4280&gt;WeekEndDate,"",E4280))</f>
        <v/>
      </c>
    </row>
    <row r="4281">
      <c r="A4281" t="inlineStr">
        <is>
          <t>Contractors</t>
        </is>
      </c>
      <c r="B4281" s="46">
        <f>'Contractors'!Y245</f>
        <v/>
      </c>
      <c r="C4281" s="84">
        <f>'Contractors'!W245</f>
        <v/>
      </c>
      <c r="D4281" s="46">
        <f>'Contractors'!X245</f>
        <v/>
      </c>
      <c r="E4281" s="46">
        <f>IF(OR(B4281="",C4281="",D4281=""),"",D4281*100000+(C4281-DATE(2000,1,1))+ROW()/100000)</f>
        <v/>
      </c>
      <c r="F4281" s="46">
        <f>IF(E4281="","",IF(C4281&gt;WeekEndDate,"",E4281))</f>
        <v/>
      </c>
    </row>
    <row r="4282">
      <c r="A4282" t="inlineStr">
        <is>
          <t>Contractors</t>
        </is>
      </c>
      <c r="B4282" s="46">
        <f>'Contractors'!Y246</f>
        <v/>
      </c>
      <c r="C4282" s="84">
        <f>'Contractors'!W246</f>
        <v/>
      </c>
      <c r="D4282" s="46">
        <f>'Contractors'!X246</f>
        <v/>
      </c>
      <c r="E4282" s="46">
        <f>IF(OR(B4282="",C4282="",D4282=""),"",D4282*100000+(C4282-DATE(2000,1,1))+ROW()/100000)</f>
        <v/>
      </c>
      <c r="F4282" s="46">
        <f>IF(E4282="","",IF(C4282&gt;WeekEndDate,"",E4282))</f>
        <v/>
      </c>
    </row>
    <row r="4283">
      <c r="A4283" t="inlineStr">
        <is>
          <t>Contractors</t>
        </is>
      </c>
      <c r="B4283" s="46">
        <f>'Contractors'!Y247</f>
        <v/>
      </c>
      <c r="C4283" s="84">
        <f>'Contractors'!W247</f>
        <v/>
      </c>
      <c r="D4283" s="46">
        <f>'Contractors'!X247</f>
        <v/>
      </c>
      <c r="E4283" s="46">
        <f>IF(OR(B4283="",C4283="",D4283=""),"",D4283*100000+(C4283-DATE(2000,1,1))+ROW()/100000)</f>
        <v/>
      </c>
      <c r="F4283" s="46">
        <f>IF(E4283="","",IF(C4283&gt;WeekEndDate,"",E4283))</f>
        <v/>
      </c>
    </row>
    <row r="4284">
      <c r="A4284" t="inlineStr">
        <is>
          <t>Contractors</t>
        </is>
      </c>
      <c r="B4284" s="46">
        <f>'Contractors'!Y248</f>
        <v/>
      </c>
      <c r="C4284" s="84">
        <f>'Contractors'!W248</f>
        <v/>
      </c>
      <c r="D4284" s="46">
        <f>'Contractors'!X248</f>
        <v/>
      </c>
      <c r="E4284" s="46">
        <f>IF(OR(B4284="",C4284="",D4284=""),"",D4284*100000+(C4284-DATE(2000,1,1))+ROW()/100000)</f>
        <v/>
      </c>
      <c r="F4284" s="46">
        <f>IF(E4284="","",IF(C4284&gt;WeekEndDate,"",E4284))</f>
        <v/>
      </c>
    </row>
    <row r="4285">
      <c r="A4285" t="inlineStr">
        <is>
          <t>Contractors</t>
        </is>
      </c>
      <c r="B4285" s="46">
        <f>'Contractors'!Y249</f>
        <v/>
      </c>
      <c r="C4285" s="84">
        <f>'Contractors'!W249</f>
        <v/>
      </c>
      <c r="D4285" s="46">
        <f>'Contractors'!X249</f>
        <v/>
      </c>
      <c r="E4285" s="46">
        <f>IF(OR(B4285="",C4285="",D4285=""),"",D4285*100000+(C4285-DATE(2000,1,1))+ROW()/100000)</f>
        <v/>
      </c>
      <c r="F4285" s="46">
        <f>IF(E4285="","",IF(C4285&gt;WeekEndDate,"",E4285))</f>
        <v/>
      </c>
    </row>
    <row r="4286">
      <c r="A4286" t="inlineStr">
        <is>
          <t>Contractors</t>
        </is>
      </c>
      <c r="B4286" s="46">
        <f>'Contractors'!Y250</f>
        <v/>
      </c>
      <c r="C4286" s="84">
        <f>'Contractors'!W250</f>
        <v/>
      </c>
      <c r="D4286" s="46">
        <f>'Contractors'!X250</f>
        <v/>
      </c>
      <c r="E4286" s="46">
        <f>IF(OR(B4286="",C4286="",D4286=""),"",D4286*100000+(C4286-DATE(2000,1,1))+ROW()/100000)</f>
        <v/>
      </c>
      <c r="F4286" s="46">
        <f>IF(E4286="","",IF(C4286&gt;WeekEndDate,"",E4286))</f>
        <v/>
      </c>
    </row>
    <row r="4287">
      <c r="A4287" t="inlineStr">
        <is>
          <t>Contractors</t>
        </is>
      </c>
      <c r="B4287" s="46">
        <f>'Contractors'!Y251</f>
        <v/>
      </c>
      <c r="C4287" s="84">
        <f>'Contractors'!W251</f>
        <v/>
      </c>
      <c r="D4287" s="46">
        <f>'Contractors'!X251</f>
        <v/>
      </c>
      <c r="E4287" s="46">
        <f>IF(OR(B4287="",C4287="",D4287=""),"",D4287*100000+(C4287-DATE(2000,1,1))+ROW()/100000)</f>
        <v/>
      </c>
      <c r="F4287" s="46">
        <f>IF(E4287="","",IF(C4287&gt;WeekEndDate,"",E4287))</f>
        <v/>
      </c>
    </row>
    <row r="4288">
      <c r="A4288" t="inlineStr">
        <is>
          <t>Contractors</t>
        </is>
      </c>
      <c r="B4288" s="46">
        <f>'Contractors'!Y252</f>
        <v/>
      </c>
      <c r="C4288" s="84">
        <f>'Contractors'!W252</f>
        <v/>
      </c>
      <c r="D4288" s="46">
        <f>'Contractors'!X252</f>
        <v/>
      </c>
      <c r="E4288" s="46">
        <f>IF(OR(B4288="",C4288="",D4288=""),"",D4288*100000+(C4288-DATE(2000,1,1))+ROW()/100000)</f>
        <v/>
      </c>
      <c r="F4288" s="46">
        <f>IF(E4288="","",IF(C4288&gt;WeekEndDate,"",E4288))</f>
        <v/>
      </c>
    </row>
    <row r="4289">
      <c r="A4289" t="inlineStr">
        <is>
          <t>Contractors</t>
        </is>
      </c>
      <c r="B4289" s="46">
        <f>'Contractors'!Y253</f>
        <v/>
      </c>
      <c r="C4289" s="84">
        <f>'Contractors'!W253</f>
        <v/>
      </c>
      <c r="D4289" s="46">
        <f>'Contractors'!X253</f>
        <v/>
      </c>
      <c r="E4289" s="46">
        <f>IF(OR(B4289="",C4289="",D4289=""),"",D4289*100000+(C4289-DATE(2000,1,1))+ROW()/100000)</f>
        <v/>
      </c>
      <c r="F4289" s="46">
        <f>IF(E4289="","",IF(C4289&gt;WeekEndDate,"",E4289))</f>
        <v/>
      </c>
    </row>
    <row r="4290">
      <c r="A4290" t="inlineStr">
        <is>
          <t>Contractors</t>
        </is>
      </c>
      <c r="B4290" s="46">
        <f>'Contractors'!Y254</f>
        <v/>
      </c>
      <c r="C4290" s="84">
        <f>'Contractors'!W254</f>
        <v/>
      </c>
      <c r="D4290" s="46">
        <f>'Contractors'!X254</f>
        <v/>
      </c>
      <c r="E4290" s="46">
        <f>IF(OR(B4290="",C4290="",D4290=""),"",D4290*100000+(C4290-DATE(2000,1,1))+ROW()/100000)</f>
        <v/>
      </c>
      <c r="F4290" s="46">
        <f>IF(E4290="","",IF(C4290&gt;WeekEndDate,"",E4290))</f>
        <v/>
      </c>
    </row>
    <row r="4291">
      <c r="A4291" t="inlineStr">
        <is>
          <t>Contractors</t>
        </is>
      </c>
      <c r="B4291" s="46">
        <f>'Contractors'!Y255</f>
        <v/>
      </c>
      <c r="C4291" s="84">
        <f>'Contractors'!W255</f>
        <v/>
      </c>
      <c r="D4291" s="46">
        <f>'Contractors'!X255</f>
        <v/>
      </c>
      <c r="E4291" s="46">
        <f>IF(OR(B4291="",C4291="",D4291=""),"",D4291*100000+(C4291-DATE(2000,1,1))+ROW()/100000)</f>
        <v/>
      </c>
      <c r="F4291" s="46">
        <f>IF(E4291="","",IF(C4291&gt;WeekEndDate,"",E4291))</f>
        <v/>
      </c>
    </row>
    <row r="4292">
      <c r="A4292" t="inlineStr">
        <is>
          <t>Contractors</t>
        </is>
      </c>
      <c r="B4292" s="46">
        <f>'Contractors'!Y256</f>
        <v/>
      </c>
      <c r="C4292" s="84">
        <f>'Contractors'!W256</f>
        <v/>
      </c>
      <c r="D4292" s="46">
        <f>'Contractors'!X256</f>
        <v/>
      </c>
      <c r="E4292" s="46">
        <f>IF(OR(B4292="",C4292="",D4292=""),"",D4292*100000+(C4292-DATE(2000,1,1))+ROW()/100000)</f>
        <v/>
      </c>
      <c r="F4292" s="46">
        <f>IF(E4292="","",IF(C4292&gt;WeekEndDate,"",E4292))</f>
        <v/>
      </c>
    </row>
    <row r="4293">
      <c r="A4293" t="inlineStr">
        <is>
          <t>Contractors</t>
        </is>
      </c>
      <c r="B4293" s="46">
        <f>'Contractors'!Y257</f>
        <v/>
      </c>
      <c r="C4293" s="84">
        <f>'Contractors'!W257</f>
        <v/>
      </c>
      <c r="D4293" s="46">
        <f>'Contractors'!X257</f>
        <v/>
      </c>
      <c r="E4293" s="46">
        <f>IF(OR(B4293="",C4293="",D4293=""),"",D4293*100000+(C4293-DATE(2000,1,1))+ROW()/100000)</f>
        <v/>
      </c>
      <c r="F4293" s="46">
        <f>IF(E4293="","",IF(C4293&gt;WeekEndDate,"",E4293))</f>
        <v/>
      </c>
    </row>
    <row r="4294">
      <c r="A4294" t="inlineStr">
        <is>
          <t>Contractors</t>
        </is>
      </c>
      <c r="B4294" s="46">
        <f>'Contractors'!Y258</f>
        <v/>
      </c>
      <c r="C4294" s="84">
        <f>'Contractors'!W258</f>
        <v/>
      </c>
      <c r="D4294" s="46">
        <f>'Contractors'!X258</f>
        <v/>
      </c>
      <c r="E4294" s="46">
        <f>IF(OR(B4294="",C4294="",D4294=""),"",D4294*100000+(C4294-DATE(2000,1,1))+ROW()/100000)</f>
        <v/>
      </c>
      <c r="F4294" s="46">
        <f>IF(E4294="","",IF(C4294&gt;WeekEndDate,"",E4294))</f>
        <v/>
      </c>
    </row>
    <row r="4295">
      <c r="A4295" t="inlineStr">
        <is>
          <t>Contractors</t>
        </is>
      </c>
      <c r="B4295" s="46">
        <f>'Contractors'!Y259</f>
        <v/>
      </c>
      <c r="C4295" s="84">
        <f>'Contractors'!W259</f>
        <v/>
      </c>
      <c r="D4295" s="46">
        <f>'Contractors'!X259</f>
        <v/>
      </c>
      <c r="E4295" s="46">
        <f>IF(OR(B4295="",C4295="",D4295=""),"",D4295*100000+(C4295-DATE(2000,1,1))+ROW()/100000)</f>
        <v/>
      </c>
      <c r="F4295" s="46">
        <f>IF(E4295="","",IF(C4295&gt;WeekEndDate,"",E4295))</f>
        <v/>
      </c>
    </row>
    <row r="4296">
      <c r="A4296" t="inlineStr">
        <is>
          <t>Contractors</t>
        </is>
      </c>
      <c r="B4296" s="46">
        <f>'Contractors'!Y260</f>
        <v/>
      </c>
      <c r="C4296" s="84">
        <f>'Contractors'!W260</f>
        <v/>
      </c>
      <c r="D4296" s="46">
        <f>'Contractors'!X260</f>
        <v/>
      </c>
      <c r="E4296" s="46">
        <f>IF(OR(B4296="",C4296="",D4296=""),"",D4296*100000+(C4296-DATE(2000,1,1))+ROW()/100000)</f>
        <v/>
      </c>
      <c r="F4296" s="46">
        <f>IF(E4296="","",IF(C4296&gt;WeekEndDate,"",E4296))</f>
        <v/>
      </c>
    </row>
    <row r="4297">
      <c r="A4297" t="inlineStr">
        <is>
          <t>Contractors</t>
        </is>
      </c>
      <c r="B4297" s="46">
        <f>'Contractors'!Y261</f>
        <v/>
      </c>
      <c r="C4297" s="84">
        <f>'Contractors'!W261</f>
        <v/>
      </c>
      <c r="D4297" s="46">
        <f>'Contractors'!X261</f>
        <v/>
      </c>
      <c r="E4297" s="46">
        <f>IF(OR(B4297="",C4297="",D4297=""),"",D4297*100000+(C4297-DATE(2000,1,1))+ROW()/100000)</f>
        <v/>
      </c>
      <c r="F4297" s="46">
        <f>IF(E4297="","",IF(C4297&gt;WeekEndDate,"",E4297))</f>
        <v/>
      </c>
    </row>
    <row r="4298">
      <c r="A4298" t="inlineStr">
        <is>
          <t>Contractors</t>
        </is>
      </c>
      <c r="B4298" s="46">
        <f>'Contractors'!Y262</f>
        <v/>
      </c>
      <c r="C4298" s="84">
        <f>'Contractors'!W262</f>
        <v/>
      </c>
      <c r="D4298" s="46">
        <f>'Contractors'!X262</f>
        <v/>
      </c>
      <c r="E4298" s="46">
        <f>IF(OR(B4298="",C4298="",D4298=""),"",D4298*100000+(C4298-DATE(2000,1,1))+ROW()/100000)</f>
        <v/>
      </c>
      <c r="F4298" s="46">
        <f>IF(E4298="","",IF(C4298&gt;WeekEndDate,"",E4298))</f>
        <v/>
      </c>
    </row>
    <row r="4299">
      <c r="A4299" t="inlineStr">
        <is>
          <t>Contractors</t>
        </is>
      </c>
      <c r="B4299" s="46">
        <f>'Contractors'!Y263</f>
        <v/>
      </c>
      <c r="C4299" s="84">
        <f>'Contractors'!W263</f>
        <v/>
      </c>
      <c r="D4299" s="46">
        <f>'Contractors'!X263</f>
        <v/>
      </c>
      <c r="E4299" s="46">
        <f>IF(OR(B4299="",C4299="",D4299=""),"",D4299*100000+(C4299-DATE(2000,1,1))+ROW()/100000)</f>
        <v/>
      </c>
      <c r="F4299" s="46">
        <f>IF(E4299="","",IF(C4299&gt;WeekEndDate,"",E4299))</f>
        <v/>
      </c>
    </row>
    <row r="4300">
      <c r="A4300" t="inlineStr">
        <is>
          <t>Contractors</t>
        </is>
      </c>
      <c r="B4300" s="46">
        <f>'Contractors'!Y264</f>
        <v/>
      </c>
      <c r="C4300" s="84">
        <f>'Contractors'!W264</f>
        <v/>
      </c>
      <c r="D4300" s="46">
        <f>'Contractors'!X264</f>
        <v/>
      </c>
      <c r="E4300" s="46">
        <f>IF(OR(B4300="",C4300="",D4300=""),"",D4300*100000+(C4300-DATE(2000,1,1))+ROW()/100000)</f>
        <v/>
      </c>
      <c r="F4300" s="46">
        <f>IF(E4300="","",IF(C4300&gt;WeekEndDate,"",E4300))</f>
        <v/>
      </c>
    </row>
    <row r="4301">
      <c r="A4301" t="inlineStr">
        <is>
          <t>Contractors</t>
        </is>
      </c>
      <c r="B4301" s="46">
        <f>'Contractors'!Y265</f>
        <v/>
      </c>
      <c r="C4301" s="84">
        <f>'Contractors'!W265</f>
        <v/>
      </c>
      <c r="D4301" s="46">
        <f>'Contractors'!X265</f>
        <v/>
      </c>
      <c r="E4301" s="46">
        <f>IF(OR(B4301="",C4301="",D4301=""),"",D4301*100000+(C4301-DATE(2000,1,1))+ROW()/100000)</f>
        <v/>
      </c>
      <c r="F4301" s="46">
        <f>IF(E4301="","",IF(C4301&gt;WeekEndDate,"",E4301))</f>
        <v/>
      </c>
    </row>
    <row r="4302">
      <c r="A4302" t="inlineStr">
        <is>
          <t>Contractors</t>
        </is>
      </c>
      <c r="B4302" s="46">
        <f>'Contractors'!Y266</f>
        <v/>
      </c>
      <c r="C4302" s="84">
        <f>'Contractors'!W266</f>
        <v/>
      </c>
      <c r="D4302" s="46">
        <f>'Contractors'!X266</f>
        <v/>
      </c>
      <c r="E4302" s="46">
        <f>IF(OR(B4302="",C4302="",D4302=""),"",D4302*100000+(C4302-DATE(2000,1,1))+ROW()/100000)</f>
        <v/>
      </c>
      <c r="F4302" s="46">
        <f>IF(E4302="","",IF(C4302&gt;WeekEndDate,"",E4302))</f>
        <v/>
      </c>
    </row>
    <row r="4303">
      <c r="A4303" t="inlineStr">
        <is>
          <t>Contractors</t>
        </is>
      </c>
      <c r="B4303" s="46">
        <f>'Contractors'!Y267</f>
        <v/>
      </c>
      <c r="C4303" s="84">
        <f>'Contractors'!W267</f>
        <v/>
      </c>
      <c r="D4303" s="46">
        <f>'Contractors'!X267</f>
        <v/>
      </c>
      <c r="E4303" s="46">
        <f>IF(OR(B4303="",C4303="",D4303=""),"",D4303*100000+(C4303-DATE(2000,1,1))+ROW()/100000)</f>
        <v/>
      </c>
      <c r="F4303" s="46">
        <f>IF(E4303="","",IF(C4303&gt;WeekEndDate,"",E4303))</f>
        <v/>
      </c>
    </row>
    <row r="4304">
      <c r="A4304" t="inlineStr">
        <is>
          <t>Contractors</t>
        </is>
      </c>
      <c r="B4304" s="46">
        <f>'Contractors'!Y268</f>
        <v/>
      </c>
      <c r="C4304" s="84">
        <f>'Contractors'!W268</f>
        <v/>
      </c>
      <c r="D4304" s="46">
        <f>'Contractors'!X268</f>
        <v/>
      </c>
      <c r="E4304" s="46">
        <f>IF(OR(B4304="",C4304="",D4304=""),"",D4304*100000+(C4304-DATE(2000,1,1))+ROW()/100000)</f>
        <v/>
      </c>
      <c r="F4304" s="46">
        <f>IF(E4304="","",IF(C4304&gt;WeekEndDate,"",E4304))</f>
        <v/>
      </c>
    </row>
    <row r="4305">
      <c r="A4305" t="inlineStr">
        <is>
          <t>Contractors</t>
        </is>
      </c>
      <c r="B4305" s="46">
        <f>'Contractors'!Y269</f>
        <v/>
      </c>
      <c r="C4305" s="84">
        <f>'Contractors'!W269</f>
        <v/>
      </c>
      <c r="D4305" s="46">
        <f>'Contractors'!X269</f>
        <v/>
      </c>
      <c r="E4305" s="46">
        <f>IF(OR(B4305="",C4305="",D4305=""),"",D4305*100000+(C4305-DATE(2000,1,1))+ROW()/100000)</f>
        <v/>
      </c>
      <c r="F4305" s="46">
        <f>IF(E4305="","",IF(C4305&gt;WeekEndDate,"",E4305))</f>
        <v/>
      </c>
    </row>
    <row r="4306">
      <c r="A4306" t="inlineStr">
        <is>
          <t>Contractors</t>
        </is>
      </c>
      <c r="B4306" s="46">
        <f>'Contractors'!Y270</f>
        <v/>
      </c>
      <c r="C4306" s="84">
        <f>'Contractors'!W270</f>
        <v/>
      </c>
      <c r="D4306" s="46">
        <f>'Contractors'!X270</f>
        <v/>
      </c>
      <c r="E4306" s="46">
        <f>IF(OR(B4306="",C4306="",D4306=""),"",D4306*100000+(C4306-DATE(2000,1,1))+ROW()/100000)</f>
        <v/>
      </c>
      <c r="F4306" s="46">
        <f>IF(E4306="","",IF(C4306&gt;WeekEndDate,"",E4306))</f>
        <v/>
      </c>
    </row>
    <row r="4307">
      <c r="A4307" t="inlineStr">
        <is>
          <t>Contractors</t>
        </is>
      </c>
      <c r="B4307" s="46">
        <f>'Contractors'!Y271</f>
        <v/>
      </c>
      <c r="C4307" s="84">
        <f>'Contractors'!W271</f>
        <v/>
      </c>
      <c r="D4307" s="46">
        <f>'Contractors'!X271</f>
        <v/>
      </c>
      <c r="E4307" s="46">
        <f>IF(OR(B4307="",C4307="",D4307=""),"",D4307*100000+(C4307-DATE(2000,1,1))+ROW()/100000)</f>
        <v/>
      </c>
      <c r="F4307" s="46">
        <f>IF(E4307="","",IF(C4307&gt;WeekEndDate,"",E4307))</f>
        <v/>
      </c>
    </row>
    <row r="4308">
      <c r="A4308" t="inlineStr">
        <is>
          <t>Contractors</t>
        </is>
      </c>
      <c r="B4308" s="46">
        <f>'Contractors'!Y272</f>
        <v/>
      </c>
      <c r="C4308" s="84">
        <f>'Contractors'!W272</f>
        <v/>
      </c>
      <c r="D4308" s="46">
        <f>'Contractors'!X272</f>
        <v/>
      </c>
      <c r="E4308" s="46">
        <f>IF(OR(B4308="",C4308="",D4308=""),"",D4308*100000+(C4308-DATE(2000,1,1))+ROW()/100000)</f>
        <v/>
      </c>
      <c r="F4308" s="46">
        <f>IF(E4308="","",IF(C4308&gt;WeekEndDate,"",E4308))</f>
        <v/>
      </c>
    </row>
    <row r="4309">
      <c r="A4309" t="inlineStr">
        <is>
          <t>Contractors</t>
        </is>
      </c>
      <c r="B4309" s="46">
        <f>'Contractors'!Y273</f>
        <v/>
      </c>
      <c r="C4309" s="84">
        <f>'Contractors'!W273</f>
        <v/>
      </c>
      <c r="D4309" s="46">
        <f>'Contractors'!X273</f>
        <v/>
      </c>
      <c r="E4309" s="46">
        <f>IF(OR(B4309="",C4309="",D4309=""),"",D4309*100000+(C4309-DATE(2000,1,1))+ROW()/100000)</f>
        <v/>
      </c>
      <c r="F4309" s="46">
        <f>IF(E4309="","",IF(C4309&gt;WeekEndDate,"",E4309))</f>
        <v/>
      </c>
    </row>
    <row r="4310">
      <c r="A4310" t="inlineStr">
        <is>
          <t>Contractors</t>
        </is>
      </c>
      <c r="B4310" s="46">
        <f>'Contractors'!Y274</f>
        <v/>
      </c>
      <c r="C4310" s="84">
        <f>'Contractors'!W274</f>
        <v/>
      </c>
      <c r="D4310" s="46">
        <f>'Contractors'!X274</f>
        <v/>
      </c>
      <c r="E4310" s="46">
        <f>IF(OR(B4310="",C4310="",D4310=""),"",D4310*100000+(C4310-DATE(2000,1,1))+ROW()/100000)</f>
        <v/>
      </c>
      <c r="F4310" s="46">
        <f>IF(E4310="","",IF(C4310&gt;WeekEndDate,"",E4310))</f>
        <v/>
      </c>
    </row>
    <row r="4311">
      <c r="A4311" t="inlineStr">
        <is>
          <t>Contractors</t>
        </is>
      </c>
      <c r="B4311" s="46">
        <f>'Contractors'!Y275</f>
        <v/>
      </c>
      <c r="C4311" s="84">
        <f>'Contractors'!W275</f>
        <v/>
      </c>
      <c r="D4311" s="46">
        <f>'Contractors'!X275</f>
        <v/>
      </c>
      <c r="E4311" s="46">
        <f>IF(OR(B4311="",C4311="",D4311=""),"",D4311*100000+(C4311-DATE(2000,1,1))+ROW()/100000)</f>
        <v/>
      </c>
      <c r="F4311" s="46">
        <f>IF(E4311="","",IF(C4311&gt;WeekEndDate,"",E4311))</f>
        <v/>
      </c>
    </row>
    <row r="4312">
      <c r="A4312" t="inlineStr">
        <is>
          <t>Contractors</t>
        </is>
      </c>
      <c r="B4312" s="46">
        <f>'Contractors'!Y276</f>
        <v/>
      </c>
      <c r="C4312" s="84">
        <f>'Contractors'!W276</f>
        <v/>
      </c>
      <c r="D4312" s="46">
        <f>'Contractors'!X276</f>
        <v/>
      </c>
      <c r="E4312" s="46">
        <f>IF(OR(B4312="",C4312="",D4312=""),"",D4312*100000+(C4312-DATE(2000,1,1))+ROW()/100000)</f>
        <v/>
      </c>
      <c r="F4312" s="46">
        <f>IF(E4312="","",IF(C4312&gt;WeekEndDate,"",E4312))</f>
        <v/>
      </c>
    </row>
    <row r="4313">
      <c r="A4313" t="inlineStr">
        <is>
          <t>Contractors</t>
        </is>
      </c>
      <c r="B4313" s="46">
        <f>'Contractors'!Y277</f>
        <v/>
      </c>
      <c r="C4313" s="84">
        <f>'Contractors'!W277</f>
        <v/>
      </c>
      <c r="D4313" s="46">
        <f>'Contractors'!X277</f>
        <v/>
      </c>
      <c r="E4313" s="46">
        <f>IF(OR(B4313="",C4313="",D4313=""),"",D4313*100000+(C4313-DATE(2000,1,1))+ROW()/100000)</f>
        <v/>
      </c>
      <c r="F4313" s="46">
        <f>IF(E4313="","",IF(C4313&gt;WeekEndDate,"",E4313))</f>
        <v/>
      </c>
    </row>
    <row r="4314">
      <c r="A4314" t="inlineStr">
        <is>
          <t>Contractors</t>
        </is>
      </c>
      <c r="B4314" s="46">
        <f>'Contractors'!Y278</f>
        <v/>
      </c>
      <c r="C4314" s="84">
        <f>'Contractors'!W278</f>
        <v/>
      </c>
      <c r="D4314" s="46">
        <f>'Contractors'!X278</f>
        <v/>
      </c>
      <c r="E4314" s="46">
        <f>IF(OR(B4314="",C4314="",D4314=""),"",D4314*100000+(C4314-DATE(2000,1,1))+ROW()/100000)</f>
        <v/>
      </c>
      <c r="F4314" s="46">
        <f>IF(E4314="","",IF(C4314&gt;WeekEndDate,"",E4314))</f>
        <v/>
      </c>
    </row>
    <row r="4315">
      <c r="A4315" t="inlineStr">
        <is>
          <t>Contractors</t>
        </is>
      </c>
      <c r="B4315" s="46">
        <f>'Contractors'!Y279</f>
        <v/>
      </c>
      <c r="C4315" s="84">
        <f>'Contractors'!W279</f>
        <v/>
      </c>
      <c r="D4315" s="46">
        <f>'Contractors'!X279</f>
        <v/>
      </c>
      <c r="E4315" s="46">
        <f>IF(OR(B4315="",C4315="",D4315=""),"",D4315*100000+(C4315-DATE(2000,1,1))+ROW()/100000)</f>
        <v/>
      </c>
      <c r="F4315" s="46">
        <f>IF(E4315="","",IF(C4315&gt;WeekEndDate,"",E4315))</f>
        <v/>
      </c>
    </row>
    <row r="4316">
      <c r="A4316" t="inlineStr">
        <is>
          <t>Contractors</t>
        </is>
      </c>
      <c r="B4316" s="46">
        <f>'Contractors'!Y280</f>
        <v/>
      </c>
      <c r="C4316" s="84">
        <f>'Contractors'!W280</f>
        <v/>
      </c>
      <c r="D4316" s="46">
        <f>'Contractors'!X280</f>
        <v/>
      </c>
      <c r="E4316" s="46">
        <f>IF(OR(B4316="",C4316="",D4316=""),"",D4316*100000+(C4316-DATE(2000,1,1))+ROW()/100000)</f>
        <v/>
      </c>
      <c r="F4316" s="46">
        <f>IF(E4316="","",IF(C4316&gt;WeekEndDate,"",E4316))</f>
        <v/>
      </c>
    </row>
    <row r="4317">
      <c r="A4317" t="inlineStr">
        <is>
          <t>Contractors</t>
        </is>
      </c>
      <c r="B4317" s="46">
        <f>'Contractors'!Y281</f>
        <v/>
      </c>
      <c r="C4317" s="84">
        <f>'Contractors'!W281</f>
        <v/>
      </c>
      <c r="D4317" s="46">
        <f>'Contractors'!X281</f>
        <v/>
      </c>
      <c r="E4317" s="46">
        <f>IF(OR(B4317="",C4317="",D4317=""),"",D4317*100000+(C4317-DATE(2000,1,1))+ROW()/100000)</f>
        <v/>
      </c>
      <c r="F4317" s="46">
        <f>IF(E4317="","",IF(C4317&gt;WeekEndDate,"",E4317))</f>
        <v/>
      </c>
    </row>
    <row r="4318">
      <c r="A4318" t="inlineStr">
        <is>
          <t>Contractors</t>
        </is>
      </c>
      <c r="B4318" s="46">
        <f>'Contractors'!Y282</f>
        <v/>
      </c>
      <c r="C4318" s="84">
        <f>'Contractors'!W282</f>
        <v/>
      </c>
      <c r="D4318" s="46">
        <f>'Contractors'!X282</f>
        <v/>
      </c>
      <c r="E4318" s="46">
        <f>IF(OR(B4318="",C4318="",D4318=""),"",D4318*100000+(C4318-DATE(2000,1,1))+ROW()/100000)</f>
        <v/>
      </c>
      <c r="F4318" s="46">
        <f>IF(E4318="","",IF(C4318&gt;WeekEndDate,"",E4318))</f>
        <v/>
      </c>
    </row>
    <row r="4319">
      <c r="A4319" t="inlineStr">
        <is>
          <t>Contractors</t>
        </is>
      </c>
      <c r="B4319" s="46">
        <f>'Contractors'!Y283</f>
        <v/>
      </c>
      <c r="C4319" s="84">
        <f>'Contractors'!W283</f>
        <v/>
      </c>
      <c r="D4319" s="46">
        <f>'Contractors'!X283</f>
        <v/>
      </c>
      <c r="E4319" s="46">
        <f>IF(OR(B4319="",C4319="",D4319=""),"",D4319*100000+(C4319-DATE(2000,1,1))+ROW()/100000)</f>
        <v/>
      </c>
      <c r="F4319" s="46">
        <f>IF(E4319="","",IF(C4319&gt;WeekEndDate,"",E4319))</f>
        <v/>
      </c>
    </row>
    <row r="4320">
      <c r="A4320" t="inlineStr">
        <is>
          <t>Contractors</t>
        </is>
      </c>
      <c r="B4320" s="46">
        <f>'Contractors'!Y284</f>
        <v/>
      </c>
      <c r="C4320" s="84">
        <f>'Contractors'!W284</f>
        <v/>
      </c>
      <c r="D4320" s="46">
        <f>'Contractors'!X284</f>
        <v/>
      </c>
      <c r="E4320" s="46">
        <f>IF(OR(B4320="",C4320="",D4320=""),"",D4320*100000+(C4320-DATE(2000,1,1))+ROW()/100000)</f>
        <v/>
      </c>
      <c r="F4320" s="46">
        <f>IF(E4320="","",IF(C4320&gt;WeekEndDate,"",E4320))</f>
        <v/>
      </c>
    </row>
    <row r="4321">
      <c r="A4321" t="inlineStr">
        <is>
          <t>Contractors</t>
        </is>
      </c>
      <c r="B4321" s="46">
        <f>'Contractors'!Y285</f>
        <v/>
      </c>
      <c r="C4321" s="84">
        <f>'Contractors'!W285</f>
        <v/>
      </c>
      <c r="D4321" s="46">
        <f>'Contractors'!X285</f>
        <v/>
      </c>
      <c r="E4321" s="46">
        <f>IF(OR(B4321="",C4321="",D4321=""),"",D4321*100000+(C4321-DATE(2000,1,1))+ROW()/100000)</f>
        <v/>
      </c>
      <c r="F4321" s="46">
        <f>IF(E4321="","",IF(C4321&gt;WeekEndDate,"",E4321))</f>
        <v/>
      </c>
    </row>
    <row r="4322">
      <c r="A4322" t="inlineStr">
        <is>
          <t>Contractors</t>
        </is>
      </c>
      <c r="B4322" s="46">
        <f>'Contractors'!Y286</f>
        <v/>
      </c>
      <c r="C4322" s="84">
        <f>'Contractors'!W286</f>
        <v/>
      </c>
      <c r="D4322" s="46">
        <f>'Contractors'!X286</f>
        <v/>
      </c>
      <c r="E4322" s="46">
        <f>IF(OR(B4322="",C4322="",D4322=""),"",D4322*100000+(C4322-DATE(2000,1,1))+ROW()/100000)</f>
        <v/>
      </c>
      <c r="F4322" s="46">
        <f>IF(E4322="","",IF(C4322&gt;WeekEndDate,"",E4322))</f>
        <v/>
      </c>
    </row>
    <row r="4323">
      <c r="A4323" t="inlineStr">
        <is>
          <t>Contractors</t>
        </is>
      </c>
      <c r="B4323" s="46">
        <f>'Contractors'!Y287</f>
        <v/>
      </c>
      <c r="C4323" s="84">
        <f>'Contractors'!W287</f>
        <v/>
      </c>
      <c r="D4323" s="46">
        <f>'Contractors'!X287</f>
        <v/>
      </c>
      <c r="E4323" s="46">
        <f>IF(OR(B4323="",C4323="",D4323=""),"",D4323*100000+(C4323-DATE(2000,1,1))+ROW()/100000)</f>
        <v/>
      </c>
      <c r="F4323" s="46">
        <f>IF(E4323="","",IF(C4323&gt;WeekEndDate,"",E4323))</f>
        <v/>
      </c>
    </row>
    <row r="4324">
      <c r="A4324" t="inlineStr">
        <is>
          <t>Contractors</t>
        </is>
      </c>
      <c r="B4324" s="46">
        <f>'Contractors'!Y288</f>
        <v/>
      </c>
      <c r="C4324" s="84">
        <f>'Contractors'!W288</f>
        <v/>
      </c>
      <c r="D4324" s="46">
        <f>'Contractors'!X288</f>
        <v/>
      </c>
      <c r="E4324" s="46">
        <f>IF(OR(B4324="",C4324="",D4324=""),"",D4324*100000+(C4324-DATE(2000,1,1))+ROW()/100000)</f>
        <v/>
      </c>
      <c r="F4324" s="46">
        <f>IF(E4324="","",IF(C4324&gt;WeekEndDate,"",E4324))</f>
        <v/>
      </c>
    </row>
    <row r="4325">
      <c r="A4325" t="inlineStr">
        <is>
          <t>Contractors</t>
        </is>
      </c>
      <c r="B4325" s="46">
        <f>'Contractors'!Y289</f>
        <v/>
      </c>
      <c r="C4325" s="84">
        <f>'Contractors'!W289</f>
        <v/>
      </c>
      <c r="D4325" s="46">
        <f>'Contractors'!X289</f>
        <v/>
      </c>
      <c r="E4325" s="46">
        <f>IF(OR(B4325="",C4325="",D4325=""),"",D4325*100000+(C4325-DATE(2000,1,1))+ROW()/100000)</f>
        <v/>
      </c>
      <c r="F4325" s="46">
        <f>IF(E4325="","",IF(C4325&gt;WeekEndDate,"",E4325))</f>
        <v/>
      </c>
    </row>
    <row r="4326">
      <c r="A4326" t="inlineStr">
        <is>
          <t>Contractors</t>
        </is>
      </c>
      <c r="B4326" s="46">
        <f>'Contractors'!Y290</f>
        <v/>
      </c>
      <c r="C4326" s="84">
        <f>'Contractors'!W290</f>
        <v/>
      </c>
      <c r="D4326" s="46">
        <f>'Contractors'!X290</f>
        <v/>
      </c>
      <c r="E4326" s="46">
        <f>IF(OR(B4326="",C4326="",D4326=""),"",D4326*100000+(C4326-DATE(2000,1,1))+ROW()/100000)</f>
        <v/>
      </c>
      <c r="F4326" s="46">
        <f>IF(E4326="","",IF(C4326&gt;WeekEndDate,"",E4326))</f>
        <v/>
      </c>
    </row>
    <row r="4327">
      <c r="A4327" t="inlineStr">
        <is>
          <t>Contractors</t>
        </is>
      </c>
      <c r="B4327" s="46">
        <f>'Contractors'!Y291</f>
        <v/>
      </c>
      <c r="C4327" s="84">
        <f>'Contractors'!W291</f>
        <v/>
      </c>
      <c r="D4327" s="46">
        <f>'Contractors'!X291</f>
        <v/>
      </c>
      <c r="E4327" s="46">
        <f>IF(OR(B4327="",C4327="",D4327=""),"",D4327*100000+(C4327-DATE(2000,1,1))+ROW()/100000)</f>
        <v/>
      </c>
      <c r="F4327" s="46">
        <f>IF(E4327="","",IF(C4327&gt;WeekEndDate,"",E4327))</f>
        <v/>
      </c>
    </row>
    <row r="4328">
      <c r="A4328" t="inlineStr">
        <is>
          <t>Contractors</t>
        </is>
      </c>
      <c r="B4328" s="46">
        <f>'Contractors'!Y292</f>
        <v/>
      </c>
      <c r="C4328" s="84">
        <f>'Contractors'!W292</f>
        <v/>
      </c>
      <c r="D4328" s="46">
        <f>'Contractors'!X292</f>
        <v/>
      </c>
      <c r="E4328" s="46">
        <f>IF(OR(B4328="",C4328="",D4328=""),"",D4328*100000+(C4328-DATE(2000,1,1))+ROW()/100000)</f>
        <v/>
      </c>
      <c r="F4328" s="46">
        <f>IF(E4328="","",IF(C4328&gt;WeekEndDate,"",E4328))</f>
        <v/>
      </c>
    </row>
    <row r="4329">
      <c r="A4329" t="inlineStr">
        <is>
          <t>Contractors</t>
        </is>
      </c>
      <c r="B4329" s="46">
        <f>'Contractors'!Y293</f>
        <v/>
      </c>
      <c r="C4329" s="84">
        <f>'Contractors'!W293</f>
        <v/>
      </c>
      <c r="D4329" s="46">
        <f>'Contractors'!X293</f>
        <v/>
      </c>
      <c r="E4329" s="46">
        <f>IF(OR(B4329="",C4329="",D4329=""),"",D4329*100000+(C4329-DATE(2000,1,1))+ROW()/100000)</f>
        <v/>
      </c>
      <c r="F4329" s="46">
        <f>IF(E4329="","",IF(C4329&gt;WeekEndDate,"",E4329))</f>
        <v/>
      </c>
    </row>
    <row r="4330">
      <c r="A4330" t="inlineStr">
        <is>
          <t>Contractors</t>
        </is>
      </c>
      <c r="B4330" s="46">
        <f>'Contractors'!Y294</f>
        <v/>
      </c>
      <c r="C4330" s="84">
        <f>'Contractors'!W294</f>
        <v/>
      </c>
      <c r="D4330" s="46">
        <f>'Contractors'!X294</f>
        <v/>
      </c>
      <c r="E4330" s="46">
        <f>IF(OR(B4330="",C4330="",D4330=""),"",D4330*100000+(C4330-DATE(2000,1,1))+ROW()/100000)</f>
        <v/>
      </c>
      <c r="F4330" s="46">
        <f>IF(E4330="","",IF(C4330&gt;WeekEndDate,"",E4330))</f>
        <v/>
      </c>
    </row>
    <row r="4331">
      <c r="A4331" t="inlineStr">
        <is>
          <t>Contractors</t>
        </is>
      </c>
      <c r="B4331" s="46">
        <f>'Contractors'!Y295</f>
        <v/>
      </c>
      <c r="C4331" s="84">
        <f>'Contractors'!W295</f>
        <v/>
      </c>
      <c r="D4331" s="46">
        <f>'Contractors'!X295</f>
        <v/>
      </c>
      <c r="E4331" s="46">
        <f>IF(OR(B4331="",C4331="",D4331=""),"",D4331*100000+(C4331-DATE(2000,1,1))+ROW()/100000)</f>
        <v/>
      </c>
      <c r="F4331" s="46">
        <f>IF(E4331="","",IF(C4331&gt;WeekEndDate,"",E4331))</f>
        <v/>
      </c>
    </row>
    <row r="4332">
      <c r="A4332" t="inlineStr">
        <is>
          <t>Contractors</t>
        </is>
      </c>
      <c r="B4332" s="46">
        <f>'Contractors'!Y296</f>
        <v/>
      </c>
      <c r="C4332" s="84">
        <f>'Contractors'!W296</f>
        <v/>
      </c>
      <c r="D4332" s="46">
        <f>'Contractors'!X296</f>
        <v/>
      </c>
      <c r="E4332" s="46">
        <f>IF(OR(B4332="",C4332="",D4332=""),"",D4332*100000+(C4332-DATE(2000,1,1))+ROW()/100000)</f>
        <v/>
      </c>
      <c r="F4332" s="46">
        <f>IF(E4332="","",IF(C4332&gt;WeekEndDate,"",E4332))</f>
        <v/>
      </c>
    </row>
    <row r="4333">
      <c r="A4333" t="inlineStr">
        <is>
          <t>Contractors</t>
        </is>
      </c>
      <c r="B4333" s="46">
        <f>'Contractors'!Y297</f>
        <v/>
      </c>
      <c r="C4333" s="84">
        <f>'Contractors'!W297</f>
        <v/>
      </c>
      <c r="D4333" s="46">
        <f>'Contractors'!X297</f>
        <v/>
      </c>
      <c r="E4333" s="46">
        <f>IF(OR(B4333="",C4333="",D4333=""),"",D4333*100000+(C4333-DATE(2000,1,1))+ROW()/100000)</f>
        <v/>
      </c>
      <c r="F4333" s="46">
        <f>IF(E4333="","",IF(C4333&gt;WeekEndDate,"",E4333))</f>
        <v/>
      </c>
    </row>
    <row r="4334">
      <c r="A4334" t="inlineStr">
        <is>
          <t>Contractors</t>
        </is>
      </c>
      <c r="B4334" s="46">
        <f>'Contractors'!Y298</f>
        <v/>
      </c>
      <c r="C4334" s="84">
        <f>'Contractors'!W298</f>
        <v/>
      </c>
      <c r="D4334" s="46">
        <f>'Contractors'!X298</f>
        <v/>
      </c>
      <c r="E4334" s="46">
        <f>IF(OR(B4334="",C4334="",D4334=""),"",D4334*100000+(C4334-DATE(2000,1,1))+ROW()/100000)</f>
        <v/>
      </c>
      <c r="F4334" s="46">
        <f>IF(E4334="","",IF(C4334&gt;WeekEndDate,"",E4334))</f>
        <v/>
      </c>
    </row>
    <row r="4335">
      <c r="A4335" t="inlineStr">
        <is>
          <t>Contractors</t>
        </is>
      </c>
      <c r="B4335" s="46">
        <f>'Contractors'!Y299</f>
        <v/>
      </c>
      <c r="C4335" s="84">
        <f>'Contractors'!W299</f>
        <v/>
      </c>
      <c r="D4335" s="46">
        <f>'Contractors'!X299</f>
        <v/>
      </c>
      <c r="E4335" s="46">
        <f>IF(OR(B4335="",C4335="",D4335=""),"",D4335*100000+(C4335-DATE(2000,1,1))+ROW()/100000)</f>
        <v/>
      </c>
      <c r="F4335" s="46">
        <f>IF(E4335="","",IF(C4335&gt;WeekEndDate,"",E4335))</f>
        <v/>
      </c>
    </row>
    <row r="4336">
      <c r="A4336" t="inlineStr">
        <is>
          <t>Contractors</t>
        </is>
      </c>
      <c r="B4336" s="46">
        <f>'Contractors'!Y300</f>
        <v/>
      </c>
      <c r="C4336" s="84">
        <f>'Contractors'!W300</f>
        <v/>
      </c>
      <c r="D4336" s="46">
        <f>'Contractors'!X300</f>
        <v/>
      </c>
      <c r="E4336" s="46">
        <f>IF(OR(B4336="",C4336="",D4336=""),"",D4336*100000+(C4336-DATE(2000,1,1))+ROW()/100000)</f>
        <v/>
      </c>
      <c r="F4336" s="46">
        <f>IF(E4336="","",IF(C4336&gt;WeekEndDate,"",E4336))</f>
        <v/>
      </c>
    </row>
    <row r="4337">
      <c r="A4337" t="inlineStr">
        <is>
          <t>Contractors</t>
        </is>
      </c>
      <c r="B4337" s="46">
        <f>'Contractors'!Y301</f>
        <v/>
      </c>
      <c r="C4337" s="84">
        <f>'Contractors'!W301</f>
        <v/>
      </c>
      <c r="D4337" s="46">
        <f>'Contractors'!X301</f>
        <v/>
      </c>
      <c r="E4337" s="46">
        <f>IF(OR(B4337="",C4337="",D4337=""),"",D4337*100000+(C4337-DATE(2000,1,1))+ROW()/100000)</f>
        <v/>
      </c>
      <c r="F4337" s="46">
        <f>IF(E4337="","",IF(C4337&gt;WeekEndDate,"",E4337))</f>
        <v/>
      </c>
    </row>
    <row r="4338">
      <c r="A4338" t="inlineStr">
        <is>
          <t>Contractors</t>
        </is>
      </c>
      <c r="B4338" s="46">
        <f>'Contractors'!Y302</f>
        <v/>
      </c>
      <c r="C4338" s="84">
        <f>'Contractors'!W302</f>
        <v/>
      </c>
      <c r="D4338" s="46">
        <f>'Contractors'!X302</f>
        <v/>
      </c>
      <c r="E4338" s="46">
        <f>IF(OR(B4338="",C4338="",D4338=""),"",D4338*100000+(C4338-DATE(2000,1,1))+ROW()/100000)</f>
        <v/>
      </c>
      <c r="F4338" s="46">
        <f>IF(E4338="","",IF(C4338&gt;WeekEndDate,"",E4338))</f>
        <v/>
      </c>
    </row>
    <row r="4339">
      <c r="A4339" t="inlineStr">
        <is>
          <t>Contractors</t>
        </is>
      </c>
      <c r="B4339" s="46">
        <f>'Contractors'!Y303</f>
        <v/>
      </c>
      <c r="C4339" s="84">
        <f>'Contractors'!W303</f>
        <v/>
      </c>
      <c r="D4339" s="46">
        <f>'Contractors'!X303</f>
        <v/>
      </c>
      <c r="E4339" s="46">
        <f>IF(OR(B4339="",C4339="",D4339=""),"",D4339*100000+(C4339-DATE(2000,1,1))+ROW()/100000)</f>
        <v/>
      </c>
      <c r="F4339" s="46">
        <f>IF(E4339="","",IF(C4339&gt;WeekEndDate,"",E4339))</f>
        <v/>
      </c>
    </row>
    <row r="4340">
      <c r="A4340" t="inlineStr">
        <is>
          <t>Contractors</t>
        </is>
      </c>
      <c r="B4340" s="46">
        <f>'Contractors'!Y304</f>
        <v/>
      </c>
      <c r="C4340" s="84">
        <f>'Contractors'!W304</f>
        <v/>
      </c>
      <c r="D4340" s="46">
        <f>'Contractors'!X304</f>
        <v/>
      </c>
      <c r="E4340" s="46">
        <f>IF(OR(B4340="",C4340="",D4340=""),"",D4340*100000+(C4340-DATE(2000,1,1))+ROW()/100000)</f>
        <v/>
      </c>
      <c r="F4340" s="46">
        <f>IF(E4340="","",IF(C4340&gt;WeekEndDate,"",E4340))</f>
        <v/>
      </c>
    </row>
    <row r="4341">
      <c r="A4341" t="inlineStr">
        <is>
          <t>Contractors</t>
        </is>
      </c>
      <c r="B4341" s="46">
        <f>'Contractors'!Y305</f>
        <v/>
      </c>
      <c r="C4341" s="84">
        <f>'Contractors'!W305</f>
        <v/>
      </c>
      <c r="D4341" s="46">
        <f>'Contractors'!X305</f>
        <v/>
      </c>
      <c r="E4341" s="46">
        <f>IF(OR(B4341="",C4341="",D4341=""),"",D4341*100000+(C4341-DATE(2000,1,1))+ROW()/100000)</f>
        <v/>
      </c>
      <c r="F4341" s="46">
        <f>IF(E4341="","",IF(C4341&gt;WeekEndDate,"",E4341))</f>
        <v/>
      </c>
    </row>
    <row r="4342">
      <c r="A4342" t="inlineStr">
        <is>
          <t>Contractors</t>
        </is>
      </c>
      <c r="B4342" s="46">
        <f>'Contractors'!Y306</f>
        <v/>
      </c>
      <c r="C4342" s="84">
        <f>'Contractors'!W306</f>
        <v/>
      </c>
      <c r="D4342" s="46">
        <f>'Contractors'!X306</f>
        <v/>
      </c>
      <c r="E4342" s="46">
        <f>IF(OR(B4342="",C4342="",D4342=""),"",D4342*100000+(C4342-DATE(2000,1,1))+ROW()/100000)</f>
        <v/>
      </c>
      <c r="F4342" s="46">
        <f>IF(E4342="","",IF(C4342&gt;WeekEndDate,"",E4342))</f>
        <v/>
      </c>
    </row>
    <row r="4343">
      <c r="A4343" t="inlineStr">
        <is>
          <t>Contractors</t>
        </is>
      </c>
      <c r="B4343" s="46">
        <f>'Contractors'!Y307</f>
        <v/>
      </c>
      <c r="C4343" s="84">
        <f>'Contractors'!W307</f>
        <v/>
      </c>
      <c r="D4343" s="46">
        <f>'Contractors'!X307</f>
        <v/>
      </c>
      <c r="E4343" s="46">
        <f>IF(OR(B4343="",C4343="",D4343=""),"",D4343*100000+(C4343-DATE(2000,1,1))+ROW()/100000)</f>
        <v/>
      </c>
      <c r="F4343" s="46">
        <f>IF(E4343="","",IF(C4343&gt;WeekEndDate,"",E4343))</f>
        <v/>
      </c>
    </row>
    <row r="4344">
      <c r="A4344" t="inlineStr">
        <is>
          <t>Contractors</t>
        </is>
      </c>
      <c r="B4344" s="46">
        <f>'Contractors'!Y308</f>
        <v/>
      </c>
      <c r="C4344" s="84">
        <f>'Contractors'!W308</f>
        <v/>
      </c>
      <c r="D4344" s="46">
        <f>'Contractors'!X308</f>
        <v/>
      </c>
      <c r="E4344" s="46">
        <f>IF(OR(B4344="",C4344="",D4344=""),"",D4344*100000+(C4344-DATE(2000,1,1))+ROW()/100000)</f>
        <v/>
      </c>
      <c r="F4344" s="46">
        <f>IF(E4344="","",IF(C4344&gt;WeekEndDate,"",E4344))</f>
        <v/>
      </c>
    </row>
    <row r="4345">
      <c r="A4345" t="inlineStr">
        <is>
          <t>Contractors</t>
        </is>
      </c>
      <c r="B4345" s="46">
        <f>'Contractors'!Y309</f>
        <v/>
      </c>
      <c r="C4345" s="84">
        <f>'Contractors'!W309</f>
        <v/>
      </c>
      <c r="D4345" s="46">
        <f>'Contractors'!X309</f>
        <v/>
      </c>
      <c r="E4345" s="46">
        <f>IF(OR(B4345="",C4345="",D4345=""),"",D4345*100000+(C4345-DATE(2000,1,1))+ROW()/100000)</f>
        <v/>
      </c>
      <c r="F4345" s="46">
        <f>IF(E4345="","",IF(C4345&gt;WeekEndDate,"",E4345))</f>
        <v/>
      </c>
    </row>
    <row r="4346">
      <c r="A4346" t="inlineStr">
        <is>
          <t>Contractors</t>
        </is>
      </c>
      <c r="B4346" s="46">
        <f>'Contractors'!Y310</f>
        <v/>
      </c>
      <c r="C4346" s="84">
        <f>'Contractors'!W310</f>
        <v/>
      </c>
      <c r="D4346" s="46">
        <f>'Contractors'!X310</f>
        <v/>
      </c>
      <c r="E4346" s="46">
        <f>IF(OR(B4346="",C4346="",D4346=""),"",D4346*100000+(C4346-DATE(2000,1,1))+ROW()/100000)</f>
        <v/>
      </c>
      <c r="F4346" s="46">
        <f>IF(E4346="","",IF(C4346&gt;WeekEndDate,"",E4346))</f>
        <v/>
      </c>
    </row>
    <row r="4347">
      <c r="A4347" t="inlineStr">
        <is>
          <t>Contractors</t>
        </is>
      </c>
      <c r="B4347" s="46">
        <f>'Contractors'!Y311</f>
        <v/>
      </c>
      <c r="C4347" s="84">
        <f>'Contractors'!W311</f>
        <v/>
      </c>
      <c r="D4347" s="46">
        <f>'Contractors'!X311</f>
        <v/>
      </c>
      <c r="E4347" s="46">
        <f>IF(OR(B4347="",C4347="",D4347=""),"",D4347*100000+(C4347-DATE(2000,1,1))+ROW()/100000)</f>
        <v/>
      </c>
      <c r="F4347" s="46">
        <f>IF(E4347="","",IF(C4347&gt;WeekEndDate,"",E4347))</f>
        <v/>
      </c>
    </row>
    <row r="4348">
      <c r="A4348" t="inlineStr">
        <is>
          <t>Contractors</t>
        </is>
      </c>
      <c r="B4348" s="46">
        <f>'Contractors'!Y312</f>
        <v/>
      </c>
      <c r="C4348" s="84">
        <f>'Contractors'!W312</f>
        <v/>
      </c>
      <c r="D4348" s="46">
        <f>'Contractors'!X312</f>
        <v/>
      </c>
      <c r="E4348" s="46">
        <f>IF(OR(B4348="",C4348="",D4348=""),"",D4348*100000+(C4348-DATE(2000,1,1))+ROW()/100000)</f>
        <v/>
      </c>
      <c r="F4348" s="46">
        <f>IF(E4348="","",IF(C4348&gt;WeekEndDate,"",E4348))</f>
        <v/>
      </c>
    </row>
    <row r="4349">
      <c r="A4349" t="inlineStr">
        <is>
          <t>Contractors</t>
        </is>
      </c>
      <c r="B4349" s="46">
        <f>'Contractors'!Y313</f>
        <v/>
      </c>
      <c r="C4349" s="84">
        <f>'Contractors'!W313</f>
        <v/>
      </c>
      <c r="D4349" s="46">
        <f>'Contractors'!X313</f>
        <v/>
      </c>
      <c r="E4349" s="46">
        <f>IF(OR(B4349="",C4349="",D4349=""),"",D4349*100000+(C4349-DATE(2000,1,1))+ROW()/100000)</f>
        <v/>
      </c>
      <c r="F4349" s="46">
        <f>IF(E4349="","",IF(C4349&gt;WeekEndDate,"",E4349))</f>
        <v/>
      </c>
    </row>
    <row r="4350">
      <c r="A4350" t="inlineStr">
        <is>
          <t>Contractors</t>
        </is>
      </c>
      <c r="B4350" s="46">
        <f>'Contractors'!Y314</f>
        <v/>
      </c>
      <c r="C4350" s="84">
        <f>'Contractors'!W314</f>
        <v/>
      </c>
      <c r="D4350" s="46">
        <f>'Contractors'!X314</f>
        <v/>
      </c>
      <c r="E4350" s="46">
        <f>IF(OR(B4350="",C4350="",D4350=""),"",D4350*100000+(C4350-DATE(2000,1,1))+ROW()/100000)</f>
        <v/>
      </c>
      <c r="F4350" s="46">
        <f>IF(E4350="","",IF(C4350&gt;WeekEndDate,"",E4350))</f>
        <v/>
      </c>
    </row>
    <row r="4351">
      <c r="A4351" t="inlineStr">
        <is>
          <t>Contractors</t>
        </is>
      </c>
      <c r="B4351" s="46">
        <f>'Contractors'!Y315</f>
        <v/>
      </c>
      <c r="C4351" s="84">
        <f>'Contractors'!W315</f>
        <v/>
      </c>
      <c r="D4351" s="46">
        <f>'Contractors'!X315</f>
        <v/>
      </c>
      <c r="E4351" s="46">
        <f>IF(OR(B4351="",C4351="",D4351=""),"",D4351*100000+(C4351-DATE(2000,1,1))+ROW()/100000)</f>
        <v/>
      </c>
      <c r="F4351" s="46">
        <f>IF(E4351="","",IF(C4351&gt;WeekEndDate,"",E4351))</f>
        <v/>
      </c>
    </row>
    <row r="4352">
      <c r="A4352" t="inlineStr">
        <is>
          <t>Contractors</t>
        </is>
      </c>
      <c r="B4352" s="46">
        <f>'Contractors'!Y316</f>
        <v/>
      </c>
      <c r="C4352" s="84">
        <f>'Contractors'!W316</f>
        <v/>
      </c>
      <c r="D4352" s="46">
        <f>'Contractors'!X316</f>
        <v/>
      </c>
      <c r="E4352" s="46">
        <f>IF(OR(B4352="",C4352="",D4352=""),"",D4352*100000+(C4352-DATE(2000,1,1))+ROW()/100000)</f>
        <v/>
      </c>
      <c r="F4352" s="46">
        <f>IF(E4352="","",IF(C4352&gt;WeekEndDate,"",E4352))</f>
        <v/>
      </c>
    </row>
    <row r="4353">
      <c r="A4353" t="inlineStr">
        <is>
          <t>Contractors</t>
        </is>
      </c>
      <c r="B4353" s="46">
        <f>'Contractors'!Y317</f>
        <v/>
      </c>
      <c r="C4353" s="84">
        <f>'Contractors'!W317</f>
        <v/>
      </c>
      <c r="D4353" s="46">
        <f>'Contractors'!X317</f>
        <v/>
      </c>
      <c r="E4353" s="46">
        <f>IF(OR(B4353="",C4353="",D4353=""),"",D4353*100000+(C4353-DATE(2000,1,1))+ROW()/100000)</f>
        <v/>
      </c>
      <c r="F4353" s="46">
        <f>IF(E4353="","",IF(C4353&gt;WeekEndDate,"",E4353))</f>
        <v/>
      </c>
    </row>
    <row r="4354">
      <c r="A4354" t="inlineStr">
        <is>
          <t>Contractors</t>
        </is>
      </c>
      <c r="B4354" s="46">
        <f>'Contractors'!Y318</f>
        <v/>
      </c>
      <c r="C4354" s="84">
        <f>'Contractors'!W318</f>
        <v/>
      </c>
      <c r="D4354" s="46">
        <f>'Contractors'!X318</f>
        <v/>
      </c>
      <c r="E4354" s="46">
        <f>IF(OR(B4354="",C4354="",D4354=""),"",D4354*100000+(C4354-DATE(2000,1,1))+ROW()/100000)</f>
        <v/>
      </c>
      <c r="F4354" s="46">
        <f>IF(E4354="","",IF(C4354&gt;WeekEndDate,"",E4354))</f>
        <v/>
      </c>
    </row>
    <row r="4355">
      <c r="A4355" t="inlineStr">
        <is>
          <t>Contractors</t>
        </is>
      </c>
      <c r="B4355" s="46">
        <f>'Contractors'!Y319</f>
        <v/>
      </c>
      <c r="C4355" s="84">
        <f>'Contractors'!W319</f>
        <v/>
      </c>
      <c r="D4355" s="46">
        <f>'Contractors'!X319</f>
        <v/>
      </c>
      <c r="E4355" s="46">
        <f>IF(OR(B4355="",C4355="",D4355=""),"",D4355*100000+(C4355-DATE(2000,1,1))+ROW()/100000)</f>
        <v/>
      </c>
      <c r="F4355" s="46">
        <f>IF(E4355="","",IF(C4355&gt;WeekEndDate,"",E4355))</f>
        <v/>
      </c>
    </row>
    <row r="4356">
      <c r="A4356" t="inlineStr">
        <is>
          <t>Contractors</t>
        </is>
      </c>
      <c r="B4356" s="46">
        <f>'Contractors'!Y320</f>
        <v/>
      </c>
      <c r="C4356" s="84">
        <f>'Contractors'!W320</f>
        <v/>
      </c>
      <c r="D4356" s="46">
        <f>'Contractors'!X320</f>
        <v/>
      </c>
      <c r="E4356" s="46">
        <f>IF(OR(B4356="",C4356="",D4356=""),"",D4356*100000+(C4356-DATE(2000,1,1))+ROW()/100000)</f>
        <v/>
      </c>
      <c r="F4356" s="46">
        <f>IF(E4356="","",IF(C4356&gt;WeekEndDate,"",E4356))</f>
        <v/>
      </c>
    </row>
    <row r="4357">
      <c r="A4357" t="inlineStr">
        <is>
          <t>Contractors</t>
        </is>
      </c>
      <c r="B4357" s="46">
        <f>'Contractors'!Y321</f>
        <v/>
      </c>
      <c r="C4357" s="84">
        <f>'Contractors'!W321</f>
        <v/>
      </c>
      <c r="D4357" s="46">
        <f>'Contractors'!X321</f>
        <v/>
      </c>
      <c r="E4357" s="46">
        <f>IF(OR(B4357="",C4357="",D4357=""),"",D4357*100000+(C4357-DATE(2000,1,1))+ROW()/100000)</f>
        <v/>
      </c>
      <c r="F4357" s="46">
        <f>IF(E4357="","",IF(C4357&gt;WeekEndDate,"",E4357))</f>
        <v/>
      </c>
    </row>
    <row r="4358">
      <c r="A4358" t="inlineStr">
        <is>
          <t>Contractors</t>
        </is>
      </c>
      <c r="B4358" s="46">
        <f>'Contractors'!Y322</f>
        <v/>
      </c>
      <c r="C4358" s="84">
        <f>'Contractors'!W322</f>
        <v/>
      </c>
      <c r="D4358" s="46">
        <f>'Contractors'!X322</f>
        <v/>
      </c>
      <c r="E4358" s="46">
        <f>IF(OR(B4358="",C4358="",D4358=""),"",D4358*100000+(C4358-DATE(2000,1,1))+ROW()/100000)</f>
        <v/>
      </c>
      <c r="F4358" s="46">
        <f>IF(E4358="","",IF(C4358&gt;WeekEndDate,"",E4358))</f>
        <v/>
      </c>
    </row>
    <row r="4359">
      <c r="A4359" t="inlineStr">
        <is>
          <t>Contractors</t>
        </is>
      </c>
      <c r="B4359" s="46">
        <f>'Contractors'!Y323</f>
        <v/>
      </c>
      <c r="C4359" s="84">
        <f>'Contractors'!W323</f>
        <v/>
      </c>
      <c r="D4359" s="46">
        <f>'Contractors'!X323</f>
        <v/>
      </c>
      <c r="E4359" s="46">
        <f>IF(OR(B4359="",C4359="",D4359=""),"",D4359*100000+(C4359-DATE(2000,1,1))+ROW()/100000)</f>
        <v/>
      </c>
      <c r="F4359" s="46">
        <f>IF(E4359="","",IF(C4359&gt;WeekEndDate,"",E4359))</f>
        <v/>
      </c>
    </row>
    <row r="4360">
      <c r="A4360" t="inlineStr">
        <is>
          <t>Contractors</t>
        </is>
      </c>
      <c r="B4360" s="46">
        <f>'Contractors'!Y324</f>
        <v/>
      </c>
      <c r="C4360" s="84">
        <f>'Contractors'!W324</f>
        <v/>
      </c>
      <c r="D4360" s="46">
        <f>'Contractors'!X324</f>
        <v/>
      </c>
      <c r="E4360" s="46">
        <f>IF(OR(B4360="",C4360="",D4360=""),"",D4360*100000+(C4360-DATE(2000,1,1))+ROW()/100000)</f>
        <v/>
      </c>
      <c r="F4360" s="46">
        <f>IF(E4360="","",IF(C4360&gt;WeekEndDate,"",E4360))</f>
        <v/>
      </c>
    </row>
    <row r="4361">
      <c r="A4361" t="inlineStr">
        <is>
          <t>Contractors</t>
        </is>
      </c>
      <c r="B4361" s="46">
        <f>'Contractors'!Y325</f>
        <v/>
      </c>
      <c r="C4361" s="84">
        <f>'Contractors'!W325</f>
        <v/>
      </c>
      <c r="D4361" s="46">
        <f>'Contractors'!X325</f>
        <v/>
      </c>
      <c r="E4361" s="46">
        <f>IF(OR(B4361="",C4361="",D4361=""),"",D4361*100000+(C4361-DATE(2000,1,1))+ROW()/100000)</f>
        <v/>
      </c>
      <c r="F4361" s="46">
        <f>IF(E4361="","",IF(C4361&gt;WeekEndDate,"",E4361))</f>
        <v/>
      </c>
    </row>
    <row r="4362">
      <c r="A4362" t="inlineStr">
        <is>
          <t>Contractors</t>
        </is>
      </c>
      <c r="B4362" s="46">
        <f>'Contractors'!Y326</f>
        <v/>
      </c>
      <c r="C4362" s="84">
        <f>'Contractors'!W326</f>
        <v/>
      </c>
      <c r="D4362" s="46">
        <f>'Contractors'!X326</f>
        <v/>
      </c>
      <c r="E4362" s="46">
        <f>IF(OR(B4362="",C4362="",D4362=""),"",D4362*100000+(C4362-DATE(2000,1,1))+ROW()/100000)</f>
        <v/>
      </c>
      <c r="F4362" s="46">
        <f>IF(E4362="","",IF(C4362&gt;WeekEndDate,"",E4362))</f>
        <v/>
      </c>
    </row>
    <row r="4363">
      <c r="A4363" t="inlineStr">
        <is>
          <t>Contractors</t>
        </is>
      </c>
      <c r="B4363" s="46">
        <f>'Contractors'!Y327</f>
        <v/>
      </c>
      <c r="C4363" s="84">
        <f>'Contractors'!W327</f>
        <v/>
      </c>
      <c r="D4363" s="46">
        <f>'Contractors'!X327</f>
        <v/>
      </c>
      <c r="E4363" s="46">
        <f>IF(OR(B4363="",C4363="",D4363=""),"",D4363*100000+(C4363-DATE(2000,1,1))+ROW()/100000)</f>
        <v/>
      </c>
      <c r="F4363" s="46">
        <f>IF(E4363="","",IF(C4363&gt;WeekEndDate,"",E4363))</f>
        <v/>
      </c>
    </row>
    <row r="4364">
      <c r="A4364" t="inlineStr">
        <is>
          <t>Contractors</t>
        </is>
      </c>
      <c r="B4364" s="46">
        <f>'Contractors'!Y328</f>
        <v/>
      </c>
      <c r="C4364" s="84">
        <f>'Contractors'!W328</f>
        <v/>
      </c>
      <c r="D4364" s="46">
        <f>'Contractors'!X328</f>
        <v/>
      </c>
      <c r="E4364" s="46">
        <f>IF(OR(B4364="",C4364="",D4364=""),"",D4364*100000+(C4364-DATE(2000,1,1))+ROW()/100000)</f>
        <v/>
      </c>
      <c r="F4364" s="46">
        <f>IF(E4364="","",IF(C4364&gt;WeekEndDate,"",E4364))</f>
        <v/>
      </c>
    </row>
    <row r="4365">
      <c r="A4365" t="inlineStr">
        <is>
          <t>Contractors</t>
        </is>
      </c>
      <c r="B4365" s="46">
        <f>'Contractors'!Y329</f>
        <v/>
      </c>
      <c r="C4365" s="84">
        <f>'Contractors'!W329</f>
        <v/>
      </c>
      <c r="D4365" s="46">
        <f>'Contractors'!X329</f>
        <v/>
      </c>
      <c r="E4365" s="46">
        <f>IF(OR(B4365="",C4365="",D4365=""),"",D4365*100000+(C4365-DATE(2000,1,1))+ROW()/100000)</f>
        <v/>
      </c>
      <c r="F4365" s="46">
        <f>IF(E4365="","",IF(C4365&gt;WeekEndDate,"",E4365))</f>
        <v/>
      </c>
    </row>
    <row r="4366">
      <c r="A4366" t="inlineStr">
        <is>
          <t>Contractors</t>
        </is>
      </c>
      <c r="B4366" s="46">
        <f>'Contractors'!Y330</f>
        <v/>
      </c>
      <c r="C4366" s="84">
        <f>'Contractors'!W330</f>
        <v/>
      </c>
      <c r="D4366" s="46">
        <f>'Contractors'!X330</f>
        <v/>
      </c>
      <c r="E4366" s="46">
        <f>IF(OR(B4366="",C4366="",D4366=""),"",D4366*100000+(C4366-DATE(2000,1,1))+ROW()/100000)</f>
        <v/>
      </c>
      <c r="F4366" s="46">
        <f>IF(E4366="","",IF(C4366&gt;WeekEndDate,"",E4366))</f>
        <v/>
      </c>
    </row>
    <row r="4367">
      <c r="A4367" t="inlineStr">
        <is>
          <t>Contractors</t>
        </is>
      </c>
      <c r="B4367" s="46">
        <f>'Contractors'!Y331</f>
        <v/>
      </c>
      <c r="C4367" s="84">
        <f>'Contractors'!W331</f>
        <v/>
      </c>
      <c r="D4367" s="46">
        <f>'Contractors'!X331</f>
        <v/>
      </c>
      <c r="E4367" s="46">
        <f>IF(OR(B4367="",C4367="",D4367=""),"",D4367*100000+(C4367-DATE(2000,1,1))+ROW()/100000)</f>
        <v/>
      </c>
      <c r="F4367" s="46">
        <f>IF(E4367="","",IF(C4367&gt;WeekEndDate,"",E4367))</f>
        <v/>
      </c>
    </row>
    <row r="4368">
      <c r="A4368" t="inlineStr">
        <is>
          <t>Contractors</t>
        </is>
      </c>
      <c r="B4368" s="46">
        <f>'Contractors'!Y332</f>
        <v/>
      </c>
      <c r="C4368" s="84">
        <f>'Contractors'!W332</f>
        <v/>
      </c>
      <c r="D4368" s="46">
        <f>'Contractors'!X332</f>
        <v/>
      </c>
      <c r="E4368" s="46">
        <f>IF(OR(B4368="",C4368="",D4368=""),"",D4368*100000+(C4368-DATE(2000,1,1))+ROW()/100000)</f>
        <v/>
      </c>
      <c r="F4368" s="46">
        <f>IF(E4368="","",IF(C4368&gt;WeekEndDate,"",E4368))</f>
        <v/>
      </c>
    </row>
    <row r="4369">
      <c r="A4369" t="inlineStr">
        <is>
          <t>Contractors</t>
        </is>
      </c>
      <c r="B4369" s="46">
        <f>'Contractors'!Y333</f>
        <v/>
      </c>
      <c r="C4369" s="84">
        <f>'Contractors'!W333</f>
        <v/>
      </c>
      <c r="D4369" s="46">
        <f>'Contractors'!X333</f>
        <v/>
      </c>
      <c r="E4369" s="46">
        <f>IF(OR(B4369="",C4369="",D4369=""),"",D4369*100000+(C4369-DATE(2000,1,1))+ROW()/100000)</f>
        <v/>
      </c>
      <c r="F4369" s="46">
        <f>IF(E4369="","",IF(C4369&gt;WeekEndDate,"",E4369))</f>
        <v/>
      </c>
    </row>
    <row r="4370">
      <c r="A4370" t="inlineStr">
        <is>
          <t>Contractors</t>
        </is>
      </c>
      <c r="B4370" s="46">
        <f>'Contractors'!Y334</f>
        <v/>
      </c>
      <c r="C4370" s="84">
        <f>'Contractors'!W334</f>
        <v/>
      </c>
      <c r="D4370" s="46">
        <f>'Contractors'!X334</f>
        <v/>
      </c>
      <c r="E4370" s="46">
        <f>IF(OR(B4370="",C4370="",D4370=""),"",D4370*100000+(C4370-DATE(2000,1,1))+ROW()/100000)</f>
        <v/>
      </c>
      <c r="F4370" s="46">
        <f>IF(E4370="","",IF(C4370&gt;WeekEndDate,"",E4370))</f>
        <v/>
      </c>
    </row>
    <row r="4371">
      <c r="A4371" t="inlineStr">
        <is>
          <t>Contractors</t>
        </is>
      </c>
      <c r="B4371" s="46">
        <f>'Contractors'!Y335</f>
        <v/>
      </c>
      <c r="C4371" s="84">
        <f>'Contractors'!W335</f>
        <v/>
      </c>
      <c r="D4371" s="46">
        <f>'Contractors'!X335</f>
        <v/>
      </c>
      <c r="E4371" s="46">
        <f>IF(OR(B4371="",C4371="",D4371=""),"",D4371*100000+(C4371-DATE(2000,1,1))+ROW()/100000)</f>
        <v/>
      </c>
      <c r="F4371" s="46">
        <f>IF(E4371="","",IF(C4371&gt;WeekEndDate,"",E4371))</f>
        <v/>
      </c>
    </row>
    <row r="4372">
      <c r="A4372" t="inlineStr">
        <is>
          <t>Contractors</t>
        </is>
      </c>
      <c r="B4372" s="46">
        <f>'Contractors'!Y336</f>
        <v/>
      </c>
      <c r="C4372" s="84">
        <f>'Contractors'!W336</f>
        <v/>
      </c>
      <c r="D4372" s="46">
        <f>'Contractors'!X336</f>
        <v/>
      </c>
      <c r="E4372" s="46">
        <f>IF(OR(B4372="",C4372="",D4372=""),"",D4372*100000+(C4372-DATE(2000,1,1))+ROW()/100000)</f>
        <v/>
      </c>
      <c r="F4372" s="46">
        <f>IF(E4372="","",IF(C4372&gt;WeekEndDate,"",E4372))</f>
        <v/>
      </c>
    </row>
    <row r="4373">
      <c r="A4373" t="inlineStr">
        <is>
          <t>Contractors</t>
        </is>
      </c>
      <c r="B4373" s="46">
        <f>'Contractors'!Y337</f>
        <v/>
      </c>
      <c r="C4373" s="84">
        <f>'Contractors'!W337</f>
        <v/>
      </c>
      <c r="D4373" s="46">
        <f>'Contractors'!X337</f>
        <v/>
      </c>
      <c r="E4373" s="46">
        <f>IF(OR(B4373="",C4373="",D4373=""),"",D4373*100000+(C4373-DATE(2000,1,1))+ROW()/100000)</f>
        <v/>
      </c>
      <c r="F4373" s="46">
        <f>IF(E4373="","",IF(C4373&gt;WeekEndDate,"",E4373))</f>
        <v/>
      </c>
    </row>
    <row r="4374">
      <c r="A4374" t="inlineStr">
        <is>
          <t>Contractors</t>
        </is>
      </c>
      <c r="B4374" s="46">
        <f>'Contractors'!Y338</f>
        <v/>
      </c>
      <c r="C4374" s="84">
        <f>'Contractors'!W338</f>
        <v/>
      </c>
      <c r="D4374" s="46">
        <f>'Contractors'!X338</f>
        <v/>
      </c>
      <c r="E4374" s="46">
        <f>IF(OR(B4374="",C4374="",D4374=""),"",D4374*100000+(C4374-DATE(2000,1,1))+ROW()/100000)</f>
        <v/>
      </c>
      <c r="F4374" s="46">
        <f>IF(E4374="","",IF(C4374&gt;WeekEndDate,"",E4374))</f>
        <v/>
      </c>
    </row>
    <row r="4375">
      <c r="A4375" t="inlineStr">
        <is>
          <t>Contractors</t>
        </is>
      </c>
      <c r="B4375" s="46">
        <f>'Contractors'!Y339</f>
        <v/>
      </c>
      <c r="C4375" s="84">
        <f>'Contractors'!W339</f>
        <v/>
      </c>
      <c r="D4375" s="46">
        <f>'Contractors'!X339</f>
        <v/>
      </c>
      <c r="E4375" s="46">
        <f>IF(OR(B4375="",C4375="",D4375=""),"",D4375*100000+(C4375-DATE(2000,1,1))+ROW()/100000)</f>
        <v/>
      </c>
      <c r="F4375" s="46">
        <f>IF(E4375="","",IF(C4375&gt;WeekEndDate,"",E4375))</f>
        <v/>
      </c>
    </row>
    <row r="4376">
      <c r="A4376" t="inlineStr">
        <is>
          <t>Contractors</t>
        </is>
      </c>
      <c r="B4376" s="46">
        <f>'Contractors'!Y340</f>
        <v/>
      </c>
      <c r="C4376" s="84">
        <f>'Contractors'!W340</f>
        <v/>
      </c>
      <c r="D4376" s="46">
        <f>'Contractors'!X340</f>
        <v/>
      </c>
      <c r="E4376" s="46">
        <f>IF(OR(B4376="",C4376="",D4376=""),"",D4376*100000+(C4376-DATE(2000,1,1))+ROW()/100000)</f>
        <v/>
      </c>
      <c r="F4376" s="46">
        <f>IF(E4376="","",IF(C4376&gt;WeekEndDate,"",E4376))</f>
        <v/>
      </c>
    </row>
    <row r="4377">
      <c r="A4377" t="inlineStr">
        <is>
          <t>Contractors</t>
        </is>
      </c>
      <c r="B4377" s="46">
        <f>'Contractors'!Y341</f>
        <v/>
      </c>
      <c r="C4377" s="84">
        <f>'Contractors'!W341</f>
        <v/>
      </c>
      <c r="D4377" s="46">
        <f>'Contractors'!X341</f>
        <v/>
      </c>
      <c r="E4377" s="46">
        <f>IF(OR(B4377="",C4377="",D4377=""),"",D4377*100000+(C4377-DATE(2000,1,1))+ROW()/100000)</f>
        <v/>
      </c>
      <c r="F4377" s="46">
        <f>IF(E4377="","",IF(C4377&gt;WeekEndDate,"",E4377))</f>
        <v/>
      </c>
    </row>
    <row r="4378">
      <c r="A4378" t="inlineStr">
        <is>
          <t>Contractors</t>
        </is>
      </c>
      <c r="B4378" s="46">
        <f>'Contractors'!Y342</f>
        <v/>
      </c>
      <c r="C4378" s="84">
        <f>'Contractors'!W342</f>
        <v/>
      </c>
      <c r="D4378" s="46">
        <f>'Contractors'!X342</f>
        <v/>
      </c>
      <c r="E4378" s="46">
        <f>IF(OR(B4378="",C4378="",D4378=""),"",D4378*100000+(C4378-DATE(2000,1,1))+ROW()/100000)</f>
        <v/>
      </c>
      <c r="F4378" s="46">
        <f>IF(E4378="","",IF(C4378&gt;WeekEndDate,"",E4378))</f>
        <v/>
      </c>
    </row>
    <row r="4379">
      <c r="A4379" t="inlineStr">
        <is>
          <t>Contractors</t>
        </is>
      </c>
      <c r="B4379" s="46">
        <f>'Contractors'!Y343</f>
        <v/>
      </c>
      <c r="C4379" s="84">
        <f>'Contractors'!W343</f>
        <v/>
      </c>
      <c r="D4379" s="46">
        <f>'Contractors'!X343</f>
        <v/>
      </c>
      <c r="E4379" s="46">
        <f>IF(OR(B4379="",C4379="",D4379=""),"",D4379*100000+(C4379-DATE(2000,1,1))+ROW()/100000)</f>
        <v/>
      </c>
      <c r="F4379" s="46">
        <f>IF(E4379="","",IF(C4379&gt;WeekEndDate,"",E4379))</f>
        <v/>
      </c>
    </row>
    <row r="4380">
      <c r="A4380" t="inlineStr">
        <is>
          <t>Contractors</t>
        </is>
      </c>
      <c r="B4380" s="46">
        <f>'Contractors'!Y344</f>
        <v/>
      </c>
      <c r="C4380" s="84">
        <f>'Contractors'!W344</f>
        <v/>
      </c>
      <c r="D4380" s="46">
        <f>'Contractors'!X344</f>
        <v/>
      </c>
      <c r="E4380" s="46">
        <f>IF(OR(B4380="",C4380="",D4380=""),"",D4380*100000+(C4380-DATE(2000,1,1))+ROW()/100000)</f>
        <v/>
      </c>
      <c r="F4380" s="46">
        <f>IF(E4380="","",IF(C4380&gt;WeekEndDate,"",E4380))</f>
        <v/>
      </c>
    </row>
    <row r="4381">
      <c r="A4381" t="inlineStr">
        <is>
          <t>Contractors</t>
        </is>
      </c>
      <c r="B4381" s="46">
        <f>'Contractors'!Y345</f>
        <v/>
      </c>
      <c r="C4381" s="84">
        <f>'Contractors'!W345</f>
        <v/>
      </c>
      <c r="D4381" s="46">
        <f>'Contractors'!X345</f>
        <v/>
      </c>
      <c r="E4381" s="46">
        <f>IF(OR(B4381="",C4381="",D4381=""),"",D4381*100000+(C4381-DATE(2000,1,1))+ROW()/100000)</f>
        <v/>
      </c>
      <c r="F4381" s="46">
        <f>IF(E4381="","",IF(C4381&gt;WeekEndDate,"",E4381))</f>
        <v/>
      </c>
    </row>
    <row r="4382">
      <c r="A4382" t="inlineStr">
        <is>
          <t>Contractors</t>
        </is>
      </c>
      <c r="B4382" s="46">
        <f>'Contractors'!Y346</f>
        <v/>
      </c>
      <c r="C4382" s="84">
        <f>'Contractors'!W346</f>
        <v/>
      </c>
      <c r="D4382" s="46">
        <f>'Contractors'!X346</f>
        <v/>
      </c>
      <c r="E4382" s="46">
        <f>IF(OR(B4382="",C4382="",D4382=""),"",D4382*100000+(C4382-DATE(2000,1,1))+ROW()/100000)</f>
        <v/>
      </c>
      <c r="F4382" s="46">
        <f>IF(E4382="","",IF(C4382&gt;WeekEndDate,"",E4382))</f>
        <v/>
      </c>
    </row>
    <row r="4383">
      <c r="A4383" t="inlineStr">
        <is>
          <t>Contractors</t>
        </is>
      </c>
      <c r="B4383" s="46">
        <f>'Contractors'!Y347</f>
        <v/>
      </c>
      <c r="C4383" s="84">
        <f>'Contractors'!W347</f>
        <v/>
      </c>
      <c r="D4383" s="46">
        <f>'Contractors'!X347</f>
        <v/>
      </c>
      <c r="E4383" s="46">
        <f>IF(OR(B4383="",C4383="",D4383=""),"",D4383*100000+(C4383-DATE(2000,1,1))+ROW()/100000)</f>
        <v/>
      </c>
      <c r="F4383" s="46">
        <f>IF(E4383="","",IF(C4383&gt;WeekEndDate,"",E4383))</f>
        <v/>
      </c>
    </row>
    <row r="4384">
      <c r="A4384" t="inlineStr">
        <is>
          <t>Contractors</t>
        </is>
      </c>
      <c r="B4384" s="46">
        <f>'Contractors'!Y348</f>
        <v/>
      </c>
      <c r="C4384" s="84">
        <f>'Contractors'!W348</f>
        <v/>
      </c>
      <c r="D4384" s="46">
        <f>'Contractors'!X348</f>
        <v/>
      </c>
      <c r="E4384" s="46">
        <f>IF(OR(B4384="",C4384="",D4384=""),"",D4384*100000+(C4384-DATE(2000,1,1))+ROW()/100000)</f>
        <v/>
      </c>
      <c r="F4384" s="46">
        <f>IF(E4384="","",IF(C4384&gt;WeekEndDate,"",E4384))</f>
        <v/>
      </c>
    </row>
    <row r="4385">
      <c r="A4385" t="inlineStr">
        <is>
          <t>Contractors</t>
        </is>
      </c>
      <c r="B4385" s="46">
        <f>'Contractors'!Y349</f>
        <v/>
      </c>
      <c r="C4385" s="84">
        <f>'Contractors'!W349</f>
        <v/>
      </c>
      <c r="D4385" s="46">
        <f>'Contractors'!X349</f>
        <v/>
      </c>
      <c r="E4385" s="46">
        <f>IF(OR(B4385="",C4385="",D4385=""),"",D4385*100000+(C4385-DATE(2000,1,1))+ROW()/100000)</f>
        <v/>
      </c>
      <c r="F4385" s="46">
        <f>IF(E4385="","",IF(C4385&gt;WeekEndDate,"",E4385))</f>
        <v/>
      </c>
    </row>
    <row r="4386">
      <c r="A4386" t="inlineStr">
        <is>
          <t>Contractors</t>
        </is>
      </c>
      <c r="B4386" s="46">
        <f>'Contractors'!Y350</f>
        <v/>
      </c>
      <c r="C4386" s="84">
        <f>'Contractors'!W350</f>
        <v/>
      </c>
      <c r="D4386" s="46">
        <f>'Contractors'!X350</f>
        <v/>
      </c>
      <c r="E4386" s="46">
        <f>IF(OR(B4386="",C4386="",D4386=""),"",D4386*100000+(C4386-DATE(2000,1,1))+ROW()/100000)</f>
        <v/>
      </c>
      <c r="F4386" s="46">
        <f>IF(E4386="","",IF(C4386&gt;WeekEndDate,"",E4386))</f>
        <v/>
      </c>
    </row>
    <row r="4387">
      <c r="A4387" t="inlineStr">
        <is>
          <t>Contractors</t>
        </is>
      </c>
      <c r="B4387" s="46">
        <f>'Contractors'!Y351</f>
        <v/>
      </c>
      <c r="C4387" s="84">
        <f>'Contractors'!W351</f>
        <v/>
      </c>
      <c r="D4387" s="46">
        <f>'Contractors'!X351</f>
        <v/>
      </c>
      <c r="E4387" s="46">
        <f>IF(OR(B4387="",C4387="",D4387=""),"",D4387*100000+(C4387-DATE(2000,1,1))+ROW()/100000)</f>
        <v/>
      </c>
      <c r="F4387" s="46">
        <f>IF(E4387="","",IF(C4387&gt;WeekEndDate,"",E4387))</f>
        <v/>
      </c>
    </row>
    <row r="4388">
      <c r="A4388" t="inlineStr">
        <is>
          <t>Contractors</t>
        </is>
      </c>
      <c r="B4388" s="46">
        <f>'Contractors'!Y352</f>
        <v/>
      </c>
      <c r="C4388" s="84">
        <f>'Contractors'!W352</f>
        <v/>
      </c>
      <c r="D4388" s="46">
        <f>'Contractors'!X352</f>
        <v/>
      </c>
      <c r="E4388" s="46">
        <f>IF(OR(B4388="",C4388="",D4388=""),"",D4388*100000+(C4388-DATE(2000,1,1))+ROW()/100000)</f>
        <v/>
      </c>
      <c r="F4388" s="46">
        <f>IF(E4388="","",IF(C4388&gt;WeekEndDate,"",E4388))</f>
        <v/>
      </c>
    </row>
    <row r="4389">
      <c r="A4389" t="inlineStr">
        <is>
          <t>Contractors</t>
        </is>
      </c>
      <c r="B4389" s="46">
        <f>'Contractors'!Y353</f>
        <v/>
      </c>
      <c r="C4389" s="84">
        <f>'Contractors'!W353</f>
        <v/>
      </c>
      <c r="D4389" s="46">
        <f>'Contractors'!X353</f>
        <v/>
      </c>
      <c r="E4389" s="46">
        <f>IF(OR(B4389="",C4389="",D4389=""),"",D4389*100000+(C4389-DATE(2000,1,1))+ROW()/100000)</f>
        <v/>
      </c>
      <c r="F4389" s="46">
        <f>IF(E4389="","",IF(C4389&gt;WeekEndDate,"",E4389))</f>
        <v/>
      </c>
    </row>
    <row r="4390">
      <c r="A4390" t="inlineStr">
        <is>
          <t>Contractors</t>
        </is>
      </c>
      <c r="B4390" s="46">
        <f>'Contractors'!Y354</f>
        <v/>
      </c>
      <c r="C4390" s="84">
        <f>'Contractors'!W354</f>
        <v/>
      </c>
      <c r="D4390" s="46">
        <f>'Contractors'!X354</f>
        <v/>
      </c>
      <c r="E4390" s="46">
        <f>IF(OR(B4390="",C4390="",D4390=""),"",D4390*100000+(C4390-DATE(2000,1,1))+ROW()/100000)</f>
        <v/>
      </c>
      <c r="F4390" s="46">
        <f>IF(E4390="","",IF(C4390&gt;WeekEndDate,"",E4390))</f>
        <v/>
      </c>
    </row>
    <row r="4391">
      <c r="A4391" t="inlineStr">
        <is>
          <t>Contractors</t>
        </is>
      </c>
      <c r="B4391" s="46">
        <f>'Contractors'!Y355</f>
        <v/>
      </c>
      <c r="C4391" s="84">
        <f>'Contractors'!W355</f>
        <v/>
      </c>
      <c r="D4391" s="46">
        <f>'Contractors'!X355</f>
        <v/>
      </c>
      <c r="E4391" s="46">
        <f>IF(OR(B4391="",C4391="",D4391=""),"",D4391*100000+(C4391-DATE(2000,1,1))+ROW()/100000)</f>
        <v/>
      </c>
      <c r="F4391" s="46">
        <f>IF(E4391="","",IF(C4391&gt;WeekEndDate,"",E4391))</f>
        <v/>
      </c>
    </row>
    <row r="4392">
      <c r="A4392" t="inlineStr">
        <is>
          <t>Contractors</t>
        </is>
      </c>
      <c r="B4392" s="46">
        <f>'Contractors'!Y356</f>
        <v/>
      </c>
      <c r="C4392" s="84">
        <f>'Contractors'!W356</f>
        <v/>
      </c>
      <c r="D4392" s="46">
        <f>'Contractors'!X356</f>
        <v/>
      </c>
      <c r="E4392" s="46">
        <f>IF(OR(B4392="",C4392="",D4392=""),"",D4392*100000+(C4392-DATE(2000,1,1))+ROW()/100000)</f>
        <v/>
      </c>
      <c r="F4392" s="46">
        <f>IF(E4392="","",IF(C4392&gt;WeekEndDate,"",E4392))</f>
        <v/>
      </c>
    </row>
    <row r="4393">
      <c r="A4393" t="inlineStr">
        <is>
          <t>Contractors</t>
        </is>
      </c>
      <c r="B4393" s="46">
        <f>'Contractors'!Y357</f>
        <v/>
      </c>
      <c r="C4393" s="84">
        <f>'Contractors'!W357</f>
        <v/>
      </c>
      <c r="D4393" s="46">
        <f>'Contractors'!X357</f>
        <v/>
      </c>
      <c r="E4393" s="46">
        <f>IF(OR(B4393="",C4393="",D4393=""),"",D4393*100000+(C4393-DATE(2000,1,1))+ROW()/100000)</f>
        <v/>
      </c>
      <c r="F4393" s="46">
        <f>IF(E4393="","",IF(C4393&gt;WeekEndDate,"",E4393))</f>
        <v/>
      </c>
    </row>
    <row r="4394">
      <c r="A4394" t="inlineStr">
        <is>
          <t>Contractors</t>
        </is>
      </c>
      <c r="B4394" s="46">
        <f>'Contractors'!Y358</f>
        <v/>
      </c>
      <c r="C4394" s="84">
        <f>'Contractors'!W358</f>
        <v/>
      </c>
      <c r="D4394" s="46">
        <f>'Contractors'!X358</f>
        <v/>
      </c>
      <c r="E4394" s="46">
        <f>IF(OR(B4394="",C4394="",D4394=""),"",D4394*100000+(C4394-DATE(2000,1,1))+ROW()/100000)</f>
        <v/>
      </c>
      <c r="F4394" s="46">
        <f>IF(E4394="","",IF(C4394&gt;WeekEndDate,"",E4394))</f>
        <v/>
      </c>
    </row>
    <row r="4395">
      <c r="A4395" t="inlineStr">
        <is>
          <t>Contractors</t>
        </is>
      </c>
      <c r="B4395" s="46">
        <f>'Contractors'!Y359</f>
        <v/>
      </c>
      <c r="C4395" s="84">
        <f>'Contractors'!W359</f>
        <v/>
      </c>
      <c r="D4395" s="46">
        <f>'Contractors'!X359</f>
        <v/>
      </c>
      <c r="E4395" s="46">
        <f>IF(OR(B4395="",C4395="",D4395=""),"",D4395*100000+(C4395-DATE(2000,1,1))+ROW()/100000)</f>
        <v/>
      </c>
      <c r="F4395" s="46">
        <f>IF(E4395="","",IF(C4395&gt;WeekEndDate,"",E4395))</f>
        <v/>
      </c>
    </row>
    <row r="4396">
      <c r="A4396" t="inlineStr">
        <is>
          <t>Contractors</t>
        </is>
      </c>
      <c r="B4396" s="46">
        <f>'Contractors'!Y360</f>
        <v/>
      </c>
      <c r="C4396" s="84">
        <f>'Contractors'!W360</f>
        <v/>
      </c>
      <c r="D4396" s="46">
        <f>'Contractors'!X360</f>
        <v/>
      </c>
      <c r="E4396" s="46">
        <f>IF(OR(B4396="",C4396="",D4396=""),"",D4396*100000+(C4396-DATE(2000,1,1))+ROW()/100000)</f>
        <v/>
      </c>
      <c r="F4396" s="46">
        <f>IF(E4396="","",IF(C4396&gt;WeekEndDate,"",E4396))</f>
        <v/>
      </c>
    </row>
    <row r="4397">
      <c r="A4397" t="inlineStr">
        <is>
          <t>Contractors</t>
        </is>
      </c>
      <c r="B4397" s="46">
        <f>'Contractors'!Y361</f>
        <v/>
      </c>
      <c r="C4397" s="84">
        <f>'Contractors'!W361</f>
        <v/>
      </c>
      <c r="D4397" s="46">
        <f>'Contractors'!X361</f>
        <v/>
      </c>
      <c r="E4397" s="46">
        <f>IF(OR(B4397="",C4397="",D4397=""),"",D4397*100000+(C4397-DATE(2000,1,1))+ROW()/100000)</f>
        <v/>
      </c>
      <c r="F4397" s="46">
        <f>IF(E4397="","",IF(C4397&gt;WeekEndDate,"",E4397))</f>
        <v/>
      </c>
    </row>
    <row r="4398">
      <c r="A4398" t="inlineStr">
        <is>
          <t>Contractors</t>
        </is>
      </c>
      <c r="B4398" s="46">
        <f>'Contractors'!Y362</f>
        <v/>
      </c>
      <c r="C4398" s="84">
        <f>'Contractors'!W362</f>
        <v/>
      </c>
      <c r="D4398" s="46">
        <f>'Contractors'!X362</f>
        <v/>
      </c>
      <c r="E4398" s="46">
        <f>IF(OR(B4398="",C4398="",D4398=""),"",D4398*100000+(C4398-DATE(2000,1,1))+ROW()/100000)</f>
        <v/>
      </c>
      <c r="F4398" s="46">
        <f>IF(E4398="","",IF(C4398&gt;WeekEndDate,"",E4398))</f>
        <v/>
      </c>
    </row>
    <row r="4399">
      <c r="A4399" t="inlineStr">
        <is>
          <t>Contractors</t>
        </is>
      </c>
      <c r="B4399" s="46">
        <f>'Contractors'!Y363</f>
        <v/>
      </c>
      <c r="C4399" s="84">
        <f>'Contractors'!W363</f>
        <v/>
      </c>
      <c r="D4399" s="46">
        <f>'Contractors'!X363</f>
        <v/>
      </c>
      <c r="E4399" s="46">
        <f>IF(OR(B4399="",C4399="",D4399=""),"",D4399*100000+(C4399-DATE(2000,1,1))+ROW()/100000)</f>
        <v/>
      </c>
      <c r="F4399" s="46">
        <f>IF(E4399="","",IF(C4399&gt;WeekEndDate,"",E4399))</f>
        <v/>
      </c>
    </row>
    <row r="4400">
      <c r="A4400" t="inlineStr">
        <is>
          <t>Contractors</t>
        </is>
      </c>
      <c r="B4400" s="46">
        <f>'Contractors'!Y364</f>
        <v/>
      </c>
      <c r="C4400" s="84">
        <f>'Contractors'!W364</f>
        <v/>
      </c>
      <c r="D4400" s="46">
        <f>'Contractors'!X364</f>
        <v/>
      </c>
      <c r="E4400" s="46">
        <f>IF(OR(B4400="",C4400="",D4400=""),"",D4400*100000+(C4400-DATE(2000,1,1))+ROW()/100000)</f>
        <v/>
      </c>
      <c r="F4400" s="46">
        <f>IF(E4400="","",IF(C4400&gt;WeekEndDate,"",E4400))</f>
        <v/>
      </c>
    </row>
    <row r="4401">
      <c r="A4401" t="inlineStr">
        <is>
          <t>Contractors</t>
        </is>
      </c>
      <c r="B4401" s="46">
        <f>'Contractors'!Y365</f>
        <v/>
      </c>
      <c r="C4401" s="84">
        <f>'Contractors'!W365</f>
        <v/>
      </c>
      <c r="D4401" s="46">
        <f>'Contractors'!X365</f>
        <v/>
      </c>
      <c r="E4401" s="46">
        <f>IF(OR(B4401="",C4401="",D4401=""),"",D4401*100000+(C4401-DATE(2000,1,1))+ROW()/100000)</f>
        <v/>
      </c>
      <c r="F4401" s="46">
        <f>IF(E4401="","",IF(C4401&gt;WeekEndDate,"",E4401))</f>
        <v/>
      </c>
    </row>
    <row r="4402">
      <c r="A4402" t="inlineStr">
        <is>
          <t>Contractors</t>
        </is>
      </c>
      <c r="B4402" s="46">
        <f>'Contractors'!Y366</f>
        <v/>
      </c>
      <c r="C4402" s="84">
        <f>'Contractors'!W366</f>
        <v/>
      </c>
      <c r="D4402" s="46">
        <f>'Contractors'!X366</f>
        <v/>
      </c>
      <c r="E4402" s="46">
        <f>IF(OR(B4402="",C4402="",D4402=""),"",D4402*100000+(C4402-DATE(2000,1,1))+ROW()/100000)</f>
        <v/>
      </c>
      <c r="F4402" s="46">
        <f>IF(E4402="","",IF(C4402&gt;WeekEndDate,"",E4402))</f>
        <v/>
      </c>
    </row>
    <row r="4403">
      <c r="A4403" t="inlineStr">
        <is>
          <t>Contractors</t>
        </is>
      </c>
      <c r="B4403" s="46">
        <f>'Contractors'!Y367</f>
        <v/>
      </c>
      <c r="C4403" s="84">
        <f>'Contractors'!W367</f>
        <v/>
      </c>
      <c r="D4403" s="46">
        <f>'Contractors'!X367</f>
        <v/>
      </c>
      <c r="E4403" s="46">
        <f>IF(OR(B4403="",C4403="",D4403=""),"",D4403*100000+(C4403-DATE(2000,1,1))+ROW()/100000)</f>
        <v/>
      </c>
      <c r="F4403" s="46">
        <f>IF(E4403="","",IF(C4403&gt;WeekEndDate,"",E4403))</f>
        <v/>
      </c>
    </row>
    <row r="4404">
      <c r="A4404" t="inlineStr">
        <is>
          <t>Contractors</t>
        </is>
      </c>
      <c r="B4404" s="46">
        <f>'Contractors'!Y368</f>
        <v/>
      </c>
      <c r="C4404" s="84">
        <f>'Contractors'!W368</f>
        <v/>
      </c>
      <c r="D4404" s="46">
        <f>'Contractors'!X368</f>
        <v/>
      </c>
      <c r="E4404" s="46">
        <f>IF(OR(B4404="",C4404="",D4404=""),"",D4404*100000+(C4404-DATE(2000,1,1))+ROW()/100000)</f>
        <v/>
      </c>
      <c r="F4404" s="46">
        <f>IF(E4404="","",IF(C4404&gt;WeekEndDate,"",E4404))</f>
        <v/>
      </c>
    </row>
    <row r="4405">
      <c r="A4405" t="inlineStr">
        <is>
          <t>Contractors</t>
        </is>
      </c>
      <c r="B4405" s="46">
        <f>'Contractors'!Y369</f>
        <v/>
      </c>
      <c r="C4405" s="84">
        <f>'Contractors'!W369</f>
        <v/>
      </c>
      <c r="D4405" s="46">
        <f>'Contractors'!X369</f>
        <v/>
      </c>
      <c r="E4405" s="46">
        <f>IF(OR(B4405="",C4405="",D4405=""),"",D4405*100000+(C4405-DATE(2000,1,1))+ROW()/100000)</f>
        <v/>
      </c>
      <c r="F4405" s="46">
        <f>IF(E4405="","",IF(C4405&gt;WeekEndDate,"",E4405))</f>
        <v/>
      </c>
    </row>
    <row r="4406">
      <c r="A4406" t="inlineStr">
        <is>
          <t>Contractors</t>
        </is>
      </c>
      <c r="B4406" s="46">
        <f>'Contractors'!Y370</f>
        <v/>
      </c>
      <c r="C4406" s="84">
        <f>'Contractors'!W370</f>
        <v/>
      </c>
      <c r="D4406" s="46">
        <f>'Contractors'!X370</f>
        <v/>
      </c>
      <c r="E4406" s="46">
        <f>IF(OR(B4406="",C4406="",D4406=""),"",D4406*100000+(C4406-DATE(2000,1,1))+ROW()/100000)</f>
        <v/>
      </c>
      <c r="F4406" s="46">
        <f>IF(E4406="","",IF(C4406&gt;WeekEndDate,"",E4406))</f>
        <v/>
      </c>
    </row>
    <row r="4407">
      <c r="A4407" t="inlineStr">
        <is>
          <t>Contractors</t>
        </is>
      </c>
      <c r="B4407" s="46">
        <f>'Contractors'!Y371</f>
        <v/>
      </c>
      <c r="C4407" s="84">
        <f>'Contractors'!W371</f>
        <v/>
      </c>
      <c r="D4407" s="46">
        <f>'Contractors'!X371</f>
        <v/>
      </c>
      <c r="E4407" s="46">
        <f>IF(OR(B4407="",C4407="",D4407=""),"",D4407*100000+(C4407-DATE(2000,1,1))+ROW()/100000)</f>
        <v/>
      </c>
      <c r="F4407" s="46">
        <f>IF(E4407="","",IF(C4407&gt;WeekEndDate,"",E4407))</f>
        <v/>
      </c>
    </row>
    <row r="4408">
      <c r="A4408" t="inlineStr">
        <is>
          <t>Contractors</t>
        </is>
      </c>
      <c r="B4408" s="46">
        <f>'Contractors'!Y372</f>
        <v/>
      </c>
      <c r="C4408" s="84">
        <f>'Contractors'!W372</f>
        <v/>
      </c>
      <c r="D4408" s="46">
        <f>'Contractors'!X372</f>
        <v/>
      </c>
      <c r="E4408" s="46">
        <f>IF(OR(B4408="",C4408="",D4408=""),"",D4408*100000+(C4408-DATE(2000,1,1))+ROW()/100000)</f>
        <v/>
      </c>
      <c r="F4408" s="46">
        <f>IF(E4408="","",IF(C4408&gt;WeekEndDate,"",E4408))</f>
        <v/>
      </c>
    </row>
    <row r="4409">
      <c r="A4409" t="inlineStr">
        <is>
          <t>Contractors</t>
        </is>
      </c>
      <c r="B4409" s="46">
        <f>'Contractors'!Y373</f>
        <v/>
      </c>
      <c r="C4409" s="84">
        <f>'Contractors'!W373</f>
        <v/>
      </c>
      <c r="D4409" s="46">
        <f>'Contractors'!X373</f>
        <v/>
      </c>
      <c r="E4409" s="46">
        <f>IF(OR(B4409="",C4409="",D4409=""),"",D4409*100000+(C4409-DATE(2000,1,1))+ROW()/100000)</f>
        <v/>
      </c>
      <c r="F4409" s="46">
        <f>IF(E4409="","",IF(C4409&gt;WeekEndDate,"",E4409))</f>
        <v/>
      </c>
    </row>
    <row r="4410">
      <c r="A4410" t="inlineStr">
        <is>
          <t>Contractors</t>
        </is>
      </c>
      <c r="B4410" s="46">
        <f>'Contractors'!Y374</f>
        <v/>
      </c>
      <c r="C4410" s="84">
        <f>'Contractors'!W374</f>
        <v/>
      </c>
      <c r="D4410" s="46">
        <f>'Contractors'!X374</f>
        <v/>
      </c>
      <c r="E4410" s="46">
        <f>IF(OR(B4410="",C4410="",D4410=""),"",D4410*100000+(C4410-DATE(2000,1,1))+ROW()/100000)</f>
        <v/>
      </c>
      <c r="F4410" s="46">
        <f>IF(E4410="","",IF(C4410&gt;WeekEndDate,"",E4410))</f>
        <v/>
      </c>
    </row>
    <row r="4411">
      <c r="A4411" t="inlineStr">
        <is>
          <t>Contractors</t>
        </is>
      </c>
      <c r="B4411" s="46">
        <f>'Contractors'!Y375</f>
        <v/>
      </c>
      <c r="C4411" s="84">
        <f>'Contractors'!W375</f>
        <v/>
      </c>
      <c r="D4411" s="46">
        <f>'Contractors'!X375</f>
        <v/>
      </c>
      <c r="E4411" s="46">
        <f>IF(OR(B4411="",C4411="",D4411=""),"",D4411*100000+(C4411-DATE(2000,1,1))+ROW()/100000)</f>
        <v/>
      </c>
      <c r="F4411" s="46">
        <f>IF(E4411="","",IF(C4411&gt;WeekEndDate,"",E4411))</f>
        <v/>
      </c>
    </row>
    <row r="4412">
      <c r="A4412" t="inlineStr">
        <is>
          <t>Contractors</t>
        </is>
      </c>
      <c r="B4412" s="46">
        <f>'Contractors'!Y376</f>
        <v/>
      </c>
      <c r="C4412" s="84">
        <f>'Contractors'!W376</f>
        <v/>
      </c>
      <c r="D4412" s="46">
        <f>'Contractors'!X376</f>
        <v/>
      </c>
      <c r="E4412" s="46">
        <f>IF(OR(B4412="",C4412="",D4412=""),"",D4412*100000+(C4412-DATE(2000,1,1))+ROW()/100000)</f>
        <v/>
      </c>
      <c r="F4412" s="46">
        <f>IF(E4412="","",IF(C4412&gt;WeekEndDate,"",E4412))</f>
        <v/>
      </c>
    </row>
    <row r="4413">
      <c r="A4413" t="inlineStr">
        <is>
          <t>Contractors</t>
        </is>
      </c>
      <c r="B4413" s="46">
        <f>'Contractors'!Y377</f>
        <v/>
      </c>
      <c r="C4413" s="84">
        <f>'Contractors'!W377</f>
        <v/>
      </c>
      <c r="D4413" s="46">
        <f>'Contractors'!X377</f>
        <v/>
      </c>
      <c r="E4413" s="46">
        <f>IF(OR(B4413="",C4413="",D4413=""),"",D4413*100000+(C4413-DATE(2000,1,1))+ROW()/100000)</f>
        <v/>
      </c>
      <c r="F4413" s="46">
        <f>IF(E4413="","",IF(C4413&gt;WeekEndDate,"",E4413))</f>
        <v/>
      </c>
    </row>
    <row r="4414">
      <c r="A4414" t="inlineStr">
        <is>
          <t>Contractors</t>
        </is>
      </c>
      <c r="B4414" s="46">
        <f>'Contractors'!Y378</f>
        <v/>
      </c>
      <c r="C4414" s="84">
        <f>'Contractors'!W378</f>
        <v/>
      </c>
      <c r="D4414" s="46">
        <f>'Contractors'!X378</f>
        <v/>
      </c>
      <c r="E4414" s="46">
        <f>IF(OR(B4414="",C4414="",D4414=""),"",D4414*100000+(C4414-DATE(2000,1,1))+ROW()/100000)</f>
        <v/>
      </c>
      <c r="F4414" s="46">
        <f>IF(E4414="","",IF(C4414&gt;WeekEndDate,"",E4414))</f>
        <v/>
      </c>
    </row>
    <row r="4415">
      <c r="A4415" t="inlineStr">
        <is>
          <t>Contractors</t>
        </is>
      </c>
      <c r="B4415" s="46">
        <f>'Contractors'!Y379</f>
        <v/>
      </c>
      <c r="C4415" s="84">
        <f>'Contractors'!W379</f>
        <v/>
      </c>
      <c r="D4415" s="46">
        <f>'Contractors'!X379</f>
        <v/>
      </c>
      <c r="E4415" s="46">
        <f>IF(OR(B4415="",C4415="",D4415=""),"",D4415*100000+(C4415-DATE(2000,1,1))+ROW()/100000)</f>
        <v/>
      </c>
      <c r="F4415" s="46">
        <f>IF(E4415="","",IF(C4415&gt;WeekEndDate,"",E4415))</f>
        <v/>
      </c>
    </row>
    <row r="4416">
      <c r="A4416" t="inlineStr">
        <is>
          <t>Contractors</t>
        </is>
      </c>
      <c r="B4416" s="46">
        <f>'Contractors'!Y380</f>
        <v/>
      </c>
      <c r="C4416" s="84">
        <f>'Contractors'!W380</f>
        <v/>
      </c>
      <c r="D4416" s="46">
        <f>'Contractors'!X380</f>
        <v/>
      </c>
      <c r="E4416" s="46">
        <f>IF(OR(B4416="",C4416="",D4416=""),"",D4416*100000+(C4416-DATE(2000,1,1))+ROW()/100000)</f>
        <v/>
      </c>
      <c r="F4416" s="46">
        <f>IF(E4416="","",IF(C4416&gt;WeekEndDate,"",E4416))</f>
        <v/>
      </c>
    </row>
    <row r="4417">
      <c r="A4417" t="inlineStr">
        <is>
          <t>Contractors</t>
        </is>
      </c>
      <c r="B4417" s="46">
        <f>'Contractors'!Y381</f>
        <v/>
      </c>
      <c r="C4417" s="84">
        <f>'Contractors'!W381</f>
        <v/>
      </c>
      <c r="D4417" s="46">
        <f>'Contractors'!X381</f>
        <v/>
      </c>
      <c r="E4417" s="46">
        <f>IF(OR(B4417="",C4417="",D4417=""),"",D4417*100000+(C4417-DATE(2000,1,1))+ROW()/100000)</f>
        <v/>
      </c>
      <c r="F4417" s="46">
        <f>IF(E4417="","",IF(C4417&gt;WeekEndDate,"",E4417))</f>
        <v/>
      </c>
    </row>
    <row r="4418">
      <c r="A4418" t="inlineStr">
        <is>
          <t>Contractors</t>
        </is>
      </c>
      <c r="B4418" s="46">
        <f>'Contractors'!Y382</f>
        <v/>
      </c>
      <c r="C4418" s="84">
        <f>'Contractors'!W382</f>
        <v/>
      </c>
      <c r="D4418" s="46">
        <f>'Contractors'!X382</f>
        <v/>
      </c>
      <c r="E4418" s="46">
        <f>IF(OR(B4418="",C4418="",D4418=""),"",D4418*100000+(C4418-DATE(2000,1,1))+ROW()/100000)</f>
        <v/>
      </c>
      <c r="F4418" s="46">
        <f>IF(E4418="","",IF(C4418&gt;WeekEndDate,"",E4418))</f>
        <v/>
      </c>
    </row>
    <row r="4419">
      <c r="A4419" t="inlineStr">
        <is>
          <t>Contractors</t>
        </is>
      </c>
      <c r="B4419" s="46">
        <f>'Contractors'!Y383</f>
        <v/>
      </c>
      <c r="C4419" s="84">
        <f>'Contractors'!W383</f>
        <v/>
      </c>
      <c r="D4419" s="46">
        <f>'Contractors'!X383</f>
        <v/>
      </c>
      <c r="E4419" s="46">
        <f>IF(OR(B4419="",C4419="",D4419=""),"",D4419*100000+(C4419-DATE(2000,1,1))+ROW()/100000)</f>
        <v/>
      </c>
      <c r="F4419" s="46">
        <f>IF(E4419="","",IF(C4419&gt;WeekEndDate,"",E4419))</f>
        <v/>
      </c>
    </row>
    <row r="4420">
      <c r="A4420" t="inlineStr">
        <is>
          <t>Contractors</t>
        </is>
      </c>
      <c r="B4420" s="46">
        <f>'Contractors'!Y384</f>
        <v/>
      </c>
      <c r="C4420" s="84">
        <f>'Contractors'!W384</f>
        <v/>
      </c>
      <c r="D4420" s="46">
        <f>'Contractors'!X384</f>
        <v/>
      </c>
      <c r="E4420" s="46">
        <f>IF(OR(B4420="",C4420="",D4420=""),"",D4420*100000+(C4420-DATE(2000,1,1))+ROW()/100000)</f>
        <v/>
      </c>
      <c r="F4420" s="46">
        <f>IF(E4420="","",IF(C4420&gt;WeekEndDate,"",E4420))</f>
        <v/>
      </c>
    </row>
    <row r="4421">
      <c r="A4421" t="inlineStr">
        <is>
          <t>Contractors</t>
        </is>
      </c>
      <c r="B4421" s="46">
        <f>'Contractors'!Y385</f>
        <v/>
      </c>
      <c r="C4421" s="84">
        <f>'Contractors'!W385</f>
        <v/>
      </c>
      <c r="D4421" s="46">
        <f>'Contractors'!X385</f>
        <v/>
      </c>
      <c r="E4421" s="46">
        <f>IF(OR(B4421="",C4421="",D4421=""),"",D4421*100000+(C4421-DATE(2000,1,1))+ROW()/100000)</f>
        <v/>
      </c>
      <c r="F4421" s="46">
        <f>IF(E4421="","",IF(C4421&gt;WeekEndDate,"",E4421))</f>
        <v/>
      </c>
    </row>
    <row r="4422">
      <c r="A4422" t="inlineStr">
        <is>
          <t>Contractors</t>
        </is>
      </c>
      <c r="B4422" s="46">
        <f>'Contractors'!Y386</f>
        <v/>
      </c>
      <c r="C4422" s="84">
        <f>'Contractors'!W386</f>
        <v/>
      </c>
      <c r="D4422" s="46">
        <f>'Contractors'!X386</f>
        <v/>
      </c>
      <c r="E4422" s="46">
        <f>IF(OR(B4422="",C4422="",D4422=""),"",D4422*100000+(C4422-DATE(2000,1,1))+ROW()/100000)</f>
        <v/>
      </c>
      <c r="F4422" s="46">
        <f>IF(E4422="","",IF(C4422&gt;WeekEndDate,"",E4422))</f>
        <v/>
      </c>
    </row>
    <row r="4423">
      <c r="A4423" t="inlineStr">
        <is>
          <t>Contractors</t>
        </is>
      </c>
      <c r="B4423" s="46">
        <f>'Contractors'!Y387</f>
        <v/>
      </c>
      <c r="C4423" s="84">
        <f>'Contractors'!W387</f>
        <v/>
      </c>
      <c r="D4423" s="46">
        <f>'Contractors'!X387</f>
        <v/>
      </c>
      <c r="E4423" s="46">
        <f>IF(OR(B4423="",C4423="",D4423=""),"",D4423*100000+(C4423-DATE(2000,1,1))+ROW()/100000)</f>
        <v/>
      </c>
      <c r="F4423" s="46">
        <f>IF(E4423="","",IF(C4423&gt;WeekEndDate,"",E4423))</f>
        <v/>
      </c>
    </row>
    <row r="4424">
      <c r="A4424" t="inlineStr">
        <is>
          <t>Contractors</t>
        </is>
      </c>
      <c r="B4424" s="46">
        <f>'Contractors'!Y388</f>
        <v/>
      </c>
      <c r="C4424" s="84">
        <f>'Contractors'!W388</f>
        <v/>
      </c>
      <c r="D4424" s="46">
        <f>'Contractors'!X388</f>
        <v/>
      </c>
      <c r="E4424" s="46">
        <f>IF(OR(B4424="",C4424="",D4424=""),"",D4424*100000+(C4424-DATE(2000,1,1))+ROW()/100000)</f>
        <v/>
      </c>
      <c r="F4424" s="46">
        <f>IF(E4424="","",IF(C4424&gt;WeekEndDate,"",E4424))</f>
        <v/>
      </c>
    </row>
    <row r="4425">
      <c r="A4425" t="inlineStr">
        <is>
          <t>Contractors</t>
        </is>
      </c>
      <c r="B4425" s="46">
        <f>'Contractors'!Y389</f>
        <v/>
      </c>
      <c r="C4425" s="84">
        <f>'Contractors'!W389</f>
        <v/>
      </c>
      <c r="D4425" s="46">
        <f>'Contractors'!X389</f>
        <v/>
      </c>
      <c r="E4425" s="46">
        <f>IF(OR(B4425="",C4425="",D4425=""),"",D4425*100000+(C4425-DATE(2000,1,1))+ROW()/100000)</f>
        <v/>
      </c>
      <c r="F4425" s="46">
        <f>IF(E4425="","",IF(C4425&gt;WeekEndDate,"",E4425))</f>
        <v/>
      </c>
    </row>
    <row r="4426">
      <c r="A4426" t="inlineStr">
        <is>
          <t>Contractors</t>
        </is>
      </c>
      <c r="B4426" s="46">
        <f>'Contractors'!Y390</f>
        <v/>
      </c>
      <c r="C4426" s="84">
        <f>'Contractors'!W390</f>
        <v/>
      </c>
      <c r="D4426" s="46">
        <f>'Contractors'!X390</f>
        <v/>
      </c>
      <c r="E4426" s="46">
        <f>IF(OR(B4426="",C4426="",D4426=""),"",D4426*100000+(C4426-DATE(2000,1,1))+ROW()/100000)</f>
        <v/>
      </c>
      <c r="F4426" s="46">
        <f>IF(E4426="","",IF(C4426&gt;WeekEndDate,"",E4426))</f>
        <v/>
      </c>
    </row>
    <row r="4427">
      <c r="A4427" t="inlineStr">
        <is>
          <t>Contractors</t>
        </is>
      </c>
      <c r="B4427" s="46">
        <f>'Contractors'!Y391</f>
        <v/>
      </c>
      <c r="C4427" s="84">
        <f>'Contractors'!W391</f>
        <v/>
      </c>
      <c r="D4427" s="46">
        <f>'Contractors'!X391</f>
        <v/>
      </c>
      <c r="E4427" s="46">
        <f>IF(OR(B4427="",C4427="",D4427=""),"",D4427*100000+(C4427-DATE(2000,1,1))+ROW()/100000)</f>
        <v/>
      </c>
      <c r="F4427" s="46">
        <f>IF(E4427="","",IF(C4427&gt;WeekEndDate,"",E4427))</f>
        <v/>
      </c>
    </row>
    <row r="4428">
      <c r="A4428" t="inlineStr">
        <is>
          <t>Contractors</t>
        </is>
      </c>
      <c r="B4428" s="46">
        <f>'Contractors'!Y392</f>
        <v/>
      </c>
      <c r="C4428" s="84">
        <f>'Contractors'!W392</f>
        <v/>
      </c>
      <c r="D4428" s="46">
        <f>'Contractors'!X392</f>
        <v/>
      </c>
      <c r="E4428" s="46">
        <f>IF(OR(B4428="",C4428="",D4428=""),"",D4428*100000+(C4428-DATE(2000,1,1))+ROW()/100000)</f>
        <v/>
      </c>
      <c r="F4428" s="46">
        <f>IF(E4428="","",IF(C4428&gt;WeekEndDate,"",E4428))</f>
        <v/>
      </c>
    </row>
    <row r="4429">
      <c r="A4429" t="inlineStr">
        <is>
          <t>Contractors</t>
        </is>
      </c>
      <c r="B4429" s="46">
        <f>'Contractors'!Y393</f>
        <v/>
      </c>
      <c r="C4429" s="84">
        <f>'Contractors'!W393</f>
        <v/>
      </c>
      <c r="D4429" s="46">
        <f>'Contractors'!X393</f>
        <v/>
      </c>
      <c r="E4429" s="46">
        <f>IF(OR(B4429="",C4429="",D4429=""),"",D4429*100000+(C4429-DATE(2000,1,1))+ROW()/100000)</f>
        <v/>
      </c>
      <c r="F4429" s="46">
        <f>IF(E4429="","",IF(C4429&gt;WeekEndDate,"",E4429))</f>
        <v/>
      </c>
    </row>
    <row r="4430">
      <c r="A4430" t="inlineStr">
        <is>
          <t>Contractors</t>
        </is>
      </c>
      <c r="B4430" s="46">
        <f>'Contractors'!Y394</f>
        <v/>
      </c>
      <c r="C4430" s="84">
        <f>'Contractors'!W394</f>
        <v/>
      </c>
      <c r="D4430" s="46">
        <f>'Contractors'!X394</f>
        <v/>
      </c>
      <c r="E4430" s="46">
        <f>IF(OR(B4430="",C4430="",D4430=""),"",D4430*100000+(C4430-DATE(2000,1,1))+ROW()/100000)</f>
        <v/>
      </c>
      <c r="F4430" s="46">
        <f>IF(E4430="","",IF(C4430&gt;WeekEndDate,"",E4430))</f>
        <v/>
      </c>
    </row>
    <row r="4431">
      <c r="A4431" t="inlineStr">
        <is>
          <t>Contractors</t>
        </is>
      </c>
      <c r="B4431" s="46">
        <f>'Contractors'!Y395</f>
        <v/>
      </c>
      <c r="C4431" s="84">
        <f>'Contractors'!W395</f>
        <v/>
      </c>
      <c r="D4431" s="46">
        <f>'Contractors'!X395</f>
        <v/>
      </c>
      <c r="E4431" s="46">
        <f>IF(OR(B4431="",C4431="",D4431=""),"",D4431*100000+(C4431-DATE(2000,1,1))+ROW()/100000)</f>
        <v/>
      </c>
      <c r="F4431" s="46">
        <f>IF(E4431="","",IF(C4431&gt;WeekEndDate,"",E4431))</f>
        <v/>
      </c>
    </row>
    <row r="4432">
      <c r="A4432" t="inlineStr">
        <is>
          <t>Contractors</t>
        </is>
      </c>
      <c r="B4432" s="46">
        <f>'Contractors'!Y396</f>
        <v/>
      </c>
      <c r="C4432" s="84">
        <f>'Contractors'!W396</f>
        <v/>
      </c>
      <c r="D4432" s="46">
        <f>'Contractors'!X396</f>
        <v/>
      </c>
      <c r="E4432" s="46">
        <f>IF(OR(B4432="",C4432="",D4432=""),"",D4432*100000+(C4432-DATE(2000,1,1))+ROW()/100000)</f>
        <v/>
      </c>
      <c r="F4432" s="46">
        <f>IF(E4432="","",IF(C4432&gt;WeekEndDate,"",E4432))</f>
        <v/>
      </c>
    </row>
    <row r="4433">
      <c r="A4433" t="inlineStr">
        <is>
          <t>Contractors</t>
        </is>
      </c>
      <c r="B4433" s="46">
        <f>'Contractors'!Y397</f>
        <v/>
      </c>
      <c r="C4433" s="84">
        <f>'Contractors'!W397</f>
        <v/>
      </c>
      <c r="D4433" s="46">
        <f>'Contractors'!X397</f>
        <v/>
      </c>
      <c r="E4433" s="46">
        <f>IF(OR(B4433="",C4433="",D4433=""),"",D4433*100000+(C4433-DATE(2000,1,1))+ROW()/100000)</f>
        <v/>
      </c>
      <c r="F4433" s="46">
        <f>IF(E4433="","",IF(C4433&gt;WeekEndDate,"",E4433))</f>
        <v/>
      </c>
    </row>
    <row r="4434">
      <c r="A4434" t="inlineStr">
        <is>
          <t>Contractors</t>
        </is>
      </c>
      <c r="B4434" s="46">
        <f>'Contractors'!Y398</f>
        <v/>
      </c>
      <c r="C4434" s="84">
        <f>'Contractors'!W398</f>
        <v/>
      </c>
      <c r="D4434" s="46">
        <f>'Contractors'!X398</f>
        <v/>
      </c>
      <c r="E4434" s="46">
        <f>IF(OR(B4434="",C4434="",D4434=""),"",D4434*100000+(C4434-DATE(2000,1,1))+ROW()/100000)</f>
        <v/>
      </c>
      <c r="F4434" s="46">
        <f>IF(E4434="","",IF(C4434&gt;WeekEndDate,"",E4434))</f>
        <v/>
      </c>
    </row>
    <row r="4435">
      <c r="A4435" t="inlineStr">
        <is>
          <t>Contractors</t>
        </is>
      </c>
      <c r="B4435" s="46">
        <f>'Contractors'!Y399</f>
        <v/>
      </c>
      <c r="C4435" s="84">
        <f>'Contractors'!W399</f>
        <v/>
      </c>
      <c r="D4435" s="46">
        <f>'Contractors'!X399</f>
        <v/>
      </c>
      <c r="E4435" s="46">
        <f>IF(OR(B4435="",C4435="",D4435=""),"",D4435*100000+(C4435-DATE(2000,1,1))+ROW()/100000)</f>
        <v/>
      </c>
      <c r="F4435" s="46">
        <f>IF(E4435="","",IF(C4435&gt;WeekEndDate,"",E4435))</f>
        <v/>
      </c>
    </row>
    <row r="4436">
      <c r="A4436" t="inlineStr">
        <is>
          <t>Contractors</t>
        </is>
      </c>
      <c r="B4436" s="46">
        <f>'Contractors'!Y400</f>
        <v/>
      </c>
      <c r="C4436" s="84">
        <f>'Contractors'!W400</f>
        <v/>
      </c>
      <c r="D4436" s="46">
        <f>'Contractors'!X400</f>
        <v/>
      </c>
      <c r="E4436" s="46">
        <f>IF(OR(B4436="",C4436="",D4436=""),"",D4436*100000+(C4436-DATE(2000,1,1))+ROW()/100000)</f>
        <v/>
      </c>
      <c r="F4436" s="46">
        <f>IF(E4436="","",IF(C4436&gt;WeekEndDate,"",E4436))</f>
        <v/>
      </c>
    </row>
    <row r="4437">
      <c r="A4437" t="inlineStr">
        <is>
          <t>Contractors</t>
        </is>
      </c>
      <c r="B4437" s="46">
        <f>'Contractors'!Y401</f>
        <v/>
      </c>
      <c r="C4437" s="84">
        <f>'Contractors'!W401</f>
        <v/>
      </c>
      <c r="D4437" s="46">
        <f>'Contractors'!X401</f>
        <v/>
      </c>
      <c r="E4437" s="46">
        <f>IF(OR(B4437="",C4437="",D4437=""),"",D4437*100000+(C4437-DATE(2000,1,1))+ROW()/100000)</f>
        <v/>
      </c>
      <c r="F4437" s="46">
        <f>IF(E4437="","",IF(C4437&gt;WeekEndDate,"",E4437))</f>
        <v/>
      </c>
    </row>
    <row r="4438">
      <c r="A4438" t="inlineStr">
        <is>
          <t>Contractors</t>
        </is>
      </c>
      <c r="B4438" s="46">
        <f>'Contractors'!Y402</f>
        <v/>
      </c>
      <c r="C4438" s="84">
        <f>'Contractors'!W402</f>
        <v/>
      </c>
      <c r="D4438" s="46">
        <f>'Contractors'!X402</f>
        <v/>
      </c>
      <c r="E4438" s="46">
        <f>IF(OR(B4438="",C4438="",D4438=""),"",D4438*100000+(C4438-DATE(2000,1,1))+ROW()/100000)</f>
        <v/>
      </c>
      <c r="F4438" s="46">
        <f>IF(E4438="","",IF(C4438&gt;WeekEndDate,"",E4438))</f>
        <v/>
      </c>
    </row>
    <row r="4439">
      <c r="A4439" t="inlineStr">
        <is>
          <t>Contractors</t>
        </is>
      </c>
      <c r="B4439" s="46">
        <f>'Contractors'!Y403</f>
        <v/>
      </c>
      <c r="C4439" s="84">
        <f>'Contractors'!W403</f>
        <v/>
      </c>
      <c r="D4439" s="46">
        <f>'Contractors'!X403</f>
        <v/>
      </c>
      <c r="E4439" s="46">
        <f>IF(OR(B4439="",C4439="",D4439=""),"",D4439*100000+(C4439-DATE(2000,1,1))+ROW()/100000)</f>
        <v/>
      </c>
      <c r="F4439" s="46">
        <f>IF(E4439="","",IF(C4439&gt;WeekEndDate,"",E4439))</f>
        <v/>
      </c>
    </row>
    <row r="4440">
      <c r="A4440" t="inlineStr">
        <is>
          <t>Contractors</t>
        </is>
      </c>
      <c r="B4440" s="46">
        <f>'Contractors'!Y404</f>
        <v/>
      </c>
      <c r="C4440" s="84">
        <f>'Contractors'!W404</f>
        <v/>
      </c>
      <c r="D4440" s="46">
        <f>'Contractors'!X404</f>
        <v/>
      </c>
      <c r="E4440" s="46">
        <f>IF(OR(B4440="",C4440="",D4440=""),"",D4440*100000+(C4440-DATE(2000,1,1))+ROW()/100000)</f>
        <v/>
      </c>
      <c r="F4440" s="46">
        <f>IF(E4440="","",IF(C4440&gt;WeekEndDate,"",E4440))</f>
        <v/>
      </c>
    </row>
    <row r="4441">
      <c r="A4441" t="inlineStr">
        <is>
          <t>Contractors</t>
        </is>
      </c>
      <c r="B4441" s="46">
        <f>'Contractors'!Y405</f>
        <v/>
      </c>
      <c r="C4441" s="84">
        <f>'Contractors'!W405</f>
        <v/>
      </c>
      <c r="D4441" s="46">
        <f>'Contractors'!X405</f>
        <v/>
      </c>
      <c r="E4441" s="46">
        <f>IF(OR(B4441="",C4441="",D4441=""),"",D4441*100000+(C4441-DATE(2000,1,1))+ROW()/100000)</f>
        <v/>
      </c>
      <c r="F4441" s="46">
        <f>IF(E4441="","",IF(C4441&gt;WeekEndDate,"",E4441))</f>
        <v/>
      </c>
    </row>
    <row r="4442">
      <c r="A4442" t="inlineStr">
        <is>
          <t>Contractors</t>
        </is>
      </c>
      <c r="B4442" s="46">
        <f>'Contractors'!Y406</f>
        <v/>
      </c>
      <c r="C4442" s="84">
        <f>'Contractors'!W406</f>
        <v/>
      </c>
      <c r="D4442" s="46">
        <f>'Contractors'!X406</f>
        <v/>
      </c>
      <c r="E4442" s="46">
        <f>IF(OR(B4442="",C4442="",D4442=""),"",D4442*100000+(C4442-DATE(2000,1,1))+ROW()/100000)</f>
        <v/>
      </c>
      <c r="F4442" s="46">
        <f>IF(E4442="","",IF(C4442&gt;WeekEndDate,"",E4442))</f>
        <v/>
      </c>
    </row>
    <row r="4443">
      <c r="A4443" t="inlineStr">
        <is>
          <t>Contractors</t>
        </is>
      </c>
      <c r="B4443" s="46">
        <f>'Contractors'!Y407</f>
        <v/>
      </c>
      <c r="C4443" s="84">
        <f>'Contractors'!W407</f>
        <v/>
      </c>
      <c r="D4443" s="46">
        <f>'Contractors'!X407</f>
        <v/>
      </c>
      <c r="E4443" s="46">
        <f>IF(OR(B4443="",C4443="",D4443=""),"",D4443*100000+(C4443-DATE(2000,1,1))+ROW()/100000)</f>
        <v/>
      </c>
      <c r="F4443" s="46">
        <f>IF(E4443="","",IF(C4443&gt;WeekEndDate,"",E4443))</f>
        <v/>
      </c>
    </row>
    <row r="4444">
      <c r="A4444" t="inlineStr">
        <is>
          <t>Contractors</t>
        </is>
      </c>
      <c r="B4444" s="46">
        <f>'Contractors'!Y408</f>
        <v/>
      </c>
      <c r="C4444" s="84">
        <f>'Contractors'!W408</f>
        <v/>
      </c>
      <c r="D4444" s="46">
        <f>'Contractors'!X408</f>
        <v/>
      </c>
      <c r="E4444" s="46">
        <f>IF(OR(B4444="",C4444="",D4444=""),"",D4444*100000+(C4444-DATE(2000,1,1))+ROW()/100000)</f>
        <v/>
      </c>
      <c r="F4444" s="46">
        <f>IF(E4444="","",IF(C4444&gt;WeekEndDate,"",E4444))</f>
        <v/>
      </c>
    </row>
    <row r="4445">
      <c r="A4445" t="inlineStr">
        <is>
          <t>Contractors</t>
        </is>
      </c>
      <c r="B4445" s="46">
        <f>'Contractors'!Y409</f>
        <v/>
      </c>
      <c r="C4445" s="84">
        <f>'Contractors'!W409</f>
        <v/>
      </c>
      <c r="D4445" s="46">
        <f>'Contractors'!X409</f>
        <v/>
      </c>
      <c r="E4445" s="46">
        <f>IF(OR(B4445="",C4445="",D4445=""),"",D4445*100000+(C4445-DATE(2000,1,1))+ROW()/100000)</f>
        <v/>
      </c>
      <c r="F4445" s="46">
        <f>IF(E4445="","",IF(C4445&gt;WeekEndDate,"",E4445))</f>
        <v/>
      </c>
    </row>
    <row r="4446">
      <c r="A4446" t="inlineStr">
        <is>
          <t>Contractors</t>
        </is>
      </c>
      <c r="B4446" s="46">
        <f>'Contractors'!Y410</f>
        <v/>
      </c>
      <c r="C4446" s="84">
        <f>'Contractors'!W410</f>
        <v/>
      </c>
      <c r="D4446" s="46">
        <f>'Contractors'!X410</f>
        <v/>
      </c>
      <c r="E4446" s="46">
        <f>IF(OR(B4446="",C4446="",D4446=""),"",D4446*100000+(C4446-DATE(2000,1,1))+ROW()/100000)</f>
        <v/>
      </c>
      <c r="F4446" s="46">
        <f>IF(E4446="","",IF(C4446&gt;WeekEndDate,"",E4446))</f>
        <v/>
      </c>
    </row>
    <row r="4447">
      <c r="A4447" t="inlineStr">
        <is>
          <t>Contractors</t>
        </is>
      </c>
      <c r="B4447" s="46">
        <f>'Contractors'!Y411</f>
        <v/>
      </c>
      <c r="C4447" s="84">
        <f>'Contractors'!W411</f>
        <v/>
      </c>
      <c r="D4447" s="46">
        <f>'Contractors'!X411</f>
        <v/>
      </c>
      <c r="E4447" s="46">
        <f>IF(OR(B4447="",C4447="",D4447=""),"",D4447*100000+(C4447-DATE(2000,1,1))+ROW()/100000)</f>
        <v/>
      </c>
      <c r="F4447" s="46">
        <f>IF(E4447="","",IF(C4447&gt;WeekEndDate,"",E4447))</f>
        <v/>
      </c>
    </row>
    <row r="4448">
      <c r="A4448" t="inlineStr">
        <is>
          <t>Contractors</t>
        </is>
      </c>
      <c r="B4448" s="46">
        <f>'Contractors'!Y412</f>
        <v/>
      </c>
      <c r="C4448" s="84">
        <f>'Contractors'!W412</f>
        <v/>
      </c>
      <c r="D4448" s="46">
        <f>'Contractors'!X412</f>
        <v/>
      </c>
      <c r="E4448" s="46">
        <f>IF(OR(B4448="",C4448="",D4448=""),"",D4448*100000+(C4448-DATE(2000,1,1))+ROW()/100000)</f>
        <v/>
      </c>
      <c r="F4448" s="46">
        <f>IF(E4448="","",IF(C4448&gt;WeekEndDate,"",E4448))</f>
        <v/>
      </c>
    </row>
    <row r="4449">
      <c r="A4449" t="inlineStr">
        <is>
          <t>Contractors</t>
        </is>
      </c>
      <c r="B4449" s="46">
        <f>'Contractors'!Y413</f>
        <v/>
      </c>
      <c r="C4449" s="84">
        <f>'Contractors'!W413</f>
        <v/>
      </c>
      <c r="D4449" s="46">
        <f>'Contractors'!X413</f>
        <v/>
      </c>
      <c r="E4449" s="46">
        <f>IF(OR(B4449="",C4449="",D4449=""),"",D4449*100000+(C4449-DATE(2000,1,1))+ROW()/100000)</f>
        <v/>
      </c>
      <c r="F4449" s="46">
        <f>IF(E4449="","",IF(C4449&gt;WeekEndDate,"",E4449))</f>
        <v/>
      </c>
    </row>
    <row r="4450">
      <c r="A4450" t="inlineStr">
        <is>
          <t>Contractors</t>
        </is>
      </c>
      <c r="B4450" s="46">
        <f>'Contractors'!Y414</f>
        <v/>
      </c>
      <c r="C4450" s="84">
        <f>'Contractors'!W414</f>
        <v/>
      </c>
      <c r="D4450" s="46">
        <f>'Contractors'!X414</f>
        <v/>
      </c>
      <c r="E4450" s="46">
        <f>IF(OR(B4450="",C4450="",D4450=""),"",D4450*100000+(C4450-DATE(2000,1,1))+ROW()/100000)</f>
        <v/>
      </c>
      <c r="F4450" s="46">
        <f>IF(E4450="","",IF(C4450&gt;WeekEndDate,"",E4450))</f>
        <v/>
      </c>
    </row>
    <row r="4451">
      <c r="A4451" t="inlineStr">
        <is>
          <t>Contractors</t>
        </is>
      </c>
      <c r="B4451" s="46">
        <f>'Contractors'!Y415</f>
        <v/>
      </c>
      <c r="C4451" s="84">
        <f>'Contractors'!W415</f>
        <v/>
      </c>
      <c r="D4451" s="46">
        <f>'Contractors'!X415</f>
        <v/>
      </c>
      <c r="E4451" s="46">
        <f>IF(OR(B4451="",C4451="",D4451=""),"",D4451*100000+(C4451-DATE(2000,1,1))+ROW()/100000)</f>
        <v/>
      </c>
      <c r="F4451" s="46">
        <f>IF(E4451="","",IF(C4451&gt;WeekEndDate,"",E4451))</f>
        <v/>
      </c>
    </row>
    <row r="4452">
      <c r="A4452" t="inlineStr">
        <is>
          <t>Contractors</t>
        </is>
      </c>
      <c r="B4452" s="46">
        <f>'Contractors'!Y416</f>
        <v/>
      </c>
      <c r="C4452" s="84">
        <f>'Contractors'!W416</f>
        <v/>
      </c>
      <c r="D4452" s="46">
        <f>'Contractors'!X416</f>
        <v/>
      </c>
      <c r="E4452" s="46">
        <f>IF(OR(B4452="",C4452="",D4452=""),"",D4452*100000+(C4452-DATE(2000,1,1))+ROW()/100000)</f>
        <v/>
      </c>
      <c r="F4452" s="46">
        <f>IF(E4452="","",IF(C4452&gt;WeekEndDate,"",E4452))</f>
        <v/>
      </c>
    </row>
    <row r="4453">
      <c r="A4453" t="inlineStr">
        <is>
          <t>Contractors</t>
        </is>
      </c>
      <c r="B4453" s="46">
        <f>'Contractors'!Y417</f>
        <v/>
      </c>
      <c r="C4453" s="84">
        <f>'Contractors'!W417</f>
        <v/>
      </c>
      <c r="D4453" s="46">
        <f>'Contractors'!X417</f>
        <v/>
      </c>
      <c r="E4453" s="46">
        <f>IF(OR(B4453="",C4453="",D4453=""),"",D4453*100000+(C4453-DATE(2000,1,1))+ROW()/100000)</f>
        <v/>
      </c>
      <c r="F4453" s="46">
        <f>IF(E4453="","",IF(C4453&gt;WeekEndDate,"",E4453))</f>
        <v/>
      </c>
    </row>
    <row r="4454">
      <c r="A4454" t="inlineStr">
        <is>
          <t>Contractors</t>
        </is>
      </c>
      <c r="B4454" s="46">
        <f>'Contractors'!Y418</f>
        <v/>
      </c>
      <c r="C4454" s="84">
        <f>'Contractors'!W418</f>
        <v/>
      </c>
      <c r="D4454" s="46">
        <f>'Contractors'!X418</f>
        <v/>
      </c>
      <c r="E4454" s="46">
        <f>IF(OR(B4454="",C4454="",D4454=""),"",D4454*100000+(C4454-DATE(2000,1,1))+ROW()/100000)</f>
        <v/>
      </c>
      <c r="F4454" s="46">
        <f>IF(E4454="","",IF(C4454&gt;WeekEndDate,"",E4454))</f>
        <v/>
      </c>
    </row>
    <row r="4455">
      <c r="A4455" t="inlineStr">
        <is>
          <t>Contractors</t>
        </is>
      </c>
      <c r="B4455" s="46">
        <f>'Contractors'!Y419</f>
        <v/>
      </c>
      <c r="C4455" s="84">
        <f>'Contractors'!W419</f>
        <v/>
      </c>
      <c r="D4455" s="46">
        <f>'Contractors'!X419</f>
        <v/>
      </c>
      <c r="E4455" s="46">
        <f>IF(OR(B4455="",C4455="",D4455=""),"",D4455*100000+(C4455-DATE(2000,1,1))+ROW()/100000)</f>
        <v/>
      </c>
      <c r="F4455" s="46">
        <f>IF(E4455="","",IF(C4455&gt;WeekEndDate,"",E4455))</f>
        <v/>
      </c>
    </row>
    <row r="4456">
      <c r="A4456" t="inlineStr">
        <is>
          <t>Contractors</t>
        </is>
      </c>
      <c r="B4456" s="46">
        <f>'Contractors'!Y420</f>
        <v/>
      </c>
      <c r="C4456" s="84">
        <f>'Contractors'!W420</f>
        <v/>
      </c>
      <c r="D4456" s="46">
        <f>'Contractors'!X420</f>
        <v/>
      </c>
      <c r="E4456" s="46">
        <f>IF(OR(B4456="",C4456="",D4456=""),"",D4456*100000+(C4456-DATE(2000,1,1))+ROW()/100000)</f>
        <v/>
      </c>
      <c r="F4456" s="46">
        <f>IF(E4456="","",IF(C4456&gt;WeekEndDate,"",E4456))</f>
        <v/>
      </c>
    </row>
    <row r="4457">
      <c r="A4457" t="inlineStr">
        <is>
          <t>Contractors</t>
        </is>
      </c>
      <c r="B4457" s="46">
        <f>'Contractors'!Y421</f>
        <v/>
      </c>
      <c r="C4457" s="84">
        <f>'Contractors'!W421</f>
        <v/>
      </c>
      <c r="D4457" s="46">
        <f>'Contractors'!X421</f>
        <v/>
      </c>
      <c r="E4457" s="46">
        <f>IF(OR(B4457="",C4457="",D4457=""),"",D4457*100000+(C4457-DATE(2000,1,1))+ROW()/100000)</f>
        <v/>
      </c>
      <c r="F4457" s="46">
        <f>IF(E4457="","",IF(C4457&gt;WeekEndDate,"",E4457))</f>
        <v/>
      </c>
    </row>
    <row r="4458">
      <c r="A4458" t="inlineStr">
        <is>
          <t>Contractors</t>
        </is>
      </c>
      <c r="B4458" s="46">
        <f>'Contractors'!Y422</f>
        <v/>
      </c>
      <c r="C4458" s="84">
        <f>'Contractors'!W422</f>
        <v/>
      </c>
      <c r="D4458" s="46">
        <f>'Contractors'!X422</f>
        <v/>
      </c>
      <c r="E4458" s="46">
        <f>IF(OR(B4458="",C4458="",D4458=""),"",D4458*100000+(C4458-DATE(2000,1,1))+ROW()/100000)</f>
        <v/>
      </c>
      <c r="F4458" s="46">
        <f>IF(E4458="","",IF(C4458&gt;WeekEndDate,"",E4458))</f>
        <v/>
      </c>
    </row>
    <row r="4459">
      <c r="A4459" t="inlineStr">
        <is>
          <t>Contractors</t>
        </is>
      </c>
      <c r="B4459" s="46">
        <f>'Contractors'!Y423</f>
        <v/>
      </c>
      <c r="C4459" s="84">
        <f>'Contractors'!W423</f>
        <v/>
      </c>
      <c r="D4459" s="46">
        <f>'Contractors'!X423</f>
        <v/>
      </c>
      <c r="E4459" s="46">
        <f>IF(OR(B4459="",C4459="",D4459=""),"",D4459*100000+(C4459-DATE(2000,1,1))+ROW()/100000)</f>
        <v/>
      </c>
      <c r="F4459" s="46">
        <f>IF(E4459="","",IF(C4459&gt;WeekEndDate,"",E4459))</f>
        <v/>
      </c>
    </row>
    <row r="4460">
      <c r="A4460" t="inlineStr">
        <is>
          <t>Contractors</t>
        </is>
      </c>
      <c r="B4460" s="46">
        <f>'Contractors'!Y424</f>
        <v/>
      </c>
      <c r="C4460" s="84">
        <f>'Contractors'!W424</f>
        <v/>
      </c>
      <c r="D4460" s="46">
        <f>'Contractors'!X424</f>
        <v/>
      </c>
      <c r="E4460" s="46">
        <f>IF(OR(B4460="",C4460="",D4460=""),"",D4460*100000+(C4460-DATE(2000,1,1))+ROW()/100000)</f>
        <v/>
      </c>
      <c r="F4460" s="46">
        <f>IF(E4460="","",IF(C4460&gt;WeekEndDate,"",E4460))</f>
        <v/>
      </c>
    </row>
    <row r="4461">
      <c r="A4461" t="inlineStr">
        <is>
          <t>Contractors</t>
        </is>
      </c>
      <c r="B4461" s="46">
        <f>'Contractors'!Y425</f>
        <v/>
      </c>
      <c r="C4461" s="84">
        <f>'Contractors'!W425</f>
        <v/>
      </c>
      <c r="D4461" s="46">
        <f>'Contractors'!X425</f>
        <v/>
      </c>
      <c r="E4461" s="46">
        <f>IF(OR(B4461="",C4461="",D4461=""),"",D4461*100000+(C4461-DATE(2000,1,1))+ROW()/100000)</f>
        <v/>
      </c>
      <c r="F4461" s="46">
        <f>IF(E4461="","",IF(C4461&gt;WeekEndDate,"",E4461))</f>
        <v/>
      </c>
    </row>
    <row r="4462">
      <c r="A4462" t="inlineStr">
        <is>
          <t>Contractors</t>
        </is>
      </c>
      <c r="B4462" s="46">
        <f>'Contractors'!Y426</f>
        <v/>
      </c>
      <c r="C4462" s="84">
        <f>'Contractors'!W426</f>
        <v/>
      </c>
      <c r="D4462" s="46">
        <f>'Contractors'!X426</f>
        <v/>
      </c>
      <c r="E4462" s="46">
        <f>IF(OR(B4462="",C4462="",D4462=""),"",D4462*100000+(C4462-DATE(2000,1,1))+ROW()/100000)</f>
        <v/>
      </c>
      <c r="F4462" s="46">
        <f>IF(E4462="","",IF(C4462&gt;WeekEndDate,"",E4462))</f>
        <v/>
      </c>
    </row>
    <row r="4463">
      <c r="A4463" t="inlineStr">
        <is>
          <t>Contractors</t>
        </is>
      </c>
      <c r="B4463" s="46">
        <f>'Contractors'!Y427</f>
        <v/>
      </c>
      <c r="C4463" s="84">
        <f>'Contractors'!W427</f>
        <v/>
      </c>
      <c r="D4463" s="46">
        <f>'Contractors'!X427</f>
        <v/>
      </c>
      <c r="E4463" s="46">
        <f>IF(OR(B4463="",C4463="",D4463=""),"",D4463*100000+(C4463-DATE(2000,1,1))+ROW()/100000)</f>
        <v/>
      </c>
      <c r="F4463" s="46">
        <f>IF(E4463="","",IF(C4463&gt;WeekEndDate,"",E4463))</f>
        <v/>
      </c>
    </row>
    <row r="4464">
      <c r="A4464" t="inlineStr">
        <is>
          <t>Contractors</t>
        </is>
      </c>
      <c r="B4464" s="46">
        <f>'Contractors'!Y428</f>
        <v/>
      </c>
      <c r="C4464" s="84">
        <f>'Contractors'!W428</f>
        <v/>
      </c>
      <c r="D4464" s="46">
        <f>'Contractors'!X428</f>
        <v/>
      </c>
      <c r="E4464" s="46">
        <f>IF(OR(B4464="",C4464="",D4464=""),"",D4464*100000+(C4464-DATE(2000,1,1))+ROW()/100000)</f>
        <v/>
      </c>
      <c r="F4464" s="46">
        <f>IF(E4464="","",IF(C4464&gt;WeekEndDate,"",E4464))</f>
        <v/>
      </c>
    </row>
    <row r="4465">
      <c r="A4465" t="inlineStr">
        <is>
          <t>Contractors</t>
        </is>
      </c>
      <c r="B4465" s="46">
        <f>'Contractors'!Y429</f>
        <v/>
      </c>
      <c r="C4465" s="84">
        <f>'Contractors'!W429</f>
        <v/>
      </c>
      <c r="D4465" s="46">
        <f>'Contractors'!X429</f>
        <v/>
      </c>
      <c r="E4465" s="46">
        <f>IF(OR(B4465="",C4465="",D4465=""),"",D4465*100000+(C4465-DATE(2000,1,1))+ROW()/100000)</f>
        <v/>
      </c>
      <c r="F4465" s="46">
        <f>IF(E4465="","",IF(C4465&gt;WeekEndDate,"",E4465))</f>
        <v/>
      </c>
    </row>
    <row r="4466">
      <c r="A4466" t="inlineStr">
        <is>
          <t>Contractors</t>
        </is>
      </c>
      <c r="B4466" s="46">
        <f>'Contractors'!Y430</f>
        <v/>
      </c>
      <c r="C4466" s="84">
        <f>'Contractors'!W430</f>
        <v/>
      </c>
      <c r="D4466" s="46">
        <f>'Contractors'!X430</f>
        <v/>
      </c>
      <c r="E4466" s="46">
        <f>IF(OR(B4466="",C4466="",D4466=""),"",D4466*100000+(C4466-DATE(2000,1,1))+ROW()/100000)</f>
        <v/>
      </c>
      <c r="F4466" s="46">
        <f>IF(E4466="","",IF(C4466&gt;WeekEndDate,"",E4466))</f>
        <v/>
      </c>
    </row>
    <row r="4467">
      <c r="A4467" t="inlineStr">
        <is>
          <t>Contractors</t>
        </is>
      </c>
      <c r="B4467" s="46">
        <f>'Contractors'!Y431</f>
        <v/>
      </c>
      <c r="C4467" s="84">
        <f>'Contractors'!W431</f>
        <v/>
      </c>
      <c r="D4467" s="46">
        <f>'Contractors'!X431</f>
        <v/>
      </c>
      <c r="E4467" s="46">
        <f>IF(OR(B4467="",C4467="",D4467=""),"",D4467*100000+(C4467-DATE(2000,1,1))+ROW()/100000)</f>
        <v/>
      </c>
      <c r="F4467" s="46">
        <f>IF(E4467="","",IF(C4467&gt;WeekEndDate,"",E4467))</f>
        <v/>
      </c>
    </row>
    <row r="4468">
      <c r="A4468" t="inlineStr">
        <is>
          <t>Contractors</t>
        </is>
      </c>
      <c r="B4468" s="46">
        <f>'Contractors'!Y432</f>
        <v/>
      </c>
      <c r="C4468" s="84">
        <f>'Contractors'!W432</f>
        <v/>
      </c>
      <c r="D4468" s="46">
        <f>'Contractors'!X432</f>
        <v/>
      </c>
      <c r="E4468" s="46">
        <f>IF(OR(B4468="",C4468="",D4468=""),"",D4468*100000+(C4468-DATE(2000,1,1))+ROW()/100000)</f>
        <v/>
      </c>
      <c r="F4468" s="46">
        <f>IF(E4468="","",IF(C4468&gt;WeekEndDate,"",E4468))</f>
        <v/>
      </c>
    </row>
    <row r="4469">
      <c r="A4469" t="inlineStr">
        <is>
          <t>Contractors</t>
        </is>
      </c>
      <c r="B4469" s="46">
        <f>'Contractors'!Y433</f>
        <v/>
      </c>
      <c r="C4469" s="84">
        <f>'Contractors'!W433</f>
        <v/>
      </c>
      <c r="D4469" s="46">
        <f>'Contractors'!X433</f>
        <v/>
      </c>
      <c r="E4469" s="46">
        <f>IF(OR(B4469="",C4469="",D4469=""),"",D4469*100000+(C4469-DATE(2000,1,1))+ROW()/100000)</f>
        <v/>
      </c>
      <c r="F4469" s="46">
        <f>IF(E4469="","",IF(C4469&gt;WeekEndDate,"",E4469))</f>
        <v/>
      </c>
    </row>
    <row r="4470">
      <c r="A4470" t="inlineStr">
        <is>
          <t>Contractors</t>
        </is>
      </c>
      <c r="B4470" s="46">
        <f>'Contractors'!Y434</f>
        <v/>
      </c>
      <c r="C4470" s="84">
        <f>'Contractors'!W434</f>
        <v/>
      </c>
      <c r="D4470" s="46">
        <f>'Contractors'!X434</f>
        <v/>
      </c>
      <c r="E4470" s="46">
        <f>IF(OR(B4470="",C4470="",D4470=""),"",D4470*100000+(C4470-DATE(2000,1,1))+ROW()/100000)</f>
        <v/>
      </c>
      <c r="F4470" s="46">
        <f>IF(E4470="","",IF(C4470&gt;WeekEndDate,"",E4470))</f>
        <v/>
      </c>
    </row>
    <row r="4471">
      <c r="A4471" t="inlineStr">
        <is>
          <t>Contractors</t>
        </is>
      </c>
      <c r="B4471" s="46">
        <f>'Contractors'!Y435</f>
        <v/>
      </c>
      <c r="C4471" s="84">
        <f>'Contractors'!W435</f>
        <v/>
      </c>
      <c r="D4471" s="46">
        <f>'Contractors'!X435</f>
        <v/>
      </c>
      <c r="E4471" s="46">
        <f>IF(OR(B4471="",C4471="",D4471=""),"",D4471*100000+(C4471-DATE(2000,1,1))+ROW()/100000)</f>
        <v/>
      </c>
      <c r="F4471" s="46">
        <f>IF(E4471="","",IF(C4471&gt;WeekEndDate,"",E4471))</f>
        <v/>
      </c>
    </row>
    <row r="4472">
      <c r="A4472" t="inlineStr">
        <is>
          <t>Contractors</t>
        </is>
      </c>
      <c r="B4472" s="46">
        <f>'Contractors'!Y436</f>
        <v/>
      </c>
      <c r="C4472" s="84">
        <f>'Contractors'!W436</f>
        <v/>
      </c>
      <c r="D4472" s="46">
        <f>'Contractors'!X436</f>
        <v/>
      </c>
      <c r="E4472" s="46">
        <f>IF(OR(B4472="",C4472="",D4472=""),"",D4472*100000+(C4472-DATE(2000,1,1))+ROW()/100000)</f>
        <v/>
      </c>
      <c r="F4472" s="46">
        <f>IF(E4472="","",IF(C4472&gt;WeekEndDate,"",E4472))</f>
        <v/>
      </c>
    </row>
    <row r="4473">
      <c r="A4473" t="inlineStr">
        <is>
          <t>Contractors</t>
        </is>
      </c>
      <c r="B4473" s="46">
        <f>'Contractors'!Y437</f>
        <v/>
      </c>
      <c r="C4473" s="84">
        <f>'Contractors'!W437</f>
        <v/>
      </c>
      <c r="D4473" s="46">
        <f>'Contractors'!X437</f>
        <v/>
      </c>
      <c r="E4473" s="46">
        <f>IF(OR(B4473="",C4473="",D4473=""),"",D4473*100000+(C4473-DATE(2000,1,1))+ROW()/100000)</f>
        <v/>
      </c>
      <c r="F4473" s="46">
        <f>IF(E4473="","",IF(C4473&gt;WeekEndDate,"",E4473))</f>
        <v/>
      </c>
    </row>
    <row r="4474">
      <c r="A4474" t="inlineStr">
        <is>
          <t>Contractors</t>
        </is>
      </c>
      <c r="B4474" s="46">
        <f>'Contractors'!Y438</f>
        <v/>
      </c>
      <c r="C4474" s="84">
        <f>'Contractors'!W438</f>
        <v/>
      </c>
      <c r="D4474" s="46">
        <f>'Contractors'!X438</f>
        <v/>
      </c>
      <c r="E4474" s="46">
        <f>IF(OR(B4474="",C4474="",D4474=""),"",D4474*100000+(C4474-DATE(2000,1,1))+ROW()/100000)</f>
        <v/>
      </c>
      <c r="F4474" s="46">
        <f>IF(E4474="","",IF(C4474&gt;WeekEndDate,"",E4474))</f>
        <v/>
      </c>
    </row>
    <row r="4475">
      <c r="A4475" t="inlineStr">
        <is>
          <t>Contractors</t>
        </is>
      </c>
      <c r="B4475" s="46">
        <f>'Contractors'!Y439</f>
        <v/>
      </c>
      <c r="C4475" s="84">
        <f>'Contractors'!W439</f>
        <v/>
      </c>
      <c r="D4475" s="46">
        <f>'Contractors'!X439</f>
        <v/>
      </c>
      <c r="E4475" s="46">
        <f>IF(OR(B4475="",C4475="",D4475=""),"",D4475*100000+(C4475-DATE(2000,1,1))+ROW()/100000)</f>
        <v/>
      </c>
      <c r="F4475" s="46">
        <f>IF(E4475="","",IF(C4475&gt;WeekEndDate,"",E4475))</f>
        <v/>
      </c>
    </row>
    <row r="4476">
      <c r="A4476" t="inlineStr">
        <is>
          <t>Contractors</t>
        </is>
      </c>
      <c r="B4476" s="46">
        <f>'Contractors'!Y440</f>
        <v/>
      </c>
      <c r="C4476" s="84">
        <f>'Contractors'!W440</f>
        <v/>
      </c>
      <c r="D4476" s="46">
        <f>'Contractors'!X440</f>
        <v/>
      </c>
      <c r="E4476" s="46">
        <f>IF(OR(B4476="",C4476="",D4476=""),"",D4476*100000+(C4476-DATE(2000,1,1))+ROW()/100000)</f>
        <v/>
      </c>
      <c r="F4476" s="46">
        <f>IF(E4476="","",IF(C4476&gt;WeekEndDate,"",E4476))</f>
        <v/>
      </c>
    </row>
    <row r="4477">
      <c r="A4477" t="inlineStr">
        <is>
          <t>Contractors</t>
        </is>
      </c>
      <c r="B4477" s="46">
        <f>'Contractors'!Y441</f>
        <v/>
      </c>
      <c r="C4477" s="84">
        <f>'Contractors'!W441</f>
        <v/>
      </c>
      <c r="D4477" s="46">
        <f>'Contractors'!X441</f>
        <v/>
      </c>
      <c r="E4477" s="46">
        <f>IF(OR(B4477="",C4477="",D4477=""),"",D4477*100000+(C4477-DATE(2000,1,1))+ROW()/100000)</f>
        <v/>
      </c>
      <c r="F4477" s="46">
        <f>IF(E4477="","",IF(C4477&gt;WeekEndDate,"",E4477))</f>
        <v/>
      </c>
    </row>
    <row r="4478">
      <c r="A4478" t="inlineStr">
        <is>
          <t>Contractors</t>
        </is>
      </c>
      <c r="B4478" s="46">
        <f>'Contractors'!Y442</f>
        <v/>
      </c>
      <c r="C4478" s="84">
        <f>'Contractors'!W442</f>
        <v/>
      </c>
      <c r="D4478" s="46">
        <f>'Contractors'!X442</f>
        <v/>
      </c>
      <c r="E4478" s="46">
        <f>IF(OR(B4478="",C4478="",D4478=""),"",D4478*100000+(C4478-DATE(2000,1,1))+ROW()/100000)</f>
        <v/>
      </c>
      <c r="F4478" s="46">
        <f>IF(E4478="","",IF(C4478&gt;WeekEndDate,"",E4478))</f>
        <v/>
      </c>
    </row>
    <row r="4479">
      <c r="A4479" t="inlineStr">
        <is>
          <t>Contractors</t>
        </is>
      </c>
      <c r="B4479" s="46">
        <f>'Contractors'!Y443</f>
        <v/>
      </c>
      <c r="C4479" s="84">
        <f>'Contractors'!W443</f>
        <v/>
      </c>
      <c r="D4479" s="46">
        <f>'Contractors'!X443</f>
        <v/>
      </c>
      <c r="E4479" s="46">
        <f>IF(OR(B4479="",C4479="",D4479=""),"",D4479*100000+(C4479-DATE(2000,1,1))+ROW()/100000)</f>
        <v/>
      </c>
      <c r="F4479" s="46">
        <f>IF(E4479="","",IF(C4479&gt;WeekEndDate,"",E4479))</f>
        <v/>
      </c>
    </row>
    <row r="4480">
      <c r="A4480" t="inlineStr">
        <is>
          <t>Contractors</t>
        </is>
      </c>
      <c r="B4480" s="46">
        <f>'Contractors'!Y444</f>
        <v/>
      </c>
      <c r="C4480" s="84">
        <f>'Contractors'!W444</f>
        <v/>
      </c>
      <c r="D4480" s="46">
        <f>'Contractors'!X444</f>
        <v/>
      </c>
      <c r="E4480" s="46">
        <f>IF(OR(B4480="",C4480="",D4480=""),"",D4480*100000+(C4480-DATE(2000,1,1))+ROW()/100000)</f>
        <v/>
      </c>
      <c r="F4480" s="46">
        <f>IF(E4480="","",IF(C4480&gt;WeekEndDate,"",E4480))</f>
        <v/>
      </c>
    </row>
    <row r="4481">
      <c r="A4481" t="inlineStr">
        <is>
          <t>Contractors</t>
        </is>
      </c>
      <c r="B4481" s="46">
        <f>'Contractors'!Y445</f>
        <v/>
      </c>
      <c r="C4481" s="84">
        <f>'Contractors'!W445</f>
        <v/>
      </c>
      <c r="D4481" s="46">
        <f>'Contractors'!X445</f>
        <v/>
      </c>
      <c r="E4481" s="46">
        <f>IF(OR(B4481="",C4481="",D4481=""),"",D4481*100000+(C4481-DATE(2000,1,1))+ROW()/100000)</f>
        <v/>
      </c>
      <c r="F4481" s="46">
        <f>IF(E4481="","",IF(C4481&gt;WeekEndDate,"",E4481))</f>
        <v/>
      </c>
    </row>
    <row r="4482">
      <c r="A4482" t="inlineStr">
        <is>
          <t>Contractors</t>
        </is>
      </c>
      <c r="B4482" s="46">
        <f>'Contractors'!Y446</f>
        <v/>
      </c>
      <c r="C4482" s="84">
        <f>'Contractors'!W446</f>
        <v/>
      </c>
      <c r="D4482" s="46">
        <f>'Contractors'!X446</f>
        <v/>
      </c>
      <c r="E4482" s="46">
        <f>IF(OR(B4482="",C4482="",D4482=""),"",D4482*100000+(C4482-DATE(2000,1,1))+ROW()/100000)</f>
        <v/>
      </c>
      <c r="F4482" s="46">
        <f>IF(E4482="","",IF(C4482&gt;WeekEndDate,"",E4482))</f>
        <v/>
      </c>
    </row>
    <row r="4483">
      <c r="A4483" t="inlineStr">
        <is>
          <t>Contractors</t>
        </is>
      </c>
      <c r="B4483" s="46">
        <f>'Contractors'!Y447</f>
        <v/>
      </c>
      <c r="C4483" s="84">
        <f>'Contractors'!W447</f>
        <v/>
      </c>
      <c r="D4483" s="46">
        <f>'Contractors'!X447</f>
        <v/>
      </c>
      <c r="E4483" s="46">
        <f>IF(OR(B4483="",C4483="",D4483=""),"",D4483*100000+(C4483-DATE(2000,1,1))+ROW()/100000)</f>
        <v/>
      </c>
      <c r="F4483" s="46">
        <f>IF(E4483="","",IF(C4483&gt;WeekEndDate,"",E4483))</f>
        <v/>
      </c>
    </row>
    <row r="4484">
      <c r="A4484" t="inlineStr">
        <is>
          <t>Contractors</t>
        </is>
      </c>
      <c r="B4484" s="46">
        <f>'Contractors'!Y448</f>
        <v/>
      </c>
      <c r="C4484" s="84">
        <f>'Contractors'!W448</f>
        <v/>
      </c>
      <c r="D4484" s="46">
        <f>'Contractors'!X448</f>
        <v/>
      </c>
      <c r="E4484" s="46">
        <f>IF(OR(B4484="",C4484="",D4484=""),"",D4484*100000+(C4484-DATE(2000,1,1))+ROW()/100000)</f>
        <v/>
      </c>
      <c r="F4484" s="46">
        <f>IF(E4484="","",IF(C4484&gt;WeekEndDate,"",E4484))</f>
        <v/>
      </c>
    </row>
    <row r="4485">
      <c r="A4485" t="inlineStr">
        <is>
          <t>Contractors</t>
        </is>
      </c>
      <c r="B4485" s="46">
        <f>'Contractors'!Y449</f>
        <v/>
      </c>
      <c r="C4485" s="84">
        <f>'Contractors'!W449</f>
        <v/>
      </c>
      <c r="D4485" s="46">
        <f>'Contractors'!X449</f>
        <v/>
      </c>
      <c r="E4485" s="46">
        <f>IF(OR(B4485="",C4485="",D4485=""),"",D4485*100000+(C4485-DATE(2000,1,1))+ROW()/100000)</f>
        <v/>
      </c>
      <c r="F4485" s="46">
        <f>IF(E4485="","",IF(C4485&gt;WeekEndDate,"",E4485))</f>
        <v/>
      </c>
    </row>
    <row r="4486">
      <c r="A4486" t="inlineStr">
        <is>
          <t>Contractors</t>
        </is>
      </c>
      <c r="B4486" s="46">
        <f>'Contractors'!Y450</f>
        <v/>
      </c>
      <c r="C4486" s="84">
        <f>'Contractors'!W450</f>
        <v/>
      </c>
      <c r="D4486" s="46">
        <f>'Contractors'!X450</f>
        <v/>
      </c>
      <c r="E4486" s="46">
        <f>IF(OR(B4486="",C4486="",D4486=""),"",D4486*100000+(C4486-DATE(2000,1,1))+ROW()/100000)</f>
        <v/>
      </c>
      <c r="F4486" s="46">
        <f>IF(E4486="","",IF(C4486&gt;WeekEndDate,"",E4486))</f>
        <v/>
      </c>
    </row>
    <row r="4487">
      <c r="A4487" t="inlineStr">
        <is>
          <t>Contractors</t>
        </is>
      </c>
      <c r="B4487" s="46">
        <f>'Contractors'!Y451</f>
        <v/>
      </c>
      <c r="C4487" s="84">
        <f>'Contractors'!W451</f>
        <v/>
      </c>
      <c r="D4487" s="46">
        <f>'Contractors'!X451</f>
        <v/>
      </c>
      <c r="E4487" s="46">
        <f>IF(OR(B4487="",C4487="",D4487=""),"",D4487*100000+(C4487-DATE(2000,1,1))+ROW()/100000)</f>
        <v/>
      </c>
      <c r="F4487" s="46">
        <f>IF(E4487="","",IF(C4487&gt;WeekEndDate,"",E4487))</f>
        <v/>
      </c>
    </row>
    <row r="4488">
      <c r="A4488" t="inlineStr">
        <is>
          <t>Contractors</t>
        </is>
      </c>
      <c r="B4488" s="46">
        <f>'Contractors'!Y452</f>
        <v/>
      </c>
      <c r="C4488" s="84">
        <f>'Contractors'!W452</f>
        <v/>
      </c>
      <c r="D4488" s="46">
        <f>'Contractors'!X452</f>
        <v/>
      </c>
      <c r="E4488" s="46">
        <f>IF(OR(B4488="",C4488="",D4488=""),"",D4488*100000+(C4488-DATE(2000,1,1))+ROW()/100000)</f>
        <v/>
      </c>
      <c r="F4488" s="46">
        <f>IF(E4488="","",IF(C4488&gt;WeekEndDate,"",E4488))</f>
        <v/>
      </c>
    </row>
    <row r="4489">
      <c r="A4489" t="inlineStr">
        <is>
          <t>Contractors</t>
        </is>
      </c>
      <c r="B4489" s="46">
        <f>'Contractors'!Y453</f>
        <v/>
      </c>
      <c r="C4489" s="84">
        <f>'Contractors'!W453</f>
        <v/>
      </c>
      <c r="D4489" s="46">
        <f>'Contractors'!X453</f>
        <v/>
      </c>
      <c r="E4489" s="46">
        <f>IF(OR(B4489="",C4489="",D4489=""),"",D4489*100000+(C4489-DATE(2000,1,1))+ROW()/100000)</f>
        <v/>
      </c>
      <c r="F4489" s="46">
        <f>IF(E4489="","",IF(C4489&gt;WeekEndDate,"",E4489))</f>
        <v/>
      </c>
    </row>
    <row r="4490">
      <c r="A4490" t="inlineStr">
        <is>
          <t>Contractors</t>
        </is>
      </c>
      <c r="B4490" s="46">
        <f>'Contractors'!Y454</f>
        <v/>
      </c>
      <c r="C4490" s="84">
        <f>'Contractors'!W454</f>
        <v/>
      </c>
      <c r="D4490" s="46">
        <f>'Contractors'!X454</f>
        <v/>
      </c>
      <c r="E4490" s="46">
        <f>IF(OR(B4490="",C4490="",D4490=""),"",D4490*100000+(C4490-DATE(2000,1,1))+ROW()/100000)</f>
        <v/>
      </c>
      <c r="F4490" s="46">
        <f>IF(E4490="","",IF(C4490&gt;WeekEndDate,"",E4490))</f>
        <v/>
      </c>
    </row>
    <row r="4491">
      <c r="A4491" t="inlineStr">
        <is>
          <t>Contractors</t>
        </is>
      </c>
      <c r="B4491" s="46">
        <f>'Contractors'!Y455</f>
        <v/>
      </c>
      <c r="C4491" s="84">
        <f>'Contractors'!W455</f>
        <v/>
      </c>
      <c r="D4491" s="46">
        <f>'Contractors'!X455</f>
        <v/>
      </c>
      <c r="E4491" s="46">
        <f>IF(OR(B4491="",C4491="",D4491=""),"",D4491*100000+(C4491-DATE(2000,1,1))+ROW()/100000)</f>
        <v/>
      </c>
      <c r="F4491" s="46">
        <f>IF(E4491="","",IF(C4491&gt;WeekEndDate,"",E4491))</f>
        <v/>
      </c>
    </row>
    <row r="4492">
      <c r="A4492" t="inlineStr">
        <is>
          <t>Contractors</t>
        </is>
      </c>
      <c r="B4492" s="46">
        <f>'Contractors'!Y456</f>
        <v/>
      </c>
      <c r="C4492" s="84">
        <f>'Contractors'!W456</f>
        <v/>
      </c>
      <c r="D4492" s="46">
        <f>'Contractors'!X456</f>
        <v/>
      </c>
      <c r="E4492" s="46">
        <f>IF(OR(B4492="",C4492="",D4492=""),"",D4492*100000+(C4492-DATE(2000,1,1))+ROW()/100000)</f>
        <v/>
      </c>
      <c r="F4492" s="46">
        <f>IF(E4492="","",IF(C4492&gt;WeekEndDate,"",E4492))</f>
        <v/>
      </c>
    </row>
    <row r="4493">
      <c r="A4493" t="inlineStr">
        <is>
          <t>Contractors</t>
        </is>
      </c>
      <c r="B4493" s="46">
        <f>'Contractors'!Y457</f>
        <v/>
      </c>
      <c r="C4493" s="84">
        <f>'Contractors'!W457</f>
        <v/>
      </c>
      <c r="D4493" s="46">
        <f>'Contractors'!X457</f>
        <v/>
      </c>
      <c r="E4493" s="46">
        <f>IF(OR(B4493="",C4493="",D4493=""),"",D4493*100000+(C4493-DATE(2000,1,1))+ROW()/100000)</f>
        <v/>
      </c>
      <c r="F4493" s="46">
        <f>IF(E4493="","",IF(C4493&gt;WeekEndDate,"",E4493))</f>
        <v/>
      </c>
    </row>
    <row r="4494">
      <c r="A4494" t="inlineStr">
        <is>
          <t>Contractors</t>
        </is>
      </c>
      <c r="B4494" s="46">
        <f>'Contractors'!Y458</f>
        <v/>
      </c>
      <c r="C4494" s="84">
        <f>'Contractors'!W458</f>
        <v/>
      </c>
      <c r="D4494" s="46">
        <f>'Contractors'!X458</f>
        <v/>
      </c>
      <c r="E4494" s="46">
        <f>IF(OR(B4494="",C4494="",D4494=""),"",D4494*100000+(C4494-DATE(2000,1,1))+ROW()/100000)</f>
        <v/>
      </c>
      <c r="F4494" s="46">
        <f>IF(E4494="","",IF(C4494&gt;WeekEndDate,"",E4494))</f>
        <v/>
      </c>
    </row>
    <row r="4495">
      <c r="A4495" t="inlineStr">
        <is>
          <t>Contractors</t>
        </is>
      </c>
      <c r="B4495" s="46">
        <f>'Contractors'!Y459</f>
        <v/>
      </c>
      <c r="C4495" s="84">
        <f>'Contractors'!W459</f>
        <v/>
      </c>
      <c r="D4495" s="46">
        <f>'Contractors'!X459</f>
        <v/>
      </c>
      <c r="E4495" s="46">
        <f>IF(OR(B4495="",C4495="",D4495=""),"",D4495*100000+(C4495-DATE(2000,1,1))+ROW()/100000)</f>
        <v/>
      </c>
      <c r="F4495" s="46">
        <f>IF(E4495="","",IF(C4495&gt;WeekEndDate,"",E4495))</f>
        <v/>
      </c>
    </row>
    <row r="4496">
      <c r="A4496" t="inlineStr">
        <is>
          <t>Contractors</t>
        </is>
      </c>
      <c r="B4496" s="46">
        <f>'Contractors'!Y460</f>
        <v/>
      </c>
      <c r="C4496" s="84">
        <f>'Contractors'!W460</f>
        <v/>
      </c>
      <c r="D4496" s="46">
        <f>'Contractors'!X460</f>
        <v/>
      </c>
      <c r="E4496" s="46">
        <f>IF(OR(B4496="",C4496="",D4496=""),"",D4496*100000+(C4496-DATE(2000,1,1))+ROW()/100000)</f>
        <v/>
      </c>
      <c r="F4496" s="46">
        <f>IF(E4496="","",IF(C4496&gt;WeekEndDate,"",E4496))</f>
        <v/>
      </c>
    </row>
    <row r="4497">
      <c r="A4497" t="inlineStr">
        <is>
          <t>Contractors</t>
        </is>
      </c>
      <c r="B4497" s="46">
        <f>'Contractors'!Y461</f>
        <v/>
      </c>
      <c r="C4497" s="84">
        <f>'Contractors'!W461</f>
        <v/>
      </c>
      <c r="D4497" s="46">
        <f>'Contractors'!X461</f>
        <v/>
      </c>
      <c r="E4497" s="46">
        <f>IF(OR(B4497="",C4497="",D4497=""),"",D4497*100000+(C4497-DATE(2000,1,1))+ROW()/100000)</f>
        <v/>
      </c>
      <c r="F4497" s="46">
        <f>IF(E4497="","",IF(C4497&gt;WeekEndDate,"",E4497))</f>
        <v/>
      </c>
    </row>
    <row r="4498">
      <c r="A4498" t="inlineStr">
        <is>
          <t>Contractors</t>
        </is>
      </c>
      <c r="B4498" s="46">
        <f>'Contractors'!Y462</f>
        <v/>
      </c>
      <c r="C4498" s="84">
        <f>'Contractors'!W462</f>
        <v/>
      </c>
      <c r="D4498" s="46">
        <f>'Contractors'!X462</f>
        <v/>
      </c>
      <c r="E4498" s="46">
        <f>IF(OR(B4498="",C4498="",D4498=""),"",D4498*100000+(C4498-DATE(2000,1,1))+ROW()/100000)</f>
        <v/>
      </c>
      <c r="F4498" s="46">
        <f>IF(E4498="","",IF(C4498&gt;WeekEndDate,"",E4498))</f>
        <v/>
      </c>
    </row>
    <row r="4499">
      <c r="A4499" t="inlineStr">
        <is>
          <t>Contractors</t>
        </is>
      </c>
      <c r="B4499" s="46">
        <f>'Contractors'!Y463</f>
        <v/>
      </c>
      <c r="C4499" s="84">
        <f>'Contractors'!W463</f>
        <v/>
      </c>
      <c r="D4499" s="46">
        <f>'Contractors'!X463</f>
        <v/>
      </c>
      <c r="E4499" s="46">
        <f>IF(OR(B4499="",C4499="",D4499=""),"",D4499*100000+(C4499-DATE(2000,1,1))+ROW()/100000)</f>
        <v/>
      </c>
      <c r="F4499" s="46">
        <f>IF(E4499="","",IF(C4499&gt;WeekEndDate,"",E4499))</f>
        <v/>
      </c>
    </row>
    <row r="4500">
      <c r="A4500" t="inlineStr">
        <is>
          <t>Contractors</t>
        </is>
      </c>
      <c r="B4500" s="46">
        <f>'Contractors'!Y464</f>
        <v/>
      </c>
      <c r="C4500" s="84">
        <f>'Contractors'!W464</f>
        <v/>
      </c>
      <c r="D4500" s="46">
        <f>'Contractors'!X464</f>
        <v/>
      </c>
      <c r="E4500" s="46">
        <f>IF(OR(B4500="",C4500="",D4500=""),"",D4500*100000+(C4500-DATE(2000,1,1))+ROW()/100000)</f>
        <v/>
      </c>
      <c r="F4500" s="46">
        <f>IF(E4500="","",IF(C4500&gt;WeekEndDate,"",E4500))</f>
        <v/>
      </c>
    </row>
    <row r="4501">
      <c r="A4501" t="inlineStr">
        <is>
          <t>Contractors</t>
        </is>
      </c>
      <c r="B4501" s="46">
        <f>'Contractors'!Y465</f>
        <v/>
      </c>
      <c r="C4501" s="84">
        <f>'Contractors'!W465</f>
        <v/>
      </c>
      <c r="D4501" s="46">
        <f>'Contractors'!X465</f>
        <v/>
      </c>
      <c r="E4501" s="46">
        <f>IF(OR(B4501="",C4501="",D4501=""),"",D4501*100000+(C4501-DATE(2000,1,1))+ROW()/100000)</f>
        <v/>
      </c>
      <c r="F4501" s="46">
        <f>IF(E4501="","",IF(C4501&gt;WeekEndDate,"",E4501))</f>
        <v/>
      </c>
    </row>
    <row r="4502">
      <c r="A4502" t="inlineStr">
        <is>
          <t>Contractors</t>
        </is>
      </c>
      <c r="B4502" s="46">
        <f>'Contractors'!Y466</f>
        <v/>
      </c>
      <c r="C4502" s="84">
        <f>'Contractors'!W466</f>
        <v/>
      </c>
      <c r="D4502" s="46">
        <f>'Contractors'!X466</f>
        <v/>
      </c>
      <c r="E4502" s="46">
        <f>IF(OR(B4502="",C4502="",D4502=""),"",D4502*100000+(C4502-DATE(2000,1,1))+ROW()/100000)</f>
        <v/>
      </c>
      <c r="F4502" s="46">
        <f>IF(E4502="","",IF(C4502&gt;WeekEndDate,"",E4502))</f>
        <v/>
      </c>
    </row>
    <row r="4503">
      <c r="A4503" t="inlineStr">
        <is>
          <t>Contractors</t>
        </is>
      </c>
      <c r="B4503" s="46">
        <f>'Contractors'!Y467</f>
        <v/>
      </c>
      <c r="C4503" s="84">
        <f>'Contractors'!W467</f>
        <v/>
      </c>
      <c r="D4503" s="46">
        <f>'Contractors'!X467</f>
        <v/>
      </c>
      <c r="E4503" s="46">
        <f>IF(OR(B4503="",C4503="",D4503=""),"",D4503*100000+(C4503-DATE(2000,1,1))+ROW()/100000)</f>
        <v/>
      </c>
      <c r="F4503" s="46">
        <f>IF(E4503="","",IF(C4503&gt;WeekEndDate,"",E4503))</f>
        <v/>
      </c>
    </row>
    <row r="4504">
      <c r="A4504" t="inlineStr">
        <is>
          <t>Contractors</t>
        </is>
      </c>
      <c r="B4504" s="46">
        <f>'Contractors'!Y468</f>
        <v/>
      </c>
      <c r="C4504" s="84">
        <f>'Contractors'!W468</f>
        <v/>
      </c>
      <c r="D4504" s="46">
        <f>'Contractors'!X468</f>
        <v/>
      </c>
      <c r="E4504" s="46">
        <f>IF(OR(B4504="",C4504="",D4504=""),"",D4504*100000+(C4504-DATE(2000,1,1))+ROW()/100000)</f>
        <v/>
      </c>
      <c r="F4504" s="46">
        <f>IF(E4504="","",IF(C4504&gt;WeekEndDate,"",E4504))</f>
        <v/>
      </c>
    </row>
    <row r="4505">
      <c r="A4505" t="inlineStr">
        <is>
          <t>Contractors</t>
        </is>
      </c>
      <c r="B4505" s="46">
        <f>'Contractors'!Y469</f>
        <v/>
      </c>
      <c r="C4505" s="84">
        <f>'Contractors'!W469</f>
        <v/>
      </c>
      <c r="D4505" s="46">
        <f>'Contractors'!X469</f>
        <v/>
      </c>
      <c r="E4505" s="46">
        <f>IF(OR(B4505="",C4505="",D4505=""),"",D4505*100000+(C4505-DATE(2000,1,1))+ROW()/100000)</f>
        <v/>
      </c>
      <c r="F4505" s="46">
        <f>IF(E4505="","",IF(C4505&gt;WeekEndDate,"",E4505))</f>
        <v/>
      </c>
    </row>
    <row r="4506">
      <c r="A4506" t="inlineStr">
        <is>
          <t>Contractors</t>
        </is>
      </c>
      <c r="B4506" s="46">
        <f>'Contractors'!Y470</f>
        <v/>
      </c>
      <c r="C4506" s="84">
        <f>'Contractors'!W470</f>
        <v/>
      </c>
      <c r="D4506" s="46">
        <f>'Contractors'!X470</f>
        <v/>
      </c>
      <c r="E4506" s="46">
        <f>IF(OR(B4506="",C4506="",D4506=""),"",D4506*100000+(C4506-DATE(2000,1,1))+ROW()/100000)</f>
        <v/>
      </c>
      <c r="F4506" s="46">
        <f>IF(E4506="","",IF(C4506&gt;WeekEndDate,"",E4506))</f>
        <v/>
      </c>
    </row>
    <row r="4507">
      <c r="A4507" t="inlineStr">
        <is>
          <t>Contractors</t>
        </is>
      </c>
      <c r="B4507" s="46">
        <f>'Contractors'!Y471</f>
        <v/>
      </c>
      <c r="C4507" s="84">
        <f>'Contractors'!W471</f>
        <v/>
      </c>
      <c r="D4507" s="46">
        <f>'Contractors'!X471</f>
        <v/>
      </c>
      <c r="E4507" s="46">
        <f>IF(OR(B4507="",C4507="",D4507=""),"",D4507*100000+(C4507-DATE(2000,1,1))+ROW()/100000)</f>
        <v/>
      </c>
      <c r="F4507" s="46">
        <f>IF(E4507="","",IF(C4507&gt;WeekEndDate,"",E4507))</f>
        <v/>
      </c>
    </row>
    <row r="4508">
      <c r="A4508" t="inlineStr">
        <is>
          <t>Contractors</t>
        </is>
      </c>
      <c r="B4508" s="46">
        <f>'Contractors'!Y472</f>
        <v/>
      </c>
      <c r="C4508" s="84">
        <f>'Contractors'!W472</f>
        <v/>
      </c>
      <c r="D4508" s="46">
        <f>'Contractors'!X472</f>
        <v/>
      </c>
      <c r="E4508" s="46">
        <f>IF(OR(B4508="",C4508="",D4508=""),"",D4508*100000+(C4508-DATE(2000,1,1))+ROW()/100000)</f>
        <v/>
      </c>
      <c r="F4508" s="46">
        <f>IF(E4508="","",IF(C4508&gt;WeekEndDate,"",E4508))</f>
        <v/>
      </c>
    </row>
    <row r="4509">
      <c r="A4509" t="inlineStr">
        <is>
          <t>Contractors</t>
        </is>
      </c>
      <c r="B4509" s="46">
        <f>'Contractors'!Y473</f>
        <v/>
      </c>
      <c r="C4509" s="84">
        <f>'Contractors'!W473</f>
        <v/>
      </c>
      <c r="D4509" s="46">
        <f>'Contractors'!X473</f>
        <v/>
      </c>
      <c r="E4509" s="46">
        <f>IF(OR(B4509="",C4509="",D4509=""),"",D4509*100000+(C4509-DATE(2000,1,1))+ROW()/100000)</f>
        <v/>
      </c>
      <c r="F4509" s="46">
        <f>IF(E4509="","",IF(C4509&gt;WeekEndDate,"",E4509))</f>
        <v/>
      </c>
    </row>
    <row r="4510">
      <c r="A4510" t="inlineStr">
        <is>
          <t>Contractors</t>
        </is>
      </c>
      <c r="B4510" s="46">
        <f>'Contractors'!Y474</f>
        <v/>
      </c>
      <c r="C4510" s="84">
        <f>'Contractors'!W474</f>
        <v/>
      </c>
      <c r="D4510" s="46">
        <f>'Contractors'!X474</f>
        <v/>
      </c>
      <c r="E4510" s="46">
        <f>IF(OR(B4510="",C4510="",D4510=""),"",D4510*100000+(C4510-DATE(2000,1,1))+ROW()/100000)</f>
        <v/>
      </c>
      <c r="F4510" s="46">
        <f>IF(E4510="","",IF(C4510&gt;WeekEndDate,"",E4510))</f>
        <v/>
      </c>
    </row>
    <row r="4511">
      <c r="A4511" t="inlineStr">
        <is>
          <t>Contractors</t>
        </is>
      </c>
      <c r="B4511" s="46">
        <f>'Contractors'!Y475</f>
        <v/>
      </c>
      <c r="C4511" s="84">
        <f>'Contractors'!W475</f>
        <v/>
      </c>
      <c r="D4511" s="46">
        <f>'Contractors'!X475</f>
        <v/>
      </c>
      <c r="E4511" s="46">
        <f>IF(OR(B4511="",C4511="",D4511=""),"",D4511*100000+(C4511-DATE(2000,1,1))+ROW()/100000)</f>
        <v/>
      </c>
      <c r="F4511" s="46">
        <f>IF(E4511="","",IF(C4511&gt;WeekEndDate,"",E4511))</f>
        <v/>
      </c>
    </row>
    <row r="4512">
      <c r="A4512" t="inlineStr">
        <is>
          <t>Contractors</t>
        </is>
      </c>
      <c r="B4512" s="46">
        <f>'Contractors'!Y476</f>
        <v/>
      </c>
      <c r="C4512" s="84">
        <f>'Contractors'!W476</f>
        <v/>
      </c>
      <c r="D4512" s="46">
        <f>'Contractors'!X476</f>
        <v/>
      </c>
      <c r="E4512" s="46">
        <f>IF(OR(B4512="",C4512="",D4512=""),"",D4512*100000+(C4512-DATE(2000,1,1))+ROW()/100000)</f>
        <v/>
      </c>
      <c r="F4512" s="46">
        <f>IF(E4512="","",IF(C4512&gt;WeekEndDate,"",E4512))</f>
        <v/>
      </c>
    </row>
    <row r="4513">
      <c r="A4513" t="inlineStr">
        <is>
          <t>Contractors</t>
        </is>
      </c>
      <c r="B4513" s="46">
        <f>'Contractors'!Y477</f>
        <v/>
      </c>
      <c r="C4513" s="84">
        <f>'Contractors'!W477</f>
        <v/>
      </c>
      <c r="D4513" s="46">
        <f>'Contractors'!X477</f>
        <v/>
      </c>
      <c r="E4513" s="46">
        <f>IF(OR(B4513="",C4513="",D4513=""),"",D4513*100000+(C4513-DATE(2000,1,1))+ROW()/100000)</f>
        <v/>
      </c>
      <c r="F4513" s="46">
        <f>IF(E4513="","",IF(C4513&gt;WeekEndDate,"",E4513))</f>
        <v/>
      </c>
    </row>
    <row r="4514">
      <c r="A4514" t="inlineStr">
        <is>
          <t>Contractors</t>
        </is>
      </c>
      <c r="B4514" s="46">
        <f>'Contractors'!Y478</f>
        <v/>
      </c>
      <c r="C4514" s="84">
        <f>'Contractors'!W478</f>
        <v/>
      </c>
      <c r="D4514" s="46">
        <f>'Contractors'!X478</f>
        <v/>
      </c>
      <c r="E4514" s="46">
        <f>IF(OR(B4514="",C4514="",D4514=""),"",D4514*100000+(C4514-DATE(2000,1,1))+ROW()/100000)</f>
        <v/>
      </c>
      <c r="F4514" s="46">
        <f>IF(E4514="","",IF(C4514&gt;WeekEndDate,"",E4514))</f>
        <v/>
      </c>
    </row>
    <row r="4515">
      <c r="A4515" t="inlineStr">
        <is>
          <t>Contractors</t>
        </is>
      </c>
      <c r="B4515" s="46">
        <f>'Contractors'!Y479</f>
        <v/>
      </c>
      <c r="C4515" s="84">
        <f>'Contractors'!W479</f>
        <v/>
      </c>
      <c r="D4515" s="46">
        <f>'Contractors'!X479</f>
        <v/>
      </c>
      <c r="E4515" s="46">
        <f>IF(OR(B4515="",C4515="",D4515=""),"",D4515*100000+(C4515-DATE(2000,1,1))+ROW()/100000)</f>
        <v/>
      </c>
      <c r="F4515" s="46">
        <f>IF(E4515="","",IF(C4515&gt;WeekEndDate,"",E4515))</f>
        <v/>
      </c>
    </row>
    <row r="4516">
      <c r="A4516" t="inlineStr">
        <is>
          <t>Contractors</t>
        </is>
      </c>
      <c r="B4516" s="46">
        <f>'Contractors'!Y480</f>
        <v/>
      </c>
      <c r="C4516" s="84">
        <f>'Contractors'!W480</f>
        <v/>
      </c>
      <c r="D4516" s="46">
        <f>'Contractors'!X480</f>
        <v/>
      </c>
      <c r="E4516" s="46">
        <f>IF(OR(B4516="",C4516="",D4516=""),"",D4516*100000+(C4516-DATE(2000,1,1))+ROW()/100000)</f>
        <v/>
      </c>
      <c r="F4516" s="46">
        <f>IF(E4516="","",IF(C4516&gt;WeekEndDate,"",E4516))</f>
        <v/>
      </c>
    </row>
    <row r="4517">
      <c r="A4517" t="inlineStr">
        <is>
          <t>Contractors</t>
        </is>
      </c>
      <c r="B4517" s="46">
        <f>'Contractors'!Y481</f>
        <v/>
      </c>
      <c r="C4517" s="84">
        <f>'Contractors'!W481</f>
        <v/>
      </c>
      <c r="D4517" s="46">
        <f>'Contractors'!X481</f>
        <v/>
      </c>
      <c r="E4517" s="46">
        <f>IF(OR(B4517="",C4517="",D4517=""),"",D4517*100000+(C4517-DATE(2000,1,1))+ROW()/100000)</f>
        <v/>
      </c>
      <c r="F4517" s="46">
        <f>IF(E4517="","",IF(C4517&gt;WeekEndDate,"",E4517))</f>
        <v/>
      </c>
    </row>
    <row r="4518">
      <c r="A4518" t="inlineStr">
        <is>
          <t>Contractors</t>
        </is>
      </c>
      <c r="B4518" s="46">
        <f>'Contractors'!Y482</f>
        <v/>
      </c>
      <c r="C4518" s="84">
        <f>'Contractors'!W482</f>
        <v/>
      </c>
      <c r="D4518" s="46">
        <f>'Contractors'!X482</f>
        <v/>
      </c>
      <c r="E4518" s="46">
        <f>IF(OR(B4518="",C4518="",D4518=""),"",D4518*100000+(C4518-DATE(2000,1,1))+ROW()/100000)</f>
        <v/>
      </c>
      <c r="F4518" s="46">
        <f>IF(E4518="","",IF(C4518&gt;WeekEndDate,"",E4518))</f>
        <v/>
      </c>
    </row>
    <row r="4519">
      <c r="A4519" t="inlineStr">
        <is>
          <t>Contractors</t>
        </is>
      </c>
      <c r="B4519" s="46">
        <f>'Contractors'!Y483</f>
        <v/>
      </c>
      <c r="C4519" s="84">
        <f>'Contractors'!W483</f>
        <v/>
      </c>
      <c r="D4519" s="46">
        <f>'Contractors'!X483</f>
        <v/>
      </c>
      <c r="E4519" s="46">
        <f>IF(OR(B4519="",C4519="",D4519=""),"",D4519*100000+(C4519-DATE(2000,1,1))+ROW()/100000)</f>
        <v/>
      </c>
      <c r="F4519" s="46">
        <f>IF(E4519="","",IF(C4519&gt;WeekEndDate,"",E4519))</f>
        <v/>
      </c>
    </row>
    <row r="4520">
      <c r="A4520" t="inlineStr">
        <is>
          <t>Contractors</t>
        </is>
      </c>
      <c r="B4520" s="46">
        <f>'Contractors'!Y484</f>
        <v/>
      </c>
      <c r="C4520" s="84">
        <f>'Contractors'!W484</f>
        <v/>
      </c>
      <c r="D4520" s="46">
        <f>'Contractors'!X484</f>
        <v/>
      </c>
      <c r="E4520" s="46">
        <f>IF(OR(B4520="",C4520="",D4520=""),"",D4520*100000+(C4520-DATE(2000,1,1))+ROW()/100000)</f>
        <v/>
      </c>
      <c r="F4520" s="46">
        <f>IF(E4520="","",IF(C4520&gt;WeekEndDate,"",E4520))</f>
        <v/>
      </c>
    </row>
    <row r="4521">
      <c r="A4521" t="inlineStr">
        <is>
          <t>Contractors</t>
        </is>
      </c>
      <c r="B4521" s="46">
        <f>'Contractors'!Y485</f>
        <v/>
      </c>
      <c r="C4521" s="84">
        <f>'Contractors'!W485</f>
        <v/>
      </c>
      <c r="D4521" s="46">
        <f>'Contractors'!X485</f>
        <v/>
      </c>
      <c r="E4521" s="46">
        <f>IF(OR(B4521="",C4521="",D4521=""),"",D4521*100000+(C4521-DATE(2000,1,1))+ROW()/100000)</f>
        <v/>
      </c>
      <c r="F4521" s="46">
        <f>IF(E4521="","",IF(C4521&gt;WeekEndDate,"",E4521))</f>
        <v/>
      </c>
    </row>
    <row r="4522">
      <c r="A4522" t="inlineStr">
        <is>
          <t>Contractors</t>
        </is>
      </c>
      <c r="B4522" s="46">
        <f>'Contractors'!Y486</f>
        <v/>
      </c>
      <c r="C4522" s="84">
        <f>'Contractors'!W486</f>
        <v/>
      </c>
      <c r="D4522" s="46">
        <f>'Contractors'!X486</f>
        <v/>
      </c>
      <c r="E4522" s="46">
        <f>IF(OR(B4522="",C4522="",D4522=""),"",D4522*100000+(C4522-DATE(2000,1,1))+ROW()/100000)</f>
        <v/>
      </c>
      <c r="F4522" s="46">
        <f>IF(E4522="","",IF(C4522&gt;WeekEndDate,"",E4522))</f>
        <v/>
      </c>
    </row>
    <row r="4523">
      <c r="A4523" t="inlineStr">
        <is>
          <t>Contractors</t>
        </is>
      </c>
      <c r="B4523" s="46">
        <f>'Contractors'!Y487</f>
        <v/>
      </c>
      <c r="C4523" s="84">
        <f>'Contractors'!W487</f>
        <v/>
      </c>
      <c r="D4523" s="46">
        <f>'Contractors'!X487</f>
        <v/>
      </c>
      <c r="E4523" s="46">
        <f>IF(OR(B4523="",C4523="",D4523=""),"",D4523*100000+(C4523-DATE(2000,1,1))+ROW()/100000)</f>
        <v/>
      </c>
      <c r="F4523" s="46">
        <f>IF(E4523="","",IF(C4523&gt;WeekEndDate,"",E4523))</f>
        <v/>
      </c>
    </row>
    <row r="4524">
      <c r="A4524" t="inlineStr">
        <is>
          <t>Contractors</t>
        </is>
      </c>
      <c r="B4524" s="46">
        <f>'Contractors'!Y488</f>
        <v/>
      </c>
      <c r="C4524" s="84">
        <f>'Contractors'!W488</f>
        <v/>
      </c>
      <c r="D4524" s="46">
        <f>'Contractors'!X488</f>
        <v/>
      </c>
      <c r="E4524" s="46">
        <f>IF(OR(B4524="",C4524="",D4524=""),"",D4524*100000+(C4524-DATE(2000,1,1))+ROW()/100000)</f>
        <v/>
      </c>
      <c r="F4524" s="46">
        <f>IF(E4524="","",IF(C4524&gt;WeekEndDate,"",E4524))</f>
        <v/>
      </c>
    </row>
    <row r="4525">
      <c r="A4525" t="inlineStr">
        <is>
          <t>Contractors</t>
        </is>
      </c>
      <c r="B4525" s="46">
        <f>'Contractors'!Y489</f>
        <v/>
      </c>
      <c r="C4525" s="84">
        <f>'Contractors'!W489</f>
        <v/>
      </c>
      <c r="D4525" s="46">
        <f>'Contractors'!X489</f>
        <v/>
      </c>
      <c r="E4525" s="46">
        <f>IF(OR(B4525="",C4525="",D4525=""),"",D4525*100000+(C4525-DATE(2000,1,1))+ROW()/100000)</f>
        <v/>
      </c>
      <c r="F4525" s="46">
        <f>IF(E4525="","",IF(C4525&gt;WeekEndDate,"",E4525))</f>
        <v/>
      </c>
    </row>
    <row r="4526">
      <c r="A4526" t="inlineStr">
        <is>
          <t>Contractors</t>
        </is>
      </c>
      <c r="B4526" s="46">
        <f>'Contractors'!Y490</f>
        <v/>
      </c>
      <c r="C4526" s="84">
        <f>'Contractors'!W490</f>
        <v/>
      </c>
      <c r="D4526" s="46">
        <f>'Contractors'!X490</f>
        <v/>
      </c>
      <c r="E4526" s="46">
        <f>IF(OR(B4526="",C4526="",D4526=""),"",D4526*100000+(C4526-DATE(2000,1,1))+ROW()/100000)</f>
        <v/>
      </c>
      <c r="F4526" s="46">
        <f>IF(E4526="","",IF(C4526&gt;WeekEndDate,"",E4526))</f>
        <v/>
      </c>
    </row>
    <row r="4527">
      <c r="A4527" t="inlineStr">
        <is>
          <t>Contractors</t>
        </is>
      </c>
      <c r="B4527" s="46">
        <f>'Contractors'!Y491</f>
        <v/>
      </c>
      <c r="C4527" s="84">
        <f>'Contractors'!W491</f>
        <v/>
      </c>
      <c r="D4527" s="46">
        <f>'Contractors'!X491</f>
        <v/>
      </c>
      <c r="E4527" s="46">
        <f>IF(OR(B4527="",C4527="",D4527=""),"",D4527*100000+(C4527-DATE(2000,1,1))+ROW()/100000)</f>
        <v/>
      </c>
      <c r="F4527" s="46">
        <f>IF(E4527="","",IF(C4527&gt;WeekEndDate,"",E4527))</f>
        <v/>
      </c>
    </row>
    <row r="4528">
      <c r="A4528" t="inlineStr">
        <is>
          <t>Contractors</t>
        </is>
      </c>
      <c r="B4528" s="46">
        <f>'Contractors'!Y492</f>
        <v/>
      </c>
      <c r="C4528" s="84">
        <f>'Contractors'!W492</f>
        <v/>
      </c>
      <c r="D4528" s="46">
        <f>'Contractors'!X492</f>
        <v/>
      </c>
      <c r="E4528" s="46">
        <f>IF(OR(B4528="",C4528="",D4528=""),"",D4528*100000+(C4528-DATE(2000,1,1))+ROW()/100000)</f>
        <v/>
      </c>
      <c r="F4528" s="46">
        <f>IF(E4528="","",IF(C4528&gt;WeekEndDate,"",E4528))</f>
        <v/>
      </c>
    </row>
    <row r="4529">
      <c r="A4529" t="inlineStr">
        <is>
          <t>Contractors</t>
        </is>
      </c>
      <c r="B4529" s="46">
        <f>'Contractors'!Y493</f>
        <v/>
      </c>
      <c r="C4529" s="84">
        <f>'Contractors'!W493</f>
        <v/>
      </c>
      <c r="D4529" s="46">
        <f>'Contractors'!X493</f>
        <v/>
      </c>
      <c r="E4529" s="46">
        <f>IF(OR(B4529="",C4529="",D4529=""),"",D4529*100000+(C4529-DATE(2000,1,1))+ROW()/100000)</f>
        <v/>
      </c>
      <c r="F4529" s="46">
        <f>IF(E4529="","",IF(C4529&gt;WeekEndDate,"",E4529))</f>
        <v/>
      </c>
    </row>
    <row r="4530">
      <c r="A4530" t="inlineStr">
        <is>
          <t>Contractors</t>
        </is>
      </c>
      <c r="B4530" s="46">
        <f>'Contractors'!Y494</f>
        <v/>
      </c>
      <c r="C4530" s="84">
        <f>'Contractors'!W494</f>
        <v/>
      </c>
      <c r="D4530" s="46">
        <f>'Contractors'!X494</f>
        <v/>
      </c>
      <c r="E4530" s="46">
        <f>IF(OR(B4530="",C4530="",D4530=""),"",D4530*100000+(C4530-DATE(2000,1,1))+ROW()/100000)</f>
        <v/>
      </c>
      <c r="F4530" s="46">
        <f>IF(E4530="","",IF(C4530&gt;WeekEndDate,"",E4530))</f>
        <v/>
      </c>
    </row>
    <row r="4531">
      <c r="A4531" t="inlineStr">
        <is>
          <t>Contractors</t>
        </is>
      </c>
      <c r="B4531" s="46">
        <f>'Contractors'!Y495</f>
        <v/>
      </c>
      <c r="C4531" s="84">
        <f>'Contractors'!W495</f>
        <v/>
      </c>
      <c r="D4531" s="46">
        <f>'Contractors'!X495</f>
        <v/>
      </c>
      <c r="E4531" s="46">
        <f>IF(OR(B4531="",C4531="",D4531=""),"",D4531*100000+(C4531-DATE(2000,1,1))+ROW()/100000)</f>
        <v/>
      </c>
      <c r="F4531" s="46">
        <f>IF(E4531="","",IF(C4531&gt;WeekEndDate,"",E4531))</f>
        <v/>
      </c>
    </row>
    <row r="4532">
      <c r="A4532" t="inlineStr">
        <is>
          <t>Contractors</t>
        </is>
      </c>
      <c r="B4532" s="46">
        <f>'Contractors'!Y496</f>
        <v/>
      </c>
      <c r="C4532" s="84">
        <f>'Contractors'!W496</f>
        <v/>
      </c>
      <c r="D4532" s="46">
        <f>'Contractors'!X496</f>
        <v/>
      </c>
      <c r="E4532" s="46">
        <f>IF(OR(B4532="",C4532="",D4532=""),"",D4532*100000+(C4532-DATE(2000,1,1))+ROW()/100000)</f>
        <v/>
      </c>
      <c r="F4532" s="46">
        <f>IF(E4532="","",IF(C4532&gt;WeekEndDate,"",E4532))</f>
        <v/>
      </c>
    </row>
    <row r="4533">
      <c r="A4533" t="inlineStr">
        <is>
          <t>Contractors</t>
        </is>
      </c>
      <c r="B4533" s="46">
        <f>'Contractors'!Y497</f>
        <v/>
      </c>
      <c r="C4533" s="84">
        <f>'Contractors'!W497</f>
        <v/>
      </c>
      <c r="D4533" s="46">
        <f>'Contractors'!X497</f>
        <v/>
      </c>
      <c r="E4533" s="46">
        <f>IF(OR(B4533="",C4533="",D4533=""),"",D4533*100000+(C4533-DATE(2000,1,1))+ROW()/100000)</f>
        <v/>
      </c>
      <c r="F4533" s="46">
        <f>IF(E4533="","",IF(C4533&gt;WeekEndDate,"",E4533))</f>
        <v/>
      </c>
    </row>
    <row r="4534">
      <c r="A4534" t="inlineStr">
        <is>
          <t>Contractors</t>
        </is>
      </c>
      <c r="B4534" s="46">
        <f>'Contractors'!Y498</f>
        <v/>
      </c>
      <c r="C4534" s="84">
        <f>'Contractors'!W498</f>
        <v/>
      </c>
      <c r="D4534" s="46">
        <f>'Contractors'!X498</f>
        <v/>
      </c>
      <c r="E4534" s="46">
        <f>IF(OR(B4534="",C4534="",D4534=""),"",D4534*100000+(C4534-DATE(2000,1,1))+ROW()/100000)</f>
        <v/>
      </c>
      <c r="F4534" s="46">
        <f>IF(E4534="","",IF(C4534&gt;WeekEndDate,"",E4534))</f>
        <v/>
      </c>
    </row>
    <row r="4535">
      <c r="A4535" t="inlineStr">
        <is>
          <t>Contractors</t>
        </is>
      </c>
      <c r="B4535" s="46">
        <f>'Contractors'!Y499</f>
        <v/>
      </c>
      <c r="C4535" s="84">
        <f>'Contractors'!W499</f>
        <v/>
      </c>
      <c r="D4535" s="46">
        <f>'Contractors'!X499</f>
        <v/>
      </c>
      <c r="E4535" s="46">
        <f>IF(OR(B4535="",C4535="",D4535=""),"",D4535*100000+(C4535-DATE(2000,1,1))+ROW()/100000)</f>
        <v/>
      </c>
      <c r="F4535" s="46">
        <f>IF(E4535="","",IF(C4535&gt;WeekEndDate,"",E4535))</f>
        <v/>
      </c>
    </row>
    <row r="4536">
      <c r="A4536" t="inlineStr">
        <is>
          <t>Contractors</t>
        </is>
      </c>
      <c r="B4536" s="46">
        <f>'Contractors'!Y500</f>
        <v/>
      </c>
      <c r="C4536" s="84">
        <f>'Contractors'!W500</f>
        <v/>
      </c>
      <c r="D4536" s="46">
        <f>'Contractors'!X500</f>
        <v/>
      </c>
      <c r="E4536" s="46">
        <f>IF(OR(B4536="",C4536="",D4536=""),"",D4536*100000+(C4536-DATE(2000,1,1))+ROW()/100000)</f>
        <v/>
      </c>
      <c r="F4536" s="46">
        <f>IF(E4536="","",IF(C4536&gt;WeekEndDate,"",E4536))</f>
        <v/>
      </c>
    </row>
    <row r="4537">
      <c r="A4537" t="inlineStr">
        <is>
          <t>Contractors</t>
        </is>
      </c>
      <c r="B4537" s="46">
        <f>'Contractors'!Y501</f>
        <v/>
      </c>
      <c r="C4537" s="84">
        <f>'Contractors'!W501</f>
        <v/>
      </c>
      <c r="D4537" s="46">
        <f>'Contractors'!X501</f>
        <v/>
      </c>
      <c r="E4537" s="46">
        <f>IF(OR(B4537="",C4537="",D4537=""),"",D4537*100000+(C4537-DATE(2000,1,1))+ROW()/100000)</f>
        <v/>
      </c>
      <c r="F4537" s="46">
        <f>IF(E4537="","",IF(C4537&gt;WeekEndDate,"",E4537))</f>
        <v/>
      </c>
    </row>
    <row r="4538">
      <c r="A4538" t="inlineStr">
        <is>
          <t>Contractors</t>
        </is>
      </c>
      <c r="B4538" s="46">
        <f>'Contractors'!Y502</f>
        <v/>
      </c>
      <c r="C4538" s="84">
        <f>'Contractors'!W502</f>
        <v/>
      </c>
      <c r="D4538" s="46">
        <f>'Contractors'!X502</f>
        <v/>
      </c>
      <c r="E4538" s="46">
        <f>IF(OR(B4538="",C4538="",D4538=""),"",D4538*100000+(C4538-DATE(2000,1,1))+ROW()/100000)</f>
        <v/>
      </c>
      <c r="F4538" s="46">
        <f>IF(E4538="","",IF(C4538&gt;WeekEndDate,"",E4538))</f>
        <v/>
      </c>
    </row>
    <row r="4539">
      <c r="A4539" t="inlineStr">
        <is>
          <t>Contractors</t>
        </is>
      </c>
      <c r="B4539" s="46">
        <f>'Contractors'!Y503</f>
        <v/>
      </c>
      <c r="C4539" s="84">
        <f>'Contractors'!W503</f>
        <v/>
      </c>
      <c r="D4539" s="46">
        <f>'Contractors'!X503</f>
        <v/>
      </c>
      <c r="E4539" s="46">
        <f>IF(OR(B4539="",C4539="",D4539=""),"",D4539*100000+(C4539-DATE(2000,1,1))+ROW()/100000)</f>
        <v/>
      </c>
      <c r="F4539" s="46">
        <f>IF(E4539="","",IF(C4539&gt;WeekEndDate,"",E4539))</f>
        <v/>
      </c>
    </row>
    <row r="4540">
      <c r="A4540" t="inlineStr">
        <is>
          <t>Contractors</t>
        </is>
      </c>
      <c r="B4540" s="46">
        <f>'Contractors'!Y504</f>
        <v/>
      </c>
      <c r="C4540" s="84">
        <f>'Contractors'!W504</f>
        <v/>
      </c>
      <c r="D4540" s="46">
        <f>'Contractors'!X504</f>
        <v/>
      </c>
      <c r="E4540" s="46">
        <f>IF(OR(B4540="",C4540="",D4540=""),"",D4540*100000+(C4540-DATE(2000,1,1))+ROW()/100000)</f>
        <v/>
      </c>
      <c r="F4540" s="46">
        <f>IF(E4540="","",IF(C4540&gt;WeekEndDate,"",E4540))</f>
        <v/>
      </c>
    </row>
    <row r="4541">
      <c r="A4541" t="inlineStr">
        <is>
          <t>Contractors</t>
        </is>
      </c>
      <c r="B4541" s="46">
        <f>'Contractors'!Y505</f>
        <v/>
      </c>
      <c r="C4541" s="84">
        <f>'Contractors'!W505</f>
        <v/>
      </c>
      <c r="D4541" s="46">
        <f>'Contractors'!X505</f>
        <v/>
      </c>
      <c r="E4541" s="46">
        <f>IF(OR(B4541="",C4541="",D4541=""),"",D4541*100000+(C4541-DATE(2000,1,1))+ROW()/100000)</f>
        <v/>
      </c>
      <c r="F4541" s="46">
        <f>IF(E4541="","",IF(C4541&gt;WeekEndDate,"",E4541))</f>
        <v/>
      </c>
    </row>
    <row r="4542">
      <c r="A4542" t="inlineStr">
        <is>
          <t>Contractors</t>
        </is>
      </c>
      <c r="B4542" s="46">
        <f>'Contractors'!Y506</f>
        <v/>
      </c>
      <c r="C4542" s="84">
        <f>'Contractors'!W506</f>
        <v/>
      </c>
      <c r="D4542" s="46">
        <f>'Contractors'!X506</f>
        <v/>
      </c>
      <c r="E4542" s="46">
        <f>IF(OR(B4542="",C4542="",D4542=""),"",D4542*100000+(C4542-DATE(2000,1,1))+ROW()/100000)</f>
        <v/>
      </c>
      <c r="F4542" s="46">
        <f>IF(E4542="","",IF(C4542&gt;WeekEndDate,"",E4542))</f>
        <v/>
      </c>
    </row>
    <row r="4543">
      <c r="A4543" t="inlineStr">
        <is>
          <t>Contractors</t>
        </is>
      </c>
      <c r="B4543" s="46">
        <f>'Contractors'!Y507</f>
        <v/>
      </c>
      <c r="C4543" s="84">
        <f>'Contractors'!W507</f>
        <v/>
      </c>
      <c r="D4543" s="46">
        <f>'Contractors'!X507</f>
        <v/>
      </c>
      <c r="E4543" s="46">
        <f>IF(OR(B4543="",C4543="",D4543=""),"",D4543*100000+(C4543-DATE(2000,1,1))+ROW()/100000)</f>
        <v/>
      </c>
      <c r="F4543" s="46">
        <f>IF(E4543="","",IF(C4543&gt;WeekEndDate,"",E4543))</f>
        <v/>
      </c>
    </row>
    <row r="4544">
      <c r="A4544" t="inlineStr">
        <is>
          <t>Contractors</t>
        </is>
      </c>
      <c r="B4544" s="46">
        <f>'Contractors'!Y508</f>
        <v/>
      </c>
      <c r="C4544" s="84">
        <f>'Contractors'!W508</f>
        <v/>
      </c>
      <c r="D4544" s="46">
        <f>'Contractors'!X508</f>
        <v/>
      </c>
      <c r="E4544" s="46">
        <f>IF(OR(B4544="",C4544="",D4544=""),"",D4544*100000+(C4544-DATE(2000,1,1))+ROW()/100000)</f>
        <v/>
      </c>
      <c r="F4544" s="46">
        <f>IF(E4544="","",IF(C4544&gt;WeekEndDate,"",E4544))</f>
        <v/>
      </c>
    </row>
    <row r="4545">
      <c r="A4545" t="inlineStr">
        <is>
          <t>Contractors</t>
        </is>
      </c>
      <c r="B4545" s="46">
        <f>'Contractors'!Y509</f>
        <v/>
      </c>
      <c r="C4545" s="84">
        <f>'Contractors'!W509</f>
        <v/>
      </c>
      <c r="D4545" s="46">
        <f>'Contractors'!X509</f>
        <v/>
      </c>
      <c r="E4545" s="46">
        <f>IF(OR(B4545="",C4545="",D4545=""),"",D4545*100000+(C4545-DATE(2000,1,1))+ROW()/100000)</f>
        <v/>
      </c>
      <c r="F4545" s="46">
        <f>IF(E4545="","",IF(C4545&gt;WeekEndDate,"",E4545))</f>
        <v/>
      </c>
    </row>
    <row r="4546">
      <c r="A4546" t="inlineStr">
        <is>
          <t>Contractors</t>
        </is>
      </c>
      <c r="B4546" s="46">
        <f>'Contractors'!Y510</f>
        <v/>
      </c>
      <c r="C4546" s="84">
        <f>'Contractors'!W510</f>
        <v/>
      </c>
      <c r="D4546" s="46">
        <f>'Contractors'!X510</f>
        <v/>
      </c>
      <c r="E4546" s="46">
        <f>IF(OR(B4546="",C4546="",D4546=""),"",D4546*100000+(C4546-DATE(2000,1,1))+ROW()/100000)</f>
        <v/>
      </c>
      <c r="F4546" s="46">
        <f>IF(E4546="","",IF(C4546&gt;WeekEndDate,"",E4546))</f>
        <v/>
      </c>
    </row>
    <row r="4547">
      <c r="A4547" t="inlineStr">
        <is>
          <t>Contractors</t>
        </is>
      </c>
      <c r="B4547" s="46">
        <f>'Contractors'!Y511</f>
        <v/>
      </c>
      <c r="C4547" s="84">
        <f>'Contractors'!W511</f>
        <v/>
      </c>
      <c r="D4547" s="46">
        <f>'Contractors'!X511</f>
        <v/>
      </c>
      <c r="E4547" s="46">
        <f>IF(OR(B4547="",C4547="",D4547=""),"",D4547*100000+(C4547-DATE(2000,1,1))+ROW()/100000)</f>
        <v/>
      </c>
      <c r="F4547" s="46">
        <f>IF(E4547="","",IF(C4547&gt;WeekEndDate,"",E4547))</f>
        <v/>
      </c>
    </row>
    <row r="4548">
      <c r="A4548" t="inlineStr">
        <is>
          <t>Contractors</t>
        </is>
      </c>
      <c r="B4548" s="46">
        <f>'Contractors'!Y512</f>
        <v/>
      </c>
      <c r="C4548" s="84">
        <f>'Contractors'!W512</f>
        <v/>
      </c>
      <c r="D4548" s="46">
        <f>'Contractors'!X512</f>
        <v/>
      </c>
      <c r="E4548" s="46">
        <f>IF(OR(B4548="",C4548="",D4548=""),"",D4548*100000+(C4548-DATE(2000,1,1))+ROW()/100000)</f>
        <v/>
      </c>
      <c r="F4548" s="46">
        <f>IF(E4548="","",IF(C4548&gt;WeekEndDate,"",E4548))</f>
        <v/>
      </c>
    </row>
    <row r="4549">
      <c r="A4549" t="inlineStr">
        <is>
          <t>Contractors</t>
        </is>
      </c>
      <c r="B4549" s="46">
        <f>'Contractors'!Y513</f>
        <v/>
      </c>
      <c r="C4549" s="84">
        <f>'Contractors'!W513</f>
        <v/>
      </c>
      <c r="D4549" s="46">
        <f>'Contractors'!X513</f>
        <v/>
      </c>
      <c r="E4549" s="46">
        <f>IF(OR(B4549="",C4549="",D4549=""),"",D4549*100000+(C4549-DATE(2000,1,1))+ROW()/100000)</f>
        <v/>
      </c>
      <c r="F4549" s="46">
        <f>IF(E4549="","",IF(C4549&gt;WeekEndDate,"",E4549))</f>
        <v/>
      </c>
    </row>
    <row r="4550">
      <c r="A4550" t="inlineStr">
        <is>
          <t>Contractors</t>
        </is>
      </c>
      <c r="B4550" s="46">
        <f>'Contractors'!Y514</f>
        <v/>
      </c>
      <c r="C4550" s="84">
        <f>'Contractors'!W514</f>
        <v/>
      </c>
      <c r="D4550" s="46">
        <f>'Contractors'!X514</f>
        <v/>
      </c>
      <c r="E4550" s="46">
        <f>IF(OR(B4550="",C4550="",D4550=""),"",D4550*100000+(C4550-DATE(2000,1,1))+ROW()/100000)</f>
        <v/>
      </c>
      <c r="F4550" s="46">
        <f>IF(E4550="","",IF(C4550&gt;WeekEndDate,"",E4550))</f>
        <v/>
      </c>
    </row>
    <row r="4551">
      <c r="A4551" t="inlineStr">
        <is>
          <t>Contractors</t>
        </is>
      </c>
      <c r="B4551" s="46">
        <f>'Contractors'!Y515</f>
        <v/>
      </c>
      <c r="C4551" s="84">
        <f>'Contractors'!W515</f>
        <v/>
      </c>
      <c r="D4551" s="46">
        <f>'Contractors'!X515</f>
        <v/>
      </c>
      <c r="E4551" s="46">
        <f>IF(OR(B4551="",C4551="",D4551=""),"",D4551*100000+(C4551-DATE(2000,1,1))+ROW()/100000)</f>
        <v/>
      </c>
      <c r="F4551" s="46">
        <f>IF(E4551="","",IF(C4551&gt;WeekEndDate,"",E4551))</f>
        <v/>
      </c>
    </row>
    <row r="4552">
      <c r="A4552" t="inlineStr">
        <is>
          <t>Contractors</t>
        </is>
      </c>
      <c r="B4552" s="46">
        <f>'Contractors'!Y516</f>
        <v/>
      </c>
      <c r="C4552" s="84">
        <f>'Contractors'!W516</f>
        <v/>
      </c>
      <c r="D4552" s="46">
        <f>'Contractors'!X516</f>
        <v/>
      </c>
      <c r="E4552" s="46">
        <f>IF(OR(B4552="",C4552="",D4552=""),"",D4552*100000+(C4552-DATE(2000,1,1))+ROW()/100000)</f>
        <v/>
      </c>
      <c r="F4552" s="46">
        <f>IF(E4552="","",IF(C4552&gt;WeekEndDate,"",E4552))</f>
        <v/>
      </c>
    </row>
    <row r="4553">
      <c r="A4553" t="inlineStr">
        <is>
          <t>Contractors</t>
        </is>
      </c>
      <c r="B4553" s="46">
        <f>'Contractors'!Y517</f>
        <v/>
      </c>
      <c r="C4553" s="84">
        <f>'Contractors'!W517</f>
        <v/>
      </c>
      <c r="D4553" s="46">
        <f>'Contractors'!X517</f>
        <v/>
      </c>
      <c r="E4553" s="46">
        <f>IF(OR(B4553="",C4553="",D4553=""),"",D4553*100000+(C4553-DATE(2000,1,1))+ROW()/100000)</f>
        <v/>
      </c>
      <c r="F4553" s="46">
        <f>IF(E4553="","",IF(C4553&gt;WeekEndDate,"",E4553))</f>
        <v/>
      </c>
    </row>
    <row r="4554">
      <c r="A4554" t="inlineStr">
        <is>
          <t>Contractors</t>
        </is>
      </c>
      <c r="B4554" s="46">
        <f>'Contractors'!Y518</f>
        <v/>
      </c>
      <c r="C4554" s="84">
        <f>'Contractors'!W518</f>
        <v/>
      </c>
      <c r="D4554" s="46">
        <f>'Contractors'!X518</f>
        <v/>
      </c>
      <c r="E4554" s="46">
        <f>IF(OR(B4554="",C4554="",D4554=""),"",D4554*100000+(C4554-DATE(2000,1,1))+ROW()/100000)</f>
        <v/>
      </c>
      <c r="F4554" s="46">
        <f>IF(E4554="","",IF(C4554&gt;WeekEndDate,"",E4554))</f>
        <v/>
      </c>
    </row>
    <row r="4555">
      <c r="A4555" t="inlineStr">
        <is>
          <t>Contractors</t>
        </is>
      </c>
      <c r="B4555" s="46">
        <f>'Contractors'!Y519</f>
        <v/>
      </c>
      <c r="C4555" s="84">
        <f>'Contractors'!W519</f>
        <v/>
      </c>
      <c r="D4555" s="46">
        <f>'Contractors'!X519</f>
        <v/>
      </c>
      <c r="E4555" s="46">
        <f>IF(OR(B4555="",C4555="",D4555=""),"",D4555*100000+(C4555-DATE(2000,1,1))+ROW()/100000)</f>
        <v/>
      </c>
      <c r="F4555" s="46">
        <f>IF(E4555="","",IF(C4555&gt;WeekEndDate,"",E4555))</f>
        <v/>
      </c>
    </row>
    <row r="4556">
      <c r="A4556" t="inlineStr">
        <is>
          <t>Contractors</t>
        </is>
      </c>
      <c r="B4556" s="46">
        <f>'Contractors'!Y520</f>
        <v/>
      </c>
      <c r="C4556" s="84">
        <f>'Contractors'!W520</f>
        <v/>
      </c>
      <c r="D4556" s="46">
        <f>'Contractors'!X520</f>
        <v/>
      </c>
      <c r="E4556" s="46">
        <f>IF(OR(B4556="",C4556="",D4556=""),"",D4556*100000+(C4556-DATE(2000,1,1))+ROW()/100000)</f>
        <v/>
      </c>
      <c r="F4556" s="46">
        <f>IF(E4556="","",IF(C4556&gt;WeekEndDate,"",E4556))</f>
        <v/>
      </c>
    </row>
    <row r="4557">
      <c r="A4557" t="inlineStr">
        <is>
          <t>Contractors</t>
        </is>
      </c>
      <c r="B4557" s="46">
        <f>'Contractors'!Y521</f>
        <v/>
      </c>
      <c r="C4557" s="84">
        <f>'Contractors'!W521</f>
        <v/>
      </c>
      <c r="D4557" s="46">
        <f>'Contractors'!X521</f>
        <v/>
      </c>
      <c r="E4557" s="46">
        <f>IF(OR(B4557="",C4557="",D4557=""),"",D4557*100000+(C4557-DATE(2000,1,1))+ROW()/100000)</f>
        <v/>
      </c>
      <c r="F4557" s="46">
        <f>IF(E4557="","",IF(C4557&gt;WeekEndDate,"",E4557))</f>
        <v/>
      </c>
    </row>
    <row r="4558">
      <c r="A4558" t="inlineStr">
        <is>
          <t>Contractors</t>
        </is>
      </c>
      <c r="B4558" s="46">
        <f>'Contractors'!Y522</f>
        <v/>
      </c>
      <c r="C4558" s="84">
        <f>'Contractors'!W522</f>
        <v/>
      </c>
      <c r="D4558" s="46">
        <f>'Contractors'!X522</f>
        <v/>
      </c>
      <c r="E4558" s="46">
        <f>IF(OR(B4558="",C4558="",D4558=""),"",D4558*100000+(C4558-DATE(2000,1,1))+ROW()/100000)</f>
        <v/>
      </c>
      <c r="F4558" s="46">
        <f>IF(E4558="","",IF(C4558&gt;WeekEndDate,"",E4558))</f>
        <v/>
      </c>
    </row>
    <row r="4559">
      <c r="A4559" t="inlineStr">
        <is>
          <t>Contractors</t>
        </is>
      </c>
      <c r="B4559" s="46">
        <f>'Contractors'!Y523</f>
        <v/>
      </c>
      <c r="C4559" s="84">
        <f>'Contractors'!W523</f>
        <v/>
      </c>
      <c r="D4559" s="46">
        <f>'Contractors'!X523</f>
        <v/>
      </c>
      <c r="E4559" s="46">
        <f>IF(OR(B4559="",C4559="",D4559=""),"",D4559*100000+(C4559-DATE(2000,1,1))+ROW()/100000)</f>
        <v/>
      </c>
      <c r="F4559" s="46">
        <f>IF(E4559="","",IF(C4559&gt;WeekEndDate,"",E4559))</f>
        <v/>
      </c>
    </row>
    <row r="4560">
      <c r="A4560" t="inlineStr">
        <is>
          <t>Contractors</t>
        </is>
      </c>
      <c r="B4560" s="46">
        <f>'Contractors'!Y524</f>
        <v/>
      </c>
      <c r="C4560" s="84">
        <f>'Contractors'!W524</f>
        <v/>
      </c>
      <c r="D4560" s="46">
        <f>'Contractors'!X524</f>
        <v/>
      </c>
      <c r="E4560" s="46">
        <f>IF(OR(B4560="",C4560="",D4560=""),"",D4560*100000+(C4560-DATE(2000,1,1))+ROW()/100000)</f>
        <v/>
      </c>
      <c r="F4560" s="46">
        <f>IF(E4560="","",IF(C4560&gt;WeekEndDate,"",E4560))</f>
        <v/>
      </c>
    </row>
    <row r="4561">
      <c r="A4561" t="inlineStr">
        <is>
          <t>Contractors</t>
        </is>
      </c>
      <c r="B4561" s="46">
        <f>'Contractors'!Y525</f>
        <v/>
      </c>
      <c r="C4561" s="84">
        <f>'Contractors'!W525</f>
        <v/>
      </c>
      <c r="D4561" s="46">
        <f>'Contractors'!X525</f>
        <v/>
      </c>
      <c r="E4561" s="46">
        <f>IF(OR(B4561="",C4561="",D4561=""),"",D4561*100000+(C4561-DATE(2000,1,1))+ROW()/100000)</f>
        <v/>
      </c>
      <c r="F4561" s="46">
        <f>IF(E4561="","",IF(C4561&gt;WeekEndDate,"",E4561))</f>
        <v/>
      </c>
    </row>
    <row r="4562">
      <c r="A4562" t="inlineStr">
        <is>
          <t>Contractors</t>
        </is>
      </c>
      <c r="B4562" s="46">
        <f>'Contractors'!Y526</f>
        <v/>
      </c>
      <c r="C4562" s="84">
        <f>'Contractors'!W526</f>
        <v/>
      </c>
      <c r="D4562" s="46">
        <f>'Contractors'!X526</f>
        <v/>
      </c>
      <c r="E4562" s="46">
        <f>IF(OR(B4562="",C4562="",D4562=""),"",D4562*100000+(C4562-DATE(2000,1,1))+ROW()/100000)</f>
        <v/>
      </c>
      <c r="F4562" s="46">
        <f>IF(E4562="","",IF(C4562&gt;WeekEndDate,"",E4562))</f>
        <v/>
      </c>
    </row>
    <row r="4563">
      <c r="A4563" t="inlineStr">
        <is>
          <t>Contractors</t>
        </is>
      </c>
      <c r="B4563" s="46">
        <f>'Contractors'!Y527</f>
        <v/>
      </c>
      <c r="C4563" s="84">
        <f>'Contractors'!W527</f>
        <v/>
      </c>
      <c r="D4563" s="46">
        <f>'Contractors'!X527</f>
        <v/>
      </c>
      <c r="E4563" s="46">
        <f>IF(OR(B4563="",C4563="",D4563=""),"",D4563*100000+(C4563-DATE(2000,1,1))+ROW()/100000)</f>
        <v/>
      </c>
      <c r="F4563" s="46">
        <f>IF(E4563="","",IF(C4563&gt;WeekEndDate,"",E4563))</f>
        <v/>
      </c>
    </row>
    <row r="4564">
      <c r="A4564" t="inlineStr">
        <is>
          <t>Contractors</t>
        </is>
      </c>
      <c r="B4564" s="46">
        <f>'Contractors'!Y528</f>
        <v/>
      </c>
      <c r="C4564" s="84">
        <f>'Contractors'!W528</f>
        <v/>
      </c>
      <c r="D4564" s="46">
        <f>'Contractors'!X528</f>
        <v/>
      </c>
      <c r="E4564" s="46">
        <f>IF(OR(B4564="",C4564="",D4564=""),"",D4564*100000+(C4564-DATE(2000,1,1))+ROW()/100000)</f>
        <v/>
      </c>
      <c r="F4564" s="46">
        <f>IF(E4564="","",IF(C4564&gt;WeekEndDate,"",E4564))</f>
        <v/>
      </c>
    </row>
    <row r="4565">
      <c r="A4565" t="inlineStr">
        <is>
          <t>Contractors</t>
        </is>
      </c>
      <c r="B4565" s="46">
        <f>'Contractors'!Y529</f>
        <v/>
      </c>
      <c r="C4565" s="84">
        <f>'Contractors'!W529</f>
        <v/>
      </c>
      <c r="D4565" s="46">
        <f>'Contractors'!X529</f>
        <v/>
      </c>
      <c r="E4565" s="46">
        <f>IF(OR(B4565="",C4565="",D4565=""),"",D4565*100000+(C4565-DATE(2000,1,1))+ROW()/100000)</f>
        <v/>
      </c>
      <c r="F4565" s="46">
        <f>IF(E4565="","",IF(C4565&gt;WeekEndDate,"",E4565))</f>
        <v/>
      </c>
    </row>
    <row r="4566">
      <c r="A4566" t="inlineStr">
        <is>
          <t>Contractors</t>
        </is>
      </c>
      <c r="B4566" s="46">
        <f>'Contractors'!Y530</f>
        <v/>
      </c>
      <c r="C4566" s="84">
        <f>'Contractors'!W530</f>
        <v/>
      </c>
      <c r="D4566" s="46">
        <f>'Contractors'!X530</f>
        <v/>
      </c>
      <c r="E4566" s="46">
        <f>IF(OR(B4566="",C4566="",D4566=""),"",D4566*100000+(C4566-DATE(2000,1,1))+ROW()/100000)</f>
        <v/>
      </c>
      <c r="F4566" s="46">
        <f>IF(E4566="","",IF(C4566&gt;WeekEndDate,"",E4566))</f>
        <v/>
      </c>
    </row>
    <row r="4567">
      <c r="A4567" t="inlineStr">
        <is>
          <t>Contractors</t>
        </is>
      </c>
      <c r="B4567" s="46">
        <f>'Contractors'!Y531</f>
        <v/>
      </c>
      <c r="C4567" s="84">
        <f>'Contractors'!W531</f>
        <v/>
      </c>
      <c r="D4567" s="46">
        <f>'Contractors'!X531</f>
        <v/>
      </c>
      <c r="E4567" s="46">
        <f>IF(OR(B4567="",C4567="",D4567=""),"",D4567*100000+(C4567-DATE(2000,1,1))+ROW()/100000)</f>
        <v/>
      </c>
      <c r="F4567" s="46">
        <f>IF(E4567="","",IF(C4567&gt;WeekEndDate,"",E4567))</f>
        <v/>
      </c>
    </row>
    <row r="4568">
      <c r="A4568" t="inlineStr">
        <is>
          <t>Contractors</t>
        </is>
      </c>
      <c r="B4568" s="46">
        <f>'Contractors'!Y532</f>
        <v/>
      </c>
      <c r="C4568" s="84">
        <f>'Contractors'!W532</f>
        <v/>
      </c>
      <c r="D4568" s="46">
        <f>'Contractors'!X532</f>
        <v/>
      </c>
      <c r="E4568" s="46">
        <f>IF(OR(B4568="",C4568="",D4568=""),"",D4568*100000+(C4568-DATE(2000,1,1))+ROW()/100000)</f>
        <v/>
      </c>
      <c r="F4568" s="46">
        <f>IF(E4568="","",IF(C4568&gt;WeekEndDate,"",E4568))</f>
        <v/>
      </c>
    </row>
    <row r="4569">
      <c r="A4569" t="inlineStr">
        <is>
          <t>Contractors</t>
        </is>
      </c>
      <c r="B4569" s="46">
        <f>'Contractors'!Y533</f>
        <v/>
      </c>
      <c r="C4569" s="84">
        <f>'Contractors'!W533</f>
        <v/>
      </c>
      <c r="D4569" s="46">
        <f>'Contractors'!X533</f>
        <v/>
      </c>
      <c r="E4569" s="46">
        <f>IF(OR(B4569="",C4569="",D4569=""),"",D4569*100000+(C4569-DATE(2000,1,1))+ROW()/100000)</f>
        <v/>
      </c>
      <c r="F4569" s="46">
        <f>IF(E4569="","",IF(C4569&gt;WeekEndDate,"",E4569))</f>
        <v/>
      </c>
    </row>
    <row r="4570">
      <c r="A4570" t="inlineStr">
        <is>
          <t>Contractors</t>
        </is>
      </c>
      <c r="B4570" s="46">
        <f>'Contractors'!Y534</f>
        <v/>
      </c>
      <c r="C4570" s="84">
        <f>'Contractors'!W534</f>
        <v/>
      </c>
      <c r="D4570" s="46">
        <f>'Contractors'!X534</f>
        <v/>
      </c>
      <c r="E4570" s="46">
        <f>IF(OR(B4570="",C4570="",D4570=""),"",D4570*100000+(C4570-DATE(2000,1,1))+ROW()/100000)</f>
        <v/>
      </c>
      <c r="F4570" s="46">
        <f>IF(E4570="","",IF(C4570&gt;WeekEndDate,"",E4570))</f>
        <v/>
      </c>
    </row>
    <row r="4571">
      <c r="A4571" t="inlineStr">
        <is>
          <t>Contractors</t>
        </is>
      </c>
      <c r="B4571" s="46">
        <f>'Contractors'!Y535</f>
        <v/>
      </c>
      <c r="C4571" s="84">
        <f>'Contractors'!W535</f>
        <v/>
      </c>
      <c r="D4571" s="46">
        <f>'Contractors'!X535</f>
        <v/>
      </c>
      <c r="E4571" s="46">
        <f>IF(OR(B4571="",C4571="",D4571=""),"",D4571*100000+(C4571-DATE(2000,1,1))+ROW()/100000)</f>
        <v/>
      </c>
      <c r="F4571" s="46">
        <f>IF(E4571="","",IF(C4571&gt;WeekEndDate,"",E4571))</f>
        <v/>
      </c>
    </row>
    <row r="4572">
      <c r="A4572" t="inlineStr">
        <is>
          <t>Contractors</t>
        </is>
      </c>
      <c r="B4572" s="46">
        <f>'Contractors'!Y536</f>
        <v/>
      </c>
      <c r="C4572" s="84">
        <f>'Contractors'!W536</f>
        <v/>
      </c>
      <c r="D4572" s="46">
        <f>'Contractors'!X536</f>
        <v/>
      </c>
      <c r="E4572" s="46">
        <f>IF(OR(B4572="",C4572="",D4572=""),"",D4572*100000+(C4572-DATE(2000,1,1))+ROW()/100000)</f>
        <v/>
      </c>
      <c r="F4572" s="46">
        <f>IF(E4572="","",IF(C4572&gt;WeekEndDate,"",E4572))</f>
        <v/>
      </c>
    </row>
    <row r="4573">
      <c r="A4573" t="inlineStr">
        <is>
          <t>Contractors</t>
        </is>
      </c>
      <c r="B4573" s="46">
        <f>'Contractors'!Y537</f>
        <v/>
      </c>
      <c r="C4573" s="84">
        <f>'Contractors'!W537</f>
        <v/>
      </c>
      <c r="D4573" s="46">
        <f>'Contractors'!X537</f>
        <v/>
      </c>
      <c r="E4573" s="46">
        <f>IF(OR(B4573="",C4573="",D4573=""),"",D4573*100000+(C4573-DATE(2000,1,1))+ROW()/100000)</f>
        <v/>
      </c>
      <c r="F4573" s="46">
        <f>IF(E4573="","",IF(C4573&gt;WeekEndDate,"",E4573))</f>
        <v/>
      </c>
    </row>
    <row r="4574">
      <c r="A4574" t="inlineStr">
        <is>
          <t>Contractors</t>
        </is>
      </c>
      <c r="B4574" s="46">
        <f>'Contractors'!Y538</f>
        <v/>
      </c>
      <c r="C4574" s="84">
        <f>'Contractors'!W538</f>
        <v/>
      </c>
      <c r="D4574" s="46">
        <f>'Contractors'!X538</f>
        <v/>
      </c>
      <c r="E4574" s="46">
        <f>IF(OR(B4574="",C4574="",D4574=""),"",D4574*100000+(C4574-DATE(2000,1,1))+ROW()/100000)</f>
        <v/>
      </c>
      <c r="F4574" s="46">
        <f>IF(E4574="","",IF(C4574&gt;WeekEndDate,"",E4574))</f>
        <v/>
      </c>
    </row>
    <row r="4575">
      <c r="A4575" t="inlineStr">
        <is>
          <t>Contractors</t>
        </is>
      </c>
      <c r="B4575" s="46">
        <f>'Contractors'!Y539</f>
        <v/>
      </c>
      <c r="C4575" s="84">
        <f>'Contractors'!W539</f>
        <v/>
      </c>
      <c r="D4575" s="46">
        <f>'Contractors'!X539</f>
        <v/>
      </c>
      <c r="E4575" s="46">
        <f>IF(OR(B4575="",C4575="",D4575=""),"",D4575*100000+(C4575-DATE(2000,1,1))+ROW()/100000)</f>
        <v/>
      </c>
      <c r="F4575" s="46">
        <f>IF(E4575="","",IF(C4575&gt;WeekEndDate,"",E4575))</f>
        <v/>
      </c>
    </row>
    <row r="4576">
      <c r="A4576" t="inlineStr">
        <is>
          <t>Contractors</t>
        </is>
      </c>
      <c r="B4576" s="46">
        <f>'Contractors'!Y540</f>
        <v/>
      </c>
      <c r="C4576" s="84">
        <f>'Contractors'!W540</f>
        <v/>
      </c>
      <c r="D4576" s="46">
        <f>'Contractors'!X540</f>
        <v/>
      </c>
      <c r="E4576" s="46">
        <f>IF(OR(B4576="",C4576="",D4576=""),"",D4576*100000+(C4576-DATE(2000,1,1))+ROW()/100000)</f>
        <v/>
      </c>
      <c r="F4576" s="46">
        <f>IF(E4576="","",IF(C4576&gt;WeekEndDate,"",E4576))</f>
        <v/>
      </c>
    </row>
    <row r="4577">
      <c r="A4577" t="inlineStr">
        <is>
          <t>Contractors</t>
        </is>
      </c>
      <c r="B4577" s="46">
        <f>'Contractors'!Y541</f>
        <v/>
      </c>
      <c r="C4577" s="84">
        <f>'Contractors'!W541</f>
        <v/>
      </c>
      <c r="D4577" s="46">
        <f>'Contractors'!X541</f>
        <v/>
      </c>
      <c r="E4577" s="46">
        <f>IF(OR(B4577="",C4577="",D4577=""),"",D4577*100000+(C4577-DATE(2000,1,1))+ROW()/100000)</f>
        <v/>
      </c>
      <c r="F4577" s="46">
        <f>IF(E4577="","",IF(C4577&gt;WeekEndDate,"",E4577))</f>
        <v/>
      </c>
    </row>
    <row r="4578">
      <c r="A4578" t="inlineStr">
        <is>
          <t>Contractors</t>
        </is>
      </c>
      <c r="B4578" s="46">
        <f>'Contractors'!Y542</f>
        <v/>
      </c>
      <c r="C4578" s="84">
        <f>'Contractors'!W542</f>
        <v/>
      </c>
      <c r="D4578" s="46">
        <f>'Contractors'!X542</f>
        <v/>
      </c>
      <c r="E4578" s="46">
        <f>IF(OR(B4578="",C4578="",D4578=""),"",D4578*100000+(C4578-DATE(2000,1,1))+ROW()/100000)</f>
        <v/>
      </c>
      <c r="F4578" s="46">
        <f>IF(E4578="","",IF(C4578&gt;WeekEndDate,"",E4578))</f>
        <v/>
      </c>
    </row>
    <row r="4579">
      <c r="A4579" t="inlineStr">
        <is>
          <t>Contractors</t>
        </is>
      </c>
      <c r="B4579" s="46">
        <f>'Contractors'!Y543</f>
        <v/>
      </c>
      <c r="C4579" s="84">
        <f>'Contractors'!W543</f>
        <v/>
      </c>
      <c r="D4579" s="46">
        <f>'Contractors'!X543</f>
        <v/>
      </c>
      <c r="E4579" s="46">
        <f>IF(OR(B4579="",C4579="",D4579=""),"",D4579*100000+(C4579-DATE(2000,1,1))+ROW()/100000)</f>
        <v/>
      </c>
      <c r="F4579" s="46">
        <f>IF(E4579="","",IF(C4579&gt;WeekEndDate,"",E4579))</f>
        <v/>
      </c>
    </row>
    <row r="4580">
      <c r="A4580" t="inlineStr">
        <is>
          <t>Contractors</t>
        </is>
      </c>
      <c r="B4580" s="46">
        <f>'Contractors'!Y544</f>
        <v/>
      </c>
      <c r="C4580" s="84">
        <f>'Contractors'!W544</f>
        <v/>
      </c>
      <c r="D4580" s="46">
        <f>'Contractors'!X544</f>
        <v/>
      </c>
      <c r="E4580" s="46">
        <f>IF(OR(B4580="",C4580="",D4580=""),"",D4580*100000+(C4580-DATE(2000,1,1))+ROW()/100000)</f>
        <v/>
      </c>
      <c r="F4580" s="46">
        <f>IF(E4580="","",IF(C4580&gt;WeekEndDate,"",E4580))</f>
        <v/>
      </c>
    </row>
    <row r="4581">
      <c r="A4581" t="inlineStr">
        <is>
          <t>Contractors</t>
        </is>
      </c>
      <c r="B4581" s="46">
        <f>'Contractors'!Y545</f>
        <v/>
      </c>
      <c r="C4581" s="84">
        <f>'Contractors'!W545</f>
        <v/>
      </c>
      <c r="D4581" s="46">
        <f>'Contractors'!X545</f>
        <v/>
      </c>
      <c r="E4581" s="46">
        <f>IF(OR(B4581="",C4581="",D4581=""),"",D4581*100000+(C4581-DATE(2000,1,1))+ROW()/100000)</f>
        <v/>
      </c>
      <c r="F4581" s="46">
        <f>IF(E4581="","",IF(C4581&gt;WeekEndDate,"",E4581))</f>
        <v/>
      </c>
    </row>
    <row r="4582">
      <c r="A4582" t="inlineStr">
        <is>
          <t>Contractors</t>
        </is>
      </c>
      <c r="B4582" s="46">
        <f>'Contractors'!Y546</f>
        <v/>
      </c>
      <c r="C4582" s="84">
        <f>'Contractors'!W546</f>
        <v/>
      </c>
      <c r="D4582" s="46">
        <f>'Contractors'!X546</f>
        <v/>
      </c>
      <c r="E4582" s="46">
        <f>IF(OR(B4582="",C4582="",D4582=""),"",D4582*100000+(C4582-DATE(2000,1,1))+ROW()/100000)</f>
        <v/>
      </c>
      <c r="F4582" s="46">
        <f>IF(E4582="","",IF(C4582&gt;WeekEndDate,"",E4582))</f>
        <v/>
      </c>
    </row>
    <row r="4583">
      <c r="A4583" t="inlineStr">
        <is>
          <t>Contractors</t>
        </is>
      </c>
      <c r="B4583" s="46">
        <f>'Contractors'!Y547</f>
        <v/>
      </c>
      <c r="C4583" s="84">
        <f>'Contractors'!W547</f>
        <v/>
      </c>
      <c r="D4583" s="46">
        <f>'Contractors'!X547</f>
        <v/>
      </c>
      <c r="E4583" s="46">
        <f>IF(OR(B4583="",C4583="",D4583=""),"",D4583*100000+(C4583-DATE(2000,1,1))+ROW()/100000)</f>
        <v/>
      </c>
      <c r="F4583" s="46">
        <f>IF(E4583="","",IF(C4583&gt;WeekEndDate,"",E4583))</f>
        <v/>
      </c>
    </row>
    <row r="4584">
      <c r="A4584" t="inlineStr">
        <is>
          <t>Contractors</t>
        </is>
      </c>
      <c r="B4584" s="46">
        <f>'Contractors'!Y548</f>
        <v/>
      </c>
      <c r="C4584" s="84">
        <f>'Contractors'!W548</f>
        <v/>
      </c>
      <c r="D4584" s="46">
        <f>'Contractors'!X548</f>
        <v/>
      </c>
      <c r="E4584" s="46">
        <f>IF(OR(B4584="",C4584="",D4584=""),"",D4584*100000+(C4584-DATE(2000,1,1))+ROW()/100000)</f>
        <v/>
      </c>
      <c r="F4584" s="46">
        <f>IF(E4584="","",IF(C4584&gt;WeekEndDate,"",E4584))</f>
        <v/>
      </c>
    </row>
    <row r="4585">
      <c r="A4585" t="inlineStr">
        <is>
          <t>Contractors</t>
        </is>
      </c>
      <c r="B4585" s="46">
        <f>'Contractors'!Y549</f>
        <v/>
      </c>
      <c r="C4585" s="84">
        <f>'Contractors'!W549</f>
        <v/>
      </c>
      <c r="D4585" s="46">
        <f>'Contractors'!X549</f>
        <v/>
      </c>
      <c r="E4585" s="46">
        <f>IF(OR(B4585="",C4585="",D4585=""),"",D4585*100000+(C4585-DATE(2000,1,1))+ROW()/100000)</f>
        <v/>
      </c>
      <c r="F4585" s="46">
        <f>IF(E4585="","",IF(C4585&gt;WeekEndDate,"",E4585))</f>
        <v/>
      </c>
    </row>
    <row r="4586">
      <c r="A4586" t="inlineStr">
        <is>
          <t>Contractors</t>
        </is>
      </c>
      <c r="B4586" s="46">
        <f>'Contractors'!Y550</f>
        <v/>
      </c>
      <c r="C4586" s="84">
        <f>'Contractors'!W550</f>
        <v/>
      </c>
      <c r="D4586" s="46">
        <f>'Contractors'!X550</f>
        <v/>
      </c>
      <c r="E4586" s="46">
        <f>IF(OR(B4586="",C4586="",D4586=""),"",D4586*100000+(C4586-DATE(2000,1,1))+ROW()/100000)</f>
        <v/>
      </c>
      <c r="F4586" s="46">
        <f>IF(E4586="","",IF(C4586&gt;WeekEndDate,"",E4586))</f>
        <v/>
      </c>
    </row>
    <row r="4587">
      <c r="A4587" t="inlineStr">
        <is>
          <t>Contractors</t>
        </is>
      </c>
      <c r="B4587" s="46">
        <f>'Contractors'!Y551</f>
        <v/>
      </c>
      <c r="C4587" s="84">
        <f>'Contractors'!W551</f>
        <v/>
      </c>
      <c r="D4587" s="46">
        <f>'Contractors'!X551</f>
        <v/>
      </c>
      <c r="E4587" s="46">
        <f>IF(OR(B4587="",C4587="",D4587=""),"",D4587*100000+(C4587-DATE(2000,1,1))+ROW()/100000)</f>
        <v/>
      </c>
      <c r="F4587" s="46">
        <f>IF(E4587="","",IF(C4587&gt;WeekEndDate,"",E4587))</f>
        <v/>
      </c>
    </row>
    <row r="4588">
      <c r="A4588" t="inlineStr">
        <is>
          <t>Contractors</t>
        </is>
      </c>
      <c r="B4588" s="46">
        <f>'Contractors'!Y552</f>
        <v/>
      </c>
      <c r="C4588" s="84">
        <f>'Contractors'!W552</f>
        <v/>
      </c>
      <c r="D4588" s="46">
        <f>'Contractors'!X552</f>
        <v/>
      </c>
      <c r="E4588" s="46">
        <f>IF(OR(B4588="",C4588="",D4588=""),"",D4588*100000+(C4588-DATE(2000,1,1))+ROW()/100000)</f>
        <v/>
      </c>
      <c r="F4588" s="46">
        <f>IF(E4588="","",IF(C4588&gt;WeekEndDate,"",E4588))</f>
        <v/>
      </c>
    </row>
    <row r="4589">
      <c r="A4589" t="inlineStr">
        <is>
          <t>Contractors</t>
        </is>
      </c>
      <c r="B4589" s="46">
        <f>'Contractors'!Y553</f>
        <v/>
      </c>
      <c r="C4589" s="84">
        <f>'Contractors'!W553</f>
        <v/>
      </c>
      <c r="D4589" s="46">
        <f>'Contractors'!X553</f>
        <v/>
      </c>
      <c r="E4589" s="46">
        <f>IF(OR(B4589="",C4589="",D4589=""),"",D4589*100000+(C4589-DATE(2000,1,1))+ROW()/100000)</f>
        <v/>
      </c>
      <c r="F4589" s="46">
        <f>IF(E4589="","",IF(C4589&gt;WeekEndDate,"",E4589))</f>
        <v/>
      </c>
    </row>
    <row r="4590">
      <c r="A4590" t="inlineStr">
        <is>
          <t>Contractors</t>
        </is>
      </c>
      <c r="B4590" s="46">
        <f>'Contractors'!Y554</f>
        <v/>
      </c>
      <c r="C4590" s="84">
        <f>'Contractors'!W554</f>
        <v/>
      </c>
      <c r="D4590" s="46">
        <f>'Contractors'!X554</f>
        <v/>
      </c>
      <c r="E4590" s="46">
        <f>IF(OR(B4590="",C4590="",D4590=""),"",D4590*100000+(C4590-DATE(2000,1,1))+ROW()/100000)</f>
        <v/>
      </c>
      <c r="F4590" s="46">
        <f>IF(E4590="","",IF(C4590&gt;WeekEndDate,"",E4590))</f>
        <v/>
      </c>
    </row>
    <row r="4591">
      <c r="A4591" t="inlineStr">
        <is>
          <t>Contractors</t>
        </is>
      </c>
      <c r="B4591" s="46">
        <f>'Contractors'!Y555</f>
        <v/>
      </c>
      <c r="C4591" s="84">
        <f>'Contractors'!W555</f>
        <v/>
      </c>
      <c r="D4591" s="46">
        <f>'Contractors'!X555</f>
        <v/>
      </c>
      <c r="E4591" s="46">
        <f>IF(OR(B4591="",C4591="",D4591=""),"",D4591*100000+(C4591-DATE(2000,1,1))+ROW()/100000)</f>
        <v/>
      </c>
      <c r="F4591" s="46">
        <f>IF(E4591="","",IF(C4591&gt;WeekEndDate,"",E4591))</f>
        <v/>
      </c>
    </row>
    <row r="4592">
      <c r="A4592" t="inlineStr">
        <is>
          <t>Contractors</t>
        </is>
      </c>
      <c r="B4592" s="46">
        <f>'Contractors'!Y556</f>
        <v/>
      </c>
      <c r="C4592" s="84">
        <f>'Contractors'!W556</f>
        <v/>
      </c>
      <c r="D4592" s="46">
        <f>'Contractors'!X556</f>
        <v/>
      </c>
      <c r="E4592" s="46">
        <f>IF(OR(B4592="",C4592="",D4592=""),"",D4592*100000+(C4592-DATE(2000,1,1))+ROW()/100000)</f>
        <v/>
      </c>
      <c r="F4592" s="46">
        <f>IF(E4592="","",IF(C4592&gt;WeekEndDate,"",E4592))</f>
        <v/>
      </c>
    </row>
    <row r="4593">
      <c r="A4593" t="inlineStr">
        <is>
          <t>Contractors</t>
        </is>
      </c>
      <c r="B4593" s="46">
        <f>'Contractors'!Y557</f>
        <v/>
      </c>
      <c r="C4593" s="84">
        <f>'Contractors'!W557</f>
        <v/>
      </c>
      <c r="D4593" s="46">
        <f>'Contractors'!X557</f>
        <v/>
      </c>
      <c r="E4593" s="46">
        <f>IF(OR(B4593="",C4593="",D4593=""),"",D4593*100000+(C4593-DATE(2000,1,1))+ROW()/100000)</f>
        <v/>
      </c>
      <c r="F4593" s="46">
        <f>IF(E4593="","",IF(C4593&gt;WeekEndDate,"",E4593))</f>
        <v/>
      </c>
    </row>
    <row r="4594">
      <c r="A4594" t="inlineStr">
        <is>
          <t>Contractors</t>
        </is>
      </c>
      <c r="B4594" s="46">
        <f>'Contractors'!Y558</f>
        <v/>
      </c>
      <c r="C4594" s="84">
        <f>'Contractors'!W558</f>
        <v/>
      </c>
      <c r="D4594" s="46">
        <f>'Contractors'!X558</f>
        <v/>
      </c>
      <c r="E4594" s="46">
        <f>IF(OR(B4594="",C4594="",D4594=""),"",D4594*100000+(C4594-DATE(2000,1,1))+ROW()/100000)</f>
        <v/>
      </c>
      <c r="F4594" s="46">
        <f>IF(E4594="","",IF(C4594&gt;WeekEndDate,"",E4594))</f>
        <v/>
      </c>
    </row>
    <row r="4595">
      <c r="A4595" t="inlineStr">
        <is>
          <t>Contractors</t>
        </is>
      </c>
      <c r="B4595" s="46">
        <f>'Contractors'!Y559</f>
        <v/>
      </c>
      <c r="C4595" s="84">
        <f>'Contractors'!W559</f>
        <v/>
      </c>
      <c r="D4595" s="46">
        <f>'Contractors'!X559</f>
        <v/>
      </c>
      <c r="E4595" s="46">
        <f>IF(OR(B4595="",C4595="",D4595=""),"",D4595*100000+(C4595-DATE(2000,1,1))+ROW()/100000)</f>
        <v/>
      </c>
      <c r="F4595" s="46">
        <f>IF(E4595="","",IF(C4595&gt;WeekEndDate,"",E4595))</f>
        <v/>
      </c>
    </row>
    <row r="4596">
      <c r="A4596" t="inlineStr">
        <is>
          <t>Contractors</t>
        </is>
      </c>
      <c r="B4596" s="46">
        <f>'Contractors'!Y560</f>
        <v/>
      </c>
      <c r="C4596" s="84">
        <f>'Contractors'!W560</f>
        <v/>
      </c>
      <c r="D4596" s="46">
        <f>'Contractors'!X560</f>
        <v/>
      </c>
      <c r="E4596" s="46">
        <f>IF(OR(B4596="",C4596="",D4596=""),"",D4596*100000+(C4596-DATE(2000,1,1))+ROW()/100000)</f>
        <v/>
      </c>
      <c r="F4596" s="46">
        <f>IF(E4596="","",IF(C4596&gt;WeekEndDate,"",E4596))</f>
        <v/>
      </c>
    </row>
    <row r="4597">
      <c r="A4597" t="inlineStr">
        <is>
          <t>Contractors</t>
        </is>
      </c>
      <c r="B4597" s="46">
        <f>'Contractors'!Y561</f>
        <v/>
      </c>
      <c r="C4597" s="84">
        <f>'Contractors'!W561</f>
        <v/>
      </c>
      <c r="D4597" s="46">
        <f>'Contractors'!X561</f>
        <v/>
      </c>
      <c r="E4597" s="46">
        <f>IF(OR(B4597="",C4597="",D4597=""),"",D4597*100000+(C4597-DATE(2000,1,1))+ROW()/100000)</f>
        <v/>
      </c>
      <c r="F4597" s="46">
        <f>IF(E4597="","",IF(C4597&gt;WeekEndDate,"",E4597))</f>
        <v/>
      </c>
    </row>
    <row r="4598">
      <c r="A4598" t="inlineStr">
        <is>
          <t>Contractors</t>
        </is>
      </c>
      <c r="B4598" s="46">
        <f>'Contractors'!Y562</f>
        <v/>
      </c>
      <c r="C4598" s="84">
        <f>'Contractors'!W562</f>
        <v/>
      </c>
      <c r="D4598" s="46">
        <f>'Contractors'!X562</f>
        <v/>
      </c>
      <c r="E4598" s="46">
        <f>IF(OR(B4598="",C4598="",D4598=""),"",D4598*100000+(C4598-DATE(2000,1,1))+ROW()/100000)</f>
        <v/>
      </c>
      <c r="F4598" s="46">
        <f>IF(E4598="","",IF(C4598&gt;WeekEndDate,"",E4598))</f>
        <v/>
      </c>
    </row>
    <row r="4599">
      <c r="A4599" t="inlineStr">
        <is>
          <t>Contractors</t>
        </is>
      </c>
      <c r="B4599" s="46">
        <f>'Contractors'!Y563</f>
        <v/>
      </c>
      <c r="C4599" s="84">
        <f>'Contractors'!W563</f>
        <v/>
      </c>
      <c r="D4599" s="46">
        <f>'Contractors'!X563</f>
        <v/>
      </c>
      <c r="E4599" s="46">
        <f>IF(OR(B4599="",C4599="",D4599=""),"",D4599*100000+(C4599-DATE(2000,1,1))+ROW()/100000)</f>
        <v/>
      </c>
      <c r="F4599" s="46">
        <f>IF(E4599="","",IF(C4599&gt;WeekEndDate,"",E4599))</f>
        <v/>
      </c>
    </row>
    <row r="4600">
      <c r="A4600" t="inlineStr">
        <is>
          <t>Contractors</t>
        </is>
      </c>
      <c r="B4600" s="46">
        <f>'Contractors'!Y564</f>
        <v/>
      </c>
      <c r="C4600" s="84">
        <f>'Contractors'!W564</f>
        <v/>
      </c>
      <c r="D4600" s="46">
        <f>'Contractors'!X564</f>
        <v/>
      </c>
      <c r="E4600" s="46">
        <f>IF(OR(B4600="",C4600="",D4600=""),"",D4600*100000+(C4600-DATE(2000,1,1))+ROW()/100000)</f>
        <v/>
      </c>
      <c r="F4600" s="46">
        <f>IF(E4600="","",IF(C4600&gt;WeekEndDate,"",E4600))</f>
        <v/>
      </c>
    </row>
    <row r="4601">
      <c r="A4601" t="inlineStr">
        <is>
          <t>Contractors</t>
        </is>
      </c>
      <c r="B4601" s="46">
        <f>'Contractors'!Y565</f>
        <v/>
      </c>
      <c r="C4601" s="84">
        <f>'Contractors'!W565</f>
        <v/>
      </c>
      <c r="D4601" s="46">
        <f>'Contractors'!X565</f>
        <v/>
      </c>
      <c r="E4601" s="46">
        <f>IF(OR(B4601="",C4601="",D4601=""),"",D4601*100000+(C4601-DATE(2000,1,1))+ROW()/100000)</f>
        <v/>
      </c>
      <c r="F4601" s="46">
        <f>IF(E4601="","",IF(C4601&gt;WeekEndDate,"",E4601))</f>
        <v/>
      </c>
    </row>
    <row r="4602">
      <c r="A4602" t="inlineStr">
        <is>
          <t>Contractors</t>
        </is>
      </c>
      <c r="B4602" s="46">
        <f>'Contractors'!Y566</f>
        <v/>
      </c>
      <c r="C4602" s="84">
        <f>'Contractors'!W566</f>
        <v/>
      </c>
      <c r="D4602" s="46">
        <f>'Contractors'!X566</f>
        <v/>
      </c>
      <c r="E4602" s="46">
        <f>IF(OR(B4602="",C4602="",D4602=""),"",D4602*100000+(C4602-DATE(2000,1,1))+ROW()/100000)</f>
        <v/>
      </c>
      <c r="F4602" s="46">
        <f>IF(E4602="","",IF(C4602&gt;WeekEndDate,"",E4602))</f>
        <v/>
      </c>
    </row>
    <row r="4603">
      <c r="A4603" t="inlineStr">
        <is>
          <t>Contractors</t>
        </is>
      </c>
      <c r="B4603" s="46">
        <f>'Contractors'!Y567</f>
        <v/>
      </c>
      <c r="C4603" s="84">
        <f>'Contractors'!W567</f>
        <v/>
      </c>
      <c r="D4603" s="46">
        <f>'Contractors'!X567</f>
        <v/>
      </c>
      <c r="E4603" s="46">
        <f>IF(OR(B4603="",C4603="",D4603=""),"",D4603*100000+(C4603-DATE(2000,1,1))+ROW()/100000)</f>
        <v/>
      </c>
      <c r="F4603" s="46">
        <f>IF(E4603="","",IF(C4603&gt;WeekEndDate,"",E4603))</f>
        <v/>
      </c>
    </row>
    <row r="4604">
      <c r="A4604" t="inlineStr">
        <is>
          <t>Contractors</t>
        </is>
      </c>
      <c r="B4604" s="46">
        <f>'Contractors'!Y568</f>
        <v/>
      </c>
      <c r="C4604" s="84">
        <f>'Contractors'!W568</f>
        <v/>
      </c>
      <c r="D4604" s="46">
        <f>'Contractors'!X568</f>
        <v/>
      </c>
      <c r="E4604" s="46">
        <f>IF(OR(B4604="",C4604="",D4604=""),"",D4604*100000+(C4604-DATE(2000,1,1))+ROW()/100000)</f>
        <v/>
      </c>
      <c r="F4604" s="46">
        <f>IF(E4604="","",IF(C4604&gt;WeekEndDate,"",E4604))</f>
        <v/>
      </c>
    </row>
    <row r="4605">
      <c r="A4605" t="inlineStr">
        <is>
          <t>Contractors</t>
        </is>
      </c>
      <c r="B4605" s="46">
        <f>'Contractors'!Y569</f>
        <v/>
      </c>
      <c r="C4605" s="84">
        <f>'Contractors'!W569</f>
        <v/>
      </c>
      <c r="D4605" s="46">
        <f>'Contractors'!X569</f>
        <v/>
      </c>
      <c r="E4605" s="46">
        <f>IF(OR(B4605="",C4605="",D4605=""),"",D4605*100000+(C4605-DATE(2000,1,1))+ROW()/100000)</f>
        <v/>
      </c>
      <c r="F4605" s="46">
        <f>IF(E4605="","",IF(C4605&gt;WeekEndDate,"",E4605))</f>
        <v/>
      </c>
    </row>
    <row r="4606">
      <c r="A4606" t="inlineStr">
        <is>
          <t>Contractors</t>
        </is>
      </c>
      <c r="B4606" s="46">
        <f>'Contractors'!Y570</f>
        <v/>
      </c>
      <c r="C4606" s="84">
        <f>'Contractors'!W570</f>
        <v/>
      </c>
      <c r="D4606" s="46">
        <f>'Contractors'!X570</f>
        <v/>
      </c>
      <c r="E4606" s="46">
        <f>IF(OR(B4606="",C4606="",D4606=""),"",D4606*100000+(C4606-DATE(2000,1,1))+ROW()/100000)</f>
        <v/>
      </c>
      <c r="F4606" s="46">
        <f>IF(E4606="","",IF(C4606&gt;WeekEndDate,"",E4606))</f>
        <v/>
      </c>
    </row>
    <row r="4607">
      <c r="A4607" t="inlineStr">
        <is>
          <t>Contractors</t>
        </is>
      </c>
      <c r="B4607" s="46">
        <f>'Contractors'!Y571</f>
        <v/>
      </c>
      <c r="C4607" s="84">
        <f>'Contractors'!W571</f>
        <v/>
      </c>
      <c r="D4607" s="46">
        <f>'Contractors'!X571</f>
        <v/>
      </c>
      <c r="E4607" s="46">
        <f>IF(OR(B4607="",C4607="",D4607=""),"",D4607*100000+(C4607-DATE(2000,1,1))+ROW()/100000)</f>
        <v/>
      </c>
      <c r="F4607" s="46">
        <f>IF(E4607="","",IF(C4607&gt;WeekEndDate,"",E4607))</f>
        <v/>
      </c>
    </row>
    <row r="4608">
      <c r="A4608" t="inlineStr">
        <is>
          <t>Contractors</t>
        </is>
      </c>
      <c r="B4608" s="46">
        <f>'Contractors'!Y572</f>
        <v/>
      </c>
      <c r="C4608" s="84">
        <f>'Contractors'!W572</f>
        <v/>
      </c>
      <c r="D4608" s="46">
        <f>'Contractors'!X572</f>
        <v/>
      </c>
      <c r="E4608" s="46">
        <f>IF(OR(B4608="",C4608="",D4608=""),"",D4608*100000+(C4608-DATE(2000,1,1))+ROW()/100000)</f>
        <v/>
      </c>
      <c r="F4608" s="46">
        <f>IF(E4608="","",IF(C4608&gt;WeekEndDate,"",E4608))</f>
        <v/>
      </c>
    </row>
    <row r="4609">
      <c r="A4609" t="inlineStr">
        <is>
          <t>Contractors</t>
        </is>
      </c>
      <c r="B4609" s="46">
        <f>'Contractors'!Y573</f>
        <v/>
      </c>
      <c r="C4609" s="84">
        <f>'Contractors'!W573</f>
        <v/>
      </c>
      <c r="D4609" s="46">
        <f>'Contractors'!X573</f>
        <v/>
      </c>
      <c r="E4609" s="46">
        <f>IF(OR(B4609="",C4609="",D4609=""),"",D4609*100000+(C4609-DATE(2000,1,1))+ROW()/100000)</f>
        <v/>
      </c>
      <c r="F4609" s="46">
        <f>IF(E4609="","",IF(C4609&gt;WeekEndDate,"",E4609))</f>
        <v/>
      </c>
    </row>
    <row r="4610">
      <c r="A4610" t="inlineStr">
        <is>
          <t>Contractors</t>
        </is>
      </c>
      <c r="B4610" s="46">
        <f>'Contractors'!Y574</f>
        <v/>
      </c>
      <c r="C4610" s="84">
        <f>'Contractors'!W574</f>
        <v/>
      </c>
      <c r="D4610" s="46">
        <f>'Contractors'!X574</f>
        <v/>
      </c>
      <c r="E4610" s="46">
        <f>IF(OR(B4610="",C4610="",D4610=""),"",D4610*100000+(C4610-DATE(2000,1,1))+ROW()/100000)</f>
        <v/>
      </c>
      <c r="F4610" s="46">
        <f>IF(E4610="","",IF(C4610&gt;WeekEndDate,"",E4610))</f>
        <v/>
      </c>
    </row>
    <row r="4611">
      <c r="A4611" t="inlineStr">
        <is>
          <t>Contractors</t>
        </is>
      </c>
      <c r="B4611" s="46">
        <f>'Contractors'!Y575</f>
        <v/>
      </c>
      <c r="C4611" s="84">
        <f>'Contractors'!W575</f>
        <v/>
      </c>
      <c r="D4611" s="46">
        <f>'Contractors'!X575</f>
        <v/>
      </c>
      <c r="E4611" s="46">
        <f>IF(OR(B4611="",C4611="",D4611=""),"",D4611*100000+(C4611-DATE(2000,1,1))+ROW()/100000)</f>
        <v/>
      </c>
      <c r="F4611" s="46">
        <f>IF(E4611="","",IF(C4611&gt;WeekEndDate,"",E4611))</f>
        <v/>
      </c>
    </row>
    <row r="4612">
      <c r="A4612" t="inlineStr">
        <is>
          <t>Contractors</t>
        </is>
      </c>
      <c r="B4612" s="46">
        <f>'Contractors'!Y576</f>
        <v/>
      </c>
      <c r="C4612" s="84">
        <f>'Contractors'!W576</f>
        <v/>
      </c>
      <c r="D4612" s="46">
        <f>'Contractors'!X576</f>
        <v/>
      </c>
      <c r="E4612" s="46">
        <f>IF(OR(B4612="",C4612="",D4612=""),"",D4612*100000+(C4612-DATE(2000,1,1))+ROW()/100000)</f>
        <v/>
      </c>
      <c r="F4612" s="46">
        <f>IF(E4612="","",IF(C4612&gt;WeekEndDate,"",E4612))</f>
        <v/>
      </c>
    </row>
    <row r="4613">
      <c r="A4613" t="inlineStr">
        <is>
          <t>Contractors</t>
        </is>
      </c>
      <c r="B4613" s="46">
        <f>'Contractors'!Y577</f>
        <v/>
      </c>
      <c r="C4613" s="84">
        <f>'Contractors'!W577</f>
        <v/>
      </c>
      <c r="D4613" s="46">
        <f>'Contractors'!X577</f>
        <v/>
      </c>
      <c r="E4613" s="46">
        <f>IF(OR(B4613="",C4613="",D4613=""),"",D4613*100000+(C4613-DATE(2000,1,1))+ROW()/100000)</f>
        <v/>
      </c>
      <c r="F4613" s="46">
        <f>IF(E4613="","",IF(C4613&gt;WeekEndDate,"",E4613))</f>
        <v/>
      </c>
    </row>
    <row r="4614">
      <c r="A4614" t="inlineStr">
        <is>
          <t>Contractors</t>
        </is>
      </c>
      <c r="B4614" s="46">
        <f>'Contractors'!Y578</f>
        <v/>
      </c>
      <c r="C4614" s="84">
        <f>'Contractors'!W578</f>
        <v/>
      </c>
      <c r="D4614" s="46">
        <f>'Contractors'!X578</f>
        <v/>
      </c>
      <c r="E4614" s="46">
        <f>IF(OR(B4614="",C4614="",D4614=""),"",D4614*100000+(C4614-DATE(2000,1,1))+ROW()/100000)</f>
        <v/>
      </c>
      <c r="F4614" s="46">
        <f>IF(E4614="","",IF(C4614&gt;WeekEndDate,"",E4614))</f>
        <v/>
      </c>
    </row>
    <row r="4615">
      <c r="A4615" t="inlineStr">
        <is>
          <t>Contractors</t>
        </is>
      </c>
      <c r="B4615" s="46">
        <f>'Contractors'!Y579</f>
        <v/>
      </c>
      <c r="C4615" s="84">
        <f>'Contractors'!W579</f>
        <v/>
      </c>
      <c r="D4615" s="46">
        <f>'Contractors'!X579</f>
        <v/>
      </c>
      <c r="E4615" s="46">
        <f>IF(OR(B4615="",C4615="",D4615=""),"",D4615*100000+(C4615-DATE(2000,1,1))+ROW()/100000)</f>
        <v/>
      </c>
      <c r="F4615" s="46">
        <f>IF(E4615="","",IF(C4615&gt;WeekEndDate,"",E4615))</f>
        <v/>
      </c>
    </row>
    <row r="4616">
      <c r="A4616" t="inlineStr">
        <is>
          <t>Contractors</t>
        </is>
      </c>
      <c r="B4616" s="46">
        <f>'Contractors'!Y580</f>
        <v/>
      </c>
      <c r="C4616" s="84">
        <f>'Contractors'!W580</f>
        <v/>
      </c>
      <c r="D4616" s="46">
        <f>'Contractors'!X580</f>
        <v/>
      </c>
      <c r="E4616" s="46">
        <f>IF(OR(B4616="",C4616="",D4616=""),"",D4616*100000+(C4616-DATE(2000,1,1))+ROW()/100000)</f>
        <v/>
      </c>
      <c r="F4616" s="46">
        <f>IF(E4616="","",IF(C4616&gt;WeekEndDate,"",E4616))</f>
        <v/>
      </c>
    </row>
    <row r="4617">
      <c r="A4617" t="inlineStr">
        <is>
          <t>Contractors</t>
        </is>
      </c>
      <c r="B4617" s="46">
        <f>'Contractors'!Y581</f>
        <v/>
      </c>
      <c r="C4617" s="84">
        <f>'Contractors'!W581</f>
        <v/>
      </c>
      <c r="D4617" s="46">
        <f>'Contractors'!X581</f>
        <v/>
      </c>
      <c r="E4617" s="46">
        <f>IF(OR(B4617="",C4617="",D4617=""),"",D4617*100000+(C4617-DATE(2000,1,1))+ROW()/100000)</f>
        <v/>
      </c>
      <c r="F4617" s="46">
        <f>IF(E4617="","",IF(C4617&gt;WeekEndDate,"",E4617))</f>
        <v/>
      </c>
    </row>
    <row r="4618">
      <c r="A4618" t="inlineStr">
        <is>
          <t>Contractors</t>
        </is>
      </c>
      <c r="B4618" s="46">
        <f>'Contractors'!Y582</f>
        <v/>
      </c>
      <c r="C4618" s="84">
        <f>'Contractors'!W582</f>
        <v/>
      </c>
      <c r="D4618" s="46">
        <f>'Contractors'!X582</f>
        <v/>
      </c>
      <c r="E4618" s="46">
        <f>IF(OR(B4618="",C4618="",D4618=""),"",D4618*100000+(C4618-DATE(2000,1,1))+ROW()/100000)</f>
        <v/>
      </c>
      <c r="F4618" s="46">
        <f>IF(E4618="","",IF(C4618&gt;WeekEndDate,"",E4618))</f>
        <v/>
      </c>
    </row>
    <row r="4619">
      <c r="A4619" t="inlineStr">
        <is>
          <t>Contractors</t>
        </is>
      </c>
      <c r="B4619" s="46">
        <f>'Contractors'!Y583</f>
        <v/>
      </c>
      <c r="C4619" s="84">
        <f>'Contractors'!W583</f>
        <v/>
      </c>
      <c r="D4619" s="46">
        <f>'Contractors'!X583</f>
        <v/>
      </c>
      <c r="E4619" s="46">
        <f>IF(OR(B4619="",C4619="",D4619=""),"",D4619*100000+(C4619-DATE(2000,1,1))+ROW()/100000)</f>
        <v/>
      </c>
      <c r="F4619" s="46">
        <f>IF(E4619="","",IF(C4619&gt;WeekEndDate,"",E4619))</f>
        <v/>
      </c>
    </row>
    <row r="4620">
      <c r="A4620" t="inlineStr">
        <is>
          <t>Contractors</t>
        </is>
      </c>
      <c r="B4620" s="46">
        <f>'Contractors'!Y584</f>
        <v/>
      </c>
      <c r="C4620" s="84">
        <f>'Contractors'!W584</f>
        <v/>
      </c>
      <c r="D4620" s="46">
        <f>'Contractors'!X584</f>
        <v/>
      </c>
      <c r="E4620" s="46">
        <f>IF(OR(B4620="",C4620="",D4620=""),"",D4620*100000+(C4620-DATE(2000,1,1))+ROW()/100000)</f>
        <v/>
      </c>
      <c r="F4620" s="46">
        <f>IF(E4620="","",IF(C4620&gt;WeekEndDate,"",E4620))</f>
        <v/>
      </c>
    </row>
    <row r="4621">
      <c r="A4621" t="inlineStr">
        <is>
          <t>Contractors</t>
        </is>
      </c>
      <c r="B4621" s="46">
        <f>'Contractors'!Y585</f>
        <v/>
      </c>
      <c r="C4621" s="84">
        <f>'Contractors'!W585</f>
        <v/>
      </c>
      <c r="D4621" s="46">
        <f>'Contractors'!X585</f>
        <v/>
      </c>
      <c r="E4621" s="46">
        <f>IF(OR(B4621="",C4621="",D4621=""),"",D4621*100000+(C4621-DATE(2000,1,1))+ROW()/100000)</f>
        <v/>
      </c>
      <c r="F4621" s="46">
        <f>IF(E4621="","",IF(C4621&gt;WeekEndDate,"",E4621))</f>
        <v/>
      </c>
    </row>
    <row r="4622">
      <c r="A4622" t="inlineStr">
        <is>
          <t>Contractors</t>
        </is>
      </c>
      <c r="B4622" s="46">
        <f>'Contractors'!Y586</f>
        <v/>
      </c>
      <c r="C4622" s="84">
        <f>'Contractors'!W586</f>
        <v/>
      </c>
      <c r="D4622" s="46">
        <f>'Contractors'!X586</f>
        <v/>
      </c>
      <c r="E4622" s="46">
        <f>IF(OR(B4622="",C4622="",D4622=""),"",D4622*100000+(C4622-DATE(2000,1,1))+ROW()/100000)</f>
        <v/>
      </c>
      <c r="F4622" s="46">
        <f>IF(E4622="","",IF(C4622&gt;WeekEndDate,"",E4622))</f>
        <v/>
      </c>
    </row>
    <row r="4623">
      <c r="A4623" t="inlineStr">
        <is>
          <t>Contractors</t>
        </is>
      </c>
      <c r="B4623" s="46">
        <f>'Contractors'!Y587</f>
        <v/>
      </c>
      <c r="C4623" s="84">
        <f>'Contractors'!W587</f>
        <v/>
      </c>
      <c r="D4623" s="46">
        <f>'Contractors'!X587</f>
        <v/>
      </c>
      <c r="E4623" s="46">
        <f>IF(OR(B4623="",C4623="",D4623=""),"",D4623*100000+(C4623-DATE(2000,1,1))+ROW()/100000)</f>
        <v/>
      </c>
      <c r="F4623" s="46">
        <f>IF(E4623="","",IF(C4623&gt;WeekEndDate,"",E4623))</f>
        <v/>
      </c>
    </row>
    <row r="4624">
      <c r="A4624" t="inlineStr">
        <is>
          <t>Contractors</t>
        </is>
      </c>
      <c r="B4624" s="46">
        <f>'Contractors'!Y588</f>
        <v/>
      </c>
      <c r="C4624" s="84">
        <f>'Contractors'!W588</f>
        <v/>
      </c>
      <c r="D4624" s="46">
        <f>'Contractors'!X588</f>
        <v/>
      </c>
      <c r="E4624" s="46">
        <f>IF(OR(B4624="",C4624="",D4624=""),"",D4624*100000+(C4624-DATE(2000,1,1))+ROW()/100000)</f>
        <v/>
      </c>
      <c r="F4624" s="46">
        <f>IF(E4624="","",IF(C4624&gt;WeekEndDate,"",E4624))</f>
        <v/>
      </c>
    </row>
    <row r="4625">
      <c r="A4625" t="inlineStr">
        <is>
          <t>Contractors</t>
        </is>
      </c>
      <c r="B4625" s="46">
        <f>'Contractors'!Y589</f>
        <v/>
      </c>
      <c r="C4625" s="84">
        <f>'Contractors'!W589</f>
        <v/>
      </c>
      <c r="D4625" s="46">
        <f>'Contractors'!X589</f>
        <v/>
      </c>
      <c r="E4625" s="46">
        <f>IF(OR(B4625="",C4625="",D4625=""),"",D4625*100000+(C4625-DATE(2000,1,1))+ROW()/100000)</f>
        <v/>
      </c>
      <c r="F4625" s="46">
        <f>IF(E4625="","",IF(C4625&gt;WeekEndDate,"",E4625))</f>
        <v/>
      </c>
    </row>
    <row r="4626">
      <c r="A4626" t="inlineStr">
        <is>
          <t>Contractors</t>
        </is>
      </c>
      <c r="B4626" s="46">
        <f>'Contractors'!Y590</f>
        <v/>
      </c>
      <c r="C4626" s="84">
        <f>'Contractors'!W590</f>
        <v/>
      </c>
      <c r="D4626" s="46">
        <f>'Contractors'!X590</f>
        <v/>
      </c>
      <c r="E4626" s="46">
        <f>IF(OR(B4626="",C4626="",D4626=""),"",D4626*100000+(C4626-DATE(2000,1,1))+ROW()/100000)</f>
        <v/>
      </c>
      <c r="F4626" s="46">
        <f>IF(E4626="","",IF(C4626&gt;WeekEndDate,"",E4626))</f>
        <v/>
      </c>
    </row>
    <row r="4627">
      <c r="A4627" t="inlineStr">
        <is>
          <t>Contractors</t>
        </is>
      </c>
      <c r="B4627" s="46">
        <f>'Contractors'!Y591</f>
        <v/>
      </c>
      <c r="C4627" s="84">
        <f>'Contractors'!W591</f>
        <v/>
      </c>
      <c r="D4627" s="46">
        <f>'Contractors'!X591</f>
        <v/>
      </c>
      <c r="E4627" s="46">
        <f>IF(OR(B4627="",C4627="",D4627=""),"",D4627*100000+(C4627-DATE(2000,1,1))+ROW()/100000)</f>
        <v/>
      </c>
      <c r="F4627" s="46">
        <f>IF(E4627="","",IF(C4627&gt;WeekEndDate,"",E4627))</f>
        <v/>
      </c>
    </row>
    <row r="4628">
      <c r="A4628" t="inlineStr">
        <is>
          <t>Contractors</t>
        </is>
      </c>
      <c r="B4628" s="46">
        <f>'Contractors'!Y592</f>
        <v/>
      </c>
      <c r="C4628" s="84">
        <f>'Contractors'!W592</f>
        <v/>
      </c>
      <c r="D4628" s="46">
        <f>'Contractors'!X592</f>
        <v/>
      </c>
      <c r="E4628" s="46">
        <f>IF(OR(B4628="",C4628="",D4628=""),"",D4628*100000+(C4628-DATE(2000,1,1))+ROW()/100000)</f>
        <v/>
      </c>
      <c r="F4628" s="46">
        <f>IF(E4628="","",IF(C4628&gt;WeekEndDate,"",E4628))</f>
        <v/>
      </c>
    </row>
    <row r="4629">
      <c r="A4629" t="inlineStr">
        <is>
          <t>Contractors</t>
        </is>
      </c>
      <c r="B4629" s="46">
        <f>'Contractors'!Y593</f>
        <v/>
      </c>
      <c r="C4629" s="84">
        <f>'Contractors'!W593</f>
        <v/>
      </c>
      <c r="D4629" s="46">
        <f>'Contractors'!X593</f>
        <v/>
      </c>
      <c r="E4629" s="46">
        <f>IF(OR(B4629="",C4629="",D4629=""),"",D4629*100000+(C4629-DATE(2000,1,1))+ROW()/100000)</f>
        <v/>
      </c>
      <c r="F4629" s="46">
        <f>IF(E4629="","",IF(C4629&gt;WeekEndDate,"",E4629))</f>
        <v/>
      </c>
    </row>
    <row r="4630">
      <c r="A4630" t="inlineStr">
        <is>
          <t>Contractors</t>
        </is>
      </c>
      <c r="B4630" s="46">
        <f>'Contractors'!Y594</f>
        <v/>
      </c>
      <c r="C4630" s="84">
        <f>'Contractors'!W594</f>
        <v/>
      </c>
      <c r="D4630" s="46">
        <f>'Contractors'!X594</f>
        <v/>
      </c>
      <c r="E4630" s="46">
        <f>IF(OR(B4630="",C4630="",D4630=""),"",D4630*100000+(C4630-DATE(2000,1,1))+ROW()/100000)</f>
        <v/>
      </c>
      <c r="F4630" s="46">
        <f>IF(E4630="","",IF(C4630&gt;WeekEndDate,"",E4630))</f>
        <v/>
      </c>
    </row>
    <row r="4631">
      <c r="A4631" t="inlineStr">
        <is>
          <t>Contractors</t>
        </is>
      </c>
      <c r="B4631" s="46">
        <f>'Contractors'!Y595</f>
        <v/>
      </c>
      <c r="C4631" s="84">
        <f>'Contractors'!W595</f>
        <v/>
      </c>
      <c r="D4631" s="46">
        <f>'Contractors'!X595</f>
        <v/>
      </c>
      <c r="E4631" s="46">
        <f>IF(OR(B4631="",C4631="",D4631=""),"",D4631*100000+(C4631-DATE(2000,1,1))+ROW()/100000)</f>
        <v/>
      </c>
      <c r="F4631" s="46">
        <f>IF(E4631="","",IF(C4631&gt;WeekEndDate,"",E4631))</f>
        <v/>
      </c>
    </row>
    <row r="4632">
      <c r="A4632" t="inlineStr">
        <is>
          <t>Contractors</t>
        </is>
      </c>
      <c r="B4632" s="46">
        <f>'Contractors'!Y596</f>
        <v/>
      </c>
      <c r="C4632" s="84">
        <f>'Contractors'!W596</f>
        <v/>
      </c>
      <c r="D4632" s="46">
        <f>'Contractors'!X596</f>
        <v/>
      </c>
      <c r="E4632" s="46">
        <f>IF(OR(B4632="",C4632="",D4632=""),"",D4632*100000+(C4632-DATE(2000,1,1))+ROW()/100000)</f>
        <v/>
      </c>
      <c r="F4632" s="46">
        <f>IF(E4632="","",IF(C4632&gt;WeekEndDate,"",E4632))</f>
        <v/>
      </c>
    </row>
    <row r="4633">
      <c r="A4633" t="inlineStr">
        <is>
          <t>Contractors</t>
        </is>
      </c>
      <c r="B4633" s="46">
        <f>'Contractors'!Y597</f>
        <v/>
      </c>
      <c r="C4633" s="84">
        <f>'Contractors'!W597</f>
        <v/>
      </c>
      <c r="D4633" s="46">
        <f>'Contractors'!X597</f>
        <v/>
      </c>
      <c r="E4633" s="46">
        <f>IF(OR(B4633="",C4633="",D4633=""),"",D4633*100000+(C4633-DATE(2000,1,1))+ROW()/100000)</f>
        <v/>
      </c>
      <c r="F4633" s="46">
        <f>IF(E4633="","",IF(C4633&gt;WeekEndDate,"",E4633))</f>
        <v/>
      </c>
    </row>
    <row r="4634">
      <c r="A4634" t="inlineStr">
        <is>
          <t>Contractors</t>
        </is>
      </c>
      <c r="B4634" s="46">
        <f>'Contractors'!Y598</f>
        <v/>
      </c>
      <c r="C4634" s="84">
        <f>'Contractors'!W598</f>
        <v/>
      </c>
      <c r="D4634" s="46">
        <f>'Contractors'!X598</f>
        <v/>
      </c>
      <c r="E4634" s="46">
        <f>IF(OR(B4634="",C4634="",D4634=""),"",D4634*100000+(C4634-DATE(2000,1,1))+ROW()/100000)</f>
        <v/>
      </c>
      <c r="F4634" s="46">
        <f>IF(E4634="","",IF(C4634&gt;WeekEndDate,"",E4634))</f>
        <v/>
      </c>
    </row>
    <row r="4635">
      <c r="A4635" t="inlineStr">
        <is>
          <t>Contractors</t>
        </is>
      </c>
      <c r="B4635" s="46">
        <f>'Contractors'!Y599</f>
        <v/>
      </c>
      <c r="C4635" s="84">
        <f>'Contractors'!W599</f>
        <v/>
      </c>
      <c r="D4635" s="46">
        <f>'Contractors'!X599</f>
        <v/>
      </c>
      <c r="E4635" s="46">
        <f>IF(OR(B4635="",C4635="",D4635=""),"",D4635*100000+(C4635-DATE(2000,1,1))+ROW()/100000)</f>
        <v/>
      </c>
      <c r="F4635" s="46">
        <f>IF(E4635="","",IF(C4635&gt;WeekEndDate,"",E4635))</f>
        <v/>
      </c>
    </row>
    <row r="4636">
      <c r="A4636" t="inlineStr">
        <is>
          <t>Contractors</t>
        </is>
      </c>
      <c r="B4636" s="46">
        <f>'Contractors'!Y600</f>
        <v/>
      </c>
      <c r="C4636" s="84">
        <f>'Contractors'!W600</f>
        <v/>
      </c>
      <c r="D4636" s="46">
        <f>'Contractors'!X600</f>
        <v/>
      </c>
      <c r="E4636" s="46">
        <f>IF(OR(B4636="",C4636="",D4636=""),"",D4636*100000+(C4636-DATE(2000,1,1))+ROW()/100000)</f>
        <v/>
      </c>
      <c r="F4636" s="46">
        <f>IF(E4636="","",IF(C4636&gt;WeekEndDate,"",E4636))</f>
        <v/>
      </c>
    </row>
    <row r="4637">
      <c r="A4637" t="inlineStr">
        <is>
          <t>Contractors</t>
        </is>
      </c>
      <c r="B4637" s="46">
        <f>'Contractors'!Y601</f>
        <v/>
      </c>
      <c r="C4637" s="84">
        <f>'Contractors'!W601</f>
        <v/>
      </c>
      <c r="D4637" s="46">
        <f>'Contractors'!X601</f>
        <v/>
      </c>
      <c r="E4637" s="46">
        <f>IF(OR(B4637="",C4637="",D4637=""),"",D4637*100000+(C4637-DATE(2000,1,1))+ROW()/100000)</f>
        <v/>
      </c>
      <c r="F4637" s="46">
        <f>IF(E4637="","",IF(C4637&gt;WeekEndDate,"",E4637))</f>
        <v/>
      </c>
    </row>
    <row r="4638">
      <c r="A4638" t="inlineStr">
        <is>
          <t>Contractors</t>
        </is>
      </c>
      <c r="B4638" s="46">
        <f>'Contractors'!Y602</f>
        <v/>
      </c>
      <c r="C4638" s="84">
        <f>'Contractors'!W602</f>
        <v/>
      </c>
      <c r="D4638" s="46">
        <f>'Contractors'!X602</f>
        <v/>
      </c>
      <c r="E4638" s="46">
        <f>IF(OR(B4638="",C4638="",D4638=""),"",D4638*100000+(C4638-DATE(2000,1,1))+ROW()/100000)</f>
        <v/>
      </c>
      <c r="F4638" s="46">
        <f>IF(E4638="","",IF(C4638&gt;WeekEndDate,"",E4638))</f>
        <v/>
      </c>
    </row>
    <row r="4639">
      <c r="A4639" t="inlineStr">
        <is>
          <t>Contractors</t>
        </is>
      </c>
      <c r="B4639" s="46">
        <f>'Contractors'!Y603</f>
        <v/>
      </c>
      <c r="C4639" s="84">
        <f>'Contractors'!W603</f>
        <v/>
      </c>
      <c r="D4639" s="46">
        <f>'Contractors'!X603</f>
        <v/>
      </c>
      <c r="E4639" s="46">
        <f>IF(OR(B4639="",C4639="",D4639=""),"",D4639*100000+(C4639-DATE(2000,1,1))+ROW()/100000)</f>
        <v/>
      </c>
      <c r="F4639" s="46">
        <f>IF(E4639="","",IF(C4639&gt;WeekEndDate,"",E4639))</f>
        <v/>
      </c>
    </row>
    <row r="4640">
      <c r="A4640" t="inlineStr">
        <is>
          <t>Contractors</t>
        </is>
      </c>
      <c r="B4640" s="46">
        <f>'Contractors'!Y604</f>
        <v/>
      </c>
      <c r="C4640" s="84">
        <f>'Contractors'!W604</f>
        <v/>
      </c>
      <c r="D4640" s="46">
        <f>'Contractors'!X604</f>
        <v/>
      </c>
      <c r="E4640" s="46">
        <f>IF(OR(B4640="",C4640="",D4640=""),"",D4640*100000+(C4640-DATE(2000,1,1))+ROW()/100000)</f>
        <v/>
      </c>
      <c r="F4640" s="46">
        <f>IF(E4640="","",IF(C4640&gt;WeekEndDate,"",E4640))</f>
        <v/>
      </c>
    </row>
    <row r="4641">
      <c r="A4641" t="inlineStr">
        <is>
          <t>Contractors</t>
        </is>
      </c>
      <c r="B4641" s="46">
        <f>'Contractors'!Y605</f>
        <v/>
      </c>
      <c r="C4641" s="84">
        <f>'Contractors'!W605</f>
        <v/>
      </c>
      <c r="D4641" s="46">
        <f>'Contractors'!X605</f>
        <v/>
      </c>
      <c r="E4641" s="46">
        <f>IF(OR(B4641="",C4641="",D4641=""),"",D4641*100000+(C4641-DATE(2000,1,1))+ROW()/100000)</f>
        <v/>
      </c>
      <c r="F4641" s="46">
        <f>IF(E4641="","",IF(C4641&gt;WeekEndDate,"",E4641))</f>
        <v/>
      </c>
    </row>
    <row r="4642">
      <c r="A4642" t="inlineStr">
        <is>
          <t>Contractors</t>
        </is>
      </c>
      <c r="B4642" s="46">
        <f>'Contractors'!Y606</f>
        <v/>
      </c>
      <c r="C4642" s="84">
        <f>'Contractors'!W606</f>
        <v/>
      </c>
      <c r="D4642" s="46">
        <f>'Contractors'!X606</f>
        <v/>
      </c>
      <c r="E4642" s="46">
        <f>IF(OR(B4642="",C4642="",D4642=""),"",D4642*100000+(C4642-DATE(2000,1,1))+ROW()/100000)</f>
        <v/>
      </c>
      <c r="F4642" s="46">
        <f>IF(E4642="","",IF(C4642&gt;WeekEndDate,"",E4642))</f>
        <v/>
      </c>
    </row>
    <row r="4643">
      <c r="A4643" t="inlineStr">
        <is>
          <t>Contractors</t>
        </is>
      </c>
      <c r="B4643" s="46">
        <f>'Contractors'!Y607</f>
        <v/>
      </c>
      <c r="C4643" s="84">
        <f>'Contractors'!W607</f>
        <v/>
      </c>
      <c r="D4643" s="46">
        <f>'Contractors'!X607</f>
        <v/>
      </c>
      <c r="E4643" s="46">
        <f>IF(OR(B4643="",C4643="",D4643=""),"",D4643*100000+(C4643-DATE(2000,1,1))+ROW()/100000)</f>
        <v/>
      </c>
      <c r="F4643" s="46">
        <f>IF(E4643="","",IF(C4643&gt;WeekEndDate,"",E4643))</f>
        <v/>
      </c>
    </row>
    <row r="4644">
      <c r="A4644" t="inlineStr">
        <is>
          <t>Contractors</t>
        </is>
      </c>
      <c r="B4644" s="46">
        <f>'Contractors'!Y608</f>
        <v/>
      </c>
      <c r="C4644" s="84">
        <f>'Contractors'!W608</f>
        <v/>
      </c>
      <c r="D4644" s="46">
        <f>'Contractors'!X608</f>
        <v/>
      </c>
      <c r="E4644" s="46">
        <f>IF(OR(B4644="",C4644="",D4644=""),"",D4644*100000+(C4644-DATE(2000,1,1))+ROW()/100000)</f>
        <v/>
      </c>
      <c r="F4644" s="46">
        <f>IF(E4644="","",IF(C4644&gt;WeekEndDate,"",E4644))</f>
        <v/>
      </c>
    </row>
    <row r="4645">
      <c r="A4645" t="inlineStr">
        <is>
          <t>Contractors</t>
        </is>
      </c>
      <c r="B4645" s="46">
        <f>'Contractors'!Y609</f>
        <v/>
      </c>
      <c r="C4645" s="84">
        <f>'Contractors'!W609</f>
        <v/>
      </c>
      <c r="D4645" s="46">
        <f>'Contractors'!X609</f>
        <v/>
      </c>
      <c r="E4645" s="46">
        <f>IF(OR(B4645="",C4645="",D4645=""),"",D4645*100000+(C4645-DATE(2000,1,1))+ROW()/100000)</f>
        <v/>
      </c>
      <c r="F4645" s="46">
        <f>IF(E4645="","",IF(C4645&gt;WeekEndDate,"",E4645))</f>
        <v/>
      </c>
    </row>
    <row r="4646">
      <c r="A4646" t="inlineStr">
        <is>
          <t>Contractors</t>
        </is>
      </c>
      <c r="B4646" s="46">
        <f>'Contractors'!Y610</f>
        <v/>
      </c>
      <c r="C4646" s="84">
        <f>'Contractors'!W610</f>
        <v/>
      </c>
      <c r="D4646" s="46">
        <f>'Contractors'!X610</f>
        <v/>
      </c>
      <c r="E4646" s="46">
        <f>IF(OR(B4646="",C4646="",D4646=""),"",D4646*100000+(C4646-DATE(2000,1,1))+ROW()/100000)</f>
        <v/>
      </c>
      <c r="F4646" s="46">
        <f>IF(E4646="","",IF(C4646&gt;WeekEndDate,"",E4646))</f>
        <v/>
      </c>
    </row>
    <row r="4647">
      <c r="A4647" t="inlineStr">
        <is>
          <t>Contractors</t>
        </is>
      </c>
      <c r="B4647" s="46">
        <f>'Contractors'!Y611</f>
        <v/>
      </c>
      <c r="C4647" s="84">
        <f>'Contractors'!W611</f>
        <v/>
      </c>
      <c r="D4647" s="46">
        <f>'Contractors'!X611</f>
        <v/>
      </c>
      <c r="E4647" s="46">
        <f>IF(OR(B4647="",C4647="",D4647=""),"",D4647*100000+(C4647-DATE(2000,1,1))+ROW()/100000)</f>
        <v/>
      </c>
      <c r="F4647" s="46">
        <f>IF(E4647="","",IF(C4647&gt;WeekEndDate,"",E4647))</f>
        <v/>
      </c>
    </row>
    <row r="4648">
      <c r="A4648" t="inlineStr">
        <is>
          <t>Contractors</t>
        </is>
      </c>
      <c r="B4648" s="46">
        <f>'Contractors'!Y612</f>
        <v/>
      </c>
      <c r="C4648" s="84">
        <f>'Contractors'!W612</f>
        <v/>
      </c>
      <c r="D4648" s="46">
        <f>'Contractors'!X612</f>
        <v/>
      </c>
      <c r="E4648" s="46">
        <f>IF(OR(B4648="",C4648="",D4648=""),"",D4648*100000+(C4648-DATE(2000,1,1))+ROW()/100000)</f>
        <v/>
      </c>
      <c r="F4648" s="46">
        <f>IF(E4648="","",IF(C4648&gt;WeekEndDate,"",E4648))</f>
        <v/>
      </c>
    </row>
    <row r="4649">
      <c r="A4649" t="inlineStr">
        <is>
          <t>Contractors</t>
        </is>
      </c>
      <c r="B4649" s="46">
        <f>'Contractors'!Y613</f>
        <v/>
      </c>
      <c r="C4649" s="84">
        <f>'Contractors'!W613</f>
        <v/>
      </c>
      <c r="D4649" s="46">
        <f>'Contractors'!X613</f>
        <v/>
      </c>
      <c r="E4649" s="46">
        <f>IF(OR(B4649="",C4649="",D4649=""),"",D4649*100000+(C4649-DATE(2000,1,1))+ROW()/100000)</f>
        <v/>
      </c>
      <c r="F4649" s="46">
        <f>IF(E4649="","",IF(C4649&gt;WeekEndDate,"",E4649))</f>
        <v/>
      </c>
    </row>
    <row r="4650">
      <c r="A4650" t="inlineStr">
        <is>
          <t>Contractors</t>
        </is>
      </c>
      <c r="B4650" s="46">
        <f>'Contractors'!Y614</f>
        <v/>
      </c>
      <c r="C4650" s="84">
        <f>'Contractors'!W614</f>
        <v/>
      </c>
      <c r="D4650" s="46">
        <f>'Contractors'!X614</f>
        <v/>
      </c>
      <c r="E4650" s="46">
        <f>IF(OR(B4650="",C4650="",D4650=""),"",D4650*100000+(C4650-DATE(2000,1,1))+ROW()/100000)</f>
        <v/>
      </c>
      <c r="F4650" s="46">
        <f>IF(E4650="","",IF(C4650&gt;WeekEndDate,"",E4650))</f>
        <v/>
      </c>
    </row>
    <row r="4651">
      <c r="A4651" t="inlineStr">
        <is>
          <t>Contractors</t>
        </is>
      </c>
      <c r="B4651" s="46">
        <f>'Contractors'!Y615</f>
        <v/>
      </c>
      <c r="C4651" s="84">
        <f>'Contractors'!W615</f>
        <v/>
      </c>
      <c r="D4651" s="46">
        <f>'Contractors'!X615</f>
        <v/>
      </c>
      <c r="E4651" s="46">
        <f>IF(OR(B4651="",C4651="",D4651=""),"",D4651*100000+(C4651-DATE(2000,1,1))+ROW()/100000)</f>
        <v/>
      </c>
      <c r="F4651" s="46">
        <f>IF(E4651="","",IF(C4651&gt;WeekEndDate,"",E4651))</f>
        <v/>
      </c>
    </row>
    <row r="4652">
      <c r="A4652" t="inlineStr">
        <is>
          <t>Contractors</t>
        </is>
      </c>
      <c r="B4652" s="46">
        <f>'Contractors'!Y616</f>
        <v/>
      </c>
      <c r="C4652" s="84">
        <f>'Contractors'!W616</f>
        <v/>
      </c>
      <c r="D4652" s="46">
        <f>'Contractors'!X616</f>
        <v/>
      </c>
      <c r="E4652" s="46">
        <f>IF(OR(B4652="",C4652="",D4652=""),"",D4652*100000+(C4652-DATE(2000,1,1))+ROW()/100000)</f>
        <v/>
      </c>
      <c r="F4652" s="46">
        <f>IF(E4652="","",IF(C4652&gt;WeekEndDate,"",E4652))</f>
        <v/>
      </c>
    </row>
    <row r="4653">
      <c r="A4653" t="inlineStr">
        <is>
          <t>Contractors</t>
        </is>
      </c>
      <c r="B4653" s="46">
        <f>'Contractors'!Y617</f>
        <v/>
      </c>
      <c r="C4653" s="84">
        <f>'Contractors'!W617</f>
        <v/>
      </c>
      <c r="D4653" s="46">
        <f>'Contractors'!X617</f>
        <v/>
      </c>
      <c r="E4653" s="46">
        <f>IF(OR(B4653="",C4653="",D4653=""),"",D4653*100000+(C4653-DATE(2000,1,1))+ROW()/100000)</f>
        <v/>
      </c>
      <c r="F4653" s="46">
        <f>IF(E4653="","",IF(C4653&gt;WeekEndDate,"",E4653))</f>
        <v/>
      </c>
    </row>
    <row r="4654">
      <c r="A4654" t="inlineStr">
        <is>
          <t>Contractors</t>
        </is>
      </c>
      <c r="B4654" s="46">
        <f>'Contractors'!Y618</f>
        <v/>
      </c>
      <c r="C4654" s="84">
        <f>'Contractors'!W618</f>
        <v/>
      </c>
      <c r="D4654" s="46">
        <f>'Contractors'!X618</f>
        <v/>
      </c>
      <c r="E4654" s="46">
        <f>IF(OR(B4654="",C4654="",D4654=""),"",D4654*100000+(C4654-DATE(2000,1,1))+ROW()/100000)</f>
        <v/>
      </c>
      <c r="F4654" s="46">
        <f>IF(E4654="","",IF(C4654&gt;WeekEndDate,"",E4654))</f>
        <v/>
      </c>
    </row>
    <row r="4655">
      <c r="A4655" t="inlineStr">
        <is>
          <t>Contractors</t>
        </is>
      </c>
      <c r="B4655" s="46">
        <f>'Contractors'!Y619</f>
        <v/>
      </c>
      <c r="C4655" s="84">
        <f>'Contractors'!W619</f>
        <v/>
      </c>
      <c r="D4655" s="46">
        <f>'Contractors'!X619</f>
        <v/>
      </c>
      <c r="E4655" s="46">
        <f>IF(OR(B4655="",C4655="",D4655=""),"",D4655*100000+(C4655-DATE(2000,1,1))+ROW()/100000)</f>
        <v/>
      </c>
      <c r="F4655" s="46">
        <f>IF(E4655="","",IF(C4655&gt;WeekEndDate,"",E4655))</f>
        <v/>
      </c>
    </row>
    <row r="4656">
      <c r="A4656" t="inlineStr">
        <is>
          <t>Contractors</t>
        </is>
      </c>
      <c r="B4656" s="46">
        <f>'Contractors'!Y620</f>
        <v/>
      </c>
      <c r="C4656" s="84">
        <f>'Contractors'!W620</f>
        <v/>
      </c>
      <c r="D4656" s="46">
        <f>'Contractors'!X620</f>
        <v/>
      </c>
      <c r="E4656" s="46">
        <f>IF(OR(B4656="",C4656="",D4656=""),"",D4656*100000+(C4656-DATE(2000,1,1))+ROW()/100000)</f>
        <v/>
      </c>
      <c r="F4656" s="46">
        <f>IF(E4656="","",IF(C4656&gt;WeekEndDate,"",E4656))</f>
        <v/>
      </c>
    </row>
    <row r="4657">
      <c r="A4657" t="inlineStr">
        <is>
          <t>Contractors</t>
        </is>
      </c>
      <c r="B4657" s="46">
        <f>'Contractors'!Y621</f>
        <v/>
      </c>
      <c r="C4657" s="84">
        <f>'Contractors'!W621</f>
        <v/>
      </c>
      <c r="D4657" s="46">
        <f>'Contractors'!X621</f>
        <v/>
      </c>
      <c r="E4657" s="46">
        <f>IF(OR(B4657="",C4657="",D4657=""),"",D4657*100000+(C4657-DATE(2000,1,1))+ROW()/100000)</f>
        <v/>
      </c>
      <c r="F4657" s="46">
        <f>IF(E4657="","",IF(C4657&gt;WeekEndDate,"",E4657))</f>
        <v/>
      </c>
    </row>
    <row r="4658">
      <c r="A4658" t="inlineStr">
        <is>
          <t>Contractors</t>
        </is>
      </c>
      <c r="B4658" s="46">
        <f>'Contractors'!Y622</f>
        <v/>
      </c>
      <c r="C4658" s="84">
        <f>'Contractors'!W622</f>
        <v/>
      </c>
      <c r="D4658" s="46">
        <f>'Contractors'!X622</f>
        <v/>
      </c>
      <c r="E4658" s="46">
        <f>IF(OR(B4658="",C4658="",D4658=""),"",D4658*100000+(C4658-DATE(2000,1,1))+ROW()/100000)</f>
        <v/>
      </c>
      <c r="F4658" s="46">
        <f>IF(E4658="","",IF(C4658&gt;WeekEndDate,"",E4658))</f>
        <v/>
      </c>
    </row>
    <row r="4659">
      <c r="A4659" t="inlineStr">
        <is>
          <t>Contractors</t>
        </is>
      </c>
      <c r="B4659" s="46">
        <f>'Contractors'!Y623</f>
        <v/>
      </c>
      <c r="C4659" s="84">
        <f>'Contractors'!W623</f>
        <v/>
      </c>
      <c r="D4659" s="46">
        <f>'Contractors'!X623</f>
        <v/>
      </c>
      <c r="E4659" s="46">
        <f>IF(OR(B4659="",C4659="",D4659=""),"",D4659*100000+(C4659-DATE(2000,1,1))+ROW()/100000)</f>
        <v/>
      </c>
      <c r="F4659" s="46">
        <f>IF(E4659="","",IF(C4659&gt;WeekEndDate,"",E4659))</f>
        <v/>
      </c>
    </row>
    <row r="4660">
      <c r="A4660" t="inlineStr">
        <is>
          <t>Contractors</t>
        </is>
      </c>
      <c r="B4660" s="46">
        <f>'Contractors'!Y624</f>
        <v/>
      </c>
      <c r="C4660" s="84">
        <f>'Contractors'!W624</f>
        <v/>
      </c>
      <c r="D4660" s="46">
        <f>'Contractors'!X624</f>
        <v/>
      </c>
      <c r="E4660" s="46">
        <f>IF(OR(B4660="",C4660="",D4660=""),"",D4660*100000+(C4660-DATE(2000,1,1))+ROW()/100000)</f>
        <v/>
      </c>
      <c r="F4660" s="46">
        <f>IF(E4660="","",IF(C4660&gt;WeekEndDate,"",E4660))</f>
        <v/>
      </c>
    </row>
    <row r="4661">
      <c r="A4661" t="inlineStr">
        <is>
          <t>Contractors</t>
        </is>
      </c>
      <c r="B4661" s="46">
        <f>'Contractors'!Y625</f>
        <v/>
      </c>
      <c r="C4661" s="84">
        <f>'Contractors'!W625</f>
        <v/>
      </c>
      <c r="D4661" s="46">
        <f>'Contractors'!X625</f>
        <v/>
      </c>
      <c r="E4661" s="46">
        <f>IF(OR(B4661="",C4661="",D4661=""),"",D4661*100000+(C4661-DATE(2000,1,1))+ROW()/100000)</f>
        <v/>
      </c>
      <c r="F4661" s="46">
        <f>IF(E4661="","",IF(C4661&gt;WeekEndDate,"",E4661))</f>
        <v/>
      </c>
    </row>
    <row r="4662">
      <c r="A4662" t="inlineStr">
        <is>
          <t>Contractors</t>
        </is>
      </c>
      <c r="B4662" s="46">
        <f>'Contractors'!Y626</f>
        <v/>
      </c>
      <c r="C4662" s="84">
        <f>'Contractors'!W626</f>
        <v/>
      </c>
      <c r="D4662" s="46">
        <f>'Contractors'!X626</f>
        <v/>
      </c>
      <c r="E4662" s="46">
        <f>IF(OR(B4662="",C4662="",D4662=""),"",D4662*100000+(C4662-DATE(2000,1,1))+ROW()/100000)</f>
        <v/>
      </c>
      <c r="F4662" s="46">
        <f>IF(E4662="","",IF(C4662&gt;WeekEndDate,"",E4662))</f>
        <v/>
      </c>
    </row>
    <row r="4663">
      <c r="A4663" t="inlineStr">
        <is>
          <t>Contractors</t>
        </is>
      </c>
      <c r="B4663" s="46">
        <f>'Contractors'!Y627</f>
        <v/>
      </c>
      <c r="C4663" s="84">
        <f>'Contractors'!W627</f>
        <v/>
      </c>
      <c r="D4663" s="46">
        <f>'Contractors'!X627</f>
        <v/>
      </c>
      <c r="E4663" s="46">
        <f>IF(OR(B4663="",C4663="",D4663=""),"",D4663*100000+(C4663-DATE(2000,1,1))+ROW()/100000)</f>
        <v/>
      </c>
      <c r="F4663" s="46">
        <f>IF(E4663="","",IF(C4663&gt;WeekEndDate,"",E4663))</f>
        <v/>
      </c>
    </row>
    <row r="4664">
      <c r="A4664" t="inlineStr">
        <is>
          <t>Contractors</t>
        </is>
      </c>
      <c r="B4664" s="46">
        <f>'Contractors'!Y628</f>
        <v/>
      </c>
      <c r="C4664" s="84">
        <f>'Contractors'!W628</f>
        <v/>
      </c>
      <c r="D4664" s="46">
        <f>'Contractors'!X628</f>
        <v/>
      </c>
      <c r="E4664" s="46">
        <f>IF(OR(B4664="",C4664="",D4664=""),"",D4664*100000+(C4664-DATE(2000,1,1))+ROW()/100000)</f>
        <v/>
      </c>
      <c r="F4664" s="46">
        <f>IF(E4664="","",IF(C4664&gt;WeekEndDate,"",E4664))</f>
        <v/>
      </c>
    </row>
    <row r="4665">
      <c r="A4665" t="inlineStr">
        <is>
          <t>Contractors</t>
        </is>
      </c>
      <c r="B4665" s="46">
        <f>'Contractors'!Y629</f>
        <v/>
      </c>
      <c r="C4665" s="84">
        <f>'Contractors'!W629</f>
        <v/>
      </c>
      <c r="D4665" s="46">
        <f>'Contractors'!X629</f>
        <v/>
      </c>
      <c r="E4665" s="46">
        <f>IF(OR(B4665="",C4665="",D4665=""),"",D4665*100000+(C4665-DATE(2000,1,1))+ROW()/100000)</f>
        <v/>
      </c>
      <c r="F4665" s="46">
        <f>IF(E4665="","",IF(C4665&gt;WeekEndDate,"",E4665))</f>
        <v/>
      </c>
    </row>
    <row r="4666">
      <c r="A4666" t="inlineStr">
        <is>
          <t>Contractors</t>
        </is>
      </c>
      <c r="B4666" s="46">
        <f>'Contractors'!Y630</f>
        <v/>
      </c>
      <c r="C4666" s="84">
        <f>'Contractors'!W630</f>
        <v/>
      </c>
      <c r="D4666" s="46">
        <f>'Contractors'!X630</f>
        <v/>
      </c>
      <c r="E4666" s="46">
        <f>IF(OR(B4666="",C4666="",D4666=""),"",D4666*100000+(C4666-DATE(2000,1,1))+ROW()/100000)</f>
        <v/>
      </c>
      <c r="F4666" s="46">
        <f>IF(E4666="","",IF(C4666&gt;WeekEndDate,"",E4666))</f>
        <v/>
      </c>
    </row>
    <row r="4667">
      <c r="A4667" t="inlineStr">
        <is>
          <t>Contractors</t>
        </is>
      </c>
      <c r="B4667" s="46">
        <f>'Contractors'!Y631</f>
        <v/>
      </c>
      <c r="C4667" s="84">
        <f>'Contractors'!W631</f>
        <v/>
      </c>
      <c r="D4667" s="46">
        <f>'Contractors'!X631</f>
        <v/>
      </c>
      <c r="E4667" s="46">
        <f>IF(OR(B4667="",C4667="",D4667=""),"",D4667*100000+(C4667-DATE(2000,1,1))+ROW()/100000)</f>
        <v/>
      </c>
      <c r="F4667" s="46">
        <f>IF(E4667="","",IF(C4667&gt;WeekEndDate,"",E4667))</f>
        <v/>
      </c>
    </row>
    <row r="4668">
      <c r="A4668" t="inlineStr">
        <is>
          <t>Contractors</t>
        </is>
      </c>
      <c r="B4668" s="46">
        <f>'Contractors'!Y632</f>
        <v/>
      </c>
      <c r="C4668" s="84">
        <f>'Contractors'!W632</f>
        <v/>
      </c>
      <c r="D4668" s="46">
        <f>'Contractors'!X632</f>
        <v/>
      </c>
      <c r="E4668" s="46">
        <f>IF(OR(B4668="",C4668="",D4668=""),"",D4668*100000+(C4668-DATE(2000,1,1))+ROW()/100000)</f>
        <v/>
      </c>
      <c r="F4668" s="46">
        <f>IF(E4668="","",IF(C4668&gt;WeekEndDate,"",E4668))</f>
        <v/>
      </c>
    </row>
    <row r="4669">
      <c r="A4669" t="inlineStr">
        <is>
          <t>Contractors</t>
        </is>
      </c>
      <c r="B4669" s="46">
        <f>'Contractors'!Y633</f>
        <v/>
      </c>
      <c r="C4669" s="84">
        <f>'Contractors'!W633</f>
        <v/>
      </c>
      <c r="D4669" s="46">
        <f>'Contractors'!X633</f>
        <v/>
      </c>
      <c r="E4669" s="46">
        <f>IF(OR(B4669="",C4669="",D4669=""),"",D4669*100000+(C4669-DATE(2000,1,1))+ROW()/100000)</f>
        <v/>
      </c>
      <c r="F4669" s="46">
        <f>IF(E4669="","",IF(C4669&gt;WeekEndDate,"",E4669))</f>
        <v/>
      </c>
    </row>
    <row r="4670">
      <c r="A4670" t="inlineStr">
        <is>
          <t>Contractors</t>
        </is>
      </c>
      <c r="B4670" s="46">
        <f>'Contractors'!Y634</f>
        <v/>
      </c>
      <c r="C4670" s="84">
        <f>'Contractors'!W634</f>
        <v/>
      </c>
      <c r="D4670" s="46">
        <f>'Contractors'!X634</f>
        <v/>
      </c>
      <c r="E4670" s="46">
        <f>IF(OR(B4670="",C4670="",D4670=""),"",D4670*100000+(C4670-DATE(2000,1,1))+ROW()/100000)</f>
        <v/>
      </c>
      <c r="F4670" s="46">
        <f>IF(E4670="","",IF(C4670&gt;WeekEndDate,"",E4670))</f>
        <v/>
      </c>
    </row>
    <row r="4671">
      <c r="A4671" t="inlineStr">
        <is>
          <t>Contractors</t>
        </is>
      </c>
      <c r="B4671" s="46">
        <f>'Contractors'!Y635</f>
        <v/>
      </c>
      <c r="C4671" s="84">
        <f>'Contractors'!W635</f>
        <v/>
      </c>
      <c r="D4671" s="46">
        <f>'Contractors'!X635</f>
        <v/>
      </c>
      <c r="E4671" s="46">
        <f>IF(OR(B4671="",C4671="",D4671=""),"",D4671*100000+(C4671-DATE(2000,1,1))+ROW()/100000)</f>
        <v/>
      </c>
      <c r="F4671" s="46">
        <f>IF(E4671="","",IF(C4671&gt;WeekEndDate,"",E4671))</f>
        <v/>
      </c>
    </row>
    <row r="4672">
      <c r="A4672" t="inlineStr">
        <is>
          <t>Contractors</t>
        </is>
      </c>
      <c r="B4672" s="46">
        <f>'Contractors'!Y636</f>
        <v/>
      </c>
      <c r="C4672" s="84">
        <f>'Contractors'!W636</f>
        <v/>
      </c>
      <c r="D4672" s="46">
        <f>'Contractors'!X636</f>
        <v/>
      </c>
      <c r="E4672" s="46">
        <f>IF(OR(B4672="",C4672="",D4672=""),"",D4672*100000+(C4672-DATE(2000,1,1))+ROW()/100000)</f>
        <v/>
      </c>
      <c r="F4672" s="46">
        <f>IF(E4672="","",IF(C4672&gt;WeekEndDate,"",E4672))</f>
        <v/>
      </c>
    </row>
    <row r="4673">
      <c r="A4673" t="inlineStr">
        <is>
          <t>Contractors</t>
        </is>
      </c>
      <c r="B4673" s="46">
        <f>'Contractors'!Y637</f>
        <v/>
      </c>
      <c r="C4673" s="84">
        <f>'Contractors'!W637</f>
        <v/>
      </c>
      <c r="D4673" s="46">
        <f>'Contractors'!X637</f>
        <v/>
      </c>
      <c r="E4673" s="46">
        <f>IF(OR(B4673="",C4673="",D4673=""),"",D4673*100000+(C4673-DATE(2000,1,1))+ROW()/100000)</f>
        <v/>
      </c>
      <c r="F4673" s="46">
        <f>IF(E4673="","",IF(C4673&gt;WeekEndDate,"",E4673))</f>
        <v/>
      </c>
    </row>
    <row r="4674">
      <c r="A4674" t="inlineStr">
        <is>
          <t>Contractors</t>
        </is>
      </c>
      <c r="B4674" s="46">
        <f>'Contractors'!Y638</f>
        <v/>
      </c>
      <c r="C4674" s="84">
        <f>'Contractors'!W638</f>
        <v/>
      </c>
      <c r="D4674" s="46">
        <f>'Contractors'!X638</f>
        <v/>
      </c>
      <c r="E4674" s="46">
        <f>IF(OR(B4674="",C4674="",D4674=""),"",D4674*100000+(C4674-DATE(2000,1,1))+ROW()/100000)</f>
        <v/>
      </c>
      <c r="F4674" s="46">
        <f>IF(E4674="","",IF(C4674&gt;WeekEndDate,"",E4674))</f>
        <v/>
      </c>
    </row>
    <row r="4675">
      <c r="A4675" t="inlineStr">
        <is>
          <t>Contractors</t>
        </is>
      </c>
      <c r="B4675" s="46">
        <f>'Contractors'!Y639</f>
        <v/>
      </c>
      <c r="C4675" s="84">
        <f>'Contractors'!W639</f>
        <v/>
      </c>
      <c r="D4675" s="46">
        <f>'Contractors'!X639</f>
        <v/>
      </c>
      <c r="E4675" s="46">
        <f>IF(OR(B4675="",C4675="",D4675=""),"",D4675*100000+(C4675-DATE(2000,1,1))+ROW()/100000)</f>
        <v/>
      </c>
      <c r="F4675" s="46">
        <f>IF(E4675="","",IF(C4675&gt;WeekEndDate,"",E4675))</f>
        <v/>
      </c>
    </row>
    <row r="4676">
      <c r="A4676" t="inlineStr">
        <is>
          <t>Contractors</t>
        </is>
      </c>
      <c r="B4676" s="46">
        <f>'Contractors'!Y640</f>
        <v/>
      </c>
      <c r="C4676" s="84">
        <f>'Contractors'!W640</f>
        <v/>
      </c>
      <c r="D4676" s="46">
        <f>'Contractors'!X640</f>
        <v/>
      </c>
      <c r="E4676" s="46">
        <f>IF(OR(B4676="",C4676="",D4676=""),"",D4676*100000+(C4676-DATE(2000,1,1))+ROW()/100000)</f>
        <v/>
      </c>
      <c r="F4676" s="46">
        <f>IF(E4676="","",IF(C4676&gt;WeekEndDate,"",E4676))</f>
        <v/>
      </c>
    </row>
    <row r="4677">
      <c r="A4677" t="inlineStr">
        <is>
          <t>Contractors</t>
        </is>
      </c>
      <c r="B4677" s="46">
        <f>'Contractors'!Y641</f>
        <v/>
      </c>
      <c r="C4677" s="84">
        <f>'Contractors'!W641</f>
        <v/>
      </c>
      <c r="D4677" s="46">
        <f>'Contractors'!X641</f>
        <v/>
      </c>
      <c r="E4677" s="46">
        <f>IF(OR(B4677="",C4677="",D4677=""),"",D4677*100000+(C4677-DATE(2000,1,1))+ROW()/100000)</f>
        <v/>
      </c>
      <c r="F4677" s="46">
        <f>IF(E4677="","",IF(C4677&gt;WeekEndDate,"",E4677))</f>
        <v/>
      </c>
    </row>
    <row r="4678">
      <c r="A4678" t="inlineStr">
        <is>
          <t>Contractors</t>
        </is>
      </c>
      <c r="B4678" s="46">
        <f>'Contractors'!Y642</f>
        <v/>
      </c>
      <c r="C4678" s="84">
        <f>'Contractors'!W642</f>
        <v/>
      </c>
      <c r="D4678" s="46">
        <f>'Contractors'!X642</f>
        <v/>
      </c>
      <c r="E4678" s="46">
        <f>IF(OR(B4678="",C4678="",D4678=""),"",D4678*100000+(C4678-DATE(2000,1,1))+ROW()/100000)</f>
        <v/>
      </c>
      <c r="F4678" s="46">
        <f>IF(E4678="","",IF(C4678&gt;WeekEndDate,"",E4678))</f>
        <v/>
      </c>
    </row>
    <row r="4679">
      <c r="A4679" t="inlineStr">
        <is>
          <t>Contractors</t>
        </is>
      </c>
      <c r="B4679" s="46">
        <f>'Contractors'!Y643</f>
        <v/>
      </c>
      <c r="C4679" s="84">
        <f>'Contractors'!W643</f>
        <v/>
      </c>
      <c r="D4679" s="46">
        <f>'Contractors'!X643</f>
        <v/>
      </c>
      <c r="E4679" s="46">
        <f>IF(OR(B4679="",C4679="",D4679=""),"",D4679*100000+(C4679-DATE(2000,1,1))+ROW()/100000)</f>
        <v/>
      </c>
      <c r="F4679" s="46">
        <f>IF(E4679="","",IF(C4679&gt;WeekEndDate,"",E4679))</f>
        <v/>
      </c>
    </row>
    <row r="4680">
      <c r="A4680" t="inlineStr">
        <is>
          <t>Contractors</t>
        </is>
      </c>
      <c r="B4680" s="46">
        <f>'Contractors'!Y644</f>
        <v/>
      </c>
      <c r="C4680" s="84">
        <f>'Contractors'!W644</f>
        <v/>
      </c>
      <c r="D4680" s="46">
        <f>'Contractors'!X644</f>
        <v/>
      </c>
      <c r="E4680" s="46">
        <f>IF(OR(B4680="",C4680="",D4680=""),"",D4680*100000+(C4680-DATE(2000,1,1))+ROW()/100000)</f>
        <v/>
      </c>
      <c r="F4680" s="46">
        <f>IF(E4680="","",IF(C4680&gt;WeekEndDate,"",E4680))</f>
        <v/>
      </c>
    </row>
    <row r="4681">
      <c r="A4681" t="inlineStr">
        <is>
          <t>Contractors</t>
        </is>
      </c>
      <c r="B4681" s="46">
        <f>'Contractors'!Y645</f>
        <v/>
      </c>
      <c r="C4681" s="84">
        <f>'Contractors'!W645</f>
        <v/>
      </c>
      <c r="D4681" s="46">
        <f>'Contractors'!X645</f>
        <v/>
      </c>
      <c r="E4681" s="46">
        <f>IF(OR(B4681="",C4681="",D4681=""),"",D4681*100000+(C4681-DATE(2000,1,1))+ROW()/100000)</f>
        <v/>
      </c>
      <c r="F4681" s="46">
        <f>IF(E4681="","",IF(C4681&gt;WeekEndDate,"",E4681))</f>
        <v/>
      </c>
    </row>
    <row r="4682">
      <c r="A4682" t="inlineStr">
        <is>
          <t>Contractors</t>
        </is>
      </c>
      <c r="B4682" s="46">
        <f>'Contractors'!Y646</f>
        <v/>
      </c>
      <c r="C4682" s="84">
        <f>'Contractors'!W646</f>
        <v/>
      </c>
      <c r="D4682" s="46">
        <f>'Contractors'!X646</f>
        <v/>
      </c>
      <c r="E4682" s="46">
        <f>IF(OR(B4682="",C4682="",D4682=""),"",D4682*100000+(C4682-DATE(2000,1,1))+ROW()/100000)</f>
        <v/>
      </c>
      <c r="F4682" s="46">
        <f>IF(E4682="","",IF(C4682&gt;WeekEndDate,"",E4682))</f>
        <v/>
      </c>
    </row>
    <row r="4683">
      <c r="A4683" t="inlineStr">
        <is>
          <t>Contractors</t>
        </is>
      </c>
      <c r="B4683" s="46">
        <f>'Contractors'!Y647</f>
        <v/>
      </c>
      <c r="C4683" s="84">
        <f>'Contractors'!W647</f>
        <v/>
      </c>
      <c r="D4683" s="46">
        <f>'Contractors'!X647</f>
        <v/>
      </c>
      <c r="E4683" s="46">
        <f>IF(OR(B4683="",C4683="",D4683=""),"",D4683*100000+(C4683-DATE(2000,1,1))+ROW()/100000)</f>
        <v/>
      </c>
      <c r="F4683" s="46">
        <f>IF(E4683="","",IF(C4683&gt;WeekEndDate,"",E4683))</f>
        <v/>
      </c>
    </row>
    <row r="4684">
      <c r="A4684" t="inlineStr">
        <is>
          <t>Contractors</t>
        </is>
      </c>
      <c r="B4684" s="46">
        <f>'Contractors'!Y648</f>
        <v/>
      </c>
      <c r="C4684" s="84">
        <f>'Contractors'!W648</f>
        <v/>
      </c>
      <c r="D4684" s="46">
        <f>'Contractors'!X648</f>
        <v/>
      </c>
      <c r="E4684" s="46">
        <f>IF(OR(B4684="",C4684="",D4684=""),"",D4684*100000+(C4684-DATE(2000,1,1))+ROW()/100000)</f>
        <v/>
      </c>
      <c r="F4684" s="46">
        <f>IF(E4684="","",IF(C4684&gt;WeekEndDate,"",E4684))</f>
        <v/>
      </c>
    </row>
    <row r="4685">
      <c r="A4685" t="inlineStr">
        <is>
          <t>Contractors</t>
        </is>
      </c>
      <c r="B4685" s="46">
        <f>'Contractors'!Y649</f>
        <v/>
      </c>
      <c r="C4685" s="84">
        <f>'Contractors'!W649</f>
        <v/>
      </c>
      <c r="D4685" s="46">
        <f>'Contractors'!X649</f>
        <v/>
      </c>
      <c r="E4685" s="46">
        <f>IF(OR(B4685="",C4685="",D4685=""),"",D4685*100000+(C4685-DATE(2000,1,1))+ROW()/100000)</f>
        <v/>
      </c>
      <c r="F4685" s="46">
        <f>IF(E4685="","",IF(C4685&gt;WeekEndDate,"",E4685))</f>
        <v/>
      </c>
    </row>
    <row r="4686">
      <c r="A4686" t="inlineStr">
        <is>
          <t>Contractors</t>
        </is>
      </c>
      <c r="B4686" s="46">
        <f>'Contractors'!Y650</f>
        <v/>
      </c>
      <c r="C4686" s="84">
        <f>'Contractors'!W650</f>
        <v/>
      </c>
      <c r="D4686" s="46">
        <f>'Contractors'!X650</f>
        <v/>
      </c>
      <c r="E4686" s="46">
        <f>IF(OR(B4686="",C4686="",D4686=""),"",D4686*100000+(C4686-DATE(2000,1,1))+ROW()/100000)</f>
        <v/>
      </c>
      <c r="F4686" s="46">
        <f>IF(E4686="","",IF(C4686&gt;WeekEndDate,"",E4686))</f>
        <v/>
      </c>
    </row>
    <row r="4687">
      <c r="A4687" t="inlineStr">
        <is>
          <t>Contractors</t>
        </is>
      </c>
      <c r="B4687" s="46">
        <f>'Contractors'!Y651</f>
        <v/>
      </c>
      <c r="C4687" s="84">
        <f>'Contractors'!W651</f>
        <v/>
      </c>
      <c r="D4687" s="46">
        <f>'Contractors'!X651</f>
        <v/>
      </c>
      <c r="E4687" s="46">
        <f>IF(OR(B4687="",C4687="",D4687=""),"",D4687*100000+(C4687-DATE(2000,1,1))+ROW()/100000)</f>
        <v/>
      </c>
      <c r="F4687" s="46">
        <f>IF(E4687="","",IF(C4687&gt;WeekEndDate,"",E4687))</f>
        <v/>
      </c>
    </row>
    <row r="4688">
      <c r="A4688" t="inlineStr">
        <is>
          <t>Contractors</t>
        </is>
      </c>
      <c r="B4688" s="46">
        <f>'Contractors'!Y652</f>
        <v/>
      </c>
      <c r="C4688" s="84">
        <f>'Contractors'!W652</f>
        <v/>
      </c>
      <c r="D4688" s="46">
        <f>'Contractors'!X652</f>
        <v/>
      </c>
      <c r="E4688" s="46">
        <f>IF(OR(B4688="",C4688="",D4688=""),"",D4688*100000+(C4688-DATE(2000,1,1))+ROW()/100000)</f>
        <v/>
      </c>
      <c r="F4688" s="46">
        <f>IF(E4688="","",IF(C4688&gt;WeekEndDate,"",E4688))</f>
        <v/>
      </c>
    </row>
    <row r="4689">
      <c r="A4689" t="inlineStr">
        <is>
          <t>Contractors</t>
        </is>
      </c>
      <c r="B4689" s="46">
        <f>'Contractors'!Y653</f>
        <v/>
      </c>
      <c r="C4689" s="84">
        <f>'Contractors'!W653</f>
        <v/>
      </c>
      <c r="D4689" s="46">
        <f>'Contractors'!X653</f>
        <v/>
      </c>
      <c r="E4689" s="46">
        <f>IF(OR(B4689="",C4689="",D4689=""),"",D4689*100000+(C4689-DATE(2000,1,1))+ROW()/100000)</f>
        <v/>
      </c>
      <c r="F4689" s="46">
        <f>IF(E4689="","",IF(C4689&gt;WeekEndDate,"",E4689))</f>
        <v/>
      </c>
    </row>
    <row r="4690">
      <c r="A4690" t="inlineStr">
        <is>
          <t>Contractors</t>
        </is>
      </c>
      <c r="B4690" s="46">
        <f>'Contractors'!Y654</f>
        <v/>
      </c>
      <c r="C4690" s="84">
        <f>'Contractors'!W654</f>
        <v/>
      </c>
      <c r="D4690" s="46">
        <f>'Contractors'!X654</f>
        <v/>
      </c>
      <c r="E4690" s="46">
        <f>IF(OR(B4690="",C4690="",D4690=""),"",D4690*100000+(C4690-DATE(2000,1,1))+ROW()/100000)</f>
        <v/>
      </c>
      <c r="F4690" s="46">
        <f>IF(E4690="","",IF(C4690&gt;WeekEndDate,"",E4690))</f>
        <v/>
      </c>
    </row>
    <row r="4691">
      <c r="A4691" t="inlineStr">
        <is>
          <t>Contractors</t>
        </is>
      </c>
      <c r="B4691" s="46">
        <f>'Contractors'!Y655</f>
        <v/>
      </c>
      <c r="C4691" s="84">
        <f>'Contractors'!W655</f>
        <v/>
      </c>
      <c r="D4691" s="46">
        <f>'Contractors'!X655</f>
        <v/>
      </c>
      <c r="E4691" s="46">
        <f>IF(OR(B4691="",C4691="",D4691=""),"",D4691*100000+(C4691-DATE(2000,1,1))+ROW()/100000)</f>
        <v/>
      </c>
      <c r="F4691" s="46">
        <f>IF(E4691="","",IF(C4691&gt;WeekEndDate,"",E4691))</f>
        <v/>
      </c>
    </row>
    <row r="4692">
      <c r="A4692" t="inlineStr">
        <is>
          <t>Contractors</t>
        </is>
      </c>
      <c r="B4692" s="46">
        <f>'Contractors'!Y656</f>
        <v/>
      </c>
      <c r="C4692" s="84">
        <f>'Contractors'!W656</f>
        <v/>
      </c>
      <c r="D4692" s="46">
        <f>'Contractors'!X656</f>
        <v/>
      </c>
      <c r="E4692" s="46">
        <f>IF(OR(B4692="",C4692="",D4692=""),"",D4692*100000+(C4692-DATE(2000,1,1))+ROW()/100000)</f>
        <v/>
      </c>
      <c r="F4692" s="46">
        <f>IF(E4692="","",IF(C4692&gt;WeekEndDate,"",E4692))</f>
        <v/>
      </c>
    </row>
    <row r="4693">
      <c r="A4693" t="inlineStr">
        <is>
          <t>Contractors</t>
        </is>
      </c>
      <c r="B4693" s="46">
        <f>'Contractors'!Y657</f>
        <v/>
      </c>
      <c r="C4693" s="84">
        <f>'Contractors'!W657</f>
        <v/>
      </c>
      <c r="D4693" s="46">
        <f>'Contractors'!X657</f>
        <v/>
      </c>
      <c r="E4693" s="46">
        <f>IF(OR(B4693="",C4693="",D4693=""),"",D4693*100000+(C4693-DATE(2000,1,1))+ROW()/100000)</f>
        <v/>
      </c>
      <c r="F4693" s="46">
        <f>IF(E4693="","",IF(C4693&gt;WeekEndDate,"",E4693))</f>
        <v/>
      </c>
    </row>
    <row r="4694">
      <c r="A4694" t="inlineStr">
        <is>
          <t>Contractors</t>
        </is>
      </c>
      <c r="B4694" s="46">
        <f>'Contractors'!Y658</f>
        <v/>
      </c>
      <c r="C4694" s="84">
        <f>'Contractors'!W658</f>
        <v/>
      </c>
      <c r="D4694" s="46">
        <f>'Contractors'!X658</f>
        <v/>
      </c>
      <c r="E4694" s="46">
        <f>IF(OR(B4694="",C4694="",D4694=""),"",D4694*100000+(C4694-DATE(2000,1,1))+ROW()/100000)</f>
        <v/>
      </c>
      <c r="F4694" s="46">
        <f>IF(E4694="","",IF(C4694&gt;WeekEndDate,"",E4694))</f>
        <v/>
      </c>
    </row>
    <row r="4695">
      <c r="A4695" t="inlineStr">
        <is>
          <t>Contractors</t>
        </is>
      </c>
      <c r="B4695" s="46">
        <f>'Contractors'!Y659</f>
        <v/>
      </c>
      <c r="C4695" s="84">
        <f>'Contractors'!W659</f>
        <v/>
      </c>
      <c r="D4695" s="46">
        <f>'Contractors'!X659</f>
        <v/>
      </c>
      <c r="E4695" s="46">
        <f>IF(OR(B4695="",C4695="",D4695=""),"",D4695*100000+(C4695-DATE(2000,1,1))+ROW()/100000)</f>
        <v/>
      </c>
      <c r="F4695" s="46">
        <f>IF(E4695="","",IF(C4695&gt;WeekEndDate,"",E4695))</f>
        <v/>
      </c>
    </row>
    <row r="4696">
      <c r="A4696" t="inlineStr">
        <is>
          <t>Contractors</t>
        </is>
      </c>
      <c r="B4696" s="46">
        <f>'Contractors'!Y660</f>
        <v/>
      </c>
      <c r="C4696" s="84">
        <f>'Contractors'!W660</f>
        <v/>
      </c>
      <c r="D4696" s="46">
        <f>'Contractors'!X660</f>
        <v/>
      </c>
      <c r="E4696" s="46">
        <f>IF(OR(B4696="",C4696="",D4696=""),"",D4696*100000+(C4696-DATE(2000,1,1))+ROW()/100000)</f>
        <v/>
      </c>
      <c r="F4696" s="46">
        <f>IF(E4696="","",IF(C4696&gt;WeekEndDate,"",E4696))</f>
        <v/>
      </c>
    </row>
    <row r="4697">
      <c r="A4697" t="inlineStr">
        <is>
          <t>Contractors</t>
        </is>
      </c>
      <c r="B4697" s="46">
        <f>'Contractors'!Y661</f>
        <v/>
      </c>
      <c r="C4697" s="84">
        <f>'Contractors'!W661</f>
        <v/>
      </c>
      <c r="D4697" s="46">
        <f>'Contractors'!X661</f>
        <v/>
      </c>
      <c r="E4697" s="46">
        <f>IF(OR(B4697="",C4697="",D4697=""),"",D4697*100000+(C4697-DATE(2000,1,1))+ROW()/100000)</f>
        <v/>
      </c>
      <c r="F4697" s="46">
        <f>IF(E4697="","",IF(C4697&gt;WeekEndDate,"",E4697))</f>
        <v/>
      </c>
    </row>
    <row r="4698">
      <c r="A4698" t="inlineStr">
        <is>
          <t>Contractors</t>
        </is>
      </c>
      <c r="B4698" s="46">
        <f>'Contractors'!Y662</f>
        <v/>
      </c>
      <c r="C4698" s="84">
        <f>'Contractors'!W662</f>
        <v/>
      </c>
      <c r="D4698" s="46">
        <f>'Contractors'!X662</f>
        <v/>
      </c>
      <c r="E4698" s="46">
        <f>IF(OR(B4698="",C4698="",D4698=""),"",D4698*100000+(C4698-DATE(2000,1,1))+ROW()/100000)</f>
        <v/>
      </c>
      <c r="F4698" s="46">
        <f>IF(E4698="","",IF(C4698&gt;WeekEndDate,"",E4698))</f>
        <v/>
      </c>
    </row>
    <row r="4699">
      <c r="A4699" t="inlineStr">
        <is>
          <t>Contractors</t>
        </is>
      </c>
      <c r="B4699" s="46">
        <f>'Contractors'!Y663</f>
        <v/>
      </c>
      <c r="C4699" s="84">
        <f>'Contractors'!W663</f>
        <v/>
      </c>
      <c r="D4699" s="46">
        <f>'Contractors'!X663</f>
        <v/>
      </c>
      <c r="E4699" s="46">
        <f>IF(OR(B4699="",C4699="",D4699=""),"",D4699*100000+(C4699-DATE(2000,1,1))+ROW()/100000)</f>
        <v/>
      </c>
      <c r="F4699" s="46">
        <f>IF(E4699="","",IF(C4699&gt;WeekEndDate,"",E4699))</f>
        <v/>
      </c>
    </row>
    <row r="4700">
      <c r="A4700" t="inlineStr">
        <is>
          <t>Contractors</t>
        </is>
      </c>
      <c r="B4700" s="46">
        <f>'Contractors'!Y664</f>
        <v/>
      </c>
      <c r="C4700" s="84">
        <f>'Contractors'!W664</f>
        <v/>
      </c>
      <c r="D4700" s="46">
        <f>'Contractors'!X664</f>
        <v/>
      </c>
      <c r="E4700" s="46">
        <f>IF(OR(B4700="",C4700="",D4700=""),"",D4700*100000+(C4700-DATE(2000,1,1))+ROW()/100000)</f>
        <v/>
      </c>
      <c r="F4700" s="46">
        <f>IF(E4700="","",IF(C4700&gt;WeekEndDate,"",E4700))</f>
        <v/>
      </c>
    </row>
    <row r="4701">
      <c r="A4701" t="inlineStr">
        <is>
          <t>Contractors</t>
        </is>
      </c>
      <c r="B4701" s="46">
        <f>'Contractors'!Y665</f>
        <v/>
      </c>
      <c r="C4701" s="84">
        <f>'Contractors'!W665</f>
        <v/>
      </c>
      <c r="D4701" s="46">
        <f>'Contractors'!X665</f>
        <v/>
      </c>
      <c r="E4701" s="46">
        <f>IF(OR(B4701="",C4701="",D4701=""),"",D4701*100000+(C4701-DATE(2000,1,1))+ROW()/100000)</f>
        <v/>
      </c>
      <c r="F4701" s="46">
        <f>IF(E4701="","",IF(C4701&gt;WeekEndDate,"",E4701))</f>
        <v/>
      </c>
    </row>
    <row r="4702">
      <c r="A4702" t="inlineStr">
        <is>
          <t>Contractors</t>
        </is>
      </c>
      <c r="B4702" s="46">
        <f>'Contractors'!Y666</f>
        <v/>
      </c>
      <c r="C4702" s="84">
        <f>'Contractors'!W666</f>
        <v/>
      </c>
      <c r="D4702" s="46">
        <f>'Contractors'!X666</f>
        <v/>
      </c>
      <c r="E4702" s="46">
        <f>IF(OR(B4702="",C4702="",D4702=""),"",D4702*100000+(C4702-DATE(2000,1,1))+ROW()/100000)</f>
        <v/>
      </c>
      <c r="F4702" s="46">
        <f>IF(E4702="","",IF(C4702&gt;WeekEndDate,"",E4702))</f>
        <v/>
      </c>
    </row>
    <row r="4703">
      <c r="A4703" t="inlineStr">
        <is>
          <t>Contractors</t>
        </is>
      </c>
      <c r="B4703" s="46">
        <f>'Contractors'!Y667</f>
        <v/>
      </c>
      <c r="C4703" s="84">
        <f>'Contractors'!W667</f>
        <v/>
      </c>
      <c r="D4703" s="46">
        <f>'Contractors'!X667</f>
        <v/>
      </c>
      <c r="E4703" s="46">
        <f>IF(OR(B4703="",C4703="",D4703=""),"",D4703*100000+(C4703-DATE(2000,1,1))+ROW()/100000)</f>
        <v/>
      </c>
      <c r="F4703" s="46">
        <f>IF(E4703="","",IF(C4703&gt;WeekEndDate,"",E4703))</f>
        <v/>
      </c>
    </row>
    <row r="4704">
      <c r="A4704" t="inlineStr">
        <is>
          <t>Contractors</t>
        </is>
      </c>
      <c r="B4704" s="46">
        <f>'Contractors'!Y668</f>
        <v/>
      </c>
      <c r="C4704" s="84">
        <f>'Contractors'!W668</f>
        <v/>
      </c>
      <c r="D4704" s="46">
        <f>'Contractors'!X668</f>
        <v/>
      </c>
      <c r="E4704" s="46">
        <f>IF(OR(B4704="",C4704="",D4704=""),"",D4704*100000+(C4704-DATE(2000,1,1))+ROW()/100000)</f>
        <v/>
      </c>
      <c r="F4704" s="46">
        <f>IF(E4704="","",IF(C4704&gt;WeekEndDate,"",E4704))</f>
        <v/>
      </c>
    </row>
    <row r="4705">
      <c r="A4705" t="inlineStr">
        <is>
          <t>Contractors</t>
        </is>
      </c>
      <c r="B4705" s="46">
        <f>'Contractors'!Y669</f>
        <v/>
      </c>
      <c r="C4705" s="84">
        <f>'Contractors'!W669</f>
        <v/>
      </c>
      <c r="D4705" s="46">
        <f>'Contractors'!X669</f>
        <v/>
      </c>
      <c r="E4705" s="46">
        <f>IF(OR(B4705="",C4705="",D4705=""),"",D4705*100000+(C4705-DATE(2000,1,1))+ROW()/100000)</f>
        <v/>
      </c>
      <c r="F4705" s="46">
        <f>IF(E4705="","",IF(C4705&gt;WeekEndDate,"",E4705))</f>
        <v/>
      </c>
    </row>
    <row r="4706">
      <c r="A4706" t="inlineStr">
        <is>
          <t>Contractors</t>
        </is>
      </c>
      <c r="B4706" s="46">
        <f>'Contractors'!Y670</f>
        <v/>
      </c>
      <c r="C4706" s="84">
        <f>'Contractors'!W670</f>
        <v/>
      </c>
      <c r="D4706" s="46">
        <f>'Contractors'!X670</f>
        <v/>
      </c>
      <c r="E4706" s="46">
        <f>IF(OR(B4706="",C4706="",D4706=""),"",D4706*100000+(C4706-DATE(2000,1,1))+ROW()/100000)</f>
        <v/>
      </c>
      <c r="F4706" s="46">
        <f>IF(E4706="","",IF(C4706&gt;WeekEndDate,"",E4706))</f>
        <v/>
      </c>
    </row>
    <row r="4707">
      <c r="A4707" t="inlineStr">
        <is>
          <t>Contractors</t>
        </is>
      </c>
      <c r="B4707" s="46">
        <f>'Contractors'!Y671</f>
        <v/>
      </c>
      <c r="C4707" s="84">
        <f>'Contractors'!W671</f>
        <v/>
      </c>
      <c r="D4707" s="46">
        <f>'Contractors'!X671</f>
        <v/>
      </c>
      <c r="E4707" s="46">
        <f>IF(OR(B4707="",C4707="",D4707=""),"",D4707*100000+(C4707-DATE(2000,1,1))+ROW()/100000)</f>
        <v/>
      </c>
      <c r="F4707" s="46">
        <f>IF(E4707="","",IF(C4707&gt;WeekEndDate,"",E4707))</f>
        <v/>
      </c>
    </row>
    <row r="4708">
      <c r="A4708" t="inlineStr">
        <is>
          <t>Contractors</t>
        </is>
      </c>
      <c r="B4708" s="46">
        <f>'Contractors'!Y672</f>
        <v/>
      </c>
      <c r="C4708" s="84">
        <f>'Contractors'!W672</f>
        <v/>
      </c>
      <c r="D4708" s="46">
        <f>'Contractors'!X672</f>
        <v/>
      </c>
      <c r="E4708" s="46">
        <f>IF(OR(B4708="",C4708="",D4708=""),"",D4708*100000+(C4708-DATE(2000,1,1))+ROW()/100000)</f>
        <v/>
      </c>
      <c r="F4708" s="46">
        <f>IF(E4708="","",IF(C4708&gt;WeekEndDate,"",E4708))</f>
        <v/>
      </c>
    </row>
    <row r="4709">
      <c r="A4709" t="inlineStr">
        <is>
          <t>Contractors</t>
        </is>
      </c>
      <c r="B4709" s="46">
        <f>'Contractors'!Y673</f>
        <v/>
      </c>
      <c r="C4709" s="84">
        <f>'Contractors'!W673</f>
        <v/>
      </c>
      <c r="D4709" s="46">
        <f>'Contractors'!X673</f>
        <v/>
      </c>
      <c r="E4709" s="46">
        <f>IF(OR(B4709="",C4709="",D4709=""),"",D4709*100000+(C4709-DATE(2000,1,1))+ROW()/100000)</f>
        <v/>
      </c>
      <c r="F4709" s="46">
        <f>IF(E4709="","",IF(C4709&gt;WeekEndDate,"",E4709))</f>
        <v/>
      </c>
    </row>
    <row r="4710">
      <c r="A4710" t="inlineStr">
        <is>
          <t>Contractors</t>
        </is>
      </c>
      <c r="B4710" s="46">
        <f>'Contractors'!Y674</f>
        <v/>
      </c>
      <c r="C4710" s="84">
        <f>'Contractors'!W674</f>
        <v/>
      </c>
      <c r="D4710" s="46">
        <f>'Contractors'!X674</f>
        <v/>
      </c>
      <c r="E4710" s="46">
        <f>IF(OR(B4710="",C4710="",D4710=""),"",D4710*100000+(C4710-DATE(2000,1,1))+ROW()/100000)</f>
        <v/>
      </c>
      <c r="F4710" s="46">
        <f>IF(E4710="","",IF(C4710&gt;WeekEndDate,"",E4710))</f>
        <v/>
      </c>
    </row>
    <row r="4711">
      <c r="A4711" t="inlineStr">
        <is>
          <t>Contractors</t>
        </is>
      </c>
      <c r="B4711" s="46">
        <f>'Contractors'!Y675</f>
        <v/>
      </c>
      <c r="C4711" s="84">
        <f>'Contractors'!W675</f>
        <v/>
      </c>
      <c r="D4711" s="46">
        <f>'Contractors'!X675</f>
        <v/>
      </c>
      <c r="E4711" s="46">
        <f>IF(OR(B4711="",C4711="",D4711=""),"",D4711*100000+(C4711-DATE(2000,1,1))+ROW()/100000)</f>
        <v/>
      </c>
      <c r="F4711" s="46">
        <f>IF(E4711="","",IF(C4711&gt;WeekEndDate,"",E4711))</f>
        <v/>
      </c>
    </row>
    <row r="4712">
      <c r="A4712" t="inlineStr">
        <is>
          <t>Contractors</t>
        </is>
      </c>
      <c r="B4712" s="46">
        <f>'Contractors'!Y676</f>
        <v/>
      </c>
      <c r="C4712" s="84">
        <f>'Contractors'!W676</f>
        <v/>
      </c>
      <c r="D4712" s="46">
        <f>'Contractors'!X676</f>
        <v/>
      </c>
      <c r="E4712" s="46">
        <f>IF(OR(B4712="",C4712="",D4712=""),"",D4712*100000+(C4712-DATE(2000,1,1))+ROW()/100000)</f>
        <v/>
      </c>
      <c r="F4712" s="46">
        <f>IF(E4712="","",IF(C4712&gt;WeekEndDate,"",E4712))</f>
        <v/>
      </c>
    </row>
    <row r="4713">
      <c r="A4713" t="inlineStr">
        <is>
          <t>Contractors</t>
        </is>
      </c>
      <c r="B4713" s="46">
        <f>'Contractors'!Y677</f>
        <v/>
      </c>
      <c r="C4713" s="84">
        <f>'Contractors'!W677</f>
        <v/>
      </c>
      <c r="D4713" s="46">
        <f>'Contractors'!X677</f>
        <v/>
      </c>
      <c r="E4713" s="46">
        <f>IF(OR(B4713="",C4713="",D4713=""),"",D4713*100000+(C4713-DATE(2000,1,1))+ROW()/100000)</f>
        <v/>
      </c>
      <c r="F4713" s="46">
        <f>IF(E4713="","",IF(C4713&gt;WeekEndDate,"",E4713))</f>
        <v/>
      </c>
    </row>
    <row r="4714">
      <c r="A4714" t="inlineStr">
        <is>
          <t>Contractors</t>
        </is>
      </c>
      <c r="B4714" s="46">
        <f>'Contractors'!Y678</f>
        <v/>
      </c>
      <c r="C4714" s="84">
        <f>'Contractors'!W678</f>
        <v/>
      </c>
      <c r="D4714" s="46">
        <f>'Contractors'!X678</f>
        <v/>
      </c>
      <c r="E4714" s="46">
        <f>IF(OR(B4714="",C4714="",D4714=""),"",D4714*100000+(C4714-DATE(2000,1,1))+ROW()/100000)</f>
        <v/>
      </c>
      <c r="F4714" s="46">
        <f>IF(E4714="","",IF(C4714&gt;WeekEndDate,"",E4714))</f>
        <v/>
      </c>
    </row>
    <row r="4715">
      <c r="A4715" t="inlineStr">
        <is>
          <t>Contractors</t>
        </is>
      </c>
      <c r="B4715" s="46">
        <f>'Contractors'!Y679</f>
        <v/>
      </c>
      <c r="C4715" s="84">
        <f>'Contractors'!W679</f>
        <v/>
      </c>
      <c r="D4715" s="46">
        <f>'Contractors'!X679</f>
        <v/>
      </c>
      <c r="E4715" s="46">
        <f>IF(OR(B4715="",C4715="",D4715=""),"",D4715*100000+(C4715-DATE(2000,1,1))+ROW()/100000)</f>
        <v/>
      </c>
      <c r="F4715" s="46">
        <f>IF(E4715="","",IF(C4715&gt;WeekEndDate,"",E4715))</f>
        <v/>
      </c>
    </row>
    <row r="4716">
      <c r="A4716" t="inlineStr">
        <is>
          <t>Contractors</t>
        </is>
      </c>
      <c r="B4716" s="46">
        <f>'Contractors'!Y680</f>
        <v/>
      </c>
      <c r="C4716" s="84">
        <f>'Contractors'!W680</f>
        <v/>
      </c>
      <c r="D4716" s="46">
        <f>'Contractors'!X680</f>
        <v/>
      </c>
      <c r="E4716" s="46">
        <f>IF(OR(B4716="",C4716="",D4716=""),"",D4716*100000+(C4716-DATE(2000,1,1))+ROW()/100000)</f>
        <v/>
      </c>
      <c r="F4716" s="46">
        <f>IF(E4716="","",IF(C4716&gt;WeekEndDate,"",E4716))</f>
        <v/>
      </c>
    </row>
    <row r="4717">
      <c r="A4717" t="inlineStr">
        <is>
          <t>Contractors</t>
        </is>
      </c>
      <c r="B4717" s="46">
        <f>'Contractors'!Y681</f>
        <v/>
      </c>
      <c r="C4717" s="84">
        <f>'Contractors'!W681</f>
        <v/>
      </c>
      <c r="D4717" s="46">
        <f>'Contractors'!X681</f>
        <v/>
      </c>
      <c r="E4717" s="46">
        <f>IF(OR(B4717="",C4717="",D4717=""),"",D4717*100000+(C4717-DATE(2000,1,1))+ROW()/100000)</f>
        <v/>
      </c>
      <c r="F4717" s="46">
        <f>IF(E4717="","",IF(C4717&gt;WeekEndDate,"",E4717))</f>
        <v/>
      </c>
    </row>
    <row r="4718">
      <c r="A4718" t="inlineStr">
        <is>
          <t>Contractors</t>
        </is>
      </c>
      <c r="B4718" s="46">
        <f>'Contractors'!Y682</f>
        <v/>
      </c>
      <c r="C4718" s="84">
        <f>'Contractors'!W682</f>
        <v/>
      </c>
      <c r="D4718" s="46">
        <f>'Contractors'!X682</f>
        <v/>
      </c>
      <c r="E4718" s="46">
        <f>IF(OR(B4718="",C4718="",D4718=""),"",D4718*100000+(C4718-DATE(2000,1,1))+ROW()/100000)</f>
        <v/>
      </c>
      <c r="F4718" s="46">
        <f>IF(E4718="","",IF(C4718&gt;WeekEndDate,"",E4718))</f>
        <v/>
      </c>
    </row>
    <row r="4719">
      <c r="A4719" t="inlineStr">
        <is>
          <t>Contractors</t>
        </is>
      </c>
      <c r="B4719" s="46">
        <f>'Contractors'!Y683</f>
        <v/>
      </c>
      <c r="C4719" s="84">
        <f>'Contractors'!W683</f>
        <v/>
      </c>
      <c r="D4719" s="46">
        <f>'Contractors'!X683</f>
        <v/>
      </c>
      <c r="E4719" s="46">
        <f>IF(OR(B4719="",C4719="",D4719=""),"",D4719*100000+(C4719-DATE(2000,1,1))+ROW()/100000)</f>
        <v/>
      </c>
      <c r="F4719" s="46">
        <f>IF(E4719="","",IF(C4719&gt;WeekEndDate,"",E4719))</f>
        <v/>
      </c>
    </row>
    <row r="4720">
      <c r="A4720" t="inlineStr">
        <is>
          <t>Contractors</t>
        </is>
      </c>
      <c r="B4720" s="46">
        <f>'Contractors'!Y684</f>
        <v/>
      </c>
      <c r="C4720" s="84">
        <f>'Contractors'!W684</f>
        <v/>
      </c>
      <c r="D4720" s="46">
        <f>'Contractors'!X684</f>
        <v/>
      </c>
      <c r="E4720" s="46">
        <f>IF(OR(B4720="",C4720="",D4720=""),"",D4720*100000+(C4720-DATE(2000,1,1))+ROW()/100000)</f>
        <v/>
      </c>
      <c r="F4720" s="46">
        <f>IF(E4720="","",IF(C4720&gt;WeekEndDate,"",E4720))</f>
        <v/>
      </c>
    </row>
    <row r="4721">
      <c r="A4721" t="inlineStr">
        <is>
          <t>Contractors</t>
        </is>
      </c>
      <c r="B4721" s="46">
        <f>'Contractors'!Y685</f>
        <v/>
      </c>
      <c r="C4721" s="84">
        <f>'Contractors'!W685</f>
        <v/>
      </c>
      <c r="D4721" s="46">
        <f>'Contractors'!X685</f>
        <v/>
      </c>
      <c r="E4721" s="46">
        <f>IF(OR(B4721="",C4721="",D4721=""),"",D4721*100000+(C4721-DATE(2000,1,1))+ROW()/100000)</f>
        <v/>
      </c>
      <c r="F4721" s="46">
        <f>IF(E4721="","",IF(C4721&gt;WeekEndDate,"",E4721))</f>
        <v/>
      </c>
    </row>
    <row r="4722">
      <c r="A4722" t="inlineStr">
        <is>
          <t>Contractors</t>
        </is>
      </c>
      <c r="B4722" s="46">
        <f>'Contractors'!Y686</f>
        <v/>
      </c>
      <c r="C4722" s="84">
        <f>'Contractors'!W686</f>
        <v/>
      </c>
      <c r="D4722" s="46">
        <f>'Contractors'!X686</f>
        <v/>
      </c>
      <c r="E4722" s="46">
        <f>IF(OR(B4722="",C4722="",D4722=""),"",D4722*100000+(C4722-DATE(2000,1,1))+ROW()/100000)</f>
        <v/>
      </c>
      <c r="F4722" s="46">
        <f>IF(E4722="","",IF(C4722&gt;WeekEndDate,"",E4722))</f>
        <v/>
      </c>
    </row>
    <row r="4723">
      <c r="A4723" t="inlineStr">
        <is>
          <t>Contractors</t>
        </is>
      </c>
      <c r="B4723" s="46">
        <f>'Contractors'!Y687</f>
        <v/>
      </c>
      <c r="C4723" s="84">
        <f>'Contractors'!W687</f>
        <v/>
      </c>
      <c r="D4723" s="46">
        <f>'Contractors'!X687</f>
        <v/>
      </c>
      <c r="E4723" s="46">
        <f>IF(OR(B4723="",C4723="",D4723=""),"",D4723*100000+(C4723-DATE(2000,1,1))+ROW()/100000)</f>
        <v/>
      </c>
      <c r="F4723" s="46">
        <f>IF(E4723="","",IF(C4723&gt;WeekEndDate,"",E4723))</f>
        <v/>
      </c>
    </row>
    <row r="4724">
      <c r="A4724" t="inlineStr">
        <is>
          <t>Contractors</t>
        </is>
      </c>
      <c r="B4724" s="46">
        <f>'Contractors'!Y688</f>
        <v/>
      </c>
      <c r="C4724" s="84">
        <f>'Contractors'!W688</f>
        <v/>
      </c>
      <c r="D4724" s="46">
        <f>'Contractors'!X688</f>
        <v/>
      </c>
      <c r="E4724" s="46">
        <f>IF(OR(B4724="",C4724="",D4724=""),"",D4724*100000+(C4724-DATE(2000,1,1))+ROW()/100000)</f>
        <v/>
      </c>
      <c r="F4724" s="46">
        <f>IF(E4724="","",IF(C4724&gt;WeekEndDate,"",E4724))</f>
        <v/>
      </c>
    </row>
    <row r="4725">
      <c r="A4725" t="inlineStr">
        <is>
          <t>Contractors</t>
        </is>
      </c>
      <c r="B4725" s="46">
        <f>'Contractors'!Y689</f>
        <v/>
      </c>
      <c r="C4725" s="84">
        <f>'Contractors'!W689</f>
        <v/>
      </c>
      <c r="D4725" s="46">
        <f>'Contractors'!X689</f>
        <v/>
      </c>
      <c r="E4725" s="46">
        <f>IF(OR(B4725="",C4725="",D4725=""),"",D4725*100000+(C4725-DATE(2000,1,1))+ROW()/100000)</f>
        <v/>
      </c>
      <c r="F4725" s="46">
        <f>IF(E4725="","",IF(C4725&gt;WeekEndDate,"",E4725))</f>
        <v/>
      </c>
    </row>
    <row r="4726">
      <c r="A4726" t="inlineStr">
        <is>
          <t>Contractors</t>
        </is>
      </c>
      <c r="B4726" s="46">
        <f>'Contractors'!Y690</f>
        <v/>
      </c>
      <c r="C4726" s="84">
        <f>'Contractors'!W690</f>
        <v/>
      </c>
      <c r="D4726" s="46">
        <f>'Contractors'!X690</f>
        <v/>
      </c>
      <c r="E4726" s="46">
        <f>IF(OR(B4726="",C4726="",D4726=""),"",D4726*100000+(C4726-DATE(2000,1,1))+ROW()/100000)</f>
        <v/>
      </c>
      <c r="F4726" s="46">
        <f>IF(E4726="","",IF(C4726&gt;WeekEndDate,"",E4726))</f>
        <v/>
      </c>
    </row>
    <row r="4727">
      <c r="A4727" t="inlineStr">
        <is>
          <t>Contractors</t>
        </is>
      </c>
      <c r="B4727" s="46">
        <f>'Contractors'!Y691</f>
        <v/>
      </c>
      <c r="C4727" s="84">
        <f>'Contractors'!W691</f>
        <v/>
      </c>
      <c r="D4727" s="46">
        <f>'Contractors'!X691</f>
        <v/>
      </c>
      <c r="E4727" s="46">
        <f>IF(OR(B4727="",C4727="",D4727=""),"",D4727*100000+(C4727-DATE(2000,1,1))+ROW()/100000)</f>
        <v/>
      </c>
      <c r="F4727" s="46">
        <f>IF(E4727="","",IF(C4727&gt;WeekEndDate,"",E4727))</f>
        <v/>
      </c>
    </row>
    <row r="4728">
      <c r="A4728" t="inlineStr">
        <is>
          <t>Contractors</t>
        </is>
      </c>
      <c r="B4728" s="46">
        <f>'Contractors'!Y692</f>
        <v/>
      </c>
      <c r="C4728" s="84">
        <f>'Contractors'!W692</f>
        <v/>
      </c>
      <c r="D4728" s="46">
        <f>'Contractors'!X692</f>
        <v/>
      </c>
      <c r="E4728" s="46">
        <f>IF(OR(B4728="",C4728="",D4728=""),"",D4728*100000+(C4728-DATE(2000,1,1))+ROW()/100000)</f>
        <v/>
      </c>
      <c r="F4728" s="46">
        <f>IF(E4728="","",IF(C4728&gt;WeekEndDate,"",E4728))</f>
        <v/>
      </c>
    </row>
    <row r="4729">
      <c r="A4729" t="inlineStr">
        <is>
          <t>Contractors</t>
        </is>
      </c>
      <c r="B4729" s="46">
        <f>'Contractors'!Y693</f>
        <v/>
      </c>
      <c r="C4729" s="84">
        <f>'Contractors'!W693</f>
        <v/>
      </c>
      <c r="D4729" s="46">
        <f>'Contractors'!X693</f>
        <v/>
      </c>
      <c r="E4729" s="46">
        <f>IF(OR(B4729="",C4729="",D4729=""),"",D4729*100000+(C4729-DATE(2000,1,1))+ROW()/100000)</f>
        <v/>
      </c>
      <c r="F4729" s="46">
        <f>IF(E4729="","",IF(C4729&gt;WeekEndDate,"",E4729))</f>
        <v/>
      </c>
    </row>
    <row r="4730">
      <c r="A4730" t="inlineStr">
        <is>
          <t>Contractors</t>
        </is>
      </c>
      <c r="B4730" s="46">
        <f>'Contractors'!Y694</f>
        <v/>
      </c>
      <c r="C4730" s="84">
        <f>'Contractors'!W694</f>
        <v/>
      </c>
      <c r="D4730" s="46">
        <f>'Contractors'!X694</f>
        <v/>
      </c>
      <c r="E4730" s="46">
        <f>IF(OR(B4730="",C4730="",D4730=""),"",D4730*100000+(C4730-DATE(2000,1,1))+ROW()/100000)</f>
        <v/>
      </c>
      <c r="F4730" s="46">
        <f>IF(E4730="","",IF(C4730&gt;WeekEndDate,"",E4730))</f>
        <v/>
      </c>
    </row>
    <row r="4731">
      <c r="A4731" t="inlineStr">
        <is>
          <t>Contractors</t>
        </is>
      </c>
      <c r="B4731" s="46">
        <f>'Contractors'!Y695</f>
        <v/>
      </c>
      <c r="C4731" s="84">
        <f>'Contractors'!W695</f>
        <v/>
      </c>
      <c r="D4731" s="46">
        <f>'Contractors'!X695</f>
        <v/>
      </c>
      <c r="E4731" s="46">
        <f>IF(OR(B4731="",C4731="",D4731=""),"",D4731*100000+(C4731-DATE(2000,1,1))+ROW()/100000)</f>
        <v/>
      </c>
      <c r="F4731" s="46">
        <f>IF(E4731="","",IF(C4731&gt;WeekEndDate,"",E4731))</f>
        <v/>
      </c>
    </row>
    <row r="4732">
      <c r="A4732" t="inlineStr">
        <is>
          <t>Contractors</t>
        </is>
      </c>
      <c r="B4732" s="46">
        <f>'Contractors'!Y696</f>
        <v/>
      </c>
      <c r="C4732" s="84">
        <f>'Contractors'!W696</f>
        <v/>
      </c>
      <c r="D4732" s="46">
        <f>'Contractors'!X696</f>
        <v/>
      </c>
      <c r="E4732" s="46">
        <f>IF(OR(B4732="",C4732="",D4732=""),"",D4732*100000+(C4732-DATE(2000,1,1))+ROW()/100000)</f>
        <v/>
      </c>
      <c r="F4732" s="46">
        <f>IF(E4732="","",IF(C4732&gt;WeekEndDate,"",E4732))</f>
        <v/>
      </c>
    </row>
    <row r="4733">
      <c r="A4733" t="inlineStr">
        <is>
          <t>Contractors</t>
        </is>
      </c>
      <c r="B4733" s="46">
        <f>'Contractors'!Y697</f>
        <v/>
      </c>
      <c r="C4733" s="84">
        <f>'Contractors'!W697</f>
        <v/>
      </c>
      <c r="D4733" s="46">
        <f>'Contractors'!X697</f>
        <v/>
      </c>
      <c r="E4733" s="46">
        <f>IF(OR(B4733="",C4733="",D4733=""),"",D4733*100000+(C4733-DATE(2000,1,1))+ROW()/100000)</f>
        <v/>
      </c>
      <c r="F4733" s="46">
        <f>IF(E4733="","",IF(C4733&gt;WeekEndDate,"",E4733))</f>
        <v/>
      </c>
    </row>
    <row r="4734">
      <c r="A4734" t="inlineStr">
        <is>
          <t>Contractors</t>
        </is>
      </c>
      <c r="B4734" s="46">
        <f>'Contractors'!Y698</f>
        <v/>
      </c>
      <c r="C4734" s="84">
        <f>'Contractors'!W698</f>
        <v/>
      </c>
      <c r="D4734" s="46">
        <f>'Contractors'!X698</f>
        <v/>
      </c>
      <c r="E4734" s="46">
        <f>IF(OR(B4734="",C4734="",D4734=""),"",D4734*100000+(C4734-DATE(2000,1,1))+ROW()/100000)</f>
        <v/>
      </c>
      <c r="F4734" s="46">
        <f>IF(E4734="","",IF(C4734&gt;WeekEndDate,"",E4734))</f>
        <v/>
      </c>
    </row>
    <row r="4735">
      <c r="A4735" t="inlineStr">
        <is>
          <t>Contractors</t>
        </is>
      </c>
      <c r="B4735" s="46">
        <f>'Contractors'!Y699</f>
        <v/>
      </c>
      <c r="C4735" s="84">
        <f>'Contractors'!W699</f>
        <v/>
      </c>
      <c r="D4735" s="46">
        <f>'Contractors'!X699</f>
        <v/>
      </c>
      <c r="E4735" s="46">
        <f>IF(OR(B4735="",C4735="",D4735=""),"",D4735*100000+(C4735-DATE(2000,1,1))+ROW()/100000)</f>
        <v/>
      </c>
      <c r="F4735" s="46">
        <f>IF(E4735="","",IF(C4735&gt;WeekEndDate,"",E4735))</f>
        <v/>
      </c>
    </row>
    <row r="4736">
      <c r="A4736" t="inlineStr">
        <is>
          <t>Contractors</t>
        </is>
      </c>
      <c r="B4736" s="46">
        <f>'Contractors'!Y700</f>
        <v/>
      </c>
      <c r="C4736" s="84">
        <f>'Contractors'!W700</f>
        <v/>
      </c>
      <c r="D4736" s="46">
        <f>'Contractors'!X700</f>
        <v/>
      </c>
      <c r="E4736" s="46">
        <f>IF(OR(B4736="",C4736="",D4736=""),"",D4736*100000+(C4736-DATE(2000,1,1))+ROW()/100000)</f>
        <v/>
      </c>
      <c r="F4736" s="46">
        <f>IF(E4736="","",IF(C4736&gt;WeekEndDate,"",E4736))</f>
        <v/>
      </c>
    </row>
    <row r="4737">
      <c r="A4737" t="inlineStr">
        <is>
          <t>Contractors</t>
        </is>
      </c>
      <c r="B4737" s="46">
        <f>'Contractors'!Y701</f>
        <v/>
      </c>
      <c r="C4737" s="84">
        <f>'Contractors'!W701</f>
        <v/>
      </c>
      <c r="D4737" s="46">
        <f>'Contractors'!X701</f>
        <v/>
      </c>
      <c r="E4737" s="46">
        <f>IF(OR(B4737="",C4737="",D4737=""),"",D4737*100000+(C4737-DATE(2000,1,1))+ROW()/100000)</f>
        <v/>
      </c>
      <c r="F4737" s="46">
        <f>IF(E4737="","",IF(C4737&gt;WeekEndDate,"",E4737))</f>
        <v/>
      </c>
    </row>
    <row r="4738">
      <c r="A4738" t="inlineStr">
        <is>
          <t>Contractors</t>
        </is>
      </c>
      <c r="B4738" s="46">
        <f>'Contractors'!Y702</f>
        <v/>
      </c>
      <c r="C4738" s="84">
        <f>'Contractors'!W702</f>
        <v/>
      </c>
      <c r="D4738" s="46">
        <f>'Contractors'!X702</f>
        <v/>
      </c>
      <c r="E4738" s="46">
        <f>IF(OR(B4738="",C4738="",D4738=""),"",D4738*100000+(C4738-DATE(2000,1,1))+ROW()/100000)</f>
        <v/>
      </c>
      <c r="F4738" s="46">
        <f>IF(E4738="","",IF(C4738&gt;WeekEndDate,"",E4738))</f>
        <v/>
      </c>
    </row>
    <row r="4739">
      <c r="A4739" t="inlineStr">
        <is>
          <t>Contractors</t>
        </is>
      </c>
      <c r="B4739" s="46">
        <f>'Contractors'!Y703</f>
        <v/>
      </c>
      <c r="C4739" s="84">
        <f>'Contractors'!W703</f>
        <v/>
      </c>
      <c r="D4739" s="46">
        <f>'Contractors'!X703</f>
        <v/>
      </c>
      <c r="E4739" s="46">
        <f>IF(OR(B4739="",C4739="",D4739=""),"",D4739*100000+(C4739-DATE(2000,1,1))+ROW()/100000)</f>
        <v/>
      </c>
      <c r="F4739" s="46">
        <f>IF(E4739="","",IF(C4739&gt;WeekEndDate,"",E4739))</f>
        <v/>
      </c>
    </row>
    <row r="4740">
      <c r="A4740" t="inlineStr">
        <is>
          <t>Contractors</t>
        </is>
      </c>
      <c r="B4740" s="46">
        <f>'Contractors'!Y704</f>
        <v/>
      </c>
      <c r="C4740" s="84">
        <f>'Contractors'!W704</f>
        <v/>
      </c>
      <c r="D4740" s="46">
        <f>'Contractors'!X704</f>
        <v/>
      </c>
      <c r="E4740" s="46">
        <f>IF(OR(B4740="",C4740="",D4740=""),"",D4740*100000+(C4740-DATE(2000,1,1))+ROW()/100000)</f>
        <v/>
      </c>
      <c r="F4740" s="46">
        <f>IF(E4740="","",IF(C4740&gt;WeekEndDate,"",E4740))</f>
        <v/>
      </c>
    </row>
    <row r="4741">
      <c r="A4741" t="inlineStr">
        <is>
          <t>Contractors</t>
        </is>
      </c>
      <c r="B4741" s="46">
        <f>'Contractors'!Y705</f>
        <v/>
      </c>
      <c r="C4741" s="84">
        <f>'Contractors'!W705</f>
        <v/>
      </c>
      <c r="D4741" s="46">
        <f>'Contractors'!X705</f>
        <v/>
      </c>
      <c r="E4741" s="46">
        <f>IF(OR(B4741="",C4741="",D4741=""),"",D4741*100000+(C4741-DATE(2000,1,1))+ROW()/100000)</f>
        <v/>
      </c>
      <c r="F4741" s="46">
        <f>IF(E4741="","",IF(C4741&gt;WeekEndDate,"",E4741))</f>
        <v/>
      </c>
    </row>
    <row r="4742">
      <c r="A4742" t="inlineStr">
        <is>
          <t>Contractors</t>
        </is>
      </c>
      <c r="B4742" s="46">
        <f>'Contractors'!Y706</f>
        <v/>
      </c>
      <c r="C4742" s="84">
        <f>'Contractors'!W706</f>
        <v/>
      </c>
      <c r="D4742" s="46">
        <f>'Contractors'!X706</f>
        <v/>
      </c>
      <c r="E4742" s="46">
        <f>IF(OR(B4742="",C4742="",D4742=""),"",D4742*100000+(C4742-DATE(2000,1,1))+ROW()/100000)</f>
        <v/>
      </c>
      <c r="F4742" s="46">
        <f>IF(E4742="","",IF(C4742&gt;WeekEndDate,"",E4742))</f>
        <v/>
      </c>
    </row>
    <row r="4743">
      <c r="A4743" t="inlineStr">
        <is>
          <t>Contractors</t>
        </is>
      </c>
      <c r="B4743" s="46">
        <f>'Contractors'!Y707</f>
        <v/>
      </c>
      <c r="C4743" s="84">
        <f>'Contractors'!W707</f>
        <v/>
      </c>
      <c r="D4743" s="46">
        <f>'Contractors'!X707</f>
        <v/>
      </c>
      <c r="E4743" s="46">
        <f>IF(OR(B4743="",C4743="",D4743=""),"",D4743*100000+(C4743-DATE(2000,1,1))+ROW()/100000)</f>
        <v/>
      </c>
      <c r="F4743" s="46">
        <f>IF(E4743="","",IF(C4743&gt;WeekEndDate,"",E4743))</f>
        <v/>
      </c>
    </row>
    <row r="4744">
      <c r="A4744" t="inlineStr">
        <is>
          <t>Contractors</t>
        </is>
      </c>
      <c r="B4744" s="46">
        <f>'Contractors'!Y708</f>
        <v/>
      </c>
      <c r="C4744" s="84">
        <f>'Contractors'!W708</f>
        <v/>
      </c>
      <c r="D4744" s="46">
        <f>'Contractors'!X708</f>
        <v/>
      </c>
      <c r="E4744" s="46">
        <f>IF(OR(B4744="",C4744="",D4744=""),"",D4744*100000+(C4744-DATE(2000,1,1))+ROW()/100000)</f>
        <v/>
      </c>
      <c r="F4744" s="46">
        <f>IF(E4744="","",IF(C4744&gt;WeekEndDate,"",E4744))</f>
        <v/>
      </c>
    </row>
    <row r="4745">
      <c r="A4745" t="inlineStr">
        <is>
          <t>Contractors</t>
        </is>
      </c>
      <c r="B4745" s="46">
        <f>'Contractors'!Y709</f>
        <v/>
      </c>
      <c r="C4745" s="84">
        <f>'Contractors'!W709</f>
        <v/>
      </c>
      <c r="D4745" s="46">
        <f>'Contractors'!X709</f>
        <v/>
      </c>
      <c r="E4745" s="46">
        <f>IF(OR(B4745="",C4745="",D4745=""),"",D4745*100000+(C4745-DATE(2000,1,1))+ROW()/100000)</f>
        <v/>
      </c>
      <c r="F4745" s="46">
        <f>IF(E4745="","",IF(C4745&gt;WeekEndDate,"",E4745))</f>
        <v/>
      </c>
    </row>
    <row r="4746">
      <c r="A4746" t="inlineStr">
        <is>
          <t>Contractors</t>
        </is>
      </c>
      <c r="B4746" s="46">
        <f>'Contractors'!Y710</f>
        <v/>
      </c>
      <c r="C4746" s="84">
        <f>'Contractors'!W710</f>
        <v/>
      </c>
      <c r="D4746" s="46">
        <f>'Contractors'!X710</f>
        <v/>
      </c>
      <c r="E4746" s="46">
        <f>IF(OR(B4746="",C4746="",D4746=""),"",D4746*100000+(C4746-DATE(2000,1,1))+ROW()/100000)</f>
        <v/>
      </c>
      <c r="F4746" s="46">
        <f>IF(E4746="","",IF(C4746&gt;WeekEndDate,"",E4746))</f>
        <v/>
      </c>
    </row>
    <row r="4747">
      <c r="A4747" t="inlineStr">
        <is>
          <t>Contractors</t>
        </is>
      </c>
      <c r="B4747" s="46">
        <f>'Contractors'!Y711</f>
        <v/>
      </c>
      <c r="C4747" s="84">
        <f>'Contractors'!W711</f>
        <v/>
      </c>
      <c r="D4747" s="46">
        <f>'Contractors'!X711</f>
        <v/>
      </c>
      <c r="E4747" s="46">
        <f>IF(OR(B4747="",C4747="",D4747=""),"",D4747*100000+(C4747-DATE(2000,1,1))+ROW()/100000)</f>
        <v/>
      </c>
      <c r="F4747" s="46">
        <f>IF(E4747="","",IF(C4747&gt;WeekEndDate,"",E4747))</f>
        <v/>
      </c>
    </row>
    <row r="4748">
      <c r="A4748" t="inlineStr">
        <is>
          <t>Contractors</t>
        </is>
      </c>
      <c r="B4748" s="46">
        <f>'Contractors'!Y712</f>
        <v/>
      </c>
      <c r="C4748" s="84">
        <f>'Contractors'!W712</f>
        <v/>
      </c>
      <c r="D4748" s="46">
        <f>'Contractors'!X712</f>
        <v/>
      </c>
      <c r="E4748" s="46">
        <f>IF(OR(B4748="",C4748="",D4748=""),"",D4748*100000+(C4748-DATE(2000,1,1))+ROW()/100000)</f>
        <v/>
      </c>
      <c r="F4748" s="46">
        <f>IF(E4748="","",IF(C4748&gt;WeekEndDate,"",E4748))</f>
        <v/>
      </c>
    </row>
    <row r="4749">
      <c r="A4749" t="inlineStr">
        <is>
          <t>Contractors</t>
        </is>
      </c>
      <c r="B4749" s="46">
        <f>'Contractors'!Y713</f>
        <v/>
      </c>
      <c r="C4749" s="84">
        <f>'Contractors'!W713</f>
        <v/>
      </c>
      <c r="D4749" s="46">
        <f>'Contractors'!X713</f>
        <v/>
      </c>
      <c r="E4749" s="46">
        <f>IF(OR(B4749="",C4749="",D4749=""),"",D4749*100000+(C4749-DATE(2000,1,1))+ROW()/100000)</f>
        <v/>
      </c>
      <c r="F4749" s="46">
        <f>IF(E4749="","",IF(C4749&gt;WeekEndDate,"",E4749))</f>
        <v/>
      </c>
    </row>
    <row r="4750">
      <c r="A4750" t="inlineStr">
        <is>
          <t>Contractors</t>
        </is>
      </c>
      <c r="B4750" s="46">
        <f>'Contractors'!Y714</f>
        <v/>
      </c>
      <c r="C4750" s="84">
        <f>'Contractors'!W714</f>
        <v/>
      </c>
      <c r="D4750" s="46">
        <f>'Contractors'!X714</f>
        <v/>
      </c>
      <c r="E4750" s="46">
        <f>IF(OR(B4750="",C4750="",D4750=""),"",D4750*100000+(C4750-DATE(2000,1,1))+ROW()/100000)</f>
        <v/>
      </c>
      <c r="F4750" s="46">
        <f>IF(E4750="","",IF(C4750&gt;WeekEndDate,"",E4750))</f>
        <v/>
      </c>
    </row>
    <row r="4751">
      <c r="A4751" t="inlineStr">
        <is>
          <t>Contractors</t>
        </is>
      </c>
      <c r="B4751" s="46">
        <f>'Contractors'!Y715</f>
        <v/>
      </c>
      <c r="C4751" s="84">
        <f>'Contractors'!W715</f>
        <v/>
      </c>
      <c r="D4751" s="46">
        <f>'Contractors'!X715</f>
        <v/>
      </c>
      <c r="E4751" s="46">
        <f>IF(OR(B4751="",C4751="",D4751=""),"",D4751*100000+(C4751-DATE(2000,1,1))+ROW()/100000)</f>
        <v/>
      </c>
      <c r="F4751" s="46">
        <f>IF(E4751="","",IF(C4751&gt;WeekEndDate,"",E4751))</f>
        <v/>
      </c>
    </row>
    <row r="4752">
      <c r="A4752" t="inlineStr">
        <is>
          <t>Contractors</t>
        </is>
      </c>
      <c r="B4752" s="46">
        <f>'Contractors'!Y716</f>
        <v/>
      </c>
      <c r="C4752" s="84">
        <f>'Contractors'!W716</f>
        <v/>
      </c>
      <c r="D4752" s="46">
        <f>'Contractors'!X716</f>
        <v/>
      </c>
      <c r="E4752" s="46">
        <f>IF(OR(B4752="",C4752="",D4752=""),"",D4752*100000+(C4752-DATE(2000,1,1))+ROW()/100000)</f>
        <v/>
      </c>
      <c r="F4752" s="46">
        <f>IF(E4752="","",IF(C4752&gt;WeekEndDate,"",E4752))</f>
        <v/>
      </c>
    </row>
    <row r="4753">
      <c r="A4753" t="inlineStr">
        <is>
          <t>Contractors</t>
        </is>
      </c>
      <c r="B4753" s="46">
        <f>'Contractors'!Y717</f>
        <v/>
      </c>
      <c r="C4753" s="84">
        <f>'Contractors'!W717</f>
        <v/>
      </c>
      <c r="D4753" s="46">
        <f>'Contractors'!X717</f>
        <v/>
      </c>
      <c r="E4753" s="46">
        <f>IF(OR(B4753="",C4753="",D4753=""),"",D4753*100000+(C4753-DATE(2000,1,1))+ROW()/100000)</f>
        <v/>
      </c>
      <c r="F4753" s="46">
        <f>IF(E4753="","",IF(C4753&gt;WeekEndDate,"",E4753))</f>
        <v/>
      </c>
    </row>
    <row r="4754">
      <c r="A4754" t="inlineStr">
        <is>
          <t>Contractors</t>
        </is>
      </c>
      <c r="B4754" s="46">
        <f>'Contractors'!Y718</f>
        <v/>
      </c>
      <c r="C4754" s="84">
        <f>'Contractors'!W718</f>
        <v/>
      </c>
      <c r="D4754" s="46">
        <f>'Contractors'!X718</f>
        <v/>
      </c>
      <c r="E4754" s="46">
        <f>IF(OR(B4754="",C4754="",D4754=""),"",D4754*100000+(C4754-DATE(2000,1,1))+ROW()/100000)</f>
        <v/>
      </c>
      <c r="F4754" s="46">
        <f>IF(E4754="","",IF(C4754&gt;WeekEndDate,"",E4754))</f>
        <v/>
      </c>
    </row>
    <row r="4755">
      <c r="A4755" t="inlineStr">
        <is>
          <t>Contractors</t>
        </is>
      </c>
      <c r="B4755" s="46">
        <f>'Contractors'!Y719</f>
        <v/>
      </c>
      <c r="C4755" s="84">
        <f>'Contractors'!W719</f>
        <v/>
      </c>
      <c r="D4755" s="46">
        <f>'Contractors'!X719</f>
        <v/>
      </c>
      <c r="E4755" s="46">
        <f>IF(OR(B4755="",C4755="",D4755=""),"",D4755*100000+(C4755-DATE(2000,1,1))+ROW()/100000)</f>
        <v/>
      </c>
      <c r="F4755" s="46">
        <f>IF(E4755="","",IF(C4755&gt;WeekEndDate,"",E4755))</f>
        <v/>
      </c>
    </row>
    <row r="4756">
      <c r="A4756" t="inlineStr">
        <is>
          <t>Contractors</t>
        </is>
      </c>
      <c r="B4756" s="46">
        <f>'Contractors'!Y720</f>
        <v/>
      </c>
      <c r="C4756" s="84">
        <f>'Contractors'!W720</f>
        <v/>
      </c>
      <c r="D4756" s="46">
        <f>'Contractors'!X720</f>
        <v/>
      </c>
      <c r="E4756" s="46">
        <f>IF(OR(B4756="",C4756="",D4756=""),"",D4756*100000+(C4756-DATE(2000,1,1))+ROW()/100000)</f>
        <v/>
      </c>
      <c r="F4756" s="46">
        <f>IF(E4756="","",IF(C4756&gt;WeekEndDate,"",E4756))</f>
        <v/>
      </c>
    </row>
    <row r="4757">
      <c r="A4757" t="inlineStr">
        <is>
          <t>Contractors</t>
        </is>
      </c>
      <c r="B4757" s="46">
        <f>'Contractors'!Y721</f>
        <v/>
      </c>
      <c r="C4757" s="84">
        <f>'Contractors'!W721</f>
        <v/>
      </c>
      <c r="D4757" s="46">
        <f>'Contractors'!X721</f>
        <v/>
      </c>
      <c r="E4757" s="46">
        <f>IF(OR(B4757="",C4757="",D4757=""),"",D4757*100000+(C4757-DATE(2000,1,1))+ROW()/100000)</f>
        <v/>
      </c>
      <c r="F4757" s="46">
        <f>IF(E4757="","",IF(C4757&gt;WeekEndDate,"",E4757))</f>
        <v/>
      </c>
    </row>
    <row r="4758">
      <c r="A4758" t="inlineStr">
        <is>
          <t>Contractors</t>
        </is>
      </c>
      <c r="B4758" s="46">
        <f>'Contractors'!Y722</f>
        <v/>
      </c>
      <c r="C4758" s="84">
        <f>'Contractors'!W722</f>
        <v/>
      </c>
      <c r="D4758" s="46">
        <f>'Contractors'!X722</f>
        <v/>
      </c>
      <c r="E4758" s="46">
        <f>IF(OR(B4758="",C4758="",D4758=""),"",D4758*100000+(C4758-DATE(2000,1,1))+ROW()/100000)</f>
        <v/>
      </c>
      <c r="F4758" s="46">
        <f>IF(E4758="","",IF(C4758&gt;WeekEndDate,"",E4758))</f>
        <v/>
      </c>
    </row>
    <row r="4759">
      <c r="A4759" t="inlineStr">
        <is>
          <t>Contractors</t>
        </is>
      </c>
      <c r="B4759" s="46">
        <f>'Contractors'!Y723</f>
        <v/>
      </c>
      <c r="C4759" s="84">
        <f>'Contractors'!W723</f>
        <v/>
      </c>
      <c r="D4759" s="46">
        <f>'Contractors'!X723</f>
        <v/>
      </c>
      <c r="E4759" s="46">
        <f>IF(OR(B4759="",C4759="",D4759=""),"",D4759*100000+(C4759-DATE(2000,1,1))+ROW()/100000)</f>
        <v/>
      </c>
      <c r="F4759" s="46">
        <f>IF(E4759="","",IF(C4759&gt;WeekEndDate,"",E4759))</f>
        <v/>
      </c>
    </row>
    <row r="4760">
      <c r="A4760" t="inlineStr">
        <is>
          <t>Contractors</t>
        </is>
      </c>
      <c r="B4760" s="46">
        <f>'Contractors'!Y724</f>
        <v/>
      </c>
      <c r="C4760" s="84">
        <f>'Contractors'!W724</f>
        <v/>
      </c>
      <c r="D4760" s="46">
        <f>'Contractors'!X724</f>
        <v/>
      </c>
      <c r="E4760" s="46">
        <f>IF(OR(B4760="",C4760="",D4760=""),"",D4760*100000+(C4760-DATE(2000,1,1))+ROW()/100000)</f>
        <v/>
      </c>
      <c r="F4760" s="46">
        <f>IF(E4760="","",IF(C4760&gt;WeekEndDate,"",E4760))</f>
        <v/>
      </c>
    </row>
    <row r="4761">
      <c r="A4761" t="inlineStr">
        <is>
          <t>Contractors</t>
        </is>
      </c>
      <c r="B4761" s="46">
        <f>'Contractors'!Y725</f>
        <v/>
      </c>
      <c r="C4761" s="84">
        <f>'Contractors'!W725</f>
        <v/>
      </c>
      <c r="D4761" s="46">
        <f>'Contractors'!X725</f>
        <v/>
      </c>
      <c r="E4761" s="46">
        <f>IF(OR(B4761="",C4761="",D4761=""),"",D4761*100000+(C4761-DATE(2000,1,1))+ROW()/100000)</f>
        <v/>
      </c>
      <c r="F4761" s="46">
        <f>IF(E4761="","",IF(C4761&gt;WeekEndDate,"",E4761))</f>
        <v/>
      </c>
    </row>
    <row r="4762">
      <c r="A4762" t="inlineStr">
        <is>
          <t>Contractors</t>
        </is>
      </c>
      <c r="B4762" s="46">
        <f>'Contractors'!Y726</f>
        <v/>
      </c>
      <c r="C4762" s="84">
        <f>'Contractors'!W726</f>
        <v/>
      </c>
      <c r="D4762" s="46">
        <f>'Contractors'!X726</f>
        <v/>
      </c>
      <c r="E4762" s="46">
        <f>IF(OR(B4762="",C4762="",D4762=""),"",D4762*100000+(C4762-DATE(2000,1,1))+ROW()/100000)</f>
        <v/>
      </c>
      <c r="F4762" s="46">
        <f>IF(E4762="","",IF(C4762&gt;WeekEndDate,"",E4762))</f>
        <v/>
      </c>
    </row>
    <row r="4763">
      <c r="A4763" t="inlineStr">
        <is>
          <t>Contractors</t>
        </is>
      </c>
      <c r="B4763" s="46">
        <f>'Contractors'!Y727</f>
        <v/>
      </c>
      <c r="C4763" s="84">
        <f>'Contractors'!W727</f>
        <v/>
      </c>
      <c r="D4763" s="46">
        <f>'Contractors'!X727</f>
        <v/>
      </c>
      <c r="E4763" s="46">
        <f>IF(OR(B4763="",C4763="",D4763=""),"",D4763*100000+(C4763-DATE(2000,1,1))+ROW()/100000)</f>
        <v/>
      </c>
      <c r="F4763" s="46">
        <f>IF(E4763="","",IF(C4763&gt;WeekEndDate,"",E4763))</f>
        <v/>
      </c>
    </row>
    <row r="4764">
      <c r="A4764" t="inlineStr">
        <is>
          <t>Contractors</t>
        </is>
      </c>
      <c r="B4764" s="46">
        <f>'Contractors'!Y728</f>
        <v/>
      </c>
      <c r="C4764" s="84">
        <f>'Contractors'!W728</f>
        <v/>
      </c>
      <c r="D4764" s="46">
        <f>'Contractors'!X728</f>
        <v/>
      </c>
      <c r="E4764" s="46">
        <f>IF(OR(B4764="",C4764="",D4764=""),"",D4764*100000+(C4764-DATE(2000,1,1))+ROW()/100000)</f>
        <v/>
      </c>
      <c r="F4764" s="46">
        <f>IF(E4764="","",IF(C4764&gt;WeekEndDate,"",E4764))</f>
        <v/>
      </c>
    </row>
    <row r="4765">
      <c r="A4765" t="inlineStr">
        <is>
          <t>Contractors</t>
        </is>
      </c>
      <c r="B4765" s="46">
        <f>'Contractors'!Y729</f>
        <v/>
      </c>
      <c r="C4765" s="84">
        <f>'Contractors'!W729</f>
        <v/>
      </c>
      <c r="D4765" s="46">
        <f>'Contractors'!X729</f>
        <v/>
      </c>
      <c r="E4765" s="46">
        <f>IF(OR(B4765="",C4765="",D4765=""),"",D4765*100000+(C4765-DATE(2000,1,1))+ROW()/100000)</f>
        <v/>
      </c>
      <c r="F4765" s="46">
        <f>IF(E4765="","",IF(C4765&gt;WeekEndDate,"",E4765))</f>
        <v/>
      </c>
    </row>
    <row r="4766">
      <c r="A4766" t="inlineStr">
        <is>
          <t>Contractors</t>
        </is>
      </c>
      <c r="B4766" s="46">
        <f>'Contractors'!Y730</f>
        <v/>
      </c>
      <c r="C4766" s="84">
        <f>'Contractors'!W730</f>
        <v/>
      </c>
      <c r="D4766" s="46">
        <f>'Contractors'!X730</f>
        <v/>
      </c>
      <c r="E4766" s="46">
        <f>IF(OR(B4766="",C4766="",D4766=""),"",D4766*100000+(C4766-DATE(2000,1,1))+ROW()/100000)</f>
        <v/>
      </c>
      <c r="F4766" s="46">
        <f>IF(E4766="","",IF(C4766&gt;WeekEndDate,"",E4766))</f>
        <v/>
      </c>
    </row>
    <row r="4767">
      <c r="A4767" t="inlineStr">
        <is>
          <t>Contractors</t>
        </is>
      </c>
      <c r="B4767" s="46">
        <f>'Contractors'!Y731</f>
        <v/>
      </c>
      <c r="C4767" s="84">
        <f>'Contractors'!W731</f>
        <v/>
      </c>
      <c r="D4767" s="46">
        <f>'Contractors'!X731</f>
        <v/>
      </c>
      <c r="E4767" s="46">
        <f>IF(OR(B4767="",C4767="",D4767=""),"",D4767*100000+(C4767-DATE(2000,1,1))+ROW()/100000)</f>
        <v/>
      </c>
      <c r="F4767" s="46">
        <f>IF(E4767="","",IF(C4767&gt;WeekEndDate,"",E4767))</f>
        <v/>
      </c>
    </row>
    <row r="4768">
      <c r="A4768" t="inlineStr">
        <is>
          <t>Contractors</t>
        </is>
      </c>
      <c r="B4768" s="46">
        <f>'Contractors'!Y732</f>
        <v/>
      </c>
      <c r="C4768" s="84">
        <f>'Contractors'!W732</f>
        <v/>
      </c>
      <c r="D4768" s="46">
        <f>'Contractors'!X732</f>
        <v/>
      </c>
      <c r="E4768" s="46">
        <f>IF(OR(B4768="",C4768="",D4768=""),"",D4768*100000+(C4768-DATE(2000,1,1))+ROW()/100000)</f>
        <v/>
      </c>
      <c r="F4768" s="46">
        <f>IF(E4768="","",IF(C4768&gt;WeekEndDate,"",E4768))</f>
        <v/>
      </c>
    </row>
    <row r="4769">
      <c r="A4769" t="inlineStr">
        <is>
          <t>Contractors</t>
        </is>
      </c>
      <c r="B4769" s="46">
        <f>'Contractors'!Y733</f>
        <v/>
      </c>
      <c r="C4769" s="84">
        <f>'Contractors'!W733</f>
        <v/>
      </c>
      <c r="D4769" s="46">
        <f>'Contractors'!X733</f>
        <v/>
      </c>
      <c r="E4769" s="46">
        <f>IF(OR(B4769="",C4769="",D4769=""),"",D4769*100000+(C4769-DATE(2000,1,1))+ROW()/100000)</f>
        <v/>
      </c>
      <c r="F4769" s="46">
        <f>IF(E4769="","",IF(C4769&gt;WeekEndDate,"",E4769))</f>
        <v/>
      </c>
    </row>
    <row r="4770">
      <c r="A4770" t="inlineStr">
        <is>
          <t>Contractors</t>
        </is>
      </c>
      <c r="B4770" s="46">
        <f>'Contractors'!Y734</f>
        <v/>
      </c>
      <c r="C4770" s="84">
        <f>'Contractors'!W734</f>
        <v/>
      </c>
      <c r="D4770" s="46">
        <f>'Contractors'!X734</f>
        <v/>
      </c>
      <c r="E4770" s="46">
        <f>IF(OR(B4770="",C4770="",D4770=""),"",D4770*100000+(C4770-DATE(2000,1,1))+ROW()/100000)</f>
        <v/>
      </c>
      <c r="F4770" s="46">
        <f>IF(E4770="","",IF(C4770&gt;WeekEndDate,"",E4770))</f>
        <v/>
      </c>
    </row>
    <row r="4771">
      <c r="A4771" t="inlineStr">
        <is>
          <t>Contractors</t>
        </is>
      </c>
      <c r="B4771" s="46">
        <f>'Contractors'!Y735</f>
        <v/>
      </c>
      <c r="C4771" s="84">
        <f>'Contractors'!W735</f>
        <v/>
      </c>
      <c r="D4771" s="46">
        <f>'Contractors'!X735</f>
        <v/>
      </c>
      <c r="E4771" s="46">
        <f>IF(OR(B4771="",C4771="",D4771=""),"",D4771*100000+(C4771-DATE(2000,1,1))+ROW()/100000)</f>
        <v/>
      </c>
      <c r="F4771" s="46">
        <f>IF(E4771="","",IF(C4771&gt;WeekEndDate,"",E4771))</f>
        <v/>
      </c>
    </row>
    <row r="4772">
      <c r="A4772" t="inlineStr">
        <is>
          <t>Contractors</t>
        </is>
      </c>
      <c r="B4772" s="46">
        <f>'Contractors'!Y736</f>
        <v/>
      </c>
      <c r="C4772" s="84">
        <f>'Contractors'!W736</f>
        <v/>
      </c>
      <c r="D4772" s="46">
        <f>'Contractors'!X736</f>
        <v/>
      </c>
      <c r="E4772" s="46">
        <f>IF(OR(B4772="",C4772="",D4772=""),"",D4772*100000+(C4772-DATE(2000,1,1))+ROW()/100000)</f>
        <v/>
      </c>
      <c r="F4772" s="46">
        <f>IF(E4772="","",IF(C4772&gt;WeekEndDate,"",E4772))</f>
        <v/>
      </c>
    </row>
    <row r="4773">
      <c r="A4773" t="inlineStr">
        <is>
          <t>Contractors</t>
        </is>
      </c>
      <c r="B4773" s="46">
        <f>'Contractors'!Y737</f>
        <v/>
      </c>
      <c r="C4773" s="84">
        <f>'Contractors'!W737</f>
        <v/>
      </c>
      <c r="D4773" s="46">
        <f>'Contractors'!X737</f>
        <v/>
      </c>
      <c r="E4773" s="46">
        <f>IF(OR(B4773="",C4773="",D4773=""),"",D4773*100000+(C4773-DATE(2000,1,1))+ROW()/100000)</f>
        <v/>
      </c>
      <c r="F4773" s="46">
        <f>IF(E4773="","",IF(C4773&gt;WeekEndDate,"",E4773))</f>
        <v/>
      </c>
    </row>
    <row r="4774">
      <c r="A4774" t="inlineStr">
        <is>
          <t>Contractors</t>
        </is>
      </c>
      <c r="B4774" s="46">
        <f>'Contractors'!Y738</f>
        <v/>
      </c>
      <c r="C4774" s="84">
        <f>'Contractors'!W738</f>
        <v/>
      </c>
      <c r="D4774" s="46">
        <f>'Contractors'!X738</f>
        <v/>
      </c>
      <c r="E4774" s="46">
        <f>IF(OR(B4774="",C4774="",D4774=""),"",D4774*100000+(C4774-DATE(2000,1,1))+ROW()/100000)</f>
        <v/>
      </c>
      <c r="F4774" s="46">
        <f>IF(E4774="","",IF(C4774&gt;WeekEndDate,"",E4774))</f>
        <v/>
      </c>
    </row>
    <row r="4775">
      <c r="A4775" t="inlineStr">
        <is>
          <t>Contractors</t>
        </is>
      </c>
      <c r="B4775" s="46">
        <f>'Contractors'!Y739</f>
        <v/>
      </c>
      <c r="C4775" s="84">
        <f>'Contractors'!W739</f>
        <v/>
      </c>
      <c r="D4775" s="46">
        <f>'Contractors'!X739</f>
        <v/>
      </c>
      <c r="E4775" s="46">
        <f>IF(OR(B4775="",C4775="",D4775=""),"",D4775*100000+(C4775-DATE(2000,1,1))+ROW()/100000)</f>
        <v/>
      </c>
      <c r="F4775" s="46">
        <f>IF(E4775="","",IF(C4775&gt;WeekEndDate,"",E4775))</f>
        <v/>
      </c>
    </row>
    <row r="4776">
      <c r="A4776" t="inlineStr">
        <is>
          <t>Contractors</t>
        </is>
      </c>
      <c r="B4776" s="46">
        <f>'Contractors'!Y740</f>
        <v/>
      </c>
      <c r="C4776" s="84">
        <f>'Contractors'!W740</f>
        <v/>
      </c>
      <c r="D4776" s="46">
        <f>'Contractors'!X740</f>
        <v/>
      </c>
      <c r="E4776" s="46">
        <f>IF(OR(B4776="",C4776="",D4776=""),"",D4776*100000+(C4776-DATE(2000,1,1))+ROW()/100000)</f>
        <v/>
      </c>
      <c r="F4776" s="46">
        <f>IF(E4776="","",IF(C4776&gt;WeekEndDate,"",E4776))</f>
        <v/>
      </c>
    </row>
    <row r="4777">
      <c r="A4777" t="inlineStr">
        <is>
          <t>Contractors</t>
        </is>
      </c>
      <c r="B4777" s="46">
        <f>'Contractors'!Y741</f>
        <v/>
      </c>
      <c r="C4777" s="84">
        <f>'Contractors'!W741</f>
        <v/>
      </c>
      <c r="D4777" s="46">
        <f>'Contractors'!X741</f>
        <v/>
      </c>
      <c r="E4777" s="46">
        <f>IF(OR(B4777="",C4777="",D4777=""),"",D4777*100000+(C4777-DATE(2000,1,1))+ROW()/100000)</f>
        <v/>
      </c>
      <c r="F4777" s="46">
        <f>IF(E4777="","",IF(C4777&gt;WeekEndDate,"",E4777))</f>
        <v/>
      </c>
    </row>
    <row r="4778">
      <c r="A4778" t="inlineStr">
        <is>
          <t>Contractors</t>
        </is>
      </c>
      <c r="B4778" s="46">
        <f>'Contractors'!Y742</f>
        <v/>
      </c>
      <c r="C4778" s="84">
        <f>'Contractors'!W742</f>
        <v/>
      </c>
      <c r="D4778" s="46">
        <f>'Contractors'!X742</f>
        <v/>
      </c>
      <c r="E4778" s="46">
        <f>IF(OR(B4778="",C4778="",D4778=""),"",D4778*100000+(C4778-DATE(2000,1,1))+ROW()/100000)</f>
        <v/>
      </c>
      <c r="F4778" s="46">
        <f>IF(E4778="","",IF(C4778&gt;WeekEndDate,"",E4778))</f>
        <v/>
      </c>
    </row>
    <row r="4779">
      <c r="A4779" t="inlineStr">
        <is>
          <t>Contractors</t>
        </is>
      </c>
      <c r="B4779" s="46">
        <f>'Contractors'!Y743</f>
        <v/>
      </c>
      <c r="C4779" s="84">
        <f>'Contractors'!W743</f>
        <v/>
      </c>
      <c r="D4779" s="46">
        <f>'Contractors'!X743</f>
        <v/>
      </c>
      <c r="E4779" s="46">
        <f>IF(OR(B4779="",C4779="",D4779=""),"",D4779*100000+(C4779-DATE(2000,1,1))+ROW()/100000)</f>
        <v/>
      </c>
      <c r="F4779" s="46">
        <f>IF(E4779="","",IF(C4779&gt;WeekEndDate,"",E4779))</f>
        <v/>
      </c>
    </row>
    <row r="4780">
      <c r="A4780" t="inlineStr">
        <is>
          <t>Contractors</t>
        </is>
      </c>
      <c r="B4780" s="46">
        <f>'Contractors'!Y744</f>
        <v/>
      </c>
      <c r="C4780" s="84">
        <f>'Contractors'!W744</f>
        <v/>
      </c>
      <c r="D4780" s="46">
        <f>'Contractors'!X744</f>
        <v/>
      </c>
      <c r="E4780" s="46">
        <f>IF(OR(B4780="",C4780="",D4780=""),"",D4780*100000+(C4780-DATE(2000,1,1))+ROW()/100000)</f>
        <v/>
      </c>
      <c r="F4780" s="46">
        <f>IF(E4780="","",IF(C4780&gt;WeekEndDate,"",E4780))</f>
        <v/>
      </c>
    </row>
    <row r="4781">
      <c r="A4781" t="inlineStr">
        <is>
          <t>Contractors</t>
        </is>
      </c>
      <c r="B4781" s="46">
        <f>'Contractors'!Y745</f>
        <v/>
      </c>
      <c r="C4781" s="84">
        <f>'Contractors'!W745</f>
        <v/>
      </c>
      <c r="D4781" s="46">
        <f>'Contractors'!X745</f>
        <v/>
      </c>
      <c r="E4781" s="46">
        <f>IF(OR(B4781="",C4781="",D4781=""),"",D4781*100000+(C4781-DATE(2000,1,1))+ROW()/100000)</f>
        <v/>
      </c>
      <c r="F4781" s="46">
        <f>IF(E4781="","",IF(C4781&gt;WeekEndDate,"",E4781))</f>
        <v/>
      </c>
    </row>
    <row r="4782">
      <c r="A4782" t="inlineStr">
        <is>
          <t>Contractors</t>
        </is>
      </c>
      <c r="B4782" s="46">
        <f>'Contractors'!Y746</f>
        <v/>
      </c>
      <c r="C4782" s="84">
        <f>'Contractors'!W746</f>
        <v/>
      </c>
      <c r="D4782" s="46">
        <f>'Contractors'!X746</f>
        <v/>
      </c>
      <c r="E4782" s="46">
        <f>IF(OR(B4782="",C4782="",D4782=""),"",D4782*100000+(C4782-DATE(2000,1,1))+ROW()/100000)</f>
        <v/>
      </c>
      <c r="F4782" s="46">
        <f>IF(E4782="","",IF(C4782&gt;WeekEndDate,"",E4782))</f>
        <v/>
      </c>
    </row>
    <row r="4783">
      <c r="A4783" t="inlineStr">
        <is>
          <t>Contractors</t>
        </is>
      </c>
      <c r="B4783" s="46">
        <f>'Contractors'!Y747</f>
        <v/>
      </c>
      <c r="C4783" s="84">
        <f>'Contractors'!W747</f>
        <v/>
      </c>
      <c r="D4783" s="46">
        <f>'Contractors'!X747</f>
        <v/>
      </c>
      <c r="E4783" s="46">
        <f>IF(OR(B4783="",C4783="",D4783=""),"",D4783*100000+(C4783-DATE(2000,1,1))+ROW()/100000)</f>
        <v/>
      </c>
      <c r="F4783" s="46">
        <f>IF(E4783="","",IF(C4783&gt;WeekEndDate,"",E4783))</f>
        <v/>
      </c>
    </row>
    <row r="4784">
      <c r="A4784" t="inlineStr">
        <is>
          <t>Contractors</t>
        </is>
      </c>
      <c r="B4784" s="46">
        <f>'Contractors'!Y748</f>
        <v/>
      </c>
      <c r="C4784" s="84">
        <f>'Contractors'!W748</f>
        <v/>
      </c>
      <c r="D4784" s="46">
        <f>'Contractors'!X748</f>
        <v/>
      </c>
      <c r="E4784" s="46">
        <f>IF(OR(B4784="",C4784="",D4784=""),"",D4784*100000+(C4784-DATE(2000,1,1))+ROW()/100000)</f>
        <v/>
      </c>
      <c r="F4784" s="46">
        <f>IF(E4784="","",IF(C4784&gt;WeekEndDate,"",E4784))</f>
        <v/>
      </c>
    </row>
    <row r="4785">
      <c r="A4785" t="inlineStr">
        <is>
          <t>Contractors</t>
        </is>
      </c>
      <c r="B4785" s="46">
        <f>'Contractors'!Y749</f>
        <v/>
      </c>
      <c r="C4785" s="84">
        <f>'Contractors'!W749</f>
        <v/>
      </c>
      <c r="D4785" s="46">
        <f>'Contractors'!X749</f>
        <v/>
      </c>
      <c r="E4785" s="46">
        <f>IF(OR(B4785="",C4785="",D4785=""),"",D4785*100000+(C4785-DATE(2000,1,1))+ROW()/100000)</f>
        <v/>
      </c>
      <c r="F4785" s="46">
        <f>IF(E4785="","",IF(C4785&gt;WeekEndDate,"",E4785))</f>
        <v/>
      </c>
    </row>
    <row r="4786">
      <c r="A4786" t="inlineStr">
        <is>
          <t>Contractors</t>
        </is>
      </c>
      <c r="B4786" s="46">
        <f>'Contractors'!Y750</f>
        <v/>
      </c>
      <c r="C4786" s="84">
        <f>'Contractors'!W750</f>
        <v/>
      </c>
      <c r="D4786" s="46">
        <f>'Contractors'!X750</f>
        <v/>
      </c>
      <c r="E4786" s="46">
        <f>IF(OR(B4786="",C4786="",D4786=""),"",D4786*100000+(C4786-DATE(2000,1,1))+ROW()/100000)</f>
        <v/>
      </c>
      <c r="F4786" s="46">
        <f>IF(E4786="","",IF(C4786&gt;WeekEndDate,"",E4786))</f>
        <v/>
      </c>
    </row>
    <row r="4787">
      <c r="A4787" t="inlineStr">
        <is>
          <t>Contractors</t>
        </is>
      </c>
      <c r="B4787" s="46">
        <f>'Contractors'!Y751</f>
        <v/>
      </c>
      <c r="C4787" s="84">
        <f>'Contractors'!W751</f>
        <v/>
      </c>
      <c r="D4787" s="46">
        <f>'Contractors'!X751</f>
        <v/>
      </c>
      <c r="E4787" s="46">
        <f>IF(OR(B4787="",C4787="",D4787=""),"",D4787*100000+(C4787-DATE(2000,1,1))+ROW()/100000)</f>
        <v/>
      </c>
      <c r="F4787" s="46">
        <f>IF(E4787="","",IF(C4787&gt;WeekEndDate,"",E4787))</f>
        <v/>
      </c>
    </row>
    <row r="4788">
      <c r="A4788" t="inlineStr">
        <is>
          <t>Contractors</t>
        </is>
      </c>
      <c r="B4788" s="46">
        <f>'Contractors'!Y752</f>
        <v/>
      </c>
      <c r="C4788" s="84">
        <f>'Contractors'!W752</f>
        <v/>
      </c>
      <c r="D4788" s="46">
        <f>'Contractors'!X752</f>
        <v/>
      </c>
      <c r="E4788" s="46">
        <f>IF(OR(B4788="",C4788="",D4788=""),"",D4788*100000+(C4788-DATE(2000,1,1))+ROW()/100000)</f>
        <v/>
      </c>
      <c r="F4788" s="46">
        <f>IF(E4788="","",IF(C4788&gt;WeekEndDate,"",E4788))</f>
        <v/>
      </c>
    </row>
    <row r="4789">
      <c r="A4789" t="inlineStr">
        <is>
          <t>Contractors</t>
        </is>
      </c>
      <c r="B4789" s="46">
        <f>'Contractors'!Y753</f>
        <v/>
      </c>
      <c r="C4789" s="84">
        <f>'Contractors'!W753</f>
        <v/>
      </c>
      <c r="D4789" s="46">
        <f>'Contractors'!X753</f>
        <v/>
      </c>
      <c r="E4789" s="46">
        <f>IF(OR(B4789="",C4789="",D4789=""),"",D4789*100000+(C4789-DATE(2000,1,1))+ROW()/100000)</f>
        <v/>
      </c>
      <c r="F4789" s="46">
        <f>IF(E4789="","",IF(C4789&gt;WeekEndDate,"",E4789))</f>
        <v/>
      </c>
    </row>
    <row r="4790">
      <c r="A4790" t="inlineStr">
        <is>
          <t>Contractors</t>
        </is>
      </c>
      <c r="B4790" s="46">
        <f>'Contractors'!Y754</f>
        <v/>
      </c>
      <c r="C4790" s="84">
        <f>'Contractors'!W754</f>
        <v/>
      </c>
      <c r="D4790" s="46">
        <f>'Contractors'!X754</f>
        <v/>
      </c>
      <c r="E4790" s="46">
        <f>IF(OR(B4790="",C4790="",D4790=""),"",D4790*100000+(C4790-DATE(2000,1,1))+ROW()/100000)</f>
        <v/>
      </c>
      <c r="F4790" s="46">
        <f>IF(E4790="","",IF(C4790&gt;WeekEndDate,"",E4790))</f>
        <v/>
      </c>
    </row>
    <row r="4791">
      <c r="A4791" t="inlineStr">
        <is>
          <t>Contractors</t>
        </is>
      </c>
      <c r="B4791" s="46">
        <f>'Contractors'!Y755</f>
        <v/>
      </c>
      <c r="C4791" s="84">
        <f>'Contractors'!W755</f>
        <v/>
      </c>
      <c r="D4791" s="46">
        <f>'Contractors'!X755</f>
        <v/>
      </c>
      <c r="E4791" s="46">
        <f>IF(OR(B4791="",C4791="",D4791=""),"",D4791*100000+(C4791-DATE(2000,1,1))+ROW()/100000)</f>
        <v/>
      </c>
      <c r="F4791" s="46">
        <f>IF(E4791="","",IF(C4791&gt;WeekEndDate,"",E4791))</f>
        <v/>
      </c>
    </row>
    <row r="4792">
      <c r="A4792" t="inlineStr">
        <is>
          <t>Contractors</t>
        </is>
      </c>
      <c r="B4792" s="46">
        <f>'Contractors'!Y756</f>
        <v/>
      </c>
      <c r="C4792" s="84">
        <f>'Contractors'!W756</f>
        <v/>
      </c>
      <c r="D4792" s="46">
        <f>'Contractors'!X756</f>
        <v/>
      </c>
      <c r="E4792" s="46">
        <f>IF(OR(B4792="",C4792="",D4792=""),"",D4792*100000+(C4792-DATE(2000,1,1))+ROW()/100000)</f>
        <v/>
      </c>
      <c r="F4792" s="46">
        <f>IF(E4792="","",IF(C4792&gt;WeekEndDate,"",E4792))</f>
        <v/>
      </c>
    </row>
    <row r="4793">
      <c r="A4793" t="inlineStr">
        <is>
          <t>Contractors</t>
        </is>
      </c>
      <c r="B4793" s="46">
        <f>'Contractors'!Y757</f>
        <v/>
      </c>
      <c r="C4793" s="84">
        <f>'Contractors'!W757</f>
        <v/>
      </c>
      <c r="D4793" s="46">
        <f>'Contractors'!X757</f>
        <v/>
      </c>
      <c r="E4793" s="46">
        <f>IF(OR(B4793="",C4793="",D4793=""),"",D4793*100000+(C4793-DATE(2000,1,1))+ROW()/100000)</f>
        <v/>
      </c>
      <c r="F4793" s="46">
        <f>IF(E4793="","",IF(C4793&gt;WeekEndDate,"",E4793))</f>
        <v/>
      </c>
    </row>
    <row r="4794">
      <c r="A4794" t="inlineStr">
        <is>
          <t>Contractors</t>
        </is>
      </c>
      <c r="B4794" s="46">
        <f>'Contractors'!Y758</f>
        <v/>
      </c>
      <c r="C4794" s="84">
        <f>'Contractors'!W758</f>
        <v/>
      </c>
      <c r="D4794" s="46">
        <f>'Contractors'!X758</f>
        <v/>
      </c>
      <c r="E4794" s="46">
        <f>IF(OR(B4794="",C4794="",D4794=""),"",D4794*100000+(C4794-DATE(2000,1,1))+ROW()/100000)</f>
        <v/>
      </c>
      <c r="F4794" s="46">
        <f>IF(E4794="","",IF(C4794&gt;WeekEndDate,"",E4794))</f>
        <v/>
      </c>
    </row>
    <row r="4795">
      <c r="A4795" t="inlineStr">
        <is>
          <t>Contractors</t>
        </is>
      </c>
      <c r="B4795" s="46">
        <f>'Contractors'!Y759</f>
        <v/>
      </c>
      <c r="C4795" s="84">
        <f>'Contractors'!W759</f>
        <v/>
      </c>
      <c r="D4795" s="46">
        <f>'Contractors'!X759</f>
        <v/>
      </c>
      <c r="E4795" s="46">
        <f>IF(OR(B4795="",C4795="",D4795=""),"",D4795*100000+(C4795-DATE(2000,1,1))+ROW()/100000)</f>
        <v/>
      </c>
      <c r="F4795" s="46">
        <f>IF(E4795="","",IF(C4795&gt;WeekEndDate,"",E4795))</f>
        <v/>
      </c>
    </row>
    <row r="4796">
      <c r="A4796" t="inlineStr">
        <is>
          <t>Contractors</t>
        </is>
      </c>
      <c r="B4796" s="46">
        <f>'Contractors'!Y760</f>
        <v/>
      </c>
      <c r="C4796" s="84">
        <f>'Contractors'!W760</f>
        <v/>
      </c>
      <c r="D4796" s="46">
        <f>'Contractors'!X760</f>
        <v/>
      </c>
      <c r="E4796" s="46">
        <f>IF(OR(B4796="",C4796="",D4796=""),"",D4796*100000+(C4796-DATE(2000,1,1))+ROW()/100000)</f>
        <v/>
      </c>
      <c r="F4796" s="46">
        <f>IF(E4796="","",IF(C4796&gt;WeekEndDate,"",E4796))</f>
        <v/>
      </c>
    </row>
    <row r="4797">
      <c r="A4797" t="inlineStr">
        <is>
          <t>Contractors</t>
        </is>
      </c>
      <c r="B4797" s="46">
        <f>'Contractors'!Y761</f>
        <v/>
      </c>
      <c r="C4797" s="84">
        <f>'Contractors'!W761</f>
        <v/>
      </c>
      <c r="D4797" s="46">
        <f>'Contractors'!X761</f>
        <v/>
      </c>
      <c r="E4797" s="46">
        <f>IF(OR(B4797="",C4797="",D4797=""),"",D4797*100000+(C4797-DATE(2000,1,1))+ROW()/100000)</f>
        <v/>
      </c>
      <c r="F4797" s="46">
        <f>IF(E4797="","",IF(C4797&gt;WeekEndDate,"",E4797))</f>
        <v/>
      </c>
    </row>
    <row r="4798">
      <c r="A4798" t="inlineStr">
        <is>
          <t>Contractors</t>
        </is>
      </c>
      <c r="B4798" s="46">
        <f>'Contractors'!Y762</f>
        <v/>
      </c>
      <c r="C4798" s="84">
        <f>'Contractors'!W762</f>
        <v/>
      </c>
      <c r="D4798" s="46">
        <f>'Contractors'!X762</f>
        <v/>
      </c>
      <c r="E4798" s="46">
        <f>IF(OR(B4798="",C4798="",D4798=""),"",D4798*100000+(C4798-DATE(2000,1,1))+ROW()/100000)</f>
        <v/>
      </c>
      <c r="F4798" s="46">
        <f>IF(E4798="","",IF(C4798&gt;WeekEndDate,"",E4798))</f>
        <v/>
      </c>
    </row>
    <row r="4799">
      <c r="A4799" t="inlineStr">
        <is>
          <t>Contractors</t>
        </is>
      </c>
      <c r="B4799" s="46">
        <f>'Contractors'!Y763</f>
        <v/>
      </c>
      <c r="C4799" s="84">
        <f>'Contractors'!W763</f>
        <v/>
      </c>
      <c r="D4799" s="46">
        <f>'Contractors'!X763</f>
        <v/>
      </c>
      <c r="E4799" s="46">
        <f>IF(OR(B4799="",C4799="",D4799=""),"",D4799*100000+(C4799-DATE(2000,1,1))+ROW()/100000)</f>
        <v/>
      </c>
      <c r="F4799" s="46">
        <f>IF(E4799="","",IF(C4799&gt;WeekEndDate,"",E4799))</f>
        <v/>
      </c>
    </row>
    <row r="4800">
      <c r="A4800" t="inlineStr">
        <is>
          <t>Contractors</t>
        </is>
      </c>
      <c r="B4800" s="46">
        <f>'Contractors'!Y764</f>
        <v/>
      </c>
      <c r="C4800" s="84">
        <f>'Contractors'!W764</f>
        <v/>
      </c>
      <c r="D4800" s="46">
        <f>'Contractors'!X764</f>
        <v/>
      </c>
      <c r="E4800" s="46">
        <f>IF(OR(B4800="",C4800="",D4800=""),"",D4800*100000+(C4800-DATE(2000,1,1))+ROW()/100000)</f>
        <v/>
      </c>
      <c r="F4800" s="46">
        <f>IF(E4800="","",IF(C4800&gt;WeekEndDate,"",E4800))</f>
        <v/>
      </c>
    </row>
    <row r="4801">
      <c r="A4801" t="inlineStr">
        <is>
          <t>Contractors</t>
        </is>
      </c>
      <c r="B4801" s="46">
        <f>'Contractors'!Y765</f>
        <v/>
      </c>
      <c r="C4801" s="84">
        <f>'Contractors'!W765</f>
        <v/>
      </c>
      <c r="D4801" s="46">
        <f>'Contractors'!X765</f>
        <v/>
      </c>
      <c r="E4801" s="46">
        <f>IF(OR(B4801="",C4801="",D4801=""),"",D4801*100000+(C4801-DATE(2000,1,1))+ROW()/100000)</f>
        <v/>
      </c>
      <c r="F4801" s="46">
        <f>IF(E4801="","",IF(C4801&gt;WeekEndDate,"",E4801))</f>
        <v/>
      </c>
    </row>
    <row r="4802">
      <c r="A4802" t="inlineStr">
        <is>
          <t>Contractors</t>
        </is>
      </c>
      <c r="B4802" s="46">
        <f>'Contractors'!Y766</f>
        <v/>
      </c>
      <c r="C4802" s="84">
        <f>'Contractors'!W766</f>
        <v/>
      </c>
      <c r="D4802" s="46">
        <f>'Contractors'!X766</f>
        <v/>
      </c>
      <c r="E4802" s="46">
        <f>IF(OR(B4802="",C4802="",D4802=""),"",D4802*100000+(C4802-DATE(2000,1,1))+ROW()/100000)</f>
        <v/>
      </c>
      <c r="F4802" s="46">
        <f>IF(E4802="","",IF(C4802&gt;WeekEndDate,"",E4802))</f>
        <v/>
      </c>
    </row>
    <row r="4803">
      <c r="A4803" t="inlineStr">
        <is>
          <t>Contractors</t>
        </is>
      </c>
      <c r="B4803" s="46">
        <f>'Contractors'!Y767</f>
        <v/>
      </c>
      <c r="C4803" s="84">
        <f>'Contractors'!W767</f>
        <v/>
      </c>
      <c r="D4803" s="46">
        <f>'Contractors'!X767</f>
        <v/>
      </c>
      <c r="E4803" s="46">
        <f>IF(OR(B4803="",C4803="",D4803=""),"",D4803*100000+(C4803-DATE(2000,1,1))+ROW()/100000)</f>
        <v/>
      </c>
      <c r="F4803" s="46">
        <f>IF(E4803="","",IF(C4803&gt;WeekEndDate,"",E4803))</f>
        <v/>
      </c>
    </row>
    <row r="4804">
      <c r="A4804" t="inlineStr">
        <is>
          <t>Contractors</t>
        </is>
      </c>
      <c r="B4804" s="46">
        <f>'Contractors'!Y768</f>
        <v/>
      </c>
      <c r="C4804" s="84">
        <f>'Contractors'!W768</f>
        <v/>
      </c>
      <c r="D4804" s="46">
        <f>'Contractors'!X768</f>
        <v/>
      </c>
      <c r="E4804" s="46">
        <f>IF(OR(B4804="",C4804="",D4804=""),"",D4804*100000+(C4804-DATE(2000,1,1))+ROW()/100000)</f>
        <v/>
      </c>
      <c r="F4804" s="46">
        <f>IF(E4804="","",IF(C4804&gt;WeekEndDate,"",E4804))</f>
        <v/>
      </c>
    </row>
    <row r="4805">
      <c r="A4805" t="inlineStr">
        <is>
          <t>Contractors</t>
        </is>
      </c>
      <c r="B4805" s="46">
        <f>'Contractors'!Y769</f>
        <v/>
      </c>
      <c r="C4805" s="84">
        <f>'Contractors'!W769</f>
        <v/>
      </c>
      <c r="D4805" s="46">
        <f>'Contractors'!X769</f>
        <v/>
      </c>
      <c r="E4805" s="46">
        <f>IF(OR(B4805="",C4805="",D4805=""),"",D4805*100000+(C4805-DATE(2000,1,1))+ROW()/100000)</f>
        <v/>
      </c>
      <c r="F4805" s="46">
        <f>IF(E4805="","",IF(C4805&gt;WeekEndDate,"",E4805))</f>
        <v/>
      </c>
    </row>
    <row r="4806">
      <c r="A4806" t="inlineStr">
        <is>
          <t>Contractors</t>
        </is>
      </c>
      <c r="B4806" s="46">
        <f>'Contractors'!Y770</f>
        <v/>
      </c>
      <c r="C4806" s="84">
        <f>'Contractors'!W770</f>
        <v/>
      </c>
      <c r="D4806" s="46">
        <f>'Contractors'!X770</f>
        <v/>
      </c>
      <c r="E4806" s="46">
        <f>IF(OR(B4806="",C4806="",D4806=""),"",D4806*100000+(C4806-DATE(2000,1,1))+ROW()/100000)</f>
        <v/>
      </c>
      <c r="F4806" s="46">
        <f>IF(E4806="","",IF(C4806&gt;WeekEndDate,"",E4806))</f>
        <v/>
      </c>
    </row>
    <row r="4807">
      <c r="A4807" t="inlineStr">
        <is>
          <t>Contractors</t>
        </is>
      </c>
      <c r="B4807" s="46">
        <f>'Contractors'!Y771</f>
        <v/>
      </c>
      <c r="C4807" s="84">
        <f>'Contractors'!W771</f>
        <v/>
      </c>
      <c r="D4807" s="46">
        <f>'Contractors'!X771</f>
        <v/>
      </c>
      <c r="E4807" s="46">
        <f>IF(OR(B4807="",C4807="",D4807=""),"",D4807*100000+(C4807-DATE(2000,1,1))+ROW()/100000)</f>
        <v/>
      </c>
      <c r="F4807" s="46">
        <f>IF(E4807="","",IF(C4807&gt;WeekEndDate,"",E4807))</f>
        <v/>
      </c>
    </row>
    <row r="4808">
      <c r="A4808" t="inlineStr">
        <is>
          <t>Contractors</t>
        </is>
      </c>
      <c r="B4808" s="46">
        <f>'Contractors'!Y772</f>
        <v/>
      </c>
      <c r="C4808" s="84">
        <f>'Contractors'!W772</f>
        <v/>
      </c>
      <c r="D4808" s="46">
        <f>'Contractors'!X772</f>
        <v/>
      </c>
      <c r="E4808" s="46">
        <f>IF(OR(B4808="",C4808="",D4808=""),"",D4808*100000+(C4808-DATE(2000,1,1))+ROW()/100000)</f>
        <v/>
      </c>
      <c r="F4808" s="46">
        <f>IF(E4808="","",IF(C4808&gt;WeekEndDate,"",E4808))</f>
        <v/>
      </c>
    </row>
    <row r="4809">
      <c r="A4809" t="inlineStr">
        <is>
          <t>Contractors</t>
        </is>
      </c>
      <c r="B4809" s="46">
        <f>'Contractors'!Y773</f>
        <v/>
      </c>
      <c r="C4809" s="84">
        <f>'Contractors'!W773</f>
        <v/>
      </c>
      <c r="D4809" s="46">
        <f>'Contractors'!X773</f>
        <v/>
      </c>
      <c r="E4809" s="46">
        <f>IF(OR(B4809="",C4809="",D4809=""),"",D4809*100000+(C4809-DATE(2000,1,1))+ROW()/100000)</f>
        <v/>
      </c>
      <c r="F4809" s="46">
        <f>IF(E4809="","",IF(C4809&gt;WeekEndDate,"",E4809))</f>
        <v/>
      </c>
    </row>
    <row r="4810">
      <c r="A4810" t="inlineStr">
        <is>
          <t>Contractors</t>
        </is>
      </c>
      <c r="B4810" s="46">
        <f>'Contractors'!Y774</f>
        <v/>
      </c>
      <c r="C4810" s="84">
        <f>'Contractors'!W774</f>
        <v/>
      </c>
      <c r="D4810" s="46">
        <f>'Contractors'!X774</f>
        <v/>
      </c>
      <c r="E4810" s="46">
        <f>IF(OR(B4810="",C4810="",D4810=""),"",D4810*100000+(C4810-DATE(2000,1,1))+ROW()/100000)</f>
        <v/>
      </c>
      <c r="F4810" s="46">
        <f>IF(E4810="","",IF(C4810&gt;WeekEndDate,"",E4810))</f>
        <v/>
      </c>
    </row>
    <row r="4811">
      <c r="A4811" t="inlineStr">
        <is>
          <t>Contractors</t>
        </is>
      </c>
      <c r="B4811" s="46">
        <f>'Contractors'!Y775</f>
        <v/>
      </c>
      <c r="C4811" s="84">
        <f>'Contractors'!W775</f>
        <v/>
      </c>
      <c r="D4811" s="46">
        <f>'Contractors'!X775</f>
        <v/>
      </c>
      <c r="E4811" s="46">
        <f>IF(OR(B4811="",C4811="",D4811=""),"",D4811*100000+(C4811-DATE(2000,1,1))+ROW()/100000)</f>
        <v/>
      </c>
      <c r="F4811" s="46">
        <f>IF(E4811="","",IF(C4811&gt;WeekEndDate,"",E4811))</f>
        <v/>
      </c>
    </row>
    <row r="4812">
      <c r="A4812" t="inlineStr">
        <is>
          <t>Contractors</t>
        </is>
      </c>
      <c r="B4812" s="46">
        <f>'Contractors'!Y776</f>
        <v/>
      </c>
      <c r="C4812" s="84">
        <f>'Contractors'!W776</f>
        <v/>
      </c>
      <c r="D4812" s="46">
        <f>'Contractors'!X776</f>
        <v/>
      </c>
      <c r="E4812" s="46">
        <f>IF(OR(B4812="",C4812="",D4812=""),"",D4812*100000+(C4812-DATE(2000,1,1))+ROW()/100000)</f>
        <v/>
      </c>
      <c r="F4812" s="46">
        <f>IF(E4812="","",IF(C4812&gt;WeekEndDate,"",E4812))</f>
        <v/>
      </c>
    </row>
    <row r="4813">
      <c r="A4813" t="inlineStr">
        <is>
          <t>Contractors</t>
        </is>
      </c>
      <c r="B4813" s="46">
        <f>'Contractors'!Y777</f>
        <v/>
      </c>
      <c r="C4813" s="84">
        <f>'Contractors'!W777</f>
        <v/>
      </c>
      <c r="D4813" s="46">
        <f>'Contractors'!X777</f>
        <v/>
      </c>
      <c r="E4813" s="46">
        <f>IF(OR(B4813="",C4813="",D4813=""),"",D4813*100000+(C4813-DATE(2000,1,1))+ROW()/100000)</f>
        <v/>
      </c>
      <c r="F4813" s="46">
        <f>IF(E4813="","",IF(C4813&gt;WeekEndDate,"",E4813))</f>
        <v/>
      </c>
    </row>
    <row r="4814">
      <c r="A4814" t="inlineStr">
        <is>
          <t>Contractors</t>
        </is>
      </c>
      <c r="B4814" s="46">
        <f>'Contractors'!Y778</f>
        <v/>
      </c>
      <c r="C4814" s="84">
        <f>'Contractors'!W778</f>
        <v/>
      </c>
      <c r="D4814" s="46">
        <f>'Contractors'!X778</f>
        <v/>
      </c>
      <c r="E4814" s="46">
        <f>IF(OR(B4814="",C4814="",D4814=""),"",D4814*100000+(C4814-DATE(2000,1,1))+ROW()/100000)</f>
        <v/>
      </c>
      <c r="F4814" s="46">
        <f>IF(E4814="","",IF(C4814&gt;WeekEndDate,"",E4814))</f>
        <v/>
      </c>
    </row>
    <row r="4815">
      <c r="A4815" t="inlineStr">
        <is>
          <t>Contractors</t>
        </is>
      </c>
      <c r="B4815" s="46">
        <f>'Contractors'!Y779</f>
        <v/>
      </c>
      <c r="C4815" s="84">
        <f>'Contractors'!W779</f>
        <v/>
      </c>
      <c r="D4815" s="46">
        <f>'Contractors'!X779</f>
        <v/>
      </c>
      <c r="E4815" s="46">
        <f>IF(OR(B4815="",C4815="",D4815=""),"",D4815*100000+(C4815-DATE(2000,1,1))+ROW()/100000)</f>
        <v/>
      </c>
      <c r="F4815" s="46">
        <f>IF(E4815="","",IF(C4815&gt;WeekEndDate,"",E4815))</f>
        <v/>
      </c>
    </row>
    <row r="4816">
      <c r="A4816" t="inlineStr">
        <is>
          <t>Contractors</t>
        </is>
      </c>
      <c r="B4816" s="46">
        <f>'Contractors'!Y780</f>
        <v/>
      </c>
      <c r="C4816" s="84">
        <f>'Contractors'!W780</f>
        <v/>
      </c>
      <c r="D4816" s="46">
        <f>'Contractors'!X780</f>
        <v/>
      </c>
      <c r="E4816" s="46">
        <f>IF(OR(B4816="",C4816="",D4816=""),"",D4816*100000+(C4816-DATE(2000,1,1))+ROW()/100000)</f>
        <v/>
      </c>
      <c r="F4816" s="46">
        <f>IF(E4816="","",IF(C4816&gt;WeekEndDate,"",E4816))</f>
        <v/>
      </c>
    </row>
    <row r="4817">
      <c r="A4817" t="inlineStr">
        <is>
          <t>Contractors</t>
        </is>
      </c>
      <c r="B4817" s="46">
        <f>'Contractors'!Y781</f>
        <v/>
      </c>
      <c r="C4817" s="84">
        <f>'Contractors'!W781</f>
        <v/>
      </c>
      <c r="D4817" s="46">
        <f>'Contractors'!X781</f>
        <v/>
      </c>
      <c r="E4817" s="46">
        <f>IF(OR(B4817="",C4817="",D4817=""),"",D4817*100000+(C4817-DATE(2000,1,1))+ROW()/100000)</f>
        <v/>
      </c>
      <c r="F4817" s="46">
        <f>IF(E4817="","",IF(C4817&gt;WeekEndDate,"",E4817))</f>
        <v/>
      </c>
    </row>
    <row r="4818">
      <c r="A4818" t="inlineStr">
        <is>
          <t>Contractors</t>
        </is>
      </c>
      <c r="B4818" s="46">
        <f>'Contractors'!Y782</f>
        <v/>
      </c>
      <c r="C4818" s="84">
        <f>'Contractors'!W782</f>
        <v/>
      </c>
      <c r="D4818" s="46">
        <f>'Contractors'!X782</f>
        <v/>
      </c>
      <c r="E4818" s="46">
        <f>IF(OR(B4818="",C4818="",D4818=""),"",D4818*100000+(C4818-DATE(2000,1,1))+ROW()/100000)</f>
        <v/>
      </c>
      <c r="F4818" s="46">
        <f>IF(E4818="","",IF(C4818&gt;WeekEndDate,"",E4818))</f>
        <v/>
      </c>
    </row>
    <row r="4819">
      <c r="A4819" t="inlineStr">
        <is>
          <t>Contractors</t>
        </is>
      </c>
      <c r="B4819" s="46">
        <f>'Contractors'!Y783</f>
        <v/>
      </c>
      <c r="C4819" s="84">
        <f>'Contractors'!W783</f>
        <v/>
      </c>
      <c r="D4819" s="46">
        <f>'Contractors'!X783</f>
        <v/>
      </c>
      <c r="E4819" s="46">
        <f>IF(OR(B4819="",C4819="",D4819=""),"",D4819*100000+(C4819-DATE(2000,1,1))+ROW()/100000)</f>
        <v/>
      </c>
      <c r="F4819" s="46">
        <f>IF(E4819="","",IF(C4819&gt;WeekEndDate,"",E4819))</f>
        <v/>
      </c>
    </row>
    <row r="4820">
      <c r="A4820" t="inlineStr">
        <is>
          <t>Contractors</t>
        </is>
      </c>
      <c r="B4820" s="46">
        <f>'Contractors'!Y784</f>
        <v/>
      </c>
      <c r="C4820" s="84">
        <f>'Contractors'!W784</f>
        <v/>
      </c>
      <c r="D4820" s="46">
        <f>'Contractors'!X784</f>
        <v/>
      </c>
      <c r="E4820" s="46">
        <f>IF(OR(B4820="",C4820="",D4820=""),"",D4820*100000+(C4820-DATE(2000,1,1))+ROW()/100000)</f>
        <v/>
      </c>
      <c r="F4820" s="46">
        <f>IF(E4820="","",IF(C4820&gt;WeekEndDate,"",E4820))</f>
        <v/>
      </c>
    </row>
    <row r="4821">
      <c r="A4821" t="inlineStr">
        <is>
          <t>Contractors</t>
        </is>
      </c>
      <c r="B4821" s="46">
        <f>'Contractors'!Y785</f>
        <v/>
      </c>
      <c r="C4821" s="84">
        <f>'Contractors'!W785</f>
        <v/>
      </c>
      <c r="D4821" s="46">
        <f>'Contractors'!X785</f>
        <v/>
      </c>
      <c r="E4821" s="46">
        <f>IF(OR(B4821="",C4821="",D4821=""),"",D4821*100000+(C4821-DATE(2000,1,1))+ROW()/100000)</f>
        <v/>
      </c>
      <c r="F4821" s="46">
        <f>IF(E4821="","",IF(C4821&gt;WeekEndDate,"",E4821))</f>
        <v/>
      </c>
    </row>
    <row r="4822">
      <c r="A4822" t="inlineStr">
        <is>
          <t>Contractors</t>
        </is>
      </c>
      <c r="B4822" s="46">
        <f>'Contractors'!Y786</f>
        <v/>
      </c>
      <c r="C4822" s="84">
        <f>'Contractors'!W786</f>
        <v/>
      </c>
      <c r="D4822" s="46">
        <f>'Contractors'!X786</f>
        <v/>
      </c>
      <c r="E4822" s="46">
        <f>IF(OR(B4822="",C4822="",D4822=""),"",D4822*100000+(C4822-DATE(2000,1,1))+ROW()/100000)</f>
        <v/>
      </c>
      <c r="F4822" s="46">
        <f>IF(E4822="","",IF(C4822&gt;WeekEndDate,"",E4822))</f>
        <v/>
      </c>
    </row>
    <row r="4823">
      <c r="A4823" t="inlineStr">
        <is>
          <t>Contractors</t>
        </is>
      </c>
      <c r="B4823" s="46">
        <f>'Contractors'!Y787</f>
        <v/>
      </c>
      <c r="C4823" s="84">
        <f>'Contractors'!W787</f>
        <v/>
      </c>
      <c r="D4823" s="46">
        <f>'Contractors'!X787</f>
        <v/>
      </c>
      <c r="E4823" s="46">
        <f>IF(OR(B4823="",C4823="",D4823=""),"",D4823*100000+(C4823-DATE(2000,1,1))+ROW()/100000)</f>
        <v/>
      </c>
      <c r="F4823" s="46">
        <f>IF(E4823="","",IF(C4823&gt;WeekEndDate,"",E4823))</f>
        <v/>
      </c>
    </row>
    <row r="4824">
      <c r="A4824" t="inlineStr">
        <is>
          <t>Contractors</t>
        </is>
      </c>
      <c r="B4824" s="46">
        <f>'Contractors'!Y788</f>
        <v/>
      </c>
      <c r="C4824" s="84">
        <f>'Contractors'!W788</f>
        <v/>
      </c>
      <c r="D4824" s="46">
        <f>'Contractors'!X788</f>
        <v/>
      </c>
      <c r="E4824" s="46">
        <f>IF(OR(B4824="",C4824="",D4824=""),"",D4824*100000+(C4824-DATE(2000,1,1))+ROW()/100000)</f>
        <v/>
      </c>
      <c r="F4824" s="46">
        <f>IF(E4824="","",IF(C4824&gt;WeekEndDate,"",E4824))</f>
        <v/>
      </c>
    </row>
    <row r="4825">
      <c r="A4825" t="inlineStr">
        <is>
          <t>Contractors</t>
        </is>
      </c>
      <c r="B4825" s="46">
        <f>'Contractors'!Y789</f>
        <v/>
      </c>
      <c r="C4825" s="84">
        <f>'Contractors'!W789</f>
        <v/>
      </c>
      <c r="D4825" s="46">
        <f>'Contractors'!X789</f>
        <v/>
      </c>
      <c r="E4825" s="46">
        <f>IF(OR(B4825="",C4825="",D4825=""),"",D4825*100000+(C4825-DATE(2000,1,1))+ROW()/100000)</f>
        <v/>
      </c>
      <c r="F4825" s="46">
        <f>IF(E4825="","",IF(C4825&gt;WeekEndDate,"",E4825))</f>
        <v/>
      </c>
    </row>
    <row r="4826">
      <c r="A4826" t="inlineStr">
        <is>
          <t>Contractors</t>
        </is>
      </c>
      <c r="B4826" s="46">
        <f>'Contractors'!Y790</f>
        <v/>
      </c>
      <c r="C4826" s="84">
        <f>'Contractors'!W790</f>
        <v/>
      </c>
      <c r="D4826" s="46">
        <f>'Contractors'!X790</f>
        <v/>
      </c>
      <c r="E4826" s="46">
        <f>IF(OR(B4826="",C4826="",D4826=""),"",D4826*100000+(C4826-DATE(2000,1,1))+ROW()/100000)</f>
        <v/>
      </c>
      <c r="F4826" s="46">
        <f>IF(E4826="","",IF(C4826&gt;WeekEndDate,"",E4826))</f>
        <v/>
      </c>
    </row>
    <row r="4827">
      <c r="A4827" t="inlineStr">
        <is>
          <t>Contractors</t>
        </is>
      </c>
      <c r="B4827" s="46">
        <f>'Contractors'!Y791</f>
        <v/>
      </c>
      <c r="C4827" s="84">
        <f>'Contractors'!W791</f>
        <v/>
      </c>
      <c r="D4827" s="46">
        <f>'Contractors'!X791</f>
        <v/>
      </c>
      <c r="E4827" s="46">
        <f>IF(OR(B4827="",C4827="",D4827=""),"",D4827*100000+(C4827-DATE(2000,1,1))+ROW()/100000)</f>
        <v/>
      </c>
      <c r="F4827" s="46">
        <f>IF(E4827="","",IF(C4827&gt;WeekEndDate,"",E4827))</f>
        <v/>
      </c>
    </row>
    <row r="4828">
      <c r="A4828" t="inlineStr">
        <is>
          <t>Contractors</t>
        </is>
      </c>
      <c r="B4828" s="46">
        <f>'Contractors'!Y792</f>
        <v/>
      </c>
      <c r="C4828" s="84">
        <f>'Contractors'!W792</f>
        <v/>
      </c>
      <c r="D4828" s="46">
        <f>'Contractors'!X792</f>
        <v/>
      </c>
      <c r="E4828" s="46">
        <f>IF(OR(B4828="",C4828="",D4828=""),"",D4828*100000+(C4828-DATE(2000,1,1))+ROW()/100000)</f>
        <v/>
      </c>
      <c r="F4828" s="46">
        <f>IF(E4828="","",IF(C4828&gt;WeekEndDate,"",E4828))</f>
        <v/>
      </c>
    </row>
    <row r="4829">
      <c r="A4829" t="inlineStr">
        <is>
          <t>Contractors</t>
        </is>
      </c>
      <c r="B4829" s="46">
        <f>'Contractors'!Y793</f>
        <v/>
      </c>
      <c r="C4829" s="84">
        <f>'Contractors'!W793</f>
        <v/>
      </c>
      <c r="D4829" s="46">
        <f>'Contractors'!X793</f>
        <v/>
      </c>
      <c r="E4829" s="46">
        <f>IF(OR(B4829="",C4829="",D4829=""),"",D4829*100000+(C4829-DATE(2000,1,1))+ROW()/100000)</f>
        <v/>
      </c>
      <c r="F4829" s="46">
        <f>IF(E4829="","",IF(C4829&gt;WeekEndDate,"",E4829))</f>
        <v/>
      </c>
    </row>
    <row r="4830">
      <c r="A4830" t="inlineStr">
        <is>
          <t>Contractors</t>
        </is>
      </c>
      <c r="B4830" s="46">
        <f>'Contractors'!Y794</f>
        <v/>
      </c>
      <c r="C4830" s="84">
        <f>'Contractors'!W794</f>
        <v/>
      </c>
      <c r="D4830" s="46">
        <f>'Contractors'!X794</f>
        <v/>
      </c>
      <c r="E4830" s="46">
        <f>IF(OR(B4830="",C4830="",D4830=""),"",D4830*100000+(C4830-DATE(2000,1,1))+ROW()/100000)</f>
        <v/>
      </c>
      <c r="F4830" s="46">
        <f>IF(E4830="","",IF(C4830&gt;WeekEndDate,"",E4830))</f>
        <v/>
      </c>
    </row>
    <row r="4831">
      <c r="A4831" t="inlineStr">
        <is>
          <t>Contractors</t>
        </is>
      </c>
      <c r="B4831" s="46">
        <f>'Contractors'!Y795</f>
        <v/>
      </c>
      <c r="C4831" s="84">
        <f>'Contractors'!W795</f>
        <v/>
      </c>
      <c r="D4831" s="46">
        <f>'Contractors'!X795</f>
        <v/>
      </c>
      <c r="E4831" s="46">
        <f>IF(OR(B4831="",C4831="",D4831=""),"",D4831*100000+(C4831-DATE(2000,1,1))+ROW()/100000)</f>
        <v/>
      </c>
      <c r="F4831" s="46">
        <f>IF(E4831="","",IF(C4831&gt;WeekEndDate,"",E4831))</f>
        <v/>
      </c>
    </row>
    <row r="4832">
      <c r="A4832" t="inlineStr">
        <is>
          <t>Contractors</t>
        </is>
      </c>
      <c r="B4832" s="46">
        <f>'Contractors'!Y796</f>
        <v/>
      </c>
      <c r="C4832" s="84">
        <f>'Contractors'!W796</f>
        <v/>
      </c>
      <c r="D4832" s="46">
        <f>'Contractors'!X796</f>
        <v/>
      </c>
      <c r="E4832" s="46">
        <f>IF(OR(B4832="",C4832="",D4832=""),"",D4832*100000+(C4832-DATE(2000,1,1))+ROW()/100000)</f>
        <v/>
      </c>
      <c r="F4832" s="46">
        <f>IF(E4832="","",IF(C4832&gt;WeekEndDate,"",E4832))</f>
        <v/>
      </c>
    </row>
    <row r="4833">
      <c r="A4833" t="inlineStr">
        <is>
          <t>Contractors</t>
        </is>
      </c>
      <c r="B4833" s="46">
        <f>'Contractors'!Y797</f>
        <v/>
      </c>
      <c r="C4833" s="84">
        <f>'Contractors'!W797</f>
        <v/>
      </c>
      <c r="D4833" s="46">
        <f>'Contractors'!X797</f>
        <v/>
      </c>
      <c r="E4833" s="46">
        <f>IF(OR(B4833="",C4833="",D4833=""),"",D4833*100000+(C4833-DATE(2000,1,1))+ROW()/100000)</f>
        <v/>
      </c>
      <c r="F4833" s="46">
        <f>IF(E4833="","",IF(C4833&gt;WeekEndDate,"",E4833))</f>
        <v/>
      </c>
    </row>
    <row r="4834">
      <c r="A4834" t="inlineStr">
        <is>
          <t>Contractors</t>
        </is>
      </c>
      <c r="B4834" s="46">
        <f>'Contractors'!Y798</f>
        <v/>
      </c>
      <c r="C4834" s="84">
        <f>'Contractors'!W798</f>
        <v/>
      </c>
      <c r="D4834" s="46">
        <f>'Contractors'!X798</f>
        <v/>
      </c>
      <c r="E4834" s="46">
        <f>IF(OR(B4834="",C4834="",D4834=""),"",D4834*100000+(C4834-DATE(2000,1,1))+ROW()/100000)</f>
        <v/>
      </c>
      <c r="F4834" s="46">
        <f>IF(E4834="","",IF(C4834&gt;WeekEndDate,"",E4834))</f>
        <v/>
      </c>
    </row>
    <row r="4835">
      <c r="A4835" t="inlineStr">
        <is>
          <t>Contractors</t>
        </is>
      </c>
      <c r="B4835" s="46">
        <f>'Contractors'!Y799</f>
        <v/>
      </c>
      <c r="C4835" s="84">
        <f>'Contractors'!W799</f>
        <v/>
      </c>
      <c r="D4835" s="46">
        <f>'Contractors'!X799</f>
        <v/>
      </c>
      <c r="E4835" s="46">
        <f>IF(OR(B4835="",C4835="",D4835=""),"",D4835*100000+(C4835-DATE(2000,1,1))+ROW()/100000)</f>
        <v/>
      </c>
      <c r="F4835" s="46">
        <f>IF(E4835="","",IF(C4835&gt;WeekEndDate,"",E4835))</f>
        <v/>
      </c>
    </row>
    <row r="4836">
      <c r="A4836" t="inlineStr">
        <is>
          <t>Contractors</t>
        </is>
      </c>
      <c r="B4836" s="46">
        <f>'Contractors'!Y800</f>
        <v/>
      </c>
      <c r="C4836" s="84">
        <f>'Contractors'!W800</f>
        <v/>
      </c>
      <c r="D4836" s="46">
        <f>'Contractors'!X800</f>
        <v/>
      </c>
      <c r="E4836" s="46">
        <f>IF(OR(B4836="",C4836="",D4836=""),"",D4836*100000+(C4836-DATE(2000,1,1))+ROW()/100000)</f>
        <v/>
      </c>
      <c r="F4836" s="46">
        <f>IF(E4836="","",IF(C4836&gt;WeekEndDate,"",E4836))</f>
        <v/>
      </c>
    </row>
    <row r="4837">
      <c r="A4837" t="inlineStr">
        <is>
          <t>Contractors</t>
        </is>
      </c>
      <c r="B4837" s="46">
        <f>'Contractors'!Y801</f>
        <v/>
      </c>
      <c r="C4837" s="84">
        <f>'Contractors'!W801</f>
        <v/>
      </c>
      <c r="D4837" s="46">
        <f>'Contractors'!X801</f>
        <v/>
      </c>
      <c r="E4837" s="46">
        <f>IF(OR(B4837="",C4837="",D4837=""),"",D4837*100000+(C4837-DATE(2000,1,1))+ROW()/100000)</f>
        <v/>
      </c>
      <c r="F4837" s="46">
        <f>IF(E4837="","",IF(C4837&gt;WeekEndDate,"",E4837))</f>
        <v/>
      </c>
    </row>
    <row r="4838">
      <c r="A4838" t="inlineStr">
        <is>
          <t>Contractors</t>
        </is>
      </c>
      <c r="B4838" s="46">
        <f>'Contractors'!Y802</f>
        <v/>
      </c>
      <c r="C4838" s="84">
        <f>'Contractors'!W802</f>
        <v/>
      </c>
      <c r="D4838" s="46">
        <f>'Contractors'!X802</f>
        <v/>
      </c>
      <c r="E4838" s="46">
        <f>IF(OR(B4838="",C4838="",D4838=""),"",D4838*100000+(C4838-DATE(2000,1,1))+ROW()/100000)</f>
        <v/>
      </c>
      <c r="F4838" s="46">
        <f>IF(E4838="","",IF(C4838&gt;WeekEndDate,"",E4838))</f>
        <v/>
      </c>
    </row>
    <row r="4839">
      <c r="A4839" t="inlineStr">
        <is>
          <t>Contractors</t>
        </is>
      </c>
      <c r="B4839" s="46">
        <f>'Contractors'!Y803</f>
        <v/>
      </c>
      <c r="C4839" s="84">
        <f>'Contractors'!W803</f>
        <v/>
      </c>
      <c r="D4839" s="46">
        <f>'Contractors'!X803</f>
        <v/>
      </c>
      <c r="E4839" s="46">
        <f>IF(OR(B4839="",C4839="",D4839=""),"",D4839*100000+(C4839-DATE(2000,1,1))+ROW()/100000)</f>
        <v/>
      </c>
      <c r="F4839" s="46">
        <f>IF(E4839="","",IF(C4839&gt;WeekEndDate,"",E4839))</f>
        <v/>
      </c>
    </row>
    <row r="4840">
      <c r="A4840" t="inlineStr">
        <is>
          <t>Contractors</t>
        </is>
      </c>
      <c r="B4840" s="46">
        <f>'Contractors'!Y804</f>
        <v/>
      </c>
      <c r="C4840" s="84">
        <f>'Contractors'!W804</f>
        <v/>
      </c>
      <c r="D4840" s="46">
        <f>'Contractors'!X804</f>
        <v/>
      </c>
      <c r="E4840" s="46">
        <f>IF(OR(B4840="",C4840="",D4840=""),"",D4840*100000+(C4840-DATE(2000,1,1))+ROW()/100000)</f>
        <v/>
      </c>
      <c r="F4840" s="46">
        <f>IF(E4840="","",IF(C4840&gt;WeekEndDate,"",E4840))</f>
        <v/>
      </c>
    </row>
    <row r="4841">
      <c r="A4841" t="inlineStr">
        <is>
          <t>Contractors</t>
        </is>
      </c>
      <c r="B4841" s="46">
        <f>'Contractors'!Y805</f>
        <v/>
      </c>
      <c r="C4841" s="84">
        <f>'Contractors'!W805</f>
        <v/>
      </c>
      <c r="D4841" s="46">
        <f>'Contractors'!X805</f>
        <v/>
      </c>
      <c r="E4841" s="46">
        <f>IF(OR(B4841="",C4841="",D4841=""),"",D4841*100000+(C4841-DATE(2000,1,1))+ROW()/100000)</f>
        <v/>
      </c>
      <c r="F4841" s="46">
        <f>IF(E4841="","",IF(C4841&gt;WeekEndDate,"",E4841))</f>
        <v/>
      </c>
    </row>
    <row r="4842">
      <c r="A4842" t="inlineStr">
        <is>
          <t>Contractors</t>
        </is>
      </c>
      <c r="B4842" s="46">
        <f>'Contractors'!Y806</f>
        <v/>
      </c>
      <c r="C4842" s="84">
        <f>'Contractors'!W806</f>
        <v/>
      </c>
      <c r="D4842" s="46">
        <f>'Contractors'!X806</f>
        <v/>
      </c>
      <c r="E4842" s="46">
        <f>IF(OR(B4842="",C4842="",D4842=""),"",D4842*100000+(C4842-DATE(2000,1,1))+ROW()/100000)</f>
        <v/>
      </c>
      <c r="F4842" s="46">
        <f>IF(E4842="","",IF(C4842&gt;WeekEndDate,"",E4842))</f>
        <v/>
      </c>
    </row>
    <row r="4843">
      <c r="A4843" t="inlineStr">
        <is>
          <t>Contractors</t>
        </is>
      </c>
      <c r="B4843" s="46">
        <f>'Contractors'!Y807</f>
        <v/>
      </c>
      <c r="C4843" s="84">
        <f>'Contractors'!W807</f>
        <v/>
      </c>
      <c r="D4843" s="46">
        <f>'Contractors'!X807</f>
        <v/>
      </c>
      <c r="E4843" s="46">
        <f>IF(OR(B4843="",C4843="",D4843=""),"",D4843*100000+(C4843-DATE(2000,1,1))+ROW()/100000)</f>
        <v/>
      </c>
      <c r="F4843" s="46">
        <f>IF(E4843="","",IF(C4843&gt;WeekEndDate,"",E4843))</f>
        <v/>
      </c>
    </row>
    <row r="4844">
      <c r="A4844" t="inlineStr">
        <is>
          <t>Contractors</t>
        </is>
      </c>
      <c r="B4844" s="46">
        <f>'Contractors'!Y808</f>
        <v/>
      </c>
      <c r="C4844" s="84">
        <f>'Contractors'!W808</f>
        <v/>
      </c>
      <c r="D4844" s="46">
        <f>'Contractors'!X808</f>
        <v/>
      </c>
      <c r="E4844" s="46">
        <f>IF(OR(B4844="",C4844="",D4844=""),"",D4844*100000+(C4844-DATE(2000,1,1))+ROW()/100000)</f>
        <v/>
      </c>
      <c r="F4844" s="46">
        <f>IF(E4844="","",IF(C4844&gt;WeekEndDate,"",E4844))</f>
        <v/>
      </c>
    </row>
    <row r="4845">
      <c r="A4845" t="inlineStr">
        <is>
          <t>Contractors</t>
        </is>
      </c>
      <c r="B4845" s="46">
        <f>'Contractors'!Y809</f>
        <v/>
      </c>
      <c r="C4845" s="84">
        <f>'Contractors'!W809</f>
        <v/>
      </c>
      <c r="D4845" s="46">
        <f>'Contractors'!X809</f>
        <v/>
      </c>
      <c r="E4845" s="46">
        <f>IF(OR(B4845="",C4845="",D4845=""),"",D4845*100000+(C4845-DATE(2000,1,1))+ROW()/100000)</f>
        <v/>
      </c>
      <c r="F4845" s="46">
        <f>IF(E4845="","",IF(C4845&gt;WeekEndDate,"",E4845))</f>
        <v/>
      </c>
    </row>
    <row r="4846">
      <c r="A4846" t="inlineStr">
        <is>
          <t>Contractors</t>
        </is>
      </c>
      <c r="B4846" s="46">
        <f>'Contractors'!Y810</f>
        <v/>
      </c>
      <c r="C4846" s="84">
        <f>'Contractors'!W810</f>
        <v/>
      </c>
      <c r="D4846" s="46">
        <f>'Contractors'!X810</f>
        <v/>
      </c>
      <c r="E4846" s="46">
        <f>IF(OR(B4846="",C4846="",D4846=""),"",D4846*100000+(C4846-DATE(2000,1,1))+ROW()/100000)</f>
        <v/>
      </c>
      <c r="F4846" s="46">
        <f>IF(E4846="","",IF(C4846&gt;WeekEndDate,"",E4846))</f>
        <v/>
      </c>
    </row>
    <row r="4847">
      <c r="A4847" t="inlineStr">
        <is>
          <t>Contractors</t>
        </is>
      </c>
      <c r="B4847" s="46">
        <f>'Contractors'!Y811</f>
        <v/>
      </c>
      <c r="C4847" s="84">
        <f>'Contractors'!W811</f>
        <v/>
      </c>
      <c r="D4847" s="46">
        <f>'Contractors'!X811</f>
        <v/>
      </c>
      <c r="E4847" s="46">
        <f>IF(OR(B4847="",C4847="",D4847=""),"",D4847*100000+(C4847-DATE(2000,1,1))+ROW()/100000)</f>
        <v/>
      </c>
      <c r="F4847" s="46">
        <f>IF(E4847="","",IF(C4847&gt;WeekEndDate,"",E4847))</f>
        <v/>
      </c>
    </row>
    <row r="4848">
      <c r="A4848" t="inlineStr">
        <is>
          <t>Contractors</t>
        </is>
      </c>
      <c r="B4848" s="46">
        <f>'Contractors'!Y812</f>
        <v/>
      </c>
      <c r="C4848" s="84">
        <f>'Contractors'!W812</f>
        <v/>
      </c>
      <c r="D4848" s="46">
        <f>'Contractors'!X812</f>
        <v/>
      </c>
      <c r="E4848" s="46">
        <f>IF(OR(B4848="",C4848="",D4848=""),"",D4848*100000+(C4848-DATE(2000,1,1))+ROW()/100000)</f>
        <v/>
      </c>
      <c r="F4848" s="46">
        <f>IF(E4848="","",IF(C4848&gt;WeekEndDate,"",E4848))</f>
        <v/>
      </c>
    </row>
    <row r="4849">
      <c r="A4849" t="inlineStr">
        <is>
          <t>Contractors</t>
        </is>
      </c>
      <c r="B4849" s="46">
        <f>'Contractors'!Y813</f>
        <v/>
      </c>
      <c r="C4849" s="84">
        <f>'Contractors'!W813</f>
        <v/>
      </c>
      <c r="D4849" s="46">
        <f>'Contractors'!X813</f>
        <v/>
      </c>
      <c r="E4849" s="46">
        <f>IF(OR(B4849="",C4849="",D4849=""),"",D4849*100000+(C4849-DATE(2000,1,1))+ROW()/100000)</f>
        <v/>
      </c>
      <c r="F4849" s="46">
        <f>IF(E4849="","",IF(C4849&gt;WeekEndDate,"",E4849))</f>
        <v/>
      </c>
    </row>
    <row r="4850">
      <c r="A4850" t="inlineStr">
        <is>
          <t>Contractors</t>
        </is>
      </c>
      <c r="B4850" s="46">
        <f>'Contractors'!Y814</f>
        <v/>
      </c>
      <c r="C4850" s="84">
        <f>'Contractors'!W814</f>
        <v/>
      </c>
      <c r="D4850" s="46">
        <f>'Contractors'!X814</f>
        <v/>
      </c>
      <c r="E4850" s="46">
        <f>IF(OR(B4850="",C4850="",D4850=""),"",D4850*100000+(C4850-DATE(2000,1,1))+ROW()/100000)</f>
        <v/>
      </c>
      <c r="F4850" s="46">
        <f>IF(E4850="","",IF(C4850&gt;WeekEndDate,"",E4850))</f>
        <v/>
      </c>
    </row>
    <row r="4851">
      <c r="A4851" t="inlineStr">
        <is>
          <t>Contractors</t>
        </is>
      </c>
      <c r="B4851" s="46">
        <f>'Contractors'!Y815</f>
        <v/>
      </c>
      <c r="C4851" s="84">
        <f>'Contractors'!W815</f>
        <v/>
      </c>
      <c r="D4851" s="46">
        <f>'Contractors'!X815</f>
        <v/>
      </c>
      <c r="E4851" s="46">
        <f>IF(OR(B4851="",C4851="",D4851=""),"",D4851*100000+(C4851-DATE(2000,1,1))+ROW()/100000)</f>
        <v/>
      </c>
      <c r="F4851" s="46">
        <f>IF(E4851="","",IF(C4851&gt;WeekEndDate,"",E4851))</f>
        <v/>
      </c>
    </row>
    <row r="4852">
      <c r="A4852" t="inlineStr">
        <is>
          <t>Contractors</t>
        </is>
      </c>
      <c r="B4852" s="46">
        <f>'Contractors'!Y816</f>
        <v/>
      </c>
      <c r="C4852" s="84">
        <f>'Contractors'!W816</f>
        <v/>
      </c>
      <c r="D4852" s="46">
        <f>'Contractors'!X816</f>
        <v/>
      </c>
      <c r="E4852" s="46">
        <f>IF(OR(B4852="",C4852="",D4852=""),"",D4852*100000+(C4852-DATE(2000,1,1))+ROW()/100000)</f>
        <v/>
      </c>
      <c r="F4852" s="46">
        <f>IF(E4852="","",IF(C4852&gt;WeekEndDate,"",E4852))</f>
        <v/>
      </c>
    </row>
    <row r="4853">
      <c r="A4853" t="inlineStr">
        <is>
          <t>Contractors</t>
        </is>
      </c>
      <c r="B4853" s="46">
        <f>'Contractors'!Y817</f>
        <v/>
      </c>
      <c r="C4853" s="84">
        <f>'Contractors'!W817</f>
        <v/>
      </c>
      <c r="D4853" s="46">
        <f>'Contractors'!X817</f>
        <v/>
      </c>
      <c r="E4853" s="46">
        <f>IF(OR(B4853="",C4853="",D4853=""),"",D4853*100000+(C4853-DATE(2000,1,1))+ROW()/100000)</f>
        <v/>
      </c>
      <c r="F4853" s="46">
        <f>IF(E4853="","",IF(C4853&gt;WeekEndDate,"",E4853))</f>
        <v/>
      </c>
    </row>
    <row r="4854">
      <c r="A4854" t="inlineStr">
        <is>
          <t>Contractors</t>
        </is>
      </c>
      <c r="B4854" s="46">
        <f>'Contractors'!Y818</f>
        <v/>
      </c>
      <c r="C4854" s="84">
        <f>'Contractors'!W818</f>
        <v/>
      </c>
      <c r="D4854" s="46">
        <f>'Contractors'!X818</f>
        <v/>
      </c>
      <c r="E4854" s="46">
        <f>IF(OR(B4854="",C4854="",D4854=""),"",D4854*100000+(C4854-DATE(2000,1,1))+ROW()/100000)</f>
        <v/>
      </c>
      <c r="F4854" s="46">
        <f>IF(E4854="","",IF(C4854&gt;WeekEndDate,"",E4854))</f>
        <v/>
      </c>
    </row>
    <row r="4855">
      <c r="A4855" t="inlineStr">
        <is>
          <t>Contractors</t>
        </is>
      </c>
      <c r="B4855" s="46">
        <f>'Contractors'!Y819</f>
        <v/>
      </c>
      <c r="C4855" s="84">
        <f>'Contractors'!W819</f>
        <v/>
      </c>
      <c r="D4855" s="46">
        <f>'Contractors'!X819</f>
        <v/>
      </c>
      <c r="E4855" s="46">
        <f>IF(OR(B4855="",C4855="",D4855=""),"",D4855*100000+(C4855-DATE(2000,1,1))+ROW()/100000)</f>
        <v/>
      </c>
      <c r="F4855" s="46">
        <f>IF(E4855="","",IF(C4855&gt;WeekEndDate,"",E4855))</f>
        <v/>
      </c>
    </row>
    <row r="4856">
      <c r="A4856" t="inlineStr">
        <is>
          <t>Contractors</t>
        </is>
      </c>
      <c r="B4856" s="46">
        <f>'Contractors'!Y820</f>
        <v/>
      </c>
      <c r="C4856" s="84">
        <f>'Contractors'!W820</f>
        <v/>
      </c>
      <c r="D4856" s="46">
        <f>'Contractors'!X820</f>
        <v/>
      </c>
      <c r="E4856" s="46">
        <f>IF(OR(B4856="",C4856="",D4856=""),"",D4856*100000+(C4856-DATE(2000,1,1))+ROW()/100000)</f>
        <v/>
      </c>
      <c r="F4856" s="46">
        <f>IF(E4856="","",IF(C4856&gt;WeekEndDate,"",E4856))</f>
        <v/>
      </c>
    </row>
    <row r="4857">
      <c r="A4857" t="inlineStr">
        <is>
          <t>Contractors</t>
        </is>
      </c>
      <c r="B4857" s="46">
        <f>'Contractors'!Y821</f>
        <v/>
      </c>
      <c r="C4857" s="84">
        <f>'Contractors'!W821</f>
        <v/>
      </c>
      <c r="D4857" s="46">
        <f>'Contractors'!X821</f>
        <v/>
      </c>
      <c r="E4857" s="46">
        <f>IF(OR(B4857="",C4857="",D4857=""),"",D4857*100000+(C4857-DATE(2000,1,1))+ROW()/100000)</f>
        <v/>
      </c>
      <c r="F4857" s="46">
        <f>IF(E4857="","",IF(C4857&gt;WeekEndDate,"",E4857))</f>
        <v/>
      </c>
    </row>
    <row r="4858">
      <c r="A4858" t="inlineStr">
        <is>
          <t>Contractors</t>
        </is>
      </c>
      <c r="B4858" s="46">
        <f>'Contractors'!Y822</f>
        <v/>
      </c>
      <c r="C4858" s="84">
        <f>'Contractors'!W822</f>
        <v/>
      </c>
      <c r="D4858" s="46">
        <f>'Contractors'!X822</f>
        <v/>
      </c>
      <c r="E4858" s="46">
        <f>IF(OR(B4858="",C4858="",D4858=""),"",D4858*100000+(C4858-DATE(2000,1,1))+ROW()/100000)</f>
        <v/>
      </c>
      <c r="F4858" s="46">
        <f>IF(E4858="","",IF(C4858&gt;WeekEndDate,"",E4858))</f>
        <v/>
      </c>
    </row>
    <row r="4859">
      <c r="A4859" t="inlineStr">
        <is>
          <t>Contractors</t>
        </is>
      </c>
      <c r="B4859" s="46">
        <f>'Contractors'!Y823</f>
        <v/>
      </c>
      <c r="C4859" s="84">
        <f>'Contractors'!W823</f>
        <v/>
      </c>
      <c r="D4859" s="46">
        <f>'Contractors'!X823</f>
        <v/>
      </c>
      <c r="E4859" s="46">
        <f>IF(OR(B4859="",C4859="",D4859=""),"",D4859*100000+(C4859-DATE(2000,1,1))+ROW()/100000)</f>
        <v/>
      </c>
      <c r="F4859" s="46">
        <f>IF(E4859="","",IF(C4859&gt;WeekEndDate,"",E4859))</f>
        <v/>
      </c>
    </row>
    <row r="4860">
      <c r="A4860" t="inlineStr">
        <is>
          <t>Contractors</t>
        </is>
      </c>
      <c r="B4860" s="46">
        <f>'Contractors'!Y824</f>
        <v/>
      </c>
      <c r="C4860" s="84">
        <f>'Contractors'!W824</f>
        <v/>
      </c>
      <c r="D4860" s="46">
        <f>'Contractors'!X824</f>
        <v/>
      </c>
      <c r="E4860" s="46">
        <f>IF(OR(B4860="",C4860="",D4860=""),"",D4860*100000+(C4860-DATE(2000,1,1))+ROW()/100000)</f>
        <v/>
      </c>
      <c r="F4860" s="46">
        <f>IF(E4860="","",IF(C4860&gt;WeekEndDate,"",E4860))</f>
        <v/>
      </c>
    </row>
    <row r="4861">
      <c r="A4861" t="inlineStr">
        <is>
          <t>Contractors</t>
        </is>
      </c>
      <c r="B4861" s="46">
        <f>'Contractors'!Y825</f>
        <v/>
      </c>
      <c r="C4861" s="84">
        <f>'Contractors'!W825</f>
        <v/>
      </c>
      <c r="D4861" s="46">
        <f>'Contractors'!X825</f>
        <v/>
      </c>
      <c r="E4861" s="46">
        <f>IF(OR(B4861="",C4861="",D4861=""),"",D4861*100000+(C4861-DATE(2000,1,1))+ROW()/100000)</f>
        <v/>
      </c>
      <c r="F4861" s="46">
        <f>IF(E4861="","",IF(C4861&gt;WeekEndDate,"",E4861))</f>
        <v/>
      </c>
    </row>
    <row r="4862">
      <c r="A4862" t="inlineStr">
        <is>
          <t>Contractors</t>
        </is>
      </c>
      <c r="B4862" s="46">
        <f>'Contractors'!Y826</f>
        <v/>
      </c>
      <c r="C4862" s="84">
        <f>'Contractors'!W826</f>
        <v/>
      </c>
      <c r="D4862" s="46">
        <f>'Contractors'!X826</f>
        <v/>
      </c>
      <c r="E4862" s="46">
        <f>IF(OR(B4862="",C4862="",D4862=""),"",D4862*100000+(C4862-DATE(2000,1,1))+ROW()/100000)</f>
        <v/>
      </c>
      <c r="F4862" s="46">
        <f>IF(E4862="","",IF(C4862&gt;WeekEndDate,"",E4862))</f>
        <v/>
      </c>
    </row>
    <row r="4863">
      <c r="A4863" t="inlineStr">
        <is>
          <t>Contractors</t>
        </is>
      </c>
      <c r="B4863" s="46">
        <f>'Contractors'!Y827</f>
        <v/>
      </c>
      <c r="C4863" s="84">
        <f>'Contractors'!W827</f>
        <v/>
      </c>
      <c r="D4863" s="46">
        <f>'Contractors'!X827</f>
        <v/>
      </c>
      <c r="E4863" s="46">
        <f>IF(OR(B4863="",C4863="",D4863=""),"",D4863*100000+(C4863-DATE(2000,1,1))+ROW()/100000)</f>
        <v/>
      </c>
      <c r="F4863" s="46">
        <f>IF(E4863="","",IF(C4863&gt;WeekEndDate,"",E4863))</f>
        <v/>
      </c>
    </row>
    <row r="4864">
      <c r="A4864" t="inlineStr">
        <is>
          <t>Contractors</t>
        </is>
      </c>
      <c r="B4864" s="46">
        <f>'Contractors'!Y828</f>
        <v/>
      </c>
      <c r="C4864" s="84">
        <f>'Contractors'!W828</f>
        <v/>
      </c>
      <c r="D4864" s="46">
        <f>'Contractors'!X828</f>
        <v/>
      </c>
      <c r="E4864" s="46">
        <f>IF(OR(B4864="",C4864="",D4864=""),"",D4864*100000+(C4864-DATE(2000,1,1))+ROW()/100000)</f>
        <v/>
      </c>
      <c r="F4864" s="46">
        <f>IF(E4864="","",IF(C4864&gt;WeekEndDate,"",E4864))</f>
        <v/>
      </c>
    </row>
    <row r="4865">
      <c r="A4865" t="inlineStr">
        <is>
          <t>Contractors</t>
        </is>
      </c>
      <c r="B4865" s="46">
        <f>'Contractors'!Y829</f>
        <v/>
      </c>
      <c r="C4865" s="84">
        <f>'Contractors'!W829</f>
        <v/>
      </c>
      <c r="D4865" s="46">
        <f>'Contractors'!X829</f>
        <v/>
      </c>
      <c r="E4865" s="46">
        <f>IF(OR(B4865="",C4865="",D4865=""),"",D4865*100000+(C4865-DATE(2000,1,1))+ROW()/100000)</f>
        <v/>
      </c>
      <c r="F4865" s="46">
        <f>IF(E4865="","",IF(C4865&gt;WeekEndDate,"",E4865))</f>
        <v/>
      </c>
    </row>
    <row r="4866">
      <c r="A4866" t="inlineStr">
        <is>
          <t>Contractors</t>
        </is>
      </c>
      <c r="B4866" s="46">
        <f>'Contractors'!Y830</f>
        <v/>
      </c>
      <c r="C4866" s="84">
        <f>'Contractors'!W830</f>
        <v/>
      </c>
      <c r="D4866" s="46">
        <f>'Contractors'!X830</f>
        <v/>
      </c>
      <c r="E4866" s="46">
        <f>IF(OR(B4866="",C4866="",D4866=""),"",D4866*100000+(C4866-DATE(2000,1,1))+ROW()/100000)</f>
        <v/>
      </c>
      <c r="F4866" s="46">
        <f>IF(E4866="","",IF(C4866&gt;WeekEndDate,"",E4866))</f>
        <v/>
      </c>
    </row>
    <row r="4867">
      <c r="A4867" t="inlineStr">
        <is>
          <t>Contractors</t>
        </is>
      </c>
      <c r="B4867" s="46">
        <f>'Contractors'!Y831</f>
        <v/>
      </c>
      <c r="C4867" s="84">
        <f>'Contractors'!W831</f>
        <v/>
      </c>
      <c r="D4867" s="46">
        <f>'Contractors'!X831</f>
        <v/>
      </c>
      <c r="E4867" s="46">
        <f>IF(OR(B4867="",C4867="",D4867=""),"",D4867*100000+(C4867-DATE(2000,1,1))+ROW()/100000)</f>
        <v/>
      </c>
      <c r="F4867" s="46">
        <f>IF(E4867="","",IF(C4867&gt;WeekEndDate,"",E4867))</f>
        <v/>
      </c>
    </row>
    <row r="4868">
      <c r="A4868" t="inlineStr">
        <is>
          <t>Contractors</t>
        </is>
      </c>
      <c r="B4868" s="46">
        <f>'Contractors'!Y832</f>
        <v/>
      </c>
      <c r="C4868" s="84">
        <f>'Contractors'!W832</f>
        <v/>
      </c>
      <c r="D4868" s="46">
        <f>'Contractors'!X832</f>
        <v/>
      </c>
      <c r="E4868" s="46">
        <f>IF(OR(B4868="",C4868="",D4868=""),"",D4868*100000+(C4868-DATE(2000,1,1))+ROW()/100000)</f>
        <v/>
      </c>
      <c r="F4868" s="46">
        <f>IF(E4868="","",IF(C4868&gt;WeekEndDate,"",E4868))</f>
        <v/>
      </c>
    </row>
    <row r="4869">
      <c r="A4869" t="inlineStr">
        <is>
          <t>Contractors</t>
        </is>
      </c>
      <c r="B4869" s="46">
        <f>'Contractors'!Y833</f>
        <v/>
      </c>
      <c r="C4869" s="84">
        <f>'Contractors'!W833</f>
        <v/>
      </c>
      <c r="D4869" s="46">
        <f>'Contractors'!X833</f>
        <v/>
      </c>
      <c r="E4869" s="46">
        <f>IF(OR(B4869="",C4869="",D4869=""),"",D4869*100000+(C4869-DATE(2000,1,1))+ROW()/100000)</f>
        <v/>
      </c>
      <c r="F4869" s="46">
        <f>IF(E4869="","",IF(C4869&gt;WeekEndDate,"",E4869))</f>
        <v/>
      </c>
    </row>
    <row r="4870">
      <c r="A4870" t="inlineStr">
        <is>
          <t>Contractors</t>
        </is>
      </c>
      <c r="B4870" s="46">
        <f>'Contractors'!Y834</f>
        <v/>
      </c>
      <c r="C4870" s="84">
        <f>'Contractors'!W834</f>
        <v/>
      </c>
      <c r="D4870" s="46">
        <f>'Contractors'!X834</f>
        <v/>
      </c>
      <c r="E4870" s="46">
        <f>IF(OR(B4870="",C4870="",D4870=""),"",D4870*100000+(C4870-DATE(2000,1,1))+ROW()/100000)</f>
        <v/>
      </c>
      <c r="F4870" s="46">
        <f>IF(E4870="","",IF(C4870&gt;WeekEndDate,"",E4870))</f>
        <v/>
      </c>
    </row>
    <row r="4871">
      <c r="A4871" t="inlineStr">
        <is>
          <t>Contractors</t>
        </is>
      </c>
      <c r="B4871" s="46">
        <f>'Contractors'!Y835</f>
        <v/>
      </c>
      <c r="C4871" s="84">
        <f>'Contractors'!W835</f>
        <v/>
      </c>
      <c r="D4871" s="46">
        <f>'Contractors'!X835</f>
        <v/>
      </c>
      <c r="E4871" s="46">
        <f>IF(OR(B4871="",C4871="",D4871=""),"",D4871*100000+(C4871-DATE(2000,1,1))+ROW()/100000)</f>
        <v/>
      </c>
      <c r="F4871" s="46">
        <f>IF(E4871="","",IF(C4871&gt;WeekEndDate,"",E4871))</f>
        <v/>
      </c>
    </row>
    <row r="4872">
      <c r="A4872" t="inlineStr">
        <is>
          <t>Contractors</t>
        </is>
      </c>
      <c r="B4872" s="46">
        <f>'Contractors'!Y836</f>
        <v/>
      </c>
      <c r="C4872" s="84">
        <f>'Contractors'!W836</f>
        <v/>
      </c>
      <c r="D4872" s="46">
        <f>'Contractors'!X836</f>
        <v/>
      </c>
      <c r="E4872" s="46">
        <f>IF(OR(B4872="",C4872="",D4872=""),"",D4872*100000+(C4872-DATE(2000,1,1))+ROW()/100000)</f>
        <v/>
      </c>
      <c r="F4872" s="46">
        <f>IF(E4872="","",IF(C4872&gt;WeekEndDate,"",E4872))</f>
        <v/>
      </c>
    </row>
    <row r="4873">
      <c r="A4873" t="inlineStr">
        <is>
          <t>Contractors</t>
        </is>
      </c>
      <c r="B4873" s="46">
        <f>'Contractors'!Y837</f>
        <v/>
      </c>
      <c r="C4873" s="84">
        <f>'Contractors'!W837</f>
        <v/>
      </c>
      <c r="D4873" s="46">
        <f>'Contractors'!X837</f>
        <v/>
      </c>
      <c r="E4873" s="46">
        <f>IF(OR(B4873="",C4873="",D4873=""),"",D4873*100000+(C4873-DATE(2000,1,1))+ROW()/100000)</f>
        <v/>
      </c>
      <c r="F4873" s="46">
        <f>IF(E4873="","",IF(C4873&gt;WeekEndDate,"",E4873))</f>
        <v/>
      </c>
    </row>
    <row r="4874">
      <c r="A4874" t="inlineStr">
        <is>
          <t>Contractors</t>
        </is>
      </c>
      <c r="B4874" s="46">
        <f>'Contractors'!Y838</f>
        <v/>
      </c>
      <c r="C4874" s="84">
        <f>'Contractors'!W838</f>
        <v/>
      </c>
      <c r="D4874" s="46">
        <f>'Contractors'!X838</f>
        <v/>
      </c>
      <c r="E4874" s="46">
        <f>IF(OR(B4874="",C4874="",D4874=""),"",D4874*100000+(C4874-DATE(2000,1,1))+ROW()/100000)</f>
        <v/>
      </c>
      <c r="F4874" s="46">
        <f>IF(E4874="","",IF(C4874&gt;WeekEndDate,"",E4874))</f>
        <v/>
      </c>
    </row>
    <row r="4875">
      <c r="A4875" t="inlineStr">
        <is>
          <t>Contractors</t>
        </is>
      </c>
      <c r="B4875" s="46">
        <f>'Contractors'!Y839</f>
        <v/>
      </c>
      <c r="C4875" s="84">
        <f>'Contractors'!W839</f>
        <v/>
      </c>
      <c r="D4875" s="46">
        <f>'Contractors'!X839</f>
        <v/>
      </c>
      <c r="E4875" s="46">
        <f>IF(OR(B4875="",C4875="",D4875=""),"",D4875*100000+(C4875-DATE(2000,1,1))+ROW()/100000)</f>
        <v/>
      </c>
      <c r="F4875" s="46">
        <f>IF(E4875="","",IF(C4875&gt;WeekEndDate,"",E4875))</f>
        <v/>
      </c>
    </row>
    <row r="4876">
      <c r="A4876" t="inlineStr">
        <is>
          <t>Contractors</t>
        </is>
      </c>
      <c r="B4876" s="46">
        <f>'Contractors'!Y840</f>
        <v/>
      </c>
      <c r="C4876" s="84">
        <f>'Contractors'!W840</f>
        <v/>
      </c>
      <c r="D4876" s="46">
        <f>'Contractors'!X840</f>
        <v/>
      </c>
      <c r="E4876" s="46">
        <f>IF(OR(B4876="",C4876="",D4876=""),"",D4876*100000+(C4876-DATE(2000,1,1))+ROW()/100000)</f>
        <v/>
      </c>
      <c r="F4876" s="46">
        <f>IF(E4876="","",IF(C4876&gt;WeekEndDate,"",E4876))</f>
        <v/>
      </c>
    </row>
    <row r="4877">
      <c r="A4877" t="inlineStr">
        <is>
          <t>Contractors</t>
        </is>
      </c>
      <c r="B4877" s="46">
        <f>'Contractors'!Y841</f>
        <v/>
      </c>
      <c r="C4877" s="84">
        <f>'Contractors'!W841</f>
        <v/>
      </c>
      <c r="D4877" s="46">
        <f>'Contractors'!X841</f>
        <v/>
      </c>
      <c r="E4877" s="46">
        <f>IF(OR(B4877="",C4877="",D4877=""),"",D4877*100000+(C4877-DATE(2000,1,1))+ROW()/100000)</f>
        <v/>
      </c>
      <c r="F4877" s="46">
        <f>IF(E4877="","",IF(C4877&gt;WeekEndDate,"",E4877))</f>
        <v/>
      </c>
    </row>
    <row r="4878">
      <c r="A4878" t="inlineStr">
        <is>
          <t>Contractors</t>
        </is>
      </c>
      <c r="B4878" s="46">
        <f>'Contractors'!Y842</f>
        <v/>
      </c>
      <c r="C4878" s="84">
        <f>'Contractors'!W842</f>
        <v/>
      </c>
      <c r="D4878" s="46">
        <f>'Contractors'!X842</f>
        <v/>
      </c>
      <c r="E4878" s="46">
        <f>IF(OR(B4878="",C4878="",D4878=""),"",D4878*100000+(C4878-DATE(2000,1,1))+ROW()/100000)</f>
        <v/>
      </c>
      <c r="F4878" s="46">
        <f>IF(E4878="","",IF(C4878&gt;WeekEndDate,"",E4878))</f>
        <v/>
      </c>
    </row>
    <row r="4879">
      <c r="A4879" t="inlineStr">
        <is>
          <t>Contractors</t>
        </is>
      </c>
      <c r="B4879" s="46">
        <f>'Contractors'!Y843</f>
        <v/>
      </c>
      <c r="C4879" s="84">
        <f>'Contractors'!W843</f>
        <v/>
      </c>
      <c r="D4879" s="46">
        <f>'Contractors'!X843</f>
        <v/>
      </c>
      <c r="E4879" s="46">
        <f>IF(OR(B4879="",C4879="",D4879=""),"",D4879*100000+(C4879-DATE(2000,1,1))+ROW()/100000)</f>
        <v/>
      </c>
      <c r="F4879" s="46">
        <f>IF(E4879="","",IF(C4879&gt;WeekEndDate,"",E4879))</f>
        <v/>
      </c>
    </row>
    <row r="4880">
      <c r="A4880" t="inlineStr">
        <is>
          <t>Contractors</t>
        </is>
      </c>
      <c r="B4880" s="46">
        <f>'Contractors'!Y844</f>
        <v/>
      </c>
      <c r="C4880" s="84">
        <f>'Contractors'!W844</f>
        <v/>
      </c>
      <c r="D4880" s="46">
        <f>'Contractors'!X844</f>
        <v/>
      </c>
      <c r="E4880" s="46">
        <f>IF(OR(B4880="",C4880="",D4880=""),"",D4880*100000+(C4880-DATE(2000,1,1))+ROW()/100000)</f>
        <v/>
      </c>
      <c r="F4880" s="46">
        <f>IF(E4880="","",IF(C4880&gt;WeekEndDate,"",E4880))</f>
        <v/>
      </c>
    </row>
    <row r="4881">
      <c r="A4881" t="inlineStr">
        <is>
          <t>Contractors</t>
        </is>
      </c>
      <c r="B4881" s="46">
        <f>'Contractors'!Y845</f>
        <v/>
      </c>
      <c r="C4881" s="84">
        <f>'Contractors'!W845</f>
        <v/>
      </c>
      <c r="D4881" s="46">
        <f>'Contractors'!X845</f>
        <v/>
      </c>
      <c r="E4881" s="46">
        <f>IF(OR(B4881="",C4881="",D4881=""),"",D4881*100000+(C4881-DATE(2000,1,1))+ROW()/100000)</f>
        <v/>
      </c>
      <c r="F4881" s="46">
        <f>IF(E4881="","",IF(C4881&gt;WeekEndDate,"",E4881))</f>
        <v/>
      </c>
    </row>
    <row r="4882">
      <c r="A4882" t="inlineStr">
        <is>
          <t>Contractors</t>
        </is>
      </c>
      <c r="B4882" s="46">
        <f>'Contractors'!Y846</f>
        <v/>
      </c>
      <c r="C4882" s="84">
        <f>'Contractors'!W846</f>
        <v/>
      </c>
      <c r="D4882" s="46">
        <f>'Contractors'!X846</f>
        <v/>
      </c>
      <c r="E4882" s="46">
        <f>IF(OR(B4882="",C4882="",D4882=""),"",D4882*100000+(C4882-DATE(2000,1,1))+ROW()/100000)</f>
        <v/>
      </c>
      <c r="F4882" s="46">
        <f>IF(E4882="","",IF(C4882&gt;WeekEndDate,"",E4882))</f>
        <v/>
      </c>
    </row>
    <row r="4883">
      <c r="A4883" t="inlineStr">
        <is>
          <t>Contractors</t>
        </is>
      </c>
      <c r="B4883" s="46">
        <f>'Contractors'!Y847</f>
        <v/>
      </c>
      <c r="C4883" s="84">
        <f>'Contractors'!W847</f>
        <v/>
      </c>
      <c r="D4883" s="46">
        <f>'Contractors'!X847</f>
        <v/>
      </c>
      <c r="E4883" s="46">
        <f>IF(OR(B4883="",C4883="",D4883=""),"",D4883*100000+(C4883-DATE(2000,1,1))+ROW()/100000)</f>
        <v/>
      </c>
      <c r="F4883" s="46">
        <f>IF(E4883="","",IF(C4883&gt;WeekEndDate,"",E4883))</f>
        <v/>
      </c>
    </row>
    <row r="4884">
      <c r="A4884" t="inlineStr">
        <is>
          <t>Contractors</t>
        </is>
      </c>
      <c r="B4884" s="46">
        <f>'Contractors'!Y848</f>
        <v/>
      </c>
      <c r="C4884" s="84">
        <f>'Contractors'!W848</f>
        <v/>
      </c>
      <c r="D4884" s="46">
        <f>'Contractors'!X848</f>
        <v/>
      </c>
      <c r="E4884" s="46">
        <f>IF(OR(B4884="",C4884="",D4884=""),"",D4884*100000+(C4884-DATE(2000,1,1))+ROW()/100000)</f>
        <v/>
      </c>
      <c r="F4884" s="46">
        <f>IF(E4884="","",IF(C4884&gt;WeekEndDate,"",E4884))</f>
        <v/>
      </c>
    </row>
    <row r="4885">
      <c r="A4885" t="inlineStr">
        <is>
          <t>Contractors</t>
        </is>
      </c>
      <c r="B4885" s="46">
        <f>'Contractors'!Y849</f>
        <v/>
      </c>
      <c r="C4885" s="84">
        <f>'Contractors'!W849</f>
        <v/>
      </c>
      <c r="D4885" s="46">
        <f>'Contractors'!X849</f>
        <v/>
      </c>
      <c r="E4885" s="46">
        <f>IF(OR(B4885="",C4885="",D4885=""),"",D4885*100000+(C4885-DATE(2000,1,1))+ROW()/100000)</f>
        <v/>
      </c>
      <c r="F4885" s="46">
        <f>IF(E4885="","",IF(C4885&gt;WeekEndDate,"",E4885))</f>
        <v/>
      </c>
    </row>
    <row r="4886">
      <c r="A4886" t="inlineStr">
        <is>
          <t>Contractors</t>
        </is>
      </c>
      <c r="B4886" s="46">
        <f>'Contractors'!Y850</f>
        <v/>
      </c>
      <c r="C4886" s="84">
        <f>'Contractors'!W850</f>
        <v/>
      </c>
      <c r="D4886" s="46">
        <f>'Contractors'!X850</f>
        <v/>
      </c>
      <c r="E4886" s="46">
        <f>IF(OR(B4886="",C4886="",D4886=""),"",D4886*100000+(C4886-DATE(2000,1,1))+ROW()/100000)</f>
        <v/>
      </c>
      <c r="F4886" s="46">
        <f>IF(E4886="","",IF(C4886&gt;WeekEndDate,"",E4886))</f>
        <v/>
      </c>
    </row>
    <row r="4887">
      <c r="A4887" t="inlineStr">
        <is>
          <t>Contractors</t>
        </is>
      </c>
      <c r="B4887" s="46">
        <f>'Contractors'!Y851</f>
        <v/>
      </c>
      <c r="C4887" s="84">
        <f>'Contractors'!W851</f>
        <v/>
      </c>
      <c r="D4887" s="46">
        <f>'Contractors'!X851</f>
        <v/>
      </c>
      <c r="E4887" s="46">
        <f>IF(OR(B4887="",C4887="",D4887=""),"",D4887*100000+(C4887-DATE(2000,1,1))+ROW()/100000)</f>
        <v/>
      </c>
      <c r="F4887" s="46">
        <f>IF(E4887="","",IF(C4887&gt;WeekEndDate,"",E4887))</f>
        <v/>
      </c>
    </row>
    <row r="4888">
      <c r="A4888" t="inlineStr">
        <is>
          <t>Contractors</t>
        </is>
      </c>
      <c r="B4888" s="46">
        <f>'Contractors'!Y852</f>
        <v/>
      </c>
      <c r="C4888" s="84">
        <f>'Contractors'!W852</f>
        <v/>
      </c>
      <c r="D4888" s="46">
        <f>'Contractors'!X852</f>
        <v/>
      </c>
      <c r="E4888" s="46">
        <f>IF(OR(B4888="",C4888="",D4888=""),"",D4888*100000+(C4888-DATE(2000,1,1))+ROW()/100000)</f>
        <v/>
      </c>
      <c r="F4888" s="46">
        <f>IF(E4888="","",IF(C4888&gt;WeekEndDate,"",E4888))</f>
        <v/>
      </c>
    </row>
    <row r="4889">
      <c r="A4889" t="inlineStr">
        <is>
          <t>Contractors</t>
        </is>
      </c>
      <c r="B4889" s="46">
        <f>'Contractors'!Y853</f>
        <v/>
      </c>
      <c r="C4889" s="84">
        <f>'Contractors'!W853</f>
        <v/>
      </c>
      <c r="D4889" s="46">
        <f>'Contractors'!X853</f>
        <v/>
      </c>
      <c r="E4889" s="46">
        <f>IF(OR(B4889="",C4889="",D4889=""),"",D4889*100000+(C4889-DATE(2000,1,1))+ROW()/100000)</f>
        <v/>
      </c>
      <c r="F4889" s="46">
        <f>IF(E4889="","",IF(C4889&gt;WeekEndDate,"",E4889))</f>
        <v/>
      </c>
    </row>
    <row r="4890">
      <c r="A4890" t="inlineStr">
        <is>
          <t>Contractors</t>
        </is>
      </c>
      <c r="B4890" s="46">
        <f>'Contractors'!Y854</f>
        <v/>
      </c>
      <c r="C4890" s="84">
        <f>'Contractors'!W854</f>
        <v/>
      </c>
      <c r="D4890" s="46">
        <f>'Contractors'!X854</f>
        <v/>
      </c>
      <c r="E4890" s="46">
        <f>IF(OR(B4890="",C4890="",D4890=""),"",D4890*100000+(C4890-DATE(2000,1,1))+ROW()/100000)</f>
        <v/>
      </c>
      <c r="F4890" s="46">
        <f>IF(E4890="","",IF(C4890&gt;WeekEndDate,"",E4890))</f>
        <v/>
      </c>
    </row>
    <row r="4891">
      <c r="A4891" t="inlineStr">
        <is>
          <t>Contractors</t>
        </is>
      </c>
      <c r="B4891" s="46">
        <f>'Contractors'!Y855</f>
        <v/>
      </c>
      <c r="C4891" s="84">
        <f>'Contractors'!W855</f>
        <v/>
      </c>
      <c r="D4891" s="46">
        <f>'Contractors'!X855</f>
        <v/>
      </c>
      <c r="E4891" s="46">
        <f>IF(OR(B4891="",C4891="",D4891=""),"",D4891*100000+(C4891-DATE(2000,1,1))+ROW()/100000)</f>
        <v/>
      </c>
      <c r="F4891" s="46">
        <f>IF(E4891="","",IF(C4891&gt;WeekEndDate,"",E4891))</f>
        <v/>
      </c>
    </row>
    <row r="4892">
      <c r="A4892" t="inlineStr">
        <is>
          <t>Contractors</t>
        </is>
      </c>
      <c r="B4892" s="46">
        <f>'Contractors'!Y856</f>
        <v/>
      </c>
      <c r="C4892" s="84">
        <f>'Contractors'!W856</f>
        <v/>
      </c>
      <c r="D4892" s="46">
        <f>'Contractors'!X856</f>
        <v/>
      </c>
      <c r="E4892" s="46">
        <f>IF(OR(B4892="",C4892="",D4892=""),"",D4892*100000+(C4892-DATE(2000,1,1))+ROW()/100000)</f>
        <v/>
      </c>
      <c r="F4892" s="46">
        <f>IF(E4892="","",IF(C4892&gt;WeekEndDate,"",E4892))</f>
        <v/>
      </c>
    </row>
    <row r="4893">
      <c r="A4893" t="inlineStr">
        <is>
          <t>Contractors</t>
        </is>
      </c>
      <c r="B4893" s="46">
        <f>'Contractors'!Y857</f>
        <v/>
      </c>
      <c r="C4893" s="84">
        <f>'Contractors'!W857</f>
        <v/>
      </c>
      <c r="D4893" s="46">
        <f>'Contractors'!X857</f>
        <v/>
      </c>
      <c r="E4893" s="46">
        <f>IF(OR(B4893="",C4893="",D4893=""),"",D4893*100000+(C4893-DATE(2000,1,1))+ROW()/100000)</f>
        <v/>
      </c>
      <c r="F4893" s="46">
        <f>IF(E4893="","",IF(C4893&gt;WeekEndDate,"",E4893))</f>
        <v/>
      </c>
    </row>
    <row r="4894">
      <c r="A4894" t="inlineStr">
        <is>
          <t>Contractors</t>
        </is>
      </c>
      <c r="B4894" s="46">
        <f>'Contractors'!Y858</f>
        <v/>
      </c>
      <c r="C4894" s="84">
        <f>'Contractors'!W858</f>
        <v/>
      </c>
      <c r="D4894" s="46">
        <f>'Contractors'!X858</f>
        <v/>
      </c>
      <c r="E4894" s="46">
        <f>IF(OR(B4894="",C4894="",D4894=""),"",D4894*100000+(C4894-DATE(2000,1,1))+ROW()/100000)</f>
        <v/>
      </c>
      <c r="F4894" s="46">
        <f>IF(E4894="","",IF(C4894&gt;WeekEndDate,"",E4894))</f>
        <v/>
      </c>
    </row>
    <row r="4895">
      <c r="A4895" t="inlineStr">
        <is>
          <t>Contractors</t>
        </is>
      </c>
      <c r="B4895" s="46">
        <f>'Contractors'!Y859</f>
        <v/>
      </c>
      <c r="C4895" s="84">
        <f>'Contractors'!W859</f>
        <v/>
      </c>
      <c r="D4895" s="46">
        <f>'Contractors'!X859</f>
        <v/>
      </c>
      <c r="E4895" s="46">
        <f>IF(OR(B4895="",C4895="",D4895=""),"",D4895*100000+(C4895-DATE(2000,1,1))+ROW()/100000)</f>
        <v/>
      </c>
      <c r="F4895" s="46">
        <f>IF(E4895="","",IF(C4895&gt;WeekEndDate,"",E4895))</f>
        <v/>
      </c>
    </row>
    <row r="4896">
      <c r="A4896" t="inlineStr">
        <is>
          <t>Contractors</t>
        </is>
      </c>
      <c r="B4896" s="46">
        <f>'Contractors'!Y860</f>
        <v/>
      </c>
      <c r="C4896" s="84">
        <f>'Contractors'!W860</f>
        <v/>
      </c>
      <c r="D4896" s="46">
        <f>'Contractors'!X860</f>
        <v/>
      </c>
      <c r="E4896" s="46">
        <f>IF(OR(B4896="",C4896="",D4896=""),"",D4896*100000+(C4896-DATE(2000,1,1))+ROW()/100000)</f>
        <v/>
      </c>
      <c r="F4896" s="46">
        <f>IF(E4896="","",IF(C4896&gt;WeekEndDate,"",E4896))</f>
        <v/>
      </c>
    </row>
    <row r="4897">
      <c r="A4897" t="inlineStr">
        <is>
          <t>Contractors</t>
        </is>
      </c>
      <c r="B4897" s="46">
        <f>'Contractors'!Y861</f>
        <v/>
      </c>
      <c r="C4897" s="84">
        <f>'Contractors'!W861</f>
        <v/>
      </c>
      <c r="D4897" s="46">
        <f>'Contractors'!X861</f>
        <v/>
      </c>
      <c r="E4897" s="46">
        <f>IF(OR(B4897="",C4897="",D4897=""),"",D4897*100000+(C4897-DATE(2000,1,1))+ROW()/100000)</f>
        <v/>
      </c>
      <c r="F4897" s="46">
        <f>IF(E4897="","",IF(C4897&gt;WeekEndDate,"",E4897))</f>
        <v/>
      </c>
    </row>
    <row r="4898">
      <c r="A4898" t="inlineStr">
        <is>
          <t>Contractors</t>
        </is>
      </c>
      <c r="B4898" s="46">
        <f>'Contractors'!Y862</f>
        <v/>
      </c>
      <c r="C4898" s="84">
        <f>'Contractors'!W862</f>
        <v/>
      </c>
      <c r="D4898" s="46">
        <f>'Contractors'!X862</f>
        <v/>
      </c>
      <c r="E4898" s="46">
        <f>IF(OR(B4898="",C4898="",D4898=""),"",D4898*100000+(C4898-DATE(2000,1,1))+ROW()/100000)</f>
        <v/>
      </c>
      <c r="F4898" s="46">
        <f>IF(E4898="","",IF(C4898&gt;WeekEndDate,"",E4898))</f>
        <v/>
      </c>
    </row>
    <row r="4899">
      <c r="A4899" t="inlineStr">
        <is>
          <t>Contractors</t>
        </is>
      </c>
      <c r="B4899" s="46">
        <f>'Contractors'!Y863</f>
        <v/>
      </c>
      <c r="C4899" s="84">
        <f>'Contractors'!W863</f>
        <v/>
      </c>
      <c r="D4899" s="46">
        <f>'Contractors'!X863</f>
        <v/>
      </c>
      <c r="E4899" s="46">
        <f>IF(OR(B4899="",C4899="",D4899=""),"",D4899*100000+(C4899-DATE(2000,1,1))+ROW()/100000)</f>
        <v/>
      </c>
      <c r="F4899" s="46">
        <f>IF(E4899="","",IF(C4899&gt;WeekEndDate,"",E4899))</f>
        <v/>
      </c>
    </row>
    <row r="4900">
      <c r="A4900" t="inlineStr">
        <is>
          <t>Contractors</t>
        </is>
      </c>
      <c r="B4900" s="46">
        <f>'Contractors'!Y864</f>
        <v/>
      </c>
      <c r="C4900" s="84">
        <f>'Contractors'!W864</f>
        <v/>
      </c>
      <c r="D4900" s="46">
        <f>'Contractors'!X864</f>
        <v/>
      </c>
      <c r="E4900" s="46">
        <f>IF(OR(B4900="",C4900="",D4900=""),"",D4900*100000+(C4900-DATE(2000,1,1))+ROW()/100000)</f>
        <v/>
      </c>
      <c r="F4900" s="46">
        <f>IF(E4900="","",IF(C4900&gt;WeekEndDate,"",E4900))</f>
        <v/>
      </c>
    </row>
    <row r="4901">
      <c r="A4901" t="inlineStr">
        <is>
          <t>Contractors</t>
        </is>
      </c>
      <c r="B4901" s="46">
        <f>'Contractors'!Y865</f>
        <v/>
      </c>
      <c r="C4901" s="84">
        <f>'Contractors'!W865</f>
        <v/>
      </c>
      <c r="D4901" s="46">
        <f>'Contractors'!X865</f>
        <v/>
      </c>
      <c r="E4901" s="46">
        <f>IF(OR(B4901="",C4901="",D4901=""),"",D4901*100000+(C4901-DATE(2000,1,1))+ROW()/100000)</f>
        <v/>
      </c>
      <c r="F4901" s="46">
        <f>IF(E4901="","",IF(C4901&gt;WeekEndDate,"",E4901))</f>
        <v/>
      </c>
    </row>
    <row r="4902">
      <c r="A4902" t="inlineStr">
        <is>
          <t>Contractors</t>
        </is>
      </c>
      <c r="B4902" s="46">
        <f>'Contractors'!Y866</f>
        <v/>
      </c>
      <c r="C4902" s="84">
        <f>'Contractors'!W866</f>
        <v/>
      </c>
      <c r="D4902" s="46">
        <f>'Contractors'!X866</f>
        <v/>
      </c>
      <c r="E4902" s="46">
        <f>IF(OR(B4902="",C4902="",D4902=""),"",D4902*100000+(C4902-DATE(2000,1,1))+ROW()/100000)</f>
        <v/>
      </c>
      <c r="F4902" s="46">
        <f>IF(E4902="","",IF(C4902&gt;WeekEndDate,"",E4902))</f>
        <v/>
      </c>
    </row>
    <row r="4903">
      <c r="A4903" t="inlineStr">
        <is>
          <t>Contractors</t>
        </is>
      </c>
      <c r="B4903" s="46">
        <f>'Contractors'!Y867</f>
        <v/>
      </c>
      <c r="C4903" s="84">
        <f>'Contractors'!W867</f>
        <v/>
      </c>
      <c r="D4903" s="46">
        <f>'Contractors'!X867</f>
        <v/>
      </c>
      <c r="E4903" s="46">
        <f>IF(OR(B4903="",C4903="",D4903=""),"",D4903*100000+(C4903-DATE(2000,1,1))+ROW()/100000)</f>
        <v/>
      </c>
      <c r="F4903" s="46">
        <f>IF(E4903="","",IF(C4903&gt;WeekEndDate,"",E4903))</f>
        <v/>
      </c>
    </row>
    <row r="4904">
      <c r="A4904" t="inlineStr">
        <is>
          <t>Contractors</t>
        </is>
      </c>
      <c r="B4904" s="46">
        <f>'Contractors'!Y868</f>
        <v/>
      </c>
      <c r="C4904" s="84">
        <f>'Contractors'!W868</f>
        <v/>
      </c>
      <c r="D4904" s="46">
        <f>'Contractors'!X868</f>
        <v/>
      </c>
      <c r="E4904" s="46">
        <f>IF(OR(B4904="",C4904="",D4904=""),"",D4904*100000+(C4904-DATE(2000,1,1))+ROW()/100000)</f>
        <v/>
      </c>
      <c r="F4904" s="46">
        <f>IF(E4904="","",IF(C4904&gt;WeekEndDate,"",E4904))</f>
        <v/>
      </c>
    </row>
    <row r="4905">
      <c r="A4905" t="inlineStr">
        <is>
          <t>Contractors</t>
        </is>
      </c>
      <c r="B4905" s="46">
        <f>'Contractors'!Y869</f>
        <v/>
      </c>
      <c r="C4905" s="84">
        <f>'Contractors'!W869</f>
        <v/>
      </c>
      <c r="D4905" s="46">
        <f>'Contractors'!X869</f>
        <v/>
      </c>
      <c r="E4905" s="46">
        <f>IF(OR(B4905="",C4905="",D4905=""),"",D4905*100000+(C4905-DATE(2000,1,1))+ROW()/100000)</f>
        <v/>
      </c>
      <c r="F4905" s="46">
        <f>IF(E4905="","",IF(C4905&gt;WeekEndDate,"",E4905))</f>
        <v/>
      </c>
    </row>
    <row r="4906">
      <c r="A4906" t="inlineStr">
        <is>
          <t>Contractors</t>
        </is>
      </c>
      <c r="B4906" s="46">
        <f>'Contractors'!Y870</f>
        <v/>
      </c>
      <c r="C4906" s="84">
        <f>'Contractors'!W870</f>
        <v/>
      </c>
      <c r="D4906" s="46">
        <f>'Contractors'!X870</f>
        <v/>
      </c>
      <c r="E4906" s="46">
        <f>IF(OR(B4906="",C4906="",D4906=""),"",D4906*100000+(C4906-DATE(2000,1,1))+ROW()/100000)</f>
        <v/>
      </c>
      <c r="F4906" s="46">
        <f>IF(E4906="","",IF(C4906&gt;WeekEndDate,"",E4906))</f>
        <v/>
      </c>
    </row>
    <row r="4907">
      <c r="A4907" t="inlineStr">
        <is>
          <t>Contractors</t>
        </is>
      </c>
      <c r="B4907" s="46">
        <f>'Contractors'!Y871</f>
        <v/>
      </c>
      <c r="C4907" s="84">
        <f>'Contractors'!W871</f>
        <v/>
      </c>
      <c r="D4907" s="46">
        <f>'Contractors'!X871</f>
        <v/>
      </c>
      <c r="E4907" s="46">
        <f>IF(OR(B4907="",C4907="",D4907=""),"",D4907*100000+(C4907-DATE(2000,1,1))+ROW()/100000)</f>
        <v/>
      </c>
      <c r="F4907" s="46">
        <f>IF(E4907="","",IF(C4907&gt;WeekEndDate,"",E4907))</f>
        <v/>
      </c>
    </row>
    <row r="4908">
      <c r="A4908" t="inlineStr">
        <is>
          <t>Contractors</t>
        </is>
      </c>
      <c r="B4908" s="46">
        <f>'Contractors'!Y872</f>
        <v/>
      </c>
      <c r="C4908" s="84">
        <f>'Contractors'!W872</f>
        <v/>
      </c>
      <c r="D4908" s="46">
        <f>'Contractors'!X872</f>
        <v/>
      </c>
      <c r="E4908" s="46">
        <f>IF(OR(B4908="",C4908="",D4908=""),"",D4908*100000+(C4908-DATE(2000,1,1))+ROW()/100000)</f>
        <v/>
      </c>
      <c r="F4908" s="46">
        <f>IF(E4908="","",IF(C4908&gt;WeekEndDate,"",E4908))</f>
        <v/>
      </c>
    </row>
    <row r="4909">
      <c r="A4909" t="inlineStr">
        <is>
          <t>Contractors</t>
        </is>
      </c>
      <c r="B4909" s="46">
        <f>'Contractors'!Y873</f>
        <v/>
      </c>
      <c r="C4909" s="84">
        <f>'Contractors'!W873</f>
        <v/>
      </c>
      <c r="D4909" s="46">
        <f>'Contractors'!X873</f>
        <v/>
      </c>
      <c r="E4909" s="46">
        <f>IF(OR(B4909="",C4909="",D4909=""),"",D4909*100000+(C4909-DATE(2000,1,1))+ROW()/100000)</f>
        <v/>
      </c>
      <c r="F4909" s="46">
        <f>IF(E4909="","",IF(C4909&gt;WeekEndDate,"",E4909))</f>
        <v/>
      </c>
    </row>
    <row r="4910">
      <c r="A4910" t="inlineStr">
        <is>
          <t>Contractors</t>
        </is>
      </c>
      <c r="B4910" s="46">
        <f>'Contractors'!Y874</f>
        <v/>
      </c>
      <c r="C4910" s="84">
        <f>'Contractors'!W874</f>
        <v/>
      </c>
      <c r="D4910" s="46">
        <f>'Contractors'!X874</f>
        <v/>
      </c>
      <c r="E4910" s="46">
        <f>IF(OR(B4910="",C4910="",D4910=""),"",D4910*100000+(C4910-DATE(2000,1,1))+ROW()/100000)</f>
        <v/>
      </c>
      <c r="F4910" s="46">
        <f>IF(E4910="","",IF(C4910&gt;WeekEndDate,"",E4910))</f>
        <v/>
      </c>
    </row>
    <row r="4911">
      <c r="A4911" t="inlineStr">
        <is>
          <t>Contractors</t>
        </is>
      </c>
      <c r="B4911" s="46">
        <f>'Contractors'!Y875</f>
        <v/>
      </c>
      <c r="C4911" s="84">
        <f>'Contractors'!W875</f>
        <v/>
      </c>
      <c r="D4911" s="46">
        <f>'Contractors'!X875</f>
        <v/>
      </c>
      <c r="E4911" s="46">
        <f>IF(OR(B4911="",C4911="",D4911=""),"",D4911*100000+(C4911-DATE(2000,1,1))+ROW()/100000)</f>
        <v/>
      </c>
      <c r="F4911" s="46">
        <f>IF(E4911="","",IF(C4911&gt;WeekEndDate,"",E4911))</f>
        <v/>
      </c>
    </row>
    <row r="4912">
      <c r="A4912" t="inlineStr">
        <is>
          <t>Contractors</t>
        </is>
      </c>
      <c r="B4912" s="46">
        <f>'Contractors'!Y876</f>
        <v/>
      </c>
      <c r="C4912" s="84">
        <f>'Contractors'!W876</f>
        <v/>
      </c>
      <c r="D4912" s="46">
        <f>'Contractors'!X876</f>
        <v/>
      </c>
      <c r="E4912" s="46">
        <f>IF(OR(B4912="",C4912="",D4912=""),"",D4912*100000+(C4912-DATE(2000,1,1))+ROW()/100000)</f>
        <v/>
      </c>
      <c r="F4912" s="46">
        <f>IF(E4912="","",IF(C4912&gt;WeekEndDate,"",E4912))</f>
        <v/>
      </c>
    </row>
    <row r="4913">
      <c r="A4913" t="inlineStr">
        <is>
          <t>Contractors</t>
        </is>
      </c>
      <c r="B4913" s="46">
        <f>'Contractors'!Y877</f>
        <v/>
      </c>
      <c r="C4913" s="84">
        <f>'Contractors'!W877</f>
        <v/>
      </c>
      <c r="D4913" s="46">
        <f>'Contractors'!X877</f>
        <v/>
      </c>
      <c r="E4913" s="46">
        <f>IF(OR(B4913="",C4913="",D4913=""),"",D4913*100000+(C4913-DATE(2000,1,1))+ROW()/100000)</f>
        <v/>
      </c>
      <c r="F4913" s="46">
        <f>IF(E4913="","",IF(C4913&gt;WeekEndDate,"",E4913))</f>
        <v/>
      </c>
    </row>
    <row r="4914">
      <c r="A4914" t="inlineStr">
        <is>
          <t>Contractors</t>
        </is>
      </c>
      <c r="B4914" s="46">
        <f>'Contractors'!Y878</f>
        <v/>
      </c>
      <c r="C4914" s="84">
        <f>'Contractors'!W878</f>
        <v/>
      </c>
      <c r="D4914" s="46">
        <f>'Contractors'!X878</f>
        <v/>
      </c>
      <c r="E4914" s="46">
        <f>IF(OR(B4914="",C4914="",D4914=""),"",D4914*100000+(C4914-DATE(2000,1,1))+ROW()/100000)</f>
        <v/>
      </c>
      <c r="F4914" s="46">
        <f>IF(E4914="","",IF(C4914&gt;WeekEndDate,"",E4914))</f>
        <v/>
      </c>
    </row>
    <row r="4915">
      <c r="A4915" t="inlineStr">
        <is>
          <t>Contractors</t>
        </is>
      </c>
      <c r="B4915" s="46">
        <f>'Contractors'!Y879</f>
        <v/>
      </c>
      <c r="C4915" s="84">
        <f>'Contractors'!W879</f>
        <v/>
      </c>
      <c r="D4915" s="46">
        <f>'Contractors'!X879</f>
        <v/>
      </c>
      <c r="E4915" s="46">
        <f>IF(OR(B4915="",C4915="",D4915=""),"",D4915*100000+(C4915-DATE(2000,1,1))+ROW()/100000)</f>
        <v/>
      </c>
      <c r="F4915" s="46">
        <f>IF(E4915="","",IF(C4915&gt;WeekEndDate,"",E4915))</f>
        <v/>
      </c>
    </row>
    <row r="4916">
      <c r="A4916" t="inlineStr">
        <is>
          <t>Contractors</t>
        </is>
      </c>
      <c r="B4916" s="46">
        <f>'Contractors'!Y880</f>
        <v/>
      </c>
      <c r="C4916" s="84">
        <f>'Contractors'!W880</f>
        <v/>
      </c>
      <c r="D4916" s="46">
        <f>'Contractors'!X880</f>
        <v/>
      </c>
      <c r="E4916" s="46">
        <f>IF(OR(B4916="",C4916="",D4916=""),"",D4916*100000+(C4916-DATE(2000,1,1))+ROW()/100000)</f>
        <v/>
      </c>
      <c r="F4916" s="46">
        <f>IF(E4916="","",IF(C4916&gt;WeekEndDate,"",E4916))</f>
        <v/>
      </c>
    </row>
    <row r="4917">
      <c r="A4917" t="inlineStr">
        <is>
          <t>Contractors</t>
        </is>
      </c>
      <c r="B4917" s="46">
        <f>'Contractors'!Y881</f>
        <v/>
      </c>
      <c r="C4917" s="84">
        <f>'Contractors'!W881</f>
        <v/>
      </c>
      <c r="D4917" s="46">
        <f>'Contractors'!X881</f>
        <v/>
      </c>
      <c r="E4917" s="46">
        <f>IF(OR(B4917="",C4917="",D4917=""),"",D4917*100000+(C4917-DATE(2000,1,1))+ROW()/100000)</f>
        <v/>
      </c>
      <c r="F4917" s="46">
        <f>IF(E4917="","",IF(C4917&gt;WeekEndDate,"",E4917))</f>
        <v/>
      </c>
    </row>
    <row r="4918">
      <c r="A4918" t="inlineStr">
        <is>
          <t>Contractors</t>
        </is>
      </c>
      <c r="B4918" s="46">
        <f>'Contractors'!Y882</f>
        <v/>
      </c>
      <c r="C4918" s="84">
        <f>'Contractors'!W882</f>
        <v/>
      </c>
      <c r="D4918" s="46">
        <f>'Contractors'!X882</f>
        <v/>
      </c>
      <c r="E4918" s="46">
        <f>IF(OR(B4918="",C4918="",D4918=""),"",D4918*100000+(C4918-DATE(2000,1,1))+ROW()/100000)</f>
        <v/>
      </c>
      <c r="F4918" s="46">
        <f>IF(E4918="","",IF(C4918&gt;WeekEndDate,"",E4918))</f>
        <v/>
      </c>
    </row>
    <row r="4919">
      <c r="A4919" t="inlineStr">
        <is>
          <t>Contractors</t>
        </is>
      </c>
      <c r="B4919" s="46">
        <f>'Contractors'!Y883</f>
        <v/>
      </c>
      <c r="C4919" s="84">
        <f>'Contractors'!W883</f>
        <v/>
      </c>
      <c r="D4919" s="46">
        <f>'Contractors'!X883</f>
        <v/>
      </c>
      <c r="E4919" s="46">
        <f>IF(OR(B4919="",C4919="",D4919=""),"",D4919*100000+(C4919-DATE(2000,1,1))+ROW()/100000)</f>
        <v/>
      </c>
      <c r="F4919" s="46">
        <f>IF(E4919="","",IF(C4919&gt;WeekEndDate,"",E4919))</f>
        <v/>
      </c>
    </row>
    <row r="4920">
      <c r="A4920" t="inlineStr">
        <is>
          <t>Contractors</t>
        </is>
      </c>
      <c r="B4920" s="46">
        <f>'Contractors'!Y884</f>
        <v/>
      </c>
      <c r="C4920" s="84">
        <f>'Contractors'!W884</f>
        <v/>
      </c>
      <c r="D4920" s="46">
        <f>'Contractors'!X884</f>
        <v/>
      </c>
      <c r="E4920" s="46">
        <f>IF(OR(B4920="",C4920="",D4920=""),"",D4920*100000+(C4920-DATE(2000,1,1))+ROW()/100000)</f>
        <v/>
      </c>
      <c r="F4920" s="46">
        <f>IF(E4920="","",IF(C4920&gt;WeekEndDate,"",E4920))</f>
        <v/>
      </c>
    </row>
    <row r="4921">
      <c r="A4921" t="inlineStr">
        <is>
          <t>Contractors</t>
        </is>
      </c>
      <c r="B4921" s="46">
        <f>'Contractors'!Y885</f>
        <v/>
      </c>
      <c r="C4921" s="84">
        <f>'Contractors'!W885</f>
        <v/>
      </c>
      <c r="D4921" s="46">
        <f>'Contractors'!X885</f>
        <v/>
      </c>
      <c r="E4921" s="46">
        <f>IF(OR(B4921="",C4921="",D4921=""),"",D4921*100000+(C4921-DATE(2000,1,1))+ROW()/100000)</f>
        <v/>
      </c>
      <c r="F4921" s="46">
        <f>IF(E4921="","",IF(C4921&gt;WeekEndDate,"",E4921))</f>
        <v/>
      </c>
    </row>
    <row r="4922">
      <c r="A4922" t="inlineStr">
        <is>
          <t>Contractors</t>
        </is>
      </c>
      <c r="B4922" s="46">
        <f>'Contractors'!Y886</f>
        <v/>
      </c>
      <c r="C4922" s="84">
        <f>'Contractors'!W886</f>
        <v/>
      </c>
      <c r="D4922" s="46">
        <f>'Contractors'!X886</f>
        <v/>
      </c>
      <c r="E4922" s="46">
        <f>IF(OR(B4922="",C4922="",D4922=""),"",D4922*100000+(C4922-DATE(2000,1,1))+ROW()/100000)</f>
        <v/>
      </c>
      <c r="F4922" s="46">
        <f>IF(E4922="","",IF(C4922&gt;WeekEndDate,"",E4922))</f>
        <v/>
      </c>
    </row>
    <row r="4923">
      <c r="A4923" t="inlineStr">
        <is>
          <t>Contractors</t>
        </is>
      </c>
      <c r="B4923" s="46">
        <f>'Contractors'!Y887</f>
        <v/>
      </c>
      <c r="C4923" s="84">
        <f>'Contractors'!W887</f>
        <v/>
      </c>
      <c r="D4923" s="46">
        <f>'Contractors'!X887</f>
        <v/>
      </c>
      <c r="E4923" s="46">
        <f>IF(OR(B4923="",C4923="",D4923=""),"",D4923*100000+(C4923-DATE(2000,1,1))+ROW()/100000)</f>
        <v/>
      </c>
      <c r="F4923" s="46">
        <f>IF(E4923="","",IF(C4923&gt;WeekEndDate,"",E4923))</f>
        <v/>
      </c>
    </row>
    <row r="4924">
      <c r="A4924" t="inlineStr">
        <is>
          <t>Contractors</t>
        </is>
      </c>
      <c r="B4924" s="46">
        <f>'Contractors'!Y888</f>
        <v/>
      </c>
      <c r="C4924" s="84">
        <f>'Contractors'!W888</f>
        <v/>
      </c>
      <c r="D4924" s="46">
        <f>'Contractors'!X888</f>
        <v/>
      </c>
      <c r="E4924" s="46">
        <f>IF(OR(B4924="",C4924="",D4924=""),"",D4924*100000+(C4924-DATE(2000,1,1))+ROW()/100000)</f>
        <v/>
      </c>
      <c r="F4924" s="46">
        <f>IF(E4924="","",IF(C4924&gt;WeekEndDate,"",E4924))</f>
        <v/>
      </c>
    </row>
    <row r="4925">
      <c r="A4925" t="inlineStr">
        <is>
          <t>Contractors</t>
        </is>
      </c>
      <c r="B4925" s="46">
        <f>'Contractors'!Y889</f>
        <v/>
      </c>
      <c r="C4925" s="84">
        <f>'Contractors'!W889</f>
        <v/>
      </c>
      <c r="D4925" s="46">
        <f>'Contractors'!X889</f>
        <v/>
      </c>
      <c r="E4925" s="46">
        <f>IF(OR(B4925="",C4925="",D4925=""),"",D4925*100000+(C4925-DATE(2000,1,1))+ROW()/100000)</f>
        <v/>
      </c>
      <c r="F4925" s="46">
        <f>IF(E4925="","",IF(C4925&gt;WeekEndDate,"",E4925))</f>
        <v/>
      </c>
    </row>
    <row r="4926">
      <c r="A4926" t="inlineStr">
        <is>
          <t>Contractors</t>
        </is>
      </c>
      <c r="B4926" s="46">
        <f>'Contractors'!Y890</f>
        <v/>
      </c>
      <c r="C4926" s="84">
        <f>'Contractors'!W890</f>
        <v/>
      </c>
      <c r="D4926" s="46">
        <f>'Contractors'!X890</f>
        <v/>
      </c>
      <c r="E4926" s="46">
        <f>IF(OR(B4926="",C4926="",D4926=""),"",D4926*100000+(C4926-DATE(2000,1,1))+ROW()/100000)</f>
        <v/>
      </c>
      <c r="F4926" s="46">
        <f>IF(E4926="","",IF(C4926&gt;WeekEndDate,"",E4926))</f>
        <v/>
      </c>
    </row>
    <row r="4927">
      <c r="A4927" t="inlineStr">
        <is>
          <t>Contractors</t>
        </is>
      </c>
      <c r="B4927" s="46">
        <f>'Contractors'!Y891</f>
        <v/>
      </c>
      <c r="C4927" s="84">
        <f>'Contractors'!W891</f>
        <v/>
      </c>
      <c r="D4927" s="46">
        <f>'Contractors'!X891</f>
        <v/>
      </c>
      <c r="E4927" s="46">
        <f>IF(OR(B4927="",C4927="",D4927=""),"",D4927*100000+(C4927-DATE(2000,1,1))+ROW()/100000)</f>
        <v/>
      </c>
      <c r="F4927" s="46">
        <f>IF(E4927="","",IF(C4927&gt;WeekEndDate,"",E4927))</f>
        <v/>
      </c>
    </row>
    <row r="4928">
      <c r="A4928" t="inlineStr">
        <is>
          <t>Contractors</t>
        </is>
      </c>
      <c r="B4928" s="46">
        <f>'Contractors'!Y892</f>
        <v/>
      </c>
      <c r="C4928" s="84">
        <f>'Contractors'!W892</f>
        <v/>
      </c>
      <c r="D4928" s="46">
        <f>'Contractors'!X892</f>
        <v/>
      </c>
      <c r="E4928" s="46">
        <f>IF(OR(B4928="",C4928="",D4928=""),"",D4928*100000+(C4928-DATE(2000,1,1))+ROW()/100000)</f>
        <v/>
      </c>
      <c r="F4928" s="46">
        <f>IF(E4928="","",IF(C4928&gt;WeekEndDate,"",E4928))</f>
        <v/>
      </c>
    </row>
    <row r="4929">
      <c r="A4929" t="inlineStr">
        <is>
          <t>Contractors</t>
        </is>
      </c>
      <c r="B4929" s="46">
        <f>'Contractors'!Y893</f>
        <v/>
      </c>
      <c r="C4929" s="84">
        <f>'Contractors'!W893</f>
        <v/>
      </c>
      <c r="D4929" s="46">
        <f>'Contractors'!X893</f>
        <v/>
      </c>
      <c r="E4929" s="46">
        <f>IF(OR(B4929="",C4929="",D4929=""),"",D4929*100000+(C4929-DATE(2000,1,1))+ROW()/100000)</f>
        <v/>
      </c>
      <c r="F4929" s="46">
        <f>IF(E4929="","",IF(C4929&gt;WeekEndDate,"",E4929))</f>
        <v/>
      </c>
    </row>
    <row r="4930">
      <c r="A4930" t="inlineStr">
        <is>
          <t>Contractors</t>
        </is>
      </c>
      <c r="B4930" s="46">
        <f>'Contractors'!Y894</f>
        <v/>
      </c>
      <c r="C4930" s="84">
        <f>'Contractors'!W894</f>
        <v/>
      </c>
      <c r="D4930" s="46">
        <f>'Contractors'!X894</f>
        <v/>
      </c>
      <c r="E4930" s="46">
        <f>IF(OR(B4930="",C4930="",D4930=""),"",D4930*100000+(C4930-DATE(2000,1,1))+ROW()/100000)</f>
        <v/>
      </c>
      <c r="F4930" s="46">
        <f>IF(E4930="","",IF(C4930&gt;WeekEndDate,"",E4930))</f>
        <v/>
      </c>
    </row>
    <row r="4931">
      <c r="A4931" t="inlineStr">
        <is>
          <t>Contractors</t>
        </is>
      </c>
      <c r="B4931" s="46">
        <f>'Contractors'!Y895</f>
        <v/>
      </c>
      <c r="C4931" s="84">
        <f>'Contractors'!W895</f>
        <v/>
      </c>
      <c r="D4931" s="46">
        <f>'Contractors'!X895</f>
        <v/>
      </c>
      <c r="E4931" s="46">
        <f>IF(OR(B4931="",C4931="",D4931=""),"",D4931*100000+(C4931-DATE(2000,1,1))+ROW()/100000)</f>
        <v/>
      </c>
      <c r="F4931" s="46">
        <f>IF(E4931="","",IF(C4931&gt;WeekEndDate,"",E4931))</f>
        <v/>
      </c>
    </row>
    <row r="4932">
      <c r="A4932" t="inlineStr">
        <is>
          <t>Contractors</t>
        </is>
      </c>
      <c r="B4932" s="46">
        <f>'Contractors'!Y896</f>
        <v/>
      </c>
      <c r="C4932" s="84">
        <f>'Contractors'!W896</f>
        <v/>
      </c>
      <c r="D4932" s="46">
        <f>'Contractors'!X896</f>
        <v/>
      </c>
      <c r="E4932" s="46">
        <f>IF(OR(B4932="",C4932="",D4932=""),"",D4932*100000+(C4932-DATE(2000,1,1))+ROW()/100000)</f>
        <v/>
      </c>
      <c r="F4932" s="46">
        <f>IF(E4932="","",IF(C4932&gt;WeekEndDate,"",E4932))</f>
        <v/>
      </c>
    </row>
    <row r="4933">
      <c r="A4933" t="inlineStr">
        <is>
          <t>Contractors</t>
        </is>
      </c>
      <c r="B4933" s="46">
        <f>'Contractors'!Y897</f>
        <v/>
      </c>
      <c r="C4933" s="84">
        <f>'Contractors'!W897</f>
        <v/>
      </c>
      <c r="D4933" s="46">
        <f>'Contractors'!X897</f>
        <v/>
      </c>
      <c r="E4933" s="46">
        <f>IF(OR(B4933="",C4933="",D4933=""),"",D4933*100000+(C4933-DATE(2000,1,1))+ROW()/100000)</f>
        <v/>
      </c>
      <c r="F4933" s="46">
        <f>IF(E4933="","",IF(C4933&gt;WeekEndDate,"",E4933))</f>
        <v/>
      </c>
    </row>
    <row r="4934">
      <c r="A4934" t="inlineStr">
        <is>
          <t>Contractors</t>
        </is>
      </c>
      <c r="B4934" s="46">
        <f>'Contractors'!Y898</f>
        <v/>
      </c>
      <c r="C4934" s="84">
        <f>'Contractors'!W898</f>
        <v/>
      </c>
      <c r="D4934" s="46">
        <f>'Contractors'!X898</f>
        <v/>
      </c>
      <c r="E4934" s="46">
        <f>IF(OR(B4934="",C4934="",D4934=""),"",D4934*100000+(C4934-DATE(2000,1,1))+ROW()/100000)</f>
        <v/>
      </c>
      <c r="F4934" s="46">
        <f>IF(E4934="","",IF(C4934&gt;WeekEndDate,"",E4934))</f>
        <v/>
      </c>
    </row>
    <row r="4935">
      <c r="A4935" t="inlineStr">
        <is>
          <t>Contractors</t>
        </is>
      </c>
      <c r="B4935" s="46">
        <f>'Contractors'!Y899</f>
        <v/>
      </c>
      <c r="C4935" s="84">
        <f>'Contractors'!W899</f>
        <v/>
      </c>
      <c r="D4935" s="46">
        <f>'Contractors'!X899</f>
        <v/>
      </c>
      <c r="E4935" s="46">
        <f>IF(OR(B4935="",C4935="",D4935=""),"",D4935*100000+(C4935-DATE(2000,1,1))+ROW()/100000)</f>
        <v/>
      </c>
      <c r="F4935" s="46">
        <f>IF(E4935="","",IF(C4935&gt;WeekEndDate,"",E4935))</f>
        <v/>
      </c>
    </row>
    <row r="4936">
      <c r="A4936" t="inlineStr">
        <is>
          <t>Contractors</t>
        </is>
      </c>
      <c r="B4936" s="46">
        <f>'Contractors'!Y900</f>
        <v/>
      </c>
      <c r="C4936" s="84">
        <f>'Contractors'!W900</f>
        <v/>
      </c>
      <c r="D4936" s="46">
        <f>'Contractors'!X900</f>
        <v/>
      </c>
      <c r="E4936" s="46">
        <f>IF(OR(B4936="",C4936="",D4936=""),"",D4936*100000+(C4936-DATE(2000,1,1))+ROW()/100000)</f>
        <v/>
      </c>
      <c r="F4936" s="46">
        <f>IF(E4936="","",IF(C4936&gt;WeekEndDate,"",E4936))</f>
        <v/>
      </c>
    </row>
    <row r="4937">
      <c r="A4937" t="inlineStr">
        <is>
          <t>Contractors</t>
        </is>
      </c>
      <c r="B4937" s="46">
        <f>'Contractors'!Y901</f>
        <v/>
      </c>
      <c r="C4937" s="84">
        <f>'Contractors'!W901</f>
        <v/>
      </c>
      <c r="D4937" s="46">
        <f>'Contractors'!X901</f>
        <v/>
      </c>
      <c r="E4937" s="46">
        <f>IF(OR(B4937="",C4937="",D4937=""),"",D4937*100000+(C4937-DATE(2000,1,1))+ROW()/100000)</f>
        <v/>
      </c>
      <c r="F4937" s="46">
        <f>IF(E4937="","",IF(C4937&gt;WeekEndDate,"",E4937))</f>
        <v/>
      </c>
    </row>
    <row r="4938">
      <c r="A4938" t="inlineStr">
        <is>
          <t>Contractors</t>
        </is>
      </c>
      <c r="B4938" s="46">
        <f>'Contractors'!Y902</f>
        <v/>
      </c>
      <c r="C4938" s="84">
        <f>'Contractors'!W902</f>
        <v/>
      </c>
      <c r="D4938" s="46">
        <f>'Contractors'!X902</f>
        <v/>
      </c>
      <c r="E4938" s="46">
        <f>IF(OR(B4938="",C4938="",D4938=""),"",D4938*100000+(C4938-DATE(2000,1,1))+ROW()/100000)</f>
        <v/>
      </c>
      <c r="F4938" s="46">
        <f>IF(E4938="","",IF(C4938&gt;WeekEndDate,"",E4938))</f>
        <v/>
      </c>
    </row>
    <row r="4939">
      <c r="A4939" t="inlineStr">
        <is>
          <t>Contractors</t>
        </is>
      </c>
      <c r="B4939" s="46">
        <f>'Contractors'!Y903</f>
        <v/>
      </c>
      <c r="C4939" s="84">
        <f>'Contractors'!W903</f>
        <v/>
      </c>
      <c r="D4939" s="46">
        <f>'Contractors'!X903</f>
        <v/>
      </c>
      <c r="E4939" s="46">
        <f>IF(OR(B4939="",C4939="",D4939=""),"",D4939*100000+(C4939-DATE(2000,1,1))+ROW()/100000)</f>
        <v/>
      </c>
      <c r="F4939" s="46">
        <f>IF(E4939="","",IF(C4939&gt;WeekEndDate,"",E4939))</f>
        <v/>
      </c>
    </row>
    <row r="4940">
      <c r="A4940" t="inlineStr">
        <is>
          <t>Contractors</t>
        </is>
      </c>
      <c r="B4940" s="46">
        <f>'Contractors'!Y904</f>
        <v/>
      </c>
      <c r="C4940" s="84">
        <f>'Contractors'!W904</f>
        <v/>
      </c>
      <c r="D4940" s="46">
        <f>'Contractors'!X904</f>
        <v/>
      </c>
      <c r="E4940" s="46">
        <f>IF(OR(B4940="",C4940="",D4940=""),"",D4940*100000+(C4940-DATE(2000,1,1))+ROW()/100000)</f>
        <v/>
      </c>
      <c r="F4940" s="46">
        <f>IF(E4940="","",IF(C4940&gt;WeekEndDate,"",E4940))</f>
        <v/>
      </c>
    </row>
    <row r="4941">
      <c r="A4941" t="inlineStr">
        <is>
          <t>Contractors</t>
        </is>
      </c>
      <c r="B4941" s="46">
        <f>'Contractors'!Y905</f>
        <v/>
      </c>
      <c r="C4941" s="84">
        <f>'Contractors'!W905</f>
        <v/>
      </c>
      <c r="D4941" s="46">
        <f>'Contractors'!X905</f>
        <v/>
      </c>
      <c r="E4941" s="46">
        <f>IF(OR(B4941="",C4941="",D4941=""),"",D4941*100000+(C4941-DATE(2000,1,1))+ROW()/100000)</f>
        <v/>
      </c>
      <c r="F4941" s="46">
        <f>IF(E4941="","",IF(C4941&gt;WeekEndDate,"",E4941))</f>
        <v/>
      </c>
    </row>
    <row r="4942">
      <c r="A4942" t="inlineStr">
        <is>
          <t>Contractors</t>
        </is>
      </c>
      <c r="B4942" s="46">
        <f>'Contractors'!Y906</f>
        <v/>
      </c>
      <c r="C4942" s="84">
        <f>'Contractors'!W906</f>
        <v/>
      </c>
      <c r="D4942" s="46">
        <f>'Contractors'!X906</f>
        <v/>
      </c>
      <c r="E4942" s="46">
        <f>IF(OR(B4942="",C4942="",D4942=""),"",D4942*100000+(C4942-DATE(2000,1,1))+ROW()/100000)</f>
        <v/>
      </c>
      <c r="F4942" s="46">
        <f>IF(E4942="","",IF(C4942&gt;WeekEndDate,"",E4942))</f>
        <v/>
      </c>
    </row>
    <row r="4943">
      <c r="A4943" t="inlineStr">
        <is>
          <t>Contractors</t>
        </is>
      </c>
      <c r="B4943" s="46">
        <f>'Contractors'!Y907</f>
        <v/>
      </c>
      <c r="C4943" s="84">
        <f>'Contractors'!W907</f>
        <v/>
      </c>
      <c r="D4943" s="46">
        <f>'Contractors'!X907</f>
        <v/>
      </c>
      <c r="E4943" s="46">
        <f>IF(OR(B4943="",C4943="",D4943=""),"",D4943*100000+(C4943-DATE(2000,1,1))+ROW()/100000)</f>
        <v/>
      </c>
      <c r="F4943" s="46">
        <f>IF(E4943="","",IF(C4943&gt;WeekEndDate,"",E4943))</f>
        <v/>
      </c>
    </row>
    <row r="4944">
      <c r="A4944" t="inlineStr">
        <is>
          <t>Contractors</t>
        </is>
      </c>
      <c r="B4944" s="46">
        <f>'Contractors'!Y908</f>
        <v/>
      </c>
      <c r="C4944" s="84">
        <f>'Contractors'!W908</f>
        <v/>
      </c>
      <c r="D4944" s="46">
        <f>'Contractors'!X908</f>
        <v/>
      </c>
      <c r="E4944" s="46">
        <f>IF(OR(B4944="",C4944="",D4944=""),"",D4944*100000+(C4944-DATE(2000,1,1))+ROW()/100000)</f>
        <v/>
      </c>
      <c r="F4944" s="46">
        <f>IF(E4944="","",IF(C4944&gt;WeekEndDate,"",E4944))</f>
        <v/>
      </c>
    </row>
    <row r="4945">
      <c r="A4945" t="inlineStr">
        <is>
          <t>Contractors</t>
        </is>
      </c>
      <c r="B4945" s="46">
        <f>'Contractors'!Y909</f>
        <v/>
      </c>
      <c r="C4945" s="84">
        <f>'Contractors'!W909</f>
        <v/>
      </c>
      <c r="D4945" s="46">
        <f>'Contractors'!X909</f>
        <v/>
      </c>
      <c r="E4945" s="46">
        <f>IF(OR(B4945="",C4945="",D4945=""),"",D4945*100000+(C4945-DATE(2000,1,1))+ROW()/100000)</f>
        <v/>
      </c>
      <c r="F4945" s="46">
        <f>IF(E4945="","",IF(C4945&gt;WeekEndDate,"",E4945))</f>
        <v/>
      </c>
    </row>
    <row r="4946">
      <c r="A4946" t="inlineStr">
        <is>
          <t>Contractors</t>
        </is>
      </c>
      <c r="B4946" s="46">
        <f>'Contractors'!Y910</f>
        <v/>
      </c>
      <c r="C4946" s="84">
        <f>'Contractors'!W910</f>
        <v/>
      </c>
      <c r="D4946" s="46">
        <f>'Contractors'!X910</f>
        <v/>
      </c>
      <c r="E4946" s="46">
        <f>IF(OR(B4946="",C4946="",D4946=""),"",D4946*100000+(C4946-DATE(2000,1,1))+ROW()/100000)</f>
        <v/>
      </c>
      <c r="F4946" s="46">
        <f>IF(E4946="","",IF(C4946&gt;WeekEndDate,"",E4946))</f>
        <v/>
      </c>
    </row>
    <row r="4947">
      <c r="A4947" t="inlineStr">
        <is>
          <t>Contractors</t>
        </is>
      </c>
      <c r="B4947" s="46">
        <f>'Contractors'!Y911</f>
        <v/>
      </c>
      <c r="C4947" s="84">
        <f>'Contractors'!W911</f>
        <v/>
      </c>
      <c r="D4947" s="46">
        <f>'Contractors'!X911</f>
        <v/>
      </c>
      <c r="E4947" s="46">
        <f>IF(OR(B4947="",C4947="",D4947=""),"",D4947*100000+(C4947-DATE(2000,1,1))+ROW()/100000)</f>
        <v/>
      </c>
      <c r="F4947" s="46">
        <f>IF(E4947="","",IF(C4947&gt;WeekEndDate,"",E4947))</f>
        <v/>
      </c>
    </row>
    <row r="4948">
      <c r="A4948" t="inlineStr">
        <is>
          <t>Contractors</t>
        </is>
      </c>
      <c r="B4948" s="46">
        <f>'Contractors'!Y912</f>
        <v/>
      </c>
      <c r="C4948" s="84">
        <f>'Contractors'!W912</f>
        <v/>
      </c>
      <c r="D4948" s="46">
        <f>'Contractors'!X912</f>
        <v/>
      </c>
      <c r="E4948" s="46">
        <f>IF(OR(B4948="",C4948="",D4948=""),"",D4948*100000+(C4948-DATE(2000,1,1))+ROW()/100000)</f>
        <v/>
      </c>
      <c r="F4948" s="46">
        <f>IF(E4948="","",IF(C4948&gt;WeekEndDate,"",E4948))</f>
        <v/>
      </c>
    </row>
    <row r="4949">
      <c r="A4949" t="inlineStr">
        <is>
          <t>Contractors</t>
        </is>
      </c>
      <c r="B4949" s="46">
        <f>'Contractors'!Y913</f>
        <v/>
      </c>
      <c r="C4949" s="84">
        <f>'Contractors'!W913</f>
        <v/>
      </c>
      <c r="D4949" s="46">
        <f>'Contractors'!X913</f>
        <v/>
      </c>
      <c r="E4949" s="46">
        <f>IF(OR(B4949="",C4949="",D4949=""),"",D4949*100000+(C4949-DATE(2000,1,1))+ROW()/100000)</f>
        <v/>
      </c>
      <c r="F4949" s="46">
        <f>IF(E4949="","",IF(C4949&gt;WeekEndDate,"",E4949))</f>
        <v/>
      </c>
    </row>
    <row r="4950">
      <c r="A4950" t="inlineStr">
        <is>
          <t>Contractors</t>
        </is>
      </c>
      <c r="B4950" s="46">
        <f>'Contractors'!Y914</f>
        <v/>
      </c>
      <c r="C4950" s="84">
        <f>'Contractors'!W914</f>
        <v/>
      </c>
      <c r="D4950" s="46">
        <f>'Contractors'!X914</f>
        <v/>
      </c>
      <c r="E4950" s="46">
        <f>IF(OR(B4950="",C4950="",D4950=""),"",D4950*100000+(C4950-DATE(2000,1,1))+ROW()/100000)</f>
        <v/>
      </c>
      <c r="F4950" s="46">
        <f>IF(E4950="","",IF(C4950&gt;WeekEndDate,"",E4950))</f>
        <v/>
      </c>
    </row>
    <row r="4951">
      <c r="A4951" t="inlineStr">
        <is>
          <t>Contractors</t>
        </is>
      </c>
      <c r="B4951" s="46">
        <f>'Contractors'!Y915</f>
        <v/>
      </c>
      <c r="C4951" s="84">
        <f>'Contractors'!W915</f>
        <v/>
      </c>
      <c r="D4951" s="46">
        <f>'Contractors'!X915</f>
        <v/>
      </c>
      <c r="E4951" s="46">
        <f>IF(OR(B4951="",C4951="",D4951=""),"",D4951*100000+(C4951-DATE(2000,1,1))+ROW()/100000)</f>
        <v/>
      </c>
      <c r="F4951" s="46">
        <f>IF(E4951="","",IF(C4951&gt;WeekEndDate,"",E4951))</f>
        <v/>
      </c>
    </row>
    <row r="4952">
      <c r="A4952" t="inlineStr">
        <is>
          <t>Contractors</t>
        </is>
      </c>
      <c r="B4952" s="46">
        <f>'Contractors'!Y916</f>
        <v/>
      </c>
      <c r="C4952" s="84">
        <f>'Contractors'!W916</f>
        <v/>
      </c>
      <c r="D4952" s="46">
        <f>'Contractors'!X916</f>
        <v/>
      </c>
      <c r="E4952" s="46">
        <f>IF(OR(B4952="",C4952="",D4952=""),"",D4952*100000+(C4952-DATE(2000,1,1))+ROW()/100000)</f>
        <v/>
      </c>
      <c r="F4952" s="46">
        <f>IF(E4952="","",IF(C4952&gt;WeekEndDate,"",E4952))</f>
        <v/>
      </c>
    </row>
    <row r="4953">
      <c r="A4953" t="inlineStr">
        <is>
          <t>Contractors</t>
        </is>
      </c>
      <c r="B4953" s="46">
        <f>'Contractors'!Y917</f>
        <v/>
      </c>
      <c r="C4953" s="84">
        <f>'Contractors'!W917</f>
        <v/>
      </c>
      <c r="D4953" s="46">
        <f>'Contractors'!X917</f>
        <v/>
      </c>
      <c r="E4953" s="46">
        <f>IF(OR(B4953="",C4953="",D4953=""),"",D4953*100000+(C4953-DATE(2000,1,1))+ROW()/100000)</f>
        <v/>
      </c>
      <c r="F4953" s="46">
        <f>IF(E4953="","",IF(C4953&gt;WeekEndDate,"",E4953))</f>
        <v/>
      </c>
    </row>
    <row r="4954">
      <c r="A4954" t="inlineStr">
        <is>
          <t>Contractors</t>
        </is>
      </c>
      <c r="B4954" s="46">
        <f>'Contractors'!Y918</f>
        <v/>
      </c>
      <c r="C4954" s="84">
        <f>'Contractors'!W918</f>
        <v/>
      </c>
      <c r="D4954" s="46">
        <f>'Contractors'!X918</f>
        <v/>
      </c>
      <c r="E4954" s="46">
        <f>IF(OR(B4954="",C4954="",D4954=""),"",D4954*100000+(C4954-DATE(2000,1,1))+ROW()/100000)</f>
        <v/>
      </c>
      <c r="F4954" s="46">
        <f>IF(E4954="","",IF(C4954&gt;WeekEndDate,"",E4954))</f>
        <v/>
      </c>
    </row>
    <row r="4955">
      <c r="A4955" t="inlineStr">
        <is>
          <t>Contractors</t>
        </is>
      </c>
      <c r="B4955" s="46">
        <f>'Contractors'!Y919</f>
        <v/>
      </c>
      <c r="C4955" s="84">
        <f>'Contractors'!W919</f>
        <v/>
      </c>
      <c r="D4955" s="46">
        <f>'Contractors'!X919</f>
        <v/>
      </c>
      <c r="E4955" s="46">
        <f>IF(OR(B4955="",C4955="",D4955=""),"",D4955*100000+(C4955-DATE(2000,1,1))+ROW()/100000)</f>
        <v/>
      </c>
      <c r="F4955" s="46">
        <f>IF(E4955="","",IF(C4955&gt;WeekEndDate,"",E4955))</f>
        <v/>
      </c>
    </row>
    <row r="4956">
      <c r="A4956" t="inlineStr">
        <is>
          <t>Contractors</t>
        </is>
      </c>
      <c r="B4956" s="46">
        <f>'Contractors'!Y920</f>
        <v/>
      </c>
      <c r="C4956" s="84">
        <f>'Contractors'!W920</f>
        <v/>
      </c>
      <c r="D4956" s="46">
        <f>'Contractors'!X920</f>
        <v/>
      </c>
      <c r="E4956" s="46">
        <f>IF(OR(B4956="",C4956="",D4956=""),"",D4956*100000+(C4956-DATE(2000,1,1))+ROW()/100000)</f>
        <v/>
      </c>
      <c r="F4956" s="46">
        <f>IF(E4956="","",IF(C4956&gt;WeekEndDate,"",E4956))</f>
        <v/>
      </c>
    </row>
    <row r="4957">
      <c r="A4957" t="inlineStr">
        <is>
          <t>Contractors</t>
        </is>
      </c>
      <c r="B4957" s="46">
        <f>'Contractors'!Y921</f>
        <v/>
      </c>
      <c r="C4957" s="84">
        <f>'Contractors'!W921</f>
        <v/>
      </c>
      <c r="D4957" s="46">
        <f>'Contractors'!X921</f>
        <v/>
      </c>
      <c r="E4957" s="46">
        <f>IF(OR(B4957="",C4957="",D4957=""),"",D4957*100000+(C4957-DATE(2000,1,1))+ROW()/100000)</f>
        <v/>
      </c>
      <c r="F4957" s="46">
        <f>IF(E4957="","",IF(C4957&gt;WeekEndDate,"",E4957))</f>
        <v/>
      </c>
    </row>
    <row r="4958">
      <c r="A4958" t="inlineStr">
        <is>
          <t>Contractors</t>
        </is>
      </c>
      <c r="B4958" s="46">
        <f>'Contractors'!Y922</f>
        <v/>
      </c>
      <c r="C4958" s="84">
        <f>'Contractors'!W922</f>
        <v/>
      </c>
      <c r="D4958" s="46">
        <f>'Contractors'!X922</f>
        <v/>
      </c>
      <c r="E4958" s="46">
        <f>IF(OR(B4958="",C4958="",D4958=""),"",D4958*100000+(C4958-DATE(2000,1,1))+ROW()/100000)</f>
        <v/>
      </c>
      <c r="F4958" s="46">
        <f>IF(E4958="","",IF(C4958&gt;WeekEndDate,"",E4958))</f>
        <v/>
      </c>
    </row>
    <row r="4959">
      <c r="A4959" t="inlineStr">
        <is>
          <t>Contractors</t>
        </is>
      </c>
      <c r="B4959" s="46">
        <f>'Contractors'!Y923</f>
        <v/>
      </c>
      <c r="C4959" s="84">
        <f>'Contractors'!W923</f>
        <v/>
      </c>
      <c r="D4959" s="46">
        <f>'Contractors'!X923</f>
        <v/>
      </c>
      <c r="E4959" s="46">
        <f>IF(OR(B4959="",C4959="",D4959=""),"",D4959*100000+(C4959-DATE(2000,1,1))+ROW()/100000)</f>
        <v/>
      </c>
      <c r="F4959" s="46">
        <f>IF(E4959="","",IF(C4959&gt;WeekEndDate,"",E4959))</f>
        <v/>
      </c>
    </row>
    <row r="4960">
      <c r="A4960" t="inlineStr">
        <is>
          <t>Contractors</t>
        </is>
      </c>
      <c r="B4960" s="46">
        <f>'Contractors'!Y924</f>
        <v/>
      </c>
      <c r="C4960" s="84">
        <f>'Contractors'!W924</f>
        <v/>
      </c>
      <c r="D4960" s="46">
        <f>'Contractors'!X924</f>
        <v/>
      </c>
      <c r="E4960" s="46">
        <f>IF(OR(B4960="",C4960="",D4960=""),"",D4960*100000+(C4960-DATE(2000,1,1))+ROW()/100000)</f>
        <v/>
      </c>
      <c r="F4960" s="46">
        <f>IF(E4960="","",IF(C4960&gt;WeekEndDate,"",E4960))</f>
        <v/>
      </c>
    </row>
    <row r="4961">
      <c r="A4961" t="inlineStr">
        <is>
          <t>Contractors</t>
        </is>
      </c>
      <c r="B4961" s="46">
        <f>'Contractors'!Y925</f>
        <v/>
      </c>
      <c r="C4961" s="84">
        <f>'Contractors'!W925</f>
        <v/>
      </c>
      <c r="D4961" s="46">
        <f>'Contractors'!X925</f>
        <v/>
      </c>
      <c r="E4961" s="46">
        <f>IF(OR(B4961="",C4961="",D4961=""),"",D4961*100000+(C4961-DATE(2000,1,1))+ROW()/100000)</f>
        <v/>
      </c>
      <c r="F4961" s="46">
        <f>IF(E4961="","",IF(C4961&gt;WeekEndDate,"",E4961))</f>
        <v/>
      </c>
    </row>
    <row r="4962">
      <c r="A4962" t="inlineStr">
        <is>
          <t>Contractors</t>
        </is>
      </c>
      <c r="B4962" s="46">
        <f>'Contractors'!Y926</f>
        <v/>
      </c>
      <c r="C4962" s="84">
        <f>'Contractors'!W926</f>
        <v/>
      </c>
      <c r="D4962" s="46">
        <f>'Contractors'!X926</f>
        <v/>
      </c>
      <c r="E4962" s="46">
        <f>IF(OR(B4962="",C4962="",D4962=""),"",D4962*100000+(C4962-DATE(2000,1,1))+ROW()/100000)</f>
        <v/>
      </c>
      <c r="F4962" s="46">
        <f>IF(E4962="","",IF(C4962&gt;WeekEndDate,"",E4962))</f>
        <v/>
      </c>
    </row>
    <row r="4963">
      <c r="A4963" t="inlineStr">
        <is>
          <t>Contractors</t>
        </is>
      </c>
      <c r="B4963" s="46">
        <f>'Contractors'!Y927</f>
        <v/>
      </c>
      <c r="C4963" s="84">
        <f>'Contractors'!W927</f>
        <v/>
      </c>
      <c r="D4963" s="46">
        <f>'Contractors'!X927</f>
        <v/>
      </c>
      <c r="E4963" s="46">
        <f>IF(OR(B4963="",C4963="",D4963=""),"",D4963*100000+(C4963-DATE(2000,1,1))+ROW()/100000)</f>
        <v/>
      </c>
      <c r="F4963" s="46">
        <f>IF(E4963="","",IF(C4963&gt;WeekEndDate,"",E4963))</f>
        <v/>
      </c>
    </row>
    <row r="4964">
      <c r="A4964" t="inlineStr">
        <is>
          <t>Contractors</t>
        </is>
      </c>
      <c r="B4964" s="46">
        <f>'Contractors'!Y928</f>
        <v/>
      </c>
      <c r="C4964" s="84">
        <f>'Contractors'!W928</f>
        <v/>
      </c>
      <c r="D4964" s="46">
        <f>'Contractors'!X928</f>
        <v/>
      </c>
      <c r="E4964" s="46">
        <f>IF(OR(B4964="",C4964="",D4964=""),"",D4964*100000+(C4964-DATE(2000,1,1))+ROW()/100000)</f>
        <v/>
      </c>
      <c r="F4964" s="46">
        <f>IF(E4964="","",IF(C4964&gt;WeekEndDate,"",E4964))</f>
        <v/>
      </c>
    </row>
    <row r="4965">
      <c r="A4965" t="inlineStr">
        <is>
          <t>Contractors</t>
        </is>
      </c>
      <c r="B4965" s="46">
        <f>'Contractors'!Y929</f>
        <v/>
      </c>
      <c r="C4965" s="84">
        <f>'Contractors'!W929</f>
        <v/>
      </c>
      <c r="D4965" s="46">
        <f>'Contractors'!X929</f>
        <v/>
      </c>
      <c r="E4965" s="46">
        <f>IF(OR(B4965="",C4965="",D4965=""),"",D4965*100000+(C4965-DATE(2000,1,1))+ROW()/100000)</f>
        <v/>
      </c>
      <c r="F4965" s="46">
        <f>IF(E4965="","",IF(C4965&gt;WeekEndDate,"",E4965))</f>
        <v/>
      </c>
    </row>
    <row r="4966">
      <c r="A4966" t="inlineStr">
        <is>
          <t>Contractors</t>
        </is>
      </c>
      <c r="B4966" s="46">
        <f>'Contractors'!Y930</f>
        <v/>
      </c>
      <c r="C4966" s="84">
        <f>'Contractors'!W930</f>
        <v/>
      </c>
      <c r="D4966" s="46">
        <f>'Contractors'!X930</f>
        <v/>
      </c>
      <c r="E4966" s="46">
        <f>IF(OR(B4966="",C4966="",D4966=""),"",D4966*100000+(C4966-DATE(2000,1,1))+ROW()/100000)</f>
        <v/>
      </c>
      <c r="F4966" s="46">
        <f>IF(E4966="","",IF(C4966&gt;WeekEndDate,"",E4966))</f>
        <v/>
      </c>
    </row>
    <row r="4967">
      <c r="A4967" t="inlineStr">
        <is>
          <t>Contractors</t>
        </is>
      </c>
      <c r="B4967" s="46">
        <f>'Contractors'!Y931</f>
        <v/>
      </c>
      <c r="C4967" s="84">
        <f>'Contractors'!W931</f>
        <v/>
      </c>
      <c r="D4967" s="46">
        <f>'Contractors'!X931</f>
        <v/>
      </c>
      <c r="E4967" s="46">
        <f>IF(OR(B4967="",C4967="",D4967=""),"",D4967*100000+(C4967-DATE(2000,1,1))+ROW()/100000)</f>
        <v/>
      </c>
      <c r="F4967" s="46">
        <f>IF(E4967="","",IF(C4967&gt;WeekEndDate,"",E4967))</f>
        <v/>
      </c>
    </row>
    <row r="4968">
      <c r="A4968" t="inlineStr">
        <is>
          <t>Contractors</t>
        </is>
      </c>
      <c r="B4968" s="46">
        <f>'Contractors'!Y932</f>
        <v/>
      </c>
      <c r="C4968" s="84">
        <f>'Contractors'!W932</f>
        <v/>
      </c>
      <c r="D4968" s="46">
        <f>'Contractors'!X932</f>
        <v/>
      </c>
      <c r="E4968" s="46">
        <f>IF(OR(B4968="",C4968="",D4968=""),"",D4968*100000+(C4968-DATE(2000,1,1))+ROW()/100000)</f>
        <v/>
      </c>
      <c r="F4968" s="46">
        <f>IF(E4968="","",IF(C4968&gt;WeekEndDate,"",E4968))</f>
        <v/>
      </c>
    </row>
    <row r="4969">
      <c r="A4969" t="inlineStr">
        <is>
          <t>Contractors</t>
        </is>
      </c>
      <c r="B4969" s="46">
        <f>'Contractors'!Y933</f>
        <v/>
      </c>
      <c r="C4969" s="84">
        <f>'Contractors'!W933</f>
        <v/>
      </c>
      <c r="D4969" s="46">
        <f>'Contractors'!X933</f>
        <v/>
      </c>
      <c r="E4969" s="46">
        <f>IF(OR(B4969="",C4969="",D4969=""),"",D4969*100000+(C4969-DATE(2000,1,1))+ROW()/100000)</f>
        <v/>
      </c>
      <c r="F4969" s="46">
        <f>IF(E4969="","",IF(C4969&gt;WeekEndDate,"",E4969))</f>
        <v/>
      </c>
    </row>
    <row r="4970">
      <c r="A4970" t="inlineStr">
        <is>
          <t>Contractors</t>
        </is>
      </c>
      <c r="B4970" s="46">
        <f>'Contractors'!Y934</f>
        <v/>
      </c>
      <c r="C4970" s="84">
        <f>'Contractors'!W934</f>
        <v/>
      </c>
      <c r="D4970" s="46">
        <f>'Contractors'!X934</f>
        <v/>
      </c>
      <c r="E4970" s="46">
        <f>IF(OR(B4970="",C4970="",D4970=""),"",D4970*100000+(C4970-DATE(2000,1,1))+ROW()/100000)</f>
        <v/>
      </c>
      <c r="F4970" s="46">
        <f>IF(E4970="","",IF(C4970&gt;WeekEndDate,"",E4970))</f>
        <v/>
      </c>
    </row>
    <row r="4971">
      <c r="A4971" t="inlineStr">
        <is>
          <t>Contractors</t>
        </is>
      </c>
      <c r="B4971" s="46">
        <f>'Contractors'!Y935</f>
        <v/>
      </c>
      <c r="C4971" s="84">
        <f>'Contractors'!W935</f>
        <v/>
      </c>
      <c r="D4971" s="46">
        <f>'Contractors'!X935</f>
        <v/>
      </c>
      <c r="E4971" s="46">
        <f>IF(OR(B4971="",C4971="",D4971=""),"",D4971*100000+(C4971-DATE(2000,1,1))+ROW()/100000)</f>
        <v/>
      </c>
      <c r="F4971" s="46">
        <f>IF(E4971="","",IF(C4971&gt;WeekEndDate,"",E4971))</f>
        <v/>
      </c>
    </row>
    <row r="4972">
      <c r="A4972" t="inlineStr">
        <is>
          <t>Contractors</t>
        </is>
      </c>
      <c r="B4972" s="46">
        <f>'Contractors'!Y936</f>
        <v/>
      </c>
      <c r="C4972" s="84">
        <f>'Contractors'!W936</f>
        <v/>
      </c>
      <c r="D4972" s="46">
        <f>'Contractors'!X936</f>
        <v/>
      </c>
      <c r="E4972" s="46">
        <f>IF(OR(B4972="",C4972="",D4972=""),"",D4972*100000+(C4972-DATE(2000,1,1))+ROW()/100000)</f>
        <v/>
      </c>
      <c r="F4972" s="46">
        <f>IF(E4972="","",IF(C4972&gt;WeekEndDate,"",E4972))</f>
        <v/>
      </c>
    </row>
    <row r="4973">
      <c r="A4973" t="inlineStr">
        <is>
          <t>Contractors</t>
        </is>
      </c>
      <c r="B4973" s="46">
        <f>'Contractors'!Y937</f>
        <v/>
      </c>
      <c r="C4973" s="84">
        <f>'Contractors'!W937</f>
        <v/>
      </c>
      <c r="D4973" s="46">
        <f>'Contractors'!X937</f>
        <v/>
      </c>
      <c r="E4973" s="46">
        <f>IF(OR(B4973="",C4973="",D4973=""),"",D4973*100000+(C4973-DATE(2000,1,1))+ROW()/100000)</f>
        <v/>
      </c>
      <c r="F4973" s="46">
        <f>IF(E4973="","",IF(C4973&gt;WeekEndDate,"",E4973))</f>
        <v/>
      </c>
    </row>
    <row r="4974">
      <c r="A4974" t="inlineStr">
        <is>
          <t>Contractors</t>
        </is>
      </c>
      <c r="B4974" s="46">
        <f>'Contractors'!Y938</f>
        <v/>
      </c>
      <c r="C4974" s="84">
        <f>'Contractors'!W938</f>
        <v/>
      </c>
      <c r="D4974" s="46">
        <f>'Contractors'!X938</f>
        <v/>
      </c>
      <c r="E4974" s="46">
        <f>IF(OR(B4974="",C4974="",D4974=""),"",D4974*100000+(C4974-DATE(2000,1,1))+ROW()/100000)</f>
        <v/>
      </c>
      <c r="F4974" s="46">
        <f>IF(E4974="","",IF(C4974&gt;WeekEndDate,"",E4974))</f>
        <v/>
      </c>
    </row>
    <row r="4975">
      <c r="A4975" t="inlineStr">
        <is>
          <t>Contractors</t>
        </is>
      </c>
      <c r="B4975" s="46">
        <f>'Contractors'!Y939</f>
        <v/>
      </c>
      <c r="C4975" s="84">
        <f>'Contractors'!W939</f>
        <v/>
      </c>
      <c r="D4975" s="46">
        <f>'Contractors'!X939</f>
        <v/>
      </c>
      <c r="E4975" s="46">
        <f>IF(OR(B4975="",C4975="",D4975=""),"",D4975*100000+(C4975-DATE(2000,1,1))+ROW()/100000)</f>
        <v/>
      </c>
      <c r="F4975" s="46">
        <f>IF(E4975="","",IF(C4975&gt;WeekEndDate,"",E4975))</f>
        <v/>
      </c>
    </row>
    <row r="4976">
      <c r="A4976" t="inlineStr">
        <is>
          <t>Contractors</t>
        </is>
      </c>
      <c r="B4976" s="46">
        <f>'Contractors'!Y940</f>
        <v/>
      </c>
      <c r="C4976" s="84">
        <f>'Contractors'!W940</f>
        <v/>
      </c>
      <c r="D4976" s="46">
        <f>'Contractors'!X940</f>
        <v/>
      </c>
      <c r="E4976" s="46">
        <f>IF(OR(B4976="",C4976="",D4976=""),"",D4976*100000+(C4976-DATE(2000,1,1))+ROW()/100000)</f>
        <v/>
      </c>
      <c r="F4976" s="46">
        <f>IF(E4976="","",IF(C4976&gt;WeekEndDate,"",E4976))</f>
        <v/>
      </c>
    </row>
    <row r="4977">
      <c r="A4977" t="inlineStr">
        <is>
          <t>Contractors</t>
        </is>
      </c>
      <c r="B4977" s="46">
        <f>'Contractors'!Y941</f>
        <v/>
      </c>
      <c r="C4977" s="84">
        <f>'Contractors'!W941</f>
        <v/>
      </c>
      <c r="D4977" s="46">
        <f>'Contractors'!X941</f>
        <v/>
      </c>
      <c r="E4977" s="46">
        <f>IF(OR(B4977="",C4977="",D4977=""),"",D4977*100000+(C4977-DATE(2000,1,1))+ROW()/100000)</f>
        <v/>
      </c>
      <c r="F4977" s="46">
        <f>IF(E4977="","",IF(C4977&gt;WeekEndDate,"",E4977))</f>
        <v/>
      </c>
    </row>
    <row r="4978">
      <c r="A4978" t="inlineStr">
        <is>
          <t>Contractors</t>
        </is>
      </c>
      <c r="B4978" s="46">
        <f>'Contractors'!Y942</f>
        <v/>
      </c>
      <c r="C4978" s="84">
        <f>'Contractors'!W942</f>
        <v/>
      </c>
      <c r="D4978" s="46">
        <f>'Contractors'!X942</f>
        <v/>
      </c>
      <c r="E4978" s="46">
        <f>IF(OR(B4978="",C4978="",D4978=""),"",D4978*100000+(C4978-DATE(2000,1,1))+ROW()/100000)</f>
        <v/>
      </c>
      <c r="F4978" s="46">
        <f>IF(E4978="","",IF(C4978&gt;WeekEndDate,"",E4978))</f>
        <v/>
      </c>
    </row>
    <row r="4979">
      <c r="A4979" t="inlineStr">
        <is>
          <t>Contractors</t>
        </is>
      </c>
      <c r="B4979" s="46">
        <f>'Contractors'!Y943</f>
        <v/>
      </c>
      <c r="C4979" s="84">
        <f>'Contractors'!W943</f>
        <v/>
      </c>
      <c r="D4979" s="46">
        <f>'Contractors'!X943</f>
        <v/>
      </c>
      <c r="E4979" s="46">
        <f>IF(OR(B4979="",C4979="",D4979=""),"",D4979*100000+(C4979-DATE(2000,1,1))+ROW()/100000)</f>
        <v/>
      </c>
      <c r="F4979" s="46">
        <f>IF(E4979="","",IF(C4979&gt;WeekEndDate,"",E4979))</f>
        <v/>
      </c>
    </row>
    <row r="4980">
      <c r="A4980" t="inlineStr">
        <is>
          <t>Contractors</t>
        </is>
      </c>
      <c r="B4980" s="46">
        <f>'Contractors'!Y944</f>
        <v/>
      </c>
      <c r="C4980" s="84">
        <f>'Contractors'!W944</f>
        <v/>
      </c>
      <c r="D4980" s="46">
        <f>'Contractors'!X944</f>
        <v/>
      </c>
      <c r="E4980" s="46">
        <f>IF(OR(B4980="",C4980="",D4980=""),"",D4980*100000+(C4980-DATE(2000,1,1))+ROW()/100000)</f>
        <v/>
      </c>
      <c r="F4980" s="46">
        <f>IF(E4980="","",IF(C4980&gt;WeekEndDate,"",E4980))</f>
        <v/>
      </c>
    </row>
    <row r="4981">
      <c r="A4981" t="inlineStr">
        <is>
          <t>Contractors</t>
        </is>
      </c>
      <c r="B4981" s="46">
        <f>'Contractors'!Y945</f>
        <v/>
      </c>
      <c r="C4981" s="84">
        <f>'Contractors'!W945</f>
        <v/>
      </c>
      <c r="D4981" s="46">
        <f>'Contractors'!X945</f>
        <v/>
      </c>
      <c r="E4981" s="46">
        <f>IF(OR(B4981="",C4981="",D4981=""),"",D4981*100000+(C4981-DATE(2000,1,1))+ROW()/100000)</f>
        <v/>
      </c>
      <c r="F4981" s="46">
        <f>IF(E4981="","",IF(C4981&gt;WeekEndDate,"",E4981))</f>
        <v/>
      </c>
    </row>
    <row r="4982">
      <c r="A4982" t="inlineStr">
        <is>
          <t>Contractors</t>
        </is>
      </c>
      <c r="B4982" s="46">
        <f>'Contractors'!Y946</f>
        <v/>
      </c>
      <c r="C4982" s="84">
        <f>'Contractors'!W946</f>
        <v/>
      </c>
      <c r="D4982" s="46">
        <f>'Contractors'!X946</f>
        <v/>
      </c>
      <c r="E4982" s="46">
        <f>IF(OR(B4982="",C4982="",D4982=""),"",D4982*100000+(C4982-DATE(2000,1,1))+ROW()/100000)</f>
        <v/>
      </c>
      <c r="F4982" s="46">
        <f>IF(E4982="","",IF(C4982&gt;WeekEndDate,"",E4982))</f>
        <v/>
      </c>
    </row>
    <row r="4983">
      <c r="A4983" t="inlineStr">
        <is>
          <t>Contractors</t>
        </is>
      </c>
      <c r="B4983" s="46">
        <f>'Contractors'!Y947</f>
        <v/>
      </c>
      <c r="C4983" s="84">
        <f>'Contractors'!W947</f>
        <v/>
      </c>
      <c r="D4983" s="46">
        <f>'Contractors'!X947</f>
        <v/>
      </c>
      <c r="E4983" s="46">
        <f>IF(OR(B4983="",C4983="",D4983=""),"",D4983*100000+(C4983-DATE(2000,1,1))+ROW()/100000)</f>
        <v/>
      </c>
      <c r="F4983" s="46">
        <f>IF(E4983="","",IF(C4983&gt;WeekEndDate,"",E4983))</f>
        <v/>
      </c>
    </row>
    <row r="4984">
      <c r="A4984" t="inlineStr">
        <is>
          <t>Contractors</t>
        </is>
      </c>
      <c r="B4984" s="46">
        <f>'Contractors'!Y948</f>
        <v/>
      </c>
      <c r="C4984" s="84">
        <f>'Contractors'!W948</f>
        <v/>
      </c>
      <c r="D4984" s="46">
        <f>'Contractors'!X948</f>
        <v/>
      </c>
      <c r="E4984" s="46">
        <f>IF(OR(B4984="",C4984="",D4984=""),"",D4984*100000+(C4984-DATE(2000,1,1))+ROW()/100000)</f>
        <v/>
      </c>
      <c r="F4984" s="46">
        <f>IF(E4984="","",IF(C4984&gt;WeekEndDate,"",E4984))</f>
        <v/>
      </c>
    </row>
    <row r="4985">
      <c r="A4985" t="inlineStr">
        <is>
          <t>Contractors</t>
        </is>
      </c>
      <c r="B4985" s="46">
        <f>'Contractors'!Y949</f>
        <v/>
      </c>
      <c r="C4985" s="84">
        <f>'Contractors'!W949</f>
        <v/>
      </c>
      <c r="D4985" s="46">
        <f>'Contractors'!X949</f>
        <v/>
      </c>
      <c r="E4985" s="46">
        <f>IF(OR(B4985="",C4985="",D4985=""),"",D4985*100000+(C4985-DATE(2000,1,1))+ROW()/100000)</f>
        <v/>
      </c>
      <c r="F4985" s="46">
        <f>IF(E4985="","",IF(C4985&gt;WeekEndDate,"",E4985))</f>
        <v/>
      </c>
    </row>
    <row r="4986">
      <c r="A4986" t="inlineStr">
        <is>
          <t>Contractors</t>
        </is>
      </c>
      <c r="B4986" s="46">
        <f>'Contractors'!Y950</f>
        <v/>
      </c>
      <c r="C4986" s="84">
        <f>'Contractors'!W950</f>
        <v/>
      </c>
      <c r="D4986" s="46">
        <f>'Contractors'!X950</f>
        <v/>
      </c>
      <c r="E4986" s="46">
        <f>IF(OR(B4986="",C4986="",D4986=""),"",D4986*100000+(C4986-DATE(2000,1,1))+ROW()/100000)</f>
        <v/>
      </c>
      <c r="F4986" s="46">
        <f>IF(E4986="","",IF(C4986&gt;WeekEndDate,"",E4986))</f>
        <v/>
      </c>
    </row>
    <row r="4987">
      <c r="A4987" t="inlineStr">
        <is>
          <t>Contractors</t>
        </is>
      </c>
      <c r="B4987" s="46">
        <f>'Contractors'!Y951</f>
        <v/>
      </c>
      <c r="C4987" s="84">
        <f>'Contractors'!W951</f>
        <v/>
      </c>
      <c r="D4987" s="46">
        <f>'Contractors'!X951</f>
        <v/>
      </c>
      <c r="E4987" s="46">
        <f>IF(OR(B4987="",C4987="",D4987=""),"",D4987*100000+(C4987-DATE(2000,1,1))+ROW()/100000)</f>
        <v/>
      </c>
      <c r="F4987" s="46">
        <f>IF(E4987="","",IF(C4987&gt;WeekEndDate,"",E4987))</f>
        <v/>
      </c>
    </row>
    <row r="4988">
      <c r="A4988" t="inlineStr">
        <is>
          <t>Contractors</t>
        </is>
      </c>
      <c r="B4988" s="46">
        <f>'Contractors'!Y952</f>
        <v/>
      </c>
      <c r="C4988" s="84">
        <f>'Contractors'!W952</f>
        <v/>
      </c>
      <c r="D4988" s="46">
        <f>'Contractors'!X952</f>
        <v/>
      </c>
      <c r="E4988" s="46">
        <f>IF(OR(B4988="",C4988="",D4988=""),"",D4988*100000+(C4988-DATE(2000,1,1))+ROW()/100000)</f>
        <v/>
      </c>
      <c r="F4988" s="46">
        <f>IF(E4988="","",IF(C4988&gt;WeekEndDate,"",E4988))</f>
        <v/>
      </c>
    </row>
    <row r="4989">
      <c r="A4989" t="inlineStr">
        <is>
          <t>Contractors</t>
        </is>
      </c>
      <c r="B4989" s="46">
        <f>'Contractors'!Y953</f>
        <v/>
      </c>
      <c r="C4989" s="84">
        <f>'Contractors'!W953</f>
        <v/>
      </c>
      <c r="D4989" s="46">
        <f>'Contractors'!X953</f>
        <v/>
      </c>
      <c r="E4989" s="46">
        <f>IF(OR(B4989="",C4989="",D4989=""),"",D4989*100000+(C4989-DATE(2000,1,1))+ROW()/100000)</f>
        <v/>
      </c>
      <c r="F4989" s="46">
        <f>IF(E4989="","",IF(C4989&gt;WeekEndDate,"",E4989))</f>
        <v/>
      </c>
    </row>
    <row r="4990">
      <c r="A4990" t="inlineStr">
        <is>
          <t>Contractors</t>
        </is>
      </c>
      <c r="B4990" s="46">
        <f>'Contractors'!Y954</f>
        <v/>
      </c>
      <c r="C4990" s="84">
        <f>'Contractors'!W954</f>
        <v/>
      </c>
      <c r="D4990" s="46">
        <f>'Contractors'!X954</f>
        <v/>
      </c>
      <c r="E4990" s="46">
        <f>IF(OR(B4990="",C4990="",D4990=""),"",D4990*100000+(C4990-DATE(2000,1,1))+ROW()/100000)</f>
        <v/>
      </c>
      <c r="F4990" s="46">
        <f>IF(E4990="","",IF(C4990&gt;WeekEndDate,"",E4990))</f>
        <v/>
      </c>
    </row>
    <row r="4991">
      <c r="A4991" t="inlineStr">
        <is>
          <t>Contractors</t>
        </is>
      </c>
      <c r="B4991" s="46">
        <f>'Contractors'!Y955</f>
        <v/>
      </c>
      <c r="C4991" s="84">
        <f>'Contractors'!W955</f>
        <v/>
      </c>
      <c r="D4991" s="46">
        <f>'Contractors'!X955</f>
        <v/>
      </c>
      <c r="E4991" s="46">
        <f>IF(OR(B4991="",C4991="",D4991=""),"",D4991*100000+(C4991-DATE(2000,1,1))+ROW()/100000)</f>
        <v/>
      </c>
      <c r="F4991" s="46">
        <f>IF(E4991="","",IF(C4991&gt;WeekEndDate,"",E4991))</f>
        <v/>
      </c>
    </row>
    <row r="4992">
      <c r="A4992" t="inlineStr">
        <is>
          <t>Contractors</t>
        </is>
      </c>
      <c r="B4992" s="46">
        <f>'Contractors'!Y956</f>
        <v/>
      </c>
      <c r="C4992" s="84">
        <f>'Contractors'!W956</f>
        <v/>
      </c>
      <c r="D4992" s="46">
        <f>'Contractors'!X956</f>
        <v/>
      </c>
      <c r="E4992" s="46">
        <f>IF(OR(B4992="",C4992="",D4992=""),"",D4992*100000+(C4992-DATE(2000,1,1))+ROW()/100000)</f>
        <v/>
      </c>
      <c r="F4992" s="46">
        <f>IF(E4992="","",IF(C4992&gt;WeekEndDate,"",E4992))</f>
        <v/>
      </c>
    </row>
    <row r="4993">
      <c r="A4993" t="inlineStr">
        <is>
          <t>Contractors</t>
        </is>
      </c>
      <c r="B4993" s="46">
        <f>'Contractors'!Y957</f>
        <v/>
      </c>
      <c r="C4993" s="84">
        <f>'Contractors'!W957</f>
        <v/>
      </c>
      <c r="D4993" s="46">
        <f>'Contractors'!X957</f>
        <v/>
      </c>
      <c r="E4993" s="46">
        <f>IF(OR(B4993="",C4993="",D4993=""),"",D4993*100000+(C4993-DATE(2000,1,1))+ROW()/100000)</f>
        <v/>
      </c>
      <c r="F4993" s="46">
        <f>IF(E4993="","",IF(C4993&gt;WeekEndDate,"",E4993))</f>
        <v/>
      </c>
    </row>
    <row r="4994">
      <c r="A4994" t="inlineStr">
        <is>
          <t>Contractors</t>
        </is>
      </c>
      <c r="B4994" s="46">
        <f>'Contractors'!Y958</f>
        <v/>
      </c>
      <c r="C4994" s="84">
        <f>'Contractors'!W958</f>
        <v/>
      </c>
      <c r="D4994" s="46">
        <f>'Contractors'!X958</f>
        <v/>
      </c>
      <c r="E4994" s="46">
        <f>IF(OR(B4994="",C4994="",D4994=""),"",D4994*100000+(C4994-DATE(2000,1,1))+ROW()/100000)</f>
        <v/>
      </c>
      <c r="F4994" s="46">
        <f>IF(E4994="","",IF(C4994&gt;WeekEndDate,"",E4994))</f>
        <v/>
      </c>
    </row>
    <row r="4995">
      <c r="A4995" t="inlineStr">
        <is>
          <t>Contractors</t>
        </is>
      </c>
      <c r="B4995" s="46">
        <f>'Contractors'!Y959</f>
        <v/>
      </c>
      <c r="C4995" s="84">
        <f>'Contractors'!W959</f>
        <v/>
      </c>
      <c r="D4995" s="46">
        <f>'Contractors'!X959</f>
        <v/>
      </c>
      <c r="E4995" s="46">
        <f>IF(OR(B4995="",C4995="",D4995=""),"",D4995*100000+(C4995-DATE(2000,1,1))+ROW()/100000)</f>
        <v/>
      </c>
      <c r="F4995" s="46">
        <f>IF(E4995="","",IF(C4995&gt;WeekEndDate,"",E4995))</f>
        <v/>
      </c>
    </row>
    <row r="4996">
      <c r="A4996" t="inlineStr">
        <is>
          <t>Contractors</t>
        </is>
      </c>
      <c r="B4996" s="46">
        <f>'Contractors'!Y960</f>
        <v/>
      </c>
      <c r="C4996" s="84">
        <f>'Contractors'!W960</f>
        <v/>
      </c>
      <c r="D4996" s="46">
        <f>'Contractors'!X960</f>
        <v/>
      </c>
      <c r="E4996" s="46">
        <f>IF(OR(B4996="",C4996="",D4996=""),"",D4996*100000+(C4996-DATE(2000,1,1))+ROW()/100000)</f>
        <v/>
      </c>
      <c r="F4996" s="46">
        <f>IF(E4996="","",IF(C4996&gt;WeekEndDate,"",E4996))</f>
        <v/>
      </c>
    </row>
    <row r="4997">
      <c r="A4997" t="inlineStr">
        <is>
          <t>Contractors</t>
        </is>
      </c>
      <c r="B4997" s="46">
        <f>'Contractors'!Y961</f>
        <v/>
      </c>
      <c r="C4997" s="84">
        <f>'Contractors'!W961</f>
        <v/>
      </c>
      <c r="D4997" s="46">
        <f>'Contractors'!X961</f>
        <v/>
      </c>
      <c r="E4997" s="46">
        <f>IF(OR(B4997="",C4997="",D4997=""),"",D4997*100000+(C4997-DATE(2000,1,1))+ROW()/100000)</f>
        <v/>
      </c>
      <c r="F4997" s="46">
        <f>IF(E4997="","",IF(C4997&gt;WeekEndDate,"",E4997))</f>
        <v/>
      </c>
    </row>
    <row r="4998">
      <c r="A4998" t="inlineStr">
        <is>
          <t>Contractors</t>
        </is>
      </c>
      <c r="B4998" s="46">
        <f>'Contractors'!Y962</f>
        <v/>
      </c>
      <c r="C4998" s="84">
        <f>'Contractors'!W962</f>
        <v/>
      </c>
      <c r="D4998" s="46">
        <f>'Contractors'!X962</f>
        <v/>
      </c>
      <c r="E4998" s="46">
        <f>IF(OR(B4998="",C4998="",D4998=""),"",D4998*100000+(C4998-DATE(2000,1,1))+ROW()/100000)</f>
        <v/>
      </c>
      <c r="F4998" s="46">
        <f>IF(E4998="","",IF(C4998&gt;WeekEndDate,"",E4998))</f>
        <v/>
      </c>
    </row>
    <row r="4999">
      <c r="A4999" t="inlineStr">
        <is>
          <t>Contractors</t>
        </is>
      </c>
      <c r="B4999" s="46">
        <f>'Contractors'!Y963</f>
        <v/>
      </c>
      <c r="C4999" s="84">
        <f>'Contractors'!W963</f>
        <v/>
      </c>
      <c r="D4999" s="46">
        <f>'Contractors'!X963</f>
        <v/>
      </c>
      <c r="E4999" s="46">
        <f>IF(OR(B4999="",C4999="",D4999=""),"",D4999*100000+(C4999-DATE(2000,1,1))+ROW()/100000)</f>
        <v/>
      </c>
      <c r="F4999" s="46">
        <f>IF(E4999="","",IF(C4999&gt;WeekEndDate,"",E4999))</f>
        <v/>
      </c>
    </row>
    <row r="5000">
      <c r="A5000" t="inlineStr">
        <is>
          <t>Contractors</t>
        </is>
      </c>
      <c r="B5000" s="46">
        <f>'Contractors'!Y964</f>
        <v/>
      </c>
      <c r="C5000" s="84">
        <f>'Contractors'!W964</f>
        <v/>
      </c>
      <c r="D5000" s="46">
        <f>'Contractors'!X964</f>
        <v/>
      </c>
      <c r="E5000" s="46">
        <f>IF(OR(B5000="",C5000="",D5000=""),"",D5000*100000+(C5000-DATE(2000,1,1))+ROW()/100000)</f>
        <v/>
      </c>
      <c r="F5000" s="46">
        <f>IF(E5000="","",IF(C5000&gt;WeekEndDate,"",E5000))</f>
        <v/>
      </c>
    </row>
    <row r="5001">
      <c r="A5001" t="inlineStr">
        <is>
          <t>Contractors</t>
        </is>
      </c>
      <c r="B5001" s="46">
        <f>'Contractors'!Y965</f>
        <v/>
      </c>
      <c r="C5001" s="84">
        <f>'Contractors'!W965</f>
        <v/>
      </c>
      <c r="D5001" s="46">
        <f>'Contractors'!X965</f>
        <v/>
      </c>
      <c r="E5001" s="46">
        <f>IF(OR(B5001="",C5001="",D5001=""),"",D5001*100000+(C5001-DATE(2000,1,1))+ROW()/100000)</f>
        <v/>
      </c>
      <c r="F5001" s="46">
        <f>IF(E5001="","",IF(C5001&gt;WeekEndDate,"",E5001))</f>
        <v/>
      </c>
    </row>
    <row r="5002">
      <c r="A5002" t="inlineStr">
        <is>
          <t>Contractors</t>
        </is>
      </c>
      <c r="B5002" s="46">
        <f>'Contractors'!Y966</f>
        <v/>
      </c>
      <c r="C5002" s="84">
        <f>'Contractors'!W966</f>
        <v/>
      </c>
      <c r="D5002" s="46">
        <f>'Contractors'!X966</f>
        <v/>
      </c>
      <c r="E5002" s="46">
        <f>IF(OR(B5002="",C5002="",D5002=""),"",D5002*100000+(C5002-DATE(2000,1,1))+ROW()/100000)</f>
        <v/>
      </c>
      <c r="F5002" s="46">
        <f>IF(E5002="","",IF(C5002&gt;WeekEndDate,"",E5002))</f>
        <v/>
      </c>
    </row>
    <row r="5003">
      <c r="A5003" t="inlineStr">
        <is>
          <t>Contractors</t>
        </is>
      </c>
      <c r="B5003" s="46">
        <f>'Contractors'!Y967</f>
        <v/>
      </c>
      <c r="C5003" s="84">
        <f>'Contractors'!W967</f>
        <v/>
      </c>
      <c r="D5003" s="46">
        <f>'Contractors'!X967</f>
        <v/>
      </c>
      <c r="E5003" s="46">
        <f>IF(OR(B5003="",C5003="",D5003=""),"",D5003*100000+(C5003-DATE(2000,1,1))+ROW()/100000)</f>
        <v/>
      </c>
      <c r="F5003" s="46">
        <f>IF(E5003="","",IF(C5003&gt;WeekEndDate,"",E5003))</f>
        <v/>
      </c>
    </row>
    <row r="5004">
      <c r="A5004" t="inlineStr">
        <is>
          <t>Contractors</t>
        </is>
      </c>
      <c r="B5004" s="46">
        <f>'Contractors'!Y968</f>
        <v/>
      </c>
      <c r="C5004" s="84">
        <f>'Contractors'!W968</f>
        <v/>
      </c>
      <c r="D5004" s="46">
        <f>'Contractors'!X968</f>
        <v/>
      </c>
      <c r="E5004" s="46">
        <f>IF(OR(B5004="",C5004="",D5004=""),"",D5004*100000+(C5004-DATE(2000,1,1))+ROW()/100000)</f>
        <v/>
      </c>
      <c r="F5004" s="46">
        <f>IF(E5004="","",IF(C5004&gt;WeekEndDate,"",E5004))</f>
        <v/>
      </c>
    </row>
    <row r="5005">
      <c r="A5005" t="inlineStr">
        <is>
          <t>Contractors</t>
        </is>
      </c>
      <c r="B5005" s="46">
        <f>'Contractors'!Y969</f>
        <v/>
      </c>
      <c r="C5005" s="84">
        <f>'Contractors'!W969</f>
        <v/>
      </c>
      <c r="D5005" s="46">
        <f>'Contractors'!X969</f>
        <v/>
      </c>
      <c r="E5005" s="46">
        <f>IF(OR(B5005="",C5005="",D5005=""),"",D5005*100000+(C5005-DATE(2000,1,1))+ROW()/100000)</f>
        <v/>
      </c>
      <c r="F5005" s="46">
        <f>IF(E5005="","",IF(C5005&gt;WeekEndDate,"",E5005))</f>
        <v/>
      </c>
    </row>
    <row r="5006">
      <c r="A5006" t="inlineStr">
        <is>
          <t>Contractors</t>
        </is>
      </c>
      <c r="B5006" s="46">
        <f>'Contractors'!Y970</f>
        <v/>
      </c>
      <c r="C5006" s="84">
        <f>'Contractors'!W970</f>
        <v/>
      </c>
      <c r="D5006" s="46">
        <f>'Contractors'!X970</f>
        <v/>
      </c>
      <c r="E5006" s="46">
        <f>IF(OR(B5006="",C5006="",D5006=""),"",D5006*100000+(C5006-DATE(2000,1,1))+ROW()/100000)</f>
        <v/>
      </c>
      <c r="F5006" s="46">
        <f>IF(E5006="","",IF(C5006&gt;WeekEndDate,"",E5006))</f>
        <v/>
      </c>
    </row>
    <row r="5007">
      <c r="A5007" t="inlineStr">
        <is>
          <t>Contractors</t>
        </is>
      </c>
      <c r="B5007" s="46">
        <f>'Contractors'!Y971</f>
        <v/>
      </c>
      <c r="C5007" s="84">
        <f>'Contractors'!W971</f>
        <v/>
      </c>
      <c r="D5007" s="46">
        <f>'Contractors'!X971</f>
        <v/>
      </c>
      <c r="E5007" s="46">
        <f>IF(OR(B5007="",C5007="",D5007=""),"",D5007*100000+(C5007-DATE(2000,1,1))+ROW()/100000)</f>
        <v/>
      </c>
      <c r="F5007" s="46">
        <f>IF(E5007="","",IF(C5007&gt;WeekEndDate,"",E5007))</f>
        <v/>
      </c>
    </row>
    <row r="5008">
      <c r="A5008" t="inlineStr">
        <is>
          <t>Contractors</t>
        </is>
      </c>
      <c r="B5008" s="46">
        <f>'Contractors'!Y972</f>
        <v/>
      </c>
      <c r="C5008" s="84">
        <f>'Contractors'!W972</f>
        <v/>
      </c>
      <c r="D5008" s="46">
        <f>'Contractors'!X972</f>
        <v/>
      </c>
      <c r="E5008" s="46">
        <f>IF(OR(B5008="",C5008="",D5008=""),"",D5008*100000+(C5008-DATE(2000,1,1))+ROW()/100000)</f>
        <v/>
      </c>
      <c r="F5008" s="46">
        <f>IF(E5008="","",IF(C5008&gt;WeekEndDate,"",E5008))</f>
        <v/>
      </c>
    </row>
    <row r="5009">
      <c r="A5009" t="inlineStr">
        <is>
          <t>Contractors</t>
        </is>
      </c>
      <c r="B5009" s="46">
        <f>'Contractors'!Y973</f>
        <v/>
      </c>
      <c r="C5009" s="84">
        <f>'Contractors'!W973</f>
        <v/>
      </c>
      <c r="D5009" s="46">
        <f>'Contractors'!X973</f>
        <v/>
      </c>
      <c r="E5009" s="46">
        <f>IF(OR(B5009="",C5009="",D5009=""),"",D5009*100000+(C5009-DATE(2000,1,1))+ROW()/100000)</f>
        <v/>
      </c>
      <c r="F5009" s="46">
        <f>IF(E5009="","",IF(C5009&gt;WeekEndDate,"",E5009))</f>
        <v/>
      </c>
    </row>
    <row r="5010">
      <c r="A5010" t="inlineStr">
        <is>
          <t>Contractors</t>
        </is>
      </c>
      <c r="B5010" s="46">
        <f>'Contractors'!Y974</f>
        <v/>
      </c>
      <c r="C5010" s="84">
        <f>'Contractors'!W974</f>
        <v/>
      </c>
      <c r="D5010" s="46">
        <f>'Contractors'!X974</f>
        <v/>
      </c>
      <c r="E5010" s="46">
        <f>IF(OR(B5010="",C5010="",D5010=""),"",D5010*100000+(C5010-DATE(2000,1,1))+ROW()/100000)</f>
        <v/>
      </c>
      <c r="F5010" s="46">
        <f>IF(E5010="","",IF(C5010&gt;WeekEndDate,"",E5010))</f>
        <v/>
      </c>
    </row>
    <row r="5011">
      <c r="A5011" t="inlineStr">
        <is>
          <t>Contractors</t>
        </is>
      </c>
      <c r="B5011" s="46">
        <f>'Contractors'!Y975</f>
        <v/>
      </c>
      <c r="C5011" s="84">
        <f>'Contractors'!W975</f>
        <v/>
      </c>
      <c r="D5011" s="46">
        <f>'Contractors'!X975</f>
        <v/>
      </c>
      <c r="E5011" s="46">
        <f>IF(OR(B5011="",C5011="",D5011=""),"",D5011*100000+(C5011-DATE(2000,1,1))+ROW()/100000)</f>
        <v/>
      </c>
      <c r="F5011" s="46">
        <f>IF(E5011="","",IF(C5011&gt;WeekEndDate,"",E5011))</f>
        <v/>
      </c>
    </row>
    <row r="5012">
      <c r="A5012" t="inlineStr">
        <is>
          <t>Contractors</t>
        </is>
      </c>
      <c r="B5012" s="46">
        <f>'Contractors'!Y976</f>
        <v/>
      </c>
      <c r="C5012" s="84">
        <f>'Contractors'!W976</f>
        <v/>
      </c>
      <c r="D5012" s="46">
        <f>'Contractors'!X976</f>
        <v/>
      </c>
      <c r="E5012" s="46">
        <f>IF(OR(B5012="",C5012="",D5012=""),"",D5012*100000+(C5012-DATE(2000,1,1))+ROW()/100000)</f>
        <v/>
      </c>
      <c r="F5012" s="46">
        <f>IF(E5012="","",IF(C5012&gt;WeekEndDate,"",E5012))</f>
        <v/>
      </c>
    </row>
    <row r="5013">
      <c r="A5013" t="inlineStr">
        <is>
          <t>Contractors</t>
        </is>
      </c>
      <c r="B5013" s="46">
        <f>'Contractors'!Y977</f>
        <v/>
      </c>
      <c r="C5013" s="84">
        <f>'Contractors'!W977</f>
        <v/>
      </c>
      <c r="D5013" s="46">
        <f>'Contractors'!X977</f>
        <v/>
      </c>
      <c r="E5013" s="46">
        <f>IF(OR(B5013="",C5013="",D5013=""),"",D5013*100000+(C5013-DATE(2000,1,1))+ROW()/100000)</f>
        <v/>
      </c>
      <c r="F5013" s="46">
        <f>IF(E5013="","",IF(C5013&gt;WeekEndDate,"",E5013))</f>
        <v/>
      </c>
    </row>
    <row r="5014">
      <c r="A5014" t="inlineStr">
        <is>
          <t>Contractors</t>
        </is>
      </c>
      <c r="B5014" s="46">
        <f>'Contractors'!Y978</f>
        <v/>
      </c>
      <c r="C5014" s="84">
        <f>'Contractors'!W978</f>
        <v/>
      </c>
      <c r="D5014" s="46">
        <f>'Contractors'!X978</f>
        <v/>
      </c>
      <c r="E5014" s="46">
        <f>IF(OR(B5014="",C5014="",D5014=""),"",D5014*100000+(C5014-DATE(2000,1,1))+ROW()/100000)</f>
        <v/>
      </c>
      <c r="F5014" s="46">
        <f>IF(E5014="","",IF(C5014&gt;WeekEndDate,"",E5014))</f>
        <v/>
      </c>
    </row>
    <row r="5015">
      <c r="A5015" t="inlineStr">
        <is>
          <t>Contractors</t>
        </is>
      </c>
      <c r="B5015" s="46">
        <f>'Contractors'!Y979</f>
        <v/>
      </c>
      <c r="C5015" s="84">
        <f>'Contractors'!W979</f>
        <v/>
      </c>
      <c r="D5015" s="46">
        <f>'Contractors'!X979</f>
        <v/>
      </c>
      <c r="E5015" s="46">
        <f>IF(OR(B5015="",C5015="",D5015=""),"",D5015*100000+(C5015-DATE(2000,1,1))+ROW()/100000)</f>
        <v/>
      </c>
      <c r="F5015" s="46">
        <f>IF(E5015="","",IF(C5015&gt;WeekEndDate,"",E5015))</f>
        <v/>
      </c>
    </row>
    <row r="5016">
      <c r="A5016" t="inlineStr">
        <is>
          <t>Contractors</t>
        </is>
      </c>
      <c r="B5016" s="46">
        <f>'Contractors'!Y980</f>
        <v/>
      </c>
      <c r="C5016" s="84">
        <f>'Contractors'!W980</f>
        <v/>
      </c>
      <c r="D5016" s="46">
        <f>'Contractors'!X980</f>
        <v/>
      </c>
      <c r="E5016" s="46">
        <f>IF(OR(B5016="",C5016="",D5016=""),"",D5016*100000+(C5016-DATE(2000,1,1))+ROW()/100000)</f>
        <v/>
      </c>
      <c r="F5016" s="46">
        <f>IF(E5016="","",IF(C5016&gt;WeekEndDate,"",E5016))</f>
        <v/>
      </c>
    </row>
    <row r="5017">
      <c r="A5017" t="inlineStr">
        <is>
          <t>Contractors</t>
        </is>
      </c>
      <c r="B5017" s="46">
        <f>'Contractors'!Y981</f>
        <v/>
      </c>
      <c r="C5017" s="84">
        <f>'Contractors'!W981</f>
        <v/>
      </c>
      <c r="D5017" s="46">
        <f>'Contractors'!X981</f>
        <v/>
      </c>
      <c r="E5017" s="46">
        <f>IF(OR(B5017="",C5017="",D5017=""),"",D5017*100000+(C5017-DATE(2000,1,1))+ROW()/100000)</f>
        <v/>
      </c>
      <c r="F5017" s="46">
        <f>IF(E5017="","",IF(C5017&gt;WeekEndDate,"",E5017))</f>
        <v/>
      </c>
    </row>
    <row r="5018">
      <c r="A5018" t="inlineStr">
        <is>
          <t>Contractors</t>
        </is>
      </c>
      <c r="B5018" s="46">
        <f>'Contractors'!Y982</f>
        <v/>
      </c>
      <c r="C5018" s="84">
        <f>'Contractors'!W982</f>
        <v/>
      </c>
      <c r="D5018" s="46">
        <f>'Contractors'!X982</f>
        <v/>
      </c>
      <c r="E5018" s="46">
        <f>IF(OR(B5018="",C5018="",D5018=""),"",D5018*100000+(C5018-DATE(2000,1,1))+ROW()/100000)</f>
        <v/>
      </c>
      <c r="F5018" s="46">
        <f>IF(E5018="","",IF(C5018&gt;WeekEndDate,"",E5018))</f>
        <v/>
      </c>
    </row>
    <row r="5019">
      <c r="A5019" t="inlineStr">
        <is>
          <t>Contractors</t>
        </is>
      </c>
      <c r="B5019" s="46">
        <f>'Contractors'!Y983</f>
        <v/>
      </c>
      <c r="C5019" s="84">
        <f>'Contractors'!W983</f>
        <v/>
      </c>
      <c r="D5019" s="46">
        <f>'Contractors'!X983</f>
        <v/>
      </c>
      <c r="E5019" s="46">
        <f>IF(OR(B5019="",C5019="",D5019=""),"",D5019*100000+(C5019-DATE(2000,1,1))+ROW()/100000)</f>
        <v/>
      </c>
      <c r="F5019" s="46">
        <f>IF(E5019="","",IF(C5019&gt;WeekEndDate,"",E5019))</f>
        <v/>
      </c>
    </row>
    <row r="5020">
      <c r="A5020" t="inlineStr">
        <is>
          <t>Contractors</t>
        </is>
      </c>
      <c r="B5020" s="46">
        <f>'Contractors'!Y984</f>
        <v/>
      </c>
      <c r="C5020" s="84">
        <f>'Contractors'!W984</f>
        <v/>
      </c>
      <c r="D5020" s="46">
        <f>'Contractors'!X984</f>
        <v/>
      </c>
      <c r="E5020" s="46">
        <f>IF(OR(B5020="",C5020="",D5020=""),"",D5020*100000+(C5020-DATE(2000,1,1))+ROW()/100000)</f>
        <v/>
      </c>
      <c r="F5020" s="46">
        <f>IF(E5020="","",IF(C5020&gt;WeekEndDate,"",E5020))</f>
        <v/>
      </c>
    </row>
    <row r="5021">
      <c r="A5021" t="inlineStr">
        <is>
          <t>Contractors</t>
        </is>
      </c>
      <c r="B5021" s="46">
        <f>'Contractors'!Y985</f>
        <v/>
      </c>
      <c r="C5021" s="84">
        <f>'Contractors'!W985</f>
        <v/>
      </c>
      <c r="D5021" s="46">
        <f>'Contractors'!X985</f>
        <v/>
      </c>
      <c r="E5021" s="46">
        <f>IF(OR(B5021="",C5021="",D5021=""),"",D5021*100000+(C5021-DATE(2000,1,1))+ROW()/100000)</f>
        <v/>
      </c>
      <c r="F5021" s="46">
        <f>IF(E5021="","",IF(C5021&gt;WeekEndDate,"",E5021))</f>
        <v/>
      </c>
    </row>
    <row r="5022">
      <c r="A5022" t="inlineStr">
        <is>
          <t>Contractors</t>
        </is>
      </c>
      <c r="B5022" s="46">
        <f>'Contractors'!Y986</f>
        <v/>
      </c>
      <c r="C5022" s="84">
        <f>'Contractors'!W986</f>
        <v/>
      </c>
      <c r="D5022" s="46">
        <f>'Contractors'!X986</f>
        <v/>
      </c>
      <c r="E5022" s="46">
        <f>IF(OR(B5022="",C5022="",D5022=""),"",D5022*100000+(C5022-DATE(2000,1,1))+ROW()/100000)</f>
        <v/>
      </c>
      <c r="F5022" s="46">
        <f>IF(E5022="","",IF(C5022&gt;WeekEndDate,"",E5022))</f>
        <v/>
      </c>
    </row>
    <row r="5023">
      <c r="A5023" t="inlineStr">
        <is>
          <t>Contractors</t>
        </is>
      </c>
      <c r="B5023" s="46">
        <f>'Contractors'!Y987</f>
        <v/>
      </c>
      <c r="C5023" s="84">
        <f>'Contractors'!W987</f>
        <v/>
      </c>
      <c r="D5023" s="46">
        <f>'Contractors'!X987</f>
        <v/>
      </c>
      <c r="E5023" s="46">
        <f>IF(OR(B5023="",C5023="",D5023=""),"",D5023*100000+(C5023-DATE(2000,1,1))+ROW()/100000)</f>
        <v/>
      </c>
      <c r="F5023" s="46">
        <f>IF(E5023="","",IF(C5023&gt;WeekEndDate,"",E5023))</f>
        <v/>
      </c>
    </row>
    <row r="5024">
      <c r="A5024" t="inlineStr">
        <is>
          <t>Contractors</t>
        </is>
      </c>
      <c r="B5024" s="46">
        <f>'Contractors'!Y988</f>
        <v/>
      </c>
      <c r="C5024" s="84">
        <f>'Contractors'!W988</f>
        <v/>
      </c>
      <c r="D5024" s="46">
        <f>'Contractors'!X988</f>
        <v/>
      </c>
      <c r="E5024" s="46">
        <f>IF(OR(B5024="",C5024="",D5024=""),"",D5024*100000+(C5024-DATE(2000,1,1))+ROW()/100000)</f>
        <v/>
      </c>
      <c r="F5024" s="46">
        <f>IF(E5024="","",IF(C5024&gt;WeekEndDate,"",E5024))</f>
        <v/>
      </c>
    </row>
    <row r="5025">
      <c r="A5025" t="inlineStr">
        <is>
          <t>Contractors</t>
        </is>
      </c>
      <c r="B5025" s="46">
        <f>'Contractors'!Y989</f>
        <v/>
      </c>
      <c r="C5025" s="84">
        <f>'Contractors'!W989</f>
        <v/>
      </c>
      <c r="D5025" s="46">
        <f>'Contractors'!X989</f>
        <v/>
      </c>
      <c r="E5025" s="46">
        <f>IF(OR(B5025="",C5025="",D5025=""),"",D5025*100000+(C5025-DATE(2000,1,1))+ROW()/100000)</f>
        <v/>
      </c>
      <c r="F5025" s="46">
        <f>IF(E5025="","",IF(C5025&gt;WeekEndDate,"",E5025))</f>
        <v/>
      </c>
    </row>
    <row r="5026">
      <c r="A5026" t="inlineStr">
        <is>
          <t>Contractors</t>
        </is>
      </c>
      <c r="B5026" s="46">
        <f>'Contractors'!Y990</f>
        <v/>
      </c>
      <c r="C5026" s="84">
        <f>'Contractors'!W990</f>
        <v/>
      </c>
      <c r="D5026" s="46">
        <f>'Contractors'!X990</f>
        <v/>
      </c>
      <c r="E5026" s="46">
        <f>IF(OR(B5026="",C5026="",D5026=""),"",D5026*100000+(C5026-DATE(2000,1,1))+ROW()/100000)</f>
        <v/>
      </c>
      <c r="F5026" s="46">
        <f>IF(E5026="","",IF(C5026&gt;WeekEndDate,"",E5026))</f>
        <v/>
      </c>
    </row>
    <row r="5027">
      <c r="A5027" t="inlineStr">
        <is>
          <t>Contractors</t>
        </is>
      </c>
      <c r="B5027" s="46">
        <f>'Contractors'!Y991</f>
        <v/>
      </c>
      <c r="C5027" s="84">
        <f>'Contractors'!W991</f>
        <v/>
      </c>
      <c r="D5027" s="46">
        <f>'Contractors'!X991</f>
        <v/>
      </c>
      <c r="E5027" s="46">
        <f>IF(OR(B5027="",C5027="",D5027=""),"",D5027*100000+(C5027-DATE(2000,1,1))+ROW()/100000)</f>
        <v/>
      </c>
      <c r="F5027" s="46">
        <f>IF(E5027="","",IF(C5027&gt;WeekEndDate,"",E5027))</f>
        <v/>
      </c>
    </row>
    <row r="5028">
      <c r="A5028" t="inlineStr">
        <is>
          <t>Contractors</t>
        </is>
      </c>
      <c r="B5028" s="46">
        <f>'Contractors'!Y992</f>
        <v/>
      </c>
      <c r="C5028" s="84">
        <f>'Contractors'!W992</f>
        <v/>
      </c>
      <c r="D5028" s="46">
        <f>'Contractors'!X992</f>
        <v/>
      </c>
      <c r="E5028" s="46">
        <f>IF(OR(B5028="",C5028="",D5028=""),"",D5028*100000+(C5028-DATE(2000,1,1))+ROW()/100000)</f>
        <v/>
      </c>
      <c r="F5028" s="46">
        <f>IF(E5028="","",IF(C5028&gt;WeekEndDate,"",E5028))</f>
        <v/>
      </c>
    </row>
    <row r="5029">
      <c r="A5029" t="inlineStr">
        <is>
          <t>Contractors</t>
        </is>
      </c>
      <c r="B5029" s="46">
        <f>'Contractors'!Y993</f>
        <v/>
      </c>
      <c r="C5029" s="84">
        <f>'Contractors'!W993</f>
        <v/>
      </c>
      <c r="D5029" s="46">
        <f>'Contractors'!X993</f>
        <v/>
      </c>
      <c r="E5029" s="46">
        <f>IF(OR(B5029="",C5029="",D5029=""),"",D5029*100000+(C5029-DATE(2000,1,1))+ROW()/100000)</f>
        <v/>
      </c>
      <c r="F5029" s="46">
        <f>IF(E5029="","",IF(C5029&gt;WeekEndDate,"",E5029))</f>
        <v/>
      </c>
    </row>
    <row r="5030">
      <c r="A5030" t="inlineStr">
        <is>
          <t>Contractors</t>
        </is>
      </c>
      <c r="B5030" s="46">
        <f>'Contractors'!Y994</f>
        <v/>
      </c>
      <c r="C5030" s="84">
        <f>'Contractors'!W994</f>
        <v/>
      </c>
      <c r="D5030" s="46">
        <f>'Contractors'!X994</f>
        <v/>
      </c>
      <c r="E5030" s="46">
        <f>IF(OR(B5030="",C5030="",D5030=""),"",D5030*100000+(C5030-DATE(2000,1,1))+ROW()/100000)</f>
        <v/>
      </c>
      <c r="F5030" s="46">
        <f>IF(E5030="","",IF(C5030&gt;WeekEndDate,"",E5030))</f>
        <v/>
      </c>
    </row>
    <row r="5031">
      <c r="A5031" t="inlineStr">
        <is>
          <t>Contractors</t>
        </is>
      </c>
      <c r="B5031" s="46">
        <f>'Contractors'!Y995</f>
        <v/>
      </c>
      <c r="C5031" s="84">
        <f>'Contractors'!W995</f>
        <v/>
      </c>
      <c r="D5031" s="46">
        <f>'Contractors'!X995</f>
        <v/>
      </c>
      <c r="E5031" s="46">
        <f>IF(OR(B5031="",C5031="",D5031=""),"",D5031*100000+(C5031-DATE(2000,1,1))+ROW()/100000)</f>
        <v/>
      </c>
      <c r="F5031" s="46">
        <f>IF(E5031="","",IF(C5031&gt;WeekEndDate,"",E5031))</f>
        <v/>
      </c>
    </row>
    <row r="5032">
      <c r="A5032" t="inlineStr">
        <is>
          <t>Contractors</t>
        </is>
      </c>
      <c r="B5032" s="46">
        <f>'Contractors'!Y996</f>
        <v/>
      </c>
      <c r="C5032" s="84">
        <f>'Contractors'!W996</f>
        <v/>
      </c>
      <c r="D5032" s="46">
        <f>'Contractors'!X996</f>
        <v/>
      </c>
      <c r="E5032" s="46">
        <f>IF(OR(B5032="",C5032="",D5032=""),"",D5032*100000+(C5032-DATE(2000,1,1))+ROW()/100000)</f>
        <v/>
      </c>
      <c r="F5032" s="46">
        <f>IF(E5032="","",IF(C5032&gt;WeekEndDate,"",E5032))</f>
        <v/>
      </c>
    </row>
    <row r="5033">
      <c r="A5033" t="inlineStr">
        <is>
          <t>Contractors</t>
        </is>
      </c>
      <c r="B5033" s="46">
        <f>'Contractors'!Y997</f>
        <v/>
      </c>
      <c r="C5033" s="84">
        <f>'Contractors'!W997</f>
        <v/>
      </c>
      <c r="D5033" s="46">
        <f>'Contractors'!X997</f>
        <v/>
      </c>
      <c r="E5033" s="46">
        <f>IF(OR(B5033="",C5033="",D5033=""),"",D5033*100000+(C5033-DATE(2000,1,1))+ROW()/100000)</f>
        <v/>
      </c>
      <c r="F5033" s="46">
        <f>IF(E5033="","",IF(C5033&gt;WeekEndDate,"",E5033))</f>
        <v/>
      </c>
    </row>
    <row r="5034">
      <c r="A5034" t="inlineStr">
        <is>
          <t>Contractors</t>
        </is>
      </c>
      <c r="B5034" s="46">
        <f>'Contractors'!Y998</f>
        <v/>
      </c>
      <c r="C5034" s="84">
        <f>'Contractors'!W998</f>
        <v/>
      </c>
      <c r="D5034" s="46">
        <f>'Contractors'!X998</f>
        <v/>
      </c>
      <c r="E5034" s="46">
        <f>IF(OR(B5034="",C5034="",D5034=""),"",D5034*100000+(C5034-DATE(2000,1,1))+ROW()/100000)</f>
        <v/>
      </c>
      <c r="F5034" s="46">
        <f>IF(E5034="","",IF(C5034&gt;WeekEndDate,"",E5034))</f>
        <v/>
      </c>
    </row>
    <row r="5035">
      <c r="A5035" t="inlineStr">
        <is>
          <t>Contractors</t>
        </is>
      </c>
      <c r="B5035" s="46">
        <f>'Contractors'!Y999</f>
        <v/>
      </c>
      <c r="C5035" s="84">
        <f>'Contractors'!W999</f>
        <v/>
      </c>
      <c r="D5035" s="46">
        <f>'Contractors'!X999</f>
        <v/>
      </c>
      <c r="E5035" s="46">
        <f>IF(OR(B5035="",C5035="",D5035=""),"",D5035*100000+(C5035-DATE(2000,1,1))+ROW()/100000)</f>
        <v/>
      </c>
      <c r="F5035" s="46">
        <f>IF(E5035="","",IF(C5035&gt;WeekEndDate,"",E5035))</f>
        <v/>
      </c>
    </row>
    <row r="5036">
      <c r="A5036" t="inlineStr">
        <is>
          <t>Contractors</t>
        </is>
      </c>
      <c r="B5036" s="46">
        <f>'Contractors'!Y1000</f>
        <v/>
      </c>
      <c r="C5036" s="84">
        <f>'Contractors'!W1000</f>
        <v/>
      </c>
      <c r="D5036" s="46">
        <f>'Contractors'!X1000</f>
        <v/>
      </c>
      <c r="E5036" s="46">
        <f>IF(OR(B5036="",C5036="",D5036=""),"",D5036*100000+(C5036-DATE(2000,1,1))+ROW()/100000)</f>
        <v/>
      </c>
      <c r="F5036" s="46">
        <f>IF(E5036="","",IF(C5036&gt;WeekEndDate,"",E5036))</f>
        <v/>
      </c>
    </row>
    <row r="5037">
      <c r="A5037" t="inlineStr">
        <is>
          <t>Contractors</t>
        </is>
      </c>
      <c r="B5037" s="46">
        <f>'Contractors'!Y1001</f>
        <v/>
      </c>
      <c r="C5037" s="84">
        <f>'Contractors'!W1001</f>
        <v/>
      </c>
      <c r="D5037" s="46">
        <f>'Contractors'!X1001</f>
        <v/>
      </c>
      <c r="E5037" s="46">
        <f>IF(OR(B5037="",C5037="",D5037=""),"",D5037*100000+(C5037-DATE(2000,1,1))+ROW()/100000)</f>
        <v/>
      </c>
      <c r="F5037" s="46">
        <f>IF(E5037="","",IF(C5037&gt;WeekEndDate,"",E5037))</f>
        <v/>
      </c>
    </row>
    <row r="5038">
      <c r="A5038" t="inlineStr">
        <is>
          <t>Contractors</t>
        </is>
      </c>
      <c r="B5038" s="46">
        <f>'Contractors'!Y1002</f>
        <v/>
      </c>
      <c r="C5038" s="84">
        <f>'Contractors'!W1002</f>
        <v/>
      </c>
      <c r="D5038" s="46">
        <f>'Contractors'!X1002</f>
        <v/>
      </c>
      <c r="E5038" s="46">
        <f>IF(OR(B5038="",C5038="",D5038=""),"",D5038*100000+(C5038-DATE(2000,1,1))+ROW()/100000)</f>
        <v/>
      </c>
      <c r="F5038" s="46">
        <f>IF(E5038="","",IF(C5038&gt;WeekEndDate,"",E5038))</f>
        <v/>
      </c>
    </row>
    <row r="5039">
      <c r="A5039" t="inlineStr">
        <is>
          <t>Contractors</t>
        </is>
      </c>
      <c r="B5039" s="46">
        <f>'Contractors'!Y1003</f>
        <v/>
      </c>
      <c r="C5039" s="84">
        <f>'Contractors'!W1003</f>
        <v/>
      </c>
      <c r="D5039" s="46">
        <f>'Contractors'!X1003</f>
        <v/>
      </c>
      <c r="E5039" s="46">
        <f>IF(OR(B5039="",C5039="",D5039=""),"",D5039*100000+(C5039-DATE(2000,1,1))+ROW()/100000)</f>
        <v/>
      </c>
      <c r="F5039" s="46">
        <f>IF(E5039="","",IF(C5039&gt;WeekEndDate,"",E5039))</f>
        <v/>
      </c>
    </row>
    <row r="5040">
      <c r="A5040" t="inlineStr">
        <is>
          <t>Contractors</t>
        </is>
      </c>
      <c r="B5040" s="46">
        <f>'Contractors'!Y1004</f>
        <v/>
      </c>
      <c r="C5040" s="84">
        <f>'Contractors'!W1004</f>
        <v/>
      </c>
      <c r="D5040" s="46">
        <f>'Contractors'!X1004</f>
        <v/>
      </c>
      <c r="E5040" s="46">
        <f>IF(OR(B5040="",C5040="",D5040=""),"",D5040*100000+(C5040-DATE(2000,1,1))+ROW()/100000)</f>
        <v/>
      </c>
      <c r="F5040" s="46">
        <f>IF(E5040="","",IF(C5040&gt;WeekEndDate,"",E5040))</f>
        <v/>
      </c>
    </row>
    <row r="5041">
      <c r="A5041" t="inlineStr">
        <is>
          <t>Contractors</t>
        </is>
      </c>
      <c r="B5041" s="46">
        <f>'Contractors'!Y1005</f>
        <v/>
      </c>
      <c r="C5041" s="84">
        <f>'Contractors'!W1005</f>
        <v/>
      </c>
      <c r="D5041" s="46">
        <f>'Contractors'!X1005</f>
        <v/>
      </c>
      <c r="E5041" s="46">
        <f>IF(OR(B5041="",C5041="",D5041=""),"",D5041*100000+(C5041-DATE(2000,1,1))+ROW()/100000)</f>
        <v/>
      </c>
      <c r="F5041" s="46">
        <f>IF(E5041="","",IF(C5041&gt;WeekEndDate,"",E5041))</f>
        <v/>
      </c>
    </row>
    <row r="5042">
      <c r="A5042" t="inlineStr">
        <is>
          <t>Contractors</t>
        </is>
      </c>
      <c r="B5042" s="46">
        <f>'Contractors'!AI6</f>
        <v/>
      </c>
      <c r="C5042" s="84">
        <f>'Contractors'!AG6</f>
        <v/>
      </c>
      <c r="D5042" s="46">
        <f>'Contractors'!AH6</f>
        <v/>
      </c>
      <c r="E5042" s="46">
        <f>IF(OR(B5042="",C5042="",D5042=""),"",D5042*100000+(C5042-DATE(2000,1,1))+ROW()/100000)</f>
        <v/>
      </c>
      <c r="F5042" s="46">
        <f>IF(E5042="","",IF(C5042&gt;WeekEndDate,"",E5042))</f>
        <v/>
      </c>
    </row>
    <row r="5043">
      <c r="A5043" t="inlineStr">
        <is>
          <t>Contractors</t>
        </is>
      </c>
      <c r="B5043" s="46">
        <f>'Contractors'!AI7</f>
        <v/>
      </c>
      <c r="C5043" s="84">
        <f>'Contractors'!AG7</f>
        <v/>
      </c>
      <c r="D5043" s="46">
        <f>'Contractors'!AH7</f>
        <v/>
      </c>
      <c r="E5043" s="46">
        <f>IF(OR(B5043="",C5043="",D5043=""),"",D5043*100000+(C5043-DATE(2000,1,1))+ROW()/100000)</f>
        <v/>
      </c>
      <c r="F5043" s="46">
        <f>IF(E5043="","",IF(C5043&gt;WeekEndDate,"",E5043))</f>
        <v/>
      </c>
    </row>
    <row r="5044">
      <c r="A5044" t="inlineStr">
        <is>
          <t>Contractors</t>
        </is>
      </c>
      <c r="B5044" s="46">
        <f>'Contractors'!AI8</f>
        <v/>
      </c>
      <c r="C5044" s="84">
        <f>'Contractors'!AG8</f>
        <v/>
      </c>
      <c r="D5044" s="46">
        <f>'Contractors'!AH8</f>
        <v/>
      </c>
      <c r="E5044" s="46">
        <f>IF(OR(B5044="",C5044="",D5044=""),"",D5044*100000+(C5044-DATE(2000,1,1))+ROW()/100000)</f>
        <v/>
      </c>
      <c r="F5044" s="46">
        <f>IF(E5044="","",IF(C5044&gt;WeekEndDate,"",E5044))</f>
        <v/>
      </c>
    </row>
    <row r="5045">
      <c r="A5045" t="inlineStr">
        <is>
          <t>Contractors</t>
        </is>
      </c>
      <c r="B5045" s="46">
        <f>'Contractors'!AI9</f>
        <v/>
      </c>
      <c r="C5045" s="84">
        <f>'Contractors'!AG9</f>
        <v/>
      </c>
      <c r="D5045" s="46">
        <f>'Contractors'!AH9</f>
        <v/>
      </c>
      <c r="E5045" s="46">
        <f>IF(OR(B5045="",C5045="",D5045=""),"",D5045*100000+(C5045-DATE(2000,1,1))+ROW()/100000)</f>
        <v/>
      </c>
      <c r="F5045" s="46">
        <f>IF(E5045="","",IF(C5045&gt;WeekEndDate,"",E5045))</f>
        <v/>
      </c>
    </row>
    <row r="5046">
      <c r="A5046" t="inlineStr">
        <is>
          <t>Contractors</t>
        </is>
      </c>
      <c r="B5046" s="46">
        <f>'Contractors'!AI10</f>
        <v/>
      </c>
      <c r="C5046" s="84">
        <f>'Contractors'!AG10</f>
        <v/>
      </c>
      <c r="D5046" s="46">
        <f>'Contractors'!AH10</f>
        <v/>
      </c>
      <c r="E5046" s="46">
        <f>IF(OR(B5046="",C5046="",D5046=""),"",D5046*100000+(C5046-DATE(2000,1,1))+ROW()/100000)</f>
        <v/>
      </c>
      <c r="F5046" s="46">
        <f>IF(E5046="","",IF(C5046&gt;WeekEndDate,"",E5046))</f>
        <v/>
      </c>
    </row>
    <row r="5047">
      <c r="A5047" t="inlineStr">
        <is>
          <t>Contractors</t>
        </is>
      </c>
      <c r="B5047" s="46">
        <f>'Contractors'!AI11</f>
        <v/>
      </c>
      <c r="C5047" s="84">
        <f>'Contractors'!AG11</f>
        <v/>
      </c>
      <c r="D5047" s="46">
        <f>'Contractors'!AH11</f>
        <v/>
      </c>
      <c r="E5047" s="46">
        <f>IF(OR(B5047="",C5047="",D5047=""),"",D5047*100000+(C5047-DATE(2000,1,1))+ROW()/100000)</f>
        <v/>
      </c>
      <c r="F5047" s="46">
        <f>IF(E5047="","",IF(C5047&gt;WeekEndDate,"",E5047))</f>
        <v/>
      </c>
    </row>
    <row r="5048">
      <c r="A5048" t="inlineStr">
        <is>
          <t>Contractors</t>
        </is>
      </c>
      <c r="B5048" s="46">
        <f>'Contractors'!AI12</f>
        <v/>
      </c>
      <c r="C5048" s="84">
        <f>'Contractors'!AG12</f>
        <v/>
      </c>
      <c r="D5048" s="46">
        <f>'Contractors'!AH12</f>
        <v/>
      </c>
      <c r="E5048" s="46">
        <f>IF(OR(B5048="",C5048="",D5048=""),"",D5048*100000+(C5048-DATE(2000,1,1))+ROW()/100000)</f>
        <v/>
      </c>
      <c r="F5048" s="46">
        <f>IF(E5048="","",IF(C5048&gt;WeekEndDate,"",E5048))</f>
        <v/>
      </c>
    </row>
    <row r="5049">
      <c r="A5049" t="inlineStr">
        <is>
          <t>Contractors</t>
        </is>
      </c>
      <c r="B5049" s="46">
        <f>'Contractors'!AI13</f>
        <v/>
      </c>
      <c r="C5049" s="84">
        <f>'Contractors'!AG13</f>
        <v/>
      </c>
      <c r="D5049" s="46">
        <f>'Contractors'!AH13</f>
        <v/>
      </c>
      <c r="E5049" s="46">
        <f>IF(OR(B5049="",C5049="",D5049=""),"",D5049*100000+(C5049-DATE(2000,1,1))+ROW()/100000)</f>
        <v/>
      </c>
      <c r="F5049" s="46">
        <f>IF(E5049="","",IF(C5049&gt;WeekEndDate,"",E5049))</f>
        <v/>
      </c>
    </row>
    <row r="5050">
      <c r="A5050" t="inlineStr">
        <is>
          <t>Contractors</t>
        </is>
      </c>
      <c r="B5050" s="46">
        <f>'Contractors'!AI14</f>
        <v/>
      </c>
      <c r="C5050" s="84">
        <f>'Contractors'!AG14</f>
        <v/>
      </c>
      <c r="D5050" s="46">
        <f>'Contractors'!AH14</f>
        <v/>
      </c>
      <c r="E5050" s="46">
        <f>IF(OR(B5050="",C5050="",D5050=""),"",D5050*100000+(C5050-DATE(2000,1,1))+ROW()/100000)</f>
        <v/>
      </c>
      <c r="F5050" s="46">
        <f>IF(E5050="","",IF(C5050&gt;WeekEndDate,"",E5050))</f>
        <v/>
      </c>
    </row>
    <row r="5051">
      <c r="A5051" t="inlineStr">
        <is>
          <t>Contractors</t>
        </is>
      </c>
      <c r="B5051" s="46">
        <f>'Contractors'!AI15</f>
        <v/>
      </c>
      <c r="C5051" s="84">
        <f>'Contractors'!AG15</f>
        <v/>
      </c>
      <c r="D5051" s="46">
        <f>'Contractors'!AH15</f>
        <v/>
      </c>
      <c r="E5051" s="46">
        <f>IF(OR(B5051="",C5051="",D5051=""),"",D5051*100000+(C5051-DATE(2000,1,1))+ROW()/100000)</f>
        <v/>
      </c>
      <c r="F5051" s="46">
        <f>IF(E5051="","",IF(C5051&gt;WeekEndDate,"",E5051))</f>
        <v/>
      </c>
    </row>
    <row r="5052">
      <c r="A5052" t="inlineStr">
        <is>
          <t>Contractors</t>
        </is>
      </c>
      <c r="B5052" s="46">
        <f>'Contractors'!AI16</f>
        <v/>
      </c>
      <c r="C5052" s="84">
        <f>'Contractors'!AG16</f>
        <v/>
      </c>
      <c r="D5052" s="46">
        <f>'Contractors'!AH16</f>
        <v/>
      </c>
      <c r="E5052" s="46">
        <f>IF(OR(B5052="",C5052="",D5052=""),"",D5052*100000+(C5052-DATE(2000,1,1))+ROW()/100000)</f>
        <v/>
      </c>
      <c r="F5052" s="46">
        <f>IF(E5052="","",IF(C5052&gt;WeekEndDate,"",E5052))</f>
        <v/>
      </c>
    </row>
    <row r="5053">
      <c r="A5053" t="inlineStr">
        <is>
          <t>Contractors</t>
        </is>
      </c>
      <c r="B5053" s="46">
        <f>'Contractors'!AI17</f>
        <v/>
      </c>
      <c r="C5053" s="84">
        <f>'Contractors'!AG17</f>
        <v/>
      </c>
      <c r="D5053" s="46">
        <f>'Contractors'!AH17</f>
        <v/>
      </c>
      <c r="E5053" s="46">
        <f>IF(OR(B5053="",C5053="",D5053=""),"",D5053*100000+(C5053-DATE(2000,1,1))+ROW()/100000)</f>
        <v/>
      </c>
      <c r="F5053" s="46">
        <f>IF(E5053="","",IF(C5053&gt;WeekEndDate,"",E5053))</f>
        <v/>
      </c>
    </row>
    <row r="5054">
      <c r="A5054" t="inlineStr">
        <is>
          <t>Contractors</t>
        </is>
      </c>
      <c r="B5054" s="46">
        <f>'Contractors'!AI18</f>
        <v/>
      </c>
      <c r="C5054" s="84">
        <f>'Contractors'!AG18</f>
        <v/>
      </c>
      <c r="D5054" s="46">
        <f>'Contractors'!AH18</f>
        <v/>
      </c>
      <c r="E5054" s="46">
        <f>IF(OR(B5054="",C5054="",D5054=""),"",D5054*100000+(C5054-DATE(2000,1,1))+ROW()/100000)</f>
        <v/>
      </c>
      <c r="F5054" s="46">
        <f>IF(E5054="","",IF(C5054&gt;WeekEndDate,"",E5054))</f>
        <v/>
      </c>
    </row>
    <row r="5055">
      <c r="A5055" t="inlineStr">
        <is>
          <t>Contractors</t>
        </is>
      </c>
      <c r="B5055" s="46">
        <f>'Contractors'!AI19</f>
        <v/>
      </c>
      <c r="C5055" s="84">
        <f>'Contractors'!AG19</f>
        <v/>
      </c>
      <c r="D5055" s="46">
        <f>'Contractors'!AH19</f>
        <v/>
      </c>
      <c r="E5055" s="46">
        <f>IF(OR(B5055="",C5055="",D5055=""),"",D5055*100000+(C5055-DATE(2000,1,1))+ROW()/100000)</f>
        <v/>
      </c>
      <c r="F5055" s="46">
        <f>IF(E5055="","",IF(C5055&gt;WeekEndDate,"",E5055))</f>
        <v/>
      </c>
    </row>
    <row r="5056">
      <c r="A5056" t="inlineStr">
        <is>
          <t>Contractors</t>
        </is>
      </c>
      <c r="B5056" s="46">
        <f>'Contractors'!AI20</f>
        <v/>
      </c>
      <c r="C5056" s="84">
        <f>'Contractors'!AG20</f>
        <v/>
      </c>
      <c r="D5056" s="46">
        <f>'Contractors'!AH20</f>
        <v/>
      </c>
      <c r="E5056" s="46">
        <f>IF(OR(B5056="",C5056="",D5056=""),"",D5056*100000+(C5056-DATE(2000,1,1))+ROW()/100000)</f>
        <v/>
      </c>
      <c r="F5056" s="46">
        <f>IF(E5056="","",IF(C5056&gt;WeekEndDate,"",E5056))</f>
        <v/>
      </c>
    </row>
    <row r="5057">
      <c r="A5057" t="inlineStr">
        <is>
          <t>Contractors</t>
        </is>
      </c>
      <c r="B5057" s="46">
        <f>'Contractors'!AI21</f>
        <v/>
      </c>
      <c r="C5057" s="84">
        <f>'Contractors'!AG21</f>
        <v/>
      </c>
      <c r="D5057" s="46">
        <f>'Contractors'!AH21</f>
        <v/>
      </c>
      <c r="E5057" s="46">
        <f>IF(OR(B5057="",C5057="",D5057=""),"",D5057*100000+(C5057-DATE(2000,1,1))+ROW()/100000)</f>
        <v/>
      </c>
      <c r="F5057" s="46">
        <f>IF(E5057="","",IF(C5057&gt;WeekEndDate,"",E5057))</f>
        <v/>
      </c>
    </row>
    <row r="5058">
      <c r="A5058" t="inlineStr">
        <is>
          <t>Contractors</t>
        </is>
      </c>
      <c r="B5058" s="46">
        <f>'Contractors'!AI22</f>
        <v/>
      </c>
      <c r="C5058" s="84">
        <f>'Contractors'!AG22</f>
        <v/>
      </c>
      <c r="D5058" s="46">
        <f>'Contractors'!AH22</f>
        <v/>
      </c>
      <c r="E5058" s="46">
        <f>IF(OR(B5058="",C5058="",D5058=""),"",D5058*100000+(C5058-DATE(2000,1,1))+ROW()/100000)</f>
        <v/>
      </c>
      <c r="F5058" s="46">
        <f>IF(E5058="","",IF(C5058&gt;WeekEndDate,"",E5058))</f>
        <v/>
      </c>
    </row>
    <row r="5059">
      <c r="A5059" t="inlineStr">
        <is>
          <t>Contractors</t>
        </is>
      </c>
      <c r="B5059" s="46">
        <f>'Contractors'!AI23</f>
        <v/>
      </c>
      <c r="C5059" s="84">
        <f>'Contractors'!AG23</f>
        <v/>
      </c>
      <c r="D5059" s="46">
        <f>'Contractors'!AH23</f>
        <v/>
      </c>
      <c r="E5059" s="46">
        <f>IF(OR(B5059="",C5059="",D5059=""),"",D5059*100000+(C5059-DATE(2000,1,1))+ROW()/100000)</f>
        <v/>
      </c>
      <c r="F5059" s="46">
        <f>IF(E5059="","",IF(C5059&gt;WeekEndDate,"",E5059))</f>
        <v/>
      </c>
    </row>
    <row r="5060">
      <c r="A5060" t="inlineStr">
        <is>
          <t>Contractors</t>
        </is>
      </c>
      <c r="B5060" s="46">
        <f>'Contractors'!AI24</f>
        <v/>
      </c>
      <c r="C5060" s="84">
        <f>'Contractors'!AG24</f>
        <v/>
      </c>
      <c r="D5060" s="46">
        <f>'Contractors'!AH24</f>
        <v/>
      </c>
      <c r="E5060" s="46">
        <f>IF(OR(B5060="",C5060="",D5060=""),"",D5060*100000+(C5060-DATE(2000,1,1))+ROW()/100000)</f>
        <v/>
      </c>
      <c r="F5060" s="46">
        <f>IF(E5060="","",IF(C5060&gt;WeekEndDate,"",E5060))</f>
        <v/>
      </c>
    </row>
    <row r="5061">
      <c r="A5061" t="inlineStr">
        <is>
          <t>Contractors</t>
        </is>
      </c>
      <c r="B5061" s="46">
        <f>'Contractors'!AI25</f>
        <v/>
      </c>
      <c r="C5061" s="84">
        <f>'Contractors'!AG25</f>
        <v/>
      </c>
      <c r="D5061" s="46">
        <f>'Contractors'!AH25</f>
        <v/>
      </c>
      <c r="E5061" s="46">
        <f>IF(OR(B5061="",C5061="",D5061=""),"",D5061*100000+(C5061-DATE(2000,1,1))+ROW()/100000)</f>
        <v/>
      </c>
      <c r="F5061" s="46">
        <f>IF(E5061="","",IF(C5061&gt;WeekEndDate,"",E5061))</f>
        <v/>
      </c>
    </row>
    <row r="5062">
      <c r="A5062" t="inlineStr">
        <is>
          <t>Contractors</t>
        </is>
      </c>
      <c r="B5062" s="46">
        <f>'Contractors'!AI26</f>
        <v/>
      </c>
      <c r="C5062" s="84">
        <f>'Contractors'!AG26</f>
        <v/>
      </c>
      <c r="D5062" s="46">
        <f>'Contractors'!AH26</f>
        <v/>
      </c>
      <c r="E5062" s="46">
        <f>IF(OR(B5062="",C5062="",D5062=""),"",D5062*100000+(C5062-DATE(2000,1,1))+ROW()/100000)</f>
        <v/>
      </c>
      <c r="F5062" s="46">
        <f>IF(E5062="","",IF(C5062&gt;WeekEndDate,"",E5062))</f>
        <v/>
      </c>
    </row>
    <row r="5063">
      <c r="A5063" t="inlineStr">
        <is>
          <t>Contractors</t>
        </is>
      </c>
      <c r="B5063" s="46">
        <f>'Contractors'!AI27</f>
        <v/>
      </c>
      <c r="C5063" s="84">
        <f>'Contractors'!AG27</f>
        <v/>
      </c>
      <c r="D5063" s="46">
        <f>'Contractors'!AH27</f>
        <v/>
      </c>
      <c r="E5063" s="46">
        <f>IF(OR(B5063="",C5063="",D5063=""),"",D5063*100000+(C5063-DATE(2000,1,1))+ROW()/100000)</f>
        <v/>
      </c>
      <c r="F5063" s="46">
        <f>IF(E5063="","",IF(C5063&gt;WeekEndDate,"",E5063))</f>
        <v/>
      </c>
    </row>
    <row r="5064">
      <c r="A5064" t="inlineStr">
        <is>
          <t>Contractors</t>
        </is>
      </c>
      <c r="B5064" s="46">
        <f>'Contractors'!AI28</f>
        <v/>
      </c>
      <c r="C5064" s="84">
        <f>'Contractors'!AG28</f>
        <v/>
      </c>
      <c r="D5064" s="46">
        <f>'Contractors'!AH28</f>
        <v/>
      </c>
      <c r="E5064" s="46">
        <f>IF(OR(B5064="",C5064="",D5064=""),"",D5064*100000+(C5064-DATE(2000,1,1))+ROW()/100000)</f>
        <v/>
      </c>
      <c r="F5064" s="46">
        <f>IF(E5064="","",IF(C5064&gt;WeekEndDate,"",E5064))</f>
        <v/>
      </c>
    </row>
    <row r="5065">
      <c r="A5065" t="inlineStr">
        <is>
          <t>Contractors</t>
        </is>
      </c>
      <c r="B5065" s="46">
        <f>'Contractors'!AI29</f>
        <v/>
      </c>
      <c r="C5065" s="84">
        <f>'Contractors'!AG29</f>
        <v/>
      </c>
      <c r="D5065" s="46">
        <f>'Contractors'!AH29</f>
        <v/>
      </c>
      <c r="E5065" s="46">
        <f>IF(OR(B5065="",C5065="",D5065=""),"",D5065*100000+(C5065-DATE(2000,1,1))+ROW()/100000)</f>
        <v/>
      </c>
      <c r="F5065" s="46">
        <f>IF(E5065="","",IF(C5065&gt;WeekEndDate,"",E5065))</f>
        <v/>
      </c>
    </row>
    <row r="5066">
      <c r="A5066" t="inlineStr">
        <is>
          <t>Contractors</t>
        </is>
      </c>
      <c r="B5066" s="46">
        <f>'Contractors'!AI30</f>
        <v/>
      </c>
      <c r="C5066" s="84">
        <f>'Contractors'!AG30</f>
        <v/>
      </c>
      <c r="D5066" s="46">
        <f>'Contractors'!AH30</f>
        <v/>
      </c>
      <c r="E5066" s="46">
        <f>IF(OR(B5066="",C5066="",D5066=""),"",D5066*100000+(C5066-DATE(2000,1,1))+ROW()/100000)</f>
        <v/>
      </c>
      <c r="F5066" s="46">
        <f>IF(E5066="","",IF(C5066&gt;WeekEndDate,"",E5066))</f>
        <v/>
      </c>
    </row>
    <row r="5067">
      <c r="A5067" t="inlineStr">
        <is>
          <t>Contractors</t>
        </is>
      </c>
      <c r="B5067" s="46">
        <f>'Contractors'!AI31</f>
        <v/>
      </c>
      <c r="C5067" s="84">
        <f>'Contractors'!AG31</f>
        <v/>
      </c>
      <c r="D5067" s="46">
        <f>'Contractors'!AH31</f>
        <v/>
      </c>
      <c r="E5067" s="46">
        <f>IF(OR(B5067="",C5067="",D5067=""),"",D5067*100000+(C5067-DATE(2000,1,1))+ROW()/100000)</f>
        <v/>
      </c>
      <c r="F5067" s="46">
        <f>IF(E5067="","",IF(C5067&gt;WeekEndDate,"",E5067))</f>
        <v/>
      </c>
    </row>
    <row r="5068">
      <c r="A5068" t="inlineStr">
        <is>
          <t>Contractors</t>
        </is>
      </c>
      <c r="B5068" s="46">
        <f>'Contractors'!AI32</f>
        <v/>
      </c>
      <c r="C5068" s="84">
        <f>'Contractors'!AG32</f>
        <v/>
      </c>
      <c r="D5068" s="46">
        <f>'Contractors'!AH32</f>
        <v/>
      </c>
      <c r="E5068" s="46">
        <f>IF(OR(B5068="",C5068="",D5068=""),"",D5068*100000+(C5068-DATE(2000,1,1))+ROW()/100000)</f>
        <v/>
      </c>
      <c r="F5068" s="46">
        <f>IF(E5068="","",IF(C5068&gt;WeekEndDate,"",E5068))</f>
        <v/>
      </c>
    </row>
    <row r="5069">
      <c r="A5069" t="inlineStr">
        <is>
          <t>Contractors</t>
        </is>
      </c>
      <c r="B5069" s="46">
        <f>'Contractors'!AI33</f>
        <v/>
      </c>
      <c r="C5069" s="84">
        <f>'Contractors'!AG33</f>
        <v/>
      </c>
      <c r="D5069" s="46">
        <f>'Contractors'!AH33</f>
        <v/>
      </c>
      <c r="E5069" s="46">
        <f>IF(OR(B5069="",C5069="",D5069=""),"",D5069*100000+(C5069-DATE(2000,1,1))+ROW()/100000)</f>
        <v/>
      </c>
      <c r="F5069" s="46">
        <f>IF(E5069="","",IF(C5069&gt;WeekEndDate,"",E5069))</f>
        <v/>
      </c>
    </row>
    <row r="5070">
      <c r="A5070" t="inlineStr">
        <is>
          <t>Contractors</t>
        </is>
      </c>
      <c r="B5070" s="46">
        <f>'Contractors'!AI34</f>
        <v/>
      </c>
      <c r="C5070" s="84">
        <f>'Contractors'!AG34</f>
        <v/>
      </c>
      <c r="D5070" s="46">
        <f>'Contractors'!AH34</f>
        <v/>
      </c>
      <c r="E5070" s="46">
        <f>IF(OR(B5070="",C5070="",D5070=""),"",D5070*100000+(C5070-DATE(2000,1,1))+ROW()/100000)</f>
        <v/>
      </c>
      <c r="F5070" s="46">
        <f>IF(E5070="","",IF(C5070&gt;WeekEndDate,"",E5070))</f>
        <v/>
      </c>
    </row>
    <row r="5071">
      <c r="A5071" t="inlineStr">
        <is>
          <t>Contractors</t>
        </is>
      </c>
      <c r="B5071" s="46">
        <f>'Contractors'!AI35</f>
        <v/>
      </c>
      <c r="C5071" s="84">
        <f>'Contractors'!AG35</f>
        <v/>
      </c>
      <c r="D5071" s="46">
        <f>'Contractors'!AH35</f>
        <v/>
      </c>
      <c r="E5071" s="46">
        <f>IF(OR(B5071="",C5071="",D5071=""),"",D5071*100000+(C5071-DATE(2000,1,1))+ROW()/100000)</f>
        <v/>
      </c>
      <c r="F5071" s="46">
        <f>IF(E5071="","",IF(C5071&gt;WeekEndDate,"",E5071))</f>
        <v/>
      </c>
    </row>
    <row r="5072">
      <c r="A5072" t="inlineStr">
        <is>
          <t>Contractors</t>
        </is>
      </c>
      <c r="B5072" s="46">
        <f>'Contractors'!AI36</f>
        <v/>
      </c>
      <c r="C5072" s="84">
        <f>'Contractors'!AG36</f>
        <v/>
      </c>
      <c r="D5072" s="46">
        <f>'Contractors'!AH36</f>
        <v/>
      </c>
      <c r="E5072" s="46">
        <f>IF(OR(B5072="",C5072="",D5072=""),"",D5072*100000+(C5072-DATE(2000,1,1))+ROW()/100000)</f>
        <v/>
      </c>
      <c r="F5072" s="46">
        <f>IF(E5072="","",IF(C5072&gt;WeekEndDate,"",E5072))</f>
        <v/>
      </c>
    </row>
    <row r="5073">
      <c r="A5073" t="inlineStr">
        <is>
          <t>Contractors</t>
        </is>
      </c>
      <c r="B5073" s="46">
        <f>'Contractors'!AI37</f>
        <v/>
      </c>
      <c r="C5073" s="84">
        <f>'Contractors'!AG37</f>
        <v/>
      </c>
      <c r="D5073" s="46">
        <f>'Contractors'!AH37</f>
        <v/>
      </c>
      <c r="E5073" s="46">
        <f>IF(OR(B5073="",C5073="",D5073=""),"",D5073*100000+(C5073-DATE(2000,1,1))+ROW()/100000)</f>
        <v/>
      </c>
      <c r="F5073" s="46">
        <f>IF(E5073="","",IF(C5073&gt;WeekEndDate,"",E5073))</f>
        <v/>
      </c>
    </row>
    <row r="5074">
      <c r="A5074" t="inlineStr">
        <is>
          <t>Contractors</t>
        </is>
      </c>
      <c r="B5074" s="46">
        <f>'Contractors'!AI38</f>
        <v/>
      </c>
      <c r="C5074" s="84">
        <f>'Contractors'!AG38</f>
        <v/>
      </c>
      <c r="D5074" s="46">
        <f>'Contractors'!AH38</f>
        <v/>
      </c>
      <c r="E5074" s="46">
        <f>IF(OR(B5074="",C5074="",D5074=""),"",D5074*100000+(C5074-DATE(2000,1,1))+ROW()/100000)</f>
        <v/>
      </c>
      <c r="F5074" s="46">
        <f>IF(E5074="","",IF(C5074&gt;WeekEndDate,"",E5074))</f>
        <v/>
      </c>
    </row>
    <row r="5075">
      <c r="A5075" t="inlineStr">
        <is>
          <t>Contractors</t>
        </is>
      </c>
      <c r="B5075" s="46">
        <f>'Contractors'!AI39</f>
        <v/>
      </c>
      <c r="C5075" s="84">
        <f>'Contractors'!AG39</f>
        <v/>
      </c>
      <c r="D5075" s="46">
        <f>'Contractors'!AH39</f>
        <v/>
      </c>
      <c r="E5075" s="46">
        <f>IF(OR(B5075="",C5075="",D5075=""),"",D5075*100000+(C5075-DATE(2000,1,1))+ROW()/100000)</f>
        <v/>
      </c>
      <c r="F5075" s="46">
        <f>IF(E5075="","",IF(C5075&gt;WeekEndDate,"",E5075))</f>
        <v/>
      </c>
    </row>
    <row r="5076">
      <c r="A5076" t="inlineStr">
        <is>
          <t>Contractors</t>
        </is>
      </c>
      <c r="B5076" s="46">
        <f>'Contractors'!AI40</f>
        <v/>
      </c>
      <c r="C5076" s="84">
        <f>'Contractors'!AG40</f>
        <v/>
      </c>
      <c r="D5076" s="46">
        <f>'Contractors'!AH40</f>
        <v/>
      </c>
      <c r="E5076" s="46">
        <f>IF(OR(B5076="",C5076="",D5076=""),"",D5076*100000+(C5076-DATE(2000,1,1))+ROW()/100000)</f>
        <v/>
      </c>
      <c r="F5076" s="46">
        <f>IF(E5076="","",IF(C5076&gt;WeekEndDate,"",E5076))</f>
        <v/>
      </c>
    </row>
    <row r="5077">
      <c r="A5077" t="inlineStr">
        <is>
          <t>Contractors</t>
        </is>
      </c>
      <c r="B5077" s="46">
        <f>'Contractors'!AI41</f>
        <v/>
      </c>
      <c r="C5077" s="84">
        <f>'Contractors'!AG41</f>
        <v/>
      </c>
      <c r="D5077" s="46">
        <f>'Contractors'!AH41</f>
        <v/>
      </c>
      <c r="E5077" s="46">
        <f>IF(OR(B5077="",C5077="",D5077=""),"",D5077*100000+(C5077-DATE(2000,1,1))+ROW()/100000)</f>
        <v/>
      </c>
      <c r="F5077" s="46">
        <f>IF(E5077="","",IF(C5077&gt;WeekEndDate,"",E5077))</f>
        <v/>
      </c>
    </row>
    <row r="5078">
      <c r="A5078" t="inlineStr">
        <is>
          <t>Contractors</t>
        </is>
      </c>
      <c r="B5078" s="46">
        <f>'Contractors'!AI42</f>
        <v/>
      </c>
      <c r="C5078" s="84">
        <f>'Contractors'!AG42</f>
        <v/>
      </c>
      <c r="D5078" s="46">
        <f>'Contractors'!AH42</f>
        <v/>
      </c>
      <c r="E5078" s="46">
        <f>IF(OR(B5078="",C5078="",D5078=""),"",D5078*100000+(C5078-DATE(2000,1,1))+ROW()/100000)</f>
        <v/>
      </c>
      <c r="F5078" s="46">
        <f>IF(E5078="","",IF(C5078&gt;WeekEndDate,"",E5078))</f>
        <v/>
      </c>
    </row>
    <row r="5079">
      <c r="A5079" t="inlineStr">
        <is>
          <t>Contractors</t>
        </is>
      </c>
      <c r="B5079" s="46">
        <f>'Contractors'!AI43</f>
        <v/>
      </c>
      <c r="C5079" s="84">
        <f>'Contractors'!AG43</f>
        <v/>
      </c>
      <c r="D5079" s="46">
        <f>'Contractors'!AH43</f>
        <v/>
      </c>
      <c r="E5079" s="46">
        <f>IF(OR(B5079="",C5079="",D5079=""),"",D5079*100000+(C5079-DATE(2000,1,1))+ROW()/100000)</f>
        <v/>
      </c>
      <c r="F5079" s="46">
        <f>IF(E5079="","",IF(C5079&gt;WeekEndDate,"",E5079))</f>
        <v/>
      </c>
    </row>
    <row r="5080">
      <c r="A5080" t="inlineStr">
        <is>
          <t>Contractors</t>
        </is>
      </c>
      <c r="B5080" s="46">
        <f>'Contractors'!AI44</f>
        <v/>
      </c>
      <c r="C5080" s="84">
        <f>'Contractors'!AG44</f>
        <v/>
      </c>
      <c r="D5080" s="46">
        <f>'Contractors'!AH44</f>
        <v/>
      </c>
      <c r="E5080" s="46">
        <f>IF(OR(B5080="",C5080="",D5080=""),"",D5080*100000+(C5080-DATE(2000,1,1))+ROW()/100000)</f>
        <v/>
      </c>
      <c r="F5080" s="46">
        <f>IF(E5080="","",IF(C5080&gt;WeekEndDate,"",E5080))</f>
        <v/>
      </c>
    </row>
    <row r="5081">
      <c r="A5081" t="inlineStr">
        <is>
          <t>Contractors</t>
        </is>
      </c>
      <c r="B5081" s="46">
        <f>'Contractors'!AI45</f>
        <v/>
      </c>
      <c r="C5081" s="84">
        <f>'Contractors'!AG45</f>
        <v/>
      </c>
      <c r="D5081" s="46">
        <f>'Contractors'!AH45</f>
        <v/>
      </c>
      <c r="E5081" s="46">
        <f>IF(OR(B5081="",C5081="",D5081=""),"",D5081*100000+(C5081-DATE(2000,1,1))+ROW()/100000)</f>
        <v/>
      </c>
      <c r="F5081" s="46">
        <f>IF(E5081="","",IF(C5081&gt;WeekEndDate,"",E5081))</f>
        <v/>
      </c>
    </row>
    <row r="5082">
      <c r="A5082" t="inlineStr">
        <is>
          <t>Contractors</t>
        </is>
      </c>
      <c r="B5082" s="46">
        <f>'Contractors'!AI46</f>
        <v/>
      </c>
      <c r="C5082" s="84">
        <f>'Contractors'!AG46</f>
        <v/>
      </c>
      <c r="D5082" s="46">
        <f>'Contractors'!AH46</f>
        <v/>
      </c>
      <c r="E5082" s="46">
        <f>IF(OR(B5082="",C5082="",D5082=""),"",D5082*100000+(C5082-DATE(2000,1,1))+ROW()/100000)</f>
        <v/>
      </c>
      <c r="F5082" s="46">
        <f>IF(E5082="","",IF(C5082&gt;WeekEndDate,"",E5082))</f>
        <v/>
      </c>
    </row>
    <row r="5083">
      <c r="A5083" t="inlineStr">
        <is>
          <t>Contractors</t>
        </is>
      </c>
      <c r="B5083" s="46">
        <f>'Contractors'!AI47</f>
        <v/>
      </c>
      <c r="C5083" s="84">
        <f>'Contractors'!AG47</f>
        <v/>
      </c>
      <c r="D5083" s="46">
        <f>'Contractors'!AH47</f>
        <v/>
      </c>
      <c r="E5083" s="46">
        <f>IF(OR(B5083="",C5083="",D5083=""),"",D5083*100000+(C5083-DATE(2000,1,1))+ROW()/100000)</f>
        <v/>
      </c>
      <c r="F5083" s="46">
        <f>IF(E5083="","",IF(C5083&gt;WeekEndDate,"",E5083))</f>
        <v/>
      </c>
    </row>
    <row r="5084">
      <c r="A5084" t="inlineStr">
        <is>
          <t>Contractors</t>
        </is>
      </c>
      <c r="B5084" s="46">
        <f>'Contractors'!AI48</f>
        <v/>
      </c>
      <c r="C5084" s="84">
        <f>'Contractors'!AG48</f>
        <v/>
      </c>
      <c r="D5084" s="46">
        <f>'Contractors'!AH48</f>
        <v/>
      </c>
      <c r="E5084" s="46">
        <f>IF(OR(B5084="",C5084="",D5084=""),"",D5084*100000+(C5084-DATE(2000,1,1))+ROW()/100000)</f>
        <v/>
      </c>
      <c r="F5084" s="46">
        <f>IF(E5084="","",IF(C5084&gt;WeekEndDate,"",E5084))</f>
        <v/>
      </c>
    </row>
    <row r="5085">
      <c r="A5085" t="inlineStr">
        <is>
          <t>Contractors</t>
        </is>
      </c>
      <c r="B5085" s="46">
        <f>'Contractors'!AI49</f>
        <v/>
      </c>
      <c r="C5085" s="84">
        <f>'Contractors'!AG49</f>
        <v/>
      </c>
      <c r="D5085" s="46">
        <f>'Contractors'!AH49</f>
        <v/>
      </c>
      <c r="E5085" s="46">
        <f>IF(OR(B5085="",C5085="",D5085=""),"",D5085*100000+(C5085-DATE(2000,1,1))+ROW()/100000)</f>
        <v/>
      </c>
      <c r="F5085" s="46">
        <f>IF(E5085="","",IF(C5085&gt;WeekEndDate,"",E5085))</f>
        <v/>
      </c>
    </row>
    <row r="5086">
      <c r="A5086" t="inlineStr">
        <is>
          <t>Contractors</t>
        </is>
      </c>
      <c r="B5086" s="46">
        <f>'Contractors'!AI50</f>
        <v/>
      </c>
      <c r="C5086" s="84">
        <f>'Contractors'!AG50</f>
        <v/>
      </c>
      <c r="D5086" s="46">
        <f>'Contractors'!AH50</f>
        <v/>
      </c>
      <c r="E5086" s="46">
        <f>IF(OR(B5086="",C5086="",D5086=""),"",D5086*100000+(C5086-DATE(2000,1,1))+ROW()/100000)</f>
        <v/>
      </c>
      <c r="F5086" s="46">
        <f>IF(E5086="","",IF(C5086&gt;WeekEndDate,"",E5086))</f>
        <v/>
      </c>
    </row>
    <row r="5087">
      <c r="A5087" t="inlineStr">
        <is>
          <t>Contractors</t>
        </is>
      </c>
      <c r="B5087" s="46">
        <f>'Contractors'!AI51</f>
        <v/>
      </c>
      <c r="C5087" s="84">
        <f>'Contractors'!AG51</f>
        <v/>
      </c>
      <c r="D5087" s="46">
        <f>'Contractors'!AH51</f>
        <v/>
      </c>
      <c r="E5087" s="46">
        <f>IF(OR(B5087="",C5087="",D5087=""),"",D5087*100000+(C5087-DATE(2000,1,1))+ROW()/100000)</f>
        <v/>
      </c>
      <c r="F5087" s="46">
        <f>IF(E5087="","",IF(C5087&gt;WeekEndDate,"",E5087))</f>
        <v/>
      </c>
    </row>
    <row r="5088">
      <c r="A5088" t="inlineStr">
        <is>
          <t>Contractors</t>
        </is>
      </c>
      <c r="B5088" s="46">
        <f>'Contractors'!AI52</f>
        <v/>
      </c>
      <c r="C5088" s="84">
        <f>'Contractors'!AG52</f>
        <v/>
      </c>
      <c r="D5088" s="46">
        <f>'Contractors'!AH52</f>
        <v/>
      </c>
      <c r="E5088" s="46">
        <f>IF(OR(B5088="",C5088="",D5088=""),"",D5088*100000+(C5088-DATE(2000,1,1))+ROW()/100000)</f>
        <v/>
      </c>
      <c r="F5088" s="46">
        <f>IF(E5088="","",IF(C5088&gt;WeekEndDate,"",E5088))</f>
        <v/>
      </c>
    </row>
    <row r="5089">
      <c r="A5089" t="inlineStr">
        <is>
          <t>Contractors</t>
        </is>
      </c>
      <c r="B5089" s="46">
        <f>'Contractors'!AI53</f>
        <v/>
      </c>
      <c r="C5089" s="84">
        <f>'Contractors'!AG53</f>
        <v/>
      </c>
      <c r="D5089" s="46">
        <f>'Contractors'!AH53</f>
        <v/>
      </c>
      <c r="E5089" s="46">
        <f>IF(OR(B5089="",C5089="",D5089=""),"",D5089*100000+(C5089-DATE(2000,1,1))+ROW()/100000)</f>
        <v/>
      </c>
      <c r="F5089" s="46">
        <f>IF(E5089="","",IF(C5089&gt;WeekEndDate,"",E5089))</f>
        <v/>
      </c>
    </row>
    <row r="5090">
      <c r="A5090" t="inlineStr">
        <is>
          <t>Contractors</t>
        </is>
      </c>
      <c r="B5090" s="46">
        <f>'Contractors'!AI54</f>
        <v/>
      </c>
      <c r="C5090" s="84">
        <f>'Contractors'!AG54</f>
        <v/>
      </c>
      <c r="D5090" s="46">
        <f>'Contractors'!AH54</f>
        <v/>
      </c>
      <c r="E5090" s="46">
        <f>IF(OR(B5090="",C5090="",D5090=""),"",D5090*100000+(C5090-DATE(2000,1,1))+ROW()/100000)</f>
        <v/>
      </c>
      <c r="F5090" s="46">
        <f>IF(E5090="","",IF(C5090&gt;WeekEndDate,"",E5090))</f>
        <v/>
      </c>
    </row>
    <row r="5091">
      <c r="A5091" t="inlineStr">
        <is>
          <t>Contractors</t>
        </is>
      </c>
      <c r="B5091" s="46">
        <f>'Contractors'!AI55</f>
        <v/>
      </c>
      <c r="C5091" s="84">
        <f>'Contractors'!AG55</f>
        <v/>
      </c>
      <c r="D5091" s="46">
        <f>'Contractors'!AH55</f>
        <v/>
      </c>
      <c r="E5091" s="46">
        <f>IF(OR(B5091="",C5091="",D5091=""),"",D5091*100000+(C5091-DATE(2000,1,1))+ROW()/100000)</f>
        <v/>
      </c>
      <c r="F5091" s="46">
        <f>IF(E5091="","",IF(C5091&gt;WeekEndDate,"",E5091))</f>
        <v/>
      </c>
    </row>
    <row r="5092">
      <c r="A5092" t="inlineStr">
        <is>
          <t>Contractors</t>
        </is>
      </c>
      <c r="B5092" s="46">
        <f>'Contractors'!AI56</f>
        <v/>
      </c>
      <c r="C5092" s="84">
        <f>'Contractors'!AG56</f>
        <v/>
      </c>
      <c r="D5092" s="46">
        <f>'Contractors'!AH56</f>
        <v/>
      </c>
      <c r="E5092" s="46">
        <f>IF(OR(B5092="",C5092="",D5092=""),"",D5092*100000+(C5092-DATE(2000,1,1))+ROW()/100000)</f>
        <v/>
      </c>
      <c r="F5092" s="46">
        <f>IF(E5092="","",IF(C5092&gt;WeekEndDate,"",E5092))</f>
        <v/>
      </c>
    </row>
    <row r="5093">
      <c r="A5093" t="inlineStr">
        <is>
          <t>Contractors</t>
        </is>
      </c>
      <c r="B5093" s="46">
        <f>'Contractors'!AI57</f>
        <v/>
      </c>
      <c r="C5093" s="84">
        <f>'Contractors'!AG57</f>
        <v/>
      </c>
      <c r="D5093" s="46">
        <f>'Contractors'!AH57</f>
        <v/>
      </c>
      <c r="E5093" s="46">
        <f>IF(OR(B5093="",C5093="",D5093=""),"",D5093*100000+(C5093-DATE(2000,1,1))+ROW()/100000)</f>
        <v/>
      </c>
      <c r="F5093" s="46">
        <f>IF(E5093="","",IF(C5093&gt;WeekEndDate,"",E5093))</f>
        <v/>
      </c>
    </row>
    <row r="5094">
      <c r="A5094" t="inlineStr">
        <is>
          <t>Contractors</t>
        </is>
      </c>
      <c r="B5094" s="46">
        <f>'Contractors'!AI58</f>
        <v/>
      </c>
      <c r="C5094" s="84">
        <f>'Contractors'!AG58</f>
        <v/>
      </c>
      <c r="D5094" s="46">
        <f>'Contractors'!AH58</f>
        <v/>
      </c>
      <c r="E5094" s="46">
        <f>IF(OR(B5094="",C5094="",D5094=""),"",D5094*100000+(C5094-DATE(2000,1,1))+ROW()/100000)</f>
        <v/>
      </c>
      <c r="F5094" s="46">
        <f>IF(E5094="","",IF(C5094&gt;WeekEndDate,"",E5094))</f>
        <v/>
      </c>
    </row>
    <row r="5095">
      <c r="A5095" t="inlineStr">
        <is>
          <t>Contractors</t>
        </is>
      </c>
      <c r="B5095" s="46">
        <f>'Contractors'!AI59</f>
        <v/>
      </c>
      <c r="C5095" s="84">
        <f>'Contractors'!AG59</f>
        <v/>
      </c>
      <c r="D5095" s="46">
        <f>'Contractors'!AH59</f>
        <v/>
      </c>
      <c r="E5095" s="46">
        <f>IF(OR(B5095="",C5095="",D5095=""),"",D5095*100000+(C5095-DATE(2000,1,1))+ROW()/100000)</f>
        <v/>
      </c>
      <c r="F5095" s="46">
        <f>IF(E5095="","",IF(C5095&gt;WeekEndDate,"",E5095))</f>
        <v/>
      </c>
    </row>
    <row r="5096">
      <c r="A5096" t="inlineStr">
        <is>
          <t>Contractors</t>
        </is>
      </c>
      <c r="B5096" s="46">
        <f>'Contractors'!AI60</f>
        <v/>
      </c>
      <c r="C5096" s="84">
        <f>'Contractors'!AG60</f>
        <v/>
      </c>
      <c r="D5096" s="46">
        <f>'Contractors'!AH60</f>
        <v/>
      </c>
      <c r="E5096" s="46">
        <f>IF(OR(B5096="",C5096="",D5096=""),"",D5096*100000+(C5096-DATE(2000,1,1))+ROW()/100000)</f>
        <v/>
      </c>
      <c r="F5096" s="46">
        <f>IF(E5096="","",IF(C5096&gt;WeekEndDate,"",E5096))</f>
        <v/>
      </c>
    </row>
    <row r="5097">
      <c r="A5097" t="inlineStr">
        <is>
          <t>Contractors</t>
        </is>
      </c>
      <c r="B5097" s="46">
        <f>'Contractors'!AI61</f>
        <v/>
      </c>
      <c r="C5097" s="84">
        <f>'Contractors'!AG61</f>
        <v/>
      </c>
      <c r="D5097" s="46">
        <f>'Contractors'!AH61</f>
        <v/>
      </c>
      <c r="E5097" s="46">
        <f>IF(OR(B5097="",C5097="",D5097=""),"",D5097*100000+(C5097-DATE(2000,1,1))+ROW()/100000)</f>
        <v/>
      </c>
      <c r="F5097" s="46">
        <f>IF(E5097="","",IF(C5097&gt;WeekEndDate,"",E5097))</f>
        <v/>
      </c>
    </row>
    <row r="5098">
      <c r="A5098" t="inlineStr">
        <is>
          <t>Contractors</t>
        </is>
      </c>
      <c r="B5098" s="46">
        <f>'Contractors'!AI62</f>
        <v/>
      </c>
      <c r="C5098" s="84">
        <f>'Contractors'!AG62</f>
        <v/>
      </c>
      <c r="D5098" s="46">
        <f>'Contractors'!AH62</f>
        <v/>
      </c>
      <c r="E5098" s="46">
        <f>IF(OR(B5098="",C5098="",D5098=""),"",D5098*100000+(C5098-DATE(2000,1,1))+ROW()/100000)</f>
        <v/>
      </c>
      <c r="F5098" s="46">
        <f>IF(E5098="","",IF(C5098&gt;WeekEndDate,"",E5098))</f>
        <v/>
      </c>
    </row>
    <row r="5099">
      <c r="A5099" t="inlineStr">
        <is>
          <t>Contractors</t>
        </is>
      </c>
      <c r="B5099" s="46">
        <f>'Contractors'!AI63</f>
        <v/>
      </c>
      <c r="C5099" s="84">
        <f>'Contractors'!AG63</f>
        <v/>
      </c>
      <c r="D5099" s="46">
        <f>'Contractors'!AH63</f>
        <v/>
      </c>
      <c r="E5099" s="46">
        <f>IF(OR(B5099="",C5099="",D5099=""),"",D5099*100000+(C5099-DATE(2000,1,1))+ROW()/100000)</f>
        <v/>
      </c>
      <c r="F5099" s="46">
        <f>IF(E5099="","",IF(C5099&gt;WeekEndDate,"",E5099))</f>
        <v/>
      </c>
    </row>
    <row r="5100">
      <c r="A5100" t="inlineStr">
        <is>
          <t>Contractors</t>
        </is>
      </c>
      <c r="B5100" s="46">
        <f>'Contractors'!AI64</f>
        <v/>
      </c>
      <c r="C5100" s="84">
        <f>'Contractors'!AG64</f>
        <v/>
      </c>
      <c r="D5100" s="46">
        <f>'Contractors'!AH64</f>
        <v/>
      </c>
      <c r="E5100" s="46">
        <f>IF(OR(B5100="",C5100="",D5100=""),"",D5100*100000+(C5100-DATE(2000,1,1))+ROW()/100000)</f>
        <v/>
      </c>
      <c r="F5100" s="46">
        <f>IF(E5100="","",IF(C5100&gt;WeekEndDate,"",E5100))</f>
        <v/>
      </c>
    </row>
    <row r="5101">
      <c r="A5101" t="inlineStr">
        <is>
          <t>Contractors</t>
        </is>
      </c>
      <c r="B5101" s="46">
        <f>'Contractors'!AI65</f>
        <v/>
      </c>
      <c r="C5101" s="84">
        <f>'Contractors'!AG65</f>
        <v/>
      </c>
      <c r="D5101" s="46">
        <f>'Contractors'!AH65</f>
        <v/>
      </c>
      <c r="E5101" s="46">
        <f>IF(OR(B5101="",C5101="",D5101=""),"",D5101*100000+(C5101-DATE(2000,1,1))+ROW()/100000)</f>
        <v/>
      </c>
      <c r="F5101" s="46">
        <f>IF(E5101="","",IF(C5101&gt;WeekEndDate,"",E5101))</f>
        <v/>
      </c>
    </row>
    <row r="5102">
      <c r="A5102" t="inlineStr">
        <is>
          <t>Contractors</t>
        </is>
      </c>
      <c r="B5102" s="46">
        <f>'Contractors'!AI66</f>
        <v/>
      </c>
      <c r="C5102" s="84">
        <f>'Contractors'!AG66</f>
        <v/>
      </c>
      <c r="D5102" s="46">
        <f>'Contractors'!AH66</f>
        <v/>
      </c>
      <c r="E5102" s="46">
        <f>IF(OR(B5102="",C5102="",D5102=""),"",D5102*100000+(C5102-DATE(2000,1,1))+ROW()/100000)</f>
        <v/>
      </c>
      <c r="F5102" s="46">
        <f>IF(E5102="","",IF(C5102&gt;WeekEndDate,"",E5102))</f>
        <v/>
      </c>
    </row>
    <row r="5103">
      <c r="A5103" t="inlineStr">
        <is>
          <t>Contractors</t>
        </is>
      </c>
      <c r="B5103" s="46">
        <f>'Contractors'!AI67</f>
        <v/>
      </c>
      <c r="C5103" s="84">
        <f>'Contractors'!AG67</f>
        <v/>
      </c>
      <c r="D5103" s="46">
        <f>'Contractors'!AH67</f>
        <v/>
      </c>
      <c r="E5103" s="46">
        <f>IF(OR(B5103="",C5103="",D5103=""),"",D5103*100000+(C5103-DATE(2000,1,1))+ROW()/100000)</f>
        <v/>
      </c>
      <c r="F5103" s="46">
        <f>IF(E5103="","",IF(C5103&gt;WeekEndDate,"",E5103))</f>
        <v/>
      </c>
    </row>
    <row r="5104">
      <c r="A5104" t="inlineStr">
        <is>
          <t>Contractors</t>
        </is>
      </c>
      <c r="B5104" s="46">
        <f>'Contractors'!AI68</f>
        <v/>
      </c>
      <c r="C5104" s="84">
        <f>'Contractors'!AG68</f>
        <v/>
      </c>
      <c r="D5104" s="46">
        <f>'Contractors'!AH68</f>
        <v/>
      </c>
      <c r="E5104" s="46">
        <f>IF(OR(B5104="",C5104="",D5104=""),"",D5104*100000+(C5104-DATE(2000,1,1))+ROW()/100000)</f>
        <v/>
      </c>
      <c r="F5104" s="46">
        <f>IF(E5104="","",IF(C5104&gt;WeekEndDate,"",E5104))</f>
        <v/>
      </c>
    </row>
    <row r="5105">
      <c r="A5105" t="inlineStr">
        <is>
          <t>Contractors</t>
        </is>
      </c>
      <c r="B5105" s="46">
        <f>'Contractors'!AI69</f>
        <v/>
      </c>
      <c r="C5105" s="84">
        <f>'Contractors'!AG69</f>
        <v/>
      </c>
      <c r="D5105" s="46">
        <f>'Contractors'!AH69</f>
        <v/>
      </c>
      <c r="E5105" s="46">
        <f>IF(OR(B5105="",C5105="",D5105=""),"",D5105*100000+(C5105-DATE(2000,1,1))+ROW()/100000)</f>
        <v/>
      </c>
      <c r="F5105" s="46">
        <f>IF(E5105="","",IF(C5105&gt;WeekEndDate,"",E5105))</f>
        <v/>
      </c>
    </row>
    <row r="5106">
      <c r="A5106" t="inlineStr">
        <is>
          <t>Contractors</t>
        </is>
      </c>
      <c r="B5106" s="46">
        <f>'Contractors'!AI70</f>
        <v/>
      </c>
      <c r="C5106" s="84">
        <f>'Contractors'!AG70</f>
        <v/>
      </c>
      <c r="D5106" s="46">
        <f>'Contractors'!AH70</f>
        <v/>
      </c>
      <c r="E5106" s="46">
        <f>IF(OR(B5106="",C5106="",D5106=""),"",D5106*100000+(C5106-DATE(2000,1,1))+ROW()/100000)</f>
        <v/>
      </c>
      <c r="F5106" s="46">
        <f>IF(E5106="","",IF(C5106&gt;WeekEndDate,"",E5106))</f>
        <v/>
      </c>
    </row>
    <row r="5107">
      <c r="A5107" t="inlineStr">
        <is>
          <t>Contractors</t>
        </is>
      </c>
      <c r="B5107" s="46">
        <f>'Contractors'!AI71</f>
        <v/>
      </c>
      <c r="C5107" s="84">
        <f>'Contractors'!AG71</f>
        <v/>
      </c>
      <c r="D5107" s="46">
        <f>'Contractors'!AH71</f>
        <v/>
      </c>
      <c r="E5107" s="46">
        <f>IF(OR(B5107="",C5107="",D5107=""),"",D5107*100000+(C5107-DATE(2000,1,1))+ROW()/100000)</f>
        <v/>
      </c>
      <c r="F5107" s="46">
        <f>IF(E5107="","",IF(C5107&gt;WeekEndDate,"",E5107))</f>
        <v/>
      </c>
    </row>
    <row r="5108">
      <c r="A5108" t="inlineStr">
        <is>
          <t>Contractors</t>
        </is>
      </c>
      <c r="B5108" s="46">
        <f>'Contractors'!AI72</f>
        <v/>
      </c>
      <c r="C5108" s="84">
        <f>'Contractors'!AG72</f>
        <v/>
      </c>
      <c r="D5108" s="46">
        <f>'Contractors'!AH72</f>
        <v/>
      </c>
      <c r="E5108" s="46">
        <f>IF(OR(B5108="",C5108="",D5108=""),"",D5108*100000+(C5108-DATE(2000,1,1))+ROW()/100000)</f>
        <v/>
      </c>
      <c r="F5108" s="46">
        <f>IF(E5108="","",IF(C5108&gt;WeekEndDate,"",E5108))</f>
        <v/>
      </c>
    </row>
    <row r="5109">
      <c r="A5109" t="inlineStr">
        <is>
          <t>Contractors</t>
        </is>
      </c>
      <c r="B5109" s="46">
        <f>'Contractors'!AI73</f>
        <v/>
      </c>
      <c r="C5109" s="84">
        <f>'Contractors'!AG73</f>
        <v/>
      </c>
      <c r="D5109" s="46">
        <f>'Contractors'!AH73</f>
        <v/>
      </c>
      <c r="E5109" s="46">
        <f>IF(OR(B5109="",C5109="",D5109=""),"",D5109*100000+(C5109-DATE(2000,1,1))+ROW()/100000)</f>
        <v/>
      </c>
      <c r="F5109" s="46">
        <f>IF(E5109="","",IF(C5109&gt;WeekEndDate,"",E5109))</f>
        <v/>
      </c>
    </row>
    <row r="5110">
      <c r="A5110" t="inlineStr">
        <is>
          <t>Contractors</t>
        </is>
      </c>
      <c r="B5110" s="46">
        <f>'Contractors'!AI74</f>
        <v/>
      </c>
      <c r="C5110" s="84">
        <f>'Contractors'!AG74</f>
        <v/>
      </c>
      <c r="D5110" s="46">
        <f>'Contractors'!AH74</f>
        <v/>
      </c>
      <c r="E5110" s="46">
        <f>IF(OR(B5110="",C5110="",D5110=""),"",D5110*100000+(C5110-DATE(2000,1,1))+ROW()/100000)</f>
        <v/>
      </c>
      <c r="F5110" s="46">
        <f>IF(E5110="","",IF(C5110&gt;WeekEndDate,"",E5110))</f>
        <v/>
      </c>
    </row>
    <row r="5111">
      <c r="A5111" t="inlineStr">
        <is>
          <t>Contractors</t>
        </is>
      </c>
      <c r="B5111" s="46">
        <f>'Contractors'!AI75</f>
        <v/>
      </c>
      <c r="C5111" s="84">
        <f>'Contractors'!AG75</f>
        <v/>
      </c>
      <c r="D5111" s="46">
        <f>'Contractors'!AH75</f>
        <v/>
      </c>
      <c r="E5111" s="46">
        <f>IF(OR(B5111="",C5111="",D5111=""),"",D5111*100000+(C5111-DATE(2000,1,1))+ROW()/100000)</f>
        <v/>
      </c>
      <c r="F5111" s="46">
        <f>IF(E5111="","",IF(C5111&gt;WeekEndDate,"",E5111))</f>
        <v/>
      </c>
    </row>
    <row r="5112">
      <c r="A5112" t="inlineStr">
        <is>
          <t>Contractors</t>
        </is>
      </c>
      <c r="B5112" s="46">
        <f>'Contractors'!AI76</f>
        <v/>
      </c>
      <c r="C5112" s="84">
        <f>'Contractors'!AG76</f>
        <v/>
      </c>
      <c r="D5112" s="46">
        <f>'Contractors'!AH76</f>
        <v/>
      </c>
      <c r="E5112" s="46">
        <f>IF(OR(B5112="",C5112="",D5112=""),"",D5112*100000+(C5112-DATE(2000,1,1))+ROW()/100000)</f>
        <v/>
      </c>
      <c r="F5112" s="46">
        <f>IF(E5112="","",IF(C5112&gt;WeekEndDate,"",E5112))</f>
        <v/>
      </c>
    </row>
    <row r="5113">
      <c r="A5113" t="inlineStr">
        <is>
          <t>Contractors</t>
        </is>
      </c>
      <c r="B5113" s="46">
        <f>'Contractors'!AI77</f>
        <v/>
      </c>
      <c r="C5113" s="84">
        <f>'Contractors'!AG77</f>
        <v/>
      </c>
      <c r="D5113" s="46">
        <f>'Contractors'!AH77</f>
        <v/>
      </c>
      <c r="E5113" s="46">
        <f>IF(OR(B5113="",C5113="",D5113=""),"",D5113*100000+(C5113-DATE(2000,1,1))+ROW()/100000)</f>
        <v/>
      </c>
      <c r="F5113" s="46">
        <f>IF(E5113="","",IF(C5113&gt;WeekEndDate,"",E5113))</f>
        <v/>
      </c>
    </row>
    <row r="5114">
      <c r="A5114" t="inlineStr">
        <is>
          <t>Contractors</t>
        </is>
      </c>
      <c r="B5114" s="46">
        <f>'Contractors'!AI78</f>
        <v/>
      </c>
      <c r="C5114" s="84">
        <f>'Contractors'!AG78</f>
        <v/>
      </c>
      <c r="D5114" s="46">
        <f>'Contractors'!AH78</f>
        <v/>
      </c>
      <c r="E5114" s="46">
        <f>IF(OR(B5114="",C5114="",D5114=""),"",D5114*100000+(C5114-DATE(2000,1,1))+ROW()/100000)</f>
        <v/>
      </c>
      <c r="F5114" s="46">
        <f>IF(E5114="","",IF(C5114&gt;WeekEndDate,"",E5114))</f>
        <v/>
      </c>
    </row>
    <row r="5115">
      <c r="A5115" t="inlineStr">
        <is>
          <t>Contractors</t>
        </is>
      </c>
      <c r="B5115" s="46">
        <f>'Contractors'!AI79</f>
        <v/>
      </c>
      <c r="C5115" s="84">
        <f>'Contractors'!AG79</f>
        <v/>
      </c>
      <c r="D5115" s="46">
        <f>'Contractors'!AH79</f>
        <v/>
      </c>
      <c r="E5115" s="46">
        <f>IF(OR(B5115="",C5115="",D5115=""),"",D5115*100000+(C5115-DATE(2000,1,1))+ROW()/100000)</f>
        <v/>
      </c>
      <c r="F5115" s="46">
        <f>IF(E5115="","",IF(C5115&gt;WeekEndDate,"",E5115))</f>
        <v/>
      </c>
    </row>
    <row r="5116">
      <c r="A5116" t="inlineStr">
        <is>
          <t>Contractors</t>
        </is>
      </c>
      <c r="B5116" s="46">
        <f>'Contractors'!AI80</f>
        <v/>
      </c>
      <c r="C5116" s="84">
        <f>'Contractors'!AG80</f>
        <v/>
      </c>
      <c r="D5116" s="46">
        <f>'Contractors'!AH80</f>
        <v/>
      </c>
      <c r="E5116" s="46">
        <f>IF(OR(B5116="",C5116="",D5116=""),"",D5116*100000+(C5116-DATE(2000,1,1))+ROW()/100000)</f>
        <v/>
      </c>
      <c r="F5116" s="46">
        <f>IF(E5116="","",IF(C5116&gt;WeekEndDate,"",E5116))</f>
        <v/>
      </c>
    </row>
    <row r="5117">
      <c r="A5117" t="inlineStr">
        <is>
          <t>Contractors</t>
        </is>
      </c>
      <c r="B5117" s="46">
        <f>'Contractors'!AI81</f>
        <v/>
      </c>
      <c r="C5117" s="84">
        <f>'Contractors'!AG81</f>
        <v/>
      </c>
      <c r="D5117" s="46">
        <f>'Contractors'!AH81</f>
        <v/>
      </c>
      <c r="E5117" s="46">
        <f>IF(OR(B5117="",C5117="",D5117=""),"",D5117*100000+(C5117-DATE(2000,1,1))+ROW()/100000)</f>
        <v/>
      </c>
      <c r="F5117" s="46">
        <f>IF(E5117="","",IF(C5117&gt;WeekEndDate,"",E5117))</f>
        <v/>
      </c>
    </row>
    <row r="5118">
      <c r="A5118" t="inlineStr">
        <is>
          <t>Contractors</t>
        </is>
      </c>
      <c r="B5118" s="46">
        <f>'Contractors'!AI82</f>
        <v/>
      </c>
      <c r="C5118" s="84">
        <f>'Contractors'!AG82</f>
        <v/>
      </c>
      <c r="D5118" s="46">
        <f>'Contractors'!AH82</f>
        <v/>
      </c>
      <c r="E5118" s="46">
        <f>IF(OR(B5118="",C5118="",D5118=""),"",D5118*100000+(C5118-DATE(2000,1,1))+ROW()/100000)</f>
        <v/>
      </c>
      <c r="F5118" s="46">
        <f>IF(E5118="","",IF(C5118&gt;WeekEndDate,"",E5118))</f>
        <v/>
      </c>
    </row>
    <row r="5119">
      <c r="A5119" t="inlineStr">
        <is>
          <t>Contractors</t>
        </is>
      </c>
      <c r="B5119" s="46">
        <f>'Contractors'!AI83</f>
        <v/>
      </c>
      <c r="C5119" s="84">
        <f>'Contractors'!AG83</f>
        <v/>
      </c>
      <c r="D5119" s="46">
        <f>'Contractors'!AH83</f>
        <v/>
      </c>
      <c r="E5119" s="46">
        <f>IF(OR(B5119="",C5119="",D5119=""),"",D5119*100000+(C5119-DATE(2000,1,1))+ROW()/100000)</f>
        <v/>
      </c>
      <c r="F5119" s="46">
        <f>IF(E5119="","",IF(C5119&gt;WeekEndDate,"",E5119))</f>
        <v/>
      </c>
    </row>
    <row r="5120">
      <c r="A5120" t="inlineStr">
        <is>
          <t>Contractors</t>
        </is>
      </c>
      <c r="B5120" s="46">
        <f>'Contractors'!AI84</f>
        <v/>
      </c>
      <c r="C5120" s="84">
        <f>'Contractors'!AG84</f>
        <v/>
      </c>
      <c r="D5120" s="46">
        <f>'Contractors'!AH84</f>
        <v/>
      </c>
      <c r="E5120" s="46">
        <f>IF(OR(B5120="",C5120="",D5120=""),"",D5120*100000+(C5120-DATE(2000,1,1))+ROW()/100000)</f>
        <v/>
      </c>
      <c r="F5120" s="46">
        <f>IF(E5120="","",IF(C5120&gt;WeekEndDate,"",E5120))</f>
        <v/>
      </c>
    </row>
    <row r="5121">
      <c r="A5121" t="inlineStr">
        <is>
          <t>Contractors</t>
        </is>
      </c>
      <c r="B5121" s="46">
        <f>'Contractors'!AI85</f>
        <v/>
      </c>
      <c r="C5121" s="84">
        <f>'Contractors'!AG85</f>
        <v/>
      </c>
      <c r="D5121" s="46">
        <f>'Contractors'!AH85</f>
        <v/>
      </c>
      <c r="E5121" s="46">
        <f>IF(OR(B5121="",C5121="",D5121=""),"",D5121*100000+(C5121-DATE(2000,1,1))+ROW()/100000)</f>
        <v/>
      </c>
      <c r="F5121" s="46">
        <f>IF(E5121="","",IF(C5121&gt;WeekEndDate,"",E5121))</f>
        <v/>
      </c>
    </row>
    <row r="5122">
      <c r="A5122" t="inlineStr">
        <is>
          <t>Contractors</t>
        </is>
      </c>
      <c r="B5122" s="46">
        <f>'Contractors'!AI86</f>
        <v/>
      </c>
      <c r="C5122" s="84">
        <f>'Contractors'!AG86</f>
        <v/>
      </c>
      <c r="D5122" s="46">
        <f>'Contractors'!AH86</f>
        <v/>
      </c>
      <c r="E5122" s="46">
        <f>IF(OR(B5122="",C5122="",D5122=""),"",D5122*100000+(C5122-DATE(2000,1,1))+ROW()/100000)</f>
        <v/>
      </c>
      <c r="F5122" s="46">
        <f>IF(E5122="","",IF(C5122&gt;WeekEndDate,"",E5122))</f>
        <v/>
      </c>
    </row>
    <row r="5123">
      <c r="A5123" t="inlineStr">
        <is>
          <t>Contractors</t>
        </is>
      </c>
      <c r="B5123" s="46">
        <f>'Contractors'!AI87</f>
        <v/>
      </c>
      <c r="C5123" s="84">
        <f>'Contractors'!AG87</f>
        <v/>
      </c>
      <c r="D5123" s="46">
        <f>'Contractors'!AH87</f>
        <v/>
      </c>
      <c r="E5123" s="46">
        <f>IF(OR(B5123="",C5123="",D5123=""),"",D5123*100000+(C5123-DATE(2000,1,1))+ROW()/100000)</f>
        <v/>
      </c>
      <c r="F5123" s="46">
        <f>IF(E5123="","",IF(C5123&gt;WeekEndDate,"",E5123))</f>
        <v/>
      </c>
    </row>
    <row r="5124">
      <c r="A5124" t="inlineStr">
        <is>
          <t>Contractors</t>
        </is>
      </c>
      <c r="B5124" s="46">
        <f>'Contractors'!AI88</f>
        <v/>
      </c>
      <c r="C5124" s="84">
        <f>'Contractors'!AG88</f>
        <v/>
      </c>
      <c r="D5124" s="46">
        <f>'Contractors'!AH88</f>
        <v/>
      </c>
      <c r="E5124" s="46">
        <f>IF(OR(B5124="",C5124="",D5124=""),"",D5124*100000+(C5124-DATE(2000,1,1))+ROW()/100000)</f>
        <v/>
      </c>
      <c r="F5124" s="46">
        <f>IF(E5124="","",IF(C5124&gt;WeekEndDate,"",E5124))</f>
        <v/>
      </c>
    </row>
    <row r="5125">
      <c r="A5125" t="inlineStr">
        <is>
          <t>Contractors</t>
        </is>
      </c>
      <c r="B5125" s="46">
        <f>'Contractors'!AI89</f>
        <v/>
      </c>
      <c r="C5125" s="84">
        <f>'Contractors'!AG89</f>
        <v/>
      </c>
      <c r="D5125" s="46">
        <f>'Contractors'!AH89</f>
        <v/>
      </c>
      <c r="E5125" s="46">
        <f>IF(OR(B5125="",C5125="",D5125=""),"",D5125*100000+(C5125-DATE(2000,1,1))+ROW()/100000)</f>
        <v/>
      </c>
      <c r="F5125" s="46">
        <f>IF(E5125="","",IF(C5125&gt;WeekEndDate,"",E5125))</f>
        <v/>
      </c>
    </row>
    <row r="5126">
      <c r="A5126" t="inlineStr">
        <is>
          <t>Contractors</t>
        </is>
      </c>
      <c r="B5126" s="46">
        <f>'Contractors'!AI90</f>
        <v/>
      </c>
      <c r="C5126" s="84">
        <f>'Contractors'!AG90</f>
        <v/>
      </c>
      <c r="D5126" s="46">
        <f>'Contractors'!AH90</f>
        <v/>
      </c>
      <c r="E5126" s="46">
        <f>IF(OR(B5126="",C5126="",D5126=""),"",D5126*100000+(C5126-DATE(2000,1,1))+ROW()/100000)</f>
        <v/>
      </c>
      <c r="F5126" s="46">
        <f>IF(E5126="","",IF(C5126&gt;WeekEndDate,"",E5126))</f>
        <v/>
      </c>
    </row>
    <row r="5127">
      <c r="A5127" t="inlineStr">
        <is>
          <t>Contractors</t>
        </is>
      </c>
      <c r="B5127" s="46">
        <f>'Contractors'!AI91</f>
        <v/>
      </c>
      <c r="C5127" s="84">
        <f>'Contractors'!AG91</f>
        <v/>
      </c>
      <c r="D5127" s="46">
        <f>'Contractors'!AH91</f>
        <v/>
      </c>
      <c r="E5127" s="46">
        <f>IF(OR(B5127="",C5127="",D5127=""),"",D5127*100000+(C5127-DATE(2000,1,1))+ROW()/100000)</f>
        <v/>
      </c>
      <c r="F5127" s="46">
        <f>IF(E5127="","",IF(C5127&gt;WeekEndDate,"",E5127))</f>
        <v/>
      </c>
    </row>
    <row r="5128">
      <c r="A5128" t="inlineStr">
        <is>
          <t>Contractors</t>
        </is>
      </c>
      <c r="B5128" s="46">
        <f>'Contractors'!AI92</f>
        <v/>
      </c>
      <c r="C5128" s="84">
        <f>'Contractors'!AG92</f>
        <v/>
      </c>
      <c r="D5128" s="46">
        <f>'Contractors'!AH92</f>
        <v/>
      </c>
      <c r="E5128" s="46">
        <f>IF(OR(B5128="",C5128="",D5128=""),"",D5128*100000+(C5128-DATE(2000,1,1))+ROW()/100000)</f>
        <v/>
      </c>
      <c r="F5128" s="46">
        <f>IF(E5128="","",IF(C5128&gt;WeekEndDate,"",E5128))</f>
        <v/>
      </c>
    </row>
    <row r="5129">
      <c r="A5129" t="inlineStr">
        <is>
          <t>Contractors</t>
        </is>
      </c>
      <c r="B5129" s="46">
        <f>'Contractors'!AI93</f>
        <v/>
      </c>
      <c r="C5129" s="84">
        <f>'Contractors'!AG93</f>
        <v/>
      </c>
      <c r="D5129" s="46">
        <f>'Contractors'!AH93</f>
        <v/>
      </c>
      <c r="E5129" s="46">
        <f>IF(OR(B5129="",C5129="",D5129=""),"",D5129*100000+(C5129-DATE(2000,1,1))+ROW()/100000)</f>
        <v/>
      </c>
      <c r="F5129" s="46">
        <f>IF(E5129="","",IF(C5129&gt;WeekEndDate,"",E5129))</f>
        <v/>
      </c>
    </row>
    <row r="5130">
      <c r="A5130" t="inlineStr">
        <is>
          <t>Contractors</t>
        </is>
      </c>
      <c r="B5130" s="46">
        <f>'Contractors'!AI94</f>
        <v/>
      </c>
      <c r="C5130" s="84">
        <f>'Contractors'!AG94</f>
        <v/>
      </c>
      <c r="D5130" s="46">
        <f>'Contractors'!AH94</f>
        <v/>
      </c>
      <c r="E5130" s="46">
        <f>IF(OR(B5130="",C5130="",D5130=""),"",D5130*100000+(C5130-DATE(2000,1,1))+ROW()/100000)</f>
        <v/>
      </c>
      <c r="F5130" s="46">
        <f>IF(E5130="","",IF(C5130&gt;WeekEndDate,"",E5130))</f>
        <v/>
      </c>
    </row>
    <row r="5131">
      <c r="A5131" t="inlineStr">
        <is>
          <t>Contractors</t>
        </is>
      </c>
      <c r="B5131" s="46">
        <f>'Contractors'!AI95</f>
        <v/>
      </c>
      <c r="C5131" s="84">
        <f>'Contractors'!AG95</f>
        <v/>
      </c>
      <c r="D5131" s="46">
        <f>'Contractors'!AH95</f>
        <v/>
      </c>
      <c r="E5131" s="46">
        <f>IF(OR(B5131="",C5131="",D5131=""),"",D5131*100000+(C5131-DATE(2000,1,1))+ROW()/100000)</f>
        <v/>
      </c>
      <c r="F5131" s="46">
        <f>IF(E5131="","",IF(C5131&gt;WeekEndDate,"",E5131))</f>
        <v/>
      </c>
    </row>
    <row r="5132">
      <c r="A5132" t="inlineStr">
        <is>
          <t>Contractors</t>
        </is>
      </c>
      <c r="B5132" s="46">
        <f>'Contractors'!AI96</f>
        <v/>
      </c>
      <c r="C5132" s="84">
        <f>'Contractors'!AG96</f>
        <v/>
      </c>
      <c r="D5132" s="46">
        <f>'Contractors'!AH96</f>
        <v/>
      </c>
      <c r="E5132" s="46">
        <f>IF(OR(B5132="",C5132="",D5132=""),"",D5132*100000+(C5132-DATE(2000,1,1))+ROW()/100000)</f>
        <v/>
      </c>
      <c r="F5132" s="46">
        <f>IF(E5132="","",IF(C5132&gt;WeekEndDate,"",E5132))</f>
        <v/>
      </c>
    </row>
    <row r="5133">
      <c r="A5133" t="inlineStr">
        <is>
          <t>Contractors</t>
        </is>
      </c>
      <c r="B5133" s="46">
        <f>'Contractors'!AI97</f>
        <v/>
      </c>
      <c r="C5133" s="84">
        <f>'Contractors'!AG97</f>
        <v/>
      </c>
      <c r="D5133" s="46">
        <f>'Contractors'!AH97</f>
        <v/>
      </c>
      <c r="E5133" s="46">
        <f>IF(OR(B5133="",C5133="",D5133=""),"",D5133*100000+(C5133-DATE(2000,1,1))+ROW()/100000)</f>
        <v/>
      </c>
      <c r="F5133" s="46">
        <f>IF(E5133="","",IF(C5133&gt;WeekEndDate,"",E5133))</f>
        <v/>
      </c>
    </row>
    <row r="5134">
      <c r="A5134" t="inlineStr">
        <is>
          <t>Contractors</t>
        </is>
      </c>
      <c r="B5134" s="46">
        <f>'Contractors'!AI98</f>
        <v/>
      </c>
      <c r="C5134" s="84">
        <f>'Contractors'!AG98</f>
        <v/>
      </c>
      <c r="D5134" s="46">
        <f>'Contractors'!AH98</f>
        <v/>
      </c>
      <c r="E5134" s="46">
        <f>IF(OR(B5134="",C5134="",D5134=""),"",D5134*100000+(C5134-DATE(2000,1,1))+ROW()/100000)</f>
        <v/>
      </c>
      <c r="F5134" s="46">
        <f>IF(E5134="","",IF(C5134&gt;WeekEndDate,"",E5134))</f>
        <v/>
      </c>
    </row>
    <row r="5135">
      <c r="A5135" t="inlineStr">
        <is>
          <t>Contractors</t>
        </is>
      </c>
      <c r="B5135" s="46">
        <f>'Contractors'!AI99</f>
        <v/>
      </c>
      <c r="C5135" s="84">
        <f>'Contractors'!AG99</f>
        <v/>
      </c>
      <c r="D5135" s="46">
        <f>'Contractors'!AH99</f>
        <v/>
      </c>
      <c r="E5135" s="46">
        <f>IF(OR(B5135="",C5135="",D5135=""),"",D5135*100000+(C5135-DATE(2000,1,1))+ROW()/100000)</f>
        <v/>
      </c>
      <c r="F5135" s="46">
        <f>IF(E5135="","",IF(C5135&gt;WeekEndDate,"",E5135))</f>
        <v/>
      </c>
    </row>
    <row r="5136">
      <c r="A5136" t="inlineStr">
        <is>
          <t>Contractors</t>
        </is>
      </c>
      <c r="B5136" s="46">
        <f>'Contractors'!AI100</f>
        <v/>
      </c>
      <c r="C5136" s="84">
        <f>'Contractors'!AG100</f>
        <v/>
      </c>
      <c r="D5136" s="46">
        <f>'Contractors'!AH100</f>
        <v/>
      </c>
      <c r="E5136" s="46">
        <f>IF(OR(B5136="",C5136="",D5136=""),"",D5136*100000+(C5136-DATE(2000,1,1))+ROW()/100000)</f>
        <v/>
      </c>
      <c r="F5136" s="46">
        <f>IF(E5136="","",IF(C5136&gt;WeekEndDate,"",E5136))</f>
        <v/>
      </c>
    </row>
    <row r="5137">
      <c r="A5137" t="inlineStr">
        <is>
          <t>Contractors</t>
        </is>
      </c>
      <c r="B5137" s="46">
        <f>'Contractors'!AI101</f>
        <v/>
      </c>
      <c r="C5137" s="84">
        <f>'Contractors'!AG101</f>
        <v/>
      </c>
      <c r="D5137" s="46">
        <f>'Contractors'!AH101</f>
        <v/>
      </c>
      <c r="E5137" s="46">
        <f>IF(OR(B5137="",C5137="",D5137=""),"",D5137*100000+(C5137-DATE(2000,1,1))+ROW()/100000)</f>
        <v/>
      </c>
      <c r="F5137" s="46">
        <f>IF(E5137="","",IF(C5137&gt;WeekEndDate,"",E5137))</f>
        <v/>
      </c>
    </row>
    <row r="5138">
      <c r="A5138" t="inlineStr">
        <is>
          <t>Contractors</t>
        </is>
      </c>
      <c r="B5138" s="46">
        <f>'Contractors'!AI102</f>
        <v/>
      </c>
      <c r="C5138" s="84">
        <f>'Contractors'!AG102</f>
        <v/>
      </c>
      <c r="D5138" s="46">
        <f>'Contractors'!AH102</f>
        <v/>
      </c>
      <c r="E5138" s="46">
        <f>IF(OR(B5138="",C5138="",D5138=""),"",D5138*100000+(C5138-DATE(2000,1,1))+ROW()/100000)</f>
        <v/>
      </c>
      <c r="F5138" s="46">
        <f>IF(E5138="","",IF(C5138&gt;WeekEndDate,"",E5138))</f>
        <v/>
      </c>
    </row>
    <row r="5139">
      <c r="A5139" t="inlineStr">
        <is>
          <t>Contractors</t>
        </is>
      </c>
      <c r="B5139" s="46">
        <f>'Contractors'!AI103</f>
        <v/>
      </c>
      <c r="C5139" s="84">
        <f>'Contractors'!AG103</f>
        <v/>
      </c>
      <c r="D5139" s="46">
        <f>'Contractors'!AH103</f>
        <v/>
      </c>
      <c r="E5139" s="46">
        <f>IF(OR(B5139="",C5139="",D5139=""),"",D5139*100000+(C5139-DATE(2000,1,1))+ROW()/100000)</f>
        <v/>
      </c>
      <c r="F5139" s="46">
        <f>IF(E5139="","",IF(C5139&gt;WeekEndDate,"",E5139))</f>
        <v/>
      </c>
    </row>
    <row r="5140">
      <c r="A5140" t="inlineStr">
        <is>
          <t>Contractors</t>
        </is>
      </c>
      <c r="B5140" s="46">
        <f>'Contractors'!AI104</f>
        <v/>
      </c>
      <c r="C5140" s="84">
        <f>'Contractors'!AG104</f>
        <v/>
      </c>
      <c r="D5140" s="46">
        <f>'Contractors'!AH104</f>
        <v/>
      </c>
      <c r="E5140" s="46">
        <f>IF(OR(B5140="",C5140="",D5140=""),"",D5140*100000+(C5140-DATE(2000,1,1))+ROW()/100000)</f>
        <v/>
      </c>
      <c r="F5140" s="46">
        <f>IF(E5140="","",IF(C5140&gt;WeekEndDate,"",E5140))</f>
        <v/>
      </c>
    </row>
    <row r="5141">
      <c r="A5141" t="inlineStr">
        <is>
          <t>Contractors</t>
        </is>
      </c>
      <c r="B5141" s="46">
        <f>'Contractors'!AI105</f>
        <v/>
      </c>
      <c r="C5141" s="84">
        <f>'Contractors'!AG105</f>
        <v/>
      </c>
      <c r="D5141" s="46">
        <f>'Contractors'!AH105</f>
        <v/>
      </c>
      <c r="E5141" s="46">
        <f>IF(OR(B5141="",C5141="",D5141=""),"",D5141*100000+(C5141-DATE(2000,1,1))+ROW()/100000)</f>
        <v/>
      </c>
      <c r="F5141" s="46">
        <f>IF(E5141="","",IF(C5141&gt;WeekEndDate,"",E5141))</f>
        <v/>
      </c>
    </row>
    <row r="5142">
      <c r="A5142" t="inlineStr">
        <is>
          <t>Contractors</t>
        </is>
      </c>
      <c r="B5142" s="46">
        <f>'Contractors'!AI106</f>
        <v/>
      </c>
      <c r="C5142" s="84">
        <f>'Contractors'!AG106</f>
        <v/>
      </c>
      <c r="D5142" s="46">
        <f>'Contractors'!AH106</f>
        <v/>
      </c>
      <c r="E5142" s="46">
        <f>IF(OR(B5142="",C5142="",D5142=""),"",D5142*100000+(C5142-DATE(2000,1,1))+ROW()/100000)</f>
        <v/>
      </c>
      <c r="F5142" s="46">
        <f>IF(E5142="","",IF(C5142&gt;WeekEndDate,"",E5142))</f>
        <v/>
      </c>
    </row>
    <row r="5143">
      <c r="A5143" t="inlineStr">
        <is>
          <t>Contractors</t>
        </is>
      </c>
      <c r="B5143" s="46">
        <f>'Contractors'!AI107</f>
        <v/>
      </c>
      <c r="C5143" s="84">
        <f>'Contractors'!AG107</f>
        <v/>
      </c>
      <c r="D5143" s="46">
        <f>'Contractors'!AH107</f>
        <v/>
      </c>
      <c r="E5143" s="46">
        <f>IF(OR(B5143="",C5143="",D5143=""),"",D5143*100000+(C5143-DATE(2000,1,1))+ROW()/100000)</f>
        <v/>
      </c>
      <c r="F5143" s="46">
        <f>IF(E5143="","",IF(C5143&gt;WeekEndDate,"",E5143))</f>
        <v/>
      </c>
    </row>
    <row r="5144">
      <c r="A5144" t="inlineStr">
        <is>
          <t>Contractors</t>
        </is>
      </c>
      <c r="B5144" s="46">
        <f>'Contractors'!AI108</f>
        <v/>
      </c>
      <c r="C5144" s="84">
        <f>'Contractors'!AG108</f>
        <v/>
      </c>
      <c r="D5144" s="46">
        <f>'Contractors'!AH108</f>
        <v/>
      </c>
      <c r="E5144" s="46">
        <f>IF(OR(B5144="",C5144="",D5144=""),"",D5144*100000+(C5144-DATE(2000,1,1))+ROW()/100000)</f>
        <v/>
      </c>
      <c r="F5144" s="46">
        <f>IF(E5144="","",IF(C5144&gt;WeekEndDate,"",E5144))</f>
        <v/>
      </c>
    </row>
    <row r="5145">
      <c r="A5145" t="inlineStr">
        <is>
          <t>Contractors</t>
        </is>
      </c>
      <c r="B5145" s="46">
        <f>'Contractors'!AI109</f>
        <v/>
      </c>
      <c r="C5145" s="84">
        <f>'Contractors'!AG109</f>
        <v/>
      </c>
      <c r="D5145" s="46">
        <f>'Contractors'!AH109</f>
        <v/>
      </c>
      <c r="E5145" s="46">
        <f>IF(OR(B5145="",C5145="",D5145=""),"",D5145*100000+(C5145-DATE(2000,1,1))+ROW()/100000)</f>
        <v/>
      </c>
      <c r="F5145" s="46">
        <f>IF(E5145="","",IF(C5145&gt;WeekEndDate,"",E5145))</f>
        <v/>
      </c>
    </row>
    <row r="5146">
      <c r="A5146" t="inlineStr">
        <is>
          <t>Contractors</t>
        </is>
      </c>
      <c r="B5146" s="46">
        <f>'Contractors'!AI110</f>
        <v/>
      </c>
      <c r="C5146" s="84">
        <f>'Contractors'!AG110</f>
        <v/>
      </c>
      <c r="D5146" s="46">
        <f>'Contractors'!AH110</f>
        <v/>
      </c>
      <c r="E5146" s="46">
        <f>IF(OR(B5146="",C5146="",D5146=""),"",D5146*100000+(C5146-DATE(2000,1,1))+ROW()/100000)</f>
        <v/>
      </c>
      <c r="F5146" s="46">
        <f>IF(E5146="","",IF(C5146&gt;WeekEndDate,"",E5146))</f>
        <v/>
      </c>
    </row>
    <row r="5147">
      <c r="A5147" t="inlineStr">
        <is>
          <t>Contractors</t>
        </is>
      </c>
      <c r="B5147" s="46">
        <f>'Contractors'!AI111</f>
        <v/>
      </c>
      <c r="C5147" s="84">
        <f>'Contractors'!AG111</f>
        <v/>
      </c>
      <c r="D5147" s="46">
        <f>'Contractors'!AH111</f>
        <v/>
      </c>
      <c r="E5147" s="46">
        <f>IF(OR(B5147="",C5147="",D5147=""),"",D5147*100000+(C5147-DATE(2000,1,1))+ROW()/100000)</f>
        <v/>
      </c>
      <c r="F5147" s="46">
        <f>IF(E5147="","",IF(C5147&gt;WeekEndDate,"",E5147))</f>
        <v/>
      </c>
    </row>
    <row r="5148">
      <c r="A5148" t="inlineStr">
        <is>
          <t>Contractors</t>
        </is>
      </c>
      <c r="B5148" s="46">
        <f>'Contractors'!AI112</f>
        <v/>
      </c>
      <c r="C5148" s="84">
        <f>'Contractors'!AG112</f>
        <v/>
      </c>
      <c r="D5148" s="46">
        <f>'Contractors'!AH112</f>
        <v/>
      </c>
      <c r="E5148" s="46">
        <f>IF(OR(B5148="",C5148="",D5148=""),"",D5148*100000+(C5148-DATE(2000,1,1))+ROW()/100000)</f>
        <v/>
      </c>
      <c r="F5148" s="46">
        <f>IF(E5148="","",IF(C5148&gt;WeekEndDate,"",E5148))</f>
        <v/>
      </c>
    </row>
    <row r="5149">
      <c r="A5149" t="inlineStr">
        <is>
          <t>Contractors</t>
        </is>
      </c>
      <c r="B5149" s="46">
        <f>'Contractors'!AI113</f>
        <v/>
      </c>
      <c r="C5149" s="84">
        <f>'Contractors'!AG113</f>
        <v/>
      </c>
      <c r="D5149" s="46">
        <f>'Contractors'!AH113</f>
        <v/>
      </c>
      <c r="E5149" s="46">
        <f>IF(OR(B5149="",C5149="",D5149=""),"",D5149*100000+(C5149-DATE(2000,1,1))+ROW()/100000)</f>
        <v/>
      </c>
      <c r="F5149" s="46">
        <f>IF(E5149="","",IF(C5149&gt;WeekEndDate,"",E5149))</f>
        <v/>
      </c>
    </row>
    <row r="5150">
      <c r="A5150" t="inlineStr">
        <is>
          <t>Contractors</t>
        </is>
      </c>
      <c r="B5150" s="46">
        <f>'Contractors'!AI114</f>
        <v/>
      </c>
      <c r="C5150" s="84">
        <f>'Contractors'!AG114</f>
        <v/>
      </c>
      <c r="D5150" s="46">
        <f>'Contractors'!AH114</f>
        <v/>
      </c>
      <c r="E5150" s="46">
        <f>IF(OR(B5150="",C5150="",D5150=""),"",D5150*100000+(C5150-DATE(2000,1,1))+ROW()/100000)</f>
        <v/>
      </c>
      <c r="F5150" s="46">
        <f>IF(E5150="","",IF(C5150&gt;WeekEndDate,"",E5150))</f>
        <v/>
      </c>
    </row>
    <row r="5151">
      <c r="A5151" t="inlineStr">
        <is>
          <t>Contractors</t>
        </is>
      </c>
      <c r="B5151" s="46">
        <f>'Contractors'!AI115</f>
        <v/>
      </c>
      <c r="C5151" s="84">
        <f>'Contractors'!AG115</f>
        <v/>
      </c>
      <c r="D5151" s="46">
        <f>'Contractors'!AH115</f>
        <v/>
      </c>
      <c r="E5151" s="46">
        <f>IF(OR(B5151="",C5151="",D5151=""),"",D5151*100000+(C5151-DATE(2000,1,1))+ROW()/100000)</f>
        <v/>
      </c>
      <c r="F5151" s="46">
        <f>IF(E5151="","",IF(C5151&gt;WeekEndDate,"",E5151))</f>
        <v/>
      </c>
    </row>
    <row r="5152">
      <c r="A5152" t="inlineStr">
        <is>
          <t>Contractors</t>
        </is>
      </c>
      <c r="B5152" s="46">
        <f>'Contractors'!AI116</f>
        <v/>
      </c>
      <c r="C5152" s="84">
        <f>'Contractors'!AG116</f>
        <v/>
      </c>
      <c r="D5152" s="46">
        <f>'Contractors'!AH116</f>
        <v/>
      </c>
      <c r="E5152" s="46">
        <f>IF(OR(B5152="",C5152="",D5152=""),"",D5152*100000+(C5152-DATE(2000,1,1))+ROW()/100000)</f>
        <v/>
      </c>
      <c r="F5152" s="46">
        <f>IF(E5152="","",IF(C5152&gt;WeekEndDate,"",E5152))</f>
        <v/>
      </c>
    </row>
    <row r="5153">
      <c r="A5153" t="inlineStr">
        <is>
          <t>Contractors</t>
        </is>
      </c>
      <c r="B5153" s="46">
        <f>'Contractors'!AI117</f>
        <v/>
      </c>
      <c r="C5153" s="84">
        <f>'Contractors'!AG117</f>
        <v/>
      </c>
      <c r="D5153" s="46">
        <f>'Contractors'!AH117</f>
        <v/>
      </c>
      <c r="E5153" s="46">
        <f>IF(OR(B5153="",C5153="",D5153=""),"",D5153*100000+(C5153-DATE(2000,1,1))+ROW()/100000)</f>
        <v/>
      </c>
      <c r="F5153" s="46">
        <f>IF(E5153="","",IF(C5153&gt;WeekEndDate,"",E5153))</f>
        <v/>
      </c>
    </row>
    <row r="5154">
      <c r="A5154" t="inlineStr">
        <is>
          <t>Contractors</t>
        </is>
      </c>
      <c r="B5154" s="46">
        <f>'Contractors'!AI118</f>
        <v/>
      </c>
      <c r="C5154" s="84">
        <f>'Contractors'!AG118</f>
        <v/>
      </c>
      <c r="D5154" s="46">
        <f>'Contractors'!AH118</f>
        <v/>
      </c>
      <c r="E5154" s="46">
        <f>IF(OR(B5154="",C5154="",D5154=""),"",D5154*100000+(C5154-DATE(2000,1,1))+ROW()/100000)</f>
        <v/>
      </c>
      <c r="F5154" s="46">
        <f>IF(E5154="","",IF(C5154&gt;WeekEndDate,"",E5154))</f>
        <v/>
      </c>
    </row>
    <row r="5155">
      <c r="A5155" t="inlineStr">
        <is>
          <t>Contractors</t>
        </is>
      </c>
      <c r="B5155" s="46">
        <f>'Contractors'!AI119</f>
        <v/>
      </c>
      <c r="C5155" s="84">
        <f>'Contractors'!AG119</f>
        <v/>
      </c>
      <c r="D5155" s="46">
        <f>'Contractors'!AH119</f>
        <v/>
      </c>
      <c r="E5155" s="46">
        <f>IF(OR(B5155="",C5155="",D5155=""),"",D5155*100000+(C5155-DATE(2000,1,1))+ROW()/100000)</f>
        <v/>
      </c>
      <c r="F5155" s="46">
        <f>IF(E5155="","",IF(C5155&gt;WeekEndDate,"",E5155))</f>
        <v/>
      </c>
    </row>
    <row r="5156">
      <c r="A5156" t="inlineStr">
        <is>
          <t>Contractors</t>
        </is>
      </c>
      <c r="B5156" s="46">
        <f>'Contractors'!AI120</f>
        <v/>
      </c>
      <c r="C5156" s="84">
        <f>'Contractors'!AG120</f>
        <v/>
      </c>
      <c r="D5156" s="46">
        <f>'Contractors'!AH120</f>
        <v/>
      </c>
      <c r="E5156" s="46">
        <f>IF(OR(B5156="",C5156="",D5156=""),"",D5156*100000+(C5156-DATE(2000,1,1))+ROW()/100000)</f>
        <v/>
      </c>
      <c r="F5156" s="46">
        <f>IF(E5156="","",IF(C5156&gt;WeekEndDate,"",E5156))</f>
        <v/>
      </c>
    </row>
    <row r="5157">
      <c r="A5157" t="inlineStr">
        <is>
          <t>Contractors</t>
        </is>
      </c>
      <c r="B5157" s="46">
        <f>'Contractors'!AI121</f>
        <v/>
      </c>
      <c r="C5157" s="84">
        <f>'Contractors'!AG121</f>
        <v/>
      </c>
      <c r="D5157" s="46">
        <f>'Contractors'!AH121</f>
        <v/>
      </c>
      <c r="E5157" s="46">
        <f>IF(OR(B5157="",C5157="",D5157=""),"",D5157*100000+(C5157-DATE(2000,1,1))+ROW()/100000)</f>
        <v/>
      </c>
      <c r="F5157" s="46">
        <f>IF(E5157="","",IF(C5157&gt;WeekEndDate,"",E5157))</f>
        <v/>
      </c>
    </row>
    <row r="5158">
      <c r="A5158" t="inlineStr">
        <is>
          <t>Contractors</t>
        </is>
      </c>
      <c r="B5158" s="46">
        <f>'Contractors'!AI122</f>
        <v/>
      </c>
      <c r="C5158" s="84">
        <f>'Contractors'!AG122</f>
        <v/>
      </c>
      <c r="D5158" s="46">
        <f>'Contractors'!AH122</f>
        <v/>
      </c>
      <c r="E5158" s="46">
        <f>IF(OR(B5158="",C5158="",D5158=""),"",D5158*100000+(C5158-DATE(2000,1,1))+ROW()/100000)</f>
        <v/>
      </c>
      <c r="F5158" s="46">
        <f>IF(E5158="","",IF(C5158&gt;WeekEndDate,"",E5158))</f>
        <v/>
      </c>
    </row>
    <row r="5159">
      <c r="A5159" t="inlineStr">
        <is>
          <t>Contractors</t>
        </is>
      </c>
      <c r="B5159" s="46">
        <f>'Contractors'!AI123</f>
        <v/>
      </c>
      <c r="C5159" s="84">
        <f>'Contractors'!AG123</f>
        <v/>
      </c>
      <c r="D5159" s="46">
        <f>'Contractors'!AH123</f>
        <v/>
      </c>
      <c r="E5159" s="46">
        <f>IF(OR(B5159="",C5159="",D5159=""),"",D5159*100000+(C5159-DATE(2000,1,1))+ROW()/100000)</f>
        <v/>
      </c>
      <c r="F5159" s="46">
        <f>IF(E5159="","",IF(C5159&gt;WeekEndDate,"",E5159))</f>
        <v/>
      </c>
    </row>
    <row r="5160">
      <c r="A5160" t="inlineStr">
        <is>
          <t>Contractors</t>
        </is>
      </c>
      <c r="B5160" s="46">
        <f>'Contractors'!AI124</f>
        <v/>
      </c>
      <c r="C5160" s="84">
        <f>'Contractors'!AG124</f>
        <v/>
      </c>
      <c r="D5160" s="46">
        <f>'Contractors'!AH124</f>
        <v/>
      </c>
      <c r="E5160" s="46">
        <f>IF(OR(B5160="",C5160="",D5160=""),"",D5160*100000+(C5160-DATE(2000,1,1))+ROW()/100000)</f>
        <v/>
      </c>
      <c r="F5160" s="46">
        <f>IF(E5160="","",IF(C5160&gt;WeekEndDate,"",E5160))</f>
        <v/>
      </c>
    </row>
    <row r="5161">
      <c r="A5161" t="inlineStr">
        <is>
          <t>Contractors</t>
        </is>
      </c>
      <c r="B5161" s="46">
        <f>'Contractors'!AI125</f>
        <v/>
      </c>
      <c r="C5161" s="84">
        <f>'Contractors'!AG125</f>
        <v/>
      </c>
      <c r="D5161" s="46">
        <f>'Contractors'!AH125</f>
        <v/>
      </c>
      <c r="E5161" s="46">
        <f>IF(OR(B5161="",C5161="",D5161=""),"",D5161*100000+(C5161-DATE(2000,1,1))+ROW()/100000)</f>
        <v/>
      </c>
      <c r="F5161" s="46">
        <f>IF(E5161="","",IF(C5161&gt;WeekEndDate,"",E5161))</f>
        <v/>
      </c>
    </row>
    <row r="5162">
      <c r="A5162" t="inlineStr">
        <is>
          <t>Contractors</t>
        </is>
      </c>
      <c r="B5162" s="46">
        <f>'Contractors'!AI126</f>
        <v/>
      </c>
      <c r="C5162" s="84">
        <f>'Contractors'!AG126</f>
        <v/>
      </c>
      <c r="D5162" s="46">
        <f>'Contractors'!AH126</f>
        <v/>
      </c>
      <c r="E5162" s="46">
        <f>IF(OR(B5162="",C5162="",D5162=""),"",D5162*100000+(C5162-DATE(2000,1,1))+ROW()/100000)</f>
        <v/>
      </c>
      <c r="F5162" s="46">
        <f>IF(E5162="","",IF(C5162&gt;WeekEndDate,"",E5162))</f>
        <v/>
      </c>
    </row>
    <row r="5163">
      <c r="A5163" t="inlineStr">
        <is>
          <t>Contractors</t>
        </is>
      </c>
      <c r="B5163" s="46">
        <f>'Contractors'!AI127</f>
        <v/>
      </c>
      <c r="C5163" s="84">
        <f>'Contractors'!AG127</f>
        <v/>
      </c>
      <c r="D5163" s="46">
        <f>'Contractors'!AH127</f>
        <v/>
      </c>
      <c r="E5163" s="46">
        <f>IF(OR(B5163="",C5163="",D5163=""),"",D5163*100000+(C5163-DATE(2000,1,1))+ROW()/100000)</f>
        <v/>
      </c>
      <c r="F5163" s="46">
        <f>IF(E5163="","",IF(C5163&gt;WeekEndDate,"",E5163))</f>
        <v/>
      </c>
    </row>
    <row r="5164">
      <c r="A5164" t="inlineStr">
        <is>
          <t>Contractors</t>
        </is>
      </c>
      <c r="B5164" s="46">
        <f>'Contractors'!AI128</f>
        <v/>
      </c>
      <c r="C5164" s="84">
        <f>'Contractors'!AG128</f>
        <v/>
      </c>
      <c r="D5164" s="46">
        <f>'Contractors'!AH128</f>
        <v/>
      </c>
      <c r="E5164" s="46">
        <f>IF(OR(B5164="",C5164="",D5164=""),"",D5164*100000+(C5164-DATE(2000,1,1))+ROW()/100000)</f>
        <v/>
      </c>
      <c r="F5164" s="46">
        <f>IF(E5164="","",IF(C5164&gt;WeekEndDate,"",E5164))</f>
        <v/>
      </c>
    </row>
    <row r="5165">
      <c r="A5165" t="inlineStr">
        <is>
          <t>Contractors</t>
        </is>
      </c>
      <c r="B5165" s="46">
        <f>'Contractors'!AI129</f>
        <v/>
      </c>
      <c r="C5165" s="84">
        <f>'Contractors'!AG129</f>
        <v/>
      </c>
      <c r="D5165" s="46">
        <f>'Contractors'!AH129</f>
        <v/>
      </c>
      <c r="E5165" s="46">
        <f>IF(OR(B5165="",C5165="",D5165=""),"",D5165*100000+(C5165-DATE(2000,1,1))+ROW()/100000)</f>
        <v/>
      </c>
      <c r="F5165" s="46">
        <f>IF(E5165="","",IF(C5165&gt;WeekEndDate,"",E5165))</f>
        <v/>
      </c>
    </row>
    <row r="5166">
      <c r="A5166" t="inlineStr">
        <is>
          <t>Contractors</t>
        </is>
      </c>
      <c r="B5166" s="46">
        <f>'Contractors'!AI130</f>
        <v/>
      </c>
      <c r="C5166" s="84">
        <f>'Contractors'!AG130</f>
        <v/>
      </c>
      <c r="D5166" s="46">
        <f>'Contractors'!AH130</f>
        <v/>
      </c>
      <c r="E5166" s="46">
        <f>IF(OR(B5166="",C5166="",D5166=""),"",D5166*100000+(C5166-DATE(2000,1,1))+ROW()/100000)</f>
        <v/>
      </c>
      <c r="F5166" s="46">
        <f>IF(E5166="","",IF(C5166&gt;WeekEndDate,"",E5166))</f>
        <v/>
      </c>
    </row>
    <row r="5167">
      <c r="A5167" t="inlineStr">
        <is>
          <t>Contractors</t>
        </is>
      </c>
      <c r="B5167" s="46">
        <f>'Contractors'!AI131</f>
        <v/>
      </c>
      <c r="C5167" s="84">
        <f>'Contractors'!AG131</f>
        <v/>
      </c>
      <c r="D5167" s="46">
        <f>'Contractors'!AH131</f>
        <v/>
      </c>
      <c r="E5167" s="46">
        <f>IF(OR(B5167="",C5167="",D5167=""),"",D5167*100000+(C5167-DATE(2000,1,1))+ROW()/100000)</f>
        <v/>
      </c>
      <c r="F5167" s="46">
        <f>IF(E5167="","",IF(C5167&gt;WeekEndDate,"",E5167))</f>
        <v/>
      </c>
    </row>
    <row r="5168">
      <c r="A5168" t="inlineStr">
        <is>
          <t>Contractors</t>
        </is>
      </c>
      <c r="B5168" s="46">
        <f>'Contractors'!AI132</f>
        <v/>
      </c>
      <c r="C5168" s="84">
        <f>'Contractors'!AG132</f>
        <v/>
      </c>
      <c r="D5168" s="46">
        <f>'Contractors'!AH132</f>
        <v/>
      </c>
      <c r="E5168" s="46">
        <f>IF(OR(B5168="",C5168="",D5168=""),"",D5168*100000+(C5168-DATE(2000,1,1))+ROW()/100000)</f>
        <v/>
      </c>
      <c r="F5168" s="46">
        <f>IF(E5168="","",IF(C5168&gt;WeekEndDate,"",E5168))</f>
        <v/>
      </c>
    </row>
    <row r="5169">
      <c r="A5169" t="inlineStr">
        <is>
          <t>Contractors</t>
        </is>
      </c>
      <c r="B5169" s="46">
        <f>'Contractors'!AI133</f>
        <v/>
      </c>
      <c r="C5169" s="84">
        <f>'Contractors'!AG133</f>
        <v/>
      </c>
      <c r="D5169" s="46">
        <f>'Contractors'!AH133</f>
        <v/>
      </c>
      <c r="E5169" s="46">
        <f>IF(OR(B5169="",C5169="",D5169=""),"",D5169*100000+(C5169-DATE(2000,1,1))+ROW()/100000)</f>
        <v/>
      </c>
      <c r="F5169" s="46">
        <f>IF(E5169="","",IF(C5169&gt;WeekEndDate,"",E5169))</f>
        <v/>
      </c>
    </row>
    <row r="5170">
      <c r="A5170" t="inlineStr">
        <is>
          <t>Contractors</t>
        </is>
      </c>
      <c r="B5170" s="46">
        <f>'Contractors'!AI134</f>
        <v/>
      </c>
      <c r="C5170" s="84">
        <f>'Contractors'!AG134</f>
        <v/>
      </c>
      <c r="D5170" s="46">
        <f>'Contractors'!AH134</f>
        <v/>
      </c>
      <c r="E5170" s="46">
        <f>IF(OR(B5170="",C5170="",D5170=""),"",D5170*100000+(C5170-DATE(2000,1,1))+ROW()/100000)</f>
        <v/>
      </c>
      <c r="F5170" s="46">
        <f>IF(E5170="","",IF(C5170&gt;WeekEndDate,"",E5170))</f>
        <v/>
      </c>
    </row>
    <row r="5171">
      <c r="A5171" t="inlineStr">
        <is>
          <t>Contractors</t>
        </is>
      </c>
      <c r="B5171" s="46">
        <f>'Contractors'!AI135</f>
        <v/>
      </c>
      <c r="C5171" s="84">
        <f>'Contractors'!AG135</f>
        <v/>
      </c>
      <c r="D5171" s="46">
        <f>'Contractors'!AH135</f>
        <v/>
      </c>
      <c r="E5171" s="46">
        <f>IF(OR(B5171="",C5171="",D5171=""),"",D5171*100000+(C5171-DATE(2000,1,1))+ROW()/100000)</f>
        <v/>
      </c>
      <c r="F5171" s="46">
        <f>IF(E5171="","",IF(C5171&gt;WeekEndDate,"",E5171))</f>
        <v/>
      </c>
    </row>
    <row r="5172">
      <c r="A5172" t="inlineStr">
        <is>
          <t>Contractors</t>
        </is>
      </c>
      <c r="B5172" s="46">
        <f>'Contractors'!AI136</f>
        <v/>
      </c>
      <c r="C5172" s="84">
        <f>'Contractors'!AG136</f>
        <v/>
      </c>
      <c r="D5172" s="46">
        <f>'Contractors'!AH136</f>
        <v/>
      </c>
      <c r="E5172" s="46">
        <f>IF(OR(B5172="",C5172="",D5172=""),"",D5172*100000+(C5172-DATE(2000,1,1))+ROW()/100000)</f>
        <v/>
      </c>
      <c r="F5172" s="46">
        <f>IF(E5172="","",IF(C5172&gt;WeekEndDate,"",E5172))</f>
        <v/>
      </c>
    </row>
    <row r="5173">
      <c r="A5173" t="inlineStr">
        <is>
          <t>Contractors</t>
        </is>
      </c>
      <c r="B5173" s="46">
        <f>'Contractors'!AI137</f>
        <v/>
      </c>
      <c r="C5173" s="84">
        <f>'Contractors'!AG137</f>
        <v/>
      </c>
      <c r="D5173" s="46">
        <f>'Contractors'!AH137</f>
        <v/>
      </c>
      <c r="E5173" s="46">
        <f>IF(OR(B5173="",C5173="",D5173=""),"",D5173*100000+(C5173-DATE(2000,1,1))+ROW()/100000)</f>
        <v/>
      </c>
      <c r="F5173" s="46">
        <f>IF(E5173="","",IF(C5173&gt;WeekEndDate,"",E5173))</f>
        <v/>
      </c>
    </row>
    <row r="5174">
      <c r="A5174" t="inlineStr">
        <is>
          <t>Contractors</t>
        </is>
      </c>
      <c r="B5174" s="46">
        <f>'Contractors'!AI138</f>
        <v/>
      </c>
      <c r="C5174" s="84">
        <f>'Contractors'!AG138</f>
        <v/>
      </c>
      <c r="D5174" s="46">
        <f>'Contractors'!AH138</f>
        <v/>
      </c>
      <c r="E5174" s="46">
        <f>IF(OR(B5174="",C5174="",D5174=""),"",D5174*100000+(C5174-DATE(2000,1,1))+ROW()/100000)</f>
        <v/>
      </c>
      <c r="F5174" s="46">
        <f>IF(E5174="","",IF(C5174&gt;WeekEndDate,"",E5174))</f>
        <v/>
      </c>
    </row>
    <row r="5175">
      <c r="A5175" t="inlineStr">
        <is>
          <t>Contractors</t>
        </is>
      </c>
      <c r="B5175" s="46">
        <f>'Contractors'!AI139</f>
        <v/>
      </c>
      <c r="C5175" s="84">
        <f>'Contractors'!AG139</f>
        <v/>
      </c>
      <c r="D5175" s="46">
        <f>'Contractors'!AH139</f>
        <v/>
      </c>
      <c r="E5175" s="46">
        <f>IF(OR(B5175="",C5175="",D5175=""),"",D5175*100000+(C5175-DATE(2000,1,1))+ROW()/100000)</f>
        <v/>
      </c>
      <c r="F5175" s="46">
        <f>IF(E5175="","",IF(C5175&gt;WeekEndDate,"",E5175))</f>
        <v/>
      </c>
    </row>
    <row r="5176">
      <c r="A5176" t="inlineStr">
        <is>
          <t>Contractors</t>
        </is>
      </c>
      <c r="B5176" s="46">
        <f>'Contractors'!AI140</f>
        <v/>
      </c>
      <c r="C5176" s="84">
        <f>'Contractors'!AG140</f>
        <v/>
      </c>
      <c r="D5176" s="46">
        <f>'Contractors'!AH140</f>
        <v/>
      </c>
      <c r="E5176" s="46">
        <f>IF(OR(B5176="",C5176="",D5176=""),"",D5176*100000+(C5176-DATE(2000,1,1))+ROW()/100000)</f>
        <v/>
      </c>
      <c r="F5176" s="46">
        <f>IF(E5176="","",IF(C5176&gt;WeekEndDate,"",E5176))</f>
        <v/>
      </c>
    </row>
    <row r="5177">
      <c r="A5177" t="inlineStr">
        <is>
          <t>Contractors</t>
        </is>
      </c>
      <c r="B5177" s="46">
        <f>'Contractors'!AI141</f>
        <v/>
      </c>
      <c r="C5177" s="84">
        <f>'Contractors'!AG141</f>
        <v/>
      </c>
      <c r="D5177" s="46">
        <f>'Contractors'!AH141</f>
        <v/>
      </c>
      <c r="E5177" s="46">
        <f>IF(OR(B5177="",C5177="",D5177=""),"",D5177*100000+(C5177-DATE(2000,1,1))+ROW()/100000)</f>
        <v/>
      </c>
      <c r="F5177" s="46">
        <f>IF(E5177="","",IF(C5177&gt;WeekEndDate,"",E5177))</f>
        <v/>
      </c>
    </row>
    <row r="5178">
      <c r="A5178" t="inlineStr">
        <is>
          <t>Contractors</t>
        </is>
      </c>
      <c r="B5178" s="46">
        <f>'Contractors'!AI142</f>
        <v/>
      </c>
      <c r="C5178" s="84">
        <f>'Contractors'!AG142</f>
        <v/>
      </c>
      <c r="D5178" s="46">
        <f>'Contractors'!AH142</f>
        <v/>
      </c>
      <c r="E5178" s="46">
        <f>IF(OR(B5178="",C5178="",D5178=""),"",D5178*100000+(C5178-DATE(2000,1,1))+ROW()/100000)</f>
        <v/>
      </c>
      <c r="F5178" s="46">
        <f>IF(E5178="","",IF(C5178&gt;WeekEndDate,"",E5178))</f>
        <v/>
      </c>
    </row>
    <row r="5179">
      <c r="A5179" t="inlineStr">
        <is>
          <t>Contractors</t>
        </is>
      </c>
      <c r="B5179" s="46">
        <f>'Contractors'!AI143</f>
        <v/>
      </c>
      <c r="C5179" s="84">
        <f>'Contractors'!AG143</f>
        <v/>
      </c>
      <c r="D5179" s="46">
        <f>'Contractors'!AH143</f>
        <v/>
      </c>
      <c r="E5179" s="46">
        <f>IF(OR(B5179="",C5179="",D5179=""),"",D5179*100000+(C5179-DATE(2000,1,1))+ROW()/100000)</f>
        <v/>
      </c>
      <c r="F5179" s="46">
        <f>IF(E5179="","",IF(C5179&gt;WeekEndDate,"",E5179))</f>
        <v/>
      </c>
    </row>
    <row r="5180">
      <c r="A5180" t="inlineStr">
        <is>
          <t>Contractors</t>
        </is>
      </c>
      <c r="B5180" s="46">
        <f>'Contractors'!AI144</f>
        <v/>
      </c>
      <c r="C5180" s="84">
        <f>'Contractors'!AG144</f>
        <v/>
      </c>
      <c r="D5180" s="46">
        <f>'Contractors'!AH144</f>
        <v/>
      </c>
      <c r="E5180" s="46">
        <f>IF(OR(B5180="",C5180="",D5180=""),"",D5180*100000+(C5180-DATE(2000,1,1))+ROW()/100000)</f>
        <v/>
      </c>
      <c r="F5180" s="46">
        <f>IF(E5180="","",IF(C5180&gt;WeekEndDate,"",E5180))</f>
        <v/>
      </c>
    </row>
    <row r="5181">
      <c r="A5181" t="inlineStr">
        <is>
          <t>Contractors</t>
        </is>
      </c>
      <c r="B5181" s="46">
        <f>'Contractors'!AI145</f>
        <v/>
      </c>
      <c r="C5181" s="84">
        <f>'Contractors'!AG145</f>
        <v/>
      </c>
      <c r="D5181" s="46">
        <f>'Contractors'!AH145</f>
        <v/>
      </c>
      <c r="E5181" s="46">
        <f>IF(OR(B5181="",C5181="",D5181=""),"",D5181*100000+(C5181-DATE(2000,1,1))+ROW()/100000)</f>
        <v/>
      </c>
      <c r="F5181" s="46">
        <f>IF(E5181="","",IF(C5181&gt;WeekEndDate,"",E5181))</f>
        <v/>
      </c>
    </row>
    <row r="5182">
      <c r="A5182" t="inlineStr">
        <is>
          <t>Contractors</t>
        </is>
      </c>
      <c r="B5182" s="46">
        <f>'Contractors'!AI146</f>
        <v/>
      </c>
      <c r="C5182" s="84">
        <f>'Contractors'!AG146</f>
        <v/>
      </c>
      <c r="D5182" s="46">
        <f>'Contractors'!AH146</f>
        <v/>
      </c>
      <c r="E5182" s="46">
        <f>IF(OR(B5182="",C5182="",D5182=""),"",D5182*100000+(C5182-DATE(2000,1,1))+ROW()/100000)</f>
        <v/>
      </c>
      <c r="F5182" s="46">
        <f>IF(E5182="","",IF(C5182&gt;WeekEndDate,"",E5182))</f>
        <v/>
      </c>
    </row>
    <row r="5183">
      <c r="A5183" t="inlineStr">
        <is>
          <t>Contractors</t>
        </is>
      </c>
      <c r="B5183" s="46">
        <f>'Contractors'!AI147</f>
        <v/>
      </c>
      <c r="C5183" s="84">
        <f>'Contractors'!AG147</f>
        <v/>
      </c>
      <c r="D5183" s="46">
        <f>'Contractors'!AH147</f>
        <v/>
      </c>
      <c r="E5183" s="46">
        <f>IF(OR(B5183="",C5183="",D5183=""),"",D5183*100000+(C5183-DATE(2000,1,1))+ROW()/100000)</f>
        <v/>
      </c>
      <c r="F5183" s="46">
        <f>IF(E5183="","",IF(C5183&gt;WeekEndDate,"",E5183))</f>
        <v/>
      </c>
    </row>
    <row r="5184">
      <c r="A5184" t="inlineStr">
        <is>
          <t>Contractors</t>
        </is>
      </c>
      <c r="B5184" s="46">
        <f>'Contractors'!AI148</f>
        <v/>
      </c>
      <c r="C5184" s="84">
        <f>'Contractors'!AG148</f>
        <v/>
      </c>
      <c r="D5184" s="46">
        <f>'Contractors'!AH148</f>
        <v/>
      </c>
      <c r="E5184" s="46">
        <f>IF(OR(B5184="",C5184="",D5184=""),"",D5184*100000+(C5184-DATE(2000,1,1))+ROW()/100000)</f>
        <v/>
      </c>
      <c r="F5184" s="46">
        <f>IF(E5184="","",IF(C5184&gt;WeekEndDate,"",E5184))</f>
        <v/>
      </c>
    </row>
    <row r="5185">
      <c r="A5185" t="inlineStr">
        <is>
          <t>Contractors</t>
        </is>
      </c>
      <c r="B5185" s="46">
        <f>'Contractors'!AI149</f>
        <v/>
      </c>
      <c r="C5185" s="84">
        <f>'Contractors'!AG149</f>
        <v/>
      </c>
      <c r="D5185" s="46">
        <f>'Contractors'!AH149</f>
        <v/>
      </c>
      <c r="E5185" s="46">
        <f>IF(OR(B5185="",C5185="",D5185=""),"",D5185*100000+(C5185-DATE(2000,1,1))+ROW()/100000)</f>
        <v/>
      </c>
      <c r="F5185" s="46">
        <f>IF(E5185="","",IF(C5185&gt;WeekEndDate,"",E5185))</f>
        <v/>
      </c>
    </row>
    <row r="5186">
      <c r="A5186" t="inlineStr">
        <is>
          <t>Contractors</t>
        </is>
      </c>
      <c r="B5186" s="46">
        <f>'Contractors'!AI150</f>
        <v/>
      </c>
      <c r="C5186" s="84">
        <f>'Contractors'!AG150</f>
        <v/>
      </c>
      <c r="D5186" s="46">
        <f>'Contractors'!AH150</f>
        <v/>
      </c>
      <c r="E5186" s="46">
        <f>IF(OR(B5186="",C5186="",D5186=""),"",D5186*100000+(C5186-DATE(2000,1,1))+ROW()/100000)</f>
        <v/>
      </c>
      <c r="F5186" s="46">
        <f>IF(E5186="","",IF(C5186&gt;WeekEndDate,"",E5186))</f>
        <v/>
      </c>
    </row>
    <row r="5187">
      <c r="A5187" t="inlineStr">
        <is>
          <t>Contractors</t>
        </is>
      </c>
      <c r="B5187" s="46">
        <f>'Contractors'!AI151</f>
        <v/>
      </c>
      <c r="C5187" s="84">
        <f>'Contractors'!AG151</f>
        <v/>
      </c>
      <c r="D5187" s="46">
        <f>'Contractors'!AH151</f>
        <v/>
      </c>
      <c r="E5187" s="46">
        <f>IF(OR(B5187="",C5187="",D5187=""),"",D5187*100000+(C5187-DATE(2000,1,1))+ROW()/100000)</f>
        <v/>
      </c>
      <c r="F5187" s="46">
        <f>IF(E5187="","",IF(C5187&gt;WeekEndDate,"",E5187))</f>
        <v/>
      </c>
    </row>
    <row r="5188">
      <c r="A5188" t="inlineStr">
        <is>
          <t>Contractors</t>
        </is>
      </c>
      <c r="B5188" s="46">
        <f>'Contractors'!AI152</f>
        <v/>
      </c>
      <c r="C5188" s="84">
        <f>'Contractors'!AG152</f>
        <v/>
      </c>
      <c r="D5188" s="46">
        <f>'Contractors'!AH152</f>
        <v/>
      </c>
      <c r="E5188" s="46">
        <f>IF(OR(B5188="",C5188="",D5188=""),"",D5188*100000+(C5188-DATE(2000,1,1))+ROW()/100000)</f>
        <v/>
      </c>
      <c r="F5188" s="46">
        <f>IF(E5188="","",IF(C5188&gt;WeekEndDate,"",E5188))</f>
        <v/>
      </c>
    </row>
    <row r="5189">
      <c r="A5189" t="inlineStr">
        <is>
          <t>Contractors</t>
        </is>
      </c>
      <c r="B5189" s="46">
        <f>'Contractors'!AI153</f>
        <v/>
      </c>
      <c r="C5189" s="84">
        <f>'Contractors'!AG153</f>
        <v/>
      </c>
      <c r="D5189" s="46">
        <f>'Contractors'!AH153</f>
        <v/>
      </c>
      <c r="E5189" s="46">
        <f>IF(OR(B5189="",C5189="",D5189=""),"",D5189*100000+(C5189-DATE(2000,1,1))+ROW()/100000)</f>
        <v/>
      </c>
      <c r="F5189" s="46">
        <f>IF(E5189="","",IF(C5189&gt;WeekEndDate,"",E5189))</f>
        <v/>
      </c>
    </row>
    <row r="5190">
      <c r="A5190" t="inlineStr">
        <is>
          <t>Contractors</t>
        </is>
      </c>
      <c r="B5190" s="46">
        <f>'Contractors'!AI154</f>
        <v/>
      </c>
      <c r="C5190" s="84">
        <f>'Contractors'!AG154</f>
        <v/>
      </c>
      <c r="D5190" s="46">
        <f>'Contractors'!AH154</f>
        <v/>
      </c>
      <c r="E5190" s="46">
        <f>IF(OR(B5190="",C5190="",D5190=""),"",D5190*100000+(C5190-DATE(2000,1,1))+ROW()/100000)</f>
        <v/>
      </c>
      <c r="F5190" s="46">
        <f>IF(E5190="","",IF(C5190&gt;WeekEndDate,"",E5190))</f>
        <v/>
      </c>
    </row>
    <row r="5191">
      <c r="A5191" t="inlineStr">
        <is>
          <t>Contractors</t>
        </is>
      </c>
      <c r="B5191" s="46">
        <f>'Contractors'!AI155</f>
        <v/>
      </c>
      <c r="C5191" s="84">
        <f>'Contractors'!AG155</f>
        <v/>
      </c>
      <c r="D5191" s="46">
        <f>'Contractors'!AH155</f>
        <v/>
      </c>
      <c r="E5191" s="46">
        <f>IF(OR(B5191="",C5191="",D5191=""),"",D5191*100000+(C5191-DATE(2000,1,1))+ROW()/100000)</f>
        <v/>
      </c>
      <c r="F5191" s="46">
        <f>IF(E5191="","",IF(C5191&gt;WeekEndDate,"",E5191))</f>
        <v/>
      </c>
    </row>
    <row r="5192">
      <c r="A5192" t="inlineStr">
        <is>
          <t>Contractors</t>
        </is>
      </c>
      <c r="B5192" s="46">
        <f>'Contractors'!AI156</f>
        <v/>
      </c>
      <c r="C5192" s="84">
        <f>'Contractors'!AG156</f>
        <v/>
      </c>
      <c r="D5192" s="46">
        <f>'Contractors'!AH156</f>
        <v/>
      </c>
      <c r="E5192" s="46">
        <f>IF(OR(B5192="",C5192="",D5192=""),"",D5192*100000+(C5192-DATE(2000,1,1))+ROW()/100000)</f>
        <v/>
      </c>
      <c r="F5192" s="46">
        <f>IF(E5192="","",IF(C5192&gt;WeekEndDate,"",E5192))</f>
        <v/>
      </c>
    </row>
    <row r="5193">
      <c r="A5193" t="inlineStr">
        <is>
          <t>Contractors</t>
        </is>
      </c>
      <c r="B5193" s="46">
        <f>'Contractors'!AI157</f>
        <v/>
      </c>
      <c r="C5193" s="84">
        <f>'Contractors'!AG157</f>
        <v/>
      </c>
      <c r="D5193" s="46">
        <f>'Contractors'!AH157</f>
        <v/>
      </c>
      <c r="E5193" s="46">
        <f>IF(OR(B5193="",C5193="",D5193=""),"",D5193*100000+(C5193-DATE(2000,1,1))+ROW()/100000)</f>
        <v/>
      </c>
      <c r="F5193" s="46">
        <f>IF(E5193="","",IF(C5193&gt;WeekEndDate,"",E5193))</f>
        <v/>
      </c>
    </row>
    <row r="5194">
      <c r="A5194" t="inlineStr">
        <is>
          <t>Contractors</t>
        </is>
      </c>
      <c r="B5194" s="46">
        <f>'Contractors'!AI158</f>
        <v/>
      </c>
      <c r="C5194" s="84">
        <f>'Contractors'!AG158</f>
        <v/>
      </c>
      <c r="D5194" s="46">
        <f>'Contractors'!AH158</f>
        <v/>
      </c>
      <c r="E5194" s="46">
        <f>IF(OR(B5194="",C5194="",D5194=""),"",D5194*100000+(C5194-DATE(2000,1,1))+ROW()/100000)</f>
        <v/>
      </c>
      <c r="F5194" s="46">
        <f>IF(E5194="","",IF(C5194&gt;WeekEndDate,"",E5194))</f>
        <v/>
      </c>
    </row>
    <row r="5195">
      <c r="A5195" t="inlineStr">
        <is>
          <t>Contractors</t>
        </is>
      </c>
      <c r="B5195" s="46">
        <f>'Contractors'!AI159</f>
        <v/>
      </c>
      <c r="C5195" s="84">
        <f>'Contractors'!AG159</f>
        <v/>
      </c>
      <c r="D5195" s="46">
        <f>'Contractors'!AH159</f>
        <v/>
      </c>
      <c r="E5195" s="46">
        <f>IF(OR(B5195="",C5195="",D5195=""),"",D5195*100000+(C5195-DATE(2000,1,1))+ROW()/100000)</f>
        <v/>
      </c>
      <c r="F5195" s="46">
        <f>IF(E5195="","",IF(C5195&gt;WeekEndDate,"",E5195))</f>
        <v/>
      </c>
    </row>
    <row r="5196">
      <c r="A5196" t="inlineStr">
        <is>
          <t>Contractors</t>
        </is>
      </c>
      <c r="B5196" s="46">
        <f>'Contractors'!AI160</f>
        <v/>
      </c>
      <c r="C5196" s="84">
        <f>'Contractors'!AG160</f>
        <v/>
      </c>
      <c r="D5196" s="46">
        <f>'Contractors'!AH160</f>
        <v/>
      </c>
      <c r="E5196" s="46">
        <f>IF(OR(B5196="",C5196="",D5196=""),"",D5196*100000+(C5196-DATE(2000,1,1))+ROW()/100000)</f>
        <v/>
      </c>
      <c r="F5196" s="46">
        <f>IF(E5196="","",IF(C5196&gt;WeekEndDate,"",E5196))</f>
        <v/>
      </c>
    </row>
    <row r="5197">
      <c r="A5197" t="inlineStr">
        <is>
          <t>Contractors</t>
        </is>
      </c>
      <c r="B5197" s="46">
        <f>'Contractors'!AI161</f>
        <v/>
      </c>
      <c r="C5197" s="84">
        <f>'Contractors'!AG161</f>
        <v/>
      </c>
      <c r="D5197" s="46">
        <f>'Contractors'!AH161</f>
        <v/>
      </c>
      <c r="E5197" s="46">
        <f>IF(OR(B5197="",C5197="",D5197=""),"",D5197*100000+(C5197-DATE(2000,1,1))+ROW()/100000)</f>
        <v/>
      </c>
      <c r="F5197" s="46">
        <f>IF(E5197="","",IF(C5197&gt;WeekEndDate,"",E5197))</f>
        <v/>
      </c>
    </row>
    <row r="5198">
      <c r="A5198" t="inlineStr">
        <is>
          <t>Contractors</t>
        </is>
      </c>
      <c r="B5198" s="46">
        <f>'Contractors'!AI162</f>
        <v/>
      </c>
      <c r="C5198" s="84">
        <f>'Contractors'!AG162</f>
        <v/>
      </c>
      <c r="D5198" s="46">
        <f>'Contractors'!AH162</f>
        <v/>
      </c>
      <c r="E5198" s="46">
        <f>IF(OR(B5198="",C5198="",D5198=""),"",D5198*100000+(C5198-DATE(2000,1,1))+ROW()/100000)</f>
        <v/>
      </c>
      <c r="F5198" s="46">
        <f>IF(E5198="","",IF(C5198&gt;WeekEndDate,"",E5198))</f>
        <v/>
      </c>
    </row>
    <row r="5199">
      <c r="A5199" t="inlineStr">
        <is>
          <t>Contractors</t>
        </is>
      </c>
      <c r="B5199" s="46">
        <f>'Contractors'!AI163</f>
        <v/>
      </c>
      <c r="C5199" s="84">
        <f>'Contractors'!AG163</f>
        <v/>
      </c>
      <c r="D5199" s="46">
        <f>'Contractors'!AH163</f>
        <v/>
      </c>
      <c r="E5199" s="46">
        <f>IF(OR(B5199="",C5199="",D5199=""),"",D5199*100000+(C5199-DATE(2000,1,1))+ROW()/100000)</f>
        <v/>
      </c>
      <c r="F5199" s="46">
        <f>IF(E5199="","",IF(C5199&gt;WeekEndDate,"",E5199))</f>
        <v/>
      </c>
    </row>
    <row r="5200">
      <c r="A5200" t="inlineStr">
        <is>
          <t>Contractors</t>
        </is>
      </c>
      <c r="B5200" s="46">
        <f>'Contractors'!AI164</f>
        <v/>
      </c>
      <c r="C5200" s="84">
        <f>'Contractors'!AG164</f>
        <v/>
      </c>
      <c r="D5200" s="46">
        <f>'Contractors'!AH164</f>
        <v/>
      </c>
      <c r="E5200" s="46">
        <f>IF(OR(B5200="",C5200="",D5200=""),"",D5200*100000+(C5200-DATE(2000,1,1))+ROW()/100000)</f>
        <v/>
      </c>
      <c r="F5200" s="46">
        <f>IF(E5200="","",IF(C5200&gt;WeekEndDate,"",E5200))</f>
        <v/>
      </c>
    </row>
    <row r="5201">
      <c r="A5201" t="inlineStr">
        <is>
          <t>Contractors</t>
        </is>
      </c>
      <c r="B5201" s="46">
        <f>'Contractors'!AI165</f>
        <v/>
      </c>
      <c r="C5201" s="84">
        <f>'Contractors'!AG165</f>
        <v/>
      </c>
      <c r="D5201" s="46">
        <f>'Contractors'!AH165</f>
        <v/>
      </c>
      <c r="E5201" s="46">
        <f>IF(OR(B5201="",C5201="",D5201=""),"",D5201*100000+(C5201-DATE(2000,1,1))+ROW()/100000)</f>
        <v/>
      </c>
      <c r="F5201" s="46">
        <f>IF(E5201="","",IF(C5201&gt;WeekEndDate,"",E5201))</f>
        <v/>
      </c>
    </row>
    <row r="5202">
      <c r="A5202" t="inlineStr">
        <is>
          <t>Contractors</t>
        </is>
      </c>
      <c r="B5202" s="46">
        <f>'Contractors'!AI166</f>
        <v/>
      </c>
      <c r="C5202" s="84">
        <f>'Contractors'!AG166</f>
        <v/>
      </c>
      <c r="D5202" s="46">
        <f>'Contractors'!AH166</f>
        <v/>
      </c>
      <c r="E5202" s="46">
        <f>IF(OR(B5202="",C5202="",D5202=""),"",D5202*100000+(C5202-DATE(2000,1,1))+ROW()/100000)</f>
        <v/>
      </c>
      <c r="F5202" s="46">
        <f>IF(E5202="","",IF(C5202&gt;WeekEndDate,"",E5202))</f>
        <v/>
      </c>
    </row>
    <row r="5203">
      <c r="A5203" t="inlineStr">
        <is>
          <t>Contractors</t>
        </is>
      </c>
      <c r="B5203" s="46">
        <f>'Contractors'!AI167</f>
        <v/>
      </c>
      <c r="C5203" s="84">
        <f>'Contractors'!AG167</f>
        <v/>
      </c>
      <c r="D5203" s="46">
        <f>'Contractors'!AH167</f>
        <v/>
      </c>
      <c r="E5203" s="46">
        <f>IF(OR(B5203="",C5203="",D5203=""),"",D5203*100000+(C5203-DATE(2000,1,1))+ROW()/100000)</f>
        <v/>
      </c>
      <c r="F5203" s="46">
        <f>IF(E5203="","",IF(C5203&gt;WeekEndDate,"",E5203))</f>
        <v/>
      </c>
    </row>
    <row r="5204">
      <c r="A5204" t="inlineStr">
        <is>
          <t>Contractors</t>
        </is>
      </c>
      <c r="B5204" s="46">
        <f>'Contractors'!AI168</f>
        <v/>
      </c>
      <c r="C5204" s="84">
        <f>'Contractors'!AG168</f>
        <v/>
      </c>
      <c r="D5204" s="46">
        <f>'Contractors'!AH168</f>
        <v/>
      </c>
      <c r="E5204" s="46">
        <f>IF(OR(B5204="",C5204="",D5204=""),"",D5204*100000+(C5204-DATE(2000,1,1))+ROW()/100000)</f>
        <v/>
      </c>
      <c r="F5204" s="46">
        <f>IF(E5204="","",IF(C5204&gt;WeekEndDate,"",E5204))</f>
        <v/>
      </c>
    </row>
    <row r="5205">
      <c r="A5205" t="inlineStr">
        <is>
          <t>Contractors</t>
        </is>
      </c>
      <c r="B5205" s="46">
        <f>'Contractors'!AI169</f>
        <v/>
      </c>
      <c r="C5205" s="84">
        <f>'Contractors'!AG169</f>
        <v/>
      </c>
      <c r="D5205" s="46">
        <f>'Contractors'!AH169</f>
        <v/>
      </c>
      <c r="E5205" s="46">
        <f>IF(OR(B5205="",C5205="",D5205=""),"",D5205*100000+(C5205-DATE(2000,1,1))+ROW()/100000)</f>
        <v/>
      </c>
      <c r="F5205" s="46">
        <f>IF(E5205="","",IF(C5205&gt;WeekEndDate,"",E5205))</f>
        <v/>
      </c>
    </row>
    <row r="5206">
      <c r="A5206" t="inlineStr">
        <is>
          <t>Contractors</t>
        </is>
      </c>
      <c r="B5206" s="46">
        <f>'Contractors'!AI170</f>
        <v/>
      </c>
      <c r="C5206" s="84">
        <f>'Contractors'!AG170</f>
        <v/>
      </c>
      <c r="D5206" s="46">
        <f>'Contractors'!AH170</f>
        <v/>
      </c>
      <c r="E5206" s="46">
        <f>IF(OR(B5206="",C5206="",D5206=""),"",D5206*100000+(C5206-DATE(2000,1,1))+ROW()/100000)</f>
        <v/>
      </c>
      <c r="F5206" s="46">
        <f>IF(E5206="","",IF(C5206&gt;WeekEndDate,"",E5206))</f>
        <v/>
      </c>
    </row>
    <row r="5207">
      <c r="A5207" t="inlineStr">
        <is>
          <t>Contractors</t>
        </is>
      </c>
      <c r="B5207" s="46">
        <f>'Contractors'!AI171</f>
        <v/>
      </c>
      <c r="C5207" s="84">
        <f>'Contractors'!AG171</f>
        <v/>
      </c>
      <c r="D5207" s="46">
        <f>'Contractors'!AH171</f>
        <v/>
      </c>
      <c r="E5207" s="46">
        <f>IF(OR(B5207="",C5207="",D5207=""),"",D5207*100000+(C5207-DATE(2000,1,1))+ROW()/100000)</f>
        <v/>
      </c>
      <c r="F5207" s="46">
        <f>IF(E5207="","",IF(C5207&gt;WeekEndDate,"",E5207))</f>
        <v/>
      </c>
    </row>
    <row r="5208">
      <c r="A5208" t="inlineStr">
        <is>
          <t>Contractors</t>
        </is>
      </c>
      <c r="B5208" s="46">
        <f>'Contractors'!AI172</f>
        <v/>
      </c>
      <c r="C5208" s="84">
        <f>'Contractors'!AG172</f>
        <v/>
      </c>
      <c r="D5208" s="46">
        <f>'Contractors'!AH172</f>
        <v/>
      </c>
      <c r="E5208" s="46">
        <f>IF(OR(B5208="",C5208="",D5208=""),"",D5208*100000+(C5208-DATE(2000,1,1))+ROW()/100000)</f>
        <v/>
      </c>
      <c r="F5208" s="46">
        <f>IF(E5208="","",IF(C5208&gt;WeekEndDate,"",E5208))</f>
        <v/>
      </c>
    </row>
    <row r="5209">
      <c r="A5209" t="inlineStr">
        <is>
          <t>Contractors</t>
        </is>
      </c>
      <c r="B5209" s="46">
        <f>'Contractors'!AI173</f>
        <v/>
      </c>
      <c r="C5209" s="84">
        <f>'Contractors'!AG173</f>
        <v/>
      </c>
      <c r="D5209" s="46">
        <f>'Contractors'!AH173</f>
        <v/>
      </c>
      <c r="E5209" s="46">
        <f>IF(OR(B5209="",C5209="",D5209=""),"",D5209*100000+(C5209-DATE(2000,1,1))+ROW()/100000)</f>
        <v/>
      </c>
      <c r="F5209" s="46">
        <f>IF(E5209="","",IF(C5209&gt;WeekEndDate,"",E5209))</f>
        <v/>
      </c>
    </row>
    <row r="5210">
      <c r="A5210" t="inlineStr">
        <is>
          <t>Contractors</t>
        </is>
      </c>
      <c r="B5210" s="46">
        <f>'Contractors'!AI174</f>
        <v/>
      </c>
      <c r="C5210" s="84">
        <f>'Contractors'!AG174</f>
        <v/>
      </c>
      <c r="D5210" s="46">
        <f>'Contractors'!AH174</f>
        <v/>
      </c>
      <c r="E5210" s="46">
        <f>IF(OR(B5210="",C5210="",D5210=""),"",D5210*100000+(C5210-DATE(2000,1,1))+ROW()/100000)</f>
        <v/>
      </c>
      <c r="F5210" s="46">
        <f>IF(E5210="","",IF(C5210&gt;WeekEndDate,"",E5210))</f>
        <v/>
      </c>
    </row>
    <row r="5211">
      <c r="A5211" t="inlineStr">
        <is>
          <t>Contractors</t>
        </is>
      </c>
      <c r="B5211" s="46">
        <f>'Contractors'!AI175</f>
        <v/>
      </c>
      <c r="C5211" s="84">
        <f>'Contractors'!AG175</f>
        <v/>
      </c>
      <c r="D5211" s="46">
        <f>'Contractors'!AH175</f>
        <v/>
      </c>
      <c r="E5211" s="46">
        <f>IF(OR(B5211="",C5211="",D5211=""),"",D5211*100000+(C5211-DATE(2000,1,1))+ROW()/100000)</f>
        <v/>
      </c>
      <c r="F5211" s="46">
        <f>IF(E5211="","",IF(C5211&gt;WeekEndDate,"",E5211))</f>
        <v/>
      </c>
    </row>
    <row r="5212">
      <c r="A5212" t="inlineStr">
        <is>
          <t>Contractors</t>
        </is>
      </c>
      <c r="B5212" s="46">
        <f>'Contractors'!AI176</f>
        <v/>
      </c>
      <c r="C5212" s="84">
        <f>'Contractors'!AG176</f>
        <v/>
      </c>
      <c r="D5212" s="46">
        <f>'Contractors'!AH176</f>
        <v/>
      </c>
      <c r="E5212" s="46">
        <f>IF(OR(B5212="",C5212="",D5212=""),"",D5212*100000+(C5212-DATE(2000,1,1))+ROW()/100000)</f>
        <v/>
      </c>
      <c r="F5212" s="46">
        <f>IF(E5212="","",IF(C5212&gt;WeekEndDate,"",E5212))</f>
        <v/>
      </c>
    </row>
    <row r="5213">
      <c r="A5213" t="inlineStr">
        <is>
          <t>Contractors</t>
        </is>
      </c>
      <c r="B5213" s="46">
        <f>'Contractors'!AI177</f>
        <v/>
      </c>
      <c r="C5213" s="84">
        <f>'Contractors'!AG177</f>
        <v/>
      </c>
      <c r="D5213" s="46">
        <f>'Contractors'!AH177</f>
        <v/>
      </c>
      <c r="E5213" s="46">
        <f>IF(OR(B5213="",C5213="",D5213=""),"",D5213*100000+(C5213-DATE(2000,1,1))+ROW()/100000)</f>
        <v/>
      </c>
      <c r="F5213" s="46">
        <f>IF(E5213="","",IF(C5213&gt;WeekEndDate,"",E5213))</f>
        <v/>
      </c>
    </row>
    <row r="5214">
      <c r="A5214" t="inlineStr">
        <is>
          <t>Contractors</t>
        </is>
      </c>
      <c r="B5214" s="46">
        <f>'Contractors'!AI178</f>
        <v/>
      </c>
      <c r="C5214" s="84">
        <f>'Contractors'!AG178</f>
        <v/>
      </c>
      <c r="D5214" s="46">
        <f>'Contractors'!AH178</f>
        <v/>
      </c>
      <c r="E5214" s="46">
        <f>IF(OR(B5214="",C5214="",D5214=""),"",D5214*100000+(C5214-DATE(2000,1,1))+ROW()/100000)</f>
        <v/>
      </c>
      <c r="F5214" s="46">
        <f>IF(E5214="","",IF(C5214&gt;WeekEndDate,"",E5214))</f>
        <v/>
      </c>
    </row>
    <row r="5215">
      <c r="A5215" t="inlineStr">
        <is>
          <t>Contractors</t>
        </is>
      </c>
      <c r="B5215" s="46">
        <f>'Contractors'!AI179</f>
        <v/>
      </c>
      <c r="C5215" s="84">
        <f>'Contractors'!AG179</f>
        <v/>
      </c>
      <c r="D5215" s="46">
        <f>'Contractors'!AH179</f>
        <v/>
      </c>
      <c r="E5215" s="46">
        <f>IF(OR(B5215="",C5215="",D5215=""),"",D5215*100000+(C5215-DATE(2000,1,1))+ROW()/100000)</f>
        <v/>
      </c>
      <c r="F5215" s="46">
        <f>IF(E5215="","",IF(C5215&gt;WeekEndDate,"",E5215))</f>
        <v/>
      </c>
    </row>
    <row r="5216">
      <c r="A5216" t="inlineStr">
        <is>
          <t>Contractors</t>
        </is>
      </c>
      <c r="B5216" s="46">
        <f>'Contractors'!AI180</f>
        <v/>
      </c>
      <c r="C5216" s="84">
        <f>'Contractors'!AG180</f>
        <v/>
      </c>
      <c r="D5216" s="46">
        <f>'Contractors'!AH180</f>
        <v/>
      </c>
      <c r="E5216" s="46">
        <f>IF(OR(B5216="",C5216="",D5216=""),"",D5216*100000+(C5216-DATE(2000,1,1))+ROW()/100000)</f>
        <v/>
      </c>
      <c r="F5216" s="46">
        <f>IF(E5216="","",IF(C5216&gt;WeekEndDate,"",E5216))</f>
        <v/>
      </c>
    </row>
    <row r="5217">
      <c r="A5217" t="inlineStr">
        <is>
          <t>Contractors</t>
        </is>
      </c>
      <c r="B5217" s="46">
        <f>'Contractors'!AI181</f>
        <v/>
      </c>
      <c r="C5217" s="84">
        <f>'Contractors'!AG181</f>
        <v/>
      </c>
      <c r="D5217" s="46">
        <f>'Contractors'!AH181</f>
        <v/>
      </c>
      <c r="E5217" s="46">
        <f>IF(OR(B5217="",C5217="",D5217=""),"",D5217*100000+(C5217-DATE(2000,1,1))+ROW()/100000)</f>
        <v/>
      </c>
      <c r="F5217" s="46">
        <f>IF(E5217="","",IF(C5217&gt;WeekEndDate,"",E5217))</f>
        <v/>
      </c>
    </row>
    <row r="5218">
      <c r="A5218" t="inlineStr">
        <is>
          <t>Contractors</t>
        </is>
      </c>
      <c r="B5218" s="46">
        <f>'Contractors'!AI182</f>
        <v/>
      </c>
      <c r="C5218" s="84">
        <f>'Contractors'!AG182</f>
        <v/>
      </c>
      <c r="D5218" s="46">
        <f>'Contractors'!AH182</f>
        <v/>
      </c>
      <c r="E5218" s="46">
        <f>IF(OR(B5218="",C5218="",D5218=""),"",D5218*100000+(C5218-DATE(2000,1,1))+ROW()/100000)</f>
        <v/>
      </c>
      <c r="F5218" s="46">
        <f>IF(E5218="","",IF(C5218&gt;WeekEndDate,"",E5218))</f>
        <v/>
      </c>
    </row>
    <row r="5219">
      <c r="A5219" t="inlineStr">
        <is>
          <t>Contractors</t>
        </is>
      </c>
      <c r="B5219" s="46">
        <f>'Contractors'!AI183</f>
        <v/>
      </c>
      <c r="C5219" s="84">
        <f>'Contractors'!AG183</f>
        <v/>
      </c>
      <c r="D5219" s="46">
        <f>'Contractors'!AH183</f>
        <v/>
      </c>
      <c r="E5219" s="46">
        <f>IF(OR(B5219="",C5219="",D5219=""),"",D5219*100000+(C5219-DATE(2000,1,1))+ROW()/100000)</f>
        <v/>
      </c>
      <c r="F5219" s="46">
        <f>IF(E5219="","",IF(C5219&gt;WeekEndDate,"",E5219))</f>
        <v/>
      </c>
    </row>
    <row r="5220">
      <c r="A5220" t="inlineStr">
        <is>
          <t>Contractors</t>
        </is>
      </c>
      <c r="B5220" s="46">
        <f>'Contractors'!AI184</f>
        <v/>
      </c>
      <c r="C5220" s="84">
        <f>'Contractors'!AG184</f>
        <v/>
      </c>
      <c r="D5220" s="46">
        <f>'Contractors'!AH184</f>
        <v/>
      </c>
      <c r="E5220" s="46">
        <f>IF(OR(B5220="",C5220="",D5220=""),"",D5220*100000+(C5220-DATE(2000,1,1))+ROW()/100000)</f>
        <v/>
      </c>
      <c r="F5220" s="46">
        <f>IF(E5220="","",IF(C5220&gt;WeekEndDate,"",E5220))</f>
        <v/>
      </c>
    </row>
    <row r="5221">
      <c r="A5221" t="inlineStr">
        <is>
          <t>Contractors</t>
        </is>
      </c>
      <c r="B5221" s="46">
        <f>'Contractors'!AI185</f>
        <v/>
      </c>
      <c r="C5221" s="84">
        <f>'Contractors'!AG185</f>
        <v/>
      </c>
      <c r="D5221" s="46">
        <f>'Contractors'!AH185</f>
        <v/>
      </c>
      <c r="E5221" s="46">
        <f>IF(OR(B5221="",C5221="",D5221=""),"",D5221*100000+(C5221-DATE(2000,1,1))+ROW()/100000)</f>
        <v/>
      </c>
      <c r="F5221" s="46">
        <f>IF(E5221="","",IF(C5221&gt;WeekEndDate,"",E5221))</f>
        <v/>
      </c>
    </row>
    <row r="5222">
      <c r="A5222" t="inlineStr">
        <is>
          <t>Contractors</t>
        </is>
      </c>
      <c r="B5222" s="46">
        <f>'Contractors'!AI186</f>
        <v/>
      </c>
      <c r="C5222" s="84">
        <f>'Contractors'!AG186</f>
        <v/>
      </c>
      <c r="D5222" s="46">
        <f>'Contractors'!AH186</f>
        <v/>
      </c>
      <c r="E5222" s="46">
        <f>IF(OR(B5222="",C5222="",D5222=""),"",D5222*100000+(C5222-DATE(2000,1,1))+ROW()/100000)</f>
        <v/>
      </c>
      <c r="F5222" s="46">
        <f>IF(E5222="","",IF(C5222&gt;WeekEndDate,"",E5222))</f>
        <v/>
      </c>
    </row>
    <row r="5223">
      <c r="A5223" t="inlineStr">
        <is>
          <t>Contractors</t>
        </is>
      </c>
      <c r="B5223" s="46">
        <f>'Contractors'!AI187</f>
        <v/>
      </c>
      <c r="C5223" s="84">
        <f>'Contractors'!AG187</f>
        <v/>
      </c>
      <c r="D5223" s="46">
        <f>'Contractors'!AH187</f>
        <v/>
      </c>
      <c r="E5223" s="46">
        <f>IF(OR(B5223="",C5223="",D5223=""),"",D5223*100000+(C5223-DATE(2000,1,1))+ROW()/100000)</f>
        <v/>
      </c>
      <c r="F5223" s="46">
        <f>IF(E5223="","",IF(C5223&gt;WeekEndDate,"",E5223))</f>
        <v/>
      </c>
    </row>
    <row r="5224">
      <c r="A5224" t="inlineStr">
        <is>
          <t>Contractors</t>
        </is>
      </c>
      <c r="B5224" s="46">
        <f>'Contractors'!AI188</f>
        <v/>
      </c>
      <c r="C5224" s="84">
        <f>'Contractors'!AG188</f>
        <v/>
      </c>
      <c r="D5224" s="46">
        <f>'Contractors'!AH188</f>
        <v/>
      </c>
      <c r="E5224" s="46">
        <f>IF(OR(B5224="",C5224="",D5224=""),"",D5224*100000+(C5224-DATE(2000,1,1))+ROW()/100000)</f>
        <v/>
      </c>
      <c r="F5224" s="46">
        <f>IF(E5224="","",IF(C5224&gt;WeekEndDate,"",E5224))</f>
        <v/>
      </c>
    </row>
    <row r="5225">
      <c r="A5225" t="inlineStr">
        <is>
          <t>Contractors</t>
        </is>
      </c>
      <c r="B5225" s="46">
        <f>'Contractors'!AI189</f>
        <v/>
      </c>
      <c r="C5225" s="84">
        <f>'Contractors'!AG189</f>
        <v/>
      </c>
      <c r="D5225" s="46">
        <f>'Contractors'!AH189</f>
        <v/>
      </c>
      <c r="E5225" s="46">
        <f>IF(OR(B5225="",C5225="",D5225=""),"",D5225*100000+(C5225-DATE(2000,1,1))+ROW()/100000)</f>
        <v/>
      </c>
      <c r="F5225" s="46">
        <f>IF(E5225="","",IF(C5225&gt;WeekEndDate,"",E5225))</f>
        <v/>
      </c>
    </row>
    <row r="5226">
      <c r="A5226" t="inlineStr">
        <is>
          <t>Contractors</t>
        </is>
      </c>
      <c r="B5226" s="46">
        <f>'Contractors'!AI190</f>
        <v/>
      </c>
      <c r="C5226" s="84">
        <f>'Contractors'!AG190</f>
        <v/>
      </c>
      <c r="D5226" s="46">
        <f>'Contractors'!AH190</f>
        <v/>
      </c>
      <c r="E5226" s="46">
        <f>IF(OR(B5226="",C5226="",D5226=""),"",D5226*100000+(C5226-DATE(2000,1,1))+ROW()/100000)</f>
        <v/>
      </c>
      <c r="F5226" s="46">
        <f>IF(E5226="","",IF(C5226&gt;WeekEndDate,"",E5226))</f>
        <v/>
      </c>
    </row>
    <row r="5227">
      <c r="A5227" t="inlineStr">
        <is>
          <t>Contractors</t>
        </is>
      </c>
      <c r="B5227" s="46">
        <f>'Contractors'!AI191</f>
        <v/>
      </c>
      <c r="C5227" s="84">
        <f>'Contractors'!AG191</f>
        <v/>
      </c>
      <c r="D5227" s="46">
        <f>'Contractors'!AH191</f>
        <v/>
      </c>
      <c r="E5227" s="46">
        <f>IF(OR(B5227="",C5227="",D5227=""),"",D5227*100000+(C5227-DATE(2000,1,1))+ROW()/100000)</f>
        <v/>
      </c>
      <c r="F5227" s="46">
        <f>IF(E5227="","",IF(C5227&gt;WeekEndDate,"",E5227))</f>
        <v/>
      </c>
    </row>
    <row r="5228">
      <c r="A5228" t="inlineStr">
        <is>
          <t>Contractors</t>
        </is>
      </c>
      <c r="B5228" s="46">
        <f>'Contractors'!AI192</f>
        <v/>
      </c>
      <c r="C5228" s="84">
        <f>'Contractors'!AG192</f>
        <v/>
      </c>
      <c r="D5228" s="46">
        <f>'Contractors'!AH192</f>
        <v/>
      </c>
      <c r="E5228" s="46">
        <f>IF(OR(B5228="",C5228="",D5228=""),"",D5228*100000+(C5228-DATE(2000,1,1))+ROW()/100000)</f>
        <v/>
      </c>
      <c r="F5228" s="46">
        <f>IF(E5228="","",IF(C5228&gt;WeekEndDate,"",E5228))</f>
        <v/>
      </c>
    </row>
    <row r="5229">
      <c r="A5229" t="inlineStr">
        <is>
          <t>Contractors</t>
        </is>
      </c>
      <c r="B5229" s="46">
        <f>'Contractors'!AI193</f>
        <v/>
      </c>
      <c r="C5229" s="84">
        <f>'Contractors'!AG193</f>
        <v/>
      </c>
      <c r="D5229" s="46">
        <f>'Contractors'!AH193</f>
        <v/>
      </c>
      <c r="E5229" s="46">
        <f>IF(OR(B5229="",C5229="",D5229=""),"",D5229*100000+(C5229-DATE(2000,1,1))+ROW()/100000)</f>
        <v/>
      </c>
      <c r="F5229" s="46">
        <f>IF(E5229="","",IF(C5229&gt;WeekEndDate,"",E5229))</f>
        <v/>
      </c>
    </row>
    <row r="5230">
      <c r="A5230" t="inlineStr">
        <is>
          <t>Contractors</t>
        </is>
      </c>
      <c r="B5230" s="46">
        <f>'Contractors'!AI194</f>
        <v/>
      </c>
      <c r="C5230" s="84">
        <f>'Contractors'!AG194</f>
        <v/>
      </c>
      <c r="D5230" s="46">
        <f>'Contractors'!AH194</f>
        <v/>
      </c>
      <c r="E5230" s="46">
        <f>IF(OR(B5230="",C5230="",D5230=""),"",D5230*100000+(C5230-DATE(2000,1,1))+ROW()/100000)</f>
        <v/>
      </c>
      <c r="F5230" s="46">
        <f>IF(E5230="","",IF(C5230&gt;WeekEndDate,"",E5230))</f>
        <v/>
      </c>
    </row>
    <row r="5231">
      <c r="A5231" t="inlineStr">
        <is>
          <t>Contractors</t>
        </is>
      </c>
      <c r="B5231" s="46">
        <f>'Contractors'!AI195</f>
        <v/>
      </c>
      <c r="C5231" s="84">
        <f>'Contractors'!AG195</f>
        <v/>
      </c>
      <c r="D5231" s="46">
        <f>'Contractors'!AH195</f>
        <v/>
      </c>
      <c r="E5231" s="46">
        <f>IF(OR(B5231="",C5231="",D5231=""),"",D5231*100000+(C5231-DATE(2000,1,1))+ROW()/100000)</f>
        <v/>
      </c>
      <c r="F5231" s="46">
        <f>IF(E5231="","",IF(C5231&gt;WeekEndDate,"",E5231))</f>
        <v/>
      </c>
    </row>
    <row r="5232">
      <c r="A5232" t="inlineStr">
        <is>
          <t>Contractors</t>
        </is>
      </c>
      <c r="B5232" s="46">
        <f>'Contractors'!AI196</f>
        <v/>
      </c>
      <c r="C5232" s="84">
        <f>'Contractors'!AG196</f>
        <v/>
      </c>
      <c r="D5232" s="46">
        <f>'Contractors'!AH196</f>
        <v/>
      </c>
      <c r="E5232" s="46">
        <f>IF(OR(B5232="",C5232="",D5232=""),"",D5232*100000+(C5232-DATE(2000,1,1))+ROW()/100000)</f>
        <v/>
      </c>
      <c r="F5232" s="46">
        <f>IF(E5232="","",IF(C5232&gt;WeekEndDate,"",E5232))</f>
        <v/>
      </c>
    </row>
    <row r="5233">
      <c r="A5233" t="inlineStr">
        <is>
          <t>Contractors</t>
        </is>
      </c>
      <c r="B5233" s="46">
        <f>'Contractors'!AI197</f>
        <v/>
      </c>
      <c r="C5233" s="84">
        <f>'Contractors'!AG197</f>
        <v/>
      </c>
      <c r="D5233" s="46">
        <f>'Contractors'!AH197</f>
        <v/>
      </c>
      <c r="E5233" s="46">
        <f>IF(OR(B5233="",C5233="",D5233=""),"",D5233*100000+(C5233-DATE(2000,1,1))+ROW()/100000)</f>
        <v/>
      </c>
      <c r="F5233" s="46">
        <f>IF(E5233="","",IF(C5233&gt;WeekEndDate,"",E5233))</f>
        <v/>
      </c>
    </row>
    <row r="5234">
      <c r="A5234" t="inlineStr">
        <is>
          <t>Contractors</t>
        </is>
      </c>
      <c r="B5234" s="46">
        <f>'Contractors'!AI198</f>
        <v/>
      </c>
      <c r="C5234" s="84">
        <f>'Contractors'!AG198</f>
        <v/>
      </c>
      <c r="D5234" s="46">
        <f>'Contractors'!AH198</f>
        <v/>
      </c>
      <c r="E5234" s="46">
        <f>IF(OR(B5234="",C5234="",D5234=""),"",D5234*100000+(C5234-DATE(2000,1,1))+ROW()/100000)</f>
        <v/>
      </c>
      <c r="F5234" s="46">
        <f>IF(E5234="","",IF(C5234&gt;WeekEndDate,"",E5234))</f>
        <v/>
      </c>
    </row>
    <row r="5235">
      <c r="A5235" t="inlineStr">
        <is>
          <t>Contractors</t>
        </is>
      </c>
      <c r="B5235" s="46">
        <f>'Contractors'!AI199</f>
        <v/>
      </c>
      <c r="C5235" s="84">
        <f>'Contractors'!AG199</f>
        <v/>
      </c>
      <c r="D5235" s="46">
        <f>'Contractors'!AH199</f>
        <v/>
      </c>
      <c r="E5235" s="46">
        <f>IF(OR(B5235="",C5235="",D5235=""),"",D5235*100000+(C5235-DATE(2000,1,1))+ROW()/100000)</f>
        <v/>
      </c>
      <c r="F5235" s="46">
        <f>IF(E5235="","",IF(C5235&gt;WeekEndDate,"",E5235))</f>
        <v/>
      </c>
    </row>
    <row r="5236">
      <c r="A5236" t="inlineStr">
        <is>
          <t>Contractors</t>
        </is>
      </c>
      <c r="B5236" s="46">
        <f>'Contractors'!AI200</f>
        <v/>
      </c>
      <c r="C5236" s="84">
        <f>'Contractors'!AG200</f>
        <v/>
      </c>
      <c r="D5236" s="46">
        <f>'Contractors'!AH200</f>
        <v/>
      </c>
      <c r="E5236" s="46">
        <f>IF(OR(B5236="",C5236="",D5236=""),"",D5236*100000+(C5236-DATE(2000,1,1))+ROW()/100000)</f>
        <v/>
      </c>
      <c r="F5236" s="46">
        <f>IF(E5236="","",IF(C5236&gt;WeekEndDate,"",E5236))</f>
        <v/>
      </c>
    </row>
    <row r="5237">
      <c r="A5237" t="inlineStr">
        <is>
          <t>Contractors</t>
        </is>
      </c>
      <c r="B5237" s="46">
        <f>'Contractors'!AI201</f>
        <v/>
      </c>
      <c r="C5237" s="84">
        <f>'Contractors'!AG201</f>
        <v/>
      </c>
      <c r="D5237" s="46">
        <f>'Contractors'!AH201</f>
        <v/>
      </c>
      <c r="E5237" s="46">
        <f>IF(OR(B5237="",C5237="",D5237=""),"",D5237*100000+(C5237-DATE(2000,1,1))+ROW()/100000)</f>
        <v/>
      </c>
      <c r="F5237" s="46">
        <f>IF(E5237="","",IF(C5237&gt;WeekEndDate,"",E5237))</f>
        <v/>
      </c>
    </row>
    <row r="5238">
      <c r="A5238" t="inlineStr">
        <is>
          <t>Contractors</t>
        </is>
      </c>
      <c r="B5238" s="46">
        <f>'Contractors'!AI202</f>
        <v/>
      </c>
      <c r="C5238" s="84">
        <f>'Contractors'!AG202</f>
        <v/>
      </c>
      <c r="D5238" s="46">
        <f>'Contractors'!AH202</f>
        <v/>
      </c>
      <c r="E5238" s="46">
        <f>IF(OR(B5238="",C5238="",D5238=""),"",D5238*100000+(C5238-DATE(2000,1,1))+ROW()/100000)</f>
        <v/>
      </c>
      <c r="F5238" s="46">
        <f>IF(E5238="","",IF(C5238&gt;WeekEndDate,"",E5238))</f>
        <v/>
      </c>
    </row>
    <row r="5239">
      <c r="A5239" t="inlineStr">
        <is>
          <t>Contractors</t>
        </is>
      </c>
      <c r="B5239" s="46">
        <f>'Contractors'!AI203</f>
        <v/>
      </c>
      <c r="C5239" s="84">
        <f>'Contractors'!AG203</f>
        <v/>
      </c>
      <c r="D5239" s="46">
        <f>'Contractors'!AH203</f>
        <v/>
      </c>
      <c r="E5239" s="46">
        <f>IF(OR(B5239="",C5239="",D5239=""),"",D5239*100000+(C5239-DATE(2000,1,1))+ROW()/100000)</f>
        <v/>
      </c>
      <c r="F5239" s="46">
        <f>IF(E5239="","",IF(C5239&gt;WeekEndDate,"",E5239))</f>
        <v/>
      </c>
    </row>
    <row r="5240">
      <c r="A5240" t="inlineStr">
        <is>
          <t>Contractors</t>
        </is>
      </c>
      <c r="B5240" s="46">
        <f>'Contractors'!AI204</f>
        <v/>
      </c>
      <c r="C5240" s="84">
        <f>'Contractors'!AG204</f>
        <v/>
      </c>
      <c r="D5240" s="46">
        <f>'Contractors'!AH204</f>
        <v/>
      </c>
      <c r="E5240" s="46">
        <f>IF(OR(B5240="",C5240="",D5240=""),"",D5240*100000+(C5240-DATE(2000,1,1))+ROW()/100000)</f>
        <v/>
      </c>
      <c r="F5240" s="46">
        <f>IF(E5240="","",IF(C5240&gt;WeekEndDate,"",E5240))</f>
        <v/>
      </c>
    </row>
    <row r="5241">
      <c r="A5241" t="inlineStr">
        <is>
          <t>Contractors</t>
        </is>
      </c>
      <c r="B5241" s="46">
        <f>'Contractors'!AI205</f>
        <v/>
      </c>
      <c r="C5241" s="84">
        <f>'Contractors'!AG205</f>
        <v/>
      </c>
      <c r="D5241" s="46">
        <f>'Contractors'!AH205</f>
        <v/>
      </c>
      <c r="E5241" s="46">
        <f>IF(OR(B5241="",C5241="",D5241=""),"",D5241*100000+(C5241-DATE(2000,1,1))+ROW()/100000)</f>
        <v/>
      </c>
      <c r="F5241" s="46">
        <f>IF(E5241="","",IF(C5241&gt;WeekEndDate,"",E5241))</f>
        <v/>
      </c>
    </row>
    <row r="5242">
      <c r="A5242" t="inlineStr">
        <is>
          <t>Contractors</t>
        </is>
      </c>
      <c r="B5242" s="46">
        <f>'Contractors'!AI206</f>
        <v/>
      </c>
      <c r="C5242" s="84">
        <f>'Contractors'!AG206</f>
        <v/>
      </c>
      <c r="D5242" s="46">
        <f>'Contractors'!AH206</f>
        <v/>
      </c>
      <c r="E5242" s="46">
        <f>IF(OR(B5242="",C5242="",D5242=""),"",D5242*100000+(C5242-DATE(2000,1,1))+ROW()/100000)</f>
        <v/>
      </c>
      <c r="F5242" s="46">
        <f>IF(E5242="","",IF(C5242&gt;WeekEndDate,"",E5242))</f>
        <v/>
      </c>
    </row>
    <row r="5243">
      <c r="A5243" t="inlineStr">
        <is>
          <t>Contractors</t>
        </is>
      </c>
      <c r="B5243" s="46">
        <f>'Contractors'!AI207</f>
        <v/>
      </c>
      <c r="C5243" s="84">
        <f>'Contractors'!AG207</f>
        <v/>
      </c>
      <c r="D5243" s="46">
        <f>'Contractors'!AH207</f>
        <v/>
      </c>
      <c r="E5243" s="46">
        <f>IF(OR(B5243="",C5243="",D5243=""),"",D5243*100000+(C5243-DATE(2000,1,1))+ROW()/100000)</f>
        <v/>
      </c>
      <c r="F5243" s="46">
        <f>IF(E5243="","",IF(C5243&gt;WeekEndDate,"",E5243))</f>
        <v/>
      </c>
    </row>
    <row r="5244">
      <c r="A5244" t="inlineStr">
        <is>
          <t>Contractors</t>
        </is>
      </c>
      <c r="B5244" s="46">
        <f>'Contractors'!AI208</f>
        <v/>
      </c>
      <c r="C5244" s="84">
        <f>'Contractors'!AG208</f>
        <v/>
      </c>
      <c r="D5244" s="46">
        <f>'Contractors'!AH208</f>
        <v/>
      </c>
      <c r="E5244" s="46">
        <f>IF(OR(B5244="",C5244="",D5244=""),"",D5244*100000+(C5244-DATE(2000,1,1))+ROW()/100000)</f>
        <v/>
      </c>
      <c r="F5244" s="46">
        <f>IF(E5244="","",IF(C5244&gt;WeekEndDate,"",E5244))</f>
        <v/>
      </c>
    </row>
    <row r="5245">
      <c r="A5245" t="inlineStr">
        <is>
          <t>Contractors</t>
        </is>
      </c>
      <c r="B5245" s="46">
        <f>'Contractors'!AI209</f>
        <v/>
      </c>
      <c r="C5245" s="84">
        <f>'Contractors'!AG209</f>
        <v/>
      </c>
      <c r="D5245" s="46">
        <f>'Contractors'!AH209</f>
        <v/>
      </c>
      <c r="E5245" s="46">
        <f>IF(OR(B5245="",C5245="",D5245=""),"",D5245*100000+(C5245-DATE(2000,1,1))+ROW()/100000)</f>
        <v/>
      </c>
      <c r="F5245" s="46">
        <f>IF(E5245="","",IF(C5245&gt;WeekEndDate,"",E5245))</f>
        <v/>
      </c>
    </row>
    <row r="5246">
      <c r="A5246" t="inlineStr">
        <is>
          <t>Contractors</t>
        </is>
      </c>
      <c r="B5246" s="46">
        <f>'Contractors'!AI210</f>
        <v/>
      </c>
      <c r="C5246" s="84">
        <f>'Contractors'!AG210</f>
        <v/>
      </c>
      <c r="D5246" s="46">
        <f>'Contractors'!AH210</f>
        <v/>
      </c>
      <c r="E5246" s="46">
        <f>IF(OR(B5246="",C5246="",D5246=""),"",D5246*100000+(C5246-DATE(2000,1,1))+ROW()/100000)</f>
        <v/>
      </c>
      <c r="F5246" s="46">
        <f>IF(E5246="","",IF(C5246&gt;WeekEndDate,"",E5246))</f>
        <v/>
      </c>
    </row>
    <row r="5247">
      <c r="A5247" t="inlineStr">
        <is>
          <t>Contractors</t>
        </is>
      </c>
      <c r="B5247" s="46">
        <f>'Contractors'!AI211</f>
        <v/>
      </c>
      <c r="C5247" s="84">
        <f>'Contractors'!AG211</f>
        <v/>
      </c>
      <c r="D5247" s="46">
        <f>'Contractors'!AH211</f>
        <v/>
      </c>
      <c r="E5247" s="46">
        <f>IF(OR(B5247="",C5247="",D5247=""),"",D5247*100000+(C5247-DATE(2000,1,1))+ROW()/100000)</f>
        <v/>
      </c>
      <c r="F5247" s="46">
        <f>IF(E5247="","",IF(C5247&gt;WeekEndDate,"",E5247))</f>
        <v/>
      </c>
    </row>
    <row r="5248">
      <c r="A5248" t="inlineStr">
        <is>
          <t>Contractors</t>
        </is>
      </c>
      <c r="B5248" s="46">
        <f>'Contractors'!AI212</f>
        <v/>
      </c>
      <c r="C5248" s="84">
        <f>'Contractors'!AG212</f>
        <v/>
      </c>
      <c r="D5248" s="46">
        <f>'Contractors'!AH212</f>
        <v/>
      </c>
      <c r="E5248" s="46">
        <f>IF(OR(B5248="",C5248="",D5248=""),"",D5248*100000+(C5248-DATE(2000,1,1))+ROW()/100000)</f>
        <v/>
      </c>
      <c r="F5248" s="46">
        <f>IF(E5248="","",IF(C5248&gt;WeekEndDate,"",E5248))</f>
        <v/>
      </c>
    </row>
    <row r="5249">
      <c r="A5249" t="inlineStr">
        <is>
          <t>Contractors</t>
        </is>
      </c>
      <c r="B5249" s="46">
        <f>'Contractors'!AI213</f>
        <v/>
      </c>
      <c r="C5249" s="84">
        <f>'Contractors'!AG213</f>
        <v/>
      </c>
      <c r="D5249" s="46">
        <f>'Contractors'!AH213</f>
        <v/>
      </c>
      <c r="E5249" s="46">
        <f>IF(OR(B5249="",C5249="",D5249=""),"",D5249*100000+(C5249-DATE(2000,1,1))+ROW()/100000)</f>
        <v/>
      </c>
      <c r="F5249" s="46">
        <f>IF(E5249="","",IF(C5249&gt;WeekEndDate,"",E5249))</f>
        <v/>
      </c>
    </row>
    <row r="5250">
      <c r="A5250" t="inlineStr">
        <is>
          <t>Contractors</t>
        </is>
      </c>
      <c r="B5250" s="46">
        <f>'Contractors'!AI214</f>
        <v/>
      </c>
      <c r="C5250" s="84">
        <f>'Contractors'!AG214</f>
        <v/>
      </c>
      <c r="D5250" s="46">
        <f>'Contractors'!AH214</f>
        <v/>
      </c>
      <c r="E5250" s="46">
        <f>IF(OR(B5250="",C5250="",D5250=""),"",D5250*100000+(C5250-DATE(2000,1,1))+ROW()/100000)</f>
        <v/>
      </c>
      <c r="F5250" s="46">
        <f>IF(E5250="","",IF(C5250&gt;WeekEndDate,"",E5250))</f>
        <v/>
      </c>
    </row>
    <row r="5251">
      <c r="A5251" t="inlineStr">
        <is>
          <t>Contractors</t>
        </is>
      </c>
      <c r="B5251" s="46">
        <f>'Contractors'!AI215</f>
        <v/>
      </c>
      <c r="C5251" s="84">
        <f>'Contractors'!AG215</f>
        <v/>
      </c>
      <c r="D5251" s="46">
        <f>'Contractors'!AH215</f>
        <v/>
      </c>
      <c r="E5251" s="46">
        <f>IF(OR(B5251="",C5251="",D5251=""),"",D5251*100000+(C5251-DATE(2000,1,1))+ROW()/100000)</f>
        <v/>
      </c>
      <c r="F5251" s="46">
        <f>IF(E5251="","",IF(C5251&gt;WeekEndDate,"",E5251))</f>
        <v/>
      </c>
    </row>
    <row r="5252">
      <c r="A5252" t="inlineStr">
        <is>
          <t>Contractors</t>
        </is>
      </c>
      <c r="B5252" s="46">
        <f>'Contractors'!AI216</f>
        <v/>
      </c>
      <c r="C5252" s="84">
        <f>'Contractors'!AG216</f>
        <v/>
      </c>
      <c r="D5252" s="46">
        <f>'Contractors'!AH216</f>
        <v/>
      </c>
      <c r="E5252" s="46">
        <f>IF(OR(B5252="",C5252="",D5252=""),"",D5252*100000+(C5252-DATE(2000,1,1))+ROW()/100000)</f>
        <v/>
      </c>
      <c r="F5252" s="46">
        <f>IF(E5252="","",IF(C5252&gt;WeekEndDate,"",E5252))</f>
        <v/>
      </c>
    </row>
    <row r="5253">
      <c r="A5253" t="inlineStr">
        <is>
          <t>Contractors</t>
        </is>
      </c>
      <c r="B5253" s="46">
        <f>'Contractors'!AI217</f>
        <v/>
      </c>
      <c r="C5253" s="84">
        <f>'Contractors'!AG217</f>
        <v/>
      </c>
      <c r="D5253" s="46">
        <f>'Contractors'!AH217</f>
        <v/>
      </c>
      <c r="E5253" s="46">
        <f>IF(OR(B5253="",C5253="",D5253=""),"",D5253*100000+(C5253-DATE(2000,1,1))+ROW()/100000)</f>
        <v/>
      </c>
      <c r="F5253" s="46">
        <f>IF(E5253="","",IF(C5253&gt;WeekEndDate,"",E5253))</f>
        <v/>
      </c>
    </row>
    <row r="5254">
      <c r="A5254" t="inlineStr">
        <is>
          <t>Contractors</t>
        </is>
      </c>
      <c r="B5254" s="46">
        <f>'Contractors'!AI218</f>
        <v/>
      </c>
      <c r="C5254" s="84">
        <f>'Contractors'!AG218</f>
        <v/>
      </c>
      <c r="D5254" s="46">
        <f>'Contractors'!AH218</f>
        <v/>
      </c>
      <c r="E5254" s="46">
        <f>IF(OR(B5254="",C5254="",D5254=""),"",D5254*100000+(C5254-DATE(2000,1,1))+ROW()/100000)</f>
        <v/>
      </c>
      <c r="F5254" s="46">
        <f>IF(E5254="","",IF(C5254&gt;WeekEndDate,"",E5254))</f>
        <v/>
      </c>
    </row>
    <row r="5255">
      <c r="A5255" t="inlineStr">
        <is>
          <t>Contractors</t>
        </is>
      </c>
      <c r="B5255" s="46">
        <f>'Contractors'!AI219</f>
        <v/>
      </c>
      <c r="C5255" s="84">
        <f>'Contractors'!AG219</f>
        <v/>
      </c>
      <c r="D5255" s="46">
        <f>'Contractors'!AH219</f>
        <v/>
      </c>
      <c r="E5255" s="46">
        <f>IF(OR(B5255="",C5255="",D5255=""),"",D5255*100000+(C5255-DATE(2000,1,1))+ROW()/100000)</f>
        <v/>
      </c>
      <c r="F5255" s="46">
        <f>IF(E5255="","",IF(C5255&gt;WeekEndDate,"",E5255))</f>
        <v/>
      </c>
    </row>
    <row r="5256">
      <c r="A5256" t="inlineStr">
        <is>
          <t>Contractors</t>
        </is>
      </c>
      <c r="B5256" s="46">
        <f>'Contractors'!AI220</f>
        <v/>
      </c>
      <c r="C5256" s="84">
        <f>'Contractors'!AG220</f>
        <v/>
      </c>
      <c r="D5256" s="46">
        <f>'Contractors'!AH220</f>
        <v/>
      </c>
      <c r="E5256" s="46">
        <f>IF(OR(B5256="",C5256="",D5256=""),"",D5256*100000+(C5256-DATE(2000,1,1))+ROW()/100000)</f>
        <v/>
      </c>
      <c r="F5256" s="46">
        <f>IF(E5256="","",IF(C5256&gt;WeekEndDate,"",E5256))</f>
        <v/>
      </c>
    </row>
    <row r="5257">
      <c r="A5257" t="inlineStr">
        <is>
          <t>Contractors</t>
        </is>
      </c>
      <c r="B5257" s="46">
        <f>'Contractors'!AI221</f>
        <v/>
      </c>
      <c r="C5257" s="84">
        <f>'Contractors'!AG221</f>
        <v/>
      </c>
      <c r="D5257" s="46">
        <f>'Contractors'!AH221</f>
        <v/>
      </c>
      <c r="E5257" s="46">
        <f>IF(OR(B5257="",C5257="",D5257=""),"",D5257*100000+(C5257-DATE(2000,1,1))+ROW()/100000)</f>
        <v/>
      </c>
      <c r="F5257" s="46">
        <f>IF(E5257="","",IF(C5257&gt;WeekEndDate,"",E5257))</f>
        <v/>
      </c>
    </row>
    <row r="5258">
      <c r="A5258" t="inlineStr">
        <is>
          <t>Contractors</t>
        </is>
      </c>
      <c r="B5258" s="46">
        <f>'Contractors'!AI222</f>
        <v/>
      </c>
      <c r="C5258" s="84">
        <f>'Contractors'!AG222</f>
        <v/>
      </c>
      <c r="D5258" s="46">
        <f>'Contractors'!AH222</f>
        <v/>
      </c>
      <c r="E5258" s="46">
        <f>IF(OR(B5258="",C5258="",D5258=""),"",D5258*100000+(C5258-DATE(2000,1,1))+ROW()/100000)</f>
        <v/>
      </c>
      <c r="F5258" s="46">
        <f>IF(E5258="","",IF(C5258&gt;WeekEndDate,"",E5258))</f>
        <v/>
      </c>
    </row>
    <row r="5259">
      <c r="A5259" t="inlineStr">
        <is>
          <t>Contractors</t>
        </is>
      </c>
      <c r="B5259" s="46">
        <f>'Contractors'!AI223</f>
        <v/>
      </c>
      <c r="C5259" s="84">
        <f>'Contractors'!AG223</f>
        <v/>
      </c>
      <c r="D5259" s="46">
        <f>'Contractors'!AH223</f>
        <v/>
      </c>
      <c r="E5259" s="46">
        <f>IF(OR(B5259="",C5259="",D5259=""),"",D5259*100000+(C5259-DATE(2000,1,1))+ROW()/100000)</f>
        <v/>
      </c>
      <c r="F5259" s="46">
        <f>IF(E5259="","",IF(C5259&gt;WeekEndDate,"",E5259))</f>
        <v/>
      </c>
    </row>
    <row r="5260">
      <c r="A5260" t="inlineStr">
        <is>
          <t>Contractors</t>
        </is>
      </c>
      <c r="B5260" s="46">
        <f>'Contractors'!AI224</f>
        <v/>
      </c>
      <c r="C5260" s="84">
        <f>'Contractors'!AG224</f>
        <v/>
      </c>
      <c r="D5260" s="46">
        <f>'Contractors'!AH224</f>
        <v/>
      </c>
      <c r="E5260" s="46">
        <f>IF(OR(B5260="",C5260="",D5260=""),"",D5260*100000+(C5260-DATE(2000,1,1))+ROW()/100000)</f>
        <v/>
      </c>
      <c r="F5260" s="46">
        <f>IF(E5260="","",IF(C5260&gt;WeekEndDate,"",E5260))</f>
        <v/>
      </c>
    </row>
    <row r="5261">
      <c r="A5261" t="inlineStr">
        <is>
          <t>Contractors</t>
        </is>
      </c>
      <c r="B5261" s="46">
        <f>'Contractors'!AI225</f>
        <v/>
      </c>
      <c r="C5261" s="84">
        <f>'Contractors'!AG225</f>
        <v/>
      </c>
      <c r="D5261" s="46">
        <f>'Contractors'!AH225</f>
        <v/>
      </c>
      <c r="E5261" s="46">
        <f>IF(OR(B5261="",C5261="",D5261=""),"",D5261*100000+(C5261-DATE(2000,1,1))+ROW()/100000)</f>
        <v/>
      </c>
      <c r="F5261" s="46">
        <f>IF(E5261="","",IF(C5261&gt;WeekEndDate,"",E5261))</f>
        <v/>
      </c>
    </row>
    <row r="5262">
      <c r="A5262" t="inlineStr">
        <is>
          <t>Contractors</t>
        </is>
      </c>
      <c r="B5262" s="46">
        <f>'Contractors'!AI226</f>
        <v/>
      </c>
      <c r="C5262" s="84">
        <f>'Contractors'!AG226</f>
        <v/>
      </c>
      <c r="D5262" s="46">
        <f>'Contractors'!AH226</f>
        <v/>
      </c>
      <c r="E5262" s="46">
        <f>IF(OR(B5262="",C5262="",D5262=""),"",D5262*100000+(C5262-DATE(2000,1,1))+ROW()/100000)</f>
        <v/>
      </c>
      <c r="F5262" s="46">
        <f>IF(E5262="","",IF(C5262&gt;WeekEndDate,"",E5262))</f>
        <v/>
      </c>
    </row>
    <row r="5263">
      <c r="A5263" t="inlineStr">
        <is>
          <t>Contractors</t>
        </is>
      </c>
      <c r="B5263" s="46">
        <f>'Contractors'!AI227</f>
        <v/>
      </c>
      <c r="C5263" s="84">
        <f>'Contractors'!AG227</f>
        <v/>
      </c>
      <c r="D5263" s="46">
        <f>'Contractors'!AH227</f>
        <v/>
      </c>
      <c r="E5263" s="46">
        <f>IF(OR(B5263="",C5263="",D5263=""),"",D5263*100000+(C5263-DATE(2000,1,1))+ROW()/100000)</f>
        <v/>
      </c>
      <c r="F5263" s="46">
        <f>IF(E5263="","",IF(C5263&gt;WeekEndDate,"",E5263))</f>
        <v/>
      </c>
    </row>
    <row r="5264">
      <c r="A5264" t="inlineStr">
        <is>
          <t>Contractors</t>
        </is>
      </c>
      <c r="B5264" s="46">
        <f>'Contractors'!AI228</f>
        <v/>
      </c>
      <c r="C5264" s="84">
        <f>'Contractors'!AG228</f>
        <v/>
      </c>
      <c r="D5264" s="46">
        <f>'Contractors'!AH228</f>
        <v/>
      </c>
      <c r="E5264" s="46">
        <f>IF(OR(B5264="",C5264="",D5264=""),"",D5264*100000+(C5264-DATE(2000,1,1))+ROW()/100000)</f>
        <v/>
      </c>
      <c r="F5264" s="46">
        <f>IF(E5264="","",IF(C5264&gt;WeekEndDate,"",E5264))</f>
        <v/>
      </c>
    </row>
    <row r="5265">
      <c r="A5265" t="inlineStr">
        <is>
          <t>Contractors</t>
        </is>
      </c>
      <c r="B5265" s="46">
        <f>'Contractors'!AI229</f>
        <v/>
      </c>
      <c r="C5265" s="84">
        <f>'Contractors'!AG229</f>
        <v/>
      </c>
      <c r="D5265" s="46">
        <f>'Contractors'!AH229</f>
        <v/>
      </c>
      <c r="E5265" s="46">
        <f>IF(OR(B5265="",C5265="",D5265=""),"",D5265*100000+(C5265-DATE(2000,1,1))+ROW()/100000)</f>
        <v/>
      </c>
      <c r="F5265" s="46">
        <f>IF(E5265="","",IF(C5265&gt;WeekEndDate,"",E5265))</f>
        <v/>
      </c>
    </row>
    <row r="5266">
      <c r="A5266" t="inlineStr">
        <is>
          <t>Contractors</t>
        </is>
      </c>
      <c r="B5266" s="46">
        <f>'Contractors'!AI230</f>
        <v/>
      </c>
      <c r="C5266" s="84">
        <f>'Contractors'!AG230</f>
        <v/>
      </c>
      <c r="D5266" s="46">
        <f>'Contractors'!AH230</f>
        <v/>
      </c>
      <c r="E5266" s="46">
        <f>IF(OR(B5266="",C5266="",D5266=""),"",D5266*100000+(C5266-DATE(2000,1,1))+ROW()/100000)</f>
        <v/>
      </c>
      <c r="F5266" s="46">
        <f>IF(E5266="","",IF(C5266&gt;WeekEndDate,"",E5266))</f>
        <v/>
      </c>
    </row>
    <row r="5267">
      <c r="A5267" t="inlineStr">
        <is>
          <t>Contractors</t>
        </is>
      </c>
      <c r="B5267" s="46">
        <f>'Contractors'!AI231</f>
        <v/>
      </c>
      <c r="C5267" s="84">
        <f>'Contractors'!AG231</f>
        <v/>
      </c>
      <c r="D5267" s="46">
        <f>'Contractors'!AH231</f>
        <v/>
      </c>
      <c r="E5267" s="46">
        <f>IF(OR(B5267="",C5267="",D5267=""),"",D5267*100000+(C5267-DATE(2000,1,1))+ROW()/100000)</f>
        <v/>
      </c>
      <c r="F5267" s="46">
        <f>IF(E5267="","",IF(C5267&gt;WeekEndDate,"",E5267))</f>
        <v/>
      </c>
    </row>
    <row r="5268">
      <c r="A5268" t="inlineStr">
        <is>
          <t>Contractors</t>
        </is>
      </c>
      <c r="B5268" s="46">
        <f>'Contractors'!AI232</f>
        <v/>
      </c>
      <c r="C5268" s="84">
        <f>'Contractors'!AG232</f>
        <v/>
      </c>
      <c r="D5268" s="46">
        <f>'Contractors'!AH232</f>
        <v/>
      </c>
      <c r="E5268" s="46">
        <f>IF(OR(B5268="",C5268="",D5268=""),"",D5268*100000+(C5268-DATE(2000,1,1))+ROW()/100000)</f>
        <v/>
      </c>
      <c r="F5268" s="46">
        <f>IF(E5268="","",IF(C5268&gt;WeekEndDate,"",E5268))</f>
        <v/>
      </c>
    </row>
    <row r="5269">
      <c r="A5269" t="inlineStr">
        <is>
          <t>Contractors</t>
        </is>
      </c>
      <c r="B5269" s="46">
        <f>'Contractors'!AI233</f>
        <v/>
      </c>
      <c r="C5269" s="84">
        <f>'Contractors'!AG233</f>
        <v/>
      </c>
      <c r="D5269" s="46">
        <f>'Contractors'!AH233</f>
        <v/>
      </c>
      <c r="E5269" s="46">
        <f>IF(OR(B5269="",C5269="",D5269=""),"",D5269*100000+(C5269-DATE(2000,1,1))+ROW()/100000)</f>
        <v/>
      </c>
      <c r="F5269" s="46">
        <f>IF(E5269="","",IF(C5269&gt;WeekEndDate,"",E5269))</f>
        <v/>
      </c>
    </row>
    <row r="5270">
      <c r="A5270" t="inlineStr">
        <is>
          <t>Contractors</t>
        </is>
      </c>
      <c r="B5270" s="46">
        <f>'Contractors'!AI234</f>
        <v/>
      </c>
      <c r="C5270" s="84">
        <f>'Contractors'!AG234</f>
        <v/>
      </c>
      <c r="D5270" s="46">
        <f>'Contractors'!AH234</f>
        <v/>
      </c>
      <c r="E5270" s="46">
        <f>IF(OR(B5270="",C5270="",D5270=""),"",D5270*100000+(C5270-DATE(2000,1,1))+ROW()/100000)</f>
        <v/>
      </c>
      <c r="F5270" s="46">
        <f>IF(E5270="","",IF(C5270&gt;WeekEndDate,"",E5270))</f>
        <v/>
      </c>
    </row>
    <row r="5271">
      <c r="A5271" t="inlineStr">
        <is>
          <t>Contractors</t>
        </is>
      </c>
      <c r="B5271" s="46">
        <f>'Contractors'!AI235</f>
        <v/>
      </c>
      <c r="C5271" s="84">
        <f>'Contractors'!AG235</f>
        <v/>
      </c>
      <c r="D5271" s="46">
        <f>'Contractors'!AH235</f>
        <v/>
      </c>
      <c r="E5271" s="46">
        <f>IF(OR(B5271="",C5271="",D5271=""),"",D5271*100000+(C5271-DATE(2000,1,1))+ROW()/100000)</f>
        <v/>
      </c>
      <c r="F5271" s="46">
        <f>IF(E5271="","",IF(C5271&gt;WeekEndDate,"",E5271))</f>
        <v/>
      </c>
    </row>
    <row r="5272">
      <c r="A5272" t="inlineStr">
        <is>
          <t>Contractors</t>
        </is>
      </c>
      <c r="B5272" s="46">
        <f>'Contractors'!AI236</f>
        <v/>
      </c>
      <c r="C5272" s="84">
        <f>'Contractors'!AG236</f>
        <v/>
      </c>
      <c r="D5272" s="46">
        <f>'Contractors'!AH236</f>
        <v/>
      </c>
      <c r="E5272" s="46">
        <f>IF(OR(B5272="",C5272="",D5272=""),"",D5272*100000+(C5272-DATE(2000,1,1))+ROW()/100000)</f>
        <v/>
      </c>
      <c r="F5272" s="46">
        <f>IF(E5272="","",IF(C5272&gt;WeekEndDate,"",E5272))</f>
        <v/>
      </c>
    </row>
    <row r="5273">
      <c r="A5273" t="inlineStr">
        <is>
          <t>Contractors</t>
        </is>
      </c>
      <c r="B5273" s="46">
        <f>'Contractors'!AI237</f>
        <v/>
      </c>
      <c r="C5273" s="84">
        <f>'Contractors'!AG237</f>
        <v/>
      </c>
      <c r="D5273" s="46">
        <f>'Contractors'!AH237</f>
        <v/>
      </c>
      <c r="E5273" s="46">
        <f>IF(OR(B5273="",C5273="",D5273=""),"",D5273*100000+(C5273-DATE(2000,1,1))+ROW()/100000)</f>
        <v/>
      </c>
      <c r="F5273" s="46">
        <f>IF(E5273="","",IF(C5273&gt;WeekEndDate,"",E5273))</f>
        <v/>
      </c>
    </row>
    <row r="5274">
      <c r="A5274" t="inlineStr">
        <is>
          <t>Contractors</t>
        </is>
      </c>
      <c r="B5274" s="46">
        <f>'Contractors'!AI238</f>
        <v/>
      </c>
      <c r="C5274" s="84">
        <f>'Contractors'!AG238</f>
        <v/>
      </c>
      <c r="D5274" s="46">
        <f>'Contractors'!AH238</f>
        <v/>
      </c>
      <c r="E5274" s="46">
        <f>IF(OR(B5274="",C5274="",D5274=""),"",D5274*100000+(C5274-DATE(2000,1,1))+ROW()/100000)</f>
        <v/>
      </c>
      <c r="F5274" s="46">
        <f>IF(E5274="","",IF(C5274&gt;WeekEndDate,"",E5274))</f>
        <v/>
      </c>
    </row>
    <row r="5275">
      <c r="A5275" t="inlineStr">
        <is>
          <t>Contractors</t>
        </is>
      </c>
      <c r="B5275" s="46">
        <f>'Contractors'!AI239</f>
        <v/>
      </c>
      <c r="C5275" s="84">
        <f>'Contractors'!AG239</f>
        <v/>
      </c>
      <c r="D5275" s="46">
        <f>'Contractors'!AH239</f>
        <v/>
      </c>
      <c r="E5275" s="46">
        <f>IF(OR(B5275="",C5275="",D5275=""),"",D5275*100000+(C5275-DATE(2000,1,1))+ROW()/100000)</f>
        <v/>
      </c>
      <c r="F5275" s="46">
        <f>IF(E5275="","",IF(C5275&gt;WeekEndDate,"",E5275))</f>
        <v/>
      </c>
    </row>
    <row r="5276">
      <c r="A5276" t="inlineStr">
        <is>
          <t>Contractors</t>
        </is>
      </c>
      <c r="B5276" s="46">
        <f>'Contractors'!AI240</f>
        <v/>
      </c>
      <c r="C5276" s="84">
        <f>'Contractors'!AG240</f>
        <v/>
      </c>
      <c r="D5276" s="46">
        <f>'Contractors'!AH240</f>
        <v/>
      </c>
      <c r="E5276" s="46">
        <f>IF(OR(B5276="",C5276="",D5276=""),"",D5276*100000+(C5276-DATE(2000,1,1))+ROW()/100000)</f>
        <v/>
      </c>
      <c r="F5276" s="46">
        <f>IF(E5276="","",IF(C5276&gt;WeekEndDate,"",E5276))</f>
        <v/>
      </c>
    </row>
    <row r="5277">
      <c r="A5277" t="inlineStr">
        <is>
          <t>Contractors</t>
        </is>
      </c>
      <c r="B5277" s="46">
        <f>'Contractors'!AI241</f>
        <v/>
      </c>
      <c r="C5277" s="84">
        <f>'Contractors'!AG241</f>
        <v/>
      </c>
      <c r="D5277" s="46">
        <f>'Contractors'!AH241</f>
        <v/>
      </c>
      <c r="E5277" s="46">
        <f>IF(OR(B5277="",C5277="",D5277=""),"",D5277*100000+(C5277-DATE(2000,1,1))+ROW()/100000)</f>
        <v/>
      </c>
      <c r="F5277" s="46">
        <f>IF(E5277="","",IF(C5277&gt;WeekEndDate,"",E5277))</f>
        <v/>
      </c>
    </row>
    <row r="5278">
      <c r="A5278" t="inlineStr">
        <is>
          <t>Contractors</t>
        </is>
      </c>
      <c r="B5278" s="46">
        <f>'Contractors'!AI242</f>
        <v/>
      </c>
      <c r="C5278" s="84">
        <f>'Contractors'!AG242</f>
        <v/>
      </c>
      <c r="D5278" s="46">
        <f>'Contractors'!AH242</f>
        <v/>
      </c>
      <c r="E5278" s="46">
        <f>IF(OR(B5278="",C5278="",D5278=""),"",D5278*100000+(C5278-DATE(2000,1,1))+ROW()/100000)</f>
        <v/>
      </c>
      <c r="F5278" s="46">
        <f>IF(E5278="","",IF(C5278&gt;WeekEndDate,"",E5278))</f>
        <v/>
      </c>
    </row>
    <row r="5279">
      <c r="A5279" t="inlineStr">
        <is>
          <t>Contractors</t>
        </is>
      </c>
      <c r="B5279" s="46">
        <f>'Contractors'!AI243</f>
        <v/>
      </c>
      <c r="C5279" s="84">
        <f>'Contractors'!AG243</f>
        <v/>
      </c>
      <c r="D5279" s="46">
        <f>'Contractors'!AH243</f>
        <v/>
      </c>
      <c r="E5279" s="46">
        <f>IF(OR(B5279="",C5279="",D5279=""),"",D5279*100000+(C5279-DATE(2000,1,1))+ROW()/100000)</f>
        <v/>
      </c>
      <c r="F5279" s="46">
        <f>IF(E5279="","",IF(C5279&gt;WeekEndDate,"",E5279))</f>
        <v/>
      </c>
    </row>
    <row r="5280">
      <c r="A5280" t="inlineStr">
        <is>
          <t>Contractors</t>
        </is>
      </c>
      <c r="B5280" s="46">
        <f>'Contractors'!AI244</f>
        <v/>
      </c>
      <c r="C5280" s="84">
        <f>'Contractors'!AG244</f>
        <v/>
      </c>
      <c r="D5280" s="46">
        <f>'Contractors'!AH244</f>
        <v/>
      </c>
      <c r="E5280" s="46">
        <f>IF(OR(B5280="",C5280="",D5280=""),"",D5280*100000+(C5280-DATE(2000,1,1))+ROW()/100000)</f>
        <v/>
      </c>
      <c r="F5280" s="46">
        <f>IF(E5280="","",IF(C5280&gt;WeekEndDate,"",E5280))</f>
        <v/>
      </c>
    </row>
    <row r="5281">
      <c r="A5281" t="inlineStr">
        <is>
          <t>Contractors</t>
        </is>
      </c>
      <c r="B5281" s="46">
        <f>'Contractors'!AI245</f>
        <v/>
      </c>
      <c r="C5281" s="84">
        <f>'Contractors'!AG245</f>
        <v/>
      </c>
      <c r="D5281" s="46">
        <f>'Contractors'!AH245</f>
        <v/>
      </c>
      <c r="E5281" s="46">
        <f>IF(OR(B5281="",C5281="",D5281=""),"",D5281*100000+(C5281-DATE(2000,1,1))+ROW()/100000)</f>
        <v/>
      </c>
      <c r="F5281" s="46">
        <f>IF(E5281="","",IF(C5281&gt;WeekEndDate,"",E5281))</f>
        <v/>
      </c>
    </row>
    <row r="5282">
      <c r="A5282" t="inlineStr">
        <is>
          <t>Contractors</t>
        </is>
      </c>
      <c r="B5282" s="46">
        <f>'Contractors'!AI246</f>
        <v/>
      </c>
      <c r="C5282" s="84">
        <f>'Contractors'!AG246</f>
        <v/>
      </c>
      <c r="D5282" s="46">
        <f>'Contractors'!AH246</f>
        <v/>
      </c>
      <c r="E5282" s="46">
        <f>IF(OR(B5282="",C5282="",D5282=""),"",D5282*100000+(C5282-DATE(2000,1,1))+ROW()/100000)</f>
        <v/>
      </c>
      <c r="F5282" s="46">
        <f>IF(E5282="","",IF(C5282&gt;WeekEndDate,"",E5282))</f>
        <v/>
      </c>
    </row>
    <row r="5283">
      <c r="A5283" t="inlineStr">
        <is>
          <t>Contractors</t>
        </is>
      </c>
      <c r="B5283" s="46">
        <f>'Contractors'!AI247</f>
        <v/>
      </c>
      <c r="C5283" s="84">
        <f>'Contractors'!AG247</f>
        <v/>
      </c>
      <c r="D5283" s="46">
        <f>'Contractors'!AH247</f>
        <v/>
      </c>
      <c r="E5283" s="46">
        <f>IF(OR(B5283="",C5283="",D5283=""),"",D5283*100000+(C5283-DATE(2000,1,1))+ROW()/100000)</f>
        <v/>
      </c>
      <c r="F5283" s="46">
        <f>IF(E5283="","",IF(C5283&gt;WeekEndDate,"",E5283))</f>
        <v/>
      </c>
    </row>
    <row r="5284">
      <c r="A5284" t="inlineStr">
        <is>
          <t>Contractors</t>
        </is>
      </c>
      <c r="B5284" s="46">
        <f>'Contractors'!AI248</f>
        <v/>
      </c>
      <c r="C5284" s="84">
        <f>'Contractors'!AG248</f>
        <v/>
      </c>
      <c r="D5284" s="46">
        <f>'Contractors'!AH248</f>
        <v/>
      </c>
      <c r="E5284" s="46">
        <f>IF(OR(B5284="",C5284="",D5284=""),"",D5284*100000+(C5284-DATE(2000,1,1))+ROW()/100000)</f>
        <v/>
      </c>
      <c r="F5284" s="46">
        <f>IF(E5284="","",IF(C5284&gt;WeekEndDate,"",E5284))</f>
        <v/>
      </c>
    </row>
    <row r="5285">
      <c r="A5285" t="inlineStr">
        <is>
          <t>Contractors</t>
        </is>
      </c>
      <c r="B5285" s="46">
        <f>'Contractors'!AI249</f>
        <v/>
      </c>
      <c r="C5285" s="84">
        <f>'Contractors'!AG249</f>
        <v/>
      </c>
      <c r="D5285" s="46">
        <f>'Contractors'!AH249</f>
        <v/>
      </c>
      <c r="E5285" s="46">
        <f>IF(OR(B5285="",C5285="",D5285=""),"",D5285*100000+(C5285-DATE(2000,1,1))+ROW()/100000)</f>
        <v/>
      </c>
      <c r="F5285" s="46">
        <f>IF(E5285="","",IF(C5285&gt;WeekEndDate,"",E5285))</f>
        <v/>
      </c>
    </row>
    <row r="5286">
      <c r="A5286" t="inlineStr">
        <is>
          <t>Contractors</t>
        </is>
      </c>
      <c r="B5286" s="46">
        <f>'Contractors'!AI250</f>
        <v/>
      </c>
      <c r="C5286" s="84">
        <f>'Contractors'!AG250</f>
        <v/>
      </c>
      <c r="D5286" s="46">
        <f>'Contractors'!AH250</f>
        <v/>
      </c>
      <c r="E5286" s="46">
        <f>IF(OR(B5286="",C5286="",D5286=""),"",D5286*100000+(C5286-DATE(2000,1,1))+ROW()/100000)</f>
        <v/>
      </c>
      <c r="F5286" s="46">
        <f>IF(E5286="","",IF(C5286&gt;WeekEndDate,"",E5286))</f>
        <v/>
      </c>
    </row>
    <row r="5287">
      <c r="A5287" t="inlineStr">
        <is>
          <t>Contractors</t>
        </is>
      </c>
      <c r="B5287" s="46">
        <f>'Contractors'!AI251</f>
        <v/>
      </c>
      <c r="C5287" s="84">
        <f>'Contractors'!AG251</f>
        <v/>
      </c>
      <c r="D5287" s="46">
        <f>'Contractors'!AH251</f>
        <v/>
      </c>
      <c r="E5287" s="46">
        <f>IF(OR(B5287="",C5287="",D5287=""),"",D5287*100000+(C5287-DATE(2000,1,1))+ROW()/100000)</f>
        <v/>
      </c>
      <c r="F5287" s="46">
        <f>IF(E5287="","",IF(C5287&gt;WeekEndDate,"",E5287))</f>
        <v/>
      </c>
    </row>
    <row r="5288">
      <c r="A5288" t="inlineStr">
        <is>
          <t>Contractors</t>
        </is>
      </c>
      <c r="B5288" s="46">
        <f>'Contractors'!AI252</f>
        <v/>
      </c>
      <c r="C5288" s="84">
        <f>'Contractors'!AG252</f>
        <v/>
      </c>
      <c r="D5288" s="46">
        <f>'Contractors'!AH252</f>
        <v/>
      </c>
      <c r="E5288" s="46">
        <f>IF(OR(B5288="",C5288="",D5288=""),"",D5288*100000+(C5288-DATE(2000,1,1))+ROW()/100000)</f>
        <v/>
      </c>
      <c r="F5288" s="46">
        <f>IF(E5288="","",IF(C5288&gt;WeekEndDate,"",E5288))</f>
        <v/>
      </c>
    </row>
    <row r="5289">
      <c r="A5289" t="inlineStr">
        <is>
          <t>Contractors</t>
        </is>
      </c>
      <c r="B5289" s="46">
        <f>'Contractors'!AI253</f>
        <v/>
      </c>
      <c r="C5289" s="84">
        <f>'Contractors'!AG253</f>
        <v/>
      </c>
      <c r="D5289" s="46">
        <f>'Contractors'!AH253</f>
        <v/>
      </c>
      <c r="E5289" s="46">
        <f>IF(OR(B5289="",C5289="",D5289=""),"",D5289*100000+(C5289-DATE(2000,1,1))+ROW()/100000)</f>
        <v/>
      </c>
      <c r="F5289" s="46">
        <f>IF(E5289="","",IF(C5289&gt;WeekEndDate,"",E5289))</f>
        <v/>
      </c>
    </row>
    <row r="5290">
      <c r="A5290" t="inlineStr">
        <is>
          <t>Contractors</t>
        </is>
      </c>
      <c r="B5290" s="46">
        <f>'Contractors'!AI254</f>
        <v/>
      </c>
      <c r="C5290" s="84">
        <f>'Contractors'!AG254</f>
        <v/>
      </c>
      <c r="D5290" s="46">
        <f>'Contractors'!AH254</f>
        <v/>
      </c>
      <c r="E5290" s="46">
        <f>IF(OR(B5290="",C5290="",D5290=""),"",D5290*100000+(C5290-DATE(2000,1,1))+ROW()/100000)</f>
        <v/>
      </c>
      <c r="F5290" s="46">
        <f>IF(E5290="","",IF(C5290&gt;WeekEndDate,"",E5290))</f>
        <v/>
      </c>
    </row>
    <row r="5291">
      <c r="A5291" t="inlineStr">
        <is>
          <t>Contractors</t>
        </is>
      </c>
      <c r="B5291" s="46">
        <f>'Contractors'!AI255</f>
        <v/>
      </c>
      <c r="C5291" s="84">
        <f>'Contractors'!AG255</f>
        <v/>
      </c>
      <c r="D5291" s="46">
        <f>'Contractors'!AH255</f>
        <v/>
      </c>
      <c r="E5291" s="46">
        <f>IF(OR(B5291="",C5291="",D5291=""),"",D5291*100000+(C5291-DATE(2000,1,1))+ROW()/100000)</f>
        <v/>
      </c>
      <c r="F5291" s="46">
        <f>IF(E5291="","",IF(C5291&gt;WeekEndDate,"",E5291))</f>
        <v/>
      </c>
    </row>
    <row r="5292">
      <c r="A5292" t="inlineStr">
        <is>
          <t>Contractors</t>
        </is>
      </c>
      <c r="B5292" s="46">
        <f>'Contractors'!AI256</f>
        <v/>
      </c>
      <c r="C5292" s="84">
        <f>'Contractors'!AG256</f>
        <v/>
      </c>
      <c r="D5292" s="46">
        <f>'Contractors'!AH256</f>
        <v/>
      </c>
      <c r="E5292" s="46">
        <f>IF(OR(B5292="",C5292="",D5292=""),"",D5292*100000+(C5292-DATE(2000,1,1))+ROW()/100000)</f>
        <v/>
      </c>
      <c r="F5292" s="46">
        <f>IF(E5292="","",IF(C5292&gt;WeekEndDate,"",E5292))</f>
        <v/>
      </c>
    </row>
    <row r="5293">
      <c r="A5293" t="inlineStr">
        <is>
          <t>Contractors</t>
        </is>
      </c>
      <c r="B5293" s="46">
        <f>'Contractors'!AI257</f>
        <v/>
      </c>
      <c r="C5293" s="84">
        <f>'Contractors'!AG257</f>
        <v/>
      </c>
      <c r="D5293" s="46">
        <f>'Contractors'!AH257</f>
        <v/>
      </c>
      <c r="E5293" s="46">
        <f>IF(OR(B5293="",C5293="",D5293=""),"",D5293*100000+(C5293-DATE(2000,1,1))+ROW()/100000)</f>
        <v/>
      </c>
      <c r="F5293" s="46">
        <f>IF(E5293="","",IF(C5293&gt;WeekEndDate,"",E5293))</f>
        <v/>
      </c>
    </row>
    <row r="5294">
      <c r="A5294" t="inlineStr">
        <is>
          <t>Contractors</t>
        </is>
      </c>
      <c r="B5294" s="46">
        <f>'Contractors'!AI258</f>
        <v/>
      </c>
      <c r="C5294" s="84">
        <f>'Contractors'!AG258</f>
        <v/>
      </c>
      <c r="D5294" s="46">
        <f>'Contractors'!AH258</f>
        <v/>
      </c>
      <c r="E5294" s="46">
        <f>IF(OR(B5294="",C5294="",D5294=""),"",D5294*100000+(C5294-DATE(2000,1,1))+ROW()/100000)</f>
        <v/>
      </c>
      <c r="F5294" s="46">
        <f>IF(E5294="","",IF(C5294&gt;WeekEndDate,"",E5294))</f>
        <v/>
      </c>
    </row>
    <row r="5295">
      <c r="A5295" t="inlineStr">
        <is>
          <t>Contractors</t>
        </is>
      </c>
      <c r="B5295" s="46">
        <f>'Contractors'!AI259</f>
        <v/>
      </c>
      <c r="C5295" s="84">
        <f>'Contractors'!AG259</f>
        <v/>
      </c>
      <c r="D5295" s="46">
        <f>'Contractors'!AH259</f>
        <v/>
      </c>
      <c r="E5295" s="46">
        <f>IF(OR(B5295="",C5295="",D5295=""),"",D5295*100000+(C5295-DATE(2000,1,1))+ROW()/100000)</f>
        <v/>
      </c>
      <c r="F5295" s="46">
        <f>IF(E5295="","",IF(C5295&gt;WeekEndDate,"",E5295))</f>
        <v/>
      </c>
    </row>
    <row r="5296">
      <c r="A5296" t="inlineStr">
        <is>
          <t>Contractors</t>
        </is>
      </c>
      <c r="B5296" s="46">
        <f>'Contractors'!AI260</f>
        <v/>
      </c>
      <c r="C5296" s="84">
        <f>'Contractors'!AG260</f>
        <v/>
      </c>
      <c r="D5296" s="46">
        <f>'Contractors'!AH260</f>
        <v/>
      </c>
      <c r="E5296" s="46">
        <f>IF(OR(B5296="",C5296="",D5296=""),"",D5296*100000+(C5296-DATE(2000,1,1))+ROW()/100000)</f>
        <v/>
      </c>
      <c r="F5296" s="46">
        <f>IF(E5296="","",IF(C5296&gt;WeekEndDate,"",E5296))</f>
        <v/>
      </c>
    </row>
    <row r="5297">
      <c r="A5297" t="inlineStr">
        <is>
          <t>Contractors</t>
        </is>
      </c>
      <c r="B5297" s="46">
        <f>'Contractors'!AI261</f>
        <v/>
      </c>
      <c r="C5297" s="84">
        <f>'Contractors'!AG261</f>
        <v/>
      </c>
      <c r="D5297" s="46">
        <f>'Contractors'!AH261</f>
        <v/>
      </c>
      <c r="E5297" s="46">
        <f>IF(OR(B5297="",C5297="",D5297=""),"",D5297*100000+(C5297-DATE(2000,1,1))+ROW()/100000)</f>
        <v/>
      </c>
      <c r="F5297" s="46">
        <f>IF(E5297="","",IF(C5297&gt;WeekEndDate,"",E5297))</f>
        <v/>
      </c>
    </row>
    <row r="5298">
      <c r="A5298" t="inlineStr">
        <is>
          <t>Contractors</t>
        </is>
      </c>
      <c r="B5298" s="46">
        <f>'Contractors'!AI262</f>
        <v/>
      </c>
      <c r="C5298" s="84">
        <f>'Contractors'!AG262</f>
        <v/>
      </c>
      <c r="D5298" s="46">
        <f>'Contractors'!AH262</f>
        <v/>
      </c>
      <c r="E5298" s="46">
        <f>IF(OR(B5298="",C5298="",D5298=""),"",D5298*100000+(C5298-DATE(2000,1,1))+ROW()/100000)</f>
        <v/>
      </c>
      <c r="F5298" s="46">
        <f>IF(E5298="","",IF(C5298&gt;WeekEndDate,"",E5298))</f>
        <v/>
      </c>
    </row>
    <row r="5299">
      <c r="A5299" t="inlineStr">
        <is>
          <t>Contractors</t>
        </is>
      </c>
      <c r="B5299" s="46">
        <f>'Contractors'!AI263</f>
        <v/>
      </c>
      <c r="C5299" s="84">
        <f>'Contractors'!AG263</f>
        <v/>
      </c>
      <c r="D5299" s="46">
        <f>'Contractors'!AH263</f>
        <v/>
      </c>
      <c r="E5299" s="46">
        <f>IF(OR(B5299="",C5299="",D5299=""),"",D5299*100000+(C5299-DATE(2000,1,1))+ROW()/100000)</f>
        <v/>
      </c>
      <c r="F5299" s="46">
        <f>IF(E5299="","",IF(C5299&gt;WeekEndDate,"",E5299))</f>
        <v/>
      </c>
    </row>
    <row r="5300">
      <c r="A5300" t="inlineStr">
        <is>
          <t>Contractors</t>
        </is>
      </c>
      <c r="B5300" s="46">
        <f>'Contractors'!AI264</f>
        <v/>
      </c>
      <c r="C5300" s="84">
        <f>'Contractors'!AG264</f>
        <v/>
      </c>
      <c r="D5300" s="46">
        <f>'Contractors'!AH264</f>
        <v/>
      </c>
      <c r="E5300" s="46">
        <f>IF(OR(B5300="",C5300="",D5300=""),"",D5300*100000+(C5300-DATE(2000,1,1))+ROW()/100000)</f>
        <v/>
      </c>
      <c r="F5300" s="46">
        <f>IF(E5300="","",IF(C5300&gt;WeekEndDate,"",E5300))</f>
        <v/>
      </c>
    </row>
    <row r="5301">
      <c r="A5301" t="inlineStr">
        <is>
          <t>Contractors</t>
        </is>
      </c>
      <c r="B5301" s="46">
        <f>'Contractors'!AI265</f>
        <v/>
      </c>
      <c r="C5301" s="84">
        <f>'Contractors'!AG265</f>
        <v/>
      </c>
      <c r="D5301" s="46">
        <f>'Contractors'!AH265</f>
        <v/>
      </c>
      <c r="E5301" s="46">
        <f>IF(OR(B5301="",C5301="",D5301=""),"",D5301*100000+(C5301-DATE(2000,1,1))+ROW()/100000)</f>
        <v/>
      </c>
      <c r="F5301" s="46">
        <f>IF(E5301="","",IF(C5301&gt;WeekEndDate,"",E5301))</f>
        <v/>
      </c>
    </row>
    <row r="5302">
      <c r="A5302" t="inlineStr">
        <is>
          <t>Contractors</t>
        </is>
      </c>
      <c r="B5302" s="46">
        <f>'Contractors'!AI266</f>
        <v/>
      </c>
      <c r="C5302" s="84">
        <f>'Contractors'!AG266</f>
        <v/>
      </c>
      <c r="D5302" s="46">
        <f>'Contractors'!AH266</f>
        <v/>
      </c>
      <c r="E5302" s="46">
        <f>IF(OR(B5302="",C5302="",D5302=""),"",D5302*100000+(C5302-DATE(2000,1,1))+ROW()/100000)</f>
        <v/>
      </c>
      <c r="F5302" s="46">
        <f>IF(E5302="","",IF(C5302&gt;WeekEndDate,"",E5302))</f>
        <v/>
      </c>
    </row>
    <row r="5303">
      <c r="A5303" t="inlineStr">
        <is>
          <t>Contractors</t>
        </is>
      </c>
      <c r="B5303" s="46">
        <f>'Contractors'!AI267</f>
        <v/>
      </c>
      <c r="C5303" s="84">
        <f>'Contractors'!AG267</f>
        <v/>
      </c>
      <c r="D5303" s="46">
        <f>'Contractors'!AH267</f>
        <v/>
      </c>
      <c r="E5303" s="46">
        <f>IF(OR(B5303="",C5303="",D5303=""),"",D5303*100000+(C5303-DATE(2000,1,1))+ROW()/100000)</f>
        <v/>
      </c>
      <c r="F5303" s="46">
        <f>IF(E5303="","",IF(C5303&gt;WeekEndDate,"",E5303))</f>
        <v/>
      </c>
    </row>
    <row r="5304">
      <c r="A5304" t="inlineStr">
        <is>
          <t>Contractors</t>
        </is>
      </c>
      <c r="B5304" s="46">
        <f>'Contractors'!AI268</f>
        <v/>
      </c>
      <c r="C5304" s="84">
        <f>'Contractors'!AG268</f>
        <v/>
      </c>
      <c r="D5304" s="46">
        <f>'Contractors'!AH268</f>
        <v/>
      </c>
      <c r="E5304" s="46">
        <f>IF(OR(B5304="",C5304="",D5304=""),"",D5304*100000+(C5304-DATE(2000,1,1))+ROW()/100000)</f>
        <v/>
      </c>
      <c r="F5304" s="46">
        <f>IF(E5304="","",IF(C5304&gt;WeekEndDate,"",E5304))</f>
        <v/>
      </c>
    </row>
    <row r="5305">
      <c r="A5305" t="inlineStr">
        <is>
          <t>Contractors</t>
        </is>
      </c>
      <c r="B5305" s="46">
        <f>'Contractors'!AI269</f>
        <v/>
      </c>
      <c r="C5305" s="84">
        <f>'Contractors'!AG269</f>
        <v/>
      </c>
      <c r="D5305" s="46">
        <f>'Contractors'!AH269</f>
        <v/>
      </c>
      <c r="E5305" s="46">
        <f>IF(OR(B5305="",C5305="",D5305=""),"",D5305*100000+(C5305-DATE(2000,1,1))+ROW()/100000)</f>
        <v/>
      </c>
      <c r="F5305" s="46">
        <f>IF(E5305="","",IF(C5305&gt;WeekEndDate,"",E5305))</f>
        <v/>
      </c>
    </row>
    <row r="5306">
      <c r="A5306" t="inlineStr">
        <is>
          <t>Contractors</t>
        </is>
      </c>
      <c r="B5306" s="46">
        <f>'Contractors'!AI270</f>
        <v/>
      </c>
      <c r="C5306" s="84">
        <f>'Contractors'!AG270</f>
        <v/>
      </c>
      <c r="D5306" s="46">
        <f>'Contractors'!AH270</f>
        <v/>
      </c>
      <c r="E5306" s="46">
        <f>IF(OR(B5306="",C5306="",D5306=""),"",D5306*100000+(C5306-DATE(2000,1,1))+ROW()/100000)</f>
        <v/>
      </c>
      <c r="F5306" s="46">
        <f>IF(E5306="","",IF(C5306&gt;WeekEndDate,"",E5306))</f>
        <v/>
      </c>
    </row>
    <row r="5307">
      <c r="A5307" t="inlineStr">
        <is>
          <t>Contractors</t>
        </is>
      </c>
      <c r="B5307" s="46">
        <f>'Contractors'!AI271</f>
        <v/>
      </c>
      <c r="C5307" s="84">
        <f>'Contractors'!AG271</f>
        <v/>
      </c>
      <c r="D5307" s="46">
        <f>'Contractors'!AH271</f>
        <v/>
      </c>
      <c r="E5307" s="46">
        <f>IF(OR(B5307="",C5307="",D5307=""),"",D5307*100000+(C5307-DATE(2000,1,1))+ROW()/100000)</f>
        <v/>
      </c>
      <c r="F5307" s="46">
        <f>IF(E5307="","",IF(C5307&gt;WeekEndDate,"",E5307))</f>
        <v/>
      </c>
    </row>
    <row r="5308">
      <c r="A5308" t="inlineStr">
        <is>
          <t>Contractors</t>
        </is>
      </c>
      <c r="B5308" s="46">
        <f>'Contractors'!AI272</f>
        <v/>
      </c>
      <c r="C5308" s="84">
        <f>'Contractors'!AG272</f>
        <v/>
      </c>
      <c r="D5308" s="46">
        <f>'Contractors'!AH272</f>
        <v/>
      </c>
      <c r="E5308" s="46">
        <f>IF(OR(B5308="",C5308="",D5308=""),"",D5308*100000+(C5308-DATE(2000,1,1))+ROW()/100000)</f>
        <v/>
      </c>
      <c r="F5308" s="46">
        <f>IF(E5308="","",IF(C5308&gt;WeekEndDate,"",E5308))</f>
        <v/>
      </c>
    </row>
    <row r="5309">
      <c r="A5309" t="inlineStr">
        <is>
          <t>Contractors</t>
        </is>
      </c>
      <c r="B5309" s="46">
        <f>'Contractors'!AI273</f>
        <v/>
      </c>
      <c r="C5309" s="84">
        <f>'Contractors'!AG273</f>
        <v/>
      </c>
      <c r="D5309" s="46">
        <f>'Contractors'!AH273</f>
        <v/>
      </c>
      <c r="E5309" s="46">
        <f>IF(OR(B5309="",C5309="",D5309=""),"",D5309*100000+(C5309-DATE(2000,1,1))+ROW()/100000)</f>
        <v/>
      </c>
      <c r="F5309" s="46">
        <f>IF(E5309="","",IF(C5309&gt;WeekEndDate,"",E5309))</f>
        <v/>
      </c>
    </row>
    <row r="5310">
      <c r="A5310" t="inlineStr">
        <is>
          <t>Contractors</t>
        </is>
      </c>
      <c r="B5310" s="46">
        <f>'Contractors'!AI274</f>
        <v/>
      </c>
      <c r="C5310" s="84">
        <f>'Contractors'!AG274</f>
        <v/>
      </c>
      <c r="D5310" s="46">
        <f>'Contractors'!AH274</f>
        <v/>
      </c>
      <c r="E5310" s="46">
        <f>IF(OR(B5310="",C5310="",D5310=""),"",D5310*100000+(C5310-DATE(2000,1,1))+ROW()/100000)</f>
        <v/>
      </c>
      <c r="F5310" s="46">
        <f>IF(E5310="","",IF(C5310&gt;WeekEndDate,"",E5310))</f>
        <v/>
      </c>
    </row>
    <row r="5311">
      <c r="A5311" t="inlineStr">
        <is>
          <t>Contractors</t>
        </is>
      </c>
      <c r="B5311" s="46">
        <f>'Contractors'!AI275</f>
        <v/>
      </c>
      <c r="C5311" s="84">
        <f>'Contractors'!AG275</f>
        <v/>
      </c>
      <c r="D5311" s="46">
        <f>'Contractors'!AH275</f>
        <v/>
      </c>
      <c r="E5311" s="46">
        <f>IF(OR(B5311="",C5311="",D5311=""),"",D5311*100000+(C5311-DATE(2000,1,1))+ROW()/100000)</f>
        <v/>
      </c>
      <c r="F5311" s="46">
        <f>IF(E5311="","",IF(C5311&gt;WeekEndDate,"",E5311))</f>
        <v/>
      </c>
    </row>
    <row r="5312">
      <c r="A5312" t="inlineStr">
        <is>
          <t>Contractors</t>
        </is>
      </c>
      <c r="B5312" s="46">
        <f>'Contractors'!AI276</f>
        <v/>
      </c>
      <c r="C5312" s="84">
        <f>'Contractors'!AG276</f>
        <v/>
      </c>
      <c r="D5312" s="46">
        <f>'Contractors'!AH276</f>
        <v/>
      </c>
      <c r="E5312" s="46">
        <f>IF(OR(B5312="",C5312="",D5312=""),"",D5312*100000+(C5312-DATE(2000,1,1))+ROW()/100000)</f>
        <v/>
      </c>
      <c r="F5312" s="46">
        <f>IF(E5312="","",IF(C5312&gt;WeekEndDate,"",E5312))</f>
        <v/>
      </c>
    </row>
    <row r="5313">
      <c r="A5313" t="inlineStr">
        <is>
          <t>Contractors</t>
        </is>
      </c>
      <c r="B5313" s="46">
        <f>'Contractors'!AI277</f>
        <v/>
      </c>
      <c r="C5313" s="84">
        <f>'Contractors'!AG277</f>
        <v/>
      </c>
      <c r="D5313" s="46">
        <f>'Contractors'!AH277</f>
        <v/>
      </c>
      <c r="E5313" s="46">
        <f>IF(OR(B5313="",C5313="",D5313=""),"",D5313*100000+(C5313-DATE(2000,1,1))+ROW()/100000)</f>
        <v/>
      </c>
      <c r="F5313" s="46">
        <f>IF(E5313="","",IF(C5313&gt;WeekEndDate,"",E5313))</f>
        <v/>
      </c>
    </row>
    <row r="5314">
      <c r="A5314" t="inlineStr">
        <is>
          <t>Contractors</t>
        </is>
      </c>
      <c r="B5314" s="46">
        <f>'Contractors'!AI278</f>
        <v/>
      </c>
      <c r="C5314" s="84">
        <f>'Contractors'!AG278</f>
        <v/>
      </c>
      <c r="D5314" s="46">
        <f>'Contractors'!AH278</f>
        <v/>
      </c>
      <c r="E5314" s="46">
        <f>IF(OR(B5314="",C5314="",D5314=""),"",D5314*100000+(C5314-DATE(2000,1,1))+ROW()/100000)</f>
        <v/>
      </c>
      <c r="F5314" s="46">
        <f>IF(E5314="","",IF(C5314&gt;WeekEndDate,"",E5314))</f>
        <v/>
      </c>
    </row>
    <row r="5315">
      <c r="A5315" t="inlineStr">
        <is>
          <t>Contractors</t>
        </is>
      </c>
      <c r="B5315" s="46">
        <f>'Contractors'!AI279</f>
        <v/>
      </c>
      <c r="C5315" s="84">
        <f>'Contractors'!AG279</f>
        <v/>
      </c>
      <c r="D5315" s="46">
        <f>'Contractors'!AH279</f>
        <v/>
      </c>
      <c r="E5315" s="46">
        <f>IF(OR(B5315="",C5315="",D5315=""),"",D5315*100000+(C5315-DATE(2000,1,1))+ROW()/100000)</f>
        <v/>
      </c>
      <c r="F5315" s="46">
        <f>IF(E5315="","",IF(C5315&gt;WeekEndDate,"",E5315))</f>
        <v/>
      </c>
    </row>
    <row r="5316">
      <c r="A5316" t="inlineStr">
        <is>
          <t>Contractors</t>
        </is>
      </c>
      <c r="B5316" s="46">
        <f>'Contractors'!AI280</f>
        <v/>
      </c>
      <c r="C5316" s="84">
        <f>'Contractors'!AG280</f>
        <v/>
      </c>
      <c r="D5316" s="46">
        <f>'Contractors'!AH280</f>
        <v/>
      </c>
      <c r="E5316" s="46">
        <f>IF(OR(B5316="",C5316="",D5316=""),"",D5316*100000+(C5316-DATE(2000,1,1))+ROW()/100000)</f>
        <v/>
      </c>
      <c r="F5316" s="46">
        <f>IF(E5316="","",IF(C5316&gt;WeekEndDate,"",E5316))</f>
        <v/>
      </c>
    </row>
    <row r="5317">
      <c r="A5317" t="inlineStr">
        <is>
          <t>Contractors</t>
        </is>
      </c>
      <c r="B5317" s="46">
        <f>'Contractors'!AI281</f>
        <v/>
      </c>
      <c r="C5317" s="84">
        <f>'Contractors'!AG281</f>
        <v/>
      </c>
      <c r="D5317" s="46">
        <f>'Contractors'!AH281</f>
        <v/>
      </c>
      <c r="E5317" s="46">
        <f>IF(OR(B5317="",C5317="",D5317=""),"",D5317*100000+(C5317-DATE(2000,1,1))+ROW()/100000)</f>
        <v/>
      </c>
      <c r="F5317" s="46">
        <f>IF(E5317="","",IF(C5317&gt;WeekEndDate,"",E5317))</f>
        <v/>
      </c>
    </row>
    <row r="5318">
      <c r="A5318" t="inlineStr">
        <is>
          <t>Contractors</t>
        </is>
      </c>
      <c r="B5318" s="46">
        <f>'Contractors'!AI282</f>
        <v/>
      </c>
      <c r="C5318" s="84">
        <f>'Contractors'!AG282</f>
        <v/>
      </c>
      <c r="D5318" s="46">
        <f>'Contractors'!AH282</f>
        <v/>
      </c>
      <c r="E5318" s="46">
        <f>IF(OR(B5318="",C5318="",D5318=""),"",D5318*100000+(C5318-DATE(2000,1,1))+ROW()/100000)</f>
        <v/>
      </c>
      <c r="F5318" s="46">
        <f>IF(E5318="","",IF(C5318&gt;WeekEndDate,"",E5318))</f>
        <v/>
      </c>
    </row>
    <row r="5319">
      <c r="A5319" t="inlineStr">
        <is>
          <t>Contractors</t>
        </is>
      </c>
      <c r="B5319" s="46">
        <f>'Contractors'!AI283</f>
        <v/>
      </c>
      <c r="C5319" s="84">
        <f>'Contractors'!AG283</f>
        <v/>
      </c>
      <c r="D5319" s="46">
        <f>'Contractors'!AH283</f>
        <v/>
      </c>
      <c r="E5319" s="46">
        <f>IF(OR(B5319="",C5319="",D5319=""),"",D5319*100000+(C5319-DATE(2000,1,1))+ROW()/100000)</f>
        <v/>
      </c>
      <c r="F5319" s="46">
        <f>IF(E5319="","",IF(C5319&gt;WeekEndDate,"",E5319))</f>
        <v/>
      </c>
    </row>
    <row r="5320">
      <c r="A5320" t="inlineStr">
        <is>
          <t>Contractors</t>
        </is>
      </c>
      <c r="B5320" s="46">
        <f>'Contractors'!AI284</f>
        <v/>
      </c>
      <c r="C5320" s="84">
        <f>'Contractors'!AG284</f>
        <v/>
      </c>
      <c r="D5320" s="46">
        <f>'Contractors'!AH284</f>
        <v/>
      </c>
      <c r="E5320" s="46">
        <f>IF(OR(B5320="",C5320="",D5320=""),"",D5320*100000+(C5320-DATE(2000,1,1))+ROW()/100000)</f>
        <v/>
      </c>
      <c r="F5320" s="46">
        <f>IF(E5320="","",IF(C5320&gt;WeekEndDate,"",E5320))</f>
        <v/>
      </c>
    </row>
    <row r="5321">
      <c r="A5321" t="inlineStr">
        <is>
          <t>Contractors</t>
        </is>
      </c>
      <c r="B5321" s="46">
        <f>'Contractors'!AI285</f>
        <v/>
      </c>
      <c r="C5321" s="84">
        <f>'Contractors'!AG285</f>
        <v/>
      </c>
      <c r="D5321" s="46">
        <f>'Contractors'!AH285</f>
        <v/>
      </c>
      <c r="E5321" s="46">
        <f>IF(OR(B5321="",C5321="",D5321=""),"",D5321*100000+(C5321-DATE(2000,1,1))+ROW()/100000)</f>
        <v/>
      </c>
      <c r="F5321" s="46">
        <f>IF(E5321="","",IF(C5321&gt;WeekEndDate,"",E5321))</f>
        <v/>
      </c>
    </row>
    <row r="5322">
      <c r="A5322" t="inlineStr">
        <is>
          <t>Contractors</t>
        </is>
      </c>
      <c r="B5322" s="46">
        <f>'Contractors'!AI286</f>
        <v/>
      </c>
      <c r="C5322" s="84">
        <f>'Contractors'!AG286</f>
        <v/>
      </c>
      <c r="D5322" s="46">
        <f>'Contractors'!AH286</f>
        <v/>
      </c>
      <c r="E5322" s="46">
        <f>IF(OR(B5322="",C5322="",D5322=""),"",D5322*100000+(C5322-DATE(2000,1,1))+ROW()/100000)</f>
        <v/>
      </c>
      <c r="F5322" s="46">
        <f>IF(E5322="","",IF(C5322&gt;WeekEndDate,"",E5322))</f>
        <v/>
      </c>
    </row>
    <row r="5323">
      <c r="A5323" t="inlineStr">
        <is>
          <t>Contractors</t>
        </is>
      </c>
      <c r="B5323" s="46">
        <f>'Contractors'!AI287</f>
        <v/>
      </c>
      <c r="C5323" s="84">
        <f>'Contractors'!AG287</f>
        <v/>
      </c>
      <c r="D5323" s="46">
        <f>'Contractors'!AH287</f>
        <v/>
      </c>
      <c r="E5323" s="46">
        <f>IF(OR(B5323="",C5323="",D5323=""),"",D5323*100000+(C5323-DATE(2000,1,1))+ROW()/100000)</f>
        <v/>
      </c>
      <c r="F5323" s="46">
        <f>IF(E5323="","",IF(C5323&gt;WeekEndDate,"",E5323))</f>
        <v/>
      </c>
    </row>
    <row r="5324">
      <c r="A5324" t="inlineStr">
        <is>
          <t>Contractors</t>
        </is>
      </c>
      <c r="B5324" s="46">
        <f>'Contractors'!AI288</f>
        <v/>
      </c>
      <c r="C5324" s="84">
        <f>'Contractors'!AG288</f>
        <v/>
      </c>
      <c r="D5324" s="46">
        <f>'Contractors'!AH288</f>
        <v/>
      </c>
      <c r="E5324" s="46">
        <f>IF(OR(B5324="",C5324="",D5324=""),"",D5324*100000+(C5324-DATE(2000,1,1))+ROW()/100000)</f>
        <v/>
      </c>
      <c r="F5324" s="46">
        <f>IF(E5324="","",IF(C5324&gt;WeekEndDate,"",E5324))</f>
        <v/>
      </c>
    </row>
    <row r="5325">
      <c r="A5325" t="inlineStr">
        <is>
          <t>Contractors</t>
        </is>
      </c>
      <c r="B5325" s="46">
        <f>'Contractors'!AI289</f>
        <v/>
      </c>
      <c r="C5325" s="84">
        <f>'Contractors'!AG289</f>
        <v/>
      </c>
      <c r="D5325" s="46">
        <f>'Contractors'!AH289</f>
        <v/>
      </c>
      <c r="E5325" s="46">
        <f>IF(OR(B5325="",C5325="",D5325=""),"",D5325*100000+(C5325-DATE(2000,1,1))+ROW()/100000)</f>
        <v/>
      </c>
      <c r="F5325" s="46">
        <f>IF(E5325="","",IF(C5325&gt;WeekEndDate,"",E5325))</f>
        <v/>
      </c>
    </row>
    <row r="5326">
      <c r="A5326" t="inlineStr">
        <is>
          <t>Contractors</t>
        </is>
      </c>
      <c r="B5326" s="46">
        <f>'Contractors'!AI290</f>
        <v/>
      </c>
      <c r="C5326" s="84">
        <f>'Contractors'!AG290</f>
        <v/>
      </c>
      <c r="D5326" s="46">
        <f>'Contractors'!AH290</f>
        <v/>
      </c>
      <c r="E5326" s="46">
        <f>IF(OR(B5326="",C5326="",D5326=""),"",D5326*100000+(C5326-DATE(2000,1,1))+ROW()/100000)</f>
        <v/>
      </c>
      <c r="F5326" s="46">
        <f>IF(E5326="","",IF(C5326&gt;WeekEndDate,"",E5326))</f>
        <v/>
      </c>
    </row>
    <row r="5327">
      <c r="A5327" t="inlineStr">
        <is>
          <t>Contractors</t>
        </is>
      </c>
      <c r="B5327" s="46">
        <f>'Contractors'!AI291</f>
        <v/>
      </c>
      <c r="C5327" s="84">
        <f>'Contractors'!AG291</f>
        <v/>
      </c>
      <c r="D5327" s="46">
        <f>'Contractors'!AH291</f>
        <v/>
      </c>
      <c r="E5327" s="46">
        <f>IF(OR(B5327="",C5327="",D5327=""),"",D5327*100000+(C5327-DATE(2000,1,1))+ROW()/100000)</f>
        <v/>
      </c>
      <c r="F5327" s="46">
        <f>IF(E5327="","",IF(C5327&gt;WeekEndDate,"",E5327))</f>
        <v/>
      </c>
    </row>
    <row r="5328">
      <c r="A5328" t="inlineStr">
        <is>
          <t>Contractors</t>
        </is>
      </c>
      <c r="B5328" s="46">
        <f>'Contractors'!AI292</f>
        <v/>
      </c>
      <c r="C5328" s="84">
        <f>'Contractors'!AG292</f>
        <v/>
      </c>
      <c r="D5328" s="46">
        <f>'Contractors'!AH292</f>
        <v/>
      </c>
      <c r="E5328" s="46">
        <f>IF(OR(B5328="",C5328="",D5328=""),"",D5328*100000+(C5328-DATE(2000,1,1))+ROW()/100000)</f>
        <v/>
      </c>
      <c r="F5328" s="46">
        <f>IF(E5328="","",IF(C5328&gt;WeekEndDate,"",E5328))</f>
        <v/>
      </c>
    </row>
    <row r="5329">
      <c r="A5329" t="inlineStr">
        <is>
          <t>Contractors</t>
        </is>
      </c>
      <c r="B5329" s="46">
        <f>'Contractors'!AI293</f>
        <v/>
      </c>
      <c r="C5329" s="84">
        <f>'Contractors'!AG293</f>
        <v/>
      </c>
      <c r="D5329" s="46">
        <f>'Contractors'!AH293</f>
        <v/>
      </c>
      <c r="E5329" s="46">
        <f>IF(OR(B5329="",C5329="",D5329=""),"",D5329*100000+(C5329-DATE(2000,1,1))+ROW()/100000)</f>
        <v/>
      </c>
      <c r="F5329" s="46">
        <f>IF(E5329="","",IF(C5329&gt;WeekEndDate,"",E5329))</f>
        <v/>
      </c>
    </row>
    <row r="5330">
      <c r="A5330" t="inlineStr">
        <is>
          <t>Contractors</t>
        </is>
      </c>
      <c r="B5330" s="46">
        <f>'Contractors'!AI294</f>
        <v/>
      </c>
      <c r="C5330" s="84">
        <f>'Contractors'!AG294</f>
        <v/>
      </c>
      <c r="D5330" s="46">
        <f>'Contractors'!AH294</f>
        <v/>
      </c>
      <c r="E5330" s="46">
        <f>IF(OR(B5330="",C5330="",D5330=""),"",D5330*100000+(C5330-DATE(2000,1,1))+ROW()/100000)</f>
        <v/>
      </c>
      <c r="F5330" s="46">
        <f>IF(E5330="","",IF(C5330&gt;WeekEndDate,"",E5330))</f>
        <v/>
      </c>
    </row>
    <row r="5331">
      <c r="A5331" t="inlineStr">
        <is>
          <t>Contractors</t>
        </is>
      </c>
      <c r="B5331" s="46">
        <f>'Contractors'!AI295</f>
        <v/>
      </c>
      <c r="C5331" s="84">
        <f>'Contractors'!AG295</f>
        <v/>
      </c>
      <c r="D5331" s="46">
        <f>'Contractors'!AH295</f>
        <v/>
      </c>
      <c r="E5331" s="46">
        <f>IF(OR(B5331="",C5331="",D5331=""),"",D5331*100000+(C5331-DATE(2000,1,1))+ROW()/100000)</f>
        <v/>
      </c>
      <c r="F5331" s="46">
        <f>IF(E5331="","",IF(C5331&gt;WeekEndDate,"",E5331))</f>
        <v/>
      </c>
    </row>
    <row r="5332">
      <c r="A5332" t="inlineStr">
        <is>
          <t>Contractors</t>
        </is>
      </c>
      <c r="B5332" s="46">
        <f>'Contractors'!AI296</f>
        <v/>
      </c>
      <c r="C5332" s="84">
        <f>'Contractors'!AG296</f>
        <v/>
      </c>
      <c r="D5332" s="46">
        <f>'Contractors'!AH296</f>
        <v/>
      </c>
      <c r="E5332" s="46">
        <f>IF(OR(B5332="",C5332="",D5332=""),"",D5332*100000+(C5332-DATE(2000,1,1))+ROW()/100000)</f>
        <v/>
      </c>
      <c r="F5332" s="46">
        <f>IF(E5332="","",IF(C5332&gt;WeekEndDate,"",E5332))</f>
        <v/>
      </c>
    </row>
    <row r="5333">
      <c r="A5333" t="inlineStr">
        <is>
          <t>Contractors</t>
        </is>
      </c>
      <c r="B5333" s="46">
        <f>'Contractors'!AI297</f>
        <v/>
      </c>
      <c r="C5333" s="84">
        <f>'Contractors'!AG297</f>
        <v/>
      </c>
      <c r="D5333" s="46">
        <f>'Contractors'!AH297</f>
        <v/>
      </c>
      <c r="E5333" s="46">
        <f>IF(OR(B5333="",C5333="",D5333=""),"",D5333*100000+(C5333-DATE(2000,1,1))+ROW()/100000)</f>
        <v/>
      </c>
      <c r="F5333" s="46">
        <f>IF(E5333="","",IF(C5333&gt;WeekEndDate,"",E5333))</f>
        <v/>
      </c>
    </row>
    <row r="5334">
      <c r="A5334" t="inlineStr">
        <is>
          <t>Contractors</t>
        </is>
      </c>
      <c r="B5334" s="46">
        <f>'Contractors'!AI298</f>
        <v/>
      </c>
      <c r="C5334" s="84">
        <f>'Contractors'!AG298</f>
        <v/>
      </c>
      <c r="D5334" s="46">
        <f>'Contractors'!AH298</f>
        <v/>
      </c>
      <c r="E5334" s="46">
        <f>IF(OR(B5334="",C5334="",D5334=""),"",D5334*100000+(C5334-DATE(2000,1,1))+ROW()/100000)</f>
        <v/>
      </c>
      <c r="F5334" s="46">
        <f>IF(E5334="","",IF(C5334&gt;WeekEndDate,"",E5334))</f>
        <v/>
      </c>
    </row>
    <row r="5335">
      <c r="A5335" t="inlineStr">
        <is>
          <t>Contractors</t>
        </is>
      </c>
      <c r="B5335" s="46">
        <f>'Contractors'!AI299</f>
        <v/>
      </c>
      <c r="C5335" s="84">
        <f>'Contractors'!AG299</f>
        <v/>
      </c>
      <c r="D5335" s="46">
        <f>'Contractors'!AH299</f>
        <v/>
      </c>
      <c r="E5335" s="46">
        <f>IF(OR(B5335="",C5335="",D5335=""),"",D5335*100000+(C5335-DATE(2000,1,1))+ROW()/100000)</f>
        <v/>
      </c>
      <c r="F5335" s="46">
        <f>IF(E5335="","",IF(C5335&gt;WeekEndDate,"",E5335))</f>
        <v/>
      </c>
    </row>
    <row r="5336">
      <c r="A5336" t="inlineStr">
        <is>
          <t>Contractors</t>
        </is>
      </c>
      <c r="B5336" s="46">
        <f>'Contractors'!AI300</f>
        <v/>
      </c>
      <c r="C5336" s="84">
        <f>'Contractors'!AG300</f>
        <v/>
      </c>
      <c r="D5336" s="46">
        <f>'Contractors'!AH300</f>
        <v/>
      </c>
      <c r="E5336" s="46">
        <f>IF(OR(B5336="",C5336="",D5336=""),"",D5336*100000+(C5336-DATE(2000,1,1))+ROW()/100000)</f>
        <v/>
      </c>
      <c r="F5336" s="46">
        <f>IF(E5336="","",IF(C5336&gt;WeekEndDate,"",E5336))</f>
        <v/>
      </c>
    </row>
    <row r="5337">
      <c r="A5337" t="inlineStr">
        <is>
          <t>Contractors</t>
        </is>
      </c>
      <c r="B5337" s="46">
        <f>'Contractors'!AI301</f>
        <v/>
      </c>
      <c r="C5337" s="84">
        <f>'Contractors'!AG301</f>
        <v/>
      </c>
      <c r="D5337" s="46">
        <f>'Contractors'!AH301</f>
        <v/>
      </c>
      <c r="E5337" s="46">
        <f>IF(OR(B5337="",C5337="",D5337=""),"",D5337*100000+(C5337-DATE(2000,1,1))+ROW()/100000)</f>
        <v/>
      </c>
      <c r="F5337" s="46">
        <f>IF(E5337="","",IF(C5337&gt;WeekEndDate,"",E5337))</f>
        <v/>
      </c>
    </row>
    <row r="5338">
      <c r="A5338" t="inlineStr">
        <is>
          <t>Contractors</t>
        </is>
      </c>
      <c r="B5338" s="46">
        <f>'Contractors'!AI302</f>
        <v/>
      </c>
      <c r="C5338" s="84">
        <f>'Contractors'!AG302</f>
        <v/>
      </c>
      <c r="D5338" s="46">
        <f>'Contractors'!AH302</f>
        <v/>
      </c>
      <c r="E5338" s="46">
        <f>IF(OR(B5338="",C5338="",D5338=""),"",D5338*100000+(C5338-DATE(2000,1,1))+ROW()/100000)</f>
        <v/>
      </c>
      <c r="F5338" s="46">
        <f>IF(E5338="","",IF(C5338&gt;WeekEndDate,"",E5338))</f>
        <v/>
      </c>
    </row>
    <row r="5339">
      <c r="A5339" t="inlineStr">
        <is>
          <t>Contractors</t>
        </is>
      </c>
      <c r="B5339" s="46">
        <f>'Contractors'!AI303</f>
        <v/>
      </c>
      <c r="C5339" s="84">
        <f>'Contractors'!AG303</f>
        <v/>
      </c>
      <c r="D5339" s="46">
        <f>'Contractors'!AH303</f>
        <v/>
      </c>
      <c r="E5339" s="46">
        <f>IF(OR(B5339="",C5339="",D5339=""),"",D5339*100000+(C5339-DATE(2000,1,1))+ROW()/100000)</f>
        <v/>
      </c>
      <c r="F5339" s="46">
        <f>IF(E5339="","",IF(C5339&gt;WeekEndDate,"",E5339))</f>
        <v/>
      </c>
    </row>
    <row r="5340">
      <c r="A5340" t="inlineStr">
        <is>
          <t>Contractors</t>
        </is>
      </c>
      <c r="B5340" s="46">
        <f>'Contractors'!AI304</f>
        <v/>
      </c>
      <c r="C5340" s="84">
        <f>'Contractors'!AG304</f>
        <v/>
      </c>
      <c r="D5340" s="46">
        <f>'Contractors'!AH304</f>
        <v/>
      </c>
      <c r="E5340" s="46">
        <f>IF(OR(B5340="",C5340="",D5340=""),"",D5340*100000+(C5340-DATE(2000,1,1))+ROW()/100000)</f>
        <v/>
      </c>
      <c r="F5340" s="46">
        <f>IF(E5340="","",IF(C5340&gt;WeekEndDate,"",E5340))</f>
        <v/>
      </c>
    </row>
    <row r="5341">
      <c r="A5341" t="inlineStr">
        <is>
          <t>Contractors</t>
        </is>
      </c>
      <c r="B5341" s="46">
        <f>'Contractors'!AI305</f>
        <v/>
      </c>
      <c r="C5341" s="84">
        <f>'Contractors'!AG305</f>
        <v/>
      </c>
      <c r="D5341" s="46">
        <f>'Contractors'!AH305</f>
        <v/>
      </c>
      <c r="E5341" s="46">
        <f>IF(OR(B5341="",C5341="",D5341=""),"",D5341*100000+(C5341-DATE(2000,1,1))+ROW()/100000)</f>
        <v/>
      </c>
      <c r="F5341" s="46">
        <f>IF(E5341="","",IF(C5341&gt;WeekEndDate,"",E5341))</f>
        <v/>
      </c>
    </row>
    <row r="5342">
      <c r="A5342" t="inlineStr">
        <is>
          <t>Contractors</t>
        </is>
      </c>
      <c r="B5342" s="46">
        <f>'Contractors'!AI306</f>
        <v/>
      </c>
      <c r="C5342" s="84">
        <f>'Contractors'!AG306</f>
        <v/>
      </c>
      <c r="D5342" s="46">
        <f>'Contractors'!AH306</f>
        <v/>
      </c>
      <c r="E5342" s="46">
        <f>IF(OR(B5342="",C5342="",D5342=""),"",D5342*100000+(C5342-DATE(2000,1,1))+ROW()/100000)</f>
        <v/>
      </c>
      <c r="F5342" s="46">
        <f>IF(E5342="","",IF(C5342&gt;WeekEndDate,"",E5342))</f>
        <v/>
      </c>
    </row>
    <row r="5343">
      <c r="A5343" t="inlineStr">
        <is>
          <t>Contractors</t>
        </is>
      </c>
      <c r="B5343" s="46">
        <f>'Contractors'!AI307</f>
        <v/>
      </c>
      <c r="C5343" s="84">
        <f>'Contractors'!AG307</f>
        <v/>
      </c>
      <c r="D5343" s="46">
        <f>'Contractors'!AH307</f>
        <v/>
      </c>
      <c r="E5343" s="46">
        <f>IF(OR(B5343="",C5343="",D5343=""),"",D5343*100000+(C5343-DATE(2000,1,1))+ROW()/100000)</f>
        <v/>
      </c>
      <c r="F5343" s="46">
        <f>IF(E5343="","",IF(C5343&gt;WeekEndDate,"",E5343))</f>
        <v/>
      </c>
    </row>
    <row r="5344">
      <c r="A5344" t="inlineStr">
        <is>
          <t>Contractors</t>
        </is>
      </c>
      <c r="B5344" s="46">
        <f>'Contractors'!AI308</f>
        <v/>
      </c>
      <c r="C5344" s="84">
        <f>'Contractors'!AG308</f>
        <v/>
      </c>
      <c r="D5344" s="46">
        <f>'Contractors'!AH308</f>
        <v/>
      </c>
      <c r="E5344" s="46">
        <f>IF(OR(B5344="",C5344="",D5344=""),"",D5344*100000+(C5344-DATE(2000,1,1))+ROW()/100000)</f>
        <v/>
      </c>
      <c r="F5344" s="46">
        <f>IF(E5344="","",IF(C5344&gt;WeekEndDate,"",E5344))</f>
        <v/>
      </c>
    </row>
    <row r="5345">
      <c r="A5345" t="inlineStr">
        <is>
          <t>Contractors</t>
        </is>
      </c>
      <c r="B5345" s="46">
        <f>'Contractors'!AI309</f>
        <v/>
      </c>
      <c r="C5345" s="84">
        <f>'Contractors'!AG309</f>
        <v/>
      </c>
      <c r="D5345" s="46">
        <f>'Contractors'!AH309</f>
        <v/>
      </c>
      <c r="E5345" s="46">
        <f>IF(OR(B5345="",C5345="",D5345=""),"",D5345*100000+(C5345-DATE(2000,1,1))+ROW()/100000)</f>
        <v/>
      </c>
      <c r="F5345" s="46">
        <f>IF(E5345="","",IF(C5345&gt;WeekEndDate,"",E5345))</f>
        <v/>
      </c>
    </row>
    <row r="5346">
      <c r="A5346" t="inlineStr">
        <is>
          <t>Contractors</t>
        </is>
      </c>
      <c r="B5346" s="46">
        <f>'Contractors'!AI310</f>
        <v/>
      </c>
      <c r="C5346" s="84">
        <f>'Contractors'!AG310</f>
        <v/>
      </c>
      <c r="D5346" s="46">
        <f>'Contractors'!AH310</f>
        <v/>
      </c>
      <c r="E5346" s="46">
        <f>IF(OR(B5346="",C5346="",D5346=""),"",D5346*100000+(C5346-DATE(2000,1,1))+ROW()/100000)</f>
        <v/>
      </c>
      <c r="F5346" s="46">
        <f>IF(E5346="","",IF(C5346&gt;WeekEndDate,"",E5346))</f>
        <v/>
      </c>
    </row>
    <row r="5347">
      <c r="A5347" t="inlineStr">
        <is>
          <t>Contractors</t>
        </is>
      </c>
      <c r="B5347" s="46">
        <f>'Contractors'!AI311</f>
        <v/>
      </c>
      <c r="C5347" s="84">
        <f>'Contractors'!AG311</f>
        <v/>
      </c>
      <c r="D5347" s="46">
        <f>'Contractors'!AH311</f>
        <v/>
      </c>
      <c r="E5347" s="46">
        <f>IF(OR(B5347="",C5347="",D5347=""),"",D5347*100000+(C5347-DATE(2000,1,1))+ROW()/100000)</f>
        <v/>
      </c>
      <c r="F5347" s="46">
        <f>IF(E5347="","",IF(C5347&gt;WeekEndDate,"",E5347))</f>
        <v/>
      </c>
    </row>
    <row r="5348">
      <c r="A5348" t="inlineStr">
        <is>
          <t>Contractors</t>
        </is>
      </c>
      <c r="B5348" s="46">
        <f>'Contractors'!AI312</f>
        <v/>
      </c>
      <c r="C5348" s="84">
        <f>'Contractors'!AG312</f>
        <v/>
      </c>
      <c r="D5348" s="46">
        <f>'Contractors'!AH312</f>
        <v/>
      </c>
      <c r="E5348" s="46">
        <f>IF(OR(B5348="",C5348="",D5348=""),"",D5348*100000+(C5348-DATE(2000,1,1))+ROW()/100000)</f>
        <v/>
      </c>
      <c r="F5348" s="46">
        <f>IF(E5348="","",IF(C5348&gt;WeekEndDate,"",E5348))</f>
        <v/>
      </c>
    </row>
    <row r="5349">
      <c r="A5349" t="inlineStr">
        <is>
          <t>Contractors</t>
        </is>
      </c>
      <c r="B5349" s="46">
        <f>'Contractors'!AI313</f>
        <v/>
      </c>
      <c r="C5349" s="84">
        <f>'Contractors'!AG313</f>
        <v/>
      </c>
      <c r="D5349" s="46">
        <f>'Contractors'!AH313</f>
        <v/>
      </c>
      <c r="E5349" s="46">
        <f>IF(OR(B5349="",C5349="",D5349=""),"",D5349*100000+(C5349-DATE(2000,1,1))+ROW()/100000)</f>
        <v/>
      </c>
      <c r="F5349" s="46">
        <f>IF(E5349="","",IF(C5349&gt;WeekEndDate,"",E5349))</f>
        <v/>
      </c>
    </row>
    <row r="5350">
      <c r="A5350" t="inlineStr">
        <is>
          <t>Contractors</t>
        </is>
      </c>
      <c r="B5350" s="46">
        <f>'Contractors'!AI314</f>
        <v/>
      </c>
      <c r="C5350" s="84">
        <f>'Contractors'!AG314</f>
        <v/>
      </c>
      <c r="D5350" s="46">
        <f>'Contractors'!AH314</f>
        <v/>
      </c>
      <c r="E5350" s="46">
        <f>IF(OR(B5350="",C5350="",D5350=""),"",D5350*100000+(C5350-DATE(2000,1,1))+ROW()/100000)</f>
        <v/>
      </c>
      <c r="F5350" s="46">
        <f>IF(E5350="","",IF(C5350&gt;WeekEndDate,"",E5350))</f>
        <v/>
      </c>
    </row>
    <row r="5351">
      <c r="A5351" t="inlineStr">
        <is>
          <t>Contractors</t>
        </is>
      </c>
      <c r="B5351" s="46">
        <f>'Contractors'!AI315</f>
        <v/>
      </c>
      <c r="C5351" s="84">
        <f>'Contractors'!AG315</f>
        <v/>
      </c>
      <c r="D5351" s="46">
        <f>'Contractors'!AH315</f>
        <v/>
      </c>
      <c r="E5351" s="46">
        <f>IF(OR(B5351="",C5351="",D5351=""),"",D5351*100000+(C5351-DATE(2000,1,1))+ROW()/100000)</f>
        <v/>
      </c>
      <c r="F5351" s="46">
        <f>IF(E5351="","",IF(C5351&gt;WeekEndDate,"",E5351))</f>
        <v/>
      </c>
    </row>
    <row r="5352">
      <c r="A5352" t="inlineStr">
        <is>
          <t>Contractors</t>
        </is>
      </c>
      <c r="B5352" s="46">
        <f>'Contractors'!AI316</f>
        <v/>
      </c>
      <c r="C5352" s="84">
        <f>'Contractors'!AG316</f>
        <v/>
      </c>
      <c r="D5352" s="46">
        <f>'Contractors'!AH316</f>
        <v/>
      </c>
      <c r="E5352" s="46">
        <f>IF(OR(B5352="",C5352="",D5352=""),"",D5352*100000+(C5352-DATE(2000,1,1))+ROW()/100000)</f>
        <v/>
      </c>
      <c r="F5352" s="46">
        <f>IF(E5352="","",IF(C5352&gt;WeekEndDate,"",E5352))</f>
        <v/>
      </c>
    </row>
    <row r="5353">
      <c r="A5353" t="inlineStr">
        <is>
          <t>Contractors</t>
        </is>
      </c>
      <c r="B5353" s="46">
        <f>'Contractors'!AI317</f>
        <v/>
      </c>
      <c r="C5353" s="84">
        <f>'Contractors'!AG317</f>
        <v/>
      </c>
      <c r="D5353" s="46">
        <f>'Contractors'!AH317</f>
        <v/>
      </c>
      <c r="E5353" s="46">
        <f>IF(OR(B5353="",C5353="",D5353=""),"",D5353*100000+(C5353-DATE(2000,1,1))+ROW()/100000)</f>
        <v/>
      </c>
      <c r="F5353" s="46">
        <f>IF(E5353="","",IF(C5353&gt;WeekEndDate,"",E5353))</f>
        <v/>
      </c>
    </row>
    <row r="5354">
      <c r="A5354" t="inlineStr">
        <is>
          <t>Contractors</t>
        </is>
      </c>
      <c r="B5354" s="46">
        <f>'Contractors'!AI318</f>
        <v/>
      </c>
      <c r="C5354" s="84">
        <f>'Contractors'!AG318</f>
        <v/>
      </c>
      <c r="D5354" s="46">
        <f>'Contractors'!AH318</f>
        <v/>
      </c>
      <c r="E5354" s="46">
        <f>IF(OR(B5354="",C5354="",D5354=""),"",D5354*100000+(C5354-DATE(2000,1,1))+ROW()/100000)</f>
        <v/>
      </c>
      <c r="F5354" s="46">
        <f>IF(E5354="","",IF(C5354&gt;WeekEndDate,"",E5354))</f>
        <v/>
      </c>
    </row>
    <row r="5355">
      <c r="A5355" t="inlineStr">
        <is>
          <t>Contractors</t>
        </is>
      </c>
      <c r="B5355" s="46">
        <f>'Contractors'!AI319</f>
        <v/>
      </c>
      <c r="C5355" s="84">
        <f>'Contractors'!AG319</f>
        <v/>
      </c>
      <c r="D5355" s="46">
        <f>'Contractors'!AH319</f>
        <v/>
      </c>
      <c r="E5355" s="46">
        <f>IF(OR(B5355="",C5355="",D5355=""),"",D5355*100000+(C5355-DATE(2000,1,1))+ROW()/100000)</f>
        <v/>
      </c>
      <c r="F5355" s="46">
        <f>IF(E5355="","",IF(C5355&gt;WeekEndDate,"",E5355))</f>
        <v/>
      </c>
    </row>
    <row r="5356">
      <c r="A5356" t="inlineStr">
        <is>
          <t>Contractors</t>
        </is>
      </c>
      <c r="B5356" s="46">
        <f>'Contractors'!AI320</f>
        <v/>
      </c>
      <c r="C5356" s="84">
        <f>'Contractors'!AG320</f>
        <v/>
      </c>
      <c r="D5356" s="46">
        <f>'Contractors'!AH320</f>
        <v/>
      </c>
      <c r="E5356" s="46">
        <f>IF(OR(B5356="",C5356="",D5356=""),"",D5356*100000+(C5356-DATE(2000,1,1))+ROW()/100000)</f>
        <v/>
      </c>
      <c r="F5356" s="46">
        <f>IF(E5356="","",IF(C5356&gt;WeekEndDate,"",E5356))</f>
        <v/>
      </c>
    </row>
    <row r="5357">
      <c r="A5357" t="inlineStr">
        <is>
          <t>Contractors</t>
        </is>
      </c>
      <c r="B5357" s="46">
        <f>'Contractors'!AI321</f>
        <v/>
      </c>
      <c r="C5357" s="84">
        <f>'Contractors'!AG321</f>
        <v/>
      </c>
      <c r="D5357" s="46">
        <f>'Contractors'!AH321</f>
        <v/>
      </c>
      <c r="E5357" s="46">
        <f>IF(OR(B5357="",C5357="",D5357=""),"",D5357*100000+(C5357-DATE(2000,1,1))+ROW()/100000)</f>
        <v/>
      </c>
      <c r="F5357" s="46">
        <f>IF(E5357="","",IF(C5357&gt;WeekEndDate,"",E5357))</f>
        <v/>
      </c>
    </row>
    <row r="5358">
      <c r="A5358" t="inlineStr">
        <is>
          <t>Contractors</t>
        </is>
      </c>
      <c r="B5358" s="46">
        <f>'Contractors'!AI322</f>
        <v/>
      </c>
      <c r="C5358" s="84">
        <f>'Contractors'!AG322</f>
        <v/>
      </c>
      <c r="D5358" s="46">
        <f>'Contractors'!AH322</f>
        <v/>
      </c>
      <c r="E5358" s="46">
        <f>IF(OR(B5358="",C5358="",D5358=""),"",D5358*100000+(C5358-DATE(2000,1,1))+ROW()/100000)</f>
        <v/>
      </c>
      <c r="F5358" s="46">
        <f>IF(E5358="","",IF(C5358&gt;WeekEndDate,"",E5358))</f>
        <v/>
      </c>
    </row>
    <row r="5359">
      <c r="A5359" t="inlineStr">
        <is>
          <t>Contractors</t>
        </is>
      </c>
      <c r="B5359" s="46">
        <f>'Contractors'!AI323</f>
        <v/>
      </c>
      <c r="C5359" s="84">
        <f>'Contractors'!AG323</f>
        <v/>
      </c>
      <c r="D5359" s="46">
        <f>'Contractors'!AH323</f>
        <v/>
      </c>
      <c r="E5359" s="46">
        <f>IF(OR(B5359="",C5359="",D5359=""),"",D5359*100000+(C5359-DATE(2000,1,1))+ROW()/100000)</f>
        <v/>
      </c>
      <c r="F5359" s="46">
        <f>IF(E5359="","",IF(C5359&gt;WeekEndDate,"",E5359))</f>
        <v/>
      </c>
    </row>
    <row r="5360">
      <c r="A5360" t="inlineStr">
        <is>
          <t>Contractors</t>
        </is>
      </c>
      <c r="B5360" s="46">
        <f>'Contractors'!AI324</f>
        <v/>
      </c>
      <c r="C5360" s="84">
        <f>'Contractors'!AG324</f>
        <v/>
      </c>
      <c r="D5360" s="46">
        <f>'Contractors'!AH324</f>
        <v/>
      </c>
      <c r="E5360" s="46">
        <f>IF(OR(B5360="",C5360="",D5360=""),"",D5360*100000+(C5360-DATE(2000,1,1))+ROW()/100000)</f>
        <v/>
      </c>
      <c r="F5360" s="46">
        <f>IF(E5360="","",IF(C5360&gt;WeekEndDate,"",E5360))</f>
        <v/>
      </c>
    </row>
    <row r="5361">
      <c r="A5361" t="inlineStr">
        <is>
          <t>Contractors</t>
        </is>
      </c>
      <c r="B5361" s="46">
        <f>'Contractors'!AI325</f>
        <v/>
      </c>
      <c r="C5361" s="84">
        <f>'Contractors'!AG325</f>
        <v/>
      </c>
      <c r="D5361" s="46">
        <f>'Contractors'!AH325</f>
        <v/>
      </c>
      <c r="E5361" s="46">
        <f>IF(OR(B5361="",C5361="",D5361=""),"",D5361*100000+(C5361-DATE(2000,1,1))+ROW()/100000)</f>
        <v/>
      </c>
      <c r="F5361" s="46">
        <f>IF(E5361="","",IF(C5361&gt;WeekEndDate,"",E5361))</f>
        <v/>
      </c>
    </row>
    <row r="5362">
      <c r="A5362" t="inlineStr">
        <is>
          <t>Contractors</t>
        </is>
      </c>
      <c r="B5362" s="46">
        <f>'Contractors'!AI326</f>
        <v/>
      </c>
      <c r="C5362" s="84">
        <f>'Contractors'!AG326</f>
        <v/>
      </c>
      <c r="D5362" s="46">
        <f>'Contractors'!AH326</f>
        <v/>
      </c>
      <c r="E5362" s="46">
        <f>IF(OR(B5362="",C5362="",D5362=""),"",D5362*100000+(C5362-DATE(2000,1,1))+ROW()/100000)</f>
        <v/>
      </c>
      <c r="F5362" s="46">
        <f>IF(E5362="","",IF(C5362&gt;WeekEndDate,"",E5362))</f>
        <v/>
      </c>
    </row>
    <row r="5363">
      <c r="A5363" t="inlineStr">
        <is>
          <t>Contractors</t>
        </is>
      </c>
      <c r="B5363" s="46">
        <f>'Contractors'!AI327</f>
        <v/>
      </c>
      <c r="C5363" s="84">
        <f>'Contractors'!AG327</f>
        <v/>
      </c>
      <c r="D5363" s="46">
        <f>'Contractors'!AH327</f>
        <v/>
      </c>
      <c r="E5363" s="46">
        <f>IF(OR(B5363="",C5363="",D5363=""),"",D5363*100000+(C5363-DATE(2000,1,1))+ROW()/100000)</f>
        <v/>
      </c>
      <c r="F5363" s="46">
        <f>IF(E5363="","",IF(C5363&gt;WeekEndDate,"",E5363))</f>
        <v/>
      </c>
    </row>
    <row r="5364">
      <c r="A5364" t="inlineStr">
        <is>
          <t>Contractors</t>
        </is>
      </c>
      <c r="B5364" s="46">
        <f>'Contractors'!AI328</f>
        <v/>
      </c>
      <c r="C5364" s="84">
        <f>'Contractors'!AG328</f>
        <v/>
      </c>
      <c r="D5364" s="46">
        <f>'Contractors'!AH328</f>
        <v/>
      </c>
      <c r="E5364" s="46">
        <f>IF(OR(B5364="",C5364="",D5364=""),"",D5364*100000+(C5364-DATE(2000,1,1))+ROW()/100000)</f>
        <v/>
      </c>
      <c r="F5364" s="46">
        <f>IF(E5364="","",IF(C5364&gt;WeekEndDate,"",E5364))</f>
        <v/>
      </c>
    </row>
    <row r="5365">
      <c r="A5365" t="inlineStr">
        <is>
          <t>Contractors</t>
        </is>
      </c>
      <c r="B5365" s="46">
        <f>'Contractors'!AI329</f>
        <v/>
      </c>
      <c r="C5365" s="84">
        <f>'Contractors'!AG329</f>
        <v/>
      </c>
      <c r="D5365" s="46">
        <f>'Contractors'!AH329</f>
        <v/>
      </c>
      <c r="E5365" s="46">
        <f>IF(OR(B5365="",C5365="",D5365=""),"",D5365*100000+(C5365-DATE(2000,1,1))+ROW()/100000)</f>
        <v/>
      </c>
      <c r="F5365" s="46">
        <f>IF(E5365="","",IF(C5365&gt;WeekEndDate,"",E5365))</f>
        <v/>
      </c>
    </row>
    <row r="5366">
      <c r="A5366" t="inlineStr">
        <is>
          <t>Contractors</t>
        </is>
      </c>
      <c r="B5366" s="46">
        <f>'Contractors'!AI330</f>
        <v/>
      </c>
      <c r="C5366" s="84">
        <f>'Contractors'!AG330</f>
        <v/>
      </c>
      <c r="D5366" s="46">
        <f>'Contractors'!AH330</f>
        <v/>
      </c>
      <c r="E5366" s="46">
        <f>IF(OR(B5366="",C5366="",D5366=""),"",D5366*100000+(C5366-DATE(2000,1,1))+ROW()/100000)</f>
        <v/>
      </c>
      <c r="F5366" s="46">
        <f>IF(E5366="","",IF(C5366&gt;WeekEndDate,"",E5366))</f>
        <v/>
      </c>
    </row>
    <row r="5367">
      <c r="A5367" t="inlineStr">
        <is>
          <t>Contractors</t>
        </is>
      </c>
      <c r="B5367" s="46">
        <f>'Contractors'!AI331</f>
        <v/>
      </c>
      <c r="C5367" s="84">
        <f>'Contractors'!AG331</f>
        <v/>
      </c>
      <c r="D5367" s="46">
        <f>'Contractors'!AH331</f>
        <v/>
      </c>
      <c r="E5367" s="46">
        <f>IF(OR(B5367="",C5367="",D5367=""),"",D5367*100000+(C5367-DATE(2000,1,1))+ROW()/100000)</f>
        <v/>
      </c>
      <c r="F5367" s="46">
        <f>IF(E5367="","",IF(C5367&gt;WeekEndDate,"",E5367))</f>
        <v/>
      </c>
    </row>
    <row r="5368">
      <c r="A5368" t="inlineStr">
        <is>
          <t>Contractors</t>
        </is>
      </c>
      <c r="B5368" s="46">
        <f>'Contractors'!AI332</f>
        <v/>
      </c>
      <c r="C5368" s="84">
        <f>'Contractors'!AG332</f>
        <v/>
      </c>
      <c r="D5368" s="46">
        <f>'Contractors'!AH332</f>
        <v/>
      </c>
      <c r="E5368" s="46">
        <f>IF(OR(B5368="",C5368="",D5368=""),"",D5368*100000+(C5368-DATE(2000,1,1))+ROW()/100000)</f>
        <v/>
      </c>
      <c r="F5368" s="46">
        <f>IF(E5368="","",IF(C5368&gt;WeekEndDate,"",E5368))</f>
        <v/>
      </c>
    </row>
    <row r="5369">
      <c r="A5369" t="inlineStr">
        <is>
          <t>Contractors</t>
        </is>
      </c>
      <c r="B5369" s="46">
        <f>'Contractors'!AI333</f>
        <v/>
      </c>
      <c r="C5369" s="84">
        <f>'Contractors'!AG333</f>
        <v/>
      </c>
      <c r="D5369" s="46">
        <f>'Contractors'!AH333</f>
        <v/>
      </c>
      <c r="E5369" s="46">
        <f>IF(OR(B5369="",C5369="",D5369=""),"",D5369*100000+(C5369-DATE(2000,1,1))+ROW()/100000)</f>
        <v/>
      </c>
      <c r="F5369" s="46">
        <f>IF(E5369="","",IF(C5369&gt;WeekEndDate,"",E5369))</f>
        <v/>
      </c>
    </row>
    <row r="5370">
      <c r="A5370" t="inlineStr">
        <is>
          <t>Contractors</t>
        </is>
      </c>
      <c r="B5370" s="46">
        <f>'Contractors'!AI334</f>
        <v/>
      </c>
      <c r="C5370" s="84">
        <f>'Contractors'!AG334</f>
        <v/>
      </c>
      <c r="D5370" s="46">
        <f>'Contractors'!AH334</f>
        <v/>
      </c>
      <c r="E5370" s="46">
        <f>IF(OR(B5370="",C5370="",D5370=""),"",D5370*100000+(C5370-DATE(2000,1,1))+ROW()/100000)</f>
        <v/>
      </c>
      <c r="F5370" s="46">
        <f>IF(E5370="","",IF(C5370&gt;WeekEndDate,"",E5370))</f>
        <v/>
      </c>
    </row>
    <row r="5371">
      <c r="A5371" t="inlineStr">
        <is>
          <t>Contractors</t>
        </is>
      </c>
      <c r="B5371" s="46">
        <f>'Contractors'!AI335</f>
        <v/>
      </c>
      <c r="C5371" s="84">
        <f>'Contractors'!AG335</f>
        <v/>
      </c>
      <c r="D5371" s="46">
        <f>'Contractors'!AH335</f>
        <v/>
      </c>
      <c r="E5371" s="46">
        <f>IF(OR(B5371="",C5371="",D5371=""),"",D5371*100000+(C5371-DATE(2000,1,1))+ROW()/100000)</f>
        <v/>
      </c>
      <c r="F5371" s="46">
        <f>IF(E5371="","",IF(C5371&gt;WeekEndDate,"",E5371))</f>
        <v/>
      </c>
    </row>
    <row r="5372">
      <c r="A5372" t="inlineStr">
        <is>
          <t>Contractors</t>
        </is>
      </c>
      <c r="B5372" s="46">
        <f>'Contractors'!AI336</f>
        <v/>
      </c>
      <c r="C5372" s="84">
        <f>'Contractors'!AG336</f>
        <v/>
      </c>
      <c r="D5372" s="46">
        <f>'Contractors'!AH336</f>
        <v/>
      </c>
      <c r="E5372" s="46">
        <f>IF(OR(B5372="",C5372="",D5372=""),"",D5372*100000+(C5372-DATE(2000,1,1))+ROW()/100000)</f>
        <v/>
      </c>
      <c r="F5372" s="46">
        <f>IF(E5372="","",IF(C5372&gt;WeekEndDate,"",E5372))</f>
        <v/>
      </c>
    </row>
    <row r="5373">
      <c r="A5373" t="inlineStr">
        <is>
          <t>Contractors</t>
        </is>
      </c>
      <c r="B5373" s="46">
        <f>'Contractors'!AI337</f>
        <v/>
      </c>
      <c r="C5373" s="84">
        <f>'Contractors'!AG337</f>
        <v/>
      </c>
      <c r="D5373" s="46">
        <f>'Contractors'!AH337</f>
        <v/>
      </c>
      <c r="E5373" s="46">
        <f>IF(OR(B5373="",C5373="",D5373=""),"",D5373*100000+(C5373-DATE(2000,1,1))+ROW()/100000)</f>
        <v/>
      </c>
      <c r="F5373" s="46">
        <f>IF(E5373="","",IF(C5373&gt;WeekEndDate,"",E5373))</f>
        <v/>
      </c>
    </row>
    <row r="5374">
      <c r="A5374" t="inlineStr">
        <is>
          <t>Contractors</t>
        </is>
      </c>
      <c r="B5374" s="46">
        <f>'Contractors'!AI338</f>
        <v/>
      </c>
      <c r="C5374" s="84">
        <f>'Contractors'!AG338</f>
        <v/>
      </c>
      <c r="D5374" s="46">
        <f>'Contractors'!AH338</f>
        <v/>
      </c>
      <c r="E5374" s="46">
        <f>IF(OR(B5374="",C5374="",D5374=""),"",D5374*100000+(C5374-DATE(2000,1,1))+ROW()/100000)</f>
        <v/>
      </c>
      <c r="F5374" s="46">
        <f>IF(E5374="","",IF(C5374&gt;WeekEndDate,"",E5374))</f>
        <v/>
      </c>
    </row>
    <row r="5375">
      <c r="A5375" t="inlineStr">
        <is>
          <t>Contractors</t>
        </is>
      </c>
      <c r="B5375" s="46">
        <f>'Contractors'!AI339</f>
        <v/>
      </c>
      <c r="C5375" s="84">
        <f>'Contractors'!AG339</f>
        <v/>
      </c>
      <c r="D5375" s="46">
        <f>'Contractors'!AH339</f>
        <v/>
      </c>
      <c r="E5375" s="46">
        <f>IF(OR(B5375="",C5375="",D5375=""),"",D5375*100000+(C5375-DATE(2000,1,1))+ROW()/100000)</f>
        <v/>
      </c>
      <c r="F5375" s="46">
        <f>IF(E5375="","",IF(C5375&gt;WeekEndDate,"",E5375))</f>
        <v/>
      </c>
    </row>
    <row r="5376">
      <c r="A5376" t="inlineStr">
        <is>
          <t>Contractors</t>
        </is>
      </c>
      <c r="B5376" s="46">
        <f>'Contractors'!AI340</f>
        <v/>
      </c>
      <c r="C5376" s="84">
        <f>'Contractors'!AG340</f>
        <v/>
      </c>
      <c r="D5376" s="46">
        <f>'Contractors'!AH340</f>
        <v/>
      </c>
      <c r="E5376" s="46">
        <f>IF(OR(B5376="",C5376="",D5376=""),"",D5376*100000+(C5376-DATE(2000,1,1))+ROW()/100000)</f>
        <v/>
      </c>
      <c r="F5376" s="46">
        <f>IF(E5376="","",IF(C5376&gt;WeekEndDate,"",E5376))</f>
        <v/>
      </c>
    </row>
    <row r="5377">
      <c r="A5377" t="inlineStr">
        <is>
          <t>Contractors</t>
        </is>
      </c>
      <c r="B5377" s="46">
        <f>'Contractors'!AI341</f>
        <v/>
      </c>
      <c r="C5377" s="84">
        <f>'Contractors'!AG341</f>
        <v/>
      </c>
      <c r="D5377" s="46">
        <f>'Contractors'!AH341</f>
        <v/>
      </c>
      <c r="E5377" s="46">
        <f>IF(OR(B5377="",C5377="",D5377=""),"",D5377*100000+(C5377-DATE(2000,1,1))+ROW()/100000)</f>
        <v/>
      </c>
      <c r="F5377" s="46">
        <f>IF(E5377="","",IF(C5377&gt;WeekEndDate,"",E5377))</f>
        <v/>
      </c>
    </row>
    <row r="5378">
      <c r="A5378" t="inlineStr">
        <is>
          <t>Contractors</t>
        </is>
      </c>
      <c r="B5378" s="46">
        <f>'Contractors'!AI342</f>
        <v/>
      </c>
      <c r="C5378" s="84">
        <f>'Contractors'!AG342</f>
        <v/>
      </c>
      <c r="D5378" s="46">
        <f>'Contractors'!AH342</f>
        <v/>
      </c>
      <c r="E5378" s="46">
        <f>IF(OR(B5378="",C5378="",D5378=""),"",D5378*100000+(C5378-DATE(2000,1,1))+ROW()/100000)</f>
        <v/>
      </c>
      <c r="F5378" s="46">
        <f>IF(E5378="","",IF(C5378&gt;WeekEndDate,"",E5378))</f>
        <v/>
      </c>
    </row>
    <row r="5379">
      <c r="A5379" t="inlineStr">
        <is>
          <t>Contractors</t>
        </is>
      </c>
      <c r="B5379" s="46">
        <f>'Contractors'!AI343</f>
        <v/>
      </c>
      <c r="C5379" s="84">
        <f>'Contractors'!AG343</f>
        <v/>
      </c>
      <c r="D5379" s="46">
        <f>'Contractors'!AH343</f>
        <v/>
      </c>
      <c r="E5379" s="46">
        <f>IF(OR(B5379="",C5379="",D5379=""),"",D5379*100000+(C5379-DATE(2000,1,1))+ROW()/100000)</f>
        <v/>
      </c>
      <c r="F5379" s="46">
        <f>IF(E5379="","",IF(C5379&gt;WeekEndDate,"",E5379))</f>
        <v/>
      </c>
    </row>
    <row r="5380">
      <c r="A5380" t="inlineStr">
        <is>
          <t>Contractors</t>
        </is>
      </c>
      <c r="B5380" s="46">
        <f>'Contractors'!AI344</f>
        <v/>
      </c>
      <c r="C5380" s="84">
        <f>'Contractors'!AG344</f>
        <v/>
      </c>
      <c r="D5380" s="46">
        <f>'Contractors'!AH344</f>
        <v/>
      </c>
      <c r="E5380" s="46">
        <f>IF(OR(B5380="",C5380="",D5380=""),"",D5380*100000+(C5380-DATE(2000,1,1))+ROW()/100000)</f>
        <v/>
      </c>
      <c r="F5380" s="46">
        <f>IF(E5380="","",IF(C5380&gt;WeekEndDate,"",E5380))</f>
        <v/>
      </c>
    </row>
    <row r="5381">
      <c r="A5381" t="inlineStr">
        <is>
          <t>Contractors</t>
        </is>
      </c>
      <c r="B5381" s="46">
        <f>'Contractors'!AI345</f>
        <v/>
      </c>
      <c r="C5381" s="84">
        <f>'Contractors'!AG345</f>
        <v/>
      </c>
      <c r="D5381" s="46">
        <f>'Contractors'!AH345</f>
        <v/>
      </c>
      <c r="E5381" s="46">
        <f>IF(OR(B5381="",C5381="",D5381=""),"",D5381*100000+(C5381-DATE(2000,1,1))+ROW()/100000)</f>
        <v/>
      </c>
      <c r="F5381" s="46">
        <f>IF(E5381="","",IF(C5381&gt;WeekEndDate,"",E5381))</f>
        <v/>
      </c>
    </row>
    <row r="5382">
      <c r="A5382" t="inlineStr">
        <is>
          <t>Contractors</t>
        </is>
      </c>
      <c r="B5382" s="46">
        <f>'Contractors'!AI346</f>
        <v/>
      </c>
      <c r="C5382" s="84">
        <f>'Contractors'!AG346</f>
        <v/>
      </c>
      <c r="D5382" s="46">
        <f>'Contractors'!AH346</f>
        <v/>
      </c>
      <c r="E5382" s="46">
        <f>IF(OR(B5382="",C5382="",D5382=""),"",D5382*100000+(C5382-DATE(2000,1,1))+ROW()/100000)</f>
        <v/>
      </c>
      <c r="F5382" s="46">
        <f>IF(E5382="","",IF(C5382&gt;WeekEndDate,"",E5382))</f>
        <v/>
      </c>
    </row>
    <row r="5383">
      <c r="A5383" t="inlineStr">
        <is>
          <t>Contractors</t>
        </is>
      </c>
      <c r="B5383" s="46">
        <f>'Contractors'!AI347</f>
        <v/>
      </c>
      <c r="C5383" s="84">
        <f>'Contractors'!AG347</f>
        <v/>
      </c>
      <c r="D5383" s="46">
        <f>'Contractors'!AH347</f>
        <v/>
      </c>
      <c r="E5383" s="46">
        <f>IF(OR(B5383="",C5383="",D5383=""),"",D5383*100000+(C5383-DATE(2000,1,1))+ROW()/100000)</f>
        <v/>
      </c>
      <c r="F5383" s="46">
        <f>IF(E5383="","",IF(C5383&gt;WeekEndDate,"",E5383))</f>
        <v/>
      </c>
    </row>
    <row r="5384">
      <c r="A5384" t="inlineStr">
        <is>
          <t>Contractors</t>
        </is>
      </c>
      <c r="B5384" s="46">
        <f>'Contractors'!AI348</f>
        <v/>
      </c>
      <c r="C5384" s="84">
        <f>'Contractors'!AG348</f>
        <v/>
      </c>
      <c r="D5384" s="46">
        <f>'Contractors'!AH348</f>
        <v/>
      </c>
      <c r="E5384" s="46">
        <f>IF(OR(B5384="",C5384="",D5384=""),"",D5384*100000+(C5384-DATE(2000,1,1))+ROW()/100000)</f>
        <v/>
      </c>
      <c r="F5384" s="46">
        <f>IF(E5384="","",IF(C5384&gt;WeekEndDate,"",E5384))</f>
        <v/>
      </c>
    </row>
    <row r="5385">
      <c r="A5385" t="inlineStr">
        <is>
          <t>Contractors</t>
        </is>
      </c>
      <c r="B5385" s="46">
        <f>'Contractors'!AI349</f>
        <v/>
      </c>
      <c r="C5385" s="84">
        <f>'Contractors'!AG349</f>
        <v/>
      </c>
      <c r="D5385" s="46">
        <f>'Contractors'!AH349</f>
        <v/>
      </c>
      <c r="E5385" s="46">
        <f>IF(OR(B5385="",C5385="",D5385=""),"",D5385*100000+(C5385-DATE(2000,1,1))+ROW()/100000)</f>
        <v/>
      </c>
      <c r="F5385" s="46">
        <f>IF(E5385="","",IF(C5385&gt;WeekEndDate,"",E5385))</f>
        <v/>
      </c>
    </row>
    <row r="5386">
      <c r="A5386" t="inlineStr">
        <is>
          <t>Contractors</t>
        </is>
      </c>
      <c r="B5386" s="46">
        <f>'Contractors'!AI350</f>
        <v/>
      </c>
      <c r="C5386" s="84">
        <f>'Contractors'!AG350</f>
        <v/>
      </c>
      <c r="D5386" s="46">
        <f>'Contractors'!AH350</f>
        <v/>
      </c>
      <c r="E5386" s="46">
        <f>IF(OR(B5386="",C5386="",D5386=""),"",D5386*100000+(C5386-DATE(2000,1,1))+ROW()/100000)</f>
        <v/>
      </c>
      <c r="F5386" s="46">
        <f>IF(E5386="","",IF(C5386&gt;WeekEndDate,"",E5386))</f>
        <v/>
      </c>
    </row>
    <row r="5387">
      <c r="A5387" t="inlineStr">
        <is>
          <t>Contractors</t>
        </is>
      </c>
      <c r="B5387" s="46">
        <f>'Contractors'!AI351</f>
        <v/>
      </c>
      <c r="C5387" s="84">
        <f>'Contractors'!AG351</f>
        <v/>
      </c>
      <c r="D5387" s="46">
        <f>'Contractors'!AH351</f>
        <v/>
      </c>
      <c r="E5387" s="46">
        <f>IF(OR(B5387="",C5387="",D5387=""),"",D5387*100000+(C5387-DATE(2000,1,1))+ROW()/100000)</f>
        <v/>
      </c>
      <c r="F5387" s="46">
        <f>IF(E5387="","",IF(C5387&gt;WeekEndDate,"",E5387))</f>
        <v/>
      </c>
    </row>
    <row r="5388">
      <c r="A5388" t="inlineStr">
        <is>
          <t>Contractors</t>
        </is>
      </c>
      <c r="B5388" s="46">
        <f>'Contractors'!AI352</f>
        <v/>
      </c>
      <c r="C5388" s="84">
        <f>'Contractors'!AG352</f>
        <v/>
      </c>
      <c r="D5388" s="46">
        <f>'Contractors'!AH352</f>
        <v/>
      </c>
      <c r="E5388" s="46">
        <f>IF(OR(B5388="",C5388="",D5388=""),"",D5388*100000+(C5388-DATE(2000,1,1))+ROW()/100000)</f>
        <v/>
      </c>
      <c r="F5388" s="46">
        <f>IF(E5388="","",IF(C5388&gt;WeekEndDate,"",E5388))</f>
        <v/>
      </c>
    </row>
    <row r="5389">
      <c r="A5389" t="inlineStr">
        <is>
          <t>Contractors</t>
        </is>
      </c>
      <c r="B5389" s="46">
        <f>'Contractors'!AI353</f>
        <v/>
      </c>
      <c r="C5389" s="84">
        <f>'Contractors'!AG353</f>
        <v/>
      </c>
      <c r="D5389" s="46">
        <f>'Contractors'!AH353</f>
        <v/>
      </c>
      <c r="E5389" s="46">
        <f>IF(OR(B5389="",C5389="",D5389=""),"",D5389*100000+(C5389-DATE(2000,1,1))+ROW()/100000)</f>
        <v/>
      </c>
      <c r="F5389" s="46">
        <f>IF(E5389="","",IF(C5389&gt;WeekEndDate,"",E5389))</f>
        <v/>
      </c>
    </row>
    <row r="5390">
      <c r="A5390" t="inlineStr">
        <is>
          <t>Contractors</t>
        </is>
      </c>
      <c r="B5390" s="46">
        <f>'Contractors'!AI354</f>
        <v/>
      </c>
      <c r="C5390" s="84">
        <f>'Contractors'!AG354</f>
        <v/>
      </c>
      <c r="D5390" s="46">
        <f>'Contractors'!AH354</f>
        <v/>
      </c>
      <c r="E5390" s="46">
        <f>IF(OR(B5390="",C5390="",D5390=""),"",D5390*100000+(C5390-DATE(2000,1,1))+ROW()/100000)</f>
        <v/>
      </c>
      <c r="F5390" s="46">
        <f>IF(E5390="","",IF(C5390&gt;WeekEndDate,"",E5390))</f>
        <v/>
      </c>
    </row>
    <row r="5391">
      <c r="A5391" t="inlineStr">
        <is>
          <t>Contractors</t>
        </is>
      </c>
      <c r="B5391" s="46">
        <f>'Contractors'!AI355</f>
        <v/>
      </c>
      <c r="C5391" s="84">
        <f>'Contractors'!AG355</f>
        <v/>
      </c>
      <c r="D5391" s="46">
        <f>'Contractors'!AH355</f>
        <v/>
      </c>
      <c r="E5391" s="46">
        <f>IF(OR(B5391="",C5391="",D5391=""),"",D5391*100000+(C5391-DATE(2000,1,1))+ROW()/100000)</f>
        <v/>
      </c>
      <c r="F5391" s="46">
        <f>IF(E5391="","",IF(C5391&gt;WeekEndDate,"",E5391))</f>
        <v/>
      </c>
    </row>
    <row r="5392">
      <c r="A5392" t="inlineStr">
        <is>
          <t>Contractors</t>
        </is>
      </c>
      <c r="B5392" s="46">
        <f>'Contractors'!AI356</f>
        <v/>
      </c>
      <c r="C5392" s="84">
        <f>'Contractors'!AG356</f>
        <v/>
      </c>
      <c r="D5392" s="46">
        <f>'Contractors'!AH356</f>
        <v/>
      </c>
      <c r="E5392" s="46">
        <f>IF(OR(B5392="",C5392="",D5392=""),"",D5392*100000+(C5392-DATE(2000,1,1))+ROW()/100000)</f>
        <v/>
      </c>
      <c r="F5392" s="46">
        <f>IF(E5392="","",IF(C5392&gt;WeekEndDate,"",E5392))</f>
        <v/>
      </c>
    </row>
    <row r="5393">
      <c r="A5393" t="inlineStr">
        <is>
          <t>Contractors</t>
        </is>
      </c>
      <c r="B5393" s="46">
        <f>'Contractors'!AI357</f>
        <v/>
      </c>
      <c r="C5393" s="84">
        <f>'Contractors'!AG357</f>
        <v/>
      </c>
      <c r="D5393" s="46">
        <f>'Contractors'!AH357</f>
        <v/>
      </c>
      <c r="E5393" s="46">
        <f>IF(OR(B5393="",C5393="",D5393=""),"",D5393*100000+(C5393-DATE(2000,1,1))+ROW()/100000)</f>
        <v/>
      </c>
      <c r="F5393" s="46">
        <f>IF(E5393="","",IF(C5393&gt;WeekEndDate,"",E5393))</f>
        <v/>
      </c>
    </row>
    <row r="5394">
      <c r="A5394" t="inlineStr">
        <is>
          <t>Contractors</t>
        </is>
      </c>
      <c r="B5394" s="46">
        <f>'Contractors'!AI358</f>
        <v/>
      </c>
      <c r="C5394" s="84">
        <f>'Contractors'!AG358</f>
        <v/>
      </c>
      <c r="D5394" s="46">
        <f>'Contractors'!AH358</f>
        <v/>
      </c>
      <c r="E5394" s="46">
        <f>IF(OR(B5394="",C5394="",D5394=""),"",D5394*100000+(C5394-DATE(2000,1,1))+ROW()/100000)</f>
        <v/>
      </c>
      <c r="F5394" s="46">
        <f>IF(E5394="","",IF(C5394&gt;WeekEndDate,"",E5394))</f>
        <v/>
      </c>
    </row>
    <row r="5395">
      <c r="A5395" t="inlineStr">
        <is>
          <t>Contractors</t>
        </is>
      </c>
      <c r="B5395" s="46">
        <f>'Contractors'!AI359</f>
        <v/>
      </c>
      <c r="C5395" s="84">
        <f>'Contractors'!AG359</f>
        <v/>
      </c>
      <c r="D5395" s="46">
        <f>'Contractors'!AH359</f>
        <v/>
      </c>
      <c r="E5395" s="46">
        <f>IF(OR(B5395="",C5395="",D5395=""),"",D5395*100000+(C5395-DATE(2000,1,1))+ROW()/100000)</f>
        <v/>
      </c>
      <c r="F5395" s="46">
        <f>IF(E5395="","",IF(C5395&gt;WeekEndDate,"",E5395))</f>
        <v/>
      </c>
    </row>
    <row r="5396">
      <c r="A5396" t="inlineStr">
        <is>
          <t>Contractors</t>
        </is>
      </c>
      <c r="B5396" s="46">
        <f>'Contractors'!AI360</f>
        <v/>
      </c>
      <c r="C5396" s="84">
        <f>'Contractors'!AG360</f>
        <v/>
      </c>
      <c r="D5396" s="46">
        <f>'Contractors'!AH360</f>
        <v/>
      </c>
      <c r="E5396" s="46">
        <f>IF(OR(B5396="",C5396="",D5396=""),"",D5396*100000+(C5396-DATE(2000,1,1))+ROW()/100000)</f>
        <v/>
      </c>
      <c r="F5396" s="46">
        <f>IF(E5396="","",IF(C5396&gt;WeekEndDate,"",E5396))</f>
        <v/>
      </c>
    </row>
    <row r="5397">
      <c r="A5397" t="inlineStr">
        <is>
          <t>Contractors</t>
        </is>
      </c>
      <c r="B5397" s="46">
        <f>'Contractors'!AI361</f>
        <v/>
      </c>
      <c r="C5397" s="84">
        <f>'Contractors'!AG361</f>
        <v/>
      </c>
      <c r="D5397" s="46">
        <f>'Contractors'!AH361</f>
        <v/>
      </c>
      <c r="E5397" s="46">
        <f>IF(OR(B5397="",C5397="",D5397=""),"",D5397*100000+(C5397-DATE(2000,1,1))+ROW()/100000)</f>
        <v/>
      </c>
      <c r="F5397" s="46">
        <f>IF(E5397="","",IF(C5397&gt;WeekEndDate,"",E5397))</f>
        <v/>
      </c>
    </row>
    <row r="5398">
      <c r="A5398" t="inlineStr">
        <is>
          <t>Contractors</t>
        </is>
      </c>
      <c r="B5398" s="46">
        <f>'Contractors'!AI362</f>
        <v/>
      </c>
      <c r="C5398" s="84">
        <f>'Contractors'!AG362</f>
        <v/>
      </c>
      <c r="D5398" s="46">
        <f>'Contractors'!AH362</f>
        <v/>
      </c>
      <c r="E5398" s="46">
        <f>IF(OR(B5398="",C5398="",D5398=""),"",D5398*100000+(C5398-DATE(2000,1,1))+ROW()/100000)</f>
        <v/>
      </c>
      <c r="F5398" s="46">
        <f>IF(E5398="","",IF(C5398&gt;WeekEndDate,"",E5398))</f>
        <v/>
      </c>
    </row>
    <row r="5399">
      <c r="A5399" t="inlineStr">
        <is>
          <t>Contractors</t>
        </is>
      </c>
      <c r="B5399" s="46">
        <f>'Contractors'!AI363</f>
        <v/>
      </c>
      <c r="C5399" s="84">
        <f>'Contractors'!AG363</f>
        <v/>
      </c>
      <c r="D5399" s="46">
        <f>'Contractors'!AH363</f>
        <v/>
      </c>
      <c r="E5399" s="46">
        <f>IF(OR(B5399="",C5399="",D5399=""),"",D5399*100000+(C5399-DATE(2000,1,1))+ROW()/100000)</f>
        <v/>
      </c>
      <c r="F5399" s="46">
        <f>IF(E5399="","",IF(C5399&gt;WeekEndDate,"",E5399))</f>
        <v/>
      </c>
    </row>
    <row r="5400">
      <c r="A5400" t="inlineStr">
        <is>
          <t>Contractors</t>
        </is>
      </c>
      <c r="B5400" s="46">
        <f>'Contractors'!AI364</f>
        <v/>
      </c>
      <c r="C5400" s="84">
        <f>'Contractors'!AG364</f>
        <v/>
      </c>
      <c r="D5400" s="46">
        <f>'Contractors'!AH364</f>
        <v/>
      </c>
      <c r="E5400" s="46">
        <f>IF(OR(B5400="",C5400="",D5400=""),"",D5400*100000+(C5400-DATE(2000,1,1))+ROW()/100000)</f>
        <v/>
      </c>
      <c r="F5400" s="46">
        <f>IF(E5400="","",IF(C5400&gt;WeekEndDate,"",E5400))</f>
        <v/>
      </c>
    </row>
    <row r="5401">
      <c r="A5401" t="inlineStr">
        <is>
          <t>Contractors</t>
        </is>
      </c>
      <c r="B5401" s="46">
        <f>'Contractors'!AI365</f>
        <v/>
      </c>
      <c r="C5401" s="84">
        <f>'Contractors'!AG365</f>
        <v/>
      </c>
      <c r="D5401" s="46">
        <f>'Contractors'!AH365</f>
        <v/>
      </c>
      <c r="E5401" s="46">
        <f>IF(OR(B5401="",C5401="",D5401=""),"",D5401*100000+(C5401-DATE(2000,1,1))+ROW()/100000)</f>
        <v/>
      </c>
      <c r="F5401" s="46">
        <f>IF(E5401="","",IF(C5401&gt;WeekEndDate,"",E5401))</f>
        <v/>
      </c>
    </row>
    <row r="5402">
      <c r="A5402" t="inlineStr">
        <is>
          <t>Contractors</t>
        </is>
      </c>
      <c r="B5402" s="46">
        <f>'Contractors'!AI366</f>
        <v/>
      </c>
      <c r="C5402" s="84">
        <f>'Contractors'!AG366</f>
        <v/>
      </c>
      <c r="D5402" s="46">
        <f>'Contractors'!AH366</f>
        <v/>
      </c>
      <c r="E5402" s="46">
        <f>IF(OR(B5402="",C5402="",D5402=""),"",D5402*100000+(C5402-DATE(2000,1,1))+ROW()/100000)</f>
        <v/>
      </c>
      <c r="F5402" s="46">
        <f>IF(E5402="","",IF(C5402&gt;WeekEndDate,"",E5402))</f>
        <v/>
      </c>
    </row>
    <row r="5403">
      <c r="A5403" t="inlineStr">
        <is>
          <t>Contractors</t>
        </is>
      </c>
      <c r="B5403" s="46">
        <f>'Contractors'!AI367</f>
        <v/>
      </c>
      <c r="C5403" s="84">
        <f>'Contractors'!AG367</f>
        <v/>
      </c>
      <c r="D5403" s="46">
        <f>'Contractors'!AH367</f>
        <v/>
      </c>
      <c r="E5403" s="46">
        <f>IF(OR(B5403="",C5403="",D5403=""),"",D5403*100000+(C5403-DATE(2000,1,1))+ROW()/100000)</f>
        <v/>
      </c>
      <c r="F5403" s="46">
        <f>IF(E5403="","",IF(C5403&gt;WeekEndDate,"",E5403))</f>
        <v/>
      </c>
    </row>
    <row r="5404">
      <c r="A5404" t="inlineStr">
        <is>
          <t>Contractors</t>
        </is>
      </c>
      <c r="B5404" s="46">
        <f>'Contractors'!AI368</f>
        <v/>
      </c>
      <c r="C5404" s="84">
        <f>'Contractors'!AG368</f>
        <v/>
      </c>
      <c r="D5404" s="46">
        <f>'Contractors'!AH368</f>
        <v/>
      </c>
      <c r="E5404" s="46">
        <f>IF(OR(B5404="",C5404="",D5404=""),"",D5404*100000+(C5404-DATE(2000,1,1))+ROW()/100000)</f>
        <v/>
      </c>
      <c r="F5404" s="46">
        <f>IF(E5404="","",IF(C5404&gt;WeekEndDate,"",E5404))</f>
        <v/>
      </c>
    </row>
    <row r="5405">
      <c r="A5405" t="inlineStr">
        <is>
          <t>Contractors</t>
        </is>
      </c>
      <c r="B5405" s="46">
        <f>'Contractors'!AI369</f>
        <v/>
      </c>
      <c r="C5405" s="84">
        <f>'Contractors'!AG369</f>
        <v/>
      </c>
      <c r="D5405" s="46">
        <f>'Contractors'!AH369</f>
        <v/>
      </c>
      <c r="E5405" s="46">
        <f>IF(OR(B5405="",C5405="",D5405=""),"",D5405*100000+(C5405-DATE(2000,1,1))+ROW()/100000)</f>
        <v/>
      </c>
      <c r="F5405" s="46">
        <f>IF(E5405="","",IF(C5405&gt;WeekEndDate,"",E5405))</f>
        <v/>
      </c>
    </row>
    <row r="5406">
      <c r="A5406" t="inlineStr">
        <is>
          <t>Contractors</t>
        </is>
      </c>
      <c r="B5406" s="46">
        <f>'Contractors'!AI370</f>
        <v/>
      </c>
      <c r="C5406" s="84">
        <f>'Contractors'!AG370</f>
        <v/>
      </c>
      <c r="D5406" s="46">
        <f>'Contractors'!AH370</f>
        <v/>
      </c>
      <c r="E5406" s="46">
        <f>IF(OR(B5406="",C5406="",D5406=""),"",D5406*100000+(C5406-DATE(2000,1,1))+ROW()/100000)</f>
        <v/>
      </c>
      <c r="F5406" s="46">
        <f>IF(E5406="","",IF(C5406&gt;WeekEndDate,"",E5406))</f>
        <v/>
      </c>
    </row>
    <row r="5407">
      <c r="A5407" t="inlineStr">
        <is>
          <t>Contractors</t>
        </is>
      </c>
      <c r="B5407" s="46">
        <f>'Contractors'!AI371</f>
        <v/>
      </c>
      <c r="C5407" s="84">
        <f>'Contractors'!AG371</f>
        <v/>
      </c>
      <c r="D5407" s="46">
        <f>'Contractors'!AH371</f>
        <v/>
      </c>
      <c r="E5407" s="46">
        <f>IF(OR(B5407="",C5407="",D5407=""),"",D5407*100000+(C5407-DATE(2000,1,1))+ROW()/100000)</f>
        <v/>
      </c>
      <c r="F5407" s="46">
        <f>IF(E5407="","",IF(C5407&gt;WeekEndDate,"",E5407))</f>
        <v/>
      </c>
    </row>
    <row r="5408">
      <c r="A5408" t="inlineStr">
        <is>
          <t>Contractors</t>
        </is>
      </c>
      <c r="B5408" s="46">
        <f>'Contractors'!AI372</f>
        <v/>
      </c>
      <c r="C5408" s="84">
        <f>'Contractors'!AG372</f>
        <v/>
      </c>
      <c r="D5408" s="46">
        <f>'Contractors'!AH372</f>
        <v/>
      </c>
      <c r="E5408" s="46">
        <f>IF(OR(B5408="",C5408="",D5408=""),"",D5408*100000+(C5408-DATE(2000,1,1))+ROW()/100000)</f>
        <v/>
      </c>
      <c r="F5408" s="46">
        <f>IF(E5408="","",IF(C5408&gt;WeekEndDate,"",E5408))</f>
        <v/>
      </c>
    </row>
    <row r="5409">
      <c r="A5409" t="inlineStr">
        <is>
          <t>Contractors</t>
        </is>
      </c>
      <c r="B5409" s="46">
        <f>'Contractors'!AI373</f>
        <v/>
      </c>
      <c r="C5409" s="84">
        <f>'Contractors'!AG373</f>
        <v/>
      </c>
      <c r="D5409" s="46">
        <f>'Contractors'!AH373</f>
        <v/>
      </c>
      <c r="E5409" s="46">
        <f>IF(OR(B5409="",C5409="",D5409=""),"",D5409*100000+(C5409-DATE(2000,1,1))+ROW()/100000)</f>
        <v/>
      </c>
      <c r="F5409" s="46">
        <f>IF(E5409="","",IF(C5409&gt;WeekEndDate,"",E5409))</f>
        <v/>
      </c>
    </row>
    <row r="5410">
      <c r="A5410" t="inlineStr">
        <is>
          <t>Contractors</t>
        </is>
      </c>
      <c r="B5410" s="46">
        <f>'Contractors'!AI374</f>
        <v/>
      </c>
      <c r="C5410" s="84">
        <f>'Contractors'!AG374</f>
        <v/>
      </c>
      <c r="D5410" s="46">
        <f>'Contractors'!AH374</f>
        <v/>
      </c>
      <c r="E5410" s="46">
        <f>IF(OR(B5410="",C5410="",D5410=""),"",D5410*100000+(C5410-DATE(2000,1,1))+ROW()/100000)</f>
        <v/>
      </c>
      <c r="F5410" s="46">
        <f>IF(E5410="","",IF(C5410&gt;WeekEndDate,"",E5410))</f>
        <v/>
      </c>
    </row>
    <row r="5411">
      <c r="A5411" t="inlineStr">
        <is>
          <t>Contractors</t>
        </is>
      </c>
      <c r="B5411" s="46">
        <f>'Contractors'!AI375</f>
        <v/>
      </c>
      <c r="C5411" s="84">
        <f>'Contractors'!AG375</f>
        <v/>
      </c>
      <c r="D5411" s="46">
        <f>'Contractors'!AH375</f>
        <v/>
      </c>
      <c r="E5411" s="46">
        <f>IF(OR(B5411="",C5411="",D5411=""),"",D5411*100000+(C5411-DATE(2000,1,1))+ROW()/100000)</f>
        <v/>
      </c>
      <c r="F5411" s="46">
        <f>IF(E5411="","",IF(C5411&gt;WeekEndDate,"",E5411))</f>
        <v/>
      </c>
    </row>
    <row r="5412">
      <c r="A5412" t="inlineStr">
        <is>
          <t>Contractors</t>
        </is>
      </c>
      <c r="B5412" s="46">
        <f>'Contractors'!AI376</f>
        <v/>
      </c>
      <c r="C5412" s="84">
        <f>'Contractors'!AG376</f>
        <v/>
      </c>
      <c r="D5412" s="46">
        <f>'Contractors'!AH376</f>
        <v/>
      </c>
      <c r="E5412" s="46">
        <f>IF(OR(B5412="",C5412="",D5412=""),"",D5412*100000+(C5412-DATE(2000,1,1))+ROW()/100000)</f>
        <v/>
      </c>
      <c r="F5412" s="46">
        <f>IF(E5412="","",IF(C5412&gt;WeekEndDate,"",E5412))</f>
        <v/>
      </c>
    </row>
    <row r="5413">
      <c r="A5413" t="inlineStr">
        <is>
          <t>Contractors</t>
        </is>
      </c>
      <c r="B5413" s="46">
        <f>'Contractors'!AI377</f>
        <v/>
      </c>
      <c r="C5413" s="84">
        <f>'Contractors'!AG377</f>
        <v/>
      </c>
      <c r="D5413" s="46">
        <f>'Contractors'!AH377</f>
        <v/>
      </c>
      <c r="E5413" s="46">
        <f>IF(OR(B5413="",C5413="",D5413=""),"",D5413*100000+(C5413-DATE(2000,1,1))+ROW()/100000)</f>
        <v/>
      </c>
      <c r="F5413" s="46">
        <f>IF(E5413="","",IF(C5413&gt;WeekEndDate,"",E5413))</f>
        <v/>
      </c>
    </row>
    <row r="5414">
      <c r="A5414" t="inlineStr">
        <is>
          <t>Contractors</t>
        </is>
      </c>
      <c r="B5414" s="46">
        <f>'Contractors'!AI378</f>
        <v/>
      </c>
      <c r="C5414" s="84">
        <f>'Contractors'!AG378</f>
        <v/>
      </c>
      <c r="D5414" s="46">
        <f>'Contractors'!AH378</f>
        <v/>
      </c>
      <c r="E5414" s="46">
        <f>IF(OR(B5414="",C5414="",D5414=""),"",D5414*100000+(C5414-DATE(2000,1,1))+ROW()/100000)</f>
        <v/>
      </c>
      <c r="F5414" s="46">
        <f>IF(E5414="","",IF(C5414&gt;WeekEndDate,"",E5414))</f>
        <v/>
      </c>
    </row>
    <row r="5415">
      <c r="A5415" t="inlineStr">
        <is>
          <t>Contractors</t>
        </is>
      </c>
      <c r="B5415" s="46">
        <f>'Contractors'!AI379</f>
        <v/>
      </c>
      <c r="C5415" s="84">
        <f>'Contractors'!AG379</f>
        <v/>
      </c>
      <c r="D5415" s="46">
        <f>'Contractors'!AH379</f>
        <v/>
      </c>
      <c r="E5415" s="46">
        <f>IF(OR(B5415="",C5415="",D5415=""),"",D5415*100000+(C5415-DATE(2000,1,1))+ROW()/100000)</f>
        <v/>
      </c>
      <c r="F5415" s="46">
        <f>IF(E5415="","",IF(C5415&gt;WeekEndDate,"",E5415))</f>
        <v/>
      </c>
    </row>
    <row r="5416">
      <c r="A5416" t="inlineStr">
        <is>
          <t>Contractors</t>
        </is>
      </c>
      <c r="B5416" s="46">
        <f>'Contractors'!AI380</f>
        <v/>
      </c>
      <c r="C5416" s="84">
        <f>'Contractors'!AG380</f>
        <v/>
      </c>
      <c r="D5416" s="46">
        <f>'Contractors'!AH380</f>
        <v/>
      </c>
      <c r="E5416" s="46">
        <f>IF(OR(B5416="",C5416="",D5416=""),"",D5416*100000+(C5416-DATE(2000,1,1))+ROW()/100000)</f>
        <v/>
      </c>
      <c r="F5416" s="46">
        <f>IF(E5416="","",IF(C5416&gt;WeekEndDate,"",E5416))</f>
        <v/>
      </c>
    </row>
    <row r="5417">
      <c r="A5417" t="inlineStr">
        <is>
          <t>Contractors</t>
        </is>
      </c>
      <c r="B5417" s="46">
        <f>'Contractors'!AI381</f>
        <v/>
      </c>
      <c r="C5417" s="84">
        <f>'Contractors'!AG381</f>
        <v/>
      </c>
      <c r="D5417" s="46">
        <f>'Contractors'!AH381</f>
        <v/>
      </c>
      <c r="E5417" s="46">
        <f>IF(OR(B5417="",C5417="",D5417=""),"",D5417*100000+(C5417-DATE(2000,1,1))+ROW()/100000)</f>
        <v/>
      </c>
      <c r="F5417" s="46">
        <f>IF(E5417="","",IF(C5417&gt;WeekEndDate,"",E5417))</f>
        <v/>
      </c>
    </row>
    <row r="5418">
      <c r="A5418" t="inlineStr">
        <is>
          <t>Contractors</t>
        </is>
      </c>
      <c r="B5418" s="46">
        <f>'Contractors'!AI382</f>
        <v/>
      </c>
      <c r="C5418" s="84">
        <f>'Contractors'!AG382</f>
        <v/>
      </c>
      <c r="D5418" s="46">
        <f>'Contractors'!AH382</f>
        <v/>
      </c>
      <c r="E5418" s="46">
        <f>IF(OR(B5418="",C5418="",D5418=""),"",D5418*100000+(C5418-DATE(2000,1,1))+ROW()/100000)</f>
        <v/>
      </c>
      <c r="F5418" s="46">
        <f>IF(E5418="","",IF(C5418&gt;WeekEndDate,"",E5418))</f>
        <v/>
      </c>
    </row>
    <row r="5419">
      <c r="A5419" t="inlineStr">
        <is>
          <t>Contractors</t>
        </is>
      </c>
      <c r="B5419" s="46">
        <f>'Contractors'!AI383</f>
        <v/>
      </c>
      <c r="C5419" s="84">
        <f>'Contractors'!AG383</f>
        <v/>
      </c>
      <c r="D5419" s="46">
        <f>'Contractors'!AH383</f>
        <v/>
      </c>
      <c r="E5419" s="46">
        <f>IF(OR(B5419="",C5419="",D5419=""),"",D5419*100000+(C5419-DATE(2000,1,1))+ROW()/100000)</f>
        <v/>
      </c>
      <c r="F5419" s="46">
        <f>IF(E5419="","",IF(C5419&gt;WeekEndDate,"",E5419))</f>
        <v/>
      </c>
    </row>
    <row r="5420">
      <c r="A5420" t="inlineStr">
        <is>
          <t>Contractors</t>
        </is>
      </c>
      <c r="B5420" s="46">
        <f>'Contractors'!AI384</f>
        <v/>
      </c>
      <c r="C5420" s="84">
        <f>'Contractors'!AG384</f>
        <v/>
      </c>
      <c r="D5420" s="46">
        <f>'Contractors'!AH384</f>
        <v/>
      </c>
      <c r="E5420" s="46">
        <f>IF(OR(B5420="",C5420="",D5420=""),"",D5420*100000+(C5420-DATE(2000,1,1))+ROW()/100000)</f>
        <v/>
      </c>
      <c r="F5420" s="46">
        <f>IF(E5420="","",IF(C5420&gt;WeekEndDate,"",E5420))</f>
        <v/>
      </c>
    </row>
    <row r="5421">
      <c r="A5421" t="inlineStr">
        <is>
          <t>Contractors</t>
        </is>
      </c>
      <c r="B5421" s="46">
        <f>'Contractors'!AI385</f>
        <v/>
      </c>
      <c r="C5421" s="84">
        <f>'Contractors'!AG385</f>
        <v/>
      </c>
      <c r="D5421" s="46">
        <f>'Contractors'!AH385</f>
        <v/>
      </c>
      <c r="E5421" s="46">
        <f>IF(OR(B5421="",C5421="",D5421=""),"",D5421*100000+(C5421-DATE(2000,1,1))+ROW()/100000)</f>
        <v/>
      </c>
      <c r="F5421" s="46">
        <f>IF(E5421="","",IF(C5421&gt;WeekEndDate,"",E5421))</f>
        <v/>
      </c>
    </row>
    <row r="5422">
      <c r="A5422" t="inlineStr">
        <is>
          <t>Contractors</t>
        </is>
      </c>
      <c r="B5422" s="46">
        <f>'Contractors'!AI386</f>
        <v/>
      </c>
      <c r="C5422" s="84">
        <f>'Contractors'!AG386</f>
        <v/>
      </c>
      <c r="D5422" s="46">
        <f>'Contractors'!AH386</f>
        <v/>
      </c>
      <c r="E5422" s="46">
        <f>IF(OR(B5422="",C5422="",D5422=""),"",D5422*100000+(C5422-DATE(2000,1,1))+ROW()/100000)</f>
        <v/>
      </c>
      <c r="F5422" s="46">
        <f>IF(E5422="","",IF(C5422&gt;WeekEndDate,"",E5422))</f>
        <v/>
      </c>
    </row>
    <row r="5423">
      <c r="A5423" t="inlineStr">
        <is>
          <t>Contractors</t>
        </is>
      </c>
      <c r="B5423" s="46">
        <f>'Contractors'!AI387</f>
        <v/>
      </c>
      <c r="C5423" s="84">
        <f>'Contractors'!AG387</f>
        <v/>
      </c>
      <c r="D5423" s="46">
        <f>'Contractors'!AH387</f>
        <v/>
      </c>
      <c r="E5423" s="46">
        <f>IF(OR(B5423="",C5423="",D5423=""),"",D5423*100000+(C5423-DATE(2000,1,1))+ROW()/100000)</f>
        <v/>
      </c>
      <c r="F5423" s="46">
        <f>IF(E5423="","",IF(C5423&gt;WeekEndDate,"",E5423))</f>
        <v/>
      </c>
    </row>
    <row r="5424">
      <c r="A5424" t="inlineStr">
        <is>
          <t>Contractors</t>
        </is>
      </c>
      <c r="B5424" s="46">
        <f>'Contractors'!AI388</f>
        <v/>
      </c>
      <c r="C5424" s="84">
        <f>'Contractors'!AG388</f>
        <v/>
      </c>
      <c r="D5424" s="46">
        <f>'Contractors'!AH388</f>
        <v/>
      </c>
      <c r="E5424" s="46">
        <f>IF(OR(B5424="",C5424="",D5424=""),"",D5424*100000+(C5424-DATE(2000,1,1))+ROW()/100000)</f>
        <v/>
      </c>
      <c r="F5424" s="46">
        <f>IF(E5424="","",IF(C5424&gt;WeekEndDate,"",E5424))</f>
        <v/>
      </c>
    </row>
    <row r="5425">
      <c r="A5425" t="inlineStr">
        <is>
          <t>Contractors</t>
        </is>
      </c>
      <c r="B5425" s="46">
        <f>'Contractors'!AI389</f>
        <v/>
      </c>
      <c r="C5425" s="84">
        <f>'Contractors'!AG389</f>
        <v/>
      </c>
      <c r="D5425" s="46">
        <f>'Contractors'!AH389</f>
        <v/>
      </c>
      <c r="E5425" s="46">
        <f>IF(OR(B5425="",C5425="",D5425=""),"",D5425*100000+(C5425-DATE(2000,1,1))+ROW()/100000)</f>
        <v/>
      </c>
      <c r="F5425" s="46">
        <f>IF(E5425="","",IF(C5425&gt;WeekEndDate,"",E5425))</f>
        <v/>
      </c>
    </row>
    <row r="5426">
      <c r="A5426" t="inlineStr">
        <is>
          <t>Contractors</t>
        </is>
      </c>
      <c r="B5426" s="46">
        <f>'Contractors'!AI390</f>
        <v/>
      </c>
      <c r="C5426" s="84">
        <f>'Contractors'!AG390</f>
        <v/>
      </c>
      <c r="D5426" s="46">
        <f>'Contractors'!AH390</f>
        <v/>
      </c>
      <c r="E5426" s="46">
        <f>IF(OR(B5426="",C5426="",D5426=""),"",D5426*100000+(C5426-DATE(2000,1,1))+ROW()/100000)</f>
        <v/>
      </c>
      <c r="F5426" s="46">
        <f>IF(E5426="","",IF(C5426&gt;WeekEndDate,"",E5426))</f>
        <v/>
      </c>
    </row>
    <row r="5427">
      <c r="A5427" t="inlineStr">
        <is>
          <t>Contractors</t>
        </is>
      </c>
      <c r="B5427" s="46">
        <f>'Contractors'!AI391</f>
        <v/>
      </c>
      <c r="C5427" s="84">
        <f>'Contractors'!AG391</f>
        <v/>
      </c>
      <c r="D5427" s="46">
        <f>'Contractors'!AH391</f>
        <v/>
      </c>
      <c r="E5427" s="46">
        <f>IF(OR(B5427="",C5427="",D5427=""),"",D5427*100000+(C5427-DATE(2000,1,1))+ROW()/100000)</f>
        <v/>
      </c>
      <c r="F5427" s="46">
        <f>IF(E5427="","",IF(C5427&gt;WeekEndDate,"",E5427))</f>
        <v/>
      </c>
    </row>
    <row r="5428">
      <c r="A5428" t="inlineStr">
        <is>
          <t>Contractors</t>
        </is>
      </c>
      <c r="B5428" s="46">
        <f>'Contractors'!AI392</f>
        <v/>
      </c>
      <c r="C5428" s="84">
        <f>'Contractors'!AG392</f>
        <v/>
      </c>
      <c r="D5428" s="46">
        <f>'Contractors'!AH392</f>
        <v/>
      </c>
      <c r="E5428" s="46">
        <f>IF(OR(B5428="",C5428="",D5428=""),"",D5428*100000+(C5428-DATE(2000,1,1))+ROW()/100000)</f>
        <v/>
      </c>
      <c r="F5428" s="46">
        <f>IF(E5428="","",IF(C5428&gt;WeekEndDate,"",E5428))</f>
        <v/>
      </c>
    </row>
    <row r="5429">
      <c r="A5429" t="inlineStr">
        <is>
          <t>Contractors</t>
        </is>
      </c>
      <c r="B5429" s="46">
        <f>'Contractors'!AI393</f>
        <v/>
      </c>
      <c r="C5429" s="84">
        <f>'Contractors'!AG393</f>
        <v/>
      </c>
      <c r="D5429" s="46">
        <f>'Contractors'!AH393</f>
        <v/>
      </c>
      <c r="E5429" s="46">
        <f>IF(OR(B5429="",C5429="",D5429=""),"",D5429*100000+(C5429-DATE(2000,1,1))+ROW()/100000)</f>
        <v/>
      </c>
      <c r="F5429" s="46">
        <f>IF(E5429="","",IF(C5429&gt;WeekEndDate,"",E5429))</f>
        <v/>
      </c>
    </row>
    <row r="5430">
      <c r="A5430" t="inlineStr">
        <is>
          <t>Contractors</t>
        </is>
      </c>
      <c r="B5430" s="46">
        <f>'Contractors'!AI394</f>
        <v/>
      </c>
      <c r="C5430" s="84">
        <f>'Contractors'!AG394</f>
        <v/>
      </c>
      <c r="D5430" s="46">
        <f>'Contractors'!AH394</f>
        <v/>
      </c>
      <c r="E5430" s="46">
        <f>IF(OR(B5430="",C5430="",D5430=""),"",D5430*100000+(C5430-DATE(2000,1,1))+ROW()/100000)</f>
        <v/>
      </c>
      <c r="F5430" s="46">
        <f>IF(E5430="","",IF(C5430&gt;WeekEndDate,"",E5430))</f>
        <v/>
      </c>
    </row>
    <row r="5431">
      <c r="A5431" t="inlineStr">
        <is>
          <t>Contractors</t>
        </is>
      </c>
      <c r="B5431" s="46">
        <f>'Contractors'!AI395</f>
        <v/>
      </c>
      <c r="C5431" s="84">
        <f>'Contractors'!AG395</f>
        <v/>
      </c>
      <c r="D5431" s="46">
        <f>'Contractors'!AH395</f>
        <v/>
      </c>
      <c r="E5431" s="46">
        <f>IF(OR(B5431="",C5431="",D5431=""),"",D5431*100000+(C5431-DATE(2000,1,1))+ROW()/100000)</f>
        <v/>
      </c>
      <c r="F5431" s="46">
        <f>IF(E5431="","",IF(C5431&gt;WeekEndDate,"",E5431))</f>
        <v/>
      </c>
    </row>
    <row r="5432">
      <c r="A5432" t="inlineStr">
        <is>
          <t>Contractors</t>
        </is>
      </c>
      <c r="B5432" s="46">
        <f>'Contractors'!AI396</f>
        <v/>
      </c>
      <c r="C5432" s="84">
        <f>'Contractors'!AG396</f>
        <v/>
      </c>
      <c r="D5432" s="46">
        <f>'Contractors'!AH396</f>
        <v/>
      </c>
      <c r="E5432" s="46">
        <f>IF(OR(B5432="",C5432="",D5432=""),"",D5432*100000+(C5432-DATE(2000,1,1))+ROW()/100000)</f>
        <v/>
      </c>
      <c r="F5432" s="46">
        <f>IF(E5432="","",IF(C5432&gt;WeekEndDate,"",E5432))</f>
        <v/>
      </c>
    </row>
    <row r="5433">
      <c r="A5433" t="inlineStr">
        <is>
          <t>Contractors</t>
        </is>
      </c>
      <c r="B5433" s="46">
        <f>'Contractors'!AI397</f>
        <v/>
      </c>
      <c r="C5433" s="84">
        <f>'Contractors'!AG397</f>
        <v/>
      </c>
      <c r="D5433" s="46">
        <f>'Contractors'!AH397</f>
        <v/>
      </c>
      <c r="E5433" s="46">
        <f>IF(OR(B5433="",C5433="",D5433=""),"",D5433*100000+(C5433-DATE(2000,1,1))+ROW()/100000)</f>
        <v/>
      </c>
      <c r="F5433" s="46">
        <f>IF(E5433="","",IF(C5433&gt;WeekEndDate,"",E5433))</f>
        <v/>
      </c>
    </row>
    <row r="5434">
      <c r="A5434" t="inlineStr">
        <is>
          <t>Contractors</t>
        </is>
      </c>
      <c r="B5434" s="46">
        <f>'Contractors'!AI398</f>
        <v/>
      </c>
      <c r="C5434" s="84">
        <f>'Contractors'!AG398</f>
        <v/>
      </c>
      <c r="D5434" s="46">
        <f>'Contractors'!AH398</f>
        <v/>
      </c>
      <c r="E5434" s="46">
        <f>IF(OR(B5434="",C5434="",D5434=""),"",D5434*100000+(C5434-DATE(2000,1,1))+ROW()/100000)</f>
        <v/>
      </c>
      <c r="F5434" s="46">
        <f>IF(E5434="","",IF(C5434&gt;WeekEndDate,"",E5434))</f>
        <v/>
      </c>
    </row>
    <row r="5435">
      <c r="A5435" t="inlineStr">
        <is>
          <t>Contractors</t>
        </is>
      </c>
      <c r="B5435" s="46">
        <f>'Contractors'!AI399</f>
        <v/>
      </c>
      <c r="C5435" s="84">
        <f>'Contractors'!AG399</f>
        <v/>
      </c>
      <c r="D5435" s="46">
        <f>'Contractors'!AH399</f>
        <v/>
      </c>
      <c r="E5435" s="46">
        <f>IF(OR(B5435="",C5435="",D5435=""),"",D5435*100000+(C5435-DATE(2000,1,1))+ROW()/100000)</f>
        <v/>
      </c>
      <c r="F5435" s="46">
        <f>IF(E5435="","",IF(C5435&gt;WeekEndDate,"",E5435))</f>
        <v/>
      </c>
    </row>
    <row r="5436">
      <c r="A5436" t="inlineStr">
        <is>
          <t>Contractors</t>
        </is>
      </c>
      <c r="B5436" s="46">
        <f>'Contractors'!AI400</f>
        <v/>
      </c>
      <c r="C5436" s="84">
        <f>'Contractors'!AG400</f>
        <v/>
      </c>
      <c r="D5436" s="46">
        <f>'Contractors'!AH400</f>
        <v/>
      </c>
      <c r="E5436" s="46">
        <f>IF(OR(B5436="",C5436="",D5436=""),"",D5436*100000+(C5436-DATE(2000,1,1))+ROW()/100000)</f>
        <v/>
      </c>
      <c r="F5436" s="46">
        <f>IF(E5436="","",IF(C5436&gt;WeekEndDate,"",E5436))</f>
        <v/>
      </c>
    </row>
    <row r="5437">
      <c r="A5437" t="inlineStr">
        <is>
          <t>Contractors</t>
        </is>
      </c>
      <c r="B5437" s="46">
        <f>'Contractors'!AI401</f>
        <v/>
      </c>
      <c r="C5437" s="84">
        <f>'Contractors'!AG401</f>
        <v/>
      </c>
      <c r="D5437" s="46">
        <f>'Contractors'!AH401</f>
        <v/>
      </c>
      <c r="E5437" s="46">
        <f>IF(OR(B5437="",C5437="",D5437=""),"",D5437*100000+(C5437-DATE(2000,1,1))+ROW()/100000)</f>
        <v/>
      </c>
      <c r="F5437" s="46">
        <f>IF(E5437="","",IF(C5437&gt;WeekEndDate,"",E5437))</f>
        <v/>
      </c>
    </row>
    <row r="5438">
      <c r="A5438" t="inlineStr">
        <is>
          <t>Contractors</t>
        </is>
      </c>
      <c r="B5438" s="46">
        <f>'Contractors'!AI402</f>
        <v/>
      </c>
      <c r="C5438" s="84">
        <f>'Contractors'!AG402</f>
        <v/>
      </c>
      <c r="D5438" s="46">
        <f>'Contractors'!AH402</f>
        <v/>
      </c>
      <c r="E5438" s="46">
        <f>IF(OR(B5438="",C5438="",D5438=""),"",D5438*100000+(C5438-DATE(2000,1,1))+ROW()/100000)</f>
        <v/>
      </c>
      <c r="F5438" s="46">
        <f>IF(E5438="","",IF(C5438&gt;WeekEndDate,"",E5438))</f>
        <v/>
      </c>
    </row>
    <row r="5439">
      <c r="A5439" t="inlineStr">
        <is>
          <t>Contractors</t>
        </is>
      </c>
      <c r="B5439" s="46">
        <f>'Contractors'!AI403</f>
        <v/>
      </c>
      <c r="C5439" s="84">
        <f>'Contractors'!AG403</f>
        <v/>
      </c>
      <c r="D5439" s="46">
        <f>'Contractors'!AH403</f>
        <v/>
      </c>
      <c r="E5439" s="46">
        <f>IF(OR(B5439="",C5439="",D5439=""),"",D5439*100000+(C5439-DATE(2000,1,1))+ROW()/100000)</f>
        <v/>
      </c>
      <c r="F5439" s="46">
        <f>IF(E5439="","",IF(C5439&gt;WeekEndDate,"",E5439))</f>
        <v/>
      </c>
    </row>
    <row r="5440">
      <c r="A5440" t="inlineStr">
        <is>
          <t>Contractors</t>
        </is>
      </c>
      <c r="B5440" s="46">
        <f>'Contractors'!AI404</f>
        <v/>
      </c>
      <c r="C5440" s="84">
        <f>'Contractors'!AG404</f>
        <v/>
      </c>
      <c r="D5440" s="46">
        <f>'Contractors'!AH404</f>
        <v/>
      </c>
      <c r="E5440" s="46">
        <f>IF(OR(B5440="",C5440="",D5440=""),"",D5440*100000+(C5440-DATE(2000,1,1))+ROW()/100000)</f>
        <v/>
      </c>
      <c r="F5440" s="46">
        <f>IF(E5440="","",IF(C5440&gt;WeekEndDate,"",E5440))</f>
        <v/>
      </c>
    </row>
    <row r="5441">
      <c r="A5441" t="inlineStr">
        <is>
          <t>Contractors</t>
        </is>
      </c>
      <c r="B5441" s="46">
        <f>'Contractors'!AI405</f>
        <v/>
      </c>
      <c r="C5441" s="84">
        <f>'Contractors'!AG405</f>
        <v/>
      </c>
      <c r="D5441" s="46">
        <f>'Contractors'!AH405</f>
        <v/>
      </c>
      <c r="E5441" s="46">
        <f>IF(OR(B5441="",C5441="",D5441=""),"",D5441*100000+(C5441-DATE(2000,1,1))+ROW()/100000)</f>
        <v/>
      </c>
      <c r="F5441" s="46">
        <f>IF(E5441="","",IF(C5441&gt;WeekEndDate,"",E5441))</f>
        <v/>
      </c>
    </row>
    <row r="5442">
      <c r="A5442" t="inlineStr">
        <is>
          <t>Contractors</t>
        </is>
      </c>
      <c r="B5442" s="46">
        <f>'Contractors'!AI406</f>
        <v/>
      </c>
      <c r="C5442" s="84">
        <f>'Contractors'!AG406</f>
        <v/>
      </c>
      <c r="D5442" s="46">
        <f>'Contractors'!AH406</f>
        <v/>
      </c>
      <c r="E5442" s="46">
        <f>IF(OR(B5442="",C5442="",D5442=""),"",D5442*100000+(C5442-DATE(2000,1,1))+ROW()/100000)</f>
        <v/>
      </c>
      <c r="F5442" s="46">
        <f>IF(E5442="","",IF(C5442&gt;WeekEndDate,"",E5442))</f>
        <v/>
      </c>
    </row>
    <row r="5443">
      <c r="A5443" t="inlineStr">
        <is>
          <t>Contractors</t>
        </is>
      </c>
      <c r="B5443" s="46">
        <f>'Contractors'!AI407</f>
        <v/>
      </c>
      <c r="C5443" s="84">
        <f>'Contractors'!AG407</f>
        <v/>
      </c>
      <c r="D5443" s="46">
        <f>'Contractors'!AH407</f>
        <v/>
      </c>
      <c r="E5443" s="46">
        <f>IF(OR(B5443="",C5443="",D5443=""),"",D5443*100000+(C5443-DATE(2000,1,1))+ROW()/100000)</f>
        <v/>
      </c>
      <c r="F5443" s="46">
        <f>IF(E5443="","",IF(C5443&gt;WeekEndDate,"",E5443))</f>
        <v/>
      </c>
    </row>
    <row r="5444">
      <c r="A5444" t="inlineStr">
        <is>
          <t>Contractors</t>
        </is>
      </c>
      <c r="B5444" s="46">
        <f>'Contractors'!AI408</f>
        <v/>
      </c>
      <c r="C5444" s="84">
        <f>'Contractors'!AG408</f>
        <v/>
      </c>
      <c r="D5444" s="46">
        <f>'Contractors'!AH408</f>
        <v/>
      </c>
      <c r="E5444" s="46">
        <f>IF(OR(B5444="",C5444="",D5444=""),"",D5444*100000+(C5444-DATE(2000,1,1))+ROW()/100000)</f>
        <v/>
      </c>
      <c r="F5444" s="46">
        <f>IF(E5444="","",IF(C5444&gt;WeekEndDate,"",E5444))</f>
        <v/>
      </c>
    </row>
    <row r="5445">
      <c r="A5445" t="inlineStr">
        <is>
          <t>Contractors</t>
        </is>
      </c>
      <c r="B5445" s="46">
        <f>'Contractors'!AI409</f>
        <v/>
      </c>
      <c r="C5445" s="84">
        <f>'Contractors'!AG409</f>
        <v/>
      </c>
      <c r="D5445" s="46">
        <f>'Contractors'!AH409</f>
        <v/>
      </c>
      <c r="E5445" s="46">
        <f>IF(OR(B5445="",C5445="",D5445=""),"",D5445*100000+(C5445-DATE(2000,1,1))+ROW()/100000)</f>
        <v/>
      </c>
      <c r="F5445" s="46">
        <f>IF(E5445="","",IF(C5445&gt;WeekEndDate,"",E5445))</f>
        <v/>
      </c>
    </row>
    <row r="5446">
      <c r="A5446" t="inlineStr">
        <is>
          <t>Contractors</t>
        </is>
      </c>
      <c r="B5446" s="46">
        <f>'Contractors'!AI410</f>
        <v/>
      </c>
      <c r="C5446" s="84">
        <f>'Contractors'!AG410</f>
        <v/>
      </c>
      <c r="D5446" s="46">
        <f>'Contractors'!AH410</f>
        <v/>
      </c>
      <c r="E5446" s="46">
        <f>IF(OR(B5446="",C5446="",D5446=""),"",D5446*100000+(C5446-DATE(2000,1,1))+ROW()/100000)</f>
        <v/>
      </c>
      <c r="F5446" s="46">
        <f>IF(E5446="","",IF(C5446&gt;WeekEndDate,"",E5446))</f>
        <v/>
      </c>
    </row>
    <row r="5447">
      <c r="A5447" t="inlineStr">
        <is>
          <t>Contractors</t>
        </is>
      </c>
      <c r="B5447" s="46">
        <f>'Contractors'!AI411</f>
        <v/>
      </c>
      <c r="C5447" s="84">
        <f>'Contractors'!AG411</f>
        <v/>
      </c>
      <c r="D5447" s="46">
        <f>'Contractors'!AH411</f>
        <v/>
      </c>
      <c r="E5447" s="46">
        <f>IF(OR(B5447="",C5447="",D5447=""),"",D5447*100000+(C5447-DATE(2000,1,1))+ROW()/100000)</f>
        <v/>
      </c>
      <c r="F5447" s="46">
        <f>IF(E5447="","",IF(C5447&gt;WeekEndDate,"",E5447))</f>
        <v/>
      </c>
    </row>
    <row r="5448">
      <c r="A5448" t="inlineStr">
        <is>
          <t>Contractors</t>
        </is>
      </c>
      <c r="B5448" s="46">
        <f>'Contractors'!AI412</f>
        <v/>
      </c>
      <c r="C5448" s="84">
        <f>'Contractors'!AG412</f>
        <v/>
      </c>
      <c r="D5448" s="46">
        <f>'Contractors'!AH412</f>
        <v/>
      </c>
      <c r="E5448" s="46">
        <f>IF(OR(B5448="",C5448="",D5448=""),"",D5448*100000+(C5448-DATE(2000,1,1))+ROW()/100000)</f>
        <v/>
      </c>
      <c r="F5448" s="46">
        <f>IF(E5448="","",IF(C5448&gt;WeekEndDate,"",E5448))</f>
        <v/>
      </c>
    </row>
    <row r="5449">
      <c r="A5449" t="inlineStr">
        <is>
          <t>Contractors</t>
        </is>
      </c>
      <c r="B5449" s="46">
        <f>'Contractors'!AI413</f>
        <v/>
      </c>
      <c r="C5449" s="84">
        <f>'Contractors'!AG413</f>
        <v/>
      </c>
      <c r="D5449" s="46">
        <f>'Contractors'!AH413</f>
        <v/>
      </c>
      <c r="E5449" s="46">
        <f>IF(OR(B5449="",C5449="",D5449=""),"",D5449*100000+(C5449-DATE(2000,1,1))+ROW()/100000)</f>
        <v/>
      </c>
      <c r="F5449" s="46">
        <f>IF(E5449="","",IF(C5449&gt;WeekEndDate,"",E5449))</f>
        <v/>
      </c>
    </row>
    <row r="5450">
      <c r="A5450" t="inlineStr">
        <is>
          <t>Contractors</t>
        </is>
      </c>
      <c r="B5450" s="46">
        <f>'Contractors'!AI414</f>
        <v/>
      </c>
      <c r="C5450" s="84">
        <f>'Contractors'!AG414</f>
        <v/>
      </c>
      <c r="D5450" s="46">
        <f>'Contractors'!AH414</f>
        <v/>
      </c>
      <c r="E5450" s="46">
        <f>IF(OR(B5450="",C5450="",D5450=""),"",D5450*100000+(C5450-DATE(2000,1,1))+ROW()/100000)</f>
        <v/>
      </c>
      <c r="F5450" s="46">
        <f>IF(E5450="","",IF(C5450&gt;WeekEndDate,"",E5450))</f>
        <v/>
      </c>
    </row>
    <row r="5451">
      <c r="A5451" t="inlineStr">
        <is>
          <t>Contractors</t>
        </is>
      </c>
      <c r="B5451" s="46">
        <f>'Contractors'!AI415</f>
        <v/>
      </c>
      <c r="C5451" s="84">
        <f>'Contractors'!AG415</f>
        <v/>
      </c>
      <c r="D5451" s="46">
        <f>'Contractors'!AH415</f>
        <v/>
      </c>
      <c r="E5451" s="46">
        <f>IF(OR(B5451="",C5451="",D5451=""),"",D5451*100000+(C5451-DATE(2000,1,1))+ROW()/100000)</f>
        <v/>
      </c>
      <c r="F5451" s="46">
        <f>IF(E5451="","",IF(C5451&gt;WeekEndDate,"",E5451))</f>
        <v/>
      </c>
    </row>
    <row r="5452">
      <c r="A5452" t="inlineStr">
        <is>
          <t>Contractors</t>
        </is>
      </c>
      <c r="B5452" s="46">
        <f>'Contractors'!AI416</f>
        <v/>
      </c>
      <c r="C5452" s="84">
        <f>'Contractors'!AG416</f>
        <v/>
      </c>
      <c r="D5452" s="46">
        <f>'Contractors'!AH416</f>
        <v/>
      </c>
      <c r="E5452" s="46">
        <f>IF(OR(B5452="",C5452="",D5452=""),"",D5452*100000+(C5452-DATE(2000,1,1))+ROW()/100000)</f>
        <v/>
      </c>
      <c r="F5452" s="46">
        <f>IF(E5452="","",IF(C5452&gt;WeekEndDate,"",E5452))</f>
        <v/>
      </c>
    </row>
    <row r="5453">
      <c r="A5453" t="inlineStr">
        <is>
          <t>Contractors</t>
        </is>
      </c>
      <c r="B5453" s="46">
        <f>'Contractors'!AI417</f>
        <v/>
      </c>
      <c r="C5453" s="84">
        <f>'Contractors'!AG417</f>
        <v/>
      </c>
      <c r="D5453" s="46">
        <f>'Contractors'!AH417</f>
        <v/>
      </c>
      <c r="E5453" s="46">
        <f>IF(OR(B5453="",C5453="",D5453=""),"",D5453*100000+(C5453-DATE(2000,1,1))+ROW()/100000)</f>
        <v/>
      </c>
      <c r="F5453" s="46">
        <f>IF(E5453="","",IF(C5453&gt;WeekEndDate,"",E5453))</f>
        <v/>
      </c>
    </row>
    <row r="5454">
      <c r="A5454" t="inlineStr">
        <is>
          <t>Contractors</t>
        </is>
      </c>
      <c r="B5454" s="46">
        <f>'Contractors'!AI418</f>
        <v/>
      </c>
      <c r="C5454" s="84">
        <f>'Contractors'!AG418</f>
        <v/>
      </c>
      <c r="D5454" s="46">
        <f>'Contractors'!AH418</f>
        <v/>
      </c>
      <c r="E5454" s="46">
        <f>IF(OR(B5454="",C5454="",D5454=""),"",D5454*100000+(C5454-DATE(2000,1,1))+ROW()/100000)</f>
        <v/>
      </c>
      <c r="F5454" s="46">
        <f>IF(E5454="","",IF(C5454&gt;WeekEndDate,"",E5454))</f>
        <v/>
      </c>
    </row>
    <row r="5455">
      <c r="A5455" t="inlineStr">
        <is>
          <t>Contractors</t>
        </is>
      </c>
      <c r="B5455" s="46">
        <f>'Contractors'!AI419</f>
        <v/>
      </c>
      <c r="C5455" s="84">
        <f>'Contractors'!AG419</f>
        <v/>
      </c>
      <c r="D5455" s="46">
        <f>'Contractors'!AH419</f>
        <v/>
      </c>
      <c r="E5455" s="46">
        <f>IF(OR(B5455="",C5455="",D5455=""),"",D5455*100000+(C5455-DATE(2000,1,1))+ROW()/100000)</f>
        <v/>
      </c>
      <c r="F5455" s="46">
        <f>IF(E5455="","",IF(C5455&gt;WeekEndDate,"",E5455))</f>
        <v/>
      </c>
    </row>
    <row r="5456">
      <c r="A5456" t="inlineStr">
        <is>
          <t>Contractors</t>
        </is>
      </c>
      <c r="B5456" s="46">
        <f>'Contractors'!AI420</f>
        <v/>
      </c>
      <c r="C5456" s="84">
        <f>'Contractors'!AG420</f>
        <v/>
      </c>
      <c r="D5456" s="46">
        <f>'Contractors'!AH420</f>
        <v/>
      </c>
      <c r="E5456" s="46">
        <f>IF(OR(B5456="",C5456="",D5456=""),"",D5456*100000+(C5456-DATE(2000,1,1))+ROW()/100000)</f>
        <v/>
      </c>
      <c r="F5456" s="46">
        <f>IF(E5456="","",IF(C5456&gt;WeekEndDate,"",E5456))</f>
        <v/>
      </c>
    </row>
    <row r="5457">
      <c r="A5457" t="inlineStr">
        <is>
          <t>Contractors</t>
        </is>
      </c>
      <c r="B5457" s="46">
        <f>'Contractors'!AI421</f>
        <v/>
      </c>
      <c r="C5457" s="84">
        <f>'Contractors'!AG421</f>
        <v/>
      </c>
      <c r="D5457" s="46">
        <f>'Contractors'!AH421</f>
        <v/>
      </c>
      <c r="E5457" s="46">
        <f>IF(OR(B5457="",C5457="",D5457=""),"",D5457*100000+(C5457-DATE(2000,1,1))+ROW()/100000)</f>
        <v/>
      </c>
      <c r="F5457" s="46">
        <f>IF(E5457="","",IF(C5457&gt;WeekEndDate,"",E5457))</f>
        <v/>
      </c>
    </row>
    <row r="5458">
      <c r="A5458" t="inlineStr">
        <is>
          <t>Contractors</t>
        </is>
      </c>
      <c r="B5458" s="46">
        <f>'Contractors'!AI422</f>
        <v/>
      </c>
      <c r="C5458" s="84">
        <f>'Contractors'!AG422</f>
        <v/>
      </c>
      <c r="D5458" s="46">
        <f>'Contractors'!AH422</f>
        <v/>
      </c>
      <c r="E5458" s="46">
        <f>IF(OR(B5458="",C5458="",D5458=""),"",D5458*100000+(C5458-DATE(2000,1,1))+ROW()/100000)</f>
        <v/>
      </c>
      <c r="F5458" s="46">
        <f>IF(E5458="","",IF(C5458&gt;WeekEndDate,"",E5458))</f>
        <v/>
      </c>
    </row>
    <row r="5459">
      <c r="A5459" t="inlineStr">
        <is>
          <t>Contractors</t>
        </is>
      </c>
      <c r="B5459" s="46">
        <f>'Contractors'!AI423</f>
        <v/>
      </c>
      <c r="C5459" s="84">
        <f>'Contractors'!AG423</f>
        <v/>
      </c>
      <c r="D5459" s="46">
        <f>'Contractors'!AH423</f>
        <v/>
      </c>
      <c r="E5459" s="46">
        <f>IF(OR(B5459="",C5459="",D5459=""),"",D5459*100000+(C5459-DATE(2000,1,1))+ROW()/100000)</f>
        <v/>
      </c>
      <c r="F5459" s="46">
        <f>IF(E5459="","",IF(C5459&gt;WeekEndDate,"",E5459))</f>
        <v/>
      </c>
    </row>
    <row r="5460">
      <c r="A5460" t="inlineStr">
        <is>
          <t>Contractors</t>
        </is>
      </c>
      <c r="B5460" s="46">
        <f>'Contractors'!AI424</f>
        <v/>
      </c>
      <c r="C5460" s="84">
        <f>'Contractors'!AG424</f>
        <v/>
      </c>
      <c r="D5460" s="46">
        <f>'Contractors'!AH424</f>
        <v/>
      </c>
      <c r="E5460" s="46">
        <f>IF(OR(B5460="",C5460="",D5460=""),"",D5460*100000+(C5460-DATE(2000,1,1))+ROW()/100000)</f>
        <v/>
      </c>
      <c r="F5460" s="46">
        <f>IF(E5460="","",IF(C5460&gt;WeekEndDate,"",E5460))</f>
        <v/>
      </c>
    </row>
    <row r="5461">
      <c r="A5461" t="inlineStr">
        <is>
          <t>Contractors</t>
        </is>
      </c>
      <c r="B5461" s="46">
        <f>'Contractors'!AI425</f>
        <v/>
      </c>
      <c r="C5461" s="84">
        <f>'Contractors'!AG425</f>
        <v/>
      </c>
      <c r="D5461" s="46">
        <f>'Contractors'!AH425</f>
        <v/>
      </c>
      <c r="E5461" s="46">
        <f>IF(OR(B5461="",C5461="",D5461=""),"",D5461*100000+(C5461-DATE(2000,1,1))+ROW()/100000)</f>
        <v/>
      </c>
      <c r="F5461" s="46">
        <f>IF(E5461="","",IF(C5461&gt;WeekEndDate,"",E5461))</f>
        <v/>
      </c>
    </row>
    <row r="5462">
      <c r="A5462" t="inlineStr">
        <is>
          <t>Contractors</t>
        </is>
      </c>
      <c r="B5462" s="46">
        <f>'Contractors'!AI426</f>
        <v/>
      </c>
      <c r="C5462" s="84">
        <f>'Contractors'!AG426</f>
        <v/>
      </c>
      <c r="D5462" s="46">
        <f>'Contractors'!AH426</f>
        <v/>
      </c>
      <c r="E5462" s="46">
        <f>IF(OR(B5462="",C5462="",D5462=""),"",D5462*100000+(C5462-DATE(2000,1,1))+ROW()/100000)</f>
        <v/>
      </c>
      <c r="F5462" s="46">
        <f>IF(E5462="","",IF(C5462&gt;WeekEndDate,"",E5462))</f>
        <v/>
      </c>
    </row>
    <row r="5463">
      <c r="A5463" t="inlineStr">
        <is>
          <t>Contractors</t>
        </is>
      </c>
      <c r="B5463" s="46">
        <f>'Contractors'!AI427</f>
        <v/>
      </c>
      <c r="C5463" s="84">
        <f>'Contractors'!AG427</f>
        <v/>
      </c>
      <c r="D5463" s="46">
        <f>'Contractors'!AH427</f>
        <v/>
      </c>
      <c r="E5463" s="46">
        <f>IF(OR(B5463="",C5463="",D5463=""),"",D5463*100000+(C5463-DATE(2000,1,1))+ROW()/100000)</f>
        <v/>
      </c>
      <c r="F5463" s="46">
        <f>IF(E5463="","",IF(C5463&gt;WeekEndDate,"",E5463))</f>
        <v/>
      </c>
    </row>
    <row r="5464">
      <c r="A5464" t="inlineStr">
        <is>
          <t>Contractors</t>
        </is>
      </c>
      <c r="B5464" s="46">
        <f>'Contractors'!AI428</f>
        <v/>
      </c>
      <c r="C5464" s="84">
        <f>'Contractors'!AG428</f>
        <v/>
      </c>
      <c r="D5464" s="46">
        <f>'Contractors'!AH428</f>
        <v/>
      </c>
      <c r="E5464" s="46">
        <f>IF(OR(B5464="",C5464="",D5464=""),"",D5464*100000+(C5464-DATE(2000,1,1))+ROW()/100000)</f>
        <v/>
      </c>
      <c r="F5464" s="46">
        <f>IF(E5464="","",IF(C5464&gt;WeekEndDate,"",E5464))</f>
        <v/>
      </c>
    </row>
    <row r="5465">
      <c r="A5465" t="inlineStr">
        <is>
          <t>Contractors</t>
        </is>
      </c>
      <c r="B5465" s="46">
        <f>'Contractors'!AI429</f>
        <v/>
      </c>
      <c r="C5465" s="84">
        <f>'Contractors'!AG429</f>
        <v/>
      </c>
      <c r="D5465" s="46">
        <f>'Contractors'!AH429</f>
        <v/>
      </c>
      <c r="E5465" s="46">
        <f>IF(OR(B5465="",C5465="",D5465=""),"",D5465*100000+(C5465-DATE(2000,1,1))+ROW()/100000)</f>
        <v/>
      </c>
      <c r="F5465" s="46">
        <f>IF(E5465="","",IF(C5465&gt;WeekEndDate,"",E5465))</f>
        <v/>
      </c>
    </row>
    <row r="5466">
      <c r="A5466" t="inlineStr">
        <is>
          <t>Contractors</t>
        </is>
      </c>
      <c r="B5466" s="46">
        <f>'Contractors'!AI430</f>
        <v/>
      </c>
      <c r="C5466" s="84">
        <f>'Contractors'!AG430</f>
        <v/>
      </c>
      <c r="D5466" s="46">
        <f>'Contractors'!AH430</f>
        <v/>
      </c>
      <c r="E5466" s="46">
        <f>IF(OR(B5466="",C5466="",D5466=""),"",D5466*100000+(C5466-DATE(2000,1,1))+ROW()/100000)</f>
        <v/>
      </c>
      <c r="F5466" s="46">
        <f>IF(E5466="","",IF(C5466&gt;WeekEndDate,"",E5466))</f>
        <v/>
      </c>
    </row>
    <row r="5467">
      <c r="A5467" t="inlineStr">
        <is>
          <t>Contractors</t>
        </is>
      </c>
      <c r="B5467" s="46">
        <f>'Contractors'!AI431</f>
        <v/>
      </c>
      <c r="C5467" s="84">
        <f>'Contractors'!AG431</f>
        <v/>
      </c>
      <c r="D5467" s="46">
        <f>'Contractors'!AH431</f>
        <v/>
      </c>
      <c r="E5467" s="46">
        <f>IF(OR(B5467="",C5467="",D5467=""),"",D5467*100000+(C5467-DATE(2000,1,1))+ROW()/100000)</f>
        <v/>
      </c>
      <c r="F5467" s="46">
        <f>IF(E5467="","",IF(C5467&gt;WeekEndDate,"",E5467))</f>
        <v/>
      </c>
    </row>
    <row r="5468">
      <c r="A5468" t="inlineStr">
        <is>
          <t>Contractors</t>
        </is>
      </c>
      <c r="B5468" s="46">
        <f>'Contractors'!AI432</f>
        <v/>
      </c>
      <c r="C5468" s="84">
        <f>'Contractors'!AG432</f>
        <v/>
      </c>
      <c r="D5468" s="46">
        <f>'Contractors'!AH432</f>
        <v/>
      </c>
      <c r="E5468" s="46">
        <f>IF(OR(B5468="",C5468="",D5468=""),"",D5468*100000+(C5468-DATE(2000,1,1))+ROW()/100000)</f>
        <v/>
      </c>
      <c r="F5468" s="46">
        <f>IF(E5468="","",IF(C5468&gt;WeekEndDate,"",E5468))</f>
        <v/>
      </c>
    </row>
    <row r="5469">
      <c r="A5469" t="inlineStr">
        <is>
          <t>Contractors</t>
        </is>
      </c>
      <c r="B5469" s="46">
        <f>'Contractors'!AI433</f>
        <v/>
      </c>
      <c r="C5469" s="84">
        <f>'Contractors'!AG433</f>
        <v/>
      </c>
      <c r="D5469" s="46">
        <f>'Contractors'!AH433</f>
        <v/>
      </c>
      <c r="E5469" s="46">
        <f>IF(OR(B5469="",C5469="",D5469=""),"",D5469*100000+(C5469-DATE(2000,1,1))+ROW()/100000)</f>
        <v/>
      </c>
      <c r="F5469" s="46">
        <f>IF(E5469="","",IF(C5469&gt;WeekEndDate,"",E5469))</f>
        <v/>
      </c>
    </row>
    <row r="5470">
      <c r="A5470" t="inlineStr">
        <is>
          <t>Contractors</t>
        </is>
      </c>
      <c r="B5470" s="46">
        <f>'Contractors'!AI434</f>
        <v/>
      </c>
      <c r="C5470" s="84">
        <f>'Contractors'!AG434</f>
        <v/>
      </c>
      <c r="D5470" s="46">
        <f>'Contractors'!AH434</f>
        <v/>
      </c>
      <c r="E5470" s="46">
        <f>IF(OR(B5470="",C5470="",D5470=""),"",D5470*100000+(C5470-DATE(2000,1,1))+ROW()/100000)</f>
        <v/>
      </c>
      <c r="F5470" s="46">
        <f>IF(E5470="","",IF(C5470&gt;WeekEndDate,"",E5470))</f>
        <v/>
      </c>
    </row>
    <row r="5471">
      <c r="A5471" t="inlineStr">
        <is>
          <t>Contractors</t>
        </is>
      </c>
      <c r="B5471" s="46">
        <f>'Contractors'!AI435</f>
        <v/>
      </c>
      <c r="C5471" s="84">
        <f>'Contractors'!AG435</f>
        <v/>
      </c>
      <c r="D5471" s="46">
        <f>'Contractors'!AH435</f>
        <v/>
      </c>
      <c r="E5471" s="46">
        <f>IF(OR(B5471="",C5471="",D5471=""),"",D5471*100000+(C5471-DATE(2000,1,1))+ROW()/100000)</f>
        <v/>
      </c>
      <c r="F5471" s="46">
        <f>IF(E5471="","",IF(C5471&gt;WeekEndDate,"",E5471))</f>
        <v/>
      </c>
    </row>
    <row r="5472">
      <c r="A5472" t="inlineStr">
        <is>
          <t>Contractors</t>
        </is>
      </c>
      <c r="B5472" s="46">
        <f>'Contractors'!AI436</f>
        <v/>
      </c>
      <c r="C5472" s="84">
        <f>'Contractors'!AG436</f>
        <v/>
      </c>
      <c r="D5472" s="46">
        <f>'Contractors'!AH436</f>
        <v/>
      </c>
      <c r="E5472" s="46">
        <f>IF(OR(B5472="",C5472="",D5472=""),"",D5472*100000+(C5472-DATE(2000,1,1))+ROW()/100000)</f>
        <v/>
      </c>
      <c r="F5472" s="46">
        <f>IF(E5472="","",IF(C5472&gt;WeekEndDate,"",E5472))</f>
        <v/>
      </c>
    </row>
    <row r="5473">
      <c r="A5473" t="inlineStr">
        <is>
          <t>Contractors</t>
        </is>
      </c>
      <c r="B5473" s="46">
        <f>'Contractors'!AI437</f>
        <v/>
      </c>
      <c r="C5473" s="84">
        <f>'Contractors'!AG437</f>
        <v/>
      </c>
      <c r="D5473" s="46">
        <f>'Contractors'!AH437</f>
        <v/>
      </c>
      <c r="E5473" s="46">
        <f>IF(OR(B5473="",C5473="",D5473=""),"",D5473*100000+(C5473-DATE(2000,1,1))+ROW()/100000)</f>
        <v/>
      </c>
      <c r="F5473" s="46">
        <f>IF(E5473="","",IF(C5473&gt;WeekEndDate,"",E5473))</f>
        <v/>
      </c>
    </row>
    <row r="5474">
      <c r="A5474" t="inlineStr">
        <is>
          <t>Contractors</t>
        </is>
      </c>
      <c r="B5474" s="46">
        <f>'Contractors'!AI438</f>
        <v/>
      </c>
      <c r="C5474" s="84">
        <f>'Contractors'!AG438</f>
        <v/>
      </c>
      <c r="D5474" s="46">
        <f>'Contractors'!AH438</f>
        <v/>
      </c>
      <c r="E5474" s="46">
        <f>IF(OR(B5474="",C5474="",D5474=""),"",D5474*100000+(C5474-DATE(2000,1,1))+ROW()/100000)</f>
        <v/>
      </c>
      <c r="F5474" s="46">
        <f>IF(E5474="","",IF(C5474&gt;WeekEndDate,"",E5474))</f>
        <v/>
      </c>
    </row>
    <row r="5475">
      <c r="A5475" t="inlineStr">
        <is>
          <t>Contractors</t>
        </is>
      </c>
      <c r="B5475" s="46">
        <f>'Contractors'!AI439</f>
        <v/>
      </c>
      <c r="C5475" s="84">
        <f>'Contractors'!AG439</f>
        <v/>
      </c>
      <c r="D5475" s="46">
        <f>'Contractors'!AH439</f>
        <v/>
      </c>
      <c r="E5475" s="46">
        <f>IF(OR(B5475="",C5475="",D5475=""),"",D5475*100000+(C5475-DATE(2000,1,1))+ROW()/100000)</f>
        <v/>
      </c>
      <c r="F5475" s="46">
        <f>IF(E5475="","",IF(C5475&gt;WeekEndDate,"",E5475))</f>
        <v/>
      </c>
    </row>
    <row r="5476">
      <c r="A5476" t="inlineStr">
        <is>
          <t>Contractors</t>
        </is>
      </c>
      <c r="B5476" s="46">
        <f>'Contractors'!AI440</f>
        <v/>
      </c>
      <c r="C5476" s="84">
        <f>'Contractors'!AG440</f>
        <v/>
      </c>
      <c r="D5476" s="46">
        <f>'Contractors'!AH440</f>
        <v/>
      </c>
      <c r="E5476" s="46">
        <f>IF(OR(B5476="",C5476="",D5476=""),"",D5476*100000+(C5476-DATE(2000,1,1))+ROW()/100000)</f>
        <v/>
      </c>
      <c r="F5476" s="46">
        <f>IF(E5476="","",IF(C5476&gt;WeekEndDate,"",E5476))</f>
        <v/>
      </c>
    </row>
    <row r="5477">
      <c r="A5477" t="inlineStr">
        <is>
          <t>Contractors</t>
        </is>
      </c>
      <c r="B5477" s="46">
        <f>'Contractors'!AI441</f>
        <v/>
      </c>
      <c r="C5477" s="84">
        <f>'Contractors'!AG441</f>
        <v/>
      </c>
      <c r="D5477" s="46">
        <f>'Contractors'!AH441</f>
        <v/>
      </c>
      <c r="E5477" s="46">
        <f>IF(OR(B5477="",C5477="",D5477=""),"",D5477*100000+(C5477-DATE(2000,1,1))+ROW()/100000)</f>
        <v/>
      </c>
      <c r="F5477" s="46">
        <f>IF(E5477="","",IF(C5477&gt;WeekEndDate,"",E5477))</f>
        <v/>
      </c>
    </row>
    <row r="5478">
      <c r="A5478" t="inlineStr">
        <is>
          <t>Contractors</t>
        </is>
      </c>
      <c r="B5478" s="46">
        <f>'Contractors'!AI442</f>
        <v/>
      </c>
      <c r="C5478" s="84">
        <f>'Contractors'!AG442</f>
        <v/>
      </c>
      <c r="D5478" s="46">
        <f>'Contractors'!AH442</f>
        <v/>
      </c>
      <c r="E5478" s="46">
        <f>IF(OR(B5478="",C5478="",D5478=""),"",D5478*100000+(C5478-DATE(2000,1,1))+ROW()/100000)</f>
        <v/>
      </c>
      <c r="F5478" s="46">
        <f>IF(E5478="","",IF(C5478&gt;WeekEndDate,"",E5478))</f>
        <v/>
      </c>
    </row>
    <row r="5479">
      <c r="A5479" t="inlineStr">
        <is>
          <t>Contractors</t>
        </is>
      </c>
      <c r="B5479" s="46">
        <f>'Contractors'!AI443</f>
        <v/>
      </c>
      <c r="C5479" s="84">
        <f>'Contractors'!AG443</f>
        <v/>
      </c>
      <c r="D5479" s="46">
        <f>'Contractors'!AH443</f>
        <v/>
      </c>
      <c r="E5479" s="46">
        <f>IF(OR(B5479="",C5479="",D5479=""),"",D5479*100000+(C5479-DATE(2000,1,1))+ROW()/100000)</f>
        <v/>
      </c>
      <c r="F5479" s="46">
        <f>IF(E5479="","",IF(C5479&gt;WeekEndDate,"",E5479))</f>
        <v/>
      </c>
    </row>
    <row r="5480">
      <c r="A5480" t="inlineStr">
        <is>
          <t>Contractors</t>
        </is>
      </c>
      <c r="B5480" s="46">
        <f>'Contractors'!AI444</f>
        <v/>
      </c>
      <c r="C5480" s="84">
        <f>'Contractors'!AG444</f>
        <v/>
      </c>
      <c r="D5480" s="46">
        <f>'Contractors'!AH444</f>
        <v/>
      </c>
      <c r="E5480" s="46">
        <f>IF(OR(B5480="",C5480="",D5480=""),"",D5480*100000+(C5480-DATE(2000,1,1))+ROW()/100000)</f>
        <v/>
      </c>
      <c r="F5480" s="46">
        <f>IF(E5480="","",IF(C5480&gt;WeekEndDate,"",E5480))</f>
        <v/>
      </c>
    </row>
    <row r="5481">
      <c r="A5481" t="inlineStr">
        <is>
          <t>Contractors</t>
        </is>
      </c>
      <c r="B5481" s="46">
        <f>'Contractors'!AI445</f>
        <v/>
      </c>
      <c r="C5481" s="84">
        <f>'Contractors'!AG445</f>
        <v/>
      </c>
      <c r="D5481" s="46">
        <f>'Contractors'!AH445</f>
        <v/>
      </c>
      <c r="E5481" s="46">
        <f>IF(OR(B5481="",C5481="",D5481=""),"",D5481*100000+(C5481-DATE(2000,1,1))+ROW()/100000)</f>
        <v/>
      </c>
      <c r="F5481" s="46">
        <f>IF(E5481="","",IF(C5481&gt;WeekEndDate,"",E5481))</f>
        <v/>
      </c>
    </row>
    <row r="5482">
      <c r="A5482" t="inlineStr">
        <is>
          <t>Contractors</t>
        </is>
      </c>
      <c r="B5482" s="46">
        <f>'Contractors'!AI446</f>
        <v/>
      </c>
      <c r="C5482" s="84">
        <f>'Contractors'!AG446</f>
        <v/>
      </c>
      <c r="D5482" s="46">
        <f>'Contractors'!AH446</f>
        <v/>
      </c>
      <c r="E5482" s="46">
        <f>IF(OR(B5482="",C5482="",D5482=""),"",D5482*100000+(C5482-DATE(2000,1,1))+ROW()/100000)</f>
        <v/>
      </c>
      <c r="F5482" s="46">
        <f>IF(E5482="","",IF(C5482&gt;WeekEndDate,"",E5482))</f>
        <v/>
      </c>
    </row>
    <row r="5483">
      <c r="A5483" t="inlineStr">
        <is>
          <t>Contractors</t>
        </is>
      </c>
      <c r="B5483" s="46">
        <f>'Contractors'!AI447</f>
        <v/>
      </c>
      <c r="C5483" s="84">
        <f>'Contractors'!AG447</f>
        <v/>
      </c>
      <c r="D5483" s="46">
        <f>'Contractors'!AH447</f>
        <v/>
      </c>
      <c r="E5483" s="46">
        <f>IF(OR(B5483="",C5483="",D5483=""),"",D5483*100000+(C5483-DATE(2000,1,1))+ROW()/100000)</f>
        <v/>
      </c>
      <c r="F5483" s="46">
        <f>IF(E5483="","",IF(C5483&gt;WeekEndDate,"",E5483))</f>
        <v/>
      </c>
    </row>
    <row r="5484">
      <c r="A5484" t="inlineStr">
        <is>
          <t>Contractors</t>
        </is>
      </c>
      <c r="B5484" s="46">
        <f>'Contractors'!AI448</f>
        <v/>
      </c>
      <c r="C5484" s="84">
        <f>'Contractors'!AG448</f>
        <v/>
      </c>
      <c r="D5484" s="46">
        <f>'Contractors'!AH448</f>
        <v/>
      </c>
      <c r="E5484" s="46">
        <f>IF(OR(B5484="",C5484="",D5484=""),"",D5484*100000+(C5484-DATE(2000,1,1))+ROW()/100000)</f>
        <v/>
      </c>
      <c r="F5484" s="46">
        <f>IF(E5484="","",IF(C5484&gt;WeekEndDate,"",E5484))</f>
        <v/>
      </c>
    </row>
    <row r="5485">
      <c r="A5485" t="inlineStr">
        <is>
          <t>Contractors</t>
        </is>
      </c>
      <c r="B5485" s="46">
        <f>'Contractors'!AI449</f>
        <v/>
      </c>
      <c r="C5485" s="84">
        <f>'Contractors'!AG449</f>
        <v/>
      </c>
      <c r="D5485" s="46">
        <f>'Contractors'!AH449</f>
        <v/>
      </c>
      <c r="E5485" s="46">
        <f>IF(OR(B5485="",C5485="",D5485=""),"",D5485*100000+(C5485-DATE(2000,1,1))+ROW()/100000)</f>
        <v/>
      </c>
      <c r="F5485" s="46">
        <f>IF(E5485="","",IF(C5485&gt;WeekEndDate,"",E5485))</f>
        <v/>
      </c>
    </row>
    <row r="5486">
      <c r="A5486" t="inlineStr">
        <is>
          <t>Contractors</t>
        </is>
      </c>
      <c r="B5486" s="46">
        <f>'Contractors'!AI450</f>
        <v/>
      </c>
      <c r="C5486" s="84">
        <f>'Contractors'!AG450</f>
        <v/>
      </c>
      <c r="D5486" s="46">
        <f>'Contractors'!AH450</f>
        <v/>
      </c>
      <c r="E5486" s="46">
        <f>IF(OR(B5486="",C5486="",D5486=""),"",D5486*100000+(C5486-DATE(2000,1,1))+ROW()/100000)</f>
        <v/>
      </c>
      <c r="F5486" s="46">
        <f>IF(E5486="","",IF(C5486&gt;WeekEndDate,"",E5486))</f>
        <v/>
      </c>
    </row>
    <row r="5487">
      <c r="A5487" t="inlineStr">
        <is>
          <t>Contractors</t>
        </is>
      </c>
      <c r="B5487" s="46">
        <f>'Contractors'!AI451</f>
        <v/>
      </c>
      <c r="C5487" s="84">
        <f>'Contractors'!AG451</f>
        <v/>
      </c>
      <c r="D5487" s="46">
        <f>'Contractors'!AH451</f>
        <v/>
      </c>
      <c r="E5487" s="46">
        <f>IF(OR(B5487="",C5487="",D5487=""),"",D5487*100000+(C5487-DATE(2000,1,1))+ROW()/100000)</f>
        <v/>
      </c>
      <c r="F5487" s="46">
        <f>IF(E5487="","",IF(C5487&gt;WeekEndDate,"",E5487))</f>
        <v/>
      </c>
    </row>
    <row r="5488">
      <c r="A5488" t="inlineStr">
        <is>
          <t>Contractors</t>
        </is>
      </c>
      <c r="B5488" s="46">
        <f>'Contractors'!AI452</f>
        <v/>
      </c>
      <c r="C5488" s="84">
        <f>'Contractors'!AG452</f>
        <v/>
      </c>
      <c r="D5488" s="46">
        <f>'Contractors'!AH452</f>
        <v/>
      </c>
      <c r="E5488" s="46">
        <f>IF(OR(B5488="",C5488="",D5488=""),"",D5488*100000+(C5488-DATE(2000,1,1))+ROW()/100000)</f>
        <v/>
      </c>
      <c r="F5488" s="46">
        <f>IF(E5488="","",IF(C5488&gt;WeekEndDate,"",E5488))</f>
        <v/>
      </c>
    </row>
    <row r="5489">
      <c r="A5489" t="inlineStr">
        <is>
          <t>Contractors</t>
        </is>
      </c>
      <c r="B5489" s="46">
        <f>'Contractors'!AI453</f>
        <v/>
      </c>
      <c r="C5489" s="84">
        <f>'Contractors'!AG453</f>
        <v/>
      </c>
      <c r="D5489" s="46">
        <f>'Contractors'!AH453</f>
        <v/>
      </c>
      <c r="E5489" s="46">
        <f>IF(OR(B5489="",C5489="",D5489=""),"",D5489*100000+(C5489-DATE(2000,1,1))+ROW()/100000)</f>
        <v/>
      </c>
      <c r="F5489" s="46">
        <f>IF(E5489="","",IF(C5489&gt;WeekEndDate,"",E5489))</f>
        <v/>
      </c>
    </row>
    <row r="5490">
      <c r="A5490" t="inlineStr">
        <is>
          <t>Contractors</t>
        </is>
      </c>
      <c r="B5490" s="46">
        <f>'Contractors'!AI454</f>
        <v/>
      </c>
      <c r="C5490" s="84">
        <f>'Contractors'!AG454</f>
        <v/>
      </c>
      <c r="D5490" s="46">
        <f>'Contractors'!AH454</f>
        <v/>
      </c>
      <c r="E5490" s="46">
        <f>IF(OR(B5490="",C5490="",D5490=""),"",D5490*100000+(C5490-DATE(2000,1,1))+ROW()/100000)</f>
        <v/>
      </c>
      <c r="F5490" s="46">
        <f>IF(E5490="","",IF(C5490&gt;WeekEndDate,"",E5490))</f>
        <v/>
      </c>
    </row>
    <row r="5491">
      <c r="A5491" t="inlineStr">
        <is>
          <t>Contractors</t>
        </is>
      </c>
      <c r="B5491" s="46">
        <f>'Contractors'!AI455</f>
        <v/>
      </c>
      <c r="C5491" s="84">
        <f>'Contractors'!AG455</f>
        <v/>
      </c>
      <c r="D5491" s="46">
        <f>'Contractors'!AH455</f>
        <v/>
      </c>
      <c r="E5491" s="46">
        <f>IF(OR(B5491="",C5491="",D5491=""),"",D5491*100000+(C5491-DATE(2000,1,1))+ROW()/100000)</f>
        <v/>
      </c>
      <c r="F5491" s="46">
        <f>IF(E5491="","",IF(C5491&gt;WeekEndDate,"",E5491))</f>
        <v/>
      </c>
    </row>
    <row r="5492">
      <c r="A5492" t="inlineStr">
        <is>
          <t>Contractors</t>
        </is>
      </c>
      <c r="B5492" s="46">
        <f>'Contractors'!AI456</f>
        <v/>
      </c>
      <c r="C5492" s="84">
        <f>'Contractors'!AG456</f>
        <v/>
      </c>
      <c r="D5492" s="46">
        <f>'Contractors'!AH456</f>
        <v/>
      </c>
      <c r="E5492" s="46">
        <f>IF(OR(B5492="",C5492="",D5492=""),"",D5492*100000+(C5492-DATE(2000,1,1))+ROW()/100000)</f>
        <v/>
      </c>
      <c r="F5492" s="46">
        <f>IF(E5492="","",IF(C5492&gt;WeekEndDate,"",E5492))</f>
        <v/>
      </c>
    </row>
    <row r="5493">
      <c r="A5493" t="inlineStr">
        <is>
          <t>Contractors</t>
        </is>
      </c>
      <c r="B5493" s="46">
        <f>'Contractors'!AI457</f>
        <v/>
      </c>
      <c r="C5493" s="84">
        <f>'Contractors'!AG457</f>
        <v/>
      </c>
      <c r="D5493" s="46">
        <f>'Contractors'!AH457</f>
        <v/>
      </c>
      <c r="E5493" s="46">
        <f>IF(OR(B5493="",C5493="",D5493=""),"",D5493*100000+(C5493-DATE(2000,1,1))+ROW()/100000)</f>
        <v/>
      </c>
      <c r="F5493" s="46">
        <f>IF(E5493="","",IF(C5493&gt;WeekEndDate,"",E5493))</f>
        <v/>
      </c>
    </row>
    <row r="5494">
      <c r="A5494" t="inlineStr">
        <is>
          <t>Contractors</t>
        </is>
      </c>
      <c r="B5494" s="46">
        <f>'Contractors'!AI458</f>
        <v/>
      </c>
      <c r="C5494" s="84">
        <f>'Contractors'!AG458</f>
        <v/>
      </c>
      <c r="D5494" s="46">
        <f>'Contractors'!AH458</f>
        <v/>
      </c>
      <c r="E5494" s="46">
        <f>IF(OR(B5494="",C5494="",D5494=""),"",D5494*100000+(C5494-DATE(2000,1,1))+ROW()/100000)</f>
        <v/>
      </c>
      <c r="F5494" s="46">
        <f>IF(E5494="","",IF(C5494&gt;WeekEndDate,"",E5494))</f>
        <v/>
      </c>
    </row>
    <row r="5495">
      <c r="A5495" t="inlineStr">
        <is>
          <t>Contractors</t>
        </is>
      </c>
      <c r="B5495" s="46">
        <f>'Contractors'!AI459</f>
        <v/>
      </c>
      <c r="C5495" s="84">
        <f>'Contractors'!AG459</f>
        <v/>
      </c>
      <c r="D5495" s="46">
        <f>'Contractors'!AH459</f>
        <v/>
      </c>
      <c r="E5495" s="46">
        <f>IF(OR(B5495="",C5495="",D5495=""),"",D5495*100000+(C5495-DATE(2000,1,1))+ROW()/100000)</f>
        <v/>
      </c>
      <c r="F5495" s="46">
        <f>IF(E5495="","",IF(C5495&gt;WeekEndDate,"",E5495))</f>
        <v/>
      </c>
    </row>
    <row r="5496">
      <c r="A5496" t="inlineStr">
        <is>
          <t>Contractors</t>
        </is>
      </c>
      <c r="B5496" s="46">
        <f>'Contractors'!AI460</f>
        <v/>
      </c>
      <c r="C5496" s="84">
        <f>'Contractors'!AG460</f>
        <v/>
      </c>
      <c r="D5496" s="46">
        <f>'Contractors'!AH460</f>
        <v/>
      </c>
      <c r="E5496" s="46">
        <f>IF(OR(B5496="",C5496="",D5496=""),"",D5496*100000+(C5496-DATE(2000,1,1))+ROW()/100000)</f>
        <v/>
      </c>
      <c r="F5496" s="46">
        <f>IF(E5496="","",IF(C5496&gt;WeekEndDate,"",E5496))</f>
        <v/>
      </c>
    </row>
    <row r="5497">
      <c r="A5497" t="inlineStr">
        <is>
          <t>Contractors</t>
        </is>
      </c>
      <c r="B5497" s="46">
        <f>'Contractors'!AI461</f>
        <v/>
      </c>
      <c r="C5497" s="84">
        <f>'Contractors'!AG461</f>
        <v/>
      </c>
      <c r="D5497" s="46">
        <f>'Contractors'!AH461</f>
        <v/>
      </c>
      <c r="E5497" s="46">
        <f>IF(OR(B5497="",C5497="",D5497=""),"",D5497*100000+(C5497-DATE(2000,1,1))+ROW()/100000)</f>
        <v/>
      </c>
      <c r="F5497" s="46">
        <f>IF(E5497="","",IF(C5497&gt;WeekEndDate,"",E5497))</f>
        <v/>
      </c>
    </row>
    <row r="5498">
      <c r="A5498" t="inlineStr">
        <is>
          <t>Contractors</t>
        </is>
      </c>
      <c r="B5498" s="46">
        <f>'Contractors'!AI462</f>
        <v/>
      </c>
      <c r="C5498" s="84">
        <f>'Contractors'!AG462</f>
        <v/>
      </c>
      <c r="D5498" s="46">
        <f>'Contractors'!AH462</f>
        <v/>
      </c>
      <c r="E5498" s="46">
        <f>IF(OR(B5498="",C5498="",D5498=""),"",D5498*100000+(C5498-DATE(2000,1,1))+ROW()/100000)</f>
        <v/>
      </c>
      <c r="F5498" s="46">
        <f>IF(E5498="","",IF(C5498&gt;WeekEndDate,"",E5498))</f>
        <v/>
      </c>
    </row>
    <row r="5499">
      <c r="A5499" t="inlineStr">
        <is>
          <t>Contractors</t>
        </is>
      </c>
      <c r="B5499" s="46">
        <f>'Contractors'!AI463</f>
        <v/>
      </c>
      <c r="C5499" s="84">
        <f>'Contractors'!AG463</f>
        <v/>
      </c>
      <c r="D5499" s="46">
        <f>'Contractors'!AH463</f>
        <v/>
      </c>
      <c r="E5499" s="46">
        <f>IF(OR(B5499="",C5499="",D5499=""),"",D5499*100000+(C5499-DATE(2000,1,1))+ROW()/100000)</f>
        <v/>
      </c>
      <c r="F5499" s="46">
        <f>IF(E5499="","",IF(C5499&gt;WeekEndDate,"",E5499))</f>
        <v/>
      </c>
    </row>
    <row r="5500">
      <c r="A5500" t="inlineStr">
        <is>
          <t>Contractors</t>
        </is>
      </c>
      <c r="B5500" s="46">
        <f>'Contractors'!AI464</f>
        <v/>
      </c>
      <c r="C5500" s="84">
        <f>'Contractors'!AG464</f>
        <v/>
      </c>
      <c r="D5500" s="46">
        <f>'Contractors'!AH464</f>
        <v/>
      </c>
      <c r="E5500" s="46">
        <f>IF(OR(B5500="",C5500="",D5500=""),"",D5500*100000+(C5500-DATE(2000,1,1))+ROW()/100000)</f>
        <v/>
      </c>
      <c r="F5500" s="46">
        <f>IF(E5500="","",IF(C5500&gt;WeekEndDate,"",E5500))</f>
        <v/>
      </c>
    </row>
    <row r="5501">
      <c r="A5501" t="inlineStr">
        <is>
          <t>Contractors</t>
        </is>
      </c>
      <c r="B5501" s="46">
        <f>'Contractors'!AI465</f>
        <v/>
      </c>
      <c r="C5501" s="84">
        <f>'Contractors'!AG465</f>
        <v/>
      </c>
      <c r="D5501" s="46">
        <f>'Contractors'!AH465</f>
        <v/>
      </c>
      <c r="E5501" s="46">
        <f>IF(OR(B5501="",C5501="",D5501=""),"",D5501*100000+(C5501-DATE(2000,1,1))+ROW()/100000)</f>
        <v/>
      </c>
      <c r="F5501" s="46">
        <f>IF(E5501="","",IF(C5501&gt;WeekEndDate,"",E5501))</f>
        <v/>
      </c>
    </row>
    <row r="5502">
      <c r="A5502" t="inlineStr">
        <is>
          <t>Contractors</t>
        </is>
      </c>
      <c r="B5502" s="46">
        <f>'Contractors'!AI466</f>
        <v/>
      </c>
      <c r="C5502" s="84">
        <f>'Contractors'!AG466</f>
        <v/>
      </c>
      <c r="D5502" s="46">
        <f>'Contractors'!AH466</f>
        <v/>
      </c>
      <c r="E5502" s="46">
        <f>IF(OR(B5502="",C5502="",D5502=""),"",D5502*100000+(C5502-DATE(2000,1,1))+ROW()/100000)</f>
        <v/>
      </c>
      <c r="F5502" s="46">
        <f>IF(E5502="","",IF(C5502&gt;WeekEndDate,"",E5502))</f>
        <v/>
      </c>
    </row>
    <row r="5503">
      <c r="A5503" t="inlineStr">
        <is>
          <t>Contractors</t>
        </is>
      </c>
      <c r="B5503" s="46">
        <f>'Contractors'!AI467</f>
        <v/>
      </c>
      <c r="C5503" s="84">
        <f>'Contractors'!AG467</f>
        <v/>
      </c>
      <c r="D5503" s="46">
        <f>'Contractors'!AH467</f>
        <v/>
      </c>
      <c r="E5503" s="46">
        <f>IF(OR(B5503="",C5503="",D5503=""),"",D5503*100000+(C5503-DATE(2000,1,1))+ROW()/100000)</f>
        <v/>
      </c>
      <c r="F5503" s="46">
        <f>IF(E5503="","",IF(C5503&gt;WeekEndDate,"",E5503))</f>
        <v/>
      </c>
    </row>
    <row r="5504">
      <c r="A5504" t="inlineStr">
        <is>
          <t>Contractors</t>
        </is>
      </c>
      <c r="B5504" s="46">
        <f>'Contractors'!AI468</f>
        <v/>
      </c>
      <c r="C5504" s="84">
        <f>'Contractors'!AG468</f>
        <v/>
      </c>
      <c r="D5504" s="46">
        <f>'Contractors'!AH468</f>
        <v/>
      </c>
      <c r="E5504" s="46">
        <f>IF(OR(B5504="",C5504="",D5504=""),"",D5504*100000+(C5504-DATE(2000,1,1))+ROW()/100000)</f>
        <v/>
      </c>
      <c r="F5504" s="46">
        <f>IF(E5504="","",IF(C5504&gt;WeekEndDate,"",E5504))</f>
        <v/>
      </c>
    </row>
    <row r="5505">
      <c r="A5505" t="inlineStr">
        <is>
          <t>Contractors</t>
        </is>
      </c>
      <c r="B5505" s="46">
        <f>'Contractors'!AI469</f>
        <v/>
      </c>
      <c r="C5505" s="84">
        <f>'Contractors'!AG469</f>
        <v/>
      </c>
      <c r="D5505" s="46">
        <f>'Contractors'!AH469</f>
        <v/>
      </c>
      <c r="E5505" s="46">
        <f>IF(OR(B5505="",C5505="",D5505=""),"",D5505*100000+(C5505-DATE(2000,1,1))+ROW()/100000)</f>
        <v/>
      </c>
      <c r="F5505" s="46">
        <f>IF(E5505="","",IF(C5505&gt;WeekEndDate,"",E5505))</f>
        <v/>
      </c>
    </row>
    <row r="5506">
      <c r="A5506" t="inlineStr">
        <is>
          <t>Contractors</t>
        </is>
      </c>
      <c r="B5506" s="46">
        <f>'Contractors'!AI470</f>
        <v/>
      </c>
      <c r="C5506" s="84">
        <f>'Contractors'!AG470</f>
        <v/>
      </c>
      <c r="D5506" s="46">
        <f>'Contractors'!AH470</f>
        <v/>
      </c>
      <c r="E5506" s="46">
        <f>IF(OR(B5506="",C5506="",D5506=""),"",D5506*100000+(C5506-DATE(2000,1,1))+ROW()/100000)</f>
        <v/>
      </c>
      <c r="F5506" s="46">
        <f>IF(E5506="","",IF(C5506&gt;WeekEndDate,"",E5506))</f>
        <v/>
      </c>
    </row>
    <row r="5507">
      <c r="A5507" t="inlineStr">
        <is>
          <t>Contractors</t>
        </is>
      </c>
      <c r="B5507" s="46">
        <f>'Contractors'!AI471</f>
        <v/>
      </c>
      <c r="C5507" s="84">
        <f>'Contractors'!AG471</f>
        <v/>
      </c>
      <c r="D5507" s="46">
        <f>'Contractors'!AH471</f>
        <v/>
      </c>
      <c r="E5507" s="46">
        <f>IF(OR(B5507="",C5507="",D5507=""),"",D5507*100000+(C5507-DATE(2000,1,1))+ROW()/100000)</f>
        <v/>
      </c>
      <c r="F5507" s="46">
        <f>IF(E5507="","",IF(C5507&gt;WeekEndDate,"",E5507))</f>
        <v/>
      </c>
    </row>
    <row r="5508">
      <c r="A5508" t="inlineStr">
        <is>
          <t>Contractors</t>
        </is>
      </c>
      <c r="B5508" s="46">
        <f>'Contractors'!AI472</f>
        <v/>
      </c>
      <c r="C5508" s="84">
        <f>'Contractors'!AG472</f>
        <v/>
      </c>
      <c r="D5508" s="46">
        <f>'Contractors'!AH472</f>
        <v/>
      </c>
      <c r="E5508" s="46">
        <f>IF(OR(B5508="",C5508="",D5508=""),"",D5508*100000+(C5508-DATE(2000,1,1))+ROW()/100000)</f>
        <v/>
      </c>
      <c r="F5508" s="46">
        <f>IF(E5508="","",IF(C5508&gt;WeekEndDate,"",E5508))</f>
        <v/>
      </c>
    </row>
    <row r="5509">
      <c r="A5509" t="inlineStr">
        <is>
          <t>Contractors</t>
        </is>
      </c>
      <c r="B5509" s="46">
        <f>'Contractors'!AI473</f>
        <v/>
      </c>
      <c r="C5509" s="84">
        <f>'Contractors'!AG473</f>
        <v/>
      </c>
      <c r="D5509" s="46">
        <f>'Contractors'!AH473</f>
        <v/>
      </c>
      <c r="E5509" s="46">
        <f>IF(OR(B5509="",C5509="",D5509=""),"",D5509*100000+(C5509-DATE(2000,1,1))+ROW()/100000)</f>
        <v/>
      </c>
      <c r="F5509" s="46">
        <f>IF(E5509="","",IF(C5509&gt;WeekEndDate,"",E5509))</f>
        <v/>
      </c>
    </row>
    <row r="5510">
      <c r="A5510" t="inlineStr">
        <is>
          <t>Contractors</t>
        </is>
      </c>
      <c r="B5510" s="46">
        <f>'Contractors'!AI474</f>
        <v/>
      </c>
      <c r="C5510" s="84">
        <f>'Contractors'!AG474</f>
        <v/>
      </c>
      <c r="D5510" s="46">
        <f>'Contractors'!AH474</f>
        <v/>
      </c>
      <c r="E5510" s="46">
        <f>IF(OR(B5510="",C5510="",D5510=""),"",D5510*100000+(C5510-DATE(2000,1,1))+ROW()/100000)</f>
        <v/>
      </c>
      <c r="F5510" s="46">
        <f>IF(E5510="","",IF(C5510&gt;WeekEndDate,"",E5510))</f>
        <v/>
      </c>
    </row>
    <row r="5511">
      <c r="A5511" t="inlineStr">
        <is>
          <t>Contractors</t>
        </is>
      </c>
      <c r="B5511" s="46">
        <f>'Contractors'!AI475</f>
        <v/>
      </c>
      <c r="C5511" s="84">
        <f>'Contractors'!AG475</f>
        <v/>
      </c>
      <c r="D5511" s="46">
        <f>'Contractors'!AH475</f>
        <v/>
      </c>
      <c r="E5511" s="46">
        <f>IF(OR(B5511="",C5511="",D5511=""),"",D5511*100000+(C5511-DATE(2000,1,1))+ROW()/100000)</f>
        <v/>
      </c>
      <c r="F5511" s="46">
        <f>IF(E5511="","",IF(C5511&gt;WeekEndDate,"",E5511))</f>
        <v/>
      </c>
    </row>
    <row r="5512">
      <c r="A5512" t="inlineStr">
        <is>
          <t>Contractors</t>
        </is>
      </c>
      <c r="B5512" s="46">
        <f>'Contractors'!AI476</f>
        <v/>
      </c>
      <c r="C5512" s="84">
        <f>'Contractors'!AG476</f>
        <v/>
      </c>
      <c r="D5512" s="46">
        <f>'Contractors'!AH476</f>
        <v/>
      </c>
      <c r="E5512" s="46">
        <f>IF(OR(B5512="",C5512="",D5512=""),"",D5512*100000+(C5512-DATE(2000,1,1))+ROW()/100000)</f>
        <v/>
      </c>
      <c r="F5512" s="46">
        <f>IF(E5512="","",IF(C5512&gt;WeekEndDate,"",E5512))</f>
        <v/>
      </c>
    </row>
    <row r="5513">
      <c r="A5513" t="inlineStr">
        <is>
          <t>Contractors</t>
        </is>
      </c>
      <c r="B5513" s="46">
        <f>'Contractors'!AI477</f>
        <v/>
      </c>
      <c r="C5513" s="84">
        <f>'Contractors'!AG477</f>
        <v/>
      </c>
      <c r="D5513" s="46">
        <f>'Contractors'!AH477</f>
        <v/>
      </c>
      <c r="E5513" s="46">
        <f>IF(OR(B5513="",C5513="",D5513=""),"",D5513*100000+(C5513-DATE(2000,1,1))+ROW()/100000)</f>
        <v/>
      </c>
      <c r="F5513" s="46">
        <f>IF(E5513="","",IF(C5513&gt;WeekEndDate,"",E5513))</f>
        <v/>
      </c>
    </row>
    <row r="5514">
      <c r="A5514" t="inlineStr">
        <is>
          <t>Contractors</t>
        </is>
      </c>
      <c r="B5514" s="46">
        <f>'Contractors'!AI478</f>
        <v/>
      </c>
      <c r="C5514" s="84">
        <f>'Contractors'!AG478</f>
        <v/>
      </c>
      <c r="D5514" s="46">
        <f>'Contractors'!AH478</f>
        <v/>
      </c>
      <c r="E5514" s="46">
        <f>IF(OR(B5514="",C5514="",D5514=""),"",D5514*100000+(C5514-DATE(2000,1,1))+ROW()/100000)</f>
        <v/>
      </c>
      <c r="F5514" s="46">
        <f>IF(E5514="","",IF(C5514&gt;WeekEndDate,"",E5514))</f>
        <v/>
      </c>
    </row>
    <row r="5515">
      <c r="A5515" t="inlineStr">
        <is>
          <t>Contractors</t>
        </is>
      </c>
      <c r="B5515" s="46">
        <f>'Contractors'!AI479</f>
        <v/>
      </c>
      <c r="C5515" s="84">
        <f>'Contractors'!AG479</f>
        <v/>
      </c>
      <c r="D5515" s="46">
        <f>'Contractors'!AH479</f>
        <v/>
      </c>
      <c r="E5515" s="46">
        <f>IF(OR(B5515="",C5515="",D5515=""),"",D5515*100000+(C5515-DATE(2000,1,1))+ROW()/100000)</f>
        <v/>
      </c>
      <c r="F5515" s="46">
        <f>IF(E5515="","",IF(C5515&gt;WeekEndDate,"",E5515))</f>
        <v/>
      </c>
    </row>
    <row r="5516">
      <c r="A5516" t="inlineStr">
        <is>
          <t>Contractors</t>
        </is>
      </c>
      <c r="B5516" s="46">
        <f>'Contractors'!AI480</f>
        <v/>
      </c>
      <c r="C5516" s="84">
        <f>'Contractors'!AG480</f>
        <v/>
      </c>
      <c r="D5516" s="46">
        <f>'Contractors'!AH480</f>
        <v/>
      </c>
      <c r="E5516" s="46">
        <f>IF(OR(B5516="",C5516="",D5516=""),"",D5516*100000+(C5516-DATE(2000,1,1))+ROW()/100000)</f>
        <v/>
      </c>
      <c r="F5516" s="46">
        <f>IF(E5516="","",IF(C5516&gt;WeekEndDate,"",E5516))</f>
        <v/>
      </c>
    </row>
    <row r="5517">
      <c r="A5517" t="inlineStr">
        <is>
          <t>Contractors</t>
        </is>
      </c>
      <c r="B5517" s="46">
        <f>'Contractors'!AI481</f>
        <v/>
      </c>
      <c r="C5517" s="84">
        <f>'Contractors'!AG481</f>
        <v/>
      </c>
      <c r="D5517" s="46">
        <f>'Contractors'!AH481</f>
        <v/>
      </c>
      <c r="E5517" s="46">
        <f>IF(OR(B5517="",C5517="",D5517=""),"",D5517*100000+(C5517-DATE(2000,1,1))+ROW()/100000)</f>
        <v/>
      </c>
      <c r="F5517" s="46">
        <f>IF(E5517="","",IF(C5517&gt;WeekEndDate,"",E5517))</f>
        <v/>
      </c>
    </row>
    <row r="5518">
      <c r="A5518" t="inlineStr">
        <is>
          <t>Contractors</t>
        </is>
      </c>
      <c r="B5518" s="46">
        <f>'Contractors'!AI482</f>
        <v/>
      </c>
      <c r="C5518" s="84">
        <f>'Contractors'!AG482</f>
        <v/>
      </c>
      <c r="D5518" s="46">
        <f>'Contractors'!AH482</f>
        <v/>
      </c>
      <c r="E5518" s="46">
        <f>IF(OR(B5518="",C5518="",D5518=""),"",D5518*100000+(C5518-DATE(2000,1,1))+ROW()/100000)</f>
        <v/>
      </c>
      <c r="F5518" s="46">
        <f>IF(E5518="","",IF(C5518&gt;WeekEndDate,"",E5518))</f>
        <v/>
      </c>
    </row>
    <row r="5519">
      <c r="A5519" t="inlineStr">
        <is>
          <t>Contractors</t>
        </is>
      </c>
      <c r="B5519" s="46">
        <f>'Contractors'!AI483</f>
        <v/>
      </c>
      <c r="C5519" s="84">
        <f>'Contractors'!AG483</f>
        <v/>
      </c>
      <c r="D5519" s="46">
        <f>'Contractors'!AH483</f>
        <v/>
      </c>
      <c r="E5519" s="46">
        <f>IF(OR(B5519="",C5519="",D5519=""),"",D5519*100000+(C5519-DATE(2000,1,1))+ROW()/100000)</f>
        <v/>
      </c>
      <c r="F5519" s="46">
        <f>IF(E5519="","",IF(C5519&gt;WeekEndDate,"",E5519))</f>
        <v/>
      </c>
    </row>
    <row r="5520">
      <c r="A5520" t="inlineStr">
        <is>
          <t>Contractors</t>
        </is>
      </c>
      <c r="B5520" s="46">
        <f>'Contractors'!AI484</f>
        <v/>
      </c>
      <c r="C5520" s="84">
        <f>'Contractors'!AG484</f>
        <v/>
      </c>
      <c r="D5520" s="46">
        <f>'Contractors'!AH484</f>
        <v/>
      </c>
      <c r="E5520" s="46">
        <f>IF(OR(B5520="",C5520="",D5520=""),"",D5520*100000+(C5520-DATE(2000,1,1))+ROW()/100000)</f>
        <v/>
      </c>
      <c r="F5520" s="46">
        <f>IF(E5520="","",IF(C5520&gt;WeekEndDate,"",E5520))</f>
        <v/>
      </c>
    </row>
    <row r="5521">
      <c r="A5521" t="inlineStr">
        <is>
          <t>Contractors</t>
        </is>
      </c>
      <c r="B5521" s="46">
        <f>'Contractors'!AI485</f>
        <v/>
      </c>
      <c r="C5521" s="84">
        <f>'Contractors'!AG485</f>
        <v/>
      </c>
      <c r="D5521" s="46">
        <f>'Contractors'!AH485</f>
        <v/>
      </c>
      <c r="E5521" s="46">
        <f>IF(OR(B5521="",C5521="",D5521=""),"",D5521*100000+(C5521-DATE(2000,1,1))+ROW()/100000)</f>
        <v/>
      </c>
      <c r="F5521" s="46">
        <f>IF(E5521="","",IF(C5521&gt;WeekEndDate,"",E5521))</f>
        <v/>
      </c>
    </row>
    <row r="5522">
      <c r="A5522" t="inlineStr">
        <is>
          <t>Contractors</t>
        </is>
      </c>
      <c r="B5522" s="46">
        <f>'Contractors'!AI486</f>
        <v/>
      </c>
      <c r="C5522" s="84">
        <f>'Contractors'!AG486</f>
        <v/>
      </c>
      <c r="D5522" s="46">
        <f>'Contractors'!AH486</f>
        <v/>
      </c>
      <c r="E5522" s="46">
        <f>IF(OR(B5522="",C5522="",D5522=""),"",D5522*100000+(C5522-DATE(2000,1,1))+ROW()/100000)</f>
        <v/>
      </c>
      <c r="F5522" s="46">
        <f>IF(E5522="","",IF(C5522&gt;WeekEndDate,"",E5522))</f>
        <v/>
      </c>
    </row>
    <row r="5523">
      <c r="A5523" t="inlineStr">
        <is>
          <t>Contractors</t>
        </is>
      </c>
      <c r="B5523" s="46">
        <f>'Contractors'!AI487</f>
        <v/>
      </c>
      <c r="C5523" s="84">
        <f>'Contractors'!AG487</f>
        <v/>
      </c>
      <c r="D5523" s="46">
        <f>'Contractors'!AH487</f>
        <v/>
      </c>
      <c r="E5523" s="46">
        <f>IF(OR(B5523="",C5523="",D5523=""),"",D5523*100000+(C5523-DATE(2000,1,1))+ROW()/100000)</f>
        <v/>
      </c>
      <c r="F5523" s="46">
        <f>IF(E5523="","",IF(C5523&gt;WeekEndDate,"",E5523))</f>
        <v/>
      </c>
    </row>
    <row r="5524">
      <c r="A5524" t="inlineStr">
        <is>
          <t>Contractors</t>
        </is>
      </c>
      <c r="B5524" s="46">
        <f>'Contractors'!AI488</f>
        <v/>
      </c>
      <c r="C5524" s="84">
        <f>'Contractors'!AG488</f>
        <v/>
      </c>
      <c r="D5524" s="46">
        <f>'Contractors'!AH488</f>
        <v/>
      </c>
      <c r="E5524" s="46">
        <f>IF(OR(B5524="",C5524="",D5524=""),"",D5524*100000+(C5524-DATE(2000,1,1))+ROW()/100000)</f>
        <v/>
      </c>
      <c r="F5524" s="46">
        <f>IF(E5524="","",IF(C5524&gt;WeekEndDate,"",E5524))</f>
        <v/>
      </c>
    </row>
    <row r="5525">
      <c r="A5525" t="inlineStr">
        <is>
          <t>Contractors</t>
        </is>
      </c>
      <c r="B5525" s="46">
        <f>'Contractors'!AI489</f>
        <v/>
      </c>
      <c r="C5525" s="84">
        <f>'Contractors'!AG489</f>
        <v/>
      </c>
      <c r="D5525" s="46">
        <f>'Contractors'!AH489</f>
        <v/>
      </c>
      <c r="E5525" s="46">
        <f>IF(OR(B5525="",C5525="",D5525=""),"",D5525*100000+(C5525-DATE(2000,1,1))+ROW()/100000)</f>
        <v/>
      </c>
      <c r="F5525" s="46">
        <f>IF(E5525="","",IF(C5525&gt;WeekEndDate,"",E5525))</f>
        <v/>
      </c>
    </row>
    <row r="5526">
      <c r="A5526" t="inlineStr">
        <is>
          <t>Contractors</t>
        </is>
      </c>
      <c r="B5526" s="46">
        <f>'Contractors'!AI490</f>
        <v/>
      </c>
      <c r="C5526" s="84">
        <f>'Contractors'!AG490</f>
        <v/>
      </c>
      <c r="D5526" s="46">
        <f>'Contractors'!AH490</f>
        <v/>
      </c>
      <c r="E5526" s="46">
        <f>IF(OR(B5526="",C5526="",D5526=""),"",D5526*100000+(C5526-DATE(2000,1,1))+ROW()/100000)</f>
        <v/>
      </c>
      <c r="F5526" s="46">
        <f>IF(E5526="","",IF(C5526&gt;WeekEndDate,"",E5526))</f>
        <v/>
      </c>
    </row>
    <row r="5527">
      <c r="A5527" t="inlineStr">
        <is>
          <t>Contractors</t>
        </is>
      </c>
      <c r="B5527" s="46">
        <f>'Contractors'!AI491</f>
        <v/>
      </c>
      <c r="C5527" s="84">
        <f>'Contractors'!AG491</f>
        <v/>
      </c>
      <c r="D5527" s="46">
        <f>'Contractors'!AH491</f>
        <v/>
      </c>
      <c r="E5527" s="46">
        <f>IF(OR(B5527="",C5527="",D5527=""),"",D5527*100000+(C5527-DATE(2000,1,1))+ROW()/100000)</f>
        <v/>
      </c>
      <c r="F5527" s="46">
        <f>IF(E5527="","",IF(C5527&gt;WeekEndDate,"",E5527))</f>
        <v/>
      </c>
    </row>
    <row r="5528">
      <c r="A5528" t="inlineStr">
        <is>
          <t>Contractors</t>
        </is>
      </c>
      <c r="B5528" s="46">
        <f>'Contractors'!AI492</f>
        <v/>
      </c>
      <c r="C5528" s="84">
        <f>'Contractors'!AG492</f>
        <v/>
      </c>
      <c r="D5528" s="46">
        <f>'Contractors'!AH492</f>
        <v/>
      </c>
      <c r="E5528" s="46">
        <f>IF(OR(B5528="",C5528="",D5528=""),"",D5528*100000+(C5528-DATE(2000,1,1))+ROW()/100000)</f>
        <v/>
      </c>
      <c r="F5528" s="46">
        <f>IF(E5528="","",IF(C5528&gt;WeekEndDate,"",E5528))</f>
        <v/>
      </c>
    </row>
    <row r="5529">
      <c r="A5529" t="inlineStr">
        <is>
          <t>Contractors</t>
        </is>
      </c>
      <c r="B5529" s="46">
        <f>'Contractors'!AI493</f>
        <v/>
      </c>
      <c r="C5529" s="84">
        <f>'Contractors'!AG493</f>
        <v/>
      </c>
      <c r="D5529" s="46">
        <f>'Contractors'!AH493</f>
        <v/>
      </c>
      <c r="E5529" s="46">
        <f>IF(OR(B5529="",C5529="",D5529=""),"",D5529*100000+(C5529-DATE(2000,1,1))+ROW()/100000)</f>
        <v/>
      </c>
      <c r="F5529" s="46">
        <f>IF(E5529="","",IF(C5529&gt;WeekEndDate,"",E5529))</f>
        <v/>
      </c>
    </row>
    <row r="5530">
      <c r="A5530" t="inlineStr">
        <is>
          <t>Contractors</t>
        </is>
      </c>
      <c r="B5530" s="46">
        <f>'Contractors'!AI494</f>
        <v/>
      </c>
      <c r="C5530" s="84">
        <f>'Contractors'!AG494</f>
        <v/>
      </c>
      <c r="D5530" s="46">
        <f>'Contractors'!AH494</f>
        <v/>
      </c>
      <c r="E5530" s="46">
        <f>IF(OR(B5530="",C5530="",D5530=""),"",D5530*100000+(C5530-DATE(2000,1,1))+ROW()/100000)</f>
        <v/>
      </c>
      <c r="F5530" s="46">
        <f>IF(E5530="","",IF(C5530&gt;WeekEndDate,"",E5530))</f>
        <v/>
      </c>
    </row>
    <row r="5531">
      <c r="A5531" t="inlineStr">
        <is>
          <t>Contractors</t>
        </is>
      </c>
      <c r="B5531" s="46">
        <f>'Contractors'!AI495</f>
        <v/>
      </c>
      <c r="C5531" s="84">
        <f>'Contractors'!AG495</f>
        <v/>
      </c>
      <c r="D5531" s="46">
        <f>'Contractors'!AH495</f>
        <v/>
      </c>
      <c r="E5531" s="46">
        <f>IF(OR(B5531="",C5531="",D5531=""),"",D5531*100000+(C5531-DATE(2000,1,1))+ROW()/100000)</f>
        <v/>
      </c>
      <c r="F5531" s="46">
        <f>IF(E5531="","",IF(C5531&gt;WeekEndDate,"",E5531))</f>
        <v/>
      </c>
    </row>
    <row r="5532">
      <c r="A5532" t="inlineStr">
        <is>
          <t>Contractors</t>
        </is>
      </c>
      <c r="B5532" s="46">
        <f>'Contractors'!AI496</f>
        <v/>
      </c>
      <c r="C5532" s="84">
        <f>'Contractors'!AG496</f>
        <v/>
      </c>
      <c r="D5532" s="46">
        <f>'Contractors'!AH496</f>
        <v/>
      </c>
      <c r="E5532" s="46">
        <f>IF(OR(B5532="",C5532="",D5532=""),"",D5532*100000+(C5532-DATE(2000,1,1))+ROW()/100000)</f>
        <v/>
      </c>
      <c r="F5532" s="46">
        <f>IF(E5532="","",IF(C5532&gt;WeekEndDate,"",E5532))</f>
        <v/>
      </c>
    </row>
    <row r="5533">
      <c r="A5533" t="inlineStr">
        <is>
          <t>Contractors</t>
        </is>
      </c>
      <c r="B5533" s="46">
        <f>'Contractors'!AI497</f>
        <v/>
      </c>
      <c r="C5533" s="84">
        <f>'Contractors'!AG497</f>
        <v/>
      </c>
      <c r="D5533" s="46">
        <f>'Contractors'!AH497</f>
        <v/>
      </c>
      <c r="E5533" s="46">
        <f>IF(OR(B5533="",C5533="",D5533=""),"",D5533*100000+(C5533-DATE(2000,1,1))+ROW()/100000)</f>
        <v/>
      </c>
      <c r="F5533" s="46">
        <f>IF(E5533="","",IF(C5533&gt;WeekEndDate,"",E5533))</f>
        <v/>
      </c>
    </row>
    <row r="5534">
      <c r="A5534" t="inlineStr">
        <is>
          <t>Contractors</t>
        </is>
      </c>
      <c r="B5534" s="46">
        <f>'Contractors'!AI498</f>
        <v/>
      </c>
      <c r="C5534" s="84">
        <f>'Contractors'!AG498</f>
        <v/>
      </c>
      <c r="D5534" s="46">
        <f>'Contractors'!AH498</f>
        <v/>
      </c>
      <c r="E5534" s="46">
        <f>IF(OR(B5534="",C5534="",D5534=""),"",D5534*100000+(C5534-DATE(2000,1,1))+ROW()/100000)</f>
        <v/>
      </c>
      <c r="F5534" s="46">
        <f>IF(E5534="","",IF(C5534&gt;WeekEndDate,"",E5534))</f>
        <v/>
      </c>
    </row>
    <row r="5535">
      <c r="A5535" t="inlineStr">
        <is>
          <t>Contractors</t>
        </is>
      </c>
      <c r="B5535" s="46">
        <f>'Contractors'!AI499</f>
        <v/>
      </c>
      <c r="C5535" s="84">
        <f>'Contractors'!AG499</f>
        <v/>
      </c>
      <c r="D5535" s="46">
        <f>'Contractors'!AH499</f>
        <v/>
      </c>
      <c r="E5535" s="46">
        <f>IF(OR(B5535="",C5535="",D5535=""),"",D5535*100000+(C5535-DATE(2000,1,1))+ROW()/100000)</f>
        <v/>
      </c>
      <c r="F5535" s="46">
        <f>IF(E5535="","",IF(C5535&gt;WeekEndDate,"",E5535))</f>
        <v/>
      </c>
    </row>
    <row r="5536">
      <c r="A5536" t="inlineStr">
        <is>
          <t>Contractors</t>
        </is>
      </c>
      <c r="B5536" s="46">
        <f>'Contractors'!AI500</f>
        <v/>
      </c>
      <c r="C5536" s="84">
        <f>'Contractors'!AG500</f>
        <v/>
      </c>
      <c r="D5536" s="46">
        <f>'Contractors'!AH500</f>
        <v/>
      </c>
      <c r="E5536" s="46">
        <f>IF(OR(B5536="",C5536="",D5536=""),"",D5536*100000+(C5536-DATE(2000,1,1))+ROW()/100000)</f>
        <v/>
      </c>
      <c r="F5536" s="46">
        <f>IF(E5536="","",IF(C5536&gt;WeekEndDate,"",E5536))</f>
        <v/>
      </c>
    </row>
    <row r="5537">
      <c r="A5537" t="inlineStr">
        <is>
          <t>Contractors</t>
        </is>
      </c>
      <c r="B5537" s="46">
        <f>'Contractors'!AI501</f>
        <v/>
      </c>
      <c r="C5537" s="84">
        <f>'Contractors'!AG501</f>
        <v/>
      </c>
      <c r="D5537" s="46">
        <f>'Contractors'!AH501</f>
        <v/>
      </c>
      <c r="E5537" s="46">
        <f>IF(OR(B5537="",C5537="",D5537=""),"",D5537*100000+(C5537-DATE(2000,1,1))+ROW()/100000)</f>
        <v/>
      </c>
      <c r="F5537" s="46">
        <f>IF(E5537="","",IF(C5537&gt;WeekEndDate,"",E5537))</f>
        <v/>
      </c>
    </row>
    <row r="5538">
      <c r="A5538" t="inlineStr">
        <is>
          <t>Contractors</t>
        </is>
      </c>
      <c r="B5538" s="46">
        <f>'Contractors'!AI502</f>
        <v/>
      </c>
      <c r="C5538" s="84">
        <f>'Contractors'!AG502</f>
        <v/>
      </c>
      <c r="D5538" s="46">
        <f>'Contractors'!AH502</f>
        <v/>
      </c>
      <c r="E5538" s="46">
        <f>IF(OR(B5538="",C5538="",D5538=""),"",D5538*100000+(C5538-DATE(2000,1,1))+ROW()/100000)</f>
        <v/>
      </c>
      <c r="F5538" s="46">
        <f>IF(E5538="","",IF(C5538&gt;WeekEndDate,"",E5538))</f>
        <v/>
      </c>
    </row>
    <row r="5539">
      <c r="A5539" t="inlineStr">
        <is>
          <t>Contractors</t>
        </is>
      </c>
      <c r="B5539" s="46">
        <f>'Contractors'!AI503</f>
        <v/>
      </c>
      <c r="C5539" s="84">
        <f>'Contractors'!AG503</f>
        <v/>
      </c>
      <c r="D5539" s="46">
        <f>'Contractors'!AH503</f>
        <v/>
      </c>
      <c r="E5539" s="46">
        <f>IF(OR(B5539="",C5539="",D5539=""),"",D5539*100000+(C5539-DATE(2000,1,1))+ROW()/100000)</f>
        <v/>
      </c>
      <c r="F5539" s="46">
        <f>IF(E5539="","",IF(C5539&gt;WeekEndDate,"",E5539))</f>
        <v/>
      </c>
    </row>
    <row r="5540">
      <c r="A5540" t="inlineStr">
        <is>
          <t>Contractors</t>
        </is>
      </c>
      <c r="B5540" s="46">
        <f>'Contractors'!AI504</f>
        <v/>
      </c>
      <c r="C5540" s="84">
        <f>'Contractors'!AG504</f>
        <v/>
      </c>
      <c r="D5540" s="46">
        <f>'Contractors'!AH504</f>
        <v/>
      </c>
      <c r="E5540" s="46">
        <f>IF(OR(B5540="",C5540="",D5540=""),"",D5540*100000+(C5540-DATE(2000,1,1))+ROW()/100000)</f>
        <v/>
      </c>
      <c r="F5540" s="46">
        <f>IF(E5540="","",IF(C5540&gt;WeekEndDate,"",E5540))</f>
        <v/>
      </c>
    </row>
    <row r="5541">
      <c r="A5541" t="inlineStr">
        <is>
          <t>Contractors</t>
        </is>
      </c>
      <c r="B5541" s="46">
        <f>'Contractors'!AI505</f>
        <v/>
      </c>
      <c r="C5541" s="84">
        <f>'Contractors'!AG505</f>
        <v/>
      </c>
      <c r="D5541" s="46">
        <f>'Contractors'!AH505</f>
        <v/>
      </c>
      <c r="E5541" s="46">
        <f>IF(OR(B5541="",C5541="",D5541=""),"",D5541*100000+(C5541-DATE(2000,1,1))+ROW()/100000)</f>
        <v/>
      </c>
      <c r="F5541" s="46">
        <f>IF(E5541="","",IF(C5541&gt;WeekEndDate,"",E5541))</f>
        <v/>
      </c>
    </row>
    <row r="5542">
      <c r="A5542" t="inlineStr">
        <is>
          <t>Contractors</t>
        </is>
      </c>
      <c r="B5542" s="46">
        <f>'Contractors'!AI506</f>
        <v/>
      </c>
      <c r="C5542" s="84">
        <f>'Contractors'!AG506</f>
        <v/>
      </c>
      <c r="D5542" s="46">
        <f>'Contractors'!AH506</f>
        <v/>
      </c>
      <c r="E5542" s="46">
        <f>IF(OR(B5542="",C5542="",D5542=""),"",D5542*100000+(C5542-DATE(2000,1,1))+ROW()/100000)</f>
        <v/>
      </c>
      <c r="F5542" s="46">
        <f>IF(E5542="","",IF(C5542&gt;WeekEndDate,"",E5542))</f>
        <v/>
      </c>
    </row>
    <row r="5543">
      <c r="A5543" t="inlineStr">
        <is>
          <t>Contractors</t>
        </is>
      </c>
      <c r="B5543" s="46">
        <f>'Contractors'!AI507</f>
        <v/>
      </c>
      <c r="C5543" s="84">
        <f>'Contractors'!AG507</f>
        <v/>
      </c>
      <c r="D5543" s="46">
        <f>'Contractors'!AH507</f>
        <v/>
      </c>
      <c r="E5543" s="46">
        <f>IF(OR(B5543="",C5543="",D5543=""),"",D5543*100000+(C5543-DATE(2000,1,1))+ROW()/100000)</f>
        <v/>
      </c>
      <c r="F5543" s="46">
        <f>IF(E5543="","",IF(C5543&gt;WeekEndDate,"",E5543))</f>
        <v/>
      </c>
    </row>
    <row r="5544">
      <c r="A5544" t="inlineStr">
        <is>
          <t>Contractors</t>
        </is>
      </c>
      <c r="B5544" s="46">
        <f>'Contractors'!AI508</f>
        <v/>
      </c>
      <c r="C5544" s="84">
        <f>'Contractors'!AG508</f>
        <v/>
      </c>
      <c r="D5544" s="46">
        <f>'Contractors'!AH508</f>
        <v/>
      </c>
      <c r="E5544" s="46">
        <f>IF(OR(B5544="",C5544="",D5544=""),"",D5544*100000+(C5544-DATE(2000,1,1))+ROW()/100000)</f>
        <v/>
      </c>
      <c r="F5544" s="46">
        <f>IF(E5544="","",IF(C5544&gt;WeekEndDate,"",E5544))</f>
        <v/>
      </c>
    </row>
    <row r="5545">
      <c r="A5545" t="inlineStr">
        <is>
          <t>Contractors</t>
        </is>
      </c>
      <c r="B5545" s="46">
        <f>'Contractors'!AI509</f>
        <v/>
      </c>
      <c r="C5545" s="84">
        <f>'Contractors'!AG509</f>
        <v/>
      </c>
      <c r="D5545" s="46">
        <f>'Contractors'!AH509</f>
        <v/>
      </c>
      <c r="E5545" s="46">
        <f>IF(OR(B5545="",C5545="",D5545=""),"",D5545*100000+(C5545-DATE(2000,1,1))+ROW()/100000)</f>
        <v/>
      </c>
      <c r="F5545" s="46">
        <f>IF(E5545="","",IF(C5545&gt;WeekEndDate,"",E5545))</f>
        <v/>
      </c>
    </row>
    <row r="5546">
      <c r="A5546" t="inlineStr">
        <is>
          <t>Contractors</t>
        </is>
      </c>
      <c r="B5546" s="46">
        <f>'Contractors'!AI510</f>
        <v/>
      </c>
      <c r="C5546" s="84">
        <f>'Contractors'!AG510</f>
        <v/>
      </c>
      <c r="D5546" s="46">
        <f>'Contractors'!AH510</f>
        <v/>
      </c>
      <c r="E5546" s="46">
        <f>IF(OR(B5546="",C5546="",D5546=""),"",D5546*100000+(C5546-DATE(2000,1,1))+ROW()/100000)</f>
        <v/>
      </c>
      <c r="F5546" s="46">
        <f>IF(E5546="","",IF(C5546&gt;WeekEndDate,"",E5546))</f>
        <v/>
      </c>
    </row>
    <row r="5547">
      <c r="A5547" t="inlineStr">
        <is>
          <t>Contractors</t>
        </is>
      </c>
      <c r="B5547" s="46">
        <f>'Contractors'!AI511</f>
        <v/>
      </c>
      <c r="C5547" s="84">
        <f>'Contractors'!AG511</f>
        <v/>
      </c>
      <c r="D5547" s="46">
        <f>'Contractors'!AH511</f>
        <v/>
      </c>
      <c r="E5547" s="46">
        <f>IF(OR(B5547="",C5547="",D5547=""),"",D5547*100000+(C5547-DATE(2000,1,1))+ROW()/100000)</f>
        <v/>
      </c>
      <c r="F5547" s="46">
        <f>IF(E5547="","",IF(C5547&gt;WeekEndDate,"",E5547))</f>
        <v/>
      </c>
    </row>
    <row r="5548">
      <c r="A5548" t="inlineStr">
        <is>
          <t>Contractors</t>
        </is>
      </c>
      <c r="B5548" s="46">
        <f>'Contractors'!AI512</f>
        <v/>
      </c>
      <c r="C5548" s="84">
        <f>'Contractors'!AG512</f>
        <v/>
      </c>
      <c r="D5548" s="46">
        <f>'Contractors'!AH512</f>
        <v/>
      </c>
      <c r="E5548" s="46">
        <f>IF(OR(B5548="",C5548="",D5548=""),"",D5548*100000+(C5548-DATE(2000,1,1))+ROW()/100000)</f>
        <v/>
      </c>
      <c r="F5548" s="46">
        <f>IF(E5548="","",IF(C5548&gt;WeekEndDate,"",E5548))</f>
        <v/>
      </c>
    </row>
    <row r="5549">
      <c r="A5549" t="inlineStr">
        <is>
          <t>Contractors</t>
        </is>
      </c>
      <c r="B5549" s="46">
        <f>'Contractors'!AI513</f>
        <v/>
      </c>
      <c r="C5549" s="84">
        <f>'Contractors'!AG513</f>
        <v/>
      </c>
      <c r="D5549" s="46">
        <f>'Contractors'!AH513</f>
        <v/>
      </c>
      <c r="E5549" s="46">
        <f>IF(OR(B5549="",C5549="",D5549=""),"",D5549*100000+(C5549-DATE(2000,1,1))+ROW()/100000)</f>
        <v/>
      </c>
      <c r="F5549" s="46">
        <f>IF(E5549="","",IF(C5549&gt;WeekEndDate,"",E5549))</f>
        <v/>
      </c>
    </row>
    <row r="5550">
      <c r="A5550" t="inlineStr">
        <is>
          <t>Contractors</t>
        </is>
      </c>
      <c r="B5550" s="46">
        <f>'Contractors'!AI514</f>
        <v/>
      </c>
      <c r="C5550" s="84">
        <f>'Contractors'!AG514</f>
        <v/>
      </c>
      <c r="D5550" s="46">
        <f>'Contractors'!AH514</f>
        <v/>
      </c>
      <c r="E5550" s="46">
        <f>IF(OR(B5550="",C5550="",D5550=""),"",D5550*100000+(C5550-DATE(2000,1,1))+ROW()/100000)</f>
        <v/>
      </c>
      <c r="F5550" s="46">
        <f>IF(E5550="","",IF(C5550&gt;WeekEndDate,"",E5550))</f>
        <v/>
      </c>
    </row>
    <row r="5551">
      <c r="A5551" t="inlineStr">
        <is>
          <t>Contractors</t>
        </is>
      </c>
      <c r="B5551" s="46">
        <f>'Contractors'!AI515</f>
        <v/>
      </c>
      <c r="C5551" s="84">
        <f>'Contractors'!AG515</f>
        <v/>
      </c>
      <c r="D5551" s="46">
        <f>'Contractors'!AH515</f>
        <v/>
      </c>
      <c r="E5551" s="46">
        <f>IF(OR(B5551="",C5551="",D5551=""),"",D5551*100000+(C5551-DATE(2000,1,1))+ROW()/100000)</f>
        <v/>
      </c>
      <c r="F5551" s="46">
        <f>IF(E5551="","",IF(C5551&gt;WeekEndDate,"",E5551))</f>
        <v/>
      </c>
    </row>
    <row r="5552">
      <c r="A5552" t="inlineStr">
        <is>
          <t>Contractors</t>
        </is>
      </c>
      <c r="B5552" s="46">
        <f>'Contractors'!AI516</f>
        <v/>
      </c>
      <c r="C5552" s="84">
        <f>'Contractors'!AG516</f>
        <v/>
      </c>
      <c r="D5552" s="46">
        <f>'Contractors'!AH516</f>
        <v/>
      </c>
      <c r="E5552" s="46">
        <f>IF(OR(B5552="",C5552="",D5552=""),"",D5552*100000+(C5552-DATE(2000,1,1))+ROW()/100000)</f>
        <v/>
      </c>
      <c r="F5552" s="46">
        <f>IF(E5552="","",IF(C5552&gt;WeekEndDate,"",E5552))</f>
        <v/>
      </c>
    </row>
    <row r="5553">
      <c r="A5553" t="inlineStr">
        <is>
          <t>Contractors</t>
        </is>
      </c>
      <c r="B5553" s="46">
        <f>'Contractors'!AI517</f>
        <v/>
      </c>
      <c r="C5553" s="84">
        <f>'Contractors'!AG517</f>
        <v/>
      </c>
      <c r="D5553" s="46">
        <f>'Contractors'!AH517</f>
        <v/>
      </c>
      <c r="E5553" s="46">
        <f>IF(OR(B5553="",C5553="",D5553=""),"",D5553*100000+(C5553-DATE(2000,1,1))+ROW()/100000)</f>
        <v/>
      </c>
      <c r="F5553" s="46">
        <f>IF(E5553="","",IF(C5553&gt;WeekEndDate,"",E5553))</f>
        <v/>
      </c>
    </row>
    <row r="5554">
      <c r="A5554" t="inlineStr">
        <is>
          <t>Contractors</t>
        </is>
      </c>
      <c r="B5554" s="46">
        <f>'Contractors'!AI518</f>
        <v/>
      </c>
      <c r="C5554" s="84">
        <f>'Contractors'!AG518</f>
        <v/>
      </c>
      <c r="D5554" s="46">
        <f>'Contractors'!AH518</f>
        <v/>
      </c>
      <c r="E5554" s="46">
        <f>IF(OR(B5554="",C5554="",D5554=""),"",D5554*100000+(C5554-DATE(2000,1,1))+ROW()/100000)</f>
        <v/>
      </c>
      <c r="F5554" s="46">
        <f>IF(E5554="","",IF(C5554&gt;WeekEndDate,"",E5554))</f>
        <v/>
      </c>
    </row>
    <row r="5555">
      <c r="A5555" t="inlineStr">
        <is>
          <t>Contractors</t>
        </is>
      </c>
      <c r="B5555" s="46">
        <f>'Contractors'!AI519</f>
        <v/>
      </c>
      <c r="C5555" s="84">
        <f>'Contractors'!AG519</f>
        <v/>
      </c>
      <c r="D5555" s="46">
        <f>'Contractors'!AH519</f>
        <v/>
      </c>
      <c r="E5555" s="46">
        <f>IF(OR(B5555="",C5555="",D5555=""),"",D5555*100000+(C5555-DATE(2000,1,1))+ROW()/100000)</f>
        <v/>
      </c>
      <c r="F5555" s="46">
        <f>IF(E5555="","",IF(C5555&gt;WeekEndDate,"",E5555))</f>
        <v/>
      </c>
    </row>
    <row r="5556">
      <c r="A5556" t="inlineStr">
        <is>
          <t>Contractors</t>
        </is>
      </c>
      <c r="B5556" s="46">
        <f>'Contractors'!AI520</f>
        <v/>
      </c>
      <c r="C5556" s="84">
        <f>'Contractors'!AG520</f>
        <v/>
      </c>
      <c r="D5556" s="46">
        <f>'Contractors'!AH520</f>
        <v/>
      </c>
      <c r="E5556" s="46">
        <f>IF(OR(B5556="",C5556="",D5556=""),"",D5556*100000+(C5556-DATE(2000,1,1))+ROW()/100000)</f>
        <v/>
      </c>
      <c r="F5556" s="46">
        <f>IF(E5556="","",IF(C5556&gt;WeekEndDate,"",E5556))</f>
        <v/>
      </c>
    </row>
    <row r="5557">
      <c r="A5557" t="inlineStr">
        <is>
          <t>Contractors</t>
        </is>
      </c>
      <c r="B5557" s="46">
        <f>'Contractors'!AI521</f>
        <v/>
      </c>
      <c r="C5557" s="84">
        <f>'Contractors'!AG521</f>
        <v/>
      </c>
      <c r="D5557" s="46">
        <f>'Contractors'!AH521</f>
        <v/>
      </c>
      <c r="E5557" s="46">
        <f>IF(OR(B5557="",C5557="",D5557=""),"",D5557*100000+(C5557-DATE(2000,1,1))+ROW()/100000)</f>
        <v/>
      </c>
      <c r="F5557" s="46">
        <f>IF(E5557="","",IF(C5557&gt;WeekEndDate,"",E5557))</f>
        <v/>
      </c>
    </row>
    <row r="5558">
      <c r="A5558" t="inlineStr">
        <is>
          <t>Contractors</t>
        </is>
      </c>
      <c r="B5558" s="46">
        <f>'Contractors'!AI522</f>
        <v/>
      </c>
      <c r="C5558" s="84">
        <f>'Contractors'!AG522</f>
        <v/>
      </c>
      <c r="D5558" s="46">
        <f>'Contractors'!AH522</f>
        <v/>
      </c>
      <c r="E5558" s="46">
        <f>IF(OR(B5558="",C5558="",D5558=""),"",D5558*100000+(C5558-DATE(2000,1,1))+ROW()/100000)</f>
        <v/>
      </c>
      <c r="F5558" s="46">
        <f>IF(E5558="","",IF(C5558&gt;WeekEndDate,"",E5558))</f>
        <v/>
      </c>
    </row>
    <row r="5559">
      <c r="A5559" t="inlineStr">
        <is>
          <t>Contractors</t>
        </is>
      </c>
      <c r="B5559" s="46">
        <f>'Contractors'!AI523</f>
        <v/>
      </c>
      <c r="C5559" s="84">
        <f>'Contractors'!AG523</f>
        <v/>
      </c>
      <c r="D5559" s="46">
        <f>'Contractors'!AH523</f>
        <v/>
      </c>
      <c r="E5559" s="46">
        <f>IF(OR(B5559="",C5559="",D5559=""),"",D5559*100000+(C5559-DATE(2000,1,1))+ROW()/100000)</f>
        <v/>
      </c>
      <c r="F5559" s="46">
        <f>IF(E5559="","",IF(C5559&gt;WeekEndDate,"",E5559))</f>
        <v/>
      </c>
    </row>
    <row r="5560">
      <c r="A5560" t="inlineStr">
        <is>
          <t>Contractors</t>
        </is>
      </c>
      <c r="B5560" s="46">
        <f>'Contractors'!AI524</f>
        <v/>
      </c>
      <c r="C5560" s="84">
        <f>'Contractors'!AG524</f>
        <v/>
      </c>
      <c r="D5560" s="46">
        <f>'Contractors'!AH524</f>
        <v/>
      </c>
      <c r="E5560" s="46">
        <f>IF(OR(B5560="",C5560="",D5560=""),"",D5560*100000+(C5560-DATE(2000,1,1))+ROW()/100000)</f>
        <v/>
      </c>
      <c r="F5560" s="46">
        <f>IF(E5560="","",IF(C5560&gt;WeekEndDate,"",E5560))</f>
        <v/>
      </c>
    </row>
    <row r="5561">
      <c r="A5561" t="inlineStr">
        <is>
          <t>Contractors</t>
        </is>
      </c>
      <c r="B5561" s="46">
        <f>'Contractors'!AI525</f>
        <v/>
      </c>
      <c r="C5561" s="84">
        <f>'Contractors'!AG525</f>
        <v/>
      </c>
      <c r="D5561" s="46">
        <f>'Contractors'!AH525</f>
        <v/>
      </c>
      <c r="E5561" s="46">
        <f>IF(OR(B5561="",C5561="",D5561=""),"",D5561*100000+(C5561-DATE(2000,1,1))+ROW()/100000)</f>
        <v/>
      </c>
      <c r="F5561" s="46">
        <f>IF(E5561="","",IF(C5561&gt;WeekEndDate,"",E5561))</f>
        <v/>
      </c>
    </row>
    <row r="5562">
      <c r="A5562" t="inlineStr">
        <is>
          <t>Contractors</t>
        </is>
      </c>
      <c r="B5562" s="46">
        <f>'Contractors'!AI526</f>
        <v/>
      </c>
      <c r="C5562" s="84">
        <f>'Contractors'!AG526</f>
        <v/>
      </c>
      <c r="D5562" s="46">
        <f>'Contractors'!AH526</f>
        <v/>
      </c>
      <c r="E5562" s="46">
        <f>IF(OR(B5562="",C5562="",D5562=""),"",D5562*100000+(C5562-DATE(2000,1,1))+ROW()/100000)</f>
        <v/>
      </c>
      <c r="F5562" s="46">
        <f>IF(E5562="","",IF(C5562&gt;WeekEndDate,"",E5562))</f>
        <v/>
      </c>
    </row>
    <row r="5563">
      <c r="A5563" t="inlineStr">
        <is>
          <t>Contractors</t>
        </is>
      </c>
      <c r="B5563" s="46">
        <f>'Contractors'!AI527</f>
        <v/>
      </c>
      <c r="C5563" s="84">
        <f>'Contractors'!AG527</f>
        <v/>
      </c>
      <c r="D5563" s="46">
        <f>'Contractors'!AH527</f>
        <v/>
      </c>
      <c r="E5563" s="46">
        <f>IF(OR(B5563="",C5563="",D5563=""),"",D5563*100000+(C5563-DATE(2000,1,1))+ROW()/100000)</f>
        <v/>
      </c>
      <c r="F5563" s="46">
        <f>IF(E5563="","",IF(C5563&gt;WeekEndDate,"",E5563))</f>
        <v/>
      </c>
    </row>
    <row r="5564">
      <c r="A5564" t="inlineStr">
        <is>
          <t>Contractors</t>
        </is>
      </c>
      <c r="B5564" s="46">
        <f>'Contractors'!AI528</f>
        <v/>
      </c>
      <c r="C5564" s="84">
        <f>'Contractors'!AG528</f>
        <v/>
      </c>
      <c r="D5564" s="46">
        <f>'Contractors'!AH528</f>
        <v/>
      </c>
      <c r="E5564" s="46">
        <f>IF(OR(B5564="",C5564="",D5564=""),"",D5564*100000+(C5564-DATE(2000,1,1))+ROW()/100000)</f>
        <v/>
      </c>
      <c r="F5564" s="46">
        <f>IF(E5564="","",IF(C5564&gt;WeekEndDate,"",E5564))</f>
        <v/>
      </c>
    </row>
    <row r="5565">
      <c r="A5565" t="inlineStr">
        <is>
          <t>Contractors</t>
        </is>
      </c>
      <c r="B5565" s="46">
        <f>'Contractors'!AI529</f>
        <v/>
      </c>
      <c r="C5565" s="84">
        <f>'Contractors'!AG529</f>
        <v/>
      </c>
      <c r="D5565" s="46">
        <f>'Contractors'!AH529</f>
        <v/>
      </c>
      <c r="E5565" s="46">
        <f>IF(OR(B5565="",C5565="",D5565=""),"",D5565*100000+(C5565-DATE(2000,1,1))+ROW()/100000)</f>
        <v/>
      </c>
      <c r="F5565" s="46">
        <f>IF(E5565="","",IF(C5565&gt;WeekEndDate,"",E5565))</f>
        <v/>
      </c>
    </row>
    <row r="5566">
      <c r="A5566" t="inlineStr">
        <is>
          <t>Contractors</t>
        </is>
      </c>
      <c r="B5566" s="46">
        <f>'Contractors'!AI530</f>
        <v/>
      </c>
      <c r="C5566" s="84">
        <f>'Contractors'!AG530</f>
        <v/>
      </c>
      <c r="D5566" s="46">
        <f>'Contractors'!AH530</f>
        <v/>
      </c>
      <c r="E5566" s="46">
        <f>IF(OR(B5566="",C5566="",D5566=""),"",D5566*100000+(C5566-DATE(2000,1,1))+ROW()/100000)</f>
        <v/>
      </c>
      <c r="F5566" s="46">
        <f>IF(E5566="","",IF(C5566&gt;WeekEndDate,"",E5566))</f>
        <v/>
      </c>
    </row>
    <row r="5567">
      <c r="A5567" t="inlineStr">
        <is>
          <t>Contractors</t>
        </is>
      </c>
      <c r="B5567" s="46">
        <f>'Contractors'!AI531</f>
        <v/>
      </c>
      <c r="C5567" s="84">
        <f>'Contractors'!AG531</f>
        <v/>
      </c>
      <c r="D5567" s="46">
        <f>'Contractors'!AH531</f>
        <v/>
      </c>
      <c r="E5567" s="46">
        <f>IF(OR(B5567="",C5567="",D5567=""),"",D5567*100000+(C5567-DATE(2000,1,1))+ROW()/100000)</f>
        <v/>
      </c>
      <c r="F5567" s="46">
        <f>IF(E5567="","",IF(C5567&gt;WeekEndDate,"",E5567))</f>
        <v/>
      </c>
    </row>
    <row r="5568">
      <c r="A5568" t="inlineStr">
        <is>
          <t>Contractors</t>
        </is>
      </c>
      <c r="B5568" s="46">
        <f>'Contractors'!AI532</f>
        <v/>
      </c>
      <c r="C5568" s="84">
        <f>'Contractors'!AG532</f>
        <v/>
      </c>
      <c r="D5568" s="46">
        <f>'Contractors'!AH532</f>
        <v/>
      </c>
      <c r="E5568" s="46">
        <f>IF(OR(B5568="",C5568="",D5568=""),"",D5568*100000+(C5568-DATE(2000,1,1))+ROW()/100000)</f>
        <v/>
      </c>
      <c r="F5568" s="46">
        <f>IF(E5568="","",IF(C5568&gt;WeekEndDate,"",E5568))</f>
        <v/>
      </c>
    </row>
    <row r="5569">
      <c r="A5569" t="inlineStr">
        <is>
          <t>Contractors</t>
        </is>
      </c>
      <c r="B5569" s="46">
        <f>'Contractors'!AI533</f>
        <v/>
      </c>
      <c r="C5569" s="84">
        <f>'Contractors'!AG533</f>
        <v/>
      </c>
      <c r="D5569" s="46">
        <f>'Contractors'!AH533</f>
        <v/>
      </c>
      <c r="E5569" s="46">
        <f>IF(OR(B5569="",C5569="",D5569=""),"",D5569*100000+(C5569-DATE(2000,1,1))+ROW()/100000)</f>
        <v/>
      </c>
      <c r="F5569" s="46">
        <f>IF(E5569="","",IF(C5569&gt;WeekEndDate,"",E5569))</f>
        <v/>
      </c>
    </row>
    <row r="5570">
      <c r="A5570" t="inlineStr">
        <is>
          <t>Contractors</t>
        </is>
      </c>
      <c r="B5570" s="46">
        <f>'Contractors'!AI534</f>
        <v/>
      </c>
      <c r="C5570" s="84">
        <f>'Contractors'!AG534</f>
        <v/>
      </c>
      <c r="D5570" s="46">
        <f>'Contractors'!AH534</f>
        <v/>
      </c>
      <c r="E5570" s="46">
        <f>IF(OR(B5570="",C5570="",D5570=""),"",D5570*100000+(C5570-DATE(2000,1,1))+ROW()/100000)</f>
        <v/>
      </c>
      <c r="F5570" s="46">
        <f>IF(E5570="","",IF(C5570&gt;WeekEndDate,"",E5570))</f>
        <v/>
      </c>
    </row>
    <row r="5571">
      <c r="A5571" t="inlineStr">
        <is>
          <t>Contractors</t>
        </is>
      </c>
      <c r="B5571" s="46">
        <f>'Contractors'!AI535</f>
        <v/>
      </c>
      <c r="C5571" s="84">
        <f>'Contractors'!AG535</f>
        <v/>
      </c>
      <c r="D5571" s="46">
        <f>'Contractors'!AH535</f>
        <v/>
      </c>
      <c r="E5571" s="46">
        <f>IF(OR(B5571="",C5571="",D5571=""),"",D5571*100000+(C5571-DATE(2000,1,1))+ROW()/100000)</f>
        <v/>
      </c>
      <c r="F5571" s="46">
        <f>IF(E5571="","",IF(C5571&gt;WeekEndDate,"",E5571))</f>
        <v/>
      </c>
    </row>
    <row r="5572">
      <c r="A5572" t="inlineStr">
        <is>
          <t>Contractors</t>
        </is>
      </c>
      <c r="B5572" s="46">
        <f>'Contractors'!AI536</f>
        <v/>
      </c>
      <c r="C5572" s="84">
        <f>'Contractors'!AG536</f>
        <v/>
      </c>
      <c r="D5572" s="46">
        <f>'Contractors'!AH536</f>
        <v/>
      </c>
      <c r="E5572" s="46">
        <f>IF(OR(B5572="",C5572="",D5572=""),"",D5572*100000+(C5572-DATE(2000,1,1))+ROW()/100000)</f>
        <v/>
      </c>
      <c r="F5572" s="46">
        <f>IF(E5572="","",IF(C5572&gt;WeekEndDate,"",E5572))</f>
        <v/>
      </c>
    </row>
    <row r="5573">
      <c r="A5573" t="inlineStr">
        <is>
          <t>Contractors</t>
        </is>
      </c>
      <c r="B5573" s="46">
        <f>'Contractors'!AI537</f>
        <v/>
      </c>
      <c r="C5573" s="84">
        <f>'Contractors'!AG537</f>
        <v/>
      </c>
      <c r="D5573" s="46">
        <f>'Contractors'!AH537</f>
        <v/>
      </c>
      <c r="E5573" s="46">
        <f>IF(OR(B5573="",C5573="",D5573=""),"",D5573*100000+(C5573-DATE(2000,1,1))+ROW()/100000)</f>
        <v/>
      </c>
      <c r="F5573" s="46">
        <f>IF(E5573="","",IF(C5573&gt;WeekEndDate,"",E5573))</f>
        <v/>
      </c>
    </row>
    <row r="5574">
      <c r="A5574" t="inlineStr">
        <is>
          <t>Contractors</t>
        </is>
      </c>
      <c r="B5574" s="46">
        <f>'Contractors'!AI538</f>
        <v/>
      </c>
      <c r="C5574" s="84">
        <f>'Contractors'!AG538</f>
        <v/>
      </c>
      <c r="D5574" s="46">
        <f>'Contractors'!AH538</f>
        <v/>
      </c>
      <c r="E5574" s="46">
        <f>IF(OR(B5574="",C5574="",D5574=""),"",D5574*100000+(C5574-DATE(2000,1,1))+ROW()/100000)</f>
        <v/>
      </c>
      <c r="F5574" s="46">
        <f>IF(E5574="","",IF(C5574&gt;WeekEndDate,"",E5574))</f>
        <v/>
      </c>
    </row>
    <row r="5575">
      <c r="A5575" t="inlineStr">
        <is>
          <t>Contractors</t>
        </is>
      </c>
      <c r="B5575" s="46">
        <f>'Contractors'!AI539</f>
        <v/>
      </c>
      <c r="C5575" s="84">
        <f>'Contractors'!AG539</f>
        <v/>
      </c>
      <c r="D5575" s="46">
        <f>'Contractors'!AH539</f>
        <v/>
      </c>
      <c r="E5575" s="46">
        <f>IF(OR(B5575="",C5575="",D5575=""),"",D5575*100000+(C5575-DATE(2000,1,1))+ROW()/100000)</f>
        <v/>
      </c>
      <c r="F5575" s="46">
        <f>IF(E5575="","",IF(C5575&gt;WeekEndDate,"",E5575))</f>
        <v/>
      </c>
    </row>
    <row r="5576">
      <c r="A5576" t="inlineStr">
        <is>
          <t>Contractors</t>
        </is>
      </c>
      <c r="B5576" s="46">
        <f>'Contractors'!AI540</f>
        <v/>
      </c>
      <c r="C5576" s="84">
        <f>'Contractors'!AG540</f>
        <v/>
      </c>
      <c r="D5576" s="46">
        <f>'Contractors'!AH540</f>
        <v/>
      </c>
      <c r="E5576" s="46">
        <f>IF(OR(B5576="",C5576="",D5576=""),"",D5576*100000+(C5576-DATE(2000,1,1))+ROW()/100000)</f>
        <v/>
      </c>
      <c r="F5576" s="46">
        <f>IF(E5576="","",IF(C5576&gt;WeekEndDate,"",E5576))</f>
        <v/>
      </c>
    </row>
    <row r="5577">
      <c r="A5577" t="inlineStr">
        <is>
          <t>Contractors</t>
        </is>
      </c>
      <c r="B5577" s="46">
        <f>'Contractors'!AI541</f>
        <v/>
      </c>
      <c r="C5577" s="84">
        <f>'Contractors'!AG541</f>
        <v/>
      </c>
      <c r="D5577" s="46">
        <f>'Contractors'!AH541</f>
        <v/>
      </c>
      <c r="E5577" s="46">
        <f>IF(OR(B5577="",C5577="",D5577=""),"",D5577*100000+(C5577-DATE(2000,1,1))+ROW()/100000)</f>
        <v/>
      </c>
      <c r="F5577" s="46">
        <f>IF(E5577="","",IF(C5577&gt;WeekEndDate,"",E5577))</f>
        <v/>
      </c>
    </row>
    <row r="5578">
      <c r="A5578" t="inlineStr">
        <is>
          <t>Contractors</t>
        </is>
      </c>
      <c r="B5578" s="46">
        <f>'Contractors'!AI542</f>
        <v/>
      </c>
      <c r="C5578" s="84">
        <f>'Contractors'!AG542</f>
        <v/>
      </c>
      <c r="D5578" s="46">
        <f>'Contractors'!AH542</f>
        <v/>
      </c>
      <c r="E5578" s="46">
        <f>IF(OR(B5578="",C5578="",D5578=""),"",D5578*100000+(C5578-DATE(2000,1,1))+ROW()/100000)</f>
        <v/>
      </c>
      <c r="F5578" s="46">
        <f>IF(E5578="","",IF(C5578&gt;WeekEndDate,"",E5578))</f>
        <v/>
      </c>
    </row>
    <row r="5579">
      <c r="A5579" t="inlineStr">
        <is>
          <t>Contractors</t>
        </is>
      </c>
      <c r="B5579" s="46">
        <f>'Contractors'!AI543</f>
        <v/>
      </c>
      <c r="C5579" s="84">
        <f>'Contractors'!AG543</f>
        <v/>
      </c>
      <c r="D5579" s="46">
        <f>'Contractors'!AH543</f>
        <v/>
      </c>
      <c r="E5579" s="46">
        <f>IF(OR(B5579="",C5579="",D5579=""),"",D5579*100000+(C5579-DATE(2000,1,1))+ROW()/100000)</f>
        <v/>
      </c>
      <c r="F5579" s="46">
        <f>IF(E5579="","",IF(C5579&gt;WeekEndDate,"",E5579))</f>
        <v/>
      </c>
    </row>
    <row r="5580">
      <c r="A5580" t="inlineStr">
        <is>
          <t>Contractors</t>
        </is>
      </c>
      <c r="B5580" s="46">
        <f>'Contractors'!AI544</f>
        <v/>
      </c>
      <c r="C5580" s="84">
        <f>'Contractors'!AG544</f>
        <v/>
      </c>
      <c r="D5580" s="46">
        <f>'Contractors'!AH544</f>
        <v/>
      </c>
      <c r="E5580" s="46">
        <f>IF(OR(B5580="",C5580="",D5580=""),"",D5580*100000+(C5580-DATE(2000,1,1))+ROW()/100000)</f>
        <v/>
      </c>
      <c r="F5580" s="46">
        <f>IF(E5580="","",IF(C5580&gt;WeekEndDate,"",E5580))</f>
        <v/>
      </c>
    </row>
    <row r="5581">
      <c r="A5581" t="inlineStr">
        <is>
          <t>Contractors</t>
        </is>
      </c>
      <c r="B5581" s="46">
        <f>'Contractors'!AI545</f>
        <v/>
      </c>
      <c r="C5581" s="84">
        <f>'Contractors'!AG545</f>
        <v/>
      </c>
      <c r="D5581" s="46">
        <f>'Contractors'!AH545</f>
        <v/>
      </c>
      <c r="E5581" s="46">
        <f>IF(OR(B5581="",C5581="",D5581=""),"",D5581*100000+(C5581-DATE(2000,1,1))+ROW()/100000)</f>
        <v/>
      </c>
      <c r="F5581" s="46">
        <f>IF(E5581="","",IF(C5581&gt;WeekEndDate,"",E5581))</f>
        <v/>
      </c>
    </row>
    <row r="5582">
      <c r="A5582" t="inlineStr">
        <is>
          <t>Contractors</t>
        </is>
      </c>
      <c r="B5582" s="46">
        <f>'Contractors'!AI546</f>
        <v/>
      </c>
      <c r="C5582" s="84">
        <f>'Contractors'!AG546</f>
        <v/>
      </c>
      <c r="D5582" s="46">
        <f>'Contractors'!AH546</f>
        <v/>
      </c>
      <c r="E5582" s="46">
        <f>IF(OR(B5582="",C5582="",D5582=""),"",D5582*100000+(C5582-DATE(2000,1,1))+ROW()/100000)</f>
        <v/>
      </c>
      <c r="F5582" s="46">
        <f>IF(E5582="","",IF(C5582&gt;WeekEndDate,"",E5582))</f>
        <v/>
      </c>
    </row>
    <row r="5583">
      <c r="A5583" t="inlineStr">
        <is>
          <t>Contractors</t>
        </is>
      </c>
      <c r="B5583" s="46">
        <f>'Contractors'!AI547</f>
        <v/>
      </c>
      <c r="C5583" s="84">
        <f>'Contractors'!AG547</f>
        <v/>
      </c>
      <c r="D5583" s="46">
        <f>'Contractors'!AH547</f>
        <v/>
      </c>
      <c r="E5583" s="46">
        <f>IF(OR(B5583="",C5583="",D5583=""),"",D5583*100000+(C5583-DATE(2000,1,1))+ROW()/100000)</f>
        <v/>
      </c>
      <c r="F5583" s="46">
        <f>IF(E5583="","",IF(C5583&gt;WeekEndDate,"",E5583))</f>
        <v/>
      </c>
    </row>
    <row r="5584">
      <c r="A5584" t="inlineStr">
        <is>
          <t>Contractors</t>
        </is>
      </c>
      <c r="B5584" s="46">
        <f>'Contractors'!AI548</f>
        <v/>
      </c>
      <c r="C5584" s="84">
        <f>'Contractors'!AG548</f>
        <v/>
      </c>
      <c r="D5584" s="46">
        <f>'Contractors'!AH548</f>
        <v/>
      </c>
      <c r="E5584" s="46">
        <f>IF(OR(B5584="",C5584="",D5584=""),"",D5584*100000+(C5584-DATE(2000,1,1))+ROW()/100000)</f>
        <v/>
      </c>
      <c r="F5584" s="46">
        <f>IF(E5584="","",IF(C5584&gt;WeekEndDate,"",E5584))</f>
        <v/>
      </c>
    </row>
    <row r="5585">
      <c r="A5585" t="inlineStr">
        <is>
          <t>Contractors</t>
        </is>
      </c>
      <c r="B5585" s="46">
        <f>'Contractors'!AI549</f>
        <v/>
      </c>
      <c r="C5585" s="84">
        <f>'Contractors'!AG549</f>
        <v/>
      </c>
      <c r="D5585" s="46">
        <f>'Contractors'!AH549</f>
        <v/>
      </c>
      <c r="E5585" s="46">
        <f>IF(OR(B5585="",C5585="",D5585=""),"",D5585*100000+(C5585-DATE(2000,1,1))+ROW()/100000)</f>
        <v/>
      </c>
      <c r="F5585" s="46">
        <f>IF(E5585="","",IF(C5585&gt;WeekEndDate,"",E5585))</f>
        <v/>
      </c>
    </row>
    <row r="5586">
      <c r="A5586" t="inlineStr">
        <is>
          <t>Contractors</t>
        </is>
      </c>
      <c r="B5586" s="46">
        <f>'Contractors'!AI550</f>
        <v/>
      </c>
      <c r="C5586" s="84">
        <f>'Contractors'!AG550</f>
        <v/>
      </c>
      <c r="D5586" s="46">
        <f>'Contractors'!AH550</f>
        <v/>
      </c>
      <c r="E5586" s="46">
        <f>IF(OR(B5586="",C5586="",D5586=""),"",D5586*100000+(C5586-DATE(2000,1,1))+ROW()/100000)</f>
        <v/>
      </c>
      <c r="F5586" s="46">
        <f>IF(E5586="","",IF(C5586&gt;WeekEndDate,"",E5586))</f>
        <v/>
      </c>
    </row>
    <row r="5587">
      <c r="A5587" t="inlineStr">
        <is>
          <t>Contractors</t>
        </is>
      </c>
      <c r="B5587" s="46">
        <f>'Contractors'!AI551</f>
        <v/>
      </c>
      <c r="C5587" s="84">
        <f>'Contractors'!AG551</f>
        <v/>
      </c>
      <c r="D5587" s="46">
        <f>'Contractors'!AH551</f>
        <v/>
      </c>
      <c r="E5587" s="46">
        <f>IF(OR(B5587="",C5587="",D5587=""),"",D5587*100000+(C5587-DATE(2000,1,1))+ROW()/100000)</f>
        <v/>
      </c>
      <c r="F5587" s="46">
        <f>IF(E5587="","",IF(C5587&gt;WeekEndDate,"",E5587))</f>
        <v/>
      </c>
    </row>
    <row r="5588">
      <c r="A5588" t="inlineStr">
        <is>
          <t>Contractors</t>
        </is>
      </c>
      <c r="B5588" s="46">
        <f>'Contractors'!AI552</f>
        <v/>
      </c>
      <c r="C5588" s="84">
        <f>'Contractors'!AG552</f>
        <v/>
      </c>
      <c r="D5588" s="46">
        <f>'Contractors'!AH552</f>
        <v/>
      </c>
      <c r="E5588" s="46">
        <f>IF(OR(B5588="",C5588="",D5588=""),"",D5588*100000+(C5588-DATE(2000,1,1))+ROW()/100000)</f>
        <v/>
      </c>
      <c r="F5588" s="46">
        <f>IF(E5588="","",IF(C5588&gt;WeekEndDate,"",E5588))</f>
        <v/>
      </c>
    </row>
    <row r="5589">
      <c r="A5589" t="inlineStr">
        <is>
          <t>Contractors</t>
        </is>
      </c>
      <c r="B5589" s="46">
        <f>'Contractors'!AI553</f>
        <v/>
      </c>
      <c r="C5589" s="84">
        <f>'Contractors'!AG553</f>
        <v/>
      </c>
      <c r="D5589" s="46">
        <f>'Contractors'!AH553</f>
        <v/>
      </c>
      <c r="E5589" s="46">
        <f>IF(OR(B5589="",C5589="",D5589=""),"",D5589*100000+(C5589-DATE(2000,1,1))+ROW()/100000)</f>
        <v/>
      </c>
      <c r="F5589" s="46">
        <f>IF(E5589="","",IF(C5589&gt;WeekEndDate,"",E5589))</f>
        <v/>
      </c>
    </row>
    <row r="5590">
      <c r="A5590" t="inlineStr">
        <is>
          <t>Contractors</t>
        </is>
      </c>
      <c r="B5590" s="46">
        <f>'Contractors'!AI554</f>
        <v/>
      </c>
      <c r="C5590" s="84">
        <f>'Contractors'!AG554</f>
        <v/>
      </c>
      <c r="D5590" s="46">
        <f>'Contractors'!AH554</f>
        <v/>
      </c>
      <c r="E5590" s="46">
        <f>IF(OR(B5590="",C5590="",D5590=""),"",D5590*100000+(C5590-DATE(2000,1,1))+ROW()/100000)</f>
        <v/>
      </c>
      <c r="F5590" s="46">
        <f>IF(E5590="","",IF(C5590&gt;WeekEndDate,"",E5590))</f>
        <v/>
      </c>
    </row>
    <row r="5591">
      <c r="A5591" t="inlineStr">
        <is>
          <t>Contractors</t>
        </is>
      </c>
      <c r="B5591" s="46">
        <f>'Contractors'!AI555</f>
        <v/>
      </c>
      <c r="C5591" s="84">
        <f>'Contractors'!AG555</f>
        <v/>
      </c>
      <c r="D5591" s="46">
        <f>'Contractors'!AH555</f>
        <v/>
      </c>
      <c r="E5591" s="46">
        <f>IF(OR(B5591="",C5591="",D5591=""),"",D5591*100000+(C5591-DATE(2000,1,1))+ROW()/100000)</f>
        <v/>
      </c>
      <c r="F5591" s="46">
        <f>IF(E5591="","",IF(C5591&gt;WeekEndDate,"",E5591))</f>
        <v/>
      </c>
    </row>
    <row r="5592">
      <c r="A5592" t="inlineStr">
        <is>
          <t>Contractors</t>
        </is>
      </c>
      <c r="B5592" s="46">
        <f>'Contractors'!AI556</f>
        <v/>
      </c>
      <c r="C5592" s="84">
        <f>'Contractors'!AG556</f>
        <v/>
      </c>
      <c r="D5592" s="46">
        <f>'Contractors'!AH556</f>
        <v/>
      </c>
      <c r="E5592" s="46">
        <f>IF(OR(B5592="",C5592="",D5592=""),"",D5592*100000+(C5592-DATE(2000,1,1))+ROW()/100000)</f>
        <v/>
      </c>
      <c r="F5592" s="46">
        <f>IF(E5592="","",IF(C5592&gt;WeekEndDate,"",E5592))</f>
        <v/>
      </c>
    </row>
    <row r="5593">
      <c r="A5593" t="inlineStr">
        <is>
          <t>Contractors</t>
        </is>
      </c>
      <c r="B5593" s="46">
        <f>'Contractors'!AI557</f>
        <v/>
      </c>
      <c r="C5593" s="84">
        <f>'Contractors'!AG557</f>
        <v/>
      </c>
      <c r="D5593" s="46">
        <f>'Contractors'!AH557</f>
        <v/>
      </c>
      <c r="E5593" s="46">
        <f>IF(OR(B5593="",C5593="",D5593=""),"",D5593*100000+(C5593-DATE(2000,1,1))+ROW()/100000)</f>
        <v/>
      </c>
      <c r="F5593" s="46">
        <f>IF(E5593="","",IF(C5593&gt;WeekEndDate,"",E5593))</f>
        <v/>
      </c>
    </row>
    <row r="5594">
      <c r="A5594" t="inlineStr">
        <is>
          <t>Contractors</t>
        </is>
      </c>
      <c r="B5594" s="46">
        <f>'Contractors'!AI558</f>
        <v/>
      </c>
      <c r="C5594" s="84">
        <f>'Contractors'!AG558</f>
        <v/>
      </c>
      <c r="D5594" s="46">
        <f>'Contractors'!AH558</f>
        <v/>
      </c>
      <c r="E5594" s="46">
        <f>IF(OR(B5594="",C5594="",D5594=""),"",D5594*100000+(C5594-DATE(2000,1,1))+ROW()/100000)</f>
        <v/>
      </c>
      <c r="F5594" s="46">
        <f>IF(E5594="","",IF(C5594&gt;WeekEndDate,"",E5594))</f>
        <v/>
      </c>
    </row>
    <row r="5595">
      <c r="A5595" t="inlineStr">
        <is>
          <t>Contractors</t>
        </is>
      </c>
      <c r="B5595" s="46">
        <f>'Contractors'!AI559</f>
        <v/>
      </c>
      <c r="C5595" s="84">
        <f>'Contractors'!AG559</f>
        <v/>
      </c>
      <c r="D5595" s="46">
        <f>'Contractors'!AH559</f>
        <v/>
      </c>
      <c r="E5595" s="46">
        <f>IF(OR(B5595="",C5595="",D5595=""),"",D5595*100000+(C5595-DATE(2000,1,1))+ROW()/100000)</f>
        <v/>
      </c>
      <c r="F5595" s="46">
        <f>IF(E5595="","",IF(C5595&gt;WeekEndDate,"",E5595))</f>
        <v/>
      </c>
    </row>
    <row r="5596">
      <c r="A5596" t="inlineStr">
        <is>
          <t>Contractors</t>
        </is>
      </c>
      <c r="B5596" s="46">
        <f>'Contractors'!AI560</f>
        <v/>
      </c>
      <c r="C5596" s="84">
        <f>'Contractors'!AG560</f>
        <v/>
      </c>
      <c r="D5596" s="46">
        <f>'Contractors'!AH560</f>
        <v/>
      </c>
      <c r="E5596" s="46">
        <f>IF(OR(B5596="",C5596="",D5596=""),"",D5596*100000+(C5596-DATE(2000,1,1))+ROW()/100000)</f>
        <v/>
      </c>
      <c r="F5596" s="46">
        <f>IF(E5596="","",IF(C5596&gt;WeekEndDate,"",E5596))</f>
        <v/>
      </c>
    </row>
    <row r="5597">
      <c r="A5597" t="inlineStr">
        <is>
          <t>Contractors</t>
        </is>
      </c>
      <c r="B5597" s="46">
        <f>'Contractors'!AI561</f>
        <v/>
      </c>
      <c r="C5597" s="84">
        <f>'Contractors'!AG561</f>
        <v/>
      </c>
      <c r="D5597" s="46">
        <f>'Contractors'!AH561</f>
        <v/>
      </c>
      <c r="E5597" s="46">
        <f>IF(OR(B5597="",C5597="",D5597=""),"",D5597*100000+(C5597-DATE(2000,1,1))+ROW()/100000)</f>
        <v/>
      </c>
      <c r="F5597" s="46">
        <f>IF(E5597="","",IF(C5597&gt;WeekEndDate,"",E5597))</f>
        <v/>
      </c>
    </row>
    <row r="5598">
      <c r="A5598" t="inlineStr">
        <is>
          <t>Contractors</t>
        </is>
      </c>
      <c r="B5598" s="46">
        <f>'Contractors'!AI562</f>
        <v/>
      </c>
      <c r="C5598" s="84">
        <f>'Contractors'!AG562</f>
        <v/>
      </c>
      <c r="D5598" s="46">
        <f>'Contractors'!AH562</f>
        <v/>
      </c>
      <c r="E5598" s="46">
        <f>IF(OR(B5598="",C5598="",D5598=""),"",D5598*100000+(C5598-DATE(2000,1,1))+ROW()/100000)</f>
        <v/>
      </c>
      <c r="F5598" s="46">
        <f>IF(E5598="","",IF(C5598&gt;WeekEndDate,"",E5598))</f>
        <v/>
      </c>
    </row>
    <row r="5599">
      <c r="A5599" t="inlineStr">
        <is>
          <t>Contractors</t>
        </is>
      </c>
      <c r="B5599" s="46">
        <f>'Contractors'!AI563</f>
        <v/>
      </c>
      <c r="C5599" s="84">
        <f>'Contractors'!AG563</f>
        <v/>
      </c>
      <c r="D5599" s="46">
        <f>'Contractors'!AH563</f>
        <v/>
      </c>
      <c r="E5599" s="46">
        <f>IF(OR(B5599="",C5599="",D5599=""),"",D5599*100000+(C5599-DATE(2000,1,1))+ROW()/100000)</f>
        <v/>
      </c>
      <c r="F5599" s="46">
        <f>IF(E5599="","",IF(C5599&gt;WeekEndDate,"",E5599))</f>
        <v/>
      </c>
    </row>
    <row r="5600">
      <c r="A5600" t="inlineStr">
        <is>
          <t>Contractors</t>
        </is>
      </c>
      <c r="B5600" s="46">
        <f>'Contractors'!AI564</f>
        <v/>
      </c>
      <c r="C5600" s="84">
        <f>'Contractors'!AG564</f>
        <v/>
      </c>
      <c r="D5600" s="46">
        <f>'Contractors'!AH564</f>
        <v/>
      </c>
      <c r="E5600" s="46">
        <f>IF(OR(B5600="",C5600="",D5600=""),"",D5600*100000+(C5600-DATE(2000,1,1))+ROW()/100000)</f>
        <v/>
      </c>
      <c r="F5600" s="46">
        <f>IF(E5600="","",IF(C5600&gt;WeekEndDate,"",E5600))</f>
        <v/>
      </c>
    </row>
    <row r="5601">
      <c r="A5601" t="inlineStr">
        <is>
          <t>Contractors</t>
        </is>
      </c>
      <c r="B5601" s="46">
        <f>'Contractors'!AI565</f>
        <v/>
      </c>
      <c r="C5601" s="84">
        <f>'Contractors'!AG565</f>
        <v/>
      </c>
      <c r="D5601" s="46">
        <f>'Contractors'!AH565</f>
        <v/>
      </c>
      <c r="E5601" s="46">
        <f>IF(OR(B5601="",C5601="",D5601=""),"",D5601*100000+(C5601-DATE(2000,1,1))+ROW()/100000)</f>
        <v/>
      </c>
      <c r="F5601" s="46">
        <f>IF(E5601="","",IF(C5601&gt;WeekEndDate,"",E5601))</f>
        <v/>
      </c>
    </row>
    <row r="5602">
      <c r="A5602" t="inlineStr">
        <is>
          <t>Contractors</t>
        </is>
      </c>
      <c r="B5602" s="46">
        <f>'Contractors'!AI566</f>
        <v/>
      </c>
      <c r="C5602" s="84">
        <f>'Contractors'!AG566</f>
        <v/>
      </c>
      <c r="D5602" s="46">
        <f>'Contractors'!AH566</f>
        <v/>
      </c>
      <c r="E5602" s="46">
        <f>IF(OR(B5602="",C5602="",D5602=""),"",D5602*100000+(C5602-DATE(2000,1,1))+ROW()/100000)</f>
        <v/>
      </c>
      <c r="F5602" s="46">
        <f>IF(E5602="","",IF(C5602&gt;WeekEndDate,"",E5602))</f>
        <v/>
      </c>
    </row>
    <row r="5603">
      <c r="A5603" t="inlineStr">
        <is>
          <t>Contractors</t>
        </is>
      </c>
      <c r="B5603" s="46">
        <f>'Contractors'!AI567</f>
        <v/>
      </c>
      <c r="C5603" s="84">
        <f>'Contractors'!AG567</f>
        <v/>
      </c>
      <c r="D5603" s="46">
        <f>'Contractors'!AH567</f>
        <v/>
      </c>
      <c r="E5603" s="46">
        <f>IF(OR(B5603="",C5603="",D5603=""),"",D5603*100000+(C5603-DATE(2000,1,1))+ROW()/100000)</f>
        <v/>
      </c>
      <c r="F5603" s="46">
        <f>IF(E5603="","",IF(C5603&gt;WeekEndDate,"",E5603))</f>
        <v/>
      </c>
    </row>
    <row r="5604">
      <c r="A5604" t="inlineStr">
        <is>
          <t>Contractors</t>
        </is>
      </c>
      <c r="B5604" s="46">
        <f>'Contractors'!AI568</f>
        <v/>
      </c>
      <c r="C5604" s="84">
        <f>'Contractors'!AG568</f>
        <v/>
      </c>
      <c r="D5604" s="46">
        <f>'Contractors'!AH568</f>
        <v/>
      </c>
      <c r="E5604" s="46">
        <f>IF(OR(B5604="",C5604="",D5604=""),"",D5604*100000+(C5604-DATE(2000,1,1))+ROW()/100000)</f>
        <v/>
      </c>
      <c r="F5604" s="46">
        <f>IF(E5604="","",IF(C5604&gt;WeekEndDate,"",E5604))</f>
        <v/>
      </c>
    </row>
    <row r="5605">
      <c r="A5605" t="inlineStr">
        <is>
          <t>Contractors</t>
        </is>
      </c>
      <c r="B5605" s="46">
        <f>'Contractors'!AI569</f>
        <v/>
      </c>
      <c r="C5605" s="84">
        <f>'Contractors'!AG569</f>
        <v/>
      </c>
      <c r="D5605" s="46">
        <f>'Contractors'!AH569</f>
        <v/>
      </c>
      <c r="E5605" s="46">
        <f>IF(OR(B5605="",C5605="",D5605=""),"",D5605*100000+(C5605-DATE(2000,1,1))+ROW()/100000)</f>
        <v/>
      </c>
      <c r="F5605" s="46">
        <f>IF(E5605="","",IF(C5605&gt;WeekEndDate,"",E5605))</f>
        <v/>
      </c>
    </row>
    <row r="5606">
      <c r="A5606" t="inlineStr">
        <is>
          <t>Contractors</t>
        </is>
      </c>
      <c r="B5606" s="46">
        <f>'Contractors'!AI570</f>
        <v/>
      </c>
      <c r="C5606" s="84">
        <f>'Contractors'!AG570</f>
        <v/>
      </c>
      <c r="D5606" s="46">
        <f>'Contractors'!AH570</f>
        <v/>
      </c>
      <c r="E5606" s="46">
        <f>IF(OR(B5606="",C5606="",D5606=""),"",D5606*100000+(C5606-DATE(2000,1,1))+ROW()/100000)</f>
        <v/>
      </c>
      <c r="F5606" s="46">
        <f>IF(E5606="","",IF(C5606&gt;WeekEndDate,"",E5606))</f>
        <v/>
      </c>
    </row>
    <row r="5607">
      <c r="A5607" t="inlineStr">
        <is>
          <t>Contractors</t>
        </is>
      </c>
      <c r="B5607" s="46">
        <f>'Contractors'!AI571</f>
        <v/>
      </c>
      <c r="C5607" s="84">
        <f>'Contractors'!AG571</f>
        <v/>
      </c>
      <c r="D5607" s="46">
        <f>'Contractors'!AH571</f>
        <v/>
      </c>
      <c r="E5607" s="46">
        <f>IF(OR(B5607="",C5607="",D5607=""),"",D5607*100000+(C5607-DATE(2000,1,1))+ROW()/100000)</f>
        <v/>
      </c>
      <c r="F5607" s="46">
        <f>IF(E5607="","",IF(C5607&gt;WeekEndDate,"",E5607))</f>
        <v/>
      </c>
    </row>
    <row r="5608">
      <c r="A5608" t="inlineStr">
        <is>
          <t>Contractors</t>
        </is>
      </c>
      <c r="B5608" s="46">
        <f>'Contractors'!AI572</f>
        <v/>
      </c>
      <c r="C5608" s="84">
        <f>'Contractors'!AG572</f>
        <v/>
      </c>
      <c r="D5608" s="46">
        <f>'Contractors'!AH572</f>
        <v/>
      </c>
      <c r="E5608" s="46">
        <f>IF(OR(B5608="",C5608="",D5608=""),"",D5608*100000+(C5608-DATE(2000,1,1))+ROW()/100000)</f>
        <v/>
      </c>
      <c r="F5608" s="46">
        <f>IF(E5608="","",IF(C5608&gt;WeekEndDate,"",E5608))</f>
        <v/>
      </c>
    </row>
    <row r="5609">
      <c r="A5609" t="inlineStr">
        <is>
          <t>Contractors</t>
        </is>
      </c>
      <c r="B5609" s="46">
        <f>'Contractors'!AI573</f>
        <v/>
      </c>
      <c r="C5609" s="84">
        <f>'Contractors'!AG573</f>
        <v/>
      </c>
      <c r="D5609" s="46">
        <f>'Contractors'!AH573</f>
        <v/>
      </c>
      <c r="E5609" s="46">
        <f>IF(OR(B5609="",C5609="",D5609=""),"",D5609*100000+(C5609-DATE(2000,1,1))+ROW()/100000)</f>
        <v/>
      </c>
      <c r="F5609" s="46">
        <f>IF(E5609="","",IF(C5609&gt;WeekEndDate,"",E5609))</f>
        <v/>
      </c>
    </row>
    <row r="5610">
      <c r="A5610" t="inlineStr">
        <is>
          <t>Contractors</t>
        </is>
      </c>
      <c r="B5610" s="46">
        <f>'Contractors'!AI574</f>
        <v/>
      </c>
      <c r="C5610" s="84">
        <f>'Contractors'!AG574</f>
        <v/>
      </c>
      <c r="D5610" s="46">
        <f>'Contractors'!AH574</f>
        <v/>
      </c>
      <c r="E5610" s="46">
        <f>IF(OR(B5610="",C5610="",D5610=""),"",D5610*100000+(C5610-DATE(2000,1,1))+ROW()/100000)</f>
        <v/>
      </c>
      <c r="F5610" s="46">
        <f>IF(E5610="","",IF(C5610&gt;WeekEndDate,"",E5610))</f>
        <v/>
      </c>
    </row>
    <row r="5611">
      <c r="A5611" t="inlineStr">
        <is>
          <t>Contractors</t>
        </is>
      </c>
      <c r="B5611" s="46">
        <f>'Contractors'!AI575</f>
        <v/>
      </c>
      <c r="C5611" s="84">
        <f>'Contractors'!AG575</f>
        <v/>
      </c>
      <c r="D5611" s="46">
        <f>'Contractors'!AH575</f>
        <v/>
      </c>
      <c r="E5611" s="46">
        <f>IF(OR(B5611="",C5611="",D5611=""),"",D5611*100000+(C5611-DATE(2000,1,1))+ROW()/100000)</f>
        <v/>
      </c>
      <c r="F5611" s="46">
        <f>IF(E5611="","",IF(C5611&gt;WeekEndDate,"",E5611))</f>
        <v/>
      </c>
    </row>
    <row r="5612">
      <c r="A5612" t="inlineStr">
        <is>
          <t>Contractors</t>
        </is>
      </c>
      <c r="B5612" s="46">
        <f>'Contractors'!AI576</f>
        <v/>
      </c>
      <c r="C5612" s="84">
        <f>'Contractors'!AG576</f>
        <v/>
      </c>
      <c r="D5612" s="46">
        <f>'Contractors'!AH576</f>
        <v/>
      </c>
      <c r="E5612" s="46">
        <f>IF(OR(B5612="",C5612="",D5612=""),"",D5612*100000+(C5612-DATE(2000,1,1))+ROW()/100000)</f>
        <v/>
      </c>
      <c r="F5612" s="46">
        <f>IF(E5612="","",IF(C5612&gt;WeekEndDate,"",E5612))</f>
        <v/>
      </c>
    </row>
    <row r="5613">
      <c r="A5613" t="inlineStr">
        <is>
          <t>Contractors</t>
        </is>
      </c>
      <c r="B5613" s="46">
        <f>'Contractors'!AI577</f>
        <v/>
      </c>
      <c r="C5613" s="84">
        <f>'Contractors'!AG577</f>
        <v/>
      </c>
      <c r="D5613" s="46">
        <f>'Contractors'!AH577</f>
        <v/>
      </c>
      <c r="E5613" s="46">
        <f>IF(OR(B5613="",C5613="",D5613=""),"",D5613*100000+(C5613-DATE(2000,1,1))+ROW()/100000)</f>
        <v/>
      </c>
      <c r="F5613" s="46">
        <f>IF(E5613="","",IF(C5613&gt;WeekEndDate,"",E5613))</f>
        <v/>
      </c>
    </row>
    <row r="5614">
      <c r="A5614" t="inlineStr">
        <is>
          <t>Contractors</t>
        </is>
      </c>
      <c r="B5614" s="46">
        <f>'Contractors'!AI578</f>
        <v/>
      </c>
      <c r="C5614" s="84">
        <f>'Contractors'!AG578</f>
        <v/>
      </c>
      <c r="D5614" s="46">
        <f>'Contractors'!AH578</f>
        <v/>
      </c>
      <c r="E5614" s="46">
        <f>IF(OR(B5614="",C5614="",D5614=""),"",D5614*100000+(C5614-DATE(2000,1,1))+ROW()/100000)</f>
        <v/>
      </c>
      <c r="F5614" s="46">
        <f>IF(E5614="","",IF(C5614&gt;WeekEndDate,"",E5614))</f>
        <v/>
      </c>
    </row>
    <row r="5615">
      <c r="A5615" t="inlineStr">
        <is>
          <t>Contractors</t>
        </is>
      </c>
      <c r="B5615" s="46">
        <f>'Contractors'!AI579</f>
        <v/>
      </c>
      <c r="C5615" s="84">
        <f>'Contractors'!AG579</f>
        <v/>
      </c>
      <c r="D5615" s="46">
        <f>'Contractors'!AH579</f>
        <v/>
      </c>
      <c r="E5615" s="46">
        <f>IF(OR(B5615="",C5615="",D5615=""),"",D5615*100000+(C5615-DATE(2000,1,1))+ROW()/100000)</f>
        <v/>
      </c>
      <c r="F5615" s="46">
        <f>IF(E5615="","",IF(C5615&gt;WeekEndDate,"",E5615))</f>
        <v/>
      </c>
    </row>
    <row r="5616">
      <c r="A5616" t="inlineStr">
        <is>
          <t>Contractors</t>
        </is>
      </c>
      <c r="B5616" s="46">
        <f>'Contractors'!AI580</f>
        <v/>
      </c>
      <c r="C5616" s="84">
        <f>'Contractors'!AG580</f>
        <v/>
      </c>
      <c r="D5616" s="46">
        <f>'Contractors'!AH580</f>
        <v/>
      </c>
      <c r="E5616" s="46">
        <f>IF(OR(B5616="",C5616="",D5616=""),"",D5616*100000+(C5616-DATE(2000,1,1))+ROW()/100000)</f>
        <v/>
      </c>
      <c r="F5616" s="46">
        <f>IF(E5616="","",IF(C5616&gt;WeekEndDate,"",E5616))</f>
        <v/>
      </c>
    </row>
    <row r="5617">
      <c r="A5617" t="inlineStr">
        <is>
          <t>Contractors</t>
        </is>
      </c>
      <c r="B5617" s="46">
        <f>'Contractors'!AI581</f>
        <v/>
      </c>
      <c r="C5617" s="84">
        <f>'Contractors'!AG581</f>
        <v/>
      </c>
      <c r="D5617" s="46">
        <f>'Contractors'!AH581</f>
        <v/>
      </c>
      <c r="E5617" s="46">
        <f>IF(OR(B5617="",C5617="",D5617=""),"",D5617*100000+(C5617-DATE(2000,1,1))+ROW()/100000)</f>
        <v/>
      </c>
      <c r="F5617" s="46">
        <f>IF(E5617="","",IF(C5617&gt;WeekEndDate,"",E5617))</f>
        <v/>
      </c>
    </row>
    <row r="5618">
      <c r="A5618" t="inlineStr">
        <is>
          <t>Contractors</t>
        </is>
      </c>
      <c r="B5618" s="46">
        <f>'Contractors'!AI582</f>
        <v/>
      </c>
      <c r="C5618" s="84">
        <f>'Contractors'!AG582</f>
        <v/>
      </c>
      <c r="D5618" s="46">
        <f>'Contractors'!AH582</f>
        <v/>
      </c>
      <c r="E5618" s="46">
        <f>IF(OR(B5618="",C5618="",D5618=""),"",D5618*100000+(C5618-DATE(2000,1,1))+ROW()/100000)</f>
        <v/>
      </c>
      <c r="F5618" s="46">
        <f>IF(E5618="","",IF(C5618&gt;WeekEndDate,"",E5618))</f>
        <v/>
      </c>
    </row>
    <row r="5619">
      <c r="A5619" t="inlineStr">
        <is>
          <t>Contractors</t>
        </is>
      </c>
      <c r="B5619" s="46">
        <f>'Contractors'!AI583</f>
        <v/>
      </c>
      <c r="C5619" s="84">
        <f>'Contractors'!AG583</f>
        <v/>
      </c>
      <c r="D5619" s="46">
        <f>'Contractors'!AH583</f>
        <v/>
      </c>
      <c r="E5619" s="46">
        <f>IF(OR(B5619="",C5619="",D5619=""),"",D5619*100000+(C5619-DATE(2000,1,1))+ROW()/100000)</f>
        <v/>
      </c>
      <c r="F5619" s="46">
        <f>IF(E5619="","",IF(C5619&gt;WeekEndDate,"",E5619))</f>
        <v/>
      </c>
    </row>
    <row r="5620">
      <c r="A5620" t="inlineStr">
        <is>
          <t>Contractors</t>
        </is>
      </c>
      <c r="B5620" s="46">
        <f>'Contractors'!AI584</f>
        <v/>
      </c>
      <c r="C5620" s="84">
        <f>'Contractors'!AG584</f>
        <v/>
      </c>
      <c r="D5620" s="46">
        <f>'Contractors'!AH584</f>
        <v/>
      </c>
      <c r="E5620" s="46">
        <f>IF(OR(B5620="",C5620="",D5620=""),"",D5620*100000+(C5620-DATE(2000,1,1))+ROW()/100000)</f>
        <v/>
      </c>
      <c r="F5620" s="46">
        <f>IF(E5620="","",IF(C5620&gt;WeekEndDate,"",E5620))</f>
        <v/>
      </c>
    </row>
    <row r="5621">
      <c r="A5621" t="inlineStr">
        <is>
          <t>Contractors</t>
        </is>
      </c>
      <c r="B5621" s="46">
        <f>'Contractors'!AI585</f>
        <v/>
      </c>
      <c r="C5621" s="84">
        <f>'Contractors'!AG585</f>
        <v/>
      </c>
      <c r="D5621" s="46">
        <f>'Contractors'!AH585</f>
        <v/>
      </c>
      <c r="E5621" s="46">
        <f>IF(OR(B5621="",C5621="",D5621=""),"",D5621*100000+(C5621-DATE(2000,1,1))+ROW()/100000)</f>
        <v/>
      </c>
      <c r="F5621" s="46">
        <f>IF(E5621="","",IF(C5621&gt;WeekEndDate,"",E5621))</f>
        <v/>
      </c>
    </row>
    <row r="5622">
      <c r="A5622" t="inlineStr">
        <is>
          <t>Contractors</t>
        </is>
      </c>
      <c r="B5622" s="46">
        <f>'Contractors'!AI586</f>
        <v/>
      </c>
      <c r="C5622" s="84">
        <f>'Contractors'!AG586</f>
        <v/>
      </c>
      <c r="D5622" s="46">
        <f>'Contractors'!AH586</f>
        <v/>
      </c>
      <c r="E5622" s="46">
        <f>IF(OR(B5622="",C5622="",D5622=""),"",D5622*100000+(C5622-DATE(2000,1,1))+ROW()/100000)</f>
        <v/>
      </c>
      <c r="F5622" s="46">
        <f>IF(E5622="","",IF(C5622&gt;WeekEndDate,"",E5622))</f>
        <v/>
      </c>
    </row>
    <row r="5623">
      <c r="A5623" t="inlineStr">
        <is>
          <t>Contractors</t>
        </is>
      </c>
      <c r="B5623" s="46">
        <f>'Contractors'!AI587</f>
        <v/>
      </c>
      <c r="C5623" s="84">
        <f>'Contractors'!AG587</f>
        <v/>
      </c>
      <c r="D5623" s="46">
        <f>'Contractors'!AH587</f>
        <v/>
      </c>
      <c r="E5623" s="46">
        <f>IF(OR(B5623="",C5623="",D5623=""),"",D5623*100000+(C5623-DATE(2000,1,1))+ROW()/100000)</f>
        <v/>
      </c>
      <c r="F5623" s="46">
        <f>IF(E5623="","",IF(C5623&gt;WeekEndDate,"",E5623))</f>
        <v/>
      </c>
    </row>
    <row r="5624">
      <c r="A5624" t="inlineStr">
        <is>
          <t>Contractors</t>
        </is>
      </c>
      <c r="B5624" s="46">
        <f>'Contractors'!AI588</f>
        <v/>
      </c>
      <c r="C5624" s="84">
        <f>'Contractors'!AG588</f>
        <v/>
      </c>
      <c r="D5624" s="46">
        <f>'Contractors'!AH588</f>
        <v/>
      </c>
      <c r="E5624" s="46">
        <f>IF(OR(B5624="",C5624="",D5624=""),"",D5624*100000+(C5624-DATE(2000,1,1))+ROW()/100000)</f>
        <v/>
      </c>
      <c r="F5624" s="46">
        <f>IF(E5624="","",IF(C5624&gt;WeekEndDate,"",E5624))</f>
        <v/>
      </c>
    </row>
    <row r="5625">
      <c r="A5625" t="inlineStr">
        <is>
          <t>Contractors</t>
        </is>
      </c>
      <c r="B5625" s="46">
        <f>'Contractors'!AI589</f>
        <v/>
      </c>
      <c r="C5625" s="84">
        <f>'Contractors'!AG589</f>
        <v/>
      </c>
      <c r="D5625" s="46">
        <f>'Contractors'!AH589</f>
        <v/>
      </c>
      <c r="E5625" s="46">
        <f>IF(OR(B5625="",C5625="",D5625=""),"",D5625*100000+(C5625-DATE(2000,1,1))+ROW()/100000)</f>
        <v/>
      </c>
      <c r="F5625" s="46">
        <f>IF(E5625="","",IF(C5625&gt;WeekEndDate,"",E5625))</f>
        <v/>
      </c>
    </row>
    <row r="5626">
      <c r="A5626" t="inlineStr">
        <is>
          <t>Contractors</t>
        </is>
      </c>
      <c r="B5626" s="46">
        <f>'Contractors'!AI590</f>
        <v/>
      </c>
      <c r="C5626" s="84">
        <f>'Contractors'!AG590</f>
        <v/>
      </c>
      <c r="D5626" s="46">
        <f>'Contractors'!AH590</f>
        <v/>
      </c>
      <c r="E5626" s="46">
        <f>IF(OR(B5626="",C5626="",D5626=""),"",D5626*100000+(C5626-DATE(2000,1,1))+ROW()/100000)</f>
        <v/>
      </c>
      <c r="F5626" s="46">
        <f>IF(E5626="","",IF(C5626&gt;WeekEndDate,"",E5626))</f>
        <v/>
      </c>
    </row>
    <row r="5627">
      <c r="A5627" t="inlineStr">
        <is>
          <t>Contractors</t>
        </is>
      </c>
      <c r="B5627" s="46">
        <f>'Contractors'!AI591</f>
        <v/>
      </c>
      <c r="C5627" s="84">
        <f>'Contractors'!AG591</f>
        <v/>
      </c>
      <c r="D5627" s="46">
        <f>'Contractors'!AH591</f>
        <v/>
      </c>
      <c r="E5627" s="46">
        <f>IF(OR(B5627="",C5627="",D5627=""),"",D5627*100000+(C5627-DATE(2000,1,1))+ROW()/100000)</f>
        <v/>
      </c>
      <c r="F5627" s="46">
        <f>IF(E5627="","",IF(C5627&gt;WeekEndDate,"",E5627))</f>
        <v/>
      </c>
    </row>
    <row r="5628">
      <c r="A5628" t="inlineStr">
        <is>
          <t>Contractors</t>
        </is>
      </c>
      <c r="B5628" s="46">
        <f>'Contractors'!AI592</f>
        <v/>
      </c>
      <c r="C5628" s="84">
        <f>'Contractors'!AG592</f>
        <v/>
      </c>
      <c r="D5628" s="46">
        <f>'Contractors'!AH592</f>
        <v/>
      </c>
      <c r="E5628" s="46">
        <f>IF(OR(B5628="",C5628="",D5628=""),"",D5628*100000+(C5628-DATE(2000,1,1))+ROW()/100000)</f>
        <v/>
      </c>
      <c r="F5628" s="46">
        <f>IF(E5628="","",IF(C5628&gt;WeekEndDate,"",E5628))</f>
        <v/>
      </c>
    </row>
    <row r="5629">
      <c r="A5629" t="inlineStr">
        <is>
          <t>Contractors</t>
        </is>
      </c>
      <c r="B5629" s="46">
        <f>'Contractors'!AI593</f>
        <v/>
      </c>
      <c r="C5629" s="84">
        <f>'Contractors'!AG593</f>
        <v/>
      </c>
      <c r="D5629" s="46">
        <f>'Contractors'!AH593</f>
        <v/>
      </c>
      <c r="E5629" s="46">
        <f>IF(OR(B5629="",C5629="",D5629=""),"",D5629*100000+(C5629-DATE(2000,1,1))+ROW()/100000)</f>
        <v/>
      </c>
      <c r="F5629" s="46">
        <f>IF(E5629="","",IF(C5629&gt;WeekEndDate,"",E5629))</f>
        <v/>
      </c>
    </row>
    <row r="5630">
      <c r="A5630" t="inlineStr">
        <is>
          <t>Contractors</t>
        </is>
      </c>
      <c r="B5630" s="46">
        <f>'Contractors'!AI594</f>
        <v/>
      </c>
      <c r="C5630" s="84">
        <f>'Contractors'!AG594</f>
        <v/>
      </c>
      <c r="D5630" s="46">
        <f>'Contractors'!AH594</f>
        <v/>
      </c>
      <c r="E5630" s="46">
        <f>IF(OR(B5630="",C5630="",D5630=""),"",D5630*100000+(C5630-DATE(2000,1,1))+ROW()/100000)</f>
        <v/>
      </c>
      <c r="F5630" s="46">
        <f>IF(E5630="","",IF(C5630&gt;WeekEndDate,"",E5630))</f>
        <v/>
      </c>
    </row>
    <row r="5631">
      <c r="A5631" t="inlineStr">
        <is>
          <t>Contractors</t>
        </is>
      </c>
      <c r="B5631" s="46">
        <f>'Contractors'!AI595</f>
        <v/>
      </c>
      <c r="C5631" s="84">
        <f>'Contractors'!AG595</f>
        <v/>
      </c>
      <c r="D5631" s="46">
        <f>'Contractors'!AH595</f>
        <v/>
      </c>
      <c r="E5631" s="46">
        <f>IF(OR(B5631="",C5631="",D5631=""),"",D5631*100000+(C5631-DATE(2000,1,1))+ROW()/100000)</f>
        <v/>
      </c>
      <c r="F5631" s="46">
        <f>IF(E5631="","",IF(C5631&gt;WeekEndDate,"",E5631))</f>
        <v/>
      </c>
    </row>
    <row r="5632">
      <c r="A5632" t="inlineStr">
        <is>
          <t>Contractors</t>
        </is>
      </c>
      <c r="B5632" s="46">
        <f>'Contractors'!AI596</f>
        <v/>
      </c>
      <c r="C5632" s="84">
        <f>'Contractors'!AG596</f>
        <v/>
      </c>
      <c r="D5632" s="46">
        <f>'Contractors'!AH596</f>
        <v/>
      </c>
      <c r="E5632" s="46">
        <f>IF(OR(B5632="",C5632="",D5632=""),"",D5632*100000+(C5632-DATE(2000,1,1))+ROW()/100000)</f>
        <v/>
      </c>
      <c r="F5632" s="46">
        <f>IF(E5632="","",IF(C5632&gt;WeekEndDate,"",E5632))</f>
        <v/>
      </c>
    </row>
    <row r="5633">
      <c r="A5633" t="inlineStr">
        <is>
          <t>Contractors</t>
        </is>
      </c>
      <c r="B5633" s="46">
        <f>'Contractors'!AI597</f>
        <v/>
      </c>
      <c r="C5633" s="84">
        <f>'Contractors'!AG597</f>
        <v/>
      </c>
      <c r="D5633" s="46">
        <f>'Contractors'!AH597</f>
        <v/>
      </c>
      <c r="E5633" s="46">
        <f>IF(OR(B5633="",C5633="",D5633=""),"",D5633*100000+(C5633-DATE(2000,1,1))+ROW()/100000)</f>
        <v/>
      </c>
      <c r="F5633" s="46">
        <f>IF(E5633="","",IF(C5633&gt;WeekEndDate,"",E5633))</f>
        <v/>
      </c>
    </row>
    <row r="5634">
      <c r="A5634" t="inlineStr">
        <is>
          <t>Contractors</t>
        </is>
      </c>
      <c r="B5634" s="46">
        <f>'Contractors'!AI598</f>
        <v/>
      </c>
      <c r="C5634" s="84">
        <f>'Contractors'!AG598</f>
        <v/>
      </c>
      <c r="D5634" s="46">
        <f>'Contractors'!AH598</f>
        <v/>
      </c>
      <c r="E5634" s="46">
        <f>IF(OR(B5634="",C5634="",D5634=""),"",D5634*100000+(C5634-DATE(2000,1,1))+ROW()/100000)</f>
        <v/>
      </c>
      <c r="F5634" s="46">
        <f>IF(E5634="","",IF(C5634&gt;WeekEndDate,"",E5634))</f>
        <v/>
      </c>
    </row>
    <row r="5635">
      <c r="A5635" t="inlineStr">
        <is>
          <t>Contractors</t>
        </is>
      </c>
      <c r="B5635" s="46">
        <f>'Contractors'!AI599</f>
        <v/>
      </c>
      <c r="C5635" s="84">
        <f>'Contractors'!AG599</f>
        <v/>
      </c>
      <c r="D5635" s="46">
        <f>'Contractors'!AH599</f>
        <v/>
      </c>
      <c r="E5635" s="46">
        <f>IF(OR(B5635="",C5635="",D5635=""),"",D5635*100000+(C5635-DATE(2000,1,1))+ROW()/100000)</f>
        <v/>
      </c>
      <c r="F5635" s="46">
        <f>IF(E5635="","",IF(C5635&gt;WeekEndDate,"",E5635))</f>
        <v/>
      </c>
    </row>
    <row r="5636">
      <c r="A5636" t="inlineStr">
        <is>
          <t>Contractors</t>
        </is>
      </c>
      <c r="B5636" s="46">
        <f>'Contractors'!AI600</f>
        <v/>
      </c>
      <c r="C5636" s="84">
        <f>'Contractors'!AG600</f>
        <v/>
      </c>
      <c r="D5636" s="46">
        <f>'Contractors'!AH600</f>
        <v/>
      </c>
      <c r="E5636" s="46">
        <f>IF(OR(B5636="",C5636="",D5636=""),"",D5636*100000+(C5636-DATE(2000,1,1))+ROW()/100000)</f>
        <v/>
      </c>
      <c r="F5636" s="46">
        <f>IF(E5636="","",IF(C5636&gt;WeekEndDate,"",E5636))</f>
        <v/>
      </c>
    </row>
    <row r="5637">
      <c r="A5637" t="inlineStr">
        <is>
          <t>Contractors</t>
        </is>
      </c>
      <c r="B5637" s="46">
        <f>'Contractors'!AI601</f>
        <v/>
      </c>
      <c r="C5637" s="84">
        <f>'Contractors'!AG601</f>
        <v/>
      </c>
      <c r="D5637" s="46">
        <f>'Contractors'!AH601</f>
        <v/>
      </c>
      <c r="E5637" s="46">
        <f>IF(OR(B5637="",C5637="",D5637=""),"",D5637*100000+(C5637-DATE(2000,1,1))+ROW()/100000)</f>
        <v/>
      </c>
      <c r="F5637" s="46">
        <f>IF(E5637="","",IF(C5637&gt;WeekEndDate,"",E5637))</f>
        <v/>
      </c>
    </row>
    <row r="5638">
      <c r="A5638" t="inlineStr">
        <is>
          <t>Contractors</t>
        </is>
      </c>
      <c r="B5638" s="46">
        <f>'Contractors'!AI602</f>
        <v/>
      </c>
      <c r="C5638" s="84">
        <f>'Contractors'!AG602</f>
        <v/>
      </c>
      <c r="D5638" s="46">
        <f>'Contractors'!AH602</f>
        <v/>
      </c>
      <c r="E5638" s="46">
        <f>IF(OR(B5638="",C5638="",D5638=""),"",D5638*100000+(C5638-DATE(2000,1,1))+ROW()/100000)</f>
        <v/>
      </c>
      <c r="F5638" s="46">
        <f>IF(E5638="","",IF(C5638&gt;WeekEndDate,"",E5638))</f>
        <v/>
      </c>
    </row>
    <row r="5639">
      <c r="A5639" t="inlineStr">
        <is>
          <t>Contractors</t>
        </is>
      </c>
      <c r="B5639" s="46">
        <f>'Contractors'!AI603</f>
        <v/>
      </c>
      <c r="C5639" s="84">
        <f>'Contractors'!AG603</f>
        <v/>
      </c>
      <c r="D5639" s="46">
        <f>'Contractors'!AH603</f>
        <v/>
      </c>
      <c r="E5639" s="46">
        <f>IF(OR(B5639="",C5639="",D5639=""),"",D5639*100000+(C5639-DATE(2000,1,1))+ROW()/100000)</f>
        <v/>
      </c>
      <c r="F5639" s="46">
        <f>IF(E5639="","",IF(C5639&gt;WeekEndDate,"",E5639))</f>
        <v/>
      </c>
    </row>
    <row r="5640">
      <c r="A5640" t="inlineStr">
        <is>
          <t>Contractors</t>
        </is>
      </c>
      <c r="B5640" s="46">
        <f>'Contractors'!AI604</f>
        <v/>
      </c>
      <c r="C5640" s="84">
        <f>'Contractors'!AG604</f>
        <v/>
      </c>
      <c r="D5640" s="46">
        <f>'Contractors'!AH604</f>
        <v/>
      </c>
      <c r="E5640" s="46">
        <f>IF(OR(B5640="",C5640="",D5640=""),"",D5640*100000+(C5640-DATE(2000,1,1))+ROW()/100000)</f>
        <v/>
      </c>
      <c r="F5640" s="46">
        <f>IF(E5640="","",IF(C5640&gt;WeekEndDate,"",E5640))</f>
        <v/>
      </c>
    </row>
    <row r="5641">
      <c r="A5641" t="inlineStr">
        <is>
          <t>Contractors</t>
        </is>
      </c>
      <c r="B5641" s="46">
        <f>'Contractors'!AI605</f>
        <v/>
      </c>
      <c r="C5641" s="84">
        <f>'Contractors'!AG605</f>
        <v/>
      </c>
      <c r="D5641" s="46">
        <f>'Contractors'!AH605</f>
        <v/>
      </c>
      <c r="E5641" s="46">
        <f>IF(OR(B5641="",C5641="",D5641=""),"",D5641*100000+(C5641-DATE(2000,1,1))+ROW()/100000)</f>
        <v/>
      </c>
      <c r="F5641" s="46">
        <f>IF(E5641="","",IF(C5641&gt;WeekEndDate,"",E5641))</f>
        <v/>
      </c>
    </row>
    <row r="5642">
      <c r="A5642" t="inlineStr">
        <is>
          <t>Contractors</t>
        </is>
      </c>
      <c r="B5642" s="46">
        <f>'Contractors'!AI606</f>
        <v/>
      </c>
      <c r="C5642" s="84">
        <f>'Contractors'!AG606</f>
        <v/>
      </c>
      <c r="D5642" s="46">
        <f>'Contractors'!AH606</f>
        <v/>
      </c>
      <c r="E5642" s="46">
        <f>IF(OR(B5642="",C5642="",D5642=""),"",D5642*100000+(C5642-DATE(2000,1,1))+ROW()/100000)</f>
        <v/>
      </c>
      <c r="F5642" s="46">
        <f>IF(E5642="","",IF(C5642&gt;WeekEndDate,"",E5642))</f>
        <v/>
      </c>
    </row>
    <row r="5643">
      <c r="A5643" t="inlineStr">
        <is>
          <t>Contractors</t>
        </is>
      </c>
      <c r="B5643" s="46">
        <f>'Contractors'!AI607</f>
        <v/>
      </c>
      <c r="C5643" s="84">
        <f>'Contractors'!AG607</f>
        <v/>
      </c>
      <c r="D5643" s="46">
        <f>'Contractors'!AH607</f>
        <v/>
      </c>
      <c r="E5643" s="46">
        <f>IF(OR(B5643="",C5643="",D5643=""),"",D5643*100000+(C5643-DATE(2000,1,1))+ROW()/100000)</f>
        <v/>
      </c>
      <c r="F5643" s="46">
        <f>IF(E5643="","",IF(C5643&gt;WeekEndDate,"",E5643))</f>
        <v/>
      </c>
    </row>
    <row r="5644">
      <c r="A5644" t="inlineStr">
        <is>
          <t>Contractors</t>
        </is>
      </c>
      <c r="B5644" s="46">
        <f>'Contractors'!AI608</f>
        <v/>
      </c>
      <c r="C5644" s="84">
        <f>'Contractors'!AG608</f>
        <v/>
      </c>
      <c r="D5644" s="46">
        <f>'Contractors'!AH608</f>
        <v/>
      </c>
      <c r="E5644" s="46">
        <f>IF(OR(B5644="",C5644="",D5644=""),"",D5644*100000+(C5644-DATE(2000,1,1))+ROW()/100000)</f>
        <v/>
      </c>
      <c r="F5644" s="46">
        <f>IF(E5644="","",IF(C5644&gt;WeekEndDate,"",E5644))</f>
        <v/>
      </c>
    </row>
    <row r="5645">
      <c r="A5645" t="inlineStr">
        <is>
          <t>Contractors</t>
        </is>
      </c>
      <c r="B5645" s="46">
        <f>'Contractors'!AI609</f>
        <v/>
      </c>
      <c r="C5645" s="84">
        <f>'Contractors'!AG609</f>
        <v/>
      </c>
      <c r="D5645" s="46">
        <f>'Contractors'!AH609</f>
        <v/>
      </c>
      <c r="E5645" s="46">
        <f>IF(OR(B5645="",C5645="",D5645=""),"",D5645*100000+(C5645-DATE(2000,1,1))+ROW()/100000)</f>
        <v/>
      </c>
      <c r="F5645" s="46">
        <f>IF(E5645="","",IF(C5645&gt;WeekEndDate,"",E5645))</f>
        <v/>
      </c>
    </row>
    <row r="5646">
      <c r="A5646" t="inlineStr">
        <is>
          <t>Contractors</t>
        </is>
      </c>
      <c r="B5646" s="46">
        <f>'Contractors'!AI610</f>
        <v/>
      </c>
      <c r="C5646" s="84">
        <f>'Contractors'!AG610</f>
        <v/>
      </c>
      <c r="D5646" s="46">
        <f>'Contractors'!AH610</f>
        <v/>
      </c>
      <c r="E5646" s="46">
        <f>IF(OR(B5646="",C5646="",D5646=""),"",D5646*100000+(C5646-DATE(2000,1,1))+ROW()/100000)</f>
        <v/>
      </c>
      <c r="F5646" s="46">
        <f>IF(E5646="","",IF(C5646&gt;WeekEndDate,"",E5646))</f>
        <v/>
      </c>
    </row>
    <row r="5647">
      <c r="A5647" t="inlineStr">
        <is>
          <t>Contractors</t>
        </is>
      </c>
      <c r="B5647" s="46">
        <f>'Contractors'!AI611</f>
        <v/>
      </c>
      <c r="C5647" s="84">
        <f>'Contractors'!AG611</f>
        <v/>
      </c>
      <c r="D5647" s="46">
        <f>'Contractors'!AH611</f>
        <v/>
      </c>
      <c r="E5647" s="46">
        <f>IF(OR(B5647="",C5647="",D5647=""),"",D5647*100000+(C5647-DATE(2000,1,1))+ROW()/100000)</f>
        <v/>
      </c>
      <c r="F5647" s="46">
        <f>IF(E5647="","",IF(C5647&gt;WeekEndDate,"",E5647))</f>
        <v/>
      </c>
    </row>
    <row r="5648">
      <c r="A5648" t="inlineStr">
        <is>
          <t>Contractors</t>
        </is>
      </c>
      <c r="B5648" s="46">
        <f>'Contractors'!AI612</f>
        <v/>
      </c>
      <c r="C5648" s="84">
        <f>'Contractors'!AG612</f>
        <v/>
      </c>
      <c r="D5648" s="46">
        <f>'Contractors'!AH612</f>
        <v/>
      </c>
      <c r="E5648" s="46">
        <f>IF(OR(B5648="",C5648="",D5648=""),"",D5648*100000+(C5648-DATE(2000,1,1))+ROW()/100000)</f>
        <v/>
      </c>
      <c r="F5648" s="46">
        <f>IF(E5648="","",IF(C5648&gt;WeekEndDate,"",E5648))</f>
        <v/>
      </c>
    </row>
    <row r="5649">
      <c r="A5649" t="inlineStr">
        <is>
          <t>Contractors</t>
        </is>
      </c>
      <c r="B5649" s="46">
        <f>'Contractors'!AI613</f>
        <v/>
      </c>
      <c r="C5649" s="84">
        <f>'Contractors'!AG613</f>
        <v/>
      </c>
      <c r="D5649" s="46">
        <f>'Contractors'!AH613</f>
        <v/>
      </c>
      <c r="E5649" s="46">
        <f>IF(OR(B5649="",C5649="",D5649=""),"",D5649*100000+(C5649-DATE(2000,1,1))+ROW()/100000)</f>
        <v/>
      </c>
      <c r="F5649" s="46">
        <f>IF(E5649="","",IF(C5649&gt;WeekEndDate,"",E5649))</f>
        <v/>
      </c>
    </row>
    <row r="5650">
      <c r="A5650" t="inlineStr">
        <is>
          <t>Contractors</t>
        </is>
      </c>
      <c r="B5650" s="46">
        <f>'Contractors'!AI614</f>
        <v/>
      </c>
      <c r="C5650" s="84">
        <f>'Contractors'!AG614</f>
        <v/>
      </c>
      <c r="D5650" s="46">
        <f>'Contractors'!AH614</f>
        <v/>
      </c>
      <c r="E5650" s="46">
        <f>IF(OR(B5650="",C5650="",D5650=""),"",D5650*100000+(C5650-DATE(2000,1,1))+ROW()/100000)</f>
        <v/>
      </c>
      <c r="F5650" s="46">
        <f>IF(E5650="","",IF(C5650&gt;WeekEndDate,"",E5650))</f>
        <v/>
      </c>
    </row>
    <row r="5651">
      <c r="A5651" t="inlineStr">
        <is>
          <t>Contractors</t>
        </is>
      </c>
      <c r="B5651" s="46">
        <f>'Contractors'!AI615</f>
        <v/>
      </c>
      <c r="C5651" s="84">
        <f>'Contractors'!AG615</f>
        <v/>
      </c>
      <c r="D5651" s="46">
        <f>'Contractors'!AH615</f>
        <v/>
      </c>
      <c r="E5651" s="46">
        <f>IF(OR(B5651="",C5651="",D5651=""),"",D5651*100000+(C5651-DATE(2000,1,1))+ROW()/100000)</f>
        <v/>
      </c>
      <c r="F5651" s="46">
        <f>IF(E5651="","",IF(C5651&gt;WeekEndDate,"",E5651))</f>
        <v/>
      </c>
    </row>
    <row r="5652">
      <c r="A5652" t="inlineStr">
        <is>
          <t>Contractors</t>
        </is>
      </c>
      <c r="B5652" s="46">
        <f>'Contractors'!AI616</f>
        <v/>
      </c>
      <c r="C5652" s="84">
        <f>'Contractors'!AG616</f>
        <v/>
      </c>
      <c r="D5652" s="46">
        <f>'Contractors'!AH616</f>
        <v/>
      </c>
      <c r="E5652" s="46">
        <f>IF(OR(B5652="",C5652="",D5652=""),"",D5652*100000+(C5652-DATE(2000,1,1))+ROW()/100000)</f>
        <v/>
      </c>
      <c r="F5652" s="46">
        <f>IF(E5652="","",IF(C5652&gt;WeekEndDate,"",E5652))</f>
        <v/>
      </c>
    </row>
    <row r="5653">
      <c r="A5653" t="inlineStr">
        <is>
          <t>Contractors</t>
        </is>
      </c>
      <c r="B5653" s="46">
        <f>'Contractors'!AI617</f>
        <v/>
      </c>
      <c r="C5653" s="84">
        <f>'Contractors'!AG617</f>
        <v/>
      </c>
      <c r="D5653" s="46">
        <f>'Contractors'!AH617</f>
        <v/>
      </c>
      <c r="E5653" s="46">
        <f>IF(OR(B5653="",C5653="",D5653=""),"",D5653*100000+(C5653-DATE(2000,1,1))+ROW()/100000)</f>
        <v/>
      </c>
      <c r="F5653" s="46">
        <f>IF(E5653="","",IF(C5653&gt;WeekEndDate,"",E5653))</f>
        <v/>
      </c>
    </row>
    <row r="5654">
      <c r="A5654" t="inlineStr">
        <is>
          <t>Contractors</t>
        </is>
      </c>
      <c r="B5654" s="46">
        <f>'Contractors'!AI618</f>
        <v/>
      </c>
      <c r="C5654" s="84">
        <f>'Contractors'!AG618</f>
        <v/>
      </c>
      <c r="D5654" s="46">
        <f>'Contractors'!AH618</f>
        <v/>
      </c>
      <c r="E5654" s="46">
        <f>IF(OR(B5654="",C5654="",D5654=""),"",D5654*100000+(C5654-DATE(2000,1,1))+ROW()/100000)</f>
        <v/>
      </c>
      <c r="F5654" s="46">
        <f>IF(E5654="","",IF(C5654&gt;WeekEndDate,"",E5654))</f>
        <v/>
      </c>
    </row>
    <row r="5655">
      <c r="A5655" t="inlineStr">
        <is>
          <t>Contractors</t>
        </is>
      </c>
      <c r="B5655" s="46">
        <f>'Contractors'!AI619</f>
        <v/>
      </c>
      <c r="C5655" s="84">
        <f>'Contractors'!AG619</f>
        <v/>
      </c>
      <c r="D5655" s="46">
        <f>'Contractors'!AH619</f>
        <v/>
      </c>
      <c r="E5655" s="46">
        <f>IF(OR(B5655="",C5655="",D5655=""),"",D5655*100000+(C5655-DATE(2000,1,1))+ROW()/100000)</f>
        <v/>
      </c>
      <c r="F5655" s="46">
        <f>IF(E5655="","",IF(C5655&gt;WeekEndDate,"",E5655))</f>
        <v/>
      </c>
    </row>
    <row r="5656">
      <c r="A5656" t="inlineStr">
        <is>
          <t>Contractors</t>
        </is>
      </c>
      <c r="B5656" s="46">
        <f>'Contractors'!AI620</f>
        <v/>
      </c>
      <c r="C5656" s="84">
        <f>'Contractors'!AG620</f>
        <v/>
      </c>
      <c r="D5656" s="46">
        <f>'Contractors'!AH620</f>
        <v/>
      </c>
      <c r="E5656" s="46">
        <f>IF(OR(B5656="",C5656="",D5656=""),"",D5656*100000+(C5656-DATE(2000,1,1))+ROW()/100000)</f>
        <v/>
      </c>
      <c r="F5656" s="46">
        <f>IF(E5656="","",IF(C5656&gt;WeekEndDate,"",E5656))</f>
        <v/>
      </c>
    </row>
    <row r="5657">
      <c r="A5657" t="inlineStr">
        <is>
          <t>Contractors</t>
        </is>
      </c>
      <c r="B5657" s="46">
        <f>'Contractors'!AI621</f>
        <v/>
      </c>
      <c r="C5657" s="84">
        <f>'Contractors'!AG621</f>
        <v/>
      </c>
      <c r="D5657" s="46">
        <f>'Contractors'!AH621</f>
        <v/>
      </c>
      <c r="E5657" s="46">
        <f>IF(OR(B5657="",C5657="",D5657=""),"",D5657*100000+(C5657-DATE(2000,1,1))+ROW()/100000)</f>
        <v/>
      </c>
      <c r="F5657" s="46">
        <f>IF(E5657="","",IF(C5657&gt;WeekEndDate,"",E5657))</f>
        <v/>
      </c>
    </row>
    <row r="5658">
      <c r="A5658" t="inlineStr">
        <is>
          <t>Contractors</t>
        </is>
      </c>
      <c r="B5658" s="46">
        <f>'Contractors'!AI622</f>
        <v/>
      </c>
      <c r="C5658" s="84">
        <f>'Contractors'!AG622</f>
        <v/>
      </c>
      <c r="D5658" s="46">
        <f>'Contractors'!AH622</f>
        <v/>
      </c>
      <c r="E5658" s="46">
        <f>IF(OR(B5658="",C5658="",D5658=""),"",D5658*100000+(C5658-DATE(2000,1,1))+ROW()/100000)</f>
        <v/>
      </c>
      <c r="F5658" s="46">
        <f>IF(E5658="","",IF(C5658&gt;WeekEndDate,"",E5658))</f>
        <v/>
      </c>
    </row>
    <row r="5659">
      <c r="A5659" t="inlineStr">
        <is>
          <t>Contractors</t>
        </is>
      </c>
      <c r="B5659" s="46">
        <f>'Contractors'!AI623</f>
        <v/>
      </c>
      <c r="C5659" s="84">
        <f>'Contractors'!AG623</f>
        <v/>
      </c>
      <c r="D5659" s="46">
        <f>'Contractors'!AH623</f>
        <v/>
      </c>
      <c r="E5659" s="46">
        <f>IF(OR(B5659="",C5659="",D5659=""),"",D5659*100000+(C5659-DATE(2000,1,1))+ROW()/100000)</f>
        <v/>
      </c>
      <c r="F5659" s="46">
        <f>IF(E5659="","",IF(C5659&gt;WeekEndDate,"",E5659))</f>
        <v/>
      </c>
    </row>
    <row r="5660">
      <c r="A5660" t="inlineStr">
        <is>
          <t>Contractors</t>
        </is>
      </c>
      <c r="B5660" s="46">
        <f>'Contractors'!AI624</f>
        <v/>
      </c>
      <c r="C5660" s="84">
        <f>'Contractors'!AG624</f>
        <v/>
      </c>
      <c r="D5660" s="46">
        <f>'Contractors'!AH624</f>
        <v/>
      </c>
      <c r="E5660" s="46">
        <f>IF(OR(B5660="",C5660="",D5660=""),"",D5660*100000+(C5660-DATE(2000,1,1))+ROW()/100000)</f>
        <v/>
      </c>
      <c r="F5660" s="46">
        <f>IF(E5660="","",IF(C5660&gt;WeekEndDate,"",E5660))</f>
        <v/>
      </c>
    </row>
    <row r="5661">
      <c r="A5661" t="inlineStr">
        <is>
          <t>Contractors</t>
        </is>
      </c>
      <c r="B5661" s="46">
        <f>'Contractors'!AI625</f>
        <v/>
      </c>
      <c r="C5661" s="84">
        <f>'Contractors'!AG625</f>
        <v/>
      </c>
      <c r="D5661" s="46">
        <f>'Contractors'!AH625</f>
        <v/>
      </c>
      <c r="E5661" s="46">
        <f>IF(OR(B5661="",C5661="",D5661=""),"",D5661*100000+(C5661-DATE(2000,1,1))+ROW()/100000)</f>
        <v/>
      </c>
      <c r="F5661" s="46">
        <f>IF(E5661="","",IF(C5661&gt;WeekEndDate,"",E5661))</f>
        <v/>
      </c>
    </row>
    <row r="5662">
      <c r="A5662" t="inlineStr">
        <is>
          <t>Contractors</t>
        </is>
      </c>
      <c r="B5662" s="46">
        <f>'Contractors'!AI626</f>
        <v/>
      </c>
      <c r="C5662" s="84">
        <f>'Contractors'!AG626</f>
        <v/>
      </c>
      <c r="D5662" s="46">
        <f>'Contractors'!AH626</f>
        <v/>
      </c>
      <c r="E5662" s="46">
        <f>IF(OR(B5662="",C5662="",D5662=""),"",D5662*100000+(C5662-DATE(2000,1,1))+ROW()/100000)</f>
        <v/>
      </c>
      <c r="F5662" s="46">
        <f>IF(E5662="","",IF(C5662&gt;WeekEndDate,"",E5662))</f>
        <v/>
      </c>
    </row>
    <row r="5663">
      <c r="A5663" t="inlineStr">
        <is>
          <t>Contractors</t>
        </is>
      </c>
      <c r="B5663" s="46">
        <f>'Contractors'!AI627</f>
        <v/>
      </c>
      <c r="C5663" s="84">
        <f>'Contractors'!AG627</f>
        <v/>
      </c>
      <c r="D5663" s="46">
        <f>'Contractors'!AH627</f>
        <v/>
      </c>
      <c r="E5663" s="46">
        <f>IF(OR(B5663="",C5663="",D5663=""),"",D5663*100000+(C5663-DATE(2000,1,1))+ROW()/100000)</f>
        <v/>
      </c>
      <c r="F5663" s="46">
        <f>IF(E5663="","",IF(C5663&gt;WeekEndDate,"",E5663))</f>
        <v/>
      </c>
    </row>
    <row r="5664">
      <c r="A5664" t="inlineStr">
        <is>
          <t>Contractors</t>
        </is>
      </c>
      <c r="B5664" s="46">
        <f>'Contractors'!AI628</f>
        <v/>
      </c>
      <c r="C5664" s="84">
        <f>'Contractors'!AG628</f>
        <v/>
      </c>
      <c r="D5664" s="46">
        <f>'Contractors'!AH628</f>
        <v/>
      </c>
      <c r="E5664" s="46">
        <f>IF(OR(B5664="",C5664="",D5664=""),"",D5664*100000+(C5664-DATE(2000,1,1))+ROW()/100000)</f>
        <v/>
      </c>
      <c r="F5664" s="46">
        <f>IF(E5664="","",IF(C5664&gt;WeekEndDate,"",E5664))</f>
        <v/>
      </c>
    </row>
    <row r="5665">
      <c r="A5665" t="inlineStr">
        <is>
          <t>Contractors</t>
        </is>
      </c>
      <c r="B5665" s="46">
        <f>'Contractors'!AI629</f>
        <v/>
      </c>
      <c r="C5665" s="84">
        <f>'Contractors'!AG629</f>
        <v/>
      </c>
      <c r="D5665" s="46">
        <f>'Contractors'!AH629</f>
        <v/>
      </c>
      <c r="E5665" s="46">
        <f>IF(OR(B5665="",C5665="",D5665=""),"",D5665*100000+(C5665-DATE(2000,1,1))+ROW()/100000)</f>
        <v/>
      </c>
      <c r="F5665" s="46">
        <f>IF(E5665="","",IF(C5665&gt;WeekEndDate,"",E5665))</f>
        <v/>
      </c>
    </row>
    <row r="5666">
      <c r="A5666" t="inlineStr">
        <is>
          <t>Contractors</t>
        </is>
      </c>
      <c r="B5666" s="46">
        <f>'Contractors'!AI630</f>
        <v/>
      </c>
      <c r="C5666" s="84">
        <f>'Contractors'!AG630</f>
        <v/>
      </c>
      <c r="D5666" s="46">
        <f>'Contractors'!AH630</f>
        <v/>
      </c>
      <c r="E5666" s="46">
        <f>IF(OR(B5666="",C5666="",D5666=""),"",D5666*100000+(C5666-DATE(2000,1,1))+ROW()/100000)</f>
        <v/>
      </c>
      <c r="F5666" s="46">
        <f>IF(E5666="","",IF(C5666&gt;WeekEndDate,"",E5666))</f>
        <v/>
      </c>
    </row>
    <row r="5667">
      <c r="A5667" t="inlineStr">
        <is>
          <t>Contractors</t>
        </is>
      </c>
      <c r="B5667" s="46">
        <f>'Contractors'!AI631</f>
        <v/>
      </c>
      <c r="C5667" s="84">
        <f>'Contractors'!AG631</f>
        <v/>
      </c>
      <c r="D5667" s="46">
        <f>'Contractors'!AH631</f>
        <v/>
      </c>
      <c r="E5667" s="46">
        <f>IF(OR(B5667="",C5667="",D5667=""),"",D5667*100000+(C5667-DATE(2000,1,1))+ROW()/100000)</f>
        <v/>
      </c>
      <c r="F5667" s="46">
        <f>IF(E5667="","",IF(C5667&gt;WeekEndDate,"",E5667))</f>
        <v/>
      </c>
    </row>
    <row r="5668">
      <c r="A5668" t="inlineStr">
        <is>
          <t>Contractors</t>
        </is>
      </c>
      <c r="B5668" s="46">
        <f>'Contractors'!AI632</f>
        <v/>
      </c>
      <c r="C5668" s="84">
        <f>'Contractors'!AG632</f>
        <v/>
      </c>
      <c r="D5668" s="46">
        <f>'Contractors'!AH632</f>
        <v/>
      </c>
      <c r="E5668" s="46">
        <f>IF(OR(B5668="",C5668="",D5668=""),"",D5668*100000+(C5668-DATE(2000,1,1))+ROW()/100000)</f>
        <v/>
      </c>
      <c r="F5668" s="46">
        <f>IF(E5668="","",IF(C5668&gt;WeekEndDate,"",E5668))</f>
        <v/>
      </c>
    </row>
    <row r="5669">
      <c r="A5669" t="inlineStr">
        <is>
          <t>Contractors</t>
        </is>
      </c>
      <c r="B5669" s="46">
        <f>'Contractors'!AI633</f>
        <v/>
      </c>
      <c r="C5669" s="84">
        <f>'Contractors'!AG633</f>
        <v/>
      </c>
      <c r="D5669" s="46">
        <f>'Contractors'!AH633</f>
        <v/>
      </c>
      <c r="E5669" s="46">
        <f>IF(OR(B5669="",C5669="",D5669=""),"",D5669*100000+(C5669-DATE(2000,1,1))+ROW()/100000)</f>
        <v/>
      </c>
      <c r="F5669" s="46">
        <f>IF(E5669="","",IF(C5669&gt;WeekEndDate,"",E5669))</f>
        <v/>
      </c>
    </row>
    <row r="5670">
      <c r="A5670" t="inlineStr">
        <is>
          <t>Contractors</t>
        </is>
      </c>
      <c r="B5670" s="46">
        <f>'Contractors'!AI634</f>
        <v/>
      </c>
      <c r="C5670" s="84">
        <f>'Contractors'!AG634</f>
        <v/>
      </c>
      <c r="D5670" s="46">
        <f>'Contractors'!AH634</f>
        <v/>
      </c>
      <c r="E5670" s="46">
        <f>IF(OR(B5670="",C5670="",D5670=""),"",D5670*100000+(C5670-DATE(2000,1,1))+ROW()/100000)</f>
        <v/>
      </c>
      <c r="F5670" s="46">
        <f>IF(E5670="","",IF(C5670&gt;WeekEndDate,"",E5670))</f>
        <v/>
      </c>
    </row>
    <row r="5671">
      <c r="A5671" t="inlineStr">
        <is>
          <t>Contractors</t>
        </is>
      </c>
      <c r="B5671" s="46">
        <f>'Contractors'!AI635</f>
        <v/>
      </c>
      <c r="C5671" s="84">
        <f>'Contractors'!AG635</f>
        <v/>
      </c>
      <c r="D5671" s="46">
        <f>'Contractors'!AH635</f>
        <v/>
      </c>
      <c r="E5671" s="46">
        <f>IF(OR(B5671="",C5671="",D5671=""),"",D5671*100000+(C5671-DATE(2000,1,1))+ROW()/100000)</f>
        <v/>
      </c>
      <c r="F5671" s="46">
        <f>IF(E5671="","",IF(C5671&gt;WeekEndDate,"",E5671))</f>
        <v/>
      </c>
    </row>
    <row r="5672">
      <c r="A5672" t="inlineStr">
        <is>
          <t>Contractors</t>
        </is>
      </c>
      <c r="B5672" s="46">
        <f>'Contractors'!AI636</f>
        <v/>
      </c>
      <c r="C5672" s="84">
        <f>'Contractors'!AG636</f>
        <v/>
      </c>
      <c r="D5672" s="46">
        <f>'Contractors'!AH636</f>
        <v/>
      </c>
      <c r="E5672" s="46">
        <f>IF(OR(B5672="",C5672="",D5672=""),"",D5672*100000+(C5672-DATE(2000,1,1))+ROW()/100000)</f>
        <v/>
      </c>
      <c r="F5672" s="46">
        <f>IF(E5672="","",IF(C5672&gt;WeekEndDate,"",E5672))</f>
        <v/>
      </c>
    </row>
    <row r="5673">
      <c r="A5673" t="inlineStr">
        <is>
          <t>Contractors</t>
        </is>
      </c>
      <c r="B5673" s="46">
        <f>'Contractors'!AI637</f>
        <v/>
      </c>
      <c r="C5673" s="84">
        <f>'Contractors'!AG637</f>
        <v/>
      </c>
      <c r="D5673" s="46">
        <f>'Contractors'!AH637</f>
        <v/>
      </c>
      <c r="E5673" s="46">
        <f>IF(OR(B5673="",C5673="",D5673=""),"",D5673*100000+(C5673-DATE(2000,1,1))+ROW()/100000)</f>
        <v/>
      </c>
      <c r="F5673" s="46">
        <f>IF(E5673="","",IF(C5673&gt;WeekEndDate,"",E5673))</f>
        <v/>
      </c>
    </row>
    <row r="5674">
      <c r="A5674" t="inlineStr">
        <is>
          <t>Contractors</t>
        </is>
      </c>
      <c r="B5674" s="46">
        <f>'Contractors'!AI638</f>
        <v/>
      </c>
      <c r="C5674" s="84">
        <f>'Contractors'!AG638</f>
        <v/>
      </c>
      <c r="D5674" s="46">
        <f>'Contractors'!AH638</f>
        <v/>
      </c>
      <c r="E5674" s="46">
        <f>IF(OR(B5674="",C5674="",D5674=""),"",D5674*100000+(C5674-DATE(2000,1,1))+ROW()/100000)</f>
        <v/>
      </c>
      <c r="F5674" s="46">
        <f>IF(E5674="","",IF(C5674&gt;WeekEndDate,"",E5674))</f>
        <v/>
      </c>
    </row>
    <row r="5675">
      <c r="A5675" t="inlineStr">
        <is>
          <t>Contractors</t>
        </is>
      </c>
      <c r="B5675" s="46">
        <f>'Contractors'!AI639</f>
        <v/>
      </c>
      <c r="C5675" s="84">
        <f>'Contractors'!AG639</f>
        <v/>
      </c>
      <c r="D5675" s="46">
        <f>'Contractors'!AH639</f>
        <v/>
      </c>
      <c r="E5675" s="46">
        <f>IF(OR(B5675="",C5675="",D5675=""),"",D5675*100000+(C5675-DATE(2000,1,1))+ROW()/100000)</f>
        <v/>
      </c>
      <c r="F5675" s="46">
        <f>IF(E5675="","",IF(C5675&gt;WeekEndDate,"",E5675))</f>
        <v/>
      </c>
    </row>
    <row r="5676">
      <c r="A5676" t="inlineStr">
        <is>
          <t>Contractors</t>
        </is>
      </c>
      <c r="B5676" s="46">
        <f>'Contractors'!AI640</f>
        <v/>
      </c>
      <c r="C5676" s="84">
        <f>'Contractors'!AG640</f>
        <v/>
      </c>
      <c r="D5676" s="46">
        <f>'Contractors'!AH640</f>
        <v/>
      </c>
      <c r="E5676" s="46">
        <f>IF(OR(B5676="",C5676="",D5676=""),"",D5676*100000+(C5676-DATE(2000,1,1))+ROW()/100000)</f>
        <v/>
      </c>
      <c r="F5676" s="46">
        <f>IF(E5676="","",IF(C5676&gt;WeekEndDate,"",E5676))</f>
        <v/>
      </c>
    </row>
    <row r="5677">
      <c r="A5677" t="inlineStr">
        <is>
          <t>Contractors</t>
        </is>
      </c>
      <c r="B5677" s="46">
        <f>'Contractors'!AI641</f>
        <v/>
      </c>
      <c r="C5677" s="84">
        <f>'Contractors'!AG641</f>
        <v/>
      </c>
      <c r="D5677" s="46">
        <f>'Contractors'!AH641</f>
        <v/>
      </c>
      <c r="E5677" s="46">
        <f>IF(OR(B5677="",C5677="",D5677=""),"",D5677*100000+(C5677-DATE(2000,1,1))+ROW()/100000)</f>
        <v/>
      </c>
      <c r="F5677" s="46">
        <f>IF(E5677="","",IF(C5677&gt;WeekEndDate,"",E5677))</f>
        <v/>
      </c>
    </row>
    <row r="5678">
      <c r="A5678" t="inlineStr">
        <is>
          <t>Contractors</t>
        </is>
      </c>
      <c r="B5678" s="46">
        <f>'Contractors'!AI642</f>
        <v/>
      </c>
      <c r="C5678" s="84">
        <f>'Contractors'!AG642</f>
        <v/>
      </c>
      <c r="D5678" s="46">
        <f>'Contractors'!AH642</f>
        <v/>
      </c>
      <c r="E5678" s="46">
        <f>IF(OR(B5678="",C5678="",D5678=""),"",D5678*100000+(C5678-DATE(2000,1,1))+ROW()/100000)</f>
        <v/>
      </c>
      <c r="F5678" s="46">
        <f>IF(E5678="","",IF(C5678&gt;WeekEndDate,"",E5678))</f>
        <v/>
      </c>
    </row>
    <row r="5679">
      <c r="A5679" t="inlineStr">
        <is>
          <t>Contractors</t>
        </is>
      </c>
      <c r="B5679" s="46">
        <f>'Contractors'!AI643</f>
        <v/>
      </c>
      <c r="C5679" s="84">
        <f>'Contractors'!AG643</f>
        <v/>
      </c>
      <c r="D5679" s="46">
        <f>'Contractors'!AH643</f>
        <v/>
      </c>
      <c r="E5679" s="46">
        <f>IF(OR(B5679="",C5679="",D5679=""),"",D5679*100000+(C5679-DATE(2000,1,1))+ROW()/100000)</f>
        <v/>
      </c>
      <c r="F5679" s="46">
        <f>IF(E5679="","",IF(C5679&gt;WeekEndDate,"",E5679))</f>
        <v/>
      </c>
    </row>
    <row r="5680">
      <c r="A5680" t="inlineStr">
        <is>
          <t>Contractors</t>
        </is>
      </c>
      <c r="B5680" s="46">
        <f>'Contractors'!AI644</f>
        <v/>
      </c>
      <c r="C5680" s="84">
        <f>'Contractors'!AG644</f>
        <v/>
      </c>
      <c r="D5680" s="46">
        <f>'Contractors'!AH644</f>
        <v/>
      </c>
      <c r="E5680" s="46">
        <f>IF(OR(B5680="",C5680="",D5680=""),"",D5680*100000+(C5680-DATE(2000,1,1))+ROW()/100000)</f>
        <v/>
      </c>
      <c r="F5680" s="46">
        <f>IF(E5680="","",IF(C5680&gt;WeekEndDate,"",E5680))</f>
        <v/>
      </c>
    </row>
    <row r="5681">
      <c r="A5681" t="inlineStr">
        <is>
          <t>Contractors</t>
        </is>
      </c>
      <c r="B5681" s="46">
        <f>'Contractors'!AI645</f>
        <v/>
      </c>
      <c r="C5681" s="84">
        <f>'Contractors'!AG645</f>
        <v/>
      </c>
      <c r="D5681" s="46">
        <f>'Contractors'!AH645</f>
        <v/>
      </c>
      <c r="E5681" s="46">
        <f>IF(OR(B5681="",C5681="",D5681=""),"",D5681*100000+(C5681-DATE(2000,1,1))+ROW()/100000)</f>
        <v/>
      </c>
      <c r="F5681" s="46">
        <f>IF(E5681="","",IF(C5681&gt;WeekEndDate,"",E5681))</f>
        <v/>
      </c>
    </row>
    <row r="5682">
      <c r="A5682" t="inlineStr">
        <is>
          <t>Contractors</t>
        </is>
      </c>
      <c r="B5682" s="46">
        <f>'Contractors'!AI646</f>
        <v/>
      </c>
      <c r="C5682" s="84">
        <f>'Contractors'!AG646</f>
        <v/>
      </c>
      <c r="D5682" s="46">
        <f>'Contractors'!AH646</f>
        <v/>
      </c>
      <c r="E5682" s="46">
        <f>IF(OR(B5682="",C5682="",D5682=""),"",D5682*100000+(C5682-DATE(2000,1,1))+ROW()/100000)</f>
        <v/>
      </c>
      <c r="F5682" s="46">
        <f>IF(E5682="","",IF(C5682&gt;WeekEndDate,"",E5682))</f>
        <v/>
      </c>
    </row>
    <row r="5683">
      <c r="A5683" t="inlineStr">
        <is>
          <t>Contractors</t>
        </is>
      </c>
      <c r="B5683" s="46">
        <f>'Contractors'!AI647</f>
        <v/>
      </c>
      <c r="C5683" s="84">
        <f>'Contractors'!AG647</f>
        <v/>
      </c>
      <c r="D5683" s="46">
        <f>'Contractors'!AH647</f>
        <v/>
      </c>
      <c r="E5683" s="46">
        <f>IF(OR(B5683="",C5683="",D5683=""),"",D5683*100000+(C5683-DATE(2000,1,1))+ROW()/100000)</f>
        <v/>
      </c>
      <c r="F5683" s="46">
        <f>IF(E5683="","",IF(C5683&gt;WeekEndDate,"",E5683))</f>
        <v/>
      </c>
    </row>
    <row r="5684">
      <c r="A5684" t="inlineStr">
        <is>
          <t>Contractors</t>
        </is>
      </c>
      <c r="B5684" s="46">
        <f>'Contractors'!AI648</f>
        <v/>
      </c>
      <c r="C5684" s="84">
        <f>'Contractors'!AG648</f>
        <v/>
      </c>
      <c r="D5684" s="46">
        <f>'Contractors'!AH648</f>
        <v/>
      </c>
      <c r="E5684" s="46">
        <f>IF(OR(B5684="",C5684="",D5684=""),"",D5684*100000+(C5684-DATE(2000,1,1))+ROW()/100000)</f>
        <v/>
      </c>
      <c r="F5684" s="46">
        <f>IF(E5684="","",IF(C5684&gt;WeekEndDate,"",E5684))</f>
        <v/>
      </c>
    </row>
    <row r="5685">
      <c r="A5685" t="inlineStr">
        <is>
          <t>Contractors</t>
        </is>
      </c>
      <c r="B5685" s="46">
        <f>'Contractors'!AI649</f>
        <v/>
      </c>
      <c r="C5685" s="84">
        <f>'Contractors'!AG649</f>
        <v/>
      </c>
      <c r="D5685" s="46">
        <f>'Contractors'!AH649</f>
        <v/>
      </c>
      <c r="E5685" s="46">
        <f>IF(OR(B5685="",C5685="",D5685=""),"",D5685*100000+(C5685-DATE(2000,1,1))+ROW()/100000)</f>
        <v/>
      </c>
      <c r="F5685" s="46">
        <f>IF(E5685="","",IF(C5685&gt;WeekEndDate,"",E5685))</f>
        <v/>
      </c>
    </row>
    <row r="5686">
      <c r="A5686" t="inlineStr">
        <is>
          <t>Contractors</t>
        </is>
      </c>
      <c r="B5686" s="46">
        <f>'Contractors'!AI650</f>
        <v/>
      </c>
      <c r="C5686" s="84">
        <f>'Contractors'!AG650</f>
        <v/>
      </c>
      <c r="D5686" s="46">
        <f>'Contractors'!AH650</f>
        <v/>
      </c>
      <c r="E5686" s="46">
        <f>IF(OR(B5686="",C5686="",D5686=""),"",D5686*100000+(C5686-DATE(2000,1,1))+ROW()/100000)</f>
        <v/>
      </c>
      <c r="F5686" s="46">
        <f>IF(E5686="","",IF(C5686&gt;WeekEndDate,"",E5686))</f>
        <v/>
      </c>
    </row>
    <row r="5687">
      <c r="A5687" t="inlineStr">
        <is>
          <t>Contractors</t>
        </is>
      </c>
      <c r="B5687" s="46">
        <f>'Contractors'!AI651</f>
        <v/>
      </c>
      <c r="C5687" s="84">
        <f>'Contractors'!AG651</f>
        <v/>
      </c>
      <c r="D5687" s="46">
        <f>'Contractors'!AH651</f>
        <v/>
      </c>
      <c r="E5687" s="46">
        <f>IF(OR(B5687="",C5687="",D5687=""),"",D5687*100000+(C5687-DATE(2000,1,1))+ROW()/100000)</f>
        <v/>
      </c>
      <c r="F5687" s="46">
        <f>IF(E5687="","",IF(C5687&gt;WeekEndDate,"",E5687))</f>
        <v/>
      </c>
    </row>
    <row r="5688">
      <c r="A5688" t="inlineStr">
        <is>
          <t>Contractors</t>
        </is>
      </c>
      <c r="B5688" s="46">
        <f>'Contractors'!AI652</f>
        <v/>
      </c>
      <c r="C5688" s="84">
        <f>'Contractors'!AG652</f>
        <v/>
      </c>
      <c r="D5688" s="46">
        <f>'Contractors'!AH652</f>
        <v/>
      </c>
      <c r="E5688" s="46">
        <f>IF(OR(B5688="",C5688="",D5688=""),"",D5688*100000+(C5688-DATE(2000,1,1))+ROW()/100000)</f>
        <v/>
      </c>
      <c r="F5688" s="46">
        <f>IF(E5688="","",IF(C5688&gt;WeekEndDate,"",E5688))</f>
        <v/>
      </c>
    </row>
    <row r="5689">
      <c r="A5689" t="inlineStr">
        <is>
          <t>Contractors</t>
        </is>
      </c>
      <c r="B5689" s="46">
        <f>'Contractors'!AI653</f>
        <v/>
      </c>
      <c r="C5689" s="84">
        <f>'Contractors'!AG653</f>
        <v/>
      </c>
      <c r="D5689" s="46">
        <f>'Contractors'!AH653</f>
        <v/>
      </c>
      <c r="E5689" s="46">
        <f>IF(OR(B5689="",C5689="",D5689=""),"",D5689*100000+(C5689-DATE(2000,1,1))+ROW()/100000)</f>
        <v/>
      </c>
      <c r="F5689" s="46">
        <f>IF(E5689="","",IF(C5689&gt;WeekEndDate,"",E5689))</f>
        <v/>
      </c>
    </row>
    <row r="5690">
      <c r="A5690" t="inlineStr">
        <is>
          <t>Contractors</t>
        </is>
      </c>
      <c r="B5690" s="46">
        <f>'Contractors'!AI654</f>
        <v/>
      </c>
      <c r="C5690" s="84">
        <f>'Contractors'!AG654</f>
        <v/>
      </c>
      <c r="D5690" s="46">
        <f>'Contractors'!AH654</f>
        <v/>
      </c>
      <c r="E5690" s="46">
        <f>IF(OR(B5690="",C5690="",D5690=""),"",D5690*100000+(C5690-DATE(2000,1,1))+ROW()/100000)</f>
        <v/>
      </c>
      <c r="F5690" s="46">
        <f>IF(E5690="","",IF(C5690&gt;WeekEndDate,"",E5690))</f>
        <v/>
      </c>
    </row>
    <row r="5691">
      <c r="A5691" t="inlineStr">
        <is>
          <t>Contractors</t>
        </is>
      </c>
      <c r="B5691" s="46">
        <f>'Contractors'!AI655</f>
        <v/>
      </c>
      <c r="C5691" s="84">
        <f>'Contractors'!AG655</f>
        <v/>
      </c>
      <c r="D5691" s="46">
        <f>'Contractors'!AH655</f>
        <v/>
      </c>
      <c r="E5691" s="46">
        <f>IF(OR(B5691="",C5691="",D5691=""),"",D5691*100000+(C5691-DATE(2000,1,1))+ROW()/100000)</f>
        <v/>
      </c>
      <c r="F5691" s="46">
        <f>IF(E5691="","",IF(C5691&gt;WeekEndDate,"",E5691))</f>
        <v/>
      </c>
    </row>
    <row r="5692">
      <c r="A5692" t="inlineStr">
        <is>
          <t>Contractors</t>
        </is>
      </c>
      <c r="B5692" s="46">
        <f>'Contractors'!AI656</f>
        <v/>
      </c>
      <c r="C5692" s="84">
        <f>'Contractors'!AG656</f>
        <v/>
      </c>
      <c r="D5692" s="46">
        <f>'Contractors'!AH656</f>
        <v/>
      </c>
      <c r="E5692" s="46">
        <f>IF(OR(B5692="",C5692="",D5692=""),"",D5692*100000+(C5692-DATE(2000,1,1))+ROW()/100000)</f>
        <v/>
      </c>
      <c r="F5692" s="46">
        <f>IF(E5692="","",IF(C5692&gt;WeekEndDate,"",E5692))</f>
        <v/>
      </c>
    </row>
    <row r="5693">
      <c r="A5693" t="inlineStr">
        <is>
          <t>Contractors</t>
        </is>
      </c>
      <c r="B5693" s="46">
        <f>'Contractors'!AI657</f>
        <v/>
      </c>
      <c r="C5693" s="84">
        <f>'Contractors'!AG657</f>
        <v/>
      </c>
      <c r="D5693" s="46">
        <f>'Contractors'!AH657</f>
        <v/>
      </c>
      <c r="E5693" s="46">
        <f>IF(OR(B5693="",C5693="",D5693=""),"",D5693*100000+(C5693-DATE(2000,1,1))+ROW()/100000)</f>
        <v/>
      </c>
      <c r="F5693" s="46">
        <f>IF(E5693="","",IF(C5693&gt;WeekEndDate,"",E5693))</f>
        <v/>
      </c>
    </row>
    <row r="5694">
      <c r="A5694" t="inlineStr">
        <is>
          <t>Contractors</t>
        </is>
      </c>
      <c r="B5694" s="46">
        <f>'Contractors'!AI658</f>
        <v/>
      </c>
      <c r="C5694" s="84">
        <f>'Contractors'!AG658</f>
        <v/>
      </c>
      <c r="D5694" s="46">
        <f>'Contractors'!AH658</f>
        <v/>
      </c>
      <c r="E5694" s="46">
        <f>IF(OR(B5694="",C5694="",D5694=""),"",D5694*100000+(C5694-DATE(2000,1,1))+ROW()/100000)</f>
        <v/>
      </c>
      <c r="F5694" s="46">
        <f>IF(E5694="","",IF(C5694&gt;WeekEndDate,"",E5694))</f>
        <v/>
      </c>
    </row>
    <row r="5695">
      <c r="A5695" t="inlineStr">
        <is>
          <t>Contractors</t>
        </is>
      </c>
      <c r="B5695" s="46">
        <f>'Contractors'!AI659</f>
        <v/>
      </c>
      <c r="C5695" s="84">
        <f>'Contractors'!AG659</f>
        <v/>
      </c>
      <c r="D5695" s="46">
        <f>'Contractors'!AH659</f>
        <v/>
      </c>
      <c r="E5695" s="46">
        <f>IF(OR(B5695="",C5695="",D5695=""),"",D5695*100000+(C5695-DATE(2000,1,1))+ROW()/100000)</f>
        <v/>
      </c>
      <c r="F5695" s="46">
        <f>IF(E5695="","",IF(C5695&gt;WeekEndDate,"",E5695))</f>
        <v/>
      </c>
    </row>
    <row r="5696">
      <c r="A5696" t="inlineStr">
        <is>
          <t>Contractors</t>
        </is>
      </c>
      <c r="B5696" s="46">
        <f>'Contractors'!AI660</f>
        <v/>
      </c>
      <c r="C5696" s="84">
        <f>'Contractors'!AG660</f>
        <v/>
      </c>
      <c r="D5696" s="46">
        <f>'Contractors'!AH660</f>
        <v/>
      </c>
      <c r="E5696" s="46">
        <f>IF(OR(B5696="",C5696="",D5696=""),"",D5696*100000+(C5696-DATE(2000,1,1))+ROW()/100000)</f>
        <v/>
      </c>
      <c r="F5696" s="46">
        <f>IF(E5696="","",IF(C5696&gt;WeekEndDate,"",E5696))</f>
        <v/>
      </c>
    </row>
    <row r="5697">
      <c r="A5697" t="inlineStr">
        <is>
          <t>Contractors</t>
        </is>
      </c>
      <c r="B5697" s="46">
        <f>'Contractors'!AI661</f>
        <v/>
      </c>
      <c r="C5697" s="84">
        <f>'Contractors'!AG661</f>
        <v/>
      </c>
      <c r="D5697" s="46">
        <f>'Contractors'!AH661</f>
        <v/>
      </c>
      <c r="E5697" s="46">
        <f>IF(OR(B5697="",C5697="",D5697=""),"",D5697*100000+(C5697-DATE(2000,1,1))+ROW()/100000)</f>
        <v/>
      </c>
      <c r="F5697" s="46">
        <f>IF(E5697="","",IF(C5697&gt;WeekEndDate,"",E5697))</f>
        <v/>
      </c>
    </row>
    <row r="5698">
      <c r="A5698" t="inlineStr">
        <is>
          <t>Contractors</t>
        </is>
      </c>
      <c r="B5698" s="46">
        <f>'Contractors'!AI662</f>
        <v/>
      </c>
      <c r="C5698" s="84">
        <f>'Contractors'!AG662</f>
        <v/>
      </c>
      <c r="D5698" s="46">
        <f>'Contractors'!AH662</f>
        <v/>
      </c>
      <c r="E5698" s="46">
        <f>IF(OR(B5698="",C5698="",D5698=""),"",D5698*100000+(C5698-DATE(2000,1,1))+ROW()/100000)</f>
        <v/>
      </c>
      <c r="F5698" s="46">
        <f>IF(E5698="","",IF(C5698&gt;WeekEndDate,"",E5698))</f>
        <v/>
      </c>
    </row>
    <row r="5699">
      <c r="A5699" t="inlineStr">
        <is>
          <t>Contractors</t>
        </is>
      </c>
      <c r="B5699" s="46">
        <f>'Contractors'!AI663</f>
        <v/>
      </c>
      <c r="C5699" s="84">
        <f>'Contractors'!AG663</f>
        <v/>
      </c>
      <c r="D5699" s="46">
        <f>'Contractors'!AH663</f>
        <v/>
      </c>
      <c r="E5699" s="46">
        <f>IF(OR(B5699="",C5699="",D5699=""),"",D5699*100000+(C5699-DATE(2000,1,1))+ROW()/100000)</f>
        <v/>
      </c>
      <c r="F5699" s="46">
        <f>IF(E5699="","",IF(C5699&gt;WeekEndDate,"",E5699))</f>
        <v/>
      </c>
    </row>
    <row r="5700">
      <c r="A5700" t="inlineStr">
        <is>
          <t>Contractors</t>
        </is>
      </c>
      <c r="B5700" s="46">
        <f>'Contractors'!AI664</f>
        <v/>
      </c>
      <c r="C5700" s="84">
        <f>'Contractors'!AG664</f>
        <v/>
      </c>
      <c r="D5700" s="46">
        <f>'Contractors'!AH664</f>
        <v/>
      </c>
      <c r="E5700" s="46">
        <f>IF(OR(B5700="",C5700="",D5700=""),"",D5700*100000+(C5700-DATE(2000,1,1))+ROW()/100000)</f>
        <v/>
      </c>
      <c r="F5700" s="46">
        <f>IF(E5700="","",IF(C5700&gt;WeekEndDate,"",E5700))</f>
        <v/>
      </c>
    </row>
    <row r="5701">
      <c r="A5701" t="inlineStr">
        <is>
          <t>Contractors</t>
        </is>
      </c>
      <c r="B5701" s="46">
        <f>'Contractors'!AI665</f>
        <v/>
      </c>
      <c r="C5701" s="84">
        <f>'Contractors'!AG665</f>
        <v/>
      </c>
      <c r="D5701" s="46">
        <f>'Contractors'!AH665</f>
        <v/>
      </c>
      <c r="E5701" s="46">
        <f>IF(OR(B5701="",C5701="",D5701=""),"",D5701*100000+(C5701-DATE(2000,1,1))+ROW()/100000)</f>
        <v/>
      </c>
      <c r="F5701" s="46">
        <f>IF(E5701="","",IF(C5701&gt;WeekEndDate,"",E5701))</f>
        <v/>
      </c>
    </row>
    <row r="5702">
      <c r="A5702" t="inlineStr">
        <is>
          <t>Contractors</t>
        </is>
      </c>
      <c r="B5702" s="46">
        <f>'Contractors'!AI666</f>
        <v/>
      </c>
      <c r="C5702" s="84">
        <f>'Contractors'!AG666</f>
        <v/>
      </c>
      <c r="D5702" s="46">
        <f>'Contractors'!AH666</f>
        <v/>
      </c>
      <c r="E5702" s="46">
        <f>IF(OR(B5702="",C5702="",D5702=""),"",D5702*100000+(C5702-DATE(2000,1,1))+ROW()/100000)</f>
        <v/>
      </c>
      <c r="F5702" s="46">
        <f>IF(E5702="","",IF(C5702&gt;WeekEndDate,"",E5702))</f>
        <v/>
      </c>
    </row>
    <row r="5703">
      <c r="A5703" t="inlineStr">
        <is>
          <t>Contractors</t>
        </is>
      </c>
      <c r="B5703" s="46">
        <f>'Contractors'!AI667</f>
        <v/>
      </c>
      <c r="C5703" s="84">
        <f>'Contractors'!AG667</f>
        <v/>
      </c>
      <c r="D5703" s="46">
        <f>'Contractors'!AH667</f>
        <v/>
      </c>
      <c r="E5703" s="46">
        <f>IF(OR(B5703="",C5703="",D5703=""),"",D5703*100000+(C5703-DATE(2000,1,1))+ROW()/100000)</f>
        <v/>
      </c>
      <c r="F5703" s="46">
        <f>IF(E5703="","",IF(C5703&gt;WeekEndDate,"",E5703))</f>
        <v/>
      </c>
    </row>
    <row r="5704">
      <c r="A5704" t="inlineStr">
        <is>
          <t>Contractors</t>
        </is>
      </c>
      <c r="B5704" s="46">
        <f>'Contractors'!AI668</f>
        <v/>
      </c>
      <c r="C5704" s="84">
        <f>'Contractors'!AG668</f>
        <v/>
      </c>
      <c r="D5704" s="46">
        <f>'Contractors'!AH668</f>
        <v/>
      </c>
      <c r="E5704" s="46">
        <f>IF(OR(B5704="",C5704="",D5704=""),"",D5704*100000+(C5704-DATE(2000,1,1))+ROW()/100000)</f>
        <v/>
      </c>
      <c r="F5704" s="46">
        <f>IF(E5704="","",IF(C5704&gt;WeekEndDate,"",E5704))</f>
        <v/>
      </c>
    </row>
    <row r="5705">
      <c r="A5705" t="inlineStr">
        <is>
          <t>Contractors</t>
        </is>
      </c>
      <c r="B5705" s="46">
        <f>'Contractors'!AI669</f>
        <v/>
      </c>
      <c r="C5705" s="84">
        <f>'Contractors'!AG669</f>
        <v/>
      </c>
      <c r="D5705" s="46">
        <f>'Contractors'!AH669</f>
        <v/>
      </c>
      <c r="E5705" s="46">
        <f>IF(OR(B5705="",C5705="",D5705=""),"",D5705*100000+(C5705-DATE(2000,1,1))+ROW()/100000)</f>
        <v/>
      </c>
      <c r="F5705" s="46">
        <f>IF(E5705="","",IF(C5705&gt;WeekEndDate,"",E5705))</f>
        <v/>
      </c>
    </row>
    <row r="5706">
      <c r="A5706" t="inlineStr">
        <is>
          <t>Contractors</t>
        </is>
      </c>
      <c r="B5706" s="46">
        <f>'Contractors'!AI670</f>
        <v/>
      </c>
      <c r="C5706" s="84">
        <f>'Contractors'!AG670</f>
        <v/>
      </c>
      <c r="D5706" s="46">
        <f>'Contractors'!AH670</f>
        <v/>
      </c>
      <c r="E5706" s="46">
        <f>IF(OR(B5706="",C5706="",D5706=""),"",D5706*100000+(C5706-DATE(2000,1,1))+ROW()/100000)</f>
        <v/>
      </c>
      <c r="F5706" s="46">
        <f>IF(E5706="","",IF(C5706&gt;WeekEndDate,"",E5706))</f>
        <v/>
      </c>
    </row>
    <row r="5707">
      <c r="A5707" t="inlineStr">
        <is>
          <t>Contractors</t>
        </is>
      </c>
      <c r="B5707" s="46">
        <f>'Contractors'!AI671</f>
        <v/>
      </c>
      <c r="C5707" s="84">
        <f>'Contractors'!AG671</f>
        <v/>
      </c>
      <c r="D5707" s="46">
        <f>'Contractors'!AH671</f>
        <v/>
      </c>
      <c r="E5707" s="46">
        <f>IF(OR(B5707="",C5707="",D5707=""),"",D5707*100000+(C5707-DATE(2000,1,1))+ROW()/100000)</f>
        <v/>
      </c>
      <c r="F5707" s="46">
        <f>IF(E5707="","",IF(C5707&gt;WeekEndDate,"",E5707))</f>
        <v/>
      </c>
    </row>
    <row r="5708">
      <c r="A5708" t="inlineStr">
        <is>
          <t>Contractors</t>
        </is>
      </c>
      <c r="B5708" s="46">
        <f>'Contractors'!AI672</f>
        <v/>
      </c>
      <c r="C5708" s="84">
        <f>'Contractors'!AG672</f>
        <v/>
      </c>
      <c r="D5708" s="46">
        <f>'Contractors'!AH672</f>
        <v/>
      </c>
      <c r="E5708" s="46">
        <f>IF(OR(B5708="",C5708="",D5708=""),"",D5708*100000+(C5708-DATE(2000,1,1))+ROW()/100000)</f>
        <v/>
      </c>
      <c r="F5708" s="46">
        <f>IF(E5708="","",IF(C5708&gt;WeekEndDate,"",E5708))</f>
        <v/>
      </c>
    </row>
    <row r="5709">
      <c r="A5709" t="inlineStr">
        <is>
          <t>Contractors</t>
        </is>
      </c>
      <c r="B5709" s="46">
        <f>'Contractors'!AI673</f>
        <v/>
      </c>
      <c r="C5709" s="84">
        <f>'Contractors'!AG673</f>
        <v/>
      </c>
      <c r="D5709" s="46">
        <f>'Contractors'!AH673</f>
        <v/>
      </c>
      <c r="E5709" s="46">
        <f>IF(OR(B5709="",C5709="",D5709=""),"",D5709*100000+(C5709-DATE(2000,1,1))+ROW()/100000)</f>
        <v/>
      </c>
      <c r="F5709" s="46">
        <f>IF(E5709="","",IF(C5709&gt;WeekEndDate,"",E5709))</f>
        <v/>
      </c>
    </row>
    <row r="5710">
      <c r="A5710" t="inlineStr">
        <is>
          <t>Contractors</t>
        </is>
      </c>
      <c r="B5710" s="46">
        <f>'Contractors'!AI674</f>
        <v/>
      </c>
      <c r="C5710" s="84">
        <f>'Contractors'!AG674</f>
        <v/>
      </c>
      <c r="D5710" s="46">
        <f>'Contractors'!AH674</f>
        <v/>
      </c>
      <c r="E5710" s="46">
        <f>IF(OR(B5710="",C5710="",D5710=""),"",D5710*100000+(C5710-DATE(2000,1,1))+ROW()/100000)</f>
        <v/>
      </c>
      <c r="F5710" s="46">
        <f>IF(E5710="","",IF(C5710&gt;WeekEndDate,"",E5710))</f>
        <v/>
      </c>
    </row>
    <row r="5711">
      <c r="A5711" t="inlineStr">
        <is>
          <t>Contractors</t>
        </is>
      </c>
      <c r="B5711" s="46">
        <f>'Contractors'!AI675</f>
        <v/>
      </c>
      <c r="C5711" s="84">
        <f>'Contractors'!AG675</f>
        <v/>
      </c>
      <c r="D5711" s="46">
        <f>'Contractors'!AH675</f>
        <v/>
      </c>
      <c r="E5711" s="46">
        <f>IF(OR(B5711="",C5711="",D5711=""),"",D5711*100000+(C5711-DATE(2000,1,1))+ROW()/100000)</f>
        <v/>
      </c>
      <c r="F5711" s="46">
        <f>IF(E5711="","",IF(C5711&gt;WeekEndDate,"",E5711))</f>
        <v/>
      </c>
    </row>
    <row r="5712">
      <c r="A5712" t="inlineStr">
        <is>
          <t>Contractors</t>
        </is>
      </c>
      <c r="B5712" s="46">
        <f>'Contractors'!AI676</f>
        <v/>
      </c>
      <c r="C5712" s="84">
        <f>'Contractors'!AG676</f>
        <v/>
      </c>
      <c r="D5712" s="46">
        <f>'Contractors'!AH676</f>
        <v/>
      </c>
      <c r="E5712" s="46">
        <f>IF(OR(B5712="",C5712="",D5712=""),"",D5712*100000+(C5712-DATE(2000,1,1))+ROW()/100000)</f>
        <v/>
      </c>
      <c r="F5712" s="46">
        <f>IF(E5712="","",IF(C5712&gt;WeekEndDate,"",E5712))</f>
        <v/>
      </c>
    </row>
    <row r="5713">
      <c r="A5713" t="inlineStr">
        <is>
          <t>Contractors</t>
        </is>
      </c>
      <c r="B5713" s="46">
        <f>'Contractors'!AI677</f>
        <v/>
      </c>
      <c r="C5713" s="84">
        <f>'Contractors'!AG677</f>
        <v/>
      </c>
      <c r="D5713" s="46">
        <f>'Contractors'!AH677</f>
        <v/>
      </c>
      <c r="E5713" s="46">
        <f>IF(OR(B5713="",C5713="",D5713=""),"",D5713*100000+(C5713-DATE(2000,1,1))+ROW()/100000)</f>
        <v/>
      </c>
      <c r="F5713" s="46">
        <f>IF(E5713="","",IF(C5713&gt;WeekEndDate,"",E5713))</f>
        <v/>
      </c>
    </row>
    <row r="5714">
      <c r="A5714" t="inlineStr">
        <is>
          <t>Contractors</t>
        </is>
      </c>
      <c r="B5714" s="46">
        <f>'Contractors'!AI678</f>
        <v/>
      </c>
      <c r="C5714" s="84">
        <f>'Contractors'!AG678</f>
        <v/>
      </c>
      <c r="D5714" s="46">
        <f>'Contractors'!AH678</f>
        <v/>
      </c>
      <c r="E5714" s="46">
        <f>IF(OR(B5714="",C5714="",D5714=""),"",D5714*100000+(C5714-DATE(2000,1,1))+ROW()/100000)</f>
        <v/>
      </c>
      <c r="F5714" s="46">
        <f>IF(E5714="","",IF(C5714&gt;WeekEndDate,"",E5714))</f>
        <v/>
      </c>
    </row>
    <row r="5715">
      <c r="A5715" t="inlineStr">
        <is>
          <t>Contractors</t>
        </is>
      </c>
      <c r="B5715" s="46">
        <f>'Contractors'!AI679</f>
        <v/>
      </c>
      <c r="C5715" s="84">
        <f>'Contractors'!AG679</f>
        <v/>
      </c>
      <c r="D5715" s="46">
        <f>'Contractors'!AH679</f>
        <v/>
      </c>
      <c r="E5715" s="46">
        <f>IF(OR(B5715="",C5715="",D5715=""),"",D5715*100000+(C5715-DATE(2000,1,1))+ROW()/100000)</f>
        <v/>
      </c>
      <c r="F5715" s="46">
        <f>IF(E5715="","",IF(C5715&gt;WeekEndDate,"",E5715))</f>
        <v/>
      </c>
    </row>
    <row r="5716">
      <c r="A5716" t="inlineStr">
        <is>
          <t>Contractors</t>
        </is>
      </c>
      <c r="B5716" s="46">
        <f>'Contractors'!AI680</f>
        <v/>
      </c>
      <c r="C5716" s="84">
        <f>'Contractors'!AG680</f>
        <v/>
      </c>
      <c r="D5716" s="46">
        <f>'Contractors'!AH680</f>
        <v/>
      </c>
      <c r="E5716" s="46">
        <f>IF(OR(B5716="",C5716="",D5716=""),"",D5716*100000+(C5716-DATE(2000,1,1))+ROW()/100000)</f>
        <v/>
      </c>
      <c r="F5716" s="46">
        <f>IF(E5716="","",IF(C5716&gt;WeekEndDate,"",E5716))</f>
        <v/>
      </c>
    </row>
    <row r="5717">
      <c r="A5717" t="inlineStr">
        <is>
          <t>Contractors</t>
        </is>
      </c>
      <c r="B5717" s="46">
        <f>'Contractors'!AI681</f>
        <v/>
      </c>
      <c r="C5717" s="84">
        <f>'Contractors'!AG681</f>
        <v/>
      </c>
      <c r="D5717" s="46">
        <f>'Contractors'!AH681</f>
        <v/>
      </c>
      <c r="E5717" s="46">
        <f>IF(OR(B5717="",C5717="",D5717=""),"",D5717*100000+(C5717-DATE(2000,1,1))+ROW()/100000)</f>
        <v/>
      </c>
      <c r="F5717" s="46">
        <f>IF(E5717="","",IF(C5717&gt;WeekEndDate,"",E5717))</f>
        <v/>
      </c>
    </row>
    <row r="5718">
      <c r="A5718" t="inlineStr">
        <is>
          <t>Contractors</t>
        </is>
      </c>
      <c r="B5718" s="46">
        <f>'Contractors'!AI682</f>
        <v/>
      </c>
      <c r="C5718" s="84">
        <f>'Contractors'!AG682</f>
        <v/>
      </c>
      <c r="D5718" s="46">
        <f>'Contractors'!AH682</f>
        <v/>
      </c>
      <c r="E5718" s="46">
        <f>IF(OR(B5718="",C5718="",D5718=""),"",D5718*100000+(C5718-DATE(2000,1,1))+ROW()/100000)</f>
        <v/>
      </c>
      <c r="F5718" s="46">
        <f>IF(E5718="","",IF(C5718&gt;WeekEndDate,"",E5718))</f>
        <v/>
      </c>
    </row>
    <row r="5719">
      <c r="A5719" t="inlineStr">
        <is>
          <t>Contractors</t>
        </is>
      </c>
      <c r="B5719" s="46">
        <f>'Contractors'!AI683</f>
        <v/>
      </c>
      <c r="C5719" s="84">
        <f>'Contractors'!AG683</f>
        <v/>
      </c>
      <c r="D5719" s="46">
        <f>'Contractors'!AH683</f>
        <v/>
      </c>
      <c r="E5719" s="46">
        <f>IF(OR(B5719="",C5719="",D5719=""),"",D5719*100000+(C5719-DATE(2000,1,1))+ROW()/100000)</f>
        <v/>
      </c>
      <c r="F5719" s="46">
        <f>IF(E5719="","",IF(C5719&gt;WeekEndDate,"",E5719))</f>
        <v/>
      </c>
    </row>
    <row r="5720">
      <c r="A5720" t="inlineStr">
        <is>
          <t>Contractors</t>
        </is>
      </c>
      <c r="B5720" s="46">
        <f>'Contractors'!AI684</f>
        <v/>
      </c>
      <c r="C5720" s="84">
        <f>'Contractors'!AG684</f>
        <v/>
      </c>
      <c r="D5720" s="46">
        <f>'Contractors'!AH684</f>
        <v/>
      </c>
      <c r="E5720" s="46">
        <f>IF(OR(B5720="",C5720="",D5720=""),"",D5720*100000+(C5720-DATE(2000,1,1))+ROW()/100000)</f>
        <v/>
      </c>
      <c r="F5720" s="46">
        <f>IF(E5720="","",IF(C5720&gt;WeekEndDate,"",E5720))</f>
        <v/>
      </c>
    </row>
    <row r="5721">
      <c r="A5721" t="inlineStr">
        <is>
          <t>Contractors</t>
        </is>
      </c>
      <c r="B5721" s="46">
        <f>'Contractors'!AI685</f>
        <v/>
      </c>
      <c r="C5721" s="84">
        <f>'Contractors'!AG685</f>
        <v/>
      </c>
      <c r="D5721" s="46">
        <f>'Contractors'!AH685</f>
        <v/>
      </c>
      <c r="E5721" s="46">
        <f>IF(OR(B5721="",C5721="",D5721=""),"",D5721*100000+(C5721-DATE(2000,1,1))+ROW()/100000)</f>
        <v/>
      </c>
      <c r="F5721" s="46">
        <f>IF(E5721="","",IF(C5721&gt;WeekEndDate,"",E5721))</f>
        <v/>
      </c>
    </row>
    <row r="5722">
      <c r="A5722" t="inlineStr">
        <is>
          <t>Contractors</t>
        </is>
      </c>
      <c r="B5722" s="46">
        <f>'Contractors'!AI686</f>
        <v/>
      </c>
      <c r="C5722" s="84">
        <f>'Contractors'!AG686</f>
        <v/>
      </c>
      <c r="D5722" s="46">
        <f>'Contractors'!AH686</f>
        <v/>
      </c>
      <c r="E5722" s="46">
        <f>IF(OR(B5722="",C5722="",D5722=""),"",D5722*100000+(C5722-DATE(2000,1,1))+ROW()/100000)</f>
        <v/>
      </c>
      <c r="F5722" s="46">
        <f>IF(E5722="","",IF(C5722&gt;WeekEndDate,"",E5722))</f>
        <v/>
      </c>
    </row>
    <row r="5723">
      <c r="A5723" t="inlineStr">
        <is>
          <t>Contractors</t>
        </is>
      </c>
      <c r="B5723" s="46">
        <f>'Contractors'!AI687</f>
        <v/>
      </c>
      <c r="C5723" s="84">
        <f>'Contractors'!AG687</f>
        <v/>
      </c>
      <c r="D5723" s="46">
        <f>'Contractors'!AH687</f>
        <v/>
      </c>
      <c r="E5723" s="46">
        <f>IF(OR(B5723="",C5723="",D5723=""),"",D5723*100000+(C5723-DATE(2000,1,1))+ROW()/100000)</f>
        <v/>
      </c>
      <c r="F5723" s="46">
        <f>IF(E5723="","",IF(C5723&gt;WeekEndDate,"",E5723))</f>
        <v/>
      </c>
    </row>
    <row r="5724">
      <c r="A5724" t="inlineStr">
        <is>
          <t>Contractors</t>
        </is>
      </c>
      <c r="B5724" s="46">
        <f>'Contractors'!AI688</f>
        <v/>
      </c>
      <c r="C5724" s="84">
        <f>'Contractors'!AG688</f>
        <v/>
      </c>
      <c r="D5724" s="46">
        <f>'Contractors'!AH688</f>
        <v/>
      </c>
      <c r="E5724" s="46">
        <f>IF(OR(B5724="",C5724="",D5724=""),"",D5724*100000+(C5724-DATE(2000,1,1))+ROW()/100000)</f>
        <v/>
      </c>
      <c r="F5724" s="46">
        <f>IF(E5724="","",IF(C5724&gt;WeekEndDate,"",E5724))</f>
        <v/>
      </c>
    </row>
    <row r="5725">
      <c r="A5725" t="inlineStr">
        <is>
          <t>Contractors</t>
        </is>
      </c>
      <c r="B5725" s="46">
        <f>'Contractors'!AI689</f>
        <v/>
      </c>
      <c r="C5725" s="84">
        <f>'Contractors'!AG689</f>
        <v/>
      </c>
      <c r="D5725" s="46">
        <f>'Contractors'!AH689</f>
        <v/>
      </c>
      <c r="E5725" s="46">
        <f>IF(OR(B5725="",C5725="",D5725=""),"",D5725*100000+(C5725-DATE(2000,1,1))+ROW()/100000)</f>
        <v/>
      </c>
      <c r="F5725" s="46">
        <f>IF(E5725="","",IF(C5725&gt;WeekEndDate,"",E5725))</f>
        <v/>
      </c>
    </row>
    <row r="5726">
      <c r="A5726" t="inlineStr">
        <is>
          <t>Contractors</t>
        </is>
      </c>
      <c r="B5726" s="46">
        <f>'Contractors'!AI690</f>
        <v/>
      </c>
      <c r="C5726" s="84">
        <f>'Contractors'!AG690</f>
        <v/>
      </c>
      <c r="D5726" s="46">
        <f>'Contractors'!AH690</f>
        <v/>
      </c>
      <c r="E5726" s="46">
        <f>IF(OR(B5726="",C5726="",D5726=""),"",D5726*100000+(C5726-DATE(2000,1,1))+ROW()/100000)</f>
        <v/>
      </c>
      <c r="F5726" s="46">
        <f>IF(E5726="","",IF(C5726&gt;WeekEndDate,"",E5726))</f>
        <v/>
      </c>
    </row>
    <row r="5727">
      <c r="A5727" t="inlineStr">
        <is>
          <t>Contractors</t>
        </is>
      </c>
      <c r="B5727" s="46">
        <f>'Contractors'!AI691</f>
        <v/>
      </c>
      <c r="C5727" s="84">
        <f>'Contractors'!AG691</f>
        <v/>
      </c>
      <c r="D5727" s="46">
        <f>'Contractors'!AH691</f>
        <v/>
      </c>
      <c r="E5727" s="46">
        <f>IF(OR(B5727="",C5727="",D5727=""),"",D5727*100000+(C5727-DATE(2000,1,1))+ROW()/100000)</f>
        <v/>
      </c>
      <c r="F5727" s="46">
        <f>IF(E5727="","",IF(C5727&gt;WeekEndDate,"",E5727))</f>
        <v/>
      </c>
    </row>
    <row r="5728">
      <c r="A5728" t="inlineStr">
        <is>
          <t>Contractors</t>
        </is>
      </c>
      <c r="B5728" s="46">
        <f>'Contractors'!AI692</f>
        <v/>
      </c>
      <c r="C5728" s="84">
        <f>'Contractors'!AG692</f>
        <v/>
      </c>
      <c r="D5728" s="46">
        <f>'Contractors'!AH692</f>
        <v/>
      </c>
      <c r="E5728" s="46">
        <f>IF(OR(B5728="",C5728="",D5728=""),"",D5728*100000+(C5728-DATE(2000,1,1))+ROW()/100000)</f>
        <v/>
      </c>
      <c r="F5728" s="46">
        <f>IF(E5728="","",IF(C5728&gt;WeekEndDate,"",E5728))</f>
        <v/>
      </c>
    </row>
    <row r="5729">
      <c r="A5729" t="inlineStr">
        <is>
          <t>Contractors</t>
        </is>
      </c>
      <c r="B5729" s="46">
        <f>'Contractors'!AI693</f>
        <v/>
      </c>
      <c r="C5729" s="84">
        <f>'Contractors'!AG693</f>
        <v/>
      </c>
      <c r="D5729" s="46">
        <f>'Contractors'!AH693</f>
        <v/>
      </c>
      <c r="E5729" s="46">
        <f>IF(OR(B5729="",C5729="",D5729=""),"",D5729*100000+(C5729-DATE(2000,1,1))+ROW()/100000)</f>
        <v/>
      </c>
      <c r="F5729" s="46">
        <f>IF(E5729="","",IF(C5729&gt;WeekEndDate,"",E5729))</f>
        <v/>
      </c>
    </row>
    <row r="5730">
      <c r="A5730" t="inlineStr">
        <is>
          <t>Contractors</t>
        </is>
      </c>
      <c r="B5730" s="46">
        <f>'Contractors'!AI694</f>
        <v/>
      </c>
      <c r="C5730" s="84">
        <f>'Contractors'!AG694</f>
        <v/>
      </c>
      <c r="D5730" s="46">
        <f>'Contractors'!AH694</f>
        <v/>
      </c>
      <c r="E5730" s="46">
        <f>IF(OR(B5730="",C5730="",D5730=""),"",D5730*100000+(C5730-DATE(2000,1,1))+ROW()/100000)</f>
        <v/>
      </c>
      <c r="F5730" s="46">
        <f>IF(E5730="","",IF(C5730&gt;WeekEndDate,"",E5730))</f>
        <v/>
      </c>
    </row>
    <row r="5731">
      <c r="A5731" t="inlineStr">
        <is>
          <t>Contractors</t>
        </is>
      </c>
      <c r="B5731" s="46">
        <f>'Contractors'!AI695</f>
        <v/>
      </c>
      <c r="C5731" s="84">
        <f>'Contractors'!AG695</f>
        <v/>
      </c>
      <c r="D5731" s="46">
        <f>'Contractors'!AH695</f>
        <v/>
      </c>
      <c r="E5731" s="46">
        <f>IF(OR(B5731="",C5731="",D5731=""),"",D5731*100000+(C5731-DATE(2000,1,1))+ROW()/100000)</f>
        <v/>
      </c>
      <c r="F5731" s="46">
        <f>IF(E5731="","",IF(C5731&gt;WeekEndDate,"",E5731))</f>
        <v/>
      </c>
    </row>
    <row r="5732">
      <c r="A5732" t="inlineStr">
        <is>
          <t>Contractors</t>
        </is>
      </c>
      <c r="B5732" s="46">
        <f>'Contractors'!AI696</f>
        <v/>
      </c>
      <c r="C5732" s="84">
        <f>'Contractors'!AG696</f>
        <v/>
      </c>
      <c r="D5732" s="46">
        <f>'Contractors'!AH696</f>
        <v/>
      </c>
      <c r="E5732" s="46">
        <f>IF(OR(B5732="",C5732="",D5732=""),"",D5732*100000+(C5732-DATE(2000,1,1))+ROW()/100000)</f>
        <v/>
      </c>
      <c r="F5732" s="46">
        <f>IF(E5732="","",IF(C5732&gt;WeekEndDate,"",E5732))</f>
        <v/>
      </c>
    </row>
    <row r="5733">
      <c r="A5733" t="inlineStr">
        <is>
          <t>Contractors</t>
        </is>
      </c>
      <c r="B5733" s="46">
        <f>'Contractors'!AI697</f>
        <v/>
      </c>
      <c r="C5733" s="84">
        <f>'Contractors'!AG697</f>
        <v/>
      </c>
      <c r="D5733" s="46">
        <f>'Contractors'!AH697</f>
        <v/>
      </c>
      <c r="E5733" s="46">
        <f>IF(OR(B5733="",C5733="",D5733=""),"",D5733*100000+(C5733-DATE(2000,1,1))+ROW()/100000)</f>
        <v/>
      </c>
      <c r="F5733" s="46">
        <f>IF(E5733="","",IF(C5733&gt;WeekEndDate,"",E5733))</f>
        <v/>
      </c>
    </row>
    <row r="5734">
      <c r="A5734" t="inlineStr">
        <is>
          <t>Contractors</t>
        </is>
      </c>
      <c r="B5734" s="46">
        <f>'Contractors'!AI698</f>
        <v/>
      </c>
      <c r="C5734" s="84">
        <f>'Contractors'!AG698</f>
        <v/>
      </c>
      <c r="D5734" s="46">
        <f>'Contractors'!AH698</f>
        <v/>
      </c>
      <c r="E5734" s="46">
        <f>IF(OR(B5734="",C5734="",D5734=""),"",D5734*100000+(C5734-DATE(2000,1,1))+ROW()/100000)</f>
        <v/>
      </c>
      <c r="F5734" s="46">
        <f>IF(E5734="","",IF(C5734&gt;WeekEndDate,"",E5734))</f>
        <v/>
      </c>
    </row>
    <row r="5735">
      <c r="A5735" t="inlineStr">
        <is>
          <t>Contractors</t>
        </is>
      </c>
      <c r="B5735" s="46">
        <f>'Contractors'!AI699</f>
        <v/>
      </c>
      <c r="C5735" s="84">
        <f>'Contractors'!AG699</f>
        <v/>
      </c>
      <c r="D5735" s="46">
        <f>'Contractors'!AH699</f>
        <v/>
      </c>
      <c r="E5735" s="46">
        <f>IF(OR(B5735="",C5735="",D5735=""),"",D5735*100000+(C5735-DATE(2000,1,1))+ROW()/100000)</f>
        <v/>
      </c>
      <c r="F5735" s="46">
        <f>IF(E5735="","",IF(C5735&gt;WeekEndDate,"",E5735))</f>
        <v/>
      </c>
    </row>
    <row r="5736">
      <c r="A5736" t="inlineStr">
        <is>
          <t>Contractors</t>
        </is>
      </c>
      <c r="B5736" s="46">
        <f>'Contractors'!AI700</f>
        <v/>
      </c>
      <c r="C5736" s="84">
        <f>'Contractors'!AG700</f>
        <v/>
      </c>
      <c r="D5736" s="46">
        <f>'Contractors'!AH700</f>
        <v/>
      </c>
      <c r="E5736" s="46">
        <f>IF(OR(B5736="",C5736="",D5736=""),"",D5736*100000+(C5736-DATE(2000,1,1))+ROW()/100000)</f>
        <v/>
      </c>
      <c r="F5736" s="46">
        <f>IF(E5736="","",IF(C5736&gt;WeekEndDate,"",E5736))</f>
        <v/>
      </c>
    </row>
    <row r="5737">
      <c r="A5737" t="inlineStr">
        <is>
          <t>Contractors</t>
        </is>
      </c>
      <c r="B5737" s="46">
        <f>'Contractors'!AI701</f>
        <v/>
      </c>
      <c r="C5737" s="84">
        <f>'Contractors'!AG701</f>
        <v/>
      </c>
      <c r="D5737" s="46">
        <f>'Contractors'!AH701</f>
        <v/>
      </c>
      <c r="E5737" s="46">
        <f>IF(OR(B5737="",C5737="",D5737=""),"",D5737*100000+(C5737-DATE(2000,1,1))+ROW()/100000)</f>
        <v/>
      </c>
      <c r="F5737" s="46">
        <f>IF(E5737="","",IF(C5737&gt;WeekEndDate,"",E5737))</f>
        <v/>
      </c>
    </row>
    <row r="5738">
      <c r="A5738" t="inlineStr">
        <is>
          <t>Contractors</t>
        </is>
      </c>
      <c r="B5738" s="46">
        <f>'Contractors'!AI702</f>
        <v/>
      </c>
      <c r="C5738" s="84">
        <f>'Contractors'!AG702</f>
        <v/>
      </c>
      <c r="D5738" s="46">
        <f>'Contractors'!AH702</f>
        <v/>
      </c>
      <c r="E5738" s="46">
        <f>IF(OR(B5738="",C5738="",D5738=""),"",D5738*100000+(C5738-DATE(2000,1,1))+ROW()/100000)</f>
        <v/>
      </c>
      <c r="F5738" s="46">
        <f>IF(E5738="","",IF(C5738&gt;WeekEndDate,"",E5738))</f>
        <v/>
      </c>
    </row>
    <row r="5739">
      <c r="A5739" t="inlineStr">
        <is>
          <t>Contractors</t>
        </is>
      </c>
      <c r="B5739" s="46">
        <f>'Contractors'!AI703</f>
        <v/>
      </c>
      <c r="C5739" s="84">
        <f>'Contractors'!AG703</f>
        <v/>
      </c>
      <c r="D5739" s="46">
        <f>'Contractors'!AH703</f>
        <v/>
      </c>
      <c r="E5739" s="46">
        <f>IF(OR(B5739="",C5739="",D5739=""),"",D5739*100000+(C5739-DATE(2000,1,1))+ROW()/100000)</f>
        <v/>
      </c>
      <c r="F5739" s="46">
        <f>IF(E5739="","",IF(C5739&gt;WeekEndDate,"",E5739))</f>
        <v/>
      </c>
    </row>
    <row r="5740">
      <c r="A5740" t="inlineStr">
        <is>
          <t>Contractors</t>
        </is>
      </c>
      <c r="B5740" s="46">
        <f>'Contractors'!AI704</f>
        <v/>
      </c>
      <c r="C5740" s="84">
        <f>'Contractors'!AG704</f>
        <v/>
      </c>
      <c r="D5740" s="46">
        <f>'Contractors'!AH704</f>
        <v/>
      </c>
      <c r="E5740" s="46">
        <f>IF(OR(B5740="",C5740="",D5740=""),"",D5740*100000+(C5740-DATE(2000,1,1))+ROW()/100000)</f>
        <v/>
      </c>
      <c r="F5740" s="46">
        <f>IF(E5740="","",IF(C5740&gt;WeekEndDate,"",E5740))</f>
        <v/>
      </c>
    </row>
    <row r="5741">
      <c r="A5741" t="inlineStr">
        <is>
          <t>Contractors</t>
        </is>
      </c>
      <c r="B5741" s="46">
        <f>'Contractors'!AI705</f>
        <v/>
      </c>
      <c r="C5741" s="84">
        <f>'Contractors'!AG705</f>
        <v/>
      </c>
      <c r="D5741" s="46">
        <f>'Contractors'!AH705</f>
        <v/>
      </c>
      <c r="E5741" s="46">
        <f>IF(OR(B5741="",C5741="",D5741=""),"",D5741*100000+(C5741-DATE(2000,1,1))+ROW()/100000)</f>
        <v/>
      </c>
      <c r="F5741" s="46">
        <f>IF(E5741="","",IF(C5741&gt;WeekEndDate,"",E5741))</f>
        <v/>
      </c>
    </row>
    <row r="5742">
      <c r="A5742" t="inlineStr">
        <is>
          <t>Contractors</t>
        </is>
      </c>
      <c r="B5742" s="46">
        <f>'Contractors'!AI706</f>
        <v/>
      </c>
      <c r="C5742" s="84">
        <f>'Contractors'!AG706</f>
        <v/>
      </c>
      <c r="D5742" s="46">
        <f>'Contractors'!AH706</f>
        <v/>
      </c>
      <c r="E5742" s="46">
        <f>IF(OR(B5742="",C5742="",D5742=""),"",D5742*100000+(C5742-DATE(2000,1,1))+ROW()/100000)</f>
        <v/>
      </c>
      <c r="F5742" s="46">
        <f>IF(E5742="","",IF(C5742&gt;WeekEndDate,"",E5742))</f>
        <v/>
      </c>
    </row>
    <row r="5743">
      <c r="A5743" t="inlineStr">
        <is>
          <t>Contractors</t>
        </is>
      </c>
      <c r="B5743" s="46">
        <f>'Contractors'!AI707</f>
        <v/>
      </c>
      <c r="C5743" s="84">
        <f>'Contractors'!AG707</f>
        <v/>
      </c>
      <c r="D5743" s="46">
        <f>'Contractors'!AH707</f>
        <v/>
      </c>
      <c r="E5743" s="46">
        <f>IF(OR(B5743="",C5743="",D5743=""),"",D5743*100000+(C5743-DATE(2000,1,1))+ROW()/100000)</f>
        <v/>
      </c>
      <c r="F5743" s="46">
        <f>IF(E5743="","",IF(C5743&gt;WeekEndDate,"",E5743))</f>
        <v/>
      </c>
    </row>
    <row r="5744">
      <c r="A5744" t="inlineStr">
        <is>
          <t>Contractors</t>
        </is>
      </c>
      <c r="B5744" s="46">
        <f>'Contractors'!AI708</f>
        <v/>
      </c>
      <c r="C5744" s="84">
        <f>'Contractors'!AG708</f>
        <v/>
      </c>
      <c r="D5744" s="46">
        <f>'Contractors'!AH708</f>
        <v/>
      </c>
      <c r="E5744" s="46">
        <f>IF(OR(B5744="",C5744="",D5744=""),"",D5744*100000+(C5744-DATE(2000,1,1))+ROW()/100000)</f>
        <v/>
      </c>
      <c r="F5744" s="46">
        <f>IF(E5744="","",IF(C5744&gt;WeekEndDate,"",E5744))</f>
        <v/>
      </c>
    </row>
    <row r="5745">
      <c r="A5745" t="inlineStr">
        <is>
          <t>Contractors</t>
        </is>
      </c>
      <c r="B5745" s="46">
        <f>'Contractors'!AI709</f>
        <v/>
      </c>
      <c r="C5745" s="84">
        <f>'Contractors'!AG709</f>
        <v/>
      </c>
      <c r="D5745" s="46">
        <f>'Contractors'!AH709</f>
        <v/>
      </c>
      <c r="E5745" s="46">
        <f>IF(OR(B5745="",C5745="",D5745=""),"",D5745*100000+(C5745-DATE(2000,1,1))+ROW()/100000)</f>
        <v/>
      </c>
      <c r="F5745" s="46">
        <f>IF(E5745="","",IF(C5745&gt;WeekEndDate,"",E5745))</f>
        <v/>
      </c>
    </row>
    <row r="5746">
      <c r="A5746" t="inlineStr">
        <is>
          <t>Contractors</t>
        </is>
      </c>
      <c r="B5746" s="46">
        <f>'Contractors'!AI710</f>
        <v/>
      </c>
      <c r="C5746" s="84">
        <f>'Contractors'!AG710</f>
        <v/>
      </c>
      <c r="D5746" s="46">
        <f>'Contractors'!AH710</f>
        <v/>
      </c>
      <c r="E5746" s="46">
        <f>IF(OR(B5746="",C5746="",D5746=""),"",D5746*100000+(C5746-DATE(2000,1,1))+ROW()/100000)</f>
        <v/>
      </c>
      <c r="F5746" s="46">
        <f>IF(E5746="","",IF(C5746&gt;WeekEndDate,"",E5746))</f>
        <v/>
      </c>
    </row>
    <row r="5747">
      <c r="A5747" t="inlineStr">
        <is>
          <t>Contractors</t>
        </is>
      </c>
      <c r="B5747" s="46">
        <f>'Contractors'!AI711</f>
        <v/>
      </c>
      <c r="C5747" s="84">
        <f>'Contractors'!AG711</f>
        <v/>
      </c>
      <c r="D5747" s="46">
        <f>'Contractors'!AH711</f>
        <v/>
      </c>
      <c r="E5747" s="46">
        <f>IF(OR(B5747="",C5747="",D5747=""),"",D5747*100000+(C5747-DATE(2000,1,1))+ROW()/100000)</f>
        <v/>
      </c>
      <c r="F5747" s="46">
        <f>IF(E5747="","",IF(C5747&gt;WeekEndDate,"",E5747))</f>
        <v/>
      </c>
    </row>
    <row r="5748">
      <c r="A5748" t="inlineStr">
        <is>
          <t>Contractors</t>
        </is>
      </c>
      <c r="B5748" s="46">
        <f>'Contractors'!AI712</f>
        <v/>
      </c>
      <c r="C5748" s="84">
        <f>'Contractors'!AG712</f>
        <v/>
      </c>
      <c r="D5748" s="46">
        <f>'Contractors'!AH712</f>
        <v/>
      </c>
      <c r="E5748" s="46">
        <f>IF(OR(B5748="",C5748="",D5748=""),"",D5748*100000+(C5748-DATE(2000,1,1))+ROW()/100000)</f>
        <v/>
      </c>
      <c r="F5748" s="46">
        <f>IF(E5748="","",IF(C5748&gt;WeekEndDate,"",E5748))</f>
        <v/>
      </c>
    </row>
    <row r="5749">
      <c r="A5749" t="inlineStr">
        <is>
          <t>Contractors</t>
        </is>
      </c>
      <c r="B5749" s="46">
        <f>'Contractors'!AI713</f>
        <v/>
      </c>
      <c r="C5749" s="84">
        <f>'Contractors'!AG713</f>
        <v/>
      </c>
      <c r="D5749" s="46">
        <f>'Contractors'!AH713</f>
        <v/>
      </c>
      <c r="E5749" s="46">
        <f>IF(OR(B5749="",C5749="",D5749=""),"",D5749*100000+(C5749-DATE(2000,1,1))+ROW()/100000)</f>
        <v/>
      </c>
      <c r="F5749" s="46">
        <f>IF(E5749="","",IF(C5749&gt;WeekEndDate,"",E5749))</f>
        <v/>
      </c>
    </row>
    <row r="5750">
      <c r="A5750" t="inlineStr">
        <is>
          <t>Contractors</t>
        </is>
      </c>
      <c r="B5750" s="46">
        <f>'Contractors'!AI714</f>
        <v/>
      </c>
      <c r="C5750" s="84">
        <f>'Contractors'!AG714</f>
        <v/>
      </c>
      <c r="D5750" s="46">
        <f>'Contractors'!AH714</f>
        <v/>
      </c>
      <c r="E5750" s="46">
        <f>IF(OR(B5750="",C5750="",D5750=""),"",D5750*100000+(C5750-DATE(2000,1,1))+ROW()/100000)</f>
        <v/>
      </c>
      <c r="F5750" s="46">
        <f>IF(E5750="","",IF(C5750&gt;WeekEndDate,"",E5750))</f>
        <v/>
      </c>
    </row>
    <row r="5751">
      <c r="A5751" t="inlineStr">
        <is>
          <t>Contractors</t>
        </is>
      </c>
      <c r="B5751" s="46">
        <f>'Contractors'!AI715</f>
        <v/>
      </c>
      <c r="C5751" s="84">
        <f>'Contractors'!AG715</f>
        <v/>
      </c>
      <c r="D5751" s="46">
        <f>'Contractors'!AH715</f>
        <v/>
      </c>
      <c r="E5751" s="46">
        <f>IF(OR(B5751="",C5751="",D5751=""),"",D5751*100000+(C5751-DATE(2000,1,1))+ROW()/100000)</f>
        <v/>
      </c>
      <c r="F5751" s="46">
        <f>IF(E5751="","",IF(C5751&gt;WeekEndDate,"",E5751))</f>
        <v/>
      </c>
    </row>
    <row r="5752">
      <c r="A5752" t="inlineStr">
        <is>
          <t>Contractors</t>
        </is>
      </c>
      <c r="B5752" s="46">
        <f>'Contractors'!AI716</f>
        <v/>
      </c>
      <c r="C5752" s="84">
        <f>'Contractors'!AG716</f>
        <v/>
      </c>
      <c r="D5752" s="46">
        <f>'Contractors'!AH716</f>
        <v/>
      </c>
      <c r="E5752" s="46">
        <f>IF(OR(B5752="",C5752="",D5752=""),"",D5752*100000+(C5752-DATE(2000,1,1))+ROW()/100000)</f>
        <v/>
      </c>
      <c r="F5752" s="46">
        <f>IF(E5752="","",IF(C5752&gt;WeekEndDate,"",E5752))</f>
        <v/>
      </c>
    </row>
    <row r="5753">
      <c r="A5753" t="inlineStr">
        <is>
          <t>Contractors</t>
        </is>
      </c>
      <c r="B5753" s="46">
        <f>'Contractors'!AI717</f>
        <v/>
      </c>
      <c r="C5753" s="84">
        <f>'Contractors'!AG717</f>
        <v/>
      </c>
      <c r="D5753" s="46">
        <f>'Contractors'!AH717</f>
        <v/>
      </c>
      <c r="E5753" s="46">
        <f>IF(OR(B5753="",C5753="",D5753=""),"",D5753*100000+(C5753-DATE(2000,1,1))+ROW()/100000)</f>
        <v/>
      </c>
      <c r="F5753" s="46">
        <f>IF(E5753="","",IF(C5753&gt;WeekEndDate,"",E5753))</f>
        <v/>
      </c>
    </row>
    <row r="5754">
      <c r="A5754" t="inlineStr">
        <is>
          <t>Contractors</t>
        </is>
      </c>
      <c r="B5754" s="46">
        <f>'Contractors'!AI718</f>
        <v/>
      </c>
      <c r="C5754" s="84">
        <f>'Contractors'!AG718</f>
        <v/>
      </c>
      <c r="D5754" s="46">
        <f>'Contractors'!AH718</f>
        <v/>
      </c>
      <c r="E5754" s="46">
        <f>IF(OR(B5754="",C5754="",D5754=""),"",D5754*100000+(C5754-DATE(2000,1,1))+ROW()/100000)</f>
        <v/>
      </c>
      <c r="F5754" s="46">
        <f>IF(E5754="","",IF(C5754&gt;WeekEndDate,"",E5754))</f>
        <v/>
      </c>
    </row>
    <row r="5755">
      <c r="A5755" t="inlineStr">
        <is>
          <t>Contractors</t>
        </is>
      </c>
      <c r="B5755" s="46">
        <f>'Contractors'!AI719</f>
        <v/>
      </c>
      <c r="C5755" s="84">
        <f>'Contractors'!AG719</f>
        <v/>
      </c>
      <c r="D5755" s="46">
        <f>'Contractors'!AH719</f>
        <v/>
      </c>
      <c r="E5755" s="46">
        <f>IF(OR(B5755="",C5755="",D5755=""),"",D5755*100000+(C5755-DATE(2000,1,1))+ROW()/100000)</f>
        <v/>
      </c>
      <c r="F5755" s="46">
        <f>IF(E5755="","",IF(C5755&gt;WeekEndDate,"",E5755))</f>
        <v/>
      </c>
    </row>
    <row r="5756">
      <c r="A5756" t="inlineStr">
        <is>
          <t>Contractors</t>
        </is>
      </c>
      <c r="B5756" s="46">
        <f>'Contractors'!AI720</f>
        <v/>
      </c>
      <c r="C5756" s="84">
        <f>'Contractors'!AG720</f>
        <v/>
      </c>
      <c r="D5756" s="46">
        <f>'Contractors'!AH720</f>
        <v/>
      </c>
      <c r="E5756" s="46">
        <f>IF(OR(B5756="",C5756="",D5756=""),"",D5756*100000+(C5756-DATE(2000,1,1))+ROW()/100000)</f>
        <v/>
      </c>
      <c r="F5756" s="46">
        <f>IF(E5756="","",IF(C5756&gt;WeekEndDate,"",E5756))</f>
        <v/>
      </c>
    </row>
    <row r="5757">
      <c r="A5757" t="inlineStr">
        <is>
          <t>Contractors</t>
        </is>
      </c>
      <c r="B5757" s="46">
        <f>'Contractors'!AI721</f>
        <v/>
      </c>
      <c r="C5757" s="84">
        <f>'Contractors'!AG721</f>
        <v/>
      </c>
      <c r="D5757" s="46">
        <f>'Contractors'!AH721</f>
        <v/>
      </c>
      <c r="E5757" s="46">
        <f>IF(OR(B5757="",C5757="",D5757=""),"",D5757*100000+(C5757-DATE(2000,1,1))+ROW()/100000)</f>
        <v/>
      </c>
      <c r="F5757" s="46">
        <f>IF(E5757="","",IF(C5757&gt;WeekEndDate,"",E5757))</f>
        <v/>
      </c>
    </row>
    <row r="5758">
      <c r="A5758" t="inlineStr">
        <is>
          <t>Contractors</t>
        </is>
      </c>
      <c r="B5758" s="46">
        <f>'Contractors'!AI722</f>
        <v/>
      </c>
      <c r="C5758" s="84">
        <f>'Contractors'!AG722</f>
        <v/>
      </c>
      <c r="D5758" s="46">
        <f>'Contractors'!AH722</f>
        <v/>
      </c>
      <c r="E5758" s="46">
        <f>IF(OR(B5758="",C5758="",D5758=""),"",D5758*100000+(C5758-DATE(2000,1,1))+ROW()/100000)</f>
        <v/>
      </c>
      <c r="F5758" s="46">
        <f>IF(E5758="","",IF(C5758&gt;WeekEndDate,"",E5758))</f>
        <v/>
      </c>
    </row>
    <row r="5759">
      <c r="A5759" t="inlineStr">
        <is>
          <t>Contractors</t>
        </is>
      </c>
      <c r="B5759" s="46">
        <f>'Contractors'!AI723</f>
        <v/>
      </c>
      <c r="C5759" s="84">
        <f>'Contractors'!AG723</f>
        <v/>
      </c>
      <c r="D5759" s="46">
        <f>'Contractors'!AH723</f>
        <v/>
      </c>
      <c r="E5759" s="46">
        <f>IF(OR(B5759="",C5759="",D5759=""),"",D5759*100000+(C5759-DATE(2000,1,1))+ROW()/100000)</f>
        <v/>
      </c>
      <c r="F5759" s="46">
        <f>IF(E5759="","",IF(C5759&gt;WeekEndDate,"",E5759))</f>
        <v/>
      </c>
    </row>
    <row r="5760">
      <c r="A5760" t="inlineStr">
        <is>
          <t>Contractors</t>
        </is>
      </c>
      <c r="B5760" s="46">
        <f>'Contractors'!AI724</f>
        <v/>
      </c>
      <c r="C5760" s="84">
        <f>'Contractors'!AG724</f>
        <v/>
      </c>
      <c r="D5760" s="46">
        <f>'Contractors'!AH724</f>
        <v/>
      </c>
      <c r="E5760" s="46">
        <f>IF(OR(B5760="",C5760="",D5760=""),"",D5760*100000+(C5760-DATE(2000,1,1))+ROW()/100000)</f>
        <v/>
      </c>
      <c r="F5760" s="46">
        <f>IF(E5760="","",IF(C5760&gt;WeekEndDate,"",E5760))</f>
        <v/>
      </c>
    </row>
    <row r="5761">
      <c r="A5761" t="inlineStr">
        <is>
          <t>Contractors</t>
        </is>
      </c>
      <c r="B5761" s="46">
        <f>'Contractors'!AI725</f>
        <v/>
      </c>
      <c r="C5761" s="84">
        <f>'Contractors'!AG725</f>
        <v/>
      </c>
      <c r="D5761" s="46">
        <f>'Contractors'!AH725</f>
        <v/>
      </c>
      <c r="E5761" s="46">
        <f>IF(OR(B5761="",C5761="",D5761=""),"",D5761*100000+(C5761-DATE(2000,1,1))+ROW()/100000)</f>
        <v/>
      </c>
      <c r="F5761" s="46">
        <f>IF(E5761="","",IF(C5761&gt;WeekEndDate,"",E5761))</f>
        <v/>
      </c>
    </row>
    <row r="5762">
      <c r="A5762" t="inlineStr">
        <is>
          <t>Contractors</t>
        </is>
      </c>
      <c r="B5762" s="46">
        <f>'Contractors'!AI726</f>
        <v/>
      </c>
      <c r="C5762" s="84">
        <f>'Contractors'!AG726</f>
        <v/>
      </c>
      <c r="D5762" s="46">
        <f>'Contractors'!AH726</f>
        <v/>
      </c>
      <c r="E5762" s="46">
        <f>IF(OR(B5762="",C5762="",D5762=""),"",D5762*100000+(C5762-DATE(2000,1,1))+ROW()/100000)</f>
        <v/>
      </c>
      <c r="F5762" s="46">
        <f>IF(E5762="","",IF(C5762&gt;WeekEndDate,"",E5762))</f>
        <v/>
      </c>
    </row>
    <row r="5763">
      <c r="A5763" t="inlineStr">
        <is>
          <t>Contractors</t>
        </is>
      </c>
      <c r="B5763" s="46">
        <f>'Contractors'!AI727</f>
        <v/>
      </c>
      <c r="C5763" s="84">
        <f>'Contractors'!AG727</f>
        <v/>
      </c>
      <c r="D5763" s="46">
        <f>'Contractors'!AH727</f>
        <v/>
      </c>
      <c r="E5763" s="46">
        <f>IF(OR(B5763="",C5763="",D5763=""),"",D5763*100000+(C5763-DATE(2000,1,1))+ROW()/100000)</f>
        <v/>
      </c>
      <c r="F5763" s="46">
        <f>IF(E5763="","",IF(C5763&gt;WeekEndDate,"",E5763))</f>
        <v/>
      </c>
    </row>
    <row r="5764">
      <c r="A5764" t="inlineStr">
        <is>
          <t>Contractors</t>
        </is>
      </c>
      <c r="B5764" s="46">
        <f>'Contractors'!AI728</f>
        <v/>
      </c>
      <c r="C5764" s="84">
        <f>'Contractors'!AG728</f>
        <v/>
      </c>
      <c r="D5764" s="46">
        <f>'Contractors'!AH728</f>
        <v/>
      </c>
      <c r="E5764" s="46">
        <f>IF(OR(B5764="",C5764="",D5764=""),"",D5764*100000+(C5764-DATE(2000,1,1))+ROW()/100000)</f>
        <v/>
      </c>
      <c r="F5764" s="46">
        <f>IF(E5764="","",IF(C5764&gt;WeekEndDate,"",E5764))</f>
        <v/>
      </c>
    </row>
    <row r="5765">
      <c r="A5765" t="inlineStr">
        <is>
          <t>Contractors</t>
        </is>
      </c>
      <c r="B5765" s="46">
        <f>'Contractors'!AI729</f>
        <v/>
      </c>
      <c r="C5765" s="84">
        <f>'Contractors'!AG729</f>
        <v/>
      </c>
      <c r="D5765" s="46">
        <f>'Contractors'!AH729</f>
        <v/>
      </c>
      <c r="E5765" s="46">
        <f>IF(OR(B5765="",C5765="",D5765=""),"",D5765*100000+(C5765-DATE(2000,1,1))+ROW()/100000)</f>
        <v/>
      </c>
      <c r="F5765" s="46">
        <f>IF(E5765="","",IF(C5765&gt;WeekEndDate,"",E5765))</f>
        <v/>
      </c>
    </row>
    <row r="5766">
      <c r="A5766" t="inlineStr">
        <is>
          <t>Contractors</t>
        </is>
      </c>
      <c r="B5766" s="46">
        <f>'Contractors'!AI730</f>
        <v/>
      </c>
      <c r="C5766" s="84">
        <f>'Contractors'!AG730</f>
        <v/>
      </c>
      <c r="D5766" s="46">
        <f>'Contractors'!AH730</f>
        <v/>
      </c>
      <c r="E5766" s="46">
        <f>IF(OR(B5766="",C5766="",D5766=""),"",D5766*100000+(C5766-DATE(2000,1,1))+ROW()/100000)</f>
        <v/>
      </c>
      <c r="F5766" s="46">
        <f>IF(E5766="","",IF(C5766&gt;WeekEndDate,"",E5766))</f>
        <v/>
      </c>
    </row>
    <row r="5767">
      <c r="A5767" t="inlineStr">
        <is>
          <t>Contractors</t>
        </is>
      </c>
      <c r="B5767" s="46">
        <f>'Contractors'!AI731</f>
        <v/>
      </c>
      <c r="C5767" s="84">
        <f>'Contractors'!AG731</f>
        <v/>
      </c>
      <c r="D5767" s="46">
        <f>'Contractors'!AH731</f>
        <v/>
      </c>
      <c r="E5767" s="46">
        <f>IF(OR(B5767="",C5767="",D5767=""),"",D5767*100000+(C5767-DATE(2000,1,1))+ROW()/100000)</f>
        <v/>
      </c>
      <c r="F5767" s="46">
        <f>IF(E5767="","",IF(C5767&gt;WeekEndDate,"",E5767))</f>
        <v/>
      </c>
    </row>
    <row r="5768">
      <c r="A5768" t="inlineStr">
        <is>
          <t>Contractors</t>
        </is>
      </c>
      <c r="B5768" s="46">
        <f>'Contractors'!AI732</f>
        <v/>
      </c>
      <c r="C5768" s="84">
        <f>'Contractors'!AG732</f>
        <v/>
      </c>
      <c r="D5768" s="46">
        <f>'Contractors'!AH732</f>
        <v/>
      </c>
      <c r="E5768" s="46">
        <f>IF(OR(B5768="",C5768="",D5768=""),"",D5768*100000+(C5768-DATE(2000,1,1))+ROW()/100000)</f>
        <v/>
      </c>
      <c r="F5768" s="46">
        <f>IF(E5768="","",IF(C5768&gt;WeekEndDate,"",E5768))</f>
        <v/>
      </c>
    </row>
    <row r="5769">
      <c r="A5769" t="inlineStr">
        <is>
          <t>Contractors</t>
        </is>
      </c>
      <c r="B5769" s="46">
        <f>'Contractors'!AI733</f>
        <v/>
      </c>
      <c r="C5769" s="84">
        <f>'Contractors'!AG733</f>
        <v/>
      </c>
      <c r="D5769" s="46">
        <f>'Contractors'!AH733</f>
        <v/>
      </c>
      <c r="E5769" s="46">
        <f>IF(OR(B5769="",C5769="",D5769=""),"",D5769*100000+(C5769-DATE(2000,1,1))+ROW()/100000)</f>
        <v/>
      </c>
      <c r="F5769" s="46">
        <f>IF(E5769="","",IF(C5769&gt;WeekEndDate,"",E5769))</f>
        <v/>
      </c>
    </row>
    <row r="5770">
      <c r="A5770" t="inlineStr">
        <is>
          <t>Contractors</t>
        </is>
      </c>
      <c r="B5770" s="46">
        <f>'Contractors'!AI734</f>
        <v/>
      </c>
      <c r="C5770" s="84">
        <f>'Contractors'!AG734</f>
        <v/>
      </c>
      <c r="D5770" s="46">
        <f>'Contractors'!AH734</f>
        <v/>
      </c>
      <c r="E5770" s="46">
        <f>IF(OR(B5770="",C5770="",D5770=""),"",D5770*100000+(C5770-DATE(2000,1,1))+ROW()/100000)</f>
        <v/>
      </c>
      <c r="F5770" s="46">
        <f>IF(E5770="","",IF(C5770&gt;WeekEndDate,"",E5770))</f>
        <v/>
      </c>
    </row>
    <row r="5771">
      <c r="A5771" t="inlineStr">
        <is>
          <t>Contractors</t>
        </is>
      </c>
      <c r="B5771" s="46">
        <f>'Contractors'!AI735</f>
        <v/>
      </c>
      <c r="C5771" s="84">
        <f>'Contractors'!AG735</f>
        <v/>
      </c>
      <c r="D5771" s="46">
        <f>'Contractors'!AH735</f>
        <v/>
      </c>
      <c r="E5771" s="46">
        <f>IF(OR(B5771="",C5771="",D5771=""),"",D5771*100000+(C5771-DATE(2000,1,1))+ROW()/100000)</f>
        <v/>
      </c>
      <c r="F5771" s="46">
        <f>IF(E5771="","",IF(C5771&gt;WeekEndDate,"",E5771))</f>
        <v/>
      </c>
    </row>
    <row r="5772">
      <c r="A5772" t="inlineStr">
        <is>
          <t>Contractors</t>
        </is>
      </c>
      <c r="B5772" s="46">
        <f>'Contractors'!AI736</f>
        <v/>
      </c>
      <c r="C5772" s="84">
        <f>'Contractors'!AG736</f>
        <v/>
      </c>
      <c r="D5772" s="46">
        <f>'Contractors'!AH736</f>
        <v/>
      </c>
      <c r="E5772" s="46">
        <f>IF(OR(B5772="",C5772="",D5772=""),"",D5772*100000+(C5772-DATE(2000,1,1))+ROW()/100000)</f>
        <v/>
      </c>
      <c r="F5772" s="46">
        <f>IF(E5772="","",IF(C5772&gt;WeekEndDate,"",E5772))</f>
        <v/>
      </c>
    </row>
    <row r="5773">
      <c r="A5773" t="inlineStr">
        <is>
          <t>Contractors</t>
        </is>
      </c>
      <c r="B5773" s="46">
        <f>'Contractors'!AI737</f>
        <v/>
      </c>
      <c r="C5773" s="84">
        <f>'Contractors'!AG737</f>
        <v/>
      </c>
      <c r="D5773" s="46">
        <f>'Contractors'!AH737</f>
        <v/>
      </c>
      <c r="E5773" s="46">
        <f>IF(OR(B5773="",C5773="",D5773=""),"",D5773*100000+(C5773-DATE(2000,1,1))+ROW()/100000)</f>
        <v/>
      </c>
      <c r="F5773" s="46">
        <f>IF(E5773="","",IF(C5773&gt;WeekEndDate,"",E5773))</f>
        <v/>
      </c>
    </row>
    <row r="5774">
      <c r="A5774" t="inlineStr">
        <is>
          <t>Contractors</t>
        </is>
      </c>
      <c r="B5774" s="46">
        <f>'Contractors'!AI738</f>
        <v/>
      </c>
      <c r="C5774" s="84">
        <f>'Contractors'!AG738</f>
        <v/>
      </c>
      <c r="D5774" s="46">
        <f>'Contractors'!AH738</f>
        <v/>
      </c>
      <c r="E5774" s="46">
        <f>IF(OR(B5774="",C5774="",D5774=""),"",D5774*100000+(C5774-DATE(2000,1,1))+ROW()/100000)</f>
        <v/>
      </c>
      <c r="F5774" s="46">
        <f>IF(E5774="","",IF(C5774&gt;WeekEndDate,"",E5774))</f>
        <v/>
      </c>
    </row>
    <row r="5775">
      <c r="A5775" t="inlineStr">
        <is>
          <t>Contractors</t>
        </is>
      </c>
      <c r="B5775" s="46">
        <f>'Contractors'!AI739</f>
        <v/>
      </c>
      <c r="C5775" s="84">
        <f>'Contractors'!AG739</f>
        <v/>
      </c>
      <c r="D5775" s="46">
        <f>'Contractors'!AH739</f>
        <v/>
      </c>
      <c r="E5775" s="46">
        <f>IF(OR(B5775="",C5775="",D5775=""),"",D5775*100000+(C5775-DATE(2000,1,1))+ROW()/100000)</f>
        <v/>
      </c>
      <c r="F5775" s="46">
        <f>IF(E5775="","",IF(C5775&gt;WeekEndDate,"",E5775))</f>
        <v/>
      </c>
    </row>
    <row r="5776">
      <c r="A5776" t="inlineStr">
        <is>
          <t>Contractors</t>
        </is>
      </c>
      <c r="B5776" s="46">
        <f>'Contractors'!AI740</f>
        <v/>
      </c>
      <c r="C5776" s="84">
        <f>'Contractors'!AG740</f>
        <v/>
      </c>
      <c r="D5776" s="46">
        <f>'Contractors'!AH740</f>
        <v/>
      </c>
      <c r="E5776" s="46">
        <f>IF(OR(B5776="",C5776="",D5776=""),"",D5776*100000+(C5776-DATE(2000,1,1))+ROW()/100000)</f>
        <v/>
      </c>
      <c r="F5776" s="46">
        <f>IF(E5776="","",IF(C5776&gt;WeekEndDate,"",E5776))</f>
        <v/>
      </c>
    </row>
    <row r="5777">
      <c r="A5777" t="inlineStr">
        <is>
          <t>Contractors</t>
        </is>
      </c>
      <c r="B5777" s="46">
        <f>'Contractors'!AI741</f>
        <v/>
      </c>
      <c r="C5777" s="84">
        <f>'Contractors'!AG741</f>
        <v/>
      </c>
      <c r="D5777" s="46">
        <f>'Contractors'!AH741</f>
        <v/>
      </c>
      <c r="E5777" s="46">
        <f>IF(OR(B5777="",C5777="",D5777=""),"",D5777*100000+(C5777-DATE(2000,1,1))+ROW()/100000)</f>
        <v/>
      </c>
      <c r="F5777" s="46">
        <f>IF(E5777="","",IF(C5777&gt;WeekEndDate,"",E5777))</f>
        <v/>
      </c>
    </row>
    <row r="5778">
      <c r="A5778" t="inlineStr">
        <is>
          <t>Contractors</t>
        </is>
      </c>
      <c r="B5778" s="46">
        <f>'Contractors'!AI742</f>
        <v/>
      </c>
      <c r="C5778" s="84">
        <f>'Contractors'!AG742</f>
        <v/>
      </c>
      <c r="D5778" s="46">
        <f>'Contractors'!AH742</f>
        <v/>
      </c>
      <c r="E5778" s="46">
        <f>IF(OR(B5778="",C5778="",D5778=""),"",D5778*100000+(C5778-DATE(2000,1,1))+ROW()/100000)</f>
        <v/>
      </c>
      <c r="F5778" s="46">
        <f>IF(E5778="","",IF(C5778&gt;WeekEndDate,"",E5778))</f>
        <v/>
      </c>
    </row>
    <row r="5779">
      <c r="A5779" t="inlineStr">
        <is>
          <t>Contractors</t>
        </is>
      </c>
      <c r="B5779" s="46">
        <f>'Contractors'!AI743</f>
        <v/>
      </c>
      <c r="C5779" s="84">
        <f>'Contractors'!AG743</f>
        <v/>
      </c>
      <c r="D5779" s="46">
        <f>'Contractors'!AH743</f>
        <v/>
      </c>
      <c r="E5779" s="46">
        <f>IF(OR(B5779="",C5779="",D5779=""),"",D5779*100000+(C5779-DATE(2000,1,1))+ROW()/100000)</f>
        <v/>
      </c>
      <c r="F5779" s="46">
        <f>IF(E5779="","",IF(C5779&gt;WeekEndDate,"",E5779))</f>
        <v/>
      </c>
    </row>
    <row r="5780">
      <c r="A5780" t="inlineStr">
        <is>
          <t>Contractors</t>
        </is>
      </c>
      <c r="B5780" s="46">
        <f>'Contractors'!AI744</f>
        <v/>
      </c>
      <c r="C5780" s="84">
        <f>'Contractors'!AG744</f>
        <v/>
      </c>
      <c r="D5780" s="46">
        <f>'Contractors'!AH744</f>
        <v/>
      </c>
      <c r="E5780" s="46">
        <f>IF(OR(B5780="",C5780="",D5780=""),"",D5780*100000+(C5780-DATE(2000,1,1))+ROW()/100000)</f>
        <v/>
      </c>
      <c r="F5780" s="46">
        <f>IF(E5780="","",IF(C5780&gt;WeekEndDate,"",E5780))</f>
        <v/>
      </c>
    </row>
    <row r="5781">
      <c r="A5781" t="inlineStr">
        <is>
          <t>Contractors</t>
        </is>
      </c>
      <c r="B5781" s="46">
        <f>'Contractors'!AI745</f>
        <v/>
      </c>
      <c r="C5781" s="84">
        <f>'Contractors'!AG745</f>
        <v/>
      </c>
      <c r="D5781" s="46">
        <f>'Contractors'!AH745</f>
        <v/>
      </c>
      <c r="E5781" s="46">
        <f>IF(OR(B5781="",C5781="",D5781=""),"",D5781*100000+(C5781-DATE(2000,1,1))+ROW()/100000)</f>
        <v/>
      </c>
      <c r="F5781" s="46">
        <f>IF(E5781="","",IF(C5781&gt;WeekEndDate,"",E5781))</f>
        <v/>
      </c>
    </row>
    <row r="5782">
      <c r="A5782" t="inlineStr">
        <is>
          <t>Contractors</t>
        </is>
      </c>
      <c r="B5782" s="46">
        <f>'Contractors'!AI746</f>
        <v/>
      </c>
      <c r="C5782" s="84">
        <f>'Contractors'!AG746</f>
        <v/>
      </c>
      <c r="D5782" s="46">
        <f>'Contractors'!AH746</f>
        <v/>
      </c>
      <c r="E5782" s="46">
        <f>IF(OR(B5782="",C5782="",D5782=""),"",D5782*100000+(C5782-DATE(2000,1,1))+ROW()/100000)</f>
        <v/>
      </c>
      <c r="F5782" s="46">
        <f>IF(E5782="","",IF(C5782&gt;WeekEndDate,"",E5782))</f>
        <v/>
      </c>
    </row>
    <row r="5783">
      <c r="A5783" t="inlineStr">
        <is>
          <t>Contractors</t>
        </is>
      </c>
      <c r="B5783" s="46">
        <f>'Contractors'!AI747</f>
        <v/>
      </c>
      <c r="C5783" s="84">
        <f>'Contractors'!AG747</f>
        <v/>
      </c>
      <c r="D5783" s="46">
        <f>'Contractors'!AH747</f>
        <v/>
      </c>
      <c r="E5783" s="46">
        <f>IF(OR(B5783="",C5783="",D5783=""),"",D5783*100000+(C5783-DATE(2000,1,1))+ROW()/100000)</f>
        <v/>
      </c>
      <c r="F5783" s="46">
        <f>IF(E5783="","",IF(C5783&gt;WeekEndDate,"",E5783))</f>
        <v/>
      </c>
    </row>
    <row r="5784">
      <c r="A5784" t="inlineStr">
        <is>
          <t>Contractors</t>
        </is>
      </c>
      <c r="B5784" s="46">
        <f>'Contractors'!AI748</f>
        <v/>
      </c>
      <c r="C5784" s="84">
        <f>'Contractors'!AG748</f>
        <v/>
      </c>
      <c r="D5784" s="46">
        <f>'Contractors'!AH748</f>
        <v/>
      </c>
      <c r="E5784" s="46">
        <f>IF(OR(B5784="",C5784="",D5784=""),"",D5784*100000+(C5784-DATE(2000,1,1))+ROW()/100000)</f>
        <v/>
      </c>
      <c r="F5784" s="46">
        <f>IF(E5784="","",IF(C5784&gt;WeekEndDate,"",E5784))</f>
        <v/>
      </c>
    </row>
    <row r="5785">
      <c r="A5785" t="inlineStr">
        <is>
          <t>Contractors</t>
        </is>
      </c>
      <c r="B5785" s="46">
        <f>'Contractors'!AI749</f>
        <v/>
      </c>
      <c r="C5785" s="84">
        <f>'Contractors'!AG749</f>
        <v/>
      </c>
      <c r="D5785" s="46">
        <f>'Contractors'!AH749</f>
        <v/>
      </c>
      <c r="E5785" s="46">
        <f>IF(OR(B5785="",C5785="",D5785=""),"",D5785*100000+(C5785-DATE(2000,1,1))+ROW()/100000)</f>
        <v/>
      </c>
      <c r="F5785" s="46">
        <f>IF(E5785="","",IF(C5785&gt;WeekEndDate,"",E5785))</f>
        <v/>
      </c>
    </row>
    <row r="5786">
      <c r="A5786" t="inlineStr">
        <is>
          <t>Contractors</t>
        </is>
      </c>
      <c r="B5786" s="46">
        <f>'Contractors'!AI750</f>
        <v/>
      </c>
      <c r="C5786" s="84">
        <f>'Contractors'!AG750</f>
        <v/>
      </c>
      <c r="D5786" s="46">
        <f>'Contractors'!AH750</f>
        <v/>
      </c>
      <c r="E5786" s="46">
        <f>IF(OR(B5786="",C5786="",D5786=""),"",D5786*100000+(C5786-DATE(2000,1,1))+ROW()/100000)</f>
        <v/>
      </c>
      <c r="F5786" s="46">
        <f>IF(E5786="","",IF(C5786&gt;WeekEndDate,"",E5786))</f>
        <v/>
      </c>
    </row>
    <row r="5787">
      <c r="A5787" t="inlineStr">
        <is>
          <t>Contractors</t>
        </is>
      </c>
      <c r="B5787" s="46">
        <f>'Contractors'!AI751</f>
        <v/>
      </c>
      <c r="C5787" s="84">
        <f>'Contractors'!AG751</f>
        <v/>
      </c>
      <c r="D5787" s="46">
        <f>'Contractors'!AH751</f>
        <v/>
      </c>
      <c r="E5787" s="46">
        <f>IF(OR(B5787="",C5787="",D5787=""),"",D5787*100000+(C5787-DATE(2000,1,1))+ROW()/100000)</f>
        <v/>
      </c>
      <c r="F5787" s="46">
        <f>IF(E5787="","",IF(C5787&gt;WeekEndDate,"",E5787))</f>
        <v/>
      </c>
    </row>
    <row r="5788">
      <c r="A5788" t="inlineStr">
        <is>
          <t>Contractors</t>
        </is>
      </c>
      <c r="B5788" s="46">
        <f>'Contractors'!AI752</f>
        <v/>
      </c>
      <c r="C5788" s="84">
        <f>'Contractors'!AG752</f>
        <v/>
      </c>
      <c r="D5788" s="46">
        <f>'Contractors'!AH752</f>
        <v/>
      </c>
      <c r="E5788" s="46">
        <f>IF(OR(B5788="",C5788="",D5788=""),"",D5788*100000+(C5788-DATE(2000,1,1))+ROW()/100000)</f>
        <v/>
      </c>
      <c r="F5788" s="46">
        <f>IF(E5788="","",IF(C5788&gt;WeekEndDate,"",E5788))</f>
        <v/>
      </c>
    </row>
    <row r="5789">
      <c r="A5789" t="inlineStr">
        <is>
          <t>Contractors</t>
        </is>
      </c>
      <c r="B5789" s="46">
        <f>'Contractors'!AI753</f>
        <v/>
      </c>
      <c r="C5789" s="84">
        <f>'Contractors'!AG753</f>
        <v/>
      </c>
      <c r="D5789" s="46">
        <f>'Contractors'!AH753</f>
        <v/>
      </c>
      <c r="E5789" s="46">
        <f>IF(OR(B5789="",C5789="",D5789=""),"",D5789*100000+(C5789-DATE(2000,1,1))+ROW()/100000)</f>
        <v/>
      </c>
      <c r="F5789" s="46">
        <f>IF(E5789="","",IF(C5789&gt;WeekEndDate,"",E5789))</f>
        <v/>
      </c>
    </row>
    <row r="5790">
      <c r="A5790" t="inlineStr">
        <is>
          <t>Contractors</t>
        </is>
      </c>
      <c r="B5790" s="46">
        <f>'Contractors'!AI754</f>
        <v/>
      </c>
      <c r="C5790" s="84">
        <f>'Contractors'!AG754</f>
        <v/>
      </c>
      <c r="D5790" s="46">
        <f>'Contractors'!AH754</f>
        <v/>
      </c>
      <c r="E5790" s="46">
        <f>IF(OR(B5790="",C5790="",D5790=""),"",D5790*100000+(C5790-DATE(2000,1,1))+ROW()/100000)</f>
        <v/>
      </c>
      <c r="F5790" s="46">
        <f>IF(E5790="","",IF(C5790&gt;WeekEndDate,"",E5790))</f>
        <v/>
      </c>
    </row>
    <row r="5791">
      <c r="A5791" t="inlineStr">
        <is>
          <t>Contractors</t>
        </is>
      </c>
      <c r="B5791" s="46">
        <f>'Contractors'!AI755</f>
        <v/>
      </c>
      <c r="C5791" s="84">
        <f>'Contractors'!AG755</f>
        <v/>
      </c>
      <c r="D5791" s="46">
        <f>'Contractors'!AH755</f>
        <v/>
      </c>
      <c r="E5791" s="46">
        <f>IF(OR(B5791="",C5791="",D5791=""),"",D5791*100000+(C5791-DATE(2000,1,1))+ROW()/100000)</f>
        <v/>
      </c>
      <c r="F5791" s="46">
        <f>IF(E5791="","",IF(C5791&gt;WeekEndDate,"",E5791))</f>
        <v/>
      </c>
    </row>
    <row r="5792">
      <c r="A5792" t="inlineStr">
        <is>
          <t>Contractors</t>
        </is>
      </c>
      <c r="B5792" s="46">
        <f>'Contractors'!AI756</f>
        <v/>
      </c>
      <c r="C5792" s="84">
        <f>'Contractors'!AG756</f>
        <v/>
      </c>
      <c r="D5792" s="46">
        <f>'Contractors'!AH756</f>
        <v/>
      </c>
      <c r="E5792" s="46">
        <f>IF(OR(B5792="",C5792="",D5792=""),"",D5792*100000+(C5792-DATE(2000,1,1))+ROW()/100000)</f>
        <v/>
      </c>
      <c r="F5792" s="46">
        <f>IF(E5792="","",IF(C5792&gt;WeekEndDate,"",E5792))</f>
        <v/>
      </c>
    </row>
    <row r="5793">
      <c r="A5793" t="inlineStr">
        <is>
          <t>Contractors</t>
        </is>
      </c>
      <c r="B5793" s="46">
        <f>'Contractors'!AI757</f>
        <v/>
      </c>
      <c r="C5793" s="84">
        <f>'Contractors'!AG757</f>
        <v/>
      </c>
      <c r="D5793" s="46">
        <f>'Contractors'!AH757</f>
        <v/>
      </c>
      <c r="E5793" s="46">
        <f>IF(OR(B5793="",C5793="",D5793=""),"",D5793*100000+(C5793-DATE(2000,1,1))+ROW()/100000)</f>
        <v/>
      </c>
      <c r="F5793" s="46">
        <f>IF(E5793="","",IF(C5793&gt;WeekEndDate,"",E5793))</f>
        <v/>
      </c>
    </row>
    <row r="5794">
      <c r="A5794" t="inlineStr">
        <is>
          <t>Contractors</t>
        </is>
      </c>
      <c r="B5794" s="46">
        <f>'Contractors'!AI758</f>
        <v/>
      </c>
      <c r="C5794" s="84">
        <f>'Contractors'!AG758</f>
        <v/>
      </c>
      <c r="D5794" s="46">
        <f>'Contractors'!AH758</f>
        <v/>
      </c>
      <c r="E5794" s="46">
        <f>IF(OR(B5794="",C5794="",D5794=""),"",D5794*100000+(C5794-DATE(2000,1,1))+ROW()/100000)</f>
        <v/>
      </c>
      <c r="F5794" s="46">
        <f>IF(E5794="","",IF(C5794&gt;WeekEndDate,"",E5794))</f>
        <v/>
      </c>
    </row>
    <row r="5795">
      <c r="A5795" t="inlineStr">
        <is>
          <t>Contractors</t>
        </is>
      </c>
      <c r="B5795" s="46">
        <f>'Contractors'!AI759</f>
        <v/>
      </c>
      <c r="C5795" s="84">
        <f>'Contractors'!AG759</f>
        <v/>
      </c>
      <c r="D5795" s="46">
        <f>'Contractors'!AH759</f>
        <v/>
      </c>
      <c r="E5795" s="46">
        <f>IF(OR(B5795="",C5795="",D5795=""),"",D5795*100000+(C5795-DATE(2000,1,1))+ROW()/100000)</f>
        <v/>
      </c>
      <c r="F5795" s="46">
        <f>IF(E5795="","",IF(C5795&gt;WeekEndDate,"",E5795))</f>
        <v/>
      </c>
    </row>
    <row r="5796">
      <c r="A5796" t="inlineStr">
        <is>
          <t>Contractors</t>
        </is>
      </c>
      <c r="B5796" s="46">
        <f>'Contractors'!AI760</f>
        <v/>
      </c>
      <c r="C5796" s="84">
        <f>'Contractors'!AG760</f>
        <v/>
      </c>
      <c r="D5796" s="46">
        <f>'Contractors'!AH760</f>
        <v/>
      </c>
      <c r="E5796" s="46">
        <f>IF(OR(B5796="",C5796="",D5796=""),"",D5796*100000+(C5796-DATE(2000,1,1))+ROW()/100000)</f>
        <v/>
      </c>
      <c r="F5796" s="46">
        <f>IF(E5796="","",IF(C5796&gt;WeekEndDate,"",E5796))</f>
        <v/>
      </c>
    </row>
    <row r="5797">
      <c r="A5797" t="inlineStr">
        <is>
          <t>Contractors</t>
        </is>
      </c>
      <c r="B5797" s="46">
        <f>'Contractors'!AI761</f>
        <v/>
      </c>
      <c r="C5797" s="84">
        <f>'Contractors'!AG761</f>
        <v/>
      </c>
      <c r="D5797" s="46">
        <f>'Contractors'!AH761</f>
        <v/>
      </c>
      <c r="E5797" s="46">
        <f>IF(OR(B5797="",C5797="",D5797=""),"",D5797*100000+(C5797-DATE(2000,1,1))+ROW()/100000)</f>
        <v/>
      </c>
      <c r="F5797" s="46">
        <f>IF(E5797="","",IF(C5797&gt;WeekEndDate,"",E5797))</f>
        <v/>
      </c>
    </row>
    <row r="5798">
      <c r="A5798" t="inlineStr">
        <is>
          <t>Contractors</t>
        </is>
      </c>
      <c r="B5798" s="46">
        <f>'Contractors'!AI762</f>
        <v/>
      </c>
      <c r="C5798" s="84">
        <f>'Contractors'!AG762</f>
        <v/>
      </c>
      <c r="D5798" s="46">
        <f>'Contractors'!AH762</f>
        <v/>
      </c>
      <c r="E5798" s="46">
        <f>IF(OR(B5798="",C5798="",D5798=""),"",D5798*100000+(C5798-DATE(2000,1,1))+ROW()/100000)</f>
        <v/>
      </c>
      <c r="F5798" s="46">
        <f>IF(E5798="","",IF(C5798&gt;WeekEndDate,"",E5798))</f>
        <v/>
      </c>
    </row>
    <row r="5799">
      <c r="A5799" t="inlineStr">
        <is>
          <t>Contractors</t>
        </is>
      </c>
      <c r="B5799" s="46">
        <f>'Contractors'!AI763</f>
        <v/>
      </c>
      <c r="C5799" s="84">
        <f>'Contractors'!AG763</f>
        <v/>
      </c>
      <c r="D5799" s="46">
        <f>'Contractors'!AH763</f>
        <v/>
      </c>
      <c r="E5799" s="46">
        <f>IF(OR(B5799="",C5799="",D5799=""),"",D5799*100000+(C5799-DATE(2000,1,1))+ROW()/100000)</f>
        <v/>
      </c>
      <c r="F5799" s="46">
        <f>IF(E5799="","",IF(C5799&gt;WeekEndDate,"",E5799))</f>
        <v/>
      </c>
    </row>
    <row r="5800">
      <c r="A5800" t="inlineStr">
        <is>
          <t>Contractors</t>
        </is>
      </c>
      <c r="B5800" s="46">
        <f>'Contractors'!AI764</f>
        <v/>
      </c>
      <c r="C5800" s="84">
        <f>'Contractors'!AG764</f>
        <v/>
      </c>
      <c r="D5800" s="46">
        <f>'Contractors'!AH764</f>
        <v/>
      </c>
      <c r="E5800" s="46">
        <f>IF(OR(B5800="",C5800="",D5800=""),"",D5800*100000+(C5800-DATE(2000,1,1))+ROW()/100000)</f>
        <v/>
      </c>
      <c r="F5800" s="46">
        <f>IF(E5800="","",IF(C5800&gt;WeekEndDate,"",E5800))</f>
        <v/>
      </c>
    </row>
    <row r="5801">
      <c r="A5801" t="inlineStr">
        <is>
          <t>Contractors</t>
        </is>
      </c>
      <c r="B5801" s="46">
        <f>'Contractors'!AI765</f>
        <v/>
      </c>
      <c r="C5801" s="84">
        <f>'Contractors'!AG765</f>
        <v/>
      </c>
      <c r="D5801" s="46">
        <f>'Contractors'!AH765</f>
        <v/>
      </c>
      <c r="E5801" s="46">
        <f>IF(OR(B5801="",C5801="",D5801=""),"",D5801*100000+(C5801-DATE(2000,1,1))+ROW()/100000)</f>
        <v/>
      </c>
      <c r="F5801" s="46">
        <f>IF(E5801="","",IF(C5801&gt;WeekEndDate,"",E5801))</f>
        <v/>
      </c>
    </row>
    <row r="5802">
      <c r="A5802" t="inlineStr">
        <is>
          <t>Contractors</t>
        </is>
      </c>
      <c r="B5802" s="46">
        <f>'Contractors'!AI766</f>
        <v/>
      </c>
      <c r="C5802" s="84">
        <f>'Contractors'!AG766</f>
        <v/>
      </c>
      <c r="D5802" s="46">
        <f>'Contractors'!AH766</f>
        <v/>
      </c>
      <c r="E5802" s="46">
        <f>IF(OR(B5802="",C5802="",D5802=""),"",D5802*100000+(C5802-DATE(2000,1,1))+ROW()/100000)</f>
        <v/>
      </c>
      <c r="F5802" s="46">
        <f>IF(E5802="","",IF(C5802&gt;WeekEndDate,"",E5802))</f>
        <v/>
      </c>
    </row>
    <row r="5803">
      <c r="A5803" t="inlineStr">
        <is>
          <t>Contractors</t>
        </is>
      </c>
      <c r="B5803" s="46">
        <f>'Contractors'!AI767</f>
        <v/>
      </c>
      <c r="C5803" s="84">
        <f>'Contractors'!AG767</f>
        <v/>
      </c>
      <c r="D5803" s="46">
        <f>'Contractors'!AH767</f>
        <v/>
      </c>
      <c r="E5803" s="46">
        <f>IF(OR(B5803="",C5803="",D5803=""),"",D5803*100000+(C5803-DATE(2000,1,1))+ROW()/100000)</f>
        <v/>
      </c>
      <c r="F5803" s="46">
        <f>IF(E5803="","",IF(C5803&gt;WeekEndDate,"",E5803))</f>
        <v/>
      </c>
    </row>
    <row r="5804">
      <c r="A5804" t="inlineStr">
        <is>
          <t>Contractors</t>
        </is>
      </c>
      <c r="B5804" s="46">
        <f>'Contractors'!AI768</f>
        <v/>
      </c>
      <c r="C5804" s="84">
        <f>'Contractors'!AG768</f>
        <v/>
      </c>
      <c r="D5804" s="46">
        <f>'Contractors'!AH768</f>
        <v/>
      </c>
      <c r="E5804" s="46">
        <f>IF(OR(B5804="",C5804="",D5804=""),"",D5804*100000+(C5804-DATE(2000,1,1))+ROW()/100000)</f>
        <v/>
      </c>
      <c r="F5804" s="46">
        <f>IF(E5804="","",IF(C5804&gt;WeekEndDate,"",E5804))</f>
        <v/>
      </c>
    </row>
    <row r="5805">
      <c r="A5805" t="inlineStr">
        <is>
          <t>Contractors</t>
        </is>
      </c>
      <c r="B5805" s="46">
        <f>'Contractors'!AI769</f>
        <v/>
      </c>
      <c r="C5805" s="84">
        <f>'Contractors'!AG769</f>
        <v/>
      </c>
      <c r="D5805" s="46">
        <f>'Contractors'!AH769</f>
        <v/>
      </c>
      <c r="E5805" s="46">
        <f>IF(OR(B5805="",C5805="",D5805=""),"",D5805*100000+(C5805-DATE(2000,1,1))+ROW()/100000)</f>
        <v/>
      </c>
      <c r="F5805" s="46">
        <f>IF(E5805="","",IF(C5805&gt;WeekEndDate,"",E5805))</f>
        <v/>
      </c>
    </row>
    <row r="5806">
      <c r="A5806" t="inlineStr">
        <is>
          <t>Contractors</t>
        </is>
      </c>
      <c r="B5806" s="46">
        <f>'Contractors'!AI770</f>
        <v/>
      </c>
      <c r="C5806" s="84">
        <f>'Contractors'!AG770</f>
        <v/>
      </c>
      <c r="D5806" s="46">
        <f>'Contractors'!AH770</f>
        <v/>
      </c>
      <c r="E5806" s="46">
        <f>IF(OR(B5806="",C5806="",D5806=""),"",D5806*100000+(C5806-DATE(2000,1,1))+ROW()/100000)</f>
        <v/>
      </c>
      <c r="F5806" s="46">
        <f>IF(E5806="","",IF(C5806&gt;WeekEndDate,"",E5806))</f>
        <v/>
      </c>
    </row>
    <row r="5807">
      <c r="A5807" t="inlineStr">
        <is>
          <t>Contractors</t>
        </is>
      </c>
      <c r="B5807" s="46">
        <f>'Contractors'!AI771</f>
        <v/>
      </c>
      <c r="C5807" s="84">
        <f>'Contractors'!AG771</f>
        <v/>
      </c>
      <c r="D5807" s="46">
        <f>'Contractors'!AH771</f>
        <v/>
      </c>
      <c r="E5807" s="46">
        <f>IF(OR(B5807="",C5807="",D5807=""),"",D5807*100000+(C5807-DATE(2000,1,1))+ROW()/100000)</f>
        <v/>
      </c>
      <c r="F5807" s="46">
        <f>IF(E5807="","",IF(C5807&gt;WeekEndDate,"",E5807))</f>
        <v/>
      </c>
    </row>
    <row r="5808">
      <c r="A5808" t="inlineStr">
        <is>
          <t>Contractors</t>
        </is>
      </c>
      <c r="B5808" s="46">
        <f>'Contractors'!AI772</f>
        <v/>
      </c>
      <c r="C5808" s="84">
        <f>'Contractors'!AG772</f>
        <v/>
      </c>
      <c r="D5808" s="46">
        <f>'Contractors'!AH772</f>
        <v/>
      </c>
      <c r="E5808" s="46">
        <f>IF(OR(B5808="",C5808="",D5808=""),"",D5808*100000+(C5808-DATE(2000,1,1))+ROW()/100000)</f>
        <v/>
      </c>
      <c r="F5808" s="46">
        <f>IF(E5808="","",IF(C5808&gt;WeekEndDate,"",E5808))</f>
        <v/>
      </c>
    </row>
    <row r="5809">
      <c r="A5809" t="inlineStr">
        <is>
          <t>Contractors</t>
        </is>
      </c>
      <c r="B5809" s="46">
        <f>'Contractors'!AI773</f>
        <v/>
      </c>
      <c r="C5809" s="84">
        <f>'Contractors'!AG773</f>
        <v/>
      </c>
      <c r="D5809" s="46">
        <f>'Contractors'!AH773</f>
        <v/>
      </c>
      <c r="E5809" s="46">
        <f>IF(OR(B5809="",C5809="",D5809=""),"",D5809*100000+(C5809-DATE(2000,1,1))+ROW()/100000)</f>
        <v/>
      </c>
      <c r="F5809" s="46">
        <f>IF(E5809="","",IF(C5809&gt;WeekEndDate,"",E5809))</f>
        <v/>
      </c>
    </row>
    <row r="5810">
      <c r="A5810" t="inlineStr">
        <is>
          <t>Contractors</t>
        </is>
      </c>
      <c r="B5810" s="46">
        <f>'Contractors'!AI774</f>
        <v/>
      </c>
      <c r="C5810" s="84">
        <f>'Contractors'!AG774</f>
        <v/>
      </c>
      <c r="D5810" s="46">
        <f>'Contractors'!AH774</f>
        <v/>
      </c>
      <c r="E5810" s="46">
        <f>IF(OR(B5810="",C5810="",D5810=""),"",D5810*100000+(C5810-DATE(2000,1,1))+ROW()/100000)</f>
        <v/>
      </c>
      <c r="F5810" s="46">
        <f>IF(E5810="","",IF(C5810&gt;WeekEndDate,"",E5810))</f>
        <v/>
      </c>
    </row>
    <row r="5811">
      <c r="A5811" t="inlineStr">
        <is>
          <t>Contractors</t>
        </is>
      </c>
      <c r="B5811" s="46">
        <f>'Contractors'!AI775</f>
        <v/>
      </c>
      <c r="C5811" s="84">
        <f>'Contractors'!AG775</f>
        <v/>
      </c>
      <c r="D5811" s="46">
        <f>'Contractors'!AH775</f>
        <v/>
      </c>
      <c r="E5811" s="46">
        <f>IF(OR(B5811="",C5811="",D5811=""),"",D5811*100000+(C5811-DATE(2000,1,1))+ROW()/100000)</f>
        <v/>
      </c>
      <c r="F5811" s="46">
        <f>IF(E5811="","",IF(C5811&gt;WeekEndDate,"",E5811))</f>
        <v/>
      </c>
    </row>
    <row r="5812">
      <c r="A5812" t="inlineStr">
        <is>
          <t>Contractors</t>
        </is>
      </c>
      <c r="B5812" s="46">
        <f>'Contractors'!AI776</f>
        <v/>
      </c>
      <c r="C5812" s="84">
        <f>'Contractors'!AG776</f>
        <v/>
      </c>
      <c r="D5812" s="46">
        <f>'Contractors'!AH776</f>
        <v/>
      </c>
      <c r="E5812" s="46">
        <f>IF(OR(B5812="",C5812="",D5812=""),"",D5812*100000+(C5812-DATE(2000,1,1))+ROW()/100000)</f>
        <v/>
      </c>
      <c r="F5812" s="46">
        <f>IF(E5812="","",IF(C5812&gt;WeekEndDate,"",E5812))</f>
        <v/>
      </c>
    </row>
    <row r="5813">
      <c r="A5813" t="inlineStr">
        <is>
          <t>Contractors</t>
        </is>
      </c>
      <c r="B5813" s="46">
        <f>'Contractors'!AI777</f>
        <v/>
      </c>
      <c r="C5813" s="84">
        <f>'Contractors'!AG777</f>
        <v/>
      </c>
      <c r="D5813" s="46">
        <f>'Contractors'!AH777</f>
        <v/>
      </c>
      <c r="E5813" s="46">
        <f>IF(OR(B5813="",C5813="",D5813=""),"",D5813*100000+(C5813-DATE(2000,1,1))+ROW()/100000)</f>
        <v/>
      </c>
      <c r="F5813" s="46">
        <f>IF(E5813="","",IF(C5813&gt;WeekEndDate,"",E5813))</f>
        <v/>
      </c>
    </row>
    <row r="5814">
      <c r="A5814" t="inlineStr">
        <is>
          <t>Contractors</t>
        </is>
      </c>
      <c r="B5814" s="46">
        <f>'Contractors'!AI778</f>
        <v/>
      </c>
      <c r="C5814" s="84">
        <f>'Contractors'!AG778</f>
        <v/>
      </c>
      <c r="D5814" s="46">
        <f>'Contractors'!AH778</f>
        <v/>
      </c>
      <c r="E5814" s="46">
        <f>IF(OR(B5814="",C5814="",D5814=""),"",D5814*100000+(C5814-DATE(2000,1,1))+ROW()/100000)</f>
        <v/>
      </c>
      <c r="F5814" s="46">
        <f>IF(E5814="","",IF(C5814&gt;WeekEndDate,"",E5814))</f>
        <v/>
      </c>
    </row>
    <row r="5815">
      <c r="A5815" t="inlineStr">
        <is>
          <t>Contractors</t>
        </is>
      </c>
      <c r="B5815" s="46">
        <f>'Contractors'!AI779</f>
        <v/>
      </c>
      <c r="C5815" s="84">
        <f>'Contractors'!AG779</f>
        <v/>
      </c>
      <c r="D5815" s="46">
        <f>'Contractors'!AH779</f>
        <v/>
      </c>
      <c r="E5815" s="46">
        <f>IF(OR(B5815="",C5815="",D5815=""),"",D5815*100000+(C5815-DATE(2000,1,1))+ROW()/100000)</f>
        <v/>
      </c>
      <c r="F5815" s="46">
        <f>IF(E5815="","",IF(C5815&gt;WeekEndDate,"",E5815))</f>
        <v/>
      </c>
    </row>
    <row r="5816">
      <c r="A5816" t="inlineStr">
        <is>
          <t>Contractors</t>
        </is>
      </c>
      <c r="B5816" s="46">
        <f>'Contractors'!AI780</f>
        <v/>
      </c>
      <c r="C5816" s="84">
        <f>'Contractors'!AG780</f>
        <v/>
      </c>
      <c r="D5816" s="46">
        <f>'Contractors'!AH780</f>
        <v/>
      </c>
      <c r="E5816" s="46">
        <f>IF(OR(B5816="",C5816="",D5816=""),"",D5816*100000+(C5816-DATE(2000,1,1))+ROW()/100000)</f>
        <v/>
      </c>
      <c r="F5816" s="46">
        <f>IF(E5816="","",IF(C5816&gt;WeekEndDate,"",E5816))</f>
        <v/>
      </c>
    </row>
    <row r="5817">
      <c r="A5817" t="inlineStr">
        <is>
          <t>Contractors</t>
        </is>
      </c>
      <c r="B5817" s="46">
        <f>'Contractors'!AI781</f>
        <v/>
      </c>
      <c r="C5817" s="84">
        <f>'Contractors'!AG781</f>
        <v/>
      </c>
      <c r="D5817" s="46">
        <f>'Contractors'!AH781</f>
        <v/>
      </c>
      <c r="E5817" s="46">
        <f>IF(OR(B5817="",C5817="",D5817=""),"",D5817*100000+(C5817-DATE(2000,1,1))+ROW()/100000)</f>
        <v/>
      </c>
      <c r="F5817" s="46">
        <f>IF(E5817="","",IF(C5817&gt;WeekEndDate,"",E5817))</f>
        <v/>
      </c>
    </row>
    <row r="5818">
      <c r="A5818" t="inlineStr">
        <is>
          <t>Contractors</t>
        </is>
      </c>
      <c r="B5818" s="46">
        <f>'Contractors'!AI782</f>
        <v/>
      </c>
      <c r="C5818" s="84">
        <f>'Contractors'!AG782</f>
        <v/>
      </c>
      <c r="D5818" s="46">
        <f>'Contractors'!AH782</f>
        <v/>
      </c>
      <c r="E5818" s="46">
        <f>IF(OR(B5818="",C5818="",D5818=""),"",D5818*100000+(C5818-DATE(2000,1,1))+ROW()/100000)</f>
        <v/>
      </c>
      <c r="F5818" s="46">
        <f>IF(E5818="","",IF(C5818&gt;WeekEndDate,"",E5818))</f>
        <v/>
      </c>
    </row>
    <row r="5819">
      <c r="A5819" t="inlineStr">
        <is>
          <t>Contractors</t>
        </is>
      </c>
      <c r="B5819" s="46">
        <f>'Contractors'!AI783</f>
        <v/>
      </c>
      <c r="C5819" s="84">
        <f>'Contractors'!AG783</f>
        <v/>
      </c>
      <c r="D5819" s="46">
        <f>'Contractors'!AH783</f>
        <v/>
      </c>
      <c r="E5819" s="46">
        <f>IF(OR(B5819="",C5819="",D5819=""),"",D5819*100000+(C5819-DATE(2000,1,1))+ROW()/100000)</f>
        <v/>
      </c>
      <c r="F5819" s="46">
        <f>IF(E5819="","",IF(C5819&gt;WeekEndDate,"",E5819))</f>
        <v/>
      </c>
    </row>
    <row r="5820">
      <c r="A5820" t="inlineStr">
        <is>
          <t>Contractors</t>
        </is>
      </c>
      <c r="B5820" s="46">
        <f>'Contractors'!AI784</f>
        <v/>
      </c>
      <c r="C5820" s="84">
        <f>'Contractors'!AG784</f>
        <v/>
      </c>
      <c r="D5820" s="46">
        <f>'Contractors'!AH784</f>
        <v/>
      </c>
      <c r="E5820" s="46">
        <f>IF(OR(B5820="",C5820="",D5820=""),"",D5820*100000+(C5820-DATE(2000,1,1))+ROW()/100000)</f>
        <v/>
      </c>
      <c r="F5820" s="46">
        <f>IF(E5820="","",IF(C5820&gt;WeekEndDate,"",E5820))</f>
        <v/>
      </c>
    </row>
    <row r="5821">
      <c r="A5821" t="inlineStr">
        <is>
          <t>Contractors</t>
        </is>
      </c>
      <c r="B5821" s="46">
        <f>'Contractors'!AI785</f>
        <v/>
      </c>
      <c r="C5821" s="84">
        <f>'Contractors'!AG785</f>
        <v/>
      </c>
      <c r="D5821" s="46">
        <f>'Contractors'!AH785</f>
        <v/>
      </c>
      <c r="E5821" s="46">
        <f>IF(OR(B5821="",C5821="",D5821=""),"",D5821*100000+(C5821-DATE(2000,1,1))+ROW()/100000)</f>
        <v/>
      </c>
      <c r="F5821" s="46">
        <f>IF(E5821="","",IF(C5821&gt;WeekEndDate,"",E5821))</f>
        <v/>
      </c>
    </row>
    <row r="5822">
      <c r="A5822" t="inlineStr">
        <is>
          <t>Contractors</t>
        </is>
      </c>
      <c r="B5822" s="46">
        <f>'Contractors'!AI786</f>
        <v/>
      </c>
      <c r="C5822" s="84">
        <f>'Contractors'!AG786</f>
        <v/>
      </c>
      <c r="D5822" s="46">
        <f>'Contractors'!AH786</f>
        <v/>
      </c>
      <c r="E5822" s="46">
        <f>IF(OR(B5822="",C5822="",D5822=""),"",D5822*100000+(C5822-DATE(2000,1,1))+ROW()/100000)</f>
        <v/>
      </c>
      <c r="F5822" s="46">
        <f>IF(E5822="","",IF(C5822&gt;WeekEndDate,"",E5822))</f>
        <v/>
      </c>
    </row>
    <row r="5823">
      <c r="A5823" t="inlineStr">
        <is>
          <t>Contractors</t>
        </is>
      </c>
      <c r="B5823" s="46">
        <f>'Contractors'!AI787</f>
        <v/>
      </c>
      <c r="C5823" s="84">
        <f>'Contractors'!AG787</f>
        <v/>
      </c>
      <c r="D5823" s="46">
        <f>'Contractors'!AH787</f>
        <v/>
      </c>
      <c r="E5823" s="46">
        <f>IF(OR(B5823="",C5823="",D5823=""),"",D5823*100000+(C5823-DATE(2000,1,1))+ROW()/100000)</f>
        <v/>
      </c>
      <c r="F5823" s="46">
        <f>IF(E5823="","",IF(C5823&gt;WeekEndDate,"",E5823))</f>
        <v/>
      </c>
    </row>
    <row r="5824">
      <c r="A5824" t="inlineStr">
        <is>
          <t>Contractors</t>
        </is>
      </c>
      <c r="B5824" s="46">
        <f>'Contractors'!AI788</f>
        <v/>
      </c>
      <c r="C5824" s="84">
        <f>'Contractors'!AG788</f>
        <v/>
      </c>
      <c r="D5824" s="46">
        <f>'Contractors'!AH788</f>
        <v/>
      </c>
      <c r="E5824" s="46">
        <f>IF(OR(B5824="",C5824="",D5824=""),"",D5824*100000+(C5824-DATE(2000,1,1))+ROW()/100000)</f>
        <v/>
      </c>
      <c r="F5824" s="46">
        <f>IF(E5824="","",IF(C5824&gt;WeekEndDate,"",E5824))</f>
        <v/>
      </c>
    </row>
    <row r="5825">
      <c r="A5825" t="inlineStr">
        <is>
          <t>Contractors</t>
        </is>
      </c>
      <c r="B5825" s="46">
        <f>'Contractors'!AI789</f>
        <v/>
      </c>
      <c r="C5825" s="84">
        <f>'Contractors'!AG789</f>
        <v/>
      </c>
      <c r="D5825" s="46">
        <f>'Contractors'!AH789</f>
        <v/>
      </c>
      <c r="E5825" s="46">
        <f>IF(OR(B5825="",C5825="",D5825=""),"",D5825*100000+(C5825-DATE(2000,1,1))+ROW()/100000)</f>
        <v/>
      </c>
      <c r="F5825" s="46">
        <f>IF(E5825="","",IF(C5825&gt;WeekEndDate,"",E5825))</f>
        <v/>
      </c>
    </row>
    <row r="5826">
      <c r="A5826" t="inlineStr">
        <is>
          <t>Contractors</t>
        </is>
      </c>
      <c r="B5826" s="46">
        <f>'Contractors'!AI790</f>
        <v/>
      </c>
      <c r="C5826" s="84">
        <f>'Contractors'!AG790</f>
        <v/>
      </c>
      <c r="D5826" s="46">
        <f>'Contractors'!AH790</f>
        <v/>
      </c>
      <c r="E5826" s="46">
        <f>IF(OR(B5826="",C5826="",D5826=""),"",D5826*100000+(C5826-DATE(2000,1,1))+ROW()/100000)</f>
        <v/>
      </c>
      <c r="F5826" s="46">
        <f>IF(E5826="","",IF(C5826&gt;WeekEndDate,"",E5826))</f>
        <v/>
      </c>
    </row>
    <row r="5827">
      <c r="A5827" t="inlineStr">
        <is>
          <t>Contractors</t>
        </is>
      </c>
      <c r="B5827" s="46">
        <f>'Contractors'!AI791</f>
        <v/>
      </c>
      <c r="C5827" s="84">
        <f>'Contractors'!AG791</f>
        <v/>
      </c>
      <c r="D5827" s="46">
        <f>'Contractors'!AH791</f>
        <v/>
      </c>
      <c r="E5827" s="46">
        <f>IF(OR(B5827="",C5827="",D5827=""),"",D5827*100000+(C5827-DATE(2000,1,1))+ROW()/100000)</f>
        <v/>
      </c>
      <c r="F5827" s="46">
        <f>IF(E5827="","",IF(C5827&gt;WeekEndDate,"",E5827))</f>
        <v/>
      </c>
    </row>
    <row r="5828">
      <c r="A5828" t="inlineStr">
        <is>
          <t>Contractors</t>
        </is>
      </c>
      <c r="B5828" s="46">
        <f>'Contractors'!AI792</f>
        <v/>
      </c>
      <c r="C5828" s="84">
        <f>'Contractors'!AG792</f>
        <v/>
      </c>
      <c r="D5828" s="46">
        <f>'Contractors'!AH792</f>
        <v/>
      </c>
      <c r="E5828" s="46">
        <f>IF(OR(B5828="",C5828="",D5828=""),"",D5828*100000+(C5828-DATE(2000,1,1))+ROW()/100000)</f>
        <v/>
      </c>
      <c r="F5828" s="46">
        <f>IF(E5828="","",IF(C5828&gt;WeekEndDate,"",E5828))</f>
        <v/>
      </c>
    </row>
    <row r="5829">
      <c r="A5829" t="inlineStr">
        <is>
          <t>Contractors</t>
        </is>
      </c>
      <c r="B5829" s="46">
        <f>'Contractors'!AI793</f>
        <v/>
      </c>
      <c r="C5829" s="84">
        <f>'Contractors'!AG793</f>
        <v/>
      </c>
      <c r="D5829" s="46">
        <f>'Contractors'!AH793</f>
        <v/>
      </c>
      <c r="E5829" s="46">
        <f>IF(OR(B5829="",C5829="",D5829=""),"",D5829*100000+(C5829-DATE(2000,1,1))+ROW()/100000)</f>
        <v/>
      </c>
      <c r="F5829" s="46">
        <f>IF(E5829="","",IF(C5829&gt;WeekEndDate,"",E5829))</f>
        <v/>
      </c>
    </row>
    <row r="5830">
      <c r="A5830" t="inlineStr">
        <is>
          <t>Contractors</t>
        </is>
      </c>
      <c r="B5830" s="46">
        <f>'Contractors'!AI794</f>
        <v/>
      </c>
      <c r="C5830" s="84">
        <f>'Contractors'!AG794</f>
        <v/>
      </c>
      <c r="D5830" s="46">
        <f>'Contractors'!AH794</f>
        <v/>
      </c>
      <c r="E5830" s="46">
        <f>IF(OR(B5830="",C5830="",D5830=""),"",D5830*100000+(C5830-DATE(2000,1,1))+ROW()/100000)</f>
        <v/>
      </c>
      <c r="F5830" s="46">
        <f>IF(E5830="","",IF(C5830&gt;WeekEndDate,"",E5830))</f>
        <v/>
      </c>
    </row>
    <row r="5831">
      <c r="A5831" t="inlineStr">
        <is>
          <t>Contractors</t>
        </is>
      </c>
      <c r="B5831" s="46">
        <f>'Contractors'!AI795</f>
        <v/>
      </c>
      <c r="C5831" s="84">
        <f>'Contractors'!AG795</f>
        <v/>
      </c>
      <c r="D5831" s="46">
        <f>'Contractors'!AH795</f>
        <v/>
      </c>
      <c r="E5831" s="46">
        <f>IF(OR(B5831="",C5831="",D5831=""),"",D5831*100000+(C5831-DATE(2000,1,1))+ROW()/100000)</f>
        <v/>
      </c>
      <c r="F5831" s="46">
        <f>IF(E5831="","",IF(C5831&gt;WeekEndDate,"",E5831))</f>
        <v/>
      </c>
    </row>
    <row r="5832">
      <c r="A5832" t="inlineStr">
        <is>
          <t>Contractors</t>
        </is>
      </c>
      <c r="B5832" s="46">
        <f>'Contractors'!AI796</f>
        <v/>
      </c>
      <c r="C5832" s="84">
        <f>'Contractors'!AG796</f>
        <v/>
      </c>
      <c r="D5832" s="46">
        <f>'Contractors'!AH796</f>
        <v/>
      </c>
      <c r="E5832" s="46">
        <f>IF(OR(B5832="",C5832="",D5832=""),"",D5832*100000+(C5832-DATE(2000,1,1))+ROW()/100000)</f>
        <v/>
      </c>
      <c r="F5832" s="46">
        <f>IF(E5832="","",IF(C5832&gt;WeekEndDate,"",E5832))</f>
        <v/>
      </c>
    </row>
    <row r="5833">
      <c r="A5833" t="inlineStr">
        <is>
          <t>Contractors</t>
        </is>
      </c>
      <c r="B5833" s="46">
        <f>'Contractors'!AI797</f>
        <v/>
      </c>
      <c r="C5833" s="84">
        <f>'Contractors'!AG797</f>
        <v/>
      </c>
      <c r="D5833" s="46">
        <f>'Contractors'!AH797</f>
        <v/>
      </c>
      <c r="E5833" s="46">
        <f>IF(OR(B5833="",C5833="",D5833=""),"",D5833*100000+(C5833-DATE(2000,1,1))+ROW()/100000)</f>
        <v/>
      </c>
      <c r="F5833" s="46">
        <f>IF(E5833="","",IF(C5833&gt;WeekEndDate,"",E5833))</f>
        <v/>
      </c>
    </row>
    <row r="5834">
      <c r="A5834" t="inlineStr">
        <is>
          <t>Contractors</t>
        </is>
      </c>
      <c r="B5834" s="46">
        <f>'Contractors'!AI798</f>
        <v/>
      </c>
      <c r="C5834" s="84">
        <f>'Contractors'!AG798</f>
        <v/>
      </c>
      <c r="D5834" s="46">
        <f>'Contractors'!AH798</f>
        <v/>
      </c>
      <c r="E5834" s="46">
        <f>IF(OR(B5834="",C5834="",D5834=""),"",D5834*100000+(C5834-DATE(2000,1,1))+ROW()/100000)</f>
        <v/>
      </c>
      <c r="F5834" s="46">
        <f>IF(E5834="","",IF(C5834&gt;WeekEndDate,"",E5834))</f>
        <v/>
      </c>
    </row>
    <row r="5835">
      <c r="A5835" t="inlineStr">
        <is>
          <t>Contractors</t>
        </is>
      </c>
      <c r="B5835" s="46">
        <f>'Contractors'!AI799</f>
        <v/>
      </c>
      <c r="C5835" s="84">
        <f>'Contractors'!AG799</f>
        <v/>
      </c>
      <c r="D5835" s="46">
        <f>'Contractors'!AH799</f>
        <v/>
      </c>
      <c r="E5835" s="46">
        <f>IF(OR(B5835="",C5835="",D5835=""),"",D5835*100000+(C5835-DATE(2000,1,1))+ROW()/100000)</f>
        <v/>
      </c>
      <c r="F5835" s="46">
        <f>IF(E5835="","",IF(C5835&gt;WeekEndDate,"",E5835))</f>
        <v/>
      </c>
    </row>
    <row r="5836">
      <c r="A5836" t="inlineStr">
        <is>
          <t>Contractors</t>
        </is>
      </c>
      <c r="B5836" s="46">
        <f>'Contractors'!AI800</f>
        <v/>
      </c>
      <c r="C5836" s="84">
        <f>'Contractors'!AG800</f>
        <v/>
      </c>
      <c r="D5836" s="46">
        <f>'Contractors'!AH800</f>
        <v/>
      </c>
      <c r="E5836" s="46">
        <f>IF(OR(B5836="",C5836="",D5836=""),"",D5836*100000+(C5836-DATE(2000,1,1))+ROW()/100000)</f>
        <v/>
      </c>
      <c r="F5836" s="46">
        <f>IF(E5836="","",IF(C5836&gt;WeekEndDate,"",E5836))</f>
        <v/>
      </c>
    </row>
    <row r="5837">
      <c r="A5837" t="inlineStr">
        <is>
          <t>Contractors</t>
        </is>
      </c>
      <c r="B5837" s="46">
        <f>'Contractors'!AI801</f>
        <v/>
      </c>
      <c r="C5837" s="84">
        <f>'Contractors'!AG801</f>
        <v/>
      </c>
      <c r="D5837" s="46">
        <f>'Contractors'!AH801</f>
        <v/>
      </c>
      <c r="E5837" s="46">
        <f>IF(OR(B5837="",C5837="",D5837=""),"",D5837*100000+(C5837-DATE(2000,1,1))+ROW()/100000)</f>
        <v/>
      </c>
      <c r="F5837" s="46">
        <f>IF(E5837="","",IF(C5837&gt;WeekEndDate,"",E5837))</f>
        <v/>
      </c>
    </row>
    <row r="5838">
      <c r="A5838" t="inlineStr">
        <is>
          <t>Contractors</t>
        </is>
      </c>
      <c r="B5838" s="46">
        <f>'Contractors'!AI802</f>
        <v/>
      </c>
      <c r="C5838" s="84">
        <f>'Contractors'!AG802</f>
        <v/>
      </c>
      <c r="D5838" s="46">
        <f>'Contractors'!AH802</f>
        <v/>
      </c>
      <c r="E5838" s="46">
        <f>IF(OR(B5838="",C5838="",D5838=""),"",D5838*100000+(C5838-DATE(2000,1,1))+ROW()/100000)</f>
        <v/>
      </c>
      <c r="F5838" s="46">
        <f>IF(E5838="","",IF(C5838&gt;WeekEndDate,"",E5838))</f>
        <v/>
      </c>
    </row>
    <row r="5839">
      <c r="A5839" t="inlineStr">
        <is>
          <t>Contractors</t>
        </is>
      </c>
      <c r="B5839" s="46">
        <f>'Contractors'!AI803</f>
        <v/>
      </c>
      <c r="C5839" s="84">
        <f>'Contractors'!AG803</f>
        <v/>
      </c>
      <c r="D5839" s="46">
        <f>'Contractors'!AH803</f>
        <v/>
      </c>
      <c r="E5839" s="46">
        <f>IF(OR(B5839="",C5839="",D5839=""),"",D5839*100000+(C5839-DATE(2000,1,1))+ROW()/100000)</f>
        <v/>
      </c>
      <c r="F5839" s="46">
        <f>IF(E5839="","",IF(C5839&gt;WeekEndDate,"",E5839))</f>
        <v/>
      </c>
    </row>
    <row r="5840">
      <c r="A5840" t="inlineStr">
        <is>
          <t>Contractors</t>
        </is>
      </c>
      <c r="B5840" s="46">
        <f>'Contractors'!AI804</f>
        <v/>
      </c>
      <c r="C5840" s="84">
        <f>'Contractors'!AG804</f>
        <v/>
      </c>
      <c r="D5840" s="46">
        <f>'Contractors'!AH804</f>
        <v/>
      </c>
      <c r="E5840" s="46">
        <f>IF(OR(B5840="",C5840="",D5840=""),"",D5840*100000+(C5840-DATE(2000,1,1))+ROW()/100000)</f>
        <v/>
      </c>
      <c r="F5840" s="46">
        <f>IF(E5840="","",IF(C5840&gt;WeekEndDate,"",E5840))</f>
        <v/>
      </c>
    </row>
    <row r="5841">
      <c r="A5841" t="inlineStr">
        <is>
          <t>Contractors</t>
        </is>
      </c>
      <c r="B5841" s="46">
        <f>'Contractors'!AI805</f>
        <v/>
      </c>
      <c r="C5841" s="84">
        <f>'Contractors'!AG805</f>
        <v/>
      </c>
      <c r="D5841" s="46">
        <f>'Contractors'!AH805</f>
        <v/>
      </c>
      <c r="E5841" s="46">
        <f>IF(OR(B5841="",C5841="",D5841=""),"",D5841*100000+(C5841-DATE(2000,1,1))+ROW()/100000)</f>
        <v/>
      </c>
      <c r="F5841" s="46">
        <f>IF(E5841="","",IF(C5841&gt;WeekEndDate,"",E5841))</f>
        <v/>
      </c>
    </row>
    <row r="5842">
      <c r="A5842" t="inlineStr">
        <is>
          <t>Contractors</t>
        </is>
      </c>
      <c r="B5842" s="46">
        <f>'Contractors'!AI806</f>
        <v/>
      </c>
      <c r="C5842" s="84">
        <f>'Contractors'!AG806</f>
        <v/>
      </c>
      <c r="D5842" s="46">
        <f>'Contractors'!AH806</f>
        <v/>
      </c>
      <c r="E5842" s="46">
        <f>IF(OR(B5842="",C5842="",D5842=""),"",D5842*100000+(C5842-DATE(2000,1,1))+ROW()/100000)</f>
        <v/>
      </c>
      <c r="F5842" s="46">
        <f>IF(E5842="","",IF(C5842&gt;WeekEndDate,"",E5842))</f>
        <v/>
      </c>
    </row>
    <row r="5843">
      <c r="A5843" t="inlineStr">
        <is>
          <t>Contractors</t>
        </is>
      </c>
      <c r="B5843" s="46">
        <f>'Contractors'!AI807</f>
        <v/>
      </c>
      <c r="C5843" s="84">
        <f>'Contractors'!AG807</f>
        <v/>
      </c>
      <c r="D5843" s="46">
        <f>'Contractors'!AH807</f>
        <v/>
      </c>
      <c r="E5843" s="46">
        <f>IF(OR(B5843="",C5843="",D5843=""),"",D5843*100000+(C5843-DATE(2000,1,1))+ROW()/100000)</f>
        <v/>
      </c>
      <c r="F5843" s="46">
        <f>IF(E5843="","",IF(C5843&gt;WeekEndDate,"",E5843))</f>
        <v/>
      </c>
    </row>
    <row r="5844">
      <c r="A5844" t="inlineStr">
        <is>
          <t>Contractors</t>
        </is>
      </c>
      <c r="B5844" s="46">
        <f>'Contractors'!AI808</f>
        <v/>
      </c>
      <c r="C5844" s="84">
        <f>'Contractors'!AG808</f>
        <v/>
      </c>
      <c r="D5844" s="46">
        <f>'Contractors'!AH808</f>
        <v/>
      </c>
      <c r="E5844" s="46">
        <f>IF(OR(B5844="",C5844="",D5844=""),"",D5844*100000+(C5844-DATE(2000,1,1))+ROW()/100000)</f>
        <v/>
      </c>
      <c r="F5844" s="46">
        <f>IF(E5844="","",IF(C5844&gt;WeekEndDate,"",E5844))</f>
        <v/>
      </c>
    </row>
    <row r="5845">
      <c r="A5845" t="inlineStr">
        <is>
          <t>Contractors</t>
        </is>
      </c>
      <c r="B5845" s="46">
        <f>'Contractors'!AI809</f>
        <v/>
      </c>
      <c r="C5845" s="84">
        <f>'Contractors'!AG809</f>
        <v/>
      </c>
      <c r="D5845" s="46">
        <f>'Contractors'!AH809</f>
        <v/>
      </c>
      <c r="E5845" s="46">
        <f>IF(OR(B5845="",C5845="",D5845=""),"",D5845*100000+(C5845-DATE(2000,1,1))+ROW()/100000)</f>
        <v/>
      </c>
      <c r="F5845" s="46">
        <f>IF(E5845="","",IF(C5845&gt;WeekEndDate,"",E5845))</f>
        <v/>
      </c>
    </row>
    <row r="5846">
      <c r="A5846" t="inlineStr">
        <is>
          <t>Contractors</t>
        </is>
      </c>
      <c r="B5846" s="46">
        <f>'Contractors'!AI810</f>
        <v/>
      </c>
      <c r="C5846" s="84">
        <f>'Contractors'!AG810</f>
        <v/>
      </c>
      <c r="D5846" s="46">
        <f>'Contractors'!AH810</f>
        <v/>
      </c>
      <c r="E5846" s="46">
        <f>IF(OR(B5846="",C5846="",D5846=""),"",D5846*100000+(C5846-DATE(2000,1,1))+ROW()/100000)</f>
        <v/>
      </c>
      <c r="F5846" s="46">
        <f>IF(E5846="","",IF(C5846&gt;WeekEndDate,"",E5846))</f>
        <v/>
      </c>
    </row>
    <row r="5847">
      <c r="A5847" t="inlineStr">
        <is>
          <t>Contractors</t>
        </is>
      </c>
      <c r="B5847" s="46">
        <f>'Contractors'!AI811</f>
        <v/>
      </c>
      <c r="C5847" s="84">
        <f>'Contractors'!AG811</f>
        <v/>
      </c>
      <c r="D5847" s="46">
        <f>'Contractors'!AH811</f>
        <v/>
      </c>
      <c r="E5847" s="46">
        <f>IF(OR(B5847="",C5847="",D5847=""),"",D5847*100000+(C5847-DATE(2000,1,1))+ROW()/100000)</f>
        <v/>
      </c>
      <c r="F5847" s="46">
        <f>IF(E5847="","",IF(C5847&gt;WeekEndDate,"",E5847))</f>
        <v/>
      </c>
    </row>
    <row r="5848">
      <c r="A5848" t="inlineStr">
        <is>
          <t>Contractors</t>
        </is>
      </c>
      <c r="B5848" s="46">
        <f>'Contractors'!AI812</f>
        <v/>
      </c>
      <c r="C5848" s="84">
        <f>'Contractors'!AG812</f>
        <v/>
      </c>
      <c r="D5848" s="46">
        <f>'Contractors'!AH812</f>
        <v/>
      </c>
      <c r="E5848" s="46">
        <f>IF(OR(B5848="",C5848="",D5848=""),"",D5848*100000+(C5848-DATE(2000,1,1))+ROW()/100000)</f>
        <v/>
      </c>
      <c r="F5848" s="46">
        <f>IF(E5848="","",IF(C5848&gt;WeekEndDate,"",E5848))</f>
        <v/>
      </c>
    </row>
    <row r="5849">
      <c r="A5849" t="inlineStr">
        <is>
          <t>Contractors</t>
        </is>
      </c>
      <c r="B5849" s="46">
        <f>'Contractors'!AI813</f>
        <v/>
      </c>
      <c r="C5849" s="84">
        <f>'Contractors'!AG813</f>
        <v/>
      </c>
      <c r="D5849" s="46">
        <f>'Contractors'!AH813</f>
        <v/>
      </c>
      <c r="E5849" s="46">
        <f>IF(OR(B5849="",C5849="",D5849=""),"",D5849*100000+(C5849-DATE(2000,1,1))+ROW()/100000)</f>
        <v/>
      </c>
      <c r="F5849" s="46">
        <f>IF(E5849="","",IF(C5849&gt;WeekEndDate,"",E5849))</f>
        <v/>
      </c>
    </row>
    <row r="5850">
      <c r="A5850" t="inlineStr">
        <is>
          <t>Contractors</t>
        </is>
      </c>
      <c r="B5850" s="46">
        <f>'Contractors'!AI814</f>
        <v/>
      </c>
      <c r="C5850" s="84">
        <f>'Contractors'!AG814</f>
        <v/>
      </c>
      <c r="D5850" s="46">
        <f>'Contractors'!AH814</f>
        <v/>
      </c>
      <c r="E5850" s="46">
        <f>IF(OR(B5850="",C5850="",D5850=""),"",D5850*100000+(C5850-DATE(2000,1,1))+ROW()/100000)</f>
        <v/>
      </c>
      <c r="F5850" s="46">
        <f>IF(E5850="","",IF(C5850&gt;WeekEndDate,"",E5850))</f>
        <v/>
      </c>
    </row>
    <row r="5851">
      <c r="A5851" t="inlineStr">
        <is>
          <t>Contractors</t>
        </is>
      </c>
      <c r="B5851" s="46">
        <f>'Contractors'!AI815</f>
        <v/>
      </c>
      <c r="C5851" s="84">
        <f>'Contractors'!AG815</f>
        <v/>
      </c>
      <c r="D5851" s="46">
        <f>'Contractors'!AH815</f>
        <v/>
      </c>
      <c r="E5851" s="46">
        <f>IF(OR(B5851="",C5851="",D5851=""),"",D5851*100000+(C5851-DATE(2000,1,1))+ROW()/100000)</f>
        <v/>
      </c>
      <c r="F5851" s="46">
        <f>IF(E5851="","",IF(C5851&gt;WeekEndDate,"",E5851))</f>
        <v/>
      </c>
    </row>
    <row r="5852">
      <c r="A5852" t="inlineStr">
        <is>
          <t>Contractors</t>
        </is>
      </c>
      <c r="B5852" s="46">
        <f>'Contractors'!AI816</f>
        <v/>
      </c>
      <c r="C5852" s="84">
        <f>'Contractors'!AG816</f>
        <v/>
      </c>
      <c r="D5852" s="46">
        <f>'Contractors'!AH816</f>
        <v/>
      </c>
      <c r="E5852" s="46">
        <f>IF(OR(B5852="",C5852="",D5852=""),"",D5852*100000+(C5852-DATE(2000,1,1))+ROW()/100000)</f>
        <v/>
      </c>
      <c r="F5852" s="46">
        <f>IF(E5852="","",IF(C5852&gt;WeekEndDate,"",E5852))</f>
        <v/>
      </c>
    </row>
    <row r="5853">
      <c r="A5853" t="inlineStr">
        <is>
          <t>Contractors</t>
        </is>
      </c>
      <c r="B5853" s="46">
        <f>'Contractors'!AI817</f>
        <v/>
      </c>
      <c r="C5853" s="84">
        <f>'Contractors'!AG817</f>
        <v/>
      </c>
      <c r="D5853" s="46">
        <f>'Contractors'!AH817</f>
        <v/>
      </c>
      <c r="E5853" s="46">
        <f>IF(OR(B5853="",C5853="",D5853=""),"",D5853*100000+(C5853-DATE(2000,1,1))+ROW()/100000)</f>
        <v/>
      </c>
      <c r="F5853" s="46">
        <f>IF(E5853="","",IF(C5853&gt;WeekEndDate,"",E5853))</f>
        <v/>
      </c>
    </row>
    <row r="5854">
      <c r="A5854" t="inlineStr">
        <is>
          <t>Contractors</t>
        </is>
      </c>
      <c r="B5854" s="46">
        <f>'Contractors'!AI818</f>
        <v/>
      </c>
      <c r="C5854" s="84">
        <f>'Contractors'!AG818</f>
        <v/>
      </c>
      <c r="D5854" s="46">
        <f>'Contractors'!AH818</f>
        <v/>
      </c>
      <c r="E5854" s="46">
        <f>IF(OR(B5854="",C5854="",D5854=""),"",D5854*100000+(C5854-DATE(2000,1,1))+ROW()/100000)</f>
        <v/>
      </c>
      <c r="F5854" s="46">
        <f>IF(E5854="","",IF(C5854&gt;WeekEndDate,"",E5854))</f>
        <v/>
      </c>
    </row>
    <row r="5855">
      <c r="A5855" t="inlineStr">
        <is>
          <t>Contractors</t>
        </is>
      </c>
      <c r="B5855" s="46">
        <f>'Contractors'!AI819</f>
        <v/>
      </c>
      <c r="C5855" s="84">
        <f>'Contractors'!AG819</f>
        <v/>
      </c>
      <c r="D5855" s="46">
        <f>'Contractors'!AH819</f>
        <v/>
      </c>
      <c r="E5855" s="46">
        <f>IF(OR(B5855="",C5855="",D5855=""),"",D5855*100000+(C5855-DATE(2000,1,1))+ROW()/100000)</f>
        <v/>
      </c>
      <c r="F5855" s="46">
        <f>IF(E5855="","",IF(C5855&gt;WeekEndDate,"",E5855))</f>
        <v/>
      </c>
    </row>
    <row r="5856">
      <c r="A5856" t="inlineStr">
        <is>
          <t>Contractors</t>
        </is>
      </c>
      <c r="B5856" s="46">
        <f>'Contractors'!AI820</f>
        <v/>
      </c>
      <c r="C5856" s="84">
        <f>'Contractors'!AG820</f>
        <v/>
      </c>
      <c r="D5856" s="46">
        <f>'Contractors'!AH820</f>
        <v/>
      </c>
      <c r="E5856" s="46">
        <f>IF(OR(B5856="",C5856="",D5856=""),"",D5856*100000+(C5856-DATE(2000,1,1))+ROW()/100000)</f>
        <v/>
      </c>
      <c r="F5856" s="46">
        <f>IF(E5856="","",IF(C5856&gt;WeekEndDate,"",E5856))</f>
        <v/>
      </c>
    </row>
    <row r="5857">
      <c r="A5857" t="inlineStr">
        <is>
          <t>Contractors</t>
        </is>
      </c>
      <c r="B5857" s="46">
        <f>'Contractors'!AI821</f>
        <v/>
      </c>
      <c r="C5857" s="84">
        <f>'Contractors'!AG821</f>
        <v/>
      </c>
      <c r="D5857" s="46">
        <f>'Contractors'!AH821</f>
        <v/>
      </c>
      <c r="E5857" s="46">
        <f>IF(OR(B5857="",C5857="",D5857=""),"",D5857*100000+(C5857-DATE(2000,1,1))+ROW()/100000)</f>
        <v/>
      </c>
      <c r="F5857" s="46">
        <f>IF(E5857="","",IF(C5857&gt;WeekEndDate,"",E5857))</f>
        <v/>
      </c>
    </row>
    <row r="5858">
      <c r="A5858" t="inlineStr">
        <is>
          <t>Contractors</t>
        </is>
      </c>
      <c r="B5858" s="46">
        <f>'Contractors'!AI822</f>
        <v/>
      </c>
      <c r="C5858" s="84">
        <f>'Contractors'!AG822</f>
        <v/>
      </c>
      <c r="D5858" s="46">
        <f>'Contractors'!AH822</f>
        <v/>
      </c>
      <c r="E5858" s="46">
        <f>IF(OR(B5858="",C5858="",D5858=""),"",D5858*100000+(C5858-DATE(2000,1,1))+ROW()/100000)</f>
        <v/>
      </c>
      <c r="F5858" s="46">
        <f>IF(E5858="","",IF(C5858&gt;WeekEndDate,"",E5858))</f>
        <v/>
      </c>
    </row>
    <row r="5859">
      <c r="A5859" t="inlineStr">
        <is>
          <t>Contractors</t>
        </is>
      </c>
      <c r="B5859" s="46">
        <f>'Contractors'!AI823</f>
        <v/>
      </c>
      <c r="C5859" s="84">
        <f>'Contractors'!AG823</f>
        <v/>
      </c>
      <c r="D5859" s="46">
        <f>'Contractors'!AH823</f>
        <v/>
      </c>
      <c r="E5859" s="46">
        <f>IF(OR(B5859="",C5859="",D5859=""),"",D5859*100000+(C5859-DATE(2000,1,1))+ROW()/100000)</f>
        <v/>
      </c>
      <c r="F5859" s="46">
        <f>IF(E5859="","",IF(C5859&gt;WeekEndDate,"",E5859))</f>
        <v/>
      </c>
    </row>
    <row r="5860">
      <c r="A5860" t="inlineStr">
        <is>
          <t>Contractors</t>
        </is>
      </c>
      <c r="B5860" s="46">
        <f>'Contractors'!AI824</f>
        <v/>
      </c>
      <c r="C5860" s="84">
        <f>'Contractors'!AG824</f>
        <v/>
      </c>
      <c r="D5860" s="46">
        <f>'Contractors'!AH824</f>
        <v/>
      </c>
      <c r="E5860" s="46">
        <f>IF(OR(B5860="",C5860="",D5860=""),"",D5860*100000+(C5860-DATE(2000,1,1))+ROW()/100000)</f>
        <v/>
      </c>
      <c r="F5860" s="46">
        <f>IF(E5860="","",IF(C5860&gt;WeekEndDate,"",E5860))</f>
        <v/>
      </c>
    </row>
    <row r="5861">
      <c r="A5861" t="inlineStr">
        <is>
          <t>Contractors</t>
        </is>
      </c>
      <c r="B5861" s="46">
        <f>'Contractors'!AI825</f>
        <v/>
      </c>
      <c r="C5861" s="84">
        <f>'Contractors'!AG825</f>
        <v/>
      </c>
      <c r="D5861" s="46">
        <f>'Contractors'!AH825</f>
        <v/>
      </c>
      <c r="E5861" s="46">
        <f>IF(OR(B5861="",C5861="",D5861=""),"",D5861*100000+(C5861-DATE(2000,1,1))+ROW()/100000)</f>
        <v/>
      </c>
      <c r="F5861" s="46">
        <f>IF(E5861="","",IF(C5861&gt;WeekEndDate,"",E5861))</f>
        <v/>
      </c>
    </row>
    <row r="5862">
      <c r="A5862" t="inlineStr">
        <is>
          <t>Contractors</t>
        </is>
      </c>
      <c r="B5862" s="46">
        <f>'Contractors'!AI826</f>
        <v/>
      </c>
      <c r="C5862" s="84">
        <f>'Contractors'!AG826</f>
        <v/>
      </c>
      <c r="D5862" s="46">
        <f>'Contractors'!AH826</f>
        <v/>
      </c>
      <c r="E5862" s="46">
        <f>IF(OR(B5862="",C5862="",D5862=""),"",D5862*100000+(C5862-DATE(2000,1,1))+ROW()/100000)</f>
        <v/>
      </c>
      <c r="F5862" s="46">
        <f>IF(E5862="","",IF(C5862&gt;WeekEndDate,"",E5862))</f>
        <v/>
      </c>
    </row>
    <row r="5863">
      <c r="A5863" t="inlineStr">
        <is>
          <t>Contractors</t>
        </is>
      </c>
      <c r="B5863" s="46">
        <f>'Contractors'!AI827</f>
        <v/>
      </c>
      <c r="C5863" s="84">
        <f>'Contractors'!AG827</f>
        <v/>
      </c>
      <c r="D5863" s="46">
        <f>'Contractors'!AH827</f>
        <v/>
      </c>
      <c r="E5863" s="46">
        <f>IF(OR(B5863="",C5863="",D5863=""),"",D5863*100000+(C5863-DATE(2000,1,1))+ROW()/100000)</f>
        <v/>
      </c>
      <c r="F5863" s="46">
        <f>IF(E5863="","",IF(C5863&gt;WeekEndDate,"",E5863))</f>
        <v/>
      </c>
    </row>
    <row r="5864">
      <c r="A5864" t="inlineStr">
        <is>
          <t>Contractors</t>
        </is>
      </c>
      <c r="B5864" s="46">
        <f>'Contractors'!AI828</f>
        <v/>
      </c>
      <c r="C5864" s="84">
        <f>'Contractors'!AG828</f>
        <v/>
      </c>
      <c r="D5864" s="46">
        <f>'Contractors'!AH828</f>
        <v/>
      </c>
      <c r="E5864" s="46">
        <f>IF(OR(B5864="",C5864="",D5864=""),"",D5864*100000+(C5864-DATE(2000,1,1))+ROW()/100000)</f>
        <v/>
      </c>
      <c r="F5864" s="46">
        <f>IF(E5864="","",IF(C5864&gt;WeekEndDate,"",E5864))</f>
        <v/>
      </c>
    </row>
    <row r="5865">
      <c r="A5865" t="inlineStr">
        <is>
          <t>Contractors</t>
        </is>
      </c>
      <c r="B5865" s="46">
        <f>'Contractors'!AI829</f>
        <v/>
      </c>
      <c r="C5865" s="84">
        <f>'Contractors'!AG829</f>
        <v/>
      </c>
      <c r="D5865" s="46">
        <f>'Contractors'!AH829</f>
        <v/>
      </c>
      <c r="E5865" s="46">
        <f>IF(OR(B5865="",C5865="",D5865=""),"",D5865*100000+(C5865-DATE(2000,1,1))+ROW()/100000)</f>
        <v/>
      </c>
      <c r="F5865" s="46">
        <f>IF(E5865="","",IF(C5865&gt;WeekEndDate,"",E5865))</f>
        <v/>
      </c>
    </row>
    <row r="5866">
      <c r="A5866" t="inlineStr">
        <is>
          <t>Contractors</t>
        </is>
      </c>
      <c r="B5866" s="46">
        <f>'Contractors'!AI830</f>
        <v/>
      </c>
      <c r="C5866" s="84">
        <f>'Contractors'!AG830</f>
        <v/>
      </c>
      <c r="D5866" s="46">
        <f>'Contractors'!AH830</f>
        <v/>
      </c>
      <c r="E5866" s="46">
        <f>IF(OR(B5866="",C5866="",D5866=""),"",D5866*100000+(C5866-DATE(2000,1,1))+ROW()/100000)</f>
        <v/>
      </c>
      <c r="F5866" s="46">
        <f>IF(E5866="","",IF(C5866&gt;WeekEndDate,"",E5866))</f>
        <v/>
      </c>
    </row>
    <row r="5867">
      <c r="A5867" t="inlineStr">
        <is>
          <t>Contractors</t>
        </is>
      </c>
      <c r="B5867" s="46">
        <f>'Contractors'!AI831</f>
        <v/>
      </c>
      <c r="C5867" s="84">
        <f>'Contractors'!AG831</f>
        <v/>
      </c>
      <c r="D5867" s="46">
        <f>'Contractors'!AH831</f>
        <v/>
      </c>
      <c r="E5867" s="46">
        <f>IF(OR(B5867="",C5867="",D5867=""),"",D5867*100000+(C5867-DATE(2000,1,1))+ROW()/100000)</f>
        <v/>
      </c>
      <c r="F5867" s="46">
        <f>IF(E5867="","",IF(C5867&gt;WeekEndDate,"",E5867))</f>
        <v/>
      </c>
    </row>
    <row r="5868">
      <c r="A5868" t="inlineStr">
        <is>
          <t>Contractors</t>
        </is>
      </c>
      <c r="B5868" s="46">
        <f>'Contractors'!AI832</f>
        <v/>
      </c>
      <c r="C5868" s="84">
        <f>'Contractors'!AG832</f>
        <v/>
      </c>
      <c r="D5868" s="46">
        <f>'Contractors'!AH832</f>
        <v/>
      </c>
      <c r="E5868" s="46">
        <f>IF(OR(B5868="",C5868="",D5868=""),"",D5868*100000+(C5868-DATE(2000,1,1))+ROW()/100000)</f>
        <v/>
      </c>
      <c r="F5868" s="46">
        <f>IF(E5868="","",IF(C5868&gt;WeekEndDate,"",E5868))</f>
        <v/>
      </c>
    </row>
    <row r="5869">
      <c r="A5869" t="inlineStr">
        <is>
          <t>Contractors</t>
        </is>
      </c>
      <c r="B5869" s="46">
        <f>'Contractors'!AI833</f>
        <v/>
      </c>
      <c r="C5869" s="84">
        <f>'Contractors'!AG833</f>
        <v/>
      </c>
      <c r="D5869" s="46">
        <f>'Contractors'!AH833</f>
        <v/>
      </c>
      <c r="E5869" s="46">
        <f>IF(OR(B5869="",C5869="",D5869=""),"",D5869*100000+(C5869-DATE(2000,1,1))+ROW()/100000)</f>
        <v/>
      </c>
      <c r="F5869" s="46">
        <f>IF(E5869="","",IF(C5869&gt;WeekEndDate,"",E5869))</f>
        <v/>
      </c>
    </row>
    <row r="5870">
      <c r="A5870" t="inlineStr">
        <is>
          <t>Contractors</t>
        </is>
      </c>
      <c r="B5870" s="46">
        <f>'Contractors'!AI834</f>
        <v/>
      </c>
      <c r="C5870" s="84">
        <f>'Contractors'!AG834</f>
        <v/>
      </c>
      <c r="D5870" s="46">
        <f>'Contractors'!AH834</f>
        <v/>
      </c>
      <c r="E5870" s="46">
        <f>IF(OR(B5870="",C5870="",D5870=""),"",D5870*100000+(C5870-DATE(2000,1,1))+ROW()/100000)</f>
        <v/>
      </c>
      <c r="F5870" s="46">
        <f>IF(E5870="","",IF(C5870&gt;WeekEndDate,"",E5870))</f>
        <v/>
      </c>
    </row>
    <row r="5871">
      <c r="A5871" t="inlineStr">
        <is>
          <t>Contractors</t>
        </is>
      </c>
      <c r="B5871" s="46">
        <f>'Contractors'!AI835</f>
        <v/>
      </c>
      <c r="C5871" s="84">
        <f>'Contractors'!AG835</f>
        <v/>
      </c>
      <c r="D5871" s="46">
        <f>'Contractors'!AH835</f>
        <v/>
      </c>
      <c r="E5871" s="46">
        <f>IF(OR(B5871="",C5871="",D5871=""),"",D5871*100000+(C5871-DATE(2000,1,1))+ROW()/100000)</f>
        <v/>
      </c>
      <c r="F5871" s="46">
        <f>IF(E5871="","",IF(C5871&gt;WeekEndDate,"",E5871))</f>
        <v/>
      </c>
    </row>
    <row r="5872">
      <c r="A5872" t="inlineStr">
        <is>
          <t>Contractors</t>
        </is>
      </c>
      <c r="B5872" s="46">
        <f>'Contractors'!AI836</f>
        <v/>
      </c>
      <c r="C5872" s="84">
        <f>'Contractors'!AG836</f>
        <v/>
      </c>
      <c r="D5872" s="46">
        <f>'Contractors'!AH836</f>
        <v/>
      </c>
      <c r="E5872" s="46">
        <f>IF(OR(B5872="",C5872="",D5872=""),"",D5872*100000+(C5872-DATE(2000,1,1))+ROW()/100000)</f>
        <v/>
      </c>
      <c r="F5872" s="46">
        <f>IF(E5872="","",IF(C5872&gt;WeekEndDate,"",E5872))</f>
        <v/>
      </c>
    </row>
    <row r="5873">
      <c r="A5873" t="inlineStr">
        <is>
          <t>Contractors</t>
        </is>
      </c>
      <c r="B5873" s="46">
        <f>'Contractors'!AI837</f>
        <v/>
      </c>
      <c r="C5873" s="84">
        <f>'Contractors'!AG837</f>
        <v/>
      </c>
      <c r="D5873" s="46">
        <f>'Contractors'!AH837</f>
        <v/>
      </c>
      <c r="E5873" s="46">
        <f>IF(OR(B5873="",C5873="",D5873=""),"",D5873*100000+(C5873-DATE(2000,1,1))+ROW()/100000)</f>
        <v/>
      </c>
      <c r="F5873" s="46">
        <f>IF(E5873="","",IF(C5873&gt;WeekEndDate,"",E5873))</f>
        <v/>
      </c>
    </row>
    <row r="5874">
      <c r="A5874" t="inlineStr">
        <is>
          <t>Contractors</t>
        </is>
      </c>
      <c r="B5874" s="46">
        <f>'Contractors'!AI838</f>
        <v/>
      </c>
      <c r="C5874" s="84">
        <f>'Contractors'!AG838</f>
        <v/>
      </c>
      <c r="D5874" s="46">
        <f>'Contractors'!AH838</f>
        <v/>
      </c>
      <c r="E5874" s="46">
        <f>IF(OR(B5874="",C5874="",D5874=""),"",D5874*100000+(C5874-DATE(2000,1,1))+ROW()/100000)</f>
        <v/>
      </c>
      <c r="F5874" s="46">
        <f>IF(E5874="","",IF(C5874&gt;WeekEndDate,"",E5874))</f>
        <v/>
      </c>
    </row>
    <row r="5875">
      <c r="A5875" t="inlineStr">
        <is>
          <t>Contractors</t>
        </is>
      </c>
      <c r="B5875" s="46">
        <f>'Contractors'!AI839</f>
        <v/>
      </c>
      <c r="C5875" s="84">
        <f>'Contractors'!AG839</f>
        <v/>
      </c>
      <c r="D5875" s="46">
        <f>'Contractors'!AH839</f>
        <v/>
      </c>
      <c r="E5875" s="46">
        <f>IF(OR(B5875="",C5875="",D5875=""),"",D5875*100000+(C5875-DATE(2000,1,1))+ROW()/100000)</f>
        <v/>
      </c>
      <c r="F5875" s="46">
        <f>IF(E5875="","",IF(C5875&gt;WeekEndDate,"",E5875))</f>
        <v/>
      </c>
    </row>
    <row r="5876">
      <c r="A5876" t="inlineStr">
        <is>
          <t>Contractors</t>
        </is>
      </c>
      <c r="B5876" s="46">
        <f>'Contractors'!AI840</f>
        <v/>
      </c>
      <c r="C5876" s="84">
        <f>'Contractors'!AG840</f>
        <v/>
      </c>
      <c r="D5876" s="46">
        <f>'Contractors'!AH840</f>
        <v/>
      </c>
      <c r="E5876" s="46">
        <f>IF(OR(B5876="",C5876="",D5876=""),"",D5876*100000+(C5876-DATE(2000,1,1))+ROW()/100000)</f>
        <v/>
      </c>
      <c r="F5876" s="46">
        <f>IF(E5876="","",IF(C5876&gt;WeekEndDate,"",E5876))</f>
        <v/>
      </c>
    </row>
    <row r="5877">
      <c r="A5877" t="inlineStr">
        <is>
          <t>Contractors</t>
        </is>
      </c>
      <c r="B5877" s="46">
        <f>'Contractors'!AI841</f>
        <v/>
      </c>
      <c r="C5877" s="84">
        <f>'Contractors'!AG841</f>
        <v/>
      </c>
      <c r="D5877" s="46">
        <f>'Contractors'!AH841</f>
        <v/>
      </c>
      <c r="E5877" s="46">
        <f>IF(OR(B5877="",C5877="",D5877=""),"",D5877*100000+(C5877-DATE(2000,1,1))+ROW()/100000)</f>
        <v/>
      </c>
      <c r="F5877" s="46">
        <f>IF(E5877="","",IF(C5877&gt;WeekEndDate,"",E5877))</f>
        <v/>
      </c>
    </row>
    <row r="5878">
      <c r="A5878" t="inlineStr">
        <is>
          <t>Contractors</t>
        </is>
      </c>
      <c r="B5878" s="46">
        <f>'Contractors'!AI842</f>
        <v/>
      </c>
      <c r="C5878" s="84">
        <f>'Contractors'!AG842</f>
        <v/>
      </c>
      <c r="D5878" s="46">
        <f>'Contractors'!AH842</f>
        <v/>
      </c>
      <c r="E5878" s="46">
        <f>IF(OR(B5878="",C5878="",D5878=""),"",D5878*100000+(C5878-DATE(2000,1,1))+ROW()/100000)</f>
        <v/>
      </c>
      <c r="F5878" s="46">
        <f>IF(E5878="","",IF(C5878&gt;WeekEndDate,"",E5878))</f>
        <v/>
      </c>
    </row>
    <row r="5879">
      <c r="A5879" t="inlineStr">
        <is>
          <t>Contractors</t>
        </is>
      </c>
      <c r="B5879" s="46">
        <f>'Contractors'!AI843</f>
        <v/>
      </c>
      <c r="C5879" s="84">
        <f>'Contractors'!AG843</f>
        <v/>
      </c>
      <c r="D5879" s="46">
        <f>'Contractors'!AH843</f>
        <v/>
      </c>
      <c r="E5879" s="46">
        <f>IF(OR(B5879="",C5879="",D5879=""),"",D5879*100000+(C5879-DATE(2000,1,1))+ROW()/100000)</f>
        <v/>
      </c>
      <c r="F5879" s="46">
        <f>IF(E5879="","",IF(C5879&gt;WeekEndDate,"",E5879))</f>
        <v/>
      </c>
    </row>
    <row r="5880">
      <c r="A5880" t="inlineStr">
        <is>
          <t>Contractors</t>
        </is>
      </c>
      <c r="B5880" s="46">
        <f>'Contractors'!AI844</f>
        <v/>
      </c>
      <c r="C5880" s="84">
        <f>'Contractors'!AG844</f>
        <v/>
      </c>
      <c r="D5880" s="46">
        <f>'Contractors'!AH844</f>
        <v/>
      </c>
      <c r="E5880" s="46">
        <f>IF(OR(B5880="",C5880="",D5880=""),"",D5880*100000+(C5880-DATE(2000,1,1))+ROW()/100000)</f>
        <v/>
      </c>
      <c r="F5880" s="46">
        <f>IF(E5880="","",IF(C5880&gt;WeekEndDate,"",E5880))</f>
        <v/>
      </c>
    </row>
    <row r="5881">
      <c r="A5881" t="inlineStr">
        <is>
          <t>Contractors</t>
        </is>
      </c>
      <c r="B5881" s="46">
        <f>'Contractors'!AI845</f>
        <v/>
      </c>
      <c r="C5881" s="84">
        <f>'Contractors'!AG845</f>
        <v/>
      </c>
      <c r="D5881" s="46">
        <f>'Contractors'!AH845</f>
        <v/>
      </c>
      <c r="E5881" s="46">
        <f>IF(OR(B5881="",C5881="",D5881=""),"",D5881*100000+(C5881-DATE(2000,1,1))+ROW()/100000)</f>
        <v/>
      </c>
      <c r="F5881" s="46">
        <f>IF(E5881="","",IF(C5881&gt;WeekEndDate,"",E5881))</f>
        <v/>
      </c>
    </row>
    <row r="5882">
      <c r="A5882" t="inlineStr">
        <is>
          <t>Contractors</t>
        </is>
      </c>
      <c r="B5882" s="46">
        <f>'Contractors'!AI846</f>
        <v/>
      </c>
      <c r="C5882" s="84">
        <f>'Contractors'!AG846</f>
        <v/>
      </c>
      <c r="D5882" s="46">
        <f>'Contractors'!AH846</f>
        <v/>
      </c>
      <c r="E5882" s="46">
        <f>IF(OR(B5882="",C5882="",D5882=""),"",D5882*100000+(C5882-DATE(2000,1,1))+ROW()/100000)</f>
        <v/>
      </c>
      <c r="F5882" s="46">
        <f>IF(E5882="","",IF(C5882&gt;WeekEndDate,"",E5882))</f>
        <v/>
      </c>
    </row>
    <row r="5883">
      <c r="A5883" t="inlineStr">
        <is>
          <t>Contractors</t>
        </is>
      </c>
      <c r="B5883" s="46">
        <f>'Contractors'!AI847</f>
        <v/>
      </c>
      <c r="C5883" s="84">
        <f>'Contractors'!AG847</f>
        <v/>
      </c>
      <c r="D5883" s="46">
        <f>'Contractors'!AH847</f>
        <v/>
      </c>
      <c r="E5883" s="46">
        <f>IF(OR(B5883="",C5883="",D5883=""),"",D5883*100000+(C5883-DATE(2000,1,1))+ROW()/100000)</f>
        <v/>
      </c>
      <c r="F5883" s="46">
        <f>IF(E5883="","",IF(C5883&gt;WeekEndDate,"",E5883))</f>
        <v/>
      </c>
    </row>
    <row r="5884">
      <c r="A5884" t="inlineStr">
        <is>
          <t>Contractors</t>
        </is>
      </c>
      <c r="B5884" s="46">
        <f>'Contractors'!AI848</f>
        <v/>
      </c>
      <c r="C5884" s="84">
        <f>'Contractors'!AG848</f>
        <v/>
      </c>
      <c r="D5884" s="46">
        <f>'Contractors'!AH848</f>
        <v/>
      </c>
      <c r="E5884" s="46">
        <f>IF(OR(B5884="",C5884="",D5884=""),"",D5884*100000+(C5884-DATE(2000,1,1))+ROW()/100000)</f>
        <v/>
      </c>
      <c r="F5884" s="46">
        <f>IF(E5884="","",IF(C5884&gt;WeekEndDate,"",E5884))</f>
        <v/>
      </c>
    </row>
    <row r="5885">
      <c r="A5885" t="inlineStr">
        <is>
          <t>Contractors</t>
        </is>
      </c>
      <c r="B5885" s="46">
        <f>'Contractors'!AI849</f>
        <v/>
      </c>
      <c r="C5885" s="84">
        <f>'Contractors'!AG849</f>
        <v/>
      </c>
      <c r="D5885" s="46">
        <f>'Contractors'!AH849</f>
        <v/>
      </c>
      <c r="E5885" s="46">
        <f>IF(OR(B5885="",C5885="",D5885=""),"",D5885*100000+(C5885-DATE(2000,1,1))+ROW()/100000)</f>
        <v/>
      </c>
      <c r="F5885" s="46">
        <f>IF(E5885="","",IF(C5885&gt;WeekEndDate,"",E5885))</f>
        <v/>
      </c>
    </row>
    <row r="5886">
      <c r="A5886" t="inlineStr">
        <is>
          <t>Contractors</t>
        </is>
      </c>
      <c r="B5886" s="46">
        <f>'Contractors'!AI850</f>
        <v/>
      </c>
      <c r="C5886" s="84">
        <f>'Contractors'!AG850</f>
        <v/>
      </c>
      <c r="D5886" s="46">
        <f>'Contractors'!AH850</f>
        <v/>
      </c>
      <c r="E5886" s="46">
        <f>IF(OR(B5886="",C5886="",D5886=""),"",D5886*100000+(C5886-DATE(2000,1,1))+ROW()/100000)</f>
        <v/>
      </c>
      <c r="F5886" s="46">
        <f>IF(E5886="","",IF(C5886&gt;WeekEndDate,"",E5886))</f>
        <v/>
      </c>
    </row>
    <row r="5887">
      <c r="A5887" t="inlineStr">
        <is>
          <t>Contractors</t>
        </is>
      </c>
      <c r="B5887" s="46">
        <f>'Contractors'!AI851</f>
        <v/>
      </c>
      <c r="C5887" s="84">
        <f>'Contractors'!AG851</f>
        <v/>
      </c>
      <c r="D5887" s="46">
        <f>'Contractors'!AH851</f>
        <v/>
      </c>
      <c r="E5887" s="46">
        <f>IF(OR(B5887="",C5887="",D5887=""),"",D5887*100000+(C5887-DATE(2000,1,1))+ROW()/100000)</f>
        <v/>
      </c>
      <c r="F5887" s="46">
        <f>IF(E5887="","",IF(C5887&gt;WeekEndDate,"",E5887))</f>
        <v/>
      </c>
    </row>
    <row r="5888">
      <c r="A5888" t="inlineStr">
        <is>
          <t>Contractors</t>
        </is>
      </c>
      <c r="B5888" s="46">
        <f>'Contractors'!AI852</f>
        <v/>
      </c>
      <c r="C5888" s="84">
        <f>'Contractors'!AG852</f>
        <v/>
      </c>
      <c r="D5888" s="46">
        <f>'Contractors'!AH852</f>
        <v/>
      </c>
      <c r="E5888" s="46">
        <f>IF(OR(B5888="",C5888="",D5888=""),"",D5888*100000+(C5888-DATE(2000,1,1))+ROW()/100000)</f>
        <v/>
      </c>
      <c r="F5888" s="46">
        <f>IF(E5888="","",IF(C5888&gt;WeekEndDate,"",E5888))</f>
        <v/>
      </c>
    </row>
    <row r="5889">
      <c r="A5889" t="inlineStr">
        <is>
          <t>Contractors</t>
        </is>
      </c>
      <c r="B5889" s="46">
        <f>'Contractors'!AI853</f>
        <v/>
      </c>
      <c r="C5889" s="84">
        <f>'Contractors'!AG853</f>
        <v/>
      </c>
      <c r="D5889" s="46">
        <f>'Contractors'!AH853</f>
        <v/>
      </c>
      <c r="E5889" s="46">
        <f>IF(OR(B5889="",C5889="",D5889=""),"",D5889*100000+(C5889-DATE(2000,1,1))+ROW()/100000)</f>
        <v/>
      </c>
      <c r="F5889" s="46">
        <f>IF(E5889="","",IF(C5889&gt;WeekEndDate,"",E5889))</f>
        <v/>
      </c>
    </row>
    <row r="5890">
      <c r="A5890" t="inlineStr">
        <is>
          <t>Contractors</t>
        </is>
      </c>
      <c r="B5890" s="46">
        <f>'Contractors'!AI854</f>
        <v/>
      </c>
      <c r="C5890" s="84">
        <f>'Contractors'!AG854</f>
        <v/>
      </c>
      <c r="D5890" s="46">
        <f>'Contractors'!AH854</f>
        <v/>
      </c>
      <c r="E5890" s="46">
        <f>IF(OR(B5890="",C5890="",D5890=""),"",D5890*100000+(C5890-DATE(2000,1,1))+ROW()/100000)</f>
        <v/>
      </c>
      <c r="F5890" s="46">
        <f>IF(E5890="","",IF(C5890&gt;WeekEndDate,"",E5890))</f>
        <v/>
      </c>
    </row>
    <row r="5891">
      <c r="A5891" t="inlineStr">
        <is>
          <t>Contractors</t>
        </is>
      </c>
      <c r="B5891" s="46">
        <f>'Contractors'!AI855</f>
        <v/>
      </c>
      <c r="C5891" s="84">
        <f>'Contractors'!AG855</f>
        <v/>
      </c>
      <c r="D5891" s="46">
        <f>'Contractors'!AH855</f>
        <v/>
      </c>
      <c r="E5891" s="46">
        <f>IF(OR(B5891="",C5891="",D5891=""),"",D5891*100000+(C5891-DATE(2000,1,1))+ROW()/100000)</f>
        <v/>
      </c>
      <c r="F5891" s="46">
        <f>IF(E5891="","",IF(C5891&gt;WeekEndDate,"",E5891))</f>
        <v/>
      </c>
    </row>
    <row r="5892">
      <c r="A5892" t="inlineStr">
        <is>
          <t>Contractors</t>
        </is>
      </c>
      <c r="B5892" s="46">
        <f>'Contractors'!AI856</f>
        <v/>
      </c>
      <c r="C5892" s="84">
        <f>'Contractors'!AG856</f>
        <v/>
      </c>
      <c r="D5892" s="46">
        <f>'Contractors'!AH856</f>
        <v/>
      </c>
      <c r="E5892" s="46">
        <f>IF(OR(B5892="",C5892="",D5892=""),"",D5892*100000+(C5892-DATE(2000,1,1))+ROW()/100000)</f>
        <v/>
      </c>
      <c r="F5892" s="46">
        <f>IF(E5892="","",IF(C5892&gt;WeekEndDate,"",E5892))</f>
        <v/>
      </c>
    </row>
    <row r="5893">
      <c r="A5893" t="inlineStr">
        <is>
          <t>Contractors</t>
        </is>
      </c>
      <c r="B5893" s="46">
        <f>'Contractors'!AI857</f>
        <v/>
      </c>
      <c r="C5893" s="84">
        <f>'Contractors'!AG857</f>
        <v/>
      </c>
      <c r="D5893" s="46">
        <f>'Contractors'!AH857</f>
        <v/>
      </c>
      <c r="E5893" s="46">
        <f>IF(OR(B5893="",C5893="",D5893=""),"",D5893*100000+(C5893-DATE(2000,1,1))+ROW()/100000)</f>
        <v/>
      </c>
      <c r="F5893" s="46">
        <f>IF(E5893="","",IF(C5893&gt;WeekEndDate,"",E5893))</f>
        <v/>
      </c>
    </row>
    <row r="5894">
      <c r="A5894" t="inlineStr">
        <is>
          <t>Contractors</t>
        </is>
      </c>
      <c r="B5894" s="46">
        <f>'Contractors'!AI858</f>
        <v/>
      </c>
      <c r="C5894" s="84">
        <f>'Contractors'!AG858</f>
        <v/>
      </c>
      <c r="D5894" s="46">
        <f>'Contractors'!AH858</f>
        <v/>
      </c>
      <c r="E5894" s="46">
        <f>IF(OR(B5894="",C5894="",D5894=""),"",D5894*100000+(C5894-DATE(2000,1,1))+ROW()/100000)</f>
        <v/>
      </c>
      <c r="F5894" s="46">
        <f>IF(E5894="","",IF(C5894&gt;WeekEndDate,"",E5894))</f>
        <v/>
      </c>
    </row>
    <row r="5895">
      <c r="A5895" t="inlineStr">
        <is>
          <t>Contractors</t>
        </is>
      </c>
      <c r="B5895" s="46">
        <f>'Contractors'!AI859</f>
        <v/>
      </c>
      <c r="C5895" s="84">
        <f>'Contractors'!AG859</f>
        <v/>
      </c>
      <c r="D5895" s="46">
        <f>'Contractors'!AH859</f>
        <v/>
      </c>
      <c r="E5895" s="46">
        <f>IF(OR(B5895="",C5895="",D5895=""),"",D5895*100000+(C5895-DATE(2000,1,1))+ROW()/100000)</f>
        <v/>
      </c>
      <c r="F5895" s="46">
        <f>IF(E5895="","",IF(C5895&gt;WeekEndDate,"",E5895))</f>
        <v/>
      </c>
    </row>
    <row r="5896">
      <c r="A5896" t="inlineStr">
        <is>
          <t>Contractors</t>
        </is>
      </c>
      <c r="B5896" s="46">
        <f>'Contractors'!AI860</f>
        <v/>
      </c>
      <c r="C5896" s="84">
        <f>'Contractors'!AG860</f>
        <v/>
      </c>
      <c r="D5896" s="46">
        <f>'Contractors'!AH860</f>
        <v/>
      </c>
      <c r="E5896" s="46">
        <f>IF(OR(B5896="",C5896="",D5896=""),"",D5896*100000+(C5896-DATE(2000,1,1))+ROW()/100000)</f>
        <v/>
      </c>
      <c r="F5896" s="46">
        <f>IF(E5896="","",IF(C5896&gt;WeekEndDate,"",E5896))</f>
        <v/>
      </c>
    </row>
    <row r="5897">
      <c r="A5897" t="inlineStr">
        <is>
          <t>Contractors</t>
        </is>
      </c>
      <c r="B5897" s="46">
        <f>'Contractors'!AI861</f>
        <v/>
      </c>
      <c r="C5897" s="84">
        <f>'Contractors'!AG861</f>
        <v/>
      </c>
      <c r="D5897" s="46">
        <f>'Contractors'!AH861</f>
        <v/>
      </c>
      <c r="E5897" s="46">
        <f>IF(OR(B5897="",C5897="",D5897=""),"",D5897*100000+(C5897-DATE(2000,1,1))+ROW()/100000)</f>
        <v/>
      </c>
      <c r="F5897" s="46">
        <f>IF(E5897="","",IF(C5897&gt;WeekEndDate,"",E5897))</f>
        <v/>
      </c>
    </row>
    <row r="5898">
      <c r="A5898" t="inlineStr">
        <is>
          <t>Contractors</t>
        </is>
      </c>
      <c r="B5898" s="46">
        <f>'Contractors'!AI862</f>
        <v/>
      </c>
      <c r="C5898" s="84">
        <f>'Contractors'!AG862</f>
        <v/>
      </c>
      <c r="D5898" s="46">
        <f>'Contractors'!AH862</f>
        <v/>
      </c>
      <c r="E5898" s="46">
        <f>IF(OR(B5898="",C5898="",D5898=""),"",D5898*100000+(C5898-DATE(2000,1,1))+ROW()/100000)</f>
        <v/>
      </c>
      <c r="F5898" s="46">
        <f>IF(E5898="","",IF(C5898&gt;WeekEndDate,"",E5898))</f>
        <v/>
      </c>
    </row>
    <row r="5899">
      <c r="A5899" t="inlineStr">
        <is>
          <t>Contractors</t>
        </is>
      </c>
      <c r="B5899" s="46">
        <f>'Contractors'!AI863</f>
        <v/>
      </c>
      <c r="C5899" s="84">
        <f>'Contractors'!AG863</f>
        <v/>
      </c>
      <c r="D5899" s="46">
        <f>'Contractors'!AH863</f>
        <v/>
      </c>
      <c r="E5899" s="46">
        <f>IF(OR(B5899="",C5899="",D5899=""),"",D5899*100000+(C5899-DATE(2000,1,1))+ROW()/100000)</f>
        <v/>
      </c>
      <c r="F5899" s="46">
        <f>IF(E5899="","",IF(C5899&gt;WeekEndDate,"",E5899))</f>
        <v/>
      </c>
    </row>
    <row r="5900">
      <c r="A5900" t="inlineStr">
        <is>
          <t>Contractors</t>
        </is>
      </c>
      <c r="B5900" s="46">
        <f>'Contractors'!AI864</f>
        <v/>
      </c>
      <c r="C5900" s="84">
        <f>'Contractors'!AG864</f>
        <v/>
      </c>
      <c r="D5900" s="46">
        <f>'Contractors'!AH864</f>
        <v/>
      </c>
      <c r="E5900" s="46">
        <f>IF(OR(B5900="",C5900="",D5900=""),"",D5900*100000+(C5900-DATE(2000,1,1))+ROW()/100000)</f>
        <v/>
      </c>
      <c r="F5900" s="46">
        <f>IF(E5900="","",IF(C5900&gt;WeekEndDate,"",E5900))</f>
        <v/>
      </c>
    </row>
    <row r="5901">
      <c r="A5901" t="inlineStr">
        <is>
          <t>Contractors</t>
        </is>
      </c>
      <c r="B5901" s="46">
        <f>'Contractors'!AI865</f>
        <v/>
      </c>
      <c r="C5901" s="84">
        <f>'Contractors'!AG865</f>
        <v/>
      </c>
      <c r="D5901" s="46">
        <f>'Contractors'!AH865</f>
        <v/>
      </c>
      <c r="E5901" s="46">
        <f>IF(OR(B5901="",C5901="",D5901=""),"",D5901*100000+(C5901-DATE(2000,1,1))+ROW()/100000)</f>
        <v/>
      </c>
      <c r="F5901" s="46">
        <f>IF(E5901="","",IF(C5901&gt;WeekEndDate,"",E5901))</f>
        <v/>
      </c>
    </row>
    <row r="5902">
      <c r="A5902" t="inlineStr">
        <is>
          <t>Contractors</t>
        </is>
      </c>
      <c r="B5902" s="46">
        <f>'Contractors'!AI866</f>
        <v/>
      </c>
      <c r="C5902" s="84">
        <f>'Contractors'!AG866</f>
        <v/>
      </c>
      <c r="D5902" s="46">
        <f>'Contractors'!AH866</f>
        <v/>
      </c>
      <c r="E5902" s="46">
        <f>IF(OR(B5902="",C5902="",D5902=""),"",D5902*100000+(C5902-DATE(2000,1,1))+ROW()/100000)</f>
        <v/>
      </c>
      <c r="F5902" s="46">
        <f>IF(E5902="","",IF(C5902&gt;WeekEndDate,"",E5902))</f>
        <v/>
      </c>
    </row>
    <row r="5903">
      <c r="A5903" t="inlineStr">
        <is>
          <t>Contractors</t>
        </is>
      </c>
      <c r="B5903" s="46">
        <f>'Contractors'!AI867</f>
        <v/>
      </c>
      <c r="C5903" s="84">
        <f>'Contractors'!AG867</f>
        <v/>
      </c>
      <c r="D5903" s="46">
        <f>'Contractors'!AH867</f>
        <v/>
      </c>
      <c r="E5903" s="46">
        <f>IF(OR(B5903="",C5903="",D5903=""),"",D5903*100000+(C5903-DATE(2000,1,1))+ROW()/100000)</f>
        <v/>
      </c>
      <c r="F5903" s="46">
        <f>IF(E5903="","",IF(C5903&gt;WeekEndDate,"",E5903))</f>
        <v/>
      </c>
    </row>
    <row r="5904">
      <c r="A5904" t="inlineStr">
        <is>
          <t>Contractors</t>
        </is>
      </c>
      <c r="B5904" s="46">
        <f>'Contractors'!AI868</f>
        <v/>
      </c>
      <c r="C5904" s="84">
        <f>'Contractors'!AG868</f>
        <v/>
      </c>
      <c r="D5904" s="46">
        <f>'Contractors'!AH868</f>
        <v/>
      </c>
      <c r="E5904" s="46">
        <f>IF(OR(B5904="",C5904="",D5904=""),"",D5904*100000+(C5904-DATE(2000,1,1))+ROW()/100000)</f>
        <v/>
      </c>
      <c r="F5904" s="46">
        <f>IF(E5904="","",IF(C5904&gt;WeekEndDate,"",E5904))</f>
        <v/>
      </c>
    </row>
    <row r="5905">
      <c r="A5905" t="inlineStr">
        <is>
          <t>Contractors</t>
        </is>
      </c>
      <c r="B5905" s="46">
        <f>'Contractors'!AI869</f>
        <v/>
      </c>
      <c r="C5905" s="84">
        <f>'Contractors'!AG869</f>
        <v/>
      </c>
      <c r="D5905" s="46">
        <f>'Contractors'!AH869</f>
        <v/>
      </c>
      <c r="E5905" s="46">
        <f>IF(OR(B5905="",C5905="",D5905=""),"",D5905*100000+(C5905-DATE(2000,1,1))+ROW()/100000)</f>
        <v/>
      </c>
      <c r="F5905" s="46">
        <f>IF(E5905="","",IF(C5905&gt;WeekEndDate,"",E5905))</f>
        <v/>
      </c>
    </row>
    <row r="5906">
      <c r="A5906" t="inlineStr">
        <is>
          <t>Contractors</t>
        </is>
      </c>
      <c r="B5906" s="46">
        <f>'Contractors'!AI870</f>
        <v/>
      </c>
      <c r="C5906" s="84">
        <f>'Contractors'!AG870</f>
        <v/>
      </c>
      <c r="D5906" s="46">
        <f>'Contractors'!AH870</f>
        <v/>
      </c>
      <c r="E5906" s="46">
        <f>IF(OR(B5906="",C5906="",D5906=""),"",D5906*100000+(C5906-DATE(2000,1,1))+ROW()/100000)</f>
        <v/>
      </c>
      <c r="F5906" s="46">
        <f>IF(E5906="","",IF(C5906&gt;WeekEndDate,"",E5906))</f>
        <v/>
      </c>
    </row>
    <row r="5907">
      <c r="A5907" t="inlineStr">
        <is>
          <t>Contractors</t>
        </is>
      </c>
      <c r="B5907" s="46">
        <f>'Contractors'!AI871</f>
        <v/>
      </c>
      <c r="C5907" s="84">
        <f>'Contractors'!AG871</f>
        <v/>
      </c>
      <c r="D5907" s="46">
        <f>'Contractors'!AH871</f>
        <v/>
      </c>
      <c r="E5907" s="46">
        <f>IF(OR(B5907="",C5907="",D5907=""),"",D5907*100000+(C5907-DATE(2000,1,1))+ROW()/100000)</f>
        <v/>
      </c>
      <c r="F5907" s="46">
        <f>IF(E5907="","",IF(C5907&gt;WeekEndDate,"",E5907))</f>
        <v/>
      </c>
    </row>
    <row r="5908">
      <c r="A5908" t="inlineStr">
        <is>
          <t>Contractors</t>
        </is>
      </c>
      <c r="B5908" s="46">
        <f>'Contractors'!AI872</f>
        <v/>
      </c>
      <c r="C5908" s="84">
        <f>'Contractors'!AG872</f>
        <v/>
      </c>
      <c r="D5908" s="46">
        <f>'Contractors'!AH872</f>
        <v/>
      </c>
      <c r="E5908" s="46">
        <f>IF(OR(B5908="",C5908="",D5908=""),"",D5908*100000+(C5908-DATE(2000,1,1))+ROW()/100000)</f>
        <v/>
      </c>
      <c r="F5908" s="46">
        <f>IF(E5908="","",IF(C5908&gt;WeekEndDate,"",E5908))</f>
        <v/>
      </c>
    </row>
    <row r="5909">
      <c r="A5909" t="inlineStr">
        <is>
          <t>Contractors</t>
        </is>
      </c>
      <c r="B5909" s="46">
        <f>'Contractors'!AI873</f>
        <v/>
      </c>
      <c r="C5909" s="84">
        <f>'Contractors'!AG873</f>
        <v/>
      </c>
      <c r="D5909" s="46">
        <f>'Contractors'!AH873</f>
        <v/>
      </c>
      <c r="E5909" s="46">
        <f>IF(OR(B5909="",C5909="",D5909=""),"",D5909*100000+(C5909-DATE(2000,1,1))+ROW()/100000)</f>
        <v/>
      </c>
      <c r="F5909" s="46">
        <f>IF(E5909="","",IF(C5909&gt;WeekEndDate,"",E5909))</f>
        <v/>
      </c>
    </row>
    <row r="5910">
      <c r="A5910" t="inlineStr">
        <is>
          <t>Contractors</t>
        </is>
      </c>
      <c r="B5910" s="46">
        <f>'Contractors'!AI874</f>
        <v/>
      </c>
      <c r="C5910" s="84">
        <f>'Contractors'!AG874</f>
        <v/>
      </c>
      <c r="D5910" s="46">
        <f>'Contractors'!AH874</f>
        <v/>
      </c>
      <c r="E5910" s="46">
        <f>IF(OR(B5910="",C5910="",D5910=""),"",D5910*100000+(C5910-DATE(2000,1,1))+ROW()/100000)</f>
        <v/>
      </c>
      <c r="F5910" s="46">
        <f>IF(E5910="","",IF(C5910&gt;WeekEndDate,"",E5910))</f>
        <v/>
      </c>
    </row>
    <row r="5911">
      <c r="A5911" t="inlineStr">
        <is>
          <t>Contractors</t>
        </is>
      </c>
      <c r="B5911" s="46">
        <f>'Contractors'!AI875</f>
        <v/>
      </c>
      <c r="C5911" s="84">
        <f>'Contractors'!AG875</f>
        <v/>
      </c>
      <c r="D5911" s="46">
        <f>'Contractors'!AH875</f>
        <v/>
      </c>
      <c r="E5911" s="46">
        <f>IF(OR(B5911="",C5911="",D5911=""),"",D5911*100000+(C5911-DATE(2000,1,1))+ROW()/100000)</f>
        <v/>
      </c>
      <c r="F5911" s="46">
        <f>IF(E5911="","",IF(C5911&gt;WeekEndDate,"",E5911))</f>
        <v/>
      </c>
    </row>
    <row r="5912">
      <c r="A5912" t="inlineStr">
        <is>
          <t>Contractors</t>
        </is>
      </c>
      <c r="B5912" s="46">
        <f>'Contractors'!AI876</f>
        <v/>
      </c>
      <c r="C5912" s="84">
        <f>'Contractors'!AG876</f>
        <v/>
      </c>
      <c r="D5912" s="46">
        <f>'Contractors'!AH876</f>
        <v/>
      </c>
      <c r="E5912" s="46">
        <f>IF(OR(B5912="",C5912="",D5912=""),"",D5912*100000+(C5912-DATE(2000,1,1))+ROW()/100000)</f>
        <v/>
      </c>
      <c r="F5912" s="46">
        <f>IF(E5912="","",IF(C5912&gt;WeekEndDate,"",E5912))</f>
        <v/>
      </c>
    </row>
    <row r="5913">
      <c r="A5913" t="inlineStr">
        <is>
          <t>Contractors</t>
        </is>
      </c>
      <c r="B5913" s="46">
        <f>'Contractors'!AI877</f>
        <v/>
      </c>
      <c r="C5913" s="84">
        <f>'Contractors'!AG877</f>
        <v/>
      </c>
      <c r="D5913" s="46">
        <f>'Contractors'!AH877</f>
        <v/>
      </c>
      <c r="E5913" s="46">
        <f>IF(OR(B5913="",C5913="",D5913=""),"",D5913*100000+(C5913-DATE(2000,1,1))+ROW()/100000)</f>
        <v/>
      </c>
      <c r="F5913" s="46">
        <f>IF(E5913="","",IF(C5913&gt;WeekEndDate,"",E5913))</f>
        <v/>
      </c>
    </row>
    <row r="5914">
      <c r="A5914" t="inlineStr">
        <is>
          <t>Contractors</t>
        </is>
      </c>
      <c r="B5914" s="46">
        <f>'Contractors'!AI878</f>
        <v/>
      </c>
      <c r="C5914" s="84">
        <f>'Contractors'!AG878</f>
        <v/>
      </c>
      <c r="D5914" s="46">
        <f>'Contractors'!AH878</f>
        <v/>
      </c>
      <c r="E5914" s="46">
        <f>IF(OR(B5914="",C5914="",D5914=""),"",D5914*100000+(C5914-DATE(2000,1,1))+ROW()/100000)</f>
        <v/>
      </c>
      <c r="F5914" s="46">
        <f>IF(E5914="","",IF(C5914&gt;WeekEndDate,"",E5914))</f>
        <v/>
      </c>
    </row>
    <row r="5915">
      <c r="A5915" t="inlineStr">
        <is>
          <t>Contractors</t>
        </is>
      </c>
      <c r="B5915" s="46">
        <f>'Contractors'!AI879</f>
        <v/>
      </c>
      <c r="C5915" s="84">
        <f>'Contractors'!AG879</f>
        <v/>
      </c>
      <c r="D5915" s="46">
        <f>'Contractors'!AH879</f>
        <v/>
      </c>
      <c r="E5915" s="46">
        <f>IF(OR(B5915="",C5915="",D5915=""),"",D5915*100000+(C5915-DATE(2000,1,1))+ROW()/100000)</f>
        <v/>
      </c>
      <c r="F5915" s="46">
        <f>IF(E5915="","",IF(C5915&gt;WeekEndDate,"",E5915))</f>
        <v/>
      </c>
    </row>
    <row r="5916">
      <c r="A5916" t="inlineStr">
        <is>
          <t>Contractors</t>
        </is>
      </c>
      <c r="B5916" s="46">
        <f>'Contractors'!AI880</f>
        <v/>
      </c>
      <c r="C5916" s="84">
        <f>'Contractors'!AG880</f>
        <v/>
      </c>
      <c r="D5916" s="46">
        <f>'Contractors'!AH880</f>
        <v/>
      </c>
      <c r="E5916" s="46">
        <f>IF(OR(B5916="",C5916="",D5916=""),"",D5916*100000+(C5916-DATE(2000,1,1))+ROW()/100000)</f>
        <v/>
      </c>
      <c r="F5916" s="46">
        <f>IF(E5916="","",IF(C5916&gt;WeekEndDate,"",E5916))</f>
        <v/>
      </c>
    </row>
    <row r="5917">
      <c r="A5917" t="inlineStr">
        <is>
          <t>Contractors</t>
        </is>
      </c>
      <c r="B5917" s="46">
        <f>'Contractors'!AI881</f>
        <v/>
      </c>
      <c r="C5917" s="84">
        <f>'Contractors'!AG881</f>
        <v/>
      </c>
      <c r="D5917" s="46">
        <f>'Contractors'!AH881</f>
        <v/>
      </c>
      <c r="E5917" s="46">
        <f>IF(OR(B5917="",C5917="",D5917=""),"",D5917*100000+(C5917-DATE(2000,1,1))+ROW()/100000)</f>
        <v/>
      </c>
      <c r="F5917" s="46">
        <f>IF(E5917="","",IF(C5917&gt;WeekEndDate,"",E5917))</f>
        <v/>
      </c>
    </row>
    <row r="5918">
      <c r="A5918" t="inlineStr">
        <is>
          <t>Contractors</t>
        </is>
      </c>
      <c r="B5918" s="46">
        <f>'Contractors'!AI882</f>
        <v/>
      </c>
      <c r="C5918" s="84">
        <f>'Contractors'!AG882</f>
        <v/>
      </c>
      <c r="D5918" s="46">
        <f>'Contractors'!AH882</f>
        <v/>
      </c>
      <c r="E5918" s="46">
        <f>IF(OR(B5918="",C5918="",D5918=""),"",D5918*100000+(C5918-DATE(2000,1,1))+ROW()/100000)</f>
        <v/>
      </c>
      <c r="F5918" s="46">
        <f>IF(E5918="","",IF(C5918&gt;WeekEndDate,"",E5918))</f>
        <v/>
      </c>
    </row>
    <row r="5919">
      <c r="A5919" t="inlineStr">
        <is>
          <t>Contractors</t>
        </is>
      </c>
      <c r="B5919" s="46">
        <f>'Contractors'!AI883</f>
        <v/>
      </c>
      <c r="C5919" s="84">
        <f>'Contractors'!AG883</f>
        <v/>
      </c>
      <c r="D5919" s="46">
        <f>'Contractors'!AH883</f>
        <v/>
      </c>
      <c r="E5919" s="46">
        <f>IF(OR(B5919="",C5919="",D5919=""),"",D5919*100000+(C5919-DATE(2000,1,1))+ROW()/100000)</f>
        <v/>
      </c>
      <c r="F5919" s="46">
        <f>IF(E5919="","",IF(C5919&gt;WeekEndDate,"",E5919))</f>
        <v/>
      </c>
    </row>
    <row r="5920">
      <c r="A5920" t="inlineStr">
        <is>
          <t>Contractors</t>
        </is>
      </c>
      <c r="B5920" s="46">
        <f>'Contractors'!AI884</f>
        <v/>
      </c>
      <c r="C5920" s="84">
        <f>'Contractors'!AG884</f>
        <v/>
      </c>
      <c r="D5920" s="46">
        <f>'Contractors'!AH884</f>
        <v/>
      </c>
      <c r="E5920" s="46">
        <f>IF(OR(B5920="",C5920="",D5920=""),"",D5920*100000+(C5920-DATE(2000,1,1))+ROW()/100000)</f>
        <v/>
      </c>
      <c r="F5920" s="46">
        <f>IF(E5920="","",IF(C5920&gt;WeekEndDate,"",E5920))</f>
        <v/>
      </c>
    </row>
    <row r="5921">
      <c r="A5921" t="inlineStr">
        <is>
          <t>Contractors</t>
        </is>
      </c>
      <c r="B5921" s="46">
        <f>'Contractors'!AI885</f>
        <v/>
      </c>
      <c r="C5921" s="84">
        <f>'Contractors'!AG885</f>
        <v/>
      </c>
      <c r="D5921" s="46">
        <f>'Contractors'!AH885</f>
        <v/>
      </c>
      <c r="E5921" s="46">
        <f>IF(OR(B5921="",C5921="",D5921=""),"",D5921*100000+(C5921-DATE(2000,1,1))+ROW()/100000)</f>
        <v/>
      </c>
      <c r="F5921" s="46">
        <f>IF(E5921="","",IF(C5921&gt;WeekEndDate,"",E5921))</f>
        <v/>
      </c>
    </row>
    <row r="5922">
      <c r="A5922" t="inlineStr">
        <is>
          <t>Contractors</t>
        </is>
      </c>
      <c r="B5922" s="46">
        <f>'Contractors'!AI886</f>
        <v/>
      </c>
      <c r="C5922" s="84">
        <f>'Contractors'!AG886</f>
        <v/>
      </c>
      <c r="D5922" s="46">
        <f>'Contractors'!AH886</f>
        <v/>
      </c>
      <c r="E5922" s="46">
        <f>IF(OR(B5922="",C5922="",D5922=""),"",D5922*100000+(C5922-DATE(2000,1,1))+ROW()/100000)</f>
        <v/>
      </c>
      <c r="F5922" s="46">
        <f>IF(E5922="","",IF(C5922&gt;WeekEndDate,"",E5922))</f>
        <v/>
      </c>
    </row>
    <row r="5923">
      <c r="A5923" t="inlineStr">
        <is>
          <t>Contractors</t>
        </is>
      </c>
      <c r="B5923" s="46">
        <f>'Contractors'!AI887</f>
        <v/>
      </c>
      <c r="C5923" s="84">
        <f>'Contractors'!AG887</f>
        <v/>
      </c>
      <c r="D5923" s="46">
        <f>'Contractors'!AH887</f>
        <v/>
      </c>
      <c r="E5923" s="46">
        <f>IF(OR(B5923="",C5923="",D5923=""),"",D5923*100000+(C5923-DATE(2000,1,1))+ROW()/100000)</f>
        <v/>
      </c>
      <c r="F5923" s="46">
        <f>IF(E5923="","",IF(C5923&gt;WeekEndDate,"",E5923))</f>
        <v/>
      </c>
    </row>
    <row r="5924">
      <c r="A5924" t="inlineStr">
        <is>
          <t>Contractors</t>
        </is>
      </c>
      <c r="B5924" s="46">
        <f>'Contractors'!AI888</f>
        <v/>
      </c>
      <c r="C5924" s="84">
        <f>'Contractors'!AG888</f>
        <v/>
      </c>
      <c r="D5924" s="46">
        <f>'Contractors'!AH888</f>
        <v/>
      </c>
      <c r="E5924" s="46">
        <f>IF(OR(B5924="",C5924="",D5924=""),"",D5924*100000+(C5924-DATE(2000,1,1))+ROW()/100000)</f>
        <v/>
      </c>
      <c r="F5924" s="46">
        <f>IF(E5924="","",IF(C5924&gt;WeekEndDate,"",E5924))</f>
        <v/>
      </c>
    </row>
    <row r="5925">
      <c r="A5925" t="inlineStr">
        <is>
          <t>Contractors</t>
        </is>
      </c>
      <c r="B5925" s="46">
        <f>'Contractors'!AI889</f>
        <v/>
      </c>
      <c r="C5925" s="84">
        <f>'Contractors'!AG889</f>
        <v/>
      </c>
      <c r="D5925" s="46">
        <f>'Contractors'!AH889</f>
        <v/>
      </c>
      <c r="E5925" s="46">
        <f>IF(OR(B5925="",C5925="",D5925=""),"",D5925*100000+(C5925-DATE(2000,1,1))+ROW()/100000)</f>
        <v/>
      </c>
      <c r="F5925" s="46">
        <f>IF(E5925="","",IF(C5925&gt;WeekEndDate,"",E5925))</f>
        <v/>
      </c>
    </row>
    <row r="5926">
      <c r="A5926" t="inlineStr">
        <is>
          <t>Contractors</t>
        </is>
      </c>
      <c r="B5926" s="46">
        <f>'Contractors'!AI890</f>
        <v/>
      </c>
      <c r="C5926" s="84">
        <f>'Contractors'!AG890</f>
        <v/>
      </c>
      <c r="D5926" s="46">
        <f>'Contractors'!AH890</f>
        <v/>
      </c>
      <c r="E5926" s="46">
        <f>IF(OR(B5926="",C5926="",D5926=""),"",D5926*100000+(C5926-DATE(2000,1,1))+ROW()/100000)</f>
        <v/>
      </c>
      <c r="F5926" s="46">
        <f>IF(E5926="","",IF(C5926&gt;WeekEndDate,"",E5926))</f>
        <v/>
      </c>
    </row>
    <row r="5927">
      <c r="A5927" t="inlineStr">
        <is>
          <t>Contractors</t>
        </is>
      </c>
      <c r="B5927" s="46">
        <f>'Contractors'!AI891</f>
        <v/>
      </c>
      <c r="C5927" s="84">
        <f>'Contractors'!AG891</f>
        <v/>
      </c>
      <c r="D5927" s="46">
        <f>'Contractors'!AH891</f>
        <v/>
      </c>
      <c r="E5927" s="46">
        <f>IF(OR(B5927="",C5927="",D5927=""),"",D5927*100000+(C5927-DATE(2000,1,1))+ROW()/100000)</f>
        <v/>
      </c>
      <c r="F5927" s="46">
        <f>IF(E5927="","",IF(C5927&gt;WeekEndDate,"",E5927))</f>
        <v/>
      </c>
    </row>
    <row r="5928">
      <c r="A5928" t="inlineStr">
        <is>
          <t>Contractors</t>
        </is>
      </c>
      <c r="B5928" s="46">
        <f>'Contractors'!AI892</f>
        <v/>
      </c>
      <c r="C5928" s="84">
        <f>'Contractors'!AG892</f>
        <v/>
      </c>
      <c r="D5928" s="46">
        <f>'Contractors'!AH892</f>
        <v/>
      </c>
      <c r="E5928" s="46">
        <f>IF(OR(B5928="",C5928="",D5928=""),"",D5928*100000+(C5928-DATE(2000,1,1))+ROW()/100000)</f>
        <v/>
      </c>
      <c r="F5928" s="46">
        <f>IF(E5928="","",IF(C5928&gt;WeekEndDate,"",E5928))</f>
        <v/>
      </c>
    </row>
    <row r="5929">
      <c r="A5929" t="inlineStr">
        <is>
          <t>Contractors</t>
        </is>
      </c>
      <c r="B5929" s="46">
        <f>'Contractors'!AI893</f>
        <v/>
      </c>
      <c r="C5929" s="84">
        <f>'Contractors'!AG893</f>
        <v/>
      </c>
      <c r="D5929" s="46">
        <f>'Contractors'!AH893</f>
        <v/>
      </c>
      <c r="E5929" s="46">
        <f>IF(OR(B5929="",C5929="",D5929=""),"",D5929*100000+(C5929-DATE(2000,1,1))+ROW()/100000)</f>
        <v/>
      </c>
      <c r="F5929" s="46">
        <f>IF(E5929="","",IF(C5929&gt;WeekEndDate,"",E5929))</f>
        <v/>
      </c>
    </row>
    <row r="5930">
      <c r="A5930" t="inlineStr">
        <is>
          <t>Contractors</t>
        </is>
      </c>
      <c r="B5930" s="46">
        <f>'Contractors'!AI894</f>
        <v/>
      </c>
      <c r="C5930" s="84">
        <f>'Contractors'!AG894</f>
        <v/>
      </c>
      <c r="D5930" s="46">
        <f>'Contractors'!AH894</f>
        <v/>
      </c>
      <c r="E5930" s="46">
        <f>IF(OR(B5930="",C5930="",D5930=""),"",D5930*100000+(C5930-DATE(2000,1,1))+ROW()/100000)</f>
        <v/>
      </c>
      <c r="F5930" s="46">
        <f>IF(E5930="","",IF(C5930&gt;WeekEndDate,"",E5930))</f>
        <v/>
      </c>
    </row>
    <row r="5931">
      <c r="A5931" t="inlineStr">
        <is>
          <t>Contractors</t>
        </is>
      </c>
      <c r="B5931" s="46">
        <f>'Contractors'!AI895</f>
        <v/>
      </c>
      <c r="C5931" s="84">
        <f>'Contractors'!AG895</f>
        <v/>
      </c>
      <c r="D5931" s="46">
        <f>'Contractors'!AH895</f>
        <v/>
      </c>
      <c r="E5931" s="46">
        <f>IF(OR(B5931="",C5931="",D5931=""),"",D5931*100000+(C5931-DATE(2000,1,1))+ROW()/100000)</f>
        <v/>
      </c>
      <c r="F5931" s="46">
        <f>IF(E5931="","",IF(C5931&gt;WeekEndDate,"",E5931))</f>
        <v/>
      </c>
    </row>
    <row r="5932">
      <c r="A5932" t="inlineStr">
        <is>
          <t>Contractors</t>
        </is>
      </c>
      <c r="B5932" s="46">
        <f>'Contractors'!AI896</f>
        <v/>
      </c>
      <c r="C5932" s="84">
        <f>'Contractors'!AG896</f>
        <v/>
      </c>
      <c r="D5932" s="46">
        <f>'Contractors'!AH896</f>
        <v/>
      </c>
      <c r="E5932" s="46">
        <f>IF(OR(B5932="",C5932="",D5932=""),"",D5932*100000+(C5932-DATE(2000,1,1))+ROW()/100000)</f>
        <v/>
      </c>
      <c r="F5932" s="46">
        <f>IF(E5932="","",IF(C5932&gt;WeekEndDate,"",E5932))</f>
        <v/>
      </c>
    </row>
    <row r="5933">
      <c r="A5933" t="inlineStr">
        <is>
          <t>Contractors</t>
        </is>
      </c>
      <c r="B5933" s="46">
        <f>'Contractors'!AI897</f>
        <v/>
      </c>
      <c r="C5933" s="84">
        <f>'Contractors'!AG897</f>
        <v/>
      </c>
      <c r="D5933" s="46">
        <f>'Contractors'!AH897</f>
        <v/>
      </c>
      <c r="E5933" s="46">
        <f>IF(OR(B5933="",C5933="",D5933=""),"",D5933*100000+(C5933-DATE(2000,1,1))+ROW()/100000)</f>
        <v/>
      </c>
      <c r="F5933" s="46">
        <f>IF(E5933="","",IF(C5933&gt;WeekEndDate,"",E5933))</f>
        <v/>
      </c>
    </row>
    <row r="5934">
      <c r="A5934" t="inlineStr">
        <is>
          <t>Contractors</t>
        </is>
      </c>
      <c r="B5934" s="46">
        <f>'Contractors'!AI898</f>
        <v/>
      </c>
      <c r="C5934" s="84">
        <f>'Contractors'!AG898</f>
        <v/>
      </c>
      <c r="D5934" s="46">
        <f>'Contractors'!AH898</f>
        <v/>
      </c>
      <c r="E5934" s="46">
        <f>IF(OR(B5934="",C5934="",D5934=""),"",D5934*100000+(C5934-DATE(2000,1,1))+ROW()/100000)</f>
        <v/>
      </c>
      <c r="F5934" s="46">
        <f>IF(E5934="","",IF(C5934&gt;WeekEndDate,"",E5934))</f>
        <v/>
      </c>
    </row>
    <row r="5935">
      <c r="A5935" t="inlineStr">
        <is>
          <t>Contractors</t>
        </is>
      </c>
      <c r="B5935" s="46">
        <f>'Contractors'!AI899</f>
        <v/>
      </c>
      <c r="C5935" s="84">
        <f>'Contractors'!AG899</f>
        <v/>
      </c>
      <c r="D5935" s="46">
        <f>'Contractors'!AH899</f>
        <v/>
      </c>
      <c r="E5935" s="46">
        <f>IF(OR(B5935="",C5935="",D5935=""),"",D5935*100000+(C5935-DATE(2000,1,1))+ROW()/100000)</f>
        <v/>
      </c>
      <c r="F5935" s="46">
        <f>IF(E5935="","",IF(C5935&gt;WeekEndDate,"",E5935))</f>
        <v/>
      </c>
    </row>
    <row r="5936">
      <c r="A5936" t="inlineStr">
        <is>
          <t>Contractors</t>
        </is>
      </c>
      <c r="B5936" s="46">
        <f>'Contractors'!AI900</f>
        <v/>
      </c>
      <c r="C5936" s="84">
        <f>'Contractors'!AG900</f>
        <v/>
      </c>
      <c r="D5936" s="46">
        <f>'Contractors'!AH900</f>
        <v/>
      </c>
      <c r="E5936" s="46">
        <f>IF(OR(B5936="",C5936="",D5936=""),"",D5936*100000+(C5936-DATE(2000,1,1))+ROW()/100000)</f>
        <v/>
      </c>
      <c r="F5936" s="46">
        <f>IF(E5936="","",IF(C5936&gt;WeekEndDate,"",E5936))</f>
        <v/>
      </c>
    </row>
    <row r="5937">
      <c r="A5937" t="inlineStr">
        <is>
          <t>Contractors</t>
        </is>
      </c>
      <c r="B5937" s="46">
        <f>'Contractors'!AI901</f>
        <v/>
      </c>
      <c r="C5937" s="84">
        <f>'Contractors'!AG901</f>
        <v/>
      </c>
      <c r="D5937" s="46">
        <f>'Contractors'!AH901</f>
        <v/>
      </c>
      <c r="E5937" s="46">
        <f>IF(OR(B5937="",C5937="",D5937=""),"",D5937*100000+(C5937-DATE(2000,1,1))+ROW()/100000)</f>
        <v/>
      </c>
      <c r="F5937" s="46">
        <f>IF(E5937="","",IF(C5937&gt;WeekEndDate,"",E5937))</f>
        <v/>
      </c>
    </row>
    <row r="5938">
      <c r="A5938" t="inlineStr">
        <is>
          <t>Contractors</t>
        </is>
      </c>
      <c r="B5938" s="46">
        <f>'Contractors'!AI902</f>
        <v/>
      </c>
      <c r="C5938" s="84">
        <f>'Contractors'!AG902</f>
        <v/>
      </c>
      <c r="D5938" s="46">
        <f>'Contractors'!AH902</f>
        <v/>
      </c>
      <c r="E5938" s="46">
        <f>IF(OR(B5938="",C5938="",D5938=""),"",D5938*100000+(C5938-DATE(2000,1,1))+ROW()/100000)</f>
        <v/>
      </c>
      <c r="F5938" s="46">
        <f>IF(E5938="","",IF(C5938&gt;WeekEndDate,"",E5938))</f>
        <v/>
      </c>
    </row>
    <row r="5939">
      <c r="A5939" t="inlineStr">
        <is>
          <t>Contractors</t>
        </is>
      </c>
      <c r="B5939" s="46">
        <f>'Contractors'!AI903</f>
        <v/>
      </c>
      <c r="C5939" s="84">
        <f>'Contractors'!AG903</f>
        <v/>
      </c>
      <c r="D5939" s="46">
        <f>'Contractors'!AH903</f>
        <v/>
      </c>
      <c r="E5939" s="46">
        <f>IF(OR(B5939="",C5939="",D5939=""),"",D5939*100000+(C5939-DATE(2000,1,1))+ROW()/100000)</f>
        <v/>
      </c>
      <c r="F5939" s="46">
        <f>IF(E5939="","",IF(C5939&gt;WeekEndDate,"",E5939))</f>
        <v/>
      </c>
    </row>
    <row r="5940">
      <c r="A5940" t="inlineStr">
        <is>
          <t>Contractors</t>
        </is>
      </c>
      <c r="B5940" s="46">
        <f>'Contractors'!AI904</f>
        <v/>
      </c>
      <c r="C5940" s="84">
        <f>'Contractors'!AG904</f>
        <v/>
      </c>
      <c r="D5940" s="46">
        <f>'Contractors'!AH904</f>
        <v/>
      </c>
      <c r="E5940" s="46">
        <f>IF(OR(B5940="",C5940="",D5940=""),"",D5940*100000+(C5940-DATE(2000,1,1))+ROW()/100000)</f>
        <v/>
      </c>
      <c r="F5940" s="46">
        <f>IF(E5940="","",IF(C5940&gt;WeekEndDate,"",E5940))</f>
        <v/>
      </c>
    </row>
    <row r="5941">
      <c r="A5941" t="inlineStr">
        <is>
          <t>Contractors</t>
        </is>
      </c>
      <c r="B5941" s="46">
        <f>'Contractors'!AI905</f>
        <v/>
      </c>
      <c r="C5941" s="84">
        <f>'Contractors'!AG905</f>
        <v/>
      </c>
      <c r="D5941" s="46">
        <f>'Contractors'!AH905</f>
        <v/>
      </c>
      <c r="E5941" s="46">
        <f>IF(OR(B5941="",C5941="",D5941=""),"",D5941*100000+(C5941-DATE(2000,1,1))+ROW()/100000)</f>
        <v/>
      </c>
      <c r="F5941" s="46">
        <f>IF(E5941="","",IF(C5941&gt;WeekEndDate,"",E5941))</f>
        <v/>
      </c>
    </row>
    <row r="5942">
      <c r="A5942" t="inlineStr">
        <is>
          <t>Contractors</t>
        </is>
      </c>
      <c r="B5942" s="46">
        <f>'Contractors'!AI906</f>
        <v/>
      </c>
      <c r="C5942" s="84">
        <f>'Contractors'!AG906</f>
        <v/>
      </c>
      <c r="D5942" s="46">
        <f>'Contractors'!AH906</f>
        <v/>
      </c>
      <c r="E5942" s="46">
        <f>IF(OR(B5942="",C5942="",D5942=""),"",D5942*100000+(C5942-DATE(2000,1,1))+ROW()/100000)</f>
        <v/>
      </c>
      <c r="F5942" s="46">
        <f>IF(E5942="","",IF(C5942&gt;WeekEndDate,"",E5942))</f>
        <v/>
      </c>
    </row>
    <row r="5943">
      <c r="A5943" t="inlineStr">
        <is>
          <t>Contractors</t>
        </is>
      </c>
      <c r="B5943" s="46">
        <f>'Contractors'!AI907</f>
        <v/>
      </c>
      <c r="C5943" s="84">
        <f>'Contractors'!AG907</f>
        <v/>
      </c>
      <c r="D5943" s="46">
        <f>'Contractors'!AH907</f>
        <v/>
      </c>
      <c r="E5943" s="46">
        <f>IF(OR(B5943="",C5943="",D5943=""),"",D5943*100000+(C5943-DATE(2000,1,1))+ROW()/100000)</f>
        <v/>
      </c>
      <c r="F5943" s="46">
        <f>IF(E5943="","",IF(C5943&gt;WeekEndDate,"",E5943))</f>
        <v/>
      </c>
    </row>
    <row r="5944">
      <c r="A5944" t="inlineStr">
        <is>
          <t>Contractors</t>
        </is>
      </c>
      <c r="B5944" s="46">
        <f>'Contractors'!AI908</f>
        <v/>
      </c>
      <c r="C5944" s="84">
        <f>'Contractors'!AG908</f>
        <v/>
      </c>
      <c r="D5944" s="46">
        <f>'Contractors'!AH908</f>
        <v/>
      </c>
      <c r="E5944" s="46">
        <f>IF(OR(B5944="",C5944="",D5944=""),"",D5944*100000+(C5944-DATE(2000,1,1))+ROW()/100000)</f>
        <v/>
      </c>
      <c r="F5944" s="46">
        <f>IF(E5944="","",IF(C5944&gt;WeekEndDate,"",E5944))</f>
        <v/>
      </c>
    </row>
    <row r="5945">
      <c r="A5945" t="inlineStr">
        <is>
          <t>Contractors</t>
        </is>
      </c>
      <c r="B5945" s="46">
        <f>'Contractors'!AI909</f>
        <v/>
      </c>
      <c r="C5945" s="84">
        <f>'Contractors'!AG909</f>
        <v/>
      </c>
      <c r="D5945" s="46">
        <f>'Contractors'!AH909</f>
        <v/>
      </c>
      <c r="E5945" s="46">
        <f>IF(OR(B5945="",C5945="",D5945=""),"",D5945*100000+(C5945-DATE(2000,1,1))+ROW()/100000)</f>
        <v/>
      </c>
      <c r="F5945" s="46">
        <f>IF(E5945="","",IF(C5945&gt;WeekEndDate,"",E5945))</f>
        <v/>
      </c>
    </row>
    <row r="5946">
      <c r="A5946" t="inlineStr">
        <is>
          <t>Contractors</t>
        </is>
      </c>
      <c r="B5946" s="46">
        <f>'Contractors'!AI910</f>
        <v/>
      </c>
      <c r="C5946" s="84">
        <f>'Contractors'!AG910</f>
        <v/>
      </c>
      <c r="D5946" s="46">
        <f>'Contractors'!AH910</f>
        <v/>
      </c>
      <c r="E5946" s="46">
        <f>IF(OR(B5946="",C5946="",D5946=""),"",D5946*100000+(C5946-DATE(2000,1,1))+ROW()/100000)</f>
        <v/>
      </c>
      <c r="F5946" s="46">
        <f>IF(E5946="","",IF(C5946&gt;WeekEndDate,"",E5946))</f>
        <v/>
      </c>
    </row>
    <row r="5947">
      <c r="A5947" t="inlineStr">
        <is>
          <t>Contractors</t>
        </is>
      </c>
      <c r="B5947" s="46">
        <f>'Contractors'!AI911</f>
        <v/>
      </c>
      <c r="C5947" s="84">
        <f>'Contractors'!AG911</f>
        <v/>
      </c>
      <c r="D5947" s="46">
        <f>'Contractors'!AH911</f>
        <v/>
      </c>
      <c r="E5947" s="46">
        <f>IF(OR(B5947="",C5947="",D5947=""),"",D5947*100000+(C5947-DATE(2000,1,1))+ROW()/100000)</f>
        <v/>
      </c>
      <c r="F5947" s="46">
        <f>IF(E5947="","",IF(C5947&gt;WeekEndDate,"",E5947))</f>
        <v/>
      </c>
    </row>
    <row r="5948">
      <c r="A5948" t="inlineStr">
        <is>
          <t>Contractors</t>
        </is>
      </c>
      <c r="B5948" s="46">
        <f>'Contractors'!AI912</f>
        <v/>
      </c>
      <c r="C5948" s="84">
        <f>'Contractors'!AG912</f>
        <v/>
      </c>
      <c r="D5948" s="46">
        <f>'Contractors'!AH912</f>
        <v/>
      </c>
      <c r="E5948" s="46">
        <f>IF(OR(B5948="",C5948="",D5948=""),"",D5948*100000+(C5948-DATE(2000,1,1))+ROW()/100000)</f>
        <v/>
      </c>
      <c r="F5948" s="46">
        <f>IF(E5948="","",IF(C5948&gt;WeekEndDate,"",E5948))</f>
        <v/>
      </c>
    </row>
    <row r="5949">
      <c r="A5949" t="inlineStr">
        <is>
          <t>Contractors</t>
        </is>
      </c>
      <c r="B5949" s="46">
        <f>'Contractors'!AI913</f>
        <v/>
      </c>
      <c r="C5949" s="84">
        <f>'Contractors'!AG913</f>
        <v/>
      </c>
      <c r="D5949" s="46">
        <f>'Contractors'!AH913</f>
        <v/>
      </c>
      <c r="E5949" s="46">
        <f>IF(OR(B5949="",C5949="",D5949=""),"",D5949*100000+(C5949-DATE(2000,1,1))+ROW()/100000)</f>
        <v/>
      </c>
      <c r="F5949" s="46">
        <f>IF(E5949="","",IF(C5949&gt;WeekEndDate,"",E5949))</f>
        <v/>
      </c>
    </row>
    <row r="5950">
      <c r="A5950" t="inlineStr">
        <is>
          <t>Contractors</t>
        </is>
      </c>
      <c r="B5950" s="46">
        <f>'Contractors'!AI914</f>
        <v/>
      </c>
      <c r="C5950" s="84">
        <f>'Contractors'!AG914</f>
        <v/>
      </c>
      <c r="D5950" s="46">
        <f>'Contractors'!AH914</f>
        <v/>
      </c>
      <c r="E5950" s="46">
        <f>IF(OR(B5950="",C5950="",D5950=""),"",D5950*100000+(C5950-DATE(2000,1,1))+ROW()/100000)</f>
        <v/>
      </c>
      <c r="F5950" s="46">
        <f>IF(E5950="","",IF(C5950&gt;WeekEndDate,"",E5950))</f>
        <v/>
      </c>
    </row>
    <row r="5951">
      <c r="A5951" t="inlineStr">
        <is>
          <t>Contractors</t>
        </is>
      </c>
      <c r="B5951" s="46">
        <f>'Contractors'!AI915</f>
        <v/>
      </c>
      <c r="C5951" s="84">
        <f>'Contractors'!AG915</f>
        <v/>
      </c>
      <c r="D5951" s="46">
        <f>'Contractors'!AH915</f>
        <v/>
      </c>
      <c r="E5951" s="46">
        <f>IF(OR(B5951="",C5951="",D5951=""),"",D5951*100000+(C5951-DATE(2000,1,1))+ROW()/100000)</f>
        <v/>
      </c>
      <c r="F5951" s="46">
        <f>IF(E5951="","",IF(C5951&gt;WeekEndDate,"",E5951))</f>
        <v/>
      </c>
    </row>
    <row r="5952">
      <c r="A5952" t="inlineStr">
        <is>
          <t>Contractors</t>
        </is>
      </c>
      <c r="B5952" s="46">
        <f>'Contractors'!AI916</f>
        <v/>
      </c>
      <c r="C5952" s="84">
        <f>'Contractors'!AG916</f>
        <v/>
      </c>
      <c r="D5952" s="46">
        <f>'Contractors'!AH916</f>
        <v/>
      </c>
      <c r="E5952" s="46">
        <f>IF(OR(B5952="",C5952="",D5952=""),"",D5952*100000+(C5952-DATE(2000,1,1))+ROW()/100000)</f>
        <v/>
      </c>
      <c r="F5952" s="46">
        <f>IF(E5952="","",IF(C5952&gt;WeekEndDate,"",E5952))</f>
        <v/>
      </c>
    </row>
    <row r="5953">
      <c r="A5953" t="inlineStr">
        <is>
          <t>Contractors</t>
        </is>
      </c>
      <c r="B5953" s="46">
        <f>'Contractors'!AI917</f>
        <v/>
      </c>
      <c r="C5953" s="84">
        <f>'Contractors'!AG917</f>
        <v/>
      </c>
      <c r="D5953" s="46">
        <f>'Contractors'!AH917</f>
        <v/>
      </c>
      <c r="E5953" s="46">
        <f>IF(OR(B5953="",C5953="",D5953=""),"",D5953*100000+(C5953-DATE(2000,1,1))+ROW()/100000)</f>
        <v/>
      </c>
      <c r="F5953" s="46">
        <f>IF(E5953="","",IF(C5953&gt;WeekEndDate,"",E5953))</f>
        <v/>
      </c>
    </row>
    <row r="5954">
      <c r="A5954" t="inlineStr">
        <is>
          <t>Contractors</t>
        </is>
      </c>
      <c r="B5954" s="46">
        <f>'Contractors'!AI918</f>
        <v/>
      </c>
      <c r="C5954" s="84">
        <f>'Contractors'!AG918</f>
        <v/>
      </c>
      <c r="D5954" s="46">
        <f>'Contractors'!AH918</f>
        <v/>
      </c>
      <c r="E5954" s="46">
        <f>IF(OR(B5954="",C5954="",D5954=""),"",D5954*100000+(C5954-DATE(2000,1,1))+ROW()/100000)</f>
        <v/>
      </c>
      <c r="F5954" s="46">
        <f>IF(E5954="","",IF(C5954&gt;WeekEndDate,"",E5954))</f>
        <v/>
      </c>
    </row>
    <row r="5955">
      <c r="A5955" t="inlineStr">
        <is>
          <t>Contractors</t>
        </is>
      </c>
      <c r="B5955" s="46">
        <f>'Contractors'!AI919</f>
        <v/>
      </c>
      <c r="C5955" s="84">
        <f>'Contractors'!AG919</f>
        <v/>
      </c>
      <c r="D5955" s="46">
        <f>'Contractors'!AH919</f>
        <v/>
      </c>
      <c r="E5955" s="46">
        <f>IF(OR(B5955="",C5955="",D5955=""),"",D5955*100000+(C5955-DATE(2000,1,1))+ROW()/100000)</f>
        <v/>
      </c>
      <c r="F5955" s="46">
        <f>IF(E5955="","",IF(C5955&gt;WeekEndDate,"",E5955))</f>
        <v/>
      </c>
    </row>
    <row r="5956">
      <c r="A5956" t="inlineStr">
        <is>
          <t>Contractors</t>
        </is>
      </c>
      <c r="B5956" s="46">
        <f>'Contractors'!AI920</f>
        <v/>
      </c>
      <c r="C5956" s="84">
        <f>'Contractors'!AG920</f>
        <v/>
      </c>
      <c r="D5956" s="46">
        <f>'Contractors'!AH920</f>
        <v/>
      </c>
      <c r="E5956" s="46">
        <f>IF(OR(B5956="",C5956="",D5956=""),"",D5956*100000+(C5956-DATE(2000,1,1))+ROW()/100000)</f>
        <v/>
      </c>
      <c r="F5956" s="46">
        <f>IF(E5956="","",IF(C5956&gt;WeekEndDate,"",E5956))</f>
        <v/>
      </c>
    </row>
    <row r="5957">
      <c r="A5957" t="inlineStr">
        <is>
          <t>Contractors</t>
        </is>
      </c>
      <c r="B5957" s="46">
        <f>'Contractors'!AI921</f>
        <v/>
      </c>
      <c r="C5957" s="84">
        <f>'Contractors'!AG921</f>
        <v/>
      </c>
      <c r="D5957" s="46">
        <f>'Contractors'!AH921</f>
        <v/>
      </c>
      <c r="E5957" s="46">
        <f>IF(OR(B5957="",C5957="",D5957=""),"",D5957*100000+(C5957-DATE(2000,1,1))+ROW()/100000)</f>
        <v/>
      </c>
      <c r="F5957" s="46">
        <f>IF(E5957="","",IF(C5957&gt;WeekEndDate,"",E5957))</f>
        <v/>
      </c>
    </row>
    <row r="5958">
      <c r="A5958" t="inlineStr">
        <is>
          <t>Contractors</t>
        </is>
      </c>
      <c r="B5958" s="46">
        <f>'Contractors'!AI922</f>
        <v/>
      </c>
      <c r="C5958" s="84">
        <f>'Contractors'!AG922</f>
        <v/>
      </c>
      <c r="D5958" s="46">
        <f>'Contractors'!AH922</f>
        <v/>
      </c>
      <c r="E5958" s="46">
        <f>IF(OR(B5958="",C5958="",D5958=""),"",D5958*100000+(C5958-DATE(2000,1,1))+ROW()/100000)</f>
        <v/>
      </c>
      <c r="F5958" s="46">
        <f>IF(E5958="","",IF(C5958&gt;WeekEndDate,"",E5958))</f>
        <v/>
      </c>
    </row>
    <row r="5959">
      <c r="A5959" t="inlineStr">
        <is>
          <t>Contractors</t>
        </is>
      </c>
      <c r="B5959" s="46">
        <f>'Contractors'!AI923</f>
        <v/>
      </c>
      <c r="C5959" s="84">
        <f>'Contractors'!AG923</f>
        <v/>
      </c>
      <c r="D5959" s="46">
        <f>'Contractors'!AH923</f>
        <v/>
      </c>
      <c r="E5959" s="46">
        <f>IF(OR(B5959="",C5959="",D5959=""),"",D5959*100000+(C5959-DATE(2000,1,1))+ROW()/100000)</f>
        <v/>
      </c>
      <c r="F5959" s="46">
        <f>IF(E5959="","",IF(C5959&gt;WeekEndDate,"",E5959))</f>
        <v/>
      </c>
    </row>
    <row r="5960">
      <c r="A5960" t="inlineStr">
        <is>
          <t>Contractors</t>
        </is>
      </c>
      <c r="B5960" s="46">
        <f>'Contractors'!AI924</f>
        <v/>
      </c>
      <c r="C5960" s="84">
        <f>'Contractors'!AG924</f>
        <v/>
      </c>
      <c r="D5960" s="46">
        <f>'Contractors'!AH924</f>
        <v/>
      </c>
      <c r="E5960" s="46">
        <f>IF(OR(B5960="",C5960="",D5960=""),"",D5960*100000+(C5960-DATE(2000,1,1))+ROW()/100000)</f>
        <v/>
      </c>
      <c r="F5960" s="46">
        <f>IF(E5960="","",IF(C5960&gt;WeekEndDate,"",E5960))</f>
        <v/>
      </c>
    </row>
    <row r="5961">
      <c r="A5961" t="inlineStr">
        <is>
          <t>Contractors</t>
        </is>
      </c>
      <c r="B5961" s="46">
        <f>'Contractors'!AI925</f>
        <v/>
      </c>
      <c r="C5961" s="84">
        <f>'Contractors'!AG925</f>
        <v/>
      </c>
      <c r="D5961" s="46">
        <f>'Contractors'!AH925</f>
        <v/>
      </c>
      <c r="E5961" s="46">
        <f>IF(OR(B5961="",C5961="",D5961=""),"",D5961*100000+(C5961-DATE(2000,1,1))+ROW()/100000)</f>
        <v/>
      </c>
      <c r="F5961" s="46">
        <f>IF(E5961="","",IF(C5961&gt;WeekEndDate,"",E5961))</f>
        <v/>
      </c>
    </row>
    <row r="5962">
      <c r="A5962" t="inlineStr">
        <is>
          <t>Contractors</t>
        </is>
      </c>
      <c r="B5962" s="46">
        <f>'Contractors'!AI926</f>
        <v/>
      </c>
      <c r="C5962" s="84">
        <f>'Contractors'!AG926</f>
        <v/>
      </c>
      <c r="D5962" s="46">
        <f>'Contractors'!AH926</f>
        <v/>
      </c>
      <c r="E5962" s="46">
        <f>IF(OR(B5962="",C5962="",D5962=""),"",D5962*100000+(C5962-DATE(2000,1,1))+ROW()/100000)</f>
        <v/>
      </c>
      <c r="F5962" s="46">
        <f>IF(E5962="","",IF(C5962&gt;WeekEndDate,"",E5962))</f>
        <v/>
      </c>
    </row>
    <row r="5963">
      <c r="A5963" t="inlineStr">
        <is>
          <t>Contractors</t>
        </is>
      </c>
      <c r="B5963" s="46">
        <f>'Contractors'!AI927</f>
        <v/>
      </c>
      <c r="C5963" s="84">
        <f>'Contractors'!AG927</f>
        <v/>
      </c>
      <c r="D5963" s="46">
        <f>'Contractors'!AH927</f>
        <v/>
      </c>
      <c r="E5963" s="46">
        <f>IF(OR(B5963="",C5963="",D5963=""),"",D5963*100000+(C5963-DATE(2000,1,1))+ROW()/100000)</f>
        <v/>
      </c>
      <c r="F5963" s="46">
        <f>IF(E5963="","",IF(C5963&gt;WeekEndDate,"",E5963))</f>
        <v/>
      </c>
    </row>
    <row r="5964">
      <c r="A5964" t="inlineStr">
        <is>
          <t>Contractors</t>
        </is>
      </c>
      <c r="B5964" s="46">
        <f>'Contractors'!AI928</f>
        <v/>
      </c>
      <c r="C5964" s="84">
        <f>'Contractors'!AG928</f>
        <v/>
      </c>
      <c r="D5964" s="46">
        <f>'Contractors'!AH928</f>
        <v/>
      </c>
      <c r="E5964" s="46">
        <f>IF(OR(B5964="",C5964="",D5964=""),"",D5964*100000+(C5964-DATE(2000,1,1))+ROW()/100000)</f>
        <v/>
      </c>
      <c r="F5964" s="46">
        <f>IF(E5964="","",IF(C5964&gt;WeekEndDate,"",E5964))</f>
        <v/>
      </c>
    </row>
    <row r="5965">
      <c r="A5965" t="inlineStr">
        <is>
          <t>Contractors</t>
        </is>
      </c>
      <c r="B5965" s="46">
        <f>'Contractors'!AI929</f>
        <v/>
      </c>
      <c r="C5965" s="84">
        <f>'Contractors'!AG929</f>
        <v/>
      </c>
      <c r="D5965" s="46">
        <f>'Contractors'!AH929</f>
        <v/>
      </c>
      <c r="E5965" s="46">
        <f>IF(OR(B5965="",C5965="",D5965=""),"",D5965*100000+(C5965-DATE(2000,1,1))+ROW()/100000)</f>
        <v/>
      </c>
      <c r="F5965" s="46">
        <f>IF(E5965="","",IF(C5965&gt;WeekEndDate,"",E5965))</f>
        <v/>
      </c>
    </row>
    <row r="5966">
      <c r="A5966" t="inlineStr">
        <is>
          <t>Contractors</t>
        </is>
      </c>
      <c r="B5966" s="46">
        <f>'Contractors'!AI930</f>
        <v/>
      </c>
      <c r="C5966" s="84">
        <f>'Contractors'!AG930</f>
        <v/>
      </c>
      <c r="D5966" s="46">
        <f>'Contractors'!AH930</f>
        <v/>
      </c>
      <c r="E5966" s="46">
        <f>IF(OR(B5966="",C5966="",D5966=""),"",D5966*100000+(C5966-DATE(2000,1,1))+ROW()/100000)</f>
        <v/>
      </c>
      <c r="F5966" s="46">
        <f>IF(E5966="","",IF(C5966&gt;WeekEndDate,"",E5966))</f>
        <v/>
      </c>
    </row>
    <row r="5967">
      <c r="A5967" t="inlineStr">
        <is>
          <t>Contractors</t>
        </is>
      </c>
      <c r="B5967" s="46">
        <f>'Contractors'!AI931</f>
        <v/>
      </c>
      <c r="C5967" s="84">
        <f>'Contractors'!AG931</f>
        <v/>
      </c>
      <c r="D5967" s="46">
        <f>'Contractors'!AH931</f>
        <v/>
      </c>
      <c r="E5967" s="46">
        <f>IF(OR(B5967="",C5967="",D5967=""),"",D5967*100000+(C5967-DATE(2000,1,1))+ROW()/100000)</f>
        <v/>
      </c>
      <c r="F5967" s="46">
        <f>IF(E5967="","",IF(C5967&gt;WeekEndDate,"",E5967))</f>
        <v/>
      </c>
    </row>
    <row r="5968">
      <c r="A5968" t="inlineStr">
        <is>
          <t>Contractors</t>
        </is>
      </c>
      <c r="B5968" s="46">
        <f>'Contractors'!AI932</f>
        <v/>
      </c>
      <c r="C5968" s="84">
        <f>'Contractors'!AG932</f>
        <v/>
      </c>
      <c r="D5968" s="46">
        <f>'Contractors'!AH932</f>
        <v/>
      </c>
      <c r="E5968" s="46">
        <f>IF(OR(B5968="",C5968="",D5968=""),"",D5968*100000+(C5968-DATE(2000,1,1))+ROW()/100000)</f>
        <v/>
      </c>
      <c r="F5968" s="46">
        <f>IF(E5968="","",IF(C5968&gt;WeekEndDate,"",E5968))</f>
        <v/>
      </c>
    </row>
    <row r="5969">
      <c r="A5969" t="inlineStr">
        <is>
          <t>Contractors</t>
        </is>
      </c>
      <c r="B5969" s="46">
        <f>'Contractors'!AI933</f>
        <v/>
      </c>
      <c r="C5969" s="84">
        <f>'Contractors'!AG933</f>
        <v/>
      </c>
      <c r="D5969" s="46">
        <f>'Contractors'!AH933</f>
        <v/>
      </c>
      <c r="E5969" s="46">
        <f>IF(OR(B5969="",C5969="",D5969=""),"",D5969*100000+(C5969-DATE(2000,1,1))+ROW()/100000)</f>
        <v/>
      </c>
      <c r="F5969" s="46">
        <f>IF(E5969="","",IF(C5969&gt;WeekEndDate,"",E5969))</f>
        <v/>
      </c>
    </row>
    <row r="5970">
      <c r="A5970" t="inlineStr">
        <is>
          <t>Contractors</t>
        </is>
      </c>
      <c r="B5970" s="46">
        <f>'Contractors'!AI934</f>
        <v/>
      </c>
      <c r="C5970" s="84">
        <f>'Contractors'!AG934</f>
        <v/>
      </c>
      <c r="D5970" s="46">
        <f>'Contractors'!AH934</f>
        <v/>
      </c>
      <c r="E5970" s="46">
        <f>IF(OR(B5970="",C5970="",D5970=""),"",D5970*100000+(C5970-DATE(2000,1,1))+ROW()/100000)</f>
        <v/>
      </c>
      <c r="F5970" s="46">
        <f>IF(E5970="","",IF(C5970&gt;WeekEndDate,"",E5970))</f>
        <v/>
      </c>
    </row>
    <row r="5971">
      <c r="A5971" t="inlineStr">
        <is>
          <t>Contractors</t>
        </is>
      </c>
      <c r="B5971" s="46">
        <f>'Contractors'!AI935</f>
        <v/>
      </c>
      <c r="C5971" s="84">
        <f>'Contractors'!AG935</f>
        <v/>
      </c>
      <c r="D5971" s="46">
        <f>'Contractors'!AH935</f>
        <v/>
      </c>
      <c r="E5971" s="46">
        <f>IF(OR(B5971="",C5971="",D5971=""),"",D5971*100000+(C5971-DATE(2000,1,1))+ROW()/100000)</f>
        <v/>
      </c>
      <c r="F5971" s="46">
        <f>IF(E5971="","",IF(C5971&gt;WeekEndDate,"",E5971))</f>
        <v/>
      </c>
    </row>
    <row r="5972">
      <c r="A5972" t="inlineStr">
        <is>
          <t>Contractors</t>
        </is>
      </c>
      <c r="B5972" s="46">
        <f>'Contractors'!AI936</f>
        <v/>
      </c>
      <c r="C5972" s="84">
        <f>'Contractors'!AG936</f>
        <v/>
      </c>
      <c r="D5972" s="46">
        <f>'Contractors'!AH936</f>
        <v/>
      </c>
      <c r="E5972" s="46">
        <f>IF(OR(B5972="",C5972="",D5972=""),"",D5972*100000+(C5972-DATE(2000,1,1))+ROW()/100000)</f>
        <v/>
      </c>
      <c r="F5972" s="46">
        <f>IF(E5972="","",IF(C5972&gt;WeekEndDate,"",E5972))</f>
        <v/>
      </c>
    </row>
    <row r="5973">
      <c r="A5973" t="inlineStr">
        <is>
          <t>Contractors</t>
        </is>
      </c>
      <c r="B5973" s="46">
        <f>'Contractors'!AI937</f>
        <v/>
      </c>
      <c r="C5973" s="84">
        <f>'Contractors'!AG937</f>
        <v/>
      </c>
      <c r="D5973" s="46">
        <f>'Contractors'!AH937</f>
        <v/>
      </c>
      <c r="E5973" s="46">
        <f>IF(OR(B5973="",C5973="",D5973=""),"",D5973*100000+(C5973-DATE(2000,1,1))+ROW()/100000)</f>
        <v/>
      </c>
      <c r="F5973" s="46">
        <f>IF(E5973="","",IF(C5973&gt;WeekEndDate,"",E5973))</f>
        <v/>
      </c>
    </row>
    <row r="5974">
      <c r="A5974" t="inlineStr">
        <is>
          <t>Contractors</t>
        </is>
      </c>
      <c r="B5974" s="46">
        <f>'Contractors'!AI938</f>
        <v/>
      </c>
      <c r="C5974" s="84">
        <f>'Contractors'!AG938</f>
        <v/>
      </c>
      <c r="D5974" s="46">
        <f>'Contractors'!AH938</f>
        <v/>
      </c>
      <c r="E5974" s="46">
        <f>IF(OR(B5974="",C5974="",D5974=""),"",D5974*100000+(C5974-DATE(2000,1,1))+ROW()/100000)</f>
        <v/>
      </c>
      <c r="F5974" s="46">
        <f>IF(E5974="","",IF(C5974&gt;WeekEndDate,"",E5974))</f>
        <v/>
      </c>
    </row>
    <row r="5975">
      <c r="A5975" t="inlineStr">
        <is>
          <t>Contractors</t>
        </is>
      </c>
      <c r="B5975" s="46">
        <f>'Contractors'!AI939</f>
        <v/>
      </c>
      <c r="C5975" s="84">
        <f>'Contractors'!AG939</f>
        <v/>
      </c>
      <c r="D5975" s="46">
        <f>'Contractors'!AH939</f>
        <v/>
      </c>
      <c r="E5975" s="46">
        <f>IF(OR(B5975="",C5975="",D5975=""),"",D5975*100000+(C5975-DATE(2000,1,1))+ROW()/100000)</f>
        <v/>
      </c>
      <c r="F5975" s="46">
        <f>IF(E5975="","",IF(C5975&gt;WeekEndDate,"",E5975))</f>
        <v/>
      </c>
    </row>
    <row r="5976">
      <c r="A5976" t="inlineStr">
        <is>
          <t>Contractors</t>
        </is>
      </c>
      <c r="B5976" s="46">
        <f>'Contractors'!AI940</f>
        <v/>
      </c>
      <c r="C5976" s="84">
        <f>'Contractors'!AG940</f>
        <v/>
      </c>
      <c r="D5976" s="46">
        <f>'Contractors'!AH940</f>
        <v/>
      </c>
      <c r="E5976" s="46">
        <f>IF(OR(B5976="",C5976="",D5976=""),"",D5976*100000+(C5976-DATE(2000,1,1))+ROW()/100000)</f>
        <v/>
      </c>
      <c r="F5976" s="46">
        <f>IF(E5976="","",IF(C5976&gt;WeekEndDate,"",E5976))</f>
        <v/>
      </c>
    </row>
    <row r="5977">
      <c r="A5977" t="inlineStr">
        <is>
          <t>Contractors</t>
        </is>
      </c>
      <c r="B5977" s="46">
        <f>'Contractors'!AI941</f>
        <v/>
      </c>
      <c r="C5977" s="84">
        <f>'Contractors'!AG941</f>
        <v/>
      </c>
      <c r="D5977" s="46">
        <f>'Contractors'!AH941</f>
        <v/>
      </c>
      <c r="E5977" s="46">
        <f>IF(OR(B5977="",C5977="",D5977=""),"",D5977*100000+(C5977-DATE(2000,1,1))+ROW()/100000)</f>
        <v/>
      </c>
      <c r="F5977" s="46">
        <f>IF(E5977="","",IF(C5977&gt;WeekEndDate,"",E5977))</f>
        <v/>
      </c>
    </row>
    <row r="5978">
      <c r="A5978" t="inlineStr">
        <is>
          <t>Contractors</t>
        </is>
      </c>
      <c r="B5978" s="46">
        <f>'Contractors'!AI942</f>
        <v/>
      </c>
      <c r="C5978" s="84">
        <f>'Contractors'!AG942</f>
        <v/>
      </c>
      <c r="D5978" s="46">
        <f>'Contractors'!AH942</f>
        <v/>
      </c>
      <c r="E5978" s="46">
        <f>IF(OR(B5978="",C5978="",D5978=""),"",D5978*100000+(C5978-DATE(2000,1,1))+ROW()/100000)</f>
        <v/>
      </c>
      <c r="F5978" s="46">
        <f>IF(E5978="","",IF(C5978&gt;WeekEndDate,"",E5978))</f>
        <v/>
      </c>
    </row>
    <row r="5979">
      <c r="A5979" t="inlineStr">
        <is>
          <t>Contractors</t>
        </is>
      </c>
      <c r="B5979" s="46">
        <f>'Contractors'!AI943</f>
        <v/>
      </c>
      <c r="C5979" s="84">
        <f>'Contractors'!AG943</f>
        <v/>
      </c>
      <c r="D5979" s="46">
        <f>'Contractors'!AH943</f>
        <v/>
      </c>
      <c r="E5979" s="46">
        <f>IF(OR(B5979="",C5979="",D5979=""),"",D5979*100000+(C5979-DATE(2000,1,1))+ROW()/100000)</f>
        <v/>
      </c>
      <c r="F5979" s="46">
        <f>IF(E5979="","",IF(C5979&gt;WeekEndDate,"",E5979))</f>
        <v/>
      </c>
    </row>
    <row r="5980">
      <c r="A5980" t="inlineStr">
        <is>
          <t>Contractors</t>
        </is>
      </c>
      <c r="B5980" s="46">
        <f>'Contractors'!AI944</f>
        <v/>
      </c>
      <c r="C5980" s="84">
        <f>'Contractors'!AG944</f>
        <v/>
      </c>
      <c r="D5980" s="46">
        <f>'Contractors'!AH944</f>
        <v/>
      </c>
      <c r="E5980" s="46">
        <f>IF(OR(B5980="",C5980="",D5980=""),"",D5980*100000+(C5980-DATE(2000,1,1))+ROW()/100000)</f>
        <v/>
      </c>
      <c r="F5980" s="46">
        <f>IF(E5980="","",IF(C5980&gt;WeekEndDate,"",E5980))</f>
        <v/>
      </c>
    </row>
    <row r="5981">
      <c r="A5981" t="inlineStr">
        <is>
          <t>Contractors</t>
        </is>
      </c>
      <c r="B5981" s="46">
        <f>'Contractors'!AI945</f>
        <v/>
      </c>
      <c r="C5981" s="84">
        <f>'Contractors'!AG945</f>
        <v/>
      </c>
      <c r="D5981" s="46">
        <f>'Contractors'!AH945</f>
        <v/>
      </c>
      <c r="E5981" s="46">
        <f>IF(OR(B5981="",C5981="",D5981=""),"",D5981*100000+(C5981-DATE(2000,1,1))+ROW()/100000)</f>
        <v/>
      </c>
      <c r="F5981" s="46">
        <f>IF(E5981="","",IF(C5981&gt;WeekEndDate,"",E5981))</f>
        <v/>
      </c>
    </row>
    <row r="5982">
      <c r="A5982" t="inlineStr">
        <is>
          <t>Contractors</t>
        </is>
      </c>
      <c r="B5982" s="46">
        <f>'Contractors'!AI946</f>
        <v/>
      </c>
      <c r="C5982" s="84">
        <f>'Contractors'!AG946</f>
        <v/>
      </c>
      <c r="D5982" s="46">
        <f>'Contractors'!AH946</f>
        <v/>
      </c>
      <c r="E5982" s="46">
        <f>IF(OR(B5982="",C5982="",D5982=""),"",D5982*100000+(C5982-DATE(2000,1,1))+ROW()/100000)</f>
        <v/>
      </c>
      <c r="F5982" s="46">
        <f>IF(E5982="","",IF(C5982&gt;WeekEndDate,"",E5982))</f>
        <v/>
      </c>
    </row>
    <row r="5983">
      <c r="A5983" t="inlineStr">
        <is>
          <t>Contractors</t>
        </is>
      </c>
      <c r="B5983" s="46">
        <f>'Contractors'!AI947</f>
        <v/>
      </c>
      <c r="C5983" s="84">
        <f>'Contractors'!AG947</f>
        <v/>
      </c>
      <c r="D5983" s="46">
        <f>'Contractors'!AH947</f>
        <v/>
      </c>
      <c r="E5983" s="46">
        <f>IF(OR(B5983="",C5983="",D5983=""),"",D5983*100000+(C5983-DATE(2000,1,1))+ROW()/100000)</f>
        <v/>
      </c>
      <c r="F5983" s="46">
        <f>IF(E5983="","",IF(C5983&gt;WeekEndDate,"",E5983))</f>
        <v/>
      </c>
    </row>
    <row r="5984">
      <c r="A5984" t="inlineStr">
        <is>
          <t>Contractors</t>
        </is>
      </c>
      <c r="B5984" s="46">
        <f>'Contractors'!AI948</f>
        <v/>
      </c>
      <c r="C5984" s="84">
        <f>'Contractors'!AG948</f>
        <v/>
      </c>
      <c r="D5984" s="46">
        <f>'Contractors'!AH948</f>
        <v/>
      </c>
      <c r="E5984" s="46">
        <f>IF(OR(B5984="",C5984="",D5984=""),"",D5984*100000+(C5984-DATE(2000,1,1))+ROW()/100000)</f>
        <v/>
      </c>
      <c r="F5984" s="46">
        <f>IF(E5984="","",IF(C5984&gt;WeekEndDate,"",E5984))</f>
        <v/>
      </c>
    </row>
    <row r="5985">
      <c r="A5985" t="inlineStr">
        <is>
          <t>Contractors</t>
        </is>
      </c>
      <c r="B5985" s="46">
        <f>'Contractors'!AI949</f>
        <v/>
      </c>
      <c r="C5985" s="84">
        <f>'Contractors'!AG949</f>
        <v/>
      </c>
      <c r="D5985" s="46">
        <f>'Contractors'!AH949</f>
        <v/>
      </c>
      <c r="E5985" s="46">
        <f>IF(OR(B5985="",C5985="",D5985=""),"",D5985*100000+(C5985-DATE(2000,1,1))+ROW()/100000)</f>
        <v/>
      </c>
      <c r="F5985" s="46">
        <f>IF(E5985="","",IF(C5985&gt;WeekEndDate,"",E5985))</f>
        <v/>
      </c>
    </row>
    <row r="5986">
      <c r="A5986" t="inlineStr">
        <is>
          <t>Contractors</t>
        </is>
      </c>
      <c r="B5986" s="46">
        <f>'Contractors'!AI950</f>
        <v/>
      </c>
      <c r="C5986" s="84">
        <f>'Contractors'!AG950</f>
        <v/>
      </c>
      <c r="D5986" s="46">
        <f>'Contractors'!AH950</f>
        <v/>
      </c>
      <c r="E5986" s="46">
        <f>IF(OR(B5986="",C5986="",D5986=""),"",D5986*100000+(C5986-DATE(2000,1,1))+ROW()/100000)</f>
        <v/>
      </c>
      <c r="F5986" s="46">
        <f>IF(E5986="","",IF(C5986&gt;WeekEndDate,"",E5986))</f>
        <v/>
      </c>
    </row>
    <row r="5987">
      <c r="A5987" t="inlineStr">
        <is>
          <t>Contractors</t>
        </is>
      </c>
      <c r="B5987" s="46">
        <f>'Contractors'!AI951</f>
        <v/>
      </c>
      <c r="C5987" s="84">
        <f>'Contractors'!AG951</f>
        <v/>
      </c>
      <c r="D5987" s="46">
        <f>'Contractors'!AH951</f>
        <v/>
      </c>
      <c r="E5987" s="46">
        <f>IF(OR(B5987="",C5987="",D5987=""),"",D5987*100000+(C5987-DATE(2000,1,1))+ROW()/100000)</f>
        <v/>
      </c>
      <c r="F5987" s="46">
        <f>IF(E5987="","",IF(C5987&gt;WeekEndDate,"",E5987))</f>
        <v/>
      </c>
    </row>
    <row r="5988">
      <c r="A5988" t="inlineStr">
        <is>
          <t>Contractors</t>
        </is>
      </c>
      <c r="B5988" s="46">
        <f>'Contractors'!AI952</f>
        <v/>
      </c>
      <c r="C5988" s="84">
        <f>'Contractors'!AG952</f>
        <v/>
      </c>
      <c r="D5988" s="46">
        <f>'Contractors'!AH952</f>
        <v/>
      </c>
      <c r="E5988" s="46">
        <f>IF(OR(B5988="",C5988="",D5988=""),"",D5988*100000+(C5988-DATE(2000,1,1))+ROW()/100000)</f>
        <v/>
      </c>
      <c r="F5988" s="46">
        <f>IF(E5988="","",IF(C5988&gt;WeekEndDate,"",E5988))</f>
        <v/>
      </c>
    </row>
    <row r="5989">
      <c r="A5989" t="inlineStr">
        <is>
          <t>Contractors</t>
        </is>
      </c>
      <c r="B5989" s="46">
        <f>'Contractors'!AI953</f>
        <v/>
      </c>
      <c r="C5989" s="84">
        <f>'Contractors'!AG953</f>
        <v/>
      </c>
      <c r="D5989" s="46">
        <f>'Contractors'!AH953</f>
        <v/>
      </c>
      <c r="E5989" s="46">
        <f>IF(OR(B5989="",C5989="",D5989=""),"",D5989*100000+(C5989-DATE(2000,1,1))+ROW()/100000)</f>
        <v/>
      </c>
      <c r="F5989" s="46">
        <f>IF(E5989="","",IF(C5989&gt;WeekEndDate,"",E5989))</f>
        <v/>
      </c>
    </row>
    <row r="5990">
      <c r="A5990" t="inlineStr">
        <is>
          <t>Contractors</t>
        </is>
      </c>
      <c r="B5990" s="46">
        <f>'Contractors'!AI954</f>
        <v/>
      </c>
      <c r="C5990" s="84">
        <f>'Contractors'!AG954</f>
        <v/>
      </c>
      <c r="D5990" s="46">
        <f>'Contractors'!AH954</f>
        <v/>
      </c>
      <c r="E5990" s="46">
        <f>IF(OR(B5990="",C5990="",D5990=""),"",D5990*100000+(C5990-DATE(2000,1,1))+ROW()/100000)</f>
        <v/>
      </c>
      <c r="F5990" s="46">
        <f>IF(E5990="","",IF(C5990&gt;WeekEndDate,"",E5990))</f>
        <v/>
      </c>
    </row>
    <row r="5991">
      <c r="A5991" t="inlineStr">
        <is>
          <t>Contractors</t>
        </is>
      </c>
      <c r="B5991" s="46">
        <f>'Contractors'!AI955</f>
        <v/>
      </c>
      <c r="C5991" s="84">
        <f>'Contractors'!AG955</f>
        <v/>
      </c>
      <c r="D5991" s="46">
        <f>'Contractors'!AH955</f>
        <v/>
      </c>
      <c r="E5991" s="46">
        <f>IF(OR(B5991="",C5991="",D5991=""),"",D5991*100000+(C5991-DATE(2000,1,1))+ROW()/100000)</f>
        <v/>
      </c>
      <c r="F5991" s="46">
        <f>IF(E5991="","",IF(C5991&gt;WeekEndDate,"",E5991))</f>
        <v/>
      </c>
    </row>
    <row r="5992">
      <c r="A5992" t="inlineStr">
        <is>
          <t>Contractors</t>
        </is>
      </c>
      <c r="B5992" s="46">
        <f>'Contractors'!AI956</f>
        <v/>
      </c>
      <c r="C5992" s="84">
        <f>'Contractors'!AG956</f>
        <v/>
      </c>
      <c r="D5992" s="46">
        <f>'Contractors'!AH956</f>
        <v/>
      </c>
      <c r="E5992" s="46">
        <f>IF(OR(B5992="",C5992="",D5992=""),"",D5992*100000+(C5992-DATE(2000,1,1))+ROW()/100000)</f>
        <v/>
      </c>
      <c r="F5992" s="46">
        <f>IF(E5992="","",IF(C5992&gt;WeekEndDate,"",E5992))</f>
        <v/>
      </c>
    </row>
    <row r="5993">
      <c r="A5993" t="inlineStr">
        <is>
          <t>Contractors</t>
        </is>
      </c>
      <c r="B5993" s="46">
        <f>'Contractors'!AI957</f>
        <v/>
      </c>
      <c r="C5993" s="84">
        <f>'Contractors'!AG957</f>
        <v/>
      </c>
      <c r="D5993" s="46">
        <f>'Contractors'!AH957</f>
        <v/>
      </c>
      <c r="E5993" s="46">
        <f>IF(OR(B5993="",C5993="",D5993=""),"",D5993*100000+(C5993-DATE(2000,1,1))+ROW()/100000)</f>
        <v/>
      </c>
      <c r="F5993" s="46">
        <f>IF(E5993="","",IF(C5993&gt;WeekEndDate,"",E5993))</f>
        <v/>
      </c>
    </row>
    <row r="5994">
      <c r="A5994" t="inlineStr">
        <is>
          <t>Contractors</t>
        </is>
      </c>
      <c r="B5994" s="46">
        <f>'Contractors'!AI958</f>
        <v/>
      </c>
      <c r="C5994" s="84">
        <f>'Contractors'!AG958</f>
        <v/>
      </c>
      <c r="D5994" s="46">
        <f>'Contractors'!AH958</f>
        <v/>
      </c>
      <c r="E5994" s="46">
        <f>IF(OR(B5994="",C5994="",D5994=""),"",D5994*100000+(C5994-DATE(2000,1,1))+ROW()/100000)</f>
        <v/>
      </c>
      <c r="F5994" s="46">
        <f>IF(E5994="","",IF(C5994&gt;WeekEndDate,"",E5994))</f>
        <v/>
      </c>
    </row>
    <row r="5995">
      <c r="A5995" t="inlineStr">
        <is>
          <t>Contractors</t>
        </is>
      </c>
      <c r="B5995" s="46">
        <f>'Contractors'!AI959</f>
        <v/>
      </c>
      <c r="C5995" s="84">
        <f>'Contractors'!AG959</f>
        <v/>
      </c>
      <c r="D5995" s="46">
        <f>'Contractors'!AH959</f>
        <v/>
      </c>
      <c r="E5995" s="46">
        <f>IF(OR(B5995="",C5995="",D5995=""),"",D5995*100000+(C5995-DATE(2000,1,1))+ROW()/100000)</f>
        <v/>
      </c>
      <c r="F5995" s="46">
        <f>IF(E5995="","",IF(C5995&gt;WeekEndDate,"",E5995))</f>
        <v/>
      </c>
    </row>
    <row r="5996">
      <c r="A5996" t="inlineStr">
        <is>
          <t>Contractors</t>
        </is>
      </c>
      <c r="B5996" s="46">
        <f>'Contractors'!AI960</f>
        <v/>
      </c>
      <c r="C5996" s="84">
        <f>'Contractors'!AG960</f>
        <v/>
      </c>
      <c r="D5996" s="46">
        <f>'Contractors'!AH960</f>
        <v/>
      </c>
      <c r="E5996" s="46">
        <f>IF(OR(B5996="",C5996="",D5996=""),"",D5996*100000+(C5996-DATE(2000,1,1))+ROW()/100000)</f>
        <v/>
      </c>
      <c r="F5996" s="46">
        <f>IF(E5996="","",IF(C5996&gt;WeekEndDate,"",E5996))</f>
        <v/>
      </c>
    </row>
    <row r="5997">
      <c r="A5997" t="inlineStr">
        <is>
          <t>Contractors</t>
        </is>
      </c>
      <c r="B5997" s="46">
        <f>'Contractors'!AI961</f>
        <v/>
      </c>
      <c r="C5997" s="84">
        <f>'Contractors'!AG961</f>
        <v/>
      </c>
      <c r="D5997" s="46">
        <f>'Contractors'!AH961</f>
        <v/>
      </c>
      <c r="E5997" s="46">
        <f>IF(OR(B5997="",C5997="",D5997=""),"",D5997*100000+(C5997-DATE(2000,1,1))+ROW()/100000)</f>
        <v/>
      </c>
      <c r="F5997" s="46">
        <f>IF(E5997="","",IF(C5997&gt;WeekEndDate,"",E5997))</f>
        <v/>
      </c>
    </row>
    <row r="5998">
      <c r="A5998" t="inlineStr">
        <is>
          <t>Contractors</t>
        </is>
      </c>
      <c r="B5998" s="46">
        <f>'Contractors'!AI962</f>
        <v/>
      </c>
      <c r="C5998" s="84">
        <f>'Contractors'!AG962</f>
        <v/>
      </c>
      <c r="D5998" s="46">
        <f>'Contractors'!AH962</f>
        <v/>
      </c>
      <c r="E5998" s="46">
        <f>IF(OR(B5998="",C5998="",D5998=""),"",D5998*100000+(C5998-DATE(2000,1,1))+ROW()/100000)</f>
        <v/>
      </c>
      <c r="F5998" s="46">
        <f>IF(E5998="","",IF(C5998&gt;WeekEndDate,"",E5998))</f>
        <v/>
      </c>
    </row>
    <row r="5999">
      <c r="A5999" t="inlineStr">
        <is>
          <t>Contractors</t>
        </is>
      </c>
      <c r="B5999" s="46">
        <f>'Contractors'!AI963</f>
        <v/>
      </c>
      <c r="C5999" s="84">
        <f>'Contractors'!AG963</f>
        <v/>
      </c>
      <c r="D5999" s="46">
        <f>'Contractors'!AH963</f>
        <v/>
      </c>
      <c r="E5999" s="46">
        <f>IF(OR(B5999="",C5999="",D5999=""),"",D5999*100000+(C5999-DATE(2000,1,1))+ROW()/100000)</f>
        <v/>
      </c>
      <c r="F5999" s="46">
        <f>IF(E5999="","",IF(C5999&gt;WeekEndDate,"",E5999))</f>
        <v/>
      </c>
    </row>
    <row r="6000">
      <c r="A6000" t="inlineStr">
        <is>
          <t>Contractors</t>
        </is>
      </c>
      <c r="B6000" s="46">
        <f>'Contractors'!AI964</f>
        <v/>
      </c>
      <c r="C6000" s="84">
        <f>'Contractors'!AG964</f>
        <v/>
      </c>
      <c r="D6000" s="46">
        <f>'Contractors'!AH964</f>
        <v/>
      </c>
      <c r="E6000" s="46">
        <f>IF(OR(B6000="",C6000="",D6000=""),"",D6000*100000+(C6000-DATE(2000,1,1))+ROW()/100000)</f>
        <v/>
      </c>
      <c r="F6000" s="46">
        <f>IF(E6000="","",IF(C6000&gt;WeekEndDate,"",E6000))</f>
        <v/>
      </c>
    </row>
    <row r="6001">
      <c r="A6001" t="inlineStr">
        <is>
          <t>Contractors</t>
        </is>
      </c>
      <c r="B6001" s="46">
        <f>'Contractors'!AI965</f>
        <v/>
      </c>
      <c r="C6001" s="84">
        <f>'Contractors'!AG965</f>
        <v/>
      </c>
      <c r="D6001" s="46">
        <f>'Contractors'!AH965</f>
        <v/>
      </c>
      <c r="E6001" s="46">
        <f>IF(OR(B6001="",C6001="",D6001=""),"",D6001*100000+(C6001-DATE(2000,1,1))+ROW()/100000)</f>
        <v/>
      </c>
      <c r="F6001" s="46">
        <f>IF(E6001="","",IF(C6001&gt;WeekEndDate,"",E6001))</f>
        <v/>
      </c>
    </row>
    <row r="6002">
      <c r="A6002" t="inlineStr">
        <is>
          <t>Contractors</t>
        </is>
      </c>
      <c r="B6002" s="46">
        <f>'Contractors'!AI966</f>
        <v/>
      </c>
      <c r="C6002" s="84">
        <f>'Contractors'!AG966</f>
        <v/>
      </c>
      <c r="D6002" s="46">
        <f>'Contractors'!AH966</f>
        <v/>
      </c>
      <c r="E6002" s="46">
        <f>IF(OR(B6002="",C6002="",D6002=""),"",D6002*100000+(C6002-DATE(2000,1,1))+ROW()/100000)</f>
        <v/>
      </c>
      <c r="F6002" s="46">
        <f>IF(E6002="","",IF(C6002&gt;WeekEndDate,"",E6002))</f>
        <v/>
      </c>
    </row>
    <row r="6003">
      <c r="A6003" t="inlineStr">
        <is>
          <t>Contractors</t>
        </is>
      </c>
      <c r="B6003" s="46">
        <f>'Contractors'!AI967</f>
        <v/>
      </c>
      <c r="C6003" s="84">
        <f>'Contractors'!AG967</f>
        <v/>
      </c>
      <c r="D6003" s="46">
        <f>'Contractors'!AH967</f>
        <v/>
      </c>
      <c r="E6003" s="46">
        <f>IF(OR(B6003="",C6003="",D6003=""),"",D6003*100000+(C6003-DATE(2000,1,1))+ROW()/100000)</f>
        <v/>
      </c>
      <c r="F6003" s="46">
        <f>IF(E6003="","",IF(C6003&gt;WeekEndDate,"",E6003))</f>
        <v/>
      </c>
    </row>
    <row r="6004">
      <c r="A6004" t="inlineStr">
        <is>
          <t>Contractors</t>
        </is>
      </c>
      <c r="B6004" s="46">
        <f>'Contractors'!AI968</f>
        <v/>
      </c>
      <c r="C6004" s="84">
        <f>'Contractors'!AG968</f>
        <v/>
      </c>
      <c r="D6004" s="46">
        <f>'Contractors'!AH968</f>
        <v/>
      </c>
      <c r="E6004" s="46">
        <f>IF(OR(B6004="",C6004="",D6004=""),"",D6004*100000+(C6004-DATE(2000,1,1))+ROW()/100000)</f>
        <v/>
      </c>
      <c r="F6004" s="46">
        <f>IF(E6004="","",IF(C6004&gt;WeekEndDate,"",E6004))</f>
        <v/>
      </c>
    </row>
    <row r="6005">
      <c r="A6005" t="inlineStr">
        <is>
          <t>Contractors</t>
        </is>
      </c>
      <c r="B6005" s="46">
        <f>'Contractors'!AI969</f>
        <v/>
      </c>
      <c r="C6005" s="84">
        <f>'Contractors'!AG969</f>
        <v/>
      </c>
      <c r="D6005" s="46">
        <f>'Contractors'!AH969</f>
        <v/>
      </c>
      <c r="E6005" s="46">
        <f>IF(OR(B6005="",C6005="",D6005=""),"",D6005*100000+(C6005-DATE(2000,1,1))+ROW()/100000)</f>
        <v/>
      </c>
      <c r="F6005" s="46">
        <f>IF(E6005="","",IF(C6005&gt;WeekEndDate,"",E6005))</f>
        <v/>
      </c>
    </row>
    <row r="6006">
      <c r="A6006" t="inlineStr">
        <is>
          <t>Contractors</t>
        </is>
      </c>
      <c r="B6006" s="46">
        <f>'Contractors'!AI970</f>
        <v/>
      </c>
      <c r="C6006" s="84">
        <f>'Contractors'!AG970</f>
        <v/>
      </c>
      <c r="D6006" s="46">
        <f>'Contractors'!AH970</f>
        <v/>
      </c>
      <c r="E6006" s="46">
        <f>IF(OR(B6006="",C6006="",D6006=""),"",D6006*100000+(C6006-DATE(2000,1,1))+ROW()/100000)</f>
        <v/>
      </c>
      <c r="F6006" s="46">
        <f>IF(E6006="","",IF(C6006&gt;WeekEndDate,"",E6006))</f>
        <v/>
      </c>
    </row>
    <row r="6007">
      <c r="A6007" t="inlineStr">
        <is>
          <t>Contractors</t>
        </is>
      </c>
      <c r="B6007" s="46">
        <f>'Contractors'!AI971</f>
        <v/>
      </c>
      <c r="C6007" s="84">
        <f>'Contractors'!AG971</f>
        <v/>
      </c>
      <c r="D6007" s="46">
        <f>'Contractors'!AH971</f>
        <v/>
      </c>
      <c r="E6007" s="46">
        <f>IF(OR(B6007="",C6007="",D6007=""),"",D6007*100000+(C6007-DATE(2000,1,1))+ROW()/100000)</f>
        <v/>
      </c>
      <c r="F6007" s="46">
        <f>IF(E6007="","",IF(C6007&gt;WeekEndDate,"",E6007))</f>
        <v/>
      </c>
    </row>
    <row r="6008">
      <c r="A6008" t="inlineStr">
        <is>
          <t>Contractors</t>
        </is>
      </c>
      <c r="B6008" s="46">
        <f>'Contractors'!AI972</f>
        <v/>
      </c>
      <c r="C6008" s="84">
        <f>'Contractors'!AG972</f>
        <v/>
      </c>
      <c r="D6008" s="46">
        <f>'Contractors'!AH972</f>
        <v/>
      </c>
      <c r="E6008" s="46">
        <f>IF(OR(B6008="",C6008="",D6008=""),"",D6008*100000+(C6008-DATE(2000,1,1))+ROW()/100000)</f>
        <v/>
      </c>
      <c r="F6008" s="46">
        <f>IF(E6008="","",IF(C6008&gt;WeekEndDate,"",E6008))</f>
        <v/>
      </c>
    </row>
    <row r="6009">
      <c r="A6009" t="inlineStr">
        <is>
          <t>Contractors</t>
        </is>
      </c>
      <c r="B6009" s="46">
        <f>'Contractors'!AI973</f>
        <v/>
      </c>
      <c r="C6009" s="84">
        <f>'Contractors'!AG973</f>
        <v/>
      </c>
      <c r="D6009" s="46">
        <f>'Contractors'!AH973</f>
        <v/>
      </c>
      <c r="E6009" s="46">
        <f>IF(OR(B6009="",C6009="",D6009=""),"",D6009*100000+(C6009-DATE(2000,1,1))+ROW()/100000)</f>
        <v/>
      </c>
      <c r="F6009" s="46">
        <f>IF(E6009="","",IF(C6009&gt;WeekEndDate,"",E6009))</f>
        <v/>
      </c>
    </row>
    <row r="6010">
      <c r="A6010" t="inlineStr">
        <is>
          <t>Contractors</t>
        </is>
      </c>
      <c r="B6010" s="46">
        <f>'Contractors'!AI974</f>
        <v/>
      </c>
      <c r="C6010" s="84">
        <f>'Contractors'!AG974</f>
        <v/>
      </c>
      <c r="D6010" s="46">
        <f>'Contractors'!AH974</f>
        <v/>
      </c>
      <c r="E6010" s="46">
        <f>IF(OR(B6010="",C6010="",D6010=""),"",D6010*100000+(C6010-DATE(2000,1,1))+ROW()/100000)</f>
        <v/>
      </c>
      <c r="F6010" s="46">
        <f>IF(E6010="","",IF(C6010&gt;WeekEndDate,"",E6010))</f>
        <v/>
      </c>
    </row>
    <row r="6011">
      <c r="A6011" t="inlineStr">
        <is>
          <t>Contractors</t>
        </is>
      </c>
      <c r="B6011" s="46">
        <f>'Contractors'!AI975</f>
        <v/>
      </c>
      <c r="C6011" s="84">
        <f>'Contractors'!AG975</f>
        <v/>
      </c>
      <c r="D6011" s="46">
        <f>'Contractors'!AH975</f>
        <v/>
      </c>
      <c r="E6011" s="46">
        <f>IF(OR(B6011="",C6011="",D6011=""),"",D6011*100000+(C6011-DATE(2000,1,1))+ROW()/100000)</f>
        <v/>
      </c>
      <c r="F6011" s="46">
        <f>IF(E6011="","",IF(C6011&gt;WeekEndDate,"",E6011))</f>
        <v/>
      </c>
    </row>
    <row r="6012">
      <c r="A6012" t="inlineStr">
        <is>
          <t>Contractors</t>
        </is>
      </c>
      <c r="B6012" s="46">
        <f>'Contractors'!AI976</f>
        <v/>
      </c>
      <c r="C6012" s="84">
        <f>'Contractors'!AG976</f>
        <v/>
      </c>
      <c r="D6012" s="46">
        <f>'Contractors'!AH976</f>
        <v/>
      </c>
      <c r="E6012" s="46">
        <f>IF(OR(B6012="",C6012="",D6012=""),"",D6012*100000+(C6012-DATE(2000,1,1))+ROW()/100000)</f>
        <v/>
      </c>
      <c r="F6012" s="46">
        <f>IF(E6012="","",IF(C6012&gt;WeekEndDate,"",E6012))</f>
        <v/>
      </c>
    </row>
    <row r="6013">
      <c r="A6013" t="inlineStr">
        <is>
          <t>Contractors</t>
        </is>
      </c>
      <c r="B6013" s="46">
        <f>'Contractors'!AI977</f>
        <v/>
      </c>
      <c r="C6013" s="84">
        <f>'Contractors'!AG977</f>
        <v/>
      </c>
      <c r="D6013" s="46">
        <f>'Contractors'!AH977</f>
        <v/>
      </c>
      <c r="E6013" s="46">
        <f>IF(OR(B6013="",C6013="",D6013=""),"",D6013*100000+(C6013-DATE(2000,1,1))+ROW()/100000)</f>
        <v/>
      </c>
      <c r="F6013" s="46">
        <f>IF(E6013="","",IF(C6013&gt;WeekEndDate,"",E6013))</f>
        <v/>
      </c>
    </row>
    <row r="6014">
      <c r="A6014" t="inlineStr">
        <is>
          <t>Contractors</t>
        </is>
      </c>
      <c r="B6014" s="46">
        <f>'Contractors'!AI978</f>
        <v/>
      </c>
      <c r="C6014" s="84">
        <f>'Contractors'!AG978</f>
        <v/>
      </c>
      <c r="D6014" s="46">
        <f>'Contractors'!AH978</f>
        <v/>
      </c>
      <c r="E6014" s="46">
        <f>IF(OR(B6014="",C6014="",D6014=""),"",D6014*100000+(C6014-DATE(2000,1,1))+ROW()/100000)</f>
        <v/>
      </c>
      <c r="F6014" s="46">
        <f>IF(E6014="","",IF(C6014&gt;WeekEndDate,"",E6014))</f>
        <v/>
      </c>
    </row>
    <row r="6015">
      <c r="A6015" t="inlineStr">
        <is>
          <t>Contractors</t>
        </is>
      </c>
      <c r="B6015" s="46">
        <f>'Contractors'!AI979</f>
        <v/>
      </c>
      <c r="C6015" s="84">
        <f>'Contractors'!AG979</f>
        <v/>
      </c>
      <c r="D6015" s="46">
        <f>'Contractors'!AH979</f>
        <v/>
      </c>
      <c r="E6015" s="46">
        <f>IF(OR(B6015="",C6015="",D6015=""),"",D6015*100000+(C6015-DATE(2000,1,1))+ROW()/100000)</f>
        <v/>
      </c>
      <c r="F6015" s="46">
        <f>IF(E6015="","",IF(C6015&gt;WeekEndDate,"",E6015))</f>
        <v/>
      </c>
    </row>
    <row r="6016">
      <c r="A6016" t="inlineStr">
        <is>
          <t>Contractors</t>
        </is>
      </c>
      <c r="B6016" s="46">
        <f>'Contractors'!AI980</f>
        <v/>
      </c>
      <c r="C6016" s="84">
        <f>'Contractors'!AG980</f>
        <v/>
      </c>
      <c r="D6016" s="46">
        <f>'Contractors'!AH980</f>
        <v/>
      </c>
      <c r="E6016" s="46">
        <f>IF(OR(B6016="",C6016="",D6016=""),"",D6016*100000+(C6016-DATE(2000,1,1))+ROW()/100000)</f>
        <v/>
      </c>
      <c r="F6016" s="46">
        <f>IF(E6016="","",IF(C6016&gt;WeekEndDate,"",E6016))</f>
        <v/>
      </c>
    </row>
    <row r="6017">
      <c r="A6017" t="inlineStr">
        <is>
          <t>Contractors</t>
        </is>
      </c>
      <c r="B6017" s="46">
        <f>'Contractors'!AI981</f>
        <v/>
      </c>
      <c r="C6017" s="84">
        <f>'Contractors'!AG981</f>
        <v/>
      </c>
      <c r="D6017" s="46">
        <f>'Contractors'!AH981</f>
        <v/>
      </c>
      <c r="E6017" s="46">
        <f>IF(OR(B6017="",C6017="",D6017=""),"",D6017*100000+(C6017-DATE(2000,1,1))+ROW()/100000)</f>
        <v/>
      </c>
      <c r="F6017" s="46">
        <f>IF(E6017="","",IF(C6017&gt;WeekEndDate,"",E6017))</f>
        <v/>
      </c>
    </row>
    <row r="6018">
      <c r="A6018" t="inlineStr">
        <is>
          <t>Contractors</t>
        </is>
      </c>
      <c r="B6018" s="46">
        <f>'Contractors'!AI982</f>
        <v/>
      </c>
      <c r="C6018" s="84">
        <f>'Contractors'!AG982</f>
        <v/>
      </c>
      <c r="D6018" s="46">
        <f>'Contractors'!AH982</f>
        <v/>
      </c>
      <c r="E6018" s="46">
        <f>IF(OR(B6018="",C6018="",D6018=""),"",D6018*100000+(C6018-DATE(2000,1,1))+ROW()/100000)</f>
        <v/>
      </c>
      <c r="F6018" s="46">
        <f>IF(E6018="","",IF(C6018&gt;WeekEndDate,"",E6018))</f>
        <v/>
      </c>
    </row>
    <row r="6019">
      <c r="A6019" t="inlineStr">
        <is>
          <t>Contractors</t>
        </is>
      </c>
      <c r="B6019" s="46">
        <f>'Contractors'!AI983</f>
        <v/>
      </c>
      <c r="C6019" s="84">
        <f>'Contractors'!AG983</f>
        <v/>
      </c>
      <c r="D6019" s="46">
        <f>'Contractors'!AH983</f>
        <v/>
      </c>
      <c r="E6019" s="46">
        <f>IF(OR(B6019="",C6019="",D6019=""),"",D6019*100000+(C6019-DATE(2000,1,1))+ROW()/100000)</f>
        <v/>
      </c>
      <c r="F6019" s="46">
        <f>IF(E6019="","",IF(C6019&gt;WeekEndDate,"",E6019))</f>
        <v/>
      </c>
    </row>
    <row r="6020">
      <c r="A6020" t="inlineStr">
        <is>
          <t>Contractors</t>
        </is>
      </c>
      <c r="B6020" s="46">
        <f>'Contractors'!AI984</f>
        <v/>
      </c>
      <c r="C6020" s="84">
        <f>'Contractors'!AG984</f>
        <v/>
      </c>
      <c r="D6020" s="46">
        <f>'Contractors'!AH984</f>
        <v/>
      </c>
      <c r="E6020" s="46">
        <f>IF(OR(B6020="",C6020="",D6020=""),"",D6020*100000+(C6020-DATE(2000,1,1))+ROW()/100000)</f>
        <v/>
      </c>
      <c r="F6020" s="46">
        <f>IF(E6020="","",IF(C6020&gt;WeekEndDate,"",E6020))</f>
        <v/>
      </c>
    </row>
    <row r="6021">
      <c r="A6021" t="inlineStr">
        <is>
          <t>Contractors</t>
        </is>
      </c>
      <c r="B6021" s="46">
        <f>'Contractors'!AI985</f>
        <v/>
      </c>
      <c r="C6021" s="84">
        <f>'Contractors'!AG985</f>
        <v/>
      </c>
      <c r="D6021" s="46">
        <f>'Contractors'!AH985</f>
        <v/>
      </c>
      <c r="E6021" s="46">
        <f>IF(OR(B6021="",C6021="",D6021=""),"",D6021*100000+(C6021-DATE(2000,1,1))+ROW()/100000)</f>
        <v/>
      </c>
      <c r="F6021" s="46">
        <f>IF(E6021="","",IF(C6021&gt;WeekEndDate,"",E6021))</f>
        <v/>
      </c>
    </row>
    <row r="6022">
      <c r="A6022" t="inlineStr">
        <is>
          <t>Contractors</t>
        </is>
      </c>
      <c r="B6022" s="46">
        <f>'Contractors'!AI986</f>
        <v/>
      </c>
      <c r="C6022" s="84">
        <f>'Contractors'!AG986</f>
        <v/>
      </c>
      <c r="D6022" s="46">
        <f>'Contractors'!AH986</f>
        <v/>
      </c>
      <c r="E6022" s="46">
        <f>IF(OR(B6022="",C6022="",D6022=""),"",D6022*100000+(C6022-DATE(2000,1,1))+ROW()/100000)</f>
        <v/>
      </c>
      <c r="F6022" s="46">
        <f>IF(E6022="","",IF(C6022&gt;WeekEndDate,"",E6022))</f>
        <v/>
      </c>
    </row>
    <row r="6023">
      <c r="A6023" t="inlineStr">
        <is>
          <t>Contractors</t>
        </is>
      </c>
      <c r="B6023" s="46">
        <f>'Contractors'!AI987</f>
        <v/>
      </c>
      <c r="C6023" s="84">
        <f>'Contractors'!AG987</f>
        <v/>
      </c>
      <c r="D6023" s="46">
        <f>'Contractors'!AH987</f>
        <v/>
      </c>
      <c r="E6023" s="46">
        <f>IF(OR(B6023="",C6023="",D6023=""),"",D6023*100000+(C6023-DATE(2000,1,1))+ROW()/100000)</f>
        <v/>
      </c>
      <c r="F6023" s="46">
        <f>IF(E6023="","",IF(C6023&gt;WeekEndDate,"",E6023))</f>
        <v/>
      </c>
    </row>
    <row r="6024">
      <c r="A6024" t="inlineStr">
        <is>
          <t>Contractors</t>
        </is>
      </c>
      <c r="B6024" s="46">
        <f>'Contractors'!AI988</f>
        <v/>
      </c>
      <c r="C6024" s="84">
        <f>'Contractors'!AG988</f>
        <v/>
      </c>
      <c r="D6024" s="46">
        <f>'Contractors'!AH988</f>
        <v/>
      </c>
      <c r="E6024" s="46">
        <f>IF(OR(B6024="",C6024="",D6024=""),"",D6024*100000+(C6024-DATE(2000,1,1))+ROW()/100000)</f>
        <v/>
      </c>
      <c r="F6024" s="46">
        <f>IF(E6024="","",IF(C6024&gt;WeekEndDate,"",E6024))</f>
        <v/>
      </c>
    </row>
    <row r="6025">
      <c r="A6025" t="inlineStr">
        <is>
          <t>Contractors</t>
        </is>
      </c>
      <c r="B6025" s="46">
        <f>'Contractors'!AI989</f>
        <v/>
      </c>
      <c r="C6025" s="84">
        <f>'Contractors'!AG989</f>
        <v/>
      </c>
      <c r="D6025" s="46">
        <f>'Contractors'!AH989</f>
        <v/>
      </c>
      <c r="E6025" s="46">
        <f>IF(OR(B6025="",C6025="",D6025=""),"",D6025*100000+(C6025-DATE(2000,1,1))+ROW()/100000)</f>
        <v/>
      </c>
      <c r="F6025" s="46">
        <f>IF(E6025="","",IF(C6025&gt;WeekEndDate,"",E6025))</f>
        <v/>
      </c>
    </row>
    <row r="6026">
      <c r="A6026" t="inlineStr">
        <is>
          <t>Contractors</t>
        </is>
      </c>
      <c r="B6026" s="46">
        <f>'Contractors'!AI990</f>
        <v/>
      </c>
      <c r="C6026" s="84">
        <f>'Contractors'!AG990</f>
        <v/>
      </c>
      <c r="D6026" s="46">
        <f>'Contractors'!AH990</f>
        <v/>
      </c>
      <c r="E6026" s="46">
        <f>IF(OR(B6026="",C6026="",D6026=""),"",D6026*100000+(C6026-DATE(2000,1,1))+ROW()/100000)</f>
        <v/>
      </c>
      <c r="F6026" s="46">
        <f>IF(E6026="","",IF(C6026&gt;WeekEndDate,"",E6026))</f>
        <v/>
      </c>
    </row>
    <row r="6027">
      <c r="A6027" t="inlineStr">
        <is>
          <t>Contractors</t>
        </is>
      </c>
      <c r="B6027" s="46">
        <f>'Contractors'!AI991</f>
        <v/>
      </c>
      <c r="C6027" s="84">
        <f>'Contractors'!AG991</f>
        <v/>
      </c>
      <c r="D6027" s="46">
        <f>'Contractors'!AH991</f>
        <v/>
      </c>
      <c r="E6027" s="46">
        <f>IF(OR(B6027="",C6027="",D6027=""),"",D6027*100000+(C6027-DATE(2000,1,1))+ROW()/100000)</f>
        <v/>
      </c>
      <c r="F6027" s="46">
        <f>IF(E6027="","",IF(C6027&gt;WeekEndDate,"",E6027))</f>
        <v/>
      </c>
    </row>
    <row r="6028">
      <c r="A6028" t="inlineStr">
        <is>
          <t>Contractors</t>
        </is>
      </c>
      <c r="B6028" s="46">
        <f>'Contractors'!AI992</f>
        <v/>
      </c>
      <c r="C6028" s="84">
        <f>'Contractors'!AG992</f>
        <v/>
      </c>
      <c r="D6028" s="46">
        <f>'Contractors'!AH992</f>
        <v/>
      </c>
      <c r="E6028" s="46">
        <f>IF(OR(B6028="",C6028="",D6028=""),"",D6028*100000+(C6028-DATE(2000,1,1))+ROW()/100000)</f>
        <v/>
      </c>
      <c r="F6028" s="46">
        <f>IF(E6028="","",IF(C6028&gt;WeekEndDate,"",E6028))</f>
        <v/>
      </c>
    </row>
    <row r="6029">
      <c r="A6029" t="inlineStr">
        <is>
          <t>Contractors</t>
        </is>
      </c>
      <c r="B6029" s="46">
        <f>'Contractors'!AI993</f>
        <v/>
      </c>
      <c r="C6029" s="84">
        <f>'Contractors'!AG993</f>
        <v/>
      </c>
      <c r="D6029" s="46">
        <f>'Contractors'!AH993</f>
        <v/>
      </c>
      <c r="E6029" s="46">
        <f>IF(OR(B6029="",C6029="",D6029=""),"",D6029*100000+(C6029-DATE(2000,1,1))+ROW()/100000)</f>
        <v/>
      </c>
      <c r="F6029" s="46">
        <f>IF(E6029="","",IF(C6029&gt;WeekEndDate,"",E6029))</f>
        <v/>
      </c>
    </row>
    <row r="6030">
      <c r="A6030" t="inlineStr">
        <is>
          <t>Contractors</t>
        </is>
      </c>
      <c r="B6030" s="46">
        <f>'Contractors'!AI994</f>
        <v/>
      </c>
      <c r="C6030" s="84">
        <f>'Contractors'!AG994</f>
        <v/>
      </c>
      <c r="D6030" s="46">
        <f>'Contractors'!AH994</f>
        <v/>
      </c>
      <c r="E6030" s="46">
        <f>IF(OR(B6030="",C6030="",D6030=""),"",D6030*100000+(C6030-DATE(2000,1,1))+ROW()/100000)</f>
        <v/>
      </c>
      <c r="F6030" s="46">
        <f>IF(E6030="","",IF(C6030&gt;WeekEndDate,"",E6030))</f>
        <v/>
      </c>
    </row>
    <row r="6031">
      <c r="A6031" t="inlineStr">
        <is>
          <t>Contractors</t>
        </is>
      </c>
      <c r="B6031" s="46">
        <f>'Contractors'!AI995</f>
        <v/>
      </c>
      <c r="C6031" s="84">
        <f>'Contractors'!AG995</f>
        <v/>
      </c>
      <c r="D6031" s="46">
        <f>'Contractors'!AH995</f>
        <v/>
      </c>
      <c r="E6031" s="46">
        <f>IF(OR(B6031="",C6031="",D6031=""),"",D6031*100000+(C6031-DATE(2000,1,1))+ROW()/100000)</f>
        <v/>
      </c>
      <c r="F6031" s="46">
        <f>IF(E6031="","",IF(C6031&gt;WeekEndDate,"",E6031))</f>
        <v/>
      </c>
    </row>
    <row r="6032">
      <c r="A6032" t="inlineStr">
        <is>
          <t>Contractors</t>
        </is>
      </c>
      <c r="B6032" s="46">
        <f>'Contractors'!AI996</f>
        <v/>
      </c>
      <c r="C6032" s="84">
        <f>'Contractors'!AG996</f>
        <v/>
      </c>
      <c r="D6032" s="46">
        <f>'Contractors'!AH996</f>
        <v/>
      </c>
      <c r="E6032" s="46">
        <f>IF(OR(B6032="",C6032="",D6032=""),"",D6032*100000+(C6032-DATE(2000,1,1))+ROW()/100000)</f>
        <v/>
      </c>
      <c r="F6032" s="46">
        <f>IF(E6032="","",IF(C6032&gt;WeekEndDate,"",E6032))</f>
        <v/>
      </c>
    </row>
    <row r="6033">
      <c r="A6033" t="inlineStr">
        <is>
          <t>Contractors</t>
        </is>
      </c>
      <c r="B6033" s="46">
        <f>'Contractors'!AI997</f>
        <v/>
      </c>
      <c r="C6033" s="84">
        <f>'Contractors'!AG997</f>
        <v/>
      </c>
      <c r="D6033" s="46">
        <f>'Contractors'!AH997</f>
        <v/>
      </c>
      <c r="E6033" s="46">
        <f>IF(OR(B6033="",C6033="",D6033=""),"",D6033*100000+(C6033-DATE(2000,1,1))+ROW()/100000)</f>
        <v/>
      </c>
      <c r="F6033" s="46">
        <f>IF(E6033="","",IF(C6033&gt;WeekEndDate,"",E6033))</f>
        <v/>
      </c>
    </row>
    <row r="6034">
      <c r="A6034" t="inlineStr">
        <is>
          <t>Contractors</t>
        </is>
      </c>
      <c r="B6034" s="46">
        <f>'Contractors'!AI998</f>
        <v/>
      </c>
      <c r="C6034" s="84">
        <f>'Contractors'!AG998</f>
        <v/>
      </c>
      <c r="D6034" s="46">
        <f>'Contractors'!AH998</f>
        <v/>
      </c>
      <c r="E6034" s="46">
        <f>IF(OR(B6034="",C6034="",D6034=""),"",D6034*100000+(C6034-DATE(2000,1,1))+ROW()/100000)</f>
        <v/>
      </c>
      <c r="F6034" s="46">
        <f>IF(E6034="","",IF(C6034&gt;WeekEndDate,"",E6034))</f>
        <v/>
      </c>
    </row>
    <row r="6035">
      <c r="A6035" t="inlineStr">
        <is>
          <t>Contractors</t>
        </is>
      </c>
      <c r="B6035" s="46">
        <f>'Contractors'!AI999</f>
        <v/>
      </c>
      <c r="C6035" s="84">
        <f>'Contractors'!AG999</f>
        <v/>
      </c>
      <c r="D6035" s="46">
        <f>'Contractors'!AH999</f>
        <v/>
      </c>
      <c r="E6035" s="46">
        <f>IF(OR(B6035="",C6035="",D6035=""),"",D6035*100000+(C6035-DATE(2000,1,1))+ROW()/100000)</f>
        <v/>
      </c>
      <c r="F6035" s="46">
        <f>IF(E6035="","",IF(C6035&gt;WeekEndDate,"",E6035))</f>
        <v/>
      </c>
    </row>
    <row r="6036">
      <c r="A6036" t="inlineStr">
        <is>
          <t>Contractors</t>
        </is>
      </c>
      <c r="B6036" s="46">
        <f>'Contractors'!AI1000</f>
        <v/>
      </c>
      <c r="C6036" s="84">
        <f>'Contractors'!AG1000</f>
        <v/>
      </c>
      <c r="D6036" s="46">
        <f>'Contractors'!AH1000</f>
        <v/>
      </c>
      <c r="E6036" s="46">
        <f>IF(OR(B6036="",C6036="",D6036=""),"",D6036*100000+(C6036-DATE(2000,1,1))+ROW()/100000)</f>
        <v/>
      </c>
      <c r="F6036" s="46">
        <f>IF(E6036="","",IF(C6036&gt;WeekEndDate,"",E6036))</f>
        <v/>
      </c>
    </row>
    <row r="6037">
      <c r="A6037" t="inlineStr">
        <is>
          <t>Contractors</t>
        </is>
      </c>
      <c r="B6037" s="46">
        <f>'Contractors'!AI1001</f>
        <v/>
      </c>
      <c r="C6037" s="84">
        <f>'Contractors'!AG1001</f>
        <v/>
      </c>
      <c r="D6037" s="46">
        <f>'Contractors'!AH1001</f>
        <v/>
      </c>
      <c r="E6037" s="46">
        <f>IF(OR(B6037="",C6037="",D6037=""),"",D6037*100000+(C6037-DATE(2000,1,1))+ROW()/100000)</f>
        <v/>
      </c>
      <c r="F6037" s="46">
        <f>IF(E6037="","",IF(C6037&gt;WeekEndDate,"",E6037))</f>
        <v/>
      </c>
    </row>
    <row r="6038">
      <c r="A6038" t="inlineStr">
        <is>
          <t>Contractors</t>
        </is>
      </c>
      <c r="B6038" s="46">
        <f>'Contractors'!AI1002</f>
        <v/>
      </c>
      <c r="C6038" s="84">
        <f>'Contractors'!AG1002</f>
        <v/>
      </c>
      <c r="D6038" s="46">
        <f>'Contractors'!AH1002</f>
        <v/>
      </c>
      <c r="E6038" s="46">
        <f>IF(OR(B6038="",C6038="",D6038=""),"",D6038*100000+(C6038-DATE(2000,1,1))+ROW()/100000)</f>
        <v/>
      </c>
      <c r="F6038" s="46">
        <f>IF(E6038="","",IF(C6038&gt;WeekEndDate,"",E6038))</f>
        <v/>
      </c>
    </row>
    <row r="6039">
      <c r="A6039" t="inlineStr">
        <is>
          <t>Contractors</t>
        </is>
      </c>
      <c r="B6039" s="46">
        <f>'Contractors'!AI1003</f>
        <v/>
      </c>
      <c r="C6039" s="84">
        <f>'Contractors'!AG1003</f>
        <v/>
      </c>
      <c r="D6039" s="46">
        <f>'Contractors'!AH1003</f>
        <v/>
      </c>
      <c r="E6039" s="46">
        <f>IF(OR(B6039="",C6039="",D6039=""),"",D6039*100000+(C6039-DATE(2000,1,1))+ROW()/100000)</f>
        <v/>
      </c>
      <c r="F6039" s="46">
        <f>IF(E6039="","",IF(C6039&gt;WeekEndDate,"",E6039))</f>
        <v/>
      </c>
    </row>
    <row r="6040">
      <c r="A6040" t="inlineStr">
        <is>
          <t>Contractors</t>
        </is>
      </c>
      <c r="B6040" s="46">
        <f>'Contractors'!AI1004</f>
        <v/>
      </c>
      <c r="C6040" s="84">
        <f>'Contractors'!AG1004</f>
        <v/>
      </c>
      <c r="D6040" s="46">
        <f>'Contractors'!AH1004</f>
        <v/>
      </c>
      <c r="E6040" s="46">
        <f>IF(OR(B6040="",C6040="",D6040=""),"",D6040*100000+(C6040-DATE(2000,1,1))+ROW()/100000)</f>
        <v/>
      </c>
      <c r="F6040" s="46">
        <f>IF(E6040="","",IF(C6040&gt;WeekEndDate,"",E6040))</f>
        <v/>
      </c>
    </row>
    <row r="6041">
      <c r="A6041" t="inlineStr">
        <is>
          <t>Contractors</t>
        </is>
      </c>
      <c r="B6041" s="46">
        <f>'Contractors'!AI1005</f>
        <v/>
      </c>
      <c r="C6041" s="84">
        <f>'Contractors'!AG1005</f>
        <v/>
      </c>
      <c r="D6041" s="46">
        <f>'Contractors'!AH1005</f>
        <v/>
      </c>
      <c r="E6041" s="46">
        <f>IF(OR(B6041="",C6041="",D6041=""),"",D6041*100000+(C6041-DATE(2000,1,1))+ROW()/100000)</f>
        <v/>
      </c>
      <c r="F6041" s="46">
        <f>IF(E6041="","",IF(C6041&gt;WeekEndDate,"",E6041))</f>
        <v/>
      </c>
    </row>
    <row r="6042">
      <c r="A6042" t="inlineStr">
        <is>
          <t>Issues &amp; Punch List</t>
        </is>
      </c>
      <c r="B6042" s="46">
        <f>'Issues &amp; Punch List'!S8</f>
        <v/>
      </c>
      <c r="C6042" s="84">
        <f>'Issues &amp; Punch List'!Q8</f>
        <v/>
      </c>
      <c r="D6042" s="46">
        <f>'Issues &amp; Punch List'!R8</f>
        <v/>
      </c>
      <c r="E6042" s="46">
        <f>IF(OR(B6042="",C6042="",D6042=""),"",D6042*100000+(C6042-DATE(2000,1,1))+ROW()/100000)</f>
        <v/>
      </c>
      <c r="F6042" s="46">
        <f>IF(E6042="","",IF(C6042&gt;WeekEndDate,"",E6042))</f>
        <v/>
      </c>
    </row>
    <row r="6043">
      <c r="A6043" t="inlineStr">
        <is>
          <t>Issues &amp; Punch List</t>
        </is>
      </c>
      <c r="B6043" s="46">
        <f>'Issues &amp; Punch List'!S9</f>
        <v/>
      </c>
      <c r="C6043" s="84">
        <f>'Issues &amp; Punch List'!Q9</f>
        <v/>
      </c>
      <c r="D6043" s="46">
        <f>'Issues &amp; Punch List'!R9</f>
        <v/>
      </c>
      <c r="E6043" s="46">
        <f>IF(OR(B6043="",C6043="",D6043=""),"",D6043*100000+(C6043-DATE(2000,1,1))+ROW()/100000)</f>
        <v/>
      </c>
      <c r="F6043" s="46">
        <f>IF(E6043="","",IF(C6043&gt;WeekEndDate,"",E6043))</f>
        <v/>
      </c>
    </row>
    <row r="6044">
      <c r="A6044" t="inlineStr">
        <is>
          <t>Issues &amp; Punch List</t>
        </is>
      </c>
      <c r="B6044" s="46">
        <f>'Issues &amp; Punch List'!S10</f>
        <v/>
      </c>
      <c r="C6044" s="84">
        <f>'Issues &amp; Punch List'!Q10</f>
        <v/>
      </c>
      <c r="D6044" s="46">
        <f>'Issues &amp; Punch List'!R10</f>
        <v/>
      </c>
      <c r="E6044" s="46">
        <f>IF(OR(B6044="",C6044="",D6044=""),"",D6044*100000+(C6044-DATE(2000,1,1))+ROW()/100000)</f>
        <v/>
      </c>
      <c r="F6044" s="46">
        <f>IF(E6044="","",IF(C6044&gt;WeekEndDate,"",E6044))</f>
        <v/>
      </c>
    </row>
    <row r="6045">
      <c r="A6045" t="inlineStr">
        <is>
          <t>Issues &amp; Punch List</t>
        </is>
      </c>
      <c r="B6045" s="46">
        <f>'Issues &amp; Punch List'!S11</f>
        <v/>
      </c>
      <c r="C6045" s="84">
        <f>'Issues &amp; Punch List'!Q11</f>
        <v/>
      </c>
      <c r="D6045" s="46">
        <f>'Issues &amp; Punch List'!R11</f>
        <v/>
      </c>
      <c r="E6045" s="46">
        <f>IF(OR(B6045="",C6045="",D6045=""),"",D6045*100000+(C6045-DATE(2000,1,1))+ROW()/100000)</f>
        <v/>
      </c>
      <c r="F6045" s="46">
        <f>IF(E6045="","",IF(C6045&gt;WeekEndDate,"",E6045))</f>
        <v/>
      </c>
    </row>
    <row r="6046">
      <c r="A6046" t="inlineStr">
        <is>
          <t>Issues &amp; Punch List</t>
        </is>
      </c>
      <c r="B6046" s="46">
        <f>'Issues &amp; Punch List'!S12</f>
        <v/>
      </c>
      <c r="C6046" s="84">
        <f>'Issues &amp; Punch List'!Q12</f>
        <v/>
      </c>
      <c r="D6046" s="46">
        <f>'Issues &amp; Punch List'!R12</f>
        <v/>
      </c>
      <c r="E6046" s="46">
        <f>IF(OR(B6046="",C6046="",D6046=""),"",D6046*100000+(C6046-DATE(2000,1,1))+ROW()/100000)</f>
        <v/>
      </c>
      <c r="F6046" s="46">
        <f>IF(E6046="","",IF(C6046&gt;WeekEndDate,"",E6046))</f>
        <v/>
      </c>
    </row>
    <row r="6047">
      <c r="A6047" t="inlineStr">
        <is>
          <t>Issues &amp; Punch List</t>
        </is>
      </c>
      <c r="B6047" s="46">
        <f>'Issues &amp; Punch List'!S13</f>
        <v/>
      </c>
      <c r="C6047" s="84">
        <f>'Issues &amp; Punch List'!Q13</f>
        <v/>
      </c>
      <c r="D6047" s="46">
        <f>'Issues &amp; Punch List'!R13</f>
        <v/>
      </c>
      <c r="E6047" s="46">
        <f>IF(OR(B6047="",C6047="",D6047=""),"",D6047*100000+(C6047-DATE(2000,1,1))+ROW()/100000)</f>
        <v/>
      </c>
      <c r="F6047" s="46">
        <f>IF(E6047="","",IF(C6047&gt;WeekEndDate,"",E6047))</f>
        <v/>
      </c>
    </row>
    <row r="6048">
      <c r="A6048" t="inlineStr">
        <is>
          <t>Issues &amp; Punch List</t>
        </is>
      </c>
      <c r="B6048" s="46">
        <f>'Issues &amp; Punch List'!S14</f>
        <v/>
      </c>
      <c r="C6048" s="84">
        <f>'Issues &amp; Punch List'!Q14</f>
        <v/>
      </c>
      <c r="D6048" s="46">
        <f>'Issues &amp; Punch List'!R14</f>
        <v/>
      </c>
      <c r="E6048" s="46">
        <f>IF(OR(B6048="",C6048="",D6048=""),"",D6048*100000+(C6048-DATE(2000,1,1))+ROW()/100000)</f>
        <v/>
      </c>
      <c r="F6048" s="46">
        <f>IF(E6048="","",IF(C6048&gt;WeekEndDate,"",E6048))</f>
        <v/>
      </c>
    </row>
    <row r="6049">
      <c r="A6049" t="inlineStr">
        <is>
          <t>Issues &amp; Punch List</t>
        </is>
      </c>
      <c r="B6049" s="46">
        <f>'Issues &amp; Punch List'!S15</f>
        <v/>
      </c>
      <c r="C6049" s="84">
        <f>'Issues &amp; Punch List'!Q15</f>
        <v/>
      </c>
      <c r="D6049" s="46">
        <f>'Issues &amp; Punch List'!R15</f>
        <v/>
      </c>
      <c r="E6049" s="46">
        <f>IF(OR(B6049="",C6049="",D6049=""),"",D6049*100000+(C6049-DATE(2000,1,1))+ROW()/100000)</f>
        <v/>
      </c>
      <c r="F6049" s="46">
        <f>IF(E6049="","",IF(C6049&gt;WeekEndDate,"",E6049))</f>
        <v/>
      </c>
    </row>
    <row r="6050">
      <c r="A6050" t="inlineStr">
        <is>
          <t>Issues &amp; Punch List</t>
        </is>
      </c>
      <c r="B6050" s="46">
        <f>'Issues &amp; Punch List'!S16</f>
        <v/>
      </c>
      <c r="C6050" s="84">
        <f>'Issues &amp; Punch List'!Q16</f>
        <v/>
      </c>
      <c r="D6050" s="46">
        <f>'Issues &amp; Punch List'!R16</f>
        <v/>
      </c>
      <c r="E6050" s="46">
        <f>IF(OR(B6050="",C6050="",D6050=""),"",D6050*100000+(C6050-DATE(2000,1,1))+ROW()/100000)</f>
        <v/>
      </c>
      <c r="F6050" s="46">
        <f>IF(E6050="","",IF(C6050&gt;WeekEndDate,"",E6050))</f>
        <v/>
      </c>
    </row>
    <row r="6051">
      <c r="A6051" t="inlineStr">
        <is>
          <t>Issues &amp; Punch List</t>
        </is>
      </c>
      <c r="B6051" s="46">
        <f>'Issues &amp; Punch List'!S17</f>
        <v/>
      </c>
      <c r="C6051" s="84">
        <f>'Issues &amp; Punch List'!Q17</f>
        <v/>
      </c>
      <c r="D6051" s="46">
        <f>'Issues &amp; Punch List'!R17</f>
        <v/>
      </c>
      <c r="E6051" s="46">
        <f>IF(OR(B6051="",C6051="",D6051=""),"",D6051*100000+(C6051-DATE(2000,1,1))+ROW()/100000)</f>
        <v/>
      </c>
      <c r="F6051" s="46">
        <f>IF(E6051="","",IF(C6051&gt;WeekEndDate,"",E6051))</f>
        <v/>
      </c>
    </row>
    <row r="6052">
      <c r="A6052" t="inlineStr">
        <is>
          <t>Issues &amp; Punch List</t>
        </is>
      </c>
      <c r="B6052" s="46">
        <f>'Issues &amp; Punch List'!S18</f>
        <v/>
      </c>
      <c r="C6052" s="84">
        <f>'Issues &amp; Punch List'!Q18</f>
        <v/>
      </c>
      <c r="D6052" s="46">
        <f>'Issues &amp; Punch List'!R18</f>
        <v/>
      </c>
      <c r="E6052" s="46">
        <f>IF(OR(B6052="",C6052="",D6052=""),"",D6052*100000+(C6052-DATE(2000,1,1))+ROW()/100000)</f>
        <v/>
      </c>
      <c r="F6052" s="46">
        <f>IF(E6052="","",IF(C6052&gt;WeekEndDate,"",E6052))</f>
        <v/>
      </c>
    </row>
    <row r="6053">
      <c r="A6053" t="inlineStr">
        <is>
          <t>Issues &amp; Punch List</t>
        </is>
      </c>
      <c r="B6053" s="46">
        <f>'Issues &amp; Punch List'!S19</f>
        <v/>
      </c>
      <c r="C6053" s="84">
        <f>'Issues &amp; Punch List'!Q19</f>
        <v/>
      </c>
      <c r="D6053" s="46">
        <f>'Issues &amp; Punch List'!R19</f>
        <v/>
      </c>
      <c r="E6053" s="46">
        <f>IF(OR(B6053="",C6053="",D6053=""),"",D6053*100000+(C6053-DATE(2000,1,1))+ROW()/100000)</f>
        <v/>
      </c>
      <c r="F6053" s="46">
        <f>IF(E6053="","",IF(C6053&gt;WeekEndDate,"",E6053))</f>
        <v/>
      </c>
    </row>
    <row r="6054">
      <c r="A6054" t="inlineStr">
        <is>
          <t>Issues &amp; Punch List</t>
        </is>
      </c>
      <c r="B6054" s="46">
        <f>'Issues &amp; Punch List'!S20</f>
        <v/>
      </c>
      <c r="C6054" s="84">
        <f>'Issues &amp; Punch List'!Q20</f>
        <v/>
      </c>
      <c r="D6054" s="46">
        <f>'Issues &amp; Punch List'!R20</f>
        <v/>
      </c>
      <c r="E6054" s="46">
        <f>IF(OR(B6054="",C6054="",D6054=""),"",D6054*100000+(C6054-DATE(2000,1,1))+ROW()/100000)</f>
        <v/>
      </c>
      <c r="F6054" s="46">
        <f>IF(E6054="","",IF(C6054&gt;WeekEndDate,"",E6054))</f>
        <v/>
      </c>
    </row>
    <row r="6055">
      <c r="A6055" t="inlineStr">
        <is>
          <t>Issues &amp; Punch List</t>
        </is>
      </c>
      <c r="B6055" s="46">
        <f>'Issues &amp; Punch List'!S21</f>
        <v/>
      </c>
      <c r="C6055" s="84">
        <f>'Issues &amp; Punch List'!Q21</f>
        <v/>
      </c>
      <c r="D6055" s="46">
        <f>'Issues &amp; Punch List'!R21</f>
        <v/>
      </c>
      <c r="E6055" s="46">
        <f>IF(OR(B6055="",C6055="",D6055=""),"",D6055*100000+(C6055-DATE(2000,1,1))+ROW()/100000)</f>
        <v/>
      </c>
      <c r="F6055" s="46">
        <f>IF(E6055="","",IF(C6055&gt;WeekEndDate,"",E6055))</f>
        <v/>
      </c>
    </row>
    <row r="6056">
      <c r="A6056" t="inlineStr">
        <is>
          <t>Issues &amp; Punch List</t>
        </is>
      </c>
      <c r="B6056" s="46">
        <f>'Issues &amp; Punch List'!S22</f>
        <v/>
      </c>
      <c r="C6056" s="84">
        <f>'Issues &amp; Punch List'!Q22</f>
        <v/>
      </c>
      <c r="D6056" s="46">
        <f>'Issues &amp; Punch List'!R22</f>
        <v/>
      </c>
      <c r="E6056" s="46">
        <f>IF(OR(B6056="",C6056="",D6056=""),"",D6056*100000+(C6056-DATE(2000,1,1))+ROW()/100000)</f>
        <v/>
      </c>
      <c r="F6056" s="46">
        <f>IF(E6056="","",IF(C6056&gt;WeekEndDate,"",E6056))</f>
        <v/>
      </c>
    </row>
    <row r="6057">
      <c r="A6057" t="inlineStr">
        <is>
          <t>Issues &amp; Punch List</t>
        </is>
      </c>
      <c r="B6057" s="46">
        <f>'Issues &amp; Punch List'!S23</f>
        <v/>
      </c>
      <c r="C6057" s="84">
        <f>'Issues &amp; Punch List'!Q23</f>
        <v/>
      </c>
      <c r="D6057" s="46">
        <f>'Issues &amp; Punch List'!R23</f>
        <v/>
      </c>
      <c r="E6057" s="46">
        <f>IF(OR(B6057="",C6057="",D6057=""),"",D6057*100000+(C6057-DATE(2000,1,1))+ROW()/100000)</f>
        <v/>
      </c>
      <c r="F6057" s="46">
        <f>IF(E6057="","",IF(C6057&gt;WeekEndDate,"",E6057))</f>
        <v/>
      </c>
    </row>
    <row r="6058">
      <c r="A6058" t="inlineStr">
        <is>
          <t>Issues &amp; Punch List</t>
        </is>
      </c>
      <c r="B6058" s="46">
        <f>'Issues &amp; Punch List'!S24</f>
        <v/>
      </c>
      <c r="C6058" s="84">
        <f>'Issues &amp; Punch List'!Q24</f>
        <v/>
      </c>
      <c r="D6058" s="46">
        <f>'Issues &amp; Punch List'!R24</f>
        <v/>
      </c>
      <c r="E6058" s="46">
        <f>IF(OR(B6058="",C6058="",D6058=""),"",D6058*100000+(C6058-DATE(2000,1,1))+ROW()/100000)</f>
        <v/>
      </c>
      <c r="F6058" s="46">
        <f>IF(E6058="","",IF(C6058&gt;WeekEndDate,"",E6058))</f>
        <v/>
      </c>
    </row>
    <row r="6059">
      <c r="A6059" t="inlineStr">
        <is>
          <t>Issues &amp; Punch List</t>
        </is>
      </c>
      <c r="B6059" s="46">
        <f>'Issues &amp; Punch List'!S25</f>
        <v/>
      </c>
      <c r="C6059" s="84">
        <f>'Issues &amp; Punch List'!Q25</f>
        <v/>
      </c>
      <c r="D6059" s="46">
        <f>'Issues &amp; Punch List'!R25</f>
        <v/>
      </c>
      <c r="E6059" s="46">
        <f>IF(OR(B6059="",C6059="",D6059=""),"",D6059*100000+(C6059-DATE(2000,1,1))+ROW()/100000)</f>
        <v/>
      </c>
      <c r="F6059" s="46">
        <f>IF(E6059="","",IF(C6059&gt;WeekEndDate,"",E6059))</f>
        <v/>
      </c>
    </row>
    <row r="6060">
      <c r="A6060" t="inlineStr">
        <is>
          <t>Issues &amp; Punch List</t>
        </is>
      </c>
      <c r="B6060" s="46">
        <f>'Issues &amp; Punch List'!S26</f>
        <v/>
      </c>
      <c r="C6060" s="84">
        <f>'Issues &amp; Punch List'!Q26</f>
        <v/>
      </c>
      <c r="D6060" s="46">
        <f>'Issues &amp; Punch List'!R26</f>
        <v/>
      </c>
      <c r="E6060" s="46">
        <f>IF(OR(B6060="",C6060="",D6060=""),"",D6060*100000+(C6060-DATE(2000,1,1))+ROW()/100000)</f>
        <v/>
      </c>
      <c r="F6060" s="46">
        <f>IF(E6060="","",IF(C6060&gt;WeekEndDate,"",E6060))</f>
        <v/>
      </c>
    </row>
    <row r="6061">
      <c r="A6061" t="inlineStr">
        <is>
          <t>Issues &amp; Punch List</t>
        </is>
      </c>
      <c r="B6061" s="46">
        <f>'Issues &amp; Punch List'!S27</f>
        <v/>
      </c>
      <c r="C6061" s="84">
        <f>'Issues &amp; Punch List'!Q27</f>
        <v/>
      </c>
      <c r="D6061" s="46">
        <f>'Issues &amp; Punch List'!R27</f>
        <v/>
      </c>
      <c r="E6061" s="46">
        <f>IF(OR(B6061="",C6061="",D6061=""),"",D6061*100000+(C6061-DATE(2000,1,1))+ROW()/100000)</f>
        <v/>
      </c>
      <c r="F6061" s="46">
        <f>IF(E6061="","",IF(C6061&gt;WeekEndDate,"",E6061))</f>
        <v/>
      </c>
    </row>
    <row r="6062">
      <c r="A6062" t="inlineStr">
        <is>
          <t>Issues &amp; Punch List</t>
        </is>
      </c>
      <c r="B6062" s="46">
        <f>'Issues &amp; Punch List'!S28</f>
        <v/>
      </c>
      <c r="C6062" s="84">
        <f>'Issues &amp; Punch List'!Q28</f>
        <v/>
      </c>
      <c r="D6062" s="46">
        <f>'Issues &amp; Punch List'!R28</f>
        <v/>
      </c>
      <c r="E6062" s="46">
        <f>IF(OR(B6062="",C6062="",D6062=""),"",D6062*100000+(C6062-DATE(2000,1,1))+ROW()/100000)</f>
        <v/>
      </c>
      <c r="F6062" s="46">
        <f>IF(E6062="","",IF(C6062&gt;WeekEndDate,"",E6062))</f>
        <v/>
      </c>
    </row>
    <row r="6063">
      <c r="A6063" t="inlineStr">
        <is>
          <t>Issues &amp; Punch List</t>
        </is>
      </c>
      <c r="B6063" s="46">
        <f>'Issues &amp; Punch List'!S29</f>
        <v/>
      </c>
      <c r="C6063" s="84">
        <f>'Issues &amp; Punch List'!Q29</f>
        <v/>
      </c>
      <c r="D6063" s="46">
        <f>'Issues &amp; Punch List'!R29</f>
        <v/>
      </c>
      <c r="E6063" s="46">
        <f>IF(OR(B6063="",C6063="",D6063=""),"",D6063*100000+(C6063-DATE(2000,1,1))+ROW()/100000)</f>
        <v/>
      </c>
      <c r="F6063" s="46">
        <f>IF(E6063="","",IF(C6063&gt;WeekEndDate,"",E6063))</f>
        <v/>
      </c>
    </row>
    <row r="6064">
      <c r="A6064" t="inlineStr">
        <is>
          <t>Issues &amp; Punch List</t>
        </is>
      </c>
      <c r="B6064" s="46">
        <f>'Issues &amp; Punch List'!S30</f>
        <v/>
      </c>
      <c r="C6064" s="84">
        <f>'Issues &amp; Punch List'!Q30</f>
        <v/>
      </c>
      <c r="D6064" s="46">
        <f>'Issues &amp; Punch List'!R30</f>
        <v/>
      </c>
      <c r="E6064" s="46">
        <f>IF(OR(B6064="",C6064="",D6064=""),"",D6064*100000+(C6064-DATE(2000,1,1))+ROW()/100000)</f>
        <v/>
      </c>
      <c r="F6064" s="46">
        <f>IF(E6064="","",IF(C6064&gt;WeekEndDate,"",E6064))</f>
        <v/>
      </c>
    </row>
    <row r="6065">
      <c r="A6065" t="inlineStr">
        <is>
          <t>Issues &amp; Punch List</t>
        </is>
      </c>
      <c r="B6065" s="46">
        <f>'Issues &amp; Punch List'!S31</f>
        <v/>
      </c>
      <c r="C6065" s="84">
        <f>'Issues &amp; Punch List'!Q31</f>
        <v/>
      </c>
      <c r="D6065" s="46">
        <f>'Issues &amp; Punch List'!R31</f>
        <v/>
      </c>
      <c r="E6065" s="46">
        <f>IF(OR(B6065="",C6065="",D6065=""),"",D6065*100000+(C6065-DATE(2000,1,1))+ROW()/100000)</f>
        <v/>
      </c>
      <c r="F6065" s="46">
        <f>IF(E6065="","",IF(C6065&gt;WeekEndDate,"",E6065))</f>
        <v/>
      </c>
    </row>
    <row r="6066">
      <c r="A6066" t="inlineStr">
        <is>
          <t>Issues &amp; Punch List</t>
        </is>
      </c>
      <c r="B6066" s="46">
        <f>'Issues &amp; Punch List'!S32</f>
        <v/>
      </c>
      <c r="C6066" s="84">
        <f>'Issues &amp; Punch List'!Q32</f>
        <v/>
      </c>
      <c r="D6066" s="46">
        <f>'Issues &amp; Punch List'!R32</f>
        <v/>
      </c>
      <c r="E6066" s="46">
        <f>IF(OR(B6066="",C6066="",D6066=""),"",D6066*100000+(C6066-DATE(2000,1,1))+ROW()/100000)</f>
        <v/>
      </c>
      <c r="F6066" s="46">
        <f>IF(E6066="","",IF(C6066&gt;WeekEndDate,"",E6066))</f>
        <v/>
      </c>
    </row>
    <row r="6067">
      <c r="A6067" t="inlineStr">
        <is>
          <t>Issues &amp; Punch List</t>
        </is>
      </c>
      <c r="B6067" s="46">
        <f>'Issues &amp; Punch List'!S33</f>
        <v/>
      </c>
      <c r="C6067" s="84">
        <f>'Issues &amp; Punch List'!Q33</f>
        <v/>
      </c>
      <c r="D6067" s="46">
        <f>'Issues &amp; Punch List'!R33</f>
        <v/>
      </c>
      <c r="E6067" s="46">
        <f>IF(OR(B6067="",C6067="",D6067=""),"",D6067*100000+(C6067-DATE(2000,1,1))+ROW()/100000)</f>
        <v/>
      </c>
      <c r="F6067" s="46">
        <f>IF(E6067="","",IF(C6067&gt;WeekEndDate,"",E6067))</f>
        <v/>
      </c>
    </row>
    <row r="6068">
      <c r="A6068" t="inlineStr">
        <is>
          <t>Issues &amp; Punch List</t>
        </is>
      </c>
      <c r="B6068" s="46">
        <f>'Issues &amp; Punch List'!S34</f>
        <v/>
      </c>
      <c r="C6068" s="84">
        <f>'Issues &amp; Punch List'!Q34</f>
        <v/>
      </c>
      <c r="D6068" s="46">
        <f>'Issues &amp; Punch List'!R34</f>
        <v/>
      </c>
      <c r="E6068" s="46">
        <f>IF(OR(B6068="",C6068="",D6068=""),"",D6068*100000+(C6068-DATE(2000,1,1))+ROW()/100000)</f>
        <v/>
      </c>
      <c r="F6068" s="46">
        <f>IF(E6068="","",IF(C6068&gt;WeekEndDate,"",E6068))</f>
        <v/>
      </c>
    </row>
    <row r="6069">
      <c r="A6069" t="inlineStr">
        <is>
          <t>Issues &amp; Punch List</t>
        </is>
      </c>
      <c r="B6069" s="46">
        <f>'Issues &amp; Punch List'!S35</f>
        <v/>
      </c>
      <c r="C6069" s="84">
        <f>'Issues &amp; Punch List'!Q35</f>
        <v/>
      </c>
      <c r="D6069" s="46">
        <f>'Issues &amp; Punch List'!R35</f>
        <v/>
      </c>
      <c r="E6069" s="46">
        <f>IF(OR(B6069="",C6069="",D6069=""),"",D6069*100000+(C6069-DATE(2000,1,1))+ROW()/100000)</f>
        <v/>
      </c>
      <c r="F6069" s="46">
        <f>IF(E6069="","",IF(C6069&gt;WeekEndDate,"",E6069))</f>
        <v/>
      </c>
    </row>
    <row r="6070">
      <c r="A6070" t="inlineStr">
        <is>
          <t>Issues &amp; Punch List</t>
        </is>
      </c>
      <c r="B6070" s="46">
        <f>'Issues &amp; Punch List'!S36</f>
        <v/>
      </c>
      <c r="C6070" s="84">
        <f>'Issues &amp; Punch List'!Q36</f>
        <v/>
      </c>
      <c r="D6070" s="46">
        <f>'Issues &amp; Punch List'!R36</f>
        <v/>
      </c>
      <c r="E6070" s="46">
        <f>IF(OR(B6070="",C6070="",D6070=""),"",D6070*100000+(C6070-DATE(2000,1,1))+ROW()/100000)</f>
        <v/>
      </c>
      <c r="F6070" s="46">
        <f>IF(E6070="","",IF(C6070&gt;WeekEndDate,"",E6070))</f>
        <v/>
      </c>
    </row>
    <row r="6071">
      <c r="A6071" t="inlineStr">
        <is>
          <t>Issues &amp; Punch List</t>
        </is>
      </c>
      <c r="B6071" s="46">
        <f>'Issues &amp; Punch List'!S37</f>
        <v/>
      </c>
      <c r="C6071" s="84">
        <f>'Issues &amp; Punch List'!Q37</f>
        <v/>
      </c>
      <c r="D6071" s="46">
        <f>'Issues &amp; Punch List'!R37</f>
        <v/>
      </c>
      <c r="E6071" s="46">
        <f>IF(OR(B6071="",C6071="",D6071=""),"",D6071*100000+(C6071-DATE(2000,1,1))+ROW()/100000)</f>
        <v/>
      </c>
      <c r="F6071" s="46">
        <f>IF(E6071="","",IF(C6071&gt;WeekEndDate,"",E6071))</f>
        <v/>
      </c>
    </row>
    <row r="6072">
      <c r="A6072" t="inlineStr">
        <is>
          <t>Issues &amp; Punch List</t>
        </is>
      </c>
      <c r="B6072" s="46">
        <f>'Issues &amp; Punch List'!S38</f>
        <v/>
      </c>
      <c r="C6072" s="84">
        <f>'Issues &amp; Punch List'!Q38</f>
        <v/>
      </c>
      <c r="D6072" s="46">
        <f>'Issues &amp; Punch List'!R38</f>
        <v/>
      </c>
      <c r="E6072" s="46">
        <f>IF(OR(B6072="",C6072="",D6072=""),"",D6072*100000+(C6072-DATE(2000,1,1))+ROW()/100000)</f>
        <v/>
      </c>
      <c r="F6072" s="46">
        <f>IF(E6072="","",IF(C6072&gt;WeekEndDate,"",E6072))</f>
        <v/>
      </c>
    </row>
    <row r="6073">
      <c r="A6073" t="inlineStr">
        <is>
          <t>Issues &amp; Punch List</t>
        </is>
      </c>
      <c r="B6073" s="46">
        <f>'Issues &amp; Punch List'!S39</f>
        <v/>
      </c>
      <c r="C6073" s="84">
        <f>'Issues &amp; Punch List'!Q39</f>
        <v/>
      </c>
      <c r="D6073" s="46">
        <f>'Issues &amp; Punch List'!R39</f>
        <v/>
      </c>
      <c r="E6073" s="46">
        <f>IF(OR(B6073="",C6073="",D6073=""),"",D6073*100000+(C6073-DATE(2000,1,1))+ROW()/100000)</f>
        <v/>
      </c>
      <c r="F6073" s="46">
        <f>IF(E6073="","",IF(C6073&gt;WeekEndDate,"",E6073))</f>
        <v/>
      </c>
    </row>
    <row r="6074">
      <c r="A6074" t="inlineStr">
        <is>
          <t>Issues &amp; Punch List</t>
        </is>
      </c>
      <c r="B6074" s="46">
        <f>'Issues &amp; Punch List'!S40</f>
        <v/>
      </c>
      <c r="C6074" s="84">
        <f>'Issues &amp; Punch List'!Q40</f>
        <v/>
      </c>
      <c r="D6074" s="46">
        <f>'Issues &amp; Punch List'!R40</f>
        <v/>
      </c>
      <c r="E6074" s="46">
        <f>IF(OR(B6074="",C6074="",D6074=""),"",D6074*100000+(C6074-DATE(2000,1,1))+ROW()/100000)</f>
        <v/>
      </c>
      <c r="F6074" s="46">
        <f>IF(E6074="","",IF(C6074&gt;WeekEndDate,"",E6074))</f>
        <v/>
      </c>
    </row>
    <row r="6075">
      <c r="A6075" t="inlineStr">
        <is>
          <t>Issues &amp; Punch List</t>
        </is>
      </c>
      <c r="B6075" s="46">
        <f>'Issues &amp; Punch List'!S41</f>
        <v/>
      </c>
      <c r="C6075" s="84">
        <f>'Issues &amp; Punch List'!Q41</f>
        <v/>
      </c>
      <c r="D6075" s="46">
        <f>'Issues &amp; Punch List'!R41</f>
        <v/>
      </c>
      <c r="E6075" s="46">
        <f>IF(OR(B6075="",C6075="",D6075=""),"",D6075*100000+(C6075-DATE(2000,1,1))+ROW()/100000)</f>
        <v/>
      </c>
      <c r="F6075" s="46">
        <f>IF(E6075="","",IF(C6075&gt;WeekEndDate,"",E6075))</f>
        <v/>
      </c>
    </row>
    <row r="6076">
      <c r="A6076" t="inlineStr">
        <is>
          <t>Issues &amp; Punch List</t>
        </is>
      </c>
      <c r="B6076" s="46">
        <f>'Issues &amp; Punch List'!S42</f>
        <v/>
      </c>
      <c r="C6076" s="84">
        <f>'Issues &amp; Punch List'!Q42</f>
        <v/>
      </c>
      <c r="D6076" s="46">
        <f>'Issues &amp; Punch List'!R42</f>
        <v/>
      </c>
      <c r="E6076" s="46">
        <f>IF(OR(B6076="",C6076="",D6076=""),"",D6076*100000+(C6076-DATE(2000,1,1))+ROW()/100000)</f>
        <v/>
      </c>
      <c r="F6076" s="46">
        <f>IF(E6076="","",IF(C6076&gt;WeekEndDate,"",E6076))</f>
        <v/>
      </c>
    </row>
    <row r="6077">
      <c r="A6077" t="inlineStr">
        <is>
          <t>Issues &amp; Punch List</t>
        </is>
      </c>
      <c r="B6077" s="46">
        <f>'Issues &amp; Punch List'!S43</f>
        <v/>
      </c>
      <c r="C6077" s="84">
        <f>'Issues &amp; Punch List'!Q43</f>
        <v/>
      </c>
      <c r="D6077" s="46">
        <f>'Issues &amp; Punch List'!R43</f>
        <v/>
      </c>
      <c r="E6077" s="46">
        <f>IF(OR(B6077="",C6077="",D6077=""),"",D6077*100000+(C6077-DATE(2000,1,1))+ROW()/100000)</f>
        <v/>
      </c>
      <c r="F6077" s="46">
        <f>IF(E6077="","",IF(C6077&gt;WeekEndDate,"",E6077))</f>
        <v/>
      </c>
    </row>
    <row r="6078">
      <c r="A6078" t="inlineStr">
        <is>
          <t>Issues &amp; Punch List</t>
        </is>
      </c>
      <c r="B6078" s="46">
        <f>'Issues &amp; Punch List'!S44</f>
        <v/>
      </c>
      <c r="C6078" s="84">
        <f>'Issues &amp; Punch List'!Q44</f>
        <v/>
      </c>
      <c r="D6078" s="46">
        <f>'Issues &amp; Punch List'!R44</f>
        <v/>
      </c>
      <c r="E6078" s="46">
        <f>IF(OR(B6078="",C6078="",D6078=""),"",D6078*100000+(C6078-DATE(2000,1,1))+ROW()/100000)</f>
        <v/>
      </c>
      <c r="F6078" s="46">
        <f>IF(E6078="","",IF(C6078&gt;WeekEndDate,"",E6078))</f>
        <v/>
      </c>
    </row>
    <row r="6079">
      <c r="A6079" t="inlineStr">
        <is>
          <t>Issues &amp; Punch List</t>
        </is>
      </c>
      <c r="B6079" s="46">
        <f>'Issues &amp; Punch List'!S45</f>
        <v/>
      </c>
      <c r="C6079" s="84">
        <f>'Issues &amp; Punch List'!Q45</f>
        <v/>
      </c>
      <c r="D6079" s="46">
        <f>'Issues &amp; Punch List'!R45</f>
        <v/>
      </c>
      <c r="E6079" s="46">
        <f>IF(OR(B6079="",C6079="",D6079=""),"",D6079*100000+(C6079-DATE(2000,1,1))+ROW()/100000)</f>
        <v/>
      </c>
      <c r="F6079" s="46">
        <f>IF(E6079="","",IF(C6079&gt;WeekEndDate,"",E6079))</f>
        <v/>
      </c>
    </row>
    <row r="6080">
      <c r="A6080" t="inlineStr">
        <is>
          <t>Issues &amp; Punch List</t>
        </is>
      </c>
      <c r="B6080" s="46">
        <f>'Issues &amp; Punch List'!S46</f>
        <v/>
      </c>
      <c r="C6080" s="84">
        <f>'Issues &amp; Punch List'!Q46</f>
        <v/>
      </c>
      <c r="D6080" s="46">
        <f>'Issues &amp; Punch List'!R46</f>
        <v/>
      </c>
      <c r="E6080" s="46">
        <f>IF(OR(B6080="",C6080="",D6080=""),"",D6080*100000+(C6080-DATE(2000,1,1))+ROW()/100000)</f>
        <v/>
      </c>
      <c r="F6080" s="46">
        <f>IF(E6080="","",IF(C6080&gt;WeekEndDate,"",E6080))</f>
        <v/>
      </c>
    </row>
    <row r="6081">
      <c r="A6081" t="inlineStr">
        <is>
          <t>Issues &amp; Punch List</t>
        </is>
      </c>
      <c r="B6081" s="46">
        <f>'Issues &amp; Punch List'!S47</f>
        <v/>
      </c>
      <c r="C6081" s="84">
        <f>'Issues &amp; Punch List'!Q47</f>
        <v/>
      </c>
      <c r="D6081" s="46">
        <f>'Issues &amp; Punch List'!R47</f>
        <v/>
      </c>
      <c r="E6081" s="46">
        <f>IF(OR(B6081="",C6081="",D6081=""),"",D6081*100000+(C6081-DATE(2000,1,1))+ROW()/100000)</f>
        <v/>
      </c>
      <c r="F6081" s="46">
        <f>IF(E6081="","",IF(C6081&gt;WeekEndDate,"",E6081))</f>
        <v/>
      </c>
    </row>
    <row r="6082">
      <c r="A6082" t="inlineStr">
        <is>
          <t>Issues &amp; Punch List</t>
        </is>
      </c>
      <c r="B6082" s="46">
        <f>'Issues &amp; Punch List'!S48</f>
        <v/>
      </c>
      <c r="C6082" s="84">
        <f>'Issues &amp; Punch List'!Q48</f>
        <v/>
      </c>
      <c r="D6082" s="46">
        <f>'Issues &amp; Punch List'!R48</f>
        <v/>
      </c>
      <c r="E6082" s="46">
        <f>IF(OR(B6082="",C6082="",D6082=""),"",D6082*100000+(C6082-DATE(2000,1,1))+ROW()/100000)</f>
        <v/>
      </c>
      <c r="F6082" s="46">
        <f>IF(E6082="","",IF(C6082&gt;WeekEndDate,"",E6082))</f>
        <v/>
      </c>
    </row>
    <row r="6083">
      <c r="A6083" t="inlineStr">
        <is>
          <t>Issues &amp; Punch List</t>
        </is>
      </c>
      <c r="B6083" s="46">
        <f>'Issues &amp; Punch List'!S49</f>
        <v/>
      </c>
      <c r="C6083" s="84">
        <f>'Issues &amp; Punch List'!Q49</f>
        <v/>
      </c>
      <c r="D6083" s="46">
        <f>'Issues &amp; Punch List'!R49</f>
        <v/>
      </c>
      <c r="E6083" s="46">
        <f>IF(OR(B6083="",C6083="",D6083=""),"",D6083*100000+(C6083-DATE(2000,1,1))+ROW()/100000)</f>
        <v/>
      </c>
      <c r="F6083" s="46">
        <f>IF(E6083="","",IF(C6083&gt;WeekEndDate,"",E6083))</f>
        <v/>
      </c>
    </row>
    <row r="6084">
      <c r="A6084" t="inlineStr">
        <is>
          <t>Issues &amp; Punch List</t>
        </is>
      </c>
      <c r="B6084" s="46">
        <f>'Issues &amp; Punch List'!S50</f>
        <v/>
      </c>
      <c r="C6084" s="84">
        <f>'Issues &amp; Punch List'!Q50</f>
        <v/>
      </c>
      <c r="D6084" s="46">
        <f>'Issues &amp; Punch List'!R50</f>
        <v/>
      </c>
      <c r="E6084" s="46">
        <f>IF(OR(B6084="",C6084="",D6084=""),"",D6084*100000+(C6084-DATE(2000,1,1))+ROW()/100000)</f>
        <v/>
      </c>
      <c r="F6084" s="46">
        <f>IF(E6084="","",IF(C6084&gt;WeekEndDate,"",E6084))</f>
        <v/>
      </c>
    </row>
    <row r="6085">
      <c r="A6085" t="inlineStr">
        <is>
          <t>Issues &amp; Punch List</t>
        </is>
      </c>
      <c r="B6085" s="46">
        <f>'Issues &amp; Punch List'!S51</f>
        <v/>
      </c>
      <c r="C6085" s="84">
        <f>'Issues &amp; Punch List'!Q51</f>
        <v/>
      </c>
      <c r="D6085" s="46">
        <f>'Issues &amp; Punch List'!R51</f>
        <v/>
      </c>
      <c r="E6085" s="46">
        <f>IF(OR(B6085="",C6085="",D6085=""),"",D6085*100000+(C6085-DATE(2000,1,1))+ROW()/100000)</f>
        <v/>
      </c>
      <c r="F6085" s="46">
        <f>IF(E6085="","",IF(C6085&gt;WeekEndDate,"",E6085))</f>
        <v/>
      </c>
    </row>
    <row r="6086">
      <c r="A6086" t="inlineStr">
        <is>
          <t>Issues &amp; Punch List</t>
        </is>
      </c>
      <c r="B6086" s="46">
        <f>'Issues &amp; Punch List'!S52</f>
        <v/>
      </c>
      <c r="C6086" s="84">
        <f>'Issues &amp; Punch List'!Q52</f>
        <v/>
      </c>
      <c r="D6086" s="46">
        <f>'Issues &amp; Punch List'!R52</f>
        <v/>
      </c>
      <c r="E6086" s="46">
        <f>IF(OR(B6086="",C6086="",D6086=""),"",D6086*100000+(C6086-DATE(2000,1,1))+ROW()/100000)</f>
        <v/>
      </c>
      <c r="F6086" s="46">
        <f>IF(E6086="","",IF(C6086&gt;WeekEndDate,"",E6086))</f>
        <v/>
      </c>
    </row>
    <row r="6087">
      <c r="A6087" t="inlineStr">
        <is>
          <t>Issues &amp; Punch List</t>
        </is>
      </c>
      <c r="B6087" s="46">
        <f>'Issues &amp; Punch List'!S53</f>
        <v/>
      </c>
      <c r="C6087" s="84">
        <f>'Issues &amp; Punch List'!Q53</f>
        <v/>
      </c>
      <c r="D6087" s="46">
        <f>'Issues &amp; Punch List'!R53</f>
        <v/>
      </c>
      <c r="E6087" s="46">
        <f>IF(OR(B6087="",C6087="",D6087=""),"",D6087*100000+(C6087-DATE(2000,1,1))+ROW()/100000)</f>
        <v/>
      </c>
      <c r="F6087" s="46">
        <f>IF(E6087="","",IF(C6087&gt;WeekEndDate,"",E6087))</f>
        <v/>
      </c>
    </row>
    <row r="6088">
      <c r="A6088" t="inlineStr">
        <is>
          <t>Issues &amp; Punch List</t>
        </is>
      </c>
      <c r="B6088" s="46">
        <f>'Issues &amp; Punch List'!S54</f>
        <v/>
      </c>
      <c r="C6088" s="84">
        <f>'Issues &amp; Punch List'!Q54</f>
        <v/>
      </c>
      <c r="D6088" s="46">
        <f>'Issues &amp; Punch List'!R54</f>
        <v/>
      </c>
      <c r="E6088" s="46">
        <f>IF(OR(B6088="",C6088="",D6088=""),"",D6088*100000+(C6088-DATE(2000,1,1))+ROW()/100000)</f>
        <v/>
      </c>
      <c r="F6088" s="46">
        <f>IF(E6088="","",IF(C6088&gt;WeekEndDate,"",E6088))</f>
        <v/>
      </c>
    </row>
    <row r="6089">
      <c r="A6089" t="inlineStr">
        <is>
          <t>Issues &amp; Punch List</t>
        </is>
      </c>
      <c r="B6089" s="46">
        <f>'Issues &amp; Punch List'!S55</f>
        <v/>
      </c>
      <c r="C6089" s="84">
        <f>'Issues &amp; Punch List'!Q55</f>
        <v/>
      </c>
      <c r="D6089" s="46">
        <f>'Issues &amp; Punch List'!R55</f>
        <v/>
      </c>
      <c r="E6089" s="46">
        <f>IF(OR(B6089="",C6089="",D6089=""),"",D6089*100000+(C6089-DATE(2000,1,1))+ROW()/100000)</f>
        <v/>
      </c>
      <c r="F6089" s="46">
        <f>IF(E6089="","",IF(C6089&gt;WeekEndDate,"",E6089))</f>
        <v/>
      </c>
    </row>
    <row r="6090">
      <c r="A6090" t="inlineStr">
        <is>
          <t>Issues &amp; Punch List</t>
        </is>
      </c>
      <c r="B6090" s="46">
        <f>'Issues &amp; Punch List'!S56</f>
        <v/>
      </c>
      <c r="C6090" s="84">
        <f>'Issues &amp; Punch List'!Q56</f>
        <v/>
      </c>
      <c r="D6090" s="46">
        <f>'Issues &amp; Punch List'!R56</f>
        <v/>
      </c>
      <c r="E6090" s="46">
        <f>IF(OR(B6090="",C6090="",D6090=""),"",D6090*100000+(C6090-DATE(2000,1,1))+ROW()/100000)</f>
        <v/>
      </c>
      <c r="F6090" s="46">
        <f>IF(E6090="","",IF(C6090&gt;WeekEndDate,"",E6090))</f>
        <v/>
      </c>
    </row>
    <row r="6091">
      <c r="A6091" t="inlineStr">
        <is>
          <t>Issues &amp; Punch List</t>
        </is>
      </c>
      <c r="B6091" s="46">
        <f>'Issues &amp; Punch List'!S57</f>
        <v/>
      </c>
      <c r="C6091" s="84">
        <f>'Issues &amp; Punch List'!Q57</f>
        <v/>
      </c>
      <c r="D6091" s="46">
        <f>'Issues &amp; Punch List'!R57</f>
        <v/>
      </c>
      <c r="E6091" s="46">
        <f>IF(OR(B6091="",C6091="",D6091=""),"",D6091*100000+(C6091-DATE(2000,1,1))+ROW()/100000)</f>
        <v/>
      </c>
      <c r="F6091" s="46">
        <f>IF(E6091="","",IF(C6091&gt;WeekEndDate,"",E6091))</f>
        <v/>
      </c>
    </row>
    <row r="6092">
      <c r="A6092" t="inlineStr">
        <is>
          <t>Issues &amp; Punch List</t>
        </is>
      </c>
      <c r="B6092" s="46">
        <f>'Issues &amp; Punch List'!S58</f>
        <v/>
      </c>
      <c r="C6092" s="84">
        <f>'Issues &amp; Punch List'!Q58</f>
        <v/>
      </c>
      <c r="D6092" s="46">
        <f>'Issues &amp; Punch List'!R58</f>
        <v/>
      </c>
      <c r="E6092" s="46">
        <f>IF(OR(B6092="",C6092="",D6092=""),"",D6092*100000+(C6092-DATE(2000,1,1))+ROW()/100000)</f>
        <v/>
      </c>
      <c r="F6092" s="46">
        <f>IF(E6092="","",IF(C6092&gt;WeekEndDate,"",E6092))</f>
        <v/>
      </c>
    </row>
    <row r="6093">
      <c r="A6093" t="inlineStr">
        <is>
          <t>Issues &amp; Punch List</t>
        </is>
      </c>
      <c r="B6093" s="46">
        <f>'Issues &amp; Punch List'!S59</f>
        <v/>
      </c>
      <c r="C6093" s="84">
        <f>'Issues &amp; Punch List'!Q59</f>
        <v/>
      </c>
      <c r="D6093" s="46">
        <f>'Issues &amp; Punch List'!R59</f>
        <v/>
      </c>
      <c r="E6093" s="46">
        <f>IF(OR(B6093="",C6093="",D6093=""),"",D6093*100000+(C6093-DATE(2000,1,1))+ROW()/100000)</f>
        <v/>
      </c>
      <c r="F6093" s="46">
        <f>IF(E6093="","",IF(C6093&gt;WeekEndDate,"",E6093))</f>
        <v/>
      </c>
    </row>
    <row r="6094">
      <c r="A6094" t="inlineStr">
        <is>
          <t>Issues &amp; Punch List</t>
        </is>
      </c>
      <c r="B6094" s="46">
        <f>'Issues &amp; Punch List'!S60</f>
        <v/>
      </c>
      <c r="C6094" s="84">
        <f>'Issues &amp; Punch List'!Q60</f>
        <v/>
      </c>
      <c r="D6094" s="46">
        <f>'Issues &amp; Punch List'!R60</f>
        <v/>
      </c>
      <c r="E6094" s="46">
        <f>IF(OR(B6094="",C6094="",D6094=""),"",D6094*100000+(C6094-DATE(2000,1,1))+ROW()/100000)</f>
        <v/>
      </c>
      <c r="F6094" s="46">
        <f>IF(E6094="","",IF(C6094&gt;WeekEndDate,"",E6094))</f>
        <v/>
      </c>
    </row>
    <row r="6095">
      <c r="A6095" t="inlineStr">
        <is>
          <t>Issues &amp; Punch List</t>
        </is>
      </c>
      <c r="B6095" s="46">
        <f>'Issues &amp; Punch List'!S61</f>
        <v/>
      </c>
      <c r="C6095" s="84">
        <f>'Issues &amp; Punch List'!Q61</f>
        <v/>
      </c>
      <c r="D6095" s="46">
        <f>'Issues &amp; Punch List'!R61</f>
        <v/>
      </c>
      <c r="E6095" s="46">
        <f>IF(OR(B6095="",C6095="",D6095=""),"",D6095*100000+(C6095-DATE(2000,1,1))+ROW()/100000)</f>
        <v/>
      </c>
      <c r="F6095" s="46">
        <f>IF(E6095="","",IF(C6095&gt;WeekEndDate,"",E6095))</f>
        <v/>
      </c>
    </row>
    <row r="6096">
      <c r="A6096" t="inlineStr">
        <is>
          <t>Issues &amp; Punch List</t>
        </is>
      </c>
      <c r="B6096" s="46">
        <f>'Issues &amp; Punch List'!S62</f>
        <v/>
      </c>
      <c r="C6096" s="84">
        <f>'Issues &amp; Punch List'!Q62</f>
        <v/>
      </c>
      <c r="D6096" s="46">
        <f>'Issues &amp; Punch List'!R62</f>
        <v/>
      </c>
      <c r="E6096" s="46">
        <f>IF(OR(B6096="",C6096="",D6096=""),"",D6096*100000+(C6096-DATE(2000,1,1))+ROW()/100000)</f>
        <v/>
      </c>
      <c r="F6096" s="46">
        <f>IF(E6096="","",IF(C6096&gt;WeekEndDate,"",E6096))</f>
        <v/>
      </c>
    </row>
    <row r="6097">
      <c r="A6097" t="inlineStr">
        <is>
          <t>Issues &amp; Punch List</t>
        </is>
      </c>
      <c r="B6097" s="46">
        <f>'Issues &amp; Punch List'!S63</f>
        <v/>
      </c>
      <c r="C6097" s="84">
        <f>'Issues &amp; Punch List'!Q63</f>
        <v/>
      </c>
      <c r="D6097" s="46">
        <f>'Issues &amp; Punch List'!R63</f>
        <v/>
      </c>
      <c r="E6097" s="46">
        <f>IF(OR(B6097="",C6097="",D6097=""),"",D6097*100000+(C6097-DATE(2000,1,1))+ROW()/100000)</f>
        <v/>
      </c>
      <c r="F6097" s="46">
        <f>IF(E6097="","",IF(C6097&gt;WeekEndDate,"",E6097))</f>
        <v/>
      </c>
    </row>
    <row r="6098">
      <c r="A6098" t="inlineStr">
        <is>
          <t>Issues &amp; Punch List</t>
        </is>
      </c>
      <c r="B6098" s="46">
        <f>'Issues &amp; Punch List'!S64</f>
        <v/>
      </c>
      <c r="C6098" s="84">
        <f>'Issues &amp; Punch List'!Q64</f>
        <v/>
      </c>
      <c r="D6098" s="46">
        <f>'Issues &amp; Punch List'!R64</f>
        <v/>
      </c>
      <c r="E6098" s="46">
        <f>IF(OR(B6098="",C6098="",D6098=""),"",D6098*100000+(C6098-DATE(2000,1,1))+ROW()/100000)</f>
        <v/>
      </c>
      <c r="F6098" s="46">
        <f>IF(E6098="","",IF(C6098&gt;WeekEndDate,"",E6098))</f>
        <v/>
      </c>
    </row>
    <row r="6099">
      <c r="A6099" t="inlineStr">
        <is>
          <t>Issues &amp; Punch List</t>
        </is>
      </c>
      <c r="B6099" s="46">
        <f>'Issues &amp; Punch List'!S65</f>
        <v/>
      </c>
      <c r="C6099" s="84">
        <f>'Issues &amp; Punch List'!Q65</f>
        <v/>
      </c>
      <c r="D6099" s="46">
        <f>'Issues &amp; Punch List'!R65</f>
        <v/>
      </c>
      <c r="E6099" s="46">
        <f>IF(OR(B6099="",C6099="",D6099=""),"",D6099*100000+(C6099-DATE(2000,1,1))+ROW()/100000)</f>
        <v/>
      </c>
      <c r="F6099" s="46">
        <f>IF(E6099="","",IF(C6099&gt;WeekEndDate,"",E6099))</f>
        <v/>
      </c>
    </row>
    <row r="6100">
      <c r="A6100" t="inlineStr">
        <is>
          <t>Issues &amp; Punch List</t>
        </is>
      </c>
      <c r="B6100" s="46">
        <f>'Issues &amp; Punch List'!S66</f>
        <v/>
      </c>
      <c r="C6100" s="84">
        <f>'Issues &amp; Punch List'!Q66</f>
        <v/>
      </c>
      <c r="D6100" s="46">
        <f>'Issues &amp; Punch List'!R66</f>
        <v/>
      </c>
      <c r="E6100" s="46">
        <f>IF(OR(B6100="",C6100="",D6100=""),"",D6100*100000+(C6100-DATE(2000,1,1))+ROW()/100000)</f>
        <v/>
      </c>
      <c r="F6100" s="46">
        <f>IF(E6100="","",IF(C6100&gt;WeekEndDate,"",E6100))</f>
        <v/>
      </c>
    </row>
    <row r="6101">
      <c r="A6101" t="inlineStr">
        <is>
          <t>Issues &amp; Punch List</t>
        </is>
      </c>
      <c r="B6101" s="46">
        <f>'Issues &amp; Punch List'!S67</f>
        <v/>
      </c>
      <c r="C6101" s="84">
        <f>'Issues &amp; Punch List'!Q67</f>
        <v/>
      </c>
      <c r="D6101" s="46">
        <f>'Issues &amp; Punch List'!R67</f>
        <v/>
      </c>
      <c r="E6101" s="46">
        <f>IF(OR(B6101="",C6101="",D6101=""),"",D6101*100000+(C6101-DATE(2000,1,1))+ROW()/100000)</f>
        <v/>
      </c>
      <c r="F6101" s="46">
        <f>IF(E6101="","",IF(C6101&gt;WeekEndDate,"",E6101))</f>
        <v/>
      </c>
    </row>
    <row r="6102">
      <c r="A6102" t="inlineStr">
        <is>
          <t>Issues &amp; Punch List</t>
        </is>
      </c>
      <c r="B6102" s="46">
        <f>'Issues &amp; Punch List'!S68</f>
        <v/>
      </c>
      <c r="C6102" s="84">
        <f>'Issues &amp; Punch List'!Q68</f>
        <v/>
      </c>
      <c r="D6102" s="46">
        <f>'Issues &amp; Punch List'!R68</f>
        <v/>
      </c>
      <c r="E6102" s="46">
        <f>IF(OR(B6102="",C6102="",D6102=""),"",D6102*100000+(C6102-DATE(2000,1,1))+ROW()/100000)</f>
        <v/>
      </c>
      <c r="F6102" s="46">
        <f>IF(E6102="","",IF(C6102&gt;WeekEndDate,"",E6102))</f>
        <v/>
      </c>
    </row>
    <row r="6103">
      <c r="A6103" t="inlineStr">
        <is>
          <t>Issues &amp; Punch List</t>
        </is>
      </c>
      <c r="B6103" s="46">
        <f>'Issues &amp; Punch List'!S69</f>
        <v/>
      </c>
      <c r="C6103" s="84">
        <f>'Issues &amp; Punch List'!Q69</f>
        <v/>
      </c>
      <c r="D6103" s="46">
        <f>'Issues &amp; Punch List'!R69</f>
        <v/>
      </c>
      <c r="E6103" s="46">
        <f>IF(OR(B6103="",C6103="",D6103=""),"",D6103*100000+(C6103-DATE(2000,1,1))+ROW()/100000)</f>
        <v/>
      </c>
      <c r="F6103" s="46">
        <f>IF(E6103="","",IF(C6103&gt;WeekEndDate,"",E6103))</f>
        <v/>
      </c>
    </row>
    <row r="6104">
      <c r="A6104" t="inlineStr">
        <is>
          <t>Issues &amp; Punch List</t>
        </is>
      </c>
      <c r="B6104" s="46">
        <f>'Issues &amp; Punch List'!S70</f>
        <v/>
      </c>
      <c r="C6104" s="84">
        <f>'Issues &amp; Punch List'!Q70</f>
        <v/>
      </c>
      <c r="D6104" s="46">
        <f>'Issues &amp; Punch List'!R70</f>
        <v/>
      </c>
      <c r="E6104" s="46">
        <f>IF(OR(B6104="",C6104="",D6104=""),"",D6104*100000+(C6104-DATE(2000,1,1))+ROW()/100000)</f>
        <v/>
      </c>
      <c r="F6104" s="46">
        <f>IF(E6104="","",IF(C6104&gt;WeekEndDate,"",E6104))</f>
        <v/>
      </c>
    </row>
    <row r="6105">
      <c r="A6105" t="inlineStr">
        <is>
          <t>Issues &amp; Punch List</t>
        </is>
      </c>
      <c r="B6105" s="46">
        <f>'Issues &amp; Punch List'!S71</f>
        <v/>
      </c>
      <c r="C6105" s="84">
        <f>'Issues &amp; Punch List'!Q71</f>
        <v/>
      </c>
      <c r="D6105" s="46">
        <f>'Issues &amp; Punch List'!R71</f>
        <v/>
      </c>
      <c r="E6105" s="46">
        <f>IF(OR(B6105="",C6105="",D6105=""),"",D6105*100000+(C6105-DATE(2000,1,1))+ROW()/100000)</f>
        <v/>
      </c>
      <c r="F6105" s="46">
        <f>IF(E6105="","",IF(C6105&gt;WeekEndDate,"",E6105))</f>
        <v/>
      </c>
    </row>
    <row r="6106">
      <c r="A6106" t="inlineStr">
        <is>
          <t>Issues &amp; Punch List</t>
        </is>
      </c>
      <c r="B6106" s="46">
        <f>'Issues &amp; Punch List'!S72</f>
        <v/>
      </c>
      <c r="C6106" s="84">
        <f>'Issues &amp; Punch List'!Q72</f>
        <v/>
      </c>
      <c r="D6106" s="46">
        <f>'Issues &amp; Punch List'!R72</f>
        <v/>
      </c>
      <c r="E6106" s="46">
        <f>IF(OR(B6106="",C6106="",D6106=""),"",D6106*100000+(C6106-DATE(2000,1,1))+ROW()/100000)</f>
        <v/>
      </c>
      <c r="F6106" s="46">
        <f>IF(E6106="","",IF(C6106&gt;WeekEndDate,"",E6106))</f>
        <v/>
      </c>
    </row>
    <row r="6107">
      <c r="A6107" t="inlineStr">
        <is>
          <t>Issues &amp; Punch List</t>
        </is>
      </c>
      <c r="B6107" s="46">
        <f>'Issues &amp; Punch List'!S73</f>
        <v/>
      </c>
      <c r="C6107" s="84">
        <f>'Issues &amp; Punch List'!Q73</f>
        <v/>
      </c>
      <c r="D6107" s="46">
        <f>'Issues &amp; Punch List'!R73</f>
        <v/>
      </c>
      <c r="E6107" s="46">
        <f>IF(OR(B6107="",C6107="",D6107=""),"",D6107*100000+(C6107-DATE(2000,1,1))+ROW()/100000)</f>
        <v/>
      </c>
      <c r="F6107" s="46">
        <f>IF(E6107="","",IF(C6107&gt;WeekEndDate,"",E6107))</f>
        <v/>
      </c>
    </row>
    <row r="6108">
      <c r="A6108" t="inlineStr">
        <is>
          <t>Issues &amp; Punch List</t>
        </is>
      </c>
      <c r="B6108" s="46">
        <f>'Issues &amp; Punch List'!S74</f>
        <v/>
      </c>
      <c r="C6108" s="84">
        <f>'Issues &amp; Punch List'!Q74</f>
        <v/>
      </c>
      <c r="D6108" s="46">
        <f>'Issues &amp; Punch List'!R74</f>
        <v/>
      </c>
      <c r="E6108" s="46">
        <f>IF(OR(B6108="",C6108="",D6108=""),"",D6108*100000+(C6108-DATE(2000,1,1))+ROW()/100000)</f>
        <v/>
      </c>
      <c r="F6108" s="46">
        <f>IF(E6108="","",IF(C6108&gt;WeekEndDate,"",E6108))</f>
        <v/>
      </c>
    </row>
    <row r="6109">
      <c r="A6109" t="inlineStr">
        <is>
          <t>Issues &amp; Punch List</t>
        </is>
      </c>
      <c r="B6109" s="46">
        <f>'Issues &amp; Punch List'!S75</f>
        <v/>
      </c>
      <c r="C6109" s="84">
        <f>'Issues &amp; Punch List'!Q75</f>
        <v/>
      </c>
      <c r="D6109" s="46">
        <f>'Issues &amp; Punch List'!R75</f>
        <v/>
      </c>
      <c r="E6109" s="46">
        <f>IF(OR(B6109="",C6109="",D6109=""),"",D6109*100000+(C6109-DATE(2000,1,1))+ROW()/100000)</f>
        <v/>
      </c>
      <c r="F6109" s="46">
        <f>IF(E6109="","",IF(C6109&gt;WeekEndDate,"",E6109))</f>
        <v/>
      </c>
    </row>
    <row r="6110">
      <c r="A6110" t="inlineStr">
        <is>
          <t>Issues &amp; Punch List</t>
        </is>
      </c>
      <c r="B6110" s="46">
        <f>'Issues &amp; Punch List'!S76</f>
        <v/>
      </c>
      <c r="C6110" s="84">
        <f>'Issues &amp; Punch List'!Q76</f>
        <v/>
      </c>
      <c r="D6110" s="46">
        <f>'Issues &amp; Punch List'!R76</f>
        <v/>
      </c>
      <c r="E6110" s="46">
        <f>IF(OR(B6110="",C6110="",D6110=""),"",D6110*100000+(C6110-DATE(2000,1,1))+ROW()/100000)</f>
        <v/>
      </c>
      <c r="F6110" s="46">
        <f>IF(E6110="","",IF(C6110&gt;WeekEndDate,"",E6110))</f>
        <v/>
      </c>
    </row>
    <row r="6111">
      <c r="A6111" t="inlineStr">
        <is>
          <t>Issues &amp; Punch List</t>
        </is>
      </c>
      <c r="B6111" s="46">
        <f>'Issues &amp; Punch List'!S77</f>
        <v/>
      </c>
      <c r="C6111" s="84">
        <f>'Issues &amp; Punch List'!Q77</f>
        <v/>
      </c>
      <c r="D6111" s="46">
        <f>'Issues &amp; Punch List'!R77</f>
        <v/>
      </c>
      <c r="E6111" s="46">
        <f>IF(OR(B6111="",C6111="",D6111=""),"",D6111*100000+(C6111-DATE(2000,1,1))+ROW()/100000)</f>
        <v/>
      </c>
      <c r="F6111" s="46">
        <f>IF(E6111="","",IF(C6111&gt;WeekEndDate,"",E6111))</f>
        <v/>
      </c>
    </row>
    <row r="6112">
      <c r="A6112" t="inlineStr">
        <is>
          <t>Issues &amp; Punch List</t>
        </is>
      </c>
      <c r="B6112" s="46">
        <f>'Issues &amp; Punch List'!S78</f>
        <v/>
      </c>
      <c r="C6112" s="84">
        <f>'Issues &amp; Punch List'!Q78</f>
        <v/>
      </c>
      <c r="D6112" s="46">
        <f>'Issues &amp; Punch List'!R78</f>
        <v/>
      </c>
      <c r="E6112" s="46">
        <f>IF(OR(B6112="",C6112="",D6112=""),"",D6112*100000+(C6112-DATE(2000,1,1))+ROW()/100000)</f>
        <v/>
      </c>
      <c r="F6112" s="46">
        <f>IF(E6112="","",IF(C6112&gt;WeekEndDate,"",E6112))</f>
        <v/>
      </c>
    </row>
    <row r="6113">
      <c r="A6113" t="inlineStr">
        <is>
          <t>Issues &amp; Punch List</t>
        </is>
      </c>
      <c r="B6113" s="46">
        <f>'Issues &amp; Punch List'!S79</f>
        <v/>
      </c>
      <c r="C6113" s="84">
        <f>'Issues &amp; Punch List'!Q79</f>
        <v/>
      </c>
      <c r="D6113" s="46">
        <f>'Issues &amp; Punch List'!R79</f>
        <v/>
      </c>
      <c r="E6113" s="46">
        <f>IF(OR(B6113="",C6113="",D6113=""),"",D6113*100000+(C6113-DATE(2000,1,1))+ROW()/100000)</f>
        <v/>
      </c>
      <c r="F6113" s="46">
        <f>IF(E6113="","",IF(C6113&gt;WeekEndDate,"",E6113))</f>
        <v/>
      </c>
    </row>
    <row r="6114">
      <c r="A6114" t="inlineStr">
        <is>
          <t>Issues &amp; Punch List</t>
        </is>
      </c>
      <c r="B6114" s="46">
        <f>'Issues &amp; Punch List'!S80</f>
        <v/>
      </c>
      <c r="C6114" s="84">
        <f>'Issues &amp; Punch List'!Q80</f>
        <v/>
      </c>
      <c r="D6114" s="46">
        <f>'Issues &amp; Punch List'!R80</f>
        <v/>
      </c>
      <c r="E6114" s="46">
        <f>IF(OR(B6114="",C6114="",D6114=""),"",D6114*100000+(C6114-DATE(2000,1,1))+ROW()/100000)</f>
        <v/>
      </c>
      <c r="F6114" s="46">
        <f>IF(E6114="","",IF(C6114&gt;WeekEndDate,"",E6114))</f>
        <v/>
      </c>
    </row>
    <row r="6115">
      <c r="A6115" t="inlineStr">
        <is>
          <t>Issues &amp; Punch List</t>
        </is>
      </c>
      <c r="B6115" s="46">
        <f>'Issues &amp; Punch List'!S81</f>
        <v/>
      </c>
      <c r="C6115" s="84">
        <f>'Issues &amp; Punch List'!Q81</f>
        <v/>
      </c>
      <c r="D6115" s="46">
        <f>'Issues &amp; Punch List'!R81</f>
        <v/>
      </c>
      <c r="E6115" s="46">
        <f>IF(OR(B6115="",C6115="",D6115=""),"",D6115*100000+(C6115-DATE(2000,1,1))+ROW()/100000)</f>
        <v/>
      </c>
      <c r="F6115" s="46">
        <f>IF(E6115="","",IF(C6115&gt;WeekEndDate,"",E6115))</f>
        <v/>
      </c>
    </row>
    <row r="6116">
      <c r="A6116" t="inlineStr">
        <is>
          <t>Issues &amp; Punch List</t>
        </is>
      </c>
      <c r="B6116" s="46">
        <f>'Issues &amp; Punch List'!S82</f>
        <v/>
      </c>
      <c r="C6116" s="84">
        <f>'Issues &amp; Punch List'!Q82</f>
        <v/>
      </c>
      <c r="D6116" s="46">
        <f>'Issues &amp; Punch List'!R82</f>
        <v/>
      </c>
      <c r="E6116" s="46">
        <f>IF(OR(B6116="",C6116="",D6116=""),"",D6116*100000+(C6116-DATE(2000,1,1))+ROW()/100000)</f>
        <v/>
      </c>
      <c r="F6116" s="46">
        <f>IF(E6116="","",IF(C6116&gt;WeekEndDate,"",E6116))</f>
        <v/>
      </c>
    </row>
    <row r="6117">
      <c r="A6117" t="inlineStr">
        <is>
          <t>Issues &amp; Punch List</t>
        </is>
      </c>
      <c r="B6117" s="46">
        <f>'Issues &amp; Punch List'!S83</f>
        <v/>
      </c>
      <c r="C6117" s="84">
        <f>'Issues &amp; Punch List'!Q83</f>
        <v/>
      </c>
      <c r="D6117" s="46">
        <f>'Issues &amp; Punch List'!R83</f>
        <v/>
      </c>
      <c r="E6117" s="46">
        <f>IF(OR(B6117="",C6117="",D6117=""),"",D6117*100000+(C6117-DATE(2000,1,1))+ROW()/100000)</f>
        <v/>
      </c>
      <c r="F6117" s="46">
        <f>IF(E6117="","",IF(C6117&gt;WeekEndDate,"",E6117))</f>
        <v/>
      </c>
    </row>
    <row r="6118">
      <c r="A6118" t="inlineStr">
        <is>
          <t>Issues &amp; Punch List</t>
        </is>
      </c>
      <c r="B6118" s="46">
        <f>'Issues &amp; Punch List'!S84</f>
        <v/>
      </c>
      <c r="C6118" s="84">
        <f>'Issues &amp; Punch List'!Q84</f>
        <v/>
      </c>
      <c r="D6118" s="46">
        <f>'Issues &amp; Punch List'!R84</f>
        <v/>
      </c>
      <c r="E6118" s="46">
        <f>IF(OR(B6118="",C6118="",D6118=""),"",D6118*100000+(C6118-DATE(2000,1,1))+ROW()/100000)</f>
        <v/>
      </c>
      <c r="F6118" s="46">
        <f>IF(E6118="","",IF(C6118&gt;WeekEndDate,"",E6118))</f>
        <v/>
      </c>
    </row>
    <row r="6119">
      <c r="A6119" t="inlineStr">
        <is>
          <t>Issues &amp; Punch List</t>
        </is>
      </c>
      <c r="B6119" s="46">
        <f>'Issues &amp; Punch List'!S85</f>
        <v/>
      </c>
      <c r="C6119" s="84">
        <f>'Issues &amp; Punch List'!Q85</f>
        <v/>
      </c>
      <c r="D6119" s="46">
        <f>'Issues &amp; Punch List'!R85</f>
        <v/>
      </c>
      <c r="E6119" s="46">
        <f>IF(OR(B6119="",C6119="",D6119=""),"",D6119*100000+(C6119-DATE(2000,1,1))+ROW()/100000)</f>
        <v/>
      </c>
      <c r="F6119" s="46">
        <f>IF(E6119="","",IF(C6119&gt;WeekEndDate,"",E6119))</f>
        <v/>
      </c>
    </row>
    <row r="6120">
      <c r="A6120" t="inlineStr">
        <is>
          <t>Issues &amp; Punch List</t>
        </is>
      </c>
      <c r="B6120" s="46">
        <f>'Issues &amp; Punch List'!S86</f>
        <v/>
      </c>
      <c r="C6120" s="84">
        <f>'Issues &amp; Punch List'!Q86</f>
        <v/>
      </c>
      <c r="D6120" s="46">
        <f>'Issues &amp; Punch List'!R86</f>
        <v/>
      </c>
      <c r="E6120" s="46">
        <f>IF(OR(B6120="",C6120="",D6120=""),"",D6120*100000+(C6120-DATE(2000,1,1))+ROW()/100000)</f>
        <v/>
      </c>
      <c r="F6120" s="46">
        <f>IF(E6120="","",IF(C6120&gt;WeekEndDate,"",E6120))</f>
        <v/>
      </c>
    </row>
    <row r="6121">
      <c r="A6121" t="inlineStr">
        <is>
          <t>Issues &amp; Punch List</t>
        </is>
      </c>
      <c r="B6121" s="46">
        <f>'Issues &amp; Punch List'!S87</f>
        <v/>
      </c>
      <c r="C6121" s="84">
        <f>'Issues &amp; Punch List'!Q87</f>
        <v/>
      </c>
      <c r="D6121" s="46">
        <f>'Issues &amp; Punch List'!R87</f>
        <v/>
      </c>
      <c r="E6121" s="46">
        <f>IF(OR(B6121="",C6121="",D6121=""),"",D6121*100000+(C6121-DATE(2000,1,1))+ROW()/100000)</f>
        <v/>
      </c>
      <c r="F6121" s="46">
        <f>IF(E6121="","",IF(C6121&gt;WeekEndDate,"",E6121))</f>
        <v/>
      </c>
    </row>
    <row r="6122">
      <c r="A6122" t="inlineStr">
        <is>
          <t>Issues &amp; Punch List</t>
        </is>
      </c>
      <c r="B6122" s="46">
        <f>'Issues &amp; Punch List'!S88</f>
        <v/>
      </c>
      <c r="C6122" s="84">
        <f>'Issues &amp; Punch List'!Q88</f>
        <v/>
      </c>
      <c r="D6122" s="46">
        <f>'Issues &amp; Punch List'!R88</f>
        <v/>
      </c>
      <c r="E6122" s="46">
        <f>IF(OR(B6122="",C6122="",D6122=""),"",D6122*100000+(C6122-DATE(2000,1,1))+ROW()/100000)</f>
        <v/>
      </c>
      <c r="F6122" s="46">
        <f>IF(E6122="","",IF(C6122&gt;WeekEndDate,"",E6122))</f>
        <v/>
      </c>
    </row>
    <row r="6123">
      <c r="A6123" t="inlineStr">
        <is>
          <t>Issues &amp; Punch List</t>
        </is>
      </c>
      <c r="B6123" s="46">
        <f>'Issues &amp; Punch List'!S89</f>
        <v/>
      </c>
      <c r="C6123" s="84">
        <f>'Issues &amp; Punch List'!Q89</f>
        <v/>
      </c>
      <c r="D6123" s="46">
        <f>'Issues &amp; Punch List'!R89</f>
        <v/>
      </c>
      <c r="E6123" s="46">
        <f>IF(OR(B6123="",C6123="",D6123=""),"",D6123*100000+(C6123-DATE(2000,1,1))+ROW()/100000)</f>
        <v/>
      </c>
      <c r="F6123" s="46">
        <f>IF(E6123="","",IF(C6123&gt;WeekEndDate,"",E6123))</f>
        <v/>
      </c>
    </row>
    <row r="6124">
      <c r="A6124" t="inlineStr">
        <is>
          <t>Issues &amp; Punch List</t>
        </is>
      </c>
      <c r="B6124" s="46">
        <f>'Issues &amp; Punch List'!S90</f>
        <v/>
      </c>
      <c r="C6124" s="84">
        <f>'Issues &amp; Punch List'!Q90</f>
        <v/>
      </c>
      <c r="D6124" s="46">
        <f>'Issues &amp; Punch List'!R90</f>
        <v/>
      </c>
      <c r="E6124" s="46">
        <f>IF(OR(B6124="",C6124="",D6124=""),"",D6124*100000+(C6124-DATE(2000,1,1))+ROW()/100000)</f>
        <v/>
      </c>
      <c r="F6124" s="46">
        <f>IF(E6124="","",IF(C6124&gt;WeekEndDate,"",E6124))</f>
        <v/>
      </c>
    </row>
    <row r="6125">
      <c r="A6125" t="inlineStr">
        <is>
          <t>Issues &amp; Punch List</t>
        </is>
      </c>
      <c r="B6125" s="46">
        <f>'Issues &amp; Punch List'!S91</f>
        <v/>
      </c>
      <c r="C6125" s="84">
        <f>'Issues &amp; Punch List'!Q91</f>
        <v/>
      </c>
      <c r="D6125" s="46">
        <f>'Issues &amp; Punch List'!R91</f>
        <v/>
      </c>
      <c r="E6125" s="46">
        <f>IF(OR(B6125="",C6125="",D6125=""),"",D6125*100000+(C6125-DATE(2000,1,1))+ROW()/100000)</f>
        <v/>
      </c>
      <c r="F6125" s="46">
        <f>IF(E6125="","",IF(C6125&gt;WeekEndDate,"",E6125))</f>
        <v/>
      </c>
    </row>
    <row r="6126">
      <c r="A6126" t="inlineStr">
        <is>
          <t>Issues &amp; Punch List</t>
        </is>
      </c>
      <c r="B6126" s="46">
        <f>'Issues &amp; Punch List'!S92</f>
        <v/>
      </c>
      <c r="C6126" s="84">
        <f>'Issues &amp; Punch List'!Q92</f>
        <v/>
      </c>
      <c r="D6126" s="46">
        <f>'Issues &amp; Punch List'!R92</f>
        <v/>
      </c>
      <c r="E6126" s="46">
        <f>IF(OR(B6126="",C6126="",D6126=""),"",D6126*100000+(C6126-DATE(2000,1,1))+ROW()/100000)</f>
        <v/>
      </c>
      <c r="F6126" s="46">
        <f>IF(E6126="","",IF(C6126&gt;WeekEndDate,"",E6126))</f>
        <v/>
      </c>
    </row>
    <row r="6127">
      <c r="A6127" t="inlineStr">
        <is>
          <t>Issues &amp; Punch List</t>
        </is>
      </c>
      <c r="B6127" s="46">
        <f>'Issues &amp; Punch List'!S93</f>
        <v/>
      </c>
      <c r="C6127" s="84">
        <f>'Issues &amp; Punch List'!Q93</f>
        <v/>
      </c>
      <c r="D6127" s="46">
        <f>'Issues &amp; Punch List'!R93</f>
        <v/>
      </c>
      <c r="E6127" s="46">
        <f>IF(OR(B6127="",C6127="",D6127=""),"",D6127*100000+(C6127-DATE(2000,1,1))+ROW()/100000)</f>
        <v/>
      </c>
      <c r="F6127" s="46">
        <f>IF(E6127="","",IF(C6127&gt;WeekEndDate,"",E6127))</f>
        <v/>
      </c>
    </row>
    <row r="6128">
      <c r="A6128" t="inlineStr">
        <is>
          <t>Issues &amp; Punch List</t>
        </is>
      </c>
      <c r="B6128" s="46">
        <f>'Issues &amp; Punch List'!S94</f>
        <v/>
      </c>
      <c r="C6128" s="84">
        <f>'Issues &amp; Punch List'!Q94</f>
        <v/>
      </c>
      <c r="D6128" s="46">
        <f>'Issues &amp; Punch List'!R94</f>
        <v/>
      </c>
      <c r="E6128" s="46">
        <f>IF(OR(B6128="",C6128="",D6128=""),"",D6128*100000+(C6128-DATE(2000,1,1))+ROW()/100000)</f>
        <v/>
      </c>
      <c r="F6128" s="46">
        <f>IF(E6128="","",IF(C6128&gt;WeekEndDate,"",E6128))</f>
        <v/>
      </c>
    </row>
    <row r="6129">
      <c r="A6129" t="inlineStr">
        <is>
          <t>Issues &amp; Punch List</t>
        </is>
      </c>
      <c r="B6129" s="46">
        <f>'Issues &amp; Punch List'!S95</f>
        <v/>
      </c>
      <c r="C6129" s="84">
        <f>'Issues &amp; Punch List'!Q95</f>
        <v/>
      </c>
      <c r="D6129" s="46">
        <f>'Issues &amp; Punch List'!R95</f>
        <v/>
      </c>
      <c r="E6129" s="46">
        <f>IF(OR(B6129="",C6129="",D6129=""),"",D6129*100000+(C6129-DATE(2000,1,1))+ROW()/100000)</f>
        <v/>
      </c>
      <c r="F6129" s="46">
        <f>IF(E6129="","",IF(C6129&gt;WeekEndDate,"",E6129))</f>
        <v/>
      </c>
    </row>
    <row r="6130">
      <c r="A6130" t="inlineStr">
        <is>
          <t>Issues &amp; Punch List</t>
        </is>
      </c>
      <c r="B6130" s="46">
        <f>'Issues &amp; Punch List'!S96</f>
        <v/>
      </c>
      <c r="C6130" s="84">
        <f>'Issues &amp; Punch List'!Q96</f>
        <v/>
      </c>
      <c r="D6130" s="46">
        <f>'Issues &amp; Punch List'!R96</f>
        <v/>
      </c>
      <c r="E6130" s="46">
        <f>IF(OR(B6130="",C6130="",D6130=""),"",D6130*100000+(C6130-DATE(2000,1,1))+ROW()/100000)</f>
        <v/>
      </c>
      <c r="F6130" s="46">
        <f>IF(E6130="","",IF(C6130&gt;WeekEndDate,"",E6130))</f>
        <v/>
      </c>
    </row>
    <row r="6131">
      <c r="A6131" t="inlineStr">
        <is>
          <t>Issues &amp; Punch List</t>
        </is>
      </c>
      <c r="B6131" s="46">
        <f>'Issues &amp; Punch List'!S97</f>
        <v/>
      </c>
      <c r="C6131" s="84">
        <f>'Issues &amp; Punch List'!Q97</f>
        <v/>
      </c>
      <c r="D6131" s="46">
        <f>'Issues &amp; Punch List'!R97</f>
        <v/>
      </c>
      <c r="E6131" s="46">
        <f>IF(OR(B6131="",C6131="",D6131=""),"",D6131*100000+(C6131-DATE(2000,1,1))+ROW()/100000)</f>
        <v/>
      </c>
      <c r="F6131" s="46">
        <f>IF(E6131="","",IF(C6131&gt;WeekEndDate,"",E6131))</f>
        <v/>
      </c>
    </row>
    <row r="6132">
      <c r="A6132" t="inlineStr">
        <is>
          <t>Issues &amp; Punch List</t>
        </is>
      </c>
      <c r="B6132" s="46">
        <f>'Issues &amp; Punch List'!S98</f>
        <v/>
      </c>
      <c r="C6132" s="84">
        <f>'Issues &amp; Punch List'!Q98</f>
        <v/>
      </c>
      <c r="D6132" s="46">
        <f>'Issues &amp; Punch List'!R98</f>
        <v/>
      </c>
      <c r="E6132" s="46">
        <f>IF(OR(B6132="",C6132="",D6132=""),"",D6132*100000+(C6132-DATE(2000,1,1))+ROW()/100000)</f>
        <v/>
      </c>
      <c r="F6132" s="46">
        <f>IF(E6132="","",IF(C6132&gt;WeekEndDate,"",E6132))</f>
        <v/>
      </c>
    </row>
    <row r="6133">
      <c r="A6133" t="inlineStr">
        <is>
          <t>Issues &amp; Punch List</t>
        </is>
      </c>
      <c r="B6133" s="46">
        <f>'Issues &amp; Punch List'!S99</f>
        <v/>
      </c>
      <c r="C6133" s="84">
        <f>'Issues &amp; Punch List'!Q99</f>
        <v/>
      </c>
      <c r="D6133" s="46">
        <f>'Issues &amp; Punch List'!R99</f>
        <v/>
      </c>
      <c r="E6133" s="46">
        <f>IF(OR(B6133="",C6133="",D6133=""),"",D6133*100000+(C6133-DATE(2000,1,1))+ROW()/100000)</f>
        <v/>
      </c>
      <c r="F6133" s="46">
        <f>IF(E6133="","",IF(C6133&gt;WeekEndDate,"",E6133))</f>
        <v/>
      </c>
    </row>
    <row r="6134">
      <c r="A6134" t="inlineStr">
        <is>
          <t>Issues &amp; Punch List</t>
        </is>
      </c>
      <c r="B6134" s="46">
        <f>'Issues &amp; Punch List'!S100</f>
        <v/>
      </c>
      <c r="C6134" s="84">
        <f>'Issues &amp; Punch List'!Q100</f>
        <v/>
      </c>
      <c r="D6134" s="46">
        <f>'Issues &amp; Punch List'!R100</f>
        <v/>
      </c>
      <c r="E6134" s="46">
        <f>IF(OR(B6134="",C6134="",D6134=""),"",D6134*100000+(C6134-DATE(2000,1,1))+ROW()/100000)</f>
        <v/>
      </c>
      <c r="F6134" s="46">
        <f>IF(E6134="","",IF(C6134&gt;WeekEndDate,"",E6134))</f>
        <v/>
      </c>
    </row>
    <row r="6135">
      <c r="A6135" t="inlineStr">
        <is>
          <t>Issues &amp; Punch List</t>
        </is>
      </c>
      <c r="B6135" s="46">
        <f>'Issues &amp; Punch List'!S101</f>
        <v/>
      </c>
      <c r="C6135" s="84">
        <f>'Issues &amp; Punch List'!Q101</f>
        <v/>
      </c>
      <c r="D6135" s="46">
        <f>'Issues &amp; Punch List'!R101</f>
        <v/>
      </c>
      <c r="E6135" s="46">
        <f>IF(OR(B6135="",C6135="",D6135=""),"",D6135*100000+(C6135-DATE(2000,1,1))+ROW()/100000)</f>
        <v/>
      </c>
      <c r="F6135" s="46">
        <f>IF(E6135="","",IF(C6135&gt;WeekEndDate,"",E6135))</f>
        <v/>
      </c>
    </row>
    <row r="6136">
      <c r="A6136" t="inlineStr">
        <is>
          <t>Issues &amp; Punch List</t>
        </is>
      </c>
      <c r="B6136" s="46">
        <f>'Issues &amp; Punch List'!S102</f>
        <v/>
      </c>
      <c r="C6136" s="84">
        <f>'Issues &amp; Punch List'!Q102</f>
        <v/>
      </c>
      <c r="D6136" s="46">
        <f>'Issues &amp; Punch List'!R102</f>
        <v/>
      </c>
      <c r="E6136" s="46">
        <f>IF(OR(B6136="",C6136="",D6136=""),"",D6136*100000+(C6136-DATE(2000,1,1))+ROW()/100000)</f>
        <v/>
      </c>
      <c r="F6136" s="46">
        <f>IF(E6136="","",IF(C6136&gt;WeekEndDate,"",E6136))</f>
        <v/>
      </c>
    </row>
    <row r="6137">
      <c r="A6137" t="inlineStr">
        <is>
          <t>Issues &amp; Punch List</t>
        </is>
      </c>
      <c r="B6137" s="46">
        <f>'Issues &amp; Punch List'!S103</f>
        <v/>
      </c>
      <c r="C6137" s="84">
        <f>'Issues &amp; Punch List'!Q103</f>
        <v/>
      </c>
      <c r="D6137" s="46">
        <f>'Issues &amp; Punch List'!R103</f>
        <v/>
      </c>
      <c r="E6137" s="46">
        <f>IF(OR(B6137="",C6137="",D6137=""),"",D6137*100000+(C6137-DATE(2000,1,1))+ROW()/100000)</f>
        <v/>
      </c>
      <c r="F6137" s="46">
        <f>IF(E6137="","",IF(C6137&gt;WeekEndDate,"",E6137))</f>
        <v/>
      </c>
    </row>
    <row r="6138">
      <c r="A6138" t="inlineStr">
        <is>
          <t>Issues &amp; Punch List</t>
        </is>
      </c>
      <c r="B6138" s="46">
        <f>'Issues &amp; Punch List'!S104</f>
        <v/>
      </c>
      <c r="C6138" s="84">
        <f>'Issues &amp; Punch List'!Q104</f>
        <v/>
      </c>
      <c r="D6138" s="46">
        <f>'Issues &amp; Punch List'!R104</f>
        <v/>
      </c>
      <c r="E6138" s="46">
        <f>IF(OR(B6138="",C6138="",D6138=""),"",D6138*100000+(C6138-DATE(2000,1,1))+ROW()/100000)</f>
        <v/>
      </c>
      <c r="F6138" s="46">
        <f>IF(E6138="","",IF(C6138&gt;WeekEndDate,"",E6138))</f>
        <v/>
      </c>
    </row>
    <row r="6139">
      <c r="A6139" t="inlineStr">
        <is>
          <t>Issues &amp; Punch List</t>
        </is>
      </c>
      <c r="B6139" s="46">
        <f>'Issues &amp; Punch List'!S105</f>
        <v/>
      </c>
      <c r="C6139" s="84">
        <f>'Issues &amp; Punch List'!Q105</f>
        <v/>
      </c>
      <c r="D6139" s="46">
        <f>'Issues &amp; Punch List'!R105</f>
        <v/>
      </c>
      <c r="E6139" s="46">
        <f>IF(OR(B6139="",C6139="",D6139=""),"",D6139*100000+(C6139-DATE(2000,1,1))+ROW()/100000)</f>
        <v/>
      </c>
      <c r="F6139" s="46">
        <f>IF(E6139="","",IF(C6139&gt;WeekEndDate,"",E6139))</f>
        <v/>
      </c>
    </row>
    <row r="6140">
      <c r="A6140" t="inlineStr">
        <is>
          <t>Issues &amp; Punch List</t>
        </is>
      </c>
      <c r="B6140" s="46">
        <f>'Issues &amp; Punch List'!S106</f>
        <v/>
      </c>
      <c r="C6140" s="84">
        <f>'Issues &amp; Punch List'!Q106</f>
        <v/>
      </c>
      <c r="D6140" s="46">
        <f>'Issues &amp; Punch List'!R106</f>
        <v/>
      </c>
      <c r="E6140" s="46">
        <f>IF(OR(B6140="",C6140="",D6140=""),"",D6140*100000+(C6140-DATE(2000,1,1))+ROW()/100000)</f>
        <v/>
      </c>
      <c r="F6140" s="46">
        <f>IF(E6140="","",IF(C6140&gt;WeekEndDate,"",E6140))</f>
        <v/>
      </c>
    </row>
    <row r="6141">
      <c r="A6141" t="inlineStr">
        <is>
          <t>Issues &amp; Punch List</t>
        </is>
      </c>
      <c r="B6141" s="46">
        <f>'Issues &amp; Punch List'!S107</f>
        <v/>
      </c>
      <c r="C6141" s="84">
        <f>'Issues &amp; Punch List'!Q107</f>
        <v/>
      </c>
      <c r="D6141" s="46">
        <f>'Issues &amp; Punch List'!R107</f>
        <v/>
      </c>
      <c r="E6141" s="46">
        <f>IF(OR(B6141="",C6141="",D6141=""),"",D6141*100000+(C6141-DATE(2000,1,1))+ROW()/100000)</f>
        <v/>
      </c>
      <c r="F6141" s="46">
        <f>IF(E6141="","",IF(C6141&gt;WeekEndDate,"",E6141))</f>
        <v/>
      </c>
    </row>
    <row r="6142">
      <c r="A6142" t="inlineStr">
        <is>
          <t>Issues &amp; Punch List</t>
        </is>
      </c>
      <c r="B6142" s="46">
        <f>'Issues &amp; Punch List'!S108</f>
        <v/>
      </c>
      <c r="C6142" s="84">
        <f>'Issues &amp; Punch List'!Q108</f>
        <v/>
      </c>
      <c r="D6142" s="46">
        <f>'Issues &amp; Punch List'!R108</f>
        <v/>
      </c>
      <c r="E6142" s="46">
        <f>IF(OR(B6142="",C6142="",D6142=""),"",D6142*100000+(C6142-DATE(2000,1,1))+ROW()/100000)</f>
        <v/>
      </c>
      <c r="F6142" s="46">
        <f>IF(E6142="","",IF(C6142&gt;WeekEndDate,"",E6142))</f>
        <v/>
      </c>
    </row>
    <row r="6143">
      <c r="A6143" t="inlineStr">
        <is>
          <t>Issues &amp; Punch List</t>
        </is>
      </c>
      <c r="B6143" s="46">
        <f>'Issues &amp; Punch List'!S109</f>
        <v/>
      </c>
      <c r="C6143" s="84">
        <f>'Issues &amp; Punch List'!Q109</f>
        <v/>
      </c>
      <c r="D6143" s="46">
        <f>'Issues &amp; Punch List'!R109</f>
        <v/>
      </c>
      <c r="E6143" s="46">
        <f>IF(OR(B6143="",C6143="",D6143=""),"",D6143*100000+(C6143-DATE(2000,1,1))+ROW()/100000)</f>
        <v/>
      </c>
      <c r="F6143" s="46">
        <f>IF(E6143="","",IF(C6143&gt;WeekEndDate,"",E6143))</f>
        <v/>
      </c>
    </row>
    <row r="6144">
      <c r="A6144" t="inlineStr">
        <is>
          <t>Issues &amp; Punch List</t>
        </is>
      </c>
      <c r="B6144" s="46">
        <f>'Issues &amp; Punch List'!S110</f>
        <v/>
      </c>
      <c r="C6144" s="84">
        <f>'Issues &amp; Punch List'!Q110</f>
        <v/>
      </c>
      <c r="D6144" s="46">
        <f>'Issues &amp; Punch List'!R110</f>
        <v/>
      </c>
      <c r="E6144" s="46">
        <f>IF(OR(B6144="",C6144="",D6144=""),"",D6144*100000+(C6144-DATE(2000,1,1))+ROW()/100000)</f>
        <v/>
      </c>
      <c r="F6144" s="46">
        <f>IF(E6144="","",IF(C6144&gt;WeekEndDate,"",E6144))</f>
        <v/>
      </c>
    </row>
    <row r="6145">
      <c r="A6145" t="inlineStr">
        <is>
          <t>Issues &amp; Punch List</t>
        </is>
      </c>
      <c r="B6145" s="46">
        <f>'Issues &amp; Punch List'!S111</f>
        <v/>
      </c>
      <c r="C6145" s="84">
        <f>'Issues &amp; Punch List'!Q111</f>
        <v/>
      </c>
      <c r="D6145" s="46">
        <f>'Issues &amp; Punch List'!R111</f>
        <v/>
      </c>
      <c r="E6145" s="46">
        <f>IF(OR(B6145="",C6145="",D6145=""),"",D6145*100000+(C6145-DATE(2000,1,1))+ROW()/100000)</f>
        <v/>
      </c>
      <c r="F6145" s="46">
        <f>IF(E6145="","",IF(C6145&gt;WeekEndDate,"",E6145))</f>
        <v/>
      </c>
    </row>
    <row r="6146">
      <c r="A6146" t="inlineStr">
        <is>
          <t>Issues &amp; Punch List</t>
        </is>
      </c>
      <c r="B6146" s="46">
        <f>'Issues &amp; Punch List'!S112</f>
        <v/>
      </c>
      <c r="C6146" s="84">
        <f>'Issues &amp; Punch List'!Q112</f>
        <v/>
      </c>
      <c r="D6146" s="46">
        <f>'Issues &amp; Punch List'!R112</f>
        <v/>
      </c>
      <c r="E6146" s="46">
        <f>IF(OR(B6146="",C6146="",D6146=""),"",D6146*100000+(C6146-DATE(2000,1,1))+ROW()/100000)</f>
        <v/>
      </c>
      <c r="F6146" s="46">
        <f>IF(E6146="","",IF(C6146&gt;WeekEndDate,"",E6146))</f>
        <v/>
      </c>
    </row>
    <row r="6147">
      <c r="A6147" t="inlineStr">
        <is>
          <t>Issues &amp; Punch List</t>
        </is>
      </c>
      <c r="B6147" s="46">
        <f>'Issues &amp; Punch List'!S113</f>
        <v/>
      </c>
      <c r="C6147" s="84">
        <f>'Issues &amp; Punch List'!Q113</f>
        <v/>
      </c>
      <c r="D6147" s="46">
        <f>'Issues &amp; Punch List'!R113</f>
        <v/>
      </c>
      <c r="E6147" s="46">
        <f>IF(OR(B6147="",C6147="",D6147=""),"",D6147*100000+(C6147-DATE(2000,1,1))+ROW()/100000)</f>
        <v/>
      </c>
      <c r="F6147" s="46">
        <f>IF(E6147="","",IF(C6147&gt;WeekEndDate,"",E6147))</f>
        <v/>
      </c>
    </row>
    <row r="6148">
      <c r="A6148" t="inlineStr">
        <is>
          <t>Issues &amp; Punch List</t>
        </is>
      </c>
      <c r="B6148" s="46">
        <f>'Issues &amp; Punch List'!S114</f>
        <v/>
      </c>
      <c r="C6148" s="84">
        <f>'Issues &amp; Punch List'!Q114</f>
        <v/>
      </c>
      <c r="D6148" s="46">
        <f>'Issues &amp; Punch List'!R114</f>
        <v/>
      </c>
      <c r="E6148" s="46">
        <f>IF(OR(B6148="",C6148="",D6148=""),"",D6148*100000+(C6148-DATE(2000,1,1))+ROW()/100000)</f>
        <v/>
      </c>
      <c r="F6148" s="46">
        <f>IF(E6148="","",IF(C6148&gt;WeekEndDate,"",E6148))</f>
        <v/>
      </c>
    </row>
    <row r="6149">
      <c r="A6149" t="inlineStr">
        <is>
          <t>Issues &amp; Punch List</t>
        </is>
      </c>
      <c r="B6149" s="46">
        <f>'Issues &amp; Punch List'!S115</f>
        <v/>
      </c>
      <c r="C6149" s="84">
        <f>'Issues &amp; Punch List'!Q115</f>
        <v/>
      </c>
      <c r="D6149" s="46">
        <f>'Issues &amp; Punch List'!R115</f>
        <v/>
      </c>
      <c r="E6149" s="46">
        <f>IF(OR(B6149="",C6149="",D6149=""),"",D6149*100000+(C6149-DATE(2000,1,1))+ROW()/100000)</f>
        <v/>
      </c>
      <c r="F6149" s="46">
        <f>IF(E6149="","",IF(C6149&gt;WeekEndDate,"",E6149))</f>
        <v/>
      </c>
    </row>
    <row r="6150">
      <c r="A6150" t="inlineStr">
        <is>
          <t>Issues &amp; Punch List</t>
        </is>
      </c>
      <c r="B6150" s="46">
        <f>'Issues &amp; Punch List'!S116</f>
        <v/>
      </c>
      <c r="C6150" s="84">
        <f>'Issues &amp; Punch List'!Q116</f>
        <v/>
      </c>
      <c r="D6150" s="46">
        <f>'Issues &amp; Punch List'!R116</f>
        <v/>
      </c>
      <c r="E6150" s="46">
        <f>IF(OR(B6150="",C6150="",D6150=""),"",D6150*100000+(C6150-DATE(2000,1,1))+ROW()/100000)</f>
        <v/>
      </c>
      <c r="F6150" s="46">
        <f>IF(E6150="","",IF(C6150&gt;WeekEndDate,"",E6150))</f>
        <v/>
      </c>
    </row>
    <row r="6151">
      <c r="A6151" t="inlineStr">
        <is>
          <t>Issues &amp; Punch List</t>
        </is>
      </c>
      <c r="B6151" s="46">
        <f>'Issues &amp; Punch List'!S117</f>
        <v/>
      </c>
      <c r="C6151" s="84">
        <f>'Issues &amp; Punch List'!Q117</f>
        <v/>
      </c>
      <c r="D6151" s="46">
        <f>'Issues &amp; Punch List'!R117</f>
        <v/>
      </c>
      <c r="E6151" s="46">
        <f>IF(OR(B6151="",C6151="",D6151=""),"",D6151*100000+(C6151-DATE(2000,1,1))+ROW()/100000)</f>
        <v/>
      </c>
      <c r="F6151" s="46">
        <f>IF(E6151="","",IF(C6151&gt;WeekEndDate,"",E6151))</f>
        <v/>
      </c>
    </row>
    <row r="6152">
      <c r="A6152" t="inlineStr">
        <is>
          <t>Issues &amp; Punch List</t>
        </is>
      </c>
      <c r="B6152" s="46">
        <f>'Issues &amp; Punch List'!S118</f>
        <v/>
      </c>
      <c r="C6152" s="84">
        <f>'Issues &amp; Punch List'!Q118</f>
        <v/>
      </c>
      <c r="D6152" s="46">
        <f>'Issues &amp; Punch List'!R118</f>
        <v/>
      </c>
      <c r="E6152" s="46">
        <f>IF(OR(B6152="",C6152="",D6152=""),"",D6152*100000+(C6152-DATE(2000,1,1))+ROW()/100000)</f>
        <v/>
      </c>
      <c r="F6152" s="46">
        <f>IF(E6152="","",IF(C6152&gt;WeekEndDate,"",E6152))</f>
        <v/>
      </c>
    </row>
    <row r="6153">
      <c r="A6153" t="inlineStr">
        <is>
          <t>Issues &amp; Punch List</t>
        </is>
      </c>
      <c r="B6153" s="46">
        <f>'Issues &amp; Punch List'!S119</f>
        <v/>
      </c>
      <c r="C6153" s="84">
        <f>'Issues &amp; Punch List'!Q119</f>
        <v/>
      </c>
      <c r="D6153" s="46">
        <f>'Issues &amp; Punch List'!R119</f>
        <v/>
      </c>
      <c r="E6153" s="46">
        <f>IF(OR(B6153="",C6153="",D6153=""),"",D6153*100000+(C6153-DATE(2000,1,1))+ROW()/100000)</f>
        <v/>
      </c>
      <c r="F6153" s="46">
        <f>IF(E6153="","",IF(C6153&gt;WeekEndDate,"",E6153))</f>
        <v/>
      </c>
    </row>
    <row r="6154">
      <c r="A6154" t="inlineStr">
        <is>
          <t>Issues &amp; Punch List</t>
        </is>
      </c>
      <c r="B6154" s="46">
        <f>'Issues &amp; Punch List'!S120</f>
        <v/>
      </c>
      <c r="C6154" s="84">
        <f>'Issues &amp; Punch List'!Q120</f>
        <v/>
      </c>
      <c r="D6154" s="46">
        <f>'Issues &amp; Punch List'!R120</f>
        <v/>
      </c>
      <c r="E6154" s="46">
        <f>IF(OR(B6154="",C6154="",D6154=""),"",D6154*100000+(C6154-DATE(2000,1,1))+ROW()/100000)</f>
        <v/>
      </c>
      <c r="F6154" s="46">
        <f>IF(E6154="","",IF(C6154&gt;WeekEndDate,"",E6154))</f>
        <v/>
      </c>
    </row>
    <row r="6155">
      <c r="A6155" t="inlineStr">
        <is>
          <t>Issues &amp; Punch List</t>
        </is>
      </c>
      <c r="B6155" s="46">
        <f>'Issues &amp; Punch List'!S121</f>
        <v/>
      </c>
      <c r="C6155" s="84">
        <f>'Issues &amp; Punch List'!Q121</f>
        <v/>
      </c>
      <c r="D6155" s="46">
        <f>'Issues &amp; Punch List'!R121</f>
        <v/>
      </c>
      <c r="E6155" s="46">
        <f>IF(OR(B6155="",C6155="",D6155=""),"",D6155*100000+(C6155-DATE(2000,1,1))+ROW()/100000)</f>
        <v/>
      </c>
      <c r="F6155" s="46">
        <f>IF(E6155="","",IF(C6155&gt;WeekEndDate,"",E6155))</f>
        <v/>
      </c>
    </row>
    <row r="6156">
      <c r="A6156" t="inlineStr">
        <is>
          <t>Issues &amp; Punch List</t>
        </is>
      </c>
      <c r="B6156" s="46">
        <f>'Issues &amp; Punch List'!S122</f>
        <v/>
      </c>
      <c r="C6156" s="84">
        <f>'Issues &amp; Punch List'!Q122</f>
        <v/>
      </c>
      <c r="D6156" s="46">
        <f>'Issues &amp; Punch List'!R122</f>
        <v/>
      </c>
      <c r="E6156" s="46">
        <f>IF(OR(B6156="",C6156="",D6156=""),"",D6156*100000+(C6156-DATE(2000,1,1))+ROW()/100000)</f>
        <v/>
      </c>
      <c r="F6156" s="46">
        <f>IF(E6156="","",IF(C6156&gt;WeekEndDate,"",E6156))</f>
        <v/>
      </c>
    </row>
    <row r="6157">
      <c r="A6157" t="inlineStr">
        <is>
          <t>Issues &amp; Punch List</t>
        </is>
      </c>
      <c r="B6157" s="46">
        <f>'Issues &amp; Punch List'!S123</f>
        <v/>
      </c>
      <c r="C6157" s="84">
        <f>'Issues &amp; Punch List'!Q123</f>
        <v/>
      </c>
      <c r="D6157" s="46">
        <f>'Issues &amp; Punch List'!R123</f>
        <v/>
      </c>
      <c r="E6157" s="46">
        <f>IF(OR(B6157="",C6157="",D6157=""),"",D6157*100000+(C6157-DATE(2000,1,1))+ROW()/100000)</f>
        <v/>
      </c>
      <c r="F6157" s="46">
        <f>IF(E6157="","",IF(C6157&gt;WeekEndDate,"",E6157))</f>
        <v/>
      </c>
    </row>
    <row r="6158">
      <c r="A6158" t="inlineStr">
        <is>
          <t>Issues &amp; Punch List</t>
        </is>
      </c>
      <c r="B6158" s="46">
        <f>'Issues &amp; Punch List'!S124</f>
        <v/>
      </c>
      <c r="C6158" s="84">
        <f>'Issues &amp; Punch List'!Q124</f>
        <v/>
      </c>
      <c r="D6158" s="46">
        <f>'Issues &amp; Punch List'!R124</f>
        <v/>
      </c>
      <c r="E6158" s="46">
        <f>IF(OR(B6158="",C6158="",D6158=""),"",D6158*100000+(C6158-DATE(2000,1,1))+ROW()/100000)</f>
        <v/>
      </c>
      <c r="F6158" s="46">
        <f>IF(E6158="","",IF(C6158&gt;WeekEndDate,"",E6158))</f>
        <v/>
      </c>
    </row>
    <row r="6159">
      <c r="A6159" t="inlineStr">
        <is>
          <t>Issues &amp; Punch List</t>
        </is>
      </c>
      <c r="B6159" s="46">
        <f>'Issues &amp; Punch List'!S125</f>
        <v/>
      </c>
      <c r="C6159" s="84">
        <f>'Issues &amp; Punch List'!Q125</f>
        <v/>
      </c>
      <c r="D6159" s="46">
        <f>'Issues &amp; Punch List'!R125</f>
        <v/>
      </c>
      <c r="E6159" s="46">
        <f>IF(OR(B6159="",C6159="",D6159=""),"",D6159*100000+(C6159-DATE(2000,1,1))+ROW()/100000)</f>
        <v/>
      </c>
      <c r="F6159" s="46">
        <f>IF(E6159="","",IF(C6159&gt;WeekEndDate,"",E6159))</f>
        <v/>
      </c>
    </row>
    <row r="6160">
      <c r="A6160" t="inlineStr">
        <is>
          <t>Issues &amp; Punch List</t>
        </is>
      </c>
      <c r="B6160" s="46">
        <f>'Issues &amp; Punch List'!S126</f>
        <v/>
      </c>
      <c r="C6160" s="84">
        <f>'Issues &amp; Punch List'!Q126</f>
        <v/>
      </c>
      <c r="D6160" s="46">
        <f>'Issues &amp; Punch List'!R126</f>
        <v/>
      </c>
      <c r="E6160" s="46">
        <f>IF(OR(B6160="",C6160="",D6160=""),"",D6160*100000+(C6160-DATE(2000,1,1))+ROW()/100000)</f>
        <v/>
      </c>
      <c r="F6160" s="46">
        <f>IF(E6160="","",IF(C6160&gt;WeekEndDate,"",E6160))</f>
        <v/>
      </c>
    </row>
    <row r="6161">
      <c r="A6161" t="inlineStr">
        <is>
          <t>Issues &amp; Punch List</t>
        </is>
      </c>
      <c r="B6161" s="46">
        <f>'Issues &amp; Punch List'!S127</f>
        <v/>
      </c>
      <c r="C6161" s="84">
        <f>'Issues &amp; Punch List'!Q127</f>
        <v/>
      </c>
      <c r="D6161" s="46">
        <f>'Issues &amp; Punch List'!R127</f>
        <v/>
      </c>
      <c r="E6161" s="46">
        <f>IF(OR(B6161="",C6161="",D6161=""),"",D6161*100000+(C6161-DATE(2000,1,1))+ROW()/100000)</f>
        <v/>
      </c>
      <c r="F6161" s="46">
        <f>IF(E6161="","",IF(C6161&gt;WeekEndDate,"",E6161))</f>
        <v/>
      </c>
    </row>
    <row r="6162">
      <c r="A6162" t="inlineStr">
        <is>
          <t>Issues &amp; Punch List</t>
        </is>
      </c>
      <c r="B6162" s="46">
        <f>'Issues &amp; Punch List'!S128</f>
        <v/>
      </c>
      <c r="C6162" s="84">
        <f>'Issues &amp; Punch List'!Q128</f>
        <v/>
      </c>
      <c r="D6162" s="46">
        <f>'Issues &amp; Punch List'!R128</f>
        <v/>
      </c>
      <c r="E6162" s="46">
        <f>IF(OR(B6162="",C6162="",D6162=""),"",D6162*100000+(C6162-DATE(2000,1,1))+ROW()/100000)</f>
        <v/>
      </c>
      <c r="F6162" s="46">
        <f>IF(E6162="","",IF(C6162&gt;WeekEndDate,"",E6162))</f>
        <v/>
      </c>
    </row>
    <row r="6163">
      <c r="A6163" t="inlineStr">
        <is>
          <t>Issues &amp; Punch List</t>
        </is>
      </c>
      <c r="B6163" s="46">
        <f>'Issues &amp; Punch List'!S129</f>
        <v/>
      </c>
      <c r="C6163" s="84">
        <f>'Issues &amp; Punch List'!Q129</f>
        <v/>
      </c>
      <c r="D6163" s="46">
        <f>'Issues &amp; Punch List'!R129</f>
        <v/>
      </c>
      <c r="E6163" s="46">
        <f>IF(OR(B6163="",C6163="",D6163=""),"",D6163*100000+(C6163-DATE(2000,1,1))+ROW()/100000)</f>
        <v/>
      </c>
      <c r="F6163" s="46">
        <f>IF(E6163="","",IF(C6163&gt;WeekEndDate,"",E6163))</f>
        <v/>
      </c>
    </row>
    <row r="6164">
      <c r="A6164" t="inlineStr">
        <is>
          <t>Issues &amp; Punch List</t>
        </is>
      </c>
      <c r="B6164" s="46">
        <f>'Issues &amp; Punch List'!S130</f>
        <v/>
      </c>
      <c r="C6164" s="84">
        <f>'Issues &amp; Punch List'!Q130</f>
        <v/>
      </c>
      <c r="D6164" s="46">
        <f>'Issues &amp; Punch List'!R130</f>
        <v/>
      </c>
      <c r="E6164" s="46">
        <f>IF(OR(B6164="",C6164="",D6164=""),"",D6164*100000+(C6164-DATE(2000,1,1))+ROW()/100000)</f>
        <v/>
      </c>
      <c r="F6164" s="46">
        <f>IF(E6164="","",IF(C6164&gt;WeekEndDate,"",E6164))</f>
        <v/>
      </c>
    </row>
    <row r="6165">
      <c r="A6165" t="inlineStr">
        <is>
          <t>Issues &amp; Punch List</t>
        </is>
      </c>
      <c r="B6165" s="46">
        <f>'Issues &amp; Punch List'!S131</f>
        <v/>
      </c>
      <c r="C6165" s="84">
        <f>'Issues &amp; Punch List'!Q131</f>
        <v/>
      </c>
      <c r="D6165" s="46">
        <f>'Issues &amp; Punch List'!R131</f>
        <v/>
      </c>
      <c r="E6165" s="46">
        <f>IF(OR(B6165="",C6165="",D6165=""),"",D6165*100000+(C6165-DATE(2000,1,1))+ROW()/100000)</f>
        <v/>
      </c>
      <c r="F6165" s="46">
        <f>IF(E6165="","",IF(C6165&gt;WeekEndDate,"",E6165))</f>
        <v/>
      </c>
    </row>
    <row r="6166">
      <c r="A6166" t="inlineStr">
        <is>
          <t>Issues &amp; Punch List</t>
        </is>
      </c>
      <c r="B6166" s="46">
        <f>'Issues &amp; Punch List'!S132</f>
        <v/>
      </c>
      <c r="C6166" s="84">
        <f>'Issues &amp; Punch List'!Q132</f>
        <v/>
      </c>
      <c r="D6166" s="46">
        <f>'Issues &amp; Punch List'!R132</f>
        <v/>
      </c>
      <c r="E6166" s="46">
        <f>IF(OR(B6166="",C6166="",D6166=""),"",D6166*100000+(C6166-DATE(2000,1,1))+ROW()/100000)</f>
        <v/>
      </c>
      <c r="F6166" s="46">
        <f>IF(E6166="","",IF(C6166&gt;WeekEndDate,"",E6166))</f>
        <v/>
      </c>
    </row>
    <row r="6167">
      <c r="A6167" t="inlineStr">
        <is>
          <t>Issues &amp; Punch List</t>
        </is>
      </c>
      <c r="B6167" s="46">
        <f>'Issues &amp; Punch List'!S133</f>
        <v/>
      </c>
      <c r="C6167" s="84">
        <f>'Issues &amp; Punch List'!Q133</f>
        <v/>
      </c>
      <c r="D6167" s="46">
        <f>'Issues &amp; Punch List'!R133</f>
        <v/>
      </c>
      <c r="E6167" s="46">
        <f>IF(OR(B6167="",C6167="",D6167=""),"",D6167*100000+(C6167-DATE(2000,1,1))+ROW()/100000)</f>
        <v/>
      </c>
      <c r="F6167" s="46">
        <f>IF(E6167="","",IF(C6167&gt;WeekEndDate,"",E6167))</f>
        <v/>
      </c>
    </row>
    <row r="6168">
      <c r="A6168" t="inlineStr">
        <is>
          <t>Issues &amp; Punch List</t>
        </is>
      </c>
      <c r="B6168" s="46">
        <f>'Issues &amp; Punch List'!S134</f>
        <v/>
      </c>
      <c r="C6168" s="84">
        <f>'Issues &amp; Punch List'!Q134</f>
        <v/>
      </c>
      <c r="D6168" s="46">
        <f>'Issues &amp; Punch List'!R134</f>
        <v/>
      </c>
      <c r="E6168" s="46">
        <f>IF(OR(B6168="",C6168="",D6168=""),"",D6168*100000+(C6168-DATE(2000,1,1))+ROW()/100000)</f>
        <v/>
      </c>
      <c r="F6168" s="46">
        <f>IF(E6168="","",IF(C6168&gt;WeekEndDate,"",E6168))</f>
        <v/>
      </c>
    </row>
    <row r="6169">
      <c r="A6169" t="inlineStr">
        <is>
          <t>Issues &amp; Punch List</t>
        </is>
      </c>
      <c r="B6169" s="46">
        <f>'Issues &amp; Punch List'!S135</f>
        <v/>
      </c>
      <c r="C6169" s="84">
        <f>'Issues &amp; Punch List'!Q135</f>
        <v/>
      </c>
      <c r="D6169" s="46">
        <f>'Issues &amp; Punch List'!R135</f>
        <v/>
      </c>
      <c r="E6169" s="46">
        <f>IF(OR(B6169="",C6169="",D6169=""),"",D6169*100000+(C6169-DATE(2000,1,1))+ROW()/100000)</f>
        <v/>
      </c>
      <c r="F6169" s="46">
        <f>IF(E6169="","",IF(C6169&gt;WeekEndDate,"",E6169))</f>
        <v/>
      </c>
    </row>
    <row r="6170">
      <c r="A6170" t="inlineStr">
        <is>
          <t>Issues &amp; Punch List</t>
        </is>
      </c>
      <c r="B6170" s="46">
        <f>'Issues &amp; Punch List'!S136</f>
        <v/>
      </c>
      <c r="C6170" s="84">
        <f>'Issues &amp; Punch List'!Q136</f>
        <v/>
      </c>
      <c r="D6170" s="46">
        <f>'Issues &amp; Punch List'!R136</f>
        <v/>
      </c>
      <c r="E6170" s="46">
        <f>IF(OR(B6170="",C6170="",D6170=""),"",D6170*100000+(C6170-DATE(2000,1,1))+ROW()/100000)</f>
        <v/>
      </c>
      <c r="F6170" s="46">
        <f>IF(E6170="","",IF(C6170&gt;WeekEndDate,"",E6170))</f>
        <v/>
      </c>
    </row>
    <row r="6171">
      <c r="A6171" t="inlineStr">
        <is>
          <t>Issues &amp; Punch List</t>
        </is>
      </c>
      <c r="B6171" s="46">
        <f>'Issues &amp; Punch List'!S137</f>
        <v/>
      </c>
      <c r="C6171" s="84">
        <f>'Issues &amp; Punch List'!Q137</f>
        <v/>
      </c>
      <c r="D6171" s="46">
        <f>'Issues &amp; Punch List'!R137</f>
        <v/>
      </c>
      <c r="E6171" s="46">
        <f>IF(OR(B6171="",C6171="",D6171=""),"",D6171*100000+(C6171-DATE(2000,1,1))+ROW()/100000)</f>
        <v/>
      </c>
      <c r="F6171" s="46">
        <f>IF(E6171="","",IF(C6171&gt;WeekEndDate,"",E6171))</f>
        <v/>
      </c>
    </row>
    <row r="6172">
      <c r="A6172" t="inlineStr">
        <is>
          <t>Issues &amp; Punch List</t>
        </is>
      </c>
      <c r="B6172" s="46">
        <f>'Issues &amp; Punch List'!S138</f>
        <v/>
      </c>
      <c r="C6172" s="84">
        <f>'Issues &amp; Punch List'!Q138</f>
        <v/>
      </c>
      <c r="D6172" s="46">
        <f>'Issues &amp; Punch List'!R138</f>
        <v/>
      </c>
      <c r="E6172" s="46">
        <f>IF(OR(B6172="",C6172="",D6172=""),"",D6172*100000+(C6172-DATE(2000,1,1))+ROW()/100000)</f>
        <v/>
      </c>
      <c r="F6172" s="46">
        <f>IF(E6172="","",IF(C6172&gt;WeekEndDate,"",E6172))</f>
        <v/>
      </c>
    </row>
    <row r="6173">
      <c r="A6173" t="inlineStr">
        <is>
          <t>Issues &amp; Punch List</t>
        </is>
      </c>
      <c r="B6173" s="46">
        <f>'Issues &amp; Punch List'!S139</f>
        <v/>
      </c>
      <c r="C6173" s="84">
        <f>'Issues &amp; Punch List'!Q139</f>
        <v/>
      </c>
      <c r="D6173" s="46">
        <f>'Issues &amp; Punch List'!R139</f>
        <v/>
      </c>
      <c r="E6173" s="46">
        <f>IF(OR(B6173="",C6173="",D6173=""),"",D6173*100000+(C6173-DATE(2000,1,1))+ROW()/100000)</f>
        <v/>
      </c>
      <c r="F6173" s="46">
        <f>IF(E6173="","",IF(C6173&gt;WeekEndDate,"",E6173))</f>
        <v/>
      </c>
    </row>
    <row r="6174">
      <c r="A6174" t="inlineStr">
        <is>
          <t>Issues &amp; Punch List</t>
        </is>
      </c>
      <c r="B6174" s="46">
        <f>'Issues &amp; Punch List'!S140</f>
        <v/>
      </c>
      <c r="C6174" s="84">
        <f>'Issues &amp; Punch List'!Q140</f>
        <v/>
      </c>
      <c r="D6174" s="46">
        <f>'Issues &amp; Punch List'!R140</f>
        <v/>
      </c>
      <c r="E6174" s="46">
        <f>IF(OR(B6174="",C6174="",D6174=""),"",D6174*100000+(C6174-DATE(2000,1,1))+ROW()/100000)</f>
        <v/>
      </c>
      <c r="F6174" s="46">
        <f>IF(E6174="","",IF(C6174&gt;WeekEndDate,"",E6174))</f>
        <v/>
      </c>
    </row>
    <row r="6175">
      <c r="A6175" t="inlineStr">
        <is>
          <t>Issues &amp; Punch List</t>
        </is>
      </c>
      <c r="B6175" s="46">
        <f>'Issues &amp; Punch List'!S141</f>
        <v/>
      </c>
      <c r="C6175" s="84">
        <f>'Issues &amp; Punch List'!Q141</f>
        <v/>
      </c>
      <c r="D6175" s="46">
        <f>'Issues &amp; Punch List'!R141</f>
        <v/>
      </c>
      <c r="E6175" s="46">
        <f>IF(OR(B6175="",C6175="",D6175=""),"",D6175*100000+(C6175-DATE(2000,1,1))+ROW()/100000)</f>
        <v/>
      </c>
      <c r="F6175" s="46">
        <f>IF(E6175="","",IF(C6175&gt;WeekEndDate,"",E6175))</f>
        <v/>
      </c>
    </row>
    <row r="6176">
      <c r="A6176" t="inlineStr">
        <is>
          <t>Issues &amp; Punch List</t>
        </is>
      </c>
      <c r="B6176" s="46">
        <f>'Issues &amp; Punch List'!S142</f>
        <v/>
      </c>
      <c r="C6176" s="84">
        <f>'Issues &amp; Punch List'!Q142</f>
        <v/>
      </c>
      <c r="D6176" s="46">
        <f>'Issues &amp; Punch List'!R142</f>
        <v/>
      </c>
      <c r="E6176" s="46">
        <f>IF(OR(B6176="",C6176="",D6176=""),"",D6176*100000+(C6176-DATE(2000,1,1))+ROW()/100000)</f>
        <v/>
      </c>
      <c r="F6176" s="46">
        <f>IF(E6176="","",IF(C6176&gt;WeekEndDate,"",E6176))</f>
        <v/>
      </c>
    </row>
    <row r="6177">
      <c r="A6177" t="inlineStr">
        <is>
          <t>Issues &amp; Punch List</t>
        </is>
      </c>
      <c r="B6177" s="46">
        <f>'Issues &amp; Punch List'!S143</f>
        <v/>
      </c>
      <c r="C6177" s="84">
        <f>'Issues &amp; Punch List'!Q143</f>
        <v/>
      </c>
      <c r="D6177" s="46">
        <f>'Issues &amp; Punch List'!R143</f>
        <v/>
      </c>
      <c r="E6177" s="46">
        <f>IF(OR(B6177="",C6177="",D6177=""),"",D6177*100000+(C6177-DATE(2000,1,1))+ROW()/100000)</f>
        <v/>
      </c>
      <c r="F6177" s="46">
        <f>IF(E6177="","",IF(C6177&gt;WeekEndDate,"",E6177))</f>
        <v/>
      </c>
    </row>
    <row r="6178">
      <c r="A6178" t="inlineStr">
        <is>
          <t>Issues &amp; Punch List</t>
        </is>
      </c>
      <c r="B6178" s="46">
        <f>'Issues &amp; Punch List'!S144</f>
        <v/>
      </c>
      <c r="C6178" s="84">
        <f>'Issues &amp; Punch List'!Q144</f>
        <v/>
      </c>
      <c r="D6178" s="46">
        <f>'Issues &amp; Punch List'!R144</f>
        <v/>
      </c>
      <c r="E6178" s="46">
        <f>IF(OR(B6178="",C6178="",D6178=""),"",D6178*100000+(C6178-DATE(2000,1,1))+ROW()/100000)</f>
        <v/>
      </c>
      <c r="F6178" s="46">
        <f>IF(E6178="","",IF(C6178&gt;WeekEndDate,"",E6178))</f>
        <v/>
      </c>
    </row>
    <row r="6179">
      <c r="A6179" t="inlineStr">
        <is>
          <t>Issues &amp; Punch List</t>
        </is>
      </c>
      <c r="B6179" s="46">
        <f>'Issues &amp; Punch List'!S145</f>
        <v/>
      </c>
      <c r="C6179" s="84">
        <f>'Issues &amp; Punch List'!Q145</f>
        <v/>
      </c>
      <c r="D6179" s="46">
        <f>'Issues &amp; Punch List'!R145</f>
        <v/>
      </c>
      <c r="E6179" s="46">
        <f>IF(OR(B6179="",C6179="",D6179=""),"",D6179*100000+(C6179-DATE(2000,1,1))+ROW()/100000)</f>
        <v/>
      </c>
      <c r="F6179" s="46">
        <f>IF(E6179="","",IF(C6179&gt;WeekEndDate,"",E6179))</f>
        <v/>
      </c>
    </row>
    <row r="6180">
      <c r="A6180" t="inlineStr">
        <is>
          <t>Issues &amp; Punch List</t>
        </is>
      </c>
      <c r="B6180" s="46">
        <f>'Issues &amp; Punch List'!S146</f>
        <v/>
      </c>
      <c r="C6180" s="84">
        <f>'Issues &amp; Punch List'!Q146</f>
        <v/>
      </c>
      <c r="D6180" s="46">
        <f>'Issues &amp; Punch List'!R146</f>
        <v/>
      </c>
      <c r="E6180" s="46">
        <f>IF(OR(B6180="",C6180="",D6180=""),"",D6180*100000+(C6180-DATE(2000,1,1))+ROW()/100000)</f>
        <v/>
      </c>
      <c r="F6180" s="46">
        <f>IF(E6180="","",IF(C6180&gt;WeekEndDate,"",E6180))</f>
        <v/>
      </c>
    </row>
    <row r="6181">
      <c r="A6181" t="inlineStr">
        <is>
          <t>Issues &amp; Punch List</t>
        </is>
      </c>
      <c r="B6181" s="46">
        <f>'Issues &amp; Punch List'!S147</f>
        <v/>
      </c>
      <c r="C6181" s="84">
        <f>'Issues &amp; Punch List'!Q147</f>
        <v/>
      </c>
      <c r="D6181" s="46">
        <f>'Issues &amp; Punch List'!R147</f>
        <v/>
      </c>
      <c r="E6181" s="46">
        <f>IF(OR(B6181="",C6181="",D6181=""),"",D6181*100000+(C6181-DATE(2000,1,1))+ROW()/100000)</f>
        <v/>
      </c>
      <c r="F6181" s="46">
        <f>IF(E6181="","",IF(C6181&gt;WeekEndDate,"",E6181))</f>
        <v/>
      </c>
    </row>
    <row r="6182">
      <c r="A6182" t="inlineStr">
        <is>
          <t>Issues &amp; Punch List</t>
        </is>
      </c>
      <c r="B6182" s="46">
        <f>'Issues &amp; Punch List'!S148</f>
        <v/>
      </c>
      <c r="C6182" s="84">
        <f>'Issues &amp; Punch List'!Q148</f>
        <v/>
      </c>
      <c r="D6182" s="46">
        <f>'Issues &amp; Punch List'!R148</f>
        <v/>
      </c>
      <c r="E6182" s="46">
        <f>IF(OR(B6182="",C6182="",D6182=""),"",D6182*100000+(C6182-DATE(2000,1,1))+ROW()/100000)</f>
        <v/>
      </c>
      <c r="F6182" s="46">
        <f>IF(E6182="","",IF(C6182&gt;WeekEndDate,"",E6182))</f>
        <v/>
      </c>
    </row>
    <row r="6183">
      <c r="A6183" t="inlineStr">
        <is>
          <t>Issues &amp; Punch List</t>
        </is>
      </c>
      <c r="B6183" s="46">
        <f>'Issues &amp; Punch List'!S149</f>
        <v/>
      </c>
      <c r="C6183" s="84">
        <f>'Issues &amp; Punch List'!Q149</f>
        <v/>
      </c>
      <c r="D6183" s="46">
        <f>'Issues &amp; Punch List'!R149</f>
        <v/>
      </c>
      <c r="E6183" s="46">
        <f>IF(OR(B6183="",C6183="",D6183=""),"",D6183*100000+(C6183-DATE(2000,1,1))+ROW()/100000)</f>
        <v/>
      </c>
      <c r="F6183" s="46">
        <f>IF(E6183="","",IF(C6183&gt;WeekEndDate,"",E6183))</f>
        <v/>
      </c>
    </row>
    <row r="6184">
      <c r="A6184" t="inlineStr">
        <is>
          <t>Issues &amp; Punch List</t>
        </is>
      </c>
      <c r="B6184" s="46">
        <f>'Issues &amp; Punch List'!S150</f>
        <v/>
      </c>
      <c r="C6184" s="84">
        <f>'Issues &amp; Punch List'!Q150</f>
        <v/>
      </c>
      <c r="D6184" s="46">
        <f>'Issues &amp; Punch List'!R150</f>
        <v/>
      </c>
      <c r="E6184" s="46">
        <f>IF(OR(B6184="",C6184="",D6184=""),"",D6184*100000+(C6184-DATE(2000,1,1))+ROW()/100000)</f>
        <v/>
      </c>
      <c r="F6184" s="46">
        <f>IF(E6184="","",IF(C6184&gt;WeekEndDate,"",E6184))</f>
        <v/>
      </c>
    </row>
    <row r="6185">
      <c r="A6185" t="inlineStr">
        <is>
          <t>Issues &amp; Punch List</t>
        </is>
      </c>
      <c r="B6185" s="46">
        <f>'Issues &amp; Punch List'!S151</f>
        <v/>
      </c>
      <c r="C6185" s="84">
        <f>'Issues &amp; Punch List'!Q151</f>
        <v/>
      </c>
      <c r="D6185" s="46">
        <f>'Issues &amp; Punch List'!R151</f>
        <v/>
      </c>
      <c r="E6185" s="46">
        <f>IF(OR(B6185="",C6185="",D6185=""),"",D6185*100000+(C6185-DATE(2000,1,1))+ROW()/100000)</f>
        <v/>
      </c>
      <c r="F6185" s="46">
        <f>IF(E6185="","",IF(C6185&gt;WeekEndDate,"",E6185))</f>
        <v/>
      </c>
    </row>
    <row r="6186">
      <c r="A6186" t="inlineStr">
        <is>
          <t>Issues &amp; Punch List</t>
        </is>
      </c>
      <c r="B6186" s="46">
        <f>'Issues &amp; Punch List'!S152</f>
        <v/>
      </c>
      <c r="C6186" s="84">
        <f>'Issues &amp; Punch List'!Q152</f>
        <v/>
      </c>
      <c r="D6186" s="46">
        <f>'Issues &amp; Punch List'!R152</f>
        <v/>
      </c>
      <c r="E6186" s="46">
        <f>IF(OR(B6186="",C6186="",D6186=""),"",D6186*100000+(C6186-DATE(2000,1,1))+ROW()/100000)</f>
        <v/>
      </c>
      <c r="F6186" s="46">
        <f>IF(E6186="","",IF(C6186&gt;WeekEndDate,"",E6186))</f>
        <v/>
      </c>
    </row>
    <row r="6187">
      <c r="A6187" t="inlineStr">
        <is>
          <t>Issues &amp; Punch List</t>
        </is>
      </c>
      <c r="B6187" s="46">
        <f>'Issues &amp; Punch List'!S153</f>
        <v/>
      </c>
      <c r="C6187" s="84">
        <f>'Issues &amp; Punch List'!Q153</f>
        <v/>
      </c>
      <c r="D6187" s="46">
        <f>'Issues &amp; Punch List'!R153</f>
        <v/>
      </c>
      <c r="E6187" s="46">
        <f>IF(OR(B6187="",C6187="",D6187=""),"",D6187*100000+(C6187-DATE(2000,1,1))+ROW()/100000)</f>
        <v/>
      </c>
      <c r="F6187" s="46">
        <f>IF(E6187="","",IF(C6187&gt;WeekEndDate,"",E6187))</f>
        <v/>
      </c>
    </row>
    <row r="6188">
      <c r="A6188" t="inlineStr">
        <is>
          <t>Issues &amp; Punch List</t>
        </is>
      </c>
      <c r="B6188" s="46">
        <f>'Issues &amp; Punch List'!S154</f>
        <v/>
      </c>
      <c r="C6188" s="84">
        <f>'Issues &amp; Punch List'!Q154</f>
        <v/>
      </c>
      <c r="D6188" s="46">
        <f>'Issues &amp; Punch List'!R154</f>
        <v/>
      </c>
      <c r="E6188" s="46">
        <f>IF(OR(B6188="",C6188="",D6188=""),"",D6188*100000+(C6188-DATE(2000,1,1))+ROW()/100000)</f>
        <v/>
      </c>
      <c r="F6188" s="46">
        <f>IF(E6188="","",IF(C6188&gt;WeekEndDate,"",E6188))</f>
        <v/>
      </c>
    </row>
    <row r="6189">
      <c r="A6189" t="inlineStr">
        <is>
          <t>Issues &amp; Punch List</t>
        </is>
      </c>
      <c r="B6189" s="46">
        <f>'Issues &amp; Punch List'!S155</f>
        <v/>
      </c>
      <c r="C6189" s="84">
        <f>'Issues &amp; Punch List'!Q155</f>
        <v/>
      </c>
      <c r="D6189" s="46">
        <f>'Issues &amp; Punch List'!R155</f>
        <v/>
      </c>
      <c r="E6189" s="46">
        <f>IF(OR(B6189="",C6189="",D6189=""),"",D6189*100000+(C6189-DATE(2000,1,1))+ROW()/100000)</f>
        <v/>
      </c>
      <c r="F6189" s="46">
        <f>IF(E6189="","",IF(C6189&gt;WeekEndDate,"",E6189))</f>
        <v/>
      </c>
    </row>
    <row r="6190">
      <c r="A6190" t="inlineStr">
        <is>
          <t>Issues &amp; Punch List</t>
        </is>
      </c>
      <c r="B6190" s="46">
        <f>'Issues &amp; Punch List'!S156</f>
        <v/>
      </c>
      <c r="C6190" s="84">
        <f>'Issues &amp; Punch List'!Q156</f>
        <v/>
      </c>
      <c r="D6190" s="46">
        <f>'Issues &amp; Punch List'!R156</f>
        <v/>
      </c>
      <c r="E6190" s="46">
        <f>IF(OR(B6190="",C6190="",D6190=""),"",D6190*100000+(C6190-DATE(2000,1,1))+ROW()/100000)</f>
        <v/>
      </c>
      <c r="F6190" s="46">
        <f>IF(E6190="","",IF(C6190&gt;WeekEndDate,"",E6190))</f>
        <v/>
      </c>
    </row>
    <row r="6191">
      <c r="A6191" t="inlineStr">
        <is>
          <t>Issues &amp; Punch List</t>
        </is>
      </c>
      <c r="B6191" s="46">
        <f>'Issues &amp; Punch List'!S157</f>
        <v/>
      </c>
      <c r="C6191" s="84">
        <f>'Issues &amp; Punch List'!Q157</f>
        <v/>
      </c>
      <c r="D6191" s="46">
        <f>'Issues &amp; Punch List'!R157</f>
        <v/>
      </c>
      <c r="E6191" s="46">
        <f>IF(OR(B6191="",C6191="",D6191=""),"",D6191*100000+(C6191-DATE(2000,1,1))+ROW()/100000)</f>
        <v/>
      </c>
      <c r="F6191" s="46">
        <f>IF(E6191="","",IF(C6191&gt;WeekEndDate,"",E6191))</f>
        <v/>
      </c>
    </row>
    <row r="6192">
      <c r="A6192" t="inlineStr">
        <is>
          <t>Issues &amp; Punch List</t>
        </is>
      </c>
      <c r="B6192" s="46">
        <f>'Issues &amp; Punch List'!S158</f>
        <v/>
      </c>
      <c r="C6192" s="84">
        <f>'Issues &amp; Punch List'!Q158</f>
        <v/>
      </c>
      <c r="D6192" s="46">
        <f>'Issues &amp; Punch List'!R158</f>
        <v/>
      </c>
      <c r="E6192" s="46">
        <f>IF(OR(B6192="",C6192="",D6192=""),"",D6192*100000+(C6192-DATE(2000,1,1))+ROW()/100000)</f>
        <v/>
      </c>
      <c r="F6192" s="46">
        <f>IF(E6192="","",IF(C6192&gt;WeekEndDate,"",E6192))</f>
        <v/>
      </c>
    </row>
    <row r="6193">
      <c r="A6193" t="inlineStr">
        <is>
          <t>Issues &amp; Punch List</t>
        </is>
      </c>
      <c r="B6193" s="46">
        <f>'Issues &amp; Punch List'!S159</f>
        <v/>
      </c>
      <c r="C6193" s="84">
        <f>'Issues &amp; Punch List'!Q159</f>
        <v/>
      </c>
      <c r="D6193" s="46">
        <f>'Issues &amp; Punch List'!R159</f>
        <v/>
      </c>
      <c r="E6193" s="46">
        <f>IF(OR(B6193="",C6193="",D6193=""),"",D6193*100000+(C6193-DATE(2000,1,1))+ROW()/100000)</f>
        <v/>
      </c>
      <c r="F6193" s="46">
        <f>IF(E6193="","",IF(C6193&gt;WeekEndDate,"",E6193))</f>
        <v/>
      </c>
    </row>
    <row r="6194">
      <c r="A6194" t="inlineStr">
        <is>
          <t>Issues &amp; Punch List</t>
        </is>
      </c>
      <c r="B6194" s="46">
        <f>'Issues &amp; Punch List'!S160</f>
        <v/>
      </c>
      <c r="C6194" s="84">
        <f>'Issues &amp; Punch List'!Q160</f>
        <v/>
      </c>
      <c r="D6194" s="46">
        <f>'Issues &amp; Punch List'!R160</f>
        <v/>
      </c>
      <c r="E6194" s="46">
        <f>IF(OR(B6194="",C6194="",D6194=""),"",D6194*100000+(C6194-DATE(2000,1,1))+ROW()/100000)</f>
        <v/>
      </c>
      <c r="F6194" s="46">
        <f>IF(E6194="","",IF(C6194&gt;WeekEndDate,"",E6194))</f>
        <v/>
      </c>
    </row>
    <row r="6195">
      <c r="A6195" t="inlineStr">
        <is>
          <t>Issues &amp; Punch List</t>
        </is>
      </c>
      <c r="B6195" s="46">
        <f>'Issues &amp; Punch List'!S161</f>
        <v/>
      </c>
      <c r="C6195" s="84">
        <f>'Issues &amp; Punch List'!Q161</f>
        <v/>
      </c>
      <c r="D6195" s="46">
        <f>'Issues &amp; Punch List'!R161</f>
        <v/>
      </c>
      <c r="E6195" s="46">
        <f>IF(OR(B6195="",C6195="",D6195=""),"",D6195*100000+(C6195-DATE(2000,1,1))+ROW()/100000)</f>
        <v/>
      </c>
      <c r="F6195" s="46">
        <f>IF(E6195="","",IF(C6195&gt;WeekEndDate,"",E6195))</f>
        <v/>
      </c>
    </row>
    <row r="6196">
      <c r="A6196" t="inlineStr">
        <is>
          <t>Issues &amp; Punch List</t>
        </is>
      </c>
      <c r="B6196" s="46">
        <f>'Issues &amp; Punch List'!S162</f>
        <v/>
      </c>
      <c r="C6196" s="84">
        <f>'Issues &amp; Punch List'!Q162</f>
        <v/>
      </c>
      <c r="D6196" s="46">
        <f>'Issues &amp; Punch List'!R162</f>
        <v/>
      </c>
      <c r="E6196" s="46">
        <f>IF(OR(B6196="",C6196="",D6196=""),"",D6196*100000+(C6196-DATE(2000,1,1))+ROW()/100000)</f>
        <v/>
      </c>
      <c r="F6196" s="46">
        <f>IF(E6196="","",IF(C6196&gt;WeekEndDate,"",E6196))</f>
        <v/>
      </c>
    </row>
    <row r="6197">
      <c r="A6197" t="inlineStr">
        <is>
          <t>Issues &amp; Punch List</t>
        </is>
      </c>
      <c r="B6197" s="46">
        <f>'Issues &amp; Punch List'!S163</f>
        <v/>
      </c>
      <c r="C6197" s="84">
        <f>'Issues &amp; Punch List'!Q163</f>
        <v/>
      </c>
      <c r="D6197" s="46">
        <f>'Issues &amp; Punch List'!R163</f>
        <v/>
      </c>
      <c r="E6197" s="46">
        <f>IF(OR(B6197="",C6197="",D6197=""),"",D6197*100000+(C6197-DATE(2000,1,1))+ROW()/100000)</f>
        <v/>
      </c>
      <c r="F6197" s="46">
        <f>IF(E6197="","",IF(C6197&gt;WeekEndDate,"",E6197))</f>
        <v/>
      </c>
    </row>
    <row r="6198">
      <c r="A6198" t="inlineStr">
        <is>
          <t>Issues &amp; Punch List</t>
        </is>
      </c>
      <c r="B6198" s="46">
        <f>'Issues &amp; Punch List'!S164</f>
        <v/>
      </c>
      <c r="C6198" s="84">
        <f>'Issues &amp; Punch List'!Q164</f>
        <v/>
      </c>
      <c r="D6198" s="46">
        <f>'Issues &amp; Punch List'!R164</f>
        <v/>
      </c>
      <c r="E6198" s="46">
        <f>IF(OR(B6198="",C6198="",D6198=""),"",D6198*100000+(C6198-DATE(2000,1,1))+ROW()/100000)</f>
        <v/>
      </c>
      <c r="F6198" s="46">
        <f>IF(E6198="","",IF(C6198&gt;WeekEndDate,"",E6198))</f>
        <v/>
      </c>
    </row>
    <row r="6199">
      <c r="A6199" t="inlineStr">
        <is>
          <t>Issues &amp; Punch List</t>
        </is>
      </c>
      <c r="B6199" s="46">
        <f>'Issues &amp; Punch List'!S165</f>
        <v/>
      </c>
      <c r="C6199" s="84">
        <f>'Issues &amp; Punch List'!Q165</f>
        <v/>
      </c>
      <c r="D6199" s="46">
        <f>'Issues &amp; Punch List'!R165</f>
        <v/>
      </c>
      <c r="E6199" s="46">
        <f>IF(OR(B6199="",C6199="",D6199=""),"",D6199*100000+(C6199-DATE(2000,1,1))+ROW()/100000)</f>
        <v/>
      </c>
      <c r="F6199" s="46">
        <f>IF(E6199="","",IF(C6199&gt;WeekEndDate,"",E6199))</f>
        <v/>
      </c>
    </row>
    <row r="6200">
      <c r="A6200" t="inlineStr">
        <is>
          <t>Issues &amp; Punch List</t>
        </is>
      </c>
      <c r="B6200" s="46">
        <f>'Issues &amp; Punch List'!S166</f>
        <v/>
      </c>
      <c r="C6200" s="84">
        <f>'Issues &amp; Punch List'!Q166</f>
        <v/>
      </c>
      <c r="D6200" s="46">
        <f>'Issues &amp; Punch List'!R166</f>
        <v/>
      </c>
      <c r="E6200" s="46">
        <f>IF(OR(B6200="",C6200="",D6200=""),"",D6200*100000+(C6200-DATE(2000,1,1))+ROW()/100000)</f>
        <v/>
      </c>
      <c r="F6200" s="46">
        <f>IF(E6200="","",IF(C6200&gt;WeekEndDate,"",E6200))</f>
        <v/>
      </c>
    </row>
    <row r="6201">
      <c r="A6201" t="inlineStr">
        <is>
          <t>Issues &amp; Punch List</t>
        </is>
      </c>
      <c r="B6201" s="46">
        <f>'Issues &amp; Punch List'!S167</f>
        <v/>
      </c>
      <c r="C6201" s="84">
        <f>'Issues &amp; Punch List'!Q167</f>
        <v/>
      </c>
      <c r="D6201" s="46">
        <f>'Issues &amp; Punch List'!R167</f>
        <v/>
      </c>
      <c r="E6201" s="46">
        <f>IF(OR(B6201="",C6201="",D6201=""),"",D6201*100000+(C6201-DATE(2000,1,1))+ROW()/100000)</f>
        <v/>
      </c>
      <c r="F6201" s="46">
        <f>IF(E6201="","",IF(C6201&gt;WeekEndDate,"",E6201))</f>
        <v/>
      </c>
    </row>
    <row r="6202">
      <c r="A6202" t="inlineStr">
        <is>
          <t>Issues &amp; Punch List</t>
        </is>
      </c>
      <c r="B6202" s="46">
        <f>'Issues &amp; Punch List'!S168</f>
        <v/>
      </c>
      <c r="C6202" s="84">
        <f>'Issues &amp; Punch List'!Q168</f>
        <v/>
      </c>
      <c r="D6202" s="46">
        <f>'Issues &amp; Punch List'!R168</f>
        <v/>
      </c>
      <c r="E6202" s="46">
        <f>IF(OR(B6202="",C6202="",D6202=""),"",D6202*100000+(C6202-DATE(2000,1,1))+ROW()/100000)</f>
        <v/>
      </c>
      <c r="F6202" s="46">
        <f>IF(E6202="","",IF(C6202&gt;WeekEndDate,"",E6202))</f>
        <v/>
      </c>
    </row>
    <row r="6203">
      <c r="A6203" t="inlineStr">
        <is>
          <t>Issues &amp; Punch List</t>
        </is>
      </c>
      <c r="B6203" s="46">
        <f>'Issues &amp; Punch List'!S169</f>
        <v/>
      </c>
      <c r="C6203" s="84">
        <f>'Issues &amp; Punch List'!Q169</f>
        <v/>
      </c>
      <c r="D6203" s="46">
        <f>'Issues &amp; Punch List'!R169</f>
        <v/>
      </c>
      <c r="E6203" s="46">
        <f>IF(OR(B6203="",C6203="",D6203=""),"",D6203*100000+(C6203-DATE(2000,1,1))+ROW()/100000)</f>
        <v/>
      </c>
      <c r="F6203" s="46">
        <f>IF(E6203="","",IF(C6203&gt;WeekEndDate,"",E6203))</f>
        <v/>
      </c>
    </row>
    <row r="6204">
      <c r="A6204" t="inlineStr">
        <is>
          <t>Issues &amp; Punch List</t>
        </is>
      </c>
      <c r="B6204" s="46">
        <f>'Issues &amp; Punch List'!S170</f>
        <v/>
      </c>
      <c r="C6204" s="84">
        <f>'Issues &amp; Punch List'!Q170</f>
        <v/>
      </c>
      <c r="D6204" s="46">
        <f>'Issues &amp; Punch List'!R170</f>
        <v/>
      </c>
      <c r="E6204" s="46">
        <f>IF(OR(B6204="",C6204="",D6204=""),"",D6204*100000+(C6204-DATE(2000,1,1))+ROW()/100000)</f>
        <v/>
      </c>
      <c r="F6204" s="46">
        <f>IF(E6204="","",IF(C6204&gt;WeekEndDate,"",E6204))</f>
        <v/>
      </c>
    </row>
    <row r="6205">
      <c r="A6205" t="inlineStr">
        <is>
          <t>Issues &amp; Punch List</t>
        </is>
      </c>
      <c r="B6205" s="46">
        <f>'Issues &amp; Punch List'!S171</f>
        <v/>
      </c>
      <c r="C6205" s="84">
        <f>'Issues &amp; Punch List'!Q171</f>
        <v/>
      </c>
      <c r="D6205" s="46">
        <f>'Issues &amp; Punch List'!R171</f>
        <v/>
      </c>
      <c r="E6205" s="46">
        <f>IF(OR(B6205="",C6205="",D6205=""),"",D6205*100000+(C6205-DATE(2000,1,1))+ROW()/100000)</f>
        <v/>
      </c>
      <c r="F6205" s="46">
        <f>IF(E6205="","",IF(C6205&gt;WeekEndDate,"",E6205))</f>
        <v/>
      </c>
    </row>
    <row r="6206">
      <c r="A6206" t="inlineStr">
        <is>
          <t>Issues &amp; Punch List</t>
        </is>
      </c>
      <c r="B6206" s="46">
        <f>'Issues &amp; Punch List'!S172</f>
        <v/>
      </c>
      <c r="C6206" s="84">
        <f>'Issues &amp; Punch List'!Q172</f>
        <v/>
      </c>
      <c r="D6206" s="46">
        <f>'Issues &amp; Punch List'!R172</f>
        <v/>
      </c>
      <c r="E6206" s="46">
        <f>IF(OR(B6206="",C6206="",D6206=""),"",D6206*100000+(C6206-DATE(2000,1,1))+ROW()/100000)</f>
        <v/>
      </c>
      <c r="F6206" s="46">
        <f>IF(E6206="","",IF(C6206&gt;WeekEndDate,"",E6206))</f>
        <v/>
      </c>
    </row>
    <row r="6207">
      <c r="A6207" t="inlineStr">
        <is>
          <t>Issues &amp; Punch List</t>
        </is>
      </c>
      <c r="B6207" s="46">
        <f>'Issues &amp; Punch List'!S173</f>
        <v/>
      </c>
      <c r="C6207" s="84">
        <f>'Issues &amp; Punch List'!Q173</f>
        <v/>
      </c>
      <c r="D6207" s="46">
        <f>'Issues &amp; Punch List'!R173</f>
        <v/>
      </c>
      <c r="E6207" s="46">
        <f>IF(OR(B6207="",C6207="",D6207=""),"",D6207*100000+(C6207-DATE(2000,1,1))+ROW()/100000)</f>
        <v/>
      </c>
      <c r="F6207" s="46">
        <f>IF(E6207="","",IF(C6207&gt;WeekEndDate,"",E6207))</f>
        <v/>
      </c>
    </row>
    <row r="6208">
      <c r="A6208" t="inlineStr">
        <is>
          <t>Issues &amp; Punch List</t>
        </is>
      </c>
      <c r="B6208" s="46">
        <f>'Issues &amp; Punch List'!S174</f>
        <v/>
      </c>
      <c r="C6208" s="84">
        <f>'Issues &amp; Punch List'!Q174</f>
        <v/>
      </c>
      <c r="D6208" s="46">
        <f>'Issues &amp; Punch List'!R174</f>
        <v/>
      </c>
      <c r="E6208" s="46">
        <f>IF(OR(B6208="",C6208="",D6208=""),"",D6208*100000+(C6208-DATE(2000,1,1))+ROW()/100000)</f>
        <v/>
      </c>
      <c r="F6208" s="46">
        <f>IF(E6208="","",IF(C6208&gt;WeekEndDate,"",E6208))</f>
        <v/>
      </c>
    </row>
    <row r="6209">
      <c r="A6209" t="inlineStr">
        <is>
          <t>Issues &amp; Punch List</t>
        </is>
      </c>
      <c r="B6209" s="46">
        <f>'Issues &amp; Punch List'!S175</f>
        <v/>
      </c>
      <c r="C6209" s="84">
        <f>'Issues &amp; Punch List'!Q175</f>
        <v/>
      </c>
      <c r="D6209" s="46">
        <f>'Issues &amp; Punch List'!R175</f>
        <v/>
      </c>
      <c r="E6209" s="46">
        <f>IF(OR(B6209="",C6209="",D6209=""),"",D6209*100000+(C6209-DATE(2000,1,1))+ROW()/100000)</f>
        <v/>
      </c>
      <c r="F6209" s="46">
        <f>IF(E6209="","",IF(C6209&gt;WeekEndDate,"",E6209))</f>
        <v/>
      </c>
    </row>
    <row r="6210">
      <c r="A6210" t="inlineStr">
        <is>
          <t>Issues &amp; Punch List</t>
        </is>
      </c>
      <c r="B6210" s="46">
        <f>'Issues &amp; Punch List'!S176</f>
        <v/>
      </c>
      <c r="C6210" s="84">
        <f>'Issues &amp; Punch List'!Q176</f>
        <v/>
      </c>
      <c r="D6210" s="46">
        <f>'Issues &amp; Punch List'!R176</f>
        <v/>
      </c>
      <c r="E6210" s="46">
        <f>IF(OR(B6210="",C6210="",D6210=""),"",D6210*100000+(C6210-DATE(2000,1,1))+ROW()/100000)</f>
        <v/>
      </c>
      <c r="F6210" s="46">
        <f>IF(E6210="","",IF(C6210&gt;WeekEndDate,"",E6210))</f>
        <v/>
      </c>
    </row>
    <row r="6211">
      <c r="A6211" t="inlineStr">
        <is>
          <t>Issues &amp; Punch List</t>
        </is>
      </c>
      <c r="B6211" s="46">
        <f>'Issues &amp; Punch List'!S177</f>
        <v/>
      </c>
      <c r="C6211" s="84">
        <f>'Issues &amp; Punch List'!Q177</f>
        <v/>
      </c>
      <c r="D6211" s="46">
        <f>'Issues &amp; Punch List'!R177</f>
        <v/>
      </c>
      <c r="E6211" s="46">
        <f>IF(OR(B6211="",C6211="",D6211=""),"",D6211*100000+(C6211-DATE(2000,1,1))+ROW()/100000)</f>
        <v/>
      </c>
      <c r="F6211" s="46">
        <f>IF(E6211="","",IF(C6211&gt;WeekEndDate,"",E6211))</f>
        <v/>
      </c>
    </row>
    <row r="6212">
      <c r="A6212" t="inlineStr">
        <is>
          <t>Issues &amp; Punch List</t>
        </is>
      </c>
      <c r="B6212" s="46">
        <f>'Issues &amp; Punch List'!S178</f>
        <v/>
      </c>
      <c r="C6212" s="84">
        <f>'Issues &amp; Punch List'!Q178</f>
        <v/>
      </c>
      <c r="D6212" s="46">
        <f>'Issues &amp; Punch List'!R178</f>
        <v/>
      </c>
      <c r="E6212" s="46">
        <f>IF(OR(B6212="",C6212="",D6212=""),"",D6212*100000+(C6212-DATE(2000,1,1))+ROW()/100000)</f>
        <v/>
      </c>
      <c r="F6212" s="46">
        <f>IF(E6212="","",IF(C6212&gt;WeekEndDate,"",E6212))</f>
        <v/>
      </c>
    </row>
    <row r="6213">
      <c r="A6213" t="inlineStr">
        <is>
          <t>Issues &amp; Punch List</t>
        </is>
      </c>
      <c r="B6213" s="46">
        <f>'Issues &amp; Punch List'!S179</f>
        <v/>
      </c>
      <c r="C6213" s="84">
        <f>'Issues &amp; Punch List'!Q179</f>
        <v/>
      </c>
      <c r="D6213" s="46">
        <f>'Issues &amp; Punch List'!R179</f>
        <v/>
      </c>
      <c r="E6213" s="46">
        <f>IF(OR(B6213="",C6213="",D6213=""),"",D6213*100000+(C6213-DATE(2000,1,1))+ROW()/100000)</f>
        <v/>
      </c>
      <c r="F6213" s="46">
        <f>IF(E6213="","",IF(C6213&gt;WeekEndDate,"",E6213))</f>
        <v/>
      </c>
    </row>
    <row r="6214">
      <c r="A6214" t="inlineStr">
        <is>
          <t>Issues &amp; Punch List</t>
        </is>
      </c>
      <c r="B6214" s="46">
        <f>'Issues &amp; Punch List'!S180</f>
        <v/>
      </c>
      <c r="C6214" s="84">
        <f>'Issues &amp; Punch List'!Q180</f>
        <v/>
      </c>
      <c r="D6214" s="46">
        <f>'Issues &amp; Punch List'!R180</f>
        <v/>
      </c>
      <c r="E6214" s="46">
        <f>IF(OR(B6214="",C6214="",D6214=""),"",D6214*100000+(C6214-DATE(2000,1,1))+ROW()/100000)</f>
        <v/>
      </c>
      <c r="F6214" s="46">
        <f>IF(E6214="","",IF(C6214&gt;WeekEndDate,"",E6214))</f>
        <v/>
      </c>
    </row>
    <row r="6215">
      <c r="A6215" t="inlineStr">
        <is>
          <t>Issues &amp; Punch List</t>
        </is>
      </c>
      <c r="B6215" s="46">
        <f>'Issues &amp; Punch List'!S181</f>
        <v/>
      </c>
      <c r="C6215" s="84">
        <f>'Issues &amp; Punch List'!Q181</f>
        <v/>
      </c>
      <c r="D6215" s="46">
        <f>'Issues &amp; Punch List'!R181</f>
        <v/>
      </c>
      <c r="E6215" s="46">
        <f>IF(OR(B6215="",C6215="",D6215=""),"",D6215*100000+(C6215-DATE(2000,1,1))+ROW()/100000)</f>
        <v/>
      </c>
      <c r="F6215" s="46">
        <f>IF(E6215="","",IF(C6215&gt;WeekEndDate,"",E6215))</f>
        <v/>
      </c>
    </row>
    <row r="6216">
      <c r="A6216" t="inlineStr">
        <is>
          <t>Issues &amp; Punch List</t>
        </is>
      </c>
      <c r="B6216" s="46">
        <f>'Issues &amp; Punch List'!S182</f>
        <v/>
      </c>
      <c r="C6216" s="84">
        <f>'Issues &amp; Punch List'!Q182</f>
        <v/>
      </c>
      <c r="D6216" s="46">
        <f>'Issues &amp; Punch List'!R182</f>
        <v/>
      </c>
      <c r="E6216" s="46">
        <f>IF(OR(B6216="",C6216="",D6216=""),"",D6216*100000+(C6216-DATE(2000,1,1))+ROW()/100000)</f>
        <v/>
      </c>
      <c r="F6216" s="46">
        <f>IF(E6216="","",IF(C6216&gt;WeekEndDate,"",E6216))</f>
        <v/>
      </c>
    </row>
    <row r="6217">
      <c r="A6217" t="inlineStr">
        <is>
          <t>Issues &amp; Punch List</t>
        </is>
      </c>
      <c r="B6217" s="46">
        <f>'Issues &amp; Punch List'!S183</f>
        <v/>
      </c>
      <c r="C6217" s="84">
        <f>'Issues &amp; Punch List'!Q183</f>
        <v/>
      </c>
      <c r="D6217" s="46">
        <f>'Issues &amp; Punch List'!R183</f>
        <v/>
      </c>
      <c r="E6217" s="46">
        <f>IF(OR(B6217="",C6217="",D6217=""),"",D6217*100000+(C6217-DATE(2000,1,1))+ROW()/100000)</f>
        <v/>
      </c>
      <c r="F6217" s="46">
        <f>IF(E6217="","",IF(C6217&gt;WeekEndDate,"",E6217))</f>
        <v/>
      </c>
    </row>
    <row r="6218">
      <c r="A6218" t="inlineStr">
        <is>
          <t>Issues &amp; Punch List</t>
        </is>
      </c>
      <c r="B6218" s="46">
        <f>'Issues &amp; Punch List'!S184</f>
        <v/>
      </c>
      <c r="C6218" s="84">
        <f>'Issues &amp; Punch List'!Q184</f>
        <v/>
      </c>
      <c r="D6218" s="46">
        <f>'Issues &amp; Punch List'!R184</f>
        <v/>
      </c>
      <c r="E6218" s="46">
        <f>IF(OR(B6218="",C6218="",D6218=""),"",D6218*100000+(C6218-DATE(2000,1,1))+ROW()/100000)</f>
        <v/>
      </c>
      <c r="F6218" s="46">
        <f>IF(E6218="","",IF(C6218&gt;WeekEndDate,"",E6218))</f>
        <v/>
      </c>
    </row>
    <row r="6219">
      <c r="A6219" t="inlineStr">
        <is>
          <t>Issues &amp; Punch List</t>
        </is>
      </c>
      <c r="B6219" s="46">
        <f>'Issues &amp; Punch List'!S185</f>
        <v/>
      </c>
      <c r="C6219" s="84">
        <f>'Issues &amp; Punch List'!Q185</f>
        <v/>
      </c>
      <c r="D6219" s="46">
        <f>'Issues &amp; Punch List'!R185</f>
        <v/>
      </c>
      <c r="E6219" s="46">
        <f>IF(OR(B6219="",C6219="",D6219=""),"",D6219*100000+(C6219-DATE(2000,1,1))+ROW()/100000)</f>
        <v/>
      </c>
      <c r="F6219" s="46">
        <f>IF(E6219="","",IF(C6219&gt;WeekEndDate,"",E6219))</f>
        <v/>
      </c>
    </row>
    <row r="6220">
      <c r="A6220" t="inlineStr">
        <is>
          <t>Issues &amp; Punch List</t>
        </is>
      </c>
      <c r="B6220" s="46">
        <f>'Issues &amp; Punch List'!S186</f>
        <v/>
      </c>
      <c r="C6220" s="84">
        <f>'Issues &amp; Punch List'!Q186</f>
        <v/>
      </c>
      <c r="D6220" s="46">
        <f>'Issues &amp; Punch List'!R186</f>
        <v/>
      </c>
      <c r="E6220" s="46">
        <f>IF(OR(B6220="",C6220="",D6220=""),"",D6220*100000+(C6220-DATE(2000,1,1))+ROW()/100000)</f>
        <v/>
      </c>
      <c r="F6220" s="46">
        <f>IF(E6220="","",IF(C6220&gt;WeekEndDate,"",E6220))</f>
        <v/>
      </c>
    </row>
    <row r="6221">
      <c r="A6221" t="inlineStr">
        <is>
          <t>Issues &amp; Punch List</t>
        </is>
      </c>
      <c r="B6221" s="46">
        <f>'Issues &amp; Punch List'!S187</f>
        <v/>
      </c>
      <c r="C6221" s="84">
        <f>'Issues &amp; Punch List'!Q187</f>
        <v/>
      </c>
      <c r="D6221" s="46">
        <f>'Issues &amp; Punch List'!R187</f>
        <v/>
      </c>
      <c r="E6221" s="46">
        <f>IF(OR(B6221="",C6221="",D6221=""),"",D6221*100000+(C6221-DATE(2000,1,1))+ROW()/100000)</f>
        <v/>
      </c>
      <c r="F6221" s="46">
        <f>IF(E6221="","",IF(C6221&gt;WeekEndDate,"",E6221))</f>
        <v/>
      </c>
    </row>
    <row r="6222">
      <c r="A6222" t="inlineStr">
        <is>
          <t>Issues &amp; Punch List</t>
        </is>
      </c>
      <c r="B6222" s="46">
        <f>'Issues &amp; Punch List'!S188</f>
        <v/>
      </c>
      <c r="C6222" s="84">
        <f>'Issues &amp; Punch List'!Q188</f>
        <v/>
      </c>
      <c r="D6222" s="46">
        <f>'Issues &amp; Punch List'!R188</f>
        <v/>
      </c>
      <c r="E6222" s="46">
        <f>IF(OR(B6222="",C6222="",D6222=""),"",D6222*100000+(C6222-DATE(2000,1,1))+ROW()/100000)</f>
        <v/>
      </c>
      <c r="F6222" s="46">
        <f>IF(E6222="","",IF(C6222&gt;WeekEndDate,"",E6222))</f>
        <v/>
      </c>
    </row>
    <row r="6223">
      <c r="A6223" t="inlineStr">
        <is>
          <t>Issues &amp; Punch List</t>
        </is>
      </c>
      <c r="B6223" s="46">
        <f>'Issues &amp; Punch List'!S189</f>
        <v/>
      </c>
      <c r="C6223" s="84">
        <f>'Issues &amp; Punch List'!Q189</f>
        <v/>
      </c>
      <c r="D6223" s="46">
        <f>'Issues &amp; Punch List'!R189</f>
        <v/>
      </c>
      <c r="E6223" s="46">
        <f>IF(OR(B6223="",C6223="",D6223=""),"",D6223*100000+(C6223-DATE(2000,1,1))+ROW()/100000)</f>
        <v/>
      </c>
      <c r="F6223" s="46">
        <f>IF(E6223="","",IF(C6223&gt;WeekEndDate,"",E6223))</f>
        <v/>
      </c>
    </row>
    <row r="6224">
      <c r="A6224" t="inlineStr">
        <is>
          <t>Issues &amp; Punch List</t>
        </is>
      </c>
      <c r="B6224" s="46">
        <f>'Issues &amp; Punch List'!S190</f>
        <v/>
      </c>
      <c r="C6224" s="84">
        <f>'Issues &amp; Punch List'!Q190</f>
        <v/>
      </c>
      <c r="D6224" s="46">
        <f>'Issues &amp; Punch List'!R190</f>
        <v/>
      </c>
      <c r="E6224" s="46">
        <f>IF(OR(B6224="",C6224="",D6224=""),"",D6224*100000+(C6224-DATE(2000,1,1))+ROW()/100000)</f>
        <v/>
      </c>
      <c r="F6224" s="46">
        <f>IF(E6224="","",IF(C6224&gt;WeekEndDate,"",E6224))</f>
        <v/>
      </c>
    </row>
    <row r="6225">
      <c r="A6225" t="inlineStr">
        <is>
          <t>Issues &amp; Punch List</t>
        </is>
      </c>
      <c r="B6225" s="46">
        <f>'Issues &amp; Punch List'!S191</f>
        <v/>
      </c>
      <c r="C6225" s="84">
        <f>'Issues &amp; Punch List'!Q191</f>
        <v/>
      </c>
      <c r="D6225" s="46">
        <f>'Issues &amp; Punch List'!R191</f>
        <v/>
      </c>
      <c r="E6225" s="46">
        <f>IF(OR(B6225="",C6225="",D6225=""),"",D6225*100000+(C6225-DATE(2000,1,1))+ROW()/100000)</f>
        <v/>
      </c>
      <c r="F6225" s="46">
        <f>IF(E6225="","",IF(C6225&gt;WeekEndDate,"",E6225))</f>
        <v/>
      </c>
    </row>
    <row r="6226">
      <c r="A6226" t="inlineStr">
        <is>
          <t>Issues &amp; Punch List</t>
        </is>
      </c>
      <c r="B6226" s="46">
        <f>'Issues &amp; Punch List'!S192</f>
        <v/>
      </c>
      <c r="C6226" s="84">
        <f>'Issues &amp; Punch List'!Q192</f>
        <v/>
      </c>
      <c r="D6226" s="46">
        <f>'Issues &amp; Punch List'!R192</f>
        <v/>
      </c>
      <c r="E6226" s="46">
        <f>IF(OR(B6226="",C6226="",D6226=""),"",D6226*100000+(C6226-DATE(2000,1,1))+ROW()/100000)</f>
        <v/>
      </c>
      <c r="F6226" s="46">
        <f>IF(E6226="","",IF(C6226&gt;WeekEndDate,"",E6226))</f>
        <v/>
      </c>
    </row>
    <row r="6227">
      <c r="A6227" t="inlineStr">
        <is>
          <t>Issues &amp; Punch List</t>
        </is>
      </c>
      <c r="B6227" s="46">
        <f>'Issues &amp; Punch List'!S193</f>
        <v/>
      </c>
      <c r="C6227" s="84">
        <f>'Issues &amp; Punch List'!Q193</f>
        <v/>
      </c>
      <c r="D6227" s="46">
        <f>'Issues &amp; Punch List'!R193</f>
        <v/>
      </c>
      <c r="E6227" s="46">
        <f>IF(OR(B6227="",C6227="",D6227=""),"",D6227*100000+(C6227-DATE(2000,1,1))+ROW()/100000)</f>
        <v/>
      </c>
      <c r="F6227" s="46">
        <f>IF(E6227="","",IF(C6227&gt;WeekEndDate,"",E6227))</f>
        <v/>
      </c>
    </row>
    <row r="6228">
      <c r="A6228" t="inlineStr">
        <is>
          <t>Issues &amp; Punch List</t>
        </is>
      </c>
      <c r="B6228" s="46">
        <f>'Issues &amp; Punch List'!S194</f>
        <v/>
      </c>
      <c r="C6228" s="84">
        <f>'Issues &amp; Punch List'!Q194</f>
        <v/>
      </c>
      <c r="D6228" s="46">
        <f>'Issues &amp; Punch List'!R194</f>
        <v/>
      </c>
      <c r="E6228" s="46">
        <f>IF(OR(B6228="",C6228="",D6228=""),"",D6228*100000+(C6228-DATE(2000,1,1))+ROW()/100000)</f>
        <v/>
      </c>
      <c r="F6228" s="46">
        <f>IF(E6228="","",IF(C6228&gt;WeekEndDate,"",E6228))</f>
        <v/>
      </c>
    </row>
    <row r="6229">
      <c r="A6229" t="inlineStr">
        <is>
          <t>Issues &amp; Punch List</t>
        </is>
      </c>
      <c r="B6229" s="46">
        <f>'Issues &amp; Punch List'!S195</f>
        <v/>
      </c>
      <c r="C6229" s="84">
        <f>'Issues &amp; Punch List'!Q195</f>
        <v/>
      </c>
      <c r="D6229" s="46">
        <f>'Issues &amp; Punch List'!R195</f>
        <v/>
      </c>
      <c r="E6229" s="46">
        <f>IF(OR(B6229="",C6229="",D6229=""),"",D6229*100000+(C6229-DATE(2000,1,1))+ROW()/100000)</f>
        <v/>
      </c>
      <c r="F6229" s="46">
        <f>IF(E6229="","",IF(C6229&gt;WeekEndDate,"",E6229))</f>
        <v/>
      </c>
    </row>
    <row r="6230">
      <c r="A6230" t="inlineStr">
        <is>
          <t>Issues &amp; Punch List</t>
        </is>
      </c>
      <c r="B6230" s="46">
        <f>'Issues &amp; Punch List'!S196</f>
        <v/>
      </c>
      <c r="C6230" s="84">
        <f>'Issues &amp; Punch List'!Q196</f>
        <v/>
      </c>
      <c r="D6230" s="46">
        <f>'Issues &amp; Punch List'!R196</f>
        <v/>
      </c>
      <c r="E6230" s="46">
        <f>IF(OR(B6230="",C6230="",D6230=""),"",D6230*100000+(C6230-DATE(2000,1,1))+ROW()/100000)</f>
        <v/>
      </c>
      <c r="F6230" s="46">
        <f>IF(E6230="","",IF(C6230&gt;WeekEndDate,"",E6230))</f>
        <v/>
      </c>
    </row>
    <row r="6231">
      <c r="A6231" t="inlineStr">
        <is>
          <t>Issues &amp; Punch List</t>
        </is>
      </c>
      <c r="B6231" s="46">
        <f>'Issues &amp; Punch List'!S197</f>
        <v/>
      </c>
      <c r="C6231" s="84">
        <f>'Issues &amp; Punch List'!Q197</f>
        <v/>
      </c>
      <c r="D6231" s="46">
        <f>'Issues &amp; Punch List'!R197</f>
        <v/>
      </c>
      <c r="E6231" s="46">
        <f>IF(OR(B6231="",C6231="",D6231=""),"",D6231*100000+(C6231-DATE(2000,1,1))+ROW()/100000)</f>
        <v/>
      </c>
      <c r="F6231" s="46">
        <f>IF(E6231="","",IF(C6231&gt;WeekEndDate,"",E6231))</f>
        <v/>
      </c>
    </row>
    <row r="6232">
      <c r="A6232" t="inlineStr">
        <is>
          <t>Issues &amp; Punch List</t>
        </is>
      </c>
      <c r="B6232" s="46">
        <f>'Issues &amp; Punch List'!S198</f>
        <v/>
      </c>
      <c r="C6232" s="84">
        <f>'Issues &amp; Punch List'!Q198</f>
        <v/>
      </c>
      <c r="D6232" s="46">
        <f>'Issues &amp; Punch List'!R198</f>
        <v/>
      </c>
      <c r="E6232" s="46">
        <f>IF(OR(B6232="",C6232="",D6232=""),"",D6232*100000+(C6232-DATE(2000,1,1))+ROW()/100000)</f>
        <v/>
      </c>
      <c r="F6232" s="46">
        <f>IF(E6232="","",IF(C6232&gt;WeekEndDate,"",E6232))</f>
        <v/>
      </c>
    </row>
    <row r="6233">
      <c r="A6233" t="inlineStr">
        <is>
          <t>Issues &amp; Punch List</t>
        </is>
      </c>
      <c r="B6233" s="46">
        <f>'Issues &amp; Punch List'!S199</f>
        <v/>
      </c>
      <c r="C6233" s="84">
        <f>'Issues &amp; Punch List'!Q199</f>
        <v/>
      </c>
      <c r="D6233" s="46">
        <f>'Issues &amp; Punch List'!R199</f>
        <v/>
      </c>
      <c r="E6233" s="46">
        <f>IF(OR(B6233="",C6233="",D6233=""),"",D6233*100000+(C6233-DATE(2000,1,1))+ROW()/100000)</f>
        <v/>
      </c>
      <c r="F6233" s="46">
        <f>IF(E6233="","",IF(C6233&gt;WeekEndDate,"",E6233))</f>
        <v/>
      </c>
    </row>
    <row r="6234">
      <c r="A6234" t="inlineStr">
        <is>
          <t>Issues &amp; Punch List</t>
        </is>
      </c>
      <c r="B6234" s="46">
        <f>'Issues &amp; Punch List'!S200</f>
        <v/>
      </c>
      <c r="C6234" s="84">
        <f>'Issues &amp; Punch List'!Q200</f>
        <v/>
      </c>
      <c r="D6234" s="46">
        <f>'Issues &amp; Punch List'!R200</f>
        <v/>
      </c>
      <c r="E6234" s="46">
        <f>IF(OR(B6234="",C6234="",D6234=""),"",D6234*100000+(C6234-DATE(2000,1,1))+ROW()/100000)</f>
        <v/>
      </c>
      <c r="F6234" s="46">
        <f>IF(E6234="","",IF(C6234&gt;WeekEndDate,"",E6234))</f>
        <v/>
      </c>
    </row>
    <row r="6235">
      <c r="A6235" t="inlineStr">
        <is>
          <t>Issues &amp; Punch List</t>
        </is>
      </c>
      <c r="B6235" s="46">
        <f>'Issues &amp; Punch List'!S201</f>
        <v/>
      </c>
      <c r="C6235" s="84">
        <f>'Issues &amp; Punch List'!Q201</f>
        <v/>
      </c>
      <c r="D6235" s="46">
        <f>'Issues &amp; Punch List'!R201</f>
        <v/>
      </c>
      <c r="E6235" s="46">
        <f>IF(OR(B6235="",C6235="",D6235=""),"",D6235*100000+(C6235-DATE(2000,1,1))+ROW()/100000)</f>
        <v/>
      </c>
      <c r="F6235" s="46">
        <f>IF(E6235="","",IF(C6235&gt;WeekEndDate,"",E6235))</f>
        <v/>
      </c>
    </row>
    <row r="6236">
      <c r="A6236" t="inlineStr">
        <is>
          <t>Issues &amp; Punch List</t>
        </is>
      </c>
      <c r="B6236" s="46">
        <f>'Issues &amp; Punch List'!S202</f>
        <v/>
      </c>
      <c r="C6236" s="84">
        <f>'Issues &amp; Punch List'!Q202</f>
        <v/>
      </c>
      <c r="D6236" s="46">
        <f>'Issues &amp; Punch List'!R202</f>
        <v/>
      </c>
      <c r="E6236" s="46">
        <f>IF(OR(B6236="",C6236="",D6236=""),"",D6236*100000+(C6236-DATE(2000,1,1))+ROW()/100000)</f>
        <v/>
      </c>
      <c r="F6236" s="46">
        <f>IF(E6236="","",IF(C6236&gt;WeekEndDate,"",E6236))</f>
        <v/>
      </c>
    </row>
    <row r="6237">
      <c r="A6237" t="inlineStr">
        <is>
          <t>Issues &amp; Punch List</t>
        </is>
      </c>
      <c r="B6237" s="46">
        <f>'Issues &amp; Punch List'!S203</f>
        <v/>
      </c>
      <c r="C6237" s="84">
        <f>'Issues &amp; Punch List'!Q203</f>
        <v/>
      </c>
      <c r="D6237" s="46">
        <f>'Issues &amp; Punch List'!R203</f>
        <v/>
      </c>
      <c r="E6237" s="46">
        <f>IF(OR(B6237="",C6237="",D6237=""),"",D6237*100000+(C6237-DATE(2000,1,1))+ROW()/100000)</f>
        <v/>
      </c>
      <c r="F6237" s="46">
        <f>IF(E6237="","",IF(C6237&gt;WeekEndDate,"",E6237))</f>
        <v/>
      </c>
    </row>
    <row r="6238">
      <c r="A6238" t="inlineStr">
        <is>
          <t>Issues &amp; Punch List</t>
        </is>
      </c>
      <c r="B6238" s="46">
        <f>'Issues &amp; Punch List'!S204</f>
        <v/>
      </c>
      <c r="C6238" s="84">
        <f>'Issues &amp; Punch List'!Q204</f>
        <v/>
      </c>
      <c r="D6238" s="46">
        <f>'Issues &amp; Punch List'!R204</f>
        <v/>
      </c>
      <c r="E6238" s="46">
        <f>IF(OR(B6238="",C6238="",D6238=""),"",D6238*100000+(C6238-DATE(2000,1,1))+ROW()/100000)</f>
        <v/>
      </c>
      <c r="F6238" s="46">
        <f>IF(E6238="","",IF(C6238&gt;WeekEndDate,"",E6238))</f>
        <v/>
      </c>
    </row>
    <row r="6239">
      <c r="A6239" t="inlineStr">
        <is>
          <t>Issues &amp; Punch List</t>
        </is>
      </c>
      <c r="B6239" s="46">
        <f>'Issues &amp; Punch List'!S205</f>
        <v/>
      </c>
      <c r="C6239" s="84">
        <f>'Issues &amp; Punch List'!Q205</f>
        <v/>
      </c>
      <c r="D6239" s="46">
        <f>'Issues &amp; Punch List'!R205</f>
        <v/>
      </c>
      <c r="E6239" s="46">
        <f>IF(OR(B6239="",C6239="",D6239=""),"",D6239*100000+(C6239-DATE(2000,1,1))+ROW()/100000)</f>
        <v/>
      </c>
      <c r="F6239" s="46">
        <f>IF(E6239="","",IF(C6239&gt;WeekEndDate,"",E6239))</f>
        <v/>
      </c>
    </row>
    <row r="6240">
      <c r="A6240" t="inlineStr">
        <is>
          <t>Issues &amp; Punch List</t>
        </is>
      </c>
      <c r="B6240" s="46">
        <f>'Issues &amp; Punch List'!S206</f>
        <v/>
      </c>
      <c r="C6240" s="84">
        <f>'Issues &amp; Punch List'!Q206</f>
        <v/>
      </c>
      <c r="D6240" s="46">
        <f>'Issues &amp; Punch List'!R206</f>
        <v/>
      </c>
      <c r="E6240" s="46">
        <f>IF(OR(B6240="",C6240="",D6240=""),"",D6240*100000+(C6240-DATE(2000,1,1))+ROW()/100000)</f>
        <v/>
      </c>
      <c r="F6240" s="46">
        <f>IF(E6240="","",IF(C6240&gt;WeekEndDate,"",E6240))</f>
        <v/>
      </c>
    </row>
    <row r="6241">
      <c r="A6241" t="inlineStr">
        <is>
          <t>Issues &amp; Punch List</t>
        </is>
      </c>
      <c r="B6241" s="46">
        <f>'Issues &amp; Punch List'!S207</f>
        <v/>
      </c>
      <c r="C6241" s="84">
        <f>'Issues &amp; Punch List'!Q207</f>
        <v/>
      </c>
      <c r="D6241" s="46">
        <f>'Issues &amp; Punch List'!R207</f>
        <v/>
      </c>
      <c r="E6241" s="46">
        <f>IF(OR(B6241="",C6241="",D6241=""),"",D6241*100000+(C6241-DATE(2000,1,1))+ROW()/100000)</f>
        <v/>
      </c>
      <c r="F6241" s="46">
        <f>IF(E6241="","",IF(C6241&gt;WeekEndDate,"",E6241))</f>
        <v/>
      </c>
    </row>
    <row r="6242">
      <c r="A6242" t="inlineStr">
        <is>
          <t>Issues &amp; Punch List</t>
        </is>
      </c>
      <c r="B6242" s="46">
        <f>'Issues &amp; Punch List'!S208</f>
        <v/>
      </c>
      <c r="C6242" s="84">
        <f>'Issues &amp; Punch List'!Q208</f>
        <v/>
      </c>
      <c r="D6242" s="46">
        <f>'Issues &amp; Punch List'!R208</f>
        <v/>
      </c>
      <c r="E6242" s="46">
        <f>IF(OR(B6242="",C6242="",D6242=""),"",D6242*100000+(C6242-DATE(2000,1,1))+ROW()/100000)</f>
        <v/>
      </c>
      <c r="F6242" s="46">
        <f>IF(E6242="","",IF(C6242&gt;WeekEndDate,"",E6242))</f>
        <v/>
      </c>
    </row>
    <row r="6243">
      <c r="A6243" t="inlineStr">
        <is>
          <t>Issues &amp; Punch List</t>
        </is>
      </c>
      <c r="B6243" s="46">
        <f>'Issues &amp; Punch List'!S209</f>
        <v/>
      </c>
      <c r="C6243" s="84">
        <f>'Issues &amp; Punch List'!Q209</f>
        <v/>
      </c>
      <c r="D6243" s="46">
        <f>'Issues &amp; Punch List'!R209</f>
        <v/>
      </c>
      <c r="E6243" s="46">
        <f>IF(OR(B6243="",C6243="",D6243=""),"",D6243*100000+(C6243-DATE(2000,1,1))+ROW()/100000)</f>
        <v/>
      </c>
      <c r="F6243" s="46">
        <f>IF(E6243="","",IF(C6243&gt;WeekEndDate,"",E6243))</f>
        <v/>
      </c>
    </row>
    <row r="6244">
      <c r="A6244" t="inlineStr">
        <is>
          <t>Issues &amp; Punch List</t>
        </is>
      </c>
      <c r="B6244" s="46">
        <f>'Issues &amp; Punch List'!S210</f>
        <v/>
      </c>
      <c r="C6244" s="84">
        <f>'Issues &amp; Punch List'!Q210</f>
        <v/>
      </c>
      <c r="D6244" s="46">
        <f>'Issues &amp; Punch List'!R210</f>
        <v/>
      </c>
      <c r="E6244" s="46">
        <f>IF(OR(B6244="",C6244="",D6244=""),"",D6244*100000+(C6244-DATE(2000,1,1))+ROW()/100000)</f>
        <v/>
      </c>
      <c r="F6244" s="46">
        <f>IF(E6244="","",IF(C6244&gt;WeekEndDate,"",E6244))</f>
        <v/>
      </c>
    </row>
    <row r="6245">
      <c r="A6245" t="inlineStr">
        <is>
          <t>Issues &amp; Punch List</t>
        </is>
      </c>
      <c r="B6245" s="46">
        <f>'Issues &amp; Punch List'!S211</f>
        <v/>
      </c>
      <c r="C6245" s="84">
        <f>'Issues &amp; Punch List'!Q211</f>
        <v/>
      </c>
      <c r="D6245" s="46">
        <f>'Issues &amp; Punch List'!R211</f>
        <v/>
      </c>
      <c r="E6245" s="46">
        <f>IF(OR(B6245="",C6245="",D6245=""),"",D6245*100000+(C6245-DATE(2000,1,1))+ROW()/100000)</f>
        <v/>
      </c>
      <c r="F6245" s="46">
        <f>IF(E6245="","",IF(C6245&gt;WeekEndDate,"",E6245))</f>
        <v/>
      </c>
    </row>
    <row r="6246">
      <c r="A6246" t="inlineStr">
        <is>
          <t>Issues &amp; Punch List</t>
        </is>
      </c>
      <c r="B6246" s="46">
        <f>'Issues &amp; Punch List'!S212</f>
        <v/>
      </c>
      <c r="C6246" s="84">
        <f>'Issues &amp; Punch List'!Q212</f>
        <v/>
      </c>
      <c r="D6246" s="46">
        <f>'Issues &amp; Punch List'!R212</f>
        <v/>
      </c>
      <c r="E6246" s="46">
        <f>IF(OR(B6246="",C6246="",D6246=""),"",D6246*100000+(C6246-DATE(2000,1,1))+ROW()/100000)</f>
        <v/>
      </c>
      <c r="F6246" s="46">
        <f>IF(E6246="","",IF(C6246&gt;WeekEndDate,"",E6246))</f>
        <v/>
      </c>
    </row>
    <row r="6247">
      <c r="A6247" t="inlineStr">
        <is>
          <t>Issues &amp; Punch List</t>
        </is>
      </c>
      <c r="B6247" s="46">
        <f>'Issues &amp; Punch List'!S213</f>
        <v/>
      </c>
      <c r="C6247" s="84">
        <f>'Issues &amp; Punch List'!Q213</f>
        <v/>
      </c>
      <c r="D6247" s="46">
        <f>'Issues &amp; Punch List'!R213</f>
        <v/>
      </c>
      <c r="E6247" s="46">
        <f>IF(OR(B6247="",C6247="",D6247=""),"",D6247*100000+(C6247-DATE(2000,1,1))+ROW()/100000)</f>
        <v/>
      </c>
      <c r="F6247" s="46">
        <f>IF(E6247="","",IF(C6247&gt;WeekEndDate,"",E6247))</f>
        <v/>
      </c>
    </row>
    <row r="6248">
      <c r="A6248" t="inlineStr">
        <is>
          <t>Issues &amp; Punch List</t>
        </is>
      </c>
      <c r="B6248" s="46">
        <f>'Issues &amp; Punch List'!S214</f>
        <v/>
      </c>
      <c r="C6248" s="84">
        <f>'Issues &amp; Punch List'!Q214</f>
        <v/>
      </c>
      <c r="D6248" s="46">
        <f>'Issues &amp; Punch List'!R214</f>
        <v/>
      </c>
      <c r="E6248" s="46">
        <f>IF(OR(B6248="",C6248="",D6248=""),"",D6248*100000+(C6248-DATE(2000,1,1))+ROW()/100000)</f>
        <v/>
      </c>
      <c r="F6248" s="46">
        <f>IF(E6248="","",IF(C6248&gt;WeekEndDate,"",E6248))</f>
        <v/>
      </c>
    </row>
    <row r="6249">
      <c r="A6249" t="inlineStr">
        <is>
          <t>Issues &amp; Punch List</t>
        </is>
      </c>
      <c r="B6249" s="46">
        <f>'Issues &amp; Punch List'!S215</f>
        <v/>
      </c>
      <c r="C6249" s="84">
        <f>'Issues &amp; Punch List'!Q215</f>
        <v/>
      </c>
      <c r="D6249" s="46">
        <f>'Issues &amp; Punch List'!R215</f>
        <v/>
      </c>
      <c r="E6249" s="46">
        <f>IF(OR(B6249="",C6249="",D6249=""),"",D6249*100000+(C6249-DATE(2000,1,1))+ROW()/100000)</f>
        <v/>
      </c>
      <c r="F6249" s="46">
        <f>IF(E6249="","",IF(C6249&gt;WeekEndDate,"",E6249))</f>
        <v/>
      </c>
    </row>
    <row r="6250">
      <c r="A6250" t="inlineStr">
        <is>
          <t>Issues &amp; Punch List</t>
        </is>
      </c>
      <c r="B6250" s="46">
        <f>'Issues &amp; Punch List'!S216</f>
        <v/>
      </c>
      <c r="C6250" s="84">
        <f>'Issues &amp; Punch List'!Q216</f>
        <v/>
      </c>
      <c r="D6250" s="46">
        <f>'Issues &amp; Punch List'!R216</f>
        <v/>
      </c>
      <c r="E6250" s="46">
        <f>IF(OR(B6250="",C6250="",D6250=""),"",D6250*100000+(C6250-DATE(2000,1,1))+ROW()/100000)</f>
        <v/>
      </c>
      <c r="F6250" s="46">
        <f>IF(E6250="","",IF(C6250&gt;WeekEndDate,"",E6250))</f>
        <v/>
      </c>
    </row>
    <row r="6251">
      <c r="A6251" t="inlineStr">
        <is>
          <t>Issues &amp; Punch List</t>
        </is>
      </c>
      <c r="B6251" s="46">
        <f>'Issues &amp; Punch List'!S217</f>
        <v/>
      </c>
      <c r="C6251" s="84">
        <f>'Issues &amp; Punch List'!Q217</f>
        <v/>
      </c>
      <c r="D6251" s="46">
        <f>'Issues &amp; Punch List'!R217</f>
        <v/>
      </c>
      <c r="E6251" s="46">
        <f>IF(OR(B6251="",C6251="",D6251=""),"",D6251*100000+(C6251-DATE(2000,1,1))+ROW()/100000)</f>
        <v/>
      </c>
      <c r="F6251" s="46">
        <f>IF(E6251="","",IF(C6251&gt;WeekEndDate,"",E6251))</f>
        <v/>
      </c>
    </row>
    <row r="6252">
      <c r="A6252" t="inlineStr">
        <is>
          <t>Issues &amp; Punch List</t>
        </is>
      </c>
      <c r="B6252" s="46">
        <f>'Issues &amp; Punch List'!S218</f>
        <v/>
      </c>
      <c r="C6252" s="84">
        <f>'Issues &amp; Punch List'!Q218</f>
        <v/>
      </c>
      <c r="D6252" s="46">
        <f>'Issues &amp; Punch List'!R218</f>
        <v/>
      </c>
      <c r="E6252" s="46">
        <f>IF(OR(B6252="",C6252="",D6252=""),"",D6252*100000+(C6252-DATE(2000,1,1))+ROW()/100000)</f>
        <v/>
      </c>
      <c r="F6252" s="46">
        <f>IF(E6252="","",IF(C6252&gt;WeekEndDate,"",E6252))</f>
        <v/>
      </c>
    </row>
    <row r="6253">
      <c r="A6253" t="inlineStr">
        <is>
          <t>Issues &amp; Punch List</t>
        </is>
      </c>
      <c r="B6253" s="46">
        <f>'Issues &amp; Punch List'!S219</f>
        <v/>
      </c>
      <c r="C6253" s="84">
        <f>'Issues &amp; Punch List'!Q219</f>
        <v/>
      </c>
      <c r="D6253" s="46">
        <f>'Issues &amp; Punch List'!R219</f>
        <v/>
      </c>
      <c r="E6253" s="46">
        <f>IF(OR(B6253="",C6253="",D6253=""),"",D6253*100000+(C6253-DATE(2000,1,1))+ROW()/100000)</f>
        <v/>
      </c>
      <c r="F6253" s="46">
        <f>IF(E6253="","",IF(C6253&gt;WeekEndDate,"",E6253))</f>
        <v/>
      </c>
    </row>
    <row r="6254">
      <c r="A6254" t="inlineStr">
        <is>
          <t>Issues &amp; Punch List</t>
        </is>
      </c>
      <c r="B6254" s="46">
        <f>'Issues &amp; Punch List'!S220</f>
        <v/>
      </c>
      <c r="C6254" s="84">
        <f>'Issues &amp; Punch List'!Q220</f>
        <v/>
      </c>
      <c r="D6254" s="46">
        <f>'Issues &amp; Punch List'!R220</f>
        <v/>
      </c>
      <c r="E6254" s="46">
        <f>IF(OR(B6254="",C6254="",D6254=""),"",D6254*100000+(C6254-DATE(2000,1,1))+ROW()/100000)</f>
        <v/>
      </c>
      <c r="F6254" s="46">
        <f>IF(E6254="","",IF(C6254&gt;WeekEndDate,"",E6254))</f>
        <v/>
      </c>
    </row>
    <row r="6255">
      <c r="A6255" t="inlineStr">
        <is>
          <t>Issues &amp; Punch List</t>
        </is>
      </c>
      <c r="B6255" s="46">
        <f>'Issues &amp; Punch List'!S221</f>
        <v/>
      </c>
      <c r="C6255" s="84">
        <f>'Issues &amp; Punch List'!Q221</f>
        <v/>
      </c>
      <c r="D6255" s="46">
        <f>'Issues &amp; Punch List'!R221</f>
        <v/>
      </c>
      <c r="E6255" s="46">
        <f>IF(OR(B6255="",C6255="",D6255=""),"",D6255*100000+(C6255-DATE(2000,1,1))+ROW()/100000)</f>
        <v/>
      </c>
      <c r="F6255" s="46">
        <f>IF(E6255="","",IF(C6255&gt;WeekEndDate,"",E6255))</f>
        <v/>
      </c>
    </row>
    <row r="6256">
      <c r="A6256" t="inlineStr">
        <is>
          <t>Issues &amp; Punch List</t>
        </is>
      </c>
      <c r="B6256" s="46">
        <f>'Issues &amp; Punch List'!S222</f>
        <v/>
      </c>
      <c r="C6256" s="84">
        <f>'Issues &amp; Punch List'!Q222</f>
        <v/>
      </c>
      <c r="D6256" s="46">
        <f>'Issues &amp; Punch List'!R222</f>
        <v/>
      </c>
      <c r="E6256" s="46">
        <f>IF(OR(B6256="",C6256="",D6256=""),"",D6256*100000+(C6256-DATE(2000,1,1))+ROW()/100000)</f>
        <v/>
      </c>
      <c r="F6256" s="46">
        <f>IF(E6256="","",IF(C6256&gt;WeekEndDate,"",E6256))</f>
        <v/>
      </c>
    </row>
    <row r="6257">
      <c r="A6257" t="inlineStr">
        <is>
          <t>Issues &amp; Punch List</t>
        </is>
      </c>
      <c r="B6257" s="46">
        <f>'Issues &amp; Punch List'!S223</f>
        <v/>
      </c>
      <c r="C6257" s="84">
        <f>'Issues &amp; Punch List'!Q223</f>
        <v/>
      </c>
      <c r="D6257" s="46">
        <f>'Issues &amp; Punch List'!R223</f>
        <v/>
      </c>
      <c r="E6257" s="46">
        <f>IF(OR(B6257="",C6257="",D6257=""),"",D6257*100000+(C6257-DATE(2000,1,1))+ROW()/100000)</f>
        <v/>
      </c>
      <c r="F6257" s="46">
        <f>IF(E6257="","",IF(C6257&gt;WeekEndDate,"",E6257))</f>
        <v/>
      </c>
    </row>
    <row r="6258">
      <c r="A6258" t="inlineStr">
        <is>
          <t>Issues &amp; Punch List</t>
        </is>
      </c>
      <c r="B6258" s="46">
        <f>'Issues &amp; Punch List'!S224</f>
        <v/>
      </c>
      <c r="C6258" s="84">
        <f>'Issues &amp; Punch List'!Q224</f>
        <v/>
      </c>
      <c r="D6258" s="46">
        <f>'Issues &amp; Punch List'!R224</f>
        <v/>
      </c>
      <c r="E6258" s="46">
        <f>IF(OR(B6258="",C6258="",D6258=""),"",D6258*100000+(C6258-DATE(2000,1,1))+ROW()/100000)</f>
        <v/>
      </c>
      <c r="F6258" s="46">
        <f>IF(E6258="","",IF(C6258&gt;WeekEndDate,"",E6258))</f>
        <v/>
      </c>
    </row>
    <row r="6259">
      <c r="A6259" t="inlineStr">
        <is>
          <t>Issues &amp; Punch List</t>
        </is>
      </c>
      <c r="B6259" s="46">
        <f>'Issues &amp; Punch List'!S225</f>
        <v/>
      </c>
      <c r="C6259" s="84">
        <f>'Issues &amp; Punch List'!Q225</f>
        <v/>
      </c>
      <c r="D6259" s="46">
        <f>'Issues &amp; Punch List'!R225</f>
        <v/>
      </c>
      <c r="E6259" s="46">
        <f>IF(OR(B6259="",C6259="",D6259=""),"",D6259*100000+(C6259-DATE(2000,1,1))+ROW()/100000)</f>
        <v/>
      </c>
      <c r="F6259" s="46">
        <f>IF(E6259="","",IF(C6259&gt;WeekEndDate,"",E6259))</f>
        <v/>
      </c>
    </row>
    <row r="6260">
      <c r="A6260" t="inlineStr">
        <is>
          <t>Issues &amp; Punch List</t>
        </is>
      </c>
      <c r="B6260" s="46">
        <f>'Issues &amp; Punch List'!S226</f>
        <v/>
      </c>
      <c r="C6260" s="84">
        <f>'Issues &amp; Punch List'!Q226</f>
        <v/>
      </c>
      <c r="D6260" s="46">
        <f>'Issues &amp; Punch List'!R226</f>
        <v/>
      </c>
      <c r="E6260" s="46">
        <f>IF(OR(B6260="",C6260="",D6260=""),"",D6260*100000+(C6260-DATE(2000,1,1))+ROW()/100000)</f>
        <v/>
      </c>
      <c r="F6260" s="46">
        <f>IF(E6260="","",IF(C6260&gt;WeekEndDate,"",E6260))</f>
        <v/>
      </c>
    </row>
    <row r="6261">
      <c r="A6261" t="inlineStr">
        <is>
          <t>Issues &amp; Punch List</t>
        </is>
      </c>
      <c r="B6261" s="46">
        <f>'Issues &amp; Punch List'!S227</f>
        <v/>
      </c>
      <c r="C6261" s="84">
        <f>'Issues &amp; Punch List'!Q227</f>
        <v/>
      </c>
      <c r="D6261" s="46">
        <f>'Issues &amp; Punch List'!R227</f>
        <v/>
      </c>
      <c r="E6261" s="46">
        <f>IF(OR(B6261="",C6261="",D6261=""),"",D6261*100000+(C6261-DATE(2000,1,1))+ROW()/100000)</f>
        <v/>
      </c>
      <c r="F6261" s="46">
        <f>IF(E6261="","",IF(C6261&gt;WeekEndDate,"",E6261))</f>
        <v/>
      </c>
    </row>
    <row r="6262">
      <c r="A6262" t="inlineStr">
        <is>
          <t>Issues &amp; Punch List</t>
        </is>
      </c>
      <c r="B6262" s="46">
        <f>'Issues &amp; Punch List'!S228</f>
        <v/>
      </c>
      <c r="C6262" s="84">
        <f>'Issues &amp; Punch List'!Q228</f>
        <v/>
      </c>
      <c r="D6262" s="46">
        <f>'Issues &amp; Punch List'!R228</f>
        <v/>
      </c>
      <c r="E6262" s="46">
        <f>IF(OR(B6262="",C6262="",D6262=""),"",D6262*100000+(C6262-DATE(2000,1,1))+ROW()/100000)</f>
        <v/>
      </c>
      <c r="F6262" s="46">
        <f>IF(E6262="","",IF(C6262&gt;WeekEndDate,"",E6262))</f>
        <v/>
      </c>
    </row>
    <row r="6263">
      <c r="A6263" t="inlineStr">
        <is>
          <t>Issues &amp; Punch List</t>
        </is>
      </c>
      <c r="B6263" s="46">
        <f>'Issues &amp; Punch List'!S229</f>
        <v/>
      </c>
      <c r="C6263" s="84">
        <f>'Issues &amp; Punch List'!Q229</f>
        <v/>
      </c>
      <c r="D6263" s="46">
        <f>'Issues &amp; Punch List'!R229</f>
        <v/>
      </c>
      <c r="E6263" s="46">
        <f>IF(OR(B6263="",C6263="",D6263=""),"",D6263*100000+(C6263-DATE(2000,1,1))+ROW()/100000)</f>
        <v/>
      </c>
      <c r="F6263" s="46">
        <f>IF(E6263="","",IF(C6263&gt;WeekEndDate,"",E6263))</f>
        <v/>
      </c>
    </row>
    <row r="6264">
      <c r="A6264" t="inlineStr">
        <is>
          <t>Issues &amp; Punch List</t>
        </is>
      </c>
      <c r="B6264" s="46">
        <f>'Issues &amp; Punch List'!S230</f>
        <v/>
      </c>
      <c r="C6264" s="84">
        <f>'Issues &amp; Punch List'!Q230</f>
        <v/>
      </c>
      <c r="D6264" s="46">
        <f>'Issues &amp; Punch List'!R230</f>
        <v/>
      </c>
      <c r="E6264" s="46">
        <f>IF(OR(B6264="",C6264="",D6264=""),"",D6264*100000+(C6264-DATE(2000,1,1))+ROW()/100000)</f>
        <v/>
      </c>
      <c r="F6264" s="46">
        <f>IF(E6264="","",IF(C6264&gt;WeekEndDate,"",E6264))</f>
        <v/>
      </c>
    </row>
    <row r="6265">
      <c r="A6265" t="inlineStr">
        <is>
          <t>Issues &amp; Punch List</t>
        </is>
      </c>
      <c r="B6265" s="46">
        <f>'Issues &amp; Punch List'!S231</f>
        <v/>
      </c>
      <c r="C6265" s="84">
        <f>'Issues &amp; Punch List'!Q231</f>
        <v/>
      </c>
      <c r="D6265" s="46">
        <f>'Issues &amp; Punch List'!R231</f>
        <v/>
      </c>
      <c r="E6265" s="46">
        <f>IF(OR(B6265="",C6265="",D6265=""),"",D6265*100000+(C6265-DATE(2000,1,1))+ROW()/100000)</f>
        <v/>
      </c>
      <c r="F6265" s="46">
        <f>IF(E6265="","",IF(C6265&gt;WeekEndDate,"",E6265))</f>
        <v/>
      </c>
    </row>
    <row r="6266">
      <c r="A6266" t="inlineStr">
        <is>
          <t>Issues &amp; Punch List</t>
        </is>
      </c>
      <c r="B6266" s="46">
        <f>'Issues &amp; Punch List'!S232</f>
        <v/>
      </c>
      <c r="C6266" s="84">
        <f>'Issues &amp; Punch List'!Q232</f>
        <v/>
      </c>
      <c r="D6266" s="46">
        <f>'Issues &amp; Punch List'!R232</f>
        <v/>
      </c>
      <c r="E6266" s="46">
        <f>IF(OR(B6266="",C6266="",D6266=""),"",D6266*100000+(C6266-DATE(2000,1,1))+ROW()/100000)</f>
        <v/>
      </c>
      <c r="F6266" s="46">
        <f>IF(E6266="","",IF(C6266&gt;WeekEndDate,"",E6266))</f>
        <v/>
      </c>
    </row>
    <row r="6267">
      <c r="A6267" t="inlineStr">
        <is>
          <t>Issues &amp; Punch List</t>
        </is>
      </c>
      <c r="B6267" s="46">
        <f>'Issues &amp; Punch List'!S233</f>
        <v/>
      </c>
      <c r="C6267" s="84">
        <f>'Issues &amp; Punch List'!Q233</f>
        <v/>
      </c>
      <c r="D6267" s="46">
        <f>'Issues &amp; Punch List'!R233</f>
        <v/>
      </c>
      <c r="E6267" s="46">
        <f>IF(OR(B6267="",C6267="",D6267=""),"",D6267*100000+(C6267-DATE(2000,1,1))+ROW()/100000)</f>
        <v/>
      </c>
      <c r="F6267" s="46">
        <f>IF(E6267="","",IF(C6267&gt;WeekEndDate,"",E6267))</f>
        <v/>
      </c>
    </row>
    <row r="6268">
      <c r="A6268" t="inlineStr">
        <is>
          <t>Issues &amp; Punch List</t>
        </is>
      </c>
      <c r="B6268" s="46">
        <f>'Issues &amp; Punch List'!S234</f>
        <v/>
      </c>
      <c r="C6268" s="84">
        <f>'Issues &amp; Punch List'!Q234</f>
        <v/>
      </c>
      <c r="D6268" s="46">
        <f>'Issues &amp; Punch List'!R234</f>
        <v/>
      </c>
      <c r="E6268" s="46">
        <f>IF(OR(B6268="",C6268="",D6268=""),"",D6268*100000+(C6268-DATE(2000,1,1))+ROW()/100000)</f>
        <v/>
      </c>
      <c r="F6268" s="46">
        <f>IF(E6268="","",IF(C6268&gt;WeekEndDate,"",E6268))</f>
        <v/>
      </c>
    </row>
    <row r="6269">
      <c r="A6269" t="inlineStr">
        <is>
          <t>Issues &amp; Punch List</t>
        </is>
      </c>
      <c r="B6269" s="46">
        <f>'Issues &amp; Punch List'!S235</f>
        <v/>
      </c>
      <c r="C6269" s="84">
        <f>'Issues &amp; Punch List'!Q235</f>
        <v/>
      </c>
      <c r="D6269" s="46">
        <f>'Issues &amp; Punch List'!R235</f>
        <v/>
      </c>
      <c r="E6269" s="46">
        <f>IF(OR(B6269="",C6269="",D6269=""),"",D6269*100000+(C6269-DATE(2000,1,1))+ROW()/100000)</f>
        <v/>
      </c>
      <c r="F6269" s="46">
        <f>IF(E6269="","",IF(C6269&gt;WeekEndDate,"",E6269))</f>
        <v/>
      </c>
    </row>
    <row r="6270">
      <c r="A6270" t="inlineStr">
        <is>
          <t>Issues &amp; Punch List</t>
        </is>
      </c>
      <c r="B6270" s="46">
        <f>'Issues &amp; Punch List'!S236</f>
        <v/>
      </c>
      <c r="C6270" s="84">
        <f>'Issues &amp; Punch List'!Q236</f>
        <v/>
      </c>
      <c r="D6270" s="46">
        <f>'Issues &amp; Punch List'!R236</f>
        <v/>
      </c>
      <c r="E6270" s="46">
        <f>IF(OR(B6270="",C6270="",D6270=""),"",D6270*100000+(C6270-DATE(2000,1,1))+ROW()/100000)</f>
        <v/>
      </c>
      <c r="F6270" s="46">
        <f>IF(E6270="","",IF(C6270&gt;WeekEndDate,"",E6270))</f>
        <v/>
      </c>
    </row>
    <row r="6271">
      <c r="A6271" t="inlineStr">
        <is>
          <t>Issues &amp; Punch List</t>
        </is>
      </c>
      <c r="B6271" s="46">
        <f>'Issues &amp; Punch List'!S237</f>
        <v/>
      </c>
      <c r="C6271" s="84">
        <f>'Issues &amp; Punch List'!Q237</f>
        <v/>
      </c>
      <c r="D6271" s="46">
        <f>'Issues &amp; Punch List'!R237</f>
        <v/>
      </c>
      <c r="E6271" s="46">
        <f>IF(OR(B6271="",C6271="",D6271=""),"",D6271*100000+(C6271-DATE(2000,1,1))+ROW()/100000)</f>
        <v/>
      </c>
      <c r="F6271" s="46">
        <f>IF(E6271="","",IF(C6271&gt;WeekEndDate,"",E6271))</f>
        <v/>
      </c>
    </row>
    <row r="6272">
      <c r="A6272" t="inlineStr">
        <is>
          <t>Issues &amp; Punch List</t>
        </is>
      </c>
      <c r="B6272" s="46">
        <f>'Issues &amp; Punch List'!S238</f>
        <v/>
      </c>
      <c r="C6272" s="84">
        <f>'Issues &amp; Punch List'!Q238</f>
        <v/>
      </c>
      <c r="D6272" s="46">
        <f>'Issues &amp; Punch List'!R238</f>
        <v/>
      </c>
      <c r="E6272" s="46">
        <f>IF(OR(B6272="",C6272="",D6272=""),"",D6272*100000+(C6272-DATE(2000,1,1))+ROW()/100000)</f>
        <v/>
      </c>
      <c r="F6272" s="46">
        <f>IF(E6272="","",IF(C6272&gt;WeekEndDate,"",E6272))</f>
        <v/>
      </c>
    </row>
    <row r="6273">
      <c r="A6273" t="inlineStr">
        <is>
          <t>Issues &amp; Punch List</t>
        </is>
      </c>
      <c r="B6273" s="46">
        <f>'Issues &amp; Punch List'!S239</f>
        <v/>
      </c>
      <c r="C6273" s="84">
        <f>'Issues &amp; Punch List'!Q239</f>
        <v/>
      </c>
      <c r="D6273" s="46">
        <f>'Issues &amp; Punch List'!R239</f>
        <v/>
      </c>
      <c r="E6273" s="46">
        <f>IF(OR(B6273="",C6273="",D6273=""),"",D6273*100000+(C6273-DATE(2000,1,1))+ROW()/100000)</f>
        <v/>
      </c>
      <c r="F6273" s="46">
        <f>IF(E6273="","",IF(C6273&gt;WeekEndDate,"",E6273))</f>
        <v/>
      </c>
    </row>
    <row r="6274">
      <c r="A6274" t="inlineStr">
        <is>
          <t>Issues &amp; Punch List</t>
        </is>
      </c>
      <c r="B6274" s="46">
        <f>'Issues &amp; Punch List'!S240</f>
        <v/>
      </c>
      <c r="C6274" s="84">
        <f>'Issues &amp; Punch List'!Q240</f>
        <v/>
      </c>
      <c r="D6274" s="46">
        <f>'Issues &amp; Punch List'!R240</f>
        <v/>
      </c>
      <c r="E6274" s="46">
        <f>IF(OR(B6274="",C6274="",D6274=""),"",D6274*100000+(C6274-DATE(2000,1,1))+ROW()/100000)</f>
        <v/>
      </c>
      <c r="F6274" s="46">
        <f>IF(E6274="","",IF(C6274&gt;WeekEndDate,"",E6274))</f>
        <v/>
      </c>
    </row>
    <row r="6275">
      <c r="A6275" t="inlineStr">
        <is>
          <t>Issues &amp; Punch List</t>
        </is>
      </c>
      <c r="B6275" s="46">
        <f>'Issues &amp; Punch List'!S241</f>
        <v/>
      </c>
      <c r="C6275" s="84">
        <f>'Issues &amp; Punch List'!Q241</f>
        <v/>
      </c>
      <c r="D6275" s="46">
        <f>'Issues &amp; Punch List'!R241</f>
        <v/>
      </c>
      <c r="E6275" s="46">
        <f>IF(OR(B6275="",C6275="",D6275=""),"",D6275*100000+(C6275-DATE(2000,1,1))+ROW()/100000)</f>
        <v/>
      </c>
      <c r="F6275" s="46">
        <f>IF(E6275="","",IF(C6275&gt;WeekEndDate,"",E6275))</f>
        <v/>
      </c>
    </row>
    <row r="6276">
      <c r="A6276" t="inlineStr">
        <is>
          <t>Issues &amp; Punch List</t>
        </is>
      </c>
      <c r="B6276" s="46">
        <f>'Issues &amp; Punch List'!S242</f>
        <v/>
      </c>
      <c r="C6276" s="84">
        <f>'Issues &amp; Punch List'!Q242</f>
        <v/>
      </c>
      <c r="D6276" s="46">
        <f>'Issues &amp; Punch List'!R242</f>
        <v/>
      </c>
      <c r="E6276" s="46">
        <f>IF(OR(B6276="",C6276="",D6276=""),"",D6276*100000+(C6276-DATE(2000,1,1))+ROW()/100000)</f>
        <v/>
      </c>
      <c r="F6276" s="46">
        <f>IF(E6276="","",IF(C6276&gt;WeekEndDate,"",E6276))</f>
        <v/>
      </c>
    </row>
    <row r="6277">
      <c r="A6277" t="inlineStr">
        <is>
          <t>Issues &amp; Punch List</t>
        </is>
      </c>
      <c r="B6277" s="46">
        <f>'Issues &amp; Punch List'!S243</f>
        <v/>
      </c>
      <c r="C6277" s="84">
        <f>'Issues &amp; Punch List'!Q243</f>
        <v/>
      </c>
      <c r="D6277" s="46">
        <f>'Issues &amp; Punch List'!R243</f>
        <v/>
      </c>
      <c r="E6277" s="46">
        <f>IF(OR(B6277="",C6277="",D6277=""),"",D6277*100000+(C6277-DATE(2000,1,1))+ROW()/100000)</f>
        <v/>
      </c>
      <c r="F6277" s="46">
        <f>IF(E6277="","",IF(C6277&gt;WeekEndDate,"",E6277))</f>
        <v/>
      </c>
    </row>
    <row r="6278">
      <c r="A6278" t="inlineStr">
        <is>
          <t>Issues &amp; Punch List</t>
        </is>
      </c>
      <c r="B6278" s="46">
        <f>'Issues &amp; Punch List'!S244</f>
        <v/>
      </c>
      <c r="C6278" s="84">
        <f>'Issues &amp; Punch List'!Q244</f>
        <v/>
      </c>
      <c r="D6278" s="46">
        <f>'Issues &amp; Punch List'!R244</f>
        <v/>
      </c>
      <c r="E6278" s="46">
        <f>IF(OR(B6278="",C6278="",D6278=""),"",D6278*100000+(C6278-DATE(2000,1,1))+ROW()/100000)</f>
        <v/>
      </c>
      <c r="F6278" s="46">
        <f>IF(E6278="","",IF(C6278&gt;WeekEndDate,"",E6278))</f>
        <v/>
      </c>
    </row>
    <row r="6279">
      <c r="A6279" t="inlineStr">
        <is>
          <t>Issues &amp; Punch List</t>
        </is>
      </c>
      <c r="B6279" s="46">
        <f>'Issues &amp; Punch List'!S245</f>
        <v/>
      </c>
      <c r="C6279" s="84">
        <f>'Issues &amp; Punch List'!Q245</f>
        <v/>
      </c>
      <c r="D6279" s="46">
        <f>'Issues &amp; Punch List'!R245</f>
        <v/>
      </c>
      <c r="E6279" s="46">
        <f>IF(OR(B6279="",C6279="",D6279=""),"",D6279*100000+(C6279-DATE(2000,1,1))+ROW()/100000)</f>
        <v/>
      </c>
      <c r="F6279" s="46">
        <f>IF(E6279="","",IF(C6279&gt;WeekEndDate,"",E6279))</f>
        <v/>
      </c>
    </row>
    <row r="6280">
      <c r="A6280" t="inlineStr">
        <is>
          <t>Issues &amp; Punch List</t>
        </is>
      </c>
      <c r="B6280" s="46">
        <f>'Issues &amp; Punch List'!S246</f>
        <v/>
      </c>
      <c r="C6280" s="84">
        <f>'Issues &amp; Punch List'!Q246</f>
        <v/>
      </c>
      <c r="D6280" s="46">
        <f>'Issues &amp; Punch List'!R246</f>
        <v/>
      </c>
      <c r="E6280" s="46">
        <f>IF(OR(B6280="",C6280="",D6280=""),"",D6280*100000+(C6280-DATE(2000,1,1))+ROW()/100000)</f>
        <v/>
      </c>
      <c r="F6280" s="46">
        <f>IF(E6280="","",IF(C6280&gt;WeekEndDate,"",E6280))</f>
        <v/>
      </c>
    </row>
    <row r="6281">
      <c r="A6281" t="inlineStr">
        <is>
          <t>Issues &amp; Punch List</t>
        </is>
      </c>
      <c r="B6281" s="46">
        <f>'Issues &amp; Punch List'!S247</f>
        <v/>
      </c>
      <c r="C6281" s="84">
        <f>'Issues &amp; Punch List'!Q247</f>
        <v/>
      </c>
      <c r="D6281" s="46">
        <f>'Issues &amp; Punch List'!R247</f>
        <v/>
      </c>
      <c r="E6281" s="46">
        <f>IF(OR(B6281="",C6281="",D6281=""),"",D6281*100000+(C6281-DATE(2000,1,1))+ROW()/100000)</f>
        <v/>
      </c>
      <c r="F6281" s="46">
        <f>IF(E6281="","",IF(C6281&gt;WeekEndDate,"",E6281))</f>
        <v/>
      </c>
    </row>
    <row r="6282">
      <c r="A6282" t="inlineStr">
        <is>
          <t>Issues &amp; Punch List</t>
        </is>
      </c>
      <c r="B6282" s="46">
        <f>'Issues &amp; Punch List'!S248</f>
        <v/>
      </c>
      <c r="C6282" s="84">
        <f>'Issues &amp; Punch List'!Q248</f>
        <v/>
      </c>
      <c r="D6282" s="46">
        <f>'Issues &amp; Punch List'!R248</f>
        <v/>
      </c>
      <c r="E6282" s="46">
        <f>IF(OR(B6282="",C6282="",D6282=""),"",D6282*100000+(C6282-DATE(2000,1,1))+ROW()/100000)</f>
        <v/>
      </c>
      <c r="F6282" s="46">
        <f>IF(E6282="","",IF(C6282&gt;WeekEndDate,"",E6282))</f>
        <v/>
      </c>
    </row>
    <row r="6283">
      <c r="A6283" t="inlineStr">
        <is>
          <t>Issues &amp; Punch List</t>
        </is>
      </c>
      <c r="B6283" s="46">
        <f>'Issues &amp; Punch List'!S249</f>
        <v/>
      </c>
      <c r="C6283" s="84">
        <f>'Issues &amp; Punch List'!Q249</f>
        <v/>
      </c>
      <c r="D6283" s="46">
        <f>'Issues &amp; Punch List'!R249</f>
        <v/>
      </c>
      <c r="E6283" s="46">
        <f>IF(OR(B6283="",C6283="",D6283=""),"",D6283*100000+(C6283-DATE(2000,1,1))+ROW()/100000)</f>
        <v/>
      </c>
      <c r="F6283" s="46">
        <f>IF(E6283="","",IF(C6283&gt;WeekEndDate,"",E6283))</f>
        <v/>
      </c>
    </row>
    <row r="6284">
      <c r="A6284" t="inlineStr">
        <is>
          <t>Issues &amp; Punch List</t>
        </is>
      </c>
      <c r="B6284" s="46">
        <f>'Issues &amp; Punch List'!S250</f>
        <v/>
      </c>
      <c r="C6284" s="84">
        <f>'Issues &amp; Punch List'!Q250</f>
        <v/>
      </c>
      <c r="D6284" s="46">
        <f>'Issues &amp; Punch List'!R250</f>
        <v/>
      </c>
      <c r="E6284" s="46">
        <f>IF(OR(B6284="",C6284="",D6284=""),"",D6284*100000+(C6284-DATE(2000,1,1))+ROW()/100000)</f>
        <v/>
      </c>
      <c r="F6284" s="46">
        <f>IF(E6284="","",IF(C6284&gt;WeekEndDate,"",E6284))</f>
        <v/>
      </c>
    </row>
    <row r="6285">
      <c r="A6285" t="inlineStr">
        <is>
          <t>Issues &amp; Punch List</t>
        </is>
      </c>
      <c r="B6285" s="46">
        <f>'Issues &amp; Punch List'!S251</f>
        <v/>
      </c>
      <c r="C6285" s="84">
        <f>'Issues &amp; Punch List'!Q251</f>
        <v/>
      </c>
      <c r="D6285" s="46">
        <f>'Issues &amp; Punch List'!R251</f>
        <v/>
      </c>
      <c r="E6285" s="46">
        <f>IF(OR(B6285="",C6285="",D6285=""),"",D6285*100000+(C6285-DATE(2000,1,1))+ROW()/100000)</f>
        <v/>
      </c>
      <c r="F6285" s="46">
        <f>IF(E6285="","",IF(C6285&gt;WeekEndDate,"",E6285))</f>
        <v/>
      </c>
    </row>
    <row r="6286">
      <c r="A6286" t="inlineStr">
        <is>
          <t>Issues &amp; Punch List</t>
        </is>
      </c>
      <c r="B6286" s="46">
        <f>'Issues &amp; Punch List'!S252</f>
        <v/>
      </c>
      <c r="C6286" s="84">
        <f>'Issues &amp; Punch List'!Q252</f>
        <v/>
      </c>
      <c r="D6286" s="46">
        <f>'Issues &amp; Punch List'!R252</f>
        <v/>
      </c>
      <c r="E6286" s="46">
        <f>IF(OR(B6286="",C6286="",D6286=""),"",D6286*100000+(C6286-DATE(2000,1,1))+ROW()/100000)</f>
        <v/>
      </c>
      <c r="F6286" s="46">
        <f>IF(E6286="","",IF(C6286&gt;WeekEndDate,"",E6286))</f>
        <v/>
      </c>
    </row>
    <row r="6287">
      <c r="A6287" t="inlineStr">
        <is>
          <t>Issues &amp; Punch List</t>
        </is>
      </c>
      <c r="B6287" s="46">
        <f>'Issues &amp; Punch List'!S253</f>
        <v/>
      </c>
      <c r="C6287" s="84">
        <f>'Issues &amp; Punch List'!Q253</f>
        <v/>
      </c>
      <c r="D6287" s="46">
        <f>'Issues &amp; Punch List'!R253</f>
        <v/>
      </c>
      <c r="E6287" s="46">
        <f>IF(OR(B6287="",C6287="",D6287=""),"",D6287*100000+(C6287-DATE(2000,1,1))+ROW()/100000)</f>
        <v/>
      </c>
      <c r="F6287" s="46">
        <f>IF(E6287="","",IF(C6287&gt;WeekEndDate,"",E6287))</f>
        <v/>
      </c>
    </row>
    <row r="6288">
      <c r="A6288" t="inlineStr">
        <is>
          <t>Issues &amp; Punch List</t>
        </is>
      </c>
      <c r="B6288" s="46">
        <f>'Issues &amp; Punch List'!S254</f>
        <v/>
      </c>
      <c r="C6288" s="84">
        <f>'Issues &amp; Punch List'!Q254</f>
        <v/>
      </c>
      <c r="D6288" s="46">
        <f>'Issues &amp; Punch List'!R254</f>
        <v/>
      </c>
      <c r="E6288" s="46">
        <f>IF(OR(B6288="",C6288="",D6288=""),"",D6288*100000+(C6288-DATE(2000,1,1))+ROW()/100000)</f>
        <v/>
      </c>
      <c r="F6288" s="46">
        <f>IF(E6288="","",IF(C6288&gt;WeekEndDate,"",E6288))</f>
        <v/>
      </c>
    </row>
    <row r="6289">
      <c r="A6289" t="inlineStr">
        <is>
          <t>Issues &amp; Punch List</t>
        </is>
      </c>
      <c r="B6289" s="46">
        <f>'Issues &amp; Punch List'!S255</f>
        <v/>
      </c>
      <c r="C6289" s="84">
        <f>'Issues &amp; Punch List'!Q255</f>
        <v/>
      </c>
      <c r="D6289" s="46">
        <f>'Issues &amp; Punch List'!R255</f>
        <v/>
      </c>
      <c r="E6289" s="46">
        <f>IF(OR(B6289="",C6289="",D6289=""),"",D6289*100000+(C6289-DATE(2000,1,1))+ROW()/100000)</f>
        <v/>
      </c>
      <c r="F6289" s="46">
        <f>IF(E6289="","",IF(C6289&gt;WeekEndDate,"",E6289))</f>
        <v/>
      </c>
    </row>
    <row r="6290">
      <c r="A6290" t="inlineStr">
        <is>
          <t>Issues &amp; Punch List</t>
        </is>
      </c>
      <c r="B6290" s="46">
        <f>'Issues &amp; Punch List'!S256</f>
        <v/>
      </c>
      <c r="C6290" s="84">
        <f>'Issues &amp; Punch List'!Q256</f>
        <v/>
      </c>
      <c r="D6290" s="46">
        <f>'Issues &amp; Punch List'!R256</f>
        <v/>
      </c>
      <c r="E6290" s="46">
        <f>IF(OR(B6290="",C6290="",D6290=""),"",D6290*100000+(C6290-DATE(2000,1,1))+ROW()/100000)</f>
        <v/>
      </c>
      <c r="F6290" s="46">
        <f>IF(E6290="","",IF(C6290&gt;WeekEndDate,"",E6290))</f>
        <v/>
      </c>
    </row>
    <row r="6291">
      <c r="A6291" t="inlineStr">
        <is>
          <t>Issues &amp; Punch List</t>
        </is>
      </c>
      <c r="B6291" s="46">
        <f>'Issues &amp; Punch List'!S257</f>
        <v/>
      </c>
      <c r="C6291" s="84">
        <f>'Issues &amp; Punch List'!Q257</f>
        <v/>
      </c>
      <c r="D6291" s="46">
        <f>'Issues &amp; Punch List'!R257</f>
        <v/>
      </c>
      <c r="E6291" s="46">
        <f>IF(OR(B6291="",C6291="",D6291=""),"",D6291*100000+(C6291-DATE(2000,1,1))+ROW()/100000)</f>
        <v/>
      </c>
      <c r="F6291" s="46">
        <f>IF(E6291="","",IF(C6291&gt;WeekEndDate,"",E6291))</f>
        <v/>
      </c>
    </row>
    <row r="6292">
      <c r="A6292" t="inlineStr">
        <is>
          <t>Issues &amp; Punch List</t>
        </is>
      </c>
      <c r="B6292" s="46">
        <f>'Issues &amp; Punch List'!S258</f>
        <v/>
      </c>
      <c r="C6292" s="84">
        <f>'Issues &amp; Punch List'!Q258</f>
        <v/>
      </c>
      <c r="D6292" s="46">
        <f>'Issues &amp; Punch List'!R258</f>
        <v/>
      </c>
      <c r="E6292" s="46">
        <f>IF(OR(B6292="",C6292="",D6292=""),"",D6292*100000+(C6292-DATE(2000,1,1))+ROW()/100000)</f>
        <v/>
      </c>
      <c r="F6292" s="46">
        <f>IF(E6292="","",IF(C6292&gt;WeekEndDate,"",E6292))</f>
        <v/>
      </c>
    </row>
    <row r="6293">
      <c r="A6293" t="inlineStr">
        <is>
          <t>Issues &amp; Punch List</t>
        </is>
      </c>
      <c r="B6293" s="46">
        <f>'Issues &amp; Punch List'!S259</f>
        <v/>
      </c>
      <c r="C6293" s="84">
        <f>'Issues &amp; Punch List'!Q259</f>
        <v/>
      </c>
      <c r="D6293" s="46">
        <f>'Issues &amp; Punch List'!R259</f>
        <v/>
      </c>
      <c r="E6293" s="46">
        <f>IF(OR(B6293="",C6293="",D6293=""),"",D6293*100000+(C6293-DATE(2000,1,1))+ROW()/100000)</f>
        <v/>
      </c>
      <c r="F6293" s="46">
        <f>IF(E6293="","",IF(C6293&gt;WeekEndDate,"",E6293))</f>
        <v/>
      </c>
    </row>
    <row r="6294">
      <c r="A6294" t="inlineStr">
        <is>
          <t>Issues &amp; Punch List</t>
        </is>
      </c>
      <c r="B6294" s="46">
        <f>'Issues &amp; Punch List'!S260</f>
        <v/>
      </c>
      <c r="C6294" s="84">
        <f>'Issues &amp; Punch List'!Q260</f>
        <v/>
      </c>
      <c r="D6294" s="46">
        <f>'Issues &amp; Punch List'!R260</f>
        <v/>
      </c>
      <c r="E6294" s="46">
        <f>IF(OR(B6294="",C6294="",D6294=""),"",D6294*100000+(C6294-DATE(2000,1,1))+ROW()/100000)</f>
        <v/>
      </c>
      <c r="F6294" s="46">
        <f>IF(E6294="","",IF(C6294&gt;WeekEndDate,"",E6294))</f>
        <v/>
      </c>
    </row>
    <row r="6295">
      <c r="A6295" t="inlineStr">
        <is>
          <t>Issues &amp; Punch List</t>
        </is>
      </c>
      <c r="B6295" s="46">
        <f>'Issues &amp; Punch List'!S261</f>
        <v/>
      </c>
      <c r="C6295" s="84">
        <f>'Issues &amp; Punch List'!Q261</f>
        <v/>
      </c>
      <c r="D6295" s="46">
        <f>'Issues &amp; Punch List'!R261</f>
        <v/>
      </c>
      <c r="E6295" s="46">
        <f>IF(OR(B6295="",C6295="",D6295=""),"",D6295*100000+(C6295-DATE(2000,1,1))+ROW()/100000)</f>
        <v/>
      </c>
      <c r="F6295" s="46">
        <f>IF(E6295="","",IF(C6295&gt;WeekEndDate,"",E6295))</f>
        <v/>
      </c>
    </row>
    <row r="6296">
      <c r="A6296" t="inlineStr">
        <is>
          <t>Issues &amp; Punch List</t>
        </is>
      </c>
      <c r="B6296" s="46">
        <f>'Issues &amp; Punch List'!S262</f>
        <v/>
      </c>
      <c r="C6296" s="84">
        <f>'Issues &amp; Punch List'!Q262</f>
        <v/>
      </c>
      <c r="D6296" s="46">
        <f>'Issues &amp; Punch List'!R262</f>
        <v/>
      </c>
      <c r="E6296" s="46">
        <f>IF(OR(B6296="",C6296="",D6296=""),"",D6296*100000+(C6296-DATE(2000,1,1))+ROW()/100000)</f>
        <v/>
      </c>
      <c r="F6296" s="46">
        <f>IF(E6296="","",IF(C6296&gt;WeekEndDate,"",E6296))</f>
        <v/>
      </c>
    </row>
    <row r="6297">
      <c r="A6297" t="inlineStr">
        <is>
          <t>Issues &amp; Punch List</t>
        </is>
      </c>
      <c r="B6297" s="46">
        <f>'Issues &amp; Punch List'!S263</f>
        <v/>
      </c>
      <c r="C6297" s="84">
        <f>'Issues &amp; Punch List'!Q263</f>
        <v/>
      </c>
      <c r="D6297" s="46">
        <f>'Issues &amp; Punch List'!R263</f>
        <v/>
      </c>
      <c r="E6297" s="46">
        <f>IF(OR(B6297="",C6297="",D6297=""),"",D6297*100000+(C6297-DATE(2000,1,1))+ROW()/100000)</f>
        <v/>
      </c>
      <c r="F6297" s="46">
        <f>IF(E6297="","",IF(C6297&gt;WeekEndDate,"",E6297))</f>
        <v/>
      </c>
    </row>
    <row r="6298">
      <c r="A6298" t="inlineStr">
        <is>
          <t>Issues &amp; Punch List</t>
        </is>
      </c>
      <c r="B6298" s="46">
        <f>'Issues &amp; Punch List'!S264</f>
        <v/>
      </c>
      <c r="C6298" s="84">
        <f>'Issues &amp; Punch List'!Q264</f>
        <v/>
      </c>
      <c r="D6298" s="46">
        <f>'Issues &amp; Punch List'!R264</f>
        <v/>
      </c>
      <c r="E6298" s="46">
        <f>IF(OR(B6298="",C6298="",D6298=""),"",D6298*100000+(C6298-DATE(2000,1,1))+ROW()/100000)</f>
        <v/>
      </c>
      <c r="F6298" s="46">
        <f>IF(E6298="","",IF(C6298&gt;WeekEndDate,"",E6298))</f>
        <v/>
      </c>
    </row>
    <row r="6299">
      <c r="A6299" t="inlineStr">
        <is>
          <t>Issues &amp; Punch List</t>
        </is>
      </c>
      <c r="B6299" s="46">
        <f>'Issues &amp; Punch List'!S265</f>
        <v/>
      </c>
      <c r="C6299" s="84">
        <f>'Issues &amp; Punch List'!Q265</f>
        <v/>
      </c>
      <c r="D6299" s="46">
        <f>'Issues &amp; Punch List'!R265</f>
        <v/>
      </c>
      <c r="E6299" s="46">
        <f>IF(OR(B6299="",C6299="",D6299=""),"",D6299*100000+(C6299-DATE(2000,1,1))+ROW()/100000)</f>
        <v/>
      </c>
      <c r="F6299" s="46">
        <f>IF(E6299="","",IF(C6299&gt;WeekEndDate,"",E6299))</f>
        <v/>
      </c>
    </row>
    <row r="6300">
      <c r="A6300" t="inlineStr">
        <is>
          <t>Issues &amp; Punch List</t>
        </is>
      </c>
      <c r="B6300" s="46">
        <f>'Issues &amp; Punch List'!S266</f>
        <v/>
      </c>
      <c r="C6300" s="84">
        <f>'Issues &amp; Punch List'!Q266</f>
        <v/>
      </c>
      <c r="D6300" s="46">
        <f>'Issues &amp; Punch List'!R266</f>
        <v/>
      </c>
      <c r="E6300" s="46">
        <f>IF(OR(B6300="",C6300="",D6300=""),"",D6300*100000+(C6300-DATE(2000,1,1))+ROW()/100000)</f>
        <v/>
      </c>
      <c r="F6300" s="46">
        <f>IF(E6300="","",IF(C6300&gt;WeekEndDate,"",E6300))</f>
        <v/>
      </c>
    </row>
    <row r="6301">
      <c r="A6301" t="inlineStr">
        <is>
          <t>Issues &amp; Punch List</t>
        </is>
      </c>
      <c r="B6301" s="46">
        <f>'Issues &amp; Punch List'!S267</f>
        <v/>
      </c>
      <c r="C6301" s="84">
        <f>'Issues &amp; Punch List'!Q267</f>
        <v/>
      </c>
      <c r="D6301" s="46">
        <f>'Issues &amp; Punch List'!R267</f>
        <v/>
      </c>
      <c r="E6301" s="46">
        <f>IF(OR(B6301="",C6301="",D6301=""),"",D6301*100000+(C6301-DATE(2000,1,1))+ROW()/100000)</f>
        <v/>
      </c>
      <c r="F6301" s="46">
        <f>IF(E6301="","",IF(C6301&gt;WeekEndDate,"",E6301))</f>
        <v/>
      </c>
    </row>
    <row r="6302">
      <c r="A6302" t="inlineStr">
        <is>
          <t>Issues &amp; Punch List</t>
        </is>
      </c>
      <c r="B6302" s="46">
        <f>'Issues &amp; Punch List'!S268</f>
        <v/>
      </c>
      <c r="C6302" s="84">
        <f>'Issues &amp; Punch List'!Q268</f>
        <v/>
      </c>
      <c r="D6302" s="46">
        <f>'Issues &amp; Punch List'!R268</f>
        <v/>
      </c>
      <c r="E6302" s="46">
        <f>IF(OR(B6302="",C6302="",D6302=""),"",D6302*100000+(C6302-DATE(2000,1,1))+ROW()/100000)</f>
        <v/>
      </c>
      <c r="F6302" s="46">
        <f>IF(E6302="","",IF(C6302&gt;WeekEndDate,"",E6302))</f>
        <v/>
      </c>
    </row>
    <row r="6303">
      <c r="A6303" t="inlineStr">
        <is>
          <t>Issues &amp; Punch List</t>
        </is>
      </c>
      <c r="B6303" s="46">
        <f>'Issues &amp; Punch List'!S269</f>
        <v/>
      </c>
      <c r="C6303" s="84">
        <f>'Issues &amp; Punch List'!Q269</f>
        <v/>
      </c>
      <c r="D6303" s="46">
        <f>'Issues &amp; Punch List'!R269</f>
        <v/>
      </c>
      <c r="E6303" s="46">
        <f>IF(OR(B6303="",C6303="",D6303=""),"",D6303*100000+(C6303-DATE(2000,1,1))+ROW()/100000)</f>
        <v/>
      </c>
      <c r="F6303" s="46">
        <f>IF(E6303="","",IF(C6303&gt;WeekEndDate,"",E6303))</f>
        <v/>
      </c>
    </row>
    <row r="6304">
      <c r="A6304" t="inlineStr">
        <is>
          <t>Issues &amp; Punch List</t>
        </is>
      </c>
      <c r="B6304" s="46">
        <f>'Issues &amp; Punch List'!S270</f>
        <v/>
      </c>
      <c r="C6304" s="84">
        <f>'Issues &amp; Punch List'!Q270</f>
        <v/>
      </c>
      <c r="D6304" s="46">
        <f>'Issues &amp; Punch List'!R270</f>
        <v/>
      </c>
      <c r="E6304" s="46">
        <f>IF(OR(B6304="",C6304="",D6304=""),"",D6304*100000+(C6304-DATE(2000,1,1))+ROW()/100000)</f>
        <v/>
      </c>
      <c r="F6304" s="46">
        <f>IF(E6304="","",IF(C6304&gt;WeekEndDate,"",E6304))</f>
        <v/>
      </c>
    </row>
    <row r="6305">
      <c r="A6305" t="inlineStr">
        <is>
          <t>Issues &amp; Punch List</t>
        </is>
      </c>
      <c r="B6305" s="46">
        <f>'Issues &amp; Punch List'!S271</f>
        <v/>
      </c>
      <c r="C6305" s="84">
        <f>'Issues &amp; Punch List'!Q271</f>
        <v/>
      </c>
      <c r="D6305" s="46">
        <f>'Issues &amp; Punch List'!R271</f>
        <v/>
      </c>
      <c r="E6305" s="46">
        <f>IF(OR(B6305="",C6305="",D6305=""),"",D6305*100000+(C6305-DATE(2000,1,1))+ROW()/100000)</f>
        <v/>
      </c>
      <c r="F6305" s="46">
        <f>IF(E6305="","",IF(C6305&gt;WeekEndDate,"",E6305))</f>
        <v/>
      </c>
    </row>
    <row r="6306">
      <c r="A6306" t="inlineStr">
        <is>
          <t>Issues &amp; Punch List</t>
        </is>
      </c>
      <c r="B6306" s="46">
        <f>'Issues &amp; Punch List'!S272</f>
        <v/>
      </c>
      <c r="C6306" s="84">
        <f>'Issues &amp; Punch List'!Q272</f>
        <v/>
      </c>
      <c r="D6306" s="46">
        <f>'Issues &amp; Punch List'!R272</f>
        <v/>
      </c>
      <c r="E6306" s="46">
        <f>IF(OR(B6306="",C6306="",D6306=""),"",D6306*100000+(C6306-DATE(2000,1,1))+ROW()/100000)</f>
        <v/>
      </c>
      <c r="F6306" s="46">
        <f>IF(E6306="","",IF(C6306&gt;WeekEndDate,"",E6306))</f>
        <v/>
      </c>
    </row>
    <row r="6307">
      <c r="A6307" t="inlineStr">
        <is>
          <t>Issues &amp; Punch List</t>
        </is>
      </c>
      <c r="B6307" s="46">
        <f>'Issues &amp; Punch List'!S273</f>
        <v/>
      </c>
      <c r="C6307" s="84">
        <f>'Issues &amp; Punch List'!Q273</f>
        <v/>
      </c>
      <c r="D6307" s="46">
        <f>'Issues &amp; Punch List'!R273</f>
        <v/>
      </c>
      <c r="E6307" s="46">
        <f>IF(OR(B6307="",C6307="",D6307=""),"",D6307*100000+(C6307-DATE(2000,1,1))+ROW()/100000)</f>
        <v/>
      </c>
      <c r="F6307" s="46">
        <f>IF(E6307="","",IF(C6307&gt;WeekEndDate,"",E6307))</f>
        <v/>
      </c>
    </row>
    <row r="6308">
      <c r="A6308" t="inlineStr">
        <is>
          <t>Issues &amp; Punch List</t>
        </is>
      </c>
      <c r="B6308" s="46">
        <f>'Issues &amp; Punch List'!S274</f>
        <v/>
      </c>
      <c r="C6308" s="84">
        <f>'Issues &amp; Punch List'!Q274</f>
        <v/>
      </c>
      <c r="D6308" s="46">
        <f>'Issues &amp; Punch List'!R274</f>
        <v/>
      </c>
      <c r="E6308" s="46">
        <f>IF(OR(B6308="",C6308="",D6308=""),"",D6308*100000+(C6308-DATE(2000,1,1))+ROW()/100000)</f>
        <v/>
      </c>
      <c r="F6308" s="46">
        <f>IF(E6308="","",IF(C6308&gt;WeekEndDate,"",E6308))</f>
        <v/>
      </c>
    </row>
    <row r="6309">
      <c r="A6309" t="inlineStr">
        <is>
          <t>Issues &amp; Punch List</t>
        </is>
      </c>
      <c r="B6309" s="46">
        <f>'Issues &amp; Punch List'!S275</f>
        <v/>
      </c>
      <c r="C6309" s="84">
        <f>'Issues &amp; Punch List'!Q275</f>
        <v/>
      </c>
      <c r="D6309" s="46">
        <f>'Issues &amp; Punch List'!R275</f>
        <v/>
      </c>
      <c r="E6309" s="46">
        <f>IF(OR(B6309="",C6309="",D6309=""),"",D6309*100000+(C6309-DATE(2000,1,1))+ROW()/100000)</f>
        <v/>
      </c>
      <c r="F6309" s="46">
        <f>IF(E6309="","",IF(C6309&gt;WeekEndDate,"",E6309))</f>
        <v/>
      </c>
    </row>
    <row r="6310">
      <c r="A6310" t="inlineStr">
        <is>
          <t>Issues &amp; Punch List</t>
        </is>
      </c>
      <c r="B6310" s="46">
        <f>'Issues &amp; Punch List'!S276</f>
        <v/>
      </c>
      <c r="C6310" s="84">
        <f>'Issues &amp; Punch List'!Q276</f>
        <v/>
      </c>
      <c r="D6310" s="46">
        <f>'Issues &amp; Punch List'!R276</f>
        <v/>
      </c>
      <c r="E6310" s="46">
        <f>IF(OR(B6310="",C6310="",D6310=""),"",D6310*100000+(C6310-DATE(2000,1,1))+ROW()/100000)</f>
        <v/>
      </c>
      <c r="F6310" s="46">
        <f>IF(E6310="","",IF(C6310&gt;WeekEndDate,"",E6310))</f>
        <v/>
      </c>
    </row>
    <row r="6311">
      <c r="A6311" t="inlineStr">
        <is>
          <t>Issues &amp; Punch List</t>
        </is>
      </c>
      <c r="B6311" s="46">
        <f>'Issues &amp; Punch List'!S277</f>
        <v/>
      </c>
      <c r="C6311" s="84">
        <f>'Issues &amp; Punch List'!Q277</f>
        <v/>
      </c>
      <c r="D6311" s="46">
        <f>'Issues &amp; Punch List'!R277</f>
        <v/>
      </c>
      <c r="E6311" s="46">
        <f>IF(OR(B6311="",C6311="",D6311=""),"",D6311*100000+(C6311-DATE(2000,1,1))+ROW()/100000)</f>
        <v/>
      </c>
      <c r="F6311" s="46">
        <f>IF(E6311="","",IF(C6311&gt;WeekEndDate,"",E6311))</f>
        <v/>
      </c>
    </row>
    <row r="6312">
      <c r="A6312" t="inlineStr">
        <is>
          <t>Issues &amp; Punch List</t>
        </is>
      </c>
      <c r="B6312" s="46">
        <f>'Issues &amp; Punch List'!S278</f>
        <v/>
      </c>
      <c r="C6312" s="84">
        <f>'Issues &amp; Punch List'!Q278</f>
        <v/>
      </c>
      <c r="D6312" s="46">
        <f>'Issues &amp; Punch List'!R278</f>
        <v/>
      </c>
      <c r="E6312" s="46">
        <f>IF(OR(B6312="",C6312="",D6312=""),"",D6312*100000+(C6312-DATE(2000,1,1))+ROW()/100000)</f>
        <v/>
      </c>
      <c r="F6312" s="46">
        <f>IF(E6312="","",IF(C6312&gt;WeekEndDate,"",E6312))</f>
        <v/>
      </c>
    </row>
    <row r="6313">
      <c r="A6313" t="inlineStr">
        <is>
          <t>Issues &amp; Punch List</t>
        </is>
      </c>
      <c r="B6313" s="46">
        <f>'Issues &amp; Punch List'!S279</f>
        <v/>
      </c>
      <c r="C6313" s="84">
        <f>'Issues &amp; Punch List'!Q279</f>
        <v/>
      </c>
      <c r="D6313" s="46">
        <f>'Issues &amp; Punch List'!R279</f>
        <v/>
      </c>
      <c r="E6313" s="46">
        <f>IF(OR(B6313="",C6313="",D6313=""),"",D6313*100000+(C6313-DATE(2000,1,1))+ROW()/100000)</f>
        <v/>
      </c>
      <c r="F6313" s="46">
        <f>IF(E6313="","",IF(C6313&gt;WeekEndDate,"",E6313))</f>
        <v/>
      </c>
    </row>
    <row r="6314">
      <c r="A6314" t="inlineStr">
        <is>
          <t>Issues &amp; Punch List</t>
        </is>
      </c>
      <c r="B6314" s="46">
        <f>'Issues &amp; Punch List'!S280</f>
        <v/>
      </c>
      <c r="C6314" s="84">
        <f>'Issues &amp; Punch List'!Q280</f>
        <v/>
      </c>
      <c r="D6314" s="46">
        <f>'Issues &amp; Punch List'!R280</f>
        <v/>
      </c>
      <c r="E6314" s="46">
        <f>IF(OR(B6314="",C6314="",D6314=""),"",D6314*100000+(C6314-DATE(2000,1,1))+ROW()/100000)</f>
        <v/>
      </c>
      <c r="F6314" s="46">
        <f>IF(E6314="","",IF(C6314&gt;WeekEndDate,"",E6314))</f>
        <v/>
      </c>
    </row>
    <row r="6315">
      <c r="A6315" t="inlineStr">
        <is>
          <t>Issues &amp; Punch List</t>
        </is>
      </c>
      <c r="B6315" s="46">
        <f>'Issues &amp; Punch List'!S281</f>
        <v/>
      </c>
      <c r="C6315" s="84">
        <f>'Issues &amp; Punch List'!Q281</f>
        <v/>
      </c>
      <c r="D6315" s="46">
        <f>'Issues &amp; Punch List'!R281</f>
        <v/>
      </c>
      <c r="E6315" s="46">
        <f>IF(OR(B6315="",C6315="",D6315=""),"",D6315*100000+(C6315-DATE(2000,1,1))+ROW()/100000)</f>
        <v/>
      </c>
      <c r="F6315" s="46">
        <f>IF(E6315="","",IF(C6315&gt;WeekEndDate,"",E6315))</f>
        <v/>
      </c>
    </row>
    <row r="6316">
      <c r="A6316" t="inlineStr">
        <is>
          <t>Issues &amp; Punch List</t>
        </is>
      </c>
      <c r="B6316" s="46">
        <f>'Issues &amp; Punch List'!S282</f>
        <v/>
      </c>
      <c r="C6316" s="84">
        <f>'Issues &amp; Punch List'!Q282</f>
        <v/>
      </c>
      <c r="D6316" s="46">
        <f>'Issues &amp; Punch List'!R282</f>
        <v/>
      </c>
      <c r="E6316" s="46">
        <f>IF(OR(B6316="",C6316="",D6316=""),"",D6316*100000+(C6316-DATE(2000,1,1))+ROW()/100000)</f>
        <v/>
      </c>
      <c r="F6316" s="46">
        <f>IF(E6316="","",IF(C6316&gt;WeekEndDate,"",E6316))</f>
        <v/>
      </c>
    </row>
    <row r="6317">
      <c r="A6317" t="inlineStr">
        <is>
          <t>Issues &amp; Punch List</t>
        </is>
      </c>
      <c r="B6317" s="46">
        <f>'Issues &amp; Punch List'!S283</f>
        <v/>
      </c>
      <c r="C6317" s="84">
        <f>'Issues &amp; Punch List'!Q283</f>
        <v/>
      </c>
      <c r="D6317" s="46">
        <f>'Issues &amp; Punch List'!R283</f>
        <v/>
      </c>
      <c r="E6317" s="46">
        <f>IF(OR(B6317="",C6317="",D6317=""),"",D6317*100000+(C6317-DATE(2000,1,1))+ROW()/100000)</f>
        <v/>
      </c>
      <c r="F6317" s="46">
        <f>IF(E6317="","",IF(C6317&gt;WeekEndDate,"",E6317))</f>
        <v/>
      </c>
    </row>
    <row r="6318">
      <c r="A6318" t="inlineStr">
        <is>
          <t>Issues &amp; Punch List</t>
        </is>
      </c>
      <c r="B6318" s="46">
        <f>'Issues &amp; Punch List'!S284</f>
        <v/>
      </c>
      <c r="C6318" s="84">
        <f>'Issues &amp; Punch List'!Q284</f>
        <v/>
      </c>
      <c r="D6318" s="46">
        <f>'Issues &amp; Punch List'!R284</f>
        <v/>
      </c>
      <c r="E6318" s="46">
        <f>IF(OR(B6318="",C6318="",D6318=""),"",D6318*100000+(C6318-DATE(2000,1,1))+ROW()/100000)</f>
        <v/>
      </c>
      <c r="F6318" s="46">
        <f>IF(E6318="","",IF(C6318&gt;WeekEndDate,"",E6318))</f>
        <v/>
      </c>
    </row>
    <row r="6319">
      <c r="A6319" t="inlineStr">
        <is>
          <t>Issues &amp; Punch List</t>
        </is>
      </c>
      <c r="B6319" s="46">
        <f>'Issues &amp; Punch List'!S285</f>
        <v/>
      </c>
      <c r="C6319" s="84">
        <f>'Issues &amp; Punch List'!Q285</f>
        <v/>
      </c>
      <c r="D6319" s="46">
        <f>'Issues &amp; Punch List'!R285</f>
        <v/>
      </c>
      <c r="E6319" s="46">
        <f>IF(OR(B6319="",C6319="",D6319=""),"",D6319*100000+(C6319-DATE(2000,1,1))+ROW()/100000)</f>
        <v/>
      </c>
      <c r="F6319" s="46">
        <f>IF(E6319="","",IF(C6319&gt;WeekEndDate,"",E6319))</f>
        <v/>
      </c>
    </row>
    <row r="6320">
      <c r="A6320" t="inlineStr">
        <is>
          <t>Issues &amp; Punch List</t>
        </is>
      </c>
      <c r="B6320" s="46">
        <f>'Issues &amp; Punch List'!S286</f>
        <v/>
      </c>
      <c r="C6320" s="84">
        <f>'Issues &amp; Punch List'!Q286</f>
        <v/>
      </c>
      <c r="D6320" s="46">
        <f>'Issues &amp; Punch List'!R286</f>
        <v/>
      </c>
      <c r="E6320" s="46">
        <f>IF(OR(B6320="",C6320="",D6320=""),"",D6320*100000+(C6320-DATE(2000,1,1))+ROW()/100000)</f>
        <v/>
      </c>
      <c r="F6320" s="46">
        <f>IF(E6320="","",IF(C6320&gt;WeekEndDate,"",E6320))</f>
        <v/>
      </c>
    </row>
    <row r="6321">
      <c r="A6321" t="inlineStr">
        <is>
          <t>Issues &amp; Punch List</t>
        </is>
      </c>
      <c r="B6321" s="46">
        <f>'Issues &amp; Punch List'!S287</f>
        <v/>
      </c>
      <c r="C6321" s="84">
        <f>'Issues &amp; Punch List'!Q287</f>
        <v/>
      </c>
      <c r="D6321" s="46">
        <f>'Issues &amp; Punch List'!R287</f>
        <v/>
      </c>
      <c r="E6321" s="46">
        <f>IF(OR(B6321="",C6321="",D6321=""),"",D6321*100000+(C6321-DATE(2000,1,1))+ROW()/100000)</f>
        <v/>
      </c>
      <c r="F6321" s="46">
        <f>IF(E6321="","",IF(C6321&gt;WeekEndDate,"",E6321))</f>
        <v/>
      </c>
    </row>
    <row r="6322">
      <c r="A6322" t="inlineStr">
        <is>
          <t>Issues &amp; Punch List</t>
        </is>
      </c>
      <c r="B6322" s="46">
        <f>'Issues &amp; Punch List'!S288</f>
        <v/>
      </c>
      <c r="C6322" s="84">
        <f>'Issues &amp; Punch List'!Q288</f>
        <v/>
      </c>
      <c r="D6322" s="46">
        <f>'Issues &amp; Punch List'!R288</f>
        <v/>
      </c>
      <c r="E6322" s="46">
        <f>IF(OR(B6322="",C6322="",D6322=""),"",D6322*100000+(C6322-DATE(2000,1,1))+ROW()/100000)</f>
        <v/>
      </c>
      <c r="F6322" s="46">
        <f>IF(E6322="","",IF(C6322&gt;WeekEndDate,"",E6322))</f>
        <v/>
      </c>
    </row>
    <row r="6323">
      <c r="A6323" t="inlineStr">
        <is>
          <t>Issues &amp; Punch List</t>
        </is>
      </c>
      <c r="B6323" s="46">
        <f>'Issues &amp; Punch List'!S289</f>
        <v/>
      </c>
      <c r="C6323" s="84">
        <f>'Issues &amp; Punch List'!Q289</f>
        <v/>
      </c>
      <c r="D6323" s="46">
        <f>'Issues &amp; Punch List'!R289</f>
        <v/>
      </c>
      <c r="E6323" s="46">
        <f>IF(OR(B6323="",C6323="",D6323=""),"",D6323*100000+(C6323-DATE(2000,1,1))+ROW()/100000)</f>
        <v/>
      </c>
      <c r="F6323" s="46">
        <f>IF(E6323="","",IF(C6323&gt;WeekEndDate,"",E6323))</f>
        <v/>
      </c>
    </row>
    <row r="6324">
      <c r="A6324" t="inlineStr">
        <is>
          <t>Issues &amp; Punch List</t>
        </is>
      </c>
      <c r="B6324" s="46">
        <f>'Issues &amp; Punch List'!S290</f>
        <v/>
      </c>
      <c r="C6324" s="84">
        <f>'Issues &amp; Punch List'!Q290</f>
        <v/>
      </c>
      <c r="D6324" s="46">
        <f>'Issues &amp; Punch List'!R290</f>
        <v/>
      </c>
      <c r="E6324" s="46">
        <f>IF(OR(B6324="",C6324="",D6324=""),"",D6324*100000+(C6324-DATE(2000,1,1))+ROW()/100000)</f>
        <v/>
      </c>
      <c r="F6324" s="46">
        <f>IF(E6324="","",IF(C6324&gt;WeekEndDate,"",E6324))</f>
        <v/>
      </c>
    </row>
    <row r="6325">
      <c r="A6325" t="inlineStr">
        <is>
          <t>Issues &amp; Punch List</t>
        </is>
      </c>
      <c r="B6325" s="46">
        <f>'Issues &amp; Punch List'!S291</f>
        <v/>
      </c>
      <c r="C6325" s="84">
        <f>'Issues &amp; Punch List'!Q291</f>
        <v/>
      </c>
      <c r="D6325" s="46">
        <f>'Issues &amp; Punch List'!R291</f>
        <v/>
      </c>
      <c r="E6325" s="46">
        <f>IF(OR(B6325="",C6325="",D6325=""),"",D6325*100000+(C6325-DATE(2000,1,1))+ROW()/100000)</f>
        <v/>
      </c>
      <c r="F6325" s="46">
        <f>IF(E6325="","",IF(C6325&gt;WeekEndDate,"",E6325))</f>
        <v/>
      </c>
    </row>
    <row r="6326">
      <c r="A6326" t="inlineStr">
        <is>
          <t>Issues &amp; Punch List</t>
        </is>
      </c>
      <c r="B6326" s="46">
        <f>'Issues &amp; Punch List'!S292</f>
        <v/>
      </c>
      <c r="C6326" s="84">
        <f>'Issues &amp; Punch List'!Q292</f>
        <v/>
      </c>
      <c r="D6326" s="46">
        <f>'Issues &amp; Punch List'!R292</f>
        <v/>
      </c>
      <c r="E6326" s="46">
        <f>IF(OR(B6326="",C6326="",D6326=""),"",D6326*100000+(C6326-DATE(2000,1,1))+ROW()/100000)</f>
        <v/>
      </c>
      <c r="F6326" s="46">
        <f>IF(E6326="","",IF(C6326&gt;WeekEndDate,"",E6326))</f>
        <v/>
      </c>
    </row>
    <row r="6327">
      <c r="A6327" t="inlineStr">
        <is>
          <t>Issues &amp; Punch List</t>
        </is>
      </c>
      <c r="B6327" s="46">
        <f>'Issues &amp; Punch List'!S293</f>
        <v/>
      </c>
      <c r="C6327" s="84">
        <f>'Issues &amp; Punch List'!Q293</f>
        <v/>
      </c>
      <c r="D6327" s="46">
        <f>'Issues &amp; Punch List'!R293</f>
        <v/>
      </c>
      <c r="E6327" s="46">
        <f>IF(OR(B6327="",C6327="",D6327=""),"",D6327*100000+(C6327-DATE(2000,1,1))+ROW()/100000)</f>
        <v/>
      </c>
      <c r="F6327" s="46">
        <f>IF(E6327="","",IF(C6327&gt;WeekEndDate,"",E6327))</f>
        <v/>
      </c>
    </row>
    <row r="6328">
      <c r="A6328" t="inlineStr">
        <is>
          <t>Issues &amp; Punch List</t>
        </is>
      </c>
      <c r="B6328" s="46">
        <f>'Issues &amp; Punch List'!S294</f>
        <v/>
      </c>
      <c r="C6328" s="84">
        <f>'Issues &amp; Punch List'!Q294</f>
        <v/>
      </c>
      <c r="D6328" s="46">
        <f>'Issues &amp; Punch List'!R294</f>
        <v/>
      </c>
      <c r="E6328" s="46">
        <f>IF(OR(B6328="",C6328="",D6328=""),"",D6328*100000+(C6328-DATE(2000,1,1))+ROW()/100000)</f>
        <v/>
      </c>
      <c r="F6328" s="46">
        <f>IF(E6328="","",IF(C6328&gt;WeekEndDate,"",E6328))</f>
        <v/>
      </c>
    </row>
    <row r="6329">
      <c r="A6329" t="inlineStr">
        <is>
          <t>Issues &amp; Punch List</t>
        </is>
      </c>
      <c r="B6329" s="46">
        <f>'Issues &amp; Punch List'!S295</f>
        <v/>
      </c>
      <c r="C6329" s="84">
        <f>'Issues &amp; Punch List'!Q295</f>
        <v/>
      </c>
      <c r="D6329" s="46">
        <f>'Issues &amp; Punch List'!R295</f>
        <v/>
      </c>
      <c r="E6329" s="46">
        <f>IF(OR(B6329="",C6329="",D6329=""),"",D6329*100000+(C6329-DATE(2000,1,1))+ROW()/100000)</f>
        <v/>
      </c>
      <c r="F6329" s="46">
        <f>IF(E6329="","",IF(C6329&gt;WeekEndDate,"",E6329))</f>
        <v/>
      </c>
    </row>
    <row r="6330">
      <c r="A6330" t="inlineStr">
        <is>
          <t>Issues &amp; Punch List</t>
        </is>
      </c>
      <c r="B6330" s="46">
        <f>'Issues &amp; Punch List'!S296</f>
        <v/>
      </c>
      <c r="C6330" s="84">
        <f>'Issues &amp; Punch List'!Q296</f>
        <v/>
      </c>
      <c r="D6330" s="46">
        <f>'Issues &amp; Punch List'!R296</f>
        <v/>
      </c>
      <c r="E6330" s="46">
        <f>IF(OR(B6330="",C6330="",D6330=""),"",D6330*100000+(C6330-DATE(2000,1,1))+ROW()/100000)</f>
        <v/>
      </c>
      <c r="F6330" s="46">
        <f>IF(E6330="","",IF(C6330&gt;WeekEndDate,"",E6330))</f>
        <v/>
      </c>
    </row>
    <row r="6331">
      <c r="A6331" t="inlineStr">
        <is>
          <t>Issues &amp; Punch List</t>
        </is>
      </c>
      <c r="B6331" s="46">
        <f>'Issues &amp; Punch List'!S297</f>
        <v/>
      </c>
      <c r="C6331" s="84">
        <f>'Issues &amp; Punch List'!Q297</f>
        <v/>
      </c>
      <c r="D6331" s="46">
        <f>'Issues &amp; Punch List'!R297</f>
        <v/>
      </c>
      <c r="E6331" s="46">
        <f>IF(OR(B6331="",C6331="",D6331=""),"",D6331*100000+(C6331-DATE(2000,1,1))+ROW()/100000)</f>
        <v/>
      </c>
      <c r="F6331" s="46">
        <f>IF(E6331="","",IF(C6331&gt;WeekEndDate,"",E6331))</f>
        <v/>
      </c>
    </row>
    <row r="6332">
      <c r="A6332" t="inlineStr">
        <is>
          <t>Issues &amp; Punch List</t>
        </is>
      </c>
      <c r="B6332" s="46">
        <f>'Issues &amp; Punch List'!S298</f>
        <v/>
      </c>
      <c r="C6332" s="84">
        <f>'Issues &amp; Punch List'!Q298</f>
        <v/>
      </c>
      <c r="D6332" s="46">
        <f>'Issues &amp; Punch List'!R298</f>
        <v/>
      </c>
      <c r="E6332" s="46">
        <f>IF(OR(B6332="",C6332="",D6332=""),"",D6332*100000+(C6332-DATE(2000,1,1))+ROW()/100000)</f>
        <v/>
      </c>
      <c r="F6332" s="46">
        <f>IF(E6332="","",IF(C6332&gt;WeekEndDate,"",E6332))</f>
        <v/>
      </c>
    </row>
    <row r="6333">
      <c r="A6333" t="inlineStr">
        <is>
          <t>Issues &amp; Punch List</t>
        </is>
      </c>
      <c r="B6333" s="46">
        <f>'Issues &amp; Punch List'!S299</f>
        <v/>
      </c>
      <c r="C6333" s="84">
        <f>'Issues &amp; Punch List'!Q299</f>
        <v/>
      </c>
      <c r="D6333" s="46">
        <f>'Issues &amp; Punch List'!R299</f>
        <v/>
      </c>
      <c r="E6333" s="46">
        <f>IF(OR(B6333="",C6333="",D6333=""),"",D6333*100000+(C6333-DATE(2000,1,1))+ROW()/100000)</f>
        <v/>
      </c>
      <c r="F6333" s="46">
        <f>IF(E6333="","",IF(C6333&gt;WeekEndDate,"",E6333))</f>
        <v/>
      </c>
    </row>
    <row r="6334">
      <c r="A6334" t="inlineStr">
        <is>
          <t>Issues &amp; Punch List</t>
        </is>
      </c>
      <c r="B6334" s="46">
        <f>'Issues &amp; Punch List'!S300</f>
        <v/>
      </c>
      <c r="C6334" s="84">
        <f>'Issues &amp; Punch List'!Q300</f>
        <v/>
      </c>
      <c r="D6334" s="46">
        <f>'Issues &amp; Punch List'!R300</f>
        <v/>
      </c>
      <c r="E6334" s="46">
        <f>IF(OR(B6334="",C6334="",D6334=""),"",D6334*100000+(C6334-DATE(2000,1,1))+ROW()/100000)</f>
        <v/>
      </c>
      <c r="F6334" s="46">
        <f>IF(E6334="","",IF(C6334&gt;WeekEndDate,"",E6334))</f>
        <v/>
      </c>
    </row>
    <row r="6335">
      <c r="A6335" t="inlineStr">
        <is>
          <t>Issues &amp; Punch List</t>
        </is>
      </c>
      <c r="B6335" s="46">
        <f>'Issues &amp; Punch List'!S301</f>
        <v/>
      </c>
      <c r="C6335" s="84">
        <f>'Issues &amp; Punch List'!Q301</f>
        <v/>
      </c>
      <c r="D6335" s="46">
        <f>'Issues &amp; Punch List'!R301</f>
        <v/>
      </c>
      <c r="E6335" s="46">
        <f>IF(OR(B6335="",C6335="",D6335=""),"",D6335*100000+(C6335-DATE(2000,1,1))+ROW()/100000)</f>
        <v/>
      </c>
      <c r="F6335" s="46">
        <f>IF(E6335="","",IF(C6335&gt;WeekEndDate,"",E6335))</f>
        <v/>
      </c>
    </row>
    <row r="6336">
      <c r="A6336" t="inlineStr">
        <is>
          <t>Issues &amp; Punch List</t>
        </is>
      </c>
      <c r="B6336" s="46">
        <f>'Issues &amp; Punch List'!S302</f>
        <v/>
      </c>
      <c r="C6336" s="84">
        <f>'Issues &amp; Punch List'!Q302</f>
        <v/>
      </c>
      <c r="D6336" s="46">
        <f>'Issues &amp; Punch List'!R302</f>
        <v/>
      </c>
      <c r="E6336" s="46">
        <f>IF(OR(B6336="",C6336="",D6336=""),"",D6336*100000+(C6336-DATE(2000,1,1))+ROW()/100000)</f>
        <v/>
      </c>
      <c r="F6336" s="46">
        <f>IF(E6336="","",IF(C6336&gt;WeekEndDate,"",E6336))</f>
        <v/>
      </c>
    </row>
    <row r="6337">
      <c r="A6337" t="inlineStr">
        <is>
          <t>Issues &amp; Punch List</t>
        </is>
      </c>
      <c r="B6337" s="46">
        <f>'Issues &amp; Punch List'!S303</f>
        <v/>
      </c>
      <c r="C6337" s="84">
        <f>'Issues &amp; Punch List'!Q303</f>
        <v/>
      </c>
      <c r="D6337" s="46">
        <f>'Issues &amp; Punch List'!R303</f>
        <v/>
      </c>
      <c r="E6337" s="46">
        <f>IF(OR(B6337="",C6337="",D6337=""),"",D6337*100000+(C6337-DATE(2000,1,1))+ROW()/100000)</f>
        <v/>
      </c>
      <c r="F6337" s="46">
        <f>IF(E6337="","",IF(C6337&gt;WeekEndDate,"",E6337))</f>
        <v/>
      </c>
    </row>
    <row r="6338">
      <c r="A6338" t="inlineStr">
        <is>
          <t>Issues &amp; Punch List</t>
        </is>
      </c>
      <c r="B6338" s="46">
        <f>'Issues &amp; Punch List'!S304</f>
        <v/>
      </c>
      <c r="C6338" s="84">
        <f>'Issues &amp; Punch List'!Q304</f>
        <v/>
      </c>
      <c r="D6338" s="46">
        <f>'Issues &amp; Punch List'!R304</f>
        <v/>
      </c>
      <c r="E6338" s="46">
        <f>IF(OR(B6338="",C6338="",D6338=""),"",D6338*100000+(C6338-DATE(2000,1,1))+ROW()/100000)</f>
        <v/>
      </c>
      <c r="F6338" s="46">
        <f>IF(E6338="","",IF(C6338&gt;WeekEndDate,"",E6338))</f>
        <v/>
      </c>
    </row>
    <row r="6339">
      <c r="A6339" t="inlineStr">
        <is>
          <t>Issues &amp; Punch List</t>
        </is>
      </c>
      <c r="B6339" s="46">
        <f>'Issues &amp; Punch List'!S305</f>
        <v/>
      </c>
      <c r="C6339" s="84">
        <f>'Issues &amp; Punch List'!Q305</f>
        <v/>
      </c>
      <c r="D6339" s="46">
        <f>'Issues &amp; Punch List'!R305</f>
        <v/>
      </c>
      <c r="E6339" s="46">
        <f>IF(OR(B6339="",C6339="",D6339=""),"",D6339*100000+(C6339-DATE(2000,1,1))+ROW()/100000)</f>
        <v/>
      </c>
      <c r="F6339" s="46">
        <f>IF(E6339="","",IF(C6339&gt;WeekEndDate,"",E6339))</f>
        <v/>
      </c>
    </row>
    <row r="6340">
      <c r="A6340" t="inlineStr">
        <is>
          <t>Issues &amp; Punch List</t>
        </is>
      </c>
      <c r="B6340" s="46">
        <f>'Issues &amp; Punch List'!S306</f>
        <v/>
      </c>
      <c r="C6340" s="84">
        <f>'Issues &amp; Punch List'!Q306</f>
        <v/>
      </c>
      <c r="D6340" s="46">
        <f>'Issues &amp; Punch List'!R306</f>
        <v/>
      </c>
      <c r="E6340" s="46">
        <f>IF(OR(B6340="",C6340="",D6340=""),"",D6340*100000+(C6340-DATE(2000,1,1))+ROW()/100000)</f>
        <v/>
      </c>
      <c r="F6340" s="46">
        <f>IF(E6340="","",IF(C6340&gt;WeekEndDate,"",E6340))</f>
        <v/>
      </c>
    </row>
    <row r="6341">
      <c r="A6341" t="inlineStr">
        <is>
          <t>Issues &amp; Punch List</t>
        </is>
      </c>
      <c r="B6341" s="46">
        <f>'Issues &amp; Punch List'!S307</f>
        <v/>
      </c>
      <c r="C6341" s="84">
        <f>'Issues &amp; Punch List'!Q307</f>
        <v/>
      </c>
      <c r="D6341" s="46">
        <f>'Issues &amp; Punch List'!R307</f>
        <v/>
      </c>
      <c r="E6341" s="46">
        <f>IF(OR(B6341="",C6341="",D6341=""),"",D6341*100000+(C6341-DATE(2000,1,1))+ROW()/100000)</f>
        <v/>
      </c>
      <c r="F6341" s="46">
        <f>IF(E6341="","",IF(C6341&gt;WeekEndDate,"",E6341))</f>
        <v/>
      </c>
    </row>
    <row r="6342">
      <c r="A6342" t="inlineStr">
        <is>
          <t>Issues &amp; Punch List</t>
        </is>
      </c>
      <c r="B6342" s="46">
        <f>'Issues &amp; Punch List'!S308</f>
        <v/>
      </c>
      <c r="C6342" s="84">
        <f>'Issues &amp; Punch List'!Q308</f>
        <v/>
      </c>
      <c r="D6342" s="46">
        <f>'Issues &amp; Punch List'!R308</f>
        <v/>
      </c>
      <c r="E6342" s="46">
        <f>IF(OR(B6342="",C6342="",D6342=""),"",D6342*100000+(C6342-DATE(2000,1,1))+ROW()/100000)</f>
        <v/>
      </c>
      <c r="F6342" s="46">
        <f>IF(E6342="","",IF(C6342&gt;WeekEndDate,"",E6342))</f>
        <v/>
      </c>
    </row>
    <row r="6343">
      <c r="A6343" t="inlineStr">
        <is>
          <t>Issues &amp; Punch List</t>
        </is>
      </c>
      <c r="B6343" s="46">
        <f>'Issues &amp; Punch List'!S309</f>
        <v/>
      </c>
      <c r="C6343" s="84">
        <f>'Issues &amp; Punch List'!Q309</f>
        <v/>
      </c>
      <c r="D6343" s="46">
        <f>'Issues &amp; Punch List'!R309</f>
        <v/>
      </c>
      <c r="E6343" s="46">
        <f>IF(OR(B6343="",C6343="",D6343=""),"",D6343*100000+(C6343-DATE(2000,1,1))+ROW()/100000)</f>
        <v/>
      </c>
      <c r="F6343" s="46">
        <f>IF(E6343="","",IF(C6343&gt;WeekEndDate,"",E6343))</f>
        <v/>
      </c>
    </row>
    <row r="6344">
      <c r="A6344" t="inlineStr">
        <is>
          <t>Issues &amp; Punch List</t>
        </is>
      </c>
      <c r="B6344" s="46">
        <f>'Issues &amp; Punch List'!S310</f>
        <v/>
      </c>
      <c r="C6344" s="84">
        <f>'Issues &amp; Punch List'!Q310</f>
        <v/>
      </c>
      <c r="D6344" s="46">
        <f>'Issues &amp; Punch List'!R310</f>
        <v/>
      </c>
      <c r="E6344" s="46">
        <f>IF(OR(B6344="",C6344="",D6344=""),"",D6344*100000+(C6344-DATE(2000,1,1))+ROW()/100000)</f>
        <v/>
      </c>
      <c r="F6344" s="46">
        <f>IF(E6344="","",IF(C6344&gt;WeekEndDate,"",E6344))</f>
        <v/>
      </c>
    </row>
    <row r="6345">
      <c r="A6345" t="inlineStr">
        <is>
          <t>Issues &amp; Punch List</t>
        </is>
      </c>
      <c r="B6345" s="46">
        <f>'Issues &amp; Punch List'!S311</f>
        <v/>
      </c>
      <c r="C6345" s="84">
        <f>'Issues &amp; Punch List'!Q311</f>
        <v/>
      </c>
      <c r="D6345" s="46">
        <f>'Issues &amp; Punch List'!R311</f>
        <v/>
      </c>
      <c r="E6345" s="46">
        <f>IF(OR(B6345="",C6345="",D6345=""),"",D6345*100000+(C6345-DATE(2000,1,1))+ROW()/100000)</f>
        <v/>
      </c>
      <c r="F6345" s="46">
        <f>IF(E6345="","",IF(C6345&gt;WeekEndDate,"",E6345))</f>
        <v/>
      </c>
    </row>
    <row r="6346">
      <c r="A6346" t="inlineStr">
        <is>
          <t>Issues &amp; Punch List</t>
        </is>
      </c>
      <c r="B6346" s="46">
        <f>'Issues &amp; Punch List'!S312</f>
        <v/>
      </c>
      <c r="C6346" s="84">
        <f>'Issues &amp; Punch List'!Q312</f>
        <v/>
      </c>
      <c r="D6346" s="46">
        <f>'Issues &amp; Punch List'!R312</f>
        <v/>
      </c>
      <c r="E6346" s="46">
        <f>IF(OR(B6346="",C6346="",D6346=""),"",D6346*100000+(C6346-DATE(2000,1,1))+ROW()/100000)</f>
        <v/>
      </c>
      <c r="F6346" s="46">
        <f>IF(E6346="","",IF(C6346&gt;WeekEndDate,"",E6346))</f>
        <v/>
      </c>
    </row>
    <row r="6347">
      <c r="A6347" t="inlineStr">
        <is>
          <t>Issues &amp; Punch List</t>
        </is>
      </c>
      <c r="B6347" s="46">
        <f>'Issues &amp; Punch List'!S313</f>
        <v/>
      </c>
      <c r="C6347" s="84">
        <f>'Issues &amp; Punch List'!Q313</f>
        <v/>
      </c>
      <c r="D6347" s="46">
        <f>'Issues &amp; Punch List'!R313</f>
        <v/>
      </c>
      <c r="E6347" s="46">
        <f>IF(OR(B6347="",C6347="",D6347=""),"",D6347*100000+(C6347-DATE(2000,1,1))+ROW()/100000)</f>
        <v/>
      </c>
      <c r="F6347" s="46">
        <f>IF(E6347="","",IF(C6347&gt;WeekEndDate,"",E6347))</f>
        <v/>
      </c>
    </row>
    <row r="6348">
      <c r="A6348" t="inlineStr">
        <is>
          <t>Issues &amp; Punch List</t>
        </is>
      </c>
      <c r="B6348" s="46">
        <f>'Issues &amp; Punch List'!S314</f>
        <v/>
      </c>
      <c r="C6348" s="84">
        <f>'Issues &amp; Punch List'!Q314</f>
        <v/>
      </c>
      <c r="D6348" s="46">
        <f>'Issues &amp; Punch List'!R314</f>
        <v/>
      </c>
      <c r="E6348" s="46">
        <f>IF(OR(B6348="",C6348="",D6348=""),"",D6348*100000+(C6348-DATE(2000,1,1))+ROW()/100000)</f>
        <v/>
      </c>
      <c r="F6348" s="46">
        <f>IF(E6348="","",IF(C6348&gt;WeekEndDate,"",E6348))</f>
        <v/>
      </c>
    </row>
    <row r="6349">
      <c r="A6349" t="inlineStr">
        <is>
          <t>Issues &amp; Punch List</t>
        </is>
      </c>
      <c r="B6349" s="46">
        <f>'Issues &amp; Punch List'!S315</f>
        <v/>
      </c>
      <c r="C6349" s="84">
        <f>'Issues &amp; Punch List'!Q315</f>
        <v/>
      </c>
      <c r="D6349" s="46">
        <f>'Issues &amp; Punch List'!R315</f>
        <v/>
      </c>
      <c r="E6349" s="46">
        <f>IF(OR(B6349="",C6349="",D6349=""),"",D6349*100000+(C6349-DATE(2000,1,1))+ROW()/100000)</f>
        <v/>
      </c>
      <c r="F6349" s="46">
        <f>IF(E6349="","",IF(C6349&gt;WeekEndDate,"",E6349))</f>
        <v/>
      </c>
    </row>
    <row r="6350">
      <c r="A6350" t="inlineStr">
        <is>
          <t>Issues &amp; Punch List</t>
        </is>
      </c>
      <c r="B6350" s="46">
        <f>'Issues &amp; Punch List'!S316</f>
        <v/>
      </c>
      <c r="C6350" s="84">
        <f>'Issues &amp; Punch List'!Q316</f>
        <v/>
      </c>
      <c r="D6350" s="46">
        <f>'Issues &amp; Punch List'!R316</f>
        <v/>
      </c>
      <c r="E6350" s="46">
        <f>IF(OR(B6350="",C6350="",D6350=""),"",D6350*100000+(C6350-DATE(2000,1,1))+ROW()/100000)</f>
        <v/>
      </c>
      <c r="F6350" s="46">
        <f>IF(E6350="","",IF(C6350&gt;WeekEndDate,"",E6350))</f>
        <v/>
      </c>
    </row>
    <row r="6351">
      <c r="A6351" t="inlineStr">
        <is>
          <t>Issues &amp; Punch List</t>
        </is>
      </c>
      <c r="B6351" s="46">
        <f>'Issues &amp; Punch List'!S317</f>
        <v/>
      </c>
      <c r="C6351" s="84">
        <f>'Issues &amp; Punch List'!Q317</f>
        <v/>
      </c>
      <c r="D6351" s="46">
        <f>'Issues &amp; Punch List'!R317</f>
        <v/>
      </c>
      <c r="E6351" s="46">
        <f>IF(OR(B6351="",C6351="",D6351=""),"",D6351*100000+(C6351-DATE(2000,1,1))+ROW()/100000)</f>
        <v/>
      </c>
      <c r="F6351" s="46">
        <f>IF(E6351="","",IF(C6351&gt;WeekEndDate,"",E6351))</f>
        <v/>
      </c>
    </row>
    <row r="6352">
      <c r="A6352" t="inlineStr">
        <is>
          <t>Issues &amp; Punch List</t>
        </is>
      </c>
      <c r="B6352" s="46">
        <f>'Issues &amp; Punch List'!S318</f>
        <v/>
      </c>
      <c r="C6352" s="84">
        <f>'Issues &amp; Punch List'!Q318</f>
        <v/>
      </c>
      <c r="D6352" s="46">
        <f>'Issues &amp; Punch List'!R318</f>
        <v/>
      </c>
      <c r="E6352" s="46">
        <f>IF(OR(B6352="",C6352="",D6352=""),"",D6352*100000+(C6352-DATE(2000,1,1))+ROW()/100000)</f>
        <v/>
      </c>
      <c r="F6352" s="46">
        <f>IF(E6352="","",IF(C6352&gt;WeekEndDate,"",E6352))</f>
        <v/>
      </c>
    </row>
    <row r="6353">
      <c r="A6353" t="inlineStr">
        <is>
          <t>Issues &amp; Punch List</t>
        </is>
      </c>
      <c r="B6353" s="46">
        <f>'Issues &amp; Punch List'!S319</f>
        <v/>
      </c>
      <c r="C6353" s="84">
        <f>'Issues &amp; Punch List'!Q319</f>
        <v/>
      </c>
      <c r="D6353" s="46">
        <f>'Issues &amp; Punch List'!R319</f>
        <v/>
      </c>
      <c r="E6353" s="46">
        <f>IF(OR(B6353="",C6353="",D6353=""),"",D6353*100000+(C6353-DATE(2000,1,1))+ROW()/100000)</f>
        <v/>
      </c>
      <c r="F6353" s="46">
        <f>IF(E6353="","",IF(C6353&gt;WeekEndDate,"",E6353))</f>
        <v/>
      </c>
    </row>
    <row r="6354">
      <c r="A6354" t="inlineStr">
        <is>
          <t>Issues &amp; Punch List</t>
        </is>
      </c>
      <c r="B6354" s="46">
        <f>'Issues &amp; Punch List'!S320</f>
        <v/>
      </c>
      <c r="C6354" s="84">
        <f>'Issues &amp; Punch List'!Q320</f>
        <v/>
      </c>
      <c r="D6354" s="46">
        <f>'Issues &amp; Punch List'!R320</f>
        <v/>
      </c>
      <c r="E6354" s="46">
        <f>IF(OR(B6354="",C6354="",D6354=""),"",D6354*100000+(C6354-DATE(2000,1,1))+ROW()/100000)</f>
        <v/>
      </c>
      <c r="F6354" s="46">
        <f>IF(E6354="","",IF(C6354&gt;WeekEndDate,"",E6354))</f>
        <v/>
      </c>
    </row>
    <row r="6355">
      <c r="A6355" t="inlineStr">
        <is>
          <t>Issues &amp; Punch List</t>
        </is>
      </c>
      <c r="B6355" s="46">
        <f>'Issues &amp; Punch List'!S321</f>
        <v/>
      </c>
      <c r="C6355" s="84">
        <f>'Issues &amp; Punch List'!Q321</f>
        <v/>
      </c>
      <c r="D6355" s="46">
        <f>'Issues &amp; Punch List'!R321</f>
        <v/>
      </c>
      <c r="E6355" s="46">
        <f>IF(OR(B6355="",C6355="",D6355=""),"",D6355*100000+(C6355-DATE(2000,1,1))+ROW()/100000)</f>
        <v/>
      </c>
      <c r="F6355" s="46">
        <f>IF(E6355="","",IF(C6355&gt;WeekEndDate,"",E6355))</f>
        <v/>
      </c>
    </row>
    <row r="6356">
      <c r="A6356" t="inlineStr">
        <is>
          <t>Issues &amp; Punch List</t>
        </is>
      </c>
      <c r="B6356" s="46">
        <f>'Issues &amp; Punch List'!S322</f>
        <v/>
      </c>
      <c r="C6356" s="84">
        <f>'Issues &amp; Punch List'!Q322</f>
        <v/>
      </c>
      <c r="D6356" s="46">
        <f>'Issues &amp; Punch List'!R322</f>
        <v/>
      </c>
      <c r="E6356" s="46">
        <f>IF(OR(B6356="",C6356="",D6356=""),"",D6356*100000+(C6356-DATE(2000,1,1))+ROW()/100000)</f>
        <v/>
      </c>
      <c r="F6356" s="46">
        <f>IF(E6356="","",IF(C6356&gt;WeekEndDate,"",E6356))</f>
        <v/>
      </c>
    </row>
    <row r="6357">
      <c r="A6357" t="inlineStr">
        <is>
          <t>Issues &amp; Punch List</t>
        </is>
      </c>
      <c r="B6357" s="46">
        <f>'Issues &amp; Punch List'!S323</f>
        <v/>
      </c>
      <c r="C6357" s="84">
        <f>'Issues &amp; Punch List'!Q323</f>
        <v/>
      </c>
      <c r="D6357" s="46">
        <f>'Issues &amp; Punch List'!R323</f>
        <v/>
      </c>
      <c r="E6357" s="46">
        <f>IF(OR(B6357="",C6357="",D6357=""),"",D6357*100000+(C6357-DATE(2000,1,1))+ROW()/100000)</f>
        <v/>
      </c>
      <c r="F6357" s="46">
        <f>IF(E6357="","",IF(C6357&gt;WeekEndDate,"",E6357))</f>
        <v/>
      </c>
    </row>
    <row r="6358">
      <c r="A6358" t="inlineStr">
        <is>
          <t>Issues &amp; Punch List</t>
        </is>
      </c>
      <c r="B6358" s="46">
        <f>'Issues &amp; Punch List'!S324</f>
        <v/>
      </c>
      <c r="C6358" s="84">
        <f>'Issues &amp; Punch List'!Q324</f>
        <v/>
      </c>
      <c r="D6358" s="46">
        <f>'Issues &amp; Punch List'!R324</f>
        <v/>
      </c>
      <c r="E6358" s="46">
        <f>IF(OR(B6358="",C6358="",D6358=""),"",D6358*100000+(C6358-DATE(2000,1,1))+ROW()/100000)</f>
        <v/>
      </c>
      <c r="F6358" s="46">
        <f>IF(E6358="","",IF(C6358&gt;WeekEndDate,"",E6358))</f>
        <v/>
      </c>
    </row>
    <row r="6359">
      <c r="A6359" t="inlineStr">
        <is>
          <t>Issues &amp; Punch List</t>
        </is>
      </c>
      <c r="B6359" s="46">
        <f>'Issues &amp; Punch List'!S325</f>
        <v/>
      </c>
      <c r="C6359" s="84">
        <f>'Issues &amp; Punch List'!Q325</f>
        <v/>
      </c>
      <c r="D6359" s="46">
        <f>'Issues &amp; Punch List'!R325</f>
        <v/>
      </c>
      <c r="E6359" s="46">
        <f>IF(OR(B6359="",C6359="",D6359=""),"",D6359*100000+(C6359-DATE(2000,1,1))+ROW()/100000)</f>
        <v/>
      </c>
      <c r="F6359" s="46">
        <f>IF(E6359="","",IF(C6359&gt;WeekEndDate,"",E6359))</f>
        <v/>
      </c>
    </row>
    <row r="6360">
      <c r="A6360" t="inlineStr">
        <is>
          <t>Issues &amp; Punch List</t>
        </is>
      </c>
      <c r="B6360" s="46">
        <f>'Issues &amp; Punch List'!S326</f>
        <v/>
      </c>
      <c r="C6360" s="84">
        <f>'Issues &amp; Punch List'!Q326</f>
        <v/>
      </c>
      <c r="D6360" s="46">
        <f>'Issues &amp; Punch List'!R326</f>
        <v/>
      </c>
      <c r="E6360" s="46">
        <f>IF(OR(B6360="",C6360="",D6360=""),"",D6360*100000+(C6360-DATE(2000,1,1))+ROW()/100000)</f>
        <v/>
      </c>
      <c r="F6360" s="46">
        <f>IF(E6360="","",IF(C6360&gt;WeekEndDate,"",E6360))</f>
        <v/>
      </c>
    </row>
    <row r="6361">
      <c r="A6361" t="inlineStr">
        <is>
          <t>Issues &amp; Punch List</t>
        </is>
      </c>
      <c r="B6361" s="46">
        <f>'Issues &amp; Punch List'!S327</f>
        <v/>
      </c>
      <c r="C6361" s="84">
        <f>'Issues &amp; Punch List'!Q327</f>
        <v/>
      </c>
      <c r="D6361" s="46">
        <f>'Issues &amp; Punch List'!R327</f>
        <v/>
      </c>
      <c r="E6361" s="46">
        <f>IF(OR(B6361="",C6361="",D6361=""),"",D6361*100000+(C6361-DATE(2000,1,1))+ROW()/100000)</f>
        <v/>
      </c>
      <c r="F6361" s="46">
        <f>IF(E6361="","",IF(C6361&gt;WeekEndDate,"",E6361))</f>
        <v/>
      </c>
    </row>
    <row r="6362">
      <c r="A6362" t="inlineStr">
        <is>
          <t>Issues &amp; Punch List</t>
        </is>
      </c>
      <c r="B6362" s="46">
        <f>'Issues &amp; Punch List'!S328</f>
        <v/>
      </c>
      <c r="C6362" s="84">
        <f>'Issues &amp; Punch List'!Q328</f>
        <v/>
      </c>
      <c r="D6362" s="46">
        <f>'Issues &amp; Punch List'!R328</f>
        <v/>
      </c>
      <c r="E6362" s="46">
        <f>IF(OR(B6362="",C6362="",D6362=""),"",D6362*100000+(C6362-DATE(2000,1,1))+ROW()/100000)</f>
        <v/>
      </c>
      <c r="F6362" s="46">
        <f>IF(E6362="","",IF(C6362&gt;WeekEndDate,"",E6362))</f>
        <v/>
      </c>
    </row>
    <row r="6363">
      <c r="A6363" t="inlineStr">
        <is>
          <t>Issues &amp; Punch List</t>
        </is>
      </c>
      <c r="B6363" s="46">
        <f>'Issues &amp; Punch List'!S329</f>
        <v/>
      </c>
      <c r="C6363" s="84">
        <f>'Issues &amp; Punch List'!Q329</f>
        <v/>
      </c>
      <c r="D6363" s="46">
        <f>'Issues &amp; Punch List'!R329</f>
        <v/>
      </c>
      <c r="E6363" s="46">
        <f>IF(OR(B6363="",C6363="",D6363=""),"",D6363*100000+(C6363-DATE(2000,1,1))+ROW()/100000)</f>
        <v/>
      </c>
      <c r="F6363" s="46">
        <f>IF(E6363="","",IF(C6363&gt;WeekEndDate,"",E6363))</f>
        <v/>
      </c>
    </row>
    <row r="6364">
      <c r="A6364" t="inlineStr">
        <is>
          <t>Issues &amp; Punch List</t>
        </is>
      </c>
      <c r="B6364" s="46">
        <f>'Issues &amp; Punch List'!S330</f>
        <v/>
      </c>
      <c r="C6364" s="84">
        <f>'Issues &amp; Punch List'!Q330</f>
        <v/>
      </c>
      <c r="D6364" s="46">
        <f>'Issues &amp; Punch List'!R330</f>
        <v/>
      </c>
      <c r="E6364" s="46">
        <f>IF(OR(B6364="",C6364="",D6364=""),"",D6364*100000+(C6364-DATE(2000,1,1))+ROW()/100000)</f>
        <v/>
      </c>
      <c r="F6364" s="46">
        <f>IF(E6364="","",IF(C6364&gt;WeekEndDate,"",E6364))</f>
        <v/>
      </c>
    </row>
    <row r="6365">
      <c r="A6365" t="inlineStr">
        <is>
          <t>Issues &amp; Punch List</t>
        </is>
      </c>
      <c r="B6365" s="46">
        <f>'Issues &amp; Punch List'!S331</f>
        <v/>
      </c>
      <c r="C6365" s="84">
        <f>'Issues &amp; Punch List'!Q331</f>
        <v/>
      </c>
      <c r="D6365" s="46">
        <f>'Issues &amp; Punch List'!R331</f>
        <v/>
      </c>
      <c r="E6365" s="46">
        <f>IF(OR(B6365="",C6365="",D6365=""),"",D6365*100000+(C6365-DATE(2000,1,1))+ROW()/100000)</f>
        <v/>
      </c>
      <c r="F6365" s="46">
        <f>IF(E6365="","",IF(C6365&gt;WeekEndDate,"",E6365))</f>
        <v/>
      </c>
    </row>
    <row r="6366">
      <c r="A6366" t="inlineStr">
        <is>
          <t>Issues &amp; Punch List</t>
        </is>
      </c>
      <c r="B6366" s="46">
        <f>'Issues &amp; Punch List'!S332</f>
        <v/>
      </c>
      <c r="C6366" s="84">
        <f>'Issues &amp; Punch List'!Q332</f>
        <v/>
      </c>
      <c r="D6366" s="46">
        <f>'Issues &amp; Punch List'!R332</f>
        <v/>
      </c>
      <c r="E6366" s="46">
        <f>IF(OR(B6366="",C6366="",D6366=""),"",D6366*100000+(C6366-DATE(2000,1,1))+ROW()/100000)</f>
        <v/>
      </c>
      <c r="F6366" s="46">
        <f>IF(E6366="","",IF(C6366&gt;WeekEndDate,"",E6366))</f>
        <v/>
      </c>
    </row>
    <row r="6367">
      <c r="A6367" t="inlineStr">
        <is>
          <t>Issues &amp; Punch List</t>
        </is>
      </c>
      <c r="B6367" s="46">
        <f>'Issues &amp; Punch List'!S333</f>
        <v/>
      </c>
      <c r="C6367" s="84">
        <f>'Issues &amp; Punch List'!Q333</f>
        <v/>
      </c>
      <c r="D6367" s="46">
        <f>'Issues &amp; Punch List'!R333</f>
        <v/>
      </c>
      <c r="E6367" s="46">
        <f>IF(OR(B6367="",C6367="",D6367=""),"",D6367*100000+(C6367-DATE(2000,1,1))+ROW()/100000)</f>
        <v/>
      </c>
      <c r="F6367" s="46">
        <f>IF(E6367="","",IF(C6367&gt;WeekEndDate,"",E6367))</f>
        <v/>
      </c>
    </row>
    <row r="6368">
      <c r="A6368" t="inlineStr">
        <is>
          <t>Issues &amp; Punch List</t>
        </is>
      </c>
      <c r="B6368" s="46">
        <f>'Issues &amp; Punch List'!S334</f>
        <v/>
      </c>
      <c r="C6368" s="84">
        <f>'Issues &amp; Punch List'!Q334</f>
        <v/>
      </c>
      <c r="D6368" s="46">
        <f>'Issues &amp; Punch List'!R334</f>
        <v/>
      </c>
      <c r="E6368" s="46">
        <f>IF(OR(B6368="",C6368="",D6368=""),"",D6368*100000+(C6368-DATE(2000,1,1))+ROW()/100000)</f>
        <v/>
      </c>
      <c r="F6368" s="46">
        <f>IF(E6368="","",IF(C6368&gt;WeekEndDate,"",E6368))</f>
        <v/>
      </c>
    </row>
    <row r="6369">
      <c r="A6369" t="inlineStr">
        <is>
          <t>Issues &amp; Punch List</t>
        </is>
      </c>
      <c r="B6369" s="46">
        <f>'Issues &amp; Punch List'!S335</f>
        <v/>
      </c>
      <c r="C6369" s="84">
        <f>'Issues &amp; Punch List'!Q335</f>
        <v/>
      </c>
      <c r="D6369" s="46">
        <f>'Issues &amp; Punch List'!R335</f>
        <v/>
      </c>
      <c r="E6369" s="46">
        <f>IF(OR(B6369="",C6369="",D6369=""),"",D6369*100000+(C6369-DATE(2000,1,1))+ROW()/100000)</f>
        <v/>
      </c>
      <c r="F6369" s="46">
        <f>IF(E6369="","",IF(C6369&gt;WeekEndDate,"",E6369))</f>
        <v/>
      </c>
    </row>
    <row r="6370">
      <c r="A6370" t="inlineStr">
        <is>
          <t>Issues &amp; Punch List</t>
        </is>
      </c>
      <c r="B6370" s="46">
        <f>'Issues &amp; Punch List'!S336</f>
        <v/>
      </c>
      <c r="C6370" s="84">
        <f>'Issues &amp; Punch List'!Q336</f>
        <v/>
      </c>
      <c r="D6370" s="46">
        <f>'Issues &amp; Punch List'!R336</f>
        <v/>
      </c>
      <c r="E6370" s="46">
        <f>IF(OR(B6370="",C6370="",D6370=""),"",D6370*100000+(C6370-DATE(2000,1,1))+ROW()/100000)</f>
        <v/>
      </c>
      <c r="F6370" s="46">
        <f>IF(E6370="","",IF(C6370&gt;WeekEndDate,"",E6370))</f>
        <v/>
      </c>
    </row>
    <row r="6371">
      <c r="A6371" t="inlineStr">
        <is>
          <t>Issues &amp; Punch List</t>
        </is>
      </c>
      <c r="B6371" s="46">
        <f>'Issues &amp; Punch List'!S337</f>
        <v/>
      </c>
      <c r="C6371" s="84">
        <f>'Issues &amp; Punch List'!Q337</f>
        <v/>
      </c>
      <c r="D6371" s="46">
        <f>'Issues &amp; Punch List'!R337</f>
        <v/>
      </c>
      <c r="E6371" s="46">
        <f>IF(OR(B6371="",C6371="",D6371=""),"",D6371*100000+(C6371-DATE(2000,1,1))+ROW()/100000)</f>
        <v/>
      </c>
      <c r="F6371" s="46">
        <f>IF(E6371="","",IF(C6371&gt;WeekEndDate,"",E6371))</f>
        <v/>
      </c>
    </row>
    <row r="6372">
      <c r="A6372" t="inlineStr">
        <is>
          <t>Issues &amp; Punch List</t>
        </is>
      </c>
      <c r="B6372" s="46">
        <f>'Issues &amp; Punch List'!S338</f>
        <v/>
      </c>
      <c r="C6372" s="84">
        <f>'Issues &amp; Punch List'!Q338</f>
        <v/>
      </c>
      <c r="D6372" s="46">
        <f>'Issues &amp; Punch List'!R338</f>
        <v/>
      </c>
      <c r="E6372" s="46">
        <f>IF(OR(B6372="",C6372="",D6372=""),"",D6372*100000+(C6372-DATE(2000,1,1))+ROW()/100000)</f>
        <v/>
      </c>
      <c r="F6372" s="46">
        <f>IF(E6372="","",IF(C6372&gt;WeekEndDate,"",E6372))</f>
        <v/>
      </c>
    </row>
    <row r="6373">
      <c r="A6373" t="inlineStr">
        <is>
          <t>Issues &amp; Punch List</t>
        </is>
      </c>
      <c r="B6373" s="46">
        <f>'Issues &amp; Punch List'!S339</f>
        <v/>
      </c>
      <c r="C6373" s="84">
        <f>'Issues &amp; Punch List'!Q339</f>
        <v/>
      </c>
      <c r="D6373" s="46">
        <f>'Issues &amp; Punch List'!R339</f>
        <v/>
      </c>
      <c r="E6373" s="46">
        <f>IF(OR(B6373="",C6373="",D6373=""),"",D6373*100000+(C6373-DATE(2000,1,1))+ROW()/100000)</f>
        <v/>
      </c>
      <c r="F6373" s="46">
        <f>IF(E6373="","",IF(C6373&gt;WeekEndDate,"",E6373))</f>
        <v/>
      </c>
    </row>
    <row r="6374">
      <c r="A6374" t="inlineStr">
        <is>
          <t>Issues &amp; Punch List</t>
        </is>
      </c>
      <c r="B6374" s="46">
        <f>'Issues &amp; Punch List'!S340</f>
        <v/>
      </c>
      <c r="C6374" s="84">
        <f>'Issues &amp; Punch List'!Q340</f>
        <v/>
      </c>
      <c r="D6374" s="46">
        <f>'Issues &amp; Punch List'!R340</f>
        <v/>
      </c>
      <c r="E6374" s="46">
        <f>IF(OR(B6374="",C6374="",D6374=""),"",D6374*100000+(C6374-DATE(2000,1,1))+ROW()/100000)</f>
        <v/>
      </c>
      <c r="F6374" s="46">
        <f>IF(E6374="","",IF(C6374&gt;WeekEndDate,"",E6374))</f>
        <v/>
      </c>
    </row>
    <row r="6375">
      <c r="A6375" t="inlineStr">
        <is>
          <t>Issues &amp; Punch List</t>
        </is>
      </c>
      <c r="B6375" s="46">
        <f>'Issues &amp; Punch List'!S341</f>
        <v/>
      </c>
      <c r="C6375" s="84">
        <f>'Issues &amp; Punch List'!Q341</f>
        <v/>
      </c>
      <c r="D6375" s="46">
        <f>'Issues &amp; Punch List'!R341</f>
        <v/>
      </c>
      <c r="E6375" s="46">
        <f>IF(OR(B6375="",C6375="",D6375=""),"",D6375*100000+(C6375-DATE(2000,1,1))+ROW()/100000)</f>
        <v/>
      </c>
      <c r="F6375" s="46">
        <f>IF(E6375="","",IF(C6375&gt;WeekEndDate,"",E6375))</f>
        <v/>
      </c>
    </row>
    <row r="6376">
      <c r="A6376" t="inlineStr">
        <is>
          <t>Issues &amp; Punch List</t>
        </is>
      </c>
      <c r="B6376" s="46">
        <f>'Issues &amp; Punch List'!S342</f>
        <v/>
      </c>
      <c r="C6376" s="84">
        <f>'Issues &amp; Punch List'!Q342</f>
        <v/>
      </c>
      <c r="D6376" s="46">
        <f>'Issues &amp; Punch List'!R342</f>
        <v/>
      </c>
      <c r="E6376" s="46">
        <f>IF(OR(B6376="",C6376="",D6376=""),"",D6376*100000+(C6376-DATE(2000,1,1))+ROW()/100000)</f>
        <v/>
      </c>
      <c r="F6376" s="46">
        <f>IF(E6376="","",IF(C6376&gt;WeekEndDate,"",E6376))</f>
        <v/>
      </c>
    </row>
    <row r="6377">
      <c r="A6377" t="inlineStr">
        <is>
          <t>Issues &amp; Punch List</t>
        </is>
      </c>
      <c r="B6377" s="46">
        <f>'Issues &amp; Punch List'!S343</f>
        <v/>
      </c>
      <c r="C6377" s="84">
        <f>'Issues &amp; Punch List'!Q343</f>
        <v/>
      </c>
      <c r="D6377" s="46">
        <f>'Issues &amp; Punch List'!R343</f>
        <v/>
      </c>
      <c r="E6377" s="46">
        <f>IF(OR(B6377="",C6377="",D6377=""),"",D6377*100000+(C6377-DATE(2000,1,1))+ROW()/100000)</f>
        <v/>
      </c>
      <c r="F6377" s="46">
        <f>IF(E6377="","",IF(C6377&gt;WeekEndDate,"",E6377))</f>
        <v/>
      </c>
    </row>
    <row r="6378">
      <c r="A6378" t="inlineStr">
        <is>
          <t>Issues &amp; Punch List</t>
        </is>
      </c>
      <c r="B6378" s="46">
        <f>'Issues &amp; Punch List'!S344</f>
        <v/>
      </c>
      <c r="C6378" s="84">
        <f>'Issues &amp; Punch List'!Q344</f>
        <v/>
      </c>
      <c r="D6378" s="46">
        <f>'Issues &amp; Punch List'!R344</f>
        <v/>
      </c>
      <c r="E6378" s="46">
        <f>IF(OR(B6378="",C6378="",D6378=""),"",D6378*100000+(C6378-DATE(2000,1,1))+ROW()/100000)</f>
        <v/>
      </c>
      <c r="F6378" s="46">
        <f>IF(E6378="","",IF(C6378&gt;WeekEndDate,"",E6378))</f>
        <v/>
      </c>
    </row>
    <row r="6379">
      <c r="A6379" t="inlineStr">
        <is>
          <t>Issues &amp; Punch List</t>
        </is>
      </c>
      <c r="B6379" s="46">
        <f>'Issues &amp; Punch List'!S345</f>
        <v/>
      </c>
      <c r="C6379" s="84">
        <f>'Issues &amp; Punch List'!Q345</f>
        <v/>
      </c>
      <c r="D6379" s="46">
        <f>'Issues &amp; Punch List'!R345</f>
        <v/>
      </c>
      <c r="E6379" s="46">
        <f>IF(OR(B6379="",C6379="",D6379=""),"",D6379*100000+(C6379-DATE(2000,1,1))+ROW()/100000)</f>
        <v/>
      </c>
      <c r="F6379" s="46">
        <f>IF(E6379="","",IF(C6379&gt;WeekEndDate,"",E6379))</f>
        <v/>
      </c>
    </row>
    <row r="6380">
      <c r="A6380" t="inlineStr">
        <is>
          <t>Issues &amp; Punch List</t>
        </is>
      </c>
      <c r="B6380" s="46">
        <f>'Issues &amp; Punch List'!S346</f>
        <v/>
      </c>
      <c r="C6380" s="84">
        <f>'Issues &amp; Punch List'!Q346</f>
        <v/>
      </c>
      <c r="D6380" s="46">
        <f>'Issues &amp; Punch List'!R346</f>
        <v/>
      </c>
      <c r="E6380" s="46">
        <f>IF(OR(B6380="",C6380="",D6380=""),"",D6380*100000+(C6380-DATE(2000,1,1))+ROW()/100000)</f>
        <v/>
      </c>
      <c r="F6380" s="46">
        <f>IF(E6380="","",IF(C6380&gt;WeekEndDate,"",E6380))</f>
        <v/>
      </c>
    </row>
    <row r="6381">
      <c r="A6381" t="inlineStr">
        <is>
          <t>Issues &amp; Punch List</t>
        </is>
      </c>
      <c r="B6381" s="46">
        <f>'Issues &amp; Punch List'!S347</f>
        <v/>
      </c>
      <c r="C6381" s="84">
        <f>'Issues &amp; Punch List'!Q347</f>
        <v/>
      </c>
      <c r="D6381" s="46">
        <f>'Issues &amp; Punch List'!R347</f>
        <v/>
      </c>
      <c r="E6381" s="46">
        <f>IF(OR(B6381="",C6381="",D6381=""),"",D6381*100000+(C6381-DATE(2000,1,1))+ROW()/100000)</f>
        <v/>
      </c>
      <c r="F6381" s="46">
        <f>IF(E6381="","",IF(C6381&gt;WeekEndDate,"",E6381))</f>
        <v/>
      </c>
    </row>
    <row r="6382">
      <c r="A6382" t="inlineStr">
        <is>
          <t>Issues &amp; Punch List</t>
        </is>
      </c>
      <c r="B6382" s="46">
        <f>'Issues &amp; Punch List'!S348</f>
        <v/>
      </c>
      <c r="C6382" s="84">
        <f>'Issues &amp; Punch List'!Q348</f>
        <v/>
      </c>
      <c r="D6382" s="46">
        <f>'Issues &amp; Punch List'!R348</f>
        <v/>
      </c>
      <c r="E6382" s="46">
        <f>IF(OR(B6382="",C6382="",D6382=""),"",D6382*100000+(C6382-DATE(2000,1,1))+ROW()/100000)</f>
        <v/>
      </c>
      <c r="F6382" s="46">
        <f>IF(E6382="","",IF(C6382&gt;WeekEndDate,"",E6382))</f>
        <v/>
      </c>
    </row>
    <row r="6383">
      <c r="A6383" t="inlineStr">
        <is>
          <t>Issues &amp; Punch List</t>
        </is>
      </c>
      <c r="B6383" s="46">
        <f>'Issues &amp; Punch List'!S349</f>
        <v/>
      </c>
      <c r="C6383" s="84">
        <f>'Issues &amp; Punch List'!Q349</f>
        <v/>
      </c>
      <c r="D6383" s="46">
        <f>'Issues &amp; Punch List'!R349</f>
        <v/>
      </c>
      <c r="E6383" s="46">
        <f>IF(OR(B6383="",C6383="",D6383=""),"",D6383*100000+(C6383-DATE(2000,1,1))+ROW()/100000)</f>
        <v/>
      </c>
      <c r="F6383" s="46">
        <f>IF(E6383="","",IF(C6383&gt;WeekEndDate,"",E6383))</f>
        <v/>
      </c>
    </row>
    <row r="6384">
      <c r="A6384" t="inlineStr">
        <is>
          <t>Issues &amp; Punch List</t>
        </is>
      </c>
      <c r="B6384" s="46">
        <f>'Issues &amp; Punch List'!S350</f>
        <v/>
      </c>
      <c r="C6384" s="84">
        <f>'Issues &amp; Punch List'!Q350</f>
        <v/>
      </c>
      <c r="D6384" s="46">
        <f>'Issues &amp; Punch List'!R350</f>
        <v/>
      </c>
      <c r="E6384" s="46">
        <f>IF(OR(B6384="",C6384="",D6384=""),"",D6384*100000+(C6384-DATE(2000,1,1))+ROW()/100000)</f>
        <v/>
      </c>
      <c r="F6384" s="46">
        <f>IF(E6384="","",IF(C6384&gt;WeekEndDate,"",E6384))</f>
        <v/>
      </c>
    </row>
    <row r="6385">
      <c r="A6385" t="inlineStr">
        <is>
          <t>Issues &amp; Punch List</t>
        </is>
      </c>
      <c r="B6385" s="46">
        <f>'Issues &amp; Punch List'!S351</f>
        <v/>
      </c>
      <c r="C6385" s="84">
        <f>'Issues &amp; Punch List'!Q351</f>
        <v/>
      </c>
      <c r="D6385" s="46">
        <f>'Issues &amp; Punch List'!R351</f>
        <v/>
      </c>
      <c r="E6385" s="46">
        <f>IF(OR(B6385="",C6385="",D6385=""),"",D6385*100000+(C6385-DATE(2000,1,1))+ROW()/100000)</f>
        <v/>
      </c>
      <c r="F6385" s="46">
        <f>IF(E6385="","",IF(C6385&gt;WeekEndDate,"",E6385))</f>
        <v/>
      </c>
    </row>
    <row r="6386">
      <c r="A6386" t="inlineStr">
        <is>
          <t>Issues &amp; Punch List</t>
        </is>
      </c>
      <c r="B6386" s="46">
        <f>'Issues &amp; Punch List'!S352</f>
        <v/>
      </c>
      <c r="C6386" s="84">
        <f>'Issues &amp; Punch List'!Q352</f>
        <v/>
      </c>
      <c r="D6386" s="46">
        <f>'Issues &amp; Punch List'!R352</f>
        <v/>
      </c>
      <c r="E6386" s="46">
        <f>IF(OR(B6386="",C6386="",D6386=""),"",D6386*100000+(C6386-DATE(2000,1,1))+ROW()/100000)</f>
        <v/>
      </c>
      <c r="F6386" s="46">
        <f>IF(E6386="","",IF(C6386&gt;WeekEndDate,"",E6386))</f>
        <v/>
      </c>
    </row>
    <row r="6387">
      <c r="A6387" t="inlineStr">
        <is>
          <t>Issues &amp; Punch List</t>
        </is>
      </c>
      <c r="B6387" s="46">
        <f>'Issues &amp; Punch List'!S353</f>
        <v/>
      </c>
      <c r="C6387" s="84">
        <f>'Issues &amp; Punch List'!Q353</f>
        <v/>
      </c>
      <c r="D6387" s="46">
        <f>'Issues &amp; Punch List'!R353</f>
        <v/>
      </c>
      <c r="E6387" s="46">
        <f>IF(OR(B6387="",C6387="",D6387=""),"",D6387*100000+(C6387-DATE(2000,1,1))+ROW()/100000)</f>
        <v/>
      </c>
      <c r="F6387" s="46">
        <f>IF(E6387="","",IF(C6387&gt;WeekEndDate,"",E6387))</f>
        <v/>
      </c>
    </row>
    <row r="6388">
      <c r="A6388" t="inlineStr">
        <is>
          <t>Issues &amp; Punch List</t>
        </is>
      </c>
      <c r="B6388" s="46">
        <f>'Issues &amp; Punch List'!S354</f>
        <v/>
      </c>
      <c r="C6388" s="84">
        <f>'Issues &amp; Punch List'!Q354</f>
        <v/>
      </c>
      <c r="D6388" s="46">
        <f>'Issues &amp; Punch List'!R354</f>
        <v/>
      </c>
      <c r="E6388" s="46">
        <f>IF(OR(B6388="",C6388="",D6388=""),"",D6388*100000+(C6388-DATE(2000,1,1))+ROW()/100000)</f>
        <v/>
      </c>
      <c r="F6388" s="46">
        <f>IF(E6388="","",IF(C6388&gt;WeekEndDate,"",E6388))</f>
        <v/>
      </c>
    </row>
    <row r="6389">
      <c r="A6389" t="inlineStr">
        <is>
          <t>Issues &amp; Punch List</t>
        </is>
      </c>
      <c r="B6389" s="46">
        <f>'Issues &amp; Punch List'!S355</f>
        <v/>
      </c>
      <c r="C6389" s="84">
        <f>'Issues &amp; Punch List'!Q355</f>
        <v/>
      </c>
      <c r="D6389" s="46">
        <f>'Issues &amp; Punch List'!R355</f>
        <v/>
      </c>
      <c r="E6389" s="46">
        <f>IF(OR(B6389="",C6389="",D6389=""),"",D6389*100000+(C6389-DATE(2000,1,1))+ROW()/100000)</f>
        <v/>
      </c>
      <c r="F6389" s="46">
        <f>IF(E6389="","",IF(C6389&gt;WeekEndDate,"",E6389))</f>
        <v/>
      </c>
    </row>
    <row r="6390">
      <c r="A6390" t="inlineStr">
        <is>
          <t>Issues &amp; Punch List</t>
        </is>
      </c>
      <c r="B6390" s="46">
        <f>'Issues &amp; Punch List'!S356</f>
        <v/>
      </c>
      <c r="C6390" s="84">
        <f>'Issues &amp; Punch List'!Q356</f>
        <v/>
      </c>
      <c r="D6390" s="46">
        <f>'Issues &amp; Punch List'!R356</f>
        <v/>
      </c>
      <c r="E6390" s="46">
        <f>IF(OR(B6390="",C6390="",D6390=""),"",D6390*100000+(C6390-DATE(2000,1,1))+ROW()/100000)</f>
        <v/>
      </c>
      <c r="F6390" s="46">
        <f>IF(E6390="","",IF(C6390&gt;WeekEndDate,"",E6390))</f>
        <v/>
      </c>
    </row>
    <row r="6391">
      <c r="A6391" t="inlineStr">
        <is>
          <t>Issues &amp; Punch List</t>
        </is>
      </c>
      <c r="B6391" s="46">
        <f>'Issues &amp; Punch List'!S357</f>
        <v/>
      </c>
      <c r="C6391" s="84">
        <f>'Issues &amp; Punch List'!Q357</f>
        <v/>
      </c>
      <c r="D6391" s="46">
        <f>'Issues &amp; Punch List'!R357</f>
        <v/>
      </c>
      <c r="E6391" s="46">
        <f>IF(OR(B6391="",C6391="",D6391=""),"",D6391*100000+(C6391-DATE(2000,1,1))+ROW()/100000)</f>
        <v/>
      </c>
      <c r="F6391" s="46">
        <f>IF(E6391="","",IF(C6391&gt;WeekEndDate,"",E6391))</f>
        <v/>
      </c>
    </row>
    <row r="6392">
      <c r="A6392" t="inlineStr">
        <is>
          <t>Issues &amp; Punch List</t>
        </is>
      </c>
      <c r="B6392" s="46">
        <f>'Issues &amp; Punch List'!S358</f>
        <v/>
      </c>
      <c r="C6392" s="84">
        <f>'Issues &amp; Punch List'!Q358</f>
        <v/>
      </c>
      <c r="D6392" s="46">
        <f>'Issues &amp; Punch List'!R358</f>
        <v/>
      </c>
      <c r="E6392" s="46">
        <f>IF(OR(B6392="",C6392="",D6392=""),"",D6392*100000+(C6392-DATE(2000,1,1))+ROW()/100000)</f>
        <v/>
      </c>
      <c r="F6392" s="46">
        <f>IF(E6392="","",IF(C6392&gt;WeekEndDate,"",E6392))</f>
        <v/>
      </c>
    </row>
    <row r="6393">
      <c r="A6393" t="inlineStr">
        <is>
          <t>Issues &amp; Punch List</t>
        </is>
      </c>
      <c r="B6393" s="46">
        <f>'Issues &amp; Punch List'!S359</f>
        <v/>
      </c>
      <c r="C6393" s="84">
        <f>'Issues &amp; Punch List'!Q359</f>
        <v/>
      </c>
      <c r="D6393" s="46">
        <f>'Issues &amp; Punch List'!R359</f>
        <v/>
      </c>
      <c r="E6393" s="46">
        <f>IF(OR(B6393="",C6393="",D6393=""),"",D6393*100000+(C6393-DATE(2000,1,1))+ROW()/100000)</f>
        <v/>
      </c>
      <c r="F6393" s="46">
        <f>IF(E6393="","",IF(C6393&gt;WeekEndDate,"",E6393))</f>
        <v/>
      </c>
    </row>
    <row r="6394">
      <c r="A6394" t="inlineStr">
        <is>
          <t>Issues &amp; Punch List</t>
        </is>
      </c>
      <c r="B6394" s="46">
        <f>'Issues &amp; Punch List'!S360</f>
        <v/>
      </c>
      <c r="C6394" s="84">
        <f>'Issues &amp; Punch List'!Q360</f>
        <v/>
      </c>
      <c r="D6394" s="46">
        <f>'Issues &amp; Punch List'!R360</f>
        <v/>
      </c>
      <c r="E6394" s="46">
        <f>IF(OR(B6394="",C6394="",D6394=""),"",D6394*100000+(C6394-DATE(2000,1,1))+ROW()/100000)</f>
        <v/>
      </c>
      <c r="F6394" s="46">
        <f>IF(E6394="","",IF(C6394&gt;WeekEndDate,"",E6394))</f>
        <v/>
      </c>
    </row>
    <row r="6395">
      <c r="A6395" t="inlineStr">
        <is>
          <t>Issues &amp; Punch List</t>
        </is>
      </c>
      <c r="B6395" s="46">
        <f>'Issues &amp; Punch List'!S361</f>
        <v/>
      </c>
      <c r="C6395" s="84">
        <f>'Issues &amp; Punch List'!Q361</f>
        <v/>
      </c>
      <c r="D6395" s="46">
        <f>'Issues &amp; Punch List'!R361</f>
        <v/>
      </c>
      <c r="E6395" s="46">
        <f>IF(OR(B6395="",C6395="",D6395=""),"",D6395*100000+(C6395-DATE(2000,1,1))+ROW()/100000)</f>
        <v/>
      </c>
      <c r="F6395" s="46">
        <f>IF(E6395="","",IF(C6395&gt;WeekEndDate,"",E6395))</f>
        <v/>
      </c>
    </row>
    <row r="6396">
      <c r="A6396" t="inlineStr">
        <is>
          <t>Issues &amp; Punch List</t>
        </is>
      </c>
      <c r="B6396" s="46">
        <f>'Issues &amp; Punch List'!S362</f>
        <v/>
      </c>
      <c r="C6396" s="84">
        <f>'Issues &amp; Punch List'!Q362</f>
        <v/>
      </c>
      <c r="D6396" s="46">
        <f>'Issues &amp; Punch List'!R362</f>
        <v/>
      </c>
      <c r="E6396" s="46">
        <f>IF(OR(B6396="",C6396="",D6396=""),"",D6396*100000+(C6396-DATE(2000,1,1))+ROW()/100000)</f>
        <v/>
      </c>
      <c r="F6396" s="46">
        <f>IF(E6396="","",IF(C6396&gt;WeekEndDate,"",E6396))</f>
        <v/>
      </c>
    </row>
    <row r="6397">
      <c r="A6397" t="inlineStr">
        <is>
          <t>Issues &amp; Punch List</t>
        </is>
      </c>
      <c r="B6397" s="46">
        <f>'Issues &amp; Punch List'!S363</f>
        <v/>
      </c>
      <c r="C6397" s="84">
        <f>'Issues &amp; Punch List'!Q363</f>
        <v/>
      </c>
      <c r="D6397" s="46">
        <f>'Issues &amp; Punch List'!R363</f>
        <v/>
      </c>
      <c r="E6397" s="46">
        <f>IF(OR(B6397="",C6397="",D6397=""),"",D6397*100000+(C6397-DATE(2000,1,1))+ROW()/100000)</f>
        <v/>
      </c>
      <c r="F6397" s="46">
        <f>IF(E6397="","",IF(C6397&gt;WeekEndDate,"",E6397))</f>
        <v/>
      </c>
    </row>
    <row r="6398">
      <c r="A6398" t="inlineStr">
        <is>
          <t>Issues &amp; Punch List</t>
        </is>
      </c>
      <c r="B6398" s="46">
        <f>'Issues &amp; Punch List'!S364</f>
        <v/>
      </c>
      <c r="C6398" s="84">
        <f>'Issues &amp; Punch List'!Q364</f>
        <v/>
      </c>
      <c r="D6398" s="46">
        <f>'Issues &amp; Punch List'!R364</f>
        <v/>
      </c>
      <c r="E6398" s="46">
        <f>IF(OR(B6398="",C6398="",D6398=""),"",D6398*100000+(C6398-DATE(2000,1,1))+ROW()/100000)</f>
        <v/>
      </c>
      <c r="F6398" s="46">
        <f>IF(E6398="","",IF(C6398&gt;WeekEndDate,"",E6398))</f>
        <v/>
      </c>
    </row>
    <row r="6399">
      <c r="A6399" t="inlineStr">
        <is>
          <t>Issues &amp; Punch List</t>
        </is>
      </c>
      <c r="B6399" s="46">
        <f>'Issues &amp; Punch List'!S365</f>
        <v/>
      </c>
      <c r="C6399" s="84">
        <f>'Issues &amp; Punch List'!Q365</f>
        <v/>
      </c>
      <c r="D6399" s="46">
        <f>'Issues &amp; Punch List'!R365</f>
        <v/>
      </c>
      <c r="E6399" s="46">
        <f>IF(OR(B6399="",C6399="",D6399=""),"",D6399*100000+(C6399-DATE(2000,1,1))+ROW()/100000)</f>
        <v/>
      </c>
      <c r="F6399" s="46">
        <f>IF(E6399="","",IF(C6399&gt;WeekEndDate,"",E6399))</f>
        <v/>
      </c>
    </row>
    <row r="6400">
      <c r="A6400" t="inlineStr">
        <is>
          <t>Issues &amp; Punch List</t>
        </is>
      </c>
      <c r="B6400" s="46">
        <f>'Issues &amp; Punch List'!S366</f>
        <v/>
      </c>
      <c r="C6400" s="84">
        <f>'Issues &amp; Punch List'!Q366</f>
        <v/>
      </c>
      <c r="D6400" s="46">
        <f>'Issues &amp; Punch List'!R366</f>
        <v/>
      </c>
      <c r="E6400" s="46">
        <f>IF(OR(B6400="",C6400="",D6400=""),"",D6400*100000+(C6400-DATE(2000,1,1))+ROW()/100000)</f>
        <v/>
      </c>
      <c r="F6400" s="46">
        <f>IF(E6400="","",IF(C6400&gt;WeekEndDate,"",E6400))</f>
        <v/>
      </c>
    </row>
    <row r="6401">
      <c r="A6401" t="inlineStr">
        <is>
          <t>Issues &amp; Punch List</t>
        </is>
      </c>
      <c r="B6401" s="46">
        <f>'Issues &amp; Punch List'!S367</f>
        <v/>
      </c>
      <c r="C6401" s="84">
        <f>'Issues &amp; Punch List'!Q367</f>
        <v/>
      </c>
      <c r="D6401" s="46">
        <f>'Issues &amp; Punch List'!R367</f>
        <v/>
      </c>
      <c r="E6401" s="46">
        <f>IF(OR(B6401="",C6401="",D6401=""),"",D6401*100000+(C6401-DATE(2000,1,1))+ROW()/100000)</f>
        <v/>
      </c>
      <c r="F6401" s="46">
        <f>IF(E6401="","",IF(C6401&gt;WeekEndDate,"",E6401))</f>
        <v/>
      </c>
    </row>
    <row r="6402">
      <c r="A6402" t="inlineStr">
        <is>
          <t>Issues &amp; Punch List</t>
        </is>
      </c>
      <c r="B6402" s="46">
        <f>'Issues &amp; Punch List'!S368</f>
        <v/>
      </c>
      <c r="C6402" s="84">
        <f>'Issues &amp; Punch List'!Q368</f>
        <v/>
      </c>
      <c r="D6402" s="46">
        <f>'Issues &amp; Punch List'!R368</f>
        <v/>
      </c>
      <c r="E6402" s="46">
        <f>IF(OR(B6402="",C6402="",D6402=""),"",D6402*100000+(C6402-DATE(2000,1,1))+ROW()/100000)</f>
        <v/>
      </c>
      <c r="F6402" s="46">
        <f>IF(E6402="","",IF(C6402&gt;WeekEndDate,"",E6402))</f>
        <v/>
      </c>
    </row>
    <row r="6403">
      <c r="A6403" t="inlineStr">
        <is>
          <t>Issues &amp; Punch List</t>
        </is>
      </c>
      <c r="B6403" s="46">
        <f>'Issues &amp; Punch List'!S369</f>
        <v/>
      </c>
      <c r="C6403" s="84">
        <f>'Issues &amp; Punch List'!Q369</f>
        <v/>
      </c>
      <c r="D6403" s="46">
        <f>'Issues &amp; Punch List'!R369</f>
        <v/>
      </c>
      <c r="E6403" s="46">
        <f>IF(OR(B6403="",C6403="",D6403=""),"",D6403*100000+(C6403-DATE(2000,1,1))+ROW()/100000)</f>
        <v/>
      </c>
      <c r="F6403" s="46">
        <f>IF(E6403="","",IF(C6403&gt;WeekEndDate,"",E6403))</f>
        <v/>
      </c>
    </row>
    <row r="6404">
      <c r="A6404" t="inlineStr">
        <is>
          <t>Issues &amp; Punch List</t>
        </is>
      </c>
      <c r="B6404" s="46">
        <f>'Issues &amp; Punch List'!S370</f>
        <v/>
      </c>
      <c r="C6404" s="84">
        <f>'Issues &amp; Punch List'!Q370</f>
        <v/>
      </c>
      <c r="D6404" s="46">
        <f>'Issues &amp; Punch List'!R370</f>
        <v/>
      </c>
      <c r="E6404" s="46">
        <f>IF(OR(B6404="",C6404="",D6404=""),"",D6404*100000+(C6404-DATE(2000,1,1))+ROW()/100000)</f>
        <v/>
      </c>
      <c r="F6404" s="46">
        <f>IF(E6404="","",IF(C6404&gt;WeekEndDate,"",E6404))</f>
        <v/>
      </c>
    </row>
    <row r="6405">
      <c r="A6405" t="inlineStr">
        <is>
          <t>Issues &amp; Punch List</t>
        </is>
      </c>
      <c r="B6405" s="46">
        <f>'Issues &amp; Punch List'!S371</f>
        <v/>
      </c>
      <c r="C6405" s="84">
        <f>'Issues &amp; Punch List'!Q371</f>
        <v/>
      </c>
      <c r="D6405" s="46">
        <f>'Issues &amp; Punch List'!R371</f>
        <v/>
      </c>
      <c r="E6405" s="46">
        <f>IF(OR(B6405="",C6405="",D6405=""),"",D6405*100000+(C6405-DATE(2000,1,1))+ROW()/100000)</f>
        <v/>
      </c>
      <c r="F6405" s="46">
        <f>IF(E6405="","",IF(C6405&gt;WeekEndDate,"",E6405))</f>
        <v/>
      </c>
    </row>
    <row r="6406">
      <c r="A6406" t="inlineStr">
        <is>
          <t>Issues &amp; Punch List</t>
        </is>
      </c>
      <c r="B6406" s="46">
        <f>'Issues &amp; Punch List'!S372</f>
        <v/>
      </c>
      <c r="C6406" s="84">
        <f>'Issues &amp; Punch List'!Q372</f>
        <v/>
      </c>
      <c r="D6406" s="46">
        <f>'Issues &amp; Punch List'!R372</f>
        <v/>
      </c>
      <c r="E6406" s="46">
        <f>IF(OR(B6406="",C6406="",D6406=""),"",D6406*100000+(C6406-DATE(2000,1,1))+ROW()/100000)</f>
        <v/>
      </c>
      <c r="F6406" s="46">
        <f>IF(E6406="","",IF(C6406&gt;WeekEndDate,"",E6406))</f>
        <v/>
      </c>
    </row>
    <row r="6407">
      <c r="A6407" t="inlineStr">
        <is>
          <t>Issues &amp; Punch List</t>
        </is>
      </c>
      <c r="B6407" s="46">
        <f>'Issues &amp; Punch List'!S373</f>
        <v/>
      </c>
      <c r="C6407" s="84">
        <f>'Issues &amp; Punch List'!Q373</f>
        <v/>
      </c>
      <c r="D6407" s="46">
        <f>'Issues &amp; Punch List'!R373</f>
        <v/>
      </c>
      <c r="E6407" s="46">
        <f>IF(OR(B6407="",C6407="",D6407=""),"",D6407*100000+(C6407-DATE(2000,1,1))+ROW()/100000)</f>
        <v/>
      </c>
      <c r="F6407" s="46">
        <f>IF(E6407="","",IF(C6407&gt;WeekEndDate,"",E6407))</f>
        <v/>
      </c>
    </row>
    <row r="6408">
      <c r="A6408" t="inlineStr">
        <is>
          <t>Issues &amp; Punch List</t>
        </is>
      </c>
      <c r="B6408" s="46">
        <f>'Issues &amp; Punch List'!S374</f>
        <v/>
      </c>
      <c r="C6408" s="84">
        <f>'Issues &amp; Punch List'!Q374</f>
        <v/>
      </c>
      <c r="D6408" s="46">
        <f>'Issues &amp; Punch List'!R374</f>
        <v/>
      </c>
      <c r="E6408" s="46">
        <f>IF(OR(B6408="",C6408="",D6408=""),"",D6408*100000+(C6408-DATE(2000,1,1))+ROW()/100000)</f>
        <v/>
      </c>
      <c r="F6408" s="46">
        <f>IF(E6408="","",IF(C6408&gt;WeekEndDate,"",E6408))</f>
        <v/>
      </c>
    </row>
    <row r="6409">
      <c r="A6409" t="inlineStr">
        <is>
          <t>Issues &amp; Punch List</t>
        </is>
      </c>
      <c r="B6409" s="46">
        <f>'Issues &amp; Punch List'!S375</f>
        <v/>
      </c>
      <c r="C6409" s="84">
        <f>'Issues &amp; Punch List'!Q375</f>
        <v/>
      </c>
      <c r="D6409" s="46">
        <f>'Issues &amp; Punch List'!R375</f>
        <v/>
      </c>
      <c r="E6409" s="46">
        <f>IF(OR(B6409="",C6409="",D6409=""),"",D6409*100000+(C6409-DATE(2000,1,1))+ROW()/100000)</f>
        <v/>
      </c>
      <c r="F6409" s="46">
        <f>IF(E6409="","",IF(C6409&gt;WeekEndDate,"",E6409))</f>
        <v/>
      </c>
    </row>
    <row r="6410">
      <c r="A6410" t="inlineStr">
        <is>
          <t>Issues &amp; Punch List</t>
        </is>
      </c>
      <c r="B6410" s="46">
        <f>'Issues &amp; Punch List'!S376</f>
        <v/>
      </c>
      <c r="C6410" s="84">
        <f>'Issues &amp; Punch List'!Q376</f>
        <v/>
      </c>
      <c r="D6410" s="46">
        <f>'Issues &amp; Punch List'!R376</f>
        <v/>
      </c>
      <c r="E6410" s="46">
        <f>IF(OR(B6410="",C6410="",D6410=""),"",D6410*100000+(C6410-DATE(2000,1,1))+ROW()/100000)</f>
        <v/>
      </c>
      <c r="F6410" s="46">
        <f>IF(E6410="","",IF(C6410&gt;WeekEndDate,"",E6410))</f>
        <v/>
      </c>
    </row>
    <row r="6411">
      <c r="A6411" t="inlineStr">
        <is>
          <t>Issues &amp; Punch List</t>
        </is>
      </c>
      <c r="B6411" s="46">
        <f>'Issues &amp; Punch List'!S377</f>
        <v/>
      </c>
      <c r="C6411" s="84">
        <f>'Issues &amp; Punch List'!Q377</f>
        <v/>
      </c>
      <c r="D6411" s="46">
        <f>'Issues &amp; Punch List'!R377</f>
        <v/>
      </c>
      <c r="E6411" s="46">
        <f>IF(OR(B6411="",C6411="",D6411=""),"",D6411*100000+(C6411-DATE(2000,1,1))+ROW()/100000)</f>
        <v/>
      </c>
      <c r="F6411" s="46">
        <f>IF(E6411="","",IF(C6411&gt;WeekEndDate,"",E6411))</f>
        <v/>
      </c>
    </row>
    <row r="6412">
      <c r="A6412" t="inlineStr">
        <is>
          <t>Issues &amp; Punch List</t>
        </is>
      </c>
      <c r="B6412" s="46">
        <f>'Issues &amp; Punch List'!S378</f>
        <v/>
      </c>
      <c r="C6412" s="84">
        <f>'Issues &amp; Punch List'!Q378</f>
        <v/>
      </c>
      <c r="D6412" s="46">
        <f>'Issues &amp; Punch List'!R378</f>
        <v/>
      </c>
      <c r="E6412" s="46">
        <f>IF(OR(B6412="",C6412="",D6412=""),"",D6412*100000+(C6412-DATE(2000,1,1))+ROW()/100000)</f>
        <v/>
      </c>
      <c r="F6412" s="46">
        <f>IF(E6412="","",IF(C6412&gt;WeekEndDate,"",E6412))</f>
        <v/>
      </c>
    </row>
    <row r="6413">
      <c r="A6413" t="inlineStr">
        <is>
          <t>Issues &amp; Punch List</t>
        </is>
      </c>
      <c r="B6413" s="46">
        <f>'Issues &amp; Punch List'!S379</f>
        <v/>
      </c>
      <c r="C6413" s="84">
        <f>'Issues &amp; Punch List'!Q379</f>
        <v/>
      </c>
      <c r="D6413" s="46">
        <f>'Issues &amp; Punch List'!R379</f>
        <v/>
      </c>
      <c r="E6413" s="46">
        <f>IF(OR(B6413="",C6413="",D6413=""),"",D6413*100000+(C6413-DATE(2000,1,1))+ROW()/100000)</f>
        <v/>
      </c>
      <c r="F6413" s="46">
        <f>IF(E6413="","",IF(C6413&gt;WeekEndDate,"",E6413))</f>
        <v/>
      </c>
    </row>
    <row r="6414">
      <c r="A6414" t="inlineStr">
        <is>
          <t>Issues &amp; Punch List</t>
        </is>
      </c>
      <c r="B6414" s="46">
        <f>'Issues &amp; Punch List'!S380</f>
        <v/>
      </c>
      <c r="C6414" s="84">
        <f>'Issues &amp; Punch List'!Q380</f>
        <v/>
      </c>
      <c r="D6414" s="46">
        <f>'Issues &amp; Punch List'!R380</f>
        <v/>
      </c>
      <c r="E6414" s="46">
        <f>IF(OR(B6414="",C6414="",D6414=""),"",D6414*100000+(C6414-DATE(2000,1,1))+ROW()/100000)</f>
        <v/>
      </c>
      <c r="F6414" s="46">
        <f>IF(E6414="","",IF(C6414&gt;WeekEndDate,"",E6414))</f>
        <v/>
      </c>
    </row>
    <row r="6415">
      <c r="A6415" t="inlineStr">
        <is>
          <t>Issues &amp; Punch List</t>
        </is>
      </c>
      <c r="B6415" s="46">
        <f>'Issues &amp; Punch List'!S381</f>
        <v/>
      </c>
      <c r="C6415" s="84">
        <f>'Issues &amp; Punch List'!Q381</f>
        <v/>
      </c>
      <c r="D6415" s="46">
        <f>'Issues &amp; Punch List'!R381</f>
        <v/>
      </c>
      <c r="E6415" s="46">
        <f>IF(OR(B6415="",C6415="",D6415=""),"",D6415*100000+(C6415-DATE(2000,1,1))+ROW()/100000)</f>
        <v/>
      </c>
      <c r="F6415" s="46">
        <f>IF(E6415="","",IF(C6415&gt;WeekEndDate,"",E6415))</f>
        <v/>
      </c>
    </row>
    <row r="6416">
      <c r="A6416" t="inlineStr">
        <is>
          <t>Issues &amp; Punch List</t>
        </is>
      </c>
      <c r="B6416" s="46">
        <f>'Issues &amp; Punch List'!S382</f>
        <v/>
      </c>
      <c r="C6416" s="84">
        <f>'Issues &amp; Punch List'!Q382</f>
        <v/>
      </c>
      <c r="D6416" s="46">
        <f>'Issues &amp; Punch List'!R382</f>
        <v/>
      </c>
      <c r="E6416" s="46">
        <f>IF(OR(B6416="",C6416="",D6416=""),"",D6416*100000+(C6416-DATE(2000,1,1))+ROW()/100000)</f>
        <v/>
      </c>
      <c r="F6416" s="46">
        <f>IF(E6416="","",IF(C6416&gt;WeekEndDate,"",E6416))</f>
        <v/>
      </c>
    </row>
    <row r="6417">
      <c r="A6417" t="inlineStr">
        <is>
          <t>Issues &amp; Punch List</t>
        </is>
      </c>
      <c r="B6417" s="46">
        <f>'Issues &amp; Punch List'!S383</f>
        <v/>
      </c>
      <c r="C6417" s="84">
        <f>'Issues &amp; Punch List'!Q383</f>
        <v/>
      </c>
      <c r="D6417" s="46">
        <f>'Issues &amp; Punch List'!R383</f>
        <v/>
      </c>
      <c r="E6417" s="46">
        <f>IF(OR(B6417="",C6417="",D6417=""),"",D6417*100000+(C6417-DATE(2000,1,1))+ROW()/100000)</f>
        <v/>
      </c>
      <c r="F6417" s="46">
        <f>IF(E6417="","",IF(C6417&gt;WeekEndDate,"",E6417))</f>
        <v/>
      </c>
    </row>
    <row r="6418">
      <c r="A6418" t="inlineStr">
        <is>
          <t>Issues &amp; Punch List</t>
        </is>
      </c>
      <c r="B6418" s="46">
        <f>'Issues &amp; Punch List'!S384</f>
        <v/>
      </c>
      <c r="C6418" s="84">
        <f>'Issues &amp; Punch List'!Q384</f>
        <v/>
      </c>
      <c r="D6418" s="46">
        <f>'Issues &amp; Punch List'!R384</f>
        <v/>
      </c>
      <c r="E6418" s="46">
        <f>IF(OR(B6418="",C6418="",D6418=""),"",D6418*100000+(C6418-DATE(2000,1,1))+ROW()/100000)</f>
        <v/>
      </c>
      <c r="F6418" s="46">
        <f>IF(E6418="","",IF(C6418&gt;WeekEndDate,"",E6418))</f>
        <v/>
      </c>
    </row>
    <row r="6419">
      <c r="A6419" t="inlineStr">
        <is>
          <t>Issues &amp; Punch List</t>
        </is>
      </c>
      <c r="B6419" s="46">
        <f>'Issues &amp; Punch List'!S385</f>
        <v/>
      </c>
      <c r="C6419" s="84">
        <f>'Issues &amp; Punch List'!Q385</f>
        <v/>
      </c>
      <c r="D6419" s="46">
        <f>'Issues &amp; Punch List'!R385</f>
        <v/>
      </c>
      <c r="E6419" s="46">
        <f>IF(OR(B6419="",C6419="",D6419=""),"",D6419*100000+(C6419-DATE(2000,1,1))+ROW()/100000)</f>
        <v/>
      </c>
      <c r="F6419" s="46">
        <f>IF(E6419="","",IF(C6419&gt;WeekEndDate,"",E6419))</f>
        <v/>
      </c>
    </row>
    <row r="6420">
      <c r="A6420" t="inlineStr">
        <is>
          <t>Issues &amp; Punch List</t>
        </is>
      </c>
      <c r="B6420" s="46">
        <f>'Issues &amp; Punch List'!S386</f>
        <v/>
      </c>
      <c r="C6420" s="84">
        <f>'Issues &amp; Punch List'!Q386</f>
        <v/>
      </c>
      <c r="D6420" s="46">
        <f>'Issues &amp; Punch List'!R386</f>
        <v/>
      </c>
      <c r="E6420" s="46">
        <f>IF(OR(B6420="",C6420="",D6420=""),"",D6420*100000+(C6420-DATE(2000,1,1))+ROW()/100000)</f>
        <v/>
      </c>
      <c r="F6420" s="46">
        <f>IF(E6420="","",IF(C6420&gt;WeekEndDate,"",E6420))</f>
        <v/>
      </c>
    </row>
    <row r="6421">
      <c r="A6421" t="inlineStr">
        <is>
          <t>Issues &amp; Punch List</t>
        </is>
      </c>
      <c r="B6421" s="46">
        <f>'Issues &amp; Punch List'!S387</f>
        <v/>
      </c>
      <c r="C6421" s="84">
        <f>'Issues &amp; Punch List'!Q387</f>
        <v/>
      </c>
      <c r="D6421" s="46">
        <f>'Issues &amp; Punch List'!R387</f>
        <v/>
      </c>
      <c r="E6421" s="46">
        <f>IF(OR(B6421="",C6421="",D6421=""),"",D6421*100000+(C6421-DATE(2000,1,1))+ROW()/100000)</f>
        <v/>
      </c>
      <c r="F6421" s="46">
        <f>IF(E6421="","",IF(C6421&gt;WeekEndDate,"",E6421))</f>
        <v/>
      </c>
    </row>
    <row r="6422">
      <c r="A6422" t="inlineStr">
        <is>
          <t>Issues &amp; Punch List</t>
        </is>
      </c>
      <c r="B6422" s="46">
        <f>'Issues &amp; Punch List'!S388</f>
        <v/>
      </c>
      <c r="C6422" s="84">
        <f>'Issues &amp; Punch List'!Q388</f>
        <v/>
      </c>
      <c r="D6422" s="46">
        <f>'Issues &amp; Punch List'!R388</f>
        <v/>
      </c>
      <c r="E6422" s="46">
        <f>IF(OR(B6422="",C6422="",D6422=""),"",D6422*100000+(C6422-DATE(2000,1,1))+ROW()/100000)</f>
        <v/>
      </c>
      <c r="F6422" s="46">
        <f>IF(E6422="","",IF(C6422&gt;WeekEndDate,"",E6422))</f>
        <v/>
      </c>
    </row>
    <row r="6423">
      <c r="A6423" t="inlineStr">
        <is>
          <t>Issues &amp; Punch List</t>
        </is>
      </c>
      <c r="B6423" s="46">
        <f>'Issues &amp; Punch List'!S389</f>
        <v/>
      </c>
      <c r="C6423" s="84">
        <f>'Issues &amp; Punch List'!Q389</f>
        <v/>
      </c>
      <c r="D6423" s="46">
        <f>'Issues &amp; Punch List'!R389</f>
        <v/>
      </c>
      <c r="E6423" s="46">
        <f>IF(OR(B6423="",C6423="",D6423=""),"",D6423*100000+(C6423-DATE(2000,1,1))+ROW()/100000)</f>
        <v/>
      </c>
      <c r="F6423" s="46">
        <f>IF(E6423="","",IF(C6423&gt;WeekEndDate,"",E6423))</f>
        <v/>
      </c>
    </row>
    <row r="6424">
      <c r="A6424" t="inlineStr">
        <is>
          <t>Issues &amp; Punch List</t>
        </is>
      </c>
      <c r="B6424" s="46">
        <f>'Issues &amp; Punch List'!S390</f>
        <v/>
      </c>
      <c r="C6424" s="84">
        <f>'Issues &amp; Punch List'!Q390</f>
        <v/>
      </c>
      <c r="D6424" s="46">
        <f>'Issues &amp; Punch List'!R390</f>
        <v/>
      </c>
      <c r="E6424" s="46">
        <f>IF(OR(B6424="",C6424="",D6424=""),"",D6424*100000+(C6424-DATE(2000,1,1))+ROW()/100000)</f>
        <v/>
      </c>
      <c r="F6424" s="46">
        <f>IF(E6424="","",IF(C6424&gt;WeekEndDate,"",E6424))</f>
        <v/>
      </c>
    </row>
    <row r="6425">
      <c r="A6425" t="inlineStr">
        <is>
          <t>Issues &amp; Punch List</t>
        </is>
      </c>
      <c r="B6425" s="46">
        <f>'Issues &amp; Punch List'!S391</f>
        <v/>
      </c>
      <c r="C6425" s="84">
        <f>'Issues &amp; Punch List'!Q391</f>
        <v/>
      </c>
      <c r="D6425" s="46">
        <f>'Issues &amp; Punch List'!R391</f>
        <v/>
      </c>
      <c r="E6425" s="46">
        <f>IF(OR(B6425="",C6425="",D6425=""),"",D6425*100000+(C6425-DATE(2000,1,1))+ROW()/100000)</f>
        <v/>
      </c>
      <c r="F6425" s="46">
        <f>IF(E6425="","",IF(C6425&gt;WeekEndDate,"",E6425))</f>
        <v/>
      </c>
    </row>
    <row r="6426">
      <c r="A6426" t="inlineStr">
        <is>
          <t>Issues &amp; Punch List</t>
        </is>
      </c>
      <c r="B6426" s="46">
        <f>'Issues &amp; Punch List'!S392</f>
        <v/>
      </c>
      <c r="C6426" s="84">
        <f>'Issues &amp; Punch List'!Q392</f>
        <v/>
      </c>
      <c r="D6426" s="46">
        <f>'Issues &amp; Punch List'!R392</f>
        <v/>
      </c>
      <c r="E6426" s="46">
        <f>IF(OR(B6426="",C6426="",D6426=""),"",D6426*100000+(C6426-DATE(2000,1,1))+ROW()/100000)</f>
        <v/>
      </c>
      <c r="F6426" s="46">
        <f>IF(E6426="","",IF(C6426&gt;WeekEndDate,"",E6426))</f>
        <v/>
      </c>
    </row>
    <row r="6427">
      <c r="A6427" t="inlineStr">
        <is>
          <t>Issues &amp; Punch List</t>
        </is>
      </c>
      <c r="B6427" s="46">
        <f>'Issues &amp; Punch List'!S393</f>
        <v/>
      </c>
      <c r="C6427" s="84">
        <f>'Issues &amp; Punch List'!Q393</f>
        <v/>
      </c>
      <c r="D6427" s="46">
        <f>'Issues &amp; Punch List'!R393</f>
        <v/>
      </c>
      <c r="E6427" s="46">
        <f>IF(OR(B6427="",C6427="",D6427=""),"",D6427*100000+(C6427-DATE(2000,1,1))+ROW()/100000)</f>
        <v/>
      </c>
      <c r="F6427" s="46">
        <f>IF(E6427="","",IF(C6427&gt;WeekEndDate,"",E6427))</f>
        <v/>
      </c>
    </row>
    <row r="6428">
      <c r="A6428" t="inlineStr">
        <is>
          <t>Issues &amp; Punch List</t>
        </is>
      </c>
      <c r="B6428" s="46">
        <f>'Issues &amp; Punch List'!S394</f>
        <v/>
      </c>
      <c r="C6428" s="84">
        <f>'Issues &amp; Punch List'!Q394</f>
        <v/>
      </c>
      <c r="D6428" s="46">
        <f>'Issues &amp; Punch List'!R394</f>
        <v/>
      </c>
      <c r="E6428" s="46">
        <f>IF(OR(B6428="",C6428="",D6428=""),"",D6428*100000+(C6428-DATE(2000,1,1))+ROW()/100000)</f>
        <v/>
      </c>
      <c r="F6428" s="46">
        <f>IF(E6428="","",IF(C6428&gt;WeekEndDate,"",E6428))</f>
        <v/>
      </c>
    </row>
    <row r="6429">
      <c r="A6429" t="inlineStr">
        <is>
          <t>Issues &amp; Punch List</t>
        </is>
      </c>
      <c r="B6429" s="46">
        <f>'Issues &amp; Punch List'!S395</f>
        <v/>
      </c>
      <c r="C6429" s="84">
        <f>'Issues &amp; Punch List'!Q395</f>
        <v/>
      </c>
      <c r="D6429" s="46">
        <f>'Issues &amp; Punch List'!R395</f>
        <v/>
      </c>
      <c r="E6429" s="46">
        <f>IF(OR(B6429="",C6429="",D6429=""),"",D6429*100000+(C6429-DATE(2000,1,1))+ROW()/100000)</f>
        <v/>
      </c>
      <c r="F6429" s="46">
        <f>IF(E6429="","",IF(C6429&gt;WeekEndDate,"",E6429))</f>
        <v/>
      </c>
    </row>
    <row r="6430">
      <c r="A6430" t="inlineStr">
        <is>
          <t>Issues &amp; Punch List</t>
        </is>
      </c>
      <c r="B6430" s="46">
        <f>'Issues &amp; Punch List'!S396</f>
        <v/>
      </c>
      <c r="C6430" s="84">
        <f>'Issues &amp; Punch List'!Q396</f>
        <v/>
      </c>
      <c r="D6430" s="46">
        <f>'Issues &amp; Punch List'!R396</f>
        <v/>
      </c>
      <c r="E6430" s="46">
        <f>IF(OR(B6430="",C6430="",D6430=""),"",D6430*100000+(C6430-DATE(2000,1,1))+ROW()/100000)</f>
        <v/>
      </c>
      <c r="F6430" s="46">
        <f>IF(E6430="","",IF(C6430&gt;WeekEndDate,"",E6430))</f>
        <v/>
      </c>
    </row>
    <row r="6431">
      <c r="A6431" t="inlineStr">
        <is>
          <t>Issues &amp; Punch List</t>
        </is>
      </c>
      <c r="B6431" s="46">
        <f>'Issues &amp; Punch List'!S397</f>
        <v/>
      </c>
      <c r="C6431" s="84">
        <f>'Issues &amp; Punch List'!Q397</f>
        <v/>
      </c>
      <c r="D6431" s="46">
        <f>'Issues &amp; Punch List'!R397</f>
        <v/>
      </c>
      <c r="E6431" s="46">
        <f>IF(OR(B6431="",C6431="",D6431=""),"",D6431*100000+(C6431-DATE(2000,1,1))+ROW()/100000)</f>
        <v/>
      </c>
      <c r="F6431" s="46">
        <f>IF(E6431="","",IF(C6431&gt;WeekEndDate,"",E6431))</f>
        <v/>
      </c>
    </row>
    <row r="6432">
      <c r="A6432" t="inlineStr">
        <is>
          <t>Issues &amp; Punch List</t>
        </is>
      </c>
      <c r="B6432" s="46">
        <f>'Issues &amp; Punch List'!S398</f>
        <v/>
      </c>
      <c r="C6432" s="84">
        <f>'Issues &amp; Punch List'!Q398</f>
        <v/>
      </c>
      <c r="D6432" s="46">
        <f>'Issues &amp; Punch List'!R398</f>
        <v/>
      </c>
      <c r="E6432" s="46">
        <f>IF(OR(B6432="",C6432="",D6432=""),"",D6432*100000+(C6432-DATE(2000,1,1))+ROW()/100000)</f>
        <v/>
      </c>
      <c r="F6432" s="46">
        <f>IF(E6432="","",IF(C6432&gt;WeekEndDate,"",E6432))</f>
        <v/>
      </c>
    </row>
    <row r="6433">
      <c r="A6433" t="inlineStr">
        <is>
          <t>Issues &amp; Punch List</t>
        </is>
      </c>
      <c r="B6433" s="46">
        <f>'Issues &amp; Punch List'!S399</f>
        <v/>
      </c>
      <c r="C6433" s="84">
        <f>'Issues &amp; Punch List'!Q399</f>
        <v/>
      </c>
      <c r="D6433" s="46">
        <f>'Issues &amp; Punch List'!R399</f>
        <v/>
      </c>
      <c r="E6433" s="46">
        <f>IF(OR(B6433="",C6433="",D6433=""),"",D6433*100000+(C6433-DATE(2000,1,1))+ROW()/100000)</f>
        <v/>
      </c>
      <c r="F6433" s="46">
        <f>IF(E6433="","",IF(C6433&gt;WeekEndDate,"",E6433))</f>
        <v/>
      </c>
    </row>
    <row r="6434">
      <c r="A6434" t="inlineStr">
        <is>
          <t>Issues &amp; Punch List</t>
        </is>
      </c>
      <c r="B6434" s="46">
        <f>'Issues &amp; Punch List'!S400</f>
        <v/>
      </c>
      <c r="C6434" s="84">
        <f>'Issues &amp; Punch List'!Q400</f>
        <v/>
      </c>
      <c r="D6434" s="46">
        <f>'Issues &amp; Punch List'!R400</f>
        <v/>
      </c>
      <c r="E6434" s="46">
        <f>IF(OR(B6434="",C6434="",D6434=""),"",D6434*100000+(C6434-DATE(2000,1,1))+ROW()/100000)</f>
        <v/>
      </c>
      <c r="F6434" s="46">
        <f>IF(E6434="","",IF(C6434&gt;WeekEndDate,"",E6434))</f>
        <v/>
      </c>
    </row>
    <row r="6435">
      <c r="A6435" t="inlineStr">
        <is>
          <t>Issues &amp; Punch List</t>
        </is>
      </c>
      <c r="B6435" s="46">
        <f>'Issues &amp; Punch List'!S401</f>
        <v/>
      </c>
      <c r="C6435" s="84">
        <f>'Issues &amp; Punch List'!Q401</f>
        <v/>
      </c>
      <c r="D6435" s="46">
        <f>'Issues &amp; Punch List'!R401</f>
        <v/>
      </c>
      <c r="E6435" s="46">
        <f>IF(OR(B6435="",C6435="",D6435=""),"",D6435*100000+(C6435-DATE(2000,1,1))+ROW()/100000)</f>
        <v/>
      </c>
      <c r="F6435" s="46">
        <f>IF(E6435="","",IF(C6435&gt;WeekEndDate,"",E6435))</f>
        <v/>
      </c>
    </row>
    <row r="6436">
      <c r="A6436" t="inlineStr">
        <is>
          <t>Issues &amp; Punch List</t>
        </is>
      </c>
      <c r="B6436" s="46">
        <f>'Issues &amp; Punch List'!S402</f>
        <v/>
      </c>
      <c r="C6436" s="84">
        <f>'Issues &amp; Punch List'!Q402</f>
        <v/>
      </c>
      <c r="D6436" s="46">
        <f>'Issues &amp; Punch List'!R402</f>
        <v/>
      </c>
      <c r="E6436" s="46">
        <f>IF(OR(B6436="",C6436="",D6436=""),"",D6436*100000+(C6436-DATE(2000,1,1))+ROW()/100000)</f>
        <v/>
      </c>
      <c r="F6436" s="46">
        <f>IF(E6436="","",IF(C6436&gt;WeekEndDate,"",E6436))</f>
        <v/>
      </c>
    </row>
    <row r="6437">
      <c r="A6437" t="inlineStr">
        <is>
          <t>Issues &amp; Punch List</t>
        </is>
      </c>
      <c r="B6437" s="46">
        <f>'Issues &amp; Punch List'!S403</f>
        <v/>
      </c>
      <c r="C6437" s="84">
        <f>'Issues &amp; Punch List'!Q403</f>
        <v/>
      </c>
      <c r="D6437" s="46">
        <f>'Issues &amp; Punch List'!R403</f>
        <v/>
      </c>
      <c r="E6437" s="46">
        <f>IF(OR(B6437="",C6437="",D6437=""),"",D6437*100000+(C6437-DATE(2000,1,1))+ROW()/100000)</f>
        <v/>
      </c>
      <c r="F6437" s="46">
        <f>IF(E6437="","",IF(C6437&gt;WeekEndDate,"",E6437))</f>
        <v/>
      </c>
    </row>
    <row r="6438">
      <c r="A6438" t="inlineStr">
        <is>
          <t>Issues &amp; Punch List</t>
        </is>
      </c>
      <c r="B6438" s="46">
        <f>'Issues &amp; Punch List'!S404</f>
        <v/>
      </c>
      <c r="C6438" s="84">
        <f>'Issues &amp; Punch List'!Q404</f>
        <v/>
      </c>
      <c r="D6438" s="46">
        <f>'Issues &amp; Punch List'!R404</f>
        <v/>
      </c>
      <c r="E6438" s="46">
        <f>IF(OR(B6438="",C6438="",D6438=""),"",D6438*100000+(C6438-DATE(2000,1,1))+ROW()/100000)</f>
        <v/>
      </c>
      <c r="F6438" s="46">
        <f>IF(E6438="","",IF(C6438&gt;WeekEndDate,"",E6438))</f>
        <v/>
      </c>
    </row>
    <row r="6439">
      <c r="A6439" t="inlineStr">
        <is>
          <t>Issues &amp; Punch List</t>
        </is>
      </c>
      <c r="B6439" s="46">
        <f>'Issues &amp; Punch List'!S405</f>
        <v/>
      </c>
      <c r="C6439" s="84">
        <f>'Issues &amp; Punch List'!Q405</f>
        <v/>
      </c>
      <c r="D6439" s="46">
        <f>'Issues &amp; Punch List'!R405</f>
        <v/>
      </c>
      <c r="E6439" s="46">
        <f>IF(OR(B6439="",C6439="",D6439=""),"",D6439*100000+(C6439-DATE(2000,1,1))+ROW()/100000)</f>
        <v/>
      </c>
      <c r="F6439" s="46">
        <f>IF(E6439="","",IF(C6439&gt;WeekEndDate,"",E6439))</f>
        <v/>
      </c>
    </row>
    <row r="6440">
      <c r="A6440" t="inlineStr">
        <is>
          <t>Issues &amp; Punch List</t>
        </is>
      </c>
      <c r="B6440" s="46">
        <f>'Issues &amp; Punch List'!S406</f>
        <v/>
      </c>
      <c r="C6440" s="84">
        <f>'Issues &amp; Punch List'!Q406</f>
        <v/>
      </c>
      <c r="D6440" s="46">
        <f>'Issues &amp; Punch List'!R406</f>
        <v/>
      </c>
      <c r="E6440" s="46">
        <f>IF(OR(B6440="",C6440="",D6440=""),"",D6440*100000+(C6440-DATE(2000,1,1))+ROW()/100000)</f>
        <v/>
      </c>
      <c r="F6440" s="46">
        <f>IF(E6440="","",IF(C6440&gt;WeekEndDate,"",E6440))</f>
        <v/>
      </c>
    </row>
    <row r="6441">
      <c r="A6441" t="inlineStr">
        <is>
          <t>Issues &amp; Punch List</t>
        </is>
      </c>
      <c r="B6441" s="46">
        <f>'Issues &amp; Punch List'!S407</f>
        <v/>
      </c>
      <c r="C6441" s="84">
        <f>'Issues &amp; Punch List'!Q407</f>
        <v/>
      </c>
      <c r="D6441" s="46">
        <f>'Issues &amp; Punch List'!R407</f>
        <v/>
      </c>
      <c r="E6441" s="46">
        <f>IF(OR(B6441="",C6441="",D6441=""),"",D6441*100000+(C6441-DATE(2000,1,1))+ROW()/100000)</f>
        <v/>
      </c>
      <c r="F6441" s="46">
        <f>IF(E6441="","",IF(C6441&gt;WeekEndDate,"",E6441))</f>
        <v/>
      </c>
    </row>
    <row r="6442">
      <c r="A6442" t="inlineStr">
        <is>
          <t>Issues &amp; Punch List</t>
        </is>
      </c>
      <c r="B6442" s="46">
        <f>'Issues &amp; Punch List'!S408</f>
        <v/>
      </c>
      <c r="C6442" s="84">
        <f>'Issues &amp; Punch List'!Q408</f>
        <v/>
      </c>
      <c r="D6442" s="46">
        <f>'Issues &amp; Punch List'!R408</f>
        <v/>
      </c>
      <c r="E6442" s="46">
        <f>IF(OR(B6442="",C6442="",D6442=""),"",D6442*100000+(C6442-DATE(2000,1,1))+ROW()/100000)</f>
        <v/>
      </c>
      <c r="F6442" s="46">
        <f>IF(E6442="","",IF(C6442&gt;WeekEndDate,"",E6442))</f>
        <v/>
      </c>
    </row>
    <row r="6443">
      <c r="A6443" t="inlineStr">
        <is>
          <t>Issues &amp; Punch List</t>
        </is>
      </c>
      <c r="B6443" s="46">
        <f>'Issues &amp; Punch List'!S409</f>
        <v/>
      </c>
      <c r="C6443" s="84">
        <f>'Issues &amp; Punch List'!Q409</f>
        <v/>
      </c>
      <c r="D6443" s="46">
        <f>'Issues &amp; Punch List'!R409</f>
        <v/>
      </c>
      <c r="E6443" s="46">
        <f>IF(OR(B6443="",C6443="",D6443=""),"",D6443*100000+(C6443-DATE(2000,1,1))+ROW()/100000)</f>
        <v/>
      </c>
      <c r="F6443" s="46">
        <f>IF(E6443="","",IF(C6443&gt;WeekEndDate,"",E6443))</f>
        <v/>
      </c>
    </row>
    <row r="6444">
      <c r="A6444" t="inlineStr">
        <is>
          <t>Issues &amp; Punch List</t>
        </is>
      </c>
      <c r="B6444" s="46">
        <f>'Issues &amp; Punch List'!S410</f>
        <v/>
      </c>
      <c r="C6444" s="84">
        <f>'Issues &amp; Punch List'!Q410</f>
        <v/>
      </c>
      <c r="D6444" s="46">
        <f>'Issues &amp; Punch List'!R410</f>
        <v/>
      </c>
      <c r="E6444" s="46">
        <f>IF(OR(B6444="",C6444="",D6444=""),"",D6444*100000+(C6444-DATE(2000,1,1))+ROW()/100000)</f>
        <v/>
      </c>
      <c r="F6444" s="46">
        <f>IF(E6444="","",IF(C6444&gt;WeekEndDate,"",E6444))</f>
        <v/>
      </c>
    </row>
    <row r="6445">
      <c r="A6445" t="inlineStr">
        <is>
          <t>Issues &amp; Punch List</t>
        </is>
      </c>
      <c r="B6445" s="46">
        <f>'Issues &amp; Punch List'!S411</f>
        <v/>
      </c>
      <c r="C6445" s="84">
        <f>'Issues &amp; Punch List'!Q411</f>
        <v/>
      </c>
      <c r="D6445" s="46">
        <f>'Issues &amp; Punch List'!R411</f>
        <v/>
      </c>
      <c r="E6445" s="46">
        <f>IF(OR(B6445="",C6445="",D6445=""),"",D6445*100000+(C6445-DATE(2000,1,1))+ROW()/100000)</f>
        <v/>
      </c>
      <c r="F6445" s="46">
        <f>IF(E6445="","",IF(C6445&gt;WeekEndDate,"",E6445))</f>
        <v/>
      </c>
    </row>
    <row r="6446">
      <c r="A6446" t="inlineStr">
        <is>
          <t>Issues &amp; Punch List</t>
        </is>
      </c>
      <c r="B6446" s="46">
        <f>'Issues &amp; Punch List'!S412</f>
        <v/>
      </c>
      <c r="C6446" s="84">
        <f>'Issues &amp; Punch List'!Q412</f>
        <v/>
      </c>
      <c r="D6446" s="46">
        <f>'Issues &amp; Punch List'!R412</f>
        <v/>
      </c>
      <c r="E6446" s="46">
        <f>IF(OR(B6446="",C6446="",D6446=""),"",D6446*100000+(C6446-DATE(2000,1,1))+ROW()/100000)</f>
        <v/>
      </c>
      <c r="F6446" s="46">
        <f>IF(E6446="","",IF(C6446&gt;WeekEndDate,"",E6446))</f>
        <v/>
      </c>
    </row>
    <row r="6447">
      <c r="A6447" t="inlineStr">
        <is>
          <t>Issues &amp; Punch List</t>
        </is>
      </c>
      <c r="B6447" s="46">
        <f>'Issues &amp; Punch List'!S413</f>
        <v/>
      </c>
      <c r="C6447" s="84">
        <f>'Issues &amp; Punch List'!Q413</f>
        <v/>
      </c>
      <c r="D6447" s="46">
        <f>'Issues &amp; Punch List'!R413</f>
        <v/>
      </c>
      <c r="E6447" s="46">
        <f>IF(OR(B6447="",C6447="",D6447=""),"",D6447*100000+(C6447-DATE(2000,1,1))+ROW()/100000)</f>
        <v/>
      </c>
      <c r="F6447" s="46">
        <f>IF(E6447="","",IF(C6447&gt;WeekEndDate,"",E6447))</f>
        <v/>
      </c>
    </row>
    <row r="6448">
      <c r="A6448" t="inlineStr">
        <is>
          <t>Issues &amp; Punch List</t>
        </is>
      </c>
      <c r="B6448" s="46">
        <f>'Issues &amp; Punch List'!S414</f>
        <v/>
      </c>
      <c r="C6448" s="84">
        <f>'Issues &amp; Punch List'!Q414</f>
        <v/>
      </c>
      <c r="D6448" s="46">
        <f>'Issues &amp; Punch List'!R414</f>
        <v/>
      </c>
      <c r="E6448" s="46">
        <f>IF(OR(B6448="",C6448="",D6448=""),"",D6448*100000+(C6448-DATE(2000,1,1))+ROW()/100000)</f>
        <v/>
      </c>
      <c r="F6448" s="46">
        <f>IF(E6448="","",IF(C6448&gt;WeekEndDate,"",E6448))</f>
        <v/>
      </c>
    </row>
    <row r="6449">
      <c r="A6449" t="inlineStr">
        <is>
          <t>Issues &amp; Punch List</t>
        </is>
      </c>
      <c r="B6449" s="46">
        <f>'Issues &amp; Punch List'!S415</f>
        <v/>
      </c>
      <c r="C6449" s="84">
        <f>'Issues &amp; Punch List'!Q415</f>
        <v/>
      </c>
      <c r="D6449" s="46">
        <f>'Issues &amp; Punch List'!R415</f>
        <v/>
      </c>
      <c r="E6449" s="46">
        <f>IF(OR(B6449="",C6449="",D6449=""),"",D6449*100000+(C6449-DATE(2000,1,1))+ROW()/100000)</f>
        <v/>
      </c>
      <c r="F6449" s="46">
        <f>IF(E6449="","",IF(C6449&gt;WeekEndDate,"",E6449))</f>
        <v/>
      </c>
    </row>
    <row r="6450">
      <c r="A6450" t="inlineStr">
        <is>
          <t>Issues &amp; Punch List</t>
        </is>
      </c>
      <c r="B6450" s="46">
        <f>'Issues &amp; Punch List'!S416</f>
        <v/>
      </c>
      <c r="C6450" s="84">
        <f>'Issues &amp; Punch List'!Q416</f>
        <v/>
      </c>
      <c r="D6450" s="46">
        <f>'Issues &amp; Punch List'!R416</f>
        <v/>
      </c>
      <c r="E6450" s="46">
        <f>IF(OR(B6450="",C6450="",D6450=""),"",D6450*100000+(C6450-DATE(2000,1,1))+ROW()/100000)</f>
        <v/>
      </c>
      <c r="F6450" s="46">
        <f>IF(E6450="","",IF(C6450&gt;WeekEndDate,"",E6450))</f>
        <v/>
      </c>
    </row>
    <row r="6451">
      <c r="A6451" t="inlineStr">
        <is>
          <t>Issues &amp; Punch List</t>
        </is>
      </c>
      <c r="B6451" s="46">
        <f>'Issues &amp; Punch List'!S417</f>
        <v/>
      </c>
      <c r="C6451" s="84">
        <f>'Issues &amp; Punch List'!Q417</f>
        <v/>
      </c>
      <c r="D6451" s="46">
        <f>'Issues &amp; Punch List'!R417</f>
        <v/>
      </c>
      <c r="E6451" s="46">
        <f>IF(OR(B6451="",C6451="",D6451=""),"",D6451*100000+(C6451-DATE(2000,1,1))+ROW()/100000)</f>
        <v/>
      </c>
      <c r="F6451" s="46">
        <f>IF(E6451="","",IF(C6451&gt;WeekEndDate,"",E6451))</f>
        <v/>
      </c>
    </row>
    <row r="6452">
      <c r="A6452" t="inlineStr">
        <is>
          <t>Issues &amp; Punch List</t>
        </is>
      </c>
      <c r="B6452" s="46">
        <f>'Issues &amp; Punch List'!S418</f>
        <v/>
      </c>
      <c r="C6452" s="84">
        <f>'Issues &amp; Punch List'!Q418</f>
        <v/>
      </c>
      <c r="D6452" s="46">
        <f>'Issues &amp; Punch List'!R418</f>
        <v/>
      </c>
      <c r="E6452" s="46">
        <f>IF(OR(B6452="",C6452="",D6452=""),"",D6452*100000+(C6452-DATE(2000,1,1))+ROW()/100000)</f>
        <v/>
      </c>
      <c r="F6452" s="46">
        <f>IF(E6452="","",IF(C6452&gt;WeekEndDate,"",E6452))</f>
        <v/>
      </c>
    </row>
    <row r="6453">
      <c r="A6453" t="inlineStr">
        <is>
          <t>Issues &amp; Punch List</t>
        </is>
      </c>
      <c r="B6453" s="46">
        <f>'Issues &amp; Punch List'!S419</f>
        <v/>
      </c>
      <c r="C6453" s="84">
        <f>'Issues &amp; Punch List'!Q419</f>
        <v/>
      </c>
      <c r="D6453" s="46">
        <f>'Issues &amp; Punch List'!R419</f>
        <v/>
      </c>
      <c r="E6453" s="46">
        <f>IF(OR(B6453="",C6453="",D6453=""),"",D6453*100000+(C6453-DATE(2000,1,1))+ROW()/100000)</f>
        <v/>
      </c>
      <c r="F6453" s="46">
        <f>IF(E6453="","",IF(C6453&gt;WeekEndDate,"",E6453))</f>
        <v/>
      </c>
    </row>
    <row r="6454">
      <c r="A6454" t="inlineStr">
        <is>
          <t>Issues &amp; Punch List</t>
        </is>
      </c>
      <c r="B6454" s="46">
        <f>'Issues &amp; Punch List'!S420</f>
        <v/>
      </c>
      <c r="C6454" s="84">
        <f>'Issues &amp; Punch List'!Q420</f>
        <v/>
      </c>
      <c r="D6454" s="46">
        <f>'Issues &amp; Punch List'!R420</f>
        <v/>
      </c>
      <c r="E6454" s="46">
        <f>IF(OR(B6454="",C6454="",D6454=""),"",D6454*100000+(C6454-DATE(2000,1,1))+ROW()/100000)</f>
        <v/>
      </c>
      <c r="F6454" s="46">
        <f>IF(E6454="","",IF(C6454&gt;WeekEndDate,"",E6454))</f>
        <v/>
      </c>
    </row>
    <row r="6455">
      <c r="A6455" t="inlineStr">
        <is>
          <t>Issues &amp; Punch List</t>
        </is>
      </c>
      <c r="B6455" s="46">
        <f>'Issues &amp; Punch List'!S421</f>
        <v/>
      </c>
      <c r="C6455" s="84">
        <f>'Issues &amp; Punch List'!Q421</f>
        <v/>
      </c>
      <c r="D6455" s="46">
        <f>'Issues &amp; Punch List'!R421</f>
        <v/>
      </c>
      <c r="E6455" s="46">
        <f>IF(OR(B6455="",C6455="",D6455=""),"",D6455*100000+(C6455-DATE(2000,1,1))+ROW()/100000)</f>
        <v/>
      </c>
      <c r="F6455" s="46">
        <f>IF(E6455="","",IF(C6455&gt;WeekEndDate,"",E6455))</f>
        <v/>
      </c>
    </row>
    <row r="6456">
      <c r="A6456" t="inlineStr">
        <is>
          <t>Issues &amp; Punch List</t>
        </is>
      </c>
      <c r="B6456" s="46">
        <f>'Issues &amp; Punch List'!S422</f>
        <v/>
      </c>
      <c r="C6456" s="84">
        <f>'Issues &amp; Punch List'!Q422</f>
        <v/>
      </c>
      <c r="D6456" s="46">
        <f>'Issues &amp; Punch List'!R422</f>
        <v/>
      </c>
      <c r="E6456" s="46">
        <f>IF(OR(B6456="",C6456="",D6456=""),"",D6456*100000+(C6456-DATE(2000,1,1))+ROW()/100000)</f>
        <v/>
      </c>
      <c r="F6456" s="46">
        <f>IF(E6456="","",IF(C6456&gt;WeekEndDate,"",E6456))</f>
        <v/>
      </c>
    </row>
    <row r="6457">
      <c r="A6457" t="inlineStr">
        <is>
          <t>Issues &amp; Punch List</t>
        </is>
      </c>
      <c r="B6457" s="46">
        <f>'Issues &amp; Punch List'!S423</f>
        <v/>
      </c>
      <c r="C6457" s="84">
        <f>'Issues &amp; Punch List'!Q423</f>
        <v/>
      </c>
      <c r="D6457" s="46">
        <f>'Issues &amp; Punch List'!R423</f>
        <v/>
      </c>
      <c r="E6457" s="46">
        <f>IF(OR(B6457="",C6457="",D6457=""),"",D6457*100000+(C6457-DATE(2000,1,1))+ROW()/100000)</f>
        <v/>
      </c>
      <c r="F6457" s="46">
        <f>IF(E6457="","",IF(C6457&gt;WeekEndDate,"",E6457))</f>
        <v/>
      </c>
    </row>
    <row r="6458">
      <c r="A6458" t="inlineStr">
        <is>
          <t>Issues &amp; Punch List</t>
        </is>
      </c>
      <c r="B6458" s="46">
        <f>'Issues &amp; Punch List'!S424</f>
        <v/>
      </c>
      <c r="C6458" s="84">
        <f>'Issues &amp; Punch List'!Q424</f>
        <v/>
      </c>
      <c r="D6458" s="46">
        <f>'Issues &amp; Punch List'!R424</f>
        <v/>
      </c>
      <c r="E6458" s="46">
        <f>IF(OR(B6458="",C6458="",D6458=""),"",D6458*100000+(C6458-DATE(2000,1,1))+ROW()/100000)</f>
        <v/>
      </c>
      <c r="F6458" s="46">
        <f>IF(E6458="","",IF(C6458&gt;WeekEndDate,"",E6458))</f>
        <v/>
      </c>
    </row>
    <row r="6459">
      <c r="A6459" t="inlineStr">
        <is>
          <t>Issues &amp; Punch List</t>
        </is>
      </c>
      <c r="B6459" s="46">
        <f>'Issues &amp; Punch List'!S425</f>
        <v/>
      </c>
      <c r="C6459" s="84">
        <f>'Issues &amp; Punch List'!Q425</f>
        <v/>
      </c>
      <c r="D6459" s="46">
        <f>'Issues &amp; Punch List'!R425</f>
        <v/>
      </c>
      <c r="E6459" s="46">
        <f>IF(OR(B6459="",C6459="",D6459=""),"",D6459*100000+(C6459-DATE(2000,1,1))+ROW()/100000)</f>
        <v/>
      </c>
      <c r="F6459" s="46">
        <f>IF(E6459="","",IF(C6459&gt;WeekEndDate,"",E6459))</f>
        <v/>
      </c>
    </row>
    <row r="6460">
      <c r="A6460" t="inlineStr">
        <is>
          <t>Issues &amp; Punch List</t>
        </is>
      </c>
      <c r="B6460" s="46">
        <f>'Issues &amp; Punch List'!S426</f>
        <v/>
      </c>
      <c r="C6460" s="84">
        <f>'Issues &amp; Punch List'!Q426</f>
        <v/>
      </c>
      <c r="D6460" s="46">
        <f>'Issues &amp; Punch List'!R426</f>
        <v/>
      </c>
      <c r="E6460" s="46">
        <f>IF(OR(B6460="",C6460="",D6460=""),"",D6460*100000+(C6460-DATE(2000,1,1))+ROW()/100000)</f>
        <v/>
      </c>
      <c r="F6460" s="46">
        <f>IF(E6460="","",IF(C6460&gt;WeekEndDate,"",E6460))</f>
        <v/>
      </c>
    </row>
    <row r="6461">
      <c r="A6461" t="inlineStr">
        <is>
          <t>Issues &amp; Punch List</t>
        </is>
      </c>
      <c r="B6461" s="46">
        <f>'Issues &amp; Punch List'!S427</f>
        <v/>
      </c>
      <c r="C6461" s="84">
        <f>'Issues &amp; Punch List'!Q427</f>
        <v/>
      </c>
      <c r="D6461" s="46">
        <f>'Issues &amp; Punch List'!R427</f>
        <v/>
      </c>
      <c r="E6461" s="46">
        <f>IF(OR(B6461="",C6461="",D6461=""),"",D6461*100000+(C6461-DATE(2000,1,1))+ROW()/100000)</f>
        <v/>
      </c>
      <c r="F6461" s="46">
        <f>IF(E6461="","",IF(C6461&gt;WeekEndDate,"",E6461))</f>
        <v/>
      </c>
    </row>
    <row r="6462">
      <c r="A6462" t="inlineStr">
        <is>
          <t>Issues &amp; Punch List</t>
        </is>
      </c>
      <c r="B6462" s="46">
        <f>'Issues &amp; Punch List'!S428</f>
        <v/>
      </c>
      <c r="C6462" s="84">
        <f>'Issues &amp; Punch List'!Q428</f>
        <v/>
      </c>
      <c r="D6462" s="46">
        <f>'Issues &amp; Punch List'!R428</f>
        <v/>
      </c>
      <c r="E6462" s="46">
        <f>IF(OR(B6462="",C6462="",D6462=""),"",D6462*100000+(C6462-DATE(2000,1,1))+ROW()/100000)</f>
        <v/>
      </c>
      <c r="F6462" s="46">
        <f>IF(E6462="","",IF(C6462&gt;WeekEndDate,"",E6462))</f>
        <v/>
      </c>
    </row>
    <row r="6463">
      <c r="A6463" t="inlineStr">
        <is>
          <t>Issues &amp; Punch List</t>
        </is>
      </c>
      <c r="B6463" s="46">
        <f>'Issues &amp; Punch List'!S429</f>
        <v/>
      </c>
      <c r="C6463" s="84">
        <f>'Issues &amp; Punch List'!Q429</f>
        <v/>
      </c>
      <c r="D6463" s="46">
        <f>'Issues &amp; Punch List'!R429</f>
        <v/>
      </c>
      <c r="E6463" s="46">
        <f>IF(OR(B6463="",C6463="",D6463=""),"",D6463*100000+(C6463-DATE(2000,1,1))+ROW()/100000)</f>
        <v/>
      </c>
      <c r="F6463" s="46">
        <f>IF(E6463="","",IF(C6463&gt;WeekEndDate,"",E6463))</f>
        <v/>
      </c>
    </row>
    <row r="6464">
      <c r="A6464" t="inlineStr">
        <is>
          <t>Issues &amp; Punch List</t>
        </is>
      </c>
      <c r="B6464" s="46">
        <f>'Issues &amp; Punch List'!S430</f>
        <v/>
      </c>
      <c r="C6464" s="84">
        <f>'Issues &amp; Punch List'!Q430</f>
        <v/>
      </c>
      <c r="D6464" s="46">
        <f>'Issues &amp; Punch List'!R430</f>
        <v/>
      </c>
      <c r="E6464" s="46">
        <f>IF(OR(B6464="",C6464="",D6464=""),"",D6464*100000+(C6464-DATE(2000,1,1))+ROW()/100000)</f>
        <v/>
      </c>
      <c r="F6464" s="46">
        <f>IF(E6464="","",IF(C6464&gt;WeekEndDate,"",E6464))</f>
        <v/>
      </c>
    </row>
    <row r="6465">
      <c r="A6465" t="inlineStr">
        <is>
          <t>Issues &amp; Punch List</t>
        </is>
      </c>
      <c r="B6465" s="46">
        <f>'Issues &amp; Punch List'!S431</f>
        <v/>
      </c>
      <c r="C6465" s="84">
        <f>'Issues &amp; Punch List'!Q431</f>
        <v/>
      </c>
      <c r="D6465" s="46">
        <f>'Issues &amp; Punch List'!R431</f>
        <v/>
      </c>
      <c r="E6465" s="46">
        <f>IF(OR(B6465="",C6465="",D6465=""),"",D6465*100000+(C6465-DATE(2000,1,1))+ROW()/100000)</f>
        <v/>
      </c>
      <c r="F6465" s="46">
        <f>IF(E6465="","",IF(C6465&gt;WeekEndDate,"",E6465))</f>
        <v/>
      </c>
    </row>
    <row r="6466">
      <c r="A6466" t="inlineStr">
        <is>
          <t>Issues &amp; Punch List</t>
        </is>
      </c>
      <c r="B6466" s="46">
        <f>'Issues &amp; Punch List'!S432</f>
        <v/>
      </c>
      <c r="C6466" s="84">
        <f>'Issues &amp; Punch List'!Q432</f>
        <v/>
      </c>
      <c r="D6466" s="46">
        <f>'Issues &amp; Punch List'!R432</f>
        <v/>
      </c>
      <c r="E6466" s="46">
        <f>IF(OR(B6466="",C6466="",D6466=""),"",D6466*100000+(C6466-DATE(2000,1,1))+ROW()/100000)</f>
        <v/>
      </c>
      <c r="F6466" s="46">
        <f>IF(E6466="","",IF(C6466&gt;WeekEndDate,"",E6466))</f>
        <v/>
      </c>
    </row>
    <row r="6467">
      <c r="A6467" t="inlineStr">
        <is>
          <t>Issues &amp; Punch List</t>
        </is>
      </c>
      <c r="B6467" s="46">
        <f>'Issues &amp; Punch List'!S433</f>
        <v/>
      </c>
      <c r="C6467" s="84">
        <f>'Issues &amp; Punch List'!Q433</f>
        <v/>
      </c>
      <c r="D6467" s="46">
        <f>'Issues &amp; Punch List'!R433</f>
        <v/>
      </c>
      <c r="E6467" s="46">
        <f>IF(OR(B6467="",C6467="",D6467=""),"",D6467*100000+(C6467-DATE(2000,1,1))+ROW()/100000)</f>
        <v/>
      </c>
      <c r="F6467" s="46">
        <f>IF(E6467="","",IF(C6467&gt;WeekEndDate,"",E6467))</f>
        <v/>
      </c>
    </row>
    <row r="6468">
      <c r="A6468" t="inlineStr">
        <is>
          <t>Issues &amp; Punch List</t>
        </is>
      </c>
      <c r="B6468" s="46">
        <f>'Issues &amp; Punch List'!S434</f>
        <v/>
      </c>
      <c r="C6468" s="84">
        <f>'Issues &amp; Punch List'!Q434</f>
        <v/>
      </c>
      <c r="D6468" s="46">
        <f>'Issues &amp; Punch List'!R434</f>
        <v/>
      </c>
      <c r="E6468" s="46">
        <f>IF(OR(B6468="",C6468="",D6468=""),"",D6468*100000+(C6468-DATE(2000,1,1))+ROW()/100000)</f>
        <v/>
      </c>
      <c r="F6468" s="46">
        <f>IF(E6468="","",IF(C6468&gt;WeekEndDate,"",E6468))</f>
        <v/>
      </c>
    </row>
    <row r="6469">
      <c r="A6469" t="inlineStr">
        <is>
          <t>Issues &amp; Punch List</t>
        </is>
      </c>
      <c r="B6469" s="46">
        <f>'Issues &amp; Punch List'!S435</f>
        <v/>
      </c>
      <c r="C6469" s="84">
        <f>'Issues &amp; Punch List'!Q435</f>
        <v/>
      </c>
      <c r="D6469" s="46">
        <f>'Issues &amp; Punch List'!R435</f>
        <v/>
      </c>
      <c r="E6469" s="46">
        <f>IF(OR(B6469="",C6469="",D6469=""),"",D6469*100000+(C6469-DATE(2000,1,1))+ROW()/100000)</f>
        <v/>
      </c>
      <c r="F6469" s="46">
        <f>IF(E6469="","",IF(C6469&gt;WeekEndDate,"",E6469))</f>
        <v/>
      </c>
    </row>
    <row r="6470">
      <c r="A6470" t="inlineStr">
        <is>
          <t>Issues &amp; Punch List</t>
        </is>
      </c>
      <c r="B6470" s="46">
        <f>'Issues &amp; Punch List'!S436</f>
        <v/>
      </c>
      <c r="C6470" s="84">
        <f>'Issues &amp; Punch List'!Q436</f>
        <v/>
      </c>
      <c r="D6470" s="46">
        <f>'Issues &amp; Punch List'!R436</f>
        <v/>
      </c>
      <c r="E6470" s="46">
        <f>IF(OR(B6470="",C6470="",D6470=""),"",D6470*100000+(C6470-DATE(2000,1,1))+ROW()/100000)</f>
        <v/>
      </c>
      <c r="F6470" s="46">
        <f>IF(E6470="","",IF(C6470&gt;WeekEndDate,"",E6470))</f>
        <v/>
      </c>
    </row>
    <row r="6471">
      <c r="A6471" t="inlineStr">
        <is>
          <t>Issues &amp; Punch List</t>
        </is>
      </c>
      <c r="B6471" s="46">
        <f>'Issues &amp; Punch List'!S437</f>
        <v/>
      </c>
      <c r="C6471" s="84">
        <f>'Issues &amp; Punch List'!Q437</f>
        <v/>
      </c>
      <c r="D6471" s="46">
        <f>'Issues &amp; Punch List'!R437</f>
        <v/>
      </c>
      <c r="E6471" s="46">
        <f>IF(OR(B6471="",C6471="",D6471=""),"",D6471*100000+(C6471-DATE(2000,1,1))+ROW()/100000)</f>
        <v/>
      </c>
      <c r="F6471" s="46">
        <f>IF(E6471="","",IF(C6471&gt;WeekEndDate,"",E6471))</f>
        <v/>
      </c>
    </row>
    <row r="6472">
      <c r="A6472" t="inlineStr">
        <is>
          <t>Issues &amp; Punch List</t>
        </is>
      </c>
      <c r="B6472" s="46">
        <f>'Issues &amp; Punch List'!S438</f>
        <v/>
      </c>
      <c r="C6472" s="84">
        <f>'Issues &amp; Punch List'!Q438</f>
        <v/>
      </c>
      <c r="D6472" s="46">
        <f>'Issues &amp; Punch List'!R438</f>
        <v/>
      </c>
      <c r="E6472" s="46">
        <f>IF(OR(B6472="",C6472="",D6472=""),"",D6472*100000+(C6472-DATE(2000,1,1))+ROW()/100000)</f>
        <v/>
      </c>
      <c r="F6472" s="46">
        <f>IF(E6472="","",IF(C6472&gt;WeekEndDate,"",E6472))</f>
        <v/>
      </c>
    </row>
    <row r="6473">
      <c r="A6473" t="inlineStr">
        <is>
          <t>Issues &amp; Punch List</t>
        </is>
      </c>
      <c r="B6473" s="46">
        <f>'Issues &amp; Punch List'!S439</f>
        <v/>
      </c>
      <c r="C6473" s="84">
        <f>'Issues &amp; Punch List'!Q439</f>
        <v/>
      </c>
      <c r="D6473" s="46">
        <f>'Issues &amp; Punch List'!R439</f>
        <v/>
      </c>
      <c r="E6473" s="46">
        <f>IF(OR(B6473="",C6473="",D6473=""),"",D6473*100000+(C6473-DATE(2000,1,1))+ROW()/100000)</f>
        <v/>
      </c>
      <c r="F6473" s="46">
        <f>IF(E6473="","",IF(C6473&gt;WeekEndDate,"",E6473))</f>
        <v/>
      </c>
    </row>
    <row r="6474">
      <c r="A6474" t="inlineStr">
        <is>
          <t>Issues &amp; Punch List</t>
        </is>
      </c>
      <c r="B6474" s="46">
        <f>'Issues &amp; Punch List'!S440</f>
        <v/>
      </c>
      <c r="C6474" s="84">
        <f>'Issues &amp; Punch List'!Q440</f>
        <v/>
      </c>
      <c r="D6474" s="46">
        <f>'Issues &amp; Punch List'!R440</f>
        <v/>
      </c>
      <c r="E6474" s="46">
        <f>IF(OR(B6474="",C6474="",D6474=""),"",D6474*100000+(C6474-DATE(2000,1,1))+ROW()/100000)</f>
        <v/>
      </c>
      <c r="F6474" s="46">
        <f>IF(E6474="","",IF(C6474&gt;WeekEndDate,"",E6474))</f>
        <v/>
      </c>
    </row>
    <row r="6475">
      <c r="A6475" t="inlineStr">
        <is>
          <t>Issues &amp; Punch List</t>
        </is>
      </c>
      <c r="B6475" s="46">
        <f>'Issues &amp; Punch List'!S441</f>
        <v/>
      </c>
      <c r="C6475" s="84">
        <f>'Issues &amp; Punch List'!Q441</f>
        <v/>
      </c>
      <c r="D6475" s="46">
        <f>'Issues &amp; Punch List'!R441</f>
        <v/>
      </c>
      <c r="E6475" s="46">
        <f>IF(OR(B6475="",C6475="",D6475=""),"",D6475*100000+(C6475-DATE(2000,1,1))+ROW()/100000)</f>
        <v/>
      </c>
      <c r="F6475" s="46">
        <f>IF(E6475="","",IF(C6475&gt;WeekEndDate,"",E6475))</f>
        <v/>
      </c>
    </row>
    <row r="6476">
      <c r="A6476" t="inlineStr">
        <is>
          <t>Issues &amp; Punch List</t>
        </is>
      </c>
      <c r="B6476" s="46">
        <f>'Issues &amp; Punch List'!S442</f>
        <v/>
      </c>
      <c r="C6476" s="84">
        <f>'Issues &amp; Punch List'!Q442</f>
        <v/>
      </c>
      <c r="D6476" s="46">
        <f>'Issues &amp; Punch List'!R442</f>
        <v/>
      </c>
      <c r="E6476" s="46">
        <f>IF(OR(B6476="",C6476="",D6476=""),"",D6476*100000+(C6476-DATE(2000,1,1))+ROW()/100000)</f>
        <v/>
      </c>
      <c r="F6476" s="46">
        <f>IF(E6476="","",IF(C6476&gt;WeekEndDate,"",E6476))</f>
        <v/>
      </c>
    </row>
    <row r="6477">
      <c r="A6477" t="inlineStr">
        <is>
          <t>Issues &amp; Punch List</t>
        </is>
      </c>
      <c r="B6477" s="46">
        <f>'Issues &amp; Punch List'!S443</f>
        <v/>
      </c>
      <c r="C6477" s="84">
        <f>'Issues &amp; Punch List'!Q443</f>
        <v/>
      </c>
      <c r="D6477" s="46">
        <f>'Issues &amp; Punch List'!R443</f>
        <v/>
      </c>
      <c r="E6477" s="46">
        <f>IF(OR(B6477="",C6477="",D6477=""),"",D6477*100000+(C6477-DATE(2000,1,1))+ROW()/100000)</f>
        <v/>
      </c>
      <c r="F6477" s="46">
        <f>IF(E6477="","",IF(C6477&gt;WeekEndDate,"",E6477))</f>
        <v/>
      </c>
    </row>
    <row r="6478">
      <c r="A6478" t="inlineStr">
        <is>
          <t>Issues &amp; Punch List</t>
        </is>
      </c>
      <c r="B6478" s="46">
        <f>'Issues &amp; Punch List'!S444</f>
        <v/>
      </c>
      <c r="C6478" s="84">
        <f>'Issues &amp; Punch List'!Q444</f>
        <v/>
      </c>
      <c r="D6478" s="46">
        <f>'Issues &amp; Punch List'!R444</f>
        <v/>
      </c>
      <c r="E6478" s="46">
        <f>IF(OR(B6478="",C6478="",D6478=""),"",D6478*100000+(C6478-DATE(2000,1,1))+ROW()/100000)</f>
        <v/>
      </c>
      <c r="F6478" s="46">
        <f>IF(E6478="","",IF(C6478&gt;WeekEndDate,"",E6478))</f>
        <v/>
      </c>
    </row>
    <row r="6479">
      <c r="A6479" t="inlineStr">
        <is>
          <t>Issues &amp; Punch List</t>
        </is>
      </c>
      <c r="B6479" s="46">
        <f>'Issues &amp; Punch List'!S445</f>
        <v/>
      </c>
      <c r="C6479" s="84">
        <f>'Issues &amp; Punch List'!Q445</f>
        <v/>
      </c>
      <c r="D6479" s="46">
        <f>'Issues &amp; Punch List'!R445</f>
        <v/>
      </c>
      <c r="E6479" s="46">
        <f>IF(OR(B6479="",C6479="",D6479=""),"",D6479*100000+(C6479-DATE(2000,1,1))+ROW()/100000)</f>
        <v/>
      </c>
      <c r="F6479" s="46">
        <f>IF(E6479="","",IF(C6479&gt;WeekEndDate,"",E6479))</f>
        <v/>
      </c>
    </row>
    <row r="6480">
      <c r="A6480" t="inlineStr">
        <is>
          <t>Issues &amp; Punch List</t>
        </is>
      </c>
      <c r="B6480" s="46">
        <f>'Issues &amp; Punch List'!S446</f>
        <v/>
      </c>
      <c r="C6480" s="84">
        <f>'Issues &amp; Punch List'!Q446</f>
        <v/>
      </c>
      <c r="D6480" s="46">
        <f>'Issues &amp; Punch List'!R446</f>
        <v/>
      </c>
      <c r="E6480" s="46">
        <f>IF(OR(B6480="",C6480="",D6480=""),"",D6480*100000+(C6480-DATE(2000,1,1))+ROW()/100000)</f>
        <v/>
      </c>
      <c r="F6480" s="46">
        <f>IF(E6480="","",IF(C6480&gt;WeekEndDate,"",E6480))</f>
        <v/>
      </c>
    </row>
    <row r="6481">
      <c r="A6481" t="inlineStr">
        <is>
          <t>Issues &amp; Punch List</t>
        </is>
      </c>
      <c r="B6481" s="46">
        <f>'Issues &amp; Punch List'!S447</f>
        <v/>
      </c>
      <c r="C6481" s="84">
        <f>'Issues &amp; Punch List'!Q447</f>
        <v/>
      </c>
      <c r="D6481" s="46">
        <f>'Issues &amp; Punch List'!R447</f>
        <v/>
      </c>
      <c r="E6481" s="46">
        <f>IF(OR(B6481="",C6481="",D6481=""),"",D6481*100000+(C6481-DATE(2000,1,1))+ROW()/100000)</f>
        <v/>
      </c>
      <c r="F6481" s="46">
        <f>IF(E6481="","",IF(C6481&gt;WeekEndDate,"",E6481))</f>
        <v/>
      </c>
    </row>
    <row r="6482">
      <c r="A6482" t="inlineStr">
        <is>
          <t>Issues &amp; Punch List</t>
        </is>
      </c>
      <c r="B6482" s="46">
        <f>'Issues &amp; Punch List'!S448</f>
        <v/>
      </c>
      <c r="C6482" s="84">
        <f>'Issues &amp; Punch List'!Q448</f>
        <v/>
      </c>
      <c r="D6482" s="46">
        <f>'Issues &amp; Punch List'!R448</f>
        <v/>
      </c>
      <c r="E6482" s="46">
        <f>IF(OR(B6482="",C6482="",D6482=""),"",D6482*100000+(C6482-DATE(2000,1,1))+ROW()/100000)</f>
        <v/>
      </c>
      <c r="F6482" s="46">
        <f>IF(E6482="","",IF(C6482&gt;WeekEndDate,"",E6482))</f>
        <v/>
      </c>
    </row>
    <row r="6483">
      <c r="A6483" t="inlineStr">
        <is>
          <t>Issues &amp; Punch List</t>
        </is>
      </c>
      <c r="B6483" s="46">
        <f>'Issues &amp; Punch List'!S449</f>
        <v/>
      </c>
      <c r="C6483" s="84">
        <f>'Issues &amp; Punch List'!Q449</f>
        <v/>
      </c>
      <c r="D6483" s="46">
        <f>'Issues &amp; Punch List'!R449</f>
        <v/>
      </c>
      <c r="E6483" s="46">
        <f>IF(OR(B6483="",C6483="",D6483=""),"",D6483*100000+(C6483-DATE(2000,1,1))+ROW()/100000)</f>
        <v/>
      </c>
      <c r="F6483" s="46">
        <f>IF(E6483="","",IF(C6483&gt;WeekEndDate,"",E6483))</f>
        <v/>
      </c>
    </row>
    <row r="6484">
      <c r="A6484" t="inlineStr">
        <is>
          <t>Issues &amp; Punch List</t>
        </is>
      </c>
      <c r="B6484" s="46">
        <f>'Issues &amp; Punch List'!S450</f>
        <v/>
      </c>
      <c r="C6484" s="84">
        <f>'Issues &amp; Punch List'!Q450</f>
        <v/>
      </c>
      <c r="D6484" s="46">
        <f>'Issues &amp; Punch List'!R450</f>
        <v/>
      </c>
      <c r="E6484" s="46">
        <f>IF(OR(B6484="",C6484="",D6484=""),"",D6484*100000+(C6484-DATE(2000,1,1))+ROW()/100000)</f>
        <v/>
      </c>
      <c r="F6484" s="46">
        <f>IF(E6484="","",IF(C6484&gt;WeekEndDate,"",E6484))</f>
        <v/>
      </c>
    </row>
    <row r="6485">
      <c r="A6485" t="inlineStr">
        <is>
          <t>Issues &amp; Punch List</t>
        </is>
      </c>
      <c r="B6485" s="46">
        <f>'Issues &amp; Punch List'!S451</f>
        <v/>
      </c>
      <c r="C6485" s="84">
        <f>'Issues &amp; Punch List'!Q451</f>
        <v/>
      </c>
      <c r="D6485" s="46">
        <f>'Issues &amp; Punch List'!R451</f>
        <v/>
      </c>
      <c r="E6485" s="46">
        <f>IF(OR(B6485="",C6485="",D6485=""),"",D6485*100000+(C6485-DATE(2000,1,1))+ROW()/100000)</f>
        <v/>
      </c>
      <c r="F6485" s="46">
        <f>IF(E6485="","",IF(C6485&gt;WeekEndDate,"",E6485))</f>
        <v/>
      </c>
    </row>
    <row r="6486">
      <c r="A6486" t="inlineStr">
        <is>
          <t>Issues &amp; Punch List</t>
        </is>
      </c>
      <c r="B6486" s="46">
        <f>'Issues &amp; Punch List'!S452</f>
        <v/>
      </c>
      <c r="C6486" s="84">
        <f>'Issues &amp; Punch List'!Q452</f>
        <v/>
      </c>
      <c r="D6486" s="46">
        <f>'Issues &amp; Punch List'!R452</f>
        <v/>
      </c>
      <c r="E6486" s="46">
        <f>IF(OR(B6486="",C6486="",D6486=""),"",D6486*100000+(C6486-DATE(2000,1,1))+ROW()/100000)</f>
        <v/>
      </c>
      <c r="F6486" s="46">
        <f>IF(E6486="","",IF(C6486&gt;WeekEndDate,"",E6486))</f>
        <v/>
      </c>
    </row>
    <row r="6487">
      <c r="A6487" t="inlineStr">
        <is>
          <t>Issues &amp; Punch List</t>
        </is>
      </c>
      <c r="B6487" s="46">
        <f>'Issues &amp; Punch List'!S453</f>
        <v/>
      </c>
      <c r="C6487" s="84">
        <f>'Issues &amp; Punch List'!Q453</f>
        <v/>
      </c>
      <c r="D6487" s="46">
        <f>'Issues &amp; Punch List'!R453</f>
        <v/>
      </c>
      <c r="E6487" s="46">
        <f>IF(OR(B6487="",C6487="",D6487=""),"",D6487*100000+(C6487-DATE(2000,1,1))+ROW()/100000)</f>
        <v/>
      </c>
      <c r="F6487" s="46">
        <f>IF(E6487="","",IF(C6487&gt;WeekEndDate,"",E6487))</f>
        <v/>
      </c>
    </row>
    <row r="6488">
      <c r="A6488" t="inlineStr">
        <is>
          <t>Issues &amp; Punch List</t>
        </is>
      </c>
      <c r="B6488" s="46">
        <f>'Issues &amp; Punch List'!S454</f>
        <v/>
      </c>
      <c r="C6488" s="84">
        <f>'Issues &amp; Punch List'!Q454</f>
        <v/>
      </c>
      <c r="D6488" s="46">
        <f>'Issues &amp; Punch List'!R454</f>
        <v/>
      </c>
      <c r="E6488" s="46">
        <f>IF(OR(B6488="",C6488="",D6488=""),"",D6488*100000+(C6488-DATE(2000,1,1))+ROW()/100000)</f>
        <v/>
      </c>
      <c r="F6488" s="46">
        <f>IF(E6488="","",IF(C6488&gt;WeekEndDate,"",E6488))</f>
        <v/>
      </c>
    </row>
    <row r="6489">
      <c r="A6489" t="inlineStr">
        <is>
          <t>Issues &amp; Punch List</t>
        </is>
      </c>
      <c r="B6489" s="46">
        <f>'Issues &amp; Punch List'!S455</f>
        <v/>
      </c>
      <c r="C6489" s="84">
        <f>'Issues &amp; Punch List'!Q455</f>
        <v/>
      </c>
      <c r="D6489" s="46">
        <f>'Issues &amp; Punch List'!R455</f>
        <v/>
      </c>
      <c r="E6489" s="46">
        <f>IF(OR(B6489="",C6489="",D6489=""),"",D6489*100000+(C6489-DATE(2000,1,1))+ROW()/100000)</f>
        <v/>
      </c>
      <c r="F6489" s="46">
        <f>IF(E6489="","",IF(C6489&gt;WeekEndDate,"",E6489))</f>
        <v/>
      </c>
    </row>
    <row r="6490">
      <c r="A6490" t="inlineStr">
        <is>
          <t>Issues &amp; Punch List</t>
        </is>
      </c>
      <c r="B6490" s="46">
        <f>'Issues &amp; Punch List'!S456</f>
        <v/>
      </c>
      <c r="C6490" s="84">
        <f>'Issues &amp; Punch List'!Q456</f>
        <v/>
      </c>
      <c r="D6490" s="46">
        <f>'Issues &amp; Punch List'!R456</f>
        <v/>
      </c>
      <c r="E6490" s="46">
        <f>IF(OR(B6490="",C6490="",D6490=""),"",D6490*100000+(C6490-DATE(2000,1,1))+ROW()/100000)</f>
        <v/>
      </c>
      <c r="F6490" s="46">
        <f>IF(E6490="","",IF(C6490&gt;WeekEndDate,"",E6490))</f>
        <v/>
      </c>
    </row>
    <row r="6491">
      <c r="A6491" t="inlineStr">
        <is>
          <t>Issues &amp; Punch List</t>
        </is>
      </c>
      <c r="B6491" s="46">
        <f>'Issues &amp; Punch List'!S457</f>
        <v/>
      </c>
      <c r="C6491" s="84">
        <f>'Issues &amp; Punch List'!Q457</f>
        <v/>
      </c>
      <c r="D6491" s="46">
        <f>'Issues &amp; Punch List'!R457</f>
        <v/>
      </c>
      <c r="E6491" s="46">
        <f>IF(OR(B6491="",C6491="",D6491=""),"",D6491*100000+(C6491-DATE(2000,1,1))+ROW()/100000)</f>
        <v/>
      </c>
      <c r="F6491" s="46">
        <f>IF(E6491="","",IF(C6491&gt;WeekEndDate,"",E6491))</f>
        <v/>
      </c>
    </row>
    <row r="6492">
      <c r="A6492" t="inlineStr">
        <is>
          <t>Issues &amp; Punch List</t>
        </is>
      </c>
      <c r="B6492" s="46">
        <f>'Issues &amp; Punch List'!S458</f>
        <v/>
      </c>
      <c r="C6492" s="84">
        <f>'Issues &amp; Punch List'!Q458</f>
        <v/>
      </c>
      <c r="D6492" s="46">
        <f>'Issues &amp; Punch List'!R458</f>
        <v/>
      </c>
      <c r="E6492" s="46">
        <f>IF(OR(B6492="",C6492="",D6492=""),"",D6492*100000+(C6492-DATE(2000,1,1))+ROW()/100000)</f>
        <v/>
      </c>
      <c r="F6492" s="46">
        <f>IF(E6492="","",IF(C6492&gt;WeekEndDate,"",E6492))</f>
        <v/>
      </c>
    </row>
    <row r="6493">
      <c r="A6493" t="inlineStr">
        <is>
          <t>Issues &amp; Punch List</t>
        </is>
      </c>
      <c r="B6493" s="46">
        <f>'Issues &amp; Punch List'!S459</f>
        <v/>
      </c>
      <c r="C6493" s="84">
        <f>'Issues &amp; Punch List'!Q459</f>
        <v/>
      </c>
      <c r="D6493" s="46">
        <f>'Issues &amp; Punch List'!R459</f>
        <v/>
      </c>
      <c r="E6493" s="46">
        <f>IF(OR(B6493="",C6493="",D6493=""),"",D6493*100000+(C6493-DATE(2000,1,1))+ROW()/100000)</f>
        <v/>
      </c>
      <c r="F6493" s="46">
        <f>IF(E6493="","",IF(C6493&gt;WeekEndDate,"",E6493))</f>
        <v/>
      </c>
    </row>
    <row r="6494">
      <c r="A6494" t="inlineStr">
        <is>
          <t>Issues &amp; Punch List</t>
        </is>
      </c>
      <c r="B6494" s="46">
        <f>'Issues &amp; Punch List'!S460</f>
        <v/>
      </c>
      <c r="C6494" s="84">
        <f>'Issues &amp; Punch List'!Q460</f>
        <v/>
      </c>
      <c r="D6494" s="46">
        <f>'Issues &amp; Punch List'!R460</f>
        <v/>
      </c>
      <c r="E6494" s="46">
        <f>IF(OR(B6494="",C6494="",D6494=""),"",D6494*100000+(C6494-DATE(2000,1,1))+ROW()/100000)</f>
        <v/>
      </c>
      <c r="F6494" s="46">
        <f>IF(E6494="","",IF(C6494&gt;WeekEndDate,"",E6494))</f>
        <v/>
      </c>
    </row>
    <row r="6495">
      <c r="A6495" t="inlineStr">
        <is>
          <t>Issues &amp; Punch List</t>
        </is>
      </c>
      <c r="B6495" s="46">
        <f>'Issues &amp; Punch List'!S461</f>
        <v/>
      </c>
      <c r="C6495" s="84">
        <f>'Issues &amp; Punch List'!Q461</f>
        <v/>
      </c>
      <c r="D6495" s="46">
        <f>'Issues &amp; Punch List'!R461</f>
        <v/>
      </c>
      <c r="E6495" s="46">
        <f>IF(OR(B6495="",C6495="",D6495=""),"",D6495*100000+(C6495-DATE(2000,1,1))+ROW()/100000)</f>
        <v/>
      </c>
      <c r="F6495" s="46">
        <f>IF(E6495="","",IF(C6495&gt;WeekEndDate,"",E6495))</f>
        <v/>
      </c>
    </row>
    <row r="6496">
      <c r="A6496" t="inlineStr">
        <is>
          <t>Issues &amp; Punch List</t>
        </is>
      </c>
      <c r="B6496" s="46">
        <f>'Issues &amp; Punch List'!S462</f>
        <v/>
      </c>
      <c r="C6496" s="84">
        <f>'Issues &amp; Punch List'!Q462</f>
        <v/>
      </c>
      <c r="D6496" s="46">
        <f>'Issues &amp; Punch List'!R462</f>
        <v/>
      </c>
      <c r="E6496" s="46">
        <f>IF(OR(B6496="",C6496="",D6496=""),"",D6496*100000+(C6496-DATE(2000,1,1))+ROW()/100000)</f>
        <v/>
      </c>
      <c r="F6496" s="46">
        <f>IF(E6496="","",IF(C6496&gt;WeekEndDate,"",E6496))</f>
        <v/>
      </c>
    </row>
    <row r="6497">
      <c r="A6497" t="inlineStr">
        <is>
          <t>Issues &amp; Punch List</t>
        </is>
      </c>
      <c r="B6497" s="46">
        <f>'Issues &amp; Punch List'!S463</f>
        <v/>
      </c>
      <c r="C6497" s="84">
        <f>'Issues &amp; Punch List'!Q463</f>
        <v/>
      </c>
      <c r="D6497" s="46">
        <f>'Issues &amp; Punch List'!R463</f>
        <v/>
      </c>
      <c r="E6497" s="46">
        <f>IF(OR(B6497="",C6497="",D6497=""),"",D6497*100000+(C6497-DATE(2000,1,1))+ROW()/100000)</f>
        <v/>
      </c>
      <c r="F6497" s="46">
        <f>IF(E6497="","",IF(C6497&gt;WeekEndDate,"",E6497))</f>
        <v/>
      </c>
    </row>
    <row r="6498">
      <c r="A6498" t="inlineStr">
        <is>
          <t>Issues &amp; Punch List</t>
        </is>
      </c>
      <c r="B6498" s="46">
        <f>'Issues &amp; Punch List'!S464</f>
        <v/>
      </c>
      <c r="C6498" s="84">
        <f>'Issues &amp; Punch List'!Q464</f>
        <v/>
      </c>
      <c r="D6498" s="46">
        <f>'Issues &amp; Punch List'!R464</f>
        <v/>
      </c>
      <c r="E6498" s="46">
        <f>IF(OR(B6498="",C6498="",D6498=""),"",D6498*100000+(C6498-DATE(2000,1,1))+ROW()/100000)</f>
        <v/>
      </c>
      <c r="F6498" s="46">
        <f>IF(E6498="","",IF(C6498&gt;WeekEndDate,"",E6498))</f>
        <v/>
      </c>
    </row>
    <row r="6499">
      <c r="A6499" t="inlineStr">
        <is>
          <t>Issues &amp; Punch List</t>
        </is>
      </c>
      <c r="B6499" s="46">
        <f>'Issues &amp; Punch List'!S465</f>
        <v/>
      </c>
      <c r="C6499" s="84">
        <f>'Issues &amp; Punch List'!Q465</f>
        <v/>
      </c>
      <c r="D6499" s="46">
        <f>'Issues &amp; Punch List'!R465</f>
        <v/>
      </c>
      <c r="E6499" s="46">
        <f>IF(OR(B6499="",C6499="",D6499=""),"",D6499*100000+(C6499-DATE(2000,1,1))+ROW()/100000)</f>
        <v/>
      </c>
      <c r="F6499" s="46">
        <f>IF(E6499="","",IF(C6499&gt;WeekEndDate,"",E6499))</f>
        <v/>
      </c>
    </row>
    <row r="6500">
      <c r="A6500" t="inlineStr">
        <is>
          <t>Issues &amp; Punch List</t>
        </is>
      </c>
      <c r="B6500" s="46">
        <f>'Issues &amp; Punch List'!S466</f>
        <v/>
      </c>
      <c r="C6500" s="84">
        <f>'Issues &amp; Punch List'!Q466</f>
        <v/>
      </c>
      <c r="D6500" s="46">
        <f>'Issues &amp; Punch List'!R466</f>
        <v/>
      </c>
      <c r="E6500" s="46">
        <f>IF(OR(B6500="",C6500="",D6500=""),"",D6500*100000+(C6500-DATE(2000,1,1))+ROW()/100000)</f>
        <v/>
      </c>
      <c r="F6500" s="46">
        <f>IF(E6500="","",IF(C6500&gt;WeekEndDate,"",E6500))</f>
        <v/>
      </c>
    </row>
    <row r="6501">
      <c r="A6501" t="inlineStr">
        <is>
          <t>Issues &amp; Punch List</t>
        </is>
      </c>
      <c r="B6501" s="46">
        <f>'Issues &amp; Punch List'!S467</f>
        <v/>
      </c>
      <c r="C6501" s="84">
        <f>'Issues &amp; Punch List'!Q467</f>
        <v/>
      </c>
      <c r="D6501" s="46">
        <f>'Issues &amp; Punch List'!R467</f>
        <v/>
      </c>
      <c r="E6501" s="46">
        <f>IF(OR(B6501="",C6501="",D6501=""),"",D6501*100000+(C6501-DATE(2000,1,1))+ROW()/100000)</f>
        <v/>
      </c>
      <c r="F6501" s="46">
        <f>IF(E6501="","",IF(C6501&gt;WeekEndDate,"",E6501))</f>
        <v/>
      </c>
    </row>
    <row r="6502">
      <c r="A6502" t="inlineStr">
        <is>
          <t>Issues &amp; Punch List</t>
        </is>
      </c>
      <c r="B6502" s="46">
        <f>'Issues &amp; Punch List'!S468</f>
        <v/>
      </c>
      <c r="C6502" s="84">
        <f>'Issues &amp; Punch List'!Q468</f>
        <v/>
      </c>
      <c r="D6502" s="46">
        <f>'Issues &amp; Punch List'!R468</f>
        <v/>
      </c>
      <c r="E6502" s="46">
        <f>IF(OR(B6502="",C6502="",D6502=""),"",D6502*100000+(C6502-DATE(2000,1,1))+ROW()/100000)</f>
        <v/>
      </c>
      <c r="F6502" s="46">
        <f>IF(E6502="","",IF(C6502&gt;WeekEndDate,"",E6502))</f>
        <v/>
      </c>
    </row>
    <row r="6503">
      <c r="A6503" t="inlineStr">
        <is>
          <t>Issues &amp; Punch List</t>
        </is>
      </c>
      <c r="B6503" s="46">
        <f>'Issues &amp; Punch List'!S469</f>
        <v/>
      </c>
      <c r="C6503" s="84">
        <f>'Issues &amp; Punch List'!Q469</f>
        <v/>
      </c>
      <c r="D6503" s="46">
        <f>'Issues &amp; Punch List'!R469</f>
        <v/>
      </c>
      <c r="E6503" s="46">
        <f>IF(OR(B6503="",C6503="",D6503=""),"",D6503*100000+(C6503-DATE(2000,1,1))+ROW()/100000)</f>
        <v/>
      </c>
      <c r="F6503" s="46">
        <f>IF(E6503="","",IF(C6503&gt;WeekEndDate,"",E6503))</f>
        <v/>
      </c>
    </row>
    <row r="6504">
      <c r="A6504" t="inlineStr">
        <is>
          <t>Issues &amp; Punch List</t>
        </is>
      </c>
      <c r="B6504" s="46">
        <f>'Issues &amp; Punch List'!S470</f>
        <v/>
      </c>
      <c r="C6504" s="84">
        <f>'Issues &amp; Punch List'!Q470</f>
        <v/>
      </c>
      <c r="D6504" s="46">
        <f>'Issues &amp; Punch List'!R470</f>
        <v/>
      </c>
      <c r="E6504" s="46">
        <f>IF(OR(B6504="",C6504="",D6504=""),"",D6504*100000+(C6504-DATE(2000,1,1))+ROW()/100000)</f>
        <v/>
      </c>
      <c r="F6504" s="46">
        <f>IF(E6504="","",IF(C6504&gt;WeekEndDate,"",E6504))</f>
        <v/>
      </c>
    </row>
    <row r="6505">
      <c r="A6505" t="inlineStr">
        <is>
          <t>Issues &amp; Punch List</t>
        </is>
      </c>
      <c r="B6505" s="46">
        <f>'Issues &amp; Punch List'!S471</f>
        <v/>
      </c>
      <c r="C6505" s="84">
        <f>'Issues &amp; Punch List'!Q471</f>
        <v/>
      </c>
      <c r="D6505" s="46">
        <f>'Issues &amp; Punch List'!R471</f>
        <v/>
      </c>
      <c r="E6505" s="46">
        <f>IF(OR(B6505="",C6505="",D6505=""),"",D6505*100000+(C6505-DATE(2000,1,1))+ROW()/100000)</f>
        <v/>
      </c>
      <c r="F6505" s="46">
        <f>IF(E6505="","",IF(C6505&gt;WeekEndDate,"",E6505))</f>
        <v/>
      </c>
    </row>
    <row r="6506">
      <c r="A6506" t="inlineStr">
        <is>
          <t>Issues &amp; Punch List</t>
        </is>
      </c>
      <c r="B6506" s="46">
        <f>'Issues &amp; Punch List'!S472</f>
        <v/>
      </c>
      <c r="C6506" s="84">
        <f>'Issues &amp; Punch List'!Q472</f>
        <v/>
      </c>
      <c r="D6506" s="46">
        <f>'Issues &amp; Punch List'!R472</f>
        <v/>
      </c>
      <c r="E6506" s="46">
        <f>IF(OR(B6506="",C6506="",D6506=""),"",D6506*100000+(C6506-DATE(2000,1,1))+ROW()/100000)</f>
        <v/>
      </c>
      <c r="F6506" s="46">
        <f>IF(E6506="","",IF(C6506&gt;WeekEndDate,"",E6506))</f>
        <v/>
      </c>
    </row>
    <row r="6507">
      <c r="A6507" t="inlineStr">
        <is>
          <t>Issues &amp; Punch List</t>
        </is>
      </c>
      <c r="B6507" s="46">
        <f>'Issues &amp; Punch List'!S473</f>
        <v/>
      </c>
      <c r="C6507" s="84">
        <f>'Issues &amp; Punch List'!Q473</f>
        <v/>
      </c>
      <c r="D6507" s="46">
        <f>'Issues &amp; Punch List'!R473</f>
        <v/>
      </c>
      <c r="E6507" s="46">
        <f>IF(OR(B6507="",C6507="",D6507=""),"",D6507*100000+(C6507-DATE(2000,1,1))+ROW()/100000)</f>
        <v/>
      </c>
      <c r="F6507" s="46">
        <f>IF(E6507="","",IF(C6507&gt;WeekEndDate,"",E6507))</f>
        <v/>
      </c>
    </row>
    <row r="6508">
      <c r="A6508" t="inlineStr">
        <is>
          <t>Issues &amp; Punch List</t>
        </is>
      </c>
      <c r="B6508" s="46">
        <f>'Issues &amp; Punch List'!S474</f>
        <v/>
      </c>
      <c r="C6508" s="84">
        <f>'Issues &amp; Punch List'!Q474</f>
        <v/>
      </c>
      <c r="D6508" s="46">
        <f>'Issues &amp; Punch List'!R474</f>
        <v/>
      </c>
      <c r="E6508" s="46">
        <f>IF(OR(B6508="",C6508="",D6508=""),"",D6508*100000+(C6508-DATE(2000,1,1))+ROW()/100000)</f>
        <v/>
      </c>
      <c r="F6508" s="46">
        <f>IF(E6508="","",IF(C6508&gt;WeekEndDate,"",E6508))</f>
        <v/>
      </c>
    </row>
    <row r="6509">
      <c r="A6509" t="inlineStr">
        <is>
          <t>Issues &amp; Punch List</t>
        </is>
      </c>
      <c r="B6509" s="46">
        <f>'Issues &amp; Punch List'!S475</f>
        <v/>
      </c>
      <c r="C6509" s="84">
        <f>'Issues &amp; Punch List'!Q475</f>
        <v/>
      </c>
      <c r="D6509" s="46">
        <f>'Issues &amp; Punch List'!R475</f>
        <v/>
      </c>
      <c r="E6509" s="46">
        <f>IF(OR(B6509="",C6509="",D6509=""),"",D6509*100000+(C6509-DATE(2000,1,1))+ROW()/100000)</f>
        <v/>
      </c>
      <c r="F6509" s="46">
        <f>IF(E6509="","",IF(C6509&gt;WeekEndDate,"",E6509))</f>
        <v/>
      </c>
    </row>
    <row r="6510">
      <c r="A6510" t="inlineStr">
        <is>
          <t>Issues &amp; Punch List</t>
        </is>
      </c>
      <c r="B6510" s="46">
        <f>'Issues &amp; Punch List'!S476</f>
        <v/>
      </c>
      <c r="C6510" s="84">
        <f>'Issues &amp; Punch List'!Q476</f>
        <v/>
      </c>
      <c r="D6510" s="46">
        <f>'Issues &amp; Punch List'!R476</f>
        <v/>
      </c>
      <c r="E6510" s="46">
        <f>IF(OR(B6510="",C6510="",D6510=""),"",D6510*100000+(C6510-DATE(2000,1,1))+ROW()/100000)</f>
        <v/>
      </c>
      <c r="F6510" s="46">
        <f>IF(E6510="","",IF(C6510&gt;WeekEndDate,"",E6510))</f>
        <v/>
      </c>
    </row>
    <row r="6511">
      <c r="A6511" t="inlineStr">
        <is>
          <t>Issues &amp; Punch List</t>
        </is>
      </c>
      <c r="B6511" s="46">
        <f>'Issues &amp; Punch List'!S477</f>
        <v/>
      </c>
      <c r="C6511" s="84">
        <f>'Issues &amp; Punch List'!Q477</f>
        <v/>
      </c>
      <c r="D6511" s="46">
        <f>'Issues &amp; Punch List'!R477</f>
        <v/>
      </c>
      <c r="E6511" s="46">
        <f>IF(OR(B6511="",C6511="",D6511=""),"",D6511*100000+(C6511-DATE(2000,1,1))+ROW()/100000)</f>
        <v/>
      </c>
      <c r="F6511" s="46">
        <f>IF(E6511="","",IF(C6511&gt;WeekEndDate,"",E6511))</f>
        <v/>
      </c>
    </row>
    <row r="6512">
      <c r="A6512" t="inlineStr">
        <is>
          <t>Issues &amp; Punch List</t>
        </is>
      </c>
      <c r="B6512" s="46">
        <f>'Issues &amp; Punch List'!S478</f>
        <v/>
      </c>
      <c r="C6512" s="84">
        <f>'Issues &amp; Punch List'!Q478</f>
        <v/>
      </c>
      <c r="D6512" s="46">
        <f>'Issues &amp; Punch List'!R478</f>
        <v/>
      </c>
      <c r="E6512" s="46">
        <f>IF(OR(B6512="",C6512="",D6512=""),"",D6512*100000+(C6512-DATE(2000,1,1))+ROW()/100000)</f>
        <v/>
      </c>
      <c r="F6512" s="46">
        <f>IF(E6512="","",IF(C6512&gt;WeekEndDate,"",E6512))</f>
        <v/>
      </c>
    </row>
    <row r="6513">
      <c r="A6513" t="inlineStr">
        <is>
          <t>Issues &amp; Punch List</t>
        </is>
      </c>
      <c r="B6513" s="46">
        <f>'Issues &amp; Punch List'!S479</f>
        <v/>
      </c>
      <c r="C6513" s="84">
        <f>'Issues &amp; Punch List'!Q479</f>
        <v/>
      </c>
      <c r="D6513" s="46">
        <f>'Issues &amp; Punch List'!R479</f>
        <v/>
      </c>
      <c r="E6513" s="46">
        <f>IF(OR(B6513="",C6513="",D6513=""),"",D6513*100000+(C6513-DATE(2000,1,1))+ROW()/100000)</f>
        <v/>
      </c>
      <c r="F6513" s="46">
        <f>IF(E6513="","",IF(C6513&gt;WeekEndDate,"",E6513))</f>
        <v/>
      </c>
    </row>
    <row r="6514">
      <c r="A6514" t="inlineStr">
        <is>
          <t>Issues &amp; Punch List</t>
        </is>
      </c>
      <c r="B6514" s="46">
        <f>'Issues &amp; Punch List'!S480</f>
        <v/>
      </c>
      <c r="C6514" s="84">
        <f>'Issues &amp; Punch List'!Q480</f>
        <v/>
      </c>
      <c r="D6514" s="46">
        <f>'Issues &amp; Punch List'!R480</f>
        <v/>
      </c>
      <c r="E6514" s="46">
        <f>IF(OR(B6514="",C6514="",D6514=""),"",D6514*100000+(C6514-DATE(2000,1,1))+ROW()/100000)</f>
        <v/>
      </c>
      <c r="F6514" s="46">
        <f>IF(E6514="","",IF(C6514&gt;WeekEndDate,"",E6514))</f>
        <v/>
      </c>
    </row>
    <row r="6515">
      <c r="A6515" t="inlineStr">
        <is>
          <t>Issues &amp; Punch List</t>
        </is>
      </c>
      <c r="B6515" s="46">
        <f>'Issues &amp; Punch List'!S481</f>
        <v/>
      </c>
      <c r="C6515" s="84">
        <f>'Issues &amp; Punch List'!Q481</f>
        <v/>
      </c>
      <c r="D6515" s="46">
        <f>'Issues &amp; Punch List'!R481</f>
        <v/>
      </c>
      <c r="E6515" s="46">
        <f>IF(OR(B6515="",C6515="",D6515=""),"",D6515*100000+(C6515-DATE(2000,1,1))+ROW()/100000)</f>
        <v/>
      </c>
      <c r="F6515" s="46">
        <f>IF(E6515="","",IF(C6515&gt;WeekEndDate,"",E6515))</f>
        <v/>
      </c>
    </row>
    <row r="6516">
      <c r="A6516" t="inlineStr">
        <is>
          <t>Issues &amp; Punch List</t>
        </is>
      </c>
      <c r="B6516" s="46">
        <f>'Issues &amp; Punch List'!S482</f>
        <v/>
      </c>
      <c r="C6516" s="84">
        <f>'Issues &amp; Punch List'!Q482</f>
        <v/>
      </c>
      <c r="D6516" s="46">
        <f>'Issues &amp; Punch List'!R482</f>
        <v/>
      </c>
      <c r="E6516" s="46">
        <f>IF(OR(B6516="",C6516="",D6516=""),"",D6516*100000+(C6516-DATE(2000,1,1))+ROW()/100000)</f>
        <v/>
      </c>
      <c r="F6516" s="46">
        <f>IF(E6516="","",IF(C6516&gt;WeekEndDate,"",E6516))</f>
        <v/>
      </c>
    </row>
    <row r="6517">
      <c r="A6517" t="inlineStr">
        <is>
          <t>Issues &amp; Punch List</t>
        </is>
      </c>
      <c r="B6517" s="46">
        <f>'Issues &amp; Punch List'!S483</f>
        <v/>
      </c>
      <c r="C6517" s="84">
        <f>'Issues &amp; Punch List'!Q483</f>
        <v/>
      </c>
      <c r="D6517" s="46">
        <f>'Issues &amp; Punch List'!R483</f>
        <v/>
      </c>
      <c r="E6517" s="46">
        <f>IF(OR(B6517="",C6517="",D6517=""),"",D6517*100000+(C6517-DATE(2000,1,1))+ROW()/100000)</f>
        <v/>
      </c>
      <c r="F6517" s="46">
        <f>IF(E6517="","",IF(C6517&gt;WeekEndDate,"",E6517))</f>
        <v/>
      </c>
    </row>
    <row r="6518">
      <c r="A6518" t="inlineStr">
        <is>
          <t>Issues &amp; Punch List</t>
        </is>
      </c>
      <c r="B6518" s="46">
        <f>'Issues &amp; Punch List'!S484</f>
        <v/>
      </c>
      <c r="C6518" s="84">
        <f>'Issues &amp; Punch List'!Q484</f>
        <v/>
      </c>
      <c r="D6518" s="46">
        <f>'Issues &amp; Punch List'!R484</f>
        <v/>
      </c>
      <c r="E6518" s="46">
        <f>IF(OR(B6518="",C6518="",D6518=""),"",D6518*100000+(C6518-DATE(2000,1,1))+ROW()/100000)</f>
        <v/>
      </c>
      <c r="F6518" s="46">
        <f>IF(E6518="","",IF(C6518&gt;WeekEndDate,"",E6518))</f>
        <v/>
      </c>
    </row>
    <row r="6519">
      <c r="A6519" t="inlineStr">
        <is>
          <t>Issues &amp; Punch List</t>
        </is>
      </c>
      <c r="B6519" s="46">
        <f>'Issues &amp; Punch List'!S485</f>
        <v/>
      </c>
      <c r="C6519" s="84">
        <f>'Issues &amp; Punch List'!Q485</f>
        <v/>
      </c>
      <c r="D6519" s="46">
        <f>'Issues &amp; Punch List'!R485</f>
        <v/>
      </c>
      <c r="E6519" s="46">
        <f>IF(OR(B6519="",C6519="",D6519=""),"",D6519*100000+(C6519-DATE(2000,1,1))+ROW()/100000)</f>
        <v/>
      </c>
      <c r="F6519" s="46">
        <f>IF(E6519="","",IF(C6519&gt;WeekEndDate,"",E6519))</f>
        <v/>
      </c>
    </row>
    <row r="6520">
      <c r="A6520" t="inlineStr">
        <is>
          <t>Issues &amp; Punch List</t>
        </is>
      </c>
      <c r="B6520" s="46">
        <f>'Issues &amp; Punch List'!S486</f>
        <v/>
      </c>
      <c r="C6520" s="84">
        <f>'Issues &amp; Punch List'!Q486</f>
        <v/>
      </c>
      <c r="D6520" s="46">
        <f>'Issues &amp; Punch List'!R486</f>
        <v/>
      </c>
      <c r="E6520" s="46">
        <f>IF(OR(B6520="",C6520="",D6520=""),"",D6520*100000+(C6520-DATE(2000,1,1))+ROW()/100000)</f>
        <v/>
      </c>
      <c r="F6520" s="46">
        <f>IF(E6520="","",IF(C6520&gt;WeekEndDate,"",E6520))</f>
        <v/>
      </c>
    </row>
    <row r="6521">
      <c r="A6521" t="inlineStr">
        <is>
          <t>Issues &amp; Punch List</t>
        </is>
      </c>
      <c r="B6521" s="46">
        <f>'Issues &amp; Punch List'!S487</f>
        <v/>
      </c>
      <c r="C6521" s="84">
        <f>'Issues &amp; Punch List'!Q487</f>
        <v/>
      </c>
      <c r="D6521" s="46">
        <f>'Issues &amp; Punch List'!R487</f>
        <v/>
      </c>
      <c r="E6521" s="46">
        <f>IF(OR(B6521="",C6521="",D6521=""),"",D6521*100000+(C6521-DATE(2000,1,1))+ROW()/100000)</f>
        <v/>
      </c>
      <c r="F6521" s="46">
        <f>IF(E6521="","",IF(C6521&gt;WeekEndDate,"",E6521))</f>
        <v/>
      </c>
    </row>
    <row r="6522">
      <c r="A6522" t="inlineStr">
        <is>
          <t>Issues &amp; Punch List</t>
        </is>
      </c>
      <c r="B6522" s="46">
        <f>'Issues &amp; Punch List'!S488</f>
        <v/>
      </c>
      <c r="C6522" s="84">
        <f>'Issues &amp; Punch List'!Q488</f>
        <v/>
      </c>
      <c r="D6522" s="46">
        <f>'Issues &amp; Punch List'!R488</f>
        <v/>
      </c>
      <c r="E6522" s="46">
        <f>IF(OR(B6522="",C6522="",D6522=""),"",D6522*100000+(C6522-DATE(2000,1,1))+ROW()/100000)</f>
        <v/>
      </c>
      <c r="F6522" s="46">
        <f>IF(E6522="","",IF(C6522&gt;WeekEndDate,"",E6522))</f>
        <v/>
      </c>
    </row>
    <row r="6523">
      <c r="A6523" t="inlineStr">
        <is>
          <t>Issues &amp; Punch List</t>
        </is>
      </c>
      <c r="B6523" s="46">
        <f>'Issues &amp; Punch List'!S489</f>
        <v/>
      </c>
      <c r="C6523" s="84">
        <f>'Issues &amp; Punch List'!Q489</f>
        <v/>
      </c>
      <c r="D6523" s="46">
        <f>'Issues &amp; Punch List'!R489</f>
        <v/>
      </c>
      <c r="E6523" s="46">
        <f>IF(OR(B6523="",C6523="",D6523=""),"",D6523*100000+(C6523-DATE(2000,1,1))+ROW()/100000)</f>
        <v/>
      </c>
      <c r="F6523" s="46">
        <f>IF(E6523="","",IF(C6523&gt;WeekEndDate,"",E6523))</f>
        <v/>
      </c>
    </row>
    <row r="6524">
      <c r="A6524" t="inlineStr">
        <is>
          <t>Issues &amp; Punch List</t>
        </is>
      </c>
      <c r="B6524" s="46">
        <f>'Issues &amp; Punch List'!S490</f>
        <v/>
      </c>
      <c r="C6524" s="84">
        <f>'Issues &amp; Punch List'!Q490</f>
        <v/>
      </c>
      <c r="D6524" s="46">
        <f>'Issues &amp; Punch List'!R490</f>
        <v/>
      </c>
      <c r="E6524" s="46">
        <f>IF(OR(B6524="",C6524="",D6524=""),"",D6524*100000+(C6524-DATE(2000,1,1))+ROW()/100000)</f>
        <v/>
      </c>
      <c r="F6524" s="46">
        <f>IF(E6524="","",IF(C6524&gt;WeekEndDate,"",E6524))</f>
        <v/>
      </c>
    </row>
    <row r="6525">
      <c r="A6525" t="inlineStr">
        <is>
          <t>Issues &amp; Punch List</t>
        </is>
      </c>
      <c r="B6525" s="46">
        <f>'Issues &amp; Punch List'!S491</f>
        <v/>
      </c>
      <c r="C6525" s="84">
        <f>'Issues &amp; Punch List'!Q491</f>
        <v/>
      </c>
      <c r="D6525" s="46">
        <f>'Issues &amp; Punch List'!R491</f>
        <v/>
      </c>
      <c r="E6525" s="46">
        <f>IF(OR(B6525="",C6525="",D6525=""),"",D6525*100000+(C6525-DATE(2000,1,1))+ROW()/100000)</f>
        <v/>
      </c>
      <c r="F6525" s="46">
        <f>IF(E6525="","",IF(C6525&gt;WeekEndDate,"",E6525))</f>
        <v/>
      </c>
    </row>
    <row r="6526">
      <c r="A6526" t="inlineStr">
        <is>
          <t>Issues &amp; Punch List</t>
        </is>
      </c>
      <c r="B6526" s="46">
        <f>'Issues &amp; Punch List'!S492</f>
        <v/>
      </c>
      <c r="C6526" s="84">
        <f>'Issues &amp; Punch List'!Q492</f>
        <v/>
      </c>
      <c r="D6526" s="46">
        <f>'Issues &amp; Punch List'!R492</f>
        <v/>
      </c>
      <c r="E6526" s="46">
        <f>IF(OR(B6526="",C6526="",D6526=""),"",D6526*100000+(C6526-DATE(2000,1,1))+ROW()/100000)</f>
        <v/>
      </c>
      <c r="F6526" s="46">
        <f>IF(E6526="","",IF(C6526&gt;WeekEndDate,"",E6526))</f>
        <v/>
      </c>
    </row>
    <row r="6527">
      <c r="A6527" t="inlineStr">
        <is>
          <t>Issues &amp; Punch List</t>
        </is>
      </c>
      <c r="B6527" s="46">
        <f>'Issues &amp; Punch List'!S493</f>
        <v/>
      </c>
      <c r="C6527" s="84">
        <f>'Issues &amp; Punch List'!Q493</f>
        <v/>
      </c>
      <c r="D6527" s="46">
        <f>'Issues &amp; Punch List'!R493</f>
        <v/>
      </c>
      <c r="E6527" s="46">
        <f>IF(OR(B6527="",C6527="",D6527=""),"",D6527*100000+(C6527-DATE(2000,1,1))+ROW()/100000)</f>
        <v/>
      </c>
      <c r="F6527" s="46">
        <f>IF(E6527="","",IF(C6527&gt;WeekEndDate,"",E6527))</f>
        <v/>
      </c>
    </row>
    <row r="6528">
      <c r="A6528" t="inlineStr">
        <is>
          <t>Issues &amp; Punch List</t>
        </is>
      </c>
      <c r="B6528" s="46">
        <f>'Issues &amp; Punch List'!S494</f>
        <v/>
      </c>
      <c r="C6528" s="84">
        <f>'Issues &amp; Punch List'!Q494</f>
        <v/>
      </c>
      <c r="D6528" s="46">
        <f>'Issues &amp; Punch List'!R494</f>
        <v/>
      </c>
      <c r="E6528" s="46">
        <f>IF(OR(B6528="",C6528="",D6528=""),"",D6528*100000+(C6528-DATE(2000,1,1))+ROW()/100000)</f>
        <v/>
      </c>
      <c r="F6528" s="46">
        <f>IF(E6528="","",IF(C6528&gt;WeekEndDate,"",E6528))</f>
        <v/>
      </c>
    </row>
    <row r="6529">
      <c r="A6529" t="inlineStr">
        <is>
          <t>Issues &amp; Punch List</t>
        </is>
      </c>
      <c r="B6529" s="46">
        <f>'Issues &amp; Punch List'!S495</f>
        <v/>
      </c>
      <c r="C6529" s="84">
        <f>'Issues &amp; Punch List'!Q495</f>
        <v/>
      </c>
      <c r="D6529" s="46">
        <f>'Issues &amp; Punch List'!R495</f>
        <v/>
      </c>
      <c r="E6529" s="46">
        <f>IF(OR(B6529="",C6529="",D6529=""),"",D6529*100000+(C6529-DATE(2000,1,1))+ROW()/100000)</f>
        <v/>
      </c>
      <c r="F6529" s="46">
        <f>IF(E6529="","",IF(C6529&gt;WeekEndDate,"",E6529))</f>
        <v/>
      </c>
    </row>
    <row r="6530">
      <c r="A6530" t="inlineStr">
        <is>
          <t>Issues &amp; Punch List</t>
        </is>
      </c>
      <c r="B6530" s="46">
        <f>'Issues &amp; Punch List'!S496</f>
        <v/>
      </c>
      <c r="C6530" s="84">
        <f>'Issues &amp; Punch List'!Q496</f>
        <v/>
      </c>
      <c r="D6530" s="46">
        <f>'Issues &amp; Punch List'!R496</f>
        <v/>
      </c>
      <c r="E6530" s="46">
        <f>IF(OR(B6530="",C6530="",D6530=""),"",D6530*100000+(C6530-DATE(2000,1,1))+ROW()/100000)</f>
        <v/>
      </c>
      <c r="F6530" s="46">
        <f>IF(E6530="","",IF(C6530&gt;WeekEndDate,"",E6530))</f>
        <v/>
      </c>
    </row>
    <row r="6531">
      <c r="A6531" t="inlineStr">
        <is>
          <t>Issues &amp; Punch List</t>
        </is>
      </c>
      <c r="B6531" s="46">
        <f>'Issues &amp; Punch List'!S497</f>
        <v/>
      </c>
      <c r="C6531" s="84">
        <f>'Issues &amp; Punch List'!Q497</f>
        <v/>
      </c>
      <c r="D6531" s="46">
        <f>'Issues &amp; Punch List'!R497</f>
        <v/>
      </c>
      <c r="E6531" s="46">
        <f>IF(OR(B6531="",C6531="",D6531=""),"",D6531*100000+(C6531-DATE(2000,1,1))+ROW()/100000)</f>
        <v/>
      </c>
      <c r="F6531" s="46">
        <f>IF(E6531="","",IF(C6531&gt;WeekEndDate,"",E6531))</f>
        <v/>
      </c>
    </row>
    <row r="6532">
      <c r="A6532" t="inlineStr">
        <is>
          <t>Issues &amp; Punch List</t>
        </is>
      </c>
      <c r="B6532" s="46">
        <f>'Issues &amp; Punch List'!S498</f>
        <v/>
      </c>
      <c r="C6532" s="84">
        <f>'Issues &amp; Punch List'!Q498</f>
        <v/>
      </c>
      <c r="D6532" s="46">
        <f>'Issues &amp; Punch List'!R498</f>
        <v/>
      </c>
      <c r="E6532" s="46">
        <f>IF(OR(B6532="",C6532="",D6532=""),"",D6532*100000+(C6532-DATE(2000,1,1))+ROW()/100000)</f>
        <v/>
      </c>
      <c r="F6532" s="46">
        <f>IF(E6532="","",IF(C6532&gt;WeekEndDate,"",E6532))</f>
        <v/>
      </c>
    </row>
    <row r="6533">
      <c r="A6533" t="inlineStr">
        <is>
          <t>Issues &amp; Punch List</t>
        </is>
      </c>
      <c r="B6533" s="46">
        <f>'Issues &amp; Punch List'!S499</f>
        <v/>
      </c>
      <c r="C6533" s="84">
        <f>'Issues &amp; Punch List'!Q499</f>
        <v/>
      </c>
      <c r="D6533" s="46">
        <f>'Issues &amp; Punch List'!R499</f>
        <v/>
      </c>
      <c r="E6533" s="46">
        <f>IF(OR(B6533="",C6533="",D6533=""),"",D6533*100000+(C6533-DATE(2000,1,1))+ROW()/100000)</f>
        <v/>
      </c>
      <c r="F6533" s="46">
        <f>IF(E6533="","",IF(C6533&gt;WeekEndDate,"",E6533))</f>
        <v/>
      </c>
    </row>
    <row r="6534">
      <c r="A6534" t="inlineStr">
        <is>
          <t>Issues &amp; Punch List</t>
        </is>
      </c>
      <c r="B6534" s="46">
        <f>'Issues &amp; Punch List'!S500</f>
        <v/>
      </c>
      <c r="C6534" s="84">
        <f>'Issues &amp; Punch List'!Q500</f>
        <v/>
      </c>
      <c r="D6534" s="46">
        <f>'Issues &amp; Punch List'!R500</f>
        <v/>
      </c>
      <c r="E6534" s="46">
        <f>IF(OR(B6534="",C6534="",D6534=""),"",D6534*100000+(C6534-DATE(2000,1,1))+ROW()/100000)</f>
        <v/>
      </c>
      <c r="F6534" s="46">
        <f>IF(E6534="","",IF(C6534&gt;WeekEndDate,"",E6534))</f>
        <v/>
      </c>
    </row>
    <row r="6535">
      <c r="A6535" t="inlineStr">
        <is>
          <t>Issues &amp; Punch List</t>
        </is>
      </c>
      <c r="B6535" s="46">
        <f>'Issues &amp; Punch List'!S501</f>
        <v/>
      </c>
      <c r="C6535" s="84">
        <f>'Issues &amp; Punch List'!Q501</f>
        <v/>
      </c>
      <c r="D6535" s="46">
        <f>'Issues &amp; Punch List'!R501</f>
        <v/>
      </c>
      <c r="E6535" s="46">
        <f>IF(OR(B6535="",C6535="",D6535=""),"",D6535*100000+(C6535-DATE(2000,1,1))+ROW()/100000)</f>
        <v/>
      </c>
      <c r="F6535" s="46">
        <f>IF(E6535="","",IF(C6535&gt;WeekEndDate,"",E6535))</f>
        <v/>
      </c>
    </row>
    <row r="6536">
      <c r="A6536" t="inlineStr">
        <is>
          <t>Issues &amp; Punch List</t>
        </is>
      </c>
      <c r="B6536" s="46">
        <f>'Issues &amp; Punch List'!S502</f>
        <v/>
      </c>
      <c r="C6536" s="84">
        <f>'Issues &amp; Punch List'!Q502</f>
        <v/>
      </c>
      <c r="D6536" s="46">
        <f>'Issues &amp; Punch List'!R502</f>
        <v/>
      </c>
      <c r="E6536" s="46">
        <f>IF(OR(B6536="",C6536="",D6536=""),"",D6536*100000+(C6536-DATE(2000,1,1))+ROW()/100000)</f>
        <v/>
      </c>
      <c r="F6536" s="46">
        <f>IF(E6536="","",IF(C6536&gt;WeekEndDate,"",E6536))</f>
        <v/>
      </c>
    </row>
    <row r="6537">
      <c r="A6537" t="inlineStr">
        <is>
          <t>Issues &amp; Punch List</t>
        </is>
      </c>
      <c r="B6537" s="46">
        <f>'Issues &amp; Punch List'!S503</f>
        <v/>
      </c>
      <c r="C6537" s="84">
        <f>'Issues &amp; Punch List'!Q503</f>
        <v/>
      </c>
      <c r="D6537" s="46">
        <f>'Issues &amp; Punch List'!R503</f>
        <v/>
      </c>
      <c r="E6537" s="46">
        <f>IF(OR(B6537="",C6537="",D6537=""),"",D6537*100000+(C6537-DATE(2000,1,1))+ROW()/100000)</f>
        <v/>
      </c>
      <c r="F6537" s="46">
        <f>IF(E6537="","",IF(C6537&gt;WeekEndDate,"",E6537))</f>
        <v/>
      </c>
    </row>
    <row r="6538">
      <c r="A6538" t="inlineStr">
        <is>
          <t>Issues &amp; Punch List</t>
        </is>
      </c>
      <c r="B6538" s="46">
        <f>'Issues &amp; Punch List'!S504</f>
        <v/>
      </c>
      <c r="C6538" s="84">
        <f>'Issues &amp; Punch List'!Q504</f>
        <v/>
      </c>
      <c r="D6538" s="46">
        <f>'Issues &amp; Punch List'!R504</f>
        <v/>
      </c>
      <c r="E6538" s="46">
        <f>IF(OR(B6538="",C6538="",D6538=""),"",D6538*100000+(C6538-DATE(2000,1,1))+ROW()/100000)</f>
        <v/>
      </c>
      <c r="F6538" s="46">
        <f>IF(E6538="","",IF(C6538&gt;WeekEndDate,"",E6538))</f>
        <v/>
      </c>
    </row>
    <row r="6539">
      <c r="A6539" t="inlineStr">
        <is>
          <t>Issues &amp; Punch List</t>
        </is>
      </c>
      <c r="B6539" s="46">
        <f>'Issues &amp; Punch List'!S505</f>
        <v/>
      </c>
      <c r="C6539" s="84">
        <f>'Issues &amp; Punch List'!Q505</f>
        <v/>
      </c>
      <c r="D6539" s="46">
        <f>'Issues &amp; Punch List'!R505</f>
        <v/>
      </c>
      <c r="E6539" s="46">
        <f>IF(OR(B6539="",C6539="",D6539=""),"",D6539*100000+(C6539-DATE(2000,1,1))+ROW()/100000)</f>
        <v/>
      </c>
      <c r="F6539" s="46">
        <f>IF(E6539="","",IF(C6539&gt;WeekEndDate,"",E6539))</f>
        <v/>
      </c>
    </row>
    <row r="6540">
      <c r="A6540" t="inlineStr">
        <is>
          <t>Issues &amp; Punch List</t>
        </is>
      </c>
      <c r="B6540" s="46">
        <f>'Issues &amp; Punch List'!S506</f>
        <v/>
      </c>
      <c r="C6540" s="84">
        <f>'Issues &amp; Punch List'!Q506</f>
        <v/>
      </c>
      <c r="D6540" s="46">
        <f>'Issues &amp; Punch List'!R506</f>
        <v/>
      </c>
      <c r="E6540" s="46">
        <f>IF(OR(B6540="",C6540="",D6540=""),"",D6540*100000+(C6540-DATE(2000,1,1))+ROW()/100000)</f>
        <v/>
      </c>
      <c r="F6540" s="46">
        <f>IF(E6540="","",IF(C6540&gt;WeekEndDate,"",E6540))</f>
        <v/>
      </c>
    </row>
    <row r="6541">
      <c r="A6541" t="inlineStr">
        <is>
          <t>Issues &amp; Punch List</t>
        </is>
      </c>
      <c r="B6541" s="46">
        <f>'Issues &amp; Punch List'!S507</f>
        <v/>
      </c>
      <c r="C6541" s="84">
        <f>'Issues &amp; Punch List'!Q507</f>
        <v/>
      </c>
      <c r="D6541" s="46">
        <f>'Issues &amp; Punch List'!R507</f>
        <v/>
      </c>
      <c r="E6541" s="46">
        <f>IF(OR(B6541="",C6541="",D6541=""),"",D6541*100000+(C6541-DATE(2000,1,1))+ROW()/100000)</f>
        <v/>
      </c>
      <c r="F6541" s="46">
        <f>IF(E6541="","",IF(C6541&gt;WeekEndDate,"",E6541))</f>
        <v/>
      </c>
    </row>
    <row r="6542">
      <c r="A6542" t="inlineStr">
        <is>
          <t>Issues &amp; Punch List</t>
        </is>
      </c>
      <c r="B6542" s="46">
        <f>'Issues &amp; Punch List'!S508</f>
        <v/>
      </c>
      <c r="C6542" s="84">
        <f>'Issues &amp; Punch List'!Q508</f>
        <v/>
      </c>
      <c r="D6542" s="46">
        <f>'Issues &amp; Punch List'!R508</f>
        <v/>
      </c>
      <c r="E6542" s="46">
        <f>IF(OR(B6542="",C6542="",D6542=""),"",D6542*100000+(C6542-DATE(2000,1,1))+ROW()/100000)</f>
        <v/>
      </c>
      <c r="F6542" s="46">
        <f>IF(E6542="","",IF(C6542&gt;WeekEndDate,"",E6542))</f>
        <v/>
      </c>
    </row>
    <row r="6543">
      <c r="A6543" t="inlineStr">
        <is>
          <t>Issues &amp; Punch List</t>
        </is>
      </c>
      <c r="B6543" s="46">
        <f>'Issues &amp; Punch List'!S509</f>
        <v/>
      </c>
      <c r="C6543" s="84">
        <f>'Issues &amp; Punch List'!Q509</f>
        <v/>
      </c>
      <c r="D6543" s="46">
        <f>'Issues &amp; Punch List'!R509</f>
        <v/>
      </c>
      <c r="E6543" s="46">
        <f>IF(OR(B6543="",C6543="",D6543=""),"",D6543*100000+(C6543-DATE(2000,1,1))+ROW()/100000)</f>
        <v/>
      </c>
      <c r="F6543" s="46">
        <f>IF(E6543="","",IF(C6543&gt;WeekEndDate,"",E6543))</f>
        <v/>
      </c>
    </row>
    <row r="6544">
      <c r="A6544" t="inlineStr">
        <is>
          <t>Issues &amp; Punch List</t>
        </is>
      </c>
      <c r="B6544" s="46">
        <f>'Issues &amp; Punch List'!S510</f>
        <v/>
      </c>
      <c r="C6544" s="84">
        <f>'Issues &amp; Punch List'!Q510</f>
        <v/>
      </c>
      <c r="D6544" s="46">
        <f>'Issues &amp; Punch List'!R510</f>
        <v/>
      </c>
      <c r="E6544" s="46">
        <f>IF(OR(B6544="",C6544="",D6544=""),"",D6544*100000+(C6544-DATE(2000,1,1))+ROW()/100000)</f>
        <v/>
      </c>
      <c r="F6544" s="46">
        <f>IF(E6544="","",IF(C6544&gt;WeekEndDate,"",E6544))</f>
        <v/>
      </c>
    </row>
    <row r="6545">
      <c r="A6545" t="inlineStr">
        <is>
          <t>Issues &amp; Punch List</t>
        </is>
      </c>
      <c r="B6545" s="46">
        <f>'Issues &amp; Punch List'!S511</f>
        <v/>
      </c>
      <c r="C6545" s="84">
        <f>'Issues &amp; Punch List'!Q511</f>
        <v/>
      </c>
      <c r="D6545" s="46">
        <f>'Issues &amp; Punch List'!R511</f>
        <v/>
      </c>
      <c r="E6545" s="46">
        <f>IF(OR(B6545="",C6545="",D6545=""),"",D6545*100000+(C6545-DATE(2000,1,1))+ROW()/100000)</f>
        <v/>
      </c>
      <c r="F6545" s="46">
        <f>IF(E6545="","",IF(C6545&gt;WeekEndDate,"",E6545))</f>
        <v/>
      </c>
    </row>
    <row r="6546">
      <c r="A6546" t="inlineStr">
        <is>
          <t>Issues &amp; Punch List</t>
        </is>
      </c>
      <c r="B6546" s="46">
        <f>'Issues &amp; Punch List'!S512</f>
        <v/>
      </c>
      <c r="C6546" s="84">
        <f>'Issues &amp; Punch List'!Q512</f>
        <v/>
      </c>
      <c r="D6546" s="46">
        <f>'Issues &amp; Punch List'!R512</f>
        <v/>
      </c>
      <c r="E6546" s="46">
        <f>IF(OR(B6546="",C6546="",D6546=""),"",D6546*100000+(C6546-DATE(2000,1,1))+ROW()/100000)</f>
        <v/>
      </c>
      <c r="F6546" s="46">
        <f>IF(E6546="","",IF(C6546&gt;WeekEndDate,"",E6546))</f>
        <v/>
      </c>
    </row>
    <row r="6547">
      <c r="A6547" t="inlineStr">
        <is>
          <t>Issues &amp; Punch List</t>
        </is>
      </c>
      <c r="B6547" s="46">
        <f>'Issues &amp; Punch List'!S513</f>
        <v/>
      </c>
      <c r="C6547" s="84">
        <f>'Issues &amp; Punch List'!Q513</f>
        <v/>
      </c>
      <c r="D6547" s="46">
        <f>'Issues &amp; Punch List'!R513</f>
        <v/>
      </c>
      <c r="E6547" s="46">
        <f>IF(OR(B6547="",C6547="",D6547=""),"",D6547*100000+(C6547-DATE(2000,1,1))+ROW()/100000)</f>
        <v/>
      </c>
      <c r="F6547" s="46">
        <f>IF(E6547="","",IF(C6547&gt;WeekEndDate,"",E6547))</f>
        <v/>
      </c>
    </row>
    <row r="6548">
      <c r="A6548" t="inlineStr">
        <is>
          <t>Issues &amp; Punch List</t>
        </is>
      </c>
      <c r="B6548" s="46">
        <f>'Issues &amp; Punch List'!S514</f>
        <v/>
      </c>
      <c r="C6548" s="84">
        <f>'Issues &amp; Punch List'!Q514</f>
        <v/>
      </c>
      <c r="D6548" s="46">
        <f>'Issues &amp; Punch List'!R514</f>
        <v/>
      </c>
      <c r="E6548" s="46">
        <f>IF(OR(B6548="",C6548="",D6548=""),"",D6548*100000+(C6548-DATE(2000,1,1))+ROW()/100000)</f>
        <v/>
      </c>
      <c r="F6548" s="46">
        <f>IF(E6548="","",IF(C6548&gt;WeekEndDate,"",E6548))</f>
        <v/>
      </c>
    </row>
    <row r="6549">
      <c r="A6549" t="inlineStr">
        <is>
          <t>Issues &amp; Punch List</t>
        </is>
      </c>
      <c r="B6549" s="46">
        <f>'Issues &amp; Punch List'!S515</f>
        <v/>
      </c>
      <c r="C6549" s="84">
        <f>'Issues &amp; Punch List'!Q515</f>
        <v/>
      </c>
      <c r="D6549" s="46">
        <f>'Issues &amp; Punch List'!R515</f>
        <v/>
      </c>
      <c r="E6549" s="46">
        <f>IF(OR(B6549="",C6549="",D6549=""),"",D6549*100000+(C6549-DATE(2000,1,1))+ROW()/100000)</f>
        <v/>
      </c>
      <c r="F6549" s="46">
        <f>IF(E6549="","",IF(C6549&gt;WeekEndDate,"",E6549))</f>
        <v/>
      </c>
    </row>
    <row r="6550">
      <c r="A6550" t="inlineStr">
        <is>
          <t>Issues &amp; Punch List</t>
        </is>
      </c>
      <c r="B6550" s="46">
        <f>'Issues &amp; Punch List'!S516</f>
        <v/>
      </c>
      <c r="C6550" s="84">
        <f>'Issues &amp; Punch List'!Q516</f>
        <v/>
      </c>
      <c r="D6550" s="46">
        <f>'Issues &amp; Punch List'!R516</f>
        <v/>
      </c>
      <c r="E6550" s="46">
        <f>IF(OR(B6550="",C6550="",D6550=""),"",D6550*100000+(C6550-DATE(2000,1,1))+ROW()/100000)</f>
        <v/>
      </c>
      <c r="F6550" s="46">
        <f>IF(E6550="","",IF(C6550&gt;WeekEndDate,"",E6550))</f>
        <v/>
      </c>
    </row>
    <row r="6551">
      <c r="A6551" t="inlineStr">
        <is>
          <t>Issues &amp; Punch List</t>
        </is>
      </c>
      <c r="B6551" s="46">
        <f>'Issues &amp; Punch List'!S517</f>
        <v/>
      </c>
      <c r="C6551" s="84">
        <f>'Issues &amp; Punch List'!Q517</f>
        <v/>
      </c>
      <c r="D6551" s="46">
        <f>'Issues &amp; Punch List'!R517</f>
        <v/>
      </c>
      <c r="E6551" s="46">
        <f>IF(OR(B6551="",C6551="",D6551=""),"",D6551*100000+(C6551-DATE(2000,1,1))+ROW()/100000)</f>
        <v/>
      </c>
      <c r="F6551" s="46">
        <f>IF(E6551="","",IF(C6551&gt;WeekEndDate,"",E6551))</f>
        <v/>
      </c>
    </row>
    <row r="6552">
      <c r="A6552" t="inlineStr">
        <is>
          <t>Issues &amp; Punch List</t>
        </is>
      </c>
      <c r="B6552" s="46">
        <f>'Issues &amp; Punch List'!S518</f>
        <v/>
      </c>
      <c r="C6552" s="84">
        <f>'Issues &amp; Punch List'!Q518</f>
        <v/>
      </c>
      <c r="D6552" s="46">
        <f>'Issues &amp; Punch List'!R518</f>
        <v/>
      </c>
      <c r="E6552" s="46">
        <f>IF(OR(B6552="",C6552="",D6552=""),"",D6552*100000+(C6552-DATE(2000,1,1))+ROW()/100000)</f>
        <v/>
      </c>
      <c r="F6552" s="46">
        <f>IF(E6552="","",IF(C6552&gt;WeekEndDate,"",E6552))</f>
        <v/>
      </c>
    </row>
    <row r="6553">
      <c r="A6553" t="inlineStr">
        <is>
          <t>Issues &amp; Punch List</t>
        </is>
      </c>
      <c r="B6553" s="46">
        <f>'Issues &amp; Punch List'!S519</f>
        <v/>
      </c>
      <c r="C6553" s="84">
        <f>'Issues &amp; Punch List'!Q519</f>
        <v/>
      </c>
      <c r="D6553" s="46">
        <f>'Issues &amp; Punch List'!R519</f>
        <v/>
      </c>
      <c r="E6553" s="46">
        <f>IF(OR(B6553="",C6553="",D6553=""),"",D6553*100000+(C6553-DATE(2000,1,1))+ROW()/100000)</f>
        <v/>
      </c>
      <c r="F6553" s="46">
        <f>IF(E6553="","",IF(C6553&gt;WeekEndDate,"",E6553))</f>
        <v/>
      </c>
    </row>
    <row r="6554">
      <c r="A6554" t="inlineStr">
        <is>
          <t>Issues &amp; Punch List</t>
        </is>
      </c>
      <c r="B6554" s="46">
        <f>'Issues &amp; Punch List'!S520</f>
        <v/>
      </c>
      <c r="C6554" s="84">
        <f>'Issues &amp; Punch List'!Q520</f>
        <v/>
      </c>
      <c r="D6554" s="46">
        <f>'Issues &amp; Punch List'!R520</f>
        <v/>
      </c>
      <c r="E6554" s="46">
        <f>IF(OR(B6554="",C6554="",D6554=""),"",D6554*100000+(C6554-DATE(2000,1,1))+ROW()/100000)</f>
        <v/>
      </c>
      <c r="F6554" s="46">
        <f>IF(E6554="","",IF(C6554&gt;WeekEndDate,"",E6554))</f>
        <v/>
      </c>
    </row>
    <row r="6555">
      <c r="A6555" t="inlineStr">
        <is>
          <t>Issues &amp; Punch List</t>
        </is>
      </c>
      <c r="B6555" s="46">
        <f>'Issues &amp; Punch List'!S521</f>
        <v/>
      </c>
      <c r="C6555" s="84">
        <f>'Issues &amp; Punch List'!Q521</f>
        <v/>
      </c>
      <c r="D6555" s="46">
        <f>'Issues &amp; Punch List'!R521</f>
        <v/>
      </c>
      <c r="E6555" s="46">
        <f>IF(OR(B6555="",C6555="",D6555=""),"",D6555*100000+(C6555-DATE(2000,1,1))+ROW()/100000)</f>
        <v/>
      </c>
      <c r="F6555" s="46">
        <f>IF(E6555="","",IF(C6555&gt;WeekEndDate,"",E6555))</f>
        <v/>
      </c>
    </row>
    <row r="6556">
      <c r="A6556" t="inlineStr">
        <is>
          <t>Issues &amp; Punch List</t>
        </is>
      </c>
      <c r="B6556" s="46">
        <f>'Issues &amp; Punch List'!S522</f>
        <v/>
      </c>
      <c r="C6556" s="84">
        <f>'Issues &amp; Punch List'!Q522</f>
        <v/>
      </c>
      <c r="D6556" s="46">
        <f>'Issues &amp; Punch List'!R522</f>
        <v/>
      </c>
      <c r="E6556" s="46">
        <f>IF(OR(B6556="",C6556="",D6556=""),"",D6556*100000+(C6556-DATE(2000,1,1))+ROW()/100000)</f>
        <v/>
      </c>
      <c r="F6556" s="46">
        <f>IF(E6556="","",IF(C6556&gt;WeekEndDate,"",E6556))</f>
        <v/>
      </c>
    </row>
    <row r="6557">
      <c r="A6557" t="inlineStr">
        <is>
          <t>Issues &amp; Punch List</t>
        </is>
      </c>
      <c r="B6557" s="46">
        <f>'Issues &amp; Punch List'!S523</f>
        <v/>
      </c>
      <c r="C6557" s="84">
        <f>'Issues &amp; Punch List'!Q523</f>
        <v/>
      </c>
      <c r="D6557" s="46">
        <f>'Issues &amp; Punch List'!R523</f>
        <v/>
      </c>
      <c r="E6557" s="46">
        <f>IF(OR(B6557="",C6557="",D6557=""),"",D6557*100000+(C6557-DATE(2000,1,1))+ROW()/100000)</f>
        <v/>
      </c>
      <c r="F6557" s="46">
        <f>IF(E6557="","",IF(C6557&gt;WeekEndDate,"",E6557))</f>
        <v/>
      </c>
    </row>
    <row r="6558">
      <c r="A6558" t="inlineStr">
        <is>
          <t>Issues &amp; Punch List</t>
        </is>
      </c>
      <c r="B6558" s="46">
        <f>'Issues &amp; Punch List'!S524</f>
        <v/>
      </c>
      <c r="C6558" s="84">
        <f>'Issues &amp; Punch List'!Q524</f>
        <v/>
      </c>
      <c r="D6558" s="46">
        <f>'Issues &amp; Punch List'!R524</f>
        <v/>
      </c>
      <c r="E6558" s="46">
        <f>IF(OR(B6558="",C6558="",D6558=""),"",D6558*100000+(C6558-DATE(2000,1,1))+ROW()/100000)</f>
        <v/>
      </c>
      <c r="F6558" s="46">
        <f>IF(E6558="","",IF(C6558&gt;WeekEndDate,"",E6558))</f>
        <v/>
      </c>
    </row>
    <row r="6559">
      <c r="A6559" t="inlineStr">
        <is>
          <t>Issues &amp; Punch List</t>
        </is>
      </c>
      <c r="B6559" s="46">
        <f>'Issues &amp; Punch List'!S525</f>
        <v/>
      </c>
      <c r="C6559" s="84">
        <f>'Issues &amp; Punch List'!Q525</f>
        <v/>
      </c>
      <c r="D6559" s="46">
        <f>'Issues &amp; Punch List'!R525</f>
        <v/>
      </c>
      <c r="E6559" s="46">
        <f>IF(OR(B6559="",C6559="",D6559=""),"",D6559*100000+(C6559-DATE(2000,1,1))+ROW()/100000)</f>
        <v/>
      </c>
      <c r="F6559" s="46">
        <f>IF(E6559="","",IF(C6559&gt;WeekEndDate,"",E6559))</f>
        <v/>
      </c>
    </row>
    <row r="6560">
      <c r="A6560" t="inlineStr">
        <is>
          <t>Issues &amp; Punch List</t>
        </is>
      </c>
      <c r="B6560" s="46">
        <f>'Issues &amp; Punch List'!S526</f>
        <v/>
      </c>
      <c r="C6560" s="84">
        <f>'Issues &amp; Punch List'!Q526</f>
        <v/>
      </c>
      <c r="D6560" s="46">
        <f>'Issues &amp; Punch List'!R526</f>
        <v/>
      </c>
      <c r="E6560" s="46">
        <f>IF(OR(B6560="",C6560="",D6560=""),"",D6560*100000+(C6560-DATE(2000,1,1))+ROW()/100000)</f>
        <v/>
      </c>
      <c r="F6560" s="46">
        <f>IF(E6560="","",IF(C6560&gt;WeekEndDate,"",E6560))</f>
        <v/>
      </c>
    </row>
    <row r="6561">
      <c r="A6561" t="inlineStr">
        <is>
          <t>Issues &amp; Punch List</t>
        </is>
      </c>
      <c r="B6561" s="46">
        <f>'Issues &amp; Punch List'!S527</f>
        <v/>
      </c>
      <c r="C6561" s="84">
        <f>'Issues &amp; Punch List'!Q527</f>
        <v/>
      </c>
      <c r="D6561" s="46">
        <f>'Issues &amp; Punch List'!R527</f>
        <v/>
      </c>
      <c r="E6561" s="46">
        <f>IF(OR(B6561="",C6561="",D6561=""),"",D6561*100000+(C6561-DATE(2000,1,1))+ROW()/100000)</f>
        <v/>
      </c>
      <c r="F6561" s="46">
        <f>IF(E6561="","",IF(C6561&gt;WeekEndDate,"",E6561))</f>
        <v/>
      </c>
    </row>
    <row r="6562">
      <c r="A6562" t="inlineStr">
        <is>
          <t>Issues &amp; Punch List</t>
        </is>
      </c>
      <c r="B6562" s="46">
        <f>'Issues &amp; Punch List'!S528</f>
        <v/>
      </c>
      <c r="C6562" s="84">
        <f>'Issues &amp; Punch List'!Q528</f>
        <v/>
      </c>
      <c r="D6562" s="46">
        <f>'Issues &amp; Punch List'!R528</f>
        <v/>
      </c>
      <c r="E6562" s="46">
        <f>IF(OR(B6562="",C6562="",D6562=""),"",D6562*100000+(C6562-DATE(2000,1,1))+ROW()/100000)</f>
        <v/>
      </c>
      <c r="F6562" s="46">
        <f>IF(E6562="","",IF(C6562&gt;WeekEndDate,"",E6562))</f>
        <v/>
      </c>
    </row>
    <row r="6563">
      <c r="A6563" t="inlineStr">
        <is>
          <t>Issues &amp; Punch List</t>
        </is>
      </c>
      <c r="B6563" s="46">
        <f>'Issues &amp; Punch List'!S529</f>
        <v/>
      </c>
      <c r="C6563" s="84">
        <f>'Issues &amp; Punch List'!Q529</f>
        <v/>
      </c>
      <c r="D6563" s="46">
        <f>'Issues &amp; Punch List'!R529</f>
        <v/>
      </c>
      <c r="E6563" s="46">
        <f>IF(OR(B6563="",C6563="",D6563=""),"",D6563*100000+(C6563-DATE(2000,1,1))+ROW()/100000)</f>
        <v/>
      </c>
      <c r="F6563" s="46">
        <f>IF(E6563="","",IF(C6563&gt;WeekEndDate,"",E6563))</f>
        <v/>
      </c>
    </row>
    <row r="6564">
      <c r="A6564" t="inlineStr">
        <is>
          <t>Issues &amp; Punch List</t>
        </is>
      </c>
      <c r="B6564" s="46">
        <f>'Issues &amp; Punch List'!S530</f>
        <v/>
      </c>
      <c r="C6564" s="84">
        <f>'Issues &amp; Punch List'!Q530</f>
        <v/>
      </c>
      <c r="D6564" s="46">
        <f>'Issues &amp; Punch List'!R530</f>
        <v/>
      </c>
      <c r="E6564" s="46">
        <f>IF(OR(B6564="",C6564="",D6564=""),"",D6564*100000+(C6564-DATE(2000,1,1))+ROW()/100000)</f>
        <v/>
      </c>
      <c r="F6564" s="46">
        <f>IF(E6564="","",IF(C6564&gt;WeekEndDate,"",E6564))</f>
        <v/>
      </c>
    </row>
    <row r="6565">
      <c r="A6565" t="inlineStr">
        <is>
          <t>Issues &amp; Punch List</t>
        </is>
      </c>
      <c r="B6565" s="46">
        <f>'Issues &amp; Punch List'!S531</f>
        <v/>
      </c>
      <c r="C6565" s="84">
        <f>'Issues &amp; Punch List'!Q531</f>
        <v/>
      </c>
      <c r="D6565" s="46">
        <f>'Issues &amp; Punch List'!R531</f>
        <v/>
      </c>
      <c r="E6565" s="46">
        <f>IF(OR(B6565="",C6565="",D6565=""),"",D6565*100000+(C6565-DATE(2000,1,1))+ROW()/100000)</f>
        <v/>
      </c>
      <c r="F6565" s="46">
        <f>IF(E6565="","",IF(C6565&gt;WeekEndDate,"",E6565))</f>
        <v/>
      </c>
    </row>
    <row r="6566">
      <c r="A6566" t="inlineStr">
        <is>
          <t>Issues &amp; Punch List</t>
        </is>
      </c>
      <c r="B6566" s="46">
        <f>'Issues &amp; Punch List'!S532</f>
        <v/>
      </c>
      <c r="C6566" s="84">
        <f>'Issues &amp; Punch List'!Q532</f>
        <v/>
      </c>
      <c r="D6566" s="46">
        <f>'Issues &amp; Punch List'!R532</f>
        <v/>
      </c>
      <c r="E6566" s="46">
        <f>IF(OR(B6566="",C6566="",D6566=""),"",D6566*100000+(C6566-DATE(2000,1,1))+ROW()/100000)</f>
        <v/>
      </c>
      <c r="F6566" s="46">
        <f>IF(E6566="","",IF(C6566&gt;WeekEndDate,"",E6566))</f>
        <v/>
      </c>
    </row>
    <row r="6567">
      <c r="A6567" t="inlineStr">
        <is>
          <t>Issues &amp; Punch List</t>
        </is>
      </c>
      <c r="B6567" s="46">
        <f>'Issues &amp; Punch List'!S533</f>
        <v/>
      </c>
      <c r="C6567" s="84">
        <f>'Issues &amp; Punch List'!Q533</f>
        <v/>
      </c>
      <c r="D6567" s="46">
        <f>'Issues &amp; Punch List'!R533</f>
        <v/>
      </c>
      <c r="E6567" s="46">
        <f>IF(OR(B6567="",C6567="",D6567=""),"",D6567*100000+(C6567-DATE(2000,1,1))+ROW()/100000)</f>
        <v/>
      </c>
      <c r="F6567" s="46">
        <f>IF(E6567="","",IF(C6567&gt;WeekEndDate,"",E6567))</f>
        <v/>
      </c>
    </row>
    <row r="6568">
      <c r="A6568" t="inlineStr">
        <is>
          <t>Issues &amp; Punch List</t>
        </is>
      </c>
      <c r="B6568" s="46">
        <f>'Issues &amp; Punch List'!S534</f>
        <v/>
      </c>
      <c r="C6568" s="84">
        <f>'Issues &amp; Punch List'!Q534</f>
        <v/>
      </c>
      <c r="D6568" s="46">
        <f>'Issues &amp; Punch List'!R534</f>
        <v/>
      </c>
      <c r="E6568" s="46">
        <f>IF(OR(B6568="",C6568="",D6568=""),"",D6568*100000+(C6568-DATE(2000,1,1))+ROW()/100000)</f>
        <v/>
      </c>
      <c r="F6568" s="46">
        <f>IF(E6568="","",IF(C6568&gt;WeekEndDate,"",E6568))</f>
        <v/>
      </c>
    </row>
    <row r="6569">
      <c r="A6569" t="inlineStr">
        <is>
          <t>Issues &amp; Punch List</t>
        </is>
      </c>
      <c r="B6569" s="46">
        <f>'Issues &amp; Punch List'!S535</f>
        <v/>
      </c>
      <c r="C6569" s="84">
        <f>'Issues &amp; Punch List'!Q535</f>
        <v/>
      </c>
      <c r="D6569" s="46">
        <f>'Issues &amp; Punch List'!R535</f>
        <v/>
      </c>
      <c r="E6569" s="46">
        <f>IF(OR(B6569="",C6569="",D6569=""),"",D6569*100000+(C6569-DATE(2000,1,1))+ROW()/100000)</f>
        <v/>
      </c>
      <c r="F6569" s="46">
        <f>IF(E6569="","",IF(C6569&gt;WeekEndDate,"",E6569))</f>
        <v/>
      </c>
    </row>
    <row r="6570">
      <c r="A6570" t="inlineStr">
        <is>
          <t>Issues &amp; Punch List</t>
        </is>
      </c>
      <c r="B6570" s="46">
        <f>'Issues &amp; Punch List'!S536</f>
        <v/>
      </c>
      <c r="C6570" s="84">
        <f>'Issues &amp; Punch List'!Q536</f>
        <v/>
      </c>
      <c r="D6570" s="46">
        <f>'Issues &amp; Punch List'!R536</f>
        <v/>
      </c>
      <c r="E6570" s="46">
        <f>IF(OR(B6570="",C6570="",D6570=""),"",D6570*100000+(C6570-DATE(2000,1,1))+ROW()/100000)</f>
        <v/>
      </c>
      <c r="F6570" s="46">
        <f>IF(E6570="","",IF(C6570&gt;WeekEndDate,"",E6570))</f>
        <v/>
      </c>
    </row>
    <row r="6571">
      <c r="A6571" t="inlineStr">
        <is>
          <t>Issues &amp; Punch List</t>
        </is>
      </c>
      <c r="B6571" s="46">
        <f>'Issues &amp; Punch List'!S537</f>
        <v/>
      </c>
      <c r="C6571" s="84">
        <f>'Issues &amp; Punch List'!Q537</f>
        <v/>
      </c>
      <c r="D6571" s="46">
        <f>'Issues &amp; Punch List'!R537</f>
        <v/>
      </c>
      <c r="E6571" s="46">
        <f>IF(OR(B6571="",C6571="",D6571=""),"",D6571*100000+(C6571-DATE(2000,1,1))+ROW()/100000)</f>
        <v/>
      </c>
      <c r="F6571" s="46">
        <f>IF(E6571="","",IF(C6571&gt;WeekEndDate,"",E6571))</f>
        <v/>
      </c>
    </row>
    <row r="6572">
      <c r="A6572" t="inlineStr">
        <is>
          <t>Issues &amp; Punch List</t>
        </is>
      </c>
      <c r="B6572" s="46">
        <f>'Issues &amp; Punch List'!S538</f>
        <v/>
      </c>
      <c r="C6572" s="84">
        <f>'Issues &amp; Punch List'!Q538</f>
        <v/>
      </c>
      <c r="D6572" s="46">
        <f>'Issues &amp; Punch List'!R538</f>
        <v/>
      </c>
      <c r="E6572" s="46">
        <f>IF(OR(B6572="",C6572="",D6572=""),"",D6572*100000+(C6572-DATE(2000,1,1))+ROW()/100000)</f>
        <v/>
      </c>
      <c r="F6572" s="46">
        <f>IF(E6572="","",IF(C6572&gt;WeekEndDate,"",E6572))</f>
        <v/>
      </c>
    </row>
    <row r="6573">
      <c r="A6573" t="inlineStr">
        <is>
          <t>Issues &amp; Punch List</t>
        </is>
      </c>
      <c r="B6573" s="46">
        <f>'Issues &amp; Punch List'!S539</f>
        <v/>
      </c>
      <c r="C6573" s="84">
        <f>'Issues &amp; Punch List'!Q539</f>
        <v/>
      </c>
      <c r="D6573" s="46">
        <f>'Issues &amp; Punch List'!R539</f>
        <v/>
      </c>
      <c r="E6573" s="46">
        <f>IF(OR(B6573="",C6573="",D6573=""),"",D6573*100000+(C6573-DATE(2000,1,1))+ROW()/100000)</f>
        <v/>
      </c>
      <c r="F6573" s="46">
        <f>IF(E6573="","",IF(C6573&gt;WeekEndDate,"",E6573))</f>
        <v/>
      </c>
    </row>
    <row r="6574">
      <c r="A6574" t="inlineStr">
        <is>
          <t>Issues &amp; Punch List</t>
        </is>
      </c>
      <c r="B6574" s="46">
        <f>'Issues &amp; Punch List'!S540</f>
        <v/>
      </c>
      <c r="C6574" s="84">
        <f>'Issues &amp; Punch List'!Q540</f>
        <v/>
      </c>
      <c r="D6574" s="46">
        <f>'Issues &amp; Punch List'!R540</f>
        <v/>
      </c>
      <c r="E6574" s="46">
        <f>IF(OR(B6574="",C6574="",D6574=""),"",D6574*100000+(C6574-DATE(2000,1,1))+ROW()/100000)</f>
        <v/>
      </c>
      <c r="F6574" s="46">
        <f>IF(E6574="","",IF(C6574&gt;WeekEndDate,"",E6574))</f>
        <v/>
      </c>
    </row>
    <row r="6575">
      <c r="A6575" t="inlineStr">
        <is>
          <t>Issues &amp; Punch List</t>
        </is>
      </c>
      <c r="B6575" s="46">
        <f>'Issues &amp; Punch List'!S541</f>
        <v/>
      </c>
      <c r="C6575" s="84">
        <f>'Issues &amp; Punch List'!Q541</f>
        <v/>
      </c>
      <c r="D6575" s="46">
        <f>'Issues &amp; Punch List'!R541</f>
        <v/>
      </c>
      <c r="E6575" s="46">
        <f>IF(OR(B6575="",C6575="",D6575=""),"",D6575*100000+(C6575-DATE(2000,1,1))+ROW()/100000)</f>
        <v/>
      </c>
      <c r="F6575" s="46">
        <f>IF(E6575="","",IF(C6575&gt;WeekEndDate,"",E6575))</f>
        <v/>
      </c>
    </row>
    <row r="6576">
      <c r="A6576" t="inlineStr">
        <is>
          <t>Issues &amp; Punch List</t>
        </is>
      </c>
      <c r="B6576" s="46">
        <f>'Issues &amp; Punch List'!S542</f>
        <v/>
      </c>
      <c r="C6576" s="84">
        <f>'Issues &amp; Punch List'!Q542</f>
        <v/>
      </c>
      <c r="D6576" s="46">
        <f>'Issues &amp; Punch List'!R542</f>
        <v/>
      </c>
      <c r="E6576" s="46">
        <f>IF(OR(B6576="",C6576="",D6576=""),"",D6576*100000+(C6576-DATE(2000,1,1))+ROW()/100000)</f>
        <v/>
      </c>
      <c r="F6576" s="46">
        <f>IF(E6576="","",IF(C6576&gt;WeekEndDate,"",E6576))</f>
        <v/>
      </c>
    </row>
    <row r="6577">
      <c r="A6577" t="inlineStr">
        <is>
          <t>Issues &amp; Punch List</t>
        </is>
      </c>
      <c r="B6577" s="46">
        <f>'Issues &amp; Punch List'!S543</f>
        <v/>
      </c>
      <c r="C6577" s="84">
        <f>'Issues &amp; Punch List'!Q543</f>
        <v/>
      </c>
      <c r="D6577" s="46">
        <f>'Issues &amp; Punch List'!R543</f>
        <v/>
      </c>
      <c r="E6577" s="46">
        <f>IF(OR(B6577="",C6577="",D6577=""),"",D6577*100000+(C6577-DATE(2000,1,1))+ROW()/100000)</f>
        <v/>
      </c>
      <c r="F6577" s="46">
        <f>IF(E6577="","",IF(C6577&gt;WeekEndDate,"",E6577))</f>
        <v/>
      </c>
    </row>
    <row r="6578">
      <c r="A6578" t="inlineStr">
        <is>
          <t>Issues &amp; Punch List</t>
        </is>
      </c>
      <c r="B6578" s="46">
        <f>'Issues &amp; Punch List'!S544</f>
        <v/>
      </c>
      <c r="C6578" s="84">
        <f>'Issues &amp; Punch List'!Q544</f>
        <v/>
      </c>
      <c r="D6578" s="46">
        <f>'Issues &amp; Punch List'!R544</f>
        <v/>
      </c>
      <c r="E6578" s="46">
        <f>IF(OR(B6578="",C6578="",D6578=""),"",D6578*100000+(C6578-DATE(2000,1,1))+ROW()/100000)</f>
        <v/>
      </c>
      <c r="F6578" s="46">
        <f>IF(E6578="","",IF(C6578&gt;WeekEndDate,"",E6578))</f>
        <v/>
      </c>
    </row>
    <row r="6579">
      <c r="A6579" t="inlineStr">
        <is>
          <t>Issues &amp; Punch List</t>
        </is>
      </c>
      <c r="B6579" s="46">
        <f>'Issues &amp; Punch List'!S545</f>
        <v/>
      </c>
      <c r="C6579" s="84">
        <f>'Issues &amp; Punch List'!Q545</f>
        <v/>
      </c>
      <c r="D6579" s="46">
        <f>'Issues &amp; Punch List'!R545</f>
        <v/>
      </c>
      <c r="E6579" s="46">
        <f>IF(OR(B6579="",C6579="",D6579=""),"",D6579*100000+(C6579-DATE(2000,1,1))+ROW()/100000)</f>
        <v/>
      </c>
      <c r="F6579" s="46">
        <f>IF(E6579="","",IF(C6579&gt;WeekEndDate,"",E6579))</f>
        <v/>
      </c>
    </row>
    <row r="6580">
      <c r="A6580" t="inlineStr">
        <is>
          <t>Issues &amp; Punch List</t>
        </is>
      </c>
      <c r="B6580" s="46">
        <f>'Issues &amp; Punch List'!S546</f>
        <v/>
      </c>
      <c r="C6580" s="84">
        <f>'Issues &amp; Punch List'!Q546</f>
        <v/>
      </c>
      <c r="D6580" s="46">
        <f>'Issues &amp; Punch List'!R546</f>
        <v/>
      </c>
      <c r="E6580" s="46">
        <f>IF(OR(B6580="",C6580="",D6580=""),"",D6580*100000+(C6580-DATE(2000,1,1))+ROW()/100000)</f>
        <v/>
      </c>
      <c r="F6580" s="46">
        <f>IF(E6580="","",IF(C6580&gt;WeekEndDate,"",E6580))</f>
        <v/>
      </c>
    </row>
    <row r="6581">
      <c r="A6581" t="inlineStr">
        <is>
          <t>Issues &amp; Punch List</t>
        </is>
      </c>
      <c r="B6581" s="46">
        <f>'Issues &amp; Punch List'!S547</f>
        <v/>
      </c>
      <c r="C6581" s="84">
        <f>'Issues &amp; Punch List'!Q547</f>
        <v/>
      </c>
      <c r="D6581" s="46">
        <f>'Issues &amp; Punch List'!R547</f>
        <v/>
      </c>
      <c r="E6581" s="46">
        <f>IF(OR(B6581="",C6581="",D6581=""),"",D6581*100000+(C6581-DATE(2000,1,1))+ROW()/100000)</f>
        <v/>
      </c>
      <c r="F6581" s="46">
        <f>IF(E6581="","",IF(C6581&gt;WeekEndDate,"",E6581))</f>
        <v/>
      </c>
    </row>
    <row r="6582">
      <c r="A6582" t="inlineStr">
        <is>
          <t>Issues &amp; Punch List</t>
        </is>
      </c>
      <c r="B6582" s="46">
        <f>'Issues &amp; Punch List'!S548</f>
        <v/>
      </c>
      <c r="C6582" s="84">
        <f>'Issues &amp; Punch List'!Q548</f>
        <v/>
      </c>
      <c r="D6582" s="46">
        <f>'Issues &amp; Punch List'!R548</f>
        <v/>
      </c>
      <c r="E6582" s="46">
        <f>IF(OR(B6582="",C6582="",D6582=""),"",D6582*100000+(C6582-DATE(2000,1,1))+ROW()/100000)</f>
        <v/>
      </c>
      <c r="F6582" s="46">
        <f>IF(E6582="","",IF(C6582&gt;WeekEndDate,"",E6582))</f>
        <v/>
      </c>
    </row>
    <row r="6583">
      <c r="A6583" t="inlineStr">
        <is>
          <t>Issues &amp; Punch List</t>
        </is>
      </c>
      <c r="B6583" s="46">
        <f>'Issues &amp; Punch List'!S549</f>
        <v/>
      </c>
      <c r="C6583" s="84">
        <f>'Issues &amp; Punch List'!Q549</f>
        <v/>
      </c>
      <c r="D6583" s="46">
        <f>'Issues &amp; Punch List'!R549</f>
        <v/>
      </c>
      <c r="E6583" s="46">
        <f>IF(OR(B6583="",C6583="",D6583=""),"",D6583*100000+(C6583-DATE(2000,1,1))+ROW()/100000)</f>
        <v/>
      </c>
      <c r="F6583" s="46">
        <f>IF(E6583="","",IF(C6583&gt;WeekEndDate,"",E6583))</f>
        <v/>
      </c>
    </row>
    <row r="6584">
      <c r="A6584" t="inlineStr">
        <is>
          <t>Issues &amp; Punch List</t>
        </is>
      </c>
      <c r="B6584" s="46">
        <f>'Issues &amp; Punch List'!S550</f>
        <v/>
      </c>
      <c r="C6584" s="84">
        <f>'Issues &amp; Punch List'!Q550</f>
        <v/>
      </c>
      <c r="D6584" s="46">
        <f>'Issues &amp; Punch List'!R550</f>
        <v/>
      </c>
      <c r="E6584" s="46">
        <f>IF(OR(B6584="",C6584="",D6584=""),"",D6584*100000+(C6584-DATE(2000,1,1))+ROW()/100000)</f>
        <v/>
      </c>
      <c r="F6584" s="46">
        <f>IF(E6584="","",IF(C6584&gt;WeekEndDate,"",E6584))</f>
        <v/>
      </c>
    </row>
    <row r="6585">
      <c r="A6585" t="inlineStr">
        <is>
          <t>Issues &amp; Punch List</t>
        </is>
      </c>
      <c r="B6585" s="46">
        <f>'Issues &amp; Punch List'!S551</f>
        <v/>
      </c>
      <c r="C6585" s="84">
        <f>'Issues &amp; Punch List'!Q551</f>
        <v/>
      </c>
      <c r="D6585" s="46">
        <f>'Issues &amp; Punch List'!R551</f>
        <v/>
      </c>
      <c r="E6585" s="46">
        <f>IF(OR(B6585="",C6585="",D6585=""),"",D6585*100000+(C6585-DATE(2000,1,1))+ROW()/100000)</f>
        <v/>
      </c>
      <c r="F6585" s="46">
        <f>IF(E6585="","",IF(C6585&gt;WeekEndDate,"",E6585))</f>
        <v/>
      </c>
    </row>
    <row r="6586">
      <c r="A6586" t="inlineStr">
        <is>
          <t>Issues &amp; Punch List</t>
        </is>
      </c>
      <c r="B6586" s="46">
        <f>'Issues &amp; Punch List'!S552</f>
        <v/>
      </c>
      <c r="C6586" s="84">
        <f>'Issues &amp; Punch List'!Q552</f>
        <v/>
      </c>
      <c r="D6586" s="46">
        <f>'Issues &amp; Punch List'!R552</f>
        <v/>
      </c>
      <c r="E6586" s="46">
        <f>IF(OR(B6586="",C6586="",D6586=""),"",D6586*100000+(C6586-DATE(2000,1,1))+ROW()/100000)</f>
        <v/>
      </c>
      <c r="F6586" s="46">
        <f>IF(E6586="","",IF(C6586&gt;WeekEndDate,"",E6586))</f>
        <v/>
      </c>
    </row>
    <row r="6587">
      <c r="A6587" t="inlineStr">
        <is>
          <t>Issues &amp; Punch List</t>
        </is>
      </c>
      <c r="B6587" s="46">
        <f>'Issues &amp; Punch List'!S553</f>
        <v/>
      </c>
      <c r="C6587" s="84">
        <f>'Issues &amp; Punch List'!Q553</f>
        <v/>
      </c>
      <c r="D6587" s="46">
        <f>'Issues &amp; Punch List'!R553</f>
        <v/>
      </c>
      <c r="E6587" s="46">
        <f>IF(OR(B6587="",C6587="",D6587=""),"",D6587*100000+(C6587-DATE(2000,1,1))+ROW()/100000)</f>
        <v/>
      </c>
      <c r="F6587" s="46">
        <f>IF(E6587="","",IF(C6587&gt;WeekEndDate,"",E6587))</f>
        <v/>
      </c>
    </row>
    <row r="6588">
      <c r="A6588" t="inlineStr">
        <is>
          <t>Issues &amp; Punch List</t>
        </is>
      </c>
      <c r="B6588" s="46">
        <f>'Issues &amp; Punch List'!S554</f>
        <v/>
      </c>
      <c r="C6588" s="84">
        <f>'Issues &amp; Punch List'!Q554</f>
        <v/>
      </c>
      <c r="D6588" s="46">
        <f>'Issues &amp; Punch List'!R554</f>
        <v/>
      </c>
      <c r="E6588" s="46">
        <f>IF(OR(B6588="",C6588="",D6588=""),"",D6588*100000+(C6588-DATE(2000,1,1))+ROW()/100000)</f>
        <v/>
      </c>
      <c r="F6588" s="46">
        <f>IF(E6588="","",IF(C6588&gt;WeekEndDate,"",E6588))</f>
        <v/>
      </c>
    </row>
    <row r="6589">
      <c r="A6589" t="inlineStr">
        <is>
          <t>Issues &amp; Punch List</t>
        </is>
      </c>
      <c r="B6589" s="46">
        <f>'Issues &amp; Punch List'!S555</f>
        <v/>
      </c>
      <c r="C6589" s="84">
        <f>'Issues &amp; Punch List'!Q555</f>
        <v/>
      </c>
      <c r="D6589" s="46">
        <f>'Issues &amp; Punch List'!R555</f>
        <v/>
      </c>
      <c r="E6589" s="46">
        <f>IF(OR(B6589="",C6589="",D6589=""),"",D6589*100000+(C6589-DATE(2000,1,1))+ROW()/100000)</f>
        <v/>
      </c>
      <c r="F6589" s="46">
        <f>IF(E6589="","",IF(C6589&gt;WeekEndDate,"",E6589))</f>
        <v/>
      </c>
    </row>
    <row r="6590">
      <c r="A6590" t="inlineStr">
        <is>
          <t>Issues &amp; Punch List</t>
        </is>
      </c>
      <c r="B6590" s="46">
        <f>'Issues &amp; Punch List'!S556</f>
        <v/>
      </c>
      <c r="C6590" s="84">
        <f>'Issues &amp; Punch List'!Q556</f>
        <v/>
      </c>
      <c r="D6590" s="46">
        <f>'Issues &amp; Punch List'!R556</f>
        <v/>
      </c>
      <c r="E6590" s="46">
        <f>IF(OR(B6590="",C6590="",D6590=""),"",D6590*100000+(C6590-DATE(2000,1,1))+ROW()/100000)</f>
        <v/>
      </c>
      <c r="F6590" s="46">
        <f>IF(E6590="","",IF(C6590&gt;WeekEndDate,"",E6590))</f>
        <v/>
      </c>
    </row>
    <row r="6591">
      <c r="A6591" t="inlineStr">
        <is>
          <t>Issues &amp; Punch List</t>
        </is>
      </c>
      <c r="B6591" s="46">
        <f>'Issues &amp; Punch List'!S557</f>
        <v/>
      </c>
      <c r="C6591" s="84">
        <f>'Issues &amp; Punch List'!Q557</f>
        <v/>
      </c>
      <c r="D6591" s="46">
        <f>'Issues &amp; Punch List'!R557</f>
        <v/>
      </c>
      <c r="E6591" s="46">
        <f>IF(OR(B6591="",C6591="",D6591=""),"",D6591*100000+(C6591-DATE(2000,1,1))+ROW()/100000)</f>
        <v/>
      </c>
      <c r="F6591" s="46">
        <f>IF(E6591="","",IF(C6591&gt;WeekEndDate,"",E6591))</f>
        <v/>
      </c>
    </row>
    <row r="6592">
      <c r="A6592" t="inlineStr">
        <is>
          <t>Issues &amp; Punch List</t>
        </is>
      </c>
      <c r="B6592" s="46">
        <f>'Issues &amp; Punch List'!S558</f>
        <v/>
      </c>
      <c r="C6592" s="84">
        <f>'Issues &amp; Punch List'!Q558</f>
        <v/>
      </c>
      <c r="D6592" s="46">
        <f>'Issues &amp; Punch List'!R558</f>
        <v/>
      </c>
      <c r="E6592" s="46">
        <f>IF(OR(B6592="",C6592="",D6592=""),"",D6592*100000+(C6592-DATE(2000,1,1))+ROW()/100000)</f>
        <v/>
      </c>
      <c r="F6592" s="46">
        <f>IF(E6592="","",IF(C6592&gt;WeekEndDate,"",E6592))</f>
        <v/>
      </c>
    </row>
    <row r="6593">
      <c r="A6593" t="inlineStr">
        <is>
          <t>Issues &amp; Punch List</t>
        </is>
      </c>
      <c r="B6593" s="46">
        <f>'Issues &amp; Punch List'!S559</f>
        <v/>
      </c>
      <c r="C6593" s="84">
        <f>'Issues &amp; Punch List'!Q559</f>
        <v/>
      </c>
      <c r="D6593" s="46">
        <f>'Issues &amp; Punch List'!R559</f>
        <v/>
      </c>
      <c r="E6593" s="46">
        <f>IF(OR(B6593="",C6593="",D6593=""),"",D6593*100000+(C6593-DATE(2000,1,1))+ROW()/100000)</f>
        <v/>
      </c>
      <c r="F6593" s="46">
        <f>IF(E6593="","",IF(C6593&gt;WeekEndDate,"",E6593))</f>
        <v/>
      </c>
    </row>
    <row r="6594">
      <c r="A6594" t="inlineStr">
        <is>
          <t>Issues &amp; Punch List</t>
        </is>
      </c>
      <c r="B6594" s="46">
        <f>'Issues &amp; Punch List'!S560</f>
        <v/>
      </c>
      <c r="C6594" s="84">
        <f>'Issues &amp; Punch List'!Q560</f>
        <v/>
      </c>
      <c r="D6594" s="46">
        <f>'Issues &amp; Punch List'!R560</f>
        <v/>
      </c>
      <c r="E6594" s="46">
        <f>IF(OR(B6594="",C6594="",D6594=""),"",D6594*100000+(C6594-DATE(2000,1,1))+ROW()/100000)</f>
        <v/>
      </c>
      <c r="F6594" s="46">
        <f>IF(E6594="","",IF(C6594&gt;WeekEndDate,"",E6594))</f>
        <v/>
      </c>
    </row>
    <row r="6595">
      <c r="A6595" t="inlineStr">
        <is>
          <t>Issues &amp; Punch List</t>
        </is>
      </c>
      <c r="B6595" s="46">
        <f>'Issues &amp; Punch List'!S561</f>
        <v/>
      </c>
      <c r="C6595" s="84">
        <f>'Issues &amp; Punch List'!Q561</f>
        <v/>
      </c>
      <c r="D6595" s="46">
        <f>'Issues &amp; Punch List'!R561</f>
        <v/>
      </c>
      <c r="E6595" s="46">
        <f>IF(OR(B6595="",C6595="",D6595=""),"",D6595*100000+(C6595-DATE(2000,1,1))+ROW()/100000)</f>
        <v/>
      </c>
      <c r="F6595" s="46">
        <f>IF(E6595="","",IF(C6595&gt;WeekEndDate,"",E6595))</f>
        <v/>
      </c>
    </row>
    <row r="6596">
      <c r="A6596" t="inlineStr">
        <is>
          <t>Issues &amp; Punch List</t>
        </is>
      </c>
      <c r="B6596" s="46">
        <f>'Issues &amp; Punch List'!S562</f>
        <v/>
      </c>
      <c r="C6596" s="84">
        <f>'Issues &amp; Punch List'!Q562</f>
        <v/>
      </c>
      <c r="D6596" s="46">
        <f>'Issues &amp; Punch List'!R562</f>
        <v/>
      </c>
      <c r="E6596" s="46">
        <f>IF(OR(B6596="",C6596="",D6596=""),"",D6596*100000+(C6596-DATE(2000,1,1))+ROW()/100000)</f>
        <v/>
      </c>
      <c r="F6596" s="46">
        <f>IF(E6596="","",IF(C6596&gt;WeekEndDate,"",E6596))</f>
        <v/>
      </c>
    </row>
    <row r="6597">
      <c r="A6597" t="inlineStr">
        <is>
          <t>Issues &amp; Punch List</t>
        </is>
      </c>
      <c r="B6597" s="46">
        <f>'Issues &amp; Punch List'!S563</f>
        <v/>
      </c>
      <c r="C6597" s="84">
        <f>'Issues &amp; Punch List'!Q563</f>
        <v/>
      </c>
      <c r="D6597" s="46">
        <f>'Issues &amp; Punch List'!R563</f>
        <v/>
      </c>
      <c r="E6597" s="46">
        <f>IF(OR(B6597="",C6597="",D6597=""),"",D6597*100000+(C6597-DATE(2000,1,1))+ROW()/100000)</f>
        <v/>
      </c>
      <c r="F6597" s="46">
        <f>IF(E6597="","",IF(C6597&gt;WeekEndDate,"",E6597))</f>
        <v/>
      </c>
    </row>
    <row r="6598">
      <c r="A6598" t="inlineStr">
        <is>
          <t>Issues &amp; Punch List</t>
        </is>
      </c>
      <c r="B6598" s="46">
        <f>'Issues &amp; Punch List'!S564</f>
        <v/>
      </c>
      <c r="C6598" s="84">
        <f>'Issues &amp; Punch List'!Q564</f>
        <v/>
      </c>
      <c r="D6598" s="46">
        <f>'Issues &amp; Punch List'!R564</f>
        <v/>
      </c>
      <c r="E6598" s="46">
        <f>IF(OR(B6598="",C6598="",D6598=""),"",D6598*100000+(C6598-DATE(2000,1,1))+ROW()/100000)</f>
        <v/>
      </c>
      <c r="F6598" s="46">
        <f>IF(E6598="","",IF(C6598&gt;WeekEndDate,"",E6598))</f>
        <v/>
      </c>
    </row>
    <row r="6599">
      <c r="A6599" t="inlineStr">
        <is>
          <t>Issues &amp; Punch List</t>
        </is>
      </c>
      <c r="B6599" s="46">
        <f>'Issues &amp; Punch List'!S565</f>
        <v/>
      </c>
      <c r="C6599" s="84">
        <f>'Issues &amp; Punch List'!Q565</f>
        <v/>
      </c>
      <c r="D6599" s="46">
        <f>'Issues &amp; Punch List'!R565</f>
        <v/>
      </c>
      <c r="E6599" s="46">
        <f>IF(OR(B6599="",C6599="",D6599=""),"",D6599*100000+(C6599-DATE(2000,1,1))+ROW()/100000)</f>
        <v/>
      </c>
      <c r="F6599" s="46">
        <f>IF(E6599="","",IF(C6599&gt;WeekEndDate,"",E6599))</f>
        <v/>
      </c>
    </row>
    <row r="6600">
      <c r="A6600" t="inlineStr">
        <is>
          <t>Issues &amp; Punch List</t>
        </is>
      </c>
      <c r="B6600" s="46">
        <f>'Issues &amp; Punch List'!S566</f>
        <v/>
      </c>
      <c r="C6600" s="84">
        <f>'Issues &amp; Punch List'!Q566</f>
        <v/>
      </c>
      <c r="D6600" s="46">
        <f>'Issues &amp; Punch List'!R566</f>
        <v/>
      </c>
      <c r="E6600" s="46">
        <f>IF(OR(B6600="",C6600="",D6600=""),"",D6600*100000+(C6600-DATE(2000,1,1))+ROW()/100000)</f>
        <v/>
      </c>
      <c r="F6600" s="46">
        <f>IF(E6600="","",IF(C6600&gt;WeekEndDate,"",E6600))</f>
        <v/>
      </c>
    </row>
    <row r="6601">
      <c r="A6601" t="inlineStr">
        <is>
          <t>Issues &amp; Punch List</t>
        </is>
      </c>
      <c r="B6601" s="46">
        <f>'Issues &amp; Punch List'!S567</f>
        <v/>
      </c>
      <c r="C6601" s="84">
        <f>'Issues &amp; Punch List'!Q567</f>
        <v/>
      </c>
      <c r="D6601" s="46">
        <f>'Issues &amp; Punch List'!R567</f>
        <v/>
      </c>
      <c r="E6601" s="46">
        <f>IF(OR(B6601="",C6601="",D6601=""),"",D6601*100000+(C6601-DATE(2000,1,1))+ROW()/100000)</f>
        <v/>
      </c>
      <c r="F6601" s="46">
        <f>IF(E6601="","",IF(C6601&gt;WeekEndDate,"",E6601))</f>
        <v/>
      </c>
    </row>
    <row r="6602">
      <c r="A6602" t="inlineStr">
        <is>
          <t>Issues &amp; Punch List</t>
        </is>
      </c>
      <c r="B6602" s="46">
        <f>'Issues &amp; Punch List'!S568</f>
        <v/>
      </c>
      <c r="C6602" s="84">
        <f>'Issues &amp; Punch List'!Q568</f>
        <v/>
      </c>
      <c r="D6602" s="46">
        <f>'Issues &amp; Punch List'!R568</f>
        <v/>
      </c>
      <c r="E6602" s="46">
        <f>IF(OR(B6602="",C6602="",D6602=""),"",D6602*100000+(C6602-DATE(2000,1,1))+ROW()/100000)</f>
        <v/>
      </c>
      <c r="F6602" s="46">
        <f>IF(E6602="","",IF(C6602&gt;WeekEndDate,"",E6602))</f>
        <v/>
      </c>
    </row>
    <row r="6603">
      <c r="A6603" t="inlineStr">
        <is>
          <t>Issues &amp; Punch List</t>
        </is>
      </c>
      <c r="B6603" s="46">
        <f>'Issues &amp; Punch List'!S569</f>
        <v/>
      </c>
      <c r="C6603" s="84">
        <f>'Issues &amp; Punch List'!Q569</f>
        <v/>
      </c>
      <c r="D6603" s="46">
        <f>'Issues &amp; Punch List'!R569</f>
        <v/>
      </c>
      <c r="E6603" s="46">
        <f>IF(OR(B6603="",C6603="",D6603=""),"",D6603*100000+(C6603-DATE(2000,1,1))+ROW()/100000)</f>
        <v/>
      </c>
      <c r="F6603" s="46">
        <f>IF(E6603="","",IF(C6603&gt;WeekEndDate,"",E6603))</f>
        <v/>
      </c>
    </row>
    <row r="6604">
      <c r="A6604" t="inlineStr">
        <is>
          <t>Issues &amp; Punch List</t>
        </is>
      </c>
      <c r="B6604" s="46">
        <f>'Issues &amp; Punch List'!S570</f>
        <v/>
      </c>
      <c r="C6604" s="84">
        <f>'Issues &amp; Punch List'!Q570</f>
        <v/>
      </c>
      <c r="D6604" s="46">
        <f>'Issues &amp; Punch List'!R570</f>
        <v/>
      </c>
      <c r="E6604" s="46">
        <f>IF(OR(B6604="",C6604="",D6604=""),"",D6604*100000+(C6604-DATE(2000,1,1))+ROW()/100000)</f>
        <v/>
      </c>
      <c r="F6604" s="46">
        <f>IF(E6604="","",IF(C6604&gt;WeekEndDate,"",E6604))</f>
        <v/>
      </c>
    </row>
    <row r="6605">
      <c r="A6605" t="inlineStr">
        <is>
          <t>Issues &amp; Punch List</t>
        </is>
      </c>
      <c r="B6605" s="46">
        <f>'Issues &amp; Punch List'!S571</f>
        <v/>
      </c>
      <c r="C6605" s="84">
        <f>'Issues &amp; Punch List'!Q571</f>
        <v/>
      </c>
      <c r="D6605" s="46">
        <f>'Issues &amp; Punch List'!R571</f>
        <v/>
      </c>
      <c r="E6605" s="46">
        <f>IF(OR(B6605="",C6605="",D6605=""),"",D6605*100000+(C6605-DATE(2000,1,1))+ROW()/100000)</f>
        <v/>
      </c>
      <c r="F6605" s="46">
        <f>IF(E6605="","",IF(C6605&gt;WeekEndDate,"",E6605))</f>
        <v/>
      </c>
    </row>
    <row r="6606">
      <c r="A6606" t="inlineStr">
        <is>
          <t>Issues &amp; Punch List</t>
        </is>
      </c>
      <c r="B6606" s="46">
        <f>'Issues &amp; Punch List'!S572</f>
        <v/>
      </c>
      <c r="C6606" s="84">
        <f>'Issues &amp; Punch List'!Q572</f>
        <v/>
      </c>
      <c r="D6606" s="46">
        <f>'Issues &amp; Punch List'!R572</f>
        <v/>
      </c>
      <c r="E6606" s="46">
        <f>IF(OR(B6606="",C6606="",D6606=""),"",D6606*100000+(C6606-DATE(2000,1,1))+ROW()/100000)</f>
        <v/>
      </c>
      <c r="F6606" s="46">
        <f>IF(E6606="","",IF(C6606&gt;WeekEndDate,"",E6606))</f>
        <v/>
      </c>
    </row>
    <row r="6607">
      <c r="A6607" t="inlineStr">
        <is>
          <t>Issues &amp; Punch List</t>
        </is>
      </c>
      <c r="B6607" s="46">
        <f>'Issues &amp; Punch List'!S573</f>
        <v/>
      </c>
      <c r="C6607" s="84">
        <f>'Issues &amp; Punch List'!Q573</f>
        <v/>
      </c>
      <c r="D6607" s="46">
        <f>'Issues &amp; Punch List'!R573</f>
        <v/>
      </c>
      <c r="E6607" s="46">
        <f>IF(OR(B6607="",C6607="",D6607=""),"",D6607*100000+(C6607-DATE(2000,1,1))+ROW()/100000)</f>
        <v/>
      </c>
      <c r="F6607" s="46">
        <f>IF(E6607="","",IF(C6607&gt;WeekEndDate,"",E6607))</f>
        <v/>
      </c>
    </row>
    <row r="6608">
      <c r="A6608" t="inlineStr">
        <is>
          <t>Issues &amp; Punch List</t>
        </is>
      </c>
      <c r="B6608" s="46">
        <f>'Issues &amp; Punch List'!S574</f>
        <v/>
      </c>
      <c r="C6608" s="84">
        <f>'Issues &amp; Punch List'!Q574</f>
        <v/>
      </c>
      <c r="D6608" s="46">
        <f>'Issues &amp; Punch List'!R574</f>
        <v/>
      </c>
      <c r="E6608" s="46">
        <f>IF(OR(B6608="",C6608="",D6608=""),"",D6608*100000+(C6608-DATE(2000,1,1))+ROW()/100000)</f>
        <v/>
      </c>
      <c r="F6608" s="46">
        <f>IF(E6608="","",IF(C6608&gt;WeekEndDate,"",E6608))</f>
        <v/>
      </c>
    </row>
    <row r="6609">
      <c r="A6609" t="inlineStr">
        <is>
          <t>Issues &amp; Punch List</t>
        </is>
      </c>
      <c r="B6609" s="46">
        <f>'Issues &amp; Punch List'!S575</f>
        <v/>
      </c>
      <c r="C6609" s="84">
        <f>'Issues &amp; Punch List'!Q575</f>
        <v/>
      </c>
      <c r="D6609" s="46">
        <f>'Issues &amp; Punch List'!R575</f>
        <v/>
      </c>
      <c r="E6609" s="46">
        <f>IF(OR(B6609="",C6609="",D6609=""),"",D6609*100000+(C6609-DATE(2000,1,1))+ROW()/100000)</f>
        <v/>
      </c>
      <c r="F6609" s="46">
        <f>IF(E6609="","",IF(C6609&gt;WeekEndDate,"",E6609))</f>
        <v/>
      </c>
    </row>
    <row r="6610">
      <c r="A6610" t="inlineStr">
        <is>
          <t>Issues &amp; Punch List</t>
        </is>
      </c>
      <c r="B6610" s="46">
        <f>'Issues &amp; Punch List'!S576</f>
        <v/>
      </c>
      <c r="C6610" s="84">
        <f>'Issues &amp; Punch List'!Q576</f>
        <v/>
      </c>
      <c r="D6610" s="46">
        <f>'Issues &amp; Punch List'!R576</f>
        <v/>
      </c>
      <c r="E6610" s="46">
        <f>IF(OR(B6610="",C6610="",D6610=""),"",D6610*100000+(C6610-DATE(2000,1,1))+ROW()/100000)</f>
        <v/>
      </c>
      <c r="F6610" s="46">
        <f>IF(E6610="","",IF(C6610&gt;WeekEndDate,"",E6610))</f>
        <v/>
      </c>
    </row>
    <row r="6611">
      <c r="A6611" t="inlineStr">
        <is>
          <t>Issues &amp; Punch List</t>
        </is>
      </c>
      <c r="B6611" s="46">
        <f>'Issues &amp; Punch List'!S577</f>
        <v/>
      </c>
      <c r="C6611" s="84">
        <f>'Issues &amp; Punch List'!Q577</f>
        <v/>
      </c>
      <c r="D6611" s="46">
        <f>'Issues &amp; Punch List'!R577</f>
        <v/>
      </c>
      <c r="E6611" s="46">
        <f>IF(OR(B6611="",C6611="",D6611=""),"",D6611*100000+(C6611-DATE(2000,1,1))+ROW()/100000)</f>
        <v/>
      </c>
      <c r="F6611" s="46">
        <f>IF(E6611="","",IF(C6611&gt;WeekEndDate,"",E6611))</f>
        <v/>
      </c>
    </row>
    <row r="6612">
      <c r="A6612" t="inlineStr">
        <is>
          <t>Issues &amp; Punch List</t>
        </is>
      </c>
      <c r="B6612" s="46">
        <f>'Issues &amp; Punch List'!S578</f>
        <v/>
      </c>
      <c r="C6612" s="84">
        <f>'Issues &amp; Punch List'!Q578</f>
        <v/>
      </c>
      <c r="D6612" s="46">
        <f>'Issues &amp; Punch List'!R578</f>
        <v/>
      </c>
      <c r="E6612" s="46">
        <f>IF(OR(B6612="",C6612="",D6612=""),"",D6612*100000+(C6612-DATE(2000,1,1))+ROW()/100000)</f>
        <v/>
      </c>
      <c r="F6612" s="46">
        <f>IF(E6612="","",IF(C6612&gt;WeekEndDate,"",E6612))</f>
        <v/>
      </c>
    </row>
    <row r="6613">
      <c r="A6613" t="inlineStr">
        <is>
          <t>Issues &amp; Punch List</t>
        </is>
      </c>
      <c r="B6613" s="46">
        <f>'Issues &amp; Punch List'!S579</f>
        <v/>
      </c>
      <c r="C6613" s="84">
        <f>'Issues &amp; Punch List'!Q579</f>
        <v/>
      </c>
      <c r="D6613" s="46">
        <f>'Issues &amp; Punch List'!R579</f>
        <v/>
      </c>
      <c r="E6613" s="46">
        <f>IF(OR(B6613="",C6613="",D6613=""),"",D6613*100000+(C6613-DATE(2000,1,1))+ROW()/100000)</f>
        <v/>
      </c>
      <c r="F6613" s="46">
        <f>IF(E6613="","",IF(C6613&gt;WeekEndDate,"",E6613))</f>
        <v/>
      </c>
    </row>
    <row r="6614">
      <c r="A6614" t="inlineStr">
        <is>
          <t>Issues &amp; Punch List</t>
        </is>
      </c>
      <c r="B6614" s="46">
        <f>'Issues &amp; Punch List'!S580</f>
        <v/>
      </c>
      <c r="C6614" s="84">
        <f>'Issues &amp; Punch List'!Q580</f>
        <v/>
      </c>
      <c r="D6614" s="46">
        <f>'Issues &amp; Punch List'!R580</f>
        <v/>
      </c>
      <c r="E6614" s="46">
        <f>IF(OR(B6614="",C6614="",D6614=""),"",D6614*100000+(C6614-DATE(2000,1,1))+ROW()/100000)</f>
        <v/>
      </c>
      <c r="F6614" s="46">
        <f>IF(E6614="","",IF(C6614&gt;WeekEndDate,"",E6614))</f>
        <v/>
      </c>
    </row>
    <row r="6615">
      <c r="A6615" t="inlineStr">
        <is>
          <t>Issues &amp; Punch List</t>
        </is>
      </c>
      <c r="B6615" s="46">
        <f>'Issues &amp; Punch List'!S581</f>
        <v/>
      </c>
      <c r="C6615" s="84">
        <f>'Issues &amp; Punch List'!Q581</f>
        <v/>
      </c>
      <c r="D6615" s="46">
        <f>'Issues &amp; Punch List'!R581</f>
        <v/>
      </c>
      <c r="E6615" s="46">
        <f>IF(OR(B6615="",C6615="",D6615=""),"",D6615*100000+(C6615-DATE(2000,1,1))+ROW()/100000)</f>
        <v/>
      </c>
      <c r="F6615" s="46">
        <f>IF(E6615="","",IF(C6615&gt;WeekEndDate,"",E6615))</f>
        <v/>
      </c>
    </row>
    <row r="6616">
      <c r="A6616" t="inlineStr">
        <is>
          <t>Issues &amp; Punch List</t>
        </is>
      </c>
      <c r="B6616" s="46">
        <f>'Issues &amp; Punch List'!S582</f>
        <v/>
      </c>
      <c r="C6616" s="84">
        <f>'Issues &amp; Punch List'!Q582</f>
        <v/>
      </c>
      <c r="D6616" s="46">
        <f>'Issues &amp; Punch List'!R582</f>
        <v/>
      </c>
      <c r="E6616" s="46">
        <f>IF(OR(B6616="",C6616="",D6616=""),"",D6616*100000+(C6616-DATE(2000,1,1))+ROW()/100000)</f>
        <v/>
      </c>
      <c r="F6616" s="46">
        <f>IF(E6616="","",IF(C6616&gt;WeekEndDate,"",E6616))</f>
        <v/>
      </c>
    </row>
    <row r="6617">
      <c r="A6617" t="inlineStr">
        <is>
          <t>Issues &amp; Punch List</t>
        </is>
      </c>
      <c r="B6617" s="46">
        <f>'Issues &amp; Punch List'!S583</f>
        <v/>
      </c>
      <c r="C6617" s="84">
        <f>'Issues &amp; Punch List'!Q583</f>
        <v/>
      </c>
      <c r="D6617" s="46">
        <f>'Issues &amp; Punch List'!R583</f>
        <v/>
      </c>
      <c r="E6617" s="46">
        <f>IF(OR(B6617="",C6617="",D6617=""),"",D6617*100000+(C6617-DATE(2000,1,1))+ROW()/100000)</f>
        <v/>
      </c>
      <c r="F6617" s="46">
        <f>IF(E6617="","",IF(C6617&gt;WeekEndDate,"",E6617))</f>
        <v/>
      </c>
    </row>
    <row r="6618">
      <c r="A6618" t="inlineStr">
        <is>
          <t>Issues &amp; Punch List</t>
        </is>
      </c>
      <c r="B6618" s="46">
        <f>'Issues &amp; Punch List'!S584</f>
        <v/>
      </c>
      <c r="C6618" s="84">
        <f>'Issues &amp; Punch List'!Q584</f>
        <v/>
      </c>
      <c r="D6618" s="46">
        <f>'Issues &amp; Punch List'!R584</f>
        <v/>
      </c>
      <c r="E6618" s="46">
        <f>IF(OR(B6618="",C6618="",D6618=""),"",D6618*100000+(C6618-DATE(2000,1,1))+ROW()/100000)</f>
        <v/>
      </c>
      <c r="F6618" s="46">
        <f>IF(E6618="","",IF(C6618&gt;WeekEndDate,"",E6618))</f>
        <v/>
      </c>
    </row>
    <row r="6619">
      <c r="A6619" t="inlineStr">
        <is>
          <t>Issues &amp; Punch List</t>
        </is>
      </c>
      <c r="B6619" s="46">
        <f>'Issues &amp; Punch List'!S585</f>
        <v/>
      </c>
      <c r="C6619" s="84">
        <f>'Issues &amp; Punch List'!Q585</f>
        <v/>
      </c>
      <c r="D6619" s="46">
        <f>'Issues &amp; Punch List'!R585</f>
        <v/>
      </c>
      <c r="E6619" s="46">
        <f>IF(OR(B6619="",C6619="",D6619=""),"",D6619*100000+(C6619-DATE(2000,1,1))+ROW()/100000)</f>
        <v/>
      </c>
      <c r="F6619" s="46">
        <f>IF(E6619="","",IF(C6619&gt;WeekEndDate,"",E6619))</f>
        <v/>
      </c>
    </row>
    <row r="6620">
      <c r="A6620" t="inlineStr">
        <is>
          <t>Issues &amp; Punch List</t>
        </is>
      </c>
      <c r="B6620" s="46">
        <f>'Issues &amp; Punch List'!S586</f>
        <v/>
      </c>
      <c r="C6620" s="84">
        <f>'Issues &amp; Punch List'!Q586</f>
        <v/>
      </c>
      <c r="D6620" s="46">
        <f>'Issues &amp; Punch List'!R586</f>
        <v/>
      </c>
      <c r="E6620" s="46">
        <f>IF(OR(B6620="",C6620="",D6620=""),"",D6620*100000+(C6620-DATE(2000,1,1))+ROW()/100000)</f>
        <v/>
      </c>
      <c r="F6620" s="46">
        <f>IF(E6620="","",IF(C6620&gt;WeekEndDate,"",E6620))</f>
        <v/>
      </c>
    </row>
    <row r="6621">
      <c r="A6621" t="inlineStr">
        <is>
          <t>Issues &amp; Punch List</t>
        </is>
      </c>
      <c r="B6621" s="46">
        <f>'Issues &amp; Punch List'!S587</f>
        <v/>
      </c>
      <c r="C6621" s="84">
        <f>'Issues &amp; Punch List'!Q587</f>
        <v/>
      </c>
      <c r="D6621" s="46">
        <f>'Issues &amp; Punch List'!R587</f>
        <v/>
      </c>
      <c r="E6621" s="46">
        <f>IF(OR(B6621="",C6621="",D6621=""),"",D6621*100000+(C6621-DATE(2000,1,1))+ROW()/100000)</f>
        <v/>
      </c>
      <c r="F6621" s="46">
        <f>IF(E6621="","",IF(C6621&gt;WeekEndDate,"",E6621))</f>
        <v/>
      </c>
    </row>
    <row r="6622">
      <c r="A6622" t="inlineStr">
        <is>
          <t>Issues &amp; Punch List</t>
        </is>
      </c>
      <c r="B6622" s="46">
        <f>'Issues &amp; Punch List'!S588</f>
        <v/>
      </c>
      <c r="C6622" s="84">
        <f>'Issues &amp; Punch List'!Q588</f>
        <v/>
      </c>
      <c r="D6622" s="46">
        <f>'Issues &amp; Punch List'!R588</f>
        <v/>
      </c>
      <c r="E6622" s="46">
        <f>IF(OR(B6622="",C6622="",D6622=""),"",D6622*100000+(C6622-DATE(2000,1,1))+ROW()/100000)</f>
        <v/>
      </c>
      <c r="F6622" s="46">
        <f>IF(E6622="","",IF(C6622&gt;WeekEndDate,"",E6622))</f>
        <v/>
      </c>
    </row>
    <row r="6623">
      <c r="A6623" t="inlineStr">
        <is>
          <t>Issues &amp; Punch List</t>
        </is>
      </c>
      <c r="B6623" s="46">
        <f>'Issues &amp; Punch List'!S589</f>
        <v/>
      </c>
      <c r="C6623" s="84">
        <f>'Issues &amp; Punch List'!Q589</f>
        <v/>
      </c>
      <c r="D6623" s="46">
        <f>'Issues &amp; Punch List'!R589</f>
        <v/>
      </c>
      <c r="E6623" s="46">
        <f>IF(OR(B6623="",C6623="",D6623=""),"",D6623*100000+(C6623-DATE(2000,1,1))+ROW()/100000)</f>
        <v/>
      </c>
      <c r="F6623" s="46">
        <f>IF(E6623="","",IF(C6623&gt;WeekEndDate,"",E6623))</f>
        <v/>
      </c>
    </row>
    <row r="6624">
      <c r="A6624" t="inlineStr">
        <is>
          <t>Issues &amp; Punch List</t>
        </is>
      </c>
      <c r="B6624" s="46">
        <f>'Issues &amp; Punch List'!S590</f>
        <v/>
      </c>
      <c r="C6624" s="84">
        <f>'Issues &amp; Punch List'!Q590</f>
        <v/>
      </c>
      <c r="D6624" s="46">
        <f>'Issues &amp; Punch List'!R590</f>
        <v/>
      </c>
      <c r="E6624" s="46">
        <f>IF(OR(B6624="",C6624="",D6624=""),"",D6624*100000+(C6624-DATE(2000,1,1))+ROW()/100000)</f>
        <v/>
      </c>
      <c r="F6624" s="46">
        <f>IF(E6624="","",IF(C6624&gt;WeekEndDate,"",E6624))</f>
        <v/>
      </c>
    </row>
    <row r="6625">
      <c r="A6625" t="inlineStr">
        <is>
          <t>Issues &amp; Punch List</t>
        </is>
      </c>
      <c r="B6625" s="46">
        <f>'Issues &amp; Punch List'!S591</f>
        <v/>
      </c>
      <c r="C6625" s="84">
        <f>'Issues &amp; Punch List'!Q591</f>
        <v/>
      </c>
      <c r="D6625" s="46">
        <f>'Issues &amp; Punch List'!R591</f>
        <v/>
      </c>
      <c r="E6625" s="46">
        <f>IF(OR(B6625="",C6625="",D6625=""),"",D6625*100000+(C6625-DATE(2000,1,1))+ROW()/100000)</f>
        <v/>
      </c>
      <c r="F6625" s="46">
        <f>IF(E6625="","",IF(C6625&gt;WeekEndDate,"",E6625))</f>
        <v/>
      </c>
    </row>
    <row r="6626">
      <c r="A6626" t="inlineStr">
        <is>
          <t>Issues &amp; Punch List</t>
        </is>
      </c>
      <c r="B6626" s="46">
        <f>'Issues &amp; Punch List'!S592</f>
        <v/>
      </c>
      <c r="C6626" s="84">
        <f>'Issues &amp; Punch List'!Q592</f>
        <v/>
      </c>
      <c r="D6626" s="46">
        <f>'Issues &amp; Punch List'!R592</f>
        <v/>
      </c>
      <c r="E6626" s="46">
        <f>IF(OR(B6626="",C6626="",D6626=""),"",D6626*100000+(C6626-DATE(2000,1,1))+ROW()/100000)</f>
        <v/>
      </c>
      <c r="F6626" s="46">
        <f>IF(E6626="","",IF(C6626&gt;WeekEndDate,"",E6626))</f>
        <v/>
      </c>
    </row>
    <row r="6627">
      <c r="A6627" t="inlineStr">
        <is>
          <t>Issues &amp; Punch List</t>
        </is>
      </c>
      <c r="B6627" s="46">
        <f>'Issues &amp; Punch List'!S593</f>
        <v/>
      </c>
      <c r="C6627" s="84">
        <f>'Issues &amp; Punch List'!Q593</f>
        <v/>
      </c>
      <c r="D6627" s="46">
        <f>'Issues &amp; Punch List'!R593</f>
        <v/>
      </c>
      <c r="E6627" s="46">
        <f>IF(OR(B6627="",C6627="",D6627=""),"",D6627*100000+(C6627-DATE(2000,1,1))+ROW()/100000)</f>
        <v/>
      </c>
      <c r="F6627" s="46">
        <f>IF(E6627="","",IF(C6627&gt;WeekEndDate,"",E6627))</f>
        <v/>
      </c>
    </row>
    <row r="6628">
      <c r="A6628" t="inlineStr">
        <is>
          <t>Issues &amp; Punch List</t>
        </is>
      </c>
      <c r="B6628" s="46">
        <f>'Issues &amp; Punch List'!S594</f>
        <v/>
      </c>
      <c r="C6628" s="84">
        <f>'Issues &amp; Punch List'!Q594</f>
        <v/>
      </c>
      <c r="D6628" s="46">
        <f>'Issues &amp; Punch List'!R594</f>
        <v/>
      </c>
      <c r="E6628" s="46">
        <f>IF(OR(B6628="",C6628="",D6628=""),"",D6628*100000+(C6628-DATE(2000,1,1))+ROW()/100000)</f>
        <v/>
      </c>
      <c r="F6628" s="46">
        <f>IF(E6628="","",IF(C6628&gt;WeekEndDate,"",E6628))</f>
        <v/>
      </c>
    </row>
    <row r="6629">
      <c r="A6629" t="inlineStr">
        <is>
          <t>Issues &amp; Punch List</t>
        </is>
      </c>
      <c r="B6629" s="46">
        <f>'Issues &amp; Punch List'!S595</f>
        <v/>
      </c>
      <c r="C6629" s="84">
        <f>'Issues &amp; Punch List'!Q595</f>
        <v/>
      </c>
      <c r="D6629" s="46">
        <f>'Issues &amp; Punch List'!R595</f>
        <v/>
      </c>
      <c r="E6629" s="46">
        <f>IF(OR(B6629="",C6629="",D6629=""),"",D6629*100000+(C6629-DATE(2000,1,1))+ROW()/100000)</f>
        <v/>
      </c>
      <c r="F6629" s="46">
        <f>IF(E6629="","",IF(C6629&gt;WeekEndDate,"",E6629))</f>
        <v/>
      </c>
    </row>
    <row r="6630">
      <c r="A6630" t="inlineStr">
        <is>
          <t>Issues &amp; Punch List</t>
        </is>
      </c>
      <c r="B6630" s="46">
        <f>'Issues &amp; Punch List'!S596</f>
        <v/>
      </c>
      <c r="C6630" s="84">
        <f>'Issues &amp; Punch List'!Q596</f>
        <v/>
      </c>
      <c r="D6630" s="46">
        <f>'Issues &amp; Punch List'!R596</f>
        <v/>
      </c>
      <c r="E6630" s="46">
        <f>IF(OR(B6630="",C6630="",D6630=""),"",D6630*100000+(C6630-DATE(2000,1,1))+ROW()/100000)</f>
        <v/>
      </c>
      <c r="F6630" s="46">
        <f>IF(E6630="","",IF(C6630&gt;WeekEndDate,"",E6630))</f>
        <v/>
      </c>
    </row>
    <row r="6631">
      <c r="A6631" t="inlineStr">
        <is>
          <t>Issues &amp; Punch List</t>
        </is>
      </c>
      <c r="B6631" s="46">
        <f>'Issues &amp; Punch List'!S597</f>
        <v/>
      </c>
      <c r="C6631" s="84">
        <f>'Issues &amp; Punch List'!Q597</f>
        <v/>
      </c>
      <c r="D6631" s="46">
        <f>'Issues &amp; Punch List'!R597</f>
        <v/>
      </c>
      <c r="E6631" s="46">
        <f>IF(OR(B6631="",C6631="",D6631=""),"",D6631*100000+(C6631-DATE(2000,1,1))+ROW()/100000)</f>
        <v/>
      </c>
      <c r="F6631" s="46">
        <f>IF(E6631="","",IF(C6631&gt;WeekEndDate,"",E6631))</f>
        <v/>
      </c>
    </row>
    <row r="6632">
      <c r="A6632" t="inlineStr">
        <is>
          <t>Issues &amp; Punch List</t>
        </is>
      </c>
      <c r="B6632" s="46">
        <f>'Issues &amp; Punch List'!S598</f>
        <v/>
      </c>
      <c r="C6632" s="84">
        <f>'Issues &amp; Punch List'!Q598</f>
        <v/>
      </c>
      <c r="D6632" s="46">
        <f>'Issues &amp; Punch List'!R598</f>
        <v/>
      </c>
      <c r="E6632" s="46">
        <f>IF(OR(B6632="",C6632="",D6632=""),"",D6632*100000+(C6632-DATE(2000,1,1))+ROW()/100000)</f>
        <v/>
      </c>
      <c r="F6632" s="46">
        <f>IF(E6632="","",IF(C6632&gt;WeekEndDate,"",E6632))</f>
        <v/>
      </c>
    </row>
    <row r="6633">
      <c r="A6633" t="inlineStr">
        <is>
          <t>Issues &amp; Punch List</t>
        </is>
      </c>
      <c r="B6633" s="46">
        <f>'Issues &amp; Punch List'!S599</f>
        <v/>
      </c>
      <c r="C6633" s="84">
        <f>'Issues &amp; Punch List'!Q599</f>
        <v/>
      </c>
      <c r="D6633" s="46">
        <f>'Issues &amp; Punch List'!R599</f>
        <v/>
      </c>
      <c r="E6633" s="46">
        <f>IF(OR(B6633="",C6633="",D6633=""),"",D6633*100000+(C6633-DATE(2000,1,1))+ROW()/100000)</f>
        <v/>
      </c>
      <c r="F6633" s="46">
        <f>IF(E6633="","",IF(C6633&gt;WeekEndDate,"",E6633))</f>
        <v/>
      </c>
    </row>
    <row r="6634">
      <c r="A6634" t="inlineStr">
        <is>
          <t>Issues &amp; Punch List</t>
        </is>
      </c>
      <c r="B6634" s="46">
        <f>'Issues &amp; Punch List'!S600</f>
        <v/>
      </c>
      <c r="C6634" s="84">
        <f>'Issues &amp; Punch List'!Q600</f>
        <v/>
      </c>
      <c r="D6634" s="46">
        <f>'Issues &amp; Punch List'!R600</f>
        <v/>
      </c>
      <c r="E6634" s="46">
        <f>IF(OR(B6634="",C6634="",D6634=""),"",D6634*100000+(C6634-DATE(2000,1,1))+ROW()/100000)</f>
        <v/>
      </c>
      <c r="F6634" s="46">
        <f>IF(E6634="","",IF(C6634&gt;WeekEndDate,"",E6634))</f>
        <v/>
      </c>
    </row>
    <row r="6635">
      <c r="A6635" t="inlineStr">
        <is>
          <t>Issues &amp; Punch List</t>
        </is>
      </c>
      <c r="B6635" s="46">
        <f>'Issues &amp; Punch List'!S601</f>
        <v/>
      </c>
      <c r="C6635" s="84">
        <f>'Issues &amp; Punch List'!Q601</f>
        <v/>
      </c>
      <c r="D6635" s="46">
        <f>'Issues &amp; Punch List'!R601</f>
        <v/>
      </c>
      <c r="E6635" s="46">
        <f>IF(OR(B6635="",C6635="",D6635=""),"",D6635*100000+(C6635-DATE(2000,1,1))+ROW()/100000)</f>
        <v/>
      </c>
      <c r="F6635" s="46">
        <f>IF(E6635="","",IF(C6635&gt;WeekEndDate,"",E6635))</f>
        <v/>
      </c>
    </row>
    <row r="6636">
      <c r="A6636" t="inlineStr">
        <is>
          <t>Issues &amp; Punch List</t>
        </is>
      </c>
      <c r="B6636" s="46">
        <f>'Issues &amp; Punch List'!S602</f>
        <v/>
      </c>
      <c r="C6636" s="84">
        <f>'Issues &amp; Punch List'!Q602</f>
        <v/>
      </c>
      <c r="D6636" s="46">
        <f>'Issues &amp; Punch List'!R602</f>
        <v/>
      </c>
      <c r="E6636" s="46">
        <f>IF(OR(B6636="",C6636="",D6636=""),"",D6636*100000+(C6636-DATE(2000,1,1))+ROW()/100000)</f>
        <v/>
      </c>
      <c r="F6636" s="46">
        <f>IF(E6636="","",IF(C6636&gt;WeekEndDate,"",E6636))</f>
        <v/>
      </c>
    </row>
    <row r="6637">
      <c r="A6637" t="inlineStr">
        <is>
          <t>Issues &amp; Punch List</t>
        </is>
      </c>
      <c r="B6637" s="46">
        <f>'Issues &amp; Punch List'!S603</f>
        <v/>
      </c>
      <c r="C6637" s="84">
        <f>'Issues &amp; Punch List'!Q603</f>
        <v/>
      </c>
      <c r="D6637" s="46">
        <f>'Issues &amp; Punch List'!R603</f>
        <v/>
      </c>
      <c r="E6637" s="46">
        <f>IF(OR(B6637="",C6637="",D6637=""),"",D6637*100000+(C6637-DATE(2000,1,1))+ROW()/100000)</f>
        <v/>
      </c>
      <c r="F6637" s="46">
        <f>IF(E6637="","",IF(C6637&gt;WeekEndDate,"",E6637))</f>
        <v/>
      </c>
    </row>
    <row r="6638">
      <c r="A6638" t="inlineStr">
        <is>
          <t>Issues &amp; Punch List</t>
        </is>
      </c>
      <c r="B6638" s="46">
        <f>'Issues &amp; Punch List'!S604</f>
        <v/>
      </c>
      <c r="C6638" s="84">
        <f>'Issues &amp; Punch List'!Q604</f>
        <v/>
      </c>
      <c r="D6638" s="46">
        <f>'Issues &amp; Punch List'!R604</f>
        <v/>
      </c>
      <c r="E6638" s="46">
        <f>IF(OR(B6638="",C6638="",D6638=""),"",D6638*100000+(C6638-DATE(2000,1,1))+ROW()/100000)</f>
        <v/>
      </c>
      <c r="F6638" s="46">
        <f>IF(E6638="","",IF(C6638&gt;WeekEndDate,"",E6638))</f>
        <v/>
      </c>
    </row>
    <row r="6639">
      <c r="A6639" t="inlineStr">
        <is>
          <t>Issues &amp; Punch List</t>
        </is>
      </c>
      <c r="B6639" s="46">
        <f>'Issues &amp; Punch List'!S605</f>
        <v/>
      </c>
      <c r="C6639" s="84">
        <f>'Issues &amp; Punch List'!Q605</f>
        <v/>
      </c>
      <c r="D6639" s="46">
        <f>'Issues &amp; Punch List'!R605</f>
        <v/>
      </c>
      <c r="E6639" s="46">
        <f>IF(OR(B6639="",C6639="",D6639=""),"",D6639*100000+(C6639-DATE(2000,1,1))+ROW()/100000)</f>
        <v/>
      </c>
      <c r="F6639" s="46">
        <f>IF(E6639="","",IF(C6639&gt;WeekEndDate,"",E6639))</f>
        <v/>
      </c>
    </row>
    <row r="6640">
      <c r="A6640" t="inlineStr">
        <is>
          <t>Issues &amp; Punch List</t>
        </is>
      </c>
      <c r="B6640" s="46">
        <f>'Issues &amp; Punch List'!S606</f>
        <v/>
      </c>
      <c r="C6640" s="84">
        <f>'Issues &amp; Punch List'!Q606</f>
        <v/>
      </c>
      <c r="D6640" s="46">
        <f>'Issues &amp; Punch List'!R606</f>
        <v/>
      </c>
      <c r="E6640" s="46">
        <f>IF(OR(B6640="",C6640="",D6640=""),"",D6640*100000+(C6640-DATE(2000,1,1))+ROW()/100000)</f>
        <v/>
      </c>
      <c r="F6640" s="46">
        <f>IF(E6640="","",IF(C6640&gt;WeekEndDate,"",E6640))</f>
        <v/>
      </c>
    </row>
    <row r="6641">
      <c r="A6641" t="inlineStr">
        <is>
          <t>Issues &amp; Punch List</t>
        </is>
      </c>
      <c r="B6641" s="46">
        <f>'Issues &amp; Punch List'!S607</f>
        <v/>
      </c>
      <c r="C6641" s="84">
        <f>'Issues &amp; Punch List'!Q607</f>
        <v/>
      </c>
      <c r="D6641" s="46">
        <f>'Issues &amp; Punch List'!R607</f>
        <v/>
      </c>
      <c r="E6641" s="46">
        <f>IF(OR(B6641="",C6641="",D6641=""),"",D6641*100000+(C6641-DATE(2000,1,1))+ROW()/100000)</f>
        <v/>
      </c>
      <c r="F6641" s="46">
        <f>IF(E6641="","",IF(C6641&gt;WeekEndDate,"",E6641))</f>
        <v/>
      </c>
    </row>
    <row r="6642">
      <c r="A6642" t="inlineStr">
        <is>
          <t>Issues &amp; Punch List</t>
        </is>
      </c>
      <c r="B6642" s="46">
        <f>'Issues &amp; Punch List'!S608</f>
        <v/>
      </c>
      <c r="C6642" s="84">
        <f>'Issues &amp; Punch List'!Q608</f>
        <v/>
      </c>
      <c r="D6642" s="46">
        <f>'Issues &amp; Punch List'!R608</f>
        <v/>
      </c>
      <c r="E6642" s="46">
        <f>IF(OR(B6642="",C6642="",D6642=""),"",D6642*100000+(C6642-DATE(2000,1,1))+ROW()/100000)</f>
        <v/>
      </c>
      <c r="F6642" s="46">
        <f>IF(E6642="","",IF(C6642&gt;WeekEndDate,"",E6642))</f>
        <v/>
      </c>
    </row>
    <row r="6643">
      <c r="A6643" t="inlineStr">
        <is>
          <t>Issues &amp; Punch List</t>
        </is>
      </c>
      <c r="B6643" s="46">
        <f>'Issues &amp; Punch List'!S609</f>
        <v/>
      </c>
      <c r="C6643" s="84">
        <f>'Issues &amp; Punch List'!Q609</f>
        <v/>
      </c>
      <c r="D6643" s="46">
        <f>'Issues &amp; Punch List'!R609</f>
        <v/>
      </c>
      <c r="E6643" s="46">
        <f>IF(OR(B6643="",C6643="",D6643=""),"",D6643*100000+(C6643-DATE(2000,1,1))+ROW()/100000)</f>
        <v/>
      </c>
      <c r="F6643" s="46">
        <f>IF(E6643="","",IF(C6643&gt;WeekEndDate,"",E6643))</f>
        <v/>
      </c>
    </row>
    <row r="6644">
      <c r="A6644" t="inlineStr">
        <is>
          <t>Issues &amp; Punch List</t>
        </is>
      </c>
      <c r="B6644" s="46">
        <f>'Issues &amp; Punch List'!S610</f>
        <v/>
      </c>
      <c r="C6644" s="84">
        <f>'Issues &amp; Punch List'!Q610</f>
        <v/>
      </c>
      <c r="D6644" s="46">
        <f>'Issues &amp; Punch List'!R610</f>
        <v/>
      </c>
      <c r="E6644" s="46">
        <f>IF(OR(B6644="",C6644="",D6644=""),"",D6644*100000+(C6644-DATE(2000,1,1))+ROW()/100000)</f>
        <v/>
      </c>
      <c r="F6644" s="46">
        <f>IF(E6644="","",IF(C6644&gt;WeekEndDate,"",E6644))</f>
        <v/>
      </c>
    </row>
    <row r="6645">
      <c r="A6645" t="inlineStr">
        <is>
          <t>Issues &amp; Punch List</t>
        </is>
      </c>
      <c r="B6645" s="46">
        <f>'Issues &amp; Punch List'!S611</f>
        <v/>
      </c>
      <c r="C6645" s="84">
        <f>'Issues &amp; Punch List'!Q611</f>
        <v/>
      </c>
      <c r="D6645" s="46">
        <f>'Issues &amp; Punch List'!R611</f>
        <v/>
      </c>
      <c r="E6645" s="46">
        <f>IF(OR(B6645="",C6645="",D6645=""),"",D6645*100000+(C6645-DATE(2000,1,1))+ROW()/100000)</f>
        <v/>
      </c>
      <c r="F6645" s="46">
        <f>IF(E6645="","",IF(C6645&gt;WeekEndDate,"",E6645))</f>
        <v/>
      </c>
    </row>
    <row r="6646">
      <c r="A6646" t="inlineStr">
        <is>
          <t>Issues &amp; Punch List</t>
        </is>
      </c>
      <c r="B6646" s="46">
        <f>'Issues &amp; Punch List'!S612</f>
        <v/>
      </c>
      <c r="C6646" s="84">
        <f>'Issues &amp; Punch List'!Q612</f>
        <v/>
      </c>
      <c r="D6646" s="46">
        <f>'Issues &amp; Punch List'!R612</f>
        <v/>
      </c>
      <c r="E6646" s="46">
        <f>IF(OR(B6646="",C6646="",D6646=""),"",D6646*100000+(C6646-DATE(2000,1,1))+ROW()/100000)</f>
        <v/>
      </c>
      <c r="F6646" s="46">
        <f>IF(E6646="","",IF(C6646&gt;WeekEndDate,"",E6646))</f>
        <v/>
      </c>
    </row>
    <row r="6647">
      <c r="A6647" t="inlineStr">
        <is>
          <t>Issues &amp; Punch List</t>
        </is>
      </c>
      <c r="B6647" s="46">
        <f>'Issues &amp; Punch List'!S613</f>
        <v/>
      </c>
      <c r="C6647" s="84">
        <f>'Issues &amp; Punch List'!Q613</f>
        <v/>
      </c>
      <c r="D6647" s="46">
        <f>'Issues &amp; Punch List'!R613</f>
        <v/>
      </c>
      <c r="E6647" s="46">
        <f>IF(OR(B6647="",C6647="",D6647=""),"",D6647*100000+(C6647-DATE(2000,1,1))+ROW()/100000)</f>
        <v/>
      </c>
      <c r="F6647" s="46">
        <f>IF(E6647="","",IF(C6647&gt;WeekEndDate,"",E6647))</f>
        <v/>
      </c>
    </row>
    <row r="6648">
      <c r="A6648" t="inlineStr">
        <is>
          <t>Issues &amp; Punch List</t>
        </is>
      </c>
      <c r="B6648" s="46">
        <f>'Issues &amp; Punch List'!S614</f>
        <v/>
      </c>
      <c r="C6648" s="84">
        <f>'Issues &amp; Punch List'!Q614</f>
        <v/>
      </c>
      <c r="D6648" s="46">
        <f>'Issues &amp; Punch List'!R614</f>
        <v/>
      </c>
      <c r="E6648" s="46">
        <f>IF(OR(B6648="",C6648="",D6648=""),"",D6648*100000+(C6648-DATE(2000,1,1))+ROW()/100000)</f>
        <v/>
      </c>
      <c r="F6648" s="46">
        <f>IF(E6648="","",IF(C6648&gt;WeekEndDate,"",E6648))</f>
        <v/>
      </c>
    </row>
    <row r="6649">
      <c r="A6649" t="inlineStr">
        <is>
          <t>Issues &amp; Punch List</t>
        </is>
      </c>
      <c r="B6649" s="46">
        <f>'Issues &amp; Punch List'!S615</f>
        <v/>
      </c>
      <c r="C6649" s="84">
        <f>'Issues &amp; Punch List'!Q615</f>
        <v/>
      </c>
      <c r="D6649" s="46">
        <f>'Issues &amp; Punch List'!R615</f>
        <v/>
      </c>
      <c r="E6649" s="46">
        <f>IF(OR(B6649="",C6649="",D6649=""),"",D6649*100000+(C6649-DATE(2000,1,1))+ROW()/100000)</f>
        <v/>
      </c>
      <c r="F6649" s="46">
        <f>IF(E6649="","",IF(C6649&gt;WeekEndDate,"",E6649))</f>
        <v/>
      </c>
    </row>
    <row r="6650">
      <c r="A6650" t="inlineStr">
        <is>
          <t>Issues &amp; Punch List</t>
        </is>
      </c>
      <c r="B6650" s="46">
        <f>'Issues &amp; Punch List'!S616</f>
        <v/>
      </c>
      <c r="C6650" s="84">
        <f>'Issues &amp; Punch List'!Q616</f>
        <v/>
      </c>
      <c r="D6650" s="46">
        <f>'Issues &amp; Punch List'!R616</f>
        <v/>
      </c>
      <c r="E6650" s="46">
        <f>IF(OR(B6650="",C6650="",D6650=""),"",D6650*100000+(C6650-DATE(2000,1,1))+ROW()/100000)</f>
        <v/>
      </c>
      <c r="F6650" s="46">
        <f>IF(E6650="","",IF(C6650&gt;WeekEndDate,"",E6650))</f>
        <v/>
      </c>
    </row>
    <row r="6651">
      <c r="A6651" t="inlineStr">
        <is>
          <t>Issues &amp; Punch List</t>
        </is>
      </c>
      <c r="B6651" s="46">
        <f>'Issues &amp; Punch List'!S617</f>
        <v/>
      </c>
      <c r="C6651" s="84">
        <f>'Issues &amp; Punch List'!Q617</f>
        <v/>
      </c>
      <c r="D6651" s="46">
        <f>'Issues &amp; Punch List'!R617</f>
        <v/>
      </c>
      <c r="E6651" s="46">
        <f>IF(OR(B6651="",C6651="",D6651=""),"",D6651*100000+(C6651-DATE(2000,1,1))+ROW()/100000)</f>
        <v/>
      </c>
      <c r="F6651" s="46">
        <f>IF(E6651="","",IF(C6651&gt;WeekEndDate,"",E6651))</f>
        <v/>
      </c>
    </row>
    <row r="6652">
      <c r="A6652" t="inlineStr">
        <is>
          <t>Issues &amp; Punch List</t>
        </is>
      </c>
      <c r="B6652" s="46">
        <f>'Issues &amp; Punch List'!S618</f>
        <v/>
      </c>
      <c r="C6652" s="84">
        <f>'Issues &amp; Punch List'!Q618</f>
        <v/>
      </c>
      <c r="D6652" s="46">
        <f>'Issues &amp; Punch List'!R618</f>
        <v/>
      </c>
      <c r="E6652" s="46">
        <f>IF(OR(B6652="",C6652="",D6652=""),"",D6652*100000+(C6652-DATE(2000,1,1))+ROW()/100000)</f>
        <v/>
      </c>
      <c r="F6652" s="46">
        <f>IF(E6652="","",IF(C6652&gt;WeekEndDate,"",E6652))</f>
        <v/>
      </c>
    </row>
    <row r="6653">
      <c r="A6653" t="inlineStr">
        <is>
          <t>Issues &amp; Punch List</t>
        </is>
      </c>
      <c r="B6653" s="46">
        <f>'Issues &amp; Punch List'!S619</f>
        <v/>
      </c>
      <c r="C6653" s="84">
        <f>'Issues &amp; Punch List'!Q619</f>
        <v/>
      </c>
      <c r="D6653" s="46">
        <f>'Issues &amp; Punch List'!R619</f>
        <v/>
      </c>
      <c r="E6653" s="46">
        <f>IF(OR(B6653="",C6653="",D6653=""),"",D6653*100000+(C6653-DATE(2000,1,1))+ROW()/100000)</f>
        <v/>
      </c>
      <c r="F6653" s="46">
        <f>IF(E6653="","",IF(C6653&gt;WeekEndDate,"",E6653))</f>
        <v/>
      </c>
    </row>
    <row r="6654">
      <c r="A6654" t="inlineStr">
        <is>
          <t>Issues &amp; Punch List</t>
        </is>
      </c>
      <c r="B6654" s="46">
        <f>'Issues &amp; Punch List'!S620</f>
        <v/>
      </c>
      <c r="C6654" s="84">
        <f>'Issues &amp; Punch List'!Q620</f>
        <v/>
      </c>
      <c r="D6654" s="46">
        <f>'Issues &amp; Punch List'!R620</f>
        <v/>
      </c>
      <c r="E6654" s="46">
        <f>IF(OR(B6654="",C6654="",D6654=""),"",D6654*100000+(C6654-DATE(2000,1,1))+ROW()/100000)</f>
        <v/>
      </c>
      <c r="F6654" s="46">
        <f>IF(E6654="","",IF(C6654&gt;WeekEndDate,"",E6654))</f>
        <v/>
      </c>
    </row>
    <row r="6655">
      <c r="A6655" t="inlineStr">
        <is>
          <t>Issues &amp; Punch List</t>
        </is>
      </c>
      <c r="B6655" s="46">
        <f>'Issues &amp; Punch List'!S621</f>
        <v/>
      </c>
      <c r="C6655" s="84">
        <f>'Issues &amp; Punch List'!Q621</f>
        <v/>
      </c>
      <c r="D6655" s="46">
        <f>'Issues &amp; Punch List'!R621</f>
        <v/>
      </c>
      <c r="E6655" s="46">
        <f>IF(OR(B6655="",C6655="",D6655=""),"",D6655*100000+(C6655-DATE(2000,1,1))+ROW()/100000)</f>
        <v/>
      </c>
      <c r="F6655" s="46">
        <f>IF(E6655="","",IF(C6655&gt;WeekEndDate,"",E6655))</f>
        <v/>
      </c>
    </row>
    <row r="6656">
      <c r="A6656" t="inlineStr">
        <is>
          <t>Issues &amp; Punch List</t>
        </is>
      </c>
      <c r="B6656" s="46">
        <f>'Issues &amp; Punch List'!S622</f>
        <v/>
      </c>
      <c r="C6656" s="84">
        <f>'Issues &amp; Punch List'!Q622</f>
        <v/>
      </c>
      <c r="D6656" s="46">
        <f>'Issues &amp; Punch List'!R622</f>
        <v/>
      </c>
      <c r="E6656" s="46">
        <f>IF(OR(B6656="",C6656="",D6656=""),"",D6656*100000+(C6656-DATE(2000,1,1))+ROW()/100000)</f>
        <v/>
      </c>
      <c r="F6656" s="46">
        <f>IF(E6656="","",IF(C6656&gt;WeekEndDate,"",E6656))</f>
        <v/>
      </c>
    </row>
    <row r="6657">
      <c r="A6657" t="inlineStr">
        <is>
          <t>Issues &amp; Punch List</t>
        </is>
      </c>
      <c r="B6657" s="46">
        <f>'Issues &amp; Punch List'!S623</f>
        <v/>
      </c>
      <c r="C6657" s="84">
        <f>'Issues &amp; Punch List'!Q623</f>
        <v/>
      </c>
      <c r="D6657" s="46">
        <f>'Issues &amp; Punch List'!R623</f>
        <v/>
      </c>
      <c r="E6657" s="46">
        <f>IF(OR(B6657="",C6657="",D6657=""),"",D6657*100000+(C6657-DATE(2000,1,1))+ROW()/100000)</f>
        <v/>
      </c>
      <c r="F6657" s="46">
        <f>IF(E6657="","",IF(C6657&gt;WeekEndDate,"",E6657))</f>
        <v/>
      </c>
    </row>
    <row r="6658">
      <c r="A6658" t="inlineStr">
        <is>
          <t>Issues &amp; Punch List</t>
        </is>
      </c>
      <c r="B6658" s="46">
        <f>'Issues &amp; Punch List'!S624</f>
        <v/>
      </c>
      <c r="C6658" s="84">
        <f>'Issues &amp; Punch List'!Q624</f>
        <v/>
      </c>
      <c r="D6658" s="46">
        <f>'Issues &amp; Punch List'!R624</f>
        <v/>
      </c>
      <c r="E6658" s="46">
        <f>IF(OR(B6658="",C6658="",D6658=""),"",D6658*100000+(C6658-DATE(2000,1,1))+ROW()/100000)</f>
        <v/>
      </c>
      <c r="F6658" s="46">
        <f>IF(E6658="","",IF(C6658&gt;WeekEndDate,"",E6658))</f>
        <v/>
      </c>
    </row>
    <row r="6659">
      <c r="A6659" t="inlineStr">
        <is>
          <t>Issues &amp; Punch List</t>
        </is>
      </c>
      <c r="B6659" s="46">
        <f>'Issues &amp; Punch List'!S625</f>
        <v/>
      </c>
      <c r="C6659" s="84">
        <f>'Issues &amp; Punch List'!Q625</f>
        <v/>
      </c>
      <c r="D6659" s="46">
        <f>'Issues &amp; Punch List'!R625</f>
        <v/>
      </c>
      <c r="E6659" s="46">
        <f>IF(OR(B6659="",C6659="",D6659=""),"",D6659*100000+(C6659-DATE(2000,1,1))+ROW()/100000)</f>
        <v/>
      </c>
      <c r="F6659" s="46">
        <f>IF(E6659="","",IF(C6659&gt;WeekEndDate,"",E6659))</f>
        <v/>
      </c>
    </row>
    <row r="6660">
      <c r="A6660" t="inlineStr">
        <is>
          <t>Issues &amp; Punch List</t>
        </is>
      </c>
      <c r="B6660" s="46">
        <f>'Issues &amp; Punch List'!S626</f>
        <v/>
      </c>
      <c r="C6660" s="84">
        <f>'Issues &amp; Punch List'!Q626</f>
        <v/>
      </c>
      <c r="D6660" s="46">
        <f>'Issues &amp; Punch List'!R626</f>
        <v/>
      </c>
      <c r="E6660" s="46">
        <f>IF(OR(B6660="",C6660="",D6660=""),"",D6660*100000+(C6660-DATE(2000,1,1))+ROW()/100000)</f>
        <v/>
      </c>
      <c r="F6660" s="46">
        <f>IF(E6660="","",IF(C6660&gt;WeekEndDate,"",E6660))</f>
        <v/>
      </c>
    </row>
    <row r="6661">
      <c r="A6661" t="inlineStr">
        <is>
          <t>Issues &amp; Punch List</t>
        </is>
      </c>
      <c r="B6661" s="46">
        <f>'Issues &amp; Punch List'!S627</f>
        <v/>
      </c>
      <c r="C6661" s="84">
        <f>'Issues &amp; Punch List'!Q627</f>
        <v/>
      </c>
      <c r="D6661" s="46">
        <f>'Issues &amp; Punch List'!R627</f>
        <v/>
      </c>
      <c r="E6661" s="46">
        <f>IF(OR(B6661="",C6661="",D6661=""),"",D6661*100000+(C6661-DATE(2000,1,1))+ROW()/100000)</f>
        <v/>
      </c>
      <c r="F6661" s="46">
        <f>IF(E6661="","",IF(C6661&gt;WeekEndDate,"",E6661))</f>
        <v/>
      </c>
    </row>
    <row r="6662">
      <c r="A6662" t="inlineStr">
        <is>
          <t>Issues &amp; Punch List</t>
        </is>
      </c>
      <c r="B6662" s="46">
        <f>'Issues &amp; Punch List'!S628</f>
        <v/>
      </c>
      <c r="C6662" s="84">
        <f>'Issues &amp; Punch List'!Q628</f>
        <v/>
      </c>
      <c r="D6662" s="46">
        <f>'Issues &amp; Punch List'!R628</f>
        <v/>
      </c>
      <c r="E6662" s="46">
        <f>IF(OR(B6662="",C6662="",D6662=""),"",D6662*100000+(C6662-DATE(2000,1,1))+ROW()/100000)</f>
        <v/>
      </c>
      <c r="F6662" s="46">
        <f>IF(E6662="","",IF(C6662&gt;WeekEndDate,"",E6662))</f>
        <v/>
      </c>
    </row>
    <row r="6663">
      <c r="A6663" t="inlineStr">
        <is>
          <t>Issues &amp; Punch List</t>
        </is>
      </c>
      <c r="B6663" s="46">
        <f>'Issues &amp; Punch List'!S629</f>
        <v/>
      </c>
      <c r="C6663" s="84">
        <f>'Issues &amp; Punch List'!Q629</f>
        <v/>
      </c>
      <c r="D6663" s="46">
        <f>'Issues &amp; Punch List'!R629</f>
        <v/>
      </c>
      <c r="E6663" s="46">
        <f>IF(OR(B6663="",C6663="",D6663=""),"",D6663*100000+(C6663-DATE(2000,1,1))+ROW()/100000)</f>
        <v/>
      </c>
      <c r="F6663" s="46">
        <f>IF(E6663="","",IF(C6663&gt;WeekEndDate,"",E6663))</f>
        <v/>
      </c>
    </row>
    <row r="6664">
      <c r="A6664" t="inlineStr">
        <is>
          <t>Issues &amp; Punch List</t>
        </is>
      </c>
      <c r="B6664" s="46">
        <f>'Issues &amp; Punch List'!S630</f>
        <v/>
      </c>
      <c r="C6664" s="84">
        <f>'Issues &amp; Punch List'!Q630</f>
        <v/>
      </c>
      <c r="D6664" s="46">
        <f>'Issues &amp; Punch List'!R630</f>
        <v/>
      </c>
      <c r="E6664" s="46">
        <f>IF(OR(B6664="",C6664="",D6664=""),"",D6664*100000+(C6664-DATE(2000,1,1))+ROW()/100000)</f>
        <v/>
      </c>
      <c r="F6664" s="46">
        <f>IF(E6664="","",IF(C6664&gt;WeekEndDate,"",E6664))</f>
        <v/>
      </c>
    </row>
    <row r="6665">
      <c r="A6665" t="inlineStr">
        <is>
          <t>Issues &amp; Punch List</t>
        </is>
      </c>
      <c r="B6665" s="46">
        <f>'Issues &amp; Punch List'!S631</f>
        <v/>
      </c>
      <c r="C6665" s="84">
        <f>'Issues &amp; Punch List'!Q631</f>
        <v/>
      </c>
      <c r="D6665" s="46">
        <f>'Issues &amp; Punch List'!R631</f>
        <v/>
      </c>
      <c r="E6665" s="46">
        <f>IF(OR(B6665="",C6665="",D6665=""),"",D6665*100000+(C6665-DATE(2000,1,1))+ROW()/100000)</f>
        <v/>
      </c>
      <c r="F6665" s="46">
        <f>IF(E6665="","",IF(C6665&gt;WeekEndDate,"",E6665))</f>
        <v/>
      </c>
    </row>
    <row r="6666">
      <c r="A6666" t="inlineStr">
        <is>
          <t>Issues &amp; Punch List</t>
        </is>
      </c>
      <c r="B6666" s="46">
        <f>'Issues &amp; Punch List'!S632</f>
        <v/>
      </c>
      <c r="C6666" s="84">
        <f>'Issues &amp; Punch List'!Q632</f>
        <v/>
      </c>
      <c r="D6666" s="46">
        <f>'Issues &amp; Punch List'!R632</f>
        <v/>
      </c>
      <c r="E6666" s="46">
        <f>IF(OR(B6666="",C6666="",D6666=""),"",D6666*100000+(C6666-DATE(2000,1,1))+ROW()/100000)</f>
        <v/>
      </c>
      <c r="F6666" s="46">
        <f>IF(E6666="","",IF(C6666&gt;WeekEndDate,"",E6666))</f>
        <v/>
      </c>
    </row>
    <row r="6667">
      <c r="A6667" t="inlineStr">
        <is>
          <t>Issues &amp; Punch List</t>
        </is>
      </c>
      <c r="B6667" s="46">
        <f>'Issues &amp; Punch List'!S633</f>
        <v/>
      </c>
      <c r="C6667" s="84">
        <f>'Issues &amp; Punch List'!Q633</f>
        <v/>
      </c>
      <c r="D6667" s="46">
        <f>'Issues &amp; Punch List'!R633</f>
        <v/>
      </c>
      <c r="E6667" s="46">
        <f>IF(OR(B6667="",C6667="",D6667=""),"",D6667*100000+(C6667-DATE(2000,1,1))+ROW()/100000)</f>
        <v/>
      </c>
      <c r="F6667" s="46">
        <f>IF(E6667="","",IF(C6667&gt;WeekEndDate,"",E6667))</f>
        <v/>
      </c>
    </row>
    <row r="6668">
      <c r="A6668" t="inlineStr">
        <is>
          <t>Issues &amp; Punch List</t>
        </is>
      </c>
      <c r="B6668" s="46">
        <f>'Issues &amp; Punch List'!S634</f>
        <v/>
      </c>
      <c r="C6668" s="84">
        <f>'Issues &amp; Punch List'!Q634</f>
        <v/>
      </c>
      <c r="D6668" s="46">
        <f>'Issues &amp; Punch List'!R634</f>
        <v/>
      </c>
      <c r="E6668" s="46">
        <f>IF(OR(B6668="",C6668="",D6668=""),"",D6668*100000+(C6668-DATE(2000,1,1))+ROW()/100000)</f>
        <v/>
      </c>
      <c r="F6668" s="46">
        <f>IF(E6668="","",IF(C6668&gt;WeekEndDate,"",E6668))</f>
        <v/>
      </c>
    </row>
    <row r="6669">
      <c r="A6669" t="inlineStr">
        <is>
          <t>Issues &amp; Punch List</t>
        </is>
      </c>
      <c r="B6669" s="46">
        <f>'Issues &amp; Punch List'!S635</f>
        <v/>
      </c>
      <c r="C6669" s="84">
        <f>'Issues &amp; Punch List'!Q635</f>
        <v/>
      </c>
      <c r="D6669" s="46">
        <f>'Issues &amp; Punch List'!R635</f>
        <v/>
      </c>
      <c r="E6669" s="46">
        <f>IF(OR(B6669="",C6669="",D6669=""),"",D6669*100000+(C6669-DATE(2000,1,1))+ROW()/100000)</f>
        <v/>
      </c>
      <c r="F6669" s="46">
        <f>IF(E6669="","",IF(C6669&gt;WeekEndDate,"",E6669))</f>
        <v/>
      </c>
    </row>
    <row r="6670">
      <c r="A6670" t="inlineStr">
        <is>
          <t>Issues &amp; Punch List</t>
        </is>
      </c>
      <c r="B6670" s="46">
        <f>'Issues &amp; Punch List'!S636</f>
        <v/>
      </c>
      <c r="C6670" s="84">
        <f>'Issues &amp; Punch List'!Q636</f>
        <v/>
      </c>
      <c r="D6670" s="46">
        <f>'Issues &amp; Punch List'!R636</f>
        <v/>
      </c>
      <c r="E6670" s="46">
        <f>IF(OR(B6670="",C6670="",D6670=""),"",D6670*100000+(C6670-DATE(2000,1,1))+ROW()/100000)</f>
        <v/>
      </c>
      <c r="F6670" s="46">
        <f>IF(E6670="","",IF(C6670&gt;WeekEndDate,"",E6670))</f>
        <v/>
      </c>
    </row>
    <row r="6671">
      <c r="A6671" t="inlineStr">
        <is>
          <t>Issues &amp; Punch List</t>
        </is>
      </c>
      <c r="B6671" s="46">
        <f>'Issues &amp; Punch List'!S637</f>
        <v/>
      </c>
      <c r="C6671" s="84">
        <f>'Issues &amp; Punch List'!Q637</f>
        <v/>
      </c>
      <c r="D6671" s="46">
        <f>'Issues &amp; Punch List'!R637</f>
        <v/>
      </c>
      <c r="E6671" s="46">
        <f>IF(OR(B6671="",C6671="",D6671=""),"",D6671*100000+(C6671-DATE(2000,1,1))+ROW()/100000)</f>
        <v/>
      </c>
      <c r="F6671" s="46">
        <f>IF(E6671="","",IF(C6671&gt;WeekEndDate,"",E6671))</f>
        <v/>
      </c>
    </row>
    <row r="6672">
      <c r="A6672" t="inlineStr">
        <is>
          <t>Issues &amp; Punch List</t>
        </is>
      </c>
      <c r="B6672" s="46">
        <f>'Issues &amp; Punch List'!S638</f>
        <v/>
      </c>
      <c r="C6672" s="84">
        <f>'Issues &amp; Punch List'!Q638</f>
        <v/>
      </c>
      <c r="D6672" s="46">
        <f>'Issues &amp; Punch List'!R638</f>
        <v/>
      </c>
      <c r="E6672" s="46">
        <f>IF(OR(B6672="",C6672="",D6672=""),"",D6672*100000+(C6672-DATE(2000,1,1))+ROW()/100000)</f>
        <v/>
      </c>
      <c r="F6672" s="46">
        <f>IF(E6672="","",IF(C6672&gt;WeekEndDate,"",E6672))</f>
        <v/>
      </c>
    </row>
    <row r="6673">
      <c r="A6673" t="inlineStr">
        <is>
          <t>Issues &amp; Punch List</t>
        </is>
      </c>
      <c r="B6673" s="46">
        <f>'Issues &amp; Punch List'!S639</f>
        <v/>
      </c>
      <c r="C6673" s="84">
        <f>'Issues &amp; Punch List'!Q639</f>
        <v/>
      </c>
      <c r="D6673" s="46">
        <f>'Issues &amp; Punch List'!R639</f>
        <v/>
      </c>
      <c r="E6673" s="46">
        <f>IF(OR(B6673="",C6673="",D6673=""),"",D6673*100000+(C6673-DATE(2000,1,1))+ROW()/100000)</f>
        <v/>
      </c>
      <c r="F6673" s="46">
        <f>IF(E6673="","",IF(C6673&gt;WeekEndDate,"",E6673))</f>
        <v/>
      </c>
    </row>
    <row r="6674">
      <c r="A6674" t="inlineStr">
        <is>
          <t>Issues &amp; Punch List</t>
        </is>
      </c>
      <c r="B6674" s="46">
        <f>'Issues &amp; Punch List'!S640</f>
        <v/>
      </c>
      <c r="C6674" s="84">
        <f>'Issues &amp; Punch List'!Q640</f>
        <v/>
      </c>
      <c r="D6674" s="46">
        <f>'Issues &amp; Punch List'!R640</f>
        <v/>
      </c>
      <c r="E6674" s="46">
        <f>IF(OR(B6674="",C6674="",D6674=""),"",D6674*100000+(C6674-DATE(2000,1,1))+ROW()/100000)</f>
        <v/>
      </c>
      <c r="F6674" s="46">
        <f>IF(E6674="","",IF(C6674&gt;WeekEndDate,"",E6674))</f>
        <v/>
      </c>
    </row>
    <row r="6675">
      <c r="A6675" t="inlineStr">
        <is>
          <t>Issues &amp; Punch List</t>
        </is>
      </c>
      <c r="B6675" s="46">
        <f>'Issues &amp; Punch List'!S641</f>
        <v/>
      </c>
      <c r="C6675" s="84">
        <f>'Issues &amp; Punch List'!Q641</f>
        <v/>
      </c>
      <c r="D6675" s="46">
        <f>'Issues &amp; Punch List'!R641</f>
        <v/>
      </c>
      <c r="E6675" s="46">
        <f>IF(OR(B6675="",C6675="",D6675=""),"",D6675*100000+(C6675-DATE(2000,1,1))+ROW()/100000)</f>
        <v/>
      </c>
      <c r="F6675" s="46">
        <f>IF(E6675="","",IF(C6675&gt;WeekEndDate,"",E6675))</f>
        <v/>
      </c>
    </row>
    <row r="6676">
      <c r="A6676" t="inlineStr">
        <is>
          <t>Issues &amp; Punch List</t>
        </is>
      </c>
      <c r="B6676" s="46">
        <f>'Issues &amp; Punch List'!S642</f>
        <v/>
      </c>
      <c r="C6676" s="84">
        <f>'Issues &amp; Punch List'!Q642</f>
        <v/>
      </c>
      <c r="D6676" s="46">
        <f>'Issues &amp; Punch List'!R642</f>
        <v/>
      </c>
      <c r="E6676" s="46">
        <f>IF(OR(B6676="",C6676="",D6676=""),"",D6676*100000+(C6676-DATE(2000,1,1))+ROW()/100000)</f>
        <v/>
      </c>
      <c r="F6676" s="46">
        <f>IF(E6676="","",IF(C6676&gt;WeekEndDate,"",E6676))</f>
        <v/>
      </c>
    </row>
    <row r="6677">
      <c r="A6677" t="inlineStr">
        <is>
          <t>Issues &amp; Punch List</t>
        </is>
      </c>
      <c r="B6677" s="46">
        <f>'Issues &amp; Punch List'!S643</f>
        <v/>
      </c>
      <c r="C6677" s="84">
        <f>'Issues &amp; Punch List'!Q643</f>
        <v/>
      </c>
      <c r="D6677" s="46">
        <f>'Issues &amp; Punch List'!R643</f>
        <v/>
      </c>
      <c r="E6677" s="46">
        <f>IF(OR(B6677="",C6677="",D6677=""),"",D6677*100000+(C6677-DATE(2000,1,1))+ROW()/100000)</f>
        <v/>
      </c>
      <c r="F6677" s="46">
        <f>IF(E6677="","",IF(C6677&gt;WeekEndDate,"",E6677))</f>
        <v/>
      </c>
    </row>
    <row r="6678">
      <c r="A6678" t="inlineStr">
        <is>
          <t>Issues &amp; Punch List</t>
        </is>
      </c>
      <c r="B6678" s="46">
        <f>'Issues &amp; Punch List'!S644</f>
        <v/>
      </c>
      <c r="C6678" s="84">
        <f>'Issues &amp; Punch List'!Q644</f>
        <v/>
      </c>
      <c r="D6678" s="46">
        <f>'Issues &amp; Punch List'!R644</f>
        <v/>
      </c>
      <c r="E6678" s="46">
        <f>IF(OR(B6678="",C6678="",D6678=""),"",D6678*100000+(C6678-DATE(2000,1,1))+ROW()/100000)</f>
        <v/>
      </c>
      <c r="F6678" s="46">
        <f>IF(E6678="","",IF(C6678&gt;WeekEndDate,"",E6678))</f>
        <v/>
      </c>
    </row>
    <row r="6679">
      <c r="A6679" t="inlineStr">
        <is>
          <t>Issues &amp; Punch List</t>
        </is>
      </c>
      <c r="B6679" s="46">
        <f>'Issues &amp; Punch List'!S645</f>
        <v/>
      </c>
      <c r="C6679" s="84">
        <f>'Issues &amp; Punch List'!Q645</f>
        <v/>
      </c>
      <c r="D6679" s="46">
        <f>'Issues &amp; Punch List'!R645</f>
        <v/>
      </c>
      <c r="E6679" s="46">
        <f>IF(OR(B6679="",C6679="",D6679=""),"",D6679*100000+(C6679-DATE(2000,1,1))+ROW()/100000)</f>
        <v/>
      </c>
      <c r="F6679" s="46">
        <f>IF(E6679="","",IF(C6679&gt;WeekEndDate,"",E6679))</f>
        <v/>
      </c>
    </row>
    <row r="6680">
      <c r="A6680" t="inlineStr">
        <is>
          <t>Issues &amp; Punch List</t>
        </is>
      </c>
      <c r="B6680" s="46">
        <f>'Issues &amp; Punch List'!S646</f>
        <v/>
      </c>
      <c r="C6680" s="84">
        <f>'Issues &amp; Punch List'!Q646</f>
        <v/>
      </c>
      <c r="D6680" s="46">
        <f>'Issues &amp; Punch List'!R646</f>
        <v/>
      </c>
      <c r="E6680" s="46">
        <f>IF(OR(B6680="",C6680="",D6680=""),"",D6680*100000+(C6680-DATE(2000,1,1))+ROW()/100000)</f>
        <v/>
      </c>
      <c r="F6680" s="46">
        <f>IF(E6680="","",IF(C6680&gt;WeekEndDate,"",E6680))</f>
        <v/>
      </c>
    </row>
    <row r="6681">
      <c r="A6681" t="inlineStr">
        <is>
          <t>Issues &amp; Punch List</t>
        </is>
      </c>
      <c r="B6681" s="46">
        <f>'Issues &amp; Punch List'!S647</f>
        <v/>
      </c>
      <c r="C6681" s="84">
        <f>'Issues &amp; Punch List'!Q647</f>
        <v/>
      </c>
      <c r="D6681" s="46">
        <f>'Issues &amp; Punch List'!R647</f>
        <v/>
      </c>
      <c r="E6681" s="46">
        <f>IF(OR(B6681="",C6681="",D6681=""),"",D6681*100000+(C6681-DATE(2000,1,1))+ROW()/100000)</f>
        <v/>
      </c>
      <c r="F6681" s="46">
        <f>IF(E6681="","",IF(C6681&gt;WeekEndDate,"",E6681))</f>
        <v/>
      </c>
    </row>
    <row r="6682">
      <c r="A6682" t="inlineStr">
        <is>
          <t>Issues &amp; Punch List</t>
        </is>
      </c>
      <c r="B6682" s="46">
        <f>'Issues &amp; Punch List'!S648</f>
        <v/>
      </c>
      <c r="C6682" s="84">
        <f>'Issues &amp; Punch List'!Q648</f>
        <v/>
      </c>
      <c r="D6682" s="46">
        <f>'Issues &amp; Punch List'!R648</f>
        <v/>
      </c>
      <c r="E6682" s="46">
        <f>IF(OR(B6682="",C6682="",D6682=""),"",D6682*100000+(C6682-DATE(2000,1,1))+ROW()/100000)</f>
        <v/>
      </c>
      <c r="F6682" s="46">
        <f>IF(E6682="","",IF(C6682&gt;WeekEndDate,"",E6682))</f>
        <v/>
      </c>
    </row>
    <row r="6683">
      <c r="A6683" t="inlineStr">
        <is>
          <t>Issues &amp; Punch List</t>
        </is>
      </c>
      <c r="B6683" s="46">
        <f>'Issues &amp; Punch List'!S649</f>
        <v/>
      </c>
      <c r="C6683" s="84">
        <f>'Issues &amp; Punch List'!Q649</f>
        <v/>
      </c>
      <c r="D6683" s="46">
        <f>'Issues &amp; Punch List'!R649</f>
        <v/>
      </c>
      <c r="E6683" s="46">
        <f>IF(OR(B6683="",C6683="",D6683=""),"",D6683*100000+(C6683-DATE(2000,1,1))+ROW()/100000)</f>
        <v/>
      </c>
      <c r="F6683" s="46">
        <f>IF(E6683="","",IF(C6683&gt;WeekEndDate,"",E6683))</f>
        <v/>
      </c>
    </row>
    <row r="6684">
      <c r="A6684" t="inlineStr">
        <is>
          <t>Issues &amp; Punch List</t>
        </is>
      </c>
      <c r="B6684" s="46">
        <f>'Issues &amp; Punch List'!S650</f>
        <v/>
      </c>
      <c r="C6684" s="84">
        <f>'Issues &amp; Punch List'!Q650</f>
        <v/>
      </c>
      <c r="D6684" s="46">
        <f>'Issues &amp; Punch List'!R650</f>
        <v/>
      </c>
      <c r="E6684" s="46">
        <f>IF(OR(B6684="",C6684="",D6684=""),"",D6684*100000+(C6684-DATE(2000,1,1))+ROW()/100000)</f>
        <v/>
      </c>
      <c r="F6684" s="46">
        <f>IF(E6684="","",IF(C6684&gt;WeekEndDate,"",E6684))</f>
        <v/>
      </c>
    </row>
    <row r="6685">
      <c r="A6685" t="inlineStr">
        <is>
          <t>Issues &amp; Punch List</t>
        </is>
      </c>
      <c r="B6685" s="46">
        <f>'Issues &amp; Punch List'!S651</f>
        <v/>
      </c>
      <c r="C6685" s="84">
        <f>'Issues &amp; Punch List'!Q651</f>
        <v/>
      </c>
      <c r="D6685" s="46">
        <f>'Issues &amp; Punch List'!R651</f>
        <v/>
      </c>
      <c r="E6685" s="46">
        <f>IF(OR(B6685="",C6685="",D6685=""),"",D6685*100000+(C6685-DATE(2000,1,1))+ROW()/100000)</f>
        <v/>
      </c>
      <c r="F6685" s="46">
        <f>IF(E6685="","",IF(C6685&gt;WeekEndDate,"",E6685))</f>
        <v/>
      </c>
    </row>
    <row r="6686">
      <c r="A6686" t="inlineStr">
        <is>
          <t>Issues &amp; Punch List</t>
        </is>
      </c>
      <c r="B6686" s="46">
        <f>'Issues &amp; Punch List'!S652</f>
        <v/>
      </c>
      <c r="C6686" s="84">
        <f>'Issues &amp; Punch List'!Q652</f>
        <v/>
      </c>
      <c r="D6686" s="46">
        <f>'Issues &amp; Punch List'!R652</f>
        <v/>
      </c>
      <c r="E6686" s="46">
        <f>IF(OR(B6686="",C6686="",D6686=""),"",D6686*100000+(C6686-DATE(2000,1,1))+ROW()/100000)</f>
        <v/>
      </c>
      <c r="F6686" s="46">
        <f>IF(E6686="","",IF(C6686&gt;WeekEndDate,"",E6686))</f>
        <v/>
      </c>
    </row>
    <row r="6687">
      <c r="A6687" t="inlineStr">
        <is>
          <t>Issues &amp; Punch List</t>
        </is>
      </c>
      <c r="B6687" s="46">
        <f>'Issues &amp; Punch List'!S653</f>
        <v/>
      </c>
      <c r="C6687" s="84">
        <f>'Issues &amp; Punch List'!Q653</f>
        <v/>
      </c>
      <c r="D6687" s="46">
        <f>'Issues &amp; Punch List'!R653</f>
        <v/>
      </c>
      <c r="E6687" s="46">
        <f>IF(OR(B6687="",C6687="",D6687=""),"",D6687*100000+(C6687-DATE(2000,1,1))+ROW()/100000)</f>
        <v/>
      </c>
      <c r="F6687" s="46">
        <f>IF(E6687="","",IF(C6687&gt;WeekEndDate,"",E6687))</f>
        <v/>
      </c>
    </row>
    <row r="6688">
      <c r="A6688" t="inlineStr">
        <is>
          <t>Issues &amp; Punch List</t>
        </is>
      </c>
      <c r="B6688" s="46">
        <f>'Issues &amp; Punch List'!S654</f>
        <v/>
      </c>
      <c r="C6688" s="84">
        <f>'Issues &amp; Punch List'!Q654</f>
        <v/>
      </c>
      <c r="D6688" s="46">
        <f>'Issues &amp; Punch List'!R654</f>
        <v/>
      </c>
      <c r="E6688" s="46">
        <f>IF(OR(B6688="",C6688="",D6688=""),"",D6688*100000+(C6688-DATE(2000,1,1))+ROW()/100000)</f>
        <v/>
      </c>
      <c r="F6688" s="46">
        <f>IF(E6688="","",IF(C6688&gt;WeekEndDate,"",E6688))</f>
        <v/>
      </c>
    </row>
    <row r="6689">
      <c r="A6689" t="inlineStr">
        <is>
          <t>Issues &amp; Punch List</t>
        </is>
      </c>
      <c r="B6689" s="46">
        <f>'Issues &amp; Punch List'!S655</f>
        <v/>
      </c>
      <c r="C6689" s="84">
        <f>'Issues &amp; Punch List'!Q655</f>
        <v/>
      </c>
      <c r="D6689" s="46">
        <f>'Issues &amp; Punch List'!R655</f>
        <v/>
      </c>
      <c r="E6689" s="46">
        <f>IF(OR(B6689="",C6689="",D6689=""),"",D6689*100000+(C6689-DATE(2000,1,1))+ROW()/100000)</f>
        <v/>
      </c>
      <c r="F6689" s="46">
        <f>IF(E6689="","",IF(C6689&gt;WeekEndDate,"",E6689))</f>
        <v/>
      </c>
    </row>
    <row r="6690">
      <c r="A6690" t="inlineStr">
        <is>
          <t>Issues &amp; Punch List</t>
        </is>
      </c>
      <c r="B6690" s="46">
        <f>'Issues &amp; Punch List'!S656</f>
        <v/>
      </c>
      <c r="C6690" s="84">
        <f>'Issues &amp; Punch List'!Q656</f>
        <v/>
      </c>
      <c r="D6690" s="46">
        <f>'Issues &amp; Punch List'!R656</f>
        <v/>
      </c>
      <c r="E6690" s="46">
        <f>IF(OR(B6690="",C6690="",D6690=""),"",D6690*100000+(C6690-DATE(2000,1,1))+ROW()/100000)</f>
        <v/>
      </c>
      <c r="F6690" s="46">
        <f>IF(E6690="","",IF(C6690&gt;WeekEndDate,"",E6690))</f>
        <v/>
      </c>
    </row>
    <row r="6691">
      <c r="A6691" t="inlineStr">
        <is>
          <t>Issues &amp; Punch List</t>
        </is>
      </c>
      <c r="B6691" s="46">
        <f>'Issues &amp; Punch List'!S657</f>
        <v/>
      </c>
      <c r="C6691" s="84">
        <f>'Issues &amp; Punch List'!Q657</f>
        <v/>
      </c>
      <c r="D6691" s="46">
        <f>'Issues &amp; Punch List'!R657</f>
        <v/>
      </c>
      <c r="E6691" s="46">
        <f>IF(OR(B6691="",C6691="",D6691=""),"",D6691*100000+(C6691-DATE(2000,1,1))+ROW()/100000)</f>
        <v/>
      </c>
      <c r="F6691" s="46">
        <f>IF(E6691="","",IF(C6691&gt;WeekEndDate,"",E6691))</f>
        <v/>
      </c>
    </row>
    <row r="6692">
      <c r="A6692" t="inlineStr">
        <is>
          <t>Issues &amp; Punch List</t>
        </is>
      </c>
      <c r="B6692" s="46">
        <f>'Issues &amp; Punch List'!S658</f>
        <v/>
      </c>
      <c r="C6692" s="84">
        <f>'Issues &amp; Punch List'!Q658</f>
        <v/>
      </c>
      <c r="D6692" s="46">
        <f>'Issues &amp; Punch List'!R658</f>
        <v/>
      </c>
      <c r="E6692" s="46">
        <f>IF(OR(B6692="",C6692="",D6692=""),"",D6692*100000+(C6692-DATE(2000,1,1))+ROW()/100000)</f>
        <v/>
      </c>
      <c r="F6692" s="46">
        <f>IF(E6692="","",IF(C6692&gt;WeekEndDate,"",E6692))</f>
        <v/>
      </c>
    </row>
    <row r="6693">
      <c r="A6693" t="inlineStr">
        <is>
          <t>Issues &amp; Punch List</t>
        </is>
      </c>
      <c r="B6693" s="46">
        <f>'Issues &amp; Punch List'!S659</f>
        <v/>
      </c>
      <c r="C6693" s="84">
        <f>'Issues &amp; Punch List'!Q659</f>
        <v/>
      </c>
      <c r="D6693" s="46">
        <f>'Issues &amp; Punch List'!R659</f>
        <v/>
      </c>
      <c r="E6693" s="46">
        <f>IF(OR(B6693="",C6693="",D6693=""),"",D6693*100000+(C6693-DATE(2000,1,1))+ROW()/100000)</f>
        <v/>
      </c>
      <c r="F6693" s="46">
        <f>IF(E6693="","",IF(C6693&gt;WeekEndDate,"",E6693))</f>
        <v/>
      </c>
    </row>
    <row r="6694">
      <c r="A6694" t="inlineStr">
        <is>
          <t>Issues &amp; Punch List</t>
        </is>
      </c>
      <c r="B6694" s="46">
        <f>'Issues &amp; Punch List'!S660</f>
        <v/>
      </c>
      <c r="C6694" s="84">
        <f>'Issues &amp; Punch List'!Q660</f>
        <v/>
      </c>
      <c r="D6694" s="46">
        <f>'Issues &amp; Punch List'!R660</f>
        <v/>
      </c>
      <c r="E6694" s="46">
        <f>IF(OR(B6694="",C6694="",D6694=""),"",D6694*100000+(C6694-DATE(2000,1,1))+ROW()/100000)</f>
        <v/>
      </c>
      <c r="F6694" s="46">
        <f>IF(E6694="","",IF(C6694&gt;WeekEndDate,"",E6694))</f>
        <v/>
      </c>
    </row>
    <row r="6695">
      <c r="A6695" t="inlineStr">
        <is>
          <t>Issues &amp; Punch List</t>
        </is>
      </c>
      <c r="B6695" s="46">
        <f>'Issues &amp; Punch List'!S661</f>
        <v/>
      </c>
      <c r="C6695" s="84">
        <f>'Issues &amp; Punch List'!Q661</f>
        <v/>
      </c>
      <c r="D6695" s="46">
        <f>'Issues &amp; Punch List'!R661</f>
        <v/>
      </c>
      <c r="E6695" s="46">
        <f>IF(OR(B6695="",C6695="",D6695=""),"",D6695*100000+(C6695-DATE(2000,1,1))+ROW()/100000)</f>
        <v/>
      </c>
      <c r="F6695" s="46">
        <f>IF(E6695="","",IF(C6695&gt;WeekEndDate,"",E6695))</f>
        <v/>
      </c>
    </row>
    <row r="6696">
      <c r="A6696" t="inlineStr">
        <is>
          <t>Issues &amp; Punch List</t>
        </is>
      </c>
      <c r="B6696" s="46">
        <f>'Issues &amp; Punch List'!S662</f>
        <v/>
      </c>
      <c r="C6696" s="84">
        <f>'Issues &amp; Punch List'!Q662</f>
        <v/>
      </c>
      <c r="D6696" s="46">
        <f>'Issues &amp; Punch List'!R662</f>
        <v/>
      </c>
      <c r="E6696" s="46">
        <f>IF(OR(B6696="",C6696="",D6696=""),"",D6696*100000+(C6696-DATE(2000,1,1))+ROW()/100000)</f>
        <v/>
      </c>
      <c r="F6696" s="46">
        <f>IF(E6696="","",IF(C6696&gt;WeekEndDate,"",E6696))</f>
        <v/>
      </c>
    </row>
    <row r="6697">
      <c r="A6697" t="inlineStr">
        <is>
          <t>Issues &amp; Punch List</t>
        </is>
      </c>
      <c r="B6697" s="46">
        <f>'Issues &amp; Punch List'!S663</f>
        <v/>
      </c>
      <c r="C6697" s="84">
        <f>'Issues &amp; Punch List'!Q663</f>
        <v/>
      </c>
      <c r="D6697" s="46">
        <f>'Issues &amp; Punch List'!R663</f>
        <v/>
      </c>
      <c r="E6697" s="46">
        <f>IF(OR(B6697="",C6697="",D6697=""),"",D6697*100000+(C6697-DATE(2000,1,1))+ROW()/100000)</f>
        <v/>
      </c>
      <c r="F6697" s="46">
        <f>IF(E6697="","",IF(C6697&gt;WeekEndDate,"",E6697))</f>
        <v/>
      </c>
    </row>
    <row r="6698">
      <c r="A6698" t="inlineStr">
        <is>
          <t>Issues &amp; Punch List</t>
        </is>
      </c>
      <c r="B6698" s="46">
        <f>'Issues &amp; Punch List'!S664</f>
        <v/>
      </c>
      <c r="C6698" s="84">
        <f>'Issues &amp; Punch List'!Q664</f>
        <v/>
      </c>
      <c r="D6698" s="46">
        <f>'Issues &amp; Punch List'!R664</f>
        <v/>
      </c>
      <c r="E6698" s="46">
        <f>IF(OR(B6698="",C6698="",D6698=""),"",D6698*100000+(C6698-DATE(2000,1,1))+ROW()/100000)</f>
        <v/>
      </c>
      <c r="F6698" s="46">
        <f>IF(E6698="","",IF(C6698&gt;WeekEndDate,"",E6698))</f>
        <v/>
      </c>
    </row>
    <row r="6699">
      <c r="A6699" t="inlineStr">
        <is>
          <t>Issues &amp; Punch List</t>
        </is>
      </c>
      <c r="B6699" s="46">
        <f>'Issues &amp; Punch List'!S665</f>
        <v/>
      </c>
      <c r="C6699" s="84">
        <f>'Issues &amp; Punch List'!Q665</f>
        <v/>
      </c>
      <c r="D6699" s="46">
        <f>'Issues &amp; Punch List'!R665</f>
        <v/>
      </c>
      <c r="E6699" s="46">
        <f>IF(OR(B6699="",C6699="",D6699=""),"",D6699*100000+(C6699-DATE(2000,1,1))+ROW()/100000)</f>
        <v/>
      </c>
      <c r="F6699" s="46">
        <f>IF(E6699="","",IF(C6699&gt;WeekEndDate,"",E6699))</f>
        <v/>
      </c>
    </row>
    <row r="6700">
      <c r="A6700" t="inlineStr">
        <is>
          <t>Issues &amp; Punch List</t>
        </is>
      </c>
      <c r="B6700" s="46">
        <f>'Issues &amp; Punch List'!S666</f>
        <v/>
      </c>
      <c r="C6700" s="84">
        <f>'Issues &amp; Punch List'!Q666</f>
        <v/>
      </c>
      <c r="D6700" s="46">
        <f>'Issues &amp; Punch List'!R666</f>
        <v/>
      </c>
      <c r="E6700" s="46">
        <f>IF(OR(B6700="",C6700="",D6700=""),"",D6700*100000+(C6700-DATE(2000,1,1))+ROW()/100000)</f>
        <v/>
      </c>
      <c r="F6700" s="46">
        <f>IF(E6700="","",IF(C6700&gt;WeekEndDate,"",E6700))</f>
        <v/>
      </c>
    </row>
    <row r="6701">
      <c r="A6701" t="inlineStr">
        <is>
          <t>Issues &amp; Punch List</t>
        </is>
      </c>
      <c r="B6701" s="46">
        <f>'Issues &amp; Punch List'!S667</f>
        <v/>
      </c>
      <c r="C6701" s="84">
        <f>'Issues &amp; Punch List'!Q667</f>
        <v/>
      </c>
      <c r="D6701" s="46">
        <f>'Issues &amp; Punch List'!R667</f>
        <v/>
      </c>
      <c r="E6701" s="46">
        <f>IF(OR(B6701="",C6701="",D6701=""),"",D6701*100000+(C6701-DATE(2000,1,1))+ROW()/100000)</f>
        <v/>
      </c>
      <c r="F6701" s="46">
        <f>IF(E6701="","",IF(C6701&gt;WeekEndDate,"",E6701))</f>
        <v/>
      </c>
    </row>
    <row r="6702">
      <c r="A6702" t="inlineStr">
        <is>
          <t>Issues &amp; Punch List</t>
        </is>
      </c>
      <c r="B6702" s="46">
        <f>'Issues &amp; Punch List'!S668</f>
        <v/>
      </c>
      <c r="C6702" s="84">
        <f>'Issues &amp; Punch List'!Q668</f>
        <v/>
      </c>
      <c r="D6702" s="46">
        <f>'Issues &amp; Punch List'!R668</f>
        <v/>
      </c>
      <c r="E6702" s="46">
        <f>IF(OR(B6702="",C6702="",D6702=""),"",D6702*100000+(C6702-DATE(2000,1,1))+ROW()/100000)</f>
        <v/>
      </c>
      <c r="F6702" s="46">
        <f>IF(E6702="","",IF(C6702&gt;WeekEndDate,"",E6702))</f>
        <v/>
      </c>
    </row>
    <row r="6703">
      <c r="A6703" t="inlineStr">
        <is>
          <t>Issues &amp; Punch List</t>
        </is>
      </c>
      <c r="B6703" s="46">
        <f>'Issues &amp; Punch List'!S669</f>
        <v/>
      </c>
      <c r="C6703" s="84">
        <f>'Issues &amp; Punch List'!Q669</f>
        <v/>
      </c>
      <c r="D6703" s="46">
        <f>'Issues &amp; Punch List'!R669</f>
        <v/>
      </c>
      <c r="E6703" s="46">
        <f>IF(OR(B6703="",C6703="",D6703=""),"",D6703*100000+(C6703-DATE(2000,1,1))+ROW()/100000)</f>
        <v/>
      </c>
      <c r="F6703" s="46">
        <f>IF(E6703="","",IF(C6703&gt;WeekEndDate,"",E6703))</f>
        <v/>
      </c>
    </row>
    <row r="6704">
      <c r="A6704" t="inlineStr">
        <is>
          <t>Issues &amp; Punch List</t>
        </is>
      </c>
      <c r="B6704" s="46">
        <f>'Issues &amp; Punch List'!S670</f>
        <v/>
      </c>
      <c r="C6704" s="84">
        <f>'Issues &amp; Punch List'!Q670</f>
        <v/>
      </c>
      <c r="D6704" s="46">
        <f>'Issues &amp; Punch List'!R670</f>
        <v/>
      </c>
      <c r="E6704" s="46">
        <f>IF(OR(B6704="",C6704="",D6704=""),"",D6704*100000+(C6704-DATE(2000,1,1))+ROW()/100000)</f>
        <v/>
      </c>
      <c r="F6704" s="46">
        <f>IF(E6704="","",IF(C6704&gt;WeekEndDate,"",E6704))</f>
        <v/>
      </c>
    </row>
    <row r="6705">
      <c r="A6705" t="inlineStr">
        <is>
          <t>Issues &amp; Punch List</t>
        </is>
      </c>
      <c r="B6705" s="46">
        <f>'Issues &amp; Punch List'!S671</f>
        <v/>
      </c>
      <c r="C6705" s="84">
        <f>'Issues &amp; Punch List'!Q671</f>
        <v/>
      </c>
      <c r="D6705" s="46">
        <f>'Issues &amp; Punch List'!R671</f>
        <v/>
      </c>
      <c r="E6705" s="46">
        <f>IF(OR(B6705="",C6705="",D6705=""),"",D6705*100000+(C6705-DATE(2000,1,1))+ROW()/100000)</f>
        <v/>
      </c>
      <c r="F6705" s="46">
        <f>IF(E6705="","",IF(C6705&gt;WeekEndDate,"",E6705))</f>
        <v/>
      </c>
    </row>
    <row r="6706">
      <c r="A6706" t="inlineStr">
        <is>
          <t>Issues &amp; Punch List</t>
        </is>
      </c>
      <c r="B6706" s="46">
        <f>'Issues &amp; Punch List'!S672</f>
        <v/>
      </c>
      <c r="C6706" s="84">
        <f>'Issues &amp; Punch List'!Q672</f>
        <v/>
      </c>
      <c r="D6706" s="46">
        <f>'Issues &amp; Punch List'!R672</f>
        <v/>
      </c>
      <c r="E6706" s="46">
        <f>IF(OR(B6706="",C6706="",D6706=""),"",D6706*100000+(C6706-DATE(2000,1,1))+ROW()/100000)</f>
        <v/>
      </c>
      <c r="F6706" s="46">
        <f>IF(E6706="","",IF(C6706&gt;WeekEndDate,"",E6706))</f>
        <v/>
      </c>
    </row>
    <row r="6707">
      <c r="A6707" t="inlineStr">
        <is>
          <t>Issues &amp; Punch List</t>
        </is>
      </c>
      <c r="B6707" s="46">
        <f>'Issues &amp; Punch List'!S673</f>
        <v/>
      </c>
      <c r="C6707" s="84">
        <f>'Issues &amp; Punch List'!Q673</f>
        <v/>
      </c>
      <c r="D6707" s="46">
        <f>'Issues &amp; Punch List'!R673</f>
        <v/>
      </c>
      <c r="E6707" s="46">
        <f>IF(OR(B6707="",C6707="",D6707=""),"",D6707*100000+(C6707-DATE(2000,1,1))+ROW()/100000)</f>
        <v/>
      </c>
      <c r="F6707" s="46">
        <f>IF(E6707="","",IF(C6707&gt;WeekEndDate,"",E6707))</f>
        <v/>
      </c>
    </row>
    <row r="6708">
      <c r="A6708" t="inlineStr">
        <is>
          <t>Issues &amp; Punch List</t>
        </is>
      </c>
      <c r="B6708" s="46">
        <f>'Issues &amp; Punch List'!S674</f>
        <v/>
      </c>
      <c r="C6708" s="84">
        <f>'Issues &amp; Punch List'!Q674</f>
        <v/>
      </c>
      <c r="D6708" s="46">
        <f>'Issues &amp; Punch List'!R674</f>
        <v/>
      </c>
      <c r="E6708" s="46">
        <f>IF(OR(B6708="",C6708="",D6708=""),"",D6708*100000+(C6708-DATE(2000,1,1))+ROW()/100000)</f>
        <v/>
      </c>
      <c r="F6708" s="46">
        <f>IF(E6708="","",IF(C6708&gt;WeekEndDate,"",E6708))</f>
        <v/>
      </c>
    </row>
    <row r="6709">
      <c r="A6709" t="inlineStr">
        <is>
          <t>Issues &amp; Punch List</t>
        </is>
      </c>
      <c r="B6709" s="46">
        <f>'Issues &amp; Punch List'!S675</f>
        <v/>
      </c>
      <c r="C6709" s="84">
        <f>'Issues &amp; Punch List'!Q675</f>
        <v/>
      </c>
      <c r="D6709" s="46">
        <f>'Issues &amp; Punch List'!R675</f>
        <v/>
      </c>
      <c r="E6709" s="46">
        <f>IF(OR(B6709="",C6709="",D6709=""),"",D6709*100000+(C6709-DATE(2000,1,1))+ROW()/100000)</f>
        <v/>
      </c>
      <c r="F6709" s="46">
        <f>IF(E6709="","",IF(C6709&gt;WeekEndDate,"",E6709))</f>
        <v/>
      </c>
    </row>
    <row r="6710">
      <c r="A6710" t="inlineStr">
        <is>
          <t>Issues &amp; Punch List</t>
        </is>
      </c>
      <c r="B6710" s="46">
        <f>'Issues &amp; Punch List'!S676</f>
        <v/>
      </c>
      <c r="C6710" s="84">
        <f>'Issues &amp; Punch List'!Q676</f>
        <v/>
      </c>
      <c r="D6710" s="46">
        <f>'Issues &amp; Punch List'!R676</f>
        <v/>
      </c>
      <c r="E6710" s="46">
        <f>IF(OR(B6710="",C6710="",D6710=""),"",D6710*100000+(C6710-DATE(2000,1,1))+ROW()/100000)</f>
        <v/>
      </c>
      <c r="F6710" s="46">
        <f>IF(E6710="","",IF(C6710&gt;WeekEndDate,"",E6710))</f>
        <v/>
      </c>
    </row>
    <row r="6711">
      <c r="A6711" t="inlineStr">
        <is>
          <t>Issues &amp; Punch List</t>
        </is>
      </c>
      <c r="B6711" s="46">
        <f>'Issues &amp; Punch List'!S677</f>
        <v/>
      </c>
      <c r="C6711" s="84">
        <f>'Issues &amp; Punch List'!Q677</f>
        <v/>
      </c>
      <c r="D6711" s="46">
        <f>'Issues &amp; Punch List'!R677</f>
        <v/>
      </c>
      <c r="E6711" s="46">
        <f>IF(OR(B6711="",C6711="",D6711=""),"",D6711*100000+(C6711-DATE(2000,1,1))+ROW()/100000)</f>
        <v/>
      </c>
      <c r="F6711" s="46">
        <f>IF(E6711="","",IF(C6711&gt;WeekEndDate,"",E6711))</f>
        <v/>
      </c>
    </row>
    <row r="6712">
      <c r="A6712" t="inlineStr">
        <is>
          <t>Issues &amp; Punch List</t>
        </is>
      </c>
      <c r="B6712" s="46">
        <f>'Issues &amp; Punch List'!S678</f>
        <v/>
      </c>
      <c r="C6712" s="84">
        <f>'Issues &amp; Punch List'!Q678</f>
        <v/>
      </c>
      <c r="D6712" s="46">
        <f>'Issues &amp; Punch List'!R678</f>
        <v/>
      </c>
      <c r="E6712" s="46">
        <f>IF(OR(B6712="",C6712="",D6712=""),"",D6712*100000+(C6712-DATE(2000,1,1))+ROW()/100000)</f>
        <v/>
      </c>
      <c r="F6712" s="46">
        <f>IF(E6712="","",IF(C6712&gt;WeekEndDate,"",E6712))</f>
        <v/>
      </c>
    </row>
    <row r="6713">
      <c r="A6713" t="inlineStr">
        <is>
          <t>Issues &amp; Punch List</t>
        </is>
      </c>
      <c r="B6713" s="46">
        <f>'Issues &amp; Punch List'!S679</f>
        <v/>
      </c>
      <c r="C6713" s="84">
        <f>'Issues &amp; Punch List'!Q679</f>
        <v/>
      </c>
      <c r="D6713" s="46">
        <f>'Issues &amp; Punch List'!R679</f>
        <v/>
      </c>
      <c r="E6713" s="46">
        <f>IF(OR(B6713="",C6713="",D6713=""),"",D6713*100000+(C6713-DATE(2000,1,1))+ROW()/100000)</f>
        <v/>
      </c>
      <c r="F6713" s="46">
        <f>IF(E6713="","",IF(C6713&gt;WeekEndDate,"",E6713))</f>
        <v/>
      </c>
    </row>
    <row r="6714">
      <c r="A6714" t="inlineStr">
        <is>
          <t>Issues &amp; Punch List</t>
        </is>
      </c>
      <c r="B6714" s="46">
        <f>'Issues &amp; Punch List'!S680</f>
        <v/>
      </c>
      <c r="C6714" s="84">
        <f>'Issues &amp; Punch List'!Q680</f>
        <v/>
      </c>
      <c r="D6714" s="46">
        <f>'Issues &amp; Punch List'!R680</f>
        <v/>
      </c>
      <c r="E6714" s="46">
        <f>IF(OR(B6714="",C6714="",D6714=""),"",D6714*100000+(C6714-DATE(2000,1,1))+ROW()/100000)</f>
        <v/>
      </c>
      <c r="F6714" s="46">
        <f>IF(E6714="","",IF(C6714&gt;WeekEndDate,"",E6714))</f>
        <v/>
      </c>
    </row>
    <row r="6715">
      <c r="A6715" t="inlineStr">
        <is>
          <t>Issues &amp; Punch List</t>
        </is>
      </c>
      <c r="B6715" s="46">
        <f>'Issues &amp; Punch List'!S681</f>
        <v/>
      </c>
      <c r="C6715" s="84">
        <f>'Issues &amp; Punch List'!Q681</f>
        <v/>
      </c>
      <c r="D6715" s="46">
        <f>'Issues &amp; Punch List'!R681</f>
        <v/>
      </c>
      <c r="E6715" s="46">
        <f>IF(OR(B6715="",C6715="",D6715=""),"",D6715*100000+(C6715-DATE(2000,1,1))+ROW()/100000)</f>
        <v/>
      </c>
      <c r="F6715" s="46">
        <f>IF(E6715="","",IF(C6715&gt;WeekEndDate,"",E6715))</f>
        <v/>
      </c>
    </row>
    <row r="6716">
      <c r="A6716" t="inlineStr">
        <is>
          <t>Issues &amp; Punch List</t>
        </is>
      </c>
      <c r="B6716" s="46">
        <f>'Issues &amp; Punch List'!S682</f>
        <v/>
      </c>
      <c r="C6716" s="84">
        <f>'Issues &amp; Punch List'!Q682</f>
        <v/>
      </c>
      <c r="D6716" s="46">
        <f>'Issues &amp; Punch List'!R682</f>
        <v/>
      </c>
      <c r="E6716" s="46">
        <f>IF(OR(B6716="",C6716="",D6716=""),"",D6716*100000+(C6716-DATE(2000,1,1))+ROW()/100000)</f>
        <v/>
      </c>
      <c r="F6716" s="46">
        <f>IF(E6716="","",IF(C6716&gt;WeekEndDate,"",E6716))</f>
        <v/>
      </c>
    </row>
    <row r="6717">
      <c r="A6717" t="inlineStr">
        <is>
          <t>Issues &amp; Punch List</t>
        </is>
      </c>
      <c r="B6717" s="46">
        <f>'Issues &amp; Punch List'!S683</f>
        <v/>
      </c>
      <c r="C6717" s="84">
        <f>'Issues &amp; Punch List'!Q683</f>
        <v/>
      </c>
      <c r="D6717" s="46">
        <f>'Issues &amp; Punch List'!R683</f>
        <v/>
      </c>
      <c r="E6717" s="46">
        <f>IF(OR(B6717="",C6717="",D6717=""),"",D6717*100000+(C6717-DATE(2000,1,1))+ROW()/100000)</f>
        <v/>
      </c>
      <c r="F6717" s="46">
        <f>IF(E6717="","",IF(C6717&gt;WeekEndDate,"",E6717))</f>
        <v/>
      </c>
    </row>
    <row r="6718">
      <c r="A6718" t="inlineStr">
        <is>
          <t>Issues &amp; Punch List</t>
        </is>
      </c>
      <c r="B6718" s="46">
        <f>'Issues &amp; Punch List'!S684</f>
        <v/>
      </c>
      <c r="C6718" s="84">
        <f>'Issues &amp; Punch List'!Q684</f>
        <v/>
      </c>
      <c r="D6718" s="46">
        <f>'Issues &amp; Punch List'!R684</f>
        <v/>
      </c>
      <c r="E6718" s="46">
        <f>IF(OR(B6718="",C6718="",D6718=""),"",D6718*100000+(C6718-DATE(2000,1,1))+ROW()/100000)</f>
        <v/>
      </c>
      <c r="F6718" s="46">
        <f>IF(E6718="","",IF(C6718&gt;WeekEndDate,"",E6718))</f>
        <v/>
      </c>
    </row>
    <row r="6719">
      <c r="A6719" t="inlineStr">
        <is>
          <t>Issues &amp; Punch List</t>
        </is>
      </c>
      <c r="B6719" s="46">
        <f>'Issues &amp; Punch List'!S685</f>
        <v/>
      </c>
      <c r="C6719" s="84">
        <f>'Issues &amp; Punch List'!Q685</f>
        <v/>
      </c>
      <c r="D6719" s="46">
        <f>'Issues &amp; Punch List'!R685</f>
        <v/>
      </c>
      <c r="E6719" s="46">
        <f>IF(OR(B6719="",C6719="",D6719=""),"",D6719*100000+(C6719-DATE(2000,1,1))+ROW()/100000)</f>
        <v/>
      </c>
      <c r="F6719" s="46">
        <f>IF(E6719="","",IF(C6719&gt;WeekEndDate,"",E6719))</f>
        <v/>
      </c>
    </row>
    <row r="6720">
      <c r="A6720" t="inlineStr">
        <is>
          <t>Issues &amp; Punch List</t>
        </is>
      </c>
      <c r="B6720" s="46">
        <f>'Issues &amp; Punch List'!S686</f>
        <v/>
      </c>
      <c r="C6720" s="84">
        <f>'Issues &amp; Punch List'!Q686</f>
        <v/>
      </c>
      <c r="D6720" s="46">
        <f>'Issues &amp; Punch List'!R686</f>
        <v/>
      </c>
      <c r="E6720" s="46">
        <f>IF(OR(B6720="",C6720="",D6720=""),"",D6720*100000+(C6720-DATE(2000,1,1))+ROW()/100000)</f>
        <v/>
      </c>
      <c r="F6720" s="46">
        <f>IF(E6720="","",IF(C6720&gt;WeekEndDate,"",E6720))</f>
        <v/>
      </c>
    </row>
    <row r="6721">
      <c r="A6721" t="inlineStr">
        <is>
          <t>Issues &amp; Punch List</t>
        </is>
      </c>
      <c r="B6721" s="46">
        <f>'Issues &amp; Punch List'!S687</f>
        <v/>
      </c>
      <c r="C6721" s="84">
        <f>'Issues &amp; Punch List'!Q687</f>
        <v/>
      </c>
      <c r="D6721" s="46">
        <f>'Issues &amp; Punch List'!R687</f>
        <v/>
      </c>
      <c r="E6721" s="46">
        <f>IF(OR(B6721="",C6721="",D6721=""),"",D6721*100000+(C6721-DATE(2000,1,1))+ROW()/100000)</f>
        <v/>
      </c>
      <c r="F6721" s="46">
        <f>IF(E6721="","",IF(C6721&gt;WeekEndDate,"",E6721))</f>
        <v/>
      </c>
    </row>
    <row r="6722">
      <c r="A6722" t="inlineStr">
        <is>
          <t>Issues &amp; Punch List</t>
        </is>
      </c>
      <c r="B6722" s="46">
        <f>'Issues &amp; Punch List'!S688</f>
        <v/>
      </c>
      <c r="C6722" s="84">
        <f>'Issues &amp; Punch List'!Q688</f>
        <v/>
      </c>
      <c r="D6722" s="46">
        <f>'Issues &amp; Punch List'!R688</f>
        <v/>
      </c>
      <c r="E6722" s="46">
        <f>IF(OR(B6722="",C6722="",D6722=""),"",D6722*100000+(C6722-DATE(2000,1,1))+ROW()/100000)</f>
        <v/>
      </c>
      <c r="F6722" s="46">
        <f>IF(E6722="","",IF(C6722&gt;WeekEndDate,"",E6722))</f>
        <v/>
      </c>
    </row>
    <row r="6723">
      <c r="A6723" t="inlineStr">
        <is>
          <t>Issues &amp; Punch List</t>
        </is>
      </c>
      <c r="B6723" s="46">
        <f>'Issues &amp; Punch List'!S689</f>
        <v/>
      </c>
      <c r="C6723" s="84">
        <f>'Issues &amp; Punch List'!Q689</f>
        <v/>
      </c>
      <c r="D6723" s="46">
        <f>'Issues &amp; Punch List'!R689</f>
        <v/>
      </c>
      <c r="E6723" s="46">
        <f>IF(OR(B6723="",C6723="",D6723=""),"",D6723*100000+(C6723-DATE(2000,1,1))+ROW()/100000)</f>
        <v/>
      </c>
      <c r="F6723" s="46">
        <f>IF(E6723="","",IF(C6723&gt;WeekEndDate,"",E6723))</f>
        <v/>
      </c>
    </row>
    <row r="6724">
      <c r="A6724" t="inlineStr">
        <is>
          <t>Issues &amp; Punch List</t>
        </is>
      </c>
      <c r="B6724" s="46">
        <f>'Issues &amp; Punch List'!S690</f>
        <v/>
      </c>
      <c r="C6724" s="84">
        <f>'Issues &amp; Punch List'!Q690</f>
        <v/>
      </c>
      <c r="D6724" s="46">
        <f>'Issues &amp; Punch List'!R690</f>
        <v/>
      </c>
      <c r="E6724" s="46">
        <f>IF(OR(B6724="",C6724="",D6724=""),"",D6724*100000+(C6724-DATE(2000,1,1))+ROW()/100000)</f>
        <v/>
      </c>
      <c r="F6724" s="46">
        <f>IF(E6724="","",IF(C6724&gt;WeekEndDate,"",E6724))</f>
        <v/>
      </c>
    </row>
    <row r="6725">
      <c r="A6725" t="inlineStr">
        <is>
          <t>Issues &amp; Punch List</t>
        </is>
      </c>
      <c r="B6725" s="46">
        <f>'Issues &amp; Punch List'!S691</f>
        <v/>
      </c>
      <c r="C6725" s="84">
        <f>'Issues &amp; Punch List'!Q691</f>
        <v/>
      </c>
      <c r="D6725" s="46">
        <f>'Issues &amp; Punch List'!R691</f>
        <v/>
      </c>
      <c r="E6725" s="46">
        <f>IF(OR(B6725="",C6725="",D6725=""),"",D6725*100000+(C6725-DATE(2000,1,1))+ROW()/100000)</f>
        <v/>
      </c>
      <c r="F6725" s="46">
        <f>IF(E6725="","",IF(C6725&gt;WeekEndDate,"",E6725))</f>
        <v/>
      </c>
    </row>
    <row r="6726">
      <c r="A6726" t="inlineStr">
        <is>
          <t>Issues &amp; Punch List</t>
        </is>
      </c>
      <c r="B6726" s="46">
        <f>'Issues &amp; Punch List'!S692</f>
        <v/>
      </c>
      <c r="C6726" s="84">
        <f>'Issues &amp; Punch List'!Q692</f>
        <v/>
      </c>
      <c r="D6726" s="46">
        <f>'Issues &amp; Punch List'!R692</f>
        <v/>
      </c>
      <c r="E6726" s="46">
        <f>IF(OR(B6726="",C6726="",D6726=""),"",D6726*100000+(C6726-DATE(2000,1,1))+ROW()/100000)</f>
        <v/>
      </c>
      <c r="F6726" s="46">
        <f>IF(E6726="","",IF(C6726&gt;WeekEndDate,"",E6726))</f>
        <v/>
      </c>
    </row>
    <row r="6727">
      <c r="A6727" t="inlineStr">
        <is>
          <t>Issues &amp; Punch List</t>
        </is>
      </c>
      <c r="B6727" s="46">
        <f>'Issues &amp; Punch List'!S693</f>
        <v/>
      </c>
      <c r="C6727" s="84">
        <f>'Issues &amp; Punch List'!Q693</f>
        <v/>
      </c>
      <c r="D6727" s="46">
        <f>'Issues &amp; Punch List'!R693</f>
        <v/>
      </c>
      <c r="E6727" s="46">
        <f>IF(OR(B6727="",C6727="",D6727=""),"",D6727*100000+(C6727-DATE(2000,1,1))+ROW()/100000)</f>
        <v/>
      </c>
      <c r="F6727" s="46">
        <f>IF(E6727="","",IF(C6727&gt;WeekEndDate,"",E6727))</f>
        <v/>
      </c>
    </row>
    <row r="6728">
      <c r="A6728" t="inlineStr">
        <is>
          <t>Issues &amp; Punch List</t>
        </is>
      </c>
      <c r="B6728" s="46">
        <f>'Issues &amp; Punch List'!S694</f>
        <v/>
      </c>
      <c r="C6728" s="84">
        <f>'Issues &amp; Punch List'!Q694</f>
        <v/>
      </c>
      <c r="D6728" s="46">
        <f>'Issues &amp; Punch List'!R694</f>
        <v/>
      </c>
      <c r="E6728" s="46">
        <f>IF(OR(B6728="",C6728="",D6728=""),"",D6728*100000+(C6728-DATE(2000,1,1))+ROW()/100000)</f>
        <v/>
      </c>
      <c r="F6728" s="46">
        <f>IF(E6728="","",IF(C6728&gt;WeekEndDate,"",E6728))</f>
        <v/>
      </c>
    </row>
    <row r="6729">
      <c r="A6729" t="inlineStr">
        <is>
          <t>Issues &amp; Punch List</t>
        </is>
      </c>
      <c r="B6729" s="46">
        <f>'Issues &amp; Punch List'!S695</f>
        <v/>
      </c>
      <c r="C6729" s="84">
        <f>'Issues &amp; Punch List'!Q695</f>
        <v/>
      </c>
      <c r="D6729" s="46">
        <f>'Issues &amp; Punch List'!R695</f>
        <v/>
      </c>
      <c r="E6729" s="46">
        <f>IF(OR(B6729="",C6729="",D6729=""),"",D6729*100000+(C6729-DATE(2000,1,1))+ROW()/100000)</f>
        <v/>
      </c>
      <c r="F6729" s="46">
        <f>IF(E6729="","",IF(C6729&gt;WeekEndDate,"",E6729))</f>
        <v/>
      </c>
    </row>
    <row r="6730">
      <c r="A6730" t="inlineStr">
        <is>
          <t>Issues &amp; Punch List</t>
        </is>
      </c>
      <c r="B6730" s="46">
        <f>'Issues &amp; Punch List'!S696</f>
        <v/>
      </c>
      <c r="C6730" s="84">
        <f>'Issues &amp; Punch List'!Q696</f>
        <v/>
      </c>
      <c r="D6730" s="46">
        <f>'Issues &amp; Punch List'!R696</f>
        <v/>
      </c>
      <c r="E6730" s="46">
        <f>IF(OR(B6730="",C6730="",D6730=""),"",D6730*100000+(C6730-DATE(2000,1,1))+ROW()/100000)</f>
        <v/>
      </c>
      <c r="F6730" s="46">
        <f>IF(E6730="","",IF(C6730&gt;WeekEndDate,"",E6730))</f>
        <v/>
      </c>
    </row>
    <row r="6731">
      <c r="A6731" t="inlineStr">
        <is>
          <t>Issues &amp; Punch List</t>
        </is>
      </c>
      <c r="B6731" s="46">
        <f>'Issues &amp; Punch List'!S697</f>
        <v/>
      </c>
      <c r="C6731" s="84">
        <f>'Issues &amp; Punch List'!Q697</f>
        <v/>
      </c>
      <c r="D6731" s="46">
        <f>'Issues &amp; Punch List'!R697</f>
        <v/>
      </c>
      <c r="E6731" s="46">
        <f>IF(OR(B6731="",C6731="",D6731=""),"",D6731*100000+(C6731-DATE(2000,1,1))+ROW()/100000)</f>
        <v/>
      </c>
      <c r="F6731" s="46">
        <f>IF(E6731="","",IF(C6731&gt;WeekEndDate,"",E6731))</f>
        <v/>
      </c>
    </row>
    <row r="6732">
      <c r="A6732" t="inlineStr">
        <is>
          <t>Issues &amp; Punch List</t>
        </is>
      </c>
      <c r="B6732" s="46">
        <f>'Issues &amp; Punch List'!S698</f>
        <v/>
      </c>
      <c r="C6732" s="84">
        <f>'Issues &amp; Punch List'!Q698</f>
        <v/>
      </c>
      <c r="D6732" s="46">
        <f>'Issues &amp; Punch List'!R698</f>
        <v/>
      </c>
      <c r="E6732" s="46">
        <f>IF(OR(B6732="",C6732="",D6732=""),"",D6732*100000+(C6732-DATE(2000,1,1))+ROW()/100000)</f>
        <v/>
      </c>
      <c r="F6732" s="46">
        <f>IF(E6732="","",IF(C6732&gt;WeekEndDate,"",E6732))</f>
        <v/>
      </c>
    </row>
    <row r="6733">
      <c r="A6733" t="inlineStr">
        <is>
          <t>Issues &amp; Punch List</t>
        </is>
      </c>
      <c r="B6733" s="46">
        <f>'Issues &amp; Punch List'!S699</f>
        <v/>
      </c>
      <c r="C6733" s="84">
        <f>'Issues &amp; Punch List'!Q699</f>
        <v/>
      </c>
      <c r="D6733" s="46">
        <f>'Issues &amp; Punch List'!R699</f>
        <v/>
      </c>
      <c r="E6733" s="46">
        <f>IF(OR(B6733="",C6733="",D6733=""),"",D6733*100000+(C6733-DATE(2000,1,1))+ROW()/100000)</f>
        <v/>
      </c>
      <c r="F6733" s="46">
        <f>IF(E6733="","",IF(C6733&gt;WeekEndDate,"",E6733))</f>
        <v/>
      </c>
    </row>
    <row r="6734">
      <c r="A6734" t="inlineStr">
        <is>
          <t>Issues &amp; Punch List</t>
        </is>
      </c>
      <c r="B6734" s="46">
        <f>'Issues &amp; Punch List'!S700</f>
        <v/>
      </c>
      <c r="C6734" s="84">
        <f>'Issues &amp; Punch List'!Q700</f>
        <v/>
      </c>
      <c r="D6734" s="46">
        <f>'Issues &amp; Punch List'!R700</f>
        <v/>
      </c>
      <c r="E6734" s="46">
        <f>IF(OR(B6734="",C6734="",D6734=""),"",D6734*100000+(C6734-DATE(2000,1,1))+ROW()/100000)</f>
        <v/>
      </c>
      <c r="F6734" s="46">
        <f>IF(E6734="","",IF(C6734&gt;WeekEndDate,"",E6734))</f>
        <v/>
      </c>
    </row>
    <row r="6735">
      <c r="A6735" t="inlineStr">
        <is>
          <t>Issues &amp; Punch List</t>
        </is>
      </c>
      <c r="B6735" s="46">
        <f>'Issues &amp; Punch List'!S701</f>
        <v/>
      </c>
      <c r="C6735" s="84">
        <f>'Issues &amp; Punch List'!Q701</f>
        <v/>
      </c>
      <c r="D6735" s="46">
        <f>'Issues &amp; Punch List'!R701</f>
        <v/>
      </c>
      <c r="E6735" s="46">
        <f>IF(OR(B6735="",C6735="",D6735=""),"",D6735*100000+(C6735-DATE(2000,1,1))+ROW()/100000)</f>
        <v/>
      </c>
      <c r="F6735" s="46">
        <f>IF(E6735="","",IF(C6735&gt;WeekEndDate,"",E6735))</f>
        <v/>
      </c>
    </row>
    <row r="6736">
      <c r="A6736" t="inlineStr">
        <is>
          <t>Issues &amp; Punch List</t>
        </is>
      </c>
      <c r="B6736" s="46">
        <f>'Issues &amp; Punch List'!S702</f>
        <v/>
      </c>
      <c r="C6736" s="84">
        <f>'Issues &amp; Punch List'!Q702</f>
        <v/>
      </c>
      <c r="D6736" s="46">
        <f>'Issues &amp; Punch List'!R702</f>
        <v/>
      </c>
      <c r="E6736" s="46">
        <f>IF(OR(B6736="",C6736="",D6736=""),"",D6736*100000+(C6736-DATE(2000,1,1))+ROW()/100000)</f>
        <v/>
      </c>
      <c r="F6736" s="46">
        <f>IF(E6736="","",IF(C6736&gt;WeekEndDate,"",E6736))</f>
        <v/>
      </c>
    </row>
    <row r="6737">
      <c r="A6737" t="inlineStr">
        <is>
          <t>Issues &amp; Punch List</t>
        </is>
      </c>
      <c r="B6737" s="46">
        <f>'Issues &amp; Punch List'!S703</f>
        <v/>
      </c>
      <c r="C6737" s="84">
        <f>'Issues &amp; Punch List'!Q703</f>
        <v/>
      </c>
      <c r="D6737" s="46">
        <f>'Issues &amp; Punch List'!R703</f>
        <v/>
      </c>
      <c r="E6737" s="46">
        <f>IF(OR(B6737="",C6737="",D6737=""),"",D6737*100000+(C6737-DATE(2000,1,1))+ROW()/100000)</f>
        <v/>
      </c>
      <c r="F6737" s="46">
        <f>IF(E6737="","",IF(C6737&gt;WeekEndDate,"",E6737))</f>
        <v/>
      </c>
    </row>
    <row r="6738">
      <c r="A6738" t="inlineStr">
        <is>
          <t>Issues &amp; Punch List</t>
        </is>
      </c>
      <c r="B6738" s="46">
        <f>'Issues &amp; Punch List'!S704</f>
        <v/>
      </c>
      <c r="C6738" s="84">
        <f>'Issues &amp; Punch List'!Q704</f>
        <v/>
      </c>
      <c r="D6738" s="46">
        <f>'Issues &amp; Punch List'!R704</f>
        <v/>
      </c>
      <c r="E6738" s="46">
        <f>IF(OR(B6738="",C6738="",D6738=""),"",D6738*100000+(C6738-DATE(2000,1,1))+ROW()/100000)</f>
        <v/>
      </c>
      <c r="F6738" s="46">
        <f>IF(E6738="","",IF(C6738&gt;WeekEndDate,"",E6738))</f>
        <v/>
      </c>
    </row>
    <row r="6739">
      <c r="A6739" t="inlineStr">
        <is>
          <t>Issues &amp; Punch List</t>
        </is>
      </c>
      <c r="B6739" s="46">
        <f>'Issues &amp; Punch List'!S705</f>
        <v/>
      </c>
      <c r="C6739" s="84">
        <f>'Issues &amp; Punch List'!Q705</f>
        <v/>
      </c>
      <c r="D6739" s="46">
        <f>'Issues &amp; Punch List'!R705</f>
        <v/>
      </c>
      <c r="E6739" s="46">
        <f>IF(OR(B6739="",C6739="",D6739=""),"",D6739*100000+(C6739-DATE(2000,1,1))+ROW()/100000)</f>
        <v/>
      </c>
      <c r="F6739" s="46">
        <f>IF(E6739="","",IF(C6739&gt;WeekEndDate,"",E6739))</f>
        <v/>
      </c>
    </row>
    <row r="6740">
      <c r="A6740" t="inlineStr">
        <is>
          <t>Issues &amp; Punch List</t>
        </is>
      </c>
      <c r="B6740" s="46">
        <f>'Issues &amp; Punch List'!S706</f>
        <v/>
      </c>
      <c r="C6740" s="84">
        <f>'Issues &amp; Punch List'!Q706</f>
        <v/>
      </c>
      <c r="D6740" s="46">
        <f>'Issues &amp; Punch List'!R706</f>
        <v/>
      </c>
      <c r="E6740" s="46">
        <f>IF(OR(B6740="",C6740="",D6740=""),"",D6740*100000+(C6740-DATE(2000,1,1))+ROW()/100000)</f>
        <v/>
      </c>
      <c r="F6740" s="46">
        <f>IF(E6740="","",IF(C6740&gt;WeekEndDate,"",E6740))</f>
        <v/>
      </c>
    </row>
    <row r="6741">
      <c r="A6741" t="inlineStr">
        <is>
          <t>Issues &amp; Punch List</t>
        </is>
      </c>
      <c r="B6741" s="46">
        <f>'Issues &amp; Punch List'!S707</f>
        <v/>
      </c>
      <c r="C6741" s="84">
        <f>'Issues &amp; Punch List'!Q707</f>
        <v/>
      </c>
      <c r="D6741" s="46">
        <f>'Issues &amp; Punch List'!R707</f>
        <v/>
      </c>
      <c r="E6741" s="46">
        <f>IF(OR(B6741="",C6741="",D6741=""),"",D6741*100000+(C6741-DATE(2000,1,1))+ROW()/100000)</f>
        <v/>
      </c>
      <c r="F6741" s="46">
        <f>IF(E6741="","",IF(C6741&gt;WeekEndDate,"",E6741))</f>
        <v/>
      </c>
    </row>
    <row r="6742">
      <c r="A6742" t="inlineStr">
        <is>
          <t>Issues &amp; Punch List</t>
        </is>
      </c>
      <c r="B6742" s="46">
        <f>'Issues &amp; Punch List'!S708</f>
        <v/>
      </c>
      <c r="C6742" s="84">
        <f>'Issues &amp; Punch List'!Q708</f>
        <v/>
      </c>
      <c r="D6742" s="46">
        <f>'Issues &amp; Punch List'!R708</f>
        <v/>
      </c>
      <c r="E6742" s="46">
        <f>IF(OR(B6742="",C6742="",D6742=""),"",D6742*100000+(C6742-DATE(2000,1,1))+ROW()/100000)</f>
        <v/>
      </c>
      <c r="F6742" s="46">
        <f>IF(E6742="","",IF(C6742&gt;WeekEndDate,"",E6742))</f>
        <v/>
      </c>
    </row>
    <row r="6743">
      <c r="A6743" t="inlineStr">
        <is>
          <t>Issues &amp; Punch List</t>
        </is>
      </c>
      <c r="B6743" s="46">
        <f>'Issues &amp; Punch List'!S709</f>
        <v/>
      </c>
      <c r="C6743" s="84">
        <f>'Issues &amp; Punch List'!Q709</f>
        <v/>
      </c>
      <c r="D6743" s="46">
        <f>'Issues &amp; Punch List'!R709</f>
        <v/>
      </c>
      <c r="E6743" s="46">
        <f>IF(OR(B6743="",C6743="",D6743=""),"",D6743*100000+(C6743-DATE(2000,1,1))+ROW()/100000)</f>
        <v/>
      </c>
      <c r="F6743" s="46">
        <f>IF(E6743="","",IF(C6743&gt;WeekEndDate,"",E6743))</f>
        <v/>
      </c>
    </row>
    <row r="6744">
      <c r="A6744" t="inlineStr">
        <is>
          <t>Issues &amp; Punch List</t>
        </is>
      </c>
      <c r="B6744" s="46">
        <f>'Issues &amp; Punch List'!S710</f>
        <v/>
      </c>
      <c r="C6744" s="84">
        <f>'Issues &amp; Punch List'!Q710</f>
        <v/>
      </c>
      <c r="D6744" s="46">
        <f>'Issues &amp; Punch List'!R710</f>
        <v/>
      </c>
      <c r="E6744" s="46">
        <f>IF(OR(B6744="",C6744="",D6744=""),"",D6744*100000+(C6744-DATE(2000,1,1))+ROW()/100000)</f>
        <v/>
      </c>
      <c r="F6744" s="46">
        <f>IF(E6744="","",IF(C6744&gt;WeekEndDate,"",E6744))</f>
        <v/>
      </c>
    </row>
    <row r="6745">
      <c r="A6745" t="inlineStr">
        <is>
          <t>Issues &amp; Punch List</t>
        </is>
      </c>
      <c r="B6745" s="46">
        <f>'Issues &amp; Punch List'!S711</f>
        <v/>
      </c>
      <c r="C6745" s="84">
        <f>'Issues &amp; Punch List'!Q711</f>
        <v/>
      </c>
      <c r="D6745" s="46">
        <f>'Issues &amp; Punch List'!R711</f>
        <v/>
      </c>
      <c r="E6745" s="46">
        <f>IF(OR(B6745="",C6745="",D6745=""),"",D6745*100000+(C6745-DATE(2000,1,1))+ROW()/100000)</f>
        <v/>
      </c>
      <c r="F6745" s="46">
        <f>IF(E6745="","",IF(C6745&gt;WeekEndDate,"",E6745))</f>
        <v/>
      </c>
    </row>
    <row r="6746">
      <c r="A6746" t="inlineStr">
        <is>
          <t>Issues &amp; Punch List</t>
        </is>
      </c>
      <c r="B6746" s="46">
        <f>'Issues &amp; Punch List'!S712</f>
        <v/>
      </c>
      <c r="C6746" s="84">
        <f>'Issues &amp; Punch List'!Q712</f>
        <v/>
      </c>
      <c r="D6746" s="46">
        <f>'Issues &amp; Punch List'!R712</f>
        <v/>
      </c>
      <c r="E6746" s="46">
        <f>IF(OR(B6746="",C6746="",D6746=""),"",D6746*100000+(C6746-DATE(2000,1,1))+ROW()/100000)</f>
        <v/>
      </c>
      <c r="F6746" s="46">
        <f>IF(E6746="","",IF(C6746&gt;WeekEndDate,"",E6746))</f>
        <v/>
      </c>
    </row>
    <row r="6747">
      <c r="A6747" t="inlineStr">
        <is>
          <t>Issues &amp; Punch List</t>
        </is>
      </c>
      <c r="B6747" s="46">
        <f>'Issues &amp; Punch List'!S713</f>
        <v/>
      </c>
      <c r="C6747" s="84">
        <f>'Issues &amp; Punch List'!Q713</f>
        <v/>
      </c>
      <c r="D6747" s="46">
        <f>'Issues &amp; Punch List'!R713</f>
        <v/>
      </c>
      <c r="E6747" s="46">
        <f>IF(OR(B6747="",C6747="",D6747=""),"",D6747*100000+(C6747-DATE(2000,1,1))+ROW()/100000)</f>
        <v/>
      </c>
      <c r="F6747" s="46">
        <f>IF(E6747="","",IF(C6747&gt;WeekEndDate,"",E6747))</f>
        <v/>
      </c>
    </row>
    <row r="6748">
      <c r="A6748" t="inlineStr">
        <is>
          <t>Issues &amp; Punch List</t>
        </is>
      </c>
      <c r="B6748" s="46">
        <f>'Issues &amp; Punch List'!S714</f>
        <v/>
      </c>
      <c r="C6748" s="84">
        <f>'Issues &amp; Punch List'!Q714</f>
        <v/>
      </c>
      <c r="D6748" s="46">
        <f>'Issues &amp; Punch List'!R714</f>
        <v/>
      </c>
      <c r="E6748" s="46">
        <f>IF(OR(B6748="",C6748="",D6748=""),"",D6748*100000+(C6748-DATE(2000,1,1))+ROW()/100000)</f>
        <v/>
      </c>
      <c r="F6748" s="46">
        <f>IF(E6748="","",IF(C6748&gt;WeekEndDate,"",E6748))</f>
        <v/>
      </c>
    </row>
    <row r="6749">
      <c r="A6749" t="inlineStr">
        <is>
          <t>Issues &amp; Punch List</t>
        </is>
      </c>
      <c r="B6749" s="46">
        <f>'Issues &amp; Punch List'!S715</f>
        <v/>
      </c>
      <c r="C6749" s="84">
        <f>'Issues &amp; Punch List'!Q715</f>
        <v/>
      </c>
      <c r="D6749" s="46">
        <f>'Issues &amp; Punch List'!R715</f>
        <v/>
      </c>
      <c r="E6749" s="46">
        <f>IF(OR(B6749="",C6749="",D6749=""),"",D6749*100000+(C6749-DATE(2000,1,1))+ROW()/100000)</f>
        <v/>
      </c>
      <c r="F6749" s="46">
        <f>IF(E6749="","",IF(C6749&gt;WeekEndDate,"",E6749))</f>
        <v/>
      </c>
    </row>
    <row r="6750">
      <c r="A6750" t="inlineStr">
        <is>
          <t>Issues &amp; Punch List</t>
        </is>
      </c>
      <c r="B6750" s="46">
        <f>'Issues &amp; Punch List'!S716</f>
        <v/>
      </c>
      <c r="C6750" s="84">
        <f>'Issues &amp; Punch List'!Q716</f>
        <v/>
      </c>
      <c r="D6750" s="46">
        <f>'Issues &amp; Punch List'!R716</f>
        <v/>
      </c>
      <c r="E6750" s="46">
        <f>IF(OR(B6750="",C6750="",D6750=""),"",D6750*100000+(C6750-DATE(2000,1,1))+ROW()/100000)</f>
        <v/>
      </c>
      <c r="F6750" s="46">
        <f>IF(E6750="","",IF(C6750&gt;WeekEndDate,"",E6750))</f>
        <v/>
      </c>
    </row>
    <row r="6751">
      <c r="A6751" t="inlineStr">
        <is>
          <t>Issues &amp; Punch List</t>
        </is>
      </c>
      <c r="B6751" s="46">
        <f>'Issues &amp; Punch List'!S717</f>
        <v/>
      </c>
      <c r="C6751" s="84">
        <f>'Issues &amp; Punch List'!Q717</f>
        <v/>
      </c>
      <c r="D6751" s="46">
        <f>'Issues &amp; Punch List'!R717</f>
        <v/>
      </c>
      <c r="E6751" s="46">
        <f>IF(OR(B6751="",C6751="",D6751=""),"",D6751*100000+(C6751-DATE(2000,1,1))+ROW()/100000)</f>
        <v/>
      </c>
      <c r="F6751" s="46">
        <f>IF(E6751="","",IF(C6751&gt;WeekEndDate,"",E6751))</f>
        <v/>
      </c>
    </row>
    <row r="6752">
      <c r="A6752" t="inlineStr">
        <is>
          <t>Issues &amp; Punch List</t>
        </is>
      </c>
      <c r="B6752" s="46">
        <f>'Issues &amp; Punch List'!S718</f>
        <v/>
      </c>
      <c r="C6752" s="84">
        <f>'Issues &amp; Punch List'!Q718</f>
        <v/>
      </c>
      <c r="D6752" s="46">
        <f>'Issues &amp; Punch List'!R718</f>
        <v/>
      </c>
      <c r="E6752" s="46">
        <f>IF(OR(B6752="",C6752="",D6752=""),"",D6752*100000+(C6752-DATE(2000,1,1))+ROW()/100000)</f>
        <v/>
      </c>
      <c r="F6752" s="46">
        <f>IF(E6752="","",IF(C6752&gt;WeekEndDate,"",E6752))</f>
        <v/>
      </c>
    </row>
    <row r="6753">
      <c r="A6753" t="inlineStr">
        <is>
          <t>Issues &amp; Punch List</t>
        </is>
      </c>
      <c r="B6753" s="46">
        <f>'Issues &amp; Punch List'!S719</f>
        <v/>
      </c>
      <c r="C6753" s="84">
        <f>'Issues &amp; Punch List'!Q719</f>
        <v/>
      </c>
      <c r="D6753" s="46">
        <f>'Issues &amp; Punch List'!R719</f>
        <v/>
      </c>
      <c r="E6753" s="46">
        <f>IF(OR(B6753="",C6753="",D6753=""),"",D6753*100000+(C6753-DATE(2000,1,1))+ROW()/100000)</f>
        <v/>
      </c>
      <c r="F6753" s="46">
        <f>IF(E6753="","",IF(C6753&gt;WeekEndDate,"",E6753))</f>
        <v/>
      </c>
    </row>
    <row r="6754">
      <c r="A6754" t="inlineStr">
        <is>
          <t>Issues &amp; Punch List</t>
        </is>
      </c>
      <c r="B6754" s="46">
        <f>'Issues &amp; Punch List'!S720</f>
        <v/>
      </c>
      <c r="C6754" s="84">
        <f>'Issues &amp; Punch List'!Q720</f>
        <v/>
      </c>
      <c r="D6754" s="46">
        <f>'Issues &amp; Punch List'!R720</f>
        <v/>
      </c>
      <c r="E6754" s="46">
        <f>IF(OR(B6754="",C6754="",D6754=""),"",D6754*100000+(C6754-DATE(2000,1,1))+ROW()/100000)</f>
        <v/>
      </c>
      <c r="F6754" s="46">
        <f>IF(E6754="","",IF(C6754&gt;WeekEndDate,"",E6754))</f>
        <v/>
      </c>
    </row>
    <row r="6755">
      <c r="A6755" t="inlineStr">
        <is>
          <t>Issues &amp; Punch List</t>
        </is>
      </c>
      <c r="B6755" s="46">
        <f>'Issues &amp; Punch List'!S721</f>
        <v/>
      </c>
      <c r="C6755" s="84">
        <f>'Issues &amp; Punch List'!Q721</f>
        <v/>
      </c>
      <c r="D6755" s="46">
        <f>'Issues &amp; Punch List'!R721</f>
        <v/>
      </c>
      <c r="E6755" s="46">
        <f>IF(OR(B6755="",C6755="",D6755=""),"",D6755*100000+(C6755-DATE(2000,1,1))+ROW()/100000)</f>
        <v/>
      </c>
      <c r="F6755" s="46">
        <f>IF(E6755="","",IF(C6755&gt;WeekEndDate,"",E6755))</f>
        <v/>
      </c>
    </row>
    <row r="6756">
      <c r="A6756" t="inlineStr">
        <is>
          <t>Issues &amp; Punch List</t>
        </is>
      </c>
      <c r="B6756" s="46">
        <f>'Issues &amp; Punch List'!S722</f>
        <v/>
      </c>
      <c r="C6756" s="84">
        <f>'Issues &amp; Punch List'!Q722</f>
        <v/>
      </c>
      <c r="D6756" s="46">
        <f>'Issues &amp; Punch List'!R722</f>
        <v/>
      </c>
      <c r="E6756" s="46">
        <f>IF(OR(B6756="",C6756="",D6756=""),"",D6756*100000+(C6756-DATE(2000,1,1))+ROW()/100000)</f>
        <v/>
      </c>
      <c r="F6756" s="46">
        <f>IF(E6756="","",IF(C6756&gt;WeekEndDate,"",E6756))</f>
        <v/>
      </c>
    </row>
    <row r="6757">
      <c r="A6757" t="inlineStr">
        <is>
          <t>Issues &amp; Punch List</t>
        </is>
      </c>
      <c r="B6757" s="46">
        <f>'Issues &amp; Punch List'!S723</f>
        <v/>
      </c>
      <c r="C6757" s="84">
        <f>'Issues &amp; Punch List'!Q723</f>
        <v/>
      </c>
      <c r="D6757" s="46">
        <f>'Issues &amp; Punch List'!R723</f>
        <v/>
      </c>
      <c r="E6757" s="46">
        <f>IF(OR(B6757="",C6757="",D6757=""),"",D6757*100000+(C6757-DATE(2000,1,1))+ROW()/100000)</f>
        <v/>
      </c>
      <c r="F6757" s="46">
        <f>IF(E6757="","",IF(C6757&gt;WeekEndDate,"",E6757))</f>
        <v/>
      </c>
    </row>
    <row r="6758">
      <c r="A6758" t="inlineStr">
        <is>
          <t>Issues &amp; Punch List</t>
        </is>
      </c>
      <c r="B6758" s="46">
        <f>'Issues &amp; Punch List'!S724</f>
        <v/>
      </c>
      <c r="C6758" s="84">
        <f>'Issues &amp; Punch List'!Q724</f>
        <v/>
      </c>
      <c r="D6758" s="46">
        <f>'Issues &amp; Punch List'!R724</f>
        <v/>
      </c>
      <c r="E6758" s="46">
        <f>IF(OR(B6758="",C6758="",D6758=""),"",D6758*100000+(C6758-DATE(2000,1,1))+ROW()/100000)</f>
        <v/>
      </c>
      <c r="F6758" s="46">
        <f>IF(E6758="","",IF(C6758&gt;WeekEndDate,"",E6758))</f>
        <v/>
      </c>
    </row>
    <row r="6759">
      <c r="A6759" t="inlineStr">
        <is>
          <t>Issues &amp; Punch List</t>
        </is>
      </c>
      <c r="B6759" s="46">
        <f>'Issues &amp; Punch List'!S725</f>
        <v/>
      </c>
      <c r="C6759" s="84">
        <f>'Issues &amp; Punch List'!Q725</f>
        <v/>
      </c>
      <c r="D6759" s="46">
        <f>'Issues &amp; Punch List'!R725</f>
        <v/>
      </c>
      <c r="E6759" s="46">
        <f>IF(OR(B6759="",C6759="",D6759=""),"",D6759*100000+(C6759-DATE(2000,1,1))+ROW()/100000)</f>
        <v/>
      </c>
      <c r="F6759" s="46">
        <f>IF(E6759="","",IF(C6759&gt;WeekEndDate,"",E6759))</f>
        <v/>
      </c>
    </row>
    <row r="6760">
      <c r="A6760" t="inlineStr">
        <is>
          <t>Issues &amp; Punch List</t>
        </is>
      </c>
      <c r="B6760" s="46">
        <f>'Issues &amp; Punch List'!S726</f>
        <v/>
      </c>
      <c r="C6760" s="84">
        <f>'Issues &amp; Punch List'!Q726</f>
        <v/>
      </c>
      <c r="D6760" s="46">
        <f>'Issues &amp; Punch List'!R726</f>
        <v/>
      </c>
      <c r="E6760" s="46">
        <f>IF(OR(B6760="",C6760="",D6760=""),"",D6760*100000+(C6760-DATE(2000,1,1))+ROW()/100000)</f>
        <v/>
      </c>
      <c r="F6760" s="46">
        <f>IF(E6760="","",IF(C6760&gt;WeekEndDate,"",E6760))</f>
        <v/>
      </c>
    </row>
    <row r="6761">
      <c r="A6761" t="inlineStr">
        <is>
          <t>Issues &amp; Punch List</t>
        </is>
      </c>
      <c r="B6761" s="46">
        <f>'Issues &amp; Punch List'!S727</f>
        <v/>
      </c>
      <c r="C6761" s="84">
        <f>'Issues &amp; Punch List'!Q727</f>
        <v/>
      </c>
      <c r="D6761" s="46">
        <f>'Issues &amp; Punch List'!R727</f>
        <v/>
      </c>
      <c r="E6761" s="46">
        <f>IF(OR(B6761="",C6761="",D6761=""),"",D6761*100000+(C6761-DATE(2000,1,1))+ROW()/100000)</f>
        <v/>
      </c>
      <c r="F6761" s="46">
        <f>IF(E6761="","",IF(C6761&gt;WeekEndDate,"",E6761))</f>
        <v/>
      </c>
    </row>
    <row r="6762">
      <c r="A6762" t="inlineStr">
        <is>
          <t>Issues &amp; Punch List</t>
        </is>
      </c>
      <c r="B6762" s="46">
        <f>'Issues &amp; Punch List'!S728</f>
        <v/>
      </c>
      <c r="C6762" s="84">
        <f>'Issues &amp; Punch List'!Q728</f>
        <v/>
      </c>
      <c r="D6762" s="46">
        <f>'Issues &amp; Punch List'!R728</f>
        <v/>
      </c>
      <c r="E6762" s="46">
        <f>IF(OR(B6762="",C6762="",D6762=""),"",D6762*100000+(C6762-DATE(2000,1,1))+ROW()/100000)</f>
        <v/>
      </c>
      <c r="F6762" s="46">
        <f>IF(E6762="","",IF(C6762&gt;WeekEndDate,"",E6762))</f>
        <v/>
      </c>
    </row>
    <row r="6763">
      <c r="A6763" t="inlineStr">
        <is>
          <t>Issues &amp; Punch List</t>
        </is>
      </c>
      <c r="B6763" s="46">
        <f>'Issues &amp; Punch List'!S729</f>
        <v/>
      </c>
      <c r="C6763" s="84">
        <f>'Issues &amp; Punch List'!Q729</f>
        <v/>
      </c>
      <c r="D6763" s="46">
        <f>'Issues &amp; Punch List'!R729</f>
        <v/>
      </c>
      <c r="E6763" s="46">
        <f>IF(OR(B6763="",C6763="",D6763=""),"",D6763*100000+(C6763-DATE(2000,1,1))+ROW()/100000)</f>
        <v/>
      </c>
      <c r="F6763" s="46">
        <f>IF(E6763="","",IF(C6763&gt;WeekEndDate,"",E6763))</f>
        <v/>
      </c>
    </row>
    <row r="6764">
      <c r="A6764" t="inlineStr">
        <is>
          <t>Issues &amp; Punch List</t>
        </is>
      </c>
      <c r="B6764" s="46">
        <f>'Issues &amp; Punch List'!S730</f>
        <v/>
      </c>
      <c r="C6764" s="84">
        <f>'Issues &amp; Punch List'!Q730</f>
        <v/>
      </c>
      <c r="D6764" s="46">
        <f>'Issues &amp; Punch List'!R730</f>
        <v/>
      </c>
      <c r="E6764" s="46">
        <f>IF(OR(B6764="",C6764="",D6764=""),"",D6764*100000+(C6764-DATE(2000,1,1))+ROW()/100000)</f>
        <v/>
      </c>
      <c r="F6764" s="46">
        <f>IF(E6764="","",IF(C6764&gt;WeekEndDate,"",E6764))</f>
        <v/>
      </c>
    </row>
    <row r="6765">
      <c r="A6765" t="inlineStr">
        <is>
          <t>Issues &amp; Punch List</t>
        </is>
      </c>
      <c r="B6765" s="46">
        <f>'Issues &amp; Punch List'!S731</f>
        <v/>
      </c>
      <c r="C6765" s="84">
        <f>'Issues &amp; Punch List'!Q731</f>
        <v/>
      </c>
      <c r="D6765" s="46">
        <f>'Issues &amp; Punch List'!R731</f>
        <v/>
      </c>
      <c r="E6765" s="46">
        <f>IF(OR(B6765="",C6765="",D6765=""),"",D6765*100000+(C6765-DATE(2000,1,1))+ROW()/100000)</f>
        <v/>
      </c>
      <c r="F6765" s="46">
        <f>IF(E6765="","",IF(C6765&gt;WeekEndDate,"",E6765))</f>
        <v/>
      </c>
    </row>
    <row r="6766">
      <c r="A6766" t="inlineStr">
        <is>
          <t>Issues &amp; Punch List</t>
        </is>
      </c>
      <c r="B6766" s="46">
        <f>'Issues &amp; Punch List'!S732</f>
        <v/>
      </c>
      <c r="C6766" s="84">
        <f>'Issues &amp; Punch List'!Q732</f>
        <v/>
      </c>
      <c r="D6766" s="46">
        <f>'Issues &amp; Punch List'!R732</f>
        <v/>
      </c>
      <c r="E6766" s="46">
        <f>IF(OR(B6766="",C6766="",D6766=""),"",D6766*100000+(C6766-DATE(2000,1,1))+ROW()/100000)</f>
        <v/>
      </c>
      <c r="F6766" s="46">
        <f>IF(E6766="","",IF(C6766&gt;WeekEndDate,"",E6766))</f>
        <v/>
      </c>
    </row>
    <row r="6767">
      <c r="A6767" t="inlineStr">
        <is>
          <t>Issues &amp; Punch List</t>
        </is>
      </c>
      <c r="B6767" s="46">
        <f>'Issues &amp; Punch List'!S733</f>
        <v/>
      </c>
      <c r="C6767" s="84">
        <f>'Issues &amp; Punch List'!Q733</f>
        <v/>
      </c>
      <c r="D6767" s="46">
        <f>'Issues &amp; Punch List'!R733</f>
        <v/>
      </c>
      <c r="E6767" s="46">
        <f>IF(OR(B6767="",C6767="",D6767=""),"",D6767*100000+(C6767-DATE(2000,1,1))+ROW()/100000)</f>
        <v/>
      </c>
      <c r="F6767" s="46">
        <f>IF(E6767="","",IF(C6767&gt;WeekEndDate,"",E6767))</f>
        <v/>
      </c>
    </row>
    <row r="6768">
      <c r="A6768" t="inlineStr">
        <is>
          <t>Issues &amp; Punch List</t>
        </is>
      </c>
      <c r="B6768" s="46">
        <f>'Issues &amp; Punch List'!S734</f>
        <v/>
      </c>
      <c r="C6768" s="84">
        <f>'Issues &amp; Punch List'!Q734</f>
        <v/>
      </c>
      <c r="D6768" s="46">
        <f>'Issues &amp; Punch List'!R734</f>
        <v/>
      </c>
      <c r="E6768" s="46">
        <f>IF(OR(B6768="",C6768="",D6768=""),"",D6768*100000+(C6768-DATE(2000,1,1))+ROW()/100000)</f>
        <v/>
      </c>
      <c r="F6768" s="46">
        <f>IF(E6768="","",IF(C6768&gt;WeekEndDate,"",E6768))</f>
        <v/>
      </c>
    </row>
    <row r="6769">
      <c r="A6769" t="inlineStr">
        <is>
          <t>Issues &amp; Punch List</t>
        </is>
      </c>
      <c r="B6769" s="46">
        <f>'Issues &amp; Punch List'!S735</f>
        <v/>
      </c>
      <c r="C6769" s="84">
        <f>'Issues &amp; Punch List'!Q735</f>
        <v/>
      </c>
      <c r="D6769" s="46">
        <f>'Issues &amp; Punch List'!R735</f>
        <v/>
      </c>
      <c r="E6769" s="46">
        <f>IF(OR(B6769="",C6769="",D6769=""),"",D6769*100000+(C6769-DATE(2000,1,1))+ROW()/100000)</f>
        <v/>
      </c>
      <c r="F6769" s="46">
        <f>IF(E6769="","",IF(C6769&gt;WeekEndDate,"",E6769))</f>
        <v/>
      </c>
    </row>
    <row r="6770">
      <c r="A6770" t="inlineStr">
        <is>
          <t>Issues &amp; Punch List</t>
        </is>
      </c>
      <c r="B6770" s="46">
        <f>'Issues &amp; Punch List'!S736</f>
        <v/>
      </c>
      <c r="C6770" s="84">
        <f>'Issues &amp; Punch List'!Q736</f>
        <v/>
      </c>
      <c r="D6770" s="46">
        <f>'Issues &amp; Punch List'!R736</f>
        <v/>
      </c>
      <c r="E6770" s="46">
        <f>IF(OR(B6770="",C6770="",D6770=""),"",D6770*100000+(C6770-DATE(2000,1,1))+ROW()/100000)</f>
        <v/>
      </c>
      <c r="F6770" s="46">
        <f>IF(E6770="","",IF(C6770&gt;WeekEndDate,"",E6770))</f>
        <v/>
      </c>
    </row>
    <row r="6771">
      <c r="A6771" t="inlineStr">
        <is>
          <t>Issues &amp; Punch List</t>
        </is>
      </c>
      <c r="B6771" s="46">
        <f>'Issues &amp; Punch List'!S737</f>
        <v/>
      </c>
      <c r="C6771" s="84">
        <f>'Issues &amp; Punch List'!Q737</f>
        <v/>
      </c>
      <c r="D6771" s="46">
        <f>'Issues &amp; Punch List'!R737</f>
        <v/>
      </c>
      <c r="E6771" s="46">
        <f>IF(OR(B6771="",C6771="",D6771=""),"",D6771*100000+(C6771-DATE(2000,1,1))+ROW()/100000)</f>
        <v/>
      </c>
      <c r="F6771" s="46">
        <f>IF(E6771="","",IF(C6771&gt;WeekEndDate,"",E6771))</f>
        <v/>
      </c>
    </row>
    <row r="6772">
      <c r="A6772" t="inlineStr">
        <is>
          <t>Issues &amp; Punch List</t>
        </is>
      </c>
      <c r="B6772" s="46">
        <f>'Issues &amp; Punch List'!S738</f>
        <v/>
      </c>
      <c r="C6772" s="84">
        <f>'Issues &amp; Punch List'!Q738</f>
        <v/>
      </c>
      <c r="D6772" s="46">
        <f>'Issues &amp; Punch List'!R738</f>
        <v/>
      </c>
      <c r="E6772" s="46">
        <f>IF(OR(B6772="",C6772="",D6772=""),"",D6772*100000+(C6772-DATE(2000,1,1))+ROW()/100000)</f>
        <v/>
      </c>
      <c r="F6772" s="46">
        <f>IF(E6772="","",IF(C6772&gt;WeekEndDate,"",E6772))</f>
        <v/>
      </c>
    </row>
    <row r="6773">
      <c r="A6773" t="inlineStr">
        <is>
          <t>Issues &amp; Punch List</t>
        </is>
      </c>
      <c r="B6773" s="46">
        <f>'Issues &amp; Punch List'!S739</f>
        <v/>
      </c>
      <c r="C6773" s="84">
        <f>'Issues &amp; Punch List'!Q739</f>
        <v/>
      </c>
      <c r="D6773" s="46">
        <f>'Issues &amp; Punch List'!R739</f>
        <v/>
      </c>
      <c r="E6773" s="46">
        <f>IF(OR(B6773="",C6773="",D6773=""),"",D6773*100000+(C6773-DATE(2000,1,1))+ROW()/100000)</f>
        <v/>
      </c>
      <c r="F6773" s="46">
        <f>IF(E6773="","",IF(C6773&gt;WeekEndDate,"",E6773))</f>
        <v/>
      </c>
    </row>
    <row r="6774">
      <c r="A6774" t="inlineStr">
        <is>
          <t>Issues &amp; Punch List</t>
        </is>
      </c>
      <c r="B6774" s="46">
        <f>'Issues &amp; Punch List'!S740</f>
        <v/>
      </c>
      <c r="C6774" s="84">
        <f>'Issues &amp; Punch List'!Q740</f>
        <v/>
      </c>
      <c r="D6774" s="46">
        <f>'Issues &amp; Punch List'!R740</f>
        <v/>
      </c>
      <c r="E6774" s="46">
        <f>IF(OR(B6774="",C6774="",D6774=""),"",D6774*100000+(C6774-DATE(2000,1,1))+ROW()/100000)</f>
        <v/>
      </c>
      <c r="F6774" s="46">
        <f>IF(E6774="","",IF(C6774&gt;WeekEndDate,"",E6774))</f>
        <v/>
      </c>
    </row>
    <row r="6775">
      <c r="A6775" t="inlineStr">
        <is>
          <t>Issues &amp; Punch List</t>
        </is>
      </c>
      <c r="B6775" s="46">
        <f>'Issues &amp; Punch List'!S741</f>
        <v/>
      </c>
      <c r="C6775" s="84">
        <f>'Issues &amp; Punch List'!Q741</f>
        <v/>
      </c>
      <c r="D6775" s="46">
        <f>'Issues &amp; Punch List'!R741</f>
        <v/>
      </c>
      <c r="E6775" s="46">
        <f>IF(OR(B6775="",C6775="",D6775=""),"",D6775*100000+(C6775-DATE(2000,1,1))+ROW()/100000)</f>
        <v/>
      </c>
      <c r="F6775" s="46">
        <f>IF(E6775="","",IF(C6775&gt;WeekEndDate,"",E6775))</f>
        <v/>
      </c>
    </row>
    <row r="6776">
      <c r="A6776" t="inlineStr">
        <is>
          <t>Issues &amp; Punch List</t>
        </is>
      </c>
      <c r="B6776" s="46">
        <f>'Issues &amp; Punch List'!S742</f>
        <v/>
      </c>
      <c r="C6776" s="84">
        <f>'Issues &amp; Punch List'!Q742</f>
        <v/>
      </c>
      <c r="D6776" s="46">
        <f>'Issues &amp; Punch List'!R742</f>
        <v/>
      </c>
      <c r="E6776" s="46">
        <f>IF(OR(B6776="",C6776="",D6776=""),"",D6776*100000+(C6776-DATE(2000,1,1))+ROW()/100000)</f>
        <v/>
      </c>
      <c r="F6776" s="46">
        <f>IF(E6776="","",IF(C6776&gt;WeekEndDate,"",E6776))</f>
        <v/>
      </c>
    </row>
    <row r="6777">
      <c r="A6777" t="inlineStr">
        <is>
          <t>Issues &amp; Punch List</t>
        </is>
      </c>
      <c r="B6777" s="46">
        <f>'Issues &amp; Punch List'!S743</f>
        <v/>
      </c>
      <c r="C6777" s="84">
        <f>'Issues &amp; Punch List'!Q743</f>
        <v/>
      </c>
      <c r="D6777" s="46">
        <f>'Issues &amp; Punch List'!R743</f>
        <v/>
      </c>
      <c r="E6777" s="46">
        <f>IF(OR(B6777="",C6777="",D6777=""),"",D6777*100000+(C6777-DATE(2000,1,1))+ROW()/100000)</f>
        <v/>
      </c>
      <c r="F6777" s="46">
        <f>IF(E6777="","",IF(C6777&gt;WeekEndDate,"",E6777))</f>
        <v/>
      </c>
    </row>
    <row r="6778">
      <c r="A6778" t="inlineStr">
        <is>
          <t>Issues &amp; Punch List</t>
        </is>
      </c>
      <c r="B6778" s="46">
        <f>'Issues &amp; Punch List'!S744</f>
        <v/>
      </c>
      <c r="C6778" s="84">
        <f>'Issues &amp; Punch List'!Q744</f>
        <v/>
      </c>
      <c r="D6778" s="46">
        <f>'Issues &amp; Punch List'!R744</f>
        <v/>
      </c>
      <c r="E6778" s="46">
        <f>IF(OR(B6778="",C6778="",D6778=""),"",D6778*100000+(C6778-DATE(2000,1,1))+ROW()/100000)</f>
        <v/>
      </c>
      <c r="F6778" s="46">
        <f>IF(E6778="","",IF(C6778&gt;WeekEndDate,"",E6778))</f>
        <v/>
      </c>
    </row>
    <row r="6779">
      <c r="A6779" t="inlineStr">
        <is>
          <t>Issues &amp; Punch List</t>
        </is>
      </c>
      <c r="B6779" s="46">
        <f>'Issues &amp; Punch List'!S745</f>
        <v/>
      </c>
      <c r="C6779" s="84">
        <f>'Issues &amp; Punch List'!Q745</f>
        <v/>
      </c>
      <c r="D6779" s="46">
        <f>'Issues &amp; Punch List'!R745</f>
        <v/>
      </c>
      <c r="E6779" s="46">
        <f>IF(OR(B6779="",C6779="",D6779=""),"",D6779*100000+(C6779-DATE(2000,1,1))+ROW()/100000)</f>
        <v/>
      </c>
      <c r="F6779" s="46">
        <f>IF(E6779="","",IF(C6779&gt;WeekEndDate,"",E6779))</f>
        <v/>
      </c>
    </row>
    <row r="6780">
      <c r="A6780" t="inlineStr">
        <is>
          <t>Issues &amp; Punch List</t>
        </is>
      </c>
      <c r="B6780" s="46">
        <f>'Issues &amp; Punch List'!S746</f>
        <v/>
      </c>
      <c r="C6780" s="84">
        <f>'Issues &amp; Punch List'!Q746</f>
        <v/>
      </c>
      <c r="D6780" s="46">
        <f>'Issues &amp; Punch List'!R746</f>
        <v/>
      </c>
      <c r="E6780" s="46">
        <f>IF(OR(B6780="",C6780="",D6780=""),"",D6780*100000+(C6780-DATE(2000,1,1))+ROW()/100000)</f>
        <v/>
      </c>
      <c r="F6780" s="46">
        <f>IF(E6780="","",IF(C6780&gt;WeekEndDate,"",E6780))</f>
        <v/>
      </c>
    </row>
    <row r="6781">
      <c r="A6781" t="inlineStr">
        <is>
          <t>Issues &amp; Punch List</t>
        </is>
      </c>
      <c r="B6781" s="46">
        <f>'Issues &amp; Punch List'!S747</f>
        <v/>
      </c>
      <c r="C6781" s="84">
        <f>'Issues &amp; Punch List'!Q747</f>
        <v/>
      </c>
      <c r="D6781" s="46">
        <f>'Issues &amp; Punch List'!R747</f>
        <v/>
      </c>
      <c r="E6781" s="46">
        <f>IF(OR(B6781="",C6781="",D6781=""),"",D6781*100000+(C6781-DATE(2000,1,1))+ROW()/100000)</f>
        <v/>
      </c>
      <c r="F6781" s="46">
        <f>IF(E6781="","",IF(C6781&gt;WeekEndDate,"",E6781))</f>
        <v/>
      </c>
    </row>
    <row r="6782">
      <c r="A6782" t="inlineStr">
        <is>
          <t>Issues &amp; Punch List</t>
        </is>
      </c>
      <c r="B6782" s="46">
        <f>'Issues &amp; Punch List'!S748</f>
        <v/>
      </c>
      <c r="C6782" s="84">
        <f>'Issues &amp; Punch List'!Q748</f>
        <v/>
      </c>
      <c r="D6782" s="46">
        <f>'Issues &amp; Punch List'!R748</f>
        <v/>
      </c>
      <c r="E6782" s="46">
        <f>IF(OR(B6782="",C6782="",D6782=""),"",D6782*100000+(C6782-DATE(2000,1,1))+ROW()/100000)</f>
        <v/>
      </c>
      <c r="F6782" s="46">
        <f>IF(E6782="","",IF(C6782&gt;WeekEndDate,"",E6782))</f>
        <v/>
      </c>
    </row>
    <row r="6783">
      <c r="A6783" t="inlineStr">
        <is>
          <t>Issues &amp; Punch List</t>
        </is>
      </c>
      <c r="B6783" s="46">
        <f>'Issues &amp; Punch List'!S749</f>
        <v/>
      </c>
      <c r="C6783" s="84">
        <f>'Issues &amp; Punch List'!Q749</f>
        <v/>
      </c>
      <c r="D6783" s="46">
        <f>'Issues &amp; Punch List'!R749</f>
        <v/>
      </c>
      <c r="E6783" s="46">
        <f>IF(OR(B6783="",C6783="",D6783=""),"",D6783*100000+(C6783-DATE(2000,1,1))+ROW()/100000)</f>
        <v/>
      </c>
      <c r="F6783" s="46">
        <f>IF(E6783="","",IF(C6783&gt;WeekEndDate,"",E6783))</f>
        <v/>
      </c>
    </row>
    <row r="6784">
      <c r="A6784" t="inlineStr">
        <is>
          <t>Issues &amp; Punch List</t>
        </is>
      </c>
      <c r="B6784" s="46">
        <f>'Issues &amp; Punch List'!S750</f>
        <v/>
      </c>
      <c r="C6784" s="84">
        <f>'Issues &amp; Punch List'!Q750</f>
        <v/>
      </c>
      <c r="D6784" s="46">
        <f>'Issues &amp; Punch List'!R750</f>
        <v/>
      </c>
      <c r="E6784" s="46">
        <f>IF(OR(B6784="",C6784="",D6784=""),"",D6784*100000+(C6784-DATE(2000,1,1))+ROW()/100000)</f>
        <v/>
      </c>
      <c r="F6784" s="46">
        <f>IF(E6784="","",IF(C6784&gt;WeekEndDate,"",E6784))</f>
        <v/>
      </c>
    </row>
    <row r="6785">
      <c r="A6785" t="inlineStr">
        <is>
          <t>Issues &amp; Punch List</t>
        </is>
      </c>
      <c r="B6785" s="46">
        <f>'Issues &amp; Punch List'!S751</f>
        <v/>
      </c>
      <c r="C6785" s="84">
        <f>'Issues &amp; Punch List'!Q751</f>
        <v/>
      </c>
      <c r="D6785" s="46">
        <f>'Issues &amp; Punch List'!R751</f>
        <v/>
      </c>
      <c r="E6785" s="46">
        <f>IF(OR(B6785="",C6785="",D6785=""),"",D6785*100000+(C6785-DATE(2000,1,1))+ROW()/100000)</f>
        <v/>
      </c>
      <c r="F6785" s="46">
        <f>IF(E6785="","",IF(C6785&gt;WeekEndDate,"",E6785))</f>
        <v/>
      </c>
    </row>
    <row r="6786">
      <c r="A6786" t="inlineStr">
        <is>
          <t>Issues &amp; Punch List</t>
        </is>
      </c>
      <c r="B6786" s="46">
        <f>'Issues &amp; Punch List'!S752</f>
        <v/>
      </c>
      <c r="C6786" s="84">
        <f>'Issues &amp; Punch List'!Q752</f>
        <v/>
      </c>
      <c r="D6786" s="46">
        <f>'Issues &amp; Punch List'!R752</f>
        <v/>
      </c>
      <c r="E6786" s="46">
        <f>IF(OR(B6786="",C6786="",D6786=""),"",D6786*100000+(C6786-DATE(2000,1,1))+ROW()/100000)</f>
        <v/>
      </c>
      <c r="F6786" s="46">
        <f>IF(E6786="","",IF(C6786&gt;WeekEndDate,"",E6786))</f>
        <v/>
      </c>
    </row>
    <row r="6787">
      <c r="A6787" t="inlineStr">
        <is>
          <t>Issues &amp; Punch List</t>
        </is>
      </c>
      <c r="B6787" s="46">
        <f>'Issues &amp; Punch List'!S753</f>
        <v/>
      </c>
      <c r="C6787" s="84">
        <f>'Issues &amp; Punch List'!Q753</f>
        <v/>
      </c>
      <c r="D6787" s="46">
        <f>'Issues &amp; Punch List'!R753</f>
        <v/>
      </c>
      <c r="E6787" s="46">
        <f>IF(OR(B6787="",C6787="",D6787=""),"",D6787*100000+(C6787-DATE(2000,1,1))+ROW()/100000)</f>
        <v/>
      </c>
      <c r="F6787" s="46">
        <f>IF(E6787="","",IF(C6787&gt;WeekEndDate,"",E6787))</f>
        <v/>
      </c>
    </row>
    <row r="6788">
      <c r="A6788" t="inlineStr">
        <is>
          <t>Issues &amp; Punch List</t>
        </is>
      </c>
      <c r="B6788" s="46">
        <f>'Issues &amp; Punch List'!S754</f>
        <v/>
      </c>
      <c r="C6788" s="84">
        <f>'Issues &amp; Punch List'!Q754</f>
        <v/>
      </c>
      <c r="D6788" s="46">
        <f>'Issues &amp; Punch List'!R754</f>
        <v/>
      </c>
      <c r="E6788" s="46">
        <f>IF(OR(B6788="",C6788="",D6788=""),"",D6788*100000+(C6788-DATE(2000,1,1))+ROW()/100000)</f>
        <v/>
      </c>
      <c r="F6788" s="46">
        <f>IF(E6788="","",IF(C6788&gt;WeekEndDate,"",E6788))</f>
        <v/>
      </c>
    </row>
    <row r="6789">
      <c r="A6789" t="inlineStr">
        <is>
          <t>Issues &amp; Punch List</t>
        </is>
      </c>
      <c r="B6789" s="46">
        <f>'Issues &amp; Punch List'!S755</f>
        <v/>
      </c>
      <c r="C6789" s="84">
        <f>'Issues &amp; Punch List'!Q755</f>
        <v/>
      </c>
      <c r="D6789" s="46">
        <f>'Issues &amp; Punch List'!R755</f>
        <v/>
      </c>
      <c r="E6789" s="46">
        <f>IF(OR(B6789="",C6789="",D6789=""),"",D6789*100000+(C6789-DATE(2000,1,1))+ROW()/100000)</f>
        <v/>
      </c>
      <c r="F6789" s="46">
        <f>IF(E6789="","",IF(C6789&gt;WeekEndDate,"",E6789))</f>
        <v/>
      </c>
    </row>
    <row r="6790">
      <c r="A6790" t="inlineStr">
        <is>
          <t>Issues &amp; Punch List</t>
        </is>
      </c>
      <c r="B6790" s="46">
        <f>'Issues &amp; Punch List'!S756</f>
        <v/>
      </c>
      <c r="C6790" s="84">
        <f>'Issues &amp; Punch List'!Q756</f>
        <v/>
      </c>
      <c r="D6790" s="46">
        <f>'Issues &amp; Punch List'!R756</f>
        <v/>
      </c>
      <c r="E6790" s="46">
        <f>IF(OR(B6790="",C6790="",D6790=""),"",D6790*100000+(C6790-DATE(2000,1,1))+ROW()/100000)</f>
        <v/>
      </c>
      <c r="F6790" s="46">
        <f>IF(E6790="","",IF(C6790&gt;WeekEndDate,"",E6790))</f>
        <v/>
      </c>
    </row>
    <row r="6791">
      <c r="A6791" t="inlineStr">
        <is>
          <t>Issues &amp; Punch List</t>
        </is>
      </c>
      <c r="B6791" s="46">
        <f>'Issues &amp; Punch List'!S757</f>
        <v/>
      </c>
      <c r="C6791" s="84">
        <f>'Issues &amp; Punch List'!Q757</f>
        <v/>
      </c>
      <c r="D6791" s="46">
        <f>'Issues &amp; Punch List'!R757</f>
        <v/>
      </c>
      <c r="E6791" s="46">
        <f>IF(OR(B6791="",C6791="",D6791=""),"",D6791*100000+(C6791-DATE(2000,1,1))+ROW()/100000)</f>
        <v/>
      </c>
      <c r="F6791" s="46">
        <f>IF(E6791="","",IF(C6791&gt;WeekEndDate,"",E6791))</f>
        <v/>
      </c>
    </row>
    <row r="6792">
      <c r="A6792" t="inlineStr">
        <is>
          <t>Issues &amp; Punch List</t>
        </is>
      </c>
      <c r="B6792" s="46">
        <f>'Issues &amp; Punch List'!S758</f>
        <v/>
      </c>
      <c r="C6792" s="84">
        <f>'Issues &amp; Punch List'!Q758</f>
        <v/>
      </c>
      <c r="D6792" s="46">
        <f>'Issues &amp; Punch List'!R758</f>
        <v/>
      </c>
      <c r="E6792" s="46">
        <f>IF(OR(B6792="",C6792="",D6792=""),"",D6792*100000+(C6792-DATE(2000,1,1))+ROW()/100000)</f>
        <v/>
      </c>
      <c r="F6792" s="46">
        <f>IF(E6792="","",IF(C6792&gt;WeekEndDate,"",E6792))</f>
        <v/>
      </c>
    </row>
    <row r="6793">
      <c r="A6793" t="inlineStr">
        <is>
          <t>Issues &amp; Punch List</t>
        </is>
      </c>
      <c r="B6793" s="46">
        <f>'Issues &amp; Punch List'!S759</f>
        <v/>
      </c>
      <c r="C6793" s="84">
        <f>'Issues &amp; Punch List'!Q759</f>
        <v/>
      </c>
      <c r="D6793" s="46">
        <f>'Issues &amp; Punch List'!R759</f>
        <v/>
      </c>
      <c r="E6793" s="46">
        <f>IF(OR(B6793="",C6793="",D6793=""),"",D6793*100000+(C6793-DATE(2000,1,1))+ROW()/100000)</f>
        <v/>
      </c>
      <c r="F6793" s="46">
        <f>IF(E6793="","",IF(C6793&gt;WeekEndDate,"",E6793))</f>
        <v/>
      </c>
    </row>
    <row r="6794">
      <c r="A6794" t="inlineStr">
        <is>
          <t>Issues &amp; Punch List</t>
        </is>
      </c>
      <c r="B6794" s="46">
        <f>'Issues &amp; Punch List'!S760</f>
        <v/>
      </c>
      <c r="C6794" s="84">
        <f>'Issues &amp; Punch List'!Q760</f>
        <v/>
      </c>
      <c r="D6794" s="46">
        <f>'Issues &amp; Punch List'!R760</f>
        <v/>
      </c>
      <c r="E6794" s="46">
        <f>IF(OR(B6794="",C6794="",D6794=""),"",D6794*100000+(C6794-DATE(2000,1,1))+ROW()/100000)</f>
        <v/>
      </c>
      <c r="F6794" s="46">
        <f>IF(E6794="","",IF(C6794&gt;WeekEndDate,"",E6794))</f>
        <v/>
      </c>
    </row>
    <row r="6795">
      <c r="A6795" t="inlineStr">
        <is>
          <t>Issues &amp; Punch List</t>
        </is>
      </c>
      <c r="B6795" s="46">
        <f>'Issues &amp; Punch List'!S761</f>
        <v/>
      </c>
      <c r="C6795" s="84">
        <f>'Issues &amp; Punch List'!Q761</f>
        <v/>
      </c>
      <c r="D6795" s="46">
        <f>'Issues &amp; Punch List'!R761</f>
        <v/>
      </c>
      <c r="E6795" s="46">
        <f>IF(OR(B6795="",C6795="",D6795=""),"",D6795*100000+(C6795-DATE(2000,1,1))+ROW()/100000)</f>
        <v/>
      </c>
      <c r="F6795" s="46">
        <f>IF(E6795="","",IF(C6795&gt;WeekEndDate,"",E6795))</f>
        <v/>
      </c>
    </row>
    <row r="6796">
      <c r="A6796" t="inlineStr">
        <is>
          <t>Issues &amp; Punch List</t>
        </is>
      </c>
      <c r="B6796" s="46">
        <f>'Issues &amp; Punch List'!S762</f>
        <v/>
      </c>
      <c r="C6796" s="84">
        <f>'Issues &amp; Punch List'!Q762</f>
        <v/>
      </c>
      <c r="D6796" s="46">
        <f>'Issues &amp; Punch List'!R762</f>
        <v/>
      </c>
      <c r="E6796" s="46">
        <f>IF(OR(B6796="",C6796="",D6796=""),"",D6796*100000+(C6796-DATE(2000,1,1))+ROW()/100000)</f>
        <v/>
      </c>
      <c r="F6796" s="46">
        <f>IF(E6796="","",IF(C6796&gt;WeekEndDate,"",E6796))</f>
        <v/>
      </c>
    </row>
    <row r="6797">
      <c r="A6797" t="inlineStr">
        <is>
          <t>Issues &amp; Punch List</t>
        </is>
      </c>
      <c r="B6797" s="46">
        <f>'Issues &amp; Punch List'!S763</f>
        <v/>
      </c>
      <c r="C6797" s="84">
        <f>'Issues &amp; Punch List'!Q763</f>
        <v/>
      </c>
      <c r="D6797" s="46">
        <f>'Issues &amp; Punch List'!R763</f>
        <v/>
      </c>
      <c r="E6797" s="46">
        <f>IF(OR(B6797="",C6797="",D6797=""),"",D6797*100000+(C6797-DATE(2000,1,1))+ROW()/100000)</f>
        <v/>
      </c>
      <c r="F6797" s="46">
        <f>IF(E6797="","",IF(C6797&gt;WeekEndDate,"",E6797))</f>
        <v/>
      </c>
    </row>
    <row r="6798">
      <c r="A6798" t="inlineStr">
        <is>
          <t>Issues &amp; Punch List</t>
        </is>
      </c>
      <c r="B6798" s="46">
        <f>'Issues &amp; Punch List'!S764</f>
        <v/>
      </c>
      <c r="C6798" s="84">
        <f>'Issues &amp; Punch List'!Q764</f>
        <v/>
      </c>
      <c r="D6798" s="46">
        <f>'Issues &amp; Punch List'!R764</f>
        <v/>
      </c>
      <c r="E6798" s="46">
        <f>IF(OR(B6798="",C6798="",D6798=""),"",D6798*100000+(C6798-DATE(2000,1,1))+ROW()/100000)</f>
        <v/>
      </c>
      <c r="F6798" s="46">
        <f>IF(E6798="","",IF(C6798&gt;WeekEndDate,"",E6798))</f>
        <v/>
      </c>
    </row>
    <row r="6799">
      <c r="A6799" t="inlineStr">
        <is>
          <t>Issues &amp; Punch List</t>
        </is>
      </c>
      <c r="B6799" s="46">
        <f>'Issues &amp; Punch List'!S765</f>
        <v/>
      </c>
      <c r="C6799" s="84">
        <f>'Issues &amp; Punch List'!Q765</f>
        <v/>
      </c>
      <c r="D6799" s="46">
        <f>'Issues &amp; Punch List'!R765</f>
        <v/>
      </c>
      <c r="E6799" s="46">
        <f>IF(OR(B6799="",C6799="",D6799=""),"",D6799*100000+(C6799-DATE(2000,1,1))+ROW()/100000)</f>
        <v/>
      </c>
      <c r="F6799" s="46">
        <f>IF(E6799="","",IF(C6799&gt;WeekEndDate,"",E6799))</f>
        <v/>
      </c>
    </row>
    <row r="6800">
      <c r="A6800" t="inlineStr">
        <is>
          <t>Issues &amp; Punch List</t>
        </is>
      </c>
      <c r="B6800" s="46">
        <f>'Issues &amp; Punch List'!S766</f>
        <v/>
      </c>
      <c r="C6800" s="84">
        <f>'Issues &amp; Punch List'!Q766</f>
        <v/>
      </c>
      <c r="D6800" s="46">
        <f>'Issues &amp; Punch List'!R766</f>
        <v/>
      </c>
      <c r="E6800" s="46">
        <f>IF(OR(B6800="",C6800="",D6800=""),"",D6800*100000+(C6800-DATE(2000,1,1))+ROW()/100000)</f>
        <v/>
      </c>
      <c r="F6800" s="46">
        <f>IF(E6800="","",IF(C6800&gt;WeekEndDate,"",E6800))</f>
        <v/>
      </c>
    </row>
    <row r="6801">
      <c r="A6801" t="inlineStr">
        <is>
          <t>Issues &amp; Punch List</t>
        </is>
      </c>
      <c r="B6801" s="46">
        <f>'Issues &amp; Punch List'!S767</f>
        <v/>
      </c>
      <c r="C6801" s="84">
        <f>'Issues &amp; Punch List'!Q767</f>
        <v/>
      </c>
      <c r="D6801" s="46">
        <f>'Issues &amp; Punch List'!R767</f>
        <v/>
      </c>
      <c r="E6801" s="46">
        <f>IF(OR(B6801="",C6801="",D6801=""),"",D6801*100000+(C6801-DATE(2000,1,1))+ROW()/100000)</f>
        <v/>
      </c>
      <c r="F6801" s="46">
        <f>IF(E6801="","",IF(C6801&gt;WeekEndDate,"",E6801))</f>
        <v/>
      </c>
    </row>
    <row r="6802">
      <c r="A6802" t="inlineStr">
        <is>
          <t>Issues &amp; Punch List</t>
        </is>
      </c>
      <c r="B6802" s="46">
        <f>'Issues &amp; Punch List'!S768</f>
        <v/>
      </c>
      <c r="C6802" s="84">
        <f>'Issues &amp; Punch List'!Q768</f>
        <v/>
      </c>
      <c r="D6802" s="46">
        <f>'Issues &amp; Punch List'!R768</f>
        <v/>
      </c>
      <c r="E6802" s="46">
        <f>IF(OR(B6802="",C6802="",D6802=""),"",D6802*100000+(C6802-DATE(2000,1,1))+ROW()/100000)</f>
        <v/>
      </c>
      <c r="F6802" s="46">
        <f>IF(E6802="","",IF(C6802&gt;WeekEndDate,"",E6802))</f>
        <v/>
      </c>
    </row>
    <row r="6803">
      <c r="A6803" t="inlineStr">
        <is>
          <t>Issues &amp; Punch List</t>
        </is>
      </c>
      <c r="B6803" s="46">
        <f>'Issues &amp; Punch List'!S769</f>
        <v/>
      </c>
      <c r="C6803" s="84">
        <f>'Issues &amp; Punch List'!Q769</f>
        <v/>
      </c>
      <c r="D6803" s="46">
        <f>'Issues &amp; Punch List'!R769</f>
        <v/>
      </c>
      <c r="E6803" s="46">
        <f>IF(OR(B6803="",C6803="",D6803=""),"",D6803*100000+(C6803-DATE(2000,1,1))+ROW()/100000)</f>
        <v/>
      </c>
      <c r="F6803" s="46">
        <f>IF(E6803="","",IF(C6803&gt;WeekEndDate,"",E6803))</f>
        <v/>
      </c>
    </row>
    <row r="6804">
      <c r="A6804" t="inlineStr">
        <is>
          <t>Issues &amp; Punch List</t>
        </is>
      </c>
      <c r="B6804" s="46">
        <f>'Issues &amp; Punch List'!S770</f>
        <v/>
      </c>
      <c r="C6804" s="84">
        <f>'Issues &amp; Punch List'!Q770</f>
        <v/>
      </c>
      <c r="D6804" s="46">
        <f>'Issues &amp; Punch List'!R770</f>
        <v/>
      </c>
      <c r="E6804" s="46">
        <f>IF(OR(B6804="",C6804="",D6804=""),"",D6804*100000+(C6804-DATE(2000,1,1))+ROW()/100000)</f>
        <v/>
      </c>
      <c r="F6804" s="46">
        <f>IF(E6804="","",IF(C6804&gt;WeekEndDate,"",E6804))</f>
        <v/>
      </c>
    </row>
    <row r="6805">
      <c r="A6805" t="inlineStr">
        <is>
          <t>Issues &amp; Punch List</t>
        </is>
      </c>
      <c r="B6805" s="46">
        <f>'Issues &amp; Punch List'!S771</f>
        <v/>
      </c>
      <c r="C6805" s="84">
        <f>'Issues &amp; Punch List'!Q771</f>
        <v/>
      </c>
      <c r="D6805" s="46">
        <f>'Issues &amp; Punch List'!R771</f>
        <v/>
      </c>
      <c r="E6805" s="46">
        <f>IF(OR(B6805="",C6805="",D6805=""),"",D6805*100000+(C6805-DATE(2000,1,1))+ROW()/100000)</f>
        <v/>
      </c>
      <c r="F6805" s="46">
        <f>IF(E6805="","",IF(C6805&gt;WeekEndDate,"",E6805))</f>
        <v/>
      </c>
    </row>
    <row r="6806">
      <c r="A6806" t="inlineStr">
        <is>
          <t>Issues &amp; Punch List</t>
        </is>
      </c>
      <c r="B6806" s="46">
        <f>'Issues &amp; Punch List'!S772</f>
        <v/>
      </c>
      <c r="C6806" s="84">
        <f>'Issues &amp; Punch List'!Q772</f>
        <v/>
      </c>
      <c r="D6806" s="46">
        <f>'Issues &amp; Punch List'!R772</f>
        <v/>
      </c>
      <c r="E6806" s="46">
        <f>IF(OR(B6806="",C6806="",D6806=""),"",D6806*100000+(C6806-DATE(2000,1,1))+ROW()/100000)</f>
        <v/>
      </c>
      <c r="F6806" s="46">
        <f>IF(E6806="","",IF(C6806&gt;WeekEndDate,"",E6806))</f>
        <v/>
      </c>
    </row>
    <row r="6807">
      <c r="A6807" t="inlineStr">
        <is>
          <t>Issues &amp; Punch List</t>
        </is>
      </c>
      <c r="B6807" s="46">
        <f>'Issues &amp; Punch List'!S773</f>
        <v/>
      </c>
      <c r="C6807" s="84">
        <f>'Issues &amp; Punch List'!Q773</f>
        <v/>
      </c>
      <c r="D6807" s="46">
        <f>'Issues &amp; Punch List'!R773</f>
        <v/>
      </c>
      <c r="E6807" s="46">
        <f>IF(OR(B6807="",C6807="",D6807=""),"",D6807*100000+(C6807-DATE(2000,1,1))+ROW()/100000)</f>
        <v/>
      </c>
      <c r="F6807" s="46">
        <f>IF(E6807="","",IF(C6807&gt;WeekEndDate,"",E6807))</f>
        <v/>
      </c>
    </row>
    <row r="6808">
      <c r="A6808" t="inlineStr">
        <is>
          <t>Issues &amp; Punch List</t>
        </is>
      </c>
      <c r="B6808" s="46">
        <f>'Issues &amp; Punch List'!S774</f>
        <v/>
      </c>
      <c r="C6808" s="84">
        <f>'Issues &amp; Punch List'!Q774</f>
        <v/>
      </c>
      <c r="D6808" s="46">
        <f>'Issues &amp; Punch List'!R774</f>
        <v/>
      </c>
      <c r="E6808" s="46">
        <f>IF(OR(B6808="",C6808="",D6808=""),"",D6808*100000+(C6808-DATE(2000,1,1))+ROW()/100000)</f>
        <v/>
      </c>
      <c r="F6808" s="46">
        <f>IF(E6808="","",IF(C6808&gt;WeekEndDate,"",E6808))</f>
        <v/>
      </c>
    </row>
    <row r="6809">
      <c r="A6809" t="inlineStr">
        <is>
          <t>Issues &amp; Punch List</t>
        </is>
      </c>
      <c r="B6809" s="46">
        <f>'Issues &amp; Punch List'!S775</f>
        <v/>
      </c>
      <c r="C6809" s="84">
        <f>'Issues &amp; Punch List'!Q775</f>
        <v/>
      </c>
      <c r="D6809" s="46">
        <f>'Issues &amp; Punch List'!R775</f>
        <v/>
      </c>
      <c r="E6809" s="46">
        <f>IF(OR(B6809="",C6809="",D6809=""),"",D6809*100000+(C6809-DATE(2000,1,1))+ROW()/100000)</f>
        <v/>
      </c>
      <c r="F6809" s="46">
        <f>IF(E6809="","",IF(C6809&gt;WeekEndDate,"",E6809))</f>
        <v/>
      </c>
    </row>
    <row r="6810">
      <c r="A6810" t="inlineStr">
        <is>
          <t>Issues &amp; Punch List</t>
        </is>
      </c>
      <c r="B6810" s="46">
        <f>'Issues &amp; Punch List'!S776</f>
        <v/>
      </c>
      <c r="C6810" s="84">
        <f>'Issues &amp; Punch List'!Q776</f>
        <v/>
      </c>
      <c r="D6810" s="46">
        <f>'Issues &amp; Punch List'!R776</f>
        <v/>
      </c>
      <c r="E6810" s="46">
        <f>IF(OR(B6810="",C6810="",D6810=""),"",D6810*100000+(C6810-DATE(2000,1,1))+ROW()/100000)</f>
        <v/>
      </c>
      <c r="F6810" s="46">
        <f>IF(E6810="","",IF(C6810&gt;WeekEndDate,"",E6810))</f>
        <v/>
      </c>
    </row>
    <row r="6811">
      <c r="A6811" t="inlineStr">
        <is>
          <t>Issues &amp; Punch List</t>
        </is>
      </c>
      <c r="B6811" s="46">
        <f>'Issues &amp; Punch List'!S777</f>
        <v/>
      </c>
      <c r="C6811" s="84">
        <f>'Issues &amp; Punch List'!Q777</f>
        <v/>
      </c>
      <c r="D6811" s="46">
        <f>'Issues &amp; Punch List'!R777</f>
        <v/>
      </c>
      <c r="E6811" s="46">
        <f>IF(OR(B6811="",C6811="",D6811=""),"",D6811*100000+(C6811-DATE(2000,1,1))+ROW()/100000)</f>
        <v/>
      </c>
      <c r="F6811" s="46">
        <f>IF(E6811="","",IF(C6811&gt;WeekEndDate,"",E6811))</f>
        <v/>
      </c>
    </row>
    <row r="6812">
      <c r="A6812" t="inlineStr">
        <is>
          <t>Issues &amp; Punch List</t>
        </is>
      </c>
      <c r="B6812" s="46">
        <f>'Issues &amp; Punch List'!S778</f>
        <v/>
      </c>
      <c r="C6812" s="84">
        <f>'Issues &amp; Punch List'!Q778</f>
        <v/>
      </c>
      <c r="D6812" s="46">
        <f>'Issues &amp; Punch List'!R778</f>
        <v/>
      </c>
      <c r="E6812" s="46">
        <f>IF(OR(B6812="",C6812="",D6812=""),"",D6812*100000+(C6812-DATE(2000,1,1))+ROW()/100000)</f>
        <v/>
      </c>
      <c r="F6812" s="46">
        <f>IF(E6812="","",IF(C6812&gt;WeekEndDate,"",E6812))</f>
        <v/>
      </c>
    </row>
    <row r="6813">
      <c r="A6813" t="inlineStr">
        <is>
          <t>Issues &amp; Punch List</t>
        </is>
      </c>
      <c r="B6813" s="46">
        <f>'Issues &amp; Punch List'!S779</f>
        <v/>
      </c>
      <c r="C6813" s="84">
        <f>'Issues &amp; Punch List'!Q779</f>
        <v/>
      </c>
      <c r="D6813" s="46">
        <f>'Issues &amp; Punch List'!R779</f>
        <v/>
      </c>
      <c r="E6813" s="46">
        <f>IF(OR(B6813="",C6813="",D6813=""),"",D6813*100000+(C6813-DATE(2000,1,1))+ROW()/100000)</f>
        <v/>
      </c>
      <c r="F6813" s="46">
        <f>IF(E6813="","",IF(C6813&gt;WeekEndDate,"",E6813))</f>
        <v/>
      </c>
    </row>
    <row r="6814">
      <c r="A6814" t="inlineStr">
        <is>
          <t>Issues &amp; Punch List</t>
        </is>
      </c>
      <c r="B6814" s="46">
        <f>'Issues &amp; Punch List'!S780</f>
        <v/>
      </c>
      <c r="C6814" s="84">
        <f>'Issues &amp; Punch List'!Q780</f>
        <v/>
      </c>
      <c r="D6814" s="46">
        <f>'Issues &amp; Punch List'!R780</f>
        <v/>
      </c>
      <c r="E6814" s="46">
        <f>IF(OR(B6814="",C6814="",D6814=""),"",D6814*100000+(C6814-DATE(2000,1,1))+ROW()/100000)</f>
        <v/>
      </c>
      <c r="F6814" s="46">
        <f>IF(E6814="","",IF(C6814&gt;WeekEndDate,"",E6814))</f>
        <v/>
      </c>
    </row>
    <row r="6815">
      <c r="A6815" t="inlineStr">
        <is>
          <t>Issues &amp; Punch List</t>
        </is>
      </c>
      <c r="B6815" s="46">
        <f>'Issues &amp; Punch List'!S781</f>
        <v/>
      </c>
      <c r="C6815" s="84">
        <f>'Issues &amp; Punch List'!Q781</f>
        <v/>
      </c>
      <c r="D6815" s="46">
        <f>'Issues &amp; Punch List'!R781</f>
        <v/>
      </c>
      <c r="E6815" s="46">
        <f>IF(OR(B6815="",C6815="",D6815=""),"",D6815*100000+(C6815-DATE(2000,1,1))+ROW()/100000)</f>
        <v/>
      </c>
      <c r="F6815" s="46">
        <f>IF(E6815="","",IF(C6815&gt;WeekEndDate,"",E6815))</f>
        <v/>
      </c>
    </row>
    <row r="6816">
      <c r="A6816" t="inlineStr">
        <is>
          <t>Issues &amp; Punch List</t>
        </is>
      </c>
      <c r="B6816" s="46">
        <f>'Issues &amp; Punch List'!S782</f>
        <v/>
      </c>
      <c r="C6816" s="84">
        <f>'Issues &amp; Punch List'!Q782</f>
        <v/>
      </c>
      <c r="D6816" s="46">
        <f>'Issues &amp; Punch List'!R782</f>
        <v/>
      </c>
      <c r="E6816" s="46">
        <f>IF(OR(B6816="",C6816="",D6816=""),"",D6816*100000+(C6816-DATE(2000,1,1))+ROW()/100000)</f>
        <v/>
      </c>
      <c r="F6816" s="46">
        <f>IF(E6816="","",IF(C6816&gt;WeekEndDate,"",E6816))</f>
        <v/>
      </c>
    </row>
    <row r="6817">
      <c r="A6817" t="inlineStr">
        <is>
          <t>Issues &amp; Punch List</t>
        </is>
      </c>
      <c r="B6817" s="46">
        <f>'Issues &amp; Punch List'!S783</f>
        <v/>
      </c>
      <c r="C6817" s="84">
        <f>'Issues &amp; Punch List'!Q783</f>
        <v/>
      </c>
      <c r="D6817" s="46">
        <f>'Issues &amp; Punch List'!R783</f>
        <v/>
      </c>
      <c r="E6817" s="46">
        <f>IF(OR(B6817="",C6817="",D6817=""),"",D6817*100000+(C6817-DATE(2000,1,1))+ROW()/100000)</f>
        <v/>
      </c>
      <c r="F6817" s="46">
        <f>IF(E6817="","",IF(C6817&gt;WeekEndDate,"",E6817))</f>
        <v/>
      </c>
    </row>
    <row r="6818">
      <c r="A6818" t="inlineStr">
        <is>
          <t>Issues &amp; Punch List</t>
        </is>
      </c>
      <c r="B6818" s="46">
        <f>'Issues &amp; Punch List'!S784</f>
        <v/>
      </c>
      <c r="C6818" s="84">
        <f>'Issues &amp; Punch List'!Q784</f>
        <v/>
      </c>
      <c r="D6818" s="46">
        <f>'Issues &amp; Punch List'!R784</f>
        <v/>
      </c>
      <c r="E6818" s="46">
        <f>IF(OR(B6818="",C6818="",D6818=""),"",D6818*100000+(C6818-DATE(2000,1,1))+ROW()/100000)</f>
        <v/>
      </c>
      <c r="F6818" s="46">
        <f>IF(E6818="","",IF(C6818&gt;WeekEndDate,"",E6818))</f>
        <v/>
      </c>
    </row>
    <row r="6819">
      <c r="A6819" t="inlineStr">
        <is>
          <t>Issues &amp; Punch List</t>
        </is>
      </c>
      <c r="B6819" s="46">
        <f>'Issues &amp; Punch List'!S785</f>
        <v/>
      </c>
      <c r="C6819" s="84">
        <f>'Issues &amp; Punch List'!Q785</f>
        <v/>
      </c>
      <c r="D6819" s="46">
        <f>'Issues &amp; Punch List'!R785</f>
        <v/>
      </c>
      <c r="E6819" s="46">
        <f>IF(OR(B6819="",C6819="",D6819=""),"",D6819*100000+(C6819-DATE(2000,1,1))+ROW()/100000)</f>
        <v/>
      </c>
      <c r="F6819" s="46">
        <f>IF(E6819="","",IF(C6819&gt;WeekEndDate,"",E6819))</f>
        <v/>
      </c>
    </row>
    <row r="6820">
      <c r="A6820" t="inlineStr">
        <is>
          <t>Issues &amp; Punch List</t>
        </is>
      </c>
      <c r="B6820" s="46">
        <f>'Issues &amp; Punch List'!S786</f>
        <v/>
      </c>
      <c r="C6820" s="84">
        <f>'Issues &amp; Punch List'!Q786</f>
        <v/>
      </c>
      <c r="D6820" s="46">
        <f>'Issues &amp; Punch List'!R786</f>
        <v/>
      </c>
      <c r="E6820" s="46">
        <f>IF(OR(B6820="",C6820="",D6820=""),"",D6820*100000+(C6820-DATE(2000,1,1))+ROW()/100000)</f>
        <v/>
      </c>
      <c r="F6820" s="46">
        <f>IF(E6820="","",IF(C6820&gt;WeekEndDate,"",E6820))</f>
        <v/>
      </c>
    </row>
    <row r="6821">
      <c r="A6821" t="inlineStr">
        <is>
          <t>Issues &amp; Punch List</t>
        </is>
      </c>
      <c r="B6821" s="46">
        <f>'Issues &amp; Punch List'!S787</f>
        <v/>
      </c>
      <c r="C6821" s="84">
        <f>'Issues &amp; Punch List'!Q787</f>
        <v/>
      </c>
      <c r="D6821" s="46">
        <f>'Issues &amp; Punch List'!R787</f>
        <v/>
      </c>
      <c r="E6821" s="46">
        <f>IF(OR(B6821="",C6821="",D6821=""),"",D6821*100000+(C6821-DATE(2000,1,1))+ROW()/100000)</f>
        <v/>
      </c>
      <c r="F6821" s="46">
        <f>IF(E6821="","",IF(C6821&gt;WeekEndDate,"",E6821))</f>
        <v/>
      </c>
    </row>
    <row r="6822">
      <c r="A6822" t="inlineStr">
        <is>
          <t>Issues &amp; Punch List</t>
        </is>
      </c>
      <c r="B6822" s="46">
        <f>'Issues &amp; Punch List'!S788</f>
        <v/>
      </c>
      <c r="C6822" s="84">
        <f>'Issues &amp; Punch List'!Q788</f>
        <v/>
      </c>
      <c r="D6822" s="46">
        <f>'Issues &amp; Punch List'!R788</f>
        <v/>
      </c>
      <c r="E6822" s="46">
        <f>IF(OR(B6822="",C6822="",D6822=""),"",D6822*100000+(C6822-DATE(2000,1,1))+ROW()/100000)</f>
        <v/>
      </c>
      <c r="F6822" s="46">
        <f>IF(E6822="","",IF(C6822&gt;WeekEndDate,"",E6822))</f>
        <v/>
      </c>
    </row>
    <row r="6823">
      <c r="A6823" t="inlineStr">
        <is>
          <t>Issues &amp; Punch List</t>
        </is>
      </c>
      <c r="B6823" s="46">
        <f>'Issues &amp; Punch List'!S789</f>
        <v/>
      </c>
      <c r="C6823" s="84">
        <f>'Issues &amp; Punch List'!Q789</f>
        <v/>
      </c>
      <c r="D6823" s="46">
        <f>'Issues &amp; Punch List'!R789</f>
        <v/>
      </c>
      <c r="E6823" s="46">
        <f>IF(OR(B6823="",C6823="",D6823=""),"",D6823*100000+(C6823-DATE(2000,1,1))+ROW()/100000)</f>
        <v/>
      </c>
      <c r="F6823" s="46">
        <f>IF(E6823="","",IF(C6823&gt;WeekEndDate,"",E6823))</f>
        <v/>
      </c>
    </row>
    <row r="6824">
      <c r="A6824" t="inlineStr">
        <is>
          <t>Issues &amp; Punch List</t>
        </is>
      </c>
      <c r="B6824" s="46">
        <f>'Issues &amp; Punch List'!S790</f>
        <v/>
      </c>
      <c r="C6824" s="84">
        <f>'Issues &amp; Punch List'!Q790</f>
        <v/>
      </c>
      <c r="D6824" s="46">
        <f>'Issues &amp; Punch List'!R790</f>
        <v/>
      </c>
      <c r="E6824" s="46">
        <f>IF(OR(B6824="",C6824="",D6824=""),"",D6824*100000+(C6824-DATE(2000,1,1))+ROW()/100000)</f>
        <v/>
      </c>
      <c r="F6824" s="46">
        <f>IF(E6824="","",IF(C6824&gt;WeekEndDate,"",E6824))</f>
        <v/>
      </c>
    </row>
    <row r="6825">
      <c r="A6825" t="inlineStr">
        <is>
          <t>Issues &amp; Punch List</t>
        </is>
      </c>
      <c r="B6825" s="46">
        <f>'Issues &amp; Punch List'!S791</f>
        <v/>
      </c>
      <c r="C6825" s="84">
        <f>'Issues &amp; Punch List'!Q791</f>
        <v/>
      </c>
      <c r="D6825" s="46">
        <f>'Issues &amp; Punch List'!R791</f>
        <v/>
      </c>
      <c r="E6825" s="46">
        <f>IF(OR(B6825="",C6825="",D6825=""),"",D6825*100000+(C6825-DATE(2000,1,1))+ROW()/100000)</f>
        <v/>
      </c>
      <c r="F6825" s="46">
        <f>IF(E6825="","",IF(C6825&gt;WeekEndDate,"",E6825))</f>
        <v/>
      </c>
    </row>
    <row r="6826">
      <c r="A6826" t="inlineStr">
        <is>
          <t>Issues &amp; Punch List</t>
        </is>
      </c>
      <c r="B6826" s="46">
        <f>'Issues &amp; Punch List'!S792</f>
        <v/>
      </c>
      <c r="C6826" s="84">
        <f>'Issues &amp; Punch List'!Q792</f>
        <v/>
      </c>
      <c r="D6826" s="46">
        <f>'Issues &amp; Punch List'!R792</f>
        <v/>
      </c>
      <c r="E6826" s="46">
        <f>IF(OR(B6826="",C6826="",D6826=""),"",D6826*100000+(C6826-DATE(2000,1,1))+ROW()/100000)</f>
        <v/>
      </c>
      <c r="F6826" s="46">
        <f>IF(E6826="","",IF(C6826&gt;WeekEndDate,"",E6826))</f>
        <v/>
      </c>
    </row>
    <row r="6827">
      <c r="A6827" t="inlineStr">
        <is>
          <t>Issues &amp; Punch List</t>
        </is>
      </c>
      <c r="B6827" s="46">
        <f>'Issues &amp; Punch List'!S793</f>
        <v/>
      </c>
      <c r="C6827" s="84">
        <f>'Issues &amp; Punch List'!Q793</f>
        <v/>
      </c>
      <c r="D6827" s="46">
        <f>'Issues &amp; Punch List'!R793</f>
        <v/>
      </c>
      <c r="E6827" s="46">
        <f>IF(OR(B6827="",C6827="",D6827=""),"",D6827*100000+(C6827-DATE(2000,1,1))+ROW()/100000)</f>
        <v/>
      </c>
      <c r="F6827" s="46">
        <f>IF(E6827="","",IF(C6827&gt;WeekEndDate,"",E6827))</f>
        <v/>
      </c>
    </row>
    <row r="6828">
      <c r="A6828" t="inlineStr">
        <is>
          <t>Issues &amp; Punch List</t>
        </is>
      </c>
      <c r="B6828" s="46">
        <f>'Issues &amp; Punch List'!S794</f>
        <v/>
      </c>
      <c r="C6828" s="84">
        <f>'Issues &amp; Punch List'!Q794</f>
        <v/>
      </c>
      <c r="D6828" s="46">
        <f>'Issues &amp; Punch List'!R794</f>
        <v/>
      </c>
      <c r="E6828" s="46">
        <f>IF(OR(B6828="",C6828="",D6828=""),"",D6828*100000+(C6828-DATE(2000,1,1))+ROW()/100000)</f>
        <v/>
      </c>
      <c r="F6828" s="46">
        <f>IF(E6828="","",IF(C6828&gt;WeekEndDate,"",E6828))</f>
        <v/>
      </c>
    </row>
    <row r="6829">
      <c r="A6829" t="inlineStr">
        <is>
          <t>Issues &amp; Punch List</t>
        </is>
      </c>
      <c r="B6829" s="46">
        <f>'Issues &amp; Punch List'!S795</f>
        <v/>
      </c>
      <c r="C6829" s="84">
        <f>'Issues &amp; Punch List'!Q795</f>
        <v/>
      </c>
      <c r="D6829" s="46">
        <f>'Issues &amp; Punch List'!R795</f>
        <v/>
      </c>
      <c r="E6829" s="46">
        <f>IF(OR(B6829="",C6829="",D6829=""),"",D6829*100000+(C6829-DATE(2000,1,1))+ROW()/100000)</f>
        <v/>
      </c>
      <c r="F6829" s="46">
        <f>IF(E6829="","",IF(C6829&gt;WeekEndDate,"",E6829))</f>
        <v/>
      </c>
    </row>
    <row r="6830">
      <c r="A6830" t="inlineStr">
        <is>
          <t>Issues &amp; Punch List</t>
        </is>
      </c>
      <c r="B6830" s="46">
        <f>'Issues &amp; Punch List'!S796</f>
        <v/>
      </c>
      <c r="C6830" s="84">
        <f>'Issues &amp; Punch List'!Q796</f>
        <v/>
      </c>
      <c r="D6830" s="46">
        <f>'Issues &amp; Punch List'!R796</f>
        <v/>
      </c>
      <c r="E6830" s="46">
        <f>IF(OR(B6830="",C6830="",D6830=""),"",D6830*100000+(C6830-DATE(2000,1,1))+ROW()/100000)</f>
        <v/>
      </c>
      <c r="F6830" s="46">
        <f>IF(E6830="","",IF(C6830&gt;WeekEndDate,"",E6830))</f>
        <v/>
      </c>
    </row>
    <row r="6831">
      <c r="A6831" t="inlineStr">
        <is>
          <t>Issues &amp; Punch List</t>
        </is>
      </c>
      <c r="B6831" s="46">
        <f>'Issues &amp; Punch List'!S797</f>
        <v/>
      </c>
      <c r="C6831" s="84">
        <f>'Issues &amp; Punch List'!Q797</f>
        <v/>
      </c>
      <c r="D6831" s="46">
        <f>'Issues &amp; Punch List'!R797</f>
        <v/>
      </c>
      <c r="E6831" s="46">
        <f>IF(OR(B6831="",C6831="",D6831=""),"",D6831*100000+(C6831-DATE(2000,1,1))+ROW()/100000)</f>
        <v/>
      </c>
      <c r="F6831" s="46">
        <f>IF(E6831="","",IF(C6831&gt;WeekEndDate,"",E6831))</f>
        <v/>
      </c>
    </row>
    <row r="6832">
      <c r="A6832" t="inlineStr">
        <is>
          <t>Issues &amp; Punch List</t>
        </is>
      </c>
      <c r="B6832" s="46">
        <f>'Issues &amp; Punch List'!S798</f>
        <v/>
      </c>
      <c r="C6832" s="84">
        <f>'Issues &amp; Punch List'!Q798</f>
        <v/>
      </c>
      <c r="D6832" s="46">
        <f>'Issues &amp; Punch List'!R798</f>
        <v/>
      </c>
      <c r="E6832" s="46">
        <f>IF(OR(B6832="",C6832="",D6832=""),"",D6832*100000+(C6832-DATE(2000,1,1))+ROW()/100000)</f>
        <v/>
      </c>
      <c r="F6832" s="46">
        <f>IF(E6832="","",IF(C6832&gt;WeekEndDate,"",E6832))</f>
        <v/>
      </c>
    </row>
    <row r="6833">
      <c r="A6833" t="inlineStr">
        <is>
          <t>Issues &amp; Punch List</t>
        </is>
      </c>
      <c r="B6833" s="46">
        <f>'Issues &amp; Punch List'!S799</f>
        <v/>
      </c>
      <c r="C6833" s="84">
        <f>'Issues &amp; Punch List'!Q799</f>
        <v/>
      </c>
      <c r="D6833" s="46">
        <f>'Issues &amp; Punch List'!R799</f>
        <v/>
      </c>
      <c r="E6833" s="46">
        <f>IF(OR(B6833="",C6833="",D6833=""),"",D6833*100000+(C6833-DATE(2000,1,1))+ROW()/100000)</f>
        <v/>
      </c>
      <c r="F6833" s="46">
        <f>IF(E6833="","",IF(C6833&gt;WeekEndDate,"",E6833))</f>
        <v/>
      </c>
    </row>
    <row r="6834">
      <c r="A6834" t="inlineStr">
        <is>
          <t>Issues &amp; Punch List</t>
        </is>
      </c>
      <c r="B6834" s="46">
        <f>'Issues &amp; Punch List'!S800</f>
        <v/>
      </c>
      <c r="C6834" s="84">
        <f>'Issues &amp; Punch List'!Q800</f>
        <v/>
      </c>
      <c r="D6834" s="46">
        <f>'Issues &amp; Punch List'!R800</f>
        <v/>
      </c>
      <c r="E6834" s="46">
        <f>IF(OR(B6834="",C6834="",D6834=""),"",D6834*100000+(C6834-DATE(2000,1,1))+ROW()/100000)</f>
        <v/>
      </c>
      <c r="F6834" s="46">
        <f>IF(E6834="","",IF(C6834&gt;WeekEndDate,"",E6834))</f>
        <v/>
      </c>
    </row>
    <row r="6835">
      <c r="A6835" t="inlineStr">
        <is>
          <t>Issues &amp; Punch List</t>
        </is>
      </c>
      <c r="B6835" s="46">
        <f>'Issues &amp; Punch List'!S801</f>
        <v/>
      </c>
      <c r="C6835" s="84">
        <f>'Issues &amp; Punch List'!Q801</f>
        <v/>
      </c>
      <c r="D6835" s="46">
        <f>'Issues &amp; Punch List'!R801</f>
        <v/>
      </c>
      <c r="E6835" s="46">
        <f>IF(OR(B6835="",C6835="",D6835=""),"",D6835*100000+(C6835-DATE(2000,1,1))+ROW()/100000)</f>
        <v/>
      </c>
      <c r="F6835" s="46">
        <f>IF(E6835="","",IF(C6835&gt;WeekEndDate,"",E6835))</f>
        <v/>
      </c>
    </row>
    <row r="6836">
      <c r="A6836" t="inlineStr">
        <is>
          <t>Issues &amp; Punch List</t>
        </is>
      </c>
      <c r="B6836" s="46">
        <f>'Issues &amp; Punch List'!S802</f>
        <v/>
      </c>
      <c r="C6836" s="84">
        <f>'Issues &amp; Punch List'!Q802</f>
        <v/>
      </c>
      <c r="D6836" s="46">
        <f>'Issues &amp; Punch List'!R802</f>
        <v/>
      </c>
      <c r="E6836" s="46">
        <f>IF(OR(B6836="",C6836="",D6836=""),"",D6836*100000+(C6836-DATE(2000,1,1))+ROW()/100000)</f>
        <v/>
      </c>
      <c r="F6836" s="46">
        <f>IF(E6836="","",IF(C6836&gt;WeekEndDate,"",E6836))</f>
        <v/>
      </c>
    </row>
    <row r="6837">
      <c r="A6837" t="inlineStr">
        <is>
          <t>Issues &amp; Punch List</t>
        </is>
      </c>
      <c r="B6837" s="46">
        <f>'Issues &amp; Punch List'!S803</f>
        <v/>
      </c>
      <c r="C6837" s="84">
        <f>'Issues &amp; Punch List'!Q803</f>
        <v/>
      </c>
      <c r="D6837" s="46">
        <f>'Issues &amp; Punch List'!R803</f>
        <v/>
      </c>
      <c r="E6837" s="46">
        <f>IF(OR(B6837="",C6837="",D6837=""),"",D6837*100000+(C6837-DATE(2000,1,1))+ROW()/100000)</f>
        <v/>
      </c>
      <c r="F6837" s="46">
        <f>IF(E6837="","",IF(C6837&gt;WeekEndDate,"",E6837))</f>
        <v/>
      </c>
    </row>
    <row r="6838">
      <c r="A6838" t="inlineStr">
        <is>
          <t>Issues &amp; Punch List</t>
        </is>
      </c>
      <c r="B6838" s="46">
        <f>'Issues &amp; Punch List'!S804</f>
        <v/>
      </c>
      <c r="C6838" s="84">
        <f>'Issues &amp; Punch List'!Q804</f>
        <v/>
      </c>
      <c r="D6838" s="46">
        <f>'Issues &amp; Punch List'!R804</f>
        <v/>
      </c>
      <c r="E6838" s="46">
        <f>IF(OR(B6838="",C6838="",D6838=""),"",D6838*100000+(C6838-DATE(2000,1,1))+ROW()/100000)</f>
        <v/>
      </c>
      <c r="F6838" s="46">
        <f>IF(E6838="","",IF(C6838&gt;WeekEndDate,"",E6838))</f>
        <v/>
      </c>
    </row>
    <row r="6839">
      <c r="A6839" t="inlineStr">
        <is>
          <t>Issues &amp; Punch List</t>
        </is>
      </c>
      <c r="B6839" s="46">
        <f>'Issues &amp; Punch List'!S805</f>
        <v/>
      </c>
      <c r="C6839" s="84">
        <f>'Issues &amp; Punch List'!Q805</f>
        <v/>
      </c>
      <c r="D6839" s="46">
        <f>'Issues &amp; Punch List'!R805</f>
        <v/>
      </c>
      <c r="E6839" s="46">
        <f>IF(OR(B6839="",C6839="",D6839=""),"",D6839*100000+(C6839-DATE(2000,1,1))+ROW()/100000)</f>
        <v/>
      </c>
      <c r="F6839" s="46">
        <f>IF(E6839="","",IF(C6839&gt;WeekEndDate,"",E6839))</f>
        <v/>
      </c>
    </row>
    <row r="6840">
      <c r="A6840" t="inlineStr">
        <is>
          <t>Issues &amp; Punch List</t>
        </is>
      </c>
      <c r="B6840" s="46">
        <f>'Issues &amp; Punch List'!S806</f>
        <v/>
      </c>
      <c r="C6840" s="84">
        <f>'Issues &amp; Punch List'!Q806</f>
        <v/>
      </c>
      <c r="D6840" s="46">
        <f>'Issues &amp; Punch List'!R806</f>
        <v/>
      </c>
      <c r="E6840" s="46">
        <f>IF(OR(B6840="",C6840="",D6840=""),"",D6840*100000+(C6840-DATE(2000,1,1))+ROW()/100000)</f>
        <v/>
      </c>
      <c r="F6840" s="46">
        <f>IF(E6840="","",IF(C6840&gt;WeekEndDate,"",E6840))</f>
        <v/>
      </c>
    </row>
    <row r="6841">
      <c r="A6841" t="inlineStr">
        <is>
          <t>Issues &amp; Punch List</t>
        </is>
      </c>
      <c r="B6841" s="46">
        <f>'Issues &amp; Punch List'!S807</f>
        <v/>
      </c>
      <c r="C6841" s="84">
        <f>'Issues &amp; Punch List'!Q807</f>
        <v/>
      </c>
      <c r="D6841" s="46">
        <f>'Issues &amp; Punch List'!R807</f>
        <v/>
      </c>
      <c r="E6841" s="46">
        <f>IF(OR(B6841="",C6841="",D6841=""),"",D6841*100000+(C6841-DATE(2000,1,1))+ROW()/100000)</f>
        <v/>
      </c>
      <c r="F6841" s="46">
        <f>IF(E6841="","",IF(C6841&gt;WeekEndDate,"",E6841))</f>
        <v/>
      </c>
    </row>
    <row r="6842">
      <c r="A6842" t="inlineStr">
        <is>
          <t>Issues &amp; Punch List</t>
        </is>
      </c>
      <c r="B6842" s="46">
        <f>'Issues &amp; Punch List'!S808</f>
        <v/>
      </c>
      <c r="C6842" s="84">
        <f>'Issues &amp; Punch List'!Q808</f>
        <v/>
      </c>
      <c r="D6842" s="46">
        <f>'Issues &amp; Punch List'!R808</f>
        <v/>
      </c>
      <c r="E6842" s="46">
        <f>IF(OR(B6842="",C6842="",D6842=""),"",D6842*100000+(C6842-DATE(2000,1,1))+ROW()/100000)</f>
        <v/>
      </c>
      <c r="F6842" s="46">
        <f>IF(E6842="","",IF(C6842&gt;WeekEndDate,"",E6842))</f>
        <v/>
      </c>
    </row>
    <row r="6843">
      <c r="A6843" t="inlineStr">
        <is>
          <t>Issues &amp; Punch List</t>
        </is>
      </c>
      <c r="B6843" s="46">
        <f>'Issues &amp; Punch List'!S809</f>
        <v/>
      </c>
      <c r="C6843" s="84">
        <f>'Issues &amp; Punch List'!Q809</f>
        <v/>
      </c>
      <c r="D6843" s="46">
        <f>'Issues &amp; Punch List'!R809</f>
        <v/>
      </c>
      <c r="E6843" s="46">
        <f>IF(OR(B6843="",C6843="",D6843=""),"",D6843*100000+(C6843-DATE(2000,1,1))+ROW()/100000)</f>
        <v/>
      </c>
      <c r="F6843" s="46">
        <f>IF(E6843="","",IF(C6843&gt;WeekEndDate,"",E6843))</f>
        <v/>
      </c>
    </row>
    <row r="6844">
      <c r="A6844" t="inlineStr">
        <is>
          <t>Issues &amp; Punch List</t>
        </is>
      </c>
      <c r="B6844" s="46">
        <f>'Issues &amp; Punch List'!S810</f>
        <v/>
      </c>
      <c r="C6844" s="84">
        <f>'Issues &amp; Punch List'!Q810</f>
        <v/>
      </c>
      <c r="D6844" s="46">
        <f>'Issues &amp; Punch List'!R810</f>
        <v/>
      </c>
      <c r="E6844" s="46">
        <f>IF(OR(B6844="",C6844="",D6844=""),"",D6844*100000+(C6844-DATE(2000,1,1))+ROW()/100000)</f>
        <v/>
      </c>
      <c r="F6844" s="46">
        <f>IF(E6844="","",IF(C6844&gt;WeekEndDate,"",E6844))</f>
        <v/>
      </c>
    </row>
    <row r="6845">
      <c r="A6845" t="inlineStr">
        <is>
          <t>Issues &amp; Punch List</t>
        </is>
      </c>
      <c r="B6845" s="46">
        <f>'Issues &amp; Punch List'!S811</f>
        <v/>
      </c>
      <c r="C6845" s="84">
        <f>'Issues &amp; Punch List'!Q811</f>
        <v/>
      </c>
      <c r="D6845" s="46">
        <f>'Issues &amp; Punch List'!R811</f>
        <v/>
      </c>
      <c r="E6845" s="46">
        <f>IF(OR(B6845="",C6845="",D6845=""),"",D6845*100000+(C6845-DATE(2000,1,1))+ROW()/100000)</f>
        <v/>
      </c>
      <c r="F6845" s="46">
        <f>IF(E6845="","",IF(C6845&gt;WeekEndDate,"",E6845))</f>
        <v/>
      </c>
    </row>
    <row r="6846">
      <c r="A6846" t="inlineStr">
        <is>
          <t>Issues &amp; Punch List</t>
        </is>
      </c>
      <c r="B6846" s="46">
        <f>'Issues &amp; Punch List'!S812</f>
        <v/>
      </c>
      <c r="C6846" s="84">
        <f>'Issues &amp; Punch List'!Q812</f>
        <v/>
      </c>
      <c r="D6846" s="46">
        <f>'Issues &amp; Punch List'!R812</f>
        <v/>
      </c>
      <c r="E6846" s="46">
        <f>IF(OR(B6846="",C6846="",D6846=""),"",D6846*100000+(C6846-DATE(2000,1,1))+ROW()/100000)</f>
        <v/>
      </c>
      <c r="F6846" s="46">
        <f>IF(E6846="","",IF(C6846&gt;WeekEndDate,"",E6846))</f>
        <v/>
      </c>
    </row>
    <row r="6847">
      <c r="A6847" t="inlineStr">
        <is>
          <t>Issues &amp; Punch List</t>
        </is>
      </c>
      <c r="B6847" s="46">
        <f>'Issues &amp; Punch List'!S813</f>
        <v/>
      </c>
      <c r="C6847" s="84">
        <f>'Issues &amp; Punch List'!Q813</f>
        <v/>
      </c>
      <c r="D6847" s="46">
        <f>'Issues &amp; Punch List'!R813</f>
        <v/>
      </c>
      <c r="E6847" s="46">
        <f>IF(OR(B6847="",C6847="",D6847=""),"",D6847*100000+(C6847-DATE(2000,1,1))+ROW()/100000)</f>
        <v/>
      </c>
      <c r="F6847" s="46">
        <f>IF(E6847="","",IF(C6847&gt;WeekEndDate,"",E6847))</f>
        <v/>
      </c>
    </row>
    <row r="6848">
      <c r="A6848" t="inlineStr">
        <is>
          <t>Issues &amp; Punch List</t>
        </is>
      </c>
      <c r="B6848" s="46">
        <f>'Issues &amp; Punch List'!S814</f>
        <v/>
      </c>
      <c r="C6848" s="84">
        <f>'Issues &amp; Punch List'!Q814</f>
        <v/>
      </c>
      <c r="D6848" s="46">
        <f>'Issues &amp; Punch List'!R814</f>
        <v/>
      </c>
      <c r="E6848" s="46">
        <f>IF(OR(B6848="",C6848="",D6848=""),"",D6848*100000+(C6848-DATE(2000,1,1))+ROW()/100000)</f>
        <v/>
      </c>
      <c r="F6848" s="46">
        <f>IF(E6848="","",IF(C6848&gt;WeekEndDate,"",E6848))</f>
        <v/>
      </c>
    </row>
    <row r="6849">
      <c r="A6849" t="inlineStr">
        <is>
          <t>Issues &amp; Punch List</t>
        </is>
      </c>
      <c r="B6849" s="46">
        <f>'Issues &amp; Punch List'!S815</f>
        <v/>
      </c>
      <c r="C6849" s="84">
        <f>'Issues &amp; Punch List'!Q815</f>
        <v/>
      </c>
      <c r="D6849" s="46">
        <f>'Issues &amp; Punch List'!R815</f>
        <v/>
      </c>
      <c r="E6849" s="46">
        <f>IF(OR(B6849="",C6849="",D6849=""),"",D6849*100000+(C6849-DATE(2000,1,1))+ROW()/100000)</f>
        <v/>
      </c>
      <c r="F6849" s="46">
        <f>IF(E6849="","",IF(C6849&gt;WeekEndDate,"",E6849))</f>
        <v/>
      </c>
    </row>
    <row r="6850">
      <c r="A6850" t="inlineStr">
        <is>
          <t>Issues &amp; Punch List</t>
        </is>
      </c>
      <c r="B6850" s="46">
        <f>'Issues &amp; Punch List'!S816</f>
        <v/>
      </c>
      <c r="C6850" s="84">
        <f>'Issues &amp; Punch List'!Q816</f>
        <v/>
      </c>
      <c r="D6850" s="46">
        <f>'Issues &amp; Punch List'!R816</f>
        <v/>
      </c>
      <c r="E6850" s="46">
        <f>IF(OR(B6850="",C6850="",D6850=""),"",D6850*100000+(C6850-DATE(2000,1,1))+ROW()/100000)</f>
        <v/>
      </c>
      <c r="F6850" s="46">
        <f>IF(E6850="","",IF(C6850&gt;WeekEndDate,"",E6850))</f>
        <v/>
      </c>
    </row>
    <row r="6851">
      <c r="A6851" t="inlineStr">
        <is>
          <t>Issues &amp; Punch List</t>
        </is>
      </c>
      <c r="B6851" s="46">
        <f>'Issues &amp; Punch List'!S817</f>
        <v/>
      </c>
      <c r="C6851" s="84">
        <f>'Issues &amp; Punch List'!Q817</f>
        <v/>
      </c>
      <c r="D6851" s="46">
        <f>'Issues &amp; Punch List'!R817</f>
        <v/>
      </c>
      <c r="E6851" s="46">
        <f>IF(OR(B6851="",C6851="",D6851=""),"",D6851*100000+(C6851-DATE(2000,1,1))+ROW()/100000)</f>
        <v/>
      </c>
      <c r="F6851" s="46">
        <f>IF(E6851="","",IF(C6851&gt;WeekEndDate,"",E6851))</f>
        <v/>
      </c>
    </row>
    <row r="6852">
      <c r="A6852" t="inlineStr">
        <is>
          <t>Issues &amp; Punch List</t>
        </is>
      </c>
      <c r="B6852" s="46">
        <f>'Issues &amp; Punch List'!S818</f>
        <v/>
      </c>
      <c r="C6852" s="84">
        <f>'Issues &amp; Punch List'!Q818</f>
        <v/>
      </c>
      <c r="D6852" s="46">
        <f>'Issues &amp; Punch List'!R818</f>
        <v/>
      </c>
      <c r="E6852" s="46">
        <f>IF(OR(B6852="",C6852="",D6852=""),"",D6852*100000+(C6852-DATE(2000,1,1))+ROW()/100000)</f>
        <v/>
      </c>
      <c r="F6852" s="46">
        <f>IF(E6852="","",IF(C6852&gt;WeekEndDate,"",E6852))</f>
        <v/>
      </c>
    </row>
    <row r="6853">
      <c r="A6853" t="inlineStr">
        <is>
          <t>Issues &amp; Punch List</t>
        </is>
      </c>
      <c r="B6853" s="46">
        <f>'Issues &amp; Punch List'!S819</f>
        <v/>
      </c>
      <c r="C6853" s="84">
        <f>'Issues &amp; Punch List'!Q819</f>
        <v/>
      </c>
      <c r="D6853" s="46">
        <f>'Issues &amp; Punch List'!R819</f>
        <v/>
      </c>
      <c r="E6853" s="46">
        <f>IF(OR(B6853="",C6853="",D6853=""),"",D6853*100000+(C6853-DATE(2000,1,1))+ROW()/100000)</f>
        <v/>
      </c>
      <c r="F6853" s="46">
        <f>IF(E6853="","",IF(C6853&gt;WeekEndDate,"",E6853))</f>
        <v/>
      </c>
    </row>
    <row r="6854">
      <c r="A6854" t="inlineStr">
        <is>
          <t>Issues &amp; Punch List</t>
        </is>
      </c>
      <c r="B6854" s="46">
        <f>'Issues &amp; Punch List'!S820</f>
        <v/>
      </c>
      <c r="C6854" s="84">
        <f>'Issues &amp; Punch List'!Q820</f>
        <v/>
      </c>
      <c r="D6854" s="46">
        <f>'Issues &amp; Punch List'!R820</f>
        <v/>
      </c>
      <c r="E6854" s="46">
        <f>IF(OR(B6854="",C6854="",D6854=""),"",D6854*100000+(C6854-DATE(2000,1,1))+ROW()/100000)</f>
        <v/>
      </c>
      <c r="F6854" s="46">
        <f>IF(E6854="","",IF(C6854&gt;WeekEndDate,"",E6854))</f>
        <v/>
      </c>
    </row>
    <row r="6855">
      <c r="A6855" t="inlineStr">
        <is>
          <t>Issues &amp; Punch List</t>
        </is>
      </c>
      <c r="B6855" s="46">
        <f>'Issues &amp; Punch List'!S821</f>
        <v/>
      </c>
      <c r="C6855" s="84">
        <f>'Issues &amp; Punch List'!Q821</f>
        <v/>
      </c>
      <c r="D6855" s="46">
        <f>'Issues &amp; Punch List'!R821</f>
        <v/>
      </c>
      <c r="E6855" s="46">
        <f>IF(OR(B6855="",C6855="",D6855=""),"",D6855*100000+(C6855-DATE(2000,1,1))+ROW()/100000)</f>
        <v/>
      </c>
      <c r="F6855" s="46">
        <f>IF(E6855="","",IF(C6855&gt;WeekEndDate,"",E6855))</f>
        <v/>
      </c>
    </row>
    <row r="6856">
      <c r="A6856" t="inlineStr">
        <is>
          <t>Issues &amp; Punch List</t>
        </is>
      </c>
      <c r="B6856" s="46">
        <f>'Issues &amp; Punch List'!S822</f>
        <v/>
      </c>
      <c r="C6856" s="84">
        <f>'Issues &amp; Punch List'!Q822</f>
        <v/>
      </c>
      <c r="D6856" s="46">
        <f>'Issues &amp; Punch List'!R822</f>
        <v/>
      </c>
      <c r="E6856" s="46">
        <f>IF(OR(B6856="",C6856="",D6856=""),"",D6856*100000+(C6856-DATE(2000,1,1))+ROW()/100000)</f>
        <v/>
      </c>
      <c r="F6856" s="46">
        <f>IF(E6856="","",IF(C6856&gt;WeekEndDate,"",E6856))</f>
        <v/>
      </c>
    </row>
    <row r="6857">
      <c r="A6857" t="inlineStr">
        <is>
          <t>Issues &amp; Punch List</t>
        </is>
      </c>
      <c r="B6857" s="46">
        <f>'Issues &amp; Punch List'!S823</f>
        <v/>
      </c>
      <c r="C6857" s="84">
        <f>'Issues &amp; Punch List'!Q823</f>
        <v/>
      </c>
      <c r="D6857" s="46">
        <f>'Issues &amp; Punch List'!R823</f>
        <v/>
      </c>
      <c r="E6857" s="46">
        <f>IF(OR(B6857="",C6857="",D6857=""),"",D6857*100000+(C6857-DATE(2000,1,1))+ROW()/100000)</f>
        <v/>
      </c>
      <c r="F6857" s="46">
        <f>IF(E6857="","",IF(C6857&gt;WeekEndDate,"",E6857))</f>
        <v/>
      </c>
    </row>
    <row r="6858">
      <c r="A6858" t="inlineStr">
        <is>
          <t>Issues &amp; Punch List</t>
        </is>
      </c>
      <c r="B6858" s="46">
        <f>'Issues &amp; Punch List'!S824</f>
        <v/>
      </c>
      <c r="C6858" s="84">
        <f>'Issues &amp; Punch List'!Q824</f>
        <v/>
      </c>
      <c r="D6858" s="46">
        <f>'Issues &amp; Punch List'!R824</f>
        <v/>
      </c>
      <c r="E6858" s="46">
        <f>IF(OR(B6858="",C6858="",D6858=""),"",D6858*100000+(C6858-DATE(2000,1,1))+ROW()/100000)</f>
        <v/>
      </c>
      <c r="F6858" s="46">
        <f>IF(E6858="","",IF(C6858&gt;WeekEndDate,"",E6858))</f>
        <v/>
      </c>
    </row>
    <row r="6859">
      <c r="A6859" t="inlineStr">
        <is>
          <t>Issues &amp; Punch List</t>
        </is>
      </c>
      <c r="B6859" s="46">
        <f>'Issues &amp; Punch List'!S825</f>
        <v/>
      </c>
      <c r="C6859" s="84">
        <f>'Issues &amp; Punch List'!Q825</f>
        <v/>
      </c>
      <c r="D6859" s="46">
        <f>'Issues &amp; Punch List'!R825</f>
        <v/>
      </c>
      <c r="E6859" s="46">
        <f>IF(OR(B6859="",C6859="",D6859=""),"",D6859*100000+(C6859-DATE(2000,1,1))+ROW()/100000)</f>
        <v/>
      </c>
      <c r="F6859" s="46">
        <f>IF(E6859="","",IF(C6859&gt;WeekEndDate,"",E6859))</f>
        <v/>
      </c>
    </row>
    <row r="6860">
      <c r="A6860" t="inlineStr">
        <is>
          <t>Issues &amp; Punch List</t>
        </is>
      </c>
      <c r="B6860" s="46">
        <f>'Issues &amp; Punch List'!S826</f>
        <v/>
      </c>
      <c r="C6860" s="84">
        <f>'Issues &amp; Punch List'!Q826</f>
        <v/>
      </c>
      <c r="D6860" s="46">
        <f>'Issues &amp; Punch List'!R826</f>
        <v/>
      </c>
      <c r="E6860" s="46">
        <f>IF(OR(B6860="",C6860="",D6860=""),"",D6860*100000+(C6860-DATE(2000,1,1))+ROW()/100000)</f>
        <v/>
      </c>
      <c r="F6860" s="46">
        <f>IF(E6860="","",IF(C6860&gt;WeekEndDate,"",E6860))</f>
        <v/>
      </c>
    </row>
    <row r="6861">
      <c r="A6861" t="inlineStr">
        <is>
          <t>Issues &amp; Punch List</t>
        </is>
      </c>
      <c r="B6861" s="46">
        <f>'Issues &amp; Punch List'!S827</f>
        <v/>
      </c>
      <c r="C6861" s="84">
        <f>'Issues &amp; Punch List'!Q827</f>
        <v/>
      </c>
      <c r="D6861" s="46">
        <f>'Issues &amp; Punch List'!R827</f>
        <v/>
      </c>
      <c r="E6861" s="46">
        <f>IF(OR(B6861="",C6861="",D6861=""),"",D6861*100000+(C6861-DATE(2000,1,1))+ROW()/100000)</f>
        <v/>
      </c>
      <c r="F6861" s="46">
        <f>IF(E6861="","",IF(C6861&gt;WeekEndDate,"",E6861))</f>
        <v/>
      </c>
    </row>
    <row r="6862">
      <c r="A6862" t="inlineStr">
        <is>
          <t>Issues &amp; Punch List</t>
        </is>
      </c>
      <c r="B6862" s="46">
        <f>'Issues &amp; Punch List'!S828</f>
        <v/>
      </c>
      <c r="C6862" s="84">
        <f>'Issues &amp; Punch List'!Q828</f>
        <v/>
      </c>
      <c r="D6862" s="46">
        <f>'Issues &amp; Punch List'!R828</f>
        <v/>
      </c>
      <c r="E6862" s="46">
        <f>IF(OR(B6862="",C6862="",D6862=""),"",D6862*100000+(C6862-DATE(2000,1,1))+ROW()/100000)</f>
        <v/>
      </c>
      <c r="F6862" s="46">
        <f>IF(E6862="","",IF(C6862&gt;WeekEndDate,"",E6862))</f>
        <v/>
      </c>
    </row>
    <row r="6863">
      <c r="A6863" t="inlineStr">
        <is>
          <t>Issues &amp; Punch List</t>
        </is>
      </c>
      <c r="B6863" s="46">
        <f>'Issues &amp; Punch List'!S829</f>
        <v/>
      </c>
      <c r="C6863" s="84">
        <f>'Issues &amp; Punch List'!Q829</f>
        <v/>
      </c>
      <c r="D6863" s="46">
        <f>'Issues &amp; Punch List'!R829</f>
        <v/>
      </c>
      <c r="E6863" s="46">
        <f>IF(OR(B6863="",C6863="",D6863=""),"",D6863*100000+(C6863-DATE(2000,1,1))+ROW()/100000)</f>
        <v/>
      </c>
      <c r="F6863" s="46">
        <f>IF(E6863="","",IF(C6863&gt;WeekEndDate,"",E6863))</f>
        <v/>
      </c>
    </row>
    <row r="6864">
      <c r="A6864" t="inlineStr">
        <is>
          <t>Issues &amp; Punch List</t>
        </is>
      </c>
      <c r="B6864" s="46">
        <f>'Issues &amp; Punch List'!S830</f>
        <v/>
      </c>
      <c r="C6864" s="84">
        <f>'Issues &amp; Punch List'!Q830</f>
        <v/>
      </c>
      <c r="D6864" s="46">
        <f>'Issues &amp; Punch List'!R830</f>
        <v/>
      </c>
      <c r="E6864" s="46">
        <f>IF(OR(B6864="",C6864="",D6864=""),"",D6864*100000+(C6864-DATE(2000,1,1))+ROW()/100000)</f>
        <v/>
      </c>
      <c r="F6864" s="46">
        <f>IF(E6864="","",IF(C6864&gt;WeekEndDate,"",E6864))</f>
        <v/>
      </c>
    </row>
    <row r="6865">
      <c r="A6865" t="inlineStr">
        <is>
          <t>Issues &amp; Punch List</t>
        </is>
      </c>
      <c r="B6865" s="46">
        <f>'Issues &amp; Punch List'!S831</f>
        <v/>
      </c>
      <c r="C6865" s="84">
        <f>'Issues &amp; Punch List'!Q831</f>
        <v/>
      </c>
      <c r="D6865" s="46">
        <f>'Issues &amp; Punch List'!R831</f>
        <v/>
      </c>
      <c r="E6865" s="46">
        <f>IF(OR(B6865="",C6865="",D6865=""),"",D6865*100000+(C6865-DATE(2000,1,1))+ROW()/100000)</f>
        <v/>
      </c>
      <c r="F6865" s="46">
        <f>IF(E6865="","",IF(C6865&gt;WeekEndDate,"",E6865))</f>
        <v/>
      </c>
    </row>
    <row r="6866">
      <c r="A6866" t="inlineStr">
        <is>
          <t>Issues &amp; Punch List</t>
        </is>
      </c>
      <c r="B6866" s="46">
        <f>'Issues &amp; Punch List'!S832</f>
        <v/>
      </c>
      <c r="C6866" s="84">
        <f>'Issues &amp; Punch List'!Q832</f>
        <v/>
      </c>
      <c r="D6866" s="46">
        <f>'Issues &amp; Punch List'!R832</f>
        <v/>
      </c>
      <c r="E6866" s="46">
        <f>IF(OR(B6866="",C6866="",D6866=""),"",D6866*100000+(C6866-DATE(2000,1,1))+ROW()/100000)</f>
        <v/>
      </c>
      <c r="F6866" s="46">
        <f>IF(E6866="","",IF(C6866&gt;WeekEndDate,"",E6866))</f>
        <v/>
      </c>
    </row>
    <row r="6867">
      <c r="A6867" t="inlineStr">
        <is>
          <t>Issues &amp; Punch List</t>
        </is>
      </c>
      <c r="B6867" s="46">
        <f>'Issues &amp; Punch List'!S833</f>
        <v/>
      </c>
      <c r="C6867" s="84">
        <f>'Issues &amp; Punch List'!Q833</f>
        <v/>
      </c>
      <c r="D6867" s="46">
        <f>'Issues &amp; Punch List'!R833</f>
        <v/>
      </c>
      <c r="E6867" s="46">
        <f>IF(OR(B6867="",C6867="",D6867=""),"",D6867*100000+(C6867-DATE(2000,1,1))+ROW()/100000)</f>
        <v/>
      </c>
      <c r="F6867" s="46">
        <f>IF(E6867="","",IF(C6867&gt;WeekEndDate,"",E6867))</f>
        <v/>
      </c>
    </row>
    <row r="6868">
      <c r="A6868" t="inlineStr">
        <is>
          <t>Issues &amp; Punch List</t>
        </is>
      </c>
      <c r="B6868" s="46">
        <f>'Issues &amp; Punch List'!S834</f>
        <v/>
      </c>
      <c r="C6868" s="84">
        <f>'Issues &amp; Punch List'!Q834</f>
        <v/>
      </c>
      <c r="D6868" s="46">
        <f>'Issues &amp; Punch List'!R834</f>
        <v/>
      </c>
      <c r="E6868" s="46">
        <f>IF(OR(B6868="",C6868="",D6868=""),"",D6868*100000+(C6868-DATE(2000,1,1))+ROW()/100000)</f>
        <v/>
      </c>
      <c r="F6868" s="46">
        <f>IF(E6868="","",IF(C6868&gt;WeekEndDate,"",E6868))</f>
        <v/>
      </c>
    </row>
    <row r="6869">
      <c r="A6869" t="inlineStr">
        <is>
          <t>Issues &amp; Punch List</t>
        </is>
      </c>
      <c r="B6869" s="46">
        <f>'Issues &amp; Punch List'!S835</f>
        <v/>
      </c>
      <c r="C6869" s="84">
        <f>'Issues &amp; Punch List'!Q835</f>
        <v/>
      </c>
      <c r="D6869" s="46">
        <f>'Issues &amp; Punch List'!R835</f>
        <v/>
      </c>
      <c r="E6869" s="46">
        <f>IF(OR(B6869="",C6869="",D6869=""),"",D6869*100000+(C6869-DATE(2000,1,1))+ROW()/100000)</f>
        <v/>
      </c>
      <c r="F6869" s="46">
        <f>IF(E6869="","",IF(C6869&gt;WeekEndDate,"",E6869))</f>
        <v/>
      </c>
    </row>
    <row r="6870">
      <c r="A6870" t="inlineStr">
        <is>
          <t>Issues &amp; Punch List</t>
        </is>
      </c>
      <c r="B6870" s="46">
        <f>'Issues &amp; Punch List'!S836</f>
        <v/>
      </c>
      <c r="C6870" s="84">
        <f>'Issues &amp; Punch List'!Q836</f>
        <v/>
      </c>
      <c r="D6870" s="46">
        <f>'Issues &amp; Punch List'!R836</f>
        <v/>
      </c>
      <c r="E6870" s="46">
        <f>IF(OR(B6870="",C6870="",D6870=""),"",D6870*100000+(C6870-DATE(2000,1,1))+ROW()/100000)</f>
        <v/>
      </c>
      <c r="F6870" s="46">
        <f>IF(E6870="","",IF(C6870&gt;WeekEndDate,"",E6870))</f>
        <v/>
      </c>
    </row>
    <row r="6871">
      <c r="A6871" t="inlineStr">
        <is>
          <t>Issues &amp; Punch List</t>
        </is>
      </c>
      <c r="B6871" s="46">
        <f>'Issues &amp; Punch List'!S837</f>
        <v/>
      </c>
      <c r="C6871" s="84">
        <f>'Issues &amp; Punch List'!Q837</f>
        <v/>
      </c>
      <c r="D6871" s="46">
        <f>'Issues &amp; Punch List'!R837</f>
        <v/>
      </c>
      <c r="E6871" s="46">
        <f>IF(OR(B6871="",C6871="",D6871=""),"",D6871*100000+(C6871-DATE(2000,1,1))+ROW()/100000)</f>
        <v/>
      </c>
      <c r="F6871" s="46">
        <f>IF(E6871="","",IF(C6871&gt;WeekEndDate,"",E6871))</f>
        <v/>
      </c>
    </row>
    <row r="6872">
      <c r="A6872" t="inlineStr">
        <is>
          <t>Issues &amp; Punch List</t>
        </is>
      </c>
      <c r="B6872" s="46">
        <f>'Issues &amp; Punch List'!S838</f>
        <v/>
      </c>
      <c r="C6872" s="84">
        <f>'Issues &amp; Punch List'!Q838</f>
        <v/>
      </c>
      <c r="D6872" s="46">
        <f>'Issues &amp; Punch List'!R838</f>
        <v/>
      </c>
      <c r="E6872" s="46">
        <f>IF(OR(B6872="",C6872="",D6872=""),"",D6872*100000+(C6872-DATE(2000,1,1))+ROW()/100000)</f>
        <v/>
      </c>
      <c r="F6872" s="46">
        <f>IF(E6872="","",IF(C6872&gt;WeekEndDate,"",E6872))</f>
        <v/>
      </c>
    </row>
    <row r="6873">
      <c r="A6873" t="inlineStr">
        <is>
          <t>Issues &amp; Punch List</t>
        </is>
      </c>
      <c r="B6873" s="46">
        <f>'Issues &amp; Punch List'!S839</f>
        <v/>
      </c>
      <c r="C6873" s="84">
        <f>'Issues &amp; Punch List'!Q839</f>
        <v/>
      </c>
      <c r="D6873" s="46">
        <f>'Issues &amp; Punch List'!R839</f>
        <v/>
      </c>
      <c r="E6873" s="46">
        <f>IF(OR(B6873="",C6873="",D6873=""),"",D6873*100000+(C6873-DATE(2000,1,1))+ROW()/100000)</f>
        <v/>
      </c>
      <c r="F6873" s="46">
        <f>IF(E6873="","",IF(C6873&gt;WeekEndDate,"",E6873))</f>
        <v/>
      </c>
    </row>
    <row r="6874">
      <c r="A6874" t="inlineStr">
        <is>
          <t>Issues &amp; Punch List</t>
        </is>
      </c>
      <c r="B6874" s="46">
        <f>'Issues &amp; Punch List'!S840</f>
        <v/>
      </c>
      <c r="C6874" s="84">
        <f>'Issues &amp; Punch List'!Q840</f>
        <v/>
      </c>
      <c r="D6874" s="46">
        <f>'Issues &amp; Punch List'!R840</f>
        <v/>
      </c>
      <c r="E6874" s="46">
        <f>IF(OR(B6874="",C6874="",D6874=""),"",D6874*100000+(C6874-DATE(2000,1,1))+ROW()/100000)</f>
        <v/>
      </c>
      <c r="F6874" s="46">
        <f>IF(E6874="","",IF(C6874&gt;WeekEndDate,"",E6874))</f>
        <v/>
      </c>
    </row>
    <row r="6875">
      <c r="A6875" t="inlineStr">
        <is>
          <t>Issues &amp; Punch List</t>
        </is>
      </c>
      <c r="B6875" s="46">
        <f>'Issues &amp; Punch List'!S841</f>
        <v/>
      </c>
      <c r="C6875" s="84">
        <f>'Issues &amp; Punch List'!Q841</f>
        <v/>
      </c>
      <c r="D6875" s="46">
        <f>'Issues &amp; Punch List'!R841</f>
        <v/>
      </c>
      <c r="E6875" s="46">
        <f>IF(OR(B6875="",C6875="",D6875=""),"",D6875*100000+(C6875-DATE(2000,1,1))+ROW()/100000)</f>
        <v/>
      </c>
      <c r="F6875" s="46">
        <f>IF(E6875="","",IF(C6875&gt;WeekEndDate,"",E6875))</f>
        <v/>
      </c>
    </row>
    <row r="6876">
      <c r="A6876" t="inlineStr">
        <is>
          <t>Issues &amp; Punch List</t>
        </is>
      </c>
      <c r="B6876" s="46">
        <f>'Issues &amp; Punch List'!S842</f>
        <v/>
      </c>
      <c r="C6876" s="84">
        <f>'Issues &amp; Punch List'!Q842</f>
        <v/>
      </c>
      <c r="D6876" s="46">
        <f>'Issues &amp; Punch List'!R842</f>
        <v/>
      </c>
      <c r="E6876" s="46">
        <f>IF(OR(B6876="",C6876="",D6876=""),"",D6876*100000+(C6876-DATE(2000,1,1))+ROW()/100000)</f>
        <v/>
      </c>
      <c r="F6876" s="46">
        <f>IF(E6876="","",IF(C6876&gt;WeekEndDate,"",E6876))</f>
        <v/>
      </c>
    </row>
    <row r="6877">
      <c r="A6877" t="inlineStr">
        <is>
          <t>Issues &amp; Punch List</t>
        </is>
      </c>
      <c r="B6877" s="46">
        <f>'Issues &amp; Punch List'!S843</f>
        <v/>
      </c>
      <c r="C6877" s="84">
        <f>'Issues &amp; Punch List'!Q843</f>
        <v/>
      </c>
      <c r="D6877" s="46">
        <f>'Issues &amp; Punch List'!R843</f>
        <v/>
      </c>
      <c r="E6877" s="46">
        <f>IF(OR(B6877="",C6877="",D6877=""),"",D6877*100000+(C6877-DATE(2000,1,1))+ROW()/100000)</f>
        <v/>
      </c>
      <c r="F6877" s="46">
        <f>IF(E6877="","",IF(C6877&gt;WeekEndDate,"",E6877))</f>
        <v/>
      </c>
    </row>
    <row r="6878">
      <c r="A6878" t="inlineStr">
        <is>
          <t>Issues &amp; Punch List</t>
        </is>
      </c>
      <c r="B6878" s="46">
        <f>'Issues &amp; Punch List'!S844</f>
        <v/>
      </c>
      <c r="C6878" s="84">
        <f>'Issues &amp; Punch List'!Q844</f>
        <v/>
      </c>
      <c r="D6878" s="46">
        <f>'Issues &amp; Punch List'!R844</f>
        <v/>
      </c>
      <c r="E6878" s="46">
        <f>IF(OR(B6878="",C6878="",D6878=""),"",D6878*100000+(C6878-DATE(2000,1,1))+ROW()/100000)</f>
        <v/>
      </c>
      <c r="F6878" s="46">
        <f>IF(E6878="","",IF(C6878&gt;WeekEndDate,"",E6878))</f>
        <v/>
      </c>
    </row>
    <row r="6879">
      <c r="A6879" t="inlineStr">
        <is>
          <t>Issues &amp; Punch List</t>
        </is>
      </c>
      <c r="B6879" s="46">
        <f>'Issues &amp; Punch List'!S845</f>
        <v/>
      </c>
      <c r="C6879" s="84">
        <f>'Issues &amp; Punch List'!Q845</f>
        <v/>
      </c>
      <c r="D6879" s="46">
        <f>'Issues &amp; Punch List'!R845</f>
        <v/>
      </c>
      <c r="E6879" s="46">
        <f>IF(OR(B6879="",C6879="",D6879=""),"",D6879*100000+(C6879-DATE(2000,1,1))+ROW()/100000)</f>
        <v/>
      </c>
      <c r="F6879" s="46">
        <f>IF(E6879="","",IF(C6879&gt;WeekEndDate,"",E6879))</f>
        <v/>
      </c>
    </row>
    <row r="6880">
      <c r="A6880" t="inlineStr">
        <is>
          <t>Issues &amp; Punch List</t>
        </is>
      </c>
      <c r="B6880" s="46">
        <f>'Issues &amp; Punch List'!S846</f>
        <v/>
      </c>
      <c r="C6880" s="84">
        <f>'Issues &amp; Punch List'!Q846</f>
        <v/>
      </c>
      <c r="D6880" s="46">
        <f>'Issues &amp; Punch List'!R846</f>
        <v/>
      </c>
      <c r="E6880" s="46">
        <f>IF(OR(B6880="",C6880="",D6880=""),"",D6880*100000+(C6880-DATE(2000,1,1))+ROW()/100000)</f>
        <v/>
      </c>
      <c r="F6880" s="46">
        <f>IF(E6880="","",IF(C6880&gt;WeekEndDate,"",E6880))</f>
        <v/>
      </c>
    </row>
    <row r="6881">
      <c r="A6881" t="inlineStr">
        <is>
          <t>Issues &amp; Punch List</t>
        </is>
      </c>
      <c r="B6881" s="46">
        <f>'Issues &amp; Punch List'!S847</f>
        <v/>
      </c>
      <c r="C6881" s="84">
        <f>'Issues &amp; Punch List'!Q847</f>
        <v/>
      </c>
      <c r="D6881" s="46">
        <f>'Issues &amp; Punch List'!R847</f>
        <v/>
      </c>
      <c r="E6881" s="46">
        <f>IF(OR(B6881="",C6881="",D6881=""),"",D6881*100000+(C6881-DATE(2000,1,1))+ROW()/100000)</f>
        <v/>
      </c>
      <c r="F6881" s="46">
        <f>IF(E6881="","",IF(C6881&gt;WeekEndDate,"",E6881))</f>
        <v/>
      </c>
    </row>
    <row r="6882">
      <c r="A6882" t="inlineStr">
        <is>
          <t>Issues &amp; Punch List</t>
        </is>
      </c>
      <c r="B6882" s="46">
        <f>'Issues &amp; Punch List'!S848</f>
        <v/>
      </c>
      <c r="C6882" s="84">
        <f>'Issues &amp; Punch List'!Q848</f>
        <v/>
      </c>
      <c r="D6882" s="46">
        <f>'Issues &amp; Punch List'!R848</f>
        <v/>
      </c>
      <c r="E6882" s="46">
        <f>IF(OR(B6882="",C6882="",D6882=""),"",D6882*100000+(C6882-DATE(2000,1,1))+ROW()/100000)</f>
        <v/>
      </c>
      <c r="F6882" s="46">
        <f>IF(E6882="","",IF(C6882&gt;WeekEndDate,"",E6882))</f>
        <v/>
      </c>
    </row>
    <row r="6883">
      <c r="A6883" t="inlineStr">
        <is>
          <t>Issues &amp; Punch List</t>
        </is>
      </c>
      <c r="B6883" s="46">
        <f>'Issues &amp; Punch List'!S849</f>
        <v/>
      </c>
      <c r="C6883" s="84">
        <f>'Issues &amp; Punch List'!Q849</f>
        <v/>
      </c>
      <c r="D6883" s="46">
        <f>'Issues &amp; Punch List'!R849</f>
        <v/>
      </c>
      <c r="E6883" s="46">
        <f>IF(OR(B6883="",C6883="",D6883=""),"",D6883*100000+(C6883-DATE(2000,1,1))+ROW()/100000)</f>
        <v/>
      </c>
      <c r="F6883" s="46">
        <f>IF(E6883="","",IF(C6883&gt;WeekEndDate,"",E6883))</f>
        <v/>
      </c>
    </row>
    <row r="6884">
      <c r="A6884" t="inlineStr">
        <is>
          <t>Issues &amp; Punch List</t>
        </is>
      </c>
      <c r="B6884" s="46">
        <f>'Issues &amp; Punch List'!S850</f>
        <v/>
      </c>
      <c r="C6884" s="84">
        <f>'Issues &amp; Punch List'!Q850</f>
        <v/>
      </c>
      <c r="D6884" s="46">
        <f>'Issues &amp; Punch List'!R850</f>
        <v/>
      </c>
      <c r="E6884" s="46">
        <f>IF(OR(B6884="",C6884="",D6884=""),"",D6884*100000+(C6884-DATE(2000,1,1))+ROW()/100000)</f>
        <v/>
      </c>
      <c r="F6884" s="46">
        <f>IF(E6884="","",IF(C6884&gt;WeekEndDate,"",E6884))</f>
        <v/>
      </c>
    </row>
    <row r="6885">
      <c r="A6885" t="inlineStr">
        <is>
          <t>Issues &amp; Punch List</t>
        </is>
      </c>
      <c r="B6885" s="46">
        <f>'Issues &amp; Punch List'!S851</f>
        <v/>
      </c>
      <c r="C6885" s="84">
        <f>'Issues &amp; Punch List'!Q851</f>
        <v/>
      </c>
      <c r="D6885" s="46">
        <f>'Issues &amp; Punch List'!R851</f>
        <v/>
      </c>
      <c r="E6885" s="46">
        <f>IF(OR(B6885="",C6885="",D6885=""),"",D6885*100000+(C6885-DATE(2000,1,1))+ROW()/100000)</f>
        <v/>
      </c>
      <c r="F6885" s="46">
        <f>IF(E6885="","",IF(C6885&gt;WeekEndDate,"",E6885))</f>
        <v/>
      </c>
    </row>
    <row r="6886">
      <c r="A6886" t="inlineStr">
        <is>
          <t>Issues &amp; Punch List</t>
        </is>
      </c>
      <c r="B6886" s="46">
        <f>'Issues &amp; Punch List'!S852</f>
        <v/>
      </c>
      <c r="C6886" s="84">
        <f>'Issues &amp; Punch List'!Q852</f>
        <v/>
      </c>
      <c r="D6886" s="46">
        <f>'Issues &amp; Punch List'!R852</f>
        <v/>
      </c>
      <c r="E6886" s="46">
        <f>IF(OR(B6886="",C6886="",D6886=""),"",D6886*100000+(C6886-DATE(2000,1,1))+ROW()/100000)</f>
        <v/>
      </c>
      <c r="F6886" s="46">
        <f>IF(E6886="","",IF(C6886&gt;WeekEndDate,"",E6886))</f>
        <v/>
      </c>
    </row>
    <row r="6887">
      <c r="A6887" t="inlineStr">
        <is>
          <t>Issues &amp; Punch List</t>
        </is>
      </c>
      <c r="B6887" s="46">
        <f>'Issues &amp; Punch List'!S853</f>
        <v/>
      </c>
      <c r="C6887" s="84">
        <f>'Issues &amp; Punch List'!Q853</f>
        <v/>
      </c>
      <c r="D6887" s="46">
        <f>'Issues &amp; Punch List'!R853</f>
        <v/>
      </c>
      <c r="E6887" s="46">
        <f>IF(OR(B6887="",C6887="",D6887=""),"",D6887*100000+(C6887-DATE(2000,1,1))+ROW()/100000)</f>
        <v/>
      </c>
      <c r="F6887" s="46">
        <f>IF(E6887="","",IF(C6887&gt;WeekEndDate,"",E6887))</f>
        <v/>
      </c>
    </row>
    <row r="6888">
      <c r="A6888" t="inlineStr">
        <is>
          <t>Issues &amp; Punch List</t>
        </is>
      </c>
      <c r="B6888" s="46">
        <f>'Issues &amp; Punch List'!S854</f>
        <v/>
      </c>
      <c r="C6888" s="84">
        <f>'Issues &amp; Punch List'!Q854</f>
        <v/>
      </c>
      <c r="D6888" s="46">
        <f>'Issues &amp; Punch List'!R854</f>
        <v/>
      </c>
      <c r="E6888" s="46">
        <f>IF(OR(B6888="",C6888="",D6888=""),"",D6888*100000+(C6888-DATE(2000,1,1))+ROW()/100000)</f>
        <v/>
      </c>
      <c r="F6888" s="46">
        <f>IF(E6888="","",IF(C6888&gt;WeekEndDate,"",E6888))</f>
        <v/>
      </c>
    </row>
    <row r="6889">
      <c r="A6889" t="inlineStr">
        <is>
          <t>Issues &amp; Punch List</t>
        </is>
      </c>
      <c r="B6889" s="46">
        <f>'Issues &amp; Punch List'!S855</f>
        <v/>
      </c>
      <c r="C6889" s="84">
        <f>'Issues &amp; Punch List'!Q855</f>
        <v/>
      </c>
      <c r="D6889" s="46">
        <f>'Issues &amp; Punch List'!R855</f>
        <v/>
      </c>
      <c r="E6889" s="46">
        <f>IF(OR(B6889="",C6889="",D6889=""),"",D6889*100000+(C6889-DATE(2000,1,1))+ROW()/100000)</f>
        <v/>
      </c>
      <c r="F6889" s="46">
        <f>IF(E6889="","",IF(C6889&gt;WeekEndDate,"",E6889))</f>
        <v/>
      </c>
    </row>
    <row r="6890">
      <c r="A6890" t="inlineStr">
        <is>
          <t>Issues &amp; Punch List</t>
        </is>
      </c>
      <c r="B6890" s="46">
        <f>'Issues &amp; Punch List'!S856</f>
        <v/>
      </c>
      <c r="C6890" s="84">
        <f>'Issues &amp; Punch List'!Q856</f>
        <v/>
      </c>
      <c r="D6890" s="46">
        <f>'Issues &amp; Punch List'!R856</f>
        <v/>
      </c>
      <c r="E6890" s="46">
        <f>IF(OR(B6890="",C6890="",D6890=""),"",D6890*100000+(C6890-DATE(2000,1,1))+ROW()/100000)</f>
        <v/>
      </c>
      <c r="F6890" s="46">
        <f>IF(E6890="","",IF(C6890&gt;WeekEndDate,"",E6890))</f>
        <v/>
      </c>
    </row>
    <row r="6891">
      <c r="A6891" t="inlineStr">
        <is>
          <t>Issues &amp; Punch List</t>
        </is>
      </c>
      <c r="B6891" s="46">
        <f>'Issues &amp; Punch List'!S857</f>
        <v/>
      </c>
      <c r="C6891" s="84">
        <f>'Issues &amp; Punch List'!Q857</f>
        <v/>
      </c>
      <c r="D6891" s="46">
        <f>'Issues &amp; Punch List'!R857</f>
        <v/>
      </c>
      <c r="E6891" s="46">
        <f>IF(OR(B6891="",C6891="",D6891=""),"",D6891*100000+(C6891-DATE(2000,1,1))+ROW()/100000)</f>
        <v/>
      </c>
      <c r="F6891" s="46">
        <f>IF(E6891="","",IF(C6891&gt;WeekEndDate,"",E6891))</f>
        <v/>
      </c>
    </row>
    <row r="6892">
      <c r="A6892" t="inlineStr">
        <is>
          <t>Issues &amp; Punch List</t>
        </is>
      </c>
      <c r="B6892" s="46">
        <f>'Issues &amp; Punch List'!S858</f>
        <v/>
      </c>
      <c r="C6892" s="84">
        <f>'Issues &amp; Punch List'!Q858</f>
        <v/>
      </c>
      <c r="D6892" s="46">
        <f>'Issues &amp; Punch List'!R858</f>
        <v/>
      </c>
      <c r="E6892" s="46">
        <f>IF(OR(B6892="",C6892="",D6892=""),"",D6892*100000+(C6892-DATE(2000,1,1))+ROW()/100000)</f>
        <v/>
      </c>
      <c r="F6892" s="46">
        <f>IF(E6892="","",IF(C6892&gt;WeekEndDate,"",E6892))</f>
        <v/>
      </c>
    </row>
    <row r="6893">
      <c r="A6893" t="inlineStr">
        <is>
          <t>Issues &amp; Punch List</t>
        </is>
      </c>
      <c r="B6893" s="46">
        <f>'Issues &amp; Punch List'!S859</f>
        <v/>
      </c>
      <c r="C6893" s="84">
        <f>'Issues &amp; Punch List'!Q859</f>
        <v/>
      </c>
      <c r="D6893" s="46">
        <f>'Issues &amp; Punch List'!R859</f>
        <v/>
      </c>
      <c r="E6893" s="46">
        <f>IF(OR(B6893="",C6893="",D6893=""),"",D6893*100000+(C6893-DATE(2000,1,1))+ROW()/100000)</f>
        <v/>
      </c>
      <c r="F6893" s="46">
        <f>IF(E6893="","",IF(C6893&gt;WeekEndDate,"",E6893))</f>
        <v/>
      </c>
    </row>
    <row r="6894">
      <c r="A6894" t="inlineStr">
        <is>
          <t>Issues &amp; Punch List</t>
        </is>
      </c>
      <c r="B6894" s="46">
        <f>'Issues &amp; Punch List'!S860</f>
        <v/>
      </c>
      <c r="C6894" s="84">
        <f>'Issues &amp; Punch List'!Q860</f>
        <v/>
      </c>
      <c r="D6894" s="46">
        <f>'Issues &amp; Punch List'!R860</f>
        <v/>
      </c>
      <c r="E6894" s="46">
        <f>IF(OR(B6894="",C6894="",D6894=""),"",D6894*100000+(C6894-DATE(2000,1,1))+ROW()/100000)</f>
        <v/>
      </c>
      <c r="F6894" s="46">
        <f>IF(E6894="","",IF(C6894&gt;WeekEndDate,"",E6894))</f>
        <v/>
      </c>
    </row>
    <row r="6895">
      <c r="A6895" t="inlineStr">
        <is>
          <t>Issues &amp; Punch List</t>
        </is>
      </c>
      <c r="B6895" s="46">
        <f>'Issues &amp; Punch List'!S861</f>
        <v/>
      </c>
      <c r="C6895" s="84">
        <f>'Issues &amp; Punch List'!Q861</f>
        <v/>
      </c>
      <c r="D6895" s="46">
        <f>'Issues &amp; Punch List'!R861</f>
        <v/>
      </c>
      <c r="E6895" s="46">
        <f>IF(OR(B6895="",C6895="",D6895=""),"",D6895*100000+(C6895-DATE(2000,1,1))+ROW()/100000)</f>
        <v/>
      </c>
      <c r="F6895" s="46">
        <f>IF(E6895="","",IF(C6895&gt;WeekEndDate,"",E6895))</f>
        <v/>
      </c>
    </row>
    <row r="6896">
      <c r="A6896" t="inlineStr">
        <is>
          <t>Issues &amp; Punch List</t>
        </is>
      </c>
      <c r="B6896" s="46">
        <f>'Issues &amp; Punch List'!S862</f>
        <v/>
      </c>
      <c r="C6896" s="84">
        <f>'Issues &amp; Punch List'!Q862</f>
        <v/>
      </c>
      <c r="D6896" s="46">
        <f>'Issues &amp; Punch List'!R862</f>
        <v/>
      </c>
      <c r="E6896" s="46">
        <f>IF(OR(B6896="",C6896="",D6896=""),"",D6896*100000+(C6896-DATE(2000,1,1))+ROW()/100000)</f>
        <v/>
      </c>
      <c r="F6896" s="46">
        <f>IF(E6896="","",IF(C6896&gt;WeekEndDate,"",E6896))</f>
        <v/>
      </c>
    </row>
    <row r="6897">
      <c r="A6897" t="inlineStr">
        <is>
          <t>Issues &amp; Punch List</t>
        </is>
      </c>
      <c r="B6897" s="46">
        <f>'Issues &amp; Punch List'!S863</f>
        <v/>
      </c>
      <c r="C6897" s="84">
        <f>'Issues &amp; Punch List'!Q863</f>
        <v/>
      </c>
      <c r="D6897" s="46">
        <f>'Issues &amp; Punch List'!R863</f>
        <v/>
      </c>
      <c r="E6897" s="46">
        <f>IF(OR(B6897="",C6897="",D6897=""),"",D6897*100000+(C6897-DATE(2000,1,1))+ROW()/100000)</f>
        <v/>
      </c>
      <c r="F6897" s="46">
        <f>IF(E6897="","",IF(C6897&gt;WeekEndDate,"",E6897))</f>
        <v/>
      </c>
    </row>
    <row r="6898">
      <c r="A6898" t="inlineStr">
        <is>
          <t>Issues &amp; Punch List</t>
        </is>
      </c>
      <c r="B6898" s="46">
        <f>'Issues &amp; Punch List'!S864</f>
        <v/>
      </c>
      <c r="C6898" s="84">
        <f>'Issues &amp; Punch List'!Q864</f>
        <v/>
      </c>
      <c r="D6898" s="46">
        <f>'Issues &amp; Punch List'!R864</f>
        <v/>
      </c>
      <c r="E6898" s="46">
        <f>IF(OR(B6898="",C6898="",D6898=""),"",D6898*100000+(C6898-DATE(2000,1,1))+ROW()/100000)</f>
        <v/>
      </c>
      <c r="F6898" s="46">
        <f>IF(E6898="","",IF(C6898&gt;WeekEndDate,"",E6898))</f>
        <v/>
      </c>
    </row>
    <row r="6899">
      <c r="A6899" t="inlineStr">
        <is>
          <t>Issues &amp; Punch List</t>
        </is>
      </c>
      <c r="B6899" s="46">
        <f>'Issues &amp; Punch List'!S865</f>
        <v/>
      </c>
      <c r="C6899" s="84">
        <f>'Issues &amp; Punch List'!Q865</f>
        <v/>
      </c>
      <c r="D6899" s="46">
        <f>'Issues &amp; Punch List'!R865</f>
        <v/>
      </c>
      <c r="E6899" s="46">
        <f>IF(OR(B6899="",C6899="",D6899=""),"",D6899*100000+(C6899-DATE(2000,1,1))+ROW()/100000)</f>
        <v/>
      </c>
      <c r="F6899" s="46">
        <f>IF(E6899="","",IF(C6899&gt;WeekEndDate,"",E6899))</f>
        <v/>
      </c>
    </row>
    <row r="6900">
      <c r="A6900" t="inlineStr">
        <is>
          <t>Issues &amp; Punch List</t>
        </is>
      </c>
      <c r="B6900" s="46">
        <f>'Issues &amp; Punch List'!S866</f>
        <v/>
      </c>
      <c r="C6900" s="84">
        <f>'Issues &amp; Punch List'!Q866</f>
        <v/>
      </c>
      <c r="D6900" s="46">
        <f>'Issues &amp; Punch List'!R866</f>
        <v/>
      </c>
      <c r="E6900" s="46">
        <f>IF(OR(B6900="",C6900="",D6900=""),"",D6900*100000+(C6900-DATE(2000,1,1))+ROW()/100000)</f>
        <v/>
      </c>
      <c r="F6900" s="46">
        <f>IF(E6900="","",IF(C6900&gt;WeekEndDate,"",E6900))</f>
        <v/>
      </c>
    </row>
    <row r="6901">
      <c r="A6901" t="inlineStr">
        <is>
          <t>Issues &amp; Punch List</t>
        </is>
      </c>
      <c r="B6901" s="46">
        <f>'Issues &amp; Punch List'!S867</f>
        <v/>
      </c>
      <c r="C6901" s="84">
        <f>'Issues &amp; Punch List'!Q867</f>
        <v/>
      </c>
      <c r="D6901" s="46">
        <f>'Issues &amp; Punch List'!R867</f>
        <v/>
      </c>
      <c r="E6901" s="46">
        <f>IF(OR(B6901="",C6901="",D6901=""),"",D6901*100000+(C6901-DATE(2000,1,1))+ROW()/100000)</f>
        <v/>
      </c>
      <c r="F6901" s="46">
        <f>IF(E6901="","",IF(C6901&gt;WeekEndDate,"",E6901))</f>
        <v/>
      </c>
    </row>
    <row r="6902">
      <c r="A6902" t="inlineStr">
        <is>
          <t>Issues &amp; Punch List</t>
        </is>
      </c>
      <c r="B6902" s="46">
        <f>'Issues &amp; Punch List'!S868</f>
        <v/>
      </c>
      <c r="C6902" s="84">
        <f>'Issues &amp; Punch List'!Q868</f>
        <v/>
      </c>
      <c r="D6902" s="46">
        <f>'Issues &amp; Punch List'!R868</f>
        <v/>
      </c>
      <c r="E6902" s="46">
        <f>IF(OR(B6902="",C6902="",D6902=""),"",D6902*100000+(C6902-DATE(2000,1,1))+ROW()/100000)</f>
        <v/>
      </c>
      <c r="F6902" s="46">
        <f>IF(E6902="","",IF(C6902&gt;WeekEndDate,"",E6902))</f>
        <v/>
      </c>
    </row>
    <row r="6903">
      <c r="A6903" t="inlineStr">
        <is>
          <t>Issues &amp; Punch List</t>
        </is>
      </c>
      <c r="B6903" s="46">
        <f>'Issues &amp; Punch List'!S869</f>
        <v/>
      </c>
      <c r="C6903" s="84">
        <f>'Issues &amp; Punch List'!Q869</f>
        <v/>
      </c>
      <c r="D6903" s="46">
        <f>'Issues &amp; Punch List'!R869</f>
        <v/>
      </c>
      <c r="E6903" s="46">
        <f>IF(OR(B6903="",C6903="",D6903=""),"",D6903*100000+(C6903-DATE(2000,1,1))+ROW()/100000)</f>
        <v/>
      </c>
      <c r="F6903" s="46">
        <f>IF(E6903="","",IF(C6903&gt;WeekEndDate,"",E6903))</f>
        <v/>
      </c>
    </row>
    <row r="6904">
      <c r="A6904" t="inlineStr">
        <is>
          <t>Issues &amp; Punch List</t>
        </is>
      </c>
      <c r="B6904" s="46">
        <f>'Issues &amp; Punch List'!S870</f>
        <v/>
      </c>
      <c r="C6904" s="84">
        <f>'Issues &amp; Punch List'!Q870</f>
        <v/>
      </c>
      <c r="D6904" s="46">
        <f>'Issues &amp; Punch List'!R870</f>
        <v/>
      </c>
      <c r="E6904" s="46">
        <f>IF(OR(B6904="",C6904="",D6904=""),"",D6904*100000+(C6904-DATE(2000,1,1))+ROW()/100000)</f>
        <v/>
      </c>
      <c r="F6904" s="46">
        <f>IF(E6904="","",IF(C6904&gt;WeekEndDate,"",E6904))</f>
        <v/>
      </c>
    </row>
    <row r="6905">
      <c r="A6905" t="inlineStr">
        <is>
          <t>Issues &amp; Punch List</t>
        </is>
      </c>
      <c r="B6905" s="46">
        <f>'Issues &amp; Punch List'!S871</f>
        <v/>
      </c>
      <c r="C6905" s="84">
        <f>'Issues &amp; Punch List'!Q871</f>
        <v/>
      </c>
      <c r="D6905" s="46">
        <f>'Issues &amp; Punch List'!R871</f>
        <v/>
      </c>
      <c r="E6905" s="46">
        <f>IF(OR(B6905="",C6905="",D6905=""),"",D6905*100000+(C6905-DATE(2000,1,1))+ROW()/100000)</f>
        <v/>
      </c>
      <c r="F6905" s="46">
        <f>IF(E6905="","",IF(C6905&gt;WeekEndDate,"",E6905))</f>
        <v/>
      </c>
    </row>
    <row r="6906">
      <c r="A6906" t="inlineStr">
        <is>
          <t>Issues &amp; Punch List</t>
        </is>
      </c>
      <c r="B6906" s="46">
        <f>'Issues &amp; Punch List'!S872</f>
        <v/>
      </c>
      <c r="C6906" s="84">
        <f>'Issues &amp; Punch List'!Q872</f>
        <v/>
      </c>
      <c r="D6906" s="46">
        <f>'Issues &amp; Punch List'!R872</f>
        <v/>
      </c>
      <c r="E6906" s="46">
        <f>IF(OR(B6906="",C6906="",D6906=""),"",D6906*100000+(C6906-DATE(2000,1,1))+ROW()/100000)</f>
        <v/>
      </c>
      <c r="F6906" s="46">
        <f>IF(E6906="","",IF(C6906&gt;WeekEndDate,"",E6906))</f>
        <v/>
      </c>
    </row>
    <row r="6907">
      <c r="A6907" t="inlineStr">
        <is>
          <t>Issues &amp; Punch List</t>
        </is>
      </c>
      <c r="B6907" s="46">
        <f>'Issues &amp; Punch List'!S873</f>
        <v/>
      </c>
      <c r="C6907" s="84">
        <f>'Issues &amp; Punch List'!Q873</f>
        <v/>
      </c>
      <c r="D6907" s="46">
        <f>'Issues &amp; Punch List'!R873</f>
        <v/>
      </c>
      <c r="E6907" s="46">
        <f>IF(OR(B6907="",C6907="",D6907=""),"",D6907*100000+(C6907-DATE(2000,1,1))+ROW()/100000)</f>
        <v/>
      </c>
      <c r="F6907" s="46">
        <f>IF(E6907="","",IF(C6907&gt;WeekEndDate,"",E6907))</f>
        <v/>
      </c>
    </row>
    <row r="6908">
      <c r="A6908" t="inlineStr">
        <is>
          <t>Issues &amp; Punch List</t>
        </is>
      </c>
      <c r="B6908" s="46">
        <f>'Issues &amp; Punch List'!S874</f>
        <v/>
      </c>
      <c r="C6908" s="84">
        <f>'Issues &amp; Punch List'!Q874</f>
        <v/>
      </c>
      <c r="D6908" s="46">
        <f>'Issues &amp; Punch List'!R874</f>
        <v/>
      </c>
      <c r="E6908" s="46">
        <f>IF(OR(B6908="",C6908="",D6908=""),"",D6908*100000+(C6908-DATE(2000,1,1))+ROW()/100000)</f>
        <v/>
      </c>
      <c r="F6908" s="46">
        <f>IF(E6908="","",IF(C6908&gt;WeekEndDate,"",E6908))</f>
        <v/>
      </c>
    </row>
    <row r="6909">
      <c r="A6909" t="inlineStr">
        <is>
          <t>Issues &amp; Punch List</t>
        </is>
      </c>
      <c r="B6909" s="46">
        <f>'Issues &amp; Punch List'!S875</f>
        <v/>
      </c>
      <c r="C6909" s="84">
        <f>'Issues &amp; Punch List'!Q875</f>
        <v/>
      </c>
      <c r="D6909" s="46">
        <f>'Issues &amp; Punch List'!R875</f>
        <v/>
      </c>
      <c r="E6909" s="46">
        <f>IF(OR(B6909="",C6909="",D6909=""),"",D6909*100000+(C6909-DATE(2000,1,1))+ROW()/100000)</f>
        <v/>
      </c>
      <c r="F6909" s="46">
        <f>IF(E6909="","",IF(C6909&gt;WeekEndDate,"",E6909))</f>
        <v/>
      </c>
    </row>
    <row r="6910">
      <c r="A6910" t="inlineStr">
        <is>
          <t>Issues &amp; Punch List</t>
        </is>
      </c>
      <c r="B6910" s="46">
        <f>'Issues &amp; Punch List'!S876</f>
        <v/>
      </c>
      <c r="C6910" s="84">
        <f>'Issues &amp; Punch List'!Q876</f>
        <v/>
      </c>
      <c r="D6910" s="46">
        <f>'Issues &amp; Punch List'!R876</f>
        <v/>
      </c>
      <c r="E6910" s="46">
        <f>IF(OR(B6910="",C6910="",D6910=""),"",D6910*100000+(C6910-DATE(2000,1,1))+ROW()/100000)</f>
        <v/>
      </c>
      <c r="F6910" s="46">
        <f>IF(E6910="","",IF(C6910&gt;WeekEndDate,"",E6910))</f>
        <v/>
      </c>
    </row>
    <row r="6911">
      <c r="A6911" t="inlineStr">
        <is>
          <t>Issues &amp; Punch List</t>
        </is>
      </c>
      <c r="B6911" s="46">
        <f>'Issues &amp; Punch List'!S877</f>
        <v/>
      </c>
      <c r="C6911" s="84">
        <f>'Issues &amp; Punch List'!Q877</f>
        <v/>
      </c>
      <c r="D6911" s="46">
        <f>'Issues &amp; Punch List'!R877</f>
        <v/>
      </c>
      <c r="E6911" s="46">
        <f>IF(OR(B6911="",C6911="",D6911=""),"",D6911*100000+(C6911-DATE(2000,1,1))+ROW()/100000)</f>
        <v/>
      </c>
      <c r="F6911" s="46">
        <f>IF(E6911="","",IF(C6911&gt;WeekEndDate,"",E6911))</f>
        <v/>
      </c>
    </row>
    <row r="6912">
      <c r="A6912" t="inlineStr">
        <is>
          <t>Issues &amp; Punch List</t>
        </is>
      </c>
      <c r="B6912" s="46">
        <f>'Issues &amp; Punch List'!S878</f>
        <v/>
      </c>
      <c r="C6912" s="84">
        <f>'Issues &amp; Punch List'!Q878</f>
        <v/>
      </c>
      <c r="D6912" s="46">
        <f>'Issues &amp; Punch List'!R878</f>
        <v/>
      </c>
      <c r="E6912" s="46">
        <f>IF(OR(B6912="",C6912="",D6912=""),"",D6912*100000+(C6912-DATE(2000,1,1))+ROW()/100000)</f>
        <v/>
      </c>
      <c r="F6912" s="46">
        <f>IF(E6912="","",IF(C6912&gt;WeekEndDate,"",E6912))</f>
        <v/>
      </c>
    </row>
    <row r="6913">
      <c r="A6913" t="inlineStr">
        <is>
          <t>Issues &amp; Punch List</t>
        </is>
      </c>
      <c r="B6913" s="46">
        <f>'Issues &amp; Punch List'!S879</f>
        <v/>
      </c>
      <c r="C6913" s="84">
        <f>'Issues &amp; Punch List'!Q879</f>
        <v/>
      </c>
      <c r="D6913" s="46">
        <f>'Issues &amp; Punch List'!R879</f>
        <v/>
      </c>
      <c r="E6913" s="46">
        <f>IF(OR(B6913="",C6913="",D6913=""),"",D6913*100000+(C6913-DATE(2000,1,1))+ROW()/100000)</f>
        <v/>
      </c>
      <c r="F6913" s="46">
        <f>IF(E6913="","",IF(C6913&gt;WeekEndDate,"",E6913))</f>
        <v/>
      </c>
    </row>
    <row r="6914">
      <c r="A6914" t="inlineStr">
        <is>
          <t>Issues &amp; Punch List</t>
        </is>
      </c>
      <c r="B6914" s="46">
        <f>'Issues &amp; Punch List'!S880</f>
        <v/>
      </c>
      <c r="C6914" s="84">
        <f>'Issues &amp; Punch List'!Q880</f>
        <v/>
      </c>
      <c r="D6914" s="46">
        <f>'Issues &amp; Punch List'!R880</f>
        <v/>
      </c>
      <c r="E6914" s="46">
        <f>IF(OR(B6914="",C6914="",D6914=""),"",D6914*100000+(C6914-DATE(2000,1,1))+ROW()/100000)</f>
        <v/>
      </c>
      <c r="F6914" s="46">
        <f>IF(E6914="","",IF(C6914&gt;WeekEndDate,"",E6914))</f>
        <v/>
      </c>
    </row>
    <row r="6915">
      <c r="A6915" t="inlineStr">
        <is>
          <t>Issues &amp; Punch List</t>
        </is>
      </c>
      <c r="B6915" s="46">
        <f>'Issues &amp; Punch List'!S881</f>
        <v/>
      </c>
      <c r="C6915" s="84">
        <f>'Issues &amp; Punch List'!Q881</f>
        <v/>
      </c>
      <c r="D6915" s="46">
        <f>'Issues &amp; Punch List'!R881</f>
        <v/>
      </c>
      <c r="E6915" s="46">
        <f>IF(OR(B6915="",C6915="",D6915=""),"",D6915*100000+(C6915-DATE(2000,1,1))+ROW()/100000)</f>
        <v/>
      </c>
      <c r="F6915" s="46">
        <f>IF(E6915="","",IF(C6915&gt;WeekEndDate,"",E6915))</f>
        <v/>
      </c>
    </row>
    <row r="6916">
      <c r="A6916" t="inlineStr">
        <is>
          <t>Issues &amp; Punch List</t>
        </is>
      </c>
      <c r="B6916" s="46">
        <f>'Issues &amp; Punch List'!S882</f>
        <v/>
      </c>
      <c r="C6916" s="84">
        <f>'Issues &amp; Punch List'!Q882</f>
        <v/>
      </c>
      <c r="D6916" s="46">
        <f>'Issues &amp; Punch List'!R882</f>
        <v/>
      </c>
      <c r="E6916" s="46">
        <f>IF(OR(B6916="",C6916="",D6916=""),"",D6916*100000+(C6916-DATE(2000,1,1))+ROW()/100000)</f>
        <v/>
      </c>
      <c r="F6916" s="46">
        <f>IF(E6916="","",IF(C6916&gt;WeekEndDate,"",E6916))</f>
        <v/>
      </c>
    </row>
    <row r="6917">
      <c r="A6917" t="inlineStr">
        <is>
          <t>Issues &amp; Punch List</t>
        </is>
      </c>
      <c r="B6917" s="46">
        <f>'Issues &amp; Punch List'!S883</f>
        <v/>
      </c>
      <c r="C6917" s="84">
        <f>'Issues &amp; Punch List'!Q883</f>
        <v/>
      </c>
      <c r="D6917" s="46">
        <f>'Issues &amp; Punch List'!R883</f>
        <v/>
      </c>
      <c r="E6917" s="46">
        <f>IF(OR(B6917="",C6917="",D6917=""),"",D6917*100000+(C6917-DATE(2000,1,1))+ROW()/100000)</f>
        <v/>
      </c>
      <c r="F6917" s="46">
        <f>IF(E6917="","",IF(C6917&gt;WeekEndDate,"",E6917))</f>
        <v/>
      </c>
    </row>
    <row r="6918">
      <c r="A6918" t="inlineStr">
        <is>
          <t>Issues &amp; Punch List</t>
        </is>
      </c>
      <c r="B6918" s="46">
        <f>'Issues &amp; Punch List'!S884</f>
        <v/>
      </c>
      <c r="C6918" s="84">
        <f>'Issues &amp; Punch List'!Q884</f>
        <v/>
      </c>
      <c r="D6918" s="46">
        <f>'Issues &amp; Punch List'!R884</f>
        <v/>
      </c>
      <c r="E6918" s="46">
        <f>IF(OR(B6918="",C6918="",D6918=""),"",D6918*100000+(C6918-DATE(2000,1,1))+ROW()/100000)</f>
        <v/>
      </c>
      <c r="F6918" s="46">
        <f>IF(E6918="","",IF(C6918&gt;WeekEndDate,"",E6918))</f>
        <v/>
      </c>
    </row>
    <row r="6919">
      <c r="A6919" t="inlineStr">
        <is>
          <t>Issues &amp; Punch List</t>
        </is>
      </c>
      <c r="B6919" s="46">
        <f>'Issues &amp; Punch List'!S885</f>
        <v/>
      </c>
      <c r="C6919" s="84">
        <f>'Issues &amp; Punch List'!Q885</f>
        <v/>
      </c>
      <c r="D6919" s="46">
        <f>'Issues &amp; Punch List'!R885</f>
        <v/>
      </c>
      <c r="E6919" s="46">
        <f>IF(OR(B6919="",C6919="",D6919=""),"",D6919*100000+(C6919-DATE(2000,1,1))+ROW()/100000)</f>
        <v/>
      </c>
      <c r="F6919" s="46">
        <f>IF(E6919="","",IF(C6919&gt;WeekEndDate,"",E6919))</f>
        <v/>
      </c>
    </row>
    <row r="6920">
      <c r="A6920" t="inlineStr">
        <is>
          <t>Issues &amp; Punch List</t>
        </is>
      </c>
      <c r="B6920" s="46">
        <f>'Issues &amp; Punch List'!S886</f>
        <v/>
      </c>
      <c r="C6920" s="84">
        <f>'Issues &amp; Punch List'!Q886</f>
        <v/>
      </c>
      <c r="D6920" s="46">
        <f>'Issues &amp; Punch List'!R886</f>
        <v/>
      </c>
      <c r="E6920" s="46">
        <f>IF(OR(B6920="",C6920="",D6920=""),"",D6920*100000+(C6920-DATE(2000,1,1))+ROW()/100000)</f>
        <v/>
      </c>
      <c r="F6920" s="46">
        <f>IF(E6920="","",IF(C6920&gt;WeekEndDate,"",E6920))</f>
        <v/>
      </c>
    </row>
    <row r="6921">
      <c r="A6921" t="inlineStr">
        <is>
          <t>Issues &amp; Punch List</t>
        </is>
      </c>
      <c r="B6921" s="46">
        <f>'Issues &amp; Punch List'!S887</f>
        <v/>
      </c>
      <c r="C6921" s="84">
        <f>'Issues &amp; Punch List'!Q887</f>
        <v/>
      </c>
      <c r="D6921" s="46">
        <f>'Issues &amp; Punch List'!R887</f>
        <v/>
      </c>
      <c r="E6921" s="46">
        <f>IF(OR(B6921="",C6921="",D6921=""),"",D6921*100000+(C6921-DATE(2000,1,1))+ROW()/100000)</f>
        <v/>
      </c>
      <c r="F6921" s="46">
        <f>IF(E6921="","",IF(C6921&gt;WeekEndDate,"",E6921))</f>
        <v/>
      </c>
    </row>
    <row r="6922">
      <c r="A6922" t="inlineStr">
        <is>
          <t>Issues &amp; Punch List</t>
        </is>
      </c>
      <c r="B6922" s="46">
        <f>'Issues &amp; Punch List'!S888</f>
        <v/>
      </c>
      <c r="C6922" s="84">
        <f>'Issues &amp; Punch List'!Q888</f>
        <v/>
      </c>
      <c r="D6922" s="46">
        <f>'Issues &amp; Punch List'!R888</f>
        <v/>
      </c>
      <c r="E6922" s="46">
        <f>IF(OR(B6922="",C6922="",D6922=""),"",D6922*100000+(C6922-DATE(2000,1,1))+ROW()/100000)</f>
        <v/>
      </c>
      <c r="F6922" s="46">
        <f>IF(E6922="","",IF(C6922&gt;WeekEndDate,"",E6922))</f>
        <v/>
      </c>
    </row>
    <row r="6923">
      <c r="A6923" t="inlineStr">
        <is>
          <t>Issues &amp; Punch List</t>
        </is>
      </c>
      <c r="B6923" s="46">
        <f>'Issues &amp; Punch List'!S889</f>
        <v/>
      </c>
      <c r="C6923" s="84">
        <f>'Issues &amp; Punch List'!Q889</f>
        <v/>
      </c>
      <c r="D6923" s="46">
        <f>'Issues &amp; Punch List'!R889</f>
        <v/>
      </c>
      <c r="E6923" s="46">
        <f>IF(OR(B6923="",C6923="",D6923=""),"",D6923*100000+(C6923-DATE(2000,1,1))+ROW()/100000)</f>
        <v/>
      </c>
      <c r="F6923" s="46">
        <f>IF(E6923="","",IF(C6923&gt;WeekEndDate,"",E6923))</f>
        <v/>
      </c>
    </row>
    <row r="6924">
      <c r="A6924" t="inlineStr">
        <is>
          <t>Issues &amp; Punch List</t>
        </is>
      </c>
      <c r="B6924" s="46">
        <f>'Issues &amp; Punch List'!S890</f>
        <v/>
      </c>
      <c r="C6924" s="84">
        <f>'Issues &amp; Punch List'!Q890</f>
        <v/>
      </c>
      <c r="D6924" s="46">
        <f>'Issues &amp; Punch List'!R890</f>
        <v/>
      </c>
      <c r="E6924" s="46">
        <f>IF(OR(B6924="",C6924="",D6924=""),"",D6924*100000+(C6924-DATE(2000,1,1))+ROW()/100000)</f>
        <v/>
      </c>
      <c r="F6924" s="46">
        <f>IF(E6924="","",IF(C6924&gt;WeekEndDate,"",E6924))</f>
        <v/>
      </c>
    </row>
    <row r="6925">
      <c r="A6925" t="inlineStr">
        <is>
          <t>Issues &amp; Punch List</t>
        </is>
      </c>
      <c r="B6925" s="46">
        <f>'Issues &amp; Punch List'!S891</f>
        <v/>
      </c>
      <c r="C6925" s="84">
        <f>'Issues &amp; Punch List'!Q891</f>
        <v/>
      </c>
      <c r="D6925" s="46">
        <f>'Issues &amp; Punch List'!R891</f>
        <v/>
      </c>
      <c r="E6925" s="46">
        <f>IF(OR(B6925="",C6925="",D6925=""),"",D6925*100000+(C6925-DATE(2000,1,1))+ROW()/100000)</f>
        <v/>
      </c>
      <c r="F6925" s="46">
        <f>IF(E6925="","",IF(C6925&gt;WeekEndDate,"",E6925))</f>
        <v/>
      </c>
    </row>
    <row r="6926">
      <c r="A6926" t="inlineStr">
        <is>
          <t>Issues &amp; Punch List</t>
        </is>
      </c>
      <c r="B6926" s="46">
        <f>'Issues &amp; Punch List'!S892</f>
        <v/>
      </c>
      <c r="C6926" s="84">
        <f>'Issues &amp; Punch List'!Q892</f>
        <v/>
      </c>
      <c r="D6926" s="46">
        <f>'Issues &amp; Punch List'!R892</f>
        <v/>
      </c>
      <c r="E6926" s="46">
        <f>IF(OR(B6926="",C6926="",D6926=""),"",D6926*100000+(C6926-DATE(2000,1,1))+ROW()/100000)</f>
        <v/>
      </c>
      <c r="F6926" s="46">
        <f>IF(E6926="","",IF(C6926&gt;WeekEndDate,"",E6926))</f>
        <v/>
      </c>
    </row>
    <row r="6927">
      <c r="A6927" t="inlineStr">
        <is>
          <t>Issues &amp; Punch List</t>
        </is>
      </c>
      <c r="B6927" s="46">
        <f>'Issues &amp; Punch List'!S893</f>
        <v/>
      </c>
      <c r="C6927" s="84">
        <f>'Issues &amp; Punch List'!Q893</f>
        <v/>
      </c>
      <c r="D6927" s="46">
        <f>'Issues &amp; Punch List'!R893</f>
        <v/>
      </c>
      <c r="E6927" s="46">
        <f>IF(OR(B6927="",C6927="",D6927=""),"",D6927*100000+(C6927-DATE(2000,1,1))+ROW()/100000)</f>
        <v/>
      </c>
      <c r="F6927" s="46">
        <f>IF(E6927="","",IF(C6927&gt;WeekEndDate,"",E6927))</f>
        <v/>
      </c>
    </row>
    <row r="6928">
      <c r="A6928" t="inlineStr">
        <is>
          <t>Issues &amp; Punch List</t>
        </is>
      </c>
      <c r="B6928" s="46">
        <f>'Issues &amp; Punch List'!S894</f>
        <v/>
      </c>
      <c r="C6928" s="84">
        <f>'Issues &amp; Punch List'!Q894</f>
        <v/>
      </c>
      <c r="D6928" s="46">
        <f>'Issues &amp; Punch List'!R894</f>
        <v/>
      </c>
      <c r="E6928" s="46">
        <f>IF(OR(B6928="",C6928="",D6928=""),"",D6928*100000+(C6928-DATE(2000,1,1))+ROW()/100000)</f>
        <v/>
      </c>
      <c r="F6928" s="46">
        <f>IF(E6928="","",IF(C6928&gt;WeekEndDate,"",E6928))</f>
        <v/>
      </c>
    </row>
    <row r="6929">
      <c r="A6929" t="inlineStr">
        <is>
          <t>Issues &amp; Punch List</t>
        </is>
      </c>
      <c r="B6929" s="46">
        <f>'Issues &amp; Punch List'!S895</f>
        <v/>
      </c>
      <c r="C6929" s="84">
        <f>'Issues &amp; Punch List'!Q895</f>
        <v/>
      </c>
      <c r="D6929" s="46">
        <f>'Issues &amp; Punch List'!R895</f>
        <v/>
      </c>
      <c r="E6929" s="46">
        <f>IF(OR(B6929="",C6929="",D6929=""),"",D6929*100000+(C6929-DATE(2000,1,1))+ROW()/100000)</f>
        <v/>
      </c>
      <c r="F6929" s="46">
        <f>IF(E6929="","",IF(C6929&gt;WeekEndDate,"",E6929))</f>
        <v/>
      </c>
    </row>
    <row r="6930">
      <c r="A6930" t="inlineStr">
        <is>
          <t>Issues &amp; Punch List</t>
        </is>
      </c>
      <c r="B6930" s="46">
        <f>'Issues &amp; Punch List'!S896</f>
        <v/>
      </c>
      <c r="C6930" s="84">
        <f>'Issues &amp; Punch List'!Q896</f>
        <v/>
      </c>
      <c r="D6930" s="46">
        <f>'Issues &amp; Punch List'!R896</f>
        <v/>
      </c>
      <c r="E6930" s="46">
        <f>IF(OR(B6930="",C6930="",D6930=""),"",D6930*100000+(C6930-DATE(2000,1,1))+ROW()/100000)</f>
        <v/>
      </c>
      <c r="F6930" s="46">
        <f>IF(E6930="","",IF(C6930&gt;WeekEndDate,"",E6930))</f>
        <v/>
      </c>
    </row>
    <row r="6931">
      <c r="A6931" t="inlineStr">
        <is>
          <t>Issues &amp; Punch List</t>
        </is>
      </c>
      <c r="B6931" s="46">
        <f>'Issues &amp; Punch List'!S897</f>
        <v/>
      </c>
      <c r="C6931" s="84">
        <f>'Issues &amp; Punch List'!Q897</f>
        <v/>
      </c>
      <c r="D6931" s="46">
        <f>'Issues &amp; Punch List'!R897</f>
        <v/>
      </c>
      <c r="E6931" s="46">
        <f>IF(OR(B6931="",C6931="",D6931=""),"",D6931*100000+(C6931-DATE(2000,1,1))+ROW()/100000)</f>
        <v/>
      </c>
      <c r="F6931" s="46">
        <f>IF(E6931="","",IF(C6931&gt;WeekEndDate,"",E6931))</f>
        <v/>
      </c>
    </row>
    <row r="6932">
      <c r="A6932" t="inlineStr">
        <is>
          <t>Issues &amp; Punch List</t>
        </is>
      </c>
      <c r="B6932" s="46">
        <f>'Issues &amp; Punch List'!S898</f>
        <v/>
      </c>
      <c r="C6932" s="84">
        <f>'Issues &amp; Punch List'!Q898</f>
        <v/>
      </c>
      <c r="D6932" s="46">
        <f>'Issues &amp; Punch List'!R898</f>
        <v/>
      </c>
      <c r="E6932" s="46">
        <f>IF(OR(B6932="",C6932="",D6932=""),"",D6932*100000+(C6932-DATE(2000,1,1))+ROW()/100000)</f>
        <v/>
      </c>
      <c r="F6932" s="46">
        <f>IF(E6932="","",IF(C6932&gt;WeekEndDate,"",E6932))</f>
        <v/>
      </c>
    </row>
    <row r="6933">
      <c r="A6933" t="inlineStr">
        <is>
          <t>Issues &amp; Punch List</t>
        </is>
      </c>
      <c r="B6933" s="46">
        <f>'Issues &amp; Punch List'!S899</f>
        <v/>
      </c>
      <c r="C6933" s="84">
        <f>'Issues &amp; Punch List'!Q899</f>
        <v/>
      </c>
      <c r="D6933" s="46">
        <f>'Issues &amp; Punch List'!R899</f>
        <v/>
      </c>
      <c r="E6933" s="46">
        <f>IF(OR(B6933="",C6933="",D6933=""),"",D6933*100000+(C6933-DATE(2000,1,1))+ROW()/100000)</f>
        <v/>
      </c>
      <c r="F6933" s="46">
        <f>IF(E6933="","",IF(C6933&gt;WeekEndDate,"",E6933))</f>
        <v/>
      </c>
    </row>
    <row r="6934">
      <c r="A6934" t="inlineStr">
        <is>
          <t>Issues &amp; Punch List</t>
        </is>
      </c>
      <c r="B6934" s="46">
        <f>'Issues &amp; Punch List'!S900</f>
        <v/>
      </c>
      <c r="C6934" s="84">
        <f>'Issues &amp; Punch List'!Q900</f>
        <v/>
      </c>
      <c r="D6934" s="46">
        <f>'Issues &amp; Punch List'!R900</f>
        <v/>
      </c>
      <c r="E6934" s="46">
        <f>IF(OR(B6934="",C6934="",D6934=""),"",D6934*100000+(C6934-DATE(2000,1,1))+ROW()/100000)</f>
        <v/>
      </c>
      <c r="F6934" s="46">
        <f>IF(E6934="","",IF(C6934&gt;WeekEndDate,"",E6934))</f>
        <v/>
      </c>
    </row>
    <row r="6935">
      <c r="A6935" t="inlineStr">
        <is>
          <t>Issues &amp; Punch List</t>
        </is>
      </c>
      <c r="B6935" s="46">
        <f>'Issues &amp; Punch List'!S901</f>
        <v/>
      </c>
      <c r="C6935" s="84">
        <f>'Issues &amp; Punch List'!Q901</f>
        <v/>
      </c>
      <c r="D6935" s="46">
        <f>'Issues &amp; Punch List'!R901</f>
        <v/>
      </c>
      <c r="E6935" s="46">
        <f>IF(OR(B6935="",C6935="",D6935=""),"",D6935*100000+(C6935-DATE(2000,1,1))+ROW()/100000)</f>
        <v/>
      </c>
      <c r="F6935" s="46">
        <f>IF(E6935="","",IF(C6935&gt;WeekEndDate,"",E6935))</f>
        <v/>
      </c>
    </row>
    <row r="6936">
      <c r="A6936" t="inlineStr">
        <is>
          <t>Issues &amp; Punch List</t>
        </is>
      </c>
      <c r="B6936" s="46">
        <f>'Issues &amp; Punch List'!S902</f>
        <v/>
      </c>
      <c r="C6936" s="84">
        <f>'Issues &amp; Punch List'!Q902</f>
        <v/>
      </c>
      <c r="D6936" s="46">
        <f>'Issues &amp; Punch List'!R902</f>
        <v/>
      </c>
      <c r="E6936" s="46">
        <f>IF(OR(B6936="",C6936="",D6936=""),"",D6936*100000+(C6936-DATE(2000,1,1))+ROW()/100000)</f>
        <v/>
      </c>
      <c r="F6936" s="46">
        <f>IF(E6936="","",IF(C6936&gt;WeekEndDate,"",E6936))</f>
        <v/>
      </c>
    </row>
    <row r="6937">
      <c r="A6937" t="inlineStr">
        <is>
          <t>Issues &amp; Punch List</t>
        </is>
      </c>
      <c r="B6937" s="46">
        <f>'Issues &amp; Punch List'!S903</f>
        <v/>
      </c>
      <c r="C6937" s="84">
        <f>'Issues &amp; Punch List'!Q903</f>
        <v/>
      </c>
      <c r="D6937" s="46">
        <f>'Issues &amp; Punch List'!R903</f>
        <v/>
      </c>
      <c r="E6937" s="46">
        <f>IF(OR(B6937="",C6937="",D6937=""),"",D6937*100000+(C6937-DATE(2000,1,1))+ROW()/100000)</f>
        <v/>
      </c>
      <c r="F6937" s="46">
        <f>IF(E6937="","",IF(C6937&gt;WeekEndDate,"",E6937))</f>
        <v/>
      </c>
    </row>
    <row r="6938">
      <c r="A6938" t="inlineStr">
        <is>
          <t>Issues &amp; Punch List</t>
        </is>
      </c>
      <c r="B6938" s="46">
        <f>'Issues &amp; Punch List'!S904</f>
        <v/>
      </c>
      <c r="C6938" s="84">
        <f>'Issues &amp; Punch List'!Q904</f>
        <v/>
      </c>
      <c r="D6938" s="46">
        <f>'Issues &amp; Punch List'!R904</f>
        <v/>
      </c>
      <c r="E6938" s="46">
        <f>IF(OR(B6938="",C6938="",D6938=""),"",D6938*100000+(C6938-DATE(2000,1,1))+ROW()/100000)</f>
        <v/>
      </c>
      <c r="F6938" s="46">
        <f>IF(E6938="","",IF(C6938&gt;WeekEndDate,"",E6938))</f>
        <v/>
      </c>
    </row>
    <row r="6939">
      <c r="A6939" t="inlineStr">
        <is>
          <t>Issues &amp; Punch List</t>
        </is>
      </c>
      <c r="B6939" s="46">
        <f>'Issues &amp; Punch List'!S905</f>
        <v/>
      </c>
      <c r="C6939" s="84">
        <f>'Issues &amp; Punch List'!Q905</f>
        <v/>
      </c>
      <c r="D6939" s="46">
        <f>'Issues &amp; Punch List'!R905</f>
        <v/>
      </c>
      <c r="E6939" s="46">
        <f>IF(OR(B6939="",C6939="",D6939=""),"",D6939*100000+(C6939-DATE(2000,1,1))+ROW()/100000)</f>
        <v/>
      </c>
      <c r="F6939" s="46">
        <f>IF(E6939="","",IF(C6939&gt;WeekEndDate,"",E6939))</f>
        <v/>
      </c>
    </row>
    <row r="6940">
      <c r="A6940" t="inlineStr">
        <is>
          <t>Issues &amp; Punch List</t>
        </is>
      </c>
      <c r="B6940" s="46">
        <f>'Issues &amp; Punch List'!S906</f>
        <v/>
      </c>
      <c r="C6940" s="84">
        <f>'Issues &amp; Punch List'!Q906</f>
        <v/>
      </c>
      <c r="D6940" s="46">
        <f>'Issues &amp; Punch List'!R906</f>
        <v/>
      </c>
      <c r="E6940" s="46">
        <f>IF(OR(B6940="",C6940="",D6940=""),"",D6940*100000+(C6940-DATE(2000,1,1))+ROW()/100000)</f>
        <v/>
      </c>
      <c r="F6940" s="46">
        <f>IF(E6940="","",IF(C6940&gt;WeekEndDate,"",E6940))</f>
        <v/>
      </c>
    </row>
    <row r="6941">
      <c r="A6941" t="inlineStr">
        <is>
          <t>Issues &amp; Punch List</t>
        </is>
      </c>
      <c r="B6941" s="46">
        <f>'Issues &amp; Punch List'!S907</f>
        <v/>
      </c>
      <c r="C6941" s="84">
        <f>'Issues &amp; Punch List'!Q907</f>
        <v/>
      </c>
      <c r="D6941" s="46">
        <f>'Issues &amp; Punch List'!R907</f>
        <v/>
      </c>
      <c r="E6941" s="46">
        <f>IF(OR(B6941="",C6941="",D6941=""),"",D6941*100000+(C6941-DATE(2000,1,1))+ROW()/100000)</f>
        <v/>
      </c>
      <c r="F6941" s="46">
        <f>IF(E6941="","",IF(C6941&gt;WeekEndDate,"",E6941))</f>
        <v/>
      </c>
    </row>
    <row r="6942">
      <c r="A6942" t="inlineStr">
        <is>
          <t>Issues &amp; Punch List</t>
        </is>
      </c>
      <c r="B6942" s="46">
        <f>'Issues &amp; Punch List'!S908</f>
        <v/>
      </c>
      <c r="C6942" s="84">
        <f>'Issues &amp; Punch List'!Q908</f>
        <v/>
      </c>
      <c r="D6942" s="46">
        <f>'Issues &amp; Punch List'!R908</f>
        <v/>
      </c>
      <c r="E6942" s="46">
        <f>IF(OR(B6942="",C6942="",D6942=""),"",D6942*100000+(C6942-DATE(2000,1,1))+ROW()/100000)</f>
        <v/>
      </c>
      <c r="F6942" s="46">
        <f>IF(E6942="","",IF(C6942&gt;WeekEndDate,"",E6942))</f>
        <v/>
      </c>
    </row>
    <row r="6943">
      <c r="A6943" t="inlineStr">
        <is>
          <t>Issues &amp; Punch List</t>
        </is>
      </c>
      <c r="B6943" s="46">
        <f>'Issues &amp; Punch List'!S909</f>
        <v/>
      </c>
      <c r="C6943" s="84">
        <f>'Issues &amp; Punch List'!Q909</f>
        <v/>
      </c>
      <c r="D6943" s="46">
        <f>'Issues &amp; Punch List'!R909</f>
        <v/>
      </c>
      <c r="E6943" s="46">
        <f>IF(OR(B6943="",C6943="",D6943=""),"",D6943*100000+(C6943-DATE(2000,1,1))+ROW()/100000)</f>
        <v/>
      </c>
      <c r="F6943" s="46">
        <f>IF(E6943="","",IF(C6943&gt;WeekEndDate,"",E6943))</f>
        <v/>
      </c>
    </row>
    <row r="6944">
      <c r="A6944" t="inlineStr">
        <is>
          <t>Issues &amp; Punch List</t>
        </is>
      </c>
      <c r="B6944" s="46">
        <f>'Issues &amp; Punch List'!S910</f>
        <v/>
      </c>
      <c r="C6944" s="84">
        <f>'Issues &amp; Punch List'!Q910</f>
        <v/>
      </c>
      <c r="D6944" s="46">
        <f>'Issues &amp; Punch List'!R910</f>
        <v/>
      </c>
      <c r="E6944" s="46">
        <f>IF(OR(B6944="",C6944="",D6944=""),"",D6944*100000+(C6944-DATE(2000,1,1))+ROW()/100000)</f>
        <v/>
      </c>
      <c r="F6944" s="46">
        <f>IF(E6944="","",IF(C6944&gt;WeekEndDate,"",E6944))</f>
        <v/>
      </c>
    </row>
    <row r="6945">
      <c r="A6945" t="inlineStr">
        <is>
          <t>Issues &amp; Punch List</t>
        </is>
      </c>
      <c r="B6945" s="46">
        <f>'Issues &amp; Punch List'!S911</f>
        <v/>
      </c>
      <c r="C6945" s="84">
        <f>'Issues &amp; Punch List'!Q911</f>
        <v/>
      </c>
      <c r="D6945" s="46">
        <f>'Issues &amp; Punch List'!R911</f>
        <v/>
      </c>
      <c r="E6945" s="46">
        <f>IF(OR(B6945="",C6945="",D6945=""),"",D6945*100000+(C6945-DATE(2000,1,1))+ROW()/100000)</f>
        <v/>
      </c>
      <c r="F6945" s="46">
        <f>IF(E6945="","",IF(C6945&gt;WeekEndDate,"",E6945))</f>
        <v/>
      </c>
    </row>
    <row r="6946">
      <c r="A6946" t="inlineStr">
        <is>
          <t>Issues &amp; Punch List</t>
        </is>
      </c>
      <c r="B6946" s="46">
        <f>'Issues &amp; Punch List'!S912</f>
        <v/>
      </c>
      <c r="C6946" s="84">
        <f>'Issues &amp; Punch List'!Q912</f>
        <v/>
      </c>
      <c r="D6946" s="46">
        <f>'Issues &amp; Punch List'!R912</f>
        <v/>
      </c>
      <c r="E6946" s="46">
        <f>IF(OR(B6946="",C6946="",D6946=""),"",D6946*100000+(C6946-DATE(2000,1,1))+ROW()/100000)</f>
        <v/>
      </c>
      <c r="F6946" s="46">
        <f>IF(E6946="","",IF(C6946&gt;WeekEndDate,"",E6946))</f>
        <v/>
      </c>
    </row>
    <row r="6947">
      <c r="A6947" t="inlineStr">
        <is>
          <t>Issues &amp; Punch List</t>
        </is>
      </c>
      <c r="B6947" s="46">
        <f>'Issues &amp; Punch List'!S913</f>
        <v/>
      </c>
      <c r="C6947" s="84">
        <f>'Issues &amp; Punch List'!Q913</f>
        <v/>
      </c>
      <c r="D6947" s="46">
        <f>'Issues &amp; Punch List'!R913</f>
        <v/>
      </c>
      <c r="E6947" s="46">
        <f>IF(OR(B6947="",C6947="",D6947=""),"",D6947*100000+(C6947-DATE(2000,1,1))+ROW()/100000)</f>
        <v/>
      </c>
      <c r="F6947" s="46">
        <f>IF(E6947="","",IF(C6947&gt;WeekEndDate,"",E6947))</f>
        <v/>
      </c>
    </row>
    <row r="6948">
      <c r="A6948" t="inlineStr">
        <is>
          <t>Issues &amp; Punch List</t>
        </is>
      </c>
      <c r="B6948" s="46">
        <f>'Issues &amp; Punch List'!S914</f>
        <v/>
      </c>
      <c r="C6948" s="84">
        <f>'Issues &amp; Punch List'!Q914</f>
        <v/>
      </c>
      <c r="D6948" s="46">
        <f>'Issues &amp; Punch List'!R914</f>
        <v/>
      </c>
      <c r="E6948" s="46">
        <f>IF(OR(B6948="",C6948="",D6948=""),"",D6948*100000+(C6948-DATE(2000,1,1))+ROW()/100000)</f>
        <v/>
      </c>
      <c r="F6948" s="46">
        <f>IF(E6948="","",IF(C6948&gt;WeekEndDate,"",E6948))</f>
        <v/>
      </c>
    </row>
    <row r="6949">
      <c r="A6949" t="inlineStr">
        <is>
          <t>Issues &amp; Punch List</t>
        </is>
      </c>
      <c r="B6949" s="46">
        <f>'Issues &amp; Punch List'!S915</f>
        <v/>
      </c>
      <c r="C6949" s="84">
        <f>'Issues &amp; Punch List'!Q915</f>
        <v/>
      </c>
      <c r="D6949" s="46">
        <f>'Issues &amp; Punch List'!R915</f>
        <v/>
      </c>
      <c r="E6949" s="46">
        <f>IF(OR(B6949="",C6949="",D6949=""),"",D6949*100000+(C6949-DATE(2000,1,1))+ROW()/100000)</f>
        <v/>
      </c>
      <c r="F6949" s="46">
        <f>IF(E6949="","",IF(C6949&gt;WeekEndDate,"",E6949))</f>
        <v/>
      </c>
    </row>
    <row r="6950">
      <c r="A6950" t="inlineStr">
        <is>
          <t>Issues &amp; Punch List</t>
        </is>
      </c>
      <c r="B6950" s="46">
        <f>'Issues &amp; Punch List'!S916</f>
        <v/>
      </c>
      <c r="C6950" s="84">
        <f>'Issues &amp; Punch List'!Q916</f>
        <v/>
      </c>
      <c r="D6950" s="46">
        <f>'Issues &amp; Punch List'!R916</f>
        <v/>
      </c>
      <c r="E6950" s="46">
        <f>IF(OR(B6950="",C6950="",D6950=""),"",D6950*100000+(C6950-DATE(2000,1,1))+ROW()/100000)</f>
        <v/>
      </c>
      <c r="F6950" s="46">
        <f>IF(E6950="","",IF(C6950&gt;WeekEndDate,"",E6950))</f>
        <v/>
      </c>
    </row>
    <row r="6951">
      <c r="A6951" t="inlineStr">
        <is>
          <t>Issues &amp; Punch List</t>
        </is>
      </c>
      <c r="B6951" s="46">
        <f>'Issues &amp; Punch List'!S917</f>
        <v/>
      </c>
      <c r="C6951" s="84">
        <f>'Issues &amp; Punch List'!Q917</f>
        <v/>
      </c>
      <c r="D6951" s="46">
        <f>'Issues &amp; Punch List'!R917</f>
        <v/>
      </c>
      <c r="E6951" s="46">
        <f>IF(OR(B6951="",C6951="",D6951=""),"",D6951*100000+(C6951-DATE(2000,1,1))+ROW()/100000)</f>
        <v/>
      </c>
      <c r="F6951" s="46">
        <f>IF(E6951="","",IF(C6951&gt;WeekEndDate,"",E6951))</f>
        <v/>
      </c>
    </row>
    <row r="6952">
      <c r="A6952" t="inlineStr">
        <is>
          <t>Issues &amp; Punch List</t>
        </is>
      </c>
      <c r="B6952" s="46">
        <f>'Issues &amp; Punch List'!S918</f>
        <v/>
      </c>
      <c r="C6952" s="84">
        <f>'Issues &amp; Punch List'!Q918</f>
        <v/>
      </c>
      <c r="D6952" s="46">
        <f>'Issues &amp; Punch List'!R918</f>
        <v/>
      </c>
      <c r="E6952" s="46">
        <f>IF(OR(B6952="",C6952="",D6952=""),"",D6952*100000+(C6952-DATE(2000,1,1))+ROW()/100000)</f>
        <v/>
      </c>
      <c r="F6952" s="46">
        <f>IF(E6952="","",IF(C6952&gt;WeekEndDate,"",E6952))</f>
        <v/>
      </c>
    </row>
    <row r="6953">
      <c r="A6953" t="inlineStr">
        <is>
          <t>Issues &amp; Punch List</t>
        </is>
      </c>
      <c r="B6953" s="46">
        <f>'Issues &amp; Punch List'!S919</f>
        <v/>
      </c>
      <c r="C6953" s="84">
        <f>'Issues &amp; Punch List'!Q919</f>
        <v/>
      </c>
      <c r="D6953" s="46">
        <f>'Issues &amp; Punch List'!R919</f>
        <v/>
      </c>
      <c r="E6953" s="46">
        <f>IF(OR(B6953="",C6953="",D6953=""),"",D6953*100000+(C6953-DATE(2000,1,1))+ROW()/100000)</f>
        <v/>
      </c>
      <c r="F6953" s="46">
        <f>IF(E6953="","",IF(C6953&gt;WeekEndDate,"",E6953))</f>
        <v/>
      </c>
    </row>
    <row r="6954">
      <c r="A6954" t="inlineStr">
        <is>
          <t>Issues &amp; Punch List</t>
        </is>
      </c>
      <c r="B6954" s="46">
        <f>'Issues &amp; Punch List'!S920</f>
        <v/>
      </c>
      <c r="C6954" s="84">
        <f>'Issues &amp; Punch List'!Q920</f>
        <v/>
      </c>
      <c r="D6954" s="46">
        <f>'Issues &amp; Punch List'!R920</f>
        <v/>
      </c>
      <c r="E6954" s="46">
        <f>IF(OR(B6954="",C6954="",D6954=""),"",D6954*100000+(C6954-DATE(2000,1,1))+ROW()/100000)</f>
        <v/>
      </c>
      <c r="F6954" s="46">
        <f>IF(E6954="","",IF(C6954&gt;WeekEndDate,"",E6954))</f>
        <v/>
      </c>
    </row>
    <row r="6955">
      <c r="A6955" t="inlineStr">
        <is>
          <t>Issues &amp; Punch List</t>
        </is>
      </c>
      <c r="B6955" s="46">
        <f>'Issues &amp; Punch List'!S921</f>
        <v/>
      </c>
      <c r="C6955" s="84">
        <f>'Issues &amp; Punch List'!Q921</f>
        <v/>
      </c>
      <c r="D6955" s="46">
        <f>'Issues &amp; Punch List'!R921</f>
        <v/>
      </c>
      <c r="E6955" s="46">
        <f>IF(OR(B6955="",C6955="",D6955=""),"",D6955*100000+(C6955-DATE(2000,1,1))+ROW()/100000)</f>
        <v/>
      </c>
      <c r="F6955" s="46">
        <f>IF(E6955="","",IF(C6955&gt;WeekEndDate,"",E6955))</f>
        <v/>
      </c>
    </row>
    <row r="6956">
      <c r="A6956" t="inlineStr">
        <is>
          <t>Issues &amp; Punch List</t>
        </is>
      </c>
      <c r="B6956" s="46">
        <f>'Issues &amp; Punch List'!S922</f>
        <v/>
      </c>
      <c r="C6956" s="84">
        <f>'Issues &amp; Punch List'!Q922</f>
        <v/>
      </c>
      <c r="D6956" s="46">
        <f>'Issues &amp; Punch List'!R922</f>
        <v/>
      </c>
      <c r="E6956" s="46">
        <f>IF(OR(B6956="",C6956="",D6956=""),"",D6956*100000+(C6956-DATE(2000,1,1))+ROW()/100000)</f>
        <v/>
      </c>
      <c r="F6956" s="46">
        <f>IF(E6956="","",IF(C6956&gt;WeekEndDate,"",E6956))</f>
        <v/>
      </c>
    </row>
    <row r="6957">
      <c r="A6957" t="inlineStr">
        <is>
          <t>Issues &amp; Punch List</t>
        </is>
      </c>
      <c r="B6957" s="46">
        <f>'Issues &amp; Punch List'!S923</f>
        <v/>
      </c>
      <c r="C6957" s="84">
        <f>'Issues &amp; Punch List'!Q923</f>
        <v/>
      </c>
      <c r="D6957" s="46">
        <f>'Issues &amp; Punch List'!R923</f>
        <v/>
      </c>
      <c r="E6957" s="46">
        <f>IF(OR(B6957="",C6957="",D6957=""),"",D6957*100000+(C6957-DATE(2000,1,1))+ROW()/100000)</f>
        <v/>
      </c>
      <c r="F6957" s="46">
        <f>IF(E6957="","",IF(C6957&gt;WeekEndDate,"",E6957))</f>
        <v/>
      </c>
    </row>
    <row r="6958">
      <c r="A6958" t="inlineStr">
        <is>
          <t>Issues &amp; Punch List</t>
        </is>
      </c>
      <c r="B6958" s="46">
        <f>'Issues &amp; Punch List'!S924</f>
        <v/>
      </c>
      <c r="C6958" s="84">
        <f>'Issues &amp; Punch List'!Q924</f>
        <v/>
      </c>
      <c r="D6958" s="46">
        <f>'Issues &amp; Punch List'!R924</f>
        <v/>
      </c>
      <c r="E6958" s="46">
        <f>IF(OR(B6958="",C6958="",D6958=""),"",D6958*100000+(C6958-DATE(2000,1,1))+ROW()/100000)</f>
        <v/>
      </c>
      <c r="F6958" s="46">
        <f>IF(E6958="","",IF(C6958&gt;WeekEndDate,"",E6958))</f>
        <v/>
      </c>
    </row>
    <row r="6959">
      <c r="A6959" t="inlineStr">
        <is>
          <t>Issues &amp; Punch List</t>
        </is>
      </c>
      <c r="B6959" s="46">
        <f>'Issues &amp; Punch List'!S925</f>
        <v/>
      </c>
      <c r="C6959" s="84">
        <f>'Issues &amp; Punch List'!Q925</f>
        <v/>
      </c>
      <c r="D6959" s="46">
        <f>'Issues &amp; Punch List'!R925</f>
        <v/>
      </c>
      <c r="E6959" s="46">
        <f>IF(OR(B6959="",C6959="",D6959=""),"",D6959*100000+(C6959-DATE(2000,1,1))+ROW()/100000)</f>
        <v/>
      </c>
      <c r="F6959" s="46">
        <f>IF(E6959="","",IF(C6959&gt;WeekEndDate,"",E6959))</f>
        <v/>
      </c>
    </row>
    <row r="6960">
      <c r="A6960" t="inlineStr">
        <is>
          <t>Issues &amp; Punch List</t>
        </is>
      </c>
      <c r="B6960" s="46">
        <f>'Issues &amp; Punch List'!S926</f>
        <v/>
      </c>
      <c r="C6960" s="84">
        <f>'Issues &amp; Punch List'!Q926</f>
        <v/>
      </c>
      <c r="D6960" s="46">
        <f>'Issues &amp; Punch List'!R926</f>
        <v/>
      </c>
      <c r="E6960" s="46">
        <f>IF(OR(B6960="",C6960="",D6960=""),"",D6960*100000+(C6960-DATE(2000,1,1))+ROW()/100000)</f>
        <v/>
      </c>
      <c r="F6960" s="46">
        <f>IF(E6960="","",IF(C6960&gt;WeekEndDate,"",E6960))</f>
        <v/>
      </c>
    </row>
    <row r="6961">
      <c r="A6961" t="inlineStr">
        <is>
          <t>Issues &amp; Punch List</t>
        </is>
      </c>
      <c r="B6961" s="46">
        <f>'Issues &amp; Punch List'!S927</f>
        <v/>
      </c>
      <c r="C6961" s="84">
        <f>'Issues &amp; Punch List'!Q927</f>
        <v/>
      </c>
      <c r="D6961" s="46">
        <f>'Issues &amp; Punch List'!R927</f>
        <v/>
      </c>
      <c r="E6961" s="46">
        <f>IF(OR(B6961="",C6961="",D6961=""),"",D6961*100000+(C6961-DATE(2000,1,1))+ROW()/100000)</f>
        <v/>
      </c>
      <c r="F6961" s="46">
        <f>IF(E6961="","",IF(C6961&gt;WeekEndDate,"",E6961))</f>
        <v/>
      </c>
    </row>
    <row r="6962">
      <c r="A6962" t="inlineStr">
        <is>
          <t>Issues &amp; Punch List</t>
        </is>
      </c>
      <c r="B6962" s="46">
        <f>'Issues &amp; Punch List'!S928</f>
        <v/>
      </c>
      <c r="C6962" s="84">
        <f>'Issues &amp; Punch List'!Q928</f>
        <v/>
      </c>
      <c r="D6962" s="46">
        <f>'Issues &amp; Punch List'!R928</f>
        <v/>
      </c>
      <c r="E6962" s="46">
        <f>IF(OR(B6962="",C6962="",D6962=""),"",D6962*100000+(C6962-DATE(2000,1,1))+ROW()/100000)</f>
        <v/>
      </c>
      <c r="F6962" s="46">
        <f>IF(E6962="","",IF(C6962&gt;WeekEndDate,"",E6962))</f>
        <v/>
      </c>
    </row>
    <row r="6963">
      <c r="A6963" t="inlineStr">
        <is>
          <t>Issues &amp; Punch List</t>
        </is>
      </c>
      <c r="B6963" s="46">
        <f>'Issues &amp; Punch List'!S929</f>
        <v/>
      </c>
      <c r="C6963" s="84">
        <f>'Issues &amp; Punch List'!Q929</f>
        <v/>
      </c>
      <c r="D6963" s="46">
        <f>'Issues &amp; Punch List'!R929</f>
        <v/>
      </c>
      <c r="E6963" s="46">
        <f>IF(OR(B6963="",C6963="",D6963=""),"",D6963*100000+(C6963-DATE(2000,1,1))+ROW()/100000)</f>
        <v/>
      </c>
      <c r="F6963" s="46">
        <f>IF(E6963="","",IF(C6963&gt;WeekEndDate,"",E6963))</f>
        <v/>
      </c>
    </row>
    <row r="6964">
      <c r="A6964" t="inlineStr">
        <is>
          <t>Issues &amp; Punch List</t>
        </is>
      </c>
      <c r="B6964" s="46">
        <f>'Issues &amp; Punch List'!S930</f>
        <v/>
      </c>
      <c r="C6964" s="84">
        <f>'Issues &amp; Punch List'!Q930</f>
        <v/>
      </c>
      <c r="D6964" s="46">
        <f>'Issues &amp; Punch List'!R930</f>
        <v/>
      </c>
      <c r="E6964" s="46">
        <f>IF(OR(B6964="",C6964="",D6964=""),"",D6964*100000+(C6964-DATE(2000,1,1))+ROW()/100000)</f>
        <v/>
      </c>
      <c r="F6964" s="46">
        <f>IF(E6964="","",IF(C6964&gt;WeekEndDate,"",E6964))</f>
        <v/>
      </c>
    </row>
    <row r="6965">
      <c r="A6965" t="inlineStr">
        <is>
          <t>Issues &amp; Punch List</t>
        </is>
      </c>
      <c r="B6965" s="46">
        <f>'Issues &amp; Punch List'!S931</f>
        <v/>
      </c>
      <c r="C6965" s="84">
        <f>'Issues &amp; Punch List'!Q931</f>
        <v/>
      </c>
      <c r="D6965" s="46">
        <f>'Issues &amp; Punch List'!R931</f>
        <v/>
      </c>
      <c r="E6965" s="46">
        <f>IF(OR(B6965="",C6965="",D6965=""),"",D6965*100000+(C6965-DATE(2000,1,1))+ROW()/100000)</f>
        <v/>
      </c>
      <c r="F6965" s="46">
        <f>IF(E6965="","",IF(C6965&gt;WeekEndDate,"",E6965))</f>
        <v/>
      </c>
    </row>
    <row r="6966">
      <c r="A6966" t="inlineStr">
        <is>
          <t>Issues &amp; Punch List</t>
        </is>
      </c>
      <c r="B6966" s="46">
        <f>'Issues &amp; Punch List'!S932</f>
        <v/>
      </c>
      <c r="C6966" s="84">
        <f>'Issues &amp; Punch List'!Q932</f>
        <v/>
      </c>
      <c r="D6966" s="46">
        <f>'Issues &amp; Punch List'!R932</f>
        <v/>
      </c>
      <c r="E6966" s="46">
        <f>IF(OR(B6966="",C6966="",D6966=""),"",D6966*100000+(C6966-DATE(2000,1,1))+ROW()/100000)</f>
        <v/>
      </c>
      <c r="F6966" s="46">
        <f>IF(E6966="","",IF(C6966&gt;WeekEndDate,"",E6966))</f>
        <v/>
      </c>
    </row>
    <row r="6967">
      <c r="A6967" t="inlineStr">
        <is>
          <t>Issues &amp; Punch List</t>
        </is>
      </c>
      <c r="B6967" s="46">
        <f>'Issues &amp; Punch List'!S933</f>
        <v/>
      </c>
      <c r="C6967" s="84">
        <f>'Issues &amp; Punch List'!Q933</f>
        <v/>
      </c>
      <c r="D6967" s="46">
        <f>'Issues &amp; Punch List'!R933</f>
        <v/>
      </c>
      <c r="E6967" s="46">
        <f>IF(OR(B6967="",C6967="",D6967=""),"",D6967*100000+(C6967-DATE(2000,1,1))+ROW()/100000)</f>
        <v/>
      </c>
      <c r="F6967" s="46">
        <f>IF(E6967="","",IF(C6967&gt;WeekEndDate,"",E6967))</f>
        <v/>
      </c>
    </row>
    <row r="6968">
      <c r="A6968" t="inlineStr">
        <is>
          <t>Issues &amp; Punch List</t>
        </is>
      </c>
      <c r="B6968" s="46">
        <f>'Issues &amp; Punch List'!S934</f>
        <v/>
      </c>
      <c r="C6968" s="84">
        <f>'Issues &amp; Punch List'!Q934</f>
        <v/>
      </c>
      <c r="D6968" s="46">
        <f>'Issues &amp; Punch List'!R934</f>
        <v/>
      </c>
      <c r="E6968" s="46">
        <f>IF(OR(B6968="",C6968="",D6968=""),"",D6968*100000+(C6968-DATE(2000,1,1))+ROW()/100000)</f>
        <v/>
      </c>
      <c r="F6968" s="46">
        <f>IF(E6968="","",IF(C6968&gt;WeekEndDate,"",E6968))</f>
        <v/>
      </c>
    </row>
    <row r="6969">
      <c r="A6969" t="inlineStr">
        <is>
          <t>Issues &amp; Punch List</t>
        </is>
      </c>
      <c r="B6969" s="46">
        <f>'Issues &amp; Punch List'!S935</f>
        <v/>
      </c>
      <c r="C6969" s="84">
        <f>'Issues &amp; Punch List'!Q935</f>
        <v/>
      </c>
      <c r="D6969" s="46">
        <f>'Issues &amp; Punch List'!R935</f>
        <v/>
      </c>
      <c r="E6969" s="46">
        <f>IF(OR(B6969="",C6969="",D6969=""),"",D6969*100000+(C6969-DATE(2000,1,1))+ROW()/100000)</f>
        <v/>
      </c>
      <c r="F6969" s="46">
        <f>IF(E6969="","",IF(C6969&gt;WeekEndDate,"",E6969))</f>
        <v/>
      </c>
    </row>
    <row r="6970">
      <c r="A6970" t="inlineStr">
        <is>
          <t>Issues &amp; Punch List</t>
        </is>
      </c>
      <c r="B6970" s="46">
        <f>'Issues &amp; Punch List'!S936</f>
        <v/>
      </c>
      <c r="C6970" s="84">
        <f>'Issues &amp; Punch List'!Q936</f>
        <v/>
      </c>
      <c r="D6970" s="46">
        <f>'Issues &amp; Punch List'!R936</f>
        <v/>
      </c>
      <c r="E6970" s="46">
        <f>IF(OR(B6970="",C6970="",D6970=""),"",D6970*100000+(C6970-DATE(2000,1,1))+ROW()/100000)</f>
        <v/>
      </c>
      <c r="F6970" s="46">
        <f>IF(E6970="","",IF(C6970&gt;WeekEndDate,"",E6970))</f>
        <v/>
      </c>
    </row>
    <row r="6971">
      <c r="A6971" t="inlineStr">
        <is>
          <t>Issues &amp; Punch List</t>
        </is>
      </c>
      <c r="B6971" s="46">
        <f>'Issues &amp; Punch List'!S937</f>
        <v/>
      </c>
      <c r="C6971" s="84">
        <f>'Issues &amp; Punch List'!Q937</f>
        <v/>
      </c>
      <c r="D6971" s="46">
        <f>'Issues &amp; Punch List'!R937</f>
        <v/>
      </c>
      <c r="E6971" s="46">
        <f>IF(OR(B6971="",C6971="",D6971=""),"",D6971*100000+(C6971-DATE(2000,1,1))+ROW()/100000)</f>
        <v/>
      </c>
      <c r="F6971" s="46">
        <f>IF(E6971="","",IF(C6971&gt;WeekEndDate,"",E6971))</f>
        <v/>
      </c>
    </row>
    <row r="6972">
      <c r="A6972" t="inlineStr">
        <is>
          <t>Issues &amp; Punch List</t>
        </is>
      </c>
      <c r="B6972" s="46">
        <f>'Issues &amp; Punch List'!S938</f>
        <v/>
      </c>
      <c r="C6972" s="84">
        <f>'Issues &amp; Punch List'!Q938</f>
        <v/>
      </c>
      <c r="D6972" s="46">
        <f>'Issues &amp; Punch List'!R938</f>
        <v/>
      </c>
      <c r="E6972" s="46">
        <f>IF(OR(B6972="",C6972="",D6972=""),"",D6972*100000+(C6972-DATE(2000,1,1))+ROW()/100000)</f>
        <v/>
      </c>
      <c r="F6972" s="46">
        <f>IF(E6972="","",IF(C6972&gt;WeekEndDate,"",E6972))</f>
        <v/>
      </c>
    </row>
    <row r="6973">
      <c r="A6973" t="inlineStr">
        <is>
          <t>Issues &amp; Punch List</t>
        </is>
      </c>
      <c r="B6973" s="46">
        <f>'Issues &amp; Punch List'!S939</f>
        <v/>
      </c>
      <c r="C6973" s="84">
        <f>'Issues &amp; Punch List'!Q939</f>
        <v/>
      </c>
      <c r="D6973" s="46">
        <f>'Issues &amp; Punch List'!R939</f>
        <v/>
      </c>
      <c r="E6973" s="46">
        <f>IF(OR(B6973="",C6973="",D6973=""),"",D6973*100000+(C6973-DATE(2000,1,1))+ROW()/100000)</f>
        <v/>
      </c>
      <c r="F6973" s="46">
        <f>IF(E6973="","",IF(C6973&gt;WeekEndDate,"",E6973))</f>
        <v/>
      </c>
    </row>
    <row r="6974">
      <c r="A6974" t="inlineStr">
        <is>
          <t>Issues &amp; Punch List</t>
        </is>
      </c>
      <c r="B6974" s="46">
        <f>'Issues &amp; Punch List'!S940</f>
        <v/>
      </c>
      <c r="C6974" s="84">
        <f>'Issues &amp; Punch List'!Q940</f>
        <v/>
      </c>
      <c r="D6974" s="46">
        <f>'Issues &amp; Punch List'!R940</f>
        <v/>
      </c>
      <c r="E6974" s="46">
        <f>IF(OR(B6974="",C6974="",D6974=""),"",D6974*100000+(C6974-DATE(2000,1,1))+ROW()/100000)</f>
        <v/>
      </c>
      <c r="F6974" s="46">
        <f>IF(E6974="","",IF(C6974&gt;WeekEndDate,"",E6974))</f>
        <v/>
      </c>
    </row>
    <row r="6975">
      <c r="A6975" t="inlineStr">
        <is>
          <t>Issues &amp; Punch List</t>
        </is>
      </c>
      <c r="B6975" s="46">
        <f>'Issues &amp; Punch List'!S941</f>
        <v/>
      </c>
      <c r="C6975" s="84">
        <f>'Issues &amp; Punch List'!Q941</f>
        <v/>
      </c>
      <c r="D6975" s="46">
        <f>'Issues &amp; Punch List'!R941</f>
        <v/>
      </c>
      <c r="E6975" s="46">
        <f>IF(OR(B6975="",C6975="",D6975=""),"",D6975*100000+(C6975-DATE(2000,1,1))+ROW()/100000)</f>
        <v/>
      </c>
      <c r="F6975" s="46">
        <f>IF(E6975="","",IF(C6975&gt;WeekEndDate,"",E6975))</f>
        <v/>
      </c>
    </row>
    <row r="6976">
      <c r="A6976" t="inlineStr">
        <is>
          <t>Issues &amp; Punch List</t>
        </is>
      </c>
      <c r="B6976" s="46">
        <f>'Issues &amp; Punch List'!S942</f>
        <v/>
      </c>
      <c r="C6976" s="84">
        <f>'Issues &amp; Punch List'!Q942</f>
        <v/>
      </c>
      <c r="D6976" s="46">
        <f>'Issues &amp; Punch List'!R942</f>
        <v/>
      </c>
      <c r="E6976" s="46">
        <f>IF(OR(B6976="",C6976="",D6976=""),"",D6976*100000+(C6976-DATE(2000,1,1))+ROW()/100000)</f>
        <v/>
      </c>
      <c r="F6976" s="46">
        <f>IF(E6976="","",IF(C6976&gt;WeekEndDate,"",E6976))</f>
        <v/>
      </c>
    </row>
    <row r="6977">
      <c r="A6977" t="inlineStr">
        <is>
          <t>Issues &amp; Punch List</t>
        </is>
      </c>
      <c r="B6977" s="46">
        <f>'Issues &amp; Punch List'!S943</f>
        <v/>
      </c>
      <c r="C6977" s="84">
        <f>'Issues &amp; Punch List'!Q943</f>
        <v/>
      </c>
      <c r="D6977" s="46">
        <f>'Issues &amp; Punch List'!R943</f>
        <v/>
      </c>
      <c r="E6977" s="46">
        <f>IF(OR(B6977="",C6977="",D6977=""),"",D6977*100000+(C6977-DATE(2000,1,1))+ROW()/100000)</f>
        <v/>
      </c>
      <c r="F6977" s="46">
        <f>IF(E6977="","",IF(C6977&gt;WeekEndDate,"",E6977))</f>
        <v/>
      </c>
    </row>
    <row r="6978">
      <c r="A6978" t="inlineStr">
        <is>
          <t>Issues &amp; Punch List</t>
        </is>
      </c>
      <c r="B6978" s="46">
        <f>'Issues &amp; Punch List'!S944</f>
        <v/>
      </c>
      <c r="C6978" s="84">
        <f>'Issues &amp; Punch List'!Q944</f>
        <v/>
      </c>
      <c r="D6978" s="46">
        <f>'Issues &amp; Punch List'!R944</f>
        <v/>
      </c>
      <c r="E6978" s="46">
        <f>IF(OR(B6978="",C6978="",D6978=""),"",D6978*100000+(C6978-DATE(2000,1,1))+ROW()/100000)</f>
        <v/>
      </c>
      <c r="F6978" s="46">
        <f>IF(E6978="","",IF(C6978&gt;WeekEndDate,"",E6978))</f>
        <v/>
      </c>
    </row>
    <row r="6979">
      <c r="A6979" t="inlineStr">
        <is>
          <t>Issues &amp; Punch List</t>
        </is>
      </c>
      <c r="B6979" s="46">
        <f>'Issues &amp; Punch List'!S945</f>
        <v/>
      </c>
      <c r="C6979" s="84">
        <f>'Issues &amp; Punch List'!Q945</f>
        <v/>
      </c>
      <c r="D6979" s="46">
        <f>'Issues &amp; Punch List'!R945</f>
        <v/>
      </c>
      <c r="E6979" s="46">
        <f>IF(OR(B6979="",C6979="",D6979=""),"",D6979*100000+(C6979-DATE(2000,1,1))+ROW()/100000)</f>
        <v/>
      </c>
      <c r="F6979" s="46">
        <f>IF(E6979="","",IF(C6979&gt;WeekEndDate,"",E6979))</f>
        <v/>
      </c>
    </row>
    <row r="6980">
      <c r="A6980" t="inlineStr">
        <is>
          <t>Issues &amp; Punch List</t>
        </is>
      </c>
      <c r="B6980" s="46">
        <f>'Issues &amp; Punch List'!S946</f>
        <v/>
      </c>
      <c r="C6980" s="84">
        <f>'Issues &amp; Punch List'!Q946</f>
        <v/>
      </c>
      <c r="D6980" s="46">
        <f>'Issues &amp; Punch List'!R946</f>
        <v/>
      </c>
      <c r="E6980" s="46">
        <f>IF(OR(B6980="",C6980="",D6980=""),"",D6980*100000+(C6980-DATE(2000,1,1))+ROW()/100000)</f>
        <v/>
      </c>
      <c r="F6980" s="46">
        <f>IF(E6980="","",IF(C6980&gt;WeekEndDate,"",E6980))</f>
        <v/>
      </c>
    </row>
    <row r="6981">
      <c r="A6981" t="inlineStr">
        <is>
          <t>Issues &amp; Punch List</t>
        </is>
      </c>
      <c r="B6981" s="46">
        <f>'Issues &amp; Punch List'!S947</f>
        <v/>
      </c>
      <c r="C6981" s="84">
        <f>'Issues &amp; Punch List'!Q947</f>
        <v/>
      </c>
      <c r="D6981" s="46">
        <f>'Issues &amp; Punch List'!R947</f>
        <v/>
      </c>
      <c r="E6981" s="46">
        <f>IF(OR(B6981="",C6981="",D6981=""),"",D6981*100000+(C6981-DATE(2000,1,1))+ROW()/100000)</f>
        <v/>
      </c>
      <c r="F6981" s="46">
        <f>IF(E6981="","",IF(C6981&gt;WeekEndDate,"",E6981))</f>
        <v/>
      </c>
    </row>
    <row r="6982">
      <c r="A6982" t="inlineStr">
        <is>
          <t>Issues &amp; Punch List</t>
        </is>
      </c>
      <c r="B6982" s="46">
        <f>'Issues &amp; Punch List'!S948</f>
        <v/>
      </c>
      <c r="C6982" s="84">
        <f>'Issues &amp; Punch List'!Q948</f>
        <v/>
      </c>
      <c r="D6982" s="46">
        <f>'Issues &amp; Punch List'!R948</f>
        <v/>
      </c>
      <c r="E6982" s="46">
        <f>IF(OR(B6982="",C6982="",D6982=""),"",D6982*100000+(C6982-DATE(2000,1,1))+ROW()/100000)</f>
        <v/>
      </c>
      <c r="F6982" s="46">
        <f>IF(E6982="","",IF(C6982&gt;WeekEndDate,"",E6982))</f>
        <v/>
      </c>
    </row>
    <row r="6983">
      <c r="A6983" t="inlineStr">
        <is>
          <t>Issues &amp; Punch List</t>
        </is>
      </c>
      <c r="B6983" s="46">
        <f>'Issues &amp; Punch List'!S949</f>
        <v/>
      </c>
      <c r="C6983" s="84">
        <f>'Issues &amp; Punch List'!Q949</f>
        <v/>
      </c>
      <c r="D6983" s="46">
        <f>'Issues &amp; Punch List'!R949</f>
        <v/>
      </c>
      <c r="E6983" s="46">
        <f>IF(OR(B6983="",C6983="",D6983=""),"",D6983*100000+(C6983-DATE(2000,1,1))+ROW()/100000)</f>
        <v/>
      </c>
      <c r="F6983" s="46">
        <f>IF(E6983="","",IF(C6983&gt;WeekEndDate,"",E6983))</f>
        <v/>
      </c>
    </row>
    <row r="6984">
      <c r="A6984" t="inlineStr">
        <is>
          <t>Issues &amp; Punch List</t>
        </is>
      </c>
      <c r="B6984" s="46">
        <f>'Issues &amp; Punch List'!S950</f>
        <v/>
      </c>
      <c r="C6984" s="84">
        <f>'Issues &amp; Punch List'!Q950</f>
        <v/>
      </c>
      <c r="D6984" s="46">
        <f>'Issues &amp; Punch List'!R950</f>
        <v/>
      </c>
      <c r="E6984" s="46">
        <f>IF(OR(B6984="",C6984="",D6984=""),"",D6984*100000+(C6984-DATE(2000,1,1))+ROW()/100000)</f>
        <v/>
      </c>
      <c r="F6984" s="46">
        <f>IF(E6984="","",IF(C6984&gt;WeekEndDate,"",E6984))</f>
        <v/>
      </c>
    </row>
    <row r="6985">
      <c r="A6985" t="inlineStr">
        <is>
          <t>Issues &amp; Punch List</t>
        </is>
      </c>
      <c r="B6985" s="46">
        <f>'Issues &amp; Punch List'!S951</f>
        <v/>
      </c>
      <c r="C6985" s="84">
        <f>'Issues &amp; Punch List'!Q951</f>
        <v/>
      </c>
      <c r="D6985" s="46">
        <f>'Issues &amp; Punch List'!R951</f>
        <v/>
      </c>
      <c r="E6985" s="46">
        <f>IF(OR(B6985="",C6985="",D6985=""),"",D6985*100000+(C6985-DATE(2000,1,1))+ROW()/100000)</f>
        <v/>
      </c>
      <c r="F6985" s="46">
        <f>IF(E6985="","",IF(C6985&gt;WeekEndDate,"",E6985))</f>
        <v/>
      </c>
    </row>
    <row r="6986">
      <c r="A6986" t="inlineStr">
        <is>
          <t>Issues &amp; Punch List</t>
        </is>
      </c>
      <c r="B6986" s="46">
        <f>'Issues &amp; Punch List'!S952</f>
        <v/>
      </c>
      <c r="C6986" s="84">
        <f>'Issues &amp; Punch List'!Q952</f>
        <v/>
      </c>
      <c r="D6986" s="46">
        <f>'Issues &amp; Punch List'!R952</f>
        <v/>
      </c>
      <c r="E6986" s="46">
        <f>IF(OR(B6986="",C6986="",D6986=""),"",D6986*100000+(C6986-DATE(2000,1,1))+ROW()/100000)</f>
        <v/>
      </c>
      <c r="F6986" s="46">
        <f>IF(E6986="","",IF(C6986&gt;WeekEndDate,"",E6986))</f>
        <v/>
      </c>
    </row>
    <row r="6987">
      <c r="A6987" t="inlineStr">
        <is>
          <t>Issues &amp; Punch List</t>
        </is>
      </c>
      <c r="B6987" s="46">
        <f>'Issues &amp; Punch List'!S953</f>
        <v/>
      </c>
      <c r="C6987" s="84">
        <f>'Issues &amp; Punch List'!Q953</f>
        <v/>
      </c>
      <c r="D6987" s="46">
        <f>'Issues &amp; Punch List'!R953</f>
        <v/>
      </c>
      <c r="E6987" s="46">
        <f>IF(OR(B6987="",C6987="",D6987=""),"",D6987*100000+(C6987-DATE(2000,1,1))+ROW()/100000)</f>
        <v/>
      </c>
      <c r="F6987" s="46">
        <f>IF(E6987="","",IF(C6987&gt;WeekEndDate,"",E6987))</f>
        <v/>
      </c>
    </row>
    <row r="6988">
      <c r="A6988" t="inlineStr">
        <is>
          <t>Issues &amp; Punch List</t>
        </is>
      </c>
      <c r="B6988" s="46">
        <f>'Issues &amp; Punch List'!S954</f>
        <v/>
      </c>
      <c r="C6988" s="84">
        <f>'Issues &amp; Punch List'!Q954</f>
        <v/>
      </c>
      <c r="D6988" s="46">
        <f>'Issues &amp; Punch List'!R954</f>
        <v/>
      </c>
      <c r="E6988" s="46">
        <f>IF(OR(B6988="",C6988="",D6988=""),"",D6988*100000+(C6988-DATE(2000,1,1))+ROW()/100000)</f>
        <v/>
      </c>
      <c r="F6988" s="46">
        <f>IF(E6988="","",IF(C6988&gt;WeekEndDate,"",E6988))</f>
        <v/>
      </c>
    </row>
    <row r="6989">
      <c r="A6989" t="inlineStr">
        <is>
          <t>Issues &amp; Punch List</t>
        </is>
      </c>
      <c r="B6989" s="46">
        <f>'Issues &amp; Punch List'!S955</f>
        <v/>
      </c>
      <c r="C6989" s="84">
        <f>'Issues &amp; Punch List'!Q955</f>
        <v/>
      </c>
      <c r="D6989" s="46">
        <f>'Issues &amp; Punch List'!R955</f>
        <v/>
      </c>
      <c r="E6989" s="46">
        <f>IF(OR(B6989="",C6989="",D6989=""),"",D6989*100000+(C6989-DATE(2000,1,1))+ROW()/100000)</f>
        <v/>
      </c>
      <c r="F6989" s="46">
        <f>IF(E6989="","",IF(C6989&gt;WeekEndDate,"",E6989))</f>
        <v/>
      </c>
    </row>
    <row r="6990">
      <c r="A6990" t="inlineStr">
        <is>
          <t>Issues &amp; Punch List</t>
        </is>
      </c>
      <c r="B6990" s="46">
        <f>'Issues &amp; Punch List'!S956</f>
        <v/>
      </c>
      <c r="C6990" s="84">
        <f>'Issues &amp; Punch List'!Q956</f>
        <v/>
      </c>
      <c r="D6990" s="46">
        <f>'Issues &amp; Punch List'!R956</f>
        <v/>
      </c>
      <c r="E6990" s="46">
        <f>IF(OR(B6990="",C6990="",D6990=""),"",D6990*100000+(C6990-DATE(2000,1,1))+ROW()/100000)</f>
        <v/>
      </c>
      <c r="F6990" s="46">
        <f>IF(E6990="","",IF(C6990&gt;WeekEndDate,"",E6990))</f>
        <v/>
      </c>
    </row>
    <row r="6991">
      <c r="A6991" t="inlineStr">
        <is>
          <t>Issues &amp; Punch List</t>
        </is>
      </c>
      <c r="B6991" s="46">
        <f>'Issues &amp; Punch List'!S957</f>
        <v/>
      </c>
      <c r="C6991" s="84">
        <f>'Issues &amp; Punch List'!Q957</f>
        <v/>
      </c>
      <c r="D6991" s="46">
        <f>'Issues &amp; Punch List'!R957</f>
        <v/>
      </c>
      <c r="E6991" s="46">
        <f>IF(OR(B6991="",C6991="",D6991=""),"",D6991*100000+(C6991-DATE(2000,1,1))+ROW()/100000)</f>
        <v/>
      </c>
      <c r="F6991" s="46">
        <f>IF(E6991="","",IF(C6991&gt;WeekEndDate,"",E6991))</f>
        <v/>
      </c>
    </row>
    <row r="6992">
      <c r="A6992" t="inlineStr">
        <is>
          <t>Issues &amp; Punch List</t>
        </is>
      </c>
      <c r="B6992" s="46">
        <f>'Issues &amp; Punch List'!S958</f>
        <v/>
      </c>
      <c r="C6992" s="84">
        <f>'Issues &amp; Punch List'!Q958</f>
        <v/>
      </c>
      <c r="D6992" s="46">
        <f>'Issues &amp; Punch List'!R958</f>
        <v/>
      </c>
      <c r="E6992" s="46">
        <f>IF(OR(B6992="",C6992="",D6992=""),"",D6992*100000+(C6992-DATE(2000,1,1))+ROW()/100000)</f>
        <v/>
      </c>
      <c r="F6992" s="46">
        <f>IF(E6992="","",IF(C6992&gt;WeekEndDate,"",E6992))</f>
        <v/>
      </c>
    </row>
    <row r="6993">
      <c r="A6993" t="inlineStr">
        <is>
          <t>Issues &amp; Punch List</t>
        </is>
      </c>
      <c r="B6993" s="46">
        <f>'Issues &amp; Punch List'!S959</f>
        <v/>
      </c>
      <c r="C6993" s="84">
        <f>'Issues &amp; Punch List'!Q959</f>
        <v/>
      </c>
      <c r="D6993" s="46">
        <f>'Issues &amp; Punch List'!R959</f>
        <v/>
      </c>
      <c r="E6993" s="46">
        <f>IF(OR(B6993="",C6993="",D6993=""),"",D6993*100000+(C6993-DATE(2000,1,1))+ROW()/100000)</f>
        <v/>
      </c>
      <c r="F6993" s="46">
        <f>IF(E6993="","",IF(C6993&gt;WeekEndDate,"",E6993))</f>
        <v/>
      </c>
    </row>
    <row r="6994">
      <c r="A6994" t="inlineStr">
        <is>
          <t>Issues &amp; Punch List</t>
        </is>
      </c>
      <c r="B6994" s="46">
        <f>'Issues &amp; Punch List'!S960</f>
        <v/>
      </c>
      <c r="C6994" s="84">
        <f>'Issues &amp; Punch List'!Q960</f>
        <v/>
      </c>
      <c r="D6994" s="46">
        <f>'Issues &amp; Punch List'!R960</f>
        <v/>
      </c>
      <c r="E6994" s="46">
        <f>IF(OR(B6994="",C6994="",D6994=""),"",D6994*100000+(C6994-DATE(2000,1,1))+ROW()/100000)</f>
        <v/>
      </c>
      <c r="F6994" s="46">
        <f>IF(E6994="","",IF(C6994&gt;WeekEndDate,"",E6994))</f>
        <v/>
      </c>
    </row>
    <row r="6995">
      <c r="A6995" t="inlineStr">
        <is>
          <t>Issues &amp; Punch List</t>
        </is>
      </c>
      <c r="B6995" s="46">
        <f>'Issues &amp; Punch List'!S961</f>
        <v/>
      </c>
      <c r="C6995" s="84">
        <f>'Issues &amp; Punch List'!Q961</f>
        <v/>
      </c>
      <c r="D6995" s="46">
        <f>'Issues &amp; Punch List'!R961</f>
        <v/>
      </c>
      <c r="E6995" s="46">
        <f>IF(OR(B6995="",C6995="",D6995=""),"",D6995*100000+(C6995-DATE(2000,1,1))+ROW()/100000)</f>
        <v/>
      </c>
      <c r="F6995" s="46">
        <f>IF(E6995="","",IF(C6995&gt;WeekEndDate,"",E6995))</f>
        <v/>
      </c>
    </row>
    <row r="6996">
      <c r="A6996" t="inlineStr">
        <is>
          <t>Issues &amp; Punch List</t>
        </is>
      </c>
      <c r="B6996" s="46">
        <f>'Issues &amp; Punch List'!S962</f>
        <v/>
      </c>
      <c r="C6996" s="84">
        <f>'Issues &amp; Punch List'!Q962</f>
        <v/>
      </c>
      <c r="D6996" s="46">
        <f>'Issues &amp; Punch List'!R962</f>
        <v/>
      </c>
      <c r="E6996" s="46">
        <f>IF(OR(B6996="",C6996="",D6996=""),"",D6996*100000+(C6996-DATE(2000,1,1))+ROW()/100000)</f>
        <v/>
      </c>
      <c r="F6996" s="46">
        <f>IF(E6996="","",IF(C6996&gt;WeekEndDate,"",E6996))</f>
        <v/>
      </c>
    </row>
    <row r="6997">
      <c r="A6997" t="inlineStr">
        <is>
          <t>Issues &amp; Punch List</t>
        </is>
      </c>
      <c r="B6997" s="46">
        <f>'Issues &amp; Punch List'!S963</f>
        <v/>
      </c>
      <c r="C6997" s="84">
        <f>'Issues &amp; Punch List'!Q963</f>
        <v/>
      </c>
      <c r="D6997" s="46">
        <f>'Issues &amp; Punch List'!R963</f>
        <v/>
      </c>
      <c r="E6997" s="46">
        <f>IF(OR(B6997="",C6997="",D6997=""),"",D6997*100000+(C6997-DATE(2000,1,1))+ROW()/100000)</f>
        <v/>
      </c>
      <c r="F6997" s="46">
        <f>IF(E6997="","",IF(C6997&gt;WeekEndDate,"",E6997))</f>
        <v/>
      </c>
    </row>
    <row r="6998">
      <c r="A6998" t="inlineStr">
        <is>
          <t>Issues &amp; Punch List</t>
        </is>
      </c>
      <c r="B6998" s="46">
        <f>'Issues &amp; Punch List'!S964</f>
        <v/>
      </c>
      <c r="C6998" s="84">
        <f>'Issues &amp; Punch List'!Q964</f>
        <v/>
      </c>
      <c r="D6998" s="46">
        <f>'Issues &amp; Punch List'!R964</f>
        <v/>
      </c>
      <c r="E6998" s="46">
        <f>IF(OR(B6998="",C6998="",D6998=""),"",D6998*100000+(C6998-DATE(2000,1,1))+ROW()/100000)</f>
        <v/>
      </c>
      <c r="F6998" s="46">
        <f>IF(E6998="","",IF(C6998&gt;WeekEndDate,"",E6998))</f>
        <v/>
      </c>
    </row>
    <row r="6999">
      <c r="A6999" t="inlineStr">
        <is>
          <t>Issues &amp; Punch List</t>
        </is>
      </c>
      <c r="B6999" s="46">
        <f>'Issues &amp; Punch List'!S965</f>
        <v/>
      </c>
      <c r="C6999" s="84">
        <f>'Issues &amp; Punch List'!Q965</f>
        <v/>
      </c>
      <c r="D6999" s="46">
        <f>'Issues &amp; Punch List'!R965</f>
        <v/>
      </c>
      <c r="E6999" s="46">
        <f>IF(OR(B6999="",C6999="",D6999=""),"",D6999*100000+(C6999-DATE(2000,1,1))+ROW()/100000)</f>
        <v/>
      </c>
      <c r="F6999" s="46">
        <f>IF(E6999="","",IF(C6999&gt;WeekEndDate,"",E6999))</f>
        <v/>
      </c>
    </row>
    <row r="7000">
      <c r="A7000" t="inlineStr">
        <is>
          <t>Issues &amp; Punch List</t>
        </is>
      </c>
      <c r="B7000" s="46">
        <f>'Issues &amp; Punch List'!S966</f>
        <v/>
      </c>
      <c r="C7000" s="84">
        <f>'Issues &amp; Punch List'!Q966</f>
        <v/>
      </c>
      <c r="D7000" s="46">
        <f>'Issues &amp; Punch List'!R966</f>
        <v/>
      </c>
      <c r="E7000" s="46">
        <f>IF(OR(B7000="",C7000="",D7000=""),"",D7000*100000+(C7000-DATE(2000,1,1))+ROW()/100000)</f>
        <v/>
      </c>
      <c r="F7000" s="46">
        <f>IF(E7000="","",IF(C7000&gt;WeekEndDate,"",E7000))</f>
        <v/>
      </c>
    </row>
    <row r="7001">
      <c r="A7001" t="inlineStr">
        <is>
          <t>Issues &amp; Punch List</t>
        </is>
      </c>
      <c r="B7001" s="46">
        <f>'Issues &amp; Punch List'!S967</f>
        <v/>
      </c>
      <c r="C7001" s="84">
        <f>'Issues &amp; Punch List'!Q967</f>
        <v/>
      </c>
      <c r="D7001" s="46">
        <f>'Issues &amp; Punch List'!R967</f>
        <v/>
      </c>
      <c r="E7001" s="46">
        <f>IF(OR(B7001="",C7001="",D7001=""),"",D7001*100000+(C7001-DATE(2000,1,1))+ROW()/100000)</f>
        <v/>
      </c>
      <c r="F7001" s="46">
        <f>IF(E7001="","",IF(C7001&gt;WeekEndDate,"",E7001))</f>
        <v/>
      </c>
    </row>
    <row r="7002">
      <c r="A7002" t="inlineStr">
        <is>
          <t>Issues &amp; Punch List</t>
        </is>
      </c>
      <c r="B7002" s="46">
        <f>'Issues &amp; Punch List'!S968</f>
        <v/>
      </c>
      <c r="C7002" s="84">
        <f>'Issues &amp; Punch List'!Q968</f>
        <v/>
      </c>
      <c r="D7002" s="46">
        <f>'Issues &amp; Punch List'!R968</f>
        <v/>
      </c>
      <c r="E7002" s="46">
        <f>IF(OR(B7002="",C7002="",D7002=""),"",D7002*100000+(C7002-DATE(2000,1,1))+ROW()/100000)</f>
        <v/>
      </c>
      <c r="F7002" s="46">
        <f>IF(E7002="","",IF(C7002&gt;WeekEndDate,"",E7002))</f>
        <v/>
      </c>
    </row>
    <row r="7003">
      <c r="A7003" t="inlineStr">
        <is>
          <t>Issues &amp; Punch List</t>
        </is>
      </c>
      <c r="B7003" s="46">
        <f>'Issues &amp; Punch List'!S969</f>
        <v/>
      </c>
      <c r="C7003" s="84">
        <f>'Issues &amp; Punch List'!Q969</f>
        <v/>
      </c>
      <c r="D7003" s="46">
        <f>'Issues &amp; Punch List'!R969</f>
        <v/>
      </c>
      <c r="E7003" s="46">
        <f>IF(OR(B7003="",C7003="",D7003=""),"",D7003*100000+(C7003-DATE(2000,1,1))+ROW()/100000)</f>
        <v/>
      </c>
      <c r="F7003" s="46">
        <f>IF(E7003="","",IF(C7003&gt;WeekEndDate,"",E7003))</f>
        <v/>
      </c>
    </row>
    <row r="7004">
      <c r="A7004" t="inlineStr">
        <is>
          <t>Issues &amp; Punch List</t>
        </is>
      </c>
      <c r="B7004" s="46">
        <f>'Issues &amp; Punch List'!S970</f>
        <v/>
      </c>
      <c r="C7004" s="84">
        <f>'Issues &amp; Punch List'!Q970</f>
        <v/>
      </c>
      <c r="D7004" s="46">
        <f>'Issues &amp; Punch List'!R970</f>
        <v/>
      </c>
      <c r="E7004" s="46">
        <f>IF(OR(B7004="",C7004="",D7004=""),"",D7004*100000+(C7004-DATE(2000,1,1))+ROW()/100000)</f>
        <v/>
      </c>
      <c r="F7004" s="46">
        <f>IF(E7004="","",IF(C7004&gt;WeekEndDate,"",E7004))</f>
        <v/>
      </c>
    </row>
    <row r="7005">
      <c r="A7005" t="inlineStr">
        <is>
          <t>Issues &amp; Punch List</t>
        </is>
      </c>
      <c r="B7005" s="46">
        <f>'Issues &amp; Punch List'!S971</f>
        <v/>
      </c>
      <c r="C7005" s="84">
        <f>'Issues &amp; Punch List'!Q971</f>
        <v/>
      </c>
      <c r="D7005" s="46">
        <f>'Issues &amp; Punch List'!R971</f>
        <v/>
      </c>
      <c r="E7005" s="46">
        <f>IF(OR(B7005="",C7005="",D7005=""),"",D7005*100000+(C7005-DATE(2000,1,1))+ROW()/100000)</f>
        <v/>
      </c>
      <c r="F7005" s="46">
        <f>IF(E7005="","",IF(C7005&gt;WeekEndDate,"",E7005))</f>
        <v/>
      </c>
    </row>
    <row r="7006">
      <c r="A7006" t="inlineStr">
        <is>
          <t>Issues &amp; Punch List</t>
        </is>
      </c>
      <c r="B7006" s="46">
        <f>'Issues &amp; Punch List'!S972</f>
        <v/>
      </c>
      <c r="C7006" s="84">
        <f>'Issues &amp; Punch List'!Q972</f>
        <v/>
      </c>
      <c r="D7006" s="46">
        <f>'Issues &amp; Punch List'!R972</f>
        <v/>
      </c>
      <c r="E7006" s="46">
        <f>IF(OR(B7006="",C7006="",D7006=""),"",D7006*100000+(C7006-DATE(2000,1,1))+ROW()/100000)</f>
        <v/>
      </c>
      <c r="F7006" s="46">
        <f>IF(E7006="","",IF(C7006&gt;WeekEndDate,"",E7006))</f>
        <v/>
      </c>
    </row>
    <row r="7007">
      <c r="A7007" t="inlineStr">
        <is>
          <t>Issues &amp; Punch List</t>
        </is>
      </c>
      <c r="B7007" s="46">
        <f>'Issues &amp; Punch List'!S973</f>
        <v/>
      </c>
      <c r="C7007" s="84">
        <f>'Issues &amp; Punch List'!Q973</f>
        <v/>
      </c>
      <c r="D7007" s="46">
        <f>'Issues &amp; Punch List'!R973</f>
        <v/>
      </c>
      <c r="E7007" s="46">
        <f>IF(OR(B7007="",C7007="",D7007=""),"",D7007*100000+(C7007-DATE(2000,1,1))+ROW()/100000)</f>
        <v/>
      </c>
      <c r="F7007" s="46">
        <f>IF(E7007="","",IF(C7007&gt;WeekEndDate,"",E7007))</f>
        <v/>
      </c>
    </row>
    <row r="7008">
      <c r="A7008" t="inlineStr">
        <is>
          <t>Issues &amp; Punch List</t>
        </is>
      </c>
      <c r="B7008" s="46">
        <f>'Issues &amp; Punch List'!S974</f>
        <v/>
      </c>
      <c r="C7008" s="84">
        <f>'Issues &amp; Punch List'!Q974</f>
        <v/>
      </c>
      <c r="D7008" s="46">
        <f>'Issues &amp; Punch List'!R974</f>
        <v/>
      </c>
      <c r="E7008" s="46">
        <f>IF(OR(B7008="",C7008="",D7008=""),"",D7008*100000+(C7008-DATE(2000,1,1))+ROW()/100000)</f>
        <v/>
      </c>
      <c r="F7008" s="46">
        <f>IF(E7008="","",IF(C7008&gt;WeekEndDate,"",E7008))</f>
        <v/>
      </c>
    </row>
    <row r="7009">
      <c r="A7009" t="inlineStr">
        <is>
          <t>Issues &amp; Punch List</t>
        </is>
      </c>
      <c r="B7009" s="46">
        <f>'Issues &amp; Punch List'!S975</f>
        <v/>
      </c>
      <c r="C7009" s="84">
        <f>'Issues &amp; Punch List'!Q975</f>
        <v/>
      </c>
      <c r="D7009" s="46">
        <f>'Issues &amp; Punch List'!R975</f>
        <v/>
      </c>
      <c r="E7009" s="46">
        <f>IF(OR(B7009="",C7009="",D7009=""),"",D7009*100000+(C7009-DATE(2000,1,1))+ROW()/100000)</f>
        <v/>
      </c>
      <c r="F7009" s="46">
        <f>IF(E7009="","",IF(C7009&gt;WeekEndDate,"",E7009))</f>
        <v/>
      </c>
    </row>
    <row r="7010">
      <c r="A7010" t="inlineStr">
        <is>
          <t>Issues &amp; Punch List</t>
        </is>
      </c>
      <c r="B7010" s="46">
        <f>'Issues &amp; Punch List'!S976</f>
        <v/>
      </c>
      <c r="C7010" s="84">
        <f>'Issues &amp; Punch List'!Q976</f>
        <v/>
      </c>
      <c r="D7010" s="46">
        <f>'Issues &amp; Punch List'!R976</f>
        <v/>
      </c>
      <c r="E7010" s="46">
        <f>IF(OR(B7010="",C7010="",D7010=""),"",D7010*100000+(C7010-DATE(2000,1,1))+ROW()/100000)</f>
        <v/>
      </c>
      <c r="F7010" s="46">
        <f>IF(E7010="","",IF(C7010&gt;WeekEndDate,"",E7010))</f>
        <v/>
      </c>
    </row>
    <row r="7011">
      <c r="A7011" t="inlineStr">
        <is>
          <t>Issues &amp; Punch List</t>
        </is>
      </c>
      <c r="B7011" s="46">
        <f>'Issues &amp; Punch List'!S977</f>
        <v/>
      </c>
      <c r="C7011" s="84">
        <f>'Issues &amp; Punch List'!Q977</f>
        <v/>
      </c>
      <c r="D7011" s="46">
        <f>'Issues &amp; Punch List'!R977</f>
        <v/>
      </c>
      <c r="E7011" s="46">
        <f>IF(OR(B7011="",C7011="",D7011=""),"",D7011*100000+(C7011-DATE(2000,1,1))+ROW()/100000)</f>
        <v/>
      </c>
      <c r="F7011" s="46">
        <f>IF(E7011="","",IF(C7011&gt;WeekEndDate,"",E7011))</f>
        <v/>
      </c>
    </row>
    <row r="7012">
      <c r="A7012" t="inlineStr">
        <is>
          <t>Issues &amp; Punch List</t>
        </is>
      </c>
      <c r="B7012" s="46">
        <f>'Issues &amp; Punch List'!S978</f>
        <v/>
      </c>
      <c r="C7012" s="84">
        <f>'Issues &amp; Punch List'!Q978</f>
        <v/>
      </c>
      <c r="D7012" s="46">
        <f>'Issues &amp; Punch List'!R978</f>
        <v/>
      </c>
      <c r="E7012" s="46">
        <f>IF(OR(B7012="",C7012="",D7012=""),"",D7012*100000+(C7012-DATE(2000,1,1))+ROW()/100000)</f>
        <v/>
      </c>
      <c r="F7012" s="46">
        <f>IF(E7012="","",IF(C7012&gt;WeekEndDate,"",E7012))</f>
        <v/>
      </c>
    </row>
    <row r="7013">
      <c r="A7013" t="inlineStr">
        <is>
          <t>Issues &amp; Punch List</t>
        </is>
      </c>
      <c r="B7013" s="46">
        <f>'Issues &amp; Punch List'!S979</f>
        <v/>
      </c>
      <c r="C7013" s="84">
        <f>'Issues &amp; Punch List'!Q979</f>
        <v/>
      </c>
      <c r="D7013" s="46">
        <f>'Issues &amp; Punch List'!R979</f>
        <v/>
      </c>
      <c r="E7013" s="46">
        <f>IF(OR(B7013="",C7013="",D7013=""),"",D7013*100000+(C7013-DATE(2000,1,1))+ROW()/100000)</f>
        <v/>
      </c>
      <c r="F7013" s="46">
        <f>IF(E7013="","",IF(C7013&gt;WeekEndDate,"",E7013))</f>
        <v/>
      </c>
    </row>
    <row r="7014">
      <c r="A7014" t="inlineStr">
        <is>
          <t>Issues &amp; Punch List</t>
        </is>
      </c>
      <c r="B7014" s="46">
        <f>'Issues &amp; Punch List'!S980</f>
        <v/>
      </c>
      <c r="C7014" s="84">
        <f>'Issues &amp; Punch List'!Q980</f>
        <v/>
      </c>
      <c r="D7014" s="46">
        <f>'Issues &amp; Punch List'!R980</f>
        <v/>
      </c>
      <c r="E7014" s="46">
        <f>IF(OR(B7014="",C7014="",D7014=""),"",D7014*100000+(C7014-DATE(2000,1,1))+ROW()/100000)</f>
        <v/>
      </c>
      <c r="F7014" s="46">
        <f>IF(E7014="","",IF(C7014&gt;WeekEndDate,"",E7014))</f>
        <v/>
      </c>
    </row>
    <row r="7015">
      <c r="A7015" t="inlineStr">
        <is>
          <t>Issues &amp; Punch List</t>
        </is>
      </c>
      <c r="B7015" s="46">
        <f>'Issues &amp; Punch List'!S981</f>
        <v/>
      </c>
      <c r="C7015" s="84">
        <f>'Issues &amp; Punch List'!Q981</f>
        <v/>
      </c>
      <c r="D7015" s="46">
        <f>'Issues &amp; Punch List'!R981</f>
        <v/>
      </c>
      <c r="E7015" s="46">
        <f>IF(OR(B7015="",C7015="",D7015=""),"",D7015*100000+(C7015-DATE(2000,1,1))+ROW()/100000)</f>
        <v/>
      </c>
      <c r="F7015" s="46">
        <f>IF(E7015="","",IF(C7015&gt;WeekEndDate,"",E7015))</f>
        <v/>
      </c>
    </row>
    <row r="7016">
      <c r="A7016" t="inlineStr">
        <is>
          <t>Issues &amp; Punch List</t>
        </is>
      </c>
      <c r="B7016" s="46">
        <f>'Issues &amp; Punch List'!S982</f>
        <v/>
      </c>
      <c r="C7016" s="84">
        <f>'Issues &amp; Punch List'!Q982</f>
        <v/>
      </c>
      <c r="D7016" s="46">
        <f>'Issues &amp; Punch List'!R982</f>
        <v/>
      </c>
      <c r="E7016" s="46">
        <f>IF(OR(B7016="",C7016="",D7016=""),"",D7016*100000+(C7016-DATE(2000,1,1))+ROW()/100000)</f>
        <v/>
      </c>
      <c r="F7016" s="46">
        <f>IF(E7016="","",IF(C7016&gt;WeekEndDate,"",E7016))</f>
        <v/>
      </c>
    </row>
    <row r="7017">
      <c r="A7017" t="inlineStr">
        <is>
          <t>Issues &amp; Punch List</t>
        </is>
      </c>
      <c r="B7017" s="46">
        <f>'Issues &amp; Punch List'!S983</f>
        <v/>
      </c>
      <c r="C7017" s="84">
        <f>'Issues &amp; Punch List'!Q983</f>
        <v/>
      </c>
      <c r="D7017" s="46">
        <f>'Issues &amp; Punch List'!R983</f>
        <v/>
      </c>
      <c r="E7017" s="46">
        <f>IF(OR(B7017="",C7017="",D7017=""),"",D7017*100000+(C7017-DATE(2000,1,1))+ROW()/100000)</f>
        <v/>
      </c>
      <c r="F7017" s="46">
        <f>IF(E7017="","",IF(C7017&gt;WeekEndDate,"",E7017))</f>
        <v/>
      </c>
    </row>
    <row r="7018">
      <c r="A7018" t="inlineStr">
        <is>
          <t>Issues &amp; Punch List</t>
        </is>
      </c>
      <c r="B7018" s="46">
        <f>'Issues &amp; Punch List'!S984</f>
        <v/>
      </c>
      <c r="C7018" s="84">
        <f>'Issues &amp; Punch List'!Q984</f>
        <v/>
      </c>
      <c r="D7018" s="46">
        <f>'Issues &amp; Punch List'!R984</f>
        <v/>
      </c>
      <c r="E7018" s="46">
        <f>IF(OR(B7018="",C7018="",D7018=""),"",D7018*100000+(C7018-DATE(2000,1,1))+ROW()/100000)</f>
        <v/>
      </c>
      <c r="F7018" s="46">
        <f>IF(E7018="","",IF(C7018&gt;WeekEndDate,"",E7018))</f>
        <v/>
      </c>
    </row>
    <row r="7019">
      <c r="A7019" t="inlineStr">
        <is>
          <t>Issues &amp; Punch List</t>
        </is>
      </c>
      <c r="B7019" s="46">
        <f>'Issues &amp; Punch List'!S985</f>
        <v/>
      </c>
      <c r="C7019" s="84">
        <f>'Issues &amp; Punch List'!Q985</f>
        <v/>
      </c>
      <c r="D7019" s="46">
        <f>'Issues &amp; Punch List'!R985</f>
        <v/>
      </c>
      <c r="E7019" s="46">
        <f>IF(OR(B7019="",C7019="",D7019=""),"",D7019*100000+(C7019-DATE(2000,1,1))+ROW()/100000)</f>
        <v/>
      </c>
      <c r="F7019" s="46">
        <f>IF(E7019="","",IF(C7019&gt;WeekEndDate,"",E7019))</f>
        <v/>
      </c>
    </row>
    <row r="7020">
      <c r="A7020" t="inlineStr">
        <is>
          <t>Issues &amp; Punch List</t>
        </is>
      </c>
      <c r="B7020" s="46">
        <f>'Issues &amp; Punch List'!S986</f>
        <v/>
      </c>
      <c r="C7020" s="84">
        <f>'Issues &amp; Punch List'!Q986</f>
        <v/>
      </c>
      <c r="D7020" s="46">
        <f>'Issues &amp; Punch List'!R986</f>
        <v/>
      </c>
      <c r="E7020" s="46">
        <f>IF(OR(B7020="",C7020="",D7020=""),"",D7020*100000+(C7020-DATE(2000,1,1))+ROW()/100000)</f>
        <v/>
      </c>
      <c r="F7020" s="46">
        <f>IF(E7020="","",IF(C7020&gt;WeekEndDate,"",E7020))</f>
        <v/>
      </c>
    </row>
    <row r="7021">
      <c r="A7021" t="inlineStr">
        <is>
          <t>Issues &amp; Punch List</t>
        </is>
      </c>
      <c r="B7021" s="46">
        <f>'Issues &amp; Punch List'!S987</f>
        <v/>
      </c>
      <c r="C7021" s="84">
        <f>'Issues &amp; Punch List'!Q987</f>
        <v/>
      </c>
      <c r="D7021" s="46">
        <f>'Issues &amp; Punch List'!R987</f>
        <v/>
      </c>
      <c r="E7021" s="46">
        <f>IF(OR(B7021="",C7021="",D7021=""),"",D7021*100000+(C7021-DATE(2000,1,1))+ROW()/100000)</f>
        <v/>
      </c>
      <c r="F7021" s="46">
        <f>IF(E7021="","",IF(C7021&gt;WeekEndDate,"",E7021))</f>
        <v/>
      </c>
    </row>
    <row r="7022">
      <c r="A7022" t="inlineStr">
        <is>
          <t>Issues &amp; Punch List</t>
        </is>
      </c>
      <c r="B7022" s="46">
        <f>'Issues &amp; Punch List'!S988</f>
        <v/>
      </c>
      <c r="C7022" s="84">
        <f>'Issues &amp; Punch List'!Q988</f>
        <v/>
      </c>
      <c r="D7022" s="46">
        <f>'Issues &amp; Punch List'!R988</f>
        <v/>
      </c>
      <c r="E7022" s="46">
        <f>IF(OR(B7022="",C7022="",D7022=""),"",D7022*100000+(C7022-DATE(2000,1,1))+ROW()/100000)</f>
        <v/>
      </c>
      <c r="F7022" s="46">
        <f>IF(E7022="","",IF(C7022&gt;WeekEndDate,"",E7022))</f>
        <v/>
      </c>
    </row>
    <row r="7023">
      <c r="A7023" t="inlineStr">
        <is>
          <t>Issues &amp; Punch List</t>
        </is>
      </c>
      <c r="B7023" s="46">
        <f>'Issues &amp; Punch List'!S989</f>
        <v/>
      </c>
      <c r="C7023" s="84">
        <f>'Issues &amp; Punch List'!Q989</f>
        <v/>
      </c>
      <c r="D7023" s="46">
        <f>'Issues &amp; Punch List'!R989</f>
        <v/>
      </c>
      <c r="E7023" s="46">
        <f>IF(OR(B7023="",C7023="",D7023=""),"",D7023*100000+(C7023-DATE(2000,1,1))+ROW()/100000)</f>
        <v/>
      </c>
      <c r="F7023" s="46">
        <f>IF(E7023="","",IF(C7023&gt;WeekEndDate,"",E7023))</f>
        <v/>
      </c>
    </row>
    <row r="7024">
      <c r="A7024" t="inlineStr">
        <is>
          <t>Issues &amp; Punch List</t>
        </is>
      </c>
      <c r="B7024" s="46">
        <f>'Issues &amp; Punch List'!S990</f>
        <v/>
      </c>
      <c r="C7024" s="84">
        <f>'Issues &amp; Punch List'!Q990</f>
        <v/>
      </c>
      <c r="D7024" s="46">
        <f>'Issues &amp; Punch List'!R990</f>
        <v/>
      </c>
      <c r="E7024" s="46">
        <f>IF(OR(B7024="",C7024="",D7024=""),"",D7024*100000+(C7024-DATE(2000,1,1))+ROW()/100000)</f>
        <v/>
      </c>
      <c r="F7024" s="46">
        <f>IF(E7024="","",IF(C7024&gt;WeekEndDate,"",E7024))</f>
        <v/>
      </c>
    </row>
    <row r="7025">
      <c r="A7025" t="inlineStr">
        <is>
          <t>Issues &amp; Punch List</t>
        </is>
      </c>
      <c r="B7025" s="46">
        <f>'Issues &amp; Punch List'!S991</f>
        <v/>
      </c>
      <c r="C7025" s="84">
        <f>'Issues &amp; Punch List'!Q991</f>
        <v/>
      </c>
      <c r="D7025" s="46">
        <f>'Issues &amp; Punch List'!R991</f>
        <v/>
      </c>
      <c r="E7025" s="46">
        <f>IF(OR(B7025="",C7025="",D7025=""),"",D7025*100000+(C7025-DATE(2000,1,1))+ROW()/100000)</f>
        <v/>
      </c>
      <c r="F7025" s="46">
        <f>IF(E7025="","",IF(C7025&gt;WeekEndDate,"",E7025))</f>
        <v/>
      </c>
    </row>
    <row r="7026">
      <c r="A7026" t="inlineStr">
        <is>
          <t>Issues &amp; Punch List</t>
        </is>
      </c>
      <c r="B7026" s="46">
        <f>'Issues &amp; Punch List'!S992</f>
        <v/>
      </c>
      <c r="C7026" s="84">
        <f>'Issues &amp; Punch List'!Q992</f>
        <v/>
      </c>
      <c r="D7026" s="46">
        <f>'Issues &amp; Punch List'!R992</f>
        <v/>
      </c>
      <c r="E7026" s="46">
        <f>IF(OR(B7026="",C7026="",D7026=""),"",D7026*100000+(C7026-DATE(2000,1,1))+ROW()/100000)</f>
        <v/>
      </c>
      <c r="F7026" s="46">
        <f>IF(E7026="","",IF(C7026&gt;WeekEndDate,"",E7026))</f>
        <v/>
      </c>
    </row>
    <row r="7027">
      <c r="A7027" t="inlineStr">
        <is>
          <t>Issues &amp; Punch List</t>
        </is>
      </c>
      <c r="B7027" s="46">
        <f>'Issues &amp; Punch List'!S993</f>
        <v/>
      </c>
      <c r="C7027" s="84">
        <f>'Issues &amp; Punch List'!Q993</f>
        <v/>
      </c>
      <c r="D7027" s="46">
        <f>'Issues &amp; Punch List'!R993</f>
        <v/>
      </c>
      <c r="E7027" s="46">
        <f>IF(OR(B7027="",C7027="",D7027=""),"",D7027*100000+(C7027-DATE(2000,1,1))+ROW()/100000)</f>
        <v/>
      </c>
      <c r="F7027" s="46">
        <f>IF(E7027="","",IF(C7027&gt;WeekEndDate,"",E7027))</f>
        <v/>
      </c>
    </row>
    <row r="7028">
      <c r="A7028" t="inlineStr">
        <is>
          <t>Issues &amp; Punch List</t>
        </is>
      </c>
      <c r="B7028" s="46">
        <f>'Issues &amp; Punch List'!S994</f>
        <v/>
      </c>
      <c r="C7028" s="84">
        <f>'Issues &amp; Punch List'!Q994</f>
        <v/>
      </c>
      <c r="D7028" s="46">
        <f>'Issues &amp; Punch List'!R994</f>
        <v/>
      </c>
      <c r="E7028" s="46">
        <f>IF(OR(B7028="",C7028="",D7028=""),"",D7028*100000+(C7028-DATE(2000,1,1))+ROW()/100000)</f>
        <v/>
      </c>
      <c r="F7028" s="46">
        <f>IF(E7028="","",IF(C7028&gt;WeekEndDate,"",E7028))</f>
        <v/>
      </c>
    </row>
    <row r="7029">
      <c r="A7029" t="inlineStr">
        <is>
          <t>Issues &amp; Punch List</t>
        </is>
      </c>
      <c r="B7029" s="46">
        <f>'Issues &amp; Punch List'!S995</f>
        <v/>
      </c>
      <c r="C7029" s="84">
        <f>'Issues &amp; Punch List'!Q995</f>
        <v/>
      </c>
      <c r="D7029" s="46">
        <f>'Issues &amp; Punch List'!R995</f>
        <v/>
      </c>
      <c r="E7029" s="46">
        <f>IF(OR(B7029="",C7029="",D7029=""),"",D7029*100000+(C7029-DATE(2000,1,1))+ROW()/100000)</f>
        <v/>
      </c>
      <c r="F7029" s="46">
        <f>IF(E7029="","",IF(C7029&gt;WeekEndDate,"",E7029))</f>
        <v/>
      </c>
    </row>
    <row r="7030">
      <c r="A7030" t="inlineStr">
        <is>
          <t>Issues &amp; Punch List</t>
        </is>
      </c>
      <c r="B7030" s="46">
        <f>'Issues &amp; Punch List'!S996</f>
        <v/>
      </c>
      <c r="C7030" s="84">
        <f>'Issues &amp; Punch List'!Q996</f>
        <v/>
      </c>
      <c r="D7030" s="46">
        <f>'Issues &amp; Punch List'!R996</f>
        <v/>
      </c>
      <c r="E7030" s="46">
        <f>IF(OR(B7030="",C7030="",D7030=""),"",D7030*100000+(C7030-DATE(2000,1,1))+ROW()/100000)</f>
        <v/>
      </c>
      <c r="F7030" s="46">
        <f>IF(E7030="","",IF(C7030&gt;WeekEndDate,"",E7030))</f>
        <v/>
      </c>
    </row>
    <row r="7031">
      <c r="A7031" t="inlineStr">
        <is>
          <t>Issues &amp; Punch List</t>
        </is>
      </c>
      <c r="B7031" s="46">
        <f>'Issues &amp; Punch List'!S997</f>
        <v/>
      </c>
      <c r="C7031" s="84">
        <f>'Issues &amp; Punch List'!Q997</f>
        <v/>
      </c>
      <c r="D7031" s="46">
        <f>'Issues &amp; Punch List'!R997</f>
        <v/>
      </c>
      <c r="E7031" s="46">
        <f>IF(OR(B7031="",C7031="",D7031=""),"",D7031*100000+(C7031-DATE(2000,1,1))+ROW()/100000)</f>
        <v/>
      </c>
      <c r="F7031" s="46">
        <f>IF(E7031="","",IF(C7031&gt;WeekEndDate,"",E7031))</f>
        <v/>
      </c>
    </row>
    <row r="7032">
      <c r="A7032" t="inlineStr">
        <is>
          <t>Issues &amp; Punch List</t>
        </is>
      </c>
      <c r="B7032" s="46">
        <f>'Issues &amp; Punch List'!S998</f>
        <v/>
      </c>
      <c r="C7032" s="84">
        <f>'Issues &amp; Punch List'!Q998</f>
        <v/>
      </c>
      <c r="D7032" s="46">
        <f>'Issues &amp; Punch List'!R998</f>
        <v/>
      </c>
      <c r="E7032" s="46">
        <f>IF(OR(B7032="",C7032="",D7032=""),"",D7032*100000+(C7032-DATE(2000,1,1))+ROW()/100000)</f>
        <v/>
      </c>
      <c r="F7032" s="46">
        <f>IF(E7032="","",IF(C7032&gt;WeekEndDate,"",E7032))</f>
        <v/>
      </c>
    </row>
    <row r="7033">
      <c r="A7033" t="inlineStr">
        <is>
          <t>Issues &amp; Punch List</t>
        </is>
      </c>
      <c r="B7033" s="46">
        <f>'Issues &amp; Punch List'!S999</f>
        <v/>
      </c>
      <c r="C7033" s="84">
        <f>'Issues &amp; Punch List'!Q999</f>
        <v/>
      </c>
      <c r="D7033" s="46">
        <f>'Issues &amp; Punch List'!R999</f>
        <v/>
      </c>
      <c r="E7033" s="46">
        <f>IF(OR(B7033="",C7033="",D7033=""),"",D7033*100000+(C7033-DATE(2000,1,1))+ROW()/100000)</f>
        <v/>
      </c>
      <c r="F7033" s="46">
        <f>IF(E7033="","",IF(C7033&gt;WeekEndDate,"",E7033))</f>
        <v/>
      </c>
    </row>
    <row r="7034">
      <c r="A7034" t="inlineStr">
        <is>
          <t>Issues &amp; Punch List</t>
        </is>
      </c>
      <c r="B7034" s="46">
        <f>'Issues &amp; Punch List'!S1000</f>
        <v/>
      </c>
      <c r="C7034" s="84">
        <f>'Issues &amp; Punch List'!Q1000</f>
        <v/>
      </c>
      <c r="D7034" s="46">
        <f>'Issues &amp; Punch List'!R1000</f>
        <v/>
      </c>
      <c r="E7034" s="46">
        <f>IF(OR(B7034="",C7034="",D7034=""),"",D7034*100000+(C7034-DATE(2000,1,1))+ROW()/100000)</f>
        <v/>
      </c>
      <c r="F7034" s="46">
        <f>IF(E7034="","",IF(C7034&gt;WeekEndDate,"",E7034))</f>
        <v/>
      </c>
    </row>
    <row r="7035">
      <c r="A7035" t="inlineStr">
        <is>
          <t>Issues &amp; Punch List</t>
        </is>
      </c>
      <c r="B7035" s="46">
        <f>'Issues &amp; Punch List'!S1001</f>
        <v/>
      </c>
      <c r="C7035" s="84">
        <f>'Issues &amp; Punch List'!Q1001</f>
        <v/>
      </c>
      <c r="D7035" s="46">
        <f>'Issues &amp; Punch List'!R1001</f>
        <v/>
      </c>
      <c r="E7035" s="46">
        <f>IF(OR(B7035="",C7035="",D7035=""),"",D7035*100000+(C7035-DATE(2000,1,1))+ROW()/100000)</f>
        <v/>
      </c>
      <c r="F7035" s="46">
        <f>IF(E7035="","",IF(C7035&gt;WeekEndDate,"",E7035))</f>
        <v/>
      </c>
    </row>
    <row r="7036">
      <c r="A7036" t="inlineStr">
        <is>
          <t>Issues &amp; Punch List</t>
        </is>
      </c>
      <c r="B7036" s="46">
        <f>'Issues &amp; Punch List'!S1002</f>
        <v/>
      </c>
      <c r="C7036" s="84">
        <f>'Issues &amp; Punch List'!Q1002</f>
        <v/>
      </c>
      <c r="D7036" s="46">
        <f>'Issues &amp; Punch List'!R1002</f>
        <v/>
      </c>
      <c r="E7036" s="46">
        <f>IF(OR(B7036="",C7036="",D7036=""),"",D7036*100000+(C7036-DATE(2000,1,1))+ROW()/100000)</f>
        <v/>
      </c>
      <c r="F7036" s="46">
        <f>IF(E7036="","",IF(C7036&gt;WeekEndDate,"",E7036))</f>
        <v/>
      </c>
    </row>
    <row r="7037">
      <c r="A7037" t="inlineStr">
        <is>
          <t>Issues &amp; Punch List</t>
        </is>
      </c>
      <c r="B7037" s="46">
        <f>'Issues &amp; Punch List'!S1003</f>
        <v/>
      </c>
      <c r="C7037" s="84">
        <f>'Issues &amp; Punch List'!Q1003</f>
        <v/>
      </c>
      <c r="D7037" s="46">
        <f>'Issues &amp; Punch List'!R1003</f>
        <v/>
      </c>
      <c r="E7037" s="46">
        <f>IF(OR(B7037="",C7037="",D7037=""),"",D7037*100000+(C7037-DATE(2000,1,1))+ROW()/100000)</f>
        <v/>
      </c>
      <c r="F7037" s="46">
        <f>IF(E7037="","",IF(C7037&gt;WeekEndDate,"",E7037))</f>
        <v/>
      </c>
    </row>
    <row r="7038">
      <c r="A7038" t="inlineStr">
        <is>
          <t>Issues &amp; Punch List</t>
        </is>
      </c>
      <c r="B7038" s="46">
        <f>'Issues &amp; Punch List'!S1004</f>
        <v/>
      </c>
      <c r="C7038" s="84">
        <f>'Issues &amp; Punch List'!Q1004</f>
        <v/>
      </c>
      <c r="D7038" s="46">
        <f>'Issues &amp; Punch List'!R1004</f>
        <v/>
      </c>
      <c r="E7038" s="46">
        <f>IF(OR(B7038="",C7038="",D7038=""),"",D7038*100000+(C7038-DATE(2000,1,1))+ROW()/100000)</f>
        <v/>
      </c>
      <c r="F7038" s="46">
        <f>IF(E7038="","",IF(C7038&gt;WeekEndDate,"",E7038))</f>
        <v/>
      </c>
    </row>
    <row r="7039">
      <c r="A7039" t="inlineStr">
        <is>
          <t>Issues &amp; Punch List</t>
        </is>
      </c>
      <c r="B7039" s="46">
        <f>'Issues &amp; Punch List'!S1005</f>
        <v/>
      </c>
      <c r="C7039" s="84">
        <f>'Issues &amp; Punch List'!Q1005</f>
        <v/>
      </c>
      <c r="D7039" s="46">
        <f>'Issues &amp; Punch List'!R1005</f>
        <v/>
      </c>
      <c r="E7039" s="46">
        <f>IF(OR(B7039="",C7039="",D7039=""),"",D7039*100000+(C7039-DATE(2000,1,1))+ROW()/100000)</f>
        <v/>
      </c>
      <c r="F7039" s="46">
        <f>IF(E7039="","",IF(C7039&gt;WeekEndDate,"",E7039))</f>
        <v/>
      </c>
    </row>
    <row r="7040">
      <c r="A7040" t="inlineStr">
        <is>
          <t>Issues &amp; Punch List</t>
        </is>
      </c>
      <c r="B7040" s="46">
        <f>'Issues &amp; Punch List'!S1006</f>
        <v/>
      </c>
      <c r="C7040" s="84">
        <f>'Issues &amp; Punch List'!Q1006</f>
        <v/>
      </c>
      <c r="D7040" s="46">
        <f>'Issues &amp; Punch List'!R1006</f>
        <v/>
      </c>
      <c r="E7040" s="46">
        <f>IF(OR(B7040="",C7040="",D7040=""),"",D7040*100000+(C7040-DATE(2000,1,1))+ROW()/100000)</f>
        <v/>
      </c>
      <c r="F7040" s="46">
        <f>IF(E7040="","",IF(C7040&gt;WeekEndDate,"",E7040))</f>
        <v/>
      </c>
    </row>
    <row r="7041">
      <c r="A7041" t="inlineStr">
        <is>
          <t>Issues &amp; Punch List</t>
        </is>
      </c>
      <c r="B7041" s="46">
        <f>'Issues &amp; Punch List'!S1007</f>
        <v/>
      </c>
      <c r="C7041" s="84">
        <f>'Issues &amp; Punch List'!Q1007</f>
        <v/>
      </c>
      <c r="D7041" s="46">
        <f>'Issues &amp; Punch List'!R1007</f>
        <v/>
      </c>
      <c r="E7041" s="46">
        <f>IF(OR(B7041="",C7041="",D7041=""),"",D7041*100000+(C7041-DATE(2000,1,1))+ROW()/100000)</f>
        <v/>
      </c>
      <c r="F7041" s="46">
        <f>IF(E7041="","",IF(C7041&gt;WeekEndDate,"",E7041))</f>
        <v/>
      </c>
    </row>
    <row r="7042">
      <c r="A7042" t="inlineStr">
        <is>
          <t>Warranty &amp; Maintenance</t>
        </is>
      </c>
      <c r="B7042" s="46">
        <f>'Warranty &amp; Maintenance'!N7</f>
        <v/>
      </c>
      <c r="C7042" s="84">
        <f>'Warranty &amp; Maintenance'!L7</f>
        <v/>
      </c>
      <c r="D7042" s="46">
        <f>'Warranty &amp; Maintenance'!M7</f>
        <v/>
      </c>
      <c r="E7042" s="46">
        <f>IF(OR(B7042="",C7042="",D7042=""),"",D7042*100000+(C7042-DATE(2000,1,1))+ROW()/100000)</f>
        <v/>
      </c>
      <c r="F7042" s="46">
        <f>IF(E7042="","",IF(C7042&gt;WeekEndDate,"",E7042))</f>
        <v/>
      </c>
    </row>
    <row r="7043">
      <c r="A7043" t="inlineStr">
        <is>
          <t>Warranty &amp; Maintenance</t>
        </is>
      </c>
      <c r="B7043" s="46">
        <f>'Warranty &amp; Maintenance'!N8</f>
        <v/>
      </c>
      <c r="C7043" s="84">
        <f>'Warranty &amp; Maintenance'!L8</f>
        <v/>
      </c>
      <c r="D7043" s="46">
        <f>'Warranty &amp; Maintenance'!M8</f>
        <v/>
      </c>
      <c r="E7043" s="46">
        <f>IF(OR(B7043="",C7043="",D7043=""),"",D7043*100000+(C7043-DATE(2000,1,1))+ROW()/100000)</f>
        <v/>
      </c>
      <c r="F7043" s="46">
        <f>IF(E7043="","",IF(C7043&gt;WeekEndDate,"",E7043))</f>
        <v/>
      </c>
    </row>
    <row r="7044">
      <c r="A7044" t="inlineStr">
        <is>
          <t>Warranty &amp; Maintenance</t>
        </is>
      </c>
      <c r="B7044" s="46">
        <f>'Warranty &amp; Maintenance'!N9</f>
        <v/>
      </c>
      <c r="C7044" s="84">
        <f>'Warranty &amp; Maintenance'!L9</f>
        <v/>
      </c>
      <c r="D7044" s="46">
        <f>'Warranty &amp; Maintenance'!M9</f>
        <v/>
      </c>
      <c r="E7044" s="46">
        <f>IF(OR(B7044="",C7044="",D7044=""),"",D7044*100000+(C7044-DATE(2000,1,1))+ROW()/100000)</f>
        <v/>
      </c>
      <c r="F7044" s="46">
        <f>IF(E7044="","",IF(C7044&gt;WeekEndDate,"",E7044))</f>
        <v/>
      </c>
    </row>
    <row r="7045">
      <c r="A7045" t="inlineStr">
        <is>
          <t>Warranty &amp; Maintenance</t>
        </is>
      </c>
      <c r="B7045" s="46">
        <f>'Warranty &amp; Maintenance'!N10</f>
        <v/>
      </c>
      <c r="C7045" s="84">
        <f>'Warranty &amp; Maintenance'!L10</f>
        <v/>
      </c>
      <c r="D7045" s="46">
        <f>'Warranty &amp; Maintenance'!M10</f>
        <v/>
      </c>
      <c r="E7045" s="46">
        <f>IF(OR(B7045="",C7045="",D7045=""),"",D7045*100000+(C7045-DATE(2000,1,1))+ROW()/100000)</f>
        <v/>
      </c>
      <c r="F7045" s="46">
        <f>IF(E7045="","",IF(C7045&gt;WeekEndDate,"",E7045))</f>
        <v/>
      </c>
    </row>
    <row r="7046">
      <c r="A7046" t="inlineStr">
        <is>
          <t>Warranty &amp; Maintenance</t>
        </is>
      </c>
      <c r="B7046" s="46">
        <f>'Warranty &amp; Maintenance'!N11</f>
        <v/>
      </c>
      <c r="C7046" s="84">
        <f>'Warranty &amp; Maintenance'!L11</f>
        <v/>
      </c>
      <c r="D7046" s="46">
        <f>'Warranty &amp; Maintenance'!M11</f>
        <v/>
      </c>
      <c r="E7046" s="46">
        <f>IF(OR(B7046="",C7046="",D7046=""),"",D7046*100000+(C7046-DATE(2000,1,1))+ROW()/100000)</f>
        <v/>
      </c>
      <c r="F7046" s="46">
        <f>IF(E7046="","",IF(C7046&gt;WeekEndDate,"",E7046))</f>
        <v/>
      </c>
    </row>
    <row r="7047">
      <c r="A7047" t="inlineStr">
        <is>
          <t>Warranty &amp; Maintenance</t>
        </is>
      </c>
      <c r="B7047" s="46">
        <f>'Warranty &amp; Maintenance'!N12</f>
        <v/>
      </c>
      <c r="C7047" s="84">
        <f>'Warranty &amp; Maintenance'!L12</f>
        <v/>
      </c>
      <c r="D7047" s="46">
        <f>'Warranty &amp; Maintenance'!M12</f>
        <v/>
      </c>
      <c r="E7047" s="46">
        <f>IF(OR(B7047="",C7047="",D7047=""),"",D7047*100000+(C7047-DATE(2000,1,1))+ROW()/100000)</f>
        <v/>
      </c>
      <c r="F7047" s="46">
        <f>IF(E7047="","",IF(C7047&gt;WeekEndDate,"",E7047))</f>
        <v/>
      </c>
    </row>
    <row r="7048">
      <c r="A7048" t="inlineStr">
        <is>
          <t>Warranty &amp; Maintenance</t>
        </is>
      </c>
      <c r="B7048" s="46">
        <f>'Warranty &amp; Maintenance'!N13</f>
        <v/>
      </c>
      <c r="C7048" s="84">
        <f>'Warranty &amp; Maintenance'!L13</f>
        <v/>
      </c>
      <c r="D7048" s="46">
        <f>'Warranty &amp; Maintenance'!M13</f>
        <v/>
      </c>
      <c r="E7048" s="46">
        <f>IF(OR(B7048="",C7048="",D7048=""),"",D7048*100000+(C7048-DATE(2000,1,1))+ROW()/100000)</f>
        <v/>
      </c>
      <c r="F7048" s="46">
        <f>IF(E7048="","",IF(C7048&gt;WeekEndDate,"",E7048))</f>
        <v/>
      </c>
    </row>
    <row r="7049">
      <c r="A7049" t="inlineStr">
        <is>
          <t>Warranty &amp; Maintenance</t>
        </is>
      </c>
      <c r="B7049" s="46">
        <f>'Warranty &amp; Maintenance'!N14</f>
        <v/>
      </c>
      <c r="C7049" s="84">
        <f>'Warranty &amp; Maintenance'!L14</f>
        <v/>
      </c>
      <c r="D7049" s="46">
        <f>'Warranty &amp; Maintenance'!M14</f>
        <v/>
      </c>
      <c r="E7049" s="46">
        <f>IF(OR(B7049="",C7049="",D7049=""),"",D7049*100000+(C7049-DATE(2000,1,1))+ROW()/100000)</f>
        <v/>
      </c>
      <c r="F7049" s="46">
        <f>IF(E7049="","",IF(C7049&gt;WeekEndDate,"",E7049))</f>
        <v/>
      </c>
    </row>
    <row r="7050">
      <c r="A7050" t="inlineStr">
        <is>
          <t>Warranty &amp; Maintenance</t>
        </is>
      </c>
      <c r="B7050" s="46">
        <f>'Warranty &amp; Maintenance'!N15</f>
        <v/>
      </c>
      <c r="C7050" s="84">
        <f>'Warranty &amp; Maintenance'!L15</f>
        <v/>
      </c>
      <c r="D7050" s="46">
        <f>'Warranty &amp; Maintenance'!M15</f>
        <v/>
      </c>
      <c r="E7050" s="46">
        <f>IF(OR(B7050="",C7050="",D7050=""),"",D7050*100000+(C7050-DATE(2000,1,1))+ROW()/100000)</f>
        <v/>
      </c>
      <c r="F7050" s="46">
        <f>IF(E7050="","",IF(C7050&gt;WeekEndDate,"",E7050))</f>
        <v/>
      </c>
    </row>
    <row r="7051">
      <c r="A7051" t="inlineStr">
        <is>
          <t>Warranty &amp; Maintenance</t>
        </is>
      </c>
      <c r="B7051" s="46">
        <f>'Warranty &amp; Maintenance'!N16</f>
        <v/>
      </c>
      <c r="C7051" s="84">
        <f>'Warranty &amp; Maintenance'!L16</f>
        <v/>
      </c>
      <c r="D7051" s="46">
        <f>'Warranty &amp; Maintenance'!M16</f>
        <v/>
      </c>
      <c r="E7051" s="46">
        <f>IF(OR(B7051="",C7051="",D7051=""),"",D7051*100000+(C7051-DATE(2000,1,1))+ROW()/100000)</f>
        <v/>
      </c>
      <c r="F7051" s="46">
        <f>IF(E7051="","",IF(C7051&gt;WeekEndDate,"",E7051))</f>
        <v/>
      </c>
    </row>
    <row r="7052">
      <c r="A7052" t="inlineStr">
        <is>
          <t>Warranty &amp; Maintenance</t>
        </is>
      </c>
      <c r="B7052" s="46">
        <f>'Warranty &amp; Maintenance'!N17</f>
        <v/>
      </c>
      <c r="C7052" s="84">
        <f>'Warranty &amp; Maintenance'!L17</f>
        <v/>
      </c>
      <c r="D7052" s="46">
        <f>'Warranty &amp; Maintenance'!M17</f>
        <v/>
      </c>
      <c r="E7052" s="46">
        <f>IF(OR(B7052="",C7052="",D7052=""),"",D7052*100000+(C7052-DATE(2000,1,1))+ROW()/100000)</f>
        <v/>
      </c>
      <c r="F7052" s="46">
        <f>IF(E7052="","",IF(C7052&gt;WeekEndDate,"",E7052))</f>
        <v/>
      </c>
    </row>
    <row r="7053">
      <c r="A7053" t="inlineStr">
        <is>
          <t>Warranty &amp; Maintenance</t>
        </is>
      </c>
      <c r="B7053" s="46">
        <f>'Warranty &amp; Maintenance'!N18</f>
        <v/>
      </c>
      <c r="C7053" s="84">
        <f>'Warranty &amp; Maintenance'!L18</f>
        <v/>
      </c>
      <c r="D7053" s="46">
        <f>'Warranty &amp; Maintenance'!M18</f>
        <v/>
      </c>
      <c r="E7053" s="46">
        <f>IF(OR(B7053="",C7053="",D7053=""),"",D7053*100000+(C7053-DATE(2000,1,1))+ROW()/100000)</f>
        <v/>
      </c>
      <c r="F7053" s="46">
        <f>IF(E7053="","",IF(C7053&gt;WeekEndDate,"",E7053))</f>
        <v/>
      </c>
    </row>
    <row r="7054">
      <c r="A7054" t="inlineStr">
        <is>
          <t>Warranty &amp; Maintenance</t>
        </is>
      </c>
      <c r="B7054" s="46">
        <f>'Warranty &amp; Maintenance'!N19</f>
        <v/>
      </c>
      <c r="C7054" s="84">
        <f>'Warranty &amp; Maintenance'!L19</f>
        <v/>
      </c>
      <c r="D7054" s="46">
        <f>'Warranty &amp; Maintenance'!M19</f>
        <v/>
      </c>
      <c r="E7054" s="46">
        <f>IF(OR(B7054="",C7054="",D7054=""),"",D7054*100000+(C7054-DATE(2000,1,1))+ROW()/100000)</f>
        <v/>
      </c>
      <c r="F7054" s="46">
        <f>IF(E7054="","",IF(C7054&gt;WeekEndDate,"",E7054))</f>
        <v/>
      </c>
    </row>
    <row r="7055">
      <c r="A7055" t="inlineStr">
        <is>
          <t>Warranty &amp; Maintenance</t>
        </is>
      </c>
      <c r="B7055" s="46">
        <f>'Warranty &amp; Maintenance'!N20</f>
        <v/>
      </c>
      <c r="C7055" s="84">
        <f>'Warranty &amp; Maintenance'!L20</f>
        <v/>
      </c>
      <c r="D7055" s="46">
        <f>'Warranty &amp; Maintenance'!M20</f>
        <v/>
      </c>
      <c r="E7055" s="46">
        <f>IF(OR(B7055="",C7055="",D7055=""),"",D7055*100000+(C7055-DATE(2000,1,1))+ROW()/100000)</f>
        <v/>
      </c>
      <c r="F7055" s="46">
        <f>IF(E7055="","",IF(C7055&gt;WeekEndDate,"",E7055))</f>
        <v/>
      </c>
    </row>
    <row r="7056">
      <c r="A7056" t="inlineStr">
        <is>
          <t>Warranty &amp; Maintenance</t>
        </is>
      </c>
      <c r="B7056" s="46">
        <f>'Warranty &amp; Maintenance'!N21</f>
        <v/>
      </c>
      <c r="C7056" s="84">
        <f>'Warranty &amp; Maintenance'!L21</f>
        <v/>
      </c>
      <c r="D7056" s="46">
        <f>'Warranty &amp; Maintenance'!M21</f>
        <v/>
      </c>
      <c r="E7056" s="46">
        <f>IF(OR(B7056="",C7056="",D7056=""),"",D7056*100000+(C7056-DATE(2000,1,1))+ROW()/100000)</f>
        <v/>
      </c>
      <c r="F7056" s="46">
        <f>IF(E7056="","",IF(C7056&gt;WeekEndDate,"",E7056))</f>
        <v/>
      </c>
    </row>
    <row r="7057">
      <c r="A7057" t="inlineStr">
        <is>
          <t>Warranty &amp; Maintenance</t>
        </is>
      </c>
      <c r="B7057" s="46">
        <f>'Warranty &amp; Maintenance'!N22</f>
        <v/>
      </c>
      <c r="C7057" s="84">
        <f>'Warranty &amp; Maintenance'!L22</f>
        <v/>
      </c>
      <c r="D7057" s="46">
        <f>'Warranty &amp; Maintenance'!M22</f>
        <v/>
      </c>
      <c r="E7057" s="46">
        <f>IF(OR(B7057="",C7057="",D7057=""),"",D7057*100000+(C7057-DATE(2000,1,1))+ROW()/100000)</f>
        <v/>
      </c>
      <c r="F7057" s="46">
        <f>IF(E7057="","",IF(C7057&gt;WeekEndDate,"",E7057))</f>
        <v/>
      </c>
    </row>
    <row r="7058">
      <c r="A7058" t="inlineStr">
        <is>
          <t>Warranty &amp; Maintenance</t>
        </is>
      </c>
      <c r="B7058" s="46">
        <f>'Warranty &amp; Maintenance'!N23</f>
        <v/>
      </c>
      <c r="C7058" s="84">
        <f>'Warranty &amp; Maintenance'!L23</f>
        <v/>
      </c>
      <c r="D7058" s="46">
        <f>'Warranty &amp; Maintenance'!M23</f>
        <v/>
      </c>
      <c r="E7058" s="46">
        <f>IF(OR(B7058="",C7058="",D7058=""),"",D7058*100000+(C7058-DATE(2000,1,1))+ROW()/100000)</f>
        <v/>
      </c>
      <c r="F7058" s="46">
        <f>IF(E7058="","",IF(C7058&gt;WeekEndDate,"",E7058))</f>
        <v/>
      </c>
    </row>
    <row r="7059">
      <c r="A7059" t="inlineStr">
        <is>
          <t>Warranty &amp; Maintenance</t>
        </is>
      </c>
      <c r="B7059" s="46">
        <f>'Warranty &amp; Maintenance'!N24</f>
        <v/>
      </c>
      <c r="C7059" s="84">
        <f>'Warranty &amp; Maintenance'!L24</f>
        <v/>
      </c>
      <c r="D7059" s="46">
        <f>'Warranty &amp; Maintenance'!M24</f>
        <v/>
      </c>
      <c r="E7059" s="46">
        <f>IF(OR(B7059="",C7059="",D7059=""),"",D7059*100000+(C7059-DATE(2000,1,1))+ROW()/100000)</f>
        <v/>
      </c>
      <c r="F7059" s="46">
        <f>IF(E7059="","",IF(C7059&gt;WeekEndDate,"",E7059))</f>
        <v/>
      </c>
    </row>
    <row r="7060">
      <c r="A7060" t="inlineStr">
        <is>
          <t>Warranty &amp; Maintenance</t>
        </is>
      </c>
      <c r="B7060" s="46">
        <f>'Warranty &amp; Maintenance'!N25</f>
        <v/>
      </c>
      <c r="C7060" s="84">
        <f>'Warranty &amp; Maintenance'!L25</f>
        <v/>
      </c>
      <c r="D7060" s="46">
        <f>'Warranty &amp; Maintenance'!M25</f>
        <v/>
      </c>
      <c r="E7060" s="46">
        <f>IF(OR(B7060="",C7060="",D7060=""),"",D7060*100000+(C7060-DATE(2000,1,1))+ROW()/100000)</f>
        <v/>
      </c>
      <c r="F7060" s="46">
        <f>IF(E7060="","",IF(C7060&gt;WeekEndDate,"",E7060))</f>
        <v/>
      </c>
    </row>
    <row r="7061">
      <c r="A7061" t="inlineStr">
        <is>
          <t>Warranty &amp; Maintenance</t>
        </is>
      </c>
      <c r="B7061" s="46">
        <f>'Warranty &amp; Maintenance'!N26</f>
        <v/>
      </c>
      <c r="C7061" s="84">
        <f>'Warranty &amp; Maintenance'!L26</f>
        <v/>
      </c>
      <c r="D7061" s="46">
        <f>'Warranty &amp; Maintenance'!M26</f>
        <v/>
      </c>
      <c r="E7061" s="46">
        <f>IF(OR(B7061="",C7061="",D7061=""),"",D7061*100000+(C7061-DATE(2000,1,1))+ROW()/100000)</f>
        <v/>
      </c>
      <c r="F7061" s="46">
        <f>IF(E7061="","",IF(C7061&gt;WeekEndDate,"",E7061))</f>
        <v/>
      </c>
    </row>
    <row r="7062">
      <c r="A7062" t="inlineStr">
        <is>
          <t>Warranty &amp; Maintenance</t>
        </is>
      </c>
      <c r="B7062" s="46">
        <f>'Warranty &amp; Maintenance'!N27</f>
        <v/>
      </c>
      <c r="C7062" s="84">
        <f>'Warranty &amp; Maintenance'!L27</f>
        <v/>
      </c>
      <c r="D7062" s="46">
        <f>'Warranty &amp; Maintenance'!M27</f>
        <v/>
      </c>
      <c r="E7062" s="46">
        <f>IF(OR(B7062="",C7062="",D7062=""),"",D7062*100000+(C7062-DATE(2000,1,1))+ROW()/100000)</f>
        <v/>
      </c>
      <c r="F7062" s="46">
        <f>IF(E7062="","",IF(C7062&gt;WeekEndDate,"",E7062))</f>
        <v/>
      </c>
    </row>
    <row r="7063">
      <c r="A7063" t="inlineStr">
        <is>
          <t>Warranty &amp; Maintenance</t>
        </is>
      </c>
      <c r="B7063" s="46">
        <f>'Warranty &amp; Maintenance'!N28</f>
        <v/>
      </c>
      <c r="C7063" s="84">
        <f>'Warranty &amp; Maintenance'!L28</f>
        <v/>
      </c>
      <c r="D7063" s="46">
        <f>'Warranty &amp; Maintenance'!M28</f>
        <v/>
      </c>
      <c r="E7063" s="46">
        <f>IF(OR(B7063="",C7063="",D7063=""),"",D7063*100000+(C7063-DATE(2000,1,1))+ROW()/100000)</f>
        <v/>
      </c>
      <c r="F7063" s="46">
        <f>IF(E7063="","",IF(C7063&gt;WeekEndDate,"",E7063))</f>
        <v/>
      </c>
    </row>
    <row r="7064">
      <c r="A7064" t="inlineStr">
        <is>
          <t>Warranty &amp; Maintenance</t>
        </is>
      </c>
      <c r="B7064" s="46">
        <f>'Warranty &amp; Maintenance'!N29</f>
        <v/>
      </c>
      <c r="C7064" s="84">
        <f>'Warranty &amp; Maintenance'!L29</f>
        <v/>
      </c>
      <c r="D7064" s="46">
        <f>'Warranty &amp; Maintenance'!M29</f>
        <v/>
      </c>
      <c r="E7064" s="46">
        <f>IF(OR(B7064="",C7064="",D7064=""),"",D7064*100000+(C7064-DATE(2000,1,1))+ROW()/100000)</f>
        <v/>
      </c>
      <c r="F7064" s="46">
        <f>IF(E7064="","",IF(C7064&gt;WeekEndDate,"",E7064))</f>
        <v/>
      </c>
    </row>
    <row r="7065">
      <c r="A7065" t="inlineStr">
        <is>
          <t>Warranty &amp; Maintenance</t>
        </is>
      </c>
      <c r="B7065" s="46">
        <f>'Warranty &amp; Maintenance'!N30</f>
        <v/>
      </c>
      <c r="C7065" s="84">
        <f>'Warranty &amp; Maintenance'!L30</f>
        <v/>
      </c>
      <c r="D7065" s="46">
        <f>'Warranty &amp; Maintenance'!M30</f>
        <v/>
      </c>
      <c r="E7065" s="46">
        <f>IF(OR(B7065="",C7065="",D7065=""),"",D7065*100000+(C7065-DATE(2000,1,1))+ROW()/100000)</f>
        <v/>
      </c>
      <c r="F7065" s="46">
        <f>IF(E7065="","",IF(C7065&gt;WeekEndDate,"",E7065))</f>
        <v/>
      </c>
    </row>
    <row r="7066">
      <c r="A7066" t="inlineStr">
        <is>
          <t>Warranty &amp; Maintenance</t>
        </is>
      </c>
      <c r="B7066" s="46">
        <f>'Warranty &amp; Maintenance'!N31</f>
        <v/>
      </c>
      <c r="C7066" s="84">
        <f>'Warranty &amp; Maintenance'!L31</f>
        <v/>
      </c>
      <c r="D7066" s="46">
        <f>'Warranty &amp; Maintenance'!M31</f>
        <v/>
      </c>
      <c r="E7066" s="46">
        <f>IF(OR(B7066="",C7066="",D7066=""),"",D7066*100000+(C7066-DATE(2000,1,1))+ROW()/100000)</f>
        <v/>
      </c>
      <c r="F7066" s="46">
        <f>IF(E7066="","",IF(C7066&gt;WeekEndDate,"",E7066))</f>
        <v/>
      </c>
    </row>
    <row r="7067">
      <c r="A7067" t="inlineStr">
        <is>
          <t>Warranty &amp; Maintenance</t>
        </is>
      </c>
      <c r="B7067" s="46">
        <f>'Warranty &amp; Maintenance'!N32</f>
        <v/>
      </c>
      <c r="C7067" s="84">
        <f>'Warranty &amp; Maintenance'!L32</f>
        <v/>
      </c>
      <c r="D7067" s="46">
        <f>'Warranty &amp; Maintenance'!M32</f>
        <v/>
      </c>
      <c r="E7067" s="46">
        <f>IF(OR(B7067="",C7067="",D7067=""),"",D7067*100000+(C7067-DATE(2000,1,1))+ROW()/100000)</f>
        <v/>
      </c>
      <c r="F7067" s="46">
        <f>IF(E7067="","",IF(C7067&gt;WeekEndDate,"",E7067))</f>
        <v/>
      </c>
    </row>
    <row r="7068">
      <c r="A7068" t="inlineStr">
        <is>
          <t>Warranty &amp; Maintenance</t>
        </is>
      </c>
      <c r="B7068" s="46">
        <f>'Warranty &amp; Maintenance'!N33</f>
        <v/>
      </c>
      <c r="C7068" s="84">
        <f>'Warranty &amp; Maintenance'!L33</f>
        <v/>
      </c>
      <c r="D7068" s="46">
        <f>'Warranty &amp; Maintenance'!M33</f>
        <v/>
      </c>
      <c r="E7068" s="46">
        <f>IF(OR(B7068="",C7068="",D7068=""),"",D7068*100000+(C7068-DATE(2000,1,1))+ROW()/100000)</f>
        <v/>
      </c>
      <c r="F7068" s="46">
        <f>IF(E7068="","",IF(C7068&gt;WeekEndDate,"",E7068))</f>
        <v/>
      </c>
    </row>
    <row r="7069">
      <c r="A7069" t="inlineStr">
        <is>
          <t>Warranty &amp; Maintenance</t>
        </is>
      </c>
      <c r="B7069" s="46">
        <f>'Warranty &amp; Maintenance'!N34</f>
        <v/>
      </c>
      <c r="C7069" s="84">
        <f>'Warranty &amp; Maintenance'!L34</f>
        <v/>
      </c>
      <c r="D7069" s="46">
        <f>'Warranty &amp; Maintenance'!M34</f>
        <v/>
      </c>
      <c r="E7069" s="46">
        <f>IF(OR(B7069="",C7069="",D7069=""),"",D7069*100000+(C7069-DATE(2000,1,1))+ROW()/100000)</f>
        <v/>
      </c>
      <c r="F7069" s="46">
        <f>IF(E7069="","",IF(C7069&gt;WeekEndDate,"",E7069))</f>
        <v/>
      </c>
    </row>
    <row r="7070">
      <c r="A7070" t="inlineStr">
        <is>
          <t>Warranty &amp; Maintenance</t>
        </is>
      </c>
      <c r="B7070" s="46">
        <f>'Warranty &amp; Maintenance'!N35</f>
        <v/>
      </c>
      <c r="C7070" s="84">
        <f>'Warranty &amp; Maintenance'!L35</f>
        <v/>
      </c>
      <c r="D7070" s="46">
        <f>'Warranty &amp; Maintenance'!M35</f>
        <v/>
      </c>
      <c r="E7070" s="46">
        <f>IF(OR(B7070="",C7070="",D7070=""),"",D7070*100000+(C7070-DATE(2000,1,1))+ROW()/100000)</f>
        <v/>
      </c>
      <c r="F7070" s="46">
        <f>IF(E7070="","",IF(C7070&gt;WeekEndDate,"",E7070))</f>
        <v/>
      </c>
    </row>
    <row r="7071">
      <c r="A7071" t="inlineStr">
        <is>
          <t>Warranty &amp; Maintenance</t>
        </is>
      </c>
      <c r="B7071" s="46">
        <f>'Warranty &amp; Maintenance'!N36</f>
        <v/>
      </c>
      <c r="C7071" s="84">
        <f>'Warranty &amp; Maintenance'!L36</f>
        <v/>
      </c>
      <c r="D7071" s="46">
        <f>'Warranty &amp; Maintenance'!M36</f>
        <v/>
      </c>
      <c r="E7071" s="46">
        <f>IF(OR(B7071="",C7071="",D7071=""),"",D7071*100000+(C7071-DATE(2000,1,1))+ROW()/100000)</f>
        <v/>
      </c>
      <c r="F7071" s="46">
        <f>IF(E7071="","",IF(C7071&gt;WeekEndDate,"",E7071))</f>
        <v/>
      </c>
    </row>
    <row r="7072">
      <c r="A7072" t="inlineStr">
        <is>
          <t>Warranty &amp; Maintenance</t>
        </is>
      </c>
      <c r="B7072" s="46">
        <f>'Warranty &amp; Maintenance'!N37</f>
        <v/>
      </c>
      <c r="C7072" s="84">
        <f>'Warranty &amp; Maintenance'!L37</f>
        <v/>
      </c>
      <c r="D7072" s="46">
        <f>'Warranty &amp; Maintenance'!M37</f>
        <v/>
      </c>
      <c r="E7072" s="46">
        <f>IF(OR(B7072="",C7072="",D7072=""),"",D7072*100000+(C7072-DATE(2000,1,1))+ROW()/100000)</f>
        <v/>
      </c>
      <c r="F7072" s="46">
        <f>IF(E7072="","",IF(C7072&gt;WeekEndDate,"",E7072))</f>
        <v/>
      </c>
    </row>
    <row r="7073">
      <c r="A7073" t="inlineStr">
        <is>
          <t>Warranty &amp; Maintenance</t>
        </is>
      </c>
      <c r="B7073" s="46">
        <f>'Warranty &amp; Maintenance'!N38</f>
        <v/>
      </c>
      <c r="C7073" s="84">
        <f>'Warranty &amp; Maintenance'!L38</f>
        <v/>
      </c>
      <c r="D7073" s="46">
        <f>'Warranty &amp; Maintenance'!M38</f>
        <v/>
      </c>
      <c r="E7073" s="46">
        <f>IF(OR(B7073="",C7073="",D7073=""),"",D7073*100000+(C7073-DATE(2000,1,1))+ROW()/100000)</f>
        <v/>
      </c>
      <c r="F7073" s="46">
        <f>IF(E7073="","",IF(C7073&gt;WeekEndDate,"",E7073))</f>
        <v/>
      </c>
    </row>
    <row r="7074">
      <c r="A7074" t="inlineStr">
        <is>
          <t>Warranty &amp; Maintenance</t>
        </is>
      </c>
      <c r="B7074" s="46">
        <f>'Warranty &amp; Maintenance'!N39</f>
        <v/>
      </c>
      <c r="C7074" s="84">
        <f>'Warranty &amp; Maintenance'!L39</f>
        <v/>
      </c>
      <c r="D7074" s="46">
        <f>'Warranty &amp; Maintenance'!M39</f>
        <v/>
      </c>
      <c r="E7074" s="46">
        <f>IF(OR(B7074="",C7074="",D7074=""),"",D7074*100000+(C7074-DATE(2000,1,1))+ROW()/100000)</f>
        <v/>
      </c>
      <c r="F7074" s="46">
        <f>IF(E7074="","",IF(C7074&gt;WeekEndDate,"",E7074))</f>
        <v/>
      </c>
    </row>
    <row r="7075">
      <c r="A7075" t="inlineStr">
        <is>
          <t>Warranty &amp; Maintenance</t>
        </is>
      </c>
      <c r="B7075" s="46">
        <f>'Warranty &amp; Maintenance'!N40</f>
        <v/>
      </c>
      <c r="C7075" s="84">
        <f>'Warranty &amp; Maintenance'!L40</f>
        <v/>
      </c>
      <c r="D7075" s="46">
        <f>'Warranty &amp; Maintenance'!M40</f>
        <v/>
      </c>
      <c r="E7075" s="46">
        <f>IF(OR(B7075="",C7075="",D7075=""),"",D7075*100000+(C7075-DATE(2000,1,1))+ROW()/100000)</f>
        <v/>
      </c>
      <c r="F7075" s="46">
        <f>IF(E7075="","",IF(C7075&gt;WeekEndDate,"",E7075))</f>
        <v/>
      </c>
    </row>
    <row r="7076">
      <c r="A7076" t="inlineStr">
        <is>
          <t>Warranty &amp; Maintenance</t>
        </is>
      </c>
      <c r="B7076" s="46">
        <f>'Warranty &amp; Maintenance'!N41</f>
        <v/>
      </c>
      <c r="C7076" s="84">
        <f>'Warranty &amp; Maintenance'!L41</f>
        <v/>
      </c>
      <c r="D7076" s="46">
        <f>'Warranty &amp; Maintenance'!M41</f>
        <v/>
      </c>
      <c r="E7076" s="46">
        <f>IF(OR(B7076="",C7076="",D7076=""),"",D7076*100000+(C7076-DATE(2000,1,1))+ROW()/100000)</f>
        <v/>
      </c>
      <c r="F7076" s="46">
        <f>IF(E7076="","",IF(C7076&gt;WeekEndDate,"",E7076))</f>
        <v/>
      </c>
    </row>
    <row r="7077">
      <c r="A7077" t="inlineStr">
        <is>
          <t>Warranty &amp; Maintenance</t>
        </is>
      </c>
      <c r="B7077" s="46">
        <f>'Warranty &amp; Maintenance'!N42</f>
        <v/>
      </c>
      <c r="C7077" s="84">
        <f>'Warranty &amp; Maintenance'!L42</f>
        <v/>
      </c>
      <c r="D7077" s="46">
        <f>'Warranty &amp; Maintenance'!M42</f>
        <v/>
      </c>
      <c r="E7077" s="46">
        <f>IF(OR(B7077="",C7077="",D7077=""),"",D7077*100000+(C7077-DATE(2000,1,1))+ROW()/100000)</f>
        <v/>
      </c>
      <c r="F7077" s="46">
        <f>IF(E7077="","",IF(C7077&gt;WeekEndDate,"",E7077))</f>
        <v/>
      </c>
    </row>
    <row r="7078">
      <c r="A7078" t="inlineStr">
        <is>
          <t>Warranty &amp; Maintenance</t>
        </is>
      </c>
      <c r="B7078" s="46">
        <f>'Warranty &amp; Maintenance'!N43</f>
        <v/>
      </c>
      <c r="C7078" s="84">
        <f>'Warranty &amp; Maintenance'!L43</f>
        <v/>
      </c>
      <c r="D7078" s="46">
        <f>'Warranty &amp; Maintenance'!M43</f>
        <v/>
      </c>
      <c r="E7078" s="46">
        <f>IF(OR(B7078="",C7078="",D7078=""),"",D7078*100000+(C7078-DATE(2000,1,1))+ROW()/100000)</f>
        <v/>
      </c>
      <c r="F7078" s="46">
        <f>IF(E7078="","",IF(C7078&gt;WeekEndDate,"",E7078))</f>
        <v/>
      </c>
    </row>
    <row r="7079">
      <c r="A7079" t="inlineStr">
        <is>
          <t>Warranty &amp; Maintenance</t>
        </is>
      </c>
      <c r="B7079" s="46">
        <f>'Warranty &amp; Maintenance'!N44</f>
        <v/>
      </c>
      <c r="C7079" s="84">
        <f>'Warranty &amp; Maintenance'!L44</f>
        <v/>
      </c>
      <c r="D7079" s="46">
        <f>'Warranty &amp; Maintenance'!M44</f>
        <v/>
      </c>
      <c r="E7079" s="46">
        <f>IF(OR(B7079="",C7079="",D7079=""),"",D7079*100000+(C7079-DATE(2000,1,1))+ROW()/100000)</f>
        <v/>
      </c>
      <c r="F7079" s="46">
        <f>IF(E7079="","",IF(C7079&gt;WeekEndDate,"",E7079))</f>
        <v/>
      </c>
    </row>
    <row r="7080">
      <c r="A7080" t="inlineStr">
        <is>
          <t>Warranty &amp; Maintenance</t>
        </is>
      </c>
      <c r="B7080" s="46">
        <f>'Warranty &amp; Maintenance'!N45</f>
        <v/>
      </c>
      <c r="C7080" s="84">
        <f>'Warranty &amp; Maintenance'!L45</f>
        <v/>
      </c>
      <c r="D7080" s="46">
        <f>'Warranty &amp; Maintenance'!M45</f>
        <v/>
      </c>
      <c r="E7080" s="46">
        <f>IF(OR(B7080="",C7080="",D7080=""),"",D7080*100000+(C7080-DATE(2000,1,1))+ROW()/100000)</f>
        <v/>
      </c>
      <c r="F7080" s="46">
        <f>IF(E7080="","",IF(C7080&gt;WeekEndDate,"",E7080))</f>
        <v/>
      </c>
    </row>
    <row r="7081">
      <c r="A7081" t="inlineStr">
        <is>
          <t>Warranty &amp; Maintenance</t>
        </is>
      </c>
      <c r="B7081" s="46">
        <f>'Warranty &amp; Maintenance'!N46</f>
        <v/>
      </c>
      <c r="C7081" s="84">
        <f>'Warranty &amp; Maintenance'!L46</f>
        <v/>
      </c>
      <c r="D7081" s="46">
        <f>'Warranty &amp; Maintenance'!M46</f>
        <v/>
      </c>
      <c r="E7081" s="46">
        <f>IF(OR(B7081="",C7081="",D7081=""),"",D7081*100000+(C7081-DATE(2000,1,1))+ROW()/100000)</f>
        <v/>
      </c>
      <c r="F7081" s="46">
        <f>IF(E7081="","",IF(C7081&gt;WeekEndDate,"",E7081))</f>
        <v/>
      </c>
    </row>
    <row r="7082">
      <c r="A7082" t="inlineStr">
        <is>
          <t>Warranty &amp; Maintenance</t>
        </is>
      </c>
      <c r="B7082" s="46">
        <f>'Warranty &amp; Maintenance'!N47</f>
        <v/>
      </c>
      <c r="C7082" s="84">
        <f>'Warranty &amp; Maintenance'!L47</f>
        <v/>
      </c>
      <c r="D7082" s="46">
        <f>'Warranty &amp; Maintenance'!M47</f>
        <v/>
      </c>
      <c r="E7082" s="46">
        <f>IF(OR(B7082="",C7082="",D7082=""),"",D7082*100000+(C7082-DATE(2000,1,1))+ROW()/100000)</f>
        <v/>
      </c>
      <c r="F7082" s="46">
        <f>IF(E7082="","",IF(C7082&gt;WeekEndDate,"",E7082))</f>
        <v/>
      </c>
    </row>
    <row r="7083">
      <c r="A7083" t="inlineStr">
        <is>
          <t>Warranty &amp; Maintenance</t>
        </is>
      </c>
      <c r="B7083" s="46">
        <f>'Warranty &amp; Maintenance'!N48</f>
        <v/>
      </c>
      <c r="C7083" s="84">
        <f>'Warranty &amp; Maintenance'!L48</f>
        <v/>
      </c>
      <c r="D7083" s="46">
        <f>'Warranty &amp; Maintenance'!M48</f>
        <v/>
      </c>
      <c r="E7083" s="46">
        <f>IF(OR(B7083="",C7083="",D7083=""),"",D7083*100000+(C7083-DATE(2000,1,1))+ROW()/100000)</f>
        <v/>
      </c>
      <c r="F7083" s="46">
        <f>IF(E7083="","",IF(C7083&gt;WeekEndDate,"",E7083))</f>
        <v/>
      </c>
    </row>
    <row r="7084">
      <c r="A7084" t="inlineStr">
        <is>
          <t>Warranty &amp; Maintenance</t>
        </is>
      </c>
      <c r="B7084" s="46">
        <f>'Warranty &amp; Maintenance'!N49</f>
        <v/>
      </c>
      <c r="C7084" s="84">
        <f>'Warranty &amp; Maintenance'!L49</f>
        <v/>
      </c>
      <c r="D7084" s="46">
        <f>'Warranty &amp; Maintenance'!M49</f>
        <v/>
      </c>
      <c r="E7084" s="46">
        <f>IF(OR(B7084="",C7084="",D7084=""),"",D7084*100000+(C7084-DATE(2000,1,1))+ROW()/100000)</f>
        <v/>
      </c>
      <c r="F7084" s="46">
        <f>IF(E7084="","",IF(C7084&gt;WeekEndDate,"",E7084))</f>
        <v/>
      </c>
    </row>
    <row r="7085">
      <c r="A7085" t="inlineStr">
        <is>
          <t>Warranty &amp; Maintenance</t>
        </is>
      </c>
      <c r="B7085" s="46">
        <f>'Warranty &amp; Maintenance'!N50</f>
        <v/>
      </c>
      <c r="C7085" s="84">
        <f>'Warranty &amp; Maintenance'!L50</f>
        <v/>
      </c>
      <c r="D7085" s="46">
        <f>'Warranty &amp; Maintenance'!M50</f>
        <v/>
      </c>
      <c r="E7085" s="46">
        <f>IF(OR(B7085="",C7085="",D7085=""),"",D7085*100000+(C7085-DATE(2000,1,1))+ROW()/100000)</f>
        <v/>
      </c>
      <c r="F7085" s="46">
        <f>IF(E7085="","",IF(C7085&gt;WeekEndDate,"",E7085))</f>
        <v/>
      </c>
    </row>
    <row r="7086">
      <c r="A7086" t="inlineStr">
        <is>
          <t>Warranty &amp; Maintenance</t>
        </is>
      </c>
      <c r="B7086" s="46">
        <f>'Warranty &amp; Maintenance'!N51</f>
        <v/>
      </c>
      <c r="C7086" s="84">
        <f>'Warranty &amp; Maintenance'!L51</f>
        <v/>
      </c>
      <c r="D7086" s="46">
        <f>'Warranty &amp; Maintenance'!M51</f>
        <v/>
      </c>
      <c r="E7086" s="46">
        <f>IF(OR(B7086="",C7086="",D7086=""),"",D7086*100000+(C7086-DATE(2000,1,1))+ROW()/100000)</f>
        <v/>
      </c>
      <c r="F7086" s="46">
        <f>IF(E7086="","",IF(C7086&gt;WeekEndDate,"",E7086))</f>
        <v/>
      </c>
    </row>
    <row r="7087">
      <c r="A7087" t="inlineStr">
        <is>
          <t>Warranty &amp; Maintenance</t>
        </is>
      </c>
      <c r="B7087" s="46">
        <f>'Warranty &amp; Maintenance'!N52</f>
        <v/>
      </c>
      <c r="C7087" s="84">
        <f>'Warranty &amp; Maintenance'!L52</f>
        <v/>
      </c>
      <c r="D7087" s="46">
        <f>'Warranty &amp; Maintenance'!M52</f>
        <v/>
      </c>
      <c r="E7087" s="46">
        <f>IF(OR(B7087="",C7087="",D7087=""),"",D7087*100000+(C7087-DATE(2000,1,1))+ROW()/100000)</f>
        <v/>
      </c>
      <c r="F7087" s="46">
        <f>IF(E7087="","",IF(C7087&gt;WeekEndDate,"",E7087))</f>
        <v/>
      </c>
    </row>
    <row r="7088">
      <c r="A7088" t="inlineStr">
        <is>
          <t>Warranty &amp; Maintenance</t>
        </is>
      </c>
      <c r="B7088" s="46">
        <f>'Warranty &amp; Maintenance'!N53</f>
        <v/>
      </c>
      <c r="C7088" s="84">
        <f>'Warranty &amp; Maintenance'!L53</f>
        <v/>
      </c>
      <c r="D7088" s="46">
        <f>'Warranty &amp; Maintenance'!M53</f>
        <v/>
      </c>
      <c r="E7088" s="46">
        <f>IF(OR(B7088="",C7088="",D7088=""),"",D7088*100000+(C7088-DATE(2000,1,1))+ROW()/100000)</f>
        <v/>
      </c>
      <c r="F7088" s="46">
        <f>IF(E7088="","",IF(C7088&gt;WeekEndDate,"",E7088))</f>
        <v/>
      </c>
    </row>
    <row r="7089">
      <c r="A7089" t="inlineStr">
        <is>
          <t>Warranty &amp; Maintenance</t>
        </is>
      </c>
      <c r="B7089" s="46">
        <f>'Warranty &amp; Maintenance'!N54</f>
        <v/>
      </c>
      <c r="C7089" s="84">
        <f>'Warranty &amp; Maintenance'!L54</f>
        <v/>
      </c>
      <c r="D7089" s="46">
        <f>'Warranty &amp; Maintenance'!M54</f>
        <v/>
      </c>
      <c r="E7089" s="46">
        <f>IF(OR(B7089="",C7089="",D7089=""),"",D7089*100000+(C7089-DATE(2000,1,1))+ROW()/100000)</f>
        <v/>
      </c>
      <c r="F7089" s="46">
        <f>IF(E7089="","",IF(C7089&gt;WeekEndDate,"",E7089))</f>
        <v/>
      </c>
    </row>
    <row r="7090">
      <c r="A7090" t="inlineStr">
        <is>
          <t>Warranty &amp; Maintenance</t>
        </is>
      </c>
      <c r="B7090" s="46">
        <f>'Warranty &amp; Maintenance'!N55</f>
        <v/>
      </c>
      <c r="C7090" s="84">
        <f>'Warranty &amp; Maintenance'!L55</f>
        <v/>
      </c>
      <c r="D7090" s="46">
        <f>'Warranty &amp; Maintenance'!M55</f>
        <v/>
      </c>
      <c r="E7090" s="46">
        <f>IF(OR(B7090="",C7090="",D7090=""),"",D7090*100000+(C7090-DATE(2000,1,1))+ROW()/100000)</f>
        <v/>
      </c>
      <c r="F7090" s="46">
        <f>IF(E7090="","",IF(C7090&gt;WeekEndDate,"",E7090))</f>
        <v/>
      </c>
    </row>
    <row r="7091">
      <c r="A7091" t="inlineStr">
        <is>
          <t>Warranty &amp; Maintenance</t>
        </is>
      </c>
      <c r="B7091" s="46">
        <f>'Warranty &amp; Maintenance'!N56</f>
        <v/>
      </c>
      <c r="C7091" s="84">
        <f>'Warranty &amp; Maintenance'!L56</f>
        <v/>
      </c>
      <c r="D7091" s="46">
        <f>'Warranty &amp; Maintenance'!M56</f>
        <v/>
      </c>
      <c r="E7091" s="46">
        <f>IF(OR(B7091="",C7091="",D7091=""),"",D7091*100000+(C7091-DATE(2000,1,1))+ROW()/100000)</f>
        <v/>
      </c>
      <c r="F7091" s="46">
        <f>IF(E7091="","",IF(C7091&gt;WeekEndDate,"",E7091))</f>
        <v/>
      </c>
    </row>
    <row r="7092">
      <c r="A7092" t="inlineStr">
        <is>
          <t>Warranty &amp; Maintenance</t>
        </is>
      </c>
      <c r="B7092" s="46">
        <f>'Warranty &amp; Maintenance'!N57</f>
        <v/>
      </c>
      <c r="C7092" s="84">
        <f>'Warranty &amp; Maintenance'!L57</f>
        <v/>
      </c>
      <c r="D7092" s="46">
        <f>'Warranty &amp; Maintenance'!M57</f>
        <v/>
      </c>
      <c r="E7092" s="46">
        <f>IF(OR(B7092="",C7092="",D7092=""),"",D7092*100000+(C7092-DATE(2000,1,1))+ROW()/100000)</f>
        <v/>
      </c>
      <c r="F7092" s="46">
        <f>IF(E7092="","",IF(C7092&gt;WeekEndDate,"",E7092))</f>
        <v/>
      </c>
    </row>
    <row r="7093">
      <c r="A7093" t="inlineStr">
        <is>
          <t>Warranty &amp; Maintenance</t>
        </is>
      </c>
      <c r="B7093" s="46">
        <f>'Warranty &amp; Maintenance'!N58</f>
        <v/>
      </c>
      <c r="C7093" s="84">
        <f>'Warranty &amp; Maintenance'!L58</f>
        <v/>
      </c>
      <c r="D7093" s="46">
        <f>'Warranty &amp; Maintenance'!M58</f>
        <v/>
      </c>
      <c r="E7093" s="46">
        <f>IF(OR(B7093="",C7093="",D7093=""),"",D7093*100000+(C7093-DATE(2000,1,1))+ROW()/100000)</f>
        <v/>
      </c>
      <c r="F7093" s="46">
        <f>IF(E7093="","",IF(C7093&gt;WeekEndDate,"",E7093))</f>
        <v/>
      </c>
    </row>
    <row r="7094">
      <c r="A7094" t="inlineStr">
        <is>
          <t>Warranty &amp; Maintenance</t>
        </is>
      </c>
      <c r="B7094" s="46">
        <f>'Warranty &amp; Maintenance'!N59</f>
        <v/>
      </c>
      <c r="C7094" s="84">
        <f>'Warranty &amp; Maintenance'!L59</f>
        <v/>
      </c>
      <c r="D7094" s="46">
        <f>'Warranty &amp; Maintenance'!M59</f>
        <v/>
      </c>
      <c r="E7094" s="46">
        <f>IF(OR(B7094="",C7094="",D7094=""),"",D7094*100000+(C7094-DATE(2000,1,1))+ROW()/100000)</f>
        <v/>
      </c>
      <c r="F7094" s="46">
        <f>IF(E7094="","",IF(C7094&gt;WeekEndDate,"",E7094))</f>
        <v/>
      </c>
    </row>
    <row r="7095">
      <c r="A7095" t="inlineStr">
        <is>
          <t>Warranty &amp; Maintenance</t>
        </is>
      </c>
      <c r="B7095" s="46">
        <f>'Warranty &amp; Maintenance'!N60</f>
        <v/>
      </c>
      <c r="C7095" s="84">
        <f>'Warranty &amp; Maintenance'!L60</f>
        <v/>
      </c>
      <c r="D7095" s="46">
        <f>'Warranty &amp; Maintenance'!M60</f>
        <v/>
      </c>
      <c r="E7095" s="46">
        <f>IF(OR(B7095="",C7095="",D7095=""),"",D7095*100000+(C7095-DATE(2000,1,1))+ROW()/100000)</f>
        <v/>
      </c>
      <c r="F7095" s="46">
        <f>IF(E7095="","",IF(C7095&gt;WeekEndDate,"",E7095))</f>
        <v/>
      </c>
    </row>
    <row r="7096">
      <c r="A7096" t="inlineStr">
        <is>
          <t>Warranty &amp; Maintenance</t>
        </is>
      </c>
      <c r="B7096" s="46">
        <f>'Warranty &amp; Maintenance'!N61</f>
        <v/>
      </c>
      <c r="C7096" s="84">
        <f>'Warranty &amp; Maintenance'!L61</f>
        <v/>
      </c>
      <c r="D7096" s="46">
        <f>'Warranty &amp; Maintenance'!M61</f>
        <v/>
      </c>
      <c r="E7096" s="46">
        <f>IF(OR(B7096="",C7096="",D7096=""),"",D7096*100000+(C7096-DATE(2000,1,1))+ROW()/100000)</f>
        <v/>
      </c>
      <c r="F7096" s="46">
        <f>IF(E7096="","",IF(C7096&gt;WeekEndDate,"",E7096))</f>
        <v/>
      </c>
    </row>
    <row r="7097">
      <c r="A7097" t="inlineStr">
        <is>
          <t>Warranty &amp; Maintenance</t>
        </is>
      </c>
      <c r="B7097" s="46">
        <f>'Warranty &amp; Maintenance'!N62</f>
        <v/>
      </c>
      <c r="C7097" s="84">
        <f>'Warranty &amp; Maintenance'!L62</f>
        <v/>
      </c>
      <c r="D7097" s="46">
        <f>'Warranty &amp; Maintenance'!M62</f>
        <v/>
      </c>
      <c r="E7097" s="46">
        <f>IF(OR(B7097="",C7097="",D7097=""),"",D7097*100000+(C7097-DATE(2000,1,1))+ROW()/100000)</f>
        <v/>
      </c>
      <c r="F7097" s="46">
        <f>IF(E7097="","",IF(C7097&gt;WeekEndDate,"",E7097))</f>
        <v/>
      </c>
    </row>
    <row r="7098">
      <c r="A7098" t="inlineStr">
        <is>
          <t>Warranty &amp; Maintenance</t>
        </is>
      </c>
      <c r="B7098" s="46">
        <f>'Warranty &amp; Maintenance'!N63</f>
        <v/>
      </c>
      <c r="C7098" s="84">
        <f>'Warranty &amp; Maintenance'!L63</f>
        <v/>
      </c>
      <c r="D7098" s="46">
        <f>'Warranty &amp; Maintenance'!M63</f>
        <v/>
      </c>
      <c r="E7098" s="46">
        <f>IF(OR(B7098="",C7098="",D7098=""),"",D7098*100000+(C7098-DATE(2000,1,1))+ROW()/100000)</f>
        <v/>
      </c>
      <c r="F7098" s="46">
        <f>IF(E7098="","",IF(C7098&gt;WeekEndDate,"",E7098))</f>
        <v/>
      </c>
    </row>
    <row r="7099">
      <c r="A7099" t="inlineStr">
        <is>
          <t>Warranty &amp; Maintenance</t>
        </is>
      </c>
      <c r="B7099" s="46">
        <f>'Warranty &amp; Maintenance'!N64</f>
        <v/>
      </c>
      <c r="C7099" s="84">
        <f>'Warranty &amp; Maintenance'!L64</f>
        <v/>
      </c>
      <c r="D7099" s="46">
        <f>'Warranty &amp; Maintenance'!M64</f>
        <v/>
      </c>
      <c r="E7099" s="46">
        <f>IF(OR(B7099="",C7099="",D7099=""),"",D7099*100000+(C7099-DATE(2000,1,1))+ROW()/100000)</f>
        <v/>
      </c>
      <c r="F7099" s="46">
        <f>IF(E7099="","",IF(C7099&gt;WeekEndDate,"",E7099))</f>
        <v/>
      </c>
    </row>
    <row r="7100">
      <c r="A7100" t="inlineStr">
        <is>
          <t>Warranty &amp; Maintenance</t>
        </is>
      </c>
      <c r="B7100" s="46">
        <f>'Warranty &amp; Maintenance'!N65</f>
        <v/>
      </c>
      <c r="C7100" s="84">
        <f>'Warranty &amp; Maintenance'!L65</f>
        <v/>
      </c>
      <c r="D7100" s="46">
        <f>'Warranty &amp; Maintenance'!M65</f>
        <v/>
      </c>
      <c r="E7100" s="46">
        <f>IF(OR(B7100="",C7100="",D7100=""),"",D7100*100000+(C7100-DATE(2000,1,1))+ROW()/100000)</f>
        <v/>
      </c>
      <c r="F7100" s="46">
        <f>IF(E7100="","",IF(C7100&gt;WeekEndDate,"",E7100))</f>
        <v/>
      </c>
    </row>
    <row r="7101">
      <c r="A7101" t="inlineStr">
        <is>
          <t>Warranty &amp; Maintenance</t>
        </is>
      </c>
      <c r="B7101" s="46">
        <f>'Warranty &amp; Maintenance'!N66</f>
        <v/>
      </c>
      <c r="C7101" s="84">
        <f>'Warranty &amp; Maintenance'!L66</f>
        <v/>
      </c>
      <c r="D7101" s="46">
        <f>'Warranty &amp; Maintenance'!M66</f>
        <v/>
      </c>
      <c r="E7101" s="46">
        <f>IF(OR(B7101="",C7101="",D7101=""),"",D7101*100000+(C7101-DATE(2000,1,1))+ROW()/100000)</f>
        <v/>
      </c>
      <c r="F7101" s="46">
        <f>IF(E7101="","",IF(C7101&gt;WeekEndDate,"",E7101))</f>
        <v/>
      </c>
    </row>
    <row r="7102">
      <c r="A7102" t="inlineStr">
        <is>
          <t>Warranty &amp; Maintenance</t>
        </is>
      </c>
      <c r="B7102" s="46">
        <f>'Warranty &amp; Maintenance'!N67</f>
        <v/>
      </c>
      <c r="C7102" s="84">
        <f>'Warranty &amp; Maintenance'!L67</f>
        <v/>
      </c>
      <c r="D7102" s="46">
        <f>'Warranty &amp; Maintenance'!M67</f>
        <v/>
      </c>
      <c r="E7102" s="46">
        <f>IF(OR(B7102="",C7102="",D7102=""),"",D7102*100000+(C7102-DATE(2000,1,1))+ROW()/100000)</f>
        <v/>
      </c>
      <c r="F7102" s="46">
        <f>IF(E7102="","",IF(C7102&gt;WeekEndDate,"",E7102))</f>
        <v/>
      </c>
    </row>
    <row r="7103">
      <c r="A7103" t="inlineStr">
        <is>
          <t>Warranty &amp; Maintenance</t>
        </is>
      </c>
      <c r="B7103" s="46">
        <f>'Warranty &amp; Maintenance'!N68</f>
        <v/>
      </c>
      <c r="C7103" s="84">
        <f>'Warranty &amp; Maintenance'!L68</f>
        <v/>
      </c>
      <c r="D7103" s="46">
        <f>'Warranty &amp; Maintenance'!M68</f>
        <v/>
      </c>
      <c r="E7103" s="46">
        <f>IF(OR(B7103="",C7103="",D7103=""),"",D7103*100000+(C7103-DATE(2000,1,1))+ROW()/100000)</f>
        <v/>
      </c>
      <c r="F7103" s="46">
        <f>IF(E7103="","",IF(C7103&gt;WeekEndDate,"",E7103))</f>
        <v/>
      </c>
    </row>
    <row r="7104">
      <c r="A7104" t="inlineStr">
        <is>
          <t>Warranty &amp; Maintenance</t>
        </is>
      </c>
      <c r="B7104" s="46">
        <f>'Warranty &amp; Maintenance'!N69</f>
        <v/>
      </c>
      <c r="C7104" s="84">
        <f>'Warranty &amp; Maintenance'!L69</f>
        <v/>
      </c>
      <c r="D7104" s="46">
        <f>'Warranty &amp; Maintenance'!M69</f>
        <v/>
      </c>
      <c r="E7104" s="46">
        <f>IF(OR(B7104="",C7104="",D7104=""),"",D7104*100000+(C7104-DATE(2000,1,1))+ROW()/100000)</f>
        <v/>
      </c>
      <c r="F7104" s="46">
        <f>IF(E7104="","",IF(C7104&gt;WeekEndDate,"",E7104))</f>
        <v/>
      </c>
    </row>
    <row r="7105">
      <c r="A7105" t="inlineStr">
        <is>
          <t>Warranty &amp; Maintenance</t>
        </is>
      </c>
      <c r="B7105" s="46">
        <f>'Warranty &amp; Maintenance'!N70</f>
        <v/>
      </c>
      <c r="C7105" s="84">
        <f>'Warranty &amp; Maintenance'!L70</f>
        <v/>
      </c>
      <c r="D7105" s="46">
        <f>'Warranty &amp; Maintenance'!M70</f>
        <v/>
      </c>
      <c r="E7105" s="46">
        <f>IF(OR(B7105="",C7105="",D7105=""),"",D7105*100000+(C7105-DATE(2000,1,1))+ROW()/100000)</f>
        <v/>
      </c>
      <c r="F7105" s="46">
        <f>IF(E7105="","",IF(C7105&gt;WeekEndDate,"",E7105))</f>
        <v/>
      </c>
    </row>
    <row r="7106">
      <c r="A7106" t="inlineStr">
        <is>
          <t>Warranty &amp; Maintenance</t>
        </is>
      </c>
      <c r="B7106" s="46">
        <f>'Warranty &amp; Maintenance'!N71</f>
        <v/>
      </c>
      <c r="C7106" s="84">
        <f>'Warranty &amp; Maintenance'!L71</f>
        <v/>
      </c>
      <c r="D7106" s="46">
        <f>'Warranty &amp; Maintenance'!M71</f>
        <v/>
      </c>
      <c r="E7106" s="46">
        <f>IF(OR(B7106="",C7106="",D7106=""),"",D7106*100000+(C7106-DATE(2000,1,1))+ROW()/100000)</f>
        <v/>
      </c>
      <c r="F7106" s="46">
        <f>IF(E7106="","",IF(C7106&gt;WeekEndDate,"",E7106))</f>
        <v/>
      </c>
    </row>
    <row r="7107">
      <c r="A7107" t="inlineStr">
        <is>
          <t>Warranty &amp; Maintenance</t>
        </is>
      </c>
      <c r="B7107" s="46">
        <f>'Warranty &amp; Maintenance'!N72</f>
        <v/>
      </c>
      <c r="C7107" s="84">
        <f>'Warranty &amp; Maintenance'!L72</f>
        <v/>
      </c>
      <c r="D7107" s="46">
        <f>'Warranty &amp; Maintenance'!M72</f>
        <v/>
      </c>
      <c r="E7107" s="46">
        <f>IF(OR(B7107="",C7107="",D7107=""),"",D7107*100000+(C7107-DATE(2000,1,1))+ROW()/100000)</f>
        <v/>
      </c>
      <c r="F7107" s="46">
        <f>IF(E7107="","",IF(C7107&gt;WeekEndDate,"",E7107))</f>
        <v/>
      </c>
    </row>
    <row r="7108">
      <c r="A7108" t="inlineStr">
        <is>
          <t>Warranty &amp; Maintenance</t>
        </is>
      </c>
      <c r="B7108" s="46">
        <f>'Warranty &amp; Maintenance'!N73</f>
        <v/>
      </c>
      <c r="C7108" s="84">
        <f>'Warranty &amp; Maintenance'!L73</f>
        <v/>
      </c>
      <c r="D7108" s="46">
        <f>'Warranty &amp; Maintenance'!M73</f>
        <v/>
      </c>
      <c r="E7108" s="46">
        <f>IF(OR(B7108="",C7108="",D7108=""),"",D7108*100000+(C7108-DATE(2000,1,1))+ROW()/100000)</f>
        <v/>
      </c>
      <c r="F7108" s="46">
        <f>IF(E7108="","",IF(C7108&gt;WeekEndDate,"",E7108))</f>
        <v/>
      </c>
    </row>
    <row r="7109">
      <c r="A7109" t="inlineStr">
        <is>
          <t>Warranty &amp; Maintenance</t>
        </is>
      </c>
      <c r="B7109" s="46">
        <f>'Warranty &amp; Maintenance'!N74</f>
        <v/>
      </c>
      <c r="C7109" s="84">
        <f>'Warranty &amp; Maintenance'!L74</f>
        <v/>
      </c>
      <c r="D7109" s="46">
        <f>'Warranty &amp; Maintenance'!M74</f>
        <v/>
      </c>
      <c r="E7109" s="46">
        <f>IF(OR(B7109="",C7109="",D7109=""),"",D7109*100000+(C7109-DATE(2000,1,1))+ROW()/100000)</f>
        <v/>
      </c>
      <c r="F7109" s="46">
        <f>IF(E7109="","",IF(C7109&gt;WeekEndDate,"",E7109))</f>
        <v/>
      </c>
    </row>
    <row r="7110">
      <c r="A7110" t="inlineStr">
        <is>
          <t>Warranty &amp; Maintenance</t>
        </is>
      </c>
      <c r="B7110" s="46">
        <f>'Warranty &amp; Maintenance'!N75</f>
        <v/>
      </c>
      <c r="C7110" s="84">
        <f>'Warranty &amp; Maintenance'!L75</f>
        <v/>
      </c>
      <c r="D7110" s="46">
        <f>'Warranty &amp; Maintenance'!M75</f>
        <v/>
      </c>
      <c r="E7110" s="46">
        <f>IF(OR(B7110="",C7110="",D7110=""),"",D7110*100000+(C7110-DATE(2000,1,1))+ROW()/100000)</f>
        <v/>
      </c>
      <c r="F7110" s="46">
        <f>IF(E7110="","",IF(C7110&gt;WeekEndDate,"",E7110))</f>
        <v/>
      </c>
    </row>
    <row r="7111">
      <c r="A7111" t="inlineStr">
        <is>
          <t>Warranty &amp; Maintenance</t>
        </is>
      </c>
      <c r="B7111" s="46">
        <f>'Warranty &amp; Maintenance'!N76</f>
        <v/>
      </c>
      <c r="C7111" s="84">
        <f>'Warranty &amp; Maintenance'!L76</f>
        <v/>
      </c>
      <c r="D7111" s="46">
        <f>'Warranty &amp; Maintenance'!M76</f>
        <v/>
      </c>
      <c r="E7111" s="46">
        <f>IF(OR(B7111="",C7111="",D7111=""),"",D7111*100000+(C7111-DATE(2000,1,1))+ROW()/100000)</f>
        <v/>
      </c>
      <c r="F7111" s="46">
        <f>IF(E7111="","",IF(C7111&gt;WeekEndDate,"",E7111))</f>
        <v/>
      </c>
    </row>
    <row r="7112">
      <c r="A7112" t="inlineStr">
        <is>
          <t>Warranty &amp; Maintenance</t>
        </is>
      </c>
      <c r="B7112" s="46">
        <f>'Warranty &amp; Maintenance'!N77</f>
        <v/>
      </c>
      <c r="C7112" s="84">
        <f>'Warranty &amp; Maintenance'!L77</f>
        <v/>
      </c>
      <c r="D7112" s="46">
        <f>'Warranty &amp; Maintenance'!M77</f>
        <v/>
      </c>
      <c r="E7112" s="46">
        <f>IF(OR(B7112="",C7112="",D7112=""),"",D7112*100000+(C7112-DATE(2000,1,1))+ROW()/100000)</f>
        <v/>
      </c>
      <c r="F7112" s="46">
        <f>IF(E7112="","",IF(C7112&gt;WeekEndDate,"",E7112))</f>
        <v/>
      </c>
    </row>
    <row r="7113">
      <c r="A7113" t="inlineStr">
        <is>
          <t>Warranty &amp; Maintenance</t>
        </is>
      </c>
      <c r="B7113" s="46">
        <f>'Warranty &amp; Maintenance'!N78</f>
        <v/>
      </c>
      <c r="C7113" s="84">
        <f>'Warranty &amp; Maintenance'!L78</f>
        <v/>
      </c>
      <c r="D7113" s="46">
        <f>'Warranty &amp; Maintenance'!M78</f>
        <v/>
      </c>
      <c r="E7113" s="46">
        <f>IF(OR(B7113="",C7113="",D7113=""),"",D7113*100000+(C7113-DATE(2000,1,1))+ROW()/100000)</f>
        <v/>
      </c>
      <c r="F7113" s="46">
        <f>IF(E7113="","",IF(C7113&gt;WeekEndDate,"",E7113))</f>
        <v/>
      </c>
    </row>
    <row r="7114">
      <c r="A7114" t="inlineStr">
        <is>
          <t>Warranty &amp; Maintenance</t>
        </is>
      </c>
      <c r="B7114" s="46">
        <f>'Warranty &amp; Maintenance'!N79</f>
        <v/>
      </c>
      <c r="C7114" s="84">
        <f>'Warranty &amp; Maintenance'!L79</f>
        <v/>
      </c>
      <c r="D7114" s="46">
        <f>'Warranty &amp; Maintenance'!M79</f>
        <v/>
      </c>
      <c r="E7114" s="46">
        <f>IF(OR(B7114="",C7114="",D7114=""),"",D7114*100000+(C7114-DATE(2000,1,1))+ROW()/100000)</f>
        <v/>
      </c>
      <c r="F7114" s="46">
        <f>IF(E7114="","",IF(C7114&gt;WeekEndDate,"",E7114))</f>
        <v/>
      </c>
    </row>
    <row r="7115">
      <c r="A7115" t="inlineStr">
        <is>
          <t>Warranty &amp; Maintenance</t>
        </is>
      </c>
      <c r="B7115" s="46">
        <f>'Warranty &amp; Maintenance'!N80</f>
        <v/>
      </c>
      <c r="C7115" s="84">
        <f>'Warranty &amp; Maintenance'!L80</f>
        <v/>
      </c>
      <c r="D7115" s="46">
        <f>'Warranty &amp; Maintenance'!M80</f>
        <v/>
      </c>
      <c r="E7115" s="46">
        <f>IF(OR(B7115="",C7115="",D7115=""),"",D7115*100000+(C7115-DATE(2000,1,1))+ROW()/100000)</f>
        <v/>
      </c>
      <c r="F7115" s="46">
        <f>IF(E7115="","",IF(C7115&gt;WeekEndDate,"",E7115))</f>
        <v/>
      </c>
    </row>
    <row r="7116">
      <c r="A7116" t="inlineStr">
        <is>
          <t>Warranty &amp; Maintenance</t>
        </is>
      </c>
      <c r="B7116" s="46">
        <f>'Warranty &amp; Maintenance'!N81</f>
        <v/>
      </c>
      <c r="C7116" s="84">
        <f>'Warranty &amp; Maintenance'!L81</f>
        <v/>
      </c>
      <c r="D7116" s="46">
        <f>'Warranty &amp; Maintenance'!M81</f>
        <v/>
      </c>
      <c r="E7116" s="46">
        <f>IF(OR(B7116="",C7116="",D7116=""),"",D7116*100000+(C7116-DATE(2000,1,1))+ROW()/100000)</f>
        <v/>
      </c>
      <c r="F7116" s="46">
        <f>IF(E7116="","",IF(C7116&gt;WeekEndDate,"",E7116))</f>
        <v/>
      </c>
    </row>
    <row r="7117">
      <c r="A7117" t="inlineStr">
        <is>
          <t>Warranty &amp; Maintenance</t>
        </is>
      </c>
      <c r="B7117" s="46">
        <f>'Warranty &amp; Maintenance'!N82</f>
        <v/>
      </c>
      <c r="C7117" s="84">
        <f>'Warranty &amp; Maintenance'!L82</f>
        <v/>
      </c>
      <c r="D7117" s="46">
        <f>'Warranty &amp; Maintenance'!M82</f>
        <v/>
      </c>
      <c r="E7117" s="46">
        <f>IF(OR(B7117="",C7117="",D7117=""),"",D7117*100000+(C7117-DATE(2000,1,1))+ROW()/100000)</f>
        <v/>
      </c>
      <c r="F7117" s="46">
        <f>IF(E7117="","",IF(C7117&gt;WeekEndDate,"",E7117))</f>
        <v/>
      </c>
    </row>
    <row r="7118">
      <c r="A7118" t="inlineStr">
        <is>
          <t>Warranty &amp; Maintenance</t>
        </is>
      </c>
      <c r="B7118" s="46">
        <f>'Warranty &amp; Maintenance'!N83</f>
        <v/>
      </c>
      <c r="C7118" s="84">
        <f>'Warranty &amp; Maintenance'!L83</f>
        <v/>
      </c>
      <c r="D7118" s="46">
        <f>'Warranty &amp; Maintenance'!M83</f>
        <v/>
      </c>
      <c r="E7118" s="46">
        <f>IF(OR(B7118="",C7118="",D7118=""),"",D7118*100000+(C7118-DATE(2000,1,1))+ROW()/100000)</f>
        <v/>
      </c>
      <c r="F7118" s="46">
        <f>IF(E7118="","",IF(C7118&gt;WeekEndDate,"",E7118))</f>
        <v/>
      </c>
    </row>
    <row r="7119">
      <c r="A7119" t="inlineStr">
        <is>
          <t>Warranty &amp; Maintenance</t>
        </is>
      </c>
      <c r="B7119" s="46">
        <f>'Warranty &amp; Maintenance'!N84</f>
        <v/>
      </c>
      <c r="C7119" s="84">
        <f>'Warranty &amp; Maintenance'!L84</f>
        <v/>
      </c>
      <c r="D7119" s="46">
        <f>'Warranty &amp; Maintenance'!M84</f>
        <v/>
      </c>
      <c r="E7119" s="46">
        <f>IF(OR(B7119="",C7119="",D7119=""),"",D7119*100000+(C7119-DATE(2000,1,1))+ROW()/100000)</f>
        <v/>
      </c>
      <c r="F7119" s="46">
        <f>IF(E7119="","",IF(C7119&gt;WeekEndDate,"",E7119))</f>
        <v/>
      </c>
    </row>
    <row r="7120">
      <c r="A7120" t="inlineStr">
        <is>
          <t>Warranty &amp; Maintenance</t>
        </is>
      </c>
      <c r="B7120" s="46">
        <f>'Warranty &amp; Maintenance'!N85</f>
        <v/>
      </c>
      <c r="C7120" s="84">
        <f>'Warranty &amp; Maintenance'!L85</f>
        <v/>
      </c>
      <c r="D7120" s="46">
        <f>'Warranty &amp; Maintenance'!M85</f>
        <v/>
      </c>
      <c r="E7120" s="46">
        <f>IF(OR(B7120="",C7120="",D7120=""),"",D7120*100000+(C7120-DATE(2000,1,1))+ROW()/100000)</f>
        <v/>
      </c>
      <c r="F7120" s="46">
        <f>IF(E7120="","",IF(C7120&gt;WeekEndDate,"",E7120))</f>
        <v/>
      </c>
    </row>
    <row r="7121">
      <c r="A7121" t="inlineStr">
        <is>
          <t>Warranty &amp; Maintenance</t>
        </is>
      </c>
      <c r="B7121" s="46">
        <f>'Warranty &amp; Maintenance'!N86</f>
        <v/>
      </c>
      <c r="C7121" s="84">
        <f>'Warranty &amp; Maintenance'!L86</f>
        <v/>
      </c>
      <c r="D7121" s="46">
        <f>'Warranty &amp; Maintenance'!M86</f>
        <v/>
      </c>
      <c r="E7121" s="46">
        <f>IF(OR(B7121="",C7121="",D7121=""),"",D7121*100000+(C7121-DATE(2000,1,1))+ROW()/100000)</f>
        <v/>
      </c>
      <c r="F7121" s="46">
        <f>IF(E7121="","",IF(C7121&gt;WeekEndDate,"",E7121))</f>
        <v/>
      </c>
    </row>
    <row r="7122">
      <c r="A7122" t="inlineStr">
        <is>
          <t>Warranty &amp; Maintenance</t>
        </is>
      </c>
      <c r="B7122" s="46">
        <f>'Warranty &amp; Maintenance'!N87</f>
        <v/>
      </c>
      <c r="C7122" s="84">
        <f>'Warranty &amp; Maintenance'!L87</f>
        <v/>
      </c>
      <c r="D7122" s="46">
        <f>'Warranty &amp; Maintenance'!M87</f>
        <v/>
      </c>
      <c r="E7122" s="46">
        <f>IF(OR(B7122="",C7122="",D7122=""),"",D7122*100000+(C7122-DATE(2000,1,1))+ROW()/100000)</f>
        <v/>
      </c>
      <c r="F7122" s="46">
        <f>IF(E7122="","",IF(C7122&gt;WeekEndDate,"",E7122))</f>
        <v/>
      </c>
    </row>
    <row r="7123">
      <c r="A7123" t="inlineStr">
        <is>
          <t>Warranty &amp; Maintenance</t>
        </is>
      </c>
      <c r="B7123" s="46">
        <f>'Warranty &amp; Maintenance'!N88</f>
        <v/>
      </c>
      <c r="C7123" s="84">
        <f>'Warranty &amp; Maintenance'!L88</f>
        <v/>
      </c>
      <c r="D7123" s="46">
        <f>'Warranty &amp; Maintenance'!M88</f>
        <v/>
      </c>
      <c r="E7123" s="46">
        <f>IF(OR(B7123="",C7123="",D7123=""),"",D7123*100000+(C7123-DATE(2000,1,1))+ROW()/100000)</f>
        <v/>
      </c>
      <c r="F7123" s="46">
        <f>IF(E7123="","",IF(C7123&gt;WeekEndDate,"",E7123))</f>
        <v/>
      </c>
    </row>
    <row r="7124">
      <c r="A7124" t="inlineStr">
        <is>
          <t>Warranty &amp; Maintenance</t>
        </is>
      </c>
      <c r="B7124" s="46">
        <f>'Warranty &amp; Maintenance'!N89</f>
        <v/>
      </c>
      <c r="C7124" s="84">
        <f>'Warranty &amp; Maintenance'!L89</f>
        <v/>
      </c>
      <c r="D7124" s="46">
        <f>'Warranty &amp; Maintenance'!M89</f>
        <v/>
      </c>
      <c r="E7124" s="46">
        <f>IF(OR(B7124="",C7124="",D7124=""),"",D7124*100000+(C7124-DATE(2000,1,1))+ROW()/100000)</f>
        <v/>
      </c>
      <c r="F7124" s="46">
        <f>IF(E7124="","",IF(C7124&gt;WeekEndDate,"",E7124))</f>
        <v/>
      </c>
    </row>
    <row r="7125">
      <c r="A7125" t="inlineStr">
        <is>
          <t>Warranty &amp; Maintenance</t>
        </is>
      </c>
      <c r="B7125" s="46">
        <f>'Warranty &amp; Maintenance'!N90</f>
        <v/>
      </c>
      <c r="C7125" s="84">
        <f>'Warranty &amp; Maintenance'!L90</f>
        <v/>
      </c>
      <c r="D7125" s="46">
        <f>'Warranty &amp; Maintenance'!M90</f>
        <v/>
      </c>
      <c r="E7125" s="46">
        <f>IF(OR(B7125="",C7125="",D7125=""),"",D7125*100000+(C7125-DATE(2000,1,1))+ROW()/100000)</f>
        <v/>
      </c>
      <c r="F7125" s="46">
        <f>IF(E7125="","",IF(C7125&gt;WeekEndDate,"",E7125))</f>
        <v/>
      </c>
    </row>
    <row r="7126">
      <c r="A7126" t="inlineStr">
        <is>
          <t>Warranty &amp; Maintenance</t>
        </is>
      </c>
      <c r="B7126" s="46">
        <f>'Warranty &amp; Maintenance'!N91</f>
        <v/>
      </c>
      <c r="C7126" s="84">
        <f>'Warranty &amp; Maintenance'!L91</f>
        <v/>
      </c>
      <c r="D7126" s="46">
        <f>'Warranty &amp; Maintenance'!M91</f>
        <v/>
      </c>
      <c r="E7126" s="46">
        <f>IF(OR(B7126="",C7126="",D7126=""),"",D7126*100000+(C7126-DATE(2000,1,1))+ROW()/100000)</f>
        <v/>
      </c>
      <c r="F7126" s="46">
        <f>IF(E7126="","",IF(C7126&gt;WeekEndDate,"",E7126))</f>
        <v/>
      </c>
    </row>
    <row r="7127">
      <c r="A7127" t="inlineStr">
        <is>
          <t>Warranty &amp; Maintenance</t>
        </is>
      </c>
      <c r="B7127" s="46">
        <f>'Warranty &amp; Maintenance'!N92</f>
        <v/>
      </c>
      <c r="C7127" s="84">
        <f>'Warranty &amp; Maintenance'!L92</f>
        <v/>
      </c>
      <c r="D7127" s="46">
        <f>'Warranty &amp; Maintenance'!M92</f>
        <v/>
      </c>
      <c r="E7127" s="46">
        <f>IF(OR(B7127="",C7127="",D7127=""),"",D7127*100000+(C7127-DATE(2000,1,1))+ROW()/100000)</f>
        <v/>
      </c>
      <c r="F7127" s="46">
        <f>IF(E7127="","",IF(C7127&gt;WeekEndDate,"",E7127))</f>
        <v/>
      </c>
    </row>
    <row r="7128">
      <c r="A7128" t="inlineStr">
        <is>
          <t>Warranty &amp; Maintenance</t>
        </is>
      </c>
      <c r="B7128" s="46">
        <f>'Warranty &amp; Maintenance'!N93</f>
        <v/>
      </c>
      <c r="C7128" s="84">
        <f>'Warranty &amp; Maintenance'!L93</f>
        <v/>
      </c>
      <c r="D7128" s="46">
        <f>'Warranty &amp; Maintenance'!M93</f>
        <v/>
      </c>
      <c r="E7128" s="46">
        <f>IF(OR(B7128="",C7128="",D7128=""),"",D7128*100000+(C7128-DATE(2000,1,1))+ROW()/100000)</f>
        <v/>
      </c>
      <c r="F7128" s="46">
        <f>IF(E7128="","",IF(C7128&gt;WeekEndDate,"",E7128))</f>
        <v/>
      </c>
    </row>
    <row r="7129">
      <c r="A7129" t="inlineStr">
        <is>
          <t>Warranty &amp; Maintenance</t>
        </is>
      </c>
      <c r="B7129" s="46">
        <f>'Warranty &amp; Maintenance'!N94</f>
        <v/>
      </c>
      <c r="C7129" s="84">
        <f>'Warranty &amp; Maintenance'!L94</f>
        <v/>
      </c>
      <c r="D7129" s="46">
        <f>'Warranty &amp; Maintenance'!M94</f>
        <v/>
      </c>
      <c r="E7129" s="46">
        <f>IF(OR(B7129="",C7129="",D7129=""),"",D7129*100000+(C7129-DATE(2000,1,1))+ROW()/100000)</f>
        <v/>
      </c>
      <c r="F7129" s="46">
        <f>IF(E7129="","",IF(C7129&gt;WeekEndDate,"",E7129))</f>
        <v/>
      </c>
    </row>
    <row r="7130">
      <c r="A7130" t="inlineStr">
        <is>
          <t>Warranty &amp; Maintenance</t>
        </is>
      </c>
      <c r="B7130" s="46">
        <f>'Warranty &amp; Maintenance'!N95</f>
        <v/>
      </c>
      <c r="C7130" s="84">
        <f>'Warranty &amp; Maintenance'!L95</f>
        <v/>
      </c>
      <c r="D7130" s="46">
        <f>'Warranty &amp; Maintenance'!M95</f>
        <v/>
      </c>
      <c r="E7130" s="46">
        <f>IF(OR(B7130="",C7130="",D7130=""),"",D7130*100000+(C7130-DATE(2000,1,1))+ROW()/100000)</f>
        <v/>
      </c>
      <c r="F7130" s="46">
        <f>IF(E7130="","",IF(C7130&gt;WeekEndDate,"",E7130))</f>
        <v/>
      </c>
    </row>
    <row r="7131">
      <c r="A7131" t="inlineStr">
        <is>
          <t>Warranty &amp; Maintenance</t>
        </is>
      </c>
      <c r="B7131" s="46">
        <f>'Warranty &amp; Maintenance'!N96</f>
        <v/>
      </c>
      <c r="C7131" s="84">
        <f>'Warranty &amp; Maintenance'!L96</f>
        <v/>
      </c>
      <c r="D7131" s="46">
        <f>'Warranty &amp; Maintenance'!M96</f>
        <v/>
      </c>
      <c r="E7131" s="46">
        <f>IF(OR(B7131="",C7131="",D7131=""),"",D7131*100000+(C7131-DATE(2000,1,1))+ROW()/100000)</f>
        <v/>
      </c>
      <c r="F7131" s="46">
        <f>IF(E7131="","",IF(C7131&gt;WeekEndDate,"",E7131))</f>
        <v/>
      </c>
    </row>
    <row r="7132">
      <c r="A7132" t="inlineStr">
        <is>
          <t>Warranty &amp; Maintenance</t>
        </is>
      </c>
      <c r="B7132" s="46">
        <f>'Warranty &amp; Maintenance'!N97</f>
        <v/>
      </c>
      <c r="C7132" s="84">
        <f>'Warranty &amp; Maintenance'!L97</f>
        <v/>
      </c>
      <c r="D7132" s="46">
        <f>'Warranty &amp; Maintenance'!M97</f>
        <v/>
      </c>
      <c r="E7132" s="46">
        <f>IF(OR(B7132="",C7132="",D7132=""),"",D7132*100000+(C7132-DATE(2000,1,1))+ROW()/100000)</f>
        <v/>
      </c>
      <c r="F7132" s="46">
        <f>IF(E7132="","",IF(C7132&gt;WeekEndDate,"",E7132))</f>
        <v/>
      </c>
    </row>
    <row r="7133">
      <c r="A7133" t="inlineStr">
        <is>
          <t>Warranty &amp; Maintenance</t>
        </is>
      </c>
      <c r="B7133" s="46">
        <f>'Warranty &amp; Maintenance'!N98</f>
        <v/>
      </c>
      <c r="C7133" s="84">
        <f>'Warranty &amp; Maintenance'!L98</f>
        <v/>
      </c>
      <c r="D7133" s="46">
        <f>'Warranty &amp; Maintenance'!M98</f>
        <v/>
      </c>
      <c r="E7133" s="46">
        <f>IF(OR(B7133="",C7133="",D7133=""),"",D7133*100000+(C7133-DATE(2000,1,1))+ROW()/100000)</f>
        <v/>
      </c>
      <c r="F7133" s="46">
        <f>IF(E7133="","",IF(C7133&gt;WeekEndDate,"",E7133))</f>
        <v/>
      </c>
    </row>
    <row r="7134">
      <c r="A7134" t="inlineStr">
        <is>
          <t>Warranty &amp; Maintenance</t>
        </is>
      </c>
      <c r="B7134" s="46">
        <f>'Warranty &amp; Maintenance'!N99</f>
        <v/>
      </c>
      <c r="C7134" s="84">
        <f>'Warranty &amp; Maintenance'!L99</f>
        <v/>
      </c>
      <c r="D7134" s="46">
        <f>'Warranty &amp; Maintenance'!M99</f>
        <v/>
      </c>
      <c r="E7134" s="46">
        <f>IF(OR(B7134="",C7134="",D7134=""),"",D7134*100000+(C7134-DATE(2000,1,1))+ROW()/100000)</f>
        <v/>
      </c>
      <c r="F7134" s="46">
        <f>IF(E7134="","",IF(C7134&gt;WeekEndDate,"",E7134))</f>
        <v/>
      </c>
    </row>
    <row r="7135">
      <c r="A7135" t="inlineStr">
        <is>
          <t>Warranty &amp; Maintenance</t>
        </is>
      </c>
      <c r="B7135" s="46">
        <f>'Warranty &amp; Maintenance'!N100</f>
        <v/>
      </c>
      <c r="C7135" s="84">
        <f>'Warranty &amp; Maintenance'!L100</f>
        <v/>
      </c>
      <c r="D7135" s="46">
        <f>'Warranty &amp; Maintenance'!M100</f>
        <v/>
      </c>
      <c r="E7135" s="46">
        <f>IF(OR(B7135="",C7135="",D7135=""),"",D7135*100000+(C7135-DATE(2000,1,1))+ROW()/100000)</f>
        <v/>
      </c>
      <c r="F7135" s="46">
        <f>IF(E7135="","",IF(C7135&gt;WeekEndDate,"",E7135))</f>
        <v/>
      </c>
    </row>
    <row r="7136">
      <c r="A7136" t="inlineStr">
        <is>
          <t>Warranty &amp; Maintenance</t>
        </is>
      </c>
      <c r="B7136" s="46">
        <f>'Warranty &amp; Maintenance'!N101</f>
        <v/>
      </c>
      <c r="C7136" s="84">
        <f>'Warranty &amp; Maintenance'!L101</f>
        <v/>
      </c>
      <c r="D7136" s="46">
        <f>'Warranty &amp; Maintenance'!M101</f>
        <v/>
      </c>
      <c r="E7136" s="46">
        <f>IF(OR(B7136="",C7136="",D7136=""),"",D7136*100000+(C7136-DATE(2000,1,1))+ROW()/100000)</f>
        <v/>
      </c>
      <c r="F7136" s="46">
        <f>IF(E7136="","",IF(C7136&gt;WeekEndDate,"",E7136))</f>
        <v/>
      </c>
    </row>
    <row r="7137">
      <c r="A7137" t="inlineStr">
        <is>
          <t>Warranty &amp; Maintenance</t>
        </is>
      </c>
      <c r="B7137" s="46">
        <f>'Warranty &amp; Maintenance'!N102</f>
        <v/>
      </c>
      <c r="C7137" s="84">
        <f>'Warranty &amp; Maintenance'!L102</f>
        <v/>
      </c>
      <c r="D7137" s="46">
        <f>'Warranty &amp; Maintenance'!M102</f>
        <v/>
      </c>
      <c r="E7137" s="46">
        <f>IF(OR(B7137="",C7137="",D7137=""),"",D7137*100000+(C7137-DATE(2000,1,1))+ROW()/100000)</f>
        <v/>
      </c>
      <c r="F7137" s="46">
        <f>IF(E7137="","",IF(C7137&gt;WeekEndDate,"",E7137))</f>
        <v/>
      </c>
    </row>
    <row r="7138">
      <c r="A7138" t="inlineStr">
        <is>
          <t>Warranty &amp; Maintenance</t>
        </is>
      </c>
      <c r="B7138" s="46">
        <f>'Warranty &amp; Maintenance'!N103</f>
        <v/>
      </c>
      <c r="C7138" s="84">
        <f>'Warranty &amp; Maintenance'!L103</f>
        <v/>
      </c>
      <c r="D7138" s="46">
        <f>'Warranty &amp; Maintenance'!M103</f>
        <v/>
      </c>
      <c r="E7138" s="46">
        <f>IF(OR(B7138="",C7138="",D7138=""),"",D7138*100000+(C7138-DATE(2000,1,1))+ROW()/100000)</f>
        <v/>
      </c>
      <c r="F7138" s="46">
        <f>IF(E7138="","",IF(C7138&gt;WeekEndDate,"",E7138))</f>
        <v/>
      </c>
    </row>
    <row r="7139">
      <c r="A7139" t="inlineStr">
        <is>
          <t>Warranty &amp; Maintenance</t>
        </is>
      </c>
      <c r="B7139" s="46">
        <f>'Warranty &amp; Maintenance'!N104</f>
        <v/>
      </c>
      <c r="C7139" s="84">
        <f>'Warranty &amp; Maintenance'!L104</f>
        <v/>
      </c>
      <c r="D7139" s="46">
        <f>'Warranty &amp; Maintenance'!M104</f>
        <v/>
      </c>
      <c r="E7139" s="46">
        <f>IF(OR(B7139="",C7139="",D7139=""),"",D7139*100000+(C7139-DATE(2000,1,1))+ROW()/100000)</f>
        <v/>
      </c>
      <c r="F7139" s="46">
        <f>IF(E7139="","",IF(C7139&gt;WeekEndDate,"",E7139))</f>
        <v/>
      </c>
    </row>
    <row r="7140">
      <c r="A7140" t="inlineStr">
        <is>
          <t>Warranty &amp; Maintenance</t>
        </is>
      </c>
      <c r="B7140" s="46">
        <f>'Warranty &amp; Maintenance'!N105</f>
        <v/>
      </c>
      <c r="C7140" s="84">
        <f>'Warranty &amp; Maintenance'!L105</f>
        <v/>
      </c>
      <c r="D7140" s="46">
        <f>'Warranty &amp; Maintenance'!M105</f>
        <v/>
      </c>
      <c r="E7140" s="46">
        <f>IF(OR(B7140="",C7140="",D7140=""),"",D7140*100000+(C7140-DATE(2000,1,1))+ROW()/100000)</f>
        <v/>
      </c>
      <c r="F7140" s="46">
        <f>IF(E7140="","",IF(C7140&gt;WeekEndDate,"",E7140))</f>
        <v/>
      </c>
    </row>
    <row r="7141">
      <c r="A7141" t="inlineStr">
        <is>
          <t>Warranty &amp; Maintenance</t>
        </is>
      </c>
      <c r="B7141" s="46">
        <f>'Warranty &amp; Maintenance'!N106</f>
        <v/>
      </c>
      <c r="C7141" s="84">
        <f>'Warranty &amp; Maintenance'!L106</f>
        <v/>
      </c>
      <c r="D7141" s="46">
        <f>'Warranty &amp; Maintenance'!M106</f>
        <v/>
      </c>
      <c r="E7141" s="46">
        <f>IF(OR(B7141="",C7141="",D7141=""),"",D7141*100000+(C7141-DATE(2000,1,1))+ROW()/100000)</f>
        <v/>
      </c>
      <c r="F7141" s="46">
        <f>IF(E7141="","",IF(C7141&gt;WeekEndDate,"",E7141))</f>
        <v/>
      </c>
    </row>
    <row r="7142">
      <c r="A7142" t="inlineStr">
        <is>
          <t>Warranty &amp; Maintenance</t>
        </is>
      </c>
      <c r="B7142" s="46">
        <f>'Warranty &amp; Maintenance'!N107</f>
        <v/>
      </c>
      <c r="C7142" s="84">
        <f>'Warranty &amp; Maintenance'!L107</f>
        <v/>
      </c>
      <c r="D7142" s="46">
        <f>'Warranty &amp; Maintenance'!M107</f>
        <v/>
      </c>
      <c r="E7142" s="46">
        <f>IF(OR(B7142="",C7142="",D7142=""),"",D7142*100000+(C7142-DATE(2000,1,1))+ROW()/100000)</f>
        <v/>
      </c>
      <c r="F7142" s="46">
        <f>IF(E7142="","",IF(C7142&gt;WeekEndDate,"",E7142))</f>
        <v/>
      </c>
    </row>
    <row r="7143">
      <c r="A7143" t="inlineStr">
        <is>
          <t>Warranty &amp; Maintenance</t>
        </is>
      </c>
      <c r="B7143" s="46">
        <f>'Warranty &amp; Maintenance'!N108</f>
        <v/>
      </c>
      <c r="C7143" s="84">
        <f>'Warranty &amp; Maintenance'!L108</f>
        <v/>
      </c>
      <c r="D7143" s="46">
        <f>'Warranty &amp; Maintenance'!M108</f>
        <v/>
      </c>
      <c r="E7143" s="46">
        <f>IF(OR(B7143="",C7143="",D7143=""),"",D7143*100000+(C7143-DATE(2000,1,1))+ROW()/100000)</f>
        <v/>
      </c>
      <c r="F7143" s="46">
        <f>IF(E7143="","",IF(C7143&gt;WeekEndDate,"",E7143))</f>
        <v/>
      </c>
    </row>
    <row r="7144">
      <c r="A7144" t="inlineStr">
        <is>
          <t>Warranty &amp; Maintenance</t>
        </is>
      </c>
      <c r="B7144" s="46">
        <f>'Warranty &amp; Maintenance'!N109</f>
        <v/>
      </c>
      <c r="C7144" s="84">
        <f>'Warranty &amp; Maintenance'!L109</f>
        <v/>
      </c>
      <c r="D7144" s="46">
        <f>'Warranty &amp; Maintenance'!M109</f>
        <v/>
      </c>
      <c r="E7144" s="46">
        <f>IF(OR(B7144="",C7144="",D7144=""),"",D7144*100000+(C7144-DATE(2000,1,1))+ROW()/100000)</f>
        <v/>
      </c>
      <c r="F7144" s="46">
        <f>IF(E7144="","",IF(C7144&gt;WeekEndDate,"",E7144))</f>
        <v/>
      </c>
    </row>
    <row r="7145">
      <c r="A7145" t="inlineStr">
        <is>
          <t>Warranty &amp; Maintenance</t>
        </is>
      </c>
      <c r="B7145" s="46">
        <f>'Warranty &amp; Maintenance'!N110</f>
        <v/>
      </c>
      <c r="C7145" s="84">
        <f>'Warranty &amp; Maintenance'!L110</f>
        <v/>
      </c>
      <c r="D7145" s="46">
        <f>'Warranty &amp; Maintenance'!M110</f>
        <v/>
      </c>
      <c r="E7145" s="46">
        <f>IF(OR(B7145="",C7145="",D7145=""),"",D7145*100000+(C7145-DATE(2000,1,1))+ROW()/100000)</f>
        <v/>
      </c>
      <c r="F7145" s="46">
        <f>IF(E7145="","",IF(C7145&gt;WeekEndDate,"",E7145))</f>
        <v/>
      </c>
    </row>
    <row r="7146">
      <c r="A7146" t="inlineStr">
        <is>
          <t>Warranty &amp; Maintenance</t>
        </is>
      </c>
      <c r="B7146" s="46">
        <f>'Warranty &amp; Maintenance'!N111</f>
        <v/>
      </c>
      <c r="C7146" s="84">
        <f>'Warranty &amp; Maintenance'!L111</f>
        <v/>
      </c>
      <c r="D7146" s="46">
        <f>'Warranty &amp; Maintenance'!M111</f>
        <v/>
      </c>
      <c r="E7146" s="46">
        <f>IF(OR(B7146="",C7146="",D7146=""),"",D7146*100000+(C7146-DATE(2000,1,1))+ROW()/100000)</f>
        <v/>
      </c>
      <c r="F7146" s="46">
        <f>IF(E7146="","",IF(C7146&gt;WeekEndDate,"",E7146))</f>
        <v/>
      </c>
    </row>
    <row r="7147">
      <c r="A7147" t="inlineStr">
        <is>
          <t>Warranty &amp; Maintenance</t>
        </is>
      </c>
      <c r="B7147" s="46">
        <f>'Warranty &amp; Maintenance'!N112</f>
        <v/>
      </c>
      <c r="C7147" s="84">
        <f>'Warranty &amp; Maintenance'!L112</f>
        <v/>
      </c>
      <c r="D7147" s="46">
        <f>'Warranty &amp; Maintenance'!M112</f>
        <v/>
      </c>
      <c r="E7147" s="46">
        <f>IF(OR(B7147="",C7147="",D7147=""),"",D7147*100000+(C7147-DATE(2000,1,1))+ROW()/100000)</f>
        <v/>
      </c>
      <c r="F7147" s="46">
        <f>IF(E7147="","",IF(C7147&gt;WeekEndDate,"",E7147))</f>
        <v/>
      </c>
    </row>
    <row r="7148">
      <c r="A7148" t="inlineStr">
        <is>
          <t>Warranty &amp; Maintenance</t>
        </is>
      </c>
      <c r="B7148" s="46">
        <f>'Warranty &amp; Maintenance'!N113</f>
        <v/>
      </c>
      <c r="C7148" s="84">
        <f>'Warranty &amp; Maintenance'!L113</f>
        <v/>
      </c>
      <c r="D7148" s="46">
        <f>'Warranty &amp; Maintenance'!M113</f>
        <v/>
      </c>
      <c r="E7148" s="46">
        <f>IF(OR(B7148="",C7148="",D7148=""),"",D7148*100000+(C7148-DATE(2000,1,1))+ROW()/100000)</f>
        <v/>
      </c>
      <c r="F7148" s="46">
        <f>IF(E7148="","",IF(C7148&gt;WeekEndDate,"",E7148))</f>
        <v/>
      </c>
    </row>
    <row r="7149">
      <c r="A7149" t="inlineStr">
        <is>
          <t>Warranty &amp; Maintenance</t>
        </is>
      </c>
      <c r="B7149" s="46">
        <f>'Warranty &amp; Maintenance'!N114</f>
        <v/>
      </c>
      <c r="C7149" s="84">
        <f>'Warranty &amp; Maintenance'!L114</f>
        <v/>
      </c>
      <c r="D7149" s="46">
        <f>'Warranty &amp; Maintenance'!M114</f>
        <v/>
      </c>
      <c r="E7149" s="46">
        <f>IF(OR(B7149="",C7149="",D7149=""),"",D7149*100000+(C7149-DATE(2000,1,1))+ROW()/100000)</f>
        <v/>
      </c>
      <c r="F7149" s="46">
        <f>IF(E7149="","",IF(C7149&gt;WeekEndDate,"",E7149))</f>
        <v/>
      </c>
    </row>
    <row r="7150">
      <c r="A7150" t="inlineStr">
        <is>
          <t>Warranty &amp; Maintenance</t>
        </is>
      </c>
      <c r="B7150" s="46">
        <f>'Warranty &amp; Maintenance'!N115</f>
        <v/>
      </c>
      <c r="C7150" s="84">
        <f>'Warranty &amp; Maintenance'!L115</f>
        <v/>
      </c>
      <c r="D7150" s="46">
        <f>'Warranty &amp; Maintenance'!M115</f>
        <v/>
      </c>
      <c r="E7150" s="46">
        <f>IF(OR(B7150="",C7150="",D7150=""),"",D7150*100000+(C7150-DATE(2000,1,1))+ROW()/100000)</f>
        <v/>
      </c>
      <c r="F7150" s="46">
        <f>IF(E7150="","",IF(C7150&gt;WeekEndDate,"",E7150))</f>
        <v/>
      </c>
    </row>
    <row r="7151">
      <c r="A7151" t="inlineStr">
        <is>
          <t>Warranty &amp; Maintenance</t>
        </is>
      </c>
      <c r="B7151" s="46">
        <f>'Warranty &amp; Maintenance'!N116</f>
        <v/>
      </c>
      <c r="C7151" s="84">
        <f>'Warranty &amp; Maintenance'!L116</f>
        <v/>
      </c>
      <c r="D7151" s="46">
        <f>'Warranty &amp; Maintenance'!M116</f>
        <v/>
      </c>
      <c r="E7151" s="46">
        <f>IF(OR(B7151="",C7151="",D7151=""),"",D7151*100000+(C7151-DATE(2000,1,1))+ROW()/100000)</f>
        <v/>
      </c>
      <c r="F7151" s="46">
        <f>IF(E7151="","",IF(C7151&gt;WeekEndDate,"",E7151))</f>
        <v/>
      </c>
    </row>
    <row r="7152">
      <c r="A7152" t="inlineStr">
        <is>
          <t>Warranty &amp; Maintenance</t>
        </is>
      </c>
      <c r="B7152" s="46">
        <f>'Warranty &amp; Maintenance'!N117</f>
        <v/>
      </c>
      <c r="C7152" s="84">
        <f>'Warranty &amp; Maintenance'!L117</f>
        <v/>
      </c>
      <c r="D7152" s="46">
        <f>'Warranty &amp; Maintenance'!M117</f>
        <v/>
      </c>
      <c r="E7152" s="46">
        <f>IF(OR(B7152="",C7152="",D7152=""),"",D7152*100000+(C7152-DATE(2000,1,1))+ROW()/100000)</f>
        <v/>
      </c>
      <c r="F7152" s="46">
        <f>IF(E7152="","",IF(C7152&gt;WeekEndDate,"",E7152))</f>
        <v/>
      </c>
    </row>
    <row r="7153">
      <c r="A7153" t="inlineStr">
        <is>
          <t>Warranty &amp; Maintenance</t>
        </is>
      </c>
      <c r="B7153" s="46">
        <f>'Warranty &amp; Maintenance'!N118</f>
        <v/>
      </c>
      <c r="C7153" s="84">
        <f>'Warranty &amp; Maintenance'!L118</f>
        <v/>
      </c>
      <c r="D7153" s="46">
        <f>'Warranty &amp; Maintenance'!M118</f>
        <v/>
      </c>
      <c r="E7153" s="46">
        <f>IF(OR(B7153="",C7153="",D7153=""),"",D7153*100000+(C7153-DATE(2000,1,1))+ROW()/100000)</f>
        <v/>
      </c>
      <c r="F7153" s="46">
        <f>IF(E7153="","",IF(C7153&gt;WeekEndDate,"",E7153))</f>
        <v/>
      </c>
    </row>
    <row r="7154">
      <c r="A7154" t="inlineStr">
        <is>
          <t>Warranty &amp; Maintenance</t>
        </is>
      </c>
      <c r="B7154" s="46">
        <f>'Warranty &amp; Maintenance'!N119</f>
        <v/>
      </c>
      <c r="C7154" s="84">
        <f>'Warranty &amp; Maintenance'!L119</f>
        <v/>
      </c>
      <c r="D7154" s="46">
        <f>'Warranty &amp; Maintenance'!M119</f>
        <v/>
      </c>
      <c r="E7154" s="46">
        <f>IF(OR(B7154="",C7154="",D7154=""),"",D7154*100000+(C7154-DATE(2000,1,1))+ROW()/100000)</f>
        <v/>
      </c>
      <c r="F7154" s="46">
        <f>IF(E7154="","",IF(C7154&gt;WeekEndDate,"",E7154))</f>
        <v/>
      </c>
    </row>
    <row r="7155">
      <c r="A7155" t="inlineStr">
        <is>
          <t>Warranty &amp; Maintenance</t>
        </is>
      </c>
      <c r="B7155" s="46">
        <f>'Warranty &amp; Maintenance'!N120</f>
        <v/>
      </c>
      <c r="C7155" s="84">
        <f>'Warranty &amp; Maintenance'!L120</f>
        <v/>
      </c>
      <c r="D7155" s="46">
        <f>'Warranty &amp; Maintenance'!M120</f>
        <v/>
      </c>
      <c r="E7155" s="46">
        <f>IF(OR(B7155="",C7155="",D7155=""),"",D7155*100000+(C7155-DATE(2000,1,1))+ROW()/100000)</f>
        <v/>
      </c>
      <c r="F7155" s="46">
        <f>IF(E7155="","",IF(C7155&gt;WeekEndDate,"",E7155))</f>
        <v/>
      </c>
    </row>
    <row r="7156">
      <c r="A7156" t="inlineStr">
        <is>
          <t>Warranty &amp; Maintenance</t>
        </is>
      </c>
      <c r="B7156" s="46">
        <f>'Warranty &amp; Maintenance'!N121</f>
        <v/>
      </c>
      <c r="C7156" s="84">
        <f>'Warranty &amp; Maintenance'!L121</f>
        <v/>
      </c>
      <c r="D7156" s="46">
        <f>'Warranty &amp; Maintenance'!M121</f>
        <v/>
      </c>
      <c r="E7156" s="46">
        <f>IF(OR(B7156="",C7156="",D7156=""),"",D7156*100000+(C7156-DATE(2000,1,1))+ROW()/100000)</f>
        <v/>
      </c>
      <c r="F7156" s="46">
        <f>IF(E7156="","",IF(C7156&gt;WeekEndDate,"",E7156))</f>
        <v/>
      </c>
    </row>
    <row r="7157">
      <c r="A7157" t="inlineStr">
        <is>
          <t>Warranty &amp; Maintenance</t>
        </is>
      </c>
      <c r="B7157" s="46">
        <f>'Warranty &amp; Maintenance'!N122</f>
        <v/>
      </c>
      <c r="C7157" s="84">
        <f>'Warranty &amp; Maintenance'!L122</f>
        <v/>
      </c>
      <c r="D7157" s="46">
        <f>'Warranty &amp; Maintenance'!M122</f>
        <v/>
      </c>
      <c r="E7157" s="46">
        <f>IF(OR(B7157="",C7157="",D7157=""),"",D7157*100000+(C7157-DATE(2000,1,1))+ROW()/100000)</f>
        <v/>
      </c>
      <c r="F7157" s="46">
        <f>IF(E7157="","",IF(C7157&gt;WeekEndDate,"",E7157))</f>
        <v/>
      </c>
    </row>
    <row r="7158">
      <c r="A7158" t="inlineStr">
        <is>
          <t>Warranty &amp; Maintenance</t>
        </is>
      </c>
      <c r="B7158" s="46">
        <f>'Warranty &amp; Maintenance'!N123</f>
        <v/>
      </c>
      <c r="C7158" s="84">
        <f>'Warranty &amp; Maintenance'!L123</f>
        <v/>
      </c>
      <c r="D7158" s="46">
        <f>'Warranty &amp; Maintenance'!M123</f>
        <v/>
      </c>
      <c r="E7158" s="46">
        <f>IF(OR(B7158="",C7158="",D7158=""),"",D7158*100000+(C7158-DATE(2000,1,1))+ROW()/100000)</f>
        <v/>
      </c>
      <c r="F7158" s="46">
        <f>IF(E7158="","",IF(C7158&gt;WeekEndDate,"",E7158))</f>
        <v/>
      </c>
    </row>
    <row r="7159">
      <c r="A7159" t="inlineStr">
        <is>
          <t>Warranty &amp; Maintenance</t>
        </is>
      </c>
      <c r="B7159" s="46">
        <f>'Warranty &amp; Maintenance'!N124</f>
        <v/>
      </c>
      <c r="C7159" s="84">
        <f>'Warranty &amp; Maintenance'!L124</f>
        <v/>
      </c>
      <c r="D7159" s="46">
        <f>'Warranty &amp; Maintenance'!M124</f>
        <v/>
      </c>
      <c r="E7159" s="46">
        <f>IF(OR(B7159="",C7159="",D7159=""),"",D7159*100000+(C7159-DATE(2000,1,1))+ROW()/100000)</f>
        <v/>
      </c>
      <c r="F7159" s="46">
        <f>IF(E7159="","",IF(C7159&gt;WeekEndDate,"",E7159))</f>
        <v/>
      </c>
    </row>
    <row r="7160">
      <c r="A7160" t="inlineStr">
        <is>
          <t>Warranty &amp; Maintenance</t>
        </is>
      </c>
      <c r="B7160" s="46">
        <f>'Warranty &amp; Maintenance'!N125</f>
        <v/>
      </c>
      <c r="C7160" s="84">
        <f>'Warranty &amp; Maintenance'!L125</f>
        <v/>
      </c>
      <c r="D7160" s="46">
        <f>'Warranty &amp; Maintenance'!M125</f>
        <v/>
      </c>
      <c r="E7160" s="46">
        <f>IF(OR(B7160="",C7160="",D7160=""),"",D7160*100000+(C7160-DATE(2000,1,1))+ROW()/100000)</f>
        <v/>
      </c>
      <c r="F7160" s="46">
        <f>IF(E7160="","",IF(C7160&gt;WeekEndDate,"",E7160))</f>
        <v/>
      </c>
    </row>
    <row r="7161">
      <c r="A7161" t="inlineStr">
        <is>
          <t>Warranty &amp; Maintenance</t>
        </is>
      </c>
      <c r="B7161" s="46">
        <f>'Warranty &amp; Maintenance'!N126</f>
        <v/>
      </c>
      <c r="C7161" s="84">
        <f>'Warranty &amp; Maintenance'!L126</f>
        <v/>
      </c>
      <c r="D7161" s="46">
        <f>'Warranty &amp; Maintenance'!M126</f>
        <v/>
      </c>
      <c r="E7161" s="46">
        <f>IF(OR(B7161="",C7161="",D7161=""),"",D7161*100000+(C7161-DATE(2000,1,1))+ROW()/100000)</f>
        <v/>
      </c>
      <c r="F7161" s="46">
        <f>IF(E7161="","",IF(C7161&gt;WeekEndDate,"",E7161))</f>
        <v/>
      </c>
    </row>
    <row r="7162">
      <c r="A7162" t="inlineStr">
        <is>
          <t>Warranty &amp; Maintenance</t>
        </is>
      </c>
      <c r="B7162" s="46">
        <f>'Warranty &amp; Maintenance'!N127</f>
        <v/>
      </c>
      <c r="C7162" s="84">
        <f>'Warranty &amp; Maintenance'!L127</f>
        <v/>
      </c>
      <c r="D7162" s="46">
        <f>'Warranty &amp; Maintenance'!M127</f>
        <v/>
      </c>
      <c r="E7162" s="46">
        <f>IF(OR(B7162="",C7162="",D7162=""),"",D7162*100000+(C7162-DATE(2000,1,1))+ROW()/100000)</f>
        <v/>
      </c>
      <c r="F7162" s="46">
        <f>IF(E7162="","",IF(C7162&gt;WeekEndDate,"",E7162))</f>
        <v/>
      </c>
    </row>
    <row r="7163">
      <c r="A7163" t="inlineStr">
        <is>
          <t>Warranty &amp; Maintenance</t>
        </is>
      </c>
      <c r="B7163" s="46">
        <f>'Warranty &amp; Maintenance'!N128</f>
        <v/>
      </c>
      <c r="C7163" s="84">
        <f>'Warranty &amp; Maintenance'!L128</f>
        <v/>
      </c>
      <c r="D7163" s="46">
        <f>'Warranty &amp; Maintenance'!M128</f>
        <v/>
      </c>
      <c r="E7163" s="46">
        <f>IF(OR(B7163="",C7163="",D7163=""),"",D7163*100000+(C7163-DATE(2000,1,1))+ROW()/100000)</f>
        <v/>
      </c>
      <c r="F7163" s="46">
        <f>IF(E7163="","",IF(C7163&gt;WeekEndDate,"",E7163))</f>
        <v/>
      </c>
    </row>
    <row r="7164">
      <c r="A7164" t="inlineStr">
        <is>
          <t>Warranty &amp; Maintenance</t>
        </is>
      </c>
      <c r="B7164" s="46">
        <f>'Warranty &amp; Maintenance'!N129</f>
        <v/>
      </c>
      <c r="C7164" s="84">
        <f>'Warranty &amp; Maintenance'!L129</f>
        <v/>
      </c>
      <c r="D7164" s="46">
        <f>'Warranty &amp; Maintenance'!M129</f>
        <v/>
      </c>
      <c r="E7164" s="46">
        <f>IF(OR(B7164="",C7164="",D7164=""),"",D7164*100000+(C7164-DATE(2000,1,1))+ROW()/100000)</f>
        <v/>
      </c>
      <c r="F7164" s="46">
        <f>IF(E7164="","",IF(C7164&gt;WeekEndDate,"",E7164))</f>
        <v/>
      </c>
    </row>
    <row r="7165">
      <c r="A7165" t="inlineStr">
        <is>
          <t>Warranty &amp; Maintenance</t>
        </is>
      </c>
      <c r="B7165" s="46">
        <f>'Warranty &amp; Maintenance'!N130</f>
        <v/>
      </c>
      <c r="C7165" s="84">
        <f>'Warranty &amp; Maintenance'!L130</f>
        <v/>
      </c>
      <c r="D7165" s="46">
        <f>'Warranty &amp; Maintenance'!M130</f>
        <v/>
      </c>
      <c r="E7165" s="46">
        <f>IF(OR(B7165="",C7165="",D7165=""),"",D7165*100000+(C7165-DATE(2000,1,1))+ROW()/100000)</f>
        <v/>
      </c>
      <c r="F7165" s="46">
        <f>IF(E7165="","",IF(C7165&gt;WeekEndDate,"",E7165))</f>
        <v/>
      </c>
    </row>
    <row r="7166">
      <c r="A7166" t="inlineStr">
        <is>
          <t>Warranty &amp; Maintenance</t>
        </is>
      </c>
      <c r="B7166" s="46">
        <f>'Warranty &amp; Maintenance'!N131</f>
        <v/>
      </c>
      <c r="C7166" s="84">
        <f>'Warranty &amp; Maintenance'!L131</f>
        <v/>
      </c>
      <c r="D7166" s="46">
        <f>'Warranty &amp; Maintenance'!M131</f>
        <v/>
      </c>
      <c r="E7166" s="46">
        <f>IF(OR(B7166="",C7166="",D7166=""),"",D7166*100000+(C7166-DATE(2000,1,1))+ROW()/100000)</f>
        <v/>
      </c>
      <c r="F7166" s="46">
        <f>IF(E7166="","",IF(C7166&gt;WeekEndDate,"",E7166))</f>
        <v/>
      </c>
    </row>
    <row r="7167">
      <c r="A7167" t="inlineStr">
        <is>
          <t>Warranty &amp; Maintenance</t>
        </is>
      </c>
      <c r="B7167" s="46">
        <f>'Warranty &amp; Maintenance'!N132</f>
        <v/>
      </c>
      <c r="C7167" s="84">
        <f>'Warranty &amp; Maintenance'!L132</f>
        <v/>
      </c>
      <c r="D7167" s="46">
        <f>'Warranty &amp; Maintenance'!M132</f>
        <v/>
      </c>
      <c r="E7167" s="46">
        <f>IF(OR(B7167="",C7167="",D7167=""),"",D7167*100000+(C7167-DATE(2000,1,1))+ROW()/100000)</f>
        <v/>
      </c>
      <c r="F7167" s="46">
        <f>IF(E7167="","",IF(C7167&gt;WeekEndDate,"",E7167))</f>
        <v/>
      </c>
    </row>
    <row r="7168">
      <c r="A7168" t="inlineStr">
        <is>
          <t>Warranty &amp; Maintenance</t>
        </is>
      </c>
      <c r="B7168" s="46">
        <f>'Warranty &amp; Maintenance'!N133</f>
        <v/>
      </c>
      <c r="C7168" s="84">
        <f>'Warranty &amp; Maintenance'!L133</f>
        <v/>
      </c>
      <c r="D7168" s="46">
        <f>'Warranty &amp; Maintenance'!M133</f>
        <v/>
      </c>
      <c r="E7168" s="46">
        <f>IF(OR(B7168="",C7168="",D7168=""),"",D7168*100000+(C7168-DATE(2000,1,1))+ROW()/100000)</f>
        <v/>
      </c>
      <c r="F7168" s="46">
        <f>IF(E7168="","",IF(C7168&gt;WeekEndDate,"",E7168))</f>
        <v/>
      </c>
    </row>
    <row r="7169">
      <c r="A7169" t="inlineStr">
        <is>
          <t>Warranty &amp; Maintenance</t>
        </is>
      </c>
      <c r="B7169" s="46">
        <f>'Warranty &amp; Maintenance'!N134</f>
        <v/>
      </c>
      <c r="C7169" s="84">
        <f>'Warranty &amp; Maintenance'!L134</f>
        <v/>
      </c>
      <c r="D7169" s="46">
        <f>'Warranty &amp; Maintenance'!M134</f>
        <v/>
      </c>
      <c r="E7169" s="46">
        <f>IF(OR(B7169="",C7169="",D7169=""),"",D7169*100000+(C7169-DATE(2000,1,1))+ROW()/100000)</f>
        <v/>
      </c>
      <c r="F7169" s="46">
        <f>IF(E7169="","",IF(C7169&gt;WeekEndDate,"",E7169))</f>
        <v/>
      </c>
    </row>
    <row r="7170">
      <c r="A7170" t="inlineStr">
        <is>
          <t>Warranty &amp; Maintenance</t>
        </is>
      </c>
      <c r="B7170" s="46">
        <f>'Warranty &amp; Maintenance'!N135</f>
        <v/>
      </c>
      <c r="C7170" s="84">
        <f>'Warranty &amp; Maintenance'!L135</f>
        <v/>
      </c>
      <c r="D7170" s="46">
        <f>'Warranty &amp; Maintenance'!M135</f>
        <v/>
      </c>
      <c r="E7170" s="46">
        <f>IF(OR(B7170="",C7170="",D7170=""),"",D7170*100000+(C7170-DATE(2000,1,1))+ROW()/100000)</f>
        <v/>
      </c>
      <c r="F7170" s="46">
        <f>IF(E7170="","",IF(C7170&gt;WeekEndDate,"",E7170))</f>
        <v/>
      </c>
    </row>
    <row r="7171">
      <c r="A7171" t="inlineStr">
        <is>
          <t>Warranty &amp; Maintenance</t>
        </is>
      </c>
      <c r="B7171" s="46">
        <f>'Warranty &amp; Maintenance'!N136</f>
        <v/>
      </c>
      <c r="C7171" s="84">
        <f>'Warranty &amp; Maintenance'!L136</f>
        <v/>
      </c>
      <c r="D7171" s="46">
        <f>'Warranty &amp; Maintenance'!M136</f>
        <v/>
      </c>
      <c r="E7171" s="46">
        <f>IF(OR(B7171="",C7171="",D7171=""),"",D7171*100000+(C7171-DATE(2000,1,1))+ROW()/100000)</f>
        <v/>
      </c>
      <c r="F7171" s="46">
        <f>IF(E7171="","",IF(C7171&gt;WeekEndDate,"",E7171))</f>
        <v/>
      </c>
    </row>
    <row r="7172">
      <c r="A7172" t="inlineStr">
        <is>
          <t>Warranty &amp; Maintenance</t>
        </is>
      </c>
      <c r="B7172" s="46">
        <f>'Warranty &amp; Maintenance'!N137</f>
        <v/>
      </c>
      <c r="C7172" s="84">
        <f>'Warranty &amp; Maintenance'!L137</f>
        <v/>
      </c>
      <c r="D7172" s="46">
        <f>'Warranty &amp; Maintenance'!M137</f>
        <v/>
      </c>
      <c r="E7172" s="46">
        <f>IF(OR(B7172="",C7172="",D7172=""),"",D7172*100000+(C7172-DATE(2000,1,1))+ROW()/100000)</f>
        <v/>
      </c>
      <c r="F7172" s="46">
        <f>IF(E7172="","",IF(C7172&gt;WeekEndDate,"",E7172))</f>
        <v/>
      </c>
    </row>
    <row r="7173">
      <c r="A7173" t="inlineStr">
        <is>
          <t>Warranty &amp; Maintenance</t>
        </is>
      </c>
      <c r="B7173" s="46">
        <f>'Warranty &amp; Maintenance'!N138</f>
        <v/>
      </c>
      <c r="C7173" s="84">
        <f>'Warranty &amp; Maintenance'!L138</f>
        <v/>
      </c>
      <c r="D7173" s="46">
        <f>'Warranty &amp; Maintenance'!M138</f>
        <v/>
      </c>
      <c r="E7173" s="46">
        <f>IF(OR(B7173="",C7173="",D7173=""),"",D7173*100000+(C7173-DATE(2000,1,1))+ROW()/100000)</f>
        <v/>
      </c>
      <c r="F7173" s="46">
        <f>IF(E7173="","",IF(C7173&gt;WeekEndDate,"",E7173))</f>
        <v/>
      </c>
    </row>
    <row r="7174">
      <c r="A7174" t="inlineStr">
        <is>
          <t>Warranty &amp; Maintenance</t>
        </is>
      </c>
      <c r="B7174" s="46">
        <f>'Warranty &amp; Maintenance'!N139</f>
        <v/>
      </c>
      <c r="C7174" s="84">
        <f>'Warranty &amp; Maintenance'!L139</f>
        <v/>
      </c>
      <c r="D7174" s="46">
        <f>'Warranty &amp; Maintenance'!M139</f>
        <v/>
      </c>
      <c r="E7174" s="46">
        <f>IF(OR(B7174="",C7174="",D7174=""),"",D7174*100000+(C7174-DATE(2000,1,1))+ROW()/100000)</f>
        <v/>
      </c>
      <c r="F7174" s="46">
        <f>IF(E7174="","",IF(C7174&gt;WeekEndDate,"",E7174))</f>
        <v/>
      </c>
    </row>
    <row r="7175">
      <c r="A7175" t="inlineStr">
        <is>
          <t>Warranty &amp; Maintenance</t>
        </is>
      </c>
      <c r="B7175" s="46">
        <f>'Warranty &amp; Maintenance'!N140</f>
        <v/>
      </c>
      <c r="C7175" s="84">
        <f>'Warranty &amp; Maintenance'!L140</f>
        <v/>
      </c>
      <c r="D7175" s="46">
        <f>'Warranty &amp; Maintenance'!M140</f>
        <v/>
      </c>
      <c r="E7175" s="46">
        <f>IF(OR(B7175="",C7175="",D7175=""),"",D7175*100000+(C7175-DATE(2000,1,1))+ROW()/100000)</f>
        <v/>
      </c>
      <c r="F7175" s="46">
        <f>IF(E7175="","",IF(C7175&gt;WeekEndDate,"",E7175))</f>
        <v/>
      </c>
    </row>
    <row r="7176">
      <c r="A7176" t="inlineStr">
        <is>
          <t>Warranty &amp; Maintenance</t>
        </is>
      </c>
      <c r="B7176" s="46">
        <f>'Warranty &amp; Maintenance'!N141</f>
        <v/>
      </c>
      <c r="C7176" s="84">
        <f>'Warranty &amp; Maintenance'!L141</f>
        <v/>
      </c>
      <c r="D7176" s="46">
        <f>'Warranty &amp; Maintenance'!M141</f>
        <v/>
      </c>
      <c r="E7176" s="46">
        <f>IF(OR(B7176="",C7176="",D7176=""),"",D7176*100000+(C7176-DATE(2000,1,1))+ROW()/100000)</f>
        <v/>
      </c>
      <c r="F7176" s="46">
        <f>IF(E7176="","",IF(C7176&gt;WeekEndDate,"",E7176))</f>
        <v/>
      </c>
    </row>
    <row r="7177">
      <c r="A7177" t="inlineStr">
        <is>
          <t>Warranty &amp; Maintenance</t>
        </is>
      </c>
      <c r="B7177" s="46">
        <f>'Warranty &amp; Maintenance'!N142</f>
        <v/>
      </c>
      <c r="C7177" s="84">
        <f>'Warranty &amp; Maintenance'!L142</f>
        <v/>
      </c>
      <c r="D7177" s="46">
        <f>'Warranty &amp; Maintenance'!M142</f>
        <v/>
      </c>
      <c r="E7177" s="46">
        <f>IF(OR(B7177="",C7177="",D7177=""),"",D7177*100000+(C7177-DATE(2000,1,1))+ROW()/100000)</f>
        <v/>
      </c>
      <c r="F7177" s="46">
        <f>IF(E7177="","",IF(C7177&gt;WeekEndDate,"",E7177))</f>
        <v/>
      </c>
    </row>
    <row r="7178">
      <c r="A7178" t="inlineStr">
        <is>
          <t>Warranty &amp; Maintenance</t>
        </is>
      </c>
      <c r="B7178" s="46">
        <f>'Warranty &amp; Maintenance'!N143</f>
        <v/>
      </c>
      <c r="C7178" s="84">
        <f>'Warranty &amp; Maintenance'!L143</f>
        <v/>
      </c>
      <c r="D7178" s="46">
        <f>'Warranty &amp; Maintenance'!M143</f>
        <v/>
      </c>
      <c r="E7178" s="46">
        <f>IF(OR(B7178="",C7178="",D7178=""),"",D7178*100000+(C7178-DATE(2000,1,1))+ROW()/100000)</f>
        <v/>
      </c>
      <c r="F7178" s="46">
        <f>IF(E7178="","",IF(C7178&gt;WeekEndDate,"",E7178))</f>
        <v/>
      </c>
    </row>
    <row r="7179">
      <c r="A7179" t="inlineStr">
        <is>
          <t>Warranty &amp; Maintenance</t>
        </is>
      </c>
      <c r="B7179" s="46">
        <f>'Warranty &amp; Maintenance'!N144</f>
        <v/>
      </c>
      <c r="C7179" s="84">
        <f>'Warranty &amp; Maintenance'!L144</f>
        <v/>
      </c>
      <c r="D7179" s="46">
        <f>'Warranty &amp; Maintenance'!M144</f>
        <v/>
      </c>
      <c r="E7179" s="46">
        <f>IF(OR(B7179="",C7179="",D7179=""),"",D7179*100000+(C7179-DATE(2000,1,1))+ROW()/100000)</f>
        <v/>
      </c>
      <c r="F7179" s="46">
        <f>IF(E7179="","",IF(C7179&gt;WeekEndDate,"",E7179))</f>
        <v/>
      </c>
    </row>
    <row r="7180">
      <c r="A7180" t="inlineStr">
        <is>
          <t>Warranty &amp; Maintenance</t>
        </is>
      </c>
      <c r="B7180" s="46">
        <f>'Warranty &amp; Maintenance'!N145</f>
        <v/>
      </c>
      <c r="C7180" s="84">
        <f>'Warranty &amp; Maintenance'!L145</f>
        <v/>
      </c>
      <c r="D7180" s="46">
        <f>'Warranty &amp; Maintenance'!M145</f>
        <v/>
      </c>
      <c r="E7180" s="46">
        <f>IF(OR(B7180="",C7180="",D7180=""),"",D7180*100000+(C7180-DATE(2000,1,1))+ROW()/100000)</f>
        <v/>
      </c>
      <c r="F7180" s="46">
        <f>IF(E7180="","",IF(C7180&gt;WeekEndDate,"",E7180))</f>
        <v/>
      </c>
    </row>
    <row r="7181">
      <c r="A7181" t="inlineStr">
        <is>
          <t>Warranty &amp; Maintenance</t>
        </is>
      </c>
      <c r="B7181" s="46">
        <f>'Warranty &amp; Maintenance'!N146</f>
        <v/>
      </c>
      <c r="C7181" s="84">
        <f>'Warranty &amp; Maintenance'!L146</f>
        <v/>
      </c>
      <c r="D7181" s="46">
        <f>'Warranty &amp; Maintenance'!M146</f>
        <v/>
      </c>
      <c r="E7181" s="46">
        <f>IF(OR(B7181="",C7181="",D7181=""),"",D7181*100000+(C7181-DATE(2000,1,1))+ROW()/100000)</f>
        <v/>
      </c>
      <c r="F7181" s="46">
        <f>IF(E7181="","",IF(C7181&gt;WeekEndDate,"",E7181))</f>
        <v/>
      </c>
    </row>
    <row r="7182">
      <c r="A7182" t="inlineStr">
        <is>
          <t>Warranty &amp; Maintenance</t>
        </is>
      </c>
      <c r="B7182" s="46">
        <f>'Warranty &amp; Maintenance'!N147</f>
        <v/>
      </c>
      <c r="C7182" s="84">
        <f>'Warranty &amp; Maintenance'!L147</f>
        <v/>
      </c>
      <c r="D7182" s="46">
        <f>'Warranty &amp; Maintenance'!M147</f>
        <v/>
      </c>
      <c r="E7182" s="46">
        <f>IF(OR(B7182="",C7182="",D7182=""),"",D7182*100000+(C7182-DATE(2000,1,1))+ROW()/100000)</f>
        <v/>
      </c>
      <c r="F7182" s="46">
        <f>IF(E7182="","",IF(C7182&gt;WeekEndDate,"",E7182))</f>
        <v/>
      </c>
    </row>
    <row r="7183">
      <c r="A7183" t="inlineStr">
        <is>
          <t>Warranty &amp; Maintenance</t>
        </is>
      </c>
      <c r="B7183" s="46">
        <f>'Warranty &amp; Maintenance'!N148</f>
        <v/>
      </c>
      <c r="C7183" s="84">
        <f>'Warranty &amp; Maintenance'!L148</f>
        <v/>
      </c>
      <c r="D7183" s="46">
        <f>'Warranty &amp; Maintenance'!M148</f>
        <v/>
      </c>
      <c r="E7183" s="46">
        <f>IF(OR(B7183="",C7183="",D7183=""),"",D7183*100000+(C7183-DATE(2000,1,1))+ROW()/100000)</f>
        <v/>
      </c>
      <c r="F7183" s="46">
        <f>IF(E7183="","",IF(C7183&gt;WeekEndDate,"",E7183))</f>
        <v/>
      </c>
    </row>
    <row r="7184">
      <c r="A7184" t="inlineStr">
        <is>
          <t>Warranty &amp; Maintenance</t>
        </is>
      </c>
      <c r="B7184" s="46">
        <f>'Warranty &amp; Maintenance'!N149</f>
        <v/>
      </c>
      <c r="C7184" s="84">
        <f>'Warranty &amp; Maintenance'!L149</f>
        <v/>
      </c>
      <c r="D7184" s="46">
        <f>'Warranty &amp; Maintenance'!M149</f>
        <v/>
      </c>
      <c r="E7184" s="46">
        <f>IF(OR(B7184="",C7184="",D7184=""),"",D7184*100000+(C7184-DATE(2000,1,1))+ROW()/100000)</f>
        <v/>
      </c>
      <c r="F7184" s="46">
        <f>IF(E7184="","",IF(C7184&gt;WeekEndDate,"",E7184))</f>
        <v/>
      </c>
    </row>
    <row r="7185">
      <c r="A7185" t="inlineStr">
        <is>
          <t>Warranty &amp; Maintenance</t>
        </is>
      </c>
      <c r="B7185" s="46">
        <f>'Warranty &amp; Maintenance'!N150</f>
        <v/>
      </c>
      <c r="C7185" s="84">
        <f>'Warranty &amp; Maintenance'!L150</f>
        <v/>
      </c>
      <c r="D7185" s="46">
        <f>'Warranty &amp; Maintenance'!M150</f>
        <v/>
      </c>
      <c r="E7185" s="46">
        <f>IF(OR(B7185="",C7185="",D7185=""),"",D7185*100000+(C7185-DATE(2000,1,1))+ROW()/100000)</f>
        <v/>
      </c>
      <c r="F7185" s="46">
        <f>IF(E7185="","",IF(C7185&gt;WeekEndDate,"",E7185))</f>
        <v/>
      </c>
    </row>
    <row r="7186">
      <c r="A7186" t="inlineStr">
        <is>
          <t>Warranty &amp; Maintenance</t>
        </is>
      </c>
      <c r="B7186" s="46">
        <f>'Warranty &amp; Maintenance'!N151</f>
        <v/>
      </c>
      <c r="C7186" s="84">
        <f>'Warranty &amp; Maintenance'!L151</f>
        <v/>
      </c>
      <c r="D7186" s="46">
        <f>'Warranty &amp; Maintenance'!M151</f>
        <v/>
      </c>
      <c r="E7186" s="46">
        <f>IF(OR(B7186="",C7186="",D7186=""),"",D7186*100000+(C7186-DATE(2000,1,1))+ROW()/100000)</f>
        <v/>
      </c>
      <c r="F7186" s="46">
        <f>IF(E7186="","",IF(C7186&gt;WeekEndDate,"",E7186))</f>
        <v/>
      </c>
    </row>
    <row r="7187">
      <c r="A7187" t="inlineStr">
        <is>
          <t>Warranty &amp; Maintenance</t>
        </is>
      </c>
      <c r="B7187" s="46">
        <f>'Warranty &amp; Maintenance'!N152</f>
        <v/>
      </c>
      <c r="C7187" s="84">
        <f>'Warranty &amp; Maintenance'!L152</f>
        <v/>
      </c>
      <c r="D7187" s="46">
        <f>'Warranty &amp; Maintenance'!M152</f>
        <v/>
      </c>
      <c r="E7187" s="46">
        <f>IF(OR(B7187="",C7187="",D7187=""),"",D7187*100000+(C7187-DATE(2000,1,1))+ROW()/100000)</f>
        <v/>
      </c>
      <c r="F7187" s="46">
        <f>IF(E7187="","",IF(C7187&gt;WeekEndDate,"",E7187))</f>
        <v/>
      </c>
    </row>
    <row r="7188">
      <c r="A7188" t="inlineStr">
        <is>
          <t>Warranty &amp; Maintenance</t>
        </is>
      </c>
      <c r="B7188" s="46">
        <f>'Warranty &amp; Maintenance'!N153</f>
        <v/>
      </c>
      <c r="C7188" s="84">
        <f>'Warranty &amp; Maintenance'!L153</f>
        <v/>
      </c>
      <c r="D7188" s="46">
        <f>'Warranty &amp; Maintenance'!M153</f>
        <v/>
      </c>
      <c r="E7188" s="46">
        <f>IF(OR(B7188="",C7188="",D7188=""),"",D7188*100000+(C7188-DATE(2000,1,1))+ROW()/100000)</f>
        <v/>
      </c>
      <c r="F7188" s="46">
        <f>IF(E7188="","",IF(C7188&gt;WeekEndDate,"",E7188))</f>
        <v/>
      </c>
    </row>
    <row r="7189">
      <c r="A7189" t="inlineStr">
        <is>
          <t>Warranty &amp; Maintenance</t>
        </is>
      </c>
      <c r="B7189" s="46">
        <f>'Warranty &amp; Maintenance'!N154</f>
        <v/>
      </c>
      <c r="C7189" s="84">
        <f>'Warranty &amp; Maintenance'!L154</f>
        <v/>
      </c>
      <c r="D7189" s="46">
        <f>'Warranty &amp; Maintenance'!M154</f>
        <v/>
      </c>
      <c r="E7189" s="46">
        <f>IF(OR(B7189="",C7189="",D7189=""),"",D7189*100000+(C7189-DATE(2000,1,1))+ROW()/100000)</f>
        <v/>
      </c>
      <c r="F7189" s="46">
        <f>IF(E7189="","",IF(C7189&gt;WeekEndDate,"",E7189))</f>
        <v/>
      </c>
    </row>
    <row r="7190">
      <c r="A7190" t="inlineStr">
        <is>
          <t>Warranty &amp; Maintenance</t>
        </is>
      </c>
      <c r="B7190" s="46">
        <f>'Warranty &amp; Maintenance'!N155</f>
        <v/>
      </c>
      <c r="C7190" s="84">
        <f>'Warranty &amp; Maintenance'!L155</f>
        <v/>
      </c>
      <c r="D7190" s="46">
        <f>'Warranty &amp; Maintenance'!M155</f>
        <v/>
      </c>
      <c r="E7190" s="46">
        <f>IF(OR(B7190="",C7190="",D7190=""),"",D7190*100000+(C7190-DATE(2000,1,1))+ROW()/100000)</f>
        <v/>
      </c>
      <c r="F7190" s="46">
        <f>IF(E7190="","",IF(C7190&gt;WeekEndDate,"",E7190))</f>
        <v/>
      </c>
    </row>
    <row r="7191">
      <c r="A7191" t="inlineStr">
        <is>
          <t>Warranty &amp; Maintenance</t>
        </is>
      </c>
      <c r="B7191" s="46">
        <f>'Warranty &amp; Maintenance'!N156</f>
        <v/>
      </c>
      <c r="C7191" s="84">
        <f>'Warranty &amp; Maintenance'!L156</f>
        <v/>
      </c>
      <c r="D7191" s="46">
        <f>'Warranty &amp; Maintenance'!M156</f>
        <v/>
      </c>
      <c r="E7191" s="46">
        <f>IF(OR(B7191="",C7191="",D7191=""),"",D7191*100000+(C7191-DATE(2000,1,1))+ROW()/100000)</f>
        <v/>
      </c>
      <c r="F7191" s="46">
        <f>IF(E7191="","",IF(C7191&gt;WeekEndDate,"",E7191))</f>
        <v/>
      </c>
    </row>
    <row r="7192">
      <c r="A7192" t="inlineStr">
        <is>
          <t>Warranty &amp; Maintenance</t>
        </is>
      </c>
      <c r="B7192" s="46">
        <f>'Warranty &amp; Maintenance'!N157</f>
        <v/>
      </c>
      <c r="C7192" s="84">
        <f>'Warranty &amp; Maintenance'!L157</f>
        <v/>
      </c>
      <c r="D7192" s="46">
        <f>'Warranty &amp; Maintenance'!M157</f>
        <v/>
      </c>
      <c r="E7192" s="46">
        <f>IF(OR(B7192="",C7192="",D7192=""),"",D7192*100000+(C7192-DATE(2000,1,1))+ROW()/100000)</f>
        <v/>
      </c>
      <c r="F7192" s="46">
        <f>IF(E7192="","",IF(C7192&gt;WeekEndDate,"",E7192))</f>
        <v/>
      </c>
    </row>
    <row r="7193">
      <c r="A7193" t="inlineStr">
        <is>
          <t>Warranty &amp; Maintenance</t>
        </is>
      </c>
      <c r="B7193" s="46">
        <f>'Warranty &amp; Maintenance'!N158</f>
        <v/>
      </c>
      <c r="C7193" s="84">
        <f>'Warranty &amp; Maintenance'!L158</f>
        <v/>
      </c>
      <c r="D7193" s="46">
        <f>'Warranty &amp; Maintenance'!M158</f>
        <v/>
      </c>
      <c r="E7193" s="46">
        <f>IF(OR(B7193="",C7193="",D7193=""),"",D7193*100000+(C7193-DATE(2000,1,1))+ROW()/100000)</f>
        <v/>
      </c>
      <c r="F7193" s="46">
        <f>IF(E7193="","",IF(C7193&gt;WeekEndDate,"",E7193))</f>
        <v/>
      </c>
    </row>
    <row r="7194">
      <c r="A7194" t="inlineStr">
        <is>
          <t>Warranty &amp; Maintenance</t>
        </is>
      </c>
      <c r="B7194" s="46">
        <f>'Warranty &amp; Maintenance'!N159</f>
        <v/>
      </c>
      <c r="C7194" s="84">
        <f>'Warranty &amp; Maintenance'!L159</f>
        <v/>
      </c>
      <c r="D7194" s="46">
        <f>'Warranty &amp; Maintenance'!M159</f>
        <v/>
      </c>
      <c r="E7194" s="46">
        <f>IF(OR(B7194="",C7194="",D7194=""),"",D7194*100000+(C7194-DATE(2000,1,1))+ROW()/100000)</f>
        <v/>
      </c>
      <c r="F7194" s="46">
        <f>IF(E7194="","",IF(C7194&gt;WeekEndDate,"",E7194))</f>
        <v/>
      </c>
    </row>
    <row r="7195">
      <c r="A7195" t="inlineStr">
        <is>
          <t>Warranty &amp; Maintenance</t>
        </is>
      </c>
      <c r="B7195" s="46">
        <f>'Warranty &amp; Maintenance'!N160</f>
        <v/>
      </c>
      <c r="C7195" s="84">
        <f>'Warranty &amp; Maintenance'!L160</f>
        <v/>
      </c>
      <c r="D7195" s="46">
        <f>'Warranty &amp; Maintenance'!M160</f>
        <v/>
      </c>
      <c r="E7195" s="46">
        <f>IF(OR(B7195="",C7195="",D7195=""),"",D7195*100000+(C7195-DATE(2000,1,1))+ROW()/100000)</f>
        <v/>
      </c>
      <c r="F7195" s="46">
        <f>IF(E7195="","",IF(C7195&gt;WeekEndDate,"",E7195))</f>
        <v/>
      </c>
    </row>
    <row r="7196">
      <c r="A7196" t="inlineStr">
        <is>
          <t>Warranty &amp; Maintenance</t>
        </is>
      </c>
      <c r="B7196" s="46">
        <f>'Warranty &amp; Maintenance'!N161</f>
        <v/>
      </c>
      <c r="C7196" s="84">
        <f>'Warranty &amp; Maintenance'!L161</f>
        <v/>
      </c>
      <c r="D7196" s="46">
        <f>'Warranty &amp; Maintenance'!M161</f>
        <v/>
      </c>
      <c r="E7196" s="46">
        <f>IF(OR(B7196="",C7196="",D7196=""),"",D7196*100000+(C7196-DATE(2000,1,1))+ROW()/100000)</f>
        <v/>
      </c>
      <c r="F7196" s="46">
        <f>IF(E7196="","",IF(C7196&gt;WeekEndDate,"",E7196))</f>
        <v/>
      </c>
    </row>
    <row r="7197">
      <c r="A7197" t="inlineStr">
        <is>
          <t>Warranty &amp; Maintenance</t>
        </is>
      </c>
      <c r="B7197" s="46">
        <f>'Warranty &amp; Maintenance'!N162</f>
        <v/>
      </c>
      <c r="C7197" s="84">
        <f>'Warranty &amp; Maintenance'!L162</f>
        <v/>
      </c>
      <c r="D7197" s="46">
        <f>'Warranty &amp; Maintenance'!M162</f>
        <v/>
      </c>
      <c r="E7197" s="46">
        <f>IF(OR(B7197="",C7197="",D7197=""),"",D7197*100000+(C7197-DATE(2000,1,1))+ROW()/100000)</f>
        <v/>
      </c>
      <c r="F7197" s="46">
        <f>IF(E7197="","",IF(C7197&gt;WeekEndDate,"",E7197))</f>
        <v/>
      </c>
    </row>
    <row r="7198">
      <c r="A7198" t="inlineStr">
        <is>
          <t>Warranty &amp; Maintenance</t>
        </is>
      </c>
      <c r="B7198" s="46">
        <f>'Warranty &amp; Maintenance'!N163</f>
        <v/>
      </c>
      <c r="C7198" s="84">
        <f>'Warranty &amp; Maintenance'!L163</f>
        <v/>
      </c>
      <c r="D7198" s="46">
        <f>'Warranty &amp; Maintenance'!M163</f>
        <v/>
      </c>
      <c r="E7198" s="46">
        <f>IF(OR(B7198="",C7198="",D7198=""),"",D7198*100000+(C7198-DATE(2000,1,1))+ROW()/100000)</f>
        <v/>
      </c>
      <c r="F7198" s="46">
        <f>IF(E7198="","",IF(C7198&gt;WeekEndDate,"",E7198))</f>
        <v/>
      </c>
    </row>
    <row r="7199">
      <c r="A7199" t="inlineStr">
        <is>
          <t>Warranty &amp; Maintenance</t>
        </is>
      </c>
      <c r="B7199" s="46">
        <f>'Warranty &amp; Maintenance'!N164</f>
        <v/>
      </c>
      <c r="C7199" s="84">
        <f>'Warranty &amp; Maintenance'!L164</f>
        <v/>
      </c>
      <c r="D7199" s="46">
        <f>'Warranty &amp; Maintenance'!M164</f>
        <v/>
      </c>
      <c r="E7199" s="46">
        <f>IF(OR(B7199="",C7199="",D7199=""),"",D7199*100000+(C7199-DATE(2000,1,1))+ROW()/100000)</f>
        <v/>
      </c>
      <c r="F7199" s="46">
        <f>IF(E7199="","",IF(C7199&gt;WeekEndDate,"",E7199))</f>
        <v/>
      </c>
    </row>
    <row r="7200">
      <c r="A7200" t="inlineStr">
        <is>
          <t>Warranty &amp; Maintenance</t>
        </is>
      </c>
      <c r="B7200" s="46">
        <f>'Warranty &amp; Maintenance'!N165</f>
        <v/>
      </c>
      <c r="C7200" s="84">
        <f>'Warranty &amp; Maintenance'!L165</f>
        <v/>
      </c>
      <c r="D7200" s="46">
        <f>'Warranty &amp; Maintenance'!M165</f>
        <v/>
      </c>
      <c r="E7200" s="46">
        <f>IF(OR(B7200="",C7200="",D7200=""),"",D7200*100000+(C7200-DATE(2000,1,1))+ROW()/100000)</f>
        <v/>
      </c>
      <c r="F7200" s="46">
        <f>IF(E7200="","",IF(C7200&gt;WeekEndDate,"",E7200))</f>
        <v/>
      </c>
    </row>
    <row r="7201">
      <c r="A7201" t="inlineStr">
        <is>
          <t>Warranty &amp; Maintenance</t>
        </is>
      </c>
      <c r="B7201" s="46">
        <f>'Warranty &amp; Maintenance'!N166</f>
        <v/>
      </c>
      <c r="C7201" s="84">
        <f>'Warranty &amp; Maintenance'!L166</f>
        <v/>
      </c>
      <c r="D7201" s="46">
        <f>'Warranty &amp; Maintenance'!M166</f>
        <v/>
      </c>
      <c r="E7201" s="46">
        <f>IF(OR(B7201="",C7201="",D7201=""),"",D7201*100000+(C7201-DATE(2000,1,1))+ROW()/100000)</f>
        <v/>
      </c>
      <c r="F7201" s="46">
        <f>IF(E7201="","",IF(C7201&gt;WeekEndDate,"",E7201))</f>
        <v/>
      </c>
    </row>
    <row r="7202">
      <c r="A7202" t="inlineStr">
        <is>
          <t>Warranty &amp; Maintenance</t>
        </is>
      </c>
      <c r="B7202" s="46">
        <f>'Warranty &amp; Maintenance'!N167</f>
        <v/>
      </c>
      <c r="C7202" s="84">
        <f>'Warranty &amp; Maintenance'!L167</f>
        <v/>
      </c>
      <c r="D7202" s="46">
        <f>'Warranty &amp; Maintenance'!M167</f>
        <v/>
      </c>
      <c r="E7202" s="46">
        <f>IF(OR(B7202="",C7202="",D7202=""),"",D7202*100000+(C7202-DATE(2000,1,1))+ROW()/100000)</f>
        <v/>
      </c>
      <c r="F7202" s="46">
        <f>IF(E7202="","",IF(C7202&gt;WeekEndDate,"",E7202))</f>
        <v/>
      </c>
    </row>
    <row r="7203">
      <c r="A7203" t="inlineStr">
        <is>
          <t>Warranty &amp; Maintenance</t>
        </is>
      </c>
      <c r="B7203" s="46">
        <f>'Warranty &amp; Maintenance'!N168</f>
        <v/>
      </c>
      <c r="C7203" s="84">
        <f>'Warranty &amp; Maintenance'!L168</f>
        <v/>
      </c>
      <c r="D7203" s="46">
        <f>'Warranty &amp; Maintenance'!M168</f>
        <v/>
      </c>
      <c r="E7203" s="46">
        <f>IF(OR(B7203="",C7203="",D7203=""),"",D7203*100000+(C7203-DATE(2000,1,1))+ROW()/100000)</f>
        <v/>
      </c>
      <c r="F7203" s="46">
        <f>IF(E7203="","",IF(C7203&gt;WeekEndDate,"",E7203))</f>
        <v/>
      </c>
    </row>
    <row r="7204">
      <c r="A7204" t="inlineStr">
        <is>
          <t>Warranty &amp; Maintenance</t>
        </is>
      </c>
      <c r="B7204" s="46">
        <f>'Warranty &amp; Maintenance'!N169</f>
        <v/>
      </c>
      <c r="C7204" s="84">
        <f>'Warranty &amp; Maintenance'!L169</f>
        <v/>
      </c>
      <c r="D7204" s="46">
        <f>'Warranty &amp; Maintenance'!M169</f>
        <v/>
      </c>
      <c r="E7204" s="46">
        <f>IF(OR(B7204="",C7204="",D7204=""),"",D7204*100000+(C7204-DATE(2000,1,1))+ROW()/100000)</f>
        <v/>
      </c>
      <c r="F7204" s="46">
        <f>IF(E7204="","",IF(C7204&gt;WeekEndDate,"",E7204))</f>
        <v/>
      </c>
    </row>
    <row r="7205">
      <c r="A7205" t="inlineStr">
        <is>
          <t>Warranty &amp; Maintenance</t>
        </is>
      </c>
      <c r="B7205" s="46">
        <f>'Warranty &amp; Maintenance'!N170</f>
        <v/>
      </c>
      <c r="C7205" s="84">
        <f>'Warranty &amp; Maintenance'!L170</f>
        <v/>
      </c>
      <c r="D7205" s="46">
        <f>'Warranty &amp; Maintenance'!M170</f>
        <v/>
      </c>
      <c r="E7205" s="46">
        <f>IF(OR(B7205="",C7205="",D7205=""),"",D7205*100000+(C7205-DATE(2000,1,1))+ROW()/100000)</f>
        <v/>
      </c>
      <c r="F7205" s="46">
        <f>IF(E7205="","",IF(C7205&gt;WeekEndDate,"",E7205))</f>
        <v/>
      </c>
    </row>
    <row r="7206">
      <c r="A7206" t="inlineStr">
        <is>
          <t>Warranty &amp; Maintenance</t>
        </is>
      </c>
      <c r="B7206" s="46">
        <f>'Warranty &amp; Maintenance'!N171</f>
        <v/>
      </c>
      <c r="C7206" s="84">
        <f>'Warranty &amp; Maintenance'!L171</f>
        <v/>
      </c>
      <c r="D7206" s="46">
        <f>'Warranty &amp; Maintenance'!M171</f>
        <v/>
      </c>
      <c r="E7206" s="46">
        <f>IF(OR(B7206="",C7206="",D7206=""),"",D7206*100000+(C7206-DATE(2000,1,1))+ROW()/100000)</f>
        <v/>
      </c>
      <c r="F7206" s="46">
        <f>IF(E7206="","",IF(C7206&gt;WeekEndDate,"",E7206))</f>
        <v/>
      </c>
    </row>
    <row r="7207">
      <c r="A7207" t="inlineStr">
        <is>
          <t>Warranty &amp; Maintenance</t>
        </is>
      </c>
      <c r="B7207" s="46">
        <f>'Warranty &amp; Maintenance'!N172</f>
        <v/>
      </c>
      <c r="C7207" s="84">
        <f>'Warranty &amp; Maintenance'!L172</f>
        <v/>
      </c>
      <c r="D7207" s="46">
        <f>'Warranty &amp; Maintenance'!M172</f>
        <v/>
      </c>
      <c r="E7207" s="46">
        <f>IF(OR(B7207="",C7207="",D7207=""),"",D7207*100000+(C7207-DATE(2000,1,1))+ROW()/100000)</f>
        <v/>
      </c>
      <c r="F7207" s="46">
        <f>IF(E7207="","",IF(C7207&gt;WeekEndDate,"",E7207))</f>
        <v/>
      </c>
    </row>
    <row r="7208">
      <c r="A7208" t="inlineStr">
        <is>
          <t>Warranty &amp; Maintenance</t>
        </is>
      </c>
      <c r="B7208" s="46">
        <f>'Warranty &amp; Maintenance'!N173</f>
        <v/>
      </c>
      <c r="C7208" s="84">
        <f>'Warranty &amp; Maintenance'!L173</f>
        <v/>
      </c>
      <c r="D7208" s="46">
        <f>'Warranty &amp; Maintenance'!M173</f>
        <v/>
      </c>
      <c r="E7208" s="46">
        <f>IF(OR(B7208="",C7208="",D7208=""),"",D7208*100000+(C7208-DATE(2000,1,1))+ROW()/100000)</f>
        <v/>
      </c>
      <c r="F7208" s="46">
        <f>IF(E7208="","",IF(C7208&gt;WeekEndDate,"",E7208))</f>
        <v/>
      </c>
    </row>
    <row r="7209">
      <c r="A7209" t="inlineStr">
        <is>
          <t>Warranty &amp; Maintenance</t>
        </is>
      </c>
      <c r="B7209" s="46">
        <f>'Warranty &amp; Maintenance'!N174</f>
        <v/>
      </c>
      <c r="C7209" s="84">
        <f>'Warranty &amp; Maintenance'!L174</f>
        <v/>
      </c>
      <c r="D7209" s="46">
        <f>'Warranty &amp; Maintenance'!M174</f>
        <v/>
      </c>
      <c r="E7209" s="46">
        <f>IF(OR(B7209="",C7209="",D7209=""),"",D7209*100000+(C7209-DATE(2000,1,1))+ROW()/100000)</f>
        <v/>
      </c>
      <c r="F7209" s="46">
        <f>IF(E7209="","",IF(C7209&gt;WeekEndDate,"",E7209))</f>
        <v/>
      </c>
    </row>
    <row r="7210">
      <c r="A7210" t="inlineStr">
        <is>
          <t>Warranty &amp; Maintenance</t>
        </is>
      </c>
      <c r="B7210" s="46">
        <f>'Warranty &amp; Maintenance'!N175</f>
        <v/>
      </c>
      <c r="C7210" s="84">
        <f>'Warranty &amp; Maintenance'!L175</f>
        <v/>
      </c>
      <c r="D7210" s="46">
        <f>'Warranty &amp; Maintenance'!M175</f>
        <v/>
      </c>
      <c r="E7210" s="46">
        <f>IF(OR(B7210="",C7210="",D7210=""),"",D7210*100000+(C7210-DATE(2000,1,1))+ROW()/100000)</f>
        <v/>
      </c>
      <c r="F7210" s="46">
        <f>IF(E7210="","",IF(C7210&gt;WeekEndDate,"",E7210))</f>
        <v/>
      </c>
    </row>
    <row r="7211">
      <c r="A7211" t="inlineStr">
        <is>
          <t>Warranty &amp; Maintenance</t>
        </is>
      </c>
      <c r="B7211" s="46">
        <f>'Warranty &amp; Maintenance'!N176</f>
        <v/>
      </c>
      <c r="C7211" s="84">
        <f>'Warranty &amp; Maintenance'!L176</f>
        <v/>
      </c>
      <c r="D7211" s="46">
        <f>'Warranty &amp; Maintenance'!M176</f>
        <v/>
      </c>
      <c r="E7211" s="46">
        <f>IF(OR(B7211="",C7211="",D7211=""),"",D7211*100000+(C7211-DATE(2000,1,1))+ROW()/100000)</f>
        <v/>
      </c>
      <c r="F7211" s="46">
        <f>IF(E7211="","",IF(C7211&gt;WeekEndDate,"",E7211))</f>
        <v/>
      </c>
    </row>
    <row r="7212">
      <c r="A7212" t="inlineStr">
        <is>
          <t>Warranty &amp; Maintenance</t>
        </is>
      </c>
      <c r="B7212" s="46">
        <f>'Warranty &amp; Maintenance'!N177</f>
        <v/>
      </c>
      <c r="C7212" s="84">
        <f>'Warranty &amp; Maintenance'!L177</f>
        <v/>
      </c>
      <c r="D7212" s="46">
        <f>'Warranty &amp; Maintenance'!M177</f>
        <v/>
      </c>
      <c r="E7212" s="46">
        <f>IF(OR(B7212="",C7212="",D7212=""),"",D7212*100000+(C7212-DATE(2000,1,1))+ROW()/100000)</f>
        <v/>
      </c>
      <c r="F7212" s="46">
        <f>IF(E7212="","",IF(C7212&gt;WeekEndDate,"",E7212))</f>
        <v/>
      </c>
    </row>
    <row r="7213">
      <c r="A7213" t="inlineStr">
        <is>
          <t>Warranty &amp; Maintenance</t>
        </is>
      </c>
      <c r="B7213" s="46">
        <f>'Warranty &amp; Maintenance'!N178</f>
        <v/>
      </c>
      <c r="C7213" s="84">
        <f>'Warranty &amp; Maintenance'!L178</f>
        <v/>
      </c>
      <c r="D7213" s="46">
        <f>'Warranty &amp; Maintenance'!M178</f>
        <v/>
      </c>
      <c r="E7213" s="46">
        <f>IF(OR(B7213="",C7213="",D7213=""),"",D7213*100000+(C7213-DATE(2000,1,1))+ROW()/100000)</f>
        <v/>
      </c>
      <c r="F7213" s="46">
        <f>IF(E7213="","",IF(C7213&gt;WeekEndDate,"",E7213))</f>
        <v/>
      </c>
    </row>
    <row r="7214">
      <c r="A7214" t="inlineStr">
        <is>
          <t>Warranty &amp; Maintenance</t>
        </is>
      </c>
      <c r="B7214" s="46">
        <f>'Warranty &amp; Maintenance'!N179</f>
        <v/>
      </c>
      <c r="C7214" s="84">
        <f>'Warranty &amp; Maintenance'!L179</f>
        <v/>
      </c>
      <c r="D7214" s="46">
        <f>'Warranty &amp; Maintenance'!M179</f>
        <v/>
      </c>
      <c r="E7214" s="46">
        <f>IF(OR(B7214="",C7214="",D7214=""),"",D7214*100000+(C7214-DATE(2000,1,1))+ROW()/100000)</f>
        <v/>
      </c>
      <c r="F7214" s="46">
        <f>IF(E7214="","",IF(C7214&gt;WeekEndDate,"",E7214))</f>
        <v/>
      </c>
    </row>
    <row r="7215">
      <c r="A7215" t="inlineStr">
        <is>
          <t>Warranty &amp; Maintenance</t>
        </is>
      </c>
      <c r="B7215" s="46">
        <f>'Warranty &amp; Maintenance'!N180</f>
        <v/>
      </c>
      <c r="C7215" s="84">
        <f>'Warranty &amp; Maintenance'!L180</f>
        <v/>
      </c>
      <c r="D7215" s="46">
        <f>'Warranty &amp; Maintenance'!M180</f>
        <v/>
      </c>
      <c r="E7215" s="46">
        <f>IF(OR(B7215="",C7215="",D7215=""),"",D7215*100000+(C7215-DATE(2000,1,1))+ROW()/100000)</f>
        <v/>
      </c>
      <c r="F7215" s="46">
        <f>IF(E7215="","",IF(C7215&gt;WeekEndDate,"",E7215))</f>
        <v/>
      </c>
    </row>
    <row r="7216">
      <c r="A7216" t="inlineStr">
        <is>
          <t>Warranty &amp; Maintenance</t>
        </is>
      </c>
      <c r="B7216" s="46">
        <f>'Warranty &amp; Maintenance'!N181</f>
        <v/>
      </c>
      <c r="C7216" s="84">
        <f>'Warranty &amp; Maintenance'!L181</f>
        <v/>
      </c>
      <c r="D7216" s="46">
        <f>'Warranty &amp; Maintenance'!M181</f>
        <v/>
      </c>
      <c r="E7216" s="46">
        <f>IF(OR(B7216="",C7216="",D7216=""),"",D7216*100000+(C7216-DATE(2000,1,1))+ROW()/100000)</f>
        <v/>
      </c>
      <c r="F7216" s="46">
        <f>IF(E7216="","",IF(C7216&gt;WeekEndDate,"",E7216))</f>
        <v/>
      </c>
    </row>
    <row r="7217">
      <c r="A7217" t="inlineStr">
        <is>
          <t>Warranty &amp; Maintenance</t>
        </is>
      </c>
      <c r="B7217" s="46">
        <f>'Warranty &amp; Maintenance'!N182</f>
        <v/>
      </c>
      <c r="C7217" s="84">
        <f>'Warranty &amp; Maintenance'!L182</f>
        <v/>
      </c>
      <c r="D7217" s="46">
        <f>'Warranty &amp; Maintenance'!M182</f>
        <v/>
      </c>
      <c r="E7217" s="46">
        <f>IF(OR(B7217="",C7217="",D7217=""),"",D7217*100000+(C7217-DATE(2000,1,1))+ROW()/100000)</f>
        <v/>
      </c>
      <c r="F7217" s="46">
        <f>IF(E7217="","",IF(C7217&gt;WeekEndDate,"",E7217))</f>
        <v/>
      </c>
    </row>
    <row r="7218">
      <c r="A7218" t="inlineStr">
        <is>
          <t>Warranty &amp; Maintenance</t>
        </is>
      </c>
      <c r="B7218" s="46">
        <f>'Warranty &amp; Maintenance'!N183</f>
        <v/>
      </c>
      <c r="C7218" s="84">
        <f>'Warranty &amp; Maintenance'!L183</f>
        <v/>
      </c>
      <c r="D7218" s="46">
        <f>'Warranty &amp; Maintenance'!M183</f>
        <v/>
      </c>
      <c r="E7218" s="46">
        <f>IF(OR(B7218="",C7218="",D7218=""),"",D7218*100000+(C7218-DATE(2000,1,1))+ROW()/100000)</f>
        <v/>
      </c>
      <c r="F7218" s="46">
        <f>IF(E7218="","",IF(C7218&gt;WeekEndDate,"",E7218))</f>
        <v/>
      </c>
    </row>
    <row r="7219">
      <c r="A7219" t="inlineStr">
        <is>
          <t>Warranty &amp; Maintenance</t>
        </is>
      </c>
      <c r="B7219" s="46">
        <f>'Warranty &amp; Maintenance'!N184</f>
        <v/>
      </c>
      <c r="C7219" s="84">
        <f>'Warranty &amp; Maintenance'!L184</f>
        <v/>
      </c>
      <c r="D7219" s="46">
        <f>'Warranty &amp; Maintenance'!M184</f>
        <v/>
      </c>
      <c r="E7219" s="46">
        <f>IF(OR(B7219="",C7219="",D7219=""),"",D7219*100000+(C7219-DATE(2000,1,1))+ROW()/100000)</f>
        <v/>
      </c>
      <c r="F7219" s="46">
        <f>IF(E7219="","",IF(C7219&gt;WeekEndDate,"",E7219))</f>
        <v/>
      </c>
    </row>
    <row r="7220">
      <c r="A7220" t="inlineStr">
        <is>
          <t>Warranty &amp; Maintenance</t>
        </is>
      </c>
      <c r="B7220" s="46">
        <f>'Warranty &amp; Maintenance'!N185</f>
        <v/>
      </c>
      <c r="C7220" s="84">
        <f>'Warranty &amp; Maintenance'!L185</f>
        <v/>
      </c>
      <c r="D7220" s="46">
        <f>'Warranty &amp; Maintenance'!M185</f>
        <v/>
      </c>
      <c r="E7220" s="46">
        <f>IF(OR(B7220="",C7220="",D7220=""),"",D7220*100000+(C7220-DATE(2000,1,1))+ROW()/100000)</f>
        <v/>
      </c>
      <c r="F7220" s="46">
        <f>IF(E7220="","",IF(C7220&gt;WeekEndDate,"",E7220))</f>
        <v/>
      </c>
    </row>
    <row r="7221">
      <c r="A7221" t="inlineStr">
        <is>
          <t>Warranty &amp; Maintenance</t>
        </is>
      </c>
      <c r="B7221" s="46">
        <f>'Warranty &amp; Maintenance'!N186</f>
        <v/>
      </c>
      <c r="C7221" s="84">
        <f>'Warranty &amp; Maintenance'!L186</f>
        <v/>
      </c>
      <c r="D7221" s="46">
        <f>'Warranty &amp; Maintenance'!M186</f>
        <v/>
      </c>
      <c r="E7221" s="46">
        <f>IF(OR(B7221="",C7221="",D7221=""),"",D7221*100000+(C7221-DATE(2000,1,1))+ROW()/100000)</f>
        <v/>
      </c>
      <c r="F7221" s="46">
        <f>IF(E7221="","",IF(C7221&gt;WeekEndDate,"",E7221))</f>
        <v/>
      </c>
    </row>
    <row r="7222">
      <c r="A7222" t="inlineStr">
        <is>
          <t>Warranty &amp; Maintenance</t>
        </is>
      </c>
      <c r="B7222" s="46">
        <f>'Warranty &amp; Maintenance'!N187</f>
        <v/>
      </c>
      <c r="C7222" s="84">
        <f>'Warranty &amp; Maintenance'!L187</f>
        <v/>
      </c>
      <c r="D7222" s="46">
        <f>'Warranty &amp; Maintenance'!M187</f>
        <v/>
      </c>
      <c r="E7222" s="46">
        <f>IF(OR(B7222="",C7222="",D7222=""),"",D7222*100000+(C7222-DATE(2000,1,1))+ROW()/100000)</f>
        <v/>
      </c>
      <c r="F7222" s="46">
        <f>IF(E7222="","",IF(C7222&gt;WeekEndDate,"",E7222))</f>
        <v/>
      </c>
    </row>
    <row r="7223">
      <c r="A7223" t="inlineStr">
        <is>
          <t>Warranty &amp; Maintenance</t>
        </is>
      </c>
      <c r="B7223" s="46">
        <f>'Warranty &amp; Maintenance'!N188</f>
        <v/>
      </c>
      <c r="C7223" s="84">
        <f>'Warranty &amp; Maintenance'!L188</f>
        <v/>
      </c>
      <c r="D7223" s="46">
        <f>'Warranty &amp; Maintenance'!M188</f>
        <v/>
      </c>
      <c r="E7223" s="46">
        <f>IF(OR(B7223="",C7223="",D7223=""),"",D7223*100000+(C7223-DATE(2000,1,1))+ROW()/100000)</f>
        <v/>
      </c>
      <c r="F7223" s="46">
        <f>IF(E7223="","",IF(C7223&gt;WeekEndDate,"",E7223))</f>
        <v/>
      </c>
    </row>
    <row r="7224">
      <c r="A7224" t="inlineStr">
        <is>
          <t>Warranty &amp; Maintenance</t>
        </is>
      </c>
      <c r="B7224" s="46">
        <f>'Warranty &amp; Maintenance'!N189</f>
        <v/>
      </c>
      <c r="C7224" s="84">
        <f>'Warranty &amp; Maintenance'!L189</f>
        <v/>
      </c>
      <c r="D7224" s="46">
        <f>'Warranty &amp; Maintenance'!M189</f>
        <v/>
      </c>
      <c r="E7224" s="46">
        <f>IF(OR(B7224="",C7224="",D7224=""),"",D7224*100000+(C7224-DATE(2000,1,1))+ROW()/100000)</f>
        <v/>
      </c>
      <c r="F7224" s="46">
        <f>IF(E7224="","",IF(C7224&gt;WeekEndDate,"",E7224))</f>
        <v/>
      </c>
    </row>
    <row r="7225">
      <c r="A7225" t="inlineStr">
        <is>
          <t>Warranty &amp; Maintenance</t>
        </is>
      </c>
      <c r="B7225" s="46">
        <f>'Warranty &amp; Maintenance'!N190</f>
        <v/>
      </c>
      <c r="C7225" s="84">
        <f>'Warranty &amp; Maintenance'!L190</f>
        <v/>
      </c>
      <c r="D7225" s="46">
        <f>'Warranty &amp; Maintenance'!M190</f>
        <v/>
      </c>
      <c r="E7225" s="46">
        <f>IF(OR(B7225="",C7225="",D7225=""),"",D7225*100000+(C7225-DATE(2000,1,1))+ROW()/100000)</f>
        <v/>
      </c>
      <c r="F7225" s="46">
        <f>IF(E7225="","",IF(C7225&gt;WeekEndDate,"",E7225))</f>
        <v/>
      </c>
    </row>
    <row r="7226">
      <c r="A7226" t="inlineStr">
        <is>
          <t>Warranty &amp; Maintenance</t>
        </is>
      </c>
      <c r="B7226" s="46">
        <f>'Warranty &amp; Maintenance'!N191</f>
        <v/>
      </c>
      <c r="C7226" s="84">
        <f>'Warranty &amp; Maintenance'!L191</f>
        <v/>
      </c>
      <c r="D7226" s="46">
        <f>'Warranty &amp; Maintenance'!M191</f>
        <v/>
      </c>
      <c r="E7226" s="46">
        <f>IF(OR(B7226="",C7226="",D7226=""),"",D7226*100000+(C7226-DATE(2000,1,1))+ROW()/100000)</f>
        <v/>
      </c>
      <c r="F7226" s="46">
        <f>IF(E7226="","",IF(C7226&gt;WeekEndDate,"",E7226))</f>
        <v/>
      </c>
    </row>
    <row r="7227">
      <c r="A7227" t="inlineStr">
        <is>
          <t>Warranty &amp; Maintenance</t>
        </is>
      </c>
      <c r="B7227" s="46">
        <f>'Warranty &amp; Maintenance'!N192</f>
        <v/>
      </c>
      <c r="C7227" s="84">
        <f>'Warranty &amp; Maintenance'!L192</f>
        <v/>
      </c>
      <c r="D7227" s="46">
        <f>'Warranty &amp; Maintenance'!M192</f>
        <v/>
      </c>
      <c r="E7227" s="46">
        <f>IF(OR(B7227="",C7227="",D7227=""),"",D7227*100000+(C7227-DATE(2000,1,1))+ROW()/100000)</f>
        <v/>
      </c>
      <c r="F7227" s="46">
        <f>IF(E7227="","",IF(C7227&gt;WeekEndDate,"",E7227))</f>
        <v/>
      </c>
    </row>
    <row r="7228">
      <c r="A7228" t="inlineStr">
        <is>
          <t>Warranty &amp; Maintenance</t>
        </is>
      </c>
      <c r="B7228" s="46">
        <f>'Warranty &amp; Maintenance'!N193</f>
        <v/>
      </c>
      <c r="C7228" s="84">
        <f>'Warranty &amp; Maintenance'!L193</f>
        <v/>
      </c>
      <c r="D7228" s="46">
        <f>'Warranty &amp; Maintenance'!M193</f>
        <v/>
      </c>
      <c r="E7228" s="46">
        <f>IF(OR(B7228="",C7228="",D7228=""),"",D7228*100000+(C7228-DATE(2000,1,1))+ROW()/100000)</f>
        <v/>
      </c>
      <c r="F7228" s="46">
        <f>IF(E7228="","",IF(C7228&gt;WeekEndDate,"",E7228))</f>
        <v/>
      </c>
    </row>
    <row r="7229">
      <c r="A7229" t="inlineStr">
        <is>
          <t>Warranty &amp; Maintenance</t>
        </is>
      </c>
      <c r="B7229" s="46">
        <f>'Warranty &amp; Maintenance'!N194</f>
        <v/>
      </c>
      <c r="C7229" s="84">
        <f>'Warranty &amp; Maintenance'!L194</f>
        <v/>
      </c>
      <c r="D7229" s="46">
        <f>'Warranty &amp; Maintenance'!M194</f>
        <v/>
      </c>
      <c r="E7229" s="46">
        <f>IF(OR(B7229="",C7229="",D7229=""),"",D7229*100000+(C7229-DATE(2000,1,1))+ROW()/100000)</f>
        <v/>
      </c>
      <c r="F7229" s="46">
        <f>IF(E7229="","",IF(C7229&gt;WeekEndDate,"",E7229))</f>
        <v/>
      </c>
    </row>
    <row r="7230">
      <c r="A7230" t="inlineStr">
        <is>
          <t>Warranty &amp; Maintenance</t>
        </is>
      </c>
      <c r="B7230" s="46">
        <f>'Warranty &amp; Maintenance'!N195</f>
        <v/>
      </c>
      <c r="C7230" s="84">
        <f>'Warranty &amp; Maintenance'!L195</f>
        <v/>
      </c>
      <c r="D7230" s="46">
        <f>'Warranty &amp; Maintenance'!M195</f>
        <v/>
      </c>
      <c r="E7230" s="46">
        <f>IF(OR(B7230="",C7230="",D7230=""),"",D7230*100000+(C7230-DATE(2000,1,1))+ROW()/100000)</f>
        <v/>
      </c>
      <c r="F7230" s="46">
        <f>IF(E7230="","",IF(C7230&gt;WeekEndDate,"",E7230))</f>
        <v/>
      </c>
    </row>
    <row r="7231">
      <c r="A7231" t="inlineStr">
        <is>
          <t>Warranty &amp; Maintenance</t>
        </is>
      </c>
      <c r="B7231" s="46">
        <f>'Warranty &amp; Maintenance'!N196</f>
        <v/>
      </c>
      <c r="C7231" s="84">
        <f>'Warranty &amp; Maintenance'!L196</f>
        <v/>
      </c>
      <c r="D7231" s="46">
        <f>'Warranty &amp; Maintenance'!M196</f>
        <v/>
      </c>
      <c r="E7231" s="46">
        <f>IF(OR(B7231="",C7231="",D7231=""),"",D7231*100000+(C7231-DATE(2000,1,1))+ROW()/100000)</f>
        <v/>
      </c>
      <c r="F7231" s="46">
        <f>IF(E7231="","",IF(C7231&gt;WeekEndDate,"",E7231))</f>
        <v/>
      </c>
    </row>
    <row r="7232">
      <c r="A7232" t="inlineStr">
        <is>
          <t>Warranty &amp; Maintenance</t>
        </is>
      </c>
      <c r="B7232" s="46">
        <f>'Warranty &amp; Maintenance'!N197</f>
        <v/>
      </c>
      <c r="C7232" s="84">
        <f>'Warranty &amp; Maintenance'!L197</f>
        <v/>
      </c>
      <c r="D7232" s="46">
        <f>'Warranty &amp; Maintenance'!M197</f>
        <v/>
      </c>
      <c r="E7232" s="46">
        <f>IF(OR(B7232="",C7232="",D7232=""),"",D7232*100000+(C7232-DATE(2000,1,1))+ROW()/100000)</f>
        <v/>
      </c>
      <c r="F7232" s="46">
        <f>IF(E7232="","",IF(C7232&gt;WeekEndDate,"",E7232))</f>
        <v/>
      </c>
    </row>
    <row r="7233">
      <c r="A7233" t="inlineStr">
        <is>
          <t>Warranty &amp; Maintenance</t>
        </is>
      </c>
      <c r="B7233" s="46">
        <f>'Warranty &amp; Maintenance'!N198</f>
        <v/>
      </c>
      <c r="C7233" s="84">
        <f>'Warranty &amp; Maintenance'!L198</f>
        <v/>
      </c>
      <c r="D7233" s="46">
        <f>'Warranty &amp; Maintenance'!M198</f>
        <v/>
      </c>
      <c r="E7233" s="46">
        <f>IF(OR(B7233="",C7233="",D7233=""),"",D7233*100000+(C7233-DATE(2000,1,1))+ROW()/100000)</f>
        <v/>
      </c>
      <c r="F7233" s="46">
        <f>IF(E7233="","",IF(C7233&gt;WeekEndDate,"",E7233))</f>
        <v/>
      </c>
    </row>
    <row r="7234">
      <c r="A7234" t="inlineStr">
        <is>
          <t>Warranty &amp; Maintenance</t>
        </is>
      </c>
      <c r="B7234" s="46">
        <f>'Warranty &amp; Maintenance'!N199</f>
        <v/>
      </c>
      <c r="C7234" s="84">
        <f>'Warranty &amp; Maintenance'!L199</f>
        <v/>
      </c>
      <c r="D7234" s="46">
        <f>'Warranty &amp; Maintenance'!M199</f>
        <v/>
      </c>
      <c r="E7234" s="46">
        <f>IF(OR(B7234="",C7234="",D7234=""),"",D7234*100000+(C7234-DATE(2000,1,1))+ROW()/100000)</f>
        <v/>
      </c>
      <c r="F7234" s="46">
        <f>IF(E7234="","",IF(C7234&gt;WeekEndDate,"",E7234))</f>
        <v/>
      </c>
    </row>
    <row r="7235">
      <c r="A7235" t="inlineStr">
        <is>
          <t>Warranty &amp; Maintenance</t>
        </is>
      </c>
      <c r="B7235" s="46">
        <f>'Warranty &amp; Maintenance'!N200</f>
        <v/>
      </c>
      <c r="C7235" s="84">
        <f>'Warranty &amp; Maintenance'!L200</f>
        <v/>
      </c>
      <c r="D7235" s="46">
        <f>'Warranty &amp; Maintenance'!M200</f>
        <v/>
      </c>
      <c r="E7235" s="46">
        <f>IF(OR(B7235="",C7235="",D7235=""),"",D7235*100000+(C7235-DATE(2000,1,1))+ROW()/100000)</f>
        <v/>
      </c>
      <c r="F7235" s="46">
        <f>IF(E7235="","",IF(C7235&gt;WeekEndDate,"",E7235))</f>
        <v/>
      </c>
    </row>
    <row r="7236">
      <c r="A7236" t="inlineStr">
        <is>
          <t>Warranty &amp; Maintenance</t>
        </is>
      </c>
      <c r="B7236" s="46">
        <f>'Warranty &amp; Maintenance'!N201</f>
        <v/>
      </c>
      <c r="C7236" s="84">
        <f>'Warranty &amp; Maintenance'!L201</f>
        <v/>
      </c>
      <c r="D7236" s="46">
        <f>'Warranty &amp; Maintenance'!M201</f>
        <v/>
      </c>
      <c r="E7236" s="46">
        <f>IF(OR(B7236="",C7236="",D7236=""),"",D7236*100000+(C7236-DATE(2000,1,1))+ROW()/100000)</f>
        <v/>
      </c>
      <c r="F7236" s="46">
        <f>IF(E7236="","",IF(C7236&gt;WeekEndDate,"",E7236))</f>
        <v/>
      </c>
    </row>
    <row r="7237">
      <c r="A7237" t="inlineStr">
        <is>
          <t>Warranty &amp; Maintenance</t>
        </is>
      </c>
      <c r="B7237" s="46">
        <f>'Warranty &amp; Maintenance'!N202</f>
        <v/>
      </c>
      <c r="C7237" s="84">
        <f>'Warranty &amp; Maintenance'!L202</f>
        <v/>
      </c>
      <c r="D7237" s="46">
        <f>'Warranty &amp; Maintenance'!M202</f>
        <v/>
      </c>
      <c r="E7237" s="46">
        <f>IF(OR(B7237="",C7237="",D7237=""),"",D7237*100000+(C7237-DATE(2000,1,1))+ROW()/100000)</f>
        <v/>
      </c>
      <c r="F7237" s="46">
        <f>IF(E7237="","",IF(C7237&gt;WeekEndDate,"",E7237))</f>
        <v/>
      </c>
    </row>
    <row r="7238">
      <c r="A7238" t="inlineStr">
        <is>
          <t>Warranty &amp; Maintenance</t>
        </is>
      </c>
      <c r="B7238" s="46">
        <f>'Warranty &amp; Maintenance'!N203</f>
        <v/>
      </c>
      <c r="C7238" s="84">
        <f>'Warranty &amp; Maintenance'!L203</f>
        <v/>
      </c>
      <c r="D7238" s="46">
        <f>'Warranty &amp; Maintenance'!M203</f>
        <v/>
      </c>
      <c r="E7238" s="46">
        <f>IF(OR(B7238="",C7238="",D7238=""),"",D7238*100000+(C7238-DATE(2000,1,1))+ROW()/100000)</f>
        <v/>
      </c>
      <c r="F7238" s="46">
        <f>IF(E7238="","",IF(C7238&gt;WeekEndDate,"",E7238))</f>
        <v/>
      </c>
    </row>
    <row r="7239">
      <c r="A7239" t="inlineStr">
        <is>
          <t>Warranty &amp; Maintenance</t>
        </is>
      </c>
      <c r="B7239" s="46">
        <f>'Warranty &amp; Maintenance'!N204</f>
        <v/>
      </c>
      <c r="C7239" s="84">
        <f>'Warranty &amp; Maintenance'!L204</f>
        <v/>
      </c>
      <c r="D7239" s="46">
        <f>'Warranty &amp; Maintenance'!M204</f>
        <v/>
      </c>
      <c r="E7239" s="46">
        <f>IF(OR(B7239="",C7239="",D7239=""),"",D7239*100000+(C7239-DATE(2000,1,1))+ROW()/100000)</f>
        <v/>
      </c>
      <c r="F7239" s="46">
        <f>IF(E7239="","",IF(C7239&gt;WeekEndDate,"",E7239))</f>
        <v/>
      </c>
    </row>
    <row r="7240">
      <c r="A7240" t="inlineStr">
        <is>
          <t>Warranty &amp; Maintenance</t>
        </is>
      </c>
      <c r="B7240" s="46">
        <f>'Warranty &amp; Maintenance'!N205</f>
        <v/>
      </c>
      <c r="C7240" s="84">
        <f>'Warranty &amp; Maintenance'!L205</f>
        <v/>
      </c>
      <c r="D7240" s="46">
        <f>'Warranty &amp; Maintenance'!M205</f>
        <v/>
      </c>
      <c r="E7240" s="46">
        <f>IF(OR(B7240="",C7240="",D7240=""),"",D7240*100000+(C7240-DATE(2000,1,1))+ROW()/100000)</f>
        <v/>
      </c>
      <c r="F7240" s="46">
        <f>IF(E7240="","",IF(C7240&gt;WeekEndDate,"",E7240))</f>
        <v/>
      </c>
    </row>
    <row r="7241">
      <c r="A7241" t="inlineStr">
        <is>
          <t>Warranty &amp; Maintenance</t>
        </is>
      </c>
      <c r="B7241" s="46">
        <f>'Warranty &amp; Maintenance'!N206</f>
        <v/>
      </c>
      <c r="C7241" s="84">
        <f>'Warranty &amp; Maintenance'!L206</f>
        <v/>
      </c>
      <c r="D7241" s="46">
        <f>'Warranty &amp; Maintenance'!M206</f>
        <v/>
      </c>
      <c r="E7241" s="46">
        <f>IF(OR(B7241="",C7241="",D7241=""),"",D7241*100000+(C7241-DATE(2000,1,1))+ROW()/100000)</f>
        <v/>
      </c>
      <c r="F7241" s="46">
        <f>IF(E7241="","",IF(C7241&gt;WeekEndDate,"",E7241))</f>
        <v/>
      </c>
    </row>
    <row r="7242">
      <c r="A7242" t="inlineStr">
        <is>
          <t>Warranty &amp; Maintenance</t>
        </is>
      </c>
      <c r="B7242" s="46">
        <f>'Warranty &amp; Maintenance'!N207</f>
        <v/>
      </c>
      <c r="C7242" s="84">
        <f>'Warranty &amp; Maintenance'!L207</f>
        <v/>
      </c>
      <c r="D7242" s="46">
        <f>'Warranty &amp; Maintenance'!M207</f>
        <v/>
      </c>
      <c r="E7242" s="46">
        <f>IF(OR(B7242="",C7242="",D7242=""),"",D7242*100000+(C7242-DATE(2000,1,1))+ROW()/100000)</f>
        <v/>
      </c>
      <c r="F7242" s="46">
        <f>IF(E7242="","",IF(C7242&gt;WeekEndDate,"",E7242))</f>
        <v/>
      </c>
    </row>
    <row r="7243">
      <c r="A7243" t="inlineStr">
        <is>
          <t>Warranty &amp; Maintenance</t>
        </is>
      </c>
      <c r="B7243" s="46">
        <f>'Warranty &amp; Maintenance'!N208</f>
        <v/>
      </c>
      <c r="C7243" s="84">
        <f>'Warranty &amp; Maintenance'!L208</f>
        <v/>
      </c>
      <c r="D7243" s="46">
        <f>'Warranty &amp; Maintenance'!M208</f>
        <v/>
      </c>
      <c r="E7243" s="46">
        <f>IF(OR(B7243="",C7243="",D7243=""),"",D7243*100000+(C7243-DATE(2000,1,1))+ROW()/100000)</f>
        <v/>
      </c>
      <c r="F7243" s="46">
        <f>IF(E7243="","",IF(C7243&gt;WeekEndDate,"",E7243))</f>
        <v/>
      </c>
    </row>
    <row r="7244">
      <c r="A7244" t="inlineStr">
        <is>
          <t>Warranty &amp; Maintenance</t>
        </is>
      </c>
      <c r="B7244" s="46">
        <f>'Warranty &amp; Maintenance'!N209</f>
        <v/>
      </c>
      <c r="C7244" s="84">
        <f>'Warranty &amp; Maintenance'!L209</f>
        <v/>
      </c>
      <c r="D7244" s="46">
        <f>'Warranty &amp; Maintenance'!M209</f>
        <v/>
      </c>
      <c r="E7244" s="46">
        <f>IF(OR(B7244="",C7244="",D7244=""),"",D7244*100000+(C7244-DATE(2000,1,1))+ROW()/100000)</f>
        <v/>
      </c>
      <c r="F7244" s="46">
        <f>IF(E7244="","",IF(C7244&gt;WeekEndDate,"",E7244))</f>
        <v/>
      </c>
    </row>
    <row r="7245">
      <c r="A7245" t="inlineStr">
        <is>
          <t>Warranty &amp; Maintenance</t>
        </is>
      </c>
      <c r="B7245" s="46">
        <f>'Warranty &amp; Maintenance'!N210</f>
        <v/>
      </c>
      <c r="C7245" s="84">
        <f>'Warranty &amp; Maintenance'!L210</f>
        <v/>
      </c>
      <c r="D7245" s="46">
        <f>'Warranty &amp; Maintenance'!M210</f>
        <v/>
      </c>
      <c r="E7245" s="46">
        <f>IF(OR(B7245="",C7245="",D7245=""),"",D7245*100000+(C7245-DATE(2000,1,1))+ROW()/100000)</f>
        <v/>
      </c>
      <c r="F7245" s="46">
        <f>IF(E7245="","",IF(C7245&gt;WeekEndDate,"",E7245))</f>
        <v/>
      </c>
    </row>
    <row r="7246">
      <c r="A7246" t="inlineStr">
        <is>
          <t>Warranty &amp; Maintenance</t>
        </is>
      </c>
      <c r="B7246" s="46">
        <f>'Warranty &amp; Maintenance'!N211</f>
        <v/>
      </c>
      <c r="C7246" s="84">
        <f>'Warranty &amp; Maintenance'!L211</f>
        <v/>
      </c>
      <c r="D7246" s="46">
        <f>'Warranty &amp; Maintenance'!M211</f>
        <v/>
      </c>
      <c r="E7246" s="46">
        <f>IF(OR(B7246="",C7246="",D7246=""),"",D7246*100000+(C7246-DATE(2000,1,1))+ROW()/100000)</f>
        <v/>
      </c>
      <c r="F7246" s="46">
        <f>IF(E7246="","",IF(C7246&gt;WeekEndDate,"",E7246))</f>
        <v/>
      </c>
    </row>
    <row r="7247">
      <c r="A7247" t="inlineStr">
        <is>
          <t>Warranty &amp; Maintenance</t>
        </is>
      </c>
      <c r="B7247" s="46">
        <f>'Warranty &amp; Maintenance'!N212</f>
        <v/>
      </c>
      <c r="C7247" s="84">
        <f>'Warranty &amp; Maintenance'!L212</f>
        <v/>
      </c>
      <c r="D7247" s="46">
        <f>'Warranty &amp; Maintenance'!M212</f>
        <v/>
      </c>
      <c r="E7247" s="46">
        <f>IF(OR(B7247="",C7247="",D7247=""),"",D7247*100000+(C7247-DATE(2000,1,1))+ROW()/100000)</f>
        <v/>
      </c>
      <c r="F7247" s="46">
        <f>IF(E7247="","",IF(C7247&gt;WeekEndDate,"",E7247))</f>
        <v/>
      </c>
    </row>
    <row r="7248">
      <c r="A7248" t="inlineStr">
        <is>
          <t>Warranty &amp; Maintenance</t>
        </is>
      </c>
      <c r="B7248" s="46">
        <f>'Warranty &amp; Maintenance'!N213</f>
        <v/>
      </c>
      <c r="C7248" s="84">
        <f>'Warranty &amp; Maintenance'!L213</f>
        <v/>
      </c>
      <c r="D7248" s="46">
        <f>'Warranty &amp; Maintenance'!M213</f>
        <v/>
      </c>
      <c r="E7248" s="46">
        <f>IF(OR(B7248="",C7248="",D7248=""),"",D7248*100000+(C7248-DATE(2000,1,1))+ROW()/100000)</f>
        <v/>
      </c>
      <c r="F7248" s="46">
        <f>IF(E7248="","",IF(C7248&gt;WeekEndDate,"",E7248))</f>
        <v/>
      </c>
    </row>
    <row r="7249">
      <c r="A7249" t="inlineStr">
        <is>
          <t>Warranty &amp; Maintenance</t>
        </is>
      </c>
      <c r="B7249" s="46">
        <f>'Warranty &amp; Maintenance'!N214</f>
        <v/>
      </c>
      <c r="C7249" s="84">
        <f>'Warranty &amp; Maintenance'!L214</f>
        <v/>
      </c>
      <c r="D7249" s="46">
        <f>'Warranty &amp; Maintenance'!M214</f>
        <v/>
      </c>
      <c r="E7249" s="46">
        <f>IF(OR(B7249="",C7249="",D7249=""),"",D7249*100000+(C7249-DATE(2000,1,1))+ROW()/100000)</f>
        <v/>
      </c>
      <c r="F7249" s="46">
        <f>IF(E7249="","",IF(C7249&gt;WeekEndDate,"",E7249))</f>
        <v/>
      </c>
    </row>
    <row r="7250">
      <c r="A7250" t="inlineStr">
        <is>
          <t>Warranty &amp; Maintenance</t>
        </is>
      </c>
      <c r="B7250" s="46">
        <f>'Warranty &amp; Maintenance'!N215</f>
        <v/>
      </c>
      <c r="C7250" s="84">
        <f>'Warranty &amp; Maintenance'!L215</f>
        <v/>
      </c>
      <c r="D7250" s="46">
        <f>'Warranty &amp; Maintenance'!M215</f>
        <v/>
      </c>
      <c r="E7250" s="46">
        <f>IF(OR(B7250="",C7250="",D7250=""),"",D7250*100000+(C7250-DATE(2000,1,1))+ROW()/100000)</f>
        <v/>
      </c>
      <c r="F7250" s="46">
        <f>IF(E7250="","",IF(C7250&gt;WeekEndDate,"",E7250))</f>
        <v/>
      </c>
    </row>
    <row r="7251">
      <c r="A7251" t="inlineStr">
        <is>
          <t>Warranty &amp; Maintenance</t>
        </is>
      </c>
      <c r="B7251" s="46">
        <f>'Warranty &amp; Maintenance'!N216</f>
        <v/>
      </c>
      <c r="C7251" s="84">
        <f>'Warranty &amp; Maintenance'!L216</f>
        <v/>
      </c>
      <c r="D7251" s="46">
        <f>'Warranty &amp; Maintenance'!M216</f>
        <v/>
      </c>
      <c r="E7251" s="46">
        <f>IF(OR(B7251="",C7251="",D7251=""),"",D7251*100000+(C7251-DATE(2000,1,1))+ROW()/100000)</f>
        <v/>
      </c>
      <c r="F7251" s="46">
        <f>IF(E7251="","",IF(C7251&gt;WeekEndDate,"",E7251))</f>
        <v/>
      </c>
    </row>
    <row r="7252">
      <c r="A7252" t="inlineStr">
        <is>
          <t>Warranty &amp; Maintenance</t>
        </is>
      </c>
      <c r="B7252" s="46">
        <f>'Warranty &amp; Maintenance'!N217</f>
        <v/>
      </c>
      <c r="C7252" s="84">
        <f>'Warranty &amp; Maintenance'!L217</f>
        <v/>
      </c>
      <c r="D7252" s="46">
        <f>'Warranty &amp; Maintenance'!M217</f>
        <v/>
      </c>
      <c r="E7252" s="46">
        <f>IF(OR(B7252="",C7252="",D7252=""),"",D7252*100000+(C7252-DATE(2000,1,1))+ROW()/100000)</f>
        <v/>
      </c>
      <c r="F7252" s="46">
        <f>IF(E7252="","",IF(C7252&gt;WeekEndDate,"",E7252))</f>
        <v/>
      </c>
    </row>
    <row r="7253">
      <c r="A7253" t="inlineStr">
        <is>
          <t>Warranty &amp; Maintenance</t>
        </is>
      </c>
      <c r="B7253" s="46">
        <f>'Warranty &amp; Maintenance'!N218</f>
        <v/>
      </c>
      <c r="C7253" s="84">
        <f>'Warranty &amp; Maintenance'!L218</f>
        <v/>
      </c>
      <c r="D7253" s="46">
        <f>'Warranty &amp; Maintenance'!M218</f>
        <v/>
      </c>
      <c r="E7253" s="46">
        <f>IF(OR(B7253="",C7253="",D7253=""),"",D7253*100000+(C7253-DATE(2000,1,1))+ROW()/100000)</f>
        <v/>
      </c>
      <c r="F7253" s="46">
        <f>IF(E7253="","",IF(C7253&gt;WeekEndDate,"",E7253))</f>
        <v/>
      </c>
    </row>
    <row r="7254">
      <c r="A7254" t="inlineStr">
        <is>
          <t>Warranty &amp; Maintenance</t>
        </is>
      </c>
      <c r="B7254" s="46">
        <f>'Warranty &amp; Maintenance'!N219</f>
        <v/>
      </c>
      <c r="C7254" s="84">
        <f>'Warranty &amp; Maintenance'!L219</f>
        <v/>
      </c>
      <c r="D7254" s="46">
        <f>'Warranty &amp; Maintenance'!M219</f>
        <v/>
      </c>
      <c r="E7254" s="46">
        <f>IF(OR(B7254="",C7254="",D7254=""),"",D7254*100000+(C7254-DATE(2000,1,1))+ROW()/100000)</f>
        <v/>
      </c>
      <c r="F7254" s="46">
        <f>IF(E7254="","",IF(C7254&gt;WeekEndDate,"",E7254))</f>
        <v/>
      </c>
    </row>
    <row r="7255">
      <c r="A7255" t="inlineStr">
        <is>
          <t>Warranty &amp; Maintenance</t>
        </is>
      </c>
      <c r="B7255" s="46">
        <f>'Warranty &amp; Maintenance'!N220</f>
        <v/>
      </c>
      <c r="C7255" s="84">
        <f>'Warranty &amp; Maintenance'!L220</f>
        <v/>
      </c>
      <c r="D7255" s="46">
        <f>'Warranty &amp; Maintenance'!M220</f>
        <v/>
      </c>
      <c r="E7255" s="46">
        <f>IF(OR(B7255="",C7255="",D7255=""),"",D7255*100000+(C7255-DATE(2000,1,1))+ROW()/100000)</f>
        <v/>
      </c>
      <c r="F7255" s="46">
        <f>IF(E7255="","",IF(C7255&gt;WeekEndDate,"",E7255))</f>
        <v/>
      </c>
    </row>
    <row r="7256">
      <c r="A7256" t="inlineStr">
        <is>
          <t>Warranty &amp; Maintenance</t>
        </is>
      </c>
      <c r="B7256" s="46">
        <f>'Warranty &amp; Maintenance'!N221</f>
        <v/>
      </c>
      <c r="C7256" s="84">
        <f>'Warranty &amp; Maintenance'!L221</f>
        <v/>
      </c>
      <c r="D7256" s="46">
        <f>'Warranty &amp; Maintenance'!M221</f>
        <v/>
      </c>
      <c r="E7256" s="46">
        <f>IF(OR(B7256="",C7256="",D7256=""),"",D7256*100000+(C7256-DATE(2000,1,1))+ROW()/100000)</f>
        <v/>
      </c>
      <c r="F7256" s="46">
        <f>IF(E7256="","",IF(C7256&gt;WeekEndDate,"",E7256))</f>
        <v/>
      </c>
    </row>
    <row r="7257">
      <c r="A7257" t="inlineStr">
        <is>
          <t>Warranty &amp; Maintenance</t>
        </is>
      </c>
      <c r="B7257" s="46">
        <f>'Warranty &amp; Maintenance'!N222</f>
        <v/>
      </c>
      <c r="C7257" s="84">
        <f>'Warranty &amp; Maintenance'!L222</f>
        <v/>
      </c>
      <c r="D7257" s="46">
        <f>'Warranty &amp; Maintenance'!M222</f>
        <v/>
      </c>
      <c r="E7257" s="46">
        <f>IF(OR(B7257="",C7257="",D7257=""),"",D7257*100000+(C7257-DATE(2000,1,1))+ROW()/100000)</f>
        <v/>
      </c>
      <c r="F7257" s="46">
        <f>IF(E7257="","",IF(C7257&gt;WeekEndDate,"",E7257))</f>
        <v/>
      </c>
    </row>
    <row r="7258">
      <c r="A7258" t="inlineStr">
        <is>
          <t>Warranty &amp; Maintenance</t>
        </is>
      </c>
      <c r="B7258" s="46">
        <f>'Warranty &amp; Maintenance'!N223</f>
        <v/>
      </c>
      <c r="C7258" s="84">
        <f>'Warranty &amp; Maintenance'!L223</f>
        <v/>
      </c>
      <c r="D7258" s="46">
        <f>'Warranty &amp; Maintenance'!M223</f>
        <v/>
      </c>
      <c r="E7258" s="46">
        <f>IF(OR(B7258="",C7258="",D7258=""),"",D7258*100000+(C7258-DATE(2000,1,1))+ROW()/100000)</f>
        <v/>
      </c>
      <c r="F7258" s="46">
        <f>IF(E7258="","",IF(C7258&gt;WeekEndDate,"",E7258))</f>
        <v/>
      </c>
    </row>
    <row r="7259">
      <c r="A7259" t="inlineStr">
        <is>
          <t>Warranty &amp; Maintenance</t>
        </is>
      </c>
      <c r="B7259" s="46">
        <f>'Warranty &amp; Maintenance'!N224</f>
        <v/>
      </c>
      <c r="C7259" s="84">
        <f>'Warranty &amp; Maintenance'!L224</f>
        <v/>
      </c>
      <c r="D7259" s="46">
        <f>'Warranty &amp; Maintenance'!M224</f>
        <v/>
      </c>
      <c r="E7259" s="46">
        <f>IF(OR(B7259="",C7259="",D7259=""),"",D7259*100000+(C7259-DATE(2000,1,1))+ROW()/100000)</f>
        <v/>
      </c>
      <c r="F7259" s="46">
        <f>IF(E7259="","",IF(C7259&gt;WeekEndDate,"",E7259))</f>
        <v/>
      </c>
    </row>
    <row r="7260">
      <c r="A7260" t="inlineStr">
        <is>
          <t>Warranty &amp; Maintenance</t>
        </is>
      </c>
      <c r="B7260" s="46">
        <f>'Warranty &amp; Maintenance'!N225</f>
        <v/>
      </c>
      <c r="C7260" s="84">
        <f>'Warranty &amp; Maintenance'!L225</f>
        <v/>
      </c>
      <c r="D7260" s="46">
        <f>'Warranty &amp; Maintenance'!M225</f>
        <v/>
      </c>
      <c r="E7260" s="46">
        <f>IF(OR(B7260="",C7260="",D7260=""),"",D7260*100000+(C7260-DATE(2000,1,1))+ROW()/100000)</f>
        <v/>
      </c>
      <c r="F7260" s="46">
        <f>IF(E7260="","",IF(C7260&gt;WeekEndDate,"",E7260))</f>
        <v/>
      </c>
    </row>
    <row r="7261">
      <c r="A7261" t="inlineStr">
        <is>
          <t>Warranty &amp; Maintenance</t>
        </is>
      </c>
      <c r="B7261" s="46">
        <f>'Warranty &amp; Maintenance'!N226</f>
        <v/>
      </c>
      <c r="C7261" s="84">
        <f>'Warranty &amp; Maintenance'!L226</f>
        <v/>
      </c>
      <c r="D7261" s="46">
        <f>'Warranty &amp; Maintenance'!M226</f>
        <v/>
      </c>
      <c r="E7261" s="46">
        <f>IF(OR(B7261="",C7261="",D7261=""),"",D7261*100000+(C7261-DATE(2000,1,1))+ROW()/100000)</f>
        <v/>
      </c>
      <c r="F7261" s="46">
        <f>IF(E7261="","",IF(C7261&gt;WeekEndDate,"",E7261))</f>
        <v/>
      </c>
    </row>
    <row r="7262">
      <c r="A7262" t="inlineStr">
        <is>
          <t>Warranty &amp; Maintenance</t>
        </is>
      </c>
      <c r="B7262" s="46">
        <f>'Warranty &amp; Maintenance'!N227</f>
        <v/>
      </c>
      <c r="C7262" s="84">
        <f>'Warranty &amp; Maintenance'!L227</f>
        <v/>
      </c>
      <c r="D7262" s="46">
        <f>'Warranty &amp; Maintenance'!M227</f>
        <v/>
      </c>
      <c r="E7262" s="46">
        <f>IF(OR(B7262="",C7262="",D7262=""),"",D7262*100000+(C7262-DATE(2000,1,1))+ROW()/100000)</f>
        <v/>
      </c>
      <c r="F7262" s="46">
        <f>IF(E7262="","",IF(C7262&gt;WeekEndDate,"",E7262))</f>
        <v/>
      </c>
    </row>
    <row r="7263">
      <c r="A7263" t="inlineStr">
        <is>
          <t>Warranty &amp; Maintenance</t>
        </is>
      </c>
      <c r="B7263" s="46">
        <f>'Warranty &amp; Maintenance'!N228</f>
        <v/>
      </c>
      <c r="C7263" s="84">
        <f>'Warranty &amp; Maintenance'!L228</f>
        <v/>
      </c>
      <c r="D7263" s="46">
        <f>'Warranty &amp; Maintenance'!M228</f>
        <v/>
      </c>
      <c r="E7263" s="46">
        <f>IF(OR(B7263="",C7263="",D7263=""),"",D7263*100000+(C7263-DATE(2000,1,1))+ROW()/100000)</f>
        <v/>
      </c>
      <c r="F7263" s="46">
        <f>IF(E7263="","",IF(C7263&gt;WeekEndDate,"",E7263))</f>
        <v/>
      </c>
    </row>
    <row r="7264">
      <c r="A7264" t="inlineStr">
        <is>
          <t>Warranty &amp; Maintenance</t>
        </is>
      </c>
      <c r="B7264" s="46">
        <f>'Warranty &amp; Maintenance'!N229</f>
        <v/>
      </c>
      <c r="C7264" s="84">
        <f>'Warranty &amp; Maintenance'!L229</f>
        <v/>
      </c>
      <c r="D7264" s="46">
        <f>'Warranty &amp; Maintenance'!M229</f>
        <v/>
      </c>
      <c r="E7264" s="46">
        <f>IF(OR(B7264="",C7264="",D7264=""),"",D7264*100000+(C7264-DATE(2000,1,1))+ROW()/100000)</f>
        <v/>
      </c>
      <c r="F7264" s="46">
        <f>IF(E7264="","",IF(C7264&gt;WeekEndDate,"",E7264))</f>
        <v/>
      </c>
    </row>
    <row r="7265">
      <c r="A7265" t="inlineStr">
        <is>
          <t>Warranty &amp; Maintenance</t>
        </is>
      </c>
      <c r="B7265" s="46">
        <f>'Warranty &amp; Maintenance'!N230</f>
        <v/>
      </c>
      <c r="C7265" s="84">
        <f>'Warranty &amp; Maintenance'!L230</f>
        <v/>
      </c>
      <c r="D7265" s="46">
        <f>'Warranty &amp; Maintenance'!M230</f>
        <v/>
      </c>
      <c r="E7265" s="46">
        <f>IF(OR(B7265="",C7265="",D7265=""),"",D7265*100000+(C7265-DATE(2000,1,1))+ROW()/100000)</f>
        <v/>
      </c>
      <c r="F7265" s="46">
        <f>IF(E7265="","",IF(C7265&gt;WeekEndDate,"",E7265))</f>
        <v/>
      </c>
    </row>
    <row r="7266">
      <c r="A7266" t="inlineStr">
        <is>
          <t>Warranty &amp; Maintenance</t>
        </is>
      </c>
      <c r="B7266" s="46">
        <f>'Warranty &amp; Maintenance'!N231</f>
        <v/>
      </c>
      <c r="C7266" s="84">
        <f>'Warranty &amp; Maintenance'!L231</f>
        <v/>
      </c>
      <c r="D7266" s="46">
        <f>'Warranty &amp; Maintenance'!M231</f>
        <v/>
      </c>
      <c r="E7266" s="46">
        <f>IF(OR(B7266="",C7266="",D7266=""),"",D7266*100000+(C7266-DATE(2000,1,1))+ROW()/100000)</f>
        <v/>
      </c>
      <c r="F7266" s="46">
        <f>IF(E7266="","",IF(C7266&gt;WeekEndDate,"",E7266))</f>
        <v/>
      </c>
    </row>
    <row r="7267">
      <c r="A7267" t="inlineStr">
        <is>
          <t>Warranty &amp; Maintenance</t>
        </is>
      </c>
      <c r="B7267" s="46">
        <f>'Warranty &amp; Maintenance'!N232</f>
        <v/>
      </c>
      <c r="C7267" s="84">
        <f>'Warranty &amp; Maintenance'!L232</f>
        <v/>
      </c>
      <c r="D7267" s="46">
        <f>'Warranty &amp; Maintenance'!M232</f>
        <v/>
      </c>
      <c r="E7267" s="46">
        <f>IF(OR(B7267="",C7267="",D7267=""),"",D7267*100000+(C7267-DATE(2000,1,1))+ROW()/100000)</f>
        <v/>
      </c>
      <c r="F7267" s="46">
        <f>IF(E7267="","",IF(C7267&gt;WeekEndDate,"",E7267))</f>
        <v/>
      </c>
    </row>
    <row r="7268">
      <c r="A7268" t="inlineStr">
        <is>
          <t>Warranty &amp; Maintenance</t>
        </is>
      </c>
      <c r="B7268" s="46">
        <f>'Warranty &amp; Maintenance'!N233</f>
        <v/>
      </c>
      <c r="C7268" s="84">
        <f>'Warranty &amp; Maintenance'!L233</f>
        <v/>
      </c>
      <c r="D7268" s="46">
        <f>'Warranty &amp; Maintenance'!M233</f>
        <v/>
      </c>
      <c r="E7268" s="46">
        <f>IF(OR(B7268="",C7268="",D7268=""),"",D7268*100000+(C7268-DATE(2000,1,1))+ROW()/100000)</f>
        <v/>
      </c>
      <c r="F7268" s="46">
        <f>IF(E7268="","",IF(C7268&gt;WeekEndDate,"",E7268))</f>
        <v/>
      </c>
    </row>
    <row r="7269">
      <c r="A7269" t="inlineStr">
        <is>
          <t>Warranty &amp; Maintenance</t>
        </is>
      </c>
      <c r="B7269" s="46">
        <f>'Warranty &amp; Maintenance'!N234</f>
        <v/>
      </c>
      <c r="C7269" s="84">
        <f>'Warranty &amp; Maintenance'!L234</f>
        <v/>
      </c>
      <c r="D7269" s="46">
        <f>'Warranty &amp; Maintenance'!M234</f>
        <v/>
      </c>
      <c r="E7269" s="46">
        <f>IF(OR(B7269="",C7269="",D7269=""),"",D7269*100000+(C7269-DATE(2000,1,1))+ROW()/100000)</f>
        <v/>
      </c>
      <c r="F7269" s="46">
        <f>IF(E7269="","",IF(C7269&gt;WeekEndDate,"",E7269))</f>
        <v/>
      </c>
    </row>
    <row r="7270">
      <c r="A7270" t="inlineStr">
        <is>
          <t>Warranty &amp; Maintenance</t>
        </is>
      </c>
      <c r="B7270" s="46">
        <f>'Warranty &amp; Maintenance'!N235</f>
        <v/>
      </c>
      <c r="C7270" s="84">
        <f>'Warranty &amp; Maintenance'!L235</f>
        <v/>
      </c>
      <c r="D7270" s="46">
        <f>'Warranty &amp; Maintenance'!M235</f>
        <v/>
      </c>
      <c r="E7270" s="46">
        <f>IF(OR(B7270="",C7270="",D7270=""),"",D7270*100000+(C7270-DATE(2000,1,1))+ROW()/100000)</f>
        <v/>
      </c>
      <c r="F7270" s="46">
        <f>IF(E7270="","",IF(C7270&gt;WeekEndDate,"",E7270))</f>
        <v/>
      </c>
    </row>
    <row r="7271">
      <c r="A7271" t="inlineStr">
        <is>
          <t>Warranty &amp; Maintenance</t>
        </is>
      </c>
      <c r="B7271" s="46">
        <f>'Warranty &amp; Maintenance'!N236</f>
        <v/>
      </c>
      <c r="C7271" s="84">
        <f>'Warranty &amp; Maintenance'!L236</f>
        <v/>
      </c>
      <c r="D7271" s="46">
        <f>'Warranty &amp; Maintenance'!M236</f>
        <v/>
      </c>
      <c r="E7271" s="46">
        <f>IF(OR(B7271="",C7271="",D7271=""),"",D7271*100000+(C7271-DATE(2000,1,1))+ROW()/100000)</f>
        <v/>
      </c>
      <c r="F7271" s="46">
        <f>IF(E7271="","",IF(C7271&gt;WeekEndDate,"",E7271))</f>
        <v/>
      </c>
    </row>
    <row r="7272">
      <c r="A7272" t="inlineStr">
        <is>
          <t>Warranty &amp; Maintenance</t>
        </is>
      </c>
      <c r="B7272" s="46">
        <f>'Warranty &amp; Maintenance'!N237</f>
        <v/>
      </c>
      <c r="C7272" s="84">
        <f>'Warranty &amp; Maintenance'!L237</f>
        <v/>
      </c>
      <c r="D7272" s="46">
        <f>'Warranty &amp; Maintenance'!M237</f>
        <v/>
      </c>
      <c r="E7272" s="46">
        <f>IF(OR(B7272="",C7272="",D7272=""),"",D7272*100000+(C7272-DATE(2000,1,1))+ROW()/100000)</f>
        <v/>
      </c>
      <c r="F7272" s="46">
        <f>IF(E7272="","",IF(C7272&gt;WeekEndDate,"",E7272))</f>
        <v/>
      </c>
    </row>
    <row r="7273">
      <c r="A7273" t="inlineStr">
        <is>
          <t>Warranty &amp; Maintenance</t>
        </is>
      </c>
      <c r="B7273" s="46">
        <f>'Warranty &amp; Maintenance'!N238</f>
        <v/>
      </c>
      <c r="C7273" s="84">
        <f>'Warranty &amp; Maintenance'!L238</f>
        <v/>
      </c>
      <c r="D7273" s="46">
        <f>'Warranty &amp; Maintenance'!M238</f>
        <v/>
      </c>
      <c r="E7273" s="46">
        <f>IF(OR(B7273="",C7273="",D7273=""),"",D7273*100000+(C7273-DATE(2000,1,1))+ROW()/100000)</f>
        <v/>
      </c>
      <c r="F7273" s="46">
        <f>IF(E7273="","",IF(C7273&gt;WeekEndDate,"",E7273))</f>
        <v/>
      </c>
    </row>
    <row r="7274">
      <c r="A7274" t="inlineStr">
        <is>
          <t>Warranty &amp; Maintenance</t>
        </is>
      </c>
      <c r="B7274" s="46">
        <f>'Warranty &amp; Maintenance'!N239</f>
        <v/>
      </c>
      <c r="C7274" s="84">
        <f>'Warranty &amp; Maintenance'!L239</f>
        <v/>
      </c>
      <c r="D7274" s="46">
        <f>'Warranty &amp; Maintenance'!M239</f>
        <v/>
      </c>
      <c r="E7274" s="46">
        <f>IF(OR(B7274="",C7274="",D7274=""),"",D7274*100000+(C7274-DATE(2000,1,1))+ROW()/100000)</f>
        <v/>
      </c>
      <c r="F7274" s="46">
        <f>IF(E7274="","",IF(C7274&gt;WeekEndDate,"",E7274))</f>
        <v/>
      </c>
    </row>
    <row r="7275">
      <c r="A7275" t="inlineStr">
        <is>
          <t>Warranty &amp; Maintenance</t>
        </is>
      </c>
      <c r="B7275" s="46">
        <f>'Warranty &amp; Maintenance'!N240</f>
        <v/>
      </c>
      <c r="C7275" s="84">
        <f>'Warranty &amp; Maintenance'!L240</f>
        <v/>
      </c>
      <c r="D7275" s="46">
        <f>'Warranty &amp; Maintenance'!M240</f>
        <v/>
      </c>
      <c r="E7275" s="46">
        <f>IF(OR(B7275="",C7275="",D7275=""),"",D7275*100000+(C7275-DATE(2000,1,1))+ROW()/100000)</f>
        <v/>
      </c>
      <c r="F7275" s="46">
        <f>IF(E7275="","",IF(C7275&gt;WeekEndDate,"",E7275))</f>
        <v/>
      </c>
    </row>
    <row r="7276">
      <c r="A7276" t="inlineStr">
        <is>
          <t>Warranty &amp; Maintenance</t>
        </is>
      </c>
      <c r="B7276" s="46">
        <f>'Warranty &amp; Maintenance'!N241</f>
        <v/>
      </c>
      <c r="C7276" s="84">
        <f>'Warranty &amp; Maintenance'!L241</f>
        <v/>
      </c>
      <c r="D7276" s="46">
        <f>'Warranty &amp; Maintenance'!M241</f>
        <v/>
      </c>
      <c r="E7276" s="46">
        <f>IF(OR(B7276="",C7276="",D7276=""),"",D7276*100000+(C7276-DATE(2000,1,1))+ROW()/100000)</f>
        <v/>
      </c>
      <c r="F7276" s="46">
        <f>IF(E7276="","",IF(C7276&gt;WeekEndDate,"",E7276))</f>
        <v/>
      </c>
    </row>
    <row r="7277">
      <c r="A7277" t="inlineStr">
        <is>
          <t>Warranty &amp; Maintenance</t>
        </is>
      </c>
      <c r="B7277" s="46">
        <f>'Warranty &amp; Maintenance'!N242</f>
        <v/>
      </c>
      <c r="C7277" s="84">
        <f>'Warranty &amp; Maintenance'!L242</f>
        <v/>
      </c>
      <c r="D7277" s="46">
        <f>'Warranty &amp; Maintenance'!M242</f>
        <v/>
      </c>
      <c r="E7277" s="46">
        <f>IF(OR(B7277="",C7277="",D7277=""),"",D7277*100000+(C7277-DATE(2000,1,1))+ROW()/100000)</f>
        <v/>
      </c>
      <c r="F7277" s="46">
        <f>IF(E7277="","",IF(C7277&gt;WeekEndDate,"",E7277))</f>
        <v/>
      </c>
    </row>
    <row r="7278">
      <c r="A7278" t="inlineStr">
        <is>
          <t>Warranty &amp; Maintenance</t>
        </is>
      </c>
      <c r="B7278" s="46">
        <f>'Warranty &amp; Maintenance'!N243</f>
        <v/>
      </c>
      <c r="C7278" s="84">
        <f>'Warranty &amp; Maintenance'!L243</f>
        <v/>
      </c>
      <c r="D7278" s="46">
        <f>'Warranty &amp; Maintenance'!M243</f>
        <v/>
      </c>
      <c r="E7278" s="46">
        <f>IF(OR(B7278="",C7278="",D7278=""),"",D7278*100000+(C7278-DATE(2000,1,1))+ROW()/100000)</f>
        <v/>
      </c>
      <c r="F7278" s="46">
        <f>IF(E7278="","",IF(C7278&gt;WeekEndDate,"",E7278))</f>
        <v/>
      </c>
    </row>
    <row r="7279">
      <c r="A7279" t="inlineStr">
        <is>
          <t>Warranty &amp; Maintenance</t>
        </is>
      </c>
      <c r="B7279" s="46">
        <f>'Warranty &amp; Maintenance'!N244</f>
        <v/>
      </c>
      <c r="C7279" s="84">
        <f>'Warranty &amp; Maintenance'!L244</f>
        <v/>
      </c>
      <c r="D7279" s="46">
        <f>'Warranty &amp; Maintenance'!M244</f>
        <v/>
      </c>
      <c r="E7279" s="46">
        <f>IF(OR(B7279="",C7279="",D7279=""),"",D7279*100000+(C7279-DATE(2000,1,1))+ROW()/100000)</f>
        <v/>
      </c>
      <c r="F7279" s="46">
        <f>IF(E7279="","",IF(C7279&gt;WeekEndDate,"",E7279))</f>
        <v/>
      </c>
    </row>
    <row r="7280">
      <c r="A7280" t="inlineStr">
        <is>
          <t>Warranty &amp; Maintenance</t>
        </is>
      </c>
      <c r="B7280" s="46">
        <f>'Warranty &amp; Maintenance'!N245</f>
        <v/>
      </c>
      <c r="C7280" s="84">
        <f>'Warranty &amp; Maintenance'!L245</f>
        <v/>
      </c>
      <c r="D7280" s="46">
        <f>'Warranty &amp; Maintenance'!M245</f>
        <v/>
      </c>
      <c r="E7280" s="46">
        <f>IF(OR(B7280="",C7280="",D7280=""),"",D7280*100000+(C7280-DATE(2000,1,1))+ROW()/100000)</f>
        <v/>
      </c>
      <c r="F7280" s="46">
        <f>IF(E7280="","",IF(C7280&gt;WeekEndDate,"",E7280))</f>
        <v/>
      </c>
    </row>
    <row r="7281">
      <c r="A7281" t="inlineStr">
        <is>
          <t>Warranty &amp; Maintenance</t>
        </is>
      </c>
      <c r="B7281" s="46">
        <f>'Warranty &amp; Maintenance'!N246</f>
        <v/>
      </c>
      <c r="C7281" s="84">
        <f>'Warranty &amp; Maintenance'!L246</f>
        <v/>
      </c>
      <c r="D7281" s="46">
        <f>'Warranty &amp; Maintenance'!M246</f>
        <v/>
      </c>
      <c r="E7281" s="46">
        <f>IF(OR(B7281="",C7281="",D7281=""),"",D7281*100000+(C7281-DATE(2000,1,1))+ROW()/100000)</f>
        <v/>
      </c>
      <c r="F7281" s="46">
        <f>IF(E7281="","",IF(C7281&gt;WeekEndDate,"",E7281))</f>
        <v/>
      </c>
    </row>
    <row r="7282">
      <c r="A7282" t="inlineStr">
        <is>
          <t>Warranty &amp; Maintenance</t>
        </is>
      </c>
      <c r="B7282" s="46">
        <f>'Warranty &amp; Maintenance'!N247</f>
        <v/>
      </c>
      <c r="C7282" s="84">
        <f>'Warranty &amp; Maintenance'!L247</f>
        <v/>
      </c>
      <c r="D7282" s="46">
        <f>'Warranty &amp; Maintenance'!M247</f>
        <v/>
      </c>
      <c r="E7282" s="46">
        <f>IF(OR(B7282="",C7282="",D7282=""),"",D7282*100000+(C7282-DATE(2000,1,1))+ROW()/100000)</f>
        <v/>
      </c>
      <c r="F7282" s="46">
        <f>IF(E7282="","",IF(C7282&gt;WeekEndDate,"",E7282))</f>
        <v/>
      </c>
    </row>
    <row r="7283">
      <c r="A7283" t="inlineStr">
        <is>
          <t>Warranty &amp; Maintenance</t>
        </is>
      </c>
      <c r="B7283" s="46">
        <f>'Warranty &amp; Maintenance'!N248</f>
        <v/>
      </c>
      <c r="C7283" s="84">
        <f>'Warranty &amp; Maintenance'!L248</f>
        <v/>
      </c>
      <c r="D7283" s="46">
        <f>'Warranty &amp; Maintenance'!M248</f>
        <v/>
      </c>
      <c r="E7283" s="46">
        <f>IF(OR(B7283="",C7283="",D7283=""),"",D7283*100000+(C7283-DATE(2000,1,1))+ROW()/100000)</f>
        <v/>
      </c>
      <c r="F7283" s="46">
        <f>IF(E7283="","",IF(C7283&gt;WeekEndDate,"",E7283))</f>
        <v/>
      </c>
    </row>
    <row r="7284">
      <c r="A7284" t="inlineStr">
        <is>
          <t>Warranty &amp; Maintenance</t>
        </is>
      </c>
      <c r="B7284" s="46">
        <f>'Warranty &amp; Maintenance'!N249</f>
        <v/>
      </c>
      <c r="C7284" s="84">
        <f>'Warranty &amp; Maintenance'!L249</f>
        <v/>
      </c>
      <c r="D7284" s="46">
        <f>'Warranty &amp; Maintenance'!M249</f>
        <v/>
      </c>
      <c r="E7284" s="46">
        <f>IF(OR(B7284="",C7284="",D7284=""),"",D7284*100000+(C7284-DATE(2000,1,1))+ROW()/100000)</f>
        <v/>
      </c>
      <c r="F7284" s="46">
        <f>IF(E7284="","",IF(C7284&gt;WeekEndDate,"",E7284))</f>
        <v/>
      </c>
    </row>
    <row r="7285">
      <c r="A7285" t="inlineStr">
        <is>
          <t>Warranty &amp; Maintenance</t>
        </is>
      </c>
      <c r="B7285" s="46">
        <f>'Warranty &amp; Maintenance'!N250</f>
        <v/>
      </c>
      <c r="C7285" s="84">
        <f>'Warranty &amp; Maintenance'!L250</f>
        <v/>
      </c>
      <c r="D7285" s="46">
        <f>'Warranty &amp; Maintenance'!M250</f>
        <v/>
      </c>
      <c r="E7285" s="46">
        <f>IF(OR(B7285="",C7285="",D7285=""),"",D7285*100000+(C7285-DATE(2000,1,1))+ROW()/100000)</f>
        <v/>
      </c>
      <c r="F7285" s="46">
        <f>IF(E7285="","",IF(C7285&gt;WeekEndDate,"",E7285))</f>
        <v/>
      </c>
    </row>
    <row r="7286">
      <c r="A7286" t="inlineStr">
        <is>
          <t>Warranty &amp; Maintenance</t>
        </is>
      </c>
      <c r="B7286" s="46">
        <f>'Warranty &amp; Maintenance'!N251</f>
        <v/>
      </c>
      <c r="C7286" s="84">
        <f>'Warranty &amp; Maintenance'!L251</f>
        <v/>
      </c>
      <c r="D7286" s="46">
        <f>'Warranty &amp; Maintenance'!M251</f>
        <v/>
      </c>
      <c r="E7286" s="46">
        <f>IF(OR(B7286="",C7286="",D7286=""),"",D7286*100000+(C7286-DATE(2000,1,1))+ROW()/100000)</f>
        <v/>
      </c>
      <c r="F7286" s="46">
        <f>IF(E7286="","",IF(C7286&gt;WeekEndDate,"",E7286))</f>
        <v/>
      </c>
    </row>
    <row r="7287">
      <c r="A7287" t="inlineStr">
        <is>
          <t>Warranty &amp; Maintenance</t>
        </is>
      </c>
      <c r="B7287" s="46">
        <f>'Warranty &amp; Maintenance'!N252</f>
        <v/>
      </c>
      <c r="C7287" s="84">
        <f>'Warranty &amp; Maintenance'!L252</f>
        <v/>
      </c>
      <c r="D7287" s="46">
        <f>'Warranty &amp; Maintenance'!M252</f>
        <v/>
      </c>
      <c r="E7287" s="46">
        <f>IF(OR(B7287="",C7287="",D7287=""),"",D7287*100000+(C7287-DATE(2000,1,1))+ROW()/100000)</f>
        <v/>
      </c>
      <c r="F7287" s="46">
        <f>IF(E7287="","",IF(C7287&gt;WeekEndDate,"",E7287))</f>
        <v/>
      </c>
    </row>
    <row r="7288">
      <c r="A7288" t="inlineStr">
        <is>
          <t>Warranty &amp; Maintenance</t>
        </is>
      </c>
      <c r="B7288" s="46">
        <f>'Warranty &amp; Maintenance'!N253</f>
        <v/>
      </c>
      <c r="C7288" s="84">
        <f>'Warranty &amp; Maintenance'!L253</f>
        <v/>
      </c>
      <c r="D7288" s="46">
        <f>'Warranty &amp; Maintenance'!M253</f>
        <v/>
      </c>
      <c r="E7288" s="46">
        <f>IF(OR(B7288="",C7288="",D7288=""),"",D7288*100000+(C7288-DATE(2000,1,1))+ROW()/100000)</f>
        <v/>
      </c>
      <c r="F7288" s="46">
        <f>IF(E7288="","",IF(C7288&gt;WeekEndDate,"",E7288))</f>
        <v/>
      </c>
    </row>
    <row r="7289">
      <c r="A7289" t="inlineStr">
        <is>
          <t>Warranty &amp; Maintenance</t>
        </is>
      </c>
      <c r="B7289" s="46">
        <f>'Warranty &amp; Maintenance'!N254</f>
        <v/>
      </c>
      <c r="C7289" s="84">
        <f>'Warranty &amp; Maintenance'!L254</f>
        <v/>
      </c>
      <c r="D7289" s="46">
        <f>'Warranty &amp; Maintenance'!M254</f>
        <v/>
      </c>
      <c r="E7289" s="46">
        <f>IF(OR(B7289="",C7289="",D7289=""),"",D7289*100000+(C7289-DATE(2000,1,1))+ROW()/100000)</f>
        <v/>
      </c>
      <c r="F7289" s="46">
        <f>IF(E7289="","",IF(C7289&gt;WeekEndDate,"",E7289))</f>
        <v/>
      </c>
    </row>
    <row r="7290">
      <c r="A7290" t="inlineStr">
        <is>
          <t>Warranty &amp; Maintenance</t>
        </is>
      </c>
      <c r="B7290" s="46">
        <f>'Warranty &amp; Maintenance'!N255</f>
        <v/>
      </c>
      <c r="C7290" s="84">
        <f>'Warranty &amp; Maintenance'!L255</f>
        <v/>
      </c>
      <c r="D7290" s="46">
        <f>'Warranty &amp; Maintenance'!M255</f>
        <v/>
      </c>
      <c r="E7290" s="46">
        <f>IF(OR(B7290="",C7290="",D7290=""),"",D7290*100000+(C7290-DATE(2000,1,1))+ROW()/100000)</f>
        <v/>
      </c>
      <c r="F7290" s="46">
        <f>IF(E7290="","",IF(C7290&gt;WeekEndDate,"",E7290))</f>
        <v/>
      </c>
    </row>
    <row r="7291">
      <c r="A7291" t="inlineStr">
        <is>
          <t>Warranty &amp; Maintenance</t>
        </is>
      </c>
      <c r="B7291" s="46">
        <f>'Warranty &amp; Maintenance'!N256</f>
        <v/>
      </c>
      <c r="C7291" s="84">
        <f>'Warranty &amp; Maintenance'!L256</f>
        <v/>
      </c>
      <c r="D7291" s="46">
        <f>'Warranty &amp; Maintenance'!M256</f>
        <v/>
      </c>
      <c r="E7291" s="46">
        <f>IF(OR(B7291="",C7291="",D7291=""),"",D7291*100000+(C7291-DATE(2000,1,1))+ROW()/100000)</f>
        <v/>
      </c>
      <c r="F7291" s="46">
        <f>IF(E7291="","",IF(C7291&gt;WeekEndDate,"",E7291))</f>
        <v/>
      </c>
    </row>
    <row r="7292">
      <c r="A7292" t="inlineStr">
        <is>
          <t>Warranty &amp; Maintenance</t>
        </is>
      </c>
      <c r="B7292" s="46">
        <f>'Warranty &amp; Maintenance'!N257</f>
        <v/>
      </c>
      <c r="C7292" s="84">
        <f>'Warranty &amp; Maintenance'!L257</f>
        <v/>
      </c>
      <c r="D7292" s="46">
        <f>'Warranty &amp; Maintenance'!M257</f>
        <v/>
      </c>
      <c r="E7292" s="46">
        <f>IF(OR(B7292="",C7292="",D7292=""),"",D7292*100000+(C7292-DATE(2000,1,1))+ROW()/100000)</f>
        <v/>
      </c>
      <c r="F7292" s="46">
        <f>IF(E7292="","",IF(C7292&gt;WeekEndDate,"",E7292))</f>
        <v/>
      </c>
    </row>
    <row r="7293">
      <c r="A7293" t="inlineStr">
        <is>
          <t>Warranty &amp; Maintenance</t>
        </is>
      </c>
      <c r="B7293" s="46">
        <f>'Warranty &amp; Maintenance'!N258</f>
        <v/>
      </c>
      <c r="C7293" s="84">
        <f>'Warranty &amp; Maintenance'!L258</f>
        <v/>
      </c>
      <c r="D7293" s="46">
        <f>'Warranty &amp; Maintenance'!M258</f>
        <v/>
      </c>
      <c r="E7293" s="46">
        <f>IF(OR(B7293="",C7293="",D7293=""),"",D7293*100000+(C7293-DATE(2000,1,1))+ROW()/100000)</f>
        <v/>
      </c>
      <c r="F7293" s="46">
        <f>IF(E7293="","",IF(C7293&gt;WeekEndDate,"",E7293))</f>
        <v/>
      </c>
    </row>
    <row r="7294">
      <c r="A7294" t="inlineStr">
        <is>
          <t>Warranty &amp; Maintenance</t>
        </is>
      </c>
      <c r="B7294" s="46">
        <f>'Warranty &amp; Maintenance'!N259</f>
        <v/>
      </c>
      <c r="C7294" s="84">
        <f>'Warranty &amp; Maintenance'!L259</f>
        <v/>
      </c>
      <c r="D7294" s="46">
        <f>'Warranty &amp; Maintenance'!M259</f>
        <v/>
      </c>
      <c r="E7294" s="46">
        <f>IF(OR(B7294="",C7294="",D7294=""),"",D7294*100000+(C7294-DATE(2000,1,1))+ROW()/100000)</f>
        <v/>
      </c>
      <c r="F7294" s="46">
        <f>IF(E7294="","",IF(C7294&gt;WeekEndDate,"",E7294))</f>
        <v/>
      </c>
    </row>
    <row r="7295">
      <c r="A7295" t="inlineStr">
        <is>
          <t>Warranty &amp; Maintenance</t>
        </is>
      </c>
      <c r="B7295" s="46">
        <f>'Warranty &amp; Maintenance'!N260</f>
        <v/>
      </c>
      <c r="C7295" s="84">
        <f>'Warranty &amp; Maintenance'!L260</f>
        <v/>
      </c>
      <c r="D7295" s="46">
        <f>'Warranty &amp; Maintenance'!M260</f>
        <v/>
      </c>
      <c r="E7295" s="46">
        <f>IF(OR(B7295="",C7295="",D7295=""),"",D7295*100000+(C7295-DATE(2000,1,1))+ROW()/100000)</f>
        <v/>
      </c>
      <c r="F7295" s="46">
        <f>IF(E7295="","",IF(C7295&gt;WeekEndDate,"",E7295))</f>
        <v/>
      </c>
    </row>
    <row r="7296">
      <c r="A7296" t="inlineStr">
        <is>
          <t>Warranty &amp; Maintenance</t>
        </is>
      </c>
      <c r="B7296" s="46">
        <f>'Warranty &amp; Maintenance'!N261</f>
        <v/>
      </c>
      <c r="C7296" s="84">
        <f>'Warranty &amp; Maintenance'!L261</f>
        <v/>
      </c>
      <c r="D7296" s="46">
        <f>'Warranty &amp; Maintenance'!M261</f>
        <v/>
      </c>
      <c r="E7296" s="46">
        <f>IF(OR(B7296="",C7296="",D7296=""),"",D7296*100000+(C7296-DATE(2000,1,1))+ROW()/100000)</f>
        <v/>
      </c>
      <c r="F7296" s="46">
        <f>IF(E7296="","",IF(C7296&gt;WeekEndDate,"",E7296))</f>
        <v/>
      </c>
    </row>
    <row r="7297">
      <c r="A7297" t="inlineStr">
        <is>
          <t>Warranty &amp; Maintenance</t>
        </is>
      </c>
      <c r="B7297" s="46">
        <f>'Warranty &amp; Maintenance'!N262</f>
        <v/>
      </c>
      <c r="C7297" s="84">
        <f>'Warranty &amp; Maintenance'!L262</f>
        <v/>
      </c>
      <c r="D7297" s="46">
        <f>'Warranty &amp; Maintenance'!M262</f>
        <v/>
      </c>
      <c r="E7297" s="46">
        <f>IF(OR(B7297="",C7297="",D7297=""),"",D7297*100000+(C7297-DATE(2000,1,1))+ROW()/100000)</f>
        <v/>
      </c>
      <c r="F7297" s="46">
        <f>IF(E7297="","",IF(C7297&gt;WeekEndDate,"",E7297))</f>
        <v/>
      </c>
    </row>
    <row r="7298">
      <c r="A7298" t="inlineStr">
        <is>
          <t>Warranty &amp; Maintenance</t>
        </is>
      </c>
      <c r="B7298" s="46">
        <f>'Warranty &amp; Maintenance'!N263</f>
        <v/>
      </c>
      <c r="C7298" s="84">
        <f>'Warranty &amp; Maintenance'!L263</f>
        <v/>
      </c>
      <c r="D7298" s="46">
        <f>'Warranty &amp; Maintenance'!M263</f>
        <v/>
      </c>
      <c r="E7298" s="46">
        <f>IF(OR(B7298="",C7298="",D7298=""),"",D7298*100000+(C7298-DATE(2000,1,1))+ROW()/100000)</f>
        <v/>
      </c>
      <c r="F7298" s="46">
        <f>IF(E7298="","",IF(C7298&gt;WeekEndDate,"",E7298))</f>
        <v/>
      </c>
    </row>
    <row r="7299">
      <c r="A7299" t="inlineStr">
        <is>
          <t>Warranty &amp; Maintenance</t>
        </is>
      </c>
      <c r="B7299" s="46">
        <f>'Warranty &amp; Maintenance'!N264</f>
        <v/>
      </c>
      <c r="C7299" s="84">
        <f>'Warranty &amp; Maintenance'!L264</f>
        <v/>
      </c>
      <c r="D7299" s="46">
        <f>'Warranty &amp; Maintenance'!M264</f>
        <v/>
      </c>
      <c r="E7299" s="46">
        <f>IF(OR(B7299="",C7299="",D7299=""),"",D7299*100000+(C7299-DATE(2000,1,1))+ROW()/100000)</f>
        <v/>
      </c>
      <c r="F7299" s="46">
        <f>IF(E7299="","",IF(C7299&gt;WeekEndDate,"",E7299))</f>
        <v/>
      </c>
    </row>
    <row r="7300">
      <c r="A7300" t="inlineStr">
        <is>
          <t>Warranty &amp; Maintenance</t>
        </is>
      </c>
      <c r="B7300" s="46">
        <f>'Warranty &amp; Maintenance'!N265</f>
        <v/>
      </c>
      <c r="C7300" s="84">
        <f>'Warranty &amp; Maintenance'!L265</f>
        <v/>
      </c>
      <c r="D7300" s="46">
        <f>'Warranty &amp; Maintenance'!M265</f>
        <v/>
      </c>
      <c r="E7300" s="46">
        <f>IF(OR(B7300="",C7300="",D7300=""),"",D7300*100000+(C7300-DATE(2000,1,1))+ROW()/100000)</f>
        <v/>
      </c>
      <c r="F7300" s="46">
        <f>IF(E7300="","",IF(C7300&gt;WeekEndDate,"",E7300))</f>
        <v/>
      </c>
    </row>
    <row r="7301">
      <c r="A7301" t="inlineStr">
        <is>
          <t>Warranty &amp; Maintenance</t>
        </is>
      </c>
      <c r="B7301" s="46">
        <f>'Warranty &amp; Maintenance'!N266</f>
        <v/>
      </c>
      <c r="C7301" s="84">
        <f>'Warranty &amp; Maintenance'!L266</f>
        <v/>
      </c>
      <c r="D7301" s="46">
        <f>'Warranty &amp; Maintenance'!M266</f>
        <v/>
      </c>
      <c r="E7301" s="46">
        <f>IF(OR(B7301="",C7301="",D7301=""),"",D7301*100000+(C7301-DATE(2000,1,1))+ROW()/100000)</f>
        <v/>
      </c>
      <c r="F7301" s="46">
        <f>IF(E7301="","",IF(C7301&gt;WeekEndDate,"",E7301))</f>
        <v/>
      </c>
    </row>
    <row r="7302">
      <c r="A7302" t="inlineStr">
        <is>
          <t>Warranty &amp; Maintenance</t>
        </is>
      </c>
      <c r="B7302" s="46">
        <f>'Warranty &amp; Maintenance'!N267</f>
        <v/>
      </c>
      <c r="C7302" s="84">
        <f>'Warranty &amp; Maintenance'!L267</f>
        <v/>
      </c>
      <c r="D7302" s="46">
        <f>'Warranty &amp; Maintenance'!M267</f>
        <v/>
      </c>
      <c r="E7302" s="46">
        <f>IF(OR(B7302="",C7302="",D7302=""),"",D7302*100000+(C7302-DATE(2000,1,1))+ROW()/100000)</f>
        <v/>
      </c>
      <c r="F7302" s="46">
        <f>IF(E7302="","",IF(C7302&gt;WeekEndDate,"",E7302))</f>
        <v/>
      </c>
    </row>
    <row r="7303">
      <c r="A7303" t="inlineStr">
        <is>
          <t>Warranty &amp; Maintenance</t>
        </is>
      </c>
      <c r="B7303" s="46">
        <f>'Warranty &amp; Maintenance'!N268</f>
        <v/>
      </c>
      <c r="C7303" s="84">
        <f>'Warranty &amp; Maintenance'!L268</f>
        <v/>
      </c>
      <c r="D7303" s="46">
        <f>'Warranty &amp; Maintenance'!M268</f>
        <v/>
      </c>
      <c r="E7303" s="46">
        <f>IF(OR(B7303="",C7303="",D7303=""),"",D7303*100000+(C7303-DATE(2000,1,1))+ROW()/100000)</f>
        <v/>
      </c>
      <c r="F7303" s="46">
        <f>IF(E7303="","",IF(C7303&gt;WeekEndDate,"",E7303))</f>
        <v/>
      </c>
    </row>
    <row r="7304">
      <c r="A7304" t="inlineStr">
        <is>
          <t>Warranty &amp; Maintenance</t>
        </is>
      </c>
      <c r="B7304" s="46">
        <f>'Warranty &amp; Maintenance'!N269</f>
        <v/>
      </c>
      <c r="C7304" s="84">
        <f>'Warranty &amp; Maintenance'!L269</f>
        <v/>
      </c>
      <c r="D7304" s="46">
        <f>'Warranty &amp; Maintenance'!M269</f>
        <v/>
      </c>
      <c r="E7304" s="46">
        <f>IF(OR(B7304="",C7304="",D7304=""),"",D7304*100000+(C7304-DATE(2000,1,1))+ROW()/100000)</f>
        <v/>
      </c>
      <c r="F7304" s="46">
        <f>IF(E7304="","",IF(C7304&gt;WeekEndDate,"",E7304))</f>
        <v/>
      </c>
    </row>
    <row r="7305">
      <c r="A7305" t="inlineStr">
        <is>
          <t>Warranty &amp; Maintenance</t>
        </is>
      </c>
      <c r="B7305" s="46">
        <f>'Warranty &amp; Maintenance'!N270</f>
        <v/>
      </c>
      <c r="C7305" s="84">
        <f>'Warranty &amp; Maintenance'!L270</f>
        <v/>
      </c>
      <c r="D7305" s="46">
        <f>'Warranty &amp; Maintenance'!M270</f>
        <v/>
      </c>
      <c r="E7305" s="46">
        <f>IF(OR(B7305="",C7305="",D7305=""),"",D7305*100000+(C7305-DATE(2000,1,1))+ROW()/100000)</f>
        <v/>
      </c>
      <c r="F7305" s="46">
        <f>IF(E7305="","",IF(C7305&gt;WeekEndDate,"",E7305))</f>
        <v/>
      </c>
    </row>
    <row r="7306">
      <c r="A7306" t="inlineStr">
        <is>
          <t>Warranty &amp; Maintenance</t>
        </is>
      </c>
      <c r="B7306" s="46">
        <f>'Warranty &amp; Maintenance'!N271</f>
        <v/>
      </c>
      <c r="C7306" s="84">
        <f>'Warranty &amp; Maintenance'!L271</f>
        <v/>
      </c>
      <c r="D7306" s="46">
        <f>'Warranty &amp; Maintenance'!M271</f>
        <v/>
      </c>
      <c r="E7306" s="46">
        <f>IF(OR(B7306="",C7306="",D7306=""),"",D7306*100000+(C7306-DATE(2000,1,1))+ROW()/100000)</f>
        <v/>
      </c>
      <c r="F7306" s="46">
        <f>IF(E7306="","",IF(C7306&gt;WeekEndDate,"",E7306))</f>
        <v/>
      </c>
    </row>
    <row r="7307">
      <c r="A7307" t="inlineStr">
        <is>
          <t>Warranty &amp; Maintenance</t>
        </is>
      </c>
      <c r="B7307" s="46">
        <f>'Warranty &amp; Maintenance'!N272</f>
        <v/>
      </c>
      <c r="C7307" s="84">
        <f>'Warranty &amp; Maintenance'!L272</f>
        <v/>
      </c>
      <c r="D7307" s="46">
        <f>'Warranty &amp; Maintenance'!M272</f>
        <v/>
      </c>
      <c r="E7307" s="46">
        <f>IF(OR(B7307="",C7307="",D7307=""),"",D7307*100000+(C7307-DATE(2000,1,1))+ROW()/100000)</f>
        <v/>
      </c>
      <c r="F7307" s="46">
        <f>IF(E7307="","",IF(C7307&gt;WeekEndDate,"",E7307))</f>
        <v/>
      </c>
    </row>
    <row r="7308">
      <c r="A7308" t="inlineStr">
        <is>
          <t>Warranty &amp; Maintenance</t>
        </is>
      </c>
      <c r="B7308" s="46">
        <f>'Warranty &amp; Maintenance'!N273</f>
        <v/>
      </c>
      <c r="C7308" s="84">
        <f>'Warranty &amp; Maintenance'!L273</f>
        <v/>
      </c>
      <c r="D7308" s="46">
        <f>'Warranty &amp; Maintenance'!M273</f>
        <v/>
      </c>
      <c r="E7308" s="46">
        <f>IF(OR(B7308="",C7308="",D7308=""),"",D7308*100000+(C7308-DATE(2000,1,1))+ROW()/100000)</f>
        <v/>
      </c>
      <c r="F7308" s="46">
        <f>IF(E7308="","",IF(C7308&gt;WeekEndDate,"",E7308))</f>
        <v/>
      </c>
    </row>
    <row r="7309">
      <c r="A7309" t="inlineStr">
        <is>
          <t>Warranty &amp; Maintenance</t>
        </is>
      </c>
      <c r="B7309" s="46">
        <f>'Warranty &amp; Maintenance'!N274</f>
        <v/>
      </c>
      <c r="C7309" s="84">
        <f>'Warranty &amp; Maintenance'!L274</f>
        <v/>
      </c>
      <c r="D7309" s="46">
        <f>'Warranty &amp; Maintenance'!M274</f>
        <v/>
      </c>
      <c r="E7309" s="46">
        <f>IF(OR(B7309="",C7309="",D7309=""),"",D7309*100000+(C7309-DATE(2000,1,1))+ROW()/100000)</f>
        <v/>
      </c>
      <c r="F7309" s="46">
        <f>IF(E7309="","",IF(C7309&gt;WeekEndDate,"",E7309))</f>
        <v/>
      </c>
    </row>
    <row r="7310">
      <c r="A7310" t="inlineStr">
        <is>
          <t>Warranty &amp; Maintenance</t>
        </is>
      </c>
      <c r="B7310" s="46">
        <f>'Warranty &amp; Maintenance'!N275</f>
        <v/>
      </c>
      <c r="C7310" s="84">
        <f>'Warranty &amp; Maintenance'!L275</f>
        <v/>
      </c>
      <c r="D7310" s="46">
        <f>'Warranty &amp; Maintenance'!M275</f>
        <v/>
      </c>
      <c r="E7310" s="46">
        <f>IF(OR(B7310="",C7310="",D7310=""),"",D7310*100000+(C7310-DATE(2000,1,1))+ROW()/100000)</f>
        <v/>
      </c>
      <c r="F7310" s="46">
        <f>IF(E7310="","",IF(C7310&gt;WeekEndDate,"",E7310))</f>
        <v/>
      </c>
    </row>
    <row r="7311">
      <c r="A7311" t="inlineStr">
        <is>
          <t>Warranty &amp; Maintenance</t>
        </is>
      </c>
      <c r="B7311" s="46">
        <f>'Warranty &amp; Maintenance'!N276</f>
        <v/>
      </c>
      <c r="C7311" s="84">
        <f>'Warranty &amp; Maintenance'!L276</f>
        <v/>
      </c>
      <c r="D7311" s="46">
        <f>'Warranty &amp; Maintenance'!M276</f>
        <v/>
      </c>
      <c r="E7311" s="46">
        <f>IF(OR(B7311="",C7311="",D7311=""),"",D7311*100000+(C7311-DATE(2000,1,1))+ROW()/100000)</f>
        <v/>
      </c>
      <c r="F7311" s="46">
        <f>IF(E7311="","",IF(C7311&gt;WeekEndDate,"",E7311))</f>
        <v/>
      </c>
    </row>
    <row r="7312">
      <c r="A7312" t="inlineStr">
        <is>
          <t>Warranty &amp; Maintenance</t>
        </is>
      </c>
      <c r="B7312" s="46">
        <f>'Warranty &amp; Maintenance'!N277</f>
        <v/>
      </c>
      <c r="C7312" s="84">
        <f>'Warranty &amp; Maintenance'!L277</f>
        <v/>
      </c>
      <c r="D7312" s="46">
        <f>'Warranty &amp; Maintenance'!M277</f>
        <v/>
      </c>
      <c r="E7312" s="46">
        <f>IF(OR(B7312="",C7312="",D7312=""),"",D7312*100000+(C7312-DATE(2000,1,1))+ROW()/100000)</f>
        <v/>
      </c>
      <c r="F7312" s="46">
        <f>IF(E7312="","",IF(C7312&gt;WeekEndDate,"",E7312))</f>
        <v/>
      </c>
    </row>
    <row r="7313">
      <c r="A7313" t="inlineStr">
        <is>
          <t>Warranty &amp; Maintenance</t>
        </is>
      </c>
      <c r="B7313" s="46">
        <f>'Warranty &amp; Maintenance'!N278</f>
        <v/>
      </c>
      <c r="C7313" s="84">
        <f>'Warranty &amp; Maintenance'!L278</f>
        <v/>
      </c>
      <c r="D7313" s="46">
        <f>'Warranty &amp; Maintenance'!M278</f>
        <v/>
      </c>
      <c r="E7313" s="46">
        <f>IF(OR(B7313="",C7313="",D7313=""),"",D7313*100000+(C7313-DATE(2000,1,1))+ROW()/100000)</f>
        <v/>
      </c>
      <c r="F7313" s="46">
        <f>IF(E7313="","",IF(C7313&gt;WeekEndDate,"",E7313))</f>
        <v/>
      </c>
    </row>
    <row r="7314">
      <c r="A7314" t="inlineStr">
        <is>
          <t>Warranty &amp; Maintenance</t>
        </is>
      </c>
      <c r="B7314" s="46">
        <f>'Warranty &amp; Maintenance'!N279</f>
        <v/>
      </c>
      <c r="C7314" s="84">
        <f>'Warranty &amp; Maintenance'!L279</f>
        <v/>
      </c>
      <c r="D7314" s="46">
        <f>'Warranty &amp; Maintenance'!M279</f>
        <v/>
      </c>
      <c r="E7314" s="46">
        <f>IF(OR(B7314="",C7314="",D7314=""),"",D7314*100000+(C7314-DATE(2000,1,1))+ROW()/100000)</f>
        <v/>
      </c>
      <c r="F7314" s="46">
        <f>IF(E7314="","",IF(C7314&gt;WeekEndDate,"",E7314))</f>
        <v/>
      </c>
    </row>
    <row r="7315">
      <c r="A7315" t="inlineStr">
        <is>
          <t>Warranty &amp; Maintenance</t>
        </is>
      </c>
      <c r="B7315" s="46">
        <f>'Warranty &amp; Maintenance'!N280</f>
        <v/>
      </c>
      <c r="C7315" s="84">
        <f>'Warranty &amp; Maintenance'!L280</f>
        <v/>
      </c>
      <c r="D7315" s="46">
        <f>'Warranty &amp; Maintenance'!M280</f>
        <v/>
      </c>
      <c r="E7315" s="46">
        <f>IF(OR(B7315="",C7315="",D7315=""),"",D7315*100000+(C7315-DATE(2000,1,1))+ROW()/100000)</f>
        <v/>
      </c>
      <c r="F7315" s="46">
        <f>IF(E7315="","",IF(C7315&gt;WeekEndDate,"",E7315))</f>
        <v/>
      </c>
    </row>
    <row r="7316">
      <c r="A7316" t="inlineStr">
        <is>
          <t>Warranty &amp; Maintenance</t>
        </is>
      </c>
      <c r="B7316" s="46">
        <f>'Warranty &amp; Maintenance'!N281</f>
        <v/>
      </c>
      <c r="C7316" s="84">
        <f>'Warranty &amp; Maintenance'!L281</f>
        <v/>
      </c>
      <c r="D7316" s="46">
        <f>'Warranty &amp; Maintenance'!M281</f>
        <v/>
      </c>
      <c r="E7316" s="46">
        <f>IF(OR(B7316="",C7316="",D7316=""),"",D7316*100000+(C7316-DATE(2000,1,1))+ROW()/100000)</f>
        <v/>
      </c>
      <c r="F7316" s="46">
        <f>IF(E7316="","",IF(C7316&gt;WeekEndDate,"",E7316))</f>
        <v/>
      </c>
    </row>
    <row r="7317">
      <c r="A7317" t="inlineStr">
        <is>
          <t>Warranty &amp; Maintenance</t>
        </is>
      </c>
      <c r="B7317" s="46">
        <f>'Warranty &amp; Maintenance'!N282</f>
        <v/>
      </c>
      <c r="C7317" s="84">
        <f>'Warranty &amp; Maintenance'!L282</f>
        <v/>
      </c>
      <c r="D7317" s="46">
        <f>'Warranty &amp; Maintenance'!M282</f>
        <v/>
      </c>
      <c r="E7317" s="46">
        <f>IF(OR(B7317="",C7317="",D7317=""),"",D7317*100000+(C7317-DATE(2000,1,1))+ROW()/100000)</f>
        <v/>
      </c>
      <c r="F7317" s="46">
        <f>IF(E7317="","",IF(C7317&gt;WeekEndDate,"",E7317))</f>
        <v/>
      </c>
    </row>
    <row r="7318">
      <c r="A7318" t="inlineStr">
        <is>
          <t>Warranty &amp; Maintenance</t>
        </is>
      </c>
      <c r="B7318" s="46">
        <f>'Warranty &amp; Maintenance'!N283</f>
        <v/>
      </c>
      <c r="C7318" s="84">
        <f>'Warranty &amp; Maintenance'!L283</f>
        <v/>
      </c>
      <c r="D7318" s="46">
        <f>'Warranty &amp; Maintenance'!M283</f>
        <v/>
      </c>
      <c r="E7318" s="46">
        <f>IF(OR(B7318="",C7318="",D7318=""),"",D7318*100000+(C7318-DATE(2000,1,1))+ROW()/100000)</f>
        <v/>
      </c>
      <c r="F7318" s="46">
        <f>IF(E7318="","",IF(C7318&gt;WeekEndDate,"",E7318))</f>
        <v/>
      </c>
    </row>
    <row r="7319">
      <c r="A7319" t="inlineStr">
        <is>
          <t>Warranty &amp; Maintenance</t>
        </is>
      </c>
      <c r="B7319" s="46">
        <f>'Warranty &amp; Maintenance'!N284</f>
        <v/>
      </c>
      <c r="C7319" s="84">
        <f>'Warranty &amp; Maintenance'!L284</f>
        <v/>
      </c>
      <c r="D7319" s="46">
        <f>'Warranty &amp; Maintenance'!M284</f>
        <v/>
      </c>
      <c r="E7319" s="46">
        <f>IF(OR(B7319="",C7319="",D7319=""),"",D7319*100000+(C7319-DATE(2000,1,1))+ROW()/100000)</f>
        <v/>
      </c>
      <c r="F7319" s="46">
        <f>IF(E7319="","",IF(C7319&gt;WeekEndDate,"",E7319))</f>
        <v/>
      </c>
    </row>
    <row r="7320">
      <c r="A7320" t="inlineStr">
        <is>
          <t>Warranty &amp; Maintenance</t>
        </is>
      </c>
      <c r="B7320" s="46">
        <f>'Warranty &amp; Maintenance'!N285</f>
        <v/>
      </c>
      <c r="C7320" s="84">
        <f>'Warranty &amp; Maintenance'!L285</f>
        <v/>
      </c>
      <c r="D7320" s="46">
        <f>'Warranty &amp; Maintenance'!M285</f>
        <v/>
      </c>
      <c r="E7320" s="46">
        <f>IF(OR(B7320="",C7320="",D7320=""),"",D7320*100000+(C7320-DATE(2000,1,1))+ROW()/100000)</f>
        <v/>
      </c>
      <c r="F7320" s="46">
        <f>IF(E7320="","",IF(C7320&gt;WeekEndDate,"",E7320))</f>
        <v/>
      </c>
    </row>
    <row r="7321">
      <c r="A7321" t="inlineStr">
        <is>
          <t>Warranty &amp; Maintenance</t>
        </is>
      </c>
      <c r="B7321" s="46">
        <f>'Warranty &amp; Maintenance'!N286</f>
        <v/>
      </c>
      <c r="C7321" s="84">
        <f>'Warranty &amp; Maintenance'!L286</f>
        <v/>
      </c>
      <c r="D7321" s="46">
        <f>'Warranty &amp; Maintenance'!M286</f>
        <v/>
      </c>
      <c r="E7321" s="46">
        <f>IF(OR(B7321="",C7321="",D7321=""),"",D7321*100000+(C7321-DATE(2000,1,1))+ROW()/100000)</f>
        <v/>
      </c>
      <c r="F7321" s="46">
        <f>IF(E7321="","",IF(C7321&gt;WeekEndDate,"",E7321))</f>
        <v/>
      </c>
    </row>
    <row r="7322">
      <c r="A7322" t="inlineStr">
        <is>
          <t>Warranty &amp; Maintenance</t>
        </is>
      </c>
      <c r="B7322" s="46">
        <f>'Warranty &amp; Maintenance'!N287</f>
        <v/>
      </c>
      <c r="C7322" s="84">
        <f>'Warranty &amp; Maintenance'!L287</f>
        <v/>
      </c>
      <c r="D7322" s="46">
        <f>'Warranty &amp; Maintenance'!M287</f>
        <v/>
      </c>
      <c r="E7322" s="46">
        <f>IF(OR(B7322="",C7322="",D7322=""),"",D7322*100000+(C7322-DATE(2000,1,1))+ROW()/100000)</f>
        <v/>
      </c>
      <c r="F7322" s="46">
        <f>IF(E7322="","",IF(C7322&gt;WeekEndDate,"",E7322))</f>
        <v/>
      </c>
    </row>
    <row r="7323">
      <c r="A7323" t="inlineStr">
        <is>
          <t>Warranty &amp; Maintenance</t>
        </is>
      </c>
      <c r="B7323" s="46">
        <f>'Warranty &amp; Maintenance'!N288</f>
        <v/>
      </c>
      <c r="C7323" s="84">
        <f>'Warranty &amp; Maintenance'!L288</f>
        <v/>
      </c>
      <c r="D7323" s="46">
        <f>'Warranty &amp; Maintenance'!M288</f>
        <v/>
      </c>
      <c r="E7323" s="46">
        <f>IF(OR(B7323="",C7323="",D7323=""),"",D7323*100000+(C7323-DATE(2000,1,1))+ROW()/100000)</f>
        <v/>
      </c>
      <c r="F7323" s="46">
        <f>IF(E7323="","",IF(C7323&gt;WeekEndDate,"",E7323))</f>
        <v/>
      </c>
    </row>
    <row r="7324">
      <c r="A7324" t="inlineStr">
        <is>
          <t>Warranty &amp; Maintenance</t>
        </is>
      </c>
      <c r="B7324" s="46">
        <f>'Warranty &amp; Maintenance'!N289</f>
        <v/>
      </c>
      <c r="C7324" s="84">
        <f>'Warranty &amp; Maintenance'!L289</f>
        <v/>
      </c>
      <c r="D7324" s="46">
        <f>'Warranty &amp; Maintenance'!M289</f>
        <v/>
      </c>
      <c r="E7324" s="46">
        <f>IF(OR(B7324="",C7324="",D7324=""),"",D7324*100000+(C7324-DATE(2000,1,1))+ROW()/100000)</f>
        <v/>
      </c>
      <c r="F7324" s="46">
        <f>IF(E7324="","",IF(C7324&gt;WeekEndDate,"",E7324))</f>
        <v/>
      </c>
    </row>
    <row r="7325">
      <c r="A7325" t="inlineStr">
        <is>
          <t>Warranty &amp; Maintenance</t>
        </is>
      </c>
      <c r="B7325" s="46">
        <f>'Warranty &amp; Maintenance'!N290</f>
        <v/>
      </c>
      <c r="C7325" s="84">
        <f>'Warranty &amp; Maintenance'!L290</f>
        <v/>
      </c>
      <c r="D7325" s="46">
        <f>'Warranty &amp; Maintenance'!M290</f>
        <v/>
      </c>
      <c r="E7325" s="46">
        <f>IF(OR(B7325="",C7325="",D7325=""),"",D7325*100000+(C7325-DATE(2000,1,1))+ROW()/100000)</f>
        <v/>
      </c>
      <c r="F7325" s="46">
        <f>IF(E7325="","",IF(C7325&gt;WeekEndDate,"",E7325))</f>
        <v/>
      </c>
    </row>
    <row r="7326">
      <c r="A7326" t="inlineStr">
        <is>
          <t>Warranty &amp; Maintenance</t>
        </is>
      </c>
      <c r="B7326" s="46">
        <f>'Warranty &amp; Maintenance'!N291</f>
        <v/>
      </c>
      <c r="C7326" s="84">
        <f>'Warranty &amp; Maintenance'!L291</f>
        <v/>
      </c>
      <c r="D7326" s="46">
        <f>'Warranty &amp; Maintenance'!M291</f>
        <v/>
      </c>
      <c r="E7326" s="46">
        <f>IF(OR(B7326="",C7326="",D7326=""),"",D7326*100000+(C7326-DATE(2000,1,1))+ROW()/100000)</f>
        <v/>
      </c>
      <c r="F7326" s="46">
        <f>IF(E7326="","",IF(C7326&gt;WeekEndDate,"",E7326))</f>
        <v/>
      </c>
    </row>
    <row r="7327">
      <c r="A7327" t="inlineStr">
        <is>
          <t>Warranty &amp; Maintenance</t>
        </is>
      </c>
      <c r="B7327" s="46">
        <f>'Warranty &amp; Maintenance'!N292</f>
        <v/>
      </c>
      <c r="C7327" s="84">
        <f>'Warranty &amp; Maintenance'!L292</f>
        <v/>
      </c>
      <c r="D7327" s="46">
        <f>'Warranty &amp; Maintenance'!M292</f>
        <v/>
      </c>
      <c r="E7327" s="46">
        <f>IF(OR(B7327="",C7327="",D7327=""),"",D7327*100000+(C7327-DATE(2000,1,1))+ROW()/100000)</f>
        <v/>
      </c>
      <c r="F7327" s="46">
        <f>IF(E7327="","",IF(C7327&gt;WeekEndDate,"",E7327))</f>
        <v/>
      </c>
    </row>
    <row r="7328">
      <c r="A7328" t="inlineStr">
        <is>
          <t>Warranty &amp; Maintenance</t>
        </is>
      </c>
      <c r="B7328" s="46">
        <f>'Warranty &amp; Maintenance'!N293</f>
        <v/>
      </c>
      <c r="C7328" s="84">
        <f>'Warranty &amp; Maintenance'!L293</f>
        <v/>
      </c>
      <c r="D7328" s="46">
        <f>'Warranty &amp; Maintenance'!M293</f>
        <v/>
      </c>
      <c r="E7328" s="46">
        <f>IF(OR(B7328="",C7328="",D7328=""),"",D7328*100000+(C7328-DATE(2000,1,1))+ROW()/100000)</f>
        <v/>
      </c>
      <c r="F7328" s="46">
        <f>IF(E7328="","",IF(C7328&gt;WeekEndDate,"",E7328))</f>
        <v/>
      </c>
    </row>
    <row r="7329">
      <c r="A7329" t="inlineStr">
        <is>
          <t>Warranty &amp; Maintenance</t>
        </is>
      </c>
      <c r="B7329" s="46">
        <f>'Warranty &amp; Maintenance'!N294</f>
        <v/>
      </c>
      <c r="C7329" s="84">
        <f>'Warranty &amp; Maintenance'!L294</f>
        <v/>
      </c>
      <c r="D7329" s="46">
        <f>'Warranty &amp; Maintenance'!M294</f>
        <v/>
      </c>
      <c r="E7329" s="46">
        <f>IF(OR(B7329="",C7329="",D7329=""),"",D7329*100000+(C7329-DATE(2000,1,1))+ROW()/100000)</f>
        <v/>
      </c>
      <c r="F7329" s="46">
        <f>IF(E7329="","",IF(C7329&gt;WeekEndDate,"",E7329))</f>
        <v/>
      </c>
    </row>
    <row r="7330">
      <c r="A7330" t="inlineStr">
        <is>
          <t>Warranty &amp; Maintenance</t>
        </is>
      </c>
      <c r="B7330" s="46">
        <f>'Warranty &amp; Maintenance'!N295</f>
        <v/>
      </c>
      <c r="C7330" s="84">
        <f>'Warranty &amp; Maintenance'!L295</f>
        <v/>
      </c>
      <c r="D7330" s="46">
        <f>'Warranty &amp; Maintenance'!M295</f>
        <v/>
      </c>
      <c r="E7330" s="46">
        <f>IF(OR(B7330="",C7330="",D7330=""),"",D7330*100000+(C7330-DATE(2000,1,1))+ROW()/100000)</f>
        <v/>
      </c>
      <c r="F7330" s="46">
        <f>IF(E7330="","",IF(C7330&gt;WeekEndDate,"",E7330))</f>
        <v/>
      </c>
    </row>
    <row r="7331">
      <c r="A7331" t="inlineStr">
        <is>
          <t>Warranty &amp; Maintenance</t>
        </is>
      </c>
      <c r="B7331" s="46">
        <f>'Warranty &amp; Maintenance'!N296</f>
        <v/>
      </c>
      <c r="C7331" s="84">
        <f>'Warranty &amp; Maintenance'!L296</f>
        <v/>
      </c>
      <c r="D7331" s="46">
        <f>'Warranty &amp; Maintenance'!M296</f>
        <v/>
      </c>
      <c r="E7331" s="46">
        <f>IF(OR(B7331="",C7331="",D7331=""),"",D7331*100000+(C7331-DATE(2000,1,1))+ROW()/100000)</f>
        <v/>
      </c>
      <c r="F7331" s="46">
        <f>IF(E7331="","",IF(C7331&gt;WeekEndDate,"",E7331))</f>
        <v/>
      </c>
    </row>
    <row r="7332">
      <c r="A7332" t="inlineStr">
        <is>
          <t>Warranty &amp; Maintenance</t>
        </is>
      </c>
      <c r="B7332" s="46">
        <f>'Warranty &amp; Maintenance'!N297</f>
        <v/>
      </c>
      <c r="C7332" s="84">
        <f>'Warranty &amp; Maintenance'!L297</f>
        <v/>
      </c>
      <c r="D7332" s="46">
        <f>'Warranty &amp; Maintenance'!M297</f>
        <v/>
      </c>
      <c r="E7332" s="46">
        <f>IF(OR(B7332="",C7332="",D7332=""),"",D7332*100000+(C7332-DATE(2000,1,1))+ROW()/100000)</f>
        <v/>
      </c>
      <c r="F7332" s="46">
        <f>IF(E7332="","",IF(C7332&gt;WeekEndDate,"",E7332))</f>
        <v/>
      </c>
    </row>
    <row r="7333">
      <c r="A7333" t="inlineStr">
        <is>
          <t>Warranty &amp; Maintenance</t>
        </is>
      </c>
      <c r="B7333" s="46">
        <f>'Warranty &amp; Maintenance'!N298</f>
        <v/>
      </c>
      <c r="C7333" s="84">
        <f>'Warranty &amp; Maintenance'!L298</f>
        <v/>
      </c>
      <c r="D7333" s="46">
        <f>'Warranty &amp; Maintenance'!M298</f>
        <v/>
      </c>
      <c r="E7333" s="46">
        <f>IF(OR(B7333="",C7333="",D7333=""),"",D7333*100000+(C7333-DATE(2000,1,1))+ROW()/100000)</f>
        <v/>
      </c>
      <c r="F7333" s="46">
        <f>IF(E7333="","",IF(C7333&gt;WeekEndDate,"",E7333))</f>
        <v/>
      </c>
    </row>
    <row r="7334">
      <c r="A7334" t="inlineStr">
        <is>
          <t>Warranty &amp; Maintenance</t>
        </is>
      </c>
      <c r="B7334" s="46">
        <f>'Warranty &amp; Maintenance'!N299</f>
        <v/>
      </c>
      <c r="C7334" s="84">
        <f>'Warranty &amp; Maintenance'!L299</f>
        <v/>
      </c>
      <c r="D7334" s="46">
        <f>'Warranty &amp; Maintenance'!M299</f>
        <v/>
      </c>
      <c r="E7334" s="46">
        <f>IF(OR(B7334="",C7334="",D7334=""),"",D7334*100000+(C7334-DATE(2000,1,1))+ROW()/100000)</f>
        <v/>
      </c>
      <c r="F7334" s="46">
        <f>IF(E7334="","",IF(C7334&gt;WeekEndDate,"",E7334))</f>
        <v/>
      </c>
    </row>
    <row r="7335">
      <c r="A7335" t="inlineStr">
        <is>
          <t>Warranty &amp; Maintenance</t>
        </is>
      </c>
      <c r="B7335" s="46">
        <f>'Warranty &amp; Maintenance'!N300</f>
        <v/>
      </c>
      <c r="C7335" s="84">
        <f>'Warranty &amp; Maintenance'!L300</f>
        <v/>
      </c>
      <c r="D7335" s="46">
        <f>'Warranty &amp; Maintenance'!M300</f>
        <v/>
      </c>
      <c r="E7335" s="46">
        <f>IF(OR(B7335="",C7335="",D7335=""),"",D7335*100000+(C7335-DATE(2000,1,1))+ROW()/100000)</f>
        <v/>
      </c>
      <c r="F7335" s="46">
        <f>IF(E7335="","",IF(C7335&gt;WeekEndDate,"",E7335))</f>
        <v/>
      </c>
    </row>
    <row r="7336">
      <c r="A7336" t="inlineStr">
        <is>
          <t>Warranty &amp; Maintenance</t>
        </is>
      </c>
      <c r="B7336" s="46">
        <f>'Warranty &amp; Maintenance'!N301</f>
        <v/>
      </c>
      <c r="C7336" s="84">
        <f>'Warranty &amp; Maintenance'!L301</f>
        <v/>
      </c>
      <c r="D7336" s="46">
        <f>'Warranty &amp; Maintenance'!M301</f>
        <v/>
      </c>
      <c r="E7336" s="46">
        <f>IF(OR(B7336="",C7336="",D7336=""),"",D7336*100000+(C7336-DATE(2000,1,1))+ROW()/100000)</f>
        <v/>
      </c>
      <c r="F7336" s="46">
        <f>IF(E7336="","",IF(C7336&gt;WeekEndDate,"",E7336))</f>
        <v/>
      </c>
    </row>
    <row r="7337">
      <c r="A7337" t="inlineStr">
        <is>
          <t>Warranty &amp; Maintenance</t>
        </is>
      </c>
      <c r="B7337" s="46">
        <f>'Warranty &amp; Maintenance'!N302</f>
        <v/>
      </c>
      <c r="C7337" s="84">
        <f>'Warranty &amp; Maintenance'!L302</f>
        <v/>
      </c>
      <c r="D7337" s="46">
        <f>'Warranty &amp; Maintenance'!M302</f>
        <v/>
      </c>
      <c r="E7337" s="46">
        <f>IF(OR(B7337="",C7337="",D7337=""),"",D7337*100000+(C7337-DATE(2000,1,1))+ROW()/100000)</f>
        <v/>
      </c>
      <c r="F7337" s="46">
        <f>IF(E7337="","",IF(C7337&gt;WeekEndDate,"",E7337))</f>
        <v/>
      </c>
    </row>
    <row r="7338">
      <c r="A7338" t="inlineStr">
        <is>
          <t>Warranty &amp; Maintenance</t>
        </is>
      </c>
      <c r="B7338" s="46">
        <f>'Warranty &amp; Maintenance'!N303</f>
        <v/>
      </c>
      <c r="C7338" s="84">
        <f>'Warranty &amp; Maintenance'!L303</f>
        <v/>
      </c>
      <c r="D7338" s="46">
        <f>'Warranty &amp; Maintenance'!M303</f>
        <v/>
      </c>
      <c r="E7338" s="46">
        <f>IF(OR(B7338="",C7338="",D7338=""),"",D7338*100000+(C7338-DATE(2000,1,1))+ROW()/100000)</f>
        <v/>
      </c>
      <c r="F7338" s="46">
        <f>IF(E7338="","",IF(C7338&gt;WeekEndDate,"",E7338))</f>
        <v/>
      </c>
    </row>
    <row r="7339">
      <c r="A7339" t="inlineStr">
        <is>
          <t>Warranty &amp; Maintenance</t>
        </is>
      </c>
      <c r="B7339" s="46">
        <f>'Warranty &amp; Maintenance'!N304</f>
        <v/>
      </c>
      <c r="C7339" s="84">
        <f>'Warranty &amp; Maintenance'!L304</f>
        <v/>
      </c>
      <c r="D7339" s="46">
        <f>'Warranty &amp; Maintenance'!M304</f>
        <v/>
      </c>
      <c r="E7339" s="46">
        <f>IF(OR(B7339="",C7339="",D7339=""),"",D7339*100000+(C7339-DATE(2000,1,1))+ROW()/100000)</f>
        <v/>
      </c>
      <c r="F7339" s="46">
        <f>IF(E7339="","",IF(C7339&gt;WeekEndDate,"",E7339))</f>
        <v/>
      </c>
    </row>
    <row r="7340">
      <c r="A7340" t="inlineStr">
        <is>
          <t>Warranty &amp; Maintenance</t>
        </is>
      </c>
      <c r="B7340" s="46">
        <f>'Warranty &amp; Maintenance'!N305</f>
        <v/>
      </c>
      <c r="C7340" s="84">
        <f>'Warranty &amp; Maintenance'!L305</f>
        <v/>
      </c>
      <c r="D7340" s="46">
        <f>'Warranty &amp; Maintenance'!M305</f>
        <v/>
      </c>
      <c r="E7340" s="46">
        <f>IF(OR(B7340="",C7340="",D7340=""),"",D7340*100000+(C7340-DATE(2000,1,1))+ROW()/100000)</f>
        <v/>
      </c>
      <c r="F7340" s="46">
        <f>IF(E7340="","",IF(C7340&gt;WeekEndDate,"",E7340))</f>
        <v/>
      </c>
    </row>
    <row r="7341">
      <c r="A7341" t="inlineStr">
        <is>
          <t>Warranty &amp; Maintenance</t>
        </is>
      </c>
      <c r="B7341" s="46">
        <f>'Warranty &amp; Maintenance'!N306</f>
        <v/>
      </c>
      <c r="C7341" s="84">
        <f>'Warranty &amp; Maintenance'!L306</f>
        <v/>
      </c>
      <c r="D7341" s="46">
        <f>'Warranty &amp; Maintenance'!M306</f>
        <v/>
      </c>
      <c r="E7341" s="46">
        <f>IF(OR(B7341="",C7341="",D7341=""),"",D7341*100000+(C7341-DATE(2000,1,1))+ROW()/100000)</f>
        <v/>
      </c>
      <c r="F7341" s="46">
        <f>IF(E7341="","",IF(C7341&gt;WeekEndDate,"",E7341))</f>
        <v/>
      </c>
    </row>
    <row r="7342">
      <c r="A7342" t="inlineStr">
        <is>
          <t>Warranty &amp; Maintenance</t>
        </is>
      </c>
      <c r="B7342" s="46">
        <f>'Warranty &amp; Maintenance'!N307</f>
        <v/>
      </c>
      <c r="C7342" s="84">
        <f>'Warranty &amp; Maintenance'!L307</f>
        <v/>
      </c>
      <c r="D7342" s="46">
        <f>'Warranty &amp; Maintenance'!M307</f>
        <v/>
      </c>
      <c r="E7342" s="46">
        <f>IF(OR(B7342="",C7342="",D7342=""),"",D7342*100000+(C7342-DATE(2000,1,1))+ROW()/100000)</f>
        <v/>
      </c>
      <c r="F7342" s="46">
        <f>IF(E7342="","",IF(C7342&gt;WeekEndDate,"",E7342))</f>
        <v/>
      </c>
    </row>
    <row r="7343">
      <c r="A7343" t="inlineStr">
        <is>
          <t>Warranty &amp; Maintenance</t>
        </is>
      </c>
      <c r="B7343" s="46">
        <f>'Warranty &amp; Maintenance'!N308</f>
        <v/>
      </c>
      <c r="C7343" s="84">
        <f>'Warranty &amp; Maintenance'!L308</f>
        <v/>
      </c>
      <c r="D7343" s="46">
        <f>'Warranty &amp; Maintenance'!M308</f>
        <v/>
      </c>
      <c r="E7343" s="46">
        <f>IF(OR(B7343="",C7343="",D7343=""),"",D7343*100000+(C7343-DATE(2000,1,1))+ROW()/100000)</f>
        <v/>
      </c>
      <c r="F7343" s="46">
        <f>IF(E7343="","",IF(C7343&gt;WeekEndDate,"",E7343))</f>
        <v/>
      </c>
    </row>
    <row r="7344">
      <c r="A7344" t="inlineStr">
        <is>
          <t>Warranty &amp; Maintenance</t>
        </is>
      </c>
      <c r="B7344" s="46">
        <f>'Warranty &amp; Maintenance'!N309</f>
        <v/>
      </c>
      <c r="C7344" s="84">
        <f>'Warranty &amp; Maintenance'!L309</f>
        <v/>
      </c>
      <c r="D7344" s="46">
        <f>'Warranty &amp; Maintenance'!M309</f>
        <v/>
      </c>
      <c r="E7344" s="46">
        <f>IF(OR(B7344="",C7344="",D7344=""),"",D7344*100000+(C7344-DATE(2000,1,1))+ROW()/100000)</f>
        <v/>
      </c>
      <c r="F7344" s="46">
        <f>IF(E7344="","",IF(C7344&gt;WeekEndDate,"",E7344))</f>
        <v/>
      </c>
    </row>
    <row r="7345">
      <c r="A7345" t="inlineStr">
        <is>
          <t>Warranty &amp; Maintenance</t>
        </is>
      </c>
      <c r="B7345" s="46">
        <f>'Warranty &amp; Maintenance'!N310</f>
        <v/>
      </c>
      <c r="C7345" s="84">
        <f>'Warranty &amp; Maintenance'!L310</f>
        <v/>
      </c>
      <c r="D7345" s="46">
        <f>'Warranty &amp; Maintenance'!M310</f>
        <v/>
      </c>
      <c r="E7345" s="46">
        <f>IF(OR(B7345="",C7345="",D7345=""),"",D7345*100000+(C7345-DATE(2000,1,1))+ROW()/100000)</f>
        <v/>
      </c>
      <c r="F7345" s="46">
        <f>IF(E7345="","",IF(C7345&gt;WeekEndDate,"",E7345))</f>
        <v/>
      </c>
    </row>
    <row r="7346">
      <c r="A7346" t="inlineStr">
        <is>
          <t>Warranty &amp; Maintenance</t>
        </is>
      </c>
      <c r="B7346" s="46">
        <f>'Warranty &amp; Maintenance'!N311</f>
        <v/>
      </c>
      <c r="C7346" s="84">
        <f>'Warranty &amp; Maintenance'!L311</f>
        <v/>
      </c>
      <c r="D7346" s="46">
        <f>'Warranty &amp; Maintenance'!M311</f>
        <v/>
      </c>
      <c r="E7346" s="46">
        <f>IF(OR(B7346="",C7346="",D7346=""),"",D7346*100000+(C7346-DATE(2000,1,1))+ROW()/100000)</f>
        <v/>
      </c>
      <c r="F7346" s="46">
        <f>IF(E7346="","",IF(C7346&gt;WeekEndDate,"",E7346))</f>
        <v/>
      </c>
    </row>
    <row r="7347">
      <c r="A7347" t="inlineStr">
        <is>
          <t>Warranty &amp; Maintenance</t>
        </is>
      </c>
      <c r="B7347" s="46">
        <f>'Warranty &amp; Maintenance'!N312</f>
        <v/>
      </c>
      <c r="C7347" s="84">
        <f>'Warranty &amp; Maintenance'!L312</f>
        <v/>
      </c>
      <c r="D7347" s="46">
        <f>'Warranty &amp; Maintenance'!M312</f>
        <v/>
      </c>
      <c r="E7347" s="46">
        <f>IF(OR(B7347="",C7347="",D7347=""),"",D7347*100000+(C7347-DATE(2000,1,1))+ROW()/100000)</f>
        <v/>
      </c>
      <c r="F7347" s="46">
        <f>IF(E7347="","",IF(C7347&gt;WeekEndDate,"",E7347))</f>
        <v/>
      </c>
    </row>
    <row r="7348">
      <c r="A7348" t="inlineStr">
        <is>
          <t>Warranty &amp; Maintenance</t>
        </is>
      </c>
      <c r="B7348" s="46">
        <f>'Warranty &amp; Maintenance'!N313</f>
        <v/>
      </c>
      <c r="C7348" s="84">
        <f>'Warranty &amp; Maintenance'!L313</f>
        <v/>
      </c>
      <c r="D7348" s="46">
        <f>'Warranty &amp; Maintenance'!M313</f>
        <v/>
      </c>
      <c r="E7348" s="46">
        <f>IF(OR(B7348="",C7348="",D7348=""),"",D7348*100000+(C7348-DATE(2000,1,1))+ROW()/100000)</f>
        <v/>
      </c>
      <c r="F7348" s="46">
        <f>IF(E7348="","",IF(C7348&gt;WeekEndDate,"",E7348))</f>
        <v/>
      </c>
    </row>
    <row r="7349">
      <c r="A7349" t="inlineStr">
        <is>
          <t>Warranty &amp; Maintenance</t>
        </is>
      </c>
      <c r="B7349" s="46">
        <f>'Warranty &amp; Maintenance'!N314</f>
        <v/>
      </c>
      <c r="C7349" s="84">
        <f>'Warranty &amp; Maintenance'!L314</f>
        <v/>
      </c>
      <c r="D7349" s="46">
        <f>'Warranty &amp; Maintenance'!M314</f>
        <v/>
      </c>
      <c r="E7349" s="46">
        <f>IF(OR(B7349="",C7349="",D7349=""),"",D7349*100000+(C7349-DATE(2000,1,1))+ROW()/100000)</f>
        <v/>
      </c>
      <c r="F7349" s="46">
        <f>IF(E7349="","",IF(C7349&gt;WeekEndDate,"",E7349))</f>
        <v/>
      </c>
    </row>
    <row r="7350">
      <c r="A7350" t="inlineStr">
        <is>
          <t>Warranty &amp; Maintenance</t>
        </is>
      </c>
      <c r="B7350" s="46">
        <f>'Warranty &amp; Maintenance'!N315</f>
        <v/>
      </c>
      <c r="C7350" s="84">
        <f>'Warranty &amp; Maintenance'!L315</f>
        <v/>
      </c>
      <c r="D7350" s="46">
        <f>'Warranty &amp; Maintenance'!M315</f>
        <v/>
      </c>
      <c r="E7350" s="46">
        <f>IF(OR(B7350="",C7350="",D7350=""),"",D7350*100000+(C7350-DATE(2000,1,1))+ROW()/100000)</f>
        <v/>
      </c>
      <c r="F7350" s="46">
        <f>IF(E7350="","",IF(C7350&gt;WeekEndDate,"",E7350))</f>
        <v/>
      </c>
    </row>
    <row r="7351">
      <c r="A7351" t="inlineStr">
        <is>
          <t>Warranty &amp; Maintenance</t>
        </is>
      </c>
      <c r="B7351" s="46">
        <f>'Warranty &amp; Maintenance'!N316</f>
        <v/>
      </c>
      <c r="C7351" s="84">
        <f>'Warranty &amp; Maintenance'!L316</f>
        <v/>
      </c>
      <c r="D7351" s="46">
        <f>'Warranty &amp; Maintenance'!M316</f>
        <v/>
      </c>
      <c r="E7351" s="46">
        <f>IF(OR(B7351="",C7351="",D7351=""),"",D7351*100000+(C7351-DATE(2000,1,1))+ROW()/100000)</f>
        <v/>
      </c>
      <c r="F7351" s="46">
        <f>IF(E7351="","",IF(C7351&gt;WeekEndDate,"",E7351))</f>
        <v/>
      </c>
    </row>
    <row r="7352">
      <c r="A7352" t="inlineStr">
        <is>
          <t>Warranty &amp; Maintenance</t>
        </is>
      </c>
      <c r="B7352" s="46">
        <f>'Warranty &amp; Maintenance'!N317</f>
        <v/>
      </c>
      <c r="C7352" s="84">
        <f>'Warranty &amp; Maintenance'!L317</f>
        <v/>
      </c>
      <c r="D7352" s="46">
        <f>'Warranty &amp; Maintenance'!M317</f>
        <v/>
      </c>
      <c r="E7352" s="46">
        <f>IF(OR(B7352="",C7352="",D7352=""),"",D7352*100000+(C7352-DATE(2000,1,1))+ROW()/100000)</f>
        <v/>
      </c>
      <c r="F7352" s="46">
        <f>IF(E7352="","",IF(C7352&gt;WeekEndDate,"",E7352))</f>
        <v/>
      </c>
    </row>
    <row r="7353">
      <c r="A7353" t="inlineStr">
        <is>
          <t>Warranty &amp; Maintenance</t>
        </is>
      </c>
      <c r="B7353" s="46">
        <f>'Warranty &amp; Maintenance'!N318</f>
        <v/>
      </c>
      <c r="C7353" s="84">
        <f>'Warranty &amp; Maintenance'!L318</f>
        <v/>
      </c>
      <c r="D7353" s="46">
        <f>'Warranty &amp; Maintenance'!M318</f>
        <v/>
      </c>
      <c r="E7353" s="46">
        <f>IF(OR(B7353="",C7353="",D7353=""),"",D7353*100000+(C7353-DATE(2000,1,1))+ROW()/100000)</f>
        <v/>
      </c>
      <c r="F7353" s="46">
        <f>IF(E7353="","",IF(C7353&gt;WeekEndDate,"",E7353))</f>
        <v/>
      </c>
    </row>
    <row r="7354">
      <c r="A7354" t="inlineStr">
        <is>
          <t>Warranty &amp; Maintenance</t>
        </is>
      </c>
      <c r="B7354" s="46">
        <f>'Warranty &amp; Maintenance'!N319</f>
        <v/>
      </c>
      <c r="C7354" s="84">
        <f>'Warranty &amp; Maintenance'!L319</f>
        <v/>
      </c>
      <c r="D7354" s="46">
        <f>'Warranty &amp; Maintenance'!M319</f>
        <v/>
      </c>
      <c r="E7354" s="46">
        <f>IF(OR(B7354="",C7354="",D7354=""),"",D7354*100000+(C7354-DATE(2000,1,1))+ROW()/100000)</f>
        <v/>
      </c>
      <c r="F7354" s="46">
        <f>IF(E7354="","",IF(C7354&gt;WeekEndDate,"",E7354))</f>
        <v/>
      </c>
    </row>
    <row r="7355">
      <c r="A7355" t="inlineStr">
        <is>
          <t>Warranty &amp; Maintenance</t>
        </is>
      </c>
      <c r="B7355" s="46">
        <f>'Warranty &amp; Maintenance'!N320</f>
        <v/>
      </c>
      <c r="C7355" s="84">
        <f>'Warranty &amp; Maintenance'!L320</f>
        <v/>
      </c>
      <c r="D7355" s="46">
        <f>'Warranty &amp; Maintenance'!M320</f>
        <v/>
      </c>
      <c r="E7355" s="46">
        <f>IF(OR(B7355="",C7355="",D7355=""),"",D7355*100000+(C7355-DATE(2000,1,1))+ROW()/100000)</f>
        <v/>
      </c>
      <c r="F7355" s="46">
        <f>IF(E7355="","",IF(C7355&gt;WeekEndDate,"",E7355))</f>
        <v/>
      </c>
    </row>
    <row r="7356">
      <c r="A7356" t="inlineStr">
        <is>
          <t>Warranty &amp; Maintenance</t>
        </is>
      </c>
      <c r="B7356" s="46">
        <f>'Warranty &amp; Maintenance'!N321</f>
        <v/>
      </c>
      <c r="C7356" s="84">
        <f>'Warranty &amp; Maintenance'!L321</f>
        <v/>
      </c>
      <c r="D7356" s="46">
        <f>'Warranty &amp; Maintenance'!M321</f>
        <v/>
      </c>
      <c r="E7356" s="46">
        <f>IF(OR(B7356="",C7356="",D7356=""),"",D7356*100000+(C7356-DATE(2000,1,1))+ROW()/100000)</f>
        <v/>
      </c>
      <c r="F7356" s="46">
        <f>IF(E7356="","",IF(C7356&gt;WeekEndDate,"",E7356))</f>
        <v/>
      </c>
    </row>
    <row r="7357">
      <c r="A7357" t="inlineStr">
        <is>
          <t>Warranty &amp; Maintenance</t>
        </is>
      </c>
      <c r="B7357" s="46">
        <f>'Warranty &amp; Maintenance'!N322</f>
        <v/>
      </c>
      <c r="C7357" s="84">
        <f>'Warranty &amp; Maintenance'!L322</f>
        <v/>
      </c>
      <c r="D7357" s="46">
        <f>'Warranty &amp; Maintenance'!M322</f>
        <v/>
      </c>
      <c r="E7357" s="46">
        <f>IF(OR(B7357="",C7357="",D7357=""),"",D7357*100000+(C7357-DATE(2000,1,1))+ROW()/100000)</f>
        <v/>
      </c>
      <c r="F7357" s="46">
        <f>IF(E7357="","",IF(C7357&gt;WeekEndDate,"",E7357))</f>
        <v/>
      </c>
    </row>
    <row r="7358">
      <c r="A7358" t="inlineStr">
        <is>
          <t>Warranty &amp; Maintenance</t>
        </is>
      </c>
      <c r="B7358" s="46">
        <f>'Warranty &amp; Maintenance'!N323</f>
        <v/>
      </c>
      <c r="C7358" s="84">
        <f>'Warranty &amp; Maintenance'!L323</f>
        <v/>
      </c>
      <c r="D7358" s="46">
        <f>'Warranty &amp; Maintenance'!M323</f>
        <v/>
      </c>
      <c r="E7358" s="46">
        <f>IF(OR(B7358="",C7358="",D7358=""),"",D7358*100000+(C7358-DATE(2000,1,1))+ROW()/100000)</f>
        <v/>
      </c>
      <c r="F7358" s="46">
        <f>IF(E7358="","",IF(C7358&gt;WeekEndDate,"",E7358))</f>
        <v/>
      </c>
    </row>
    <row r="7359">
      <c r="A7359" t="inlineStr">
        <is>
          <t>Warranty &amp; Maintenance</t>
        </is>
      </c>
      <c r="B7359" s="46">
        <f>'Warranty &amp; Maintenance'!N324</f>
        <v/>
      </c>
      <c r="C7359" s="84">
        <f>'Warranty &amp; Maintenance'!L324</f>
        <v/>
      </c>
      <c r="D7359" s="46">
        <f>'Warranty &amp; Maintenance'!M324</f>
        <v/>
      </c>
      <c r="E7359" s="46">
        <f>IF(OR(B7359="",C7359="",D7359=""),"",D7359*100000+(C7359-DATE(2000,1,1))+ROW()/100000)</f>
        <v/>
      </c>
      <c r="F7359" s="46">
        <f>IF(E7359="","",IF(C7359&gt;WeekEndDate,"",E7359))</f>
        <v/>
      </c>
    </row>
    <row r="7360">
      <c r="A7360" t="inlineStr">
        <is>
          <t>Warranty &amp; Maintenance</t>
        </is>
      </c>
      <c r="B7360" s="46">
        <f>'Warranty &amp; Maintenance'!N325</f>
        <v/>
      </c>
      <c r="C7360" s="84">
        <f>'Warranty &amp; Maintenance'!L325</f>
        <v/>
      </c>
      <c r="D7360" s="46">
        <f>'Warranty &amp; Maintenance'!M325</f>
        <v/>
      </c>
      <c r="E7360" s="46">
        <f>IF(OR(B7360="",C7360="",D7360=""),"",D7360*100000+(C7360-DATE(2000,1,1))+ROW()/100000)</f>
        <v/>
      </c>
      <c r="F7360" s="46">
        <f>IF(E7360="","",IF(C7360&gt;WeekEndDate,"",E7360))</f>
        <v/>
      </c>
    </row>
    <row r="7361">
      <c r="A7361" t="inlineStr">
        <is>
          <t>Warranty &amp; Maintenance</t>
        </is>
      </c>
      <c r="B7361" s="46">
        <f>'Warranty &amp; Maintenance'!N326</f>
        <v/>
      </c>
      <c r="C7361" s="84">
        <f>'Warranty &amp; Maintenance'!L326</f>
        <v/>
      </c>
      <c r="D7361" s="46">
        <f>'Warranty &amp; Maintenance'!M326</f>
        <v/>
      </c>
      <c r="E7361" s="46">
        <f>IF(OR(B7361="",C7361="",D7361=""),"",D7361*100000+(C7361-DATE(2000,1,1))+ROW()/100000)</f>
        <v/>
      </c>
      <c r="F7361" s="46">
        <f>IF(E7361="","",IF(C7361&gt;WeekEndDate,"",E7361))</f>
        <v/>
      </c>
    </row>
    <row r="7362">
      <c r="A7362" t="inlineStr">
        <is>
          <t>Warranty &amp; Maintenance</t>
        </is>
      </c>
      <c r="B7362" s="46">
        <f>'Warranty &amp; Maintenance'!N327</f>
        <v/>
      </c>
      <c r="C7362" s="84">
        <f>'Warranty &amp; Maintenance'!L327</f>
        <v/>
      </c>
      <c r="D7362" s="46">
        <f>'Warranty &amp; Maintenance'!M327</f>
        <v/>
      </c>
      <c r="E7362" s="46">
        <f>IF(OR(B7362="",C7362="",D7362=""),"",D7362*100000+(C7362-DATE(2000,1,1))+ROW()/100000)</f>
        <v/>
      </c>
      <c r="F7362" s="46">
        <f>IF(E7362="","",IF(C7362&gt;WeekEndDate,"",E7362))</f>
        <v/>
      </c>
    </row>
    <row r="7363">
      <c r="A7363" t="inlineStr">
        <is>
          <t>Warranty &amp; Maintenance</t>
        </is>
      </c>
      <c r="B7363" s="46">
        <f>'Warranty &amp; Maintenance'!N328</f>
        <v/>
      </c>
      <c r="C7363" s="84">
        <f>'Warranty &amp; Maintenance'!L328</f>
        <v/>
      </c>
      <c r="D7363" s="46">
        <f>'Warranty &amp; Maintenance'!M328</f>
        <v/>
      </c>
      <c r="E7363" s="46">
        <f>IF(OR(B7363="",C7363="",D7363=""),"",D7363*100000+(C7363-DATE(2000,1,1))+ROW()/100000)</f>
        <v/>
      </c>
      <c r="F7363" s="46">
        <f>IF(E7363="","",IF(C7363&gt;WeekEndDate,"",E7363))</f>
        <v/>
      </c>
    </row>
    <row r="7364">
      <c r="A7364" t="inlineStr">
        <is>
          <t>Warranty &amp; Maintenance</t>
        </is>
      </c>
      <c r="B7364" s="46">
        <f>'Warranty &amp; Maintenance'!N329</f>
        <v/>
      </c>
      <c r="C7364" s="84">
        <f>'Warranty &amp; Maintenance'!L329</f>
        <v/>
      </c>
      <c r="D7364" s="46">
        <f>'Warranty &amp; Maintenance'!M329</f>
        <v/>
      </c>
      <c r="E7364" s="46">
        <f>IF(OR(B7364="",C7364="",D7364=""),"",D7364*100000+(C7364-DATE(2000,1,1))+ROW()/100000)</f>
        <v/>
      </c>
      <c r="F7364" s="46">
        <f>IF(E7364="","",IF(C7364&gt;WeekEndDate,"",E7364))</f>
        <v/>
      </c>
    </row>
    <row r="7365">
      <c r="A7365" t="inlineStr">
        <is>
          <t>Warranty &amp; Maintenance</t>
        </is>
      </c>
      <c r="B7365" s="46">
        <f>'Warranty &amp; Maintenance'!N330</f>
        <v/>
      </c>
      <c r="C7365" s="84">
        <f>'Warranty &amp; Maintenance'!L330</f>
        <v/>
      </c>
      <c r="D7365" s="46">
        <f>'Warranty &amp; Maintenance'!M330</f>
        <v/>
      </c>
      <c r="E7365" s="46">
        <f>IF(OR(B7365="",C7365="",D7365=""),"",D7365*100000+(C7365-DATE(2000,1,1))+ROW()/100000)</f>
        <v/>
      </c>
      <c r="F7365" s="46">
        <f>IF(E7365="","",IF(C7365&gt;WeekEndDate,"",E7365))</f>
        <v/>
      </c>
    </row>
    <row r="7366">
      <c r="A7366" t="inlineStr">
        <is>
          <t>Warranty &amp; Maintenance</t>
        </is>
      </c>
      <c r="B7366" s="46">
        <f>'Warranty &amp; Maintenance'!N331</f>
        <v/>
      </c>
      <c r="C7366" s="84">
        <f>'Warranty &amp; Maintenance'!L331</f>
        <v/>
      </c>
      <c r="D7366" s="46">
        <f>'Warranty &amp; Maintenance'!M331</f>
        <v/>
      </c>
      <c r="E7366" s="46">
        <f>IF(OR(B7366="",C7366="",D7366=""),"",D7366*100000+(C7366-DATE(2000,1,1))+ROW()/100000)</f>
        <v/>
      </c>
      <c r="F7366" s="46">
        <f>IF(E7366="","",IF(C7366&gt;WeekEndDate,"",E7366))</f>
        <v/>
      </c>
    </row>
    <row r="7367">
      <c r="A7367" t="inlineStr">
        <is>
          <t>Warranty &amp; Maintenance</t>
        </is>
      </c>
      <c r="B7367" s="46">
        <f>'Warranty &amp; Maintenance'!N332</f>
        <v/>
      </c>
      <c r="C7367" s="84">
        <f>'Warranty &amp; Maintenance'!L332</f>
        <v/>
      </c>
      <c r="D7367" s="46">
        <f>'Warranty &amp; Maintenance'!M332</f>
        <v/>
      </c>
      <c r="E7367" s="46">
        <f>IF(OR(B7367="",C7367="",D7367=""),"",D7367*100000+(C7367-DATE(2000,1,1))+ROW()/100000)</f>
        <v/>
      </c>
      <c r="F7367" s="46">
        <f>IF(E7367="","",IF(C7367&gt;WeekEndDate,"",E7367))</f>
        <v/>
      </c>
    </row>
    <row r="7368">
      <c r="A7368" t="inlineStr">
        <is>
          <t>Warranty &amp; Maintenance</t>
        </is>
      </c>
      <c r="B7368" s="46">
        <f>'Warranty &amp; Maintenance'!N333</f>
        <v/>
      </c>
      <c r="C7368" s="84">
        <f>'Warranty &amp; Maintenance'!L333</f>
        <v/>
      </c>
      <c r="D7368" s="46">
        <f>'Warranty &amp; Maintenance'!M333</f>
        <v/>
      </c>
      <c r="E7368" s="46">
        <f>IF(OR(B7368="",C7368="",D7368=""),"",D7368*100000+(C7368-DATE(2000,1,1))+ROW()/100000)</f>
        <v/>
      </c>
      <c r="F7368" s="46">
        <f>IF(E7368="","",IF(C7368&gt;WeekEndDate,"",E7368))</f>
        <v/>
      </c>
    </row>
    <row r="7369">
      <c r="A7369" t="inlineStr">
        <is>
          <t>Warranty &amp; Maintenance</t>
        </is>
      </c>
      <c r="B7369" s="46">
        <f>'Warranty &amp; Maintenance'!N334</f>
        <v/>
      </c>
      <c r="C7369" s="84">
        <f>'Warranty &amp; Maintenance'!L334</f>
        <v/>
      </c>
      <c r="D7369" s="46">
        <f>'Warranty &amp; Maintenance'!M334</f>
        <v/>
      </c>
      <c r="E7369" s="46">
        <f>IF(OR(B7369="",C7369="",D7369=""),"",D7369*100000+(C7369-DATE(2000,1,1))+ROW()/100000)</f>
        <v/>
      </c>
      <c r="F7369" s="46">
        <f>IF(E7369="","",IF(C7369&gt;WeekEndDate,"",E7369))</f>
        <v/>
      </c>
    </row>
    <row r="7370">
      <c r="A7370" t="inlineStr">
        <is>
          <t>Warranty &amp; Maintenance</t>
        </is>
      </c>
      <c r="B7370" s="46">
        <f>'Warranty &amp; Maintenance'!N335</f>
        <v/>
      </c>
      <c r="C7370" s="84">
        <f>'Warranty &amp; Maintenance'!L335</f>
        <v/>
      </c>
      <c r="D7370" s="46">
        <f>'Warranty &amp; Maintenance'!M335</f>
        <v/>
      </c>
      <c r="E7370" s="46">
        <f>IF(OR(B7370="",C7370="",D7370=""),"",D7370*100000+(C7370-DATE(2000,1,1))+ROW()/100000)</f>
        <v/>
      </c>
      <c r="F7370" s="46">
        <f>IF(E7370="","",IF(C7370&gt;WeekEndDate,"",E7370))</f>
        <v/>
      </c>
    </row>
    <row r="7371">
      <c r="A7371" t="inlineStr">
        <is>
          <t>Warranty &amp; Maintenance</t>
        </is>
      </c>
      <c r="B7371" s="46">
        <f>'Warranty &amp; Maintenance'!N336</f>
        <v/>
      </c>
      <c r="C7371" s="84">
        <f>'Warranty &amp; Maintenance'!L336</f>
        <v/>
      </c>
      <c r="D7371" s="46">
        <f>'Warranty &amp; Maintenance'!M336</f>
        <v/>
      </c>
      <c r="E7371" s="46">
        <f>IF(OR(B7371="",C7371="",D7371=""),"",D7371*100000+(C7371-DATE(2000,1,1))+ROW()/100000)</f>
        <v/>
      </c>
      <c r="F7371" s="46">
        <f>IF(E7371="","",IF(C7371&gt;WeekEndDate,"",E7371))</f>
        <v/>
      </c>
    </row>
    <row r="7372">
      <c r="A7372" t="inlineStr">
        <is>
          <t>Warranty &amp; Maintenance</t>
        </is>
      </c>
      <c r="B7372" s="46">
        <f>'Warranty &amp; Maintenance'!N337</f>
        <v/>
      </c>
      <c r="C7372" s="84">
        <f>'Warranty &amp; Maintenance'!L337</f>
        <v/>
      </c>
      <c r="D7372" s="46">
        <f>'Warranty &amp; Maintenance'!M337</f>
        <v/>
      </c>
      <c r="E7372" s="46">
        <f>IF(OR(B7372="",C7372="",D7372=""),"",D7372*100000+(C7372-DATE(2000,1,1))+ROW()/100000)</f>
        <v/>
      </c>
      <c r="F7372" s="46">
        <f>IF(E7372="","",IF(C7372&gt;WeekEndDate,"",E7372))</f>
        <v/>
      </c>
    </row>
    <row r="7373">
      <c r="A7373" t="inlineStr">
        <is>
          <t>Warranty &amp; Maintenance</t>
        </is>
      </c>
      <c r="B7373" s="46">
        <f>'Warranty &amp; Maintenance'!N338</f>
        <v/>
      </c>
      <c r="C7373" s="84">
        <f>'Warranty &amp; Maintenance'!L338</f>
        <v/>
      </c>
      <c r="D7373" s="46">
        <f>'Warranty &amp; Maintenance'!M338</f>
        <v/>
      </c>
      <c r="E7373" s="46">
        <f>IF(OR(B7373="",C7373="",D7373=""),"",D7373*100000+(C7373-DATE(2000,1,1))+ROW()/100000)</f>
        <v/>
      </c>
      <c r="F7373" s="46">
        <f>IF(E7373="","",IF(C7373&gt;WeekEndDate,"",E7373))</f>
        <v/>
      </c>
    </row>
    <row r="7374">
      <c r="A7374" t="inlineStr">
        <is>
          <t>Warranty &amp; Maintenance</t>
        </is>
      </c>
      <c r="B7374" s="46">
        <f>'Warranty &amp; Maintenance'!N339</f>
        <v/>
      </c>
      <c r="C7374" s="84">
        <f>'Warranty &amp; Maintenance'!L339</f>
        <v/>
      </c>
      <c r="D7374" s="46">
        <f>'Warranty &amp; Maintenance'!M339</f>
        <v/>
      </c>
      <c r="E7374" s="46">
        <f>IF(OR(B7374="",C7374="",D7374=""),"",D7374*100000+(C7374-DATE(2000,1,1))+ROW()/100000)</f>
        <v/>
      </c>
      <c r="F7374" s="46">
        <f>IF(E7374="","",IF(C7374&gt;WeekEndDate,"",E7374))</f>
        <v/>
      </c>
    </row>
    <row r="7375">
      <c r="A7375" t="inlineStr">
        <is>
          <t>Warranty &amp; Maintenance</t>
        </is>
      </c>
      <c r="B7375" s="46">
        <f>'Warranty &amp; Maintenance'!N340</f>
        <v/>
      </c>
      <c r="C7375" s="84">
        <f>'Warranty &amp; Maintenance'!L340</f>
        <v/>
      </c>
      <c r="D7375" s="46">
        <f>'Warranty &amp; Maintenance'!M340</f>
        <v/>
      </c>
      <c r="E7375" s="46">
        <f>IF(OR(B7375="",C7375="",D7375=""),"",D7375*100000+(C7375-DATE(2000,1,1))+ROW()/100000)</f>
        <v/>
      </c>
      <c r="F7375" s="46">
        <f>IF(E7375="","",IF(C7375&gt;WeekEndDate,"",E7375))</f>
        <v/>
      </c>
    </row>
    <row r="7376">
      <c r="A7376" t="inlineStr">
        <is>
          <t>Warranty &amp; Maintenance</t>
        </is>
      </c>
      <c r="B7376" s="46">
        <f>'Warranty &amp; Maintenance'!N341</f>
        <v/>
      </c>
      <c r="C7376" s="84">
        <f>'Warranty &amp; Maintenance'!L341</f>
        <v/>
      </c>
      <c r="D7376" s="46">
        <f>'Warranty &amp; Maintenance'!M341</f>
        <v/>
      </c>
      <c r="E7376" s="46">
        <f>IF(OR(B7376="",C7376="",D7376=""),"",D7376*100000+(C7376-DATE(2000,1,1))+ROW()/100000)</f>
        <v/>
      </c>
      <c r="F7376" s="46">
        <f>IF(E7376="","",IF(C7376&gt;WeekEndDate,"",E7376))</f>
        <v/>
      </c>
    </row>
    <row r="7377">
      <c r="A7377" t="inlineStr">
        <is>
          <t>Warranty &amp; Maintenance</t>
        </is>
      </c>
      <c r="B7377" s="46">
        <f>'Warranty &amp; Maintenance'!N342</f>
        <v/>
      </c>
      <c r="C7377" s="84">
        <f>'Warranty &amp; Maintenance'!L342</f>
        <v/>
      </c>
      <c r="D7377" s="46">
        <f>'Warranty &amp; Maintenance'!M342</f>
        <v/>
      </c>
      <c r="E7377" s="46">
        <f>IF(OR(B7377="",C7377="",D7377=""),"",D7377*100000+(C7377-DATE(2000,1,1))+ROW()/100000)</f>
        <v/>
      </c>
      <c r="F7377" s="46">
        <f>IF(E7377="","",IF(C7377&gt;WeekEndDate,"",E7377))</f>
        <v/>
      </c>
    </row>
    <row r="7378">
      <c r="A7378" t="inlineStr">
        <is>
          <t>Warranty &amp; Maintenance</t>
        </is>
      </c>
      <c r="B7378" s="46">
        <f>'Warranty &amp; Maintenance'!N343</f>
        <v/>
      </c>
      <c r="C7378" s="84">
        <f>'Warranty &amp; Maintenance'!L343</f>
        <v/>
      </c>
      <c r="D7378" s="46">
        <f>'Warranty &amp; Maintenance'!M343</f>
        <v/>
      </c>
      <c r="E7378" s="46">
        <f>IF(OR(B7378="",C7378="",D7378=""),"",D7378*100000+(C7378-DATE(2000,1,1))+ROW()/100000)</f>
        <v/>
      </c>
      <c r="F7378" s="46">
        <f>IF(E7378="","",IF(C7378&gt;WeekEndDate,"",E7378))</f>
        <v/>
      </c>
    </row>
    <row r="7379">
      <c r="A7379" t="inlineStr">
        <is>
          <t>Warranty &amp; Maintenance</t>
        </is>
      </c>
      <c r="B7379" s="46">
        <f>'Warranty &amp; Maintenance'!N344</f>
        <v/>
      </c>
      <c r="C7379" s="84">
        <f>'Warranty &amp; Maintenance'!L344</f>
        <v/>
      </c>
      <c r="D7379" s="46">
        <f>'Warranty &amp; Maintenance'!M344</f>
        <v/>
      </c>
      <c r="E7379" s="46">
        <f>IF(OR(B7379="",C7379="",D7379=""),"",D7379*100000+(C7379-DATE(2000,1,1))+ROW()/100000)</f>
        <v/>
      </c>
      <c r="F7379" s="46">
        <f>IF(E7379="","",IF(C7379&gt;WeekEndDate,"",E7379))</f>
        <v/>
      </c>
    </row>
    <row r="7380">
      <c r="A7380" t="inlineStr">
        <is>
          <t>Warranty &amp; Maintenance</t>
        </is>
      </c>
      <c r="B7380" s="46">
        <f>'Warranty &amp; Maintenance'!N345</f>
        <v/>
      </c>
      <c r="C7380" s="84">
        <f>'Warranty &amp; Maintenance'!L345</f>
        <v/>
      </c>
      <c r="D7380" s="46">
        <f>'Warranty &amp; Maintenance'!M345</f>
        <v/>
      </c>
      <c r="E7380" s="46">
        <f>IF(OR(B7380="",C7380="",D7380=""),"",D7380*100000+(C7380-DATE(2000,1,1))+ROW()/100000)</f>
        <v/>
      </c>
      <c r="F7380" s="46">
        <f>IF(E7380="","",IF(C7380&gt;WeekEndDate,"",E7380))</f>
        <v/>
      </c>
    </row>
    <row r="7381">
      <c r="A7381" t="inlineStr">
        <is>
          <t>Warranty &amp; Maintenance</t>
        </is>
      </c>
      <c r="B7381" s="46">
        <f>'Warranty &amp; Maintenance'!N346</f>
        <v/>
      </c>
      <c r="C7381" s="84">
        <f>'Warranty &amp; Maintenance'!L346</f>
        <v/>
      </c>
      <c r="D7381" s="46">
        <f>'Warranty &amp; Maintenance'!M346</f>
        <v/>
      </c>
      <c r="E7381" s="46">
        <f>IF(OR(B7381="",C7381="",D7381=""),"",D7381*100000+(C7381-DATE(2000,1,1))+ROW()/100000)</f>
        <v/>
      </c>
      <c r="F7381" s="46">
        <f>IF(E7381="","",IF(C7381&gt;WeekEndDate,"",E7381))</f>
        <v/>
      </c>
    </row>
    <row r="7382">
      <c r="A7382" t="inlineStr">
        <is>
          <t>Warranty &amp; Maintenance</t>
        </is>
      </c>
      <c r="B7382" s="46">
        <f>'Warranty &amp; Maintenance'!N347</f>
        <v/>
      </c>
      <c r="C7382" s="84">
        <f>'Warranty &amp; Maintenance'!L347</f>
        <v/>
      </c>
      <c r="D7382" s="46">
        <f>'Warranty &amp; Maintenance'!M347</f>
        <v/>
      </c>
      <c r="E7382" s="46">
        <f>IF(OR(B7382="",C7382="",D7382=""),"",D7382*100000+(C7382-DATE(2000,1,1))+ROW()/100000)</f>
        <v/>
      </c>
      <c r="F7382" s="46">
        <f>IF(E7382="","",IF(C7382&gt;WeekEndDate,"",E7382))</f>
        <v/>
      </c>
    </row>
    <row r="7383">
      <c r="A7383" t="inlineStr">
        <is>
          <t>Warranty &amp; Maintenance</t>
        </is>
      </c>
      <c r="B7383" s="46">
        <f>'Warranty &amp; Maintenance'!N348</f>
        <v/>
      </c>
      <c r="C7383" s="84">
        <f>'Warranty &amp; Maintenance'!L348</f>
        <v/>
      </c>
      <c r="D7383" s="46">
        <f>'Warranty &amp; Maintenance'!M348</f>
        <v/>
      </c>
      <c r="E7383" s="46">
        <f>IF(OR(B7383="",C7383="",D7383=""),"",D7383*100000+(C7383-DATE(2000,1,1))+ROW()/100000)</f>
        <v/>
      </c>
      <c r="F7383" s="46">
        <f>IF(E7383="","",IF(C7383&gt;WeekEndDate,"",E7383))</f>
        <v/>
      </c>
    </row>
    <row r="7384">
      <c r="A7384" t="inlineStr">
        <is>
          <t>Warranty &amp; Maintenance</t>
        </is>
      </c>
      <c r="B7384" s="46">
        <f>'Warranty &amp; Maintenance'!N349</f>
        <v/>
      </c>
      <c r="C7384" s="84">
        <f>'Warranty &amp; Maintenance'!L349</f>
        <v/>
      </c>
      <c r="D7384" s="46">
        <f>'Warranty &amp; Maintenance'!M349</f>
        <v/>
      </c>
      <c r="E7384" s="46">
        <f>IF(OR(B7384="",C7384="",D7384=""),"",D7384*100000+(C7384-DATE(2000,1,1))+ROW()/100000)</f>
        <v/>
      </c>
      <c r="F7384" s="46">
        <f>IF(E7384="","",IF(C7384&gt;WeekEndDate,"",E7384))</f>
        <v/>
      </c>
    </row>
    <row r="7385">
      <c r="A7385" t="inlineStr">
        <is>
          <t>Warranty &amp; Maintenance</t>
        </is>
      </c>
      <c r="B7385" s="46">
        <f>'Warranty &amp; Maintenance'!N350</f>
        <v/>
      </c>
      <c r="C7385" s="84">
        <f>'Warranty &amp; Maintenance'!L350</f>
        <v/>
      </c>
      <c r="D7385" s="46">
        <f>'Warranty &amp; Maintenance'!M350</f>
        <v/>
      </c>
      <c r="E7385" s="46">
        <f>IF(OR(B7385="",C7385="",D7385=""),"",D7385*100000+(C7385-DATE(2000,1,1))+ROW()/100000)</f>
        <v/>
      </c>
      <c r="F7385" s="46">
        <f>IF(E7385="","",IF(C7385&gt;WeekEndDate,"",E7385))</f>
        <v/>
      </c>
    </row>
    <row r="7386">
      <c r="A7386" t="inlineStr">
        <is>
          <t>Warranty &amp; Maintenance</t>
        </is>
      </c>
      <c r="B7386" s="46">
        <f>'Warranty &amp; Maintenance'!N351</f>
        <v/>
      </c>
      <c r="C7386" s="84">
        <f>'Warranty &amp; Maintenance'!L351</f>
        <v/>
      </c>
      <c r="D7386" s="46">
        <f>'Warranty &amp; Maintenance'!M351</f>
        <v/>
      </c>
      <c r="E7386" s="46">
        <f>IF(OR(B7386="",C7386="",D7386=""),"",D7386*100000+(C7386-DATE(2000,1,1))+ROW()/100000)</f>
        <v/>
      </c>
      <c r="F7386" s="46">
        <f>IF(E7386="","",IF(C7386&gt;WeekEndDate,"",E7386))</f>
        <v/>
      </c>
    </row>
    <row r="7387">
      <c r="A7387" t="inlineStr">
        <is>
          <t>Warranty &amp; Maintenance</t>
        </is>
      </c>
      <c r="B7387" s="46">
        <f>'Warranty &amp; Maintenance'!N352</f>
        <v/>
      </c>
      <c r="C7387" s="84">
        <f>'Warranty &amp; Maintenance'!L352</f>
        <v/>
      </c>
      <c r="D7387" s="46">
        <f>'Warranty &amp; Maintenance'!M352</f>
        <v/>
      </c>
      <c r="E7387" s="46">
        <f>IF(OR(B7387="",C7387="",D7387=""),"",D7387*100000+(C7387-DATE(2000,1,1))+ROW()/100000)</f>
        <v/>
      </c>
      <c r="F7387" s="46">
        <f>IF(E7387="","",IF(C7387&gt;WeekEndDate,"",E7387))</f>
        <v/>
      </c>
    </row>
    <row r="7388">
      <c r="A7388" t="inlineStr">
        <is>
          <t>Warranty &amp; Maintenance</t>
        </is>
      </c>
      <c r="B7388" s="46">
        <f>'Warranty &amp; Maintenance'!N353</f>
        <v/>
      </c>
      <c r="C7388" s="84">
        <f>'Warranty &amp; Maintenance'!L353</f>
        <v/>
      </c>
      <c r="D7388" s="46">
        <f>'Warranty &amp; Maintenance'!M353</f>
        <v/>
      </c>
      <c r="E7388" s="46">
        <f>IF(OR(B7388="",C7388="",D7388=""),"",D7388*100000+(C7388-DATE(2000,1,1))+ROW()/100000)</f>
        <v/>
      </c>
      <c r="F7388" s="46">
        <f>IF(E7388="","",IF(C7388&gt;WeekEndDate,"",E7388))</f>
        <v/>
      </c>
    </row>
    <row r="7389">
      <c r="A7389" t="inlineStr">
        <is>
          <t>Warranty &amp; Maintenance</t>
        </is>
      </c>
      <c r="B7389" s="46">
        <f>'Warranty &amp; Maintenance'!N354</f>
        <v/>
      </c>
      <c r="C7389" s="84">
        <f>'Warranty &amp; Maintenance'!L354</f>
        <v/>
      </c>
      <c r="D7389" s="46">
        <f>'Warranty &amp; Maintenance'!M354</f>
        <v/>
      </c>
      <c r="E7389" s="46">
        <f>IF(OR(B7389="",C7389="",D7389=""),"",D7389*100000+(C7389-DATE(2000,1,1))+ROW()/100000)</f>
        <v/>
      </c>
      <c r="F7389" s="46">
        <f>IF(E7389="","",IF(C7389&gt;WeekEndDate,"",E7389))</f>
        <v/>
      </c>
    </row>
    <row r="7390">
      <c r="A7390" t="inlineStr">
        <is>
          <t>Warranty &amp; Maintenance</t>
        </is>
      </c>
      <c r="B7390" s="46">
        <f>'Warranty &amp; Maintenance'!N355</f>
        <v/>
      </c>
      <c r="C7390" s="84">
        <f>'Warranty &amp; Maintenance'!L355</f>
        <v/>
      </c>
      <c r="D7390" s="46">
        <f>'Warranty &amp; Maintenance'!M355</f>
        <v/>
      </c>
      <c r="E7390" s="46">
        <f>IF(OR(B7390="",C7390="",D7390=""),"",D7390*100000+(C7390-DATE(2000,1,1))+ROW()/100000)</f>
        <v/>
      </c>
      <c r="F7390" s="46">
        <f>IF(E7390="","",IF(C7390&gt;WeekEndDate,"",E7390))</f>
        <v/>
      </c>
    </row>
    <row r="7391">
      <c r="A7391" t="inlineStr">
        <is>
          <t>Warranty &amp; Maintenance</t>
        </is>
      </c>
      <c r="B7391" s="46">
        <f>'Warranty &amp; Maintenance'!N356</f>
        <v/>
      </c>
      <c r="C7391" s="84">
        <f>'Warranty &amp; Maintenance'!L356</f>
        <v/>
      </c>
      <c r="D7391" s="46">
        <f>'Warranty &amp; Maintenance'!M356</f>
        <v/>
      </c>
      <c r="E7391" s="46">
        <f>IF(OR(B7391="",C7391="",D7391=""),"",D7391*100000+(C7391-DATE(2000,1,1))+ROW()/100000)</f>
        <v/>
      </c>
      <c r="F7391" s="46">
        <f>IF(E7391="","",IF(C7391&gt;WeekEndDate,"",E7391))</f>
        <v/>
      </c>
    </row>
    <row r="7392">
      <c r="A7392" t="inlineStr">
        <is>
          <t>Warranty &amp; Maintenance</t>
        </is>
      </c>
      <c r="B7392" s="46">
        <f>'Warranty &amp; Maintenance'!N357</f>
        <v/>
      </c>
      <c r="C7392" s="84">
        <f>'Warranty &amp; Maintenance'!L357</f>
        <v/>
      </c>
      <c r="D7392" s="46">
        <f>'Warranty &amp; Maintenance'!M357</f>
        <v/>
      </c>
      <c r="E7392" s="46">
        <f>IF(OR(B7392="",C7392="",D7392=""),"",D7392*100000+(C7392-DATE(2000,1,1))+ROW()/100000)</f>
        <v/>
      </c>
      <c r="F7392" s="46">
        <f>IF(E7392="","",IF(C7392&gt;WeekEndDate,"",E7392))</f>
        <v/>
      </c>
    </row>
    <row r="7393">
      <c r="A7393" t="inlineStr">
        <is>
          <t>Warranty &amp; Maintenance</t>
        </is>
      </c>
      <c r="B7393" s="46">
        <f>'Warranty &amp; Maintenance'!N358</f>
        <v/>
      </c>
      <c r="C7393" s="84">
        <f>'Warranty &amp; Maintenance'!L358</f>
        <v/>
      </c>
      <c r="D7393" s="46">
        <f>'Warranty &amp; Maintenance'!M358</f>
        <v/>
      </c>
      <c r="E7393" s="46">
        <f>IF(OR(B7393="",C7393="",D7393=""),"",D7393*100000+(C7393-DATE(2000,1,1))+ROW()/100000)</f>
        <v/>
      </c>
      <c r="F7393" s="46">
        <f>IF(E7393="","",IF(C7393&gt;WeekEndDate,"",E7393))</f>
        <v/>
      </c>
    </row>
    <row r="7394">
      <c r="A7394" t="inlineStr">
        <is>
          <t>Warranty &amp; Maintenance</t>
        </is>
      </c>
      <c r="B7394" s="46">
        <f>'Warranty &amp; Maintenance'!N359</f>
        <v/>
      </c>
      <c r="C7394" s="84">
        <f>'Warranty &amp; Maintenance'!L359</f>
        <v/>
      </c>
      <c r="D7394" s="46">
        <f>'Warranty &amp; Maintenance'!M359</f>
        <v/>
      </c>
      <c r="E7394" s="46">
        <f>IF(OR(B7394="",C7394="",D7394=""),"",D7394*100000+(C7394-DATE(2000,1,1))+ROW()/100000)</f>
        <v/>
      </c>
      <c r="F7394" s="46">
        <f>IF(E7394="","",IF(C7394&gt;WeekEndDate,"",E7394))</f>
        <v/>
      </c>
    </row>
    <row r="7395">
      <c r="A7395" t="inlineStr">
        <is>
          <t>Warranty &amp; Maintenance</t>
        </is>
      </c>
      <c r="B7395" s="46">
        <f>'Warranty &amp; Maintenance'!N360</f>
        <v/>
      </c>
      <c r="C7395" s="84">
        <f>'Warranty &amp; Maintenance'!L360</f>
        <v/>
      </c>
      <c r="D7395" s="46">
        <f>'Warranty &amp; Maintenance'!M360</f>
        <v/>
      </c>
      <c r="E7395" s="46">
        <f>IF(OR(B7395="",C7395="",D7395=""),"",D7395*100000+(C7395-DATE(2000,1,1))+ROW()/100000)</f>
        <v/>
      </c>
      <c r="F7395" s="46">
        <f>IF(E7395="","",IF(C7395&gt;WeekEndDate,"",E7395))</f>
        <v/>
      </c>
    </row>
    <row r="7396">
      <c r="A7396" t="inlineStr">
        <is>
          <t>Warranty &amp; Maintenance</t>
        </is>
      </c>
      <c r="B7396" s="46">
        <f>'Warranty &amp; Maintenance'!N361</f>
        <v/>
      </c>
      <c r="C7396" s="84">
        <f>'Warranty &amp; Maintenance'!L361</f>
        <v/>
      </c>
      <c r="D7396" s="46">
        <f>'Warranty &amp; Maintenance'!M361</f>
        <v/>
      </c>
      <c r="E7396" s="46">
        <f>IF(OR(B7396="",C7396="",D7396=""),"",D7396*100000+(C7396-DATE(2000,1,1))+ROW()/100000)</f>
        <v/>
      </c>
      <c r="F7396" s="46">
        <f>IF(E7396="","",IF(C7396&gt;WeekEndDate,"",E7396))</f>
        <v/>
      </c>
    </row>
    <row r="7397">
      <c r="A7397" t="inlineStr">
        <is>
          <t>Warranty &amp; Maintenance</t>
        </is>
      </c>
      <c r="B7397" s="46">
        <f>'Warranty &amp; Maintenance'!N362</f>
        <v/>
      </c>
      <c r="C7397" s="84">
        <f>'Warranty &amp; Maintenance'!L362</f>
        <v/>
      </c>
      <c r="D7397" s="46">
        <f>'Warranty &amp; Maintenance'!M362</f>
        <v/>
      </c>
      <c r="E7397" s="46">
        <f>IF(OR(B7397="",C7397="",D7397=""),"",D7397*100000+(C7397-DATE(2000,1,1))+ROW()/100000)</f>
        <v/>
      </c>
      <c r="F7397" s="46">
        <f>IF(E7397="","",IF(C7397&gt;WeekEndDate,"",E7397))</f>
        <v/>
      </c>
    </row>
    <row r="7398">
      <c r="A7398" t="inlineStr">
        <is>
          <t>Warranty &amp; Maintenance</t>
        </is>
      </c>
      <c r="B7398" s="46">
        <f>'Warranty &amp; Maintenance'!N363</f>
        <v/>
      </c>
      <c r="C7398" s="84">
        <f>'Warranty &amp; Maintenance'!L363</f>
        <v/>
      </c>
      <c r="D7398" s="46">
        <f>'Warranty &amp; Maintenance'!M363</f>
        <v/>
      </c>
      <c r="E7398" s="46">
        <f>IF(OR(B7398="",C7398="",D7398=""),"",D7398*100000+(C7398-DATE(2000,1,1))+ROW()/100000)</f>
        <v/>
      </c>
      <c r="F7398" s="46">
        <f>IF(E7398="","",IF(C7398&gt;WeekEndDate,"",E7398))</f>
        <v/>
      </c>
    </row>
    <row r="7399">
      <c r="A7399" t="inlineStr">
        <is>
          <t>Warranty &amp; Maintenance</t>
        </is>
      </c>
      <c r="B7399" s="46">
        <f>'Warranty &amp; Maintenance'!N364</f>
        <v/>
      </c>
      <c r="C7399" s="84">
        <f>'Warranty &amp; Maintenance'!L364</f>
        <v/>
      </c>
      <c r="D7399" s="46">
        <f>'Warranty &amp; Maintenance'!M364</f>
        <v/>
      </c>
      <c r="E7399" s="46">
        <f>IF(OR(B7399="",C7399="",D7399=""),"",D7399*100000+(C7399-DATE(2000,1,1))+ROW()/100000)</f>
        <v/>
      </c>
      <c r="F7399" s="46">
        <f>IF(E7399="","",IF(C7399&gt;WeekEndDate,"",E7399))</f>
        <v/>
      </c>
    </row>
    <row r="7400">
      <c r="A7400" t="inlineStr">
        <is>
          <t>Warranty &amp; Maintenance</t>
        </is>
      </c>
      <c r="B7400" s="46">
        <f>'Warranty &amp; Maintenance'!N365</f>
        <v/>
      </c>
      <c r="C7400" s="84">
        <f>'Warranty &amp; Maintenance'!L365</f>
        <v/>
      </c>
      <c r="D7400" s="46">
        <f>'Warranty &amp; Maintenance'!M365</f>
        <v/>
      </c>
      <c r="E7400" s="46">
        <f>IF(OR(B7400="",C7400="",D7400=""),"",D7400*100000+(C7400-DATE(2000,1,1))+ROW()/100000)</f>
        <v/>
      </c>
      <c r="F7400" s="46">
        <f>IF(E7400="","",IF(C7400&gt;WeekEndDate,"",E7400))</f>
        <v/>
      </c>
    </row>
    <row r="7401">
      <c r="A7401" t="inlineStr">
        <is>
          <t>Warranty &amp; Maintenance</t>
        </is>
      </c>
      <c r="B7401" s="46">
        <f>'Warranty &amp; Maintenance'!N366</f>
        <v/>
      </c>
      <c r="C7401" s="84">
        <f>'Warranty &amp; Maintenance'!L366</f>
        <v/>
      </c>
      <c r="D7401" s="46">
        <f>'Warranty &amp; Maintenance'!M366</f>
        <v/>
      </c>
      <c r="E7401" s="46">
        <f>IF(OR(B7401="",C7401="",D7401=""),"",D7401*100000+(C7401-DATE(2000,1,1))+ROW()/100000)</f>
        <v/>
      </c>
      <c r="F7401" s="46">
        <f>IF(E7401="","",IF(C7401&gt;WeekEndDate,"",E7401))</f>
        <v/>
      </c>
    </row>
    <row r="7402">
      <c r="A7402" t="inlineStr">
        <is>
          <t>Warranty &amp; Maintenance</t>
        </is>
      </c>
      <c r="B7402" s="46">
        <f>'Warranty &amp; Maintenance'!N367</f>
        <v/>
      </c>
      <c r="C7402" s="84">
        <f>'Warranty &amp; Maintenance'!L367</f>
        <v/>
      </c>
      <c r="D7402" s="46">
        <f>'Warranty &amp; Maintenance'!M367</f>
        <v/>
      </c>
      <c r="E7402" s="46">
        <f>IF(OR(B7402="",C7402="",D7402=""),"",D7402*100000+(C7402-DATE(2000,1,1))+ROW()/100000)</f>
        <v/>
      </c>
      <c r="F7402" s="46">
        <f>IF(E7402="","",IF(C7402&gt;WeekEndDate,"",E7402))</f>
        <v/>
      </c>
    </row>
    <row r="7403">
      <c r="A7403" t="inlineStr">
        <is>
          <t>Warranty &amp; Maintenance</t>
        </is>
      </c>
      <c r="B7403" s="46">
        <f>'Warranty &amp; Maintenance'!N368</f>
        <v/>
      </c>
      <c r="C7403" s="84">
        <f>'Warranty &amp; Maintenance'!L368</f>
        <v/>
      </c>
      <c r="D7403" s="46">
        <f>'Warranty &amp; Maintenance'!M368</f>
        <v/>
      </c>
      <c r="E7403" s="46">
        <f>IF(OR(B7403="",C7403="",D7403=""),"",D7403*100000+(C7403-DATE(2000,1,1))+ROW()/100000)</f>
        <v/>
      </c>
      <c r="F7403" s="46">
        <f>IF(E7403="","",IF(C7403&gt;WeekEndDate,"",E7403))</f>
        <v/>
      </c>
    </row>
    <row r="7404">
      <c r="A7404" t="inlineStr">
        <is>
          <t>Warranty &amp; Maintenance</t>
        </is>
      </c>
      <c r="B7404" s="46">
        <f>'Warranty &amp; Maintenance'!N369</f>
        <v/>
      </c>
      <c r="C7404" s="84">
        <f>'Warranty &amp; Maintenance'!L369</f>
        <v/>
      </c>
      <c r="D7404" s="46">
        <f>'Warranty &amp; Maintenance'!M369</f>
        <v/>
      </c>
      <c r="E7404" s="46">
        <f>IF(OR(B7404="",C7404="",D7404=""),"",D7404*100000+(C7404-DATE(2000,1,1))+ROW()/100000)</f>
        <v/>
      </c>
      <c r="F7404" s="46">
        <f>IF(E7404="","",IF(C7404&gt;WeekEndDate,"",E7404))</f>
        <v/>
      </c>
    </row>
    <row r="7405">
      <c r="A7405" t="inlineStr">
        <is>
          <t>Warranty &amp; Maintenance</t>
        </is>
      </c>
      <c r="B7405" s="46">
        <f>'Warranty &amp; Maintenance'!N370</f>
        <v/>
      </c>
      <c r="C7405" s="84">
        <f>'Warranty &amp; Maintenance'!L370</f>
        <v/>
      </c>
      <c r="D7405" s="46">
        <f>'Warranty &amp; Maintenance'!M370</f>
        <v/>
      </c>
      <c r="E7405" s="46">
        <f>IF(OR(B7405="",C7405="",D7405=""),"",D7405*100000+(C7405-DATE(2000,1,1))+ROW()/100000)</f>
        <v/>
      </c>
      <c r="F7405" s="46">
        <f>IF(E7405="","",IF(C7405&gt;WeekEndDate,"",E7405))</f>
        <v/>
      </c>
    </row>
    <row r="7406">
      <c r="A7406" t="inlineStr">
        <is>
          <t>Warranty &amp; Maintenance</t>
        </is>
      </c>
      <c r="B7406" s="46">
        <f>'Warranty &amp; Maintenance'!N371</f>
        <v/>
      </c>
      <c r="C7406" s="84">
        <f>'Warranty &amp; Maintenance'!L371</f>
        <v/>
      </c>
      <c r="D7406" s="46">
        <f>'Warranty &amp; Maintenance'!M371</f>
        <v/>
      </c>
      <c r="E7406" s="46">
        <f>IF(OR(B7406="",C7406="",D7406=""),"",D7406*100000+(C7406-DATE(2000,1,1))+ROW()/100000)</f>
        <v/>
      </c>
      <c r="F7406" s="46">
        <f>IF(E7406="","",IF(C7406&gt;WeekEndDate,"",E7406))</f>
        <v/>
      </c>
    </row>
    <row r="7407">
      <c r="A7407" t="inlineStr">
        <is>
          <t>Warranty &amp; Maintenance</t>
        </is>
      </c>
      <c r="B7407" s="46">
        <f>'Warranty &amp; Maintenance'!N372</f>
        <v/>
      </c>
      <c r="C7407" s="84">
        <f>'Warranty &amp; Maintenance'!L372</f>
        <v/>
      </c>
      <c r="D7407" s="46">
        <f>'Warranty &amp; Maintenance'!M372</f>
        <v/>
      </c>
      <c r="E7407" s="46">
        <f>IF(OR(B7407="",C7407="",D7407=""),"",D7407*100000+(C7407-DATE(2000,1,1))+ROW()/100000)</f>
        <v/>
      </c>
      <c r="F7407" s="46">
        <f>IF(E7407="","",IF(C7407&gt;WeekEndDate,"",E7407))</f>
        <v/>
      </c>
    </row>
    <row r="7408">
      <c r="A7408" t="inlineStr">
        <is>
          <t>Warranty &amp; Maintenance</t>
        </is>
      </c>
      <c r="B7408" s="46">
        <f>'Warranty &amp; Maintenance'!N373</f>
        <v/>
      </c>
      <c r="C7408" s="84">
        <f>'Warranty &amp; Maintenance'!L373</f>
        <v/>
      </c>
      <c r="D7408" s="46">
        <f>'Warranty &amp; Maintenance'!M373</f>
        <v/>
      </c>
      <c r="E7408" s="46">
        <f>IF(OR(B7408="",C7408="",D7408=""),"",D7408*100000+(C7408-DATE(2000,1,1))+ROW()/100000)</f>
        <v/>
      </c>
      <c r="F7408" s="46">
        <f>IF(E7408="","",IF(C7408&gt;WeekEndDate,"",E7408))</f>
        <v/>
      </c>
    </row>
    <row r="7409">
      <c r="A7409" t="inlineStr">
        <is>
          <t>Warranty &amp; Maintenance</t>
        </is>
      </c>
      <c r="B7409" s="46">
        <f>'Warranty &amp; Maintenance'!N374</f>
        <v/>
      </c>
      <c r="C7409" s="84">
        <f>'Warranty &amp; Maintenance'!L374</f>
        <v/>
      </c>
      <c r="D7409" s="46">
        <f>'Warranty &amp; Maintenance'!M374</f>
        <v/>
      </c>
      <c r="E7409" s="46">
        <f>IF(OR(B7409="",C7409="",D7409=""),"",D7409*100000+(C7409-DATE(2000,1,1))+ROW()/100000)</f>
        <v/>
      </c>
      <c r="F7409" s="46">
        <f>IF(E7409="","",IF(C7409&gt;WeekEndDate,"",E7409))</f>
        <v/>
      </c>
    </row>
    <row r="7410">
      <c r="A7410" t="inlineStr">
        <is>
          <t>Warranty &amp; Maintenance</t>
        </is>
      </c>
      <c r="B7410" s="46">
        <f>'Warranty &amp; Maintenance'!N375</f>
        <v/>
      </c>
      <c r="C7410" s="84">
        <f>'Warranty &amp; Maintenance'!L375</f>
        <v/>
      </c>
      <c r="D7410" s="46">
        <f>'Warranty &amp; Maintenance'!M375</f>
        <v/>
      </c>
      <c r="E7410" s="46">
        <f>IF(OR(B7410="",C7410="",D7410=""),"",D7410*100000+(C7410-DATE(2000,1,1))+ROW()/100000)</f>
        <v/>
      </c>
      <c r="F7410" s="46">
        <f>IF(E7410="","",IF(C7410&gt;WeekEndDate,"",E7410))</f>
        <v/>
      </c>
    </row>
    <row r="7411">
      <c r="A7411" t="inlineStr">
        <is>
          <t>Warranty &amp; Maintenance</t>
        </is>
      </c>
      <c r="B7411" s="46">
        <f>'Warranty &amp; Maintenance'!N376</f>
        <v/>
      </c>
      <c r="C7411" s="84">
        <f>'Warranty &amp; Maintenance'!L376</f>
        <v/>
      </c>
      <c r="D7411" s="46">
        <f>'Warranty &amp; Maintenance'!M376</f>
        <v/>
      </c>
      <c r="E7411" s="46">
        <f>IF(OR(B7411="",C7411="",D7411=""),"",D7411*100000+(C7411-DATE(2000,1,1))+ROW()/100000)</f>
        <v/>
      </c>
      <c r="F7411" s="46">
        <f>IF(E7411="","",IF(C7411&gt;WeekEndDate,"",E7411))</f>
        <v/>
      </c>
    </row>
    <row r="7412">
      <c r="A7412" t="inlineStr">
        <is>
          <t>Warranty &amp; Maintenance</t>
        </is>
      </c>
      <c r="B7412" s="46">
        <f>'Warranty &amp; Maintenance'!N377</f>
        <v/>
      </c>
      <c r="C7412" s="84">
        <f>'Warranty &amp; Maintenance'!L377</f>
        <v/>
      </c>
      <c r="D7412" s="46">
        <f>'Warranty &amp; Maintenance'!M377</f>
        <v/>
      </c>
      <c r="E7412" s="46">
        <f>IF(OR(B7412="",C7412="",D7412=""),"",D7412*100000+(C7412-DATE(2000,1,1))+ROW()/100000)</f>
        <v/>
      </c>
      <c r="F7412" s="46">
        <f>IF(E7412="","",IF(C7412&gt;WeekEndDate,"",E7412))</f>
        <v/>
      </c>
    </row>
    <row r="7413">
      <c r="A7413" t="inlineStr">
        <is>
          <t>Warranty &amp; Maintenance</t>
        </is>
      </c>
      <c r="B7413" s="46">
        <f>'Warranty &amp; Maintenance'!N378</f>
        <v/>
      </c>
      <c r="C7413" s="84">
        <f>'Warranty &amp; Maintenance'!L378</f>
        <v/>
      </c>
      <c r="D7413" s="46">
        <f>'Warranty &amp; Maintenance'!M378</f>
        <v/>
      </c>
      <c r="E7413" s="46">
        <f>IF(OR(B7413="",C7413="",D7413=""),"",D7413*100000+(C7413-DATE(2000,1,1))+ROW()/100000)</f>
        <v/>
      </c>
      <c r="F7413" s="46">
        <f>IF(E7413="","",IF(C7413&gt;WeekEndDate,"",E7413))</f>
        <v/>
      </c>
    </row>
    <row r="7414">
      <c r="A7414" t="inlineStr">
        <is>
          <t>Warranty &amp; Maintenance</t>
        </is>
      </c>
      <c r="B7414" s="46">
        <f>'Warranty &amp; Maintenance'!N379</f>
        <v/>
      </c>
      <c r="C7414" s="84">
        <f>'Warranty &amp; Maintenance'!L379</f>
        <v/>
      </c>
      <c r="D7414" s="46">
        <f>'Warranty &amp; Maintenance'!M379</f>
        <v/>
      </c>
      <c r="E7414" s="46">
        <f>IF(OR(B7414="",C7414="",D7414=""),"",D7414*100000+(C7414-DATE(2000,1,1))+ROW()/100000)</f>
        <v/>
      </c>
      <c r="F7414" s="46">
        <f>IF(E7414="","",IF(C7414&gt;WeekEndDate,"",E7414))</f>
        <v/>
      </c>
    </row>
    <row r="7415">
      <c r="A7415" t="inlineStr">
        <is>
          <t>Warranty &amp; Maintenance</t>
        </is>
      </c>
      <c r="B7415" s="46">
        <f>'Warranty &amp; Maintenance'!N380</f>
        <v/>
      </c>
      <c r="C7415" s="84">
        <f>'Warranty &amp; Maintenance'!L380</f>
        <v/>
      </c>
      <c r="D7415" s="46">
        <f>'Warranty &amp; Maintenance'!M380</f>
        <v/>
      </c>
      <c r="E7415" s="46">
        <f>IF(OR(B7415="",C7415="",D7415=""),"",D7415*100000+(C7415-DATE(2000,1,1))+ROW()/100000)</f>
        <v/>
      </c>
      <c r="F7415" s="46">
        <f>IF(E7415="","",IF(C7415&gt;WeekEndDate,"",E7415))</f>
        <v/>
      </c>
    </row>
    <row r="7416">
      <c r="A7416" t="inlineStr">
        <is>
          <t>Warranty &amp; Maintenance</t>
        </is>
      </c>
      <c r="B7416" s="46">
        <f>'Warranty &amp; Maintenance'!N381</f>
        <v/>
      </c>
      <c r="C7416" s="84">
        <f>'Warranty &amp; Maintenance'!L381</f>
        <v/>
      </c>
      <c r="D7416" s="46">
        <f>'Warranty &amp; Maintenance'!M381</f>
        <v/>
      </c>
      <c r="E7416" s="46">
        <f>IF(OR(B7416="",C7416="",D7416=""),"",D7416*100000+(C7416-DATE(2000,1,1))+ROW()/100000)</f>
        <v/>
      </c>
      <c r="F7416" s="46">
        <f>IF(E7416="","",IF(C7416&gt;WeekEndDate,"",E7416))</f>
        <v/>
      </c>
    </row>
    <row r="7417">
      <c r="A7417" t="inlineStr">
        <is>
          <t>Warranty &amp; Maintenance</t>
        </is>
      </c>
      <c r="B7417" s="46">
        <f>'Warranty &amp; Maintenance'!N382</f>
        <v/>
      </c>
      <c r="C7417" s="84">
        <f>'Warranty &amp; Maintenance'!L382</f>
        <v/>
      </c>
      <c r="D7417" s="46">
        <f>'Warranty &amp; Maintenance'!M382</f>
        <v/>
      </c>
      <c r="E7417" s="46">
        <f>IF(OR(B7417="",C7417="",D7417=""),"",D7417*100000+(C7417-DATE(2000,1,1))+ROW()/100000)</f>
        <v/>
      </c>
      <c r="F7417" s="46">
        <f>IF(E7417="","",IF(C7417&gt;WeekEndDate,"",E7417))</f>
        <v/>
      </c>
    </row>
    <row r="7418">
      <c r="A7418" t="inlineStr">
        <is>
          <t>Warranty &amp; Maintenance</t>
        </is>
      </c>
      <c r="B7418" s="46">
        <f>'Warranty &amp; Maintenance'!N383</f>
        <v/>
      </c>
      <c r="C7418" s="84">
        <f>'Warranty &amp; Maintenance'!L383</f>
        <v/>
      </c>
      <c r="D7418" s="46">
        <f>'Warranty &amp; Maintenance'!M383</f>
        <v/>
      </c>
      <c r="E7418" s="46">
        <f>IF(OR(B7418="",C7418="",D7418=""),"",D7418*100000+(C7418-DATE(2000,1,1))+ROW()/100000)</f>
        <v/>
      </c>
      <c r="F7418" s="46">
        <f>IF(E7418="","",IF(C7418&gt;WeekEndDate,"",E7418))</f>
        <v/>
      </c>
    </row>
    <row r="7419">
      <c r="A7419" t="inlineStr">
        <is>
          <t>Warranty &amp; Maintenance</t>
        </is>
      </c>
      <c r="B7419" s="46">
        <f>'Warranty &amp; Maintenance'!N384</f>
        <v/>
      </c>
      <c r="C7419" s="84">
        <f>'Warranty &amp; Maintenance'!L384</f>
        <v/>
      </c>
      <c r="D7419" s="46">
        <f>'Warranty &amp; Maintenance'!M384</f>
        <v/>
      </c>
      <c r="E7419" s="46">
        <f>IF(OR(B7419="",C7419="",D7419=""),"",D7419*100000+(C7419-DATE(2000,1,1))+ROW()/100000)</f>
        <v/>
      </c>
      <c r="F7419" s="46">
        <f>IF(E7419="","",IF(C7419&gt;WeekEndDate,"",E7419))</f>
        <v/>
      </c>
    </row>
    <row r="7420">
      <c r="A7420" t="inlineStr">
        <is>
          <t>Warranty &amp; Maintenance</t>
        </is>
      </c>
      <c r="B7420" s="46">
        <f>'Warranty &amp; Maintenance'!N385</f>
        <v/>
      </c>
      <c r="C7420" s="84">
        <f>'Warranty &amp; Maintenance'!L385</f>
        <v/>
      </c>
      <c r="D7420" s="46">
        <f>'Warranty &amp; Maintenance'!M385</f>
        <v/>
      </c>
      <c r="E7420" s="46">
        <f>IF(OR(B7420="",C7420="",D7420=""),"",D7420*100000+(C7420-DATE(2000,1,1))+ROW()/100000)</f>
        <v/>
      </c>
      <c r="F7420" s="46">
        <f>IF(E7420="","",IF(C7420&gt;WeekEndDate,"",E7420))</f>
        <v/>
      </c>
    </row>
    <row r="7421">
      <c r="A7421" t="inlineStr">
        <is>
          <t>Warranty &amp; Maintenance</t>
        </is>
      </c>
      <c r="B7421" s="46">
        <f>'Warranty &amp; Maintenance'!N386</f>
        <v/>
      </c>
      <c r="C7421" s="84">
        <f>'Warranty &amp; Maintenance'!L386</f>
        <v/>
      </c>
      <c r="D7421" s="46">
        <f>'Warranty &amp; Maintenance'!M386</f>
        <v/>
      </c>
      <c r="E7421" s="46">
        <f>IF(OR(B7421="",C7421="",D7421=""),"",D7421*100000+(C7421-DATE(2000,1,1))+ROW()/100000)</f>
        <v/>
      </c>
      <c r="F7421" s="46">
        <f>IF(E7421="","",IF(C7421&gt;WeekEndDate,"",E7421))</f>
        <v/>
      </c>
    </row>
    <row r="7422">
      <c r="A7422" t="inlineStr">
        <is>
          <t>Warranty &amp; Maintenance</t>
        </is>
      </c>
      <c r="B7422" s="46">
        <f>'Warranty &amp; Maintenance'!N387</f>
        <v/>
      </c>
      <c r="C7422" s="84">
        <f>'Warranty &amp; Maintenance'!L387</f>
        <v/>
      </c>
      <c r="D7422" s="46">
        <f>'Warranty &amp; Maintenance'!M387</f>
        <v/>
      </c>
      <c r="E7422" s="46">
        <f>IF(OR(B7422="",C7422="",D7422=""),"",D7422*100000+(C7422-DATE(2000,1,1))+ROW()/100000)</f>
        <v/>
      </c>
      <c r="F7422" s="46">
        <f>IF(E7422="","",IF(C7422&gt;WeekEndDate,"",E7422))</f>
        <v/>
      </c>
    </row>
    <row r="7423">
      <c r="A7423" t="inlineStr">
        <is>
          <t>Warranty &amp; Maintenance</t>
        </is>
      </c>
      <c r="B7423" s="46">
        <f>'Warranty &amp; Maintenance'!N388</f>
        <v/>
      </c>
      <c r="C7423" s="84">
        <f>'Warranty &amp; Maintenance'!L388</f>
        <v/>
      </c>
      <c r="D7423" s="46">
        <f>'Warranty &amp; Maintenance'!M388</f>
        <v/>
      </c>
      <c r="E7423" s="46">
        <f>IF(OR(B7423="",C7423="",D7423=""),"",D7423*100000+(C7423-DATE(2000,1,1))+ROW()/100000)</f>
        <v/>
      </c>
      <c r="F7423" s="46">
        <f>IF(E7423="","",IF(C7423&gt;WeekEndDate,"",E7423))</f>
        <v/>
      </c>
    </row>
    <row r="7424">
      <c r="A7424" t="inlineStr">
        <is>
          <t>Warranty &amp; Maintenance</t>
        </is>
      </c>
      <c r="B7424" s="46">
        <f>'Warranty &amp; Maintenance'!N389</f>
        <v/>
      </c>
      <c r="C7424" s="84">
        <f>'Warranty &amp; Maintenance'!L389</f>
        <v/>
      </c>
      <c r="D7424" s="46">
        <f>'Warranty &amp; Maintenance'!M389</f>
        <v/>
      </c>
      <c r="E7424" s="46">
        <f>IF(OR(B7424="",C7424="",D7424=""),"",D7424*100000+(C7424-DATE(2000,1,1))+ROW()/100000)</f>
        <v/>
      </c>
      <c r="F7424" s="46">
        <f>IF(E7424="","",IF(C7424&gt;WeekEndDate,"",E7424))</f>
        <v/>
      </c>
    </row>
    <row r="7425">
      <c r="A7425" t="inlineStr">
        <is>
          <t>Warranty &amp; Maintenance</t>
        </is>
      </c>
      <c r="B7425" s="46">
        <f>'Warranty &amp; Maintenance'!N390</f>
        <v/>
      </c>
      <c r="C7425" s="84">
        <f>'Warranty &amp; Maintenance'!L390</f>
        <v/>
      </c>
      <c r="D7425" s="46">
        <f>'Warranty &amp; Maintenance'!M390</f>
        <v/>
      </c>
      <c r="E7425" s="46">
        <f>IF(OR(B7425="",C7425="",D7425=""),"",D7425*100000+(C7425-DATE(2000,1,1))+ROW()/100000)</f>
        <v/>
      </c>
      <c r="F7425" s="46">
        <f>IF(E7425="","",IF(C7425&gt;WeekEndDate,"",E7425))</f>
        <v/>
      </c>
    </row>
    <row r="7426">
      <c r="A7426" t="inlineStr">
        <is>
          <t>Warranty &amp; Maintenance</t>
        </is>
      </c>
      <c r="B7426" s="46">
        <f>'Warranty &amp; Maintenance'!N391</f>
        <v/>
      </c>
      <c r="C7426" s="84">
        <f>'Warranty &amp; Maintenance'!L391</f>
        <v/>
      </c>
      <c r="D7426" s="46">
        <f>'Warranty &amp; Maintenance'!M391</f>
        <v/>
      </c>
      <c r="E7426" s="46">
        <f>IF(OR(B7426="",C7426="",D7426=""),"",D7426*100000+(C7426-DATE(2000,1,1))+ROW()/100000)</f>
        <v/>
      </c>
      <c r="F7426" s="46">
        <f>IF(E7426="","",IF(C7426&gt;WeekEndDate,"",E7426))</f>
        <v/>
      </c>
    </row>
    <row r="7427">
      <c r="A7427" t="inlineStr">
        <is>
          <t>Warranty &amp; Maintenance</t>
        </is>
      </c>
      <c r="B7427" s="46">
        <f>'Warranty &amp; Maintenance'!N392</f>
        <v/>
      </c>
      <c r="C7427" s="84">
        <f>'Warranty &amp; Maintenance'!L392</f>
        <v/>
      </c>
      <c r="D7427" s="46">
        <f>'Warranty &amp; Maintenance'!M392</f>
        <v/>
      </c>
      <c r="E7427" s="46">
        <f>IF(OR(B7427="",C7427="",D7427=""),"",D7427*100000+(C7427-DATE(2000,1,1))+ROW()/100000)</f>
        <v/>
      </c>
      <c r="F7427" s="46">
        <f>IF(E7427="","",IF(C7427&gt;WeekEndDate,"",E7427))</f>
        <v/>
      </c>
    </row>
    <row r="7428">
      <c r="A7428" t="inlineStr">
        <is>
          <t>Warranty &amp; Maintenance</t>
        </is>
      </c>
      <c r="B7428" s="46">
        <f>'Warranty &amp; Maintenance'!N393</f>
        <v/>
      </c>
      <c r="C7428" s="84">
        <f>'Warranty &amp; Maintenance'!L393</f>
        <v/>
      </c>
      <c r="D7428" s="46">
        <f>'Warranty &amp; Maintenance'!M393</f>
        <v/>
      </c>
      <c r="E7428" s="46">
        <f>IF(OR(B7428="",C7428="",D7428=""),"",D7428*100000+(C7428-DATE(2000,1,1))+ROW()/100000)</f>
        <v/>
      </c>
      <c r="F7428" s="46">
        <f>IF(E7428="","",IF(C7428&gt;WeekEndDate,"",E7428))</f>
        <v/>
      </c>
    </row>
    <row r="7429">
      <c r="A7429" t="inlineStr">
        <is>
          <t>Warranty &amp; Maintenance</t>
        </is>
      </c>
      <c r="B7429" s="46">
        <f>'Warranty &amp; Maintenance'!N394</f>
        <v/>
      </c>
      <c r="C7429" s="84">
        <f>'Warranty &amp; Maintenance'!L394</f>
        <v/>
      </c>
      <c r="D7429" s="46">
        <f>'Warranty &amp; Maintenance'!M394</f>
        <v/>
      </c>
      <c r="E7429" s="46">
        <f>IF(OR(B7429="",C7429="",D7429=""),"",D7429*100000+(C7429-DATE(2000,1,1))+ROW()/100000)</f>
        <v/>
      </c>
      <c r="F7429" s="46">
        <f>IF(E7429="","",IF(C7429&gt;WeekEndDate,"",E7429))</f>
        <v/>
      </c>
    </row>
    <row r="7430">
      <c r="A7430" t="inlineStr">
        <is>
          <t>Warranty &amp; Maintenance</t>
        </is>
      </c>
      <c r="B7430" s="46">
        <f>'Warranty &amp; Maintenance'!N395</f>
        <v/>
      </c>
      <c r="C7430" s="84">
        <f>'Warranty &amp; Maintenance'!L395</f>
        <v/>
      </c>
      <c r="D7430" s="46">
        <f>'Warranty &amp; Maintenance'!M395</f>
        <v/>
      </c>
      <c r="E7430" s="46">
        <f>IF(OR(B7430="",C7430="",D7430=""),"",D7430*100000+(C7430-DATE(2000,1,1))+ROW()/100000)</f>
        <v/>
      </c>
      <c r="F7430" s="46">
        <f>IF(E7430="","",IF(C7430&gt;WeekEndDate,"",E7430))</f>
        <v/>
      </c>
    </row>
    <row r="7431">
      <c r="A7431" t="inlineStr">
        <is>
          <t>Warranty &amp; Maintenance</t>
        </is>
      </c>
      <c r="B7431" s="46">
        <f>'Warranty &amp; Maintenance'!N396</f>
        <v/>
      </c>
      <c r="C7431" s="84">
        <f>'Warranty &amp; Maintenance'!L396</f>
        <v/>
      </c>
      <c r="D7431" s="46">
        <f>'Warranty &amp; Maintenance'!M396</f>
        <v/>
      </c>
      <c r="E7431" s="46">
        <f>IF(OR(B7431="",C7431="",D7431=""),"",D7431*100000+(C7431-DATE(2000,1,1))+ROW()/100000)</f>
        <v/>
      </c>
      <c r="F7431" s="46">
        <f>IF(E7431="","",IF(C7431&gt;WeekEndDate,"",E7431))</f>
        <v/>
      </c>
    </row>
    <row r="7432">
      <c r="A7432" t="inlineStr">
        <is>
          <t>Warranty &amp; Maintenance</t>
        </is>
      </c>
      <c r="B7432" s="46">
        <f>'Warranty &amp; Maintenance'!N397</f>
        <v/>
      </c>
      <c r="C7432" s="84">
        <f>'Warranty &amp; Maintenance'!L397</f>
        <v/>
      </c>
      <c r="D7432" s="46">
        <f>'Warranty &amp; Maintenance'!M397</f>
        <v/>
      </c>
      <c r="E7432" s="46">
        <f>IF(OR(B7432="",C7432="",D7432=""),"",D7432*100000+(C7432-DATE(2000,1,1))+ROW()/100000)</f>
        <v/>
      </c>
      <c r="F7432" s="46">
        <f>IF(E7432="","",IF(C7432&gt;WeekEndDate,"",E7432))</f>
        <v/>
      </c>
    </row>
    <row r="7433">
      <c r="A7433" t="inlineStr">
        <is>
          <t>Warranty &amp; Maintenance</t>
        </is>
      </c>
      <c r="B7433" s="46">
        <f>'Warranty &amp; Maintenance'!N398</f>
        <v/>
      </c>
      <c r="C7433" s="84">
        <f>'Warranty &amp; Maintenance'!L398</f>
        <v/>
      </c>
      <c r="D7433" s="46">
        <f>'Warranty &amp; Maintenance'!M398</f>
        <v/>
      </c>
      <c r="E7433" s="46">
        <f>IF(OR(B7433="",C7433="",D7433=""),"",D7433*100000+(C7433-DATE(2000,1,1))+ROW()/100000)</f>
        <v/>
      </c>
      <c r="F7433" s="46">
        <f>IF(E7433="","",IF(C7433&gt;WeekEndDate,"",E7433))</f>
        <v/>
      </c>
    </row>
    <row r="7434">
      <c r="A7434" t="inlineStr">
        <is>
          <t>Warranty &amp; Maintenance</t>
        </is>
      </c>
      <c r="B7434" s="46">
        <f>'Warranty &amp; Maintenance'!N399</f>
        <v/>
      </c>
      <c r="C7434" s="84">
        <f>'Warranty &amp; Maintenance'!L399</f>
        <v/>
      </c>
      <c r="D7434" s="46">
        <f>'Warranty &amp; Maintenance'!M399</f>
        <v/>
      </c>
      <c r="E7434" s="46">
        <f>IF(OR(B7434="",C7434="",D7434=""),"",D7434*100000+(C7434-DATE(2000,1,1))+ROW()/100000)</f>
        <v/>
      </c>
      <c r="F7434" s="46">
        <f>IF(E7434="","",IF(C7434&gt;WeekEndDate,"",E7434))</f>
        <v/>
      </c>
    </row>
    <row r="7435">
      <c r="A7435" t="inlineStr">
        <is>
          <t>Warranty &amp; Maintenance</t>
        </is>
      </c>
      <c r="B7435" s="46">
        <f>'Warranty &amp; Maintenance'!N400</f>
        <v/>
      </c>
      <c r="C7435" s="84">
        <f>'Warranty &amp; Maintenance'!L400</f>
        <v/>
      </c>
      <c r="D7435" s="46">
        <f>'Warranty &amp; Maintenance'!M400</f>
        <v/>
      </c>
      <c r="E7435" s="46">
        <f>IF(OR(B7435="",C7435="",D7435=""),"",D7435*100000+(C7435-DATE(2000,1,1))+ROW()/100000)</f>
        <v/>
      </c>
      <c r="F7435" s="46">
        <f>IF(E7435="","",IF(C7435&gt;WeekEndDate,"",E7435))</f>
        <v/>
      </c>
    </row>
    <row r="7436">
      <c r="A7436" t="inlineStr">
        <is>
          <t>Warranty &amp; Maintenance</t>
        </is>
      </c>
      <c r="B7436" s="46">
        <f>'Warranty &amp; Maintenance'!N401</f>
        <v/>
      </c>
      <c r="C7436" s="84">
        <f>'Warranty &amp; Maintenance'!L401</f>
        <v/>
      </c>
      <c r="D7436" s="46">
        <f>'Warranty &amp; Maintenance'!M401</f>
        <v/>
      </c>
      <c r="E7436" s="46">
        <f>IF(OR(B7436="",C7436="",D7436=""),"",D7436*100000+(C7436-DATE(2000,1,1))+ROW()/100000)</f>
        <v/>
      </c>
      <c r="F7436" s="46">
        <f>IF(E7436="","",IF(C7436&gt;WeekEndDate,"",E7436))</f>
        <v/>
      </c>
    </row>
    <row r="7437">
      <c r="A7437" t="inlineStr">
        <is>
          <t>Warranty &amp; Maintenance</t>
        </is>
      </c>
      <c r="B7437" s="46">
        <f>'Warranty &amp; Maintenance'!N402</f>
        <v/>
      </c>
      <c r="C7437" s="84">
        <f>'Warranty &amp; Maintenance'!L402</f>
        <v/>
      </c>
      <c r="D7437" s="46">
        <f>'Warranty &amp; Maintenance'!M402</f>
        <v/>
      </c>
      <c r="E7437" s="46">
        <f>IF(OR(B7437="",C7437="",D7437=""),"",D7437*100000+(C7437-DATE(2000,1,1))+ROW()/100000)</f>
        <v/>
      </c>
      <c r="F7437" s="46">
        <f>IF(E7437="","",IF(C7437&gt;WeekEndDate,"",E7437))</f>
        <v/>
      </c>
    </row>
    <row r="7438">
      <c r="A7438" t="inlineStr">
        <is>
          <t>Warranty &amp; Maintenance</t>
        </is>
      </c>
      <c r="B7438" s="46">
        <f>'Warranty &amp; Maintenance'!N403</f>
        <v/>
      </c>
      <c r="C7438" s="84">
        <f>'Warranty &amp; Maintenance'!L403</f>
        <v/>
      </c>
      <c r="D7438" s="46">
        <f>'Warranty &amp; Maintenance'!M403</f>
        <v/>
      </c>
      <c r="E7438" s="46">
        <f>IF(OR(B7438="",C7438="",D7438=""),"",D7438*100000+(C7438-DATE(2000,1,1))+ROW()/100000)</f>
        <v/>
      </c>
      <c r="F7438" s="46">
        <f>IF(E7438="","",IF(C7438&gt;WeekEndDate,"",E7438))</f>
        <v/>
      </c>
    </row>
    <row r="7439">
      <c r="A7439" t="inlineStr">
        <is>
          <t>Warranty &amp; Maintenance</t>
        </is>
      </c>
      <c r="B7439" s="46">
        <f>'Warranty &amp; Maintenance'!N404</f>
        <v/>
      </c>
      <c r="C7439" s="84">
        <f>'Warranty &amp; Maintenance'!L404</f>
        <v/>
      </c>
      <c r="D7439" s="46">
        <f>'Warranty &amp; Maintenance'!M404</f>
        <v/>
      </c>
      <c r="E7439" s="46">
        <f>IF(OR(B7439="",C7439="",D7439=""),"",D7439*100000+(C7439-DATE(2000,1,1))+ROW()/100000)</f>
        <v/>
      </c>
      <c r="F7439" s="46">
        <f>IF(E7439="","",IF(C7439&gt;WeekEndDate,"",E7439))</f>
        <v/>
      </c>
    </row>
    <row r="7440">
      <c r="A7440" t="inlineStr">
        <is>
          <t>Warranty &amp; Maintenance</t>
        </is>
      </c>
      <c r="B7440" s="46">
        <f>'Warranty &amp; Maintenance'!N405</f>
        <v/>
      </c>
      <c r="C7440" s="84">
        <f>'Warranty &amp; Maintenance'!L405</f>
        <v/>
      </c>
      <c r="D7440" s="46">
        <f>'Warranty &amp; Maintenance'!M405</f>
        <v/>
      </c>
      <c r="E7440" s="46">
        <f>IF(OR(B7440="",C7440="",D7440=""),"",D7440*100000+(C7440-DATE(2000,1,1))+ROW()/100000)</f>
        <v/>
      </c>
      <c r="F7440" s="46">
        <f>IF(E7440="","",IF(C7440&gt;WeekEndDate,"",E7440))</f>
        <v/>
      </c>
    </row>
    <row r="7441">
      <c r="A7441" t="inlineStr">
        <is>
          <t>Warranty &amp; Maintenance</t>
        </is>
      </c>
      <c r="B7441" s="46">
        <f>'Warranty &amp; Maintenance'!N406</f>
        <v/>
      </c>
      <c r="C7441" s="84">
        <f>'Warranty &amp; Maintenance'!L406</f>
        <v/>
      </c>
      <c r="D7441" s="46">
        <f>'Warranty &amp; Maintenance'!M406</f>
        <v/>
      </c>
      <c r="E7441" s="46">
        <f>IF(OR(B7441="",C7441="",D7441=""),"",D7441*100000+(C7441-DATE(2000,1,1))+ROW()/100000)</f>
        <v/>
      </c>
      <c r="F7441" s="46">
        <f>IF(E7441="","",IF(C7441&gt;WeekEndDate,"",E7441))</f>
        <v/>
      </c>
    </row>
    <row r="7442">
      <c r="A7442" t="inlineStr">
        <is>
          <t>Warranty &amp; Maintenance</t>
        </is>
      </c>
      <c r="B7442" s="46">
        <f>'Warranty &amp; Maintenance'!N407</f>
        <v/>
      </c>
      <c r="C7442" s="84">
        <f>'Warranty &amp; Maintenance'!L407</f>
        <v/>
      </c>
      <c r="D7442" s="46">
        <f>'Warranty &amp; Maintenance'!M407</f>
        <v/>
      </c>
      <c r="E7442" s="46">
        <f>IF(OR(B7442="",C7442="",D7442=""),"",D7442*100000+(C7442-DATE(2000,1,1))+ROW()/100000)</f>
        <v/>
      </c>
      <c r="F7442" s="46">
        <f>IF(E7442="","",IF(C7442&gt;WeekEndDate,"",E7442))</f>
        <v/>
      </c>
    </row>
    <row r="7443">
      <c r="A7443" t="inlineStr">
        <is>
          <t>Warranty &amp; Maintenance</t>
        </is>
      </c>
      <c r="B7443" s="46">
        <f>'Warranty &amp; Maintenance'!N408</f>
        <v/>
      </c>
      <c r="C7443" s="84">
        <f>'Warranty &amp; Maintenance'!L408</f>
        <v/>
      </c>
      <c r="D7443" s="46">
        <f>'Warranty &amp; Maintenance'!M408</f>
        <v/>
      </c>
      <c r="E7443" s="46">
        <f>IF(OR(B7443="",C7443="",D7443=""),"",D7443*100000+(C7443-DATE(2000,1,1))+ROW()/100000)</f>
        <v/>
      </c>
      <c r="F7443" s="46">
        <f>IF(E7443="","",IF(C7443&gt;WeekEndDate,"",E7443))</f>
        <v/>
      </c>
    </row>
    <row r="7444">
      <c r="A7444" t="inlineStr">
        <is>
          <t>Warranty &amp; Maintenance</t>
        </is>
      </c>
      <c r="B7444" s="46">
        <f>'Warranty &amp; Maintenance'!N409</f>
        <v/>
      </c>
      <c r="C7444" s="84">
        <f>'Warranty &amp; Maintenance'!L409</f>
        <v/>
      </c>
      <c r="D7444" s="46">
        <f>'Warranty &amp; Maintenance'!M409</f>
        <v/>
      </c>
      <c r="E7444" s="46">
        <f>IF(OR(B7444="",C7444="",D7444=""),"",D7444*100000+(C7444-DATE(2000,1,1))+ROW()/100000)</f>
        <v/>
      </c>
      <c r="F7444" s="46">
        <f>IF(E7444="","",IF(C7444&gt;WeekEndDate,"",E7444))</f>
        <v/>
      </c>
    </row>
    <row r="7445">
      <c r="A7445" t="inlineStr">
        <is>
          <t>Warranty &amp; Maintenance</t>
        </is>
      </c>
      <c r="B7445" s="46">
        <f>'Warranty &amp; Maintenance'!N410</f>
        <v/>
      </c>
      <c r="C7445" s="84">
        <f>'Warranty &amp; Maintenance'!L410</f>
        <v/>
      </c>
      <c r="D7445" s="46">
        <f>'Warranty &amp; Maintenance'!M410</f>
        <v/>
      </c>
      <c r="E7445" s="46">
        <f>IF(OR(B7445="",C7445="",D7445=""),"",D7445*100000+(C7445-DATE(2000,1,1))+ROW()/100000)</f>
        <v/>
      </c>
      <c r="F7445" s="46">
        <f>IF(E7445="","",IF(C7445&gt;WeekEndDate,"",E7445))</f>
        <v/>
      </c>
    </row>
    <row r="7446">
      <c r="A7446" t="inlineStr">
        <is>
          <t>Warranty &amp; Maintenance</t>
        </is>
      </c>
      <c r="B7446" s="46">
        <f>'Warranty &amp; Maintenance'!N411</f>
        <v/>
      </c>
      <c r="C7446" s="84">
        <f>'Warranty &amp; Maintenance'!L411</f>
        <v/>
      </c>
      <c r="D7446" s="46">
        <f>'Warranty &amp; Maintenance'!M411</f>
        <v/>
      </c>
      <c r="E7446" s="46">
        <f>IF(OR(B7446="",C7446="",D7446=""),"",D7446*100000+(C7446-DATE(2000,1,1))+ROW()/100000)</f>
        <v/>
      </c>
      <c r="F7446" s="46">
        <f>IF(E7446="","",IF(C7446&gt;WeekEndDate,"",E7446))</f>
        <v/>
      </c>
    </row>
    <row r="7447">
      <c r="A7447" t="inlineStr">
        <is>
          <t>Warranty &amp; Maintenance</t>
        </is>
      </c>
      <c r="B7447" s="46">
        <f>'Warranty &amp; Maintenance'!N412</f>
        <v/>
      </c>
      <c r="C7447" s="84">
        <f>'Warranty &amp; Maintenance'!L412</f>
        <v/>
      </c>
      <c r="D7447" s="46">
        <f>'Warranty &amp; Maintenance'!M412</f>
        <v/>
      </c>
      <c r="E7447" s="46">
        <f>IF(OR(B7447="",C7447="",D7447=""),"",D7447*100000+(C7447-DATE(2000,1,1))+ROW()/100000)</f>
        <v/>
      </c>
      <c r="F7447" s="46">
        <f>IF(E7447="","",IF(C7447&gt;WeekEndDate,"",E7447))</f>
        <v/>
      </c>
    </row>
    <row r="7448">
      <c r="A7448" t="inlineStr">
        <is>
          <t>Warranty &amp; Maintenance</t>
        </is>
      </c>
      <c r="B7448" s="46">
        <f>'Warranty &amp; Maintenance'!N413</f>
        <v/>
      </c>
      <c r="C7448" s="84">
        <f>'Warranty &amp; Maintenance'!L413</f>
        <v/>
      </c>
      <c r="D7448" s="46">
        <f>'Warranty &amp; Maintenance'!M413</f>
        <v/>
      </c>
      <c r="E7448" s="46">
        <f>IF(OR(B7448="",C7448="",D7448=""),"",D7448*100000+(C7448-DATE(2000,1,1))+ROW()/100000)</f>
        <v/>
      </c>
      <c r="F7448" s="46">
        <f>IF(E7448="","",IF(C7448&gt;WeekEndDate,"",E7448))</f>
        <v/>
      </c>
    </row>
    <row r="7449">
      <c r="A7449" t="inlineStr">
        <is>
          <t>Warranty &amp; Maintenance</t>
        </is>
      </c>
      <c r="B7449" s="46">
        <f>'Warranty &amp; Maintenance'!N414</f>
        <v/>
      </c>
      <c r="C7449" s="84">
        <f>'Warranty &amp; Maintenance'!L414</f>
        <v/>
      </c>
      <c r="D7449" s="46">
        <f>'Warranty &amp; Maintenance'!M414</f>
        <v/>
      </c>
      <c r="E7449" s="46">
        <f>IF(OR(B7449="",C7449="",D7449=""),"",D7449*100000+(C7449-DATE(2000,1,1))+ROW()/100000)</f>
        <v/>
      </c>
      <c r="F7449" s="46">
        <f>IF(E7449="","",IF(C7449&gt;WeekEndDate,"",E7449))</f>
        <v/>
      </c>
    </row>
    <row r="7450">
      <c r="A7450" t="inlineStr">
        <is>
          <t>Warranty &amp; Maintenance</t>
        </is>
      </c>
      <c r="B7450" s="46">
        <f>'Warranty &amp; Maintenance'!N415</f>
        <v/>
      </c>
      <c r="C7450" s="84">
        <f>'Warranty &amp; Maintenance'!L415</f>
        <v/>
      </c>
      <c r="D7450" s="46">
        <f>'Warranty &amp; Maintenance'!M415</f>
        <v/>
      </c>
      <c r="E7450" s="46">
        <f>IF(OR(B7450="",C7450="",D7450=""),"",D7450*100000+(C7450-DATE(2000,1,1))+ROW()/100000)</f>
        <v/>
      </c>
      <c r="F7450" s="46">
        <f>IF(E7450="","",IF(C7450&gt;WeekEndDate,"",E7450))</f>
        <v/>
      </c>
    </row>
    <row r="7451">
      <c r="A7451" t="inlineStr">
        <is>
          <t>Warranty &amp; Maintenance</t>
        </is>
      </c>
      <c r="B7451" s="46">
        <f>'Warranty &amp; Maintenance'!N416</f>
        <v/>
      </c>
      <c r="C7451" s="84">
        <f>'Warranty &amp; Maintenance'!L416</f>
        <v/>
      </c>
      <c r="D7451" s="46">
        <f>'Warranty &amp; Maintenance'!M416</f>
        <v/>
      </c>
      <c r="E7451" s="46">
        <f>IF(OR(B7451="",C7451="",D7451=""),"",D7451*100000+(C7451-DATE(2000,1,1))+ROW()/100000)</f>
        <v/>
      </c>
      <c r="F7451" s="46">
        <f>IF(E7451="","",IF(C7451&gt;WeekEndDate,"",E7451))</f>
        <v/>
      </c>
    </row>
    <row r="7452">
      <c r="A7452" t="inlineStr">
        <is>
          <t>Warranty &amp; Maintenance</t>
        </is>
      </c>
      <c r="B7452" s="46">
        <f>'Warranty &amp; Maintenance'!N417</f>
        <v/>
      </c>
      <c r="C7452" s="84">
        <f>'Warranty &amp; Maintenance'!L417</f>
        <v/>
      </c>
      <c r="D7452" s="46">
        <f>'Warranty &amp; Maintenance'!M417</f>
        <v/>
      </c>
      <c r="E7452" s="46">
        <f>IF(OR(B7452="",C7452="",D7452=""),"",D7452*100000+(C7452-DATE(2000,1,1))+ROW()/100000)</f>
        <v/>
      </c>
      <c r="F7452" s="46">
        <f>IF(E7452="","",IF(C7452&gt;WeekEndDate,"",E7452))</f>
        <v/>
      </c>
    </row>
    <row r="7453">
      <c r="A7453" t="inlineStr">
        <is>
          <t>Warranty &amp; Maintenance</t>
        </is>
      </c>
      <c r="B7453" s="46">
        <f>'Warranty &amp; Maintenance'!N418</f>
        <v/>
      </c>
      <c r="C7453" s="84">
        <f>'Warranty &amp; Maintenance'!L418</f>
        <v/>
      </c>
      <c r="D7453" s="46">
        <f>'Warranty &amp; Maintenance'!M418</f>
        <v/>
      </c>
      <c r="E7453" s="46">
        <f>IF(OR(B7453="",C7453="",D7453=""),"",D7453*100000+(C7453-DATE(2000,1,1))+ROW()/100000)</f>
        <v/>
      </c>
      <c r="F7453" s="46">
        <f>IF(E7453="","",IF(C7453&gt;WeekEndDate,"",E7453))</f>
        <v/>
      </c>
    </row>
    <row r="7454">
      <c r="A7454" t="inlineStr">
        <is>
          <t>Warranty &amp; Maintenance</t>
        </is>
      </c>
      <c r="B7454" s="46">
        <f>'Warranty &amp; Maintenance'!N419</f>
        <v/>
      </c>
      <c r="C7454" s="84">
        <f>'Warranty &amp; Maintenance'!L419</f>
        <v/>
      </c>
      <c r="D7454" s="46">
        <f>'Warranty &amp; Maintenance'!M419</f>
        <v/>
      </c>
      <c r="E7454" s="46">
        <f>IF(OR(B7454="",C7454="",D7454=""),"",D7454*100000+(C7454-DATE(2000,1,1))+ROW()/100000)</f>
        <v/>
      </c>
      <c r="F7454" s="46">
        <f>IF(E7454="","",IF(C7454&gt;WeekEndDate,"",E7454))</f>
        <v/>
      </c>
    </row>
    <row r="7455">
      <c r="A7455" t="inlineStr">
        <is>
          <t>Warranty &amp; Maintenance</t>
        </is>
      </c>
      <c r="B7455" s="46">
        <f>'Warranty &amp; Maintenance'!N420</f>
        <v/>
      </c>
      <c r="C7455" s="84">
        <f>'Warranty &amp; Maintenance'!L420</f>
        <v/>
      </c>
      <c r="D7455" s="46">
        <f>'Warranty &amp; Maintenance'!M420</f>
        <v/>
      </c>
      <c r="E7455" s="46">
        <f>IF(OR(B7455="",C7455="",D7455=""),"",D7455*100000+(C7455-DATE(2000,1,1))+ROW()/100000)</f>
        <v/>
      </c>
      <c r="F7455" s="46">
        <f>IF(E7455="","",IF(C7455&gt;WeekEndDate,"",E7455))</f>
        <v/>
      </c>
    </row>
    <row r="7456">
      <c r="A7456" t="inlineStr">
        <is>
          <t>Warranty &amp; Maintenance</t>
        </is>
      </c>
      <c r="B7456" s="46">
        <f>'Warranty &amp; Maintenance'!N421</f>
        <v/>
      </c>
      <c r="C7456" s="84">
        <f>'Warranty &amp; Maintenance'!L421</f>
        <v/>
      </c>
      <c r="D7456" s="46">
        <f>'Warranty &amp; Maintenance'!M421</f>
        <v/>
      </c>
      <c r="E7456" s="46">
        <f>IF(OR(B7456="",C7456="",D7456=""),"",D7456*100000+(C7456-DATE(2000,1,1))+ROW()/100000)</f>
        <v/>
      </c>
      <c r="F7456" s="46">
        <f>IF(E7456="","",IF(C7456&gt;WeekEndDate,"",E7456))</f>
        <v/>
      </c>
    </row>
    <row r="7457">
      <c r="A7457" t="inlineStr">
        <is>
          <t>Warranty &amp; Maintenance</t>
        </is>
      </c>
      <c r="B7457" s="46">
        <f>'Warranty &amp; Maintenance'!N422</f>
        <v/>
      </c>
      <c r="C7457" s="84">
        <f>'Warranty &amp; Maintenance'!L422</f>
        <v/>
      </c>
      <c r="D7457" s="46">
        <f>'Warranty &amp; Maintenance'!M422</f>
        <v/>
      </c>
      <c r="E7457" s="46">
        <f>IF(OR(B7457="",C7457="",D7457=""),"",D7457*100000+(C7457-DATE(2000,1,1))+ROW()/100000)</f>
        <v/>
      </c>
      <c r="F7457" s="46">
        <f>IF(E7457="","",IF(C7457&gt;WeekEndDate,"",E7457))</f>
        <v/>
      </c>
    </row>
    <row r="7458">
      <c r="A7458" t="inlineStr">
        <is>
          <t>Warranty &amp; Maintenance</t>
        </is>
      </c>
      <c r="B7458" s="46">
        <f>'Warranty &amp; Maintenance'!N423</f>
        <v/>
      </c>
      <c r="C7458" s="84">
        <f>'Warranty &amp; Maintenance'!L423</f>
        <v/>
      </c>
      <c r="D7458" s="46">
        <f>'Warranty &amp; Maintenance'!M423</f>
        <v/>
      </c>
      <c r="E7458" s="46">
        <f>IF(OR(B7458="",C7458="",D7458=""),"",D7458*100000+(C7458-DATE(2000,1,1))+ROW()/100000)</f>
        <v/>
      </c>
      <c r="F7458" s="46">
        <f>IF(E7458="","",IF(C7458&gt;WeekEndDate,"",E7458))</f>
        <v/>
      </c>
    </row>
    <row r="7459">
      <c r="A7459" t="inlineStr">
        <is>
          <t>Warranty &amp; Maintenance</t>
        </is>
      </c>
      <c r="B7459" s="46">
        <f>'Warranty &amp; Maintenance'!N424</f>
        <v/>
      </c>
      <c r="C7459" s="84">
        <f>'Warranty &amp; Maintenance'!L424</f>
        <v/>
      </c>
      <c r="D7459" s="46">
        <f>'Warranty &amp; Maintenance'!M424</f>
        <v/>
      </c>
      <c r="E7459" s="46">
        <f>IF(OR(B7459="",C7459="",D7459=""),"",D7459*100000+(C7459-DATE(2000,1,1))+ROW()/100000)</f>
        <v/>
      </c>
      <c r="F7459" s="46">
        <f>IF(E7459="","",IF(C7459&gt;WeekEndDate,"",E7459))</f>
        <v/>
      </c>
    </row>
    <row r="7460">
      <c r="A7460" t="inlineStr">
        <is>
          <t>Warranty &amp; Maintenance</t>
        </is>
      </c>
      <c r="B7460" s="46">
        <f>'Warranty &amp; Maintenance'!N425</f>
        <v/>
      </c>
      <c r="C7460" s="84">
        <f>'Warranty &amp; Maintenance'!L425</f>
        <v/>
      </c>
      <c r="D7460" s="46">
        <f>'Warranty &amp; Maintenance'!M425</f>
        <v/>
      </c>
      <c r="E7460" s="46">
        <f>IF(OR(B7460="",C7460="",D7460=""),"",D7460*100000+(C7460-DATE(2000,1,1))+ROW()/100000)</f>
        <v/>
      </c>
      <c r="F7460" s="46">
        <f>IF(E7460="","",IF(C7460&gt;WeekEndDate,"",E7460))</f>
        <v/>
      </c>
    </row>
    <row r="7461">
      <c r="A7461" t="inlineStr">
        <is>
          <t>Warranty &amp; Maintenance</t>
        </is>
      </c>
      <c r="B7461" s="46">
        <f>'Warranty &amp; Maintenance'!N426</f>
        <v/>
      </c>
      <c r="C7461" s="84">
        <f>'Warranty &amp; Maintenance'!L426</f>
        <v/>
      </c>
      <c r="D7461" s="46">
        <f>'Warranty &amp; Maintenance'!M426</f>
        <v/>
      </c>
      <c r="E7461" s="46">
        <f>IF(OR(B7461="",C7461="",D7461=""),"",D7461*100000+(C7461-DATE(2000,1,1))+ROW()/100000)</f>
        <v/>
      </c>
      <c r="F7461" s="46">
        <f>IF(E7461="","",IF(C7461&gt;WeekEndDate,"",E7461))</f>
        <v/>
      </c>
    </row>
    <row r="7462">
      <c r="A7462" t="inlineStr">
        <is>
          <t>Warranty &amp; Maintenance</t>
        </is>
      </c>
      <c r="B7462" s="46">
        <f>'Warranty &amp; Maintenance'!N427</f>
        <v/>
      </c>
      <c r="C7462" s="84">
        <f>'Warranty &amp; Maintenance'!L427</f>
        <v/>
      </c>
      <c r="D7462" s="46">
        <f>'Warranty &amp; Maintenance'!M427</f>
        <v/>
      </c>
      <c r="E7462" s="46">
        <f>IF(OR(B7462="",C7462="",D7462=""),"",D7462*100000+(C7462-DATE(2000,1,1))+ROW()/100000)</f>
        <v/>
      </c>
      <c r="F7462" s="46">
        <f>IF(E7462="","",IF(C7462&gt;WeekEndDate,"",E7462))</f>
        <v/>
      </c>
    </row>
    <row r="7463">
      <c r="A7463" t="inlineStr">
        <is>
          <t>Warranty &amp; Maintenance</t>
        </is>
      </c>
      <c r="B7463" s="46">
        <f>'Warranty &amp; Maintenance'!N428</f>
        <v/>
      </c>
      <c r="C7463" s="84">
        <f>'Warranty &amp; Maintenance'!L428</f>
        <v/>
      </c>
      <c r="D7463" s="46">
        <f>'Warranty &amp; Maintenance'!M428</f>
        <v/>
      </c>
      <c r="E7463" s="46">
        <f>IF(OR(B7463="",C7463="",D7463=""),"",D7463*100000+(C7463-DATE(2000,1,1))+ROW()/100000)</f>
        <v/>
      </c>
      <c r="F7463" s="46">
        <f>IF(E7463="","",IF(C7463&gt;WeekEndDate,"",E7463))</f>
        <v/>
      </c>
    </row>
    <row r="7464">
      <c r="A7464" t="inlineStr">
        <is>
          <t>Warranty &amp; Maintenance</t>
        </is>
      </c>
      <c r="B7464" s="46">
        <f>'Warranty &amp; Maintenance'!N429</f>
        <v/>
      </c>
      <c r="C7464" s="84">
        <f>'Warranty &amp; Maintenance'!L429</f>
        <v/>
      </c>
      <c r="D7464" s="46">
        <f>'Warranty &amp; Maintenance'!M429</f>
        <v/>
      </c>
      <c r="E7464" s="46">
        <f>IF(OR(B7464="",C7464="",D7464=""),"",D7464*100000+(C7464-DATE(2000,1,1))+ROW()/100000)</f>
        <v/>
      </c>
      <c r="F7464" s="46">
        <f>IF(E7464="","",IF(C7464&gt;WeekEndDate,"",E7464))</f>
        <v/>
      </c>
    </row>
    <row r="7465">
      <c r="A7465" t="inlineStr">
        <is>
          <t>Warranty &amp; Maintenance</t>
        </is>
      </c>
      <c r="B7465" s="46">
        <f>'Warranty &amp; Maintenance'!N430</f>
        <v/>
      </c>
      <c r="C7465" s="84">
        <f>'Warranty &amp; Maintenance'!L430</f>
        <v/>
      </c>
      <c r="D7465" s="46">
        <f>'Warranty &amp; Maintenance'!M430</f>
        <v/>
      </c>
      <c r="E7465" s="46">
        <f>IF(OR(B7465="",C7465="",D7465=""),"",D7465*100000+(C7465-DATE(2000,1,1))+ROW()/100000)</f>
        <v/>
      </c>
      <c r="F7465" s="46">
        <f>IF(E7465="","",IF(C7465&gt;WeekEndDate,"",E7465))</f>
        <v/>
      </c>
    </row>
    <row r="7466">
      <c r="A7466" t="inlineStr">
        <is>
          <t>Warranty &amp; Maintenance</t>
        </is>
      </c>
      <c r="B7466" s="46">
        <f>'Warranty &amp; Maintenance'!N431</f>
        <v/>
      </c>
      <c r="C7466" s="84">
        <f>'Warranty &amp; Maintenance'!L431</f>
        <v/>
      </c>
      <c r="D7466" s="46">
        <f>'Warranty &amp; Maintenance'!M431</f>
        <v/>
      </c>
      <c r="E7466" s="46">
        <f>IF(OR(B7466="",C7466="",D7466=""),"",D7466*100000+(C7466-DATE(2000,1,1))+ROW()/100000)</f>
        <v/>
      </c>
      <c r="F7466" s="46">
        <f>IF(E7466="","",IF(C7466&gt;WeekEndDate,"",E7466))</f>
        <v/>
      </c>
    </row>
    <row r="7467">
      <c r="A7467" t="inlineStr">
        <is>
          <t>Warranty &amp; Maintenance</t>
        </is>
      </c>
      <c r="B7467" s="46">
        <f>'Warranty &amp; Maintenance'!N432</f>
        <v/>
      </c>
      <c r="C7467" s="84">
        <f>'Warranty &amp; Maintenance'!L432</f>
        <v/>
      </c>
      <c r="D7467" s="46">
        <f>'Warranty &amp; Maintenance'!M432</f>
        <v/>
      </c>
      <c r="E7467" s="46">
        <f>IF(OR(B7467="",C7467="",D7467=""),"",D7467*100000+(C7467-DATE(2000,1,1))+ROW()/100000)</f>
        <v/>
      </c>
      <c r="F7467" s="46">
        <f>IF(E7467="","",IF(C7467&gt;WeekEndDate,"",E7467))</f>
        <v/>
      </c>
    </row>
    <row r="7468">
      <c r="A7468" t="inlineStr">
        <is>
          <t>Warranty &amp; Maintenance</t>
        </is>
      </c>
      <c r="B7468" s="46">
        <f>'Warranty &amp; Maintenance'!N433</f>
        <v/>
      </c>
      <c r="C7468" s="84">
        <f>'Warranty &amp; Maintenance'!L433</f>
        <v/>
      </c>
      <c r="D7468" s="46">
        <f>'Warranty &amp; Maintenance'!M433</f>
        <v/>
      </c>
      <c r="E7468" s="46">
        <f>IF(OR(B7468="",C7468="",D7468=""),"",D7468*100000+(C7468-DATE(2000,1,1))+ROW()/100000)</f>
        <v/>
      </c>
      <c r="F7468" s="46">
        <f>IF(E7468="","",IF(C7468&gt;WeekEndDate,"",E7468))</f>
        <v/>
      </c>
    </row>
    <row r="7469">
      <c r="A7469" t="inlineStr">
        <is>
          <t>Warranty &amp; Maintenance</t>
        </is>
      </c>
      <c r="B7469" s="46">
        <f>'Warranty &amp; Maintenance'!N434</f>
        <v/>
      </c>
      <c r="C7469" s="84">
        <f>'Warranty &amp; Maintenance'!L434</f>
        <v/>
      </c>
      <c r="D7469" s="46">
        <f>'Warranty &amp; Maintenance'!M434</f>
        <v/>
      </c>
      <c r="E7469" s="46">
        <f>IF(OR(B7469="",C7469="",D7469=""),"",D7469*100000+(C7469-DATE(2000,1,1))+ROW()/100000)</f>
        <v/>
      </c>
      <c r="F7469" s="46">
        <f>IF(E7469="","",IF(C7469&gt;WeekEndDate,"",E7469))</f>
        <v/>
      </c>
    </row>
    <row r="7470">
      <c r="A7470" t="inlineStr">
        <is>
          <t>Warranty &amp; Maintenance</t>
        </is>
      </c>
      <c r="B7470" s="46">
        <f>'Warranty &amp; Maintenance'!N435</f>
        <v/>
      </c>
      <c r="C7470" s="84">
        <f>'Warranty &amp; Maintenance'!L435</f>
        <v/>
      </c>
      <c r="D7470" s="46">
        <f>'Warranty &amp; Maintenance'!M435</f>
        <v/>
      </c>
      <c r="E7470" s="46">
        <f>IF(OR(B7470="",C7470="",D7470=""),"",D7470*100000+(C7470-DATE(2000,1,1))+ROW()/100000)</f>
        <v/>
      </c>
      <c r="F7470" s="46">
        <f>IF(E7470="","",IF(C7470&gt;WeekEndDate,"",E7470))</f>
        <v/>
      </c>
    </row>
    <row r="7471">
      <c r="A7471" t="inlineStr">
        <is>
          <t>Warranty &amp; Maintenance</t>
        </is>
      </c>
      <c r="B7471" s="46">
        <f>'Warranty &amp; Maintenance'!N436</f>
        <v/>
      </c>
      <c r="C7471" s="84">
        <f>'Warranty &amp; Maintenance'!L436</f>
        <v/>
      </c>
      <c r="D7471" s="46">
        <f>'Warranty &amp; Maintenance'!M436</f>
        <v/>
      </c>
      <c r="E7471" s="46">
        <f>IF(OR(B7471="",C7471="",D7471=""),"",D7471*100000+(C7471-DATE(2000,1,1))+ROW()/100000)</f>
        <v/>
      </c>
      <c r="F7471" s="46">
        <f>IF(E7471="","",IF(C7471&gt;WeekEndDate,"",E7471))</f>
        <v/>
      </c>
    </row>
    <row r="7472">
      <c r="A7472" t="inlineStr">
        <is>
          <t>Warranty &amp; Maintenance</t>
        </is>
      </c>
      <c r="B7472" s="46">
        <f>'Warranty &amp; Maintenance'!N437</f>
        <v/>
      </c>
      <c r="C7472" s="84">
        <f>'Warranty &amp; Maintenance'!L437</f>
        <v/>
      </c>
      <c r="D7472" s="46">
        <f>'Warranty &amp; Maintenance'!M437</f>
        <v/>
      </c>
      <c r="E7472" s="46">
        <f>IF(OR(B7472="",C7472="",D7472=""),"",D7472*100000+(C7472-DATE(2000,1,1))+ROW()/100000)</f>
        <v/>
      </c>
      <c r="F7472" s="46">
        <f>IF(E7472="","",IF(C7472&gt;WeekEndDate,"",E7472))</f>
        <v/>
      </c>
    </row>
    <row r="7473">
      <c r="A7473" t="inlineStr">
        <is>
          <t>Warranty &amp; Maintenance</t>
        </is>
      </c>
      <c r="B7473" s="46">
        <f>'Warranty &amp; Maintenance'!N438</f>
        <v/>
      </c>
      <c r="C7473" s="84">
        <f>'Warranty &amp; Maintenance'!L438</f>
        <v/>
      </c>
      <c r="D7473" s="46">
        <f>'Warranty &amp; Maintenance'!M438</f>
        <v/>
      </c>
      <c r="E7473" s="46">
        <f>IF(OR(B7473="",C7473="",D7473=""),"",D7473*100000+(C7473-DATE(2000,1,1))+ROW()/100000)</f>
        <v/>
      </c>
      <c r="F7473" s="46">
        <f>IF(E7473="","",IF(C7473&gt;WeekEndDate,"",E7473))</f>
        <v/>
      </c>
    </row>
    <row r="7474">
      <c r="A7474" t="inlineStr">
        <is>
          <t>Warranty &amp; Maintenance</t>
        </is>
      </c>
      <c r="B7474" s="46">
        <f>'Warranty &amp; Maintenance'!N439</f>
        <v/>
      </c>
      <c r="C7474" s="84">
        <f>'Warranty &amp; Maintenance'!L439</f>
        <v/>
      </c>
      <c r="D7474" s="46">
        <f>'Warranty &amp; Maintenance'!M439</f>
        <v/>
      </c>
      <c r="E7474" s="46">
        <f>IF(OR(B7474="",C7474="",D7474=""),"",D7474*100000+(C7474-DATE(2000,1,1))+ROW()/100000)</f>
        <v/>
      </c>
      <c r="F7474" s="46">
        <f>IF(E7474="","",IF(C7474&gt;WeekEndDate,"",E7474))</f>
        <v/>
      </c>
    </row>
    <row r="7475">
      <c r="A7475" t="inlineStr">
        <is>
          <t>Warranty &amp; Maintenance</t>
        </is>
      </c>
      <c r="B7475" s="46">
        <f>'Warranty &amp; Maintenance'!N440</f>
        <v/>
      </c>
      <c r="C7475" s="84">
        <f>'Warranty &amp; Maintenance'!L440</f>
        <v/>
      </c>
      <c r="D7475" s="46">
        <f>'Warranty &amp; Maintenance'!M440</f>
        <v/>
      </c>
      <c r="E7475" s="46">
        <f>IF(OR(B7475="",C7475="",D7475=""),"",D7475*100000+(C7475-DATE(2000,1,1))+ROW()/100000)</f>
        <v/>
      </c>
      <c r="F7475" s="46">
        <f>IF(E7475="","",IF(C7475&gt;WeekEndDate,"",E7475))</f>
        <v/>
      </c>
    </row>
    <row r="7476">
      <c r="A7476" t="inlineStr">
        <is>
          <t>Warranty &amp; Maintenance</t>
        </is>
      </c>
      <c r="B7476" s="46">
        <f>'Warranty &amp; Maintenance'!N441</f>
        <v/>
      </c>
      <c r="C7476" s="84">
        <f>'Warranty &amp; Maintenance'!L441</f>
        <v/>
      </c>
      <c r="D7476" s="46">
        <f>'Warranty &amp; Maintenance'!M441</f>
        <v/>
      </c>
      <c r="E7476" s="46">
        <f>IF(OR(B7476="",C7476="",D7476=""),"",D7476*100000+(C7476-DATE(2000,1,1))+ROW()/100000)</f>
        <v/>
      </c>
      <c r="F7476" s="46">
        <f>IF(E7476="","",IF(C7476&gt;WeekEndDate,"",E7476))</f>
        <v/>
      </c>
    </row>
    <row r="7477">
      <c r="A7477" t="inlineStr">
        <is>
          <t>Warranty &amp; Maintenance</t>
        </is>
      </c>
      <c r="B7477" s="46">
        <f>'Warranty &amp; Maintenance'!N442</f>
        <v/>
      </c>
      <c r="C7477" s="84">
        <f>'Warranty &amp; Maintenance'!L442</f>
        <v/>
      </c>
      <c r="D7477" s="46">
        <f>'Warranty &amp; Maintenance'!M442</f>
        <v/>
      </c>
      <c r="E7477" s="46">
        <f>IF(OR(B7477="",C7477="",D7477=""),"",D7477*100000+(C7477-DATE(2000,1,1))+ROW()/100000)</f>
        <v/>
      </c>
      <c r="F7477" s="46">
        <f>IF(E7477="","",IF(C7477&gt;WeekEndDate,"",E7477))</f>
        <v/>
      </c>
    </row>
    <row r="7478">
      <c r="A7478" t="inlineStr">
        <is>
          <t>Warranty &amp; Maintenance</t>
        </is>
      </c>
      <c r="B7478" s="46">
        <f>'Warranty &amp; Maintenance'!N443</f>
        <v/>
      </c>
      <c r="C7478" s="84">
        <f>'Warranty &amp; Maintenance'!L443</f>
        <v/>
      </c>
      <c r="D7478" s="46">
        <f>'Warranty &amp; Maintenance'!M443</f>
        <v/>
      </c>
      <c r="E7478" s="46">
        <f>IF(OR(B7478="",C7478="",D7478=""),"",D7478*100000+(C7478-DATE(2000,1,1))+ROW()/100000)</f>
        <v/>
      </c>
      <c r="F7478" s="46">
        <f>IF(E7478="","",IF(C7478&gt;WeekEndDate,"",E7478))</f>
        <v/>
      </c>
    </row>
    <row r="7479">
      <c r="A7479" t="inlineStr">
        <is>
          <t>Warranty &amp; Maintenance</t>
        </is>
      </c>
      <c r="B7479" s="46">
        <f>'Warranty &amp; Maintenance'!N444</f>
        <v/>
      </c>
      <c r="C7479" s="84">
        <f>'Warranty &amp; Maintenance'!L444</f>
        <v/>
      </c>
      <c r="D7479" s="46">
        <f>'Warranty &amp; Maintenance'!M444</f>
        <v/>
      </c>
      <c r="E7479" s="46">
        <f>IF(OR(B7479="",C7479="",D7479=""),"",D7479*100000+(C7479-DATE(2000,1,1))+ROW()/100000)</f>
        <v/>
      </c>
      <c r="F7479" s="46">
        <f>IF(E7479="","",IF(C7479&gt;WeekEndDate,"",E7479))</f>
        <v/>
      </c>
    </row>
    <row r="7480">
      <c r="A7480" t="inlineStr">
        <is>
          <t>Warranty &amp; Maintenance</t>
        </is>
      </c>
      <c r="B7480" s="46">
        <f>'Warranty &amp; Maintenance'!N445</f>
        <v/>
      </c>
      <c r="C7480" s="84">
        <f>'Warranty &amp; Maintenance'!L445</f>
        <v/>
      </c>
      <c r="D7480" s="46">
        <f>'Warranty &amp; Maintenance'!M445</f>
        <v/>
      </c>
      <c r="E7480" s="46">
        <f>IF(OR(B7480="",C7480="",D7480=""),"",D7480*100000+(C7480-DATE(2000,1,1))+ROW()/100000)</f>
        <v/>
      </c>
      <c r="F7480" s="46">
        <f>IF(E7480="","",IF(C7480&gt;WeekEndDate,"",E7480))</f>
        <v/>
      </c>
    </row>
    <row r="7481">
      <c r="A7481" t="inlineStr">
        <is>
          <t>Warranty &amp; Maintenance</t>
        </is>
      </c>
      <c r="B7481" s="46">
        <f>'Warranty &amp; Maintenance'!N446</f>
        <v/>
      </c>
      <c r="C7481" s="84">
        <f>'Warranty &amp; Maintenance'!L446</f>
        <v/>
      </c>
      <c r="D7481" s="46">
        <f>'Warranty &amp; Maintenance'!M446</f>
        <v/>
      </c>
      <c r="E7481" s="46">
        <f>IF(OR(B7481="",C7481="",D7481=""),"",D7481*100000+(C7481-DATE(2000,1,1))+ROW()/100000)</f>
        <v/>
      </c>
      <c r="F7481" s="46">
        <f>IF(E7481="","",IF(C7481&gt;WeekEndDate,"",E7481))</f>
        <v/>
      </c>
    </row>
    <row r="7482">
      <c r="A7482" t="inlineStr">
        <is>
          <t>Warranty &amp; Maintenance</t>
        </is>
      </c>
      <c r="B7482" s="46">
        <f>'Warranty &amp; Maintenance'!N447</f>
        <v/>
      </c>
      <c r="C7482" s="84">
        <f>'Warranty &amp; Maintenance'!L447</f>
        <v/>
      </c>
      <c r="D7482" s="46">
        <f>'Warranty &amp; Maintenance'!M447</f>
        <v/>
      </c>
      <c r="E7482" s="46">
        <f>IF(OR(B7482="",C7482="",D7482=""),"",D7482*100000+(C7482-DATE(2000,1,1))+ROW()/100000)</f>
        <v/>
      </c>
      <c r="F7482" s="46">
        <f>IF(E7482="","",IF(C7482&gt;WeekEndDate,"",E7482))</f>
        <v/>
      </c>
    </row>
    <row r="7483">
      <c r="A7483" t="inlineStr">
        <is>
          <t>Warranty &amp; Maintenance</t>
        </is>
      </c>
      <c r="B7483" s="46">
        <f>'Warranty &amp; Maintenance'!N448</f>
        <v/>
      </c>
      <c r="C7483" s="84">
        <f>'Warranty &amp; Maintenance'!L448</f>
        <v/>
      </c>
      <c r="D7483" s="46">
        <f>'Warranty &amp; Maintenance'!M448</f>
        <v/>
      </c>
      <c r="E7483" s="46">
        <f>IF(OR(B7483="",C7483="",D7483=""),"",D7483*100000+(C7483-DATE(2000,1,1))+ROW()/100000)</f>
        <v/>
      </c>
      <c r="F7483" s="46">
        <f>IF(E7483="","",IF(C7483&gt;WeekEndDate,"",E7483))</f>
        <v/>
      </c>
    </row>
    <row r="7484">
      <c r="A7484" t="inlineStr">
        <is>
          <t>Warranty &amp; Maintenance</t>
        </is>
      </c>
      <c r="B7484" s="46">
        <f>'Warranty &amp; Maintenance'!N449</f>
        <v/>
      </c>
      <c r="C7484" s="84">
        <f>'Warranty &amp; Maintenance'!L449</f>
        <v/>
      </c>
      <c r="D7484" s="46">
        <f>'Warranty &amp; Maintenance'!M449</f>
        <v/>
      </c>
      <c r="E7484" s="46">
        <f>IF(OR(B7484="",C7484="",D7484=""),"",D7484*100000+(C7484-DATE(2000,1,1))+ROW()/100000)</f>
        <v/>
      </c>
      <c r="F7484" s="46">
        <f>IF(E7484="","",IF(C7484&gt;WeekEndDate,"",E7484))</f>
        <v/>
      </c>
    </row>
    <row r="7485">
      <c r="A7485" t="inlineStr">
        <is>
          <t>Warranty &amp; Maintenance</t>
        </is>
      </c>
      <c r="B7485" s="46">
        <f>'Warranty &amp; Maintenance'!N450</f>
        <v/>
      </c>
      <c r="C7485" s="84">
        <f>'Warranty &amp; Maintenance'!L450</f>
        <v/>
      </c>
      <c r="D7485" s="46">
        <f>'Warranty &amp; Maintenance'!M450</f>
        <v/>
      </c>
      <c r="E7485" s="46">
        <f>IF(OR(B7485="",C7485="",D7485=""),"",D7485*100000+(C7485-DATE(2000,1,1))+ROW()/100000)</f>
        <v/>
      </c>
      <c r="F7485" s="46">
        <f>IF(E7485="","",IF(C7485&gt;WeekEndDate,"",E7485))</f>
        <v/>
      </c>
    </row>
    <row r="7486">
      <c r="A7486" t="inlineStr">
        <is>
          <t>Warranty &amp; Maintenance</t>
        </is>
      </c>
      <c r="B7486" s="46">
        <f>'Warranty &amp; Maintenance'!N451</f>
        <v/>
      </c>
      <c r="C7486" s="84">
        <f>'Warranty &amp; Maintenance'!L451</f>
        <v/>
      </c>
      <c r="D7486" s="46">
        <f>'Warranty &amp; Maintenance'!M451</f>
        <v/>
      </c>
      <c r="E7486" s="46">
        <f>IF(OR(B7486="",C7486="",D7486=""),"",D7486*100000+(C7486-DATE(2000,1,1))+ROW()/100000)</f>
        <v/>
      </c>
      <c r="F7486" s="46">
        <f>IF(E7486="","",IF(C7486&gt;WeekEndDate,"",E7486))</f>
        <v/>
      </c>
    </row>
    <row r="7487">
      <c r="A7487" t="inlineStr">
        <is>
          <t>Warranty &amp; Maintenance</t>
        </is>
      </c>
      <c r="B7487" s="46">
        <f>'Warranty &amp; Maintenance'!N452</f>
        <v/>
      </c>
      <c r="C7487" s="84">
        <f>'Warranty &amp; Maintenance'!L452</f>
        <v/>
      </c>
      <c r="D7487" s="46">
        <f>'Warranty &amp; Maintenance'!M452</f>
        <v/>
      </c>
      <c r="E7487" s="46">
        <f>IF(OR(B7487="",C7487="",D7487=""),"",D7487*100000+(C7487-DATE(2000,1,1))+ROW()/100000)</f>
        <v/>
      </c>
      <c r="F7487" s="46">
        <f>IF(E7487="","",IF(C7487&gt;WeekEndDate,"",E7487))</f>
        <v/>
      </c>
    </row>
    <row r="7488">
      <c r="A7488" t="inlineStr">
        <is>
          <t>Warranty &amp; Maintenance</t>
        </is>
      </c>
      <c r="B7488" s="46">
        <f>'Warranty &amp; Maintenance'!N453</f>
        <v/>
      </c>
      <c r="C7488" s="84">
        <f>'Warranty &amp; Maintenance'!L453</f>
        <v/>
      </c>
      <c r="D7488" s="46">
        <f>'Warranty &amp; Maintenance'!M453</f>
        <v/>
      </c>
      <c r="E7488" s="46">
        <f>IF(OR(B7488="",C7488="",D7488=""),"",D7488*100000+(C7488-DATE(2000,1,1))+ROW()/100000)</f>
        <v/>
      </c>
      <c r="F7488" s="46">
        <f>IF(E7488="","",IF(C7488&gt;WeekEndDate,"",E7488))</f>
        <v/>
      </c>
    </row>
    <row r="7489">
      <c r="A7489" t="inlineStr">
        <is>
          <t>Warranty &amp; Maintenance</t>
        </is>
      </c>
      <c r="B7489" s="46">
        <f>'Warranty &amp; Maintenance'!N454</f>
        <v/>
      </c>
      <c r="C7489" s="84">
        <f>'Warranty &amp; Maintenance'!L454</f>
        <v/>
      </c>
      <c r="D7489" s="46">
        <f>'Warranty &amp; Maintenance'!M454</f>
        <v/>
      </c>
      <c r="E7489" s="46">
        <f>IF(OR(B7489="",C7489="",D7489=""),"",D7489*100000+(C7489-DATE(2000,1,1))+ROW()/100000)</f>
        <v/>
      </c>
      <c r="F7489" s="46">
        <f>IF(E7489="","",IF(C7489&gt;WeekEndDate,"",E7489))</f>
        <v/>
      </c>
    </row>
    <row r="7490">
      <c r="A7490" t="inlineStr">
        <is>
          <t>Warranty &amp; Maintenance</t>
        </is>
      </c>
      <c r="B7490" s="46">
        <f>'Warranty &amp; Maintenance'!N455</f>
        <v/>
      </c>
      <c r="C7490" s="84">
        <f>'Warranty &amp; Maintenance'!L455</f>
        <v/>
      </c>
      <c r="D7490" s="46">
        <f>'Warranty &amp; Maintenance'!M455</f>
        <v/>
      </c>
      <c r="E7490" s="46">
        <f>IF(OR(B7490="",C7490="",D7490=""),"",D7490*100000+(C7490-DATE(2000,1,1))+ROW()/100000)</f>
        <v/>
      </c>
      <c r="F7490" s="46">
        <f>IF(E7490="","",IF(C7490&gt;WeekEndDate,"",E7490))</f>
        <v/>
      </c>
    </row>
    <row r="7491">
      <c r="A7491" t="inlineStr">
        <is>
          <t>Warranty &amp; Maintenance</t>
        </is>
      </c>
      <c r="B7491" s="46">
        <f>'Warranty &amp; Maintenance'!N456</f>
        <v/>
      </c>
      <c r="C7491" s="84">
        <f>'Warranty &amp; Maintenance'!L456</f>
        <v/>
      </c>
      <c r="D7491" s="46">
        <f>'Warranty &amp; Maintenance'!M456</f>
        <v/>
      </c>
      <c r="E7491" s="46">
        <f>IF(OR(B7491="",C7491="",D7491=""),"",D7491*100000+(C7491-DATE(2000,1,1))+ROW()/100000)</f>
        <v/>
      </c>
      <c r="F7491" s="46">
        <f>IF(E7491="","",IF(C7491&gt;WeekEndDate,"",E7491))</f>
        <v/>
      </c>
    </row>
    <row r="7492">
      <c r="A7492" t="inlineStr">
        <is>
          <t>Warranty &amp; Maintenance</t>
        </is>
      </c>
      <c r="B7492" s="46">
        <f>'Warranty &amp; Maintenance'!N457</f>
        <v/>
      </c>
      <c r="C7492" s="84">
        <f>'Warranty &amp; Maintenance'!L457</f>
        <v/>
      </c>
      <c r="D7492" s="46">
        <f>'Warranty &amp; Maintenance'!M457</f>
        <v/>
      </c>
      <c r="E7492" s="46">
        <f>IF(OR(B7492="",C7492="",D7492=""),"",D7492*100000+(C7492-DATE(2000,1,1))+ROW()/100000)</f>
        <v/>
      </c>
      <c r="F7492" s="46">
        <f>IF(E7492="","",IF(C7492&gt;WeekEndDate,"",E7492))</f>
        <v/>
      </c>
    </row>
    <row r="7493">
      <c r="A7493" t="inlineStr">
        <is>
          <t>Warranty &amp; Maintenance</t>
        </is>
      </c>
      <c r="B7493" s="46">
        <f>'Warranty &amp; Maintenance'!N458</f>
        <v/>
      </c>
      <c r="C7493" s="84">
        <f>'Warranty &amp; Maintenance'!L458</f>
        <v/>
      </c>
      <c r="D7493" s="46">
        <f>'Warranty &amp; Maintenance'!M458</f>
        <v/>
      </c>
      <c r="E7493" s="46">
        <f>IF(OR(B7493="",C7493="",D7493=""),"",D7493*100000+(C7493-DATE(2000,1,1))+ROW()/100000)</f>
        <v/>
      </c>
      <c r="F7493" s="46">
        <f>IF(E7493="","",IF(C7493&gt;WeekEndDate,"",E7493))</f>
        <v/>
      </c>
    </row>
    <row r="7494">
      <c r="A7494" t="inlineStr">
        <is>
          <t>Warranty &amp; Maintenance</t>
        </is>
      </c>
      <c r="B7494" s="46">
        <f>'Warranty &amp; Maintenance'!N459</f>
        <v/>
      </c>
      <c r="C7494" s="84">
        <f>'Warranty &amp; Maintenance'!L459</f>
        <v/>
      </c>
      <c r="D7494" s="46">
        <f>'Warranty &amp; Maintenance'!M459</f>
        <v/>
      </c>
      <c r="E7494" s="46">
        <f>IF(OR(B7494="",C7494="",D7494=""),"",D7494*100000+(C7494-DATE(2000,1,1))+ROW()/100000)</f>
        <v/>
      </c>
      <c r="F7494" s="46">
        <f>IF(E7494="","",IF(C7494&gt;WeekEndDate,"",E7494))</f>
        <v/>
      </c>
    </row>
    <row r="7495">
      <c r="A7495" t="inlineStr">
        <is>
          <t>Warranty &amp; Maintenance</t>
        </is>
      </c>
      <c r="B7495" s="46">
        <f>'Warranty &amp; Maintenance'!N460</f>
        <v/>
      </c>
      <c r="C7495" s="84">
        <f>'Warranty &amp; Maintenance'!L460</f>
        <v/>
      </c>
      <c r="D7495" s="46">
        <f>'Warranty &amp; Maintenance'!M460</f>
        <v/>
      </c>
      <c r="E7495" s="46">
        <f>IF(OR(B7495="",C7495="",D7495=""),"",D7495*100000+(C7495-DATE(2000,1,1))+ROW()/100000)</f>
        <v/>
      </c>
      <c r="F7495" s="46">
        <f>IF(E7495="","",IF(C7495&gt;WeekEndDate,"",E7495))</f>
        <v/>
      </c>
    </row>
    <row r="7496">
      <c r="A7496" t="inlineStr">
        <is>
          <t>Warranty &amp; Maintenance</t>
        </is>
      </c>
      <c r="B7496" s="46">
        <f>'Warranty &amp; Maintenance'!N461</f>
        <v/>
      </c>
      <c r="C7496" s="84">
        <f>'Warranty &amp; Maintenance'!L461</f>
        <v/>
      </c>
      <c r="D7496" s="46">
        <f>'Warranty &amp; Maintenance'!M461</f>
        <v/>
      </c>
      <c r="E7496" s="46">
        <f>IF(OR(B7496="",C7496="",D7496=""),"",D7496*100000+(C7496-DATE(2000,1,1))+ROW()/100000)</f>
        <v/>
      </c>
      <c r="F7496" s="46">
        <f>IF(E7496="","",IF(C7496&gt;WeekEndDate,"",E7496))</f>
        <v/>
      </c>
    </row>
    <row r="7497">
      <c r="A7497" t="inlineStr">
        <is>
          <t>Warranty &amp; Maintenance</t>
        </is>
      </c>
      <c r="B7497" s="46">
        <f>'Warranty &amp; Maintenance'!N462</f>
        <v/>
      </c>
      <c r="C7497" s="84">
        <f>'Warranty &amp; Maintenance'!L462</f>
        <v/>
      </c>
      <c r="D7497" s="46">
        <f>'Warranty &amp; Maintenance'!M462</f>
        <v/>
      </c>
      <c r="E7497" s="46">
        <f>IF(OR(B7497="",C7497="",D7497=""),"",D7497*100000+(C7497-DATE(2000,1,1))+ROW()/100000)</f>
        <v/>
      </c>
      <c r="F7497" s="46">
        <f>IF(E7497="","",IF(C7497&gt;WeekEndDate,"",E7497))</f>
        <v/>
      </c>
    </row>
    <row r="7498">
      <c r="A7498" t="inlineStr">
        <is>
          <t>Warranty &amp; Maintenance</t>
        </is>
      </c>
      <c r="B7498" s="46">
        <f>'Warranty &amp; Maintenance'!N463</f>
        <v/>
      </c>
      <c r="C7498" s="84">
        <f>'Warranty &amp; Maintenance'!L463</f>
        <v/>
      </c>
      <c r="D7498" s="46">
        <f>'Warranty &amp; Maintenance'!M463</f>
        <v/>
      </c>
      <c r="E7498" s="46">
        <f>IF(OR(B7498="",C7498="",D7498=""),"",D7498*100000+(C7498-DATE(2000,1,1))+ROW()/100000)</f>
        <v/>
      </c>
      <c r="F7498" s="46">
        <f>IF(E7498="","",IF(C7498&gt;WeekEndDate,"",E7498))</f>
        <v/>
      </c>
    </row>
    <row r="7499">
      <c r="A7499" t="inlineStr">
        <is>
          <t>Warranty &amp; Maintenance</t>
        </is>
      </c>
      <c r="B7499" s="46">
        <f>'Warranty &amp; Maintenance'!N464</f>
        <v/>
      </c>
      <c r="C7499" s="84">
        <f>'Warranty &amp; Maintenance'!L464</f>
        <v/>
      </c>
      <c r="D7499" s="46">
        <f>'Warranty &amp; Maintenance'!M464</f>
        <v/>
      </c>
      <c r="E7499" s="46">
        <f>IF(OR(B7499="",C7499="",D7499=""),"",D7499*100000+(C7499-DATE(2000,1,1))+ROW()/100000)</f>
        <v/>
      </c>
      <c r="F7499" s="46">
        <f>IF(E7499="","",IF(C7499&gt;WeekEndDate,"",E7499))</f>
        <v/>
      </c>
    </row>
    <row r="7500">
      <c r="A7500" t="inlineStr">
        <is>
          <t>Warranty &amp; Maintenance</t>
        </is>
      </c>
      <c r="B7500" s="46">
        <f>'Warranty &amp; Maintenance'!N465</f>
        <v/>
      </c>
      <c r="C7500" s="84">
        <f>'Warranty &amp; Maintenance'!L465</f>
        <v/>
      </c>
      <c r="D7500" s="46">
        <f>'Warranty &amp; Maintenance'!M465</f>
        <v/>
      </c>
      <c r="E7500" s="46">
        <f>IF(OR(B7500="",C7500="",D7500=""),"",D7500*100000+(C7500-DATE(2000,1,1))+ROW()/100000)</f>
        <v/>
      </c>
      <c r="F7500" s="46">
        <f>IF(E7500="","",IF(C7500&gt;WeekEndDate,"",E7500))</f>
        <v/>
      </c>
    </row>
    <row r="7501">
      <c r="A7501" t="inlineStr">
        <is>
          <t>Warranty &amp; Maintenance</t>
        </is>
      </c>
      <c r="B7501" s="46">
        <f>'Warranty &amp; Maintenance'!N466</f>
        <v/>
      </c>
      <c r="C7501" s="84">
        <f>'Warranty &amp; Maintenance'!L466</f>
        <v/>
      </c>
      <c r="D7501" s="46">
        <f>'Warranty &amp; Maintenance'!M466</f>
        <v/>
      </c>
      <c r="E7501" s="46">
        <f>IF(OR(B7501="",C7501="",D7501=""),"",D7501*100000+(C7501-DATE(2000,1,1))+ROW()/100000)</f>
        <v/>
      </c>
      <c r="F7501" s="46">
        <f>IF(E7501="","",IF(C7501&gt;WeekEndDate,"",E7501))</f>
        <v/>
      </c>
    </row>
    <row r="7502">
      <c r="A7502" t="inlineStr">
        <is>
          <t>Warranty &amp; Maintenance</t>
        </is>
      </c>
      <c r="B7502" s="46">
        <f>'Warranty &amp; Maintenance'!N467</f>
        <v/>
      </c>
      <c r="C7502" s="84">
        <f>'Warranty &amp; Maintenance'!L467</f>
        <v/>
      </c>
      <c r="D7502" s="46">
        <f>'Warranty &amp; Maintenance'!M467</f>
        <v/>
      </c>
      <c r="E7502" s="46">
        <f>IF(OR(B7502="",C7502="",D7502=""),"",D7502*100000+(C7502-DATE(2000,1,1))+ROW()/100000)</f>
        <v/>
      </c>
      <c r="F7502" s="46">
        <f>IF(E7502="","",IF(C7502&gt;WeekEndDate,"",E7502))</f>
        <v/>
      </c>
    </row>
    <row r="7503">
      <c r="A7503" t="inlineStr">
        <is>
          <t>Warranty &amp; Maintenance</t>
        </is>
      </c>
      <c r="B7503" s="46">
        <f>'Warranty &amp; Maintenance'!N468</f>
        <v/>
      </c>
      <c r="C7503" s="84">
        <f>'Warranty &amp; Maintenance'!L468</f>
        <v/>
      </c>
      <c r="D7503" s="46">
        <f>'Warranty &amp; Maintenance'!M468</f>
        <v/>
      </c>
      <c r="E7503" s="46">
        <f>IF(OR(B7503="",C7503="",D7503=""),"",D7503*100000+(C7503-DATE(2000,1,1))+ROW()/100000)</f>
        <v/>
      </c>
      <c r="F7503" s="46">
        <f>IF(E7503="","",IF(C7503&gt;WeekEndDate,"",E7503))</f>
        <v/>
      </c>
    </row>
    <row r="7504">
      <c r="A7504" t="inlineStr">
        <is>
          <t>Warranty &amp; Maintenance</t>
        </is>
      </c>
      <c r="B7504" s="46">
        <f>'Warranty &amp; Maintenance'!N469</f>
        <v/>
      </c>
      <c r="C7504" s="84">
        <f>'Warranty &amp; Maintenance'!L469</f>
        <v/>
      </c>
      <c r="D7504" s="46">
        <f>'Warranty &amp; Maintenance'!M469</f>
        <v/>
      </c>
      <c r="E7504" s="46">
        <f>IF(OR(B7504="",C7504="",D7504=""),"",D7504*100000+(C7504-DATE(2000,1,1))+ROW()/100000)</f>
        <v/>
      </c>
      <c r="F7504" s="46">
        <f>IF(E7504="","",IF(C7504&gt;WeekEndDate,"",E7504))</f>
        <v/>
      </c>
    </row>
    <row r="7505">
      <c r="A7505" t="inlineStr">
        <is>
          <t>Warranty &amp; Maintenance</t>
        </is>
      </c>
      <c r="B7505" s="46">
        <f>'Warranty &amp; Maintenance'!N470</f>
        <v/>
      </c>
      <c r="C7505" s="84">
        <f>'Warranty &amp; Maintenance'!L470</f>
        <v/>
      </c>
      <c r="D7505" s="46">
        <f>'Warranty &amp; Maintenance'!M470</f>
        <v/>
      </c>
      <c r="E7505" s="46">
        <f>IF(OR(B7505="",C7505="",D7505=""),"",D7505*100000+(C7505-DATE(2000,1,1))+ROW()/100000)</f>
        <v/>
      </c>
      <c r="F7505" s="46">
        <f>IF(E7505="","",IF(C7505&gt;WeekEndDate,"",E7505))</f>
        <v/>
      </c>
    </row>
    <row r="7506">
      <c r="A7506" t="inlineStr">
        <is>
          <t>Warranty &amp; Maintenance</t>
        </is>
      </c>
      <c r="B7506" s="46">
        <f>'Warranty &amp; Maintenance'!N471</f>
        <v/>
      </c>
      <c r="C7506" s="84">
        <f>'Warranty &amp; Maintenance'!L471</f>
        <v/>
      </c>
      <c r="D7506" s="46">
        <f>'Warranty &amp; Maintenance'!M471</f>
        <v/>
      </c>
      <c r="E7506" s="46">
        <f>IF(OR(B7506="",C7506="",D7506=""),"",D7506*100000+(C7506-DATE(2000,1,1))+ROW()/100000)</f>
        <v/>
      </c>
      <c r="F7506" s="46">
        <f>IF(E7506="","",IF(C7506&gt;WeekEndDate,"",E7506))</f>
        <v/>
      </c>
    </row>
    <row r="7507">
      <c r="A7507" t="inlineStr">
        <is>
          <t>Warranty &amp; Maintenance</t>
        </is>
      </c>
      <c r="B7507" s="46">
        <f>'Warranty &amp; Maintenance'!N472</f>
        <v/>
      </c>
      <c r="C7507" s="84">
        <f>'Warranty &amp; Maintenance'!L472</f>
        <v/>
      </c>
      <c r="D7507" s="46">
        <f>'Warranty &amp; Maintenance'!M472</f>
        <v/>
      </c>
      <c r="E7507" s="46">
        <f>IF(OR(B7507="",C7507="",D7507=""),"",D7507*100000+(C7507-DATE(2000,1,1))+ROW()/100000)</f>
        <v/>
      </c>
      <c r="F7507" s="46">
        <f>IF(E7507="","",IF(C7507&gt;WeekEndDate,"",E7507))</f>
        <v/>
      </c>
    </row>
    <row r="7508">
      <c r="A7508" t="inlineStr">
        <is>
          <t>Warranty &amp; Maintenance</t>
        </is>
      </c>
      <c r="B7508" s="46">
        <f>'Warranty &amp; Maintenance'!N473</f>
        <v/>
      </c>
      <c r="C7508" s="84">
        <f>'Warranty &amp; Maintenance'!L473</f>
        <v/>
      </c>
      <c r="D7508" s="46">
        <f>'Warranty &amp; Maintenance'!M473</f>
        <v/>
      </c>
      <c r="E7508" s="46">
        <f>IF(OR(B7508="",C7508="",D7508=""),"",D7508*100000+(C7508-DATE(2000,1,1))+ROW()/100000)</f>
        <v/>
      </c>
      <c r="F7508" s="46">
        <f>IF(E7508="","",IF(C7508&gt;WeekEndDate,"",E7508))</f>
        <v/>
      </c>
    </row>
    <row r="7509">
      <c r="A7509" t="inlineStr">
        <is>
          <t>Warranty &amp; Maintenance</t>
        </is>
      </c>
      <c r="B7509" s="46">
        <f>'Warranty &amp; Maintenance'!N474</f>
        <v/>
      </c>
      <c r="C7509" s="84">
        <f>'Warranty &amp; Maintenance'!L474</f>
        <v/>
      </c>
      <c r="D7509" s="46">
        <f>'Warranty &amp; Maintenance'!M474</f>
        <v/>
      </c>
      <c r="E7509" s="46">
        <f>IF(OR(B7509="",C7509="",D7509=""),"",D7509*100000+(C7509-DATE(2000,1,1))+ROW()/100000)</f>
        <v/>
      </c>
      <c r="F7509" s="46">
        <f>IF(E7509="","",IF(C7509&gt;WeekEndDate,"",E7509))</f>
        <v/>
      </c>
    </row>
    <row r="7510">
      <c r="A7510" t="inlineStr">
        <is>
          <t>Warranty &amp; Maintenance</t>
        </is>
      </c>
      <c r="B7510" s="46">
        <f>'Warranty &amp; Maintenance'!N475</f>
        <v/>
      </c>
      <c r="C7510" s="84">
        <f>'Warranty &amp; Maintenance'!L475</f>
        <v/>
      </c>
      <c r="D7510" s="46">
        <f>'Warranty &amp; Maintenance'!M475</f>
        <v/>
      </c>
      <c r="E7510" s="46">
        <f>IF(OR(B7510="",C7510="",D7510=""),"",D7510*100000+(C7510-DATE(2000,1,1))+ROW()/100000)</f>
        <v/>
      </c>
      <c r="F7510" s="46">
        <f>IF(E7510="","",IF(C7510&gt;WeekEndDate,"",E7510))</f>
        <v/>
      </c>
    </row>
    <row r="7511">
      <c r="A7511" t="inlineStr">
        <is>
          <t>Warranty &amp; Maintenance</t>
        </is>
      </c>
      <c r="B7511" s="46">
        <f>'Warranty &amp; Maintenance'!N476</f>
        <v/>
      </c>
      <c r="C7511" s="84">
        <f>'Warranty &amp; Maintenance'!L476</f>
        <v/>
      </c>
      <c r="D7511" s="46">
        <f>'Warranty &amp; Maintenance'!M476</f>
        <v/>
      </c>
      <c r="E7511" s="46">
        <f>IF(OR(B7511="",C7511="",D7511=""),"",D7511*100000+(C7511-DATE(2000,1,1))+ROW()/100000)</f>
        <v/>
      </c>
      <c r="F7511" s="46">
        <f>IF(E7511="","",IF(C7511&gt;WeekEndDate,"",E7511))</f>
        <v/>
      </c>
    </row>
    <row r="7512">
      <c r="A7512" t="inlineStr">
        <is>
          <t>Warranty &amp; Maintenance</t>
        </is>
      </c>
      <c r="B7512" s="46">
        <f>'Warranty &amp; Maintenance'!N477</f>
        <v/>
      </c>
      <c r="C7512" s="84">
        <f>'Warranty &amp; Maintenance'!L477</f>
        <v/>
      </c>
      <c r="D7512" s="46">
        <f>'Warranty &amp; Maintenance'!M477</f>
        <v/>
      </c>
      <c r="E7512" s="46">
        <f>IF(OR(B7512="",C7512="",D7512=""),"",D7512*100000+(C7512-DATE(2000,1,1))+ROW()/100000)</f>
        <v/>
      </c>
      <c r="F7512" s="46">
        <f>IF(E7512="","",IF(C7512&gt;WeekEndDate,"",E7512))</f>
        <v/>
      </c>
    </row>
    <row r="7513">
      <c r="A7513" t="inlineStr">
        <is>
          <t>Warranty &amp; Maintenance</t>
        </is>
      </c>
      <c r="B7513" s="46">
        <f>'Warranty &amp; Maintenance'!N478</f>
        <v/>
      </c>
      <c r="C7513" s="84">
        <f>'Warranty &amp; Maintenance'!L478</f>
        <v/>
      </c>
      <c r="D7513" s="46">
        <f>'Warranty &amp; Maintenance'!M478</f>
        <v/>
      </c>
      <c r="E7513" s="46">
        <f>IF(OR(B7513="",C7513="",D7513=""),"",D7513*100000+(C7513-DATE(2000,1,1))+ROW()/100000)</f>
        <v/>
      </c>
      <c r="F7513" s="46">
        <f>IF(E7513="","",IF(C7513&gt;WeekEndDate,"",E7513))</f>
        <v/>
      </c>
    </row>
    <row r="7514">
      <c r="A7514" t="inlineStr">
        <is>
          <t>Warranty &amp; Maintenance</t>
        </is>
      </c>
      <c r="B7514" s="46">
        <f>'Warranty &amp; Maintenance'!N479</f>
        <v/>
      </c>
      <c r="C7514" s="84">
        <f>'Warranty &amp; Maintenance'!L479</f>
        <v/>
      </c>
      <c r="D7514" s="46">
        <f>'Warranty &amp; Maintenance'!M479</f>
        <v/>
      </c>
      <c r="E7514" s="46">
        <f>IF(OR(B7514="",C7514="",D7514=""),"",D7514*100000+(C7514-DATE(2000,1,1))+ROW()/100000)</f>
        <v/>
      </c>
      <c r="F7514" s="46">
        <f>IF(E7514="","",IF(C7514&gt;WeekEndDate,"",E7514))</f>
        <v/>
      </c>
    </row>
    <row r="7515">
      <c r="A7515" t="inlineStr">
        <is>
          <t>Warranty &amp; Maintenance</t>
        </is>
      </c>
      <c r="B7515" s="46">
        <f>'Warranty &amp; Maintenance'!N480</f>
        <v/>
      </c>
      <c r="C7515" s="84">
        <f>'Warranty &amp; Maintenance'!L480</f>
        <v/>
      </c>
      <c r="D7515" s="46">
        <f>'Warranty &amp; Maintenance'!M480</f>
        <v/>
      </c>
      <c r="E7515" s="46">
        <f>IF(OR(B7515="",C7515="",D7515=""),"",D7515*100000+(C7515-DATE(2000,1,1))+ROW()/100000)</f>
        <v/>
      </c>
      <c r="F7515" s="46">
        <f>IF(E7515="","",IF(C7515&gt;WeekEndDate,"",E7515))</f>
        <v/>
      </c>
    </row>
    <row r="7516">
      <c r="A7516" t="inlineStr">
        <is>
          <t>Warranty &amp; Maintenance</t>
        </is>
      </c>
      <c r="B7516" s="46">
        <f>'Warranty &amp; Maintenance'!N481</f>
        <v/>
      </c>
      <c r="C7516" s="84">
        <f>'Warranty &amp; Maintenance'!L481</f>
        <v/>
      </c>
      <c r="D7516" s="46">
        <f>'Warranty &amp; Maintenance'!M481</f>
        <v/>
      </c>
      <c r="E7516" s="46">
        <f>IF(OR(B7516="",C7516="",D7516=""),"",D7516*100000+(C7516-DATE(2000,1,1))+ROW()/100000)</f>
        <v/>
      </c>
      <c r="F7516" s="46">
        <f>IF(E7516="","",IF(C7516&gt;WeekEndDate,"",E7516))</f>
        <v/>
      </c>
    </row>
    <row r="7517">
      <c r="A7517" t="inlineStr">
        <is>
          <t>Warranty &amp; Maintenance</t>
        </is>
      </c>
      <c r="B7517" s="46">
        <f>'Warranty &amp; Maintenance'!N482</f>
        <v/>
      </c>
      <c r="C7517" s="84">
        <f>'Warranty &amp; Maintenance'!L482</f>
        <v/>
      </c>
      <c r="D7517" s="46">
        <f>'Warranty &amp; Maintenance'!M482</f>
        <v/>
      </c>
      <c r="E7517" s="46">
        <f>IF(OR(B7517="",C7517="",D7517=""),"",D7517*100000+(C7517-DATE(2000,1,1))+ROW()/100000)</f>
        <v/>
      </c>
      <c r="F7517" s="46">
        <f>IF(E7517="","",IF(C7517&gt;WeekEndDate,"",E7517))</f>
        <v/>
      </c>
    </row>
    <row r="7518">
      <c r="A7518" t="inlineStr">
        <is>
          <t>Warranty &amp; Maintenance</t>
        </is>
      </c>
      <c r="B7518" s="46">
        <f>'Warranty &amp; Maintenance'!N483</f>
        <v/>
      </c>
      <c r="C7518" s="84">
        <f>'Warranty &amp; Maintenance'!L483</f>
        <v/>
      </c>
      <c r="D7518" s="46">
        <f>'Warranty &amp; Maintenance'!M483</f>
        <v/>
      </c>
      <c r="E7518" s="46">
        <f>IF(OR(B7518="",C7518="",D7518=""),"",D7518*100000+(C7518-DATE(2000,1,1))+ROW()/100000)</f>
        <v/>
      </c>
      <c r="F7518" s="46">
        <f>IF(E7518="","",IF(C7518&gt;WeekEndDate,"",E7518))</f>
        <v/>
      </c>
    </row>
    <row r="7519">
      <c r="A7519" t="inlineStr">
        <is>
          <t>Warranty &amp; Maintenance</t>
        </is>
      </c>
      <c r="B7519" s="46">
        <f>'Warranty &amp; Maintenance'!N484</f>
        <v/>
      </c>
      <c r="C7519" s="84">
        <f>'Warranty &amp; Maintenance'!L484</f>
        <v/>
      </c>
      <c r="D7519" s="46">
        <f>'Warranty &amp; Maintenance'!M484</f>
        <v/>
      </c>
      <c r="E7519" s="46">
        <f>IF(OR(B7519="",C7519="",D7519=""),"",D7519*100000+(C7519-DATE(2000,1,1))+ROW()/100000)</f>
        <v/>
      </c>
      <c r="F7519" s="46">
        <f>IF(E7519="","",IF(C7519&gt;WeekEndDate,"",E7519))</f>
        <v/>
      </c>
    </row>
    <row r="7520">
      <c r="A7520" t="inlineStr">
        <is>
          <t>Warranty &amp; Maintenance</t>
        </is>
      </c>
      <c r="B7520" s="46">
        <f>'Warranty &amp; Maintenance'!N485</f>
        <v/>
      </c>
      <c r="C7520" s="84">
        <f>'Warranty &amp; Maintenance'!L485</f>
        <v/>
      </c>
      <c r="D7520" s="46">
        <f>'Warranty &amp; Maintenance'!M485</f>
        <v/>
      </c>
      <c r="E7520" s="46">
        <f>IF(OR(B7520="",C7520="",D7520=""),"",D7520*100000+(C7520-DATE(2000,1,1))+ROW()/100000)</f>
        <v/>
      </c>
      <c r="F7520" s="46">
        <f>IF(E7520="","",IF(C7520&gt;WeekEndDate,"",E7520))</f>
        <v/>
      </c>
    </row>
    <row r="7521">
      <c r="A7521" t="inlineStr">
        <is>
          <t>Warranty &amp; Maintenance</t>
        </is>
      </c>
      <c r="B7521" s="46">
        <f>'Warranty &amp; Maintenance'!N486</f>
        <v/>
      </c>
      <c r="C7521" s="84">
        <f>'Warranty &amp; Maintenance'!L486</f>
        <v/>
      </c>
      <c r="D7521" s="46">
        <f>'Warranty &amp; Maintenance'!M486</f>
        <v/>
      </c>
      <c r="E7521" s="46">
        <f>IF(OR(B7521="",C7521="",D7521=""),"",D7521*100000+(C7521-DATE(2000,1,1))+ROW()/100000)</f>
        <v/>
      </c>
      <c r="F7521" s="46">
        <f>IF(E7521="","",IF(C7521&gt;WeekEndDate,"",E7521))</f>
        <v/>
      </c>
    </row>
    <row r="7522">
      <c r="A7522" t="inlineStr">
        <is>
          <t>Warranty &amp; Maintenance</t>
        </is>
      </c>
      <c r="B7522" s="46">
        <f>'Warranty &amp; Maintenance'!N487</f>
        <v/>
      </c>
      <c r="C7522" s="84">
        <f>'Warranty &amp; Maintenance'!L487</f>
        <v/>
      </c>
      <c r="D7522" s="46">
        <f>'Warranty &amp; Maintenance'!M487</f>
        <v/>
      </c>
      <c r="E7522" s="46">
        <f>IF(OR(B7522="",C7522="",D7522=""),"",D7522*100000+(C7522-DATE(2000,1,1))+ROW()/100000)</f>
        <v/>
      </c>
      <c r="F7522" s="46">
        <f>IF(E7522="","",IF(C7522&gt;WeekEndDate,"",E7522))</f>
        <v/>
      </c>
    </row>
    <row r="7523">
      <c r="A7523" t="inlineStr">
        <is>
          <t>Warranty &amp; Maintenance</t>
        </is>
      </c>
      <c r="B7523" s="46">
        <f>'Warranty &amp; Maintenance'!N488</f>
        <v/>
      </c>
      <c r="C7523" s="84">
        <f>'Warranty &amp; Maintenance'!L488</f>
        <v/>
      </c>
      <c r="D7523" s="46">
        <f>'Warranty &amp; Maintenance'!M488</f>
        <v/>
      </c>
      <c r="E7523" s="46">
        <f>IF(OR(B7523="",C7523="",D7523=""),"",D7523*100000+(C7523-DATE(2000,1,1))+ROW()/100000)</f>
        <v/>
      </c>
      <c r="F7523" s="46">
        <f>IF(E7523="","",IF(C7523&gt;WeekEndDate,"",E7523))</f>
        <v/>
      </c>
    </row>
    <row r="7524">
      <c r="A7524" t="inlineStr">
        <is>
          <t>Warranty &amp; Maintenance</t>
        </is>
      </c>
      <c r="B7524" s="46">
        <f>'Warranty &amp; Maintenance'!N489</f>
        <v/>
      </c>
      <c r="C7524" s="84">
        <f>'Warranty &amp; Maintenance'!L489</f>
        <v/>
      </c>
      <c r="D7524" s="46">
        <f>'Warranty &amp; Maintenance'!M489</f>
        <v/>
      </c>
      <c r="E7524" s="46">
        <f>IF(OR(B7524="",C7524="",D7524=""),"",D7524*100000+(C7524-DATE(2000,1,1))+ROW()/100000)</f>
        <v/>
      </c>
      <c r="F7524" s="46">
        <f>IF(E7524="","",IF(C7524&gt;WeekEndDate,"",E7524))</f>
        <v/>
      </c>
    </row>
    <row r="7525">
      <c r="A7525" t="inlineStr">
        <is>
          <t>Warranty &amp; Maintenance</t>
        </is>
      </c>
      <c r="B7525" s="46">
        <f>'Warranty &amp; Maintenance'!N490</f>
        <v/>
      </c>
      <c r="C7525" s="84">
        <f>'Warranty &amp; Maintenance'!L490</f>
        <v/>
      </c>
      <c r="D7525" s="46">
        <f>'Warranty &amp; Maintenance'!M490</f>
        <v/>
      </c>
      <c r="E7525" s="46">
        <f>IF(OR(B7525="",C7525="",D7525=""),"",D7525*100000+(C7525-DATE(2000,1,1))+ROW()/100000)</f>
        <v/>
      </c>
      <c r="F7525" s="46">
        <f>IF(E7525="","",IF(C7525&gt;WeekEndDate,"",E7525))</f>
        <v/>
      </c>
    </row>
    <row r="7526">
      <c r="A7526" t="inlineStr">
        <is>
          <t>Warranty &amp; Maintenance</t>
        </is>
      </c>
      <c r="B7526" s="46">
        <f>'Warranty &amp; Maintenance'!N491</f>
        <v/>
      </c>
      <c r="C7526" s="84">
        <f>'Warranty &amp; Maintenance'!L491</f>
        <v/>
      </c>
      <c r="D7526" s="46">
        <f>'Warranty &amp; Maintenance'!M491</f>
        <v/>
      </c>
      <c r="E7526" s="46">
        <f>IF(OR(B7526="",C7526="",D7526=""),"",D7526*100000+(C7526-DATE(2000,1,1))+ROW()/100000)</f>
        <v/>
      </c>
      <c r="F7526" s="46">
        <f>IF(E7526="","",IF(C7526&gt;WeekEndDate,"",E7526))</f>
        <v/>
      </c>
    </row>
    <row r="7527">
      <c r="A7527" t="inlineStr">
        <is>
          <t>Warranty &amp; Maintenance</t>
        </is>
      </c>
      <c r="B7527" s="46">
        <f>'Warranty &amp; Maintenance'!N492</f>
        <v/>
      </c>
      <c r="C7527" s="84">
        <f>'Warranty &amp; Maintenance'!L492</f>
        <v/>
      </c>
      <c r="D7527" s="46">
        <f>'Warranty &amp; Maintenance'!M492</f>
        <v/>
      </c>
      <c r="E7527" s="46">
        <f>IF(OR(B7527="",C7527="",D7527=""),"",D7527*100000+(C7527-DATE(2000,1,1))+ROW()/100000)</f>
        <v/>
      </c>
      <c r="F7527" s="46">
        <f>IF(E7527="","",IF(C7527&gt;WeekEndDate,"",E7527))</f>
        <v/>
      </c>
    </row>
    <row r="7528">
      <c r="A7528" t="inlineStr">
        <is>
          <t>Warranty &amp; Maintenance</t>
        </is>
      </c>
      <c r="B7528" s="46">
        <f>'Warranty &amp; Maintenance'!N493</f>
        <v/>
      </c>
      <c r="C7528" s="84">
        <f>'Warranty &amp; Maintenance'!L493</f>
        <v/>
      </c>
      <c r="D7528" s="46">
        <f>'Warranty &amp; Maintenance'!M493</f>
        <v/>
      </c>
      <c r="E7528" s="46">
        <f>IF(OR(B7528="",C7528="",D7528=""),"",D7528*100000+(C7528-DATE(2000,1,1))+ROW()/100000)</f>
        <v/>
      </c>
      <c r="F7528" s="46">
        <f>IF(E7528="","",IF(C7528&gt;WeekEndDate,"",E7528))</f>
        <v/>
      </c>
    </row>
    <row r="7529">
      <c r="A7529" t="inlineStr">
        <is>
          <t>Warranty &amp; Maintenance</t>
        </is>
      </c>
      <c r="B7529" s="46">
        <f>'Warranty &amp; Maintenance'!N494</f>
        <v/>
      </c>
      <c r="C7529" s="84">
        <f>'Warranty &amp; Maintenance'!L494</f>
        <v/>
      </c>
      <c r="D7529" s="46">
        <f>'Warranty &amp; Maintenance'!M494</f>
        <v/>
      </c>
      <c r="E7529" s="46">
        <f>IF(OR(B7529="",C7529="",D7529=""),"",D7529*100000+(C7529-DATE(2000,1,1))+ROW()/100000)</f>
        <v/>
      </c>
      <c r="F7529" s="46">
        <f>IF(E7529="","",IF(C7529&gt;WeekEndDate,"",E7529))</f>
        <v/>
      </c>
    </row>
    <row r="7530">
      <c r="A7530" t="inlineStr">
        <is>
          <t>Warranty &amp; Maintenance</t>
        </is>
      </c>
      <c r="B7530" s="46">
        <f>'Warranty &amp; Maintenance'!N495</f>
        <v/>
      </c>
      <c r="C7530" s="84">
        <f>'Warranty &amp; Maintenance'!L495</f>
        <v/>
      </c>
      <c r="D7530" s="46">
        <f>'Warranty &amp; Maintenance'!M495</f>
        <v/>
      </c>
      <c r="E7530" s="46">
        <f>IF(OR(B7530="",C7530="",D7530=""),"",D7530*100000+(C7530-DATE(2000,1,1))+ROW()/100000)</f>
        <v/>
      </c>
      <c r="F7530" s="46">
        <f>IF(E7530="","",IF(C7530&gt;WeekEndDate,"",E7530))</f>
        <v/>
      </c>
    </row>
    <row r="7531">
      <c r="A7531" t="inlineStr">
        <is>
          <t>Warranty &amp; Maintenance</t>
        </is>
      </c>
      <c r="B7531" s="46">
        <f>'Warranty &amp; Maintenance'!N496</f>
        <v/>
      </c>
      <c r="C7531" s="84">
        <f>'Warranty &amp; Maintenance'!L496</f>
        <v/>
      </c>
      <c r="D7531" s="46">
        <f>'Warranty &amp; Maintenance'!M496</f>
        <v/>
      </c>
      <c r="E7531" s="46">
        <f>IF(OR(B7531="",C7531="",D7531=""),"",D7531*100000+(C7531-DATE(2000,1,1))+ROW()/100000)</f>
        <v/>
      </c>
      <c r="F7531" s="46">
        <f>IF(E7531="","",IF(C7531&gt;WeekEndDate,"",E7531))</f>
        <v/>
      </c>
    </row>
    <row r="7532">
      <c r="A7532" t="inlineStr">
        <is>
          <t>Warranty &amp; Maintenance</t>
        </is>
      </c>
      <c r="B7532" s="46">
        <f>'Warranty &amp; Maintenance'!N497</f>
        <v/>
      </c>
      <c r="C7532" s="84">
        <f>'Warranty &amp; Maintenance'!L497</f>
        <v/>
      </c>
      <c r="D7532" s="46">
        <f>'Warranty &amp; Maintenance'!M497</f>
        <v/>
      </c>
      <c r="E7532" s="46">
        <f>IF(OR(B7532="",C7532="",D7532=""),"",D7532*100000+(C7532-DATE(2000,1,1))+ROW()/100000)</f>
        <v/>
      </c>
      <c r="F7532" s="46">
        <f>IF(E7532="","",IF(C7532&gt;WeekEndDate,"",E7532))</f>
        <v/>
      </c>
    </row>
    <row r="7533">
      <c r="A7533" t="inlineStr">
        <is>
          <t>Warranty &amp; Maintenance</t>
        </is>
      </c>
      <c r="B7533" s="46">
        <f>'Warranty &amp; Maintenance'!N498</f>
        <v/>
      </c>
      <c r="C7533" s="84">
        <f>'Warranty &amp; Maintenance'!L498</f>
        <v/>
      </c>
      <c r="D7533" s="46">
        <f>'Warranty &amp; Maintenance'!M498</f>
        <v/>
      </c>
      <c r="E7533" s="46">
        <f>IF(OR(B7533="",C7533="",D7533=""),"",D7533*100000+(C7533-DATE(2000,1,1))+ROW()/100000)</f>
        <v/>
      </c>
      <c r="F7533" s="46">
        <f>IF(E7533="","",IF(C7533&gt;WeekEndDate,"",E7533))</f>
        <v/>
      </c>
    </row>
    <row r="7534">
      <c r="A7534" t="inlineStr">
        <is>
          <t>Warranty &amp; Maintenance</t>
        </is>
      </c>
      <c r="B7534" s="46">
        <f>'Warranty &amp; Maintenance'!N499</f>
        <v/>
      </c>
      <c r="C7534" s="84">
        <f>'Warranty &amp; Maintenance'!L499</f>
        <v/>
      </c>
      <c r="D7534" s="46">
        <f>'Warranty &amp; Maintenance'!M499</f>
        <v/>
      </c>
      <c r="E7534" s="46">
        <f>IF(OR(B7534="",C7534="",D7534=""),"",D7534*100000+(C7534-DATE(2000,1,1))+ROW()/100000)</f>
        <v/>
      </c>
      <c r="F7534" s="46">
        <f>IF(E7534="","",IF(C7534&gt;WeekEndDate,"",E7534))</f>
        <v/>
      </c>
    </row>
    <row r="7535">
      <c r="A7535" t="inlineStr">
        <is>
          <t>Warranty &amp; Maintenance</t>
        </is>
      </c>
      <c r="B7535" s="46">
        <f>'Warranty &amp; Maintenance'!N500</f>
        <v/>
      </c>
      <c r="C7535" s="84">
        <f>'Warranty &amp; Maintenance'!L500</f>
        <v/>
      </c>
      <c r="D7535" s="46">
        <f>'Warranty &amp; Maintenance'!M500</f>
        <v/>
      </c>
      <c r="E7535" s="46">
        <f>IF(OR(B7535="",C7535="",D7535=""),"",D7535*100000+(C7535-DATE(2000,1,1))+ROW()/100000)</f>
        <v/>
      </c>
      <c r="F7535" s="46">
        <f>IF(E7535="","",IF(C7535&gt;WeekEndDate,"",E7535))</f>
        <v/>
      </c>
    </row>
    <row r="7536">
      <c r="A7536" t="inlineStr">
        <is>
          <t>Warranty &amp; Maintenance</t>
        </is>
      </c>
      <c r="B7536" s="46">
        <f>'Warranty &amp; Maintenance'!N501</f>
        <v/>
      </c>
      <c r="C7536" s="84">
        <f>'Warranty &amp; Maintenance'!L501</f>
        <v/>
      </c>
      <c r="D7536" s="46">
        <f>'Warranty &amp; Maintenance'!M501</f>
        <v/>
      </c>
      <c r="E7536" s="46">
        <f>IF(OR(B7536="",C7536="",D7536=""),"",D7536*100000+(C7536-DATE(2000,1,1))+ROW()/100000)</f>
        <v/>
      </c>
      <c r="F7536" s="46">
        <f>IF(E7536="","",IF(C7536&gt;WeekEndDate,"",E7536))</f>
        <v/>
      </c>
    </row>
    <row r="7537">
      <c r="A7537" t="inlineStr">
        <is>
          <t>Warranty &amp; Maintenance</t>
        </is>
      </c>
      <c r="B7537" s="46">
        <f>'Warranty &amp; Maintenance'!N502</f>
        <v/>
      </c>
      <c r="C7537" s="84">
        <f>'Warranty &amp; Maintenance'!L502</f>
        <v/>
      </c>
      <c r="D7537" s="46">
        <f>'Warranty &amp; Maintenance'!M502</f>
        <v/>
      </c>
      <c r="E7537" s="46">
        <f>IF(OR(B7537="",C7537="",D7537=""),"",D7537*100000+(C7537-DATE(2000,1,1))+ROW()/100000)</f>
        <v/>
      </c>
      <c r="F7537" s="46">
        <f>IF(E7537="","",IF(C7537&gt;WeekEndDate,"",E7537))</f>
        <v/>
      </c>
    </row>
    <row r="7538">
      <c r="A7538" t="inlineStr">
        <is>
          <t>Warranty &amp; Maintenance</t>
        </is>
      </c>
      <c r="B7538" s="46">
        <f>'Warranty &amp; Maintenance'!N503</f>
        <v/>
      </c>
      <c r="C7538" s="84">
        <f>'Warranty &amp; Maintenance'!L503</f>
        <v/>
      </c>
      <c r="D7538" s="46">
        <f>'Warranty &amp; Maintenance'!M503</f>
        <v/>
      </c>
      <c r="E7538" s="46">
        <f>IF(OR(B7538="",C7538="",D7538=""),"",D7538*100000+(C7538-DATE(2000,1,1))+ROW()/100000)</f>
        <v/>
      </c>
      <c r="F7538" s="46">
        <f>IF(E7538="","",IF(C7538&gt;WeekEndDate,"",E7538))</f>
        <v/>
      </c>
    </row>
    <row r="7539">
      <c r="A7539" t="inlineStr">
        <is>
          <t>Warranty &amp; Maintenance</t>
        </is>
      </c>
      <c r="B7539" s="46">
        <f>'Warranty &amp; Maintenance'!N504</f>
        <v/>
      </c>
      <c r="C7539" s="84">
        <f>'Warranty &amp; Maintenance'!L504</f>
        <v/>
      </c>
      <c r="D7539" s="46">
        <f>'Warranty &amp; Maintenance'!M504</f>
        <v/>
      </c>
      <c r="E7539" s="46">
        <f>IF(OR(B7539="",C7539="",D7539=""),"",D7539*100000+(C7539-DATE(2000,1,1))+ROW()/100000)</f>
        <v/>
      </c>
      <c r="F7539" s="46">
        <f>IF(E7539="","",IF(C7539&gt;WeekEndDate,"",E7539))</f>
        <v/>
      </c>
    </row>
    <row r="7540">
      <c r="A7540" t="inlineStr">
        <is>
          <t>Warranty &amp; Maintenance</t>
        </is>
      </c>
      <c r="B7540" s="46">
        <f>'Warranty &amp; Maintenance'!N505</f>
        <v/>
      </c>
      <c r="C7540" s="84">
        <f>'Warranty &amp; Maintenance'!L505</f>
        <v/>
      </c>
      <c r="D7540" s="46">
        <f>'Warranty &amp; Maintenance'!M505</f>
        <v/>
      </c>
      <c r="E7540" s="46">
        <f>IF(OR(B7540="",C7540="",D7540=""),"",D7540*100000+(C7540-DATE(2000,1,1))+ROW()/100000)</f>
        <v/>
      </c>
      <c r="F7540" s="46">
        <f>IF(E7540="","",IF(C7540&gt;WeekEndDate,"",E7540))</f>
        <v/>
      </c>
    </row>
    <row r="7541">
      <c r="A7541" t="inlineStr">
        <is>
          <t>Warranty &amp; Maintenance</t>
        </is>
      </c>
      <c r="B7541" s="46">
        <f>'Warranty &amp; Maintenance'!N506</f>
        <v/>
      </c>
      <c r="C7541" s="84">
        <f>'Warranty &amp; Maintenance'!L506</f>
        <v/>
      </c>
      <c r="D7541" s="46">
        <f>'Warranty &amp; Maintenance'!M506</f>
        <v/>
      </c>
      <c r="E7541" s="46">
        <f>IF(OR(B7541="",C7541="",D7541=""),"",D7541*100000+(C7541-DATE(2000,1,1))+ROW()/100000)</f>
        <v/>
      </c>
      <c r="F7541" s="46">
        <f>IF(E7541="","",IF(C7541&gt;WeekEndDate,"",E7541))</f>
        <v/>
      </c>
    </row>
    <row r="7542">
      <c r="A7542" t="inlineStr">
        <is>
          <t>Warranty &amp; Maintenance</t>
        </is>
      </c>
      <c r="B7542" s="46">
        <f>'Warranty &amp; Maintenance'!N507</f>
        <v/>
      </c>
      <c r="C7542" s="84">
        <f>'Warranty &amp; Maintenance'!L507</f>
        <v/>
      </c>
      <c r="D7542" s="46">
        <f>'Warranty &amp; Maintenance'!M507</f>
        <v/>
      </c>
      <c r="E7542" s="46">
        <f>IF(OR(B7542="",C7542="",D7542=""),"",D7542*100000+(C7542-DATE(2000,1,1))+ROW()/100000)</f>
        <v/>
      </c>
      <c r="F7542" s="46">
        <f>IF(E7542="","",IF(C7542&gt;WeekEndDate,"",E7542))</f>
        <v/>
      </c>
    </row>
    <row r="7543">
      <c r="A7543" t="inlineStr">
        <is>
          <t>Warranty &amp; Maintenance</t>
        </is>
      </c>
      <c r="B7543" s="46">
        <f>'Warranty &amp; Maintenance'!N508</f>
        <v/>
      </c>
      <c r="C7543" s="84">
        <f>'Warranty &amp; Maintenance'!L508</f>
        <v/>
      </c>
      <c r="D7543" s="46">
        <f>'Warranty &amp; Maintenance'!M508</f>
        <v/>
      </c>
      <c r="E7543" s="46">
        <f>IF(OR(B7543="",C7543="",D7543=""),"",D7543*100000+(C7543-DATE(2000,1,1))+ROW()/100000)</f>
        <v/>
      </c>
      <c r="F7543" s="46">
        <f>IF(E7543="","",IF(C7543&gt;WeekEndDate,"",E7543))</f>
        <v/>
      </c>
    </row>
    <row r="7544">
      <c r="A7544" t="inlineStr">
        <is>
          <t>Warranty &amp; Maintenance</t>
        </is>
      </c>
      <c r="B7544" s="46">
        <f>'Warranty &amp; Maintenance'!N509</f>
        <v/>
      </c>
      <c r="C7544" s="84">
        <f>'Warranty &amp; Maintenance'!L509</f>
        <v/>
      </c>
      <c r="D7544" s="46">
        <f>'Warranty &amp; Maintenance'!M509</f>
        <v/>
      </c>
      <c r="E7544" s="46">
        <f>IF(OR(B7544="",C7544="",D7544=""),"",D7544*100000+(C7544-DATE(2000,1,1))+ROW()/100000)</f>
        <v/>
      </c>
      <c r="F7544" s="46">
        <f>IF(E7544="","",IF(C7544&gt;WeekEndDate,"",E7544))</f>
        <v/>
      </c>
    </row>
    <row r="7545">
      <c r="A7545" t="inlineStr">
        <is>
          <t>Warranty &amp; Maintenance</t>
        </is>
      </c>
      <c r="B7545" s="46">
        <f>'Warranty &amp; Maintenance'!N510</f>
        <v/>
      </c>
      <c r="C7545" s="84">
        <f>'Warranty &amp; Maintenance'!L510</f>
        <v/>
      </c>
      <c r="D7545" s="46">
        <f>'Warranty &amp; Maintenance'!M510</f>
        <v/>
      </c>
      <c r="E7545" s="46">
        <f>IF(OR(B7545="",C7545="",D7545=""),"",D7545*100000+(C7545-DATE(2000,1,1))+ROW()/100000)</f>
        <v/>
      </c>
      <c r="F7545" s="46">
        <f>IF(E7545="","",IF(C7545&gt;WeekEndDate,"",E7545))</f>
        <v/>
      </c>
    </row>
    <row r="7546">
      <c r="A7546" t="inlineStr">
        <is>
          <t>Warranty &amp; Maintenance</t>
        </is>
      </c>
      <c r="B7546" s="46">
        <f>'Warranty &amp; Maintenance'!N511</f>
        <v/>
      </c>
      <c r="C7546" s="84">
        <f>'Warranty &amp; Maintenance'!L511</f>
        <v/>
      </c>
      <c r="D7546" s="46">
        <f>'Warranty &amp; Maintenance'!M511</f>
        <v/>
      </c>
      <c r="E7546" s="46">
        <f>IF(OR(B7546="",C7546="",D7546=""),"",D7546*100000+(C7546-DATE(2000,1,1))+ROW()/100000)</f>
        <v/>
      </c>
      <c r="F7546" s="46">
        <f>IF(E7546="","",IF(C7546&gt;WeekEndDate,"",E7546))</f>
        <v/>
      </c>
    </row>
    <row r="7547">
      <c r="A7547" t="inlineStr">
        <is>
          <t>Warranty &amp; Maintenance</t>
        </is>
      </c>
      <c r="B7547" s="46">
        <f>'Warranty &amp; Maintenance'!N512</f>
        <v/>
      </c>
      <c r="C7547" s="84">
        <f>'Warranty &amp; Maintenance'!L512</f>
        <v/>
      </c>
      <c r="D7547" s="46">
        <f>'Warranty &amp; Maintenance'!M512</f>
        <v/>
      </c>
      <c r="E7547" s="46">
        <f>IF(OR(B7547="",C7547="",D7547=""),"",D7547*100000+(C7547-DATE(2000,1,1))+ROW()/100000)</f>
        <v/>
      </c>
      <c r="F7547" s="46">
        <f>IF(E7547="","",IF(C7547&gt;WeekEndDate,"",E7547))</f>
        <v/>
      </c>
    </row>
    <row r="7548">
      <c r="A7548" t="inlineStr">
        <is>
          <t>Warranty &amp; Maintenance</t>
        </is>
      </c>
      <c r="B7548" s="46">
        <f>'Warranty &amp; Maintenance'!N513</f>
        <v/>
      </c>
      <c r="C7548" s="84">
        <f>'Warranty &amp; Maintenance'!L513</f>
        <v/>
      </c>
      <c r="D7548" s="46">
        <f>'Warranty &amp; Maintenance'!M513</f>
        <v/>
      </c>
      <c r="E7548" s="46">
        <f>IF(OR(B7548="",C7548="",D7548=""),"",D7548*100000+(C7548-DATE(2000,1,1))+ROW()/100000)</f>
        <v/>
      </c>
      <c r="F7548" s="46">
        <f>IF(E7548="","",IF(C7548&gt;WeekEndDate,"",E7548))</f>
        <v/>
      </c>
    </row>
    <row r="7549">
      <c r="A7549" t="inlineStr">
        <is>
          <t>Warranty &amp; Maintenance</t>
        </is>
      </c>
      <c r="B7549" s="46">
        <f>'Warranty &amp; Maintenance'!N514</f>
        <v/>
      </c>
      <c r="C7549" s="84">
        <f>'Warranty &amp; Maintenance'!L514</f>
        <v/>
      </c>
      <c r="D7549" s="46">
        <f>'Warranty &amp; Maintenance'!M514</f>
        <v/>
      </c>
      <c r="E7549" s="46">
        <f>IF(OR(B7549="",C7549="",D7549=""),"",D7549*100000+(C7549-DATE(2000,1,1))+ROW()/100000)</f>
        <v/>
      </c>
      <c r="F7549" s="46">
        <f>IF(E7549="","",IF(C7549&gt;WeekEndDate,"",E7549))</f>
        <v/>
      </c>
    </row>
    <row r="7550">
      <c r="A7550" t="inlineStr">
        <is>
          <t>Warranty &amp; Maintenance</t>
        </is>
      </c>
      <c r="B7550" s="46">
        <f>'Warranty &amp; Maintenance'!N515</f>
        <v/>
      </c>
      <c r="C7550" s="84">
        <f>'Warranty &amp; Maintenance'!L515</f>
        <v/>
      </c>
      <c r="D7550" s="46">
        <f>'Warranty &amp; Maintenance'!M515</f>
        <v/>
      </c>
      <c r="E7550" s="46">
        <f>IF(OR(B7550="",C7550="",D7550=""),"",D7550*100000+(C7550-DATE(2000,1,1))+ROW()/100000)</f>
        <v/>
      </c>
      <c r="F7550" s="46">
        <f>IF(E7550="","",IF(C7550&gt;WeekEndDate,"",E7550))</f>
        <v/>
      </c>
    </row>
    <row r="7551">
      <c r="A7551" t="inlineStr">
        <is>
          <t>Warranty &amp; Maintenance</t>
        </is>
      </c>
      <c r="B7551" s="46">
        <f>'Warranty &amp; Maintenance'!N516</f>
        <v/>
      </c>
      <c r="C7551" s="84">
        <f>'Warranty &amp; Maintenance'!L516</f>
        <v/>
      </c>
      <c r="D7551" s="46">
        <f>'Warranty &amp; Maintenance'!M516</f>
        <v/>
      </c>
      <c r="E7551" s="46">
        <f>IF(OR(B7551="",C7551="",D7551=""),"",D7551*100000+(C7551-DATE(2000,1,1))+ROW()/100000)</f>
        <v/>
      </c>
      <c r="F7551" s="46">
        <f>IF(E7551="","",IF(C7551&gt;WeekEndDate,"",E7551))</f>
        <v/>
      </c>
    </row>
    <row r="7552">
      <c r="A7552" t="inlineStr">
        <is>
          <t>Warranty &amp; Maintenance</t>
        </is>
      </c>
      <c r="B7552" s="46">
        <f>'Warranty &amp; Maintenance'!N517</f>
        <v/>
      </c>
      <c r="C7552" s="84">
        <f>'Warranty &amp; Maintenance'!L517</f>
        <v/>
      </c>
      <c r="D7552" s="46">
        <f>'Warranty &amp; Maintenance'!M517</f>
        <v/>
      </c>
      <c r="E7552" s="46">
        <f>IF(OR(B7552="",C7552="",D7552=""),"",D7552*100000+(C7552-DATE(2000,1,1))+ROW()/100000)</f>
        <v/>
      </c>
      <c r="F7552" s="46">
        <f>IF(E7552="","",IF(C7552&gt;WeekEndDate,"",E7552))</f>
        <v/>
      </c>
    </row>
    <row r="7553">
      <c r="A7553" t="inlineStr">
        <is>
          <t>Warranty &amp; Maintenance</t>
        </is>
      </c>
      <c r="B7553" s="46">
        <f>'Warranty &amp; Maintenance'!N518</f>
        <v/>
      </c>
      <c r="C7553" s="84">
        <f>'Warranty &amp; Maintenance'!L518</f>
        <v/>
      </c>
      <c r="D7553" s="46">
        <f>'Warranty &amp; Maintenance'!M518</f>
        <v/>
      </c>
      <c r="E7553" s="46">
        <f>IF(OR(B7553="",C7553="",D7553=""),"",D7553*100000+(C7553-DATE(2000,1,1))+ROW()/100000)</f>
        <v/>
      </c>
      <c r="F7553" s="46">
        <f>IF(E7553="","",IF(C7553&gt;WeekEndDate,"",E7553))</f>
        <v/>
      </c>
    </row>
    <row r="7554">
      <c r="A7554" t="inlineStr">
        <is>
          <t>Warranty &amp; Maintenance</t>
        </is>
      </c>
      <c r="B7554" s="46">
        <f>'Warranty &amp; Maintenance'!N519</f>
        <v/>
      </c>
      <c r="C7554" s="84">
        <f>'Warranty &amp; Maintenance'!L519</f>
        <v/>
      </c>
      <c r="D7554" s="46">
        <f>'Warranty &amp; Maintenance'!M519</f>
        <v/>
      </c>
      <c r="E7554" s="46">
        <f>IF(OR(B7554="",C7554="",D7554=""),"",D7554*100000+(C7554-DATE(2000,1,1))+ROW()/100000)</f>
        <v/>
      </c>
      <c r="F7554" s="46">
        <f>IF(E7554="","",IF(C7554&gt;WeekEndDate,"",E7554))</f>
        <v/>
      </c>
    </row>
    <row r="7555">
      <c r="A7555" t="inlineStr">
        <is>
          <t>Warranty &amp; Maintenance</t>
        </is>
      </c>
      <c r="B7555" s="46">
        <f>'Warranty &amp; Maintenance'!N520</f>
        <v/>
      </c>
      <c r="C7555" s="84">
        <f>'Warranty &amp; Maintenance'!L520</f>
        <v/>
      </c>
      <c r="D7555" s="46">
        <f>'Warranty &amp; Maintenance'!M520</f>
        <v/>
      </c>
      <c r="E7555" s="46">
        <f>IF(OR(B7555="",C7555="",D7555=""),"",D7555*100000+(C7555-DATE(2000,1,1))+ROW()/100000)</f>
        <v/>
      </c>
      <c r="F7555" s="46">
        <f>IF(E7555="","",IF(C7555&gt;WeekEndDate,"",E7555))</f>
        <v/>
      </c>
    </row>
    <row r="7556">
      <c r="A7556" t="inlineStr">
        <is>
          <t>Warranty &amp; Maintenance</t>
        </is>
      </c>
      <c r="B7556" s="46">
        <f>'Warranty &amp; Maintenance'!N521</f>
        <v/>
      </c>
      <c r="C7556" s="84">
        <f>'Warranty &amp; Maintenance'!L521</f>
        <v/>
      </c>
      <c r="D7556" s="46">
        <f>'Warranty &amp; Maintenance'!M521</f>
        <v/>
      </c>
      <c r="E7556" s="46">
        <f>IF(OR(B7556="",C7556="",D7556=""),"",D7556*100000+(C7556-DATE(2000,1,1))+ROW()/100000)</f>
        <v/>
      </c>
      <c r="F7556" s="46">
        <f>IF(E7556="","",IF(C7556&gt;WeekEndDate,"",E7556))</f>
        <v/>
      </c>
    </row>
    <row r="7557">
      <c r="A7557" t="inlineStr">
        <is>
          <t>Warranty &amp; Maintenance</t>
        </is>
      </c>
      <c r="B7557" s="46">
        <f>'Warranty &amp; Maintenance'!N522</f>
        <v/>
      </c>
      <c r="C7557" s="84">
        <f>'Warranty &amp; Maintenance'!L522</f>
        <v/>
      </c>
      <c r="D7557" s="46">
        <f>'Warranty &amp; Maintenance'!M522</f>
        <v/>
      </c>
      <c r="E7557" s="46">
        <f>IF(OR(B7557="",C7557="",D7557=""),"",D7557*100000+(C7557-DATE(2000,1,1))+ROW()/100000)</f>
        <v/>
      </c>
      <c r="F7557" s="46">
        <f>IF(E7557="","",IF(C7557&gt;WeekEndDate,"",E7557))</f>
        <v/>
      </c>
    </row>
    <row r="7558">
      <c r="A7558" t="inlineStr">
        <is>
          <t>Warranty &amp; Maintenance</t>
        </is>
      </c>
      <c r="B7558" s="46">
        <f>'Warranty &amp; Maintenance'!N523</f>
        <v/>
      </c>
      <c r="C7558" s="84">
        <f>'Warranty &amp; Maintenance'!L523</f>
        <v/>
      </c>
      <c r="D7558" s="46">
        <f>'Warranty &amp; Maintenance'!M523</f>
        <v/>
      </c>
      <c r="E7558" s="46">
        <f>IF(OR(B7558="",C7558="",D7558=""),"",D7558*100000+(C7558-DATE(2000,1,1))+ROW()/100000)</f>
        <v/>
      </c>
      <c r="F7558" s="46">
        <f>IF(E7558="","",IF(C7558&gt;WeekEndDate,"",E7558))</f>
        <v/>
      </c>
    </row>
    <row r="7559">
      <c r="A7559" t="inlineStr">
        <is>
          <t>Warranty &amp; Maintenance</t>
        </is>
      </c>
      <c r="B7559" s="46">
        <f>'Warranty &amp; Maintenance'!N524</f>
        <v/>
      </c>
      <c r="C7559" s="84">
        <f>'Warranty &amp; Maintenance'!L524</f>
        <v/>
      </c>
      <c r="D7559" s="46">
        <f>'Warranty &amp; Maintenance'!M524</f>
        <v/>
      </c>
      <c r="E7559" s="46">
        <f>IF(OR(B7559="",C7559="",D7559=""),"",D7559*100000+(C7559-DATE(2000,1,1))+ROW()/100000)</f>
        <v/>
      </c>
      <c r="F7559" s="46">
        <f>IF(E7559="","",IF(C7559&gt;WeekEndDate,"",E7559))</f>
        <v/>
      </c>
    </row>
    <row r="7560">
      <c r="A7560" t="inlineStr">
        <is>
          <t>Warranty &amp; Maintenance</t>
        </is>
      </c>
      <c r="B7560" s="46">
        <f>'Warranty &amp; Maintenance'!N525</f>
        <v/>
      </c>
      <c r="C7560" s="84">
        <f>'Warranty &amp; Maintenance'!L525</f>
        <v/>
      </c>
      <c r="D7560" s="46">
        <f>'Warranty &amp; Maintenance'!M525</f>
        <v/>
      </c>
      <c r="E7560" s="46">
        <f>IF(OR(B7560="",C7560="",D7560=""),"",D7560*100000+(C7560-DATE(2000,1,1))+ROW()/100000)</f>
        <v/>
      </c>
      <c r="F7560" s="46">
        <f>IF(E7560="","",IF(C7560&gt;WeekEndDate,"",E7560))</f>
        <v/>
      </c>
    </row>
    <row r="7561">
      <c r="A7561" t="inlineStr">
        <is>
          <t>Warranty &amp; Maintenance</t>
        </is>
      </c>
      <c r="B7561" s="46">
        <f>'Warranty &amp; Maintenance'!N526</f>
        <v/>
      </c>
      <c r="C7561" s="84">
        <f>'Warranty &amp; Maintenance'!L526</f>
        <v/>
      </c>
      <c r="D7561" s="46">
        <f>'Warranty &amp; Maintenance'!M526</f>
        <v/>
      </c>
      <c r="E7561" s="46">
        <f>IF(OR(B7561="",C7561="",D7561=""),"",D7561*100000+(C7561-DATE(2000,1,1))+ROW()/100000)</f>
        <v/>
      </c>
      <c r="F7561" s="46">
        <f>IF(E7561="","",IF(C7561&gt;WeekEndDate,"",E7561))</f>
        <v/>
      </c>
    </row>
    <row r="7562">
      <c r="A7562" t="inlineStr">
        <is>
          <t>Warranty &amp; Maintenance</t>
        </is>
      </c>
      <c r="B7562" s="46">
        <f>'Warranty &amp; Maintenance'!N527</f>
        <v/>
      </c>
      <c r="C7562" s="84">
        <f>'Warranty &amp; Maintenance'!L527</f>
        <v/>
      </c>
      <c r="D7562" s="46">
        <f>'Warranty &amp; Maintenance'!M527</f>
        <v/>
      </c>
      <c r="E7562" s="46">
        <f>IF(OR(B7562="",C7562="",D7562=""),"",D7562*100000+(C7562-DATE(2000,1,1))+ROW()/100000)</f>
        <v/>
      </c>
      <c r="F7562" s="46">
        <f>IF(E7562="","",IF(C7562&gt;WeekEndDate,"",E7562))</f>
        <v/>
      </c>
    </row>
    <row r="7563">
      <c r="A7563" t="inlineStr">
        <is>
          <t>Warranty &amp; Maintenance</t>
        </is>
      </c>
      <c r="B7563" s="46">
        <f>'Warranty &amp; Maintenance'!N528</f>
        <v/>
      </c>
      <c r="C7563" s="84">
        <f>'Warranty &amp; Maintenance'!L528</f>
        <v/>
      </c>
      <c r="D7563" s="46">
        <f>'Warranty &amp; Maintenance'!M528</f>
        <v/>
      </c>
      <c r="E7563" s="46">
        <f>IF(OR(B7563="",C7563="",D7563=""),"",D7563*100000+(C7563-DATE(2000,1,1))+ROW()/100000)</f>
        <v/>
      </c>
      <c r="F7563" s="46">
        <f>IF(E7563="","",IF(C7563&gt;WeekEndDate,"",E7563))</f>
        <v/>
      </c>
    </row>
    <row r="7564">
      <c r="A7564" t="inlineStr">
        <is>
          <t>Warranty &amp; Maintenance</t>
        </is>
      </c>
      <c r="B7564" s="46">
        <f>'Warranty &amp; Maintenance'!N529</f>
        <v/>
      </c>
      <c r="C7564" s="84">
        <f>'Warranty &amp; Maintenance'!L529</f>
        <v/>
      </c>
      <c r="D7564" s="46">
        <f>'Warranty &amp; Maintenance'!M529</f>
        <v/>
      </c>
      <c r="E7564" s="46">
        <f>IF(OR(B7564="",C7564="",D7564=""),"",D7564*100000+(C7564-DATE(2000,1,1))+ROW()/100000)</f>
        <v/>
      </c>
      <c r="F7564" s="46">
        <f>IF(E7564="","",IF(C7564&gt;WeekEndDate,"",E7564))</f>
        <v/>
      </c>
    </row>
    <row r="7565">
      <c r="A7565" t="inlineStr">
        <is>
          <t>Warranty &amp; Maintenance</t>
        </is>
      </c>
      <c r="B7565" s="46">
        <f>'Warranty &amp; Maintenance'!N530</f>
        <v/>
      </c>
      <c r="C7565" s="84">
        <f>'Warranty &amp; Maintenance'!L530</f>
        <v/>
      </c>
      <c r="D7565" s="46">
        <f>'Warranty &amp; Maintenance'!M530</f>
        <v/>
      </c>
      <c r="E7565" s="46">
        <f>IF(OR(B7565="",C7565="",D7565=""),"",D7565*100000+(C7565-DATE(2000,1,1))+ROW()/100000)</f>
        <v/>
      </c>
      <c r="F7565" s="46">
        <f>IF(E7565="","",IF(C7565&gt;WeekEndDate,"",E7565))</f>
        <v/>
      </c>
    </row>
    <row r="7566">
      <c r="A7566" t="inlineStr">
        <is>
          <t>Warranty &amp; Maintenance</t>
        </is>
      </c>
      <c r="B7566" s="46">
        <f>'Warranty &amp; Maintenance'!N531</f>
        <v/>
      </c>
      <c r="C7566" s="84">
        <f>'Warranty &amp; Maintenance'!L531</f>
        <v/>
      </c>
      <c r="D7566" s="46">
        <f>'Warranty &amp; Maintenance'!M531</f>
        <v/>
      </c>
      <c r="E7566" s="46">
        <f>IF(OR(B7566="",C7566="",D7566=""),"",D7566*100000+(C7566-DATE(2000,1,1))+ROW()/100000)</f>
        <v/>
      </c>
      <c r="F7566" s="46">
        <f>IF(E7566="","",IF(C7566&gt;WeekEndDate,"",E7566))</f>
        <v/>
      </c>
    </row>
    <row r="7567">
      <c r="A7567" t="inlineStr">
        <is>
          <t>Warranty &amp; Maintenance</t>
        </is>
      </c>
      <c r="B7567" s="46">
        <f>'Warranty &amp; Maintenance'!N532</f>
        <v/>
      </c>
      <c r="C7567" s="84">
        <f>'Warranty &amp; Maintenance'!L532</f>
        <v/>
      </c>
      <c r="D7567" s="46">
        <f>'Warranty &amp; Maintenance'!M532</f>
        <v/>
      </c>
      <c r="E7567" s="46">
        <f>IF(OR(B7567="",C7567="",D7567=""),"",D7567*100000+(C7567-DATE(2000,1,1))+ROW()/100000)</f>
        <v/>
      </c>
      <c r="F7567" s="46">
        <f>IF(E7567="","",IF(C7567&gt;WeekEndDate,"",E7567))</f>
        <v/>
      </c>
    </row>
    <row r="7568">
      <c r="A7568" t="inlineStr">
        <is>
          <t>Warranty &amp; Maintenance</t>
        </is>
      </c>
      <c r="B7568" s="46">
        <f>'Warranty &amp; Maintenance'!N533</f>
        <v/>
      </c>
      <c r="C7568" s="84">
        <f>'Warranty &amp; Maintenance'!L533</f>
        <v/>
      </c>
      <c r="D7568" s="46">
        <f>'Warranty &amp; Maintenance'!M533</f>
        <v/>
      </c>
      <c r="E7568" s="46">
        <f>IF(OR(B7568="",C7568="",D7568=""),"",D7568*100000+(C7568-DATE(2000,1,1))+ROW()/100000)</f>
        <v/>
      </c>
      <c r="F7568" s="46">
        <f>IF(E7568="","",IF(C7568&gt;WeekEndDate,"",E7568))</f>
        <v/>
      </c>
    </row>
    <row r="7569">
      <c r="A7569" t="inlineStr">
        <is>
          <t>Warranty &amp; Maintenance</t>
        </is>
      </c>
      <c r="B7569" s="46">
        <f>'Warranty &amp; Maintenance'!N534</f>
        <v/>
      </c>
      <c r="C7569" s="84">
        <f>'Warranty &amp; Maintenance'!L534</f>
        <v/>
      </c>
      <c r="D7569" s="46">
        <f>'Warranty &amp; Maintenance'!M534</f>
        <v/>
      </c>
      <c r="E7569" s="46">
        <f>IF(OR(B7569="",C7569="",D7569=""),"",D7569*100000+(C7569-DATE(2000,1,1))+ROW()/100000)</f>
        <v/>
      </c>
      <c r="F7569" s="46">
        <f>IF(E7569="","",IF(C7569&gt;WeekEndDate,"",E7569))</f>
        <v/>
      </c>
    </row>
    <row r="7570">
      <c r="A7570" t="inlineStr">
        <is>
          <t>Warranty &amp; Maintenance</t>
        </is>
      </c>
      <c r="B7570" s="46">
        <f>'Warranty &amp; Maintenance'!N535</f>
        <v/>
      </c>
      <c r="C7570" s="84">
        <f>'Warranty &amp; Maintenance'!L535</f>
        <v/>
      </c>
      <c r="D7570" s="46">
        <f>'Warranty &amp; Maintenance'!M535</f>
        <v/>
      </c>
      <c r="E7570" s="46">
        <f>IF(OR(B7570="",C7570="",D7570=""),"",D7570*100000+(C7570-DATE(2000,1,1))+ROW()/100000)</f>
        <v/>
      </c>
      <c r="F7570" s="46">
        <f>IF(E7570="","",IF(C7570&gt;WeekEndDate,"",E7570))</f>
        <v/>
      </c>
    </row>
    <row r="7571">
      <c r="A7571" t="inlineStr">
        <is>
          <t>Warranty &amp; Maintenance</t>
        </is>
      </c>
      <c r="B7571" s="46">
        <f>'Warranty &amp; Maintenance'!N536</f>
        <v/>
      </c>
      <c r="C7571" s="84">
        <f>'Warranty &amp; Maintenance'!L536</f>
        <v/>
      </c>
      <c r="D7571" s="46">
        <f>'Warranty &amp; Maintenance'!M536</f>
        <v/>
      </c>
      <c r="E7571" s="46">
        <f>IF(OR(B7571="",C7571="",D7571=""),"",D7571*100000+(C7571-DATE(2000,1,1))+ROW()/100000)</f>
        <v/>
      </c>
      <c r="F7571" s="46">
        <f>IF(E7571="","",IF(C7571&gt;WeekEndDate,"",E7571))</f>
        <v/>
      </c>
    </row>
    <row r="7572">
      <c r="A7572" t="inlineStr">
        <is>
          <t>Warranty &amp; Maintenance</t>
        </is>
      </c>
      <c r="B7572" s="46">
        <f>'Warranty &amp; Maintenance'!N537</f>
        <v/>
      </c>
      <c r="C7572" s="84">
        <f>'Warranty &amp; Maintenance'!L537</f>
        <v/>
      </c>
      <c r="D7572" s="46">
        <f>'Warranty &amp; Maintenance'!M537</f>
        <v/>
      </c>
      <c r="E7572" s="46">
        <f>IF(OR(B7572="",C7572="",D7572=""),"",D7572*100000+(C7572-DATE(2000,1,1))+ROW()/100000)</f>
        <v/>
      </c>
      <c r="F7572" s="46">
        <f>IF(E7572="","",IF(C7572&gt;WeekEndDate,"",E7572))</f>
        <v/>
      </c>
    </row>
    <row r="7573">
      <c r="A7573" t="inlineStr">
        <is>
          <t>Warranty &amp; Maintenance</t>
        </is>
      </c>
      <c r="B7573" s="46">
        <f>'Warranty &amp; Maintenance'!N538</f>
        <v/>
      </c>
      <c r="C7573" s="84">
        <f>'Warranty &amp; Maintenance'!L538</f>
        <v/>
      </c>
      <c r="D7573" s="46">
        <f>'Warranty &amp; Maintenance'!M538</f>
        <v/>
      </c>
      <c r="E7573" s="46">
        <f>IF(OR(B7573="",C7573="",D7573=""),"",D7573*100000+(C7573-DATE(2000,1,1))+ROW()/100000)</f>
        <v/>
      </c>
      <c r="F7573" s="46">
        <f>IF(E7573="","",IF(C7573&gt;WeekEndDate,"",E7573))</f>
        <v/>
      </c>
    </row>
    <row r="7574">
      <c r="A7574" t="inlineStr">
        <is>
          <t>Warranty &amp; Maintenance</t>
        </is>
      </c>
      <c r="B7574" s="46">
        <f>'Warranty &amp; Maintenance'!N539</f>
        <v/>
      </c>
      <c r="C7574" s="84">
        <f>'Warranty &amp; Maintenance'!L539</f>
        <v/>
      </c>
      <c r="D7574" s="46">
        <f>'Warranty &amp; Maintenance'!M539</f>
        <v/>
      </c>
      <c r="E7574" s="46">
        <f>IF(OR(B7574="",C7574="",D7574=""),"",D7574*100000+(C7574-DATE(2000,1,1))+ROW()/100000)</f>
        <v/>
      </c>
      <c r="F7574" s="46">
        <f>IF(E7574="","",IF(C7574&gt;WeekEndDate,"",E7574))</f>
        <v/>
      </c>
    </row>
    <row r="7575">
      <c r="A7575" t="inlineStr">
        <is>
          <t>Warranty &amp; Maintenance</t>
        </is>
      </c>
      <c r="B7575" s="46">
        <f>'Warranty &amp; Maintenance'!N540</f>
        <v/>
      </c>
      <c r="C7575" s="84">
        <f>'Warranty &amp; Maintenance'!L540</f>
        <v/>
      </c>
      <c r="D7575" s="46">
        <f>'Warranty &amp; Maintenance'!M540</f>
        <v/>
      </c>
      <c r="E7575" s="46">
        <f>IF(OR(B7575="",C7575="",D7575=""),"",D7575*100000+(C7575-DATE(2000,1,1))+ROW()/100000)</f>
        <v/>
      </c>
      <c r="F7575" s="46">
        <f>IF(E7575="","",IF(C7575&gt;WeekEndDate,"",E7575))</f>
        <v/>
      </c>
    </row>
    <row r="7576">
      <c r="A7576" t="inlineStr">
        <is>
          <t>Warranty &amp; Maintenance</t>
        </is>
      </c>
      <c r="B7576" s="46">
        <f>'Warranty &amp; Maintenance'!N541</f>
        <v/>
      </c>
      <c r="C7576" s="84">
        <f>'Warranty &amp; Maintenance'!L541</f>
        <v/>
      </c>
      <c r="D7576" s="46">
        <f>'Warranty &amp; Maintenance'!M541</f>
        <v/>
      </c>
      <c r="E7576" s="46">
        <f>IF(OR(B7576="",C7576="",D7576=""),"",D7576*100000+(C7576-DATE(2000,1,1))+ROW()/100000)</f>
        <v/>
      </c>
      <c r="F7576" s="46">
        <f>IF(E7576="","",IF(C7576&gt;WeekEndDate,"",E7576))</f>
        <v/>
      </c>
    </row>
    <row r="7577">
      <c r="A7577" t="inlineStr">
        <is>
          <t>Warranty &amp; Maintenance</t>
        </is>
      </c>
      <c r="B7577" s="46">
        <f>'Warranty &amp; Maintenance'!N542</f>
        <v/>
      </c>
      <c r="C7577" s="84">
        <f>'Warranty &amp; Maintenance'!L542</f>
        <v/>
      </c>
      <c r="D7577" s="46">
        <f>'Warranty &amp; Maintenance'!M542</f>
        <v/>
      </c>
      <c r="E7577" s="46">
        <f>IF(OR(B7577="",C7577="",D7577=""),"",D7577*100000+(C7577-DATE(2000,1,1))+ROW()/100000)</f>
        <v/>
      </c>
      <c r="F7577" s="46">
        <f>IF(E7577="","",IF(C7577&gt;WeekEndDate,"",E7577))</f>
        <v/>
      </c>
    </row>
    <row r="7578">
      <c r="A7578" t="inlineStr">
        <is>
          <t>Warranty &amp; Maintenance</t>
        </is>
      </c>
      <c r="B7578" s="46">
        <f>'Warranty &amp; Maintenance'!N543</f>
        <v/>
      </c>
      <c r="C7578" s="84">
        <f>'Warranty &amp; Maintenance'!L543</f>
        <v/>
      </c>
      <c r="D7578" s="46">
        <f>'Warranty &amp; Maintenance'!M543</f>
        <v/>
      </c>
      <c r="E7578" s="46">
        <f>IF(OR(B7578="",C7578="",D7578=""),"",D7578*100000+(C7578-DATE(2000,1,1))+ROW()/100000)</f>
        <v/>
      </c>
      <c r="F7578" s="46">
        <f>IF(E7578="","",IF(C7578&gt;WeekEndDate,"",E7578))</f>
        <v/>
      </c>
    </row>
    <row r="7579">
      <c r="A7579" t="inlineStr">
        <is>
          <t>Warranty &amp; Maintenance</t>
        </is>
      </c>
      <c r="B7579" s="46">
        <f>'Warranty &amp; Maintenance'!N544</f>
        <v/>
      </c>
      <c r="C7579" s="84">
        <f>'Warranty &amp; Maintenance'!L544</f>
        <v/>
      </c>
      <c r="D7579" s="46">
        <f>'Warranty &amp; Maintenance'!M544</f>
        <v/>
      </c>
      <c r="E7579" s="46">
        <f>IF(OR(B7579="",C7579="",D7579=""),"",D7579*100000+(C7579-DATE(2000,1,1))+ROW()/100000)</f>
        <v/>
      </c>
      <c r="F7579" s="46">
        <f>IF(E7579="","",IF(C7579&gt;WeekEndDate,"",E7579))</f>
        <v/>
      </c>
    </row>
    <row r="7580">
      <c r="A7580" t="inlineStr">
        <is>
          <t>Warranty &amp; Maintenance</t>
        </is>
      </c>
      <c r="B7580" s="46">
        <f>'Warranty &amp; Maintenance'!N545</f>
        <v/>
      </c>
      <c r="C7580" s="84">
        <f>'Warranty &amp; Maintenance'!L545</f>
        <v/>
      </c>
      <c r="D7580" s="46">
        <f>'Warranty &amp; Maintenance'!M545</f>
        <v/>
      </c>
      <c r="E7580" s="46">
        <f>IF(OR(B7580="",C7580="",D7580=""),"",D7580*100000+(C7580-DATE(2000,1,1))+ROW()/100000)</f>
        <v/>
      </c>
      <c r="F7580" s="46">
        <f>IF(E7580="","",IF(C7580&gt;WeekEndDate,"",E7580))</f>
        <v/>
      </c>
    </row>
    <row r="7581">
      <c r="A7581" t="inlineStr">
        <is>
          <t>Warranty &amp; Maintenance</t>
        </is>
      </c>
      <c r="B7581" s="46">
        <f>'Warranty &amp; Maintenance'!N546</f>
        <v/>
      </c>
      <c r="C7581" s="84">
        <f>'Warranty &amp; Maintenance'!L546</f>
        <v/>
      </c>
      <c r="D7581" s="46">
        <f>'Warranty &amp; Maintenance'!M546</f>
        <v/>
      </c>
      <c r="E7581" s="46">
        <f>IF(OR(B7581="",C7581="",D7581=""),"",D7581*100000+(C7581-DATE(2000,1,1))+ROW()/100000)</f>
        <v/>
      </c>
      <c r="F7581" s="46">
        <f>IF(E7581="","",IF(C7581&gt;WeekEndDate,"",E7581))</f>
        <v/>
      </c>
    </row>
    <row r="7582">
      <c r="A7582" t="inlineStr">
        <is>
          <t>Warranty &amp; Maintenance</t>
        </is>
      </c>
      <c r="B7582" s="46">
        <f>'Warranty &amp; Maintenance'!N547</f>
        <v/>
      </c>
      <c r="C7582" s="84">
        <f>'Warranty &amp; Maintenance'!L547</f>
        <v/>
      </c>
      <c r="D7582" s="46">
        <f>'Warranty &amp; Maintenance'!M547</f>
        <v/>
      </c>
      <c r="E7582" s="46">
        <f>IF(OR(B7582="",C7582="",D7582=""),"",D7582*100000+(C7582-DATE(2000,1,1))+ROW()/100000)</f>
        <v/>
      </c>
      <c r="F7582" s="46">
        <f>IF(E7582="","",IF(C7582&gt;WeekEndDate,"",E7582))</f>
        <v/>
      </c>
    </row>
    <row r="7583">
      <c r="A7583" t="inlineStr">
        <is>
          <t>Warranty &amp; Maintenance</t>
        </is>
      </c>
      <c r="B7583" s="46">
        <f>'Warranty &amp; Maintenance'!N548</f>
        <v/>
      </c>
      <c r="C7583" s="84">
        <f>'Warranty &amp; Maintenance'!L548</f>
        <v/>
      </c>
      <c r="D7583" s="46">
        <f>'Warranty &amp; Maintenance'!M548</f>
        <v/>
      </c>
      <c r="E7583" s="46">
        <f>IF(OR(B7583="",C7583="",D7583=""),"",D7583*100000+(C7583-DATE(2000,1,1))+ROW()/100000)</f>
        <v/>
      </c>
      <c r="F7583" s="46">
        <f>IF(E7583="","",IF(C7583&gt;WeekEndDate,"",E7583))</f>
        <v/>
      </c>
    </row>
    <row r="7584">
      <c r="A7584" t="inlineStr">
        <is>
          <t>Warranty &amp; Maintenance</t>
        </is>
      </c>
      <c r="B7584" s="46">
        <f>'Warranty &amp; Maintenance'!N549</f>
        <v/>
      </c>
      <c r="C7584" s="84">
        <f>'Warranty &amp; Maintenance'!L549</f>
        <v/>
      </c>
      <c r="D7584" s="46">
        <f>'Warranty &amp; Maintenance'!M549</f>
        <v/>
      </c>
      <c r="E7584" s="46">
        <f>IF(OR(B7584="",C7584="",D7584=""),"",D7584*100000+(C7584-DATE(2000,1,1))+ROW()/100000)</f>
        <v/>
      </c>
      <c r="F7584" s="46">
        <f>IF(E7584="","",IF(C7584&gt;WeekEndDate,"",E7584))</f>
        <v/>
      </c>
    </row>
    <row r="7585">
      <c r="A7585" t="inlineStr">
        <is>
          <t>Warranty &amp; Maintenance</t>
        </is>
      </c>
      <c r="B7585" s="46">
        <f>'Warranty &amp; Maintenance'!N550</f>
        <v/>
      </c>
      <c r="C7585" s="84">
        <f>'Warranty &amp; Maintenance'!L550</f>
        <v/>
      </c>
      <c r="D7585" s="46">
        <f>'Warranty &amp; Maintenance'!M550</f>
        <v/>
      </c>
      <c r="E7585" s="46">
        <f>IF(OR(B7585="",C7585="",D7585=""),"",D7585*100000+(C7585-DATE(2000,1,1))+ROW()/100000)</f>
        <v/>
      </c>
      <c r="F7585" s="46">
        <f>IF(E7585="","",IF(C7585&gt;WeekEndDate,"",E7585))</f>
        <v/>
      </c>
    </row>
    <row r="7586">
      <c r="A7586" t="inlineStr">
        <is>
          <t>Warranty &amp; Maintenance</t>
        </is>
      </c>
      <c r="B7586" s="46">
        <f>'Warranty &amp; Maintenance'!N551</f>
        <v/>
      </c>
      <c r="C7586" s="84">
        <f>'Warranty &amp; Maintenance'!L551</f>
        <v/>
      </c>
      <c r="D7586" s="46">
        <f>'Warranty &amp; Maintenance'!M551</f>
        <v/>
      </c>
      <c r="E7586" s="46">
        <f>IF(OR(B7586="",C7586="",D7586=""),"",D7586*100000+(C7586-DATE(2000,1,1))+ROW()/100000)</f>
        <v/>
      </c>
      <c r="F7586" s="46">
        <f>IF(E7586="","",IF(C7586&gt;WeekEndDate,"",E7586))</f>
        <v/>
      </c>
    </row>
    <row r="7587">
      <c r="A7587" t="inlineStr">
        <is>
          <t>Warranty &amp; Maintenance</t>
        </is>
      </c>
      <c r="B7587" s="46">
        <f>'Warranty &amp; Maintenance'!N552</f>
        <v/>
      </c>
      <c r="C7587" s="84">
        <f>'Warranty &amp; Maintenance'!L552</f>
        <v/>
      </c>
      <c r="D7587" s="46">
        <f>'Warranty &amp; Maintenance'!M552</f>
        <v/>
      </c>
      <c r="E7587" s="46">
        <f>IF(OR(B7587="",C7587="",D7587=""),"",D7587*100000+(C7587-DATE(2000,1,1))+ROW()/100000)</f>
        <v/>
      </c>
      <c r="F7587" s="46">
        <f>IF(E7587="","",IF(C7587&gt;WeekEndDate,"",E7587))</f>
        <v/>
      </c>
    </row>
    <row r="7588">
      <c r="A7588" t="inlineStr">
        <is>
          <t>Warranty &amp; Maintenance</t>
        </is>
      </c>
      <c r="B7588" s="46">
        <f>'Warranty &amp; Maintenance'!N553</f>
        <v/>
      </c>
      <c r="C7588" s="84">
        <f>'Warranty &amp; Maintenance'!L553</f>
        <v/>
      </c>
      <c r="D7588" s="46">
        <f>'Warranty &amp; Maintenance'!M553</f>
        <v/>
      </c>
      <c r="E7588" s="46">
        <f>IF(OR(B7588="",C7588="",D7588=""),"",D7588*100000+(C7588-DATE(2000,1,1))+ROW()/100000)</f>
        <v/>
      </c>
      <c r="F7588" s="46">
        <f>IF(E7588="","",IF(C7588&gt;WeekEndDate,"",E7588))</f>
        <v/>
      </c>
    </row>
    <row r="7589">
      <c r="A7589" t="inlineStr">
        <is>
          <t>Warranty &amp; Maintenance</t>
        </is>
      </c>
      <c r="B7589" s="46">
        <f>'Warranty &amp; Maintenance'!N554</f>
        <v/>
      </c>
      <c r="C7589" s="84">
        <f>'Warranty &amp; Maintenance'!L554</f>
        <v/>
      </c>
      <c r="D7589" s="46">
        <f>'Warranty &amp; Maintenance'!M554</f>
        <v/>
      </c>
      <c r="E7589" s="46">
        <f>IF(OR(B7589="",C7589="",D7589=""),"",D7589*100000+(C7589-DATE(2000,1,1))+ROW()/100000)</f>
        <v/>
      </c>
      <c r="F7589" s="46">
        <f>IF(E7589="","",IF(C7589&gt;WeekEndDate,"",E7589))</f>
        <v/>
      </c>
    </row>
    <row r="7590">
      <c r="A7590" t="inlineStr">
        <is>
          <t>Warranty &amp; Maintenance</t>
        </is>
      </c>
      <c r="B7590" s="46">
        <f>'Warranty &amp; Maintenance'!N555</f>
        <v/>
      </c>
      <c r="C7590" s="84">
        <f>'Warranty &amp; Maintenance'!L555</f>
        <v/>
      </c>
      <c r="D7590" s="46">
        <f>'Warranty &amp; Maintenance'!M555</f>
        <v/>
      </c>
      <c r="E7590" s="46">
        <f>IF(OR(B7590="",C7590="",D7590=""),"",D7590*100000+(C7590-DATE(2000,1,1))+ROW()/100000)</f>
        <v/>
      </c>
      <c r="F7590" s="46">
        <f>IF(E7590="","",IF(C7590&gt;WeekEndDate,"",E7590))</f>
        <v/>
      </c>
    </row>
    <row r="7591">
      <c r="A7591" t="inlineStr">
        <is>
          <t>Warranty &amp; Maintenance</t>
        </is>
      </c>
      <c r="B7591" s="46">
        <f>'Warranty &amp; Maintenance'!N556</f>
        <v/>
      </c>
      <c r="C7591" s="84">
        <f>'Warranty &amp; Maintenance'!L556</f>
        <v/>
      </c>
      <c r="D7591" s="46">
        <f>'Warranty &amp; Maintenance'!M556</f>
        <v/>
      </c>
      <c r="E7591" s="46">
        <f>IF(OR(B7591="",C7591="",D7591=""),"",D7591*100000+(C7591-DATE(2000,1,1))+ROW()/100000)</f>
        <v/>
      </c>
      <c r="F7591" s="46">
        <f>IF(E7591="","",IF(C7591&gt;WeekEndDate,"",E7591))</f>
        <v/>
      </c>
    </row>
    <row r="7592">
      <c r="A7592" t="inlineStr">
        <is>
          <t>Warranty &amp; Maintenance</t>
        </is>
      </c>
      <c r="B7592" s="46">
        <f>'Warranty &amp; Maintenance'!N557</f>
        <v/>
      </c>
      <c r="C7592" s="84">
        <f>'Warranty &amp; Maintenance'!L557</f>
        <v/>
      </c>
      <c r="D7592" s="46">
        <f>'Warranty &amp; Maintenance'!M557</f>
        <v/>
      </c>
      <c r="E7592" s="46">
        <f>IF(OR(B7592="",C7592="",D7592=""),"",D7592*100000+(C7592-DATE(2000,1,1))+ROW()/100000)</f>
        <v/>
      </c>
      <c r="F7592" s="46">
        <f>IF(E7592="","",IF(C7592&gt;WeekEndDate,"",E7592))</f>
        <v/>
      </c>
    </row>
    <row r="7593">
      <c r="A7593" t="inlineStr">
        <is>
          <t>Warranty &amp; Maintenance</t>
        </is>
      </c>
      <c r="B7593" s="46">
        <f>'Warranty &amp; Maintenance'!N558</f>
        <v/>
      </c>
      <c r="C7593" s="84">
        <f>'Warranty &amp; Maintenance'!L558</f>
        <v/>
      </c>
      <c r="D7593" s="46">
        <f>'Warranty &amp; Maintenance'!M558</f>
        <v/>
      </c>
      <c r="E7593" s="46">
        <f>IF(OR(B7593="",C7593="",D7593=""),"",D7593*100000+(C7593-DATE(2000,1,1))+ROW()/100000)</f>
        <v/>
      </c>
      <c r="F7593" s="46">
        <f>IF(E7593="","",IF(C7593&gt;WeekEndDate,"",E7593))</f>
        <v/>
      </c>
    </row>
    <row r="7594">
      <c r="A7594" t="inlineStr">
        <is>
          <t>Warranty &amp; Maintenance</t>
        </is>
      </c>
      <c r="B7594" s="46">
        <f>'Warranty &amp; Maintenance'!N559</f>
        <v/>
      </c>
      <c r="C7594" s="84">
        <f>'Warranty &amp; Maintenance'!L559</f>
        <v/>
      </c>
      <c r="D7594" s="46">
        <f>'Warranty &amp; Maintenance'!M559</f>
        <v/>
      </c>
      <c r="E7594" s="46">
        <f>IF(OR(B7594="",C7594="",D7594=""),"",D7594*100000+(C7594-DATE(2000,1,1))+ROW()/100000)</f>
        <v/>
      </c>
      <c r="F7594" s="46">
        <f>IF(E7594="","",IF(C7594&gt;WeekEndDate,"",E7594))</f>
        <v/>
      </c>
    </row>
    <row r="7595">
      <c r="A7595" t="inlineStr">
        <is>
          <t>Warranty &amp; Maintenance</t>
        </is>
      </c>
      <c r="B7595" s="46">
        <f>'Warranty &amp; Maintenance'!N560</f>
        <v/>
      </c>
      <c r="C7595" s="84">
        <f>'Warranty &amp; Maintenance'!L560</f>
        <v/>
      </c>
      <c r="D7595" s="46">
        <f>'Warranty &amp; Maintenance'!M560</f>
        <v/>
      </c>
      <c r="E7595" s="46">
        <f>IF(OR(B7595="",C7595="",D7595=""),"",D7595*100000+(C7595-DATE(2000,1,1))+ROW()/100000)</f>
        <v/>
      </c>
      <c r="F7595" s="46">
        <f>IF(E7595="","",IF(C7595&gt;WeekEndDate,"",E7595))</f>
        <v/>
      </c>
    </row>
    <row r="7596">
      <c r="A7596" t="inlineStr">
        <is>
          <t>Warranty &amp; Maintenance</t>
        </is>
      </c>
      <c r="B7596" s="46">
        <f>'Warranty &amp; Maintenance'!N561</f>
        <v/>
      </c>
      <c r="C7596" s="84">
        <f>'Warranty &amp; Maintenance'!L561</f>
        <v/>
      </c>
      <c r="D7596" s="46">
        <f>'Warranty &amp; Maintenance'!M561</f>
        <v/>
      </c>
      <c r="E7596" s="46">
        <f>IF(OR(B7596="",C7596="",D7596=""),"",D7596*100000+(C7596-DATE(2000,1,1))+ROW()/100000)</f>
        <v/>
      </c>
      <c r="F7596" s="46">
        <f>IF(E7596="","",IF(C7596&gt;WeekEndDate,"",E7596))</f>
        <v/>
      </c>
    </row>
    <row r="7597">
      <c r="A7597" t="inlineStr">
        <is>
          <t>Warranty &amp; Maintenance</t>
        </is>
      </c>
      <c r="B7597" s="46">
        <f>'Warranty &amp; Maintenance'!N562</f>
        <v/>
      </c>
      <c r="C7597" s="84">
        <f>'Warranty &amp; Maintenance'!L562</f>
        <v/>
      </c>
      <c r="D7597" s="46">
        <f>'Warranty &amp; Maintenance'!M562</f>
        <v/>
      </c>
      <c r="E7597" s="46">
        <f>IF(OR(B7597="",C7597="",D7597=""),"",D7597*100000+(C7597-DATE(2000,1,1))+ROW()/100000)</f>
        <v/>
      </c>
      <c r="F7597" s="46">
        <f>IF(E7597="","",IF(C7597&gt;WeekEndDate,"",E7597))</f>
        <v/>
      </c>
    </row>
    <row r="7598">
      <c r="A7598" t="inlineStr">
        <is>
          <t>Warranty &amp; Maintenance</t>
        </is>
      </c>
      <c r="B7598" s="46">
        <f>'Warranty &amp; Maintenance'!N563</f>
        <v/>
      </c>
      <c r="C7598" s="84">
        <f>'Warranty &amp; Maintenance'!L563</f>
        <v/>
      </c>
      <c r="D7598" s="46">
        <f>'Warranty &amp; Maintenance'!M563</f>
        <v/>
      </c>
      <c r="E7598" s="46">
        <f>IF(OR(B7598="",C7598="",D7598=""),"",D7598*100000+(C7598-DATE(2000,1,1))+ROW()/100000)</f>
        <v/>
      </c>
      <c r="F7598" s="46">
        <f>IF(E7598="","",IF(C7598&gt;WeekEndDate,"",E7598))</f>
        <v/>
      </c>
    </row>
    <row r="7599">
      <c r="A7599" t="inlineStr">
        <is>
          <t>Warranty &amp; Maintenance</t>
        </is>
      </c>
      <c r="B7599" s="46">
        <f>'Warranty &amp; Maintenance'!N564</f>
        <v/>
      </c>
      <c r="C7599" s="84">
        <f>'Warranty &amp; Maintenance'!L564</f>
        <v/>
      </c>
      <c r="D7599" s="46">
        <f>'Warranty &amp; Maintenance'!M564</f>
        <v/>
      </c>
      <c r="E7599" s="46">
        <f>IF(OR(B7599="",C7599="",D7599=""),"",D7599*100000+(C7599-DATE(2000,1,1))+ROW()/100000)</f>
        <v/>
      </c>
      <c r="F7599" s="46">
        <f>IF(E7599="","",IF(C7599&gt;WeekEndDate,"",E7599))</f>
        <v/>
      </c>
    </row>
    <row r="7600">
      <c r="A7600" t="inlineStr">
        <is>
          <t>Warranty &amp; Maintenance</t>
        </is>
      </c>
      <c r="B7600" s="46">
        <f>'Warranty &amp; Maintenance'!N565</f>
        <v/>
      </c>
      <c r="C7600" s="84">
        <f>'Warranty &amp; Maintenance'!L565</f>
        <v/>
      </c>
      <c r="D7600" s="46">
        <f>'Warranty &amp; Maintenance'!M565</f>
        <v/>
      </c>
      <c r="E7600" s="46">
        <f>IF(OR(B7600="",C7600="",D7600=""),"",D7600*100000+(C7600-DATE(2000,1,1))+ROW()/100000)</f>
        <v/>
      </c>
      <c r="F7600" s="46">
        <f>IF(E7600="","",IF(C7600&gt;WeekEndDate,"",E7600))</f>
        <v/>
      </c>
    </row>
    <row r="7601">
      <c r="A7601" t="inlineStr">
        <is>
          <t>Warranty &amp; Maintenance</t>
        </is>
      </c>
      <c r="B7601" s="46">
        <f>'Warranty &amp; Maintenance'!N566</f>
        <v/>
      </c>
      <c r="C7601" s="84">
        <f>'Warranty &amp; Maintenance'!L566</f>
        <v/>
      </c>
      <c r="D7601" s="46">
        <f>'Warranty &amp; Maintenance'!M566</f>
        <v/>
      </c>
      <c r="E7601" s="46">
        <f>IF(OR(B7601="",C7601="",D7601=""),"",D7601*100000+(C7601-DATE(2000,1,1))+ROW()/100000)</f>
        <v/>
      </c>
      <c r="F7601" s="46">
        <f>IF(E7601="","",IF(C7601&gt;WeekEndDate,"",E7601))</f>
        <v/>
      </c>
    </row>
    <row r="7602">
      <c r="A7602" t="inlineStr">
        <is>
          <t>Warranty &amp; Maintenance</t>
        </is>
      </c>
      <c r="B7602" s="46">
        <f>'Warranty &amp; Maintenance'!N567</f>
        <v/>
      </c>
      <c r="C7602" s="84">
        <f>'Warranty &amp; Maintenance'!L567</f>
        <v/>
      </c>
      <c r="D7602" s="46">
        <f>'Warranty &amp; Maintenance'!M567</f>
        <v/>
      </c>
      <c r="E7602" s="46">
        <f>IF(OR(B7602="",C7602="",D7602=""),"",D7602*100000+(C7602-DATE(2000,1,1))+ROW()/100000)</f>
        <v/>
      </c>
      <c r="F7602" s="46">
        <f>IF(E7602="","",IF(C7602&gt;WeekEndDate,"",E7602))</f>
        <v/>
      </c>
    </row>
    <row r="7603">
      <c r="A7603" t="inlineStr">
        <is>
          <t>Warranty &amp; Maintenance</t>
        </is>
      </c>
      <c r="B7603" s="46">
        <f>'Warranty &amp; Maintenance'!N568</f>
        <v/>
      </c>
      <c r="C7603" s="84">
        <f>'Warranty &amp; Maintenance'!L568</f>
        <v/>
      </c>
      <c r="D7603" s="46">
        <f>'Warranty &amp; Maintenance'!M568</f>
        <v/>
      </c>
      <c r="E7603" s="46">
        <f>IF(OR(B7603="",C7603="",D7603=""),"",D7603*100000+(C7603-DATE(2000,1,1))+ROW()/100000)</f>
        <v/>
      </c>
      <c r="F7603" s="46">
        <f>IF(E7603="","",IF(C7603&gt;WeekEndDate,"",E7603))</f>
        <v/>
      </c>
    </row>
    <row r="7604">
      <c r="A7604" t="inlineStr">
        <is>
          <t>Warranty &amp; Maintenance</t>
        </is>
      </c>
      <c r="B7604" s="46">
        <f>'Warranty &amp; Maintenance'!N569</f>
        <v/>
      </c>
      <c r="C7604" s="84">
        <f>'Warranty &amp; Maintenance'!L569</f>
        <v/>
      </c>
      <c r="D7604" s="46">
        <f>'Warranty &amp; Maintenance'!M569</f>
        <v/>
      </c>
      <c r="E7604" s="46">
        <f>IF(OR(B7604="",C7604="",D7604=""),"",D7604*100000+(C7604-DATE(2000,1,1))+ROW()/100000)</f>
        <v/>
      </c>
      <c r="F7604" s="46">
        <f>IF(E7604="","",IF(C7604&gt;WeekEndDate,"",E7604))</f>
        <v/>
      </c>
    </row>
    <row r="7605">
      <c r="A7605" t="inlineStr">
        <is>
          <t>Warranty &amp; Maintenance</t>
        </is>
      </c>
      <c r="B7605" s="46">
        <f>'Warranty &amp; Maintenance'!N570</f>
        <v/>
      </c>
      <c r="C7605" s="84">
        <f>'Warranty &amp; Maintenance'!L570</f>
        <v/>
      </c>
      <c r="D7605" s="46">
        <f>'Warranty &amp; Maintenance'!M570</f>
        <v/>
      </c>
      <c r="E7605" s="46">
        <f>IF(OR(B7605="",C7605="",D7605=""),"",D7605*100000+(C7605-DATE(2000,1,1))+ROW()/100000)</f>
        <v/>
      </c>
      <c r="F7605" s="46">
        <f>IF(E7605="","",IF(C7605&gt;WeekEndDate,"",E7605))</f>
        <v/>
      </c>
    </row>
    <row r="7606">
      <c r="A7606" t="inlineStr">
        <is>
          <t>Warranty &amp; Maintenance</t>
        </is>
      </c>
      <c r="B7606" s="46">
        <f>'Warranty &amp; Maintenance'!N571</f>
        <v/>
      </c>
      <c r="C7606" s="84">
        <f>'Warranty &amp; Maintenance'!L571</f>
        <v/>
      </c>
      <c r="D7606" s="46">
        <f>'Warranty &amp; Maintenance'!M571</f>
        <v/>
      </c>
      <c r="E7606" s="46">
        <f>IF(OR(B7606="",C7606="",D7606=""),"",D7606*100000+(C7606-DATE(2000,1,1))+ROW()/100000)</f>
        <v/>
      </c>
      <c r="F7606" s="46">
        <f>IF(E7606="","",IF(C7606&gt;WeekEndDate,"",E7606))</f>
        <v/>
      </c>
    </row>
    <row r="7607">
      <c r="A7607" t="inlineStr">
        <is>
          <t>Warranty &amp; Maintenance</t>
        </is>
      </c>
      <c r="B7607" s="46">
        <f>'Warranty &amp; Maintenance'!N572</f>
        <v/>
      </c>
      <c r="C7607" s="84">
        <f>'Warranty &amp; Maintenance'!L572</f>
        <v/>
      </c>
      <c r="D7607" s="46">
        <f>'Warranty &amp; Maintenance'!M572</f>
        <v/>
      </c>
      <c r="E7607" s="46">
        <f>IF(OR(B7607="",C7607="",D7607=""),"",D7607*100000+(C7607-DATE(2000,1,1))+ROW()/100000)</f>
        <v/>
      </c>
      <c r="F7607" s="46">
        <f>IF(E7607="","",IF(C7607&gt;WeekEndDate,"",E7607))</f>
        <v/>
      </c>
    </row>
    <row r="7608">
      <c r="A7608" t="inlineStr">
        <is>
          <t>Warranty &amp; Maintenance</t>
        </is>
      </c>
      <c r="B7608" s="46">
        <f>'Warranty &amp; Maintenance'!N573</f>
        <v/>
      </c>
      <c r="C7608" s="84">
        <f>'Warranty &amp; Maintenance'!L573</f>
        <v/>
      </c>
      <c r="D7608" s="46">
        <f>'Warranty &amp; Maintenance'!M573</f>
        <v/>
      </c>
      <c r="E7608" s="46">
        <f>IF(OR(B7608="",C7608="",D7608=""),"",D7608*100000+(C7608-DATE(2000,1,1))+ROW()/100000)</f>
        <v/>
      </c>
      <c r="F7608" s="46">
        <f>IF(E7608="","",IF(C7608&gt;WeekEndDate,"",E7608))</f>
        <v/>
      </c>
    </row>
    <row r="7609">
      <c r="A7609" t="inlineStr">
        <is>
          <t>Warranty &amp; Maintenance</t>
        </is>
      </c>
      <c r="B7609" s="46">
        <f>'Warranty &amp; Maintenance'!N574</f>
        <v/>
      </c>
      <c r="C7609" s="84">
        <f>'Warranty &amp; Maintenance'!L574</f>
        <v/>
      </c>
      <c r="D7609" s="46">
        <f>'Warranty &amp; Maintenance'!M574</f>
        <v/>
      </c>
      <c r="E7609" s="46">
        <f>IF(OR(B7609="",C7609="",D7609=""),"",D7609*100000+(C7609-DATE(2000,1,1))+ROW()/100000)</f>
        <v/>
      </c>
      <c r="F7609" s="46">
        <f>IF(E7609="","",IF(C7609&gt;WeekEndDate,"",E7609))</f>
        <v/>
      </c>
    </row>
    <row r="7610">
      <c r="A7610" t="inlineStr">
        <is>
          <t>Warranty &amp; Maintenance</t>
        </is>
      </c>
      <c r="B7610" s="46">
        <f>'Warranty &amp; Maintenance'!N575</f>
        <v/>
      </c>
      <c r="C7610" s="84">
        <f>'Warranty &amp; Maintenance'!L575</f>
        <v/>
      </c>
      <c r="D7610" s="46">
        <f>'Warranty &amp; Maintenance'!M575</f>
        <v/>
      </c>
      <c r="E7610" s="46">
        <f>IF(OR(B7610="",C7610="",D7610=""),"",D7610*100000+(C7610-DATE(2000,1,1))+ROW()/100000)</f>
        <v/>
      </c>
      <c r="F7610" s="46">
        <f>IF(E7610="","",IF(C7610&gt;WeekEndDate,"",E7610))</f>
        <v/>
      </c>
    </row>
    <row r="7611">
      <c r="A7611" t="inlineStr">
        <is>
          <t>Warranty &amp; Maintenance</t>
        </is>
      </c>
      <c r="B7611" s="46">
        <f>'Warranty &amp; Maintenance'!N576</f>
        <v/>
      </c>
      <c r="C7611" s="84">
        <f>'Warranty &amp; Maintenance'!L576</f>
        <v/>
      </c>
      <c r="D7611" s="46">
        <f>'Warranty &amp; Maintenance'!M576</f>
        <v/>
      </c>
      <c r="E7611" s="46">
        <f>IF(OR(B7611="",C7611="",D7611=""),"",D7611*100000+(C7611-DATE(2000,1,1))+ROW()/100000)</f>
        <v/>
      </c>
      <c r="F7611" s="46">
        <f>IF(E7611="","",IF(C7611&gt;WeekEndDate,"",E7611))</f>
        <v/>
      </c>
    </row>
    <row r="7612">
      <c r="A7612" t="inlineStr">
        <is>
          <t>Warranty &amp; Maintenance</t>
        </is>
      </c>
      <c r="B7612" s="46">
        <f>'Warranty &amp; Maintenance'!N577</f>
        <v/>
      </c>
      <c r="C7612" s="84">
        <f>'Warranty &amp; Maintenance'!L577</f>
        <v/>
      </c>
      <c r="D7612" s="46">
        <f>'Warranty &amp; Maintenance'!M577</f>
        <v/>
      </c>
      <c r="E7612" s="46">
        <f>IF(OR(B7612="",C7612="",D7612=""),"",D7612*100000+(C7612-DATE(2000,1,1))+ROW()/100000)</f>
        <v/>
      </c>
      <c r="F7612" s="46">
        <f>IF(E7612="","",IF(C7612&gt;WeekEndDate,"",E7612))</f>
        <v/>
      </c>
    </row>
    <row r="7613">
      <c r="A7613" t="inlineStr">
        <is>
          <t>Warranty &amp; Maintenance</t>
        </is>
      </c>
      <c r="B7613" s="46">
        <f>'Warranty &amp; Maintenance'!N578</f>
        <v/>
      </c>
      <c r="C7613" s="84">
        <f>'Warranty &amp; Maintenance'!L578</f>
        <v/>
      </c>
      <c r="D7613" s="46">
        <f>'Warranty &amp; Maintenance'!M578</f>
        <v/>
      </c>
      <c r="E7613" s="46">
        <f>IF(OR(B7613="",C7613="",D7613=""),"",D7613*100000+(C7613-DATE(2000,1,1))+ROW()/100000)</f>
        <v/>
      </c>
      <c r="F7613" s="46">
        <f>IF(E7613="","",IF(C7613&gt;WeekEndDate,"",E7613))</f>
        <v/>
      </c>
    </row>
    <row r="7614">
      <c r="A7614" t="inlineStr">
        <is>
          <t>Warranty &amp; Maintenance</t>
        </is>
      </c>
      <c r="B7614" s="46">
        <f>'Warranty &amp; Maintenance'!N579</f>
        <v/>
      </c>
      <c r="C7614" s="84">
        <f>'Warranty &amp; Maintenance'!L579</f>
        <v/>
      </c>
      <c r="D7614" s="46">
        <f>'Warranty &amp; Maintenance'!M579</f>
        <v/>
      </c>
      <c r="E7614" s="46">
        <f>IF(OR(B7614="",C7614="",D7614=""),"",D7614*100000+(C7614-DATE(2000,1,1))+ROW()/100000)</f>
        <v/>
      </c>
      <c r="F7614" s="46">
        <f>IF(E7614="","",IF(C7614&gt;WeekEndDate,"",E7614))</f>
        <v/>
      </c>
    </row>
    <row r="7615">
      <c r="A7615" t="inlineStr">
        <is>
          <t>Warranty &amp; Maintenance</t>
        </is>
      </c>
      <c r="B7615" s="46">
        <f>'Warranty &amp; Maintenance'!N580</f>
        <v/>
      </c>
      <c r="C7615" s="84">
        <f>'Warranty &amp; Maintenance'!L580</f>
        <v/>
      </c>
      <c r="D7615" s="46">
        <f>'Warranty &amp; Maintenance'!M580</f>
        <v/>
      </c>
      <c r="E7615" s="46">
        <f>IF(OR(B7615="",C7615="",D7615=""),"",D7615*100000+(C7615-DATE(2000,1,1))+ROW()/100000)</f>
        <v/>
      </c>
      <c r="F7615" s="46">
        <f>IF(E7615="","",IF(C7615&gt;WeekEndDate,"",E7615))</f>
        <v/>
      </c>
    </row>
    <row r="7616">
      <c r="A7616" t="inlineStr">
        <is>
          <t>Warranty &amp; Maintenance</t>
        </is>
      </c>
      <c r="B7616" s="46">
        <f>'Warranty &amp; Maintenance'!N581</f>
        <v/>
      </c>
      <c r="C7616" s="84">
        <f>'Warranty &amp; Maintenance'!L581</f>
        <v/>
      </c>
      <c r="D7616" s="46">
        <f>'Warranty &amp; Maintenance'!M581</f>
        <v/>
      </c>
      <c r="E7616" s="46">
        <f>IF(OR(B7616="",C7616="",D7616=""),"",D7616*100000+(C7616-DATE(2000,1,1))+ROW()/100000)</f>
        <v/>
      </c>
      <c r="F7616" s="46">
        <f>IF(E7616="","",IF(C7616&gt;WeekEndDate,"",E7616))</f>
        <v/>
      </c>
    </row>
    <row r="7617">
      <c r="A7617" t="inlineStr">
        <is>
          <t>Warranty &amp; Maintenance</t>
        </is>
      </c>
      <c r="B7617" s="46">
        <f>'Warranty &amp; Maintenance'!N582</f>
        <v/>
      </c>
      <c r="C7617" s="84">
        <f>'Warranty &amp; Maintenance'!L582</f>
        <v/>
      </c>
      <c r="D7617" s="46">
        <f>'Warranty &amp; Maintenance'!M582</f>
        <v/>
      </c>
      <c r="E7617" s="46">
        <f>IF(OR(B7617="",C7617="",D7617=""),"",D7617*100000+(C7617-DATE(2000,1,1))+ROW()/100000)</f>
        <v/>
      </c>
      <c r="F7617" s="46">
        <f>IF(E7617="","",IF(C7617&gt;WeekEndDate,"",E7617))</f>
        <v/>
      </c>
    </row>
    <row r="7618">
      <c r="A7618" t="inlineStr">
        <is>
          <t>Warranty &amp; Maintenance</t>
        </is>
      </c>
      <c r="B7618" s="46">
        <f>'Warranty &amp; Maintenance'!N583</f>
        <v/>
      </c>
      <c r="C7618" s="84">
        <f>'Warranty &amp; Maintenance'!L583</f>
        <v/>
      </c>
      <c r="D7618" s="46">
        <f>'Warranty &amp; Maintenance'!M583</f>
        <v/>
      </c>
      <c r="E7618" s="46">
        <f>IF(OR(B7618="",C7618="",D7618=""),"",D7618*100000+(C7618-DATE(2000,1,1))+ROW()/100000)</f>
        <v/>
      </c>
      <c r="F7618" s="46">
        <f>IF(E7618="","",IF(C7618&gt;WeekEndDate,"",E7618))</f>
        <v/>
      </c>
    </row>
    <row r="7619">
      <c r="A7619" t="inlineStr">
        <is>
          <t>Warranty &amp; Maintenance</t>
        </is>
      </c>
      <c r="B7619" s="46">
        <f>'Warranty &amp; Maintenance'!N584</f>
        <v/>
      </c>
      <c r="C7619" s="84">
        <f>'Warranty &amp; Maintenance'!L584</f>
        <v/>
      </c>
      <c r="D7619" s="46">
        <f>'Warranty &amp; Maintenance'!M584</f>
        <v/>
      </c>
      <c r="E7619" s="46">
        <f>IF(OR(B7619="",C7619="",D7619=""),"",D7619*100000+(C7619-DATE(2000,1,1))+ROW()/100000)</f>
        <v/>
      </c>
      <c r="F7619" s="46">
        <f>IF(E7619="","",IF(C7619&gt;WeekEndDate,"",E7619))</f>
        <v/>
      </c>
    </row>
    <row r="7620">
      <c r="A7620" t="inlineStr">
        <is>
          <t>Warranty &amp; Maintenance</t>
        </is>
      </c>
      <c r="B7620" s="46">
        <f>'Warranty &amp; Maintenance'!N585</f>
        <v/>
      </c>
      <c r="C7620" s="84">
        <f>'Warranty &amp; Maintenance'!L585</f>
        <v/>
      </c>
      <c r="D7620" s="46">
        <f>'Warranty &amp; Maintenance'!M585</f>
        <v/>
      </c>
      <c r="E7620" s="46">
        <f>IF(OR(B7620="",C7620="",D7620=""),"",D7620*100000+(C7620-DATE(2000,1,1))+ROW()/100000)</f>
        <v/>
      </c>
      <c r="F7620" s="46">
        <f>IF(E7620="","",IF(C7620&gt;WeekEndDate,"",E7620))</f>
        <v/>
      </c>
    </row>
    <row r="7621">
      <c r="A7621" t="inlineStr">
        <is>
          <t>Warranty &amp; Maintenance</t>
        </is>
      </c>
      <c r="B7621" s="46">
        <f>'Warranty &amp; Maintenance'!N586</f>
        <v/>
      </c>
      <c r="C7621" s="84">
        <f>'Warranty &amp; Maintenance'!L586</f>
        <v/>
      </c>
      <c r="D7621" s="46">
        <f>'Warranty &amp; Maintenance'!M586</f>
        <v/>
      </c>
      <c r="E7621" s="46">
        <f>IF(OR(B7621="",C7621="",D7621=""),"",D7621*100000+(C7621-DATE(2000,1,1))+ROW()/100000)</f>
        <v/>
      </c>
      <c r="F7621" s="46">
        <f>IF(E7621="","",IF(C7621&gt;WeekEndDate,"",E7621))</f>
        <v/>
      </c>
    </row>
    <row r="7622">
      <c r="A7622" t="inlineStr">
        <is>
          <t>Warranty &amp; Maintenance</t>
        </is>
      </c>
      <c r="B7622" s="46">
        <f>'Warranty &amp; Maintenance'!N587</f>
        <v/>
      </c>
      <c r="C7622" s="84">
        <f>'Warranty &amp; Maintenance'!L587</f>
        <v/>
      </c>
      <c r="D7622" s="46">
        <f>'Warranty &amp; Maintenance'!M587</f>
        <v/>
      </c>
      <c r="E7622" s="46">
        <f>IF(OR(B7622="",C7622="",D7622=""),"",D7622*100000+(C7622-DATE(2000,1,1))+ROW()/100000)</f>
        <v/>
      </c>
      <c r="F7622" s="46">
        <f>IF(E7622="","",IF(C7622&gt;WeekEndDate,"",E7622))</f>
        <v/>
      </c>
    </row>
    <row r="7623">
      <c r="A7623" t="inlineStr">
        <is>
          <t>Warranty &amp; Maintenance</t>
        </is>
      </c>
      <c r="B7623" s="46">
        <f>'Warranty &amp; Maintenance'!N588</f>
        <v/>
      </c>
      <c r="C7623" s="84">
        <f>'Warranty &amp; Maintenance'!L588</f>
        <v/>
      </c>
      <c r="D7623" s="46">
        <f>'Warranty &amp; Maintenance'!M588</f>
        <v/>
      </c>
      <c r="E7623" s="46">
        <f>IF(OR(B7623="",C7623="",D7623=""),"",D7623*100000+(C7623-DATE(2000,1,1))+ROW()/100000)</f>
        <v/>
      </c>
      <c r="F7623" s="46">
        <f>IF(E7623="","",IF(C7623&gt;WeekEndDate,"",E7623))</f>
        <v/>
      </c>
    </row>
    <row r="7624">
      <c r="A7624" t="inlineStr">
        <is>
          <t>Warranty &amp; Maintenance</t>
        </is>
      </c>
      <c r="B7624" s="46">
        <f>'Warranty &amp; Maintenance'!N589</f>
        <v/>
      </c>
      <c r="C7624" s="84">
        <f>'Warranty &amp; Maintenance'!L589</f>
        <v/>
      </c>
      <c r="D7624" s="46">
        <f>'Warranty &amp; Maintenance'!M589</f>
        <v/>
      </c>
      <c r="E7624" s="46">
        <f>IF(OR(B7624="",C7624="",D7624=""),"",D7624*100000+(C7624-DATE(2000,1,1))+ROW()/100000)</f>
        <v/>
      </c>
      <c r="F7624" s="46">
        <f>IF(E7624="","",IF(C7624&gt;WeekEndDate,"",E7624))</f>
        <v/>
      </c>
    </row>
    <row r="7625">
      <c r="A7625" t="inlineStr">
        <is>
          <t>Warranty &amp; Maintenance</t>
        </is>
      </c>
      <c r="B7625" s="46">
        <f>'Warranty &amp; Maintenance'!N590</f>
        <v/>
      </c>
      <c r="C7625" s="84">
        <f>'Warranty &amp; Maintenance'!L590</f>
        <v/>
      </c>
      <c r="D7625" s="46">
        <f>'Warranty &amp; Maintenance'!M590</f>
        <v/>
      </c>
      <c r="E7625" s="46">
        <f>IF(OR(B7625="",C7625="",D7625=""),"",D7625*100000+(C7625-DATE(2000,1,1))+ROW()/100000)</f>
        <v/>
      </c>
      <c r="F7625" s="46">
        <f>IF(E7625="","",IF(C7625&gt;WeekEndDate,"",E7625))</f>
        <v/>
      </c>
    </row>
    <row r="7626">
      <c r="A7626" t="inlineStr">
        <is>
          <t>Warranty &amp; Maintenance</t>
        </is>
      </c>
      <c r="B7626" s="46">
        <f>'Warranty &amp; Maintenance'!N591</f>
        <v/>
      </c>
      <c r="C7626" s="84">
        <f>'Warranty &amp; Maintenance'!L591</f>
        <v/>
      </c>
      <c r="D7626" s="46">
        <f>'Warranty &amp; Maintenance'!M591</f>
        <v/>
      </c>
      <c r="E7626" s="46">
        <f>IF(OR(B7626="",C7626="",D7626=""),"",D7626*100000+(C7626-DATE(2000,1,1))+ROW()/100000)</f>
        <v/>
      </c>
      <c r="F7626" s="46">
        <f>IF(E7626="","",IF(C7626&gt;WeekEndDate,"",E7626))</f>
        <v/>
      </c>
    </row>
    <row r="7627">
      <c r="A7627" t="inlineStr">
        <is>
          <t>Warranty &amp; Maintenance</t>
        </is>
      </c>
      <c r="B7627" s="46">
        <f>'Warranty &amp; Maintenance'!N592</f>
        <v/>
      </c>
      <c r="C7627" s="84">
        <f>'Warranty &amp; Maintenance'!L592</f>
        <v/>
      </c>
      <c r="D7627" s="46">
        <f>'Warranty &amp; Maintenance'!M592</f>
        <v/>
      </c>
      <c r="E7627" s="46">
        <f>IF(OR(B7627="",C7627="",D7627=""),"",D7627*100000+(C7627-DATE(2000,1,1))+ROW()/100000)</f>
        <v/>
      </c>
      <c r="F7627" s="46">
        <f>IF(E7627="","",IF(C7627&gt;WeekEndDate,"",E7627))</f>
        <v/>
      </c>
    </row>
    <row r="7628">
      <c r="A7628" t="inlineStr">
        <is>
          <t>Warranty &amp; Maintenance</t>
        </is>
      </c>
      <c r="B7628" s="46">
        <f>'Warranty &amp; Maintenance'!N593</f>
        <v/>
      </c>
      <c r="C7628" s="84">
        <f>'Warranty &amp; Maintenance'!L593</f>
        <v/>
      </c>
      <c r="D7628" s="46">
        <f>'Warranty &amp; Maintenance'!M593</f>
        <v/>
      </c>
      <c r="E7628" s="46">
        <f>IF(OR(B7628="",C7628="",D7628=""),"",D7628*100000+(C7628-DATE(2000,1,1))+ROW()/100000)</f>
        <v/>
      </c>
      <c r="F7628" s="46">
        <f>IF(E7628="","",IF(C7628&gt;WeekEndDate,"",E7628))</f>
        <v/>
      </c>
    </row>
    <row r="7629">
      <c r="A7629" t="inlineStr">
        <is>
          <t>Warranty &amp; Maintenance</t>
        </is>
      </c>
      <c r="B7629" s="46">
        <f>'Warranty &amp; Maintenance'!N594</f>
        <v/>
      </c>
      <c r="C7629" s="84">
        <f>'Warranty &amp; Maintenance'!L594</f>
        <v/>
      </c>
      <c r="D7629" s="46">
        <f>'Warranty &amp; Maintenance'!M594</f>
        <v/>
      </c>
      <c r="E7629" s="46">
        <f>IF(OR(B7629="",C7629="",D7629=""),"",D7629*100000+(C7629-DATE(2000,1,1))+ROW()/100000)</f>
        <v/>
      </c>
      <c r="F7629" s="46">
        <f>IF(E7629="","",IF(C7629&gt;WeekEndDate,"",E7629))</f>
        <v/>
      </c>
    </row>
    <row r="7630">
      <c r="A7630" t="inlineStr">
        <is>
          <t>Warranty &amp; Maintenance</t>
        </is>
      </c>
      <c r="B7630" s="46">
        <f>'Warranty &amp; Maintenance'!N595</f>
        <v/>
      </c>
      <c r="C7630" s="84">
        <f>'Warranty &amp; Maintenance'!L595</f>
        <v/>
      </c>
      <c r="D7630" s="46">
        <f>'Warranty &amp; Maintenance'!M595</f>
        <v/>
      </c>
      <c r="E7630" s="46">
        <f>IF(OR(B7630="",C7630="",D7630=""),"",D7630*100000+(C7630-DATE(2000,1,1))+ROW()/100000)</f>
        <v/>
      </c>
      <c r="F7630" s="46">
        <f>IF(E7630="","",IF(C7630&gt;WeekEndDate,"",E7630))</f>
        <v/>
      </c>
    </row>
    <row r="7631">
      <c r="A7631" t="inlineStr">
        <is>
          <t>Warranty &amp; Maintenance</t>
        </is>
      </c>
      <c r="B7631" s="46">
        <f>'Warranty &amp; Maintenance'!N596</f>
        <v/>
      </c>
      <c r="C7631" s="84">
        <f>'Warranty &amp; Maintenance'!L596</f>
        <v/>
      </c>
      <c r="D7631" s="46">
        <f>'Warranty &amp; Maintenance'!M596</f>
        <v/>
      </c>
      <c r="E7631" s="46">
        <f>IF(OR(B7631="",C7631="",D7631=""),"",D7631*100000+(C7631-DATE(2000,1,1))+ROW()/100000)</f>
        <v/>
      </c>
      <c r="F7631" s="46">
        <f>IF(E7631="","",IF(C7631&gt;WeekEndDate,"",E7631))</f>
        <v/>
      </c>
    </row>
    <row r="7632">
      <c r="A7632" t="inlineStr">
        <is>
          <t>Warranty &amp; Maintenance</t>
        </is>
      </c>
      <c r="B7632" s="46">
        <f>'Warranty &amp; Maintenance'!N597</f>
        <v/>
      </c>
      <c r="C7632" s="84">
        <f>'Warranty &amp; Maintenance'!L597</f>
        <v/>
      </c>
      <c r="D7632" s="46">
        <f>'Warranty &amp; Maintenance'!M597</f>
        <v/>
      </c>
      <c r="E7632" s="46">
        <f>IF(OR(B7632="",C7632="",D7632=""),"",D7632*100000+(C7632-DATE(2000,1,1))+ROW()/100000)</f>
        <v/>
      </c>
      <c r="F7632" s="46">
        <f>IF(E7632="","",IF(C7632&gt;WeekEndDate,"",E7632))</f>
        <v/>
      </c>
    </row>
    <row r="7633">
      <c r="A7633" t="inlineStr">
        <is>
          <t>Warranty &amp; Maintenance</t>
        </is>
      </c>
      <c r="B7633" s="46">
        <f>'Warranty &amp; Maintenance'!N598</f>
        <v/>
      </c>
      <c r="C7633" s="84">
        <f>'Warranty &amp; Maintenance'!L598</f>
        <v/>
      </c>
      <c r="D7633" s="46">
        <f>'Warranty &amp; Maintenance'!M598</f>
        <v/>
      </c>
      <c r="E7633" s="46">
        <f>IF(OR(B7633="",C7633="",D7633=""),"",D7633*100000+(C7633-DATE(2000,1,1))+ROW()/100000)</f>
        <v/>
      </c>
      <c r="F7633" s="46">
        <f>IF(E7633="","",IF(C7633&gt;WeekEndDate,"",E7633))</f>
        <v/>
      </c>
    </row>
    <row r="7634">
      <c r="A7634" t="inlineStr">
        <is>
          <t>Warranty &amp; Maintenance</t>
        </is>
      </c>
      <c r="B7634" s="46">
        <f>'Warranty &amp; Maintenance'!N599</f>
        <v/>
      </c>
      <c r="C7634" s="84">
        <f>'Warranty &amp; Maintenance'!L599</f>
        <v/>
      </c>
      <c r="D7634" s="46">
        <f>'Warranty &amp; Maintenance'!M599</f>
        <v/>
      </c>
      <c r="E7634" s="46">
        <f>IF(OR(B7634="",C7634="",D7634=""),"",D7634*100000+(C7634-DATE(2000,1,1))+ROW()/100000)</f>
        <v/>
      </c>
      <c r="F7634" s="46">
        <f>IF(E7634="","",IF(C7634&gt;WeekEndDate,"",E7634))</f>
        <v/>
      </c>
    </row>
    <row r="7635">
      <c r="A7635" t="inlineStr">
        <is>
          <t>Warranty &amp; Maintenance</t>
        </is>
      </c>
      <c r="B7635" s="46">
        <f>'Warranty &amp; Maintenance'!N600</f>
        <v/>
      </c>
      <c r="C7635" s="84">
        <f>'Warranty &amp; Maintenance'!L600</f>
        <v/>
      </c>
      <c r="D7635" s="46">
        <f>'Warranty &amp; Maintenance'!M600</f>
        <v/>
      </c>
      <c r="E7635" s="46">
        <f>IF(OR(B7635="",C7635="",D7635=""),"",D7635*100000+(C7635-DATE(2000,1,1))+ROW()/100000)</f>
        <v/>
      </c>
      <c r="F7635" s="46">
        <f>IF(E7635="","",IF(C7635&gt;WeekEndDate,"",E7635))</f>
        <v/>
      </c>
    </row>
    <row r="7636">
      <c r="A7636" t="inlineStr">
        <is>
          <t>Warranty &amp; Maintenance</t>
        </is>
      </c>
      <c r="B7636" s="46">
        <f>'Warranty &amp; Maintenance'!N601</f>
        <v/>
      </c>
      <c r="C7636" s="84">
        <f>'Warranty &amp; Maintenance'!L601</f>
        <v/>
      </c>
      <c r="D7636" s="46">
        <f>'Warranty &amp; Maintenance'!M601</f>
        <v/>
      </c>
      <c r="E7636" s="46">
        <f>IF(OR(B7636="",C7636="",D7636=""),"",D7636*100000+(C7636-DATE(2000,1,1))+ROW()/100000)</f>
        <v/>
      </c>
      <c r="F7636" s="46">
        <f>IF(E7636="","",IF(C7636&gt;WeekEndDate,"",E7636))</f>
        <v/>
      </c>
    </row>
    <row r="7637">
      <c r="A7637" t="inlineStr">
        <is>
          <t>Warranty &amp; Maintenance</t>
        </is>
      </c>
      <c r="B7637" s="46">
        <f>'Warranty &amp; Maintenance'!N602</f>
        <v/>
      </c>
      <c r="C7637" s="84">
        <f>'Warranty &amp; Maintenance'!L602</f>
        <v/>
      </c>
      <c r="D7637" s="46">
        <f>'Warranty &amp; Maintenance'!M602</f>
        <v/>
      </c>
      <c r="E7637" s="46">
        <f>IF(OR(B7637="",C7637="",D7637=""),"",D7637*100000+(C7637-DATE(2000,1,1))+ROW()/100000)</f>
        <v/>
      </c>
      <c r="F7637" s="46">
        <f>IF(E7637="","",IF(C7637&gt;WeekEndDate,"",E7637))</f>
        <v/>
      </c>
    </row>
    <row r="7638">
      <c r="A7638" t="inlineStr">
        <is>
          <t>Warranty &amp; Maintenance</t>
        </is>
      </c>
      <c r="B7638" s="46">
        <f>'Warranty &amp; Maintenance'!N603</f>
        <v/>
      </c>
      <c r="C7638" s="84">
        <f>'Warranty &amp; Maintenance'!L603</f>
        <v/>
      </c>
      <c r="D7638" s="46">
        <f>'Warranty &amp; Maintenance'!M603</f>
        <v/>
      </c>
      <c r="E7638" s="46">
        <f>IF(OR(B7638="",C7638="",D7638=""),"",D7638*100000+(C7638-DATE(2000,1,1))+ROW()/100000)</f>
        <v/>
      </c>
      <c r="F7638" s="46">
        <f>IF(E7638="","",IF(C7638&gt;WeekEndDate,"",E7638))</f>
        <v/>
      </c>
    </row>
    <row r="7639">
      <c r="A7639" t="inlineStr">
        <is>
          <t>Warranty &amp; Maintenance</t>
        </is>
      </c>
      <c r="B7639" s="46">
        <f>'Warranty &amp; Maintenance'!N604</f>
        <v/>
      </c>
      <c r="C7639" s="84">
        <f>'Warranty &amp; Maintenance'!L604</f>
        <v/>
      </c>
      <c r="D7639" s="46">
        <f>'Warranty &amp; Maintenance'!M604</f>
        <v/>
      </c>
      <c r="E7639" s="46">
        <f>IF(OR(B7639="",C7639="",D7639=""),"",D7639*100000+(C7639-DATE(2000,1,1))+ROW()/100000)</f>
        <v/>
      </c>
      <c r="F7639" s="46">
        <f>IF(E7639="","",IF(C7639&gt;WeekEndDate,"",E7639))</f>
        <v/>
      </c>
    </row>
    <row r="7640">
      <c r="A7640" t="inlineStr">
        <is>
          <t>Warranty &amp; Maintenance</t>
        </is>
      </c>
      <c r="B7640" s="46">
        <f>'Warranty &amp; Maintenance'!N605</f>
        <v/>
      </c>
      <c r="C7640" s="84">
        <f>'Warranty &amp; Maintenance'!L605</f>
        <v/>
      </c>
      <c r="D7640" s="46">
        <f>'Warranty &amp; Maintenance'!M605</f>
        <v/>
      </c>
      <c r="E7640" s="46">
        <f>IF(OR(B7640="",C7640="",D7640=""),"",D7640*100000+(C7640-DATE(2000,1,1))+ROW()/100000)</f>
        <v/>
      </c>
      <c r="F7640" s="46">
        <f>IF(E7640="","",IF(C7640&gt;WeekEndDate,"",E7640))</f>
        <v/>
      </c>
    </row>
    <row r="7641">
      <c r="A7641" t="inlineStr">
        <is>
          <t>Warranty &amp; Maintenance</t>
        </is>
      </c>
      <c r="B7641" s="46">
        <f>'Warranty &amp; Maintenance'!N606</f>
        <v/>
      </c>
      <c r="C7641" s="84">
        <f>'Warranty &amp; Maintenance'!L606</f>
        <v/>
      </c>
      <c r="D7641" s="46">
        <f>'Warranty &amp; Maintenance'!M606</f>
        <v/>
      </c>
      <c r="E7641" s="46">
        <f>IF(OR(B7641="",C7641="",D7641=""),"",D7641*100000+(C7641-DATE(2000,1,1))+ROW()/100000)</f>
        <v/>
      </c>
      <c r="F7641" s="46">
        <f>IF(E7641="","",IF(C7641&gt;WeekEndDate,"",E7641))</f>
        <v/>
      </c>
    </row>
    <row r="7642">
      <c r="A7642" t="inlineStr">
        <is>
          <t>Warranty &amp; Maintenance</t>
        </is>
      </c>
      <c r="B7642" s="46">
        <f>'Warranty &amp; Maintenance'!N607</f>
        <v/>
      </c>
      <c r="C7642" s="84">
        <f>'Warranty &amp; Maintenance'!L607</f>
        <v/>
      </c>
      <c r="D7642" s="46">
        <f>'Warranty &amp; Maintenance'!M607</f>
        <v/>
      </c>
      <c r="E7642" s="46">
        <f>IF(OR(B7642="",C7642="",D7642=""),"",D7642*100000+(C7642-DATE(2000,1,1))+ROW()/100000)</f>
        <v/>
      </c>
      <c r="F7642" s="46">
        <f>IF(E7642="","",IF(C7642&gt;WeekEndDate,"",E7642))</f>
        <v/>
      </c>
    </row>
    <row r="7643">
      <c r="A7643" t="inlineStr">
        <is>
          <t>Warranty &amp; Maintenance</t>
        </is>
      </c>
      <c r="B7643" s="46">
        <f>'Warranty &amp; Maintenance'!N608</f>
        <v/>
      </c>
      <c r="C7643" s="84">
        <f>'Warranty &amp; Maintenance'!L608</f>
        <v/>
      </c>
      <c r="D7643" s="46">
        <f>'Warranty &amp; Maintenance'!M608</f>
        <v/>
      </c>
      <c r="E7643" s="46">
        <f>IF(OR(B7643="",C7643="",D7643=""),"",D7643*100000+(C7643-DATE(2000,1,1))+ROW()/100000)</f>
        <v/>
      </c>
      <c r="F7643" s="46">
        <f>IF(E7643="","",IF(C7643&gt;WeekEndDate,"",E7643))</f>
        <v/>
      </c>
    </row>
    <row r="7644">
      <c r="A7644" t="inlineStr">
        <is>
          <t>Warranty &amp; Maintenance</t>
        </is>
      </c>
      <c r="B7644" s="46">
        <f>'Warranty &amp; Maintenance'!N609</f>
        <v/>
      </c>
      <c r="C7644" s="84">
        <f>'Warranty &amp; Maintenance'!L609</f>
        <v/>
      </c>
      <c r="D7644" s="46">
        <f>'Warranty &amp; Maintenance'!M609</f>
        <v/>
      </c>
      <c r="E7644" s="46">
        <f>IF(OR(B7644="",C7644="",D7644=""),"",D7644*100000+(C7644-DATE(2000,1,1))+ROW()/100000)</f>
        <v/>
      </c>
      <c r="F7644" s="46">
        <f>IF(E7644="","",IF(C7644&gt;WeekEndDate,"",E7644))</f>
        <v/>
      </c>
    </row>
    <row r="7645">
      <c r="A7645" t="inlineStr">
        <is>
          <t>Warranty &amp; Maintenance</t>
        </is>
      </c>
      <c r="B7645" s="46">
        <f>'Warranty &amp; Maintenance'!N610</f>
        <v/>
      </c>
      <c r="C7645" s="84">
        <f>'Warranty &amp; Maintenance'!L610</f>
        <v/>
      </c>
      <c r="D7645" s="46">
        <f>'Warranty &amp; Maintenance'!M610</f>
        <v/>
      </c>
      <c r="E7645" s="46">
        <f>IF(OR(B7645="",C7645="",D7645=""),"",D7645*100000+(C7645-DATE(2000,1,1))+ROW()/100000)</f>
        <v/>
      </c>
      <c r="F7645" s="46">
        <f>IF(E7645="","",IF(C7645&gt;WeekEndDate,"",E7645))</f>
        <v/>
      </c>
    </row>
    <row r="7646">
      <c r="A7646" t="inlineStr">
        <is>
          <t>Warranty &amp; Maintenance</t>
        </is>
      </c>
      <c r="B7646" s="46">
        <f>'Warranty &amp; Maintenance'!N611</f>
        <v/>
      </c>
      <c r="C7646" s="84">
        <f>'Warranty &amp; Maintenance'!L611</f>
        <v/>
      </c>
      <c r="D7646" s="46">
        <f>'Warranty &amp; Maintenance'!M611</f>
        <v/>
      </c>
      <c r="E7646" s="46">
        <f>IF(OR(B7646="",C7646="",D7646=""),"",D7646*100000+(C7646-DATE(2000,1,1))+ROW()/100000)</f>
        <v/>
      </c>
      <c r="F7646" s="46">
        <f>IF(E7646="","",IF(C7646&gt;WeekEndDate,"",E7646))</f>
        <v/>
      </c>
    </row>
    <row r="7647">
      <c r="A7647" t="inlineStr">
        <is>
          <t>Warranty &amp; Maintenance</t>
        </is>
      </c>
      <c r="B7647" s="46">
        <f>'Warranty &amp; Maintenance'!N612</f>
        <v/>
      </c>
      <c r="C7647" s="84">
        <f>'Warranty &amp; Maintenance'!L612</f>
        <v/>
      </c>
      <c r="D7647" s="46">
        <f>'Warranty &amp; Maintenance'!M612</f>
        <v/>
      </c>
      <c r="E7647" s="46">
        <f>IF(OR(B7647="",C7647="",D7647=""),"",D7647*100000+(C7647-DATE(2000,1,1))+ROW()/100000)</f>
        <v/>
      </c>
      <c r="F7647" s="46">
        <f>IF(E7647="","",IF(C7647&gt;WeekEndDate,"",E7647))</f>
        <v/>
      </c>
    </row>
    <row r="7648">
      <c r="A7648" t="inlineStr">
        <is>
          <t>Warranty &amp; Maintenance</t>
        </is>
      </c>
      <c r="B7648" s="46">
        <f>'Warranty &amp; Maintenance'!N613</f>
        <v/>
      </c>
      <c r="C7648" s="84">
        <f>'Warranty &amp; Maintenance'!L613</f>
        <v/>
      </c>
      <c r="D7648" s="46">
        <f>'Warranty &amp; Maintenance'!M613</f>
        <v/>
      </c>
      <c r="E7648" s="46">
        <f>IF(OR(B7648="",C7648="",D7648=""),"",D7648*100000+(C7648-DATE(2000,1,1))+ROW()/100000)</f>
        <v/>
      </c>
      <c r="F7648" s="46">
        <f>IF(E7648="","",IF(C7648&gt;WeekEndDate,"",E7648))</f>
        <v/>
      </c>
    </row>
    <row r="7649">
      <c r="A7649" t="inlineStr">
        <is>
          <t>Warranty &amp; Maintenance</t>
        </is>
      </c>
      <c r="B7649" s="46">
        <f>'Warranty &amp; Maintenance'!N614</f>
        <v/>
      </c>
      <c r="C7649" s="84">
        <f>'Warranty &amp; Maintenance'!L614</f>
        <v/>
      </c>
      <c r="D7649" s="46">
        <f>'Warranty &amp; Maintenance'!M614</f>
        <v/>
      </c>
      <c r="E7649" s="46">
        <f>IF(OR(B7649="",C7649="",D7649=""),"",D7649*100000+(C7649-DATE(2000,1,1))+ROW()/100000)</f>
        <v/>
      </c>
      <c r="F7649" s="46">
        <f>IF(E7649="","",IF(C7649&gt;WeekEndDate,"",E7649))</f>
        <v/>
      </c>
    </row>
    <row r="7650">
      <c r="A7650" t="inlineStr">
        <is>
          <t>Warranty &amp; Maintenance</t>
        </is>
      </c>
      <c r="B7650" s="46">
        <f>'Warranty &amp; Maintenance'!N615</f>
        <v/>
      </c>
      <c r="C7650" s="84">
        <f>'Warranty &amp; Maintenance'!L615</f>
        <v/>
      </c>
      <c r="D7650" s="46">
        <f>'Warranty &amp; Maintenance'!M615</f>
        <v/>
      </c>
      <c r="E7650" s="46">
        <f>IF(OR(B7650="",C7650="",D7650=""),"",D7650*100000+(C7650-DATE(2000,1,1))+ROW()/100000)</f>
        <v/>
      </c>
      <c r="F7650" s="46">
        <f>IF(E7650="","",IF(C7650&gt;WeekEndDate,"",E7650))</f>
        <v/>
      </c>
    </row>
    <row r="7651">
      <c r="A7651" t="inlineStr">
        <is>
          <t>Warranty &amp; Maintenance</t>
        </is>
      </c>
      <c r="B7651" s="46">
        <f>'Warranty &amp; Maintenance'!N616</f>
        <v/>
      </c>
      <c r="C7651" s="84">
        <f>'Warranty &amp; Maintenance'!L616</f>
        <v/>
      </c>
      <c r="D7651" s="46">
        <f>'Warranty &amp; Maintenance'!M616</f>
        <v/>
      </c>
      <c r="E7651" s="46">
        <f>IF(OR(B7651="",C7651="",D7651=""),"",D7651*100000+(C7651-DATE(2000,1,1))+ROW()/100000)</f>
        <v/>
      </c>
      <c r="F7651" s="46">
        <f>IF(E7651="","",IF(C7651&gt;WeekEndDate,"",E7651))</f>
        <v/>
      </c>
    </row>
    <row r="7652">
      <c r="A7652" t="inlineStr">
        <is>
          <t>Warranty &amp; Maintenance</t>
        </is>
      </c>
      <c r="B7652" s="46">
        <f>'Warranty &amp; Maintenance'!N617</f>
        <v/>
      </c>
      <c r="C7652" s="84">
        <f>'Warranty &amp; Maintenance'!L617</f>
        <v/>
      </c>
      <c r="D7652" s="46">
        <f>'Warranty &amp; Maintenance'!M617</f>
        <v/>
      </c>
      <c r="E7652" s="46">
        <f>IF(OR(B7652="",C7652="",D7652=""),"",D7652*100000+(C7652-DATE(2000,1,1))+ROW()/100000)</f>
        <v/>
      </c>
      <c r="F7652" s="46">
        <f>IF(E7652="","",IF(C7652&gt;WeekEndDate,"",E7652))</f>
        <v/>
      </c>
    </row>
    <row r="7653">
      <c r="A7653" t="inlineStr">
        <is>
          <t>Warranty &amp; Maintenance</t>
        </is>
      </c>
      <c r="B7653" s="46">
        <f>'Warranty &amp; Maintenance'!N618</f>
        <v/>
      </c>
      <c r="C7653" s="84">
        <f>'Warranty &amp; Maintenance'!L618</f>
        <v/>
      </c>
      <c r="D7653" s="46">
        <f>'Warranty &amp; Maintenance'!M618</f>
        <v/>
      </c>
      <c r="E7653" s="46">
        <f>IF(OR(B7653="",C7653="",D7653=""),"",D7653*100000+(C7653-DATE(2000,1,1))+ROW()/100000)</f>
        <v/>
      </c>
      <c r="F7653" s="46">
        <f>IF(E7653="","",IF(C7653&gt;WeekEndDate,"",E7653))</f>
        <v/>
      </c>
    </row>
    <row r="7654">
      <c r="A7654" t="inlineStr">
        <is>
          <t>Warranty &amp; Maintenance</t>
        </is>
      </c>
      <c r="B7654" s="46">
        <f>'Warranty &amp; Maintenance'!N619</f>
        <v/>
      </c>
      <c r="C7654" s="84">
        <f>'Warranty &amp; Maintenance'!L619</f>
        <v/>
      </c>
      <c r="D7654" s="46">
        <f>'Warranty &amp; Maintenance'!M619</f>
        <v/>
      </c>
      <c r="E7654" s="46">
        <f>IF(OR(B7654="",C7654="",D7654=""),"",D7654*100000+(C7654-DATE(2000,1,1))+ROW()/100000)</f>
        <v/>
      </c>
      <c r="F7654" s="46">
        <f>IF(E7654="","",IF(C7654&gt;WeekEndDate,"",E7654))</f>
        <v/>
      </c>
    </row>
    <row r="7655">
      <c r="A7655" t="inlineStr">
        <is>
          <t>Warranty &amp; Maintenance</t>
        </is>
      </c>
      <c r="B7655" s="46">
        <f>'Warranty &amp; Maintenance'!N620</f>
        <v/>
      </c>
      <c r="C7655" s="84">
        <f>'Warranty &amp; Maintenance'!L620</f>
        <v/>
      </c>
      <c r="D7655" s="46">
        <f>'Warranty &amp; Maintenance'!M620</f>
        <v/>
      </c>
      <c r="E7655" s="46">
        <f>IF(OR(B7655="",C7655="",D7655=""),"",D7655*100000+(C7655-DATE(2000,1,1))+ROW()/100000)</f>
        <v/>
      </c>
      <c r="F7655" s="46">
        <f>IF(E7655="","",IF(C7655&gt;WeekEndDate,"",E7655))</f>
        <v/>
      </c>
    </row>
    <row r="7656">
      <c r="A7656" t="inlineStr">
        <is>
          <t>Warranty &amp; Maintenance</t>
        </is>
      </c>
      <c r="B7656" s="46">
        <f>'Warranty &amp; Maintenance'!N621</f>
        <v/>
      </c>
      <c r="C7656" s="84">
        <f>'Warranty &amp; Maintenance'!L621</f>
        <v/>
      </c>
      <c r="D7656" s="46">
        <f>'Warranty &amp; Maintenance'!M621</f>
        <v/>
      </c>
      <c r="E7656" s="46">
        <f>IF(OR(B7656="",C7656="",D7656=""),"",D7656*100000+(C7656-DATE(2000,1,1))+ROW()/100000)</f>
        <v/>
      </c>
      <c r="F7656" s="46">
        <f>IF(E7656="","",IF(C7656&gt;WeekEndDate,"",E7656))</f>
        <v/>
      </c>
    </row>
    <row r="7657">
      <c r="A7657" t="inlineStr">
        <is>
          <t>Warranty &amp; Maintenance</t>
        </is>
      </c>
      <c r="B7657" s="46">
        <f>'Warranty &amp; Maintenance'!N622</f>
        <v/>
      </c>
      <c r="C7657" s="84">
        <f>'Warranty &amp; Maintenance'!L622</f>
        <v/>
      </c>
      <c r="D7657" s="46">
        <f>'Warranty &amp; Maintenance'!M622</f>
        <v/>
      </c>
      <c r="E7657" s="46">
        <f>IF(OR(B7657="",C7657="",D7657=""),"",D7657*100000+(C7657-DATE(2000,1,1))+ROW()/100000)</f>
        <v/>
      </c>
      <c r="F7657" s="46">
        <f>IF(E7657="","",IF(C7657&gt;WeekEndDate,"",E7657))</f>
        <v/>
      </c>
    </row>
    <row r="7658">
      <c r="A7658" t="inlineStr">
        <is>
          <t>Warranty &amp; Maintenance</t>
        </is>
      </c>
      <c r="B7658" s="46">
        <f>'Warranty &amp; Maintenance'!N623</f>
        <v/>
      </c>
      <c r="C7658" s="84">
        <f>'Warranty &amp; Maintenance'!L623</f>
        <v/>
      </c>
      <c r="D7658" s="46">
        <f>'Warranty &amp; Maintenance'!M623</f>
        <v/>
      </c>
      <c r="E7658" s="46">
        <f>IF(OR(B7658="",C7658="",D7658=""),"",D7658*100000+(C7658-DATE(2000,1,1))+ROW()/100000)</f>
        <v/>
      </c>
      <c r="F7658" s="46">
        <f>IF(E7658="","",IF(C7658&gt;WeekEndDate,"",E7658))</f>
        <v/>
      </c>
    </row>
    <row r="7659">
      <c r="A7659" t="inlineStr">
        <is>
          <t>Warranty &amp; Maintenance</t>
        </is>
      </c>
      <c r="B7659" s="46">
        <f>'Warranty &amp; Maintenance'!N624</f>
        <v/>
      </c>
      <c r="C7659" s="84">
        <f>'Warranty &amp; Maintenance'!L624</f>
        <v/>
      </c>
      <c r="D7659" s="46">
        <f>'Warranty &amp; Maintenance'!M624</f>
        <v/>
      </c>
      <c r="E7659" s="46">
        <f>IF(OR(B7659="",C7659="",D7659=""),"",D7659*100000+(C7659-DATE(2000,1,1))+ROW()/100000)</f>
        <v/>
      </c>
      <c r="F7659" s="46">
        <f>IF(E7659="","",IF(C7659&gt;WeekEndDate,"",E7659))</f>
        <v/>
      </c>
    </row>
    <row r="7660">
      <c r="A7660" t="inlineStr">
        <is>
          <t>Warranty &amp; Maintenance</t>
        </is>
      </c>
      <c r="B7660" s="46">
        <f>'Warranty &amp; Maintenance'!N625</f>
        <v/>
      </c>
      <c r="C7660" s="84">
        <f>'Warranty &amp; Maintenance'!L625</f>
        <v/>
      </c>
      <c r="D7660" s="46">
        <f>'Warranty &amp; Maintenance'!M625</f>
        <v/>
      </c>
      <c r="E7660" s="46">
        <f>IF(OR(B7660="",C7660="",D7660=""),"",D7660*100000+(C7660-DATE(2000,1,1))+ROW()/100000)</f>
        <v/>
      </c>
      <c r="F7660" s="46">
        <f>IF(E7660="","",IF(C7660&gt;WeekEndDate,"",E7660))</f>
        <v/>
      </c>
    </row>
    <row r="7661">
      <c r="A7661" t="inlineStr">
        <is>
          <t>Warranty &amp; Maintenance</t>
        </is>
      </c>
      <c r="B7661" s="46">
        <f>'Warranty &amp; Maintenance'!N626</f>
        <v/>
      </c>
      <c r="C7661" s="84">
        <f>'Warranty &amp; Maintenance'!L626</f>
        <v/>
      </c>
      <c r="D7661" s="46">
        <f>'Warranty &amp; Maintenance'!M626</f>
        <v/>
      </c>
      <c r="E7661" s="46">
        <f>IF(OR(B7661="",C7661="",D7661=""),"",D7661*100000+(C7661-DATE(2000,1,1))+ROW()/100000)</f>
        <v/>
      </c>
      <c r="F7661" s="46">
        <f>IF(E7661="","",IF(C7661&gt;WeekEndDate,"",E7661))</f>
        <v/>
      </c>
    </row>
    <row r="7662">
      <c r="A7662" t="inlineStr">
        <is>
          <t>Warranty &amp; Maintenance</t>
        </is>
      </c>
      <c r="B7662" s="46">
        <f>'Warranty &amp; Maintenance'!N627</f>
        <v/>
      </c>
      <c r="C7662" s="84">
        <f>'Warranty &amp; Maintenance'!L627</f>
        <v/>
      </c>
      <c r="D7662" s="46">
        <f>'Warranty &amp; Maintenance'!M627</f>
        <v/>
      </c>
      <c r="E7662" s="46">
        <f>IF(OR(B7662="",C7662="",D7662=""),"",D7662*100000+(C7662-DATE(2000,1,1))+ROW()/100000)</f>
        <v/>
      </c>
      <c r="F7662" s="46">
        <f>IF(E7662="","",IF(C7662&gt;WeekEndDate,"",E7662))</f>
        <v/>
      </c>
    </row>
    <row r="7663">
      <c r="A7663" t="inlineStr">
        <is>
          <t>Warranty &amp; Maintenance</t>
        </is>
      </c>
      <c r="B7663" s="46">
        <f>'Warranty &amp; Maintenance'!N628</f>
        <v/>
      </c>
      <c r="C7663" s="84">
        <f>'Warranty &amp; Maintenance'!L628</f>
        <v/>
      </c>
      <c r="D7663" s="46">
        <f>'Warranty &amp; Maintenance'!M628</f>
        <v/>
      </c>
      <c r="E7663" s="46">
        <f>IF(OR(B7663="",C7663="",D7663=""),"",D7663*100000+(C7663-DATE(2000,1,1))+ROW()/100000)</f>
        <v/>
      </c>
      <c r="F7663" s="46">
        <f>IF(E7663="","",IF(C7663&gt;WeekEndDate,"",E7663))</f>
        <v/>
      </c>
    </row>
    <row r="7664">
      <c r="A7664" t="inlineStr">
        <is>
          <t>Warranty &amp; Maintenance</t>
        </is>
      </c>
      <c r="B7664" s="46">
        <f>'Warranty &amp; Maintenance'!N629</f>
        <v/>
      </c>
      <c r="C7664" s="84">
        <f>'Warranty &amp; Maintenance'!L629</f>
        <v/>
      </c>
      <c r="D7664" s="46">
        <f>'Warranty &amp; Maintenance'!M629</f>
        <v/>
      </c>
      <c r="E7664" s="46">
        <f>IF(OR(B7664="",C7664="",D7664=""),"",D7664*100000+(C7664-DATE(2000,1,1))+ROW()/100000)</f>
        <v/>
      </c>
      <c r="F7664" s="46">
        <f>IF(E7664="","",IF(C7664&gt;WeekEndDate,"",E7664))</f>
        <v/>
      </c>
    </row>
    <row r="7665">
      <c r="A7665" t="inlineStr">
        <is>
          <t>Warranty &amp; Maintenance</t>
        </is>
      </c>
      <c r="B7665" s="46">
        <f>'Warranty &amp; Maintenance'!N630</f>
        <v/>
      </c>
      <c r="C7665" s="84">
        <f>'Warranty &amp; Maintenance'!L630</f>
        <v/>
      </c>
      <c r="D7665" s="46">
        <f>'Warranty &amp; Maintenance'!M630</f>
        <v/>
      </c>
      <c r="E7665" s="46">
        <f>IF(OR(B7665="",C7665="",D7665=""),"",D7665*100000+(C7665-DATE(2000,1,1))+ROW()/100000)</f>
        <v/>
      </c>
      <c r="F7665" s="46">
        <f>IF(E7665="","",IF(C7665&gt;WeekEndDate,"",E7665))</f>
        <v/>
      </c>
    </row>
    <row r="7666">
      <c r="A7666" t="inlineStr">
        <is>
          <t>Warranty &amp; Maintenance</t>
        </is>
      </c>
      <c r="B7666" s="46">
        <f>'Warranty &amp; Maintenance'!N631</f>
        <v/>
      </c>
      <c r="C7666" s="84">
        <f>'Warranty &amp; Maintenance'!L631</f>
        <v/>
      </c>
      <c r="D7666" s="46">
        <f>'Warranty &amp; Maintenance'!M631</f>
        <v/>
      </c>
      <c r="E7666" s="46">
        <f>IF(OR(B7666="",C7666="",D7666=""),"",D7666*100000+(C7666-DATE(2000,1,1))+ROW()/100000)</f>
        <v/>
      </c>
      <c r="F7666" s="46">
        <f>IF(E7666="","",IF(C7666&gt;WeekEndDate,"",E7666))</f>
        <v/>
      </c>
    </row>
    <row r="7667">
      <c r="A7667" t="inlineStr">
        <is>
          <t>Warranty &amp; Maintenance</t>
        </is>
      </c>
      <c r="B7667" s="46">
        <f>'Warranty &amp; Maintenance'!N632</f>
        <v/>
      </c>
      <c r="C7667" s="84">
        <f>'Warranty &amp; Maintenance'!L632</f>
        <v/>
      </c>
      <c r="D7667" s="46">
        <f>'Warranty &amp; Maintenance'!M632</f>
        <v/>
      </c>
      <c r="E7667" s="46">
        <f>IF(OR(B7667="",C7667="",D7667=""),"",D7667*100000+(C7667-DATE(2000,1,1))+ROW()/100000)</f>
        <v/>
      </c>
      <c r="F7667" s="46">
        <f>IF(E7667="","",IF(C7667&gt;WeekEndDate,"",E7667))</f>
        <v/>
      </c>
    </row>
    <row r="7668">
      <c r="A7668" t="inlineStr">
        <is>
          <t>Warranty &amp; Maintenance</t>
        </is>
      </c>
      <c r="B7668" s="46">
        <f>'Warranty &amp; Maintenance'!N633</f>
        <v/>
      </c>
      <c r="C7668" s="84">
        <f>'Warranty &amp; Maintenance'!L633</f>
        <v/>
      </c>
      <c r="D7668" s="46">
        <f>'Warranty &amp; Maintenance'!M633</f>
        <v/>
      </c>
      <c r="E7668" s="46">
        <f>IF(OR(B7668="",C7668="",D7668=""),"",D7668*100000+(C7668-DATE(2000,1,1))+ROW()/100000)</f>
        <v/>
      </c>
      <c r="F7668" s="46">
        <f>IF(E7668="","",IF(C7668&gt;WeekEndDate,"",E7668))</f>
        <v/>
      </c>
    </row>
    <row r="7669">
      <c r="A7669" t="inlineStr">
        <is>
          <t>Warranty &amp; Maintenance</t>
        </is>
      </c>
      <c r="B7669" s="46">
        <f>'Warranty &amp; Maintenance'!N634</f>
        <v/>
      </c>
      <c r="C7669" s="84">
        <f>'Warranty &amp; Maintenance'!L634</f>
        <v/>
      </c>
      <c r="D7669" s="46">
        <f>'Warranty &amp; Maintenance'!M634</f>
        <v/>
      </c>
      <c r="E7669" s="46">
        <f>IF(OR(B7669="",C7669="",D7669=""),"",D7669*100000+(C7669-DATE(2000,1,1))+ROW()/100000)</f>
        <v/>
      </c>
      <c r="F7669" s="46">
        <f>IF(E7669="","",IF(C7669&gt;WeekEndDate,"",E7669))</f>
        <v/>
      </c>
    </row>
    <row r="7670">
      <c r="A7670" t="inlineStr">
        <is>
          <t>Warranty &amp; Maintenance</t>
        </is>
      </c>
      <c r="B7670" s="46">
        <f>'Warranty &amp; Maintenance'!N635</f>
        <v/>
      </c>
      <c r="C7670" s="84">
        <f>'Warranty &amp; Maintenance'!L635</f>
        <v/>
      </c>
      <c r="D7670" s="46">
        <f>'Warranty &amp; Maintenance'!M635</f>
        <v/>
      </c>
      <c r="E7670" s="46">
        <f>IF(OR(B7670="",C7670="",D7670=""),"",D7670*100000+(C7670-DATE(2000,1,1))+ROW()/100000)</f>
        <v/>
      </c>
      <c r="F7670" s="46">
        <f>IF(E7670="","",IF(C7670&gt;WeekEndDate,"",E7670))</f>
        <v/>
      </c>
    </row>
    <row r="7671">
      <c r="A7671" t="inlineStr">
        <is>
          <t>Warranty &amp; Maintenance</t>
        </is>
      </c>
      <c r="B7671" s="46">
        <f>'Warranty &amp; Maintenance'!N636</f>
        <v/>
      </c>
      <c r="C7671" s="84">
        <f>'Warranty &amp; Maintenance'!L636</f>
        <v/>
      </c>
      <c r="D7671" s="46">
        <f>'Warranty &amp; Maintenance'!M636</f>
        <v/>
      </c>
      <c r="E7671" s="46">
        <f>IF(OR(B7671="",C7671="",D7671=""),"",D7671*100000+(C7671-DATE(2000,1,1))+ROW()/100000)</f>
        <v/>
      </c>
      <c r="F7671" s="46">
        <f>IF(E7671="","",IF(C7671&gt;WeekEndDate,"",E7671))</f>
        <v/>
      </c>
    </row>
    <row r="7672">
      <c r="A7672" t="inlineStr">
        <is>
          <t>Warranty &amp; Maintenance</t>
        </is>
      </c>
      <c r="B7672" s="46">
        <f>'Warranty &amp; Maintenance'!N637</f>
        <v/>
      </c>
      <c r="C7672" s="84">
        <f>'Warranty &amp; Maintenance'!L637</f>
        <v/>
      </c>
      <c r="D7672" s="46">
        <f>'Warranty &amp; Maintenance'!M637</f>
        <v/>
      </c>
      <c r="E7672" s="46">
        <f>IF(OR(B7672="",C7672="",D7672=""),"",D7672*100000+(C7672-DATE(2000,1,1))+ROW()/100000)</f>
        <v/>
      </c>
      <c r="F7672" s="46">
        <f>IF(E7672="","",IF(C7672&gt;WeekEndDate,"",E7672))</f>
        <v/>
      </c>
    </row>
    <row r="7673">
      <c r="A7673" t="inlineStr">
        <is>
          <t>Warranty &amp; Maintenance</t>
        </is>
      </c>
      <c r="B7673" s="46">
        <f>'Warranty &amp; Maintenance'!N638</f>
        <v/>
      </c>
      <c r="C7673" s="84">
        <f>'Warranty &amp; Maintenance'!L638</f>
        <v/>
      </c>
      <c r="D7673" s="46">
        <f>'Warranty &amp; Maintenance'!M638</f>
        <v/>
      </c>
      <c r="E7673" s="46">
        <f>IF(OR(B7673="",C7673="",D7673=""),"",D7673*100000+(C7673-DATE(2000,1,1))+ROW()/100000)</f>
        <v/>
      </c>
      <c r="F7673" s="46">
        <f>IF(E7673="","",IF(C7673&gt;WeekEndDate,"",E7673))</f>
        <v/>
      </c>
    </row>
    <row r="7674">
      <c r="A7674" t="inlineStr">
        <is>
          <t>Warranty &amp; Maintenance</t>
        </is>
      </c>
      <c r="B7674" s="46">
        <f>'Warranty &amp; Maintenance'!N639</f>
        <v/>
      </c>
      <c r="C7674" s="84">
        <f>'Warranty &amp; Maintenance'!L639</f>
        <v/>
      </c>
      <c r="D7674" s="46">
        <f>'Warranty &amp; Maintenance'!M639</f>
        <v/>
      </c>
      <c r="E7674" s="46">
        <f>IF(OR(B7674="",C7674="",D7674=""),"",D7674*100000+(C7674-DATE(2000,1,1))+ROW()/100000)</f>
        <v/>
      </c>
      <c r="F7674" s="46">
        <f>IF(E7674="","",IF(C7674&gt;WeekEndDate,"",E7674))</f>
        <v/>
      </c>
    </row>
    <row r="7675">
      <c r="A7675" t="inlineStr">
        <is>
          <t>Warranty &amp; Maintenance</t>
        </is>
      </c>
      <c r="B7675" s="46">
        <f>'Warranty &amp; Maintenance'!N640</f>
        <v/>
      </c>
      <c r="C7675" s="84">
        <f>'Warranty &amp; Maintenance'!L640</f>
        <v/>
      </c>
      <c r="D7675" s="46">
        <f>'Warranty &amp; Maintenance'!M640</f>
        <v/>
      </c>
      <c r="E7675" s="46">
        <f>IF(OR(B7675="",C7675="",D7675=""),"",D7675*100000+(C7675-DATE(2000,1,1))+ROW()/100000)</f>
        <v/>
      </c>
      <c r="F7675" s="46">
        <f>IF(E7675="","",IF(C7675&gt;WeekEndDate,"",E7675))</f>
        <v/>
      </c>
    </row>
    <row r="7676">
      <c r="A7676" t="inlineStr">
        <is>
          <t>Warranty &amp; Maintenance</t>
        </is>
      </c>
      <c r="B7676" s="46">
        <f>'Warranty &amp; Maintenance'!N641</f>
        <v/>
      </c>
      <c r="C7676" s="84">
        <f>'Warranty &amp; Maintenance'!L641</f>
        <v/>
      </c>
      <c r="D7676" s="46">
        <f>'Warranty &amp; Maintenance'!M641</f>
        <v/>
      </c>
      <c r="E7676" s="46">
        <f>IF(OR(B7676="",C7676="",D7676=""),"",D7676*100000+(C7676-DATE(2000,1,1))+ROW()/100000)</f>
        <v/>
      </c>
      <c r="F7676" s="46">
        <f>IF(E7676="","",IF(C7676&gt;WeekEndDate,"",E7676))</f>
        <v/>
      </c>
    </row>
    <row r="7677">
      <c r="A7677" t="inlineStr">
        <is>
          <t>Warranty &amp; Maintenance</t>
        </is>
      </c>
      <c r="B7677" s="46">
        <f>'Warranty &amp; Maintenance'!N642</f>
        <v/>
      </c>
      <c r="C7677" s="84">
        <f>'Warranty &amp; Maintenance'!L642</f>
        <v/>
      </c>
      <c r="D7677" s="46">
        <f>'Warranty &amp; Maintenance'!M642</f>
        <v/>
      </c>
      <c r="E7677" s="46">
        <f>IF(OR(B7677="",C7677="",D7677=""),"",D7677*100000+(C7677-DATE(2000,1,1))+ROW()/100000)</f>
        <v/>
      </c>
      <c r="F7677" s="46">
        <f>IF(E7677="","",IF(C7677&gt;WeekEndDate,"",E7677))</f>
        <v/>
      </c>
    </row>
    <row r="7678">
      <c r="A7678" t="inlineStr">
        <is>
          <t>Warranty &amp; Maintenance</t>
        </is>
      </c>
      <c r="B7678" s="46">
        <f>'Warranty &amp; Maintenance'!N643</f>
        <v/>
      </c>
      <c r="C7678" s="84">
        <f>'Warranty &amp; Maintenance'!L643</f>
        <v/>
      </c>
      <c r="D7678" s="46">
        <f>'Warranty &amp; Maintenance'!M643</f>
        <v/>
      </c>
      <c r="E7678" s="46">
        <f>IF(OR(B7678="",C7678="",D7678=""),"",D7678*100000+(C7678-DATE(2000,1,1))+ROW()/100000)</f>
        <v/>
      </c>
      <c r="F7678" s="46">
        <f>IF(E7678="","",IF(C7678&gt;WeekEndDate,"",E7678))</f>
        <v/>
      </c>
    </row>
    <row r="7679">
      <c r="A7679" t="inlineStr">
        <is>
          <t>Warranty &amp; Maintenance</t>
        </is>
      </c>
      <c r="B7679" s="46">
        <f>'Warranty &amp; Maintenance'!N644</f>
        <v/>
      </c>
      <c r="C7679" s="84">
        <f>'Warranty &amp; Maintenance'!L644</f>
        <v/>
      </c>
      <c r="D7679" s="46">
        <f>'Warranty &amp; Maintenance'!M644</f>
        <v/>
      </c>
      <c r="E7679" s="46">
        <f>IF(OR(B7679="",C7679="",D7679=""),"",D7679*100000+(C7679-DATE(2000,1,1))+ROW()/100000)</f>
        <v/>
      </c>
      <c r="F7679" s="46">
        <f>IF(E7679="","",IF(C7679&gt;WeekEndDate,"",E7679))</f>
        <v/>
      </c>
    </row>
    <row r="7680">
      <c r="A7680" t="inlineStr">
        <is>
          <t>Warranty &amp; Maintenance</t>
        </is>
      </c>
      <c r="B7680" s="46">
        <f>'Warranty &amp; Maintenance'!N645</f>
        <v/>
      </c>
      <c r="C7680" s="84">
        <f>'Warranty &amp; Maintenance'!L645</f>
        <v/>
      </c>
      <c r="D7680" s="46">
        <f>'Warranty &amp; Maintenance'!M645</f>
        <v/>
      </c>
      <c r="E7680" s="46">
        <f>IF(OR(B7680="",C7680="",D7680=""),"",D7680*100000+(C7680-DATE(2000,1,1))+ROW()/100000)</f>
        <v/>
      </c>
      <c r="F7680" s="46">
        <f>IF(E7680="","",IF(C7680&gt;WeekEndDate,"",E7680))</f>
        <v/>
      </c>
    </row>
    <row r="7681">
      <c r="A7681" t="inlineStr">
        <is>
          <t>Warranty &amp; Maintenance</t>
        </is>
      </c>
      <c r="B7681" s="46">
        <f>'Warranty &amp; Maintenance'!N646</f>
        <v/>
      </c>
      <c r="C7681" s="84">
        <f>'Warranty &amp; Maintenance'!L646</f>
        <v/>
      </c>
      <c r="D7681" s="46">
        <f>'Warranty &amp; Maintenance'!M646</f>
        <v/>
      </c>
      <c r="E7681" s="46">
        <f>IF(OR(B7681="",C7681="",D7681=""),"",D7681*100000+(C7681-DATE(2000,1,1))+ROW()/100000)</f>
        <v/>
      </c>
      <c r="F7681" s="46">
        <f>IF(E7681="","",IF(C7681&gt;WeekEndDate,"",E7681))</f>
        <v/>
      </c>
    </row>
    <row r="7682">
      <c r="A7682" t="inlineStr">
        <is>
          <t>Warranty &amp; Maintenance</t>
        </is>
      </c>
      <c r="B7682" s="46">
        <f>'Warranty &amp; Maintenance'!N647</f>
        <v/>
      </c>
      <c r="C7682" s="84">
        <f>'Warranty &amp; Maintenance'!L647</f>
        <v/>
      </c>
      <c r="D7682" s="46">
        <f>'Warranty &amp; Maintenance'!M647</f>
        <v/>
      </c>
      <c r="E7682" s="46">
        <f>IF(OR(B7682="",C7682="",D7682=""),"",D7682*100000+(C7682-DATE(2000,1,1))+ROW()/100000)</f>
        <v/>
      </c>
      <c r="F7682" s="46">
        <f>IF(E7682="","",IF(C7682&gt;WeekEndDate,"",E7682))</f>
        <v/>
      </c>
    </row>
    <row r="7683">
      <c r="A7683" t="inlineStr">
        <is>
          <t>Warranty &amp; Maintenance</t>
        </is>
      </c>
      <c r="B7683" s="46">
        <f>'Warranty &amp; Maintenance'!N648</f>
        <v/>
      </c>
      <c r="C7683" s="84">
        <f>'Warranty &amp; Maintenance'!L648</f>
        <v/>
      </c>
      <c r="D7683" s="46">
        <f>'Warranty &amp; Maintenance'!M648</f>
        <v/>
      </c>
      <c r="E7683" s="46">
        <f>IF(OR(B7683="",C7683="",D7683=""),"",D7683*100000+(C7683-DATE(2000,1,1))+ROW()/100000)</f>
        <v/>
      </c>
      <c r="F7683" s="46">
        <f>IF(E7683="","",IF(C7683&gt;WeekEndDate,"",E7683))</f>
        <v/>
      </c>
    </row>
    <row r="7684">
      <c r="A7684" t="inlineStr">
        <is>
          <t>Warranty &amp; Maintenance</t>
        </is>
      </c>
      <c r="B7684" s="46">
        <f>'Warranty &amp; Maintenance'!N649</f>
        <v/>
      </c>
      <c r="C7684" s="84">
        <f>'Warranty &amp; Maintenance'!L649</f>
        <v/>
      </c>
      <c r="D7684" s="46">
        <f>'Warranty &amp; Maintenance'!M649</f>
        <v/>
      </c>
      <c r="E7684" s="46">
        <f>IF(OR(B7684="",C7684="",D7684=""),"",D7684*100000+(C7684-DATE(2000,1,1))+ROW()/100000)</f>
        <v/>
      </c>
      <c r="F7684" s="46">
        <f>IF(E7684="","",IF(C7684&gt;WeekEndDate,"",E7684))</f>
        <v/>
      </c>
    </row>
    <row r="7685">
      <c r="A7685" t="inlineStr">
        <is>
          <t>Warranty &amp; Maintenance</t>
        </is>
      </c>
      <c r="B7685" s="46">
        <f>'Warranty &amp; Maintenance'!N650</f>
        <v/>
      </c>
      <c r="C7685" s="84">
        <f>'Warranty &amp; Maintenance'!L650</f>
        <v/>
      </c>
      <c r="D7685" s="46">
        <f>'Warranty &amp; Maintenance'!M650</f>
        <v/>
      </c>
      <c r="E7685" s="46">
        <f>IF(OR(B7685="",C7685="",D7685=""),"",D7685*100000+(C7685-DATE(2000,1,1))+ROW()/100000)</f>
        <v/>
      </c>
      <c r="F7685" s="46">
        <f>IF(E7685="","",IF(C7685&gt;WeekEndDate,"",E7685))</f>
        <v/>
      </c>
    </row>
    <row r="7686">
      <c r="A7686" t="inlineStr">
        <is>
          <t>Warranty &amp; Maintenance</t>
        </is>
      </c>
      <c r="B7686" s="46">
        <f>'Warranty &amp; Maintenance'!N651</f>
        <v/>
      </c>
      <c r="C7686" s="84">
        <f>'Warranty &amp; Maintenance'!L651</f>
        <v/>
      </c>
      <c r="D7686" s="46">
        <f>'Warranty &amp; Maintenance'!M651</f>
        <v/>
      </c>
      <c r="E7686" s="46">
        <f>IF(OR(B7686="",C7686="",D7686=""),"",D7686*100000+(C7686-DATE(2000,1,1))+ROW()/100000)</f>
        <v/>
      </c>
      <c r="F7686" s="46">
        <f>IF(E7686="","",IF(C7686&gt;WeekEndDate,"",E7686))</f>
        <v/>
      </c>
    </row>
    <row r="7687">
      <c r="A7687" t="inlineStr">
        <is>
          <t>Warranty &amp; Maintenance</t>
        </is>
      </c>
      <c r="B7687" s="46">
        <f>'Warranty &amp; Maintenance'!N652</f>
        <v/>
      </c>
      <c r="C7687" s="84">
        <f>'Warranty &amp; Maintenance'!L652</f>
        <v/>
      </c>
      <c r="D7687" s="46">
        <f>'Warranty &amp; Maintenance'!M652</f>
        <v/>
      </c>
      <c r="E7687" s="46">
        <f>IF(OR(B7687="",C7687="",D7687=""),"",D7687*100000+(C7687-DATE(2000,1,1))+ROW()/100000)</f>
        <v/>
      </c>
      <c r="F7687" s="46">
        <f>IF(E7687="","",IF(C7687&gt;WeekEndDate,"",E7687))</f>
        <v/>
      </c>
    </row>
    <row r="7688">
      <c r="A7688" t="inlineStr">
        <is>
          <t>Warranty &amp; Maintenance</t>
        </is>
      </c>
      <c r="B7688" s="46">
        <f>'Warranty &amp; Maintenance'!N653</f>
        <v/>
      </c>
      <c r="C7688" s="84">
        <f>'Warranty &amp; Maintenance'!L653</f>
        <v/>
      </c>
      <c r="D7688" s="46">
        <f>'Warranty &amp; Maintenance'!M653</f>
        <v/>
      </c>
      <c r="E7688" s="46">
        <f>IF(OR(B7688="",C7688="",D7688=""),"",D7688*100000+(C7688-DATE(2000,1,1))+ROW()/100000)</f>
        <v/>
      </c>
      <c r="F7688" s="46">
        <f>IF(E7688="","",IF(C7688&gt;WeekEndDate,"",E7688))</f>
        <v/>
      </c>
    </row>
    <row r="7689">
      <c r="A7689" t="inlineStr">
        <is>
          <t>Warranty &amp; Maintenance</t>
        </is>
      </c>
      <c r="B7689" s="46">
        <f>'Warranty &amp; Maintenance'!N654</f>
        <v/>
      </c>
      <c r="C7689" s="84">
        <f>'Warranty &amp; Maintenance'!L654</f>
        <v/>
      </c>
      <c r="D7689" s="46">
        <f>'Warranty &amp; Maintenance'!M654</f>
        <v/>
      </c>
      <c r="E7689" s="46">
        <f>IF(OR(B7689="",C7689="",D7689=""),"",D7689*100000+(C7689-DATE(2000,1,1))+ROW()/100000)</f>
        <v/>
      </c>
      <c r="F7689" s="46">
        <f>IF(E7689="","",IF(C7689&gt;WeekEndDate,"",E7689))</f>
        <v/>
      </c>
    </row>
    <row r="7690">
      <c r="A7690" t="inlineStr">
        <is>
          <t>Warranty &amp; Maintenance</t>
        </is>
      </c>
      <c r="B7690" s="46">
        <f>'Warranty &amp; Maintenance'!N655</f>
        <v/>
      </c>
      <c r="C7690" s="84">
        <f>'Warranty &amp; Maintenance'!L655</f>
        <v/>
      </c>
      <c r="D7690" s="46">
        <f>'Warranty &amp; Maintenance'!M655</f>
        <v/>
      </c>
      <c r="E7690" s="46">
        <f>IF(OR(B7690="",C7690="",D7690=""),"",D7690*100000+(C7690-DATE(2000,1,1))+ROW()/100000)</f>
        <v/>
      </c>
      <c r="F7690" s="46">
        <f>IF(E7690="","",IF(C7690&gt;WeekEndDate,"",E7690))</f>
        <v/>
      </c>
    </row>
    <row r="7691">
      <c r="A7691" t="inlineStr">
        <is>
          <t>Warranty &amp; Maintenance</t>
        </is>
      </c>
      <c r="B7691" s="46">
        <f>'Warranty &amp; Maintenance'!N656</f>
        <v/>
      </c>
      <c r="C7691" s="84">
        <f>'Warranty &amp; Maintenance'!L656</f>
        <v/>
      </c>
      <c r="D7691" s="46">
        <f>'Warranty &amp; Maintenance'!M656</f>
        <v/>
      </c>
      <c r="E7691" s="46">
        <f>IF(OR(B7691="",C7691="",D7691=""),"",D7691*100000+(C7691-DATE(2000,1,1))+ROW()/100000)</f>
        <v/>
      </c>
      <c r="F7691" s="46">
        <f>IF(E7691="","",IF(C7691&gt;WeekEndDate,"",E7691))</f>
        <v/>
      </c>
    </row>
    <row r="7692">
      <c r="A7692" t="inlineStr">
        <is>
          <t>Warranty &amp; Maintenance</t>
        </is>
      </c>
      <c r="B7692" s="46">
        <f>'Warranty &amp; Maintenance'!N657</f>
        <v/>
      </c>
      <c r="C7692" s="84">
        <f>'Warranty &amp; Maintenance'!L657</f>
        <v/>
      </c>
      <c r="D7692" s="46">
        <f>'Warranty &amp; Maintenance'!M657</f>
        <v/>
      </c>
      <c r="E7692" s="46">
        <f>IF(OR(B7692="",C7692="",D7692=""),"",D7692*100000+(C7692-DATE(2000,1,1))+ROW()/100000)</f>
        <v/>
      </c>
      <c r="F7692" s="46">
        <f>IF(E7692="","",IF(C7692&gt;WeekEndDate,"",E7692))</f>
        <v/>
      </c>
    </row>
    <row r="7693">
      <c r="A7693" t="inlineStr">
        <is>
          <t>Warranty &amp; Maintenance</t>
        </is>
      </c>
      <c r="B7693" s="46">
        <f>'Warranty &amp; Maintenance'!N658</f>
        <v/>
      </c>
      <c r="C7693" s="84">
        <f>'Warranty &amp; Maintenance'!L658</f>
        <v/>
      </c>
      <c r="D7693" s="46">
        <f>'Warranty &amp; Maintenance'!M658</f>
        <v/>
      </c>
      <c r="E7693" s="46">
        <f>IF(OR(B7693="",C7693="",D7693=""),"",D7693*100000+(C7693-DATE(2000,1,1))+ROW()/100000)</f>
        <v/>
      </c>
      <c r="F7693" s="46">
        <f>IF(E7693="","",IF(C7693&gt;WeekEndDate,"",E7693))</f>
        <v/>
      </c>
    </row>
    <row r="7694">
      <c r="A7694" t="inlineStr">
        <is>
          <t>Warranty &amp; Maintenance</t>
        </is>
      </c>
      <c r="B7694" s="46">
        <f>'Warranty &amp; Maintenance'!N659</f>
        <v/>
      </c>
      <c r="C7694" s="84">
        <f>'Warranty &amp; Maintenance'!L659</f>
        <v/>
      </c>
      <c r="D7694" s="46">
        <f>'Warranty &amp; Maintenance'!M659</f>
        <v/>
      </c>
      <c r="E7694" s="46">
        <f>IF(OR(B7694="",C7694="",D7694=""),"",D7694*100000+(C7694-DATE(2000,1,1))+ROW()/100000)</f>
        <v/>
      </c>
      <c r="F7694" s="46">
        <f>IF(E7694="","",IF(C7694&gt;WeekEndDate,"",E7694))</f>
        <v/>
      </c>
    </row>
    <row r="7695">
      <c r="A7695" t="inlineStr">
        <is>
          <t>Warranty &amp; Maintenance</t>
        </is>
      </c>
      <c r="B7695" s="46">
        <f>'Warranty &amp; Maintenance'!N660</f>
        <v/>
      </c>
      <c r="C7695" s="84">
        <f>'Warranty &amp; Maintenance'!L660</f>
        <v/>
      </c>
      <c r="D7695" s="46">
        <f>'Warranty &amp; Maintenance'!M660</f>
        <v/>
      </c>
      <c r="E7695" s="46">
        <f>IF(OR(B7695="",C7695="",D7695=""),"",D7695*100000+(C7695-DATE(2000,1,1))+ROW()/100000)</f>
        <v/>
      </c>
      <c r="F7695" s="46">
        <f>IF(E7695="","",IF(C7695&gt;WeekEndDate,"",E7695))</f>
        <v/>
      </c>
    </row>
    <row r="7696">
      <c r="A7696" t="inlineStr">
        <is>
          <t>Warranty &amp; Maintenance</t>
        </is>
      </c>
      <c r="B7696" s="46">
        <f>'Warranty &amp; Maintenance'!N661</f>
        <v/>
      </c>
      <c r="C7696" s="84">
        <f>'Warranty &amp; Maintenance'!L661</f>
        <v/>
      </c>
      <c r="D7696" s="46">
        <f>'Warranty &amp; Maintenance'!M661</f>
        <v/>
      </c>
      <c r="E7696" s="46">
        <f>IF(OR(B7696="",C7696="",D7696=""),"",D7696*100000+(C7696-DATE(2000,1,1))+ROW()/100000)</f>
        <v/>
      </c>
      <c r="F7696" s="46">
        <f>IF(E7696="","",IF(C7696&gt;WeekEndDate,"",E7696))</f>
        <v/>
      </c>
    </row>
    <row r="7697">
      <c r="A7697" t="inlineStr">
        <is>
          <t>Warranty &amp; Maintenance</t>
        </is>
      </c>
      <c r="B7697" s="46">
        <f>'Warranty &amp; Maintenance'!N662</f>
        <v/>
      </c>
      <c r="C7697" s="84">
        <f>'Warranty &amp; Maintenance'!L662</f>
        <v/>
      </c>
      <c r="D7697" s="46">
        <f>'Warranty &amp; Maintenance'!M662</f>
        <v/>
      </c>
      <c r="E7697" s="46">
        <f>IF(OR(B7697="",C7697="",D7697=""),"",D7697*100000+(C7697-DATE(2000,1,1))+ROW()/100000)</f>
        <v/>
      </c>
      <c r="F7697" s="46">
        <f>IF(E7697="","",IF(C7697&gt;WeekEndDate,"",E7697))</f>
        <v/>
      </c>
    </row>
    <row r="7698">
      <c r="A7698" t="inlineStr">
        <is>
          <t>Warranty &amp; Maintenance</t>
        </is>
      </c>
      <c r="B7698" s="46">
        <f>'Warranty &amp; Maintenance'!N663</f>
        <v/>
      </c>
      <c r="C7698" s="84">
        <f>'Warranty &amp; Maintenance'!L663</f>
        <v/>
      </c>
      <c r="D7698" s="46">
        <f>'Warranty &amp; Maintenance'!M663</f>
        <v/>
      </c>
      <c r="E7698" s="46">
        <f>IF(OR(B7698="",C7698="",D7698=""),"",D7698*100000+(C7698-DATE(2000,1,1))+ROW()/100000)</f>
        <v/>
      </c>
      <c r="F7698" s="46">
        <f>IF(E7698="","",IF(C7698&gt;WeekEndDate,"",E7698))</f>
        <v/>
      </c>
    </row>
    <row r="7699">
      <c r="A7699" t="inlineStr">
        <is>
          <t>Warranty &amp; Maintenance</t>
        </is>
      </c>
      <c r="B7699" s="46">
        <f>'Warranty &amp; Maintenance'!N664</f>
        <v/>
      </c>
      <c r="C7699" s="84">
        <f>'Warranty &amp; Maintenance'!L664</f>
        <v/>
      </c>
      <c r="D7699" s="46">
        <f>'Warranty &amp; Maintenance'!M664</f>
        <v/>
      </c>
      <c r="E7699" s="46">
        <f>IF(OR(B7699="",C7699="",D7699=""),"",D7699*100000+(C7699-DATE(2000,1,1))+ROW()/100000)</f>
        <v/>
      </c>
      <c r="F7699" s="46">
        <f>IF(E7699="","",IF(C7699&gt;WeekEndDate,"",E7699))</f>
        <v/>
      </c>
    </row>
    <row r="7700">
      <c r="A7700" t="inlineStr">
        <is>
          <t>Warranty &amp; Maintenance</t>
        </is>
      </c>
      <c r="B7700" s="46">
        <f>'Warranty &amp; Maintenance'!N665</f>
        <v/>
      </c>
      <c r="C7700" s="84">
        <f>'Warranty &amp; Maintenance'!L665</f>
        <v/>
      </c>
      <c r="D7700" s="46">
        <f>'Warranty &amp; Maintenance'!M665</f>
        <v/>
      </c>
      <c r="E7700" s="46">
        <f>IF(OR(B7700="",C7700="",D7700=""),"",D7700*100000+(C7700-DATE(2000,1,1))+ROW()/100000)</f>
        <v/>
      </c>
      <c r="F7700" s="46">
        <f>IF(E7700="","",IF(C7700&gt;WeekEndDate,"",E7700))</f>
        <v/>
      </c>
    </row>
    <row r="7701">
      <c r="A7701" t="inlineStr">
        <is>
          <t>Warranty &amp; Maintenance</t>
        </is>
      </c>
      <c r="B7701" s="46">
        <f>'Warranty &amp; Maintenance'!N666</f>
        <v/>
      </c>
      <c r="C7701" s="84">
        <f>'Warranty &amp; Maintenance'!L666</f>
        <v/>
      </c>
      <c r="D7701" s="46">
        <f>'Warranty &amp; Maintenance'!M666</f>
        <v/>
      </c>
      <c r="E7701" s="46">
        <f>IF(OR(B7701="",C7701="",D7701=""),"",D7701*100000+(C7701-DATE(2000,1,1))+ROW()/100000)</f>
        <v/>
      </c>
      <c r="F7701" s="46">
        <f>IF(E7701="","",IF(C7701&gt;WeekEndDate,"",E7701))</f>
        <v/>
      </c>
    </row>
    <row r="7702">
      <c r="A7702" t="inlineStr">
        <is>
          <t>Warranty &amp; Maintenance</t>
        </is>
      </c>
      <c r="B7702" s="46">
        <f>'Warranty &amp; Maintenance'!N667</f>
        <v/>
      </c>
      <c r="C7702" s="84">
        <f>'Warranty &amp; Maintenance'!L667</f>
        <v/>
      </c>
      <c r="D7702" s="46">
        <f>'Warranty &amp; Maintenance'!M667</f>
        <v/>
      </c>
      <c r="E7702" s="46">
        <f>IF(OR(B7702="",C7702="",D7702=""),"",D7702*100000+(C7702-DATE(2000,1,1))+ROW()/100000)</f>
        <v/>
      </c>
      <c r="F7702" s="46">
        <f>IF(E7702="","",IF(C7702&gt;WeekEndDate,"",E7702))</f>
        <v/>
      </c>
    </row>
    <row r="7703">
      <c r="A7703" t="inlineStr">
        <is>
          <t>Warranty &amp; Maintenance</t>
        </is>
      </c>
      <c r="B7703" s="46">
        <f>'Warranty &amp; Maintenance'!N668</f>
        <v/>
      </c>
      <c r="C7703" s="84">
        <f>'Warranty &amp; Maintenance'!L668</f>
        <v/>
      </c>
      <c r="D7703" s="46">
        <f>'Warranty &amp; Maintenance'!M668</f>
        <v/>
      </c>
      <c r="E7703" s="46">
        <f>IF(OR(B7703="",C7703="",D7703=""),"",D7703*100000+(C7703-DATE(2000,1,1))+ROW()/100000)</f>
        <v/>
      </c>
      <c r="F7703" s="46">
        <f>IF(E7703="","",IF(C7703&gt;WeekEndDate,"",E7703))</f>
        <v/>
      </c>
    </row>
    <row r="7704">
      <c r="A7704" t="inlineStr">
        <is>
          <t>Warranty &amp; Maintenance</t>
        </is>
      </c>
      <c r="B7704" s="46">
        <f>'Warranty &amp; Maintenance'!N669</f>
        <v/>
      </c>
      <c r="C7704" s="84">
        <f>'Warranty &amp; Maintenance'!L669</f>
        <v/>
      </c>
      <c r="D7704" s="46">
        <f>'Warranty &amp; Maintenance'!M669</f>
        <v/>
      </c>
      <c r="E7704" s="46">
        <f>IF(OR(B7704="",C7704="",D7704=""),"",D7704*100000+(C7704-DATE(2000,1,1))+ROW()/100000)</f>
        <v/>
      </c>
      <c r="F7704" s="46">
        <f>IF(E7704="","",IF(C7704&gt;WeekEndDate,"",E7704))</f>
        <v/>
      </c>
    </row>
    <row r="7705">
      <c r="A7705" t="inlineStr">
        <is>
          <t>Warranty &amp; Maintenance</t>
        </is>
      </c>
      <c r="B7705" s="46">
        <f>'Warranty &amp; Maintenance'!N670</f>
        <v/>
      </c>
      <c r="C7705" s="84">
        <f>'Warranty &amp; Maintenance'!L670</f>
        <v/>
      </c>
      <c r="D7705" s="46">
        <f>'Warranty &amp; Maintenance'!M670</f>
        <v/>
      </c>
      <c r="E7705" s="46">
        <f>IF(OR(B7705="",C7705="",D7705=""),"",D7705*100000+(C7705-DATE(2000,1,1))+ROW()/100000)</f>
        <v/>
      </c>
      <c r="F7705" s="46">
        <f>IF(E7705="","",IF(C7705&gt;WeekEndDate,"",E7705))</f>
        <v/>
      </c>
    </row>
    <row r="7706">
      <c r="A7706" t="inlineStr">
        <is>
          <t>Warranty &amp; Maintenance</t>
        </is>
      </c>
      <c r="B7706" s="46">
        <f>'Warranty &amp; Maintenance'!N671</f>
        <v/>
      </c>
      <c r="C7706" s="84">
        <f>'Warranty &amp; Maintenance'!L671</f>
        <v/>
      </c>
      <c r="D7706" s="46">
        <f>'Warranty &amp; Maintenance'!M671</f>
        <v/>
      </c>
      <c r="E7706" s="46">
        <f>IF(OR(B7706="",C7706="",D7706=""),"",D7706*100000+(C7706-DATE(2000,1,1))+ROW()/100000)</f>
        <v/>
      </c>
      <c r="F7706" s="46">
        <f>IF(E7706="","",IF(C7706&gt;WeekEndDate,"",E7706))</f>
        <v/>
      </c>
    </row>
    <row r="7707">
      <c r="A7707" t="inlineStr">
        <is>
          <t>Warranty &amp; Maintenance</t>
        </is>
      </c>
      <c r="B7707" s="46">
        <f>'Warranty &amp; Maintenance'!N672</f>
        <v/>
      </c>
      <c r="C7707" s="84">
        <f>'Warranty &amp; Maintenance'!L672</f>
        <v/>
      </c>
      <c r="D7707" s="46">
        <f>'Warranty &amp; Maintenance'!M672</f>
        <v/>
      </c>
      <c r="E7707" s="46">
        <f>IF(OR(B7707="",C7707="",D7707=""),"",D7707*100000+(C7707-DATE(2000,1,1))+ROW()/100000)</f>
        <v/>
      </c>
      <c r="F7707" s="46">
        <f>IF(E7707="","",IF(C7707&gt;WeekEndDate,"",E7707))</f>
        <v/>
      </c>
    </row>
    <row r="7708">
      <c r="A7708" t="inlineStr">
        <is>
          <t>Warranty &amp; Maintenance</t>
        </is>
      </c>
      <c r="B7708" s="46">
        <f>'Warranty &amp; Maintenance'!N673</f>
        <v/>
      </c>
      <c r="C7708" s="84">
        <f>'Warranty &amp; Maintenance'!L673</f>
        <v/>
      </c>
      <c r="D7708" s="46">
        <f>'Warranty &amp; Maintenance'!M673</f>
        <v/>
      </c>
      <c r="E7708" s="46">
        <f>IF(OR(B7708="",C7708="",D7708=""),"",D7708*100000+(C7708-DATE(2000,1,1))+ROW()/100000)</f>
        <v/>
      </c>
      <c r="F7708" s="46">
        <f>IF(E7708="","",IF(C7708&gt;WeekEndDate,"",E7708))</f>
        <v/>
      </c>
    </row>
    <row r="7709">
      <c r="A7709" t="inlineStr">
        <is>
          <t>Warranty &amp; Maintenance</t>
        </is>
      </c>
      <c r="B7709" s="46">
        <f>'Warranty &amp; Maintenance'!N674</f>
        <v/>
      </c>
      <c r="C7709" s="84">
        <f>'Warranty &amp; Maintenance'!L674</f>
        <v/>
      </c>
      <c r="D7709" s="46">
        <f>'Warranty &amp; Maintenance'!M674</f>
        <v/>
      </c>
      <c r="E7709" s="46">
        <f>IF(OR(B7709="",C7709="",D7709=""),"",D7709*100000+(C7709-DATE(2000,1,1))+ROW()/100000)</f>
        <v/>
      </c>
      <c r="F7709" s="46">
        <f>IF(E7709="","",IF(C7709&gt;WeekEndDate,"",E7709))</f>
        <v/>
      </c>
    </row>
    <row r="7710">
      <c r="A7710" t="inlineStr">
        <is>
          <t>Warranty &amp; Maintenance</t>
        </is>
      </c>
      <c r="B7710" s="46">
        <f>'Warranty &amp; Maintenance'!N675</f>
        <v/>
      </c>
      <c r="C7710" s="84">
        <f>'Warranty &amp; Maintenance'!L675</f>
        <v/>
      </c>
      <c r="D7710" s="46">
        <f>'Warranty &amp; Maintenance'!M675</f>
        <v/>
      </c>
      <c r="E7710" s="46">
        <f>IF(OR(B7710="",C7710="",D7710=""),"",D7710*100000+(C7710-DATE(2000,1,1))+ROW()/100000)</f>
        <v/>
      </c>
      <c r="F7710" s="46">
        <f>IF(E7710="","",IF(C7710&gt;WeekEndDate,"",E7710))</f>
        <v/>
      </c>
    </row>
    <row r="7711">
      <c r="A7711" t="inlineStr">
        <is>
          <t>Warranty &amp; Maintenance</t>
        </is>
      </c>
      <c r="B7711" s="46">
        <f>'Warranty &amp; Maintenance'!N676</f>
        <v/>
      </c>
      <c r="C7711" s="84">
        <f>'Warranty &amp; Maintenance'!L676</f>
        <v/>
      </c>
      <c r="D7711" s="46">
        <f>'Warranty &amp; Maintenance'!M676</f>
        <v/>
      </c>
      <c r="E7711" s="46">
        <f>IF(OR(B7711="",C7711="",D7711=""),"",D7711*100000+(C7711-DATE(2000,1,1))+ROW()/100000)</f>
        <v/>
      </c>
      <c r="F7711" s="46">
        <f>IF(E7711="","",IF(C7711&gt;WeekEndDate,"",E7711))</f>
        <v/>
      </c>
    </row>
    <row r="7712">
      <c r="A7712" t="inlineStr">
        <is>
          <t>Warranty &amp; Maintenance</t>
        </is>
      </c>
      <c r="B7712" s="46">
        <f>'Warranty &amp; Maintenance'!N677</f>
        <v/>
      </c>
      <c r="C7712" s="84">
        <f>'Warranty &amp; Maintenance'!L677</f>
        <v/>
      </c>
      <c r="D7712" s="46">
        <f>'Warranty &amp; Maintenance'!M677</f>
        <v/>
      </c>
      <c r="E7712" s="46">
        <f>IF(OR(B7712="",C7712="",D7712=""),"",D7712*100000+(C7712-DATE(2000,1,1))+ROW()/100000)</f>
        <v/>
      </c>
      <c r="F7712" s="46">
        <f>IF(E7712="","",IF(C7712&gt;WeekEndDate,"",E7712))</f>
        <v/>
      </c>
    </row>
    <row r="7713">
      <c r="A7713" t="inlineStr">
        <is>
          <t>Warranty &amp; Maintenance</t>
        </is>
      </c>
      <c r="B7713" s="46">
        <f>'Warranty &amp; Maintenance'!N678</f>
        <v/>
      </c>
      <c r="C7713" s="84">
        <f>'Warranty &amp; Maintenance'!L678</f>
        <v/>
      </c>
      <c r="D7713" s="46">
        <f>'Warranty &amp; Maintenance'!M678</f>
        <v/>
      </c>
      <c r="E7713" s="46">
        <f>IF(OR(B7713="",C7713="",D7713=""),"",D7713*100000+(C7713-DATE(2000,1,1))+ROW()/100000)</f>
        <v/>
      </c>
      <c r="F7713" s="46">
        <f>IF(E7713="","",IF(C7713&gt;WeekEndDate,"",E7713))</f>
        <v/>
      </c>
    </row>
    <row r="7714">
      <c r="A7714" t="inlineStr">
        <is>
          <t>Warranty &amp; Maintenance</t>
        </is>
      </c>
      <c r="B7714" s="46">
        <f>'Warranty &amp; Maintenance'!N679</f>
        <v/>
      </c>
      <c r="C7714" s="84">
        <f>'Warranty &amp; Maintenance'!L679</f>
        <v/>
      </c>
      <c r="D7714" s="46">
        <f>'Warranty &amp; Maintenance'!M679</f>
        <v/>
      </c>
      <c r="E7714" s="46">
        <f>IF(OR(B7714="",C7714="",D7714=""),"",D7714*100000+(C7714-DATE(2000,1,1))+ROW()/100000)</f>
        <v/>
      </c>
      <c r="F7714" s="46">
        <f>IF(E7714="","",IF(C7714&gt;WeekEndDate,"",E7714))</f>
        <v/>
      </c>
    </row>
    <row r="7715">
      <c r="A7715" t="inlineStr">
        <is>
          <t>Warranty &amp; Maintenance</t>
        </is>
      </c>
      <c r="B7715" s="46">
        <f>'Warranty &amp; Maintenance'!N680</f>
        <v/>
      </c>
      <c r="C7715" s="84">
        <f>'Warranty &amp; Maintenance'!L680</f>
        <v/>
      </c>
      <c r="D7715" s="46">
        <f>'Warranty &amp; Maintenance'!M680</f>
        <v/>
      </c>
      <c r="E7715" s="46">
        <f>IF(OR(B7715="",C7715="",D7715=""),"",D7715*100000+(C7715-DATE(2000,1,1))+ROW()/100000)</f>
        <v/>
      </c>
      <c r="F7715" s="46">
        <f>IF(E7715="","",IF(C7715&gt;WeekEndDate,"",E7715))</f>
        <v/>
      </c>
    </row>
    <row r="7716">
      <c r="A7716" t="inlineStr">
        <is>
          <t>Warranty &amp; Maintenance</t>
        </is>
      </c>
      <c r="B7716" s="46">
        <f>'Warranty &amp; Maintenance'!N681</f>
        <v/>
      </c>
      <c r="C7716" s="84">
        <f>'Warranty &amp; Maintenance'!L681</f>
        <v/>
      </c>
      <c r="D7716" s="46">
        <f>'Warranty &amp; Maintenance'!M681</f>
        <v/>
      </c>
      <c r="E7716" s="46">
        <f>IF(OR(B7716="",C7716="",D7716=""),"",D7716*100000+(C7716-DATE(2000,1,1))+ROW()/100000)</f>
        <v/>
      </c>
      <c r="F7716" s="46">
        <f>IF(E7716="","",IF(C7716&gt;WeekEndDate,"",E7716))</f>
        <v/>
      </c>
    </row>
    <row r="7717">
      <c r="A7717" t="inlineStr">
        <is>
          <t>Warranty &amp; Maintenance</t>
        </is>
      </c>
      <c r="B7717" s="46">
        <f>'Warranty &amp; Maintenance'!N682</f>
        <v/>
      </c>
      <c r="C7717" s="84">
        <f>'Warranty &amp; Maintenance'!L682</f>
        <v/>
      </c>
      <c r="D7717" s="46">
        <f>'Warranty &amp; Maintenance'!M682</f>
        <v/>
      </c>
      <c r="E7717" s="46">
        <f>IF(OR(B7717="",C7717="",D7717=""),"",D7717*100000+(C7717-DATE(2000,1,1))+ROW()/100000)</f>
        <v/>
      </c>
      <c r="F7717" s="46">
        <f>IF(E7717="","",IF(C7717&gt;WeekEndDate,"",E7717))</f>
        <v/>
      </c>
    </row>
    <row r="7718">
      <c r="A7718" t="inlineStr">
        <is>
          <t>Warranty &amp; Maintenance</t>
        </is>
      </c>
      <c r="B7718" s="46">
        <f>'Warranty &amp; Maintenance'!N683</f>
        <v/>
      </c>
      <c r="C7718" s="84">
        <f>'Warranty &amp; Maintenance'!L683</f>
        <v/>
      </c>
      <c r="D7718" s="46">
        <f>'Warranty &amp; Maintenance'!M683</f>
        <v/>
      </c>
      <c r="E7718" s="46">
        <f>IF(OR(B7718="",C7718="",D7718=""),"",D7718*100000+(C7718-DATE(2000,1,1))+ROW()/100000)</f>
        <v/>
      </c>
      <c r="F7718" s="46">
        <f>IF(E7718="","",IF(C7718&gt;WeekEndDate,"",E7718))</f>
        <v/>
      </c>
    </row>
    <row r="7719">
      <c r="A7719" t="inlineStr">
        <is>
          <t>Warranty &amp; Maintenance</t>
        </is>
      </c>
      <c r="B7719" s="46">
        <f>'Warranty &amp; Maintenance'!N684</f>
        <v/>
      </c>
      <c r="C7719" s="84">
        <f>'Warranty &amp; Maintenance'!L684</f>
        <v/>
      </c>
      <c r="D7719" s="46">
        <f>'Warranty &amp; Maintenance'!M684</f>
        <v/>
      </c>
      <c r="E7719" s="46">
        <f>IF(OR(B7719="",C7719="",D7719=""),"",D7719*100000+(C7719-DATE(2000,1,1))+ROW()/100000)</f>
        <v/>
      </c>
      <c r="F7719" s="46">
        <f>IF(E7719="","",IF(C7719&gt;WeekEndDate,"",E7719))</f>
        <v/>
      </c>
    </row>
    <row r="7720">
      <c r="A7720" t="inlineStr">
        <is>
          <t>Warranty &amp; Maintenance</t>
        </is>
      </c>
      <c r="B7720" s="46">
        <f>'Warranty &amp; Maintenance'!N685</f>
        <v/>
      </c>
      <c r="C7720" s="84">
        <f>'Warranty &amp; Maintenance'!L685</f>
        <v/>
      </c>
      <c r="D7720" s="46">
        <f>'Warranty &amp; Maintenance'!M685</f>
        <v/>
      </c>
      <c r="E7720" s="46">
        <f>IF(OR(B7720="",C7720="",D7720=""),"",D7720*100000+(C7720-DATE(2000,1,1))+ROW()/100000)</f>
        <v/>
      </c>
      <c r="F7720" s="46">
        <f>IF(E7720="","",IF(C7720&gt;WeekEndDate,"",E7720))</f>
        <v/>
      </c>
    </row>
    <row r="7721">
      <c r="A7721" t="inlineStr">
        <is>
          <t>Warranty &amp; Maintenance</t>
        </is>
      </c>
      <c r="B7721" s="46">
        <f>'Warranty &amp; Maintenance'!N686</f>
        <v/>
      </c>
      <c r="C7721" s="84">
        <f>'Warranty &amp; Maintenance'!L686</f>
        <v/>
      </c>
      <c r="D7721" s="46">
        <f>'Warranty &amp; Maintenance'!M686</f>
        <v/>
      </c>
      <c r="E7721" s="46">
        <f>IF(OR(B7721="",C7721="",D7721=""),"",D7721*100000+(C7721-DATE(2000,1,1))+ROW()/100000)</f>
        <v/>
      </c>
      <c r="F7721" s="46">
        <f>IF(E7721="","",IF(C7721&gt;WeekEndDate,"",E7721))</f>
        <v/>
      </c>
    </row>
    <row r="7722">
      <c r="A7722" t="inlineStr">
        <is>
          <t>Warranty &amp; Maintenance</t>
        </is>
      </c>
      <c r="B7722" s="46">
        <f>'Warranty &amp; Maintenance'!N687</f>
        <v/>
      </c>
      <c r="C7722" s="84">
        <f>'Warranty &amp; Maintenance'!L687</f>
        <v/>
      </c>
      <c r="D7722" s="46">
        <f>'Warranty &amp; Maintenance'!M687</f>
        <v/>
      </c>
      <c r="E7722" s="46">
        <f>IF(OR(B7722="",C7722="",D7722=""),"",D7722*100000+(C7722-DATE(2000,1,1))+ROW()/100000)</f>
        <v/>
      </c>
      <c r="F7722" s="46">
        <f>IF(E7722="","",IF(C7722&gt;WeekEndDate,"",E7722))</f>
        <v/>
      </c>
    </row>
    <row r="7723">
      <c r="A7723" t="inlineStr">
        <is>
          <t>Warranty &amp; Maintenance</t>
        </is>
      </c>
      <c r="B7723" s="46">
        <f>'Warranty &amp; Maintenance'!N688</f>
        <v/>
      </c>
      <c r="C7723" s="84">
        <f>'Warranty &amp; Maintenance'!L688</f>
        <v/>
      </c>
      <c r="D7723" s="46">
        <f>'Warranty &amp; Maintenance'!M688</f>
        <v/>
      </c>
      <c r="E7723" s="46">
        <f>IF(OR(B7723="",C7723="",D7723=""),"",D7723*100000+(C7723-DATE(2000,1,1))+ROW()/100000)</f>
        <v/>
      </c>
      <c r="F7723" s="46">
        <f>IF(E7723="","",IF(C7723&gt;WeekEndDate,"",E7723))</f>
        <v/>
      </c>
    </row>
    <row r="7724">
      <c r="A7724" t="inlineStr">
        <is>
          <t>Warranty &amp; Maintenance</t>
        </is>
      </c>
      <c r="B7724" s="46">
        <f>'Warranty &amp; Maintenance'!N689</f>
        <v/>
      </c>
      <c r="C7724" s="84">
        <f>'Warranty &amp; Maintenance'!L689</f>
        <v/>
      </c>
      <c r="D7724" s="46">
        <f>'Warranty &amp; Maintenance'!M689</f>
        <v/>
      </c>
      <c r="E7724" s="46">
        <f>IF(OR(B7724="",C7724="",D7724=""),"",D7724*100000+(C7724-DATE(2000,1,1))+ROW()/100000)</f>
        <v/>
      </c>
      <c r="F7724" s="46">
        <f>IF(E7724="","",IF(C7724&gt;WeekEndDate,"",E7724))</f>
        <v/>
      </c>
    </row>
    <row r="7725">
      <c r="A7725" t="inlineStr">
        <is>
          <t>Warranty &amp; Maintenance</t>
        </is>
      </c>
      <c r="B7725" s="46">
        <f>'Warranty &amp; Maintenance'!N690</f>
        <v/>
      </c>
      <c r="C7725" s="84">
        <f>'Warranty &amp; Maintenance'!L690</f>
        <v/>
      </c>
      <c r="D7725" s="46">
        <f>'Warranty &amp; Maintenance'!M690</f>
        <v/>
      </c>
      <c r="E7725" s="46">
        <f>IF(OR(B7725="",C7725="",D7725=""),"",D7725*100000+(C7725-DATE(2000,1,1))+ROW()/100000)</f>
        <v/>
      </c>
      <c r="F7725" s="46">
        <f>IF(E7725="","",IF(C7725&gt;WeekEndDate,"",E7725))</f>
        <v/>
      </c>
    </row>
    <row r="7726">
      <c r="A7726" t="inlineStr">
        <is>
          <t>Warranty &amp; Maintenance</t>
        </is>
      </c>
      <c r="B7726" s="46">
        <f>'Warranty &amp; Maintenance'!N691</f>
        <v/>
      </c>
      <c r="C7726" s="84">
        <f>'Warranty &amp; Maintenance'!L691</f>
        <v/>
      </c>
      <c r="D7726" s="46">
        <f>'Warranty &amp; Maintenance'!M691</f>
        <v/>
      </c>
      <c r="E7726" s="46">
        <f>IF(OR(B7726="",C7726="",D7726=""),"",D7726*100000+(C7726-DATE(2000,1,1))+ROW()/100000)</f>
        <v/>
      </c>
      <c r="F7726" s="46">
        <f>IF(E7726="","",IF(C7726&gt;WeekEndDate,"",E7726))</f>
        <v/>
      </c>
    </row>
    <row r="7727">
      <c r="A7727" t="inlineStr">
        <is>
          <t>Warranty &amp; Maintenance</t>
        </is>
      </c>
      <c r="B7727" s="46">
        <f>'Warranty &amp; Maintenance'!N692</f>
        <v/>
      </c>
      <c r="C7727" s="84">
        <f>'Warranty &amp; Maintenance'!L692</f>
        <v/>
      </c>
      <c r="D7727" s="46">
        <f>'Warranty &amp; Maintenance'!M692</f>
        <v/>
      </c>
      <c r="E7727" s="46">
        <f>IF(OR(B7727="",C7727="",D7727=""),"",D7727*100000+(C7727-DATE(2000,1,1))+ROW()/100000)</f>
        <v/>
      </c>
      <c r="F7727" s="46">
        <f>IF(E7727="","",IF(C7727&gt;WeekEndDate,"",E7727))</f>
        <v/>
      </c>
    </row>
    <row r="7728">
      <c r="A7728" t="inlineStr">
        <is>
          <t>Warranty &amp; Maintenance</t>
        </is>
      </c>
      <c r="B7728" s="46">
        <f>'Warranty &amp; Maintenance'!N693</f>
        <v/>
      </c>
      <c r="C7728" s="84">
        <f>'Warranty &amp; Maintenance'!L693</f>
        <v/>
      </c>
      <c r="D7728" s="46">
        <f>'Warranty &amp; Maintenance'!M693</f>
        <v/>
      </c>
      <c r="E7728" s="46">
        <f>IF(OR(B7728="",C7728="",D7728=""),"",D7728*100000+(C7728-DATE(2000,1,1))+ROW()/100000)</f>
        <v/>
      </c>
      <c r="F7728" s="46">
        <f>IF(E7728="","",IF(C7728&gt;WeekEndDate,"",E7728))</f>
        <v/>
      </c>
    </row>
    <row r="7729">
      <c r="A7729" t="inlineStr">
        <is>
          <t>Warranty &amp; Maintenance</t>
        </is>
      </c>
      <c r="B7729" s="46">
        <f>'Warranty &amp; Maintenance'!N694</f>
        <v/>
      </c>
      <c r="C7729" s="84">
        <f>'Warranty &amp; Maintenance'!L694</f>
        <v/>
      </c>
      <c r="D7729" s="46">
        <f>'Warranty &amp; Maintenance'!M694</f>
        <v/>
      </c>
      <c r="E7729" s="46">
        <f>IF(OR(B7729="",C7729="",D7729=""),"",D7729*100000+(C7729-DATE(2000,1,1))+ROW()/100000)</f>
        <v/>
      </c>
      <c r="F7729" s="46">
        <f>IF(E7729="","",IF(C7729&gt;WeekEndDate,"",E7729))</f>
        <v/>
      </c>
    </row>
    <row r="7730">
      <c r="A7730" t="inlineStr">
        <is>
          <t>Warranty &amp; Maintenance</t>
        </is>
      </c>
      <c r="B7730" s="46">
        <f>'Warranty &amp; Maintenance'!N695</f>
        <v/>
      </c>
      <c r="C7730" s="84">
        <f>'Warranty &amp; Maintenance'!L695</f>
        <v/>
      </c>
      <c r="D7730" s="46">
        <f>'Warranty &amp; Maintenance'!M695</f>
        <v/>
      </c>
      <c r="E7730" s="46">
        <f>IF(OR(B7730="",C7730="",D7730=""),"",D7730*100000+(C7730-DATE(2000,1,1))+ROW()/100000)</f>
        <v/>
      </c>
      <c r="F7730" s="46">
        <f>IF(E7730="","",IF(C7730&gt;WeekEndDate,"",E7730))</f>
        <v/>
      </c>
    </row>
    <row r="7731">
      <c r="A7731" t="inlineStr">
        <is>
          <t>Warranty &amp; Maintenance</t>
        </is>
      </c>
      <c r="B7731" s="46">
        <f>'Warranty &amp; Maintenance'!N696</f>
        <v/>
      </c>
      <c r="C7731" s="84">
        <f>'Warranty &amp; Maintenance'!L696</f>
        <v/>
      </c>
      <c r="D7731" s="46">
        <f>'Warranty &amp; Maintenance'!M696</f>
        <v/>
      </c>
      <c r="E7731" s="46">
        <f>IF(OR(B7731="",C7731="",D7731=""),"",D7731*100000+(C7731-DATE(2000,1,1))+ROW()/100000)</f>
        <v/>
      </c>
      <c r="F7731" s="46">
        <f>IF(E7731="","",IF(C7731&gt;WeekEndDate,"",E7731))</f>
        <v/>
      </c>
    </row>
    <row r="7732">
      <c r="A7732" t="inlineStr">
        <is>
          <t>Warranty &amp; Maintenance</t>
        </is>
      </c>
      <c r="B7732" s="46">
        <f>'Warranty &amp; Maintenance'!N697</f>
        <v/>
      </c>
      <c r="C7732" s="84">
        <f>'Warranty &amp; Maintenance'!L697</f>
        <v/>
      </c>
      <c r="D7732" s="46">
        <f>'Warranty &amp; Maintenance'!M697</f>
        <v/>
      </c>
      <c r="E7732" s="46">
        <f>IF(OR(B7732="",C7732="",D7732=""),"",D7732*100000+(C7732-DATE(2000,1,1))+ROW()/100000)</f>
        <v/>
      </c>
      <c r="F7732" s="46">
        <f>IF(E7732="","",IF(C7732&gt;WeekEndDate,"",E7732))</f>
        <v/>
      </c>
    </row>
    <row r="7733">
      <c r="A7733" t="inlineStr">
        <is>
          <t>Warranty &amp; Maintenance</t>
        </is>
      </c>
      <c r="B7733" s="46">
        <f>'Warranty &amp; Maintenance'!N698</f>
        <v/>
      </c>
      <c r="C7733" s="84">
        <f>'Warranty &amp; Maintenance'!L698</f>
        <v/>
      </c>
      <c r="D7733" s="46">
        <f>'Warranty &amp; Maintenance'!M698</f>
        <v/>
      </c>
      <c r="E7733" s="46">
        <f>IF(OR(B7733="",C7733="",D7733=""),"",D7733*100000+(C7733-DATE(2000,1,1))+ROW()/100000)</f>
        <v/>
      </c>
      <c r="F7733" s="46">
        <f>IF(E7733="","",IF(C7733&gt;WeekEndDate,"",E7733))</f>
        <v/>
      </c>
    </row>
    <row r="7734">
      <c r="A7734" t="inlineStr">
        <is>
          <t>Warranty &amp; Maintenance</t>
        </is>
      </c>
      <c r="B7734" s="46">
        <f>'Warranty &amp; Maintenance'!N699</f>
        <v/>
      </c>
      <c r="C7734" s="84">
        <f>'Warranty &amp; Maintenance'!L699</f>
        <v/>
      </c>
      <c r="D7734" s="46">
        <f>'Warranty &amp; Maintenance'!M699</f>
        <v/>
      </c>
      <c r="E7734" s="46">
        <f>IF(OR(B7734="",C7734="",D7734=""),"",D7734*100000+(C7734-DATE(2000,1,1))+ROW()/100000)</f>
        <v/>
      </c>
      <c r="F7734" s="46">
        <f>IF(E7734="","",IF(C7734&gt;WeekEndDate,"",E7734))</f>
        <v/>
      </c>
    </row>
    <row r="7735">
      <c r="A7735" t="inlineStr">
        <is>
          <t>Warranty &amp; Maintenance</t>
        </is>
      </c>
      <c r="B7735" s="46">
        <f>'Warranty &amp; Maintenance'!N700</f>
        <v/>
      </c>
      <c r="C7735" s="84">
        <f>'Warranty &amp; Maintenance'!L700</f>
        <v/>
      </c>
      <c r="D7735" s="46">
        <f>'Warranty &amp; Maintenance'!M700</f>
        <v/>
      </c>
      <c r="E7735" s="46">
        <f>IF(OR(B7735="",C7735="",D7735=""),"",D7735*100000+(C7735-DATE(2000,1,1))+ROW()/100000)</f>
        <v/>
      </c>
      <c r="F7735" s="46">
        <f>IF(E7735="","",IF(C7735&gt;WeekEndDate,"",E7735))</f>
        <v/>
      </c>
    </row>
    <row r="7736">
      <c r="A7736" t="inlineStr">
        <is>
          <t>Warranty &amp; Maintenance</t>
        </is>
      </c>
      <c r="B7736" s="46">
        <f>'Warranty &amp; Maintenance'!N701</f>
        <v/>
      </c>
      <c r="C7736" s="84">
        <f>'Warranty &amp; Maintenance'!L701</f>
        <v/>
      </c>
      <c r="D7736" s="46">
        <f>'Warranty &amp; Maintenance'!M701</f>
        <v/>
      </c>
      <c r="E7736" s="46">
        <f>IF(OR(B7736="",C7736="",D7736=""),"",D7736*100000+(C7736-DATE(2000,1,1))+ROW()/100000)</f>
        <v/>
      </c>
      <c r="F7736" s="46">
        <f>IF(E7736="","",IF(C7736&gt;WeekEndDate,"",E7736))</f>
        <v/>
      </c>
    </row>
    <row r="7737">
      <c r="A7737" t="inlineStr">
        <is>
          <t>Warranty &amp; Maintenance</t>
        </is>
      </c>
      <c r="B7737" s="46">
        <f>'Warranty &amp; Maintenance'!N702</f>
        <v/>
      </c>
      <c r="C7737" s="84">
        <f>'Warranty &amp; Maintenance'!L702</f>
        <v/>
      </c>
      <c r="D7737" s="46">
        <f>'Warranty &amp; Maintenance'!M702</f>
        <v/>
      </c>
      <c r="E7737" s="46">
        <f>IF(OR(B7737="",C7737="",D7737=""),"",D7737*100000+(C7737-DATE(2000,1,1))+ROW()/100000)</f>
        <v/>
      </c>
      <c r="F7737" s="46">
        <f>IF(E7737="","",IF(C7737&gt;WeekEndDate,"",E7737))</f>
        <v/>
      </c>
    </row>
    <row r="7738">
      <c r="A7738" t="inlineStr">
        <is>
          <t>Warranty &amp; Maintenance</t>
        </is>
      </c>
      <c r="B7738" s="46">
        <f>'Warranty &amp; Maintenance'!N703</f>
        <v/>
      </c>
      <c r="C7738" s="84">
        <f>'Warranty &amp; Maintenance'!L703</f>
        <v/>
      </c>
      <c r="D7738" s="46">
        <f>'Warranty &amp; Maintenance'!M703</f>
        <v/>
      </c>
      <c r="E7738" s="46">
        <f>IF(OR(B7738="",C7738="",D7738=""),"",D7738*100000+(C7738-DATE(2000,1,1))+ROW()/100000)</f>
        <v/>
      </c>
      <c r="F7738" s="46">
        <f>IF(E7738="","",IF(C7738&gt;WeekEndDate,"",E7738))</f>
        <v/>
      </c>
    </row>
    <row r="7739">
      <c r="A7739" t="inlineStr">
        <is>
          <t>Warranty &amp; Maintenance</t>
        </is>
      </c>
      <c r="B7739" s="46">
        <f>'Warranty &amp; Maintenance'!N704</f>
        <v/>
      </c>
      <c r="C7739" s="84">
        <f>'Warranty &amp; Maintenance'!L704</f>
        <v/>
      </c>
      <c r="D7739" s="46">
        <f>'Warranty &amp; Maintenance'!M704</f>
        <v/>
      </c>
      <c r="E7739" s="46">
        <f>IF(OR(B7739="",C7739="",D7739=""),"",D7739*100000+(C7739-DATE(2000,1,1))+ROW()/100000)</f>
        <v/>
      </c>
      <c r="F7739" s="46">
        <f>IF(E7739="","",IF(C7739&gt;WeekEndDate,"",E7739))</f>
        <v/>
      </c>
    </row>
    <row r="7740">
      <c r="A7740" t="inlineStr">
        <is>
          <t>Warranty &amp; Maintenance</t>
        </is>
      </c>
      <c r="B7740" s="46">
        <f>'Warranty &amp; Maintenance'!N705</f>
        <v/>
      </c>
      <c r="C7740" s="84">
        <f>'Warranty &amp; Maintenance'!L705</f>
        <v/>
      </c>
      <c r="D7740" s="46">
        <f>'Warranty &amp; Maintenance'!M705</f>
        <v/>
      </c>
      <c r="E7740" s="46">
        <f>IF(OR(B7740="",C7740="",D7740=""),"",D7740*100000+(C7740-DATE(2000,1,1))+ROW()/100000)</f>
        <v/>
      </c>
      <c r="F7740" s="46">
        <f>IF(E7740="","",IF(C7740&gt;WeekEndDate,"",E7740))</f>
        <v/>
      </c>
    </row>
    <row r="7741">
      <c r="A7741" t="inlineStr">
        <is>
          <t>Warranty &amp; Maintenance</t>
        </is>
      </c>
      <c r="B7741" s="46">
        <f>'Warranty &amp; Maintenance'!N706</f>
        <v/>
      </c>
      <c r="C7741" s="84">
        <f>'Warranty &amp; Maintenance'!L706</f>
        <v/>
      </c>
      <c r="D7741" s="46">
        <f>'Warranty &amp; Maintenance'!M706</f>
        <v/>
      </c>
      <c r="E7741" s="46">
        <f>IF(OR(B7741="",C7741="",D7741=""),"",D7741*100000+(C7741-DATE(2000,1,1))+ROW()/100000)</f>
        <v/>
      </c>
      <c r="F7741" s="46">
        <f>IF(E7741="","",IF(C7741&gt;WeekEndDate,"",E7741))</f>
        <v/>
      </c>
    </row>
    <row r="7742">
      <c r="A7742" t="inlineStr">
        <is>
          <t>Warranty &amp; Maintenance</t>
        </is>
      </c>
      <c r="B7742" s="46">
        <f>'Warranty &amp; Maintenance'!N707</f>
        <v/>
      </c>
      <c r="C7742" s="84">
        <f>'Warranty &amp; Maintenance'!L707</f>
        <v/>
      </c>
      <c r="D7742" s="46">
        <f>'Warranty &amp; Maintenance'!M707</f>
        <v/>
      </c>
      <c r="E7742" s="46">
        <f>IF(OR(B7742="",C7742="",D7742=""),"",D7742*100000+(C7742-DATE(2000,1,1))+ROW()/100000)</f>
        <v/>
      </c>
      <c r="F7742" s="46">
        <f>IF(E7742="","",IF(C7742&gt;WeekEndDate,"",E7742))</f>
        <v/>
      </c>
    </row>
    <row r="7743">
      <c r="A7743" t="inlineStr">
        <is>
          <t>Warranty &amp; Maintenance</t>
        </is>
      </c>
      <c r="B7743" s="46">
        <f>'Warranty &amp; Maintenance'!N708</f>
        <v/>
      </c>
      <c r="C7743" s="84">
        <f>'Warranty &amp; Maintenance'!L708</f>
        <v/>
      </c>
      <c r="D7743" s="46">
        <f>'Warranty &amp; Maintenance'!M708</f>
        <v/>
      </c>
      <c r="E7743" s="46">
        <f>IF(OR(B7743="",C7743="",D7743=""),"",D7743*100000+(C7743-DATE(2000,1,1))+ROW()/100000)</f>
        <v/>
      </c>
      <c r="F7743" s="46">
        <f>IF(E7743="","",IF(C7743&gt;WeekEndDate,"",E7743))</f>
        <v/>
      </c>
    </row>
    <row r="7744">
      <c r="A7744" t="inlineStr">
        <is>
          <t>Warranty &amp; Maintenance</t>
        </is>
      </c>
      <c r="B7744" s="46">
        <f>'Warranty &amp; Maintenance'!N709</f>
        <v/>
      </c>
      <c r="C7744" s="84">
        <f>'Warranty &amp; Maintenance'!L709</f>
        <v/>
      </c>
      <c r="D7744" s="46">
        <f>'Warranty &amp; Maintenance'!M709</f>
        <v/>
      </c>
      <c r="E7744" s="46">
        <f>IF(OR(B7744="",C7744="",D7744=""),"",D7744*100000+(C7744-DATE(2000,1,1))+ROW()/100000)</f>
        <v/>
      </c>
      <c r="F7744" s="46">
        <f>IF(E7744="","",IF(C7744&gt;WeekEndDate,"",E7744))</f>
        <v/>
      </c>
    </row>
    <row r="7745">
      <c r="A7745" t="inlineStr">
        <is>
          <t>Warranty &amp; Maintenance</t>
        </is>
      </c>
      <c r="B7745" s="46">
        <f>'Warranty &amp; Maintenance'!N710</f>
        <v/>
      </c>
      <c r="C7745" s="84">
        <f>'Warranty &amp; Maintenance'!L710</f>
        <v/>
      </c>
      <c r="D7745" s="46">
        <f>'Warranty &amp; Maintenance'!M710</f>
        <v/>
      </c>
      <c r="E7745" s="46">
        <f>IF(OR(B7745="",C7745="",D7745=""),"",D7745*100000+(C7745-DATE(2000,1,1))+ROW()/100000)</f>
        <v/>
      </c>
      <c r="F7745" s="46">
        <f>IF(E7745="","",IF(C7745&gt;WeekEndDate,"",E7745))</f>
        <v/>
      </c>
    </row>
    <row r="7746">
      <c r="A7746" t="inlineStr">
        <is>
          <t>Warranty &amp; Maintenance</t>
        </is>
      </c>
      <c r="B7746" s="46">
        <f>'Warranty &amp; Maintenance'!N711</f>
        <v/>
      </c>
      <c r="C7746" s="84">
        <f>'Warranty &amp; Maintenance'!L711</f>
        <v/>
      </c>
      <c r="D7746" s="46">
        <f>'Warranty &amp; Maintenance'!M711</f>
        <v/>
      </c>
      <c r="E7746" s="46">
        <f>IF(OR(B7746="",C7746="",D7746=""),"",D7746*100000+(C7746-DATE(2000,1,1))+ROW()/100000)</f>
        <v/>
      </c>
      <c r="F7746" s="46">
        <f>IF(E7746="","",IF(C7746&gt;WeekEndDate,"",E7746))</f>
        <v/>
      </c>
    </row>
    <row r="7747">
      <c r="A7747" t="inlineStr">
        <is>
          <t>Warranty &amp; Maintenance</t>
        </is>
      </c>
      <c r="B7747" s="46">
        <f>'Warranty &amp; Maintenance'!N712</f>
        <v/>
      </c>
      <c r="C7747" s="84">
        <f>'Warranty &amp; Maintenance'!L712</f>
        <v/>
      </c>
      <c r="D7747" s="46">
        <f>'Warranty &amp; Maintenance'!M712</f>
        <v/>
      </c>
      <c r="E7747" s="46">
        <f>IF(OR(B7747="",C7747="",D7747=""),"",D7747*100000+(C7747-DATE(2000,1,1))+ROW()/100000)</f>
        <v/>
      </c>
      <c r="F7747" s="46">
        <f>IF(E7747="","",IF(C7747&gt;WeekEndDate,"",E7747))</f>
        <v/>
      </c>
    </row>
    <row r="7748">
      <c r="A7748" t="inlineStr">
        <is>
          <t>Warranty &amp; Maintenance</t>
        </is>
      </c>
      <c r="B7748" s="46">
        <f>'Warranty &amp; Maintenance'!N713</f>
        <v/>
      </c>
      <c r="C7748" s="84">
        <f>'Warranty &amp; Maintenance'!L713</f>
        <v/>
      </c>
      <c r="D7748" s="46">
        <f>'Warranty &amp; Maintenance'!M713</f>
        <v/>
      </c>
      <c r="E7748" s="46">
        <f>IF(OR(B7748="",C7748="",D7748=""),"",D7748*100000+(C7748-DATE(2000,1,1))+ROW()/100000)</f>
        <v/>
      </c>
      <c r="F7748" s="46">
        <f>IF(E7748="","",IF(C7748&gt;WeekEndDate,"",E7748))</f>
        <v/>
      </c>
    </row>
    <row r="7749">
      <c r="A7749" t="inlineStr">
        <is>
          <t>Warranty &amp; Maintenance</t>
        </is>
      </c>
      <c r="B7749" s="46">
        <f>'Warranty &amp; Maintenance'!N714</f>
        <v/>
      </c>
      <c r="C7749" s="84">
        <f>'Warranty &amp; Maintenance'!L714</f>
        <v/>
      </c>
      <c r="D7749" s="46">
        <f>'Warranty &amp; Maintenance'!M714</f>
        <v/>
      </c>
      <c r="E7749" s="46">
        <f>IF(OR(B7749="",C7749="",D7749=""),"",D7749*100000+(C7749-DATE(2000,1,1))+ROW()/100000)</f>
        <v/>
      </c>
      <c r="F7749" s="46">
        <f>IF(E7749="","",IF(C7749&gt;WeekEndDate,"",E7749))</f>
        <v/>
      </c>
    </row>
    <row r="7750">
      <c r="A7750" t="inlineStr">
        <is>
          <t>Warranty &amp; Maintenance</t>
        </is>
      </c>
      <c r="B7750" s="46">
        <f>'Warranty &amp; Maintenance'!N715</f>
        <v/>
      </c>
      <c r="C7750" s="84">
        <f>'Warranty &amp; Maintenance'!L715</f>
        <v/>
      </c>
      <c r="D7750" s="46">
        <f>'Warranty &amp; Maintenance'!M715</f>
        <v/>
      </c>
      <c r="E7750" s="46">
        <f>IF(OR(B7750="",C7750="",D7750=""),"",D7750*100000+(C7750-DATE(2000,1,1))+ROW()/100000)</f>
        <v/>
      </c>
      <c r="F7750" s="46">
        <f>IF(E7750="","",IF(C7750&gt;WeekEndDate,"",E7750))</f>
        <v/>
      </c>
    </row>
    <row r="7751">
      <c r="A7751" t="inlineStr">
        <is>
          <t>Warranty &amp; Maintenance</t>
        </is>
      </c>
      <c r="B7751" s="46">
        <f>'Warranty &amp; Maintenance'!N716</f>
        <v/>
      </c>
      <c r="C7751" s="84">
        <f>'Warranty &amp; Maintenance'!L716</f>
        <v/>
      </c>
      <c r="D7751" s="46">
        <f>'Warranty &amp; Maintenance'!M716</f>
        <v/>
      </c>
      <c r="E7751" s="46">
        <f>IF(OR(B7751="",C7751="",D7751=""),"",D7751*100000+(C7751-DATE(2000,1,1))+ROW()/100000)</f>
        <v/>
      </c>
      <c r="F7751" s="46">
        <f>IF(E7751="","",IF(C7751&gt;WeekEndDate,"",E7751))</f>
        <v/>
      </c>
    </row>
    <row r="7752">
      <c r="A7752" t="inlineStr">
        <is>
          <t>Warranty &amp; Maintenance</t>
        </is>
      </c>
      <c r="B7752" s="46">
        <f>'Warranty &amp; Maintenance'!N717</f>
        <v/>
      </c>
      <c r="C7752" s="84">
        <f>'Warranty &amp; Maintenance'!L717</f>
        <v/>
      </c>
      <c r="D7752" s="46">
        <f>'Warranty &amp; Maintenance'!M717</f>
        <v/>
      </c>
      <c r="E7752" s="46">
        <f>IF(OR(B7752="",C7752="",D7752=""),"",D7752*100000+(C7752-DATE(2000,1,1))+ROW()/100000)</f>
        <v/>
      </c>
      <c r="F7752" s="46">
        <f>IF(E7752="","",IF(C7752&gt;WeekEndDate,"",E7752))</f>
        <v/>
      </c>
    </row>
    <row r="7753">
      <c r="A7753" t="inlineStr">
        <is>
          <t>Warranty &amp; Maintenance</t>
        </is>
      </c>
      <c r="B7753" s="46">
        <f>'Warranty &amp; Maintenance'!N718</f>
        <v/>
      </c>
      <c r="C7753" s="84">
        <f>'Warranty &amp; Maintenance'!L718</f>
        <v/>
      </c>
      <c r="D7753" s="46">
        <f>'Warranty &amp; Maintenance'!M718</f>
        <v/>
      </c>
      <c r="E7753" s="46">
        <f>IF(OR(B7753="",C7753="",D7753=""),"",D7753*100000+(C7753-DATE(2000,1,1))+ROW()/100000)</f>
        <v/>
      </c>
      <c r="F7753" s="46">
        <f>IF(E7753="","",IF(C7753&gt;WeekEndDate,"",E7753))</f>
        <v/>
      </c>
    </row>
    <row r="7754">
      <c r="A7754" t="inlineStr">
        <is>
          <t>Warranty &amp; Maintenance</t>
        </is>
      </c>
      <c r="B7754" s="46">
        <f>'Warranty &amp; Maintenance'!N719</f>
        <v/>
      </c>
      <c r="C7754" s="84">
        <f>'Warranty &amp; Maintenance'!L719</f>
        <v/>
      </c>
      <c r="D7754" s="46">
        <f>'Warranty &amp; Maintenance'!M719</f>
        <v/>
      </c>
      <c r="E7754" s="46">
        <f>IF(OR(B7754="",C7754="",D7754=""),"",D7754*100000+(C7754-DATE(2000,1,1))+ROW()/100000)</f>
        <v/>
      </c>
      <c r="F7754" s="46">
        <f>IF(E7754="","",IF(C7754&gt;WeekEndDate,"",E7754))</f>
        <v/>
      </c>
    </row>
    <row r="7755">
      <c r="A7755" t="inlineStr">
        <is>
          <t>Warranty &amp; Maintenance</t>
        </is>
      </c>
      <c r="B7755" s="46">
        <f>'Warranty &amp; Maintenance'!N720</f>
        <v/>
      </c>
      <c r="C7755" s="84">
        <f>'Warranty &amp; Maintenance'!L720</f>
        <v/>
      </c>
      <c r="D7755" s="46">
        <f>'Warranty &amp; Maintenance'!M720</f>
        <v/>
      </c>
      <c r="E7755" s="46">
        <f>IF(OR(B7755="",C7755="",D7755=""),"",D7755*100000+(C7755-DATE(2000,1,1))+ROW()/100000)</f>
        <v/>
      </c>
      <c r="F7755" s="46">
        <f>IF(E7755="","",IF(C7755&gt;WeekEndDate,"",E7755))</f>
        <v/>
      </c>
    </row>
    <row r="7756">
      <c r="A7756" t="inlineStr">
        <is>
          <t>Warranty &amp; Maintenance</t>
        </is>
      </c>
      <c r="B7756" s="46">
        <f>'Warranty &amp; Maintenance'!N721</f>
        <v/>
      </c>
      <c r="C7756" s="84">
        <f>'Warranty &amp; Maintenance'!L721</f>
        <v/>
      </c>
      <c r="D7756" s="46">
        <f>'Warranty &amp; Maintenance'!M721</f>
        <v/>
      </c>
      <c r="E7756" s="46">
        <f>IF(OR(B7756="",C7756="",D7756=""),"",D7756*100000+(C7756-DATE(2000,1,1))+ROW()/100000)</f>
        <v/>
      </c>
      <c r="F7756" s="46">
        <f>IF(E7756="","",IF(C7756&gt;WeekEndDate,"",E7756))</f>
        <v/>
      </c>
    </row>
    <row r="7757">
      <c r="A7757" t="inlineStr">
        <is>
          <t>Warranty &amp; Maintenance</t>
        </is>
      </c>
      <c r="B7757" s="46">
        <f>'Warranty &amp; Maintenance'!N722</f>
        <v/>
      </c>
      <c r="C7757" s="84">
        <f>'Warranty &amp; Maintenance'!L722</f>
        <v/>
      </c>
      <c r="D7757" s="46">
        <f>'Warranty &amp; Maintenance'!M722</f>
        <v/>
      </c>
      <c r="E7757" s="46">
        <f>IF(OR(B7757="",C7757="",D7757=""),"",D7757*100000+(C7757-DATE(2000,1,1))+ROW()/100000)</f>
        <v/>
      </c>
      <c r="F7757" s="46">
        <f>IF(E7757="","",IF(C7757&gt;WeekEndDate,"",E7757))</f>
        <v/>
      </c>
    </row>
    <row r="7758">
      <c r="A7758" t="inlineStr">
        <is>
          <t>Warranty &amp; Maintenance</t>
        </is>
      </c>
      <c r="B7758" s="46">
        <f>'Warranty &amp; Maintenance'!N723</f>
        <v/>
      </c>
      <c r="C7758" s="84">
        <f>'Warranty &amp; Maintenance'!L723</f>
        <v/>
      </c>
      <c r="D7758" s="46">
        <f>'Warranty &amp; Maintenance'!M723</f>
        <v/>
      </c>
      <c r="E7758" s="46">
        <f>IF(OR(B7758="",C7758="",D7758=""),"",D7758*100000+(C7758-DATE(2000,1,1))+ROW()/100000)</f>
        <v/>
      </c>
      <c r="F7758" s="46">
        <f>IF(E7758="","",IF(C7758&gt;WeekEndDate,"",E7758))</f>
        <v/>
      </c>
    </row>
    <row r="7759">
      <c r="A7759" t="inlineStr">
        <is>
          <t>Warranty &amp; Maintenance</t>
        </is>
      </c>
      <c r="B7759" s="46">
        <f>'Warranty &amp; Maintenance'!N724</f>
        <v/>
      </c>
      <c r="C7759" s="84">
        <f>'Warranty &amp; Maintenance'!L724</f>
        <v/>
      </c>
      <c r="D7759" s="46">
        <f>'Warranty &amp; Maintenance'!M724</f>
        <v/>
      </c>
      <c r="E7759" s="46">
        <f>IF(OR(B7759="",C7759="",D7759=""),"",D7759*100000+(C7759-DATE(2000,1,1))+ROW()/100000)</f>
        <v/>
      </c>
      <c r="F7759" s="46">
        <f>IF(E7759="","",IF(C7759&gt;WeekEndDate,"",E7759))</f>
        <v/>
      </c>
    </row>
    <row r="7760">
      <c r="A7760" t="inlineStr">
        <is>
          <t>Warranty &amp; Maintenance</t>
        </is>
      </c>
      <c r="B7760" s="46">
        <f>'Warranty &amp; Maintenance'!N725</f>
        <v/>
      </c>
      <c r="C7760" s="84">
        <f>'Warranty &amp; Maintenance'!L725</f>
        <v/>
      </c>
      <c r="D7760" s="46">
        <f>'Warranty &amp; Maintenance'!M725</f>
        <v/>
      </c>
      <c r="E7760" s="46">
        <f>IF(OR(B7760="",C7760="",D7760=""),"",D7760*100000+(C7760-DATE(2000,1,1))+ROW()/100000)</f>
        <v/>
      </c>
      <c r="F7760" s="46">
        <f>IF(E7760="","",IF(C7760&gt;WeekEndDate,"",E7760))</f>
        <v/>
      </c>
    </row>
    <row r="7761">
      <c r="A7761" t="inlineStr">
        <is>
          <t>Warranty &amp; Maintenance</t>
        </is>
      </c>
      <c r="B7761" s="46">
        <f>'Warranty &amp; Maintenance'!N726</f>
        <v/>
      </c>
      <c r="C7761" s="84">
        <f>'Warranty &amp; Maintenance'!L726</f>
        <v/>
      </c>
      <c r="D7761" s="46">
        <f>'Warranty &amp; Maintenance'!M726</f>
        <v/>
      </c>
      <c r="E7761" s="46">
        <f>IF(OR(B7761="",C7761="",D7761=""),"",D7761*100000+(C7761-DATE(2000,1,1))+ROW()/100000)</f>
        <v/>
      </c>
      <c r="F7761" s="46">
        <f>IF(E7761="","",IF(C7761&gt;WeekEndDate,"",E7761))</f>
        <v/>
      </c>
    </row>
    <row r="7762">
      <c r="A7762" t="inlineStr">
        <is>
          <t>Warranty &amp; Maintenance</t>
        </is>
      </c>
      <c r="B7762" s="46">
        <f>'Warranty &amp; Maintenance'!N727</f>
        <v/>
      </c>
      <c r="C7762" s="84">
        <f>'Warranty &amp; Maintenance'!L727</f>
        <v/>
      </c>
      <c r="D7762" s="46">
        <f>'Warranty &amp; Maintenance'!M727</f>
        <v/>
      </c>
      <c r="E7762" s="46">
        <f>IF(OR(B7762="",C7762="",D7762=""),"",D7762*100000+(C7762-DATE(2000,1,1))+ROW()/100000)</f>
        <v/>
      </c>
      <c r="F7762" s="46">
        <f>IF(E7762="","",IF(C7762&gt;WeekEndDate,"",E7762))</f>
        <v/>
      </c>
    </row>
    <row r="7763">
      <c r="A7763" t="inlineStr">
        <is>
          <t>Warranty &amp; Maintenance</t>
        </is>
      </c>
      <c r="B7763" s="46">
        <f>'Warranty &amp; Maintenance'!N728</f>
        <v/>
      </c>
      <c r="C7763" s="84">
        <f>'Warranty &amp; Maintenance'!L728</f>
        <v/>
      </c>
      <c r="D7763" s="46">
        <f>'Warranty &amp; Maintenance'!M728</f>
        <v/>
      </c>
      <c r="E7763" s="46">
        <f>IF(OR(B7763="",C7763="",D7763=""),"",D7763*100000+(C7763-DATE(2000,1,1))+ROW()/100000)</f>
        <v/>
      </c>
      <c r="F7763" s="46">
        <f>IF(E7763="","",IF(C7763&gt;WeekEndDate,"",E7763))</f>
        <v/>
      </c>
    </row>
    <row r="7764">
      <c r="A7764" t="inlineStr">
        <is>
          <t>Warranty &amp; Maintenance</t>
        </is>
      </c>
      <c r="B7764" s="46">
        <f>'Warranty &amp; Maintenance'!N729</f>
        <v/>
      </c>
      <c r="C7764" s="84">
        <f>'Warranty &amp; Maintenance'!L729</f>
        <v/>
      </c>
      <c r="D7764" s="46">
        <f>'Warranty &amp; Maintenance'!M729</f>
        <v/>
      </c>
      <c r="E7764" s="46">
        <f>IF(OR(B7764="",C7764="",D7764=""),"",D7764*100000+(C7764-DATE(2000,1,1))+ROW()/100000)</f>
        <v/>
      </c>
      <c r="F7764" s="46">
        <f>IF(E7764="","",IF(C7764&gt;WeekEndDate,"",E7764))</f>
        <v/>
      </c>
    </row>
    <row r="7765">
      <c r="A7765" t="inlineStr">
        <is>
          <t>Warranty &amp; Maintenance</t>
        </is>
      </c>
      <c r="B7765" s="46">
        <f>'Warranty &amp; Maintenance'!N730</f>
        <v/>
      </c>
      <c r="C7765" s="84">
        <f>'Warranty &amp; Maintenance'!L730</f>
        <v/>
      </c>
      <c r="D7765" s="46">
        <f>'Warranty &amp; Maintenance'!M730</f>
        <v/>
      </c>
      <c r="E7765" s="46">
        <f>IF(OR(B7765="",C7765="",D7765=""),"",D7765*100000+(C7765-DATE(2000,1,1))+ROW()/100000)</f>
        <v/>
      </c>
      <c r="F7765" s="46">
        <f>IF(E7765="","",IF(C7765&gt;WeekEndDate,"",E7765))</f>
        <v/>
      </c>
    </row>
    <row r="7766">
      <c r="A7766" t="inlineStr">
        <is>
          <t>Warranty &amp; Maintenance</t>
        </is>
      </c>
      <c r="B7766" s="46">
        <f>'Warranty &amp; Maintenance'!N731</f>
        <v/>
      </c>
      <c r="C7766" s="84">
        <f>'Warranty &amp; Maintenance'!L731</f>
        <v/>
      </c>
      <c r="D7766" s="46">
        <f>'Warranty &amp; Maintenance'!M731</f>
        <v/>
      </c>
      <c r="E7766" s="46">
        <f>IF(OR(B7766="",C7766="",D7766=""),"",D7766*100000+(C7766-DATE(2000,1,1))+ROW()/100000)</f>
        <v/>
      </c>
      <c r="F7766" s="46">
        <f>IF(E7766="","",IF(C7766&gt;WeekEndDate,"",E7766))</f>
        <v/>
      </c>
    </row>
    <row r="7767">
      <c r="A7767" t="inlineStr">
        <is>
          <t>Warranty &amp; Maintenance</t>
        </is>
      </c>
      <c r="B7767" s="46">
        <f>'Warranty &amp; Maintenance'!N732</f>
        <v/>
      </c>
      <c r="C7767" s="84">
        <f>'Warranty &amp; Maintenance'!L732</f>
        <v/>
      </c>
      <c r="D7767" s="46">
        <f>'Warranty &amp; Maintenance'!M732</f>
        <v/>
      </c>
      <c r="E7767" s="46">
        <f>IF(OR(B7767="",C7767="",D7767=""),"",D7767*100000+(C7767-DATE(2000,1,1))+ROW()/100000)</f>
        <v/>
      </c>
      <c r="F7767" s="46">
        <f>IF(E7767="","",IF(C7767&gt;WeekEndDate,"",E7767))</f>
        <v/>
      </c>
    </row>
    <row r="7768">
      <c r="A7768" t="inlineStr">
        <is>
          <t>Warranty &amp; Maintenance</t>
        </is>
      </c>
      <c r="B7768" s="46">
        <f>'Warranty &amp; Maintenance'!N733</f>
        <v/>
      </c>
      <c r="C7768" s="84">
        <f>'Warranty &amp; Maintenance'!L733</f>
        <v/>
      </c>
      <c r="D7768" s="46">
        <f>'Warranty &amp; Maintenance'!M733</f>
        <v/>
      </c>
      <c r="E7768" s="46">
        <f>IF(OR(B7768="",C7768="",D7768=""),"",D7768*100000+(C7768-DATE(2000,1,1))+ROW()/100000)</f>
        <v/>
      </c>
      <c r="F7768" s="46">
        <f>IF(E7768="","",IF(C7768&gt;WeekEndDate,"",E7768))</f>
        <v/>
      </c>
    </row>
    <row r="7769">
      <c r="A7769" t="inlineStr">
        <is>
          <t>Warranty &amp; Maintenance</t>
        </is>
      </c>
      <c r="B7769" s="46">
        <f>'Warranty &amp; Maintenance'!N734</f>
        <v/>
      </c>
      <c r="C7769" s="84">
        <f>'Warranty &amp; Maintenance'!L734</f>
        <v/>
      </c>
      <c r="D7769" s="46">
        <f>'Warranty &amp; Maintenance'!M734</f>
        <v/>
      </c>
      <c r="E7769" s="46">
        <f>IF(OR(B7769="",C7769="",D7769=""),"",D7769*100000+(C7769-DATE(2000,1,1))+ROW()/100000)</f>
        <v/>
      </c>
      <c r="F7769" s="46">
        <f>IF(E7769="","",IF(C7769&gt;WeekEndDate,"",E7769))</f>
        <v/>
      </c>
    </row>
    <row r="7770">
      <c r="A7770" t="inlineStr">
        <is>
          <t>Warranty &amp; Maintenance</t>
        </is>
      </c>
      <c r="B7770" s="46">
        <f>'Warranty &amp; Maintenance'!N735</f>
        <v/>
      </c>
      <c r="C7770" s="84">
        <f>'Warranty &amp; Maintenance'!L735</f>
        <v/>
      </c>
      <c r="D7770" s="46">
        <f>'Warranty &amp; Maintenance'!M735</f>
        <v/>
      </c>
      <c r="E7770" s="46">
        <f>IF(OR(B7770="",C7770="",D7770=""),"",D7770*100000+(C7770-DATE(2000,1,1))+ROW()/100000)</f>
        <v/>
      </c>
      <c r="F7770" s="46">
        <f>IF(E7770="","",IF(C7770&gt;WeekEndDate,"",E7770))</f>
        <v/>
      </c>
    </row>
    <row r="7771">
      <c r="A7771" t="inlineStr">
        <is>
          <t>Warranty &amp; Maintenance</t>
        </is>
      </c>
      <c r="B7771" s="46">
        <f>'Warranty &amp; Maintenance'!N736</f>
        <v/>
      </c>
      <c r="C7771" s="84">
        <f>'Warranty &amp; Maintenance'!L736</f>
        <v/>
      </c>
      <c r="D7771" s="46">
        <f>'Warranty &amp; Maintenance'!M736</f>
        <v/>
      </c>
      <c r="E7771" s="46">
        <f>IF(OR(B7771="",C7771="",D7771=""),"",D7771*100000+(C7771-DATE(2000,1,1))+ROW()/100000)</f>
        <v/>
      </c>
      <c r="F7771" s="46">
        <f>IF(E7771="","",IF(C7771&gt;WeekEndDate,"",E7771))</f>
        <v/>
      </c>
    </row>
    <row r="7772">
      <c r="A7772" t="inlineStr">
        <is>
          <t>Warranty &amp; Maintenance</t>
        </is>
      </c>
      <c r="B7772" s="46">
        <f>'Warranty &amp; Maintenance'!N737</f>
        <v/>
      </c>
      <c r="C7772" s="84">
        <f>'Warranty &amp; Maintenance'!L737</f>
        <v/>
      </c>
      <c r="D7772" s="46">
        <f>'Warranty &amp; Maintenance'!M737</f>
        <v/>
      </c>
      <c r="E7772" s="46">
        <f>IF(OR(B7772="",C7772="",D7772=""),"",D7772*100000+(C7772-DATE(2000,1,1))+ROW()/100000)</f>
        <v/>
      </c>
      <c r="F7772" s="46">
        <f>IF(E7772="","",IF(C7772&gt;WeekEndDate,"",E7772))</f>
        <v/>
      </c>
    </row>
    <row r="7773">
      <c r="A7773" t="inlineStr">
        <is>
          <t>Warranty &amp; Maintenance</t>
        </is>
      </c>
      <c r="B7773" s="46">
        <f>'Warranty &amp; Maintenance'!N738</f>
        <v/>
      </c>
      <c r="C7773" s="84">
        <f>'Warranty &amp; Maintenance'!L738</f>
        <v/>
      </c>
      <c r="D7773" s="46">
        <f>'Warranty &amp; Maintenance'!M738</f>
        <v/>
      </c>
      <c r="E7773" s="46">
        <f>IF(OR(B7773="",C7773="",D7773=""),"",D7773*100000+(C7773-DATE(2000,1,1))+ROW()/100000)</f>
        <v/>
      </c>
      <c r="F7773" s="46">
        <f>IF(E7773="","",IF(C7773&gt;WeekEndDate,"",E7773))</f>
        <v/>
      </c>
    </row>
    <row r="7774">
      <c r="A7774" t="inlineStr">
        <is>
          <t>Warranty &amp; Maintenance</t>
        </is>
      </c>
      <c r="B7774" s="46">
        <f>'Warranty &amp; Maintenance'!N739</f>
        <v/>
      </c>
      <c r="C7774" s="84">
        <f>'Warranty &amp; Maintenance'!L739</f>
        <v/>
      </c>
      <c r="D7774" s="46">
        <f>'Warranty &amp; Maintenance'!M739</f>
        <v/>
      </c>
      <c r="E7774" s="46">
        <f>IF(OR(B7774="",C7774="",D7774=""),"",D7774*100000+(C7774-DATE(2000,1,1))+ROW()/100000)</f>
        <v/>
      </c>
      <c r="F7774" s="46">
        <f>IF(E7774="","",IF(C7774&gt;WeekEndDate,"",E7774))</f>
        <v/>
      </c>
    </row>
    <row r="7775">
      <c r="A7775" t="inlineStr">
        <is>
          <t>Warranty &amp; Maintenance</t>
        </is>
      </c>
      <c r="B7775" s="46">
        <f>'Warranty &amp; Maintenance'!N740</f>
        <v/>
      </c>
      <c r="C7775" s="84">
        <f>'Warranty &amp; Maintenance'!L740</f>
        <v/>
      </c>
      <c r="D7775" s="46">
        <f>'Warranty &amp; Maintenance'!M740</f>
        <v/>
      </c>
      <c r="E7775" s="46">
        <f>IF(OR(B7775="",C7775="",D7775=""),"",D7775*100000+(C7775-DATE(2000,1,1))+ROW()/100000)</f>
        <v/>
      </c>
      <c r="F7775" s="46">
        <f>IF(E7775="","",IF(C7775&gt;WeekEndDate,"",E7775))</f>
        <v/>
      </c>
    </row>
    <row r="7776">
      <c r="A7776" t="inlineStr">
        <is>
          <t>Warranty &amp; Maintenance</t>
        </is>
      </c>
      <c r="B7776" s="46">
        <f>'Warranty &amp; Maintenance'!N741</f>
        <v/>
      </c>
      <c r="C7776" s="84">
        <f>'Warranty &amp; Maintenance'!L741</f>
        <v/>
      </c>
      <c r="D7776" s="46">
        <f>'Warranty &amp; Maintenance'!M741</f>
        <v/>
      </c>
      <c r="E7776" s="46">
        <f>IF(OR(B7776="",C7776="",D7776=""),"",D7776*100000+(C7776-DATE(2000,1,1))+ROW()/100000)</f>
        <v/>
      </c>
      <c r="F7776" s="46">
        <f>IF(E7776="","",IF(C7776&gt;WeekEndDate,"",E7776))</f>
        <v/>
      </c>
    </row>
    <row r="7777">
      <c r="A7777" t="inlineStr">
        <is>
          <t>Warranty &amp; Maintenance</t>
        </is>
      </c>
      <c r="B7777" s="46">
        <f>'Warranty &amp; Maintenance'!N742</f>
        <v/>
      </c>
      <c r="C7777" s="84">
        <f>'Warranty &amp; Maintenance'!L742</f>
        <v/>
      </c>
      <c r="D7777" s="46">
        <f>'Warranty &amp; Maintenance'!M742</f>
        <v/>
      </c>
      <c r="E7777" s="46">
        <f>IF(OR(B7777="",C7777="",D7777=""),"",D7777*100000+(C7777-DATE(2000,1,1))+ROW()/100000)</f>
        <v/>
      </c>
      <c r="F7777" s="46">
        <f>IF(E7777="","",IF(C7777&gt;WeekEndDate,"",E7777))</f>
        <v/>
      </c>
    </row>
    <row r="7778">
      <c r="A7778" t="inlineStr">
        <is>
          <t>Warranty &amp; Maintenance</t>
        </is>
      </c>
      <c r="B7778" s="46">
        <f>'Warranty &amp; Maintenance'!N743</f>
        <v/>
      </c>
      <c r="C7778" s="84">
        <f>'Warranty &amp; Maintenance'!L743</f>
        <v/>
      </c>
      <c r="D7778" s="46">
        <f>'Warranty &amp; Maintenance'!M743</f>
        <v/>
      </c>
      <c r="E7778" s="46">
        <f>IF(OR(B7778="",C7778="",D7778=""),"",D7778*100000+(C7778-DATE(2000,1,1))+ROW()/100000)</f>
        <v/>
      </c>
      <c r="F7778" s="46">
        <f>IF(E7778="","",IF(C7778&gt;WeekEndDate,"",E7778))</f>
        <v/>
      </c>
    </row>
    <row r="7779">
      <c r="A7779" t="inlineStr">
        <is>
          <t>Warranty &amp; Maintenance</t>
        </is>
      </c>
      <c r="B7779" s="46">
        <f>'Warranty &amp; Maintenance'!N744</f>
        <v/>
      </c>
      <c r="C7779" s="84">
        <f>'Warranty &amp; Maintenance'!L744</f>
        <v/>
      </c>
      <c r="D7779" s="46">
        <f>'Warranty &amp; Maintenance'!M744</f>
        <v/>
      </c>
      <c r="E7779" s="46">
        <f>IF(OR(B7779="",C7779="",D7779=""),"",D7779*100000+(C7779-DATE(2000,1,1))+ROW()/100000)</f>
        <v/>
      </c>
      <c r="F7779" s="46">
        <f>IF(E7779="","",IF(C7779&gt;WeekEndDate,"",E7779))</f>
        <v/>
      </c>
    </row>
    <row r="7780">
      <c r="A7780" t="inlineStr">
        <is>
          <t>Warranty &amp; Maintenance</t>
        </is>
      </c>
      <c r="B7780" s="46">
        <f>'Warranty &amp; Maintenance'!N745</f>
        <v/>
      </c>
      <c r="C7780" s="84">
        <f>'Warranty &amp; Maintenance'!L745</f>
        <v/>
      </c>
      <c r="D7780" s="46">
        <f>'Warranty &amp; Maintenance'!M745</f>
        <v/>
      </c>
      <c r="E7780" s="46">
        <f>IF(OR(B7780="",C7780="",D7780=""),"",D7780*100000+(C7780-DATE(2000,1,1))+ROW()/100000)</f>
        <v/>
      </c>
      <c r="F7780" s="46">
        <f>IF(E7780="","",IF(C7780&gt;WeekEndDate,"",E7780))</f>
        <v/>
      </c>
    </row>
    <row r="7781">
      <c r="A7781" t="inlineStr">
        <is>
          <t>Warranty &amp; Maintenance</t>
        </is>
      </c>
      <c r="B7781" s="46">
        <f>'Warranty &amp; Maintenance'!N746</f>
        <v/>
      </c>
      <c r="C7781" s="84">
        <f>'Warranty &amp; Maintenance'!L746</f>
        <v/>
      </c>
      <c r="D7781" s="46">
        <f>'Warranty &amp; Maintenance'!M746</f>
        <v/>
      </c>
      <c r="E7781" s="46">
        <f>IF(OR(B7781="",C7781="",D7781=""),"",D7781*100000+(C7781-DATE(2000,1,1))+ROW()/100000)</f>
        <v/>
      </c>
      <c r="F7781" s="46">
        <f>IF(E7781="","",IF(C7781&gt;WeekEndDate,"",E7781))</f>
        <v/>
      </c>
    </row>
    <row r="7782">
      <c r="A7782" t="inlineStr">
        <is>
          <t>Warranty &amp; Maintenance</t>
        </is>
      </c>
      <c r="B7782" s="46">
        <f>'Warranty &amp; Maintenance'!N747</f>
        <v/>
      </c>
      <c r="C7782" s="84">
        <f>'Warranty &amp; Maintenance'!L747</f>
        <v/>
      </c>
      <c r="D7782" s="46">
        <f>'Warranty &amp; Maintenance'!M747</f>
        <v/>
      </c>
      <c r="E7782" s="46">
        <f>IF(OR(B7782="",C7782="",D7782=""),"",D7782*100000+(C7782-DATE(2000,1,1))+ROW()/100000)</f>
        <v/>
      </c>
      <c r="F7782" s="46">
        <f>IF(E7782="","",IF(C7782&gt;WeekEndDate,"",E7782))</f>
        <v/>
      </c>
    </row>
    <row r="7783">
      <c r="A7783" t="inlineStr">
        <is>
          <t>Warranty &amp; Maintenance</t>
        </is>
      </c>
      <c r="B7783" s="46">
        <f>'Warranty &amp; Maintenance'!N748</f>
        <v/>
      </c>
      <c r="C7783" s="84">
        <f>'Warranty &amp; Maintenance'!L748</f>
        <v/>
      </c>
      <c r="D7783" s="46">
        <f>'Warranty &amp; Maintenance'!M748</f>
        <v/>
      </c>
      <c r="E7783" s="46">
        <f>IF(OR(B7783="",C7783="",D7783=""),"",D7783*100000+(C7783-DATE(2000,1,1))+ROW()/100000)</f>
        <v/>
      </c>
      <c r="F7783" s="46">
        <f>IF(E7783="","",IF(C7783&gt;WeekEndDate,"",E7783))</f>
        <v/>
      </c>
    </row>
    <row r="7784">
      <c r="A7784" t="inlineStr">
        <is>
          <t>Warranty &amp; Maintenance</t>
        </is>
      </c>
      <c r="B7784" s="46">
        <f>'Warranty &amp; Maintenance'!N749</f>
        <v/>
      </c>
      <c r="C7784" s="84">
        <f>'Warranty &amp; Maintenance'!L749</f>
        <v/>
      </c>
      <c r="D7784" s="46">
        <f>'Warranty &amp; Maintenance'!M749</f>
        <v/>
      </c>
      <c r="E7784" s="46">
        <f>IF(OR(B7784="",C7784="",D7784=""),"",D7784*100000+(C7784-DATE(2000,1,1))+ROW()/100000)</f>
        <v/>
      </c>
      <c r="F7784" s="46">
        <f>IF(E7784="","",IF(C7784&gt;WeekEndDate,"",E7784))</f>
        <v/>
      </c>
    </row>
    <row r="7785">
      <c r="A7785" t="inlineStr">
        <is>
          <t>Warranty &amp; Maintenance</t>
        </is>
      </c>
      <c r="B7785" s="46">
        <f>'Warranty &amp; Maintenance'!N750</f>
        <v/>
      </c>
      <c r="C7785" s="84">
        <f>'Warranty &amp; Maintenance'!L750</f>
        <v/>
      </c>
      <c r="D7785" s="46">
        <f>'Warranty &amp; Maintenance'!M750</f>
        <v/>
      </c>
      <c r="E7785" s="46">
        <f>IF(OR(B7785="",C7785="",D7785=""),"",D7785*100000+(C7785-DATE(2000,1,1))+ROW()/100000)</f>
        <v/>
      </c>
      <c r="F7785" s="46">
        <f>IF(E7785="","",IF(C7785&gt;WeekEndDate,"",E7785))</f>
        <v/>
      </c>
    </row>
    <row r="7786">
      <c r="A7786" t="inlineStr">
        <is>
          <t>Warranty &amp; Maintenance</t>
        </is>
      </c>
      <c r="B7786" s="46">
        <f>'Warranty &amp; Maintenance'!N751</f>
        <v/>
      </c>
      <c r="C7786" s="84">
        <f>'Warranty &amp; Maintenance'!L751</f>
        <v/>
      </c>
      <c r="D7786" s="46">
        <f>'Warranty &amp; Maintenance'!M751</f>
        <v/>
      </c>
      <c r="E7786" s="46">
        <f>IF(OR(B7786="",C7786="",D7786=""),"",D7786*100000+(C7786-DATE(2000,1,1))+ROW()/100000)</f>
        <v/>
      </c>
      <c r="F7786" s="46">
        <f>IF(E7786="","",IF(C7786&gt;WeekEndDate,"",E7786))</f>
        <v/>
      </c>
    </row>
    <row r="7787">
      <c r="A7787" t="inlineStr">
        <is>
          <t>Warranty &amp; Maintenance</t>
        </is>
      </c>
      <c r="B7787" s="46">
        <f>'Warranty &amp; Maintenance'!N752</f>
        <v/>
      </c>
      <c r="C7787" s="84">
        <f>'Warranty &amp; Maintenance'!L752</f>
        <v/>
      </c>
      <c r="D7787" s="46">
        <f>'Warranty &amp; Maintenance'!M752</f>
        <v/>
      </c>
      <c r="E7787" s="46">
        <f>IF(OR(B7787="",C7787="",D7787=""),"",D7787*100000+(C7787-DATE(2000,1,1))+ROW()/100000)</f>
        <v/>
      </c>
      <c r="F7787" s="46">
        <f>IF(E7787="","",IF(C7787&gt;WeekEndDate,"",E7787))</f>
        <v/>
      </c>
    </row>
    <row r="7788">
      <c r="A7788" t="inlineStr">
        <is>
          <t>Warranty &amp; Maintenance</t>
        </is>
      </c>
      <c r="B7788" s="46">
        <f>'Warranty &amp; Maintenance'!N753</f>
        <v/>
      </c>
      <c r="C7788" s="84">
        <f>'Warranty &amp; Maintenance'!L753</f>
        <v/>
      </c>
      <c r="D7788" s="46">
        <f>'Warranty &amp; Maintenance'!M753</f>
        <v/>
      </c>
      <c r="E7788" s="46">
        <f>IF(OR(B7788="",C7788="",D7788=""),"",D7788*100000+(C7788-DATE(2000,1,1))+ROW()/100000)</f>
        <v/>
      </c>
      <c r="F7788" s="46">
        <f>IF(E7788="","",IF(C7788&gt;WeekEndDate,"",E7788))</f>
        <v/>
      </c>
    </row>
    <row r="7789">
      <c r="A7789" t="inlineStr">
        <is>
          <t>Warranty &amp; Maintenance</t>
        </is>
      </c>
      <c r="B7789" s="46">
        <f>'Warranty &amp; Maintenance'!N754</f>
        <v/>
      </c>
      <c r="C7789" s="84">
        <f>'Warranty &amp; Maintenance'!L754</f>
        <v/>
      </c>
      <c r="D7789" s="46">
        <f>'Warranty &amp; Maintenance'!M754</f>
        <v/>
      </c>
      <c r="E7789" s="46">
        <f>IF(OR(B7789="",C7789="",D7789=""),"",D7789*100000+(C7789-DATE(2000,1,1))+ROW()/100000)</f>
        <v/>
      </c>
      <c r="F7789" s="46">
        <f>IF(E7789="","",IF(C7789&gt;WeekEndDate,"",E7789))</f>
        <v/>
      </c>
    </row>
    <row r="7790">
      <c r="A7790" t="inlineStr">
        <is>
          <t>Warranty &amp; Maintenance</t>
        </is>
      </c>
      <c r="B7790" s="46">
        <f>'Warranty &amp; Maintenance'!N755</f>
        <v/>
      </c>
      <c r="C7790" s="84">
        <f>'Warranty &amp; Maintenance'!L755</f>
        <v/>
      </c>
      <c r="D7790" s="46">
        <f>'Warranty &amp; Maintenance'!M755</f>
        <v/>
      </c>
      <c r="E7790" s="46">
        <f>IF(OR(B7790="",C7790="",D7790=""),"",D7790*100000+(C7790-DATE(2000,1,1))+ROW()/100000)</f>
        <v/>
      </c>
      <c r="F7790" s="46">
        <f>IF(E7790="","",IF(C7790&gt;WeekEndDate,"",E7790))</f>
        <v/>
      </c>
    </row>
    <row r="7791">
      <c r="A7791" t="inlineStr">
        <is>
          <t>Warranty &amp; Maintenance</t>
        </is>
      </c>
      <c r="B7791" s="46">
        <f>'Warranty &amp; Maintenance'!N756</f>
        <v/>
      </c>
      <c r="C7791" s="84">
        <f>'Warranty &amp; Maintenance'!L756</f>
        <v/>
      </c>
      <c r="D7791" s="46">
        <f>'Warranty &amp; Maintenance'!M756</f>
        <v/>
      </c>
      <c r="E7791" s="46">
        <f>IF(OR(B7791="",C7791="",D7791=""),"",D7791*100000+(C7791-DATE(2000,1,1))+ROW()/100000)</f>
        <v/>
      </c>
      <c r="F7791" s="46">
        <f>IF(E7791="","",IF(C7791&gt;WeekEndDate,"",E7791))</f>
        <v/>
      </c>
    </row>
    <row r="7792">
      <c r="A7792" t="inlineStr">
        <is>
          <t>Warranty &amp; Maintenance</t>
        </is>
      </c>
      <c r="B7792" s="46">
        <f>'Warranty &amp; Maintenance'!N757</f>
        <v/>
      </c>
      <c r="C7792" s="84">
        <f>'Warranty &amp; Maintenance'!L757</f>
        <v/>
      </c>
      <c r="D7792" s="46">
        <f>'Warranty &amp; Maintenance'!M757</f>
        <v/>
      </c>
      <c r="E7792" s="46">
        <f>IF(OR(B7792="",C7792="",D7792=""),"",D7792*100000+(C7792-DATE(2000,1,1))+ROW()/100000)</f>
        <v/>
      </c>
      <c r="F7792" s="46">
        <f>IF(E7792="","",IF(C7792&gt;WeekEndDate,"",E7792))</f>
        <v/>
      </c>
    </row>
    <row r="7793">
      <c r="A7793" t="inlineStr">
        <is>
          <t>Warranty &amp; Maintenance</t>
        </is>
      </c>
      <c r="B7793" s="46">
        <f>'Warranty &amp; Maintenance'!N758</f>
        <v/>
      </c>
      <c r="C7793" s="84">
        <f>'Warranty &amp; Maintenance'!L758</f>
        <v/>
      </c>
      <c r="D7793" s="46">
        <f>'Warranty &amp; Maintenance'!M758</f>
        <v/>
      </c>
      <c r="E7793" s="46">
        <f>IF(OR(B7793="",C7793="",D7793=""),"",D7793*100000+(C7793-DATE(2000,1,1))+ROW()/100000)</f>
        <v/>
      </c>
      <c r="F7793" s="46">
        <f>IF(E7793="","",IF(C7793&gt;WeekEndDate,"",E7793))</f>
        <v/>
      </c>
    </row>
    <row r="7794">
      <c r="A7794" t="inlineStr">
        <is>
          <t>Warranty &amp; Maintenance</t>
        </is>
      </c>
      <c r="B7794" s="46">
        <f>'Warranty &amp; Maintenance'!N759</f>
        <v/>
      </c>
      <c r="C7794" s="84">
        <f>'Warranty &amp; Maintenance'!L759</f>
        <v/>
      </c>
      <c r="D7794" s="46">
        <f>'Warranty &amp; Maintenance'!M759</f>
        <v/>
      </c>
      <c r="E7794" s="46">
        <f>IF(OR(B7794="",C7794="",D7794=""),"",D7794*100000+(C7794-DATE(2000,1,1))+ROW()/100000)</f>
        <v/>
      </c>
      <c r="F7794" s="46">
        <f>IF(E7794="","",IF(C7794&gt;WeekEndDate,"",E7794))</f>
        <v/>
      </c>
    </row>
    <row r="7795">
      <c r="A7795" t="inlineStr">
        <is>
          <t>Warranty &amp; Maintenance</t>
        </is>
      </c>
      <c r="B7795" s="46">
        <f>'Warranty &amp; Maintenance'!N760</f>
        <v/>
      </c>
      <c r="C7795" s="84">
        <f>'Warranty &amp; Maintenance'!L760</f>
        <v/>
      </c>
      <c r="D7795" s="46">
        <f>'Warranty &amp; Maintenance'!M760</f>
        <v/>
      </c>
      <c r="E7795" s="46">
        <f>IF(OR(B7795="",C7795="",D7795=""),"",D7795*100000+(C7795-DATE(2000,1,1))+ROW()/100000)</f>
        <v/>
      </c>
      <c r="F7795" s="46">
        <f>IF(E7795="","",IF(C7795&gt;WeekEndDate,"",E7795))</f>
        <v/>
      </c>
    </row>
    <row r="7796">
      <c r="A7796" t="inlineStr">
        <is>
          <t>Warranty &amp; Maintenance</t>
        </is>
      </c>
      <c r="B7796" s="46">
        <f>'Warranty &amp; Maintenance'!N761</f>
        <v/>
      </c>
      <c r="C7796" s="84">
        <f>'Warranty &amp; Maintenance'!L761</f>
        <v/>
      </c>
      <c r="D7796" s="46">
        <f>'Warranty &amp; Maintenance'!M761</f>
        <v/>
      </c>
      <c r="E7796" s="46">
        <f>IF(OR(B7796="",C7796="",D7796=""),"",D7796*100000+(C7796-DATE(2000,1,1))+ROW()/100000)</f>
        <v/>
      </c>
      <c r="F7796" s="46">
        <f>IF(E7796="","",IF(C7796&gt;WeekEndDate,"",E7796))</f>
        <v/>
      </c>
    </row>
    <row r="7797">
      <c r="A7797" t="inlineStr">
        <is>
          <t>Warranty &amp; Maintenance</t>
        </is>
      </c>
      <c r="B7797" s="46">
        <f>'Warranty &amp; Maintenance'!N762</f>
        <v/>
      </c>
      <c r="C7797" s="84">
        <f>'Warranty &amp; Maintenance'!L762</f>
        <v/>
      </c>
      <c r="D7797" s="46">
        <f>'Warranty &amp; Maintenance'!M762</f>
        <v/>
      </c>
      <c r="E7797" s="46">
        <f>IF(OR(B7797="",C7797="",D7797=""),"",D7797*100000+(C7797-DATE(2000,1,1))+ROW()/100000)</f>
        <v/>
      </c>
      <c r="F7797" s="46">
        <f>IF(E7797="","",IF(C7797&gt;WeekEndDate,"",E7797))</f>
        <v/>
      </c>
    </row>
    <row r="7798">
      <c r="A7798" t="inlineStr">
        <is>
          <t>Warranty &amp; Maintenance</t>
        </is>
      </c>
      <c r="B7798" s="46">
        <f>'Warranty &amp; Maintenance'!N763</f>
        <v/>
      </c>
      <c r="C7798" s="84">
        <f>'Warranty &amp; Maintenance'!L763</f>
        <v/>
      </c>
      <c r="D7798" s="46">
        <f>'Warranty &amp; Maintenance'!M763</f>
        <v/>
      </c>
      <c r="E7798" s="46">
        <f>IF(OR(B7798="",C7798="",D7798=""),"",D7798*100000+(C7798-DATE(2000,1,1))+ROW()/100000)</f>
        <v/>
      </c>
      <c r="F7798" s="46">
        <f>IF(E7798="","",IF(C7798&gt;WeekEndDate,"",E7798))</f>
        <v/>
      </c>
    </row>
    <row r="7799">
      <c r="A7799" t="inlineStr">
        <is>
          <t>Warranty &amp; Maintenance</t>
        </is>
      </c>
      <c r="B7799" s="46">
        <f>'Warranty &amp; Maintenance'!N764</f>
        <v/>
      </c>
      <c r="C7799" s="84">
        <f>'Warranty &amp; Maintenance'!L764</f>
        <v/>
      </c>
      <c r="D7799" s="46">
        <f>'Warranty &amp; Maintenance'!M764</f>
        <v/>
      </c>
      <c r="E7799" s="46">
        <f>IF(OR(B7799="",C7799="",D7799=""),"",D7799*100000+(C7799-DATE(2000,1,1))+ROW()/100000)</f>
        <v/>
      </c>
      <c r="F7799" s="46">
        <f>IF(E7799="","",IF(C7799&gt;WeekEndDate,"",E7799))</f>
        <v/>
      </c>
    </row>
    <row r="7800">
      <c r="A7800" t="inlineStr">
        <is>
          <t>Warranty &amp; Maintenance</t>
        </is>
      </c>
      <c r="B7800" s="46">
        <f>'Warranty &amp; Maintenance'!N765</f>
        <v/>
      </c>
      <c r="C7800" s="84">
        <f>'Warranty &amp; Maintenance'!L765</f>
        <v/>
      </c>
      <c r="D7800" s="46">
        <f>'Warranty &amp; Maintenance'!M765</f>
        <v/>
      </c>
      <c r="E7800" s="46">
        <f>IF(OR(B7800="",C7800="",D7800=""),"",D7800*100000+(C7800-DATE(2000,1,1))+ROW()/100000)</f>
        <v/>
      </c>
      <c r="F7800" s="46">
        <f>IF(E7800="","",IF(C7800&gt;WeekEndDate,"",E7800))</f>
        <v/>
      </c>
    </row>
    <row r="7801">
      <c r="A7801" t="inlineStr">
        <is>
          <t>Warranty &amp; Maintenance</t>
        </is>
      </c>
      <c r="B7801" s="46">
        <f>'Warranty &amp; Maintenance'!N766</f>
        <v/>
      </c>
      <c r="C7801" s="84">
        <f>'Warranty &amp; Maintenance'!L766</f>
        <v/>
      </c>
      <c r="D7801" s="46">
        <f>'Warranty &amp; Maintenance'!M766</f>
        <v/>
      </c>
      <c r="E7801" s="46">
        <f>IF(OR(B7801="",C7801="",D7801=""),"",D7801*100000+(C7801-DATE(2000,1,1))+ROW()/100000)</f>
        <v/>
      </c>
      <c r="F7801" s="46">
        <f>IF(E7801="","",IF(C7801&gt;WeekEndDate,"",E7801))</f>
        <v/>
      </c>
    </row>
    <row r="7802">
      <c r="A7802" t="inlineStr">
        <is>
          <t>Warranty &amp; Maintenance</t>
        </is>
      </c>
      <c r="B7802" s="46">
        <f>'Warranty &amp; Maintenance'!N767</f>
        <v/>
      </c>
      <c r="C7802" s="84">
        <f>'Warranty &amp; Maintenance'!L767</f>
        <v/>
      </c>
      <c r="D7802" s="46">
        <f>'Warranty &amp; Maintenance'!M767</f>
        <v/>
      </c>
      <c r="E7802" s="46">
        <f>IF(OR(B7802="",C7802="",D7802=""),"",D7802*100000+(C7802-DATE(2000,1,1))+ROW()/100000)</f>
        <v/>
      </c>
      <c r="F7802" s="46">
        <f>IF(E7802="","",IF(C7802&gt;WeekEndDate,"",E7802))</f>
        <v/>
      </c>
    </row>
    <row r="7803">
      <c r="A7803" t="inlineStr">
        <is>
          <t>Warranty &amp; Maintenance</t>
        </is>
      </c>
      <c r="B7803" s="46">
        <f>'Warranty &amp; Maintenance'!N768</f>
        <v/>
      </c>
      <c r="C7803" s="84">
        <f>'Warranty &amp; Maintenance'!L768</f>
        <v/>
      </c>
      <c r="D7803" s="46">
        <f>'Warranty &amp; Maintenance'!M768</f>
        <v/>
      </c>
      <c r="E7803" s="46">
        <f>IF(OR(B7803="",C7803="",D7803=""),"",D7803*100000+(C7803-DATE(2000,1,1))+ROW()/100000)</f>
        <v/>
      </c>
      <c r="F7803" s="46">
        <f>IF(E7803="","",IF(C7803&gt;WeekEndDate,"",E7803))</f>
        <v/>
      </c>
    </row>
    <row r="7804">
      <c r="A7804" t="inlineStr">
        <is>
          <t>Warranty &amp; Maintenance</t>
        </is>
      </c>
      <c r="B7804" s="46">
        <f>'Warranty &amp; Maintenance'!N769</f>
        <v/>
      </c>
      <c r="C7804" s="84">
        <f>'Warranty &amp; Maintenance'!L769</f>
        <v/>
      </c>
      <c r="D7804" s="46">
        <f>'Warranty &amp; Maintenance'!M769</f>
        <v/>
      </c>
      <c r="E7804" s="46">
        <f>IF(OR(B7804="",C7804="",D7804=""),"",D7804*100000+(C7804-DATE(2000,1,1))+ROW()/100000)</f>
        <v/>
      </c>
      <c r="F7804" s="46">
        <f>IF(E7804="","",IF(C7804&gt;WeekEndDate,"",E7804))</f>
        <v/>
      </c>
    </row>
    <row r="7805">
      <c r="A7805" t="inlineStr">
        <is>
          <t>Warranty &amp; Maintenance</t>
        </is>
      </c>
      <c r="B7805" s="46">
        <f>'Warranty &amp; Maintenance'!N770</f>
        <v/>
      </c>
      <c r="C7805" s="84">
        <f>'Warranty &amp; Maintenance'!L770</f>
        <v/>
      </c>
      <c r="D7805" s="46">
        <f>'Warranty &amp; Maintenance'!M770</f>
        <v/>
      </c>
      <c r="E7805" s="46">
        <f>IF(OR(B7805="",C7805="",D7805=""),"",D7805*100000+(C7805-DATE(2000,1,1))+ROW()/100000)</f>
        <v/>
      </c>
      <c r="F7805" s="46">
        <f>IF(E7805="","",IF(C7805&gt;WeekEndDate,"",E7805))</f>
        <v/>
      </c>
    </row>
    <row r="7806">
      <c r="A7806" t="inlineStr">
        <is>
          <t>Warranty &amp; Maintenance</t>
        </is>
      </c>
      <c r="B7806" s="46">
        <f>'Warranty &amp; Maintenance'!N771</f>
        <v/>
      </c>
      <c r="C7806" s="84">
        <f>'Warranty &amp; Maintenance'!L771</f>
        <v/>
      </c>
      <c r="D7806" s="46">
        <f>'Warranty &amp; Maintenance'!M771</f>
        <v/>
      </c>
      <c r="E7806" s="46">
        <f>IF(OR(B7806="",C7806="",D7806=""),"",D7806*100000+(C7806-DATE(2000,1,1))+ROW()/100000)</f>
        <v/>
      </c>
      <c r="F7806" s="46">
        <f>IF(E7806="","",IF(C7806&gt;WeekEndDate,"",E7806))</f>
        <v/>
      </c>
    </row>
    <row r="7807">
      <c r="A7807" t="inlineStr">
        <is>
          <t>Warranty &amp; Maintenance</t>
        </is>
      </c>
      <c r="B7807" s="46">
        <f>'Warranty &amp; Maintenance'!N772</f>
        <v/>
      </c>
      <c r="C7807" s="84">
        <f>'Warranty &amp; Maintenance'!L772</f>
        <v/>
      </c>
      <c r="D7807" s="46">
        <f>'Warranty &amp; Maintenance'!M772</f>
        <v/>
      </c>
      <c r="E7807" s="46">
        <f>IF(OR(B7807="",C7807="",D7807=""),"",D7807*100000+(C7807-DATE(2000,1,1))+ROW()/100000)</f>
        <v/>
      </c>
      <c r="F7807" s="46">
        <f>IF(E7807="","",IF(C7807&gt;WeekEndDate,"",E7807))</f>
        <v/>
      </c>
    </row>
    <row r="7808">
      <c r="A7808" t="inlineStr">
        <is>
          <t>Warranty &amp; Maintenance</t>
        </is>
      </c>
      <c r="B7808" s="46">
        <f>'Warranty &amp; Maintenance'!N773</f>
        <v/>
      </c>
      <c r="C7808" s="84">
        <f>'Warranty &amp; Maintenance'!L773</f>
        <v/>
      </c>
      <c r="D7808" s="46">
        <f>'Warranty &amp; Maintenance'!M773</f>
        <v/>
      </c>
      <c r="E7808" s="46">
        <f>IF(OR(B7808="",C7808="",D7808=""),"",D7808*100000+(C7808-DATE(2000,1,1))+ROW()/100000)</f>
        <v/>
      </c>
      <c r="F7808" s="46">
        <f>IF(E7808="","",IF(C7808&gt;WeekEndDate,"",E7808))</f>
        <v/>
      </c>
    </row>
    <row r="7809">
      <c r="A7809" t="inlineStr">
        <is>
          <t>Warranty &amp; Maintenance</t>
        </is>
      </c>
      <c r="B7809" s="46">
        <f>'Warranty &amp; Maintenance'!N774</f>
        <v/>
      </c>
      <c r="C7809" s="84">
        <f>'Warranty &amp; Maintenance'!L774</f>
        <v/>
      </c>
      <c r="D7809" s="46">
        <f>'Warranty &amp; Maintenance'!M774</f>
        <v/>
      </c>
      <c r="E7809" s="46">
        <f>IF(OR(B7809="",C7809="",D7809=""),"",D7809*100000+(C7809-DATE(2000,1,1))+ROW()/100000)</f>
        <v/>
      </c>
      <c r="F7809" s="46">
        <f>IF(E7809="","",IF(C7809&gt;WeekEndDate,"",E7809))</f>
        <v/>
      </c>
    </row>
    <row r="7810">
      <c r="A7810" t="inlineStr">
        <is>
          <t>Warranty &amp; Maintenance</t>
        </is>
      </c>
      <c r="B7810" s="46">
        <f>'Warranty &amp; Maintenance'!N775</f>
        <v/>
      </c>
      <c r="C7810" s="84">
        <f>'Warranty &amp; Maintenance'!L775</f>
        <v/>
      </c>
      <c r="D7810" s="46">
        <f>'Warranty &amp; Maintenance'!M775</f>
        <v/>
      </c>
      <c r="E7810" s="46">
        <f>IF(OR(B7810="",C7810="",D7810=""),"",D7810*100000+(C7810-DATE(2000,1,1))+ROW()/100000)</f>
        <v/>
      </c>
      <c r="F7810" s="46">
        <f>IF(E7810="","",IF(C7810&gt;WeekEndDate,"",E7810))</f>
        <v/>
      </c>
    </row>
    <row r="7811">
      <c r="A7811" t="inlineStr">
        <is>
          <t>Warranty &amp; Maintenance</t>
        </is>
      </c>
      <c r="B7811" s="46">
        <f>'Warranty &amp; Maintenance'!N776</f>
        <v/>
      </c>
      <c r="C7811" s="84">
        <f>'Warranty &amp; Maintenance'!L776</f>
        <v/>
      </c>
      <c r="D7811" s="46">
        <f>'Warranty &amp; Maintenance'!M776</f>
        <v/>
      </c>
      <c r="E7811" s="46">
        <f>IF(OR(B7811="",C7811="",D7811=""),"",D7811*100000+(C7811-DATE(2000,1,1))+ROW()/100000)</f>
        <v/>
      </c>
      <c r="F7811" s="46">
        <f>IF(E7811="","",IF(C7811&gt;WeekEndDate,"",E7811))</f>
        <v/>
      </c>
    </row>
    <row r="7812">
      <c r="A7812" t="inlineStr">
        <is>
          <t>Warranty &amp; Maintenance</t>
        </is>
      </c>
      <c r="B7812" s="46">
        <f>'Warranty &amp; Maintenance'!N777</f>
        <v/>
      </c>
      <c r="C7812" s="84">
        <f>'Warranty &amp; Maintenance'!L777</f>
        <v/>
      </c>
      <c r="D7812" s="46">
        <f>'Warranty &amp; Maintenance'!M777</f>
        <v/>
      </c>
      <c r="E7812" s="46">
        <f>IF(OR(B7812="",C7812="",D7812=""),"",D7812*100000+(C7812-DATE(2000,1,1))+ROW()/100000)</f>
        <v/>
      </c>
      <c r="F7812" s="46">
        <f>IF(E7812="","",IF(C7812&gt;WeekEndDate,"",E7812))</f>
        <v/>
      </c>
    </row>
    <row r="7813">
      <c r="A7813" t="inlineStr">
        <is>
          <t>Warranty &amp; Maintenance</t>
        </is>
      </c>
      <c r="B7813" s="46">
        <f>'Warranty &amp; Maintenance'!N778</f>
        <v/>
      </c>
      <c r="C7813" s="84">
        <f>'Warranty &amp; Maintenance'!L778</f>
        <v/>
      </c>
      <c r="D7813" s="46">
        <f>'Warranty &amp; Maintenance'!M778</f>
        <v/>
      </c>
      <c r="E7813" s="46">
        <f>IF(OR(B7813="",C7813="",D7813=""),"",D7813*100000+(C7813-DATE(2000,1,1))+ROW()/100000)</f>
        <v/>
      </c>
      <c r="F7813" s="46">
        <f>IF(E7813="","",IF(C7813&gt;WeekEndDate,"",E7813))</f>
        <v/>
      </c>
    </row>
    <row r="7814">
      <c r="A7814" t="inlineStr">
        <is>
          <t>Warranty &amp; Maintenance</t>
        </is>
      </c>
      <c r="B7814" s="46">
        <f>'Warranty &amp; Maintenance'!N779</f>
        <v/>
      </c>
      <c r="C7814" s="84">
        <f>'Warranty &amp; Maintenance'!L779</f>
        <v/>
      </c>
      <c r="D7814" s="46">
        <f>'Warranty &amp; Maintenance'!M779</f>
        <v/>
      </c>
      <c r="E7814" s="46">
        <f>IF(OR(B7814="",C7814="",D7814=""),"",D7814*100000+(C7814-DATE(2000,1,1))+ROW()/100000)</f>
        <v/>
      </c>
      <c r="F7814" s="46">
        <f>IF(E7814="","",IF(C7814&gt;WeekEndDate,"",E7814))</f>
        <v/>
      </c>
    </row>
    <row r="7815">
      <c r="A7815" t="inlineStr">
        <is>
          <t>Warranty &amp; Maintenance</t>
        </is>
      </c>
      <c r="B7815" s="46">
        <f>'Warranty &amp; Maintenance'!N780</f>
        <v/>
      </c>
      <c r="C7815" s="84">
        <f>'Warranty &amp; Maintenance'!L780</f>
        <v/>
      </c>
      <c r="D7815" s="46">
        <f>'Warranty &amp; Maintenance'!M780</f>
        <v/>
      </c>
      <c r="E7815" s="46">
        <f>IF(OR(B7815="",C7815="",D7815=""),"",D7815*100000+(C7815-DATE(2000,1,1))+ROW()/100000)</f>
        <v/>
      </c>
      <c r="F7815" s="46">
        <f>IF(E7815="","",IF(C7815&gt;WeekEndDate,"",E7815))</f>
        <v/>
      </c>
    </row>
    <row r="7816">
      <c r="A7816" t="inlineStr">
        <is>
          <t>Warranty &amp; Maintenance</t>
        </is>
      </c>
      <c r="B7816" s="46">
        <f>'Warranty &amp; Maintenance'!N781</f>
        <v/>
      </c>
      <c r="C7816" s="84">
        <f>'Warranty &amp; Maintenance'!L781</f>
        <v/>
      </c>
      <c r="D7816" s="46">
        <f>'Warranty &amp; Maintenance'!M781</f>
        <v/>
      </c>
      <c r="E7816" s="46">
        <f>IF(OR(B7816="",C7816="",D7816=""),"",D7816*100000+(C7816-DATE(2000,1,1))+ROW()/100000)</f>
        <v/>
      </c>
      <c r="F7816" s="46">
        <f>IF(E7816="","",IF(C7816&gt;WeekEndDate,"",E7816))</f>
        <v/>
      </c>
    </row>
    <row r="7817">
      <c r="A7817" t="inlineStr">
        <is>
          <t>Warranty &amp; Maintenance</t>
        </is>
      </c>
      <c r="B7817" s="46">
        <f>'Warranty &amp; Maintenance'!N782</f>
        <v/>
      </c>
      <c r="C7817" s="84">
        <f>'Warranty &amp; Maintenance'!L782</f>
        <v/>
      </c>
      <c r="D7817" s="46">
        <f>'Warranty &amp; Maintenance'!M782</f>
        <v/>
      </c>
      <c r="E7817" s="46">
        <f>IF(OR(B7817="",C7817="",D7817=""),"",D7817*100000+(C7817-DATE(2000,1,1))+ROW()/100000)</f>
        <v/>
      </c>
      <c r="F7817" s="46">
        <f>IF(E7817="","",IF(C7817&gt;WeekEndDate,"",E7817))</f>
        <v/>
      </c>
    </row>
    <row r="7818">
      <c r="A7818" t="inlineStr">
        <is>
          <t>Warranty &amp; Maintenance</t>
        </is>
      </c>
      <c r="B7818" s="46">
        <f>'Warranty &amp; Maintenance'!N783</f>
        <v/>
      </c>
      <c r="C7818" s="84">
        <f>'Warranty &amp; Maintenance'!L783</f>
        <v/>
      </c>
      <c r="D7818" s="46">
        <f>'Warranty &amp; Maintenance'!M783</f>
        <v/>
      </c>
      <c r="E7818" s="46">
        <f>IF(OR(B7818="",C7818="",D7818=""),"",D7818*100000+(C7818-DATE(2000,1,1))+ROW()/100000)</f>
        <v/>
      </c>
      <c r="F7818" s="46">
        <f>IF(E7818="","",IF(C7818&gt;WeekEndDate,"",E7818))</f>
        <v/>
      </c>
    </row>
    <row r="7819">
      <c r="A7819" t="inlineStr">
        <is>
          <t>Warranty &amp; Maintenance</t>
        </is>
      </c>
      <c r="B7819" s="46">
        <f>'Warranty &amp; Maintenance'!N784</f>
        <v/>
      </c>
      <c r="C7819" s="84">
        <f>'Warranty &amp; Maintenance'!L784</f>
        <v/>
      </c>
      <c r="D7819" s="46">
        <f>'Warranty &amp; Maintenance'!M784</f>
        <v/>
      </c>
      <c r="E7819" s="46">
        <f>IF(OR(B7819="",C7819="",D7819=""),"",D7819*100000+(C7819-DATE(2000,1,1))+ROW()/100000)</f>
        <v/>
      </c>
      <c r="F7819" s="46">
        <f>IF(E7819="","",IF(C7819&gt;WeekEndDate,"",E7819))</f>
        <v/>
      </c>
    </row>
    <row r="7820">
      <c r="A7820" t="inlineStr">
        <is>
          <t>Warranty &amp; Maintenance</t>
        </is>
      </c>
      <c r="B7820" s="46">
        <f>'Warranty &amp; Maintenance'!N785</f>
        <v/>
      </c>
      <c r="C7820" s="84">
        <f>'Warranty &amp; Maintenance'!L785</f>
        <v/>
      </c>
      <c r="D7820" s="46">
        <f>'Warranty &amp; Maintenance'!M785</f>
        <v/>
      </c>
      <c r="E7820" s="46">
        <f>IF(OR(B7820="",C7820="",D7820=""),"",D7820*100000+(C7820-DATE(2000,1,1))+ROW()/100000)</f>
        <v/>
      </c>
      <c r="F7820" s="46">
        <f>IF(E7820="","",IF(C7820&gt;WeekEndDate,"",E7820))</f>
        <v/>
      </c>
    </row>
    <row r="7821">
      <c r="A7821" t="inlineStr">
        <is>
          <t>Warranty &amp; Maintenance</t>
        </is>
      </c>
      <c r="B7821" s="46">
        <f>'Warranty &amp; Maintenance'!N786</f>
        <v/>
      </c>
      <c r="C7821" s="84">
        <f>'Warranty &amp; Maintenance'!L786</f>
        <v/>
      </c>
      <c r="D7821" s="46">
        <f>'Warranty &amp; Maintenance'!M786</f>
        <v/>
      </c>
      <c r="E7821" s="46">
        <f>IF(OR(B7821="",C7821="",D7821=""),"",D7821*100000+(C7821-DATE(2000,1,1))+ROW()/100000)</f>
        <v/>
      </c>
      <c r="F7821" s="46">
        <f>IF(E7821="","",IF(C7821&gt;WeekEndDate,"",E7821))</f>
        <v/>
      </c>
    </row>
    <row r="7822">
      <c r="A7822" t="inlineStr">
        <is>
          <t>Warranty &amp; Maintenance</t>
        </is>
      </c>
      <c r="B7822" s="46">
        <f>'Warranty &amp; Maintenance'!N787</f>
        <v/>
      </c>
      <c r="C7822" s="84">
        <f>'Warranty &amp; Maintenance'!L787</f>
        <v/>
      </c>
      <c r="D7822" s="46">
        <f>'Warranty &amp; Maintenance'!M787</f>
        <v/>
      </c>
      <c r="E7822" s="46">
        <f>IF(OR(B7822="",C7822="",D7822=""),"",D7822*100000+(C7822-DATE(2000,1,1))+ROW()/100000)</f>
        <v/>
      </c>
      <c r="F7822" s="46">
        <f>IF(E7822="","",IF(C7822&gt;WeekEndDate,"",E7822))</f>
        <v/>
      </c>
    </row>
    <row r="7823">
      <c r="A7823" t="inlineStr">
        <is>
          <t>Warranty &amp; Maintenance</t>
        </is>
      </c>
      <c r="B7823" s="46">
        <f>'Warranty &amp; Maintenance'!N788</f>
        <v/>
      </c>
      <c r="C7823" s="84">
        <f>'Warranty &amp; Maintenance'!L788</f>
        <v/>
      </c>
      <c r="D7823" s="46">
        <f>'Warranty &amp; Maintenance'!M788</f>
        <v/>
      </c>
      <c r="E7823" s="46">
        <f>IF(OR(B7823="",C7823="",D7823=""),"",D7823*100000+(C7823-DATE(2000,1,1))+ROW()/100000)</f>
        <v/>
      </c>
      <c r="F7823" s="46">
        <f>IF(E7823="","",IF(C7823&gt;WeekEndDate,"",E7823))</f>
        <v/>
      </c>
    </row>
    <row r="7824">
      <c r="A7824" t="inlineStr">
        <is>
          <t>Warranty &amp; Maintenance</t>
        </is>
      </c>
      <c r="B7824" s="46">
        <f>'Warranty &amp; Maintenance'!N789</f>
        <v/>
      </c>
      <c r="C7824" s="84">
        <f>'Warranty &amp; Maintenance'!L789</f>
        <v/>
      </c>
      <c r="D7824" s="46">
        <f>'Warranty &amp; Maintenance'!M789</f>
        <v/>
      </c>
      <c r="E7824" s="46">
        <f>IF(OR(B7824="",C7824="",D7824=""),"",D7824*100000+(C7824-DATE(2000,1,1))+ROW()/100000)</f>
        <v/>
      </c>
      <c r="F7824" s="46">
        <f>IF(E7824="","",IF(C7824&gt;WeekEndDate,"",E7824))</f>
        <v/>
      </c>
    </row>
    <row r="7825">
      <c r="A7825" t="inlineStr">
        <is>
          <t>Warranty &amp; Maintenance</t>
        </is>
      </c>
      <c r="B7825" s="46">
        <f>'Warranty &amp; Maintenance'!N790</f>
        <v/>
      </c>
      <c r="C7825" s="84">
        <f>'Warranty &amp; Maintenance'!L790</f>
        <v/>
      </c>
      <c r="D7825" s="46">
        <f>'Warranty &amp; Maintenance'!M790</f>
        <v/>
      </c>
      <c r="E7825" s="46">
        <f>IF(OR(B7825="",C7825="",D7825=""),"",D7825*100000+(C7825-DATE(2000,1,1))+ROW()/100000)</f>
        <v/>
      </c>
      <c r="F7825" s="46">
        <f>IF(E7825="","",IF(C7825&gt;WeekEndDate,"",E7825))</f>
        <v/>
      </c>
    </row>
    <row r="7826">
      <c r="A7826" t="inlineStr">
        <is>
          <t>Warranty &amp; Maintenance</t>
        </is>
      </c>
      <c r="B7826" s="46">
        <f>'Warranty &amp; Maintenance'!N791</f>
        <v/>
      </c>
      <c r="C7826" s="84">
        <f>'Warranty &amp; Maintenance'!L791</f>
        <v/>
      </c>
      <c r="D7826" s="46">
        <f>'Warranty &amp; Maintenance'!M791</f>
        <v/>
      </c>
      <c r="E7826" s="46">
        <f>IF(OR(B7826="",C7826="",D7826=""),"",D7826*100000+(C7826-DATE(2000,1,1))+ROW()/100000)</f>
        <v/>
      </c>
      <c r="F7826" s="46">
        <f>IF(E7826="","",IF(C7826&gt;WeekEndDate,"",E7826))</f>
        <v/>
      </c>
    </row>
    <row r="7827">
      <c r="A7827" t="inlineStr">
        <is>
          <t>Warranty &amp; Maintenance</t>
        </is>
      </c>
      <c r="B7827" s="46">
        <f>'Warranty &amp; Maintenance'!N792</f>
        <v/>
      </c>
      <c r="C7827" s="84">
        <f>'Warranty &amp; Maintenance'!L792</f>
        <v/>
      </c>
      <c r="D7827" s="46">
        <f>'Warranty &amp; Maintenance'!M792</f>
        <v/>
      </c>
      <c r="E7827" s="46">
        <f>IF(OR(B7827="",C7827="",D7827=""),"",D7827*100000+(C7827-DATE(2000,1,1))+ROW()/100000)</f>
        <v/>
      </c>
      <c r="F7827" s="46">
        <f>IF(E7827="","",IF(C7827&gt;WeekEndDate,"",E7827))</f>
        <v/>
      </c>
    </row>
    <row r="7828">
      <c r="A7828" t="inlineStr">
        <is>
          <t>Warranty &amp; Maintenance</t>
        </is>
      </c>
      <c r="B7828" s="46">
        <f>'Warranty &amp; Maintenance'!N793</f>
        <v/>
      </c>
      <c r="C7828" s="84">
        <f>'Warranty &amp; Maintenance'!L793</f>
        <v/>
      </c>
      <c r="D7828" s="46">
        <f>'Warranty &amp; Maintenance'!M793</f>
        <v/>
      </c>
      <c r="E7828" s="46">
        <f>IF(OR(B7828="",C7828="",D7828=""),"",D7828*100000+(C7828-DATE(2000,1,1))+ROW()/100000)</f>
        <v/>
      </c>
      <c r="F7828" s="46">
        <f>IF(E7828="","",IF(C7828&gt;WeekEndDate,"",E7828))</f>
        <v/>
      </c>
    </row>
    <row r="7829">
      <c r="A7829" t="inlineStr">
        <is>
          <t>Warranty &amp; Maintenance</t>
        </is>
      </c>
      <c r="B7829" s="46">
        <f>'Warranty &amp; Maintenance'!N794</f>
        <v/>
      </c>
      <c r="C7829" s="84">
        <f>'Warranty &amp; Maintenance'!L794</f>
        <v/>
      </c>
      <c r="D7829" s="46">
        <f>'Warranty &amp; Maintenance'!M794</f>
        <v/>
      </c>
      <c r="E7829" s="46">
        <f>IF(OR(B7829="",C7829="",D7829=""),"",D7829*100000+(C7829-DATE(2000,1,1))+ROW()/100000)</f>
        <v/>
      </c>
      <c r="F7829" s="46">
        <f>IF(E7829="","",IF(C7829&gt;WeekEndDate,"",E7829))</f>
        <v/>
      </c>
    </row>
    <row r="7830">
      <c r="A7830" t="inlineStr">
        <is>
          <t>Warranty &amp; Maintenance</t>
        </is>
      </c>
      <c r="B7830" s="46">
        <f>'Warranty &amp; Maintenance'!N795</f>
        <v/>
      </c>
      <c r="C7830" s="84">
        <f>'Warranty &amp; Maintenance'!L795</f>
        <v/>
      </c>
      <c r="D7830" s="46">
        <f>'Warranty &amp; Maintenance'!M795</f>
        <v/>
      </c>
      <c r="E7830" s="46">
        <f>IF(OR(B7830="",C7830="",D7830=""),"",D7830*100000+(C7830-DATE(2000,1,1))+ROW()/100000)</f>
        <v/>
      </c>
      <c r="F7830" s="46">
        <f>IF(E7830="","",IF(C7830&gt;WeekEndDate,"",E7830))</f>
        <v/>
      </c>
    </row>
    <row r="7831">
      <c r="A7831" t="inlineStr">
        <is>
          <t>Warranty &amp; Maintenance</t>
        </is>
      </c>
      <c r="B7831" s="46">
        <f>'Warranty &amp; Maintenance'!N796</f>
        <v/>
      </c>
      <c r="C7831" s="84">
        <f>'Warranty &amp; Maintenance'!L796</f>
        <v/>
      </c>
      <c r="D7831" s="46">
        <f>'Warranty &amp; Maintenance'!M796</f>
        <v/>
      </c>
      <c r="E7831" s="46">
        <f>IF(OR(B7831="",C7831="",D7831=""),"",D7831*100000+(C7831-DATE(2000,1,1))+ROW()/100000)</f>
        <v/>
      </c>
      <c r="F7831" s="46">
        <f>IF(E7831="","",IF(C7831&gt;WeekEndDate,"",E7831))</f>
        <v/>
      </c>
    </row>
    <row r="7832">
      <c r="A7832" t="inlineStr">
        <is>
          <t>Warranty &amp; Maintenance</t>
        </is>
      </c>
      <c r="B7832" s="46">
        <f>'Warranty &amp; Maintenance'!N797</f>
        <v/>
      </c>
      <c r="C7832" s="84">
        <f>'Warranty &amp; Maintenance'!L797</f>
        <v/>
      </c>
      <c r="D7832" s="46">
        <f>'Warranty &amp; Maintenance'!M797</f>
        <v/>
      </c>
      <c r="E7832" s="46">
        <f>IF(OR(B7832="",C7832="",D7832=""),"",D7832*100000+(C7832-DATE(2000,1,1))+ROW()/100000)</f>
        <v/>
      </c>
      <c r="F7832" s="46">
        <f>IF(E7832="","",IF(C7832&gt;WeekEndDate,"",E7832))</f>
        <v/>
      </c>
    </row>
    <row r="7833">
      <c r="A7833" t="inlineStr">
        <is>
          <t>Warranty &amp; Maintenance</t>
        </is>
      </c>
      <c r="B7833" s="46">
        <f>'Warranty &amp; Maintenance'!N798</f>
        <v/>
      </c>
      <c r="C7833" s="84">
        <f>'Warranty &amp; Maintenance'!L798</f>
        <v/>
      </c>
      <c r="D7833" s="46">
        <f>'Warranty &amp; Maintenance'!M798</f>
        <v/>
      </c>
      <c r="E7833" s="46">
        <f>IF(OR(B7833="",C7833="",D7833=""),"",D7833*100000+(C7833-DATE(2000,1,1))+ROW()/100000)</f>
        <v/>
      </c>
      <c r="F7833" s="46">
        <f>IF(E7833="","",IF(C7833&gt;WeekEndDate,"",E7833))</f>
        <v/>
      </c>
    </row>
    <row r="7834">
      <c r="A7834" t="inlineStr">
        <is>
          <t>Warranty &amp; Maintenance</t>
        </is>
      </c>
      <c r="B7834" s="46">
        <f>'Warranty &amp; Maintenance'!N799</f>
        <v/>
      </c>
      <c r="C7834" s="84">
        <f>'Warranty &amp; Maintenance'!L799</f>
        <v/>
      </c>
      <c r="D7834" s="46">
        <f>'Warranty &amp; Maintenance'!M799</f>
        <v/>
      </c>
      <c r="E7834" s="46">
        <f>IF(OR(B7834="",C7834="",D7834=""),"",D7834*100000+(C7834-DATE(2000,1,1))+ROW()/100000)</f>
        <v/>
      </c>
      <c r="F7834" s="46">
        <f>IF(E7834="","",IF(C7834&gt;WeekEndDate,"",E7834))</f>
        <v/>
      </c>
    </row>
    <row r="7835">
      <c r="A7835" t="inlineStr">
        <is>
          <t>Warranty &amp; Maintenance</t>
        </is>
      </c>
      <c r="B7835" s="46">
        <f>'Warranty &amp; Maintenance'!N800</f>
        <v/>
      </c>
      <c r="C7835" s="84">
        <f>'Warranty &amp; Maintenance'!L800</f>
        <v/>
      </c>
      <c r="D7835" s="46">
        <f>'Warranty &amp; Maintenance'!M800</f>
        <v/>
      </c>
      <c r="E7835" s="46">
        <f>IF(OR(B7835="",C7835="",D7835=""),"",D7835*100000+(C7835-DATE(2000,1,1))+ROW()/100000)</f>
        <v/>
      </c>
      <c r="F7835" s="46">
        <f>IF(E7835="","",IF(C7835&gt;WeekEndDate,"",E7835))</f>
        <v/>
      </c>
    </row>
    <row r="7836">
      <c r="A7836" t="inlineStr">
        <is>
          <t>Warranty &amp; Maintenance</t>
        </is>
      </c>
      <c r="B7836" s="46">
        <f>'Warranty &amp; Maintenance'!N801</f>
        <v/>
      </c>
      <c r="C7836" s="84">
        <f>'Warranty &amp; Maintenance'!L801</f>
        <v/>
      </c>
      <c r="D7836" s="46">
        <f>'Warranty &amp; Maintenance'!M801</f>
        <v/>
      </c>
      <c r="E7836" s="46">
        <f>IF(OR(B7836="",C7836="",D7836=""),"",D7836*100000+(C7836-DATE(2000,1,1))+ROW()/100000)</f>
        <v/>
      </c>
      <c r="F7836" s="46">
        <f>IF(E7836="","",IF(C7836&gt;WeekEndDate,"",E7836))</f>
        <v/>
      </c>
    </row>
    <row r="7837">
      <c r="A7837" t="inlineStr">
        <is>
          <t>Warranty &amp; Maintenance</t>
        </is>
      </c>
      <c r="B7837" s="46">
        <f>'Warranty &amp; Maintenance'!N802</f>
        <v/>
      </c>
      <c r="C7837" s="84">
        <f>'Warranty &amp; Maintenance'!L802</f>
        <v/>
      </c>
      <c r="D7837" s="46">
        <f>'Warranty &amp; Maintenance'!M802</f>
        <v/>
      </c>
      <c r="E7837" s="46">
        <f>IF(OR(B7837="",C7837="",D7837=""),"",D7837*100000+(C7837-DATE(2000,1,1))+ROW()/100000)</f>
        <v/>
      </c>
      <c r="F7837" s="46">
        <f>IF(E7837="","",IF(C7837&gt;WeekEndDate,"",E7837))</f>
        <v/>
      </c>
    </row>
    <row r="7838">
      <c r="A7838" t="inlineStr">
        <is>
          <t>Warranty &amp; Maintenance</t>
        </is>
      </c>
      <c r="B7838" s="46">
        <f>'Warranty &amp; Maintenance'!N803</f>
        <v/>
      </c>
      <c r="C7838" s="84">
        <f>'Warranty &amp; Maintenance'!L803</f>
        <v/>
      </c>
      <c r="D7838" s="46">
        <f>'Warranty &amp; Maintenance'!M803</f>
        <v/>
      </c>
      <c r="E7838" s="46">
        <f>IF(OR(B7838="",C7838="",D7838=""),"",D7838*100000+(C7838-DATE(2000,1,1))+ROW()/100000)</f>
        <v/>
      </c>
      <c r="F7838" s="46">
        <f>IF(E7838="","",IF(C7838&gt;WeekEndDate,"",E7838))</f>
        <v/>
      </c>
    </row>
    <row r="7839">
      <c r="A7839" t="inlineStr">
        <is>
          <t>Warranty &amp; Maintenance</t>
        </is>
      </c>
      <c r="B7839" s="46">
        <f>'Warranty &amp; Maintenance'!N804</f>
        <v/>
      </c>
      <c r="C7839" s="84">
        <f>'Warranty &amp; Maintenance'!L804</f>
        <v/>
      </c>
      <c r="D7839" s="46">
        <f>'Warranty &amp; Maintenance'!M804</f>
        <v/>
      </c>
      <c r="E7839" s="46">
        <f>IF(OR(B7839="",C7839="",D7839=""),"",D7839*100000+(C7839-DATE(2000,1,1))+ROW()/100000)</f>
        <v/>
      </c>
      <c r="F7839" s="46">
        <f>IF(E7839="","",IF(C7839&gt;WeekEndDate,"",E7839))</f>
        <v/>
      </c>
    </row>
    <row r="7840">
      <c r="A7840" t="inlineStr">
        <is>
          <t>Warranty &amp; Maintenance</t>
        </is>
      </c>
      <c r="B7840" s="46">
        <f>'Warranty &amp; Maintenance'!N805</f>
        <v/>
      </c>
      <c r="C7840" s="84">
        <f>'Warranty &amp; Maintenance'!L805</f>
        <v/>
      </c>
      <c r="D7840" s="46">
        <f>'Warranty &amp; Maintenance'!M805</f>
        <v/>
      </c>
      <c r="E7840" s="46">
        <f>IF(OR(B7840="",C7840="",D7840=""),"",D7840*100000+(C7840-DATE(2000,1,1))+ROW()/100000)</f>
        <v/>
      </c>
      <c r="F7840" s="46">
        <f>IF(E7840="","",IF(C7840&gt;WeekEndDate,"",E7840))</f>
        <v/>
      </c>
    </row>
    <row r="7841">
      <c r="A7841" t="inlineStr">
        <is>
          <t>Warranty &amp; Maintenance</t>
        </is>
      </c>
      <c r="B7841" s="46">
        <f>'Warranty &amp; Maintenance'!N806</f>
        <v/>
      </c>
      <c r="C7841" s="84">
        <f>'Warranty &amp; Maintenance'!L806</f>
        <v/>
      </c>
      <c r="D7841" s="46">
        <f>'Warranty &amp; Maintenance'!M806</f>
        <v/>
      </c>
      <c r="E7841" s="46">
        <f>IF(OR(B7841="",C7841="",D7841=""),"",D7841*100000+(C7841-DATE(2000,1,1))+ROW()/100000)</f>
        <v/>
      </c>
      <c r="F7841" s="46">
        <f>IF(E7841="","",IF(C7841&gt;WeekEndDate,"",E7841))</f>
        <v/>
      </c>
    </row>
    <row r="7842">
      <c r="A7842" t="inlineStr">
        <is>
          <t>Warranty &amp; Maintenance</t>
        </is>
      </c>
      <c r="B7842" s="46">
        <f>'Warranty &amp; Maintenance'!N807</f>
        <v/>
      </c>
      <c r="C7842" s="84">
        <f>'Warranty &amp; Maintenance'!L807</f>
        <v/>
      </c>
      <c r="D7842" s="46">
        <f>'Warranty &amp; Maintenance'!M807</f>
        <v/>
      </c>
      <c r="E7842" s="46">
        <f>IF(OR(B7842="",C7842="",D7842=""),"",D7842*100000+(C7842-DATE(2000,1,1))+ROW()/100000)</f>
        <v/>
      </c>
      <c r="F7842" s="46">
        <f>IF(E7842="","",IF(C7842&gt;WeekEndDate,"",E7842))</f>
        <v/>
      </c>
    </row>
    <row r="7843">
      <c r="A7843" t="inlineStr">
        <is>
          <t>Warranty &amp; Maintenance</t>
        </is>
      </c>
      <c r="B7843" s="46">
        <f>'Warranty &amp; Maintenance'!N808</f>
        <v/>
      </c>
      <c r="C7843" s="84">
        <f>'Warranty &amp; Maintenance'!L808</f>
        <v/>
      </c>
      <c r="D7843" s="46">
        <f>'Warranty &amp; Maintenance'!M808</f>
        <v/>
      </c>
      <c r="E7843" s="46">
        <f>IF(OR(B7843="",C7843="",D7843=""),"",D7843*100000+(C7843-DATE(2000,1,1))+ROW()/100000)</f>
        <v/>
      </c>
      <c r="F7843" s="46">
        <f>IF(E7843="","",IF(C7843&gt;WeekEndDate,"",E7843))</f>
        <v/>
      </c>
    </row>
    <row r="7844">
      <c r="A7844" t="inlineStr">
        <is>
          <t>Warranty &amp; Maintenance</t>
        </is>
      </c>
      <c r="B7844" s="46">
        <f>'Warranty &amp; Maintenance'!N809</f>
        <v/>
      </c>
      <c r="C7844" s="84">
        <f>'Warranty &amp; Maintenance'!L809</f>
        <v/>
      </c>
      <c r="D7844" s="46">
        <f>'Warranty &amp; Maintenance'!M809</f>
        <v/>
      </c>
      <c r="E7844" s="46">
        <f>IF(OR(B7844="",C7844="",D7844=""),"",D7844*100000+(C7844-DATE(2000,1,1))+ROW()/100000)</f>
        <v/>
      </c>
      <c r="F7844" s="46">
        <f>IF(E7844="","",IF(C7844&gt;WeekEndDate,"",E7844))</f>
        <v/>
      </c>
    </row>
    <row r="7845">
      <c r="A7845" t="inlineStr">
        <is>
          <t>Warranty &amp; Maintenance</t>
        </is>
      </c>
      <c r="B7845" s="46">
        <f>'Warranty &amp; Maintenance'!N810</f>
        <v/>
      </c>
      <c r="C7845" s="84">
        <f>'Warranty &amp; Maintenance'!L810</f>
        <v/>
      </c>
      <c r="D7845" s="46">
        <f>'Warranty &amp; Maintenance'!M810</f>
        <v/>
      </c>
      <c r="E7845" s="46">
        <f>IF(OR(B7845="",C7845="",D7845=""),"",D7845*100000+(C7845-DATE(2000,1,1))+ROW()/100000)</f>
        <v/>
      </c>
      <c r="F7845" s="46">
        <f>IF(E7845="","",IF(C7845&gt;WeekEndDate,"",E7845))</f>
        <v/>
      </c>
    </row>
    <row r="7846">
      <c r="A7846" t="inlineStr">
        <is>
          <t>Warranty &amp; Maintenance</t>
        </is>
      </c>
      <c r="B7846" s="46">
        <f>'Warranty &amp; Maintenance'!N811</f>
        <v/>
      </c>
      <c r="C7846" s="84">
        <f>'Warranty &amp; Maintenance'!L811</f>
        <v/>
      </c>
      <c r="D7846" s="46">
        <f>'Warranty &amp; Maintenance'!M811</f>
        <v/>
      </c>
      <c r="E7846" s="46">
        <f>IF(OR(B7846="",C7846="",D7846=""),"",D7846*100000+(C7846-DATE(2000,1,1))+ROW()/100000)</f>
        <v/>
      </c>
      <c r="F7846" s="46">
        <f>IF(E7846="","",IF(C7846&gt;WeekEndDate,"",E7846))</f>
        <v/>
      </c>
    </row>
    <row r="7847">
      <c r="A7847" t="inlineStr">
        <is>
          <t>Warranty &amp; Maintenance</t>
        </is>
      </c>
      <c r="B7847" s="46">
        <f>'Warranty &amp; Maintenance'!N812</f>
        <v/>
      </c>
      <c r="C7847" s="84">
        <f>'Warranty &amp; Maintenance'!L812</f>
        <v/>
      </c>
      <c r="D7847" s="46">
        <f>'Warranty &amp; Maintenance'!M812</f>
        <v/>
      </c>
      <c r="E7847" s="46">
        <f>IF(OR(B7847="",C7847="",D7847=""),"",D7847*100000+(C7847-DATE(2000,1,1))+ROW()/100000)</f>
        <v/>
      </c>
      <c r="F7847" s="46">
        <f>IF(E7847="","",IF(C7847&gt;WeekEndDate,"",E7847))</f>
        <v/>
      </c>
    </row>
    <row r="7848">
      <c r="A7848" t="inlineStr">
        <is>
          <t>Warranty &amp; Maintenance</t>
        </is>
      </c>
      <c r="B7848" s="46">
        <f>'Warranty &amp; Maintenance'!N813</f>
        <v/>
      </c>
      <c r="C7848" s="84">
        <f>'Warranty &amp; Maintenance'!L813</f>
        <v/>
      </c>
      <c r="D7848" s="46">
        <f>'Warranty &amp; Maintenance'!M813</f>
        <v/>
      </c>
      <c r="E7848" s="46">
        <f>IF(OR(B7848="",C7848="",D7848=""),"",D7848*100000+(C7848-DATE(2000,1,1))+ROW()/100000)</f>
        <v/>
      </c>
      <c r="F7848" s="46">
        <f>IF(E7848="","",IF(C7848&gt;WeekEndDate,"",E7848))</f>
        <v/>
      </c>
    </row>
    <row r="7849">
      <c r="A7849" t="inlineStr">
        <is>
          <t>Warranty &amp; Maintenance</t>
        </is>
      </c>
      <c r="B7849" s="46">
        <f>'Warranty &amp; Maintenance'!N814</f>
        <v/>
      </c>
      <c r="C7849" s="84">
        <f>'Warranty &amp; Maintenance'!L814</f>
        <v/>
      </c>
      <c r="D7849" s="46">
        <f>'Warranty &amp; Maintenance'!M814</f>
        <v/>
      </c>
      <c r="E7849" s="46">
        <f>IF(OR(B7849="",C7849="",D7849=""),"",D7849*100000+(C7849-DATE(2000,1,1))+ROW()/100000)</f>
        <v/>
      </c>
      <c r="F7849" s="46">
        <f>IF(E7849="","",IF(C7849&gt;WeekEndDate,"",E7849))</f>
        <v/>
      </c>
    </row>
    <row r="7850">
      <c r="A7850" t="inlineStr">
        <is>
          <t>Warranty &amp; Maintenance</t>
        </is>
      </c>
      <c r="B7850" s="46">
        <f>'Warranty &amp; Maintenance'!N815</f>
        <v/>
      </c>
      <c r="C7850" s="84">
        <f>'Warranty &amp; Maintenance'!L815</f>
        <v/>
      </c>
      <c r="D7850" s="46">
        <f>'Warranty &amp; Maintenance'!M815</f>
        <v/>
      </c>
      <c r="E7850" s="46">
        <f>IF(OR(B7850="",C7850="",D7850=""),"",D7850*100000+(C7850-DATE(2000,1,1))+ROW()/100000)</f>
        <v/>
      </c>
      <c r="F7850" s="46">
        <f>IF(E7850="","",IF(C7850&gt;WeekEndDate,"",E7850))</f>
        <v/>
      </c>
    </row>
    <row r="7851">
      <c r="A7851" t="inlineStr">
        <is>
          <t>Warranty &amp; Maintenance</t>
        </is>
      </c>
      <c r="B7851" s="46">
        <f>'Warranty &amp; Maintenance'!N816</f>
        <v/>
      </c>
      <c r="C7851" s="84">
        <f>'Warranty &amp; Maintenance'!L816</f>
        <v/>
      </c>
      <c r="D7851" s="46">
        <f>'Warranty &amp; Maintenance'!M816</f>
        <v/>
      </c>
      <c r="E7851" s="46">
        <f>IF(OR(B7851="",C7851="",D7851=""),"",D7851*100000+(C7851-DATE(2000,1,1))+ROW()/100000)</f>
        <v/>
      </c>
      <c r="F7851" s="46">
        <f>IF(E7851="","",IF(C7851&gt;WeekEndDate,"",E7851))</f>
        <v/>
      </c>
    </row>
    <row r="7852">
      <c r="A7852" t="inlineStr">
        <is>
          <t>Warranty &amp; Maintenance</t>
        </is>
      </c>
      <c r="B7852" s="46">
        <f>'Warranty &amp; Maintenance'!N817</f>
        <v/>
      </c>
      <c r="C7852" s="84">
        <f>'Warranty &amp; Maintenance'!L817</f>
        <v/>
      </c>
      <c r="D7852" s="46">
        <f>'Warranty &amp; Maintenance'!M817</f>
        <v/>
      </c>
      <c r="E7852" s="46">
        <f>IF(OR(B7852="",C7852="",D7852=""),"",D7852*100000+(C7852-DATE(2000,1,1))+ROW()/100000)</f>
        <v/>
      </c>
      <c r="F7852" s="46">
        <f>IF(E7852="","",IF(C7852&gt;WeekEndDate,"",E7852))</f>
        <v/>
      </c>
    </row>
    <row r="7853">
      <c r="A7853" t="inlineStr">
        <is>
          <t>Warranty &amp; Maintenance</t>
        </is>
      </c>
      <c r="B7853" s="46">
        <f>'Warranty &amp; Maintenance'!N818</f>
        <v/>
      </c>
      <c r="C7853" s="84">
        <f>'Warranty &amp; Maintenance'!L818</f>
        <v/>
      </c>
      <c r="D7853" s="46">
        <f>'Warranty &amp; Maintenance'!M818</f>
        <v/>
      </c>
      <c r="E7853" s="46">
        <f>IF(OR(B7853="",C7853="",D7853=""),"",D7853*100000+(C7853-DATE(2000,1,1))+ROW()/100000)</f>
        <v/>
      </c>
      <c r="F7853" s="46">
        <f>IF(E7853="","",IF(C7853&gt;WeekEndDate,"",E7853))</f>
        <v/>
      </c>
    </row>
    <row r="7854">
      <c r="A7854" t="inlineStr">
        <is>
          <t>Warranty &amp; Maintenance</t>
        </is>
      </c>
      <c r="B7854" s="46">
        <f>'Warranty &amp; Maintenance'!N819</f>
        <v/>
      </c>
      <c r="C7854" s="84">
        <f>'Warranty &amp; Maintenance'!L819</f>
        <v/>
      </c>
      <c r="D7854" s="46">
        <f>'Warranty &amp; Maintenance'!M819</f>
        <v/>
      </c>
      <c r="E7854" s="46">
        <f>IF(OR(B7854="",C7854="",D7854=""),"",D7854*100000+(C7854-DATE(2000,1,1))+ROW()/100000)</f>
        <v/>
      </c>
      <c r="F7854" s="46">
        <f>IF(E7854="","",IF(C7854&gt;WeekEndDate,"",E7854))</f>
        <v/>
      </c>
    </row>
    <row r="7855">
      <c r="A7855" t="inlineStr">
        <is>
          <t>Warranty &amp; Maintenance</t>
        </is>
      </c>
      <c r="B7855" s="46">
        <f>'Warranty &amp; Maintenance'!N820</f>
        <v/>
      </c>
      <c r="C7855" s="84">
        <f>'Warranty &amp; Maintenance'!L820</f>
        <v/>
      </c>
      <c r="D7855" s="46">
        <f>'Warranty &amp; Maintenance'!M820</f>
        <v/>
      </c>
      <c r="E7855" s="46">
        <f>IF(OR(B7855="",C7855="",D7855=""),"",D7855*100000+(C7855-DATE(2000,1,1))+ROW()/100000)</f>
        <v/>
      </c>
      <c r="F7855" s="46">
        <f>IF(E7855="","",IF(C7855&gt;WeekEndDate,"",E7855))</f>
        <v/>
      </c>
    </row>
    <row r="7856">
      <c r="A7856" t="inlineStr">
        <is>
          <t>Warranty &amp; Maintenance</t>
        </is>
      </c>
      <c r="B7856" s="46">
        <f>'Warranty &amp; Maintenance'!N821</f>
        <v/>
      </c>
      <c r="C7856" s="84">
        <f>'Warranty &amp; Maintenance'!L821</f>
        <v/>
      </c>
      <c r="D7856" s="46">
        <f>'Warranty &amp; Maintenance'!M821</f>
        <v/>
      </c>
      <c r="E7856" s="46">
        <f>IF(OR(B7856="",C7856="",D7856=""),"",D7856*100000+(C7856-DATE(2000,1,1))+ROW()/100000)</f>
        <v/>
      </c>
      <c r="F7856" s="46">
        <f>IF(E7856="","",IF(C7856&gt;WeekEndDate,"",E7856))</f>
        <v/>
      </c>
    </row>
    <row r="7857">
      <c r="A7857" t="inlineStr">
        <is>
          <t>Warranty &amp; Maintenance</t>
        </is>
      </c>
      <c r="B7857" s="46">
        <f>'Warranty &amp; Maintenance'!N822</f>
        <v/>
      </c>
      <c r="C7857" s="84">
        <f>'Warranty &amp; Maintenance'!L822</f>
        <v/>
      </c>
      <c r="D7857" s="46">
        <f>'Warranty &amp; Maintenance'!M822</f>
        <v/>
      </c>
      <c r="E7857" s="46">
        <f>IF(OR(B7857="",C7857="",D7857=""),"",D7857*100000+(C7857-DATE(2000,1,1))+ROW()/100000)</f>
        <v/>
      </c>
      <c r="F7857" s="46">
        <f>IF(E7857="","",IF(C7857&gt;WeekEndDate,"",E7857))</f>
        <v/>
      </c>
    </row>
    <row r="7858">
      <c r="A7858" t="inlineStr">
        <is>
          <t>Warranty &amp; Maintenance</t>
        </is>
      </c>
      <c r="B7858" s="46">
        <f>'Warranty &amp; Maintenance'!N823</f>
        <v/>
      </c>
      <c r="C7858" s="84">
        <f>'Warranty &amp; Maintenance'!L823</f>
        <v/>
      </c>
      <c r="D7858" s="46">
        <f>'Warranty &amp; Maintenance'!M823</f>
        <v/>
      </c>
      <c r="E7858" s="46">
        <f>IF(OR(B7858="",C7858="",D7858=""),"",D7858*100000+(C7858-DATE(2000,1,1))+ROW()/100000)</f>
        <v/>
      </c>
      <c r="F7858" s="46">
        <f>IF(E7858="","",IF(C7858&gt;WeekEndDate,"",E7858))</f>
        <v/>
      </c>
    </row>
    <row r="7859">
      <c r="A7859" t="inlineStr">
        <is>
          <t>Warranty &amp; Maintenance</t>
        </is>
      </c>
      <c r="B7859" s="46">
        <f>'Warranty &amp; Maintenance'!N824</f>
        <v/>
      </c>
      <c r="C7859" s="84">
        <f>'Warranty &amp; Maintenance'!L824</f>
        <v/>
      </c>
      <c r="D7859" s="46">
        <f>'Warranty &amp; Maintenance'!M824</f>
        <v/>
      </c>
      <c r="E7859" s="46">
        <f>IF(OR(B7859="",C7859="",D7859=""),"",D7859*100000+(C7859-DATE(2000,1,1))+ROW()/100000)</f>
        <v/>
      </c>
      <c r="F7859" s="46">
        <f>IF(E7859="","",IF(C7859&gt;WeekEndDate,"",E7859))</f>
        <v/>
      </c>
    </row>
    <row r="7860">
      <c r="A7860" t="inlineStr">
        <is>
          <t>Warranty &amp; Maintenance</t>
        </is>
      </c>
      <c r="B7860" s="46">
        <f>'Warranty &amp; Maintenance'!N825</f>
        <v/>
      </c>
      <c r="C7860" s="84">
        <f>'Warranty &amp; Maintenance'!L825</f>
        <v/>
      </c>
      <c r="D7860" s="46">
        <f>'Warranty &amp; Maintenance'!M825</f>
        <v/>
      </c>
      <c r="E7860" s="46">
        <f>IF(OR(B7860="",C7860="",D7860=""),"",D7860*100000+(C7860-DATE(2000,1,1))+ROW()/100000)</f>
        <v/>
      </c>
      <c r="F7860" s="46">
        <f>IF(E7860="","",IF(C7860&gt;WeekEndDate,"",E7860))</f>
        <v/>
      </c>
    </row>
    <row r="7861">
      <c r="A7861" t="inlineStr">
        <is>
          <t>Warranty &amp; Maintenance</t>
        </is>
      </c>
      <c r="B7861" s="46">
        <f>'Warranty &amp; Maintenance'!N826</f>
        <v/>
      </c>
      <c r="C7861" s="84">
        <f>'Warranty &amp; Maintenance'!L826</f>
        <v/>
      </c>
      <c r="D7861" s="46">
        <f>'Warranty &amp; Maintenance'!M826</f>
        <v/>
      </c>
      <c r="E7861" s="46">
        <f>IF(OR(B7861="",C7861="",D7861=""),"",D7861*100000+(C7861-DATE(2000,1,1))+ROW()/100000)</f>
        <v/>
      </c>
      <c r="F7861" s="46">
        <f>IF(E7861="","",IF(C7861&gt;WeekEndDate,"",E7861))</f>
        <v/>
      </c>
    </row>
    <row r="7862">
      <c r="A7862" t="inlineStr">
        <is>
          <t>Warranty &amp; Maintenance</t>
        </is>
      </c>
      <c r="B7862" s="46">
        <f>'Warranty &amp; Maintenance'!N827</f>
        <v/>
      </c>
      <c r="C7862" s="84">
        <f>'Warranty &amp; Maintenance'!L827</f>
        <v/>
      </c>
      <c r="D7862" s="46">
        <f>'Warranty &amp; Maintenance'!M827</f>
        <v/>
      </c>
      <c r="E7862" s="46">
        <f>IF(OR(B7862="",C7862="",D7862=""),"",D7862*100000+(C7862-DATE(2000,1,1))+ROW()/100000)</f>
        <v/>
      </c>
      <c r="F7862" s="46">
        <f>IF(E7862="","",IF(C7862&gt;WeekEndDate,"",E7862))</f>
        <v/>
      </c>
    </row>
    <row r="7863">
      <c r="A7863" t="inlineStr">
        <is>
          <t>Warranty &amp; Maintenance</t>
        </is>
      </c>
      <c r="B7863" s="46">
        <f>'Warranty &amp; Maintenance'!N828</f>
        <v/>
      </c>
      <c r="C7863" s="84">
        <f>'Warranty &amp; Maintenance'!L828</f>
        <v/>
      </c>
      <c r="D7863" s="46">
        <f>'Warranty &amp; Maintenance'!M828</f>
        <v/>
      </c>
      <c r="E7863" s="46">
        <f>IF(OR(B7863="",C7863="",D7863=""),"",D7863*100000+(C7863-DATE(2000,1,1))+ROW()/100000)</f>
        <v/>
      </c>
      <c r="F7863" s="46">
        <f>IF(E7863="","",IF(C7863&gt;WeekEndDate,"",E7863))</f>
        <v/>
      </c>
    </row>
    <row r="7864">
      <c r="A7864" t="inlineStr">
        <is>
          <t>Warranty &amp; Maintenance</t>
        </is>
      </c>
      <c r="B7864" s="46">
        <f>'Warranty &amp; Maintenance'!N829</f>
        <v/>
      </c>
      <c r="C7864" s="84">
        <f>'Warranty &amp; Maintenance'!L829</f>
        <v/>
      </c>
      <c r="D7864" s="46">
        <f>'Warranty &amp; Maintenance'!M829</f>
        <v/>
      </c>
      <c r="E7864" s="46">
        <f>IF(OR(B7864="",C7864="",D7864=""),"",D7864*100000+(C7864-DATE(2000,1,1))+ROW()/100000)</f>
        <v/>
      </c>
      <c r="F7864" s="46">
        <f>IF(E7864="","",IF(C7864&gt;WeekEndDate,"",E7864))</f>
        <v/>
      </c>
    </row>
    <row r="7865">
      <c r="A7865" t="inlineStr">
        <is>
          <t>Warranty &amp; Maintenance</t>
        </is>
      </c>
      <c r="B7865" s="46">
        <f>'Warranty &amp; Maintenance'!N830</f>
        <v/>
      </c>
      <c r="C7865" s="84">
        <f>'Warranty &amp; Maintenance'!L830</f>
        <v/>
      </c>
      <c r="D7865" s="46">
        <f>'Warranty &amp; Maintenance'!M830</f>
        <v/>
      </c>
      <c r="E7865" s="46">
        <f>IF(OR(B7865="",C7865="",D7865=""),"",D7865*100000+(C7865-DATE(2000,1,1))+ROW()/100000)</f>
        <v/>
      </c>
      <c r="F7865" s="46">
        <f>IF(E7865="","",IF(C7865&gt;WeekEndDate,"",E7865))</f>
        <v/>
      </c>
    </row>
    <row r="7866">
      <c r="A7866" t="inlineStr">
        <is>
          <t>Warranty &amp; Maintenance</t>
        </is>
      </c>
      <c r="B7866" s="46">
        <f>'Warranty &amp; Maintenance'!N831</f>
        <v/>
      </c>
      <c r="C7866" s="84">
        <f>'Warranty &amp; Maintenance'!L831</f>
        <v/>
      </c>
      <c r="D7866" s="46">
        <f>'Warranty &amp; Maintenance'!M831</f>
        <v/>
      </c>
      <c r="E7866" s="46">
        <f>IF(OR(B7866="",C7866="",D7866=""),"",D7866*100000+(C7866-DATE(2000,1,1))+ROW()/100000)</f>
        <v/>
      </c>
      <c r="F7866" s="46">
        <f>IF(E7866="","",IF(C7866&gt;WeekEndDate,"",E7866))</f>
        <v/>
      </c>
    </row>
    <row r="7867">
      <c r="A7867" t="inlineStr">
        <is>
          <t>Warranty &amp; Maintenance</t>
        </is>
      </c>
      <c r="B7867" s="46">
        <f>'Warranty &amp; Maintenance'!N832</f>
        <v/>
      </c>
      <c r="C7867" s="84">
        <f>'Warranty &amp; Maintenance'!L832</f>
        <v/>
      </c>
      <c r="D7867" s="46">
        <f>'Warranty &amp; Maintenance'!M832</f>
        <v/>
      </c>
      <c r="E7867" s="46">
        <f>IF(OR(B7867="",C7867="",D7867=""),"",D7867*100000+(C7867-DATE(2000,1,1))+ROW()/100000)</f>
        <v/>
      </c>
      <c r="F7867" s="46">
        <f>IF(E7867="","",IF(C7867&gt;WeekEndDate,"",E7867))</f>
        <v/>
      </c>
    </row>
    <row r="7868">
      <c r="A7868" t="inlineStr">
        <is>
          <t>Warranty &amp; Maintenance</t>
        </is>
      </c>
      <c r="B7868" s="46">
        <f>'Warranty &amp; Maintenance'!N833</f>
        <v/>
      </c>
      <c r="C7868" s="84">
        <f>'Warranty &amp; Maintenance'!L833</f>
        <v/>
      </c>
      <c r="D7868" s="46">
        <f>'Warranty &amp; Maintenance'!M833</f>
        <v/>
      </c>
      <c r="E7868" s="46">
        <f>IF(OR(B7868="",C7868="",D7868=""),"",D7868*100000+(C7868-DATE(2000,1,1))+ROW()/100000)</f>
        <v/>
      </c>
      <c r="F7868" s="46">
        <f>IF(E7868="","",IF(C7868&gt;WeekEndDate,"",E7868))</f>
        <v/>
      </c>
    </row>
    <row r="7869">
      <c r="A7869" t="inlineStr">
        <is>
          <t>Warranty &amp; Maintenance</t>
        </is>
      </c>
      <c r="B7869" s="46">
        <f>'Warranty &amp; Maintenance'!N834</f>
        <v/>
      </c>
      <c r="C7869" s="84">
        <f>'Warranty &amp; Maintenance'!L834</f>
        <v/>
      </c>
      <c r="D7869" s="46">
        <f>'Warranty &amp; Maintenance'!M834</f>
        <v/>
      </c>
      <c r="E7869" s="46">
        <f>IF(OR(B7869="",C7869="",D7869=""),"",D7869*100000+(C7869-DATE(2000,1,1))+ROW()/100000)</f>
        <v/>
      </c>
      <c r="F7869" s="46">
        <f>IF(E7869="","",IF(C7869&gt;WeekEndDate,"",E7869))</f>
        <v/>
      </c>
    </row>
    <row r="7870">
      <c r="A7870" t="inlineStr">
        <is>
          <t>Warranty &amp; Maintenance</t>
        </is>
      </c>
      <c r="B7870" s="46">
        <f>'Warranty &amp; Maintenance'!N835</f>
        <v/>
      </c>
      <c r="C7870" s="84">
        <f>'Warranty &amp; Maintenance'!L835</f>
        <v/>
      </c>
      <c r="D7870" s="46">
        <f>'Warranty &amp; Maintenance'!M835</f>
        <v/>
      </c>
      <c r="E7870" s="46">
        <f>IF(OR(B7870="",C7870="",D7870=""),"",D7870*100000+(C7870-DATE(2000,1,1))+ROW()/100000)</f>
        <v/>
      </c>
      <c r="F7870" s="46">
        <f>IF(E7870="","",IF(C7870&gt;WeekEndDate,"",E7870))</f>
        <v/>
      </c>
    </row>
    <row r="7871">
      <c r="A7871" t="inlineStr">
        <is>
          <t>Warranty &amp; Maintenance</t>
        </is>
      </c>
      <c r="B7871" s="46">
        <f>'Warranty &amp; Maintenance'!N836</f>
        <v/>
      </c>
      <c r="C7871" s="84">
        <f>'Warranty &amp; Maintenance'!L836</f>
        <v/>
      </c>
      <c r="D7871" s="46">
        <f>'Warranty &amp; Maintenance'!M836</f>
        <v/>
      </c>
      <c r="E7871" s="46">
        <f>IF(OR(B7871="",C7871="",D7871=""),"",D7871*100000+(C7871-DATE(2000,1,1))+ROW()/100000)</f>
        <v/>
      </c>
      <c r="F7871" s="46">
        <f>IF(E7871="","",IF(C7871&gt;WeekEndDate,"",E7871))</f>
        <v/>
      </c>
    </row>
    <row r="7872">
      <c r="A7872" t="inlineStr">
        <is>
          <t>Warranty &amp; Maintenance</t>
        </is>
      </c>
      <c r="B7872" s="46">
        <f>'Warranty &amp; Maintenance'!N837</f>
        <v/>
      </c>
      <c r="C7872" s="84">
        <f>'Warranty &amp; Maintenance'!L837</f>
        <v/>
      </c>
      <c r="D7872" s="46">
        <f>'Warranty &amp; Maintenance'!M837</f>
        <v/>
      </c>
      <c r="E7872" s="46">
        <f>IF(OR(B7872="",C7872="",D7872=""),"",D7872*100000+(C7872-DATE(2000,1,1))+ROW()/100000)</f>
        <v/>
      </c>
      <c r="F7872" s="46">
        <f>IF(E7872="","",IF(C7872&gt;WeekEndDate,"",E7872))</f>
        <v/>
      </c>
    </row>
    <row r="7873">
      <c r="A7873" t="inlineStr">
        <is>
          <t>Warranty &amp; Maintenance</t>
        </is>
      </c>
      <c r="B7873" s="46">
        <f>'Warranty &amp; Maintenance'!N838</f>
        <v/>
      </c>
      <c r="C7873" s="84">
        <f>'Warranty &amp; Maintenance'!L838</f>
        <v/>
      </c>
      <c r="D7873" s="46">
        <f>'Warranty &amp; Maintenance'!M838</f>
        <v/>
      </c>
      <c r="E7873" s="46">
        <f>IF(OR(B7873="",C7873="",D7873=""),"",D7873*100000+(C7873-DATE(2000,1,1))+ROW()/100000)</f>
        <v/>
      </c>
      <c r="F7873" s="46">
        <f>IF(E7873="","",IF(C7873&gt;WeekEndDate,"",E7873))</f>
        <v/>
      </c>
    </row>
    <row r="7874">
      <c r="A7874" t="inlineStr">
        <is>
          <t>Warranty &amp; Maintenance</t>
        </is>
      </c>
      <c r="B7874" s="46">
        <f>'Warranty &amp; Maintenance'!N839</f>
        <v/>
      </c>
      <c r="C7874" s="84">
        <f>'Warranty &amp; Maintenance'!L839</f>
        <v/>
      </c>
      <c r="D7874" s="46">
        <f>'Warranty &amp; Maintenance'!M839</f>
        <v/>
      </c>
      <c r="E7874" s="46">
        <f>IF(OR(B7874="",C7874="",D7874=""),"",D7874*100000+(C7874-DATE(2000,1,1))+ROW()/100000)</f>
        <v/>
      </c>
      <c r="F7874" s="46">
        <f>IF(E7874="","",IF(C7874&gt;WeekEndDate,"",E7874))</f>
        <v/>
      </c>
    </row>
    <row r="7875">
      <c r="A7875" t="inlineStr">
        <is>
          <t>Warranty &amp; Maintenance</t>
        </is>
      </c>
      <c r="B7875" s="46">
        <f>'Warranty &amp; Maintenance'!N840</f>
        <v/>
      </c>
      <c r="C7875" s="84">
        <f>'Warranty &amp; Maintenance'!L840</f>
        <v/>
      </c>
      <c r="D7875" s="46">
        <f>'Warranty &amp; Maintenance'!M840</f>
        <v/>
      </c>
      <c r="E7875" s="46">
        <f>IF(OR(B7875="",C7875="",D7875=""),"",D7875*100000+(C7875-DATE(2000,1,1))+ROW()/100000)</f>
        <v/>
      </c>
      <c r="F7875" s="46">
        <f>IF(E7875="","",IF(C7875&gt;WeekEndDate,"",E7875))</f>
        <v/>
      </c>
    </row>
    <row r="7876">
      <c r="A7876" t="inlineStr">
        <is>
          <t>Warranty &amp; Maintenance</t>
        </is>
      </c>
      <c r="B7876" s="46">
        <f>'Warranty &amp; Maintenance'!N841</f>
        <v/>
      </c>
      <c r="C7876" s="84">
        <f>'Warranty &amp; Maintenance'!L841</f>
        <v/>
      </c>
      <c r="D7876" s="46">
        <f>'Warranty &amp; Maintenance'!M841</f>
        <v/>
      </c>
      <c r="E7876" s="46">
        <f>IF(OR(B7876="",C7876="",D7876=""),"",D7876*100000+(C7876-DATE(2000,1,1))+ROW()/100000)</f>
        <v/>
      </c>
      <c r="F7876" s="46">
        <f>IF(E7876="","",IF(C7876&gt;WeekEndDate,"",E7876))</f>
        <v/>
      </c>
    </row>
    <row r="7877">
      <c r="A7877" t="inlineStr">
        <is>
          <t>Warranty &amp; Maintenance</t>
        </is>
      </c>
      <c r="B7877" s="46">
        <f>'Warranty &amp; Maintenance'!N842</f>
        <v/>
      </c>
      <c r="C7877" s="84">
        <f>'Warranty &amp; Maintenance'!L842</f>
        <v/>
      </c>
      <c r="D7877" s="46">
        <f>'Warranty &amp; Maintenance'!M842</f>
        <v/>
      </c>
      <c r="E7877" s="46">
        <f>IF(OR(B7877="",C7877="",D7877=""),"",D7877*100000+(C7877-DATE(2000,1,1))+ROW()/100000)</f>
        <v/>
      </c>
      <c r="F7877" s="46">
        <f>IF(E7877="","",IF(C7877&gt;WeekEndDate,"",E7877))</f>
        <v/>
      </c>
    </row>
    <row r="7878">
      <c r="A7878" t="inlineStr">
        <is>
          <t>Warranty &amp; Maintenance</t>
        </is>
      </c>
      <c r="B7878" s="46">
        <f>'Warranty &amp; Maintenance'!N843</f>
        <v/>
      </c>
      <c r="C7878" s="84">
        <f>'Warranty &amp; Maintenance'!L843</f>
        <v/>
      </c>
      <c r="D7878" s="46">
        <f>'Warranty &amp; Maintenance'!M843</f>
        <v/>
      </c>
      <c r="E7878" s="46">
        <f>IF(OR(B7878="",C7878="",D7878=""),"",D7878*100000+(C7878-DATE(2000,1,1))+ROW()/100000)</f>
        <v/>
      </c>
      <c r="F7878" s="46">
        <f>IF(E7878="","",IF(C7878&gt;WeekEndDate,"",E7878))</f>
        <v/>
      </c>
    </row>
    <row r="7879">
      <c r="A7879" t="inlineStr">
        <is>
          <t>Warranty &amp; Maintenance</t>
        </is>
      </c>
      <c r="B7879" s="46">
        <f>'Warranty &amp; Maintenance'!N844</f>
        <v/>
      </c>
      <c r="C7879" s="84">
        <f>'Warranty &amp; Maintenance'!L844</f>
        <v/>
      </c>
      <c r="D7879" s="46">
        <f>'Warranty &amp; Maintenance'!M844</f>
        <v/>
      </c>
      <c r="E7879" s="46">
        <f>IF(OR(B7879="",C7879="",D7879=""),"",D7879*100000+(C7879-DATE(2000,1,1))+ROW()/100000)</f>
        <v/>
      </c>
      <c r="F7879" s="46">
        <f>IF(E7879="","",IF(C7879&gt;WeekEndDate,"",E7879))</f>
        <v/>
      </c>
    </row>
    <row r="7880">
      <c r="A7880" t="inlineStr">
        <is>
          <t>Warranty &amp; Maintenance</t>
        </is>
      </c>
      <c r="B7880" s="46">
        <f>'Warranty &amp; Maintenance'!N845</f>
        <v/>
      </c>
      <c r="C7880" s="84">
        <f>'Warranty &amp; Maintenance'!L845</f>
        <v/>
      </c>
      <c r="D7880" s="46">
        <f>'Warranty &amp; Maintenance'!M845</f>
        <v/>
      </c>
      <c r="E7880" s="46">
        <f>IF(OR(B7880="",C7880="",D7880=""),"",D7880*100000+(C7880-DATE(2000,1,1))+ROW()/100000)</f>
        <v/>
      </c>
      <c r="F7880" s="46">
        <f>IF(E7880="","",IF(C7880&gt;WeekEndDate,"",E7880))</f>
        <v/>
      </c>
    </row>
    <row r="7881">
      <c r="A7881" t="inlineStr">
        <is>
          <t>Warranty &amp; Maintenance</t>
        </is>
      </c>
      <c r="B7881" s="46">
        <f>'Warranty &amp; Maintenance'!N846</f>
        <v/>
      </c>
      <c r="C7881" s="84">
        <f>'Warranty &amp; Maintenance'!L846</f>
        <v/>
      </c>
      <c r="D7881" s="46">
        <f>'Warranty &amp; Maintenance'!M846</f>
        <v/>
      </c>
      <c r="E7881" s="46">
        <f>IF(OR(B7881="",C7881="",D7881=""),"",D7881*100000+(C7881-DATE(2000,1,1))+ROW()/100000)</f>
        <v/>
      </c>
      <c r="F7881" s="46">
        <f>IF(E7881="","",IF(C7881&gt;WeekEndDate,"",E7881))</f>
        <v/>
      </c>
    </row>
    <row r="7882">
      <c r="A7882" t="inlineStr">
        <is>
          <t>Warranty &amp; Maintenance</t>
        </is>
      </c>
      <c r="B7882" s="46">
        <f>'Warranty &amp; Maintenance'!N847</f>
        <v/>
      </c>
      <c r="C7882" s="84">
        <f>'Warranty &amp; Maintenance'!L847</f>
        <v/>
      </c>
      <c r="D7882" s="46">
        <f>'Warranty &amp; Maintenance'!M847</f>
        <v/>
      </c>
      <c r="E7882" s="46">
        <f>IF(OR(B7882="",C7882="",D7882=""),"",D7882*100000+(C7882-DATE(2000,1,1))+ROW()/100000)</f>
        <v/>
      </c>
      <c r="F7882" s="46">
        <f>IF(E7882="","",IF(C7882&gt;WeekEndDate,"",E7882))</f>
        <v/>
      </c>
    </row>
    <row r="7883">
      <c r="A7883" t="inlineStr">
        <is>
          <t>Warranty &amp; Maintenance</t>
        </is>
      </c>
      <c r="B7883" s="46">
        <f>'Warranty &amp; Maintenance'!N848</f>
        <v/>
      </c>
      <c r="C7883" s="84">
        <f>'Warranty &amp; Maintenance'!L848</f>
        <v/>
      </c>
      <c r="D7883" s="46">
        <f>'Warranty &amp; Maintenance'!M848</f>
        <v/>
      </c>
      <c r="E7883" s="46">
        <f>IF(OR(B7883="",C7883="",D7883=""),"",D7883*100000+(C7883-DATE(2000,1,1))+ROW()/100000)</f>
        <v/>
      </c>
      <c r="F7883" s="46">
        <f>IF(E7883="","",IF(C7883&gt;WeekEndDate,"",E7883))</f>
        <v/>
      </c>
    </row>
    <row r="7884">
      <c r="A7884" t="inlineStr">
        <is>
          <t>Warranty &amp; Maintenance</t>
        </is>
      </c>
      <c r="B7884" s="46">
        <f>'Warranty &amp; Maintenance'!N849</f>
        <v/>
      </c>
      <c r="C7884" s="84">
        <f>'Warranty &amp; Maintenance'!L849</f>
        <v/>
      </c>
      <c r="D7884" s="46">
        <f>'Warranty &amp; Maintenance'!M849</f>
        <v/>
      </c>
      <c r="E7884" s="46">
        <f>IF(OR(B7884="",C7884="",D7884=""),"",D7884*100000+(C7884-DATE(2000,1,1))+ROW()/100000)</f>
        <v/>
      </c>
      <c r="F7884" s="46">
        <f>IF(E7884="","",IF(C7884&gt;WeekEndDate,"",E7884))</f>
        <v/>
      </c>
    </row>
    <row r="7885">
      <c r="A7885" t="inlineStr">
        <is>
          <t>Warranty &amp; Maintenance</t>
        </is>
      </c>
      <c r="B7885" s="46">
        <f>'Warranty &amp; Maintenance'!N850</f>
        <v/>
      </c>
      <c r="C7885" s="84">
        <f>'Warranty &amp; Maintenance'!L850</f>
        <v/>
      </c>
      <c r="D7885" s="46">
        <f>'Warranty &amp; Maintenance'!M850</f>
        <v/>
      </c>
      <c r="E7885" s="46">
        <f>IF(OR(B7885="",C7885="",D7885=""),"",D7885*100000+(C7885-DATE(2000,1,1))+ROW()/100000)</f>
        <v/>
      </c>
      <c r="F7885" s="46">
        <f>IF(E7885="","",IF(C7885&gt;WeekEndDate,"",E7885))</f>
        <v/>
      </c>
    </row>
    <row r="7886">
      <c r="A7886" t="inlineStr">
        <is>
          <t>Warranty &amp; Maintenance</t>
        </is>
      </c>
      <c r="B7886" s="46">
        <f>'Warranty &amp; Maintenance'!N851</f>
        <v/>
      </c>
      <c r="C7886" s="84">
        <f>'Warranty &amp; Maintenance'!L851</f>
        <v/>
      </c>
      <c r="D7886" s="46">
        <f>'Warranty &amp; Maintenance'!M851</f>
        <v/>
      </c>
      <c r="E7886" s="46">
        <f>IF(OR(B7886="",C7886="",D7886=""),"",D7886*100000+(C7886-DATE(2000,1,1))+ROW()/100000)</f>
        <v/>
      </c>
      <c r="F7886" s="46">
        <f>IF(E7886="","",IF(C7886&gt;WeekEndDate,"",E7886))</f>
        <v/>
      </c>
    </row>
    <row r="7887">
      <c r="A7887" t="inlineStr">
        <is>
          <t>Warranty &amp; Maintenance</t>
        </is>
      </c>
      <c r="B7887" s="46">
        <f>'Warranty &amp; Maintenance'!N852</f>
        <v/>
      </c>
      <c r="C7887" s="84">
        <f>'Warranty &amp; Maintenance'!L852</f>
        <v/>
      </c>
      <c r="D7887" s="46">
        <f>'Warranty &amp; Maintenance'!M852</f>
        <v/>
      </c>
      <c r="E7887" s="46">
        <f>IF(OR(B7887="",C7887="",D7887=""),"",D7887*100000+(C7887-DATE(2000,1,1))+ROW()/100000)</f>
        <v/>
      </c>
      <c r="F7887" s="46">
        <f>IF(E7887="","",IF(C7887&gt;WeekEndDate,"",E7887))</f>
        <v/>
      </c>
    </row>
    <row r="7888">
      <c r="A7888" t="inlineStr">
        <is>
          <t>Warranty &amp; Maintenance</t>
        </is>
      </c>
      <c r="B7888" s="46">
        <f>'Warranty &amp; Maintenance'!N853</f>
        <v/>
      </c>
      <c r="C7888" s="84">
        <f>'Warranty &amp; Maintenance'!L853</f>
        <v/>
      </c>
      <c r="D7888" s="46">
        <f>'Warranty &amp; Maintenance'!M853</f>
        <v/>
      </c>
      <c r="E7888" s="46">
        <f>IF(OR(B7888="",C7888="",D7888=""),"",D7888*100000+(C7888-DATE(2000,1,1))+ROW()/100000)</f>
        <v/>
      </c>
      <c r="F7888" s="46">
        <f>IF(E7888="","",IF(C7888&gt;WeekEndDate,"",E7888))</f>
        <v/>
      </c>
    </row>
    <row r="7889">
      <c r="A7889" t="inlineStr">
        <is>
          <t>Warranty &amp; Maintenance</t>
        </is>
      </c>
      <c r="B7889" s="46">
        <f>'Warranty &amp; Maintenance'!N854</f>
        <v/>
      </c>
      <c r="C7889" s="84">
        <f>'Warranty &amp; Maintenance'!L854</f>
        <v/>
      </c>
      <c r="D7889" s="46">
        <f>'Warranty &amp; Maintenance'!M854</f>
        <v/>
      </c>
      <c r="E7889" s="46">
        <f>IF(OR(B7889="",C7889="",D7889=""),"",D7889*100000+(C7889-DATE(2000,1,1))+ROW()/100000)</f>
        <v/>
      </c>
      <c r="F7889" s="46">
        <f>IF(E7889="","",IF(C7889&gt;WeekEndDate,"",E7889))</f>
        <v/>
      </c>
    </row>
    <row r="7890">
      <c r="A7890" t="inlineStr">
        <is>
          <t>Warranty &amp; Maintenance</t>
        </is>
      </c>
      <c r="B7890" s="46">
        <f>'Warranty &amp; Maintenance'!N855</f>
        <v/>
      </c>
      <c r="C7890" s="84">
        <f>'Warranty &amp; Maintenance'!L855</f>
        <v/>
      </c>
      <c r="D7890" s="46">
        <f>'Warranty &amp; Maintenance'!M855</f>
        <v/>
      </c>
      <c r="E7890" s="46">
        <f>IF(OR(B7890="",C7890="",D7890=""),"",D7890*100000+(C7890-DATE(2000,1,1))+ROW()/100000)</f>
        <v/>
      </c>
      <c r="F7890" s="46">
        <f>IF(E7890="","",IF(C7890&gt;WeekEndDate,"",E7890))</f>
        <v/>
      </c>
    </row>
    <row r="7891">
      <c r="A7891" t="inlineStr">
        <is>
          <t>Warranty &amp; Maintenance</t>
        </is>
      </c>
      <c r="B7891" s="46">
        <f>'Warranty &amp; Maintenance'!N856</f>
        <v/>
      </c>
      <c r="C7891" s="84">
        <f>'Warranty &amp; Maintenance'!L856</f>
        <v/>
      </c>
      <c r="D7891" s="46">
        <f>'Warranty &amp; Maintenance'!M856</f>
        <v/>
      </c>
      <c r="E7891" s="46">
        <f>IF(OR(B7891="",C7891="",D7891=""),"",D7891*100000+(C7891-DATE(2000,1,1))+ROW()/100000)</f>
        <v/>
      </c>
      <c r="F7891" s="46">
        <f>IF(E7891="","",IF(C7891&gt;WeekEndDate,"",E7891))</f>
        <v/>
      </c>
    </row>
    <row r="7892">
      <c r="A7892" t="inlineStr">
        <is>
          <t>Warranty &amp; Maintenance</t>
        </is>
      </c>
      <c r="B7892" s="46">
        <f>'Warranty &amp; Maintenance'!N857</f>
        <v/>
      </c>
      <c r="C7892" s="84">
        <f>'Warranty &amp; Maintenance'!L857</f>
        <v/>
      </c>
      <c r="D7892" s="46">
        <f>'Warranty &amp; Maintenance'!M857</f>
        <v/>
      </c>
      <c r="E7892" s="46">
        <f>IF(OR(B7892="",C7892="",D7892=""),"",D7892*100000+(C7892-DATE(2000,1,1))+ROW()/100000)</f>
        <v/>
      </c>
      <c r="F7892" s="46">
        <f>IF(E7892="","",IF(C7892&gt;WeekEndDate,"",E7892))</f>
        <v/>
      </c>
    </row>
    <row r="7893">
      <c r="A7893" t="inlineStr">
        <is>
          <t>Warranty &amp; Maintenance</t>
        </is>
      </c>
      <c r="B7893" s="46">
        <f>'Warranty &amp; Maintenance'!N858</f>
        <v/>
      </c>
      <c r="C7893" s="84">
        <f>'Warranty &amp; Maintenance'!L858</f>
        <v/>
      </c>
      <c r="D7893" s="46">
        <f>'Warranty &amp; Maintenance'!M858</f>
        <v/>
      </c>
      <c r="E7893" s="46">
        <f>IF(OR(B7893="",C7893="",D7893=""),"",D7893*100000+(C7893-DATE(2000,1,1))+ROW()/100000)</f>
        <v/>
      </c>
      <c r="F7893" s="46">
        <f>IF(E7893="","",IF(C7893&gt;WeekEndDate,"",E7893))</f>
        <v/>
      </c>
    </row>
    <row r="7894">
      <c r="A7894" t="inlineStr">
        <is>
          <t>Warranty &amp; Maintenance</t>
        </is>
      </c>
      <c r="B7894" s="46">
        <f>'Warranty &amp; Maintenance'!N859</f>
        <v/>
      </c>
      <c r="C7894" s="84">
        <f>'Warranty &amp; Maintenance'!L859</f>
        <v/>
      </c>
      <c r="D7894" s="46">
        <f>'Warranty &amp; Maintenance'!M859</f>
        <v/>
      </c>
      <c r="E7894" s="46">
        <f>IF(OR(B7894="",C7894="",D7894=""),"",D7894*100000+(C7894-DATE(2000,1,1))+ROW()/100000)</f>
        <v/>
      </c>
      <c r="F7894" s="46">
        <f>IF(E7894="","",IF(C7894&gt;WeekEndDate,"",E7894))</f>
        <v/>
      </c>
    </row>
    <row r="7895">
      <c r="A7895" t="inlineStr">
        <is>
          <t>Warranty &amp; Maintenance</t>
        </is>
      </c>
      <c r="B7895" s="46">
        <f>'Warranty &amp; Maintenance'!N860</f>
        <v/>
      </c>
      <c r="C7895" s="84">
        <f>'Warranty &amp; Maintenance'!L860</f>
        <v/>
      </c>
      <c r="D7895" s="46">
        <f>'Warranty &amp; Maintenance'!M860</f>
        <v/>
      </c>
      <c r="E7895" s="46">
        <f>IF(OR(B7895="",C7895="",D7895=""),"",D7895*100000+(C7895-DATE(2000,1,1))+ROW()/100000)</f>
        <v/>
      </c>
      <c r="F7895" s="46">
        <f>IF(E7895="","",IF(C7895&gt;WeekEndDate,"",E7895))</f>
        <v/>
      </c>
    </row>
    <row r="7896">
      <c r="A7896" t="inlineStr">
        <is>
          <t>Warranty &amp; Maintenance</t>
        </is>
      </c>
      <c r="B7896" s="46">
        <f>'Warranty &amp; Maintenance'!N861</f>
        <v/>
      </c>
      <c r="C7896" s="84">
        <f>'Warranty &amp; Maintenance'!L861</f>
        <v/>
      </c>
      <c r="D7896" s="46">
        <f>'Warranty &amp; Maintenance'!M861</f>
        <v/>
      </c>
      <c r="E7896" s="46">
        <f>IF(OR(B7896="",C7896="",D7896=""),"",D7896*100000+(C7896-DATE(2000,1,1))+ROW()/100000)</f>
        <v/>
      </c>
      <c r="F7896" s="46">
        <f>IF(E7896="","",IF(C7896&gt;WeekEndDate,"",E7896))</f>
        <v/>
      </c>
    </row>
    <row r="7897">
      <c r="A7897" t="inlineStr">
        <is>
          <t>Warranty &amp; Maintenance</t>
        </is>
      </c>
      <c r="B7897" s="46">
        <f>'Warranty &amp; Maintenance'!N862</f>
        <v/>
      </c>
      <c r="C7897" s="84">
        <f>'Warranty &amp; Maintenance'!L862</f>
        <v/>
      </c>
      <c r="D7897" s="46">
        <f>'Warranty &amp; Maintenance'!M862</f>
        <v/>
      </c>
      <c r="E7897" s="46">
        <f>IF(OR(B7897="",C7897="",D7897=""),"",D7897*100000+(C7897-DATE(2000,1,1))+ROW()/100000)</f>
        <v/>
      </c>
      <c r="F7897" s="46">
        <f>IF(E7897="","",IF(C7897&gt;WeekEndDate,"",E7897))</f>
        <v/>
      </c>
    </row>
    <row r="7898">
      <c r="A7898" t="inlineStr">
        <is>
          <t>Warranty &amp; Maintenance</t>
        </is>
      </c>
      <c r="B7898" s="46">
        <f>'Warranty &amp; Maintenance'!N863</f>
        <v/>
      </c>
      <c r="C7898" s="84">
        <f>'Warranty &amp; Maintenance'!L863</f>
        <v/>
      </c>
      <c r="D7898" s="46">
        <f>'Warranty &amp; Maintenance'!M863</f>
        <v/>
      </c>
      <c r="E7898" s="46">
        <f>IF(OR(B7898="",C7898="",D7898=""),"",D7898*100000+(C7898-DATE(2000,1,1))+ROW()/100000)</f>
        <v/>
      </c>
      <c r="F7898" s="46">
        <f>IF(E7898="","",IF(C7898&gt;WeekEndDate,"",E7898))</f>
        <v/>
      </c>
    </row>
    <row r="7899">
      <c r="A7899" t="inlineStr">
        <is>
          <t>Warranty &amp; Maintenance</t>
        </is>
      </c>
      <c r="B7899" s="46">
        <f>'Warranty &amp; Maintenance'!N864</f>
        <v/>
      </c>
      <c r="C7899" s="84">
        <f>'Warranty &amp; Maintenance'!L864</f>
        <v/>
      </c>
      <c r="D7899" s="46">
        <f>'Warranty &amp; Maintenance'!M864</f>
        <v/>
      </c>
      <c r="E7899" s="46">
        <f>IF(OR(B7899="",C7899="",D7899=""),"",D7899*100000+(C7899-DATE(2000,1,1))+ROW()/100000)</f>
        <v/>
      </c>
      <c r="F7899" s="46">
        <f>IF(E7899="","",IF(C7899&gt;WeekEndDate,"",E7899))</f>
        <v/>
      </c>
    </row>
    <row r="7900">
      <c r="A7900" t="inlineStr">
        <is>
          <t>Warranty &amp; Maintenance</t>
        </is>
      </c>
      <c r="B7900" s="46">
        <f>'Warranty &amp; Maintenance'!N865</f>
        <v/>
      </c>
      <c r="C7900" s="84">
        <f>'Warranty &amp; Maintenance'!L865</f>
        <v/>
      </c>
      <c r="D7900" s="46">
        <f>'Warranty &amp; Maintenance'!M865</f>
        <v/>
      </c>
      <c r="E7900" s="46">
        <f>IF(OR(B7900="",C7900="",D7900=""),"",D7900*100000+(C7900-DATE(2000,1,1))+ROW()/100000)</f>
        <v/>
      </c>
      <c r="F7900" s="46">
        <f>IF(E7900="","",IF(C7900&gt;WeekEndDate,"",E7900))</f>
        <v/>
      </c>
    </row>
    <row r="7901">
      <c r="A7901" t="inlineStr">
        <is>
          <t>Warranty &amp; Maintenance</t>
        </is>
      </c>
      <c r="B7901" s="46">
        <f>'Warranty &amp; Maintenance'!N866</f>
        <v/>
      </c>
      <c r="C7901" s="84">
        <f>'Warranty &amp; Maintenance'!L866</f>
        <v/>
      </c>
      <c r="D7901" s="46">
        <f>'Warranty &amp; Maintenance'!M866</f>
        <v/>
      </c>
      <c r="E7901" s="46">
        <f>IF(OR(B7901="",C7901="",D7901=""),"",D7901*100000+(C7901-DATE(2000,1,1))+ROW()/100000)</f>
        <v/>
      </c>
      <c r="F7901" s="46">
        <f>IF(E7901="","",IF(C7901&gt;WeekEndDate,"",E7901))</f>
        <v/>
      </c>
    </row>
    <row r="7902">
      <c r="A7902" t="inlineStr">
        <is>
          <t>Warranty &amp; Maintenance</t>
        </is>
      </c>
      <c r="B7902" s="46">
        <f>'Warranty &amp; Maintenance'!N867</f>
        <v/>
      </c>
      <c r="C7902" s="84">
        <f>'Warranty &amp; Maintenance'!L867</f>
        <v/>
      </c>
      <c r="D7902" s="46">
        <f>'Warranty &amp; Maintenance'!M867</f>
        <v/>
      </c>
      <c r="E7902" s="46">
        <f>IF(OR(B7902="",C7902="",D7902=""),"",D7902*100000+(C7902-DATE(2000,1,1))+ROW()/100000)</f>
        <v/>
      </c>
      <c r="F7902" s="46">
        <f>IF(E7902="","",IF(C7902&gt;WeekEndDate,"",E7902))</f>
        <v/>
      </c>
    </row>
    <row r="7903">
      <c r="A7903" t="inlineStr">
        <is>
          <t>Warranty &amp; Maintenance</t>
        </is>
      </c>
      <c r="B7903" s="46">
        <f>'Warranty &amp; Maintenance'!N868</f>
        <v/>
      </c>
      <c r="C7903" s="84">
        <f>'Warranty &amp; Maintenance'!L868</f>
        <v/>
      </c>
      <c r="D7903" s="46">
        <f>'Warranty &amp; Maintenance'!M868</f>
        <v/>
      </c>
      <c r="E7903" s="46">
        <f>IF(OR(B7903="",C7903="",D7903=""),"",D7903*100000+(C7903-DATE(2000,1,1))+ROW()/100000)</f>
        <v/>
      </c>
      <c r="F7903" s="46">
        <f>IF(E7903="","",IF(C7903&gt;WeekEndDate,"",E7903))</f>
        <v/>
      </c>
    </row>
    <row r="7904">
      <c r="A7904" t="inlineStr">
        <is>
          <t>Warranty &amp; Maintenance</t>
        </is>
      </c>
      <c r="B7904" s="46">
        <f>'Warranty &amp; Maintenance'!N869</f>
        <v/>
      </c>
      <c r="C7904" s="84">
        <f>'Warranty &amp; Maintenance'!L869</f>
        <v/>
      </c>
      <c r="D7904" s="46">
        <f>'Warranty &amp; Maintenance'!M869</f>
        <v/>
      </c>
      <c r="E7904" s="46">
        <f>IF(OR(B7904="",C7904="",D7904=""),"",D7904*100000+(C7904-DATE(2000,1,1))+ROW()/100000)</f>
        <v/>
      </c>
      <c r="F7904" s="46">
        <f>IF(E7904="","",IF(C7904&gt;WeekEndDate,"",E7904))</f>
        <v/>
      </c>
    </row>
    <row r="7905">
      <c r="A7905" t="inlineStr">
        <is>
          <t>Warranty &amp; Maintenance</t>
        </is>
      </c>
      <c r="B7905" s="46">
        <f>'Warranty &amp; Maintenance'!N870</f>
        <v/>
      </c>
      <c r="C7905" s="84">
        <f>'Warranty &amp; Maintenance'!L870</f>
        <v/>
      </c>
      <c r="D7905" s="46">
        <f>'Warranty &amp; Maintenance'!M870</f>
        <v/>
      </c>
      <c r="E7905" s="46">
        <f>IF(OR(B7905="",C7905="",D7905=""),"",D7905*100000+(C7905-DATE(2000,1,1))+ROW()/100000)</f>
        <v/>
      </c>
      <c r="F7905" s="46">
        <f>IF(E7905="","",IF(C7905&gt;WeekEndDate,"",E7905))</f>
        <v/>
      </c>
    </row>
    <row r="7906">
      <c r="A7906" t="inlineStr">
        <is>
          <t>Warranty &amp; Maintenance</t>
        </is>
      </c>
      <c r="B7906" s="46">
        <f>'Warranty &amp; Maintenance'!N871</f>
        <v/>
      </c>
      <c r="C7906" s="84">
        <f>'Warranty &amp; Maintenance'!L871</f>
        <v/>
      </c>
      <c r="D7906" s="46">
        <f>'Warranty &amp; Maintenance'!M871</f>
        <v/>
      </c>
      <c r="E7906" s="46">
        <f>IF(OR(B7906="",C7906="",D7906=""),"",D7906*100000+(C7906-DATE(2000,1,1))+ROW()/100000)</f>
        <v/>
      </c>
      <c r="F7906" s="46">
        <f>IF(E7906="","",IF(C7906&gt;WeekEndDate,"",E7906))</f>
        <v/>
      </c>
    </row>
    <row r="7907">
      <c r="A7907" t="inlineStr">
        <is>
          <t>Warranty &amp; Maintenance</t>
        </is>
      </c>
      <c r="B7907" s="46">
        <f>'Warranty &amp; Maintenance'!N872</f>
        <v/>
      </c>
      <c r="C7907" s="84">
        <f>'Warranty &amp; Maintenance'!L872</f>
        <v/>
      </c>
      <c r="D7907" s="46">
        <f>'Warranty &amp; Maintenance'!M872</f>
        <v/>
      </c>
      <c r="E7907" s="46">
        <f>IF(OR(B7907="",C7907="",D7907=""),"",D7907*100000+(C7907-DATE(2000,1,1))+ROW()/100000)</f>
        <v/>
      </c>
      <c r="F7907" s="46">
        <f>IF(E7907="","",IF(C7907&gt;WeekEndDate,"",E7907))</f>
        <v/>
      </c>
    </row>
    <row r="7908">
      <c r="A7908" t="inlineStr">
        <is>
          <t>Warranty &amp; Maintenance</t>
        </is>
      </c>
      <c r="B7908" s="46">
        <f>'Warranty &amp; Maintenance'!N873</f>
        <v/>
      </c>
      <c r="C7908" s="84">
        <f>'Warranty &amp; Maintenance'!L873</f>
        <v/>
      </c>
      <c r="D7908" s="46">
        <f>'Warranty &amp; Maintenance'!M873</f>
        <v/>
      </c>
      <c r="E7908" s="46">
        <f>IF(OR(B7908="",C7908="",D7908=""),"",D7908*100000+(C7908-DATE(2000,1,1))+ROW()/100000)</f>
        <v/>
      </c>
      <c r="F7908" s="46">
        <f>IF(E7908="","",IF(C7908&gt;WeekEndDate,"",E7908))</f>
        <v/>
      </c>
    </row>
    <row r="7909">
      <c r="A7909" t="inlineStr">
        <is>
          <t>Warranty &amp; Maintenance</t>
        </is>
      </c>
      <c r="B7909" s="46">
        <f>'Warranty &amp; Maintenance'!N874</f>
        <v/>
      </c>
      <c r="C7909" s="84">
        <f>'Warranty &amp; Maintenance'!L874</f>
        <v/>
      </c>
      <c r="D7909" s="46">
        <f>'Warranty &amp; Maintenance'!M874</f>
        <v/>
      </c>
      <c r="E7909" s="46">
        <f>IF(OR(B7909="",C7909="",D7909=""),"",D7909*100000+(C7909-DATE(2000,1,1))+ROW()/100000)</f>
        <v/>
      </c>
      <c r="F7909" s="46">
        <f>IF(E7909="","",IF(C7909&gt;WeekEndDate,"",E7909))</f>
        <v/>
      </c>
    </row>
    <row r="7910">
      <c r="A7910" t="inlineStr">
        <is>
          <t>Warranty &amp; Maintenance</t>
        </is>
      </c>
      <c r="B7910" s="46">
        <f>'Warranty &amp; Maintenance'!N875</f>
        <v/>
      </c>
      <c r="C7910" s="84">
        <f>'Warranty &amp; Maintenance'!L875</f>
        <v/>
      </c>
      <c r="D7910" s="46">
        <f>'Warranty &amp; Maintenance'!M875</f>
        <v/>
      </c>
      <c r="E7910" s="46">
        <f>IF(OR(B7910="",C7910="",D7910=""),"",D7910*100000+(C7910-DATE(2000,1,1))+ROW()/100000)</f>
        <v/>
      </c>
      <c r="F7910" s="46">
        <f>IF(E7910="","",IF(C7910&gt;WeekEndDate,"",E7910))</f>
        <v/>
      </c>
    </row>
    <row r="7911">
      <c r="A7911" t="inlineStr">
        <is>
          <t>Warranty &amp; Maintenance</t>
        </is>
      </c>
      <c r="B7911" s="46">
        <f>'Warranty &amp; Maintenance'!N876</f>
        <v/>
      </c>
      <c r="C7911" s="84">
        <f>'Warranty &amp; Maintenance'!L876</f>
        <v/>
      </c>
      <c r="D7911" s="46">
        <f>'Warranty &amp; Maintenance'!M876</f>
        <v/>
      </c>
      <c r="E7911" s="46">
        <f>IF(OR(B7911="",C7911="",D7911=""),"",D7911*100000+(C7911-DATE(2000,1,1))+ROW()/100000)</f>
        <v/>
      </c>
      <c r="F7911" s="46">
        <f>IF(E7911="","",IF(C7911&gt;WeekEndDate,"",E7911))</f>
        <v/>
      </c>
    </row>
    <row r="7912">
      <c r="A7912" t="inlineStr">
        <is>
          <t>Warranty &amp; Maintenance</t>
        </is>
      </c>
      <c r="B7912" s="46">
        <f>'Warranty &amp; Maintenance'!N877</f>
        <v/>
      </c>
      <c r="C7912" s="84">
        <f>'Warranty &amp; Maintenance'!L877</f>
        <v/>
      </c>
      <c r="D7912" s="46">
        <f>'Warranty &amp; Maintenance'!M877</f>
        <v/>
      </c>
      <c r="E7912" s="46">
        <f>IF(OR(B7912="",C7912="",D7912=""),"",D7912*100000+(C7912-DATE(2000,1,1))+ROW()/100000)</f>
        <v/>
      </c>
      <c r="F7912" s="46">
        <f>IF(E7912="","",IF(C7912&gt;WeekEndDate,"",E7912))</f>
        <v/>
      </c>
    </row>
    <row r="7913">
      <c r="A7913" t="inlineStr">
        <is>
          <t>Warranty &amp; Maintenance</t>
        </is>
      </c>
      <c r="B7913" s="46">
        <f>'Warranty &amp; Maintenance'!N878</f>
        <v/>
      </c>
      <c r="C7913" s="84">
        <f>'Warranty &amp; Maintenance'!L878</f>
        <v/>
      </c>
      <c r="D7913" s="46">
        <f>'Warranty &amp; Maintenance'!M878</f>
        <v/>
      </c>
      <c r="E7913" s="46">
        <f>IF(OR(B7913="",C7913="",D7913=""),"",D7913*100000+(C7913-DATE(2000,1,1))+ROW()/100000)</f>
        <v/>
      </c>
      <c r="F7913" s="46">
        <f>IF(E7913="","",IF(C7913&gt;WeekEndDate,"",E7913))</f>
        <v/>
      </c>
    </row>
    <row r="7914">
      <c r="A7914" t="inlineStr">
        <is>
          <t>Warranty &amp; Maintenance</t>
        </is>
      </c>
      <c r="B7914" s="46">
        <f>'Warranty &amp; Maintenance'!N879</f>
        <v/>
      </c>
      <c r="C7914" s="84">
        <f>'Warranty &amp; Maintenance'!L879</f>
        <v/>
      </c>
      <c r="D7914" s="46">
        <f>'Warranty &amp; Maintenance'!M879</f>
        <v/>
      </c>
      <c r="E7914" s="46">
        <f>IF(OR(B7914="",C7914="",D7914=""),"",D7914*100000+(C7914-DATE(2000,1,1))+ROW()/100000)</f>
        <v/>
      </c>
      <c r="F7914" s="46">
        <f>IF(E7914="","",IF(C7914&gt;WeekEndDate,"",E7914))</f>
        <v/>
      </c>
    </row>
    <row r="7915">
      <c r="A7915" t="inlineStr">
        <is>
          <t>Warranty &amp; Maintenance</t>
        </is>
      </c>
      <c r="B7915" s="46">
        <f>'Warranty &amp; Maintenance'!N880</f>
        <v/>
      </c>
      <c r="C7915" s="84">
        <f>'Warranty &amp; Maintenance'!L880</f>
        <v/>
      </c>
      <c r="D7915" s="46">
        <f>'Warranty &amp; Maintenance'!M880</f>
        <v/>
      </c>
      <c r="E7915" s="46">
        <f>IF(OR(B7915="",C7915="",D7915=""),"",D7915*100000+(C7915-DATE(2000,1,1))+ROW()/100000)</f>
        <v/>
      </c>
      <c r="F7915" s="46">
        <f>IF(E7915="","",IF(C7915&gt;WeekEndDate,"",E7915))</f>
        <v/>
      </c>
    </row>
    <row r="7916">
      <c r="A7916" t="inlineStr">
        <is>
          <t>Warranty &amp; Maintenance</t>
        </is>
      </c>
      <c r="B7916" s="46">
        <f>'Warranty &amp; Maintenance'!N881</f>
        <v/>
      </c>
      <c r="C7916" s="84">
        <f>'Warranty &amp; Maintenance'!L881</f>
        <v/>
      </c>
      <c r="D7916" s="46">
        <f>'Warranty &amp; Maintenance'!M881</f>
        <v/>
      </c>
      <c r="E7916" s="46">
        <f>IF(OR(B7916="",C7916="",D7916=""),"",D7916*100000+(C7916-DATE(2000,1,1))+ROW()/100000)</f>
        <v/>
      </c>
      <c r="F7916" s="46">
        <f>IF(E7916="","",IF(C7916&gt;WeekEndDate,"",E7916))</f>
        <v/>
      </c>
    </row>
    <row r="7917">
      <c r="A7917" t="inlineStr">
        <is>
          <t>Warranty &amp; Maintenance</t>
        </is>
      </c>
      <c r="B7917" s="46">
        <f>'Warranty &amp; Maintenance'!N882</f>
        <v/>
      </c>
      <c r="C7917" s="84">
        <f>'Warranty &amp; Maintenance'!L882</f>
        <v/>
      </c>
      <c r="D7917" s="46">
        <f>'Warranty &amp; Maintenance'!M882</f>
        <v/>
      </c>
      <c r="E7917" s="46">
        <f>IF(OR(B7917="",C7917="",D7917=""),"",D7917*100000+(C7917-DATE(2000,1,1))+ROW()/100000)</f>
        <v/>
      </c>
      <c r="F7917" s="46">
        <f>IF(E7917="","",IF(C7917&gt;WeekEndDate,"",E7917))</f>
        <v/>
      </c>
    </row>
    <row r="7918">
      <c r="A7918" t="inlineStr">
        <is>
          <t>Warranty &amp; Maintenance</t>
        </is>
      </c>
      <c r="B7918" s="46">
        <f>'Warranty &amp; Maintenance'!N883</f>
        <v/>
      </c>
      <c r="C7918" s="84">
        <f>'Warranty &amp; Maintenance'!L883</f>
        <v/>
      </c>
      <c r="D7918" s="46">
        <f>'Warranty &amp; Maintenance'!M883</f>
        <v/>
      </c>
      <c r="E7918" s="46">
        <f>IF(OR(B7918="",C7918="",D7918=""),"",D7918*100000+(C7918-DATE(2000,1,1))+ROW()/100000)</f>
        <v/>
      </c>
      <c r="F7918" s="46">
        <f>IF(E7918="","",IF(C7918&gt;WeekEndDate,"",E7918))</f>
        <v/>
      </c>
    </row>
    <row r="7919">
      <c r="A7919" t="inlineStr">
        <is>
          <t>Warranty &amp; Maintenance</t>
        </is>
      </c>
      <c r="B7919" s="46">
        <f>'Warranty &amp; Maintenance'!N884</f>
        <v/>
      </c>
      <c r="C7919" s="84">
        <f>'Warranty &amp; Maintenance'!L884</f>
        <v/>
      </c>
      <c r="D7919" s="46">
        <f>'Warranty &amp; Maintenance'!M884</f>
        <v/>
      </c>
      <c r="E7919" s="46">
        <f>IF(OR(B7919="",C7919="",D7919=""),"",D7919*100000+(C7919-DATE(2000,1,1))+ROW()/100000)</f>
        <v/>
      </c>
      <c r="F7919" s="46">
        <f>IF(E7919="","",IF(C7919&gt;WeekEndDate,"",E7919))</f>
        <v/>
      </c>
    </row>
    <row r="7920">
      <c r="A7920" t="inlineStr">
        <is>
          <t>Warranty &amp; Maintenance</t>
        </is>
      </c>
      <c r="B7920" s="46">
        <f>'Warranty &amp; Maintenance'!N885</f>
        <v/>
      </c>
      <c r="C7920" s="84">
        <f>'Warranty &amp; Maintenance'!L885</f>
        <v/>
      </c>
      <c r="D7920" s="46">
        <f>'Warranty &amp; Maintenance'!M885</f>
        <v/>
      </c>
      <c r="E7920" s="46">
        <f>IF(OR(B7920="",C7920="",D7920=""),"",D7920*100000+(C7920-DATE(2000,1,1))+ROW()/100000)</f>
        <v/>
      </c>
      <c r="F7920" s="46">
        <f>IF(E7920="","",IF(C7920&gt;WeekEndDate,"",E7920))</f>
        <v/>
      </c>
    </row>
    <row r="7921">
      <c r="A7921" t="inlineStr">
        <is>
          <t>Warranty &amp; Maintenance</t>
        </is>
      </c>
      <c r="B7921" s="46">
        <f>'Warranty &amp; Maintenance'!N886</f>
        <v/>
      </c>
      <c r="C7921" s="84">
        <f>'Warranty &amp; Maintenance'!L886</f>
        <v/>
      </c>
      <c r="D7921" s="46">
        <f>'Warranty &amp; Maintenance'!M886</f>
        <v/>
      </c>
      <c r="E7921" s="46">
        <f>IF(OR(B7921="",C7921="",D7921=""),"",D7921*100000+(C7921-DATE(2000,1,1))+ROW()/100000)</f>
        <v/>
      </c>
      <c r="F7921" s="46">
        <f>IF(E7921="","",IF(C7921&gt;WeekEndDate,"",E7921))</f>
        <v/>
      </c>
    </row>
    <row r="7922">
      <c r="A7922" t="inlineStr">
        <is>
          <t>Warranty &amp; Maintenance</t>
        </is>
      </c>
      <c r="B7922" s="46">
        <f>'Warranty &amp; Maintenance'!N887</f>
        <v/>
      </c>
      <c r="C7922" s="84">
        <f>'Warranty &amp; Maintenance'!L887</f>
        <v/>
      </c>
      <c r="D7922" s="46">
        <f>'Warranty &amp; Maintenance'!M887</f>
        <v/>
      </c>
      <c r="E7922" s="46">
        <f>IF(OR(B7922="",C7922="",D7922=""),"",D7922*100000+(C7922-DATE(2000,1,1))+ROW()/100000)</f>
        <v/>
      </c>
      <c r="F7922" s="46">
        <f>IF(E7922="","",IF(C7922&gt;WeekEndDate,"",E7922))</f>
        <v/>
      </c>
    </row>
    <row r="7923">
      <c r="A7923" t="inlineStr">
        <is>
          <t>Warranty &amp; Maintenance</t>
        </is>
      </c>
      <c r="B7923" s="46">
        <f>'Warranty &amp; Maintenance'!N888</f>
        <v/>
      </c>
      <c r="C7923" s="84">
        <f>'Warranty &amp; Maintenance'!L888</f>
        <v/>
      </c>
      <c r="D7923" s="46">
        <f>'Warranty &amp; Maintenance'!M888</f>
        <v/>
      </c>
      <c r="E7923" s="46">
        <f>IF(OR(B7923="",C7923="",D7923=""),"",D7923*100000+(C7923-DATE(2000,1,1))+ROW()/100000)</f>
        <v/>
      </c>
      <c r="F7923" s="46">
        <f>IF(E7923="","",IF(C7923&gt;WeekEndDate,"",E7923))</f>
        <v/>
      </c>
    </row>
    <row r="7924">
      <c r="A7924" t="inlineStr">
        <is>
          <t>Warranty &amp; Maintenance</t>
        </is>
      </c>
      <c r="B7924" s="46">
        <f>'Warranty &amp; Maintenance'!N889</f>
        <v/>
      </c>
      <c r="C7924" s="84">
        <f>'Warranty &amp; Maintenance'!L889</f>
        <v/>
      </c>
      <c r="D7924" s="46">
        <f>'Warranty &amp; Maintenance'!M889</f>
        <v/>
      </c>
      <c r="E7924" s="46">
        <f>IF(OR(B7924="",C7924="",D7924=""),"",D7924*100000+(C7924-DATE(2000,1,1))+ROW()/100000)</f>
        <v/>
      </c>
      <c r="F7924" s="46">
        <f>IF(E7924="","",IF(C7924&gt;WeekEndDate,"",E7924))</f>
        <v/>
      </c>
    </row>
    <row r="7925">
      <c r="A7925" t="inlineStr">
        <is>
          <t>Warranty &amp; Maintenance</t>
        </is>
      </c>
      <c r="B7925" s="46">
        <f>'Warranty &amp; Maintenance'!N890</f>
        <v/>
      </c>
      <c r="C7925" s="84">
        <f>'Warranty &amp; Maintenance'!L890</f>
        <v/>
      </c>
      <c r="D7925" s="46">
        <f>'Warranty &amp; Maintenance'!M890</f>
        <v/>
      </c>
      <c r="E7925" s="46">
        <f>IF(OR(B7925="",C7925="",D7925=""),"",D7925*100000+(C7925-DATE(2000,1,1))+ROW()/100000)</f>
        <v/>
      </c>
      <c r="F7925" s="46">
        <f>IF(E7925="","",IF(C7925&gt;WeekEndDate,"",E7925))</f>
        <v/>
      </c>
    </row>
    <row r="7926">
      <c r="A7926" t="inlineStr">
        <is>
          <t>Warranty &amp; Maintenance</t>
        </is>
      </c>
      <c r="B7926" s="46">
        <f>'Warranty &amp; Maintenance'!N891</f>
        <v/>
      </c>
      <c r="C7926" s="84">
        <f>'Warranty &amp; Maintenance'!L891</f>
        <v/>
      </c>
      <c r="D7926" s="46">
        <f>'Warranty &amp; Maintenance'!M891</f>
        <v/>
      </c>
      <c r="E7926" s="46">
        <f>IF(OR(B7926="",C7926="",D7926=""),"",D7926*100000+(C7926-DATE(2000,1,1))+ROW()/100000)</f>
        <v/>
      </c>
      <c r="F7926" s="46">
        <f>IF(E7926="","",IF(C7926&gt;WeekEndDate,"",E7926))</f>
        <v/>
      </c>
    </row>
    <row r="7927">
      <c r="A7927" t="inlineStr">
        <is>
          <t>Warranty &amp; Maintenance</t>
        </is>
      </c>
      <c r="B7927" s="46">
        <f>'Warranty &amp; Maintenance'!N892</f>
        <v/>
      </c>
      <c r="C7927" s="84">
        <f>'Warranty &amp; Maintenance'!L892</f>
        <v/>
      </c>
      <c r="D7927" s="46">
        <f>'Warranty &amp; Maintenance'!M892</f>
        <v/>
      </c>
      <c r="E7927" s="46">
        <f>IF(OR(B7927="",C7927="",D7927=""),"",D7927*100000+(C7927-DATE(2000,1,1))+ROW()/100000)</f>
        <v/>
      </c>
      <c r="F7927" s="46">
        <f>IF(E7927="","",IF(C7927&gt;WeekEndDate,"",E7927))</f>
        <v/>
      </c>
    </row>
    <row r="7928">
      <c r="A7928" t="inlineStr">
        <is>
          <t>Warranty &amp; Maintenance</t>
        </is>
      </c>
      <c r="B7928" s="46">
        <f>'Warranty &amp; Maintenance'!N893</f>
        <v/>
      </c>
      <c r="C7928" s="84">
        <f>'Warranty &amp; Maintenance'!L893</f>
        <v/>
      </c>
      <c r="D7928" s="46">
        <f>'Warranty &amp; Maintenance'!M893</f>
        <v/>
      </c>
      <c r="E7928" s="46">
        <f>IF(OR(B7928="",C7928="",D7928=""),"",D7928*100000+(C7928-DATE(2000,1,1))+ROW()/100000)</f>
        <v/>
      </c>
      <c r="F7928" s="46">
        <f>IF(E7928="","",IF(C7928&gt;WeekEndDate,"",E7928))</f>
        <v/>
      </c>
    </row>
    <row r="7929">
      <c r="A7929" t="inlineStr">
        <is>
          <t>Warranty &amp; Maintenance</t>
        </is>
      </c>
      <c r="B7929" s="46">
        <f>'Warranty &amp; Maintenance'!N894</f>
        <v/>
      </c>
      <c r="C7929" s="84">
        <f>'Warranty &amp; Maintenance'!L894</f>
        <v/>
      </c>
      <c r="D7929" s="46">
        <f>'Warranty &amp; Maintenance'!M894</f>
        <v/>
      </c>
      <c r="E7929" s="46">
        <f>IF(OR(B7929="",C7929="",D7929=""),"",D7929*100000+(C7929-DATE(2000,1,1))+ROW()/100000)</f>
        <v/>
      </c>
      <c r="F7929" s="46">
        <f>IF(E7929="","",IF(C7929&gt;WeekEndDate,"",E7929))</f>
        <v/>
      </c>
    </row>
    <row r="7930">
      <c r="A7930" t="inlineStr">
        <is>
          <t>Warranty &amp; Maintenance</t>
        </is>
      </c>
      <c r="B7930" s="46">
        <f>'Warranty &amp; Maintenance'!N895</f>
        <v/>
      </c>
      <c r="C7930" s="84">
        <f>'Warranty &amp; Maintenance'!L895</f>
        <v/>
      </c>
      <c r="D7930" s="46">
        <f>'Warranty &amp; Maintenance'!M895</f>
        <v/>
      </c>
      <c r="E7930" s="46">
        <f>IF(OR(B7930="",C7930="",D7930=""),"",D7930*100000+(C7930-DATE(2000,1,1))+ROW()/100000)</f>
        <v/>
      </c>
      <c r="F7930" s="46">
        <f>IF(E7930="","",IF(C7930&gt;WeekEndDate,"",E7930))</f>
        <v/>
      </c>
    </row>
    <row r="7931">
      <c r="A7931" t="inlineStr">
        <is>
          <t>Warranty &amp; Maintenance</t>
        </is>
      </c>
      <c r="B7931" s="46">
        <f>'Warranty &amp; Maintenance'!N896</f>
        <v/>
      </c>
      <c r="C7931" s="84">
        <f>'Warranty &amp; Maintenance'!L896</f>
        <v/>
      </c>
      <c r="D7931" s="46">
        <f>'Warranty &amp; Maintenance'!M896</f>
        <v/>
      </c>
      <c r="E7931" s="46">
        <f>IF(OR(B7931="",C7931="",D7931=""),"",D7931*100000+(C7931-DATE(2000,1,1))+ROW()/100000)</f>
        <v/>
      </c>
      <c r="F7931" s="46">
        <f>IF(E7931="","",IF(C7931&gt;WeekEndDate,"",E7931))</f>
        <v/>
      </c>
    </row>
    <row r="7932">
      <c r="A7932" t="inlineStr">
        <is>
          <t>Warranty &amp; Maintenance</t>
        </is>
      </c>
      <c r="B7932" s="46">
        <f>'Warranty &amp; Maintenance'!N897</f>
        <v/>
      </c>
      <c r="C7932" s="84">
        <f>'Warranty &amp; Maintenance'!L897</f>
        <v/>
      </c>
      <c r="D7932" s="46">
        <f>'Warranty &amp; Maintenance'!M897</f>
        <v/>
      </c>
      <c r="E7932" s="46">
        <f>IF(OR(B7932="",C7932="",D7932=""),"",D7932*100000+(C7932-DATE(2000,1,1))+ROW()/100000)</f>
        <v/>
      </c>
      <c r="F7932" s="46">
        <f>IF(E7932="","",IF(C7932&gt;WeekEndDate,"",E7932))</f>
        <v/>
      </c>
    </row>
    <row r="7933">
      <c r="A7933" t="inlineStr">
        <is>
          <t>Warranty &amp; Maintenance</t>
        </is>
      </c>
      <c r="B7933" s="46">
        <f>'Warranty &amp; Maintenance'!N898</f>
        <v/>
      </c>
      <c r="C7933" s="84">
        <f>'Warranty &amp; Maintenance'!L898</f>
        <v/>
      </c>
      <c r="D7933" s="46">
        <f>'Warranty &amp; Maintenance'!M898</f>
        <v/>
      </c>
      <c r="E7933" s="46">
        <f>IF(OR(B7933="",C7933="",D7933=""),"",D7933*100000+(C7933-DATE(2000,1,1))+ROW()/100000)</f>
        <v/>
      </c>
      <c r="F7933" s="46">
        <f>IF(E7933="","",IF(C7933&gt;WeekEndDate,"",E7933))</f>
        <v/>
      </c>
    </row>
    <row r="7934">
      <c r="A7934" t="inlineStr">
        <is>
          <t>Warranty &amp; Maintenance</t>
        </is>
      </c>
      <c r="B7934" s="46">
        <f>'Warranty &amp; Maintenance'!N899</f>
        <v/>
      </c>
      <c r="C7934" s="84">
        <f>'Warranty &amp; Maintenance'!L899</f>
        <v/>
      </c>
      <c r="D7934" s="46">
        <f>'Warranty &amp; Maintenance'!M899</f>
        <v/>
      </c>
      <c r="E7934" s="46">
        <f>IF(OR(B7934="",C7934="",D7934=""),"",D7934*100000+(C7934-DATE(2000,1,1))+ROW()/100000)</f>
        <v/>
      </c>
      <c r="F7934" s="46">
        <f>IF(E7934="","",IF(C7934&gt;WeekEndDate,"",E7934))</f>
        <v/>
      </c>
    </row>
    <row r="7935">
      <c r="A7935" t="inlineStr">
        <is>
          <t>Warranty &amp; Maintenance</t>
        </is>
      </c>
      <c r="B7935" s="46">
        <f>'Warranty &amp; Maintenance'!N900</f>
        <v/>
      </c>
      <c r="C7935" s="84">
        <f>'Warranty &amp; Maintenance'!L900</f>
        <v/>
      </c>
      <c r="D7935" s="46">
        <f>'Warranty &amp; Maintenance'!M900</f>
        <v/>
      </c>
      <c r="E7935" s="46">
        <f>IF(OR(B7935="",C7935="",D7935=""),"",D7935*100000+(C7935-DATE(2000,1,1))+ROW()/100000)</f>
        <v/>
      </c>
      <c r="F7935" s="46">
        <f>IF(E7935="","",IF(C7935&gt;WeekEndDate,"",E7935))</f>
        <v/>
      </c>
    </row>
    <row r="7936">
      <c r="A7936" t="inlineStr">
        <is>
          <t>Warranty &amp; Maintenance</t>
        </is>
      </c>
      <c r="B7936" s="46">
        <f>'Warranty &amp; Maintenance'!N901</f>
        <v/>
      </c>
      <c r="C7936" s="84">
        <f>'Warranty &amp; Maintenance'!L901</f>
        <v/>
      </c>
      <c r="D7936" s="46">
        <f>'Warranty &amp; Maintenance'!M901</f>
        <v/>
      </c>
      <c r="E7936" s="46">
        <f>IF(OR(B7936="",C7936="",D7936=""),"",D7936*100000+(C7936-DATE(2000,1,1))+ROW()/100000)</f>
        <v/>
      </c>
      <c r="F7936" s="46">
        <f>IF(E7936="","",IF(C7936&gt;WeekEndDate,"",E7936))</f>
        <v/>
      </c>
    </row>
    <row r="7937">
      <c r="A7937" t="inlineStr">
        <is>
          <t>Warranty &amp; Maintenance</t>
        </is>
      </c>
      <c r="B7937" s="46">
        <f>'Warranty &amp; Maintenance'!N902</f>
        <v/>
      </c>
      <c r="C7937" s="84">
        <f>'Warranty &amp; Maintenance'!L902</f>
        <v/>
      </c>
      <c r="D7937" s="46">
        <f>'Warranty &amp; Maintenance'!M902</f>
        <v/>
      </c>
      <c r="E7937" s="46">
        <f>IF(OR(B7937="",C7937="",D7937=""),"",D7937*100000+(C7937-DATE(2000,1,1))+ROW()/100000)</f>
        <v/>
      </c>
      <c r="F7937" s="46">
        <f>IF(E7937="","",IF(C7937&gt;WeekEndDate,"",E7937))</f>
        <v/>
      </c>
    </row>
    <row r="7938">
      <c r="A7938" t="inlineStr">
        <is>
          <t>Warranty &amp; Maintenance</t>
        </is>
      </c>
      <c r="B7938" s="46">
        <f>'Warranty &amp; Maintenance'!N903</f>
        <v/>
      </c>
      <c r="C7938" s="84">
        <f>'Warranty &amp; Maintenance'!L903</f>
        <v/>
      </c>
      <c r="D7938" s="46">
        <f>'Warranty &amp; Maintenance'!M903</f>
        <v/>
      </c>
      <c r="E7938" s="46">
        <f>IF(OR(B7938="",C7938="",D7938=""),"",D7938*100000+(C7938-DATE(2000,1,1))+ROW()/100000)</f>
        <v/>
      </c>
      <c r="F7938" s="46">
        <f>IF(E7938="","",IF(C7938&gt;WeekEndDate,"",E7938))</f>
        <v/>
      </c>
    </row>
    <row r="7939">
      <c r="A7939" t="inlineStr">
        <is>
          <t>Warranty &amp; Maintenance</t>
        </is>
      </c>
      <c r="B7939" s="46">
        <f>'Warranty &amp; Maintenance'!N904</f>
        <v/>
      </c>
      <c r="C7939" s="84">
        <f>'Warranty &amp; Maintenance'!L904</f>
        <v/>
      </c>
      <c r="D7939" s="46">
        <f>'Warranty &amp; Maintenance'!M904</f>
        <v/>
      </c>
      <c r="E7939" s="46">
        <f>IF(OR(B7939="",C7939="",D7939=""),"",D7939*100000+(C7939-DATE(2000,1,1))+ROW()/100000)</f>
        <v/>
      </c>
      <c r="F7939" s="46">
        <f>IF(E7939="","",IF(C7939&gt;WeekEndDate,"",E7939))</f>
        <v/>
      </c>
    </row>
    <row r="7940">
      <c r="A7940" t="inlineStr">
        <is>
          <t>Warranty &amp; Maintenance</t>
        </is>
      </c>
      <c r="B7940" s="46">
        <f>'Warranty &amp; Maintenance'!N905</f>
        <v/>
      </c>
      <c r="C7940" s="84">
        <f>'Warranty &amp; Maintenance'!L905</f>
        <v/>
      </c>
      <c r="D7940" s="46">
        <f>'Warranty &amp; Maintenance'!M905</f>
        <v/>
      </c>
      <c r="E7940" s="46">
        <f>IF(OR(B7940="",C7940="",D7940=""),"",D7940*100000+(C7940-DATE(2000,1,1))+ROW()/100000)</f>
        <v/>
      </c>
      <c r="F7940" s="46">
        <f>IF(E7940="","",IF(C7940&gt;WeekEndDate,"",E7940))</f>
        <v/>
      </c>
    </row>
    <row r="7941">
      <c r="A7941" t="inlineStr">
        <is>
          <t>Warranty &amp; Maintenance</t>
        </is>
      </c>
      <c r="B7941" s="46">
        <f>'Warranty &amp; Maintenance'!N906</f>
        <v/>
      </c>
      <c r="C7941" s="84">
        <f>'Warranty &amp; Maintenance'!L906</f>
        <v/>
      </c>
      <c r="D7941" s="46">
        <f>'Warranty &amp; Maintenance'!M906</f>
        <v/>
      </c>
      <c r="E7941" s="46">
        <f>IF(OR(B7941="",C7941="",D7941=""),"",D7941*100000+(C7941-DATE(2000,1,1))+ROW()/100000)</f>
        <v/>
      </c>
      <c r="F7941" s="46">
        <f>IF(E7941="","",IF(C7941&gt;WeekEndDate,"",E7941))</f>
        <v/>
      </c>
    </row>
    <row r="7942">
      <c r="A7942" t="inlineStr">
        <is>
          <t>Warranty &amp; Maintenance</t>
        </is>
      </c>
      <c r="B7942" s="46">
        <f>'Warranty &amp; Maintenance'!N907</f>
        <v/>
      </c>
      <c r="C7942" s="84">
        <f>'Warranty &amp; Maintenance'!L907</f>
        <v/>
      </c>
      <c r="D7942" s="46">
        <f>'Warranty &amp; Maintenance'!M907</f>
        <v/>
      </c>
      <c r="E7942" s="46">
        <f>IF(OR(B7942="",C7942="",D7942=""),"",D7942*100000+(C7942-DATE(2000,1,1))+ROW()/100000)</f>
        <v/>
      </c>
      <c r="F7942" s="46">
        <f>IF(E7942="","",IF(C7942&gt;WeekEndDate,"",E7942))</f>
        <v/>
      </c>
    </row>
    <row r="7943">
      <c r="A7943" t="inlineStr">
        <is>
          <t>Warranty &amp; Maintenance</t>
        </is>
      </c>
      <c r="B7943" s="46">
        <f>'Warranty &amp; Maintenance'!N908</f>
        <v/>
      </c>
      <c r="C7943" s="84">
        <f>'Warranty &amp; Maintenance'!L908</f>
        <v/>
      </c>
      <c r="D7943" s="46">
        <f>'Warranty &amp; Maintenance'!M908</f>
        <v/>
      </c>
      <c r="E7943" s="46">
        <f>IF(OR(B7943="",C7943="",D7943=""),"",D7943*100000+(C7943-DATE(2000,1,1))+ROW()/100000)</f>
        <v/>
      </c>
      <c r="F7943" s="46">
        <f>IF(E7943="","",IF(C7943&gt;WeekEndDate,"",E7943))</f>
        <v/>
      </c>
    </row>
    <row r="7944">
      <c r="A7944" t="inlineStr">
        <is>
          <t>Warranty &amp; Maintenance</t>
        </is>
      </c>
      <c r="B7944" s="46">
        <f>'Warranty &amp; Maintenance'!N909</f>
        <v/>
      </c>
      <c r="C7944" s="84">
        <f>'Warranty &amp; Maintenance'!L909</f>
        <v/>
      </c>
      <c r="D7944" s="46">
        <f>'Warranty &amp; Maintenance'!M909</f>
        <v/>
      </c>
      <c r="E7944" s="46">
        <f>IF(OR(B7944="",C7944="",D7944=""),"",D7944*100000+(C7944-DATE(2000,1,1))+ROW()/100000)</f>
        <v/>
      </c>
      <c r="F7944" s="46">
        <f>IF(E7944="","",IF(C7944&gt;WeekEndDate,"",E7944))</f>
        <v/>
      </c>
    </row>
    <row r="7945">
      <c r="A7945" t="inlineStr">
        <is>
          <t>Warranty &amp; Maintenance</t>
        </is>
      </c>
      <c r="B7945" s="46">
        <f>'Warranty &amp; Maintenance'!N910</f>
        <v/>
      </c>
      <c r="C7945" s="84">
        <f>'Warranty &amp; Maintenance'!L910</f>
        <v/>
      </c>
      <c r="D7945" s="46">
        <f>'Warranty &amp; Maintenance'!M910</f>
        <v/>
      </c>
      <c r="E7945" s="46">
        <f>IF(OR(B7945="",C7945="",D7945=""),"",D7945*100000+(C7945-DATE(2000,1,1))+ROW()/100000)</f>
        <v/>
      </c>
      <c r="F7945" s="46">
        <f>IF(E7945="","",IF(C7945&gt;WeekEndDate,"",E7945))</f>
        <v/>
      </c>
    </row>
    <row r="7946">
      <c r="A7946" t="inlineStr">
        <is>
          <t>Warranty &amp; Maintenance</t>
        </is>
      </c>
      <c r="B7946" s="46">
        <f>'Warranty &amp; Maintenance'!N911</f>
        <v/>
      </c>
      <c r="C7946" s="84">
        <f>'Warranty &amp; Maintenance'!L911</f>
        <v/>
      </c>
      <c r="D7946" s="46">
        <f>'Warranty &amp; Maintenance'!M911</f>
        <v/>
      </c>
      <c r="E7946" s="46">
        <f>IF(OR(B7946="",C7946="",D7946=""),"",D7946*100000+(C7946-DATE(2000,1,1))+ROW()/100000)</f>
        <v/>
      </c>
      <c r="F7946" s="46">
        <f>IF(E7946="","",IF(C7946&gt;WeekEndDate,"",E7946))</f>
        <v/>
      </c>
    </row>
    <row r="7947">
      <c r="A7947" t="inlineStr">
        <is>
          <t>Warranty &amp; Maintenance</t>
        </is>
      </c>
      <c r="B7947" s="46">
        <f>'Warranty &amp; Maintenance'!N912</f>
        <v/>
      </c>
      <c r="C7947" s="84">
        <f>'Warranty &amp; Maintenance'!L912</f>
        <v/>
      </c>
      <c r="D7947" s="46">
        <f>'Warranty &amp; Maintenance'!M912</f>
        <v/>
      </c>
      <c r="E7947" s="46">
        <f>IF(OR(B7947="",C7947="",D7947=""),"",D7947*100000+(C7947-DATE(2000,1,1))+ROW()/100000)</f>
        <v/>
      </c>
      <c r="F7947" s="46">
        <f>IF(E7947="","",IF(C7947&gt;WeekEndDate,"",E7947))</f>
        <v/>
      </c>
    </row>
    <row r="7948">
      <c r="A7948" t="inlineStr">
        <is>
          <t>Warranty &amp; Maintenance</t>
        </is>
      </c>
      <c r="B7948" s="46">
        <f>'Warranty &amp; Maintenance'!N913</f>
        <v/>
      </c>
      <c r="C7948" s="84">
        <f>'Warranty &amp; Maintenance'!L913</f>
        <v/>
      </c>
      <c r="D7948" s="46">
        <f>'Warranty &amp; Maintenance'!M913</f>
        <v/>
      </c>
      <c r="E7948" s="46">
        <f>IF(OR(B7948="",C7948="",D7948=""),"",D7948*100000+(C7948-DATE(2000,1,1))+ROW()/100000)</f>
        <v/>
      </c>
      <c r="F7948" s="46">
        <f>IF(E7948="","",IF(C7948&gt;WeekEndDate,"",E7948))</f>
        <v/>
      </c>
    </row>
    <row r="7949">
      <c r="A7949" t="inlineStr">
        <is>
          <t>Warranty &amp; Maintenance</t>
        </is>
      </c>
      <c r="B7949" s="46">
        <f>'Warranty &amp; Maintenance'!N914</f>
        <v/>
      </c>
      <c r="C7949" s="84">
        <f>'Warranty &amp; Maintenance'!L914</f>
        <v/>
      </c>
      <c r="D7949" s="46">
        <f>'Warranty &amp; Maintenance'!M914</f>
        <v/>
      </c>
      <c r="E7949" s="46">
        <f>IF(OR(B7949="",C7949="",D7949=""),"",D7949*100000+(C7949-DATE(2000,1,1))+ROW()/100000)</f>
        <v/>
      </c>
      <c r="F7949" s="46">
        <f>IF(E7949="","",IF(C7949&gt;WeekEndDate,"",E7949))</f>
        <v/>
      </c>
    </row>
    <row r="7950">
      <c r="A7950" t="inlineStr">
        <is>
          <t>Warranty &amp; Maintenance</t>
        </is>
      </c>
      <c r="B7950" s="46">
        <f>'Warranty &amp; Maintenance'!N915</f>
        <v/>
      </c>
      <c r="C7950" s="84">
        <f>'Warranty &amp; Maintenance'!L915</f>
        <v/>
      </c>
      <c r="D7950" s="46">
        <f>'Warranty &amp; Maintenance'!M915</f>
        <v/>
      </c>
      <c r="E7950" s="46">
        <f>IF(OR(B7950="",C7950="",D7950=""),"",D7950*100000+(C7950-DATE(2000,1,1))+ROW()/100000)</f>
        <v/>
      </c>
      <c r="F7950" s="46">
        <f>IF(E7950="","",IF(C7950&gt;WeekEndDate,"",E7950))</f>
        <v/>
      </c>
    </row>
    <row r="7951">
      <c r="A7951" t="inlineStr">
        <is>
          <t>Warranty &amp; Maintenance</t>
        </is>
      </c>
      <c r="B7951" s="46">
        <f>'Warranty &amp; Maintenance'!N916</f>
        <v/>
      </c>
      <c r="C7951" s="84">
        <f>'Warranty &amp; Maintenance'!L916</f>
        <v/>
      </c>
      <c r="D7951" s="46">
        <f>'Warranty &amp; Maintenance'!M916</f>
        <v/>
      </c>
      <c r="E7951" s="46">
        <f>IF(OR(B7951="",C7951="",D7951=""),"",D7951*100000+(C7951-DATE(2000,1,1))+ROW()/100000)</f>
        <v/>
      </c>
      <c r="F7951" s="46">
        <f>IF(E7951="","",IF(C7951&gt;WeekEndDate,"",E7951))</f>
        <v/>
      </c>
    </row>
    <row r="7952">
      <c r="A7952" t="inlineStr">
        <is>
          <t>Warranty &amp; Maintenance</t>
        </is>
      </c>
      <c r="B7952" s="46">
        <f>'Warranty &amp; Maintenance'!N917</f>
        <v/>
      </c>
      <c r="C7952" s="84">
        <f>'Warranty &amp; Maintenance'!L917</f>
        <v/>
      </c>
      <c r="D7952" s="46">
        <f>'Warranty &amp; Maintenance'!M917</f>
        <v/>
      </c>
      <c r="E7952" s="46">
        <f>IF(OR(B7952="",C7952="",D7952=""),"",D7952*100000+(C7952-DATE(2000,1,1))+ROW()/100000)</f>
        <v/>
      </c>
      <c r="F7952" s="46">
        <f>IF(E7952="","",IF(C7952&gt;WeekEndDate,"",E7952))</f>
        <v/>
      </c>
    </row>
    <row r="7953">
      <c r="A7953" t="inlineStr">
        <is>
          <t>Warranty &amp; Maintenance</t>
        </is>
      </c>
      <c r="B7953" s="46">
        <f>'Warranty &amp; Maintenance'!N918</f>
        <v/>
      </c>
      <c r="C7953" s="84">
        <f>'Warranty &amp; Maintenance'!L918</f>
        <v/>
      </c>
      <c r="D7953" s="46">
        <f>'Warranty &amp; Maintenance'!M918</f>
        <v/>
      </c>
      <c r="E7953" s="46">
        <f>IF(OR(B7953="",C7953="",D7953=""),"",D7953*100000+(C7953-DATE(2000,1,1))+ROW()/100000)</f>
        <v/>
      </c>
      <c r="F7953" s="46">
        <f>IF(E7953="","",IF(C7953&gt;WeekEndDate,"",E7953))</f>
        <v/>
      </c>
    </row>
    <row r="7954">
      <c r="A7954" t="inlineStr">
        <is>
          <t>Warranty &amp; Maintenance</t>
        </is>
      </c>
      <c r="B7954" s="46">
        <f>'Warranty &amp; Maintenance'!N919</f>
        <v/>
      </c>
      <c r="C7954" s="84">
        <f>'Warranty &amp; Maintenance'!L919</f>
        <v/>
      </c>
      <c r="D7954" s="46">
        <f>'Warranty &amp; Maintenance'!M919</f>
        <v/>
      </c>
      <c r="E7954" s="46">
        <f>IF(OR(B7954="",C7954="",D7954=""),"",D7954*100000+(C7954-DATE(2000,1,1))+ROW()/100000)</f>
        <v/>
      </c>
      <c r="F7954" s="46">
        <f>IF(E7954="","",IF(C7954&gt;WeekEndDate,"",E7954))</f>
        <v/>
      </c>
    </row>
    <row r="7955">
      <c r="A7955" t="inlineStr">
        <is>
          <t>Warranty &amp; Maintenance</t>
        </is>
      </c>
      <c r="B7955" s="46">
        <f>'Warranty &amp; Maintenance'!N920</f>
        <v/>
      </c>
      <c r="C7955" s="84">
        <f>'Warranty &amp; Maintenance'!L920</f>
        <v/>
      </c>
      <c r="D7955" s="46">
        <f>'Warranty &amp; Maintenance'!M920</f>
        <v/>
      </c>
      <c r="E7955" s="46">
        <f>IF(OR(B7955="",C7955="",D7955=""),"",D7955*100000+(C7955-DATE(2000,1,1))+ROW()/100000)</f>
        <v/>
      </c>
      <c r="F7955" s="46">
        <f>IF(E7955="","",IF(C7955&gt;WeekEndDate,"",E7955))</f>
        <v/>
      </c>
    </row>
    <row r="7956">
      <c r="A7956" t="inlineStr">
        <is>
          <t>Warranty &amp; Maintenance</t>
        </is>
      </c>
      <c r="B7956" s="46">
        <f>'Warranty &amp; Maintenance'!N921</f>
        <v/>
      </c>
      <c r="C7956" s="84">
        <f>'Warranty &amp; Maintenance'!L921</f>
        <v/>
      </c>
      <c r="D7956" s="46">
        <f>'Warranty &amp; Maintenance'!M921</f>
        <v/>
      </c>
      <c r="E7956" s="46">
        <f>IF(OR(B7956="",C7956="",D7956=""),"",D7956*100000+(C7956-DATE(2000,1,1))+ROW()/100000)</f>
        <v/>
      </c>
      <c r="F7956" s="46">
        <f>IF(E7956="","",IF(C7956&gt;WeekEndDate,"",E7956))</f>
        <v/>
      </c>
    </row>
    <row r="7957">
      <c r="A7957" t="inlineStr">
        <is>
          <t>Warranty &amp; Maintenance</t>
        </is>
      </c>
      <c r="B7957" s="46">
        <f>'Warranty &amp; Maintenance'!N922</f>
        <v/>
      </c>
      <c r="C7957" s="84">
        <f>'Warranty &amp; Maintenance'!L922</f>
        <v/>
      </c>
      <c r="D7957" s="46">
        <f>'Warranty &amp; Maintenance'!M922</f>
        <v/>
      </c>
      <c r="E7957" s="46">
        <f>IF(OR(B7957="",C7957="",D7957=""),"",D7957*100000+(C7957-DATE(2000,1,1))+ROW()/100000)</f>
        <v/>
      </c>
      <c r="F7957" s="46">
        <f>IF(E7957="","",IF(C7957&gt;WeekEndDate,"",E7957))</f>
        <v/>
      </c>
    </row>
    <row r="7958">
      <c r="A7958" t="inlineStr">
        <is>
          <t>Warranty &amp; Maintenance</t>
        </is>
      </c>
      <c r="B7958" s="46">
        <f>'Warranty &amp; Maintenance'!N923</f>
        <v/>
      </c>
      <c r="C7958" s="84">
        <f>'Warranty &amp; Maintenance'!L923</f>
        <v/>
      </c>
      <c r="D7958" s="46">
        <f>'Warranty &amp; Maintenance'!M923</f>
        <v/>
      </c>
      <c r="E7958" s="46">
        <f>IF(OR(B7958="",C7958="",D7958=""),"",D7958*100000+(C7958-DATE(2000,1,1))+ROW()/100000)</f>
        <v/>
      </c>
      <c r="F7958" s="46">
        <f>IF(E7958="","",IF(C7958&gt;WeekEndDate,"",E7958))</f>
        <v/>
      </c>
    </row>
    <row r="7959">
      <c r="A7959" t="inlineStr">
        <is>
          <t>Warranty &amp; Maintenance</t>
        </is>
      </c>
      <c r="B7959" s="46">
        <f>'Warranty &amp; Maintenance'!N924</f>
        <v/>
      </c>
      <c r="C7959" s="84">
        <f>'Warranty &amp; Maintenance'!L924</f>
        <v/>
      </c>
      <c r="D7959" s="46">
        <f>'Warranty &amp; Maintenance'!M924</f>
        <v/>
      </c>
      <c r="E7959" s="46">
        <f>IF(OR(B7959="",C7959="",D7959=""),"",D7959*100000+(C7959-DATE(2000,1,1))+ROW()/100000)</f>
        <v/>
      </c>
      <c r="F7959" s="46">
        <f>IF(E7959="","",IF(C7959&gt;WeekEndDate,"",E7959))</f>
        <v/>
      </c>
    </row>
    <row r="7960">
      <c r="A7960" t="inlineStr">
        <is>
          <t>Warranty &amp; Maintenance</t>
        </is>
      </c>
      <c r="B7960" s="46">
        <f>'Warranty &amp; Maintenance'!N925</f>
        <v/>
      </c>
      <c r="C7960" s="84">
        <f>'Warranty &amp; Maintenance'!L925</f>
        <v/>
      </c>
      <c r="D7960" s="46">
        <f>'Warranty &amp; Maintenance'!M925</f>
        <v/>
      </c>
      <c r="E7960" s="46">
        <f>IF(OR(B7960="",C7960="",D7960=""),"",D7960*100000+(C7960-DATE(2000,1,1))+ROW()/100000)</f>
        <v/>
      </c>
      <c r="F7960" s="46">
        <f>IF(E7960="","",IF(C7960&gt;WeekEndDate,"",E7960))</f>
        <v/>
      </c>
    </row>
    <row r="7961">
      <c r="A7961" t="inlineStr">
        <is>
          <t>Warranty &amp; Maintenance</t>
        </is>
      </c>
      <c r="B7961" s="46">
        <f>'Warranty &amp; Maintenance'!N926</f>
        <v/>
      </c>
      <c r="C7961" s="84">
        <f>'Warranty &amp; Maintenance'!L926</f>
        <v/>
      </c>
      <c r="D7961" s="46">
        <f>'Warranty &amp; Maintenance'!M926</f>
        <v/>
      </c>
      <c r="E7961" s="46">
        <f>IF(OR(B7961="",C7961="",D7961=""),"",D7961*100000+(C7961-DATE(2000,1,1))+ROW()/100000)</f>
        <v/>
      </c>
      <c r="F7961" s="46">
        <f>IF(E7961="","",IF(C7961&gt;WeekEndDate,"",E7961))</f>
        <v/>
      </c>
    </row>
    <row r="7962">
      <c r="A7962" t="inlineStr">
        <is>
          <t>Warranty &amp; Maintenance</t>
        </is>
      </c>
      <c r="B7962" s="46">
        <f>'Warranty &amp; Maintenance'!N927</f>
        <v/>
      </c>
      <c r="C7962" s="84">
        <f>'Warranty &amp; Maintenance'!L927</f>
        <v/>
      </c>
      <c r="D7962" s="46">
        <f>'Warranty &amp; Maintenance'!M927</f>
        <v/>
      </c>
      <c r="E7962" s="46">
        <f>IF(OR(B7962="",C7962="",D7962=""),"",D7962*100000+(C7962-DATE(2000,1,1))+ROW()/100000)</f>
        <v/>
      </c>
      <c r="F7962" s="46">
        <f>IF(E7962="","",IF(C7962&gt;WeekEndDate,"",E7962))</f>
        <v/>
      </c>
    </row>
    <row r="7963">
      <c r="A7963" t="inlineStr">
        <is>
          <t>Warranty &amp; Maintenance</t>
        </is>
      </c>
      <c r="B7963" s="46">
        <f>'Warranty &amp; Maintenance'!N928</f>
        <v/>
      </c>
      <c r="C7963" s="84">
        <f>'Warranty &amp; Maintenance'!L928</f>
        <v/>
      </c>
      <c r="D7963" s="46">
        <f>'Warranty &amp; Maintenance'!M928</f>
        <v/>
      </c>
      <c r="E7963" s="46">
        <f>IF(OR(B7963="",C7963="",D7963=""),"",D7963*100000+(C7963-DATE(2000,1,1))+ROW()/100000)</f>
        <v/>
      </c>
      <c r="F7963" s="46">
        <f>IF(E7963="","",IF(C7963&gt;WeekEndDate,"",E7963))</f>
        <v/>
      </c>
    </row>
    <row r="7964">
      <c r="A7964" t="inlineStr">
        <is>
          <t>Warranty &amp; Maintenance</t>
        </is>
      </c>
      <c r="B7964" s="46">
        <f>'Warranty &amp; Maintenance'!N929</f>
        <v/>
      </c>
      <c r="C7964" s="84">
        <f>'Warranty &amp; Maintenance'!L929</f>
        <v/>
      </c>
      <c r="D7964" s="46">
        <f>'Warranty &amp; Maintenance'!M929</f>
        <v/>
      </c>
      <c r="E7964" s="46">
        <f>IF(OR(B7964="",C7964="",D7964=""),"",D7964*100000+(C7964-DATE(2000,1,1))+ROW()/100000)</f>
        <v/>
      </c>
      <c r="F7964" s="46">
        <f>IF(E7964="","",IF(C7964&gt;WeekEndDate,"",E7964))</f>
        <v/>
      </c>
    </row>
    <row r="7965">
      <c r="A7965" t="inlineStr">
        <is>
          <t>Warranty &amp; Maintenance</t>
        </is>
      </c>
      <c r="B7965" s="46">
        <f>'Warranty &amp; Maintenance'!N930</f>
        <v/>
      </c>
      <c r="C7965" s="84">
        <f>'Warranty &amp; Maintenance'!L930</f>
        <v/>
      </c>
      <c r="D7965" s="46">
        <f>'Warranty &amp; Maintenance'!M930</f>
        <v/>
      </c>
      <c r="E7965" s="46">
        <f>IF(OR(B7965="",C7965="",D7965=""),"",D7965*100000+(C7965-DATE(2000,1,1))+ROW()/100000)</f>
        <v/>
      </c>
      <c r="F7965" s="46">
        <f>IF(E7965="","",IF(C7965&gt;WeekEndDate,"",E7965))</f>
        <v/>
      </c>
    </row>
    <row r="7966">
      <c r="A7966" t="inlineStr">
        <is>
          <t>Warranty &amp; Maintenance</t>
        </is>
      </c>
      <c r="B7966" s="46">
        <f>'Warranty &amp; Maintenance'!N931</f>
        <v/>
      </c>
      <c r="C7966" s="84">
        <f>'Warranty &amp; Maintenance'!L931</f>
        <v/>
      </c>
      <c r="D7966" s="46">
        <f>'Warranty &amp; Maintenance'!M931</f>
        <v/>
      </c>
      <c r="E7966" s="46">
        <f>IF(OR(B7966="",C7966="",D7966=""),"",D7966*100000+(C7966-DATE(2000,1,1))+ROW()/100000)</f>
        <v/>
      </c>
      <c r="F7966" s="46">
        <f>IF(E7966="","",IF(C7966&gt;WeekEndDate,"",E7966))</f>
        <v/>
      </c>
    </row>
    <row r="7967">
      <c r="A7967" t="inlineStr">
        <is>
          <t>Warranty &amp; Maintenance</t>
        </is>
      </c>
      <c r="B7967" s="46">
        <f>'Warranty &amp; Maintenance'!N932</f>
        <v/>
      </c>
      <c r="C7967" s="84">
        <f>'Warranty &amp; Maintenance'!L932</f>
        <v/>
      </c>
      <c r="D7967" s="46">
        <f>'Warranty &amp; Maintenance'!M932</f>
        <v/>
      </c>
      <c r="E7967" s="46">
        <f>IF(OR(B7967="",C7967="",D7967=""),"",D7967*100000+(C7967-DATE(2000,1,1))+ROW()/100000)</f>
        <v/>
      </c>
      <c r="F7967" s="46">
        <f>IF(E7967="","",IF(C7967&gt;WeekEndDate,"",E7967))</f>
        <v/>
      </c>
    </row>
    <row r="7968">
      <c r="A7968" t="inlineStr">
        <is>
          <t>Warranty &amp; Maintenance</t>
        </is>
      </c>
      <c r="B7968" s="46">
        <f>'Warranty &amp; Maintenance'!N933</f>
        <v/>
      </c>
      <c r="C7968" s="84">
        <f>'Warranty &amp; Maintenance'!L933</f>
        <v/>
      </c>
      <c r="D7968" s="46">
        <f>'Warranty &amp; Maintenance'!M933</f>
        <v/>
      </c>
      <c r="E7968" s="46">
        <f>IF(OR(B7968="",C7968="",D7968=""),"",D7968*100000+(C7968-DATE(2000,1,1))+ROW()/100000)</f>
        <v/>
      </c>
      <c r="F7968" s="46">
        <f>IF(E7968="","",IF(C7968&gt;WeekEndDate,"",E7968))</f>
        <v/>
      </c>
    </row>
    <row r="7969">
      <c r="A7969" t="inlineStr">
        <is>
          <t>Warranty &amp; Maintenance</t>
        </is>
      </c>
      <c r="B7969" s="46">
        <f>'Warranty &amp; Maintenance'!N934</f>
        <v/>
      </c>
      <c r="C7969" s="84">
        <f>'Warranty &amp; Maintenance'!L934</f>
        <v/>
      </c>
      <c r="D7969" s="46">
        <f>'Warranty &amp; Maintenance'!M934</f>
        <v/>
      </c>
      <c r="E7969" s="46">
        <f>IF(OR(B7969="",C7969="",D7969=""),"",D7969*100000+(C7969-DATE(2000,1,1))+ROW()/100000)</f>
        <v/>
      </c>
      <c r="F7969" s="46">
        <f>IF(E7969="","",IF(C7969&gt;WeekEndDate,"",E7969))</f>
        <v/>
      </c>
    </row>
    <row r="7970">
      <c r="A7970" t="inlineStr">
        <is>
          <t>Warranty &amp; Maintenance</t>
        </is>
      </c>
      <c r="B7970" s="46">
        <f>'Warranty &amp; Maintenance'!N935</f>
        <v/>
      </c>
      <c r="C7970" s="84">
        <f>'Warranty &amp; Maintenance'!L935</f>
        <v/>
      </c>
      <c r="D7970" s="46">
        <f>'Warranty &amp; Maintenance'!M935</f>
        <v/>
      </c>
      <c r="E7970" s="46">
        <f>IF(OR(B7970="",C7970="",D7970=""),"",D7970*100000+(C7970-DATE(2000,1,1))+ROW()/100000)</f>
        <v/>
      </c>
      <c r="F7970" s="46">
        <f>IF(E7970="","",IF(C7970&gt;WeekEndDate,"",E7970))</f>
        <v/>
      </c>
    </row>
    <row r="7971">
      <c r="A7971" t="inlineStr">
        <is>
          <t>Warranty &amp; Maintenance</t>
        </is>
      </c>
      <c r="B7971" s="46">
        <f>'Warranty &amp; Maintenance'!N936</f>
        <v/>
      </c>
      <c r="C7971" s="84">
        <f>'Warranty &amp; Maintenance'!L936</f>
        <v/>
      </c>
      <c r="D7971" s="46">
        <f>'Warranty &amp; Maintenance'!M936</f>
        <v/>
      </c>
      <c r="E7971" s="46">
        <f>IF(OR(B7971="",C7971="",D7971=""),"",D7971*100000+(C7971-DATE(2000,1,1))+ROW()/100000)</f>
        <v/>
      </c>
      <c r="F7971" s="46">
        <f>IF(E7971="","",IF(C7971&gt;WeekEndDate,"",E7971))</f>
        <v/>
      </c>
    </row>
    <row r="7972">
      <c r="A7972" t="inlineStr">
        <is>
          <t>Warranty &amp; Maintenance</t>
        </is>
      </c>
      <c r="B7972" s="46">
        <f>'Warranty &amp; Maintenance'!N937</f>
        <v/>
      </c>
      <c r="C7972" s="84">
        <f>'Warranty &amp; Maintenance'!L937</f>
        <v/>
      </c>
      <c r="D7972" s="46">
        <f>'Warranty &amp; Maintenance'!M937</f>
        <v/>
      </c>
      <c r="E7972" s="46">
        <f>IF(OR(B7972="",C7972="",D7972=""),"",D7972*100000+(C7972-DATE(2000,1,1))+ROW()/100000)</f>
        <v/>
      </c>
      <c r="F7972" s="46">
        <f>IF(E7972="","",IF(C7972&gt;WeekEndDate,"",E7972))</f>
        <v/>
      </c>
    </row>
    <row r="7973">
      <c r="A7973" t="inlineStr">
        <is>
          <t>Warranty &amp; Maintenance</t>
        </is>
      </c>
      <c r="B7973" s="46">
        <f>'Warranty &amp; Maintenance'!N938</f>
        <v/>
      </c>
      <c r="C7973" s="84">
        <f>'Warranty &amp; Maintenance'!L938</f>
        <v/>
      </c>
      <c r="D7973" s="46">
        <f>'Warranty &amp; Maintenance'!M938</f>
        <v/>
      </c>
      <c r="E7973" s="46">
        <f>IF(OR(B7973="",C7973="",D7973=""),"",D7973*100000+(C7973-DATE(2000,1,1))+ROW()/100000)</f>
        <v/>
      </c>
      <c r="F7973" s="46">
        <f>IF(E7973="","",IF(C7973&gt;WeekEndDate,"",E7973))</f>
        <v/>
      </c>
    </row>
    <row r="7974">
      <c r="A7974" t="inlineStr">
        <is>
          <t>Warranty &amp; Maintenance</t>
        </is>
      </c>
      <c r="B7974" s="46">
        <f>'Warranty &amp; Maintenance'!N939</f>
        <v/>
      </c>
      <c r="C7974" s="84">
        <f>'Warranty &amp; Maintenance'!L939</f>
        <v/>
      </c>
      <c r="D7974" s="46">
        <f>'Warranty &amp; Maintenance'!M939</f>
        <v/>
      </c>
      <c r="E7974" s="46">
        <f>IF(OR(B7974="",C7974="",D7974=""),"",D7974*100000+(C7974-DATE(2000,1,1))+ROW()/100000)</f>
        <v/>
      </c>
      <c r="F7974" s="46">
        <f>IF(E7974="","",IF(C7974&gt;WeekEndDate,"",E7974))</f>
        <v/>
      </c>
    </row>
    <row r="7975">
      <c r="A7975" t="inlineStr">
        <is>
          <t>Warranty &amp; Maintenance</t>
        </is>
      </c>
      <c r="B7975" s="46">
        <f>'Warranty &amp; Maintenance'!N940</f>
        <v/>
      </c>
      <c r="C7975" s="84">
        <f>'Warranty &amp; Maintenance'!L940</f>
        <v/>
      </c>
      <c r="D7975" s="46">
        <f>'Warranty &amp; Maintenance'!M940</f>
        <v/>
      </c>
      <c r="E7975" s="46">
        <f>IF(OR(B7975="",C7975="",D7975=""),"",D7975*100000+(C7975-DATE(2000,1,1))+ROW()/100000)</f>
        <v/>
      </c>
      <c r="F7975" s="46">
        <f>IF(E7975="","",IF(C7975&gt;WeekEndDate,"",E7975))</f>
        <v/>
      </c>
    </row>
    <row r="7976">
      <c r="A7976" t="inlineStr">
        <is>
          <t>Warranty &amp; Maintenance</t>
        </is>
      </c>
      <c r="B7976" s="46">
        <f>'Warranty &amp; Maintenance'!N941</f>
        <v/>
      </c>
      <c r="C7976" s="84">
        <f>'Warranty &amp; Maintenance'!L941</f>
        <v/>
      </c>
      <c r="D7976" s="46">
        <f>'Warranty &amp; Maintenance'!M941</f>
        <v/>
      </c>
      <c r="E7976" s="46">
        <f>IF(OR(B7976="",C7976="",D7976=""),"",D7976*100000+(C7976-DATE(2000,1,1))+ROW()/100000)</f>
        <v/>
      </c>
      <c r="F7976" s="46">
        <f>IF(E7976="","",IF(C7976&gt;WeekEndDate,"",E7976))</f>
        <v/>
      </c>
    </row>
    <row r="7977">
      <c r="A7977" t="inlineStr">
        <is>
          <t>Warranty &amp; Maintenance</t>
        </is>
      </c>
      <c r="B7977" s="46">
        <f>'Warranty &amp; Maintenance'!N942</f>
        <v/>
      </c>
      <c r="C7977" s="84">
        <f>'Warranty &amp; Maintenance'!L942</f>
        <v/>
      </c>
      <c r="D7977" s="46">
        <f>'Warranty &amp; Maintenance'!M942</f>
        <v/>
      </c>
      <c r="E7977" s="46">
        <f>IF(OR(B7977="",C7977="",D7977=""),"",D7977*100000+(C7977-DATE(2000,1,1))+ROW()/100000)</f>
        <v/>
      </c>
      <c r="F7977" s="46">
        <f>IF(E7977="","",IF(C7977&gt;WeekEndDate,"",E7977))</f>
        <v/>
      </c>
    </row>
    <row r="7978">
      <c r="A7978" t="inlineStr">
        <is>
          <t>Warranty &amp; Maintenance</t>
        </is>
      </c>
      <c r="B7978" s="46">
        <f>'Warranty &amp; Maintenance'!N943</f>
        <v/>
      </c>
      <c r="C7978" s="84">
        <f>'Warranty &amp; Maintenance'!L943</f>
        <v/>
      </c>
      <c r="D7978" s="46">
        <f>'Warranty &amp; Maintenance'!M943</f>
        <v/>
      </c>
      <c r="E7978" s="46">
        <f>IF(OR(B7978="",C7978="",D7978=""),"",D7978*100000+(C7978-DATE(2000,1,1))+ROW()/100000)</f>
        <v/>
      </c>
      <c r="F7978" s="46">
        <f>IF(E7978="","",IF(C7978&gt;WeekEndDate,"",E7978))</f>
        <v/>
      </c>
    </row>
    <row r="7979">
      <c r="A7979" t="inlineStr">
        <is>
          <t>Warranty &amp; Maintenance</t>
        </is>
      </c>
      <c r="B7979" s="46">
        <f>'Warranty &amp; Maintenance'!N944</f>
        <v/>
      </c>
      <c r="C7979" s="84">
        <f>'Warranty &amp; Maintenance'!L944</f>
        <v/>
      </c>
      <c r="D7979" s="46">
        <f>'Warranty &amp; Maintenance'!M944</f>
        <v/>
      </c>
      <c r="E7979" s="46">
        <f>IF(OR(B7979="",C7979="",D7979=""),"",D7979*100000+(C7979-DATE(2000,1,1))+ROW()/100000)</f>
        <v/>
      </c>
      <c r="F7979" s="46">
        <f>IF(E7979="","",IF(C7979&gt;WeekEndDate,"",E7979))</f>
        <v/>
      </c>
    </row>
    <row r="7980">
      <c r="A7980" t="inlineStr">
        <is>
          <t>Warranty &amp; Maintenance</t>
        </is>
      </c>
      <c r="B7980" s="46">
        <f>'Warranty &amp; Maintenance'!N945</f>
        <v/>
      </c>
      <c r="C7980" s="84">
        <f>'Warranty &amp; Maintenance'!L945</f>
        <v/>
      </c>
      <c r="D7980" s="46">
        <f>'Warranty &amp; Maintenance'!M945</f>
        <v/>
      </c>
      <c r="E7980" s="46">
        <f>IF(OR(B7980="",C7980="",D7980=""),"",D7980*100000+(C7980-DATE(2000,1,1))+ROW()/100000)</f>
        <v/>
      </c>
      <c r="F7980" s="46">
        <f>IF(E7980="","",IF(C7980&gt;WeekEndDate,"",E7980))</f>
        <v/>
      </c>
    </row>
    <row r="7981">
      <c r="A7981" t="inlineStr">
        <is>
          <t>Warranty &amp; Maintenance</t>
        </is>
      </c>
      <c r="B7981" s="46">
        <f>'Warranty &amp; Maintenance'!N946</f>
        <v/>
      </c>
      <c r="C7981" s="84">
        <f>'Warranty &amp; Maintenance'!L946</f>
        <v/>
      </c>
      <c r="D7981" s="46">
        <f>'Warranty &amp; Maintenance'!M946</f>
        <v/>
      </c>
      <c r="E7981" s="46">
        <f>IF(OR(B7981="",C7981="",D7981=""),"",D7981*100000+(C7981-DATE(2000,1,1))+ROW()/100000)</f>
        <v/>
      </c>
      <c r="F7981" s="46">
        <f>IF(E7981="","",IF(C7981&gt;WeekEndDate,"",E7981))</f>
        <v/>
      </c>
    </row>
    <row r="7982">
      <c r="A7982" t="inlineStr">
        <is>
          <t>Warranty &amp; Maintenance</t>
        </is>
      </c>
      <c r="B7982" s="46">
        <f>'Warranty &amp; Maintenance'!N947</f>
        <v/>
      </c>
      <c r="C7982" s="84">
        <f>'Warranty &amp; Maintenance'!L947</f>
        <v/>
      </c>
      <c r="D7982" s="46">
        <f>'Warranty &amp; Maintenance'!M947</f>
        <v/>
      </c>
      <c r="E7982" s="46">
        <f>IF(OR(B7982="",C7982="",D7982=""),"",D7982*100000+(C7982-DATE(2000,1,1))+ROW()/100000)</f>
        <v/>
      </c>
      <c r="F7982" s="46">
        <f>IF(E7982="","",IF(C7982&gt;WeekEndDate,"",E7982))</f>
        <v/>
      </c>
    </row>
    <row r="7983">
      <c r="A7983" t="inlineStr">
        <is>
          <t>Warranty &amp; Maintenance</t>
        </is>
      </c>
      <c r="B7983" s="46">
        <f>'Warranty &amp; Maintenance'!N948</f>
        <v/>
      </c>
      <c r="C7983" s="84">
        <f>'Warranty &amp; Maintenance'!L948</f>
        <v/>
      </c>
      <c r="D7983" s="46">
        <f>'Warranty &amp; Maintenance'!M948</f>
        <v/>
      </c>
      <c r="E7983" s="46">
        <f>IF(OR(B7983="",C7983="",D7983=""),"",D7983*100000+(C7983-DATE(2000,1,1))+ROW()/100000)</f>
        <v/>
      </c>
      <c r="F7983" s="46">
        <f>IF(E7983="","",IF(C7983&gt;WeekEndDate,"",E7983))</f>
        <v/>
      </c>
    </row>
    <row r="7984">
      <c r="A7984" t="inlineStr">
        <is>
          <t>Warranty &amp; Maintenance</t>
        </is>
      </c>
      <c r="B7984" s="46">
        <f>'Warranty &amp; Maintenance'!N949</f>
        <v/>
      </c>
      <c r="C7984" s="84">
        <f>'Warranty &amp; Maintenance'!L949</f>
        <v/>
      </c>
      <c r="D7984" s="46">
        <f>'Warranty &amp; Maintenance'!M949</f>
        <v/>
      </c>
      <c r="E7984" s="46">
        <f>IF(OR(B7984="",C7984="",D7984=""),"",D7984*100000+(C7984-DATE(2000,1,1))+ROW()/100000)</f>
        <v/>
      </c>
      <c r="F7984" s="46">
        <f>IF(E7984="","",IF(C7984&gt;WeekEndDate,"",E7984))</f>
        <v/>
      </c>
    </row>
    <row r="7985">
      <c r="A7985" t="inlineStr">
        <is>
          <t>Warranty &amp; Maintenance</t>
        </is>
      </c>
      <c r="B7985" s="46">
        <f>'Warranty &amp; Maintenance'!N950</f>
        <v/>
      </c>
      <c r="C7985" s="84">
        <f>'Warranty &amp; Maintenance'!L950</f>
        <v/>
      </c>
      <c r="D7985" s="46">
        <f>'Warranty &amp; Maintenance'!M950</f>
        <v/>
      </c>
      <c r="E7985" s="46">
        <f>IF(OR(B7985="",C7985="",D7985=""),"",D7985*100000+(C7985-DATE(2000,1,1))+ROW()/100000)</f>
        <v/>
      </c>
      <c r="F7985" s="46">
        <f>IF(E7985="","",IF(C7985&gt;WeekEndDate,"",E7985))</f>
        <v/>
      </c>
    </row>
    <row r="7986">
      <c r="A7986" t="inlineStr">
        <is>
          <t>Warranty &amp; Maintenance</t>
        </is>
      </c>
      <c r="B7986" s="46">
        <f>'Warranty &amp; Maintenance'!N951</f>
        <v/>
      </c>
      <c r="C7986" s="84">
        <f>'Warranty &amp; Maintenance'!L951</f>
        <v/>
      </c>
      <c r="D7986" s="46">
        <f>'Warranty &amp; Maintenance'!M951</f>
        <v/>
      </c>
      <c r="E7986" s="46">
        <f>IF(OR(B7986="",C7986="",D7986=""),"",D7986*100000+(C7986-DATE(2000,1,1))+ROW()/100000)</f>
        <v/>
      </c>
      <c r="F7986" s="46">
        <f>IF(E7986="","",IF(C7986&gt;WeekEndDate,"",E7986))</f>
        <v/>
      </c>
    </row>
    <row r="7987">
      <c r="A7987" t="inlineStr">
        <is>
          <t>Warranty &amp; Maintenance</t>
        </is>
      </c>
      <c r="B7987" s="46">
        <f>'Warranty &amp; Maintenance'!N952</f>
        <v/>
      </c>
      <c r="C7987" s="84">
        <f>'Warranty &amp; Maintenance'!L952</f>
        <v/>
      </c>
      <c r="D7987" s="46">
        <f>'Warranty &amp; Maintenance'!M952</f>
        <v/>
      </c>
      <c r="E7987" s="46">
        <f>IF(OR(B7987="",C7987="",D7987=""),"",D7987*100000+(C7987-DATE(2000,1,1))+ROW()/100000)</f>
        <v/>
      </c>
      <c r="F7987" s="46">
        <f>IF(E7987="","",IF(C7987&gt;WeekEndDate,"",E7987))</f>
        <v/>
      </c>
    </row>
    <row r="7988">
      <c r="A7988" t="inlineStr">
        <is>
          <t>Warranty &amp; Maintenance</t>
        </is>
      </c>
      <c r="B7988" s="46">
        <f>'Warranty &amp; Maintenance'!N953</f>
        <v/>
      </c>
      <c r="C7988" s="84">
        <f>'Warranty &amp; Maintenance'!L953</f>
        <v/>
      </c>
      <c r="D7988" s="46">
        <f>'Warranty &amp; Maintenance'!M953</f>
        <v/>
      </c>
      <c r="E7988" s="46">
        <f>IF(OR(B7988="",C7988="",D7988=""),"",D7988*100000+(C7988-DATE(2000,1,1))+ROW()/100000)</f>
        <v/>
      </c>
      <c r="F7988" s="46">
        <f>IF(E7988="","",IF(C7988&gt;WeekEndDate,"",E7988))</f>
        <v/>
      </c>
    </row>
    <row r="7989">
      <c r="A7989" t="inlineStr">
        <is>
          <t>Warranty &amp; Maintenance</t>
        </is>
      </c>
      <c r="B7989" s="46">
        <f>'Warranty &amp; Maintenance'!N954</f>
        <v/>
      </c>
      <c r="C7989" s="84">
        <f>'Warranty &amp; Maintenance'!L954</f>
        <v/>
      </c>
      <c r="D7989" s="46">
        <f>'Warranty &amp; Maintenance'!M954</f>
        <v/>
      </c>
      <c r="E7989" s="46">
        <f>IF(OR(B7989="",C7989="",D7989=""),"",D7989*100000+(C7989-DATE(2000,1,1))+ROW()/100000)</f>
        <v/>
      </c>
      <c r="F7989" s="46">
        <f>IF(E7989="","",IF(C7989&gt;WeekEndDate,"",E7989))</f>
        <v/>
      </c>
    </row>
    <row r="7990">
      <c r="A7990" t="inlineStr">
        <is>
          <t>Warranty &amp; Maintenance</t>
        </is>
      </c>
      <c r="B7990" s="46">
        <f>'Warranty &amp; Maintenance'!N955</f>
        <v/>
      </c>
      <c r="C7990" s="84">
        <f>'Warranty &amp; Maintenance'!L955</f>
        <v/>
      </c>
      <c r="D7990" s="46">
        <f>'Warranty &amp; Maintenance'!M955</f>
        <v/>
      </c>
      <c r="E7990" s="46">
        <f>IF(OR(B7990="",C7990="",D7990=""),"",D7990*100000+(C7990-DATE(2000,1,1))+ROW()/100000)</f>
        <v/>
      </c>
      <c r="F7990" s="46">
        <f>IF(E7990="","",IF(C7990&gt;WeekEndDate,"",E7990))</f>
        <v/>
      </c>
    </row>
    <row r="7991">
      <c r="A7991" t="inlineStr">
        <is>
          <t>Warranty &amp; Maintenance</t>
        </is>
      </c>
      <c r="B7991" s="46">
        <f>'Warranty &amp; Maintenance'!N956</f>
        <v/>
      </c>
      <c r="C7991" s="84">
        <f>'Warranty &amp; Maintenance'!L956</f>
        <v/>
      </c>
      <c r="D7991" s="46">
        <f>'Warranty &amp; Maintenance'!M956</f>
        <v/>
      </c>
      <c r="E7991" s="46">
        <f>IF(OR(B7991="",C7991="",D7991=""),"",D7991*100000+(C7991-DATE(2000,1,1))+ROW()/100000)</f>
        <v/>
      </c>
      <c r="F7991" s="46">
        <f>IF(E7991="","",IF(C7991&gt;WeekEndDate,"",E7991))</f>
        <v/>
      </c>
    </row>
    <row r="7992">
      <c r="A7992" t="inlineStr">
        <is>
          <t>Warranty &amp; Maintenance</t>
        </is>
      </c>
      <c r="B7992" s="46">
        <f>'Warranty &amp; Maintenance'!N957</f>
        <v/>
      </c>
      <c r="C7992" s="84">
        <f>'Warranty &amp; Maintenance'!L957</f>
        <v/>
      </c>
      <c r="D7992" s="46">
        <f>'Warranty &amp; Maintenance'!M957</f>
        <v/>
      </c>
      <c r="E7992" s="46">
        <f>IF(OR(B7992="",C7992="",D7992=""),"",D7992*100000+(C7992-DATE(2000,1,1))+ROW()/100000)</f>
        <v/>
      </c>
      <c r="F7992" s="46">
        <f>IF(E7992="","",IF(C7992&gt;WeekEndDate,"",E7992))</f>
        <v/>
      </c>
    </row>
    <row r="7993">
      <c r="A7993" t="inlineStr">
        <is>
          <t>Warranty &amp; Maintenance</t>
        </is>
      </c>
      <c r="B7993" s="46">
        <f>'Warranty &amp; Maintenance'!N958</f>
        <v/>
      </c>
      <c r="C7993" s="84">
        <f>'Warranty &amp; Maintenance'!L958</f>
        <v/>
      </c>
      <c r="D7993" s="46">
        <f>'Warranty &amp; Maintenance'!M958</f>
        <v/>
      </c>
      <c r="E7993" s="46">
        <f>IF(OR(B7993="",C7993="",D7993=""),"",D7993*100000+(C7993-DATE(2000,1,1))+ROW()/100000)</f>
        <v/>
      </c>
      <c r="F7993" s="46">
        <f>IF(E7993="","",IF(C7993&gt;WeekEndDate,"",E7993))</f>
        <v/>
      </c>
    </row>
    <row r="7994">
      <c r="A7994" t="inlineStr">
        <is>
          <t>Warranty &amp; Maintenance</t>
        </is>
      </c>
      <c r="B7994" s="46">
        <f>'Warranty &amp; Maintenance'!N959</f>
        <v/>
      </c>
      <c r="C7994" s="84">
        <f>'Warranty &amp; Maintenance'!L959</f>
        <v/>
      </c>
      <c r="D7994" s="46">
        <f>'Warranty &amp; Maintenance'!M959</f>
        <v/>
      </c>
      <c r="E7994" s="46">
        <f>IF(OR(B7994="",C7994="",D7994=""),"",D7994*100000+(C7994-DATE(2000,1,1))+ROW()/100000)</f>
        <v/>
      </c>
      <c r="F7994" s="46">
        <f>IF(E7994="","",IF(C7994&gt;WeekEndDate,"",E7994))</f>
        <v/>
      </c>
    </row>
    <row r="7995">
      <c r="A7995" t="inlineStr">
        <is>
          <t>Warranty &amp; Maintenance</t>
        </is>
      </c>
      <c r="B7995" s="46">
        <f>'Warranty &amp; Maintenance'!N960</f>
        <v/>
      </c>
      <c r="C7995" s="84">
        <f>'Warranty &amp; Maintenance'!L960</f>
        <v/>
      </c>
      <c r="D7995" s="46">
        <f>'Warranty &amp; Maintenance'!M960</f>
        <v/>
      </c>
      <c r="E7995" s="46">
        <f>IF(OR(B7995="",C7995="",D7995=""),"",D7995*100000+(C7995-DATE(2000,1,1))+ROW()/100000)</f>
        <v/>
      </c>
      <c r="F7995" s="46">
        <f>IF(E7995="","",IF(C7995&gt;WeekEndDate,"",E7995))</f>
        <v/>
      </c>
    </row>
    <row r="7996">
      <c r="A7996" t="inlineStr">
        <is>
          <t>Warranty &amp; Maintenance</t>
        </is>
      </c>
      <c r="B7996" s="46">
        <f>'Warranty &amp; Maintenance'!N961</f>
        <v/>
      </c>
      <c r="C7996" s="84">
        <f>'Warranty &amp; Maintenance'!L961</f>
        <v/>
      </c>
      <c r="D7996" s="46">
        <f>'Warranty &amp; Maintenance'!M961</f>
        <v/>
      </c>
      <c r="E7996" s="46">
        <f>IF(OR(B7996="",C7996="",D7996=""),"",D7996*100000+(C7996-DATE(2000,1,1))+ROW()/100000)</f>
        <v/>
      </c>
      <c r="F7996" s="46">
        <f>IF(E7996="","",IF(C7996&gt;WeekEndDate,"",E7996))</f>
        <v/>
      </c>
    </row>
    <row r="7997">
      <c r="A7997" t="inlineStr">
        <is>
          <t>Warranty &amp; Maintenance</t>
        </is>
      </c>
      <c r="B7997" s="46">
        <f>'Warranty &amp; Maintenance'!N962</f>
        <v/>
      </c>
      <c r="C7997" s="84">
        <f>'Warranty &amp; Maintenance'!L962</f>
        <v/>
      </c>
      <c r="D7997" s="46">
        <f>'Warranty &amp; Maintenance'!M962</f>
        <v/>
      </c>
      <c r="E7997" s="46">
        <f>IF(OR(B7997="",C7997="",D7997=""),"",D7997*100000+(C7997-DATE(2000,1,1))+ROW()/100000)</f>
        <v/>
      </c>
      <c r="F7997" s="46">
        <f>IF(E7997="","",IF(C7997&gt;WeekEndDate,"",E7997))</f>
        <v/>
      </c>
    </row>
    <row r="7998">
      <c r="A7998" t="inlineStr">
        <is>
          <t>Warranty &amp; Maintenance</t>
        </is>
      </c>
      <c r="B7998" s="46">
        <f>'Warranty &amp; Maintenance'!N963</f>
        <v/>
      </c>
      <c r="C7998" s="84">
        <f>'Warranty &amp; Maintenance'!L963</f>
        <v/>
      </c>
      <c r="D7998" s="46">
        <f>'Warranty &amp; Maintenance'!M963</f>
        <v/>
      </c>
      <c r="E7998" s="46">
        <f>IF(OR(B7998="",C7998="",D7998=""),"",D7998*100000+(C7998-DATE(2000,1,1))+ROW()/100000)</f>
        <v/>
      </c>
      <c r="F7998" s="46">
        <f>IF(E7998="","",IF(C7998&gt;WeekEndDate,"",E7998))</f>
        <v/>
      </c>
    </row>
    <row r="7999">
      <c r="A7999" t="inlineStr">
        <is>
          <t>Warranty &amp; Maintenance</t>
        </is>
      </c>
      <c r="B7999" s="46">
        <f>'Warranty &amp; Maintenance'!N964</f>
        <v/>
      </c>
      <c r="C7999" s="84">
        <f>'Warranty &amp; Maintenance'!L964</f>
        <v/>
      </c>
      <c r="D7999" s="46">
        <f>'Warranty &amp; Maintenance'!M964</f>
        <v/>
      </c>
      <c r="E7999" s="46">
        <f>IF(OR(B7999="",C7999="",D7999=""),"",D7999*100000+(C7999-DATE(2000,1,1))+ROW()/100000)</f>
        <v/>
      </c>
      <c r="F7999" s="46">
        <f>IF(E7999="","",IF(C7999&gt;WeekEndDate,"",E7999))</f>
        <v/>
      </c>
    </row>
    <row r="8000">
      <c r="A8000" t="inlineStr">
        <is>
          <t>Warranty &amp; Maintenance</t>
        </is>
      </c>
      <c r="B8000" s="46">
        <f>'Warranty &amp; Maintenance'!N965</f>
        <v/>
      </c>
      <c r="C8000" s="84">
        <f>'Warranty &amp; Maintenance'!L965</f>
        <v/>
      </c>
      <c r="D8000" s="46">
        <f>'Warranty &amp; Maintenance'!M965</f>
        <v/>
      </c>
      <c r="E8000" s="46">
        <f>IF(OR(B8000="",C8000="",D8000=""),"",D8000*100000+(C8000-DATE(2000,1,1))+ROW()/100000)</f>
        <v/>
      </c>
      <c r="F8000" s="46">
        <f>IF(E8000="","",IF(C8000&gt;WeekEndDate,"",E8000))</f>
        <v/>
      </c>
    </row>
    <row r="8001">
      <c r="A8001" t="inlineStr">
        <is>
          <t>Warranty &amp; Maintenance</t>
        </is>
      </c>
      <c r="B8001" s="46">
        <f>'Warranty &amp; Maintenance'!N966</f>
        <v/>
      </c>
      <c r="C8001" s="84">
        <f>'Warranty &amp; Maintenance'!L966</f>
        <v/>
      </c>
      <c r="D8001" s="46">
        <f>'Warranty &amp; Maintenance'!M966</f>
        <v/>
      </c>
      <c r="E8001" s="46">
        <f>IF(OR(B8001="",C8001="",D8001=""),"",D8001*100000+(C8001-DATE(2000,1,1))+ROW()/100000)</f>
        <v/>
      </c>
      <c r="F8001" s="46">
        <f>IF(E8001="","",IF(C8001&gt;WeekEndDate,"",E8001))</f>
        <v/>
      </c>
    </row>
    <row r="8002">
      <c r="A8002" t="inlineStr">
        <is>
          <t>Warranty &amp; Maintenance</t>
        </is>
      </c>
      <c r="B8002" s="46">
        <f>'Warranty &amp; Maintenance'!N967</f>
        <v/>
      </c>
      <c r="C8002" s="84">
        <f>'Warranty &amp; Maintenance'!L967</f>
        <v/>
      </c>
      <c r="D8002" s="46">
        <f>'Warranty &amp; Maintenance'!M967</f>
        <v/>
      </c>
      <c r="E8002" s="46">
        <f>IF(OR(B8002="",C8002="",D8002=""),"",D8002*100000+(C8002-DATE(2000,1,1))+ROW()/100000)</f>
        <v/>
      </c>
      <c r="F8002" s="46">
        <f>IF(E8002="","",IF(C8002&gt;WeekEndDate,"",E8002))</f>
        <v/>
      </c>
    </row>
    <row r="8003">
      <c r="A8003" t="inlineStr">
        <is>
          <t>Warranty &amp; Maintenance</t>
        </is>
      </c>
      <c r="B8003" s="46">
        <f>'Warranty &amp; Maintenance'!N968</f>
        <v/>
      </c>
      <c r="C8003" s="84">
        <f>'Warranty &amp; Maintenance'!L968</f>
        <v/>
      </c>
      <c r="D8003" s="46">
        <f>'Warranty &amp; Maintenance'!M968</f>
        <v/>
      </c>
      <c r="E8003" s="46">
        <f>IF(OR(B8003="",C8003="",D8003=""),"",D8003*100000+(C8003-DATE(2000,1,1))+ROW()/100000)</f>
        <v/>
      </c>
      <c r="F8003" s="46">
        <f>IF(E8003="","",IF(C8003&gt;WeekEndDate,"",E8003))</f>
        <v/>
      </c>
    </row>
    <row r="8004">
      <c r="A8004" t="inlineStr">
        <is>
          <t>Warranty &amp; Maintenance</t>
        </is>
      </c>
      <c r="B8004" s="46">
        <f>'Warranty &amp; Maintenance'!N969</f>
        <v/>
      </c>
      <c r="C8004" s="84">
        <f>'Warranty &amp; Maintenance'!L969</f>
        <v/>
      </c>
      <c r="D8004" s="46">
        <f>'Warranty &amp; Maintenance'!M969</f>
        <v/>
      </c>
      <c r="E8004" s="46">
        <f>IF(OR(B8004="",C8004="",D8004=""),"",D8004*100000+(C8004-DATE(2000,1,1))+ROW()/100000)</f>
        <v/>
      </c>
      <c r="F8004" s="46">
        <f>IF(E8004="","",IF(C8004&gt;WeekEndDate,"",E8004))</f>
        <v/>
      </c>
    </row>
    <row r="8005">
      <c r="A8005" t="inlineStr">
        <is>
          <t>Warranty &amp; Maintenance</t>
        </is>
      </c>
      <c r="B8005" s="46">
        <f>'Warranty &amp; Maintenance'!N970</f>
        <v/>
      </c>
      <c r="C8005" s="84">
        <f>'Warranty &amp; Maintenance'!L970</f>
        <v/>
      </c>
      <c r="D8005" s="46">
        <f>'Warranty &amp; Maintenance'!M970</f>
        <v/>
      </c>
      <c r="E8005" s="46">
        <f>IF(OR(B8005="",C8005="",D8005=""),"",D8005*100000+(C8005-DATE(2000,1,1))+ROW()/100000)</f>
        <v/>
      </c>
      <c r="F8005" s="46">
        <f>IF(E8005="","",IF(C8005&gt;WeekEndDate,"",E8005))</f>
        <v/>
      </c>
    </row>
    <row r="8006">
      <c r="A8006" t="inlineStr">
        <is>
          <t>Warranty &amp; Maintenance</t>
        </is>
      </c>
      <c r="B8006" s="46">
        <f>'Warranty &amp; Maintenance'!N971</f>
        <v/>
      </c>
      <c r="C8006" s="84">
        <f>'Warranty &amp; Maintenance'!L971</f>
        <v/>
      </c>
      <c r="D8006" s="46">
        <f>'Warranty &amp; Maintenance'!M971</f>
        <v/>
      </c>
      <c r="E8006" s="46">
        <f>IF(OR(B8006="",C8006="",D8006=""),"",D8006*100000+(C8006-DATE(2000,1,1))+ROW()/100000)</f>
        <v/>
      </c>
      <c r="F8006" s="46">
        <f>IF(E8006="","",IF(C8006&gt;WeekEndDate,"",E8006))</f>
        <v/>
      </c>
    </row>
    <row r="8007">
      <c r="A8007" t="inlineStr">
        <is>
          <t>Warranty &amp; Maintenance</t>
        </is>
      </c>
      <c r="B8007" s="46">
        <f>'Warranty &amp; Maintenance'!N972</f>
        <v/>
      </c>
      <c r="C8007" s="84">
        <f>'Warranty &amp; Maintenance'!L972</f>
        <v/>
      </c>
      <c r="D8007" s="46">
        <f>'Warranty &amp; Maintenance'!M972</f>
        <v/>
      </c>
      <c r="E8007" s="46">
        <f>IF(OR(B8007="",C8007="",D8007=""),"",D8007*100000+(C8007-DATE(2000,1,1))+ROW()/100000)</f>
        <v/>
      </c>
      <c r="F8007" s="46">
        <f>IF(E8007="","",IF(C8007&gt;WeekEndDate,"",E8007))</f>
        <v/>
      </c>
    </row>
    <row r="8008">
      <c r="A8008" t="inlineStr">
        <is>
          <t>Warranty &amp; Maintenance</t>
        </is>
      </c>
      <c r="B8008" s="46">
        <f>'Warranty &amp; Maintenance'!N973</f>
        <v/>
      </c>
      <c r="C8008" s="84">
        <f>'Warranty &amp; Maintenance'!L973</f>
        <v/>
      </c>
      <c r="D8008" s="46">
        <f>'Warranty &amp; Maintenance'!M973</f>
        <v/>
      </c>
      <c r="E8008" s="46">
        <f>IF(OR(B8008="",C8008="",D8008=""),"",D8008*100000+(C8008-DATE(2000,1,1))+ROW()/100000)</f>
        <v/>
      </c>
      <c r="F8008" s="46">
        <f>IF(E8008="","",IF(C8008&gt;WeekEndDate,"",E8008))</f>
        <v/>
      </c>
    </row>
    <row r="8009">
      <c r="A8009" t="inlineStr">
        <is>
          <t>Warranty &amp; Maintenance</t>
        </is>
      </c>
      <c r="B8009" s="46">
        <f>'Warranty &amp; Maintenance'!N974</f>
        <v/>
      </c>
      <c r="C8009" s="84">
        <f>'Warranty &amp; Maintenance'!L974</f>
        <v/>
      </c>
      <c r="D8009" s="46">
        <f>'Warranty &amp; Maintenance'!M974</f>
        <v/>
      </c>
      <c r="E8009" s="46">
        <f>IF(OR(B8009="",C8009="",D8009=""),"",D8009*100000+(C8009-DATE(2000,1,1))+ROW()/100000)</f>
        <v/>
      </c>
      <c r="F8009" s="46">
        <f>IF(E8009="","",IF(C8009&gt;WeekEndDate,"",E8009))</f>
        <v/>
      </c>
    </row>
    <row r="8010">
      <c r="A8010" t="inlineStr">
        <is>
          <t>Warranty &amp; Maintenance</t>
        </is>
      </c>
      <c r="B8010" s="46">
        <f>'Warranty &amp; Maintenance'!N975</f>
        <v/>
      </c>
      <c r="C8010" s="84">
        <f>'Warranty &amp; Maintenance'!L975</f>
        <v/>
      </c>
      <c r="D8010" s="46">
        <f>'Warranty &amp; Maintenance'!M975</f>
        <v/>
      </c>
      <c r="E8010" s="46">
        <f>IF(OR(B8010="",C8010="",D8010=""),"",D8010*100000+(C8010-DATE(2000,1,1))+ROW()/100000)</f>
        <v/>
      </c>
      <c r="F8010" s="46">
        <f>IF(E8010="","",IF(C8010&gt;WeekEndDate,"",E8010))</f>
        <v/>
      </c>
    </row>
    <row r="8011">
      <c r="A8011" t="inlineStr">
        <is>
          <t>Warranty &amp; Maintenance</t>
        </is>
      </c>
      <c r="B8011" s="46">
        <f>'Warranty &amp; Maintenance'!N976</f>
        <v/>
      </c>
      <c r="C8011" s="84">
        <f>'Warranty &amp; Maintenance'!L976</f>
        <v/>
      </c>
      <c r="D8011" s="46">
        <f>'Warranty &amp; Maintenance'!M976</f>
        <v/>
      </c>
      <c r="E8011" s="46">
        <f>IF(OR(B8011="",C8011="",D8011=""),"",D8011*100000+(C8011-DATE(2000,1,1))+ROW()/100000)</f>
        <v/>
      </c>
      <c r="F8011" s="46">
        <f>IF(E8011="","",IF(C8011&gt;WeekEndDate,"",E8011))</f>
        <v/>
      </c>
    </row>
    <row r="8012">
      <c r="A8012" t="inlineStr">
        <is>
          <t>Warranty &amp; Maintenance</t>
        </is>
      </c>
      <c r="B8012" s="46">
        <f>'Warranty &amp; Maintenance'!N977</f>
        <v/>
      </c>
      <c r="C8012" s="84">
        <f>'Warranty &amp; Maintenance'!L977</f>
        <v/>
      </c>
      <c r="D8012" s="46">
        <f>'Warranty &amp; Maintenance'!M977</f>
        <v/>
      </c>
      <c r="E8012" s="46">
        <f>IF(OR(B8012="",C8012="",D8012=""),"",D8012*100000+(C8012-DATE(2000,1,1))+ROW()/100000)</f>
        <v/>
      </c>
      <c r="F8012" s="46">
        <f>IF(E8012="","",IF(C8012&gt;WeekEndDate,"",E8012))</f>
        <v/>
      </c>
    </row>
    <row r="8013">
      <c r="A8013" t="inlineStr">
        <is>
          <t>Warranty &amp; Maintenance</t>
        </is>
      </c>
      <c r="B8013" s="46">
        <f>'Warranty &amp; Maintenance'!N978</f>
        <v/>
      </c>
      <c r="C8013" s="84">
        <f>'Warranty &amp; Maintenance'!L978</f>
        <v/>
      </c>
      <c r="D8013" s="46">
        <f>'Warranty &amp; Maintenance'!M978</f>
        <v/>
      </c>
      <c r="E8013" s="46">
        <f>IF(OR(B8013="",C8013="",D8013=""),"",D8013*100000+(C8013-DATE(2000,1,1))+ROW()/100000)</f>
        <v/>
      </c>
      <c r="F8013" s="46">
        <f>IF(E8013="","",IF(C8013&gt;WeekEndDate,"",E8013))</f>
        <v/>
      </c>
    </row>
    <row r="8014">
      <c r="A8014" t="inlineStr">
        <is>
          <t>Warranty &amp; Maintenance</t>
        </is>
      </c>
      <c r="B8014" s="46">
        <f>'Warranty &amp; Maintenance'!N979</f>
        <v/>
      </c>
      <c r="C8014" s="84">
        <f>'Warranty &amp; Maintenance'!L979</f>
        <v/>
      </c>
      <c r="D8014" s="46">
        <f>'Warranty &amp; Maintenance'!M979</f>
        <v/>
      </c>
      <c r="E8014" s="46">
        <f>IF(OR(B8014="",C8014="",D8014=""),"",D8014*100000+(C8014-DATE(2000,1,1))+ROW()/100000)</f>
        <v/>
      </c>
      <c r="F8014" s="46">
        <f>IF(E8014="","",IF(C8014&gt;WeekEndDate,"",E8014))</f>
        <v/>
      </c>
    </row>
    <row r="8015">
      <c r="A8015" t="inlineStr">
        <is>
          <t>Warranty &amp; Maintenance</t>
        </is>
      </c>
      <c r="B8015" s="46">
        <f>'Warranty &amp; Maintenance'!N980</f>
        <v/>
      </c>
      <c r="C8015" s="84">
        <f>'Warranty &amp; Maintenance'!L980</f>
        <v/>
      </c>
      <c r="D8015" s="46">
        <f>'Warranty &amp; Maintenance'!M980</f>
        <v/>
      </c>
      <c r="E8015" s="46">
        <f>IF(OR(B8015="",C8015="",D8015=""),"",D8015*100000+(C8015-DATE(2000,1,1))+ROW()/100000)</f>
        <v/>
      </c>
      <c r="F8015" s="46">
        <f>IF(E8015="","",IF(C8015&gt;WeekEndDate,"",E8015))</f>
        <v/>
      </c>
    </row>
    <row r="8016">
      <c r="A8016" t="inlineStr">
        <is>
          <t>Warranty &amp; Maintenance</t>
        </is>
      </c>
      <c r="B8016" s="46">
        <f>'Warranty &amp; Maintenance'!N981</f>
        <v/>
      </c>
      <c r="C8016" s="84">
        <f>'Warranty &amp; Maintenance'!L981</f>
        <v/>
      </c>
      <c r="D8016" s="46">
        <f>'Warranty &amp; Maintenance'!M981</f>
        <v/>
      </c>
      <c r="E8016" s="46">
        <f>IF(OR(B8016="",C8016="",D8016=""),"",D8016*100000+(C8016-DATE(2000,1,1))+ROW()/100000)</f>
        <v/>
      </c>
      <c r="F8016" s="46">
        <f>IF(E8016="","",IF(C8016&gt;WeekEndDate,"",E8016))</f>
        <v/>
      </c>
    </row>
    <row r="8017">
      <c r="A8017" t="inlineStr">
        <is>
          <t>Warranty &amp; Maintenance</t>
        </is>
      </c>
      <c r="B8017" s="46">
        <f>'Warranty &amp; Maintenance'!N982</f>
        <v/>
      </c>
      <c r="C8017" s="84">
        <f>'Warranty &amp; Maintenance'!L982</f>
        <v/>
      </c>
      <c r="D8017" s="46">
        <f>'Warranty &amp; Maintenance'!M982</f>
        <v/>
      </c>
      <c r="E8017" s="46">
        <f>IF(OR(B8017="",C8017="",D8017=""),"",D8017*100000+(C8017-DATE(2000,1,1))+ROW()/100000)</f>
        <v/>
      </c>
      <c r="F8017" s="46">
        <f>IF(E8017="","",IF(C8017&gt;WeekEndDate,"",E8017))</f>
        <v/>
      </c>
    </row>
    <row r="8018">
      <c r="A8018" t="inlineStr">
        <is>
          <t>Warranty &amp; Maintenance</t>
        </is>
      </c>
      <c r="B8018" s="46">
        <f>'Warranty &amp; Maintenance'!N983</f>
        <v/>
      </c>
      <c r="C8018" s="84">
        <f>'Warranty &amp; Maintenance'!L983</f>
        <v/>
      </c>
      <c r="D8018" s="46">
        <f>'Warranty &amp; Maintenance'!M983</f>
        <v/>
      </c>
      <c r="E8018" s="46">
        <f>IF(OR(B8018="",C8018="",D8018=""),"",D8018*100000+(C8018-DATE(2000,1,1))+ROW()/100000)</f>
        <v/>
      </c>
      <c r="F8018" s="46">
        <f>IF(E8018="","",IF(C8018&gt;WeekEndDate,"",E8018))</f>
        <v/>
      </c>
    </row>
    <row r="8019">
      <c r="A8019" t="inlineStr">
        <is>
          <t>Warranty &amp; Maintenance</t>
        </is>
      </c>
      <c r="B8019" s="46">
        <f>'Warranty &amp; Maintenance'!N984</f>
        <v/>
      </c>
      <c r="C8019" s="84">
        <f>'Warranty &amp; Maintenance'!L984</f>
        <v/>
      </c>
      <c r="D8019" s="46">
        <f>'Warranty &amp; Maintenance'!M984</f>
        <v/>
      </c>
      <c r="E8019" s="46">
        <f>IF(OR(B8019="",C8019="",D8019=""),"",D8019*100000+(C8019-DATE(2000,1,1))+ROW()/100000)</f>
        <v/>
      </c>
      <c r="F8019" s="46">
        <f>IF(E8019="","",IF(C8019&gt;WeekEndDate,"",E8019))</f>
        <v/>
      </c>
    </row>
    <row r="8020">
      <c r="A8020" t="inlineStr">
        <is>
          <t>Warranty &amp; Maintenance</t>
        </is>
      </c>
      <c r="B8020" s="46">
        <f>'Warranty &amp; Maintenance'!N985</f>
        <v/>
      </c>
      <c r="C8020" s="84">
        <f>'Warranty &amp; Maintenance'!L985</f>
        <v/>
      </c>
      <c r="D8020" s="46">
        <f>'Warranty &amp; Maintenance'!M985</f>
        <v/>
      </c>
      <c r="E8020" s="46">
        <f>IF(OR(B8020="",C8020="",D8020=""),"",D8020*100000+(C8020-DATE(2000,1,1))+ROW()/100000)</f>
        <v/>
      </c>
      <c r="F8020" s="46">
        <f>IF(E8020="","",IF(C8020&gt;WeekEndDate,"",E8020))</f>
        <v/>
      </c>
    </row>
    <row r="8021">
      <c r="A8021" t="inlineStr">
        <is>
          <t>Warranty &amp; Maintenance</t>
        </is>
      </c>
      <c r="B8021" s="46">
        <f>'Warranty &amp; Maintenance'!N986</f>
        <v/>
      </c>
      <c r="C8021" s="84">
        <f>'Warranty &amp; Maintenance'!L986</f>
        <v/>
      </c>
      <c r="D8021" s="46">
        <f>'Warranty &amp; Maintenance'!M986</f>
        <v/>
      </c>
      <c r="E8021" s="46">
        <f>IF(OR(B8021="",C8021="",D8021=""),"",D8021*100000+(C8021-DATE(2000,1,1))+ROW()/100000)</f>
        <v/>
      </c>
      <c r="F8021" s="46">
        <f>IF(E8021="","",IF(C8021&gt;WeekEndDate,"",E8021))</f>
        <v/>
      </c>
    </row>
    <row r="8022">
      <c r="A8022" t="inlineStr">
        <is>
          <t>Warranty &amp; Maintenance</t>
        </is>
      </c>
      <c r="B8022" s="46">
        <f>'Warranty &amp; Maintenance'!N987</f>
        <v/>
      </c>
      <c r="C8022" s="84">
        <f>'Warranty &amp; Maintenance'!L987</f>
        <v/>
      </c>
      <c r="D8022" s="46">
        <f>'Warranty &amp; Maintenance'!M987</f>
        <v/>
      </c>
      <c r="E8022" s="46">
        <f>IF(OR(B8022="",C8022="",D8022=""),"",D8022*100000+(C8022-DATE(2000,1,1))+ROW()/100000)</f>
        <v/>
      </c>
      <c r="F8022" s="46">
        <f>IF(E8022="","",IF(C8022&gt;WeekEndDate,"",E8022))</f>
        <v/>
      </c>
    </row>
    <row r="8023">
      <c r="A8023" t="inlineStr">
        <is>
          <t>Warranty &amp; Maintenance</t>
        </is>
      </c>
      <c r="B8023" s="46">
        <f>'Warranty &amp; Maintenance'!N988</f>
        <v/>
      </c>
      <c r="C8023" s="84">
        <f>'Warranty &amp; Maintenance'!L988</f>
        <v/>
      </c>
      <c r="D8023" s="46">
        <f>'Warranty &amp; Maintenance'!M988</f>
        <v/>
      </c>
      <c r="E8023" s="46">
        <f>IF(OR(B8023="",C8023="",D8023=""),"",D8023*100000+(C8023-DATE(2000,1,1))+ROW()/100000)</f>
        <v/>
      </c>
      <c r="F8023" s="46">
        <f>IF(E8023="","",IF(C8023&gt;WeekEndDate,"",E8023))</f>
        <v/>
      </c>
    </row>
    <row r="8024">
      <c r="A8024" t="inlineStr">
        <is>
          <t>Warranty &amp; Maintenance</t>
        </is>
      </c>
      <c r="B8024" s="46">
        <f>'Warranty &amp; Maintenance'!N989</f>
        <v/>
      </c>
      <c r="C8024" s="84">
        <f>'Warranty &amp; Maintenance'!L989</f>
        <v/>
      </c>
      <c r="D8024" s="46">
        <f>'Warranty &amp; Maintenance'!M989</f>
        <v/>
      </c>
      <c r="E8024" s="46">
        <f>IF(OR(B8024="",C8024="",D8024=""),"",D8024*100000+(C8024-DATE(2000,1,1))+ROW()/100000)</f>
        <v/>
      </c>
      <c r="F8024" s="46">
        <f>IF(E8024="","",IF(C8024&gt;WeekEndDate,"",E8024))</f>
        <v/>
      </c>
    </row>
    <row r="8025">
      <c r="A8025" t="inlineStr">
        <is>
          <t>Warranty &amp; Maintenance</t>
        </is>
      </c>
      <c r="B8025" s="46">
        <f>'Warranty &amp; Maintenance'!N990</f>
        <v/>
      </c>
      <c r="C8025" s="84">
        <f>'Warranty &amp; Maintenance'!L990</f>
        <v/>
      </c>
      <c r="D8025" s="46">
        <f>'Warranty &amp; Maintenance'!M990</f>
        <v/>
      </c>
      <c r="E8025" s="46">
        <f>IF(OR(B8025="",C8025="",D8025=""),"",D8025*100000+(C8025-DATE(2000,1,1))+ROW()/100000)</f>
        <v/>
      </c>
      <c r="F8025" s="46">
        <f>IF(E8025="","",IF(C8025&gt;WeekEndDate,"",E8025))</f>
        <v/>
      </c>
    </row>
    <row r="8026">
      <c r="A8026" t="inlineStr">
        <is>
          <t>Warranty &amp; Maintenance</t>
        </is>
      </c>
      <c r="B8026" s="46">
        <f>'Warranty &amp; Maintenance'!N991</f>
        <v/>
      </c>
      <c r="C8026" s="84">
        <f>'Warranty &amp; Maintenance'!L991</f>
        <v/>
      </c>
      <c r="D8026" s="46">
        <f>'Warranty &amp; Maintenance'!M991</f>
        <v/>
      </c>
      <c r="E8026" s="46">
        <f>IF(OR(B8026="",C8026="",D8026=""),"",D8026*100000+(C8026-DATE(2000,1,1))+ROW()/100000)</f>
        <v/>
      </c>
      <c r="F8026" s="46">
        <f>IF(E8026="","",IF(C8026&gt;WeekEndDate,"",E8026))</f>
        <v/>
      </c>
    </row>
    <row r="8027">
      <c r="A8027" t="inlineStr">
        <is>
          <t>Warranty &amp; Maintenance</t>
        </is>
      </c>
      <c r="B8027" s="46">
        <f>'Warranty &amp; Maintenance'!N992</f>
        <v/>
      </c>
      <c r="C8027" s="84">
        <f>'Warranty &amp; Maintenance'!L992</f>
        <v/>
      </c>
      <c r="D8027" s="46">
        <f>'Warranty &amp; Maintenance'!M992</f>
        <v/>
      </c>
      <c r="E8027" s="46">
        <f>IF(OR(B8027="",C8027="",D8027=""),"",D8027*100000+(C8027-DATE(2000,1,1))+ROW()/100000)</f>
        <v/>
      </c>
      <c r="F8027" s="46">
        <f>IF(E8027="","",IF(C8027&gt;WeekEndDate,"",E8027))</f>
        <v/>
      </c>
    </row>
    <row r="8028">
      <c r="A8028" t="inlineStr">
        <is>
          <t>Warranty &amp; Maintenance</t>
        </is>
      </c>
      <c r="B8028" s="46">
        <f>'Warranty &amp; Maintenance'!N993</f>
        <v/>
      </c>
      <c r="C8028" s="84">
        <f>'Warranty &amp; Maintenance'!L993</f>
        <v/>
      </c>
      <c r="D8028" s="46">
        <f>'Warranty &amp; Maintenance'!M993</f>
        <v/>
      </c>
      <c r="E8028" s="46">
        <f>IF(OR(B8028="",C8028="",D8028=""),"",D8028*100000+(C8028-DATE(2000,1,1))+ROW()/100000)</f>
        <v/>
      </c>
      <c r="F8028" s="46">
        <f>IF(E8028="","",IF(C8028&gt;WeekEndDate,"",E8028))</f>
        <v/>
      </c>
    </row>
    <row r="8029">
      <c r="A8029" t="inlineStr">
        <is>
          <t>Warranty &amp; Maintenance</t>
        </is>
      </c>
      <c r="B8029" s="46">
        <f>'Warranty &amp; Maintenance'!N994</f>
        <v/>
      </c>
      <c r="C8029" s="84">
        <f>'Warranty &amp; Maintenance'!L994</f>
        <v/>
      </c>
      <c r="D8029" s="46">
        <f>'Warranty &amp; Maintenance'!M994</f>
        <v/>
      </c>
      <c r="E8029" s="46">
        <f>IF(OR(B8029="",C8029="",D8029=""),"",D8029*100000+(C8029-DATE(2000,1,1))+ROW()/100000)</f>
        <v/>
      </c>
      <c r="F8029" s="46">
        <f>IF(E8029="","",IF(C8029&gt;WeekEndDate,"",E8029))</f>
        <v/>
      </c>
    </row>
    <row r="8030">
      <c r="A8030" t="inlineStr">
        <is>
          <t>Warranty &amp; Maintenance</t>
        </is>
      </c>
      <c r="B8030" s="46">
        <f>'Warranty &amp; Maintenance'!N995</f>
        <v/>
      </c>
      <c r="C8030" s="84">
        <f>'Warranty &amp; Maintenance'!L995</f>
        <v/>
      </c>
      <c r="D8030" s="46">
        <f>'Warranty &amp; Maintenance'!M995</f>
        <v/>
      </c>
      <c r="E8030" s="46">
        <f>IF(OR(B8030="",C8030="",D8030=""),"",D8030*100000+(C8030-DATE(2000,1,1))+ROW()/100000)</f>
        <v/>
      </c>
      <c r="F8030" s="46">
        <f>IF(E8030="","",IF(C8030&gt;WeekEndDate,"",E8030))</f>
        <v/>
      </c>
    </row>
    <row r="8031">
      <c r="A8031" t="inlineStr">
        <is>
          <t>Warranty &amp; Maintenance</t>
        </is>
      </c>
      <c r="B8031" s="46">
        <f>'Warranty &amp; Maintenance'!N996</f>
        <v/>
      </c>
      <c r="C8031" s="84">
        <f>'Warranty &amp; Maintenance'!L996</f>
        <v/>
      </c>
      <c r="D8031" s="46">
        <f>'Warranty &amp; Maintenance'!M996</f>
        <v/>
      </c>
      <c r="E8031" s="46">
        <f>IF(OR(B8031="",C8031="",D8031=""),"",D8031*100000+(C8031-DATE(2000,1,1))+ROW()/100000)</f>
        <v/>
      </c>
      <c r="F8031" s="46">
        <f>IF(E8031="","",IF(C8031&gt;WeekEndDate,"",E8031))</f>
        <v/>
      </c>
    </row>
    <row r="8032">
      <c r="A8032" t="inlineStr">
        <is>
          <t>Warranty &amp; Maintenance</t>
        </is>
      </c>
      <c r="B8032" s="46">
        <f>'Warranty &amp; Maintenance'!N997</f>
        <v/>
      </c>
      <c r="C8032" s="84">
        <f>'Warranty &amp; Maintenance'!L997</f>
        <v/>
      </c>
      <c r="D8032" s="46">
        <f>'Warranty &amp; Maintenance'!M997</f>
        <v/>
      </c>
      <c r="E8032" s="46">
        <f>IF(OR(B8032="",C8032="",D8032=""),"",D8032*100000+(C8032-DATE(2000,1,1))+ROW()/100000)</f>
        <v/>
      </c>
      <c r="F8032" s="46">
        <f>IF(E8032="","",IF(C8032&gt;WeekEndDate,"",E8032))</f>
        <v/>
      </c>
    </row>
    <row r="8033">
      <c r="A8033" t="inlineStr">
        <is>
          <t>Warranty &amp; Maintenance</t>
        </is>
      </c>
      <c r="B8033" s="46">
        <f>'Warranty &amp; Maintenance'!N998</f>
        <v/>
      </c>
      <c r="C8033" s="84">
        <f>'Warranty &amp; Maintenance'!L998</f>
        <v/>
      </c>
      <c r="D8033" s="46">
        <f>'Warranty &amp; Maintenance'!M998</f>
        <v/>
      </c>
      <c r="E8033" s="46">
        <f>IF(OR(B8033="",C8033="",D8033=""),"",D8033*100000+(C8033-DATE(2000,1,1))+ROW()/100000)</f>
        <v/>
      </c>
      <c r="F8033" s="46">
        <f>IF(E8033="","",IF(C8033&gt;WeekEndDate,"",E8033))</f>
        <v/>
      </c>
    </row>
    <row r="8034">
      <c r="A8034" t="inlineStr">
        <is>
          <t>Warranty &amp; Maintenance</t>
        </is>
      </c>
      <c r="B8034" s="46">
        <f>'Warranty &amp; Maintenance'!N999</f>
        <v/>
      </c>
      <c r="C8034" s="84">
        <f>'Warranty &amp; Maintenance'!L999</f>
        <v/>
      </c>
      <c r="D8034" s="46">
        <f>'Warranty &amp; Maintenance'!M999</f>
        <v/>
      </c>
      <c r="E8034" s="46">
        <f>IF(OR(B8034="",C8034="",D8034=""),"",D8034*100000+(C8034-DATE(2000,1,1))+ROW()/100000)</f>
        <v/>
      </c>
      <c r="F8034" s="46">
        <f>IF(E8034="","",IF(C8034&gt;WeekEndDate,"",E8034))</f>
        <v/>
      </c>
    </row>
    <row r="8035">
      <c r="A8035" t="inlineStr">
        <is>
          <t>Warranty &amp; Maintenance</t>
        </is>
      </c>
      <c r="B8035" s="46">
        <f>'Warranty &amp; Maintenance'!N1000</f>
        <v/>
      </c>
      <c r="C8035" s="84">
        <f>'Warranty &amp; Maintenance'!L1000</f>
        <v/>
      </c>
      <c r="D8035" s="46">
        <f>'Warranty &amp; Maintenance'!M1000</f>
        <v/>
      </c>
      <c r="E8035" s="46">
        <f>IF(OR(B8035="",C8035="",D8035=""),"",D8035*100000+(C8035-DATE(2000,1,1))+ROW()/100000)</f>
        <v/>
      </c>
      <c r="F8035" s="46">
        <f>IF(E8035="","",IF(C8035&gt;WeekEndDate,"",E8035))</f>
        <v/>
      </c>
    </row>
    <row r="8036">
      <c r="A8036" t="inlineStr">
        <is>
          <t>Warranty &amp; Maintenance</t>
        </is>
      </c>
      <c r="B8036" s="46">
        <f>'Warranty &amp; Maintenance'!N1001</f>
        <v/>
      </c>
      <c r="C8036" s="84">
        <f>'Warranty &amp; Maintenance'!L1001</f>
        <v/>
      </c>
      <c r="D8036" s="46">
        <f>'Warranty &amp; Maintenance'!M1001</f>
        <v/>
      </c>
      <c r="E8036" s="46">
        <f>IF(OR(B8036="",C8036="",D8036=""),"",D8036*100000+(C8036-DATE(2000,1,1))+ROW()/100000)</f>
        <v/>
      </c>
      <c r="F8036" s="46">
        <f>IF(E8036="","",IF(C8036&gt;WeekEndDate,"",E8036))</f>
        <v/>
      </c>
    </row>
    <row r="8037">
      <c r="A8037" t="inlineStr">
        <is>
          <t>Warranty &amp; Maintenance</t>
        </is>
      </c>
      <c r="B8037" s="46">
        <f>'Warranty &amp; Maintenance'!N1002</f>
        <v/>
      </c>
      <c r="C8037" s="84">
        <f>'Warranty &amp; Maintenance'!L1002</f>
        <v/>
      </c>
      <c r="D8037" s="46">
        <f>'Warranty &amp; Maintenance'!M1002</f>
        <v/>
      </c>
      <c r="E8037" s="46">
        <f>IF(OR(B8037="",C8037="",D8037=""),"",D8037*100000+(C8037-DATE(2000,1,1))+ROW()/100000)</f>
        <v/>
      </c>
      <c r="F8037" s="46">
        <f>IF(E8037="","",IF(C8037&gt;WeekEndDate,"",E8037))</f>
        <v/>
      </c>
    </row>
    <row r="8038">
      <c r="A8038" t="inlineStr">
        <is>
          <t>Warranty &amp; Maintenance</t>
        </is>
      </c>
      <c r="B8038" s="46">
        <f>'Warranty &amp; Maintenance'!N1003</f>
        <v/>
      </c>
      <c r="C8038" s="84">
        <f>'Warranty &amp; Maintenance'!L1003</f>
        <v/>
      </c>
      <c r="D8038" s="46">
        <f>'Warranty &amp; Maintenance'!M1003</f>
        <v/>
      </c>
      <c r="E8038" s="46">
        <f>IF(OR(B8038="",C8038="",D8038=""),"",D8038*100000+(C8038-DATE(2000,1,1))+ROW()/100000)</f>
        <v/>
      </c>
      <c r="F8038" s="46">
        <f>IF(E8038="","",IF(C8038&gt;WeekEndDate,"",E8038))</f>
        <v/>
      </c>
    </row>
    <row r="8039">
      <c r="A8039" t="inlineStr">
        <is>
          <t>Warranty &amp; Maintenance</t>
        </is>
      </c>
      <c r="B8039" s="46">
        <f>'Warranty &amp; Maintenance'!N1004</f>
        <v/>
      </c>
      <c r="C8039" s="84">
        <f>'Warranty &amp; Maintenance'!L1004</f>
        <v/>
      </c>
      <c r="D8039" s="46">
        <f>'Warranty &amp; Maintenance'!M1004</f>
        <v/>
      </c>
      <c r="E8039" s="46">
        <f>IF(OR(B8039="",C8039="",D8039=""),"",D8039*100000+(C8039-DATE(2000,1,1))+ROW()/100000)</f>
        <v/>
      </c>
      <c r="F8039" s="46">
        <f>IF(E8039="","",IF(C8039&gt;WeekEndDate,"",E8039))</f>
        <v/>
      </c>
    </row>
    <row r="8040">
      <c r="A8040" t="inlineStr">
        <is>
          <t>Warranty &amp; Maintenance</t>
        </is>
      </c>
      <c r="B8040" s="46">
        <f>'Warranty &amp; Maintenance'!N1005</f>
        <v/>
      </c>
      <c r="C8040" s="84">
        <f>'Warranty &amp; Maintenance'!L1005</f>
        <v/>
      </c>
      <c r="D8040" s="46">
        <f>'Warranty &amp; Maintenance'!M1005</f>
        <v/>
      </c>
      <c r="E8040" s="46">
        <f>IF(OR(B8040="",C8040="",D8040=""),"",D8040*100000+(C8040-DATE(2000,1,1))+ROW()/100000)</f>
        <v/>
      </c>
      <c r="F8040" s="46">
        <f>IF(E8040="","",IF(C8040&gt;WeekEndDate,"",E8040))</f>
        <v/>
      </c>
    </row>
    <row r="8041">
      <c r="A8041" t="inlineStr">
        <is>
          <t>Warranty &amp; Maintenance</t>
        </is>
      </c>
      <c r="B8041" s="46">
        <f>'Warranty &amp; Maintenance'!N1006</f>
        <v/>
      </c>
      <c r="C8041" s="84">
        <f>'Warranty &amp; Maintenance'!L1006</f>
        <v/>
      </c>
      <c r="D8041" s="46">
        <f>'Warranty &amp; Maintenance'!M1006</f>
        <v/>
      </c>
      <c r="E8041" s="46">
        <f>IF(OR(B8041="",C8041="",D8041=""),"",D8041*100000+(C8041-DATE(2000,1,1))+ROW()/100000)</f>
        <v/>
      </c>
      <c r="F8041" s="46">
        <f>IF(E8041="","",IF(C8041&gt;WeekEndDate,"",E8041))</f>
        <v/>
      </c>
    </row>
    <row r="8042">
      <c r="A8042" t="inlineStr">
        <is>
          <t>Warranty &amp; Maintenance</t>
        </is>
      </c>
      <c r="B8042" s="46">
        <f>'Warranty &amp; Maintenance'!Z7</f>
        <v/>
      </c>
      <c r="C8042" s="84">
        <f>'Warranty &amp; Maintenance'!X7</f>
        <v/>
      </c>
      <c r="D8042" s="46">
        <f>'Warranty &amp; Maintenance'!Y7</f>
        <v/>
      </c>
      <c r="E8042" s="46">
        <f>IF(OR(B8042="",C8042="",D8042=""),"",D8042*100000+(C8042-DATE(2000,1,1))+ROW()/100000)</f>
        <v/>
      </c>
      <c r="F8042" s="46">
        <f>IF(E8042="","",IF(C8042&gt;WeekEndDate,"",E8042))</f>
        <v/>
      </c>
    </row>
    <row r="8043">
      <c r="A8043" t="inlineStr">
        <is>
          <t>Warranty &amp; Maintenance</t>
        </is>
      </c>
      <c r="B8043" s="46">
        <f>'Warranty &amp; Maintenance'!Z8</f>
        <v/>
      </c>
      <c r="C8043" s="84">
        <f>'Warranty &amp; Maintenance'!X8</f>
        <v/>
      </c>
      <c r="D8043" s="46">
        <f>'Warranty &amp; Maintenance'!Y8</f>
        <v/>
      </c>
      <c r="E8043" s="46">
        <f>IF(OR(B8043="",C8043="",D8043=""),"",D8043*100000+(C8043-DATE(2000,1,1))+ROW()/100000)</f>
        <v/>
      </c>
      <c r="F8043" s="46">
        <f>IF(E8043="","",IF(C8043&gt;WeekEndDate,"",E8043))</f>
        <v/>
      </c>
    </row>
    <row r="8044">
      <c r="A8044" t="inlineStr">
        <is>
          <t>Warranty &amp; Maintenance</t>
        </is>
      </c>
      <c r="B8044" s="46">
        <f>'Warranty &amp; Maintenance'!Z9</f>
        <v/>
      </c>
      <c r="C8044" s="84">
        <f>'Warranty &amp; Maintenance'!X9</f>
        <v/>
      </c>
      <c r="D8044" s="46">
        <f>'Warranty &amp; Maintenance'!Y9</f>
        <v/>
      </c>
      <c r="E8044" s="46">
        <f>IF(OR(B8044="",C8044="",D8044=""),"",D8044*100000+(C8044-DATE(2000,1,1))+ROW()/100000)</f>
        <v/>
      </c>
      <c r="F8044" s="46">
        <f>IF(E8044="","",IF(C8044&gt;WeekEndDate,"",E8044))</f>
        <v/>
      </c>
    </row>
    <row r="8045">
      <c r="A8045" t="inlineStr">
        <is>
          <t>Warranty &amp; Maintenance</t>
        </is>
      </c>
      <c r="B8045" s="46">
        <f>'Warranty &amp; Maintenance'!Z10</f>
        <v/>
      </c>
      <c r="C8045" s="84">
        <f>'Warranty &amp; Maintenance'!X10</f>
        <v/>
      </c>
      <c r="D8045" s="46">
        <f>'Warranty &amp; Maintenance'!Y10</f>
        <v/>
      </c>
      <c r="E8045" s="46">
        <f>IF(OR(B8045="",C8045="",D8045=""),"",D8045*100000+(C8045-DATE(2000,1,1))+ROW()/100000)</f>
        <v/>
      </c>
      <c r="F8045" s="46">
        <f>IF(E8045="","",IF(C8045&gt;WeekEndDate,"",E8045))</f>
        <v/>
      </c>
    </row>
    <row r="8046">
      <c r="A8046" t="inlineStr">
        <is>
          <t>Warranty &amp; Maintenance</t>
        </is>
      </c>
      <c r="B8046" s="46">
        <f>'Warranty &amp; Maintenance'!Z11</f>
        <v/>
      </c>
      <c r="C8046" s="84">
        <f>'Warranty &amp; Maintenance'!X11</f>
        <v/>
      </c>
      <c r="D8046" s="46">
        <f>'Warranty &amp; Maintenance'!Y11</f>
        <v/>
      </c>
      <c r="E8046" s="46">
        <f>IF(OR(B8046="",C8046="",D8046=""),"",D8046*100000+(C8046-DATE(2000,1,1))+ROW()/100000)</f>
        <v/>
      </c>
      <c r="F8046" s="46">
        <f>IF(E8046="","",IF(C8046&gt;WeekEndDate,"",E8046))</f>
        <v/>
      </c>
    </row>
    <row r="8047">
      <c r="A8047" t="inlineStr">
        <is>
          <t>Warranty &amp; Maintenance</t>
        </is>
      </c>
      <c r="B8047" s="46">
        <f>'Warranty &amp; Maintenance'!Z12</f>
        <v/>
      </c>
      <c r="C8047" s="84">
        <f>'Warranty &amp; Maintenance'!X12</f>
        <v/>
      </c>
      <c r="D8047" s="46">
        <f>'Warranty &amp; Maintenance'!Y12</f>
        <v/>
      </c>
      <c r="E8047" s="46">
        <f>IF(OR(B8047="",C8047="",D8047=""),"",D8047*100000+(C8047-DATE(2000,1,1))+ROW()/100000)</f>
        <v/>
      </c>
      <c r="F8047" s="46">
        <f>IF(E8047="","",IF(C8047&gt;WeekEndDate,"",E8047))</f>
        <v/>
      </c>
    </row>
    <row r="8048">
      <c r="A8048" t="inlineStr">
        <is>
          <t>Warranty &amp; Maintenance</t>
        </is>
      </c>
      <c r="B8048" s="46">
        <f>'Warranty &amp; Maintenance'!Z13</f>
        <v/>
      </c>
      <c r="C8048" s="84">
        <f>'Warranty &amp; Maintenance'!X13</f>
        <v/>
      </c>
      <c r="D8048" s="46">
        <f>'Warranty &amp; Maintenance'!Y13</f>
        <v/>
      </c>
      <c r="E8048" s="46">
        <f>IF(OR(B8048="",C8048="",D8048=""),"",D8048*100000+(C8048-DATE(2000,1,1))+ROW()/100000)</f>
        <v/>
      </c>
      <c r="F8048" s="46">
        <f>IF(E8048="","",IF(C8048&gt;WeekEndDate,"",E8048))</f>
        <v/>
      </c>
    </row>
    <row r="8049">
      <c r="A8049" t="inlineStr">
        <is>
          <t>Warranty &amp; Maintenance</t>
        </is>
      </c>
      <c r="B8049" s="46">
        <f>'Warranty &amp; Maintenance'!Z14</f>
        <v/>
      </c>
      <c r="C8049" s="84">
        <f>'Warranty &amp; Maintenance'!X14</f>
        <v/>
      </c>
      <c r="D8049" s="46">
        <f>'Warranty &amp; Maintenance'!Y14</f>
        <v/>
      </c>
      <c r="E8049" s="46">
        <f>IF(OR(B8049="",C8049="",D8049=""),"",D8049*100000+(C8049-DATE(2000,1,1))+ROW()/100000)</f>
        <v/>
      </c>
      <c r="F8049" s="46">
        <f>IF(E8049="","",IF(C8049&gt;WeekEndDate,"",E8049))</f>
        <v/>
      </c>
    </row>
    <row r="8050">
      <c r="A8050" t="inlineStr">
        <is>
          <t>Warranty &amp; Maintenance</t>
        </is>
      </c>
      <c r="B8050" s="46">
        <f>'Warranty &amp; Maintenance'!Z15</f>
        <v/>
      </c>
      <c r="C8050" s="84">
        <f>'Warranty &amp; Maintenance'!X15</f>
        <v/>
      </c>
      <c r="D8050" s="46">
        <f>'Warranty &amp; Maintenance'!Y15</f>
        <v/>
      </c>
      <c r="E8050" s="46">
        <f>IF(OR(B8050="",C8050="",D8050=""),"",D8050*100000+(C8050-DATE(2000,1,1))+ROW()/100000)</f>
        <v/>
      </c>
      <c r="F8050" s="46">
        <f>IF(E8050="","",IF(C8050&gt;WeekEndDate,"",E8050))</f>
        <v/>
      </c>
    </row>
    <row r="8051">
      <c r="A8051" t="inlineStr">
        <is>
          <t>Warranty &amp; Maintenance</t>
        </is>
      </c>
      <c r="B8051" s="46">
        <f>'Warranty &amp; Maintenance'!Z16</f>
        <v/>
      </c>
      <c r="C8051" s="84">
        <f>'Warranty &amp; Maintenance'!X16</f>
        <v/>
      </c>
      <c r="D8051" s="46">
        <f>'Warranty &amp; Maintenance'!Y16</f>
        <v/>
      </c>
      <c r="E8051" s="46">
        <f>IF(OR(B8051="",C8051="",D8051=""),"",D8051*100000+(C8051-DATE(2000,1,1))+ROW()/100000)</f>
        <v/>
      </c>
      <c r="F8051" s="46">
        <f>IF(E8051="","",IF(C8051&gt;WeekEndDate,"",E8051))</f>
        <v/>
      </c>
    </row>
    <row r="8052">
      <c r="A8052" t="inlineStr">
        <is>
          <t>Warranty &amp; Maintenance</t>
        </is>
      </c>
      <c r="B8052" s="46">
        <f>'Warranty &amp; Maintenance'!Z17</f>
        <v/>
      </c>
      <c r="C8052" s="84">
        <f>'Warranty &amp; Maintenance'!X17</f>
        <v/>
      </c>
      <c r="D8052" s="46">
        <f>'Warranty &amp; Maintenance'!Y17</f>
        <v/>
      </c>
      <c r="E8052" s="46">
        <f>IF(OR(B8052="",C8052="",D8052=""),"",D8052*100000+(C8052-DATE(2000,1,1))+ROW()/100000)</f>
        <v/>
      </c>
      <c r="F8052" s="46">
        <f>IF(E8052="","",IF(C8052&gt;WeekEndDate,"",E8052))</f>
        <v/>
      </c>
    </row>
    <row r="8053">
      <c r="A8053" t="inlineStr">
        <is>
          <t>Warranty &amp; Maintenance</t>
        </is>
      </c>
      <c r="B8053" s="46">
        <f>'Warranty &amp; Maintenance'!Z18</f>
        <v/>
      </c>
      <c r="C8053" s="84">
        <f>'Warranty &amp; Maintenance'!X18</f>
        <v/>
      </c>
      <c r="D8053" s="46">
        <f>'Warranty &amp; Maintenance'!Y18</f>
        <v/>
      </c>
      <c r="E8053" s="46">
        <f>IF(OR(B8053="",C8053="",D8053=""),"",D8053*100000+(C8053-DATE(2000,1,1))+ROW()/100000)</f>
        <v/>
      </c>
      <c r="F8053" s="46">
        <f>IF(E8053="","",IF(C8053&gt;WeekEndDate,"",E8053))</f>
        <v/>
      </c>
    </row>
    <row r="8054">
      <c r="A8054" t="inlineStr">
        <is>
          <t>Warranty &amp; Maintenance</t>
        </is>
      </c>
      <c r="B8054" s="46">
        <f>'Warranty &amp; Maintenance'!Z19</f>
        <v/>
      </c>
      <c r="C8054" s="84">
        <f>'Warranty &amp; Maintenance'!X19</f>
        <v/>
      </c>
      <c r="D8054" s="46">
        <f>'Warranty &amp; Maintenance'!Y19</f>
        <v/>
      </c>
      <c r="E8054" s="46">
        <f>IF(OR(B8054="",C8054="",D8054=""),"",D8054*100000+(C8054-DATE(2000,1,1))+ROW()/100000)</f>
        <v/>
      </c>
      <c r="F8054" s="46">
        <f>IF(E8054="","",IF(C8054&gt;WeekEndDate,"",E8054))</f>
        <v/>
      </c>
    </row>
    <row r="8055">
      <c r="A8055" t="inlineStr">
        <is>
          <t>Warranty &amp; Maintenance</t>
        </is>
      </c>
      <c r="B8055" s="46">
        <f>'Warranty &amp; Maintenance'!Z20</f>
        <v/>
      </c>
      <c r="C8055" s="84">
        <f>'Warranty &amp; Maintenance'!X20</f>
        <v/>
      </c>
      <c r="D8055" s="46">
        <f>'Warranty &amp; Maintenance'!Y20</f>
        <v/>
      </c>
      <c r="E8055" s="46">
        <f>IF(OR(B8055="",C8055="",D8055=""),"",D8055*100000+(C8055-DATE(2000,1,1))+ROW()/100000)</f>
        <v/>
      </c>
      <c r="F8055" s="46">
        <f>IF(E8055="","",IF(C8055&gt;WeekEndDate,"",E8055))</f>
        <v/>
      </c>
    </row>
    <row r="8056">
      <c r="A8056" t="inlineStr">
        <is>
          <t>Warranty &amp; Maintenance</t>
        </is>
      </c>
      <c r="B8056" s="46">
        <f>'Warranty &amp; Maintenance'!Z21</f>
        <v/>
      </c>
      <c r="C8056" s="84">
        <f>'Warranty &amp; Maintenance'!X21</f>
        <v/>
      </c>
      <c r="D8056" s="46">
        <f>'Warranty &amp; Maintenance'!Y21</f>
        <v/>
      </c>
      <c r="E8056" s="46">
        <f>IF(OR(B8056="",C8056="",D8056=""),"",D8056*100000+(C8056-DATE(2000,1,1))+ROW()/100000)</f>
        <v/>
      </c>
      <c r="F8056" s="46">
        <f>IF(E8056="","",IF(C8056&gt;WeekEndDate,"",E8056))</f>
        <v/>
      </c>
    </row>
    <row r="8057">
      <c r="A8057" t="inlineStr">
        <is>
          <t>Warranty &amp; Maintenance</t>
        </is>
      </c>
      <c r="B8057" s="46">
        <f>'Warranty &amp; Maintenance'!Z22</f>
        <v/>
      </c>
      <c r="C8057" s="84">
        <f>'Warranty &amp; Maintenance'!X22</f>
        <v/>
      </c>
      <c r="D8057" s="46">
        <f>'Warranty &amp; Maintenance'!Y22</f>
        <v/>
      </c>
      <c r="E8057" s="46">
        <f>IF(OR(B8057="",C8057="",D8057=""),"",D8057*100000+(C8057-DATE(2000,1,1))+ROW()/100000)</f>
        <v/>
      </c>
      <c r="F8057" s="46">
        <f>IF(E8057="","",IF(C8057&gt;WeekEndDate,"",E8057))</f>
        <v/>
      </c>
    </row>
    <row r="8058">
      <c r="A8058" t="inlineStr">
        <is>
          <t>Warranty &amp; Maintenance</t>
        </is>
      </c>
      <c r="B8058" s="46">
        <f>'Warranty &amp; Maintenance'!Z23</f>
        <v/>
      </c>
      <c r="C8058" s="84">
        <f>'Warranty &amp; Maintenance'!X23</f>
        <v/>
      </c>
      <c r="D8058" s="46">
        <f>'Warranty &amp; Maintenance'!Y23</f>
        <v/>
      </c>
      <c r="E8058" s="46">
        <f>IF(OR(B8058="",C8058="",D8058=""),"",D8058*100000+(C8058-DATE(2000,1,1))+ROW()/100000)</f>
        <v/>
      </c>
      <c r="F8058" s="46">
        <f>IF(E8058="","",IF(C8058&gt;WeekEndDate,"",E8058))</f>
        <v/>
      </c>
    </row>
    <row r="8059">
      <c r="A8059" t="inlineStr">
        <is>
          <t>Warranty &amp; Maintenance</t>
        </is>
      </c>
      <c r="B8059" s="46">
        <f>'Warranty &amp; Maintenance'!Z24</f>
        <v/>
      </c>
      <c r="C8059" s="84">
        <f>'Warranty &amp; Maintenance'!X24</f>
        <v/>
      </c>
      <c r="D8059" s="46">
        <f>'Warranty &amp; Maintenance'!Y24</f>
        <v/>
      </c>
      <c r="E8059" s="46">
        <f>IF(OR(B8059="",C8059="",D8059=""),"",D8059*100000+(C8059-DATE(2000,1,1))+ROW()/100000)</f>
        <v/>
      </c>
      <c r="F8059" s="46">
        <f>IF(E8059="","",IF(C8059&gt;WeekEndDate,"",E8059))</f>
        <v/>
      </c>
    </row>
    <row r="8060">
      <c r="A8060" t="inlineStr">
        <is>
          <t>Warranty &amp; Maintenance</t>
        </is>
      </c>
      <c r="B8060" s="46">
        <f>'Warranty &amp; Maintenance'!Z25</f>
        <v/>
      </c>
      <c r="C8060" s="84">
        <f>'Warranty &amp; Maintenance'!X25</f>
        <v/>
      </c>
      <c r="D8060" s="46">
        <f>'Warranty &amp; Maintenance'!Y25</f>
        <v/>
      </c>
      <c r="E8060" s="46">
        <f>IF(OR(B8060="",C8060="",D8060=""),"",D8060*100000+(C8060-DATE(2000,1,1))+ROW()/100000)</f>
        <v/>
      </c>
      <c r="F8060" s="46">
        <f>IF(E8060="","",IF(C8060&gt;WeekEndDate,"",E8060))</f>
        <v/>
      </c>
    </row>
    <row r="8061">
      <c r="A8061" t="inlineStr">
        <is>
          <t>Warranty &amp; Maintenance</t>
        </is>
      </c>
      <c r="B8061" s="46">
        <f>'Warranty &amp; Maintenance'!Z26</f>
        <v/>
      </c>
      <c r="C8061" s="84">
        <f>'Warranty &amp; Maintenance'!X26</f>
        <v/>
      </c>
      <c r="D8061" s="46">
        <f>'Warranty &amp; Maintenance'!Y26</f>
        <v/>
      </c>
      <c r="E8061" s="46">
        <f>IF(OR(B8061="",C8061="",D8061=""),"",D8061*100000+(C8061-DATE(2000,1,1))+ROW()/100000)</f>
        <v/>
      </c>
      <c r="F8061" s="46">
        <f>IF(E8061="","",IF(C8061&gt;WeekEndDate,"",E8061))</f>
        <v/>
      </c>
    </row>
    <row r="8062">
      <c r="A8062" t="inlineStr">
        <is>
          <t>Warranty &amp; Maintenance</t>
        </is>
      </c>
      <c r="B8062" s="46">
        <f>'Warranty &amp; Maintenance'!Z27</f>
        <v/>
      </c>
      <c r="C8062" s="84">
        <f>'Warranty &amp; Maintenance'!X27</f>
        <v/>
      </c>
      <c r="D8062" s="46">
        <f>'Warranty &amp; Maintenance'!Y27</f>
        <v/>
      </c>
      <c r="E8062" s="46">
        <f>IF(OR(B8062="",C8062="",D8062=""),"",D8062*100000+(C8062-DATE(2000,1,1))+ROW()/100000)</f>
        <v/>
      </c>
      <c r="F8062" s="46">
        <f>IF(E8062="","",IF(C8062&gt;WeekEndDate,"",E8062))</f>
        <v/>
      </c>
    </row>
    <row r="8063">
      <c r="A8063" t="inlineStr">
        <is>
          <t>Warranty &amp; Maintenance</t>
        </is>
      </c>
      <c r="B8063" s="46">
        <f>'Warranty &amp; Maintenance'!Z28</f>
        <v/>
      </c>
      <c r="C8063" s="84">
        <f>'Warranty &amp; Maintenance'!X28</f>
        <v/>
      </c>
      <c r="D8063" s="46">
        <f>'Warranty &amp; Maintenance'!Y28</f>
        <v/>
      </c>
      <c r="E8063" s="46">
        <f>IF(OR(B8063="",C8063="",D8063=""),"",D8063*100000+(C8063-DATE(2000,1,1))+ROW()/100000)</f>
        <v/>
      </c>
      <c r="F8063" s="46">
        <f>IF(E8063="","",IF(C8063&gt;WeekEndDate,"",E8063))</f>
        <v/>
      </c>
    </row>
    <row r="8064">
      <c r="A8064" t="inlineStr">
        <is>
          <t>Warranty &amp; Maintenance</t>
        </is>
      </c>
      <c r="B8064" s="46">
        <f>'Warranty &amp; Maintenance'!Z29</f>
        <v/>
      </c>
      <c r="C8064" s="84">
        <f>'Warranty &amp; Maintenance'!X29</f>
        <v/>
      </c>
      <c r="D8064" s="46">
        <f>'Warranty &amp; Maintenance'!Y29</f>
        <v/>
      </c>
      <c r="E8064" s="46">
        <f>IF(OR(B8064="",C8064="",D8064=""),"",D8064*100000+(C8064-DATE(2000,1,1))+ROW()/100000)</f>
        <v/>
      </c>
      <c r="F8064" s="46">
        <f>IF(E8064="","",IF(C8064&gt;WeekEndDate,"",E8064))</f>
        <v/>
      </c>
    </row>
    <row r="8065">
      <c r="A8065" t="inlineStr">
        <is>
          <t>Warranty &amp; Maintenance</t>
        </is>
      </c>
      <c r="B8065" s="46">
        <f>'Warranty &amp; Maintenance'!Z30</f>
        <v/>
      </c>
      <c r="C8065" s="84">
        <f>'Warranty &amp; Maintenance'!X30</f>
        <v/>
      </c>
      <c r="D8065" s="46">
        <f>'Warranty &amp; Maintenance'!Y30</f>
        <v/>
      </c>
      <c r="E8065" s="46">
        <f>IF(OR(B8065="",C8065="",D8065=""),"",D8065*100000+(C8065-DATE(2000,1,1))+ROW()/100000)</f>
        <v/>
      </c>
      <c r="F8065" s="46">
        <f>IF(E8065="","",IF(C8065&gt;WeekEndDate,"",E8065))</f>
        <v/>
      </c>
    </row>
    <row r="8066">
      <c r="A8066" t="inlineStr">
        <is>
          <t>Warranty &amp; Maintenance</t>
        </is>
      </c>
      <c r="B8066" s="46">
        <f>'Warranty &amp; Maintenance'!Z31</f>
        <v/>
      </c>
      <c r="C8066" s="84">
        <f>'Warranty &amp; Maintenance'!X31</f>
        <v/>
      </c>
      <c r="D8066" s="46">
        <f>'Warranty &amp; Maintenance'!Y31</f>
        <v/>
      </c>
      <c r="E8066" s="46">
        <f>IF(OR(B8066="",C8066="",D8066=""),"",D8066*100000+(C8066-DATE(2000,1,1))+ROW()/100000)</f>
        <v/>
      </c>
      <c r="F8066" s="46">
        <f>IF(E8066="","",IF(C8066&gt;WeekEndDate,"",E8066))</f>
        <v/>
      </c>
    </row>
    <row r="8067">
      <c r="A8067" t="inlineStr">
        <is>
          <t>Warranty &amp; Maintenance</t>
        </is>
      </c>
      <c r="B8067" s="46">
        <f>'Warranty &amp; Maintenance'!Z32</f>
        <v/>
      </c>
      <c r="C8067" s="84">
        <f>'Warranty &amp; Maintenance'!X32</f>
        <v/>
      </c>
      <c r="D8067" s="46">
        <f>'Warranty &amp; Maintenance'!Y32</f>
        <v/>
      </c>
      <c r="E8067" s="46">
        <f>IF(OR(B8067="",C8067="",D8067=""),"",D8067*100000+(C8067-DATE(2000,1,1))+ROW()/100000)</f>
        <v/>
      </c>
      <c r="F8067" s="46">
        <f>IF(E8067="","",IF(C8067&gt;WeekEndDate,"",E8067))</f>
        <v/>
      </c>
    </row>
    <row r="8068">
      <c r="A8068" t="inlineStr">
        <is>
          <t>Warranty &amp; Maintenance</t>
        </is>
      </c>
      <c r="B8068" s="46">
        <f>'Warranty &amp; Maintenance'!Z33</f>
        <v/>
      </c>
      <c r="C8068" s="84">
        <f>'Warranty &amp; Maintenance'!X33</f>
        <v/>
      </c>
      <c r="D8068" s="46">
        <f>'Warranty &amp; Maintenance'!Y33</f>
        <v/>
      </c>
      <c r="E8068" s="46">
        <f>IF(OR(B8068="",C8068="",D8068=""),"",D8068*100000+(C8068-DATE(2000,1,1))+ROW()/100000)</f>
        <v/>
      </c>
      <c r="F8068" s="46">
        <f>IF(E8068="","",IF(C8068&gt;WeekEndDate,"",E8068))</f>
        <v/>
      </c>
    </row>
    <row r="8069">
      <c r="A8069" t="inlineStr">
        <is>
          <t>Warranty &amp; Maintenance</t>
        </is>
      </c>
      <c r="B8069" s="46">
        <f>'Warranty &amp; Maintenance'!Z34</f>
        <v/>
      </c>
      <c r="C8069" s="84">
        <f>'Warranty &amp; Maintenance'!X34</f>
        <v/>
      </c>
      <c r="D8069" s="46">
        <f>'Warranty &amp; Maintenance'!Y34</f>
        <v/>
      </c>
      <c r="E8069" s="46">
        <f>IF(OR(B8069="",C8069="",D8069=""),"",D8069*100000+(C8069-DATE(2000,1,1))+ROW()/100000)</f>
        <v/>
      </c>
      <c r="F8069" s="46">
        <f>IF(E8069="","",IF(C8069&gt;WeekEndDate,"",E8069))</f>
        <v/>
      </c>
    </row>
    <row r="8070">
      <c r="A8070" t="inlineStr">
        <is>
          <t>Warranty &amp; Maintenance</t>
        </is>
      </c>
      <c r="B8070" s="46">
        <f>'Warranty &amp; Maintenance'!Z35</f>
        <v/>
      </c>
      <c r="C8070" s="84">
        <f>'Warranty &amp; Maintenance'!X35</f>
        <v/>
      </c>
      <c r="D8070" s="46">
        <f>'Warranty &amp; Maintenance'!Y35</f>
        <v/>
      </c>
      <c r="E8070" s="46">
        <f>IF(OR(B8070="",C8070="",D8070=""),"",D8070*100000+(C8070-DATE(2000,1,1))+ROW()/100000)</f>
        <v/>
      </c>
      <c r="F8070" s="46">
        <f>IF(E8070="","",IF(C8070&gt;WeekEndDate,"",E8070))</f>
        <v/>
      </c>
    </row>
    <row r="8071">
      <c r="A8071" t="inlineStr">
        <is>
          <t>Warranty &amp; Maintenance</t>
        </is>
      </c>
      <c r="B8071" s="46">
        <f>'Warranty &amp; Maintenance'!Z36</f>
        <v/>
      </c>
      <c r="C8071" s="84">
        <f>'Warranty &amp; Maintenance'!X36</f>
        <v/>
      </c>
      <c r="D8071" s="46">
        <f>'Warranty &amp; Maintenance'!Y36</f>
        <v/>
      </c>
      <c r="E8071" s="46">
        <f>IF(OR(B8071="",C8071="",D8071=""),"",D8071*100000+(C8071-DATE(2000,1,1))+ROW()/100000)</f>
        <v/>
      </c>
      <c r="F8071" s="46">
        <f>IF(E8071="","",IF(C8071&gt;WeekEndDate,"",E8071))</f>
        <v/>
      </c>
    </row>
    <row r="8072">
      <c r="A8072" t="inlineStr">
        <is>
          <t>Warranty &amp; Maintenance</t>
        </is>
      </c>
      <c r="B8072" s="46">
        <f>'Warranty &amp; Maintenance'!Z37</f>
        <v/>
      </c>
      <c r="C8072" s="84">
        <f>'Warranty &amp; Maintenance'!X37</f>
        <v/>
      </c>
      <c r="D8072" s="46">
        <f>'Warranty &amp; Maintenance'!Y37</f>
        <v/>
      </c>
      <c r="E8072" s="46">
        <f>IF(OR(B8072="",C8072="",D8072=""),"",D8072*100000+(C8072-DATE(2000,1,1))+ROW()/100000)</f>
        <v/>
      </c>
      <c r="F8072" s="46">
        <f>IF(E8072="","",IF(C8072&gt;WeekEndDate,"",E8072))</f>
        <v/>
      </c>
    </row>
    <row r="8073">
      <c r="A8073" t="inlineStr">
        <is>
          <t>Warranty &amp; Maintenance</t>
        </is>
      </c>
      <c r="B8073" s="46">
        <f>'Warranty &amp; Maintenance'!Z38</f>
        <v/>
      </c>
      <c r="C8073" s="84">
        <f>'Warranty &amp; Maintenance'!X38</f>
        <v/>
      </c>
      <c r="D8073" s="46">
        <f>'Warranty &amp; Maintenance'!Y38</f>
        <v/>
      </c>
      <c r="E8073" s="46">
        <f>IF(OR(B8073="",C8073="",D8073=""),"",D8073*100000+(C8073-DATE(2000,1,1))+ROW()/100000)</f>
        <v/>
      </c>
      <c r="F8073" s="46">
        <f>IF(E8073="","",IF(C8073&gt;WeekEndDate,"",E8073))</f>
        <v/>
      </c>
    </row>
    <row r="8074">
      <c r="A8074" t="inlineStr">
        <is>
          <t>Warranty &amp; Maintenance</t>
        </is>
      </c>
      <c r="B8074" s="46">
        <f>'Warranty &amp; Maintenance'!Z39</f>
        <v/>
      </c>
      <c r="C8074" s="84">
        <f>'Warranty &amp; Maintenance'!X39</f>
        <v/>
      </c>
      <c r="D8074" s="46">
        <f>'Warranty &amp; Maintenance'!Y39</f>
        <v/>
      </c>
      <c r="E8074" s="46">
        <f>IF(OR(B8074="",C8074="",D8074=""),"",D8074*100000+(C8074-DATE(2000,1,1))+ROW()/100000)</f>
        <v/>
      </c>
      <c r="F8074" s="46">
        <f>IF(E8074="","",IF(C8074&gt;WeekEndDate,"",E8074))</f>
        <v/>
      </c>
    </row>
    <row r="8075">
      <c r="A8075" t="inlineStr">
        <is>
          <t>Warranty &amp; Maintenance</t>
        </is>
      </c>
      <c r="B8075" s="46">
        <f>'Warranty &amp; Maintenance'!Z40</f>
        <v/>
      </c>
      <c r="C8075" s="84">
        <f>'Warranty &amp; Maintenance'!X40</f>
        <v/>
      </c>
      <c r="D8075" s="46">
        <f>'Warranty &amp; Maintenance'!Y40</f>
        <v/>
      </c>
      <c r="E8075" s="46">
        <f>IF(OR(B8075="",C8075="",D8075=""),"",D8075*100000+(C8075-DATE(2000,1,1))+ROW()/100000)</f>
        <v/>
      </c>
      <c r="F8075" s="46">
        <f>IF(E8075="","",IF(C8075&gt;WeekEndDate,"",E8075))</f>
        <v/>
      </c>
    </row>
    <row r="8076">
      <c r="A8076" t="inlineStr">
        <is>
          <t>Warranty &amp; Maintenance</t>
        </is>
      </c>
      <c r="B8076" s="46">
        <f>'Warranty &amp; Maintenance'!Z41</f>
        <v/>
      </c>
      <c r="C8076" s="84">
        <f>'Warranty &amp; Maintenance'!X41</f>
        <v/>
      </c>
      <c r="D8076" s="46">
        <f>'Warranty &amp; Maintenance'!Y41</f>
        <v/>
      </c>
      <c r="E8076" s="46">
        <f>IF(OR(B8076="",C8076="",D8076=""),"",D8076*100000+(C8076-DATE(2000,1,1))+ROW()/100000)</f>
        <v/>
      </c>
      <c r="F8076" s="46">
        <f>IF(E8076="","",IF(C8076&gt;WeekEndDate,"",E8076))</f>
        <v/>
      </c>
    </row>
    <row r="8077">
      <c r="A8077" t="inlineStr">
        <is>
          <t>Warranty &amp; Maintenance</t>
        </is>
      </c>
      <c r="B8077" s="46">
        <f>'Warranty &amp; Maintenance'!Z42</f>
        <v/>
      </c>
      <c r="C8077" s="84">
        <f>'Warranty &amp; Maintenance'!X42</f>
        <v/>
      </c>
      <c r="D8077" s="46">
        <f>'Warranty &amp; Maintenance'!Y42</f>
        <v/>
      </c>
      <c r="E8077" s="46">
        <f>IF(OR(B8077="",C8077="",D8077=""),"",D8077*100000+(C8077-DATE(2000,1,1))+ROW()/100000)</f>
        <v/>
      </c>
      <c r="F8077" s="46">
        <f>IF(E8077="","",IF(C8077&gt;WeekEndDate,"",E8077))</f>
        <v/>
      </c>
    </row>
    <row r="8078">
      <c r="A8078" t="inlineStr">
        <is>
          <t>Warranty &amp; Maintenance</t>
        </is>
      </c>
      <c r="B8078" s="46">
        <f>'Warranty &amp; Maintenance'!Z43</f>
        <v/>
      </c>
      <c r="C8078" s="84">
        <f>'Warranty &amp; Maintenance'!X43</f>
        <v/>
      </c>
      <c r="D8078" s="46">
        <f>'Warranty &amp; Maintenance'!Y43</f>
        <v/>
      </c>
      <c r="E8078" s="46">
        <f>IF(OR(B8078="",C8078="",D8078=""),"",D8078*100000+(C8078-DATE(2000,1,1))+ROW()/100000)</f>
        <v/>
      </c>
      <c r="F8078" s="46">
        <f>IF(E8078="","",IF(C8078&gt;WeekEndDate,"",E8078))</f>
        <v/>
      </c>
    </row>
    <row r="8079">
      <c r="A8079" t="inlineStr">
        <is>
          <t>Warranty &amp; Maintenance</t>
        </is>
      </c>
      <c r="B8079" s="46">
        <f>'Warranty &amp; Maintenance'!Z44</f>
        <v/>
      </c>
      <c r="C8079" s="84">
        <f>'Warranty &amp; Maintenance'!X44</f>
        <v/>
      </c>
      <c r="D8079" s="46">
        <f>'Warranty &amp; Maintenance'!Y44</f>
        <v/>
      </c>
      <c r="E8079" s="46">
        <f>IF(OR(B8079="",C8079="",D8079=""),"",D8079*100000+(C8079-DATE(2000,1,1))+ROW()/100000)</f>
        <v/>
      </c>
      <c r="F8079" s="46">
        <f>IF(E8079="","",IF(C8079&gt;WeekEndDate,"",E8079))</f>
        <v/>
      </c>
    </row>
    <row r="8080">
      <c r="A8080" t="inlineStr">
        <is>
          <t>Warranty &amp; Maintenance</t>
        </is>
      </c>
      <c r="B8080" s="46">
        <f>'Warranty &amp; Maintenance'!Z45</f>
        <v/>
      </c>
      <c r="C8080" s="84">
        <f>'Warranty &amp; Maintenance'!X45</f>
        <v/>
      </c>
      <c r="D8080" s="46">
        <f>'Warranty &amp; Maintenance'!Y45</f>
        <v/>
      </c>
      <c r="E8080" s="46">
        <f>IF(OR(B8080="",C8080="",D8080=""),"",D8080*100000+(C8080-DATE(2000,1,1))+ROW()/100000)</f>
        <v/>
      </c>
      <c r="F8080" s="46">
        <f>IF(E8080="","",IF(C8080&gt;WeekEndDate,"",E8080))</f>
        <v/>
      </c>
    </row>
    <row r="8081">
      <c r="A8081" t="inlineStr">
        <is>
          <t>Warranty &amp; Maintenance</t>
        </is>
      </c>
      <c r="B8081" s="46">
        <f>'Warranty &amp; Maintenance'!Z46</f>
        <v/>
      </c>
      <c r="C8081" s="84">
        <f>'Warranty &amp; Maintenance'!X46</f>
        <v/>
      </c>
      <c r="D8081" s="46">
        <f>'Warranty &amp; Maintenance'!Y46</f>
        <v/>
      </c>
      <c r="E8081" s="46">
        <f>IF(OR(B8081="",C8081="",D8081=""),"",D8081*100000+(C8081-DATE(2000,1,1))+ROW()/100000)</f>
        <v/>
      </c>
      <c r="F8081" s="46">
        <f>IF(E8081="","",IF(C8081&gt;WeekEndDate,"",E8081))</f>
        <v/>
      </c>
    </row>
    <row r="8082">
      <c r="A8082" t="inlineStr">
        <is>
          <t>Warranty &amp; Maintenance</t>
        </is>
      </c>
      <c r="B8082" s="46">
        <f>'Warranty &amp; Maintenance'!Z47</f>
        <v/>
      </c>
      <c r="C8082" s="84">
        <f>'Warranty &amp; Maintenance'!X47</f>
        <v/>
      </c>
      <c r="D8082" s="46">
        <f>'Warranty &amp; Maintenance'!Y47</f>
        <v/>
      </c>
      <c r="E8082" s="46">
        <f>IF(OR(B8082="",C8082="",D8082=""),"",D8082*100000+(C8082-DATE(2000,1,1))+ROW()/100000)</f>
        <v/>
      </c>
      <c r="F8082" s="46">
        <f>IF(E8082="","",IF(C8082&gt;WeekEndDate,"",E8082))</f>
        <v/>
      </c>
    </row>
    <row r="8083">
      <c r="A8083" t="inlineStr">
        <is>
          <t>Warranty &amp; Maintenance</t>
        </is>
      </c>
      <c r="B8083" s="46">
        <f>'Warranty &amp; Maintenance'!Z48</f>
        <v/>
      </c>
      <c r="C8083" s="84">
        <f>'Warranty &amp; Maintenance'!X48</f>
        <v/>
      </c>
      <c r="D8083" s="46">
        <f>'Warranty &amp; Maintenance'!Y48</f>
        <v/>
      </c>
      <c r="E8083" s="46">
        <f>IF(OR(B8083="",C8083="",D8083=""),"",D8083*100000+(C8083-DATE(2000,1,1))+ROW()/100000)</f>
        <v/>
      </c>
      <c r="F8083" s="46">
        <f>IF(E8083="","",IF(C8083&gt;WeekEndDate,"",E8083))</f>
        <v/>
      </c>
    </row>
    <row r="8084">
      <c r="A8084" t="inlineStr">
        <is>
          <t>Warranty &amp; Maintenance</t>
        </is>
      </c>
      <c r="B8084" s="46">
        <f>'Warranty &amp; Maintenance'!Z49</f>
        <v/>
      </c>
      <c r="C8084" s="84">
        <f>'Warranty &amp; Maintenance'!X49</f>
        <v/>
      </c>
      <c r="D8084" s="46">
        <f>'Warranty &amp; Maintenance'!Y49</f>
        <v/>
      </c>
      <c r="E8084" s="46">
        <f>IF(OR(B8084="",C8084="",D8084=""),"",D8084*100000+(C8084-DATE(2000,1,1))+ROW()/100000)</f>
        <v/>
      </c>
      <c r="F8084" s="46">
        <f>IF(E8084="","",IF(C8084&gt;WeekEndDate,"",E8084))</f>
        <v/>
      </c>
    </row>
    <row r="8085">
      <c r="A8085" t="inlineStr">
        <is>
          <t>Warranty &amp; Maintenance</t>
        </is>
      </c>
      <c r="B8085" s="46">
        <f>'Warranty &amp; Maintenance'!Z50</f>
        <v/>
      </c>
      <c r="C8085" s="84">
        <f>'Warranty &amp; Maintenance'!X50</f>
        <v/>
      </c>
      <c r="D8085" s="46">
        <f>'Warranty &amp; Maintenance'!Y50</f>
        <v/>
      </c>
      <c r="E8085" s="46">
        <f>IF(OR(B8085="",C8085="",D8085=""),"",D8085*100000+(C8085-DATE(2000,1,1))+ROW()/100000)</f>
        <v/>
      </c>
      <c r="F8085" s="46">
        <f>IF(E8085="","",IF(C8085&gt;WeekEndDate,"",E8085))</f>
        <v/>
      </c>
    </row>
    <row r="8086">
      <c r="A8086" t="inlineStr">
        <is>
          <t>Warranty &amp; Maintenance</t>
        </is>
      </c>
      <c r="B8086" s="46">
        <f>'Warranty &amp; Maintenance'!Z51</f>
        <v/>
      </c>
      <c r="C8086" s="84">
        <f>'Warranty &amp; Maintenance'!X51</f>
        <v/>
      </c>
      <c r="D8086" s="46">
        <f>'Warranty &amp; Maintenance'!Y51</f>
        <v/>
      </c>
      <c r="E8086" s="46">
        <f>IF(OR(B8086="",C8086="",D8086=""),"",D8086*100000+(C8086-DATE(2000,1,1))+ROW()/100000)</f>
        <v/>
      </c>
      <c r="F8086" s="46">
        <f>IF(E8086="","",IF(C8086&gt;WeekEndDate,"",E8086))</f>
        <v/>
      </c>
    </row>
    <row r="8087">
      <c r="A8087" t="inlineStr">
        <is>
          <t>Warranty &amp; Maintenance</t>
        </is>
      </c>
      <c r="B8087" s="46">
        <f>'Warranty &amp; Maintenance'!Z52</f>
        <v/>
      </c>
      <c r="C8087" s="84">
        <f>'Warranty &amp; Maintenance'!X52</f>
        <v/>
      </c>
      <c r="D8087" s="46">
        <f>'Warranty &amp; Maintenance'!Y52</f>
        <v/>
      </c>
      <c r="E8087" s="46">
        <f>IF(OR(B8087="",C8087="",D8087=""),"",D8087*100000+(C8087-DATE(2000,1,1))+ROW()/100000)</f>
        <v/>
      </c>
      <c r="F8087" s="46">
        <f>IF(E8087="","",IF(C8087&gt;WeekEndDate,"",E8087))</f>
        <v/>
      </c>
    </row>
    <row r="8088">
      <c r="A8088" t="inlineStr">
        <is>
          <t>Warranty &amp; Maintenance</t>
        </is>
      </c>
      <c r="B8088" s="46">
        <f>'Warranty &amp; Maintenance'!Z53</f>
        <v/>
      </c>
      <c r="C8088" s="84">
        <f>'Warranty &amp; Maintenance'!X53</f>
        <v/>
      </c>
      <c r="D8088" s="46">
        <f>'Warranty &amp; Maintenance'!Y53</f>
        <v/>
      </c>
      <c r="E8088" s="46">
        <f>IF(OR(B8088="",C8088="",D8088=""),"",D8088*100000+(C8088-DATE(2000,1,1))+ROW()/100000)</f>
        <v/>
      </c>
      <c r="F8088" s="46">
        <f>IF(E8088="","",IF(C8088&gt;WeekEndDate,"",E8088))</f>
        <v/>
      </c>
    </row>
    <row r="8089">
      <c r="A8089" t="inlineStr">
        <is>
          <t>Warranty &amp; Maintenance</t>
        </is>
      </c>
      <c r="B8089" s="46">
        <f>'Warranty &amp; Maintenance'!Z54</f>
        <v/>
      </c>
      <c r="C8089" s="84">
        <f>'Warranty &amp; Maintenance'!X54</f>
        <v/>
      </c>
      <c r="D8089" s="46">
        <f>'Warranty &amp; Maintenance'!Y54</f>
        <v/>
      </c>
      <c r="E8089" s="46">
        <f>IF(OR(B8089="",C8089="",D8089=""),"",D8089*100000+(C8089-DATE(2000,1,1))+ROW()/100000)</f>
        <v/>
      </c>
      <c r="F8089" s="46">
        <f>IF(E8089="","",IF(C8089&gt;WeekEndDate,"",E8089))</f>
        <v/>
      </c>
    </row>
    <row r="8090">
      <c r="A8090" t="inlineStr">
        <is>
          <t>Warranty &amp; Maintenance</t>
        </is>
      </c>
      <c r="B8090" s="46">
        <f>'Warranty &amp; Maintenance'!Z55</f>
        <v/>
      </c>
      <c r="C8090" s="84">
        <f>'Warranty &amp; Maintenance'!X55</f>
        <v/>
      </c>
      <c r="D8090" s="46">
        <f>'Warranty &amp; Maintenance'!Y55</f>
        <v/>
      </c>
      <c r="E8090" s="46">
        <f>IF(OR(B8090="",C8090="",D8090=""),"",D8090*100000+(C8090-DATE(2000,1,1))+ROW()/100000)</f>
        <v/>
      </c>
      <c r="F8090" s="46">
        <f>IF(E8090="","",IF(C8090&gt;WeekEndDate,"",E8090))</f>
        <v/>
      </c>
    </row>
    <row r="8091">
      <c r="A8091" t="inlineStr">
        <is>
          <t>Warranty &amp; Maintenance</t>
        </is>
      </c>
      <c r="B8091" s="46">
        <f>'Warranty &amp; Maintenance'!Z56</f>
        <v/>
      </c>
      <c r="C8091" s="84">
        <f>'Warranty &amp; Maintenance'!X56</f>
        <v/>
      </c>
      <c r="D8091" s="46">
        <f>'Warranty &amp; Maintenance'!Y56</f>
        <v/>
      </c>
      <c r="E8091" s="46">
        <f>IF(OR(B8091="",C8091="",D8091=""),"",D8091*100000+(C8091-DATE(2000,1,1))+ROW()/100000)</f>
        <v/>
      </c>
      <c r="F8091" s="46">
        <f>IF(E8091="","",IF(C8091&gt;WeekEndDate,"",E8091))</f>
        <v/>
      </c>
    </row>
    <row r="8092">
      <c r="A8092" t="inlineStr">
        <is>
          <t>Warranty &amp; Maintenance</t>
        </is>
      </c>
      <c r="B8092" s="46">
        <f>'Warranty &amp; Maintenance'!Z57</f>
        <v/>
      </c>
      <c r="C8092" s="84">
        <f>'Warranty &amp; Maintenance'!X57</f>
        <v/>
      </c>
      <c r="D8092" s="46">
        <f>'Warranty &amp; Maintenance'!Y57</f>
        <v/>
      </c>
      <c r="E8092" s="46">
        <f>IF(OR(B8092="",C8092="",D8092=""),"",D8092*100000+(C8092-DATE(2000,1,1))+ROW()/100000)</f>
        <v/>
      </c>
      <c r="F8092" s="46">
        <f>IF(E8092="","",IF(C8092&gt;WeekEndDate,"",E8092))</f>
        <v/>
      </c>
    </row>
    <row r="8093">
      <c r="A8093" t="inlineStr">
        <is>
          <t>Warranty &amp; Maintenance</t>
        </is>
      </c>
      <c r="B8093" s="46">
        <f>'Warranty &amp; Maintenance'!Z58</f>
        <v/>
      </c>
      <c r="C8093" s="84">
        <f>'Warranty &amp; Maintenance'!X58</f>
        <v/>
      </c>
      <c r="D8093" s="46">
        <f>'Warranty &amp; Maintenance'!Y58</f>
        <v/>
      </c>
      <c r="E8093" s="46">
        <f>IF(OR(B8093="",C8093="",D8093=""),"",D8093*100000+(C8093-DATE(2000,1,1))+ROW()/100000)</f>
        <v/>
      </c>
      <c r="F8093" s="46">
        <f>IF(E8093="","",IF(C8093&gt;WeekEndDate,"",E8093))</f>
        <v/>
      </c>
    </row>
    <row r="8094">
      <c r="A8094" t="inlineStr">
        <is>
          <t>Warranty &amp; Maintenance</t>
        </is>
      </c>
      <c r="B8094" s="46">
        <f>'Warranty &amp; Maintenance'!Z59</f>
        <v/>
      </c>
      <c r="C8094" s="84">
        <f>'Warranty &amp; Maintenance'!X59</f>
        <v/>
      </c>
      <c r="D8094" s="46">
        <f>'Warranty &amp; Maintenance'!Y59</f>
        <v/>
      </c>
      <c r="E8094" s="46">
        <f>IF(OR(B8094="",C8094="",D8094=""),"",D8094*100000+(C8094-DATE(2000,1,1))+ROW()/100000)</f>
        <v/>
      </c>
      <c r="F8094" s="46">
        <f>IF(E8094="","",IF(C8094&gt;WeekEndDate,"",E8094))</f>
        <v/>
      </c>
    </row>
    <row r="8095">
      <c r="A8095" t="inlineStr">
        <is>
          <t>Warranty &amp; Maintenance</t>
        </is>
      </c>
      <c r="B8095" s="46">
        <f>'Warranty &amp; Maintenance'!Z60</f>
        <v/>
      </c>
      <c r="C8095" s="84">
        <f>'Warranty &amp; Maintenance'!X60</f>
        <v/>
      </c>
      <c r="D8095" s="46">
        <f>'Warranty &amp; Maintenance'!Y60</f>
        <v/>
      </c>
      <c r="E8095" s="46">
        <f>IF(OR(B8095="",C8095="",D8095=""),"",D8095*100000+(C8095-DATE(2000,1,1))+ROW()/100000)</f>
        <v/>
      </c>
      <c r="F8095" s="46">
        <f>IF(E8095="","",IF(C8095&gt;WeekEndDate,"",E8095))</f>
        <v/>
      </c>
    </row>
    <row r="8096">
      <c r="A8096" t="inlineStr">
        <is>
          <t>Warranty &amp; Maintenance</t>
        </is>
      </c>
      <c r="B8096" s="46">
        <f>'Warranty &amp; Maintenance'!Z61</f>
        <v/>
      </c>
      <c r="C8096" s="84">
        <f>'Warranty &amp; Maintenance'!X61</f>
        <v/>
      </c>
      <c r="D8096" s="46">
        <f>'Warranty &amp; Maintenance'!Y61</f>
        <v/>
      </c>
      <c r="E8096" s="46">
        <f>IF(OR(B8096="",C8096="",D8096=""),"",D8096*100000+(C8096-DATE(2000,1,1))+ROW()/100000)</f>
        <v/>
      </c>
      <c r="F8096" s="46">
        <f>IF(E8096="","",IF(C8096&gt;WeekEndDate,"",E8096))</f>
        <v/>
      </c>
    </row>
    <row r="8097">
      <c r="A8097" t="inlineStr">
        <is>
          <t>Warranty &amp; Maintenance</t>
        </is>
      </c>
      <c r="B8097" s="46">
        <f>'Warranty &amp; Maintenance'!Z62</f>
        <v/>
      </c>
      <c r="C8097" s="84">
        <f>'Warranty &amp; Maintenance'!X62</f>
        <v/>
      </c>
      <c r="D8097" s="46">
        <f>'Warranty &amp; Maintenance'!Y62</f>
        <v/>
      </c>
      <c r="E8097" s="46">
        <f>IF(OR(B8097="",C8097="",D8097=""),"",D8097*100000+(C8097-DATE(2000,1,1))+ROW()/100000)</f>
        <v/>
      </c>
      <c r="F8097" s="46">
        <f>IF(E8097="","",IF(C8097&gt;WeekEndDate,"",E8097))</f>
        <v/>
      </c>
    </row>
    <row r="8098">
      <c r="A8098" t="inlineStr">
        <is>
          <t>Warranty &amp; Maintenance</t>
        </is>
      </c>
      <c r="B8098" s="46">
        <f>'Warranty &amp; Maintenance'!Z63</f>
        <v/>
      </c>
      <c r="C8098" s="84">
        <f>'Warranty &amp; Maintenance'!X63</f>
        <v/>
      </c>
      <c r="D8098" s="46">
        <f>'Warranty &amp; Maintenance'!Y63</f>
        <v/>
      </c>
      <c r="E8098" s="46">
        <f>IF(OR(B8098="",C8098="",D8098=""),"",D8098*100000+(C8098-DATE(2000,1,1))+ROW()/100000)</f>
        <v/>
      </c>
      <c r="F8098" s="46">
        <f>IF(E8098="","",IF(C8098&gt;WeekEndDate,"",E8098))</f>
        <v/>
      </c>
    </row>
    <row r="8099">
      <c r="A8099" t="inlineStr">
        <is>
          <t>Warranty &amp; Maintenance</t>
        </is>
      </c>
      <c r="B8099" s="46">
        <f>'Warranty &amp; Maintenance'!Z64</f>
        <v/>
      </c>
      <c r="C8099" s="84">
        <f>'Warranty &amp; Maintenance'!X64</f>
        <v/>
      </c>
      <c r="D8099" s="46">
        <f>'Warranty &amp; Maintenance'!Y64</f>
        <v/>
      </c>
      <c r="E8099" s="46">
        <f>IF(OR(B8099="",C8099="",D8099=""),"",D8099*100000+(C8099-DATE(2000,1,1))+ROW()/100000)</f>
        <v/>
      </c>
      <c r="F8099" s="46">
        <f>IF(E8099="","",IF(C8099&gt;WeekEndDate,"",E8099))</f>
        <v/>
      </c>
    </row>
    <row r="8100">
      <c r="A8100" t="inlineStr">
        <is>
          <t>Warranty &amp; Maintenance</t>
        </is>
      </c>
      <c r="B8100" s="46">
        <f>'Warranty &amp; Maintenance'!Z65</f>
        <v/>
      </c>
      <c r="C8100" s="84">
        <f>'Warranty &amp; Maintenance'!X65</f>
        <v/>
      </c>
      <c r="D8100" s="46">
        <f>'Warranty &amp; Maintenance'!Y65</f>
        <v/>
      </c>
      <c r="E8100" s="46">
        <f>IF(OR(B8100="",C8100="",D8100=""),"",D8100*100000+(C8100-DATE(2000,1,1))+ROW()/100000)</f>
        <v/>
      </c>
      <c r="F8100" s="46">
        <f>IF(E8100="","",IF(C8100&gt;WeekEndDate,"",E8100))</f>
        <v/>
      </c>
    </row>
    <row r="8101">
      <c r="A8101" t="inlineStr">
        <is>
          <t>Warranty &amp; Maintenance</t>
        </is>
      </c>
      <c r="B8101" s="46">
        <f>'Warranty &amp; Maintenance'!Z66</f>
        <v/>
      </c>
      <c r="C8101" s="84">
        <f>'Warranty &amp; Maintenance'!X66</f>
        <v/>
      </c>
      <c r="D8101" s="46">
        <f>'Warranty &amp; Maintenance'!Y66</f>
        <v/>
      </c>
      <c r="E8101" s="46">
        <f>IF(OR(B8101="",C8101="",D8101=""),"",D8101*100000+(C8101-DATE(2000,1,1))+ROW()/100000)</f>
        <v/>
      </c>
      <c r="F8101" s="46">
        <f>IF(E8101="","",IF(C8101&gt;WeekEndDate,"",E8101))</f>
        <v/>
      </c>
    </row>
    <row r="8102">
      <c r="A8102" t="inlineStr">
        <is>
          <t>Warranty &amp; Maintenance</t>
        </is>
      </c>
      <c r="B8102" s="46">
        <f>'Warranty &amp; Maintenance'!Z67</f>
        <v/>
      </c>
      <c r="C8102" s="84">
        <f>'Warranty &amp; Maintenance'!X67</f>
        <v/>
      </c>
      <c r="D8102" s="46">
        <f>'Warranty &amp; Maintenance'!Y67</f>
        <v/>
      </c>
      <c r="E8102" s="46">
        <f>IF(OR(B8102="",C8102="",D8102=""),"",D8102*100000+(C8102-DATE(2000,1,1))+ROW()/100000)</f>
        <v/>
      </c>
      <c r="F8102" s="46">
        <f>IF(E8102="","",IF(C8102&gt;WeekEndDate,"",E8102))</f>
        <v/>
      </c>
    </row>
    <row r="8103">
      <c r="A8103" t="inlineStr">
        <is>
          <t>Warranty &amp; Maintenance</t>
        </is>
      </c>
      <c r="B8103" s="46">
        <f>'Warranty &amp; Maintenance'!Z68</f>
        <v/>
      </c>
      <c r="C8103" s="84">
        <f>'Warranty &amp; Maintenance'!X68</f>
        <v/>
      </c>
      <c r="D8103" s="46">
        <f>'Warranty &amp; Maintenance'!Y68</f>
        <v/>
      </c>
      <c r="E8103" s="46">
        <f>IF(OR(B8103="",C8103="",D8103=""),"",D8103*100000+(C8103-DATE(2000,1,1))+ROW()/100000)</f>
        <v/>
      </c>
      <c r="F8103" s="46">
        <f>IF(E8103="","",IF(C8103&gt;WeekEndDate,"",E8103))</f>
        <v/>
      </c>
    </row>
    <row r="8104">
      <c r="A8104" t="inlineStr">
        <is>
          <t>Warranty &amp; Maintenance</t>
        </is>
      </c>
      <c r="B8104" s="46">
        <f>'Warranty &amp; Maintenance'!Z69</f>
        <v/>
      </c>
      <c r="C8104" s="84">
        <f>'Warranty &amp; Maintenance'!X69</f>
        <v/>
      </c>
      <c r="D8104" s="46">
        <f>'Warranty &amp; Maintenance'!Y69</f>
        <v/>
      </c>
      <c r="E8104" s="46">
        <f>IF(OR(B8104="",C8104="",D8104=""),"",D8104*100000+(C8104-DATE(2000,1,1))+ROW()/100000)</f>
        <v/>
      </c>
      <c r="F8104" s="46">
        <f>IF(E8104="","",IF(C8104&gt;WeekEndDate,"",E8104))</f>
        <v/>
      </c>
    </row>
    <row r="8105">
      <c r="A8105" t="inlineStr">
        <is>
          <t>Warranty &amp; Maintenance</t>
        </is>
      </c>
      <c r="B8105" s="46">
        <f>'Warranty &amp; Maintenance'!Z70</f>
        <v/>
      </c>
      <c r="C8105" s="84">
        <f>'Warranty &amp; Maintenance'!X70</f>
        <v/>
      </c>
      <c r="D8105" s="46">
        <f>'Warranty &amp; Maintenance'!Y70</f>
        <v/>
      </c>
      <c r="E8105" s="46">
        <f>IF(OR(B8105="",C8105="",D8105=""),"",D8105*100000+(C8105-DATE(2000,1,1))+ROW()/100000)</f>
        <v/>
      </c>
      <c r="F8105" s="46">
        <f>IF(E8105="","",IF(C8105&gt;WeekEndDate,"",E8105))</f>
        <v/>
      </c>
    </row>
    <row r="8106">
      <c r="A8106" t="inlineStr">
        <is>
          <t>Warranty &amp; Maintenance</t>
        </is>
      </c>
      <c r="B8106" s="46">
        <f>'Warranty &amp; Maintenance'!Z71</f>
        <v/>
      </c>
      <c r="C8106" s="84">
        <f>'Warranty &amp; Maintenance'!X71</f>
        <v/>
      </c>
      <c r="D8106" s="46">
        <f>'Warranty &amp; Maintenance'!Y71</f>
        <v/>
      </c>
      <c r="E8106" s="46">
        <f>IF(OR(B8106="",C8106="",D8106=""),"",D8106*100000+(C8106-DATE(2000,1,1))+ROW()/100000)</f>
        <v/>
      </c>
      <c r="F8106" s="46">
        <f>IF(E8106="","",IF(C8106&gt;WeekEndDate,"",E8106))</f>
        <v/>
      </c>
    </row>
    <row r="8107">
      <c r="A8107" t="inlineStr">
        <is>
          <t>Warranty &amp; Maintenance</t>
        </is>
      </c>
      <c r="B8107" s="46">
        <f>'Warranty &amp; Maintenance'!Z72</f>
        <v/>
      </c>
      <c r="C8107" s="84">
        <f>'Warranty &amp; Maintenance'!X72</f>
        <v/>
      </c>
      <c r="D8107" s="46">
        <f>'Warranty &amp; Maintenance'!Y72</f>
        <v/>
      </c>
      <c r="E8107" s="46">
        <f>IF(OR(B8107="",C8107="",D8107=""),"",D8107*100000+(C8107-DATE(2000,1,1))+ROW()/100000)</f>
        <v/>
      </c>
      <c r="F8107" s="46">
        <f>IF(E8107="","",IF(C8107&gt;WeekEndDate,"",E8107))</f>
        <v/>
      </c>
    </row>
    <row r="8108">
      <c r="A8108" t="inlineStr">
        <is>
          <t>Warranty &amp; Maintenance</t>
        </is>
      </c>
      <c r="B8108" s="46">
        <f>'Warranty &amp; Maintenance'!Z73</f>
        <v/>
      </c>
      <c r="C8108" s="84">
        <f>'Warranty &amp; Maintenance'!X73</f>
        <v/>
      </c>
      <c r="D8108" s="46">
        <f>'Warranty &amp; Maintenance'!Y73</f>
        <v/>
      </c>
      <c r="E8108" s="46">
        <f>IF(OR(B8108="",C8108="",D8108=""),"",D8108*100000+(C8108-DATE(2000,1,1))+ROW()/100000)</f>
        <v/>
      </c>
      <c r="F8108" s="46">
        <f>IF(E8108="","",IF(C8108&gt;WeekEndDate,"",E8108))</f>
        <v/>
      </c>
    </row>
    <row r="8109">
      <c r="A8109" t="inlineStr">
        <is>
          <t>Warranty &amp; Maintenance</t>
        </is>
      </c>
      <c r="B8109" s="46">
        <f>'Warranty &amp; Maintenance'!Z74</f>
        <v/>
      </c>
      <c r="C8109" s="84">
        <f>'Warranty &amp; Maintenance'!X74</f>
        <v/>
      </c>
      <c r="D8109" s="46">
        <f>'Warranty &amp; Maintenance'!Y74</f>
        <v/>
      </c>
      <c r="E8109" s="46">
        <f>IF(OR(B8109="",C8109="",D8109=""),"",D8109*100000+(C8109-DATE(2000,1,1))+ROW()/100000)</f>
        <v/>
      </c>
      <c r="F8109" s="46">
        <f>IF(E8109="","",IF(C8109&gt;WeekEndDate,"",E8109))</f>
        <v/>
      </c>
    </row>
    <row r="8110">
      <c r="A8110" t="inlineStr">
        <is>
          <t>Warranty &amp; Maintenance</t>
        </is>
      </c>
      <c r="B8110" s="46">
        <f>'Warranty &amp; Maintenance'!Z75</f>
        <v/>
      </c>
      <c r="C8110" s="84">
        <f>'Warranty &amp; Maintenance'!X75</f>
        <v/>
      </c>
      <c r="D8110" s="46">
        <f>'Warranty &amp; Maintenance'!Y75</f>
        <v/>
      </c>
      <c r="E8110" s="46">
        <f>IF(OR(B8110="",C8110="",D8110=""),"",D8110*100000+(C8110-DATE(2000,1,1))+ROW()/100000)</f>
        <v/>
      </c>
      <c r="F8110" s="46">
        <f>IF(E8110="","",IF(C8110&gt;WeekEndDate,"",E8110))</f>
        <v/>
      </c>
    </row>
    <row r="8111">
      <c r="A8111" t="inlineStr">
        <is>
          <t>Warranty &amp; Maintenance</t>
        </is>
      </c>
      <c r="B8111" s="46">
        <f>'Warranty &amp; Maintenance'!Z76</f>
        <v/>
      </c>
      <c r="C8111" s="84">
        <f>'Warranty &amp; Maintenance'!X76</f>
        <v/>
      </c>
      <c r="D8111" s="46">
        <f>'Warranty &amp; Maintenance'!Y76</f>
        <v/>
      </c>
      <c r="E8111" s="46">
        <f>IF(OR(B8111="",C8111="",D8111=""),"",D8111*100000+(C8111-DATE(2000,1,1))+ROW()/100000)</f>
        <v/>
      </c>
      <c r="F8111" s="46">
        <f>IF(E8111="","",IF(C8111&gt;WeekEndDate,"",E8111))</f>
        <v/>
      </c>
    </row>
    <row r="8112">
      <c r="A8112" t="inlineStr">
        <is>
          <t>Warranty &amp; Maintenance</t>
        </is>
      </c>
      <c r="B8112" s="46">
        <f>'Warranty &amp; Maintenance'!Z77</f>
        <v/>
      </c>
      <c r="C8112" s="84">
        <f>'Warranty &amp; Maintenance'!X77</f>
        <v/>
      </c>
      <c r="D8112" s="46">
        <f>'Warranty &amp; Maintenance'!Y77</f>
        <v/>
      </c>
      <c r="E8112" s="46">
        <f>IF(OR(B8112="",C8112="",D8112=""),"",D8112*100000+(C8112-DATE(2000,1,1))+ROW()/100000)</f>
        <v/>
      </c>
      <c r="F8112" s="46">
        <f>IF(E8112="","",IF(C8112&gt;WeekEndDate,"",E8112))</f>
        <v/>
      </c>
    </row>
    <row r="8113">
      <c r="A8113" t="inlineStr">
        <is>
          <t>Warranty &amp; Maintenance</t>
        </is>
      </c>
      <c r="B8113" s="46">
        <f>'Warranty &amp; Maintenance'!Z78</f>
        <v/>
      </c>
      <c r="C8113" s="84">
        <f>'Warranty &amp; Maintenance'!X78</f>
        <v/>
      </c>
      <c r="D8113" s="46">
        <f>'Warranty &amp; Maintenance'!Y78</f>
        <v/>
      </c>
      <c r="E8113" s="46">
        <f>IF(OR(B8113="",C8113="",D8113=""),"",D8113*100000+(C8113-DATE(2000,1,1))+ROW()/100000)</f>
        <v/>
      </c>
      <c r="F8113" s="46">
        <f>IF(E8113="","",IF(C8113&gt;WeekEndDate,"",E8113))</f>
        <v/>
      </c>
    </row>
    <row r="8114">
      <c r="A8114" t="inlineStr">
        <is>
          <t>Warranty &amp; Maintenance</t>
        </is>
      </c>
      <c r="B8114" s="46">
        <f>'Warranty &amp; Maintenance'!Z79</f>
        <v/>
      </c>
      <c r="C8114" s="84">
        <f>'Warranty &amp; Maintenance'!X79</f>
        <v/>
      </c>
      <c r="D8114" s="46">
        <f>'Warranty &amp; Maintenance'!Y79</f>
        <v/>
      </c>
      <c r="E8114" s="46">
        <f>IF(OR(B8114="",C8114="",D8114=""),"",D8114*100000+(C8114-DATE(2000,1,1))+ROW()/100000)</f>
        <v/>
      </c>
      <c r="F8114" s="46">
        <f>IF(E8114="","",IF(C8114&gt;WeekEndDate,"",E8114))</f>
        <v/>
      </c>
    </row>
    <row r="8115">
      <c r="A8115" t="inlineStr">
        <is>
          <t>Warranty &amp; Maintenance</t>
        </is>
      </c>
      <c r="B8115" s="46">
        <f>'Warranty &amp; Maintenance'!Z80</f>
        <v/>
      </c>
      <c r="C8115" s="84">
        <f>'Warranty &amp; Maintenance'!X80</f>
        <v/>
      </c>
      <c r="D8115" s="46">
        <f>'Warranty &amp; Maintenance'!Y80</f>
        <v/>
      </c>
      <c r="E8115" s="46">
        <f>IF(OR(B8115="",C8115="",D8115=""),"",D8115*100000+(C8115-DATE(2000,1,1))+ROW()/100000)</f>
        <v/>
      </c>
      <c r="F8115" s="46">
        <f>IF(E8115="","",IF(C8115&gt;WeekEndDate,"",E8115))</f>
        <v/>
      </c>
    </row>
    <row r="8116">
      <c r="A8116" t="inlineStr">
        <is>
          <t>Warranty &amp; Maintenance</t>
        </is>
      </c>
      <c r="B8116" s="46">
        <f>'Warranty &amp; Maintenance'!Z81</f>
        <v/>
      </c>
      <c r="C8116" s="84">
        <f>'Warranty &amp; Maintenance'!X81</f>
        <v/>
      </c>
      <c r="D8116" s="46">
        <f>'Warranty &amp; Maintenance'!Y81</f>
        <v/>
      </c>
      <c r="E8116" s="46">
        <f>IF(OR(B8116="",C8116="",D8116=""),"",D8116*100000+(C8116-DATE(2000,1,1))+ROW()/100000)</f>
        <v/>
      </c>
      <c r="F8116" s="46">
        <f>IF(E8116="","",IF(C8116&gt;WeekEndDate,"",E8116))</f>
        <v/>
      </c>
    </row>
    <row r="8117">
      <c r="A8117" t="inlineStr">
        <is>
          <t>Warranty &amp; Maintenance</t>
        </is>
      </c>
      <c r="B8117" s="46">
        <f>'Warranty &amp; Maintenance'!Z82</f>
        <v/>
      </c>
      <c r="C8117" s="84">
        <f>'Warranty &amp; Maintenance'!X82</f>
        <v/>
      </c>
      <c r="D8117" s="46">
        <f>'Warranty &amp; Maintenance'!Y82</f>
        <v/>
      </c>
      <c r="E8117" s="46">
        <f>IF(OR(B8117="",C8117="",D8117=""),"",D8117*100000+(C8117-DATE(2000,1,1))+ROW()/100000)</f>
        <v/>
      </c>
      <c r="F8117" s="46">
        <f>IF(E8117="","",IF(C8117&gt;WeekEndDate,"",E8117))</f>
        <v/>
      </c>
    </row>
    <row r="8118">
      <c r="A8118" t="inlineStr">
        <is>
          <t>Warranty &amp; Maintenance</t>
        </is>
      </c>
      <c r="B8118" s="46">
        <f>'Warranty &amp; Maintenance'!Z83</f>
        <v/>
      </c>
      <c r="C8118" s="84">
        <f>'Warranty &amp; Maintenance'!X83</f>
        <v/>
      </c>
      <c r="D8118" s="46">
        <f>'Warranty &amp; Maintenance'!Y83</f>
        <v/>
      </c>
      <c r="E8118" s="46">
        <f>IF(OR(B8118="",C8118="",D8118=""),"",D8118*100000+(C8118-DATE(2000,1,1))+ROW()/100000)</f>
        <v/>
      </c>
      <c r="F8118" s="46">
        <f>IF(E8118="","",IF(C8118&gt;WeekEndDate,"",E8118))</f>
        <v/>
      </c>
    </row>
    <row r="8119">
      <c r="A8119" t="inlineStr">
        <is>
          <t>Warranty &amp; Maintenance</t>
        </is>
      </c>
      <c r="B8119" s="46">
        <f>'Warranty &amp; Maintenance'!Z84</f>
        <v/>
      </c>
      <c r="C8119" s="84">
        <f>'Warranty &amp; Maintenance'!X84</f>
        <v/>
      </c>
      <c r="D8119" s="46">
        <f>'Warranty &amp; Maintenance'!Y84</f>
        <v/>
      </c>
      <c r="E8119" s="46">
        <f>IF(OR(B8119="",C8119="",D8119=""),"",D8119*100000+(C8119-DATE(2000,1,1))+ROW()/100000)</f>
        <v/>
      </c>
      <c r="F8119" s="46">
        <f>IF(E8119="","",IF(C8119&gt;WeekEndDate,"",E8119))</f>
        <v/>
      </c>
    </row>
    <row r="8120">
      <c r="A8120" t="inlineStr">
        <is>
          <t>Warranty &amp; Maintenance</t>
        </is>
      </c>
      <c r="B8120" s="46">
        <f>'Warranty &amp; Maintenance'!Z85</f>
        <v/>
      </c>
      <c r="C8120" s="84">
        <f>'Warranty &amp; Maintenance'!X85</f>
        <v/>
      </c>
      <c r="D8120" s="46">
        <f>'Warranty &amp; Maintenance'!Y85</f>
        <v/>
      </c>
      <c r="E8120" s="46">
        <f>IF(OR(B8120="",C8120="",D8120=""),"",D8120*100000+(C8120-DATE(2000,1,1))+ROW()/100000)</f>
        <v/>
      </c>
      <c r="F8120" s="46">
        <f>IF(E8120="","",IF(C8120&gt;WeekEndDate,"",E8120))</f>
        <v/>
      </c>
    </row>
    <row r="8121">
      <c r="A8121" t="inlineStr">
        <is>
          <t>Warranty &amp; Maintenance</t>
        </is>
      </c>
      <c r="B8121" s="46">
        <f>'Warranty &amp; Maintenance'!Z86</f>
        <v/>
      </c>
      <c r="C8121" s="84">
        <f>'Warranty &amp; Maintenance'!X86</f>
        <v/>
      </c>
      <c r="D8121" s="46">
        <f>'Warranty &amp; Maintenance'!Y86</f>
        <v/>
      </c>
      <c r="E8121" s="46">
        <f>IF(OR(B8121="",C8121="",D8121=""),"",D8121*100000+(C8121-DATE(2000,1,1))+ROW()/100000)</f>
        <v/>
      </c>
      <c r="F8121" s="46">
        <f>IF(E8121="","",IF(C8121&gt;WeekEndDate,"",E8121))</f>
        <v/>
      </c>
    </row>
    <row r="8122">
      <c r="A8122" t="inlineStr">
        <is>
          <t>Warranty &amp; Maintenance</t>
        </is>
      </c>
      <c r="B8122" s="46">
        <f>'Warranty &amp; Maintenance'!Z87</f>
        <v/>
      </c>
      <c r="C8122" s="84">
        <f>'Warranty &amp; Maintenance'!X87</f>
        <v/>
      </c>
      <c r="D8122" s="46">
        <f>'Warranty &amp; Maintenance'!Y87</f>
        <v/>
      </c>
      <c r="E8122" s="46">
        <f>IF(OR(B8122="",C8122="",D8122=""),"",D8122*100000+(C8122-DATE(2000,1,1))+ROW()/100000)</f>
        <v/>
      </c>
      <c r="F8122" s="46">
        <f>IF(E8122="","",IF(C8122&gt;WeekEndDate,"",E8122))</f>
        <v/>
      </c>
    </row>
    <row r="8123">
      <c r="A8123" t="inlineStr">
        <is>
          <t>Warranty &amp; Maintenance</t>
        </is>
      </c>
      <c r="B8123" s="46">
        <f>'Warranty &amp; Maintenance'!Z88</f>
        <v/>
      </c>
      <c r="C8123" s="84">
        <f>'Warranty &amp; Maintenance'!X88</f>
        <v/>
      </c>
      <c r="D8123" s="46">
        <f>'Warranty &amp; Maintenance'!Y88</f>
        <v/>
      </c>
      <c r="E8123" s="46">
        <f>IF(OR(B8123="",C8123="",D8123=""),"",D8123*100000+(C8123-DATE(2000,1,1))+ROW()/100000)</f>
        <v/>
      </c>
      <c r="F8123" s="46">
        <f>IF(E8123="","",IF(C8123&gt;WeekEndDate,"",E8123))</f>
        <v/>
      </c>
    </row>
    <row r="8124">
      <c r="A8124" t="inlineStr">
        <is>
          <t>Warranty &amp; Maintenance</t>
        </is>
      </c>
      <c r="B8124" s="46">
        <f>'Warranty &amp; Maintenance'!Z89</f>
        <v/>
      </c>
      <c r="C8124" s="84">
        <f>'Warranty &amp; Maintenance'!X89</f>
        <v/>
      </c>
      <c r="D8124" s="46">
        <f>'Warranty &amp; Maintenance'!Y89</f>
        <v/>
      </c>
      <c r="E8124" s="46">
        <f>IF(OR(B8124="",C8124="",D8124=""),"",D8124*100000+(C8124-DATE(2000,1,1))+ROW()/100000)</f>
        <v/>
      </c>
      <c r="F8124" s="46">
        <f>IF(E8124="","",IF(C8124&gt;WeekEndDate,"",E8124))</f>
        <v/>
      </c>
    </row>
    <row r="8125">
      <c r="A8125" t="inlineStr">
        <is>
          <t>Warranty &amp; Maintenance</t>
        </is>
      </c>
      <c r="B8125" s="46">
        <f>'Warranty &amp; Maintenance'!Z90</f>
        <v/>
      </c>
      <c r="C8125" s="84">
        <f>'Warranty &amp; Maintenance'!X90</f>
        <v/>
      </c>
      <c r="D8125" s="46">
        <f>'Warranty &amp; Maintenance'!Y90</f>
        <v/>
      </c>
      <c r="E8125" s="46">
        <f>IF(OR(B8125="",C8125="",D8125=""),"",D8125*100000+(C8125-DATE(2000,1,1))+ROW()/100000)</f>
        <v/>
      </c>
      <c r="F8125" s="46">
        <f>IF(E8125="","",IF(C8125&gt;WeekEndDate,"",E8125))</f>
        <v/>
      </c>
    </row>
    <row r="8126">
      <c r="A8126" t="inlineStr">
        <is>
          <t>Warranty &amp; Maintenance</t>
        </is>
      </c>
      <c r="B8126" s="46">
        <f>'Warranty &amp; Maintenance'!Z91</f>
        <v/>
      </c>
      <c r="C8126" s="84">
        <f>'Warranty &amp; Maintenance'!X91</f>
        <v/>
      </c>
      <c r="D8126" s="46">
        <f>'Warranty &amp; Maintenance'!Y91</f>
        <v/>
      </c>
      <c r="E8126" s="46">
        <f>IF(OR(B8126="",C8126="",D8126=""),"",D8126*100000+(C8126-DATE(2000,1,1))+ROW()/100000)</f>
        <v/>
      </c>
      <c r="F8126" s="46">
        <f>IF(E8126="","",IF(C8126&gt;WeekEndDate,"",E8126))</f>
        <v/>
      </c>
    </row>
    <row r="8127">
      <c r="A8127" t="inlineStr">
        <is>
          <t>Warranty &amp; Maintenance</t>
        </is>
      </c>
      <c r="B8127" s="46">
        <f>'Warranty &amp; Maintenance'!Z92</f>
        <v/>
      </c>
      <c r="C8127" s="84">
        <f>'Warranty &amp; Maintenance'!X92</f>
        <v/>
      </c>
      <c r="D8127" s="46">
        <f>'Warranty &amp; Maintenance'!Y92</f>
        <v/>
      </c>
      <c r="E8127" s="46">
        <f>IF(OR(B8127="",C8127="",D8127=""),"",D8127*100000+(C8127-DATE(2000,1,1))+ROW()/100000)</f>
        <v/>
      </c>
      <c r="F8127" s="46">
        <f>IF(E8127="","",IF(C8127&gt;WeekEndDate,"",E8127))</f>
        <v/>
      </c>
    </row>
    <row r="8128">
      <c r="A8128" t="inlineStr">
        <is>
          <t>Warranty &amp; Maintenance</t>
        </is>
      </c>
      <c r="B8128" s="46">
        <f>'Warranty &amp; Maintenance'!Z93</f>
        <v/>
      </c>
      <c r="C8128" s="84">
        <f>'Warranty &amp; Maintenance'!X93</f>
        <v/>
      </c>
      <c r="D8128" s="46">
        <f>'Warranty &amp; Maintenance'!Y93</f>
        <v/>
      </c>
      <c r="E8128" s="46">
        <f>IF(OR(B8128="",C8128="",D8128=""),"",D8128*100000+(C8128-DATE(2000,1,1))+ROW()/100000)</f>
        <v/>
      </c>
      <c r="F8128" s="46">
        <f>IF(E8128="","",IF(C8128&gt;WeekEndDate,"",E8128))</f>
        <v/>
      </c>
    </row>
    <row r="8129">
      <c r="A8129" t="inlineStr">
        <is>
          <t>Warranty &amp; Maintenance</t>
        </is>
      </c>
      <c r="B8129" s="46">
        <f>'Warranty &amp; Maintenance'!Z94</f>
        <v/>
      </c>
      <c r="C8129" s="84">
        <f>'Warranty &amp; Maintenance'!X94</f>
        <v/>
      </c>
      <c r="D8129" s="46">
        <f>'Warranty &amp; Maintenance'!Y94</f>
        <v/>
      </c>
      <c r="E8129" s="46">
        <f>IF(OR(B8129="",C8129="",D8129=""),"",D8129*100000+(C8129-DATE(2000,1,1))+ROW()/100000)</f>
        <v/>
      </c>
      <c r="F8129" s="46">
        <f>IF(E8129="","",IF(C8129&gt;WeekEndDate,"",E8129))</f>
        <v/>
      </c>
    </row>
    <row r="8130">
      <c r="A8130" t="inlineStr">
        <is>
          <t>Warranty &amp; Maintenance</t>
        </is>
      </c>
      <c r="B8130" s="46">
        <f>'Warranty &amp; Maintenance'!Z95</f>
        <v/>
      </c>
      <c r="C8130" s="84">
        <f>'Warranty &amp; Maintenance'!X95</f>
        <v/>
      </c>
      <c r="D8130" s="46">
        <f>'Warranty &amp; Maintenance'!Y95</f>
        <v/>
      </c>
      <c r="E8130" s="46">
        <f>IF(OR(B8130="",C8130="",D8130=""),"",D8130*100000+(C8130-DATE(2000,1,1))+ROW()/100000)</f>
        <v/>
      </c>
      <c r="F8130" s="46">
        <f>IF(E8130="","",IF(C8130&gt;WeekEndDate,"",E8130))</f>
        <v/>
      </c>
    </row>
    <row r="8131">
      <c r="A8131" t="inlineStr">
        <is>
          <t>Warranty &amp; Maintenance</t>
        </is>
      </c>
      <c r="B8131" s="46">
        <f>'Warranty &amp; Maintenance'!Z96</f>
        <v/>
      </c>
      <c r="C8131" s="84">
        <f>'Warranty &amp; Maintenance'!X96</f>
        <v/>
      </c>
      <c r="D8131" s="46">
        <f>'Warranty &amp; Maintenance'!Y96</f>
        <v/>
      </c>
      <c r="E8131" s="46">
        <f>IF(OR(B8131="",C8131="",D8131=""),"",D8131*100000+(C8131-DATE(2000,1,1))+ROW()/100000)</f>
        <v/>
      </c>
      <c r="F8131" s="46">
        <f>IF(E8131="","",IF(C8131&gt;WeekEndDate,"",E8131))</f>
        <v/>
      </c>
    </row>
    <row r="8132">
      <c r="A8132" t="inlineStr">
        <is>
          <t>Warranty &amp; Maintenance</t>
        </is>
      </c>
      <c r="B8132" s="46">
        <f>'Warranty &amp; Maintenance'!Z97</f>
        <v/>
      </c>
      <c r="C8132" s="84">
        <f>'Warranty &amp; Maintenance'!X97</f>
        <v/>
      </c>
      <c r="D8132" s="46">
        <f>'Warranty &amp; Maintenance'!Y97</f>
        <v/>
      </c>
      <c r="E8132" s="46">
        <f>IF(OR(B8132="",C8132="",D8132=""),"",D8132*100000+(C8132-DATE(2000,1,1))+ROW()/100000)</f>
        <v/>
      </c>
      <c r="F8132" s="46">
        <f>IF(E8132="","",IF(C8132&gt;WeekEndDate,"",E8132))</f>
        <v/>
      </c>
    </row>
    <row r="8133">
      <c r="A8133" t="inlineStr">
        <is>
          <t>Warranty &amp; Maintenance</t>
        </is>
      </c>
      <c r="B8133" s="46">
        <f>'Warranty &amp; Maintenance'!Z98</f>
        <v/>
      </c>
      <c r="C8133" s="84">
        <f>'Warranty &amp; Maintenance'!X98</f>
        <v/>
      </c>
      <c r="D8133" s="46">
        <f>'Warranty &amp; Maintenance'!Y98</f>
        <v/>
      </c>
      <c r="E8133" s="46">
        <f>IF(OR(B8133="",C8133="",D8133=""),"",D8133*100000+(C8133-DATE(2000,1,1))+ROW()/100000)</f>
        <v/>
      </c>
      <c r="F8133" s="46">
        <f>IF(E8133="","",IF(C8133&gt;WeekEndDate,"",E8133))</f>
        <v/>
      </c>
    </row>
    <row r="8134">
      <c r="A8134" t="inlineStr">
        <is>
          <t>Warranty &amp; Maintenance</t>
        </is>
      </c>
      <c r="B8134" s="46">
        <f>'Warranty &amp; Maintenance'!Z99</f>
        <v/>
      </c>
      <c r="C8134" s="84">
        <f>'Warranty &amp; Maintenance'!X99</f>
        <v/>
      </c>
      <c r="D8134" s="46">
        <f>'Warranty &amp; Maintenance'!Y99</f>
        <v/>
      </c>
      <c r="E8134" s="46">
        <f>IF(OR(B8134="",C8134="",D8134=""),"",D8134*100000+(C8134-DATE(2000,1,1))+ROW()/100000)</f>
        <v/>
      </c>
      <c r="F8134" s="46">
        <f>IF(E8134="","",IF(C8134&gt;WeekEndDate,"",E8134))</f>
        <v/>
      </c>
    </row>
    <row r="8135">
      <c r="A8135" t="inlineStr">
        <is>
          <t>Warranty &amp; Maintenance</t>
        </is>
      </c>
      <c r="B8135" s="46">
        <f>'Warranty &amp; Maintenance'!Z100</f>
        <v/>
      </c>
      <c r="C8135" s="84">
        <f>'Warranty &amp; Maintenance'!X100</f>
        <v/>
      </c>
      <c r="D8135" s="46">
        <f>'Warranty &amp; Maintenance'!Y100</f>
        <v/>
      </c>
      <c r="E8135" s="46">
        <f>IF(OR(B8135="",C8135="",D8135=""),"",D8135*100000+(C8135-DATE(2000,1,1))+ROW()/100000)</f>
        <v/>
      </c>
      <c r="F8135" s="46">
        <f>IF(E8135="","",IF(C8135&gt;WeekEndDate,"",E8135))</f>
        <v/>
      </c>
    </row>
    <row r="8136">
      <c r="A8136" t="inlineStr">
        <is>
          <t>Warranty &amp; Maintenance</t>
        </is>
      </c>
      <c r="B8136" s="46">
        <f>'Warranty &amp; Maintenance'!Z101</f>
        <v/>
      </c>
      <c r="C8136" s="84">
        <f>'Warranty &amp; Maintenance'!X101</f>
        <v/>
      </c>
      <c r="D8136" s="46">
        <f>'Warranty &amp; Maintenance'!Y101</f>
        <v/>
      </c>
      <c r="E8136" s="46">
        <f>IF(OR(B8136="",C8136="",D8136=""),"",D8136*100000+(C8136-DATE(2000,1,1))+ROW()/100000)</f>
        <v/>
      </c>
      <c r="F8136" s="46">
        <f>IF(E8136="","",IF(C8136&gt;WeekEndDate,"",E8136))</f>
        <v/>
      </c>
    </row>
    <row r="8137">
      <c r="A8137" t="inlineStr">
        <is>
          <t>Warranty &amp; Maintenance</t>
        </is>
      </c>
      <c r="B8137" s="46">
        <f>'Warranty &amp; Maintenance'!Z102</f>
        <v/>
      </c>
      <c r="C8137" s="84">
        <f>'Warranty &amp; Maintenance'!X102</f>
        <v/>
      </c>
      <c r="D8137" s="46">
        <f>'Warranty &amp; Maintenance'!Y102</f>
        <v/>
      </c>
      <c r="E8137" s="46">
        <f>IF(OR(B8137="",C8137="",D8137=""),"",D8137*100000+(C8137-DATE(2000,1,1))+ROW()/100000)</f>
        <v/>
      </c>
      <c r="F8137" s="46">
        <f>IF(E8137="","",IF(C8137&gt;WeekEndDate,"",E8137))</f>
        <v/>
      </c>
    </row>
    <row r="8138">
      <c r="A8138" t="inlineStr">
        <is>
          <t>Warranty &amp; Maintenance</t>
        </is>
      </c>
      <c r="B8138" s="46">
        <f>'Warranty &amp; Maintenance'!Z103</f>
        <v/>
      </c>
      <c r="C8138" s="84">
        <f>'Warranty &amp; Maintenance'!X103</f>
        <v/>
      </c>
      <c r="D8138" s="46">
        <f>'Warranty &amp; Maintenance'!Y103</f>
        <v/>
      </c>
      <c r="E8138" s="46">
        <f>IF(OR(B8138="",C8138="",D8138=""),"",D8138*100000+(C8138-DATE(2000,1,1))+ROW()/100000)</f>
        <v/>
      </c>
      <c r="F8138" s="46">
        <f>IF(E8138="","",IF(C8138&gt;WeekEndDate,"",E8138))</f>
        <v/>
      </c>
    </row>
    <row r="8139">
      <c r="A8139" t="inlineStr">
        <is>
          <t>Warranty &amp; Maintenance</t>
        </is>
      </c>
      <c r="B8139" s="46">
        <f>'Warranty &amp; Maintenance'!Z104</f>
        <v/>
      </c>
      <c r="C8139" s="84">
        <f>'Warranty &amp; Maintenance'!X104</f>
        <v/>
      </c>
      <c r="D8139" s="46">
        <f>'Warranty &amp; Maintenance'!Y104</f>
        <v/>
      </c>
      <c r="E8139" s="46">
        <f>IF(OR(B8139="",C8139="",D8139=""),"",D8139*100000+(C8139-DATE(2000,1,1))+ROW()/100000)</f>
        <v/>
      </c>
      <c r="F8139" s="46">
        <f>IF(E8139="","",IF(C8139&gt;WeekEndDate,"",E8139))</f>
        <v/>
      </c>
    </row>
    <row r="8140">
      <c r="A8140" t="inlineStr">
        <is>
          <t>Warranty &amp; Maintenance</t>
        </is>
      </c>
      <c r="B8140" s="46">
        <f>'Warranty &amp; Maintenance'!Z105</f>
        <v/>
      </c>
      <c r="C8140" s="84">
        <f>'Warranty &amp; Maintenance'!X105</f>
        <v/>
      </c>
      <c r="D8140" s="46">
        <f>'Warranty &amp; Maintenance'!Y105</f>
        <v/>
      </c>
      <c r="E8140" s="46">
        <f>IF(OR(B8140="",C8140="",D8140=""),"",D8140*100000+(C8140-DATE(2000,1,1))+ROW()/100000)</f>
        <v/>
      </c>
      <c r="F8140" s="46">
        <f>IF(E8140="","",IF(C8140&gt;WeekEndDate,"",E8140))</f>
        <v/>
      </c>
    </row>
    <row r="8141">
      <c r="A8141" t="inlineStr">
        <is>
          <t>Warranty &amp; Maintenance</t>
        </is>
      </c>
      <c r="B8141" s="46">
        <f>'Warranty &amp; Maintenance'!Z106</f>
        <v/>
      </c>
      <c r="C8141" s="84">
        <f>'Warranty &amp; Maintenance'!X106</f>
        <v/>
      </c>
      <c r="D8141" s="46">
        <f>'Warranty &amp; Maintenance'!Y106</f>
        <v/>
      </c>
      <c r="E8141" s="46">
        <f>IF(OR(B8141="",C8141="",D8141=""),"",D8141*100000+(C8141-DATE(2000,1,1))+ROW()/100000)</f>
        <v/>
      </c>
      <c r="F8141" s="46">
        <f>IF(E8141="","",IF(C8141&gt;WeekEndDate,"",E8141))</f>
        <v/>
      </c>
    </row>
    <row r="8142">
      <c r="A8142" t="inlineStr">
        <is>
          <t>Warranty &amp; Maintenance</t>
        </is>
      </c>
      <c r="B8142" s="46">
        <f>'Warranty &amp; Maintenance'!Z107</f>
        <v/>
      </c>
      <c r="C8142" s="84">
        <f>'Warranty &amp; Maintenance'!X107</f>
        <v/>
      </c>
      <c r="D8142" s="46">
        <f>'Warranty &amp; Maintenance'!Y107</f>
        <v/>
      </c>
      <c r="E8142" s="46">
        <f>IF(OR(B8142="",C8142="",D8142=""),"",D8142*100000+(C8142-DATE(2000,1,1))+ROW()/100000)</f>
        <v/>
      </c>
      <c r="F8142" s="46">
        <f>IF(E8142="","",IF(C8142&gt;WeekEndDate,"",E8142))</f>
        <v/>
      </c>
    </row>
    <row r="8143">
      <c r="A8143" t="inlineStr">
        <is>
          <t>Warranty &amp; Maintenance</t>
        </is>
      </c>
      <c r="B8143" s="46">
        <f>'Warranty &amp; Maintenance'!Z108</f>
        <v/>
      </c>
      <c r="C8143" s="84">
        <f>'Warranty &amp; Maintenance'!X108</f>
        <v/>
      </c>
      <c r="D8143" s="46">
        <f>'Warranty &amp; Maintenance'!Y108</f>
        <v/>
      </c>
      <c r="E8143" s="46">
        <f>IF(OR(B8143="",C8143="",D8143=""),"",D8143*100000+(C8143-DATE(2000,1,1))+ROW()/100000)</f>
        <v/>
      </c>
      <c r="F8143" s="46">
        <f>IF(E8143="","",IF(C8143&gt;WeekEndDate,"",E8143))</f>
        <v/>
      </c>
    </row>
    <row r="8144">
      <c r="A8144" t="inlineStr">
        <is>
          <t>Warranty &amp; Maintenance</t>
        </is>
      </c>
      <c r="B8144" s="46">
        <f>'Warranty &amp; Maintenance'!Z109</f>
        <v/>
      </c>
      <c r="C8144" s="84">
        <f>'Warranty &amp; Maintenance'!X109</f>
        <v/>
      </c>
      <c r="D8144" s="46">
        <f>'Warranty &amp; Maintenance'!Y109</f>
        <v/>
      </c>
      <c r="E8144" s="46">
        <f>IF(OR(B8144="",C8144="",D8144=""),"",D8144*100000+(C8144-DATE(2000,1,1))+ROW()/100000)</f>
        <v/>
      </c>
      <c r="F8144" s="46">
        <f>IF(E8144="","",IF(C8144&gt;WeekEndDate,"",E8144))</f>
        <v/>
      </c>
    </row>
    <row r="8145">
      <c r="A8145" t="inlineStr">
        <is>
          <t>Warranty &amp; Maintenance</t>
        </is>
      </c>
      <c r="B8145" s="46">
        <f>'Warranty &amp; Maintenance'!Z110</f>
        <v/>
      </c>
      <c r="C8145" s="84">
        <f>'Warranty &amp; Maintenance'!X110</f>
        <v/>
      </c>
      <c r="D8145" s="46">
        <f>'Warranty &amp; Maintenance'!Y110</f>
        <v/>
      </c>
      <c r="E8145" s="46">
        <f>IF(OR(B8145="",C8145="",D8145=""),"",D8145*100000+(C8145-DATE(2000,1,1))+ROW()/100000)</f>
        <v/>
      </c>
      <c r="F8145" s="46">
        <f>IF(E8145="","",IF(C8145&gt;WeekEndDate,"",E8145))</f>
        <v/>
      </c>
    </row>
    <row r="8146">
      <c r="A8146" t="inlineStr">
        <is>
          <t>Warranty &amp; Maintenance</t>
        </is>
      </c>
      <c r="B8146" s="46">
        <f>'Warranty &amp; Maintenance'!Z111</f>
        <v/>
      </c>
      <c r="C8146" s="84">
        <f>'Warranty &amp; Maintenance'!X111</f>
        <v/>
      </c>
      <c r="D8146" s="46">
        <f>'Warranty &amp; Maintenance'!Y111</f>
        <v/>
      </c>
      <c r="E8146" s="46">
        <f>IF(OR(B8146="",C8146="",D8146=""),"",D8146*100000+(C8146-DATE(2000,1,1))+ROW()/100000)</f>
        <v/>
      </c>
      <c r="F8146" s="46">
        <f>IF(E8146="","",IF(C8146&gt;WeekEndDate,"",E8146))</f>
        <v/>
      </c>
    </row>
    <row r="8147">
      <c r="A8147" t="inlineStr">
        <is>
          <t>Warranty &amp; Maintenance</t>
        </is>
      </c>
      <c r="B8147" s="46">
        <f>'Warranty &amp; Maintenance'!Z112</f>
        <v/>
      </c>
      <c r="C8147" s="84">
        <f>'Warranty &amp; Maintenance'!X112</f>
        <v/>
      </c>
      <c r="D8147" s="46">
        <f>'Warranty &amp; Maintenance'!Y112</f>
        <v/>
      </c>
      <c r="E8147" s="46">
        <f>IF(OR(B8147="",C8147="",D8147=""),"",D8147*100000+(C8147-DATE(2000,1,1))+ROW()/100000)</f>
        <v/>
      </c>
      <c r="F8147" s="46">
        <f>IF(E8147="","",IF(C8147&gt;WeekEndDate,"",E8147))</f>
        <v/>
      </c>
    </row>
    <row r="8148">
      <c r="A8148" t="inlineStr">
        <is>
          <t>Warranty &amp; Maintenance</t>
        </is>
      </c>
      <c r="B8148" s="46">
        <f>'Warranty &amp; Maintenance'!Z113</f>
        <v/>
      </c>
      <c r="C8148" s="84">
        <f>'Warranty &amp; Maintenance'!X113</f>
        <v/>
      </c>
      <c r="D8148" s="46">
        <f>'Warranty &amp; Maintenance'!Y113</f>
        <v/>
      </c>
      <c r="E8148" s="46">
        <f>IF(OR(B8148="",C8148="",D8148=""),"",D8148*100000+(C8148-DATE(2000,1,1))+ROW()/100000)</f>
        <v/>
      </c>
      <c r="F8148" s="46">
        <f>IF(E8148="","",IF(C8148&gt;WeekEndDate,"",E8148))</f>
        <v/>
      </c>
    </row>
    <row r="8149">
      <c r="A8149" t="inlineStr">
        <is>
          <t>Warranty &amp; Maintenance</t>
        </is>
      </c>
      <c r="B8149" s="46">
        <f>'Warranty &amp; Maintenance'!Z114</f>
        <v/>
      </c>
      <c r="C8149" s="84">
        <f>'Warranty &amp; Maintenance'!X114</f>
        <v/>
      </c>
      <c r="D8149" s="46">
        <f>'Warranty &amp; Maintenance'!Y114</f>
        <v/>
      </c>
      <c r="E8149" s="46">
        <f>IF(OR(B8149="",C8149="",D8149=""),"",D8149*100000+(C8149-DATE(2000,1,1))+ROW()/100000)</f>
        <v/>
      </c>
      <c r="F8149" s="46">
        <f>IF(E8149="","",IF(C8149&gt;WeekEndDate,"",E8149))</f>
        <v/>
      </c>
    </row>
    <row r="8150">
      <c r="A8150" t="inlineStr">
        <is>
          <t>Warranty &amp; Maintenance</t>
        </is>
      </c>
      <c r="B8150" s="46">
        <f>'Warranty &amp; Maintenance'!Z115</f>
        <v/>
      </c>
      <c r="C8150" s="84">
        <f>'Warranty &amp; Maintenance'!X115</f>
        <v/>
      </c>
      <c r="D8150" s="46">
        <f>'Warranty &amp; Maintenance'!Y115</f>
        <v/>
      </c>
      <c r="E8150" s="46">
        <f>IF(OR(B8150="",C8150="",D8150=""),"",D8150*100000+(C8150-DATE(2000,1,1))+ROW()/100000)</f>
        <v/>
      </c>
      <c r="F8150" s="46">
        <f>IF(E8150="","",IF(C8150&gt;WeekEndDate,"",E8150))</f>
        <v/>
      </c>
    </row>
    <row r="8151">
      <c r="A8151" t="inlineStr">
        <is>
          <t>Warranty &amp; Maintenance</t>
        </is>
      </c>
      <c r="B8151" s="46">
        <f>'Warranty &amp; Maintenance'!Z116</f>
        <v/>
      </c>
      <c r="C8151" s="84">
        <f>'Warranty &amp; Maintenance'!X116</f>
        <v/>
      </c>
      <c r="D8151" s="46">
        <f>'Warranty &amp; Maintenance'!Y116</f>
        <v/>
      </c>
      <c r="E8151" s="46">
        <f>IF(OR(B8151="",C8151="",D8151=""),"",D8151*100000+(C8151-DATE(2000,1,1))+ROW()/100000)</f>
        <v/>
      </c>
      <c r="F8151" s="46">
        <f>IF(E8151="","",IF(C8151&gt;WeekEndDate,"",E8151))</f>
        <v/>
      </c>
    </row>
    <row r="8152">
      <c r="A8152" t="inlineStr">
        <is>
          <t>Warranty &amp; Maintenance</t>
        </is>
      </c>
      <c r="B8152" s="46">
        <f>'Warranty &amp; Maintenance'!Z117</f>
        <v/>
      </c>
      <c r="C8152" s="84">
        <f>'Warranty &amp; Maintenance'!X117</f>
        <v/>
      </c>
      <c r="D8152" s="46">
        <f>'Warranty &amp; Maintenance'!Y117</f>
        <v/>
      </c>
      <c r="E8152" s="46">
        <f>IF(OR(B8152="",C8152="",D8152=""),"",D8152*100000+(C8152-DATE(2000,1,1))+ROW()/100000)</f>
        <v/>
      </c>
      <c r="F8152" s="46">
        <f>IF(E8152="","",IF(C8152&gt;WeekEndDate,"",E8152))</f>
        <v/>
      </c>
    </row>
    <row r="8153">
      <c r="A8153" t="inlineStr">
        <is>
          <t>Warranty &amp; Maintenance</t>
        </is>
      </c>
      <c r="B8153" s="46">
        <f>'Warranty &amp; Maintenance'!Z118</f>
        <v/>
      </c>
      <c r="C8153" s="84">
        <f>'Warranty &amp; Maintenance'!X118</f>
        <v/>
      </c>
      <c r="D8153" s="46">
        <f>'Warranty &amp; Maintenance'!Y118</f>
        <v/>
      </c>
      <c r="E8153" s="46">
        <f>IF(OR(B8153="",C8153="",D8153=""),"",D8153*100000+(C8153-DATE(2000,1,1))+ROW()/100000)</f>
        <v/>
      </c>
      <c r="F8153" s="46">
        <f>IF(E8153="","",IF(C8153&gt;WeekEndDate,"",E8153))</f>
        <v/>
      </c>
    </row>
    <row r="8154">
      <c r="A8154" t="inlineStr">
        <is>
          <t>Warranty &amp; Maintenance</t>
        </is>
      </c>
      <c r="B8154" s="46">
        <f>'Warranty &amp; Maintenance'!Z119</f>
        <v/>
      </c>
      <c r="C8154" s="84">
        <f>'Warranty &amp; Maintenance'!X119</f>
        <v/>
      </c>
      <c r="D8154" s="46">
        <f>'Warranty &amp; Maintenance'!Y119</f>
        <v/>
      </c>
      <c r="E8154" s="46">
        <f>IF(OR(B8154="",C8154="",D8154=""),"",D8154*100000+(C8154-DATE(2000,1,1))+ROW()/100000)</f>
        <v/>
      </c>
      <c r="F8154" s="46">
        <f>IF(E8154="","",IF(C8154&gt;WeekEndDate,"",E8154))</f>
        <v/>
      </c>
    </row>
    <row r="8155">
      <c r="A8155" t="inlineStr">
        <is>
          <t>Warranty &amp; Maintenance</t>
        </is>
      </c>
      <c r="B8155" s="46">
        <f>'Warranty &amp; Maintenance'!Z120</f>
        <v/>
      </c>
      <c r="C8155" s="84">
        <f>'Warranty &amp; Maintenance'!X120</f>
        <v/>
      </c>
      <c r="D8155" s="46">
        <f>'Warranty &amp; Maintenance'!Y120</f>
        <v/>
      </c>
      <c r="E8155" s="46">
        <f>IF(OR(B8155="",C8155="",D8155=""),"",D8155*100000+(C8155-DATE(2000,1,1))+ROW()/100000)</f>
        <v/>
      </c>
      <c r="F8155" s="46">
        <f>IF(E8155="","",IF(C8155&gt;WeekEndDate,"",E8155))</f>
        <v/>
      </c>
    </row>
    <row r="8156">
      <c r="A8156" t="inlineStr">
        <is>
          <t>Warranty &amp; Maintenance</t>
        </is>
      </c>
      <c r="B8156" s="46">
        <f>'Warranty &amp; Maintenance'!Z121</f>
        <v/>
      </c>
      <c r="C8156" s="84">
        <f>'Warranty &amp; Maintenance'!X121</f>
        <v/>
      </c>
      <c r="D8156" s="46">
        <f>'Warranty &amp; Maintenance'!Y121</f>
        <v/>
      </c>
      <c r="E8156" s="46">
        <f>IF(OR(B8156="",C8156="",D8156=""),"",D8156*100000+(C8156-DATE(2000,1,1))+ROW()/100000)</f>
        <v/>
      </c>
      <c r="F8156" s="46">
        <f>IF(E8156="","",IF(C8156&gt;WeekEndDate,"",E8156))</f>
        <v/>
      </c>
    </row>
    <row r="8157">
      <c r="A8157" t="inlineStr">
        <is>
          <t>Warranty &amp; Maintenance</t>
        </is>
      </c>
      <c r="B8157" s="46">
        <f>'Warranty &amp; Maintenance'!Z122</f>
        <v/>
      </c>
      <c r="C8157" s="84">
        <f>'Warranty &amp; Maintenance'!X122</f>
        <v/>
      </c>
      <c r="D8157" s="46">
        <f>'Warranty &amp; Maintenance'!Y122</f>
        <v/>
      </c>
      <c r="E8157" s="46">
        <f>IF(OR(B8157="",C8157="",D8157=""),"",D8157*100000+(C8157-DATE(2000,1,1))+ROW()/100000)</f>
        <v/>
      </c>
      <c r="F8157" s="46">
        <f>IF(E8157="","",IF(C8157&gt;WeekEndDate,"",E8157))</f>
        <v/>
      </c>
    </row>
    <row r="8158">
      <c r="A8158" t="inlineStr">
        <is>
          <t>Warranty &amp; Maintenance</t>
        </is>
      </c>
      <c r="B8158" s="46">
        <f>'Warranty &amp; Maintenance'!Z123</f>
        <v/>
      </c>
      <c r="C8158" s="84">
        <f>'Warranty &amp; Maintenance'!X123</f>
        <v/>
      </c>
      <c r="D8158" s="46">
        <f>'Warranty &amp; Maintenance'!Y123</f>
        <v/>
      </c>
      <c r="E8158" s="46">
        <f>IF(OR(B8158="",C8158="",D8158=""),"",D8158*100000+(C8158-DATE(2000,1,1))+ROW()/100000)</f>
        <v/>
      </c>
      <c r="F8158" s="46">
        <f>IF(E8158="","",IF(C8158&gt;WeekEndDate,"",E8158))</f>
        <v/>
      </c>
    </row>
    <row r="8159">
      <c r="A8159" t="inlineStr">
        <is>
          <t>Warranty &amp; Maintenance</t>
        </is>
      </c>
      <c r="B8159" s="46">
        <f>'Warranty &amp; Maintenance'!Z124</f>
        <v/>
      </c>
      <c r="C8159" s="84">
        <f>'Warranty &amp; Maintenance'!X124</f>
        <v/>
      </c>
      <c r="D8159" s="46">
        <f>'Warranty &amp; Maintenance'!Y124</f>
        <v/>
      </c>
      <c r="E8159" s="46">
        <f>IF(OR(B8159="",C8159="",D8159=""),"",D8159*100000+(C8159-DATE(2000,1,1))+ROW()/100000)</f>
        <v/>
      </c>
      <c r="F8159" s="46">
        <f>IF(E8159="","",IF(C8159&gt;WeekEndDate,"",E8159))</f>
        <v/>
      </c>
    </row>
    <row r="8160">
      <c r="A8160" t="inlineStr">
        <is>
          <t>Warranty &amp; Maintenance</t>
        </is>
      </c>
      <c r="B8160" s="46">
        <f>'Warranty &amp; Maintenance'!Z125</f>
        <v/>
      </c>
      <c r="C8160" s="84">
        <f>'Warranty &amp; Maintenance'!X125</f>
        <v/>
      </c>
      <c r="D8160" s="46">
        <f>'Warranty &amp; Maintenance'!Y125</f>
        <v/>
      </c>
      <c r="E8160" s="46">
        <f>IF(OR(B8160="",C8160="",D8160=""),"",D8160*100000+(C8160-DATE(2000,1,1))+ROW()/100000)</f>
        <v/>
      </c>
      <c r="F8160" s="46">
        <f>IF(E8160="","",IF(C8160&gt;WeekEndDate,"",E8160))</f>
        <v/>
      </c>
    </row>
    <row r="8161">
      <c r="A8161" t="inlineStr">
        <is>
          <t>Warranty &amp; Maintenance</t>
        </is>
      </c>
      <c r="B8161" s="46">
        <f>'Warranty &amp; Maintenance'!Z126</f>
        <v/>
      </c>
      <c r="C8161" s="84">
        <f>'Warranty &amp; Maintenance'!X126</f>
        <v/>
      </c>
      <c r="D8161" s="46">
        <f>'Warranty &amp; Maintenance'!Y126</f>
        <v/>
      </c>
      <c r="E8161" s="46">
        <f>IF(OR(B8161="",C8161="",D8161=""),"",D8161*100000+(C8161-DATE(2000,1,1))+ROW()/100000)</f>
        <v/>
      </c>
      <c r="F8161" s="46">
        <f>IF(E8161="","",IF(C8161&gt;WeekEndDate,"",E8161))</f>
        <v/>
      </c>
    </row>
    <row r="8162">
      <c r="A8162" t="inlineStr">
        <is>
          <t>Warranty &amp; Maintenance</t>
        </is>
      </c>
      <c r="B8162" s="46">
        <f>'Warranty &amp; Maintenance'!Z127</f>
        <v/>
      </c>
      <c r="C8162" s="84">
        <f>'Warranty &amp; Maintenance'!X127</f>
        <v/>
      </c>
      <c r="D8162" s="46">
        <f>'Warranty &amp; Maintenance'!Y127</f>
        <v/>
      </c>
      <c r="E8162" s="46">
        <f>IF(OR(B8162="",C8162="",D8162=""),"",D8162*100000+(C8162-DATE(2000,1,1))+ROW()/100000)</f>
        <v/>
      </c>
      <c r="F8162" s="46">
        <f>IF(E8162="","",IF(C8162&gt;WeekEndDate,"",E8162))</f>
        <v/>
      </c>
    </row>
    <row r="8163">
      <c r="A8163" t="inlineStr">
        <is>
          <t>Warranty &amp; Maintenance</t>
        </is>
      </c>
      <c r="B8163" s="46">
        <f>'Warranty &amp; Maintenance'!Z128</f>
        <v/>
      </c>
      <c r="C8163" s="84">
        <f>'Warranty &amp; Maintenance'!X128</f>
        <v/>
      </c>
      <c r="D8163" s="46">
        <f>'Warranty &amp; Maintenance'!Y128</f>
        <v/>
      </c>
      <c r="E8163" s="46">
        <f>IF(OR(B8163="",C8163="",D8163=""),"",D8163*100000+(C8163-DATE(2000,1,1))+ROW()/100000)</f>
        <v/>
      </c>
      <c r="F8163" s="46">
        <f>IF(E8163="","",IF(C8163&gt;WeekEndDate,"",E8163))</f>
        <v/>
      </c>
    </row>
    <row r="8164">
      <c r="A8164" t="inlineStr">
        <is>
          <t>Warranty &amp; Maintenance</t>
        </is>
      </c>
      <c r="B8164" s="46">
        <f>'Warranty &amp; Maintenance'!Z129</f>
        <v/>
      </c>
      <c r="C8164" s="84">
        <f>'Warranty &amp; Maintenance'!X129</f>
        <v/>
      </c>
      <c r="D8164" s="46">
        <f>'Warranty &amp; Maintenance'!Y129</f>
        <v/>
      </c>
      <c r="E8164" s="46">
        <f>IF(OR(B8164="",C8164="",D8164=""),"",D8164*100000+(C8164-DATE(2000,1,1))+ROW()/100000)</f>
        <v/>
      </c>
      <c r="F8164" s="46">
        <f>IF(E8164="","",IF(C8164&gt;WeekEndDate,"",E8164))</f>
        <v/>
      </c>
    </row>
    <row r="8165">
      <c r="A8165" t="inlineStr">
        <is>
          <t>Warranty &amp; Maintenance</t>
        </is>
      </c>
      <c r="B8165" s="46">
        <f>'Warranty &amp; Maintenance'!Z130</f>
        <v/>
      </c>
      <c r="C8165" s="84">
        <f>'Warranty &amp; Maintenance'!X130</f>
        <v/>
      </c>
      <c r="D8165" s="46">
        <f>'Warranty &amp; Maintenance'!Y130</f>
        <v/>
      </c>
      <c r="E8165" s="46">
        <f>IF(OR(B8165="",C8165="",D8165=""),"",D8165*100000+(C8165-DATE(2000,1,1))+ROW()/100000)</f>
        <v/>
      </c>
      <c r="F8165" s="46">
        <f>IF(E8165="","",IF(C8165&gt;WeekEndDate,"",E8165))</f>
        <v/>
      </c>
    </row>
    <row r="8166">
      <c r="A8166" t="inlineStr">
        <is>
          <t>Warranty &amp; Maintenance</t>
        </is>
      </c>
      <c r="B8166" s="46">
        <f>'Warranty &amp; Maintenance'!Z131</f>
        <v/>
      </c>
      <c r="C8166" s="84">
        <f>'Warranty &amp; Maintenance'!X131</f>
        <v/>
      </c>
      <c r="D8166" s="46">
        <f>'Warranty &amp; Maintenance'!Y131</f>
        <v/>
      </c>
      <c r="E8166" s="46">
        <f>IF(OR(B8166="",C8166="",D8166=""),"",D8166*100000+(C8166-DATE(2000,1,1))+ROW()/100000)</f>
        <v/>
      </c>
      <c r="F8166" s="46">
        <f>IF(E8166="","",IF(C8166&gt;WeekEndDate,"",E8166))</f>
        <v/>
      </c>
    </row>
    <row r="8167">
      <c r="A8167" t="inlineStr">
        <is>
          <t>Warranty &amp; Maintenance</t>
        </is>
      </c>
      <c r="B8167" s="46">
        <f>'Warranty &amp; Maintenance'!Z132</f>
        <v/>
      </c>
      <c r="C8167" s="84">
        <f>'Warranty &amp; Maintenance'!X132</f>
        <v/>
      </c>
      <c r="D8167" s="46">
        <f>'Warranty &amp; Maintenance'!Y132</f>
        <v/>
      </c>
      <c r="E8167" s="46">
        <f>IF(OR(B8167="",C8167="",D8167=""),"",D8167*100000+(C8167-DATE(2000,1,1))+ROW()/100000)</f>
        <v/>
      </c>
      <c r="F8167" s="46">
        <f>IF(E8167="","",IF(C8167&gt;WeekEndDate,"",E8167))</f>
        <v/>
      </c>
    </row>
    <row r="8168">
      <c r="A8168" t="inlineStr">
        <is>
          <t>Warranty &amp; Maintenance</t>
        </is>
      </c>
      <c r="B8168" s="46">
        <f>'Warranty &amp; Maintenance'!Z133</f>
        <v/>
      </c>
      <c r="C8168" s="84">
        <f>'Warranty &amp; Maintenance'!X133</f>
        <v/>
      </c>
      <c r="D8168" s="46">
        <f>'Warranty &amp; Maintenance'!Y133</f>
        <v/>
      </c>
      <c r="E8168" s="46">
        <f>IF(OR(B8168="",C8168="",D8168=""),"",D8168*100000+(C8168-DATE(2000,1,1))+ROW()/100000)</f>
        <v/>
      </c>
      <c r="F8168" s="46">
        <f>IF(E8168="","",IF(C8168&gt;WeekEndDate,"",E8168))</f>
        <v/>
      </c>
    </row>
    <row r="8169">
      <c r="A8169" t="inlineStr">
        <is>
          <t>Warranty &amp; Maintenance</t>
        </is>
      </c>
      <c r="B8169" s="46">
        <f>'Warranty &amp; Maintenance'!Z134</f>
        <v/>
      </c>
      <c r="C8169" s="84">
        <f>'Warranty &amp; Maintenance'!X134</f>
        <v/>
      </c>
      <c r="D8169" s="46">
        <f>'Warranty &amp; Maintenance'!Y134</f>
        <v/>
      </c>
      <c r="E8169" s="46">
        <f>IF(OR(B8169="",C8169="",D8169=""),"",D8169*100000+(C8169-DATE(2000,1,1))+ROW()/100000)</f>
        <v/>
      </c>
      <c r="F8169" s="46">
        <f>IF(E8169="","",IF(C8169&gt;WeekEndDate,"",E8169))</f>
        <v/>
      </c>
    </row>
    <row r="8170">
      <c r="A8170" t="inlineStr">
        <is>
          <t>Warranty &amp; Maintenance</t>
        </is>
      </c>
      <c r="B8170" s="46">
        <f>'Warranty &amp; Maintenance'!Z135</f>
        <v/>
      </c>
      <c r="C8170" s="84">
        <f>'Warranty &amp; Maintenance'!X135</f>
        <v/>
      </c>
      <c r="D8170" s="46">
        <f>'Warranty &amp; Maintenance'!Y135</f>
        <v/>
      </c>
      <c r="E8170" s="46">
        <f>IF(OR(B8170="",C8170="",D8170=""),"",D8170*100000+(C8170-DATE(2000,1,1))+ROW()/100000)</f>
        <v/>
      </c>
      <c r="F8170" s="46">
        <f>IF(E8170="","",IF(C8170&gt;WeekEndDate,"",E8170))</f>
        <v/>
      </c>
    </row>
    <row r="8171">
      <c r="A8171" t="inlineStr">
        <is>
          <t>Warranty &amp; Maintenance</t>
        </is>
      </c>
      <c r="B8171" s="46">
        <f>'Warranty &amp; Maintenance'!Z136</f>
        <v/>
      </c>
      <c r="C8171" s="84">
        <f>'Warranty &amp; Maintenance'!X136</f>
        <v/>
      </c>
      <c r="D8171" s="46">
        <f>'Warranty &amp; Maintenance'!Y136</f>
        <v/>
      </c>
      <c r="E8171" s="46">
        <f>IF(OR(B8171="",C8171="",D8171=""),"",D8171*100000+(C8171-DATE(2000,1,1))+ROW()/100000)</f>
        <v/>
      </c>
      <c r="F8171" s="46">
        <f>IF(E8171="","",IF(C8171&gt;WeekEndDate,"",E8171))</f>
        <v/>
      </c>
    </row>
    <row r="8172">
      <c r="A8172" t="inlineStr">
        <is>
          <t>Warranty &amp; Maintenance</t>
        </is>
      </c>
      <c r="B8172" s="46">
        <f>'Warranty &amp; Maintenance'!Z137</f>
        <v/>
      </c>
      <c r="C8172" s="84">
        <f>'Warranty &amp; Maintenance'!X137</f>
        <v/>
      </c>
      <c r="D8172" s="46">
        <f>'Warranty &amp; Maintenance'!Y137</f>
        <v/>
      </c>
      <c r="E8172" s="46">
        <f>IF(OR(B8172="",C8172="",D8172=""),"",D8172*100000+(C8172-DATE(2000,1,1))+ROW()/100000)</f>
        <v/>
      </c>
      <c r="F8172" s="46">
        <f>IF(E8172="","",IF(C8172&gt;WeekEndDate,"",E8172))</f>
        <v/>
      </c>
    </row>
    <row r="8173">
      <c r="A8173" t="inlineStr">
        <is>
          <t>Warranty &amp; Maintenance</t>
        </is>
      </c>
      <c r="B8173" s="46">
        <f>'Warranty &amp; Maintenance'!Z138</f>
        <v/>
      </c>
      <c r="C8173" s="84">
        <f>'Warranty &amp; Maintenance'!X138</f>
        <v/>
      </c>
      <c r="D8173" s="46">
        <f>'Warranty &amp; Maintenance'!Y138</f>
        <v/>
      </c>
      <c r="E8173" s="46">
        <f>IF(OR(B8173="",C8173="",D8173=""),"",D8173*100000+(C8173-DATE(2000,1,1))+ROW()/100000)</f>
        <v/>
      </c>
      <c r="F8173" s="46">
        <f>IF(E8173="","",IF(C8173&gt;WeekEndDate,"",E8173))</f>
        <v/>
      </c>
    </row>
    <row r="8174">
      <c r="A8174" t="inlineStr">
        <is>
          <t>Warranty &amp; Maintenance</t>
        </is>
      </c>
      <c r="B8174" s="46">
        <f>'Warranty &amp; Maintenance'!Z139</f>
        <v/>
      </c>
      <c r="C8174" s="84">
        <f>'Warranty &amp; Maintenance'!X139</f>
        <v/>
      </c>
      <c r="D8174" s="46">
        <f>'Warranty &amp; Maintenance'!Y139</f>
        <v/>
      </c>
      <c r="E8174" s="46">
        <f>IF(OR(B8174="",C8174="",D8174=""),"",D8174*100000+(C8174-DATE(2000,1,1))+ROW()/100000)</f>
        <v/>
      </c>
      <c r="F8174" s="46">
        <f>IF(E8174="","",IF(C8174&gt;WeekEndDate,"",E8174))</f>
        <v/>
      </c>
    </row>
    <row r="8175">
      <c r="A8175" t="inlineStr">
        <is>
          <t>Warranty &amp; Maintenance</t>
        </is>
      </c>
      <c r="B8175" s="46">
        <f>'Warranty &amp; Maintenance'!Z140</f>
        <v/>
      </c>
      <c r="C8175" s="84">
        <f>'Warranty &amp; Maintenance'!X140</f>
        <v/>
      </c>
      <c r="D8175" s="46">
        <f>'Warranty &amp; Maintenance'!Y140</f>
        <v/>
      </c>
      <c r="E8175" s="46">
        <f>IF(OR(B8175="",C8175="",D8175=""),"",D8175*100000+(C8175-DATE(2000,1,1))+ROW()/100000)</f>
        <v/>
      </c>
      <c r="F8175" s="46">
        <f>IF(E8175="","",IF(C8175&gt;WeekEndDate,"",E8175))</f>
        <v/>
      </c>
    </row>
    <row r="8176">
      <c r="A8176" t="inlineStr">
        <is>
          <t>Warranty &amp; Maintenance</t>
        </is>
      </c>
      <c r="B8176" s="46">
        <f>'Warranty &amp; Maintenance'!Z141</f>
        <v/>
      </c>
      <c r="C8176" s="84">
        <f>'Warranty &amp; Maintenance'!X141</f>
        <v/>
      </c>
      <c r="D8176" s="46">
        <f>'Warranty &amp; Maintenance'!Y141</f>
        <v/>
      </c>
      <c r="E8176" s="46">
        <f>IF(OR(B8176="",C8176="",D8176=""),"",D8176*100000+(C8176-DATE(2000,1,1))+ROW()/100000)</f>
        <v/>
      </c>
      <c r="F8176" s="46">
        <f>IF(E8176="","",IF(C8176&gt;WeekEndDate,"",E8176))</f>
        <v/>
      </c>
    </row>
    <row r="8177">
      <c r="A8177" t="inlineStr">
        <is>
          <t>Warranty &amp; Maintenance</t>
        </is>
      </c>
      <c r="B8177" s="46">
        <f>'Warranty &amp; Maintenance'!Z142</f>
        <v/>
      </c>
      <c r="C8177" s="84">
        <f>'Warranty &amp; Maintenance'!X142</f>
        <v/>
      </c>
      <c r="D8177" s="46">
        <f>'Warranty &amp; Maintenance'!Y142</f>
        <v/>
      </c>
      <c r="E8177" s="46">
        <f>IF(OR(B8177="",C8177="",D8177=""),"",D8177*100000+(C8177-DATE(2000,1,1))+ROW()/100000)</f>
        <v/>
      </c>
      <c r="F8177" s="46">
        <f>IF(E8177="","",IF(C8177&gt;WeekEndDate,"",E8177))</f>
        <v/>
      </c>
    </row>
    <row r="8178">
      <c r="A8178" t="inlineStr">
        <is>
          <t>Warranty &amp; Maintenance</t>
        </is>
      </c>
      <c r="B8178" s="46">
        <f>'Warranty &amp; Maintenance'!Z143</f>
        <v/>
      </c>
      <c r="C8178" s="84">
        <f>'Warranty &amp; Maintenance'!X143</f>
        <v/>
      </c>
      <c r="D8178" s="46">
        <f>'Warranty &amp; Maintenance'!Y143</f>
        <v/>
      </c>
      <c r="E8178" s="46">
        <f>IF(OR(B8178="",C8178="",D8178=""),"",D8178*100000+(C8178-DATE(2000,1,1))+ROW()/100000)</f>
        <v/>
      </c>
      <c r="F8178" s="46">
        <f>IF(E8178="","",IF(C8178&gt;WeekEndDate,"",E8178))</f>
        <v/>
      </c>
    </row>
    <row r="8179">
      <c r="A8179" t="inlineStr">
        <is>
          <t>Warranty &amp; Maintenance</t>
        </is>
      </c>
      <c r="B8179" s="46">
        <f>'Warranty &amp; Maintenance'!Z144</f>
        <v/>
      </c>
      <c r="C8179" s="84">
        <f>'Warranty &amp; Maintenance'!X144</f>
        <v/>
      </c>
      <c r="D8179" s="46">
        <f>'Warranty &amp; Maintenance'!Y144</f>
        <v/>
      </c>
      <c r="E8179" s="46">
        <f>IF(OR(B8179="",C8179="",D8179=""),"",D8179*100000+(C8179-DATE(2000,1,1))+ROW()/100000)</f>
        <v/>
      </c>
      <c r="F8179" s="46">
        <f>IF(E8179="","",IF(C8179&gt;WeekEndDate,"",E8179))</f>
        <v/>
      </c>
    </row>
    <row r="8180">
      <c r="A8180" t="inlineStr">
        <is>
          <t>Warranty &amp; Maintenance</t>
        </is>
      </c>
      <c r="B8180" s="46">
        <f>'Warranty &amp; Maintenance'!Z145</f>
        <v/>
      </c>
      <c r="C8180" s="84">
        <f>'Warranty &amp; Maintenance'!X145</f>
        <v/>
      </c>
      <c r="D8180" s="46">
        <f>'Warranty &amp; Maintenance'!Y145</f>
        <v/>
      </c>
      <c r="E8180" s="46">
        <f>IF(OR(B8180="",C8180="",D8180=""),"",D8180*100000+(C8180-DATE(2000,1,1))+ROW()/100000)</f>
        <v/>
      </c>
      <c r="F8180" s="46">
        <f>IF(E8180="","",IF(C8180&gt;WeekEndDate,"",E8180))</f>
        <v/>
      </c>
    </row>
    <row r="8181">
      <c r="A8181" t="inlineStr">
        <is>
          <t>Warranty &amp; Maintenance</t>
        </is>
      </c>
      <c r="B8181" s="46">
        <f>'Warranty &amp; Maintenance'!Z146</f>
        <v/>
      </c>
      <c r="C8181" s="84">
        <f>'Warranty &amp; Maintenance'!X146</f>
        <v/>
      </c>
      <c r="D8181" s="46">
        <f>'Warranty &amp; Maintenance'!Y146</f>
        <v/>
      </c>
      <c r="E8181" s="46">
        <f>IF(OR(B8181="",C8181="",D8181=""),"",D8181*100000+(C8181-DATE(2000,1,1))+ROW()/100000)</f>
        <v/>
      </c>
      <c r="F8181" s="46">
        <f>IF(E8181="","",IF(C8181&gt;WeekEndDate,"",E8181))</f>
        <v/>
      </c>
    </row>
    <row r="8182">
      <c r="A8182" t="inlineStr">
        <is>
          <t>Warranty &amp; Maintenance</t>
        </is>
      </c>
      <c r="B8182" s="46">
        <f>'Warranty &amp; Maintenance'!Z147</f>
        <v/>
      </c>
      <c r="C8182" s="84">
        <f>'Warranty &amp; Maintenance'!X147</f>
        <v/>
      </c>
      <c r="D8182" s="46">
        <f>'Warranty &amp; Maintenance'!Y147</f>
        <v/>
      </c>
      <c r="E8182" s="46">
        <f>IF(OR(B8182="",C8182="",D8182=""),"",D8182*100000+(C8182-DATE(2000,1,1))+ROW()/100000)</f>
        <v/>
      </c>
      <c r="F8182" s="46">
        <f>IF(E8182="","",IF(C8182&gt;WeekEndDate,"",E8182))</f>
        <v/>
      </c>
    </row>
    <row r="8183">
      <c r="A8183" t="inlineStr">
        <is>
          <t>Warranty &amp; Maintenance</t>
        </is>
      </c>
      <c r="B8183" s="46">
        <f>'Warranty &amp; Maintenance'!Z148</f>
        <v/>
      </c>
      <c r="C8183" s="84">
        <f>'Warranty &amp; Maintenance'!X148</f>
        <v/>
      </c>
      <c r="D8183" s="46">
        <f>'Warranty &amp; Maintenance'!Y148</f>
        <v/>
      </c>
      <c r="E8183" s="46">
        <f>IF(OR(B8183="",C8183="",D8183=""),"",D8183*100000+(C8183-DATE(2000,1,1))+ROW()/100000)</f>
        <v/>
      </c>
      <c r="F8183" s="46">
        <f>IF(E8183="","",IF(C8183&gt;WeekEndDate,"",E8183))</f>
        <v/>
      </c>
    </row>
    <row r="8184">
      <c r="A8184" t="inlineStr">
        <is>
          <t>Warranty &amp; Maintenance</t>
        </is>
      </c>
      <c r="B8184" s="46">
        <f>'Warranty &amp; Maintenance'!Z149</f>
        <v/>
      </c>
      <c r="C8184" s="84">
        <f>'Warranty &amp; Maintenance'!X149</f>
        <v/>
      </c>
      <c r="D8184" s="46">
        <f>'Warranty &amp; Maintenance'!Y149</f>
        <v/>
      </c>
      <c r="E8184" s="46">
        <f>IF(OR(B8184="",C8184="",D8184=""),"",D8184*100000+(C8184-DATE(2000,1,1))+ROW()/100000)</f>
        <v/>
      </c>
      <c r="F8184" s="46">
        <f>IF(E8184="","",IF(C8184&gt;WeekEndDate,"",E8184))</f>
        <v/>
      </c>
    </row>
    <row r="8185">
      <c r="A8185" t="inlineStr">
        <is>
          <t>Warranty &amp; Maintenance</t>
        </is>
      </c>
      <c r="B8185" s="46">
        <f>'Warranty &amp; Maintenance'!Z150</f>
        <v/>
      </c>
      <c r="C8185" s="84">
        <f>'Warranty &amp; Maintenance'!X150</f>
        <v/>
      </c>
      <c r="D8185" s="46">
        <f>'Warranty &amp; Maintenance'!Y150</f>
        <v/>
      </c>
      <c r="E8185" s="46">
        <f>IF(OR(B8185="",C8185="",D8185=""),"",D8185*100000+(C8185-DATE(2000,1,1))+ROW()/100000)</f>
        <v/>
      </c>
      <c r="F8185" s="46">
        <f>IF(E8185="","",IF(C8185&gt;WeekEndDate,"",E8185))</f>
        <v/>
      </c>
    </row>
    <row r="8186">
      <c r="A8186" t="inlineStr">
        <is>
          <t>Warranty &amp; Maintenance</t>
        </is>
      </c>
      <c r="B8186" s="46">
        <f>'Warranty &amp; Maintenance'!Z151</f>
        <v/>
      </c>
      <c r="C8186" s="84">
        <f>'Warranty &amp; Maintenance'!X151</f>
        <v/>
      </c>
      <c r="D8186" s="46">
        <f>'Warranty &amp; Maintenance'!Y151</f>
        <v/>
      </c>
      <c r="E8186" s="46">
        <f>IF(OR(B8186="",C8186="",D8186=""),"",D8186*100000+(C8186-DATE(2000,1,1))+ROW()/100000)</f>
        <v/>
      </c>
      <c r="F8186" s="46">
        <f>IF(E8186="","",IF(C8186&gt;WeekEndDate,"",E8186))</f>
        <v/>
      </c>
    </row>
    <row r="8187">
      <c r="A8187" t="inlineStr">
        <is>
          <t>Warranty &amp; Maintenance</t>
        </is>
      </c>
      <c r="B8187" s="46">
        <f>'Warranty &amp; Maintenance'!Z152</f>
        <v/>
      </c>
      <c r="C8187" s="84">
        <f>'Warranty &amp; Maintenance'!X152</f>
        <v/>
      </c>
      <c r="D8187" s="46">
        <f>'Warranty &amp; Maintenance'!Y152</f>
        <v/>
      </c>
      <c r="E8187" s="46">
        <f>IF(OR(B8187="",C8187="",D8187=""),"",D8187*100000+(C8187-DATE(2000,1,1))+ROW()/100000)</f>
        <v/>
      </c>
      <c r="F8187" s="46">
        <f>IF(E8187="","",IF(C8187&gt;WeekEndDate,"",E8187))</f>
        <v/>
      </c>
    </row>
    <row r="8188">
      <c r="A8188" t="inlineStr">
        <is>
          <t>Warranty &amp; Maintenance</t>
        </is>
      </c>
      <c r="B8188" s="46">
        <f>'Warranty &amp; Maintenance'!Z153</f>
        <v/>
      </c>
      <c r="C8188" s="84">
        <f>'Warranty &amp; Maintenance'!X153</f>
        <v/>
      </c>
      <c r="D8188" s="46">
        <f>'Warranty &amp; Maintenance'!Y153</f>
        <v/>
      </c>
      <c r="E8188" s="46">
        <f>IF(OR(B8188="",C8188="",D8188=""),"",D8188*100000+(C8188-DATE(2000,1,1))+ROW()/100000)</f>
        <v/>
      </c>
      <c r="F8188" s="46">
        <f>IF(E8188="","",IF(C8188&gt;WeekEndDate,"",E8188))</f>
        <v/>
      </c>
    </row>
    <row r="8189">
      <c r="A8189" t="inlineStr">
        <is>
          <t>Warranty &amp; Maintenance</t>
        </is>
      </c>
      <c r="B8189" s="46">
        <f>'Warranty &amp; Maintenance'!Z154</f>
        <v/>
      </c>
      <c r="C8189" s="84">
        <f>'Warranty &amp; Maintenance'!X154</f>
        <v/>
      </c>
      <c r="D8189" s="46">
        <f>'Warranty &amp; Maintenance'!Y154</f>
        <v/>
      </c>
      <c r="E8189" s="46">
        <f>IF(OR(B8189="",C8189="",D8189=""),"",D8189*100000+(C8189-DATE(2000,1,1))+ROW()/100000)</f>
        <v/>
      </c>
      <c r="F8189" s="46">
        <f>IF(E8189="","",IF(C8189&gt;WeekEndDate,"",E8189))</f>
        <v/>
      </c>
    </row>
    <row r="8190">
      <c r="A8190" t="inlineStr">
        <is>
          <t>Warranty &amp; Maintenance</t>
        </is>
      </c>
      <c r="B8190" s="46">
        <f>'Warranty &amp; Maintenance'!Z155</f>
        <v/>
      </c>
      <c r="C8190" s="84">
        <f>'Warranty &amp; Maintenance'!X155</f>
        <v/>
      </c>
      <c r="D8190" s="46">
        <f>'Warranty &amp; Maintenance'!Y155</f>
        <v/>
      </c>
      <c r="E8190" s="46">
        <f>IF(OR(B8190="",C8190="",D8190=""),"",D8190*100000+(C8190-DATE(2000,1,1))+ROW()/100000)</f>
        <v/>
      </c>
      <c r="F8190" s="46">
        <f>IF(E8190="","",IF(C8190&gt;WeekEndDate,"",E8190))</f>
        <v/>
      </c>
    </row>
    <row r="8191">
      <c r="A8191" t="inlineStr">
        <is>
          <t>Warranty &amp; Maintenance</t>
        </is>
      </c>
      <c r="B8191" s="46">
        <f>'Warranty &amp; Maintenance'!Z156</f>
        <v/>
      </c>
      <c r="C8191" s="84">
        <f>'Warranty &amp; Maintenance'!X156</f>
        <v/>
      </c>
      <c r="D8191" s="46">
        <f>'Warranty &amp; Maintenance'!Y156</f>
        <v/>
      </c>
      <c r="E8191" s="46">
        <f>IF(OR(B8191="",C8191="",D8191=""),"",D8191*100000+(C8191-DATE(2000,1,1))+ROW()/100000)</f>
        <v/>
      </c>
      <c r="F8191" s="46">
        <f>IF(E8191="","",IF(C8191&gt;WeekEndDate,"",E8191))</f>
        <v/>
      </c>
    </row>
    <row r="8192">
      <c r="A8192" t="inlineStr">
        <is>
          <t>Warranty &amp; Maintenance</t>
        </is>
      </c>
      <c r="B8192" s="46">
        <f>'Warranty &amp; Maintenance'!Z157</f>
        <v/>
      </c>
      <c r="C8192" s="84">
        <f>'Warranty &amp; Maintenance'!X157</f>
        <v/>
      </c>
      <c r="D8192" s="46">
        <f>'Warranty &amp; Maintenance'!Y157</f>
        <v/>
      </c>
      <c r="E8192" s="46">
        <f>IF(OR(B8192="",C8192="",D8192=""),"",D8192*100000+(C8192-DATE(2000,1,1))+ROW()/100000)</f>
        <v/>
      </c>
      <c r="F8192" s="46">
        <f>IF(E8192="","",IF(C8192&gt;WeekEndDate,"",E8192))</f>
        <v/>
      </c>
    </row>
    <row r="8193">
      <c r="A8193" t="inlineStr">
        <is>
          <t>Warranty &amp; Maintenance</t>
        </is>
      </c>
      <c r="B8193" s="46">
        <f>'Warranty &amp; Maintenance'!Z158</f>
        <v/>
      </c>
      <c r="C8193" s="84">
        <f>'Warranty &amp; Maintenance'!X158</f>
        <v/>
      </c>
      <c r="D8193" s="46">
        <f>'Warranty &amp; Maintenance'!Y158</f>
        <v/>
      </c>
      <c r="E8193" s="46">
        <f>IF(OR(B8193="",C8193="",D8193=""),"",D8193*100000+(C8193-DATE(2000,1,1))+ROW()/100000)</f>
        <v/>
      </c>
      <c r="F8193" s="46">
        <f>IF(E8193="","",IF(C8193&gt;WeekEndDate,"",E8193))</f>
        <v/>
      </c>
    </row>
    <row r="8194">
      <c r="A8194" t="inlineStr">
        <is>
          <t>Warranty &amp; Maintenance</t>
        </is>
      </c>
      <c r="B8194" s="46">
        <f>'Warranty &amp; Maintenance'!Z159</f>
        <v/>
      </c>
      <c r="C8194" s="84">
        <f>'Warranty &amp; Maintenance'!X159</f>
        <v/>
      </c>
      <c r="D8194" s="46">
        <f>'Warranty &amp; Maintenance'!Y159</f>
        <v/>
      </c>
      <c r="E8194" s="46">
        <f>IF(OR(B8194="",C8194="",D8194=""),"",D8194*100000+(C8194-DATE(2000,1,1))+ROW()/100000)</f>
        <v/>
      </c>
      <c r="F8194" s="46">
        <f>IF(E8194="","",IF(C8194&gt;WeekEndDate,"",E8194))</f>
        <v/>
      </c>
    </row>
    <row r="8195">
      <c r="A8195" t="inlineStr">
        <is>
          <t>Warranty &amp; Maintenance</t>
        </is>
      </c>
      <c r="B8195" s="46">
        <f>'Warranty &amp; Maintenance'!Z160</f>
        <v/>
      </c>
      <c r="C8195" s="84">
        <f>'Warranty &amp; Maintenance'!X160</f>
        <v/>
      </c>
      <c r="D8195" s="46">
        <f>'Warranty &amp; Maintenance'!Y160</f>
        <v/>
      </c>
      <c r="E8195" s="46">
        <f>IF(OR(B8195="",C8195="",D8195=""),"",D8195*100000+(C8195-DATE(2000,1,1))+ROW()/100000)</f>
        <v/>
      </c>
      <c r="F8195" s="46">
        <f>IF(E8195="","",IF(C8195&gt;WeekEndDate,"",E8195))</f>
        <v/>
      </c>
    </row>
    <row r="8196">
      <c r="A8196" t="inlineStr">
        <is>
          <t>Warranty &amp; Maintenance</t>
        </is>
      </c>
      <c r="B8196" s="46">
        <f>'Warranty &amp; Maintenance'!Z161</f>
        <v/>
      </c>
      <c r="C8196" s="84">
        <f>'Warranty &amp; Maintenance'!X161</f>
        <v/>
      </c>
      <c r="D8196" s="46">
        <f>'Warranty &amp; Maintenance'!Y161</f>
        <v/>
      </c>
      <c r="E8196" s="46">
        <f>IF(OR(B8196="",C8196="",D8196=""),"",D8196*100000+(C8196-DATE(2000,1,1))+ROW()/100000)</f>
        <v/>
      </c>
      <c r="F8196" s="46">
        <f>IF(E8196="","",IF(C8196&gt;WeekEndDate,"",E8196))</f>
        <v/>
      </c>
    </row>
    <row r="8197">
      <c r="A8197" t="inlineStr">
        <is>
          <t>Warranty &amp; Maintenance</t>
        </is>
      </c>
      <c r="B8197" s="46">
        <f>'Warranty &amp; Maintenance'!Z162</f>
        <v/>
      </c>
      <c r="C8197" s="84">
        <f>'Warranty &amp; Maintenance'!X162</f>
        <v/>
      </c>
      <c r="D8197" s="46">
        <f>'Warranty &amp; Maintenance'!Y162</f>
        <v/>
      </c>
      <c r="E8197" s="46">
        <f>IF(OR(B8197="",C8197="",D8197=""),"",D8197*100000+(C8197-DATE(2000,1,1))+ROW()/100000)</f>
        <v/>
      </c>
      <c r="F8197" s="46">
        <f>IF(E8197="","",IF(C8197&gt;WeekEndDate,"",E8197))</f>
        <v/>
      </c>
    </row>
    <row r="8198">
      <c r="A8198" t="inlineStr">
        <is>
          <t>Warranty &amp; Maintenance</t>
        </is>
      </c>
      <c r="B8198" s="46">
        <f>'Warranty &amp; Maintenance'!Z163</f>
        <v/>
      </c>
      <c r="C8198" s="84">
        <f>'Warranty &amp; Maintenance'!X163</f>
        <v/>
      </c>
      <c r="D8198" s="46">
        <f>'Warranty &amp; Maintenance'!Y163</f>
        <v/>
      </c>
      <c r="E8198" s="46">
        <f>IF(OR(B8198="",C8198="",D8198=""),"",D8198*100000+(C8198-DATE(2000,1,1))+ROW()/100000)</f>
        <v/>
      </c>
      <c r="F8198" s="46">
        <f>IF(E8198="","",IF(C8198&gt;WeekEndDate,"",E8198))</f>
        <v/>
      </c>
    </row>
    <row r="8199">
      <c r="A8199" t="inlineStr">
        <is>
          <t>Warranty &amp; Maintenance</t>
        </is>
      </c>
      <c r="B8199" s="46">
        <f>'Warranty &amp; Maintenance'!Z164</f>
        <v/>
      </c>
      <c r="C8199" s="84">
        <f>'Warranty &amp; Maintenance'!X164</f>
        <v/>
      </c>
      <c r="D8199" s="46">
        <f>'Warranty &amp; Maintenance'!Y164</f>
        <v/>
      </c>
      <c r="E8199" s="46">
        <f>IF(OR(B8199="",C8199="",D8199=""),"",D8199*100000+(C8199-DATE(2000,1,1))+ROW()/100000)</f>
        <v/>
      </c>
      <c r="F8199" s="46">
        <f>IF(E8199="","",IF(C8199&gt;WeekEndDate,"",E8199))</f>
        <v/>
      </c>
    </row>
    <row r="8200">
      <c r="A8200" t="inlineStr">
        <is>
          <t>Warranty &amp; Maintenance</t>
        </is>
      </c>
      <c r="B8200" s="46">
        <f>'Warranty &amp; Maintenance'!Z165</f>
        <v/>
      </c>
      <c r="C8200" s="84">
        <f>'Warranty &amp; Maintenance'!X165</f>
        <v/>
      </c>
      <c r="D8200" s="46">
        <f>'Warranty &amp; Maintenance'!Y165</f>
        <v/>
      </c>
      <c r="E8200" s="46">
        <f>IF(OR(B8200="",C8200="",D8200=""),"",D8200*100000+(C8200-DATE(2000,1,1))+ROW()/100000)</f>
        <v/>
      </c>
      <c r="F8200" s="46">
        <f>IF(E8200="","",IF(C8200&gt;WeekEndDate,"",E8200))</f>
        <v/>
      </c>
    </row>
    <row r="8201">
      <c r="A8201" t="inlineStr">
        <is>
          <t>Warranty &amp; Maintenance</t>
        </is>
      </c>
      <c r="B8201" s="46">
        <f>'Warranty &amp; Maintenance'!Z166</f>
        <v/>
      </c>
      <c r="C8201" s="84">
        <f>'Warranty &amp; Maintenance'!X166</f>
        <v/>
      </c>
      <c r="D8201" s="46">
        <f>'Warranty &amp; Maintenance'!Y166</f>
        <v/>
      </c>
      <c r="E8201" s="46">
        <f>IF(OR(B8201="",C8201="",D8201=""),"",D8201*100000+(C8201-DATE(2000,1,1))+ROW()/100000)</f>
        <v/>
      </c>
      <c r="F8201" s="46">
        <f>IF(E8201="","",IF(C8201&gt;WeekEndDate,"",E8201))</f>
        <v/>
      </c>
    </row>
    <row r="8202">
      <c r="A8202" t="inlineStr">
        <is>
          <t>Warranty &amp; Maintenance</t>
        </is>
      </c>
      <c r="B8202" s="46">
        <f>'Warranty &amp; Maintenance'!Z167</f>
        <v/>
      </c>
      <c r="C8202" s="84">
        <f>'Warranty &amp; Maintenance'!X167</f>
        <v/>
      </c>
      <c r="D8202" s="46">
        <f>'Warranty &amp; Maintenance'!Y167</f>
        <v/>
      </c>
      <c r="E8202" s="46">
        <f>IF(OR(B8202="",C8202="",D8202=""),"",D8202*100000+(C8202-DATE(2000,1,1))+ROW()/100000)</f>
        <v/>
      </c>
      <c r="F8202" s="46">
        <f>IF(E8202="","",IF(C8202&gt;WeekEndDate,"",E8202))</f>
        <v/>
      </c>
    </row>
    <row r="8203">
      <c r="A8203" t="inlineStr">
        <is>
          <t>Warranty &amp; Maintenance</t>
        </is>
      </c>
      <c r="B8203" s="46">
        <f>'Warranty &amp; Maintenance'!Z168</f>
        <v/>
      </c>
      <c r="C8203" s="84">
        <f>'Warranty &amp; Maintenance'!X168</f>
        <v/>
      </c>
      <c r="D8203" s="46">
        <f>'Warranty &amp; Maintenance'!Y168</f>
        <v/>
      </c>
      <c r="E8203" s="46">
        <f>IF(OR(B8203="",C8203="",D8203=""),"",D8203*100000+(C8203-DATE(2000,1,1))+ROW()/100000)</f>
        <v/>
      </c>
      <c r="F8203" s="46">
        <f>IF(E8203="","",IF(C8203&gt;WeekEndDate,"",E8203))</f>
        <v/>
      </c>
    </row>
    <row r="8204">
      <c r="A8204" t="inlineStr">
        <is>
          <t>Warranty &amp; Maintenance</t>
        </is>
      </c>
      <c r="B8204" s="46">
        <f>'Warranty &amp; Maintenance'!Z169</f>
        <v/>
      </c>
      <c r="C8204" s="84">
        <f>'Warranty &amp; Maintenance'!X169</f>
        <v/>
      </c>
      <c r="D8204" s="46">
        <f>'Warranty &amp; Maintenance'!Y169</f>
        <v/>
      </c>
      <c r="E8204" s="46">
        <f>IF(OR(B8204="",C8204="",D8204=""),"",D8204*100000+(C8204-DATE(2000,1,1))+ROW()/100000)</f>
        <v/>
      </c>
      <c r="F8204" s="46">
        <f>IF(E8204="","",IF(C8204&gt;WeekEndDate,"",E8204))</f>
        <v/>
      </c>
    </row>
    <row r="8205">
      <c r="A8205" t="inlineStr">
        <is>
          <t>Warranty &amp; Maintenance</t>
        </is>
      </c>
      <c r="B8205" s="46">
        <f>'Warranty &amp; Maintenance'!Z170</f>
        <v/>
      </c>
      <c r="C8205" s="84">
        <f>'Warranty &amp; Maintenance'!X170</f>
        <v/>
      </c>
      <c r="D8205" s="46">
        <f>'Warranty &amp; Maintenance'!Y170</f>
        <v/>
      </c>
      <c r="E8205" s="46">
        <f>IF(OR(B8205="",C8205="",D8205=""),"",D8205*100000+(C8205-DATE(2000,1,1))+ROW()/100000)</f>
        <v/>
      </c>
      <c r="F8205" s="46">
        <f>IF(E8205="","",IF(C8205&gt;WeekEndDate,"",E8205))</f>
        <v/>
      </c>
    </row>
    <row r="8206">
      <c r="A8206" t="inlineStr">
        <is>
          <t>Warranty &amp; Maintenance</t>
        </is>
      </c>
      <c r="B8206" s="46">
        <f>'Warranty &amp; Maintenance'!Z171</f>
        <v/>
      </c>
      <c r="C8206" s="84">
        <f>'Warranty &amp; Maintenance'!X171</f>
        <v/>
      </c>
      <c r="D8206" s="46">
        <f>'Warranty &amp; Maintenance'!Y171</f>
        <v/>
      </c>
      <c r="E8206" s="46">
        <f>IF(OR(B8206="",C8206="",D8206=""),"",D8206*100000+(C8206-DATE(2000,1,1))+ROW()/100000)</f>
        <v/>
      </c>
      <c r="F8206" s="46">
        <f>IF(E8206="","",IF(C8206&gt;WeekEndDate,"",E8206))</f>
        <v/>
      </c>
    </row>
    <row r="8207">
      <c r="A8207" t="inlineStr">
        <is>
          <t>Warranty &amp; Maintenance</t>
        </is>
      </c>
      <c r="B8207" s="46">
        <f>'Warranty &amp; Maintenance'!Z172</f>
        <v/>
      </c>
      <c r="C8207" s="84">
        <f>'Warranty &amp; Maintenance'!X172</f>
        <v/>
      </c>
      <c r="D8207" s="46">
        <f>'Warranty &amp; Maintenance'!Y172</f>
        <v/>
      </c>
      <c r="E8207" s="46">
        <f>IF(OR(B8207="",C8207="",D8207=""),"",D8207*100000+(C8207-DATE(2000,1,1))+ROW()/100000)</f>
        <v/>
      </c>
      <c r="F8207" s="46">
        <f>IF(E8207="","",IF(C8207&gt;WeekEndDate,"",E8207))</f>
        <v/>
      </c>
    </row>
    <row r="8208">
      <c r="A8208" t="inlineStr">
        <is>
          <t>Warranty &amp; Maintenance</t>
        </is>
      </c>
      <c r="B8208" s="46">
        <f>'Warranty &amp; Maintenance'!Z173</f>
        <v/>
      </c>
      <c r="C8208" s="84">
        <f>'Warranty &amp; Maintenance'!X173</f>
        <v/>
      </c>
      <c r="D8208" s="46">
        <f>'Warranty &amp; Maintenance'!Y173</f>
        <v/>
      </c>
      <c r="E8208" s="46">
        <f>IF(OR(B8208="",C8208="",D8208=""),"",D8208*100000+(C8208-DATE(2000,1,1))+ROW()/100000)</f>
        <v/>
      </c>
      <c r="F8208" s="46">
        <f>IF(E8208="","",IF(C8208&gt;WeekEndDate,"",E8208))</f>
        <v/>
      </c>
    </row>
    <row r="8209">
      <c r="A8209" t="inlineStr">
        <is>
          <t>Warranty &amp; Maintenance</t>
        </is>
      </c>
      <c r="B8209" s="46">
        <f>'Warranty &amp; Maintenance'!Z174</f>
        <v/>
      </c>
      <c r="C8209" s="84">
        <f>'Warranty &amp; Maintenance'!X174</f>
        <v/>
      </c>
      <c r="D8209" s="46">
        <f>'Warranty &amp; Maintenance'!Y174</f>
        <v/>
      </c>
      <c r="E8209" s="46">
        <f>IF(OR(B8209="",C8209="",D8209=""),"",D8209*100000+(C8209-DATE(2000,1,1))+ROW()/100000)</f>
        <v/>
      </c>
      <c r="F8209" s="46">
        <f>IF(E8209="","",IF(C8209&gt;WeekEndDate,"",E8209))</f>
        <v/>
      </c>
    </row>
    <row r="8210">
      <c r="A8210" t="inlineStr">
        <is>
          <t>Warranty &amp; Maintenance</t>
        </is>
      </c>
      <c r="B8210" s="46">
        <f>'Warranty &amp; Maintenance'!Z175</f>
        <v/>
      </c>
      <c r="C8210" s="84">
        <f>'Warranty &amp; Maintenance'!X175</f>
        <v/>
      </c>
      <c r="D8210" s="46">
        <f>'Warranty &amp; Maintenance'!Y175</f>
        <v/>
      </c>
      <c r="E8210" s="46">
        <f>IF(OR(B8210="",C8210="",D8210=""),"",D8210*100000+(C8210-DATE(2000,1,1))+ROW()/100000)</f>
        <v/>
      </c>
      <c r="F8210" s="46">
        <f>IF(E8210="","",IF(C8210&gt;WeekEndDate,"",E8210))</f>
        <v/>
      </c>
    </row>
    <row r="8211">
      <c r="A8211" t="inlineStr">
        <is>
          <t>Warranty &amp; Maintenance</t>
        </is>
      </c>
      <c r="B8211" s="46">
        <f>'Warranty &amp; Maintenance'!Z176</f>
        <v/>
      </c>
      <c r="C8211" s="84">
        <f>'Warranty &amp; Maintenance'!X176</f>
        <v/>
      </c>
      <c r="D8211" s="46">
        <f>'Warranty &amp; Maintenance'!Y176</f>
        <v/>
      </c>
      <c r="E8211" s="46">
        <f>IF(OR(B8211="",C8211="",D8211=""),"",D8211*100000+(C8211-DATE(2000,1,1))+ROW()/100000)</f>
        <v/>
      </c>
      <c r="F8211" s="46">
        <f>IF(E8211="","",IF(C8211&gt;WeekEndDate,"",E8211))</f>
        <v/>
      </c>
    </row>
    <row r="8212">
      <c r="A8212" t="inlineStr">
        <is>
          <t>Warranty &amp; Maintenance</t>
        </is>
      </c>
      <c r="B8212" s="46">
        <f>'Warranty &amp; Maintenance'!Z177</f>
        <v/>
      </c>
      <c r="C8212" s="84">
        <f>'Warranty &amp; Maintenance'!X177</f>
        <v/>
      </c>
      <c r="D8212" s="46">
        <f>'Warranty &amp; Maintenance'!Y177</f>
        <v/>
      </c>
      <c r="E8212" s="46">
        <f>IF(OR(B8212="",C8212="",D8212=""),"",D8212*100000+(C8212-DATE(2000,1,1))+ROW()/100000)</f>
        <v/>
      </c>
      <c r="F8212" s="46">
        <f>IF(E8212="","",IF(C8212&gt;WeekEndDate,"",E8212))</f>
        <v/>
      </c>
    </row>
    <row r="8213">
      <c r="A8213" t="inlineStr">
        <is>
          <t>Warranty &amp; Maintenance</t>
        </is>
      </c>
      <c r="B8213" s="46">
        <f>'Warranty &amp; Maintenance'!Z178</f>
        <v/>
      </c>
      <c r="C8213" s="84">
        <f>'Warranty &amp; Maintenance'!X178</f>
        <v/>
      </c>
      <c r="D8213" s="46">
        <f>'Warranty &amp; Maintenance'!Y178</f>
        <v/>
      </c>
      <c r="E8213" s="46">
        <f>IF(OR(B8213="",C8213="",D8213=""),"",D8213*100000+(C8213-DATE(2000,1,1))+ROW()/100000)</f>
        <v/>
      </c>
      <c r="F8213" s="46">
        <f>IF(E8213="","",IF(C8213&gt;WeekEndDate,"",E8213))</f>
        <v/>
      </c>
    </row>
    <row r="8214">
      <c r="A8214" t="inlineStr">
        <is>
          <t>Warranty &amp; Maintenance</t>
        </is>
      </c>
      <c r="B8214" s="46">
        <f>'Warranty &amp; Maintenance'!Z179</f>
        <v/>
      </c>
      <c r="C8214" s="84">
        <f>'Warranty &amp; Maintenance'!X179</f>
        <v/>
      </c>
      <c r="D8214" s="46">
        <f>'Warranty &amp; Maintenance'!Y179</f>
        <v/>
      </c>
      <c r="E8214" s="46">
        <f>IF(OR(B8214="",C8214="",D8214=""),"",D8214*100000+(C8214-DATE(2000,1,1))+ROW()/100000)</f>
        <v/>
      </c>
      <c r="F8214" s="46">
        <f>IF(E8214="","",IF(C8214&gt;WeekEndDate,"",E8214))</f>
        <v/>
      </c>
    </row>
    <row r="8215">
      <c r="A8215" t="inlineStr">
        <is>
          <t>Warranty &amp; Maintenance</t>
        </is>
      </c>
      <c r="B8215" s="46">
        <f>'Warranty &amp; Maintenance'!Z180</f>
        <v/>
      </c>
      <c r="C8215" s="84">
        <f>'Warranty &amp; Maintenance'!X180</f>
        <v/>
      </c>
      <c r="D8215" s="46">
        <f>'Warranty &amp; Maintenance'!Y180</f>
        <v/>
      </c>
      <c r="E8215" s="46">
        <f>IF(OR(B8215="",C8215="",D8215=""),"",D8215*100000+(C8215-DATE(2000,1,1))+ROW()/100000)</f>
        <v/>
      </c>
      <c r="F8215" s="46">
        <f>IF(E8215="","",IF(C8215&gt;WeekEndDate,"",E8215))</f>
        <v/>
      </c>
    </row>
    <row r="8216">
      <c r="A8216" t="inlineStr">
        <is>
          <t>Warranty &amp; Maintenance</t>
        </is>
      </c>
      <c r="B8216" s="46">
        <f>'Warranty &amp; Maintenance'!Z181</f>
        <v/>
      </c>
      <c r="C8216" s="84">
        <f>'Warranty &amp; Maintenance'!X181</f>
        <v/>
      </c>
      <c r="D8216" s="46">
        <f>'Warranty &amp; Maintenance'!Y181</f>
        <v/>
      </c>
      <c r="E8216" s="46">
        <f>IF(OR(B8216="",C8216="",D8216=""),"",D8216*100000+(C8216-DATE(2000,1,1))+ROW()/100000)</f>
        <v/>
      </c>
      <c r="F8216" s="46">
        <f>IF(E8216="","",IF(C8216&gt;WeekEndDate,"",E8216))</f>
        <v/>
      </c>
    </row>
    <row r="8217">
      <c r="A8217" t="inlineStr">
        <is>
          <t>Warranty &amp; Maintenance</t>
        </is>
      </c>
      <c r="B8217" s="46">
        <f>'Warranty &amp; Maintenance'!Z182</f>
        <v/>
      </c>
      <c r="C8217" s="84">
        <f>'Warranty &amp; Maintenance'!X182</f>
        <v/>
      </c>
      <c r="D8217" s="46">
        <f>'Warranty &amp; Maintenance'!Y182</f>
        <v/>
      </c>
      <c r="E8217" s="46">
        <f>IF(OR(B8217="",C8217="",D8217=""),"",D8217*100000+(C8217-DATE(2000,1,1))+ROW()/100000)</f>
        <v/>
      </c>
      <c r="F8217" s="46">
        <f>IF(E8217="","",IF(C8217&gt;WeekEndDate,"",E8217))</f>
        <v/>
      </c>
    </row>
    <row r="8218">
      <c r="A8218" t="inlineStr">
        <is>
          <t>Warranty &amp; Maintenance</t>
        </is>
      </c>
      <c r="B8218" s="46">
        <f>'Warranty &amp; Maintenance'!Z183</f>
        <v/>
      </c>
      <c r="C8218" s="84">
        <f>'Warranty &amp; Maintenance'!X183</f>
        <v/>
      </c>
      <c r="D8218" s="46">
        <f>'Warranty &amp; Maintenance'!Y183</f>
        <v/>
      </c>
      <c r="E8218" s="46">
        <f>IF(OR(B8218="",C8218="",D8218=""),"",D8218*100000+(C8218-DATE(2000,1,1))+ROW()/100000)</f>
        <v/>
      </c>
      <c r="F8218" s="46">
        <f>IF(E8218="","",IF(C8218&gt;WeekEndDate,"",E8218))</f>
        <v/>
      </c>
    </row>
    <row r="8219">
      <c r="A8219" t="inlineStr">
        <is>
          <t>Warranty &amp; Maintenance</t>
        </is>
      </c>
      <c r="B8219" s="46">
        <f>'Warranty &amp; Maintenance'!Z184</f>
        <v/>
      </c>
      <c r="C8219" s="84">
        <f>'Warranty &amp; Maintenance'!X184</f>
        <v/>
      </c>
      <c r="D8219" s="46">
        <f>'Warranty &amp; Maintenance'!Y184</f>
        <v/>
      </c>
      <c r="E8219" s="46">
        <f>IF(OR(B8219="",C8219="",D8219=""),"",D8219*100000+(C8219-DATE(2000,1,1))+ROW()/100000)</f>
        <v/>
      </c>
      <c r="F8219" s="46">
        <f>IF(E8219="","",IF(C8219&gt;WeekEndDate,"",E8219))</f>
        <v/>
      </c>
    </row>
    <row r="8220">
      <c r="A8220" t="inlineStr">
        <is>
          <t>Warranty &amp; Maintenance</t>
        </is>
      </c>
      <c r="B8220" s="46">
        <f>'Warranty &amp; Maintenance'!Z185</f>
        <v/>
      </c>
      <c r="C8220" s="84">
        <f>'Warranty &amp; Maintenance'!X185</f>
        <v/>
      </c>
      <c r="D8220" s="46">
        <f>'Warranty &amp; Maintenance'!Y185</f>
        <v/>
      </c>
      <c r="E8220" s="46">
        <f>IF(OR(B8220="",C8220="",D8220=""),"",D8220*100000+(C8220-DATE(2000,1,1))+ROW()/100000)</f>
        <v/>
      </c>
      <c r="F8220" s="46">
        <f>IF(E8220="","",IF(C8220&gt;WeekEndDate,"",E8220))</f>
        <v/>
      </c>
    </row>
    <row r="8221">
      <c r="A8221" t="inlineStr">
        <is>
          <t>Warranty &amp; Maintenance</t>
        </is>
      </c>
      <c r="B8221" s="46">
        <f>'Warranty &amp; Maintenance'!Z186</f>
        <v/>
      </c>
      <c r="C8221" s="84">
        <f>'Warranty &amp; Maintenance'!X186</f>
        <v/>
      </c>
      <c r="D8221" s="46">
        <f>'Warranty &amp; Maintenance'!Y186</f>
        <v/>
      </c>
      <c r="E8221" s="46">
        <f>IF(OR(B8221="",C8221="",D8221=""),"",D8221*100000+(C8221-DATE(2000,1,1))+ROW()/100000)</f>
        <v/>
      </c>
      <c r="F8221" s="46">
        <f>IF(E8221="","",IF(C8221&gt;WeekEndDate,"",E8221))</f>
        <v/>
      </c>
    </row>
    <row r="8222">
      <c r="A8222" t="inlineStr">
        <is>
          <t>Warranty &amp; Maintenance</t>
        </is>
      </c>
      <c r="B8222" s="46">
        <f>'Warranty &amp; Maintenance'!Z187</f>
        <v/>
      </c>
      <c r="C8222" s="84">
        <f>'Warranty &amp; Maintenance'!X187</f>
        <v/>
      </c>
      <c r="D8222" s="46">
        <f>'Warranty &amp; Maintenance'!Y187</f>
        <v/>
      </c>
      <c r="E8222" s="46">
        <f>IF(OR(B8222="",C8222="",D8222=""),"",D8222*100000+(C8222-DATE(2000,1,1))+ROW()/100000)</f>
        <v/>
      </c>
      <c r="F8222" s="46">
        <f>IF(E8222="","",IF(C8222&gt;WeekEndDate,"",E8222))</f>
        <v/>
      </c>
    </row>
    <row r="8223">
      <c r="A8223" t="inlineStr">
        <is>
          <t>Warranty &amp; Maintenance</t>
        </is>
      </c>
      <c r="B8223" s="46">
        <f>'Warranty &amp; Maintenance'!Z188</f>
        <v/>
      </c>
      <c r="C8223" s="84">
        <f>'Warranty &amp; Maintenance'!X188</f>
        <v/>
      </c>
      <c r="D8223" s="46">
        <f>'Warranty &amp; Maintenance'!Y188</f>
        <v/>
      </c>
      <c r="E8223" s="46">
        <f>IF(OR(B8223="",C8223="",D8223=""),"",D8223*100000+(C8223-DATE(2000,1,1))+ROW()/100000)</f>
        <v/>
      </c>
      <c r="F8223" s="46">
        <f>IF(E8223="","",IF(C8223&gt;WeekEndDate,"",E8223))</f>
        <v/>
      </c>
    </row>
    <row r="8224">
      <c r="A8224" t="inlineStr">
        <is>
          <t>Warranty &amp; Maintenance</t>
        </is>
      </c>
      <c r="B8224" s="46">
        <f>'Warranty &amp; Maintenance'!Z189</f>
        <v/>
      </c>
      <c r="C8224" s="84">
        <f>'Warranty &amp; Maintenance'!X189</f>
        <v/>
      </c>
      <c r="D8224" s="46">
        <f>'Warranty &amp; Maintenance'!Y189</f>
        <v/>
      </c>
      <c r="E8224" s="46">
        <f>IF(OR(B8224="",C8224="",D8224=""),"",D8224*100000+(C8224-DATE(2000,1,1))+ROW()/100000)</f>
        <v/>
      </c>
      <c r="F8224" s="46">
        <f>IF(E8224="","",IF(C8224&gt;WeekEndDate,"",E8224))</f>
        <v/>
      </c>
    </row>
    <row r="8225">
      <c r="A8225" t="inlineStr">
        <is>
          <t>Warranty &amp; Maintenance</t>
        </is>
      </c>
      <c r="B8225" s="46">
        <f>'Warranty &amp; Maintenance'!Z190</f>
        <v/>
      </c>
      <c r="C8225" s="84">
        <f>'Warranty &amp; Maintenance'!X190</f>
        <v/>
      </c>
      <c r="D8225" s="46">
        <f>'Warranty &amp; Maintenance'!Y190</f>
        <v/>
      </c>
      <c r="E8225" s="46">
        <f>IF(OR(B8225="",C8225="",D8225=""),"",D8225*100000+(C8225-DATE(2000,1,1))+ROW()/100000)</f>
        <v/>
      </c>
      <c r="F8225" s="46">
        <f>IF(E8225="","",IF(C8225&gt;WeekEndDate,"",E8225))</f>
        <v/>
      </c>
    </row>
    <row r="8226">
      <c r="A8226" t="inlineStr">
        <is>
          <t>Warranty &amp; Maintenance</t>
        </is>
      </c>
      <c r="B8226" s="46">
        <f>'Warranty &amp; Maintenance'!Z191</f>
        <v/>
      </c>
      <c r="C8226" s="84">
        <f>'Warranty &amp; Maintenance'!X191</f>
        <v/>
      </c>
      <c r="D8226" s="46">
        <f>'Warranty &amp; Maintenance'!Y191</f>
        <v/>
      </c>
      <c r="E8226" s="46">
        <f>IF(OR(B8226="",C8226="",D8226=""),"",D8226*100000+(C8226-DATE(2000,1,1))+ROW()/100000)</f>
        <v/>
      </c>
      <c r="F8226" s="46">
        <f>IF(E8226="","",IF(C8226&gt;WeekEndDate,"",E8226))</f>
        <v/>
      </c>
    </row>
    <row r="8227">
      <c r="A8227" t="inlineStr">
        <is>
          <t>Warranty &amp; Maintenance</t>
        </is>
      </c>
      <c r="B8227" s="46">
        <f>'Warranty &amp; Maintenance'!Z192</f>
        <v/>
      </c>
      <c r="C8227" s="84">
        <f>'Warranty &amp; Maintenance'!X192</f>
        <v/>
      </c>
      <c r="D8227" s="46">
        <f>'Warranty &amp; Maintenance'!Y192</f>
        <v/>
      </c>
      <c r="E8227" s="46">
        <f>IF(OR(B8227="",C8227="",D8227=""),"",D8227*100000+(C8227-DATE(2000,1,1))+ROW()/100000)</f>
        <v/>
      </c>
      <c r="F8227" s="46">
        <f>IF(E8227="","",IF(C8227&gt;WeekEndDate,"",E8227))</f>
        <v/>
      </c>
    </row>
    <row r="8228">
      <c r="A8228" t="inlineStr">
        <is>
          <t>Warranty &amp; Maintenance</t>
        </is>
      </c>
      <c r="B8228" s="46">
        <f>'Warranty &amp; Maintenance'!Z193</f>
        <v/>
      </c>
      <c r="C8228" s="84">
        <f>'Warranty &amp; Maintenance'!X193</f>
        <v/>
      </c>
      <c r="D8228" s="46">
        <f>'Warranty &amp; Maintenance'!Y193</f>
        <v/>
      </c>
      <c r="E8228" s="46">
        <f>IF(OR(B8228="",C8228="",D8228=""),"",D8228*100000+(C8228-DATE(2000,1,1))+ROW()/100000)</f>
        <v/>
      </c>
      <c r="F8228" s="46">
        <f>IF(E8228="","",IF(C8228&gt;WeekEndDate,"",E8228))</f>
        <v/>
      </c>
    </row>
    <row r="8229">
      <c r="A8229" t="inlineStr">
        <is>
          <t>Warranty &amp; Maintenance</t>
        </is>
      </c>
      <c r="B8229" s="46">
        <f>'Warranty &amp; Maintenance'!Z194</f>
        <v/>
      </c>
      <c r="C8229" s="84">
        <f>'Warranty &amp; Maintenance'!X194</f>
        <v/>
      </c>
      <c r="D8229" s="46">
        <f>'Warranty &amp; Maintenance'!Y194</f>
        <v/>
      </c>
      <c r="E8229" s="46">
        <f>IF(OR(B8229="",C8229="",D8229=""),"",D8229*100000+(C8229-DATE(2000,1,1))+ROW()/100000)</f>
        <v/>
      </c>
      <c r="F8229" s="46">
        <f>IF(E8229="","",IF(C8229&gt;WeekEndDate,"",E8229))</f>
        <v/>
      </c>
    </row>
    <row r="8230">
      <c r="A8230" t="inlineStr">
        <is>
          <t>Warranty &amp; Maintenance</t>
        </is>
      </c>
      <c r="B8230" s="46">
        <f>'Warranty &amp; Maintenance'!Z195</f>
        <v/>
      </c>
      <c r="C8230" s="84">
        <f>'Warranty &amp; Maintenance'!X195</f>
        <v/>
      </c>
      <c r="D8230" s="46">
        <f>'Warranty &amp; Maintenance'!Y195</f>
        <v/>
      </c>
      <c r="E8230" s="46">
        <f>IF(OR(B8230="",C8230="",D8230=""),"",D8230*100000+(C8230-DATE(2000,1,1))+ROW()/100000)</f>
        <v/>
      </c>
      <c r="F8230" s="46">
        <f>IF(E8230="","",IF(C8230&gt;WeekEndDate,"",E8230))</f>
        <v/>
      </c>
    </row>
    <row r="8231">
      <c r="A8231" t="inlineStr">
        <is>
          <t>Warranty &amp; Maintenance</t>
        </is>
      </c>
      <c r="B8231" s="46">
        <f>'Warranty &amp; Maintenance'!Z196</f>
        <v/>
      </c>
      <c r="C8231" s="84">
        <f>'Warranty &amp; Maintenance'!X196</f>
        <v/>
      </c>
      <c r="D8231" s="46">
        <f>'Warranty &amp; Maintenance'!Y196</f>
        <v/>
      </c>
      <c r="E8231" s="46">
        <f>IF(OR(B8231="",C8231="",D8231=""),"",D8231*100000+(C8231-DATE(2000,1,1))+ROW()/100000)</f>
        <v/>
      </c>
      <c r="F8231" s="46">
        <f>IF(E8231="","",IF(C8231&gt;WeekEndDate,"",E8231))</f>
        <v/>
      </c>
    </row>
    <row r="8232">
      <c r="A8232" t="inlineStr">
        <is>
          <t>Warranty &amp; Maintenance</t>
        </is>
      </c>
      <c r="B8232" s="46">
        <f>'Warranty &amp; Maintenance'!Z197</f>
        <v/>
      </c>
      <c r="C8232" s="84">
        <f>'Warranty &amp; Maintenance'!X197</f>
        <v/>
      </c>
      <c r="D8232" s="46">
        <f>'Warranty &amp; Maintenance'!Y197</f>
        <v/>
      </c>
      <c r="E8232" s="46">
        <f>IF(OR(B8232="",C8232="",D8232=""),"",D8232*100000+(C8232-DATE(2000,1,1))+ROW()/100000)</f>
        <v/>
      </c>
      <c r="F8232" s="46">
        <f>IF(E8232="","",IF(C8232&gt;WeekEndDate,"",E8232))</f>
        <v/>
      </c>
    </row>
    <row r="8233">
      <c r="A8233" t="inlineStr">
        <is>
          <t>Warranty &amp; Maintenance</t>
        </is>
      </c>
      <c r="B8233" s="46">
        <f>'Warranty &amp; Maintenance'!Z198</f>
        <v/>
      </c>
      <c r="C8233" s="84">
        <f>'Warranty &amp; Maintenance'!X198</f>
        <v/>
      </c>
      <c r="D8233" s="46">
        <f>'Warranty &amp; Maintenance'!Y198</f>
        <v/>
      </c>
      <c r="E8233" s="46">
        <f>IF(OR(B8233="",C8233="",D8233=""),"",D8233*100000+(C8233-DATE(2000,1,1))+ROW()/100000)</f>
        <v/>
      </c>
      <c r="F8233" s="46">
        <f>IF(E8233="","",IF(C8233&gt;WeekEndDate,"",E8233))</f>
        <v/>
      </c>
    </row>
    <row r="8234">
      <c r="A8234" t="inlineStr">
        <is>
          <t>Warranty &amp; Maintenance</t>
        </is>
      </c>
      <c r="B8234" s="46">
        <f>'Warranty &amp; Maintenance'!Z199</f>
        <v/>
      </c>
      <c r="C8234" s="84">
        <f>'Warranty &amp; Maintenance'!X199</f>
        <v/>
      </c>
      <c r="D8234" s="46">
        <f>'Warranty &amp; Maintenance'!Y199</f>
        <v/>
      </c>
      <c r="E8234" s="46">
        <f>IF(OR(B8234="",C8234="",D8234=""),"",D8234*100000+(C8234-DATE(2000,1,1))+ROW()/100000)</f>
        <v/>
      </c>
      <c r="F8234" s="46">
        <f>IF(E8234="","",IF(C8234&gt;WeekEndDate,"",E8234))</f>
        <v/>
      </c>
    </row>
    <row r="8235">
      <c r="A8235" t="inlineStr">
        <is>
          <t>Warranty &amp; Maintenance</t>
        </is>
      </c>
      <c r="B8235" s="46">
        <f>'Warranty &amp; Maintenance'!Z200</f>
        <v/>
      </c>
      <c r="C8235" s="84">
        <f>'Warranty &amp; Maintenance'!X200</f>
        <v/>
      </c>
      <c r="D8235" s="46">
        <f>'Warranty &amp; Maintenance'!Y200</f>
        <v/>
      </c>
      <c r="E8235" s="46">
        <f>IF(OR(B8235="",C8235="",D8235=""),"",D8235*100000+(C8235-DATE(2000,1,1))+ROW()/100000)</f>
        <v/>
      </c>
      <c r="F8235" s="46">
        <f>IF(E8235="","",IF(C8235&gt;WeekEndDate,"",E8235))</f>
        <v/>
      </c>
    </row>
    <row r="8236">
      <c r="A8236" t="inlineStr">
        <is>
          <t>Warranty &amp; Maintenance</t>
        </is>
      </c>
      <c r="B8236" s="46">
        <f>'Warranty &amp; Maintenance'!Z201</f>
        <v/>
      </c>
      <c r="C8236" s="84">
        <f>'Warranty &amp; Maintenance'!X201</f>
        <v/>
      </c>
      <c r="D8236" s="46">
        <f>'Warranty &amp; Maintenance'!Y201</f>
        <v/>
      </c>
      <c r="E8236" s="46">
        <f>IF(OR(B8236="",C8236="",D8236=""),"",D8236*100000+(C8236-DATE(2000,1,1))+ROW()/100000)</f>
        <v/>
      </c>
      <c r="F8236" s="46">
        <f>IF(E8236="","",IF(C8236&gt;WeekEndDate,"",E8236))</f>
        <v/>
      </c>
    </row>
    <row r="8237">
      <c r="A8237" t="inlineStr">
        <is>
          <t>Warranty &amp; Maintenance</t>
        </is>
      </c>
      <c r="B8237" s="46">
        <f>'Warranty &amp; Maintenance'!Z202</f>
        <v/>
      </c>
      <c r="C8237" s="84">
        <f>'Warranty &amp; Maintenance'!X202</f>
        <v/>
      </c>
      <c r="D8237" s="46">
        <f>'Warranty &amp; Maintenance'!Y202</f>
        <v/>
      </c>
      <c r="E8237" s="46">
        <f>IF(OR(B8237="",C8237="",D8237=""),"",D8237*100000+(C8237-DATE(2000,1,1))+ROW()/100000)</f>
        <v/>
      </c>
      <c r="F8237" s="46">
        <f>IF(E8237="","",IF(C8237&gt;WeekEndDate,"",E8237))</f>
        <v/>
      </c>
    </row>
    <row r="8238">
      <c r="A8238" t="inlineStr">
        <is>
          <t>Warranty &amp; Maintenance</t>
        </is>
      </c>
      <c r="B8238" s="46">
        <f>'Warranty &amp; Maintenance'!Z203</f>
        <v/>
      </c>
      <c r="C8238" s="84">
        <f>'Warranty &amp; Maintenance'!X203</f>
        <v/>
      </c>
      <c r="D8238" s="46">
        <f>'Warranty &amp; Maintenance'!Y203</f>
        <v/>
      </c>
      <c r="E8238" s="46">
        <f>IF(OR(B8238="",C8238="",D8238=""),"",D8238*100000+(C8238-DATE(2000,1,1))+ROW()/100000)</f>
        <v/>
      </c>
      <c r="F8238" s="46">
        <f>IF(E8238="","",IF(C8238&gt;WeekEndDate,"",E8238))</f>
        <v/>
      </c>
    </row>
    <row r="8239">
      <c r="A8239" t="inlineStr">
        <is>
          <t>Warranty &amp; Maintenance</t>
        </is>
      </c>
      <c r="B8239" s="46">
        <f>'Warranty &amp; Maintenance'!Z204</f>
        <v/>
      </c>
      <c r="C8239" s="84">
        <f>'Warranty &amp; Maintenance'!X204</f>
        <v/>
      </c>
      <c r="D8239" s="46">
        <f>'Warranty &amp; Maintenance'!Y204</f>
        <v/>
      </c>
      <c r="E8239" s="46">
        <f>IF(OR(B8239="",C8239="",D8239=""),"",D8239*100000+(C8239-DATE(2000,1,1))+ROW()/100000)</f>
        <v/>
      </c>
      <c r="F8239" s="46">
        <f>IF(E8239="","",IF(C8239&gt;WeekEndDate,"",E8239))</f>
        <v/>
      </c>
    </row>
    <row r="8240">
      <c r="A8240" t="inlineStr">
        <is>
          <t>Warranty &amp; Maintenance</t>
        </is>
      </c>
      <c r="B8240" s="46">
        <f>'Warranty &amp; Maintenance'!Z205</f>
        <v/>
      </c>
      <c r="C8240" s="84">
        <f>'Warranty &amp; Maintenance'!X205</f>
        <v/>
      </c>
      <c r="D8240" s="46">
        <f>'Warranty &amp; Maintenance'!Y205</f>
        <v/>
      </c>
      <c r="E8240" s="46">
        <f>IF(OR(B8240="",C8240="",D8240=""),"",D8240*100000+(C8240-DATE(2000,1,1))+ROW()/100000)</f>
        <v/>
      </c>
      <c r="F8240" s="46">
        <f>IF(E8240="","",IF(C8240&gt;WeekEndDate,"",E8240))</f>
        <v/>
      </c>
    </row>
    <row r="8241">
      <c r="A8241" t="inlineStr">
        <is>
          <t>Warranty &amp; Maintenance</t>
        </is>
      </c>
      <c r="B8241" s="46">
        <f>'Warranty &amp; Maintenance'!Z206</f>
        <v/>
      </c>
      <c r="C8241" s="84">
        <f>'Warranty &amp; Maintenance'!X206</f>
        <v/>
      </c>
      <c r="D8241" s="46">
        <f>'Warranty &amp; Maintenance'!Y206</f>
        <v/>
      </c>
      <c r="E8241" s="46">
        <f>IF(OR(B8241="",C8241="",D8241=""),"",D8241*100000+(C8241-DATE(2000,1,1))+ROW()/100000)</f>
        <v/>
      </c>
      <c r="F8241" s="46">
        <f>IF(E8241="","",IF(C8241&gt;WeekEndDate,"",E8241))</f>
        <v/>
      </c>
    </row>
    <row r="8242">
      <c r="A8242" t="inlineStr">
        <is>
          <t>Warranty &amp; Maintenance</t>
        </is>
      </c>
      <c r="B8242" s="46">
        <f>'Warranty &amp; Maintenance'!Z207</f>
        <v/>
      </c>
      <c r="C8242" s="84">
        <f>'Warranty &amp; Maintenance'!X207</f>
        <v/>
      </c>
      <c r="D8242" s="46">
        <f>'Warranty &amp; Maintenance'!Y207</f>
        <v/>
      </c>
      <c r="E8242" s="46">
        <f>IF(OR(B8242="",C8242="",D8242=""),"",D8242*100000+(C8242-DATE(2000,1,1))+ROW()/100000)</f>
        <v/>
      </c>
      <c r="F8242" s="46">
        <f>IF(E8242="","",IF(C8242&gt;WeekEndDate,"",E8242))</f>
        <v/>
      </c>
    </row>
    <row r="8243">
      <c r="A8243" t="inlineStr">
        <is>
          <t>Warranty &amp; Maintenance</t>
        </is>
      </c>
      <c r="B8243" s="46">
        <f>'Warranty &amp; Maintenance'!Z208</f>
        <v/>
      </c>
      <c r="C8243" s="84">
        <f>'Warranty &amp; Maintenance'!X208</f>
        <v/>
      </c>
      <c r="D8243" s="46">
        <f>'Warranty &amp; Maintenance'!Y208</f>
        <v/>
      </c>
      <c r="E8243" s="46">
        <f>IF(OR(B8243="",C8243="",D8243=""),"",D8243*100000+(C8243-DATE(2000,1,1))+ROW()/100000)</f>
        <v/>
      </c>
      <c r="F8243" s="46">
        <f>IF(E8243="","",IF(C8243&gt;WeekEndDate,"",E8243))</f>
        <v/>
      </c>
    </row>
    <row r="8244">
      <c r="A8244" t="inlineStr">
        <is>
          <t>Warranty &amp; Maintenance</t>
        </is>
      </c>
      <c r="B8244" s="46">
        <f>'Warranty &amp; Maintenance'!Z209</f>
        <v/>
      </c>
      <c r="C8244" s="84">
        <f>'Warranty &amp; Maintenance'!X209</f>
        <v/>
      </c>
      <c r="D8244" s="46">
        <f>'Warranty &amp; Maintenance'!Y209</f>
        <v/>
      </c>
      <c r="E8244" s="46">
        <f>IF(OR(B8244="",C8244="",D8244=""),"",D8244*100000+(C8244-DATE(2000,1,1))+ROW()/100000)</f>
        <v/>
      </c>
      <c r="F8244" s="46">
        <f>IF(E8244="","",IF(C8244&gt;WeekEndDate,"",E8244))</f>
        <v/>
      </c>
    </row>
    <row r="8245">
      <c r="A8245" t="inlineStr">
        <is>
          <t>Warranty &amp; Maintenance</t>
        </is>
      </c>
      <c r="B8245" s="46">
        <f>'Warranty &amp; Maintenance'!Z210</f>
        <v/>
      </c>
      <c r="C8245" s="84">
        <f>'Warranty &amp; Maintenance'!X210</f>
        <v/>
      </c>
      <c r="D8245" s="46">
        <f>'Warranty &amp; Maintenance'!Y210</f>
        <v/>
      </c>
      <c r="E8245" s="46">
        <f>IF(OR(B8245="",C8245="",D8245=""),"",D8245*100000+(C8245-DATE(2000,1,1))+ROW()/100000)</f>
        <v/>
      </c>
      <c r="F8245" s="46">
        <f>IF(E8245="","",IF(C8245&gt;WeekEndDate,"",E8245))</f>
        <v/>
      </c>
    </row>
    <row r="8246">
      <c r="A8246" t="inlineStr">
        <is>
          <t>Warranty &amp; Maintenance</t>
        </is>
      </c>
      <c r="B8246" s="46">
        <f>'Warranty &amp; Maintenance'!Z211</f>
        <v/>
      </c>
      <c r="C8246" s="84">
        <f>'Warranty &amp; Maintenance'!X211</f>
        <v/>
      </c>
      <c r="D8246" s="46">
        <f>'Warranty &amp; Maintenance'!Y211</f>
        <v/>
      </c>
      <c r="E8246" s="46">
        <f>IF(OR(B8246="",C8246="",D8246=""),"",D8246*100000+(C8246-DATE(2000,1,1))+ROW()/100000)</f>
        <v/>
      </c>
      <c r="F8246" s="46">
        <f>IF(E8246="","",IF(C8246&gt;WeekEndDate,"",E8246))</f>
        <v/>
      </c>
    </row>
    <row r="8247">
      <c r="A8247" t="inlineStr">
        <is>
          <t>Warranty &amp; Maintenance</t>
        </is>
      </c>
      <c r="B8247" s="46">
        <f>'Warranty &amp; Maintenance'!Z212</f>
        <v/>
      </c>
      <c r="C8247" s="84">
        <f>'Warranty &amp; Maintenance'!X212</f>
        <v/>
      </c>
      <c r="D8247" s="46">
        <f>'Warranty &amp; Maintenance'!Y212</f>
        <v/>
      </c>
      <c r="E8247" s="46">
        <f>IF(OR(B8247="",C8247="",D8247=""),"",D8247*100000+(C8247-DATE(2000,1,1))+ROW()/100000)</f>
        <v/>
      </c>
      <c r="F8247" s="46">
        <f>IF(E8247="","",IF(C8247&gt;WeekEndDate,"",E8247))</f>
        <v/>
      </c>
    </row>
    <row r="8248">
      <c r="A8248" t="inlineStr">
        <is>
          <t>Warranty &amp; Maintenance</t>
        </is>
      </c>
      <c r="B8248" s="46">
        <f>'Warranty &amp; Maintenance'!Z213</f>
        <v/>
      </c>
      <c r="C8248" s="84">
        <f>'Warranty &amp; Maintenance'!X213</f>
        <v/>
      </c>
      <c r="D8248" s="46">
        <f>'Warranty &amp; Maintenance'!Y213</f>
        <v/>
      </c>
      <c r="E8248" s="46">
        <f>IF(OR(B8248="",C8248="",D8248=""),"",D8248*100000+(C8248-DATE(2000,1,1))+ROW()/100000)</f>
        <v/>
      </c>
      <c r="F8248" s="46">
        <f>IF(E8248="","",IF(C8248&gt;WeekEndDate,"",E8248))</f>
        <v/>
      </c>
    </row>
    <row r="8249">
      <c r="A8249" t="inlineStr">
        <is>
          <t>Warranty &amp; Maintenance</t>
        </is>
      </c>
      <c r="B8249" s="46">
        <f>'Warranty &amp; Maintenance'!Z214</f>
        <v/>
      </c>
      <c r="C8249" s="84">
        <f>'Warranty &amp; Maintenance'!X214</f>
        <v/>
      </c>
      <c r="D8249" s="46">
        <f>'Warranty &amp; Maintenance'!Y214</f>
        <v/>
      </c>
      <c r="E8249" s="46">
        <f>IF(OR(B8249="",C8249="",D8249=""),"",D8249*100000+(C8249-DATE(2000,1,1))+ROW()/100000)</f>
        <v/>
      </c>
      <c r="F8249" s="46">
        <f>IF(E8249="","",IF(C8249&gt;WeekEndDate,"",E8249))</f>
        <v/>
      </c>
    </row>
    <row r="8250">
      <c r="A8250" t="inlineStr">
        <is>
          <t>Warranty &amp; Maintenance</t>
        </is>
      </c>
      <c r="B8250" s="46">
        <f>'Warranty &amp; Maintenance'!Z215</f>
        <v/>
      </c>
      <c r="C8250" s="84">
        <f>'Warranty &amp; Maintenance'!X215</f>
        <v/>
      </c>
      <c r="D8250" s="46">
        <f>'Warranty &amp; Maintenance'!Y215</f>
        <v/>
      </c>
      <c r="E8250" s="46">
        <f>IF(OR(B8250="",C8250="",D8250=""),"",D8250*100000+(C8250-DATE(2000,1,1))+ROW()/100000)</f>
        <v/>
      </c>
      <c r="F8250" s="46">
        <f>IF(E8250="","",IF(C8250&gt;WeekEndDate,"",E8250))</f>
        <v/>
      </c>
    </row>
    <row r="8251">
      <c r="A8251" t="inlineStr">
        <is>
          <t>Warranty &amp; Maintenance</t>
        </is>
      </c>
      <c r="B8251" s="46">
        <f>'Warranty &amp; Maintenance'!Z216</f>
        <v/>
      </c>
      <c r="C8251" s="84">
        <f>'Warranty &amp; Maintenance'!X216</f>
        <v/>
      </c>
      <c r="D8251" s="46">
        <f>'Warranty &amp; Maintenance'!Y216</f>
        <v/>
      </c>
      <c r="E8251" s="46">
        <f>IF(OR(B8251="",C8251="",D8251=""),"",D8251*100000+(C8251-DATE(2000,1,1))+ROW()/100000)</f>
        <v/>
      </c>
      <c r="F8251" s="46">
        <f>IF(E8251="","",IF(C8251&gt;WeekEndDate,"",E8251))</f>
        <v/>
      </c>
    </row>
    <row r="8252">
      <c r="A8252" t="inlineStr">
        <is>
          <t>Warranty &amp; Maintenance</t>
        </is>
      </c>
      <c r="B8252" s="46">
        <f>'Warranty &amp; Maintenance'!Z217</f>
        <v/>
      </c>
      <c r="C8252" s="84">
        <f>'Warranty &amp; Maintenance'!X217</f>
        <v/>
      </c>
      <c r="D8252" s="46">
        <f>'Warranty &amp; Maintenance'!Y217</f>
        <v/>
      </c>
      <c r="E8252" s="46">
        <f>IF(OR(B8252="",C8252="",D8252=""),"",D8252*100000+(C8252-DATE(2000,1,1))+ROW()/100000)</f>
        <v/>
      </c>
      <c r="F8252" s="46">
        <f>IF(E8252="","",IF(C8252&gt;WeekEndDate,"",E8252))</f>
        <v/>
      </c>
    </row>
    <row r="8253">
      <c r="A8253" t="inlineStr">
        <is>
          <t>Warranty &amp; Maintenance</t>
        </is>
      </c>
      <c r="B8253" s="46">
        <f>'Warranty &amp; Maintenance'!Z218</f>
        <v/>
      </c>
      <c r="C8253" s="84">
        <f>'Warranty &amp; Maintenance'!X218</f>
        <v/>
      </c>
      <c r="D8253" s="46">
        <f>'Warranty &amp; Maintenance'!Y218</f>
        <v/>
      </c>
      <c r="E8253" s="46">
        <f>IF(OR(B8253="",C8253="",D8253=""),"",D8253*100000+(C8253-DATE(2000,1,1))+ROW()/100000)</f>
        <v/>
      </c>
      <c r="F8253" s="46">
        <f>IF(E8253="","",IF(C8253&gt;WeekEndDate,"",E8253))</f>
        <v/>
      </c>
    </row>
    <row r="8254">
      <c r="A8254" t="inlineStr">
        <is>
          <t>Warranty &amp; Maintenance</t>
        </is>
      </c>
      <c r="B8254" s="46">
        <f>'Warranty &amp; Maintenance'!Z219</f>
        <v/>
      </c>
      <c r="C8254" s="84">
        <f>'Warranty &amp; Maintenance'!X219</f>
        <v/>
      </c>
      <c r="D8254" s="46">
        <f>'Warranty &amp; Maintenance'!Y219</f>
        <v/>
      </c>
      <c r="E8254" s="46">
        <f>IF(OR(B8254="",C8254="",D8254=""),"",D8254*100000+(C8254-DATE(2000,1,1))+ROW()/100000)</f>
        <v/>
      </c>
      <c r="F8254" s="46">
        <f>IF(E8254="","",IF(C8254&gt;WeekEndDate,"",E8254))</f>
        <v/>
      </c>
    </row>
    <row r="8255">
      <c r="A8255" t="inlineStr">
        <is>
          <t>Warranty &amp; Maintenance</t>
        </is>
      </c>
      <c r="B8255" s="46">
        <f>'Warranty &amp; Maintenance'!Z220</f>
        <v/>
      </c>
      <c r="C8255" s="84">
        <f>'Warranty &amp; Maintenance'!X220</f>
        <v/>
      </c>
      <c r="D8255" s="46">
        <f>'Warranty &amp; Maintenance'!Y220</f>
        <v/>
      </c>
      <c r="E8255" s="46">
        <f>IF(OR(B8255="",C8255="",D8255=""),"",D8255*100000+(C8255-DATE(2000,1,1))+ROW()/100000)</f>
        <v/>
      </c>
      <c r="F8255" s="46">
        <f>IF(E8255="","",IF(C8255&gt;WeekEndDate,"",E8255))</f>
        <v/>
      </c>
    </row>
    <row r="8256">
      <c r="A8256" t="inlineStr">
        <is>
          <t>Warranty &amp; Maintenance</t>
        </is>
      </c>
      <c r="B8256" s="46">
        <f>'Warranty &amp; Maintenance'!Z221</f>
        <v/>
      </c>
      <c r="C8256" s="84">
        <f>'Warranty &amp; Maintenance'!X221</f>
        <v/>
      </c>
      <c r="D8256" s="46">
        <f>'Warranty &amp; Maintenance'!Y221</f>
        <v/>
      </c>
      <c r="E8256" s="46">
        <f>IF(OR(B8256="",C8256="",D8256=""),"",D8256*100000+(C8256-DATE(2000,1,1))+ROW()/100000)</f>
        <v/>
      </c>
      <c r="F8256" s="46">
        <f>IF(E8256="","",IF(C8256&gt;WeekEndDate,"",E8256))</f>
        <v/>
      </c>
    </row>
    <row r="8257">
      <c r="A8257" t="inlineStr">
        <is>
          <t>Warranty &amp; Maintenance</t>
        </is>
      </c>
      <c r="B8257" s="46">
        <f>'Warranty &amp; Maintenance'!Z222</f>
        <v/>
      </c>
      <c r="C8257" s="84">
        <f>'Warranty &amp; Maintenance'!X222</f>
        <v/>
      </c>
      <c r="D8257" s="46">
        <f>'Warranty &amp; Maintenance'!Y222</f>
        <v/>
      </c>
      <c r="E8257" s="46">
        <f>IF(OR(B8257="",C8257="",D8257=""),"",D8257*100000+(C8257-DATE(2000,1,1))+ROW()/100000)</f>
        <v/>
      </c>
      <c r="F8257" s="46">
        <f>IF(E8257="","",IF(C8257&gt;WeekEndDate,"",E8257))</f>
        <v/>
      </c>
    </row>
    <row r="8258">
      <c r="A8258" t="inlineStr">
        <is>
          <t>Warranty &amp; Maintenance</t>
        </is>
      </c>
      <c r="B8258" s="46">
        <f>'Warranty &amp; Maintenance'!Z223</f>
        <v/>
      </c>
      <c r="C8258" s="84">
        <f>'Warranty &amp; Maintenance'!X223</f>
        <v/>
      </c>
      <c r="D8258" s="46">
        <f>'Warranty &amp; Maintenance'!Y223</f>
        <v/>
      </c>
      <c r="E8258" s="46">
        <f>IF(OR(B8258="",C8258="",D8258=""),"",D8258*100000+(C8258-DATE(2000,1,1))+ROW()/100000)</f>
        <v/>
      </c>
      <c r="F8258" s="46">
        <f>IF(E8258="","",IF(C8258&gt;WeekEndDate,"",E8258))</f>
        <v/>
      </c>
    </row>
    <row r="8259">
      <c r="A8259" t="inlineStr">
        <is>
          <t>Warranty &amp; Maintenance</t>
        </is>
      </c>
      <c r="B8259" s="46">
        <f>'Warranty &amp; Maintenance'!Z224</f>
        <v/>
      </c>
      <c r="C8259" s="84">
        <f>'Warranty &amp; Maintenance'!X224</f>
        <v/>
      </c>
      <c r="D8259" s="46">
        <f>'Warranty &amp; Maintenance'!Y224</f>
        <v/>
      </c>
      <c r="E8259" s="46">
        <f>IF(OR(B8259="",C8259="",D8259=""),"",D8259*100000+(C8259-DATE(2000,1,1))+ROW()/100000)</f>
        <v/>
      </c>
      <c r="F8259" s="46">
        <f>IF(E8259="","",IF(C8259&gt;WeekEndDate,"",E8259))</f>
        <v/>
      </c>
    </row>
    <row r="8260">
      <c r="A8260" t="inlineStr">
        <is>
          <t>Warranty &amp; Maintenance</t>
        </is>
      </c>
      <c r="B8260" s="46">
        <f>'Warranty &amp; Maintenance'!Z225</f>
        <v/>
      </c>
      <c r="C8260" s="84">
        <f>'Warranty &amp; Maintenance'!X225</f>
        <v/>
      </c>
      <c r="D8260" s="46">
        <f>'Warranty &amp; Maintenance'!Y225</f>
        <v/>
      </c>
      <c r="E8260" s="46">
        <f>IF(OR(B8260="",C8260="",D8260=""),"",D8260*100000+(C8260-DATE(2000,1,1))+ROW()/100000)</f>
        <v/>
      </c>
      <c r="F8260" s="46">
        <f>IF(E8260="","",IF(C8260&gt;WeekEndDate,"",E8260))</f>
        <v/>
      </c>
    </row>
    <row r="8261">
      <c r="A8261" t="inlineStr">
        <is>
          <t>Warranty &amp; Maintenance</t>
        </is>
      </c>
      <c r="B8261" s="46">
        <f>'Warranty &amp; Maintenance'!Z226</f>
        <v/>
      </c>
      <c r="C8261" s="84">
        <f>'Warranty &amp; Maintenance'!X226</f>
        <v/>
      </c>
      <c r="D8261" s="46">
        <f>'Warranty &amp; Maintenance'!Y226</f>
        <v/>
      </c>
      <c r="E8261" s="46">
        <f>IF(OR(B8261="",C8261="",D8261=""),"",D8261*100000+(C8261-DATE(2000,1,1))+ROW()/100000)</f>
        <v/>
      </c>
      <c r="F8261" s="46">
        <f>IF(E8261="","",IF(C8261&gt;WeekEndDate,"",E8261))</f>
        <v/>
      </c>
    </row>
    <row r="8262">
      <c r="A8262" t="inlineStr">
        <is>
          <t>Warranty &amp; Maintenance</t>
        </is>
      </c>
      <c r="B8262" s="46">
        <f>'Warranty &amp; Maintenance'!Z227</f>
        <v/>
      </c>
      <c r="C8262" s="84">
        <f>'Warranty &amp; Maintenance'!X227</f>
        <v/>
      </c>
      <c r="D8262" s="46">
        <f>'Warranty &amp; Maintenance'!Y227</f>
        <v/>
      </c>
      <c r="E8262" s="46">
        <f>IF(OR(B8262="",C8262="",D8262=""),"",D8262*100000+(C8262-DATE(2000,1,1))+ROW()/100000)</f>
        <v/>
      </c>
      <c r="F8262" s="46">
        <f>IF(E8262="","",IF(C8262&gt;WeekEndDate,"",E8262))</f>
        <v/>
      </c>
    </row>
    <row r="8263">
      <c r="A8263" t="inlineStr">
        <is>
          <t>Warranty &amp; Maintenance</t>
        </is>
      </c>
      <c r="B8263" s="46">
        <f>'Warranty &amp; Maintenance'!Z228</f>
        <v/>
      </c>
      <c r="C8263" s="84">
        <f>'Warranty &amp; Maintenance'!X228</f>
        <v/>
      </c>
      <c r="D8263" s="46">
        <f>'Warranty &amp; Maintenance'!Y228</f>
        <v/>
      </c>
      <c r="E8263" s="46">
        <f>IF(OR(B8263="",C8263="",D8263=""),"",D8263*100000+(C8263-DATE(2000,1,1))+ROW()/100000)</f>
        <v/>
      </c>
      <c r="F8263" s="46">
        <f>IF(E8263="","",IF(C8263&gt;WeekEndDate,"",E8263))</f>
        <v/>
      </c>
    </row>
    <row r="8264">
      <c r="A8264" t="inlineStr">
        <is>
          <t>Warranty &amp; Maintenance</t>
        </is>
      </c>
      <c r="B8264" s="46">
        <f>'Warranty &amp; Maintenance'!Z229</f>
        <v/>
      </c>
      <c r="C8264" s="84">
        <f>'Warranty &amp; Maintenance'!X229</f>
        <v/>
      </c>
      <c r="D8264" s="46">
        <f>'Warranty &amp; Maintenance'!Y229</f>
        <v/>
      </c>
      <c r="E8264" s="46">
        <f>IF(OR(B8264="",C8264="",D8264=""),"",D8264*100000+(C8264-DATE(2000,1,1))+ROW()/100000)</f>
        <v/>
      </c>
      <c r="F8264" s="46">
        <f>IF(E8264="","",IF(C8264&gt;WeekEndDate,"",E8264))</f>
        <v/>
      </c>
    </row>
    <row r="8265">
      <c r="A8265" t="inlineStr">
        <is>
          <t>Warranty &amp; Maintenance</t>
        </is>
      </c>
      <c r="B8265" s="46">
        <f>'Warranty &amp; Maintenance'!Z230</f>
        <v/>
      </c>
      <c r="C8265" s="84">
        <f>'Warranty &amp; Maintenance'!X230</f>
        <v/>
      </c>
      <c r="D8265" s="46">
        <f>'Warranty &amp; Maintenance'!Y230</f>
        <v/>
      </c>
      <c r="E8265" s="46">
        <f>IF(OR(B8265="",C8265="",D8265=""),"",D8265*100000+(C8265-DATE(2000,1,1))+ROW()/100000)</f>
        <v/>
      </c>
      <c r="F8265" s="46">
        <f>IF(E8265="","",IF(C8265&gt;WeekEndDate,"",E8265))</f>
        <v/>
      </c>
    </row>
    <row r="8266">
      <c r="A8266" t="inlineStr">
        <is>
          <t>Warranty &amp; Maintenance</t>
        </is>
      </c>
      <c r="B8266" s="46">
        <f>'Warranty &amp; Maintenance'!Z231</f>
        <v/>
      </c>
      <c r="C8266" s="84">
        <f>'Warranty &amp; Maintenance'!X231</f>
        <v/>
      </c>
      <c r="D8266" s="46">
        <f>'Warranty &amp; Maintenance'!Y231</f>
        <v/>
      </c>
      <c r="E8266" s="46">
        <f>IF(OR(B8266="",C8266="",D8266=""),"",D8266*100000+(C8266-DATE(2000,1,1))+ROW()/100000)</f>
        <v/>
      </c>
      <c r="F8266" s="46">
        <f>IF(E8266="","",IF(C8266&gt;WeekEndDate,"",E8266))</f>
        <v/>
      </c>
    </row>
    <row r="8267">
      <c r="A8267" t="inlineStr">
        <is>
          <t>Warranty &amp; Maintenance</t>
        </is>
      </c>
      <c r="B8267" s="46">
        <f>'Warranty &amp; Maintenance'!Z232</f>
        <v/>
      </c>
      <c r="C8267" s="84">
        <f>'Warranty &amp; Maintenance'!X232</f>
        <v/>
      </c>
      <c r="D8267" s="46">
        <f>'Warranty &amp; Maintenance'!Y232</f>
        <v/>
      </c>
      <c r="E8267" s="46">
        <f>IF(OR(B8267="",C8267="",D8267=""),"",D8267*100000+(C8267-DATE(2000,1,1))+ROW()/100000)</f>
        <v/>
      </c>
      <c r="F8267" s="46">
        <f>IF(E8267="","",IF(C8267&gt;WeekEndDate,"",E8267))</f>
        <v/>
      </c>
    </row>
    <row r="8268">
      <c r="A8268" t="inlineStr">
        <is>
          <t>Warranty &amp; Maintenance</t>
        </is>
      </c>
      <c r="B8268" s="46">
        <f>'Warranty &amp; Maintenance'!Z233</f>
        <v/>
      </c>
      <c r="C8268" s="84">
        <f>'Warranty &amp; Maintenance'!X233</f>
        <v/>
      </c>
      <c r="D8268" s="46">
        <f>'Warranty &amp; Maintenance'!Y233</f>
        <v/>
      </c>
      <c r="E8268" s="46">
        <f>IF(OR(B8268="",C8268="",D8268=""),"",D8268*100000+(C8268-DATE(2000,1,1))+ROW()/100000)</f>
        <v/>
      </c>
      <c r="F8268" s="46">
        <f>IF(E8268="","",IF(C8268&gt;WeekEndDate,"",E8268))</f>
        <v/>
      </c>
    </row>
    <row r="8269">
      <c r="A8269" t="inlineStr">
        <is>
          <t>Warranty &amp; Maintenance</t>
        </is>
      </c>
      <c r="B8269" s="46">
        <f>'Warranty &amp; Maintenance'!Z234</f>
        <v/>
      </c>
      <c r="C8269" s="84">
        <f>'Warranty &amp; Maintenance'!X234</f>
        <v/>
      </c>
      <c r="D8269" s="46">
        <f>'Warranty &amp; Maintenance'!Y234</f>
        <v/>
      </c>
      <c r="E8269" s="46">
        <f>IF(OR(B8269="",C8269="",D8269=""),"",D8269*100000+(C8269-DATE(2000,1,1))+ROW()/100000)</f>
        <v/>
      </c>
      <c r="F8269" s="46">
        <f>IF(E8269="","",IF(C8269&gt;WeekEndDate,"",E8269))</f>
        <v/>
      </c>
    </row>
    <row r="8270">
      <c r="A8270" t="inlineStr">
        <is>
          <t>Warranty &amp; Maintenance</t>
        </is>
      </c>
      <c r="B8270" s="46">
        <f>'Warranty &amp; Maintenance'!Z235</f>
        <v/>
      </c>
      <c r="C8270" s="84">
        <f>'Warranty &amp; Maintenance'!X235</f>
        <v/>
      </c>
      <c r="D8270" s="46">
        <f>'Warranty &amp; Maintenance'!Y235</f>
        <v/>
      </c>
      <c r="E8270" s="46">
        <f>IF(OR(B8270="",C8270="",D8270=""),"",D8270*100000+(C8270-DATE(2000,1,1))+ROW()/100000)</f>
        <v/>
      </c>
      <c r="F8270" s="46">
        <f>IF(E8270="","",IF(C8270&gt;WeekEndDate,"",E8270))</f>
        <v/>
      </c>
    </row>
    <row r="8271">
      <c r="A8271" t="inlineStr">
        <is>
          <t>Warranty &amp; Maintenance</t>
        </is>
      </c>
      <c r="B8271" s="46">
        <f>'Warranty &amp; Maintenance'!Z236</f>
        <v/>
      </c>
      <c r="C8271" s="84">
        <f>'Warranty &amp; Maintenance'!X236</f>
        <v/>
      </c>
      <c r="D8271" s="46">
        <f>'Warranty &amp; Maintenance'!Y236</f>
        <v/>
      </c>
      <c r="E8271" s="46">
        <f>IF(OR(B8271="",C8271="",D8271=""),"",D8271*100000+(C8271-DATE(2000,1,1))+ROW()/100000)</f>
        <v/>
      </c>
      <c r="F8271" s="46">
        <f>IF(E8271="","",IF(C8271&gt;WeekEndDate,"",E8271))</f>
        <v/>
      </c>
    </row>
    <row r="8272">
      <c r="A8272" t="inlineStr">
        <is>
          <t>Warranty &amp; Maintenance</t>
        </is>
      </c>
      <c r="B8272" s="46">
        <f>'Warranty &amp; Maintenance'!Z237</f>
        <v/>
      </c>
      <c r="C8272" s="84">
        <f>'Warranty &amp; Maintenance'!X237</f>
        <v/>
      </c>
      <c r="D8272" s="46">
        <f>'Warranty &amp; Maintenance'!Y237</f>
        <v/>
      </c>
      <c r="E8272" s="46">
        <f>IF(OR(B8272="",C8272="",D8272=""),"",D8272*100000+(C8272-DATE(2000,1,1))+ROW()/100000)</f>
        <v/>
      </c>
      <c r="F8272" s="46">
        <f>IF(E8272="","",IF(C8272&gt;WeekEndDate,"",E8272))</f>
        <v/>
      </c>
    </row>
    <row r="8273">
      <c r="A8273" t="inlineStr">
        <is>
          <t>Warranty &amp; Maintenance</t>
        </is>
      </c>
      <c r="B8273" s="46">
        <f>'Warranty &amp; Maintenance'!Z238</f>
        <v/>
      </c>
      <c r="C8273" s="84">
        <f>'Warranty &amp; Maintenance'!X238</f>
        <v/>
      </c>
      <c r="D8273" s="46">
        <f>'Warranty &amp; Maintenance'!Y238</f>
        <v/>
      </c>
      <c r="E8273" s="46">
        <f>IF(OR(B8273="",C8273="",D8273=""),"",D8273*100000+(C8273-DATE(2000,1,1))+ROW()/100000)</f>
        <v/>
      </c>
      <c r="F8273" s="46">
        <f>IF(E8273="","",IF(C8273&gt;WeekEndDate,"",E8273))</f>
        <v/>
      </c>
    </row>
    <row r="8274">
      <c r="A8274" t="inlineStr">
        <is>
          <t>Warranty &amp; Maintenance</t>
        </is>
      </c>
      <c r="B8274" s="46">
        <f>'Warranty &amp; Maintenance'!Z239</f>
        <v/>
      </c>
      <c r="C8274" s="84">
        <f>'Warranty &amp; Maintenance'!X239</f>
        <v/>
      </c>
      <c r="D8274" s="46">
        <f>'Warranty &amp; Maintenance'!Y239</f>
        <v/>
      </c>
      <c r="E8274" s="46">
        <f>IF(OR(B8274="",C8274="",D8274=""),"",D8274*100000+(C8274-DATE(2000,1,1))+ROW()/100000)</f>
        <v/>
      </c>
      <c r="F8274" s="46">
        <f>IF(E8274="","",IF(C8274&gt;WeekEndDate,"",E8274))</f>
        <v/>
      </c>
    </row>
    <row r="8275">
      <c r="A8275" t="inlineStr">
        <is>
          <t>Warranty &amp; Maintenance</t>
        </is>
      </c>
      <c r="B8275" s="46">
        <f>'Warranty &amp; Maintenance'!Z240</f>
        <v/>
      </c>
      <c r="C8275" s="84">
        <f>'Warranty &amp; Maintenance'!X240</f>
        <v/>
      </c>
      <c r="D8275" s="46">
        <f>'Warranty &amp; Maintenance'!Y240</f>
        <v/>
      </c>
      <c r="E8275" s="46">
        <f>IF(OR(B8275="",C8275="",D8275=""),"",D8275*100000+(C8275-DATE(2000,1,1))+ROW()/100000)</f>
        <v/>
      </c>
      <c r="F8275" s="46">
        <f>IF(E8275="","",IF(C8275&gt;WeekEndDate,"",E8275))</f>
        <v/>
      </c>
    </row>
    <row r="8276">
      <c r="A8276" t="inlineStr">
        <is>
          <t>Warranty &amp; Maintenance</t>
        </is>
      </c>
      <c r="B8276" s="46">
        <f>'Warranty &amp; Maintenance'!Z241</f>
        <v/>
      </c>
      <c r="C8276" s="84">
        <f>'Warranty &amp; Maintenance'!X241</f>
        <v/>
      </c>
      <c r="D8276" s="46">
        <f>'Warranty &amp; Maintenance'!Y241</f>
        <v/>
      </c>
      <c r="E8276" s="46">
        <f>IF(OR(B8276="",C8276="",D8276=""),"",D8276*100000+(C8276-DATE(2000,1,1))+ROW()/100000)</f>
        <v/>
      </c>
      <c r="F8276" s="46">
        <f>IF(E8276="","",IF(C8276&gt;WeekEndDate,"",E8276))</f>
        <v/>
      </c>
    </row>
    <row r="8277">
      <c r="A8277" t="inlineStr">
        <is>
          <t>Warranty &amp; Maintenance</t>
        </is>
      </c>
      <c r="B8277" s="46">
        <f>'Warranty &amp; Maintenance'!Z242</f>
        <v/>
      </c>
      <c r="C8277" s="84">
        <f>'Warranty &amp; Maintenance'!X242</f>
        <v/>
      </c>
      <c r="D8277" s="46">
        <f>'Warranty &amp; Maintenance'!Y242</f>
        <v/>
      </c>
      <c r="E8277" s="46">
        <f>IF(OR(B8277="",C8277="",D8277=""),"",D8277*100000+(C8277-DATE(2000,1,1))+ROW()/100000)</f>
        <v/>
      </c>
      <c r="F8277" s="46">
        <f>IF(E8277="","",IF(C8277&gt;WeekEndDate,"",E8277))</f>
        <v/>
      </c>
    </row>
    <row r="8278">
      <c r="A8278" t="inlineStr">
        <is>
          <t>Warranty &amp; Maintenance</t>
        </is>
      </c>
      <c r="B8278" s="46">
        <f>'Warranty &amp; Maintenance'!Z243</f>
        <v/>
      </c>
      <c r="C8278" s="84">
        <f>'Warranty &amp; Maintenance'!X243</f>
        <v/>
      </c>
      <c r="D8278" s="46">
        <f>'Warranty &amp; Maintenance'!Y243</f>
        <v/>
      </c>
      <c r="E8278" s="46">
        <f>IF(OR(B8278="",C8278="",D8278=""),"",D8278*100000+(C8278-DATE(2000,1,1))+ROW()/100000)</f>
        <v/>
      </c>
      <c r="F8278" s="46">
        <f>IF(E8278="","",IF(C8278&gt;WeekEndDate,"",E8278))</f>
        <v/>
      </c>
    </row>
    <row r="8279">
      <c r="A8279" t="inlineStr">
        <is>
          <t>Warranty &amp; Maintenance</t>
        </is>
      </c>
      <c r="B8279" s="46">
        <f>'Warranty &amp; Maintenance'!Z244</f>
        <v/>
      </c>
      <c r="C8279" s="84">
        <f>'Warranty &amp; Maintenance'!X244</f>
        <v/>
      </c>
      <c r="D8279" s="46">
        <f>'Warranty &amp; Maintenance'!Y244</f>
        <v/>
      </c>
      <c r="E8279" s="46">
        <f>IF(OR(B8279="",C8279="",D8279=""),"",D8279*100000+(C8279-DATE(2000,1,1))+ROW()/100000)</f>
        <v/>
      </c>
      <c r="F8279" s="46">
        <f>IF(E8279="","",IF(C8279&gt;WeekEndDate,"",E8279))</f>
        <v/>
      </c>
    </row>
    <row r="8280">
      <c r="A8280" t="inlineStr">
        <is>
          <t>Warranty &amp; Maintenance</t>
        </is>
      </c>
      <c r="B8280" s="46">
        <f>'Warranty &amp; Maintenance'!Z245</f>
        <v/>
      </c>
      <c r="C8280" s="84">
        <f>'Warranty &amp; Maintenance'!X245</f>
        <v/>
      </c>
      <c r="D8280" s="46">
        <f>'Warranty &amp; Maintenance'!Y245</f>
        <v/>
      </c>
      <c r="E8280" s="46">
        <f>IF(OR(B8280="",C8280="",D8280=""),"",D8280*100000+(C8280-DATE(2000,1,1))+ROW()/100000)</f>
        <v/>
      </c>
      <c r="F8280" s="46">
        <f>IF(E8280="","",IF(C8280&gt;WeekEndDate,"",E8280))</f>
        <v/>
      </c>
    </row>
    <row r="8281">
      <c r="A8281" t="inlineStr">
        <is>
          <t>Warranty &amp; Maintenance</t>
        </is>
      </c>
      <c r="B8281" s="46">
        <f>'Warranty &amp; Maintenance'!Z246</f>
        <v/>
      </c>
      <c r="C8281" s="84">
        <f>'Warranty &amp; Maintenance'!X246</f>
        <v/>
      </c>
      <c r="D8281" s="46">
        <f>'Warranty &amp; Maintenance'!Y246</f>
        <v/>
      </c>
      <c r="E8281" s="46">
        <f>IF(OR(B8281="",C8281="",D8281=""),"",D8281*100000+(C8281-DATE(2000,1,1))+ROW()/100000)</f>
        <v/>
      </c>
      <c r="F8281" s="46">
        <f>IF(E8281="","",IF(C8281&gt;WeekEndDate,"",E8281))</f>
        <v/>
      </c>
    </row>
    <row r="8282">
      <c r="A8282" t="inlineStr">
        <is>
          <t>Warranty &amp; Maintenance</t>
        </is>
      </c>
      <c r="B8282" s="46">
        <f>'Warranty &amp; Maintenance'!Z247</f>
        <v/>
      </c>
      <c r="C8282" s="84">
        <f>'Warranty &amp; Maintenance'!X247</f>
        <v/>
      </c>
      <c r="D8282" s="46">
        <f>'Warranty &amp; Maintenance'!Y247</f>
        <v/>
      </c>
      <c r="E8282" s="46">
        <f>IF(OR(B8282="",C8282="",D8282=""),"",D8282*100000+(C8282-DATE(2000,1,1))+ROW()/100000)</f>
        <v/>
      </c>
      <c r="F8282" s="46">
        <f>IF(E8282="","",IF(C8282&gt;WeekEndDate,"",E8282))</f>
        <v/>
      </c>
    </row>
    <row r="8283">
      <c r="A8283" t="inlineStr">
        <is>
          <t>Warranty &amp; Maintenance</t>
        </is>
      </c>
      <c r="B8283" s="46">
        <f>'Warranty &amp; Maintenance'!Z248</f>
        <v/>
      </c>
      <c r="C8283" s="84">
        <f>'Warranty &amp; Maintenance'!X248</f>
        <v/>
      </c>
      <c r="D8283" s="46">
        <f>'Warranty &amp; Maintenance'!Y248</f>
        <v/>
      </c>
      <c r="E8283" s="46">
        <f>IF(OR(B8283="",C8283="",D8283=""),"",D8283*100000+(C8283-DATE(2000,1,1))+ROW()/100000)</f>
        <v/>
      </c>
      <c r="F8283" s="46">
        <f>IF(E8283="","",IF(C8283&gt;WeekEndDate,"",E8283))</f>
        <v/>
      </c>
    </row>
    <row r="8284">
      <c r="A8284" t="inlineStr">
        <is>
          <t>Warranty &amp; Maintenance</t>
        </is>
      </c>
      <c r="B8284" s="46">
        <f>'Warranty &amp; Maintenance'!Z249</f>
        <v/>
      </c>
      <c r="C8284" s="84">
        <f>'Warranty &amp; Maintenance'!X249</f>
        <v/>
      </c>
      <c r="D8284" s="46">
        <f>'Warranty &amp; Maintenance'!Y249</f>
        <v/>
      </c>
      <c r="E8284" s="46">
        <f>IF(OR(B8284="",C8284="",D8284=""),"",D8284*100000+(C8284-DATE(2000,1,1))+ROW()/100000)</f>
        <v/>
      </c>
      <c r="F8284" s="46">
        <f>IF(E8284="","",IF(C8284&gt;WeekEndDate,"",E8284))</f>
        <v/>
      </c>
    </row>
    <row r="8285">
      <c r="A8285" t="inlineStr">
        <is>
          <t>Warranty &amp; Maintenance</t>
        </is>
      </c>
      <c r="B8285" s="46">
        <f>'Warranty &amp; Maintenance'!Z250</f>
        <v/>
      </c>
      <c r="C8285" s="84">
        <f>'Warranty &amp; Maintenance'!X250</f>
        <v/>
      </c>
      <c r="D8285" s="46">
        <f>'Warranty &amp; Maintenance'!Y250</f>
        <v/>
      </c>
      <c r="E8285" s="46">
        <f>IF(OR(B8285="",C8285="",D8285=""),"",D8285*100000+(C8285-DATE(2000,1,1))+ROW()/100000)</f>
        <v/>
      </c>
      <c r="F8285" s="46">
        <f>IF(E8285="","",IF(C8285&gt;WeekEndDate,"",E8285))</f>
        <v/>
      </c>
    </row>
    <row r="8286">
      <c r="A8286" t="inlineStr">
        <is>
          <t>Warranty &amp; Maintenance</t>
        </is>
      </c>
      <c r="B8286" s="46">
        <f>'Warranty &amp; Maintenance'!Z251</f>
        <v/>
      </c>
      <c r="C8286" s="84">
        <f>'Warranty &amp; Maintenance'!X251</f>
        <v/>
      </c>
      <c r="D8286" s="46">
        <f>'Warranty &amp; Maintenance'!Y251</f>
        <v/>
      </c>
      <c r="E8286" s="46">
        <f>IF(OR(B8286="",C8286="",D8286=""),"",D8286*100000+(C8286-DATE(2000,1,1))+ROW()/100000)</f>
        <v/>
      </c>
      <c r="F8286" s="46">
        <f>IF(E8286="","",IF(C8286&gt;WeekEndDate,"",E8286))</f>
        <v/>
      </c>
    </row>
    <row r="8287">
      <c r="A8287" t="inlineStr">
        <is>
          <t>Warranty &amp; Maintenance</t>
        </is>
      </c>
      <c r="B8287" s="46">
        <f>'Warranty &amp; Maintenance'!Z252</f>
        <v/>
      </c>
      <c r="C8287" s="84">
        <f>'Warranty &amp; Maintenance'!X252</f>
        <v/>
      </c>
      <c r="D8287" s="46">
        <f>'Warranty &amp; Maintenance'!Y252</f>
        <v/>
      </c>
      <c r="E8287" s="46">
        <f>IF(OR(B8287="",C8287="",D8287=""),"",D8287*100000+(C8287-DATE(2000,1,1))+ROW()/100000)</f>
        <v/>
      </c>
      <c r="F8287" s="46">
        <f>IF(E8287="","",IF(C8287&gt;WeekEndDate,"",E8287))</f>
        <v/>
      </c>
    </row>
    <row r="8288">
      <c r="A8288" t="inlineStr">
        <is>
          <t>Warranty &amp; Maintenance</t>
        </is>
      </c>
      <c r="B8288" s="46">
        <f>'Warranty &amp; Maintenance'!Z253</f>
        <v/>
      </c>
      <c r="C8288" s="84">
        <f>'Warranty &amp; Maintenance'!X253</f>
        <v/>
      </c>
      <c r="D8288" s="46">
        <f>'Warranty &amp; Maintenance'!Y253</f>
        <v/>
      </c>
      <c r="E8288" s="46">
        <f>IF(OR(B8288="",C8288="",D8288=""),"",D8288*100000+(C8288-DATE(2000,1,1))+ROW()/100000)</f>
        <v/>
      </c>
      <c r="F8288" s="46">
        <f>IF(E8288="","",IF(C8288&gt;WeekEndDate,"",E8288))</f>
        <v/>
      </c>
    </row>
    <row r="8289">
      <c r="A8289" t="inlineStr">
        <is>
          <t>Warranty &amp; Maintenance</t>
        </is>
      </c>
      <c r="B8289" s="46">
        <f>'Warranty &amp; Maintenance'!Z254</f>
        <v/>
      </c>
      <c r="C8289" s="84">
        <f>'Warranty &amp; Maintenance'!X254</f>
        <v/>
      </c>
      <c r="D8289" s="46">
        <f>'Warranty &amp; Maintenance'!Y254</f>
        <v/>
      </c>
      <c r="E8289" s="46">
        <f>IF(OR(B8289="",C8289="",D8289=""),"",D8289*100000+(C8289-DATE(2000,1,1))+ROW()/100000)</f>
        <v/>
      </c>
      <c r="F8289" s="46">
        <f>IF(E8289="","",IF(C8289&gt;WeekEndDate,"",E8289))</f>
        <v/>
      </c>
    </row>
    <row r="8290">
      <c r="A8290" t="inlineStr">
        <is>
          <t>Warranty &amp; Maintenance</t>
        </is>
      </c>
      <c r="B8290" s="46">
        <f>'Warranty &amp; Maintenance'!Z255</f>
        <v/>
      </c>
      <c r="C8290" s="84">
        <f>'Warranty &amp; Maintenance'!X255</f>
        <v/>
      </c>
      <c r="D8290" s="46">
        <f>'Warranty &amp; Maintenance'!Y255</f>
        <v/>
      </c>
      <c r="E8290" s="46">
        <f>IF(OR(B8290="",C8290="",D8290=""),"",D8290*100000+(C8290-DATE(2000,1,1))+ROW()/100000)</f>
        <v/>
      </c>
      <c r="F8290" s="46">
        <f>IF(E8290="","",IF(C8290&gt;WeekEndDate,"",E8290))</f>
        <v/>
      </c>
    </row>
    <row r="8291">
      <c r="A8291" t="inlineStr">
        <is>
          <t>Warranty &amp; Maintenance</t>
        </is>
      </c>
      <c r="B8291" s="46">
        <f>'Warranty &amp; Maintenance'!Z256</f>
        <v/>
      </c>
      <c r="C8291" s="84">
        <f>'Warranty &amp; Maintenance'!X256</f>
        <v/>
      </c>
      <c r="D8291" s="46">
        <f>'Warranty &amp; Maintenance'!Y256</f>
        <v/>
      </c>
      <c r="E8291" s="46">
        <f>IF(OR(B8291="",C8291="",D8291=""),"",D8291*100000+(C8291-DATE(2000,1,1))+ROW()/100000)</f>
        <v/>
      </c>
      <c r="F8291" s="46">
        <f>IF(E8291="","",IF(C8291&gt;WeekEndDate,"",E8291))</f>
        <v/>
      </c>
    </row>
    <row r="8292">
      <c r="A8292" t="inlineStr">
        <is>
          <t>Warranty &amp; Maintenance</t>
        </is>
      </c>
      <c r="B8292" s="46">
        <f>'Warranty &amp; Maintenance'!Z257</f>
        <v/>
      </c>
      <c r="C8292" s="84">
        <f>'Warranty &amp; Maintenance'!X257</f>
        <v/>
      </c>
      <c r="D8292" s="46">
        <f>'Warranty &amp; Maintenance'!Y257</f>
        <v/>
      </c>
      <c r="E8292" s="46">
        <f>IF(OR(B8292="",C8292="",D8292=""),"",D8292*100000+(C8292-DATE(2000,1,1))+ROW()/100000)</f>
        <v/>
      </c>
      <c r="F8292" s="46">
        <f>IF(E8292="","",IF(C8292&gt;WeekEndDate,"",E8292))</f>
        <v/>
      </c>
    </row>
    <row r="8293">
      <c r="A8293" t="inlineStr">
        <is>
          <t>Warranty &amp; Maintenance</t>
        </is>
      </c>
      <c r="B8293" s="46">
        <f>'Warranty &amp; Maintenance'!Z258</f>
        <v/>
      </c>
      <c r="C8293" s="84">
        <f>'Warranty &amp; Maintenance'!X258</f>
        <v/>
      </c>
      <c r="D8293" s="46">
        <f>'Warranty &amp; Maintenance'!Y258</f>
        <v/>
      </c>
      <c r="E8293" s="46">
        <f>IF(OR(B8293="",C8293="",D8293=""),"",D8293*100000+(C8293-DATE(2000,1,1))+ROW()/100000)</f>
        <v/>
      </c>
      <c r="F8293" s="46">
        <f>IF(E8293="","",IF(C8293&gt;WeekEndDate,"",E8293))</f>
        <v/>
      </c>
    </row>
    <row r="8294">
      <c r="A8294" t="inlineStr">
        <is>
          <t>Warranty &amp; Maintenance</t>
        </is>
      </c>
      <c r="B8294" s="46">
        <f>'Warranty &amp; Maintenance'!Z259</f>
        <v/>
      </c>
      <c r="C8294" s="84">
        <f>'Warranty &amp; Maintenance'!X259</f>
        <v/>
      </c>
      <c r="D8294" s="46">
        <f>'Warranty &amp; Maintenance'!Y259</f>
        <v/>
      </c>
      <c r="E8294" s="46">
        <f>IF(OR(B8294="",C8294="",D8294=""),"",D8294*100000+(C8294-DATE(2000,1,1))+ROW()/100000)</f>
        <v/>
      </c>
      <c r="F8294" s="46">
        <f>IF(E8294="","",IF(C8294&gt;WeekEndDate,"",E8294))</f>
        <v/>
      </c>
    </row>
    <row r="8295">
      <c r="A8295" t="inlineStr">
        <is>
          <t>Warranty &amp; Maintenance</t>
        </is>
      </c>
      <c r="B8295" s="46">
        <f>'Warranty &amp; Maintenance'!Z260</f>
        <v/>
      </c>
      <c r="C8295" s="84">
        <f>'Warranty &amp; Maintenance'!X260</f>
        <v/>
      </c>
      <c r="D8295" s="46">
        <f>'Warranty &amp; Maintenance'!Y260</f>
        <v/>
      </c>
      <c r="E8295" s="46">
        <f>IF(OR(B8295="",C8295="",D8295=""),"",D8295*100000+(C8295-DATE(2000,1,1))+ROW()/100000)</f>
        <v/>
      </c>
      <c r="F8295" s="46">
        <f>IF(E8295="","",IF(C8295&gt;WeekEndDate,"",E8295))</f>
        <v/>
      </c>
    </row>
    <row r="8296">
      <c r="A8296" t="inlineStr">
        <is>
          <t>Warranty &amp; Maintenance</t>
        </is>
      </c>
      <c r="B8296" s="46">
        <f>'Warranty &amp; Maintenance'!Z261</f>
        <v/>
      </c>
      <c r="C8296" s="84">
        <f>'Warranty &amp; Maintenance'!X261</f>
        <v/>
      </c>
      <c r="D8296" s="46">
        <f>'Warranty &amp; Maintenance'!Y261</f>
        <v/>
      </c>
      <c r="E8296" s="46">
        <f>IF(OR(B8296="",C8296="",D8296=""),"",D8296*100000+(C8296-DATE(2000,1,1))+ROW()/100000)</f>
        <v/>
      </c>
      <c r="F8296" s="46">
        <f>IF(E8296="","",IF(C8296&gt;WeekEndDate,"",E8296))</f>
        <v/>
      </c>
    </row>
    <row r="8297">
      <c r="A8297" t="inlineStr">
        <is>
          <t>Warranty &amp; Maintenance</t>
        </is>
      </c>
      <c r="B8297" s="46">
        <f>'Warranty &amp; Maintenance'!Z262</f>
        <v/>
      </c>
      <c r="C8297" s="84">
        <f>'Warranty &amp; Maintenance'!X262</f>
        <v/>
      </c>
      <c r="D8297" s="46">
        <f>'Warranty &amp; Maintenance'!Y262</f>
        <v/>
      </c>
      <c r="E8297" s="46">
        <f>IF(OR(B8297="",C8297="",D8297=""),"",D8297*100000+(C8297-DATE(2000,1,1))+ROW()/100000)</f>
        <v/>
      </c>
      <c r="F8297" s="46">
        <f>IF(E8297="","",IF(C8297&gt;WeekEndDate,"",E8297))</f>
        <v/>
      </c>
    </row>
    <row r="8298">
      <c r="A8298" t="inlineStr">
        <is>
          <t>Warranty &amp; Maintenance</t>
        </is>
      </c>
      <c r="B8298" s="46">
        <f>'Warranty &amp; Maintenance'!Z263</f>
        <v/>
      </c>
      <c r="C8298" s="84">
        <f>'Warranty &amp; Maintenance'!X263</f>
        <v/>
      </c>
      <c r="D8298" s="46">
        <f>'Warranty &amp; Maintenance'!Y263</f>
        <v/>
      </c>
      <c r="E8298" s="46">
        <f>IF(OR(B8298="",C8298="",D8298=""),"",D8298*100000+(C8298-DATE(2000,1,1))+ROW()/100000)</f>
        <v/>
      </c>
      <c r="F8298" s="46">
        <f>IF(E8298="","",IF(C8298&gt;WeekEndDate,"",E8298))</f>
        <v/>
      </c>
    </row>
    <row r="8299">
      <c r="A8299" t="inlineStr">
        <is>
          <t>Warranty &amp; Maintenance</t>
        </is>
      </c>
      <c r="B8299" s="46">
        <f>'Warranty &amp; Maintenance'!Z264</f>
        <v/>
      </c>
      <c r="C8299" s="84">
        <f>'Warranty &amp; Maintenance'!X264</f>
        <v/>
      </c>
      <c r="D8299" s="46">
        <f>'Warranty &amp; Maintenance'!Y264</f>
        <v/>
      </c>
      <c r="E8299" s="46">
        <f>IF(OR(B8299="",C8299="",D8299=""),"",D8299*100000+(C8299-DATE(2000,1,1))+ROW()/100000)</f>
        <v/>
      </c>
      <c r="F8299" s="46">
        <f>IF(E8299="","",IF(C8299&gt;WeekEndDate,"",E8299))</f>
        <v/>
      </c>
    </row>
    <row r="8300">
      <c r="A8300" t="inlineStr">
        <is>
          <t>Warranty &amp; Maintenance</t>
        </is>
      </c>
      <c r="B8300" s="46">
        <f>'Warranty &amp; Maintenance'!Z265</f>
        <v/>
      </c>
      <c r="C8300" s="84">
        <f>'Warranty &amp; Maintenance'!X265</f>
        <v/>
      </c>
      <c r="D8300" s="46">
        <f>'Warranty &amp; Maintenance'!Y265</f>
        <v/>
      </c>
      <c r="E8300" s="46">
        <f>IF(OR(B8300="",C8300="",D8300=""),"",D8300*100000+(C8300-DATE(2000,1,1))+ROW()/100000)</f>
        <v/>
      </c>
      <c r="F8300" s="46">
        <f>IF(E8300="","",IF(C8300&gt;WeekEndDate,"",E8300))</f>
        <v/>
      </c>
    </row>
    <row r="8301">
      <c r="A8301" t="inlineStr">
        <is>
          <t>Warranty &amp; Maintenance</t>
        </is>
      </c>
      <c r="B8301" s="46">
        <f>'Warranty &amp; Maintenance'!Z266</f>
        <v/>
      </c>
      <c r="C8301" s="84">
        <f>'Warranty &amp; Maintenance'!X266</f>
        <v/>
      </c>
      <c r="D8301" s="46">
        <f>'Warranty &amp; Maintenance'!Y266</f>
        <v/>
      </c>
      <c r="E8301" s="46">
        <f>IF(OR(B8301="",C8301="",D8301=""),"",D8301*100000+(C8301-DATE(2000,1,1))+ROW()/100000)</f>
        <v/>
      </c>
      <c r="F8301" s="46">
        <f>IF(E8301="","",IF(C8301&gt;WeekEndDate,"",E8301))</f>
        <v/>
      </c>
    </row>
    <row r="8302">
      <c r="A8302" t="inlineStr">
        <is>
          <t>Warranty &amp; Maintenance</t>
        </is>
      </c>
      <c r="B8302" s="46">
        <f>'Warranty &amp; Maintenance'!Z267</f>
        <v/>
      </c>
      <c r="C8302" s="84">
        <f>'Warranty &amp; Maintenance'!X267</f>
        <v/>
      </c>
      <c r="D8302" s="46">
        <f>'Warranty &amp; Maintenance'!Y267</f>
        <v/>
      </c>
      <c r="E8302" s="46">
        <f>IF(OR(B8302="",C8302="",D8302=""),"",D8302*100000+(C8302-DATE(2000,1,1))+ROW()/100000)</f>
        <v/>
      </c>
      <c r="F8302" s="46">
        <f>IF(E8302="","",IF(C8302&gt;WeekEndDate,"",E8302))</f>
        <v/>
      </c>
    </row>
    <row r="8303">
      <c r="A8303" t="inlineStr">
        <is>
          <t>Warranty &amp; Maintenance</t>
        </is>
      </c>
      <c r="B8303" s="46">
        <f>'Warranty &amp; Maintenance'!Z268</f>
        <v/>
      </c>
      <c r="C8303" s="84">
        <f>'Warranty &amp; Maintenance'!X268</f>
        <v/>
      </c>
      <c r="D8303" s="46">
        <f>'Warranty &amp; Maintenance'!Y268</f>
        <v/>
      </c>
      <c r="E8303" s="46">
        <f>IF(OR(B8303="",C8303="",D8303=""),"",D8303*100000+(C8303-DATE(2000,1,1))+ROW()/100000)</f>
        <v/>
      </c>
      <c r="F8303" s="46">
        <f>IF(E8303="","",IF(C8303&gt;WeekEndDate,"",E8303))</f>
        <v/>
      </c>
    </row>
    <row r="8304">
      <c r="A8304" t="inlineStr">
        <is>
          <t>Warranty &amp; Maintenance</t>
        </is>
      </c>
      <c r="B8304" s="46">
        <f>'Warranty &amp; Maintenance'!Z269</f>
        <v/>
      </c>
      <c r="C8304" s="84">
        <f>'Warranty &amp; Maintenance'!X269</f>
        <v/>
      </c>
      <c r="D8304" s="46">
        <f>'Warranty &amp; Maintenance'!Y269</f>
        <v/>
      </c>
      <c r="E8304" s="46">
        <f>IF(OR(B8304="",C8304="",D8304=""),"",D8304*100000+(C8304-DATE(2000,1,1))+ROW()/100000)</f>
        <v/>
      </c>
      <c r="F8304" s="46">
        <f>IF(E8304="","",IF(C8304&gt;WeekEndDate,"",E8304))</f>
        <v/>
      </c>
    </row>
    <row r="8305">
      <c r="A8305" t="inlineStr">
        <is>
          <t>Warranty &amp; Maintenance</t>
        </is>
      </c>
      <c r="B8305" s="46">
        <f>'Warranty &amp; Maintenance'!Z270</f>
        <v/>
      </c>
      <c r="C8305" s="84">
        <f>'Warranty &amp; Maintenance'!X270</f>
        <v/>
      </c>
      <c r="D8305" s="46">
        <f>'Warranty &amp; Maintenance'!Y270</f>
        <v/>
      </c>
      <c r="E8305" s="46">
        <f>IF(OR(B8305="",C8305="",D8305=""),"",D8305*100000+(C8305-DATE(2000,1,1))+ROW()/100000)</f>
        <v/>
      </c>
      <c r="F8305" s="46">
        <f>IF(E8305="","",IF(C8305&gt;WeekEndDate,"",E8305))</f>
        <v/>
      </c>
    </row>
    <row r="8306">
      <c r="A8306" t="inlineStr">
        <is>
          <t>Warranty &amp; Maintenance</t>
        </is>
      </c>
      <c r="B8306" s="46">
        <f>'Warranty &amp; Maintenance'!Z271</f>
        <v/>
      </c>
      <c r="C8306" s="84">
        <f>'Warranty &amp; Maintenance'!X271</f>
        <v/>
      </c>
      <c r="D8306" s="46">
        <f>'Warranty &amp; Maintenance'!Y271</f>
        <v/>
      </c>
      <c r="E8306" s="46">
        <f>IF(OR(B8306="",C8306="",D8306=""),"",D8306*100000+(C8306-DATE(2000,1,1))+ROW()/100000)</f>
        <v/>
      </c>
      <c r="F8306" s="46">
        <f>IF(E8306="","",IF(C8306&gt;WeekEndDate,"",E8306))</f>
        <v/>
      </c>
    </row>
    <row r="8307">
      <c r="A8307" t="inlineStr">
        <is>
          <t>Warranty &amp; Maintenance</t>
        </is>
      </c>
      <c r="B8307" s="46">
        <f>'Warranty &amp; Maintenance'!Z272</f>
        <v/>
      </c>
      <c r="C8307" s="84">
        <f>'Warranty &amp; Maintenance'!X272</f>
        <v/>
      </c>
      <c r="D8307" s="46">
        <f>'Warranty &amp; Maintenance'!Y272</f>
        <v/>
      </c>
      <c r="E8307" s="46">
        <f>IF(OR(B8307="",C8307="",D8307=""),"",D8307*100000+(C8307-DATE(2000,1,1))+ROW()/100000)</f>
        <v/>
      </c>
      <c r="F8307" s="46">
        <f>IF(E8307="","",IF(C8307&gt;WeekEndDate,"",E8307))</f>
        <v/>
      </c>
    </row>
    <row r="8308">
      <c r="A8308" t="inlineStr">
        <is>
          <t>Warranty &amp; Maintenance</t>
        </is>
      </c>
      <c r="B8308" s="46">
        <f>'Warranty &amp; Maintenance'!Z273</f>
        <v/>
      </c>
      <c r="C8308" s="84">
        <f>'Warranty &amp; Maintenance'!X273</f>
        <v/>
      </c>
      <c r="D8308" s="46">
        <f>'Warranty &amp; Maintenance'!Y273</f>
        <v/>
      </c>
      <c r="E8308" s="46">
        <f>IF(OR(B8308="",C8308="",D8308=""),"",D8308*100000+(C8308-DATE(2000,1,1))+ROW()/100000)</f>
        <v/>
      </c>
      <c r="F8308" s="46">
        <f>IF(E8308="","",IF(C8308&gt;WeekEndDate,"",E8308))</f>
        <v/>
      </c>
    </row>
    <row r="8309">
      <c r="A8309" t="inlineStr">
        <is>
          <t>Warranty &amp; Maintenance</t>
        </is>
      </c>
      <c r="B8309" s="46">
        <f>'Warranty &amp; Maintenance'!Z274</f>
        <v/>
      </c>
      <c r="C8309" s="84">
        <f>'Warranty &amp; Maintenance'!X274</f>
        <v/>
      </c>
      <c r="D8309" s="46">
        <f>'Warranty &amp; Maintenance'!Y274</f>
        <v/>
      </c>
      <c r="E8309" s="46">
        <f>IF(OR(B8309="",C8309="",D8309=""),"",D8309*100000+(C8309-DATE(2000,1,1))+ROW()/100000)</f>
        <v/>
      </c>
      <c r="F8309" s="46">
        <f>IF(E8309="","",IF(C8309&gt;WeekEndDate,"",E8309))</f>
        <v/>
      </c>
    </row>
    <row r="8310">
      <c r="A8310" t="inlineStr">
        <is>
          <t>Warranty &amp; Maintenance</t>
        </is>
      </c>
      <c r="B8310" s="46">
        <f>'Warranty &amp; Maintenance'!Z275</f>
        <v/>
      </c>
      <c r="C8310" s="84">
        <f>'Warranty &amp; Maintenance'!X275</f>
        <v/>
      </c>
      <c r="D8310" s="46">
        <f>'Warranty &amp; Maintenance'!Y275</f>
        <v/>
      </c>
      <c r="E8310" s="46">
        <f>IF(OR(B8310="",C8310="",D8310=""),"",D8310*100000+(C8310-DATE(2000,1,1))+ROW()/100000)</f>
        <v/>
      </c>
      <c r="F8310" s="46">
        <f>IF(E8310="","",IF(C8310&gt;WeekEndDate,"",E8310))</f>
        <v/>
      </c>
    </row>
    <row r="8311">
      <c r="A8311" t="inlineStr">
        <is>
          <t>Warranty &amp; Maintenance</t>
        </is>
      </c>
      <c r="B8311" s="46">
        <f>'Warranty &amp; Maintenance'!Z276</f>
        <v/>
      </c>
      <c r="C8311" s="84">
        <f>'Warranty &amp; Maintenance'!X276</f>
        <v/>
      </c>
      <c r="D8311" s="46">
        <f>'Warranty &amp; Maintenance'!Y276</f>
        <v/>
      </c>
      <c r="E8311" s="46">
        <f>IF(OR(B8311="",C8311="",D8311=""),"",D8311*100000+(C8311-DATE(2000,1,1))+ROW()/100000)</f>
        <v/>
      </c>
      <c r="F8311" s="46">
        <f>IF(E8311="","",IF(C8311&gt;WeekEndDate,"",E8311))</f>
        <v/>
      </c>
    </row>
    <row r="8312">
      <c r="A8312" t="inlineStr">
        <is>
          <t>Warranty &amp; Maintenance</t>
        </is>
      </c>
      <c r="B8312" s="46">
        <f>'Warranty &amp; Maintenance'!Z277</f>
        <v/>
      </c>
      <c r="C8312" s="84">
        <f>'Warranty &amp; Maintenance'!X277</f>
        <v/>
      </c>
      <c r="D8312" s="46">
        <f>'Warranty &amp; Maintenance'!Y277</f>
        <v/>
      </c>
      <c r="E8312" s="46">
        <f>IF(OR(B8312="",C8312="",D8312=""),"",D8312*100000+(C8312-DATE(2000,1,1))+ROW()/100000)</f>
        <v/>
      </c>
      <c r="F8312" s="46">
        <f>IF(E8312="","",IF(C8312&gt;WeekEndDate,"",E8312))</f>
        <v/>
      </c>
    </row>
    <row r="8313">
      <c r="A8313" t="inlineStr">
        <is>
          <t>Warranty &amp; Maintenance</t>
        </is>
      </c>
      <c r="B8313" s="46">
        <f>'Warranty &amp; Maintenance'!Z278</f>
        <v/>
      </c>
      <c r="C8313" s="84">
        <f>'Warranty &amp; Maintenance'!X278</f>
        <v/>
      </c>
      <c r="D8313" s="46">
        <f>'Warranty &amp; Maintenance'!Y278</f>
        <v/>
      </c>
      <c r="E8313" s="46">
        <f>IF(OR(B8313="",C8313="",D8313=""),"",D8313*100000+(C8313-DATE(2000,1,1))+ROW()/100000)</f>
        <v/>
      </c>
      <c r="F8313" s="46">
        <f>IF(E8313="","",IF(C8313&gt;WeekEndDate,"",E8313))</f>
        <v/>
      </c>
    </row>
    <row r="8314">
      <c r="A8314" t="inlineStr">
        <is>
          <t>Warranty &amp; Maintenance</t>
        </is>
      </c>
      <c r="B8314" s="46">
        <f>'Warranty &amp; Maintenance'!Z279</f>
        <v/>
      </c>
      <c r="C8314" s="84">
        <f>'Warranty &amp; Maintenance'!X279</f>
        <v/>
      </c>
      <c r="D8314" s="46">
        <f>'Warranty &amp; Maintenance'!Y279</f>
        <v/>
      </c>
      <c r="E8314" s="46">
        <f>IF(OR(B8314="",C8314="",D8314=""),"",D8314*100000+(C8314-DATE(2000,1,1))+ROW()/100000)</f>
        <v/>
      </c>
      <c r="F8314" s="46">
        <f>IF(E8314="","",IF(C8314&gt;WeekEndDate,"",E8314))</f>
        <v/>
      </c>
    </row>
    <row r="8315">
      <c r="A8315" t="inlineStr">
        <is>
          <t>Warranty &amp; Maintenance</t>
        </is>
      </c>
      <c r="B8315" s="46">
        <f>'Warranty &amp; Maintenance'!Z280</f>
        <v/>
      </c>
      <c r="C8315" s="84">
        <f>'Warranty &amp; Maintenance'!X280</f>
        <v/>
      </c>
      <c r="D8315" s="46">
        <f>'Warranty &amp; Maintenance'!Y280</f>
        <v/>
      </c>
      <c r="E8315" s="46">
        <f>IF(OR(B8315="",C8315="",D8315=""),"",D8315*100000+(C8315-DATE(2000,1,1))+ROW()/100000)</f>
        <v/>
      </c>
      <c r="F8315" s="46">
        <f>IF(E8315="","",IF(C8315&gt;WeekEndDate,"",E8315))</f>
        <v/>
      </c>
    </row>
    <row r="8316">
      <c r="A8316" t="inlineStr">
        <is>
          <t>Warranty &amp; Maintenance</t>
        </is>
      </c>
      <c r="B8316" s="46">
        <f>'Warranty &amp; Maintenance'!Z281</f>
        <v/>
      </c>
      <c r="C8316" s="84">
        <f>'Warranty &amp; Maintenance'!X281</f>
        <v/>
      </c>
      <c r="D8316" s="46">
        <f>'Warranty &amp; Maintenance'!Y281</f>
        <v/>
      </c>
      <c r="E8316" s="46">
        <f>IF(OR(B8316="",C8316="",D8316=""),"",D8316*100000+(C8316-DATE(2000,1,1))+ROW()/100000)</f>
        <v/>
      </c>
      <c r="F8316" s="46">
        <f>IF(E8316="","",IF(C8316&gt;WeekEndDate,"",E8316))</f>
        <v/>
      </c>
    </row>
    <row r="8317">
      <c r="A8317" t="inlineStr">
        <is>
          <t>Warranty &amp; Maintenance</t>
        </is>
      </c>
      <c r="B8317" s="46">
        <f>'Warranty &amp; Maintenance'!Z282</f>
        <v/>
      </c>
      <c r="C8317" s="84">
        <f>'Warranty &amp; Maintenance'!X282</f>
        <v/>
      </c>
      <c r="D8317" s="46">
        <f>'Warranty &amp; Maintenance'!Y282</f>
        <v/>
      </c>
      <c r="E8317" s="46">
        <f>IF(OR(B8317="",C8317="",D8317=""),"",D8317*100000+(C8317-DATE(2000,1,1))+ROW()/100000)</f>
        <v/>
      </c>
      <c r="F8317" s="46">
        <f>IF(E8317="","",IF(C8317&gt;WeekEndDate,"",E8317))</f>
        <v/>
      </c>
    </row>
    <row r="8318">
      <c r="A8318" t="inlineStr">
        <is>
          <t>Warranty &amp; Maintenance</t>
        </is>
      </c>
      <c r="B8318" s="46">
        <f>'Warranty &amp; Maintenance'!Z283</f>
        <v/>
      </c>
      <c r="C8318" s="84">
        <f>'Warranty &amp; Maintenance'!X283</f>
        <v/>
      </c>
      <c r="D8318" s="46">
        <f>'Warranty &amp; Maintenance'!Y283</f>
        <v/>
      </c>
      <c r="E8318" s="46">
        <f>IF(OR(B8318="",C8318="",D8318=""),"",D8318*100000+(C8318-DATE(2000,1,1))+ROW()/100000)</f>
        <v/>
      </c>
      <c r="F8318" s="46">
        <f>IF(E8318="","",IF(C8318&gt;WeekEndDate,"",E8318))</f>
        <v/>
      </c>
    </row>
    <row r="8319">
      <c r="A8319" t="inlineStr">
        <is>
          <t>Warranty &amp; Maintenance</t>
        </is>
      </c>
      <c r="B8319" s="46">
        <f>'Warranty &amp; Maintenance'!Z284</f>
        <v/>
      </c>
      <c r="C8319" s="84">
        <f>'Warranty &amp; Maintenance'!X284</f>
        <v/>
      </c>
      <c r="D8319" s="46">
        <f>'Warranty &amp; Maintenance'!Y284</f>
        <v/>
      </c>
      <c r="E8319" s="46">
        <f>IF(OR(B8319="",C8319="",D8319=""),"",D8319*100000+(C8319-DATE(2000,1,1))+ROW()/100000)</f>
        <v/>
      </c>
      <c r="F8319" s="46">
        <f>IF(E8319="","",IF(C8319&gt;WeekEndDate,"",E8319))</f>
        <v/>
      </c>
    </row>
    <row r="8320">
      <c r="A8320" t="inlineStr">
        <is>
          <t>Warranty &amp; Maintenance</t>
        </is>
      </c>
      <c r="B8320" s="46">
        <f>'Warranty &amp; Maintenance'!Z285</f>
        <v/>
      </c>
      <c r="C8320" s="84">
        <f>'Warranty &amp; Maintenance'!X285</f>
        <v/>
      </c>
      <c r="D8320" s="46">
        <f>'Warranty &amp; Maintenance'!Y285</f>
        <v/>
      </c>
      <c r="E8320" s="46">
        <f>IF(OR(B8320="",C8320="",D8320=""),"",D8320*100000+(C8320-DATE(2000,1,1))+ROW()/100000)</f>
        <v/>
      </c>
      <c r="F8320" s="46">
        <f>IF(E8320="","",IF(C8320&gt;WeekEndDate,"",E8320))</f>
        <v/>
      </c>
    </row>
    <row r="8321">
      <c r="A8321" t="inlineStr">
        <is>
          <t>Warranty &amp; Maintenance</t>
        </is>
      </c>
      <c r="B8321" s="46">
        <f>'Warranty &amp; Maintenance'!Z286</f>
        <v/>
      </c>
      <c r="C8321" s="84">
        <f>'Warranty &amp; Maintenance'!X286</f>
        <v/>
      </c>
      <c r="D8321" s="46">
        <f>'Warranty &amp; Maintenance'!Y286</f>
        <v/>
      </c>
      <c r="E8321" s="46">
        <f>IF(OR(B8321="",C8321="",D8321=""),"",D8321*100000+(C8321-DATE(2000,1,1))+ROW()/100000)</f>
        <v/>
      </c>
      <c r="F8321" s="46">
        <f>IF(E8321="","",IF(C8321&gt;WeekEndDate,"",E8321))</f>
        <v/>
      </c>
    </row>
    <row r="8322">
      <c r="A8322" t="inlineStr">
        <is>
          <t>Warranty &amp; Maintenance</t>
        </is>
      </c>
      <c r="B8322" s="46">
        <f>'Warranty &amp; Maintenance'!Z287</f>
        <v/>
      </c>
      <c r="C8322" s="84">
        <f>'Warranty &amp; Maintenance'!X287</f>
        <v/>
      </c>
      <c r="D8322" s="46">
        <f>'Warranty &amp; Maintenance'!Y287</f>
        <v/>
      </c>
      <c r="E8322" s="46">
        <f>IF(OR(B8322="",C8322="",D8322=""),"",D8322*100000+(C8322-DATE(2000,1,1))+ROW()/100000)</f>
        <v/>
      </c>
      <c r="F8322" s="46">
        <f>IF(E8322="","",IF(C8322&gt;WeekEndDate,"",E8322))</f>
        <v/>
      </c>
    </row>
    <row r="8323">
      <c r="A8323" t="inlineStr">
        <is>
          <t>Warranty &amp; Maintenance</t>
        </is>
      </c>
      <c r="B8323" s="46">
        <f>'Warranty &amp; Maintenance'!Z288</f>
        <v/>
      </c>
      <c r="C8323" s="84">
        <f>'Warranty &amp; Maintenance'!X288</f>
        <v/>
      </c>
      <c r="D8323" s="46">
        <f>'Warranty &amp; Maintenance'!Y288</f>
        <v/>
      </c>
      <c r="E8323" s="46">
        <f>IF(OR(B8323="",C8323="",D8323=""),"",D8323*100000+(C8323-DATE(2000,1,1))+ROW()/100000)</f>
        <v/>
      </c>
      <c r="F8323" s="46">
        <f>IF(E8323="","",IF(C8323&gt;WeekEndDate,"",E8323))</f>
        <v/>
      </c>
    </row>
    <row r="8324">
      <c r="A8324" t="inlineStr">
        <is>
          <t>Warranty &amp; Maintenance</t>
        </is>
      </c>
      <c r="B8324" s="46">
        <f>'Warranty &amp; Maintenance'!Z289</f>
        <v/>
      </c>
      <c r="C8324" s="84">
        <f>'Warranty &amp; Maintenance'!X289</f>
        <v/>
      </c>
      <c r="D8324" s="46">
        <f>'Warranty &amp; Maintenance'!Y289</f>
        <v/>
      </c>
      <c r="E8324" s="46">
        <f>IF(OR(B8324="",C8324="",D8324=""),"",D8324*100000+(C8324-DATE(2000,1,1))+ROW()/100000)</f>
        <v/>
      </c>
      <c r="F8324" s="46">
        <f>IF(E8324="","",IF(C8324&gt;WeekEndDate,"",E8324))</f>
        <v/>
      </c>
    </row>
    <row r="8325">
      <c r="A8325" t="inlineStr">
        <is>
          <t>Warranty &amp; Maintenance</t>
        </is>
      </c>
      <c r="B8325" s="46">
        <f>'Warranty &amp; Maintenance'!Z290</f>
        <v/>
      </c>
      <c r="C8325" s="84">
        <f>'Warranty &amp; Maintenance'!X290</f>
        <v/>
      </c>
      <c r="D8325" s="46">
        <f>'Warranty &amp; Maintenance'!Y290</f>
        <v/>
      </c>
      <c r="E8325" s="46">
        <f>IF(OR(B8325="",C8325="",D8325=""),"",D8325*100000+(C8325-DATE(2000,1,1))+ROW()/100000)</f>
        <v/>
      </c>
      <c r="F8325" s="46">
        <f>IF(E8325="","",IF(C8325&gt;WeekEndDate,"",E8325))</f>
        <v/>
      </c>
    </row>
    <row r="8326">
      <c r="A8326" t="inlineStr">
        <is>
          <t>Warranty &amp; Maintenance</t>
        </is>
      </c>
      <c r="B8326" s="46">
        <f>'Warranty &amp; Maintenance'!Z291</f>
        <v/>
      </c>
      <c r="C8326" s="84">
        <f>'Warranty &amp; Maintenance'!X291</f>
        <v/>
      </c>
      <c r="D8326" s="46">
        <f>'Warranty &amp; Maintenance'!Y291</f>
        <v/>
      </c>
      <c r="E8326" s="46">
        <f>IF(OR(B8326="",C8326="",D8326=""),"",D8326*100000+(C8326-DATE(2000,1,1))+ROW()/100000)</f>
        <v/>
      </c>
      <c r="F8326" s="46">
        <f>IF(E8326="","",IF(C8326&gt;WeekEndDate,"",E8326))</f>
        <v/>
      </c>
    </row>
    <row r="8327">
      <c r="A8327" t="inlineStr">
        <is>
          <t>Warranty &amp; Maintenance</t>
        </is>
      </c>
      <c r="B8327" s="46">
        <f>'Warranty &amp; Maintenance'!Z292</f>
        <v/>
      </c>
      <c r="C8327" s="84">
        <f>'Warranty &amp; Maintenance'!X292</f>
        <v/>
      </c>
      <c r="D8327" s="46">
        <f>'Warranty &amp; Maintenance'!Y292</f>
        <v/>
      </c>
      <c r="E8327" s="46">
        <f>IF(OR(B8327="",C8327="",D8327=""),"",D8327*100000+(C8327-DATE(2000,1,1))+ROW()/100000)</f>
        <v/>
      </c>
      <c r="F8327" s="46">
        <f>IF(E8327="","",IF(C8327&gt;WeekEndDate,"",E8327))</f>
        <v/>
      </c>
    </row>
    <row r="8328">
      <c r="A8328" t="inlineStr">
        <is>
          <t>Warranty &amp; Maintenance</t>
        </is>
      </c>
      <c r="B8328" s="46">
        <f>'Warranty &amp; Maintenance'!Z293</f>
        <v/>
      </c>
      <c r="C8328" s="84">
        <f>'Warranty &amp; Maintenance'!X293</f>
        <v/>
      </c>
      <c r="D8328" s="46">
        <f>'Warranty &amp; Maintenance'!Y293</f>
        <v/>
      </c>
      <c r="E8328" s="46">
        <f>IF(OR(B8328="",C8328="",D8328=""),"",D8328*100000+(C8328-DATE(2000,1,1))+ROW()/100000)</f>
        <v/>
      </c>
      <c r="F8328" s="46">
        <f>IF(E8328="","",IF(C8328&gt;WeekEndDate,"",E8328))</f>
        <v/>
      </c>
    </row>
    <row r="8329">
      <c r="A8329" t="inlineStr">
        <is>
          <t>Warranty &amp; Maintenance</t>
        </is>
      </c>
      <c r="B8329" s="46">
        <f>'Warranty &amp; Maintenance'!Z294</f>
        <v/>
      </c>
      <c r="C8329" s="84">
        <f>'Warranty &amp; Maintenance'!X294</f>
        <v/>
      </c>
      <c r="D8329" s="46">
        <f>'Warranty &amp; Maintenance'!Y294</f>
        <v/>
      </c>
      <c r="E8329" s="46">
        <f>IF(OR(B8329="",C8329="",D8329=""),"",D8329*100000+(C8329-DATE(2000,1,1))+ROW()/100000)</f>
        <v/>
      </c>
      <c r="F8329" s="46">
        <f>IF(E8329="","",IF(C8329&gt;WeekEndDate,"",E8329))</f>
        <v/>
      </c>
    </row>
    <row r="8330">
      <c r="A8330" t="inlineStr">
        <is>
          <t>Warranty &amp; Maintenance</t>
        </is>
      </c>
      <c r="B8330" s="46">
        <f>'Warranty &amp; Maintenance'!Z295</f>
        <v/>
      </c>
      <c r="C8330" s="84">
        <f>'Warranty &amp; Maintenance'!X295</f>
        <v/>
      </c>
      <c r="D8330" s="46">
        <f>'Warranty &amp; Maintenance'!Y295</f>
        <v/>
      </c>
      <c r="E8330" s="46">
        <f>IF(OR(B8330="",C8330="",D8330=""),"",D8330*100000+(C8330-DATE(2000,1,1))+ROW()/100000)</f>
        <v/>
      </c>
      <c r="F8330" s="46">
        <f>IF(E8330="","",IF(C8330&gt;WeekEndDate,"",E8330))</f>
        <v/>
      </c>
    </row>
    <row r="8331">
      <c r="A8331" t="inlineStr">
        <is>
          <t>Warranty &amp; Maintenance</t>
        </is>
      </c>
      <c r="B8331" s="46">
        <f>'Warranty &amp; Maintenance'!Z296</f>
        <v/>
      </c>
      <c r="C8331" s="84">
        <f>'Warranty &amp; Maintenance'!X296</f>
        <v/>
      </c>
      <c r="D8331" s="46">
        <f>'Warranty &amp; Maintenance'!Y296</f>
        <v/>
      </c>
      <c r="E8331" s="46">
        <f>IF(OR(B8331="",C8331="",D8331=""),"",D8331*100000+(C8331-DATE(2000,1,1))+ROW()/100000)</f>
        <v/>
      </c>
      <c r="F8331" s="46">
        <f>IF(E8331="","",IF(C8331&gt;WeekEndDate,"",E8331))</f>
        <v/>
      </c>
    </row>
    <row r="8332">
      <c r="A8332" t="inlineStr">
        <is>
          <t>Warranty &amp; Maintenance</t>
        </is>
      </c>
      <c r="B8332" s="46">
        <f>'Warranty &amp; Maintenance'!Z297</f>
        <v/>
      </c>
      <c r="C8332" s="84">
        <f>'Warranty &amp; Maintenance'!X297</f>
        <v/>
      </c>
      <c r="D8332" s="46">
        <f>'Warranty &amp; Maintenance'!Y297</f>
        <v/>
      </c>
      <c r="E8332" s="46">
        <f>IF(OR(B8332="",C8332="",D8332=""),"",D8332*100000+(C8332-DATE(2000,1,1))+ROW()/100000)</f>
        <v/>
      </c>
      <c r="F8332" s="46">
        <f>IF(E8332="","",IF(C8332&gt;WeekEndDate,"",E8332))</f>
        <v/>
      </c>
    </row>
    <row r="8333">
      <c r="A8333" t="inlineStr">
        <is>
          <t>Warranty &amp; Maintenance</t>
        </is>
      </c>
      <c r="B8333" s="46">
        <f>'Warranty &amp; Maintenance'!Z298</f>
        <v/>
      </c>
      <c r="C8333" s="84">
        <f>'Warranty &amp; Maintenance'!X298</f>
        <v/>
      </c>
      <c r="D8333" s="46">
        <f>'Warranty &amp; Maintenance'!Y298</f>
        <v/>
      </c>
      <c r="E8333" s="46">
        <f>IF(OR(B8333="",C8333="",D8333=""),"",D8333*100000+(C8333-DATE(2000,1,1))+ROW()/100000)</f>
        <v/>
      </c>
      <c r="F8333" s="46">
        <f>IF(E8333="","",IF(C8333&gt;WeekEndDate,"",E8333))</f>
        <v/>
      </c>
    </row>
    <row r="8334">
      <c r="A8334" t="inlineStr">
        <is>
          <t>Warranty &amp; Maintenance</t>
        </is>
      </c>
      <c r="B8334" s="46">
        <f>'Warranty &amp; Maintenance'!Z299</f>
        <v/>
      </c>
      <c r="C8334" s="84">
        <f>'Warranty &amp; Maintenance'!X299</f>
        <v/>
      </c>
      <c r="D8334" s="46">
        <f>'Warranty &amp; Maintenance'!Y299</f>
        <v/>
      </c>
      <c r="E8334" s="46">
        <f>IF(OR(B8334="",C8334="",D8334=""),"",D8334*100000+(C8334-DATE(2000,1,1))+ROW()/100000)</f>
        <v/>
      </c>
      <c r="F8334" s="46">
        <f>IF(E8334="","",IF(C8334&gt;WeekEndDate,"",E8334))</f>
        <v/>
      </c>
    </row>
    <row r="8335">
      <c r="A8335" t="inlineStr">
        <is>
          <t>Warranty &amp; Maintenance</t>
        </is>
      </c>
      <c r="B8335" s="46">
        <f>'Warranty &amp; Maintenance'!Z300</f>
        <v/>
      </c>
      <c r="C8335" s="84">
        <f>'Warranty &amp; Maintenance'!X300</f>
        <v/>
      </c>
      <c r="D8335" s="46">
        <f>'Warranty &amp; Maintenance'!Y300</f>
        <v/>
      </c>
      <c r="E8335" s="46">
        <f>IF(OR(B8335="",C8335="",D8335=""),"",D8335*100000+(C8335-DATE(2000,1,1))+ROW()/100000)</f>
        <v/>
      </c>
      <c r="F8335" s="46">
        <f>IF(E8335="","",IF(C8335&gt;WeekEndDate,"",E8335))</f>
        <v/>
      </c>
    </row>
    <row r="8336">
      <c r="A8336" t="inlineStr">
        <is>
          <t>Warranty &amp; Maintenance</t>
        </is>
      </c>
      <c r="B8336" s="46">
        <f>'Warranty &amp; Maintenance'!Z301</f>
        <v/>
      </c>
      <c r="C8336" s="84">
        <f>'Warranty &amp; Maintenance'!X301</f>
        <v/>
      </c>
      <c r="D8336" s="46">
        <f>'Warranty &amp; Maintenance'!Y301</f>
        <v/>
      </c>
      <c r="E8336" s="46">
        <f>IF(OR(B8336="",C8336="",D8336=""),"",D8336*100000+(C8336-DATE(2000,1,1))+ROW()/100000)</f>
        <v/>
      </c>
      <c r="F8336" s="46">
        <f>IF(E8336="","",IF(C8336&gt;WeekEndDate,"",E8336))</f>
        <v/>
      </c>
    </row>
    <row r="8337">
      <c r="A8337" t="inlineStr">
        <is>
          <t>Warranty &amp; Maintenance</t>
        </is>
      </c>
      <c r="B8337" s="46">
        <f>'Warranty &amp; Maintenance'!Z302</f>
        <v/>
      </c>
      <c r="C8337" s="84">
        <f>'Warranty &amp; Maintenance'!X302</f>
        <v/>
      </c>
      <c r="D8337" s="46">
        <f>'Warranty &amp; Maintenance'!Y302</f>
        <v/>
      </c>
      <c r="E8337" s="46">
        <f>IF(OR(B8337="",C8337="",D8337=""),"",D8337*100000+(C8337-DATE(2000,1,1))+ROW()/100000)</f>
        <v/>
      </c>
      <c r="F8337" s="46">
        <f>IF(E8337="","",IF(C8337&gt;WeekEndDate,"",E8337))</f>
        <v/>
      </c>
    </row>
    <row r="8338">
      <c r="A8338" t="inlineStr">
        <is>
          <t>Warranty &amp; Maintenance</t>
        </is>
      </c>
      <c r="B8338" s="46">
        <f>'Warranty &amp; Maintenance'!Z303</f>
        <v/>
      </c>
      <c r="C8338" s="84">
        <f>'Warranty &amp; Maintenance'!X303</f>
        <v/>
      </c>
      <c r="D8338" s="46">
        <f>'Warranty &amp; Maintenance'!Y303</f>
        <v/>
      </c>
      <c r="E8338" s="46">
        <f>IF(OR(B8338="",C8338="",D8338=""),"",D8338*100000+(C8338-DATE(2000,1,1))+ROW()/100000)</f>
        <v/>
      </c>
      <c r="F8338" s="46">
        <f>IF(E8338="","",IF(C8338&gt;WeekEndDate,"",E8338))</f>
        <v/>
      </c>
    </row>
    <row r="8339">
      <c r="A8339" t="inlineStr">
        <is>
          <t>Warranty &amp; Maintenance</t>
        </is>
      </c>
      <c r="B8339" s="46">
        <f>'Warranty &amp; Maintenance'!Z304</f>
        <v/>
      </c>
      <c r="C8339" s="84">
        <f>'Warranty &amp; Maintenance'!X304</f>
        <v/>
      </c>
      <c r="D8339" s="46">
        <f>'Warranty &amp; Maintenance'!Y304</f>
        <v/>
      </c>
      <c r="E8339" s="46">
        <f>IF(OR(B8339="",C8339="",D8339=""),"",D8339*100000+(C8339-DATE(2000,1,1))+ROW()/100000)</f>
        <v/>
      </c>
      <c r="F8339" s="46">
        <f>IF(E8339="","",IF(C8339&gt;WeekEndDate,"",E8339))</f>
        <v/>
      </c>
    </row>
    <row r="8340">
      <c r="A8340" t="inlineStr">
        <is>
          <t>Warranty &amp; Maintenance</t>
        </is>
      </c>
      <c r="B8340" s="46">
        <f>'Warranty &amp; Maintenance'!Z305</f>
        <v/>
      </c>
      <c r="C8340" s="84">
        <f>'Warranty &amp; Maintenance'!X305</f>
        <v/>
      </c>
      <c r="D8340" s="46">
        <f>'Warranty &amp; Maintenance'!Y305</f>
        <v/>
      </c>
      <c r="E8340" s="46">
        <f>IF(OR(B8340="",C8340="",D8340=""),"",D8340*100000+(C8340-DATE(2000,1,1))+ROW()/100000)</f>
        <v/>
      </c>
      <c r="F8340" s="46">
        <f>IF(E8340="","",IF(C8340&gt;WeekEndDate,"",E8340))</f>
        <v/>
      </c>
    </row>
    <row r="8341">
      <c r="A8341" t="inlineStr">
        <is>
          <t>Warranty &amp; Maintenance</t>
        </is>
      </c>
      <c r="B8341" s="46">
        <f>'Warranty &amp; Maintenance'!Z306</f>
        <v/>
      </c>
      <c r="C8341" s="84">
        <f>'Warranty &amp; Maintenance'!X306</f>
        <v/>
      </c>
      <c r="D8341" s="46">
        <f>'Warranty &amp; Maintenance'!Y306</f>
        <v/>
      </c>
      <c r="E8341" s="46">
        <f>IF(OR(B8341="",C8341="",D8341=""),"",D8341*100000+(C8341-DATE(2000,1,1))+ROW()/100000)</f>
        <v/>
      </c>
      <c r="F8341" s="46">
        <f>IF(E8341="","",IF(C8341&gt;WeekEndDate,"",E8341))</f>
        <v/>
      </c>
    </row>
    <row r="8342">
      <c r="A8342" t="inlineStr">
        <is>
          <t>Warranty &amp; Maintenance</t>
        </is>
      </c>
      <c r="B8342" s="46">
        <f>'Warranty &amp; Maintenance'!Z307</f>
        <v/>
      </c>
      <c r="C8342" s="84">
        <f>'Warranty &amp; Maintenance'!X307</f>
        <v/>
      </c>
      <c r="D8342" s="46">
        <f>'Warranty &amp; Maintenance'!Y307</f>
        <v/>
      </c>
      <c r="E8342" s="46">
        <f>IF(OR(B8342="",C8342="",D8342=""),"",D8342*100000+(C8342-DATE(2000,1,1))+ROW()/100000)</f>
        <v/>
      </c>
      <c r="F8342" s="46">
        <f>IF(E8342="","",IF(C8342&gt;WeekEndDate,"",E8342))</f>
        <v/>
      </c>
    </row>
    <row r="8343">
      <c r="A8343" t="inlineStr">
        <is>
          <t>Warranty &amp; Maintenance</t>
        </is>
      </c>
      <c r="B8343" s="46">
        <f>'Warranty &amp; Maintenance'!Z308</f>
        <v/>
      </c>
      <c r="C8343" s="84">
        <f>'Warranty &amp; Maintenance'!X308</f>
        <v/>
      </c>
      <c r="D8343" s="46">
        <f>'Warranty &amp; Maintenance'!Y308</f>
        <v/>
      </c>
      <c r="E8343" s="46">
        <f>IF(OR(B8343="",C8343="",D8343=""),"",D8343*100000+(C8343-DATE(2000,1,1))+ROW()/100000)</f>
        <v/>
      </c>
      <c r="F8343" s="46">
        <f>IF(E8343="","",IF(C8343&gt;WeekEndDate,"",E8343))</f>
        <v/>
      </c>
    </row>
    <row r="8344">
      <c r="A8344" t="inlineStr">
        <is>
          <t>Warranty &amp; Maintenance</t>
        </is>
      </c>
      <c r="B8344" s="46">
        <f>'Warranty &amp; Maintenance'!Z309</f>
        <v/>
      </c>
      <c r="C8344" s="84">
        <f>'Warranty &amp; Maintenance'!X309</f>
        <v/>
      </c>
      <c r="D8344" s="46">
        <f>'Warranty &amp; Maintenance'!Y309</f>
        <v/>
      </c>
      <c r="E8344" s="46">
        <f>IF(OR(B8344="",C8344="",D8344=""),"",D8344*100000+(C8344-DATE(2000,1,1))+ROW()/100000)</f>
        <v/>
      </c>
      <c r="F8344" s="46">
        <f>IF(E8344="","",IF(C8344&gt;WeekEndDate,"",E8344))</f>
        <v/>
      </c>
    </row>
    <row r="8345">
      <c r="A8345" t="inlineStr">
        <is>
          <t>Warranty &amp; Maintenance</t>
        </is>
      </c>
      <c r="B8345" s="46">
        <f>'Warranty &amp; Maintenance'!Z310</f>
        <v/>
      </c>
      <c r="C8345" s="84">
        <f>'Warranty &amp; Maintenance'!X310</f>
        <v/>
      </c>
      <c r="D8345" s="46">
        <f>'Warranty &amp; Maintenance'!Y310</f>
        <v/>
      </c>
      <c r="E8345" s="46">
        <f>IF(OR(B8345="",C8345="",D8345=""),"",D8345*100000+(C8345-DATE(2000,1,1))+ROW()/100000)</f>
        <v/>
      </c>
      <c r="F8345" s="46">
        <f>IF(E8345="","",IF(C8345&gt;WeekEndDate,"",E8345))</f>
        <v/>
      </c>
    </row>
    <row r="8346">
      <c r="A8346" t="inlineStr">
        <is>
          <t>Warranty &amp; Maintenance</t>
        </is>
      </c>
      <c r="B8346" s="46">
        <f>'Warranty &amp; Maintenance'!Z311</f>
        <v/>
      </c>
      <c r="C8346" s="84">
        <f>'Warranty &amp; Maintenance'!X311</f>
        <v/>
      </c>
      <c r="D8346" s="46">
        <f>'Warranty &amp; Maintenance'!Y311</f>
        <v/>
      </c>
      <c r="E8346" s="46">
        <f>IF(OR(B8346="",C8346="",D8346=""),"",D8346*100000+(C8346-DATE(2000,1,1))+ROW()/100000)</f>
        <v/>
      </c>
      <c r="F8346" s="46">
        <f>IF(E8346="","",IF(C8346&gt;WeekEndDate,"",E8346))</f>
        <v/>
      </c>
    </row>
    <row r="8347">
      <c r="A8347" t="inlineStr">
        <is>
          <t>Warranty &amp; Maintenance</t>
        </is>
      </c>
      <c r="B8347" s="46">
        <f>'Warranty &amp; Maintenance'!Z312</f>
        <v/>
      </c>
      <c r="C8347" s="84">
        <f>'Warranty &amp; Maintenance'!X312</f>
        <v/>
      </c>
      <c r="D8347" s="46">
        <f>'Warranty &amp; Maintenance'!Y312</f>
        <v/>
      </c>
      <c r="E8347" s="46">
        <f>IF(OR(B8347="",C8347="",D8347=""),"",D8347*100000+(C8347-DATE(2000,1,1))+ROW()/100000)</f>
        <v/>
      </c>
      <c r="F8347" s="46">
        <f>IF(E8347="","",IF(C8347&gt;WeekEndDate,"",E8347))</f>
        <v/>
      </c>
    </row>
    <row r="8348">
      <c r="A8348" t="inlineStr">
        <is>
          <t>Warranty &amp; Maintenance</t>
        </is>
      </c>
      <c r="B8348" s="46">
        <f>'Warranty &amp; Maintenance'!Z313</f>
        <v/>
      </c>
      <c r="C8348" s="84">
        <f>'Warranty &amp; Maintenance'!X313</f>
        <v/>
      </c>
      <c r="D8348" s="46">
        <f>'Warranty &amp; Maintenance'!Y313</f>
        <v/>
      </c>
      <c r="E8348" s="46">
        <f>IF(OR(B8348="",C8348="",D8348=""),"",D8348*100000+(C8348-DATE(2000,1,1))+ROW()/100000)</f>
        <v/>
      </c>
      <c r="F8348" s="46">
        <f>IF(E8348="","",IF(C8348&gt;WeekEndDate,"",E8348))</f>
        <v/>
      </c>
    </row>
    <row r="8349">
      <c r="A8349" t="inlineStr">
        <is>
          <t>Warranty &amp; Maintenance</t>
        </is>
      </c>
      <c r="B8349" s="46">
        <f>'Warranty &amp; Maintenance'!Z314</f>
        <v/>
      </c>
      <c r="C8349" s="84">
        <f>'Warranty &amp; Maintenance'!X314</f>
        <v/>
      </c>
      <c r="D8349" s="46">
        <f>'Warranty &amp; Maintenance'!Y314</f>
        <v/>
      </c>
      <c r="E8349" s="46">
        <f>IF(OR(B8349="",C8349="",D8349=""),"",D8349*100000+(C8349-DATE(2000,1,1))+ROW()/100000)</f>
        <v/>
      </c>
      <c r="F8349" s="46">
        <f>IF(E8349="","",IF(C8349&gt;WeekEndDate,"",E8349))</f>
        <v/>
      </c>
    </row>
    <row r="8350">
      <c r="A8350" t="inlineStr">
        <is>
          <t>Warranty &amp; Maintenance</t>
        </is>
      </c>
      <c r="B8350" s="46">
        <f>'Warranty &amp; Maintenance'!Z315</f>
        <v/>
      </c>
      <c r="C8350" s="84">
        <f>'Warranty &amp; Maintenance'!X315</f>
        <v/>
      </c>
      <c r="D8350" s="46">
        <f>'Warranty &amp; Maintenance'!Y315</f>
        <v/>
      </c>
      <c r="E8350" s="46">
        <f>IF(OR(B8350="",C8350="",D8350=""),"",D8350*100000+(C8350-DATE(2000,1,1))+ROW()/100000)</f>
        <v/>
      </c>
      <c r="F8350" s="46">
        <f>IF(E8350="","",IF(C8350&gt;WeekEndDate,"",E8350))</f>
        <v/>
      </c>
    </row>
    <row r="8351">
      <c r="A8351" t="inlineStr">
        <is>
          <t>Warranty &amp; Maintenance</t>
        </is>
      </c>
      <c r="B8351" s="46">
        <f>'Warranty &amp; Maintenance'!Z316</f>
        <v/>
      </c>
      <c r="C8351" s="84">
        <f>'Warranty &amp; Maintenance'!X316</f>
        <v/>
      </c>
      <c r="D8351" s="46">
        <f>'Warranty &amp; Maintenance'!Y316</f>
        <v/>
      </c>
      <c r="E8351" s="46">
        <f>IF(OR(B8351="",C8351="",D8351=""),"",D8351*100000+(C8351-DATE(2000,1,1))+ROW()/100000)</f>
        <v/>
      </c>
      <c r="F8351" s="46">
        <f>IF(E8351="","",IF(C8351&gt;WeekEndDate,"",E8351))</f>
        <v/>
      </c>
    </row>
    <row r="8352">
      <c r="A8352" t="inlineStr">
        <is>
          <t>Warranty &amp; Maintenance</t>
        </is>
      </c>
      <c r="B8352" s="46">
        <f>'Warranty &amp; Maintenance'!Z317</f>
        <v/>
      </c>
      <c r="C8352" s="84">
        <f>'Warranty &amp; Maintenance'!X317</f>
        <v/>
      </c>
      <c r="D8352" s="46">
        <f>'Warranty &amp; Maintenance'!Y317</f>
        <v/>
      </c>
      <c r="E8352" s="46">
        <f>IF(OR(B8352="",C8352="",D8352=""),"",D8352*100000+(C8352-DATE(2000,1,1))+ROW()/100000)</f>
        <v/>
      </c>
      <c r="F8352" s="46">
        <f>IF(E8352="","",IF(C8352&gt;WeekEndDate,"",E8352))</f>
        <v/>
      </c>
    </row>
    <row r="8353">
      <c r="A8353" t="inlineStr">
        <is>
          <t>Warranty &amp; Maintenance</t>
        </is>
      </c>
      <c r="B8353" s="46">
        <f>'Warranty &amp; Maintenance'!Z318</f>
        <v/>
      </c>
      <c r="C8353" s="84">
        <f>'Warranty &amp; Maintenance'!X318</f>
        <v/>
      </c>
      <c r="D8353" s="46">
        <f>'Warranty &amp; Maintenance'!Y318</f>
        <v/>
      </c>
      <c r="E8353" s="46">
        <f>IF(OR(B8353="",C8353="",D8353=""),"",D8353*100000+(C8353-DATE(2000,1,1))+ROW()/100000)</f>
        <v/>
      </c>
      <c r="F8353" s="46">
        <f>IF(E8353="","",IF(C8353&gt;WeekEndDate,"",E8353))</f>
        <v/>
      </c>
    </row>
    <row r="8354">
      <c r="A8354" t="inlineStr">
        <is>
          <t>Warranty &amp; Maintenance</t>
        </is>
      </c>
      <c r="B8354" s="46">
        <f>'Warranty &amp; Maintenance'!Z319</f>
        <v/>
      </c>
      <c r="C8354" s="84">
        <f>'Warranty &amp; Maintenance'!X319</f>
        <v/>
      </c>
      <c r="D8354" s="46">
        <f>'Warranty &amp; Maintenance'!Y319</f>
        <v/>
      </c>
      <c r="E8354" s="46">
        <f>IF(OR(B8354="",C8354="",D8354=""),"",D8354*100000+(C8354-DATE(2000,1,1))+ROW()/100000)</f>
        <v/>
      </c>
      <c r="F8354" s="46">
        <f>IF(E8354="","",IF(C8354&gt;WeekEndDate,"",E8354))</f>
        <v/>
      </c>
    </row>
    <row r="8355">
      <c r="A8355" t="inlineStr">
        <is>
          <t>Warranty &amp; Maintenance</t>
        </is>
      </c>
      <c r="B8355" s="46">
        <f>'Warranty &amp; Maintenance'!Z320</f>
        <v/>
      </c>
      <c r="C8355" s="84">
        <f>'Warranty &amp; Maintenance'!X320</f>
        <v/>
      </c>
      <c r="D8355" s="46">
        <f>'Warranty &amp; Maintenance'!Y320</f>
        <v/>
      </c>
      <c r="E8355" s="46">
        <f>IF(OR(B8355="",C8355="",D8355=""),"",D8355*100000+(C8355-DATE(2000,1,1))+ROW()/100000)</f>
        <v/>
      </c>
      <c r="F8355" s="46">
        <f>IF(E8355="","",IF(C8355&gt;WeekEndDate,"",E8355))</f>
        <v/>
      </c>
    </row>
    <row r="8356">
      <c r="A8356" t="inlineStr">
        <is>
          <t>Warranty &amp; Maintenance</t>
        </is>
      </c>
      <c r="B8356" s="46">
        <f>'Warranty &amp; Maintenance'!Z321</f>
        <v/>
      </c>
      <c r="C8356" s="84">
        <f>'Warranty &amp; Maintenance'!X321</f>
        <v/>
      </c>
      <c r="D8356" s="46">
        <f>'Warranty &amp; Maintenance'!Y321</f>
        <v/>
      </c>
      <c r="E8356" s="46">
        <f>IF(OR(B8356="",C8356="",D8356=""),"",D8356*100000+(C8356-DATE(2000,1,1))+ROW()/100000)</f>
        <v/>
      </c>
      <c r="F8356" s="46">
        <f>IF(E8356="","",IF(C8356&gt;WeekEndDate,"",E8356))</f>
        <v/>
      </c>
    </row>
    <row r="8357">
      <c r="A8357" t="inlineStr">
        <is>
          <t>Warranty &amp; Maintenance</t>
        </is>
      </c>
      <c r="B8357" s="46">
        <f>'Warranty &amp; Maintenance'!Z322</f>
        <v/>
      </c>
      <c r="C8357" s="84">
        <f>'Warranty &amp; Maintenance'!X322</f>
        <v/>
      </c>
      <c r="D8357" s="46">
        <f>'Warranty &amp; Maintenance'!Y322</f>
        <v/>
      </c>
      <c r="E8357" s="46">
        <f>IF(OR(B8357="",C8357="",D8357=""),"",D8357*100000+(C8357-DATE(2000,1,1))+ROW()/100000)</f>
        <v/>
      </c>
      <c r="F8357" s="46">
        <f>IF(E8357="","",IF(C8357&gt;WeekEndDate,"",E8357))</f>
        <v/>
      </c>
    </row>
    <row r="8358">
      <c r="A8358" t="inlineStr">
        <is>
          <t>Warranty &amp; Maintenance</t>
        </is>
      </c>
      <c r="B8358" s="46">
        <f>'Warranty &amp; Maintenance'!Z323</f>
        <v/>
      </c>
      <c r="C8358" s="84">
        <f>'Warranty &amp; Maintenance'!X323</f>
        <v/>
      </c>
      <c r="D8358" s="46">
        <f>'Warranty &amp; Maintenance'!Y323</f>
        <v/>
      </c>
      <c r="E8358" s="46">
        <f>IF(OR(B8358="",C8358="",D8358=""),"",D8358*100000+(C8358-DATE(2000,1,1))+ROW()/100000)</f>
        <v/>
      </c>
      <c r="F8358" s="46">
        <f>IF(E8358="","",IF(C8358&gt;WeekEndDate,"",E8358))</f>
        <v/>
      </c>
    </row>
    <row r="8359">
      <c r="A8359" t="inlineStr">
        <is>
          <t>Warranty &amp; Maintenance</t>
        </is>
      </c>
      <c r="B8359" s="46">
        <f>'Warranty &amp; Maintenance'!Z324</f>
        <v/>
      </c>
      <c r="C8359" s="84">
        <f>'Warranty &amp; Maintenance'!X324</f>
        <v/>
      </c>
      <c r="D8359" s="46">
        <f>'Warranty &amp; Maintenance'!Y324</f>
        <v/>
      </c>
      <c r="E8359" s="46">
        <f>IF(OR(B8359="",C8359="",D8359=""),"",D8359*100000+(C8359-DATE(2000,1,1))+ROW()/100000)</f>
        <v/>
      </c>
      <c r="F8359" s="46">
        <f>IF(E8359="","",IF(C8359&gt;WeekEndDate,"",E8359))</f>
        <v/>
      </c>
    </row>
    <row r="8360">
      <c r="A8360" t="inlineStr">
        <is>
          <t>Warranty &amp; Maintenance</t>
        </is>
      </c>
      <c r="B8360" s="46">
        <f>'Warranty &amp; Maintenance'!Z325</f>
        <v/>
      </c>
      <c r="C8360" s="84">
        <f>'Warranty &amp; Maintenance'!X325</f>
        <v/>
      </c>
      <c r="D8360" s="46">
        <f>'Warranty &amp; Maintenance'!Y325</f>
        <v/>
      </c>
      <c r="E8360" s="46">
        <f>IF(OR(B8360="",C8360="",D8360=""),"",D8360*100000+(C8360-DATE(2000,1,1))+ROW()/100000)</f>
        <v/>
      </c>
      <c r="F8360" s="46">
        <f>IF(E8360="","",IF(C8360&gt;WeekEndDate,"",E8360))</f>
        <v/>
      </c>
    </row>
    <row r="8361">
      <c r="A8361" t="inlineStr">
        <is>
          <t>Warranty &amp; Maintenance</t>
        </is>
      </c>
      <c r="B8361" s="46">
        <f>'Warranty &amp; Maintenance'!Z326</f>
        <v/>
      </c>
      <c r="C8361" s="84">
        <f>'Warranty &amp; Maintenance'!X326</f>
        <v/>
      </c>
      <c r="D8361" s="46">
        <f>'Warranty &amp; Maintenance'!Y326</f>
        <v/>
      </c>
      <c r="E8361" s="46">
        <f>IF(OR(B8361="",C8361="",D8361=""),"",D8361*100000+(C8361-DATE(2000,1,1))+ROW()/100000)</f>
        <v/>
      </c>
      <c r="F8361" s="46">
        <f>IF(E8361="","",IF(C8361&gt;WeekEndDate,"",E8361))</f>
        <v/>
      </c>
    </row>
    <row r="8362">
      <c r="A8362" t="inlineStr">
        <is>
          <t>Warranty &amp; Maintenance</t>
        </is>
      </c>
      <c r="B8362" s="46">
        <f>'Warranty &amp; Maintenance'!Z327</f>
        <v/>
      </c>
      <c r="C8362" s="84">
        <f>'Warranty &amp; Maintenance'!X327</f>
        <v/>
      </c>
      <c r="D8362" s="46">
        <f>'Warranty &amp; Maintenance'!Y327</f>
        <v/>
      </c>
      <c r="E8362" s="46">
        <f>IF(OR(B8362="",C8362="",D8362=""),"",D8362*100000+(C8362-DATE(2000,1,1))+ROW()/100000)</f>
        <v/>
      </c>
      <c r="F8362" s="46">
        <f>IF(E8362="","",IF(C8362&gt;WeekEndDate,"",E8362))</f>
        <v/>
      </c>
    </row>
    <row r="8363">
      <c r="A8363" t="inlineStr">
        <is>
          <t>Warranty &amp; Maintenance</t>
        </is>
      </c>
      <c r="B8363" s="46">
        <f>'Warranty &amp; Maintenance'!Z328</f>
        <v/>
      </c>
      <c r="C8363" s="84">
        <f>'Warranty &amp; Maintenance'!X328</f>
        <v/>
      </c>
      <c r="D8363" s="46">
        <f>'Warranty &amp; Maintenance'!Y328</f>
        <v/>
      </c>
      <c r="E8363" s="46">
        <f>IF(OR(B8363="",C8363="",D8363=""),"",D8363*100000+(C8363-DATE(2000,1,1))+ROW()/100000)</f>
        <v/>
      </c>
      <c r="F8363" s="46">
        <f>IF(E8363="","",IF(C8363&gt;WeekEndDate,"",E8363))</f>
        <v/>
      </c>
    </row>
    <row r="8364">
      <c r="A8364" t="inlineStr">
        <is>
          <t>Warranty &amp; Maintenance</t>
        </is>
      </c>
      <c r="B8364" s="46">
        <f>'Warranty &amp; Maintenance'!Z329</f>
        <v/>
      </c>
      <c r="C8364" s="84">
        <f>'Warranty &amp; Maintenance'!X329</f>
        <v/>
      </c>
      <c r="D8364" s="46">
        <f>'Warranty &amp; Maintenance'!Y329</f>
        <v/>
      </c>
      <c r="E8364" s="46">
        <f>IF(OR(B8364="",C8364="",D8364=""),"",D8364*100000+(C8364-DATE(2000,1,1))+ROW()/100000)</f>
        <v/>
      </c>
      <c r="F8364" s="46">
        <f>IF(E8364="","",IF(C8364&gt;WeekEndDate,"",E8364))</f>
        <v/>
      </c>
    </row>
    <row r="8365">
      <c r="A8365" t="inlineStr">
        <is>
          <t>Warranty &amp; Maintenance</t>
        </is>
      </c>
      <c r="B8365" s="46">
        <f>'Warranty &amp; Maintenance'!Z330</f>
        <v/>
      </c>
      <c r="C8365" s="84">
        <f>'Warranty &amp; Maintenance'!X330</f>
        <v/>
      </c>
      <c r="D8365" s="46">
        <f>'Warranty &amp; Maintenance'!Y330</f>
        <v/>
      </c>
      <c r="E8365" s="46">
        <f>IF(OR(B8365="",C8365="",D8365=""),"",D8365*100000+(C8365-DATE(2000,1,1))+ROW()/100000)</f>
        <v/>
      </c>
      <c r="F8365" s="46">
        <f>IF(E8365="","",IF(C8365&gt;WeekEndDate,"",E8365))</f>
        <v/>
      </c>
    </row>
    <row r="8366">
      <c r="A8366" t="inlineStr">
        <is>
          <t>Warranty &amp; Maintenance</t>
        </is>
      </c>
      <c r="B8366" s="46">
        <f>'Warranty &amp; Maintenance'!Z331</f>
        <v/>
      </c>
      <c r="C8366" s="84">
        <f>'Warranty &amp; Maintenance'!X331</f>
        <v/>
      </c>
      <c r="D8366" s="46">
        <f>'Warranty &amp; Maintenance'!Y331</f>
        <v/>
      </c>
      <c r="E8366" s="46">
        <f>IF(OR(B8366="",C8366="",D8366=""),"",D8366*100000+(C8366-DATE(2000,1,1))+ROW()/100000)</f>
        <v/>
      </c>
      <c r="F8366" s="46">
        <f>IF(E8366="","",IF(C8366&gt;WeekEndDate,"",E8366))</f>
        <v/>
      </c>
    </row>
    <row r="8367">
      <c r="A8367" t="inlineStr">
        <is>
          <t>Warranty &amp; Maintenance</t>
        </is>
      </c>
      <c r="B8367" s="46">
        <f>'Warranty &amp; Maintenance'!Z332</f>
        <v/>
      </c>
      <c r="C8367" s="84">
        <f>'Warranty &amp; Maintenance'!X332</f>
        <v/>
      </c>
      <c r="D8367" s="46">
        <f>'Warranty &amp; Maintenance'!Y332</f>
        <v/>
      </c>
      <c r="E8367" s="46">
        <f>IF(OR(B8367="",C8367="",D8367=""),"",D8367*100000+(C8367-DATE(2000,1,1))+ROW()/100000)</f>
        <v/>
      </c>
      <c r="F8367" s="46">
        <f>IF(E8367="","",IF(C8367&gt;WeekEndDate,"",E8367))</f>
        <v/>
      </c>
    </row>
    <row r="8368">
      <c r="A8368" t="inlineStr">
        <is>
          <t>Warranty &amp; Maintenance</t>
        </is>
      </c>
      <c r="B8368" s="46">
        <f>'Warranty &amp; Maintenance'!Z333</f>
        <v/>
      </c>
      <c r="C8368" s="84">
        <f>'Warranty &amp; Maintenance'!X333</f>
        <v/>
      </c>
      <c r="D8368" s="46">
        <f>'Warranty &amp; Maintenance'!Y333</f>
        <v/>
      </c>
      <c r="E8368" s="46">
        <f>IF(OR(B8368="",C8368="",D8368=""),"",D8368*100000+(C8368-DATE(2000,1,1))+ROW()/100000)</f>
        <v/>
      </c>
      <c r="F8368" s="46">
        <f>IF(E8368="","",IF(C8368&gt;WeekEndDate,"",E8368))</f>
        <v/>
      </c>
    </row>
    <row r="8369">
      <c r="A8369" t="inlineStr">
        <is>
          <t>Warranty &amp; Maintenance</t>
        </is>
      </c>
      <c r="B8369" s="46">
        <f>'Warranty &amp; Maintenance'!Z334</f>
        <v/>
      </c>
      <c r="C8369" s="84">
        <f>'Warranty &amp; Maintenance'!X334</f>
        <v/>
      </c>
      <c r="D8369" s="46">
        <f>'Warranty &amp; Maintenance'!Y334</f>
        <v/>
      </c>
      <c r="E8369" s="46">
        <f>IF(OR(B8369="",C8369="",D8369=""),"",D8369*100000+(C8369-DATE(2000,1,1))+ROW()/100000)</f>
        <v/>
      </c>
      <c r="F8369" s="46">
        <f>IF(E8369="","",IF(C8369&gt;WeekEndDate,"",E8369))</f>
        <v/>
      </c>
    </row>
    <row r="8370">
      <c r="A8370" t="inlineStr">
        <is>
          <t>Warranty &amp; Maintenance</t>
        </is>
      </c>
      <c r="B8370" s="46">
        <f>'Warranty &amp; Maintenance'!Z335</f>
        <v/>
      </c>
      <c r="C8370" s="84">
        <f>'Warranty &amp; Maintenance'!X335</f>
        <v/>
      </c>
      <c r="D8370" s="46">
        <f>'Warranty &amp; Maintenance'!Y335</f>
        <v/>
      </c>
      <c r="E8370" s="46">
        <f>IF(OR(B8370="",C8370="",D8370=""),"",D8370*100000+(C8370-DATE(2000,1,1))+ROW()/100000)</f>
        <v/>
      </c>
      <c r="F8370" s="46">
        <f>IF(E8370="","",IF(C8370&gt;WeekEndDate,"",E8370))</f>
        <v/>
      </c>
    </row>
    <row r="8371">
      <c r="A8371" t="inlineStr">
        <is>
          <t>Warranty &amp; Maintenance</t>
        </is>
      </c>
      <c r="B8371" s="46">
        <f>'Warranty &amp; Maintenance'!Z336</f>
        <v/>
      </c>
      <c r="C8371" s="84">
        <f>'Warranty &amp; Maintenance'!X336</f>
        <v/>
      </c>
      <c r="D8371" s="46">
        <f>'Warranty &amp; Maintenance'!Y336</f>
        <v/>
      </c>
      <c r="E8371" s="46">
        <f>IF(OR(B8371="",C8371="",D8371=""),"",D8371*100000+(C8371-DATE(2000,1,1))+ROW()/100000)</f>
        <v/>
      </c>
      <c r="F8371" s="46">
        <f>IF(E8371="","",IF(C8371&gt;WeekEndDate,"",E8371))</f>
        <v/>
      </c>
    </row>
    <row r="8372">
      <c r="A8372" t="inlineStr">
        <is>
          <t>Warranty &amp; Maintenance</t>
        </is>
      </c>
      <c r="B8372" s="46">
        <f>'Warranty &amp; Maintenance'!Z337</f>
        <v/>
      </c>
      <c r="C8372" s="84">
        <f>'Warranty &amp; Maintenance'!X337</f>
        <v/>
      </c>
      <c r="D8372" s="46">
        <f>'Warranty &amp; Maintenance'!Y337</f>
        <v/>
      </c>
      <c r="E8372" s="46">
        <f>IF(OR(B8372="",C8372="",D8372=""),"",D8372*100000+(C8372-DATE(2000,1,1))+ROW()/100000)</f>
        <v/>
      </c>
      <c r="F8372" s="46">
        <f>IF(E8372="","",IF(C8372&gt;WeekEndDate,"",E8372))</f>
        <v/>
      </c>
    </row>
    <row r="8373">
      <c r="A8373" t="inlineStr">
        <is>
          <t>Warranty &amp; Maintenance</t>
        </is>
      </c>
      <c r="B8373" s="46">
        <f>'Warranty &amp; Maintenance'!Z338</f>
        <v/>
      </c>
      <c r="C8373" s="84">
        <f>'Warranty &amp; Maintenance'!X338</f>
        <v/>
      </c>
      <c r="D8373" s="46">
        <f>'Warranty &amp; Maintenance'!Y338</f>
        <v/>
      </c>
      <c r="E8373" s="46">
        <f>IF(OR(B8373="",C8373="",D8373=""),"",D8373*100000+(C8373-DATE(2000,1,1))+ROW()/100000)</f>
        <v/>
      </c>
      <c r="F8373" s="46">
        <f>IF(E8373="","",IF(C8373&gt;WeekEndDate,"",E8373))</f>
        <v/>
      </c>
    </row>
    <row r="8374">
      <c r="A8374" t="inlineStr">
        <is>
          <t>Warranty &amp; Maintenance</t>
        </is>
      </c>
      <c r="B8374" s="46">
        <f>'Warranty &amp; Maintenance'!Z339</f>
        <v/>
      </c>
      <c r="C8374" s="84">
        <f>'Warranty &amp; Maintenance'!X339</f>
        <v/>
      </c>
      <c r="D8374" s="46">
        <f>'Warranty &amp; Maintenance'!Y339</f>
        <v/>
      </c>
      <c r="E8374" s="46">
        <f>IF(OR(B8374="",C8374="",D8374=""),"",D8374*100000+(C8374-DATE(2000,1,1))+ROW()/100000)</f>
        <v/>
      </c>
      <c r="F8374" s="46">
        <f>IF(E8374="","",IF(C8374&gt;WeekEndDate,"",E8374))</f>
        <v/>
      </c>
    </row>
    <row r="8375">
      <c r="A8375" t="inlineStr">
        <is>
          <t>Warranty &amp; Maintenance</t>
        </is>
      </c>
      <c r="B8375" s="46">
        <f>'Warranty &amp; Maintenance'!Z340</f>
        <v/>
      </c>
      <c r="C8375" s="84">
        <f>'Warranty &amp; Maintenance'!X340</f>
        <v/>
      </c>
      <c r="D8375" s="46">
        <f>'Warranty &amp; Maintenance'!Y340</f>
        <v/>
      </c>
      <c r="E8375" s="46">
        <f>IF(OR(B8375="",C8375="",D8375=""),"",D8375*100000+(C8375-DATE(2000,1,1))+ROW()/100000)</f>
        <v/>
      </c>
      <c r="F8375" s="46">
        <f>IF(E8375="","",IF(C8375&gt;WeekEndDate,"",E8375))</f>
        <v/>
      </c>
    </row>
    <row r="8376">
      <c r="A8376" t="inlineStr">
        <is>
          <t>Warranty &amp; Maintenance</t>
        </is>
      </c>
      <c r="B8376" s="46">
        <f>'Warranty &amp; Maintenance'!Z341</f>
        <v/>
      </c>
      <c r="C8376" s="84">
        <f>'Warranty &amp; Maintenance'!X341</f>
        <v/>
      </c>
      <c r="D8376" s="46">
        <f>'Warranty &amp; Maintenance'!Y341</f>
        <v/>
      </c>
      <c r="E8376" s="46">
        <f>IF(OR(B8376="",C8376="",D8376=""),"",D8376*100000+(C8376-DATE(2000,1,1))+ROW()/100000)</f>
        <v/>
      </c>
      <c r="F8376" s="46">
        <f>IF(E8376="","",IF(C8376&gt;WeekEndDate,"",E8376))</f>
        <v/>
      </c>
    </row>
    <row r="8377">
      <c r="A8377" t="inlineStr">
        <is>
          <t>Warranty &amp; Maintenance</t>
        </is>
      </c>
      <c r="B8377" s="46">
        <f>'Warranty &amp; Maintenance'!Z342</f>
        <v/>
      </c>
      <c r="C8377" s="84">
        <f>'Warranty &amp; Maintenance'!X342</f>
        <v/>
      </c>
      <c r="D8377" s="46">
        <f>'Warranty &amp; Maintenance'!Y342</f>
        <v/>
      </c>
      <c r="E8377" s="46">
        <f>IF(OR(B8377="",C8377="",D8377=""),"",D8377*100000+(C8377-DATE(2000,1,1))+ROW()/100000)</f>
        <v/>
      </c>
      <c r="F8377" s="46">
        <f>IF(E8377="","",IF(C8377&gt;WeekEndDate,"",E8377))</f>
        <v/>
      </c>
    </row>
    <row r="8378">
      <c r="A8378" t="inlineStr">
        <is>
          <t>Warranty &amp; Maintenance</t>
        </is>
      </c>
      <c r="B8378" s="46">
        <f>'Warranty &amp; Maintenance'!Z343</f>
        <v/>
      </c>
      <c r="C8378" s="84">
        <f>'Warranty &amp; Maintenance'!X343</f>
        <v/>
      </c>
      <c r="D8378" s="46">
        <f>'Warranty &amp; Maintenance'!Y343</f>
        <v/>
      </c>
      <c r="E8378" s="46">
        <f>IF(OR(B8378="",C8378="",D8378=""),"",D8378*100000+(C8378-DATE(2000,1,1))+ROW()/100000)</f>
        <v/>
      </c>
      <c r="F8378" s="46">
        <f>IF(E8378="","",IF(C8378&gt;WeekEndDate,"",E8378))</f>
        <v/>
      </c>
    </row>
    <row r="8379">
      <c r="A8379" t="inlineStr">
        <is>
          <t>Warranty &amp; Maintenance</t>
        </is>
      </c>
      <c r="B8379" s="46">
        <f>'Warranty &amp; Maintenance'!Z344</f>
        <v/>
      </c>
      <c r="C8379" s="84">
        <f>'Warranty &amp; Maintenance'!X344</f>
        <v/>
      </c>
      <c r="D8379" s="46">
        <f>'Warranty &amp; Maintenance'!Y344</f>
        <v/>
      </c>
      <c r="E8379" s="46">
        <f>IF(OR(B8379="",C8379="",D8379=""),"",D8379*100000+(C8379-DATE(2000,1,1))+ROW()/100000)</f>
        <v/>
      </c>
      <c r="F8379" s="46">
        <f>IF(E8379="","",IF(C8379&gt;WeekEndDate,"",E8379))</f>
        <v/>
      </c>
    </row>
    <row r="8380">
      <c r="A8380" t="inlineStr">
        <is>
          <t>Warranty &amp; Maintenance</t>
        </is>
      </c>
      <c r="B8380" s="46">
        <f>'Warranty &amp; Maintenance'!Z345</f>
        <v/>
      </c>
      <c r="C8380" s="84">
        <f>'Warranty &amp; Maintenance'!X345</f>
        <v/>
      </c>
      <c r="D8380" s="46">
        <f>'Warranty &amp; Maintenance'!Y345</f>
        <v/>
      </c>
      <c r="E8380" s="46">
        <f>IF(OR(B8380="",C8380="",D8380=""),"",D8380*100000+(C8380-DATE(2000,1,1))+ROW()/100000)</f>
        <v/>
      </c>
      <c r="F8380" s="46">
        <f>IF(E8380="","",IF(C8380&gt;WeekEndDate,"",E8380))</f>
        <v/>
      </c>
    </row>
    <row r="8381">
      <c r="A8381" t="inlineStr">
        <is>
          <t>Warranty &amp; Maintenance</t>
        </is>
      </c>
      <c r="B8381" s="46">
        <f>'Warranty &amp; Maintenance'!Z346</f>
        <v/>
      </c>
      <c r="C8381" s="84">
        <f>'Warranty &amp; Maintenance'!X346</f>
        <v/>
      </c>
      <c r="D8381" s="46">
        <f>'Warranty &amp; Maintenance'!Y346</f>
        <v/>
      </c>
      <c r="E8381" s="46">
        <f>IF(OR(B8381="",C8381="",D8381=""),"",D8381*100000+(C8381-DATE(2000,1,1))+ROW()/100000)</f>
        <v/>
      </c>
      <c r="F8381" s="46">
        <f>IF(E8381="","",IF(C8381&gt;WeekEndDate,"",E8381))</f>
        <v/>
      </c>
    </row>
    <row r="8382">
      <c r="A8382" t="inlineStr">
        <is>
          <t>Warranty &amp; Maintenance</t>
        </is>
      </c>
      <c r="B8382" s="46">
        <f>'Warranty &amp; Maintenance'!Z347</f>
        <v/>
      </c>
      <c r="C8382" s="84">
        <f>'Warranty &amp; Maintenance'!X347</f>
        <v/>
      </c>
      <c r="D8382" s="46">
        <f>'Warranty &amp; Maintenance'!Y347</f>
        <v/>
      </c>
      <c r="E8382" s="46">
        <f>IF(OR(B8382="",C8382="",D8382=""),"",D8382*100000+(C8382-DATE(2000,1,1))+ROW()/100000)</f>
        <v/>
      </c>
      <c r="F8382" s="46">
        <f>IF(E8382="","",IF(C8382&gt;WeekEndDate,"",E8382))</f>
        <v/>
      </c>
    </row>
    <row r="8383">
      <c r="A8383" t="inlineStr">
        <is>
          <t>Warranty &amp; Maintenance</t>
        </is>
      </c>
      <c r="B8383" s="46">
        <f>'Warranty &amp; Maintenance'!Z348</f>
        <v/>
      </c>
      <c r="C8383" s="84">
        <f>'Warranty &amp; Maintenance'!X348</f>
        <v/>
      </c>
      <c r="D8383" s="46">
        <f>'Warranty &amp; Maintenance'!Y348</f>
        <v/>
      </c>
      <c r="E8383" s="46">
        <f>IF(OR(B8383="",C8383="",D8383=""),"",D8383*100000+(C8383-DATE(2000,1,1))+ROW()/100000)</f>
        <v/>
      </c>
      <c r="F8383" s="46">
        <f>IF(E8383="","",IF(C8383&gt;WeekEndDate,"",E8383))</f>
        <v/>
      </c>
    </row>
    <row r="8384">
      <c r="A8384" t="inlineStr">
        <is>
          <t>Warranty &amp; Maintenance</t>
        </is>
      </c>
      <c r="B8384" s="46">
        <f>'Warranty &amp; Maintenance'!Z349</f>
        <v/>
      </c>
      <c r="C8384" s="84">
        <f>'Warranty &amp; Maintenance'!X349</f>
        <v/>
      </c>
      <c r="D8384" s="46">
        <f>'Warranty &amp; Maintenance'!Y349</f>
        <v/>
      </c>
      <c r="E8384" s="46">
        <f>IF(OR(B8384="",C8384="",D8384=""),"",D8384*100000+(C8384-DATE(2000,1,1))+ROW()/100000)</f>
        <v/>
      </c>
      <c r="F8384" s="46">
        <f>IF(E8384="","",IF(C8384&gt;WeekEndDate,"",E8384))</f>
        <v/>
      </c>
    </row>
    <row r="8385">
      <c r="A8385" t="inlineStr">
        <is>
          <t>Warranty &amp; Maintenance</t>
        </is>
      </c>
      <c r="B8385" s="46">
        <f>'Warranty &amp; Maintenance'!Z350</f>
        <v/>
      </c>
      <c r="C8385" s="84">
        <f>'Warranty &amp; Maintenance'!X350</f>
        <v/>
      </c>
      <c r="D8385" s="46">
        <f>'Warranty &amp; Maintenance'!Y350</f>
        <v/>
      </c>
      <c r="E8385" s="46">
        <f>IF(OR(B8385="",C8385="",D8385=""),"",D8385*100000+(C8385-DATE(2000,1,1))+ROW()/100000)</f>
        <v/>
      </c>
      <c r="F8385" s="46">
        <f>IF(E8385="","",IF(C8385&gt;WeekEndDate,"",E8385))</f>
        <v/>
      </c>
    </row>
    <row r="8386">
      <c r="A8386" t="inlineStr">
        <is>
          <t>Warranty &amp; Maintenance</t>
        </is>
      </c>
      <c r="B8386" s="46">
        <f>'Warranty &amp; Maintenance'!Z351</f>
        <v/>
      </c>
      <c r="C8386" s="84">
        <f>'Warranty &amp; Maintenance'!X351</f>
        <v/>
      </c>
      <c r="D8386" s="46">
        <f>'Warranty &amp; Maintenance'!Y351</f>
        <v/>
      </c>
      <c r="E8386" s="46">
        <f>IF(OR(B8386="",C8386="",D8386=""),"",D8386*100000+(C8386-DATE(2000,1,1))+ROW()/100000)</f>
        <v/>
      </c>
      <c r="F8386" s="46">
        <f>IF(E8386="","",IF(C8386&gt;WeekEndDate,"",E8386))</f>
        <v/>
      </c>
    </row>
    <row r="8387">
      <c r="A8387" t="inlineStr">
        <is>
          <t>Warranty &amp; Maintenance</t>
        </is>
      </c>
      <c r="B8387" s="46">
        <f>'Warranty &amp; Maintenance'!Z352</f>
        <v/>
      </c>
      <c r="C8387" s="84">
        <f>'Warranty &amp; Maintenance'!X352</f>
        <v/>
      </c>
      <c r="D8387" s="46">
        <f>'Warranty &amp; Maintenance'!Y352</f>
        <v/>
      </c>
      <c r="E8387" s="46">
        <f>IF(OR(B8387="",C8387="",D8387=""),"",D8387*100000+(C8387-DATE(2000,1,1))+ROW()/100000)</f>
        <v/>
      </c>
      <c r="F8387" s="46">
        <f>IF(E8387="","",IF(C8387&gt;WeekEndDate,"",E8387))</f>
        <v/>
      </c>
    </row>
    <row r="8388">
      <c r="A8388" t="inlineStr">
        <is>
          <t>Warranty &amp; Maintenance</t>
        </is>
      </c>
      <c r="B8388" s="46">
        <f>'Warranty &amp; Maintenance'!Z353</f>
        <v/>
      </c>
      <c r="C8388" s="84">
        <f>'Warranty &amp; Maintenance'!X353</f>
        <v/>
      </c>
      <c r="D8388" s="46">
        <f>'Warranty &amp; Maintenance'!Y353</f>
        <v/>
      </c>
      <c r="E8388" s="46">
        <f>IF(OR(B8388="",C8388="",D8388=""),"",D8388*100000+(C8388-DATE(2000,1,1))+ROW()/100000)</f>
        <v/>
      </c>
      <c r="F8388" s="46">
        <f>IF(E8388="","",IF(C8388&gt;WeekEndDate,"",E8388))</f>
        <v/>
      </c>
    </row>
    <row r="8389">
      <c r="A8389" t="inlineStr">
        <is>
          <t>Warranty &amp; Maintenance</t>
        </is>
      </c>
      <c r="B8389" s="46">
        <f>'Warranty &amp; Maintenance'!Z354</f>
        <v/>
      </c>
      <c r="C8389" s="84">
        <f>'Warranty &amp; Maintenance'!X354</f>
        <v/>
      </c>
      <c r="D8389" s="46">
        <f>'Warranty &amp; Maintenance'!Y354</f>
        <v/>
      </c>
      <c r="E8389" s="46">
        <f>IF(OR(B8389="",C8389="",D8389=""),"",D8389*100000+(C8389-DATE(2000,1,1))+ROW()/100000)</f>
        <v/>
      </c>
      <c r="F8389" s="46">
        <f>IF(E8389="","",IF(C8389&gt;WeekEndDate,"",E8389))</f>
        <v/>
      </c>
    </row>
    <row r="8390">
      <c r="A8390" t="inlineStr">
        <is>
          <t>Warranty &amp; Maintenance</t>
        </is>
      </c>
      <c r="B8390" s="46">
        <f>'Warranty &amp; Maintenance'!Z355</f>
        <v/>
      </c>
      <c r="C8390" s="84">
        <f>'Warranty &amp; Maintenance'!X355</f>
        <v/>
      </c>
      <c r="D8390" s="46">
        <f>'Warranty &amp; Maintenance'!Y355</f>
        <v/>
      </c>
      <c r="E8390" s="46">
        <f>IF(OR(B8390="",C8390="",D8390=""),"",D8390*100000+(C8390-DATE(2000,1,1))+ROW()/100000)</f>
        <v/>
      </c>
      <c r="F8390" s="46">
        <f>IF(E8390="","",IF(C8390&gt;WeekEndDate,"",E8390))</f>
        <v/>
      </c>
    </row>
    <row r="8391">
      <c r="A8391" t="inlineStr">
        <is>
          <t>Warranty &amp; Maintenance</t>
        </is>
      </c>
      <c r="B8391" s="46">
        <f>'Warranty &amp; Maintenance'!Z356</f>
        <v/>
      </c>
      <c r="C8391" s="84">
        <f>'Warranty &amp; Maintenance'!X356</f>
        <v/>
      </c>
      <c r="D8391" s="46">
        <f>'Warranty &amp; Maintenance'!Y356</f>
        <v/>
      </c>
      <c r="E8391" s="46">
        <f>IF(OR(B8391="",C8391="",D8391=""),"",D8391*100000+(C8391-DATE(2000,1,1))+ROW()/100000)</f>
        <v/>
      </c>
      <c r="F8391" s="46">
        <f>IF(E8391="","",IF(C8391&gt;WeekEndDate,"",E8391))</f>
        <v/>
      </c>
    </row>
    <row r="8392">
      <c r="A8392" t="inlineStr">
        <is>
          <t>Warranty &amp; Maintenance</t>
        </is>
      </c>
      <c r="B8392" s="46">
        <f>'Warranty &amp; Maintenance'!Z357</f>
        <v/>
      </c>
      <c r="C8392" s="84">
        <f>'Warranty &amp; Maintenance'!X357</f>
        <v/>
      </c>
      <c r="D8392" s="46">
        <f>'Warranty &amp; Maintenance'!Y357</f>
        <v/>
      </c>
      <c r="E8392" s="46">
        <f>IF(OR(B8392="",C8392="",D8392=""),"",D8392*100000+(C8392-DATE(2000,1,1))+ROW()/100000)</f>
        <v/>
      </c>
      <c r="F8392" s="46">
        <f>IF(E8392="","",IF(C8392&gt;WeekEndDate,"",E8392))</f>
        <v/>
      </c>
    </row>
    <row r="8393">
      <c r="A8393" t="inlineStr">
        <is>
          <t>Warranty &amp; Maintenance</t>
        </is>
      </c>
      <c r="B8393" s="46">
        <f>'Warranty &amp; Maintenance'!Z358</f>
        <v/>
      </c>
      <c r="C8393" s="84">
        <f>'Warranty &amp; Maintenance'!X358</f>
        <v/>
      </c>
      <c r="D8393" s="46">
        <f>'Warranty &amp; Maintenance'!Y358</f>
        <v/>
      </c>
      <c r="E8393" s="46">
        <f>IF(OR(B8393="",C8393="",D8393=""),"",D8393*100000+(C8393-DATE(2000,1,1))+ROW()/100000)</f>
        <v/>
      </c>
      <c r="F8393" s="46">
        <f>IF(E8393="","",IF(C8393&gt;WeekEndDate,"",E8393))</f>
        <v/>
      </c>
    </row>
    <row r="8394">
      <c r="A8394" t="inlineStr">
        <is>
          <t>Warranty &amp; Maintenance</t>
        </is>
      </c>
      <c r="B8394" s="46">
        <f>'Warranty &amp; Maintenance'!Z359</f>
        <v/>
      </c>
      <c r="C8394" s="84">
        <f>'Warranty &amp; Maintenance'!X359</f>
        <v/>
      </c>
      <c r="D8394" s="46">
        <f>'Warranty &amp; Maintenance'!Y359</f>
        <v/>
      </c>
      <c r="E8394" s="46">
        <f>IF(OR(B8394="",C8394="",D8394=""),"",D8394*100000+(C8394-DATE(2000,1,1))+ROW()/100000)</f>
        <v/>
      </c>
      <c r="F8394" s="46">
        <f>IF(E8394="","",IF(C8394&gt;WeekEndDate,"",E8394))</f>
        <v/>
      </c>
    </row>
    <row r="8395">
      <c r="A8395" t="inlineStr">
        <is>
          <t>Warranty &amp; Maintenance</t>
        </is>
      </c>
      <c r="B8395" s="46">
        <f>'Warranty &amp; Maintenance'!Z360</f>
        <v/>
      </c>
      <c r="C8395" s="84">
        <f>'Warranty &amp; Maintenance'!X360</f>
        <v/>
      </c>
      <c r="D8395" s="46">
        <f>'Warranty &amp; Maintenance'!Y360</f>
        <v/>
      </c>
      <c r="E8395" s="46">
        <f>IF(OR(B8395="",C8395="",D8395=""),"",D8395*100000+(C8395-DATE(2000,1,1))+ROW()/100000)</f>
        <v/>
      </c>
      <c r="F8395" s="46">
        <f>IF(E8395="","",IF(C8395&gt;WeekEndDate,"",E8395))</f>
        <v/>
      </c>
    </row>
    <row r="8396">
      <c r="A8396" t="inlineStr">
        <is>
          <t>Warranty &amp; Maintenance</t>
        </is>
      </c>
      <c r="B8396" s="46">
        <f>'Warranty &amp; Maintenance'!Z361</f>
        <v/>
      </c>
      <c r="C8396" s="84">
        <f>'Warranty &amp; Maintenance'!X361</f>
        <v/>
      </c>
      <c r="D8396" s="46">
        <f>'Warranty &amp; Maintenance'!Y361</f>
        <v/>
      </c>
      <c r="E8396" s="46">
        <f>IF(OR(B8396="",C8396="",D8396=""),"",D8396*100000+(C8396-DATE(2000,1,1))+ROW()/100000)</f>
        <v/>
      </c>
      <c r="F8396" s="46">
        <f>IF(E8396="","",IF(C8396&gt;WeekEndDate,"",E8396))</f>
        <v/>
      </c>
    </row>
    <row r="8397">
      <c r="A8397" t="inlineStr">
        <is>
          <t>Warranty &amp; Maintenance</t>
        </is>
      </c>
      <c r="B8397" s="46">
        <f>'Warranty &amp; Maintenance'!Z362</f>
        <v/>
      </c>
      <c r="C8397" s="84">
        <f>'Warranty &amp; Maintenance'!X362</f>
        <v/>
      </c>
      <c r="D8397" s="46">
        <f>'Warranty &amp; Maintenance'!Y362</f>
        <v/>
      </c>
      <c r="E8397" s="46">
        <f>IF(OR(B8397="",C8397="",D8397=""),"",D8397*100000+(C8397-DATE(2000,1,1))+ROW()/100000)</f>
        <v/>
      </c>
      <c r="F8397" s="46">
        <f>IF(E8397="","",IF(C8397&gt;WeekEndDate,"",E8397))</f>
        <v/>
      </c>
    </row>
    <row r="8398">
      <c r="A8398" t="inlineStr">
        <is>
          <t>Warranty &amp; Maintenance</t>
        </is>
      </c>
      <c r="B8398" s="46">
        <f>'Warranty &amp; Maintenance'!Z363</f>
        <v/>
      </c>
      <c r="C8398" s="84">
        <f>'Warranty &amp; Maintenance'!X363</f>
        <v/>
      </c>
      <c r="D8398" s="46">
        <f>'Warranty &amp; Maintenance'!Y363</f>
        <v/>
      </c>
      <c r="E8398" s="46">
        <f>IF(OR(B8398="",C8398="",D8398=""),"",D8398*100000+(C8398-DATE(2000,1,1))+ROW()/100000)</f>
        <v/>
      </c>
      <c r="F8398" s="46">
        <f>IF(E8398="","",IF(C8398&gt;WeekEndDate,"",E8398))</f>
        <v/>
      </c>
    </row>
    <row r="8399">
      <c r="A8399" t="inlineStr">
        <is>
          <t>Warranty &amp; Maintenance</t>
        </is>
      </c>
      <c r="B8399" s="46">
        <f>'Warranty &amp; Maintenance'!Z364</f>
        <v/>
      </c>
      <c r="C8399" s="84">
        <f>'Warranty &amp; Maintenance'!X364</f>
        <v/>
      </c>
      <c r="D8399" s="46">
        <f>'Warranty &amp; Maintenance'!Y364</f>
        <v/>
      </c>
      <c r="E8399" s="46">
        <f>IF(OR(B8399="",C8399="",D8399=""),"",D8399*100000+(C8399-DATE(2000,1,1))+ROW()/100000)</f>
        <v/>
      </c>
      <c r="F8399" s="46">
        <f>IF(E8399="","",IF(C8399&gt;WeekEndDate,"",E8399))</f>
        <v/>
      </c>
    </row>
    <row r="8400">
      <c r="A8400" t="inlineStr">
        <is>
          <t>Warranty &amp; Maintenance</t>
        </is>
      </c>
      <c r="B8400" s="46">
        <f>'Warranty &amp; Maintenance'!Z365</f>
        <v/>
      </c>
      <c r="C8400" s="84">
        <f>'Warranty &amp; Maintenance'!X365</f>
        <v/>
      </c>
      <c r="D8400" s="46">
        <f>'Warranty &amp; Maintenance'!Y365</f>
        <v/>
      </c>
      <c r="E8400" s="46">
        <f>IF(OR(B8400="",C8400="",D8400=""),"",D8400*100000+(C8400-DATE(2000,1,1))+ROW()/100000)</f>
        <v/>
      </c>
      <c r="F8400" s="46">
        <f>IF(E8400="","",IF(C8400&gt;WeekEndDate,"",E8400))</f>
        <v/>
      </c>
    </row>
    <row r="8401">
      <c r="A8401" t="inlineStr">
        <is>
          <t>Warranty &amp; Maintenance</t>
        </is>
      </c>
      <c r="B8401" s="46">
        <f>'Warranty &amp; Maintenance'!Z366</f>
        <v/>
      </c>
      <c r="C8401" s="84">
        <f>'Warranty &amp; Maintenance'!X366</f>
        <v/>
      </c>
      <c r="D8401" s="46">
        <f>'Warranty &amp; Maintenance'!Y366</f>
        <v/>
      </c>
      <c r="E8401" s="46">
        <f>IF(OR(B8401="",C8401="",D8401=""),"",D8401*100000+(C8401-DATE(2000,1,1))+ROW()/100000)</f>
        <v/>
      </c>
      <c r="F8401" s="46">
        <f>IF(E8401="","",IF(C8401&gt;WeekEndDate,"",E8401))</f>
        <v/>
      </c>
    </row>
    <row r="8402">
      <c r="A8402" t="inlineStr">
        <is>
          <t>Warranty &amp; Maintenance</t>
        </is>
      </c>
      <c r="B8402" s="46">
        <f>'Warranty &amp; Maintenance'!Z367</f>
        <v/>
      </c>
      <c r="C8402" s="84">
        <f>'Warranty &amp; Maintenance'!X367</f>
        <v/>
      </c>
      <c r="D8402" s="46">
        <f>'Warranty &amp; Maintenance'!Y367</f>
        <v/>
      </c>
      <c r="E8402" s="46">
        <f>IF(OR(B8402="",C8402="",D8402=""),"",D8402*100000+(C8402-DATE(2000,1,1))+ROW()/100000)</f>
        <v/>
      </c>
      <c r="F8402" s="46">
        <f>IF(E8402="","",IF(C8402&gt;WeekEndDate,"",E8402))</f>
        <v/>
      </c>
    </row>
    <row r="8403">
      <c r="A8403" t="inlineStr">
        <is>
          <t>Warranty &amp; Maintenance</t>
        </is>
      </c>
      <c r="B8403" s="46">
        <f>'Warranty &amp; Maintenance'!Z368</f>
        <v/>
      </c>
      <c r="C8403" s="84">
        <f>'Warranty &amp; Maintenance'!X368</f>
        <v/>
      </c>
      <c r="D8403" s="46">
        <f>'Warranty &amp; Maintenance'!Y368</f>
        <v/>
      </c>
      <c r="E8403" s="46">
        <f>IF(OR(B8403="",C8403="",D8403=""),"",D8403*100000+(C8403-DATE(2000,1,1))+ROW()/100000)</f>
        <v/>
      </c>
      <c r="F8403" s="46">
        <f>IF(E8403="","",IF(C8403&gt;WeekEndDate,"",E8403))</f>
        <v/>
      </c>
    </row>
    <row r="8404">
      <c r="A8404" t="inlineStr">
        <is>
          <t>Warranty &amp; Maintenance</t>
        </is>
      </c>
      <c r="B8404" s="46">
        <f>'Warranty &amp; Maintenance'!Z369</f>
        <v/>
      </c>
      <c r="C8404" s="84">
        <f>'Warranty &amp; Maintenance'!X369</f>
        <v/>
      </c>
      <c r="D8404" s="46">
        <f>'Warranty &amp; Maintenance'!Y369</f>
        <v/>
      </c>
      <c r="E8404" s="46">
        <f>IF(OR(B8404="",C8404="",D8404=""),"",D8404*100000+(C8404-DATE(2000,1,1))+ROW()/100000)</f>
        <v/>
      </c>
      <c r="F8404" s="46">
        <f>IF(E8404="","",IF(C8404&gt;WeekEndDate,"",E8404))</f>
        <v/>
      </c>
    </row>
    <row r="8405">
      <c r="A8405" t="inlineStr">
        <is>
          <t>Warranty &amp; Maintenance</t>
        </is>
      </c>
      <c r="B8405" s="46">
        <f>'Warranty &amp; Maintenance'!Z370</f>
        <v/>
      </c>
      <c r="C8405" s="84">
        <f>'Warranty &amp; Maintenance'!X370</f>
        <v/>
      </c>
      <c r="D8405" s="46">
        <f>'Warranty &amp; Maintenance'!Y370</f>
        <v/>
      </c>
      <c r="E8405" s="46">
        <f>IF(OR(B8405="",C8405="",D8405=""),"",D8405*100000+(C8405-DATE(2000,1,1))+ROW()/100000)</f>
        <v/>
      </c>
      <c r="F8405" s="46">
        <f>IF(E8405="","",IF(C8405&gt;WeekEndDate,"",E8405))</f>
        <v/>
      </c>
    </row>
    <row r="8406">
      <c r="A8406" t="inlineStr">
        <is>
          <t>Warranty &amp; Maintenance</t>
        </is>
      </c>
      <c r="B8406" s="46">
        <f>'Warranty &amp; Maintenance'!Z371</f>
        <v/>
      </c>
      <c r="C8406" s="84">
        <f>'Warranty &amp; Maintenance'!X371</f>
        <v/>
      </c>
      <c r="D8406" s="46">
        <f>'Warranty &amp; Maintenance'!Y371</f>
        <v/>
      </c>
      <c r="E8406" s="46">
        <f>IF(OR(B8406="",C8406="",D8406=""),"",D8406*100000+(C8406-DATE(2000,1,1))+ROW()/100000)</f>
        <v/>
      </c>
      <c r="F8406" s="46">
        <f>IF(E8406="","",IF(C8406&gt;WeekEndDate,"",E8406))</f>
        <v/>
      </c>
    </row>
    <row r="8407">
      <c r="A8407" t="inlineStr">
        <is>
          <t>Warranty &amp; Maintenance</t>
        </is>
      </c>
      <c r="B8407" s="46">
        <f>'Warranty &amp; Maintenance'!Z372</f>
        <v/>
      </c>
      <c r="C8407" s="84">
        <f>'Warranty &amp; Maintenance'!X372</f>
        <v/>
      </c>
      <c r="D8407" s="46">
        <f>'Warranty &amp; Maintenance'!Y372</f>
        <v/>
      </c>
      <c r="E8407" s="46">
        <f>IF(OR(B8407="",C8407="",D8407=""),"",D8407*100000+(C8407-DATE(2000,1,1))+ROW()/100000)</f>
        <v/>
      </c>
      <c r="F8407" s="46">
        <f>IF(E8407="","",IF(C8407&gt;WeekEndDate,"",E8407))</f>
        <v/>
      </c>
    </row>
    <row r="8408">
      <c r="A8408" t="inlineStr">
        <is>
          <t>Warranty &amp; Maintenance</t>
        </is>
      </c>
      <c r="B8408" s="46">
        <f>'Warranty &amp; Maintenance'!Z373</f>
        <v/>
      </c>
      <c r="C8408" s="84">
        <f>'Warranty &amp; Maintenance'!X373</f>
        <v/>
      </c>
      <c r="D8408" s="46">
        <f>'Warranty &amp; Maintenance'!Y373</f>
        <v/>
      </c>
      <c r="E8408" s="46">
        <f>IF(OR(B8408="",C8408="",D8408=""),"",D8408*100000+(C8408-DATE(2000,1,1))+ROW()/100000)</f>
        <v/>
      </c>
      <c r="F8408" s="46">
        <f>IF(E8408="","",IF(C8408&gt;WeekEndDate,"",E8408))</f>
        <v/>
      </c>
    </row>
    <row r="8409">
      <c r="A8409" t="inlineStr">
        <is>
          <t>Warranty &amp; Maintenance</t>
        </is>
      </c>
      <c r="B8409" s="46">
        <f>'Warranty &amp; Maintenance'!Z374</f>
        <v/>
      </c>
      <c r="C8409" s="84">
        <f>'Warranty &amp; Maintenance'!X374</f>
        <v/>
      </c>
      <c r="D8409" s="46">
        <f>'Warranty &amp; Maintenance'!Y374</f>
        <v/>
      </c>
      <c r="E8409" s="46">
        <f>IF(OR(B8409="",C8409="",D8409=""),"",D8409*100000+(C8409-DATE(2000,1,1))+ROW()/100000)</f>
        <v/>
      </c>
      <c r="F8409" s="46">
        <f>IF(E8409="","",IF(C8409&gt;WeekEndDate,"",E8409))</f>
        <v/>
      </c>
    </row>
    <row r="8410">
      <c r="A8410" t="inlineStr">
        <is>
          <t>Warranty &amp; Maintenance</t>
        </is>
      </c>
      <c r="B8410" s="46">
        <f>'Warranty &amp; Maintenance'!Z375</f>
        <v/>
      </c>
      <c r="C8410" s="84">
        <f>'Warranty &amp; Maintenance'!X375</f>
        <v/>
      </c>
      <c r="D8410" s="46">
        <f>'Warranty &amp; Maintenance'!Y375</f>
        <v/>
      </c>
      <c r="E8410" s="46">
        <f>IF(OR(B8410="",C8410="",D8410=""),"",D8410*100000+(C8410-DATE(2000,1,1))+ROW()/100000)</f>
        <v/>
      </c>
      <c r="F8410" s="46">
        <f>IF(E8410="","",IF(C8410&gt;WeekEndDate,"",E8410))</f>
        <v/>
      </c>
    </row>
    <row r="8411">
      <c r="A8411" t="inlineStr">
        <is>
          <t>Warranty &amp; Maintenance</t>
        </is>
      </c>
      <c r="B8411" s="46">
        <f>'Warranty &amp; Maintenance'!Z376</f>
        <v/>
      </c>
      <c r="C8411" s="84">
        <f>'Warranty &amp; Maintenance'!X376</f>
        <v/>
      </c>
      <c r="D8411" s="46">
        <f>'Warranty &amp; Maintenance'!Y376</f>
        <v/>
      </c>
      <c r="E8411" s="46">
        <f>IF(OR(B8411="",C8411="",D8411=""),"",D8411*100000+(C8411-DATE(2000,1,1))+ROW()/100000)</f>
        <v/>
      </c>
      <c r="F8411" s="46">
        <f>IF(E8411="","",IF(C8411&gt;WeekEndDate,"",E8411))</f>
        <v/>
      </c>
    </row>
    <row r="8412">
      <c r="A8412" t="inlineStr">
        <is>
          <t>Warranty &amp; Maintenance</t>
        </is>
      </c>
      <c r="B8412" s="46">
        <f>'Warranty &amp; Maintenance'!Z377</f>
        <v/>
      </c>
      <c r="C8412" s="84">
        <f>'Warranty &amp; Maintenance'!X377</f>
        <v/>
      </c>
      <c r="D8412" s="46">
        <f>'Warranty &amp; Maintenance'!Y377</f>
        <v/>
      </c>
      <c r="E8412" s="46">
        <f>IF(OR(B8412="",C8412="",D8412=""),"",D8412*100000+(C8412-DATE(2000,1,1))+ROW()/100000)</f>
        <v/>
      </c>
      <c r="F8412" s="46">
        <f>IF(E8412="","",IF(C8412&gt;WeekEndDate,"",E8412))</f>
        <v/>
      </c>
    </row>
    <row r="8413">
      <c r="A8413" t="inlineStr">
        <is>
          <t>Warranty &amp; Maintenance</t>
        </is>
      </c>
      <c r="B8413" s="46">
        <f>'Warranty &amp; Maintenance'!Z378</f>
        <v/>
      </c>
      <c r="C8413" s="84">
        <f>'Warranty &amp; Maintenance'!X378</f>
        <v/>
      </c>
      <c r="D8413" s="46">
        <f>'Warranty &amp; Maintenance'!Y378</f>
        <v/>
      </c>
      <c r="E8413" s="46">
        <f>IF(OR(B8413="",C8413="",D8413=""),"",D8413*100000+(C8413-DATE(2000,1,1))+ROW()/100000)</f>
        <v/>
      </c>
      <c r="F8413" s="46">
        <f>IF(E8413="","",IF(C8413&gt;WeekEndDate,"",E8413))</f>
        <v/>
      </c>
    </row>
    <row r="8414">
      <c r="A8414" t="inlineStr">
        <is>
          <t>Warranty &amp; Maintenance</t>
        </is>
      </c>
      <c r="B8414" s="46">
        <f>'Warranty &amp; Maintenance'!Z379</f>
        <v/>
      </c>
      <c r="C8414" s="84">
        <f>'Warranty &amp; Maintenance'!X379</f>
        <v/>
      </c>
      <c r="D8414" s="46">
        <f>'Warranty &amp; Maintenance'!Y379</f>
        <v/>
      </c>
      <c r="E8414" s="46">
        <f>IF(OR(B8414="",C8414="",D8414=""),"",D8414*100000+(C8414-DATE(2000,1,1))+ROW()/100000)</f>
        <v/>
      </c>
      <c r="F8414" s="46">
        <f>IF(E8414="","",IF(C8414&gt;WeekEndDate,"",E8414))</f>
        <v/>
      </c>
    </row>
    <row r="8415">
      <c r="A8415" t="inlineStr">
        <is>
          <t>Warranty &amp; Maintenance</t>
        </is>
      </c>
      <c r="B8415" s="46">
        <f>'Warranty &amp; Maintenance'!Z380</f>
        <v/>
      </c>
      <c r="C8415" s="84">
        <f>'Warranty &amp; Maintenance'!X380</f>
        <v/>
      </c>
      <c r="D8415" s="46">
        <f>'Warranty &amp; Maintenance'!Y380</f>
        <v/>
      </c>
      <c r="E8415" s="46">
        <f>IF(OR(B8415="",C8415="",D8415=""),"",D8415*100000+(C8415-DATE(2000,1,1))+ROW()/100000)</f>
        <v/>
      </c>
      <c r="F8415" s="46">
        <f>IF(E8415="","",IF(C8415&gt;WeekEndDate,"",E8415))</f>
        <v/>
      </c>
    </row>
    <row r="8416">
      <c r="A8416" t="inlineStr">
        <is>
          <t>Warranty &amp; Maintenance</t>
        </is>
      </c>
      <c r="B8416" s="46">
        <f>'Warranty &amp; Maintenance'!Z381</f>
        <v/>
      </c>
      <c r="C8416" s="84">
        <f>'Warranty &amp; Maintenance'!X381</f>
        <v/>
      </c>
      <c r="D8416" s="46">
        <f>'Warranty &amp; Maintenance'!Y381</f>
        <v/>
      </c>
      <c r="E8416" s="46">
        <f>IF(OR(B8416="",C8416="",D8416=""),"",D8416*100000+(C8416-DATE(2000,1,1))+ROW()/100000)</f>
        <v/>
      </c>
      <c r="F8416" s="46">
        <f>IF(E8416="","",IF(C8416&gt;WeekEndDate,"",E8416))</f>
        <v/>
      </c>
    </row>
    <row r="8417">
      <c r="A8417" t="inlineStr">
        <is>
          <t>Warranty &amp; Maintenance</t>
        </is>
      </c>
      <c r="B8417" s="46">
        <f>'Warranty &amp; Maintenance'!Z382</f>
        <v/>
      </c>
      <c r="C8417" s="84">
        <f>'Warranty &amp; Maintenance'!X382</f>
        <v/>
      </c>
      <c r="D8417" s="46">
        <f>'Warranty &amp; Maintenance'!Y382</f>
        <v/>
      </c>
      <c r="E8417" s="46">
        <f>IF(OR(B8417="",C8417="",D8417=""),"",D8417*100000+(C8417-DATE(2000,1,1))+ROW()/100000)</f>
        <v/>
      </c>
      <c r="F8417" s="46">
        <f>IF(E8417="","",IF(C8417&gt;WeekEndDate,"",E8417))</f>
        <v/>
      </c>
    </row>
    <row r="8418">
      <c r="A8418" t="inlineStr">
        <is>
          <t>Warranty &amp; Maintenance</t>
        </is>
      </c>
      <c r="B8418" s="46">
        <f>'Warranty &amp; Maintenance'!Z383</f>
        <v/>
      </c>
      <c r="C8418" s="84">
        <f>'Warranty &amp; Maintenance'!X383</f>
        <v/>
      </c>
      <c r="D8418" s="46">
        <f>'Warranty &amp; Maintenance'!Y383</f>
        <v/>
      </c>
      <c r="E8418" s="46">
        <f>IF(OR(B8418="",C8418="",D8418=""),"",D8418*100000+(C8418-DATE(2000,1,1))+ROW()/100000)</f>
        <v/>
      </c>
      <c r="F8418" s="46">
        <f>IF(E8418="","",IF(C8418&gt;WeekEndDate,"",E8418))</f>
        <v/>
      </c>
    </row>
    <row r="8419">
      <c r="A8419" t="inlineStr">
        <is>
          <t>Warranty &amp; Maintenance</t>
        </is>
      </c>
      <c r="B8419" s="46">
        <f>'Warranty &amp; Maintenance'!Z384</f>
        <v/>
      </c>
      <c r="C8419" s="84">
        <f>'Warranty &amp; Maintenance'!X384</f>
        <v/>
      </c>
      <c r="D8419" s="46">
        <f>'Warranty &amp; Maintenance'!Y384</f>
        <v/>
      </c>
      <c r="E8419" s="46">
        <f>IF(OR(B8419="",C8419="",D8419=""),"",D8419*100000+(C8419-DATE(2000,1,1))+ROW()/100000)</f>
        <v/>
      </c>
      <c r="F8419" s="46">
        <f>IF(E8419="","",IF(C8419&gt;WeekEndDate,"",E8419))</f>
        <v/>
      </c>
    </row>
    <row r="8420">
      <c r="A8420" t="inlineStr">
        <is>
          <t>Warranty &amp; Maintenance</t>
        </is>
      </c>
      <c r="B8420" s="46">
        <f>'Warranty &amp; Maintenance'!Z385</f>
        <v/>
      </c>
      <c r="C8420" s="84">
        <f>'Warranty &amp; Maintenance'!X385</f>
        <v/>
      </c>
      <c r="D8420" s="46">
        <f>'Warranty &amp; Maintenance'!Y385</f>
        <v/>
      </c>
      <c r="E8420" s="46">
        <f>IF(OR(B8420="",C8420="",D8420=""),"",D8420*100000+(C8420-DATE(2000,1,1))+ROW()/100000)</f>
        <v/>
      </c>
      <c r="F8420" s="46">
        <f>IF(E8420="","",IF(C8420&gt;WeekEndDate,"",E8420))</f>
        <v/>
      </c>
    </row>
    <row r="8421">
      <c r="A8421" t="inlineStr">
        <is>
          <t>Warranty &amp; Maintenance</t>
        </is>
      </c>
      <c r="B8421" s="46">
        <f>'Warranty &amp; Maintenance'!Z386</f>
        <v/>
      </c>
      <c r="C8421" s="84">
        <f>'Warranty &amp; Maintenance'!X386</f>
        <v/>
      </c>
      <c r="D8421" s="46">
        <f>'Warranty &amp; Maintenance'!Y386</f>
        <v/>
      </c>
      <c r="E8421" s="46">
        <f>IF(OR(B8421="",C8421="",D8421=""),"",D8421*100000+(C8421-DATE(2000,1,1))+ROW()/100000)</f>
        <v/>
      </c>
      <c r="F8421" s="46">
        <f>IF(E8421="","",IF(C8421&gt;WeekEndDate,"",E8421))</f>
        <v/>
      </c>
    </row>
    <row r="8422">
      <c r="A8422" t="inlineStr">
        <is>
          <t>Warranty &amp; Maintenance</t>
        </is>
      </c>
      <c r="B8422" s="46">
        <f>'Warranty &amp; Maintenance'!Z387</f>
        <v/>
      </c>
      <c r="C8422" s="84">
        <f>'Warranty &amp; Maintenance'!X387</f>
        <v/>
      </c>
      <c r="D8422" s="46">
        <f>'Warranty &amp; Maintenance'!Y387</f>
        <v/>
      </c>
      <c r="E8422" s="46">
        <f>IF(OR(B8422="",C8422="",D8422=""),"",D8422*100000+(C8422-DATE(2000,1,1))+ROW()/100000)</f>
        <v/>
      </c>
      <c r="F8422" s="46">
        <f>IF(E8422="","",IF(C8422&gt;WeekEndDate,"",E8422))</f>
        <v/>
      </c>
    </row>
    <row r="8423">
      <c r="A8423" t="inlineStr">
        <is>
          <t>Warranty &amp; Maintenance</t>
        </is>
      </c>
      <c r="B8423" s="46">
        <f>'Warranty &amp; Maintenance'!Z388</f>
        <v/>
      </c>
      <c r="C8423" s="84">
        <f>'Warranty &amp; Maintenance'!X388</f>
        <v/>
      </c>
      <c r="D8423" s="46">
        <f>'Warranty &amp; Maintenance'!Y388</f>
        <v/>
      </c>
      <c r="E8423" s="46">
        <f>IF(OR(B8423="",C8423="",D8423=""),"",D8423*100000+(C8423-DATE(2000,1,1))+ROW()/100000)</f>
        <v/>
      </c>
      <c r="F8423" s="46">
        <f>IF(E8423="","",IF(C8423&gt;WeekEndDate,"",E8423))</f>
        <v/>
      </c>
    </row>
    <row r="8424">
      <c r="A8424" t="inlineStr">
        <is>
          <t>Warranty &amp; Maintenance</t>
        </is>
      </c>
      <c r="B8424" s="46">
        <f>'Warranty &amp; Maintenance'!Z389</f>
        <v/>
      </c>
      <c r="C8424" s="84">
        <f>'Warranty &amp; Maintenance'!X389</f>
        <v/>
      </c>
      <c r="D8424" s="46">
        <f>'Warranty &amp; Maintenance'!Y389</f>
        <v/>
      </c>
      <c r="E8424" s="46">
        <f>IF(OR(B8424="",C8424="",D8424=""),"",D8424*100000+(C8424-DATE(2000,1,1))+ROW()/100000)</f>
        <v/>
      </c>
      <c r="F8424" s="46">
        <f>IF(E8424="","",IF(C8424&gt;WeekEndDate,"",E8424))</f>
        <v/>
      </c>
    </row>
    <row r="8425">
      <c r="A8425" t="inlineStr">
        <is>
          <t>Warranty &amp; Maintenance</t>
        </is>
      </c>
      <c r="B8425" s="46">
        <f>'Warranty &amp; Maintenance'!Z390</f>
        <v/>
      </c>
      <c r="C8425" s="84">
        <f>'Warranty &amp; Maintenance'!X390</f>
        <v/>
      </c>
      <c r="D8425" s="46">
        <f>'Warranty &amp; Maintenance'!Y390</f>
        <v/>
      </c>
      <c r="E8425" s="46">
        <f>IF(OR(B8425="",C8425="",D8425=""),"",D8425*100000+(C8425-DATE(2000,1,1))+ROW()/100000)</f>
        <v/>
      </c>
      <c r="F8425" s="46">
        <f>IF(E8425="","",IF(C8425&gt;WeekEndDate,"",E8425))</f>
        <v/>
      </c>
    </row>
    <row r="8426">
      <c r="A8426" t="inlineStr">
        <is>
          <t>Warranty &amp; Maintenance</t>
        </is>
      </c>
      <c r="B8426" s="46">
        <f>'Warranty &amp; Maintenance'!Z391</f>
        <v/>
      </c>
      <c r="C8426" s="84">
        <f>'Warranty &amp; Maintenance'!X391</f>
        <v/>
      </c>
      <c r="D8426" s="46">
        <f>'Warranty &amp; Maintenance'!Y391</f>
        <v/>
      </c>
      <c r="E8426" s="46">
        <f>IF(OR(B8426="",C8426="",D8426=""),"",D8426*100000+(C8426-DATE(2000,1,1))+ROW()/100000)</f>
        <v/>
      </c>
      <c r="F8426" s="46">
        <f>IF(E8426="","",IF(C8426&gt;WeekEndDate,"",E8426))</f>
        <v/>
      </c>
    </row>
    <row r="8427">
      <c r="A8427" t="inlineStr">
        <is>
          <t>Warranty &amp; Maintenance</t>
        </is>
      </c>
      <c r="B8427" s="46">
        <f>'Warranty &amp; Maintenance'!Z392</f>
        <v/>
      </c>
      <c r="C8427" s="84">
        <f>'Warranty &amp; Maintenance'!X392</f>
        <v/>
      </c>
      <c r="D8427" s="46">
        <f>'Warranty &amp; Maintenance'!Y392</f>
        <v/>
      </c>
      <c r="E8427" s="46">
        <f>IF(OR(B8427="",C8427="",D8427=""),"",D8427*100000+(C8427-DATE(2000,1,1))+ROW()/100000)</f>
        <v/>
      </c>
      <c r="F8427" s="46">
        <f>IF(E8427="","",IF(C8427&gt;WeekEndDate,"",E8427))</f>
        <v/>
      </c>
    </row>
    <row r="8428">
      <c r="A8428" t="inlineStr">
        <is>
          <t>Warranty &amp; Maintenance</t>
        </is>
      </c>
      <c r="B8428" s="46">
        <f>'Warranty &amp; Maintenance'!Z393</f>
        <v/>
      </c>
      <c r="C8428" s="84">
        <f>'Warranty &amp; Maintenance'!X393</f>
        <v/>
      </c>
      <c r="D8428" s="46">
        <f>'Warranty &amp; Maintenance'!Y393</f>
        <v/>
      </c>
      <c r="E8428" s="46">
        <f>IF(OR(B8428="",C8428="",D8428=""),"",D8428*100000+(C8428-DATE(2000,1,1))+ROW()/100000)</f>
        <v/>
      </c>
      <c r="F8428" s="46">
        <f>IF(E8428="","",IF(C8428&gt;WeekEndDate,"",E8428))</f>
        <v/>
      </c>
    </row>
    <row r="8429">
      <c r="A8429" t="inlineStr">
        <is>
          <t>Warranty &amp; Maintenance</t>
        </is>
      </c>
      <c r="B8429" s="46">
        <f>'Warranty &amp; Maintenance'!Z394</f>
        <v/>
      </c>
      <c r="C8429" s="84">
        <f>'Warranty &amp; Maintenance'!X394</f>
        <v/>
      </c>
      <c r="D8429" s="46">
        <f>'Warranty &amp; Maintenance'!Y394</f>
        <v/>
      </c>
      <c r="E8429" s="46">
        <f>IF(OR(B8429="",C8429="",D8429=""),"",D8429*100000+(C8429-DATE(2000,1,1))+ROW()/100000)</f>
        <v/>
      </c>
      <c r="F8429" s="46">
        <f>IF(E8429="","",IF(C8429&gt;WeekEndDate,"",E8429))</f>
        <v/>
      </c>
    </row>
    <row r="8430">
      <c r="A8430" t="inlineStr">
        <is>
          <t>Warranty &amp; Maintenance</t>
        </is>
      </c>
      <c r="B8430" s="46">
        <f>'Warranty &amp; Maintenance'!Z395</f>
        <v/>
      </c>
      <c r="C8430" s="84">
        <f>'Warranty &amp; Maintenance'!X395</f>
        <v/>
      </c>
      <c r="D8430" s="46">
        <f>'Warranty &amp; Maintenance'!Y395</f>
        <v/>
      </c>
      <c r="E8430" s="46">
        <f>IF(OR(B8430="",C8430="",D8430=""),"",D8430*100000+(C8430-DATE(2000,1,1))+ROW()/100000)</f>
        <v/>
      </c>
      <c r="F8430" s="46">
        <f>IF(E8430="","",IF(C8430&gt;WeekEndDate,"",E8430))</f>
        <v/>
      </c>
    </row>
    <row r="8431">
      <c r="A8431" t="inlineStr">
        <is>
          <t>Warranty &amp; Maintenance</t>
        </is>
      </c>
      <c r="B8431" s="46">
        <f>'Warranty &amp; Maintenance'!Z396</f>
        <v/>
      </c>
      <c r="C8431" s="84">
        <f>'Warranty &amp; Maintenance'!X396</f>
        <v/>
      </c>
      <c r="D8431" s="46">
        <f>'Warranty &amp; Maintenance'!Y396</f>
        <v/>
      </c>
      <c r="E8431" s="46">
        <f>IF(OR(B8431="",C8431="",D8431=""),"",D8431*100000+(C8431-DATE(2000,1,1))+ROW()/100000)</f>
        <v/>
      </c>
      <c r="F8431" s="46">
        <f>IF(E8431="","",IF(C8431&gt;WeekEndDate,"",E8431))</f>
        <v/>
      </c>
    </row>
    <row r="8432">
      <c r="A8432" t="inlineStr">
        <is>
          <t>Warranty &amp; Maintenance</t>
        </is>
      </c>
      <c r="B8432" s="46">
        <f>'Warranty &amp; Maintenance'!Z397</f>
        <v/>
      </c>
      <c r="C8432" s="84">
        <f>'Warranty &amp; Maintenance'!X397</f>
        <v/>
      </c>
      <c r="D8432" s="46">
        <f>'Warranty &amp; Maintenance'!Y397</f>
        <v/>
      </c>
      <c r="E8432" s="46">
        <f>IF(OR(B8432="",C8432="",D8432=""),"",D8432*100000+(C8432-DATE(2000,1,1))+ROW()/100000)</f>
        <v/>
      </c>
      <c r="F8432" s="46">
        <f>IF(E8432="","",IF(C8432&gt;WeekEndDate,"",E8432))</f>
        <v/>
      </c>
    </row>
    <row r="8433">
      <c r="A8433" t="inlineStr">
        <is>
          <t>Warranty &amp; Maintenance</t>
        </is>
      </c>
      <c r="B8433" s="46">
        <f>'Warranty &amp; Maintenance'!Z398</f>
        <v/>
      </c>
      <c r="C8433" s="84">
        <f>'Warranty &amp; Maintenance'!X398</f>
        <v/>
      </c>
      <c r="D8433" s="46">
        <f>'Warranty &amp; Maintenance'!Y398</f>
        <v/>
      </c>
      <c r="E8433" s="46">
        <f>IF(OR(B8433="",C8433="",D8433=""),"",D8433*100000+(C8433-DATE(2000,1,1))+ROW()/100000)</f>
        <v/>
      </c>
      <c r="F8433" s="46">
        <f>IF(E8433="","",IF(C8433&gt;WeekEndDate,"",E8433))</f>
        <v/>
      </c>
    </row>
    <row r="8434">
      <c r="A8434" t="inlineStr">
        <is>
          <t>Warranty &amp; Maintenance</t>
        </is>
      </c>
      <c r="B8434" s="46">
        <f>'Warranty &amp; Maintenance'!Z399</f>
        <v/>
      </c>
      <c r="C8434" s="84">
        <f>'Warranty &amp; Maintenance'!X399</f>
        <v/>
      </c>
      <c r="D8434" s="46">
        <f>'Warranty &amp; Maintenance'!Y399</f>
        <v/>
      </c>
      <c r="E8434" s="46">
        <f>IF(OR(B8434="",C8434="",D8434=""),"",D8434*100000+(C8434-DATE(2000,1,1))+ROW()/100000)</f>
        <v/>
      </c>
      <c r="F8434" s="46">
        <f>IF(E8434="","",IF(C8434&gt;WeekEndDate,"",E8434))</f>
        <v/>
      </c>
    </row>
    <row r="8435">
      <c r="A8435" t="inlineStr">
        <is>
          <t>Warranty &amp; Maintenance</t>
        </is>
      </c>
      <c r="B8435" s="46">
        <f>'Warranty &amp; Maintenance'!Z400</f>
        <v/>
      </c>
      <c r="C8435" s="84">
        <f>'Warranty &amp; Maintenance'!X400</f>
        <v/>
      </c>
      <c r="D8435" s="46">
        <f>'Warranty &amp; Maintenance'!Y400</f>
        <v/>
      </c>
      <c r="E8435" s="46">
        <f>IF(OR(B8435="",C8435="",D8435=""),"",D8435*100000+(C8435-DATE(2000,1,1))+ROW()/100000)</f>
        <v/>
      </c>
      <c r="F8435" s="46">
        <f>IF(E8435="","",IF(C8435&gt;WeekEndDate,"",E8435))</f>
        <v/>
      </c>
    </row>
    <row r="8436">
      <c r="A8436" t="inlineStr">
        <is>
          <t>Warranty &amp; Maintenance</t>
        </is>
      </c>
      <c r="B8436" s="46">
        <f>'Warranty &amp; Maintenance'!Z401</f>
        <v/>
      </c>
      <c r="C8436" s="84">
        <f>'Warranty &amp; Maintenance'!X401</f>
        <v/>
      </c>
      <c r="D8436" s="46">
        <f>'Warranty &amp; Maintenance'!Y401</f>
        <v/>
      </c>
      <c r="E8436" s="46">
        <f>IF(OR(B8436="",C8436="",D8436=""),"",D8436*100000+(C8436-DATE(2000,1,1))+ROW()/100000)</f>
        <v/>
      </c>
      <c r="F8436" s="46">
        <f>IF(E8436="","",IF(C8436&gt;WeekEndDate,"",E8436))</f>
        <v/>
      </c>
    </row>
    <row r="8437">
      <c r="A8437" t="inlineStr">
        <is>
          <t>Warranty &amp; Maintenance</t>
        </is>
      </c>
      <c r="B8437" s="46">
        <f>'Warranty &amp; Maintenance'!Z402</f>
        <v/>
      </c>
      <c r="C8437" s="84">
        <f>'Warranty &amp; Maintenance'!X402</f>
        <v/>
      </c>
      <c r="D8437" s="46">
        <f>'Warranty &amp; Maintenance'!Y402</f>
        <v/>
      </c>
      <c r="E8437" s="46">
        <f>IF(OR(B8437="",C8437="",D8437=""),"",D8437*100000+(C8437-DATE(2000,1,1))+ROW()/100000)</f>
        <v/>
      </c>
      <c r="F8437" s="46">
        <f>IF(E8437="","",IF(C8437&gt;WeekEndDate,"",E8437))</f>
        <v/>
      </c>
    </row>
    <row r="8438">
      <c r="A8438" t="inlineStr">
        <is>
          <t>Warranty &amp; Maintenance</t>
        </is>
      </c>
      <c r="B8438" s="46">
        <f>'Warranty &amp; Maintenance'!Z403</f>
        <v/>
      </c>
      <c r="C8438" s="84">
        <f>'Warranty &amp; Maintenance'!X403</f>
        <v/>
      </c>
      <c r="D8438" s="46">
        <f>'Warranty &amp; Maintenance'!Y403</f>
        <v/>
      </c>
      <c r="E8438" s="46">
        <f>IF(OR(B8438="",C8438="",D8438=""),"",D8438*100000+(C8438-DATE(2000,1,1))+ROW()/100000)</f>
        <v/>
      </c>
      <c r="F8438" s="46">
        <f>IF(E8438="","",IF(C8438&gt;WeekEndDate,"",E8438))</f>
        <v/>
      </c>
    </row>
    <row r="8439">
      <c r="A8439" t="inlineStr">
        <is>
          <t>Warranty &amp; Maintenance</t>
        </is>
      </c>
      <c r="B8439" s="46">
        <f>'Warranty &amp; Maintenance'!Z404</f>
        <v/>
      </c>
      <c r="C8439" s="84">
        <f>'Warranty &amp; Maintenance'!X404</f>
        <v/>
      </c>
      <c r="D8439" s="46">
        <f>'Warranty &amp; Maintenance'!Y404</f>
        <v/>
      </c>
      <c r="E8439" s="46">
        <f>IF(OR(B8439="",C8439="",D8439=""),"",D8439*100000+(C8439-DATE(2000,1,1))+ROW()/100000)</f>
        <v/>
      </c>
      <c r="F8439" s="46">
        <f>IF(E8439="","",IF(C8439&gt;WeekEndDate,"",E8439))</f>
        <v/>
      </c>
    </row>
    <row r="8440">
      <c r="A8440" t="inlineStr">
        <is>
          <t>Warranty &amp; Maintenance</t>
        </is>
      </c>
      <c r="B8440" s="46">
        <f>'Warranty &amp; Maintenance'!Z405</f>
        <v/>
      </c>
      <c r="C8440" s="84">
        <f>'Warranty &amp; Maintenance'!X405</f>
        <v/>
      </c>
      <c r="D8440" s="46">
        <f>'Warranty &amp; Maintenance'!Y405</f>
        <v/>
      </c>
      <c r="E8440" s="46">
        <f>IF(OR(B8440="",C8440="",D8440=""),"",D8440*100000+(C8440-DATE(2000,1,1))+ROW()/100000)</f>
        <v/>
      </c>
      <c r="F8440" s="46">
        <f>IF(E8440="","",IF(C8440&gt;WeekEndDate,"",E8440))</f>
        <v/>
      </c>
    </row>
    <row r="8441">
      <c r="A8441" t="inlineStr">
        <is>
          <t>Warranty &amp; Maintenance</t>
        </is>
      </c>
      <c r="B8441" s="46">
        <f>'Warranty &amp; Maintenance'!Z406</f>
        <v/>
      </c>
      <c r="C8441" s="84">
        <f>'Warranty &amp; Maintenance'!X406</f>
        <v/>
      </c>
      <c r="D8441" s="46">
        <f>'Warranty &amp; Maintenance'!Y406</f>
        <v/>
      </c>
      <c r="E8441" s="46">
        <f>IF(OR(B8441="",C8441="",D8441=""),"",D8441*100000+(C8441-DATE(2000,1,1))+ROW()/100000)</f>
        <v/>
      </c>
      <c r="F8441" s="46">
        <f>IF(E8441="","",IF(C8441&gt;WeekEndDate,"",E8441))</f>
        <v/>
      </c>
    </row>
    <row r="8442">
      <c r="A8442" t="inlineStr">
        <is>
          <t>Warranty &amp; Maintenance</t>
        </is>
      </c>
      <c r="B8442" s="46">
        <f>'Warranty &amp; Maintenance'!Z407</f>
        <v/>
      </c>
      <c r="C8442" s="84">
        <f>'Warranty &amp; Maintenance'!X407</f>
        <v/>
      </c>
      <c r="D8442" s="46">
        <f>'Warranty &amp; Maintenance'!Y407</f>
        <v/>
      </c>
      <c r="E8442" s="46">
        <f>IF(OR(B8442="",C8442="",D8442=""),"",D8442*100000+(C8442-DATE(2000,1,1))+ROW()/100000)</f>
        <v/>
      </c>
      <c r="F8442" s="46">
        <f>IF(E8442="","",IF(C8442&gt;WeekEndDate,"",E8442))</f>
        <v/>
      </c>
    </row>
    <row r="8443">
      <c r="A8443" t="inlineStr">
        <is>
          <t>Warranty &amp; Maintenance</t>
        </is>
      </c>
      <c r="B8443" s="46">
        <f>'Warranty &amp; Maintenance'!Z408</f>
        <v/>
      </c>
      <c r="C8443" s="84">
        <f>'Warranty &amp; Maintenance'!X408</f>
        <v/>
      </c>
      <c r="D8443" s="46">
        <f>'Warranty &amp; Maintenance'!Y408</f>
        <v/>
      </c>
      <c r="E8443" s="46">
        <f>IF(OR(B8443="",C8443="",D8443=""),"",D8443*100000+(C8443-DATE(2000,1,1))+ROW()/100000)</f>
        <v/>
      </c>
      <c r="F8443" s="46">
        <f>IF(E8443="","",IF(C8443&gt;WeekEndDate,"",E8443))</f>
        <v/>
      </c>
    </row>
    <row r="8444">
      <c r="A8444" t="inlineStr">
        <is>
          <t>Warranty &amp; Maintenance</t>
        </is>
      </c>
      <c r="B8444" s="46">
        <f>'Warranty &amp; Maintenance'!Z409</f>
        <v/>
      </c>
      <c r="C8444" s="84">
        <f>'Warranty &amp; Maintenance'!X409</f>
        <v/>
      </c>
      <c r="D8444" s="46">
        <f>'Warranty &amp; Maintenance'!Y409</f>
        <v/>
      </c>
      <c r="E8444" s="46">
        <f>IF(OR(B8444="",C8444="",D8444=""),"",D8444*100000+(C8444-DATE(2000,1,1))+ROW()/100000)</f>
        <v/>
      </c>
      <c r="F8444" s="46">
        <f>IF(E8444="","",IF(C8444&gt;WeekEndDate,"",E8444))</f>
        <v/>
      </c>
    </row>
    <row r="8445">
      <c r="A8445" t="inlineStr">
        <is>
          <t>Warranty &amp; Maintenance</t>
        </is>
      </c>
      <c r="B8445" s="46">
        <f>'Warranty &amp; Maintenance'!Z410</f>
        <v/>
      </c>
      <c r="C8445" s="84">
        <f>'Warranty &amp; Maintenance'!X410</f>
        <v/>
      </c>
      <c r="D8445" s="46">
        <f>'Warranty &amp; Maintenance'!Y410</f>
        <v/>
      </c>
      <c r="E8445" s="46">
        <f>IF(OR(B8445="",C8445="",D8445=""),"",D8445*100000+(C8445-DATE(2000,1,1))+ROW()/100000)</f>
        <v/>
      </c>
      <c r="F8445" s="46">
        <f>IF(E8445="","",IF(C8445&gt;WeekEndDate,"",E8445))</f>
        <v/>
      </c>
    </row>
    <row r="8446">
      <c r="A8446" t="inlineStr">
        <is>
          <t>Warranty &amp; Maintenance</t>
        </is>
      </c>
      <c r="B8446" s="46">
        <f>'Warranty &amp; Maintenance'!Z411</f>
        <v/>
      </c>
      <c r="C8446" s="84">
        <f>'Warranty &amp; Maintenance'!X411</f>
        <v/>
      </c>
      <c r="D8446" s="46">
        <f>'Warranty &amp; Maintenance'!Y411</f>
        <v/>
      </c>
      <c r="E8446" s="46">
        <f>IF(OR(B8446="",C8446="",D8446=""),"",D8446*100000+(C8446-DATE(2000,1,1))+ROW()/100000)</f>
        <v/>
      </c>
      <c r="F8446" s="46">
        <f>IF(E8446="","",IF(C8446&gt;WeekEndDate,"",E8446))</f>
        <v/>
      </c>
    </row>
    <row r="8447">
      <c r="A8447" t="inlineStr">
        <is>
          <t>Warranty &amp; Maintenance</t>
        </is>
      </c>
      <c r="B8447" s="46">
        <f>'Warranty &amp; Maintenance'!Z412</f>
        <v/>
      </c>
      <c r="C8447" s="84">
        <f>'Warranty &amp; Maintenance'!X412</f>
        <v/>
      </c>
      <c r="D8447" s="46">
        <f>'Warranty &amp; Maintenance'!Y412</f>
        <v/>
      </c>
      <c r="E8447" s="46">
        <f>IF(OR(B8447="",C8447="",D8447=""),"",D8447*100000+(C8447-DATE(2000,1,1))+ROW()/100000)</f>
        <v/>
      </c>
      <c r="F8447" s="46">
        <f>IF(E8447="","",IF(C8447&gt;WeekEndDate,"",E8447))</f>
        <v/>
      </c>
    </row>
    <row r="8448">
      <c r="A8448" t="inlineStr">
        <is>
          <t>Warranty &amp; Maintenance</t>
        </is>
      </c>
      <c r="B8448" s="46">
        <f>'Warranty &amp; Maintenance'!Z413</f>
        <v/>
      </c>
      <c r="C8448" s="84">
        <f>'Warranty &amp; Maintenance'!X413</f>
        <v/>
      </c>
      <c r="D8448" s="46">
        <f>'Warranty &amp; Maintenance'!Y413</f>
        <v/>
      </c>
      <c r="E8448" s="46">
        <f>IF(OR(B8448="",C8448="",D8448=""),"",D8448*100000+(C8448-DATE(2000,1,1))+ROW()/100000)</f>
        <v/>
      </c>
      <c r="F8448" s="46">
        <f>IF(E8448="","",IF(C8448&gt;WeekEndDate,"",E8448))</f>
        <v/>
      </c>
    </row>
    <row r="8449">
      <c r="A8449" t="inlineStr">
        <is>
          <t>Warranty &amp; Maintenance</t>
        </is>
      </c>
      <c r="B8449" s="46">
        <f>'Warranty &amp; Maintenance'!Z414</f>
        <v/>
      </c>
      <c r="C8449" s="84">
        <f>'Warranty &amp; Maintenance'!X414</f>
        <v/>
      </c>
      <c r="D8449" s="46">
        <f>'Warranty &amp; Maintenance'!Y414</f>
        <v/>
      </c>
      <c r="E8449" s="46">
        <f>IF(OR(B8449="",C8449="",D8449=""),"",D8449*100000+(C8449-DATE(2000,1,1))+ROW()/100000)</f>
        <v/>
      </c>
      <c r="F8449" s="46">
        <f>IF(E8449="","",IF(C8449&gt;WeekEndDate,"",E8449))</f>
        <v/>
      </c>
    </row>
    <row r="8450">
      <c r="A8450" t="inlineStr">
        <is>
          <t>Warranty &amp; Maintenance</t>
        </is>
      </c>
      <c r="B8450" s="46">
        <f>'Warranty &amp; Maintenance'!Z415</f>
        <v/>
      </c>
      <c r="C8450" s="84">
        <f>'Warranty &amp; Maintenance'!X415</f>
        <v/>
      </c>
      <c r="D8450" s="46">
        <f>'Warranty &amp; Maintenance'!Y415</f>
        <v/>
      </c>
      <c r="E8450" s="46">
        <f>IF(OR(B8450="",C8450="",D8450=""),"",D8450*100000+(C8450-DATE(2000,1,1))+ROW()/100000)</f>
        <v/>
      </c>
      <c r="F8450" s="46">
        <f>IF(E8450="","",IF(C8450&gt;WeekEndDate,"",E8450))</f>
        <v/>
      </c>
    </row>
    <row r="8451">
      <c r="A8451" t="inlineStr">
        <is>
          <t>Warranty &amp; Maintenance</t>
        </is>
      </c>
      <c r="B8451" s="46">
        <f>'Warranty &amp; Maintenance'!Z416</f>
        <v/>
      </c>
      <c r="C8451" s="84">
        <f>'Warranty &amp; Maintenance'!X416</f>
        <v/>
      </c>
      <c r="D8451" s="46">
        <f>'Warranty &amp; Maintenance'!Y416</f>
        <v/>
      </c>
      <c r="E8451" s="46">
        <f>IF(OR(B8451="",C8451="",D8451=""),"",D8451*100000+(C8451-DATE(2000,1,1))+ROW()/100000)</f>
        <v/>
      </c>
      <c r="F8451" s="46">
        <f>IF(E8451="","",IF(C8451&gt;WeekEndDate,"",E8451))</f>
        <v/>
      </c>
    </row>
    <row r="8452">
      <c r="A8452" t="inlineStr">
        <is>
          <t>Warranty &amp; Maintenance</t>
        </is>
      </c>
      <c r="B8452" s="46">
        <f>'Warranty &amp; Maintenance'!Z417</f>
        <v/>
      </c>
      <c r="C8452" s="84">
        <f>'Warranty &amp; Maintenance'!X417</f>
        <v/>
      </c>
      <c r="D8452" s="46">
        <f>'Warranty &amp; Maintenance'!Y417</f>
        <v/>
      </c>
      <c r="E8452" s="46">
        <f>IF(OR(B8452="",C8452="",D8452=""),"",D8452*100000+(C8452-DATE(2000,1,1))+ROW()/100000)</f>
        <v/>
      </c>
      <c r="F8452" s="46">
        <f>IF(E8452="","",IF(C8452&gt;WeekEndDate,"",E8452))</f>
        <v/>
      </c>
    </row>
    <row r="8453">
      <c r="A8453" t="inlineStr">
        <is>
          <t>Warranty &amp; Maintenance</t>
        </is>
      </c>
      <c r="B8453" s="46">
        <f>'Warranty &amp; Maintenance'!Z418</f>
        <v/>
      </c>
      <c r="C8453" s="84">
        <f>'Warranty &amp; Maintenance'!X418</f>
        <v/>
      </c>
      <c r="D8453" s="46">
        <f>'Warranty &amp; Maintenance'!Y418</f>
        <v/>
      </c>
      <c r="E8453" s="46">
        <f>IF(OR(B8453="",C8453="",D8453=""),"",D8453*100000+(C8453-DATE(2000,1,1))+ROW()/100000)</f>
        <v/>
      </c>
      <c r="F8453" s="46">
        <f>IF(E8453="","",IF(C8453&gt;WeekEndDate,"",E8453))</f>
        <v/>
      </c>
    </row>
    <row r="8454">
      <c r="A8454" t="inlineStr">
        <is>
          <t>Warranty &amp; Maintenance</t>
        </is>
      </c>
      <c r="B8454" s="46">
        <f>'Warranty &amp; Maintenance'!Z419</f>
        <v/>
      </c>
      <c r="C8454" s="84">
        <f>'Warranty &amp; Maintenance'!X419</f>
        <v/>
      </c>
      <c r="D8454" s="46">
        <f>'Warranty &amp; Maintenance'!Y419</f>
        <v/>
      </c>
      <c r="E8454" s="46">
        <f>IF(OR(B8454="",C8454="",D8454=""),"",D8454*100000+(C8454-DATE(2000,1,1))+ROW()/100000)</f>
        <v/>
      </c>
      <c r="F8454" s="46">
        <f>IF(E8454="","",IF(C8454&gt;WeekEndDate,"",E8454))</f>
        <v/>
      </c>
    </row>
    <row r="8455">
      <c r="A8455" t="inlineStr">
        <is>
          <t>Warranty &amp; Maintenance</t>
        </is>
      </c>
      <c r="B8455" s="46">
        <f>'Warranty &amp; Maintenance'!Z420</f>
        <v/>
      </c>
      <c r="C8455" s="84">
        <f>'Warranty &amp; Maintenance'!X420</f>
        <v/>
      </c>
      <c r="D8455" s="46">
        <f>'Warranty &amp; Maintenance'!Y420</f>
        <v/>
      </c>
      <c r="E8455" s="46">
        <f>IF(OR(B8455="",C8455="",D8455=""),"",D8455*100000+(C8455-DATE(2000,1,1))+ROW()/100000)</f>
        <v/>
      </c>
      <c r="F8455" s="46">
        <f>IF(E8455="","",IF(C8455&gt;WeekEndDate,"",E8455))</f>
        <v/>
      </c>
    </row>
    <row r="8456">
      <c r="A8456" t="inlineStr">
        <is>
          <t>Warranty &amp; Maintenance</t>
        </is>
      </c>
      <c r="B8456" s="46">
        <f>'Warranty &amp; Maintenance'!Z421</f>
        <v/>
      </c>
      <c r="C8456" s="84">
        <f>'Warranty &amp; Maintenance'!X421</f>
        <v/>
      </c>
      <c r="D8456" s="46">
        <f>'Warranty &amp; Maintenance'!Y421</f>
        <v/>
      </c>
      <c r="E8456" s="46">
        <f>IF(OR(B8456="",C8456="",D8456=""),"",D8456*100000+(C8456-DATE(2000,1,1))+ROW()/100000)</f>
        <v/>
      </c>
      <c r="F8456" s="46">
        <f>IF(E8456="","",IF(C8456&gt;WeekEndDate,"",E8456))</f>
        <v/>
      </c>
    </row>
    <row r="8457">
      <c r="A8457" t="inlineStr">
        <is>
          <t>Warranty &amp; Maintenance</t>
        </is>
      </c>
      <c r="B8457" s="46">
        <f>'Warranty &amp; Maintenance'!Z422</f>
        <v/>
      </c>
      <c r="C8457" s="84">
        <f>'Warranty &amp; Maintenance'!X422</f>
        <v/>
      </c>
      <c r="D8457" s="46">
        <f>'Warranty &amp; Maintenance'!Y422</f>
        <v/>
      </c>
      <c r="E8457" s="46">
        <f>IF(OR(B8457="",C8457="",D8457=""),"",D8457*100000+(C8457-DATE(2000,1,1))+ROW()/100000)</f>
        <v/>
      </c>
      <c r="F8457" s="46">
        <f>IF(E8457="","",IF(C8457&gt;WeekEndDate,"",E8457))</f>
        <v/>
      </c>
    </row>
    <row r="8458">
      <c r="A8458" t="inlineStr">
        <is>
          <t>Warranty &amp; Maintenance</t>
        </is>
      </c>
      <c r="B8458" s="46">
        <f>'Warranty &amp; Maintenance'!Z423</f>
        <v/>
      </c>
      <c r="C8458" s="84">
        <f>'Warranty &amp; Maintenance'!X423</f>
        <v/>
      </c>
      <c r="D8458" s="46">
        <f>'Warranty &amp; Maintenance'!Y423</f>
        <v/>
      </c>
      <c r="E8458" s="46">
        <f>IF(OR(B8458="",C8458="",D8458=""),"",D8458*100000+(C8458-DATE(2000,1,1))+ROW()/100000)</f>
        <v/>
      </c>
      <c r="F8458" s="46">
        <f>IF(E8458="","",IF(C8458&gt;WeekEndDate,"",E8458))</f>
        <v/>
      </c>
    </row>
    <row r="8459">
      <c r="A8459" t="inlineStr">
        <is>
          <t>Warranty &amp; Maintenance</t>
        </is>
      </c>
      <c r="B8459" s="46">
        <f>'Warranty &amp; Maintenance'!Z424</f>
        <v/>
      </c>
      <c r="C8459" s="84">
        <f>'Warranty &amp; Maintenance'!X424</f>
        <v/>
      </c>
      <c r="D8459" s="46">
        <f>'Warranty &amp; Maintenance'!Y424</f>
        <v/>
      </c>
      <c r="E8459" s="46">
        <f>IF(OR(B8459="",C8459="",D8459=""),"",D8459*100000+(C8459-DATE(2000,1,1))+ROW()/100000)</f>
        <v/>
      </c>
      <c r="F8459" s="46">
        <f>IF(E8459="","",IF(C8459&gt;WeekEndDate,"",E8459))</f>
        <v/>
      </c>
    </row>
    <row r="8460">
      <c r="A8460" t="inlineStr">
        <is>
          <t>Warranty &amp; Maintenance</t>
        </is>
      </c>
      <c r="B8460" s="46">
        <f>'Warranty &amp; Maintenance'!Z425</f>
        <v/>
      </c>
      <c r="C8460" s="84">
        <f>'Warranty &amp; Maintenance'!X425</f>
        <v/>
      </c>
      <c r="D8460" s="46">
        <f>'Warranty &amp; Maintenance'!Y425</f>
        <v/>
      </c>
      <c r="E8460" s="46">
        <f>IF(OR(B8460="",C8460="",D8460=""),"",D8460*100000+(C8460-DATE(2000,1,1))+ROW()/100000)</f>
        <v/>
      </c>
      <c r="F8460" s="46">
        <f>IF(E8460="","",IF(C8460&gt;WeekEndDate,"",E8460))</f>
        <v/>
      </c>
    </row>
    <row r="8461">
      <c r="A8461" t="inlineStr">
        <is>
          <t>Warranty &amp; Maintenance</t>
        </is>
      </c>
      <c r="B8461" s="46">
        <f>'Warranty &amp; Maintenance'!Z426</f>
        <v/>
      </c>
      <c r="C8461" s="84">
        <f>'Warranty &amp; Maintenance'!X426</f>
        <v/>
      </c>
      <c r="D8461" s="46">
        <f>'Warranty &amp; Maintenance'!Y426</f>
        <v/>
      </c>
      <c r="E8461" s="46">
        <f>IF(OR(B8461="",C8461="",D8461=""),"",D8461*100000+(C8461-DATE(2000,1,1))+ROW()/100000)</f>
        <v/>
      </c>
      <c r="F8461" s="46">
        <f>IF(E8461="","",IF(C8461&gt;WeekEndDate,"",E8461))</f>
        <v/>
      </c>
    </row>
    <row r="8462">
      <c r="A8462" t="inlineStr">
        <is>
          <t>Warranty &amp; Maintenance</t>
        </is>
      </c>
      <c r="B8462" s="46">
        <f>'Warranty &amp; Maintenance'!Z427</f>
        <v/>
      </c>
      <c r="C8462" s="84">
        <f>'Warranty &amp; Maintenance'!X427</f>
        <v/>
      </c>
      <c r="D8462" s="46">
        <f>'Warranty &amp; Maintenance'!Y427</f>
        <v/>
      </c>
      <c r="E8462" s="46">
        <f>IF(OR(B8462="",C8462="",D8462=""),"",D8462*100000+(C8462-DATE(2000,1,1))+ROW()/100000)</f>
        <v/>
      </c>
      <c r="F8462" s="46">
        <f>IF(E8462="","",IF(C8462&gt;WeekEndDate,"",E8462))</f>
        <v/>
      </c>
    </row>
    <row r="8463">
      <c r="A8463" t="inlineStr">
        <is>
          <t>Warranty &amp; Maintenance</t>
        </is>
      </c>
      <c r="B8463" s="46">
        <f>'Warranty &amp; Maintenance'!Z428</f>
        <v/>
      </c>
      <c r="C8463" s="84">
        <f>'Warranty &amp; Maintenance'!X428</f>
        <v/>
      </c>
      <c r="D8463" s="46">
        <f>'Warranty &amp; Maintenance'!Y428</f>
        <v/>
      </c>
      <c r="E8463" s="46">
        <f>IF(OR(B8463="",C8463="",D8463=""),"",D8463*100000+(C8463-DATE(2000,1,1))+ROW()/100000)</f>
        <v/>
      </c>
      <c r="F8463" s="46">
        <f>IF(E8463="","",IF(C8463&gt;WeekEndDate,"",E8463))</f>
        <v/>
      </c>
    </row>
    <row r="8464">
      <c r="A8464" t="inlineStr">
        <is>
          <t>Warranty &amp; Maintenance</t>
        </is>
      </c>
      <c r="B8464" s="46">
        <f>'Warranty &amp; Maintenance'!Z429</f>
        <v/>
      </c>
      <c r="C8464" s="84">
        <f>'Warranty &amp; Maintenance'!X429</f>
        <v/>
      </c>
      <c r="D8464" s="46">
        <f>'Warranty &amp; Maintenance'!Y429</f>
        <v/>
      </c>
      <c r="E8464" s="46">
        <f>IF(OR(B8464="",C8464="",D8464=""),"",D8464*100000+(C8464-DATE(2000,1,1))+ROW()/100000)</f>
        <v/>
      </c>
      <c r="F8464" s="46">
        <f>IF(E8464="","",IF(C8464&gt;WeekEndDate,"",E8464))</f>
        <v/>
      </c>
    </row>
    <row r="8465">
      <c r="A8465" t="inlineStr">
        <is>
          <t>Warranty &amp; Maintenance</t>
        </is>
      </c>
      <c r="B8465" s="46">
        <f>'Warranty &amp; Maintenance'!Z430</f>
        <v/>
      </c>
      <c r="C8465" s="84">
        <f>'Warranty &amp; Maintenance'!X430</f>
        <v/>
      </c>
      <c r="D8465" s="46">
        <f>'Warranty &amp; Maintenance'!Y430</f>
        <v/>
      </c>
      <c r="E8465" s="46">
        <f>IF(OR(B8465="",C8465="",D8465=""),"",D8465*100000+(C8465-DATE(2000,1,1))+ROW()/100000)</f>
        <v/>
      </c>
      <c r="F8465" s="46">
        <f>IF(E8465="","",IF(C8465&gt;WeekEndDate,"",E8465))</f>
        <v/>
      </c>
    </row>
    <row r="8466">
      <c r="A8466" t="inlineStr">
        <is>
          <t>Warranty &amp; Maintenance</t>
        </is>
      </c>
      <c r="B8466" s="46">
        <f>'Warranty &amp; Maintenance'!Z431</f>
        <v/>
      </c>
      <c r="C8466" s="84">
        <f>'Warranty &amp; Maintenance'!X431</f>
        <v/>
      </c>
      <c r="D8466" s="46">
        <f>'Warranty &amp; Maintenance'!Y431</f>
        <v/>
      </c>
      <c r="E8466" s="46">
        <f>IF(OR(B8466="",C8466="",D8466=""),"",D8466*100000+(C8466-DATE(2000,1,1))+ROW()/100000)</f>
        <v/>
      </c>
      <c r="F8466" s="46">
        <f>IF(E8466="","",IF(C8466&gt;WeekEndDate,"",E8466))</f>
        <v/>
      </c>
    </row>
    <row r="8467">
      <c r="A8467" t="inlineStr">
        <is>
          <t>Warranty &amp; Maintenance</t>
        </is>
      </c>
      <c r="B8467" s="46">
        <f>'Warranty &amp; Maintenance'!Z432</f>
        <v/>
      </c>
      <c r="C8467" s="84">
        <f>'Warranty &amp; Maintenance'!X432</f>
        <v/>
      </c>
      <c r="D8467" s="46">
        <f>'Warranty &amp; Maintenance'!Y432</f>
        <v/>
      </c>
      <c r="E8467" s="46">
        <f>IF(OR(B8467="",C8467="",D8467=""),"",D8467*100000+(C8467-DATE(2000,1,1))+ROW()/100000)</f>
        <v/>
      </c>
      <c r="F8467" s="46">
        <f>IF(E8467="","",IF(C8467&gt;WeekEndDate,"",E8467))</f>
        <v/>
      </c>
    </row>
    <row r="8468">
      <c r="A8468" t="inlineStr">
        <is>
          <t>Warranty &amp; Maintenance</t>
        </is>
      </c>
      <c r="B8468" s="46">
        <f>'Warranty &amp; Maintenance'!Z433</f>
        <v/>
      </c>
      <c r="C8468" s="84">
        <f>'Warranty &amp; Maintenance'!X433</f>
        <v/>
      </c>
      <c r="D8468" s="46">
        <f>'Warranty &amp; Maintenance'!Y433</f>
        <v/>
      </c>
      <c r="E8468" s="46">
        <f>IF(OR(B8468="",C8468="",D8468=""),"",D8468*100000+(C8468-DATE(2000,1,1))+ROW()/100000)</f>
        <v/>
      </c>
      <c r="F8468" s="46">
        <f>IF(E8468="","",IF(C8468&gt;WeekEndDate,"",E8468))</f>
        <v/>
      </c>
    </row>
    <row r="8469">
      <c r="A8469" t="inlineStr">
        <is>
          <t>Warranty &amp; Maintenance</t>
        </is>
      </c>
      <c r="B8469" s="46">
        <f>'Warranty &amp; Maintenance'!Z434</f>
        <v/>
      </c>
      <c r="C8469" s="84">
        <f>'Warranty &amp; Maintenance'!X434</f>
        <v/>
      </c>
      <c r="D8469" s="46">
        <f>'Warranty &amp; Maintenance'!Y434</f>
        <v/>
      </c>
      <c r="E8469" s="46">
        <f>IF(OR(B8469="",C8469="",D8469=""),"",D8469*100000+(C8469-DATE(2000,1,1))+ROW()/100000)</f>
        <v/>
      </c>
      <c r="F8469" s="46">
        <f>IF(E8469="","",IF(C8469&gt;WeekEndDate,"",E8469))</f>
        <v/>
      </c>
    </row>
    <row r="8470">
      <c r="A8470" t="inlineStr">
        <is>
          <t>Warranty &amp; Maintenance</t>
        </is>
      </c>
      <c r="B8470" s="46">
        <f>'Warranty &amp; Maintenance'!Z435</f>
        <v/>
      </c>
      <c r="C8470" s="84">
        <f>'Warranty &amp; Maintenance'!X435</f>
        <v/>
      </c>
      <c r="D8470" s="46">
        <f>'Warranty &amp; Maintenance'!Y435</f>
        <v/>
      </c>
      <c r="E8470" s="46">
        <f>IF(OR(B8470="",C8470="",D8470=""),"",D8470*100000+(C8470-DATE(2000,1,1))+ROW()/100000)</f>
        <v/>
      </c>
      <c r="F8470" s="46">
        <f>IF(E8470="","",IF(C8470&gt;WeekEndDate,"",E8470))</f>
        <v/>
      </c>
    </row>
    <row r="8471">
      <c r="A8471" t="inlineStr">
        <is>
          <t>Warranty &amp; Maintenance</t>
        </is>
      </c>
      <c r="B8471" s="46">
        <f>'Warranty &amp; Maintenance'!Z436</f>
        <v/>
      </c>
      <c r="C8471" s="84">
        <f>'Warranty &amp; Maintenance'!X436</f>
        <v/>
      </c>
      <c r="D8471" s="46">
        <f>'Warranty &amp; Maintenance'!Y436</f>
        <v/>
      </c>
      <c r="E8471" s="46">
        <f>IF(OR(B8471="",C8471="",D8471=""),"",D8471*100000+(C8471-DATE(2000,1,1))+ROW()/100000)</f>
        <v/>
      </c>
      <c r="F8471" s="46">
        <f>IF(E8471="","",IF(C8471&gt;WeekEndDate,"",E8471))</f>
        <v/>
      </c>
    </row>
    <row r="8472">
      <c r="A8472" t="inlineStr">
        <is>
          <t>Warranty &amp; Maintenance</t>
        </is>
      </c>
      <c r="B8472" s="46">
        <f>'Warranty &amp; Maintenance'!Z437</f>
        <v/>
      </c>
      <c r="C8472" s="84">
        <f>'Warranty &amp; Maintenance'!X437</f>
        <v/>
      </c>
      <c r="D8472" s="46">
        <f>'Warranty &amp; Maintenance'!Y437</f>
        <v/>
      </c>
      <c r="E8472" s="46">
        <f>IF(OR(B8472="",C8472="",D8472=""),"",D8472*100000+(C8472-DATE(2000,1,1))+ROW()/100000)</f>
        <v/>
      </c>
      <c r="F8472" s="46">
        <f>IF(E8472="","",IF(C8472&gt;WeekEndDate,"",E8472))</f>
        <v/>
      </c>
    </row>
    <row r="8473">
      <c r="A8473" t="inlineStr">
        <is>
          <t>Warranty &amp; Maintenance</t>
        </is>
      </c>
      <c r="B8473" s="46">
        <f>'Warranty &amp; Maintenance'!Z438</f>
        <v/>
      </c>
      <c r="C8473" s="84">
        <f>'Warranty &amp; Maintenance'!X438</f>
        <v/>
      </c>
      <c r="D8473" s="46">
        <f>'Warranty &amp; Maintenance'!Y438</f>
        <v/>
      </c>
      <c r="E8473" s="46">
        <f>IF(OR(B8473="",C8473="",D8473=""),"",D8473*100000+(C8473-DATE(2000,1,1))+ROW()/100000)</f>
        <v/>
      </c>
      <c r="F8473" s="46">
        <f>IF(E8473="","",IF(C8473&gt;WeekEndDate,"",E8473))</f>
        <v/>
      </c>
    </row>
    <row r="8474">
      <c r="A8474" t="inlineStr">
        <is>
          <t>Warranty &amp; Maintenance</t>
        </is>
      </c>
      <c r="B8474" s="46">
        <f>'Warranty &amp; Maintenance'!Z439</f>
        <v/>
      </c>
      <c r="C8474" s="84">
        <f>'Warranty &amp; Maintenance'!X439</f>
        <v/>
      </c>
      <c r="D8474" s="46">
        <f>'Warranty &amp; Maintenance'!Y439</f>
        <v/>
      </c>
      <c r="E8474" s="46">
        <f>IF(OR(B8474="",C8474="",D8474=""),"",D8474*100000+(C8474-DATE(2000,1,1))+ROW()/100000)</f>
        <v/>
      </c>
      <c r="F8474" s="46">
        <f>IF(E8474="","",IF(C8474&gt;WeekEndDate,"",E8474))</f>
        <v/>
      </c>
    </row>
    <row r="8475">
      <c r="A8475" t="inlineStr">
        <is>
          <t>Warranty &amp; Maintenance</t>
        </is>
      </c>
      <c r="B8475" s="46">
        <f>'Warranty &amp; Maintenance'!Z440</f>
        <v/>
      </c>
      <c r="C8475" s="84">
        <f>'Warranty &amp; Maintenance'!X440</f>
        <v/>
      </c>
      <c r="D8475" s="46">
        <f>'Warranty &amp; Maintenance'!Y440</f>
        <v/>
      </c>
      <c r="E8475" s="46">
        <f>IF(OR(B8475="",C8475="",D8475=""),"",D8475*100000+(C8475-DATE(2000,1,1))+ROW()/100000)</f>
        <v/>
      </c>
      <c r="F8475" s="46">
        <f>IF(E8475="","",IF(C8475&gt;WeekEndDate,"",E8475))</f>
        <v/>
      </c>
    </row>
    <row r="8476">
      <c r="A8476" t="inlineStr">
        <is>
          <t>Warranty &amp; Maintenance</t>
        </is>
      </c>
      <c r="B8476" s="46">
        <f>'Warranty &amp; Maintenance'!Z441</f>
        <v/>
      </c>
      <c r="C8476" s="84">
        <f>'Warranty &amp; Maintenance'!X441</f>
        <v/>
      </c>
      <c r="D8476" s="46">
        <f>'Warranty &amp; Maintenance'!Y441</f>
        <v/>
      </c>
      <c r="E8476" s="46">
        <f>IF(OR(B8476="",C8476="",D8476=""),"",D8476*100000+(C8476-DATE(2000,1,1))+ROW()/100000)</f>
        <v/>
      </c>
      <c r="F8476" s="46">
        <f>IF(E8476="","",IF(C8476&gt;WeekEndDate,"",E8476))</f>
        <v/>
      </c>
    </row>
    <row r="8477">
      <c r="A8477" t="inlineStr">
        <is>
          <t>Warranty &amp; Maintenance</t>
        </is>
      </c>
      <c r="B8477" s="46">
        <f>'Warranty &amp; Maintenance'!Z442</f>
        <v/>
      </c>
      <c r="C8477" s="84">
        <f>'Warranty &amp; Maintenance'!X442</f>
        <v/>
      </c>
      <c r="D8477" s="46">
        <f>'Warranty &amp; Maintenance'!Y442</f>
        <v/>
      </c>
      <c r="E8477" s="46">
        <f>IF(OR(B8477="",C8477="",D8477=""),"",D8477*100000+(C8477-DATE(2000,1,1))+ROW()/100000)</f>
        <v/>
      </c>
      <c r="F8477" s="46">
        <f>IF(E8477="","",IF(C8477&gt;WeekEndDate,"",E8477))</f>
        <v/>
      </c>
    </row>
    <row r="8478">
      <c r="A8478" t="inlineStr">
        <is>
          <t>Warranty &amp; Maintenance</t>
        </is>
      </c>
      <c r="B8478" s="46">
        <f>'Warranty &amp; Maintenance'!Z443</f>
        <v/>
      </c>
      <c r="C8478" s="84">
        <f>'Warranty &amp; Maintenance'!X443</f>
        <v/>
      </c>
      <c r="D8478" s="46">
        <f>'Warranty &amp; Maintenance'!Y443</f>
        <v/>
      </c>
      <c r="E8478" s="46">
        <f>IF(OR(B8478="",C8478="",D8478=""),"",D8478*100000+(C8478-DATE(2000,1,1))+ROW()/100000)</f>
        <v/>
      </c>
      <c r="F8478" s="46">
        <f>IF(E8478="","",IF(C8478&gt;WeekEndDate,"",E8478))</f>
        <v/>
      </c>
    </row>
    <row r="8479">
      <c r="A8479" t="inlineStr">
        <is>
          <t>Warranty &amp; Maintenance</t>
        </is>
      </c>
      <c r="B8479" s="46">
        <f>'Warranty &amp; Maintenance'!Z444</f>
        <v/>
      </c>
      <c r="C8479" s="84">
        <f>'Warranty &amp; Maintenance'!X444</f>
        <v/>
      </c>
      <c r="D8479" s="46">
        <f>'Warranty &amp; Maintenance'!Y444</f>
        <v/>
      </c>
      <c r="E8479" s="46">
        <f>IF(OR(B8479="",C8479="",D8479=""),"",D8479*100000+(C8479-DATE(2000,1,1))+ROW()/100000)</f>
        <v/>
      </c>
      <c r="F8479" s="46">
        <f>IF(E8479="","",IF(C8479&gt;WeekEndDate,"",E8479))</f>
        <v/>
      </c>
    </row>
    <row r="8480">
      <c r="A8480" t="inlineStr">
        <is>
          <t>Warranty &amp; Maintenance</t>
        </is>
      </c>
      <c r="B8480" s="46">
        <f>'Warranty &amp; Maintenance'!Z445</f>
        <v/>
      </c>
      <c r="C8480" s="84">
        <f>'Warranty &amp; Maintenance'!X445</f>
        <v/>
      </c>
      <c r="D8480" s="46">
        <f>'Warranty &amp; Maintenance'!Y445</f>
        <v/>
      </c>
      <c r="E8480" s="46">
        <f>IF(OR(B8480="",C8480="",D8480=""),"",D8480*100000+(C8480-DATE(2000,1,1))+ROW()/100000)</f>
        <v/>
      </c>
      <c r="F8480" s="46">
        <f>IF(E8480="","",IF(C8480&gt;WeekEndDate,"",E8480))</f>
        <v/>
      </c>
    </row>
    <row r="8481">
      <c r="A8481" t="inlineStr">
        <is>
          <t>Warranty &amp; Maintenance</t>
        </is>
      </c>
      <c r="B8481" s="46">
        <f>'Warranty &amp; Maintenance'!Z446</f>
        <v/>
      </c>
      <c r="C8481" s="84">
        <f>'Warranty &amp; Maintenance'!X446</f>
        <v/>
      </c>
      <c r="D8481" s="46">
        <f>'Warranty &amp; Maintenance'!Y446</f>
        <v/>
      </c>
      <c r="E8481" s="46">
        <f>IF(OR(B8481="",C8481="",D8481=""),"",D8481*100000+(C8481-DATE(2000,1,1))+ROW()/100000)</f>
        <v/>
      </c>
      <c r="F8481" s="46">
        <f>IF(E8481="","",IF(C8481&gt;WeekEndDate,"",E8481))</f>
        <v/>
      </c>
    </row>
    <row r="8482">
      <c r="A8482" t="inlineStr">
        <is>
          <t>Warranty &amp; Maintenance</t>
        </is>
      </c>
      <c r="B8482" s="46">
        <f>'Warranty &amp; Maintenance'!Z447</f>
        <v/>
      </c>
      <c r="C8482" s="84">
        <f>'Warranty &amp; Maintenance'!X447</f>
        <v/>
      </c>
      <c r="D8482" s="46">
        <f>'Warranty &amp; Maintenance'!Y447</f>
        <v/>
      </c>
      <c r="E8482" s="46">
        <f>IF(OR(B8482="",C8482="",D8482=""),"",D8482*100000+(C8482-DATE(2000,1,1))+ROW()/100000)</f>
        <v/>
      </c>
      <c r="F8482" s="46">
        <f>IF(E8482="","",IF(C8482&gt;WeekEndDate,"",E8482))</f>
        <v/>
      </c>
    </row>
    <row r="8483">
      <c r="A8483" t="inlineStr">
        <is>
          <t>Warranty &amp; Maintenance</t>
        </is>
      </c>
      <c r="B8483" s="46">
        <f>'Warranty &amp; Maintenance'!Z448</f>
        <v/>
      </c>
      <c r="C8483" s="84">
        <f>'Warranty &amp; Maintenance'!X448</f>
        <v/>
      </c>
      <c r="D8483" s="46">
        <f>'Warranty &amp; Maintenance'!Y448</f>
        <v/>
      </c>
      <c r="E8483" s="46">
        <f>IF(OR(B8483="",C8483="",D8483=""),"",D8483*100000+(C8483-DATE(2000,1,1))+ROW()/100000)</f>
        <v/>
      </c>
      <c r="F8483" s="46">
        <f>IF(E8483="","",IF(C8483&gt;WeekEndDate,"",E8483))</f>
        <v/>
      </c>
    </row>
    <row r="8484">
      <c r="A8484" t="inlineStr">
        <is>
          <t>Warranty &amp; Maintenance</t>
        </is>
      </c>
      <c r="B8484" s="46">
        <f>'Warranty &amp; Maintenance'!Z449</f>
        <v/>
      </c>
      <c r="C8484" s="84">
        <f>'Warranty &amp; Maintenance'!X449</f>
        <v/>
      </c>
      <c r="D8484" s="46">
        <f>'Warranty &amp; Maintenance'!Y449</f>
        <v/>
      </c>
      <c r="E8484" s="46">
        <f>IF(OR(B8484="",C8484="",D8484=""),"",D8484*100000+(C8484-DATE(2000,1,1))+ROW()/100000)</f>
        <v/>
      </c>
      <c r="F8484" s="46">
        <f>IF(E8484="","",IF(C8484&gt;WeekEndDate,"",E8484))</f>
        <v/>
      </c>
    </row>
    <row r="8485">
      <c r="A8485" t="inlineStr">
        <is>
          <t>Warranty &amp; Maintenance</t>
        </is>
      </c>
      <c r="B8485" s="46">
        <f>'Warranty &amp; Maintenance'!Z450</f>
        <v/>
      </c>
      <c r="C8485" s="84">
        <f>'Warranty &amp; Maintenance'!X450</f>
        <v/>
      </c>
      <c r="D8485" s="46">
        <f>'Warranty &amp; Maintenance'!Y450</f>
        <v/>
      </c>
      <c r="E8485" s="46">
        <f>IF(OR(B8485="",C8485="",D8485=""),"",D8485*100000+(C8485-DATE(2000,1,1))+ROW()/100000)</f>
        <v/>
      </c>
      <c r="F8485" s="46">
        <f>IF(E8485="","",IF(C8485&gt;WeekEndDate,"",E8485))</f>
        <v/>
      </c>
    </row>
    <row r="8486">
      <c r="A8486" t="inlineStr">
        <is>
          <t>Warranty &amp; Maintenance</t>
        </is>
      </c>
      <c r="B8486" s="46">
        <f>'Warranty &amp; Maintenance'!Z451</f>
        <v/>
      </c>
      <c r="C8486" s="84">
        <f>'Warranty &amp; Maintenance'!X451</f>
        <v/>
      </c>
      <c r="D8486" s="46">
        <f>'Warranty &amp; Maintenance'!Y451</f>
        <v/>
      </c>
      <c r="E8486" s="46">
        <f>IF(OR(B8486="",C8486="",D8486=""),"",D8486*100000+(C8486-DATE(2000,1,1))+ROW()/100000)</f>
        <v/>
      </c>
      <c r="F8486" s="46">
        <f>IF(E8486="","",IF(C8486&gt;WeekEndDate,"",E8486))</f>
        <v/>
      </c>
    </row>
    <row r="8487">
      <c r="A8487" t="inlineStr">
        <is>
          <t>Warranty &amp; Maintenance</t>
        </is>
      </c>
      <c r="B8487" s="46">
        <f>'Warranty &amp; Maintenance'!Z452</f>
        <v/>
      </c>
      <c r="C8487" s="84">
        <f>'Warranty &amp; Maintenance'!X452</f>
        <v/>
      </c>
      <c r="D8487" s="46">
        <f>'Warranty &amp; Maintenance'!Y452</f>
        <v/>
      </c>
      <c r="E8487" s="46">
        <f>IF(OR(B8487="",C8487="",D8487=""),"",D8487*100000+(C8487-DATE(2000,1,1))+ROW()/100000)</f>
        <v/>
      </c>
      <c r="F8487" s="46">
        <f>IF(E8487="","",IF(C8487&gt;WeekEndDate,"",E8487))</f>
        <v/>
      </c>
    </row>
    <row r="8488">
      <c r="A8488" t="inlineStr">
        <is>
          <t>Warranty &amp; Maintenance</t>
        </is>
      </c>
      <c r="B8488" s="46">
        <f>'Warranty &amp; Maintenance'!Z453</f>
        <v/>
      </c>
      <c r="C8488" s="84">
        <f>'Warranty &amp; Maintenance'!X453</f>
        <v/>
      </c>
      <c r="D8488" s="46">
        <f>'Warranty &amp; Maintenance'!Y453</f>
        <v/>
      </c>
      <c r="E8488" s="46">
        <f>IF(OR(B8488="",C8488="",D8488=""),"",D8488*100000+(C8488-DATE(2000,1,1))+ROW()/100000)</f>
        <v/>
      </c>
      <c r="F8488" s="46">
        <f>IF(E8488="","",IF(C8488&gt;WeekEndDate,"",E8488))</f>
        <v/>
      </c>
    </row>
    <row r="8489">
      <c r="A8489" t="inlineStr">
        <is>
          <t>Warranty &amp; Maintenance</t>
        </is>
      </c>
      <c r="B8489" s="46">
        <f>'Warranty &amp; Maintenance'!Z454</f>
        <v/>
      </c>
      <c r="C8489" s="84">
        <f>'Warranty &amp; Maintenance'!X454</f>
        <v/>
      </c>
      <c r="D8489" s="46">
        <f>'Warranty &amp; Maintenance'!Y454</f>
        <v/>
      </c>
      <c r="E8489" s="46">
        <f>IF(OR(B8489="",C8489="",D8489=""),"",D8489*100000+(C8489-DATE(2000,1,1))+ROW()/100000)</f>
        <v/>
      </c>
      <c r="F8489" s="46">
        <f>IF(E8489="","",IF(C8489&gt;WeekEndDate,"",E8489))</f>
        <v/>
      </c>
    </row>
    <row r="8490">
      <c r="A8490" t="inlineStr">
        <is>
          <t>Warranty &amp; Maintenance</t>
        </is>
      </c>
      <c r="B8490" s="46">
        <f>'Warranty &amp; Maintenance'!Z455</f>
        <v/>
      </c>
      <c r="C8490" s="84">
        <f>'Warranty &amp; Maintenance'!X455</f>
        <v/>
      </c>
      <c r="D8490" s="46">
        <f>'Warranty &amp; Maintenance'!Y455</f>
        <v/>
      </c>
      <c r="E8490" s="46">
        <f>IF(OR(B8490="",C8490="",D8490=""),"",D8490*100000+(C8490-DATE(2000,1,1))+ROW()/100000)</f>
        <v/>
      </c>
      <c r="F8490" s="46">
        <f>IF(E8490="","",IF(C8490&gt;WeekEndDate,"",E8490))</f>
        <v/>
      </c>
    </row>
    <row r="8491">
      <c r="A8491" t="inlineStr">
        <is>
          <t>Warranty &amp; Maintenance</t>
        </is>
      </c>
      <c r="B8491" s="46">
        <f>'Warranty &amp; Maintenance'!Z456</f>
        <v/>
      </c>
      <c r="C8491" s="84">
        <f>'Warranty &amp; Maintenance'!X456</f>
        <v/>
      </c>
      <c r="D8491" s="46">
        <f>'Warranty &amp; Maintenance'!Y456</f>
        <v/>
      </c>
      <c r="E8491" s="46">
        <f>IF(OR(B8491="",C8491="",D8491=""),"",D8491*100000+(C8491-DATE(2000,1,1))+ROW()/100000)</f>
        <v/>
      </c>
      <c r="F8491" s="46">
        <f>IF(E8491="","",IF(C8491&gt;WeekEndDate,"",E8491))</f>
        <v/>
      </c>
    </row>
    <row r="8492">
      <c r="A8492" t="inlineStr">
        <is>
          <t>Warranty &amp; Maintenance</t>
        </is>
      </c>
      <c r="B8492" s="46">
        <f>'Warranty &amp; Maintenance'!Z457</f>
        <v/>
      </c>
      <c r="C8492" s="84">
        <f>'Warranty &amp; Maintenance'!X457</f>
        <v/>
      </c>
      <c r="D8492" s="46">
        <f>'Warranty &amp; Maintenance'!Y457</f>
        <v/>
      </c>
      <c r="E8492" s="46">
        <f>IF(OR(B8492="",C8492="",D8492=""),"",D8492*100000+(C8492-DATE(2000,1,1))+ROW()/100000)</f>
        <v/>
      </c>
      <c r="F8492" s="46">
        <f>IF(E8492="","",IF(C8492&gt;WeekEndDate,"",E8492))</f>
        <v/>
      </c>
    </row>
    <row r="8493">
      <c r="A8493" t="inlineStr">
        <is>
          <t>Warranty &amp; Maintenance</t>
        </is>
      </c>
      <c r="B8493" s="46">
        <f>'Warranty &amp; Maintenance'!Z458</f>
        <v/>
      </c>
      <c r="C8493" s="84">
        <f>'Warranty &amp; Maintenance'!X458</f>
        <v/>
      </c>
      <c r="D8493" s="46">
        <f>'Warranty &amp; Maintenance'!Y458</f>
        <v/>
      </c>
      <c r="E8493" s="46">
        <f>IF(OR(B8493="",C8493="",D8493=""),"",D8493*100000+(C8493-DATE(2000,1,1))+ROW()/100000)</f>
        <v/>
      </c>
      <c r="F8493" s="46">
        <f>IF(E8493="","",IF(C8493&gt;WeekEndDate,"",E8493))</f>
        <v/>
      </c>
    </row>
    <row r="8494">
      <c r="A8494" t="inlineStr">
        <is>
          <t>Warranty &amp; Maintenance</t>
        </is>
      </c>
      <c r="B8494" s="46">
        <f>'Warranty &amp; Maintenance'!Z459</f>
        <v/>
      </c>
      <c r="C8494" s="84">
        <f>'Warranty &amp; Maintenance'!X459</f>
        <v/>
      </c>
      <c r="D8494" s="46">
        <f>'Warranty &amp; Maintenance'!Y459</f>
        <v/>
      </c>
      <c r="E8494" s="46">
        <f>IF(OR(B8494="",C8494="",D8494=""),"",D8494*100000+(C8494-DATE(2000,1,1))+ROW()/100000)</f>
        <v/>
      </c>
      <c r="F8494" s="46">
        <f>IF(E8494="","",IF(C8494&gt;WeekEndDate,"",E8494))</f>
        <v/>
      </c>
    </row>
    <row r="8495">
      <c r="A8495" t="inlineStr">
        <is>
          <t>Warranty &amp; Maintenance</t>
        </is>
      </c>
      <c r="B8495" s="46">
        <f>'Warranty &amp; Maintenance'!Z460</f>
        <v/>
      </c>
      <c r="C8495" s="84">
        <f>'Warranty &amp; Maintenance'!X460</f>
        <v/>
      </c>
      <c r="D8495" s="46">
        <f>'Warranty &amp; Maintenance'!Y460</f>
        <v/>
      </c>
      <c r="E8495" s="46">
        <f>IF(OR(B8495="",C8495="",D8495=""),"",D8495*100000+(C8495-DATE(2000,1,1))+ROW()/100000)</f>
        <v/>
      </c>
      <c r="F8495" s="46">
        <f>IF(E8495="","",IF(C8495&gt;WeekEndDate,"",E8495))</f>
        <v/>
      </c>
    </row>
    <row r="8496">
      <c r="A8496" t="inlineStr">
        <is>
          <t>Warranty &amp; Maintenance</t>
        </is>
      </c>
      <c r="B8496" s="46">
        <f>'Warranty &amp; Maintenance'!Z461</f>
        <v/>
      </c>
      <c r="C8496" s="84">
        <f>'Warranty &amp; Maintenance'!X461</f>
        <v/>
      </c>
      <c r="D8496" s="46">
        <f>'Warranty &amp; Maintenance'!Y461</f>
        <v/>
      </c>
      <c r="E8496" s="46">
        <f>IF(OR(B8496="",C8496="",D8496=""),"",D8496*100000+(C8496-DATE(2000,1,1))+ROW()/100000)</f>
        <v/>
      </c>
      <c r="F8496" s="46">
        <f>IF(E8496="","",IF(C8496&gt;WeekEndDate,"",E8496))</f>
        <v/>
      </c>
    </row>
    <row r="8497">
      <c r="A8497" t="inlineStr">
        <is>
          <t>Warranty &amp; Maintenance</t>
        </is>
      </c>
      <c r="B8497" s="46">
        <f>'Warranty &amp; Maintenance'!Z462</f>
        <v/>
      </c>
      <c r="C8497" s="84">
        <f>'Warranty &amp; Maintenance'!X462</f>
        <v/>
      </c>
      <c r="D8497" s="46">
        <f>'Warranty &amp; Maintenance'!Y462</f>
        <v/>
      </c>
      <c r="E8497" s="46">
        <f>IF(OR(B8497="",C8497="",D8497=""),"",D8497*100000+(C8497-DATE(2000,1,1))+ROW()/100000)</f>
        <v/>
      </c>
      <c r="F8497" s="46">
        <f>IF(E8497="","",IF(C8497&gt;WeekEndDate,"",E8497))</f>
        <v/>
      </c>
    </row>
    <row r="8498">
      <c r="A8498" t="inlineStr">
        <is>
          <t>Warranty &amp; Maintenance</t>
        </is>
      </c>
      <c r="B8498" s="46">
        <f>'Warranty &amp; Maintenance'!Z463</f>
        <v/>
      </c>
      <c r="C8498" s="84">
        <f>'Warranty &amp; Maintenance'!X463</f>
        <v/>
      </c>
      <c r="D8498" s="46">
        <f>'Warranty &amp; Maintenance'!Y463</f>
        <v/>
      </c>
      <c r="E8498" s="46">
        <f>IF(OR(B8498="",C8498="",D8498=""),"",D8498*100000+(C8498-DATE(2000,1,1))+ROW()/100000)</f>
        <v/>
      </c>
      <c r="F8498" s="46">
        <f>IF(E8498="","",IF(C8498&gt;WeekEndDate,"",E8498))</f>
        <v/>
      </c>
    </row>
    <row r="8499">
      <c r="A8499" t="inlineStr">
        <is>
          <t>Warranty &amp; Maintenance</t>
        </is>
      </c>
      <c r="B8499" s="46">
        <f>'Warranty &amp; Maintenance'!Z464</f>
        <v/>
      </c>
      <c r="C8499" s="84">
        <f>'Warranty &amp; Maintenance'!X464</f>
        <v/>
      </c>
      <c r="D8499" s="46">
        <f>'Warranty &amp; Maintenance'!Y464</f>
        <v/>
      </c>
      <c r="E8499" s="46">
        <f>IF(OR(B8499="",C8499="",D8499=""),"",D8499*100000+(C8499-DATE(2000,1,1))+ROW()/100000)</f>
        <v/>
      </c>
      <c r="F8499" s="46">
        <f>IF(E8499="","",IF(C8499&gt;WeekEndDate,"",E8499))</f>
        <v/>
      </c>
    </row>
    <row r="8500">
      <c r="A8500" t="inlineStr">
        <is>
          <t>Warranty &amp; Maintenance</t>
        </is>
      </c>
      <c r="B8500" s="46">
        <f>'Warranty &amp; Maintenance'!Z465</f>
        <v/>
      </c>
      <c r="C8500" s="84">
        <f>'Warranty &amp; Maintenance'!X465</f>
        <v/>
      </c>
      <c r="D8500" s="46">
        <f>'Warranty &amp; Maintenance'!Y465</f>
        <v/>
      </c>
      <c r="E8500" s="46">
        <f>IF(OR(B8500="",C8500="",D8500=""),"",D8500*100000+(C8500-DATE(2000,1,1))+ROW()/100000)</f>
        <v/>
      </c>
      <c r="F8500" s="46">
        <f>IF(E8500="","",IF(C8500&gt;WeekEndDate,"",E8500))</f>
        <v/>
      </c>
    </row>
    <row r="8501">
      <c r="A8501" t="inlineStr">
        <is>
          <t>Warranty &amp; Maintenance</t>
        </is>
      </c>
      <c r="B8501" s="46">
        <f>'Warranty &amp; Maintenance'!Z466</f>
        <v/>
      </c>
      <c r="C8501" s="84">
        <f>'Warranty &amp; Maintenance'!X466</f>
        <v/>
      </c>
      <c r="D8501" s="46">
        <f>'Warranty &amp; Maintenance'!Y466</f>
        <v/>
      </c>
      <c r="E8501" s="46">
        <f>IF(OR(B8501="",C8501="",D8501=""),"",D8501*100000+(C8501-DATE(2000,1,1))+ROW()/100000)</f>
        <v/>
      </c>
      <c r="F8501" s="46">
        <f>IF(E8501="","",IF(C8501&gt;WeekEndDate,"",E8501))</f>
        <v/>
      </c>
    </row>
    <row r="8502">
      <c r="A8502" t="inlineStr">
        <is>
          <t>Warranty &amp; Maintenance</t>
        </is>
      </c>
      <c r="B8502" s="46">
        <f>'Warranty &amp; Maintenance'!Z467</f>
        <v/>
      </c>
      <c r="C8502" s="84">
        <f>'Warranty &amp; Maintenance'!X467</f>
        <v/>
      </c>
      <c r="D8502" s="46">
        <f>'Warranty &amp; Maintenance'!Y467</f>
        <v/>
      </c>
      <c r="E8502" s="46">
        <f>IF(OR(B8502="",C8502="",D8502=""),"",D8502*100000+(C8502-DATE(2000,1,1))+ROW()/100000)</f>
        <v/>
      </c>
      <c r="F8502" s="46">
        <f>IF(E8502="","",IF(C8502&gt;WeekEndDate,"",E8502))</f>
        <v/>
      </c>
    </row>
    <row r="8503">
      <c r="A8503" t="inlineStr">
        <is>
          <t>Warranty &amp; Maintenance</t>
        </is>
      </c>
      <c r="B8503" s="46">
        <f>'Warranty &amp; Maintenance'!Z468</f>
        <v/>
      </c>
      <c r="C8503" s="84">
        <f>'Warranty &amp; Maintenance'!X468</f>
        <v/>
      </c>
      <c r="D8503" s="46">
        <f>'Warranty &amp; Maintenance'!Y468</f>
        <v/>
      </c>
      <c r="E8503" s="46">
        <f>IF(OR(B8503="",C8503="",D8503=""),"",D8503*100000+(C8503-DATE(2000,1,1))+ROW()/100000)</f>
        <v/>
      </c>
      <c r="F8503" s="46">
        <f>IF(E8503="","",IF(C8503&gt;WeekEndDate,"",E8503))</f>
        <v/>
      </c>
    </row>
    <row r="8504">
      <c r="A8504" t="inlineStr">
        <is>
          <t>Warranty &amp; Maintenance</t>
        </is>
      </c>
      <c r="B8504" s="46">
        <f>'Warranty &amp; Maintenance'!Z469</f>
        <v/>
      </c>
      <c r="C8504" s="84">
        <f>'Warranty &amp; Maintenance'!X469</f>
        <v/>
      </c>
      <c r="D8504" s="46">
        <f>'Warranty &amp; Maintenance'!Y469</f>
        <v/>
      </c>
      <c r="E8504" s="46">
        <f>IF(OR(B8504="",C8504="",D8504=""),"",D8504*100000+(C8504-DATE(2000,1,1))+ROW()/100000)</f>
        <v/>
      </c>
      <c r="F8504" s="46">
        <f>IF(E8504="","",IF(C8504&gt;WeekEndDate,"",E8504))</f>
        <v/>
      </c>
    </row>
    <row r="8505">
      <c r="A8505" t="inlineStr">
        <is>
          <t>Warranty &amp; Maintenance</t>
        </is>
      </c>
      <c r="B8505" s="46">
        <f>'Warranty &amp; Maintenance'!Z470</f>
        <v/>
      </c>
      <c r="C8505" s="84">
        <f>'Warranty &amp; Maintenance'!X470</f>
        <v/>
      </c>
      <c r="D8505" s="46">
        <f>'Warranty &amp; Maintenance'!Y470</f>
        <v/>
      </c>
      <c r="E8505" s="46">
        <f>IF(OR(B8505="",C8505="",D8505=""),"",D8505*100000+(C8505-DATE(2000,1,1))+ROW()/100000)</f>
        <v/>
      </c>
      <c r="F8505" s="46">
        <f>IF(E8505="","",IF(C8505&gt;WeekEndDate,"",E8505))</f>
        <v/>
      </c>
    </row>
    <row r="8506">
      <c r="A8506" t="inlineStr">
        <is>
          <t>Warranty &amp; Maintenance</t>
        </is>
      </c>
      <c r="B8506" s="46">
        <f>'Warranty &amp; Maintenance'!Z471</f>
        <v/>
      </c>
      <c r="C8506" s="84">
        <f>'Warranty &amp; Maintenance'!X471</f>
        <v/>
      </c>
      <c r="D8506" s="46">
        <f>'Warranty &amp; Maintenance'!Y471</f>
        <v/>
      </c>
      <c r="E8506" s="46">
        <f>IF(OR(B8506="",C8506="",D8506=""),"",D8506*100000+(C8506-DATE(2000,1,1))+ROW()/100000)</f>
        <v/>
      </c>
      <c r="F8506" s="46">
        <f>IF(E8506="","",IF(C8506&gt;WeekEndDate,"",E8506))</f>
        <v/>
      </c>
    </row>
    <row r="8507">
      <c r="A8507" t="inlineStr">
        <is>
          <t>Warranty &amp; Maintenance</t>
        </is>
      </c>
      <c r="B8507" s="46">
        <f>'Warranty &amp; Maintenance'!Z472</f>
        <v/>
      </c>
      <c r="C8507" s="84">
        <f>'Warranty &amp; Maintenance'!X472</f>
        <v/>
      </c>
      <c r="D8507" s="46">
        <f>'Warranty &amp; Maintenance'!Y472</f>
        <v/>
      </c>
      <c r="E8507" s="46">
        <f>IF(OR(B8507="",C8507="",D8507=""),"",D8507*100000+(C8507-DATE(2000,1,1))+ROW()/100000)</f>
        <v/>
      </c>
      <c r="F8507" s="46">
        <f>IF(E8507="","",IF(C8507&gt;WeekEndDate,"",E8507))</f>
        <v/>
      </c>
    </row>
    <row r="8508">
      <c r="A8508" t="inlineStr">
        <is>
          <t>Warranty &amp; Maintenance</t>
        </is>
      </c>
      <c r="B8508" s="46">
        <f>'Warranty &amp; Maintenance'!Z473</f>
        <v/>
      </c>
      <c r="C8508" s="84">
        <f>'Warranty &amp; Maintenance'!X473</f>
        <v/>
      </c>
      <c r="D8508" s="46">
        <f>'Warranty &amp; Maintenance'!Y473</f>
        <v/>
      </c>
      <c r="E8508" s="46">
        <f>IF(OR(B8508="",C8508="",D8508=""),"",D8508*100000+(C8508-DATE(2000,1,1))+ROW()/100000)</f>
        <v/>
      </c>
      <c r="F8508" s="46">
        <f>IF(E8508="","",IF(C8508&gt;WeekEndDate,"",E8508))</f>
        <v/>
      </c>
    </row>
    <row r="8509">
      <c r="A8509" t="inlineStr">
        <is>
          <t>Warranty &amp; Maintenance</t>
        </is>
      </c>
      <c r="B8509" s="46">
        <f>'Warranty &amp; Maintenance'!Z474</f>
        <v/>
      </c>
      <c r="C8509" s="84">
        <f>'Warranty &amp; Maintenance'!X474</f>
        <v/>
      </c>
      <c r="D8509" s="46">
        <f>'Warranty &amp; Maintenance'!Y474</f>
        <v/>
      </c>
      <c r="E8509" s="46">
        <f>IF(OR(B8509="",C8509="",D8509=""),"",D8509*100000+(C8509-DATE(2000,1,1))+ROW()/100000)</f>
        <v/>
      </c>
      <c r="F8509" s="46">
        <f>IF(E8509="","",IF(C8509&gt;WeekEndDate,"",E8509))</f>
        <v/>
      </c>
    </row>
    <row r="8510">
      <c r="A8510" t="inlineStr">
        <is>
          <t>Warranty &amp; Maintenance</t>
        </is>
      </c>
      <c r="B8510" s="46">
        <f>'Warranty &amp; Maintenance'!Z475</f>
        <v/>
      </c>
      <c r="C8510" s="84">
        <f>'Warranty &amp; Maintenance'!X475</f>
        <v/>
      </c>
      <c r="D8510" s="46">
        <f>'Warranty &amp; Maintenance'!Y475</f>
        <v/>
      </c>
      <c r="E8510" s="46">
        <f>IF(OR(B8510="",C8510="",D8510=""),"",D8510*100000+(C8510-DATE(2000,1,1))+ROW()/100000)</f>
        <v/>
      </c>
      <c r="F8510" s="46">
        <f>IF(E8510="","",IF(C8510&gt;WeekEndDate,"",E8510))</f>
        <v/>
      </c>
    </row>
    <row r="8511">
      <c r="A8511" t="inlineStr">
        <is>
          <t>Warranty &amp; Maintenance</t>
        </is>
      </c>
      <c r="B8511" s="46">
        <f>'Warranty &amp; Maintenance'!Z476</f>
        <v/>
      </c>
      <c r="C8511" s="84">
        <f>'Warranty &amp; Maintenance'!X476</f>
        <v/>
      </c>
      <c r="D8511" s="46">
        <f>'Warranty &amp; Maintenance'!Y476</f>
        <v/>
      </c>
      <c r="E8511" s="46">
        <f>IF(OR(B8511="",C8511="",D8511=""),"",D8511*100000+(C8511-DATE(2000,1,1))+ROW()/100000)</f>
        <v/>
      </c>
      <c r="F8511" s="46">
        <f>IF(E8511="","",IF(C8511&gt;WeekEndDate,"",E8511))</f>
        <v/>
      </c>
    </row>
    <row r="8512">
      <c r="A8512" t="inlineStr">
        <is>
          <t>Warranty &amp; Maintenance</t>
        </is>
      </c>
      <c r="B8512" s="46">
        <f>'Warranty &amp; Maintenance'!Z477</f>
        <v/>
      </c>
      <c r="C8512" s="84">
        <f>'Warranty &amp; Maintenance'!X477</f>
        <v/>
      </c>
      <c r="D8512" s="46">
        <f>'Warranty &amp; Maintenance'!Y477</f>
        <v/>
      </c>
      <c r="E8512" s="46">
        <f>IF(OR(B8512="",C8512="",D8512=""),"",D8512*100000+(C8512-DATE(2000,1,1))+ROW()/100000)</f>
        <v/>
      </c>
      <c r="F8512" s="46">
        <f>IF(E8512="","",IF(C8512&gt;WeekEndDate,"",E8512))</f>
        <v/>
      </c>
    </row>
    <row r="8513">
      <c r="A8513" t="inlineStr">
        <is>
          <t>Warranty &amp; Maintenance</t>
        </is>
      </c>
      <c r="B8513" s="46">
        <f>'Warranty &amp; Maintenance'!Z478</f>
        <v/>
      </c>
      <c r="C8513" s="84">
        <f>'Warranty &amp; Maintenance'!X478</f>
        <v/>
      </c>
      <c r="D8513" s="46">
        <f>'Warranty &amp; Maintenance'!Y478</f>
        <v/>
      </c>
      <c r="E8513" s="46">
        <f>IF(OR(B8513="",C8513="",D8513=""),"",D8513*100000+(C8513-DATE(2000,1,1))+ROW()/100000)</f>
        <v/>
      </c>
      <c r="F8513" s="46">
        <f>IF(E8513="","",IF(C8513&gt;WeekEndDate,"",E8513))</f>
        <v/>
      </c>
    </row>
    <row r="8514">
      <c r="A8514" t="inlineStr">
        <is>
          <t>Warranty &amp; Maintenance</t>
        </is>
      </c>
      <c r="B8514" s="46">
        <f>'Warranty &amp; Maintenance'!Z479</f>
        <v/>
      </c>
      <c r="C8514" s="84">
        <f>'Warranty &amp; Maintenance'!X479</f>
        <v/>
      </c>
      <c r="D8514" s="46">
        <f>'Warranty &amp; Maintenance'!Y479</f>
        <v/>
      </c>
      <c r="E8514" s="46">
        <f>IF(OR(B8514="",C8514="",D8514=""),"",D8514*100000+(C8514-DATE(2000,1,1))+ROW()/100000)</f>
        <v/>
      </c>
      <c r="F8514" s="46">
        <f>IF(E8514="","",IF(C8514&gt;WeekEndDate,"",E8514))</f>
        <v/>
      </c>
    </row>
    <row r="8515">
      <c r="A8515" t="inlineStr">
        <is>
          <t>Warranty &amp; Maintenance</t>
        </is>
      </c>
      <c r="B8515" s="46">
        <f>'Warranty &amp; Maintenance'!Z480</f>
        <v/>
      </c>
      <c r="C8515" s="84">
        <f>'Warranty &amp; Maintenance'!X480</f>
        <v/>
      </c>
      <c r="D8515" s="46">
        <f>'Warranty &amp; Maintenance'!Y480</f>
        <v/>
      </c>
      <c r="E8515" s="46">
        <f>IF(OR(B8515="",C8515="",D8515=""),"",D8515*100000+(C8515-DATE(2000,1,1))+ROW()/100000)</f>
        <v/>
      </c>
      <c r="F8515" s="46">
        <f>IF(E8515="","",IF(C8515&gt;WeekEndDate,"",E8515))</f>
        <v/>
      </c>
    </row>
    <row r="8516">
      <c r="A8516" t="inlineStr">
        <is>
          <t>Warranty &amp; Maintenance</t>
        </is>
      </c>
      <c r="B8516" s="46">
        <f>'Warranty &amp; Maintenance'!Z481</f>
        <v/>
      </c>
      <c r="C8516" s="84">
        <f>'Warranty &amp; Maintenance'!X481</f>
        <v/>
      </c>
      <c r="D8516" s="46">
        <f>'Warranty &amp; Maintenance'!Y481</f>
        <v/>
      </c>
      <c r="E8516" s="46">
        <f>IF(OR(B8516="",C8516="",D8516=""),"",D8516*100000+(C8516-DATE(2000,1,1))+ROW()/100000)</f>
        <v/>
      </c>
      <c r="F8516" s="46">
        <f>IF(E8516="","",IF(C8516&gt;WeekEndDate,"",E8516))</f>
        <v/>
      </c>
    </row>
    <row r="8517">
      <c r="A8517" t="inlineStr">
        <is>
          <t>Warranty &amp; Maintenance</t>
        </is>
      </c>
      <c r="B8517" s="46">
        <f>'Warranty &amp; Maintenance'!Z482</f>
        <v/>
      </c>
      <c r="C8517" s="84">
        <f>'Warranty &amp; Maintenance'!X482</f>
        <v/>
      </c>
      <c r="D8517" s="46">
        <f>'Warranty &amp; Maintenance'!Y482</f>
        <v/>
      </c>
      <c r="E8517" s="46">
        <f>IF(OR(B8517="",C8517="",D8517=""),"",D8517*100000+(C8517-DATE(2000,1,1))+ROW()/100000)</f>
        <v/>
      </c>
      <c r="F8517" s="46">
        <f>IF(E8517="","",IF(C8517&gt;WeekEndDate,"",E8517))</f>
        <v/>
      </c>
    </row>
    <row r="8518">
      <c r="A8518" t="inlineStr">
        <is>
          <t>Warranty &amp; Maintenance</t>
        </is>
      </c>
      <c r="B8518" s="46">
        <f>'Warranty &amp; Maintenance'!Z483</f>
        <v/>
      </c>
      <c r="C8518" s="84">
        <f>'Warranty &amp; Maintenance'!X483</f>
        <v/>
      </c>
      <c r="D8518" s="46">
        <f>'Warranty &amp; Maintenance'!Y483</f>
        <v/>
      </c>
      <c r="E8518" s="46">
        <f>IF(OR(B8518="",C8518="",D8518=""),"",D8518*100000+(C8518-DATE(2000,1,1))+ROW()/100000)</f>
        <v/>
      </c>
      <c r="F8518" s="46">
        <f>IF(E8518="","",IF(C8518&gt;WeekEndDate,"",E8518))</f>
        <v/>
      </c>
    </row>
    <row r="8519">
      <c r="A8519" t="inlineStr">
        <is>
          <t>Warranty &amp; Maintenance</t>
        </is>
      </c>
      <c r="B8519" s="46">
        <f>'Warranty &amp; Maintenance'!Z484</f>
        <v/>
      </c>
      <c r="C8519" s="84">
        <f>'Warranty &amp; Maintenance'!X484</f>
        <v/>
      </c>
      <c r="D8519" s="46">
        <f>'Warranty &amp; Maintenance'!Y484</f>
        <v/>
      </c>
      <c r="E8519" s="46">
        <f>IF(OR(B8519="",C8519="",D8519=""),"",D8519*100000+(C8519-DATE(2000,1,1))+ROW()/100000)</f>
        <v/>
      </c>
      <c r="F8519" s="46">
        <f>IF(E8519="","",IF(C8519&gt;WeekEndDate,"",E8519))</f>
        <v/>
      </c>
    </row>
    <row r="8520">
      <c r="A8520" t="inlineStr">
        <is>
          <t>Warranty &amp; Maintenance</t>
        </is>
      </c>
      <c r="B8520" s="46">
        <f>'Warranty &amp; Maintenance'!Z485</f>
        <v/>
      </c>
      <c r="C8520" s="84">
        <f>'Warranty &amp; Maintenance'!X485</f>
        <v/>
      </c>
      <c r="D8520" s="46">
        <f>'Warranty &amp; Maintenance'!Y485</f>
        <v/>
      </c>
      <c r="E8520" s="46">
        <f>IF(OR(B8520="",C8520="",D8520=""),"",D8520*100000+(C8520-DATE(2000,1,1))+ROW()/100000)</f>
        <v/>
      </c>
      <c r="F8520" s="46">
        <f>IF(E8520="","",IF(C8520&gt;WeekEndDate,"",E8520))</f>
        <v/>
      </c>
    </row>
    <row r="8521">
      <c r="A8521" t="inlineStr">
        <is>
          <t>Warranty &amp; Maintenance</t>
        </is>
      </c>
      <c r="B8521" s="46">
        <f>'Warranty &amp; Maintenance'!Z486</f>
        <v/>
      </c>
      <c r="C8521" s="84">
        <f>'Warranty &amp; Maintenance'!X486</f>
        <v/>
      </c>
      <c r="D8521" s="46">
        <f>'Warranty &amp; Maintenance'!Y486</f>
        <v/>
      </c>
      <c r="E8521" s="46">
        <f>IF(OR(B8521="",C8521="",D8521=""),"",D8521*100000+(C8521-DATE(2000,1,1))+ROW()/100000)</f>
        <v/>
      </c>
      <c r="F8521" s="46">
        <f>IF(E8521="","",IF(C8521&gt;WeekEndDate,"",E8521))</f>
        <v/>
      </c>
    </row>
    <row r="8522">
      <c r="A8522" t="inlineStr">
        <is>
          <t>Warranty &amp; Maintenance</t>
        </is>
      </c>
      <c r="B8522" s="46">
        <f>'Warranty &amp; Maintenance'!Z487</f>
        <v/>
      </c>
      <c r="C8522" s="84">
        <f>'Warranty &amp; Maintenance'!X487</f>
        <v/>
      </c>
      <c r="D8522" s="46">
        <f>'Warranty &amp; Maintenance'!Y487</f>
        <v/>
      </c>
      <c r="E8522" s="46">
        <f>IF(OR(B8522="",C8522="",D8522=""),"",D8522*100000+(C8522-DATE(2000,1,1))+ROW()/100000)</f>
        <v/>
      </c>
      <c r="F8522" s="46">
        <f>IF(E8522="","",IF(C8522&gt;WeekEndDate,"",E8522))</f>
        <v/>
      </c>
    </row>
    <row r="8523">
      <c r="A8523" t="inlineStr">
        <is>
          <t>Warranty &amp; Maintenance</t>
        </is>
      </c>
      <c r="B8523" s="46">
        <f>'Warranty &amp; Maintenance'!Z488</f>
        <v/>
      </c>
      <c r="C8523" s="84">
        <f>'Warranty &amp; Maintenance'!X488</f>
        <v/>
      </c>
      <c r="D8523" s="46">
        <f>'Warranty &amp; Maintenance'!Y488</f>
        <v/>
      </c>
      <c r="E8523" s="46">
        <f>IF(OR(B8523="",C8523="",D8523=""),"",D8523*100000+(C8523-DATE(2000,1,1))+ROW()/100000)</f>
        <v/>
      </c>
      <c r="F8523" s="46">
        <f>IF(E8523="","",IF(C8523&gt;WeekEndDate,"",E8523))</f>
        <v/>
      </c>
    </row>
    <row r="8524">
      <c r="A8524" t="inlineStr">
        <is>
          <t>Warranty &amp; Maintenance</t>
        </is>
      </c>
      <c r="B8524" s="46">
        <f>'Warranty &amp; Maintenance'!Z489</f>
        <v/>
      </c>
      <c r="C8524" s="84">
        <f>'Warranty &amp; Maintenance'!X489</f>
        <v/>
      </c>
      <c r="D8524" s="46">
        <f>'Warranty &amp; Maintenance'!Y489</f>
        <v/>
      </c>
      <c r="E8524" s="46">
        <f>IF(OR(B8524="",C8524="",D8524=""),"",D8524*100000+(C8524-DATE(2000,1,1))+ROW()/100000)</f>
        <v/>
      </c>
      <c r="F8524" s="46">
        <f>IF(E8524="","",IF(C8524&gt;WeekEndDate,"",E8524))</f>
        <v/>
      </c>
    </row>
    <row r="8525">
      <c r="A8525" t="inlineStr">
        <is>
          <t>Warranty &amp; Maintenance</t>
        </is>
      </c>
      <c r="B8525" s="46">
        <f>'Warranty &amp; Maintenance'!Z490</f>
        <v/>
      </c>
      <c r="C8525" s="84">
        <f>'Warranty &amp; Maintenance'!X490</f>
        <v/>
      </c>
      <c r="D8525" s="46">
        <f>'Warranty &amp; Maintenance'!Y490</f>
        <v/>
      </c>
      <c r="E8525" s="46">
        <f>IF(OR(B8525="",C8525="",D8525=""),"",D8525*100000+(C8525-DATE(2000,1,1))+ROW()/100000)</f>
        <v/>
      </c>
      <c r="F8525" s="46">
        <f>IF(E8525="","",IF(C8525&gt;WeekEndDate,"",E8525))</f>
        <v/>
      </c>
    </row>
    <row r="8526">
      <c r="A8526" t="inlineStr">
        <is>
          <t>Warranty &amp; Maintenance</t>
        </is>
      </c>
      <c r="B8526" s="46">
        <f>'Warranty &amp; Maintenance'!Z491</f>
        <v/>
      </c>
      <c r="C8526" s="84">
        <f>'Warranty &amp; Maintenance'!X491</f>
        <v/>
      </c>
      <c r="D8526" s="46">
        <f>'Warranty &amp; Maintenance'!Y491</f>
        <v/>
      </c>
      <c r="E8526" s="46">
        <f>IF(OR(B8526="",C8526="",D8526=""),"",D8526*100000+(C8526-DATE(2000,1,1))+ROW()/100000)</f>
        <v/>
      </c>
      <c r="F8526" s="46">
        <f>IF(E8526="","",IF(C8526&gt;WeekEndDate,"",E8526))</f>
        <v/>
      </c>
    </row>
    <row r="8527">
      <c r="A8527" t="inlineStr">
        <is>
          <t>Warranty &amp; Maintenance</t>
        </is>
      </c>
      <c r="B8527" s="46">
        <f>'Warranty &amp; Maintenance'!Z492</f>
        <v/>
      </c>
      <c r="C8527" s="84">
        <f>'Warranty &amp; Maintenance'!X492</f>
        <v/>
      </c>
      <c r="D8527" s="46">
        <f>'Warranty &amp; Maintenance'!Y492</f>
        <v/>
      </c>
      <c r="E8527" s="46">
        <f>IF(OR(B8527="",C8527="",D8527=""),"",D8527*100000+(C8527-DATE(2000,1,1))+ROW()/100000)</f>
        <v/>
      </c>
      <c r="F8527" s="46">
        <f>IF(E8527="","",IF(C8527&gt;WeekEndDate,"",E8527))</f>
        <v/>
      </c>
    </row>
    <row r="8528">
      <c r="A8528" t="inlineStr">
        <is>
          <t>Warranty &amp; Maintenance</t>
        </is>
      </c>
      <c r="B8528" s="46">
        <f>'Warranty &amp; Maintenance'!Z493</f>
        <v/>
      </c>
      <c r="C8528" s="84">
        <f>'Warranty &amp; Maintenance'!X493</f>
        <v/>
      </c>
      <c r="D8528" s="46">
        <f>'Warranty &amp; Maintenance'!Y493</f>
        <v/>
      </c>
      <c r="E8528" s="46">
        <f>IF(OR(B8528="",C8528="",D8528=""),"",D8528*100000+(C8528-DATE(2000,1,1))+ROW()/100000)</f>
        <v/>
      </c>
      <c r="F8528" s="46">
        <f>IF(E8528="","",IF(C8528&gt;WeekEndDate,"",E8528))</f>
        <v/>
      </c>
    </row>
    <row r="8529">
      <c r="A8529" t="inlineStr">
        <is>
          <t>Warranty &amp; Maintenance</t>
        </is>
      </c>
      <c r="B8529" s="46">
        <f>'Warranty &amp; Maintenance'!Z494</f>
        <v/>
      </c>
      <c r="C8529" s="84">
        <f>'Warranty &amp; Maintenance'!X494</f>
        <v/>
      </c>
      <c r="D8529" s="46">
        <f>'Warranty &amp; Maintenance'!Y494</f>
        <v/>
      </c>
      <c r="E8529" s="46">
        <f>IF(OR(B8529="",C8529="",D8529=""),"",D8529*100000+(C8529-DATE(2000,1,1))+ROW()/100000)</f>
        <v/>
      </c>
      <c r="F8529" s="46">
        <f>IF(E8529="","",IF(C8529&gt;WeekEndDate,"",E8529))</f>
        <v/>
      </c>
    </row>
    <row r="8530">
      <c r="A8530" t="inlineStr">
        <is>
          <t>Warranty &amp; Maintenance</t>
        </is>
      </c>
      <c r="B8530" s="46">
        <f>'Warranty &amp; Maintenance'!Z495</f>
        <v/>
      </c>
      <c r="C8530" s="84">
        <f>'Warranty &amp; Maintenance'!X495</f>
        <v/>
      </c>
      <c r="D8530" s="46">
        <f>'Warranty &amp; Maintenance'!Y495</f>
        <v/>
      </c>
      <c r="E8530" s="46">
        <f>IF(OR(B8530="",C8530="",D8530=""),"",D8530*100000+(C8530-DATE(2000,1,1))+ROW()/100000)</f>
        <v/>
      </c>
      <c r="F8530" s="46">
        <f>IF(E8530="","",IF(C8530&gt;WeekEndDate,"",E8530))</f>
        <v/>
      </c>
    </row>
    <row r="8531">
      <c r="A8531" t="inlineStr">
        <is>
          <t>Warranty &amp; Maintenance</t>
        </is>
      </c>
      <c r="B8531" s="46">
        <f>'Warranty &amp; Maintenance'!Z496</f>
        <v/>
      </c>
      <c r="C8531" s="84">
        <f>'Warranty &amp; Maintenance'!X496</f>
        <v/>
      </c>
      <c r="D8531" s="46">
        <f>'Warranty &amp; Maintenance'!Y496</f>
        <v/>
      </c>
      <c r="E8531" s="46">
        <f>IF(OR(B8531="",C8531="",D8531=""),"",D8531*100000+(C8531-DATE(2000,1,1))+ROW()/100000)</f>
        <v/>
      </c>
      <c r="F8531" s="46">
        <f>IF(E8531="","",IF(C8531&gt;WeekEndDate,"",E8531))</f>
        <v/>
      </c>
    </row>
    <row r="8532">
      <c r="A8532" t="inlineStr">
        <is>
          <t>Warranty &amp; Maintenance</t>
        </is>
      </c>
      <c r="B8532" s="46">
        <f>'Warranty &amp; Maintenance'!Z497</f>
        <v/>
      </c>
      <c r="C8532" s="84">
        <f>'Warranty &amp; Maintenance'!X497</f>
        <v/>
      </c>
      <c r="D8532" s="46">
        <f>'Warranty &amp; Maintenance'!Y497</f>
        <v/>
      </c>
      <c r="E8532" s="46">
        <f>IF(OR(B8532="",C8532="",D8532=""),"",D8532*100000+(C8532-DATE(2000,1,1))+ROW()/100000)</f>
        <v/>
      </c>
      <c r="F8532" s="46">
        <f>IF(E8532="","",IF(C8532&gt;WeekEndDate,"",E8532))</f>
        <v/>
      </c>
    </row>
    <row r="8533">
      <c r="A8533" t="inlineStr">
        <is>
          <t>Warranty &amp; Maintenance</t>
        </is>
      </c>
      <c r="B8533" s="46">
        <f>'Warranty &amp; Maintenance'!Z498</f>
        <v/>
      </c>
      <c r="C8533" s="84">
        <f>'Warranty &amp; Maintenance'!X498</f>
        <v/>
      </c>
      <c r="D8533" s="46">
        <f>'Warranty &amp; Maintenance'!Y498</f>
        <v/>
      </c>
      <c r="E8533" s="46">
        <f>IF(OR(B8533="",C8533="",D8533=""),"",D8533*100000+(C8533-DATE(2000,1,1))+ROW()/100000)</f>
        <v/>
      </c>
      <c r="F8533" s="46">
        <f>IF(E8533="","",IF(C8533&gt;WeekEndDate,"",E8533))</f>
        <v/>
      </c>
    </row>
    <row r="8534">
      <c r="A8534" t="inlineStr">
        <is>
          <t>Warranty &amp; Maintenance</t>
        </is>
      </c>
      <c r="B8534" s="46">
        <f>'Warranty &amp; Maintenance'!Z499</f>
        <v/>
      </c>
      <c r="C8534" s="84">
        <f>'Warranty &amp; Maintenance'!X499</f>
        <v/>
      </c>
      <c r="D8534" s="46">
        <f>'Warranty &amp; Maintenance'!Y499</f>
        <v/>
      </c>
      <c r="E8534" s="46">
        <f>IF(OR(B8534="",C8534="",D8534=""),"",D8534*100000+(C8534-DATE(2000,1,1))+ROW()/100000)</f>
        <v/>
      </c>
      <c r="F8534" s="46">
        <f>IF(E8534="","",IF(C8534&gt;WeekEndDate,"",E8534))</f>
        <v/>
      </c>
    </row>
    <row r="8535">
      <c r="A8535" t="inlineStr">
        <is>
          <t>Warranty &amp; Maintenance</t>
        </is>
      </c>
      <c r="B8535" s="46">
        <f>'Warranty &amp; Maintenance'!Z500</f>
        <v/>
      </c>
      <c r="C8535" s="84">
        <f>'Warranty &amp; Maintenance'!X500</f>
        <v/>
      </c>
      <c r="D8535" s="46">
        <f>'Warranty &amp; Maintenance'!Y500</f>
        <v/>
      </c>
      <c r="E8535" s="46">
        <f>IF(OR(B8535="",C8535="",D8535=""),"",D8535*100000+(C8535-DATE(2000,1,1))+ROW()/100000)</f>
        <v/>
      </c>
      <c r="F8535" s="46">
        <f>IF(E8535="","",IF(C8535&gt;WeekEndDate,"",E8535))</f>
        <v/>
      </c>
    </row>
    <row r="8536">
      <c r="A8536" t="inlineStr">
        <is>
          <t>Warranty &amp; Maintenance</t>
        </is>
      </c>
      <c r="B8536" s="46">
        <f>'Warranty &amp; Maintenance'!Z501</f>
        <v/>
      </c>
      <c r="C8536" s="84">
        <f>'Warranty &amp; Maintenance'!X501</f>
        <v/>
      </c>
      <c r="D8536" s="46">
        <f>'Warranty &amp; Maintenance'!Y501</f>
        <v/>
      </c>
      <c r="E8536" s="46">
        <f>IF(OR(B8536="",C8536="",D8536=""),"",D8536*100000+(C8536-DATE(2000,1,1))+ROW()/100000)</f>
        <v/>
      </c>
      <c r="F8536" s="46">
        <f>IF(E8536="","",IF(C8536&gt;WeekEndDate,"",E8536))</f>
        <v/>
      </c>
    </row>
    <row r="8537">
      <c r="A8537" t="inlineStr">
        <is>
          <t>Warranty &amp; Maintenance</t>
        </is>
      </c>
      <c r="B8537" s="46">
        <f>'Warranty &amp; Maintenance'!Z502</f>
        <v/>
      </c>
      <c r="C8537" s="84">
        <f>'Warranty &amp; Maintenance'!X502</f>
        <v/>
      </c>
      <c r="D8537" s="46">
        <f>'Warranty &amp; Maintenance'!Y502</f>
        <v/>
      </c>
      <c r="E8537" s="46">
        <f>IF(OR(B8537="",C8537="",D8537=""),"",D8537*100000+(C8537-DATE(2000,1,1))+ROW()/100000)</f>
        <v/>
      </c>
      <c r="F8537" s="46">
        <f>IF(E8537="","",IF(C8537&gt;WeekEndDate,"",E8537))</f>
        <v/>
      </c>
    </row>
    <row r="8538">
      <c r="A8538" t="inlineStr">
        <is>
          <t>Warranty &amp; Maintenance</t>
        </is>
      </c>
      <c r="B8538" s="46">
        <f>'Warranty &amp; Maintenance'!Z503</f>
        <v/>
      </c>
      <c r="C8538" s="84">
        <f>'Warranty &amp; Maintenance'!X503</f>
        <v/>
      </c>
      <c r="D8538" s="46">
        <f>'Warranty &amp; Maintenance'!Y503</f>
        <v/>
      </c>
      <c r="E8538" s="46">
        <f>IF(OR(B8538="",C8538="",D8538=""),"",D8538*100000+(C8538-DATE(2000,1,1))+ROW()/100000)</f>
        <v/>
      </c>
      <c r="F8538" s="46">
        <f>IF(E8538="","",IF(C8538&gt;WeekEndDate,"",E8538))</f>
        <v/>
      </c>
    </row>
    <row r="8539">
      <c r="A8539" t="inlineStr">
        <is>
          <t>Warranty &amp; Maintenance</t>
        </is>
      </c>
      <c r="B8539" s="46">
        <f>'Warranty &amp; Maintenance'!Z504</f>
        <v/>
      </c>
      <c r="C8539" s="84">
        <f>'Warranty &amp; Maintenance'!X504</f>
        <v/>
      </c>
      <c r="D8539" s="46">
        <f>'Warranty &amp; Maintenance'!Y504</f>
        <v/>
      </c>
      <c r="E8539" s="46">
        <f>IF(OR(B8539="",C8539="",D8539=""),"",D8539*100000+(C8539-DATE(2000,1,1))+ROW()/100000)</f>
        <v/>
      </c>
      <c r="F8539" s="46">
        <f>IF(E8539="","",IF(C8539&gt;WeekEndDate,"",E8539))</f>
        <v/>
      </c>
    </row>
    <row r="8540">
      <c r="A8540" t="inlineStr">
        <is>
          <t>Warranty &amp; Maintenance</t>
        </is>
      </c>
      <c r="B8540" s="46">
        <f>'Warranty &amp; Maintenance'!Z505</f>
        <v/>
      </c>
      <c r="C8540" s="84">
        <f>'Warranty &amp; Maintenance'!X505</f>
        <v/>
      </c>
      <c r="D8540" s="46">
        <f>'Warranty &amp; Maintenance'!Y505</f>
        <v/>
      </c>
      <c r="E8540" s="46">
        <f>IF(OR(B8540="",C8540="",D8540=""),"",D8540*100000+(C8540-DATE(2000,1,1))+ROW()/100000)</f>
        <v/>
      </c>
      <c r="F8540" s="46">
        <f>IF(E8540="","",IF(C8540&gt;WeekEndDate,"",E8540))</f>
        <v/>
      </c>
    </row>
    <row r="8541">
      <c r="A8541" t="inlineStr">
        <is>
          <t>Warranty &amp; Maintenance</t>
        </is>
      </c>
      <c r="B8541" s="46">
        <f>'Warranty &amp; Maintenance'!Z506</f>
        <v/>
      </c>
      <c r="C8541" s="84">
        <f>'Warranty &amp; Maintenance'!X506</f>
        <v/>
      </c>
      <c r="D8541" s="46">
        <f>'Warranty &amp; Maintenance'!Y506</f>
        <v/>
      </c>
      <c r="E8541" s="46">
        <f>IF(OR(B8541="",C8541="",D8541=""),"",D8541*100000+(C8541-DATE(2000,1,1))+ROW()/100000)</f>
        <v/>
      </c>
      <c r="F8541" s="46">
        <f>IF(E8541="","",IF(C8541&gt;WeekEndDate,"",E8541))</f>
        <v/>
      </c>
    </row>
    <row r="8542">
      <c r="A8542" t="inlineStr">
        <is>
          <t>Warranty &amp; Maintenance</t>
        </is>
      </c>
      <c r="B8542" s="46">
        <f>'Warranty &amp; Maintenance'!Z507</f>
        <v/>
      </c>
      <c r="C8542" s="84">
        <f>'Warranty &amp; Maintenance'!X507</f>
        <v/>
      </c>
      <c r="D8542" s="46">
        <f>'Warranty &amp; Maintenance'!Y507</f>
        <v/>
      </c>
      <c r="E8542" s="46">
        <f>IF(OR(B8542="",C8542="",D8542=""),"",D8542*100000+(C8542-DATE(2000,1,1))+ROW()/100000)</f>
        <v/>
      </c>
      <c r="F8542" s="46">
        <f>IF(E8542="","",IF(C8542&gt;WeekEndDate,"",E8542))</f>
        <v/>
      </c>
    </row>
    <row r="8543">
      <c r="A8543" t="inlineStr">
        <is>
          <t>Warranty &amp; Maintenance</t>
        </is>
      </c>
      <c r="B8543" s="46">
        <f>'Warranty &amp; Maintenance'!Z508</f>
        <v/>
      </c>
      <c r="C8543" s="84">
        <f>'Warranty &amp; Maintenance'!X508</f>
        <v/>
      </c>
      <c r="D8543" s="46">
        <f>'Warranty &amp; Maintenance'!Y508</f>
        <v/>
      </c>
      <c r="E8543" s="46">
        <f>IF(OR(B8543="",C8543="",D8543=""),"",D8543*100000+(C8543-DATE(2000,1,1))+ROW()/100000)</f>
        <v/>
      </c>
      <c r="F8543" s="46">
        <f>IF(E8543="","",IF(C8543&gt;WeekEndDate,"",E8543))</f>
        <v/>
      </c>
    </row>
    <row r="8544">
      <c r="A8544" t="inlineStr">
        <is>
          <t>Warranty &amp; Maintenance</t>
        </is>
      </c>
      <c r="B8544" s="46">
        <f>'Warranty &amp; Maintenance'!Z509</f>
        <v/>
      </c>
      <c r="C8544" s="84">
        <f>'Warranty &amp; Maintenance'!X509</f>
        <v/>
      </c>
      <c r="D8544" s="46">
        <f>'Warranty &amp; Maintenance'!Y509</f>
        <v/>
      </c>
      <c r="E8544" s="46">
        <f>IF(OR(B8544="",C8544="",D8544=""),"",D8544*100000+(C8544-DATE(2000,1,1))+ROW()/100000)</f>
        <v/>
      </c>
      <c r="F8544" s="46">
        <f>IF(E8544="","",IF(C8544&gt;WeekEndDate,"",E8544))</f>
        <v/>
      </c>
    </row>
    <row r="8545">
      <c r="A8545" t="inlineStr">
        <is>
          <t>Warranty &amp; Maintenance</t>
        </is>
      </c>
      <c r="B8545" s="46">
        <f>'Warranty &amp; Maintenance'!Z510</f>
        <v/>
      </c>
      <c r="C8545" s="84">
        <f>'Warranty &amp; Maintenance'!X510</f>
        <v/>
      </c>
      <c r="D8545" s="46">
        <f>'Warranty &amp; Maintenance'!Y510</f>
        <v/>
      </c>
      <c r="E8545" s="46">
        <f>IF(OR(B8545="",C8545="",D8545=""),"",D8545*100000+(C8545-DATE(2000,1,1))+ROW()/100000)</f>
        <v/>
      </c>
      <c r="F8545" s="46">
        <f>IF(E8545="","",IF(C8545&gt;WeekEndDate,"",E8545))</f>
        <v/>
      </c>
    </row>
    <row r="8546">
      <c r="A8546" t="inlineStr">
        <is>
          <t>Warranty &amp; Maintenance</t>
        </is>
      </c>
      <c r="B8546" s="46">
        <f>'Warranty &amp; Maintenance'!Z511</f>
        <v/>
      </c>
      <c r="C8546" s="84">
        <f>'Warranty &amp; Maintenance'!X511</f>
        <v/>
      </c>
      <c r="D8546" s="46">
        <f>'Warranty &amp; Maintenance'!Y511</f>
        <v/>
      </c>
      <c r="E8546" s="46">
        <f>IF(OR(B8546="",C8546="",D8546=""),"",D8546*100000+(C8546-DATE(2000,1,1))+ROW()/100000)</f>
        <v/>
      </c>
      <c r="F8546" s="46">
        <f>IF(E8546="","",IF(C8546&gt;WeekEndDate,"",E8546))</f>
        <v/>
      </c>
    </row>
    <row r="8547">
      <c r="A8547" t="inlineStr">
        <is>
          <t>Warranty &amp; Maintenance</t>
        </is>
      </c>
      <c r="B8547" s="46">
        <f>'Warranty &amp; Maintenance'!Z512</f>
        <v/>
      </c>
      <c r="C8547" s="84">
        <f>'Warranty &amp; Maintenance'!X512</f>
        <v/>
      </c>
      <c r="D8547" s="46">
        <f>'Warranty &amp; Maintenance'!Y512</f>
        <v/>
      </c>
      <c r="E8547" s="46">
        <f>IF(OR(B8547="",C8547="",D8547=""),"",D8547*100000+(C8547-DATE(2000,1,1))+ROW()/100000)</f>
        <v/>
      </c>
      <c r="F8547" s="46">
        <f>IF(E8547="","",IF(C8547&gt;WeekEndDate,"",E8547))</f>
        <v/>
      </c>
    </row>
    <row r="8548">
      <c r="A8548" t="inlineStr">
        <is>
          <t>Warranty &amp; Maintenance</t>
        </is>
      </c>
      <c r="B8548" s="46">
        <f>'Warranty &amp; Maintenance'!Z513</f>
        <v/>
      </c>
      <c r="C8548" s="84">
        <f>'Warranty &amp; Maintenance'!X513</f>
        <v/>
      </c>
      <c r="D8548" s="46">
        <f>'Warranty &amp; Maintenance'!Y513</f>
        <v/>
      </c>
      <c r="E8548" s="46">
        <f>IF(OR(B8548="",C8548="",D8548=""),"",D8548*100000+(C8548-DATE(2000,1,1))+ROW()/100000)</f>
        <v/>
      </c>
      <c r="F8548" s="46">
        <f>IF(E8548="","",IF(C8548&gt;WeekEndDate,"",E8548))</f>
        <v/>
      </c>
    </row>
    <row r="8549">
      <c r="A8549" t="inlineStr">
        <is>
          <t>Warranty &amp; Maintenance</t>
        </is>
      </c>
      <c r="B8549" s="46">
        <f>'Warranty &amp; Maintenance'!Z514</f>
        <v/>
      </c>
      <c r="C8549" s="84">
        <f>'Warranty &amp; Maintenance'!X514</f>
        <v/>
      </c>
      <c r="D8549" s="46">
        <f>'Warranty &amp; Maintenance'!Y514</f>
        <v/>
      </c>
      <c r="E8549" s="46">
        <f>IF(OR(B8549="",C8549="",D8549=""),"",D8549*100000+(C8549-DATE(2000,1,1))+ROW()/100000)</f>
        <v/>
      </c>
      <c r="F8549" s="46">
        <f>IF(E8549="","",IF(C8549&gt;WeekEndDate,"",E8549))</f>
        <v/>
      </c>
    </row>
    <row r="8550">
      <c r="A8550" t="inlineStr">
        <is>
          <t>Warranty &amp; Maintenance</t>
        </is>
      </c>
      <c r="B8550" s="46">
        <f>'Warranty &amp; Maintenance'!Z515</f>
        <v/>
      </c>
      <c r="C8550" s="84">
        <f>'Warranty &amp; Maintenance'!X515</f>
        <v/>
      </c>
      <c r="D8550" s="46">
        <f>'Warranty &amp; Maintenance'!Y515</f>
        <v/>
      </c>
      <c r="E8550" s="46">
        <f>IF(OR(B8550="",C8550="",D8550=""),"",D8550*100000+(C8550-DATE(2000,1,1))+ROW()/100000)</f>
        <v/>
      </c>
      <c r="F8550" s="46">
        <f>IF(E8550="","",IF(C8550&gt;WeekEndDate,"",E8550))</f>
        <v/>
      </c>
    </row>
    <row r="8551">
      <c r="A8551" t="inlineStr">
        <is>
          <t>Warranty &amp; Maintenance</t>
        </is>
      </c>
      <c r="B8551" s="46">
        <f>'Warranty &amp; Maintenance'!Z516</f>
        <v/>
      </c>
      <c r="C8551" s="84">
        <f>'Warranty &amp; Maintenance'!X516</f>
        <v/>
      </c>
      <c r="D8551" s="46">
        <f>'Warranty &amp; Maintenance'!Y516</f>
        <v/>
      </c>
      <c r="E8551" s="46">
        <f>IF(OR(B8551="",C8551="",D8551=""),"",D8551*100000+(C8551-DATE(2000,1,1))+ROW()/100000)</f>
        <v/>
      </c>
      <c r="F8551" s="46">
        <f>IF(E8551="","",IF(C8551&gt;WeekEndDate,"",E8551))</f>
        <v/>
      </c>
    </row>
    <row r="8552">
      <c r="A8552" t="inlineStr">
        <is>
          <t>Warranty &amp; Maintenance</t>
        </is>
      </c>
      <c r="B8552" s="46">
        <f>'Warranty &amp; Maintenance'!Z517</f>
        <v/>
      </c>
      <c r="C8552" s="84">
        <f>'Warranty &amp; Maintenance'!X517</f>
        <v/>
      </c>
      <c r="D8552" s="46">
        <f>'Warranty &amp; Maintenance'!Y517</f>
        <v/>
      </c>
      <c r="E8552" s="46">
        <f>IF(OR(B8552="",C8552="",D8552=""),"",D8552*100000+(C8552-DATE(2000,1,1))+ROW()/100000)</f>
        <v/>
      </c>
      <c r="F8552" s="46">
        <f>IF(E8552="","",IF(C8552&gt;WeekEndDate,"",E8552))</f>
        <v/>
      </c>
    </row>
    <row r="8553">
      <c r="A8553" t="inlineStr">
        <is>
          <t>Warranty &amp; Maintenance</t>
        </is>
      </c>
      <c r="B8553" s="46">
        <f>'Warranty &amp; Maintenance'!Z518</f>
        <v/>
      </c>
      <c r="C8553" s="84">
        <f>'Warranty &amp; Maintenance'!X518</f>
        <v/>
      </c>
      <c r="D8553" s="46">
        <f>'Warranty &amp; Maintenance'!Y518</f>
        <v/>
      </c>
      <c r="E8553" s="46">
        <f>IF(OR(B8553="",C8553="",D8553=""),"",D8553*100000+(C8553-DATE(2000,1,1))+ROW()/100000)</f>
        <v/>
      </c>
      <c r="F8553" s="46">
        <f>IF(E8553="","",IF(C8553&gt;WeekEndDate,"",E8553))</f>
        <v/>
      </c>
    </row>
    <row r="8554">
      <c r="A8554" t="inlineStr">
        <is>
          <t>Warranty &amp; Maintenance</t>
        </is>
      </c>
      <c r="B8554" s="46">
        <f>'Warranty &amp; Maintenance'!Z519</f>
        <v/>
      </c>
      <c r="C8554" s="84">
        <f>'Warranty &amp; Maintenance'!X519</f>
        <v/>
      </c>
      <c r="D8554" s="46">
        <f>'Warranty &amp; Maintenance'!Y519</f>
        <v/>
      </c>
      <c r="E8554" s="46">
        <f>IF(OR(B8554="",C8554="",D8554=""),"",D8554*100000+(C8554-DATE(2000,1,1))+ROW()/100000)</f>
        <v/>
      </c>
      <c r="F8554" s="46">
        <f>IF(E8554="","",IF(C8554&gt;WeekEndDate,"",E8554))</f>
        <v/>
      </c>
    </row>
    <row r="8555">
      <c r="A8555" t="inlineStr">
        <is>
          <t>Warranty &amp; Maintenance</t>
        </is>
      </c>
      <c r="B8555" s="46">
        <f>'Warranty &amp; Maintenance'!Z520</f>
        <v/>
      </c>
      <c r="C8555" s="84">
        <f>'Warranty &amp; Maintenance'!X520</f>
        <v/>
      </c>
      <c r="D8555" s="46">
        <f>'Warranty &amp; Maintenance'!Y520</f>
        <v/>
      </c>
      <c r="E8555" s="46">
        <f>IF(OR(B8555="",C8555="",D8555=""),"",D8555*100000+(C8555-DATE(2000,1,1))+ROW()/100000)</f>
        <v/>
      </c>
      <c r="F8555" s="46">
        <f>IF(E8555="","",IF(C8555&gt;WeekEndDate,"",E8555))</f>
        <v/>
      </c>
    </row>
    <row r="8556">
      <c r="A8556" t="inlineStr">
        <is>
          <t>Warranty &amp; Maintenance</t>
        </is>
      </c>
      <c r="B8556" s="46">
        <f>'Warranty &amp; Maintenance'!Z521</f>
        <v/>
      </c>
      <c r="C8556" s="84">
        <f>'Warranty &amp; Maintenance'!X521</f>
        <v/>
      </c>
      <c r="D8556" s="46">
        <f>'Warranty &amp; Maintenance'!Y521</f>
        <v/>
      </c>
      <c r="E8556" s="46">
        <f>IF(OR(B8556="",C8556="",D8556=""),"",D8556*100000+(C8556-DATE(2000,1,1))+ROW()/100000)</f>
        <v/>
      </c>
      <c r="F8556" s="46">
        <f>IF(E8556="","",IF(C8556&gt;WeekEndDate,"",E8556))</f>
        <v/>
      </c>
    </row>
    <row r="8557">
      <c r="A8557" t="inlineStr">
        <is>
          <t>Warranty &amp; Maintenance</t>
        </is>
      </c>
      <c r="B8557" s="46">
        <f>'Warranty &amp; Maintenance'!Z522</f>
        <v/>
      </c>
      <c r="C8557" s="84">
        <f>'Warranty &amp; Maintenance'!X522</f>
        <v/>
      </c>
      <c r="D8557" s="46">
        <f>'Warranty &amp; Maintenance'!Y522</f>
        <v/>
      </c>
      <c r="E8557" s="46">
        <f>IF(OR(B8557="",C8557="",D8557=""),"",D8557*100000+(C8557-DATE(2000,1,1))+ROW()/100000)</f>
        <v/>
      </c>
      <c r="F8557" s="46">
        <f>IF(E8557="","",IF(C8557&gt;WeekEndDate,"",E8557))</f>
        <v/>
      </c>
    </row>
    <row r="8558">
      <c r="A8558" t="inlineStr">
        <is>
          <t>Warranty &amp; Maintenance</t>
        </is>
      </c>
      <c r="B8558" s="46">
        <f>'Warranty &amp; Maintenance'!Z523</f>
        <v/>
      </c>
      <c r="C8558" s="84">
        <f>'Warranty &amp; Maintenance'!X523</f>
        <v/>
      </c>
      <c r="D8558" s="46">
        <f>'Warranty &amp; Maintenance'!Y523</f>
        <v/>
      </c>
      <c r="E8558" s="46">
        <f>IF(OR(B8558="",C8558="",D8558=""),"",D8558*100000+(C8558-DATE(2000,1,1))+ROW()/100000)</f>
        <v/>
      </c>
      <c r="F8558" s="46">
        <f>IF(E8558="","",IF(C8558&gt;WeekEndDate,"",E8558))</f>
        <v/>
      </c>
    </row>
    <row r="8559">
      <c r="A8559" t="inlineStr">
        <is>
          <t>Warranty &amp; Maintenance</t>
        </is>
      </c>
      <c r="B8559" s="46">
        <f>'Warranty &amp; Maintenance'!Z524</f>
        <v/>
      </c>
      <c r="C8559" s="84">
        <f>'Warranty &amp; Maintenance'!X524</f>
        <v/>
      </c>
      <c r="D8559" s="46">
        <f>'Warranty &amp; Maintenance'!Y524</f>
        <v/>
      </c>
      <c r="E8559" s="46">
        <f>IF(OR(B8559="",C8559="",D8559=""),"",D8559*100000+(C8559-DATE(2000,1,1))+ROW()/100000)</f>
        <v/>
      </c>
      <c r="F8559" s="46">
        <f>IF(E8559="","",IF(C8559&gt;WeekEndDate,"",E8559))</f>
        <v/>
      </c>
    </row>
    <row r="8560">
      <c r="A8560" t="inlineStr">
        <is>
          <t>Warranty &amp; Maintenance</t>
        </is>
      </c>
      <c r="B8560" s="46">
        <f>'Warranty &amp; Maintenance'!Z525</f>
        <v/>
      </c>
      <c r="C8560" s="84">
        <f>'Warranty &amp; Maintenance'!X525</f>
        <v/>
      </c>
      <c r="D8560" s="46">
        <f>'Warranty &amp; Maintenance'!Y525</f>
        <v/>
      </c>
      <c r="E8560" s="46">
        <f>IF(OR(B8560="",C8560="",D8560=""),"",D8560*100000+(C8560-DATE(2000,1,1))+ROW()/100000)</f>
        <v/>
      </c>
      <c r="F8560" s="46">
        <f>IF(E8560="","",IF(C8560&gt;WeekEndDate,"",E8560))</f>
        <v/>
      </c>
    </row>
    <row r="8561">
      <c r="A8561" t="inlineStr">
        <is>
          <t>Warranty &amp; Maintenance</t>
        </is>
      </c>
      <c r="B8561" s="46">
        <f>'Warranty &amp; Maintenance'!Z526</f>
        <v/>
      </c>
      <c r="C8561" s="84">
        <f>'Warranty &amp; Maintenance'!X526</f>
        <v/>
      </c>
      <c r="D8561" s="46">
        <f>'Warranty &amp; Maintenance'!Y526</f>
        <v/>
      </c>
      <c r="E8561" s="46">
        <f>IF(OR(B8561="",C8561="",D8561=""),"",D8561*100000+(C8561-DATE(2000,1,1))+ROW()/100000)</f>
        <v/>
      </c>
      <c r="F8561" s="46">
        <f>IF(E8561="","",IF(C8561&gt;WeekEndDate,"",E8561))</f>
        <v/>
      </c>
    </row>
    <row r="8562">
      <c r="A8562" t="inlineStr">
        <is>
          <t>Warranty &amp; Maintenance</t>
        </is>
      </c>
      <c r="B8562" s="46">
        <f>'Warranty &amp; Maintenance'!Z527</f>
        <v/>
      </c>
      <c r="C8562" s="84">
        <f>'Warranty &amp; Maintenance'!X527</f>
        <v/>
      </c>
      <c r="D8562" s="46">
        <f>'Warranty &amp; Maintenance'!Y527</f>
        <v/>
      </c>
      <c r="E8562" s="46">
        <f>IF(OR(B8562="",C8562="",D8562=""),"",D8562*100000+(C8562-DATE(2000,1,1))+ROW()/100000)</f>
        <v/>
      </c>
      <c r="F8562" s="46">
        <f>IF(E8562="","",IF(C8562&gt;WeekEndDate,"",E8562))</f>
        <v/>
      </c>
    </row>
    <row r="8563">
      <c r="A8563" t="inlineStr">
        <is>
          <t>Warranty &amp; Maintenance</t>
        </is>
      </c>
      <c r="B8563" s="46">
        <f>'Warranty &amp; Maintenance'!Z528</f>
        <v/>
      </c>
      <c r="C8563" s="84">
        <f>'Warranty &amp; Maintenance'!X528</f>
        <v/>
      </c>
      <c r="D8563" s="46">
        <f>'Warranty &amp; Maintenance'!Y528</f>
        <v/>
      </c>
      <c r="E8563" s="46">
        <f>IF(OR(B8563="",C8563="",D8563=""),"",D8563*100000+(C8563-DATE(2000,1,1))+ROW()/100000)</f>
        <v/>
      </c>
      <c r="F8563" s="46">
        <f>IF(E8563="","",IF(C8563&gt;WeekEndDate,"",E8563))</f>
        <v/>
      </c>
    </row>
    <row r="8564">
      <c r="A8564" t="inlineStr">
        <is>
          <t>Warranty &amp; Maintenance</t>
        </is>
      </c>
      <c r="B8564" s="46">
        <f>'Warranty &amp; Maintenance'!Z529</f>
        <v/>
      </c>
      <c r="C8564" s="84">
        <f>'Warranty &amp; Maintenance'!X529</f>
        <v/>
      </c>
      <c r="D8564" s="46">
        <f>'Warranty &amp; Maintenance'!Y529</f>
        <v/>
      </c>
      <c r="E8564" s="46">
        <f>IF(OR(B8564="",C8564="",D8564=""),"",D8564*100000+(C8564-DATE(2000,1,1))+ROW()/100000)</f>
        <v/>
      </c>
      <c r="F8564" s="46">
        <f>IF(E8564="","",IF(C8564&gt;WeekEndDate,"",E8564))</f>
        <v/>
      </c>
    </row>
    <row r="8565">
      <c r="A8565" t="inlineStr">
        <is>
          <t>Warranty &amp; Maintenance</t>
        </is>
      </c>
      <c r="B8565" s="46">
        <f>'Warranty &amp; Maintenance'!Z530</f>
        <v/>
      </c>
      <c r="C8565" s="84">
        <f>'Warranty &amp; Maintenance'!X530</f>
        <v/>
      </c>
      <c r="D8565" s="46">
        <f>'Warranty &amp; Maintenance'!Y530</f>
        <v/>
      </c>
      <c r="E8565" s="46">
        <f>IF(OR(B8565="",C8565="",D8565=""),"",D8565*100000+(C8565-DATE(2000,1,1))+ROW()/100000)</f>
        <v/>
      </c>
      <c r="F8565" s="46">
        <f>IF(E8565="","",IF(C8565&gt;WeekEndDate,"",E8565))</f>
        <v/>
      </c>
    </row>
    <row r="8566">
      <c r="A8566" t="inlineStr">
        <is>
          <t>Warranty &amp; Maintenance</t>
        </is>
      </c>
      <c r="B8566" s="46">
        <f>'Warranty &amp; Maintenance'!Z531</f>
        <v/>
      </c>
      <c r="C8566" s="84">
        <f>'Warranty &amp; Maintenance'!X531</f>
        <v/>
      </c>
      <c r="D8566" s="46">
        <f>'Warranty &amp; Maintenance'!Y531</f>
        <v/>
      </c>
      <c r="E8566" s="46">
        <f>IF(OR(B8566="",C8566="",D8566=""),"",D8566*100000+(C8566-DATE(2000,1,1))+ROW()/100000)</f>
        <v/>
      </c>
      <c r="F8566" s="46">
        <f>IF(E8566="","",IF(C8566&gt;WeekEndDate,"",E8566))</f>
        <v/>
      </c>
    </row>
    <row r="8567">
      <c r="A8567" t="inlineStr">
        <is>
          <t>Warranty &amp; Maintenance</t>
        </is>
      </c>
      <c r="B8567" s="46">
        <f>'Warranty &amp; Maintenance'!Z532</f>
        <v/>
      </c>
      <c r="C8567" s="84">
        <f>'Warranty &amp; Maintenance'!X532</f>
        <v/>
      </c>
      <c r="D8567" s="46">
        <f>'Warranty &amp; Maintenance'!Y532</f>
        <v/>
      </c>
      <c r="E8567" s="46">
        <f>IF(OR(B8567="",C8567="",D8567=""),"",D8567*100000+(C8567-DATE(2000,1,1))+ROW()/100000)</f>
        <v/>
      </c>
      <c r="F8567" s="46">
        <f>IF(E8567="","",IF(C8567&gt;WeekEndDate,"",E8567))</f>
        <v/>
      </c>
    </row>
    <row r="8568">
      <c r="A8568" t="inlineStr">
        <is>
          <t>Warranty &amp; Maintenance</t>
        </is>
      </c>
      <c r="B8568" s="46">
        <f>'Warranty &amp; Maintenance'!Z533</f>
        <v/>
      </c>
      <c r="C8568" s="84">
        <f>'Warranty &amp; Maintenance'!X533</f>
        <v/>
      </c>
      <c r="D8568" s="46">
        <f>'Warranty &amp; Maintenance'!Y533</f>
        <v/>
      </c>
      <c r="E8568" s="46">
        <f>IF(OR(B8568="",C8568="",D8568=""),"",D8568*100000+(C8568-DATE(2000,1,1))+ROW()/100000)</f>
        <v/>
      </c>
      <c r="F8568" s="46">
        <f>IF(E8568="","",IF(C8568&gt;WeekEndDate,"",E8568))</f>
        <v/>
      </c>
    </row>
    <row r="8569">
      <c r="A8569" t="inlineStr">
        <is>
          <t>Warranty &amp; Maintenance</t>
        </is>
      </c>
      <c r="B8569" s="46">
        <f>'Warranty &amp; Maintenance'!Z534</f>
        <v/>
      </c>
      <c r="C8569" s="84">
        <f>'Warranty &amp; Maintenance'!X534</f>
        <v/>
      </c>
      <c r="D8569" s="46">
        <f>'Warranty &amp; Maintenance'!Y534</f>
        <v/>
      </c>
      <c r="E8569" s="46">
        <f>IF(OR(B8569="",C8569="",D8569=""),"",D8569*100000+(C8569-DATE(2000,1,1))+ROW()/100000)</f>
        <v/>
      </c>
      <c r="F8569" s="46">
        <f>IF(E8569="","",IF(C8569&gt;WeekEndDate,"",E8569))</f>
        <v/>
      </c>
    </row>
    <row r="8570">
      <c r="A8570" t="inlineStr">
        <is>
          <t>Warranty &amp; Maintenance</t>
        </is>
      </c>
      <c r="B8570" s="46">
        <f>'Warranty &amp; Maintenance'!Z535</f>
        <v/>
      </c>
      <c r="C8570" s="84">
        <f>'Warranty &amp; Maintenance'!X535</f>
        <v/>
      </c>
      <c r="D8570" s="46">
        <f>'Warranty &amp; Maintenance'!Y535</f>
        <v/>
      </c>
      <c r="E8570" s="46">
        <f>IF(OR(B8570="",C8570="",D8570=""),"",D8570*100000+(C8570-DATE(2000,1,1))+ROW()/100000)</f>
        <v/>
      </c>
      <c r="F8570" s="46">
        <f>IF(E8570="","",IF(C8570&gt;WeekEndDate,"",E8570))</f>
        <v/>
      </c>
    </row>
    <row r="8571">
      <c r="A8571" t="inlineStr">
        <is>
          <t>Warranty &amp; Maintenance</t>
        </is>
      </c>
      <c r="B8571" s="46">
        <f>'Warranty &amp; Maintenance'!Z536</f>
        <v/>
      </c>
      <c r="C8571" s="84">
        <f>'Warranty &amp; Maintenance'!X536</f>
        <v/>
      </c>
      <c r="D8571" s="46">
        <f>'Warranty &amp; Maintenance'!Y536</f>
        <v/>
      </c>
      <c r="E8571" s="46">
        <f>IF(OR(B8571="",C8571="",D8571=""),"",D8571*100000+(C8571-DATE(2000,1,1))+ROW()/100000)</f>
        <v/>
      </c>
      <c r="F8571" s="46">
        <f>IF(E8571="","",IF(C8571&gt;WeekEndDate,"",E8571))</f>
        <v/>
      </c>
    </row>
    <row r="8572">
      <c r="A8572" t="inlineStr">
        <is>
          <t>Warranty &amp; Maintenance</t>
        </is>
      </c>
      <c r="B8572" s="46">
        <f>'Warranty &amp; Maintenance'!Z537</f>
        <v/>
      </c>
      <c r="C8572" s="84">
        <f>'Warranty &amp; Maintenance'!X537</f>
        <v/>
      </c>
      <c r="D8572" s="46">
        <f>'Warranty &amp; Maintenance'!Y537</f>
        <v/>
      </c>
      <c r="E8572" s="46">
        <f>IF(OR(B8572="",C8572="",D8572=""),"",D8572*100000+(C8572-DATE(2000,1,1))+ROW()/100000)</f>
        <v/>
      </c>
      <c r="F8572" s="46">
        <f>IF(E8572="","",IF(C8572&gt;WeekEndDate,"",E8572))</f>
        <v/>
      </c>
    </row>
    <row r="8573">
      <c r="A8573" t="inlineStr">
        <is>
          <t>Warranty &amp; Maintenance</t>
        </is>
      </c>
      <c r="B8573" s="46">
        <f>'Warranty &amp; Maintenance'!Z538</f>
        <v/>
      </c>
      <c r="C8573" s="84">
        <f>'Warranty &amp; Maintenance'!X538</f>
        <v/>
      </c>
      <c r="D8573" s="46">
        <f>'Warranty &amp; Maintenance'!Y538</f>
        <v/>
      </c>
      <c r="E8573" s="46">
        <f>IF(OR(B8573="",C8573="",D8573=""),"",D8573*100000+(C8573-DATE(2000,1,1))+ROW()/100000)</f>
        <v/>
      </c>
      <c r="F8573" s="46">
        <f>IF(E8573="","",IF(C8573&gt;WeekEndDate,"",E8573))</f>
        <v/>
      </c>
    </row>
    <row r="8574">
      <c r="A8574" t="inlineStr">
        <is>
          <t>Warranty &amp; Maintenance</t>
        </is>
      </c>
      <c r="B8574" s="46">
        <f>'Warranty &amp; Maintenance'!Z539</f>
        <v/>
      </c>
      <c r="C8574" s="84">
        <f>'Warranty &amp; Maintenance'!X539</f>
        <v/>
      </c>
      <c r="D8574" s="46">
        <f>'Warranty &amp; Maintenance'!Y539</f>
        <v/>
      </c>
      <c r="E8574" s="46">
        <f>IF(OR(B8574="",C8574="",D8574=""),"",D8574*100000+(C8574-DATE(2000,1,1))+ROW()/100000)</f>
        <v/>
      </c>
      <c r="F8574" s="46">
        <f>IF(E8574="","",IF(C8574&gt;WeekEndDate,"",E8574))</f>
        <v/>
      </c>
    </row>
    <row r="8575">
      <c r="A8575" t="inlineStr">
        <is>
          <t>Warranty &amp; Maintenance</t>
        </is>
      </c>
      <c r="B8575" s="46">
        <f>'Warranty &amp; Maintenance'!Z540</f>
        <v/>
      </c>
      <c r="C8575" s="84">
        <f>'Warranty &amp; Maintenance'!X540</f>
        <v/>
      </c>
      <c r="D8575" s="46">
        <f>'Warranty &amp; Maintenance'!Y540</f>
        <v/>
      </c>
      <c r="E8575" s="46">
        <f>IF(OR(B8575="",C8575="",D8575=""),"",D8575*100000+(C8575-DATE(2000,1,1))+ROW()/100000)</f>
        <v/>
      </c>
      <c r="F8575" s="46">
        <f>IF(E8575="","",IF(C8575&gt;WeekEndDate,"",E8575))</f>
        <v/>
      </c>
    </row>
    <row r="8576">
      <c r="A8576" t="inlineStr">
        <is>
          <t>Warranty &amp; Maintenance</t>
        </is>
      </c>
      <c r="B8576" s="46">
        <f>'Warranty &amp; Maintenance'!Z541</f>
        <v/>
      </c>
      <c r="C8576" s="84">
        <f>'Warranty &amp; Maintenance'!X541</f>
        <v/>
      </c>
      <c r="D8576" s="46">
        <f>'Warranty &amp; Maintenance'!Y541</f>
        <v/>
      </c>
      <c r="E8576" s="46">
        <f>IF(OR(B8576="",C8576="",D8576=""),"",D8576*100000+(C8576-DATE(2000,1,1))+ROW()/100000)</f>
        <v/>
      </c>
      <c r="F8576" s="46">
        <f>IF(E8576="","",IF(C8576&gt;WeekEndDate,"",E8576))</f>
        <v/>
      </c>
    </row>
    <row r="8577">
      <c r="A8577" t="inlineStr">
        <is>
          <t>Warranty &amp; Maintenance</t>
        </is>
      </c>
      <c r="B8577" s="46">
        <f>'Warranty &amp; Maintenance'!Z542</f>
        <v/>
      </c>
      <c r="C8577" s="84">
        <f>'Warranty &amp; Maintenance'!X542</f>
        <v/>
      </c>
      <c r="D8577" s="46">
        <f>'Warranty &amp; Maintenance'!Y542</f>
        <v/>
      </c>
      <c r="E8577" s="46">
        <f>IF(OR(B8577="",C8577="",D8577=""),"",D8577*100000+(C8577-DATE(2000,1,1))+ROW()/100000)</f>
        <v/>
      </c>
      <c r="F8577" s="46">
        <f>IF(E8577="","",IF(C8577&gt;WeekEndDate,"",E8577))</f>
        <v/>
      </c>
    </row>
    <row r="8578">
      <c r="A8578" t="inlineStr">
        <is>
          <t>Warranty &amp; Maintenance</t>
        </is>
      </c>
      <c r="B8578" s="46">
        <f>'Warranty &amp; Maintenance'!Z543</f>
        <v/>
      </c>
      <c r="C8578" s="84">
        <f>'Warranty &amp; Maintenance'!X543</f>
        <v/>
      </c>
      <c r="D8578" s="46">
        <f>'Warranty &amp; Maintenance'!Y543</f>
        <v/>
      </c>
      <c r="E8578" s="46">
        <f>IF(OR(B8578="",C8578="",D8578=""),"",D8578*100000+(C8578-DATE(2000,1,1))+ROW()/100000)</f>
        <v/>
      </c>
      <c r="F8578" s="46">
        <f>IF(E8578="","",IF(C8578&gt;WeekEndDate,"",E8578))</f>
        <v/>
      </c>
    </row>
    <row r="8579">
      <c r="A8579" t="inlineStr">
        <is>
          <t>Warranty &amp; Maintenance</t>
        </is>
      </c>
      <c r="B8579" s="46">
        <f>'Warranty &amp; Maintenance'!Z544</f>
        <v/>
      </c>
      <c r="C8579" s="84">
        <f>'Warranty &amp; Maintenance'!X544</f>
        <v/>
      </c>
      <c r="D8579" s="46">
        <f>'Warranty &amp; Maintenance'!Y544</f>
        <v/>
      </c>
      <c r="E8579" s="46">
        <f>IF(OR(B8579="",C8579="",D8579=""),"",D8579*100000+(C8579-DATE(2000,1,1))+ROW()/100000)</f>
        <v/>
      </c>
      <c r="F8579" s="46">
        <f>IF(E8579="","",IF(C8579&gt;WeekEndDate,"",E8579))</f>
        <v/>
      </c>
    </row>
    <row r="8580">
      <c r="A8580" t="inlineStr">
        <is>
          <t>Warranty &amp; Maintenance</t>
        </is>
      </c>
      <c r="B8580" s="46">
        <f>'Warranty &amp; Maintenance'!Z545</f>
        <v/>
      </c>
      <c r="C8580" s="84">
        <f>'Warranty &amp; Maintenance'!X545</f>
        <v/>
      </c>
      <c r="D8580" s="46">
        <f>'Warranty &amp; Maintenance'!Y545</f>
        <v/>
      </c>
      <c r="E8580" s="46">
        <f>IF(OR(B8580="",C8580="",D8580=""),"",D8580*100000+(C8580-DATE(2000,1,1))+ROW()/100000)</f>
        <v/>
      </c>
      <c r="F8580" s="46">
        <f>IF(E8580="","",IF(C8580&gt;WeekEndDate,"",E8580))</f>
        <v/>
      </c>
    </row>
    <row r="8581">
      <c r="A8581" t="inlineStr">
        <is>
          <t>Warranty &amp; Maintenance</t>
        </is>
      </c>
      <c r="B8581" s="46">
        <f>'Warranty &amp; Maintenance'!Z546</f>
        <v/>
      </c>
      <c r="C8581" s="84">
        <f>'Warranty &amp; Maintenance'!X546</f>
        <v/>
      </c>
      <c r="D8581" s="46">
        <f>'Warranty &amp; Maintenance'!Y546</f>
        <v/>
      </c>
      <c r="E8581" s="46">
        <f>IF(OR(B8581="",C8581="",D8581=""),"",D8581*100000+(C8581-DATE(2000,1,1))+ROW()/100000)</f>
        <v/>
      </c>
      <c r="F8581" s="46">
        <f>IF(E8581="","",IF(C8581&gt;WeekEndDate,"",E8581))</f>
        <v/>
      </c>
    </row>
    <row r="8582">
      <c r="A8582" t="inlineStr">
        <is>
          <t>Warranty &amp; Maintenance</t>
        </is>
      </c>
      <c r="B8582" s="46">
        <f>'Warranty &amp; Maintenance'!Z547</f>
        <v/>
      </c>
      <c r="C8582" s="84">
        <f>'Warranty &amp; Maintenance'!X547</f>
        <v/>
      </c>
      <c r="D8582" s="46">
        <f>'Warranty &amp; Maintenance'!Y547</f>
        <v/>
      </c>
      <c r="E8582" s="46">
        <f>IF(OR(B8582="",C8582="",D8582=""),"",D8582*100000+(C8582-DATE(2000,1,1))+ROW()/100000)</f>
        <v/>
      </c>
      <c r="F8582" s="46">
        <f>IF(E8582="","",IF(C8582&gt;WeekEndDate,"",E8582))</f>
        <v/>
      </c>
    </row>
    <row r="8583">
      <c r="A8583" t="inlineStr">
        <is>
          <t>Warranty &amp; Maintenance</t>
        </is>
      </c>
      <c r="B8583" s="46">
        <f>'Warranty &amp; Maintenance'!Z548</f>
        <v/>
      </c>
      <c r="C8583" s="84">
        <f>'Warranty &amp; Maintenance'!X548</f>
        <v/>
      </c>
      <c r="D8583" s="46">
        <f>'Warranty &amp; Maintenance'!Y548</f>
        <v/>
      </c>
      <c r="E8583" s="46">
        <f>IF(OR(B8583="",C8583="",D8583=""),"",D8583*100000+(C8583-DATE(2000,1,1))+ROW()/100000)</f>
        <v/>
      </c>
      <c r="F8583" s="46">
        <f>IF(E8583="","",IF(C8583&gt;WeekEndDate,"",E8583))</f>
        <v/>
      </c>
    </row>
    <row r="8584">
      <c r="A8584" t="inlineStr">
        <is>
          <t>Warranty &amp; Maintenance</t>
        </is>
      </c>
      <c r="B8584" s="46">
        <f>'Warranty &amp; Maintenance'!Z549</f>
        <v/>
      </c>
      <c r="C8584" s="84">
        <f>'Warranty &amp; Maintenance'!X549</f>
        <v/>
      </c>
      <c r="D8584" s="46">
        <f>'Warranty &amp; Maintenance'!Y549</f>
        <v/>
      </c>
      <c r="E8584" s="46">
        <f>IF(OR(B8584="",C8584="",D8584=""),"",D8584*100000+(C8584-DATE(2000,1,1))+ROW()/100000)</f>
        <v/>
      </c>
      <c r="F8584" s="46">
        <f>IF(E8584="","",IF(C8584&gt;WeekEndDate,"",E8584))</f>
        <v/>
      </c>
    </row>
    <row r="8585">
      <c r="A8585" t="inlineStr">
        <is>
          <t>Warranty &amp; Maintenance</t>
        </is>
      </c>
      <c r="B8585" s="46">
        <f>'Warranty &amp; Maintenance'!Z550</f>
        <v/>
      </c>
      <c r="C8585" s="84">
        <f>'Warranty &amp; Maintenance'!X550</f>
        <v/>
      </c>
      <c r="D8585" s="46">
        <f>'Warranty &amp; Maintenance'!Y550</f>
        <v/>
      </c>
      <c r="E8585" s="46">
        <f>IF(OR(B8585="",C8585="",D8585=""),"",D8585*100000+(C8585-DATE(2000,1,1))+ROW()/100000)</f>
        <v/>
      </c>
      <c r="F8585" s="46">
        <f>IF(E8585="","",IF(C8585&gt;WeekEndDate,"",E8585))</f>
        <v/>
      </c>
    </row>
    <row r="8586">
      <c r="A8586" t="inlineStr">
        <is>
          <t>Warranty &amp; Maintenance</t>
        </is>
      </c>
      <c r="B8586" s="46">
        <f>'Warranty &amp; Maintenance'!Z551</f>
        <v/>
      </c>
      <c r="C8586" s="84">
        <f>'Warranty &amp; Maintenance'!X551</f>
        <v/>
      </c>
      <c r="D8586" s="46">
        <f>'Warranty &amp; Maintenance'!Y551</f>
        <v/>
      </c>
      <c r="E8586" s="46">
        <f>IF(OR(B8586="",C8586="",D8586=""),"",D8586*100000+(C8586-DATE(2000,1,1))+ROW()/100000)</f>
        <v/>
      </c>
      <c r="F8586" s="46">
        <f>IF(E8586="","",IF(C8586&gt;WeekEndDate,"",E8586))</f>
        <v/>
      </c>
    </row>
    <row r="8587">
      <c r="A8587" t="inlineStr">
        <is>
          <t>Warranty &amp; Maintenance</t>
        </is>
      </c>
      <c r="B8587" s="46">
        <f>'Warranty &amp; Maintenance'!Z552</f>
        <v/>
      </c>
      <c r="C8587" s="84">
        <f>'Warranty &amp; Maintenance'!X552</f>
        <v/>
      </c>
      <c r="D8587" s="46">
        <f>'Warranty &amp; Maintenance'!Y552</f>
        <v/>
      </c>
      <c r="E8587" s="46">
        <f>IF(OR(B8587="",C8587="",D8587=""),"",D8587*100000+(C8587-DATE(2000,1,1))+ROW()/100000)</f>
        <v/>
      </c>
      <c r="F8587" s="46">
        <f>IF(E8587="","",IF(C8587&gt;WeekEndDate,"",E8587))</f>
        <v/>
      </c>
    </row>
    <row r="8588">
      <c r="A8588" t="inlineStr">
        <is>
          <t>Warranty &amp; Maintenance</t>
        </is>
      </c>
      <c r="B8588" s="46">
        <f>'Warranty &amp; Maintenance'!Z553</f>
        <v/>
      </c>
      <c r="C8588" s="84">
        <f>'Warranty &amp; Maintenance'!X553</f>
        <v/>
      </c>
      <c r="D8588" s="46">
        <f>'Warranty &amp; Maintenance'!Y553</f>
        <v/>
      </c>
      <c r="E8588" s="46">
        <f>IF(OR(B8588="",C8588="",D8588=""),"",D8588*100000+(C8588-DATE(2000,1,1))+ROW()/100000)</f>
        <v/>
      </c>
      <c r="F8588" s="46">
        <f>IF(E8588="","",IF(C8588&gt;WeekEndDate,"",E8588))</f>
        <v/>
      </c>
    </row>
    <row r="8589">
      <c r="A8589" t="inlineStr">
        <is>
          <t>Warranty &amp; Maintenance</t>
        </is>
      </c>
      <c r="B8589" s="46">
        <f>'Warranty &amp; Maintenance'!Z554</f>
        <v/>
      </c>
      <c r="C8589" s="84">
        <f>'Warranty &amp; Maintenance'!X554</f>
        <v/>
      </c>
      <c r="D8589" s="46">
        <f>'Warranty &amp; Maintenance'!Y554</f>
        <v/>
      </c>
      <c r="E8589" s="46">
        <f>IF(OR(B8589="",C8589="",D8589=""),"",D8589*100000+(C8589-DATE(2000,1,1))+ROW()/100000)</f>
        <v/>
      </c>
      <c r="F8589" s="46">
        <f>IF(E8589="","",IF(C8589&gt;WeekEndDate,"",E8589))</f>
        <v/>
      </c>
    </row>
    <row r="8590">
      <c r="A8590" t="inlineStr">
        <is>
          <t>Warranty &amp; Maintenance</t>
        </is>
      </c>
      <c r="B8590" s="46">
        <f>'Warranty &amp; Maintenance'!Z555</f>
        <v/>
      </c>
      <c r="C8590" s="84">
        <f>'Warranty &amp; Maintenance'!X555</f>
        <v/>
      </c>
      <c r="D8590" s="46">
        <f>'Warranty &amp; Maintenance'!Y555</f>
        <v/>
      </c>
      <c r="E8590" s="46">
        <f>IF(OR(B8590="",C8590="",D8590=""),"",D8590*100000+(C8590-DATE(2000,1,1))+ROW()/100000)</f>
        <v/>
      </c>
      <c r="F8590" s="46">
        <f>IF(E8590="","",IF(C8590&gt;WeekEndDate,"",E8590))</f>
        <v/>
      </c>
    </row>
    <row r="8591">
      <c r="A8591" t="inlineStr">
        <is>
          <t>Warranty &amp; Maintenance</t>
        </is>
      </c>
      <c r="B8591" s="46">
        <f>'Warranty &amp; Maintenance'!Z556</f>
        <v/>
      </c>
      <c r="C8591" s="84">
        <f>'Warranty &amp; Maintenance'!X556</f>
        <v/>
      </c>
      <c r="D8591" s="46">
        <f>'Warranty &amp; Maintenance'!Y556</f>
        <v/>
      </c>
      <c r="E8591" s="46">
        <f>IF(OR(B8591="",C8591="",D8591=""),"",D8591*100000+(C8591-DATE(2000,1,1))+ROW()/100000)</f>
        <v/>
      </c>
      <c r="F8591" s="46">
        <f>IF(E8591="","",IF(C8591&gt;WeekEndDate,"",E8591))</f>
        <v/>
      </c>
    </row>
    <row r="8592">
      <c r="A8592" t="inlineStr">
        <is>
          <t>Warranty &amp; Maintenance</t>
        </is>
      </c>
      <c r="B8592" s="46">
        <f>'Warranty &amp; Maintenance'!Z557</f>
        <v/>
      </c>
      <c r="C8592" s="84">
        <f>'Warranty &amp; Maintenance'!X557</f>
        <v/>
      </c>
      <c r="D8592" s="46">
        <f>'Warranty &amp; Maintenance'!Y557</f>
        <v/>
      </c>
      <c r="E8592" s="46">
        <f>IF(OR(B8592="",C8592="",D8592=""),"",D8592*100000+(C8592-DATE(2000,1,1))+ROW()/100000)</f>
        <v/>
      </c>
      <c r="F8592" s="46">
        <f>IF(E8592="","",IF(C8592&gt;WeekEndDate,"",E8592))</f>
        <v/>
      </c>
    </row>
    <row r="8593">
      <c r="A8593" t="inlineStr">
        <is>
          <t>Warranty &amp; Maintenance</t>
        </is>
      </c>
      <c r="B8593" s="46">
        <f>'Warranty &amp; Maintenance'!Z558</f>
        <v/>
      </c>
      <c r="C8593" s="84">
        <f>'Warranty &amp; Maintenance'!X558</f>
        <v/>
      </c>
      <c r="D8593" s="46">
        <f>'Warranty &amp; Maintenance'!Y558</f>
        <v/>
      </c>
      <c r="E8593" s="46">
        <f>IF(OR(B8593="",C8593="",D8593=""),"",D8593*100000+(C8593-DATE(2000,1,1))+ROW()/100000)</f>
        <v/>
      </c>
      <c r="F8593" s="46">
        <f>IF(E8593="","",IF(C8593&gt;WeekEndDate,"",E8593))</f>
        <v/>
      </c>
    </row>
    <row r="8594">
      <c r="A8594" t="inlineStr">
        <is>
          <t>Warranty &amp; Maintenance</t>
        </is>
      </c>
      <c r="B8594" s="46">
        <f>'Warranty &amp; Maintenance'!Z559</f>
        <v/>
      </c>
      <c r="C8594" s="84">
        <f>'Warranty &amp; Maintenance'!X559</f>
        <v/>
      </c>
      <c r="D8594" s="46">
        <f>'Warranty &amp; Maintenance'!Y559</f>
        <v/>
      </c>
      <c r="E8594" s="46">
        <f>IF(OR(B8594="",C8594="",D8594=""),"",D8594*100000+(C8594-DATE(2000,1,1))+ROW()/100000)</f>
        <v/>
      </c>
      <c r="F8594" s="46">
        <f>IF(E8594="","",IF(C8594&gt;WeekEndDate,"",E8594))</f>
        <v/>
      </c>
    </row>
    <row r="8595">
      <c r="A8595" t="inlineStr">
        <is>
          <t>Warranty &amp; Maintenance</t>
        </is>
      </c>
      <c r="B8595" s="46">
        <f>'Warranty &amp; Maintenance'!Z560</f>
        <v/>
      </c>
      <c r="C8595" s="84">
        <f>'Warranty &amp; Maintenance'!X560</f>
        <v/>
      </c>
      <c r="D8595" s="46">
        <f>'Warranty &amp; Maintenance'!Y560</f>
        <v/>
      </c>
      <c r="E8595" s="46">
        <f>IF(OR(B8595="",C8595="",D8595=""),"",D8595*100000+(C8595-DATE(2000,1,1))+ROW()/100000)</f>
        <v/>
      </c>
      <c r="F8595" s="46">
        <f>IF(E8595="","",IF(C8595&gt;WeekEndDate,"",E8595))</f>
        <v/>
      </c>
    </row>
    <row r="8596">
      <c r="A8596" t="inlineStr">
        <is>
          <t>Warranty &amp; Maintenance</t>
        </is>
      </c>
      <c r="B8596" s="46">
        <f>'Warranty &amp; Maintenance'!Z561</f>
        <v/>
      </c>
      <c r="C8596" s="84">
        <f>'Warranty &amp; Maintenance'!X561</f>
        <v/>
      </c>
      <c r="D8596" s="46">
        <f>'Warranty &amp; Maintenance'!Y561</f>
        <v/>
      </c>
      <c r="E8596" s="46">
        <f>IF(OR(B8596="",C8596="",D8596=""),"",D8596*100000+(C8596-DATE(2000,1,1))+ROW()/100000)</f>
        <v/>
      </c>
      <c r="F8596" s="46">
        <f>IF(E8596="","",IF(C8596&gt;WeekEndDate,"",E8596))</f>
        <v/>
      </c>
    </row>
    <row r="8597">
      <c r="A8597" t="inlineStr">
        <is>
          <t>Warranty &amp; Maintenance</t>
        </is>
      </c>
      <c r="B8597" s="46">
        <f>'Warranty &amp; Maintenance'!Z562</f>
        <v/>
      </c>
      <c r="C8597" s="84">
        <f>'Warranty &amp; Maintenance'!X562</f>
        <v/>
      </c>
      <c r="D8597" s="46">
        <f>'Warranty &amp; Maintenance'!Y562</f>
        <v/>
      </c>
      <c r="E8597" s="46">
        <f>IF(OR(B8597="",C8597="",D8597=""),"",D8597*100000+(C8597-DATE(2000,1,1))+ROW()/100000)</f>
        <v/>
      </c>
      <c r="F8597" s="46">
        <f>IF(E8597="","",IF(C8597&gt;WeekEndDate,"",E8597))</f>
        <v/>
      </c>
    </row>
    <row r="8598">
      <c r="A8598" t="inlineStr">
        <is>
          <t>Warranty &amp; Maintenance</t>
        </is>
      </c>
      <c r="B8598" s="46">
        <f>'Warranty &amp; Maintenance'!Z563</f>
        <v/>
      </c>
      <c r="C8598" s="84">
        <f>'Warranty &amp; Maintenance'!X563</f>
        <v/>
      </c>
      <c r="D8598" s="46">
        <f>'Warranty &amp; Maintenance'!Y563</f>
        <v/>
      </c>
      <c r="E8598" s="46">
        <f>IF(OR(B8598="",C8598="",D8598=""),"",D8598*100000+(C8598-DATE(2000,1,1))+ROW()/100000)</f>
        <v/>
      </c>
      <c r="F8598" s="46">
        <f>IF(E8598="","",IF(C8598&gt;WeekEndDate,"",E8598))</f>
        <v/>
      </c>
    </row>
    <row r="8599">
      <c r="A8599" t="inlineStr">
        <is>
          <t>Warranty &amp; Maintenance</t>
        </is>
      </c>
      <c r="B8599" s="46">
        <f>'Warranty &amp; Maintenance'!Z564</f>
        <v/>
      </c>
      <c r="C8599" s="84">
        <f>'Warranty &amp; Maintenance'!X564</f>
        <v/>
      </c>
      <c r="D8599" s="46">
        <f>'Warranty &amp; Maintenance'!Y564</f>
        <v/>
      </c>
      <c r="E8599" s="46">
        <f>IF(OR(B8599="",C8599="",D8599=""),"",D8599*100000+(C8599-DATE(2000,1,1))+ROW()/100000)</f>
        <v/>
      </c>
      <c r="F8599" s="46">
        <f>IF(E8599="","",IF(C8599&gt;WeekEndDate,"",E8599))</f>
        <v/>
      </c>
    </row>
    <row r="8600">
      <c r="A8600" t="inlineStr">
        <is>
          <t>Warranty &amp; Maintenance</t>
        </is>
      </c>
      <c r="B8600" s="46">
        <f>'Warranty &amp; Maintenance'!Z565</f>
        <v/>
      </c>
      <c r="C8600" s="84">
        <f>'Warranty &amp; Maintenance'!X565</f>
        <v/>
      </c>
      <c r="D8600" s="46">
        <f>'Warranty &amp; Maintenance'!Y565</f>
        <v/>
      </c>
      <c r="E8600" s="46">
        <f>IF(OR(B8600="",C8600="",D8600=""),"",D8600*100000+(C8600-DATE(2000,1,1))+ROW()/100000)</f>
        <v/>
      </c>
      <c r="F8600" s="46">
        <f>IF(E8600="","",IF(C8600&gt;WeekEndDate,"",E8600))</f>
        <v/>
      </c>
    </row>
    <row r="8601">
      <c r="A8601" t="inlineStr">
        <is>
          <t>Warranty &amp; Maintenance</t>
        </is>
      </c>
      <c r="B8601" s="46">
        <f>'Warranty &amp; Maintenance'!Z566</f>
        <v/>
      </c>
      <c r="C8601" s="84">
        <f>'Warranty &amp; Maintenance'!X566</f>
        <v/>
      </c>
      <c r="D8601" s="46">
        <f>'Warranty &amp; Maintenance'!Y566</f>
        <v/>
      </c>
      <c r="E8601" s="46">
        <f>IF(OR(B8601="",C8601="",D8601=""),"",D8601*100000+(C8601-DATE(2000,1,1))+ROW()/100000)</f>
        <v/>
      </c>
      <c r="F8601" s="46">
        <f>IF(E8601="","",IF(C8601&gt;WeekEndDate,"",E8601))</f>
        <v/>
      </c>
    </row>
    <row r="8602">
      <c r="A8602" t="inlineStr">
        <is>
          <t>Warranty &amp; Maintenance</t>
        </is>
      </c>
      <c r="B8602" s="46">
        <f>'Warranty &amp; Maintenance'!Z567</f>
        <v/>
      </c>
      <c r="C8602" s="84">
        <f>'Warranty &amp; Maintenance'!X567</f>
        <v/>
      </c>
      <c r="D8602" s="46">
        <f>'Warranty &amp; Maintenance'!Y567</f>
        <v/>
      </c>
      <c r="E8602" s="46">
        <f>IF(OR(B8602="",C8602="",D8602=""),"",D8602*100000+(C8602-DATE(2000,1,1))+ROW()/100000)</f>
        <v/>
      </c>
      <c r="F8602" s="46">
        <f>IF(E8602="","",IF(C8602&gt;WeekEndDate,"",E8602))</f>
        <v/>
      </c>
    </row>
    <row r="8603">
      <c r="A8603" t="inlineStr">
        <is>
          <t>Warranty &amp; Maintenance</t>
        </is>
      </c>
      <c r="B8603" s="46">
        <f>'Warranty &amp; Maintenance'!Z568</f>
        <v/>
      </c>
      <c r="C8603" s="84">
        <f>'Warranty &amp; Maintenance'!X568</f>
        <v/>
      </c>
      <c r="D8603" s="46">
        <f>'Warranty &amp; Maintenance'!Y568</f>
        <v/>
      </c>
      <c r="E8603" s="46">
        <f>IF(OR(B8603="",C8603="",D8603=""),"",D8603*100000+(C8603-DATE(2000,1,1))+ROW()/100000)</f>
        <v/>
      </c>
      <c r="F8603" s="46">
        <f>IF(E8603="","",IF(C8603&gt;WeekEndDate,"",E8603))</f>
        <v/>
      </c>
    </row>
    <row r="8604">
      <c r="A8604" t="inlineStr">
        <is>
          <t>Warranty &amp; Maintenance</t>
        </is>
      </c>
      <c r="B8604" s="46">
        <f>'Warranty &amp; Maintenance'!Z569</f>
        <v/>
      </c>
      <c r="C8604" s="84">
        <f>'Warranty &amp; Maintenance'!X569</f>
        <v/>
      </c>
      <c r="D8604" s="46">
        <f>'Warranty &amp; Maintenance'!Y569</f>
        <v/>
      </c>
      <c r="E8604" s="46">
        <f>IF(OR(B8604="",C8604="",D8604=""),"",D8604*100000+(C8604-DATE(2000,1,1))+ROW()/100000)</f>
        <v/>
      </c>
      <c r="F8604" s="46">
        <f>IF(E8604="","",IF(C8604&gt;WeekEndDate,"",E8604))</f>
        <v/>
      </c>
    </row>
    <row r="8605">
      <c r="A8605" t="inlineStr">
        <is>
          <t>Warranty &amp; Maintenance</t>
        </is>
      </c>
      <c r="B8605" s="46">
        <f>'Warranty &amp; Maintenance'!Z570</f>
        <v/>
      </c>
      <c r="C8605" s="84">
        <f>'Warranty &amp; Maintenance'!X570</f>
        <v/>
      </c>
      <c r="D8605" s="46">
        <f>'Warranty &amp; Maintenance'!Y570</f>
        <v/>
      </c>
      <c r="E8605" s="46">
        <f>IF(OR(B8605="",C8605="",D8605=""),"",D8605*100000+(C8605-DATE(2000,1,1))+ROW()/100000)</f>
        <v/>
      </c>
      <c r="F8605" s="46">
        <f>IF(E8605="","",IF(C8605&gt;WeekEndDate,"",E8605))</f>
        <v/>
      </c>
    </row>
    <row r="8606">
      <c r="A8606" t="inlineStr">
        <is>
          <t>Warranty &amp; Maintenance</t>
        </is>
      </c>
      <c r="B8606" s="46">
        <f>'Warranty &amp; Maintenance'!Z571</f>
        <v/>
      </c>
      <c r="C8606" s="84">
        <f>'Warranty &amp; Maintenance'!X571</f>
        <v/>
      </c>
      <c r="D8606" s="46">
        <f>'Warranty &amp; Maintenance'!Y571</f>
        <v/>
      </c>
      <c r="E8606" s="46">
        <f>IF(OR(B8606="",C8606="",D8606=""),"",D8606*100000+(C8606-DATE(2000,1,1))+ROW()/100000)</f>
        <v/>
      </c>
      <c r="F8606" s="46">
        <f>IF(E8606="","",IF(C8606&gt;WeekEndDate,"",E8606))</f>
        <v/>
      </c>
    </row>
    <row r="8607">
      <c r="A8607" t="inlineStr">
        <is>
          <t>Warranty &amp; Maintenance</t>
        </is>
      </c>
      <c r="B8607" s="46">
        <f>'Warranty &amp; Maintenance'!Z572</f>
        <v/>
      </c>
      <c r="C8607" s="84">
        <f>'Warranty &amp; Maintenance'!X572</f>
        <v/>
      </c>
      <c r="D8607" s="46">
        <f>'Warranty &amp; Maintenance'!Y572</f>
        <v/>
      </c>
      <c r="E8607" s="46">
        <f>IF(OR(B8607="",C8607="",D8607=""),"",D8607*100000+(C8607-DATE(2000,1,1))+ROW()/100000)</f>
        <v/>
      </c>
      <c r="F8607" s="46">
        <f>IF(E8607="","",IF(C8607&gt;WeekEndDate,"",E8607))</f>
        <v/>
      </c>
    </row>
    <row r="8608">
      <c r="A8608" t="inlineStr">
        <is>
          <t>Warranty &amp; Maintenance</t>
        </is>
      </c>
      <c r="B8608" s="46">
        <f>'Warranty &amp; Maintenance'!Z573</f>
        <v/>
      </c>
      <c r="C8608" s="84">
        <f>'Warranty &amp; Maintenance'!X573</f>
        <v/>
      </c>
      <c r="D8608" s="46">
        <f>'Warranty &amp; Maintenance'!Y573</f>
        <v/>
      </c>
      <c r="E8608" s="46">
        <f>IF(OR(B8608="",C8608="",D8608=""),"",D8608*100000+(C8608-DATE(2000,1,1))+ROW()/100000)</f>
        <v/>
      </c>
      <c r="F8608" s="46">
        <f>IF(E8608="","",IF(C8608&gt;WeekEndDate,"",E8608))</f>
        <v/>
      </c>
    </row>
    <row r="8609">
      <c r="A8609" t="inlineStr">
        <is>
          <t>Warranty &amp; Maintenance</t>
        </is>
      </c>
      <c r="B8609" s="46">
        <f>'Warranty &amp; Maintenance'!Z574</f>
        <v/>
      </c>
      <c r="C8609" s="84">
        <f>'Warranty &amp; Maintenance'!X574</f>
        <v/>
      </c>
      <c r="D8609" s="46">
        <f>'Warranty &amp; Maintenance'!Y574</f>
        <v/>
      </c>
      <c r="E8609" s="46">
        <f>IF(OR(B8609="",C8609="",D8609=""),"",D8609*100000+(C8609-DATE(2000,1,1))+ROW()/100000)</f>
        <v/>
      </c>
      <c r="F8609" s="46">
        <f>IF(E8609="","",IF(C8609&gt;WeekEndDate,"",E8609))</f>
        <v/>
      </c>
    </row>
    <row r="8610">
      <c r="A8610" t="inlineStr">
        <is>
          <t>Warranty &amp; Maintenance</t>
        </is>
      </c>
      <c r="B8610" s="46">
        <f>'Warranty &amp; Maintenance'!Z575</f>
        <v/>
      </c>
      <c r="C8610" s="84">
        <f>'Warranty &amp; Maintenance'!X575</f>
        <v/>
      </c>
      <c r="D8610" s="46">
        <f>'Warranty &amp; Maintenance'!Y575</f>
        <v/>
      </c>
      <c r="E8610" s="46">
        <f>IF(OR(B8610="",C8610="",D8610=""),"",D8610*100000+(C8610-DATE(2000,1,1))+ROW()/100000)</f>
        <v/>
      </c>
      <c r="F8610" s="46">
        <f>IF(E8610="","",IF(C8610&gt;WeekEndDate,"",E8610))</f>
        <v/>
      </c>
    </row>
    <row r="8611">
      <c r="A8611" t="inlineStr">
        <is>
          <t>Warranty &amp; Maintenance</t>
        </is>
      </c>
      <c r="B8611" s="46">
        <f>'Warranty &amp; Maintenance'!Z576</f>
        <v/>
      </c>
      <c r="C8611" s="84">
        <f>'Warranty &amp; Maintenance'!X576</f>
        <v/>
      </c>
      <c r="D8611" s="46">
        <f>'Warranty &amp; Maintenance'!Y576</f>
        <v/>
      </c>
      <c r="E8611" s="46">
        <f>IF(OR(B8611="",C8611="",D8611=""),"",D8611*100000+(C8611-DATE(2000,1,1))+ROW()/100000)</f>
        <v/>
      </c>
      <c r="F8611" s="46">
        <f>IF(E8611="","",IF(C8611&gt;WeekEndDate,"",E8611))</f>
        <v/>
      </c>
    </row>
    <row r="8612">
      <c r="A8612" t="inlineStr">
        <is>
          <t>Warranty &amp; Maintenance</t>
        </is>
      </c>
      <c r="B8612" s="46">
        <f>'Warranty &amp; Maintenance'!Z577</f>
        <v/>
      </c>
      <c r="C8612" s="84">
        <f>'Warranty &amp; Maintenance'!X577</f>
        <v/>
      </c>
      <c r="D8612" s="46">
        <f>'Warranty &amp; Maintenance'!Y577</f>
        <v/>
      </c>
      <c r="E8612" s="46">
        <f>IF(OR(B8612="",C8612="",D8612=""),"",D8612*100000+(C8612-DATE(2000,1,1))+ROW()/100000)</f>
        <v/>
      </c>
      <c r="F8612" s="46">
        <f>IF(E8612="","",IF(C8612&gt;WeekEndDate,"",E8612))</f>
        <v/>
      </c>
    </row>
    <row r="8613">
      <c r="A8613" t="inlineStr">
        <is>
          <t>Warranty &amp; Maintenance</t>
        </is>
      </c>
      <c r="B8613" s="46">
        <f>'Warranty &amp; Maintenance'!Z578</f>
        <v/>
      </c>
      <c r="C8613" s="84">
        <f>'Warranty &amp; Maintenance'!X578</f>
        <v/>
      </c>
      <c r="D8613" s="46">
        <f>'Warranty &amp; Maintenance'!Y578</f>
        <v/>
      </c>
      <c r="E8613" s="46">
        <f>IF(OR(B8613="",C8613="",D8613=""),"",D8613*100000+(C8613-DATE(2000,1,1))+ROW()/100000)</f>
        <v/>
      </c>
      <c r="F8613" s="46">
        <f>IF(E8613="","",IF(C8613&gt;WeekEndDate,"",E8613))</f>
        <v/>
      </c>
    </row>
    <row r="8614">
      <c r="A8614" t="inlineStr">
        <is>
          <t>Warranty &amp; Maintenance</t>
        </is>
      </c>
      <c r="B8614" s="46">
        <f>'Warranty &amp; Maintenance'!Z579</f>
        <v/>
      </c>
      <c r="C8614" s="84">
        <f>'Warranty &amp; Maintenance'!X579</f>
        <v/>
      </c>
      <c r="D8614" s="46">
        <f>'Warranty &amp; Maintenance'!Y579</f>
        <v/>
      </c>
      <c r="E8614" s="46">
        <f>IF(OR(B8614="",C8614="",D8614=""),"",D8614*100000+(C8614-DATE(2000,1,1))+ROW()/100000)</f>
        <v/>
      </c>
      <c r="F8614" s="46">
        <f>IF(E8614="","",IF(C8614&gt;WeekEndDate,"",E8614))</f>
        <v/>
      </c>
    </row>
    <row r="8615">
      <c r="A8615" t="inlineStr">
        <is>
          <t>Warranty &amp; Maintenance</t>
        </is>
      </c>
      <c r="B8615" s="46">
        <f>'Warranty &amp; Maintenance'!Z580</f>
        <v/>
      </c>
      <c r="C8615" s="84">
        <f>'Warranty &amp; Maintenance'!X580</f>
        <v/>
      </c>
      <c r="D8615" s="46">
        <f>'Warranty &amp; Maintenance'!Y580</f>
        <v/>
      </c>
      <c r="E8615" s="46">
        <f>IF(OR(B8615="",C8615="",D8615=""),"",D8615*100000+(C8615-DATE(2000,1,1))+ROW()/100000)</f>
        <v/>
      </c>
      <c r="F8615" s="46">
        <f>IF(E8615="","",IF(C8615&gt;WeekEndDate,"",E8615))</f>
        <v/>
      </c>
    </row>
    <row r="8616">
      <c r="A8616" t="inlineStr">
        <is>
          <t>Warranty &amp; Maintenance</t>
        </is>
      </c>
      <c r="B8616" s="46">
        <f>'Warranty &amp; Maintenance'!Z581</f>
        <v/>
      </c>
      <c r="C8616" s="84">
        <f>'Warranty &amp; Maintenance'!X581</f>
        <v/>
      </c>
      <c r="D8616" s="46">
        <f>'Warranty &amp; Maintenance'!Y581</f>
        <v/>
      </c>
      <c r="E8616" s="46">
        <f>IF(OR(B8616="",C8616="",D8616=""),"",D8616*100000+(C8616-DATE(2000,1,1))+ROW()/100000)</f>
        <v/>
      </c>
      <c r="F8616" s="46">
        <f>IF(E8616="","",IF(C8616&gt;WeekEndDate,"",E8616))</f>
        <v/>
      </c>
    </row>
    <row r="8617">
      <c r="A8617" t="inlineStr">
        <is>
          <t>Warranty &amp; Maintenance</t>
        </is>
      </c>
      <c r="B8617" s="46">
        <f>'Warranty &amp; Maintenance'!Z582</f>
        <v/>
      </c>
      <c r="C8617" s="84">
        <f>'Warranty &amp; Maintenance'!X582</f>
        <v/>
      </c>
      <c r="D8617" s="46">
        <f>'Warranty &amp; Maintenance'!Y582</f>
        <v/>
      </c>
      <c r="E8617" s="46">
        <f>IF(OR(B8617="",C8617="",D8617=""),"",D8617*100000+(C8617-DATE(2000,1,1))+ROW()/100000)</f>
        <v/>
      </c>
      <c r="F8617" s="46">
        <f>IF(E8617="","",IF(C8617&gt;WeekEndDate,"",E8617))</f>
        <v/>
      </c>
    </row>
    <row r="8618">
      <c r="A8618" t="inlineStr">
        <is>
          <t>Warranty &amp; Maintenance</t>
        </is>
      </c>
      <c r="B8618" s="46">
        <f>'Warranty &amp; Maintenance'!Z583</f>
        <v/>
      </c>
      <c r="C8618" s="84">
        <f>'Warranty &amp; Maintenance'!X583</f>
        <v/>
      </c>
      <c r="D8618" s="46">
        <f>'Warranty &amp; Maintenance'!Y583</f>
        <v/>
      </c>
      <c r="E8618" s="46">
        <f>IF(OR(B8618="",C8618="",D8618=""),"",D8618*100000+(C8618-DATE(2000,1,1))+ROW()/100000)</f>
        <v/>
      </c>
      <c r="F8618" s="46">
        <f>IF(E8618="","",IF(C8618&gt;WeekEndDate,"",E8618))</f>
        <v/>
      </c>
    </row>
    <row r="8619">
      <c r="A8619" t="inlineStr">
        <is>
          <t>Warranty &amp; Maintenance</t>
        </is>
      </c>
      <c r="B8619" s="46">
        <f>'Warranty &amp; Maintenance'!Z584</f>
        <v/>
      </c>
      <c r="C8619" s="84">
        <f>'Warranty &amp; Maintenance'!X584</f>
        <v/>
      </c>
      <c r="D8619" s="46">
        <f>'Warranty &amp; Maintenance'!Y584</f>
        <v/>
      </c>
      <c r="E8619" s="46">
        <f>IF(OR(B8619="",C8619="",D8619=""),"",D8619*100000+(C8619-DATE(2000,1,1))+ROW()/100000)</f>
        <v/>
      </c>
      <c r="F8619" s="46">
        <f>IF(E8619="","",IF(C8619&gt;WeekEndDate,"",E8619))</f>
        <v/>
      </c>
    </row>
    <row r="8620">
      <c r="A8620" t="inlineStr">
        <is>
          <t>Warranty &amp; Maintenance</t>
        </is>
      </c>
      <c r="B8620" s="46">
        <f>'Warranty &amp; Maintenance'!Z585</f>
        <v/>
      </c>
      <c r="C8620" s="84">
        <f>'Warranty &amp; Maintenance'!X585</f>
        <v/>
      </c>
      <c r="D8620" s="46">
        <f>'Warranty &amp; Maintenance'!Y585</f>
        <v/>
      </c>
      <c r="E8620" s="46">
        <f>IF(OR(B8620="",C8620="",D8620=""),"",D8620*100000+(C8620-DATE(2000,1,1))+ROW()/100000)</f>
        <v/>
      </c>
      <c r="F8620" s="46">
        <f>IF(E8620="","",IF(C8620&gt;WeekEndDate,"",E8620))</f>
        <v/>
      </c>
    </row>
    <row r="8621">
      <c r="A8621" t="inlineStr">
        <is>
          <t>Warranty &amp; Maintenance</t>
        </is>
      </c>
      <c r="B8621" s="46">
        <f>'Warranty &amp; Maintenance'!Z586</f>
        <v/>
      </c>
      <c r="C8621" s="84">
        <f>'Warranty &amp; Maintenance'!X586</f>
        <v/>
      </c>
      <c r="D8621" s="46">
        <f>'Warranty &amp; Maintenance'!Y586</f>
        <v/>
      </c>
      <c r="E8621" s="46">
        <f>IF(OR(B8621="",C8621="",D8621=""),"",D8621*100000+(C8621-DATE(2000,1,1))+ROW()/100000)</f>
        <v/>
      </c>
      <c r="F8621" s="46">
        <f>IF(E8621="","",IF(C8621&gt;WeekEndDate,"",E8621))</f>
        <v/>
      </c>
    </row>
    <row r="8622">
      <c r="A8622" t="inlineStr">
        <is>
          <t>Warranty &amp; Maintenance</t>
        </is>
      </c>
      <c r="B8622" s="46">
        <f>'Warranty &amp; Maintenance'!Z587</f>
        <v/>
      </c>
      <c r="C8622" s="84">
        <f>'Warranty &amp; Maintenance'!X587</f>
        <v/>
      </c>
      <c r="D8622" s="46">
        <f>'Warranty &amp; Maintenance'!Y587</f>
        <v/>
      </c>
      <c r="E8622" s="46">
        <f>IF(OR(B8622="",C8622="",D8622=""),"",D8622*100000+(C8622-DATE(2000,1,1))+ROW()/100000)</f>
        <v/>
      </c>
      <c r="F8622" s="46">
        <f>IF(E8622="","",IF(C8622&gt;WeekEndDate,"",E8622))</f>
        <v/>
      </c>
    </row>
    <row r="8623">
      <c r="A8623" t="inlineStr">
        <is>
          <t>Warranty &amp; Maintenance</t>
        </is>
      </c>
      <c r="B8623" s="46">
        <f>'Warranty &amp; Maintenance'!Z588</f>
        <v/>
      </c>
      <c r="C8623" s="84">
        <f>'Warranty &amp; Maintenance'!X588</f>
        <v/>
      </c>
      <c r="D8623" s="46">
        <f>'Warranty &amp; Maintenance'!Y588</f>
        <v/>
      </c>
      <c r="E8623" s="46">
        <f>IF(OR(B8623="",C8623="",D8623=""),"",D8623*100000+(C8623-DATE(2000,1,1))+ROW()/100000)</f>
        <v/>
      </c>
      <c r="F8623" s="46">
        <f>IF(E8623="","",IF(C8623&gt;WeekEndDate,"",E8623))</f>
        <v/>
      </c>
    </row>
    <row r="8624">
      <c r="A8624" t="inlineStr">
        <is>
          <t>Warranty &amp; Maintenance</t>
        </is>
      </c>
      <c r="B8624" s="46">
        <f>'Warranty &amp; Maintenance'!Z589</f>
        <v/>
      </c>
      <c r="C8624" s="84">
        <f>'Warranty &amp; Maintenance'!X589</f>
        <v/>
      </c>
      <c r="D8624" s="46">
        <f>'Warranty &amp; Maintenance'!Y589</f>
        <v/>
      </c>
      <c r="E8624" s="46">
        <f>IF(OR(B8624="",C8624="",D8624=""),"",D8624*100000+(C8624-DATE(2000,1,1))+ROW()/100000)</f>
        <v/>
      </c>
      <c r="F8624" s="46">
        <f>IF(E8624="","",IF(C8624&gt;WeekEndDate,"",E8624))</f>
        <v/>
      </c>
    </row>
    <row r="8625">
      <c r="A8625" t="inlineStr">
        <is>
          <t>Warranty &amp; Maintenance</t>
        </is>
      </c>
      <c r="B8625" s="46">
        <f>'Warranty &amp; Maintenance'!Z590</f>
        <v/>
      </c>
      <c r="C8625" s="84">
        <f>'Warranty &amp; Maintenance'!X590</f>
        <v/>
      </c>
      <c r="D8625" s="46">
        <f>'Warranty &amp; Maintenance'!Y590</f>
        <v/>
      </c>
      <c r="E8625" s="46">
        <f>IF(OR(B8625="",C8625="",D8625=""),"",D8625*100000+(C8625-DATE(2000,1,1))+ROW()/100000)</f>
        <v/>
      </c>
      <c r="F8625" s="46">
        <f>IF(E8625="","",IF(C8625&gt;WeekEndDate,"",E8625))</f>
        <v/>
      </c>
    </row>
    <row r="8626">
      <c r="A8626" t="inlineStr">
        <is>
          <t>Warranty &amp; Maintenance</t>
        </is>
      </c>
      <c r="B8626" s="46">
        <f>'Warranty &amp; Maintenance'!Z591</f>
        <v/>
      </c>
      <c r="C8626" s="84">
        <f>'Warranty &amp; Maintenance'!X591</f>
        <v/>
      </c>
      <c r="D8626" s="46">
        <f>'Warranty &amp; Maintenance'!Y591</f>
        <v/>
      </c>
      <c r="E8626" s="46">
        <f>IF(OR(B8626="",C8626="",D8626=""),"",D8626*100000+(C8626-DATE(2000,1,1))+ROW()/100000)</f>
        <v/>
      </c>
      <c r="F8626" s="46">
        <f>IF(E8626="","",IF(C8626&gt;WeekEndDate,"",E8626))</f>
        <v/>
      </c>
    </row>
    <row r="8627">
      <c r="A8627" t="inlineStr">
        <is>
          <t>Warranty &amp; Maintenance</t>
        </is>
      </c>
      <c r="B8627" s="46">
        <f>'Warranty &amp; Maintenance'!Z592</f>
        <v/>
      </c>
      <c r="C8627" s="84">
        <f>'Warranty &amp; Maintenance'!X592</f>
        <v/>
      </c>
      <c r="D8627" s="46">
        <f>'Warranty &amp; Maintenance'!Y592</f>
        <v/>
      </c>
      <c r="E8627" s="46">
        <f>IF(OR(B8627="",C8627="",D8627=""),"",D8627*100000+(C8627-DATE(2000,1,1))+ROW()/100000)</f>
        <v/>
      </c>
      <c r="F8627" s="46">
        <f>IF(E8627="","",IF(C8627&gt;WeekEndDate,"",E8627))</f>
        <v/>
      </c>
    </row>
    <row r="8628">
      <c r="A8628" t="inlineStr">
        <is>
          <t>Warranty &amp; Maintenance</t>
        </is>
      </c>
      <c r="B8628" s="46">
        <f>'Warranty &amp; Maintenance'!Z593</f>
        <v/>
      </c>
      <c r="C8628" s="84">
        <f>'Warranty &amp; Maintenance'!X593</f>
        <v/>
      </c>
      <c r="D8628" s="46">
        <f>'Warranty &amp; Maintenance'!Y593</f>
        <v/>
      </c>
      <c r="E8628" s="46">
        <f>IF(OR(B8628="",C8628="",D8628=""),"",D8628*100000+(C8628-DATE(2000,1,1))+ROW()/100000)</f>
        <v/>
      </c>
      <c r="F8628" s="46">
        <f>IF(E8628="","",IF(C8628&gt;WeekEndDate,"",E8628))</f>
        <v/>
      </c>
    </row>
    <row r="8629">
      <c r="A8629" t="inlineStr">
        <is>
          <t>Warranty &amp; Maintenance</t>
        </is>
      </c>
      <c r="B8629" s="46">
        <f>'Warranty &amp; Maintenance'!Z594</f>
        <v/>
      </c>
      <c r="C8629" s="84">
        <f>'Warranty &amp; Maintenance'!X594</f>
        <v/>
      </c>
      <c r="D8629" s="46">
        <f>'Warranty &amp; Maintenance'!Y594</f>
        <v/>
      </c>
      <c r="E8629" s="46">
        <f>IF(OR(B8629="",C8629="",D8629=""),"",D8629*100000+(C8629-DATE(2000,1,1))+ROW()/100000)</f>
        <v/>
      </c>
      <c r="F8629" s="46">
        <f>IF(E8629="","",IF(C8629&gt;WeekEndDate,"",E8629))</f>
        <v/>
      </c>
    </row>
    <row r="8630">
      <c r="A8630" t="inlineStr">
        <is>
          <t>Warranty &amp; Maintenance</t>
        </is>
      </c>
      <c r="B8630" s="46">
        <f>'Warranty &amp; Maintenance'!Z595</f>
        <v/>
      </c>
      <c r="C8630" s="84">
        <f>'Warranty &amp; Maintenance'!X595</f>
        <v/>
      </c>
      <c r="D8630" s="46">
        <f>'Warranty &amp; Maintenance'!Y595</f>
        <v/>
      </c>
      <c r="E8630" s="46">
        <f>IF(OR(B8630="",C8630="",D8630=""),"",D8630*100000+(C8630-DATE(2000,1,1))+ROW()/100000)</f>
        <v/>
      </c>
      <c r="F8630" s="46">
        <f>IF(E8630="","",IF(C8630&gt;WeekEndDate,"",E8630))</f>
        <v/>
      </c>
    </row>
    <row r="8631">
      <c r="A8631" t="inlineStr">
        <is>
          <t>Warranty &amp; Maintenance</t>
        </is>
      </c>
      <c r="B8631" s="46">
        <f>'Warranty &amp; Maintenance'!Z596</f>
        <v/>
      </c>
      <c r="C8631" s="84">
        <f>'Warranty &amp; Maintenance'!X596</f>
        <v/>
      </c>
      <c r="D8631" s="46">
        <f>'Warranty &amp; Maintenance'!Y596</f>
        <v/>
      </c>
      <c r="E8631" s="46">
        <f>IF(OR(B8631="",C8631="",D8631=""),"",D8631*100000+(C8631-DATE(2000,1,1))+ROW()/100000)</f>
        <v/>
      </c>
      <c r="F8631" s="46">
        <f>IF(E8631="","",IF(C8631&gt;WeekEndDate,"",E8631))</f>
        <v/>
      </c>
    </row>
    <row r="8632">
      <c r="A8632" t="inlineStr">
        <is>
          <t>Warranty &amp; Maintenance</t>
        </is>
      </c>
      <c r="B8632" s="46">
        <f>'Warranty &amp; Maintenance'!Z597</f>
        <v/>
      </c>
      <c r="C8632" s="84">
        <f>'Warranty &amp; Maintenance'!X597</f>
        <v/>
      </c>
      <c r="D8632" s="46">
        <f>'Warranty &amp; Maintenance'!Y597</f>
        <v/>
      </c>
      <c r="E8632" s="46">
        <f>IF(OR(B8632="",C8632="",D8632=""),"",D8632*100000+(C8632-DATE(2000,1,1))+ROW()/100000)</f>
        <v/>
      </c>
      <c r="F8632" s="46">
        <f>IF(E8632="","",IF(C8632&gt;WeekEndDate,"",E8632))</f>
        <v/>
      </c>
    </row>
    <row r="8633">
      <c r="A8633" t="inlineStr">
        <is>
          <t>Warranty &amp; Maintenance</t>
        </is>
      </c>
      <c r="B8633" s="46">
        <f>'Warranty &amp; Maintenance'!Z598</f>
        <v/>
      </c>
      <c r="C8633" s="84">
        <f>'Warranty &amp; Maintenance'!X598</f>
        <v/>
      </c>
      <c r="D8633" s="46">
        <f>'Warranty &amp; Maintenance'!Y598</f>
        <v/>
      </c>
      <c r="E8633" s="46">
        <f>IF(OR(B8633="",C8633="",D8633=""),"",D8633*100000+(C8633-DATE(2000,1,1))+ROW()/100000)</f>
        <v/>
      </c>
      <c r="F8633" s="46">
        <f>IF(E8633="","",IF(C8633&gt;WeekEndDate,"",E8633))</f>
        <v/>
      </c>
    </row>
    <row r="8634">
      <c r="A8634" t="inlineStr">
        <is>
          <t>Warranty &amp; Maintenance</t>
        </is>
      </c>
      <c r="B8634" s="46">
        <f>'Warranty &amp; Maintenance'!Z599</f>
        <v/>
      </c>
      <c r="C8634" s="84">
        <f>'Warranty &amp; Maintenance'!X599</f>
        <v/>
      </c>
      <c r="D8634" s="46">
        <f>'Warranty &amp; Maintenance'!Y599</f>
        <v/>
      </c>
      <c r="E8634" s="46">
        <f>IF(OR(B8634="",C8634="",D8634=""),"",D8634*100000+(C8634-DATE(2000,1,1))+ROW()/100000)</f>
        <v/>
      </c>
      <c r="F8634" s="46">
        <f>IF(E8634="","",IF(C8634&gt;WeekEndDate,"",E8634))</f>
        <v/>
      </c>
    </row>
    <row r="8635">
      <c r="A8635" t="inlineStr">
        <is>
          <t>Warranty &amp; Maintenance</t>
        </is>
      </c>
      <c r="B8635" s="46">
        <f>'Warranty &amp; Maintenance'!Z600</f>
        <v/>
      </c>
      <c r="C8635" s="84">
        <f>'Warranty &amp; Maintenance'!X600</f>
        <v/>
      </c>
      <c r="D8635" s="46">
        <f>'Warranty &amp; Maintenance'!Y600</f>
        <v/>
      </c>
      <c r="E8635" s="46">
        <f>IF(OR(B8635="",C8635="",D8635=""),"",D8635*100000+(C8635-DATE(2000,1,1))+ROW()/100000)</f>
        <v/>
      </c>
      <c r="F8635" s="46">
        <f>IF(E8635="","",IF(C8635&gt;WeekEndDate,"",E8635))</f>
        <v/>
      </c>
    </row>
    <row r="8636">
      <c r="A8636" t="inlineStr">
        <is>
          <t>Warranty &amp; Maintenance</t>
        </is>
      </c>
      <c r="B8636" s="46">
        <f>'Warranty &amp; Maintenance'!Z601</f>
        <v/>
      </c>
      <c r="C8636" s="84">
        <f>'Warranty &amp; Maintenance'!X601</f>
        <v/>
      </c>
      <c r="D8636" s="46">
        <f>'Warranty &amp; Maintenance'!Y601</f>
        <v/>
      </c>
      <c r="E8636" s="46">
        <f>IF(OR(B8636="",C8636="",D8636=""),"",D8636*100000+(C8636-DATE(2000,1,1))+ROW()/100000)</f>
        <v/>
      </c>
      <c r="F8636" s="46">
        <f>IF(E8636="","",IF(C8636&gt;WeekEndDate,"",E8636))</f>
        <v/>
      </c>
    </row>
    <row r="8637">
      <c r="A8637" t="inlineStr">
        <is>
          <t>Warranty &amp; Maintenance</t>
        </is>
      </c>
      <c r="B8637" s="46">
        <f>'Warranty &amp; Maintenance'!Z602</f>
        <v/>
      </c>
      <c r="C8637" s="84">
        <f>'Warranty &amp; Maintenance'!X602</f>
        <v/>
      </c>
      <c r="D8637" s="46">
        <f>'Warranty &amp; Maintenance'!Y602</f>
        <v/>
      </c>
      <c r="E8637" s="46">
        <f>IF(OR(B8637="",C8637="",D8637=""),"",D8637*100000+(C8637-DATE(2000,1,1))+ROW()/100000)</f>
        <v/>
      </c>
      <c r="F8637" s="46">
        <f>IF(E8637="","",IF(C8637&gt;WeekEndDate,"",E8637))</f>
        <v/>
      </c>
    </row>
    <row r="8638">
      <c r="A8638" t="inlineStr">
        <is>
          <t>Warranty &amp; Maintenance</t>
        </is>
      </c>
      <c r="B8638" s="46">
        <f>'Warranty &amp; Maintenance'!Z603</f>
        <v/>
      </c>
      <c r="C8638" s="84">
        <f>'Warranty &amp; Maintenance'!X603</f>
        <v/>
      </c>
      <c r="D8638" s="46">
        <f>'Warranty &amp; Maintenance'!Y603</f>
        <v/>
      </c>
      <c r="E8638" s="46">
        <f>IF(OR(B8638="",C8638="",D8638=""),"",D8638*100000+(C8638-DATE(2000,1,1))+ROW()/100000)</f>
        <v/>
      </c>
      <c r="F8638" s="46">
        <f>IF(E8638="","",IF(C8638&gt;WeekEndDate,"",E8638))</f>
        <v/>
      </c>
    </row>
    <row r="8639">
      <c r="A8639" t="inlineStr">
        <is>
          <t>Warranty &amp; Maintenance</t>
        </is>
      </c>
      <c r="B8639" s="46">
        <f>'Warranty &amp; Maintenance'!Z604</f>
        <v/>
      </c>
      <c r="C8639" s="84">
        <f>'Warranty &amp; Maintenance'!X604</f>
        <v/>
      </c>
      <c r="D8639" s="46">
        <f>'Warranty &amp; Maintenance'!Y604</f>
        <v/>
      </c>
      <c r="E8639" s="46">
        <f>IF(OR(B8639="",C8639="",D8639=""),"",D8639*100000+(C8639-DATE(2000,1,1))+ROW()/100000)</f>
        <v/>
      </c>
      <c r="F8639" s="46">
        <f>IF(E8639="","",IF(C8639&gt;WeekEndDate,"",E8639))</f>
        <v/>
      </c>
    </row>
    <row r="8640">
      <c r="A8640" t="inlineStr">
        <is>
          <t>Warranty &amp; Maintenance</t>
        </is>
      </c>
      <c r="B8640" s="46">
        <f>'Warranty &amp; Maintenance'!Z605</f>
        <v/>
      </c>
      <c r="C8640" s="84">
        <f>'Warranty &amp; Maintenance'!X605</f>
        <v/>
      </c>
      <c r="D8640" s="46">
        <f>'Warranty &amp; Maintenance'!Y605</f>
        <v/>
      </c>
      <c r="E8640" s="46">
        <f>IF(OR(B8640="",C8640="",D8640=""),"",D8640*100000+(C8640-DATE(2000,1,1))+ROW()/100000)</f>
        <v/>
      </c>
      <c r="F8640" s="46">
        <f>IF(E8640="","",IF(C8640&gt;WeekEndDate,"",E8640))</f>
        <v/>
      </c>
    </row>
    <row r="8641">
      <c r="A8641" t="inlineStr">
        <is>
          <t>Warranty &amp; Maintenance</t>
        </is>
      </c>
      <c r="B8641" s="46">
        <f>'Warranty &amp; Maintenance'!Z606</f>
        <v/>
      </c>
      <c r="C8641" s="84">
        <f>'Warranty &amp; Maintenance'!X606</f>
        <v/>
      </c>
      <c r="D8641" s="46">
        <f>'Warranty &amp; Maintenance'!Y606</f>
        <v/>
      </c>
      <c r="E8641" s="46">
        <f>IF(OR(B8641="",C8641="",D8641=""),"",D8641*100000+(C8641-DATE(2000,1,1))+ROW()/100000)</f>
        <v/>
      </c>
      <c r="F8641" s="46">
        <f>IF(E8641="","",IF(C8641&gt;WeekEndDate,"",E8641))</f>
        <v/>
      </c>
    </row>
    <row r="8642">
      <c r="A8642" t="inlineStr">
        <is>
          <t>Warranty &amp; Maintenance</t>
        </is>
      </c>
      <c r="B8642" s="46">
        <f>'Warranty &amp; Maintenance'!Z607</f>
        <v/>
      </c>
      <c r="C8642" s="84">
        <f>'Warranty &amp; Maintenance'!X607</f>
        <v/>
      </c>
      <c r="D8642" s="46">
        <f>'Warranty &amp; Maintenance'!Y607</f>
        <v/>
      </c>
      <c r="E8642" s="46">
        <f>IF(OR(B8642="",C8642="",D8642=""),"",D8642*100000+(C8642-DATE(2000,1,1))+ROW()/100000)</f>
        <v/>
      </c>
      <c r="F8642" s="46">
        <f>IF(E8642="","",IF(C8642&gt;WeekEndDate,"",E8642))</f>
        <v/>
      </c>
    </row>
    <row r="8643">
      <c r="A8643" t="inlineStr">
        <is>
          <t>Warranty &amp; Maintenance</t>
        </is>
      </c>
      <c r="B8643" s="46">
        <f>'Warranty &amp; Maintenance'!Z608</f>
        <v/>
      </c>
      <c r="C8643" s="84">
        <f>'Warranty &amp; Maintenance'!X608</f>
        <v/>
      </c>
      <c r="D8643" s="46">
        <f>'Warranty &amp; Maintenance'!Y608</f>
        <v/>
      </c>
      <c r="E8643" s="46">
        <f>IF(OR(B8643="",C8643="",D8643=""),"",D8643*100000+(C8643-DATE(2000,1,1))+ROW()/100000)</f>
        <v/>
      </c>
      <c r="F8643" s="46">
        <f>IF(E8643="","",IF(C8643&gt;WeekEndDate,"",E8643))</f>
        <v/>
      </c>
    </row>
    <row r="8644">
      <c r="A8644" t="inlineStr">
        <is>
          <t>Warranty &amp; Maintenance</t>
        </is>
      </c>
      <c r="B8644" s="46">
        <f>'Warranty &amp; Maintenance'!Z609</f>
        <v/>
      </c>
      <c r="C8644" s="84">
        <f>'Warranty &amp; Maintenance'!X609</f>
        <v/>
      </c>
      <c r="D8644" s="46">
        <f>'Warranty &amp; Maintenance'!Y609</f>
        <v/>
      </c>
      <c r="E8644" s="46">
        <f>IF(OR(B8644="",C8644="",D8644=""),"",D8644*100000+(C8644-DATE(2000,1,1))+ROW()/100000)</f>
        <v/>
      </c>
      <c r="F8644" s="46">
        <f>IF(E8644="","",IF(C8644&gt;WeekEndDate,"",E8644))</f>
        <v/>
      </c>
    </row>
    <row r="8645">
      <c r="A8645" t="inlineStr">
        <is>
          <t>Warranty &amp; Maintenance</t>
        </is>
      </c>
      <c r="B8645" s="46">
        <f>'Warranty &amp; Maintenance'!Z610</f>
        <v/>
      </c>
      <c r="C8645" s="84">
        <f>'Warranty &amp; Maintenance'!X610</f>
        <v/>
      </c>
      <c r="D8645" s="46">
        <f>'Warranty &amp; Maintenance'!Y610</f>
        <v/>
      </c>
      <c r="E8645" s="46">
        <f>IF(OR(B8645="",C8645="",D8645=""),"",D8645*100000+(C8645-DATE(2000,1,1))+ROW()/100000)</f>
        <v/>
      </c>
      <c r="F8645" s="46">
        <f>IF(E8645="","",IF(C8645&gt;WeekEndDate,"",E8645))</f>
        <v/>
      </c>
    </row>
    <row r="8646">
      <c r="A8646" t="inlineStr">
        <is>
          <t>Warranty &amp; Maintenance</t>
        </is>
      </c>
      <c r="B8646" s="46">
        <f>'Warranty &amp; Maintenance'!Z611</f>
        <v/>
      </c>
      <c r="C8646" s="84">
        <f>'Warranty &amp; Maintenance'!X611</f>
        <v/>
      </c>
      <c r="D8646" s="46">
        <f>'Warranty &amp; Maintenance'!Y611</f>
        <v/>
      </c>
      <c r="E8646" s="46">
        <f>IF(OR(B8646="",C8646="",D8646=""),"",D8646*100000+(C8646-DATE(2000,1,1))+ROW()/100000)</f>
        <v/>
      </c>
      <c r="F8646" s="46">
        <f>IF(E8646="","",IF(C8646&gt;WeekEndDate,"",E8646))</f>
        <v/>
      </c>
    </row>
    <row r="8647">
      <c r="A8647" t="inlineStr">
        <is>
          <t>Warranty &amp; Maintenance</t>
        </is>
      </c>
      <c r="B8647" s="46">
        <f>'Warranty &amp; Maintenance'!Z612</f>
        <v/>
      </c>
      <c r="C8647" s="84">
        <f>'Warranty &amp; Maintenance'!X612</f>
        <v/>
      </c>
      <c r="D8647" s="46">
        <f>'Warranty &amp; Maintenance'!Y612</f>
        <v/>
      </c>
      <c r="E8647" s="46">
        <f>IF(OR(B8647="",C8647="",D8647=""),"",D8647*100000+(C8647-DATE(2000,1,1))+ROW()/100000)</f>
        <v/>
      </c>
      <c r="F8647" s="46">
        <f>IF(E8647="","",IF(C8647&gt;WeekEndDate,"",E8647))</f>
        <v/>
      </c>
    </row>
    <row r="8648">
      <c r="A8648" t="inlineStr">
        <is>
          <t>Warranty &amp; Maintenance</t>
        </is>
      </c>
      <c r="B8648" s="46">
        <f>'Warranty &amp; Maintenance'!Z613</f>
        <v/>
      </c>
      <c r="C8648" s="84">
        <f>'Warranty &amp; Maintenance'!X613</f>
        <v/>
      </c>
      <c r="D8648" s="46">
        <f>'Warranty &amp; Maintenance'!Y613</f>
        <v/>
      </c>
      <c r="E8648" s="46">
        <f>IF(OR(B8648="",C8648="",D8648=""),"",D8648*100000+(C8648-DATE(2000,1,1))+ROW()/100000)</f>
        <v/>
      </c>
      <c r="F8648" s="46">
        <f>IF(E8648="","",IF(C8648&gt;WeekEndDate,"",E8648))</f>
        <v/>
      </c>
    </row>
    <row r="8649">
      <c r="A8649" t="inlineStr">
        <is>
          <t>Warranty &amp; Maintenance</t>
        </is>
      </c>
      <c r="B8649" s="46">
        <f>'Warranty &amp; Maintenance'!Z614</f>
        <v/>
      </c>
      <c r="C8649" s="84">
        <f>'Warranty &amp; Maintenance'!X614</f>
        <v/>
      </c>
      <c r="D8649" s="46">
        <f>'Warranty &amp; Maintenance'!Y614</f>
        <v/>
      </c>
      <c r="E8649" s="46">
        <f>IF(OR(B8649="",C8649="",D8649=""),"",D8649*100000+(C8649-DATE(2000,1,1))+ROW()/100000)</f>
        <v/>
      </c>
      <c r="F8649" s="46">
        <f>IF(E8649="","",IF(C8649&gt;WeekEndDate,"",E8649))</f>
        <v/>
      </c>
    </row>
    <row r="8650">
      <c r="A8650" t="inlineStr">
        <is>
          <t>Warranty &amp; Maintenance</t>
        </is>
      </c>
      <c r="B8650" s="46">
        <f>'Warranty &amp; Maintenance'!Z615</f>
        <v/>
      </c>
      <c r="C8650" s="84">
        <f>'Warranty &amp; Maintenance'!X615</f>
        <v/>
      </c>
      <c r="D8650" s="46">
        <f>'Warranty &amp; Maintenance'!Y615</f>
        <v/>
      </c>
      <c r="E8650" s="46">
        <f>IF(OR(B8650="",C8650="",D8650=""),"",D8650*100000+(C8650-DATE(2000,1,1))+ROW()/100000)</f>
        <v/>
      </c>
      <c r="F8650" s="46">
        <f>IF(E8650="","",IF(C8650&gt;WeekEndDate,"",E8650))</f>
        <v/>
      </c>
    </row>
    <row r="8651">
      <c r="A8651" t="inlineStr">
        <is>
          <t>Warranty &amp; Maintenance</t>
        </is>
      </c>
      <c r="B8651" s="46">
        <f>'Warranty &amp; Maintenance'!Z616</f>
        <v/>
      </c>
      <c r="C8651" s="84">
        <f>'Warranty &amp; Maintenance'!X616</f>
        <v/>
      </c>
      <c r="D8651" s="46">
        <f>'Warranty &amp; Maintenance'!Y616</f>
        <v/>
      </c>
      <c r="E8651" s="46">
        <f>IF(OR(B8651="",C8651="",D8651=""),"",D8651*100000+(C8651-DATE(2000,1,1))+ROW()/100000)</f>
        <v/>
      </c>
      <c r="F8651" s="46">
        <f>IF(E8651="","",IF(C8651&gt;WeekEndDate,"",E8651))</f>
        <v/>
      </c>
    </row>
    <row r="8652">
      <c r="A8652" t="inlineStr">
        <is>
          <t>Warranty &amp; Maintenance</t>
        </is>
      </c>
      <c r="B8652" s="46">
        <f>'Warranty &amp; Maintenance'!Z617</f>
        <v/>
      </c>
      <c r="C8652" s="84">
        <f>'Warranty &amp; Maintenance'!X617</f>
        <v/>
      </c>
      <c r="D8652" s="46">
        <f>'Warranty &amp; Maintenance'!Y617</f>
        <v/>
      </c>
      <c r="E8652" s="46">
        <f>IF(OR(B8652="",C8652="",D8652=""),"",D8652*100000+(C8652-DATE(2000,1,1))+ROW()/100000)</f>
        <v/>
      </c>
      <c r="F8652" s="46">
        <f>IF(E8652="","",IF(C8652&gt;WeekEndDate,"",E8652))</f>
        <v/>
      </c>
    </row>
    <row r="8653">
      <c r="A8653" t="inlineStr">
        <is>
          <t>Warranty &amp; Maintenance</t>
        </is>
      </c>
      <c r="B8653" s="46">
        <f>'Warranty &amp; Maintenance'!Z618</f>
        <v/>
      </c>
      <c r="C8653" s="84">
        <f>'Warranty &amp; Maintenance'!X618</f>
        <v/>
      </c>
      <c r="D8653" s="46">
        <f>'Warranty &amp; Maintenance'!Y618</f>
        <v/>
      </c>
      <c r="E8653" s="46">
        <f>IF(OR(B8653="",C8653="",D8653=""),"",D8653*100000+(C8653-DATE(2000,1,1))+ROW()/100000)</f>
        <v/>
      </c>
      <c r="F8653" s="46">
        <f>IF(E8653="","",IF(C8653&gt;WeekEndDate,"",E8653))</f>
        <v/>
      </c>
    </row>
    <row r="8654">
      <c r="A8654" t="inlineStr">
        <is>
          <t>Warranty &amp; Maintenance</t>
        </is>
      </c>
      <c r="B8654" s="46">
        <f>'Warranty &amp; Maintenance'!Z619</f>
        <v/>
      </c>
      <c r="C8654" s="84">
        <f>'Warranty &amp; Maintenance'!X619</f>
        <v/>
      </c>
      <c r="D8654" s="46">
        <f>'Warranty &amp; Maintenance'!Y619</f>
        <v/>
      </c>
      <c r="E8654" s="46">
        <f>IF(OR(B8654="",C8654="",D8654=""),"",D8654*100000+(C8654-DATE(2000,1,1))+ROW()/100000)</f>
        <v/>
      </c>
      <c r="F8654" s="46">
        <f>IF(E8654="","",IF(C8654&gt;WeekEndDate,"",E8654))</f>
        <v/>
      </c>
    </row>
    <row r="8655">
      <c r="A8655" t="inlineStr">
        <is>
          <t>Warranty &amp; Maintenance</t>
        </is>
      </c>
      <c r="B8655" s="46">
        <f>'Warranty &amp; Maintenance'!Z620</f>
        <v/>
      </c>
      <c r="C8655" s="84">
        <f>'Warranty &amp; Maintenance'!X620</f>
        <v/>
      </c>
      <c r="D8655" s="46">
        <f>'Warranty &amp; Maintenance'!Y620</f>
        <v/>
      </c>
      <c r="E8655" s="46">
        <f>IF(OR(B8655="",C8655="",D8655=""),"",D8655*100000+(C8655-DATE(2000,1,1))+ROW()/100000)</f>
        <v/>
      </c>
      <c r="F8655" s="46">
        <f>IF(E8655="","",IF(C8655&gt;WeekEndDate,"",E8655))</f>
        <v/>
      </c>
    </row>
    <row r="8656">
      <c r="A8656" t="inlineStr">
        <is>
          <t>Warranty &amp; Maintenance</t>
        </is>
      </c>
      <c r="B8656" s="46">
        <f>'Warranty &amp; Maintenance'!Z621</f>
        <v/>
      </c>
      <c r="C8656" s="84">
        <f>'Warranty &amp; Maintenance'!X621</f>
        <v/>
      </c>
      <c r="D8656" s="46">
        <f>'Warranty &amp; Maintenance'!Y621</f>
        <v/>
      </c>
      <c r="E8656" s="46">
        <f>IF(OR(B8656="",C8656="",D8656=""),"",D8656*100000+(C8656-DATE(2000,1,1))+ROW()/100000)</f>
        <v/>
      </c>
      <c r="F8656" s="46">
        <f>IF(E8656="","",IF(C8656&gt;WeekEndDate,"",E8656))</f>
        <v/>
      </c>
    </row>
    <row r="8657">
      <c r="A8657" t="inlineStr">
        <is>
          <t>Warranty &amp; Maintenance</t>
        </is>
      </c>
      <c r="B8657" s="46">
        <f>'Warranty &amp; Maintenance'!Z622</f>
        <v/>
      </c>
      <c r="C8657" s="84">
        <f>'Warranty &amp; Maintenance'!X622</f>
        <v/>
      </c>
      <c r="D8657" s="46">
        <f>'Warranty &amp; Maintenance'!Y622</f>
        <v/>
      </c>
      <c r="E8657" s="46">
        <f>IF(OR(B8657="",C8657="",D8657=""),"",D8657*100000+(C8657-DATE(2000,1,1))+ROW()/100000)</f>
        <v/>
      </c>
      <c r="F8657" s="46">
        <f>IF(E8657="","",IF(C8657&gt;WeekEndDate,"",E8657))</f>
        <v/>
      </c>
    </row>
    <row r="8658">
      <c r="A8658" t="inlineStr">
        <is>
          <t>Warranty &amp; Maintenance</t>
        </is>
      </c>
      <c r="B8658" s="46">
        <f>'Warranty &amp; Maintenance'!Z623</f>
        <v/>
      </c>
      <c r="C8658" s="84">
        <f>'Warranty &amp; Maintenance'!X623</f>
        <v/>
      </c>
      <c r="D8658" s="46">
        <f>'Warranty &amp; Maintenance'!Y623</f>
        <v/>
      </c>
      <c r="E8658" s="46">
        <f>IF(OR(B8658="",C8658="",D8658=""),"",D8658*100000+(C8658-DATE(2000,1,1))+ROW()/100000)</f>
        <v/>
      </c>
      <c r="F8658" s="46">
        <f>IF(E8658="","",IF(C8658&gt;WeekEndDate,"",E8658))</f>
        <v/>
      </c>
    </row>
    <row r="8659">
      <c r="A8659" t="inlineStr">
        <is>
          <t>Warranty &amp; Maintenance</t>
        </is>
      </c>
      <c r="B8659" s="46">
        <f>'Warranty &amp; Maintenance'!Z624</f>
        <v/>
      </c>
      <c r="C8659" s="84">
        <f>'Warranty &amp; Maintenance'!X624</f>
        <v/>
      </c>
      <c r="D8659" s="46">
        <f>'Warranty &amp; Maintenance'!Y624</f>
        <v/>
      </c>
      <c r="E8659" s="46">
        <f>IF(OR(B8659="",C8659="",D8659=""),"",D8659*100000+(C8659-DATE(2000,1,1))+ROW()/100000)</f>
        <v/>
      </c>
      <c r="F8659" s="46">
        <f>IF(E8659="","",IF(C8659&gt;WeekEndDate,"",E8659))</f>
        <v/>
      </c>
    </row>
    <row r="8660">
      <c r="A8660" t="inlineStr">
        <is>
          <t>Warranty &amp; Maintenance</t>
        </is>
      </c>
      <c r="B8660" s="46">
        <f>'Warranty &amp; Maintenance'!Z625</f>
        <v/>
      </c>
      <c r="C8660" s="84">
        <f>'Warranty &amp; Maintenance'!X625</f>
        <v/>
      </c>
      <c r="D8660" s="46">
        <f>'Warranty &amp; Maintenance'!Y625</f>
        <v/>
      </c>
      <c r="E8660" s="46">
        <f>IF(OR(B8660="",C8660="",D8660=""),"",D8660*100000+(C8660-DATE(2000,1,1))+ROW()/100000)</f>
        <v/>
      </c>
      <c r="F8660" s="46">
        <f>IF(E8660="","",IF(C8660&gt;WeekEndDate,"",E8660))</f>
        <v/>
      </c>
    </row>
    <row r="8661">
      <c r="A8661" t="inlineStr">
        <is>
          <t>Warranty &amp; Maintenance</t>
        </is>
      </c>
      <c r="B8661" s="46">
        <f>'Warranty &amp; Maintenance'!Z626</f>
        <v/>
      </c>
      <c r="C8661" s="84">
        <f>'Warranty &amp; Maintenance'!X626</f>
        <v/>
      </c>
      <c r="D8661" s="46">
        <f>'Warranty &amp; Maintenance'!Y626</f>
        <v/>
      </c>
      <c r="E8661" s="46">
        <f>IF(OR(B8661="",C8661="",D8661=""),"",D8661*100000+(C8661-DATE(2000,1,1))+ROW()/100000)</f>
        <v/>
      </c>
      <c r="F8661" s="46">
        <f>IF(E8661="","",IF(C8661&gt;WeekEndDate,"",E8661))</f>
        <v/>
      </c>
    </row>
    <row r="8662">
      <c r="A8662" t="inlineStr">
        <is>
          <t>Warranty &amp; Maintenance</t>
        </is>
      </c>
      <c r="B8662" s="46">
        <f>'Warranty &amp; Maintenance'!Z627</f>
        <v/>
      </c>
      <c r="C8662" s="84">
        <f>'Warranty &amp; Maintenance'!X627</f>
        <v/>
      </c>
      <c r="D8662" s="46">
        <f>'Warranty &amp; Maintenance'!Y627</f>
        <v/>
      </c>
      <c r="E8662" s="46">
        <f>IF(OR(B8662="",C8662="",D8662=""),"",D8662*100000+(C8662-DATE(2000,1,1))+ROW()/100000)</f>
        <v/>
      </c>
      <c r="F8662" s="46">
        <f>IF(E8662="","",IF(C8662&gt;WeekEndDate,"",E8662))</f>
        <v/>
      </c>
    </row>
    <row r="8663">
      <c r="A8663" t="inlineStr">
        <is>
          <t>Warranty &amp; Maintenance</t>
        </is>
      </c>
      <c r="B8663" s="46">
        <f>'Warranty &amp; Maintenance'!Z628</f>
        <v/>
      </c>
      <c r="C8663" s="84">
        <f>'Warranty &amp; Maintenance'!X628</f>
        <v/>
      </c>
      <c r="D8663" s="46">
        <f>'Warranty &amp; Maintenance'!Y628</f>
        <v/>
      </c>
      <c r="E8663" s="46">
        <f>IF(OR(B8663="",C8663="",D8663=""),"",D8663*100000+(C8663-DATE(2000,1,1))+ROW()/100000)</f>
        <v/>
      </c>
      <c r="F8663" s="46">
        <f>IF(E8663="","",IF(C8663&gt;WeekEndDate,"",E8663))</f>
        <v/>
      </c>
    </row>
    <row r="8664">
      <c r="A8664" t="inlineStr">
        <is>
          <t>Warranty &amp; Maintenance</t>
        </is>
      </c>
      <c r="B8664" s="46">
        <f>'Warranty &amp; Maintenance'!Z629</f>
        <v/>
      </c>
      <c r="C8664" s="84">
        <f>'Warranty &amp; Maintenance'!X629</f>
        <v/>
      </c>
      <c r="D8664" s="46">
        <f>'Warranty &amp; Maintenance'!Y629</f>
        <v/>
      </c>
      <c r="E8664" s="46">
        <f>IF(OR(B8664="",C8664="",D8664=""),"",D8664*100000+(C8664-DATE(2000,1,1))+ROW()/100000)</f>
        <v/>
      </c>
      <c r="F8664" s="46">
        <f>IF(E8664="","",IF(C8664&gt;WeekEndDate,"",E8664))</f>
        <v/>
      </c>
    </row>
    <row r="8665">
      <c r="A8665" t="inlineStr">
        <is>
          <t>Warranty &amp; Maintenance</t>
        </is>
      </c>
      <c r="B8665" s="46">
        <f>'Warranty &amp; Maintenance'!Z630</f>
        <v/>
      </c>
      <c r="C8665" s="84">
        <f>'Warranty &amp; Maintenance'!X630</f>
        <v/>
      </c>
      <c r="D8665" s="46">
        <f>'Warranty &amp; Maintenance'!Y630</f>
        <v/>
      </c>
      <c r="E8665" s="46">
        <f>IF(OR(B8665="",C8665="",D8665=""),"",D8665*100000+(C8665-DATE(2000,1,1))+ROW()/100000)</f>
        <v/>
      </c>
      <c r="F8665" s="46">
        <f>IF(E8665="","",IF(C8665&gt;WeekEndDate,"",E8665))</f>
        <v/>
      </c>
    </row>
    <row r="8666">
      <c r="A8666" t="inlineStr">
        <is>
          <t>Warranty &amp; Maintenance</t>
        </is>
      </c>
      <c r="B8666" s="46">
        <f>'Warranty &amp; Maintenance'!Z631</f>
        <v/>
      </c>
      <c r="C8666" s="84">
        <f>'Warranty &amp; Maintenance'!X631</f>
        <v/>
      </c>
      <c r="D8666" s="46">
        <f>'Warranty &amp; Maintenance'!Y631</f>
        <v/>
      </c>
      <c r="E8666" s="46">
        <f>IF(OR(B8666="",C8666="",D8666=""),"",D8666*100000+(C8666-DATE(2000,1,1))+ROW()/100000)</f>
        <v/>
      </c>
      <c r="F8666" s="46">
        <f>IF(E8666="","",IF(C8666&gt;WeekEndDate,"",E8666))</f>
        <v/>
      </c>
    </row>
    <row r="8667">
      <c r="A8667" t="inlineStr">
        <is>
          <t>Warranty &amp; Maintenance</t>
        </is>
      </c>
      <c r="B8667" s="46">
        <f>'Warranty &amp; Maintenance'!Z632</f>
        <v/>
      </c>
      <c r="C8667" s="84">
        <f>'Warranty &amp; Maintenance'!X632</f>
        <v/>
      </c>
      <c r="D8667" s="46">
        <f>'Warranty &amp; Maintenance'!Y632</f>
        <v/>
      </c>
      <c r="E8667" s="46">
        <f>IF(OR(B8667="",C8667="",D8667=""),"",D8667*100000+(C8667-DATE(2000,1,1))+ROW()/100000)</f>
        <v/>
      </c>
      <c r="F8667" s="46">
        <f>IF(E8667="","",IF(C8667&gt;WeekEndDate,"",E8667))</f>
        <v/>
      </c>
    </row>
    <row r="8668">
      <c r="A8668" t="inlineStr">
        <is>
          <t>Warranty &amp; Maintenance</t>
        </is>
      </c>
      <c r="B8668" s="46">
        <f>'Warranty &amp; Maintenance'!Z633</f>
        <v/>
      </c>
      <c r="C8668" s="84">
        <f>'Warranty &amp; Maintenance'!X633</f>
        <v/>
      </c>
      <c r="D8668" s="46">
        <f>'Warranty &amp; Maintenance'!Y633</f>
        <v/>
      </c>
      <c r="E8668" s="46">
        <f>IF(OR(B8668="",C8668="",D8668=""),"",D8668*100000+(C8668-DATE(2000,1,1))+ROW()/100000)</f>
        <v/>
      </c>
      <c r="F8668" s="46">
        <f>IF(E8668="","",IF(C8668&gt;WeekEndDate,"",E8668))</f>
        <v/>
      </c>
    </row>
    <row r="8669">
      <c r="A8669" t="inlineStr">
        <is>
          <t>Warranty &amp; Maintenance</t>
        </is>
      </c>
      <c r="B8669" s="46">
        <f>'Warranty &amp; Maintenance'!Z634</f>
        <v/>
      </c>
      <c r="C8669" s="84">
        <f>'Warranty &amp; Maintenance'!X634</f>
        <v/>
      </c>
      <c r="D8669" s="46">
        <f>'Warranty &amp; Maintenance'!Y634</f>
        <v/>
      </c>
      <c r="E8669" s="46">
        <f>IF(OR(B8669="",C8669="",D8669=""),"",D8669*100000+(C8669-DATE(2000,1,1))+ROW()/100000)</f>
        <v/>
      </c>
      <c r="F8669" s="46">
        <f>IF(E8669="","",IF(C8669&gt;WeekEndDate,"",E8669))</f>
        <v/>
      </c>
    </row>
    <row r="8670">
      <c r="A8670" t="inlineStr">
        <is>
          <t>Warranty &amp; Maintenance</t>
        </is>
      </c>
      <c r="B8670" s="46">
        <f>'Warranty &amp; Maintenance'!Z635</f>
        <v/>
      </c>
      <c r="C8670" s="84">
        <f>'Warranty &amp; Maintenance'!X635</f>
        <v/>
      </c>
      <c r="D8670" s="46">
        <f>'Warranty &amp; Maintenance'!Y635</f>
        <v/>
      </c>
      <c r="E8670" s="46">
        <f>IF(OR(B8670="",C8670="",D8670=""),"",D8670*100000+(C8670-DATE(2000,1,1))+ROW()/100000)</f>
        <v/>
      </c>
      <c r="F8670" s="46">
        <f>IF(E8670="","",IF(C8670&gt;WeekEndDate,"",E8670))</f>
        <v/>
      </c>
    </row>
    <row r="8671">
      <c r="A8671" t="inlineStr">
        <is>
          <t>Warranty &amp; Maintenance</t>
        </is>
      </c>
      <c r="B8671" s="46">
        <f>'Warranty &amp; Maintenance'!Z636</f>
        <v/>
      </c>
      <c r="C8671" s="84">
        <f>'Warranty &amp; Maintenance'!X636</f>
        <v/>
      </c>
      <c r="D8671" s="46">
        <f>'Warranty &amp; Maintenance'!Y636</f>
        <v/>
      </c>
      <c r="E8671" s="46">
        <f>IF(OR(B8671="",C8671="",D8671=""),"",D8671*100000+(C8671-DATE(2000,1,1))+ROW()/100000)</f>
        <v/>
      </c>
      <c r="F8671" s="46">
        <f>IF(E8671="","",IF(C8671&gt;WeekEndDate,"",E8671))</f>
        <v/>
      </c>
    </row>
    <row r="8672">
      <c r="A8672" t="inlineStr">
        <is>
          <t>Warranty &amp; Maintenance</t>
        </is>
      </c>
      <c r="B8672" s="46">
        <f>'Warranty &amp; Maintenance'!Z637</f>
        <v/>
      </c>
      <c r="C8672" s="84">
        <f>'Warranty &amp; Maintenance'!X637</f>
        <v/>
      </c>
      <c r="D8672" s="46">
        <f>'Warranty &amp; Maintenance'!Y637</f>
        <v/>
      </c>
      <c r="E8672" s="46">
        <f>IF(OR(B8672="",C8672="",D8672=""),"",D8672*100000+(C8672-DATE(2000,1,1))+ROW()/100000)</f>
        <v/>
      </c>
      <c r="F8672" s="46">
        <f>IF(E8672="","",IF(C8672&gt;WeekEndDate,"",E8672))</f>
        <v/>
      </c>
    </row>
    <row r="8673">
      <c r="A8673" t="inlineStr">
        <is>
          <t>Warranty &amp; Maintenance</t>
        </is>
      </c>
      <c r="B8673" s="46">
        <f>'Warranty &amp; Maintenance'!Z638</f>
        <v/>
      </c>
      <c r="C8673" s="84">
        <f>'Warranty &amp; Maintenance'!X638</f>
        <v/>
      </c>
      <c r="D8673" s="46">
        <f>'Warranty &amp; Maintenance'!Y638</f>
        <v/>
      </c>
      <c r="E8673" s="46">
        <f>IF(OR(B8673="",C8673="",D8673=""),"",D8673*100000+(C8673-DATE(2000,1,1))+ROW()/100000)</f>
        <v/>
      </c>
      <c r="F8673" s="46">
        <f>IF(E8673="","",IF(C8673&gt;WeekEndDate,"",E8673))</f>
        <v/>
      </c>
    </row>
    <row r="8674">
      <c r="A8674" t="inlineStr">
        <is>
          <t>Warranty &amp; Maintenance</t>
        </is>
      </c>
      <c r="B8674" s="46">
        <f>'Warranty &amp; Maintenance'!Z639</f>
        <v/>
      </c>
      <c r="C8674" s="84">
        <f>'Warranty &amp; Maintenance'!X639</f>
        <v/>
      </c>
      <c r="D8674" s="46">
        <f>'Warranty &amp; Maintenance'!Y639</f>
        <v/>
      </c>
      <c r="E8674" s="46">
        <f>IF(OR(B8674="",C8674="",D8674=""),"",D8674*100000+(C8674-DATE(2000,1,1))+ROW()/100000)</f>
        <v/>
      </c>
      <c r="F8674" s="46">
        <f>IF(E8674="","",IF(C8674&gt;WeekEndDate,"",E8674))</f>
        <v/>
      </c>
    </row>
    <row r="8675">
      <c r="A8675" t="inlineStr">
        <is>
          <t>Warranty &amp; Maintenance</t>
        </is>
      </c>
      <c r="B8675" s="46">
        <f>'Warranty &amp; Maintenance'!Z640</f>
        <v/>
      </c>
      <c r="C8675" s="84">
        <f>'Warranty &amp; Maintenance'!X640</f>
        <v/>
      </c>
      <c r="D8675" s="46">
        <f>'Warranty &amp; Maintenance'!Y640</f>
        <v/>
      </c>
      <c r="E8675" s="46">
        <f>IF(OR(B8675="",C8675="",D8675=""),"",D8675*100000+(C8675-DATE(2000,1,1))+ROW()/100000)</f>
        <v/>
      </c>
      <c r="F8675" s="46">
        <f>IF(E8675="","",IF(C8675&gt;WeekEndDate,"",E8675))</f>
        <v/>
      </c>
    </row>
    <row r="8676">
      <c r="A8676" t="inlineStr">
        <is>
          <t>Warranty &amp; Maintenance</t>
        </is>
      </c>
      <c r="B8676" s="46">
        <f>'Warranty &amp; Maintenance'!Z641</f>
        <v/>
      </c>
      <c r="C8676" s="84">
        <f>'Warranty &amp; Maintenance'!X641</f>
        <v/>
      </c>
      <c r="D8676" s="46">
        <f>'Warranty &amp; Maintenance'!Y641</f>
        <v/>
      </c>
      <c r="E8676" s="46">
        <f>IF(OR(B8676="",C8676="",D8676=""),"",D8676*100000+(C8676-DATE(2000,1,1))+ROW()/100000)</f>
        <v/>
      </c>
      <c r="F8676" s="46">
        <f>IF(E8676="","",IF(C8676&gt;WeekEndDate,"",E8676))</f>
        <v/>
      </c>
    </row>
    <row r="8677">
      <c r="A8677" t="inlineStr">
        <is>
          <t>Warranty &amp; Maintenance</t>
        </is>
      </c>
      <c r="B8677" s="46">
        <f>'Warranty &amp; Maintenance'!Z642</f>
        <v/>
      </c>
      <c r="C8677" s="84">
        <f>'Warranty &amp; Maintenance'!X642</f>
        <v/>
      </c>
      <c r="D8677" s="46">
        <f>'Warranty &amp; Maintenance'!Y642</f>
        <v/>
      </c>
      <c r="E8677" s="46">
        <f>IF(OR(B8677="",C8677="",D8677=""),"",D8677*100000+(C8677-DATE(2000,1,1))+ROW()/100000)</f>
        <v/>
      </c>
      <c r="F8677" s="46">
        <f>IF(E8677="","",IF(C8677&gt;WeekEndDate,"",E8677))</f>
        <v/>
      </c>
    </row>
    <row r="8678">
      <c r="A8678" t="inlineStr">
        <is>
          <t>Warranty &amp; Maintenance</t>
        </is>
      </c>
      <c r="B8678" s="46">
        <f>'Warranty &amp; Maintenance'!Z643</f>
        <v/>
      </c>
      <c r="C8678" s="84">
        <f>'Warranty &amp; Maintenance'!X643</f>
        <v/>
      </c>
      <c r="D8678" s="46">
        <f>'Warranty &amp; Maintenance'!Y643</f>
        <v/>
      </c>
      <c r="E8678" s="46">
        <f>IF(OR(B8678="",C8678="",D8678=""),"",D8678*100000+(C8678-DATE(2000,1,1))+ROW()/100000)</f>
        <v/>
      </c>
      <c r="F8678" s="46">
        <f>IF(E8678="","",IF(C8678&gt;WeekEndDate,"",E8678))</f>
        <v/>
      </c>
    </row>
    <row r="8679">
      <c r="A8679" t="inlineStr">
        <is>
          <t>Warranty &amp; Maintenance</t>
        </is>
      </c>
      <c r="B8679" s="46">
        <f>'Warranty &amp; Maintenance'!Z644</f>
        <v/>
      </c>
      <c r="C8679" s="84">
        <f>'Warranty &amp; Maintenance'!X644</f>
        <v/>
      </c>
      <c r="D8679" s="46">
        <f>'Warranty &amp; Maintenance'!Y644</f>
        <v/>
      </c>
      <c r="E8679" s="46">
        <f>IF(OR(B8679="",C8679="",D8679=""),"",D8679*100000+(C8679-DATE(2000,1,1))+ROW()/100000)</f>
        <v/>
      </c>
      <c r="F8679" s="46">
        <f>IF(E8679="","",IF(C8679&gt;WeekEndDate,"",E8679))</f>
        <v/>
      </c>
    </row>
    <row r="8680">
      <c r="A8680" t="inlineStr">
        <is>
          <t>Warranty &amp; Maintenance</t>
        </is>
      </c>
      <c r="B8680" s="46">
        <f>'Warranty &amp; Maintenance'!Z645</f>
        <v/>
      </c>
      <c r="C8680" s="84">
        <f>'Warranty &amp; Maintenance'!X645</f>
        <v/>
      </c>
      <c r="D8680" s="46">
        <f>'Warranty &amp; Maintenance'!Y645</f>
        <v/>
      </c>
      <c r="E8680" s="46">
        <f>IF(OR(B8680="",C8680="",D8680=""),"",D8680*100000+(C8680-DATE(2000,1,1))+ROW()/100000)</f>
        <v/>
      </c>
      <c r="F8680" s="46">
        <f>IF(E8680="","",IF(C8680&gt;WeekEndDate,"",E8680))</f>
        <v/>
      </c>
    </row>
    <row r="8681">
      <c r="A8681" t="inlineStr">
        <is>
          <t>Warranty &amp; Maintenance</t>
        </is>
      </c>
      <c r="B8681" s="46">
        <f>'Warranty &amp; Maintenance'!Z646</f>
        <v/>
      </c>
      <c r="C8681" s="84">
        <f>'Warranty &amp; Maintenance'!X646</f>
        <v/>
      </c>
      <c r="D8681" s="46">
        <f>'Warranty &amp; Maintenance'!Y646</f>
        <v/>
      </c>
      <c r="E8681" s="46">
        <f>IF(OR(B8681="",C8681="",D8681=""),"",D8681*100000+(C8681-DATE(2000,1,1))+ROW()/100000)</f>
        <v/>
      </c>
      <c r="F8681" s="46">
        <f>IF(E8681="","",IF(C8681&gt;WeekEndDate,"",E8681))</f>
        <v/>
      </c>
    </row>
    <row r="8682">
      <c r="A8682" t="inlineStr">
        <is>
          <t>Warranty &amp; Maintenance</t>
        </is>
      </c>
      <c r="B8682" s="46">
        <f>'Warranty &amp; Maintenance'!Z647</f>
        <v/>
      </c>
      <c r="C8682" s="84">
        <f>'Warranty &amp; Maintenance'!X647</f>
        <v/>
      </c>
      <c r="D8682" s="46">
        <f>'Warranty &amp; Maintenance'!Y647</f>
        <v/>
      </c>
      <c r="E8682" s="46">
        <f>IF(OR(B8682="",C8682="",D8682=""),"",D8682*100000+(C8682-DATE(2000,1,1))+ROW()/100000)</f>
        <v/>
      </c>
      <c r="F8682" s="46">
        <f>IF(E8682="","",IF(C8682&gt;WeekEndDate,"",E8682))</f>
        <v/>
      </c>
    </row>
    <row r="8683">
      <c r="A8683" t="inlineStr">
        <is>
          <t>Warranty &amp; Maintenance</t>
        </is>
      </c>
      <c r="B8683" s="46">
        <f>'Warranty &amp; Maintenance'!Z648</f>
        <v/>
      </c>
      <c r="C8683" s="84">
        <f>'Warranty &amp; Maintenance'!X648</f>
        <v/>
      </c>
      <c r="D8683" s="46">
        <f>'Warranty &amp; Maintenance'!Y648</f>
        <v/>
      </c>
      <c r="E8683" s="46">
        <f>IF(OR(B8683="",C8683="",D8683=""),"",D8683*100000+(C8683-DATE(2000,1,1))+ROW()/100000)</f>
        <v/>
      </c>
      <c r="F8683" s="46">
        <f>IF(E8683="","",IF(C8683&gt;WeekEndDate,"",E8683))</f>
        <v/>
      </c>
    </row>
    <row r="8684">
      <c r="A8684" t="inlineStr">
        <is>
          <t>Warranty &amp; Maintenance</t>
        </is>
      </c>
      <c r="B8684" s="46">
        <f>'Warranty &amp; Maintenance'!Z649</f>
        <v/>
      </c>
      <c r="C8684" s="84">
        <f>'Warranty &amp; Maintenance'!X649</f>
        <v/>
      </c>
      <c r="D8684" s="46">
        <f>'Warranty &amp; Maintenance'!Y649</f>
        <v/>
      </c>
      <c r="E8684" s="46">
        <f>IF(OR(B8684="",C8684="",D8684=""),"",D8684*100000+(C8684-DATE(2000,1,1))+ROW()/100000)</f>
        <v/>
      </c>
      <c r="F8684" s="46">
        <f>IF(E8684="","",IF(C8684&gt;WeekEndDate,"",E8684))</f>
        <v/>
      </c>
    </row>
    <row r="8685">
      <c r="A8685" t="inlineStr">
        <is>
          <t>Warranty &amp; Maintenance</t>
        </is>
      </c>
      <c r="B8685" s="46">
        <f>'Warranty &amp; Maintenance'!Z650</f>
        <v/>
      </c>
      <c r="C8685" s="84">
        <f>'Warranty &amp; Maintenance'!X650</f>
        <v/>
      </c>
      <c r="D8685" s="46">
        <f>'Warranty &amp; Maintenance'!Y650</f>
        <v/>
      </c>
      <c r="E8685" s="46">
        <f>IF(OR(B8685="",C8685="",D8685=""),"",D8685*100000+(C8685-DATE(2000,1,1))+ROW()/100000)</f>
        <v/>
      </c>
      <c r="F8685" s="46">
        <f>IF(E8685="","",IF(C8685&gt;WeekEndDate,"",E8685))</f>
        <v/>
      </c>
    </row>
    <row r="8686">
      <c r="A8686" t="inlineStr">
        <is>
          <t>Warranty &amp; Maintenance</t>
        </is>
      </c>
      <c r="B8686" s="46">
        <f>'Warranty &amp; Maintenance'!Z651</f>
        <v/>
      </c>
      <c r="C8686" s="84">
        <f>'Warranty &amp; Maintenance'!X651</f>
        <v/>
      </c>
      <c r="D8686" s="46">
        <f>'Warranty &amp; Maintenance'!Y651</f>
        <v/>
      </c>
      <c r="E8686" s="46">
        <f>IF(OR(B8686="",C8686="",D8686=""),"",D8686*100000+(C8686-DATE(2000,1,1))+ROW()/100000)</f>
        <v/>
      </c>
      <c r="F8686" s="46">
        <f>IF(E8686="","",IF(C8686&gt;WeekEndDate,"",E8686))</f>
        <v/>
      </c>
    </row>
    <row r="8687">
      <c r="A8687" t="inlineStr">
        <is>
          <t>Warranty &amp; Maintenance</t>
        </is>
      </c>
      <c r="B8687" s="46">
        <f>'Warranty &amp; Maintenance'!Z652</f>
        <v/>
      </c>
      <c r="C8687" s="84">
        <f>'Warranty &amp; Maintenance'!X652</f>
        <v/>
      </c>
      <c r="D8687" s="46">
        <f>'Warranty &amp; Maintenance'!Y652</f>
        <v/>
      </c>
      <c r="E8687" s="46">
        <f>IF(OR(B8687="",C8687="",D8687=""),"",D8687*100000+(C8687-DATE(2000,1,1))+ROW()/100000)</f>
        <v/>
      </c>
      <c r="F8687" s="46">
        <f>IF(E8687="","",IF(C8687&gt;WeekEndDate,"",E8687))</f>
        <v/>
      </c>
    </row>
    <row r="8688">
      <c r="A8688" t="inlineStr">
        <is>
          <t>Warranty &amp; Maintenance</t>
        </is>
      </c>
      <c r="B8688" s="46">
        <f>'Warranty &amp; Maintenance'!Z653</f>
        <v/>
      </c>
      <c r="C8688" s="84">
        <f>'Warranty &amp; Maintenance'!X653</f>
        <v/>
      </c>
      <c r="D8688" s="46">
        <f>'Warranty &amp; Maintenance'!Y653</f>
        <v/>
      </c>
      <c r="E8688" s="46">
        <f>IF(OR(B8688="",C8688="",D8688=""),"",D8688*100000+(C8688-DATE(2000,1,1))+ROW()/100000)</f>
        <v/>
      </c>
      <c r="F8688" s="46">
        <f>IF(E8688="","",IF(C8688&gt;WeekEndDate,"",E8688))</f>
        <v/>
      </c>
    </row>
    <row r="8689">
      <c r="A8689" t="inlineStr">
        <is>
          <t>Warranty &amp; Maintenance</t>
        </is>
      </c>
      <c r="B8689" s="46">
        <f>'Warranty &amp; Maintenance'!Z654</f>
        <v/>
      </c>
      <c r="C8689" s="84">
        <f>'Warranty &amp; Maintenance'!X654</f>
        <v/>
      </c>
      <c r="D8689" s="46">
        <f>'Warranty &amp; Maintenance'!Y654</f>
        <v/>
      </c>
      <c r="E8689" s="46">
        <f>IF(OR(B8689="",C8689="",D8689=""),"",D8689*100000+(C8689-DATE(2000,1,1))+ROW()/100000)</f>
        <v/>
      </c>
      <c r="F8689" s="46">
        <f>IF(E8689="","",IF(C8689&gt;WeekEndDate,"",E8689))</f>
        <v/>
      </c>
    </row>
    <row r="8690">
      <c r="A8690" t="inlineStr">
        <is>
          <t>Warranty &amp; Maintenance</t>
        </is>
      </c>
      <c r="B8690" s="46">
        <f>'Warranty &amp; Maintenance'!Z655</f>
        <v/>
      </c>
      <c r="C8690" s="84">
        <f>'Warranty &amp; Maintenance'!X655</f>
        <v/>
      </c>
      <c r="D8690" s="46">
        <f>'Warranty &amp; Maintenance'!Y655</f>
        <v/>
      </c>
      <c r="E8690" s="46">
        <f>IF(OR(B8690="",C8690="",D8690=""),"",D8690*100000+(C8690-DATE(2000,1,1))+ROW()/100000)</f>
        <v/>
      </c>
      <c r="F8690" s="46">
        <f>IF(E8690="","",IF(C8690&gt;WeekEndDate,"",E8690))</f>
        <v/>
      </c>
    </row>
    <row r="8691">
      <c r="A8691" t="inlineStr">
        <is>
          <t>Warranty &amp; Maintenance</t>
        </is>
      </c>
      <c r="B8691" s="46">
        <f>'Warranty &amp; Maintenance'!Z656</f>
        <v/>
      </c>
      <c r="C8691" s="84">
        <f>'Warranty &amp; Maintenance'!X656</f>
        <v/>
      </c>
      <c r="D8691" s="46">
        <f>'Warranty &amp; Maintenance'!Y656</f>
        <v/>
      </c>
      <c r="E8691" s="46">
        <f>IF(OR(B8691="",C8691="",D8691=""),"",D8691*100000+(C8691-DATE(2000,1,1))+ROW()/100000)</f>
        <v/>
      </c>
      <c r="F8691" s="46">
        <f>IF(E8691="","",IF(C8691&gt;WeekEndDate,"",E8691))</f>
        <v/>
      </c>
    </row>
    <row r="8692">
      <c r="A8692" t="inlineStr">
        <is>
          <t>Warranty &amp; Maintenance</t>
        </is>
      </c>
      <c r="B8692" s="46">
        <f>'Warranty &amp; Maintenance'!Z657</f>
        <v/>
      </c>
      <c r="C8692" s="84">
        <f>'Warranty &amp; Maintenance'!X657</f>
        <v/>
      </c>
      <c r="D8692" s="46">
        <f>'Warranty &amp; Maintenance'!Y657</f>
        <v/>
      </c>
      <c r="E8692" s="46">
        <f>IF(OR(B8692="",C8692="",D8692=""),"",D8692*100000+(C8692-DATE(2000,1,1))+ROW()/100000)</f>
        <v/>
      </c>
      <c r="F8692" s="46">
        <f>IF(E8692="","",IF(C8692&gt;WeekEndDate,"",E8692))</f>
        <v/>
      </c>
    </row>
    <row r="8693">
      <c r="A8693" t="inlineStr">
        <is>
          <t>Warranty &amp; Maintenance</t>
        </is>
      </c>
      <c r="B8693" s="46">
        <f>'Warranty &amp; Maintenance'!Z658</f>
        <v/>
      </c>
      <c r="C8693" s="84">
        <f>'Warranty &amp; Maintenance'!X658</f>
        <v/>
      </c>
      <c r="D8693" s="46">
        <f>'Warranty &amp; Maintenance'!Y658</f>
        <v/>
      </c>
      <c r="E8693" s="46">
        <f>IF(OR(B8693="",C8693="",D8693=""),"",D8693*100000+(C8693-DATE(2000,1,1))+ROW()/100000)</f>
        <v/>
      </c>
      <c r="F8693" s="46">
        <f>IF(E8693="","",IF(C8693&gt;WeekEndDate,"",E8693))</f>
        <v/>
      </c>
    </row>
    <row r="8694">
      <c r="A8694" t="inlineStr">
        <is>
          <t>Warranty &amp; Maintenance</t>
        </is>
      </c>
      <c r="B8694" s="46">
        <f>'Warranty &amp; Maintenance'!Z659</f>
        <v/>
      </c>
      <c r="C8694" s="84">
        <f>'Warranty &amp; Maintenance'!X659</f>
        <v/>
      </c>
      <c r="D8694" s="46">
        <f>'Warranty &amp; Maintenance'!Y659</f>
        <v/>
      </c>
      <c r="E8694" s="46">
        <f>IF(OR(B8694="",C8694="",D8694=""),"",D8694*100000+(C8694-DATE(2000,1,1))+ROW()/100000)</f>
        <v/>
      </c>
      <c r="F8694" s="46">
        <f>IF(E8694="","",IF(C8694&gt;WeekEndDate,"",E8694))</f>
        <v/>
      </c>
    </row>
    <row r="8695">
      <c r="A8695" t="inlineStr">
        <is>
          <t>Warranty &amp; Maintenance</t>
        </is>
      </c>
      <c r="B8695" s="46">
        <f>'Warranty &amp; Maintenance'!Z660</f>
        <v/>
      </c>
      <c r="C8695" s="84">
        <f>'Warranty &amp; Maintenance'!X660</f>
        <v/>
      </c>
      <c r="D8695" s="46">
        <f>'Warranty &amp; Maintenance'!Y660</f>
        <v/>
      </c>
      <c r="E8695" s="46">
        <f>IF(OR(B8695="",C8695="",D8695=""),"",D8695*100000+(C8695-DATE(2000,1,1))+ROW()/100000)</f>
        <v/>
      </c>
      <c r="F8695" s="46">
        <f>IF(E8695="","",IF(C8695&gt;WeekEndDate,"",E8695))</f>
        <v/>
      </c>
    </row>
    <row r="8696">
      <c r="A8696" t="inlineStr">
        <is>
          <t>Warranty &amp; Maintenance</t>
        </is>
      </c>
      <c r="B8696" s="46">
        <f>'Warranty &amp; Maintenance'!Z661</f>
        <v/>
      </c>
      <c r="C8696" s="84">
        <f>'Warranty &amp; Maintenance'!X661</f>
        <v/>
      </c>
      <c r="D8696" s="46">
        <f>'Warranty &amp; Maintenance'!Y661</f>
        <v/>
      </c>
      <c r="E8696" s="46">
        <f>IF(OR(B8696="",C8696="",D8696=""),"",D8696*100000+(C8696-DATE(2000,1,1))+ROW()/100000)</f>
        <v/>
      </c>
      <c r="F8696" s="46">
        <f>IF(E8696="","",IF(C8696&gt;WeekEndDate,"",E8696))</f>
        <v/>
      </c>
    </row>
    <row r="8697">
      <c r="A8697" t="inlineStr">
        <is>
          <t>Warranty &amp; Maintenance</t>
        </is>
      </c>
      <c r="B8697" s="46">
        <f>'Warranty &amp; Maintenance'!Z662</f>
        <v/>
      </c>
      <c r="C8697" s="84">
        <f>'Warranty &amp; Maintenance'!X662</f>
        <v/>
      </c>
      <c r="D8697" s="46">
        <f>'Warranty &amp; Maintenance'!Y662</f>
        <v/>
      </c>
      <c r="E8697" s="46">
        <f>IF(OR(B8697="",C8697="",D8697=""),"",D8697*100000+(C8697-DATE(2000,1,1))+ROW()/100000)</f>
        <v/>
      </c>
      <c r="F8697" s="46">
        <f>IF(E8697="","",IF(C8697&gt;WeekEndDate,"",E8697))</f>
        <v/>
      </c>
    </row>
    <row r="8698">
      <c r="A8698" t="inlineStr">
        <is>
          <t>Warranty &amp; Maintenance</t>
        </is>
      </c>
      <c r="B8698" s="46">
        <f>'Warranty &amp; Maintenance'!Z663</f>
        <v/>
      </c>
      <c r="C8698" s="84">
        <f>'Warranty &amp; Maintenance'!X663</f>
        <v/>
      </c>
      <c r="D8698" s="46">
        <f>'Warranty &amp; Maintenance'!Y663</f>
        <v/>
      </c>
      <c r="E8698" s="46">
        <f>IF(OR(B8698="",C8698="",D8698=""),"",D8698*100000+(C8698-DATE(2000,1,1))+ROW()/100000)</f>
        <v/>
      </c>
      <c r="F8698" s="46">
        <f>IF(E8698="","",IF(C8698&gt;WeekEndDate,"",E8698))</f>
        <v/>
      </c>
    </row>
    <row r="8699">
      <c r="A8699" t="inlineStr">
        <is>
          <t>Warranty &amp; Maintenance</t>
        </is>
      </c>
      <c r="B8699" s="46">
        <f>'Warranty &amp; Maintenance'!Z664</f>
        <v/>
      </c>
      <c r="C8699" s="84">
        <f>'Warranty &amp; Maintenance'!X664</f>
        <v/>
      </c>
      <c r="D8699" s="46">
        <f>'Warranty &amp; Maintenance'!Y664</f>
        <v/>
      </c>
      <c r="E8699" s="46">
        <f>IF(OR(B8699="",C8699="",D8699=""),"",D8699*100000+(C8699-DATE(2000,1,1))+ROW()/100000)</f>
        <v/>
      </c>
      <c r="F8699" s="46">
        <f>IF(E8699="","",IF(C8699&gt;WeekEndDate,"",E8699))</f>
        <v/>
      </c>
    </row>
    <row r="8700">
      <c r="A8700" t="inlineStr">
        <is>
          <t>Warranty &amp; Maintenance</t>
        </is>
      </c>
      <c r="B8700" s="46">
        <f>'Warranty &amp; Maintenance'!Z665</f>
        <v/>
      </c>
      <c r="C8700" s="84">
        <f>'Warranty &amp; Maintenance'!X665</f>
        <v/>
      </c>
      <c r="D8700" s="46">
        <f>'Warranty &amp; Maintenance'!Y665</f>
        <v/>
      </c>
      <c r="E8700" s="46">
        <f>IF(OR(B8700="",C8700="",D8700=""),"",D8700*100000+(C8700-DATE(2000,1,1))+ROW()/100000)</f>
        <v/>
      </c>
      <c r="F8700" s="46">
        <f>IF(E8700="","",IF(C8700&gt;WeekEndDate,"",E8700))</f>
        <v/>
      </c>
    </row>
    <row r="8701">
      <c r="A8701" t="inlineStr">
        <is>
          <t>Warranty &amp; Maintenance</t>
        </is>
      </c>
      <c r="B8701" s="46">
        <f>'Warranty &amp; Maintenance'!Z666</f>
        <v/>
      </c>
      <c r="C8701" s="84">
        <f>'Warranty &amp; Maintenance'!X666</f>
        <v/>
      </c>
      <c r="D8701" s="46">
        <f>'Warranty &amp; Maintenance'!Y666</f>
        <v/>
      </c>
      <c r="E8701" s="46">
        <f>IF(OR(B8701="",C8701="",D8701=""),"",D8701*100000+(C8701-DATE(2000,1,1))+ROW()/100000)</f>
        <v/>
      </c>
      <c r="F8701" s="46">
        <f>IF(E8701="","",IF(C8701&gt;WeekEndDate,"",E8701))</f>
        <v/>
      </c>
    </row>
    <row r="8702">
      <c r="A8702" t="inlineStr">
        <is>
          <t>Warranty &amp; Maintenance</t>
        </is>
      </c>
      <c r="B8702" s="46">
        <f>'Warranty &amp; Maintenance'!Z667</f>
        <v/>
      </c>
      <c r="C8702" s="84">
        <f>'Warranty &amp; Maintenance'!X667</f>
        <v/>
      </c>
      <c r="D8702" s="46">
        <f>'Warranty &amp; Maintenance'!Y667</f>
        <v/>
      </c>
      <c r="E8702" s="46">
        <f>IF(OR(B8702="",C8702="",D8702=""),"",D8702*100000+(C8702-DATE(2000,1,1))+ROW()/100000)</f>
        <v/>
      </c>
      <c r="F8702" s="46">
        <f>IF(E8702="","",IF(C8702&gt;WeekEndDate,"",E8702))</f>
        <v/>
      </c>
    </row>
    <row r="8703">
      <c r="A8703" t="inlineStr">
        <is>
          <t>Warranty &amp; Maintenance</t>
        </is>
      </c>
      <c r="B8703" s="46">
        <f>'Warranty &amp; Maintenance'!Z668</f>
        <v/>
      </c>
      <c r="C8703" s="84">
        <f>'Warranty &amp; Maintenance'!X668</f>
        <v/>
      </c>
      <c r="D8703" s="46">
        <f>'Warranty &amp; Maintenance'!Y668</f>
        <v/>
      </c>
      <c r="E8703" s="46">
        <f>IF(OR(B8703="",C8703="",D8703=""),"",D8703*100000+(C8703-DATE(2000,1,1))+ROW()/100000)</f>
        <v/>
      </c>
      <c r="F8703" s="46">
        <f>IF(E8703="","",IF(C8703&gt;WeekEndDate,"",E8703))</f>
        <v/>
      </c>
    </row>
    <row r="8704">
      <c r="A8704" t="inlineStr">
        <is>
          <t>Warranty &amp; Maintenance</t>
        </is>
      </c>
      <c r="B8704" s="46">
        <f>'Warranty &amp; Maintenance'!Z669</f>
        <v/>
      </c>
      <c r="C8704" s="84">
        <f>'Warranty &amp; Maintenance'!X669</f>
        <v/>
      </c>
      <c r="D8704" s="46">
        <f>'Warranty &amp; Maintenance'!Y669</f>
        <v/>
      </c>
      <c r="E8704" s="46">
        <f>IF(OR(B8704="",C8704="",D8704=""),"",D8704*100000+(C8704-DATE(2000,1,1))+ROW()/100000)</f>
        <v/>
      </c>
      <c r="F8704" s="46">
        <f>IF(E8704="","",IF(C8704&gt;WeekEndDate,"",E8704))</f>
        <v/>
      </c>
    </row>
    <row r="8705">
      <c r="A8705" t="inlineStr">
        <is>
          <t>Warranty &amp; Maintenance</t>
        </is>
      </c>
      <c r="B8705" s="46">
        <f>'Warranty &amp; Maintenance'!Z670</f>
        <v/>
      </c>
      <c r="C8705" s="84">
        <f>'Warranty &amp; Maintenance'!X670</f>
        <v/>
      </c>
      <c r="D8705" s="46">
        <f>'Warranty &amp; Maintenance'!Y670</f>
        <v/>
      </c>
      <c r="E8705" s="46">
        <f>IF(OR(B8705="",C8705="",D8705=""),"",D8705*100000+(C8705-DATE(2000,1,1))+ROW()/100000)</f>
        <v/>
      </c>
      <c r="F8705" s="46">
        <f>IF(E8705="","",IF(C8705&gt;WeekEndDate,"",E8705))</f>
        <v/>
      </c>
    </row>
    <row r="8706">
      <c r="A8706" t="inlineStr">
        <is>
          <t>Warranty &amp; Maintenance</t>
        </is>
      </c>
      <c r="B8706" s="46">
        <f>'Warranty &amp; Maintenance'!Z671</f>
        <v/>
      </c>
      <c r="C8706" s="84">
        <f>'Warranty &amp; Maintenance'!X671</f>
        <v/>
      </c>
      <c r="D8706" s="46">
        <f>'Warranty &amp; Maintenance'!Y671</f>
        <v/>
      </c>
      <c r="E8706" s="46">
        <f>IF(OR(B8706="",C8706="",D8706=""),"",D8706*100000+(C8706-DATE(2000,1,1))+ROW()/100000)</f>
        <v/>
      </c>
      <c r="F8706" s="46">
        <f>IF(E8706="","",IF(C8706&gt;WeekEndDate,"",E8706))</f>
        <v/>
      </c>
    </row>
    <row r="8707">
      <c r="A8707" t="inlineStr">
        <is>
          <t>Warranty &amp; Maintenance</t>
        </is>
      </c>
      <c r="B8707" s="46">
        <f>'Warranty &amp; Maintenance'!Z672</f>
        <v/>
      </c>
      <c r="C8707" s="84">
        <f>'Warranty &amp; Maintenance'!X672</f>
        <v/>
      </c>
      <c r="D8707" s="46">
        <f>'Warranty &amp; Maintenance'!Y672</f>
        <v/>
      </c>
      <c r="E8707" s="46">
        <f>IF(OR(B8707="",C8707="",D8707=""),"",D8707*100000+(C8707-DATE(2000,1,1))+ROW()/100000)</f>
        <v/>
      </c>
      <c r="F8707" s="46">
        <f>IF(E8707="","",IF(C8707&gt;WeekEndDate,"",E8707))</f>
        <v/>
      </c>
    </row>
    <row r="8708">
      <c r="A8708" t="inlineStr">
        <is>
          <t>Warranty &amp; Maintenance</t>
        </is>
      </c>
      <c r="B8708" s="46">
        <f>'Warranty &amp; Maintenance'!Z673</f>
        <v/>
      </c>
      <c r="C8708" s="84">
        <f>'Warranty &amp; Maintenance'!X673</f>
        <v/>
      </c>
      <c r="D8708" s="46">
        <f>'Warranty &amp; Maintenance'!Y673</f>
        <v/>
      </c>
      <c r="E8708" s="46">
        <f>IF(OR(B8708="",C8708="",D8708=""),"",D8708*100000+(C8708-DATE(2000,1,1))+ROW()/100000)</f>
        <v/>
      </c>
      <c r="F8708" s="46">
        <f>IF(E8708="","",IF(C8708&gt;WeekEndDate,"",E8708))</f>
        <v/>
      </c>
    </row>
    <row r="8709">
      <c r="A8709" t="inlineStr">
        <is>
          <t>Warranty &amp; Maintenance</t>
        </is>
      </c>
      <c r="B8709" s="46">
        <f>'Warranty &amp; Maintenance'!Z674</f>
        <v/>
      </c>
      <c r="C8709" s="84">
        <f>'Warranty &amp; Maintenance'!X674</f>
        <v/>
      </c>
      <c r="D8709" s="46">
        <f>'Warranty &amp; Maintenance'!Y674</f>
        <v/>
      </c>
      <c r="E8709" s="46">
        <f>IF(OR(B8709="",C8709="",D8709=""),"",D8709*100000+(C8709-DATE(2000,1,1))+ROW()/100000)</f>
        <v/>
      </c>
      <c r="F8709" s="46">
        <f>IF(E8709="","",IF(C8709&gt;WeekEndDate,"",E8709))</f>
        <v/>
      </c>
    </row>
    <row r="8710">
      <c r="A8710" t="inlineStr">
        <is>
          <t>Warranty &amp; Maintenance</t>
        </is>
      </c>
      <c r="B8710" s="46">
        <f>'Warranty &amp; Maintenance'!Z675</f>
        <v/>
      </c>
      <c r="C8710" s="84">
        <f>'Warranty &amp; Maintenance'!X675</f>
        <v/>
      </c>
      <c r="D8710" s="46">
        <f>'Warranty &amp; Maintenance'!Y675</f>
        <v/>
      </c>
      <c r="E8710" s="46">
        <f>IF(OR(B8710="",C8710="",D8710=""),"",D8710*100000+(C8710-DATE(2000,1,1))+ROW()/100000)</f>
        <v/>
      </c>
      <c r="F8710" s="46">
        <f>IF(E8710="","",IF(C8710&gt;WeekEndDate,"",E8710))</f>
        <v/>
      </c>
    </row>
    <row r="8711">
      <c r="A8711" t="inlineStr">
        <is>
          <t>Warranty &amp; Maintenance</t>
        </is>
      </c>
      <c r="B8711" s="46">
        <f>'Warranty &amp; Maintenance'!Z676</f>
        <v/>
      </c>
      <c r="C8711" s="84">
        <f>'Warranty &amp; Maintenance'!X676</f>
        <v/>
      </c>
      <c r="D8711" s="46">
        <f>'Warranty &amp; Maintenance'!Y676</f>
        <v/>
      </c>
      <c r="E8711" s="46">
        <f>IF(OR(B8711="",C8711="",D8711=""),"",D8711*100000+(C8711-DATE(2000,1,1))+ROW()/100000)</f>
        <v/>
      </c>
      <c r="F8711" s="46">
        <f>IF(E8711="","",IF(C8711&gt;WeekEndDate,"",E8711))</f>
        <v/>
      </c>
    </row>
    <row r="8712">
      <c r="A8712" t="inlineStr">
        <is>
          <t>Warranty &amp; Maintenance</t>
        </is>
      </c>
      <c r="B8712" s="46">
        <f>'Warranty &amp; Maintenance'!Z677</f>
        <v/>
      </c>
      <c r="C8712" s="84">
        <f>'Warranty &amp; Maintenance'!X677</f>
        <v/>
      </c>
      <c r="D8712" s="46">
        <f>'Warranty &amp; Maintenance'!Y677</f>
        <v/>
      </c>
      <c r="E8712" s="46">
        <f>IF(OR(B8712="",C8712="",D8712=""),"",D8712*100000+(C8712-DATE(2000,1,1))+ROW()/100000)</f>
        <v/>
      </c>
      <c r="F8712" s="46">
        <f>IF(E8712="","",IF(C8712&gt;WeekEndDate,"",E8712))</f>
        <v/>
      </c>
    </row>
    <row r="8713">
      <c r="A8713" t="inlineStr">
        <is>
          <t>Warranty &amp; Maintenance</t>
        </is>
      </c>
      <c r="B8713" s="46">
        <f>'Warranty &amp; Maintenance'!Z678</f>
        <v/>
      </c>
      <c r="C8713" s="84">
        <f>'Warranty &amp; Maintenance'!X678</f>
        <v/>
      </c>
      <c r="D8713" s="46">
        <f>'Warranty &amp; Maintenance'!Y678</f>
        <v/>
      </c>
      <c r="E8713" s="46">
        <f>IF(OR(B8713="",C8713="",D8713=""),"",D8713*100000+(C8713-DATE(2000,1,1))+ROW()/100000)</f>
        <v/>
      </c>
      <c r="F8713" s="46">
        <f>IF(E8713="","",IF(C8713&gt;WeekEndDate,"",E8713))</f>
        <v/>
      </c>
    </row>
    <row r="8714">
      <c r="A8714" t="inlineStr">
        <is>
          <t>Warranty &amp; Maintenance</t>
        </is>
      </c>
      <c r="B8714" s="46">
        <f>'Warranty &amp; Maintenance'!Z679</f>
        <v/>
      </c>
      <c r="C8714" s="84">
        <f>'Warranty &amp; Maintenance'!X679</f>
        <v/>
      </c>
      <c r="D8714" s="46">
        <f>'Warranty &amp; Maintenance'!Y679</f>
        <v/>
      </c>
      <c r="E8714" s="46">
        <f>IF(OR(B8714="",C8714="",D8714=""),"",D8714*100000+(C8714-DATE(2000,1,1))+ROW()/100000)</f>
        <v/>
      </c>
      <c r="F8714" s="46">
        <f>IF(E8714="","",IF(C8714&gt;WeekEndDate,"",E8714))</f>
        <v/>
      </c>
    </row>
    <row r="8715">
      <c r="A8715" t="inlineStr">
        <is>
          <t>Warranty &amp; Maintenance</t>
        </is>
      </c>
      <c r="B8715" s="46">
        <f>'Warranty &amp; Maintenance'!Z680</f>
        <v/>
      </c>
      <c r="C8715" s="84">
        <f>'Warranty &amp; Maintenance'!X680</f>
        <v/>
      </c>
      <c r="D8715" s="46">
        <f>'Warranty &amp; Maintenance'!Y680</f>
        <v/>
      </c>
      <c r="E8715" s="46">
        <f>IF(OR(B8715="",C8715="",D8715=""),"",D8715*100000+(C8715-DATE(2000,1,1))+ROW()/100000)</f>
        <v/>
      </c>
      <c r="F8715" s="46">
        <f>IF(E8715="","",IF(C8715&gt;WeekEndDate,"",E8715))</f>
        <v/>
      </c>
    </row>
    <row r="8716">
      <c r="A8716" t="inlineStr">
        <is>
          <t>Warranty &amp; Maintenance</t>
        </is>
      </c>
      <c r="B8716" s="46">
        <f>'Warranty &amp; Maintenance'!Z681</f>
        <v/>
      </c>
      <c r="C8716" s="84">
        <f>'Warranty &amp; Maintenance'!X681</f>
        <v/>
      </c>
      <c r="D8716" s="46">
        <f>'Warranty &amp; Maintenance'!Y681</f>
        <v/>
      </c>
      <c r="E8716" s="46">
        <f>IF(OR(B8716="",C8716="",D8716=""),"",D8716*100000+(C8716-DATE(2000,1,1))+ROW()/100000)</f>
        <v/>
      </c>
      <c r="F8716" s="46">
        <f>IF(E8716="","",IF(C8716&gt;WeekEndDate,"",E8716))</f>
        <v/>
      </c>
    </row>
    <row r="8717">
      <c r="A8717" t="inlineStr">
        <is>
          <t>Warranty &amp; Maintenance</t>
        </is>
      </c>
      <c r="B8717" s="46">
        <f>'Warranty &amp; Maintenance'!Z682</f>
        <v/>
      </c>
      <c r="C8717" s="84">
        <f>'Warranty &amp; Maintenance'!X682</f>
        <v/>
      </c>
      <c r="D8717" s="46">
        <f>'Warranty &amp; Maintenance'!Y682</f>
        <v/>
      </c>
      <c r="E8717" s="46">
        <f>IF(OR(B8717="",C8717="",D8717=""),"",D8717*100000+(C8717-DATE(2000,1,1))+ROW()/100000)</f>
        <v/>
      </c>
      <c r="F8717" s="46">
        <f>IF(E8717="","",IF(C8717&gt;WeekEndDate,"",E8717))</f>
        <v/>
      </c>
    </row>
    <row r="8718">
      <c r="A8718" t="inlineStr">
        <is>
          <t>Warranty &amp; Maintenance</t>
        </is>
      </c>
      <c r="B8718" s="46">
        <f>'Warranty &amp; Maintenance'!Z683</f>
        <v/>
      </c>
      <c r="C8718" s="84">
        <f>'Warranty &amp; Maintenance'!X683</f>
        <v/>
      </c>
      <c r="D8718" s="46">
        <f>'Warranty &amp; Maintenance'!Y683</f>
        <v/>
      </c>
      <c r="E8718" s="46">
        <f>IF(OR(B8718="",C8718="",D8718=""),"",D8718*100000+(C8718-DATE(2000,1,1))+ROW()/100000)</f>
        <v/>
      </c>
      <c r="F8718" s="46">
        <f>IF(E8718="","",IF(C8718&gt;WeekEndDate,"",E8718))</f>
        <v/>
      </c>
    </row>
    <row r="8719">
      <c r="A8719" t="inlineStr">
        <is>
          <t>Warranty &amp; Maintenance</t>
        </is>
      </c>
      <c r="B8719" s="46">
        <f>'Warranty &amp; Maintenance'!Z684</f>
        <v/>
      </c>
      <c r="C8719" s="84">
        <f>'Warranty &amp; Maintenance'!X684</f>
        <v/>
      </c>
      <c r="D8719" s="46">
        <f>'Warranty &amp; Maintenance'!Y684</f>
        <v/>
      </c>
      <c r="E8719" s="46">
        <f>IF(OR(B8719="",C8719="",D8719=""),"",D8719*100000+(C8719-DATE(2000,1,1))+ROW()/100000)</f>
        <v/>
      </c>
      <c r="F8719" s="46">
        <f>IF(E8719="","",IF(C8719&gt;WeekEndDate,"",E8719))</f>
        <v/>
      </c>
    </row>
    <row r="8720">
      <c r="A8720" t="inlineStr">
        <is>
          <t>Warranty &amp; Maintenance</t>
        </is>
      </c>
      <c r="B8720" s="46">
        <f>'Warranty &amp; Maintenance'!Z685</f>
        <v/>
      </c>
      <c r="C8720" s="84">
        <f>'Warranty &amp; Maintenance'!X685</f>
        <v/>
      </c>
      <c r="D8720" s="46">
        <f>'Warranty &amp; Maintenance'!Y685</f>
        <v/>
      </c>
      <c r="E8720" s="46">
        <f>IF(OR(B8720="",C8720="",D8720=""),"",D8720*100000+(C8720-DATE(2000,1,1))+ROW()/100000)</f>
        <v/>
      </c>
      <c r="F8720" s="46">
        <f>IF(E8720="","",IF(C8720&gt;WeekEndDate,"",E8720))</f>
        <v/>
      </c>
    </row>
    <row r="8721">
      <c r="A8721" t="inlineStr">
        <is>
          <t>Warranty &amp; Maintenance</t>
        </is>
      </c>
      <c r="B8721" s="46">
        <f>'Warranty &amp; Maintenance'!Z686</f>
        <v/>
      </c>
      <c r="C8721" s="84">
        <f>'Warranty &amp; Maintenance'!X686</f>
        <v/>
      </c>
      <c r="D8721" s="46">
        <f>'Warranty &amp; Maintenance'!Y686</f>
        <v/>
      </c>
      <c r="E8721" s="46">
        <f>IF(OR(B8721="",C8721="",D8721=""),"",D8721*100000+(C8721-DATE(2000,1,1))+ROW()/100000)</f>
        <v/>
      </c>
      <c r="F8721" s="46">
        <f>IF(E8721="","",IF(C8721&gt;WeekEndDate,"",E8721))</f>
        <v/>
      </c>
    </row>
    <row r="8722">
      <c r="A8722" t="inlineStr">
        <is>
          <t>Warranty &amp; Maintenance</t>
        </is>
      </c>
      <c r="B8722" s="46">
        <f>'Warranty &amp; Maintenance'!Z687</f>
        <v/>
      </c>
      <c r="C8722" s="84">
        <f>'Warranty &amp; Maintenance'!X687</f>
        <v/>
      </c>
      <c r="D8722" s="46">
        <f>'Warranty &amp; Maintenance'!Y687</f>
        <v/>
      </c>
      <c r="E8722" s="46">
        <f>IF(OR(B8722="",C8722="",D8722=""),"",D8722*100000+(C8722-DATE(2000,1,1))+ROW()/100000)</f>
        <v/>
      </c>
      <c r="F8722" s="46">
        <f>IF(E8722="","",IF(C8722&gt;WeekEndDate,"",E8722))</f>
        <v/>
      </c>
    </row>
    <row r="8723">
      <c r="A8723" t="inlineStr">
        <is>
          <t>Warranty &amp; Maintenance</t>
        </is>
      </c>
      <c r="B8723" s="46">
        <f>'Warranty &amp; Maintenance'!Z688</f>
        <v/>
      </c>
      <c r="C8723" s="84">
        <f>'Warranty &amp; Maintenance'!X688</f>
        <v/>
      </c>
      <c r="D8723" s="46">
        <f>'Warranty &amp; Maintenance'!Y688</f>
        <v/>
      </c>
      <c r="E8723" s="46">
        <f>IF(OR(B8723="",C8723="",D8723=""),"",D8723*100000+(C8723-DATE(2000,1,1))+ROW()/100000)</f>
        <v/>
      </c>
      <c r="F8723" s="46">
        <f>IF(E8723="","",IF(C8723&gt;WeekEndDate,"",E8723))</f>
        <v/>
      </c>
    </row>
    <row r="8724">
      <c r="A8724" t="inlineStr">
        <is>
          <t>Warranty &amp; Maintenance</t>
        </is>
      </c>
      <c r="B8724" s="46">
        <f>'Warranty &amp; Maintenance'!Z689</f>
        <v/>
      </c>
      <c r="C8724" s="84">
        <f>'Warranty &amp; Maintenance'!X689</f>
        <v/>
      </c>
      <c r="D8724" s="46">
        <f>'Warranty &amp; Maintenance'!Y689</f>
        <v/>
      </c>
      <c r="E8724" s="46">
        <f>IF(OR(B8724="",C8724="",D8724=""),"",D8724*100000+(C8724-DATE(2000,1,1))+ROW()/100000)</f>
        <v/>
      </c>
      <c r="F8724" s="46">
        <f>IF(E8724="","",IF(C8724&gt;WeekEndDate,"",E8724))</f>
        <v/>
      </c>
    </row>
    <row r="8725">
      <c r="A8725" t="inlineStr">
        <is>
          <t>Warranty &amp; Maintenance</t>
        </is>
      </c>
      <c r="B8725" s="46">
        <f>'Warranty &amp; Maintenance'!Z690</f>
        <v/>
      </c>
      <c r="C8725" s="84">
        <f>'Warranty &amp; Maintenance'!X690</f>
        <v/>
      </c>
      <c r="D8725" s="46">
        <f>'Warranty &amp; Maintenance'!Y690</f>
        <v/>
      </c>
      <c r="E8725" s="46">
        <f>IF(OR(B8725="",C8725="",D8725=""),"",D8725*100000+(C8725-DATE(2000,1,1))+ROW()/100000)</f>
        <v/>
      </c>
      <c r="F8725" s="46">
        <f>IF(E8725="","",IF(C8725&gt;WeekEndDate,"",E8725))</f>
        <v/>
      </c>
    </row>
    <row r="8726">
      <c r="A8726" t="inlineStr">
        <is>
          <t>Warranty &amp; Maintenance</t>
        </is>
      </c>
      <c r="B8726" s="46">
        <f>'Warranty &amp; Maintenance'!Z691</f>
        <v/>
      </c>
      <c r="C8726" s="84">
        <f>'Warranty &amp; Maintenance'!X691</f>
        <v/>
      </c>
      <c r="D8726" s="46">
        <f>'Warranty &amp; Maintenance'!Y691</f>
        <v/>
      </c>
      <c r="E8726" s="46">
        <f>IF(OR(B8726="",C8726="",D8726=""),"",D8726*100000+(C8726-DATE(2000,1,1))+ROW()/100000)</f>
        <v/>
      </c>
      <c r="F8726" s="46">
        <f>IF(E8726="","",IF(C8726&gt;WeekEndDate,"",E8726))</f>
        <v/>
      </c>
    </row>
    <row r="8727">
      <c r="A8727" t="inlineStr">
        <is>
          <t>Warranty &amp; Maintenance</t>
        </is>
      </c>
      <c r="B8727" s="46">
        <f>'Warranty &amp; Maintenance'!Z692</f>
        <v/>
      </c>
      <c r="C8727" s="84">
        <f>'Warranty &amp; Maintenance'!X692</f>
        <v/>
      </c>
      <c r="D8727" s="46">
        <f>'Warranty &amp; Maintenance'!Y692</f>
        <v/>
      </c>
      <c r="E8727" s="46">
        <f>IF(OR(B8727="",C8727="",D8727=""),"",D8727*100000+(C8727-DATE(2000,1,1))+ROW()/100000)</f>
        <v/>
      </c>
      <c r="F8727" s="46">
        <f>IF(E8727="","",IF(C8727&gt;WeekEndDate,"",E8727))</f>
        <v/>
      </c>
    </row>
    <row r="8728">
      <c r="A8728" t="inlineStr">
        <is>
          <t>Warranty &amp; Maintenance</t>
        </is>
      </c>
      <c r="B8728" s="46">
        <f>'Warranty &amp; Maintenance'!Z693</f>
        <v/>
      </c>
      <c r="C8728" s="84">
        <f>'Warranty &amp; Maintenance'!X693</f>
        <v/>
      </c>
      <c r="D8728" s="46">
        <f>'Warranty &amp; Maintenance'!Y693</f>
        <v/>
      </c>
      <c r="E8728" s="46">
        <f>IF(OR(B8728="",C8728="",D8728=""),"",D8728*100000+(C8728-DATE(2000,1,1))+ROW()/100000)</f>
        <v/>
      </c>
      <c r="F8728" s="46">
        <f>IF(E8728="","",IF(C8728&gt;WeekEndDate,"",E8728))</f>
        <v/>
      </c>
    </row>
    <row r="8729">
      <c r="A8729" t="inlineStr">
        <is>
          <t>Warranty &amp; Maintenance</t>
        </is>
      </c>
      <c r="B8729" s="46">
        <f>'Warranty &amp; Maintenance'!Z694</f>
        <v/>
      </c>
      <c r="C8729" s="84">
        <f>'Warranty &amp; Maintenance'!X694</f>
        <v/>
      </c>
      <c r="D8729" s="46">
        <f>'Warranty &amp; Maintenance'!Y694</f>
        <v/>
      </c>
      <c r="E8729" s="46">
        <f>IF(OR(B8729="",C8729="",D8729=""),"",D8729*100000+(C8729-DATE(2000,1,1))+ROW()/100000)</f>
        <v/>
      </c>
      <c r="F8729" s="46">
        <f>IF(E8729="","",IF(C8729&gt;WeekEndDate,"",E8729))</f>
        <v/>
      </c>
    </row>
    <row r="8730">
      <c r="A8730" t="inlineStr">
        <is>
          <t>Warranty &amp; Maintenance</t>
        </is>
      </c>
      <c r="B8730" s="46">
        <f>'Warranty &amp; Maintenance'!Z695</f>
        <v/>
      </c>
      <c r="C8730" s="84">
        <f>'Warranty &amp; Maintenance'!X695</f>
        <v/>
      </c>
      <c r="D8730" s="46">
        <f>'Warranty &amp; Maintenance'!Y695</f>
        <v/>
      </c>
      <c r="E8730" s="46">
        <f>IF(OR(B8730="",C8730="",D8730=""),"",D8730*100000+(C8730-DATE(2000,1,1))+ROW()/100000)</f>
        <v/>
      </c>
      <c r="F8730" s="46">
        <f>IF(E8730="","",IF(C8730&gt;WeekEndDate,"",E8730))</f>
        <v/>
      </c>
    </row>
    <row r="8731">
      <c r="A8731" t="inlineStr">
        <is>
          <t>Warranty &amp; Maintenance</t>
        </is>
      </c>
      <c r="B8731" s="46">
        <f>'Warranty &amp; Maintenance'!Z696</f>
        <v/>
      </c>
      <c r="C8731" s="84">
        <f>'Warranty &amp; Maintenance'!X696</f>
        <v/>
      </c>
      <c r="D8731" s="46">
        <f>'Warranty &amp; Maintenance'!Y696</f>
        <v/>
      </c>
      <c r="E8731" s="46">
        <f>IF(OR(B8731="",C8731="",D8731=""),"",D8731*100000+(C8731-DATE(2000,1,1))+ROW()/100000)</f>
        <v/>
      </c>
      <c r="F8731" s="46">
        <f>IF(E8731="","",IF(C8731&gt;WeekEndDate,"",E8731))</f>
        <v/>
      </c>
    </row>
    <row r="8732">
      <c r="A8732" t="inlineStr">
        <is>
          <t>Warranty &amp; Maintenance</t>
        </is>
      </c>
      <c r="B8732" s="46">
        <f>'Warranty &amp; Maintenance'!Z697</f>
        <v/>
      </c>
      <c r="C8732" s="84">
        <f>'Warranty &amp; Maintenance'!X697</f>
        <v/>
      </c>
      <c r="D8732" s="46">
        <f>'Warranty &amp; Maintenance'!Y697</f>
        <v/>
      </c>
      <c r="E8732" s="46">
        <f>IF(OR(B8732="",C8732="",D8732=""),"",D8732*100000+(C8732-DATE(2000,1,1))+ROW()/100000)</f>
        <v/>
      </c>
      <c r="F8732" s="46">
        <f>IF(E8732="","",IF(C8732&gt;WeekEndDate,"",E8732))</f>
        <v/>
      </c>
    </row>
    <row r="8733">
      <c r="A8733" t="inlineStr">
        <is>
          <t>Warranty &amp; Maintenance</t>
        </is>
      </c>
      <c r="B8733" s="46">
        <f>'Warranty &amp; Maintenance'!Z698</f>
        <v/>
      </c>
      <c r="C8733" s="84">
        <f>'Warranty &amp; Maintenance'!X698</f>
        <v/>
      </c>
      <c r="D8733" s="46">
        <f>'Warranty &amp; Maintenance'!Y698</f>
        <v/>
      </c>
      <c r="E8733" s="46">
        <f>IF(OR(B8733="",C8733="",D8733=""),"",D8733*100000+(C8733-DATE(2000,1,1))+ROW()/100000)</f>
        <v/>
      </c>
      <c r="F8733" s="46">
        <f>IF(E8733="","",IF(C8733&gt;WeekEndDate,"",E8733))</f>
        <v/>
      </c>
    </row>
    <row r="8734">
      <c r="A8734" t="inlineStr">
        <is>
          <t>Warranty &amp; Maintenance</t>
        </is>
      </c>
      <c r="B8734" s="46">
        <f>'Warranty &amp; Maintenance'!Z699</f>
        <v/>
      </c>
      <c r="C8734" s="84">
        <f>'Warranty &amp; Maintenance'!X699</f>
        <v/>
      </c>
      <c r="D8734" s="46">
        <f>'Warranty &amp; Maintenance'!Y699</f>
        <v/>
      </c>
      <c r="E8734" s="46">
        <f>IF(OR(B8734="",C8734="",D8734=""),"",D8734*100000+(C8734-DATE(2000,1,1))+ROW()/100000)</f>
        <v/>
      </c>
      <c r="F8734" s="46">
        <f>IF(E8734="","",IF(C8734&gt;WeekEndDate,"",E8734))</f>
        <v/>
      </c>
    </row>
    <row r="8735">
      <c r="A8735" t="inlineStr">
        <is>
          <t>Warranty &amp; Maintenance</t>
        </is>
      </c>
      <c r="B8735" s="46">
        <f>'Warranty &amp; Maintenance'!Z700</f>
        <v/>
      </c>
      <c r="C8735" s="84">
        <f>'Warranty &amp; Maintenance'!X700</f>
        <v/>
      </c>
      <c r="D8735" s="46">
        <f>'Warranty &amp; Maintenance'!Y700</f>
        <v/>
      </c>
      <c r="E8735" s="46">
        <f>IF(OR(B8735="",C8735="",D8735=""),"",D8735*100000+(C8735-DATE(2000,1,1))+ROW()/100000)</f>
        <v/>
      </c>
      <c r="F8735" s="46">
        <f>IF(E8735="","",IF(C8735&gt;WeekEndDate,"",E8735))</f>
        <v/>
      </c>
    </row>
    <row r="8736">
      <c r="A8736" t="inlineStr">
        <is>
          <t>Warranty &amp; Maintenance</t>
        </is>
      </c>
      <c r="B8736" s="46">
        <f>'Warranty &amp; Maintenance'!Z701</f>
        <v/>
      </c>
      <c r="C8736" s="84">
        <f>'Warranty &amp; Maintenance'!X701</f>
        <v/>
      </c>
      <c r="D8736" s="46">
        <f>'Warranty &amp; Maintenance'!Y701</f>
        <v/>
      </c>
      <c r="E8736" s="46">
        <f>IF(OR(B8736="",C8736="",D8736=""),"",D8736*100000+(C8736-DATE(2000,1,1))+ROW()/100000)</f>
        <v/>
      </c>
      <c r="F8736" s="46">
        <f>IF(E8736="","",IF(C8736&gt;WeekEndDate,"",E8736))</f>
        <v/>
      </c>
    </row>
    <row r="8737">
      <c r="A8737" t="inlineStr">
        <is>
          <t>Warranty &amp; Maintenance</t>
        </is>
      </c>
      <c r="B8737" s="46">
        <f>'Warranty &amp; Maintenance'!Z702</f>
        <v/>
      </c>
      <c r="C8737" s="84">
        <f>'Warranty &amp; Maintenance'!X702</f>
        <v/>
      </c>
      <c r="D8737" s="46">
        <f>'Warranty &amp; Maintenance'!Y702</f>
        <v/>
      </c>
      <c r="E8737" s="46">
        <f>IF(OR(B8737="",C8737="",D8737=""),"",D8737*100000+(C8737-DATE(2000,1,1))+ROW()/100000)</f>
        <v/>
      </c>
      <c r="F8737" s="46">
        <f>IF(E8737="","",IF(C8737&gt;WeekEndDate,"",E8737))</f>
        <v/>
      </c>
    </row>
    <row r="8738">
      <c r="A8738" t="inlineStr">
        <is>
          <t>Warranty &amp; Maintenance</t>
        </is>
      </c>
      <c r="B8738" s="46">
        <f>'Warranty &amp; Maintenance'!Z703</f>
        <v/>
      </c>
      <c r="C8738" s="84">
        <f>'Warranty &amp; Maintenance'!X703</f>
        <v/>
      </c>
      <c r="D8738" s="46">
        <f>'Warranty &amp; Maintenance'!Y703</f>
        <v/>
      </c>
      <c r="E8738" s="46">
        <f>IF(OR(B8738="",C8738="",D8738=""),"",D8738*100000+(C8738-DATE(2000,1,1))+ROW()/100000)</f>
        <v/>
      </c>
      <c r="F8738" s="46">
        <f>IF(E8738="","",IF(C8738&gt;WeekEndDate,"",E8738))</f>
        <v/>
      </c>
    </row>
    <row r="8739">
      <c r="A8739" t="inlineStr">
        <is>
          <t>Warranty &amp; Maintenance</t>
        </is>
      </c>
      <c r="B8739" s="46">
        <f>'Warranty &amp; Maintenance'!Z704</f>
        <v/>
      </c>
      <c r="C8739" s="84">
        <f>'Warranty &amp; Maintenance'!X704</f>
        <v/>
      </c>
      <c r="D8739" s="46">
        <f>'Warranty &amp; Maintenance'!Y704</f>
        <v/>
      </c>
      <c r="E8739" s="46">
        <f>IF(OR(B8739="",C8739="",D8739=""),"",D8739*100000+(C8739-DATE(2000,1,1))+ROW()/100000)</f>
        <v/>
      </c>
      <c r="F8739" s="46">
        <f>IF(E8739="","",IF(C8739&gt;WeekEndDate,"",E8739))</f>
        <v/>
      </c>
    </row>
    <row r="8740">
      <c r="A8740" t="inlineStr">
        <is>
          <t>Warranty &amp; Maintenance</t>
        </is>
      </c>
      <c r="B8740" s="46">
        <f>'Warranty &amp; Maintenance'!Z705</f>
        <v/>
      </c>
      <c r="C8740" s="84">
        <f>'Warranty &amp; Maintenance'!X705</f>
        <v/>
      </c>
      <c r="D8740" s="46">
        <f>'Warranty &amp; Maintenance'!Y705</f>
        <v/>
      </c>
      <c r="E8740" s="46">
        <f>IF(OR(B8740="",C8740="",D8740=""),"",D8740*100000+(C8740-DATE(2000,1,1))+ROW()/100000)</f>
        <v/>
      </c>
      <c r="F8740" s="46">
        <f>IF(E8740="","",IF(C8740&gt;WeekEndDate,"",E8740))</f>
        <v/>
      </c>
    </row>
    <row r="8741">
      <c r="A8741" t="inlineStr">
        <is>
          <t>Warranty &amp; Maintenance</t>
        </is>
      </c>
      <c r="B8741" s="46">
        <f>'Warranty &amp; Maintenance'!Z706</f>
        <v/>
      </c>
      <c r="C8741" s="84">
        <f>'Warranty &amp; Maintenance'!X706</f>
        <v/>
      </c>
      <c r="D8741" s="46">
        <f>'Warranty &amp; Maintenance'!Y706</f>
        <v/>
      </c>
      <c r="E8741" s="46">
        <f>IF(OR(B8741="",C8741="",D8741=""),"",D8741*100000+(C8741-DATE(2000,1,1))+ROW()/100000)</f>
        <v/>
      </c>
      <c r="F8741" s="46">
        <f>IF(E8741="","",IF(C8741&gt;WeekEndDate,"",E8741))</f>
        <v/>
      </c>
    </row>
    <row r="8742">
      <c r="A8742" t="inlineStr">
        <is>
          <t>Warranty &amp; Maintenance</t>
        </is>
      </c>
      <c r="B8742" s="46">
        <f>'Warranty &amp; Maintenance'!Z707</f>
        <v/>
      </c>
      <c r="C8742" s="84">
        <f>'Warranty &amp; Maintenance'!X707</f>
        <v/>
      </c>
      <c r="D8742" s="46">
        <f>'Warranty &amp; Maintenance'!Y707</f>
        <v/>
      </c>
      <c r="E8742" s="46">
        <f>IF(OR(B8742="",C8742="",D8742=""),"",D8742*100000+(C8742-DATE(2000,1,1))+ROW()/100000)</f>
        <v/>
      </c>
      <c r="F8742" s="46">
        <f>IF(E8742="","",IF(C8742&gt;WeekEndDate,"",E8742))</f>
        <v/>
      </c>
    </row>
    <row r="8743">
      <c r="A8743" t="inlineStr">
        <is>
          <t>Warranty &amp; Maintenance</t>
        </is>
      </c>
      <c r="B8743" s="46">
        <f>'Warranty &amp; Maintenance'!Z708</f>
        <v/>
      </c>
      <c r="C8743" s="84">
        <f>'Warranty &amp; Maintenance'!X708</f>
        <v/>
      </c>
      <c r="D8743" s="46">
        <f>'Warranty &amp; Maintenance'!Y708</f>
        <v/>
      </c>
      <c r="E8743" s="46">
        <f>IF(OR(B8743="",C8743="",D8743=""),"",D8743*100000+(C8743-DATE(2000,1,1))+ROW()/100000)</f>
        <v/>
      </c>
      <c r="F8743" s="46">
        <f>IF(E8743="","",IF(C8743&gt;WeekEndDate,"",E8743))</f>
        <v/>
      </c>
    </row>
    <row r="8744">
      <c r="A8744" t="inlineStr">
        <is>
          <t>Warranty &amp; Maintenance</t>
        </is>
      </c>
      <c r="B8744" s="46">
        <f>'Warranty &amp; Maintenance'!Z709</f>
        <v/>
      </c>
      <c r="C8744" s="84">
        <f>'Warranty &amp; Maintenance'!X709</f>
        <v/>
      </c>
      <c r="D8744" s="46">
        <f>'Warranty &amp; Maintenance'!Y709</f>
        <v/>
      </c>
      <c r="E8744" s="46">
        <f>IF(OR(B8744="",C8744="",D8744=""),"",D8744*100000+(C8744-DATE(2000,1,1))+ROW()/100000)</f>
        <v/>
      </c>
      <c r="F8744" s="46">
        <f>IF(E8744="","",IF(C8744&gt;WeekEndDate,"",E8744))</f>
        <v/>
      </c>
    </row>
    <row r="8745">
      <c r="A8745" t="inlineStr">
        <is>
          <t>Warranty &amp; Maintenance</t>
        </is>
      </c>
      <c r="B8745" s="46">
        <f>'Warranty &amp; Maintenance'!Z710</f>
        <v/>
      </c>
      <c r="C8745" s="84">
        <f>'Warranty &amp; Maintenance'!X710</f>
        <v/>
      </c>
      <c r="D8745" s="46">
        <f>'Warranty &amp; Maintenance'!Y710</f>
        <v/>
      </c>
      <c r="E8745" s="46">
        <f>IF(OR(B8745="",C8745="",D8745=""),"",D8745*100000+(C8745-DATE(2000,1,1))+ROW()/100000)</f>
        <v/>
      </c>
      <c r="F8745" s="46">
        <f>IF(E8745="","",IF(C8745&gt;WeekEndDate,"",E8745))</f>
        <v/>
      </c>
    </row>
    <row r="8746">
      <c r="A8746" t="inlineStr">
        <is>
          <t>Warranty &amp; Maintenance</t>
        </is>
      </c>
      <c r="B8746" s="46">
        <f>'Warranty &amp; Maintenance'!Z711</f>
        <v/>
      </c>
      <c r="C8746" s="84">
        <f>'Warranty &amp; Maintenance'!X711</f>
        <v/>
      </c>
      <c r="D8746" s="46">
        <f>'Warranty &amp; Maintenance'!Y711</f>
        <v/>
      </c>
      <c r="E8746" s="46">
        <f>IF(OR(B8746="",C8746="",D8746=""),"",D8746*100000+(C8746-DATE(2000,1,1))+ROW()/100000)</f>
        <v/>
      </c>
      <c r="F8746" s="46">
        <f>IF(E8746="","",IF(C8746&gt;WeekEndDate,"",E8746))</f>
        <v/>
      </c>
    </row>
    <row r="8747">
      <c r="A8747" t="inlineStr">
        <is>
          <t>Warranty &amp; Maintenance</t>
        </is>
      </c>
      <c r="B8747" s="46">
        <f>'Warranty &amp; Maintenance'!Z712</f>
        <v/>
      </c>
      <c r="C8747" s="84">
        <f>'Warranty &amp; Maintenance'!X712</f>
        <v/>
      </c>
      <c r="D8747" s="46">
        <f>'Warranty &amp; Maintenance'!Y712</f>
        <v/>
      </c>
      <c r="E8747" s="46">
        <f>IF(OR(B8747="",C8747="",D8747=""),"",D8747*100000+(C8747-DATE(2000,1,1))+ROW()/100000)</f>
        <v/>
      </c>
      <c r="F8747" s="46">
        <f>IF(E8747="","",IF(C8747&gt;WeekEndDate,"",E8747))</f>
        <v/>
      </c>
    </row>
    <row r="8748">
      <c r="A8748" t="inlineStr">
        <is>
          <t>Warranty &amp; Maintenance</t>
        </is>
      </c>
      <c r="B8748" s="46">
        <f>'Warranty &amp; Maintenance'!Z713</f>
        <v/>
      </c>
      <c r="C8748" s="84">
        <f>'Warranty &amp; Maintenance'!X713</f>
        <v/>
      </c>
      <c r="D8748" s="46">
        <f>'Warranty &amp; Maintenance'!Y713</f>
        <v/>
      </c>
      <c r="E8748" s="46">
        <f>IF(OR(B8748="",C8748="",D8748=""),"",D8748*100000+(C8748-DATE(2000,1,1))+ROW()/100000)</f>
        <v/>
      </c>
      <c r="F8748" s="46">
        <f>IF(E8748="","",IF(C8748&gt;WeekEndDate,"",E8748))</f>
        <v/>
      </c>
    </row>
    <row r="8749">
      <c r="A8749" t="inlineStr">
        <is>
          <t>Warranty &amp; Maintenance</t>
        </is>
      </c>
      <c r="B8749" s="46">
        <f>'Warranty &amp; Maintenance'!Z714</f>
        <v/>
      </c>
      <c r="C8749" s="84">
        <f>'Warranty &amp; Maintenance'!X714</f>
        <v/>
      </c>
      <c r="D8749" s="46">
        <f>'Warranty &amp; Maintenance'!Y714</f>
        <v/>
      </c>
      <c r="E8749" s="46">
        <f>IF(OR(B8749="",C8749="",D8749=""),"",D8749*100000+(C8749-DATE(2000,1,1))+ROW()/100000)</f>
        <v/>
      </c>
      <c r="F8749" s="46">
        <f>IF(E8749="","",IF(C8749&gt;WeekEndDate,"",E8749))</f>
        <v/>
      </c>
    </row>
    <row r="8750">
      <c r="A8750" t="inlineStr">
        <is>
          <t>Warranty &amp; Maintenance</t>
        </is>
      </c>
      <c r="B8750" s="46">
        <f>'Warranty &amp; Maintenance'!Z715</f>
        <v/>
      </c>
      <c r="C8750" s="84">
        <f>'Warranty &amp; Maintenance'!X715</f>
        <v/>
      </c>
      <c r="D8750" s="46">
        <f>'Warranty &amp; Maintenance'!Y715</f>
        <v/>
      </c>
      <c r="E8750" s="46">
        <f>IF(OR(B8750="",C8750="",D8750=""),"",D8750*100000+(C8750-DATE(2000,1,1))+ROW()/100000)</f>
        <v/>
      </c>
      <c r="F8750" s="46">
        <f>IF(E8750="","",IF(C8750&gt;WeekEndDate,"",E8750))</f>
        <v/>
      </c>
    </row>
    <row r="8751">
      <c r="A8751" t="inlineStr">
        <is>
          <t>Warranty &amp; Maintenance</t>
        </is>
      </c>
      <c r="B8751" s="46">
        <f>'Warranty &amp; Maintenance'!Z716</f>
        <v/>
      </c>
      <c r="C8751" s="84">
        <f>'Warranty &amp; Maintenance'!X716</f>
        <v/>
      </c>
      <c r="D8751" s="46">
        <f>'Warranty &amp; Maintenance'!Y716</f>
        <v/>
      </c>
      <c r="E8751" s="46">
        <f>IF(OR(B8751="",C8751="",D8751=""),"",D8751*100000+(C8751-DATE(2000,1,1))+ROW()/100000)</f>
        <v/>
      </c>
      <c r="F8751" s="46">
        <f>IF(E8751="","",IF(C8751&gt;WeekEndDate,"",E8751))</f>
        <v/>
      </c>
    </row>
    <row r="8752">
      <c r="A8752" t="inlineStr">
        <is>
          <t>Warranty &amp; Maintenance</t>
        </is>
      </c>
      <c r="B8752" s="46">
        <f>'Warranty &amp; Maintenance'!Z717</f>
        <v/>
      </c>
      <c r="C8752" s="84">
        <f>'Warranty &amp; Maintenance'!X717</f>
        <v/>
      </c>
      <c r="D8752" s="46">
        <f>'Warranty &amp; Maintenance'!Y717</f>
        <v/>
      </c>
      <c r="E8752" s="46">
        <f>IF(OR(B8752="",C8752="",D8752=""),"",D8752*100000+(C8752-DATE(2000,1,1))+ROW()/100000)</f>
        <v/>
      </c>
      <c r="F8752" s="46">
        <f>IF(E8752="","",IF(C8752&gt;WeekEndDate,"",E8752))</f>
        <v/>
      </c>
    </row>
    <row r="8753">
      <c r="A8753" t="inlineStr">
        <is>
          <t>Warranty &amp; Maintenance</t>
        </is>
      </c>
      <c r="B8753" s="46">
        <f>'Warranty &amp; Maintenance'!Z718</f>
        <v/>
      </c>
      <c r="C8753" s="84">
        <f>'Warranty &amp; Maintenance'!X718</f>
        <v/>
      </c>
      <c r="D8753" s="46">
        <f>'Warranty &amp; Maintenance'!Y718</f>
        <v/>
      </c>
      <c r="E8753" s="46">
        <f>IF(OR(B8753="",C8753="",D8753=""),"",D8753*100000+(C8753-DATE(2000,1,1))+ROW()/100000)</f>
        <v/>
      </c>
      <c r="F8753" s="46">
        <f>IF(E8753="","",IF(C8753&gt;WeekEndDate,"",E8753))</f>
        <v/>
      </c>
    </row>
    <row r="8754">
      <c r="A8754" t="inlineStr">
        <is>
          <t>Warranty &amp; Maintenance</t>
        </is>
      </c>
      <c r="B8754" s="46">
        <f>'Warranty &amp; Maintenance'!Z719</f>
        <v/>
      </c>
      <c r="C8754" s="84">
        <f>'Warranty &amp; Maintenance'!X719</f>
        <v/>
      </c>
      <c r="D8754" s="46">
        <f>'Warranty &amp; Maintenance'!Y719</f>
        <v/>
      </c>
      <c r="E8754" s="46">
        <f>IF(OR(B8754="",C8754="",D8754=""),"",D8754*100000+(C8754-DATE(2000,1,1))+ROW()/100000)</f>
        <v/>
      </c>
      <c r="F8754" s="46">
        <f>IF(E8754="","",IF(C8754&gt;WeekEndDate,"",E8754))</f>
        <v/>
      </c>
    </row>
    <row r="8755">
      <c r="A8755" t="inlineStr">
        <is>
          <t>Warranty &amp; Maintenance</t>
        </is>
      </c>
      <c r="B8755" s="46">
        <f>'Warranty &amp; Maintenance'!Z720</f>
        <v/>
      </c>
      <c r="C8755" s="84">
        <f>'Warranty &amp; Maintenance'!X720</f>
        <v/>
      </c>
      <c r="D8755" s="46">
        <f>'Warranty &amp; Maintenance'!Y720</f>
        <v/>
      </c>
      <c r="E8755" s="46">
        <f>IF(OR(B8755="",C8755="",D8755=""),"",D8755*100000+(C8755-DATE(2000,1,1))+ROW()/100000)</f>
        <v/>
      </c>
      <c r="F8755" s="46">
        <f>IF(E8755="","",IF(C8755&gt;WeekEndDate,"",E8755))</f>
        <v/>
      </c>
    </row>
    <row r="8756">
      <c r="A8756" t="inlineStr">
        <is>
          <t>Warranty &amp; Maintenance</t>
        </is>
      </c>
      <c r="B8756" s="46">
        <f>'Warranty &amp; Maintenance'!Z721</f>
        <v/>
      </c>
      <c r="C8756" s="84">
        <f>'Warranty &amp; Maintenance'!X721</f>
        <v/>
      </c>
      <c r="D8756" s="46">
        <f>'Warranty &amp; Maintenance'!Y721</f>
        <v/>
      </c>
      <c r="E8756" s="46">
        <f>IF(OR(B8756="",C8756="",D8756=""),"",D8756*100000+(C8756-DATE(2000,1,1))+ROW()/100000)</f>
        <v/>
      </c>
      <c r="F8756" s="46">
        <f>IF(E8756="","",IF(C8756&gt;WeekEndDate,"",E8756))</f>
        <v/>
      </c>
    </row>
    <row r="8757">
      <c r="A8757" t="inlineStr">
        <is>
          <t>Warranty &amp; Maintenance</t>
        </is>
      </c>
      <c r="B8757" s="46">
        <f>'Warranty &amp; Maintenance'!Z722</f>
        <v/>
      </c>
      <c r="C8757" s="84">
        <f>'Warranty &amp; Maintenance'!X722</f>
        <v/>
      </c>
      <c r="D8757" s="46">
        <f>'Warranty &amp; Maintenance'!Y722</f>
        <v/>
      </c>
      <c r="E8757" s="46">
        <f>IF(OR(B8757="",C8757="",D8757=""),"",D8757*100000+(C8757-DATE(2000,1,1))+ROW()/100000)</f>
        <v/>
      </c>
      <c r="F8757" s="46">
        <f>IF(E8757="","",IF(C8757&gt;WeekEndDate,"",E8757))</f>
        <v/>
      </c>
    </row>
    <row r="8758">
      <c r="A8758" t="inlineStr">
        <is>
          <t>Warranty &amp; Maintenance</t>
        </is>
      </c>
      <c r="B8758" s="46">
        <f>'Warranty &amp; Maintenance'!Z723</f>
        <v/>
      </c>
      <c r="C8758" s="84">
        <f>'Warranty &amp; Maintenance'!X723</f>
        <v/>
      </c>
      <c r="D8758" s="46">
        <f>'Warranty &amp; Maintenance'!Y723</f>
        <v/>
      </c>
      <c r="E8758" s="46">
        <f>IF(OR(B8758="",C8758="",D8758=""),"",D8758*100000+(C8758-DATE(2000,1,1))+ROW()/100000)</f>
        <v/>
      </c>
      <c r="F8758" s="46">
        <f>IF(E8758="","",IF(C8758&gt;WeekEndDate,"",E8758))</f>
        <v/>
      </c>
    </row>
    <row r="8759">
      <c r="A8759" t="inlineStr">
        <is>
          <t>Warranty &amp; Maintenance</t>
        </is>
      </c>
      <c r="B8759" s="46">
        <f>'Warranty &amp; Maintenance'!Z724</f>
        <v/>
      </c>
      <c r="C8759" s="84">
        <f>'Warranty &amp; Maintenance'!X724</f>
        <v/>
      </c>
      <c r="D8759" s="46">
        <f>'Warranty &amp; Maintenance'!Y724</f>
        <v/>
      </c>
      <c r="E8759" s="46">
        <f>IF(OR(B8759="",C8759="",D8759=""),"",D8759*100000+(C8759-DATE(2000,1,1))+ROW()/100000)</f>
        <v/>
      </c>
      <c r="F8759" s="46">
        <f>IF(E8759="","",IF(C8759&gt;WeekEndDate,"",E8759))</f>
        <v/>
      </c>
    </row>
    <row r="8760">
      <c r="A8760" t="inlineStr">
        <is>
          <t>Warranty &amp; Maintenance</t>
        </is>
      </c>
      <c r="B8760" s="46">
        <f>'Warranty &amp; Maintenance'!Z725</f>
        <v/>
      </c>
      <c r="C8760" s="84">
        <f>'Warranty &amp; Maintenance'!X725</f>
        <v/>
      </c>
      <c r="D8760" s="46">
        <f>'Warranty &amp; Maintenance'!Y725</f>
        <v/>
      </c>
      <c r="E8760" s="46">
        <f>IF(OR(B8760="",C8760="",D8760=""),"",D8760*100000+(C8760-DATE(2000,1,1))+ROW()/100000)</f>
        <v/>
      </c>
      <c r="F8760" s="46">
        <f>IF(E8760="","",IF(C8760&gt;WeekEndDate,"",E8760))</f>
        <v/>
      </c>
    </row>
    <row r="8761">
      <c r="A8761" t="inlineStr">
        <is>
          <t>Warranty &amp; Maintenance</t>
        </is>
      </c>
      <c r="B8761" s="46">
        <f>'Warranty &amp; Maintenance'!Z726</f>
        <v/>
      </c>
      <c r="C8761" s="84">
        <f>'Warranty &amp; Maintenance'!X726</f>
        <v/>
      </c>
      <c r="D8761" s="46">
        <f>'Warranty &amp; Maintenance'!Y726</f>
        <v/>
      </c>
      <c r="E8761" s="46">
        <f>IF(OR(B8761="",C8761="",D8761=""),"",D8761*100000+(C8761-DATE(2000,1,1))+ROW()/100000)</f>
        <v/>
      </c>
      <c r="F8761" s="46">
        <f>IF(E8761="","",IF(C8761&gt;WeekEndDate,"",E8761))</f>
        <v/>
      </c>
    </row>
    <row r="8762">
      <c r="A8762" t="inlineStr">
        <is>
          <t>Warranty &amp; Maintenance</t>
        </is>
      </c>
      <c r="B8762" s="46">
        <f>'Warranty &amp; Maintenance'!Z727</f>
        <v/>
      </c>
      <c r="C8762" s="84">
        <f>'Warranty &amp; Maintenance'!X727</f>
        <v/>
      </c>
      <c r="D8762" s="46">
        <f>'Warranty &amp; Maintenance'!Y727</f>
        <v/>
      </c>
      <c r="E8762" s="46">
        <f>IF(OR(B8762="",C8762="",D8762=""),"",D8762*100000+(C8762-DATE(2000,1,1))+ROW()/100000)</f>
        <v/>
      </c>
      <c r="F8762" s="46">
        <f>IF(E8762="","",IF(C8762&gt;WeekEndDate,"",E8762))</f>
        <v/>
      </c>
    </row>
    <row r="8763">
      <c r="A8763" t="inlineStr">
        <is>
          <t>Warranty &amp; Maintenance</t>
        </is>
      </c>
      <c r="B8763" s="46">
        <f>'Warranty &amp; Maintenance'!Z728</f>
        <v/>
      </c>
      <c r="C8763" s="84">
        <f>'Warranty &amp; Maintenance'!X728</f>
        <v/>
      </c>
      <c r="D8763" s="46">
        <f>'Warranty &amp; Maintenance'!Y728</f>
        <v/>
      </c>
      <c r="E8763" s="46">
        <f>IF(OR(B8763="",C8763="",D8763=""),"",D8763*100000+(C8763-DATE(2000,1,1))+ROW()/100000)</f>
        <v/>
      </c>
      <c r="F8763" s="46">
        <f>IF(E8763="","",IF(C8763&gt;WeekEndDate,"",E8763))</f>
        <v/>
      </c>
    </row>
    <row r="8764">
      <c r="A8764" t="inlineStr">
        <is>
          <t>Warranty &amp; Maintenance</t>
        </is>
      </c>
      <c r="B8764" s="46">
        <f>'Warranty &amp; Maintenance'!Z729</f>
        <v/>
      </c>
      <c r="C8764" s="84">
        <f>'Warranty &amp; Maintenance'!X729</f>
        <v/>
      </c>
      <c r="D8764" s="46">
        <f>'Warranty &amp; Maintenance'!Y729</f>
        <v/>
      </c>
      <c r="E8764" s="46">
        <f>IF(OR(B8764="",C8764="",D8764=""),"",D8764*100000+(C8764-DATE(2000,1,1))+ROW()/100000)</f>
        <v/>
      </c>
      <c r="F8764" s="46">
        <f>IF(E8764="","",IF(C8764&gt;WeekEndDate,"",E8764))</f>
        <v/>
      </c>
    </row>
    <row r="8765">
      <c r="A8765" t="inlineStr">
        <is>
          <t>Warranty &amp; Maintenance</t>
        </is>
      </c>
      <c r="B8765" s="46">
        <f>'Warranty &amp; Maintenance'!Z730</f>
        <v/>
      </c>
      <c r="C8765" s="84">
        <f>'Warranty &amp; Maintenance'!X730</f>
        <v/>
      </c>
      <c r="D8765" s="46">
        <f>'Warranty &amp; Maintenance'!Y730</f>
        <v/>
      </c>
      <c r="E8765" s="46">
        <f>IF(OR(B8765="",C8765="",D8765=""),"",D8765*100000+(C8765-DATE(2000,1,1))+ROW()/100000)</f>
        <v/>
      </c>
      <c r="F8765" s="46">
        <f>IF(E8765="","",IF(C8765&gt;WeekEndDate,"",E8765))</f>
        <v/>
      </c>
    </row>
    <row r="8766">
      <c r="A8766" t="inlineStr">
        <is>
          <t>Warranty &amp; Maintenance</t>
        </is>
      </c>
      <c r="B8766" s="46">
        <f>'Warranty &amp; Maintenance'!Z731</f>
        <v/>
      </c>
      <c r="C8766" s="84">
        <f>'Warranty &amp; Maintenance'!X731</f>
        <v/>
      </c>
      <c r="D8766" s="46">
        <f>'Warranty &amp; Maintenance'!Y731</f>
        <v/>
      </c>
      <c r="E8766" s="46">
        <f>IF(OR(B8766="",C8766="",D8766=""),"",D8766*100000+(C8766-DATE(2000,1,1))+ROW()/100000)</f>
        <v/>
      </c>
      <c r="F8766" s="46">
        <f>IF(E8766="","",IF(C8766&gt;WeekEndDate,"",E8766))</f>
        <v/>
      </c>
    </row>
    <row r="8767">
      <c r="A8767" t="inlineStr">
        <is>
          <t>Warranty &amp; Maintenance</t>
        </is>
      </c>
      <c r="B8767" s="46">
        <f>'Warranty &amp; Maintenance'!Z732</f>
        <v/>
      </c>
      <c r="C8767" s="84">
        <f>'Warranty &amp; Maintenance'!X732</f>
        <v/>
      </c>
      <c r="D8767" s="46">
        <f>'Warranty &amp; Maintenance'!Y732</f>
        <v/>
      </c>
      <c r="E8767" s="46">
        <f>IF(OR(B8767="",C8767="",D8767=""),"",D8767*100000+(C8767-DATE(2000,1,1))+ROW()/100000)</f>
        <v/>
      </c>
      <c r="F8767" s="46">
        <f>IF(E8767="","",IF(C8767&gt;WeekEndDate,"",E8767))</f>
        <v/>
      </c>
    </row>
    <row r="8768">
      <c r="A8768" t="inlineStr">
        <is>
          <t>Warranty &amp; Maintenance</t>
        </is>
      </c>
      <c r="B8768" s="46">
        <f>'Warranty &amp; Maintenance'!Z733</f>
        <v/>
      </c>
      <c r="C8768" s="84">
        <f>'Warranty &amp; Maintenance'!X733</f>
        <v/>
      </c>
      <c r="D8768" s="46">
        <f>'Warranty &amp; Maintenance'!Y733</f>
        <v/>
      </c>
      <c r="E8768" s="46">
        <f>IF(OR(B8768="",C8768="",D8768=""),"",D8768*100000+(C8768-DATE(2000,1,1))+ROW()/100000)</f>
        <v/>
      </c>
      <c r="F8768" s="46">
        <f>IF(E8768="","",IF(C8768&gt;WeekEndDate,"",E8768))</f>
        <v/>
      </c>
    </row>
    <row r="8769">
      <c r="A8769" t="inlineStr">
        <is>
          <t>Warranty &amp; Maintenance</t>
        </is>
      </c>
      <c r="B8769" s="46">
        <f>'Warranty &amp; Maintenance'!Z734</f>
        <v/>
      </c>
      <c r="C8769" s="84">
        <f>'Warranty &amp; Maintenance'!X734</f>
        <v/>
      </c>
      <c r="D8769" s="46">
        <f>'Warranty &amp; Maintenance'!Y734</f>
        <v/>
      </c>
      <c r="E8769" s="46">
        <f>IF(OR(B8769="",C8769="",D8769=""),"",D8769*100000+(C8769-DATE(2000,1,1))+ROW()/100000)</f>
        <v/>
      </c>
      <c r="F8769" s="46">
        <f>IF(E8769="","",IF(C8769&gt;WeekEndDate,"",E8769))</f>
        <v/>
      </c>
    </row>
    <row r="8770">
      <c r="A8770" t="inlineStr">
        <is>
          <t>Warranty &amp; Maintenance</t>
        </is>
      </c>
      <c r="B8770" s="46">
        <f>'Warranty &amp; Maintenance'!Z735</f>
        <v/>
      </c>
      <c r="C8770" s="84">
        <f>'Warranty &amp; Maintenance'!X735</f>
        <v/>
      </c>
      <c r="D8770" s="46">
        <f>'Warranty &amp; Maintenance'!Y735</f>
        <v/>
      </c>
      <c r="E8770" s="46">
        <f>IF(OR(B8770="",C8770="",D8770=""),"",D8770*100000+(C8770-DATE(2000,1,1))+ROW()/100000)</f>
        <v/>
      </c>
      <c r="F8770" s="46">
        <f>IF(E8770="","",IF(C8770&gt;WeekEndDate,"",E8770))</f>
        <v/>
      </c>
    </row>
    <row r="8771">
      <c r="A8771" t="inlineStr">
        <is>
          <t>Warranty &amp; Maintenance</t>
        </is>
      </c>
      <c r="B8771" s="46">
        <f>'Warranty &amp; Maintenance'!Z736</f>
        <v/>
      </c>
      <c r="C8771" s="84">
        <f>'Warranty &amp; Maintenance'!X736</f>
        <v/>
      </c>
      <c r="D8771" s="46">
        <f>'Warranty &amp; Maintenance'!Y736</f>
        <v/>
      </c>
      <c r="E8771" s="46">
        <f>IF(OR(B8771="",C8771="",D8771=""),"",D8771*100000+(C8771-DATE(2000,1,1))+ROW()/100000)</f>
        <v/>
      </c>
      <c r="F8771" s="46">
        <f>IF(E8771="","",IF(C8771&gt;WeekEndDate,"",E8771))</f>
        <v/>
      </c>
    </row>
    <row r="8772">
      <c r="A8772" t="inlineStr">
        <is>
          <t>Warranty &amp; Maintenance</t>
        </is>
      </c>
      <c r="B8772" s="46">
        <f>'Warranty &amp; Maintenance'!Z737</f>
        <v/>
      </c>
      <c r="C8772" s="84">
        <f>'Warranty &amp; Maintenance'!X737</f>
        <v/>
      </c>
      <c r="D8772" s="46">
        <f>'Warranty &amp; Maintenance'!Y737</f>
        <v/>
      </c>
      <c r="E8772" s="46">
        <f>IF(OR(B8772="",C8772="",D8772=""),"",D8772*100000+(C8772-DATE(2000,1,1))+ROW()/100000)</f>
        <v/>
      </c>
      <c r="F8772" s="46">
        <f>IF(E8772="","",IF(C8772&gt;WeekEndDate,"",E8772))</f>
        <v/>
      </c>
    </row>
    <row r="8773">
      <c r="A8773" t="inlineStr">
        <is>
          <t>Warranty &amp; Maintenance</t>
        </is>
      </c>
      <c r="B8773" s="46">
        <f>'Warranty &amp; Maintenance'!Z738</f>
        <v/>
      </c>
      <c r="C8773" s="84">
        <f>'Warranty &amp; Maintenance'!X738</f>
        <v/>
      </c>
      <c r="D8773" s="46">
        <f>'Warranty &amp; Maintenance'!Y738</f>
        <v/>
      </c>
      <c r="E8773" s="46">
        <f>IF(OR(B8773="",C8773="",D8773=""),"",D8773*100000+(C8773-DATE(2000,1,1))+ROW()/100000)</f>
        <v/>
      </c>
      <c r="F8773" s="46">
        <f>IF(E8773="","",IF(C8773&gt;WeekEndDate,"",E8773))</f>
        <v/>
      </c>
    </row>
    <row r="8774">
      <c r="A8774" t="inlineStr">
        <is>
          <t>Warranty &amp; Maintenance</t>
        </is>
      </c>
      <c r="B8774" s="46">
        <f>'Warranty &amp; Maintenance'!Z739</f>
        <v/>
      </c>
      <c r="C8774" s="84">
        <f>'Warranty &amp; Maintenance'!X739</f>
        <v/>
      </c>
      <c r="D8774" s="46">
        <f>'Warranty &amp; Maintenance'!Y739</f>
        <v/>
      </c>
      <c r="E8774" s="46">
        <f>IF(OR(B8774="",C8774="",D8774=""),"",D8774*100000+(C8774-DATE(2000,1,1))+ROW()/100000)</f>
        <v/>
      </c>
      <c r="F8774" s="46">
        <f>IF(E8774="","",IF(C8774&gt;WeekEndDate,"",E8774))</f>
        <v/>
      </c>
    </row>
    <row r="8775">
      <c r="A8775" t="inlineStr">
        <is>
          <t>Warranty &amp; Maintenance</t>
        </is>
      </c>
      <c r="B8775" s="46">
        <f>'Warranty &amp; Maintenance'!Z740</f>
        <v/>
      </c>
      <c r="C8775" s="84">
        <f>'Warranty &amp; Maintenance'!X740</f>
        <v/>
      </c>
      <c r="D8775" s="46">
        <f>'Warranty &amp; Maintenance'!Y740</f>
        <v/>
      </c>
      <c r="E8775" s="46">
        <f>IF(OR(B8775="",C8775="",D8775=""),"",D8775*100000+(C8775-DATE(2000,1,1))+ROW()/100000)</f>
        <v/>
      </c>
      <c r="F8775" s="46">
        <f>IF(E8775="","",IF(C8775&gt;WeekEndDate,"",E8775))</f>
        <v/>
      </c>
    </row>
    <row r="8776">
      <c r="A8776" t="inlineStr">
        <is>
          <t>Warranty &amp; Maintenance</t>
        </is>
      </c>
      <c r="B8776" s="46">
        <f>'Warranty &amp; Maintenance'!Z741</f>
        <v/>
      </c>
      <c r="C8776" s="84">
        <f>'Warranty &amp; Maintenance'!X741</f>
        <v/>
      </c>
      <c r="D8776" s="46">
        <f>'Warranty &amp; Maintenance'!Y741</f>
        <v/>
      </c>
      <c r="E8776" s="46">
        <f>IF(OR(B8776="",C8776="",D8776=""),"",D8776*100000+(C8776-DATE(2000,1,1))+ROW()/100000)</f>
        <v/>
      </c>
      <c r="F8776" s="46">
        <f>IF(E8776="","",IF(C8776&gt;WeekEndDate,"",E8776))</f>
        <v/>
      </c>
    </row>
    <row r="8777">
      <c r="A8777" t="inlineStr">
        <is>
          <t>Warranty &amp; Maintenance</t>
        </is>
      </c>
      <c r="B8777" s="46">
        <f>'Warranty &amp; Maintenance'!Z742</f>
        <v/>
      </c>
      <c r="C8777" s="84">
        <f>'Warranty &amp; Maintenance'!X742</f>
        <v/>
      </c>
      <c r="D8777" s="46">
        <f>'Warranty &amp; Maintenance'!Y742</f>
        <v/>
      </c>
      <c r="E8777" s="46">
        <f>IF(OR(B8777="",C8777="",D8777=""),"",D8777*100000+(C8777-DATE(2000,1,1))+ROW()/100000)</f>
        <v/>
      </c>
      <c r="F8777" s="46">
        <f>IF(E8777="","",IF(C8777&gt;WeekEndDate,"",E8777))</f>
        <v/>
      </c>
    </row>
    <row r="8778">
      <c r="A8778" t="inlineStr">
        <is>
          <t>Warranty &amp; Maintenance</t>
        </is>
      </c>
      <c r="B8778" s="46">
        <f>'Warranty &amp; Maintenance'!Z743</f>
        <v/>
      </c>
      <c r="C8778" s="84">
        <f>'Warranty &amp; Maintenance'!X743</f>
        <v/>
      </c>
      <c r="D8778" s="46">
        <f>'Warranty &amp; Maintenance'!Y743</f>
        <v/>
      </c>
      <c r="E8778" s="46">
        <f>IF(OR(B8778="",C8778="",D8778=""),"",D8778*100000+(C8778-DATE(2000,1,1))+ROW()/100000)</f>
        <v/>
      </c>
      <c r="F8778" s="46">
        <f>IF(E8778="","",IF(C8778&gt;WeekEndDate,"",E8778))</f>
        <v/>
      </c>
    </row>
    <row r="8779">
      <c r="A8779" t="inlineStr">
        <is>
          <t>Warranty &amp; Maintenance</t>
        </is>
      </c>
      <c r="B8779" s="46">
        <f>'Warranty &amp; Maintenance'!Z744</f>
        <v/>
      </c>
      <c r="C8779" s="84">
        <f>'Warranty &amp; Maintenance'!X744</f>
        <v/>
      </c>
      <c r="D8779" s="46">
        <f>'Warranty &amp; Maintenance'!Y744</f>
        <v/>
      </c>
      <c r="E8779" s="46">
        <f>IF(OR(B8779="",C8779="",D8779=""),"",D8779*100000+(C8779-DATE(2000,1,1))+ROW()/100000)</f>
        <v/>
      </c>
      <c r="F8779" s="46">
        <f>IF(E8779="","",IF(C8779&gt;WeekEndDate,"",E8779))</f>
        <v/>
      </c>
    </row>
    <row r="8780">
      <c r="A8780" t="inlineStr">
        <is>
          <t>Warranty &amp; Maintenance</t>
        </is>
      </c>
      <c r="B8780" s="46">
        <f>'Warranty &amp; Maintenance'!Z745</f>
        <v/>
      </c>
      <c r="C8780" s="84">
        <f>'Warranty &amp; Maintenance'!X745</f>
        <v/>
      </c>
      <c r="D8780" s="46">
        <f>'Warranty &amp; Maintenance'!Y745</f>
        <v/>
      </c>
      <c r="E8780" s="46">
        <f>IF(OR(B8780="",C8780="",D8780=""),"",D8780*100000+(C8780-DATE(2000,1,1))+ROW()/100000)</f>
        <v/>
      </c>
      <c r="F8780" s="46">
        <f>IF(E8780="","",IF(C8780&gt;WeekEndDate,"",E8780))</f>
        <v/>
      </c>
    </row>
    <row r="8781">
      <c r="A8781" t="inlineStr">
        <is>
          <t>Warranty &amp; Maintenance</t>
        </is>
      </c>
      <c r="B8781" s="46">
        <f>'Warranty &amp; Maintenance'!Z746</f>
        <v/>
      </c>
      <c r="C8781" s="84">
        <f>'Warranty &amp; Maintenance'!X746</f>
        <v/>
      </c>
      <c r="D8781" s="46">
        <f>'Warranty &amp; Maintenance'!Y746</f>
        <v/>
      </c>
      <c r="E8781" s="46">
        <f>IF(OR(B8781="",C8781="",D8781=""),"",D8781*100000+(C8781-DATE(2000,1,1))+ROW()/100000)</f>
        <v/>
      </c>
      <c r="F8781" s="46">
        <f>IF(E8781="","",IF(C8781&gt;WeekEndDate,"",E8781))</f>
        <v/>
      </c>
    </row>
    <row r="8782">
      <c r="A8782" t="inlineStr">
        <is>
          <t>Warranty &amp; Maintenance</t>
        </is>
      </c>
      <c r="B8782" s="46">
        <f>'Warranty &amp; Maintenance'!Z747</f>
        <v/>
      </c>
      <c r="C8782" s="84">
        <f>'Warranty &amp; Maintenance'!X747</f>
        <v/>
      </c>
      <c r="D8782" s="46">
        <f>'Warranty &amp; Maintenance'!Y747</f>
        <v/>
      </c>
      <c r="E8782" s="46">
        <f>IF(OR(B8782="",C8782="",D8782=""),"",D8782*100000+(C8782-DATE(2000,1,1))+ROW()/100000)</f>
        <v/>
      </c>
      <c r="F8782" s="46">
        <f>IF(E8782="","",IF(C8782&gt;WeekEndDate,"",E8782))</f>
        <v/>
      </c>
    </row>
    <row r="8783">
      <c r="A8783" t="inlineStr">
        <is>
          <t>Warranty &amp; Maintenance</t>
        </is>
      </c>
      <c r="B8783" s="46">
        <f>'Warranty &amp; Maintenance'!Z748</f>
        <v/>
      </c>
      <c r="C8783" s="84">
        <f>'Warranty &amp; Maintenance'!X748</f>
        <v/>
      </c>
      <c r="D8783" s="46">
        <f>'Warranty &amp; Maintenance'!Y748</f>
        <v/>
      </c>
      <c r="E8783" s="46">
        <f>IF(OR(B8783="",C8783="",D8783=""),"",D8783*100000+(C8783-DATE(2000,1,1))+ROW()/100000)</f>
        <v/>
      </c>
      <c r="F8783" s="46">
        <f>IF(E8783="","",IF(C8783&gt;WeekEndDate,"",E8783))</f>
        <v/>
      </c>
    </row>
    <row r="8784">
      <c r="A8784" t="inlineStr">
        <is>
          <t>Warranty &amp; Maintenance</t>
        </is>
      </c>
      <c r="B8784" s="46">
        <f>'Warranty &amp; Maintenance'!Z749</f>
        <v/>
      </c>
      <c r="C8784" s="84">
        <f>'Warranty &amp; Maintenance'!X749</f>
        <v/>
      </c>
      <c r="D8784" s="46">
        <f>'Warranty &amp; Maintenance'!Y749</f>
        <v/>
      </c>
      <c r="E8784" s="46">
        <f>IF(OR(B8784="",C8784="",D8784=""),"",D8784*100000+(C8784-DATE(2000,1,1))+ROW()/100000)</f>
        <v/>
      </c>
      <c r="F8784" s="46">
        <f>IF(E8784="","",IF(C8784&gt;WeekEndDate,"",E8784))</f>
        <v/>
      </c>
    </row>
    <row r="8785">
      <c r="A8785" t="inlineStr">
        <is>
          <t>Warranty &amp; Maintenance</t>
        </is>
      </c>
      <c r="B8785" s="46">
        <f>'Warranty &amp; Maintenance'!Z750</f>
        <v/>
      </c>
      <c r="C8785" s="84">
        <f>'Warranty &amp; Maintenance'!X750</f>
        <v/>
      </c>
      <c r="D8785" s="46">
        <f>'Warranty &amp; Maintenance'!Y750</f>
        <v/>
      </c>
      <c r="E8785" s="46">
        <f>IF(OR(B8785="",C8785="",D8785=""),"",D8785*100000+(C8785-DATE(2000,1,1))+ROW()/100000)</f>
        <v/>
      </c>
      <c r="F8785" s="46">
        <f>IF(E8785="","",IF(C8785&gt;WeekEndDate,"",E8785))</f>
        <v/>
      </c>
    </row>
    <row r="8786">
      <c r="A8786" t="inlineStr">
        <is>
          <t>Warranty &amp; Maintenance</t>
        </is>
      </c>
      <c r="B8786" s="46">
        <f>'Warranty &amp; Maintenance'!Z751</f>
        <v/>
      </c>
      <c r="C8786" s="84">
        <f>'Warranty &amp; Maintenance'!X751</f>
        <v/>
      </c>
      <c r="D8786" s="46">
        <f>'Warranty &amp; Maintenance'!Y751</f>
        <v/>
      </c>
      <c r="E8786" s="46">
        <f>IF(OR(B8786="",C8786="",D8786=""),"",D8786*100000+(C8786-DATE(2000,1,1))+ROW()/100000)</f>
        <v/>
      </c>
      <c r="F8786" s="46">
        <f>IF(E8786="","",IF(C8786&gt;WeekEndDate,"",E8786))</f>
        <v/>
      </c>
    </row>
    <row r="8787">
      <c r="A8787" t="inlineStr">
        <is>
          <t>Warranty &amp; Maintenance</t>
        </is>
      </c>
      <c r="B8787" s="46">
        <f>'Warranty &amp; Maintenance'!Z752</f>
        <v/>
      </c>
      <c r="C8787" s="84">
        <f>'Warranty &amp; Maintenance'!X752</f>
        <v/>
      </c>
      <c r="D8787" s="46">
        <f>'Warranty &amp; Maintenance'!Y752</f>
        <v/>
      </c>
      <c r="E8787" s="46">
        <f>IF(OR(B8787="",C8787="",D8787=""),"",D8787*100000+(C8787-DATE(2000,1,1))+ROW()/100000)</f>
        <v/>
      </c>
      <c r="F8787" s="46">
        <f>IF(E8787="","",IF(C8787&gt;WeekEndDate,"",E8787))</f>
        <v/>
      </c>
    </row>
    <row r="8788">
      <c r="A8788" t="inlineStr">
        <is>
          <t>Warranty &amp; Maintenance</t>
        </is>
      </c>
      <c r="B8788" s="46">
        <f>'Warranty &amp; Maintenance'!Z753</f>
        <v/>
      </c>
      <c r="C8788" s="84">
        <f>'Warranty &amp; Maintenance'!X753</f>
        <v/>
      </c>
      <c r="D8788" s="46">
        <f>'Warranty &amp; Maintenance'!Y753</f>
        <v/>
      </c>
      <c r="E8788" s="46">
        <f>IF(OR(B8788="",C8788="",D8788=""),"",D8788*100000+(C8788-DATE(2000,1,1))+ROW()/100000)</f>
        <v/>
      </c>
      <c r="F8788" s="46">
        <f>IF(E8788="","",IF(C8788&gt;WeekEndDate,"",E8788))</f>
        <v/>
      </c>
    </row>
    <row r="8789">
      <c r="A8789" t="inlineStr">
        <is>
          <t>Warranty &amp; Maintenance</t>
        </is>
      </c>
      <c r="B8789" s="46">
        <f>'Warranty &amp; Maintenance'!Z754</f>
        <v/>
      </c>
      <c r="C8789" s="84">
        <f>'Warranty &amp; Maintenance'!X754</f>
        <v/>
      </c>
      <c r="D8789" s="46">
        <f>'Warranty &amp; Maintenance'!Y754</f>
        <v/>
      </c>
      <c r="E8789" s="46">
        <f>IF(OR(B8789="",C8789="",D8789=""),"",D8789*100000+(C8789-DATE(2000,1,1))+ROW()/100000)</f>
        <v/>
      </c>
      <c r="F8789" s="46">
        <f>IF(E8789="","",IF(C8789&gt;WeekEndDate,"",E8789))</f>
        <v/>
      </c>
    </row>
    <row r="8790">
      <c r="A8790" t="inlineStr">
        <is>
          <t>Warranty &amp; Maintenance</t>
        </is>
      </c>
      <c r="B8790" s="46">
        <f>'Warranty &amp; Maintenance'!Z755</f>
        <v/>
      </c>
      <c r="C8790" s="84">
        <f>'Warranty &amp; Maintenance'!X755</f>
        <v/>
      </c>
      <c r="D8790" s="46">
        <f>'Warranty &amp; Maintenance'!Y755</f>
        <v/>
      </c>
      <c r="E8790" s="46">
        <f>IF(OR(B8790="",C8790="",D8790=""),"",D8790*100000+(C8790-DATE(2000,1,1))+ROW()/100000)</f>
        <v/>
      </c>
      <c r="F8790" s="46">
        <f>IF(E8790="","",IF(C8790&gt;WeekEndDate,"",E8790))</f>
        <v/>
      </c>
    </row>
    <row r="8791">
      <c r="A8791" t="inlineStr">
        <is>
          <t>Warranty &amp; Maintenance</t>
        </is>
      </c>
      <c r="B8791" s="46">
        <f>'Warranty &amp; Maintenance'!Z756</f>
        <v/>
      </c>
      <c r="C8791" s="84">
        <f>'Warranty &amp; Maintenance'!X756</f>
        <v/>
      </c>
      <c r="D8791" s="46">
        <f>'Warranty &amp; Maintenance'!Y756</f>
        <v/>
      </c>
      <c r="E8791" s="46">
        <f>IF(OR(B8791="",C8791="",D8791=""),"",D8791*100000+(C8791-DATE(2000,1,1))+ROW()/100000)</f>
        <v/>
      </c>
      <c r="F8791" s="46">
        <f>IF(E8791="","",IF(C8791&gt;WeekEndDate,"",E8791))</f>
        <v/>
      </c>
    </row>
    <row r="8792">
      <c r="A8792" t="inlineStr">
        <is>
          <t>Warranty &amp; Maintenance</t>
        </is>
      </c>
      <c r="B8792" s="46">
        <f>'Warranty &amp; Maintenance'!Z757</f>
        <v/>
      </c>
      <c r="C8792" s="84">
        <f>'Warranty &amp; Maintenance'!X757</f>
        <v/>
      </c>
      <c r="D8792" s="46">
        <f>'Warranty &amp; Maintenance'!Y757</f>
        <v/>
      </c>
      <c r="E8792" s="46">
        <f>IF(OR(B8792="",C8792="",D8792=""),"",D8792*100000+(C8792-DATE(2000,1,1))+ROW()/100000)</f>
        <v/>
      </c>
      <c r="F8792" s="46">
        <f>IF(E8792="","",IF(C8792&gt;WeekEndDate,"",E8792))</f>
        <v/>
      </c>
    </row>
    <row r="8793">
      <c r="A8793" t="inlineStr">
        <is>
          <t>Warranty &amp; Maintenance</t>
        </is>
      </c>
      <c r="B8793" s="46">
        <f>'Warranty &amp; Maintenance'!Z758</f>
        <v/>
      </c>
      <c r="C8793" s="84">
        <f>'Warranty &amp; Maintenance'!X758</f>
        <v/>
      </c>
      <c r="D8793" s="46">
        <f>'Warranty &amp; Maintenance'!Y758</f>
        <v/>
      </c>
      <c r="E8793" s="46">
        <f>IF(OR(B8793="",C8793="",D8793=""),"",D8793*100000+(C8793-DATE(2000,1,1))+ROW()/100000)</f>
        <v/>
      </c>
      <c r="F8793" s="46">
        <f>IF(E8793="","",IF(C8793&gt;WeekEndDate,"",E8793))</f>
        <v/>
      </c>
    </row>
    <row r="8794">
      <c r="A8794" t="inlineStr">
        <is>
          <t>Warranty &amp; Maintenance</t>
        </is>
      </c>
      <c r="B8794" s="46">
        <f>'Warranty &amp; Maintenance'!Z759</f>
        <v/>
      </c>
      <c r="C8794" s="84">
        <f>'Warranty &amp; Maintenance'!X759</f>
        <v/>
      </c>
      <c r="D8794" s="46">
        <f>'Warranty &amp; Maintenance'!Y759</f>
        <v/>
      </c>
      <c r="E8794" s="46">
        <f>IF(OR(B8794="",C8794="",D8794=""),"",D8794*100000+(C8794-DATE(2000,1,1))+ROW()/100000)</f>
        <v/>
      </c>
      <c r="F8794" s="46">
        <f>IF(E8794="","",IF(C8794&gt;WeekEndDate,"",E8794))</f>
        <v/>
      </c>
    </row>
    <row r="8795">
      <c r="A8795" t="inlineStr">
        <is>
          <t>Warranty &amp; Maintenance</t>
        </is>
      </c>
      <c r="B8795" s="46">
        <f>'Warranty &amp; Maintenance'!Z760</f>
        <v/>
      </c>
      <c r="C8795" s="84">
        <f>'Warranty &amp; Maintenance'!X760</f>
        <v/>
      </c>
      <c r="D8795" s="46">
        <f>'Warranty &amp; Maintenance'!Y760</f>
        <v/>
      </c>
      <c r="E8795" s="46">
        <f>IF(OR(B8795="",C8795="",D8795=""),"",D8795*100000+(C8795-DATE(2000,1,1))+ROW()/100000)</f>
        <v/>
      </c>
      <c r="F8795" s="46">
        <f>IF(E8795="","",IF(C8795&gt;WeekEndDate,"",E8795))</f>
        <v/>
      </c>
    </row>
    <row r="8796">
      <c r="A8796" t="inlineStr">
        <is>
          <t>Warranty &amp; Maintenance</t>
        </is>
      </c>
      <c r="B8796" s="46">
        <f>'Warranty &amp; Maintenance'!Z761</f>
        <v/>
      </c>
      <c r="C8796" s="84">
        <f>'Warranty &amp; Maintenance'!X761</f>
        <v/>
      </c>
      <c r="D8796" s="46">
        <f>'Warranty &amp; Maintenance'!Y761</f>
        <v/>
      </c>
      <c r="E8796" s="46">
        <f>IF(OR(B8796="",C8796="",D8796=""),"",D8796*100000+(C8796-DATE(2000,1,1))+ROW()/100000)</f>
        <v/>
      </c>
      <c r="F8796" s="46">
        <f>IF(E8796="","",IF(C8796&gt;WeekEndDate,"",E8796))</f>
        <v/>
      </c>
    </row>
    <row r="8797">
      <c r="A8797" t="inlineStr">
        <is>
          <t>Warranty &amp; Maintenance</t>
        </is>
      </c>
      <c r="B8797" s="46">
        <f>'Warranty &amp; Maintenance'!Z762</f>
        <v/>
      </c>
      <c r="C8797" s="84">
        <f>'Warranty &amp; Maintenance'!X762</f>
        <v/>
      </c>
      <c r="D8797" s="46">
        <f>'Warranty &amp; Maintenance'!Y762</f>
        <v/>
      </c>
      <c r="E8797" s="46">
        <f>IF(OR(B8797="",C8797="",D8797=""),"",D8797*100000+(C8797-DATE(2000,1,1))+ROW()/100000)</f>
        <v/>
      </c>
      <c r="F8797" s="46">
        <f>IF(E8797="","",IF(C8797&gt;WeekEndDate,"",E8797))</f>
        <v/>
      </c>
    </row>
    <row r="8798">
      <c r="A8798" t="inlineStr">
        <is>
          <t>Warranty &amp; Maintenance</t>
        </is>
      </c>
      <c r="B8798" s="46">
        <f>'Warranty &amp; Maintenance'!Z763</f>
        <v/>
      </c>
      <c r="C8798" s="84">
        <f>'Warranty &amp; Maintenance'!X763</f>
        <v/>
      </c>
      <c r="D8798" s="46">
        <f>'Warranty &amp; Maintenance'!Y763</f>
        <v/>
      </c>
      <c r="E8798" s="46">
        <f>IF(OR(B8798="",C8798="",D8798=""),"",D8798*100000+(C8798-DATE(2000,1,1))+ROW()/100000)</f>
        <v/>
      </c>
      <c r="F8798" s="46">
        <f>IF(E8798="","",IF(C8798&gt;WeekEndDate,"",E8798))</f>
        <v/>
      </c>
    </row>
    <row r="8799">
      <c r="A8799" t="inlineStr">
        <is>
          <t>Warranty &amp; Maintenance</t>
        </is>
      </c>
      <c r="B8799" s="46">
        <f>'Warranty &amp; Maintenance'!Z764</f>
        <v/>
      </c>
      <c r="C8799" s="84">
        <f>'Warranty &amp; Maintenance'!X764</f>
        <v/>
      </c>
      <c r="D8799" s="46">
        <f>'Warranty &amp; Maintenance'!Y764</f>
        <v/>
      </c>
      <c r="E8799" s="46">
        <f>IF(OR(B8799="",C8799="",D8799=""),"",D8799*100000+(C8799-DATE(2000,1,1))+ROW()/100000)</f>
        <v/>
      </c>
      <c r="F8799" s="46">
        <f>IF(E8799="","",IF(C8799&gt;WeekEndDate,"",E8799))</f>
        <v/>
      </c>
    </row>
    <row r="8800">
      <c r="A8800" t="inlineStr">
        <is>
          <t>Warranty &amp; Maintenance</t>
        </is>
      </c>
      <c r="B8800" s="46">
        <f>'Warranty &amp; Maintenance'!Z765</f>
        <v/>
      </c>
      <c r="C8800" s="84">
        <f>'Warranty &amp; Maintenance'!X765</f>
        <v/>
      </c>
      <c r="D8800" s="46">
        <f>'Warranty &amp; Maintenance'!Y765</f>
        <v/>
      </c>
      <c r="E8800" s="46">
        <f>IF(OR(B8800="",C8800="",D8800=""),"",D8800*100000+(C8800-DATE(2000,1,1))+ROW()/100000)</f>
        <v/>
      </c>
      <c r="F8800" s="46">
        <f>IF(E8800="","",IF(C8800&gt;WeekEndDate,"",E8800))</f>
        <v/>
      </c>
    </row>
    <row r="8801">
      <c r="A8801" t="inlineStr">
        <is>
          <t>Warranty &amp; Maintenance</t>
        </is>
      </c>
      <c r="B8801" s="46">
        <f>'Warranty &amp; Maintenance'!Z766</f>
        <v/>
      </c>
      <c r="C8801" s="84">
        <f>'Warranty &amp; Maintenance'!X766</f>
        <v/>
      </c>
      <c r="D8801" s="46">
        <f>'Warranty &amp; Maintenance'!Y766</f>
        <v/>
      </c>
      <c r="E8801" s="46">
        <f>IF(OR(B8801="",C8801="",D8801=""),"",D8801*100000+(C8801-DATE(2000,1,1))+ROW()/100000)</f>
        <v/>
      </c>
      <c r="F8801" s="46">
        <f>IF(E8801="","",IF(C8801&gt;WeekEndDate,"",E8801))</f>
        <v/>
      </c>
    </row>
    <row r="8802">
      <c r="A8802" t="inlineStr">
        <is>
          <t>Warranty &amp; Maintenance</t>
        </is>
      </c>
      <c r="B8802" s="46">
        <f>'Warranty &amp; Maintenance'!Z767</f>
        <v/>
      </c>
      <c r="C8802" s="84">
        <f>'Warranty &amp; Maintenance'!X767</f>
        <v/>
      </c>
      <c r="D8802" s="46">
        <f>'Warranty &amp; Maintenance'!Y767</f>
        <v/>
      </c>
      <c r="E8802" s="46">
        <f>IF(OR(B8802="",C8802="",D8802=""),"",D8802*100000+(C8802-DATE(2000,1,1))+ROW()/100000)</f>
        <v/>
      </c>
      <c r="F8802" s="46">
        <f>IF(E8802="","",IF(C8802&gt;WeekEndDate,"",E8802))</f>
        <v/>
      </c>
    </row>
    <row r="8803">
      <c r="A8803" t="inlineStr">
        <is>
          <t>Warranty &amp; Maintenance</t>
        </is>
      </c>
      <c r="B8803" s="46">
        <f>'Warranty &amp; Maintenance'!Z768</f>
        <v/>
      </c>
      <c r="C8803" s="84">
        <f>'Warranty &amp; Maintenance'!X768</f>
        <v/>
      </c>
      <c r="D8803" s="46">
        <f>'Warranty &amp; Maintenance'!Y768</f>
        <v/>
      </c>
      <c r="E8803" s="46">
        <f>IF(OR(B8803="",C8803="",D8803=""),"",D8803*100000+(C8803-DATE(2000,1,1))+ROW()/100000)</f>
        <v/>
      </c>
      <c r="F8803" s="46">
        <f>IF(E8803="","",IF(C8803&gt;WeekEndDate,"",E8803))</f>
        <v/>
      </c>
    </row>
    <row r="8804">
      <c r="A8804" t="inlineStr">
        <is>
          <t>Warranty &amp; Maintenance</t>
        </is>
      </c>
      <c r="B8804" s="46">
        <f>'Warranty &amp; Maintenance'!Z769</f>
        <v/>
      </c>
      <c r="C8804" s="84">
        <f>'Warranty &amp; Maintenance'!X769</f>
        <v/>
      </c>
      <c r="D8804" s="46">
        <f>'Warranty &amp; Maintenance'!Y769</f>
        <v/>
      </c>
      <c r="E8804" s="46">
        <f>IF(OR(B8804="",C8804="",D8804=""),"",D8804*100000+(C8804-DATE(2000,1,1))+ROW()/100000)</f>
        <v/>
      </c>
      <c r="F8804" s="46">
        <f>IF(E8804="","",IF(C8804&gt;WeekEndDate,"",E8804))</f>
        <v/>
      </c>
    </row>
    <row r="8805">
      <c r="A8805" t="inlineStr">
        <is>
          <t>Warranty &amp; Maintenance</t>
        </is>
      </c>
      <c r="B8805" s="46">
        <f>'Warranty &amp; Maintenance'!Z770</f>
        <v/>
      </c>
      <c r="C8805" s="84">
        <f>'Warranty &amp; Maintenance'!X770</f>
        <v/>
      </c>
      <c r="D8805" s="46">
        <f>'Warranty &amp; Maintenance'!Y770</f>
        <v/>
      </c>
      <c r="E8805" s="46">
        <f>IF(OR(B8805="",C8805="",D8805=""),"",D8805*100000+(C8805-DATE(2000,1,1))+ROW()/100000)</f>
        <v/>
      </c>
      <c r="F8805" s="46">
        <f>IF(E8805="","",IF(C8805&gt;WeekEndDate,"",E8805))</f>
        <v/>
      </c>
    </row>
    <row r="8806">
      <c r="A8806" t="inlineStr">
        <is>
          <t>Warranty &amp; Maintenance</t>
        </is>
      </c>
      <c r="B8806" s="46">
        <f>'Warranty &amp; Maintenance'!Z771</f>
        <v/>
      </c>
      <c r="C8806" s="84">
        <f>'Warranty &amp; Maintenance'!X771</f>
        <v/>
      </c>
      <c r="D8806" s="46">
        <f>'Warranty &amp; Maintenance'!Y771</f>
        <v/>
      </c>
      <c r="E8806" s="46">
        <f>IF(OR(B8806="",C8806="",D8806=""),"",D8806*100000+(C8806-DATE(2000,1,1))+ROW()/100000)</f>
        <v/>
      </c>
      <c r="F8806" s="46">
        <f>IF(E8806="","",IF(C8806&gt;WeekEndDate,"",E8806))</f>
        <v/>
      </c>
    </row>
    <row r="8807">
      <c r="A8807" t="inlineStr">
        <is>
          <t>Warranty &amp; Maintenance</t>
        </is>
      </c>
      <c r="B8807" s="46">
        <f>'Warranty &amp; Maintenance'!Z772</f>
        <v/>
      </c>
      <c r="C8807" s="84">
        <f>'Warranty &amp; Maintenance'!X772</f>
        <v/>
      </c>
      <c r="D8807" s="46">
        <f>'Warranty &amp; Maintenance'!Y772</f>
        <v/>
      </c>
      <c r="E8807" s="46">
        <f>IF(OR(B8807="",C8807="",D8807=""),"",D8807*100000+(C8807-DATE(2000,1,1))+ROW()/100000)</f>
        <v/>
      </c>
      <c r="F8807" s="46">
        <f>IF(E8807="","",IF(C8807&gt;WeekEndDate,"",E8807))</f>
        <v/>
      </c>
    </row>
    <row r="8808">
      <c r="A8808" t="inlineStr">
        <is>
          <t>Warranty &amp; Maintenance</t>
        </is>
      </c>
      <c r="B8808" s="46">
        <f>'Warranty &amp; Maintenance'!Z773</f>
        <v/>
      </c>
      <c r="C8808" s="84">
        <f>'Warranty &amp; Maintenance'!X773</f>
        <v/>
      </c>
      <c r="D8808" s="46">
        <f>'Warranty &amp; Maintenance'!Y773</f>
        <v/>
      </c>
      <c r="E8808" s="46">
        <f>IF(OR(B8808="",C8808="",D8808=""),"",D8808*100000+(C8808-DATE(2000,1,1))+ROW()/100000)</f>
        <v/>
      </c>
      <c r="F8808" s="46">
        <f>IF(E8808="","",IF(C8808&gt;WeekEndDate,"",E8808))</f>
        <v/>
      </c>
    </row>
    <row r="8809">
      <c r="A8809" t="inlineStr">
        <is>
          <t>Warranty &amp; Maintenance</t>
        </is>
      </c>
      <c r="B8809" s="46">
        <f>'Warranty &amp; Maintenance'!Z774</f>
        <v/>
      </c>
      <c r="C8809" s="84">
        <f>'Warranty &amp; Maintenance'!X774</f>
        <v/>
      </c>
      <c r="D8809" s="46">
        <f>'Warranty &amp; Maintenance'!Y774</f>
        <v/>
      </c>
      <c r="E8809" s="46">
        <f>IF(OR(B8809="",C8809="",D8809=""),"",D8809*100000+(C8809-DATE(2000,1,1))+ROW()/100000)</f>
        <v/>
      </c>
      <c r="F8809" s="46">
        <f>IF(E8809="","",IF(C8809&gt;WeekEndDate,"",E8809))</f>
        <v/>
      </c>
    </row>
    <row r="8810">
      <c r="A8810" t="inlineStr">
        <is>
          <t>Warranty &amp; Maintenance</t>
        </is>
      </c>
      <c r="B8810" s="46">
        <f>'Warranty &amp; Maintenance'!Z775</f>
        <v/>
      </c>
      <c r="C8810" s="84">
        <f>'Warranty &amp; Maintenance'!X775</f>
        <v/>
      </c>
      <c r="D8810" s="46">
        <f>'Warranty &amp; Maintenance'!Y775</f>
        <v/>
      </c>
      <c r="E8810" s="46">
        <f>IF(OR(B8810="",C8810="",D8810=""),"",D8810*100000+(C8810-DATE(2000,1,1))+ROW()/100000)</f>
        <v/>
      </c>
      <c r="F8810" s="46">
        <f>IF(E8810="","",IF(C8810&gt;WeekEndDate,"",E8810))</f>
        <v/>
      </c>
    </row>
    <row r="8811">
      <c r="A8811" t="inlineStr">
        <is>
          <t>Warranty &amp; Maintenance</t>
        </is>
      </c>
      <c r="B8811" s="46">
        <f>'Warranty &amp; Maintenance'!Z776</f>
        <v/>
      </c>
      <c r="C8811" s="84">
        <f>'Warranty &amp; Maintenance'!X776</f>
        <v/>
      </c>
      <c r="D8811" s="46">
        <f>'Warranty &amp; Maintenance'!Y776</f>
        <v/>
      </c>
      <c r="E8811" s="46">
        <f>IF(OR(B8811="",C8811="",D8811=""),"",D8811*100000+(C8811-DATE(2000,1,1))+ROW()/100000)</f>
        <v/>
      </c>
      <c r="F8811" s="46">
        <f>IF(E8811="","",IF(C8811&gt;WeekEndDate,"",E8811))</f>
        <v/>
      </c>
    </row>
    <row r="8812">
      <c r="A8812" t="inlineStr">
        <is>
          <t>Warranty &amp; Maintenance</t>
        </is>
      </c>
      <c r="B8812" s="46">
        <f>'Warranty &amp; Maintenance'!Z777</f>
        <v/>
      </c>
      <c r="C8812" s="84">
        <f>'Warranty &amp; Maintenance'!X777</f>
        <v/>
      </c>
      <c r="D8812" s="46">
        <f>'Warranty &amp; Maintenance'!Y777</f>
        <v/>
      </c>
      <c r="E8812" s="46">
        <f>IF(OR(B8812="",C8812="",D8812=""),"",D8812*100000+(C8812-DATE(2000,1,1))+ROW()/100000)</f>
        <v/>
      </c>
      <c r="F8812" s="46">
        <f>IF(E8812="","",IF(C8812&gt;WeekEndDate,"",E8812))</f>
        <v/>
      </c>
    </row>
    <row r="8813">
      <c r="A8813" t="inlineStr">
        <is>
          <t>Warranty &amp; Maintenance</t>
        </is>
      </c>
      <c r="B8813" s="46">
        <f>'Warranty &amp; Maintenance'!Z778</f>
        <v/>
      </c>
      <c r="C8813" s="84">
        <f>'Warranty &amp; Maintenance'!X778</f>
        <v/>
      </c>
      <c r="D8813" s="46">
        <f>'Warranty &amp; Maintenance'!Y778</f>
        <v/>
      </c>
      <c r="E8813" s="46">
        <f>IF(OR(B8813="",C8813="",D8813=""),"",D8813*100000+(C8813-DATE(2000,1,1))+ROW()/100000)</f>
        <v/>
      </c>
      <c r="F8813" s="46">
        <f>IF(E8813="","",IF(C8813&gt;WeekEndDate,"",E8813))</f>
        <v/>
      </c>
    </row>
    <row r="8814">
      <c r="A8814" t="inlineStr">
        <is>
          <t>Warranty &amp; Maintenance</t>
        </is>
      </c>
      <c r="B8814" s="46">
        <f>'Warranty &amp; Maintenance'!Z779</f>
        <v/>
      </c>
      <c r="C8814" s="84">
        <f>'Warranty &amp; Maintenance'!X779</f>
        <v/>
      </c>
      <c r="D8814" s="46">
        <f>'Warranty &amp; Maintenance'!Y779</f>
        <v/>
      </c>
      <c r="E8814" s="46">
        <f>IF(OR(B8814="",C8814="",D8814=""),"",D8814*100000+(C8814-DATE(2000,1,1))+ROW()/100000)</f>
        <v/>
      </c>
      <c r="F8814" s="46">
        <f>IF(E8814="","",IF(C8814&gt;WeekEndDate,"",E8814))</f>
        <v/>
      </c>
    </row>
    <row r="8815">
      <c r="A8815" t="inlineStr">
        <is>
          <t>Warranty &amp; Maintenance</t>
        </is>
      </c>
      <c r="B8815" s="46">
        <f>'Warranty &amp; Maintenance'!Z780</f>
        <v/>
      </c>
      <c r="C8815" s="84">
        <f>'Warranty &amp; Maintenance'!X780</f>
        <v/>
      </c>
      <c r="D8815" s="46">
        <f>'Warranty &amp; Maintenance'!Y780</f>
        <v/>
      </c>
      <c r="E8815" s="46">
        <f>IF(OR(B8815="",C8815="",D8815=""),"",D8815*100000+(C8815-DATE(2000,1,1))+ROW()/100000)</f>
        <v/>
      </c>
      <c r="F8815" s="46">
        <f>IF(E8815="","",IF(C8815&gt;WeekEndDate,"",E8815))</f>
        <v/>
      </c>
    </row>
    <row r="8816">
      <c r="A8816" t="inlineStr">
        <is>
          <t>Warranty &amp; Maintenance</t>
        </is>
      </c>
      <c r="B8816" s="46">
        <f>'Warranty &amp; Maintenance'!Z781</f>
        <v/>
      </c>
      <c r="C8816" s="84">
        <f>'Warranty &amp; Maintenance'!X781</f>
        <v/>
      </c>
      <c r="D8816" s="46">
        <f>'Warranty &amp; Maintenance'!Y781</f>
        <v/>
      </c>
      <c r="E8816" s="46">
        <f>IF(OR(B8816="",C8816="",D8816=""),"",D8816*100000+(C8816-DATE(2000,1,1))+ROW()/100000)</f>
        <v/>
      </c>
      <c r="F8816" s="46">
        <f>IF(E8816="","",IF(C8816&gt;WeekEndDate,"",E8816))</f>
        <v/>
      </c>
    </row>
    <row r="8817">
      <c r="A8817" t="inlineStr">
        <is>
          <t>Warranty &amp; Maintenance</t>
        </is>
      </c>
      <c r="B8817" s="46">
        <f>'Warranty &amp; Maintenance'!Z782</f>
        <v/>
      </c>
      <c r="C8817" s="84">
        <f>'Warranty &amp; Maintenance'!X782</f>
        <v/>
      </c>
      <c r="D8817" s="46">
        <f>'Warranty &amp; Maintenance'!Y782</f>
        <v/>
      </c>
      <c r="E8817" s="46">
        <f>IF(OR(B8817="",C8817="",D8817=""),"",D8817*100000+(C8817-DATE(2000,1,1))+ROW()/100000)</f>
        <v/>
      </c>
      <c r="F8817" s="46">
        <f>IF(E8817="","",IF(C8817&gt;WeekEndDate,"",E8817))</f>
        <v/>
      </c>
    </row>
    <row r="8818">
      <c r="A8818" t="inlineStr">
        <is>
          <t>Warranty &amp; Maintenance</t>
        </is>
      </c>
      <c r="B8818" s="46">
        <f>'Warranty &amp; Maintenance'!Z783</f>
        <v/>
      </c>
      <c r="C8818" s="84">
        <f>'Warranty &amp; Maintenance'!X783</f>
        <v/>
      </c>
      <c r="D8818" s="46">
        <f>'Warranty &amp; Maintenance'!Y783</f>
        <v/>
      </c>
      <c r="E8818" s="46">
        <f>IF(OR(B8818="",C8818="",D8818=""),"",D8818*100000+(C8818-DATE(2000,1,1))+ROW()/100000)</f>
        <v/>
      </c>
      <c r="F8818" s="46">
        <f>IF(E8818="","",IF(C8818&gt;WeekEndDate,"",E8818))</f>
        <v/>
      </c>
    </row>
    <row r="8819">
      <c r="A8819" t="inlineStr">
        <is>
          <t>Warranty &amp; Maintenance</t>
        </is>
      </c>
      <c r="B8819" s="46">
        <f>'Warranty &amp; Maintenance'!Z784</f>
        <v/>
      </c>
      <c r="C8819" s="84">
        <f>'Warranty &amp; Maintenance'!X784</f>
        <v/>
      </c>
      <c r="D8819" s="46">
        <f>'Warranty &amp; Maintenance'!Y784</f>
        <v/>
      </c>
      <c r="E8819" s="46">
        <f>IF(OR(B8819="",C8819="",D8819=""),"",D8819*100000+(C8819-DATE(2000,1,1))+ROW()/100000)</f>
        <v/>
      </c>
      <c r="F8819" s="46">
        <f>IF(E8819="","",IF(C8819&gt;WeekEndDate,"",E8819))</f>
        <v/>
      </c>
    </row>
    <row r="8820">
      <c r="A8820" t="inlineStr">
        <is>
          <t>Warranty &amp; Maintenance</t>
        </is>
      </c>
      <c r="B8820" s="46">
        <f>'Warranty &amp; Maintenance'!Z785</f>
        <v/>
      </c>
      <c r="C8820" s="84">
        <f>'Warranty &amp; Maintenance'!X785</f>
        <v/>
      </c>
      <c r="D8820" s="46">
        <f>'Warranty &amp; Maintenance'!Y785</f>
        <v/>
      </c>
      <c r="E8820" s="46">
        <f>IF(OR(B8820="",C8820="",D8820=""),"",D8820*100000+(C8820-DATE(2000,1,1))+ROW()/100000)</f>
        <v/>
      </c>
      <c r="F8820" s="46">
        <f>IF(E8820="","",IF(C8820&gt;WeekEndDate,"",E8820))</f>
        <v/>
      </c>
    </row>
    <row r="8821">
      <c r="A8821" t="inlineStr">
        <is>
          <t>Warranty &amp; Maintenance</t>
        </is>
      </c>
      <c r="B8821" s="46">
        <f>'Warranty &amp; Maintenance'!Z786</f>
        <v/>
      </c>
      <c r="C8821" s="84">
        <f>'Warranty &amp; Maintenance'!X786</f>
        <v/>
      </c>
      <c r="D8821" s="46">
        <f>'Warranty &amp; Maintenance'!Y786</f>
        <v/>
      </c>
      <c r="E8821" s="46">
        <f>IF(OR(B8821="",C8821="",D8821=""),"",D8821*100000+(C8821-DATE(2000,1,1))+ROW()/100000)</f>
        <v/>
      </c>
      <c r="F8821" s="46">
        <f>IF(E8821="","",IF(C8821&gt;WeekEndDate,"",E8821))</f>
        <v/>
      </c>
    </row>
    <row r="8822">
      <c r="A8822" t="inlineStr">
        <is>
          <t>Warranty &amp; Maintenance</t>
        </is>
      </c>
      <c r="B8822" s="46">
        <f>'Warranty &amp; Maintenance'!Z787</f>
        <v/>
      </c>
      <c r="C8822" s="84">
        <f>'Warranty &amp; Maintenance'!X787</f>
        <v/>
      </c>
      <c r="D8822" s="46">
        <f>'Warranty &amp; Maintenance'!Y787</f>
        <v/>
      </c>
      <c r="E8822" s="46">
        <f>IF(OR(B8822="",C8822="",D8822=""),"",D8822*100000+(C8822-DATE(2000,1,1))+ROW()/100000)</f>
        <v/>
      </c>
      <c r="F8822" s="46">
        <f>IF(E8822="","",IF(C8822&gt;WeekEndDate,"",E8822))</f>
        <v/>
      </c>
    </row>
    <row r="8823">
      <c r="A8823" t="inlineStr">
        <is>
          <t>Warranty &amp; Maintenance</t>
        </is>
      </c>
      <c r="B8823" s="46">
        <f>'Warranty &amp; Maintenance'!Z788</f>
        <v/>
      </c>
      <c r="C8823" s="84">
        <f>'Warranty &amp; Maintenance'!X788</f>
        <v/>
      </c>
      <c r="D8823" s="46">
        <f>'Warranty &amp; Maintenance'!Y788</f>
        <v/>
      </c>
      <c r="E8823" s="46">
        <f>IF(OR(B8823="",C8823="",D8823=""),"",D8823*100000+(C8823-DATE(2000,1,1))+ROW()/100000)</f>
        <v/>
      </c>
      <c r="F8823" s="46">
        <f>IF(E8823="","",IF(C8823&gt;WeekEndDate,"",E8823))</f>
        <v/>
      </c>
    </row>
    <row r="8824">
      <c r="A8824" t="inlineStr">
        <is>
          <t>Warranty &amp; Maintenance</t>
        </is>
      </c>
      <c r="B8824" s="46">
        <f>'Warranty &amp; Maintenance'!Z789</f>
        <v/>
      </c>
      <c r="C8824" s="84">
        <f>'Warranty &amp; Maintenance'!X789</f>
        <v/>
      </c>
      <c r="D8824" s="46">
        <f>'Warranty &amp; Maintenance'!Y789</f>
        <v/>
      </c>
      <c r="E8824" s="46">
        <f>IF(OR(B8824="",C8824="",D8824=""),"",D8824*100000+(C8824-DATE(2000,1,1))+ROW()/100000)</f>
        <v/>
      </c>
      <c r="F8824" s="46">
        <f>IF(E8824="","",IF(C8824&gt;WeekEndDate,"",E8824))</f>
        <v/>
      </c>
    </row>
    <row r="8825">
      <c r="A8825" t="inlineStr">
        <is>
          <t>Warranty &amp; Maintenance</t>
        </is>
      </c>
      <c r="B8825" s="46">
        <f>'Warranty &amp; Maintenance'!Z790</f>
        <v/>
      </c>
      <c r="C8825" s="84">
        <f>'Warranty &amp; Maintenance'!X790</f>
        <v/>
      </c>
      <c r="D8825" s="46">
        <f>'Warranty &amp; Maintenance'!Y790</f>
        <v/>
      </c>
      <c r="E8825" s="46">
        <f>IF(OR(B8825="",C8825="",D8825=""),"",D8825*100000+(C8825-DATE(2000,1,1))+ROW()/100000)</f>
        <v/>
      </c>
      <c r="F8825" s="46">
        <f>IF(E8825="","",IF(C8825&gt;WeekEndDate,"",E8825))</f>
        <v/>
      </c>
    </row>
    <row r="8826">
      <c r="A8826" t="inlineStr">
        <is>
          <t>Warranty &amp; Maintenance</t>
        </is>
      </c>
      <c r="B8826" s="46">
        <f>'Warranty &amp; Maintenance'!Z791</f>
        <v/>
      </c>
      <c r="C8826" s="84">
        <f>'Warranty &amp; Maintenance'!X791</f>
        <v/>
      </c>
      <c r="D8826" s="46">
        <f>'Warranty &amp; Maintenance'!Y791</f>
        <v/>
      </c>
      <c r="E8826" s="46">
        <f>IF(OR(B8826="",C8826="",D8826=""),"",D8826*100000+(C8826-DATE(2000,1,1))+ROW()/100000)</f>
        <v/>
      </c>
      <c r="F8826" s="46">
        <f>IF(E8826="","",IF(C8826&gt;WeekEndDate,"",E8826))</f>
        <v/>
      </c>
    </row>
    <row r="8827">
      <c r="A8827" t="inlineStr">
        <is>
          <t>Warranty &amp; Maintenance</t>
        </is>
      </c>
      <c r="B8827" s="46">
        <f>'Warranty &amp; Maintenance'!Z792</f>
        <v/>
      </c>
      <c r="C8827" s="84">
        <f>'Warranty &amp; Maintenance'!X792</f>
        <v/>
      </c>
      <c r="D8827" s="46">
        <f>'Warranty &amp; Maintenance'!Y792</f>
        <v/>
      </c>
      <c r="E8827" s="46">
        <f>IF(OR(B8827="",C8827="",D8827=""),"",D8827*100000+(C8827-DATE(2000,1,1))+ROW()/100000)</f>
        <v/>
      </c>
      <c r="F8827" s="46">
        <f>IF(E8827="","",IF(C8827&gt;WeekEndDate,"",E8827))</f>
        <v/>
      </c>
    </row>
    <row r="8828">
      <c r="A8828" t="inlineStr">
        <is>
          <t>Warranty &amp; Maintenance</t>
        </is>
      </c>
      <c r="B8828" s="46">
        <f>'Warranty &amp; Maintenance'!Z793</f>
        <v/>
      </c>
      <c r="C8828" s="84">
        <f>'Warranty &amp; Maintenance'!X793</f>
        <v/>
      </c>
      <c r="D8828" s="46">
        <f>'Warranty &amp; Maintenance'!Y793</f>
        <v/>
      </c>
      <c r="E8828" s="46">
        <f>IF(OR(B8828="",C8828="",D8828=""),"",D8828*100000+(C8828-DATE(2000,1,1))+ROW()/100000)</f>
        <v/>
      </c>
      <c r="F8828" s="46">
        <f>IF(E8828="","",IF(C8828&gt;WeekEndDate,"",E8828))</f>
        <v/>
      </c>
    </row>
    <row r="8829">
      <c r="A8829" t="inlineStr">
        <is>
          <t>Warranty &amp; Maintenance</t>
        </is>
      </c>
      <c r="B8829" s="46">
        <f>'Warranty &amp; Maintenance'!Z794</f>
        <v/>
      </c>
      <c r="C8829" s="84">
        <f>'Warranty &amp; Maintenance'!X794</f>
        <v/>
      </c>
      <c r="D8829" s="46">
        <f>'Warranty &amp; Maintenance'!Y794</f>
        <v/>
      </c>
      <c r="E8829" s="46">
        <f>IF(OR(B8829="",C8829="",D8829=""),"",D8829*100000+(C8829-DATE(2000,1,1))+ROW()/100000)</f>
        <v/>
      </c>
      <c r="F8829" s="46">
        <f>IF(E8829="","",IF(C8829&gt;WeekEndDate,"",E8829))</f>
        <v/>
      </c>
    </row>
    <row r="8830">
      <c r="A8830" t="inlineStr">
        <is>
          <t>Warranty &amp; Maintenance</t>
        </is>
      </c>
      <c r="B8830" s="46">
        <f>'Warranty &amp; Maintenance'!Z795</f>
        <v/>
      </c>
      <c r="C8830" s="84">
        <f>'Warranty &amp; Maintenance'!X795</f>
        <v/>
      </c>
      <c r="D8830" s="46">
        <f>'Warranty &amp; Maintenance'!Y795</f>
        <v/>
      </c>
      <c r="E8830" s="46">
        <f>IF(OR(B8830="",C8830="",D8830=""),"",D8830*100000+(C8830-DATE(2000,1,1))+ROW()/100000)</f>
        <v/>
      </c>
      <c r="F8830" s="46">
        <f>IF(E8830="","",IF(C8830&gt;WeekEndDate,"",E8830))</f>
        <v/>
      </c>
    </row>
    <row r="8831">
      <c r="A8831" t="inlineStr">
        <is>
          <t>Warranty &amp; Maintenance</t>
        </is>
      </c>
      <c r="B8831" s="46">
        <f>'Warranty &amp; Maintenance'!Z796</f>
        <v/>
      </c>
      <c r="C8831" s="84">
        <f>'Warranty &amp; Maintenance'!X796</f>
        <v/>
      </c>
      <c r="D8831" s="46">
        <f>'Warranty &amp; Maintenance'!Y796</f>
        <v/>
      </c>
      <c r="E8831" s="46">
        <f>IF(OR(B8831="",C8831="",D8831=""),"",D8831*100000+(C8831-DATE(2000,1,1))+ROW()/100000)</f>
        <v/>
      </c>
      <c r="F8831" s="46">
        <f>IF(E8831="","",IF(C8831&gt;WeekEndDate,"",E8831))</f>
        <v/>
      </c>
    </row>
    <row r="8832">
      <c r="A8832" t="inlineStr">
        <is>
          <t>Warranty &amp; Maintenance</t>
        </is>
      </c>
      <c r="B8832" s="46">
        <f>'Warranty &amp; Maintenance'!Z797</f>
        <v/>
      </c>
      <c r="C8832" s="84">
        <f>'Warranty &amp; Maintenance'!X797</f>
        <v/>
      </c>
      <c r="D8832" s="46">
        <f>'Warranty &amp; Maintenance'!Y797</f>
        <v/>
      </c>
      <c r="E8832" s="46">
        <f>IF(OR(B8832="",C8832="",D8832=""),"",D8832*100000+(C8832-DATE(2000,1,1))+ROW()/100000)</f>
        <v/>
      </c>
      <c r="F8832" s="46">
        <f>IF(E8832="","",IF(C8832&gt;WeekEndDate,"",E8832))</f>
        <v/>
      </c>
    </row>
    <row r="8833">
      <c r="A8833" t="inlineStr">
        <is>
          <t>Warranty &amp; Maintenance</t>
        </is>
      </c>
      <c r="B8833" s="46">
        <f>'Warranty &amp; Maintenance'!Z798</f>
        <v/>
      </c>
      <c r="C8833" s="84">
        <f>'Warranty &amp; Maintenance'!X798</f>
        <v/>
      </c>
      <c r="D8833" s="46">
        <f>'Warranty &amp; Maintenance'!Y798</f>
        <v/>
      </c>
      <c r="E8833" s="46">
        <f>IF(OR(B8833="",C8833="",D8833=""),"",D8833*100000+(C8833-DATE(2000,1,1))+ROW()/100000)</f>
        <v/>
      </c>
      <c r="F8833" s="46">
        <f>IF(E8833="","",IF(C8833&gt;WeekEndDate,"",E8833))</f>
        <v/>
      </c>
    </row>
    <row r="8834">
      <c r="A8834" t="inlineStr">
        <is>
          <t>Warranty &amp; Maintenance</t>
        </is>
      </c>
      <c r="B8834" s="46">
        <f>'Warranty &amp; Maintenance'!Z799</f>
        <v/>
      </c>
      <c r="C8834" s="84">
        <f>'Warranty &amp; Maintenance'!X799</f>
        <v/>
      </c>
      <c r="D8834" s="46">
        <f>'Warranty &amp; Maintenance'!Y799</f>
        <v/>
      </c>
      <c r="E8834" s="46">
        <f>IF(OR(B8834="",C8834="",D8834=""),"",D8834*100000+(C8834-DATE(2000,1,1))+ROW()/100000)</f>
        <v/>
      </c>
      <c r="F8834" s="46">
        <f>IF(E8834="","",IF(C8834&gt;WeekEndDate,"",E8834))</f>
        <v/>
      </c>
    </row>
    <row r="8835">
      <c r="A8835" t="inlineStr">
        <is>
          <t>Warranty &amp; Maintenance</t>
        </is>
      </c>
      <c r="B8835" s="46">
        <f>'Warranty &amp; Maintenance'!Z800</f>
        <v/>
      </c>
      <c r="C8835" s="84">
        <f>'Warranty &amp; Maintenance'!X800</f>
        <v/>
      </c>
      <c r="D8835" s="46">
        <f>'Warranty &amp; Maintenance'!Y800</f>
        <v/>
      </c>
      <c r="E8835" s="46">
        <f>IF(OR(B8835="",C8835="",D8835=""),"",D8835*100000+(C8835-DATE(2000,1,1))+ROW()/100000)</f>
        <v/>
      </c>
      <c r="F8835" s="46">
        <f>IF(E8835="","",IF(C8835&gt;WeekEndDate,"",E8835))</f>
        <v/>
      </c>
    </row>
    <row r="8836">
      <c r="A8836" t="inlineStr">
        <is>
          <t>Warranty &amp; Maintenance</t>
        </is>
      </c>
      <c r="B8836" s="46">
        <f>'Warranty &amp; Maintenance'!Z801</f>
        <v/>
      </c>
      <c r="C8836" s="84">
        <f>'Warranty &amp; Maintenance'!X801</f>
        <v/>
      </c>
      <c r="D8836" s="46">
        <f>'Warranty &amp; Maintenance'!Y801</f>
        <v/>
      </c>
      <c r="E8836" s="46">
        <f>IF(OR(B8836="",C8836="",D8836=""),"",D8836*100000+(C8836-DATE(2000,1,1))+ROW()/100000)</f>
        <v/>
      </c>
      <c r="F8836" s="46">
        <f>IF(E8836="","",IF(C8836&gt;WeekEndDate,"",E8836))</f>
        <v/>
      </c>
    </row>
    <row r="8837">
      <c r="A8837" t="inlineStr">
        <is>
          <t>Warranty &amp; Maintenance</t>
        </is>
      </c>
      <c r="B8837" s="46">
        <f>'Warranty &amp; Maintenance'!Z802</f>
        <v/>
      </c>
      <c r="C8837" s="84">
        <f>'Warranty &amp; Maintenance'!X802</f>
        <v/>
      </c>
      <c r="D8837" s="46">
        <f>'Warranty &amp; Maintenance'!Y802</f>
        <v/>
      </c>
      <c r="E8837" s="46">
        <f>IF(OR(B8837="",C8837="",D8837=""),"",D8837*100000+(C8837-DATE(2000,1,1))+ROW()/100000)</f>
        <v/>
      </c>
      <c r="F8837" s="46">
        <f>IF(E8837="","",IF(C8837&gt;WeekEndDate,"",E8837))</f>
        <v/>
      </c>
    </row>
    <row r="8838">
      <c r="A8838" t="inlineStr">
        <is>
          <t>Warranty &amp; Maintenance</t>
        </is>
      </c>
      <c r="B8838" s="46">
        <f>'Warranty &amp; Maintenance'!Z803</f>
        <v/>
      </c>
      <c r="C8838" s="84">
        <f>'Warranty &amp; Maintenance'!X803</f>
        <v/>
      </c>
      <c r="D8838" s="46">
        <f>'Warranty &amp; Maintenance'!Y803</f>
        <v/>
      </c>
      <c r="E8838" s="46">
        <f>IF(OR(B8838="",C8838="",D8838=""),"",D8838*100000+(C8838-DATE(2000,1,1))+ROW()/100000)</f>
        <v/>
      </c>
      <c r="F8838" s="46">
        <f>IF(E8838="","",IF(C8838&gt;WeekEndDate,"",E8838))</f>
        <v/>
      </c>
    </row>
    <row r="8839">
      <c r="A8839" t="inlineStr">
        <is>
          <t>Warranty &amp; Maintenance</t>
        </is>
      </c>
      <c r="B8839" s="46">
        <f>'Warranty &amp; Maintenance'!Z804</f>
        <v/>
      </c>
      <c r="C8839" s="84">
        <f>'Warranty &amp; Maintenance'!X804</f>
        <v/>
      </c>
      <c r="D8839" s="46">
        <f>'Warranty &amp; Maintenance'!Y804</f>
        <v/>
      </c>
      <c r="E8839" s="46">
        <f>IF(OR(B8839="",C8839="",D8839=""),"",D8839*100000+(C8839-DATE(2000,1,1))+ROW()/100000)</f>
        <v/>
      </c>
      <c r="F8839" s="46">
        <f>IF(E8839="","",IF(C8839&gt;WeekEndDate,"",E8839))</f>
        <v/>
      </c>
    </row>
    <row r="8840">
      <c r="A8840" t="inlineStr">
        <is>
          <t>Warranty &amp; Maintenance</t>
        </is>
      </c>
      <c r="B8840" s="46">
        <f>'Warranty &amp; Maintenance'!Z805</f>
        <v/>
      </c>
      <c r="C8840" s="84">
        <f>'Warranty &amp; Maintenance'!X805</f>
        <v/>
      </c>
      <c r="D8840" s="46">
        <f>'Warranty &amp; Maintenance'!Y805</f>
        <v/>
      </c>
      <c r="E8840" s="46">
        <f>IF(OR(B8840="",C8840="",D8840=""),"",D8840*100000+(C8840-DATE(2000,1,1))+ROW()/100000)</f>
        <v/>
      </c>
      <c r="F8840" s="46">
        <f>IF(E8840="","",IF(C8840&gt;WeekEndDate,"",E8840))</f>
        <v/>
      </c>
    </row>
    <row r="8841">
      <c r="A8841" t="inlineStr">
        <is>
          <t>Warranty &amp; Maintenance</t>
        </is>
      </c>
      <c r="B8841" s="46">
        <f>'Warranty &amp; Maintenance'!Z806</f>
        <v/>
      </c>
      <c r="C8841" s="84">
        <f>'Warranty &amp; Maintenance'!X806</f>
        <v/>
      </c>
      <c r="D8841" s="46">
        <f>'Warranty &amp; Maintenance'!Y806</f>
        <v/>
      </c>
      <c r="E8841" s="46">
        <f>IF(OR(B8841="",C8841="",D8841=""),"",D8841*100000+(C8841-DATE(2000,1,1))+ROW()/100000)</f>
        <v/>
      </c>
      <c r="F8841" s="46">
        <f>IF(E8841="","",IF(C8841&gt;WeekEndDate,"",E8841))</f>
        <v/>
      </c>
    </row>
    <row r="8842">
      <c r="A8842" t="inlineStr">
        <is>
          <t>Warranty &amp; Maintenance</t>
        </is>
      </c>
      <c r="B8842" s="46">
        <f>'Warranty &amp; Maintenance'!Z807</f>
        <v/>
      </c>
      <c r="C8842" s="84">
        <f>'Warranty &amp; Maintenance'!X807</f>
        <v/>
      </c>
      <c r="D8842" s="46">
        <f>'Warranty &amp; Maintenance'!Y807</f>
        <v/>
      </c>
      <c r="E8842" s="46">
        <f>IF(OR(B8842="",C8842="",D8842=""),"",D8842*100000+(C8842-DATE(2000,1,1))+ROW()/100000)</f>
        <v/>
      </c>
      <c r="F8842" s="46">
        <f>IF(E8842="","",IF(C8842&gt;WeekEndDate,"",E8842))</f>
        <v/>
      </c>
    </row>
    <row r="8843">
      <c r="A8843" t="inlineStr">
        <is>
          <t>Warranty &amp; Maintenance</t>
        </is>
      </c>
      <c r="B8843" s="46">
        <f>'Warranty &amp; Maintenance'!Z808</f>
        <v/>
      </c>
      <c r="C8843" s="84">
        <f>'Warranty &amp; Maintenance'!X808</f>
        <v/>
      </c>
      <c r="D8843" s="46">
        <f>'Warranty &amp; Maintenance'!Y808</f>
        <v/>
      </c>
      <c r="E8843" s="46">
        <f>IF(OR(B8843="",C8843="",D8843=""),"",D8843*100000+(C8843-DATE(2000,1,1))+ROW()/100000)</f>
        <v/>
      </c>
      <c r="F8843" s="46">
        <f>IF(E8843="","",IF(C8843&gt;WeekEndDate,"",E8843))</f>
        <v/>
      </c>
    </row>
    <row r="8844">
      <c r="A8844" t="inlineStr">
        <is>
          <t>Warranty &amp; Maintenance</t>
        </is>
      </c>
      <c r="B8844" s="46">
        <f>'Warranty &amp; Maintenance'!Z809</f>
        <v/>
      </c>
      <c r="C8844" s="84">
        <f>'Warranty &amp; Maintenance'!X809</f>
        <v/>
      </c>
      <c r="D8844" s="46">
        <f>'Warranty &amp; Maintenance'!Y809</f>
        <v/>
      </c>
      <c r="E8844" s="46">
        <f>IF(OR(B8844="",C8844="",D8844=""),"",D8844*100000+(C8844-DATE(2000,1,1))+ROW()/100000)</f>
        <v/>
      </c>
      <c r="F8844" s="46">
        <f>IF(E8844="","",IF(C8844&gt;WeekEndDate,"",E8844))</f>
        <v/>
      </c>
    </row>
    <row r="8845">
      <c r="A8845" t="inlineStr">
        <is>
          <t>Warranty &amp; Maintenance</t>
        </is>
      </c>
      <c r="B8845" s="46">
        <f>'Warranty &amp; Maintenance'!Z810</f>
        <v/>
      </c>
      <c r="C8845" s="84">
        <f>'Warranty &amp; Maintenance'!X810</f>
        <v/>
      </c>
      <c r="D8845" s="46">
        <f>'Warranty &amp; Maintenance'!Y810</f>
        <v/>
      </c>
      <c r="E8845" s="46">
        <f>IF(OR(B8845="",C8845="",D8845=""),"",D8845*100000+(C8845-DATE(2000,1,1))+ROW()/100000)</f>
        <v/>
      </c>
      <c r="F8845" s="46">
        <f>IF(E8845="","",IF(C8845&gt;WeekEndDate,"",E8845))</f>
        <v/>
      </c>
    </row>
    <row r="8846">
      <c r="A8846" t="inlineStr">
        <is>
          <t>Warranty &amp; Maintenance</t>
        </is>
      </c>
      <c r="B8846" s="46">
        <f>'Warranty &amp; Maintenance'!Z811</f>
        <v/>
      </c>
      <c r="C8846" s="84">
        <f>'Warranty &amp; Maintenance'!X811</f>
        <v/>
      </c>
      <c r="D8846" s="46">
        <f>'Warranty &amp; Maintenance'!Y811</f>
        <v/>
      </c>
      <c r="E8846" s="46">
        <f>IF(OR(B8846="",C8846="",D8846=""),"",D8846*100000+(C8846-DATE(2000,1,1))+ROW()/100000)</f>
        <v/>
      </c>
      <c r="F8846" s="46">
        <f>IF(E8846="","",IF(C8846&gt;WeekEndDate,"",E8846))</f>
        <v/>
      </c>
    </row>
    <row r="8847">
      <c r="A8847" t="inlineStr">
        <is>
          <t>Warranty &amp; Maintenance</t>
        </is>
      </c>
      <c r="B8847" s="46">
        <f>'Warranty &amp; Maintenance'!Z812</f>
        <v/>
      </c>
      <c r="C8847" s="84">
        <f>'Warranty &amp; Maintenance'!X812</f>
        <v/>
      </c>
      <c r="D8847" s="46">
        <f>'Warranty &amp; Maintenance'!Y812</f>
        <v/>
      </c>
      <c r="E8847" s="46">
        <f>IF(OR(B8847="",C8847="",D8847=""),"",D8847*100000+(C8847-DATE(2000,1,1))+ROW()/100000)</f>
        <v/>
      </c>
      <c r="F8847" s="46">
        <f>IF(E8847="","",IF(C8847&gt;WeekEndDate,"",E8847))</f>
        <v/>
      </c>
    </row>
    <row r="8848">
      <c r="A8848" t="inlineStr">
        <is>
          <t>Warranty &amp; Maintenance</t>
        </is>
      </c>
      <c r="B8848" s="46">
        <f>'Warranty &amp; Maintenance'!Z813</f>
        <v/>
      </c>
      <c r="C8848" s="84">
        <f>'Warranty &amp; Maintenance'!X813</f>
        <v/>
      </c>
      <c r="D8848" s="46">
        <f>'Warranty &amp; Maintenance'!Y813</f>
        <v/>
      </c>
      <c r="E8848" s="46">
        <f>IF(OR(B8848="",C8848="",D8848=""),"",D8848*100000+(C8848-DATE(2000,1,1))+ROW()/100000)</f>
        <v/>
      </c>
      <c r="F8848" s="46">
        <f>IF(E8848="","",IF(C8848&gt;WeekEndDate,"",E8848))</f>
        <v/>
      </c>
    </row>
    <row r="8849">
      <c r="A8849" t="inlineStr">
        <is>
          <t>Warranty &amp; Maintenance</t>
        </is>
      </c>
      <c r="B8849" s="46">
        <f>'Warranty &amp; Maintenance'!Z814</f>
        <v/>
      </c>
      <c r="C8849" s="84">
        <f>'Warranty &amp; Maintenance'!X814</f>
        <v/>
      </c>
      <c r="D8849" s="46">
        <f>'Warranty &amp; Maintenance'!Y814</f>
        <v/>
      </c>
      <c r="E8849" s="46">
        <f>IF(OR(B8849="",C8849="",D8849=""),"",D8849*100000+(C8849-DATE(2000,1,1))+ROW()/100000)</f>
        <v/>
      </c>
      <c r="F8849" s="46">
        <f>IF(E8849="","",IF(C8849&gt;WeekEndDate,"",E8849))</f>
        <v/>
      </c>
    </row>
    <row r="8850">
      <c r="A8850" t="inlineStr">
        <is>
          <t>Warranty &amp; Maintenance</t>
        </is>
      </c>
      <c r="B8850" s="46">
        <f>'Warranty &amp; Maintenance'!Z815</f>
        <v/>
      </c>
      <c r="C8850" s="84">
        <f>'Warranty &amp; Maintenance'!X815</f>
        <v/>
      </c>
      <c r="D8850" s="46">
        <f>'Warranty &amp; Maintenance'!Y815</f>
        <v/>
      </c>
      <c r="E8850" s="46">
        <f>IF(OR(B8850="",C8850="",D8850=""),"",D8850*100000+(C8850-DATE(2000,1,1))+ROW()/100000)</f>
        <v/>
      </c>
      <c r="F8850" s="46">
        <f>IF(E8850="","",IF(C8850&gt;WeekEndDate,"",E8850))</f>
        <v/>
      </c>
    </row>
    <row r="8851">
      <c r="A8851" t="inlineStr">
        <is>
          <t>Warranty &amp; Maintenance</t>
        </is>
      </c>
      <c r="B8851" s="46">
        <f>'Warranty &amp; Maintenance'!Z816</f>
        <v/>
      </c>
      <c r="C8851" s="84">
        <f>'Warranty &amp; Maintenance'!X816</f>
        <v/>
      </c>
      <c r="D8851" s="46">
        <f>'Warranty &amp; Maintenance'!Y816</f>
        <v/>
      </c>
      <c r="E8851" s="46">
        <f>IF(OR(B8851="",C8851="",D8851=""),"",D8851*100000+(C8851-DATE(2000,1,1))+ROW()/100000)</f>
        <v/>
      </c>
      <c r="F8851" s="46">
        <f>IF(E8851="","",IF(C8851&gt;WeekEndDate,"",E8851))</f>
        <v/>
      </c>
    </row>
    <row r="8852">
      <c r="A8852" t="inlineStr">
        <is>
          <t>Warranty &amp; Maintenance</t>
        </is>
      </c>
      <c r="B8852" s="46">
        <f>'Warranty &amp; Maintenance'!Z817</f>
        <v/>
      </c>
      <c r="C8852" s="84">
        <f>'Warranty &amp; Maintenance'!X817</f>
        <v/>
      </c>
      <c r="D8852" s="46">
        <f>'Warranty &amp; Maintenance'!Y817</f>
        <v/>
      </c>
      <c r="E8852" s="46">
        <f>IF(OR(B8852="",C8852="",D8852=""),"",D8852*100000+(C8852-DATE(2000,1,1))+ROW()/100000)</f>
        <v/>
      </c>
      <c r="F8852" s="46">
        <f>IF(E8852="","",IF(C8852&gt;WeekEndDate,"",E8852))</f>
        <v/>
      </c>
    </row>
    <row r="8853">
      <c r="A8853" t="inlineStr">
        <is>
          <t>Warranty &amp; Maintenance</t>
        </is>
      </c>
      <c r="B8853" s="46">
        <f>'Warranty &amp; Maintenance'!Z818</f>
        <v/>
      </c>
      <c r="C8853" s="84">
        <f>'Warranty &amp; Maintenance'!X818</f>
        <v/>
      </c>
      <c r="D8853" s="46">
        <f>'Warranty &amp; Maintenance'!Y818</f>
        <v/>
      </c>
      <c r="E8853" s="46">
        <f>IF(OR(B8853="",C8853="",D8853=""),"",D8853*100000+(C8853-DATE(2000,1,1))+ROW()/100000)</f>
        <v/>
      </c>
      <c r="F8853" s="46">
        <f>IF(E8853="","",IF(C8853&gt;WeekEndDate,"",E8853))</f>
        <v/>
      </c>
    </row>
    <row r="8854">
      <c r="A8854" t="inlineStr">
        <is>
          <t>Warranty &amp; Maintenance</t>
        </is>
      </c>
      <c r="B8854" s="46">
        <f>'Warranty &amp; Maintenance'!Z819</f>
        <v/>
      </c>
      <c r="C8854" s="84">
        <f>'Warranty &amp; Maintenance'!X819</f>
        <v/>
      </c>
      <c r="D8854" s="46">
        <f>'Warranty &amp; Maintenance'!Y819</f>
        <v/>
      </c>
      <c r="E8854" s="46">
        <f>IF(OR(B8854="",C8854="",D8854=""),"",D8854*100000+(C8854-DATE(2000,1,1))+ROW()/100000)</f>
        <v/>
      </c>
      <c r="F8854" s="46">
        <f>IF(E8854="","",IF(C8854&gt;WeekEndDate,"",E8854))</f>
        <v/>
      </c>
    </row>
    <row r="8855">
      <c r="A8855" t="inlineStr">
        <is>
          <t>Warranty &amp; Maintenance</t>
        </is>
      </c>
      <c r="B8855" s="46">
        <f>'Warranty &amp; Maintenance'!Z820</f>
        <v/>
      </c>
      <c r="C8855" s="84">
        <f>'Warranty &amp; Maintenance'!X820</f>
        <v/>
      </c>
      <c r="D8855" s="46">
        <f>'Warranty &amp; Maintenance'!Y820</f>
        <v/>
      </c>
      <c r="E8855" s="46">
        <f>IF(OR(B8855="",C8855="",D8855=""),"",D8855*100000+(C8855-DATE(2000,1,1))+ROW()/100000)</f>
        <v/>
      </c>
      <c r="F8855" s="46">
        <f>IF(E8855="","",IF(C8855&gt;WeekEndDate,"",E8855))</f>
        <v/>
      </c>
    </row>
    <row r="8856">
      <c r="A8856" t="inlineStr">
        <is>
          <t>Warranty &amp; Maintenance</t>
        </is>
      </c>
      <c r="B8856" s="46">
        <f>'Warranty &amp; Maintenance'!Z821</f>
        <v/>
      </c>
      <c r="C8856" s="84">
        <f>'Warranty &amp; Maintenance'!X821</f>
        <v/>
      </c>
      <c r="D8856" s="46">
        <f>'Warranty &amp; Maintenance'!Y821</f>
        <v/>
      </c>
      <c r="E8856" s="46">
        <f>IF(OR(B8856="",C8856="",D8856=""),"",D8856*100000+(C8856-DATE(2000,1,1))+ROW()/100000)</f>
        <v/>
      </c>
      <c r="F8856" s="46">
        <f>IF(E8856="","",IF(C8856&gt;WeekEndDate,"",E8856))</f>
        <v/>
      </c>
    </row>
    <row r="8857">
      <c r="A8857" t="inlineStr">
        <is>
          <t>Warranty &amp; Maintenance</t>
        </is>
      </c>
      <c r="B8857" s="46">
        <f>'Warranty &amp; Maintenance'!Z822</f>
        <v/>
      </c>
      <c r="C8857" s="84">
        <f>'Warranty &amp; Maintenance'!X822</f>
        <v/>
      </c>
      <c r="D8857" s="46">
        <f>'Warranty &amp; Maintenance'!Y822</f>
        <v/>
      </c>
      <c r="E8857" s="46">
        <f>IF(OR(B8857="",C8857="",D8857=""),"",D8857*100000+(C8857-DATE(2000,1,1))+ROW()/100000)</f>
        <v/>
      </c>
      <c r="F8857" s="46">
        <f>IF(E8857="","",IF(C8857&gt;WeekEndDate,"",E8857))</f>
        <v/>
      </c>
    </row>
    <row r="8858">
      <c r="A8858" t="inlineStr">
        <is>
          <t>Warranty &amp; Maintenance</t>
        </is>
      </c>
      <c r="B8858" s="46">
        <f>'Warranty &amp; Maintenance'!Z823</f>
        <v/>
      </c>
      <c r="C8858" s="84">
        <f>'Warranty &amp; Maintenance'!X823</f>
        <v/>
      </c>
      <c r="D8858" s="46">
        <f>'Warranty &amp; Maintenance'!Y823</f>
        <v/>
      </c>
      <c r="E8858" s="46">
        <f>IF(OR(B8858="",C8858="",D8858=""),"",D8858*100000+(C8858-DATE(2000,1,1))+ROW()/100000)</f>
        <v/>
      </c>
      <c r="F8858" s="46">
        <f>IF(E8858="","",IF(C8858&gt;WeekEndDate,"",E8858))</f>
        <v/>
      </c>
    </row>
    <row r="8859">
      <c r="A8859" t="inlineStr">
        <is>
          <t>Warranty &amp; Maintenance</t>
        </is>
      </c>
      <c r="B8859" s="46">
        <f>'Warranty &amp; Maintenance'!Z824</f>
        <v/>
      </c>
      <c r="C8859" s="84">
        <f>'Warranty &amp; Maintenance'!X824</f>
        <v/>
      </c>
      <c r="D8859" s="46">
        <f>'Warranty &amp; Maintenance'!Y824</f>
        <v/>
      </c>
      <c r="E8859" s="46">
        <f>IF(OR(B8859="",C8859="",D8859=""),"",D8859*100000+(C8859-DATE(2000,1,1))+ROW()/100000)</f>
        <v/>
      </c>
      <c r="F8859" s="46">
        <f>IF(E8859="","",IF(C8859&gt;WeekEndDate,"",E8859))</f>
        <v/>
      </c>
    </row>
    <row r="8860">
      <c r="A8860" t="inlineStr">
        <is>
          <t>Warranty &amp; Maintenance</t>
        </is>
      </c>
      <c r="B8860" s="46">
        <f>'Warranty &amp; Maintenance'!Z825</f>
        <v/>
      </c>
      <c r="C8860" s="84">
        <f>'Warranty &amp; Maintenance'!X825</f>
        <v/>
      </c>
      <c r="D8860" s="46">
        <f>'Warranty &amp; Maintenance'!Y825</f>
        <v/>
      </c>
      <c r="E8860" s="46">
        <f>IF(OR(B8860="",C8860="",D8860=""),"",D8860*100000+(C8860-DATE(2000,1,1))+ROW()/100000)</f>
        <v/>
      </c>
      <c r="F8860" s="46">
        <f>IF(E8860="","",IF(C8860&gt;WeekEndDate,"",E8860))</f>
        <v/>
      </c>
    </row>
    <row r="8861">
      <c r="A8861" t="inlineStr">
        <is>
          <t>Warranty &amp; Maintenance</t>
        </is>
      </c>
      <c r="B8861" s="46">
        <f>'Warranty &amp; Maintenance'!Z826</f>
        <v/>
      </c>
      <c r="C8861" s="84">
        <f>'Warranty &amp; Maintenance'!X826</f>
        <v/>
      </c>
      <c r="D8861" s="46">
        <f>'Warranty &amp; Maintenance'!Y826</f>
        <v/>
      </c>
      <c r="E8861" s="46">
        <f>IF(OR(B8861="",C8861="",D8861=""),"",D8861*100000+(C8861-DATE(2000,1,1))+ROW()/100000)</f>
        <v/>
      </c>
      <c r="F8861" s="46">
        <f>IF(E8861="","",IF(C8861&gt;WeekEndDate,"",E8861))</f>
        <v/>
      </c>
    </row>
    <row r="8862">
      <c r="A8862" t="inlineStr">
        <is>
          <t>Warranty &amp; Maintenance</t>
        </is>
      </c>
      <c r="B8862" s="46">
        <f>'Warranty &amp; Maintenance'!Z827</f>
        <v/>
      </c>
      <c r="C8862" s="84">
        <f>'Warranty &amp; Maintenance'!X827</f>
        <v/>
      </c>
      <c r="D8862" s="46">
        <f>'Warranty &amp; Maintenance'!Y827</f>
        <v/>
      </c>
      <c r="E8862" s="46">
        <f>IF(OR(B8862="",C8862="",D8862=""),"",D8862*100000+(C8862-DATE(2000,1,1))+ROW()/100000)</f>
        <v/>
      </c>
      <c r="F8862" s="46">
        <f>IF(E8862="","",IF(C8862&gt;WeekEndDate,"",E8862))</f>
        <v/>
      </c>
    </row>
    <row r="8863">
      <c r="A8863" t="inlineStr">
        <is>
          <t>Warranty &amp; Maintenance</t>
        </is>
      </c>
      <c r="B8863" s="46">
        <f>'Warranty &amp; Maintenance'!Z828</f>
        <v/>
      </c>
      <c r="C8863" s="84">
        <f>'Warranty &amp; Maintenance'!X828</f>
        <v/>
      </c>
      <c r="D8863" s="46">
        <f>'Warranty &amp; Maintenance'!Y828</f>
        <v/>
      </c>
      <c r="E8863" s="46">
        <f>IF(OR(B8863="",C8863="",D8863=""),"",D8863*100000+(C8863-DATE(2000,1,1))+ROW()/100000)</f>
        <v/>
      </c>
      <c r="F8863" s="46">
        <f>IF(E8863="","",IF(C8863&gt;WeekEndDate,"",E8863))</f>
        <v/>
      </c>
    </row>
    <row r="8864">
      <c r="A8864" t="inlineStr">
        <is>
          <t>Warranty &amp; Maintenance</t>
        </is>
      </c>
      <c r="B8864" s="46">
        <f>'Warranty &amp; Maintenance'!Z829</f>
        <v/>
      </c>
      <c r="C8864" s="84">
        <f>'Warranty &amp; Maintenance'!X829</f>
        <v/>
      </c>
      <c r="D8864" s="46">
        <f>'Warranty &amp; Maintenance'!Y829</f>
        <v/>
      </c>
      <c r="E8864" s="46">
        <f>IF(OR(B8864="",C8864="",D8864=""),"",D8864*100000+(C8864-DATE(2000,1,1))+ROW()/100000)</f>
        <v/>
      </c>
      <c r="F8864" s="46">
        <f>IF(E8864="","",IF(C8864&gt;WeekEndDate,"",E8864))</f>
        <v/>
      </c>
    </row>
    <row r="8865">
      <c r="A8865" t="inlineStr">
        <is>
          <t>Warranty &amp; Maintenance</t>
        </is>
      </c>
      <c r="B8865" s="46">
        <f>'Warranty &amp; Maintenance'!Z830</f>
        <v/>
      </c>
      <c r="C8865" s="84">
        <f>'Warranty &amp; Maintenance'!X830</f>
        <v/>
      </c>
      <c r="D8865" s="46">
        <f>'Warranty &amp; Maintenance'!Y830</f>
        <v/>
      </c>
      <c r="E8865" s="46">
        <f>IF(OR(B8865="",C8865="",D8865=""),"",D8865*100000+(C8865-DATE(2000,1,1))+ROW()/100000)</f>
        <v/>
      </c>
      <c r="F8865" s="46">
        <f>IF(E8865="","",IF(C8865&gt;WeekEndDate,"",E8865))</f>
        <v/>
      </c>
    </row>
    <row r="8866">
      <c r="A8866" t="inlineStr">
        <is>
          <t>Warranty &amp; Maintenance</t>
        </is>
      </c>
      <c r="B8866" s="46">
        <f>'Warranty &amp; Maintenance'!Z831</f>
        <v/>
      </c>
      <c r="C8866" s="84">
        <f>'Warranty &amp; Maintenance'!X831</f>
        <v/>
      </c>
      <c r="D8866" s="46">
        <f>'Warranty &amp; Maintenance'!Y831</f>
        <v/>
      </c>
      <c r="E8866" s="46">
        <f>IF(OR(B8866="",C8866="",D8866=""),"",D8866*100000+(C8866-DATE(2000,1,1))+ROW()/100000)</f>
        <v/>
      </c>
      <c r="F8866" s="46">
        <f>IF(E8866="","",IF(C8866&gt;WeekEndDate,"",E8866))</f>
        <v/>
      </c>
    </row>
    <row r="8867">
      <c r="A8867" t="inlineStr">
        <is>
          <t>Warranty &amp; Maintenance</t>
        </is>
      </c>
      <c r="B8867" s="46">
        <f>'Warranty &amp; Maintenance'!Z832</f>
        <v/>
      </c>
      <c r="C8867" s="84">
        <f>'Warranty &amp; Maintenance'!X832</f>
        <v/>
      </c>
      <c r="D8867" s="46">
        <f>'Warranty &amp; Maintenance'!Y832</f>
        <v/>
      </c>
      <c r="E8867" s="46">
        <f>IF(OR(B8867="",C8867="",D8867=""),"",D8867*100000+(C8867-DATE(2000,1,1))+ROW()/100000)</f>
        <v/>
      </c>
      <c r="F8867" s="46">
        <f>IF(E8867="","",IF(C8867&gt;WeekEndDate,"",E8867))</f>
        <v/>
      </c>
    </row>
    <row r="8868">
      <c r="A8868" t="inlineStr">
        <is>
          <t>Warranty &amp; Maintenance</t>
        </is>
      </c>
      <c r="B8868" s="46">
        <f>'Warranty &amp; Maintenance'!Z833</f>
        <v/>
      </c>
      <c r="C8868" s="84">
        <f>'Warranty &amp; Maintenance'!X833</f>
        <v/>
      </c>
      <c r="D8868" s="46">
        <f>'Warranty &amp; Maintenance'!Y833</f>
        <v/>
      </c>
      <c r="E8868" s="46">
        <f>IF(OR(B8868="",C8868="",D8868=""),"",D8868*100000+(C8868-DATE(2000,1,1))+ROW()/100000)</f>
        <v/>
      </c>
      <c r="F8868" s="46">
        <f>IF(E8868="","",IF(C8868&gt;WeekEndDate,"",E8868))</f>
        <v/>
      </c>
    </row>
    <row r="8869">
      <c r="A8869" t="inlineStr">
        <is>
          <t>Warranty &amp; Maintenance</t>
        </is>
      </c>
      <c r="B8869" s="46">
        <f>'Warranty &amp; Maintenance'!Z834</f>
        <v/>
      </c>
      <c r="C8869" s="84">
        <f>'Warranty &amp; Maintenance'!X834</f>
        <v/>
      </c>
      <c r="D8869" s="46">
        <f>'Warranty &amp; Maintenance'!Y834</f>
        <v/>
      </c>
      <c r="E8869" s="46">
        <f>IF(OR(B8869="",C8869="",D8869=""),"",D8869*100000+(C8869-DATE(2000,1,1))+ROW()/100000)</f>
        <v/>
      </c>
      <c r="F8869" s="46">
        <f>IF(E8869="","",IF(C8869&gt;WeekEndDate,"",E8869))</f>
        <v/>
      </c>
    </row>
    <row r="8870">
      <c r="A8870" t="inlineStr">
        <is>
          <t>Warranty &amp; Maintenance</t>
        </is>
      </c>
      <c r="B8870" s="46">
        <f>'Warranty &amp; Maintenance'!Z835</f>
        <v/>
      </c>
      <c r="C8870" s="84">
        <f>'Warranty &amp; Maintenance'!X835</f>
        <v/>
      </c>
      <c r="D8870" s="46">
        <f>'Warranty &amp; Maintenance'!Y835</f>
        <v/>
      </c>
      <c r="E8870" s="46">
        <f>IF(OR(B8870="",C8870="",D8870=""),"",D8870*100000+(C8870-DATE(2000,1,1))+ROW()/100000)</f>
        <v/>
      </c>
      <c r="F8870" s="46">
        <f>IF(E8870="","",IF(C8870&gt;WeekEndDate,"",E8870))</f>
        <v/>
      </c>
    </row>
    <row r="8871">
      <c r="A8871" t="inlineStr">
        <is>
          <t>Warranty &amp; Maintenance</t>
        </is>
      </c>
      <c r="B8871" s="46">
        <f>'Warranty &amp; Maintenance'!Z836</f>
        <v/>
      </c>
      <c r="C8871" s="84">
        <f>'Warranty &amp; Maintenance'!X836</f>
        <v/>
      </c>
      <c r="D8871" s="46">
        <f>'Warranty &amp; Maintenance'!Y836</f>
        <v/>
      </c>
      <c r="E8871" s="46">
        <f>IF(OR(B8871="",C8871="",D8871=""),"",D8871*100000+(C8871-DATE(2000,1,1))+ROW()/100000)</f>
        <v/>
      </c>
      <c r="F8871" s="46">
        <f>IF(E8871="","",IF(C8871&gt;WeekEndDate,"",E8871))</f>
        <v/>
      </c>
    </row>
    <row r="8872">
      <c r="A8872" t="inlineStr">
        <is>
          <t>Warranty &amp; Maintenance</t>
        </is>
      </c>
      <c r="B8872" s="46">
        <f>'Warranty &amp; Maintenance'!Z837</f>
        <v/>
      </c>
      <c r="C8872" s="84">
        <f>'Warranty &amp; Maintenance'!X837</f>
        <v/>
      </c>
      <c r="D8872" s="46">
        <f>'Warranty &amp; Maintenance'!Y837</f>
        <v/>
      </c>
      <c r="E8872" s="46">
        <f>IF(OR(B8872="",C8872="",D8872=""),"",D8872*100000+(C8872-DATE(2000,1,1))+ROW()/100000)</f>
        <v/>
      </c>
      <c r="F8872" s="46">
        <f>IF(E8872="","",IF(C8872&gt;WeekEndDate,"",E8872))</f>
        <v/>
      </c>
    </row>
    <row r="8873">
      <c r="A8873" t="inlineStr">
        <is>
          <t>Warranty &amp; Maintenance</t>
        </is>
      </c>
      <c r="B8873" s="46">
        <f>'Warranty &amp; Maintenance'!Z838</f>
        <v/>
      </c>
      <c r="C8873" s="84">
        <f>'Warranty &amp; Maintenance'!X838</f>
        <v/>
      </c>
      <c r="D8873" s="46">
        <f>'Warranty &amp; Maintenance'!Y838</f>
        <v/>
      </c>
      <c r="E8873" s="46">
        <f>IF(OR(B8873="",C8873="",D8873=""),"",D8873*100000+(C8873-DATE(2000,1,1))+ROW()/100000)</f>
        <v/>
      </c>
      <c r="F8873" s="46">
        <f>IF(E8873="","",IF(C8873&gt;WeekEndDate,"",E8873))</f>
        <v/>
      </c>
    </row>
    <row r="8874">
      <c r="A8874" t="inlineStr">
        <is>
          <t>Warranty &amp; Maintenance</t>
        </is>
      </c>
      <c r="B8874" s="46">
        <f>'Warranty &amp; Maintenance'!Z839</f>
        <v/>
      </c>
      <c r="C8874" s="84">
        <f>'Warranty &amp; Maintenance'!X839</f>
        <v/>
      </c>
      <c r="D8874" s="46">
        <f>'Warranty &amp; Maintenance'!Y839</f>
        <v/>
      </c>
      <c r="E8874" s="46">
        <f>IF(OR(B8874="",C8874="",D8874=""),"",D8874*100000+(C8874-DATE(2000,1,1))+ROW()/100000)</f>
        <v/>
      </c>
      <c r="F8874" s="46">
        <f>IF(E8874="","",IF(C8874&gt;WeekEndDate,"",E8874))</f>
        <v/>
      </c>
    </row>
    <row r="8875">
      <c r="A8875" t="inlineStr">
        <is>
          <t>Warranty &amp; Maintenance</t>
        </is>
      </c>
      <c r="B8875" s="46">
        <f>'Warranty &amp; Maintenance'!Z840</f>
        <v/>
      </c>
      <c r="C8875" s="84">
        <f>'Warranty &amp; Maintenance'!X840</f>
        <v/>
      </c>
      <c r="D8875" s="46">
        <f>'Warranty &amp; Maintenance'!Y840</f>
        <v/>
      </c>
      <c r="E8875" s="46">
        <f>IF(OR(B8875="",C8875="",D8875=""),"",D8875*100000+(C8875-DATE(2000,1,1))+ROW()/100000)</f>
        <v/>
      </c>
      <c r="F8875" s="46">
        <f>IF(E8875="","",IF(C8875&gt;WeekEndDate,"",E8875))</f>
        <v/>
      </c>
    </row>
    <row r="8876">
      <c r="A8876" t="inlineStr">
        <is>
          <t>Warranty &amp; Maintenance</t>
        </is>
      </c>
      <c r="B8876" s="46">
        <f>'Warranty &amp; Maintenance'!Z841</f>
        <v/>
      </c>
      <c r="C8876" s="84">
        <f>'Warranty &amp; Maintenance'!X841</f>
        <v/>
      </c>
      <c r="D8876" s="46">
        <f>'Warranty &amp; Maintenance'!Y841</f>
        <v/>
      </c>
      <c r="E8876" s="46">
        <f>IF(OR(B8876="",C8876="",D8876=""),"",D8876*100000+(C8876-DATE(2000,1,1))+ROW()/100000)</f>
        <v/>
      </c>
      <c r="F8876" s="46">
        <f>IF(E8876="","",IF(C8876&gt;WeekEndDate,"",E8876))</f>
        <v/>
      </c>
    </row>
    <row r="8877">
      <c r="A8877" t="inlineStr">
        <is>
          <t>Warranty &amp; Maintenance</t>
        </is>
      </c>
      <c r="B8877" s="46">
        <f>'Warranty &amp; Maintenance'!Z842</f>
        <v/>
      </c>
      <c r="C8877" s="84">
        <f>'Warranty &amp; Maintenance'!X842</f>
        <v/>
      </c>
      <c r="D8877" s="46">
        <f>'Warranty &amp; Maintenance'!Y842</f>
        <v/>
      </c>
      <c r="E8877" s="46">
        <f>IF(OR(B8877="",C8877="",D8877=""),"",D8877*100000+(C8877-DATE(2000,1,1))+ROW()/100000)</f>
        <v/>
      </c>
      <c r="F8877" s="46">
        <f>IF(E8877="","",IF(C8877&gt;WeekEndDate,"",E8877))</f>
        <v/>
      </c>
    </row>
    <row r="8878">
      <c r="A8878" t="inlineStr">
        <is>
          <t>Warranty &amp; Maintenance</t>
        </is>
      </c>
      <c r="B8878" s="46">
        <f>'Warranty &amp; Maintenance'!Z843</f>
        <v/>
      </c>
      <c r="C8878" s="84">
        <f>'Warranty &amp; Maintenance'!X843</f>
        <v/>
      </c>
      <c r="D8878" s="46">
        <f>'Warranty &amp; Maintenance'!Y843</f>
        <v/>
      </c>
      <c r="E8878" s="46">
        <f>IF(OR(B8878="",C8878="",D8878=""),"",D8878*100000+(C8878-DATE(2000,1,1))+ROW()/100000)</f>
        <v/>
      </c>
      <c r="F8878" s="46">
        <f>IF(E8878="","",IF(C8878&gt;WeekEndDate,"",E8878))</f>
        <v/>
      </c>
    </row>
    <row r="8879">
      <c r="A8879" t="inlineStr">
        <is>
          <t>Warranty &amp; Maintenance</t>
        </is>
      </c>
      <c r="B8879" s="46">
        <f>'Warranty &amp; Maintenance'!Z844</f>
        <v/>
      </c>
      <c r="C8879" s="84">
        <f>'Warranty &amp; Maintenance'!X844</f>
        <v/>
      </c>
      <c r="D8879" s="46">
        <f>'Warranty &amp; Maintenance'!Y844</f>
        <v/>
      </c>
      <c r="E8879" s="46">
        <f>IF(OR(B8879="",C8879="",D8879=""),"",D8879*100000+(C8879-DATE(2000,1,1))+ROW()/100000)</f>
        <v/>
      </c>
      <c r="F8879" s="46">
        <f>IF(E8879="","",IF(C8879&gt;WeekEndDate,"",E8879))</f>
        <v/>
      </c>
    </row>
    <row r="8880">
      <c r="A8880" t="inlineStr">
        <is>
          <t>Warranty &amp; Maintenance</t>
        </is>
      </c>
      <c r="B8880" s="46">
        <f>'Warranty &amp; Maintenance'!Z845</f>
        <v/>
      </c>
      <c r="C8880" s="84">
        <f>'Warranty &amp; Maintenance'!X845</f>
        <v/>
      </c>
      <c r="D8880" s="46">
        <f>'Warranty &amp; Maintenance'!Y845</f>
        <v/>
      </c>
      <c r="E8880" s="46">
        <f>IF(OR(B8880="",C8880="",D8880=""),"",D8880*100000+(C8880-DATE(2000,1,1))+ROW()/100000)</f>
        <v/>
      </c>
      <c r="F8880" s="46">
        <f>IF(E8880="","",IF(C8880&gt;WeekEndDate,"",E8880))</f>
        <v/>
      </c>
    </row>
    <row r="8881">
      <c r="A8881" t="inlineStr">
        <is>
          <t>Warranty &amp; Maintenance</t>
        </is>
      </c>
      <c r="B8881" s="46">
        <f>'Warranty &amp; Maintenance'!Z846</f>
        <v/>
      </c>
      <c r="C8881" s="84">
        <f>'Warranty &amp; Maintenance'!X846</f>
        <v/>
      </c>
      <c r="D8881" s="46">
        <f>'Warranty &amp; Maintenance'!Y846</f>
        <v/>
      </c>
      <c r="E8881" s="46">
        <f>IF(OR(B8881="",C8881="",D8881=""),"",D8881*100000+(C8881-DATE(2000,1,1))+ROW()/100000)</f>
        <v/>
      </c>
      <c r="F8881" s="46">
        <f>IF(E8881="","",IF(C8881&gt;WeekEndDate,"",E8881))</f>
        <v/>
      </c>
    </row>
    <row r="8882">
      <c r="A8882" t="inlineStr">
        <is>
          <t>Warranty &amp; Maintenance</t>
        </is>
      </c>
      <c r="B8882" s="46">
        <f>'Warranty &amp; Maintenance'!Z847</f>
        <v/>
      </c>
      <c r="C8882" s="84">
        <f>'Warranty &amp; Maintenance'!X847</f>
        <v/>
      </c>
      <c r="D8882" s="46">
        <f>'Warranty &amp; Maintenance'!Y847</f>
        <v/>
      </c>
      <c r="E8882" s="46">
        <f>IF(OR(B8882="",C8882="",D8882=""),"",D8882*100000+(C8882-DATE(2000,1,1))+ROW()/100000)</f>
        <v/>
      </c>
      <c r="F8882" s="46">
        <f>IF(E8882="","",IF(C8882&gt;WeekEndDate,"",E8882))</f>
        <v/>
      </c>
    </row>
    <row r="8883">
      <c r="A8883" t="inlineStr">
        <is>
          <t>Warranty &amp; Maintenance</t>
        </is>
      </c>
      <c r="B8883" s="46">
        <f>'Warranty &amp; Maintenance'!Z848</f>
        <v/>
      </c>
      <c r="C8883" s="84">
        <f>'Warranty &amp; Maintenance'!X848</f>
        <v/>
      </c>
      <c r="D8883" s="46">
        <f>'Warranty &amp; Maintenance'!Y848</f>
        <v/>
      </c>
      <c r="E8883" s="46">
        <f>IF(OR(B8883="",C8883="",D8883=""),"",D8883*100000+(C8883-DATE(2000,1,1))+ROW()/100000)</f>
        <v/>
      </c>
      <c r="F8883" s="46">
        <f>IF(E8883="","",IF(C8883&gt;WeekEndDate,"",E8883))</f>
        <v/>
      </c>
    </row>
    <row r="8884">
      <c r="A8884" t="inlineStr">
        <is>
          <t>Warranty &amp; Maintenance</t>
        </is>
      </c>
      <c r="B8884" s="46">
        <f>'Warranty &amp; Maintenance'!Z849</f>
        <v/>
      </c>
      <c r="C8884" s="84">
        <f>'Warranty &amp; Maintenance'!X849</f>
        <v/>
      </c>
      <c r="D8884" s="46">
        <f>'Warranty &amp; Maintenance'!Y849</f>
        <v/>
      </c>
      <c r="E8884" s="46">
        <f>IF(OR(B8884="",C8884="",D8884=""),"",D8884*100000+(C8884-DATE(2000,1,1))+ROW()/100000)</f>
        <v/>
      </c>
      <c r="F8884" s="46">
        <f>IF(E8884="","",IF(C8884&gt;WeekEndDate,"",E8884))</f>
        <v/>
      </c>
    </row>
    <row r="8885">
      <c r="A8885" t="inlineStr">
        <is>
          <t>Warranty &amp; Maintenance</t>
        </is>
      </c>
      <c r="B8885" s="46">
        <f>'Warranty &amp; Maintenance'!Z850</f>
        <v/>
      </c>
      <c r="C8885" s="84">
        <f>'Warranty &amp; Maintenance'!X850</f>
        <v/>
      </c>
      <c r="D8885" s="46">
        <f>'Warranty &amp; Maintenance'!Y850</f>
        <v/>
      </c>
      <c r="E8885" s="46">
        <f>IF(OR(B8885="",C8885="",D8885=""),"",D8885*100000+(C8885-DATE(2000,1,1))+ROW()/100000)</f>
        <v/>
      </c>
      <c r="F8885" s="46">
        <f>IF(E8885="","",IF(C8885&gt;WeekEndDate,"",E8885))</f>
        <v/>
      </c>
    </row>
    <row r="8886">
      <c r="A8886" t="inlineStr">
        <is>
          <t>Warranty &amp; Maintenance</t>
        </is>
      </c>
      <c r="B8886" s="46">
        <f>'Warranty &amp; Maintenance'!Z851</f>
        <v/>
      </c>
      <c r="C8886" s="84">
        <f>'Warranty &amp; Maintenance'!X851</f>
        <v/>
      </c>
      <c r="D8886" s="46">
        <f>'Warranty &amp; Maintenance'!Y851</f>
        <v/>
      </c>
      <c r="E8886" s="46">
        <f>IF(OR(B8886="",C8886="",D8886=""),"",D8886*100000+(C8886-DATE(2000,1,1))+ROW()/100000)</f>
        <v/>
      </c>
      <c r="F8886" s="46">
        <f>IF(E8886="","",IF(C8886&gt;WeekEndDate,"",E8886))</f>
        <v/>
      </c>
    </row>
    <row r="8887">
      <c r="A8887" t="inlineStr">
        <is>
          <t>Warranty &amp; Maintenance</t>
        </is>
      </c>
      <c r="B8887" s="46">
        <f>'Warranty &amp; Maintenance'!Z852</f>
        <v/>
      </c>
      <c r="C8887" s="84">
        <f>'Warranty &amp; Maintenance'!X852</f>
        <v/>
      </c>
      <c r="D8887" s="46">
        <f>'Warranty &amp; Maintenance'!Y852</f>
        <v/>
      </c>
      <c r="E8887" s="46">
        <f>IF(OR(B8887="",C8887="",D8887=""),"",D8887*100000+(C8887-DATE(2000,1,1))+ROW()/100000)</f>
        <v/>
      </c>
      <c r="F8887" s="46">
        <f>IF(E8887="","",IF(C8887&gt;WeekEndDate,"",E8887))</f>
        <v/>
      </c>
    </row>
    <row r="8888">
      <c r="A8888" t="inlineStr">
        <is>
          <t>Warranty &amp; Maintenance</t>
        </is>
      </c>
      <c r="B8888" s="46">
        <f>'Warranty &amp; Maintenance'!Z853</f>
        <v/>
      </c>
      <c r="C8888" s="84">
        <f>'Warranty &amp; Maintenance'!X853</f>
        <v/>
      </c>
      <c r="D8888" s="46">
        <f>'Warranty &amp; Maintenance'!Y853</f>
        <v/>
      </c>
      <c r="E8888" s="46">
        <f>IF(OR(B8888="",C8888="",D8888=""),"",D8888*100000+(C8888-DATE(2000,1,1))+ROW()/100000)</f>
        <v/>
      </c>
      <c r="F8888" s="46">
        <f>IF(E8888="","",IF(C8888&gt;WeekEndDate,"",E8888))</f>
        <v/>
      </c>
    </row>
    <row r="8889">
      <c r="A8889" t="inlineStr">
        <is>
          <t>Warranty &amp; Maintenance</t>
        </is>
      </c>
      <c r="B8889" s="46">
        <f>'Warranty &amp; Maintenance'!Z854</f>
        <v/>
      </c>
      <c r="C8889" s="84">
        <f>'Warranty &amp; Maintenance'!X854</f>
        <v/>
      </c>
      <c r="D8889" s="46">
        <f>'Warranty &amp; Maintenance'!Y854</f>
        <v/>
      </c>
      <c r="E8889" s="46">
        <f>IF(OR(B8889="",C8889="",D8889=""),"",D8889*100000+(C8889-DATE(2000,1,1))+ROW()/100000)</f>
        <v/>
      </c>
      <c r="F8889" s="46">
        <f>IF(E8889="","",IF(C8889&gt;WeekEndDate,"",E8889))</f>
        <v/>
      </c>
    </row>
    <row r="8890">
      <c r="A8890" t="inlineStr">
        <is>
          <t>Warranty &amp; Maintenance</t>
        </is>
      </c>
      <c r="B8890" s="46">
        <f>'Warranty &amp; Maintenance'!Z855</f>
        <v/>
      </c>
      <c r="C8890" s="84">
        <f>'Warranty &amp; Maintenance'!X855</f>
        <v/>
      </c>
      <c r="D8890" s="46">
        <f>'Warranty &amp; Maintenance'!Y855</f>
        <v/>
      </c>
      <c r="E8890" s="46">
        <f>IF(OR(B8890="",C8890="",D8890=""),"",D8890*100000+(C8890-DATE(2000,1,1))+ROW()/100000)</f>
        <v/>
      </c>
      <c r="F8890" s="46">
        <f>IF(E8890="","",IF(C8890&gt;WeekEndDate,"",E8890))</f>
        <v/>
      </c>
    </row>
    <row r="8891">
      <c r="A8891" t="inlineStr">
        <is>
          <t>Warranty &amp; Maintenance</t>
        </is>
      </c>
      <c r="B8891" s="46">
        <f>'Warranty &amp; Maintenance'!Z856</f>
        <v/>
      </c>
      <c r="C8891" s="84">
        <f>'Warranty &amp; Maintenance'!X856</f>
        <v/>
      </c>
      <c r="D8891" s="46">
        <f>'Warranty &amp; Maintenance'!Y856</f>
        <v/>
      </c>
      <c r="E8891" s="46">
        <f>IF(OR(B8891="",C8891="",D8891=""),"",D8891*100000+(C8891-DATE(2000,1,1))+ROW()/100000)</f>
        <v/>
      </c>
      <c r="F8891" s="46">
        <f>IF(E8891="","",IF(C8891&gt;WeekEndDate,"",E8891))</f>
        <v/>
      </c>
    </row>
    <row r="8892">
      <c r="A8892" t="inlineStr">
        <is>
          <t>Warranty &amp; Maintenance</t>
        </is>
      </c>
      <c r="B8892" s="46">
        <f>'Warranty &amp; Maintenance'!Z857</f>
        <v/>
      </c>
      <c r="C8892" s="84">
        <f>'Warranty &amp; Maintenance'!X857</f>
        <v/>
      </c>
      <c r="D8892" s="46">
        <f>'Warranty &amp; Maintenance'!Y857</f>
        <v/>
      </c>
      <c r="E8892" s="46">
        <f>IF(OR(B8892="",C8892="",D8892=""),"",D8892*100000+(C8892-DATE(2000,1,1))+ROW()/100000)</f>
        <v/>
      </c>
      <c r="F8892" s="46">
        <f>IF(E8892="","",IF(C8892&gt;WeekEndDate,"",E8892))</f>
        <v/>
      </c>
    </row>
    <row r="8893">
      <c r="A8893" t="inlineStr">
        <is>
          <t>Warranty &amp; Maintenance</t>
        </is>
      </c>
      <c r="B8893" s="46">
        <f>'Warranty &amp; Maintenance'!Z858</f>
        <v/>
      </c>
      <c r="C8893" s="84">
        <f>'Warranty &amp; Maintenance'!X858</f>
        <v/>
      </c>
      <c r="D8893" s="46">
        <f>'Warranty &amp; Maintenance'!Y858</f>
        <v/>
      </c>
      <c r="E8893" s="46">
        <f>IF(OR(B8893="",C8893="",D8893=""),"",D8893*100000+(C8893-DATE(2000,1,1))+ROW()/100000)</f>
        <v/>
      </c>
      <c r="F8893" s="46">
        <f>IF(E8893="","",IF(C8893&gt;WeekEndDate,"",E8893))</f>
        <v/>
      </c>
    </row>
    <row r="8894">
      <c r="A8894" t="inlineStr">
        <is>
          <t>Warranty &amp; Maintenance</t>
        </is>
      </c>
      <c r="B8894" s="46">
        <f>'Warranty &amp; Maintenance'!Z859</f>
        <v/>
      </c>
      <c r="C8894" s="84">
        <f>'Warranty &amp; Maintenance'!X859</f>
        <v/>
      </c>
      <c r="D8894" s="46">
        <f>'Warranty &amp; Maintenance'!Y859</f>
        <v/>
      </c>
      <c r="E8894" s="46">
        <f>IF(OR(B8894="",C8894="",D8894=""),"",D8894*100000+(C8894-DATE(2000,1,1))+ROW()/100000)</f>
        <v/>
      </c>
      <c r="F8894" s="46">
        <f>IF(E8894="","",IF(C8894&gt;WeekEndDate,"",E8894))</f>
        <v/>
      </c>
    </row>
    <row r="8895">
      <c r="A8895" t="inlineStr">
        <is>
          <t>Warranty &amp; Maintenance</t>
        </is>
      </c>
      <c r="B8895" s="46">
        <f>'Warranty &amp; Maintenance'!Z860</f>
        <v/>
      </c>
      <c r="C8895" s="84">
        <f>'Warranty &amp; Maintenance'!X860</f>
        <v/>
      </c>
      <c r="D8895" s="46">
        <f>'Warranty &amp; Maintenance'!Y860</f>
        <v/>
      </c>
      <c r="E8895" s="46">
        <f>IF(OR(B8895="",C8895="",D8895=""),"",D8895*100000+(C8895-DATE(2000,1,1))+ROW()/100000)</f>
        <v/>
      </c>
      <c r="F8895" s="46">
        <f>IF(E8895="","",IF(C8895&gt;WeekEndDate,"",E8895))</f>
        <v/>
      </c>
    </row>
    <row r="8896">
      <c r="A8896" t="inlineStr">
        <is>
          <t>Warranty &amp; Maintenance</t>
        </is>
      </c>
      <c r="B8896" s="46">
        <f>'Warranty &amp; Maintenance'!Z861</f>
        <v/>
      </c>
      <c r="C8896" s="84">
        <f>'Warranty &amp; Maintenance'!X861</f>
        <v/>
      </c>
      <c r="D8896" s="46">
        <f>'Warranty &amp; Maintenance'!Y861</f>
        <v/>
      </c>
      <c r="E8896" s="46">
        <f>IF(OR(B8896="",C8896="",D8896=""),"",D8896*100000+(C8896-DATE(2000,1,1))+ROW()/100000)</f>
        <v/>
      </c>
      <c r="F8896" s="46">
        <f>IF(E8896="","",IF(C8896&gt;WeekEndDate,"",E8896))</f>
        <v/>
      </c>
    </row>
    <row r="8897">
      <c r="A8897" t="inlineStr">
        <is>
          <t>Warranty &amp; Maintenance</t>
        </is>
      </c>
      <c r="B8897" s="46">
        <f>'Warranty &amp; Maintenance'!Z862</f>
        <v/>
      </c>
      <c r="C8897" s="84">
        <f>'Warranty &amp; Maintenance'!X862</f>
        <v/>
      </c>
      <c r="D8897" s="46">
        <f>'Warranty &amp; Maintenance'!Y862</f>
        <v/>
      </c>
      <c r="E8897" s="46">
        <f>IF(OR(B8897="",C8897="",D8897=""),"",D8897*100000+(C8897-DATE(2000,1,1))+ROW()/100000)</f>
        <v/>
      </c>
      <c r="F8897" s="46">
        <f>IF(E8897="","",IF(C8897&gt;WeekEndDate,"",E8897))</f>
        <v/>
      </c>
    </row>
    <row r="8898">
      <c r="A8898" t="inlineStr">
        <is>
          <t>Warranty &amp; Maintenance</t>
        </is>
      </c>
      <c r="B8898" s="46">
        <f>'Warranty &amp; Maintenance'!Z863</f>
        <v/>
      </c>
      <c r="C8898" s="84">
        <f>'Warranty &amp; Maintenance'!X863</f>
        <v/>
      </c>
      <c r="D8898" s="46">
        <f>'Warranty &amp; Maintenance'!Y863</f>
        <v/>
      </c>
      <c r="E8898" s="46">
        <f>IF(OR(B8898="",C8898="",D8898=""),"",D8898*100000+(C8898-DATE(2000,1,1))+ROW()/100000)</f>
        <v/>
      </c>
      <c r="F8898" s="46">
        <f>IF(E8898="","",IF(C8898&gt;WeekEndDate,"",E8898))</f>
        <v/>
      </c>
    </row>
    <row r="8899">
      <c r="A8899" t="inlineStr">
        <is>
          <t>Warranty &amp; Maintenance</t>
        </is>
      </c>
      <c r="B8899" s="46">
        <f>'Warranty &amp; Maintenance'!Z864</f>
        <v/>
      </c>
      <c r="C8899" s="84">
        <f>'Warranty &amp; Maintenance'!X864</f>
        <v/>
      </c>
      <c r="D8899" s="46">
        <f>'Warranty &amp; Maintenance'!Y864</f>
        <v/>
      </c>
      <c r="E8899" s="46">
        <f>IF(OR(B8899="",C8899="",D8899=""),"",D8899*100000+(C8899-DATE(2000,1,1))+ROW()/100000)</f>
        <v/>
      </c>
      <c r="F8899" s="46">
        <f>IF(E8899="","",IF(C8899&gt;WeekEndDate,"",E8899))</f>
        <v/>
      </c>
    </row>
    <row r="8900">
      <c r="A8900" t="inlineStr">
        <is>
          <t>Warranty &amp; Maintenance</t>
        </is>
      </c>
      <c r="B8900" s="46">
        <f>'Warranty &amp; Maintenance'!Z865</f>
        <v/>
      </c>
      <c r="C8900" s="84">
        <f>'Warranty &amp; Maintenance'!X865</f>
        <v/>
      </c>
      <c r="D8900" s="46">
        <f>'Warranty &amp; Maintenance'!Y865</f>
        <v/>
      </c>
      <c r="E8900" s="46">
        <f>IF(OR(B8900="",C8900="",D8900=""),"",D8900*100000+(C8900-DATE(2000,1,1))+ROW()/100000)</f>
        <v/>
      </c>
      <c r="F8900" s="46">
        <f>IF(E8900="","",IF(C8900&gt;WeekEndDate,"",E8900))</f>
        <v/>
      </c>
    </row>
    <row r="8901">
      <c r="A8901" t="inlineStr">
        <is>
          <t>Warranty &amp; Maintenance</t>
        </is>
      </c>
      <c r="B8901" s="46">
        <f>'Warranty &amp; Maintenance'!Z866</f>
        <v/>
      </c>
      <c r="C8901" s="84">
        <f>'Warranty &amp; Maintenance'!X866</f>
        <v/>
      </c>
      <c r="D8901" s="46">
        <f>'Warranty &amp; Maintenance'!Y866</f>
        <v/>
      </c>
      <c r="E8901" s="46">
        <f>IF(OR(B8901="",C8901="",D8901=""),"",D8901*100000+(C8901-DATE(2000,1,1))+ROW()/100000)</f>
        <v/>
      </c>
      <c r="F8901" s="46">
        <f>IF(E8901="","",IF(C8901&gt;WeekEndDate,"",E8901))</f>
        <v/>
      </c>
    </row>
    <row r="8902">
      <c r="A8902" t="inlineStr">
        <is>
          <t>Warranty &amp; Maintenance</t>
        </is>
      </c>
      <c r="B8902" s="46">
        <f>'Warranty &amp; Maintenance'!Z867</f>
        <v/>
      </c>
      <c r="C8902" s="84">
        <f>'Warranty &amp; Maintenance'!X867</f>
        <v/>
      </c>
      <c r="D8902" s="46">
        <f>'Warranty &amp; Maintenance'!Y867</f>
        <v/>
      </c>
      <c r="E8902" s="46">
        <f>IF(OR(B8902="",C8902="",D8902=""),"",D8902*100000+(C8902-DATE(2000,1,1))+ROW()/100000)</f>
        <v/>
      </c>
      <c r="F8902" s="46">
        <f>IF(E8902="","",IF(C8902&gt;WeekEndDate,"",E8902))</f>
        <v/>
      </c>
    </row>
    <row r="8903">
      <c r="A8903" t="inlineStr">
        <is>
          <t>Warranty &amp; Maintenance</t>
        </is>
      </c>
      <c r="B8903" s="46">
        <f>'Warranty &amp; Maintenance'!Z868</f>
        <v/>
      </c>
      <c r="C8903" s="84">
        <f>'Warranty &amp; Maintenance'!X868</f>
        <v/>
      </c>
      <c r="D8903" s="46">
        <f>'Warranty &amp; Maintenance'!Y868</f>
        <v/>
      </c>
      <c r="E8903" s="46">
        <f>IF(OR(B8903="",C8903="",D8903=""),"",D8903*100000+(C8903-DATE(2000,1,1))+ROW()/100000)</f>
        <v/>
      </c>
      <c r="F8903" s="46">
        <f>IF(E8903="","",IF(C8903&gt;WeekEndDate,"",E8903))</f>
        <v/>
      </c>
    </row>
    <row r="8904">
      <c r="A8904" t="inlineStr">
        <is>
          <t>Warranty &amp; Maintenance</t>
        </is>
      </c>
      <c r="B8904" s="46">
        <f>'Warranty &amp; Maintenance'!Z869</f>
        <v/>
      </c>
      <c r="C8904" s="84">
        <f>'Warranty &amp; Maintenance'!X869</f>
        <v/>
      </c>
      <c r="D8904" s="46">
        <f>'Warranty &amp; Maintenance'!Y869</f>
        <v/>
      </c>
      <c r="E8904" s="46">
        <f>IF(OR(B8904="",C8904="",D8904=""),"",D8904*100000+(C8904-DATE(2000,1,1))+ROW()/100000)</f>
        <v/>
      </c>
      <c r="F8904" s="46">
        <f>IF(E8904="","",IF(C8904&gt;WeekEndDate,"",E8904))</f>
        <v/>
      </c>
    </row>
    <row r="8905">
      <c r="A8905" t="inlineStr">
        <is>
          <t>Warranty &amp; Maintenance</t>
        </is>
      </c>
      <c r="B8905" s="46">
        <f>'Warranty &amp; Maintenance'!Z870</f>
        <v/>
      </c>
      <c r="C8905" s="84">
        <f>'Warranty &amp; Maintenance'!X870</f>
        <v/>
      </c>
      <c r="D8905" s="46">
        <f>'Warranty &amp; Maintenance'!Y870</f>
        <v/>
      </c>
      <c r="E8905" s="46">
        <f>IF(OR(B8905="",C8905="",D8905=""),"",D8905*100000+(C8905-DATE(2000,1,1))+ROW()/100000)</f>
        <v/>
      </c>
      <c r="F8905" s="46">
        <f>IF(E8905="","",IF(C8905&gt;WeekEndDate,"",E8905))</f>
        <v/>
      </c>
    </row>
    <row r="8906">
      <c r="A8906" t="inlineStr">
        <is>
          <t>Warranty &amp; Maintenance</t>
        </is>
      </c>
      <c r="B8906" s="46">
        <f>'Warranty &amp; Maintenance'!Z871</f>
        <v/>
      </c>
      <c r="C8906" s="84">
        <f>'Warranty &amp; Maintenance'!X871</f>
        <v/>
      </c>
      <c r="D8906" s="46">
        <f>'Warranty &amp; Maintenance'!Y871</f>
        <v/>
      </c>
      <c r="E8906" s="46">
        <f>IF(OR(B8906="",C8906="",D8906=""),"",D8906*100000+(C8906-DATE(2000,1,1))+ROW()/100000)</f>
        <v/>
      </c>
      <c r="F8906" s="46">
        <f>IF(E8906="","",IF(C8906&gt;WeekEndDate,"",E8906))</f>
        <v/>
      </c>
    </row>
    <row r="8907">
      <c r="A8907" t="inlineStr">
        <is>
          <t>Warranty &amp; Maintenance</t>
        </is>
      </c>
      <c r="B8907" s="46">
        <f>'Warranty &amp; Maintenance'!Z872</f>
        <v/>
      </c>
      <c r="C8907" s="84">
        <f>'Warranty &amp; Maintenance'!X872</f>
        <v/>
      </c>
      <c r="D8907" s="46">
        <f>'Warranty &amp; Maintenance'!Y872</f>
        <v/>
      </c>
      <c r="E8907" s="46">
        <f>IF(OR(B8907="",C8907="",D8907=""),"",D8907*100000+(C8907-DATE(2000,1,1))+ROW()/100000)</f>
        <v/>
      </c>
      <c r="F8907" s="46">
        <f>IF(E8907="","",IF(C8907&gt;WeekEndDate,"",E8907))</f>
        <v/>
      </c>
    </row>
    <row r="8908">
      <c r="A8908" t="inlineStr">
        <is>
          <t>Warranty &amp; Maintenance</t>
        </is>
      </c>
      <c r="B8908" s="46">
        <f>'Warranty &amp; Maintenance'!Z873</f>
        <v/>
      </c>
      <c r="C8908" s="84">
        <f>'Warranty &amp; Maintenance'!X873</f>
        <v/>
      </c>
      <c r="D8908" s="46">
        <f>'Warranty &amp; Maintenance'!Y873</f>
        <v/>
      </c>
      <c r="E8908" s="46">
        <f>IF(OR(B8908="",C8908="",D8908=""),"",D8908*100000+(C8908-DATE(2000,1,1))+ROW()/100000)</f>
        <v/>
      </c>
      <c r="F8908" s="46">
        <f>IF(E8908="","",IF(C8908&gt;WeekEndDate,"",E8908))</f>
        <v/>
      </c>
    </row>
    <row r="8909">
      <c r="A8909" t="inlineStr">
        <is>
          <t>Warranty &amp; Maintenance</t>
        </is>
      </c>
      <c r="B8909" s="46">
        <f>'Warranty &amp; Maintenance'!Z874</f>
        <v/>
      </c>
      <c r="C8909" s="84">
        <f>'Warranty &amp; Maintenance'!X874</f>
        <v/>
      </c>
      <c r="D8909" s="46">
        <f>'Warranty &amp; Maintenance'!Y874</f>
        <v/>
      </c>
      <c r="E8909" s="46">
        <f>IF(OR(B8909="",C8909="",D8909=""),"",D8909*100000+(C8909-DATE(2000,1,1))+ROW()/100000)</f>
        <v/>
      </c>
      <c r="F8909" s="46">
        <f>IF(E8909="","",IF(C8909&gt;WeekEndDate,"",E8909))</f>
        <v/>
      </c>
    </row>
    <row r="8910">
      <c r="A8910" t="inlineStr">
        <is>
          <t>Warranty &amp; Maintenance</t>
        </is>
      </c>
      <c r="B8910" s="46">
        <f>'Warranty &amp; Maintenance'!Z875</f>
        <v/>
      </c>
      <c r="C8910" s="84">
        <f>'Warranty &amp; Maintenance'!X875</f>
        <v/>
      </c>
      <c r="D8910" s="46">
        <f>'Warranty &amp; Maintenance'!Y875</f>
        <v/>
      </c>
      <c r="E8910" s="46">
        <f>IF(OR(B8910="",C8910="",D8910=""),"",D8910*100000+(C8910-DATE(2000,1,1))+ROW()/100000)</f>
        <v/>
      </c>
      <c r="F8910" s="46">
        <f>IF(E8910="","",IF(C8910&gt;WeekEndDate,"",E8910))</f>
        <v/>
      </c>
    </row>
    <row r="8911">
      <c r="A8911" t="inlineStr">
        <is>
          <t>Warranty &amp; Maintenance</t>
        </is>
      </c>
      <c r="B8911" s="46">
        <f>'Warranty &amp; Maintenance'!Z876</f>
        <v/>
      </c>
      <c r="C8911" s="84">
        <f>'Warranty &amp; Maintenance'!X876</f>
        <v/>
      </c>
      <c r="D8911" s="46">
        <f>'Warranty &amp; Maintenance'!Y876</f>
        <v/>
      </c>
      <c r="E8911" s="46">
        <f>IF(OR(B8911="",C8911="",D8911=""),"",D8911*100000+(C8911-DATE(2000,1,1))+ROW()/100000)</f>
        <v/>
      </c>
      <c r="F8911" s="46">
        <f>IF(E8911="","",IF(C8911&gt;WeekEndDate,"",E8911))</f>
        <v/>
      </c>
    </row>
    <row r="8912">
      <c r="A8912" t="inlineStr">
        <is>
          <t>Warranty &amp; Maintenance</t>
        </is>
      </c>
      <c r="B8912" s="46">
        <f>'Warranty &amp; Maintenance'!Z877</f>
        <v/>
      </c>
      <c r="C8912" s="84">
        <f>'Warranty &amp; Maintenance'!X877</f>
        <v/>
      </c>
      <c r="D8912" s="46">
        <f>'Warranty &amp; Maintenance'!Y877</f>
        <v/>
      </c>
      <c r="E8912" s="46">
        <f>IF(OR(B8912="",C8912="",D8912=""),"",D8912*100000+(C8912-DATE(2000,1,1))+ROW()/100000)</f>
        <v/>
      </c>
      <c r="F8912" s="46">
        <f>IF(E8912="","",IF(C8912&gt;WeekEndDate,"",E8912))</f>
        <v/>
      </c>
    </row>
    <row r="8913">
      <c r="A8913" t="inlineStr">
        <is>
          <t>Warranty &amp; Maintenance</t>
        </is>
      </c>
      <c r="B8913" s="46">
        <f>'Warranty &amp; Maintenance'!Z878</f>
        <v/>
      </c>
      <c r="C8913" s="84">
        <f>'Warranty &amp; Maintenance'!X878</f>
        <v/>
      </c>
      <c r="D8913" s="46">
        <f>'Warranty &amp; Maintenance'!Y878</f>
        <v/>
      </c>
      <c r="E8913" s="46">
        <f>IF(OR(B8913="",C8913="",D8913=""),"",D8913*100000+(C8913-DATE(2000,1,1))+ROW()/100000)</f>
        <v/>
      </c>
      <c r="F8913" s="46">
        <f>IF(E8913="","",IF(C8913&gt;WeekEndDate,"",E8913))</f>
        <v/>
      </c>
    </row>
    <row r="8914">
      <c r="A8914" t="inlineStr">
        <is>
          <t>Warranty &amp; Maintenance</t>
        </is>
      </c>
      <c r="B8914" s="46">
        <f>'Warranty &amp; Maintenance'!Z879</f>
        <v/>
      </c>
      <c r="C8914" s="84">
        <f>'Warranty &amp; Maintenance'!X879</f>
        <v/>
      </c>
      <c r="D8914" s="46">
        <f>'Warranty &amp; Maintenance'!Y879</f>
        <v/>
      </c>
      <c r="E8914" s="46">
        <f>IF(OR(B8914="",C8914="",D8914=""),"",D8914*100000+(C8914-DATE(2000,1,1))+ROW()/100000)</f>
        <v/>
      </c>
      <c r="F8914" s="46">
        <f>IF(E8914="","",IF(C8914&gt;WeekEndDate,"",E8914))</f>
        <v/>
      </c>
    </row>
    <row r="8915">
      <c r="A8915" t="inlineStr">
        <is>
          <t>Warranty &amp; Maintenance</t>
        </is>
      </c>
      <c r="B8915" s="46">
        <f>'Warranty &amp; Maintenance'!Z880</f>
        <v/>
      </c>
      <c r="C8915" s="84">
        <f>'Warranty &amp; Maintenance'!X880</f>
        <v/>
      </c>
      <c r="D8915" s="46">
        <f>'Warranty &amp; Maintenance'!Y880</f>
        <v/>
      </c>
      <c r="E8915" s="46">
        <f>IF(OR(B8915="",C8915="",D8915=""),"",D8915*100000+(C8915-DATE(2000,1,1))+ROW()/100000)</f>
        <v/>
      </c>
      <c r="F8915" s="46">
        <f>IF(E8915="","",IF(C8915&gt;WeekEndDate,"",E8915))</f>
        <v/>
      </c>
    </row>
    <row r="8916">
      <c r="A8916" t="inlineStr">
        <is>
          <t>Warranty &amp; Maintenance</t>
        </is>
      </c>
      <c r="B8916" s="46">
        <f>'Warranty &amp; Maintenance'!Z881</f>
        <v/>
      </c>
      <c r="C8916" s="84">
        <f>'Warranty &amp; Maintenance'!X881</f>
        <v/>
      </c>
      <c r="D8916" s="46">
        <f>'Warranty &amp; Maintenance'!Y881</f>
        <v/>
      </c>
      <c r="E8916" s="46">
        <f>IF(OR(B8916="",C8916="",D8916=""),"",D8916*100000+(C8916-DATE(2000,1,1))+ROW()/100000)</f>
        <v/>
      </c>
      <c r="F8916" s="46">
        <f>IF(E8916="","",IF(C8916&gt;WeekEndDate,"",E8916))</f>
        <v/>
      </c>
    </row>
    <row r="8917">
      <c r="A8917" t="inlineStr">
        <is>
          <t>Warranty &amp; Maintenance</t>
        </is>
      </c>
      <c r="B8917" s="46">
        <f>'Warranty &amp; Maintenance'!Z882</f>
        <v/>
      </c>
      <c r="C8917" s="84">
        <f>'Warranty &amp; Maintenance'!X882</f>
        <v/>
      </c>
      <c r="D8917" s="46">
        <f>'Warranty &amp; Maintenance'!Y882</f>
        <v/>
      </c>
      <c r="E8917" s="46">
        <f>IF(OR(B8917="",C8917="",D8917=""),"",D8917*100000+(C8917-DATE(2000,1,1))+ROW()/100000)</f>
        <v/>
      </c>
      <c r="F8917" s="46">
        <f>IF(E8917="","",IF(C8917&gt;WeekEndDate,"",E8917))</f>
        <v/>
      </c>
    </row>
    <row r="8918">
      <c r="A8918" t="inlineStr">
        <is>
          <t>Warranty &amp; Maintenance</t>
        </is>
      </c>
      <c r="B8918" s="46">
        <f>'Warranty &amp; Maintenance'!Z883</f>
        <v/>
      </c>
      <c r="C8918" s="84">
        <f>'Warranty &amp; Maintenance'!X883</f>
        <v/>
      </c>
      <c r="D8918" s="46">
        <f>'Warranty &amp; Maintenance'!Y883</f>
        <v/>
      </c>
      <c r="E8918" s="46">
        <f>IF(OR(B8918="",C8918="",D8918=""),"",D8918*100000+(C8918-DATE(2000,1,1))+ROW()/100000)</f>
        <v/>
      </c>
      <c r="F8918" s="46">
        <f>IF(E8918="","",IF(C8918&gt;WeekEndDate,"",E8918))</f>
        <v/>
      </c>
    </row>
    <row r="8919">
      <c r="A8919" t="inlineStr">
        <is>
          <t>Warranty &amp; Maintenance</t>
        </is>
      </c>
      <c r="B8919" s="46">
        <f>'Warranty &amp; Maintenance'!Z884</f>
        <v/>
      </c>
      <c r="C8919" s="84">
        <f>'Warranty &amp; Maintenance'!X884</f>
        <v/>
      </c>
      <c r="D8919" s="46">
        <f>'Warranty &amp; Maintenance'!Y884</f>
        <v/>
      </c>
      <c r="E8919" s="46">
        <f>IF(OR(B8919="",C8919="",D8919=""),"",D8919*100000+(C8919-DATE(2000,1,1))+ROW()/100000)</f>
        <v/>
      </c>
      <c r="F8919" s="46">
        <f>IF(E8919="","",IF(C8919&gt;WeekEndDate,"",E8919))</f>
        <v/>
      </c>
    </row>
    <row r="8920">
      <c r="A8920" t="inlineStr">
        <is>
          <t>Warranty &amp; Maintenance</t>
        </is>
      </c>
      <c r="B8920" s="46">
        <f>'Warranty &amp; Maintenance'!Z885</f>
        <v/>
      </c>
      <c r="C8920" s="84">
        <f>'Warranty &amp; Maintenance'!X885</f>
        <v/>
      </c>
      <c r="D8920" s="46">
        <f>'Warranty &amp; Maintenance'!Y885</f>
        <v/>
      </c>
      <c r="E8920" s="46">
        <f>IF(OR(B8920="",C8920="",D8920=""),"",D8920*100000+(C8920-DATE(2000,1,1))+ROW()/100000)</f>
        <v/>
      </c>
      <c r="F8920" s="46">
        <f>IF(E8920="","",IF(C8920&gt;WeekEndDate,"",E8920))</f>
        <v/>
      </c>
    </row>
    <row r="8921">
      <c r="A8921" t="inlineStr">
        <is>
          <t>Warranty &amp; Maintenance</t>
        </is>
      </c>
      <c r="B8921" s="46">
        <f>'Warranty &amp; Maintenance'!Z886</f>
        <v/>
      </c>
      <c r="C8921" s="84">
        <f>'Warranty &amp; Maintenance'!X886</f>
        <v/>
      </c>
      <c r="D8921" s="46">
        <f>'Warranty &amp; Maintenance'!Y886</f>
        <v/>
      </c>
      <c r="E8921" s="46">
        <f>IF(OR(B8921="",C8921="",D8921=""),"",D8921*100000+(C8921-DATE(2000,1,1))+ROW()/100000)</f>
        <v/>
      </c>
      <c r="F8921" s="46">
        <f>IF(E8921="","",IF(C8921&gt;WeekEndDate,"",E8921))</f>
        <v/>
      </c>
    </row>
    <row r="8922">
      <c r="A8922" t="inlineStr">
        <is>
          <t>Warranty &amp; Maintenance</t>
        </is>
      </c>
      <c r="B8922" s="46">
        <f>'Warranty &amp; Maintenance'!Z887</f>
        <v/>
      </c>
      <c r="C8922" s="84">
        <f>'Warranty &amp; Maintenance'!X887</f>
        <v/>
      </c>
      <c r="D8922" s="46">
        <f>'Warranty &amp; Maintenance'!Y887</f>
        <v/>
      </c>
      <c r="E8922" s="46">
        <f>IF(OR(B8922="",C8922="",D8922=""),"",D8922*100000+(C8922-DATE(2000,1,1))+ROW()/100000)</f>
        <v/>
      </c>
      <c r="F8922" s="46">
        <f>IF(E8922="","",IF(C8922&gt;WeekEndDate,"",E8922))</f>
        <v/>
      </c>
    </row>
    <row r="8923">
      <c r="A8923" t="inlineStr">
        <is>
          <t>Warranty &amp; Maintenance</t>
        </is>
      </c>
      <c r="B8923" s="46">
        <f>'Warranty &amp; Maintenance'!Z888</f>
        <v/>
      </c>
      <c r="C8923" s="84">
        <f>'Warranty &amp; Maintenance'!X888</f>
        <v/>
      </c>
      <c r="D8923" s="46">
        <f>'Warranty &amp; Maintenance'!Y888</f>
        <v/>
      </c>
      <c r="E8923" s="46">
        <f>IF(OR(B8923="",C8923="",D8923=""),"",D8923*100000+(C8923-DATE(2000,1,1))+ROW()/100000)</f>
        <v/>
      </c>
      <c r="F8923" s="46">
        <f>IF(E8923="","",IF(C8923&gt;WeekEndDate,"",E8923))</f>
        <v/>
      </c>
    </row>
    <row r="8924">
      <c r="A8924" t="inlineStr">
        <is>
          <t>Warranty &amp; Maintenance</t>
        </is>
      </c>
      <c r="B8924" s="46">
        <f>'Warranty &amp; Maintenance'!Z889</f>
        <v/>
      </c>
      <c r="C8924" s="84">
        <f>'Warranty &amp; Maintenance'!X889</f>
        <v/>
      </c>
      <c r="D8924" s="46">
        <f>'Warranty &amp; Maintenance'!Y889</f>
        <v/>
      </c>
      <c r="E8924" s="46">
        <f>IF(OR(B8924="",C8924="",D8924=""),"",D8924*100000+(C8924-DATE(2000,1,1))+ROW()/100000)</f>
        <v/>
      </c>
      <c r="F8924" s="46">
        <f>IF(E8924="","",IF(C8924&gt;WeekEndDate,"",E8924))</f>
        <v/>
      </c>
    </row>
    <row r="8925">
      <c r="A8925" t="inlineStr">
        <is>
          <t>Warranty &amp; Maintenance</t>
        </is>
      </c>
      <c r="B8925" s="46">
        <f>'Warranty &amp; Maintenance'!Z890</f>
        <v/>
      </c>
      <c r="C8925" s="84">
        <f>'Warranty &amp; Maintenance'!X890</f>
        <v/>
      </c>
      <c r="D8925" s="46">
        <f>'Warranty &amp; Maintenance'!Y890</f>
        <v/>
      </c>
      <c r="E8925" s="46">
        <f>IF(OR(B8925="",C8925="",D8925=""),"",D8925*100000+(C8925-DATE(2000,1,1))+ROW()/100000)</f>
        <v/>
      </c>
      <c r="F8925" s="46">
        <f>IF(E8925="","",IF(C8925&gt;WeekEndDate,"",E8925))</f>
        <v/>
      </c>
    </row>
    <row r="8926">
      <c r="A8926" t="inlineStr">
        <is>
          <t>Warranty &amp; Maintenance</t>
        </is>
      </c>
      <c r="B8926" s="46">
        <f>'Warranty &amp; Maintenance'!Z891</f>
        <v/>
      </c>
      <c r="C8926" s="84">
        <f>'Warranty &amp; Maintenance'!X891</f>
        <v/>
      </c>
      <c r="D8926" s="46">
        <f>'Warranty &amp; Maintenance'!Y891</f>
        <v/>
      </c>
      <c r="E8926" s="46">
        <f>IF(OR(B8926="",C8926="",D8926=""),"",D8926*100000+(C8926-DATE(2000,1,1))+ROW()/100000)</f>
        <v/>
      </c>
      <c r="F8926" s="46">
        <f>IF(E8926="","",IF(C8926&gt;WeekEndDate,"",E8926))</f>
        <v/>
      </c>
    </row>
    <row r="8927">
      <c r="A8927" t="inlineStr">
        <is>
          <t>Warranty &amp; Maintenance</t>
        </is>
      </c>
      <c r="B8927" s="46">
        <f>'Warranty &amp; Maintenance'!Z892</f>
        <v/>
      </c>
      <c r="C8927" s="84">
        <f>'Warranty &amp; Maintenance'!X892</f>
        <v/>
      </c>
      <c r="D8927" s="46">
        <f>'Warranty &amp; Maintenance'!Y892</f>
        <v/>
      </c>
      <c r="E8927" s="46">
        <f>IF(OR(B8927="",C8927="",D8927=""),"",D8927*100000+(C8927-DATE(2000,1,1))+ROW()/100000)</f>
        <v/>
      </c>
      <c r="F8927" s="46">
        <f>IF(E8927="","",IF(C8927&gt;WeekEndDate,"",E8927))</f>
        <v/>
      </c>
    </row>
    <row r="8928">
      <c r="A8928" t="inlineStr">
        <is>
          <t>Warranty &amp; Maintenance</t>
        </is>
      </c>
      <c r="B8928" s="46">
        <f>'Warranty &amp; Maintenance'!Z893</f>
        <v/>
      </c>
      <c r="C8928" s="84">
        <f>'Warranty &amp; Maintenance'!X893</f>
        <v/>
      </c>
      <c r="D8928" s="46">
        <f>'Warranty &amp; Maintenance'!Y893</f>
        <v/>
      </c>
      <c r="E8928" s="46">
        <f>IF(OR(B8928="",C8928="",D8928=""),"",D8928*100000+(C8928-DATE(2000,1,1))+ROW()/100000)</f>
        <v/>
      </c>
      <c r="F8928" s="46">
        <f>IF(E8928="","",IF(C8928&gt;WeekEndDate,"",E8928))</f>
        <v/>
      </c>
    </row>
    <row r="8929">
      <c r="A8929" t="inlineStr">
        <is>
          <t>Warranty &amp; Maintenance</t>
        </is>
      </c>
      <c r="B8929" s="46">
        <f>'Warranty &amp; Maintenance'!Z894</f>
        <v/>
      </c>
      <c r="C8929" s="84">
        <f>'Warranty &amp; Maintenance'!X894</f>
        <v/>
      </c>
      <c r="D8929" s="46">
        <f>'Warranty &amp; Maintenance'!Y894</f>
        <v/>
      </c>
      <c r="E8929" s="46">
        <f>IF(OR(B8929="",C8929="",D8929=""),"",D8929*100000+(C8929-DATE(2000,1,1))+ROW()/100000)</f>
        <v/>
      </c>
      <c r="F8929" s="46">
        <f>IF(E8929="","",IF(C8929&gt;WeekEndDate,"",E8929))</f>
        <v/>
      </c>
    </row>
    <row r="8930">
      <c r="A8930" t="inlineStr">
        <is>
          <t>Warranty &amp; Maintenance</t>
        </is>
      </c>
      <c r="B8930" s="46">
        <f>'Warranty &amp; Maintenance'!Z895</f>
        <v/>
      </c>
      <c r="C8930" s="84">
        <f>'Warranty &amp; Maintenance'!X895</f>
        <v/>
      </c>
      <c r="D8930" s="46">
        <f>'Warranty &amp; Maintenance'!Y895</f>
        <v/>
      </c>
      <c r="E8930" s="46">
        <f>IF(OR(B8930="",C8930="",D8930=""),"",D8930*100000+(C8930-DATE(2000,1,1))+ROW()/100000)</f>
        <v/>
      </c>
      <c r="F8930" s="46">
        <f>IF(E8930="","",IF(C8930&gt;WeekEndDate,"",E8930))</f>
        <v/>
      </c>
    </row>
    <row r="8931">
      <c r="A8931" t="inlineStr">
        <is>
          <t>Warranty &amp; Maintenance</t>
        </is>
      </c>
      <c r="B8931" s="46">
        <f>'Warranty &amp; Maintenance'!Z896</f>
        <v/>
      </c>
      <c r="C8931" s="84">
        <f>'Warranty &amp; Maintenance'!X896</f>
        <v/>
      </c>
      <c r="D8931" s="46">
        <f>'Warranty &amp; Maintenance'!Y896</f>
        <v/>
      </c>
      <c r="E8931" s="46">
        <f>IF(OR(B8931="",C8931="",D8931=""),"",D8931*100000+(C8931-DATE(2000,1,1))+ROW()/100000)</f>
        <v/>
      </c>
      <c r="F8931" s="46">
        <f>IF(E8931="","",IF(C8931&gt;WeekEndDate,"",E8931))</f>
        <v/>
      </c>
    </row>
    <row r="8932">
      <c r="A8932" t="inlineStr">
        <is>
          <t>Warranty &amp; Maintenance</t>
        </is>
      </c>
      <c r="B8932" s="46">
        <f>'Warranty &amp; Maintenance'!Z897</f>
        <v/>
      </c>
      <c r="C8932" s="84">
        <f>'Warranty &amp; Maintenance'!X897</f>
        <v/>
      </c>
      <c r="D8932" s="46">
        <f>'Warranty &amp; Maintenance'!Y897</f>
        <v/>
      </c>
      <c r="E8932" s="46">
        <f>IF(OR(B8932="",C8932="",D8932=""),"",D8932*100000+(C8932-DATE(2000,1,1))+ROW()/100000)</f>
        <v/>
      </c>
      <c r="F8932" s="46">
        <f>IF(E8932="","",IF(C8932&gt;WeekEndDate,"",E8932))</f>
        <v/>
      </c>
    </row>
    <row r="8933">
      <c r="A8933" t="inlineStr">
        <is>
          <t>Warranty &amp; Maintenance</t>
        </is>
      </c>
      <c r="B8933" s="46">
        <f>'Warranty &amp; Maintenance'!Z898</f>
        <v/>
      </c>
      <c r="C8933" s="84">
        <f>'Warranty &amp; Maintenance'!X898</f>
        <v/>
      </c>
      <c r="D8933" s="46">
        <f>'Warranty &amp; Maintenance'!Y898</f>
        <v/>
      </c>
      <c r="E8933" s="46">
        <f>IF(OR(B8933="",C8933="",D8933=""),"",D8933*100000+(C8933-DATE(2000,1,1))+ROW()/100000)</f>
        <v/>
      </c>
      <c r="F8933" s="46">
        <f>IF(E8933="","",IF(C8933&gt;WeekEndDate,"",E8933))</f>
        <v/>
      </c>
    </row>
    <row r="8934">
      <c r="A8934" t="inlineStr">
        <is>
          <t>Warranty &amp; Maintenance</t>
        </is>
      </c>
      <c r="B8934" s="46">
        <f>'Warranty &amp; Maintenance'!Z899</f>
        <v/>
      </c>
      <c r="C8934" s="84">
        <f>'Warranty &amp; Maintenance'!X899</f>
        <v/>
      </c>
      <c r="D8934" s="46">
        <f>'Warranty &amp; Maintenance'!Y899</f>
        <v/>
      </c>
      <c r="E8934" s="46">
        <f>IF(OR(B8934="",C8934="",D8934=""),"",D8934*100000+(C8934-DATE(2000,1,1))+ROW()/100000)</f>
        <v/>
      </c>
      <c r="F8934" s="46">
        <f>IF(E8934="","",IF(C8934&gt;WeekEndDate,"",E8934))</f>
        <v/>
      </c>
    </row>
    <row r="8935">
      <c r="A8935" t="inlineStr">
        <is>
          <t>Warranty &amp; Maintenance</t>
        </is>
      </c>
      <c r="B8935" s="46">
        <f>'Warranty &amp; Maintenance'!Z900</f>
        <v/>
      </c>
      <c r="C8935" s="84">
        <f>'Warranty &amp; Maintenance'!X900</f>
        <v/>
      </c>
      <c r="D8935" s="46">
        <f>'Warranty &amp; Maintenance'!Y900</f>
        <v/>
      </c>
      <c r="E8935" s="46">
        <f>IF(OR(B8935="",C8935="",D8935=""),"",D8935*100000+(C8935-DATE(2000,1,1))+ROW()/100000)</f>
        <v/>
      </c>
      <c r="F8935" s="46">
        <f>IF(E8935="","",IF(C8935&gt;WeekEndDate,"",E8935))</f>
        <v/>
      </c>
    </row>
    <row r="8936">
      <c r="A8936" t="inlineStr">
        <is>
          <t>Warranty &amp; Maintenance</t>
        </is>
      </c>
      <c r="B8936" s="46">
        <f>'Warranty &amp; Maintenance'!Z901</f>
        <v/>
      </c>
      <c r="C8936" s="84">
        <f>'Warranty &amp; Maintenance'!X901</f>
        <v/>
      </c>
      <c r="D8936" s="46">
        <f>'Warranty &amp; Maintenance'!Y901</f>
        <v/>
      </c>
      <c r="E8936" s="46">
        <f>IF(OR(B8936="",C8936="",D8936=""),"",D8936*100000+(C8936-DATE(2000,1,1))+ROW()/100000)</f>
        <v/>
      </c>
      <c r="F8936" s="46">
        <f>IF(E8936="","",IF(C8936&gt;WeekEndDate,"",E8936))</f>
        <v/>
      </c>
    </row>
    <row r="8937">
      <c r="A8937" t="inlineStr">
        <is>
          <t>Warranty &amp; Maintenance</t>
        </is>
      </c>
      <c r="B8937" s="46">
        <f>'Warranty &amp; Maintenance'!Z902</f>
        <v/>
      </c>
      <c r="C8937" s="84">
        <f>'Warranty &amp; Maintenance'!X902</f>
        <v/>
      </c>
      <c r="D8937" s="46">
        <f>'Warranty &amp; Maintenance'!Y902</f>
        <v/>
      </c>
      <c r="E8937" s="46">
        <f>IF(OR(B8937="",C8937="",D8937=""),"",D8937*100000+(C8937-DATE(2000,1,1))+ROW()/100000)</f>
        <v/>
      </c>
      <c r="F8937" s="46">
        <f>IF(E8937="","",IF(C8937&gt;WeekEndDate,"",E8937))</f>
        <v/>
      </c>
    </row>
    <row r="8938">
      <c r="A8938" t="inlineStr">
        <is>
          <t>Warranty &amp; Maintenance</t>
        </is>
      </c>
      <c r="B8938" s="46">
        <f>'Warranty &amp; Maintenance'!Z903</f>
        <v/>
      </c>
      <c r="C8938" s="84">
        <f>'Warranty &amp; Maintenance'!X903</f>
        <v/>
      </c>
      <c r="D8938" s="46">
        <f>'Warranty &amp; Maintenance'!Y903</f>
        <v/>
      </c>
      <c r="E8938" s="46">
        <f>IF(OR(B8938="",C8938="",D8938=""),"",D8938*100000+(C8938-DATE(2000,1,1))+ROW()/100000)</f>
        <v/>
      </c>
      <c r="F8938" s="46">
        <f>IF(E8938="","",IF(C8938&gt;WeekEndDate,"",E8938))</f>
        <v/>
      </c>
    </row>
    <row r="8939">
      <c r="A8939" t="inlineStr">
        <is>
          <t>Warranty &amp; Maintenance</t>
        </is>
      </c>
      <c r="B8939" s="46">
        <f>'Warranty &amp; Maintenance'!Z904</f>
        <v/>
      </c>
      <c r="C8939" s="84">
        <f>'Warranty &amp; Maintenance'!X904</f>
        <v/>
      </c>
      <c r="D8939" s="46">
        <f>'Warranty &amp; Maintenance'!Y904</f>
        <v/>
      </c>
      <c r="E8939" s="46">
        <f>IF(OR(B8939="",C8939="",D8939=""),"",D8939*100000+(C8939-DATE(2000,1,1))+ROW()/100000)</f>
        <v/>
      </c>
      <c r="F8939" s="46">
        <f>IF(E8939="","",IF(C8939&gt;WeekEndDate,"",E8939))</f>
        <v/>
      </c>
    </row>
    <row r="8940">
      <c r="A8940" t="inlineStr">
        <is>
          <t>Warranty &amp; Maintenance</t>
        </is>
      </c>
      <c r="B8940" s="46">
        <f>'Warranty &amp; Maintenance'!Z905</f>
        <v/>
      </c>
      <c r="C8940" s="84">
        <f>'Warranty &amp; Maintenance'!X905</f>
        <v/>
      </c>
      <c r="D8940" s="46">
        <f>'Warranty &amp; Maintenance'!Y905</f>
        <v/>
      </c>
      <c r="E8940" s="46">
        <f>IF(OR(B8940="",C8940="",D8940=""),"",D8940*100000+(C8940-DATE(2000,1,1))+ROW()/100000)</f>
        <v/>
      </c>
      <c r="F8940" s="46">
        <f>IF(E8940="","",IF(C8940&gt;WeekEndDate,"",E8940))</f>
        <v/>
      </c>
    </row>
    <row r="8941">
      <c r="A8941" t="inlineStr">
        <is>
          <t>Warranty &amp; Maintenance</t>
        </is>
      </c>
      <c r="B8941" s="46">
        <f>'Warranty &amp; Maintenance'!Z906</f>
        <v/>
      </c>
      <c r="C8941" s="84">
        <f>'Warranty &amp; Maintenance'!X906</f>
        <v/>
      </c>
      <c r="D8941" s="46">
        <f>'Warranty &amp; Maintenance'!Y906</f>
        <v/>
      </c>
      <c r="E8941" s="46">
        <f>IF(OR(B8941="",C8941="",D8941=""),"",D8941*100000+(C8941-DATE(2000,1,1))+ROW()/100000)</f>
        <v/>
      </c>
      <c r="F8941" s="46">
        <f>IF(E8941="","",IF(C8941&gt;WeekEndDate,"",E8941))</f>
        <v/>
      </c>
    </row>
    <row r="8942">
      <c r="A8942" t="inlineStr">
        <is>
          <t>Warranty &amp; Maintenance</t>
        </is>
      </c>
      <c r="B8942" s="46">
        <f>'Warranty &amp; Maintenance'!Z907</f>
        <v/>
      </c>
      <c r="C8942" s="84">
        <f>'Warranty &amp; Maintenance'!X907</f>
        <v/>
      </c>
      <c r="D8942" s="46">
        <f>'Warranty &amp; Maintenance'!Y907</f>
        <v/>
      </c>
      <c r="E8942" s="46">
        <f>IF(OR(B8942="",C8942="",D8942=""),"",D8942*100000+(C8942-DATE(2000,1,1))+ROW()/100000)</f>
        <v/>
      </c>
      <c r="F8942" s="46">
        <f>IF(E8942="","",IF(C8942&gt;WeekEndDate,"",E8942))</f>
        <v/>
      </c>
    </row>
    <row r="8943">
      <c r="A8943" t="inlineStr">
        <is>
          <t>Warranty &amp; Maintenance</t>
        </is>
      </c>
      <c r="B8943" s="46">
        <f>'Warranty &amp; Maintenance'!Z908</f>
        <v/>
      </c>
      <c r="C8943" s="84">
        <f>'Warranty &amp; Maintenance'!X908</f>
        <v/>
      </c>
      <c r="D8943" s="46">
        <f>'Warranty &amp; Maintenance'!Y908</f>
        <v/>
      </c>
      <c r="E8943" s="46">
        <f>IF(OR(B8943="",C8943="",D8943=""),"",D8943*100000+(C8943-DATE(2000,1,1))+ROW()/100000)</f>
        <v/>
      </c>
      <c r="F8943" s="46">
        <f>IF(E8943="","",IF(C8943&gt;WeekEndDate,"",E8943))</f>
        <v/>
      </c>
    </row>
    <row r="8944">
      <c r="A8944" t="inlineStr">
        <is>
          <t>Warranty &amp; Maintenance</t>
        </is>
      </c>
      <c r="B8944" s="46">
        <f>'Warranty &amp; Maintenance'!Z909</f>
        <v/>
      </c>
      <c r="C8944" s="84">
        <f>'Warranty &amp; Maintenance'!X909</f>
        <v/>
      </c>
      <c r="D8944" s="46">
        <f>'Warranty &amp; Maintenance'!Y909</f>
        <v/>
      </c>
      <c r="E8944" s="46">
        <f>IF(OR(B8944="",C8944="",D8944=""),"",D8944*100000+(C8944-DATE(2000,1,1))+ROW()/100000)</f>
        <v/>
      </c>
      <c r="F8944" s="46">
        <f>IF(E8944="","",IF(C8944&gt;WeekEndDate,"",E8944))</f>
        <v/>
      </c>
    </row>
    <row r="8945">
      <c r="A8945" t="inlineStr">
        <is>
          <t>Warranty &amp; Maintenance</t>
        </is>
      </c>
      <c r="B8945" s="46">
        <f>'Warranty &amp; Maintenance'!Z910</f>
        <v/>
      </c>
      <c r="C8945" s="84">
        <f>'Warranty &amp; Maintenance'!X910</f>
        <v/>
      </c>
      <c r="D8945" s="46">
        <f>'Warranty &amp; Maintenance'!Y910</f>
        <v/>
      </c>
      <c r="E8945" s="46">
        <f>IF(OR(B8945="",C8945="",D8945=""),"",D8945*100000+(C8945-DATE(2000,1,1))+ROW()/100000)</f>
        <v/>
      </c>
      <c r="F8945" s="46">
        <f>IF(E8945="","",IF(C8945&gt;WeekEndDate,"",E8945))</f>
        <v/>
      </c>
    </row>
    <row r="8946">
      <c r="A8946" t="inlineStr">
        <is>
          <t>Warranty &amp; Maintenance</t>
        </is>
      </c>
      <c r="B8946" s="46">
        <f>'Warranty &amp; Maintenance'!Z911</f>
        <v/>
      </c>
      <c r="C8946" s="84">
        <f>'Warranty &amp; Maintenance'!X911</f>
        <v/>
      </c>
      <c r="D8946" s="46">
        <f>'Warranty &amp; Maintenance'!Y911</f>
        <v/>
      </c>
      <c r="E8946" s="46">
        <f>IF(OR(B8946="",C8946="",D8946=""),"",D8946*100000+(C8946-DATE(2000,1,1))+ROW()/100000)</f>
        <v/>
      </c>
      <c r="F8946" s="46">
        <f>IF(E8946="","",IF(C8946&gt;WeekEndDate,"",E8946))</f>
        <v/>
      </c>
    </row>
    <row r="8947">
      <c r="A8947" t="inlineStr">
        <is>
          <t>Warranty &amp; Maintenance</t>
        </is>
      </c>
      <c r="B8947" s="46">
        <f>'Warranty &amp; Maintenance'!Z912</f>
        <v/>
      </c>
      <c r="C8947" s="84">
        <f>'Warranty &amp; Maintenance'!X912</f>
        <v/>
      </c>
      <c r="D8947" s="46">
        <f>'Warranty &amp; Maintenance'!Y912</f>
        <v/>
      </c>
      <c r="E8947" s="46">
        <f>IF(OR(B8947="",C8947="",D8947=""),"",D8947*100000+(C8947-DATE(2000,1,1))+ROW()/100000)</f>
        <v/>
      </c>
      <c r="F8947" s="46">
        <f>IF(E8947="","",IF(C8947&gt;WeekEndDate,"",E8947))</f>
        <v/>
      </c>
    </row>
    <row r="8948">
      <c r="A8948" t="inlineStr">
        <is>
          <t>Warranty &amp; Maintenance</t>
        </is>
      </c>
      <c r="B8948" s="46">
        <f>'Warranty &amp; Maintenance'!Z913</f>
        <v/>
      </c>
      <c r="C8948" s="84">
        <f>'Warranty &amp; Maintenance'!X913</f>
        <v/>
      </c>
      <c r="D8948" s="46">
        <f>'Warranty &amp; Maintenance'!Y913</f>
        <v/>
      </c>
      <c r="E8948" s="46">
        <f>IF(OR(B8948="",C8948="",D8948=""),"",D8948*100000+(C8948-DATE(2000,1,1))+ROW()/100000)</f>
        <v/>
      </c>
      <c r="F8948" s="46">
        <f>IF(E8948="","",IF(C8948&gt;WeekEndDate,"",E8948))</f>
        <v/>
      </c>
    </row>
    <row r="8949">
      <c r="A8949" t="inlineStr">
        <is>
          <t>Warranty &amp; Maintenance</t>
        </is>
      </c>
      <c r="B8949" s="46">
        <f>'Warranty &amp; Maintenance'!Z914</f>
        <v/>
      </c>
      <c r="C8949" s="84">
        <f>'Warranty &amp; Maintenance'!X914</f>
        <v/>
      </c>
      <c r="D8949" s="46">
        <f>'Warranty &amp; Maintenance'!Y914</f>
        <v/>
      </c>
      <c r="E8949" s="46">
        <f>IF(OR(B8949="",C8949="",D8949=""),"",D8949*100000+(C8949-DATE(2000,1,1))+ROW()/100000)</f>
        <v/>
      </c>
      <c r="F8949" s="46">
        <f>IF(E8949="","",IF(C8949&gt;WeekEndDate,"",E8949))</f>
        <v/>
      </c>
    </row>
    <row r="8950">
      <c r="A8950" t="inlineStr">
        <is>
          <t>Warranty &amp; Maintenance</t>
        </is>
      </c>
      <c r="B8950" s="46">
        <f>'Warranty &amp; Maintenance'!Z915</f>
        <v/>
      </c>
      <c r="C8950" s="84">
        <f>'Warranty &amp; Maintenance'!X915</f>
        <v/>
      </c>
      <c r="D8950" s="46">
        <f>'Warranty &amp; Maintenance'!Y915</f>
        <v/>
      </c>
      <c r="E8950" s="46">
        <f>IF(OR(B8950="",C8950="",D8950=""),"",D8950*100000+(C8950-DATE(2000,1,1))+ROW()/100000)</f>
        <v/>
      </c>
      <c r="F8950" s="46">
        <f>IF(E8950="","",IF(C8950&gt;WeekEndDate,"",E8950))</f>
        <v/>
      </c>
    </row>
    <row r="8951">
      <c r="A8951" t="inlineStr">
        <is>
          <t>Warranty &amp; Maintenance</t>
        </is>
      </c>
      <c r="B8951" s="46">
        <f>'Warranty &amp; Maintenance'!Z916</f>
        <v/>
      </c>
      <c r="C8951" s="84">
        <f>'Warranty &amp; Maintenance'!X916</f>
        <v/>
      </c>
      <c r="D8951" s="46">
        <f>'Warranty &amp; Maintenance'!Y916</f>
        <v/>
      </c>
      <c r="E8951" s="46">
        <f>IF(OR(B8951="",C8951="",D8951=""),"",D8951*100000+(C8951-DATE(2000,1,1))+ROW()/100000)</f>
        <v/>
      </c>
      <c r="F8951" s="46">
        <f>IF(E8951="","",IF(C8951&gt;WeekEndDate,"",E8951))</f>
        <v/>
      </c>
    </row>
    <row r="8952">
      <c r="A8952" t="inlineStr">
        <is>
          <t>Warranty &amp; Maintenance</t>
        </is>
      </c>
      <c r="B8952" s="46">
        <f>'Warranty &amp; Maintenance'!Z917</f>
        <v/>
      </c>
      <c r="C8952" s="84">
        <f>'Warranty &amp; Maintenance'!X917</f>
        <v/>
      </c>
      <c r="D8952" s="46">
        <f>'Warranty &amp; Maintenance'!Y917</f>
        <v/>
      </c>
      <c r="E8952" s="46">
        <f>IF(OR(B8952="",C8952="",D8952=""),"",D8952*100000+(C8952-DATE(2000,1,1))+ROW()/100000)</f>
        <v/>
      </c>
      <c r="F8952" s="46">
        <f>IF(E8952="","",IF(C8952&gt;WeekEndDate,"",E8952))</f>
        <v/>
      </c>
    </row>
    <row r="8953">
      <c r="A8953" t="inlineStr">
        <is>
          <t>Warranty &amp; Maintenance</t>
        </is>
      </c>
      <c r="B8953" s="46">
        <f>'Warranty &amp; Maintenance'!Z918</f>
        <v/>
      </c>
      <c r="C8953" s="84">
        <f>'Warranty &amp; Maintenance'!X918</f>
        <v/>
      </c>
      <c r="D8953" s="46">
        <f>'Warranty &amp; Maintenance'!Y918</f>
        <v/>
      </c>
      <c r="E8953" s="46">
        <f>IF(OR(B8953="",C8953="",D8953=""),"",D8953*100000+(C8953-DATE(2000,1,1))+ROW()/100000)</f>
        <v/>
      </c>
      <c r="F8953" s="46">
        <f>IF(E8953="","",IF(C8953&gt;WeekEndDate,"",E8953))</f>
        <v/>
      </c>
    </row>
    <row r="8954">
      <c r="A8954" t="inlineStr">
        <is>
          <t>Warranty &amp; Maintenance</t>
        </is>
      </c>
      <c r="B8954" s="46">
        <f>'Warranty &amp; Maintenance'!Z919</f>
        <v/>
      </c>
      <c r="C8954" s="84">
        <f>'Warranty &amp; Maintenance'!X919</f>
        <v/>
      </c>
      <c r="D8954" s="46">
        <f>'Warranty &amp; Maintenance'!Y919</f>
        <v/>
      </c>
      <c r="E8954" s="46">
        <f>IF(OR(B8954="",C8954="",D8954=""),"",D8954*100000+(C8954-DATE(2000,1,1))+ROW()/100000)</f>
        <v/>
      </c>
      <c r="F8954" s="46">
        <f>IF(E8954="","",IF(C8954&gt;WeekEndDate,"",E8954))</f>
        <v/>
      </c>
    </row>
    <row r="8955">
      <c r="A8955" t="inlineStr">
        <is>
          <t>Warranty &amp; Maintenance</t>
        </is>
      </c>
      <c r="B8955" s="46">
        <f>'Warranty &amp; Maintenance'!Z920</f>
        <v/>
      </c>
      <c r="C8955" s="84">
        <f>'Warranty &amp; Maintenance'!X920</f>
        <v/>
      </c>
      <c r="D8955" s="46">
        <f>'Warranty &amp; Maintenance'!Y920</f>
        <v/>
      </c>
      <c r="E8955" s="46">
        <f>IF(OR(B8955="",C8955="",D8955=""),"",D8955*100000+(C8955-DATE(2000,1,1))+ROW()/100000)</f>
        <v/>
      </c>
      <c r="F8955" s="46">
        <f>IF(E8955="","",IF(C8955&gt;WeekEndDate,"",E8955))</f>
        <v/>
      </c>
    </row>
    <row r="8956">
      <c r="A8956" t="inlineStr">
        <is>
          <t>Warranty &amp; Maintenance</t>
        </is>
      </c>
      <c r="B8956" s="46">
        <f>'Warranty &amp; Maintenance'!Z921</f>
        <v/>
      </c>
      <c r="C8956" s="84">
        <f>'Warranty &amp; Maintenance'!X921</f>
        <v/>
      </c>
      <c r="D8956" s="46">
        <f>'Warranty &amp; Maintenance'!Y921</f>
        <v/>
      </c>
      <c r="E8956" s="46">
        <f>IF(OR(B8956="",C8956="",D8956=""),"",D8956*100000+(C8956-DATE(2000,1,1))+ROW()/100000)</f>
        <v/>
      </c>
      <c r="F8956" s="46">
        <f>IF(E8956="","",IF(C8956&gt;WeekEndDate,"",E8956))</f>
        <v/>
      </c>
    </row>
    <row r="8957">
      <c r="A8957" t="inlineStr">
        <is>
          <t>Warranty &amp; Maintenance</t>
        </is>
      </c>
      <c r="B8957" s="46">
        <f>'Warranty &amp; Maintenance'!Z922</f>
        <v/>
      </c>
      <c r="C8957" s="84">
        <f>'Warranty &amp; Maintenance'!X922</f>
        <v/>
      </c>
      <c r="D8957" s="46">
        <f>'Warranty &amp; Maintenance'!Y922</f>
        <v/>
      </c>
      <c r="E8957" s="46">
        <f>IF(OR(B8957="",C8957="",D8957=""),"",D8957*100000+(C8957-DATE(2000,1,1))+ROW()/100000)</f>
        <v/>
      </c>
      <c r="F8957" s="46">
        <f>IF(E8957="","",IF(C8957&gt;WeekEndDate,"",E8957))</f>
        <v/>
      </c>
    </row>
    <row r="8958">
      <c r="A8958" t="inlineStr">
        <is>
          <t>Warranty &amp; Maintenance</t>
        </is>
      </c>
      <c r="B8958" s="46">
        <f>'Warranty &amp; Maintenance'!Z923</f>
        <v/>
      </c>
      <c r="C8958" s="84">
        <f>'Warranty &amp; Maintenance'!X923</f>
        <v/>
      </c>
      <c r="D8958" s="46">
        <f>'Warranty &amp; Maintenance'!Y923</f>
        <v/>
      </c>
      <c r="E8958" s="46">
        <f>IF(OR(B8958="",C8958="",D8958=""),"",D8958*100000+(C8958-DATE(2000,1,1))+ROW()/100000)</f>
        <v/>
      </c>
      <c r="F8958" s="46">
        <f>IF(E8958="","",IF(C8958&gt;WeekEndDate,"",E8958))</f>
        <v/>
      </c>
    </row>
    <row r="8959">
      <c r="A8959" t="inlineStr">
        <is>
          <t>Warranty &amp; Maintenance</t>
        </is>
      </c>
      <c r="B8959" s="46">
        <f>'Warranty &amp; Maintenance'!Z924</f>
        <v/>
      </c>
      <c r="C8959" s="84">
        <f>'Warranty &amp; Maintenance'!X924</f>
        <v/>
      </c>
      <c r="D8959" s="46">
        <f>'Warranty &amp; Maintenance'!Y924</f>
        <v/>
      </c>
      <c r="E8959" s="46">
        <f>IF(OR(B8959="",C8959="",D8959=""),"",D8959*100000+(C8959-DATE(2000,1,1))+ROW()/100000)</f>
        <v/>
      </c>
      <c r="F8959" s="46">
        <f>IF(E8959="","",IF(C8959&gt;WeekEndDate,"",E8959))</f>
        <v/>
      </c>
    </row>
    <row r="8960">
      <c r="A8960" t="inlineStr">
        <is>
          <t>Warranty &amp; Maintenance</t>
        </is>
      </c>
      <c r="B8960" s="46">
        <f>'Warranty &amp; Maintenance'!Z925</f>
        <v/>
      </c>
      <c r="C8960" s="84">
        <f>'Warranty &amp; Maintenance'!X925</f>
        <v/>
      </c>
      <c r="D8960" s="46">
        <f>'Warranty &amp; Maintenance'!Y925</f>
        <v/>
      </c>
      <c r="E8960" s="46">
        <f>IF(OR(B8960="",C8960="",D8960=""),"",D8960*100000+(C8960-DATE(2000,1,1))+ROW()/100000)</f>
        <v/>
      </c>
      <c r="F8960" s="46">
        <f>IF(E8960="","",IF(C8960&gt;WeekEndDate,"",E8960))</f>
        <v/>
      </c>
    </row>
    <row r="8961">
      <c r="A8961" t="inlineStr">
        <is>
          <t>Warranty &amp; Maintenance</t>
        </is>
      </c>
      <c r="B8961" s="46">
        <f>'Warranty &amp; Maintenance'!Z926</f>
        <v/>
      </c>
      <c r="C8961" s="84">
        <f>'Warranty &amp; Maintenance'!X926</f>
        <v/>
      </c>
      <c r="D8961" s="46">
        <f>'Warranty &amp; Maintenance'!Y926</f>
        <v/>
      </c>
      <c r="E8961" s="46">
        <f>IF(OR(B8961="",C8961="",D8961=""),"",D8961*100000+(C8961-DATE(2000,1,1))+ROW()/100000)</f>
        <v/>
      </c>
      <c r="F8961" s="46">
        <f>IF(E8961="","",IF(C8961&gt;WeekEndDate,"",E8961))</f>
        <v/>
      </c>
    </row>
    <row r="8962">
      <c r="A8962" t="inlineStr">
        <is>
          <t>Warranty &amp; Maintenance</t>
        </is>
      </c>
      <c r="B8962" s="46">
        <f>'Warranty &amp; Maintenance'!Z927</f>
        <v/>
      </c>
      <c r="C8962" s="84">
        <f>'Warranty &amp; Maintenance'!X927</f>
        <v/>
      </c>
      <c r="D8962" s="46">
        <f>'Warranty &amp; Maintenance'!Y927</f>
        <v/>
      </c>
      <c r="E8962" s="46">
        <f>IF(OR(B8962="",C8962="",D8962=""),"",D8962*100000+(C8962-DATE(2000,1,1))+ROW()/100000)</f>
        <v/>
      </c>
      <c r="F8962" s="46">
        <f>IF(E8962="","",IF(C8962&gt;WeekEndDate,"",E8962))</f>
        <v/>
      </c>
    </row>
    <row r="8963">
      <c r="A8963" t="inlineStr">
        <is>
          <t>Warranty &amp; Maintenance</t>
        </is>
      </c>
      <c r="B8963" s="46">
        <f>'Warranty &amp; Maintenance'!Z928</f>
        <v/>
      </c>
      <c r="C8963" s="84">
        <f>'Warranty &amp; Maintenance'!X928</f>
        <v/>
      </c>
      <c r="D8963" s="46">
        <f>'Warranty &amp; Maintenance'!Y928</f>
        <v/>
      </c>
      <c r="E8963" s="46">
        <f>IF(OR(B8963="",C8963="",D8963=""),"",D8963*100000+(C8963-DATE(2000,1,1))+ROW()/100000)</f>
        <v/>
      </c>
      <c r="F8963" s="46">
        <f>IF(E8963="","",IF(C8963&gt;WeekEndDate,"",E8963))</f>
        <v/>
      </c>
    </row>
    <row r="8964">
      <c r="A8964" t="inlineStr">
        <is>
          <t>Warranty &amp; Maintenance</t>
        </is>
      </c>
      <c r="B8964" s="46">
        <f>'Warranty &amp; Maintenance'!Z929</f>
        <v/>
      </c>
      <c r="C8964" s="84">
        <f>'Warranty &amp; Maintenance'!X929</f>
        <v/>
      </c>
      <c r="D8964" s="46">
        <f>'Warranty &amp; Maintenance'!Y929</f>
        <v/>
      </c>
      <c r="E8964" s="46">
        <f>IF(OR(B8964="",C8964="",D8964=""),"",D8964*100000+(C8964-DATE(2000,1,1))+ROW()/100000)</f>
        <v/>
      </c>
      <c r="F8964" s="46">
        <f>IF(E8964="","",IF(C8964&gt;WeekEndDate,"",E8964))</f>
        <v/>
      </c>
    </row>
    <row r="8965">
      <c r="A8965" t="inlineStr">
        <is>
          <t>Warranty &amp; Maintenance</t>
        </is>
      </c>
      <c r="B8965" s="46">
        <f>'Warranty &amp; Maintenance'!Z930</f>
        <v/>
      </c>
      <c r="C8965" s="84">
        <f>'Warranty &amp; Maintenance'!X930</f>
        <v/>
      </c>
      <c r="D8965" s="46">
        <f>'Warranty &amp; Maintenance'!Y930</f>
        <v/>
      </c>
      <c r="E8965" s="46">
        <f>IF(OR(B8965="",C8965="",D8965=""),"",D8965*100000+(C8965-DATE(2000,1,1))+ROW()/100000)</f>
        <v/>
      </c>
      <c r="F8965" s="46">
        <f>IF(E8965="","",IF(C8965&gt;WeekEndDate,"",E8965))</f>
        <v/>
      </c>
    </row>
    <row r="8966">
      <c r="A8966" t="inlineStr">
        <is>
          <t>Warranty &amp; Maintenance</t>
        </is>
      </c>
      <c r="B8966" s="46">
        <f>'Warranty &amp; Maintenance'!Z931</f>
        <v/>
      </c>
      <c r="C8966" s="84">
        <f>'Warranty &amp; Maintenance'!X931</f>
        <v/>
      </c>
      <c r="D8966" s="46">
        <f>'Warranty &amp; Maintenance'!Y931</f>
        <v/>
      </c>
      <c r="E8966" s="46">
        <f>IF(OR(B8966="",C8966="",D8966=""),"",D8966*100000+(C8966-DATE(2000,1,1))+ROW()/100000)</f>
        <v/>
      </c>
      <c r="F8966" s="46">
        <f>IF(E8966="","",IF(C8966&gt;WeekEndDate,"",E8966))</f>
        <v/>
      </c>
    </row>
    <row r="8967">
      <c r="A8967" t="inlineStr">
        <is>
          <t>Warranty &amp; Maintenance</t>
        </is>
      </c>
      <c r="B8967" s="46">
        <f>'Warranty &amp; Maintenance'!Z932</f>
        <v/>
      </c>
      <c r="C8967" s="84">
        <f>'Warranty &amp; Maintenance'!X932</f>
        <v/>
      </c>
      <c r="D8967" s="46">
        <f>'Warranty &amp; Maintenance'!Y932</f>
        <v/>
      </c>
      <c r="E8967" s="46">
        <f>IF(OR(B8967="",C8967="",D8967=""),"",D8967*100000+(C8967-DATE(2000,1,1))+ROW()/100000)</f>
        <v/>
      </c>
      <c r="F8967" s="46">
        <f>IF(E8967="","",IF(C8967&gt;WeekEndDate,"",E8967))</f>
        <v/>
      </c>
    </row>
    <row r="8968">
      <c r="A8968" t="inlineStr">
        <is>
          <t>Warranty &amp; Maintenance</t>
        </is>
      </c>
      <c r="B8968" s="46">
        <f>'Warranty &amp; Maintenance'!Z933</f>
        <v/>
      </c>
      <c r="C8968" s="84">
        <f>'Warranty &amp; Maintenance'!X933</f>
        <v/>
      </c>
      <c r="D8968" s="46">
        <f>'Warranty &amp; Maintenance'!Y933</f>
        <v/>
      </c>
      <c r="E8968" s="46">
        <f>IF(OR(B8968="",C8968="",D8968=""),"",D8968*100000+(C8968-DATE(2000,1,1))+ROW()/100000)</f>
        <v/>
      </c>
      <c r="F8968" s="46">
        <f>IF(E8968="","",IF(C8968&gt;WeekEndDate,"",E8968))</f>
        <v/>
      </c>
    </row>
    <row r="8969">
      <c r="A8969" t="inlineStr">
        <is>
          <t>Warranty &amp; Maintenance</t>
        </is>
      </c>
      <c r="B8969" s="46">
        <f>'Warranty &amp; Maintenance'!Z934</f>
        <v/>
      </c>
      <c r="C8969" s="84">
        <f>'Warranty &amp; Maintenance'!X934</f>
        <v/>
      </c>
      <c r="D8969" s="46">
        <f>'Warranty &amp; Maintenance'!Y934</f>
        <v/>
      </c>
      <c r="E8969" s="46">
        <f>IF(OR(B8969="",C8969="",D8969=""),"",D8969*100000+(C8969-DATE(2000,1,1))+ROW()/100000)</f>
        <v/>
      </c>
      <c r="F8969" s="46">
        <f>IF(E8969="","",IF(C8969&gt;WeekEndDate,"",E8969))</f>
        <v/>
      </c>
    </row>
    <row r="8970">
      <c r="A8970" t="inlineStr">
        <is>
          <t>Warranty &amp; Maintenance</t>
        </is>
      </c>
      <c r="B8970" s="46">
        <f>'Warranty &amp; Maintenance'!Z935</f>
        <v/>
      </c>
      <c r="C8970" s="84">
        <f>'Warranty &amp; Maintenance'!X935</f>
        <v/>
      </c>
      <c r="D8970" s="46">
        <f>'Warranty &amp; Maintenance'!Y935</f>
        <v/>
      </c>
      <c r="E8970" s="46">
        <f>IF(OR(B8970="",C8970="",D8970=""),"",D8970*100000+(C8970-DATE(2000,1,1))+ROW()/100000)</f>
        <v/>
      </c>
      <c r="F8970" s="46">
        <f>IF(E8970="","",IF(C8970&gt;WeekEndDate,"",E8970))</f>
        <v/>
      </c>
    </row>
    <row r="8971">
      <c r="A8971" t="inlineStr">
        <is>
          <t>Warranty &amp; Maintenance</t>
        </is>
      </c>
      <c r="B8971" s="46">
        <f>'Warranty &amp; Maintenance'!Z936</f>
        <v/>
      </c>
      <c r="C8971" s="84">
        <f>'Warranty &amp; Maintenance'!X936</f>
        <v/>
      </c>
      <c r="D8971" s="46">
        <f>'Warranty &amp; Maintenance'!Y936</f>
        <v/>
      </c>
      <c r="E8971" s="46">
        <f>IF(OR(B8971="",C8971="",D8971=""),"",D8971*100000+(C8971-DATE(2000,1,1))+ROW()/100000)</f>
        <v/>
      </c>
      <c r="F8971" s="46">
        <f>IF(E8971="","",IF(C8971&gt;WeekEndDate,"",E8971))</f>
        <v/>
      </c>
    </row>
    <row r="8972">
      <c r="A8972" t="inlineStr">
        <is>
          <t>Warranty &amp; Maintenance</t>
        </is>
      </c>
      <c r="B8972" s="46">
        <f>'Warranty &amp; Maintenance'!Z937</f>
        <v/>
      </c>
      <c r="C8972" s="84">
        <f>'Warranty &amp; Maintenance'!X937</f>
        <v/>
      </c>
      <c r="D8972" s="46">
        <f>'Warranty &amp; Maintenance'!Y937</f>
        <v/>
      </c>
      <c r="E8972" s="46">
        <f>IF(OR(B8972="",C8972="",D8972=""),"",D8972*100000+(C8972-DATE(2000,1,1))+ROW()/100000)</f>
        <v/>
      </c>
      <c r="F8972" s="46">
        <f>IF(E8972="","",IF(C8972&gt;WeekEndDate,"",E8972))</f>
        <v/>
      </c>
    </row>
    <row r="8973">
      <c r="A8973" t="inlineStr">
        <is>
          <t>Warranty &amp; Maintenance</t>
        </is>
      </c>
      <c r="B8973" s="46">
        <f>'Warranty &amp; Maintenance'!Z938</f>
        <v/>
      </c>
      <c r="C8973" s="84">
        <f>'Warranty &amp; Maintenance'!X938</f>
        <v/>
      </c>
      <c r="D8973" s="46">
        <f>'Warranty &amp; Maintenance'!Y938</f>
        <v/>
      </c>
      <c r="E8973" s="46">
        <f>IF(OR(B8973="",C8973="",D8973=""),"",D8973*100000+(C8973-DATE(2000,1,1))+ROW()/100000)</f>
        <v/>
      </c>
      <c r="F8973" s="46">
        <f>IF(E8973="","",IF(C8973&gt;WeekEndDate,"",E8973))</f>
        <v/>
      </c>
    </row>
    <row r="8974">
      <c r="A8974" t="inlineStr">
        <is>
          <t>Warranty &amp; Maintenance</t>
        </is>
      </c>
      <c r="B8974" s="46">
        <f>'Warranty &amp; Maintenance'!Z939</f>
        <v/>
      </c>
      <c r="C8974" s="84">
        <f>'Warranty &amp; Maintenance'!X939</f>
        <v/>
      </c>
      <c r="D8974" s="46">
        <f>'Warranty &amp; Maintenance'!Y939</f>
        <v/>
      </c>
      <c r="E8974" s="46">
        <f>IF(OR(B8974="",C8974="",D8974=""),"",D8974*100000+(C8974-DATE(2000,1,1))+ROW()/100000)</f>
        <v/>
      </c>
      <c r="F8974" s="46">
        <f>IF(E8974="","",IF(C8974&gt;WeekEndDate,"",E8974))</f>
        <v/>
      </c>
    </row>
    <row r="8975">
      <c r="A8975" t="inlineStr">
        <is>
          <t>Warranty &amp; Maintenance</t>
        </is>
      </c>
      <c r="B8975" s="46">
        <f>'Warranty &amp; Maintenance'!Z940</f>
        <v/>
      </c>
      <c r="C8975" s="84">
        <f>'Warranty &amp; Maintenance'!X940</f>
        <v/>
      </c>
      <c r="D8975" s="46">
        <f>'Warranty &amp; Maintenance'!Y940</f>
        <v/>
      </c>
      <c r="E8975" s="46">
        <f>IF(OR(B8975="",C8975="",D8975=""),"",D8975*100000+(C8975-DATE(2000,1,1))+ROW()/100000)</f>
        <v/>
      </c>
      <c r="F8975" s="46">
        <f>IF(E8975="","",IF(C8975&gt;WeekEndDate,"",E8975))</f>
        <v/>
      </c>
    </row>
    <row r="8976">
      <c r="A8976" t="inlineStr">
        <is>
          <t>Warranty &amp; Maintenance</t>
        </is>
      </c>
      <c r="B8976" s="46">
        <f>'Warranty &amp; Maintenance'!Z941</f>
        <v/>
      </c>
      <c r="C8976" s="84">
        <f>'Warranty &amp; Maintenance'!X941</f>
        <v/>
      </c>
      <c r="D8976" s="46">
        <f>'Warranty &amp; Maintenance'!Y941</f>
        <v/>
      </c>
      <c r="E8976" s="46">
        <f>IF(OR(B8976="",C8976="",D8976=""),"",D8976*100000+(C8976-DATE(2000,1,1))+ROW()/100000)</f>
        <v/>
      </c>
      <c r="F8976" s="46">
        <f>IF(E8976="","",IF(C8976&gt;WeekEndDate,"",E8976))</f>
        <v/>
      </c>
    </row>
    <row r="8977">
      <c r="A8977" t="inlineStr">
        <is>
          <t>Warranty &amp; Maintenance</t>
        </is>
      </c>
      <c r="B8977" s="46">
        <f>'Warranty &amp; Maintenance'!Z942</f>
        <v/>
      </c>
      <c r="C8977" s="84">
        <f>'Warranty &amp; Maintenance'!X942</f>
        <v/>
      </c>
      <c r="D8977" s="46">
        <f>'Warranty &amp; Maintenance'!Y942</f>
        <v/>
      </c>
      <c r="E8977" s="46">
        <f>IF(OR(B8977="",C8977="",D8977=""),"",D8977*100000+(C8977-DATE(2000,1,1))+ROW()/100000)</f>
        <v/>
      </c>
      <c r="F8977" s="46">
        <f>IF(E8977="","",IF(C8977&gt;WeekEndDate,"",E8977))</f>
        <v/>
      </c>
    </row>
    <row r="8978">
      <c r="A8978" t="inlineStr">
        <is>
          <t>Warranty &amp; Maintenance</t>
        </is>
      </c>
      <c r="B8978" s="46">
        <f>'Warranty &amp; Maintenance'!Z943</f>
        <v/>
      </c>
      <c r="C8978" s="84">
        <f>'Warranty &amp; Maintenance'!X943</f>
        <v/>
      </c>
      <c r="D8978" s="46">
        <f>'Warranty &amp; Maintenance'!Y943</f>
        <v/>
      </c>
      <c r="E8978" s="46">
        <f>IF(OR(B8978="",C8978="",D8978=""),"",D8978*100000+(C8978-DATE(2000,1,1))+ROW()/100000)</f>
        <v/>
      </c>
      <c r="F8978" s="46">
        <f>IF(E8978="","",IF(C8978&gt;WeekEndDate,"",E8978))</f>
        <v/>
      </c>
    </row>
    <row r="8979">
      <c r="A8979" t="inlineStr">
        <is>
          <t>Warranty &amp; Maintenance</t>
        </is>
      </c>
      <c r="B8979" s="46">
        <f>'Warranty &amp; Maintenance'!Z944</f>
        <v/>
      </c>
      <c r="C8979" s="84">
        <f>'Warranty &amp; Maintenance'!X944</f>
        <v/>
      </c>
      <c r="D8979" s="46">
        <f>'Warranty &amp; Maintenance'!Y944</f>
        <v/>
      </c>
      <c r="E8979" s="46">
        <f>IF(OR(B8979="",C8979="",D8979=""),"",D8979*100000+(C8979-DATE(2000,1,1))+ROW()/100000)</f>
        <v/>
      </c>
      <c r="F8979" s="46">
        <f>IF(E8979="","",IF(C8979&gt;WeekEndDate,"",E8979))</f>
        <v/>
      </c>
    </row>
    <row r="8980">
      <c r="A8980" t="inlineStr">
        <is>
          <t>Warranty &amp; Maintenance</t>
        </is>
      </c>
      <c r="B8980" s="46">
        <f>'Warranty &amp; Maintenance'!Z945</f>
        <v/>
      </c>
      <c r="C8980" s="84">
        <f>'Warranty &amp; Maintenance'!X945</f>
        <v/>
      </c>
      <c r="D8980" s="46">
        <f>'Warranty &amp; Maintenance'!Y945</f>
        <v/>
      </c>
      <c r="E8980" s="46">
        <f>IF(OR(B8980="",C8980="",D8980=""),"",D8980*100000+(C8980-DATE(2000,1,1))+ROW()/100000)</f>
        <v/>
      </c>
      <c r="F8980" s="46">
        <f>IF(E8980="","",IF(C8980&gt;WeekEndDate,"",E8980))</f>
        <v/>
      </c>
    </row>
    <row r="8981">
      <c r="A8981" t="inlineStr">
        <is>
          <t>Warranty &amp; Maintenance</t>
        </is>
      </c>
      <c r="B8981" s="46">
        <f>'Warranty &amp; Maintenance'!Z946</f>
        <v/>
      </c>
      <c r="C8981" s="84">
        <f>'Warranty &amp; Maintenance'!X946</f>
        <v/>
      </c>
      <c r="D8981" s="46">
        <f>'Warranty &amp; Maintenance'!Y946</f>
        <v/>
      </c>
      <c r="E8981" s="46">
        <f>IF(OR(B8981="",C8981="",D8981=""),"",D8981*100000+(C8981-DATE(2000,1,1))+ROW()/100000)</f>
        <v/>
      </c>
      <c r="F8981" s="46">
        <f>IF(E8981="","",IF(C8981&gt;WeekEndDate,"",E8981))</f>
        <v/>
      </c>
    </row>
    <row r="8982">
      <c r="A8982" t="inlineStr">
        <is>
          <t>Warranty &amp; Maintenance</t>
        </is>
      </c>
      <c r="B8982" s="46">
        <f>'Warranty &amp; Maintenance'!Z947</f>
        <v/>
      </c>
      <c r="C8982" s="84">
        <f>'Warranty &amp; Maintenance'!X947</f>
        <v/>
      </c>
      <c r="D8982" s="46">
        <f>'Warranty &amp; Maintenance'!Y947</f>
        <v/>
      </c>
      <c r="E8982" s="46">
        <f>IF(OR(B8982="",C8982="",D8982=""),"",D8982*100000+(C8982-DATE(2000,1,1))+ROW()/100000)</f>
        <v/>
      </c>
      <c r="F8982" s="46">
        <f>IF(E8982="","",IF(C8982&gt;WeekEndDate,"",E8982))</f>
        <v/>
      </c>
    </row>
    <row r="8983">
      <c r="A8983" t="inlineStr">
        <is>
          <t>Warranty &amp; Maintenance</t>
        </is>
      </c>
      <c r="B8983" s="46">
        <f>'Warranty &amp; Maintenance'!Z948</f>
        <v/>
      </c>
      <c r="C8983" s="84">
        <f>'Warranty &amp; Maintenance'!X948</f>
        <v/>
      </c>
      <c r="D8983" s="46">
        <f>'Warranty &amp; Maintenance'!Y948</f>
        <v/>
      </c>
      <c r="E8983" s="46">
        <f>IF(OR(B8983="",C8983="",D8983=""),"",D8983*100000+(C8983-DATE(2000,1,1))+ROW()/100000)</f>
        <v/>
      </c>
      <c r="F8983" s="46">
        <f>IF(E8983="","",IF(C8983&gt;WeekEndDate,"",E8983))</f>
        <v/>
      </c>
    </row>
    <row r="8984">
      <c r="A8984" t="inlineStr">
        <is>
          <t>Warranty &amp; Maintenance</t>
        </is>
      </c>
      <c r="B8984" s="46">
        <f>'Warranty &amp; Maintenance'!Z949</f>
        <v/>
      </c>
      <c r="C8984" s="84">
        <f>'Warranty &amp; Maintenance'!X949</f>
        <v/>
      </c>
      <c r="D8984" s="46">
        <f>'Warranty &amp; Maintenance'!Y949</f>
        <v/>
      </c>
      <c r="E8984" s="46">
        <f>IF(OR(B8984="",C8984="",D8984=""),"",D8984*100000+(C8984-DATE(2000,1,1))+ROW()/100000)</f>
        <v/>
      </c>
      <c r="F8984" s="46">
        <f>IF(E8984="","",IF(C8984&gt;WeekEndDate,"",E8984))</f>
        <v/>
      </c>
    </row>
    <row r="8985">
      <c r="A8985" t="inlineStr">
        <is>
          <t>Warranty &amp; Maintenance</t>
        </is>
      </c>
      <c r="B8985" s="46">
        <f>'Warranty &amp; Maintenance'!Z950</f>
        <v/>
      </c>
      <c r="C8985" s="84">
        <f>'Warranty &amp; Maintenance'!X950</f>
        <v/>
      </c>
      <c r="D8985" s="46">
        <f>'Warranty &amp; Maintenance'!Y950</f>
        <v/>
      </c>
      <c r="E8985" s="46">
        <f>IF(OR(B8985="",C8985="",D8985=""),"",D8985*100000+(C8985-DATE(2000,1,1))+ROW()/100000)</f>
        <v/>
      </c>
      <c r="F8985" s="46">
        <f>IF(E8985="","",IF(C8985&gt;WeekEndDate,"",E8985))</f>
        <v/>
      </c>
    </row>
    <row r="8986">
      <c r="A8986" t="inlineStr">
        <is>
          <t>Warranty &amp; Maintenance</t>
        </is>
      </c>
      <c r="B8986" s="46">
        <f>'Warranty &amp; Maintenance'!Z951</f>
        <v/>
      </c>
      <c r="C8986" s="84">
        <f>'Warranty &amp; Maintenance'!X951</f>
        <v/>
      </c>
      <c r="D8986" s="46">
        <f>'Warranty &amp; Maintenance'!Y951</f>
        <v/>
      </c>
      <c r="E8986" s="46">
        <f>IF(OR(B8986="",C8986="",D8986=""),"",D8986*100000+(C8986-DATE(2000,1,1))+ROW()/100000)</f>
        <v/>
      </c>
      <c r="F8986" s="46">
        <f>IF(E8986="","",IF(C8986&gt;WeekEndDate,"",E8986))</f>
        <v/>
      </c>
    </row>
    <row r="8987">
      <c r="A8987" t="inlineStr">
        <is>
          <t>Warranty &amp; Maintenance</t>
        </is>
      </c>
      <c r="B8987" s="46">
        <f>'Warranty &amp; Maintenance'!Z952</f>
        <v/>
      </c>
      <c r="C8987" s="84">
        <f>'Warranty &amp; Maintenance'!X952</f>
        <v/>
      </c>
      <c r="D8987" s="46">
        <f>'Warranty &amp; Maintenance'!Y952</f>
        <v/>
      </c>
      <c r="E8987" s="46">
        <f>IF(OR(B8987="",C8987="",D8987=""),"",D8987*100000+(C8987-DATE(2000,1,1))+ROW()/100000)</f>
        <v/>
      </c>
      <c r="F8987" s="46">
        <f>IF(E8987="","",IF(C8987&gt;WeekEndDate,"",E8987))</f>
        <v/>
      </c>
    </row>
    <row r="8988">
      <c r="A8988" t="inlineStr">
        <is>
          <t>Warranty &amp; Maintenance</t>
        </is>
      </c>
      <c r="B8988" s="46">
        <f>'Warranty &amp; Maintenance'!Z953</f>
        <v/>
      </c>
      <c r="C8988" s="84">
        <f>'Warranty &amp; Maintenance'!X953</f>
        <v/>
      </c>
      <c r="D8988" s="46">
        <f>'Warranty &amp; Maintenance'!Y953</f>
        <v/>
      </c>
      <c r="E8988" s="46">
        <f>IF(OR(B8988="",C8988="",D8988=""),"",D8988*100000+(C8988-DATE(2000,1,1))+ROW()/100000)</f>
        <v/>
      </c>
      <c r="F8988" s="46">
        <f>IF(E8988="","",IF(C8988&gt;WeekEndDate,"",E8988))</f>
        <v/>
      </c>
    </row>
    <row r="8989">
      <c r="A8989" t="inlineStr">
        <is>
          <t>Warranty &amp; Maintenance</t>
        </is>
      </c>
      <c r="B8989" s="46">
        <f>'Warranty &amp; Maintenance'!Z954</f>
        <v/>
      </c>
      <c r="C8989" s="84">
        <f>'Warranty &amp; Maintenance'!X954</f>
        <v/>
      </c>
      <c r="D8989" s="46">
        <f>'Warranty &amp; Maintenance'!Y954</f>
        <v/>
      </c>
      <c r="E8989" s="46">
        <f>IF(OR(B8989="",C8989="",D8989=""),"",D8989*100000+(C8989-DATE(2000,1,1))+ROW()/100000)</f>
        <v/>
      </c>
      <c r="F8989" s="46">
        <f>IF(E8989="","",IF(C8989&gt;WeekEndDate,"",E8989))</f>
        <v/>
      </c>
    </row>
    <row r="8990">
      <c r="A8990" t="inlineStr">
        <is>
          <t>Warranty &amp; Maintenance</t>
        </is>
      </c>
      <c r="B8990" s="46">
        <f>'Warranty &amp; Maintenance'!Z955</f>
        <v/>
      </c>
      <c r="C8990" s="84">
        <f>'Warranty &amp; Maintenance'!X955</f>
        <v/>
      </c>
      <c r="D8990" s="46">
        <f>'Warranty &amp; Maintenance'!Y955</f>
        <v/>
      </c>
      <c r="E8990" s="46">
        <f>IF(OR(B8990="",C8990="",D8990=""),"",D8990*100000+(C8990-DATE(2000,1,1))+ROW()/100000)</f>
        <v/>
      </c>
      <c r="F8990" s="46">
        <f>IF(E8990="","",IF(C8990&gt;WeekEndDate,"",E8990))</f>
        <v/>
      </c>
    </row>
    <row r="8991">
      <c r="A8991" t="inlineStr">
        <is>
          <t>Warranty &amp; Maintenance</t>
        </is>
      </c>
      <c r="B8991" s="46">
        <f>'Warranty &amp; Maintenance'!Z956</f>
        <v/>
      </c>
      <c r="C8991" s="84">
        <f>'Warranty &amp; Maintenance'!X956</f>
        <v/>
      </c>
      <c r="D8991" s="46">
        <f>'Warranty &amp; Maintenance'!Y956</f>
        <v/>
      </c>
      <c r="E8991" s="46">
        <f>IF(OR(B8991="",C8991="",D8991=""),"",D8991*100000+(C8991-DATE(2000,1,1))+ROW()/100000)</f>
        <v/>
      </c>
      <c r="F8991" s="46">
        <f>IF(E8991="","",IF(C8991&gt;WeekEndDate,"",E8991))</f>
        <v/>
      </c>
    </row>
    <row r="8992">
      <c r="A8992" t="inlineStr">
        <is>
          <t>Warranty &amp; Maintenance</t>
        </is>
      </c>
      <c r="B8992" s="46">
        <f>'Warranty &amp; Maintenance'!Z957</f>
        <v/>
      </c>
      <c r="C8992" s="84">
        <f>'Warranty &amp; Maintenance'!X957</f>
        <v/>
      </c>
      <c r="D8992" s="46">
        <f>'Warranty &amp; Maintenance'!Y957</f>
        <v/>
      </c>
      <c r="E8992" s="46">
        <f>IF(OR(B8992="",C8992="",D8992=""),"",D8992*100000+(C8992-DATE(2000,1,1))+ROW()/100000)</f>
        <v/>
      </c>
      <c r="F8992" s="46">
        <f>IF(E8992="","",IF(C8992&gt;WeekEndDate,"",E8992))</f>
        <v/>
      </c>
    </row>
    <row r="8993">
      <c r="A8993" t="inlineStr">
        <is>
          <t>Warranty &amp; Maintenance</t>
        </is>
      </c>
      <c r="B8993" s="46">
        <f>'Warranty &amp; Maintenance'!Z958</f>
        <v/>
      </c>
      <c r="C8993" s="84">
        <f>'Warranty &amp; Maintenance'!X958</f>
        <v/>
      </c>
      <c r="D8993" s="46">
        <f>'Warranty &amp; Maintenance'!Y958</f>
        <v/>
      </c>
      <c r="E8993" s="46">
        <f>IF(OR(B8993="",C8993="",D8993=""),"",D8993*100000+(C8993-DATE(2000,1,1))+ROW()/100000)</f>
        <v/>
      </c>
      <c r="F8993" s="46">
        <f>IF(E8993="","",IF(C8993&gt;WeekEndDate,"",E8993))</f>
        <v/>
      </c>
    </row>
    <row r="8994">
      <c r="A8994" t="inlineStr">
        <is>
          <t>Warranty &amp; Maintenance</t>
        </is>
      </c>
      <c r="B8994" s="46">
        <f>'Warranty &amp; Maintenance'!Z959</f>
        <v/>
      </c>
      <c r="C8994" s="84">
        <f>'Warranty &amp; Maintenance'!X959</f>
        <v/>
      </c>
      <c r="D8994" s="46">
        <f>'Warranty &amp; Maintenance'!Y959</f>
        <v/>
      </c>
      <c r="E8994" s="46">
        <f>IF(OR(B8994="",C8994="",D8994=""),"",D8994*100000+(C8994-DATE(2000,1,1))+ROW()/100000)</f>
        <v/>
      </c>
      <c r="F8994" s="46">
        <f>IF(E8994="","",IF(C8994&gt;WeekEndDate,"",E8994))</f>
        <v/>
      </c>
    </row>
    <row r="8995">
      <c r="A8995" t="inlineStr">
        <is>
          <t>Warranty &amp; Maintenance</t>
        </is>
      </c>
      <c r="B8995" s="46">
        <f>'Warranty &amp; Maintenance'!Z960</f>
        <v/>
      </c>
      <c r="C8995" s="84">
        <f>'Warranty &amp; Maintenance'!X960</f>
        <v/>
      </c>
      <c r="D8995" s="46">
        <f>'Warranty &amp; Maintenance'!Y960</f>
        <v/>
      </c>
      <c r="E8995" s="46">
        <f>IF(OR(B8995="",C8995="",D8995=""),"",D8995*100000+(C8995-DATE(2000,1,1))+ROW()/100000)</f>
        <v/>
      </c>
      <c r="F8995" s="46">
        <f>IF(E8995="","",IF(C8995&gt;WeekEndDate,"",E8995))</f>
        <v/>
      </c>
    </row>
    <row r="8996">
      <c r="A8996" t="inlineStr">
        <is>
          <t>Warranty &amp; Maintenance</t>
        </is>
      </c>
      <c r="B8996" s="46">
        <f>'Warranty &amp; Maintenance'!Z961</f>
        <v/>
      </c>
      <c r="C8996" s="84">
        <f>'Warranty &amp; Maintenance'!X961</f>
        <v/>
      </c>
      <c r="D8996" s="46">
        <f>'Warranty &amp; Maintenance'!Y961</f>
        <v/>
      </c>
      <c r="E8996" s="46">
        <f>IF(OR(B8996="",C8996="",D8996=""),"",D8996*100000+(C8996-DATE(2000,1,1))+ROW()/100000)</f>
        <v/>
      </c>
      <c r="F8996" s="46">
        <f>IF(E8996="","",IF(C8996&gt;WeekEndDate,"",E8996))</f>
        <v/>
      </c>
    </row>
    <row r="8997">
      <c r="A8997" t="inlineStr">
        <is>
          <t>Warranty &amp; Maintenance</t>
        </is>
      </c>
      <c r="B8997" s="46">
        <f>'Warranty &amp; Maintenance'!Z962</f>
        <v/>
      </c>
      <c r="C8997" s="84">
        <f>'Warranty &amp; Maintenance'!X962</f>
        <v/>
      </c>
      <c r="D8997" s="46">
        <f>'Warranty &amp; Maintenance'!Y962</f>
        <v/>
      </c>
      <c r="E8997" s="46">
        <f>IF(OR(B8997="",C8997="",D8997=""),"",D8997*100000+(C8997-DATE(2000,1,1))+ROW()/100000)</f>
        <v/>
      </c>
      <c r="F8997" s="46">
        <f>IF(E8997="","",IF(C8997&gt;WeekEndDate,"",E8997))</f>
        <v/>
      </c>
    </row>
    <row r="8998">
      <c r="A8998" t="inlineStr">
        <is>
          <t>Warranty &amp; Maintenance</t>
        </is>
      </c>
      <c r="B8998" s="46">
        <f>'Warranty &amp; Maintenance'!Z963</f>
        <v/>
      </c>
      <c r="C8998" s="84">
        <f>'Warranty &amp; Maintenance'!X963</f>
        <v/>
      </c>
      <c r="D8998" s="46">
        <f>'Warranty &amp; Maintenance'!Y963</f>
        <v/>
      </c>
      <c r="E8998" s="46">
        <f>IF(OR(B8998="",C8998="",D8998=""),"",D8998*100000+(C8998-DATE(2000,1,1))+ROW()/100000)</f>
        <v/>
      </c>
      <c r="F8998" s="46">
        <f>IF(E8998="","",IF(C8998&gt;WeekEndDate,"",E8998))</f>
        <v/>
      </c>
    </row>
    <row r="8999">
      <c r="A8999" t="inlineStr">
        <is>
          <t>Warranty &amp; Maintenance</t>
        </is>
      </c>
      <c r="B8999" s="46">
        <f>'Warranty &amp; Maintenance'!Z964</f>
        <v/>
      </c>
      <c r="C8999" s="84">
        <f>'Warranty &amp; Maintenance'!X964</f>
        <v/>
      </c>
      <c r="D8999" s="46">
        <f>'Warranty &amp; Maintenance'!Y964</f>
        <v/>
      </c>
      <c r="E8999" s="46">
        <f>IF(OR(B8999="",C8999="",D8999=""),"",D8999*100000+(C8999-DATE(2000,1,1))+ROW()/100000)</f>
        <v/>
      </c>
      <c r="F8999" s="46">
        <f>IF(E8999="","",IF(C8999&gt;WeekEndDate,"",E8999))</f>
        <v/>
      </c>
    </row>
    <row r="9000">
      <c r="A9000" t="inlineStr">
        <is>
          <t>Warranty &amp; Maintenance</t>
        </is>
      </c>
      <c r="B9000" s="46">
        <f>'Warranty &amp; Maintenance'!Z965</f>
        <v/>
      </c>
      <c r="C9000" s="84">
        <f>'Warranty &amp; Maintenance'!X965</f>
        <v/>
      </c>
      <c r="D9000" s="46">
        <f>'Warranty &amp; Maintenance'!Y965</f>
        <v/>
      </c>
      <c r="E9000" s="46">
        <f>IF(OR(B9000="",C9000="",D9000=""),"",D9000*100000+(C9000-DATE(2000,1,1))+ROW()/100000)</f>
        <v/>
      </c>
      <c r="F9000" s="46">
        <f>IF(E9000="","",IF(C9000&gt;WeekEndDate,"",E9000))</f>
        <v/>
      </c>
    </row>
    <row r="9001">
      <c r="A9001" t="inlineStr">
        <is>
          <t>Warranty &amp; Maintenance</t>
        </is>
      </c>
      <c r="B9001" s="46">
        <f>'Warranty &amp; Maintenance'!Z966</f>
        <v/>
      </c>
      <c r="C9001" s="84">
        <f>'Warranty &amp; Maintenance'!X966</f>
        <v/>
      </c>
      <c r="D9001" s="46">
        <f>'Warranty &amp; Maintenance'!Y966</f>
        <v/>
      </c>
      <c r="E9001" s="46">
        <f>IF(OR(B9001="",C9001="",D9001=""),"",D9001*100000+(C9001-DATE(2000,1,1))+ROW()/100000)</f>
        <v/>
      </c>
      <c r="F9001" s="46">
        <f>IF(E9001="","",IF(C9001&gt;WeekEndDate,"",E9001))</f>
        <v/>
      </c>
    </row>
    <row r="9002">
      <c r="A9002" t="inlineStr">
        <is>
          <t>Warranty &amp; Maintenance</t>
        </is>
      </c>
      <c r="B9002" s="46">
        <f>'Warranty &amp; Maintenance'!Z967</f>
        <v/>
      </c>
      <c r="C9002" s="84">
        <f>'Warranty &amp; Maintenance'!X967</f>
        <v/>
      </c>
      <c r="D9002" s="46">
        <f>'Warranty &amp; Maintenance'!Y967</f>
        <v/>
      </c>
      <c r="E9002" s="46">
        <f>IF(OR(B9002="",C9002="",D9002=""),"",D9002*100000+(C9002-DATE(2000,1,1))+ROW()/100000)</f>
        <v/>
      </c>
      <c r="F9002" s="46">
        <f>IF(E9002="","",IF(C9002&gt;WeekEndDate,"",E9002))</f>
        <v/>
      </c>
    </row>
    <row r="9003">
      <c r="A9003" t="inlineStr">
        <is>
          <t>Warranty &amp; Maintenance</t>
        </is>
      </c>
      <c r="B9003" s="46">
        <f>'Warranty &amp; Maintenance'!Z968</f>
        <v/>
      </c>
      <c r="C9003" s="84">
        <f>'Warranty &amp; Maintenance'!X968</f>
        <v/>
      </c>
      <c r="D9003" s="46">
        <f>'Warranty &amp; Maintenance'!Y968</f>
        <v/>
      </c>
      <c r="E9003" s="46">
        <f>IF(OR(B9003="",C9003="",D9003=""),"",D9003*100000+(C9003-DATE(2000,1,1))+ROW()/100000)</f>
        <v/>
      </c>
      <c r="F9003" s="46">
        <f>IF(E9003="","",IF(C9003&gt;WeekEndDate,"",E9003))</f>
        <v/>
      </c>
    </row>
    <row r="9004">
      <c r="A9004" t="inlineStr">
        <is>
          <t>Warranty &amp; Maintenance</t>
        </is>
      </c>
      <c r="B9004" s="46">
        <f>'Warranty &amp; Maintenance'!Z969</f>
        <v/>
      </c>
      <c r="C9004" s="84">
        <f>'Warranty &amp; Maintenance'!X969</f>
        <v/>
      </c>
      <c r="D9004" s="46">
        <f>'Warranty &amp; Maintenance'!Y969</f>
        <v/>
      </c>
      <c r="E9004" s="46">
        <f>IF(OR(B9004="",C9004="",D9004=""),"",D9004*100000+(C9004-DATE(2000,1,1))+ROW()/100000)</f>
        <v/>
      </c>
      <c r="F9004" s="46">
        <f>IF(E9004="","",IF(C9004&gt;WeekEndDate,"",E9004))</f>
        <v/>
      </c>
    </row>
    <row r="9005">
      <c r="A9005" t="inlineStr">
        <is>
          <t>Warranty &amp; Maintenance</t>
        </is>
      </c>
      <c r="B9005" s="46">
        <f>'Warranty &amp; Maintenance'!Z970</f>
        <v/>
      </c>
      <c r="C9005" s="84">
        <f>'Warranty &amp; Maintenance'!X970</f>
        <v/>
      </c>
      <c r="D9005" s="46">
        <f>'Warranty &amp; Maintenance'!Y970</f>
        <v/>
      </c>
      <c r="E9005" s="46">
        <f>IF(OR(B9005="",C9005="",D9005=""),"",D9005*100000+(C9005-DATE(2000,1,1))+ROW()/100000)</f>
        <v/>
      </c>
      <c r="F9005" s="46">
        <f>IF(E9005="","",IF(C9005&gt;WeekEndDate,"",E9005))</f>
        <v/>
      </c>
    </row>
    <row r="9006">
      <c r="A9006" t="inlineStr">
        <is>
          <t>Warranty &amp; Maintenance</t>
        </is>
      </c>
      <c r="B9006" s="46">
        <f>'Warranty &amp; Maintenance'!Z971</f>
        <v/>
      </c>
      <c r="C9006" s="84">
        <f>'Warranty &amp; Maintenance'!X971</f>
        <v/>
      </c>
      <c r="D9006" s="46">
        <f>'Warranty &amp; Maintenance'!Y971</f>
        <v/>
      </c>
      <c r="E9006" s="46">
        <f>IF(OR(B9006="",C9006="",D9006=""),"",D9006*100000+(C9006-DATE(2000,1,1))+ROW()/100000)</f>
        <v/>
      </c>
      <c r="F9006" s="46">
        <f>IF(E9006="","",IF(C9006&gt;WeekEndDate,"",E9006))</f>
        <v/>
      </c>
    </row>
    <row r="9007">
      <c r="A9007" t="inlineStr">
        <is>
          <t>Warranty &amp; Maintenance</t>
        </is>
      </c>
      <c r="B9007" s="46">
        <f>'Warranty &amp; Maintenance'!Z972</f>
        <v/>
      </c>
      <c r="C9007" s="84">
        <f>'Warranty &amp; Maintenance'!X972</f>
        <v/>
      </c>
      <c r="D9007" s="46">
        <f>'Warranty &amp; Maintenance'!Y972</f>
        <v/>
      </c>
      <c r="E9007" s="46">
        <f>IF(OR(B9007="",C9007="",D9007=""),"",D9007*100000+(C9007-DATE(2000,1,1))+ROW()/100000)</f>
        <v/>
      </c>
      <c r="F9007" s="46">
        <f>IF(E9007="","",IF(C9007&gt;WeekEndDate,"",E9007))</f>
        <v/>
      </c>
    </row>
    <row r="9008">
      <c r="A9008" t="inlineStr">
        <is>
          <t>Warranty &amp; Maintenance</t>
        </is>
      </c>
      <c r="B9008" s="46">
        <f>'Warranty &amp; Maintenance'!Z973</f>
        <v/>
      </c>
      <c r="C9008" s="84">
        <f>'Warranty &amp; Maintenance'!X973</f>
        <v/>
      </c>
      <c r="D9008" s="46">
        <f>'Warranty &amp; Maintenance'!Y973</f>
        <v/>
      </c>
      <c r="E9008" s="46">
        <f>IF(OR(B9008="",C9008="",D9008=""),"",D9008*100000+(C9008-DATE(2000,1,1))+ROW()/100000)</f>
        <v/>
      </c>
      <c r="F9008" s="46">
        <f>IF(E9008="","",IF(C9008&gt;WeekEndDate,"",E9008))</f>
        <v/>
      </c>
    </row>
    <row r="9009">
      <c r="A9009" t="inlineStr">
        <is>
          <t>Warranty &amp; Maintenance</t>
        </is>
      </c>
      <c r="B9009" s="46">
        <f>'Warranty &amp; Maintenance'!Z974</f>
        <v/>
      </c>
      <c r="C9009" s="84">
        <f>'Warranty &amp; Maintenance'!X974</f>
        <v/>
      </c>
      <c r="D9009" s="46">
        <f>'Warranty &amp; Maintenance'!Y974</f>
        <v/>
      </c>
      <c r="E9009" s="46">
        <f>IF(OR(B9009="",C9009="",D9009=""),"",D9009*100000+(C9009-DATE(2000,1,1))+ROW()/100000)</f>
        <v/>
      </c>
      <c r="F9009" s="46">
        <f>IF(E9009="","",IF(C9009&gt;WeekEndDate,"",E9009))</f>
        <v/>
      </c>
    </row>
    <row r="9010">
      <c r="A9010" t="inlineStr">
        <is>
          <t>Warranty &amp; Maintenance</t>
        </is>
      </c>
      <c r="B9010" s="46">
        <f>'Warranty &amp; Maintenance'!Z975</f>
        <v/>
      </c>
      <c r="C9010" s="84">
        <f>'Warranty &amp; Maintenance'!X975</f>
        <v/>
      </c>
      <c r="D9010" s="46">
        <f>'Warranty &amp; Maintenance'!Y975</f>
        <v/>
      </c>
      <c r="E9010" s="46">
        <f>IF(OR(B9010="",C9010="",D9010=""),"",D9010*100000+(C9010-DATE(2000,1,1))+ROW()/100000)</f>
        <v/>
      </c>
      <c r="F9010" s="46">
        <f>IF(E9010="","",IF(C9010&gt;WeekEndDate,"",E9010))</f>
        <v/>
      </c>
    </row>
    <row r="9011">
      <c r="A9011" t="inlineStr">
        <is>
          <t>Warranty &amp; Maintenance</t>
        </is>
      </c>
      <c r="B9011" s="46">
        <f>'Warranty &amp; Maintenance'!Z976</f>
        <v/>
      </c>
      <c r="C9011" s="84">
        <f>'Warranty &amp; Maintenance'!X976</f>
        <v/>
      </c>
      <c r="D9011" s="46">
        <f>'Warranty &amp; Maintenance'!Y976</f>
        <v/>
      </c>
      <c r="E9011" s="46">
        <f>IF(OR(B9011="",C9011="",D9011=""),"",D9011*100000+(C9011-DATE(2000,1,1))+ROW()/100000)</f>
        <v/>
      </c>
      <c r="F9011" s="46">
        <f>IF(E9011="","",IF(C9011&gt;WeekEndDate,"",E9011))</f>
        <v/>
      </c>
    </row>
    <row r="9012">
      <c r="A9012" t="inlineStr">
        <is>
          <t>Warranty &amp; Maintenance</t>
        </is>
      </c>
      <c r="B9012" s="46">
        <f>'Warranty &amp; Maintenance'!Z977</f>
        <v/>
      </c>
      <c r="C9012" s="84">
        <f>'Warranty &amp; Maintenance'!X977</f>
        <v/>
      </c>
      <c r="D9012" s="46">
        <f>'Warranty &amp; Maintenance'!Y977</f>
        <v/>
      </c>
      <c r="E9012" s="46">
        <f>IF(OR(B9012="",C9012="",D9012=""),"",D9012*100000+(C9012-DATE(2000,1,1))+ROW()/100000)</f>
        <v/>
      </c>
      <c r="F9012" s="46">
        <f>IF(E9012="","",IF(C9012&gt;WeekEndDate,"",E9012))</f>
        <v/>
      </c>
    </row>
    <row r="9013">
      <c r="A9013" t="inlineStr">
        <is>
          <t>Warranty &amp; Maintenance</t>
        </is>
      </c>
      <c r="B9013" s="46">
        <f>'Warranty &amp; Maintenance'!Z978</f>
        <v/>
      </c>
      <c r="C9013" s="84">
        <f>'Warranty &amp; Maintenance'!X978</f>
        <v/>
      </c>
      <c r="D9013" s="46">
        <f>'Warranty &amp; Maintenance'!Y978</f>
        <v/>
      </c>
      <c r="E9013" s="46">
        <f>IF(OR(B9013="",C9013="",D9013=""),"",D9013*100000+(C9013-DATE(2000,1,1))+ROW()/100000)</f>
        <v/>
      </c>
      <c r="F9013" s="46">
        <f>IF(E9013="","",IF(C9013&gt;WeekEndDate,"",E9013))</f>
        <v/>
      </c>
    </row>
    <row r="9014">
      <c r="A9014" t="inlineStr">
        <is>
          <t>Warranty &amp; Maintenance</t>
        </is>
      </c>
      <c r="B9014" s="46">
        <f>'Warranty &amp; Maintenance'!Z979</f>
        <v/>
      </c>
      <c r="C9014" s="84">
        <f>'Warranty &amp; Maintenance'!X979</f>
        <v/>
      </c>
      <c r="D9014" s="46">
        <f>'Warranty &amp; Maintenance'!Y979</f>
        <v/>
      </c>
      <c r="E9014" s="46">
        <f>IF(OR(B9014="",C9014="",D9014=""),"",D9014*100000+(C9014-DATE(2000,1,1))+ROW()/100000)</f>
        <v/>
      </c>
      <c r="F9014" s="46">
        <f>IF(E9014="","",IF(C9014&gt;WeekEndDate,"",E9014))</f>
        <v/>
      </c>
    </row>
    <row r="9015">
      <c r="A9015" t="inlineStr">
        <is>
          <t>Warranty &amp; Maintenance</t>
        </is>
      </c>
      <c r="B9015" s="46">
        <f>'Warranty &amp; Maintenance'!Z980</f>
        <v/>
      </c>
      <c r="C9015" s="84">
        <f>'Warranty &amp; Maintenance'!X980</f>
        <v/>
      </c>
      <c r="D9015" s="46">
        <f>'Warranty &amp; Maintenance'!Y980</f>
        <v/>
      </c>
      <c r="E9015" s="46">
        <f>IF(OR(B9015="",C9015="",D9015=""),"",D9015*100000+(C9015-DATE(2000,1,1))+ROW()/100000)</f>
        <v/>
      </c>
      <c r="F9015" s="46">
        <f>IF(E9015="","",IF(C9015&gt;WeekEndDate,"",E9015))</f>
        <v/>
      </c>
    </row>
    <row r="9016">
      <c r="A9016" t="inlineStr">
        <is>
          <t>Warranty &amp; Maintenance</t>
        </is>
      </c>
      <c r="B9016" s="46">
        <f>'Warranty &amp; Maintenance'!Z981</f>
        <v/>
      </c>
      <c r="C9016" s="84">
        <f>'Warranty &amp; Maintenance'!X981</f>
        <v/>
      </c>
      <c r="D9016" s="46">
        <f>'Warranty &amp; Maintenance'!Y981</f>
        <v/>
      </c>
      <c r="E9016" s="46">
        <f>IF(OR(B9016="",C9016="",D9016=""),"",D9016*100000+(C9016-DATE(2000,1,1))+ROW()/100000)</f>
        <v/>
      </c>
      <c r="F9016" s="46">
        <f>IF(E9016="","",IF(C9016&gt;WeekEndDate,"",E9016))</f>
        <v/>
      </c>
    </row>
    <row r="9017">
      <c r="A9017" t="inlineStr">
        <is>
          <t>Warranty &amp; Maintenance</t>
        </is>
      </c>
      <c r="B9017" s="46">
        <f>'Warranty &amp; Maintenance'!Z982</f>
        <v/>
      </c>
      <c r="C9017" s="84">
        <f>'Warranty &amp; Maintenance'!X982</f>
        <v/>
      </c>
      <c r="D9017" s="46">
        <f>'Warranty &amp; Maintenance'!Y982</f>
        <v/>
      </c>
      <c r="E9017" s="46">
        <f>IF(OR(B9017="",C9017="",D9017=""),"",D9017*100000+(C9017-DATE(2000,1,1))+ROW()/100000)</f>
        <v/>
      </c>
      <c r="F9017" s="46">
        <f>IF(E9017="","",IF(C9017&gt;WeekEndDate,"",E9017))</f>
        <v/>
      </c>
    </row>
    <row r="9018">
      <c r="A9018" t="inlineStr">
        <is>
          <t>Warranty &amp; Maintenance</t>
        </is>
      </c>
      <c r="B9018" s="46">
        <f>'Warranty &amp; Maintenance'!Z983</f>
        <v/>
      </c>
      <c r="C9018" s="84">
        <f>'Warranty &amp; Maintenance'!X983</f>
        <v/>
      </c>
      <c r="D9018" s="46">
        <f>'Warranty &amp; Maintenance'!Y983</f>
        <v/>
      </c>
      <c r="E9018" s="46">
        <f>IF(OR(B9018="",C9018="",D9018=""),"",D9018*100000+(C9018-DATE(2000,1,1))+ROW()/100000)</f>
        <v/>
      </c>
      <c r="F9018" s="46">
        <f>IF(E9018="","",IF(C9018&gt;WeekEndDate,"",E9018))</f>
        <v/>
      </c>
    </row>
    <row r="9019">
      <c r="A9019" t="inlineStr">
        <is>
          <t>Warranty &amp; Maintenance</t>
        </is>
      </c>
      <c r="B9019" s="46">
        <f>'Warranty &amp; Maintenance'!Z984</f>
        <v/>
      </c>
      <c r="C9019" s="84">
        <f>'Warranty &amp; Maintenance'!X984</f>
        <v/>
      </c>
      <c r="D9019" s="46">
        <f>'Warranty &amp; Maintenance'!Y984</f>
        <v/>
      </c>
      <c r="E9019" s="46">
        <f>IF(OR(B9019="",C9019="",D9019=""),"",D9019*100000+(C9019-DATE(2000,1,1))+ROW()/100000)</f>
        <v/>
      </c>
      <c r="F9019" s="46">
        <f>IF(E9019="","",IF(C9019&gt;WeekEndDate,"",E9019))</f>
        <v/>
      </c>
    </row>
    <row r="9020">
      <c r="A9020" t="inlineStr">
        <is>
          <t>Warranty &amp; Maintenance</t>
        </is>
      </c>
      <c r="B9020" s="46">
        <f>'Warranty &amp; Maintenance'!Z985</f>
        <v/>
      </c>
      <c r="C9020" s="84">
        <f>'Warranty &amp; Maintenance'!X985</f>
        <v/>
      </c>
      <c r="D9020" s="46">
        <f>'Warranty &amp; Maintenance'!Y985</f>
        <v/>
      </c>
      <c r="E9020" s="46">
        <f>IF(OR(B9020="",C9020="",D9020=""),"",D9020*100000+(C9020-DATE(2000,1,1))+ROW()/100000)</f>
        <v/>
      </c>
      <c r="F9020" s="46">
        <f>IF(E9020="","",IF(C9020&gt;WeekEndDate,"",E9020))</f>
        <v/>
      </c>
    </row>
    <row r="9021">
      <c r="A9021" t="inlineStr">
        <is>
          <t>Warranty &amp; Maintenance</t>
        </is>
      </c>
      <c r="B9021" s="46">
        <f>'Warranty &amp; Maintenance'!Z986</f>
        <v/>
      </c>
      <c r="C9021" s="84">
        <f>'Warranty &amp; Maintenance'!X986</f>
        <v/>
      </c>
      <c r="D9021" s="46">
        <f>'Warranty &amp; Maintenance'!Y986</f>
        <v/>
      </c>
      <c r="E9021" s="46">
        <f>IF(OR(B9021="",C9021="",D9021=""),"",D9021*100000+(C9021-DATE(2000,1,1))+ROW()/100000)</f>
        <v/>
      </c>
      <c r="F9021" s="46">
        <f>IF(E9021="","",IF(C9021&gt;WeekEndDate,"",E9021))</f>
        <v/>
      </c>
    </row>
    <row r="9022">
      <c r="A9022" t="inlineStr">
        <is>
          <t>Warranty &amp; Maintenance</t>
        </is>
      </c>
      <c r="B9022" s="46">
        <f>'Warranty &amp; Maintenance'!Z987</f>
        <v/>
      </c>
      <c r="C9022" s="84">
        <f>'Warranty &amp; Maintenance'!X987</f>
        <v/>
      </c>
      <c r="D9022" s="46">
        <f>'Warranty &amp; Maintenance'!Y987</f>
        <v/>
      </c>
      <c r="E9022" s="46">
        <f>IF(OR(B9022="",C9022="",D9022=""),"",D9022*100000+(C9022-DATE(2000,1,1))+ROW()/100000)</f>
        <v/>
      </c>
      <c r="F9022" s="46">
        <f>IF(E9022="","",IF(C9022&gt;WeekEndDate,"",E9022))</f>
        <v/>
      </c>
    </row>
    <row r="9023">
      <c r="A9023" t="inlineStr">
        <is>
          <t>Warranty &amp; Maintenance</t>
        </is>
      </c>
      <c r="B9023" s="46">
        <f>'Warranty &amp; Maintenance'!Z988</f>
        <v/>
      </c>
      <c r="C9023" s="84">
        <f>'Warranty &amp; Maintenance'!X988</f>
        <v/>
      </c>
      <c r="D9023" s="46">
        <f>'Warranty &amp; Maintenance'!Y988</f>
        <v/>
      </c>
      <c r="E9023" s="46">
        <f>IF(OR(B9023="",C9023="",D9023=""),"",D9023*100000+(C9023-DATE(2000,1,1))+ROW()/100000)</f>
        <v/>
      </c>
      <c r="F9023" s="46">
        <f>IF(E9023="","",IF(C9023&gt;WeekEndDate,"",E9023))</f>
        <v/>
      </c>
    </row>
    <row r="9024">
      <c r="A9024" t="inlineStr">
        <is>
          <t>Warranty &amp; Maintenance</t>
        </is>
      </c>
      <c r="B9024" s="46">
        <f>'Warranty &amp; Maintenance'!Z989</f>
        <v/>
      </c>
      <c r="C9024" s="84">
        <f>'Warranty &amp; Maintenance'!X989</f>
        <v/>
      </c>
      <c r="D9024" s="46">
        <f>'Warranty &amp; Maintenance'!Y989</f>
        <v/>
      </c>
      <c r="E9024" s="46">
        <f>IF(OR(B9024="",C9024="",D9024=""),"",D9024*100000+(C9024-DATE(2000,1,1))+ROW()/100000)</f>
        <v/>
      </c>
      <c r="F9024" s="46">
        <f>IF(E9024="","",IF(C9024&gt;WeekEndDate,"",E9024))</f>
        <v/>
      </c>
    </row>
    <row r="9025">
      <c r="A9025" t="inlineStr">
        <is>
          <t>Warranty &amp; Maintenance</t>
        </is>
      </c>
      <c r="B9025" s="46">
        <f>'Warranty &amp; Maintenance'!Z990</f>
        <v/>
      </c>
      <c r="C9025" s="84">
        <f>'Warranty &amp; Maintenance'!X990</f>
        <v/>
      </c>
      <c r="D9025" s="46">
        <f>'Warranty &amp; Maintenance'!Y990</f>
        <v/>
      </c>
      <c r="E9025" s="46">
        <f>IF(OR(B9025="",C9025="",D9025=""),"",D9025*100000+(C9025-DATE(2000,1,1))+ROW()/100000)</f>
        <v/>
      </c>
      <c r="F9025" s="46">
        <f>IF(E9025="","",IF(C9025&gt;WeekEndDate,"",E9025))</f>
        <v/>
      </c>
    </row>
    <row r="9026">
      <c r="A9026" t="inlineStr">
        <is>
          <t>Warranty &amp; Maintenance</t>
        </is>
      </c>
      <c r="B9026" s="46">
        <f>'Warranty &amp; Maintenance'!Z991</f>
        <v/>
      </c>
      <c r="C9026" s="84">
        <f>'Warranty &amp; Maintenance'!X991</f>
        <v/>
      </c>
      <c r="D9026" s="46">
        <f>'Warranty &amp; Maintenance'!Y991</f>
        <v/>
      </c>
      <c r="E9026" s="46">
        <f>IF(OR(B9026="",C9026="",D9026=""),"",D9026*100000+(C9026-DATE(2000,1,1))+ROW()/100000)</f>
        <v/>
      </c>
      <c r="F9026" s="46">
        <f>IF(E9026="","",IF(C9026&gt;WeekEndDate,"",E9026))</f>
        <v/>
      </c>
    </row>
    <row r="9027">
      <c r="A9027" t="inlineStr">
        <is>
          <t>Warranty &amp; Maintenance</t>
        </is>
      </c>
      <c r="B9027" s="46">
        <f>'Warranty &amp; Maintenance'!Z992</f>
        <v/>
      </c>
      <c r="C9027" s="84">
        <f>'Warranty &amp; Maintenance'!X992</f>
        <v/>
      </c>
      <c r="D9027" s="46">
        <f>'Warranty &amp; Maintenance'!Y992</f>
        <v/>
      </c>
      <c r="E9027" s="46">
        <f>IF(OR(B9027="",C9027="",D9027=""),"",D9027*100000+(C9027-DATE(2000,1,1))+ROW()/100000)</f>
        <v/>
      </c>
      <c r="F9027" s="46">
        <f>IF(E9027="","",IF(C9027&gt;WeekEndDate,"",E9027))</f>
        <v/>
      </c>
    </row>
    <row r="9028">
      <c r="A9028" t="inlineStr">
        <is>
          <t>Warranty &amp; Maintenance</t>
        </is>
      </c>
      <c r="B9028" s="46">
        <f>'Warranty &amp; Maintenance'!Z993</f>
        <v/>
      </c>
      <c r="C9028" s="84">
        <f>'Warranty &amp; Maintenance'!X993</f>
        <v/>
      </c>
      <c r="D9028" s="46">
        <f>'Warranty &amp; Maintenance'!Y993</f>
        <v/>
      </c>
      <c r="E9028" s="46">
        <f>IF(OR(B9028="",C9028="",D9028=""),"",D9028*100000+(C9028-DATE(2000,1,1))+ROW()/100000)</f>
        <v/>
      </c>
      <c r="F9028" s="46">
        <f>IF(E9028="","",IF(C9028&gt;WeekEndDate,"",E9028))</f>
        <v/>
      </c>
    </row>
    <row r="9029">
      <c r="A9029" t="inlineStr">
        <is>
          <t>Warranty &amp; Maintenance</t>
        </is>
      </c>
      <c r="B9029" s="46">
        <f>'Warranty &amp; Maintenance'!Z994</f>
        <v/>
      </c>
      <c r="C9029" s="84">
        <f>'Warranty &amp; Maintenance'!X994</f>
        <v/>
      </c>
      <c r="D9029" s="46">
        <f>'Warranty &amp; Maintenance'!Y994</f>
        <v/>
      </c>
      <c r="E9029" s="46">
        <f>IF(OR(B9029="",C9029="",D9029=""),"",D9029*100000+(C9029-DATE(2000,1,1))+ROW()/100000)</f>
        <v/>
      </c>
      <c r="F9029" s="46">
        <f>IF(E9029="","",IF(C9029&gt;WeekEndDate,"",E9029))</f>
        <v/>
      </c>
    </row>
    <row r="9030">
      <c r="A9030" t="inlineStr">
        <is>
          <t>Warranty &amp; Maintenance</t>
        </is>
      </c>
      <c r="B9030" s="46">
        <f>'Warranty &amp; Maintenance'!Z995</f>
        <v/>
      </c>
      <c r="C9030" s="84">
        <f>'Warranty &amp; Maintenance'!X995</f>
        <v/>
      </c>
      <c r="D9030" s="46">
        <f>'Warranty &amp; Maintenance'!Y995</f>
        <v/>
      </c>
      <c r="E9030" s="46">
        <f>IF(OR(B9030="",C9030="",D9030=""),"",D9030*100000+(C9030-DATE(2000,1,1))+ROW()/100000)</f>
        <v/>
      </c>
      <c r="F9030" s="46">
        <f>IF(E9030="","",IF(C9030&gt;WeekEndDate,"",E9030))</f>
        <v/>
      </c>
    </row>
    <row r="9031">
      <c r="A9031" t="inlineStr">
        <is>
          <t>Warranty &amp; Maintenance</t>
        </is>
      </c>
      <c r="B9031" s="46">
        <f>'Warranty &amp; Maintenance'!Z996</f>
        <v/>
      </c>
      <c r="C9031" s="84">
        <f>'Warranty &amp; Maintenance'!X996</f>
        <v/>
      </c>
      <c r="D9031" s="46">
        <f>'Warranty &amp; Maintenance'!Y996</f>
        <v/>
      </c>
      <c r="E9031" s="46">
        <f>IF(OR(B9031="",C9031="",D9031=""),"",D9031*100000+(C9031-DATE(2000,1,1))+ROW()/100000)</f>
        <v/>
      </c>
      <c r="F9031" s="46">
        <f>IF(E9031="","",IF(C9031&gt;WeekEndDate,"",E9031))</f>
        <v/>
      </c>
    </row>
    <row r="9032">
      <c r="A9032" t="inlineStr">
        <is>
          <t>Warranty &amp; Maintenance</t>
        </is>
      </c>
      <c r="B9032" s="46">
        <f>'Warranty &amp; Maintenance'!Z997</f>
        <v/>
      </c>
      <c r="C9032" s="84">
        <f>'Warranty &amp; Maintenance'!X997</f>
        <v/>
      </c>
      <c r="D9032" s="46">
        <f>'Warranty &amp; Maintenance'!Y997</f>
        <v/>
      </c>
      <c r="E9032" s="46">
        <f>IF(OR(B9032="",C9032="",D9032=""),"",D9032*100000+(C9032-DATE(2000,1,1))+ROW()/100000)</f>
        <v/>
      </c>
      <c r="F9032" s="46">
        <f>IF(E9032="","",IF(C9032&gt;WeekEndDate,"",E9032))</f>
        <v/>
      </c>
    </row>
    <row r="9033">
      <c r="A9033" t="inlineStr">
        <is>
          <t>Warranty &amp; Maintenance</t>
        </is>
      </c>
      <c r="B9033" s="46">
        <f>'Warranty &amp; Maintenance'!Z998</f>
        <v/>
      </c>
      <c r="C9033" s="84">
        <f>'Warranty &amp; Maintenance'!X998</f>
        <v/>
      </c>
      <c r="D9033" s="46">
        <f>'Warranty &amp; Maintenance'!Y998</f>
        <v/>
      </c>
      <c r="E9033" s="46">
        <f>IF(OR(B9033="",C9033="",D9033=""),"",D9033*100000+(C9033-DATE(2000,1,1))+ROW()/100000)</f>
        <v/>
      </c>
      <c r="F9033" s="46">
        <f>IF(E9033="","",IF(C9033&gt;WeekEndDate,"",E9033))</f>
        <v/>
      </c>
    </row>
    <row r="9034">
      <c r="A9034" t="inlineStr">
        <is>
          <t>Warranty &amp; Maintenance</t>
        </is>
      </c>
      <c r="B9034" s="46">
        <f>'Warranty &amp; Maintenance'!Z999</f>
        <v/>
      </c>
      <c r="C9034" s="84">
        <f>'Warranty &amp; Maintenance'!X999</f>
        <v/>
      </c>
      <c r="D9034" s="46">
        <f>'Warranty &amp; Maintenance'!Y999</f>
        <v/>
      </c>
      <c r="E9034" s="46">
        <f>IF(OR(B9034="",C9034="",D9034=""),"",D9034*100000+(C9034-DATE(2000,1,1))+ROW()/100000)</f>
        <v/>
      </c>
      <c r="F9034" s="46">
        <f>IF(E9034="","",IF(C9034&gt;WeekEndDate,"",E9034))</f>
        <v/>
      </c>
    </row>
    <row r="9035">
      <c r="A9035" t="inlineStr">
        <is>
          <t>Warranty &amp; Maintenance</t>
        </is>
      </c>
      <c r="B9035" s="46">
        <f>'Warranty &amp; Maintenance'!Z1000</f>
        <v/>
      </c>
      <c r="C9035" s="84">
        <f>'Warranty &amp; Maintenance'!X1000</f>
        <v/>
      </c>
      <c r="D9035" s="46">
        <f>'Warranty &amp; Maintenance'!Y1000</f>
        <v/>
      </c>
      <c r="E9035" s="46">
        <f>IF(OR(B9035="",C9035="",D9035=""),"",D9035*100000+(C9035-DATE(2000,1,1))+ROW()/100000)</f>
        <v/>
      </c>
      <c r="F9035" s="46">
        <f>IF(E9035="","",IF(C9035&gt;WeekEndDate,"",E9035))</f>
        <v/>
      </c>
    </row>
    <row r="9036">
      <c r="A9036" t="inlineStr">
        <is>
          <t>Warranty &amp; Maintenance</t>
        </is>
      </c>
      <c r="B9036" s="46">
        <f>'Warranty &amp; Maintenance'!Z1001</f>
        <v/>
      </c>
      <c r="C9036" s="84">
        <f>'Warranty &amp; Maintenance'!X1001</f>
        <v/>
      </c>
      <c r="D9036" s="46">
        <f>'Warranty &amp; Maintenance'!Y1001</f>
        <v/>
      </c>
      <c r="E9036" s="46">
        <f>IF(OR(B9036="",C9036="",D9036=""),"",D9036*100000+(C9036-DATE(2000,1,1))+ROW()/100000)</f>
        <v/>
      </c>
      <c r="F9036" s="46">
        <f>IF(E9036="","",IF(C9036&gt;WeekEndDate,"",E9036))</f>
        <v/>
      </c>
    </row>
    <row r="9037">
      <c r="A9037" t="inlineStr">
        <is>
          <t>Warranty &amp; Maintenance</t>
        </is>
      </c>
      <c r="B9037" s="46">
        <f>'Warranty &amp; Maintenance'!Z1002</f>
        <v/>
      </c>
      <c r="C9037" s="84">
        <f>'Warranty &amp; Maintenance'!X1002</f>
        <v/>
      </c>
      <c r="D9037" s="46">
        <f>'Warranty &amp; Maintenance'!Y1002</f>
        <v/>
      </c>
      <c r="E9037" s="46">
        <f>IF(OR(B9037="",C9037="",D9037=""),"",D9037*100000+(C9037-DATE(2000,1,1))+ROW()/100000)</f>
        <v/>
      </c>
      <c r="F9037" s="46">
        <f>IF(E9037="","",IF(C9037&gt;WeekEndDate,"",E9037))</f>
        <v/>
      </c>
    </row>
    <row r="9038">
      <c r="A9038" t="inlineStr">
        <is>
          <t>Warranty &amp; Maintenance</t>
        </is>
      </c>
      <c r="B9038" s="46">
        <f>'Warranty &amp; Maintenance'!Z1003</f>
        <v/>
      </c>
      <c r="C9038" s="84">
        <f>'Warranty &amp; Maintenance'!X1003</f>
        <v/>
      </c>
      <c r="D9038" s="46">
        <f>'Warranty &amp; Maintenance'!Y1003</f>
        <v/>
      </c>
      <c r="E9038" s="46">
        <f>IF(OR(B9038="",C9038="",D9038=""),"",D9038*100000+(C9038-DATE(2000,1,1))+ROW()/100000)</f>
        <v/>
      </c>
      <c r="F9038" s="46">
        <f>IF(E9038="","",IF(C9038&gt;WeekEndDate,"",E9038))</f>
        <v/>
      </c>
    </row>
    <row r="9039">
      <c r="A9039" t="inlineStr">
        <is>
          <t>Warranty &amp; Maintenance</t>
        </is>
      </c>
      <c r="B9039" s="46">
        <f>'Warranty &amp; Maintenance'!Z1004</f>
        <v/>
      </c>
      <c r="C9039" s="84">
        <f>'Warranty &amp; Maintenance'!X1004</f>
        <v/>
      </c>
      <c r="D9039" s="46">
        <f>'Warranty &amp; Maintenance'!Y1004</f>
        <v/>
      </c>
      <c r="E9039" s="46">
        <f>IF(OR(B9039="",C9039="",D9039=""),"",D9039*100000+(C9039-DATE(2000,1,1))+ROW()/100000)</f>
        <v/>
      </c>
      <c r="F9039" s="46">
        <f>IF(E9039="","",IF(C9039&gt;WeekEndDate,"",E9039))</f>
        <v/>
      </c>
    </row>
    <row r="9040">
      <c r="A9040" t="inlineStr">
        <is>
          <t>Warranty &amp; Maintenance</t>
        </is>
      </c>
      <c r="B9040" s="46">
        <f>'Warranty &amp; Maintenance'!Z1005</f>
        <v/>
      </c>
      <c r="C9040" s="84">
        <f>'Warranty &amp; Maintenance'!X1005</f>
        <v/>
      </c>
      <c r="D9040" s="46">
        <f>'Warranty &amp; Maintenance'!Y1005</f>
        <v/>
      </c>
      <c r="E9040" s="46">
        <f>IF(OR(B9040="",C9040="",D9040=""),"",D9040*100000+(C9040-DATE(2000,1,1))+ROW()/100000)</f>
        <v/>
      </c>
      <c r="F9040" s="46">
        <f>IF(E9040="","",IF(C9040&gt;WeekEndDate,"",E9040))</f>
        <v/>
      </c>
    </row>
    <row r="9041">
      <c r="A9041" t="inlineStr">
        <is>
          <t>Warranty &amp; Maintenance</t>
        </is>
      </c>
      <c r="B9041" s="46">
        <f>'Warranty &amp; Maintenance'!Z1006</f>
        <v/>
      </c>
      <c r="C9041" s="84">
        <f>'Warranty &amp; Maintenance'!X1006</f>
        <v/>
      </c>
      <c r="D9041" s="46">
        <f>'Warranty &amp; Maintenance'!Y1006</f>
        <v/>
      </c>
      <c r="E9041" s="46">
        <f>IF(OR(B9041="",C9041="",D9041=""),"",D9041*100000+(C9041-DATE(2000,1,1))+ROW()/100000)</f>
        <v/>
      </c>
      <c r="F9041" s="46">
        <f>IF(E9041="","",IF(C9041&gt;WeekEndDate,"",E9041))</f>
        <v/>
      </c>
    </row>
    <row r="9042">
      <c r="A9042" t="inlineStr">
        <is>
          <t>Budget</t>
        </is>
      </c>
      <c r="B9042" s="46">
        <f>'Budget'!S60</f>
        <v/>
      </c>
      <c r="C9042" s="84">
        <f>'Budget'!Q60</f>
        <v/>
      </c>
      <c r="D9042" s="46">
        <f>'Budget'!R60</f>
        <v/>
      </c>
      <c r="E9042" s="46">
        <f>IF(OR(B9042="",C9042="",D9042=""),"",D9042*100000+(C9042-DATE(2000,1,1))+ROW()/100000)</f>
        <v/>
      </c>
      <c r="F9042" s="46">
        <f>IF(E9042="","",IF(C9042&gt;WeekEndDate,"",E9042))</f>
        <v/>
      </c>
    </row>
    <row r="9043">
      <c r="A9043" t="inlineStr">
        <is>
          <t>Budget</t>
        </is>
      </c>
      <c r="B9043" s="46">
        <f>'Budget'!S61</f>
        <v/>
      </c>
      <c r="C9043" s="84">
        <f>'Budget'!Q61</f>
        <v/>
      </c>
      <c r="D9043" s="46">
        <f>'Budget'!R61</f>
        <v/>
      </c>
      <c r="E9043" s="46">
        <f>IF(OR(B9043="",C9043="",D9043=""),"",D9043*100000+(C9043-DATE(2000,1,1))+ROW()/100000)</f>
        <v/>
      </c>
      <c r="F9043" s="46">
        <f>IF(E9043="","",IF(C9043&gt;WeekEndDate,"",E9043))</f>
        <v/>
      </c>
    </row>
  </sheetData>
  <sheetProtection selectLockedCells="1" selectUnlockedCells="0" sheet="1" objects="0" insertRows="1" insertHyperlinks="1" autoFilter="1" scenarios="0" formatColumns="0" deleteColumns="1" insertColumns="1" pivotTables="1" deleteRows="1" formatCells="1" formatRows="0" sort="1" password="CD61"/>
  <pageMargins left="0.75" right="0.75" top="1" bottom="1" header="0.5" footer="0.5"/>
</worksheet>
</file>

<file path=xl/worksheets/sheet16.xml><?xml version="1.0" encoding="utf-8"?>
<worksheet xmlns="http://schemas.openxmlformats.org/spreadsheetml/2006/main">
  <sheetPr>
    <tabColor rgb="009CA3AF"/>
    <outlinePr summaryBelow="1" summaryRight="1"/>
    <pageSetUpPr/>
  </sheetPr>
  <dimension ref="A1:X100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45" t="inlineStr">
        <is>
          <t>YesNo</t>
        </is>
      </c>
      <c r="B1" s="145" t="inlineStr">
        <is>
          <t>Stage</t>
        </is>
      </c>
      <c r="C1" s="145" t="inlineStr">
        <is>
          <t>Incl</t>
        </is>
      </c>
      <c r="D1" s="145" t="inlineStr">
        <is>
          <t>COStatus</t>
        </is>
      </c>
      <c r="E1" s="145" t="inlineStr">
        <is>
          <t>COReason</t>
        </is>
      </c>
      <c r="F1" s="145" t="inlineStr">
        <is>
          <t>ReqBy</t>
        </is>
      </c>
      <c r="G1" s="145" t="inlineStr">
        <is>
          <t>Phase</t>
        </is>
      </c>
      <c r="H1" s="145" t="inlineStr">
        <is>
          <t>TaskStatus</t>
        </is>
      </c>
      <c r="I1" s="145" t="inlineStr">
        <is>
          <t>IssueType</t>
        </is>
      </c>
      <c r="J1" s="145" t="inlineStr">
        <is>
          <t>Severity</t>
        </is>
      </c>
      <c r="K1" s="145" t="inlineStr">
        <is>
          <t>IssueStatus</t>
        </is>
      </c>
      <c r="L1" s="145" t="inlineStr">
        <is>
          <t>DocType</t>
        </is>
      </c>
      <c r="M1" s="145" t="inlineStr">
        <is>
          <t>PhotoStage</t>
        </is>
      </c>
      <c r="N1" s="145" t="inlineStr">
        <is>
          <t>ABC</t>
        </is>
      </c>
      <c r="O1" s="145" t="inlineStr">
        <is>
          <t>Gut</t>
        </is>
      </c>
      <c r="P1" s="145" t="inlineStr">
        <is>
          <t>CurLabel</t>
        </is>
      </c>
      <c r="Q1" s="145" t="inlineStr">
        <is>
          <t>CurSym</t>
        </is>
      </c>
      <c r="R1" s="145" t="inlineStr">
        <is>
          <t>TaxName</t>
        </is>
      </c>
      <c r="S1" s="145" t="inlineStr">
        <is>
          <t>AreaUnit</t>
        </is>
      </c>
      <c r="T1" s="145" t="inlineStr">
        <is>
          <t>WeekStart</t>
        </is>
      </c>
      <c r="U1" s="145" t="inlineStr">
        <is>
          <t>WarnBand</t>
        </is>
      </c>
      <c r="V1" s="145" t="inlineStr">
        <is>
          <t>Categories</t>
        </is>
      </c>
      <c r="W1" s="145" t="inlineStr">
        <is>
          <t>Rooms</t>
        </is>
      </c>
      <c r="X1" s="145" t="inlineStr">
        <is>
          <t>Contractors</t>
        </is>
      </c>
    </row>
    <row r="2">
      <c r="A2" s="146" t="inlineStr">
        <is>
          <t>Yes</t>
        </is>
      </c>
      <c r="B2" s="146" t="inlineStr">
        <is>
          <t>Estimating</t>
        </is>
      </c>
      <c r="C2" s="146" t="inlineStr">
        <is>
          <t>Included</t>
        </is>
      </c>
      <c r="D2" s="146" t="inlineStr">
        <is>
          <t>Pending</t>
        </is>
      </c>
      <c r="E2" s="146" t="inlineStr">
        <is>
          <t>Client choice</t>
        </is>
      </c>
      <c r="F2" s="146" t="inlineStr">
        <is>
          <t>Owner</t>
        </is>
      </c>
      <c r="G2" s="146" t="inlineStr">
        <is>
          <t>Pre-construction</t>
        </is>
      </c>
      <c r="H2" s="146" t="inlineStr">
        <is>
          <t>Not started</t>
        </is>
      </c>
      <c r="I2" s="146" t="inlineStr">
        <is>
          <t>Issue</t>
        </is>
      </c>
      <c r="J2" s="146" t="inlineStr">
        <is>
          <t>Low</t>
        </is>
      </c>
      <c r="K2" s="146" t="inlineStr">
        <is>
          <t>Open</t>
        </is>
      </c>
      <c r="L2" s="146" t="inlineStr">
        <is>
          <t>Contract</t>
        </is>
      </c>
      <c r="M2" s="146" t="inlineStr">
        <is>
          <t>Before</t>
        </is>
      </c>
      <c r="N2" s="146" t="inlineStr">
        <is>
          <t>A</t>
        </is>
      </c>
      <c r="O2" s="146" t="n">
        <v>1</v>
      </c>
      <c r="P2" s="146" t="inlineStr">
        <is>
          <t>EUR €</t>
        </is>
      </c>
      <c r="Q2" s="146" t="inlineStr">
        <is>
          <t>€</t>
        </is>
      </c>
      <c r="R2" s="146" t="inlineStr">
        <is>
          <t>VAT</t>
        </is>
      </c>
      <c r="S2" s="146" t="inlineStr">
        <is>
          <t>m²</t>
        </is>
      </c>
      <c r="T2" s="146" t="inlineStr">
        <is>
          <t>Monday</t>
        </is>
      </c>
      <c r="U2" s="147" t="n">
        <v>0</v>
      </c>
      <c r="V2" s="148">
        <f>IF('Budget'!B8="","",'Budget'!B8)</f>
        <v/>
      </c>
      <c r="W2" s="148">
        <f>IF('Rooms'!Q6="","",'Rooms'!Q6)</f>
        <v/>
      </c>
      <c r="X2" s="148">
        <f>IF('Contractors'!B6="","",'Contractors'!B6)</f>
        <v/>
      </c>
    </row>
    <row r="3">
      <c r="A3" s="146" t="inlineStr">
        <is>
          <t>No</t>
        </is>
      </c>
      <c r="B3" s="146" t="inlineStr">
        <is>
          <t>Contracted</t>
        </is>
      </c>
      <c r="C3" s="146" t="inlineStr">
        <is>
          <t>Not included</t>
        </is>
      </c>
      <c r="D3" s="146" t="inlineStr">
        <is>
          <t>Approved</t>
        </is>
      </c>
      <c r="E3" s="146" t="inlineStr">
        <is>
          <t>Unforeseen condition</t>
        </is>
      </c>
      <c r="F3" s="146" t="inlineStr">
        <is>
          <t>Contractor</t>
        </is>
      </c>
      <c r="G3" s="146" t="inlineStr">
        <is>
          <t>Construction</t>
        </is>
      </c>
      <c r="H3" s="146" t="inlineStr">
        <is>
          <t>In progress</t>
        </is>
      </c>
      <c r="I3" s="146" t="inlineStr">
        <is>
          <t>Punch item</t>
        </is>
      </c>
      <c r="J3" s="146" t="inlineStr">
        <is>
          <t>Medium</t>
        </is>
      </c>
      <c r="K3" s="146" t="inlineStr">
        <is>
          <t>In progress</t>
        </is>
      </c>
      <c r="L3" s="146" t="inlineStr">
        <is>
          <t>Quote</t>
        </is>
      </c>
      <c r="M3" s="146" t="inlineStr">
        <is>
          <t>Demolition</t>
        </is>
      </c>
      <c r="N3" s="146" t="inlineStr">
        <is>
          <t>B</t>
        </is>
      </c>
      <c r="O3" s="146" t="n">
        <v>2</v>
      </c>
      <c r="P3" s="146" t="inlineStr">
        <is>
          <t>USD $</t>
        </is>
      </c>
      <c r="Q3" s="146" t="inlineStr">
        <is>
          <t>$</t>
        </is>
      </c>
      <c r="R3" s="146" t="inlineStr">
        <is>
          <t>Sales tax</t>
        </is>
      </c>
      <c r="S3" s="146" t="inlineStr">
        <is>
          <t>ft²</t>
        </is>
      </c>
      <c r="T3" s="146" t="inlineStr">
        <is>
          <t>Sunday</t>
        </is>
      </c>
      <c r="U3" s="147" t="n">
        <v>0.05</v>
      </c>
      <c r="V3" s="148">
        <f>IF('Budget'!B9="","",'Budget'!B9)</f>
        <v/>
      </c>
      <c r="W3" s="148">
        <f>IF('Rooms'!Q7="","",'Rooms'!Q7)</f>
        <v/>
      </c>
      <c r="X3" s="148">
        <f>IF('Contractors'!B7="","",'Contractors'!B7)</f>
        <v/>
      </c>
    </row>
    <row r="4">
      <c r="B4" s="146" t="inlineStr">
        <is>
          <t>Complete</t>
        </is>
      </c>
      <c r="C4" s="146" t="inlineStr">
        <is>
          <t>Unclear</t>
        </is>
      </c>
      <c r="D4" s="146" t="inlineStr">
        <is>
          <t>Rejected</t>
        </is>
      </c>
      <c r="E4" s="146" t="inlineStr">
        <is>
          <t>Design change</t>
        </is>
      </c>
      <c r="F4" s="146" t="inlineStr">
        <is>
          <t>Architect / designer</t>
        </is>
      </c>
      <c r="G4" s="146" t="inlineStr">
        <is>
          <t>Final</t>
        </is>
      </c>
      <c r="H4" s="146" t="inlineStr">
        <is>
          <t>Done</t>
        </is>
      </c>
      <c r="J4" s="146" t="inlineStr">
        <is>
          <t>High</t>
        </is>
      </c>
      <c r="K4" s="146" t="inlineStr">
        <is>
          <t>Resolved</t>
        </is>
      </c>
      <c r="L4" s="146" t="inlineStr">
        <is>
          <t>Invoice</t>
        </is>
      </c>
      <c r="M4" s="146" t="inlineStr">
        <is>
          <t>Rough-in</t>
        </is>
      </c>
      <c r="N4" s="146" t="inlineStr">
        <is>
          <t>C</t>
        </is>
      </c>
      <c r="O4" s="146" t="n">
        <v>3</v>
      </c>
      <c r="P4" s="146" t="inlineStr">
        <is>
          <t>GBP £</t>
        </is>
      </c>
      <c r="Q4" s="146" t="inlineStr">
        <is>
          <t>£</t>
        </is>
      </c>
      <c r="R4" s="146" t="inlineStr">
        <is>
          <t>GST</t>
        </is>
      </c>
      <c r="U4" s="147" t="n">
        <v>0.1</v>
      </c>
      <c r="V4" s="148">
        <f>IF('Budget'!B10="","",'Budget'!B10)</f>
        <v/>
      </c>
      <c r="W4" s="148">
        <f>IF('Rooms'!Q8="","",'Rooms'!Q8)</f>
        <v/>
      </c>
      <c r="X4" s="148">
        <f>IF('Contractors'!B8="","",'Contractors'!B8)</f>
        <v/>
      </c>
    </row>
    <row r="5">
      <c r="E5" s="146" t="inlineStr">
        <is>
          <t>Code requirement</t>
        </is>
      </c>
      <c r="F5" s="146" t="inlineStr">
        <is>
          <t>Inspector</t>
        </is>
      </c>
      <c r="L5" s="146" t="inlineStr">
        <is>
          <t>Permit</t>
        </is>
      </c>
      <c r="M5" s="146" t="inlineStr">
        <is>
          <t>Walls</t>
        </is>
      </c>
      <c r="O5" s="146" t="n">
        <v>4</v>
      </c>
      <c r="P5" s="146" t="inlineStr">
        <is>
          <t>CHF</t>
        </is>
      </c>
      <c r="Q5" s="146" t="inlineStr">
        <is>
          <t>CHF</t>
        </is>
      </c>
      <c r="R5" s="146" t="inlineStr">
        <is>
          <t>HST</t>
        </is>
      </c>
      <c r="V5" s="148">
        <f>IF('Budget'!B11="","",'Budget'!B11)</f>
        <v/>
      </c>
      <c r="W5" s="148">
        <f>IF('Rooms'!Q9="","",'Rooms'!Q9)</f>
        <v/>
      </c>
      <c r="X5" s="148">
        <f>IF('Contractors'!B9="","",'Contractors'!B9)</f>
        <v/>
      </c>
    </row>
    <row r="6">
      <c r="E6" s="146" t="inlineStr">
        <is>
          <t>Contractor error</t>
        </is>
      </c>
      <c r="F6" s="146" t="inlineStr">
        <is>
          <t>Other</t>
        </is>
      </c>
      <c r="L6" s="146" t="inlineStr">
        <is>
          <t>Plan</t>
        </is>
      </c>
      <c r="M6" s="146" t="inlineStr">
        <is>
          <t>Finishing</t>
        </is>
      </c>
      <c r="O6" s="146" t="n">
        <v>5</v>
      </c>
      <c r="P6" s="146" t="inlineStr">
        <is>
          <t>CAD $</t>
        </is>
      </c>
      <c r="Q6" s="146" t="inlineStr">
        <is>
          <t>C$</t>
        </is>
      </c>
      <c r="R6" s="146" t="inlineStr">
        <is>
          <t>TVA</t>
        </is>
      </c>
      <c r="V6" s="148">
        <f>IF('Budget'!B12="","",'Budget'!B12)</f>
        <v/>
      </c>
      <c r="W6" s="148">
        <f>IF('Rooms'!Q10="","",'Rooms'!Q10)</f>
        <v/>
      </c>
      <c r="X6" s="148">
        <f>IF('Contractors'!B10="","",'Contractors'!B10)</f>
        <v/>
      </c>
    </row>
    <row r="7">
      <c r="L7" s="146" t="inlineStr">
        <is>
          <t>Insurance</t>
        </is>
      </c>
      <c r="M7" s="146" t="inlineStr">
        <is>
          <t>Final</t>
        </is>
      </c>
      <c r="P7" s="146" t="inlineStr">
        <is>
          <t>AUD $</t>
        </is>
      </c>
      <c r="Q7" s="146" t="inlineStr">
        <is>
          <t>A$</t>
        </is>
      </c>
      <c r="R7" s="146" t="inlineStr">
        <is>
          <t>MwSt</t>
        </is>
      </c>
      <c r="V7" s="148">
        <f>IF('Budget'!B13="","",'Budget'!B13)</f>
        <v/>
      </c>
      <c r="W7" s="148">
        <f>IF('Rooms'!Q11="","",'Rooms'!Q11)</f>
        <v/>
      </c>
      <c r="X7" s="148">
        <f>IF('Contractors'!B11="","",'Contractors'!B11)</f>
        <v/>
      </c>
    </row>
    <row r="8">
      <c r="L8" s="146" t="inlineStr">
        <is>
          <t>Warranty</t>
        </is>
      </c>
      <c r="P8" s="146" t="inlineStr">
        <is>
          <t>NZD $</t>
        </is>
      </c>
      <c r="Q8" s="146" t="inlineStr">
        <is>
          <t>NZ$</t>
        </is>
      </c>
      <c r="R8" s="146" t="inlineStr">
        <is>
          <t>BTW</t>
        </is>
      </c>
      <c r="V8" s="148">
        <f>IF('Budget'!B14="","",'Budget'!B14)</f>
        <v/>
      </c>
      <c r="W8" s="148">
        <f>IF('Rooms'!Q12="","",'Rooms'!Q12)</f>
        <v/>
      </c>
      <c r="X8" s="148">
        <f>IF('Contractors'!B12="","",'Contractors'!B12)</f>
        <v/>
      </c>
    </row>
    <row r="9">
      <c r="L9" s="146" t="inlineStr">
        <is>
          <t>Receipt</t>
        </is>
      </c>
      <c r="P9" s="146" t="inlineStr">
        <is>
          <t>SEK kr</t>
        </is>
      </c>
      <c r="Q9" s="146" t="inlineStr">
        <is>
          <t>kr</t>
        </is>
      </c>
      <c r="R9" s="146" t="inlineStr">
        <is>
          <t>IVA</t>
        </is>
      </c>
      <c r="V9" s="148">
        <f>IF('Budget'!B15="","",'Budget'!B15)</f>
        <v/>
      </c>
      <c r="W9" s="148">
        <f>IF('Rooms'!Q13="","",'Rooms'!Q13)</f>
        <v/>
      </c>
      <c r="X9" s="148">
        <f>IF('Contractors'!B13="","",'Contractors'!B13)</f>
        <v/>
      </c>
    </row>
    <row r="10">
      <c r="L10" s="146" t="inlineStr">
        <is>
          <t>Photo</t>
        </is>
      </c>
      <c r="P10" s="146" t="inlineStr">
        <is>
          <t>NOK kr</t>
        </is>
      </c>
      <c r="Q10" s="146" t="inlineStr">
        <is>
          <t>kr</t>
        </is>
      </c>
      <c r="R10" s="146" t="inlineStr">
        <is>
          <t>None</t>
        </is>
      </c>
      <c r="V10" s="148">
        <f>IF('Budget'!B16="","",'Budget'!B16)</f>
        <v/>
      </c>
      <c r="W10" s="148">
        <f>IF('Rooms'!Q14="","",'Rooms'!Q14)</f>
        <v/>
      </c>
      <c r="X10" s="148">
        <f>IF('Contractors'!B14="","",'Contractors'!B14)</f>
        <v/>
      </c>
    </row>
    <row r="11">
      <c r="L11" s="146" t="inlineStr">
        <is>
          <t>Inspection</t>
        </is>
      </c>
      <c r="P11" s="146" t="inlineStr">
        <is>
          <t>DKK kr</t>
        </is>
      </c>
      <c r="Q11" s="146" t="inlineStr">
        <is>
          <t>kr</t>
        </is>
      </c>
      <c r="V11" s="148">
        <f>IF('Budget'!B17="","",'Budget'!B17)</f>
        <v/>
      </c>
      <c r="W11" s="148">
        <f>IF('Rooms'!Q15="","",'Rooms'!Q15)</f>
        <v/>
      </c>
      <c r="X11" s="148">
        <f>IF('Contractors'!B15="","",'Contractors'!B15)</f>
        <v/>
      </c>
    </row>
    <row r="12">
      <c r="L12" s="146" t="inlineStr">
        <is>
          <t>Other</t>
        </is>
      </c>
      <c r="P12" s="146" t="inlineStr">
        <is>
          <t>PLN zł</t>
        </is>
      </c>
      <c r="Q12" s="146" t="inlineStr">
        <is>
          <t>zł</t>
        </is>
      </c>
      <c r="V12" s="148">
        <f>IF('Budget'!B18="","",'Budget'!B18)</f>
        <v/>
      </c>
      <c r="W12" s="146" t="inlineStr">
        <is>
          <t>Whole house</t>
        </is>
      </c>
      <c r="X12" s="148">
        <f>IF('Contractors'!B16="","",'Contractors'!B16)</f>
        <v/>
      </c>
    </row>
    <row r="13">
      <c r="P13" s="146" t="inlineStr">
        <is>
          <t>CZK Kč</t>
        </is>
      </c>
      <c r="Q13" s="146" t="inlineStr">
        <is>
          <t>Kč</t>
        </is>
      </c>
      <c r="V13" s="148">
        <f>IF('Budget'!B19="","",'Budget'!B19)</f>
        <v/>
      </c>
      <c r="X13" s="148">
        <f>IF('Contractors'!B17="","",'Contractors'!B17)</f>
        <v/>
      </c>
    </row>
    <row r="14">
      <c r="P14" s="146" t="inlineStr">
        <is>
          <t>Other</t>
        </is>
      </c>
      <c r="Q14" s="146" t="inlineStr"/>
      <c r="V14" s="148">
        <f>IF('Budget'!B20="","",'Budget'!B20)</f>
        <v/>
      </c>
      <c r="X14" s="148">
        <f>IF('Contractors'!B18="","",'Contractors'!B18)</f>
        <v/>
      </c>
    </row>
    <row r="15">
      <c r="V15" s="148">
        <f>IF('Budget'!B21="","",'Budget'!B21)</f>
        <v/>
      </c>
      <c r="X15" s="148">
        <f>IF('Contractors'!B19="","",'Contractors'!B19)</f>
        <v/>
      </c>
    </row>
    <row r="16">
      <c r="V16" s="148">
        <f>IF('Budget'!B22="","",'Budget'!B22)</f>
        <v/>
      </c>
      <c r="X16" s="148">
        <f>IF('Contractors'!B20="","",'Contractors'!B20)</f>
        <v/>
      </c>
    </row>
    <row r="17">
      <c r="V17" s="148">
        <f>IF('Budget'!B23="","",'Budget'!B23)</f>
        <v/>
      </c>
      <c r="X17" s="148">
        <f>IF('Contractors'!B21="","",'Contractors'!B21)</f>
        <v/>
      </c>
    </row>
    <row r="18">
      <c r="V18" s="148">
        <f>IF('Budget'!B24="","",'Budget'!B24)</f>
        <v/>
      </c>
      <c r="X18" s="148">
        <f>IF('Contractors'!B22="","",'Contractors'!B22)</f>
        <v/>
      </c>
    </row>
    <row r="19">
      <c r="V19" s="148">
        <f>IF('Budget'!B25="","",'Budget'!B25)</f>
        <v/>
      </c>
      <c r="X19" s="148">
        <f>IF('Contractors'!B23="","",'Contractors'!B23)</f>
        <v/>
      </c>
    </row>
    <row r="20">
      <c r="V20" s="148">
        <f>IF('Budget'!B26="","",'Budget'!B26)</f>
        <v/>
      </c>
      <c r="X20" s="148">
        <f>IF('Contractors'!B24="","",'Contractors'!B24)</f>
        <v/>
      </c>
    </row>
    <row r="21">
      <c r="V21" s="148">
        <f>IF('Budget'!B27="","",'Budget'!B27)</f>
        <v/>
      </c>
      <c r="X21" s="148">
        <f>IF('Contractors'!B25="","",'Contractors'!B25)</f>
        <v/>
      </c>
    </row>
    <row r="22">
      <c r="V22" s="148">
        <f>IF('Budget'!B28="","",'Budget'!B28)</f>
        <v/>
      </c>
      <c r="X22" s="148">
        <f>IF('Contractors'!B26="","",'Contractors'!B26)</f>
        <v/>
      </c>
    </row>
    <row r="23">
      <c r="V23" s="148">
        <f>IF('Budget'!B29="","",'Budget'!B29)</f>
        <v/>
      </c>
      <c r="X23" s="148">
        <f>IF('Contractors'!B27="","",'Contractors'!B27)</f>
        <v/>
      </c>
    </row>
    <row r="24">
      <c r="V24" s="148">
        <f>IF('Budget'!B30="","",'Budget'!B30)</f>
        <v/>
      </c>
      <c r="X24" s="148">
        <f>IF('Contractors'!B28="","",'Contractors'!B28)</f>
        <v/>
      </c>
    </row>
    <row r="25">
      <c r="V25" s="148">
        <f>IF('Budget'!B31="","",'Budget'!B31)</f>
        <v/>
      </c>
      <c r="X25" s="148">
        <f>IF('Contractors'!B29="","",'Contractors'!B29)</f>
        <v/>
      </c>
    </row>
    <row r="26">
      <c r="V26" s="148">
        <f>IF('Budget'!B32="","",'Budget'!B32)</f>
        <v/>
      </c>
      <c r="X26" s="148">
        <f>IF('Contractors'!B30="","",'Contractors'!B30)</f>
        <v/>
      </c>
    </row>
    <row r="27">
      <c r="V27" s="148">
        <f>IF('Budget'!B33="","",'Budget'!B33)</f>
        <v/>
      </c>
      <c r="X27" s="148">
        <f>IF('Contractors'!B31="","",'Contractors'!B31)</f>
        <v/>
      </c>
    </row>
    <row r="28">
      <c r="V28" s="148">
        <f>IF('Budget'!B34="","",'Budget'!B34)</f>
        <v/>
      </c>
      <c r="X28" s="148">
        <f>IF('Contractors'!B32="","",'Contractors'!B32)</f>
        <v/>
      </c>
    </row>
    <row r="29">
      <c r="V29" s="148">
        <f>IF('Budget'!B35="","",'Budget'!B35)</f>
        <v/>
      </c>
      <c r="X29" s="148">
        <f>IF('Contractors'!B33="","",'Contractors'!B33)</f>
        <v/>
      </c>
    </row>
    <row r="30">
      <c r="V30" s="148">
        <f>IF('Budget'!B36="","",'Budget'!B36)</f>
        <v/>
      </c>
      <c r="X30" s="148">
        <f>IF('Contractors'!B34="","",'Contractors'!B34)</f>
        <v/>
      </c>
    </row>
    <row r="31">
      <c r="V31" s="148">
        <f>IF('Budget'!B37="","",'Budget'!B37)</f>
        <v/>
      </c>
      <c r="X31" s="148">
        <f>IF('Contractors'!B35="","",'Contractors'!B35)</f>
        <v/>
      </c>
    </row>
    <row r="32">
      <c r="V32" s="148">
        <f>IF('Budget'!B38="","",'Budget'!B38)</f>
        <v/>
      </c>
      <c r="X32" s="148">
        <f>IF('Contractors'!B36="","",'Contractors'!B36)</f>
        <v/>
      </c>
    </row>
    <row r="33">
      <c r="V33" s="148">
        <f>IF('Budget'!B39="","",'Budget'!B39)</f>
        <v/>
      </c>
      <c r="X33" s="148">
        <f>IF('Contractors'!B37="","",'Contractors'!B37)</f>
        <v/>
      </c>
    </row>
    <row r="34">
      <c r="V34" s="148">
        <f>IF('Budget'!B40="","",'Budget'!B40)</f>
        <v/>
      </c>
      <c r="X34" s="148">
        <f>IF('Contractors'!B38="","",'Contractors'!B38)</f>
        <v/>
      </c>
    </row>
    <row r="35">
      <c r="V35" s="148">
        <f>IF('Budget'!B41="","",'Budget'!B41)</f>
        <v/>
      </c>
      <c r="X35" s="148">
        <f>IF('Contractors'!B39="","",'Contractors'!B39)</f>
        <v/>
      </c>
    </row>
    <row r="36">
      <c r="V36" s="148">
        <f>IF('Budget'!B42="","",'Budget'!B42)</f>
        <v/>
      </c>
      <c r="X36" s="148">
        <f>IF('Contractors'!B40="","",'Contractors'!B40)</f>
        <v/>
      </c>
    </row>
    <row r="37">
      <c r="V37" s="148">
        <f>IF('Budget'!B43="","",'Budget'!B43)</f>
        <v/>
      </c>
      <c r="X37" s="148">
        <f>IF('Contractors'!B41="","",'Contractors'!B41)</f>
        <v/>
      </c>
    </row>
    <row r="38">
      <c r="V38" s="148">
        <f>IF('Budget'!B44="","",'Budget'!B44)</f>
        <v/>
      </c>
      <c r="X38" s="148">
        <f>IF('Contractors'!B42="","",'Contractors'!B42)</f>
        <v/>
      </c>
    </row>
    <row r="39">
      <c r="V39" s="148">
        <f>IF('Budget'!B45="","",'Budget'!B45)</f>
        <v/>
      </c>
      <c r="X39" s="148">
        <f>IF('Contractors'!B43="","",'Contractors'!B43)</f>
        <v/>
      </c>
    </row>
    <row r="40">
      <c r="V40" s="148">
        <f>IF('Budget'!B46="","",'Budget'!B46)</f>
        <v/>
      </c>
      <c r="X40" s="148">
        <f>IF('Contractors'!B44="","",'Contractors'!B44)</f>
        <v/>
      </c>
    </row>
    <row r="41">
      <c r="V41" s="148">
        <f>IF('Budget'!B47="","",'Budget'!B47)</f>
        <v/>
      </c>
      <c r="X41" s="148">
        <f>IF('Contractors'!B45="","",'Contractors'!B45)</f>
        <v/>
      </c>
    </row>
    <row r="42">
      <c r="V42" s="148">
        <f>IF('Budget'!B48="","",'Budget'!B48)</f>
        <v/>
      </c>
      <c r="X42" s="148">
        <f>IF('Contractors'!B46="","",'Contractors'!B46)</f>
        <v/>
      </c>
    </row>
    <row r="43">
      <c r="V43" s="148">
        <f>IF('Budget'!B49="","",'Budget'!B49)</f>
        <v/>
      </c>
      <c r="X43" s="148">
        <f>IF('Contractors'!B47="","",'Contractors'!B47)</f>
        <v/>
      </c>
    </row>
    <row r="44">
      <c r="V44" s="148">
        <f>IF('Budget'!B50="","",'Budget'!B50)</f>
        <v/>
      </c>
      <c r="X44" s="148">
        <f>IF('Contractors'!B48="","",'Contractors'!B48)</f>
        <v/>
      </c>
    </row>
    <row r="45">
      <c r="V45" s="148">
        <f>IF('Budget'!B51="","",'Budget'!B51)</f>
        <v/>
      </c>
      <c r="X45" s="148">
        <f>IF('Contractors'!B49="","",'Contractors'!B49)</f>
        <v/>
      </c>
    </row>
    <row r="46">
      <c r="V46" s="148">
        <f>IF('Budget'!B52="","",'Budget'!B52)</f>
        <v/>
      </c>
      <c r="X46" s="148">
        <f>IF('Contractors'!B50="","",'Contractors'!B50)</f>
        <v/>
      </c>
    </row>
    <row r="47">
      <c r="V47" s="148">
        <f>IF('Budget'!B53="","",'Budget'!B53)</f>
        <v/>
      </c>
      <c r="X47" s="148">
        <f>IF('Contractors'!B51="","",'Contractors'!B51)</f>
        <v/>
      </c>
    </row>
    <row r="48">
      <c r="V48" s="148">
        <f>IF('Budget'!B54="","",'Budget'!B54)</f>
        <v/>
      </c>
      <c r="X48" s="148">
        <f>IF('Contractors'!B52="","",'Contractors'!B52)</f>
        <v/>
      </c>
    </row>
    <row r="49">
      <c r="V49" s="148">
        <f>IF('Budget'!B55="","",'Budget'!B55)</f>
        <v/>
      </c>
      <c r="X49" s="148">
        <f>IF('Contractors'!B53="","",'Contractors'!B53)</f>
        <v/>
      </c>
    </row>
    <row r="50">
      <c r="V50" s="148">
        <f>IF('Budget'!B56="","",'Budget'!B56)</f>
        <v/>
      </c>
      <c r="X50" s="148">
        <f>IF('Contractors'!B54="","",'Contractors'!B54)</f>
        <v/>
      </c>
    </row>
    <row r="51">
      <c r="V51" s="148">
        <f>IF('Budget'!B57="","",'Budget'!B57)</f>
        <v/>
      </c>
      <c r="X51" s="148">
        <f>IF('Contractors'!B55="","",'Contractors'!B55)</f>
        <v/>
      </c>
    </row>
    <row r="52">
      <c r="X52" s="148">
        <f>IF('Contractors'!B56="","",'Contractors'!B56)</f>
        <v/>
      </c>
    </row>
    <row r="53">
      <c r="X53" s="148">
        <f>IF('Contractors'!B57="","",'Contractors'!B57)</f>
        <v/>
      </c>
    </row>
    <row r="54">
      <c r="X54" s="148">
        <f>IF('Contractors'!B58="","",'Contractors'!B58)</f>
        <v/>
      </c>
    </row>
    <row r="55">
      <c r="X55" s="148">
        <f>IF('Contractors'!B59="","",'Contractors'!B59)</f>
        <v/>
      </c>
    </row>
    <row r="56">
      <c r="X56" s="148">
        <f>IF('Contractors'!B60="","",'Contractors'!B60)</f>
        <v/>
      </c>
    </row>
    <row r="57">
      <c r="X57" s="148">
        <f>IF('Contractors'!B61="","",'Contractors'!B61)</f>
        <v/>
      </c>
    </row>
    <row r="58">
      <c r="X58" s="148">
        <f>IF('Contractors'!B62="","",'Contractors'!B62)</f>
        <v/>
      </c>
    </row>
    <row r="59">
      <c r="X59" s="148">
        <f>IF('Contractors'!B63="","",'Contractors'!B63)</f>
        <v/>
      </c>
    </row>
    <row r="60">
      <c r="X60" s="148">
        <f>IF('Contractors'!B64="","",'Contractors'!B64)</f>
        <v/>
      </c>
    </row>
    <row r="61">
      <c r="X61" s="148">
        <f>IF('Contractors'!B65="","",'Contractors'!B65)</f>
        <v/>
      </c>
    </row>
    <row r="62">
      <c r="X62" s="148">
        <f>IF('Contractors'!B66="","",'Contractors'!B66)</f>
        <v/>
      </c>
    </row>
    <row r="63">
      <c r="X63" s="148">
        <f>IF('Contractors'!B67="","",'Contractors'!B67)</f>
        <v/>
      </c>
    </row>
    <row r="64">
      <c r="X64" s="148">
        <f>IF('Contractors'!B68="","",'Contractors'!B68)</f>
        <v/>
      </c>
    </row>
    <row r="65">
      <c r="X65" s="148">
        <f>IF('Contractors'!B69="","",'Contractors'!B69)</f>
        <v/>
      </c>
    </row>
    <row r="66">
      <c r="X66" s="148">
        <f>IF('Contractors'!B70="","",'Contractors'!B70)</f>
        <v/>
      </c>
    </row>
    <row r="67">
      <c r="X67" s="148">
        <f>IF('Contractors'!B71="","",'Contractors'!B71)</f>
        <v/>
      </c>
    </row>
    <row r="68">
      <c r="X68" s="148">
        <f>IF('Contractors'!B72="","",'Contractors'!B72)</f>
        <v/>
      </c>
    </row>
    <row r="69">
      <c r="X69" s="148">
        <f>IF('Contractors'!B73="","",'Contractors'!B73)</f>
        <v/>
      </c>
    </row>
    <row r="70">
      <c r="X70" s="148">
        <f>IF('Contractors'!B74="","",'Contractors'!B74)</f>
        <v/>
      </c>
    </row>
    <row r="71">
      <c r="X71" s="148">
        <f>IF('Contractors'!B75="","",'Contractors'!B75)</f>
        <v/>
      </c>
    </row>
    <row r="72">
      <c r="X72" s="148">
        <f>IF('Contractors'!B76="","",'Contractors'!B76)</f>
        <v/>
      </c>
    </row>
    <row r="73">
      <c r="X73" s="148">
        <f>IF('Contractors'!B77="","",'Contractors'!B77)</f>
        <v/>
      </c>
    </row>
    <row r="74">
      <c r="X74" s="148">
        <f>IF('Contractors'!B78="","",'Contractors'!B78)</f>
        <v/>
      </c>
    </row>
    <row r="75">
      <c r="X75" s="148">
        <f>IF('Contractors'!B79="","",'Contractors'!B79)</f>
        <v/>
      </c>
    </row>
    <row r="76">
      <c r="X76" s="148">
        <f>IF('Contractors'!B80="","",'Contractors'!B80)</f>
        <v/>
      </c>
    </row>
    <row r="77">
      <c r="X77" s="148">
        <f>IF('Contractors'!B81="","",'Contractors'!B81)</f>
        <v/>
      </c>
    </row>
    <row r="78">
      <c r="X78" s="148">
        <f>IF('Contractors'!B82="","",'Contractors'!B82)</f>
        <v/>
      </c>
    </row>
    <row r="79">
      <c r="X79" s="148">
        <f>IF('Contractors'!B83="","",'Contractors'!B83)</f>
        <v/>
      </c>
    </row>
    <row r="80">
      <c r="X80" s="148">
        <f>IF('Contractors'!B84="","",'Contractors'!B84)</f>
        <v/>
      </c>
    </row>
    <row r="81">
      <c r="X81" s="148">
        <f>IF('Contractors'!B85="","",'Contractors'!B85)</f>
        <v/>
      </c>
    </row>
    <row r="82">
      <c r="X82" s="148">
        <f>IF('Contractors'!B86="","",'Contractors'!B86)</f>
        <v/>
      </c>
    </row>
    <row r="83">
      <c r="X83" s="148">
        <f>IF('Contractors'!B87="","",'Contractors'!B87)</f>
        <v/>
      </c>
    </row>
    <row r="84">
      <c r="X84" s="148">
        <f>IF('Contractors'!B88="","",'Contractors'!B88)</f>
        <v/>
      </c>
    </row>
    <row r="85">
      <c r="X85" s="148">
        <f>IF('Contractors'!B89="","",'Contractors'!B89)</f>
        <v/>
      </c>
    </row>
    <row r="86">
      <c r="X86" s="148">
        <f>IF('Contractors'!B90="","",'Contractors'!B90)</f>
        <v/>
      </c>
    </row>
    <row r="87">
      <c r="X87" s="148">
        <f>IF('Contractors'!B91="","",'Contractors'!B91)</f>
        <v/>
      </c>
    </row>
    <row r="88">
      <c r="X88" s="148">
        <f>IF('Contractors'!B92="","",'Contractors'!B92)</f>
        <v/>
      </c>
    </row>
    <row r="89">
      <c r="X89" s="148">
        <f>IF('Contractors'!B93="","",'Contractors'!B93)</f>
        <v/>
      </c>
    </row>
    <row r="90">
      <c r="X90" s="148">
        <f>IF('Contractors'!B94="","",'Contractors'!B94)</f>
        <v/>
      </c>
    </row>
    <row r="91">
      <c r="X91" s="148">
        <f>IF('Contractors'!B95="","",'Contractors'!B95)</f>
        <v/>
      </c>
    </row>
    <row r="92">
      <c r="X92" s="148">
        <f>IF('Contractors'!B96="","",'Contractors'!B96)</f>
        <v/>
      </c>
    </row>
    <row r="93">
      <c r="X93" s="148">
        <f>IF('Contractors'!B97="","",'Contractors'!B97)</f>
        <v/>
      </c>
    </row>
    <row r="94">
      <c r="X94" s="148">
        <f>IF('Contractors'!B98="","",'Contractors'!B98)</f>
        <v/>
      </c>
    </row>
    <row r="95">
      <c r="X95" s="148">
        <f>IF('Contractors'!B99="","",'Contractors'!B99)</f>
        <v/>
      </c>
    </row>
    <row r="96">
      <c r="X96" s="148">
        <f>IF('Contractors'!B100="","",'Contractors'!B100)</f>
        <v/>
      </c>
    </row>
    <row r="97">
      <c r="X97" s="148">
        <f>IF('Contractors'!B101="","",'Contractors'!B101)</f>
        <v/>
      </c>
    </row>
    <row r="98">
      <c r="X98" s="148">
        <f>IF('Contractors'!B102="","",'Contractors'!B102)</f>
        <v/>
      </c>
    </row>
    <row r="99">
      <c r="X99" s="148">
        <f>IF('Contractors'!B103="","",'Contractors'!B103)</f>
        <v/>
      </c>
    </row>
    <row r="100">
      <c r="X100" s="148">
        <f>IF('Contractors'!B104="","",'Contractors'!B104)</f>
        <v/>
      </c>
    </row>
    <row r="101">
      <c r="X101" s="148">
        <f>IF('Contractors'!B105="","",'Contractors'!B105)</f>
        <v/>
      </c>
    </row>
    <row r="102">
      <c r="X102" s="148">
        <f>IF('Contractors'!B106="","",'Contractors'!B106)</f>
        <v/>
      </c>
    </row>
    <row r="103">
      <c r="X103" s="148">
        <f>IF('Contractors'!B107="","",'Contractors'!B107)</f>
        <v/>
      </c>
    </row>
    <row r="104">
      <c r="X104" s="148">
        <f>IF('Contractors'!B108="","",'Contractors'!B108)</f>
        <v/>
      </c>
    </row>
    <row r="105">
      <c r="X105" s="148">
        <f>IF('Contractors'!B109="","",'Contractors'!B109)</f>
        <v/>
      </c>
    </row>
    <row r="106">
      <c r="X106" s="148">
        <f>IF('Contractors'!B110="","",'Contractors'!B110)</f>
        <v/>
      </c>
    </row>
    <row r="107">
      <c r="X107" s="148">
        <f>IF('Contractors'!B111="","",'Contractors'!B111)</f>
        <v/>
      </c>
    </row>
    <row r="108">
      <c r="X108" s="148">
        <f>IF('Contractors'!B112="","",'Contractors'!B112)</f>
        <v/>
      </c>
    </row>
    <row r="109">
      <c r="X109" s="148">
        <f>IF('Contractors'!B113="","",'Contractors'!B113)</f>
        <v/>
      </c>
    </row>
    <row r="110">
      <c r="X110" s="148">
        <f>IF('Contractors'!B114="","",'Contractors'!B114)</f>
        <v/>
      </c>
    </row>
    <row r="111">
      <c r="X111" s="148">
        <f>IF('Contractors'!B115="","",'Contractors'!B115)</f>
        <v/>
      </c>
    </row>
    <row r="112">
      <c r="X112" s="148">
        <f>IF('Contractors'!B116="","",'Contractors'!B116)</f>
        <v/>
      </c>
    </row>
    <row r="113">
      <c r="X113" s="148">
        <f>IF('Contractors'!B117="","",'Contractors'!B117)</f>
        <v/>
      </c>
    </row>
    <row r="114">
      <c r="X114" s="148">
        <f>IF('Contractors'!B118="","",'Contractors'!B118)</f>
        <v/>
      </c>
    </row>
    <row r="115">
      <c r="X115" s="148">
        <f>IF('Contractors'!B119="","",'Contractors'!B119)</f>
        <v/>
      </c>
    </row>
    <row r="116">
      <c r="X116" s="148">
        <f>IF('Contractors'!B120="","",'Contractors'!B120)</f>
        <v/>
      </c>
    </row>
    <row r="117">
      <c r="X117" s="148">
        <f>IF('Contractors'!B121="","",'Contractors'!B121)</f>
        <v/>
      </c>
    </row>
    <row r="118">
      <c r="X118" s="148">
        <f>IF('Contractors'!B122="","",'Contractors'!B122)</f>
        <v/>
      </c>
    </row>
    <row r="119">
      <c r="X119" s="148">
        <f>IF('Contractors'!B123="","",'Contractors'!B123)</f>
        <v/>
      </c>
    </row>
    <row r="120">
      <c r="X120" s="148">
        <f>IF('Contractors'!B124="","",'Contractors'!B124)</f>
        <v/>
      </c>
    </row>
    <row r="121">
      <c r="X121" s="148">
        <f>IF('Contractors'!B125="","",'Contractors'!B125)</f>
        <v/>
      </c>
    </row>
    <row r="122">
      <c r="X122" s="148">
        <f>IF('Contractors'!B126="","",'Contractors'!B126)</f>
        <v/>
      </c>
    </row>
    <row r="123">
      <c r="X123" s="148">
        <f>IF('Contractors'!B127="","",'Contractors'!B127)</f>
        <v/>
      </c>
    </row>
    <row r="124">
      <c r="X124" s="148">
        <f>IF('Contractors'!B128="","",'Contractors'!B128)</f>
        <v/>
      </c>
    </row>
    <row r="125">
      <c r="X125" s="148">
        <f>IF('Contractors'!B129="","",'Contractors'!B129)</f>
        <v/>
      </c>
    </row>
    <row r="126">
      <c r="X126" s="148">
        <f>IF('Contractors'!B130="","",'Contractors'!B130)</f>
        <v/>
      </c>
    </row>
    <row r="127">
      <c r="X127" s="148">
        <f>IF('Contractors'!B131="","",'Contractors'!B131)</f>
        <v/>
      </c>
    </row>
    <row r="128">
      <c r="X128" s="148">
        <f>IF('Contractors'!B132="","",'Contractors'!B132)</f>
        <v/>
      </c>
    </row>
    <row r="129">
      <c r="X129" s="148">
        <f>IF('Contractors'!B133="","",'Contractors'!B133)</f>
        <v/>
      </c>
    </row>
    <row r="130">
      <c r="X130" s="148">
        <f>IF('Contractors'!B134="","",'Contractors'!B134)</f>
        <v/>
      </c>
    </row>
    <row r="131">
      <c r="X131" s="148">
        <f>IF('Contractors'!B135="","",'Contractors'!B135)</f>
        <v/>
      </c>
    </row>
    <row r="132">
      <c r="X132" s="148">
        <f>IF('Contractors'!B136="","",'Contractors'!B136)</f>
        <v/>
      </c>
    </row>
    <row r="133">
      <c r="X133" s="148">
        <f>IF('Contractors'!B137="","",'Contractors'!B137)</f>
        <v/>
      </c>
    </row>
    <row r="134">
      <c r="X134" s="148">
        <f>IF('Contractors'!B138="","",'Contractors'!B138)</f>
        <v/>
      </c>
    </row>
    <row r="135">
      <c r="X135" s="148">
        <f>IF('Contractors'!B139="","",'Contractors'!B139)</f>
        <v/>
      </c>
    </row>
    <row r="136">
      <c r="X136" s="148">
        <f>IF('Contractors'!B140="","",'Contractors'!B140)</f>
        <v/>
      </c>
    </row>
    <row r="137">
      <c r="X137" s="148">
        <f>IF('Contractors'!B141="","",'Contractors'!B141)</f>
        <v/>
      </c>
    </row>
    <row r="138">
      <c r="X138" s="148">
        <f>IF('Contractors'!B142="","",'Contractors'!B142)</f>
        <v/>
      </c>
    </row>
    <row r="139">
      <c r="X139" s="148">
        <f>IF('Contractors'!B143="","",'Contractors'!B143)</f>
        <v/>
      </c>
    </row>
    <row r="140">
      <c r="X140" s="148">
        <f>IF('Contractors'!B144="","",'Contractors'!B144)</f>
        <v/>
      </c>
    </row>
    <row r="141">
      <c r="X141" s="148">
        <f>IF('Contractors'!B145="","",'Contractors'!B145)</f>
        <v/>
      </c>
    </row>
    <row r="142">
      <c r="X142" s="148">
        <f>IF('Contractors'!B146="","",'Contractors'!B146)</f>
        <v/>
      </c>
    </row>
    <row r="143">
      <c r="X143" s="148">
        <f>IF('Contractors'!B147="","",'Contractors'!B147)</f>
        <v/>
      </c>
    </row>
    <row r="144">
      <c r="X144" s="148">
        <f>IF('Contractors'!B148="","",'Contractors'!B148)</f>
        <v/>
      </c>
    </row>
    <row r="145">
      <c r="X145" s="148">
        <f>IF('Contractors'!B149="","",'Contractors'!B149)</f>
        <v/>
      </c>
    </row>
    <row r="146">
      <c r="X146" s="148">
        <f>IF('Contractors'!B150="","",'Contractors'!B150)</f>
        <v/>
      </c>
    </row>
    <row r="147">
      <c r="X147" s="148">
        <f>IF('Contractors'!B151="","",'Contractors'!B151)</f>
        <v/>
      </c>
    </row>
    <row r="148">
      <c r="X148" s="148">
        <f>IF('Contractors'!B152="","",'Contractors'!B152)</f>
        <v/>
      </c>
    </row>
    <row r="149">
      <c r="X149" s="148">
        <f>IF('Contractors'!B153="","",'Contractors'!B153)</f>
        <v/>
      </c>
    </row>
    <row r="150">
      <c r="X150" s="148">
        <f>IF('Contractors'!B154="","",'Contractors'!B154)</f>
        <v/>
      </c>
    </row>
    <row r="151">
      <c r="X151" s="148">
        <f>IF('Contractors'!B155="","",'Contractors'!B155)</f>
        <v/>
      </c>
    </row>
    <row r="152">
      <c r="X152" s="148">
        <f>IF('Contractors'!B156="","",'Contractors'!B156)</f>
        <v/>
      </c>
    </row>
    <row r="153">
      <c r="X153" s="148">
        <f>IF('Contractors'!B157="","",'Contractors'!B157)</f>
        <v/>
      </c>
    </row>
    <row r="154">
      <c r="X154" s="148">
        <f>IF('Contractors'!B158="","",'Contractors'!B158)</f>
        <v/>
      </c>
    </row>
    <row r="155">
      <c r="X155" s="148">
        <f>IF('Contractors'!B159="","",'Contractors'!B159)</f>
        <v/>
      </c>
    </row>
    <row r="156">
      <c r="X156" s="148">
        <f>IF('Contractors'!B160="","",'Contractors'!B160)</f>
        <v/>
      </c>
    </row>
    <row r="157">
      <c r="X157" s="148">
        <f>IF('Contractors'!B161="","",'Contractors'!B161)</f>
        <v/>
      </c>
    </row>
    <row r="158">
      <c r="X158" s="148">
        <f>IF('Contractors'!B162="","",'Contractors'!B162)</f>
        <v/>
      </c>
    </row>
    <row r="159">
      <c r="X159" s="148">
        <f>IF('Contractors'!B163="","",'Contractors'!B163)</f>
        <v/>
      </c>
    </row>
    <row r="160">
      <c r="X160" s="148">
        <f>IF('Contractors'!B164="","",'Contractors'!B164)</f>
        <v/>
      </c>
    </row>
    <row r="161">
      <c r="X161" s="148">
        <f>IF('Contractors'!B165="","",'Contractors'!B165)</f>
        <v/>
      </c>
    </row>
    <row r="162">
      <c r="X162" s="148">
        <f>IF('Contractors'!B166="","",'Contractors'!B166)</f>
        <v/>
      </c>
    </row>
    <row r="163">
      <c r="X163" s="148">
        <f>IF('Contractors'!B167="","",'Contractors'!B167)</f>
        <v/>
      </c>
    </row>
    <row r="164">
      <c r="X164" s="148">
        <f>IF('Contractors'!B168="","",'Contractors'!B168)</f>
        <v/>
      </c>
    </row>
    <row r="165">
      <c r="X165" s="148">
        <f>IF('Contractors'!B169="","",'Contractors'!B169)</f>
        <v/>
      </c>
    </row>
    <row r="166">
      <c r="X166" s="148">
        <f>IF('Contractors'!B170="","",'Contractors'!B170)</f>
        <v/>
      </c>
    </row>
    <row r="167">
      <c r="X167" s="148">
        <f>IF('Contractors'!B171="","",'Contractors'!B171)</f>
        <v/>
      </c>
    </row>
    <row r="168">
      <c r="X168" s="148">
        <f>IF('Contractors'!B172="","",'Contractors'!B172)</f>
        <v/>
      </c>
    </row>
    <row r="169">
      <c r="X169" s="148">
        <f>IF('Contractors'!B173="","",'Contractors'!B173)</f>
        <v/>
      </c>
    </row>
    <row r="170">
      <c r="X170" s="148">
        <f>IF('Contractors'!B174="","",'Contractors'!B174)</f>
        <v/>
      </c>
    </row>
    <row r="171">
      <c r="X171" s="148">
        <f>IF('Contractors'!B175="","",'Contractors'!B175)</f>
        <v/>
      </c>
    </row>
    <row r="172">
      <c r="X172" s="148">
        <f>IF('Contractors'!B176="","",'Contractors'!B176)</f>
        <v/>
      </c>
    </row>
    <row r="173">
      <c r="X173" s="148">
        <f>IF('Contractors'!B177="","",'Contractors'!B177)</f>
        <v/>
      </c>
    </row>
    <row r="174">
      <c r="X174" s="148">
        <f>IF('Contractors'!B178="","",'Contractors'!B178)</f>
        <v/>
      </c>
    </row>
    <row r="175">
      <c r="X175" s="148">
        <f>IF('Contractors'!B179="","",'Contractors'!B179)</f>
        <v/>
      </c>
    </row>
    <row r="176">
      <c r="X176" s="148">
        <f>IF('Contractors'!B180="","",'Contractors'!B180)</f>
        <v/>
      </c>
    </row>
    <row r="177">
      <c r="X177" s="148">
        <f>IF('Contractors'!B181="","",'Contractors'!B181)</f>
        <v/>
      </c>
    </row>
    <row r="178">
      <c r="X178" s="148">
        <f>IF('Contractors'!B182="","",'Contractors'!B182)</f>
        <v/>
      </c>
    </row>
    <row r="179">
      <c r="X179" s="148">
        <f>IF('Contractors'!B183="","",'Contractors'!B183)</f>
        <v/>
      </c>
    </row>
    <row r="180">
      <c r="X180" s="148">
        <f>IF('Contractors'!B184="","",'Contractors'!B184)</f>
        <v/>
      </c>
    </row>
    <row r="181">
      <c r="X181" s="148">
        <f>IF('Contractors'!B185="","",'Contractors'!B185)</f>
        <v/>
      </c>
    </row>
    <row r="182">
      <c r="X182" s="148">
        <f>IF('Contractors'!B186="","",'Contractors'!B186)</f>
        <v/>
      </c>
    </row>
    <row r="183">
      <c r="X183" s="148">
        <f>IF('Contractors'!B187="","",'Contractors'!B187)</f>
        <v/>
      </c>
    </row>
    <row r="184">
      <c r="X184" s="148">
        <f>IF('Contractors'!B188="","",'Contractors'!B188)</f>
        <v/>
      </c>
    </row>
    <row r="185">
      <c r="X185" s="148">
        <f>IF('Contractors'!B189="","",'Contractors'!B189)</f>
        <v/>
      </c>
    </row>
    <row r="186">
      <c r="X186" s="148">
        <f>IF('Contractors'!B190="","",'Contractors'!B190)</f>
        <v/>
      </c>
    </row>
    <row r="187">
      <c r="X187" s="148">
        <f>IF('Contractors'!B191="","",'Contractors'!B191)</f>
        <v/>
      </c>
    </row>
    <row r="188">
      <c r="X188" s="148">
        <f>IF('Contractors'!B192="","",'Contractors'!B192)</f>
        <v/>
      </c>
    </row>
    <row r="189">
      <c r="X189" s="148">
        <f>IF('Contractors'!B193="","",'Contractors'!B193)</f>
        <v/>
      </c>
    </row>
    <row r="190">
      <c r="X190" s="148">
        <f>IF('Contractors'!B194="","",'Contractors'!B194)</f>
        <v/>
      </c>
    </row>
    <row r="191">
      <c r="X191" s="148">
        <f>IF('Contractors'!B195="","",'Contractors'!B195)</f>
        <v/>
      </c>
    </row>
    <row r="192">
      <c r="X192" s="148">
        <f>IF('Contractors'!B196="","",'Contractors'!B196)</f>
        <v/>
      </c>
    </row>
    <row r="193">
      <c r="X193" s="148">
        <f>IF('Contractors'!B197="","",'Contractors'!B197)</f>
        <v/>
      </c>
    </row>
    <row r="194">
      <c r="X194" s="148">
        <f>IF('Contractors'!B198="","",'Contractors'!B198)</f>
        <v/>
      </c>
    </row>
    <row r="195">
      <c r="X195" s="148">
        <f>IF('Contractors'!B199="","",'Contractors'!B199)</f>
        <v/>
      </c>
    </row>
    <row r="196">
      <c r="X196" s="148">
        <f>IF('Contractors'!B200="","",'Contractors'!B200)</f>
        <v/>
      </c>
    </row>
    <row r="197">
      <c r="X197" s="148">
        <f>IF('Contractors'!B201="","",'Contractors'!B201)</f>
        <v/>
      </c>
    </row>
    <row r="198">
      <c r="X198" s="148">
        <f>IF('Contractors'!B202="","",'Contractors'!B202)</f>
        <v/>
      </c>
    </row>
    <row r="199">
      <c r="X199" s="148">
        <f>IF('Contractors'!B203="","",'Contractors'!B203)</f>
        <v/>
      </c>
    </row>
    <row r="200">
      <c r="X200" s="148">
        <f>IF('Contractors'!B204="","",'Contractors'!B204)</f>
        <v/>
      </c>
    </row>
    <row r="201">
      <c r="X201" s="148">
        <f>IF('Contractors'!B205="","",'Contractors'!B205)</f>
        <v/>
      </c>
    </row>
    <row r="202">
      <c r="X202" s="148">
        <f>IF('Contractors'!B206="","",'Contractors'!B206)</f>
        <v/>
      </c>
    </row>
    <row r="203">
      <c r="X203" s="148">
        <f>IF('Contractors'!B207="","",'Contractors'!B207)</f>
        <v/>
      </c>
    </row>
    <row r="204">
      <c r="X204" s="148">
        <f>IF('Contractors'!B208="","",'Contractors'!B208)</f>
        <v/>
      </c>
    </row>
    <row r="205">
      <c r="X205" s="148">
        <f>IF('Contractors'!B209="","",'Contractors'!B209)</f>
        <v/>
      </c>
    </row>
    <row r="206">
      <c r="X206" s="148">
        <f>IF('Contractors'!B210="","",'Contractors'!B210)</f>
        <v/>
      </c>
    </row>
    <row r="207">
      <c r="X207" s="148">
        <f>IF('Contractors'!B211="","",'Contractors'!B211)</f>
        <v/>
      </c>
    </row>
    <row r="208">
      <c r="X208" s="148">
        <f>IF('Contractors'!B212="","",'Contractors'!B212)</f>
        <v/>
      </c>
    </row>
    <row r="209">
      <c r="X209" s="148">
        <f>IF('Contractors'!B213="","",'Contractors'!B213)</f>
        <v/>
      </c>
    </row>
    <row r="210">
      <c r="X210" s="148">
        <f>IF('Contractors'!B214="","",'Contractors'!B214)</f>
        <v/>
      </c>
    </row>
    <row r="211">
      <c r="X211" s="148">
        <f>IF('Contractors'!B215="","",'Contractors'!B215)</f>
        <v/>
      </c>
    </row>
    <row r="212">
      <c r="X212" s="148">
        <f>IF('Contractors'!B216="","",'Contractors'!B216)</f>
        <v/>
      </c>
    </row>
    <row r="213">
      <c r="X213" s="148">
        <f>IF('Contractors'!B217="","",'Contractors'!B217)</f>
        <v/>
      </c>
    </row>
    <row r="214">
      <c r="X214" s="148">
        <f>IF('Contractors'!B218="","",'Contractors'!B218)</f>
        <v/>
      </c>
    </row>
    <row r="215">
      <c r="X215" s="148">
        <f>IF('Contractors'!B219="","",'Contractors'!B219)</f>
        <v/>
      </c>
    </row>
    <row r="216">
      <c r="X216" s="148">
        <f>IF('Contractors'!B220="","",'Contractors'!B220)</f>
        <v/>
      </c>
    </row>
    <row r="217">
      <c r="X217" s="148">
        <f>IF('Contractors'!B221="","",'Contractors'!B221)</f>
        <v/>
      </c>
    </row>
    <row r="218">
      <c r="X218" s="148">
        <f>IF('Contractors'!B222="","",'Contractors'!B222)</f>
        <v/>
      </c>
    </row>
    <row r="219">
      <c r="X219" s="148">
        <f>IF('Contractors'!B223="","",'Contractors'!B223)</f>
        <v/>
      </c>
    </row>
    <row r="220">
      <c r="X220" s="148">
        <f>IF('Contractors'!B224="","",'Contractors'!B224)</f>
        <v/>
      </c>
    </row>
    <row r="221">
      <c r="X221" s="148">
        <f>IF('Contractors'!B225="","",'Contractors'!B225)</f>
        <v/>
      </c>
    </row>
    <row r="222">
      <c r="X222" s="148">
        <f>IF('Contractors'!B226="","",'Contractors'!B226)</f>
        <v/>
      </c>
    </row>
    <row r="223">
      <c r="X223" s="148">
        <f>IF('Contractors'!B227="","",'Contractors'!B227)</f>
        <v/>
      </c>
    </row>
    <row r="224">
      <c r="X224" s="148">
        <f>IF('Contractors'!B228="","",'Contractors'!B228)</f>
        <v/>
      </c>
    </row>
    <row r="225">
      <c r="X225" s="148">
        <f>IF('Contractors'!B229="","",'Contractors'!B229)</f>
        <v/>
      </c>
    </row>
    <row r="226">
      <c r="X226" s="148">
        <f>IF('Contractors'!B230="","",'Contractors'!B230)</f>
        <v/>
      </c>
    </row>
    <row r="227">
      <c r="X227" s="148">
        <f>IF('Contractors'!B231="","",'Contractors'!B231)</f>
        <v/>
      </c>
    </row>
    <row r="228">
      <c r="X228" s="148">
        <f>IF('Contractors'!B232="","",'Contractors'!B232)</f>
        <v/>
      </c>
    </row>
    <row r="229">
      <c r="X229" s="148">
        <f>IF('Contractors'!B233="","",'Contractors'!B233)</f>
        <v/>
      </c>
    </row>
    <row r="230">
      <c r="X230" s="148">
        <f>IF('Contractors'!B234="","",'Contractors'!B234)</f>
        <v/>
      </c>
    </row>
    <row r="231">
      <c r="X231" s="148">
        <f>IF('Contractors'!B235="","",'Contractors'!B235)</f>
        <v/>
      </c>
    </row>
    <row r="232">
      <c r="X232" s="148">
        <f>IF('Contractors'!B236="","",'Contractors'!B236)</f>
        <v/>
      </c>
    </row>
    <row r="233">
      <c r="X233" s="148">
        <f>IF('Contractors'!B237="","",'Contractors'!B237)</f>
        <v/>
      </c>
    </row>
    <row r="234">
      <c r="X234" s="148">
        <f>IF('Contractors'!B238="","",'Contractors'!B238)</f>
        <v/>
      </c>
    </row>
    <row r="235">
      <c r="X235" s="148">
        <f>IF('Contractors'!B239="","",'Contractors'!B239)</f>
        <v/>
      </c>
    </row>
    <row r="236">
      <c r="X236" s="148">
        <f>IF('Contractors'!B240="","",'Contractors'!B240)</f>
        <v/>
      </c>
    </row>
    <row r="237">
      <c r="X237" s="148">
        <f>IF('Contractors'!B241="","",'Contractors'!B241)</f>
        <v/>
      </c>
    </row>
    <row r="238">
      <c r="X238" s="148">
        <f>IF('Contractors'!B242="","",'Contractors'!B242)</f>
        <v/>
      </c>
    </row>
    <row r="239">
      <c r="X239" s="148">
        <f>IF('Contractors'!B243="","",'Contractors'!B243)</f>
        <v/>
      </c>
    </row>
    <row r="240">
      <c r="X240" s="148">
        <f>IF('Contractors'!B244="","",'Contractors'!B244)</f>
        <v/>
      </c>
    </row>
    <row r="241">
      <c r="X241" s="148">
        <f>IF('Contractors'!B245="","",'Contractors'!B245)</f>
        <v/>
      </c>
    </row>
    <row r="242">
      <c r="X242" s="148">
        <f>IF('Contractors'!B246="","",'Contractors'!B246)</f>
        <v/>
      </c>
    </row>
    <row r="243">
      <c r="X243" s="148">
        <f>IF('Contractors'!B247="","",'Contractors'!B247)</f>
        <v/>
      </c>
    </row>
    <row r="244">
      <c r="X244" s="148">
        <f>IF('Contractors'!B248="","",'Contractors'!B248)</f>
        <v/>
      </c>
    </row>
    <row r="245">
      <c r="X245" s="148">
        <f>IF('Contractors'!B249="","",'Contractors'!B249)</f>
        <v/>
      </c>
    </row>
    <row r="246">
      <c r="X246" s="148">
        <f>IF('Contractors'!B250="","",'Contractors'!B250)</f>
        <v/>
      </c>
    </row>
    <row r="247">
      <c r="X247" s="148">
        <f>IF('Contractors'!B251="","",'Contractors'!B251)</f>
        <v/>
      </c>
    </row>
    <row r="248">
      <c r="X248" s="148">
        <f>IF('Contractors'!B252="","",'Contractors'!B252)</f>
        <v/>
      </c>
    </row>
    <row r="249">
      <c r="X249" s="148">
        <f>IF('Contractors'!B253="","",'Contractors'!B253)</f>
        <v/>
      </c>
    </row>
    <row r="250">
      <c r="X250" s="148">
        <f>IF('Contractors'!B254="","",'Contractors'!B254)</f>
        <v/>
      </c>
    </row>
    <row r="251">
      <c r="X251" s="148">
        <f>IF('Contractors'!B255="","",'Contractors'!B255)</f>
        <v/>
      </c>
    </row>
    <row r="252">
      <c r="X252" s="148">
        <f>IF('Contractors'!B256="","",'Contractors'!B256)</f>
        <v/>
      </c>
    </row>
    <row r="253">
      <c r="X253" s="148">
        <f>IF('Contractors'!B257="","",'Contractors'!B257)</f>
        <v/>
      </c>
    </row>
    <row r="254">
      <c r="X254" s="148">
        <f>IF('Contractors'!B258="","",'Contractors'!B258)</f>
        <v/>
      </c>
    </row>
    <row r="255">
      <c r="X255" s="148">
        <f>IF('Contractors'!B259="","",'Contractors'!B259)</f>
        <v/>
      </c>
    </row>
    <row r="256">
      <c r="X256" s="148">
        <f>IF('Contractors'!B260="","",'Contractors'!B260)</f>
        <v/>
      </c>
    </row>
    <row r="257">
      <c r="X257" s="148">
        <f>IF('Contractors'!B261="","",'Contractors'!B261)</f>
        <v/>
      </c>
    </row>
    <row r="258">
      <c r="X258" s="148">
        <f>IF('Contractors'!B262="","",'Contractors'!B262)</f>
        <v/>
      </c>
    </row>
    <row r="259">
      <c r="X259" s="148">
        <f>IF('Contractors'!B263="","",'Contractors'!B263)</f>
        <v/>
      </c>
    </row>
    <row r="260">
      <c r="X260" s="148">
        <f>IF('Contractors'!B264="","",'Contractors'!B264)</f>
        <v/>
      </c>
    </row>
    <row r="261">
      <c r="X261" s="148">
        <f>IF('Contractors'!B265="","",'Contractors'!B265)</f>
        <v/>
      </c>
    </row>
    <row r="262">
      <c r="X262" s="148">
        <f>IF('Contractors'!B266="","",'Contractors'!B266)</f>
        <v/>
      </c>
    </row>
    <row r="263">
      <c r="X263" s="148">
        <f>IF('Contractors'!B267="","",'Contractors'!B267)</f>
        <v/>
      </c>
    </row>
    <row r="264">
      <c r="X264" s="148">
        <f>IF('Contractors'!B268="","",'Contractors'!B268)</f>
        <v/>
      </c>
    </row>
    <row r="265">
      <c r="X265" s="148">
        <f>IF('Contractors'!B269="","",'Contractors'!B269)</f>
        <v/>
      </c>
    </row>
    <row r="266">
      <c r="X266" s="148">
        <f>IF('Contractors'!B270="","",'Contractors'!B270)</f>
        <v/>
      </c>
    </row>
    <row r="267">
      <c r="X267" s="148">
        <f>IF('Contractors'!B271="","",'Contractors'!B271)</f>
        <v/>
      </c>
    </row>
    <row r="268">
      <c r="X268" s="148">
        <f>IF('Contractors'!B272="","",'Contractors'!B272)</f>
        <v/>
      </c>
    </row>
    <row r="269">
      <c r="X269" s="148">
        <f>IF('Contractors'!B273="","",'Contractors'!B273)</f>
        <v/>
      </c>
    </row>
    <row r="270">
      <c r="X270" s="148">
        <f>IF('Contractors'!B274="","",'Contractors'!B274)</f>
        <v/>
      </c>
    </row>
    <row r="271">
      <c r="X271" s="148">
        <f>IF('Contractors'!B275="","",'Contractors'!B275)</f>
        <v/>
      </c>
    </row>
    <row r="272">
      <c r="X272" s="148">
        <f>IF('Contractors'!B276="","",'Contractors'!B276)</f>
        <v/>
      </c>
    </row>
    <row r="273">
      <c r="X273" s="148">
        <f>IF('Contractors'!B277="","",'Contractors'!B277)</f>
        <v/>
      </c>
    </row>
    <row r="274">
      <c r="X274" s="148">
        <f>IF('Contractors'!B278="","",'Contractors'!B278)</f>
        <v/>
      </c>
    </row>
    <row r="275">
      <c r="X275" s="148">
        <f>IF('Contractors'!B279="","",'Contractors'!B279)</f>
        <v/>
      </c>
    </row>
    <row r="276">
      <c r="X276" s="148">
        <f>IF('Contractors'!B280="","",'Contractors'!B280)</f>
        <v/>
      </c>
    </row>
    <row r="277">
      <c r="X277" s="148">
        <f>IF('Contractors'!B281="","",'Contractors'!B281)</f>
        <v/>
      </c>
    </row>
    <row r="278">
      <c r="X278" s="148">
        <f>IF('Contractors'!B282="","",'Contractors'!B282)</f>
        <v/>
      </c>
    </row>
    <row r="279">
      <c r="X279" s="148">
        <f>IF('Contractors'!B283="","",'Contractors'!B283)</f>
        <v/>
      </c>
    </row>
    <row r="280">
      <c r="X280" s="148">
        <f>IF('Contractors'!B284="","",'Contractors'!B284)</f>
        <v/>
      </c>
    </row>
    <row r="281">
      <c r="X281" s="148">
        <f>IF('Contractors'!B285="","",'Contractors'!B285)</f>
        <v/>
      </c>
    </row>
    <row r="282">
      <c r="X282" s="148">
        <f>IF('Contractors'!B286="","",'Contractors'!B286)</f>
        <v/>
      </c>
    </row>
    <row r="283">
      <c r="X283" s="148">
        <f>IF('Contractors'!B287="","",'Contractors'!B287)</f>
        <v/>
      </c>
    </row>
    <row r="284">
      <c r="X284" s="148">
        <f>IF('Contractors'!B288="","",'Contractors'!B288)</f>
        <v/>
      </c>
    </row>
    <row r="285">
      <c r="X285" s="148">
        <f>IF('Contractors'!B289="","",'Contractors'!B289)</f>
        <v/>
      </c>
    </row>
    <row r="286">
      <c r="X286" s="148">
        <f>IF('Contractors'!B290="","",'Contractors'!B290)</f>
        <v/>
      </c>
    </row>
    <row r="287">
      <c r="X287" s="148">
        <f>IF('Contractors'!B291="","",'Contractors'!B291)</f>
        <v/>
      </c>
    </row>
    <row r="288">
      <c r="X288" s="148">
        <f>IF('Contractors'!B292="","",'Contractors'!B292)</f>
        <v/>
      </c>
    </row>
    <row r="289">
      <c r="X289" s="148">
        <f>IF('Contractors'!B293="","",'Contractors'!B293)</f>
        <v/>
      </c>
    </row>
    <row r="290">
      <c r="X290" s="148">
        <f>IF('Contractors'!B294="","",'Contractors'!B294)</f>
        <v/>
      </c>
    </row>
    <row r="291">
      <c r="X291" s="148">
        <f>IF('Contractors'!B295="","",'Contractors'!B295)</f>
        <v/>
      </c>
    </row>
    <row r="292">
      <c r="X292" s="148">
        <f>IF('Contractors'!B296="","",'Contractors'!B296)</f>
        <v/>
      </c>
    </row>
    <row r="293">
      <c r="X293" s="148">
        <f>IF('Contractors'!B297="","",'Contractors'!B297)</f>
        <v/>
      </c>
    </row>
    <row r="294">
      <c r="X294" s="148">
        <f>IF('Contractors'!B298="","",'Contractors'!B298)</f>
        <v/>
      </c>
    </row>
    <row r="295">
      <c r="X295" s="148">
        <f>IF('Contractors'!B299="","",'Contractors'!B299)</f>
        <v/>
      </c>
    </row>
    <row r="296">
      <c r="X296" s="148">
        <f>IF('Contractors'!B300="","",'Contractors'!B300)</f>
        <v/>
      </c>
    </row>
    <row r="297">
      <c r="X297" s="148">
        <f>IF('Contractors'!B301="","",'Contractors'!B301)</f>
        <v/>
      </c>
    </row>
    <row r="298">
      <c r="X298" s="148">
        <f>IF('Contractors'!B302="","",'Contractors'!B302)</f>
        <v/>
      </c>
    </row>
    <row r="299">
      <c r="X299" s="148">
        <f>IF('Contractors'!B303="","",'Contractors'!B303)</f>
        <v/>
      </c>
    </row>
    <row r="300">
      <c r="X300" s="148">
        <f>IF('Contractors'!B304="","",'Contractors'!B304)</f>
        <v/>
      </c>
    </row>
    <row r="301">
      <c r="X301" s="148">
        <f>IF('Contractors'!B305="","",'Contractors'!B305)</f>
        <v/>
      </c>
    </row>
    <row r="302">
      <c r="X302" s="148">
        <f>IF('Contractors'!B306="","",'Contractors'!B306)</f>
        <v/>
      </c>
    </row>
    <row r="303">
      <c r="X303" s="148">
        <f>IF('Contractors'!B307="","",'Contractors'!B307)</f>
        <v/>
      </c>
    </row>
    <row r="304">
      <c r="X304" s="148">
        <f>IF('Contractors'!B308="","",'Contractors'!B308)</f>
        <v/>
      </c>
    </row>
    <row r="305">
      <c r="X305" s="148">
        <f>IF('Contractors'!B309="","",'Contractors'!B309)</f>
        <v/>
      </c>
    </row>
    <row r="306">
      <c r="X306" s="148">
        <f>IF('Contractors'!B310="","",'Contractors'!B310)</f>
        <v/>
      </c>
    </row>
    <row r="307">
      <c r="X307" s="148">
        <f>IF('Contractors'!B311="","",'Contractors'!B311)</f>
        <v/>
      </c>
    </row>
    <row r="308">
      <c r="X308" s="148">
        <f>IF('Contractors'!B312="","",'Contractors'!B312)</f>
        <v/>
      </c>
    </row>
    <row r="309">
      <c r="X309" s="148">
        <f>IF('Contractors'!B313="","",'Contractors'!B313)</f>
        <v/>
      </c>
    </row>
    <row r="310">
      <c r="X310" s="148">
        <f>IF('Contractors'!B314="","",'Contractors'!B314)</f>
        <v/>
      </c>
    </row>
    <row r="311">
      <c r="X311" s="148">
        <f>IF('Contractors'!B315="","",'Contractors'!B315)</f>
        <v/>
      </c>
    </row>
    <row r="312">
      <c r="X312" s="148">
        <f>IF('Contractors'!B316="","",'Contractors'!B316)</f>
        <v/>
      </c>
    </row>
    <row r="313">
      <c r="X313" s="148">
        <f>IF('Contractors'!B317="","",'Contractors'!B317)</f>
        <v/>
      </c>
    </row>
    <row r="314">
      <c r="X314" s="148">
        <f>IF('Contractors'!B318="","",'Contractors'!B318)</f>
        <v/>
      </c>
    </row>
    <row r="315">
      <c r="X315" s="148">
        <f>IF('Contractors'!B319="","",'Contractors'!B319)</f>
        <v/>
      </c>
    </row>
    <row r="316">
      <c r="X316" s="148">
        <f>IF('Contractors'!B320="","",'Contractors'!B320)</f>
        <v/>
      </c>
    </row>
    <row r="317">
      <c r="X317" s="148">
        <f>IF('Contractors'!B321="","",'Contractors'!B321)</f>
        <v/>
      </c>
    </row>
    <row r="318">
      <c r="X318" s="148">
        <f>IF('Contractors'!B322="","",'Contractors'!B322)</f>
        <v/>
      </c>
    </row>
    <row r="319">
      <c r="X319" s="148">
        <f>IF('Contractors'!B323="","",'Contractors'!B323)</f>
        <v/>
      </c>
    </row>
    <row r="320">
      <c r="X320" s="148">
        <f>IF('Contractors'!B324="","",'Contractors'!B324)</f>
        <v/>
      </c>
    </row>
    <row r="321">
      <c r="X321" s="148">
        <f>IF('Contractors'!B325="","",'Contractors'!B325)</f>
        <v/>
      </c>
    </row>
    <row r="322">
      <c r="X322" s="148">
        <f>IF('Contractors'!B326="","",'Contractors'!B326)</f>
        <v/>
      </c>
    </row>
    <row r="323">
      <c r="X323" s="148">
        <f>IF('Contractors'!B327="","",'Contractors'!B327)</f>
        <v/>
      </c>
    </row>
    <row r="324">
      <c r="X324" s="148">
        <f>IF('Contractors'!B328="","",'Contractors'!B328)</f>
        <v/>
      </c>
    </row>
    <row r="325">
      <c r="X325" s="148">
        <f>IF('Contractors'!B329="","",'Contractors'!B329)</f>
        <v/>
      </c>
    </row>
    <row r="326">
      <c r="X326" s="148">
        <f>IF('Contractors'!B330="","",'Contractors'!B330)</f>
        <v/>
      </c>
    </row>
    <row r="327">
      <c r="X327" s="148">
        <f>IF('Contractors'!B331="","",'Contractors'!B331)</f>
        <v/>
      </c>
    </row>
    <row r="328">
      <c r="X328" s="148">
        <f>IF('Contractors'!B332="","",'Contractors'!B332)</f>
        <v/>
      </c>
    </row>
    <row r="329">
      <c r="X329" s="148">
        <f>IF('Contractors'!B333="","",'Contractors'!B333)</f>
        <v/>
      </c>
    </row>
    <row r="330">
      <c r="X330" s="148">
        <f>IF('Contractors'!B334="","",'Contractors'!B334)</f>
        <v/>
      </c>
    </row>
    <row r="331">
      <c r="X331" s="148">
        <f>IF('Contractors'!B335="","",'Contractors'!B335)</f>
        <v/>
      </c>
    </row>
    <row r="332">
      <c r="X332" s="148">
        <f>IF('Contractors'!B336="","",'Contractors'!B336)</f>
        <v/>
      </c>
    </row>
    <row r="333">
      <c r="X333" s="148">
        <f>IF('Contractors'!B337="","",'Contractors'!B337)</f>
        <v/>
      </c>
    </row>
    <row r="334">
      <c r="X334" s="148">
        <f>IF('Contractors'!B338="","",'Contractors'!B338)</f>
        <v/>
      </c>
    </row>
    <row r="335">
      <c r="X335" s="148">
        <f>IF('Contractors'!B339="","",'Contractors'!B339)</f>
        <v/>
      </c>
    </row>
    <row r="336">
      <c r="X336" s="148">
        <f>IF('Contractors'!B340="","",'Contractors'!B340)</f>
        <v/>
      </c>
    </row>
    <row r="337">
      <c r="X337" s="148">
        <f>IF('Contractors'!B341="","",'Contractors'!B341)</f>
        <v/>
      </c>
    </row>
    <row r="338">
      <c r="X338" s="148">
        <f>IF('Contractors'!B342="","",'Contractors'!B342)</f>
        <v/>
      </c>
    </row>
    <row r="339">
      <c r="X339" s="148">
        <f>IF('Contractors'!B343="","",'Contractors'!B343)</f>
        <v/>
      </c>
    </row>
    <row r="340">
      <c r="X340" s="148">
        <f>IF('Contractors'!B344="","",'Contractors'!B344)</f>
        <v/>
      </c>
    </row>
    <row r="341">
      <c r="X341" s="148">
        <f>IF('Contractors'!B345="","",'Contractors'!B345)</f>
        <v/>
      </c>
    </row>
    <row r="342">
      <c r="X342" s="148">
        <f>IF('Contractors'!B346="","",'Contractors'!B346)</f>
        <v/>
      </c>
    </row>
    <row r="343">
      <c r="X343" s="148">
        <f>IF('Contractors'!B347="","",'Contractors'!B347)</f>
        <v/>
      </c>
    </row>
    <row r="344">
      <c r="X344" s="148">
        <f>IF('Contractors'!B348="","",'Contractors'!B348)</f>
        <v/>
      </c>
    </row>
    <row r="345">
      <c r="X345" s="148">
        <f>IF('Contractors'!B349="","",'Contractors'!B349)</f>
        <v/>
      </c>
    </row>
    <row r="346">
      <c r="X346" s="148">
        <f>IF('Contractors'!B350="","",'Contractors'!B350)</f>
        <v/>
      </c>
    </row>
    <row r="347">
      <c r="X347" s="148">
        <f>IF('Contractors'!B351="","",'Contractors'!B351)</f>
        <v/>
      </c>
    </row>
    <row r="348">
      <c r="X348" s="148">
        <f>IF('Contractors'!B352="","",'Contractors'!B352)</f>
        <v/>
      </c>
    </row>
    <row r="349">
      <c r="X349" s="148">
        <f>IF('Contractors'!B353="","",'Contractors'!B353)</f>
        <v/>
      </c>
    </row>
    <row r="350">
      <c r="X350" s="148">
        <f>IF('Contractors'!B354="","",'Contractors'!B354)</f>
        <v/>
      </c>
    </row>
    <row r="351">
      <c r="X351" s="148">
        <f>IF('Contractors'!B355="","",'Contractors'!B355)</f>
        <v/>
      </c>
    </row>
    <row r="352">
      <c r="X352" s="148">
        <f>IF('Contractors'!B356="","",'Contractors'!B356)</f>
        <v/>
      </c>
    </row>
    <row r="353">
      <c r="X353" s="148">
        <f>IF('Contractors'!B357="","",'Contractors'!B357)</f>
        <v/>
      </c>
    </row>
    <row r="354">
      <c r="X354" s="148">
        <f>IF('Contractors'!B358="","",'Contractors'!B358)</f>
        <v/>
      </c>
    </row>
    <row r="355">
      <c r="X355" s="148">
        <f>IF('Contractors'!B359="","",'Contractors'!B359)</f>
        <v/>
      </c>
    </row>
    <row r="356">
      <c r="X356" s="148">
        <f>IF('Contractors'!B360="","",'Contractors'!B360)</f>
        <v/>
      </c>
    </row>
    <row r="357">
      <c r="X357" s="148">
        <f>IF('Contractors'!B361="","",'Contractors'!B361)</f>
        <v/>
      </c>
    </row>
    <row r="358">
      <c r="X358" s="148">
        <f>IF('Contractors'!B362="","",'Contractors'!B362)</f>
        <v/>
      </c>
    </row>
    <row r="359">
      <c r="X359" s="148">
        <f>IF('Contractors'!B363="","",'Contractors'!B363)</f>
        <v/>
      </c>
    </row>
    <row r="360">
      <c r="X360" s="148">
        <f>IF('Contractors'!B364="","",'Contractors'!B364)</f>
        <v/>
      </c>
    </row>
    <row r="361">
      <c r="X361" s="148">
        <f>IF('Contractors'!B365="","",'Contractors'!B365)</f>
        <v/>
      </c>
    </row>
    <row r="362">
      <c r="X362" s="148">
        <f>IF('Contractors'!B366="","",'Contractors'!B366)</f>
        <v/>
      </c>
    </row>
    <row r="363">
      <c r="X363" s="148">
        <f>IF('Contractors'!B367="","",'Contractors'!B367)</f>
        <v/>
      </c>
    </row>
    <row r="364">
      <c r="X364" s="148">
        <f>IF('Contractors'!B368="","",'Contractors'!B368)</f>
        <v/>
      </c>
    </row>
    <row r="365">
      <c r="X365" s="148">
        <f>IF('Contractors'!B369="","",'Contractors'!B369)</f>
        <v/>
      </c>
    </row>
    <row r="366">
      <c r="X366" s="148">
        <f>IF('Contractors'!B370="","",'Contractors'!B370)</f>
        <v/>
      </c>
    </row>
    <row r="367">
      <c r="X367" s="148">
        <f>IF('Contractors'!B371="","",'Contractors'!B371)</f>
        <v/>
      </c>
    </row>
    <row r="368">
      <c r="X368" s="148">
        <f>IF('Contractors'!B372="","",'Contractors'!B372)</f>
        <v/>
      </c>
    </row>
    <row r="369">
      <c r="X369" s="148">
        <f>IF('Contractors'!B373="","",'Contractors'!B373)</f>
        <v/>
      </c>
    </row>
    <row r="370">
      <c r="X370" s="148">
        <f>IF('Contractors'!B374="","",'Contractors'!B374)</f>
        <v/>
      </c>
    </row>
    <row r="371">
      <c r="X371" s="148">
        <f>IF('Contractors'!B375="","",'Contractors'!B375)</f>
        <v/>
      </c>
    </row>
    <row r="372">
      <c r="X372" s="148">
        <f>IF('Contractors'!B376="","",'Contractors'!B376)</f>
        <v/>
      </c>
    </row>
    <row r="373">
      <c r="X373" s="148">
        <f>IF('Contractors'!B377="","",'Contractors'!B377)</f>
        <v/>
      </c>
    </row>
    <row r="374">
      <c r="X374" s="148">
        <f>IF('Contractors'!B378="","",'Contractors'!B378)</f>
        <v/>
      </c>
    </row>
    <row r="375">
      <c r="X375" s="148">
        <f>IF('Contractors'!B379="","",'Contractors'!B379)</f>
        <v/>
      </c>
    </row>
    <row r="376">
      <c r="X376" s="148">
        <f>IF('Contractors'!B380="","",'Contractors'!B380)</f>
        <v/>
      </c>
    </row>
    <row r="377">
      <c r="X377" s="148">
        <f>IF('Contractors'!B381="","",'Contractors'!B381)</f>
        <v/>
      </c>
    </row>
    <row r="378">
      <c r="X378" s="148">
        <f>IF('Contractors'!B382="","",'Contractors'!B382)</f>
        <v/>
      </c>
    </row>
    <row r="379">
      <c r="X379" s="148">
        <f>IF('Contractors'!B383="","",'Contractors'!B383)</f>
        <v/>
      </c>
    </row>
    <row r="380">
      <c r="X380" s="148">
        <f>IF('Contractors'!B384="","",'Contractors'!B384)</f>
        <v/>
      </c>
    </row>
    <row r="381">
      <c r="X381" s="148">
        <f>IF('Contractors'!B385="","",'Contractors'!B385)</f>
        <v/>
      </c>
    </row>
    <row r="382">
      <c r="X382" s="148">
        <f>IF('Contractors'!B386="","",'Contractors'!B386)</f>
        <v/>
      </c>
    </row>
    <row r="383">
      <c r="X383" s="148">
        <f>IF('Contractors'!B387="","",'Contractors'!B387)</f>
        <v/>
      </c>
    </row>
    <row r="384">
      <c r="X384" s="148">
        <f>IF('Contractors'!B388="","",'Contractors'!B388)</f>
        <v/>
      </c>
    </row>
    <row r="385">
      <c r="X385" s="148">
        <f>IF('Contractors'!B389="","",'Contractors'!B389)</f>
        <v/>
      </c>
    </row>
    <row r="386">
      <c r="X386" s="148">
        <f>IF('Contractors'!B390="","",'Contractors'!B390)</f>
        <v/>
      </c>
    </row>
    <row r="387">
      <c r="X387" s="148">
        <f>IF('Contractors'!B391="","",'Contractors'!B391)</f>
        <v/>
      </c>
    </row>
    <row r="388">
      <c r="X388" s="148">
        <f>IF('Contractors'!B392="","",'Contractors'!B392)</f>
        <v/>
      </c>
    </row>
    <row r="389">
      <c r="X389" s="148">
        <f>IF('Contractors'!B393="","",'Contractors'!B393)</f>
        <v/>
      </c>
    </row>
    <row r="390">
      <c r="X390" s="148">
        <f>IF('Contractors'!B394="","",'Contractors'!B394)</f>
        <v/>
      </c>
    </row>
    <row r="391">
      <c r="X391" s="148">
        <f>IF('Contractors'!B395="","",'Contractors'!B395)</f>
        <v/>
      </c>
    </row>
    <row r="392">
      <c r="X392" s="148">
        <f>IF('Contractors'!B396="","",'Contractors'!B396)</f>
        <v/>
      </c>
    </row>
    <row r="393">
      <c r="X393" s="148">
        <f>IF('Contractors'!B397="","",'Contractors'!B397)</f>
        <v/>
      </c>
    </row>
    <row r="394">
      <c r="X394" s="148">
        <f>IF('Contractors'!B398="","",'Contractors'!B398)</f>
        <v/>
      </c>
    </row>
    <row r="395">
      <c r="X395" s="148">
        <f>IF('Contractors'!B399="","",'Contractors'!B399)</f>
        <v/>
      </c>
    </row>
    <row r="396">
      <c r="X396" s="148">
        <f>IF('Contractors'!B400="","",'Contractors'!B400)</f>
        <v/>
      </c>
    </row>
    <row r="397">
      <c r="X397" s="148">
        <f>IF('Contractors'!B401="","",'Contractors'!B401)</f>
        <v/>
      </c>
    </row>
    <row r="398">
      <c r="X398" s="148">
        <f>IF('Contractors'!B402="","",'Contractors'!B402)</f>
        <v/>
      </c>
    </row>
    <row r="399">
      <c r="X399" s="148">
        <f>IF('Contractors'!B403="","",'Contractors'!B403)</f>
        <v/>
      </c>
    </row>
    <row r="400">
      <c r="X400" s="148">
        <f>IF('Contractors'!B404="","",'Contractors'!B404)</f>
        <v/>
      </c>
    </row>
    <row r="401">
      <c r="X401" s="148">
        <f>IF('Contractors'!B405="","",'Contractors'!B405)</f>
        <v/>
      </c>
    </row>
    <row r="402">
      <c r="X402" s="148">
        <f>IF('Contractors'!B406="","",'Contractors'!B406)</f>
        <v/>
      </c>
    </row>
    <row r="403">
      <c r="X403" s="148">
        <f>IF('Contractors'!B407="","",'Contractors'!B407)</f>
        <v/>
      </c>
    </row>
    <row r="404">
      <c r="X404" s="148">
        <f>IF('Contractors'!B408="","",'Contractors'!B408)</f>
        <v/>
      </c>
    </row>
    <row r="405">
      <c r="X405" s="148">
        <f>IF('Contractors'!B409="","",'Contractors'!B409)</f>
        <v/>
      </c>
    </row>
    <row r="406">
      <c r="X406" s="148">
        <f>IF('Contractors'!B410="","",'Contractors'!B410)</f>
        <v/>
      </c>
    </row>
    <row r="407">
      <c r="X407" s="148">
        <f>IF('Contractors'!B411="","",'Contractors'!B411)</f>
        <v/>
      </c>
    </row>
    <row r="408">
      <c r="X408" s="148">
        <f>IF('Contractors'!B412="","",'Contractors'!B412)</f>
        <v/>
      </c>
    </row>
    <row r="409">
      <c r="X409" s="148">
        <f>IF('Contractors'!B413="","",'Contractors'!B413)</f>
        <v/>
      </c>
    </row>
    <row r="410">
      <c r="X410" s="148">
        <f>IF('Contractors'!B414="","",'Contractors'!B414)</f>
        <v/>
      </c>
    </row>
    <row r="411">
      <c r="X411" s="148">
        <f>IF('Contractors'!B415="","",'Contractors'!B415)</f>
        <v/>
      </c>
    </row>
    <row r="412">
      <c r="X412" s="148">
        <f>IF('Contractors'!B416="","",'Contractors'!B416)</f>
        <v/>
      </c>
    </row>
    <row r="413">
      <c r="X413" s="148">
        <f>IF('Contractors'!B417="","",'Contractors'!B417)</f>
        <v/>
      </c>
    </row>
    <row r="414">
      <c r="X414" s="148">
        <f>IF('Contractors'!B418="","",'Contractors'!B418)</f>
        <v/>
      </c>
    </row>
    <row r="415">
      <c r="X415" s="148">
        <f>IF('Contractors'!B419="","",'Contractors'!B419)</f>
        <v/>
      </c>
    </row>
    <row r="416">
      <c r="X416" s="148">
        <f>IF('Contractors'!B420="","",'Contractors'!B420)</f>
        <v/>
      </c>
    </row>
    <row r="417">
      <c r="X417" s="148">
        <f>IF('Contractors'!B421="","",'Contractors'!B421)</f>
        <v/>
      </c>
    </row>
    <row r="418">
      <c r="X418" s="148">
        <f>IF('Contractors'!B422="","",'Contractors'!B422)</f>
        <v/>
      </c>
    </row>
    <row r="419">
      <c r="X419" s="148">
        <f>IF('Contractors'!B423="","",'Contractors'!B423)</f>
        <v/>
      </c>
    </row>
    <row r="420">
      <c r="X420" s="148">
        <f>IF('Contractors'!B424="","",'Contractors'!B424)</f>
        <v/>
      </c>
    </row>
    <row r="421">
      <c r="X421" s="148">
        <f>IF('Contractors'!B425="","",'Contractors'!B425)</f>
        <v/>
      </c>
    </row>
    <row r="422">
      <c r="X422" s="148">
        <f>IF('Contractors'!B426="","",'Contractors'!B426)</f>
        <v/>
      </c>
    </row>
    <row r="423">
      <c r="X423" s="148">
        <f>IF('Contractors'!B427="","",'Contractors'!B427)</f>
        <v/>
      </c>
    </row>
    <row r="424">
      <c r="X424" s="148">
        <f>IF('Contractors'!B428="","",'Contractors'!B428)</f>
        <v/>
      </c>
    </row>
    <row r="425">
      <c r="X425" s="148">
        <f>IF('Contractors'!B429="","",'Contractors'!B429)</f>
        <v/>
      </c>
    </row>
    <row r="426">
      <c r="X426" s="148">
        <f>IF('Contractors'!B430="","",'Contractors'!B430)</f>
        <v/>
      </c>
    </row>
    <row r="427">
      <c r="X427" s="148">
        <f>IF('Contractors'!B431="","",'Contractors'!B431)</f>
        <v/>
      </c>
    </row>
    <row r="428">
      <c r="X428" s="148">
        <f>IF('Contractors'!B432="","",'Contractors'!B432)</f>
        <v/>
      </c>
    </row>
    <row r="429">
      <c r="X429" s="148">
        <f>IF('Contractors'!B433="","",'Contractors'!B433)</f>
        <v/>
      </c>
    </row>
    <row r="430">
      <c r="X430" s="148">
        <f>IF('Contractors'!B434="","",'Contractors'!B434)</f>
        <v/>
      </c>
    </row>
    <row r="431">
      <c r="X431" s="148">
        <f>IF('Contractors'!B435="","",'Contractors'!B435)</f>
        <v/>
      </c>
    </row>
    <row r="432">
      <c r="X432" s="148">
        <f>IF('Contractors'!B436="","",'Contractors'!B436)</f>
        <v/>
      </c>
    </row>
    <row r="433">
      <c r="X433" s="148">
        <f>IF('Contractors'!B437="","",'Contractors'!B437)</f>
        <v/>
      </c>
    </row>
    <row r="434">
      <c r="X434" s="148">
        <f>IF('Contractors'!B438="","",'Contractors'!B438)</f>
        <v/>
      </c>
    </row>
    <row r="435">
      <c r="X435" s="148">
        <f>IF('Contractors'!B439="","",'Contractors'!B439)</f>
        <v/>
      </c>
    </row>
    <row r="436">
      <c r="X436" s="148">
        <f>IF('Contractors'!B440="","",'Contractors'!B440)</f>
        <v/>
      </c>
    </row>
    <row r="437">
      <c r="X437" s="148">
        <f>IF('Contractors'!B441="","",'Contractors'!B441)</f>
        <v/>
      </c>
    </row>
    <row r="438">
      <c r="X438" s="148">
        <f>IF('Contractors'!B442="","",'Contractors'!B442)</f>
        <v/>
      </c>
    </row>
    <row r="439">
      <c r="X439" s="148">
        <f>IF('Contractors'!B443="","",'Contractors'!B443)</f>
        <v/>
      </c>
    </row>
    <row r="440">
      <c r="X440" s="148">
        <f>IF('Contractors'!B444="","",'Contractors'!B444)</f>
        <v/>
      </c>
    </row>
    <row r="441">
      <c r="X441" s="148">
        <f>IF('Contractors'!B445="","",'Contractors'!B445)</f>
        <v/>
      </c>
    </row>
    <row r="442">
      <c r="X442" s="148">
        <f>IF('Contractors'!B446="","",'Contractors'!B446)</f>
        <v/>
      </c>
    </row>
    <row r="443">
      <c r="X443" s="148">
        <f>IF('Contractors'!B447="","",'Contractors'!B447)</f>
        <v/>
      </c>
    </row>
    <row r="444">
      <c r="X444" s="148">
        <f>IF('Contractors'!B448="","",'Contractors'!B448)</f>
        <v/>
      </c>
    </row>
    <row r="445">
      <c r="X445" s="148">
        <f>IF('Contractors'!B449="","",'Contractors'!B449)</f>
        <v/>
      </c>
    </row>
    <row r="446">
      <c r="X446" s="148">
        <f>IF('Contractors'!B450="","",'Contractors'!B450)</f>
        <v/>
      </c>
    </row>
    <row r="447">
      <c r="X447" s="148">
        <f>IF('Contractors'!B451="","",'Contractors'!B451)</f>
        <v/>
      </c>
    </row>
    <row r="448">
      <c r="X448" s="148">
        <f>IF('Contractors'!B452="","",'Contractors'!B452)</f>
        <v/>
      </c>
    </row>
    <row r="449">
      <c r="X449" s="148">
        <f>IF('Contractors'!B453="","",'Contractors'!B453)</f>
        <v/>
      </c>
    </row>
    <row r="450">
      <c r="X450" s="148">
        <f>IF('Contractors'!B454="","",'Contractors'!B454)</f>
        <v/>
      </c>
    </row>
    <row r="451">
      <c r="X451" s="148">
        <f>IF('Contractors'!B455="","",'Contractors'!B455)</f>
        <v/>
      </c>
    </row>
    <row r="452">
      <c r="X452" s="148">
        <f>IF('Contractors'!B456="","",'Contractors'!B456)</f>
        <v/>
      </c>
    </row>
    <row r="453">
      <c r="X453" s="148">
        <f>IF('Contractors'!B457="","",'Contractors'!B457)</f>
        <v/>
      </c>
    </row>
    <row r="454">
      <c r="X454" s="148">
        <f>IF('Contractors'!B458="","",'Contractors'!B458)</f>
        <v/>
      </c>
    </row>
    <row r="455">
      <c r="X455" s="148">
        <f>IF('Contractors'!B459="","",'Contractors'!B459)</f>
        <v/>
      </c>
    </row>
    <row r="456">
      <c r="X456" s="148">
        <f>IF('Contractors'!B460="","",'Contractors'!B460)</f>
        <v/>
      </c>
    </row>
    <row r="457">
      <c r="X457" s="148">
        <f>IF('Contractors'!B461="","",'Contractors'!B461)</f>
        <v/>
      </c>
    </row>
    <row r="458">
      <c r="X458" s="148">
        <f>IF('Contractors'!B462="","",'Contractors'!B462)</f>
        <v/>
      </c>
    </row>
    <row r="459">
      <c r="X459" s="148">
        <f>IF('Contractors'!B463="","",'Contractors'!B463)</f>
        <v/>
      </c>
    </row>
    <row r="460">
      <c r="X460" s="148">
        <f>IF('Contractors'!B464="","",'Contractors'!B464)</f>
        <v/>
      </c>
    </row>
    <row r="461">
      <c r="X461" s="148">
        <f>IF('Contractors'!B465="","",'Contractors'!B465)</f>
        <v/>
      </c>
    </row>
    <row r="462">
      <c r="X462" s="148">
        <f>IF('Contractors'!B466="","",'Contractors'!B466)</f>
        <v/>
      </c>
    </row>
    <row r="463">
      <c r="X463" s="148">
        <f>IF('Contractors'!B467="","",'Contractors'!B467)</f>
        <v/>
      </c>
    </row>
    <row r="464">
      <c r="X464" s="148">
        <f>IF('Contractors'!B468="","",'Contractors'!B468)</f>
        <v/>
      </c>
    </row>
    <row r="465">
      <c r="X465" s="148">
        <f>IF('Contractors'!B469="","",'Contractors'!B469)</f>
        <v/>
      </c>
    </row>
    <row r="466">
      <c r="X466" s="148">
        <f>IF('Contractors'!B470="","",'Contractors'!B470)</f>
        <v/>
      </c>
    </row>
    <row r="467">
      <c r="X467" s="148">
        <f>IF('Contractors'!B471="","",'Contractors'!B471)</f>
        <v/>
      </c>
    </row>
    <row r="468">
      <c r="X468" s="148">
        <f>IF('Contractors'!B472="","",'Contractors'!B472)</f>
        <v/>
      </c>
    </row>
    <row r="469">
      <c r="X469" s="148">
        <f>IF('Contractors'!B473="","",'Contractors'!B473)</f>
        <v/>
      </c>
    </row>
    <row r="470">
      <c r="X470" s="148">
        <f>IF('Contractors'!B474="","",'Contractors'!B474)</f>
        <v/>
      </c>
    </row>
    <row r="471">
      <c r="X471" s="148">
        <f>IF('Contractors'!B475="","",'Contractors'!B475)</f>
        <v/>
      </c>
    </row>
    <row r="472">
      <c r="X472" s="148">
        <f>IF('Contractors'!B476="","",'Contractors'!B476)</f>
        <v/>
      </c>
    </row>
    <row r="473">
      <c r="X473" s="148">
        <f>IF('Contractors'!B477="","",'Contractors'!B477)</f>
        <v/>
      </c>
    </row>
    <row r="474">
      <c r="X474" s="148">
        <f>IF('Contractors'!B478="","",'Contractors'!B478)</f>
        <v/>
      </c>
    </row>
    <row r="475">
      <c r="X475" s="148">
        <f>IF('Contractors'!B479="","",'Contractors'!B479)</f>
        <v/>
      </c>
    </row>
    <row r="476">
      <c r="X476" s="148">
        <f>IF('Contractors'!B480="","",'Contractors'!B480)</f>
        <v/>
      </c>
    </row>
    <row r="477">
      <c r="X477" s="148">
        <f>IF('Contractors'!B481="","",'Contractors'!B481)</f>
        <v/>
      </c>
    </row>
    <row r="478">
      <c r="X478" s="148">
        <f>IF('Contractors'!B482="","",'Contractors'!B482)</f>
        <v/>
      </c>
    </row>
    <row r="479">
      <c r="X479" s="148">
        <f>IF('Contractors'!B483="","",'Contractors'!B483)</f>
        <v/>
      </c>
    </row>
    <row r="480">
      <c r="X480" s="148">
        <f>IF('Contractors'!B484="","",'Contractors'!B484)</f>
        <v/>
      </c>
    </row>
    <row r="481">
      <c r="X481" s="148">
        <f>IF('Contractors'!B485="","",'Contractors'!B485)</f>
        <v/>
      </c>
    </row>
    <row r="482">
      <c r="X482" s="148">
        <f>IF('Contractors'!B486="","",'Contractors'!B486)</f>
        <v/>
      </c>
    </row>
    <row r="483">
      <c r="X483" s="148">
        <f>IF('Contractors'!B487="","",'Contractors'!B487)</f>
        <v/>
      </c>
    </row>
    <row r="484">
      <c r="X484" s="148">
        <f>IF('Contractors'!B488="","",'Contractors'!B488)</f>
        <v/>
      </c>
    </row>
    <row r="485">
      <c r="X485" s="148">
        <f>IF('Contractors'!B489="","",'Contractors'!B489)</f>
        <v/>
      </c>
    </row>
    <row r="486">
      <c r="X486" s="148">
        <f>IF('Contractors'!B490="","",'Contractors'!B490)</f>
        <v/>
      </c>
    </row>
    <row r="487">
      <c r="X487" s="148">
        <f>IF('Contractors'!B491="","",'Contractors'!B491)</f>
        <v/>
      </c>
    </row>
    <row r="488">
      <c r="X488" s="148">
        <f>IF('Contractors'!B492="","",'Contractors'!B492)</f>
        <v/>
      </c>
    </row>
    <row r="489">
      <c r="X489" s="148">
        <f>IF('Contractors'!B493="","",'Contractors'!B493)</f>
        <v/>
      </c>
    </row>
    <row r="490">
      <c r="X490" s="148">
        <f>IF('Contractors'!B494="","",'Contractors'!B494)</f>
        <v/>
      </c>
    </row>
    <row r="491">
      <c r="X491" s="148">
        <f>IF('Contractors'!B495="","",'Contractors'!B495)</f>
        <v/>
      </c>
    </row>
    <row r="492">
      <c r="X492" s="148">
        <f>IF('Contractors'!B496="","",'Contractors'!B496)</f>
        <v/>
      </c>
    </row>
    <row r="493">
      <c r="X493" s="148">
        <f>IF('Contractors'!B497="","",'Contractors'!B497)</f>
        <v/>
      </c>
    </row>
    <row r="494">
      <c r="X494" s="148">
        <f>IF('Contractors'!B498="","",'Contractors'!B498)</f>
        <v/>
      </c>
    </row>
    <row r="495">
      <c r="X495" s="148">
        <f>IF('Contractors'!B499="","",'Contractors'!B499)</f>
        <v/>
      </c>
    </row>
    <row r="496">
      <c r="X496" s="148">
        <f>IF('Contractors'!B500="","",'Contractors'!B500)</f>
        <v/>
      </c>
    </row>
    <row r="497">
      <c r="X497" s="148">
        <f>IF('Contractors'!B501="","",'Contractors'!B501)</f>
        <v/>
      </c>
    </row>
    <row r="498">
      <c r="X498" s="148">
        <f>IF('Contractors'!B502="","",'Contractors'!B502)</f>
        <v/>
      </c>
    </row>
    <row r="499">
      <c r="X499" s="148">
        <f>IF('Contractors'!B503="","",'Contractors'!B503)</f>
        <v/>
      </c>
    </row>
    <row r="500">
      <c r="X500" s="148">
        <f>IF('Contractors'!B504="","",'Contractors'!B504)</f>
        <v/>
      </c>
    </row>
    <row r="501">
      <c r="X501" s="148">
        <f>IF('Contractors'!B505="","",'Contractors'!B505)</f>
        <v/>
      </c>
    </row>
    <row r="502">
      <c r="X502" s="148">
        <f>IF('Contractors'!B506="","",'Contractors'!B506)</f>
        <v/>
      </c>
    </row>
    <row r="503">
      <c r="X503" s="148">
        <f>IF('Contractors'!B507="","",'Contractors'!B507)</f>
        <v/>
      </c>
    </row>
    <row r="504">
      <c r="X504" s="148">
        <f>IF('Contractors'!B508="","",'Contractors'!B508)</f>
        <v/>
      </c>
    </row>
    <row r="505">
      <c r="X505" s="148">
        <f>IF('Contractors'!B509="","",'Contractors'!B509)</f>
        <v/>
      </c>
    </row>
    <row r="506">
      <c r="X506" s="148">
        <f>IF('Contractors'!B510="","",'Contractors'!B510)</f>
        <v/>
      </c>
    </row>
    <row r="507">
      <c r="X507" s="148">
        <f>IF('Contractors'!B511="","",'Contractors'!B511)</f>
        <v/>
      </c>
    </row>
    <row r="508">
      <c r="X508" s="148">
        <f>IF('Contractors'!B512="","",'Contractors'!B512)</f>
        <v/>
      </c>
    </row>
    <row r="509">
      <c r="X509" s="148">
        <f>IF('Contractors'!B513="","",'Contractors'!B513)</f>
        <v/>
      </c>
    </row>
    <row r="510">
      <c r="X510" s="148">
        <f>IF('Contractors'!B514="","",'Contractors'!B514)</f>
        <v/>
      </c>
    </row>
    <row r="511">
      <c r="X511" s="148">
        <f>IF('Contractors'!B515="","",'Contractors'!B515)</f>
        <v/>
      </c>
    </row>
    <row r="512">
      <c r="X512" s="148">
        <f>IF('Contractors'!B516="","",'Contractors'!B516)</f>
        <v/>
      </c>
    </row>
    <row r="513">
      <c r="X513" s="148">
        <f>IF('Contractors'!B517="","",'Contractors'!B517)</f>
        <v/>
      </c>
    </row>
    <row r="514">
      <c r="X514" s="148">
        <f>IF('Contractors'!B518="","",'Contractors'!B518)</f>
        <v/>
      </c>
    </row>
    <row r="515">
      <c r="X515" s="148">
        <f>IF('Contractors'!B519="","",'Contractors'!B519)</f>
        <v/>
      </c>
    </row>
    <row r="516">
      <c r="X516" s="148">
        <f>IF('Contractors'!B520="","",'Contractors'!B520)</f>
        <v/>
      </c>
    </row>
    <row r="517">
      <c r="X517" s="148">
        <f>IF('Contractors'!B521="","",'Contractors'!B521)</f>
        <v/>
      </c>
    </row>
    <row r="518">
      <c r="X518" s="148">
        <f>IF('Contractors'!B522="","",'Contractors'!B522)</f>
        <v/>
      </c>
    </row>
    <row r="519">
      <c r="X519" s="148">
        <f>IF('Contractors'!B523="","",'Contractors'!B523)</f>
        <v/>
      </c>
    </row>
    <row r="520">
      <c r="X520" s="148">
        <f>IF('Contractors'!B524="","",'Contractors'!B524)</f>
        <v/>
      </c>
    </row>
    <row r="521">
      <c r="X521" s="148">
        <f>IF('Contractors'!B525="","",'Contractors'!B525)</f>
        <v/>
      </c>
    </row>
    <row r="522">
      <c r="X522" s="148">
        <f>IF('Contractors'!B526="","",'Contractors'!B526)</f>
        <v/>
      </c>
    </row>
    <row r="523">
      <c r="X523" s="148">
        <f>IF('Contractors'!B527="","",'Contractors'!B527)</f>
        <v/>
      </c>
    </row>
    <row r="524">
      <c r="X524" s="148">
        <f>IF('Contractors'!B528="","",'Contractors'!B528)</f>
        <v/>
      </c>
    </row>
    <row r="525">
      <c r="X525" s="148">
        <f>IF('Contractors'!B529="","",'Contractors'!B529)</f>
        <v/>
      </c>
    </row>
    <row r="526">
      <c r="X526" s="148">
        <f>IF('Contractors'!B530="","",'Contractors'!B530)</f>
        <v/>
      </c>
    </row>
    <row r="527">
      <c r="X527" s="148">
        <f>IF('Contractors'!B531="","",'Contractors'!B531)</f>
        <v/>
      </c>
    </row>
    <row r="528">
      <c r="X528" s="148">
        <f>IF('Contractors'!B532="","",'Contractors'!B532)</f>
        <v/>
      </c>
    </row>
    <row r="529">
      <c r="X529" s="148">
        <f>IF('Contractors'!B533="","",'Contractors'!B533)</f>
        <v/>
      </c>
    </row>
    <row r="530">
      <c r="X530" s="148">
        <f>IF('Contractors'!B534="","",'Contractors'!B534)</f>
        <v/>
      </c>
    </row>
    <row r="531">
      <c r="X531" s="148">
        <f>IF('Contractors'!B535="","",'Contractors'!B535)</f>
        <v/>
      </c>
    </row>
    <row r="532">
      <c r="X532" s="148">
        <f>IF('Contractors'!B536="","",'Contractors'!B536)</f>
        <v/>
      </c>
    </row>
    <row r="533">
      <c r="X533" s="148">
        <f>IF('Contractors'!B537="","",'Contractors'!B537)</f>
        <v/>
      </c>
    </row>
    <row r="534">
      <c r="X534" s="148">
        <f>IF('Contractors'!B538="","",'Contractors'!B538)</f>
        <v/>
      </c>
    </row>
    <row r="535">
      <c r="X535" s="148">
        <f>IF('Contractors'!B539="","",'Contractors'!B539)</f>
        <v/>
      </c>
    </row>
    <row r="536">
      <c r="X536" s="148">
        <f>IF('Contractors'!B540="","",'Contractors'!B540)</f>
        <v/>
      </c>
    </row>
    <row r="537">
      <c r="X537" s="148">
        <f>IF('Contractors'!B541="","",'Contractors'!B541)</f>
        <v/>
      </c>
    </row>
    <row r="538">
      <c r="X538" s="148">
        <f>IF('Contractors'!B542="","",'Contractors'!B542)</f>
        <v/>
      </c>
    </row>
    <row r="539">
      <c r="X539" s="148">
        <f>IF('Contractors'!B543="","",'Contractors'!B543)</f>
        <v/>
      </c>
    </row>
    <row r="540">
      <c r="X540" s="148">
        <f>IF('Contractors'!B544="","",'Contractors'!B544)</f>
        <v/>
      </c>
    </row>
    <row r="541">
      <c r="X541" s="148">
        <f>IF('Contractors'!B545="","",'Contractors'!B545)</f>
        <v/>
      </c>
    </row>
    <row r="542">
      <c r="X542" s="148">
        <f>IF('Contractors'!B546="","",'Contractors'!B546)</f>
        <v/>
      </c>
    </row>
    <row r="543">
      <c r="X543" s="148">
        <f>IF('Contractors'!B547="","",'Contractors'!B547)</f>
        <v/>
      </c>
    </row>
    <row r="544">
      <c r="X544" s="148">
        <f>IF('Contractors'!B548="","",'Contractors'!B548)</f>
        <v/>
      </c>
    </row>
    <row r="545">
      <c r="X545" s="148">
        <f>IF('Contractors'!B549="","",'Contractors'!B549)</f>
        <v/>
      </c>
    </row>
    <row r="546">
      <c r="X546" s="148">
        <f>IF('Contractors'!B550="","",'Contractors'!B550)</f>
        <v/>
      </c>
    </row>
    <row r="547">
      <c r="X547" s="148">
        <f>IF('Contractors'!B551="","",'Contractors'!B551)</f>
        <v/>
      </c>
    </row>
    <row r="548">
      <c r="X548" s="148">
        <f>IF('Contractors'!B552="","",'Contractors'!B552)</f>
        <v/>
      </c>
    </row>
    <row r="549">
      <c r="X549" s="148">
        <f>IF('Contractors'!B553="","",'Contractors'!B553)</f>
        <v/>
      </c>
    </row>
    <row r="550">
      <c r="X550" s="148">
        <f>IF('Contractors'!B554="","",'Contractors'!B554)</f>
        <v/>
      </c>
    </row>
    <row r="551">
      <c r="X551" s="148">
        <f>IF('Contractors'!B555="","",'Contractors'!B555)</f>
        <v/>
      </c>
    </row>
    <row r="552">
      <c r="X552" s="148">
        <f>IF('Contractors'!B556="","",'Contractors'!B556)</f>
        <v/>
      </c>
    </row>
    <row r="553">
      <c r="X553" s="148">
        <f>IF('Contractors'!B557="","",'Contractors'!B557)</f>
        <v/>
      </c>
    </row>
    <row r="554">
      <c r="X554" s="148">
        <f>IF('Contractors'!B558="","",'Contractors'!B558)</f>
        <v/>
      </c>
    </row>
    <row r="555">
      <c r="X555" s="148">
        <f>IF('Contractors'!B559="","",'Contractors'!B559)</f>
        <v/>
      </c>
    </row>
    <row r="556">
      <c r="X556" s="148">
        <f>IF('Contractors'!B560="","",'Contractors'!B560)</f>
        <v/>
      </c>
    </row>
    <row r="557">
      <c r="X557" s="148">
        <f>IF('Contractors'!B561="","",'Contractors'!B561)</f>
        <v/>
      </c>
    </row>
    <row r="558">
      <c r="X558" s="148">
        <f>IF('Contractors'!B562="","",'Contractors'!B562)</f>
        <v/>
      </c>
    </row>
    <row r="559">
      <c r="X559" s="148">
        <f>IF('Contractors'!B563="","",'Contractors'!B563)</f>
        <v/>
      </c>
    </row>
    <row r="560">
      <c r="X560" s="148">
        <f>IF('Contractors'!B564="","",'Contractors'!B564)</f>
        <v/>
      </c>
    </row>
    <row r="561">
      <c r="X561" s="148">
        <f>IF('Contractors'!B565="","",'Contractors'!B565)</f>
        <v/>
      </c>
    </row>
    <row r="562">
      <c r="X562" s="148">
        <f>IF('Contractors'!B566="","",'Contractors'!B566)</f>
        <v/>
      </c>
    </row>
    <row r="563">
      <c r="X563" s="148">
        <f>IF('Contractors'!B567="","",'Contractors'!B567)</f>
        <v/>
      </c>
    </row>
    <row r="564">
      <c r="X564" s="148">
        <f>IF('Contractors'!B568="","",'Contractors'!B568)</f>
        <v/>
      </c>
    </row>
    <row r="565">
      <c r="X565" s="148">
        <f>IF('Contractors'!B569="","",'Contractors'!B569)</f>
        <v/>
      </c>
    </row>
    <row r="566">
      <c r="X566" s="148">
        <f>IF('Contractors'!B570="","",'Contractors'!B570)</f>
        <v/>
      </c>
    </row>
    <row r="567">
      <c r="X567" s="148">
        <f>IF('Contractors'!B571="","",'Contractors'!B571)</f>
        <v/>
      </c>
    </row>
    <row r="568">
      <c r="X568" s="148">
        <f>IF('Contractors'!B572="","",'Contractors'!B572)</f>
        <v/>
      </c>
    </row>
    <row r="569">
      <c r="X569" s="148">
        <f>IF('Contractors'!B573="","",'Contractors'!B573)</f>
        <v/>
      </c>
    </row>
    <row r="570">
      <c r="X570" s="148">
        <f>IF('Contractors'!B574="","",'Contractors'!B574)</f>
        <v/>
      </c>
    </row>
    <row r="571">
      <c r="X571" s="148">
        <f>IF('Contractors'!B575="","",'Contractors'!B575)</f>
        <v/>
      </c>
    </row>
    <row r="572">
      <c r="X572" s="148">
        <f>IF('Contractors'!B576="","",'Contractors'!B576)</f>
        <v/>
      </c>
    </row>
    <row r="573">
      <c r="X573" s="148">
        <f>IF('Contractors'!B577="","",'Contractors'!B577)</f>
        <v/>
      </c>
    </row>
    <row r="574">
      <c r="X574" s="148">
        <f>IF('Contractors'!B578="","",'Contractors'!B578)</f>
        <v/>
      </c>
    </row>
    <row r="575">
      <c r="X575" s="148">
        <f>IF('Contractors'!B579="","",'Contractors'!B579)</f>
        <v/>
      </c>
    </row>
    <row r="576">
      <c r="X576" s="148">
        <f>IF('Contractors'!B580="","",'Contractors'!B580)</f>
        <v/>
      </c>
    </row>
    <row r="577">
      <c r="X577" s="148">
        <f>IF('Contractors'!B581="","",'Contractors'!B581)</f>
        <v/>
      </c>
    </row>
    <row r="578">
      <c r="X578" s="148">
        <f>IF('Contractors'!B582="","",'Contractors'!B582)</f>
        <v/>
      </c>
    </row>
    <row r="579">
      <c r="X579" s="148">
        <f>IF('Contractors'!B583="","",'Contractors'!B583)</f>
        <v/>
      </c>
    </row>
    <row r="580">
      <c r="X580" s="148">
        <f>IF('Contractors'!B584="","",'Contractors'!B584)</f>
        <v/>
      </c>
    </row>
    <row r="581">
      <c r="X581" s="148">
        <f>IF('Contractors'!B585="","",'Contractors'!B585)</f>
        <v/>
      </c>
    </row>
    <row r="582">
      <c r="X582" s="148">
        <f>IF('Contractors'!B586="","",'Contractors'!B586)</f>
        <v/>
      </c>
    </row>
    <row r="583">
      <c r="X583" s="148">
        <f>IF('Contractors'!B587="","",'Contractors'!B587)</f>
        <v/>
      </c>
    </row>
    <row r="584">
      <c r="X584" s="148">
        <f>IF('Contractors'!B588="","",'Contractors'!B588)</f>
        <v/>
      </c>
    </row>
    <row r="585">
      <c r="X585" s="148">
        <f>IF('Contractors'!B589="","",'Contractors'!B589)</f>
        <v/>
      </c>
    </row>
    <row r="586">
      <c r="X586" s="148">
        <f>IF('Contractors'!B590="","",'Contractors'!B590)</f>
        <v/>
      </c>
    </row>
    <row r="587">
      <c r="X587" s="148">
        <f>IF('Contractors'!B591="","",'Contractors'!B591)</f>
        <v/>
      </c>
    </row>
    <row r="588">
      <c r="X588" s="148">
        <f>IF('Contractors'!B592="","",'Contractors'!B592)</f>
        <v/>
      </c>
    </row>
    <row r="589">
      <c r="X589" s="148">
        <f>IF('Contractors'!B593="","",'Contractors'!B593)</f>
        <v/>
      </c>
    </row>
    <row r="590">
      <c r="X590" s="148">
        <f>IF('Contractors'!B594="","",'Contractors'!B594)</f>
        <v/>
      </c>
    </row>
    <row r="591">
      <c r="X591" s="148">
        <f>IF('Contractors'!B595="","",'Contractors'!B595)</f>
        <v/>
      </c>
    </row>
    <row r="592">
      <c r="X592" s="148">
        <f>IF('Contractors'!B596="","",'Contractors'!B596)</f>
        <v/>
      </c>
    </row>
    <row r="593">
      <c r="X593" s="148">
        <f>IF('Contractors'!B597="","",'Contractors'!B597)</f>
        <v/>
      </c>
    </row>
    <row r="594">
      <c r="X594" s="148">
        <f>IF('Contractors'!B598="","",'Contractors'!B598)</f>
        <v/>
      </c>
    </row>
    <row r="595">
      <c r="X595" s="148">
        <f>IF('Contractors'!B599="","",'Contractors'!B599)</f>
        <v/>
      </c>
    </row>
    <row r="596">
      <c r="X596" s="148">
        <f>IF('Contractors'!B600="","",'Contractors'!B600)</f>
        <v/>
      </c>
    </row>
    <row r="597">
      <c r="X597" s="148">
        <f>IF('Contractors'!B601="","",'Contractors'!B601)</f>
        <v/>
      </c>
    </row>
    <row r="598">
      <c r="X598" s="148">
        <f>IF('Contractors'!B602="","",'Contractors'!B602)</f>
        <v/>
      </c>
    </row>
    <row r="599">
      <c r="X599" s="148">
        <f>IF('Contractors'!B603="","",'Contractors'!B603)</f>
        <v/>
      </c>
    </row>
    <row r="600">
      <c r="X600" s="148">
        <f>IF('Contractors'!B604="","",'Contractors'!B604)</f>
        <v/>
      </c>
    </row>
    <row r="601">
      <c r="X601" s="148">
        <f>IF('Contractors'!B605="","",'Contractors'!B605)</f>
        <v/>
      </c>
    </row>
    <row r="602">
      <c r="X602" s="148">
        <f>IF('Contractors'!B606="","",'Contractors'!B606)</f>
        <v/>
      </c>
    </row>
    <row r="603">
      <c r="X603" s="148">
        <f>IF('Contractors'!B607="","",'Contractors'!B607)</f>
        <v/>
      </c>
    </row>
    <row r="604">
      <c r="X604" s="148">
        <f>IF('Contractors'!B608="","",'Contractors'!B608)</f>
        <v/>
      </c>
    </row>
    <row r="605">
      <c r="X605" s="148">
        <f>IF('Contractors'!B609="","",'Contractors'!B609)</f>
        <v/>
      </c>
    </row>
    <row r="606">
      <c r="X606" s="148">
        <f>IF('Contractors'!B610="","",'Contractors'!B610)</f>
        <v/>
      </c>
    </row>
    <row r="607">
      <c r="X607" s="148">
        <f>IF('Contractors'!B611="","",'Contractors'!B611)</f>
        <v/>
      </c>
    </row>
    <row r="608">
      <c r="X608" s="148">
        <f>IF('Contractors'!B612="","",'Contractors'!B612)</f>
        <v/>
      </c>
    </row>
    <row r="609">
      <c r="X609" s="148">
        <f>IF('Contractors'!B613="","",'Contractors'!B613)</f>
        <v/>
      </c>
    </row>
    <row r="610">
      <c r="X610" s="148">
        <f>IF('Contractors'!B614="","",'Contractors'!B614)</f>
        <v/>
      </c>
    </row>
    <row r="611">
      <c r="X611" s="148">
        <f>IF('Contractors'!B615="","",'Contractors'!B615)</f>
        <v/>
      </c>
    </row>
    <row r="612">
      <c r="X612" s="148">
        <f>IF('Contractors'!B616="","",'Contractors'!B616)</f>
        <v/>
      </c>
    </row>
    <row r="613">
      <c r="X613" s="148">
        <f>IF('Contractors'!B617="","",'Contractors'!B617)</f>
        <v/>
      </c>
    </row>
    <row r="614">
      <c r="X614" s="148">
        <f>IF('Contractors'!B618="","",'Contractors'!B618)</f>
        <v/>
      </c>
    </row>
    <row r="615">
      <c r="X615" s="148">
        <f>IF('Contractors'!B619="","",'Contractors'!B619)</f>
        <v/>
      </c>
    </row>
    <row r="616">
      <c r="X616" s="148">
        <f>IF('Contractors'!B620="","",'Contractors'!B620)</f>
        <v/>
      </c>
    </row>
    <row r="617">
      <c r="X617" s="148">
        <f>IF('Contractors'!B621="","",'Contractors'!B621)</f>
        <v/>
      </c>
    </row>
    <row r="618">
      <c r="X618" s="148">
        <f>IF('Contractors'!B622="","",'Contractors'!B622)</f>
        <v/>
      </c>
    </row>
    <row r="619">
      <c r="X619" s="148">
        <f>IF('Contractors'!B623="","",'Contractors'!B623)</f>
        <v/>
      </c>
    </row>
    <row r="620">
      <c r="X620" s="148">
        <f>IF('Contractors'!B624="","",'Contractors'!B624)</f>
        <v/>
      </c>
    </row>
    <row r="621">
      <c r="X621" s="148">
        <f>IF('Contractors'!B625="","",'Contractors'!B625)</f>
        <v/>
      </c>
    </row>
    <row r="622">
      <c r="X622" s="148">
        <f>IF('Contractors'!B626="","",'Contractors'!B626)</f>
        <v/>
      </c>
    </row>
    <row r="623">
      <c r="X623" s="148">
        <f>IF('Contractors'!B627="","",'Contractors'!B627)</f>
        <v/>
      </c>
    </row>
    <row r="624">
      <c r="X624" s="148">
        <f>IF('Contractors'!B628="","",'Contractors'!B628)</f>
        <v/>
      </c>
    </row>
    <row r="625">
      <c r="X625" s="148">
        <f>IF('Contractors'!B629="","",'Contractors'!B629)</f>
        <v/>
      </c>
    </row>
    <row r="626">
      <c r="X626" s="148">
        <f>IF('Contractors'!B630="","",'Contractors'!B630)</f>
        <v/>
      </c>
    </row>
    <row r="627">
      <c r="X627" s="148">
        <f>IF('Contractors'!B631="","",'Contractors'!B631)</f>
        <v/>
      </c>
    </row>
    <row r="628">
      <c r="X628" s="148">
        <f>IF('Contractors'!B632="","",'Contractors'!B632)</f>
        <v/>
      </c>
    </row>
    <row r="629">
      <c r="X629" s="148">
        <f>IF('Contractors'!B633="","",'Contractors'!B633)</f>
        <v/>
      </c>
    </row>
    <row r="630">
      <c r="X630" s="148">
        <f>IF('Contractors'!B634="","",'Contractors'!B634)</f>
        <v/>
      </c>
    </row>
    <row r="631">
      <c r="X631" s="148">
        <f>IF('Contractors'!B635="","",'Contractors'!B635)</f>
        <v/>
      </c>
    </row>
    <row r="632">
      <c r="X632" s="148">
        <f>IF('Contractors'!B636="","",'Contractors'!B636)</f>
        <v/>
      </c>
    </row>
    <row r="633">
      <c r="X633" s="148">
        <f>IF('Contractors'!B637="","",'Contractors'!B637)</f>
        <v/>
      </c>
    </row>
    <row r="634">
      <c r="X634" s="148">
        <f>IF('Contractors'!B638="","",'Contractors'!B638)</f>
        <v/>
      </c>
    </row>
    <row r="635">
      <c r="X635" s="148">
        <f>IF('Contractors'!B639="","",'Contractors'!B639)</f>
        <v/>
      </c>
    </row>
    <row r="636">
      <c r="X636" s="148">
        <f>IF('Contractors'!B640="","",'Contractors'!B640)</f>
        <v/>
      </c>
    </row>
    <row r="637">
      <c r="X637" s="148">
        <f>IF('Contractors'!B641="","",'Contractors'!B641)</f>
        <v/>
      </c>
    </row>
    <row r="638">
      <c r="X638" s="148">
        <f>IF('Contractors'!B642="","",'Contractors'!B642)</f>
        <v/>
      </c>
    </row>
    <row r="639">
      <c r="X639" s="148">
        <f>IF('Contractors'!B643="","",'Contractors'!B643)</f>
        <v/>
      </c>
    </row>
    <row r="640">
      <c r="X640" s="148">
        <f>IF('Contractors'!B644="","",'Contractors'!B644)</f>
        <v/>
      </c>
    </row>
    <row r="641">
      <c r="X641" s="148">
        <f>IF('Contractors'!B645="","",'Contractors'!B645)</f>
        <v/>
      </c>
    </row>
    <row r="642">
      <c r="X642" s="148">
        <f>IF('Contractors'!B646="","",'Contractors'!B646)</f>
        <v/>
      </c>
    </row>
    <row r="643">
      <c r="X643" s="148">
        <f>IF('Contractors'!B647="","",'Contractors'!B647)</f>
        <v/>
      </c>
    </row>
    <row r="644">
      <c r="X644" s="148">
        <f>IF('Contractors'!B648="","",'Contractors'!B648)</f>
        <v/>
      </c>
    </row>
    <row r="645">
      <c r="X645" s="148">
        <f>IF('Contractors'!B649="","",'Contractors'!B649)</f>
        <v/>
      </c>
    </row>
    <row r="646">
      <c r="X646" s="148">
        <f>IF('Contractors'!B650="","",'Contractors'!B650)</f>
        <v/>
      </c>
    </row>
    <row r="647">
      <c r="X647" s="148">
        <f>IF('Contractors'!B651="","",'Contractors'!B651)</f>
        <v/>
      </c>
    </row>
    <row r="648">
      <c r="X648" s="148">
        <f>IF('Contractors'!B652="","",'Contractors'!B652)</f>
        <v/>
      </c>
    </row>
    <row r="649">
      <c r="X649" s="148">
        <f>IF('Contractors'!B653="","",'Contractors'!B653)</f>
        <v/>
      </c>
    </row>
    <row r="650">
      <c r="X650" s="148">
        <f>IF('Contractors'!B654="","",'Contractors'!B654)</f>
        <v/>
      </c>
    </row>
    <row r="651">
      <c r="X651" s="148">
        <f>IF('Contractors'!B655="","",'Contractors'!B655)</f>
        <v/>
      </c>
    </row>
    <row r="652">
      <c r="X652" s="148">
        <f>IF('Contractors'!B656="","",'Contractors'!B656)</f>
        <v/>
      </c>
    </row>
    <row r="653">
      <c r="X653" s="148">
        <f>IF('Contractors'!B657="","",'Contractors'!B657)</f>
        <v/>
      </c>
    </row>
    <row r="654">
      <c r="X654" s="148">
        <f>IF('Contractors'!B658="","",'Contractors'!B658)</f>
        <v/>
      </c>
    </row>
    <row r="655">
      <c r="X655" s="148">
        <f>IF('Contractors'!B659="","",'Contractors'!B659)</f>
        <v/>
      </c>
    </row>
    <row r="656">
      <c r="X656" s="148">
        <f>IF('Contractors'!B660="","",'Contractors'!B660)</f>
        <v/>
      </c>
    </row>
    <row r="657">
      <c r="X657" s="148">
        <f>IF('Contractors'!B661="","",'Contractors'!B661)</f>
        <v/>
      </c>
    </row>
    <row r="658">
      <c r="X658" s="148">
        <f>IF('Contractors'!B662="","",'Contractors'!B662)</f>
        <v/>
      </c>
    </row>
    <row r="659">
      <c r="X659" s="148">
        <f>IF('Contractors'!B663="","",'Contractors'!B663)</f>
        <v/>
      </c>
    </row>
    <row r="660">
      <c r="X660" s="148">
        <f>IF('Contractors'!B664="","",'Contractors'!B664)</f>
        <v/>
      </c>
    </row>
    <row r="661">
      <c r="X661" s="148">
        <f>IF('Contractors'!B665="","",'Contractors'!B665)</f>
        <v/>
      </c>
    </row>
    <row r="662">
      <c r="X662" s="148">
        <f>IF('Contractors'!B666="","",'Contractors'!B666)</f>
        <v/>
      </c>
    </row>
    <row r="663">
      <c r="X663" s="148">
        <f>IF('Contractors'!B667="","",'Contractors'!B667)</f>
        <v/>
      </c>
    </row>
    <row r="664">
      <c r="X664" s="148">
        <f>IF('Contractors'!B668="","",'Contractors'!B668)</f>
        <v/>
      </c>
    </row>
    <row r="665">
      <c r="X665" s="148">
        <f>IF('Contractors'!B669="","",'Contractors'!B669)</f>
        <v/>
      </c>
    </row>
    <row r="666">
      <c r="X666" s="148">
        <f>IF('Contractors'!B670="","",'Contractors'!B670)</f>
        <v/>
      </c>
    </row>
    <row r="667">
      <c r="X667" s="148">
        <f>IF('Contractors'!B671="","",'Contractors'!B671)</f>
        <v/>
      </c>
    </row>
    <row r="668">
      <c r="X668" s="148">
        <f>IF('Contractors'!B672="","",'Contractors'!B672)</f>
        <v/>
      </c>
    </row>
    <row r="669">
      <c r="X669" s="148">
        <f>IF('Contractors'!B673="","",'Contractors'!B673)</f>
        <v/>
      </c>
    </row>
    <row r="670">
      <c r="X670" s="148">
        <f>IF('Contractors'!B674="","",'Contractors'!B674)</f>
        <v/>
      </c>
    </row>
    <row r="671">
      <c r="X671" s="148">
        <f>IF('Contractors'!B675="","",'Contractors'!B675)</f>
        <v/>
      </c>
    </row>
    <row r="672">
      <c r="X672" s="148">
        <f>IF('Contractors'!B676="","",'Contractors'!B676)</f>
        <v/>
      </c>
    </row>
    <row r="673">
      <c r="X673" s="148">
        <f>IF('Contractors'!B677="","",'Contractors'!B677)</f>
        <v/>
      </c>
    </row>
    <row r="674">
      <c r="X674" s="148">
        <f>IF('Contractors'!B678="","",'Contractors'!B678)</f>
        <v/>
      </c>
    </row>
    <row r="675">
      <c r="X675" s="148">
        <f>IF('Contractors'!B679="","",'Contractors'!B679)</f>
        <v/>
      </c>
    </row>
    <row r="676">
      <c r="X676" s="148">
        <f>IF('Contractors'!B680="","",'Contractors'!B680)</f>
        <v/>
      </c>
    </row>
    <row r="677">
      <c r="X677" s="148">
        <f>IF('Contractors'!B681="","",'Contractors'!B681)</f>
        <v/>
      </c>
    </row>
    <row r="678">
      <c r="X678" s="148">
        <f>IF('Contractors'!B682="","",'Contractors'!B682)</f>
        <v/>
      </c>
    </row>
    <row r="679">
      <c r="X679" s="148">
        <f>IF('Contractors'!B683="","",'Contractors'!B683)</f>
        <v/>
      </c>
    </row>
    <row r="680">
      <c r="X680" s="148">
        <f>IF('Contractors'!B684="","",'Contractors'!B684)</f>
        <v/>
      </c>
    </row>
    <row r="681">
      <c r="X681" s="148">
        <f>IF('Contractors'!B685="","",'Contractors'!B685)</f>
        <v/>
      </c>
    </row>
    <row r="682">
      <c r="X682" s="148">
        <f>IF('Contractors'!B686="","",'Contractors'!B686)</f>
        <v/>
      </c>
    </row>
    <row r="683">
      <c r="X683" s="148">
        <f>IF('Contractors'!B687="","",'Contractors'!B687)</f>
        <v/>
      </c>
    </row>
    <row r="684">
      <c r="X684" s="148">
        <f>IF('Contractors'!B688="","",'Contractors'!B688)</f>
        <v/>
      </c>
    </row>
    <row r="685">
      <c r="X685" s="148">
        <f>IF('Contractors'!B689="","",'Contractors'!B689)</f>
        <v/>
      </c>
    </row>
    <row r="686">
      <c r="X686" s="148">
        <f>IF('Contractors'!B690="","",'Contractors'!B690)</f>
        <v/>
      </c>
    </row>
    <row r="687">
      <c r="X687" s="148">
        <f>IF('Contractors'!B691="","",'Contractors'!B691)</f>
        <v/>
      </c>
    </row>
    <row r="688">
      <c r="X688" s="148">
        <f>IF('Contractors'!B692="","",'Contractors'!B692)</f>
        <v/>
      </c>
    </row>
    <row r="689">
      <c r="X689" s="148">
        <f>IF('Contractors'!B693="","",'Contractors'!B693)</f>
        <v/>
      </c>
    </row>
    <row r="690">
      <c r="X690" s="148">
        <f>IF('Contractors'!B694="","",'Contractors'!B694)</f>
        <v/>
      </c>
    </row>
    <row r="691">
      <c r="X691" s="148">
        <f>IF('Contractors'!B695="","",'Contractors'!B695)</f>
        <v/>
      </c>
    </row>
    <row r="692">
      <c r="X692" s="148">
        <f>IF('Contractors'!B696="","",'Contractors'!B696)</f>
        <v/>
      </c>
    </row>
    <row r="693">
      <c r="X693" s="148">
        <f>IF('Contractors'!B697="","",'Contractors'!B697)</f>
        <v/>
      </c>
    </row>
    <row r="694">
      <c r="X694" s="148">
        <f>IF('Contractors'!B698="","",'Contractors'!B698)</f>
        <v/>
      </c>
    </row>
    <row r="695">
      <c r="X695" s="148">
        <f>IF('Contractors'!B699="","",'Contractors'!B699)</f>
        <v/>
      </c>
    </row>
    <row r="696">
      <c r="X696" s="148">
        <f>IF('Contractors'!B700="","",'Contractors'!B700)</f>
        <v/>
      </c>
    </row>
    <row r="697">
      <c r="X697" s="148">
        <f>IF('Contractors'!B701="","",'Contractors'!B701)</f>
        <v/>
      </c>
    </row>
    <row r="698">
      <c r="X698" s="148">
        <f>IF('Contractors'!B702="","",'Contractors'!B702)</f>
        <v/>
      </c>
    </row>
    <row r="699">
      <c r="X699" s="148">
        <f>IF('Contractors'!B703="","",'Contractors'!B703)</f>
        <v/>
      </c>
    </row>
    <row r="700">
      <c r="X700" s="148">
        <f>IF('Contractors'!B704="","",'Contractors'!B704)</f>
        <v/>
      </c>
    </row>
    <row r="701">
      <c r="X701" s="148">
        <f>IF('Contractors'!B705="","",'Contractors'!B705)</f>
        <v/>
      </c>
    </row>
    <row r="702">
      <c r="X702" s="148">
        <f>IF('Contractors'!B706="","",'Contractors'!B706)</f>
        <v/>
      </c>
    </row>
    <row r="703">
      <c r="X703" s="148">
        <f>IF('Contractors'!B707="","",'Contractors'!B707)</f>
        <v/>
      </c>
    </row>
    <row r="704">
      <c r="X704" s="148">
        <f>IF('Contractors'!B708="","",'Contractors'!B708)</f>
        <v/>
      </c>
    </row>
    <row r="705">
      <c r="X705" s="148">
        <f>IF('Contractors'!B709="","",'Contractors'!B709)</f>
        <v/>
      </c>
    </row>
    <row r="706">
      <c r="X706" s="148">
        <f>IF('Contractors'!B710="","",'Contractors'!B710)</f>
        <v/>
      </c>
    </row>
    <row r="707">
      <c r="X707" s="148">
        <f>IF('Contractors'!B711="","",'Contractors'!B711)</f>
        <v/>
      </c>
    </row>
    <row r="708">
      <c r="X708" s="148">
        <f>IF('Contractors'!B712="","",'Contractors'!B712)</f>
        <v/>
      </c>
    </row>
    <row r="709">
      <c r="X709" s="148">
        <f>IF('Contractors'!B713="","",'Contractors'!B713)</f>
        <v/>
      </c>
    </row>
    <row r="710">
      <c r="X710" s="148">
        <f>IF('Contractors'!B714="","",'Contractors'!B714)</f>
        <v/>
      </c>
    </row>
    <row r="711">
      <c r="X711" s="148">
        <f>IF('Contractors'!B715="","",'Contractors'!B715)</f>
        <v/>
      </c>
    </row>
    <row r="712">
      <c r="X712" s="148">
        <f>IF('Contractors'!B716="","",'Contractors'!B716)</f>
        <v/>
      </c>
    </row>
    <row r="713">
      <c r="X713" s="148">
        <f>IF('Contractors'!B717="","",'Contractors'!B717)</f>
        <v/>
      </c>
    </row>
    <row r="714">
      <c r="X714" s="148">
        <f>IF('Contractors'!B718="","",'Contractors'!B718)</f>
        <v/>
      </c>
    </row>
    <row r="715">
      <c r="X715" s="148">
        <f>IF('Contractors'!B719="","",'Contractors'!B719)</f>
        <v/>
      </c>
    </row>
    <row r="716">
      <c r="X716" s="148">
        <f>IF('Contractors'!B720="","",'Contractors'!B720)</f>
        <v/>
      </c>
    </row>
    <row r="717">
      <c r="X717" s="148">
        <f>IF('Contractors'!B721="","",'Contractors'!B721)</f>
        <v/>
      </c>
    </row>
    <row r="718">
      <c r="X718" s="148">
        <f>IF('Contractors'!B722="","",'Contractors'!B722)</f>
        <v/>
      </c>
    </row>
    <row r="719">
      <c r="X719" s="148">
        <f>IF('Contractors'!B723="","",'Contractors'!B723)</f>
        <v/>
      </c>
    </row>
    <row r="720">
      <c r="X720" s="148">
        <f>IF('Contractors'!B724="","",'Contractors'!B724)</f>
        <v/>
      </c>
    </row>
    <row r="721">
      <c r="X721" s="148">
        <f>IF('Contractors'!B725="","",'Contractors'!B725)</f>
        <v/>
      </c>
    </row>
    <row r="722">
      <c r="X722" s="148">
        <f>IF('Contractors'!B726="","",'Contractors'!B726)</f>
        <v/>
      </c>
    </row>
    <row r="723">
      <c r="X723" s="148">
        <f>IF('Contractors'!B727="","",'Contractors'!B727)</f>
        <v/>
      </c>
    </row>
    <row r="724">
      <c r="X724" s="148">
        <f>IF('Contractors'!B728="","",'Contractors'!B728)</f>
        <v/>
      </c>
    </row>
    <row r="725">
      <c r="X725" s="148">
        <f>IF('Contractors'!B729="","",'Contractors'!B729)</f>
        <v/>
      </c>
    </row>
    <row r="726">
      <c r="X726" s="148">
        <f>IF('Contractors'!B730="","",'Contractors'!B730)</f>
        <v/>
      </c>
    </row>
    <row r="727">
      <c r="X727" s="148">
        <f>IF('Contractors'!B731="","",'Contractors'!B731)</f>
        <v/>
      </c>
    </row>
    <row r="728">
      <c r="X728" s="148">
        <f>IF('Contractors'!B732="","",'Contractors'!B732)</f>
        <v/>
      </c>
    </row>
    <row r="729">
      <c r="X729" s="148">
        <f>IF('Contractors'!B733="","",'Contractors'!B733)</f>
        <v/>
      </c>
    </row>
    <row r="730">
      <c r="X730" s="148">
        <f>IF('Contractors'!B734="","",'Contractors'!B734)</f>
        <v/>
      </c>
    </row>
    <row r="731">
      <c r="X731" s="148">
        <f>IF('Contractors'!B735="","",'Contractors'!B735)</f>
        <v/>
      </c>
    </row>
    <row r="732">
      <c r="X732" s="148">
        <f>IF('Contractors'!B736="","",'Contractors'!B736)</f>
        <v/>
      </c>
    </row>
    <row r="733">
      <c r="X733" s="148">
        <f>IF('Contractors'!B737="","",'Contractors'!B737)</f>
        <v/>
      </c>
    </row>
    <row r="734">
      <c r="X734" s="148">
        <f>IF('Contractors'!B738="","",'Contractors'!B738)</f>
        <v/>
      </c>
    </row>
    <row r="735">
      <c r="X735" s="148">
        <f>IF('Contractors'!B739="","",'Contractors'!B739)</f>
        <v/>
      </c>
    </row>
    <row r="736">
      <c r="X736" s="148">
        <f>IF('Contractors'!B740="","",'Contractors'!B740)</f>
        <v/>
      </c>
    </row>
    <row r="737">
      <c r="X737" s="148">
        <f>IF('Contractors'!B741="","",'Contractors'!B741)</f>
        <v/>
      </c>
    </row>
    <row r="738">
      <c r="X738" s="148">
        <f>IF('Contractors'!B742="","",'Contractors'!B742)</f>
        <v/>
      </c>
    </row>
    <row r="739">
      <c r="X739" s="148">
        <f>IF('Contractors'!B743="","",'Contractors'!B743)</f>
        <v/>
      </c>
    </row>
    <row r="740">
      <c r="X740" s="148">
        <f>IF('Contractors'!B744="","",'Contractors'!B744)</f>
        <v/>
      </c>
    </row>
    <row r="741">
      <c r="X741" s="148">
        <f>IF('Contractors'!B745="","",'Contractors'!B745)</f>
        <v/>
      </c>
    </row>
    <row r="742">
      <c r="X742" s="148">
        <f>IF('Contractors'!B746="","",'Contractors'!B746)</f>
        <v/>
      </c>
    </row>
    <row r="743">
      <c r="X743" s="148">
        <f>IF('Contractors'!B747="","",'Contractors'!B747)</f>
        <v/>
      </c>
    </row>
    <row r="744">
      <c r="X744" s="148">
        <f>IF('Contractors'!B748="","",'Contractors'!B748)</f>
        <v/>
      </c>
    </row>
    <row r="745">
      <c r="X745" s="148">
        <f>IF('Contractors'!B749="","",'Contractors'!B749)</f>
        <v/>
      </c>
    </row>
    <row r="746">
      <c r="X746" s="148">
        <f>IF('Contractors'!B750="","",'Contractors'!B750)</f>
        <v/>
      </c>
    </row>
    <row r="747">
      <c r="X747" s="148">
        <f>IF('Contractors'!B751="","",'Contractors'!B751)</f>
        <v/>
      </c>
    </row>
    <row r="748">
      <c r="X748" s="148">
        <f>IF('Contractors'!B752="","",'Contractors'!B752)</f>
        <v/>
      </c>
    </row>
    <row r="749">
      <c r="X749" s="148">
        <f>IF('Contractors'!B753="","",'Contractors'!B753)</f>
        <v/>
      </c>
    </row>
    <row r="750">
      <c r="X750" s="148">
        <f>IF('Contractors'!B754="","",'Contractors'!B754)</f>
        <v/>
      </c>
    </row>
    <row r="751">
      <c r="X751" s="148">
        <f>IF('Contractors'!B755="","",'Contractors'!B755)</f>
        <v/>
      </c>
    </row>
    <row r="752">
      <c r="X752" s="148">
        <f>IF('Contractors'!B756="","",'Contractors'!B756)</f>
        <v/>
      </c>
    </row>
    <row r="753">
      <c r="X753" s="148">
        <f>IF('Contractors'!B757="","",'Contractors'!B757)</f>
        <v/>
      </c>
    </row>
    <row r="754">
      <c r="X754" s="148">
        <f>IF('Contractors'!B758="","",'Contractors'!B758)</f>
        <v/>
      </c>
    </row>
    <row r="755">
      <c r="X755" s="148">
        <f>IF('Contractors'!B759="","",'Contractors'!B759)</f>
        <v/>
      </c>
    </row>
    <row r="756">
      <c r="X756" s="148">
        <f>IF('Contractors'!B760="","",'Contractors'!B760)</f>
        <v/>
      </c>
    </row>
    <row r="757">
      <c r="X757" s="148">
        <f>IF('Contractors'!B761="","",'Contractors'!B761)</f>
        <v/>
      </c>
    </row>
    <row r="758">
      <c r="X758" s="148">
        <f>IF('Contractors'!B762="","",'Contractors'!B762)</f>
        <v/>
      </c>
    </row>
    <row r="759">
      <c r="X759" s="148">
        <f>IF('Contractors'!B763="","",'Contractors'!B763)</f>
        <v/>
      </c>
    </row>
    <row r="760">
      <c r="X760" s="148">
        <f>IF('Contractors'!B764="","",'Contractors'!B764)</f>
        <v/>
      </c>
    </row>
    <row r="761">
      <c r="X761" s="148">
        <f>IF('Contractors'!B765="","",'Contractors'!B765)</f>
        <v/>
      </c>
    </row>
    <row r="762">
      <c r="X762" s="148">
        <f>IF('Contractors'!B766="","",'Contractors'!B766)</f>
        <v/>
      </c>
    </row>
    <row r="763">
      <c r="X763" s="148">
        <f>IF('Contractors'!B767="","",'Contractors'!B767)</f>
        <v/>
      </c>
    </row>
    <row r="764">
      <c r="X764" s="148">
        <f>IF('Contractors'!B768="","",'Contractors'!B768)</f>
        <v/>
      </c>
    </row>
    <row r="765">
      <c r="X765" s="148">
        <f>IF('Contractors'!B769="","",'Contractors'!B769)</f>
        <v/>
      </c>
    </row>
    <row r="766">
      <c r="X766" s="148">
        <f>IF('Contractors'!B770="","",'Contractors'!B770)</f>
        <v/>
      </c>
    </row>
    <row r="767">
      <c r="X767" s="148">
        <f>IF('Contractors'!B771="","",'Contractors'!B771)</f>
        <v/>
      </c>
    </row>
    <row r="768">
      <c r="X768" s="148">
        <f>IF('Contractors'!B772="","",'Contractors'!B772)</f>
        <v/>
      </c>
    </row>
    <row r="769">
      <c r="X769" s="148">
        <f>IF('Contractors'!B773="","",'Contractors'!B773)</f>
        <v/>
      </c>
    </row>
    <row r="770">
      <c r="X770" s="148">
        <f>IF('Contractors'!B774="","",'Contractors'!B774)</f>
        <v/>
      </c>
    </row>
    <row r="771">
      <c r="X771" s="148">
        <f>IF('Contractors'!B775="","",'Contractors'!B775)</f>
        <v/>
      </c>
    </row>
    <row r="772">
      <c r="X772" s="148">
        <f>IF('Contractors'!B776="","",'Contractors'!B776)</f>
        <v/>
      </c>
    </row>
    <row r="773">
      <c r="X773" s="148">
        <f>IF('Contractors'!B777="","",'Contractors'!B777)</f>
        <v/>
      </c>
    </row>
    <row r="774">
      <c r="X774" s="148">
        <f>IF('Contractors'!B778="","",'Contractors'!B778)</f>
        <v/>
      </c>
    </row>
    <row r="775">
      <c r="X775" s="148">
        <f>IF('Contractors'!B779="","",'Contractors'!B779)</f>
        <v/>
      </c>
    </row>
    <row r="776">
      <c r="X776" s="148">
        <f>IF('Contractors'!B780="","",'Contractors'!B780)</f>
        <v/>
      </c>
    </row>
    <row r="777">
      <c r="X777" s="148">
        <f>IF('Contractors'!B781="","",'Contractors'!B781)</f>
        <v/>
      </c>
    </row>
    <row r="778">
      <c r="X778" s="148">
        <f>IF('Contractors'!B782="","",'Contractors'!B782)</f>
        <v/>
      </c>
    </row>
    <row r="779">
      <c r="X779" s="148">
        <f>IF('Contractors'!B783="","",'Contractors'!B783)</f>
        <v/>
      </c>
    </row>
    <row r="780">
      <c r="X780" s="148">
        <f>IF('Contractors'!B784="","",'Contractors'!B784)</f>
        <v/>
      </c>
    </row>
    <row r="781">
      <c r="X781" s="148">
        <f>IF('Contractors'!B785="","",'Contractors'!B785)</f>
        <v/>
      </c>
    </row>
    <row r="782">
      <c r="X782" s="148">
        <f>IF('Contractors'!B786="","",'Contractors'!B786)</f>
        <v/>
      </c>
    </row>
    <row r="783">
      <c r="X783" s="148">
        <f>IF('Contractors'!B787="","",'Contractors'!B787)</f>
        <v/>
      </c>
    </row>
    <row r="784">
      <c r="X784" s="148">
        <f>IF('Contractors'!B788="","",'Contractors'!B788)</f>
        <v/>
      </c>
    </row>
    <row r="785">
      <c r="X785" s="148">
        <f>IF('Contractors'!B789="","",'Contractors'!B789)</f>
        <v/>
      </c>
    </row>
    <row r="786">
      <c r="X786" s="148">
        <f>IF('Contractors'!B790="","",'Contractors'!B790)</f>
        <v/>
      </c>
    </row>
    <row r="787">
      <c r="X787" s="148">
        <f>IF('Contractors'!B791="","",'Contractors'!B791)</f>
        <v/>
      </c>
    </row>
    <row r="788">
      <c r="X788" s="148">
        <f>IF('Contractors'!B792="","",'Contractors'!B792)</f>
        <v/>
      </c>
    </row>
    <row r="789">
      <c r="X789" s="148">
        <f>IF('Contractors'!B793="","",'Contractors'!B793)</f>
        <v/>
      </c>
    </row>
    <row r="790">
      <c r="X790" s="148">
        <f>IF('Contractors'!B794="","",'Contractors'!B794)</f>
        <v/>
      </c>
    </row>
    <row r="791">
      <c r="X791" s="148">
        <f>IF('Contractors'!B795="","",'Contractors'!B795)</f>
        <v/>
      </c>
    </row>
    <row r="792">
      <c r="X792" s="148">
        <f>IF('Contractors'!B796="","",'Contractors'!B796)</f>
        <v/>
      </c>
    </row>
    <row r="793">
      <c r="X793" s="148">
        <f>IF('Contractors'!B797="","",'Contractors'!B797)</f>
        <v/>
      </c>
    </row>
    <row r="794">
      <c r="X794" s="148">
        <f>IF('Contractors'!B798="","",'Contractors'!B798)</f>
        <v/>
      </c>
    </row>
    <row r="795">
      <c r="X795" s="148">
        <f>IF('Contractors'!B799="","",'Contractors'!B799)</f>
        <v/>
      </c>
    </row>
    <row r="796">
      <c r="X796" s="148">
        <f>IF('Contractors'!B800="","",'Contractors'!B800)</f>
        <v/>
      </c>
    </row>
    <row r="797">
      <c r="X797" s="148">
        <f>IF('Contractors'!B801="","",'Contractors'!B801)</f>
        <v/>
      </c>
    </row>
    <row r="798">
      <c r="X798" s="148">
        <f>IF('Contractors'!B802="","",'Contractors'!B802)</f>
        <v/>
      </c>
    </row>
    <row r="799">
      <c r="X799" s="148">
        <f>IF('Contractors'!B803="","",'Contractors'!B803)</f>
        <v/>
      </c>
    </row>
    <row r="800">
      <c r="X800" s="148">
        <f>IF('Contractors'!B804="","",'Contractors'!B804)</f>
        <v/>
      </c>
    </row>
    <row r="801">
      <c r="X801" s="148">
        <f>IF('Contractors'!B805="","",'Contractors'!B805)</f>
        <v/>
      </c>
    </row>
    <row r="802">
      <c r="X802" s="148">
        <f>IF('Contractors'!B806="","",'Contractors'!B806)</f>
        <v/>
      </c>
    </row>
    <row r="803">
      <c r="X803" s="148">
        <f>IF('Contractors'!B807="","",'Contractors'!B807)</f>
        <v/>
      </c>
    </row>
    <row r="804">
      <c r="X804" s="148">
        <f>IF('Contractors'!B808="","",'Contractors'!B808)</f>
        <v/>
      </c>
    </row>
    <row r="805">
      <c r="X805" s="148">
        <f>IF('Contractors'!B809="","",'Contractors'!B809)</f>
        <v/>
      </c>
    </row>
    <row r="806">
      <c r="X806" s="148">
        <f>IF('Contractors'!B810="","",'Contractors'!B810)</f>
        <v/>
      </c>
    </row>
    <row r="807">
      <c r="X807" s="148">
        <f>IF('Contractors'!B811="","",'Contractors'!B811)</f>
        <v/>
      </c>
    </row>
    <row r="808">
      <c r="X808" s="148">
        <f>IF('Contractors'!B812="","",'Contractors'!B812)</f>
        <v/>
      </c>
    </row>
    <row r="809">
      <c r="X809" s="148">
        <f>IF('Contractors'!B813="","",'Contractors'!B813)</f>
        <v/>
      </c>
    </row>
    <row r="810">
      <c r="X810" s="148">
        <f>IF('Contractors'!B814="","",'Contractors'!B814)</f>
        <v/>
      </c>
    </row>
    <row r="811">
      <c r="X811" s="148">
        <f>IF('Contractors'!B815="","",'Contractors'!B815)</f>
        <v/>
      </c>
    </row>
    <row r="812">
      <c r="X812" s="148">
        <f>IF('Contractors'!B816="","",'Contractors'!B816)</f>
        <v/>
      </c>
    </row>
    <row r="813">
      <c r="X813" s="148">
        <f>IF('Contractors'!B817="","",'Contractors'!B817)</f>
        <v/>
      </c>
    </row>
    <row r="814">
      <c r="X814" s="148">
        <f>IF('Contractors'!B818="","",'Contractors'!B818)</f>
        <v/>
      </c>
    </row>
    <row r="815">
      <c r="X815" s="148">
        <f>IF('Contractors'!B819="","",'Contractors'!B819)</f>
        <v/>
      </c>
    </row>
    <row r="816">
      <c r="X816" s="148">
        <f>IF('Contractors'!B820="","",'Contractors'!B820)</f>
        <v/>
      </c>
    </row>
    <row r="817">
      <c r="X817" s="148">
        <f>IF('Contractors'!B821="","",'Contractors'!B821)</f>
        <v/>
      </c>
    </row>
    <row r="818">
      <c r="X818" s="148">
        <f>IF('Contractors'!B822="","",'Contractors'!B822)</f>
        <v/>
      </c>
    </row>
    <row r="819">
      <c r="X819" s="148">
        <f>IF('Contractors'!B823="","",'Contractors'!B823)</f>
        <v/>
      </c>
    </row>
    <row r="820">
      <c r="X820" s="148">
        <f>IF('Contractors'!B824="","",'Contractors'!B824)</f>
        <v/>
      </c>
    </row>
    <row r="821">
      <c r="X821" s="148">
        <f>IF('Contractors'!B825="","",'Contractors'!B825)</f>
        <v/>
      </c>
    </row>
    <row r="822">
      <c r="X822" s="148">
        <f>IF('Contractors'!B826="","",'Contractors'!B826)</f>
        <v/>
      </c>
    </row>
    <row r="823">
      <c r="X823" s="148">
        <f>IF('Contractors'!B827="","",'Contractors'!B827)</f>
        <v/>
      </c>
    </row>
    <row r="824">
      <c r="X824" s="148">
        <f>IF('Contractors'!B828="","",'Contractors'!B828)</f>
        <v/>
      </c>
    </row>
    <row r="825">
      <c r="X825" s="148">
        <f>IF('Contractors'!B829="","",'Contractors'!B829)</f>
        <v/>
      </c>
    </row>
    <row r="826">
      <c r="X826" s="148">
        <f>IF('Contractors'!B830="","",'Contractors'!B830)</f>
        <v/>
      </c>
    </row>
    <row r="827">
      <c r="X827" s="148">
        <f>IF('Contractors'!B831="","",'Contractors'!B831)</f>
        <v/>
      </c>
    </row>
    <row r="828">
      <c r="X828" s="148">
        <f>IF('Contractors'!B832="","",'Contractors'!B832)</f>
        <v/>
      </c>
    </row>
    <row r="829">
      <c r="X829" s="148">
        <f>IF('Contractors'!B833="","",'Contractors'!B833)</f>
        <v/>
      </c>
    </row>
    <row r="830">
      <c r="X830" s="148">
        <f>IF('Contractors'!B834="","",'Contractors'!B834)</f>
        <v/>
      </c>
    </row>
    <row r="831">
      <c r="X831" s="148">
        <f>IF('Contractors'!B835="","",'Contractors'!B835)</f>
        <v/>
      </c>
    </row>
    <row r="832">
      <c r="X832" s="148">
        <f>IF('Contractors'!B836="","",'Contractors'!B836)</f>
        <v/>
      </c>
    </row>
    <row r="833">
      <c r="X833" s="148">
        <f>IF('Contractors'!B837="","",'Contractors'!B837)</f>
        <v/>
      </c>
    </row>
    <row r="834">
      <c r="X834" s="148">
        <f>IF('Contractors'!B838="","",'Contractors'!B838)</f>
        <v/>
      </c>
    </row>
    <row r="835">
      <c r="X835" s="148">
        <f>IF('Contractors'!B839="","",'Contractors'!B839)</f>
        <v/>
      </c>
    </row>
    <row r="836">
      <c r="X836" s="148">
        <f>IF('Contractors'!B840="","",'Contractors'!B840)</f>
        <v/>
      </c>
    </row>
    <row r="837">
      <c r="X837" s="148">
        <f>IF('Contractors'!B841="","",'Contractors'!B841)</f>
        <v/>
      </c>
    </row>
    <row r="838">
      <c r="X838" s="148">
        <f>IF('Contractors'!B842="","",'Contractors'!B842)</f>
        <v/>
      </c>
    </row>
    <row r="839">
      <c r="X839" s="148">
        <f>IF('Contractors'!B843="","",'Contractors'!B843)</f>
        <v/>
      </c>
    </row>
    <row r="840">
      <c r="X840" s="148">
        <f>IF('Contractors'!B844="","",'Contractors'!B844)</f>
        <v/>
      </c>
    </row>
    <row r="841">
      <c r="X841" s="148">
        <f>IF('Contractors'!B845="","",'Contractors'!B845)</f>
        <v/>
      </c>
    </row>
    <row r="842">
      <c r="X842" s="148">
        <f>IF('Contractors'!B846="","",'Contractors'!B846)</f>
        <v/>
      </c>
    </row>
    <row r="843">
      <c r="X843" s="148">
        <f>IF('Contractors'!B847="","",'Contractors'!B847)</f>
        <v/>
      </c>
    </row>
    <row r="844">
      <c r="X844" s="148">
        <f>IF('Contractors'!B848="","",'Contractors'!B848)</f>
        <v/>
      </c>
    </row>
    <row r="845">
      <c r="X845" s="148">
        <f>IF('Contractors'!B849="","",'Contractors'!B849)</f>
        <v/>
      </c>
    </row>
    <row r="846">
      <c r="X846" s="148">
        <f>IF('Contractors'!B850="","",'Contractors'!B850)</f>
        <v/>
      </c>
    </row>
    <row r="847">
      <c r="X847" s="148">
        <f>IF('Contractors'!B851="","",'Contractors'!B851)</f>
        <v/>
      </c>
    </row>
    <row r="848">
      <c r="X848" s="148">
        <f>IF('Contractors'!B852="","",'Contractors'!B852)</f>
        <v/>
      </c>
    </row>
    <row r="849">
      <c r="X849" s="148">
        <f>IF('Contractors'!B853="","",'Contractors'!B853)</f>
        <v/>
      </c>
    </row>
    <row r="850">
      <c r="X850" s="148">
        <f>IF('Contractors'!B854="","",'Contractors'!B854)</f>
        <v/>
      </c>
    </row>
    <row r="851">
      <c r="X851" s="148">
        <f>IF('Contractors'!B855="","",'Contractors'!B855)</f>
        <v/>
      </c>
    </row>
    <row r="852">
      <c r="X852" s="148">
        <f>IF('Contractors'!B856="","",'Contractors'!B856)</f>
        <v/>
      </c>
    </row>
    <row r="853">
      <c r="X853" s="148">
        <f>IF('Contractors'!B857="","",'Contractors'!B857)</f>
        <v/>
      </c>
    </row>
    <row r="854">
      <c r="X854" s="148">
        <f>IF('Contractors'!B858="","",'Contractors'!B858)</f>
        <v/>
      </c>
    </row>
    <row r="855">
      <c r="X855" s="148">
        <f>IF('Contractors'!B859="","",'Contractors'!B859)</f>
        <v/>
      </c>
    </row>
    <row r="856">
      <c r="X856" s="148">
        <f>IF('Contractors'!B860="","",'Contractors'!B860)</f>
        <v/>
      </c>
    </row>
    <row r="857">
      <c r="X857" s="148">
        <f>IF('Contractors'!B861="","",'Contractors'!B861)</f>
        <v/>
      </c>
    </row>
    <row r="858">
      <c r="X858" s="148">
        <f>IF('Contractors'!B862="","",'Contractors'!B862)</f>
        <v/>
      </c>
    </row>
    <row r="859">
      <c r="X859" s="148">
        <f>IF('Contractors'!B863="","",'Contractors'!B863)</f>
        <v/>
      </c>
    </row>
    <row r="860">
      <c r="X860" s="148">
        <f>IF('Contractors'!B864="","",'Contractors'!B864)</f>
        <v/>
      </c>
    </row>
    <row r="861">
      <c r="X861" s="148">
        <f>IF('Contractors'!B865="","",'Contractors'!B865)</f>
        <v/>
      </c>
    </row>
    <row r="862">
      <c r="X862" s="148">
        <f>IF('Contractors'!B866="","",'Contractors'!B866)</f>
        <v/>
      </c>
    </row>
    <row r="863">
      <c r="X863" s="148">
        <f>IF('Contractors'!B867="","",'Contractors'!B867)</f>
        <v/>
      </c>
    </row>
    <row r="864">
      <c r="X864" s="148">
        <f>IF('Contractors'!B868="","",'Contractors'!B868)</f>
        <v/>
      </c>
    </row>
    <row r="865">
      <c r="X865" s="148">
        <f>IF('Contractors'!B869="","",'Contractors'!B869)</f>
        <v/>
      </c>
    </row>
    <row r="866">
      <c r="X866" s="148">
        <f>IF('Contractors'!B870="","",'Contractors'!B870)</f>
        <v/>
      </c>
    </row>
    <row r="867">
      <c r="X867" s="148">
        <f>IF('Contractors'!B871="","",'Contractors'!B871)</f>
        <v/>
      </c>
    </row>
    <row r="868">
      <c r="X868" s="148">
        <f>IF('Contractors'!B872="","",'Contractors'!B872)</f>
        <v/>
      </c>
    </row>
    <row r="869">
      <c r="X869" s="148">
        <f>IF('Contractors'!B873="","",'Contractors'!B873)</f>
        <v/>
      </c>
    </row>
    <row r="870">
      <c r="X870" s="148">
        <f>IF('Contractors'!B874="","",'Contractors'!B874)</f>
        <v/>
      </c>
    </row>
    <row r="871">
      <c r="X871" s="148">
        <f>IF('Contractors'!B875="","",'Contractors'!B875)</f>
        <v/>
      </c>
    </row>
    <row r="872">
      <c r="X872" s="148">
        <f>IF('Contractors'!B876="","",'Contractors'!B876)</f>
        <v/>
      </c>
    </row>
    <row r="873">
      <c r="X873" s="148">
        <f>IF('Contractors'!B877="","",'Contractors'!B877)</f>
        <v/>
      </c>
    </row>
    <row r="874">
      <c r="X874" s="148">
        <f>IF('Contractors'!B878="","",'Contractors'!B878)</f>
        <v/>
      </c>
    </row>
    <row r="875">
      <c r="X875" s="148">
        <f>IF('Contractors'!B879="","",'Contractors'!B879)</f>
        <v/>
      </c>
    </row>
    <row r="876">
      <c r="X876" s="148">
        <f>IF('Contractors'!B880="","",'Contractors'!B880)</f>
        <v/>
      </c>
    </row>
    <row r="877">
      <c r="X877" s="148">
        <f>IF('Contractors'!B881="","",'Contractors'!B881)</f>
        <v/>
      </c>
    </row>
    <row r="878">
      <c r="X878" s="148">
        <f>IF('Contractors'!B882="","",'Contractors'!B882)</f>
        <v/>
      </c>
    </row>
    <row r="879">
      <c r="X879" s="148">
        <f>IF('Contractors'!B883="","",'Contractors'!B883)</f>
        <v/>
      </c>
    </row>
    <row r="880">
      <c r="X880" s="148">
        <f>IF('Contractors'!B884="","",'Contractors'!B884)</f>
        <v/>
      </c>
    </row>
    <row r="881">
      <c r="X881" s="148">
        <f>IF('Contractors'!B885="","",'Contractors'!B885)</f>
        <v/>
      </c>
    </row>
    <row r="882">
      <c r="X882" s="148">
        <f>IF('Contractors'!B886="","",'Contractors'!B886)</f>
        <v/>
      </c>
    </row>
    <row r="883">
      <c r="X883" s="148">
        <f>IF('Contractors'!B887="","",'Contractors'!B887)</f>
        <v/>
      </c>
    </row>
    <row r="884">
      <c r="X884" s="148">
        <f>IF('Contractors'!B888="","",'Contractors'!B888)</f>
        <v/>
      </c>
    </row>
    <row r="885">
      <c r="X885" s="148">
        <f>IF('Contractors'!B889="","",'Contractors'!B889)</f>
        <v/>
      </c>
    </row>
    <row r="886">
      <c r="X886" s="148">
        <f>IF('Contractors'!B890="","",'Contractors'!B890)</f>
        <v/>
      </c>
    </row>
    <row r="887">
      <c r="X887" s="148">
        <f>IF('Contractors'!B891="","",'Contractors'!B891)</f>
        <v/>
      </c>
    </row>
    <row r="888">
      <c r="X888" s="148">
        <f>IF('Contractors'!B892="","",'Contractors'!B892)</f>
        <v/>
      </c>
    </row>
    <row r="889">
      <c r="X889" s="148">
        <f>IF('Contractors'!B893="","",'Contractors'!B893)</f>
        <v/>
      </c>
    </row>
    <row r="890">
      <c r="X890" s="148">
        <f>IF('Contractors'!B894="","",'Contractors'!B894)</f>
        <v/>
      </c>
    </row>
    <row r="891">
      <c r="X891" s="148">
        <f>IF('Contractors'!B895="","",'Contractors'!B895)</f>
        <v/>
      </c>
    </row>
    <row r="892">
      <c r="X892" s="148">
        <f>IF('Contractors'!B896="","",'Contractors'!B896)</f>
        <v/>
      </c>
    </row>
    <row r="893">
      <c r="X893" s="148">
        <f>IF('Contractors'!B897="","",'Contractors'!B897)</f>
        <v/>
      </c>
    </row>
    <row r="894">
      <c r="X894" s="148">
        <f>IF('Contractors'!B898="","",'Contractors'!B898)</f>
        <v/>
      </c>
    </row>
    <row r="895">
      <c r="X895" s="148">
        <f>IF('Contractors'!B899="","",'Contractors'!B899)</f>
        <v/>
      </c>
    </row>
    <row r="896">
      <c r="X896" s="148">
        <f>IF('Contractors'!B900="","",'Contractors'!B900)</f>
        <v/>
      </c>
    </row>
    <row r="897">
      <c r="X897" s="148">
        <f>IF('Contractors'!B901="","",'Contractors'!B901)</f>
        <v/>
      </c>
    </row>
    <row r="898">
      <c r="X898" s="148">
        <f>IF('Contractors'!B902="","",'Contractors'!B902)</f>
        <v/>
      </c>
    </row>
    <row r="899">
      <c r="X899" s="148">
        <f>IF('Contractors'!B903="","",'Contractors'!B903)</f>
        <v/>
      </c>
    </row>
    <row r="900">
      <c r="X900" s="148">
        <f>IF('Contractors'!B904="","",'Contractors'!B904)</f>
        <v/>
      </c>
    </row>
    <row r="901">
      <c r="X901" s="148">
        <f>IF('Contractors'!B905="","",'Contractors'!B905)</f>
        <v/>
      </c>
    </row>
    <row r="902">
      <c r="X902" s="148">
        <f>IF('Contractors'!B906="","",'Contractors'!B906)</f>
        <v/>
      </c>
    </row>
    <row r="903">
      <c r="X903" s="148">
        <f>IF('Contractors'!B907="","",'Contractors'!B907)</f>
        <v/>
      </c>
    </row>
    <row r="904">
      <c r="X904" s="148">
        <f>IF('Contractors'!B908="","",'Contractors'!B908)</f>
        <v/>
      </c>
    </row>
    <row r="905">
      <c r="X905" s="148">
        <f>IF('Contractors'!B909="","",'Contractors'!B909)</f>
        <v/>
      </c>
    </row>
    <row r="906">
      <c r="X906" s="148">
        <f>IF('Contractors'!B910="","",'Contractors'!B910)</f>
        <v/>
      </c>
    </row>
    <row r="907">
      <c r="X907" s="148">
        <f>IF('Contractors'!B911="","",'Contractors'!B911)</f>
        <v/>
      </c>
    </row>
    <row r="908">
      <c r="X908" s="148">
        <f>IF('Contractors'!B912="","",'Contractors'!B912)</f>
        <v/>
      </c>
    </row>
    <row r="909">
      <c r="X909" s="148">
        <f>IF('Contractors'!B913="","",'Contractors'!B913)</f>
        <v/>
      </c>
    </row>
    <row r="910">
      <c r="X910" s="148">
        <f>IF('Contractors'!B914="","",'Contractors'!B914)</f>
        <v/>
      </c>
    </row>
    <row r="911">
      <c r="X911" s="148">
        <f>IF('Contractors'!B915="","",'Contractors'!B915)</f>
        <v/>
      </c>
    </row>
    <row r="912">
      <c r="X912" s="148">
        <f>IF('Contractors'!B916="","",'Contractors'!B916)</f>
        <v/>
      </c>
    </row>
    <row r="913">
      <c r="X913" s="148">
        <f>IF('Contractors'!B917="","",'Contractors'!B917)</f>
        <v/>
      </c>
    </row>
    <row r="914">
      <c r="X914" s="148">
        <f>IF('Contractors'!B918="","",'Contractors'!B918)</f>
        <v/>
      </c>
    </row>
    <row r="915">
      <c r="X915" s="148">
        <f>IF('Contractors'!B919="","",'Contractors'!B919)</f>
        <v/>
      </c>
    </row>
    <row r="916">
      <c r="X916" s="148">
        <f>IF('Contractors'!B920="","",'Contractors'!B920)</f>
        <v/>
      </c>
    </row>
    <row r="917">
      <c r="X917" s="148">
        <f>IF('Contractors'!B921="","",'Contractors'!B921)</f>
        <v/>
      </c>
    </row>
    <row r="918">
      <c r="X918" s="148">
        <f>IF('Contractors'!B922="","",'Contractors'!B922)</f>
        <v/>
      </c>
    </row>
    <row r="919">
      <c r="X919" s="148">
        <f>IF('Contractors'!B923="","",'Contractors'!B923)</f>
        <v/>
      </c>
    </row>
    <row r="920">
      <c r="X920" s="148">
        <f>IF('Contractors'!B924="","",'Contractors'!B924)</f>
        <v/>
      </c>
    </row>
    <row r="921">
      <c r="X921" s="148">
        <f>IF('Contractors'!B925="","",'Contractors'!B925)</f>
        <v/>
      </c>
    </row>
    <row r="922">
      <c r="X922" s="148">
        <f>IF('Contractors'!B926="","",'Contractors'!B926)</f>
        <v/>
      </c>
    </row>
    <row r="923">
      <c r="X923" s="148">
        <f>IF('Contractors'!B927="","",'Contractors'!B927)</f>
        <v/>
      </c>
    </row>
    <row r="924">
      <c r="X924" s="148">
        <f>IF('Contractors'!B928="","",'Contractors'!B928)</f>
        <v/>
      </c>
    </row>
    <row r="925">
      <c r="X925" s="148">
        <f>IF('Contractors'!B929="","",'Contractors'!B929)</f>
        <v/>
      </c>
    </row>
    <row r="926">
      <c r="X926" s="148">
        <f>IF('Contractors'!B930="","",'Contractors'!B930)</f>
        <v/>
      </c>
    </row>
    <row r="927">
      <c r="X927" s="148">
        <f>IF('Contractors'!B931="","",'Contractors'!B931)</f>
        <v/>
      </c>
    </row>
    <row r="928">
      <c r="X928" s="148">
        <f>IF('Contractors'!B932="","",'Contractors'!B932)</f>
        <v/>
      </c>
    </row>
    <row r="929">
      <c r="X929" s="148">
        <f>IF('Contractors'!B933="","",'Contractors'!B933)</f>
        <v/>
      </c>
    </row>
    <row r="930">
      <c r="X930" s="148">
        <f>IF('Contractors'!B934="","",'Contractors'!B934)</f>
        <v/>
      </c>
    </row>
    <row r="931">
      <c r="X931" s="148">
        <f>IF('Contractors'!B935="","",'Contractors'!B935)</f>
        <v/>
      </c>
    </row>
    <row r="932">
      <c r="X932" s="148">
        <f>IF('Contractors'!B936="","",'Contractors'!B936)</f>
        <v/>
      </c>
    </row>
    <row r="933">
      <c r="X933" s="148">
        <f>IF('Contractors'!B937="","",'Contractors'!B937)</f>
        <v/>
      </c>
    </row>
    <row r="934">
      <c r="X934" s="148">
        <f>IF('Contractors'!B938="","",'Contractors'!B938)</f>
        <v/>
      </c>
    </row>
    <row r="935">
      <c r="X935" s="148">
        <f>IF('Contractors'!B939="","",'Contractors'!B939)</f>
        <v/>
      </c>
    </row>
    <row r="936">
      <c r="X936" s="148">
        <f>IF('Contractors'!B940="","",'Contractors'!B940)</f>
        <v/>
      </c>
    </row>
    <row r="937">
      <c r="X937" s="148">
        <f>IF('Contractors'!B941="","",'Contractors'!B941)</f>
        <v/>
      </c>
    </row>
    <row r="938">
      <c r="X938" s="148">
        <f>IF('Contractors'!B942="","",'Contractors'!B942)</f>
        <v/>
      </c>
    </row>
    <row r="939">
      <c r="X939" s="148">
        <f>IF('Contractors'!B943="","",'Contractors'!B943)</f>
        <v/>
      </c>
    </row>
    <row r="940">
      <c r="X940" s="148">
        <f>IF('Contractors'!B944="","",'Contractors'!B944)</f>
        <v/>
      </c>
    </row>
    <row r="941">
      <c r="X941" s="148">
        <f>IF('Contractors'!B945="","",'Contractors'!B945)</f>
        <v/>
      </c>
    </row>
    <row r="942">
      <c r="X942" s="148">
        <f>IF('Contractors'!B946="","",'Contractors'!B946)</f>
        <v/>
      </c>
    </row>
    <row r="943">
      <c r="X943" s="148">
        <f>IF('Contractors'!B947="","",'Contractors'!B947)</f>
        <v/>
      </c>
    </row>
    <row r="944">
      <c r="X944" s="148">
        <f>IF('Contractors'!B948="","",'Contractors'!B948)</f>
        <v/>
      </c>
    </row>
    <row r="945">
      <c r="X945" s="148">
        <f>IF('Contractors'!B949="","",'Contractors'!B949)</f>
        <v/>
      </c>
    </row>
    <row r="946">
      <c r="X946" s="148">
        <f>IF('Contractors'!B950="","",'Contractors'!B950)</f>
        <v/>
      </c>
    </row>
    <row r="947">
      <c r="X947" s="148">
        <f>IF('Contractors'!B951="","",'Contractors'!B951)</f>
        <v/>
      </c>
    </row>
    <row r="948">
      <c r="X948" s="148">
        <f>IF('Contractors'!B952="","",'Contractors'!B952)</f>
        <v/>
      </c>
    </row>
    <row r="949">
      <c r="X949" s="148">
        <f>IF('Contractors'!B953="","",'Contractors'!B953)</f>
        <v/>
      </c>
    </row>
    <row r="950">
      <c r="X950" s="148">
        <f>IF('Contractors'!B954="","",'Contractors'!B954)</f>
        <v/>
      </c>
    </row>
    <row r="951">
      <c r="X951" s="148">
        <f>IF('Contractors'!B955="","",'Contractors'!B955)</f>
        <v/>
      </c>
    </row>
    <row r="952">
      <c r="X952" s="148">
        <f>IF('Contractors'!B956="","",'Contractors'!B956)</f>
        <v/>
      </c>
    </row>
    <row r="953">
      <c r="X953" s="148">
        <f>IF('Contractors'!B957="","",'Contractors'!B957)</f>
        <v/>
      </c>
    </row>
    <row r="954">
      <c r="X954" s="148">
        <f>IF('Contractors'!B958="","",'Contractors'!B958)</f>
        <v/>
      </c>
    </row>
    <row r="955">
      <c r="X955" s="148">
        <f>IF('Contractors'!B959="","",'Contractors'!B959)</f>
        <v/>
      </c>
    </row>
    <row r="956">
      <c r="X956" s="148">
        <f>IF('Contractors'!B960="","",'Contractors'!B960)</f>
        <v/>
      </c>
    </row>
    <row r="957">
      <c r="X957" s="148">
        <f>IF('Contractors'!B961="","",'Contractors'!B961)</f>
        <v/>
      </c>
    </row>
    <row r="958">
      <c r="X958" s="148">
        <f>IF('Contractors'!B962="","",'Contractors'!B962)</f>
        <v/>
      </c>
    </row>
    <row r="959">
      <c r="X959" s="148">
        <f>IF('Contractors'!B963="","",'Contractors'!B963)</f>
        <v/>
      </c>
    </row>
    <row r="960">
      <c r="X960" s="148">
        <f>IF('Contractors'!B964="","",'Contractors'!B964)</f>
        <v/>
      </c>
    </row>
    <row r="961">
      <c r="X961" s="148">
        <f>IF('Contractors'!B965="","",'Contractors'!B965)</f>
        <v/>
      </c>
    </row>
    <row r="962">
      <c r="X962" s="148">
        <f>IF('Contractors'!B966="","",'Contractors'!B966)</f>
        <v/>
      </c>
    </row>
    <row r="963">
      <c r="X963" s="148">
        <f>IF('Contractors'!B967="","",'Contractors'!B967)</f>
        <v/>
      </c>
    </row>
    <row r="964">
      <c r="X964" s="148">
        <f>IF('Contractors'!B968="","",'Contractors'!B968)</f>
        <v/>
      </c>
    </row>
    <row r="965">
      <c r="X965" s="148">
        <f>IF('Contractors'!B969="","",'Contractors'!B969)</f>
        <v/>
      </c>
    </row>
    <row r="966">
      <c r="X966" s="148">
        <f>IF('Contractors'!B970="","",'Contractors'!B970)</f>
        <v/>
      </c>
    </row>
    <row r="967">
      <c r="X967" s="148">
        <f>IF('Contractors'!B971="","",'Contractors'!B971)</f>
        <v/>
      </c>
    </row>
    <row r="968">
      <c r="X968" s="148">
        <f>IF('Contractors'!B972="","",'Contractors'!B972)</f>
        <v/>
      </c>
    </row>
    <row r="969">
      <c r="X969" s="148">
        <f>IF('Contractors'!B973="","",'Contractors'!B973)</f>
        <v/>
      </c>
    </row>
    <row r="970">
      <c r="X970" s="148">
        <f>IF('Contractors'!B974="","",'Contractors'!B974)</f>
        <v/>
      </c>
    </row>
    <row r="971">
      <c r="X971" s="148">
        <f>IF('Contractors'!B975="","",'Contractors'!B975)</f>
        <v/>
      </c>
    </row>
    <row r="972">
      <c r="X972" s="148">
        <f>IF('Contractors'!B976="","",'Contractors'!B976)</f>
        <v/>
      </c>
    </row>
    <row r="973">
      <c r="X973" s="148">
        <f>IF('Contractors'!B977="","",'Contractors'!B977)</f>
        <v/>
      </c>
    </row>
    <row r="974">
      <c r="X974" s="148">
        <f>IF('Contractors'!B978="","",'Contractors'!B978)</f>
        <v/>
      </c>
    </row>
    <row r="975">
      <c r="X975" s="148">
        <f>IF('Contractors'!B979="","",'Contractors'!B979)</f>
        <v/>
      </c>
    </row>
    <row r="976">
      <c r="X976" s="148">
        <f>IF('Contractors'!B980="","",'Contractors'!B980)</f>
        <v/>
      </c>
    </row>
    <row r="977">
      <c r="X977" s="148">
        <f>IF('Contractors'!B981="","",'Contractors'!B981)</f>
        <v/>
      </c>
    </row>
    <row r="978">
      <c r="X978" s="148">
        <f>IF('Contractors'!B982="","",'Contractors'!B982)</f>
        <v/>
      </c>
    </row>
    <row r="979">
      <c r="X979" s="148">
        <f>IF('Contractors'!B983="","",'Contractors'!B983)</f>
        <v/>
      </c>
    </row>
    <row r="980">
      <c r="X980" s="148">
        <f>IF('Contractors'!B984="","",'Contractors'!B984)</f>
        <v/>
      </c>
    </row>
    <row r="981">
      <c r="X981" s="148">
        <f>IF('Contractors'!B985="","",'Contractors'!B985)</f>
        <v/>
      </c>
    </row>
    <row r="982">
      <c r="X982" s="148">
        <f>IF('Contractors'!B986="","",'Contractors'!B986)</f>
        <v/>
      </c>
    </row>
    <row r="983">
      <c r="X983" s="148">
        <f>IF('Contractors'!B987="","",'Contractors'!B987)</f>
        <v/>
      </c>
    </row>
    <row r="984">
      <c r="X984" s="148">
        <f>IF('Contractors'!B988="","",'Contractors'!B988)</f>
        <v/>
      </c>
    </row>
    <row r="985">
      <c r="X985" s="148">
        <f>IF('Contractors'!B989="","",'Contractors'!B989)</f>
        <v/>
      </c>
    </row>
    <row r="986">
      <c r="X986" s="148">
        <f>IF('Contractors'!B990="","",'Contractors'!B990)</f>
        <v/>
      </c>
    </row>
    <row r="987">
      <c r="X987" s="148">
        <f>IF('Contractors'!B991="","",'Contractors'!B991)</f>
        <v/>
      </c>
    </row>
    <row r="988">
      <c r="X988" s="148">
        <f>IF('Contractors'!B992="","",'Contractors'!B992)</f>
        <v/>
      </c>
    </row>
    <row r="989">
      <c r="X989" s="148">
        <f>IF('Contractors'!B993="","",'Contractors'!B993)</f>
        <v/>
      </c>
    </row>
    <row r="990">
      <c r="X990" s="148">
        <f>IF('Contractors'!B994="","",'Contractors'!B994)</f>
        <v/>
      </c>
    </row>
    <row r="991">
      <c r="X991" s="148">
        <f>IF('Contractors'!B995="","",'Contractors'!B995)</f>
        <v/>
      </c>
    </row>
    <row r="992">
      <c r="X992" s="148">
        <f>IF('Contractors'!B996="","",'Contractors'!B996)</f>
        <v/>
      </c>
    </row>
    <row r="993">
      <c r="X993" s="148">
        <f>IF('Contractors'!B997="","",'Contractors'!B997)</f>
        <v/>
      </c>
    </row>
    <row r="994">
      <c r="X994" s="148">
        <f>IF('Contractors'!B998="","",'Contractors'!B998)</f>
        <v/>
      </c>
    </row>
    <row r="995">
      <c r="X995" s="148">
        <f>IF('Contractors'!B999="","",'Contractors'!B999)</f>
        <v/>
      </c>
    </row>
    <row r="996">
      <c r="X996" s="148">
        <f>IF('Contractors'!B1000="","",'Contractors'!B1000)</f>
        <v/>
      </c>
    </row>
    <row r="997">
      <c r="X997" s="148">
        <f>IF('Contractors'!B1001="","",'Contractors'!B1001)</f>
        <v/>
      </c>
    </row>
    <row r="998">
      <c r="X998" s="148">
        <f>IF('Contractors'!B1002="","",'Contractors'!B1002)</f>
        <v/>
      </c>
    </row>
    <row r="999">
      <c r="X999" s="148">
        <f>IF('Contractors'!B1003="","",'Contractors'!B1003)</f>
        <v/>
      </c>
    </row>
    <row r="1000">
      <c r="X1000" s="148">
        <f>IF('Contractors'!B1004="","",'Contractors'!B1004)</f>
        <v/>
      </c>
    </row>
    <row r="1001">
      <c r="X1001" s="148">
        <f>IF('Contractors'!B1005="","",'Contractors'!B1005)</f>
        <v/>
      </c>
    </row>
  </sheetData>
  <sheetProtection selectLockedCells="1" selectUnlockedCells="0" sheet="1" objects="0" insertRows="1" insertHyperlinks="1" autoFilter="1" scenarios="0" formatColumns="0" deleteColumns="1" insertColumns="1" pivotTables="1" deleteRows="1" formatCells="1" formatRows="0" sort="1" password="CD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Hang Nguyen</dc:creator>
  <dc:title>Renovation OS</dc:title>
  <dc:description>© 2026 Hang Nguyen — Renovation OS. Licensed to the original purchaser for personal use only. Do not share, copy, resell or redistribute.</dc:description>
  <dc:subject>Home renovation management workbook</dc:subject>
  <dcterms:created xsi:type="dcterms:W3CDTF">2026-09-30T18:30:37Z</dcterms:created>
  <dcterms:modified xsi:type="dcterms:W3CDTF">2026-09-30T18:31:02Z</dcterms:modified>
  <cp:lastModifiedBy>Hang Nguyen</cp:lastModifiedBy>
  <cp:keywords>Renovation OS; Hang Nguyen; personal licence</cp:keywords>
</cp:coreProperties>
</file>